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4426"/>
  <workbookPr date1904="1" showInkAnnotation="0" autoCompressPictures="0"/>
  <bookViews>
    <workbookView xWindow="2080" yWindow="500" windowWidth="29120" windowHeight="17360" tabRatio="937"/>
  </bookViews>
  <sheets>
    <sheet name="Intro" sheetId="5" r:id="rId1"/>
    <sheet name="DrawIndex" sheetId="21" r:id="rId2"/>
    <sheet name="DrawFinder" sheetId="16" r:id="rId3"/>
    <sheet name="CS" sheetId="1" r:id="rId4"/>
    <sheet name="TvT" sheetId="2" r:id="rId5"/>
    <sheet name="DcI" sheetId="3" r:id="rId6"/>
    <sheet name="TmPlayOrder" sheetId="25" r:id="rId7"/>
    <sheet name="SheetFreq" sheetId="22" r:id="rId8"/>
    <sheet name="LateGameFreq" sheetId="23" r:id="rId9"/>
    <sheet name="GamesDay" sheetId="26" r:id="rId10"/>
    <sheet name="Markup" sheetId="4" r:id="rId11"/>
    <sheet name="S2" sheetId="7" state="hidden" r:id="rId12"/>
    <sheet name="S3" sheetId="8" state="hidden" r:id="rId13"/>
    <sheet name="S4" sheetId="9" state="hidden" r:id="rId14"/>
    <sheet name="S5" sheetId="10" state="hidden" r:id="rId15"/>
    <sheet name="S6" sheetId="11" state="hidden" r:id="rId16"/>
    <sheet name="S7" sheetId="12" state="hidden" r:id="rId17"/>
    <sheet name="S8" sheetId="13" state="hidden" r:id="rId18"/>
    <sheet name="S9" sheetId="14" state="hidden" r:id="rId19"/>
    <sheet name="S10" sheetId="15" state="hidden" r:id="rId20"/>
    <sheet name="Rules" sheetId="17" r:id="rId21"/>
    <sheet name="Sequencing" sheetId="18" state="hidden" r:id="rId22"/>
    <sheet name="TmOrderLU" sheetId="24" state="hidden" r:id="rId23"/>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A723" i="10" l="1"/>
  <c r="A724" i="10"/>
  <c r="A725" i="10"/>
  <c r="A726" i="10"/>
  <c r="A727" i="10"/>
  <c r="A728" i="10"/>
  <c r="A729" i="10"/>
  <c r="A730" i="10"/>
  <c r="A731" i="10"/>
  <c r="A732" i="10"/>
  <c r="A733" i="10"/>
  <c r="A734" i="10"/>
  <c r="A735" i="10"/>
  <c r="A736" i="10"/>
  <c r="A737" i="10"/>
  <c r="A738" i="10"/>
  <c r="A739" i="10"/>
  <c r="A740" i="10"/>
  <c r="A741" i="10"/>
  <c r="A742" i="10"/>
  <c r="A743" i="10"/>
  <c r="A744" i="10"/>
  <c r="A745" i="10"/>
  <c r="A1277" i="10"/>
  <c r="A1278" i="10"/>
  <c r="A1279" i="10"/>
  <c r="A1280" i="10"/>
  <c r="A1281" i="10"/>
  <c r="A1282" i="10"/>
  <c r="A1283" i="10"/>
  <c r="A1284" i="10"/>
  <c r="A1285" i="10"/>
  <c r="A1286" i="10"/>
  <c r="A1287" i="10"/>
  <c r="A1288" i="10"/>
  <c r="A1289" i="10"/>
  <c r="A1290" i="10"/>
  <c r="A1291" i="10"/>
  <c r="A1292" i="10"/>
  <c r="A1293" i="10"/>
  <c r="A1294" i="10"/>
  <c r="A1295" i="10"/>
  <c r="A1296" i="10"/>
  <c r="A1297" i="10"/>
  <c r="A1298" i="10"/>
  <c r="A1299" i="10"/>
  <c r="A1300" i="10"/>
  <c r="BA11" i="10"/>
  <c r="BB12" i="10"/>
  <c r="BA12" i="10"/>
  <c r="BB13" i="10"/>
  <c r="BA13" i="10"/>
  <c r="BB14" i="10"/>
  <c r="BA14" i="10"/>
  <c r="BB15" i="10"/>
  <c r="BA15" i="10"/>
  <c r="BB16" i="10"/>
  <c r="BA16" i="10"/>
  <c r="BB17" i="10"/>
  <c r="BA17" i="10"/>
  <c r="BB18" i="10"/>
  <c r="BA18" i="10"/>
  <c r="BB19" i="10"/>
  <c r="BA19" i="10"/>
  <c r="BB20" i="10"/>
  <c r="BA20" i="10"/>
  <c r="BB21" i="10"/>
  <c r="BA21" i="10"/>
  <c r="BB22" i="10"/>
  <c r="BA22" i="10"/>
  <c r="BB23" i="10"/>
  <c r="BA23" i="10"/>
  <c r="BB24" i="10"/>
  <c r="BA24" i="10"/>
  <c r="BB25" i="10"/>
  <c r="BA25" i="10"/>
  <c r="BB26" i="10"/>
  <c r="BA26" i="10"/>
  <c r="BB27" i="10"/>
  <c r="BA27" i="10"/>
  <c r="BB28" i="10"/>
  <c r="BA28" i="10"/>
  <c r="BB29" i="10"/>
  <c r="BA29" i="10"/>
  <c r="BB30" i="10"/>
  <c r="BA30" i="10"/>
  <c r="BB31" i="10"/>
  <c r="BA31" i="10"/>
  <c r="BB32" i="10"/>
  <c r="BA32" i="10"/>
  <c r="BB33" i="10"/>
  <c r="BA33" i="10"/>
  <c r="BB34" i="10"/>
  <c r="BA34" i="10"/>
  <c r="BB35" i="10"/>
  <c r="BA35" i="10"/>
  <c r="BB36" i="10"/>
  <c r="BA36" i="10"/>
  <c r="BB37" i="10"/>
  <c r="BA37" i="10"/>
  <c r="BB38" i="10"/>
  <c r="BA38" i="10"/>
  <c r="BB39" i="10"/>
  <c r="BA39" i="10"/>
  <c r="BB40" i="10"/>
  <c r="BA40" i="10"/>
  <c r="BB41" i="10"/>
  <c r="BA41" i="10"/>
  <c r="BB42" i="10"/>
  <c r="BA42" i="10"/>
  <c r="BB43" i="10"/>
  <c r="BA43" i="10"/>
  <c r="BB44" i="10"/>
  <c r="BA44" i="10"/>
  <c r="BB45" i="10"/>
  <c r="BA45" i="10"/>
  <c r="BB46" i="10"/>
  <c r="BA46" i="10"/>
  <c r="BB47" i="10"/>
  <c r="BA47" i="10"/>
  <c r="BB48" i="10"/>
  <c r="BA48" i="10"/>
  <c r="BB49" i="10"/>
  <c r="BA49" i="10"/>
  <c r="BB50" i="10"/>
  <c r="BA50" i="10"/>
  <c r="BB51" i="10"/>
  <c r="BA51" i="10"/>
  <c r="BB52" i="10"/>
  <c r="BA52" i="10"/>
  <c r="BB53" i="10"/>
  <c r="BA53" i="10"/>
  <c r="BB54" i="10"/>
  <c r="BA54" i="10"/>
  <c r="BB55" i="10"/>
  <c r="BA55" i="10"/>
  <c r="BB56" i="10"/>
  <c r="BA56" i="10"/>
  <c r="BB57" i="10"/>
  <c r="BA57" i="10"/>
  <c r="BB58" i="10"/>
  <c r="BA58" i="10"/>
  <c r="BB59" i="10"/>
  <c r="BA59" i="10"/>
  <c r="BB60" i="10"/>
  <c r="BA60" i="10"/>
  <c r="BB61" i="10"/>
  <c r="BA61" i="10"/>
  <c r="BB62" i="10"/>
  <c r="BA62" i="10"/>
  <c r="BB63" i="10"/>
  <c r="BA63" i="10"/>
  <c r="BB64" i="10"/>
  <c r="BA64" i="10"/>
  <c r="BB65" i="10"/>
  <c r="BA65" i="10"/>
  <c r="BB66" i="10"/>
  <c r="BA66" i="10"/>
  <c r="BB67" i="10"/>
  <c r="BA67" i="10"/>
  <c r="BB68" i="10"/>
  <c r="BA68" i="10"/>
  <c r="BB69" i="10"/>
  <c r="BA69" i="10"/>
  <c r="BB70" i="10"/>
  <c r="BA70" i="10"/>
  <c r="BB71" i="10"/>
  <c r="BA71" i="10"/>
  <c r="BB72" i="10"/>
  <c r="BA72" i="10"/>
  <c r="BB73" i="10"/>
  <c r="BA73" i="10"/>
  <c r="BB74" i="10"/>
  <c r="BA74" i="10"/>
  <c r="BA75" i="10"/>
  <c r="BA76" i="10"/>
  <c r="BA77" i="10"/>
  <c r="BA78" i="10"/>
  <c r="BA79" i="10"/>
  <c r="BA80" i="10"/>
  <c r="BA81" i="10"/>
  <c r="BA82" i="10"/>
  <c r="BA83" i="10"/>
  <c r="BA84" i="10"/>
  <c r="BA85" i="10"/>
  <c r="BA86" i="10"/>
  <c r="BA87" i="10"/>
  <c r="BA88" i="10"/>
  <c r="BA89" i="10"/>
  <c r="BA90" i="10"/>
  <c r="BA91" i="10"/>
  <c r="BA92" i="10"/>
  <c r="BA93" i="10"/>
  <c r="BA94" i="10"/>
  <c r="BA95" i="10"/>
  <c r="BA96" i="10"/>
  <c r="BA97" i="10"/>
  <c r="BA98" i="10"/>
  <c r="BA99" i="10"/>
  <c r="BA100" i="10"/>
  <c r="BC100" i="10"/>
  <c r="BD100" i="10"/>
  <c r="BC12" i="10"/>
  <c r="BE12" i="10"/>
  <c r="BG12" i="10"/>
  <c r="BI12" i="10"/>
  <c r="BK12" i="10"/>
  <c r="BW12" i="10"/>
  <c r="BF12" i="10"/>
  <c r="BC11" i="10"/>
  <c r="BE11" i="10"/>
  <c r="BG11" i="10"/>
  <c r="BI11" i="10"/>
  <c r="BK11" i="10"/>
  <c r="BW11" i="10"/>
  <c r="BF11" i="10"/>
  <c r="BC13" i="10"/>
  <c r="BE13" i="10"/>
  <c r="BG13" i="10"/>
  <c r="BI13" i="10"/>
  <c r="BK13" i="10"/>
  <c r="BW13" i="10"/>
  <c r="BF13" i="10"/>
  <c r="BC14" i="10"/>
  <c r="BE14" i="10"/>
  <c r="BG14" i="10"/>
  <c r="BI14" i="10"/>
  <c r="BK14" i="10"/>
  <c r="BW14" i="10"/>
  <c r="BF14" i="10"/>
  <c r="BC15" i="10"/>
  <c r="BE15" i="10"/>
  <c r="BG15" i="10"/>
  <c r="BI15" i="10"/>
  <c r="BK15" i="10"/>
  <c r="BW15" i="10"/>
  <c r="BF15" i="10"/>
  <c r="BC16" i="10"/>
  <c r="BE16" i="10"/>
  <c r="BG16" i="10"/>
  <c r="BI16" i="10"/>
  <c r="BK16" i="10"/>
  <c r="BW16" i="10"/>
  <c r="BF16" i="10"/>
  <c r="BC17" i="10"/>
  <c r="BE17" i="10"/>
  <c r="BG17" i="10"/>
  <c r="BI17" i="10"/>
  <c r="BK17" i="10"/>
  <c r="BW17" i="10"/>
  <c r="BF17" i="10"/>
  <c r="BC18" i="10"/>
  <c r="BE18" i="10"/>
  <c r="BG18" i="10"/>
  <c r="BI18" i="10"/>
  <c r="BK18" i="10"/>
  <c r="BW18" i="10"/>
  <c r="BF18" i="10"/>
  <c r="BC19" i="10"/>
  <c r="BE19" i="10"/>
  <c r="BG19" i="10"/>
  <c r="BI19" i="10"/>
  <c r="BK19" i="10"/>
  <c r="BW19" i="10"/>
  <c r="BF19" i="10"/>
  <c r="BC20" i="10"/>
  <c r="BE20" i="10"/>
  <c r="BG20" i="10"/>
  <c r="BI20" i="10"/>
  <c r="BK20" i="10"/>
  <c r="BW20" i="10"/>
  <c r="BF20" i="10"/>
  <c r="BC21" i="10"/>
  <c r="BE21" i="10"/>
  <c r="BG21" i="10"/>
  <c r="BI21" i="10"/>
  <c r="BK21" i="10"/>
  <c r="BW21" i="10"/>
  <c r="BF21" i="10"/>
  <c r="BC22" i="10"/>
  <c r="BE22" i="10"/>
  <c r="BG22" i="10"/>
  <c r="BI22" i="10"/>
  <c r="BK22" i="10"/>
  <c r="BW22" i="10"/>
  <c r="BF22" i="10"/>
  <c r="BC23" i="10"/>
  <c r="BE23" i="10"/>
  <c r="BG23" i="10"/>
  <c r="BI23" i="10"/>
  <c r="BK23" i="10"/>
  <c r="BW23" i="10"/>
  <c r="BF23" i="10"/>
  <c r="BC24" i="10"/>
  <c r="BE24" i="10"/>
  <c r="BG24" i="10"/>
  <c r="BI24" i="10"/>
  <c r="BK24" i="10"/>
  <c r="BW24" i="10"/>
  <c r="BF24" i="10"/>
  <c r="BC25" i="10"/>
  <c r="BE25" i="10"/>
  <c r="BG25" i="10"/>
  <c r="BI25" i="10"/>
  <c r="BK25" i="10"/>
  <c r="BW25" i="10"/>
  <c r="BF25" i="10"/>
  <c r="BC26" i="10"/>
  <c r="BE26" i="10"/>
  <c r="BG26" i="10"/>
  <c r="BI26" i="10"/>
  <c r="BK26" i="10"/>
  <c r="BW26" i="10"/>
  <c r="BF26" i="10"/>
  <c r="BC27" i="10"/>
  <c r="BE27" i="10"/>
  <c r="BG27" i="10"/>
  <c r="BI27" i="10"/>
  <c r="BK27" i="10"/>
  <c r="BW27" i="10"/>
  <c r="BF27" i="10"/>
  <c r="BC28" i="10"/>
  <c r="BE28" i="10"/>
  <c r="BG28" i="10"/>
  <c r="BI28" i="10"/>
  <c r="BK28" i="10"/>
  <c r="BW28" i="10"/>
  <c r="BF28" i="10"/>
  <c r="BC29" i="10"/>
  <c r="BE29" i="10"/>
  <c r="BG29" i="10"/>
  <c r="BI29" i="10"/>
  <c r="BK29" i="10"/>
  <c r="BW29" i="10"/>
  <c r="BF29" i="10"/>
  <c r="BC30" i="10"/>
  <c r="BE30" i="10"/>
  <c r="BG30" i="10"/>
  <c r="BI30" i="10"/>
  <c r="BK30" i="10"/>
  <c r="BW30" i="10"/>
  <c r="BF30" i="10"/>
  <c r="BC31" i="10"/>
  <c r="BE31" i="10"/>
  <c r="BG31" i="10"/>
  <c r="BI31" i="10"/>
  <c r="BK31" i="10"/>
  <c r="BW31" i="10"/>
  <c r="BF31" i="10"/>
  <c r="BC32" i="10"/>
  <c r="BE32" i="10"/>
  <c r="BG32" i="10"/>
  <c r="BI32" i="10"/>
  <c r="BK32" i="10"/>
  <c r="BW32" i="10"/>
  <c r="BF32" i="10"/>
  <c r="BC33" i="10"/>
  <c r="BE33" i="10"/>
  <c r="BG33" i="10"/>
  <c r="BI33" i="10"/>
  <c r="BK33" i="10"/>
  <c r="BW33" i="10"/>
  <c r="BF33" i="10"/>
  <c r="BC34" i="10"/>
  <c r="BE34" i="10"/>
  <c r="BG34" i="10"/>
  <c r="BI34" i="10"/>
  <c r="BK34" i="10"/>
  <c r="BW34" i="10"/>
  <c r="BF34" i="10"/>
  <c r="BC35" i="10"/>
  <c r="BE35" i="10"/>
  <c r="BG35" i="10"/>
  <c r="BI35" i="10"/>
  <c r="BK35" i="10"/>
  <c r="BW35" i="10"/>
  <c r="BF35" i="10"/>
  <c r="BC36" i="10"/>
  <c r="BE36" i="10"/>
  <c r="BG36" i="10"/>
  <c r="BI36" i="10"/>
  <c r="BK36" i="10"/>
  <c r="BW36" i="10"/>
  <c r="BF36" i="10"/>
  <c r="BC37" i="10"/>
  <c r="BE37" i="10"/>
  <c r="BG37" i="10"/>
  <c r="BI37" i="10"/>
  <c r="BK37" i="10"/>
  <c r="BW37" i="10"/>
  <c r="BF37" i="10"/>
  <c r="BC38" i="10"/>
  <c r="BE38" i="10"/>
  <c r="BG38" i="10"/>
  <c r="BI38" i="10"/>
  <c r="BK38" i="10"/>
  <c r="BW38" i="10"/>
  <c r="BF38" i="10"/>
  <c r="BC39" i="10"/>
  <c r="BE39" i="10"/>
  <c r="BG39" i="10"/>
  <c r="BI39" i="10"/>
  <c r="BK39" i="10"/>
  <c r="BW39" i="10"/>
  <c r="BF39" i="10"/>
  <c r="BC40" i="10"/>
  <c r="BE40" i="10"/>
  <c r="BG40" i="10"/>
  <c r="BI40" i="10"/>
  <c r="BK40" i="10"/>
  <c r="BW40" i="10"/>
  <c r="BF40" i="10"/>
  <c r="BC41" i="10"/>
  <c r="BE41" i="10"/>
  <c r="BG41" i="10"/>
  <c r="BI41" i="10"/>
  <c r="BK41" i="10"/>
  <c r="BW41" i="10"/>
  <c r="BF41" i="10"/>
  <c r="BC42" i="10"/>
  <c r="BE42" i="10"/>
  <c r="BG42" i="10"/>
  <c r="BI42" i="10"/>
  <c r="BK42" i="10"/>
  <c r="BW42" i="10"/>
  <c r="BF42" i="10"/>
  <c r="BC43" i="10"/>
  <c r="BE43" i="10"/>
  <c r="BG43" i="10"/>
  <c r="BI43" i="10"/>
  <c r="BK43" i="10"/>
  <c r="BW43" i="10"/>
  <c r="BF43" i="10"/>
  <c r="BC44" i="10"/>
  <c r="BE44" i="10"/>
  <c r="BG44" i="10"/>
  <c r="BI44" i="10"/>
  <c r="BK44" i="10"/>
  <c r="BW44" i="10"/>
  <c r="BF44" i="10"/>
  <c r="BC45" i="10"/>
  <c r="BE45" i="10"/>
  <c r="BG45" i="10"/>
  <c r="BI45" i="10"/>
  <c r="BK45" i="10"/>
  <c r="BW45" i="10"/>
  <c r="BF45" i="10"/>
  <c r="BC46" i="10"/>
  <c r="BE46" i="10"/>
  <c r="BG46" i="10"/>
  <c r="BI46" i="10"/>
  <c r="BK46" i="10"/>
  <c r="BW46" i="10"/>
  <c r="BF46" i="10"/>
  <c r="BC47" i="10"/>
  <c r="BE47" i="10"/>
  <c r="BG47" i="10"/>
  <c r="BI47" i="10"/>
  <c r="BK47" i="10"/>
  <c r="BW47" i="10"/>
  <c r="BF47" i="10"/>
  <c r="BC48" i="10"/>
  <c r="BE48" i="10"/>
  <c r="BG48" i="10"/>
  <c r="BI48" i="10"/>
  <c r="BK48" i="10"/>
  <c r="BW48" i="10"/>
  <c r="BF48" i="10"/>
  <c r="BC49" i="10"/>
  <c r="BE49" i="10"/>
  <c r="BG49" i="10"/>
  <c r="BI49" i="10"/>
  <c r="BK49" i="10"/>
  <c r="BW49" i="10"/>
  <c r="BF49" i="10"/>
  <c r="BC50" i="10"/>
  <c r="BE50" i="10"/>
  <c r="BG50" i="10"/>
  <c r="BI50" i="10"/>
  <c r="BK50" i="10"/>
  <c r="BW50" i="10"/>
  <c r="BF50" i="10"/>
  <c r="BC51" i="10"/>
  <c r="BE51" i="10"/>
  <c r="BG51" i="10"/>
  <c r="BI51" i="10"/>
  <c r="BK51" i="10"/>
  <c r="BW51" i="10"/>
  <c r="BF51" i="10"/>
  <c r="BC52" i="10"/>
  <c r="BE52" i="10"/>
  <c r="BG52" i="10"/>
  <c r="BI52" i="10"/>
  <c r="BK52" i="10"/>
  <c r="BW52" i="10"/>
  <c r="BF52" i="10"/>
  <c r="BC53" i="10"/>
  <c r="BE53" i="10"/>
  <c r="BG53" i="10"/>
  <c r="BI53" i="10"/>
  <c r="BK53" i="10"/>
  <c r="BW53" i="10"/>
  <c r="BF53" i="10"/>
  <c r="BC54" i="10"/>
  <c r="BE54" i="10"/>
  <c r="BG54" i="10"/>
  <c r="BI54" i="10"/>
  <c r="BK54" i="10"/>
  <c r="BW54" i="10"/>
  <c r="BF54" i="10"/>
  <c r="BC55" i="10"/>
  <c r="BE55" i="10"/>
  <c r="BG55" i="10"/>
  <c r="BI55" i="10"/>
  <c r="BK55" i="10"/>
  <c r="BW55" i="10"/>
  <c r="BF55" i="10"/>
  <c r="BC56" i="10"/>
  <c r="BE56" i="10"/>
  <c r="BG56" i="10"/>
  <c r="BI56" i="10"/>
  <c r="BK56" i="10"/>
  <c r="BW56" i="10"/>
  <c r="BF56" i="10"/>
  <c r="BC57" i="10"/>
  <c r="BE57" i="10"/>
  <c r="BG57" i="10"/>
  <c r="BI57" i="10"/>
  <c r="BK57" i="10"/>
  <c r="BW57" i="10"/>
  <c r="BF57" i="10"/>
  <c r="BC58" i="10"/>
  <c r="BE58" i="10"/>
  <c r="BG58" i="10"/>
  <c r="BI58" i="10"/>
  <c r="BK58" i="10"/>
  <c r="BW58" i="10"/>
  <c r="BF58" i="10"/>
  <c r="BC59" i="10"/>
  <c r="BE59" i="10"/>
  <c r="BG59" i="10"/>
  <c r="BI59" i="10"/>
  <c r="BK59" i="10"/>
  <c r="BW59" i="10"/>
  <c r="BF59" i="10"/>
  <c r="BC60" i="10"/>
  <c r="BE60" i="10"/>
  <c r="BG60" i="10"/>
  <c r="BI60" i="10"/>
  <c r="BK60" i="10"/>
  <c r="BW60" i="10"/>
  <c r="BF60" i="10"/>
  <c r="BC61" i="10"/>
  <c r="BE61" i="10"/>
  <c r="BG61" i="10"/>
  <c r="BI61" i="10"/>
  <c r="BK61" i="10"/>
  <c r="BW61" i="10"/>
  <c r="BF61" i="10"/>
  <c r="BC62" i="10"/>
  <c r="BE62" i="10"/>
  <c r="BG62" i="10"/>
  <c r="BI62" i="10"/>
  <c r="BK62" i="10"/>
  <c r="BW62" i="10"/>
  <c r="BF62" i="10"/>
  <c r="BC63" i="10"/>
  <c r="BE63" i="10"/>
  <c r="BG63" i="10"/>
  <c r="BI63" i="10"/>
  <c r="BK63" i="10"/>
  <c r="BW63" i="10"/>
  <c r="BF63" i="10"/>
  <c r="BC64" i="10"/>
  <c r="BE64" i="10"/>
  <c r="BG64" i="10"/>
  <c r="BI64" i="10"/>
  <c r="BK64" i="10"/>
  <c r="BW64" i="10"/>
  <c r="BF64" i="10"/>
  <c r="BC65" i="10"/>
  <c r="BE65" i="10"/>
  <c r="BG65" i="10"/>
  <c r="BI65" i="10"/>
  <c r="BK65" i="10"/>
  <c r="BW65" i="10"/>
  <c r="BF65" i="10"/>
  <c r="BC66" i="10"/>
  <c r="BE66" i="10"/>
  <c r="BG66" i="10"/>
  <c r="BI66" i="10"/>
  <c r="BK66" i="10"/>
  <c r="BW66" i="10"/>
  <c r="BF66" i="10"/>
  <c r="BC67" i="10"/>
  <c r="BE67" i="10"/>
  <c r="BG67" i="10"/>
  <c r="BI67" i="10"/>
  <c r="BK67" i="10"/>
  <c r="BW67" i="10"/>
  <c r="BF67" i="10"/>
  <c r="BC68" i="10"/>
  <c r="BE68" i="10"/>
  <c r="BG68" i="10"/>
  <c r="BI68" i="10"/>
  <c r="BK68" i="10"/>
  <c r="BW68" i="10"/>
  <c r="BF68" i="10"/>
  <c r="BC69" i="10"/>
  <c r="BE69" i="10"/>
  <c r="BG69" i="10"/>
  <c r="BI69" i="10"/>
  <c r="BK69" i="10"/>
  <c r="BW69" i="10"/>
  <c r="BF69" i="10"/>
  <c r="BC70" i="10"/>
  <c r="BE70" i="10"/>
  <c r="BG70" i="10"/>
  <c r="BI70" i="10"/>
  <c r="BK70" i="10"/>
  <c r="BW70" i="10"/>
  <c r="BF70" i="10"/>
  <c r="BC71" i="10"/>
  <c r="BE71" i="10"/>
  <c r="BG71" i="10"/>
  <c r="BI71" i="10"/>
  <c r="BK71" i="10"/>
  <c r="BW71" i="10"/>
  <c r="BF71" i="10"/>
  <c r="BC72" i="10"/>
  <c r="BE72" i="10"/>
  <c r="BG72" i="10"/>
  <c r="BI72" i="10"/>
  <c r="BK72" i="10"/>
  <c r="BW72" i="10"/>
  <c r="BF72" i="10"/>
  <c r="BC73" i="10"/>
  <c r="BE73" i="10"/>
  <c r="BG73" i="10"/>
  <c r="BI73" i="10"/>
  <c r="BK73" i="10"/>
  <c r="BW73" i="10"/>
  <c r="BF73" i="10"/>
  <c r="BC74" i="10"/>
  <c r="BE74" i="10"/>
  <c r="BK74" i="10"/>
  <c r="BW74" i="10"/>
  <c r="BF74" i="10"/>
  <c r="BC75" i="10"/>
  <c r="BE75" i="10"/>
  <c r="BK75" i="10"/>
  <c r="BW75" i="10"/>
  <c r="BF75" i="10"/>
  <c r="BC76" i="10"/>
  <c r="BE76" i="10"/>
  <c r="BK76" i="10"/>
  <c r="BW76" i="10"/>
  <c r="BF76" i="10"/>
  <c r="BC77" i="10"/>
  <c r="BE77" i="10"/>
  <c r="BK77" i="10"/>
  <c r="BW77" i="10"/>
  <c r="BF77" i="10"/>
  <c r="BC78" i="10"/>
  <c r="BE78" i="10"/>
  <c r="BK78" i="10"/>
  <c r="BW78" i="10"/>
  <c r="BF78" i="10"/>
  <c r="BC79" i="10"/>
  <c r="BE79" i="10"/>
  <c r="BK79" i="10"/>
  <c r="BW79" i="10"/>
  <c r="BF79" i="10"/>
  <c r="BC80" i="10"/>
  <c r="BE80" i="10"/>
  <c r="BK80" i="10"/>
  <c r="BW80" i="10"/>
  <c r="BF80" i="10"/>
  <c r="BC81" i="10"/>
  <c r="BE81" i="10"/>
  <c r="BK81" i="10"/>
  <c r="BW81" i="10"/>
  <c r="BF81" i="10"/>
  <c r="BC82" i="10"/>
  <c r="BE82" i="10"/>
  <c r="BK82" i="10"/>
  <c r="BW82" i="10"/>
  <c r="BF82" i="10"/>
  <c r="BC83" i="10"/>
  <c r="BE83" i="10"/>
  <c r="BK83" i="10"/>
  <c r="BW83" i="10"/>
  <c r="BF83" i="10"/>
  <c r="BC84" i="10"/>
  <c r="BE84" i="10"/>
  <c r="BK84" i="10"/>
  <c r="BW84" i="10"/>
  <c r="BF84" i="10"/>
  <c r="BC85" i="10"/>
  <c r="BE85" i="10"/>
  <c r="BK85" i="10"/>
  <c r="BW85" i="10"/>
  <c r="BF85" i="10"/>
  <c r="BC86" i="10"/>
  <c r="BE86" i="10"/>
  <c r="BK86" i="10"/>
  <c r="BW86" i="10"/>
  <c r="BF86" i="10"/>
  <c r="BC87" i="10"/>
  <c r="BE87" i="10"/>
  <c r="BK87" i="10"/>
  <c r="BW87" i="10"/>
  <c r="BF87" i="10"/>
  <c r="BC88" i="10"/>
  <c r="BE88" i="10"/>
  <c r="BK88" i="10"/>
  <c r="BW88" i="10"/>
  <c r="BF88" i="10"/>
  <c r="BC89" i="10"/>
  <c r="BE89" i="10"/>
  <c r="BK89" i="10"/>
  <c r="BW89" i="10"/>
  <c r="BF89" i="10"/>
  <c r="BC90" i="10"/>
  <c r="BE90" i="10"/>
  <c r="BK90" i="10"/>
  <c r="BW90" i="10"/>
  <c r="BF90" i="10"/>
  <c r="BC91" i="10"/>
  <c r="BE91" i="10"/>
  <c r="BK91" i="10"/>
  <c r="BW91" i="10"/>
  <c r="BF91" i="10"/>
  <c r="BC92" i="10"/>
  <c r="BE92" i="10"/>
  <c r="BK92" i="10"/>
  <c r="BW92" i="10"/>
  <c r="BF92" i="10"/>
  <c r="BC93" i="10"/>
  <c r="BE93" i="10"/>
  <c r="BK93" i="10"/>
  <c r="BW93" i="10"/>
  <c r="BF93" i="10"/>
  <c r="BC94" i="10"/>
  <c r="BE94" i="10"/>
  <c r="BK94" i="10"/>
  <c r="BW94" i="10"/>
  <c r="BF94" i="10"/>
  <c r="BC95" i="10"/>
  <c r="BE95" i="10"/>
  <c r="BK95" i="10"/>
  <c r="BW95" i="10"/>
  <c r="BF95" i="10"/>
  <c r="BC96" i="10"/>
  <c r="BE96" i="10"/>
  <c r="BK96" i="10"/>
  <c r="BW96" i="10"/>
  <c r="BF96" i="10"/>
  <c r="BC97" i="10"/>
  <c r="BE97" i="10"/>
  <c r="BK97" i="10"/>
  <c r="BW97" i="10"/>
  <c r="BF97" i="10"/>
  <c r="BC98" i="10"/>
  <c r="BE98" i="10"/>
  <c r="BK98" i="10"/>
  <c r="BW98" i="10"/>
  <c r="BF98" i="10"/>
  <c r="BC99" i="10"/>
  <c r="BE99" i="10"/>
  <c r="BK99" i="10"/>
  <c r="BW99" i="10"/>
  <c r="BF99" i="10"/>
  <c r="BE100" i="10"/>
  <c r="BK100" i="10"/>
  <c r="BW100" i="10"/>
  <c r="BF100" i="10"/>
  <c r="BD12" i="10"/>
  <c r="BD13" i="10"/>
  <c r="BD14" i="10"/>
  <c r="BD15" i="10"/>
  <c r="BD16" i="10"/>
  <c r="BD17" i="10"/>
  <c r="BD18" i="10"/>
  <c r="BD19" i="10"/>
  <c r="BD20" i="10"/>
  <c r="BD21" i="10"/>
  <c r="BD22" i="10"/>
  <c r="BD23" i="10"/>
  <c r="BD24" i="10"/>
  <c r="BD25" i="10"/>
  <c r="BD26" i="10"/>
  <c r="BD27" i="10"/>
  <c r="BD28" i="10"/>
  <c r="BD29" i="10"/>
  <c r="BD30" i="10"/>
  <c r="BD31" i="10"/>
  <c r="BD32" i="10"/>
  <c r="BD33" i="10"/>
  <c r="BD34" i="10"/>
  <c r="BD35" i="10"/>
  <c r="BD36" i="10"/>
  <c r="BD37" i="10"/>
  <c r="BD38" i="10"/>
  <c r="BD39" i="10"/>
  <c r="BD40" i="10"/>
  <c r="BD41" i="10"/>
  <c r="BD42" i="10"/>
  <c r="BD43" i="10"/>
  <c r="BD44" i="10"/>
  <c r="BD45" i="10"/>
  <c r="BD46" i="10"/>
  <c r="BD47" i="10"/>
  <c r="BD48" i="10"/>
  <c r="BD49" i="10"/>
  <c r="BD50" i="10"/>
  <c r="BD51" i="10"/>
  <c r="BD52" i="10"/>
  <c r="BD53" i="10"/>
  <c r="BD54" i="10"/>
  <c r="BD55" i="10"/>
  <c r="BD56" i="10"/>
  <c r="BD57" i="10"/>
  <c r="BD58" i="10"/>
  <c r="BD59" i="10"/>
  <c r="BD60" i="10"/>
  <c r="BD61" i="10"/>
  <c r="BD62" i="10"/>
  <c r="BD63" i="10"/>
  <c r="BD64" i="10"/>
  <c r="BD65" i="10"/>
  <c r="BD66" i="10"/>
  <c r="BD67" i="10"/>
  <c r="BD68" i="10"/>
  <c r="BD69" i="10"/>
  <c r="BD70" i="10"/>
  <c r="BD71" i="10"/>
  <c r="BD72" i="10"/>
  <c r="BD73" i="10"/>
  <c r="BD74" i="10"/>
  <c r="BD75" i="10"/>
  <c r="BD76" i="10"/>
  <c r="BD77" i="10"/>
  <c r="BD78" i="10"/>
  <c r="BD79" i="10"/>
  <c r="BD80" i="10"/>
  <c r="BD81" i="10"/>
  <c r="BD82" i="10"/>
  <c r="BD83" i="10"/>
  <c r="BD84" i="10"/>
  <c r="BD85" i="10"/>
  <c r="BD86" i="10"/>
  <c r="BD87" i="10"/>
  <c r="BD88" i="10"/>
  <c r="BD89" i="10"/>
  <c r="BD90" i="10"/>
  <c r="BD91" i="10"/>
  <c r="BD92" i="10"/>
  <c r="BD93" i="10"/>
  <c r="BD94" i="10"/>
  <c r="BD95" i="10"/>
  <c r="BD96" i="10"/>
  <c r="BD97" i="10"/>
  <c r="BD98" i="10"/>
  <c r="BD99" i="10"/>
  <c r="BD11" i="10"/>
  <c r="BB11" i="10"/>
  <c r="A654" i="9"/>
  <c r="A642" i="9"/>
  <c r="A473" i="9"/>
  <c r="A916" i="9"/>
  <c r="A537" i="9"/>
  <c r="A523" i="9"/>
  <c r="A404" i="9"/>
  <c r="A881" i="9"/>
  <c r="A755" i="9"/>
  <c r="A419" i="9"/>
  <c r="A435" i="9"/>
  <c r="A697" i="9"/>
  <c r="A929" i="9"/>
  <c r="A486" i="9"/>
  <c r="A605" i="9"/>
  <c r="A666" i="9"/>
  <c r="A551" i="9"/>
  <c r="A861" i="9"/>
  <c r="A503" i="9"/>
  <c r="A622" i="9"/>
  <c r="A451" i="9"/>
  <c r="A583" i="9"/>
  <c r="A733" i="9"/>
  <c r="A917" i="9"/>
  <c r="A918" i="9"/>
  <c r="A919" i="9"/>
  <c r="A920" i="9"/>
  <c r="A921" i="9"/>
  <c r="A922" i="9"/>
  <c r="A923" i="9"/>
  <c r="A924" i="9"/>
  <c r="A925" i="9"/>
  <c r="A926" i="9"/>
  <c r="A927" i="9"/>
  <c r="A756" i="9"/>
  <c r="A757" i="9"/>
  <c r="A758" i="9"/>
  <c r="A759" i="9"/>
  <c r="A760" i="9"/>
  <c r="A761" i="9"/>
  <c r="A762" i="9"/>
  <c r="A763" i="9"/>
  <c r="A764" i="9"/>
  <c r="A765" i="9"/>
  <c r="A766" i="9"/>
  <c r="A767" i="9"/>
  <c r="A768" i="9"/>
  <c r="A946" i="9"/>
  <c r="A947" i="9"/>
  <c r="A948" i="9"/>
  <c r="A949" i="9"/>
  <c r="A950" i="9"/>
  <c r="A951" i="9"/>
  <c r="A952" i="9"/>
  <c r="A953" i="9"/>
  <c r="A954" i="9"/>
  <c r="A955" i="9"/>
  <c r="A956" i="9"/>
  <c r="A957" i="9"/>
  <c r="A958" i="9"/>
  <c r="A959" i="9"/>
  <c r="A960" i="9"/>
  <c r="A961" i="9"/>
  <c r="A882" i="9"/>
  <c r="A883" i="9"/>
  <c r="A884" i="9"/>
  <c r="A885" i="9"/>
  <c r="A886" i="9"/>
  <c r="A887" i="9"/>
  <c r="A888" i="9"/>
  <c r="A889" i="9"/>
  <c r="A890" i="9"/>
  <c r="A891" i="9"/>
  <c r="A892" i="9"/>
  <c r="A893" i="9"/>
  <c r="A894" i="9"/>
  <c r="A895" i="9"/>
  <c r="A962" i="9"/>
  <c r="A963" i="9"/>
  <c r="A964" i="9"/>
  <c r="A965" i="9"/>
  <c r="A966" i="9"/>
  <c r="A967" i="9"/>
  <c r="A968" i="9"/>
  <c r="A969" i="9"/>
  <c r="A970" i="9"/>
  <c r="A971" i="9"/>
  <c r="A972" i="9"/>
  <c r="A973" i="9"/>
  <c r="A974" i="9"/>
  <c r="A975" i="9"/>
  <c r="A976" i="9"/>
  <c r="A977" i="9"/>
  <c r="A978" i="9"/>
  <c r="A979" i="9"/>
  <c r="A980" i="9"/>
  <c r="A981" i="9"/>
  <c r="A982" i="9"/>
  <c r="A983" i="9"/>
  <c r="A984" i="9"/>
  <c r="A405" i="9"/>
  <c r="A406" i="9"/>
  <c r="A407" i="9"/>
  <c r="A408" i="9"/>
  <c r="A409" i="9"/>
  <c r="A410" i="9"/>
  <c r="A411" i="9"/>
  <c r="A412" i="9"/>
  <c r="A413" i="9"/>
  <c r="A414" i="9"/>
  <c r="A415" i="9"/>
  <c r="A416" i="9"/>
  <c r="A417" i="9"/>
  <c r="A930" i="9"/>
  <c r="A931" i="9"/>
  <c r="A932" i="9"/>
  <c r="A933" i="9"/>
  <c r="A934" i="9"/>
  <c r="A935" i="9"/>
  <c r="A936" i="9"/>
  <c r="A937" i="9"/>
  <c r="A938" i="9"/>
  <c r="A939" i="9"/>
  <c r="A940" i="9"/>
  <c r="A941" i="9"/>
  <c r="A942" i="9"/>
  <c r="A943" i="9"/>
  <c r="A944" i="9"/>
  <c r="A862" i="9"/>
  <c r="A863" i="9"/>
  <c r="A864" i="9"/>
  <c r="A865" i="9"/>
  <c r="A866" i="9"/>
  <c r="A867" i="9"/>
  <c r="A868" i="9"/>
  <c r="A869" i="9"/>
  <c r="A870" i="9"/>
  <c r="A871" i="9"/>
  <c r="A872" i="9"/>
  <c r="A873" i="9"/>
  <c r="A874" i="9"/>
  <c r="A875" i="9"/>
  <c r="A876" i="9"/>
  <c r="A877" i="9"/>
  <c r="A878" i="9"/>
  <c r="A879" i="9"/>
  <c r="BA11" i="9"/>
  <c r="BC11" i="9"/>
  <c r="BE11" i="9"/>
  <c r="BG11" i="9"/>
  <c r="BI11" i="9"/>
  <c r="BK11" i="9"/>
  <c r="BW11" i="9"/>
  <c r="BF11" i="9"/>
  <c r="BB12" i="9"/>
  <c r="BA12" i="9"/>
  <c r="BC12" i="9"/>
  <c r="BE12" i="9"/>
  <c r="BG12" i="9"/>
  <c r="BI12" i="9"/>
  <c r="BK12" i="9"/>
  <c r="BW12" i="9"/>
  <c r="BF12" i="9"/>
  <c r="BB13" i="9"/>
  <c r="BA13" i="9"/>
  <c r="BC13" i="9"/>
  <c r="BE13" i="9"/>
  <c r="BG13" i="9"/>
  <c r="BI13" i="9"/>
  <c r="BK13" i="9"/>
  <c r="BW13" i="9"/>
  <c r="BF13" i="9"/>
  <c r="BB14" i="9"/>
  <c r="BA14" i="9"/>
  <c r="BC14" i="9"/>
  <c r="BE14" i="9"/>
  <c r="BG14" i="9"/>
  <c r="BI14" i="9"/>
  <c r="BK14" i="9"/>
  <c r="BW14" i="9"/>
  <c r="BF14" i="9"/>
  <c r="BB15" i="9"/>
  <c r="BA15" i="9"/>
  <c r="BC15" i="9"/>
  <c r="BE15" i="9"/>
  <c r="BG15" i="9"/>
  <c r="BI15" i="9"/>
  <c r="BK15" i="9"/>
  <c r="BW15" i="9"/>
  <c r="BF15" i="9"/>
  <c r="BB16" i="9"/>
  <c r="BA16" i="9"/>
  <c r="BC16" i="9"/>
  <c r="BE16" i="9"/>
  <c r="BG16" i="9"/>
  <c r="BI16" i="9"/>
  <c r="BK16" i="9"/>
  <c r="BW16" i="9"/>
  <c r="BF16" i="9"/>
  <c r="BB17" i="9"/>
  <c r="BA17" i="9"/>
  <c r="BC17" i="9"/>
  <c r="BE17" i="9"/>
  <c r="BG17" i="9"/>
  <c r="BI17" i="9"/>
  <c r="BK17" i="9"/>
  <c r="BW17" i="9"/>
  <c r="BF17" i="9"/>
  <c r="BB18" i="9"/>
  <c r="BA18" i="9"/>
  <c r="BC18" i="9"/>
  <c r="BE18" i="9"/>
  <c r="BG18" i="9"/>
  <c r="BI18" i="9"/>
  <c r="BK18" i="9"/>
  <c r="BW18" i="9"/>
  <c r="BF18" i="9"/>
  <c r="BB19" i="9"/>
  <c r="BA19" i="9"/>
  <c r="BC19" i="9"/>
  <c r="BE19" i="9"/>
  <c r="BG19" i="9"/>
  <c r="BI19" i="9"/>
  <c r="BK19" i="9"/>
  <c r="BW19" i="9"/>
  <c r="BF19" i="9"/>
  <c r="BB20" i="9"/>
  <c r="BA20" i="9"/>
  <c r="BC20" i="9"/>
  <c r="BE20" i="9"/>
  <c r="BG20" i="9"/>
  <c r="BI20" i="9"/>
  <c r="BK20" i="9"/>
  <c r="BW20" i="9"/>
  <c r="BF20" i="9"/>
  <c r="BB21" i="9"/>
  <c r="BA21" i="9"/>
  <c r="BC21" i="9"/>
  <c r="BE21" i="9"/>
  <c r="BG21" i="9"/>
  <c r="BI21" i="9"/>
  <c r="BK21" i="9"/>
  <c r="BW21" i="9"/>
  <c r="BF21" i="9"/>
  <c r="BB22" i="9"/>
  <c r="BA22" i="9"/>
  <c r="BC22" i="9"/>
  <c r="BE22" i="9"/>
  <c r="BG22" i="9"/>
  <c r="BI22" i="9"/>
  <c r="BK22" i="9"/>
  <c r="BW22" i="9"/>
  <c r="BF22" i="9"/>
  <c r="BB23" i="9"/>
  <c r="BA23" i="9"/>
  <c r="BC23" i="9"/>
  <c r="BE23" i="9"/>
  <c r="BG23" i="9"/>
  <c r="BI23" i="9"/>
  <c r="BK23" i="9"/>
  <c r="BW23" i="9"/>
  <c r="BF23" i="9"/>
  <c r="BB24" i="9"/>
  <c r="BA24" i="9"/>
  <c r="BC24" i="9"/>
  <c r="BE24" i="9"/>
  <c r="BG24" i="9"/>
  <c r="BI24" i="9"/>
  <c r="BK24" i="9"/>
  <c r="BW24" i="9"/>
  <c r="BF24" i="9"/>
  <c r="BB25" i="9"/>
  <c r="BA25" i="9"/>
  <c r="BC25" i="9"/>
  <c r="BE25" i="9"/>
  <c r="BG25" i="9"/>
  <c r="BI25" i="9"/>
  <c r="BK25" i="9"/>
  <c r="BW25" i="9"/>
  <c r="BF25" i="9"/>
  <c r="BB26" i="9"/>
  <c r="BA26" i="9"/>
  <c r="BC26" i="9"/>
  <c r="BE26" i="9"/>
  <c r="BG26" i="9"/>
  <c r="BI26" i="9"/>
  <c r="BK26" i="9"/>
  <c r="BW26" i="9"/>
  <c r="BF26" i="9"/>
  <c r="BB27" i="9"/>
  <c r="BA27" i="9"/>
  <c r="BC27" i="9"/>
  <c r="BE27" i="9"/>
  <c r="BG27" i="9"/>
  <c r="BI27" i="9"/>
  <c r="BK27" i="9"/>
  <c r="BW27" i="9"/>
  <c r="BF27" i="9"/>
  <c r="BB28" i="9"/>
  <c r="BA28" i="9"/>
  <c r="BC28" i="9"/>
  <c r="BE28" i="9"/>
  <c r="BG28" i="9"/>
  <c r="BI28" i="9"/>
  <c r="BK28" i="9"/>
  <c r="BW28" i="9"/>
  <c r="BF28" i="9"/>
  <c r="BB29" i="9"/>
  <c r="BA29" i="9"/>
  <c r="BC29" i="9"/>
  <c r="BE29" i="9"/>
  <c r="BG29" i="9"/>
  <c r="BI29" i="9"/>
  <c r="BK29" i="9"/>
  <c r="BW29" i="9"/>
  <c r="BF29" i="9"/>
  <c r="BB30" i="9"/>
  <c r="BA30" i="9"/>
  <c r="BC30" i="9"/>
  <c r="BE30" i="9"/>
  <c r="BG30" i="9"/>
  <c r="BI30" i="9"/>
  <c r="BK30" i="9"/>
  <c r="BW30" i="9"/>
  <c r="BF30" i="9"/>
  <c r="BB31" i="9"/>
  <c r="BA31" i="9"/>
  <c r="BC31" i="9"/>
  <c r="BE31" i="9"/>
  <c r="BG31" i="9"/>
  <c r="BI31" i="9"/>
  <c r="BK31" i="9"/>
  <c r="BW31" i="9"/>
  <c r="BF31" i="9"/>
  <c r="BB32" i="9"/>
  <c r="BA32" i="9"/>
  <c r="BC32" i="9"/>
  <c r="BE32" i="9"/>
  <c r="BG32" i="9"/>
  <c r="BI32" i="9"/>
  <c r="BK32" i="9"/>
  <c r="BW32" i="9"/>
  <c r="BF32" i="9"/>
  <c r="BB33" i="9"/>
  <c r="BA33" i="9"/>
  <c r="BC33" i="9"/>
  <c r="BE33" i="9"/>
  <c r="BG33" i="9"/>
  <c r="BI33" i="9"/>
  <c r="BK33" i="9"/>
  <c r="BW33" i="9"/>
  <c r="BF33" i="9"/>
  <c r="BB34" i="9"/>
  <c r="BA34" i="9"/>
  <c r="BC34" i="9"/>
  <c r="BE34" i="9"/>
  <c r="BG34" i="9"/>
  <c r="BI34" i="9"/>
  <c r="BK34" i="9"/>
  <c r="BW34" i="9"/>
  <c r="BF34" i="9"/>
  <c r="BB35" i="9"/>
  <c r="BA35" i="9"/>
  <c r="BC35" i="9"/>
  <c r="BE35" i="9"/>
  <c r="BG35" i="9"/>
  <c r="BI35" i="9"/>
  <c r="BK35" i="9"/>
  <c r="BW35" i="9"/>
  <c r="BF35" i="9"/>
  <c r="BB36" i="9"/>
  <c r="BA36" i="9"/>
  <c r="BC36" i="9"/>
  <c r="BE36" i="9"/>
  <c r="BG36" i="9"/>
  <c r="BI36" i="9"/>
  <c r="BK36" i="9"/>
  <c r="BW36" i="9"/>
  <c r="BF36" i="9"/>
  <c r="BB37" i="9"/>
  <c r="BA37" i="9"/>
  <c r="BC37" i="9"/>
  <c r="BE37" i="9"/>
  <c r="BG37" i="9"/>
  <c r="BI37" i="9"/>
  <c r="BK37" i="9"/>
  <c r="BW37" i="9"/>
  <c r="BF37" i="9"/>
  <c r="BB38" i="9"/>
  <c r="BA38" i="9"/>
  <c r="BC38" i="9"/>
  <c r="BE38" i="9"/>
  <c r="BG38" i="9"/>
  <c r="BI38" i="9"/>
  <c r="BK38" i="9"/>
  <c r="BW38" i="9"/>
  <c r="BF38" i="9"/>
  <c r="BB39" i="9"/>
  <c r="BA39" i="9"/>
  <c r="BC39" i="9"/>
  <c r="BE39" i="9"/>
  <c r="BG39" i="9"/>
  <c r="BI39" i="9"/>
  <c r="BK39" i="9"/>
  <c r="BW39" i="9"/>
  <c r="BF39" i="9"/>
  <c r="BB40" i="9"/>
  <c r="BA40" i="9"/>
  <c r="BC40" i="9"/>
  <c r="BE40" i="9"/>
  <c r="BG40" i="9"/>
  <c r="BI40" i="9"/>
  <c r="BK40" i="9"/>
  <c r="BW40" i="9"/>
  <c r="BF40" i="9"/>
  <c r="BB41" i="9"/>
  <c r="BA41" i="9"/>
  <c r="BC41" i="9"/>
  <c r="BE41" i="9"/>
  <c r="BG41" i="9"/>
  <c r="BI41" i="9"/>
  <c r="BK41" i="9"/>
  <c r="BW41" i="9"/>
  <c r="BF41" i="9"/>
  <c r="BB42" i="9"/>
  <c r="BA42" i="9"/>
  <c r="BC42" i="9"/>
  <c r="BE42" i="9"/>
  <c r="BG42" i="9"/>
  <c r="BI42" i="9"/>
  <c r="BK42" i="9"/>
  <c r="BW42" i="9"/>
  <c r="BF42" i="9"/>
  <c r="BB43" i="9"/>
  <c r="BA43" i="9"/>
  <c r="BC43" i="9"/>
  <c r="BE43" i="9"/>
  <c r="BG43" i="9"/>
  <c r="BI43" i="9"/>
  <c r="BK43" i="9"/>
  <c r="BW43" i="9"/>
  <c r="BF43" i="9"/>
  <c r="BB44" i="9"/>
  <c r="BA44" i="9"/>
  <c r="BC44" i="9"/>
  <c r="BE44" i="9"/>
  <c r="BG44" i="9"/>
  <c r="BI44" i="9"/>
  <c r="BK44" i="9"/>
  <c r="BW44" i="9"/>
  <c r="BF44" i="9"/>
  <c r="BB45" i="9"/>
  <c r="BA45" i="9"/>
  <c r="BC45" i="9"/>
  <c r="BE45" i="9"/>
  <c r="BG45" i="9"/>
  <c r="BI45" i="9"/>
  <c r="BK45" i="9"/>
  <c r="BW45" i="9"/>
  <c r="BF45" i="9"/>
  <c r="BB46" i="9"/>
  <c r="BA46" i="9"/>
  <c r="BC46" i="9"/>
  <c r="BE46" i="9"/>
  <c r="BG46" i="9"/>
  <c r="BI46" i="9"/>
  <c r="BK46" i="9"/>
  <c r="BW46" i="9"/>
  <c r="BF46" i="9"/>
  <c r="BB47" i="9"/>
  <c r="BA47" i="9"/>
  <c r="BC47" i="9"/>
  <c r="BE47" i="9"/>
  <c r="BG47" i="9"/>
  <c r="BI47" i="9"/>
  <c r="BK47" i="9"/>
  <c r="BW47" i="9"/>
  <c r="BF47" i="9"/>
  <c r="BB48" i="9"/>
  <c r="BA48" i="9"/>
  <c r="BC48" i="9"/>
  <c r="BE48" i="9"/>
  <c r="BG48" i="9"/>
  <c r="BI48" i="9"/>
  <c r="BK48" i="9"/>
  <c r="BW48" i="9"/>
  <c r="BF48" i="9"/>
  <c r="BB49" i="9"/>
  <c r="BA49" i="9"/>
  <c r="BC49" i="9"/>
  <c r="BE49" i="9"/>
  <c r="BG49" i="9"/>
  <c r="BI49" i="9"/>
  <c r="BK49" i="9"/>
  <c r="BW49" i="9"/>
  <c r="BF49" i="9"/>
  <c r="BB50" i="9"/>
  <c r="BA50" i="9"/>
  <c r="BC50" i="9"/>
  <c r="BE50" i="9"/>
  <c r="BG50" i="9"/>
  <c r="BI50" i="9"/>
  <c r="BK50" i="9"/>
  <c r="BW50" i="9"/>
  <c r="BF50" i="9"/>
  <c r="BB51" i="9"/>
  <c r="BA51" i="9"/>
  <c r="BC51" i="9"/>
  <c r="BE51" i="9"/>
  <c r="BG51" i="9"/>
  <c r="BI51" i="9"/>
  <c r="BK51" i="9"/>
  <c r="BW51" i="9"/>
  <c r="BF51" i="9"/>
  <c r="BB52" i="9"/>
  <c r="BA52" i="9"/>
  <c r="BC52" i="9"/>
  <c r="BE52" i="9"/>
  <c r="BG52" i="9"/>
  <c r="BI52" i="9"/>
  <c r="BK52" i="9"/>
  <c r="BW52" i="9"/>
  <c r="BF52" i="9"/>
  <c r="BB53" i="9"/>
  <c r="BA53" i="9"/>
  <c r="BC53" i="9"/>
  <c r="BE53" i="9"/>
  <c r="BG53" i="9"/>
  <c r="BI53" i="9"/>
  <c r="BK53" i="9"/>
  <c r="BW53" i="9"/>
  <c r="BF53" i="9"/>
  <c r="BB54" i="9"/>
  <c r="BA54" i="9"/>
  <c r="BC54" i="9"/>
  <c r="BE54" i="9"/>
  <c r="BG54" i="9"/>
  <c r="BI54" i="9"/>
  <c r="BK54" i="9"/>
  <c r="BW54" i="9"/>
  <c r="BF54" i="9"/>
  <c r="BB55" i="9"/>
  <c r="BA55" i="9"/>
  <c r="BC55" i="9"/>
  <c r="BE55" i="9"/>
  <c r="BG55" i="9"/>
  <c r="BI55" i="9"/>
  <c r="BK55" i="9"/>
  <c r="BW55" i="9"/>
  <c r="BF55" i="9"/>
  <c r="BB56" i="9"/>
  <c r="BA56" i="9"/>
  <c r="BC56" i="9"/>
  <c r="BE56" i="9"/>
  <c r="BG56" i="9"/>
  <c r="BI56" i="9"/>
  <c r="BK56" i="9"/>
  <c r="BW56" i="9"/>
  <c r="BF56" i="9"/>
  <c r="BB57" i="9"/>
  <c r="BA57" i="9"/>
  <c r="BC57" i="9"/>
  <c r="BE57" i="9"/>
  <c r="BG57" i="9"/>
  <c r="BI57" i="9"/>
  <c r="BK57" i="9"/>
  <c r="BW57" i="9"/>
  <c r="BF57" i="9"/>
  <c r="BB58" i="9"/>
  <c r="BA58" i="9"/>
  <c r="BC58" i="9"/>
  <c r="BE58" i="9"/>
  <c r="BG58" i="9"/>
  <c r="BI58" i="9"/>
  <c r="BK58" i="9"/>
  <c r="BW58" i="9"/>
  <c r="BF58" i="9"/>
  <c r="BB59" i="9"/>
  <c r="BA59" i="9"/>
  <c r="BC59" i="9"/>
  <c r="BE59" i="9"/>
  <c r="BG59" i="9"/>
  <c r="BI59" i="9"/>
  <c r="BK59" i="9"/>
  <c r="BW59" i="9"/>
  <c r="BF59" i="9"/>
  <c r="BB60" i="9"/>
  <c r="BA60" i="9"/>
  <c r="BC60" i="9"/>
  <c r="BE60" i="9"/>
  <c r="BG60" i="9"/>
  <c r="BI60" i="9"/>
  <c r="BK60" i="9"/>
  <c r="BW60" i="9"/>
  <c r="BF60" i="9"/>
  <c r="BB61" i="9"/>
  <c r="BA61" i="9"/>
  <c r="BC61" i="9"/>
  <c r="BE61" i="9"/>
  <c r="BG61" i="9"/>
  <c r="BI61" i="9"/>
  <c r="BK61" i="9"/>
  <c r="BW61" i="9"/>
  <c r="BF61" i="9"/>
  <c r="BB62" i="9"/>
  <c r="BA62" i="9"/>
  <c r="BC62" i="9"/>
  <c r="BE62" i="9"/>
  <c r="BG62" i="9"/>
  <c r="BI62" i="9"/>
  <c r="BK62" i="9"/>
  <c r="BW62" i="9"/>
  <c r="BF62" i="9"/>
  <c r="BB63" i="9"/>
  <c r="BA63" i="9"/>
  <c r="BC63" i="9"/>
  <c r="BE63" i="9"/>
  <c r="BG63" i="9"/>
  <c r="BI63" i="9"/>
  <c r="BK63" i="9"/>
  <c r="BW63" i="9"/>
  <c r="BF63" i="9"/>
  <c r="BB64" i="9"/>
  <c r="BA64" i="9"/>
  <c r="BC64" i="9"/>
  <c r="BE64" i="9"/>
  <c r="BG64" i="9"/>
  <c r="BI64" i="9"/>
  <c r="BK64" i="9"/>
  <c r="BW64" i="9"/>
  <c r="BF64" i="9"/>
  <c r="BB65" i="9"/>
  <c r="BA65" i="9"/>
  <c r="BC65" i="9"/>
  <c r="BE65" i="9"/>
  <c r="BG65" i="9"/>
  <c r="BI65" i="9"/>
  <c r="BK65" i="9"/>
  <c r="BW65" i="9"/>
  <c r="BF65" i="9"/>
  <c r="BB66" i="9"/>
  <c r="BA66" i="9"/>
  <c r="BC66" i="9"/>
  <c r="BE66" i="9"/>
  <c r="BG66" i="9"/>
  <c r="BI66" i="9"/>
  <c r="BK66" i="9"/>
  <c r="BW66" i="9"/>
  <c r="BF66" i="9"/>
  <c r="BB67" i="9"/>
  <c r="BA67" i="9"/>
  <c r="BC67" i="9"/>
  <c r="BE67" i="9"/>
  <c r="BG67" i="9"/>
  <c r="BI67" i="9"/>
  <c r="BK67" i="9"/>
  <c r="BW67" i="9"/>
  <c r="BF67" i="9"/>
  <c r="BB68" i="9"/>
  <c r="BA68" i="9"/>
  <c r="BC68" i="9"/>
  <c r="BE68" i="9"/>
  <c r="BG68" i="9"/>
  <c r="BI68" i="9"/>
  <c r="BK68" i="9"/>
  <c r="BW68" i="9"/>
  <c r="BF68" i="9"/>
  <c r="BB69" i="9"/>
  <c r="BA69" i="9"/>
  <c r="BC69" i="9"/>
  <c r="BE69" i="9"/>
  <c r="BG69" i="9"/>
  <c r="BI69" i="9"/>
  <c r="BK69" i="9"/>
  <c r="BW69" i="9"/>
  <c r="BF69" i="9"/>
  <c r="BB70" i="9"/>
  <c r="BA70" i="9"/>
  <c r="BC70" i="9"/>
  <c r="BE70" i="9"/>
  <c r="BK70" i="9"/>
  <c r="BW70" i="9"/>
  <c r="BF70" i="9"/>
  <c r="BD11" i="9"/>
  <c r="BD12" i="9"/>
  <c r="BD13" i="9"/>
  <c r="BD14" i="9"/>
  <c r="BD15" i="9"/>
  <c r="BD16" i="9"/>
  <c r="BD17" i="9"/>
  <c r="BD18" i="9"/>
  <c r="BD19" i="9"/>
  <c r="BD20" i="9"/>
  <c r="BD21" i="9"/>
  <c r="BD22" i="9"/>
  <c r="BD23" i="9"/>
  <c r="BD24" i="9"/>
  <c r="BD25" i="9"/>
  <c r="BD26" i="9"/>
  <c r="BD27" i="9"/>
  <c r="BD28" i="9"/>
  <c r="BD29" i="9"/>
  <c r="BD30" i="9"/>
  <c r="BD31" i="9"/>
  <c r="BD32" i="9"/>
  <c r="BD33" i="9"/>
  <c r="BD34" i="9"/>
  <c r="BD35" i="9"/>
  <c r="BD36" i="9"/>
  <c r="BD37" i="9"/>
  <c r="BD38" i="9"/>
  <c r="BD39" i="9"/>
  <c r="BD40" i="9"/>
  <c r="BD41" i="9"/>
  <c r="BD42" i="9"/>
  <c r="BD43" i="9"/>
  <c r="BD44" i="9"/>
  <c r="BD45" i="9"/>
  <c r="BD46" i="9"/>
  <c r="BD47" i="9"/>
  <c r="BD48" i="9"/>
  <c r="BD49" i="9"/>
  <c r="BD50" i="9"/>
  <c r="BD51" i="9"/>
  <c r="BD52" i="9"/>
  <c r="BD53" i="9"/>
  <c r="BD54" i="9"/>
  <c r="BD55" i="9"/>
  <c r="BD56" i="9"/>
  <c r="BD57" i="9"/>
  <c r="BD58" i="9"/>
  <c r="BD59" i="9"/>
  <c r="BD60" i="9"/>
  <c r="BD61" i="9"/>
  <c r="BD62" i="9"/>
  <c r="BD63" i="9"/>
  <c r="BD64" i="9"/>
  <c r="BD65" i="9"/>
  <c r="BD66" i="9"/>
  <c r="BD67" i="9"/>
  <c r="BD68" i="9"/>
  <c r="BD69" i="9"/>
  <c r="BD70" i="9"/>
  <c r="BD9" i="9"/>
  <c r="A10" i="16"/>
  <c r="BA11" i="11"/>
  <c r="BC11" i="11"/>
  <c r="BE11" i="11"/>
  <c r="BG11" i="11"/>
  <c r="BI11" i="11"/>
  <c r="BK11" i="11"/>
  <c r="BW11" i="11"/>
  <c r="BF11" i="11"/>
  <c r="BB12" i="11"/>
  <c r="BA12" i="11"/>
  <c r="BC12" i="11"/>
  <c r="BE12" i="11"/>
  <c r="BG12" i="11"/>
  <c r="BI12" i="11"/>
  <c r="BK12" i="11"/>
  <c r="BW12" i="11"/>
  <c r="BF12" i="11"/>
  <c r="BB13" i="11"/>
  <c r="BA13" i="11"/>
  <c r="BC13" i="11"/>
  <c r="BE13" i="11"/>
  <c r="BG13" i="11"/>
  <c r="BI13" i="11"/>
  <c r="BK13" i="11"/>
  <c r="BW13" i="11"/>
  <c r="BF13" i="11"/>
  <c r="BB14" i="11"/>
  <c r="BA14" i="11"/>
  <c r="BC14" i="11"/>
  <c r="BE14" i="11"/>
  <c r="BG14" i="11"/>
  <c r="BI14" i="11"/>
  <c r="BK14" i="11"/>
  <c r="BW14" i="11"/>
  <c r="BF14" i="11"/>
  <c r="BB15" i="11"/>
  <c r="BA15" i="11"/>
  <c r="BC15" i="11"/>
  <c r="BE15" i="11"/>
  <c r="BG15" i="11"/>
  <c r="BI15" i="11"/>
  <c r="BK15" i="11"/>
  <c r="BW15" i="11"/>
  <c r="BF15" i="11"/>
  <c r="BB16" i="11"/>
  <c r="BA16" i="11"/>
  <c r="BC16" i="11"/>
  <c r="BE16" i="11"/>
  <c r="BG16" i="11"/>
  <c r="BI16" i="11"/>
  <c r="BK16" i="11"/>
  <c r="BW16" i="11"/>
  <c r="BF16" i="11"/>
  <c r="BB17" i="11"/>
  <c r="BA17" i="11"/>
  <c r="BC17" i="11"/>
  <c r="BE17" i="11"/>
  <c r="BG17" i="11"/>
  <c r="BI17" i="11"/>
  <c r="BK17" i="11"/>
  <c r="BW17" i="11"/>
  <c r="BF17" i="11"/>
  <c r="BB18" i="11"/>
  <c r="BA18" i="11"/>
  <c r="BC18" i="11"/>
  <c r="BE18" i="11"/>
  <c r="BG18" i="11"/>
  <c r="BI18" i="11"/>
  <c r="BK18" i="11"/>
  <c r="BW18" i="11"/>
  <c r="BF18" i="11"/>
  <c r="BB19" i="11"/>
  <c r="BA19" i="11"/>
  <c r="BC19" i="11"/>
  <c r="BE19" i="11"/>
  <c r="BG19" i="11"/>
  <c r="BI19" i="11"/>
  <c r="BK19" i="11"/>
  <c r="BW19" i="11"/>
  <c r="BF19" i="11"/>
  <c r="BB20" i="11"/>
  <c r="BA20" i="11"/>
  <c r="BC20" i="11"/>
  <c r="BE20" i="11"/>
  <c r="BG20" i="11"/>
  <c r="BI20" i="11"/>
  <c r="BK20" i="11"/>
  <c r="BW20" i="11"/>
  <c r="BF20" i="11"/>
  <c r="BB21" i="11"/>
  <c r="BA21" i="11"/>
  <c r="BC21" i="11"/>
  <c r="BE21" i="11"/>
  <c r="BG21" i="11"/>
  <c r="BI21" i="11"/>
  <c r="BK21" i="11"/>
  <c r="BW21" i="11"/>
  <c r="BF21" i="11"/>
  <c r="BB22" i="11"/>
  <c r="BA22" i="11"/>
  <c r="BC22" i="11"/>
  <c r="BE22" i="11"/>
  <c r="BG22" i="11"/>
  <c r="BI22" i="11"/>
  <c r="BK22" i="11"/>
  <c r="BW22" i="11"/>
  <c r="BF22" i="11"/>
  <c r="BB23" i="11"/>
  <c r="BA23" i="11"/>
  <c r="BC23" i="11"/>
  <c r="BE23" i="11"/>
  <c r="BG23" i="11"/>
  <c r="BI23" i="11"/>
  <c r="BK23" i="11"/>
  <c r="BW23" i="11"/>
  <c r="BF23" i="11"/>
  <c r="BB24" i="11"/>
  <c r="BA24" i="11"/>
  <c r="BC24" i="11"/>
  <c r="BE24" i="11"/>
  <c r="BG24" i="11"/>
  <c r="BI24" i="11"/>
  <c r="BK24" i="11"/>
  <c r="BW24" i="11"/>
  <c r="BF24" i="11"/>
  <c r="BB25" i="11"/>
  <c r="BA25" i="11"/>
  <c r="BC25" i="11"/>
  <c r="BE25" i="11"/>
  <c r="BG25" i="11"/>
  <c r="BI25" i="11"/>
  <c r="BK25" i="11"/>
  <c r="BW25" i="11"/>
  <c r="BF25" i="11"/>
  <c r="BB26" i="11"/>
  <c r="BA26" i="11"/>
  <c r="BC26" i="11"/>
  <c r="BE26" i="11"/>
  <c r="BG26" i="11"/>
  <c r="BI26" i="11"/>
  <c r="BK26" i="11"/>
  <c r="BW26" i="11"/>
  <c r="BF26" i="11"/>
  <c r="BB27" i="11"/>
  <c r="BA27" i="11"/>
  <c r="BC27" i="11"/>
  <c r="BE27" i="11"/>
  <c r="BG27" i="11"/>
  <c r="BI27" i="11"/>
  <c r="BK27" i="11"/>
  <c r="BW27" i="11"/>
  <c r="BF27" i="11"/>
  <c r="BB28" i="11"/>
  <c r="BA28" i="11"/>
  <c r="BC28" i="11"/>
  <c r="BE28" i="11"/>
  <c r="BG28" i="11"/>
  <c r="BI28" i="11"/>
  <c r="BK28" i="11"/>
  <c r="BW28" i="11"/>
  <c r="BF28" i="11"/>
  <c r="BB29" i="11"/>
  <c r="BA29" i="11"/>
  <c r="BC29" i="11"/>
  <c r="BE29" i="11"/>
  <c r="BG29" i="11"/>
  <c r="BI29" i="11"/>
  <c r="BK29" i="11"/>
  <c r="BW29" i="11"/>
  <c r="BF29" i="11"/>
  <c r="BB30" i="11"/>
  <c r="BA30" i="11"/>
  <c r="BC30" i="11"/>
  <c r="BE30" i="11"/>
  <c r="BG30" i="11"/>
  <c r="BI30" i="11"/>
  <c r="BK30" i="11"/>
  <c r="BW30" i="11"/>
  <c r="BF30" i="11"/>
  <c r="BB31" i="11"/>
  <c r="BA31" i="11"/>
  <c r="BC31" i="11"/>
  <c r="BE31" i="11"/>
  <c r="BG31" i="11"/>
  <c r="BI31" i="11"/>
  <c r="BK31" i="11"/>
  <c r="BW31" i="11"/>
  <c r="BF31" i="11"/>
  <c r="BB32" i="11"/>
  <c r="BA32" i="11"/>
  <c r="BC32" i="11"/>
  <c r="BE32" i="11"/>
  <c r="BG32" i="11"/>
  <c r="BI32" i="11"/>
  <c r="BK32" i="11"/>
  <c r="BW32" i="11"/>
  <c r="BF32" i="11"/>
  <c r="BB33" i="11"/>
  <c r="BA33" i="11"/>
  <c r="BC33" i="11"/>
  <c r="BE33" i="11"/>
  <c r="BG33" i="11"/>
  <c r="BI33" i="11"/>
  <c r="BK33" i="11"/>
  <c r="BW33" i="11"/>
  <c r="BF33" i="11"/>
  <c r="BB34" i="11"/>
  <c r="BA34" i="11"/>
  <c r="BC34" i="11"/>
  <c r="BE34" i="11"/>
  <c r="BG34" i="11"/>
  <c r="BI34" i="11"/>
  <c r="BK34" i="11"/>
  <c r="BW34" i="11"/>
  <c r="BF34" i="11"/>
  <c r="BB35" i="11"/>
  <c r="BA35" i="11"/>
  <c r="BC35" i="11"/>
  <c r="BE35" i="11"/>
  <c r="BG35" i="11"/>
  <c r="BI35" i="11"/>
  <c r="BK35" i="11"/>
  <c r="BW35" i="11"/>
  <c r="BF35" i="11"/>
  <c r="BB36" i="11"/>
  <c r="BA36" i="11"/>
  <c r="BC36" i="11"/>
  <c r="BE36" i="11"/>
  <c r="BG36" i="11"/>
  <c r="BI36" i="11"/>
  <c r="BK36" i="11"/>
  <c r="BW36" i="11"/>
  <c r="BF36" i="11"/>
  <c r="BB37" i="11"/>
  <c r="BA37" i="11"/>
  <c r="BC37" i="11"/>
  <c r="BE37" i="11"/>
  <c r="BG37" i="11"/>
  <c r="BI37" i="11"/>
  <c r="BK37" i="11"/>
  <c r="BW37" i="11"/>
  <c r="BF37" i="11"/>
  <c r="BB38" i="11"/>
  <c r="BA38" i="11"/>
  <c r="BC38" i="11"/>
  <c r="BE38" i="11"/>
  <c r="BG38" i="11"/>
  <c r="BI38" i="11"/>
  <c r="BK38" i="11"/>
  <c r="BW38" i="11"/>
  <c r="BF38" i="11"/>
  <c r="BB39" i="11"/>
  <c r="BA39" i="11"/>
  <c r="BC39" i="11"/>
  <c r="BE39" i="11"/>
  <c r="BG39" i="11"/>
  <c r="BI39" i="11"/>
  <c r="BK39" i="11"/>
  <c r="BW39" i="11"/>
  <c r="BF39" i="11"/>
  <c r="BB40" i="11"/>
  <c r="BA40" i="11"/>
  <c r="BC40" i="11"/>
  <c r="BE40" i="11"/>
  <c r="BG40" i="11"/>
  <c r="BI40" i="11"/>
  <c r="BK40" i="11"/>
  <c r="BW40" i="11"/>
  <c r="BF40" i="11"/>
  <c r="BB41" i="11"/>
  <c r="BA41" i="11"/>
  <c r="BC41" i="11"/>
  <c r="BE41" i="11"/>
  <c r="BG41" i="11"/>
  <c r="BI41" i="11"/>
  <c r="BK41" i="11"/>
  <c r="BW41" i="11"/>
  <c r="BF41" i="11"/>
  <c r="BB42" i="11"/>
  <c r="BA42" i="11"/>
  <c r="BC42" i="11"/>
  <c r="BE42" i="11"/>
  <c r="BG42" i="11"/>
  <c r="BI42" i="11"/>
  <c r="BK42" i="11"/>
  <c r="BW42" i="11"/>
  <c r="BF42" i="11"/>
  <c r="BB43" i="11"/>
  <c r="BA43" i="11"/>
  <c r="BC43" i="11"/>
  <c r="BE43" i="11"/>
  <c r="BG43" i="11"/>
  <c r="BI43" i="11"/>
  <c r="BK43" i="11"/>
  <c r="BW43" i="11"/>
  <c r="BF43" i="11"/>
  <c r="BB44" i="11"/>
  <c r="BA44" i="11"/>
  <c r="BC44" i="11"/>
  <c r="BE44" i="11"/>
  <c r="BG44" i="11"/>
  <c r="BI44" i="11"/>
  <c r="BK44" i="11"/>
  <c r="BW44" i="11"/>
  <c r="BF44" i="11"/>
  <c r="BB45" i="11"/>
  <c r="BA45" i="11"/>
  <c r="BC45" i="11"/>
  <c r="BE45" i="11"/>
  <c r="BG45" i="11"/>
  <c r="BI45" i="11"/>
  <c r="BK45" i="11"/>
  <c r="BW45" i="11"/>
  <c r="BF45" i="11"/>
  <c r="BB46" i="11"/>
  <c r="BA46" i="11"/>
  <c r="BC46" i="11"/>
  <c r="BE46" i="11"/>
  <c r="BG46" i="11"/>
  <c r="BI46" i="11"/>
  <c r="BK46" i="11"/>
  <c r="BW46" i="11"/>
  <c r="BF46" i="11"/>
  <c r="BB47" i="11"/>
  <c r="BA47" i="11"/>
  <c r="BC47" i="11"/>
  <c r="BE47" i="11"/>
  <c r="BG47" i="11"/>
  <c r="BI47" i="11"/>
  <c r="BK47" i="11"/>
  <c r="BW47" i="11"/>
  <c r="BF47" i="11"/>
  <c r="BB48" i="11"/>
  <c r="BA48" i="11"/>
  <c r="BC48" i="11"/>
  <c r="BE48" i="11"/>
  <c r="BG48" i="11"/>
  <c r="BI48" i="11"/>
  <c r="BK48" i="11"/>
  <c r="BW48" i="11"/>
  <c r="BF48" i="11"/>
  <c r="BB49" i="11"/>
  <c r="BA49" i="11"/>
  <c r="BC49" i="11"/>
  <c r="BE49" i="11"/>
  <c r="BG49" i="11"/>
  <c r="BI49" i="11"/>
  <c r="BK49" i="11"/>
  <c r="BW49" i="11"/>
  <c r="BF49" i="11"/>
  <c r="BB50" i="11"/>
  <c r="BA50" i="11"/>
  <c r="BC50" i="11"/>
  <c r="BE50" i="11"/>
  <c r="BG50" i="11"/>
  <c r="BI50" i="11"/>
  <c r="BK50" i="11"/>
  <c r="BW50" i="11"/>
  <c r="BF50" i="11"/>
  <c r="BB51" i="11"/>
  <c r="BA51" i="11"/>
  <c r="BC51" i="11"/>
  <c r="BE51" i="11"/>
  <c r="BG51" i="11"/>
  <c r="BI51" i="11"/>
  <c r="BK51" i="11"/>
  <c r="BW51" i="11"/>
  <c r="BF51" i="11"/>
  <c r="BB52" i="11"/>
  <c r="BA52" i="11"/>
  <c r="BC52" i="11"/>
  <c r="BE52" i="11"/>
  <c r="BG52" i="11"/>
  <c r="BI52" i="11"/>
  <c r="BK52" i="11"/>
  <c r="BW52" i="11"/>
  <c r="BF52" i="11"/>
  <c r="BB53" i="11"/>
  <c r="BA53" i="11"/>
  <c r="BC53" i="11"/>
  <c r="BE53" i="11"/>
  <c r="BG53" i="11"/>
  <c r="BI53" i="11"/>
  <c r="BK53" i="11"/>
  <c r="BW53" i="11"/>
  <c r="BF53" i="11"/>
  <c r="BB54" i="11"/>
  <c r="BA54" i="11"/>
  <c r="BC54" i="11"/>
  <c r="BE54" i="11"/>
  <c r="BG54" i="11"/>
  <c r="BI54" i="11"/>
  <c r="BK54" i="11"/>
  <c r="BW54" i="11"/>
  <c r="BF54" i="11"/>
  <c r="BB55" i="11"/>
  <c r="BA55" i="11"/>
  <c r="BC55" i="11"/>
  <c r="BE55" i="11"/>
  <c r="BG55" i="11"/>
  <c r="BI55" i="11"/>
  <c r="BK55" i="11"/>
  <c r="BW55" i="11"/>
  <c r="BF55" i="11"/>
  <c r="BB56" i="11"/>
  <c r="BA56" i="11"/>
  <c r="BC56" i="11"/>
  <c r="BE56" i="11"/>
  <c r="BG56" i="11"/>
  <c r="BI56" i="11"/>
  <c r="BK56" i="11"/>
  <c r="BW56" i="11"/>
  <c r="BF56" i="11"/>
  <c r="BB57" i="11"/>
  <c r="BA57" i="11"/>
  <c r="BC57" i="11"/>
  <c r="BE57" i="11"/>
  <c r="BG57" i="11"/>
  <c r="BI57" i="11"/>
  <c r="BK57" i="11"/>
  <c r="BW57" i="11"/>
  <c r="BF57" i="11"/>
  <c r="BB58" i="11"/>
  <c r="BA58" i="11"/>
  <c r="BC58" i="11"/>
  <c r="BE58" i="11"/>
  <c r="BG58" i="11"/>
  <c r="BI58" i="11"/>
  <c r="BK58" i="11"/>
  <c r="BW58" i="11"/>
  <c r="BF58" i="11"/>
  <c r="BB59" i="11"/>
  <c r="BA59" i="11"/>
  <c r="BC59" i="11"/>
  <c r="BE59" i="11"/>
  <c r="BG59" i="11"/>
  <c r="BI59" i="11"/>
  <c r="BK59" i="11"/>
  <c r="BW59" i="11"/>
  <c r="BF59" i="11"/>
  <c r="BB60" i="11"/>
  <c r="BA60" i="11"/>
  <c r="BC60" i="11"/>
  <c r="BE60" i="11"/>
  <c r="BG60" i="11"/>
  <c r="BI60" i="11"/>
  <c r="BK60" i="11"/>
  <c r="BW60" i="11"/>
  <c r="BF60" i="11"/>
  <c r="BB61" i="11"/>
  <c r="BA61" i="11"/>
  <c r="BC61" i="11"/>
  <c r="BE61" i="11"/>
  <c r="BG61" i="11"/>
  <c r="BI61" i="11"/>
  <c r="BK61" i="11"/>
  <c r="BW61" i="11"/>
  <c r="BF61" i="11"/>
  <c r="BB62" i="11"/>
  <c r="BA62" i="11"/>
  <c r="BC62" i="11"/>
  <c r="BE62" i="11"/>
  <c r="BG62" i="11"/>
  <c r="BI62" i="11"/>
  <c r="BK62" i="11"/>
  <c r="BW62" i="11"/>
  <c r="BF62" i="11"/>
  <c r="BB63" i="11"/>
  <c r="BA63" i="11"/>
  <c r="BC63" i="11"/>
  <c r="BE63" i="11"/>
  <c r="BG63" i="11"/>
  <c r="BI63" i="11"/>
  <c r="BK63" i="11"/>
  <c r="BW63" i="11"/>
  <c r="BF63" i="11"/>
  <c r="BB64" i="11"/>
  <c r="BA64" i="11"/>
  <c r="BC64" i="11"/>
  <c r="BE64" i="11"/>
  <c r="BG64" i="11"/>
  <c r="BI64" i="11"/>
  <c r="BK64" i="11"/>
  <c r="BW64" i="11"/>
  <c r="BF64" i="11"/>
  <c r="BB65" i="11"/>
  <c r="BA65" i="11"/>
  <c r="BC65" i="11"/>
  <c r="BE65" i="11"/>
  <c r="BG65" i="11"/>
  <c r="BI65" i="11"/>
  <c r="BK65" i="11"/>
  <c r="BW65" i="11"/>
  <c r="BF65" i="11"/>
  <c r="BB66" i="11"/>
  <c r="BA66" i="11"/>
  <c r="BC66" i="11"/>
  <c r="BE66" i="11"/>
  <c r="BG66" i="11"/>
  <c r="BI66" i="11"/>
  <c r="BK66" i="11"/>
  <c r="BW66" i="11"/>
  <c r="BF66" i="11"/>
  <c r="BB67" i="11"/>
  <c r="BA67" i="11"/>
  <c r="BC67" i="11"/>
  <c r="BE67" i="11"/>
  <c r="BG67" i="11"/>
  <c r="BI67" i="11"/>
  <c r="BK67" i="11"/>
  <c r="BW67" i="11"/>
  <c r="BF67" i="11"/>
  <c r="BB68" i="11"/>
  <c r="BA68" i="11"/>
  <c r="BC68" i="11"/>
  <c r="BE68" i="11"/>
  <c r="BG68" i="11"/>
  <c r="BI68" i="11"/>
  <c r="BK68" i="11"/>
  <c r="BW68" i="11"/>
  <c r="BF68" i="11"/>
  <c r="BB69" i="11"/>
  <c r="BA69" i="11"/>
  <c r="BC69" i="11"/>
  <c r="BE69" i="11"/>
  <c r="BG69" i="11"/>
  <c r="BI69" i="11"/>
  <c r="BK69" i="11"/>
  <c r="BW69" i="11"/>
  <c r="BF69" i="11"/>
  <c r="BB70" i="11"/>
  <c r="BA70" i="11"/>
  <c r="BC70" i="11"/>
  <c r="BE70" i="11"/>
  <c r="BG70" i="11"/>
  <c r="BI70" i="11"/>
  <c r="BK70" i="11"/>
  <c r="BW70" i="11"/>
  <c r="BF70" i="11"/>
  <c r="BB71" i="11"/>
  <c r="BA71" i="11"/>
  <c r="BC71" i="11"/>
  <c r="BE71" i="11"/>
  <c r="BG71" i="11"/>
  <c r="BI71" i="11"/>
  <c r="BK71" i="11"/>
  <c r="BW71" i="11"/>
  <c r="BF71" i="11"/>
  <c r="BB72" i="11"/>
  <c r="BA72" i="11"/>
  <c r="BC72" i="11"/>
  <c r="BE72" i="11"/>
  <c r="BK72" i="11"/>
  <c r="BW72" i="11"/>
  <c r="BF72" i="11"/>
  <c r="BA73" i="11"/>
  <c r="BC73" i="11"/>
  <c r="BE73" i="11"/>
  <c r="BK73" i="11"/>
  <c r="BW73" i="11"/>
  <c r="BF73" i="11"/>
  <c r="BA74" i="11"/>
  <c r="BC74" i="11"/>
  <c r="BE74" i="11"/>
  <c r="BK74" i="11"/>
  <c r="BW74" i="11"/>
  <c r="BF74" i="11"/>
  <c r="BA75" i="11"/>
  <c r="BC75" i="11"/>
  <c r="BE75" i="11"/>
  <c r="BK75" i="11"/>
  <c r="BW75" i="11"/>
  <c r="BF75" i="11"/>
  <c r="BA76" i="11"/>
  <c r="BC76" i="11"/>
  <c r="BE76" i="11"/>
  <c r="BK76" i="11"/>
  <c r="BW76" i="11"/>
  <c r="BF76" i="11"/>
  <c r="BA77" i="11"/>
  <c r="BC77" i="11"/>
  <c r="BE77" i="11"/>
  <c r="BK77" i="11"/>
  <c r="BW77" i="11"/>
  <c r="BF77" i="11"/>
  <c r="BA78" i="11"/>
  <c r="BC78" i="11"/>
  <c r="BE78" i="11"/>
  <c r="BK78" i="11"/>
  <c r="BW78" i="11"/>
  <c r="BF78" i="11"/>
  <c r="BA79" i="11"/>
  <c r="BC79" i="11"/>
  <c r="BE79" i="11"/>
  <c r="BK79" i="11"/>
  <c r="BW79" i="11"/>
  <c r="BF79" i="11"/>
  <c r="BA80" i="11"/>
  <c r="BC80" i="11"/>
  <c r="BE80" i="11"/>
  <c r="BK80" i="11"/>
  <c r="BW80" i="11"/>
  <c r="BF80" i="11"/>
  <c r="BA81" i="11"/>
  <c r="BC81" i="11"/>
  <c r="BE81" i="11"/>
  <c r="BK81" i="11"/>
  <c r="BW81" i="11"/>
  <c r="BF81" i="11"/>
  <c r="BA82" i="11"/>
  <c r="BC82" i="11"/>
  <c r="BE82" i="11"/>
  <c r="BK82" i="11"/>
  <c r="BW82" i="11"/>
  <c r="BF82" i="11"/>
  <c r="BA83" i="11"/>
  <c r="BC83" i="11"/>
  <c r="BE83" i="11"/>
  <c r="BK83" i="11"/>
  <c r="BW83" i="11"/>
  <c r="BF83" i="11"/>
  <c r="BA84" i="11"/>
  <c r="BC84" i="11"/>
  <c r="BE84" i="11"/>
  <c r="BK84" i="11"/>
  <c r="BW84" i="11"/>
  <c r="BF84" i="11"/>
  <c r="BA85" i="11"/>
  <c r="BC85" i="11"/>
  <c r="BE85" i="11"/>
  <c r="BK85" i="11"/>
  <c r="BW85" i="11"/>
  <c r="BF85" i="11"/>
  <c r="BA86" i="11"/>
  <c r="BC86" i="11"/>
  <c r="BE86" i="11"/>
  <c r="BK86" i="11"/>
  <c r="BW86" i="11"/>
  <c r="BF86" i="11"/>
  <c r="BA87" i="11"/>
  <c r="BC87" i="11"/>
  <c r="BE87" i="11"/>
  <c r="BK87" i="11"/>
  <c r="BW87" i="11"/>
  <c r="BF87" i="11"/>
  <c r="BA88" i="11"/>
  <c r="BC88" i="11"/>
  <c r="BE88" i="11"/>
  <c r="BK88" i="11"/>
  <c r="BW88" i="11"/>
  <c r="BF88" i="11"/>
  <c r="BA89" i="11"/>
  <c r="BC89" i="11"/>
  <c r="BE89" i="11"/>
  <c r="BK89" i="11"/>
  <c r="BW89" i="11"/>
  <c r="BF89" i="11"/>
  <c r="BA90" i="11"/>
  <c r="BC90" i="11"/>
  <c r="BE90" i="11"/>
  <c r="BK90" i="11"/>
  <c r="BW90" i="11"/>
  <c r="BF90" i="11"/>
  <c r="BA91" i="11"/>
  <c r="BC91" i="11"/>
  <c r="BE91" i="11"/>
  <c r="BK91" i="11"/>
  <c r="BW91" i="11"/>
  <c r="BF91" i="11"/>
  <c r="BA92" i="11"/>
  <c r="BC92" i="11"/>
  <c r="BE92" i="11"/>
  <c r="BK92" i="11"/>
  <c r="BW92" i="11"/>
  <c r="BF92" i="11"/>
  <c r="BA93" i="11"/>
  <c r="BC93" i="11"/>
  <c r="BE93" i="11"/>
  <c r="BK93" i="11"/>
  <c r="BW93" i="11"/>
  <c r="BF93" i="11"/>
  <c r="BA94" i="11"/>
  <c r="BC94" i="11"/>
  <c r="BE94" i="11"/>
  <c r="BK94" i="11"/>
  <c r="BW94" i="11"/>
  <c r="BF94" i="11"/>
  <c r="BA95" i="11"/>
  <c r="BC95" i="11"/>
  <c r="BE95" i="11"/>
  <c r="BK95" i="11"/>
  <c r="BW95" i="11"/>
  <c r="BF95" i="11"/>
  <c r="BA96" i="11"/>
  <c r="BC96" i="11"/>
  <c r="BE96" i="11"/>
  <c r="BK96" i="11"/>
  <c r="BW96" i="11"/>
  <c r="BF96" i="11"/>
  <c r="BA97" i="11"/>
  <c r="BC97" i="11"/>
  <c r="BE97" i="11"/>
  <c r="BK97" i="11"/>
  <c r="BW97" i="11"/>
  <c r="BF97" i="11"/>
  <c r="BA98" i="11"/>
  <c r="BC98" i="11"/>
  <c r="BE98" i="11"/>
  <c r="BK98" i="11"/>
  <c r="BW98" i="11"/>
  <c r="BF98" i="11"/>
  <c r="BA99" i="11"/>
  <c r="BC99" i="11"/>
  <c r="BE99" i="11"/>
  <c r="BK99" i="11"/>
  <c r="BW99" i="11"/>
  <c r="BF99" i="11"/>
  <c r="BA100" i="11"/>
  <c r="BC100" i="11"/>
  <c r="BE100" i="11"/>
  <c r="BK100" i="11"/>
  <c r="BW100" i="11"/>
  <c r="BF100" i="11"/>
  <c r="BD11" i="11"/>
  <c r="BD12" i="11"/>
  <c r="BD13" i="11"/>
  <c r="BD14" i="11"/>
  <c r="BD15" i="11"/>
  <c r="BD16" i="11"/>
  <c r="BD17" i="11"/>
  <c r="BD18" i="11"/>
  <c r="BD19" i="11"/>
  <c r="BD20" i="11"/>
  <c r="BD21" i="11"/>
  <c r="BD22" i="11"/>
  <c r="BD23" i="11"/>
  <c r="BD24" i="11"/>
  <c r="BD25" i="11"/>
  <c r="BD26" i="11"/>
  <c r="BD27" i="11"/>
  <c r="BD28" i="11"/>
  <c r="BD29" i="11"/>
  <c r="BD30" i="11"/>
  <c r="BD31" i="11"/>
  <c r="BD32" i="11"/>
  <c r="BD33" i="11"/>
  <c r="BD34" i="11"/>
  <c r="BD35" i="11"/>
  <c r="BD36" i="11"/>
  <c r="BD37" i="11"/>
  <c r="BD38" i="11"/>
  <c r="BD39" i="11"/>
  <c r="BD40" i="11"/>
  <c r="BD41" i="11"/>
  <c r="BD42" i="11"/>
  <c r="BD43" i="11"/>
  <c r="BD44" i="11"/>
  <c r="BD45" i="11"/>
  <c r="BD46" i="11"/>
  <c r="BD47" i="11"/>
  <c r="BD48" i="11"/>
  <c r="BD49" i="11"/>
  <c r="BD50" i="11"/>
  <c r="BD51" i="11"/>
  <c r="BD52" i="11"/>
  <c r="BD53" i="11"/>
  <c r="BD54" i="11"/>
  <c r="BD55" i="11"/>
  <c r="BD56" i="11"/>
  <c r="BD57" i="11"/>
  <c r="BD58" i="11"/>
  <c r="BD59" i="11"/>
  <c r="BD60" i="11"/>
  <c r="BD61" i="11"/>
  <c r="BD62" i="11"/>
  <c r="BD63" i="11"/>
  <c r="BD64" i="11"/>
  <c r="BD65" i="11"/>
  <c r="BD66" i="11"/>
  <c r="BD67" i="11"/>
  <c r="BD68" i="11"/>
  <c r="BD69" i="11"/>
  <c r="BD70" i="11"/>
  <c r="BD71" i="11"/>
  <c r="BD72" i="11"/>
  <c r="BD73" i="11"/>
  <c r="BD74" i="11"/>
  <c r="BD75" i="11"/>
  <c r="BD76" i="11"/>
  <c r="BD77" i="11"/>
  <c r="BD78" i="11"/>
  <c r="BD79" i="11"/>
  <c r="BD80" i="11"/>
  <c r="BD81" i="11"/>
  <c r="BD82" i="11"/>
  <c r="BD83" i="11"/>
  <c r="BD84" i="11"/>
  <c r="BD85" i="11"/>
  <c r="BD86" i="11"/>
  <c r="BD87" i="11"/>
  <c r="BD88" i="11"/>
  <c r="BD89" i="11"/>
  <c r="BD90" i="11"/>
  <c r="BD91" i="11"/>
  <c r="BD92" i="11"/>
  <c r="BD93" i="11"/>
  <c r="BD94" i="11"/>
  <c r="BD95" i="11"/>
  <c r="BD96" i="11"/>
  <c r="BD97" i="11"/>
  <c r="BD98" i="11"/>
  <c r="BD99" i="11"/>
  <c r="BD100" i="11"/>
  <c r="BD9" i="11"/>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BA11" i="7"/>
  <c r="BC11" i="7"/>
  <c r="BE11" i="7"/>
  <c r="BG11" i="7"/>
  <c r="BI11" i="7"/>
  <c r="BK11" i="7"/>
  <c r="BW11" i="7"/>
  <c r="BF11" i="7"/>
  <c r="BB12" i="7"/>
  <c r="BA12" i="7"/>
  <c r="BC12" i="7"/>
  <c r="BE12" i="7"/>
  <c r="BG12" i="7"/>
  <c r="BI12" i="7"/>
  <c r="BK12" i="7"/>
  <c r="BW12" i="7"/>
  <c r="BF12" i="7"/>
  <c r="BB13" i="7"/>
  <c r="BA13" i="7"/>
  <c r="BC13" i="7"/>
  <c r="BE13" i="7"/>
  <c r="BG13" i="7"/>
  <c r="BI13" i="7"/>
  <c r="BK13" i="7"/>
  <c r="BW13" i="7"/>
  <c r="BF13" i="7"/>
  <c r="BB14" i="7"/>
  <c r="BA14" i="7"/>
  <c r="BC14" i="7"/>
  <c r="BE14" i="7"/>
  <c r="BG14" i="7"/>
  <c r="BI14" i="7"/>
  <c r="BK14" i="7"/>
  <c r="BW14" i="7"/>
  <c r="BF14" i="7"/>
  <c r="BB15" i="7"/>
  <c r="BA15" i="7"/>
  <c r="BC15" i="7"/>
  <c r="BE15" i="7"/>
  <c r="BG15" i="7"/>
  <c r="BI15" i="7"/>
  <c r="BK15" i="7"/>
  <c r="BW15" i="7"/>
  <c r="BF15" i="7"/>
  <c r="BB16" i="7"/>
  <c r="BA16" i="7"/>
  <c r="BC16" i="7"/>
  <c r="BE16" i="7"/>
  <c r="BG16" i="7"/>
  <c r="BI16" i="7"/>
  <c r="BK16" i="7"/>
  <c r="BW16" i="7"/>
  <c r="BF16" i="7"/>
  <c r="BB17" i="7"/>
  <c r="BA17" i="7"/>
  <c r="BC17" i="7"/>
  <c r="BE17" i="7"/>
  <c r="BG17" i="7"/>
  <c r="BI17" i="7"/>
  <c r="BK17" i="7"/>
  <c r="BW17" i="7"/>
  <c r="BF17" i="7"/>
  <c r="BB18" i="7"/>
  <c r="BA18" i="7"/>
  <c r="BC18" i="7"/>
  <c r="BE18" i="7"/>
  <c r="BG18" i="7"/>
  <c r="BI18" i="7"/>
  <c r="BK18" i="7"/>
  <c r="BW18" i="7"/>
  <c r="BF18" i="7"/>
  <c r="BB19" i="7"/>
  <c r="BA19" i="7"/>
  <c r="BC19" i="7"/>
  <c r="BE19" i="7"/>
  <c r="BG19" i="7"/>
  <c r="BI19" i="7"/>
  <c r="BK19" i="7"/>
  <c r="BW19" i="7"/>
  <c r="BF19" i="7"/>
  <c r="BB20" i="7"/>
  <c r="BA20" i="7"/>
  <c r="BC20" i="7"/>
  <c r="BE20" i="7"/>
  <c r="BG20" i="7"/>
  <c r="BI20" i="7"/>
  <c r="BK20" i="7"/>
  <c r="BW20" i="7"/>
  <c r="BF20" i="7"/>
  <c r="BB21" i="7"/>
  <c r="BA21" i="7"/>
  <c r="BC21" i="7"/>
  <c r="BE21" i="7"/>
  <c r="BG21" i="7"/>
  <c r="BI21" i="7"/>
  <c r="BK21" i="7"/>
  <c r="BW21" i="7"/>
  <c r="BF21" i="7"/>
  <c r="BB22" i="7"/>
  <c r="BA22" i="7"/>
  <c r="BC22" i="7"/>
  <c r="BE22" i="7"/>
  <c r="BG22" i="7"/>
  <c r="BI22" i="7"/>
  <c r="BK22" i="7"/>
  <c r="BW22" i="7"/>
  <c r="BF22" i="7"/>
  <c r="BB23" i="7"/>
  <c r="BA23" i="7"/>
  <c r="BC23" i="7"/>
  <c r="BE23" i="7"/>
  <c r="BG23" i="7"/>
  <c r="BI23" i="7"/>
  <c r="BK23" i="7"/>
  <c r="BW23" i="7"/>
  <c r="BF23" i="7"/>
  <c r="BB24" i="7"/>
  <c r="BA24" i="7"/>
  <c r="BC24" i="7"/>
  <c r="BE24" i="7"/>
  <c r="BG24" i="7"/>
  <c r="BI24" i="7"/>
  <c r="BK24" i="7"/>
  <c r="BW24" i="7"/>
  <c r="BF24" i="7"/>
  <c r="BB25" i="7"/>
  <c r="BA25" i="7"/>
  <c r="BC25" i="7"/>
  <c r="BE25" i="7"/>
  <c r="BG25" i="7"/>
  <c r="BI25" i="7"/>
  <c r="BK25" i="7"/>
  <c r="BW25" i="7"/>
  <c r="BF25" i="7"/>
  <c r="BB26" i="7"/>
  <c r="BA26" i="7"/>
  <c r="BC26" i="7"/>
  <c r="BE26" i="7"/>
  <c r="BG26" i="7"/>
  <c r="BI26" i="7"/>
  <c r="BK26" i="7"/>
  <c r="BW26" i="7"/>
  <c r="BF26" i="7"/>
  <c r="BB27" i="7"/>
  <c r="BA27" i="7"/>
  <c r="BC27" i="7"/>
  <c r="BE27" i="7"/>
  <c r="BG27" i="7"/>
  <c r="BI27" i="7"/>
  <c r="BK27" i="7"/>
  <c r="BW27" i="7"/>
  <c r="BF27" i="7"/>
  <c r="BB28" i="7"/>
  <c r="BA28" i="7"/>
  <c r="BC28" i="7"/>
  <c r="BE28" i="7"/>
  <c r="BG28" i="7"/>
  <c r="BI28" i="7"/>
  <c r="BK28" i="7"/>
  <c r="BW28" i="7"/>
  <c r="BF28" i="7"/>
  <c r="BB29" i="7"/>
  <c r="BA29" i="7"/>
  <c r="BC29" i="7"/>
  <c r="BE29" i="7"/>
  <c r="BG29" i="7"/>
  <c r="BI29" i="7"/>
  <c r="BK29" i="7"/>
  <c r="BW29" i="7"/>
  <c r="BF29" i="7"/>
  <c r="BB30" i="7"/>
  <c r="BA30" i="7"/>
  <c r="BC30" i="7"/>
  <c r="BE30" i="7"/>
  <c r="BG30" i="7"/>
  <c r="BI30" i="7"/>
  <c r="BK30" i="7"/>
  <c r="BW30" i="7"/>
  <c r="BF30" i="7"/>
  <c r="BB31" i="7"/>
  <c r="BA31" i="7"/>
  <c r="BC31" i="7"/>
  <c r="BE31" i="7"/>
  <c r="BG31" i="7"/>
  <c r="BI31" i="7"/>
  <c r="BK31" i="7"/>
  <c r="BW31" i="7"/>
  <c r="BF31" i="7"/>
  <c r="BB32" i="7"/>
  <c r="BA32" i="7"/>
  <c r="BC32" i="7"/>
  <c r="BE32" i="7"/>
  <c r="BG32" i="7"/>
  <c r="BI32" i="7"/>
  <c r="BK32" i="7"/>
  <c r="BW32" i="7"/>
  <c r="BF32" i="7"/>
  <c r="BB33" i="7"/>
  <c r="BA33" i="7"/>
  <c r="BC33" i="7"/>
  <c r="BE33" i="7"/>
  <c r="BG33" i="7"/>
  <c r="BI33" i="7"/>
  <c r="BK33" i="7"/>
  <c r="BW33" i="7"/>
  <c r="BF33" i="7"/>
  <c r="BB34" i="7"/>
  <c r="BA34" i="7"/>
  <c r="BC34" i="7"/>
  <c r="BE34" i="7"/>
  <c r="BG34" i="7"/>
  <c r="BI34" i="7"/>
  <c r="BK34" i="7"/>
  <c r="BW34" i="7"/>
  <c r="BF34" i="7"/>
  <c r="BB35" i="7"/>
  <c r="BA35" i="7"/>
  <c r="BC35" i="7"/>
  <c r="BE35" i="7"/>
  <c r="BG35" i="7"/>
  <c r="BI35" i="7"/>
  <c r="BK35" i="7"/>
  <c r="BW35" i="7"/>
  <c r="BF35" i="7"/>
  <c r="BB36" i="7"/>
  <c r="BA36" i="7"/>
  <c r="BC36" i="7"/>
  <c r="BE36" i="7"/>
  <c r="BG36" i="7"/>
  <c r="BI36" i="7"/>
  <c r="BK36" i="7"/>
  <c r="BW36" i="7"/>
  <c r="BF36" i="7"/>
  <c r="BB37" i="7"/>
  <c r="BA37" i="7"/>
  <c r="BC37" i="7"/>
  <c r="BE37" i="7"/>
  <c r="BK37" i="7"/>
  <c r="BW37" i="7"/>
  <c r="BF37" i="7"/>
  <c r="BA38" i="7"/>
  <c r="BC38" i="7"/>
  <c r="BE38" i="7"/>
  <c r="BK38" i="7"/>
  <c r="BW38" i="7"/>
  <c r="BF38" i="7"/>
  <c r="BA39" i="7"/>
  <c r="BC39" i="7"/>
  <c r="BE39" i="7"/>
  <c r="BK39" i="7"/>
  <c r="BW39" i="7"/>
  <c r="BF39" i="7"/>
  <c r="BA40" i="7"/>
  <c r="BC40" i="7"/>
  <c r="BE40" i="7"/>
  <c r="BK40" i="7"/>
  <c r="BW40" i="7"/>
  <c r="BF40" i="7"/>
  <c r="BA41" i="7"/>
  <c r="BC41" i="7"/>
  <c r="BE41" i="7"/>
  <c r="BK41" i="7"/>
  <c r="BW41" i="7"/>
  <c r="BF41" i="7"/>
  <c r="BA42" i="7"/>
  <c r="BC42" i="7"/>
  <c r="BE42" i="7"/>
  <c r="BK42" i="7"/>
  <c r="BW42" i="7"/>
  <c r="BF42" i="7"/>
  <c r="BA43" i="7"/>
  <c r="BC43" i="7"/>
  <c r="BE43" i="7"/>
  <c r="BK43" i="7"/>
  <c r="BW43" i="7"/>
  <c r="BF43" i="7"/>
  <c r="BA44" i="7"/>
  <c r="BC44" i="7"/>
  <c r="BE44" i="7"/>
  <c r="BK44" i="7"/>
  <c r="BW44" i="7"/>
  <c r="BF44" i="7"/>
  <c r="BA45" i="7"/>
  <c r="BC45" i="7"/>
  <c r="BE45" i="7"/>
  <c r="BK45" i="7"/>
  <c r="BW45" i="7"/>
  <c r="BF45" i="7"/>
  <c r="BA46" i="7"/>
  <c r="BC46" i="7"/>
  <c r="BE46" i="7"/>
  <c r="BK46" i="7"/>
  <c r="BW46" i="7"/>
  <c r="BF46" i="7"/>
  <c r="BA47" i="7"/>
  <c r="BC47" i="7"/>
  <c r="BE47" i="7"/>
  <c r="BK47" i="7"/>
  <c r="BW47" i="7"/>
  <c r="BF47" i="7"/>
  <c r="BA48" i="7"/>
  <c r="BC48" i="7"/>
  <c r="BE48" i="7"/>
  <c r="BK48" i="7"/>
  <c r="BW48" i="7"/>
  <c r="BF48" i="7"/>
  <c r="BA49" i="7"/>
  <c r="BC49" i="7"/>
  <c r="BE49" i="7"/>
  <c r="BK49" i="7"/>
  <c r="BW49" i="7"/>
  <c r="BF49" i="7"/>
  <c r="BA50" i="7"/>
  <c r="BC50" i="7"/>
  <c r="BE50" i="7"/>
  <c r="BK50" i="7"/>
  <c r="BW50" i="7"/>
  <c r="BF50" i="7"/>
  <c r="BA51" i="7"/>
  <c r="BC51" i="7"/>
  <c r="BE51" i="7"/>
  <c r="BK51" i="7"/>
  <c r="BW51" i="7"/>
  <c r="BF51" i="7"/>
  <c r="BA52" i="7"/>
  <c r="BC52" i="7"/>
  <c r="BE52" i="7"/>
  <c r="BK52" i="7"/>
  <c r="BW52" i="7"/>
  <c r="BF52" i="7"/>
  <c r="BA53" i="7"/>
  <c r="BC53" i="7"/>
  <c r="BE53" i="7"/>
  <c r="BK53" i="7"/>
  <c r="BW53" i="7"/>
  <c r="BF53" i="7"/>
  <c r="BA54" i="7"/>
  <c r="BC54" i="7"/>
  <c r="BE54" i="7"/>
  <c r="BK54" i="7"/>
  <c r="BW54" i="7"/>
  <c r="BF54" i="7"/>
  <c r="BA55" i="7"/>
  <c r="BC55" i="7"/>
  <c r="BE55" i="7"/>
  <c r="BK55" i="7"/>
  <c r="BW55" i="7"/>
  <c r="BF55" i="7"/>
  <c r="BA56" i="7"/>
  <c r="BC56" i="7"/>
  <c r="BE56" i="7"/>
  <c r="BK56" i="7"/>
  <c r="BW56" i="7"/>
  <c r="BF56" i="7"/>
  <c r="BA57" i="7"/>
  <c r="BC57" i="7"/>
  <c r="BE57" i="7"/>
  <c r="BK57" i="7"/>
  <c r="BW57" i="7"/>
  <c r="BF57" i="7"/>
  <c r="BA58" i="7"/>
  <c r="BC58" i="7"/>
  <c r="BE58" i="7"/>
  <c r="BK58" i="7"/>
  <c r="BW58" i="7"/>
  <c r="BF58" i="7"/>
  <c r="BA59" i="7"/>
  <c r="BC59" i="7"/>
  <c r="BE59" i="7"/>
  <c r="BK59" i="7"/>
  <c r="BW59" i="7"/>
  <c r="BF59" i="7"/>
  <c r="BA60" i="7"/>
  <c r="BC60" i="7"/>
  <c r="BE60" i="7"/>
  <c r="BK60" i="7"/>
  <c r="BW60" i="7"/>
  <c r="BF60" i="7"/>
  <c r="BA61" i="7"/>
  <c r="BC61" i="7"/>
  <c r="BE61" i="7"/>
  <c r="BK61" i="7"/>
  <c r="BW61" i="7"/>
  <c r="BF61" i="7"/>
  <c r="BA62" i="7"/>
  <c r="BC62" i="7"/>
  <c r="BE62" i="7"/>
  <c r="BK62" i="7"/>
  <c r="BW62" i="7"/>
  <c r="BF62" i="7"/>
  <c r="BA63" i="7"/>
  <c r="BC63" i="7"/>
  <c r="BE63" i="7"/>
  <c r="BK63" i="7"/>
  <c r="BW63" i="7"/>
  <c r="BF63" i="7"/>
  <c r="BA64" i="7"/>
  <c r="BC64" i="7"/>
  <c r="BE64" i="7"/>
  <c r="BK64" i="7"/>
  <c r="BW64" i="7"/>
  <c r="BF64" i="7"/>
  <c r="BA65" i="7"/>
  <c r="BC65" i="7"/>
  <c r="BE65" i="7"/>
  <c r="BK65" i="7"/>
  <c r="BW65" i="7"/>
  <c r="BF65" i="7"/>
  <c r="BA66" i="7"/>
  <c r="BC66" i="7"/>
  <c r="BE66" i="7"/>
  <c r="BK66" i="7"/>
  <c r="BW66" i="7"/>
  <c r="BF66" i="7"/>
  <c r="BA67" i="7"/>
  <c r="BC67" i="7"/>
  <c r="BE67" i="7"/>
  <c r="BK67" i="7"/>
  <c r="BW67" i="7"/>
  <c r="BF67" i="7"/>
  <c r="BA68" i="7"/>
  <c r="BC68" i="7"/>
  <c r="BE68" i="7"/>
  <c r="BK68" i="7"/>
  <c r="BW68" i="7"/>
  <c r="BF68" i="7"/>
  <c r="BA69" i="7"/>
  <c r="BC69" i="7"/>
  <c r="BE69" i="7"/>
  <c r="BK69" i="7"/>
  <c r="BW69" i="7"/>
  <c r="BF69" i="7"/>
  <c r="BA70" i="7"/>
  <c r="BC70" i="7"/>
  <c r="BE70" i="7"/>
  <c r="BK70" i="7"/>
  <c r="BW70" i="7"/>
  <c r="BF70" i="7"/>
  <c r="BD11" i="7"/>
  <c r="BD12" i="7"/>
  <c r="BD13" i="7"/>
  <c r="BD14" i="7"/>
  <c r="BD15" i="7"/>
  <c r="BD16" i="7"/>
  <c r="BD17" i="7"/>
  <c r="BD18" i="7"/>
  <c r="BD19" i="7"/>
  <c r="BD20" i="7"/>
  <c r="BD21" i="7"/>
  <c r="BD22" i="7"/>
  <c r="BD23" i="7"/>
  <c r="BD24" i="7"/>
  <c r="BD25" i="7"/>
  <c r="BD26" i="7"/>
  <c r="BD27" i="7"/>
  <c r="BD28" i="7"/>
  <c r="BD29" i="7"/>
  <c r="BD30" i="7"/>
  <c r="BD31" i="7"/>
  <c r="BD32" i="7"/>
  <c r="BD33" i="7"/>
  <c r="BD34" i="7"/>
  <c r="BD35" i="7"/>
  <c r="BD36" i="7"/>
  <c r="BD37" i="7"/>
  <c r="BD38" i="7"/>
  <c r="BD39" i="7"/>
  <c r="BD40" i="7"/>
  <c r="BD41" i="7"/>
  <c r="BD42" i="7"/>
  <c r="BD43" i="7"/>
  <c r="BD44" i="7"/>
  <c r="BD45" i="7"/>
  <c r="BD46" i="7"/>
  <c r="BD47" i="7"/>
  <c r="BD48" i="7"/>
  <c r="BD49" i="7"/>
  <c r="BD50" i="7"/>
  <c r="BD51" i="7"/>
  <c r="BD52" i="7"/>
  <c r="BD53" i="7"/>
  <c r="BD54" i="7"/>
  <c r="BD55" i="7"/>
  <c r="BD56" i="7"/>
  <c r="BD57" i="7"/>
  <c r="BD58" i="7"/>
  <c r="BD59" i="7"/>
  <c r="BD60" i="7"/>
  <c r="BD61" i="7"/>
  <c r="BD62" i="7"/>
  <c r="BD63" i="7"/>
  <c r="BD64" i="7"/>
  <c r="BD65" i="7"/>
  <c r="BD66" i="7"/>
  <c r="BD67" i="7"/>
  <c r="BD68" i="7"/>
  <c r="BD69" i="7"/>
  <c r="BD70" i="7"/>
  <c r="BD9" i="7"/>
  <c r="BA11" i="8"/>
  <c r="BC11" i="8"/>
  <c r="BE11" i="8"/>
  <c r="BG11" i="8"/>
  <c r="BI11" i="8"/>
  <c r="BK11" i="8"/>
  <c r="BW11" i="8"/>
  <c r="BF11" i="8"/>
  <c r="BB12" i="8"/>
  <c r="BA12" i="8"/>
  <c r="BC12" i="8"/>
  <c r="BE12" i="8"/>
  <c r="BG12" i="8"/>
  <c r="BI12" i="8"/>
  <c r="BK12" i="8"/>
  <c r="BW12" i="8"/>
  <c r="BF12" i="8"/>
  <c r="BB13" i="8"/>
  <c r="BA13" i="8"/>
  <c r="BC13" i="8"/>
  <c r="BE13" i="8"/>
  <c r="BG13" i="8"/>
  <c r="BI13" i="8"/>
  <c r="BK13" i="8"/>
  <c r="BW13" i="8"/>
  <c r="BF13" i="8"/>
  <c r="BB14" i="8"/>
  <c r="BA14" i="8"/>
  <c r="BC14" i="8"/>
  <c r="BE14" i="8"/>
  <c r="BG14" i="8"/>
  <c r="BI14" i="8"/>
  <c r="BK14" i="8"/>
  <c r="BW14" i="8"/>
  <c r="BF14" i="8"/>
  <c r="BB15" i="8"/>
  <c r="BA15" i="8"/>
  <c r="BC15" i="8"/>
  <c r="BE15" i="8"/>
  <c r="BG15" i="8"/>
  <c r="BI15" i="8"/>
  <c r="BK15" i="8"/>
  <c r="BW15" i="8"/>
  <c r="BF15" i="8"/>
  <c r="BB16" i="8"/>
  <c r="BA16" i="8"/>
  <c r="BC16" i="8"/>
  <c r="BE16" i="8"/>
  <c r="BG16" i="8"/>
  <c r="BI16" i="8"/>
  <c r="BK16" i="8"/>
  <c r="BW16" i="8"/>
  <c r="BF16" i="8"/>
  <c r="BB17" i="8"/>
  <c r="BA17" i="8"/>
  <c r="BC17" i="8"/>
  <c r="BE17" i="8"/>
  <c r="BG17" i="8"/>
  <c r="BI17" i="8"/>
  <c r="BK17" i="8"/>
  <c r="BW17" i="8"/>
  <c r="BF17" i="8"/>
  <c r="BB18" i="8"/>
  <c r="BA18" i="8"/>
  <c r="BC18" i="8"/>
  <c r="BE18" i="8"/>
  <c r="BG18" i="8"/>
  <c r="BI18" i="8"/>
  <c r="BK18" i="8"/>
  <c r="BW18" i="8"/>
  <c r="BF18" i="8"/>
  <c r="BB19" i="8"/>
  <c r="BA19" i="8"/>
  <c r="BC19" i="8"/>
  <c r="BE19" i="8"/>
  <c r="BG19" i="8"/>
  <c r="BI19" i="8"/>
  <c r="BK19" i="8"/>
  <c r="BW19" i="8"/>
  <c r="BF19" i="8"/>
  <c r="BB20" i="8"/>
  <c r="BA20" i="8"/>
  <c r="BC20" i="8"/>
  <c r="BE20" i="8"/>
  <c r="BG20" i="8"/>
  <c r="BI20" i="8"/>
  <c r="BK20" i="8"/>
  <c r="BW20" i="8"/>
  <c r="BF20" i="8"/>
  <c r="BB21" i="8"/>
  <c r="BA21" i="8"/>
  <c r="BC21" i="8"/>
  <c r="BE21" i="8"/>
  <c r="BG21" i="8"/>
  <c r="BI21" i="8"/>
  <c r="BK21" i="8"/>
  <c r="BW21" i="8"/>
  <c r="BF21" i="8"/>
  <c r="BB22" i="8"/>
  <c r="BA22" i="8"/>
  <c r="BC22" i="8"/>
  <c r="BE22" i="8"/>
  <c r="BG22" i="8"/>
  <c r="BI22" i="8"/>
  <c r="BK22" i="8"/>
  <c r="BW22" i="8"/>
  <c r="BF22" i="8"/>
  <c r="BB23" i="8"/>
  <c r="BA23" i="8"/>
  <c r="BC23" i="8"/>
  <c r="BE23" i="8"/>
  <c r="BG23" i="8"/>
  <c r="BI23" i="8"/>
  <c r="BK23" i="8"/>
  <c r="BW23" i="8"/>
  <c r="BF23" i="8"/>
  <c r="BB24" i="8"/>
  <c r="BA24" i="8"/>
  <c r="BC24" i="8"/>
  <c r="BE24" i="8"/>
  <c r="BG24" i="8"/>
  <c r="BI24" i="8"/>
  <c r="BK24" i="8"/>
  <c r="BW24" i="8"/>
  <c r="BF24" i="8"/>
  <c r="BB25" i="8"/>
  <c r="BA25" i="8"/>
  <c r="BC25" i="8"/>
  <c r="BE25" i="8"/>
  <c r="BG25" i="8"/>
  <c r="BI25" i="8"/>
  <c r="BK25" i="8"/>
  <c r="BW25" i="8"/>
  <c r="BF25" i="8"/>
  <c r="BB26" i="8"/>
  <c r="BA26" i="8"/>
  <c r="BC26" i="8"/>
  <c r="BE26" i="8"/>
  <c r="BG26" i="8"/>
  <c r="BI26" i="8"/>
  <c r="BK26" i="8"/>
  <c r="BW26" i="8"/>
  <c r="BF26" i="8"/>
  <c r="BB27" i="8"/>
  <c r="BA27" i="8"/>
  <c r="BC27" i="8"/>
  <c r="BE27" i="8"/>
  <c r="BG27" i="8"/>
  <c r="BI27" i="8"/>
  <c r="BK27" i="8"/>
  <c r="BW27" i="8"/>
  <c r="BF27" i="8"/>
  <c r="BB28" i="8"/>
  <c r="BA28" i="8"/>
  <c r="BC28" i="8"/>
  <c r="BE28" i="8"/>
  <c r="BG28" i="8"/>
  <c r="BI28" i="8"/>
  <c r="BK28" i="8"/>
  <c r="BW28" i="8"/>
  <c r="BF28" i="8"/>
  <c r="BB29" i="8"/>
  <c r="BA29" i="8"/>
  <c r="BC29" i="8"/>
  <c r="BE29" i="8"/>
  <c r="BG29" i="8"/>
  <c r="BI29" i="8"/>
  <c r="BK29" i="8"/>
  <c r="BW29" i="8"/>
  <c r="BF29" i="8"/>
  <c r="BB30" i="8"/>
  <c r="BA30" i="8"/>
  <c r="BC30" i="8"/>
  <c r="BE30" i="8"/>
  <c r="BG30" i="8"/>
  <c r="BI30" i="8"/>
  <c r="BK30" i="8"/>
  <c r="BW30" i="8"/>
  <c r="BF30" i="8"/>
  <c r="BB31" i="8"/>
  <c r="BA31" i="8"/>
  <c r="BC31" i="8"/>
  <c r="BE31" i="8"/>
  <c r="BG31" i="8"/>
  <c r="BI31" i="8"/>
  <c r="BK31" i="8"/>
  <c r="BW31" i="8"/>
  <c r="BF31" i="8"/>
  <c r="BB32" i="8"/>
  <c r="BA32" i="8"/>
  <c r="BC32" i="8"/>
  <c r="BE32" i="8"/>
  <c r="BG32" i="8"/>
  <c r="BI32" i="8"/>
  <c r="BK32" i="8"/>
  <c r="BW32" i="8"/>
  <c r="BF32" i="8"/>
  <c r="BB33" i="8"/>
  <c r="BA33" i="8"/>
  <c r="BC33" i="8"/>
  <c r="BE33" i="8"/>
  <c r="BG33" i="8"/>
  <c r="BI33" i="8"/>
  <c r="BK33" i="8"/>
  <c r="BW33" i="8"/>
  <c r="BF33" i="8"/>
  <c r="BB34" i="8"/>
  <c r="BA34" i="8"/>
  <c r="BC34" i="8"/>
  <c r="BE34" i="8"/>
  <c r="BG34" i="8"/>
  <c r="BI34" i="8"/>
  <c r="BK34" i="8"/>
  <c r="BW34" i="8"/>
  <c r="BF34" i="8"/>
  <c r="BB35" i="8"/>
  <c r="BA35" i="8"/>
  <c r="BC35" i="8"/>
  <c r="BE35" i="8"/>
  <c r="BG35" i="8"/>
  <c r="BI35" i="8"/>
  <c r="BK35" i="8"/>
  <c r="BW35" i="8"/>
  <c r="BF35" i="8"/>
  <c r="BB36" i="8"/>
  <c r="BA36" i="8"/>
  <c r="BC36" i="8"/>
  <c r="BE36" i="8"/>
  <c r="BG36" i="8"/>
  <c r="BI36" i="8"/>
  <c r="BK36" i="8"/>
  <c r="BW36" i="8"/>
  <c r="BF36" i="8"/>
  <c r="BB37" i="8"/>
  <c r="BA37" i="8"/>
  <c r="BC37" i="8"/>
  <c r="BE37" i="8"/>
  <c r="BG37" i="8"/>
  <c r="BI37" i="8"/>
  <c r="BK37" i="8"/>
  <c r="BW37" i="8"/>
  <c r="BF37" i="8"/>
  <c r="BB38" i="8"/>
  <c r="BA38" i="8"/>
  <c r="BC38" i="8"/>
  <c r="BE38" i="8"/>
  <c r="BG38" i="8"/>
  <c r="BI38" i="8"/>
  <c r="BK38" i="8"/>
  <c r="BW38" i="8"/>
  <c r="BF38" i="8"/>
  <c r="BB39" i="8"/>
  <c r="BA39" i="8"/>
  <c r="BC39" i="8"/>
  <c r="BE39" i="8"/>
  <c r="BG39" i="8"/>
  <c r="BI39" i="8"/>
  <c r="BK39" i="8"/>
  <c r="BW39" i="8"/>
  <c r="BF39" i="8"/>
  <c r="BB40" i="8"/>
  <c r="BA40" i="8"/>
  <c r="BC40" i="8"/>
  <c r="BE40" i="8"/>
  <c r="BG40" i="8"/>
  <c r="BI40" i="8"/>
  <c r="BK40" i="8"/>
  <c r="BW40" i="8"/>
  <c r="BF40" i="8"/>
  <c r="BB41" i="8"/>
  <c r="BA41" i="8"/>
  <c r="BC41" i="8"/>
  <c r="BE41" i="8"/>
  <c r="BG41" i="8"/>
  <c r="BI41" i="8"/>
  <c r="BK41" i="8"/>
  <c r="BW41" i="8"/>
  <c r="BF41" i="8"/>
  <c r="BB42" i="8"/>
  <c r="BA42" i="8"/>
  <c r="BC42" i="8"/>
  <c r="BE42" i="8"/>
  <c r="BG42" i="8"/>
  <c r="BI42" i="8"/>
  <c r="BK42" i="8"/>
  <c r="BW42" i="8"/>
  <c r="BF42" i="8"/>
  <c r="BB43" i="8"/>
  <c r="BA43" i="8"/>
  <c r="BC43" i="8"/>
  <c r="BE43" i="8"/>
  <c r="BG43" i="8"/>
  <c r="BI43" i="8"/>
  <c r="BK43" i="8"/>
  <c r="BW43" i="8"/>
  <c r="BF43" i="8"/>
  <c r="BB44" i="8"/>
  <c r="BA44" i="8"/>
  <c r="BC44" i="8"/>
  <c r="BE44" i="8"/>
  <c r="BG44" i="8"/>
  <c r="BI44" i="8"/>
  <c r="BK44" i="8"/>
  <c r="BW44" i="8"/>
  <c r="BF44" i="8"/>
  <c r="BB45" i="8"/>
  <c r="BA45" i="8"/>
  <c r="BC45" i="8"/>
  <c r="BE45" i="8"/>
  <c r="BG45" i="8"/>
  <c r="BI45" i="8"/>
  <c r="BK45" i="8"/>
  <c r="BW45" i="8"/>
  <c r="BF45" i="8"/>
  <c r="BB46" i="8"/>
  <c r="BA46" i="8"/>
  <c r="BC46" i="8"/>
  <c r="BE46" i="8"/>
  <c r="BK46" i="8"/>
  <c r="BW46" i="8"/>
  <c r="BF46" i="8"/>
  <c r="BA47" i="8"/>
  <c r="BC47" i="8"/>
  <c r="BE47" i="8"/>
  <c r="BK47" i="8"/>
  <c r="BW47" i="8"/>
  <c r="BF47" i="8"/>
  <c r="BA48" i="8"/>
  <c r="BC48" i="8"/>
  <c r="BE48" i="8"/>
  <c r="BK48" i="8"/>
  <c r="BW48" i="8"/>
  <c r="BF48" i="8"/>
  <c r="BA49" i="8"/>
  <c r="BC49" i="8"/>
  <c r="BE49" i="8"/>
  <c r="BK49" i="8"/>
  <c r="BW49" i="8"/>
  <c r="BF49" i="8"/>
  <c r="BA50" i="8"/>
  <c r="BC50" i="8"/>
  <c r="BE50" i="8"/>
  <c r="BK50" i="8"/>
  <c r="BW50" i="8"/>
  <c r="BF50" i="8"/>
  <c r="BA51" i="8"/>
  <c r="BC51" i="8"/>
  <c r="BE51" i="8"/>
  <c r="BK51" i="8"/>
  <c r="BW51" i="8"/>
  <c r="BF51" i="8"/>
  <c r="BA52" i="8"/>
  <c r="BC52" i="8"/>
  <c r="BE52" i="8"/>
  <c r="BK52" i="8"/>
  <c r="BW52" i="8"/>
  <c r="BF52" i="8"/>
  <c r="BA53" i="8"/>
  <c r="BC53" i="8"/>
  <c r="BE53" i="8"/>
  <c r="BK53" i="8"/>
  <c r="BW53" i="8"/>
  <c r="BF53" i="8"/>
  <c r="BA54" i="8"/>
  <c r="BC54" i="8"/>
  <c r="BE54" i="8"/>
  <c r="BK54" i="8"/>
  <c r="BW54" i="8"/>
  <c r="BF54" i="8"/>
  <c r="BA55" i="8"/>
  <c r="BC55" i="8"/>
  <c r="BE55" i="8"/>
  <c r="BK55" i="8"/>
  <c r="BW55" i="8"/>
  <c r="BF55" i="8"/>
  <c r="BA56" i="8"/>
  <c r="BC56" i="8"/>
  <c r="BE56" i="8"/>
  <c r="BK56" i="8"/>
  <c r="BW56" i="8"/>
  <c r="BF56" i="8"/>
  <c r="BA57" i="8"/>
  <c r="BC57" i="8"/>
  <c r="BE57" i="8"/>
  <c r="BK57" i="8"/>
  <c r="BW57" i="8"/>
  <c r="BF57" i="8"/>
  <c r="BA58" i="8"/>
  <c r="BC58" i="8"/>
  <c r="BE58" i="8"/>
  <c r="BK58" i="8"/>
  <c r="BW58" i="8"/>
  <c r="BF58" i="8"/>
  <c r="BA59" i="8"/>
  <c r="BC59" i="8"/>
  <c r="BE59" i="8"/>
  <c r="BK59" i="8"/>
  <c r="BW59" i="8"/>
  <c r="BF59" i="8"/>
  <c r="BA60" i="8"/>
  <c r="BC60" i="8"/>
  <c r="BE60" i="8"/>
  <c r="BK60" i="8"/>
  <c r="BW60" i="8"/>
  <c r="BF60" i="8"/>
  <c r="BA61" i="8"/>
  <c r="BC61" i="8"/>
  <c r="BE61" i="8"/>
  <c r="BK61" i="8"/>
  <c r="BW61" i="8"/>
  <c r="BF61" i="8"/>
  <c r="BA62" i="8"/>
  <c r="BC62" i="8"/>
  <c r="BE62" i="8"/>
  <c r="BK62" i="8"/>
  <c r="BW62" i="8"/>
  <c r="BF62" i="8"/>
  <c r="BA63" i="8"/>
  <c r="BC63" i="8"/>
  <c r="BE63" i="8"/>
  <c r="BK63" i="8"/>
  <c r="BW63" i="8"/>
  <c r="BF63" i="8"/>
  <c r="BA64" i="8"/>
  <c r="BC64" i="8"/>
  <c r="BE64" i="8"/>
  <c r="BK64" i="8"/>
  <c r="BW64" i="8"/>
  <c r="BF64" i="8"/>
  <c r="BA65" i="8"/>
  <c r="BC65" i="8"/>
  <c r="BE65" i="8"/>
  <c r="BK65" i="8"/>
  <c r="BW65" i="8"/>
  <c r="BF65" i="8"/>
  <c r="BA66" i="8"/>
  <c r="BC66" i="8"/>
  <c r="BE66" i="8"/>
  <c r="BK66" i="8"/>
  <c r="BW66" i="8"/>
  <c r="BF66" i="8"/>
  <c r="BA67" i="8"/>
  <c r="BC67" i="8"/>
  <c r="BE67" i="8"/>
  <c r="BK67" i="8"/>
  <c r="BW67" i="8"/>
  <c r="BF67" i="8"/>
  <c r="BA68" i="8"/>
  <c r="BC68" i="8"/>
  <c r="BE68" i="8"/>
  <c r="BK68" i="8"/>
  <c r="BW68" i="8"/>
  <c r="BF68" i="8"/>
  <c r="BA69" i="8"/>
  <c r="BC69" i="8"/>
  <c r="BE69" i="8"/>
  <c r="BK69" i="8"/>
  <c r="BW69" i="8"/>
  <c r="BF69" i="8"/>
  <c r="BA70" i="8"/>
  <c r="BC70" i="8"/>
  <c r="BE70" i="8"/>
  <c r="BK70" i="8"/>
  <c r="BW70" i="8"/>
  <c r="BF70" i="8"/>
  <c r="BD11" i="8"/>
  <c r="BD12" i="8"/>
  <c r="BD13" i="8"/>
  <c r="BD14" i="8"/>
  <c r="BD15" i="8"/>
  <c r="BD16" i="8"/>
  <c r="BD17" i="8"/>
  <c r="BD18" i="8"/>
  <c r="BD19" i="8"/>
  <c r="BD20" i="8"/>
  <c r="BD21" i="8"/>
  <c r="BD22" i="8"/>
  <c r="BD23" i="8"/>
  <c r="BD24" i="8"/>
  <c r="BD25" i="8"/>
  <c r="BD26" i="8"/>
  <c r="BD27" i="8"/>
  <c r="BD28" i="8"/>
  <c r="BD29" i="8"/>
  <c r="BD30" i="8"/>
  <c r="BD31" i="8"/>
  <c r="BD32" i="8"/>
  <c r="BD33" i="8"/>
  <c r="BD34" i="8"/>
  <c r="BD35" i="8"/>
  <c r="BD36" i="8"/>
  <c r="BD37" i="8"/>
  <c r="BD38" i="8"/>
  <c r="BD39" i="8"/>
  <c r="BD40" i="8"/>
  <c r="BD41" i="8"/>
  <c r="BD42" i="8"/>
  <c r="BD43" i="8"/>
  <c r="BD44" i="8"/>
  <c r="BD45" i="8"/>
  <c r="BD46" i="8"/>
  <c r="BD47" i="8"/>
  <c r="BD48" i="8"/>
  <c r="BD49" i="8"/>
  <c r="BD50" i="8"/>
  <c r="BD51" i="8"/>
  <c r="BD52" i="8"/>
  <c r="BD53" i="8"/>
  <c r="BD54" i="8"/>
  <c r="BD55" i="8"/>
  <c r="BD56" i="8"/>
  <c r="BD57" i="8"/>
  <c r="BD58" i="8"/>
  <c r="BD59" i="8"/>
  <c r="BD60" i="8"/>
  <c r="BD61" i="8"/>
  <c r="BD62" i="8"/>
  <c r="BD63" i="8"/>
  <c r="BD64" i="8"/>
  <c r="BD65" i="8"/>
  <c r="BD66" i="8"/>
  <c r="BD67" i="8"/>
  <c r="BD68" i="8"/>
  <c r="BD69" i="8"/>
  <c r="BD70" i="8"/>
  <c r="BD9" i="8"/>
  <c r="BA11" i="15"/>
  <c r="BC11" i="15"/>
  <c r="BE11" i="15"/>
  <c r="BG11" i="15"/>
  <c r="BI11" i="15"/>
  <c r="BK11" i="15"/>
  <c r="BW11" i="15"/>
  <c r="BF11" i="15"/>
  <c r="BB12" i="15"/>
  <c r="BA12" i="15"/>
  <c r="BC12" i="15"/>
  <c r="BE12" i="15"/>
  <c r="BG12" i="15"/>
  <c r="BI12" i="15"/>
  <c r="BK12" i="15"/>
  <c r="BW12" i="15"/>
  <c r="BF12" i="15"/>
  <c r="BB13" i="15"/>
  <c r="BA13" i="15"/>
  <c r="BC13" i="15"/>
  <c r="BE13" i="15"/>
  <c r="BG13" i="15"/>
  <c r="BI13" i="15"/>
  <c r="BK13" i="15"/>
  <c r="BW13" i="15"/>
  <c r="BF13" i="15"/>
  <c r="BB14" i="15"/>
  <c r="BA14" i="15"/>
  <c r="BC14" i="15"/>
  <c r="BE14" i="15"/>
  <c r="BG14" i="15"/>
  <c r="BI14" i="15"/>
  <c r="BK14" i="15"/>
  <c r="BW14" i="15"/>
  <c r="BF14" i="15"/>
  <c r="BB15" i="15"/>
  <c r="BA15" i="15"/>
  <c r="BC15" i="15"/>
  <c r="BE15" i="15"/>
  <c r="BG15" i="15"/>
  <c r="BI15" i="15"/>
  <c r="BK15" i="15"/>
  <c r="BW15" i="15"/>
  <c r="BF15" i="15"/>
  <c r="BB16" i="15"/>
  <c r="BA16" i="15"/>
  <c r="BC16" i="15"/>
  <c r="BE16" i="15"/>
  <c r="BG16" i="15"/>
  <c r="BI16" i="15"/>
  <c r="BK16" i="15"/>
  <c r="BW16" i="15"/>
  <c r="BF16" i="15"/>
  <c r="BB17" i="15"/>
  <c r="BA17" i="15"/>
  <c r="BC17" i="15"/>
  <c r="BE17" i="15"/>
  <c r="BG17" i="15"/>
  <c r="BI17" i="15"/>
  <c r="BK17" i="15"/>
  <c r="BW17" i="15"/>
  <c r="BF17" i="15"/>
  <c r="BB18" i="15"/>
  <c r="BA18" i="15"/>
  <c r="BC18" i="15"/>
  <c r="BE18" i="15"/>
  <c r="BG18" i="15"/>
  <c r="BI18" i="15"/>
  <c r="BK18" i="15"/>
  <c r="BW18" i="15"/>
  <c r="BF18" i="15"/>
  <c r="BB19" i="15"/>
  <c r="BA19" i="15"/>
  <c r="BC19" i="15"/>
  <c r="BE19" i="15"/>
  <c r="BG19" i="15"/>
  <c r="BI19" i="15"/>
  <c r="BK19" i="15"/>
  <c r="BW19" i="15"/>
  <c r="BF19" i="15"/>
  <c r="BB20" i="15"/>
  <c r="BA20" i="15"/>
  <c r="BC20" i="15"/>
  <c r="BE20" i="15"/>
  <c r="BG20" i="15"/>
  <c r="BI20" i="15"/>
  <c r="BK20" i="15"/>
  <c r="BW20" i="15"/>
  <c r="BF20" i="15"/>
  <c r="BB21" i="15"/>
  <c r="BA21" i="15"/>
  <c r="BC21" i="15"/>
  <c r="BE21" i="15"/>
  <c r="BG21" i="15"/>
  <c r="BI21" i="15"/>
  <c r="BK21" i="15"/>
  <c r="BW21" i="15"/>
  <c r="BF21" i="15"/>
  <c r="BB22" i="15"/>
  <c r="BA22" i="15"/>
  <c r="BC22" i="15"/>
  <c r="BE22" i="15"/>
  <c r="BG22" i="15"/>
  <c r="BI22" i="15"/>
  <c r="BK22" i="15"/>
  <c r="BW22" i="15"/>
  <c r="BF22" i="15"/>
  <c r="BB23" i="15"/>
  <c r="BA23" i="15"/>
  <c r="BC23" i="15"/>
  <c r="BE23" i="15"/>
  <c r="BG23" i="15"/>
  <c r="BI23" i="15"/>
  <c r="BK23" i="15"/>
  <c r="BW23" i="15"/>
  <c r="BF23" i="15"/>
  <c r="BB24" i="15"/>
  <c r="BA24" i="15"/>
  <c r="BC24" i="15"/>
  <c r="BE24" i="15"/>
  <c r="BG24" i="15"/>
  <c r="BI24" i="15"/>
  <c r="BK24" i="15"/>
  <c r="BW24" i="15"/>
  <c r="BF24" i="15"/>
  <c r="BB25" i="15"/>
  <c r="BA25" i="15"/>
  <c r="BC25" i="15"/>
  <c r="BE25" i="15"/>
  <c r="BG25" i="15"/>
  <c r="BI25" i="15"/>
  <c r="BK25" i="15"/>
  <c r="BW25" i="15"/>
  <c r="BF25" i="15"/>
  <c r="BB26" i="15"/>
  <c r="BA26" i="15"/>
  <c r="BC26" i="15"/>
  <c r="BE26" i="15"/>
  <c r="BG26" i="15"/>
  <c r="BI26" i="15"/>
  <c r="BK26" i="15"/>
  <c r="BW26" i="15"/>
  <c r="BF26" i="15"/>
  <c r="BB27" i="15"/>
  <c r="BA27" i="15"/>
  <c r="BC27" i="15"/>
  <c r="BE27" i="15"/>
  <c r="BG27" i="15"/>
  <c r="BI27" i="15"/>
  <c r="BK27" i="15"/>
  <c r="BW27" i="15"/>
  <c r="BF27" i="15"/>
  <c r="BB28" i="15"/>
  <c r="BA28" i="15"/>
  <c r="BC28" i="15"/>
  <c r="BE28" i="15"/>
  <c r="BG28" i="15"/>
  <c r="BI28" i="15"/>
  <c r="BK28" i="15"/>
  <c r="BW28" i="15"/>
  <c r="BF28" i="15"/>
  <c r="BB29" i="15"/>
  <c r="BA29" i="15"/>
  <c r="BC29" i="15"/>
  <c r="BE29" i="15"/>
  <c r="BG29" i="15"/>
  <c r="BI29" i="15"/>
  <c r="BK29" i="15"/>
  <c r="BW29" i="15"/>
  <c r="BF29" i="15"/>
  <c r="BB30" i="15"/>
  <c r="BA30" i="15"/>
  <c r="BC30" i="15"/>
  <c r="BE30" i="15"/>
  <c r="BG30" i="15"/>
  <c r="BI30" i="15"/>
  <c r="BK30" i="15"/>
  <c r="BW30" i="15"/>
  <c r="BF30" i="15"/>
  <c r="BB31" i="15"/>
  <c r="BA31" i="15"/>
  <c r="BC31" i="15"/>
  <c r="BE31" i="15"/>
  <c r="BK31" i="15"/>
  <c r="BW31" i="15"/>
  <c r="BF31" i="15"/>
  <c r="BA32" i="15"/>
  <c r="BC32" i="15"/>
  <c r="BE32" i="15"/>
  <c r="BK32" i="15"/>
  <c r="BW32" i="15"/>
  <c r="BF32" i="15"/>
  <c r="BA33" i="15"/>
  <c r="BC33" i="15"/>
  <c r="BE33" i="15"/>
  <c r="BK33" i="15"/>
  <c r="BW33" i="15"/>
  <c r="BF33" i="15"/>
  <c r="BA34" i="15"/>
  <c r="BC34" i="15"/>
  <c r="BE34" i="15"/>
  <c r="BK34" i="15"/>
  <c r="BW34" i="15"/>
  <c r="BF34" i="15"/>
  <c r="BA35" i="15"/>
  <c r="BC35" i="15"/>
  <c r="BE35" i="15"/>
  <c r="BK35" i="15"/>
  <c r="BW35" i="15"/>
  <c r="BF35" i="15"/>
  <c r="BA36" i="15"/>
  <c r="BC36" i="15"/>
  <c r="BE36" i="15"/>
  <c r="BK36" i="15"/>
  <c r="BW36" i="15"/>
  <c r="BF36" i="15"/>
  <c r="BA37" i="15"/>
  <c r="BC37" i="15"/>
  <c r="BE37" i="15"/>
  <c r="BK37" i="15"/>
  <c r="BW37" i="15"/>
  <c r="BF37" i="15"/>
  <c r="BA38" i="15"/>
  <c r="BC38" i="15"/>
  <c r="BE38" i="15"/>
  <c r="BK38" i="15"/>
  <c r="BW38" i="15"/>
  <c r="BF38" i="15"/>
  <c r="BA39" i="15"/>
  <c r="BC39" i="15"/>
  <c r="BE39" i="15"/>
  <c r="BK39" i="15"/>
  <c r="BW39" i="15"/>
  <c r="BF39" i="15"/>
  <c r="BA40" i="15"/>
  <c r="BC40" i="15"/>
  <c r="BE40" i="15"/>
  <c r="BK40" i="15"/>
  <c r="BW40" i="15"/>
  <c r="BF40" i="15"/>
  <c r="BA41" i="15"/>
  <c r="BC41" i="15"/>
  <c r="BE41" i="15"/>
  <c r="BK41" i="15"/>
  <c r="BW41" i="15"/>
  <c r="BF41" i="15"/>
  <c r="BA42" i="15"/>
  <c r="BC42" i="15"/>
  <c r="BE42" i="15"/>
  <c r="BK42" i="15"/>
  <c r="BW42" i="15"/>
  <c r="BF42" i="15"/>
  <c r="BA43" i="15"/>
  <c r="BC43" i="15"/>
  <c r="BE43" i="15"/>
  <c r="BK43" i="15"/>
  <c r="BW43" i="15"/>
  <c r="BF43" i="15"/>
  <c r="BA44" i="15"/>
  <c r="BC44" i="15"/>
  <c r="BE44" i="15"/>
  <c r="BK44" i="15"/>
  <c r="BW44" i="15"/>
  <c r="BF44" i="15"/>
  <c r="BA45" i="15"/>
  <c r="BC45" i="15"/>
  <c r="BE45" i="15"/>
  <c r="BK45" i="15"/>
  <c r="BW45" i="15"/>
  <c r="BF45" i="15"/>
  <c r="BA46" i="15"/>
  <c r="BC46" i="15"/>
  <c r="BE46" i="15"/>
  <c r="BK46" i="15"/>
  <c r="BW46" i="15"/>
  <c r="BF46" i="15"/>
  <c r="BA47" i="15"/>
  <c r="BC47" i="15"/>
  <c r="BE47" i="15"/>
  <c r="BK47" i="15"/>
  <c r="BW47" i="15"/>
  <c r="BF47" i="15"/>
  <c r="BA48" i="15"/>
  <c r="BC48" i="15"/>
  <c r="BE48" i="15"/>
  <c r="BK48" i="15"/>
  <c r="BW48" i="15"/>
  <c r="BF48" i="15"/>
  <c r="BA49" i="15"/>
  <c r="BC49" i="15"/>
  <c r="BE49" i="15"/>
  <c r="BK49" i="15"/>
  <c r="BW49" i="15"/>
  <c r="BF49" i="15"/>
  <c r="BA50" i="15"/>
  <c r="BC50" i="15"/>
  <c r="BE50" i="15"/>
  <c r="BK50" i="15"/>
  <c r="BW50" i="15"/>
  <c r="BF50" i="15"/>
  <c r="BA51" i="15"/>
  <c r="BC51" i="15"/>
  <c r="BE51" i="15"/>
  <c r="BK51" i="15"/>
  <c r="BW51" i="15"/>
  <c r="BF51" i="15"/>
  <c r="BA52" i="15"/>
  <c r="BC52" i="15"/>
  <c r="BE52" i="15"/>
  <c r="BK52" i="15"/>
  <c r="BW52" i="15"/>
  <c r="BF52" i="15"/>
  <c r="BA53" i="15"/>
  <c r="BC53" i="15"/>
  <c r="BE53" i="15"/>
  <c r="BK53" i="15"/>
  <c r="BW53" i="15"/>
  <c r="BF53" i="15"/>
  <c r="BA54" i="15"/>
  <c r="BC54" i="15"/>
  <c r="BE54" i="15"/>
  <c r="BK54" i="15"/>
  <c r="BW54" i="15"/>
  <c r="BF54" i="15"/>
  <c r="BA55" i="15"/>
  <c r="BC55" i="15"/>
  <c r="BE55" i="15"/>
  <c r="BK55" i="15"/>
  <c r="BW55" i="15"/>
  <c r="BF55" i="15"/>
  <c r="BA56" i="15"/>
  <c r="BC56" i="15"/>
  <c r="BE56" i="15"/>
  <c r="BK56" i="15"/>
  <c r="BW56" i="15"/>
  <c r="BF56" i="15"/>
  <c r="BA57" i="15"/>
  <c r="BC57" i="15"/>
  <c r="BE57" i="15"/>
  <c r="BK57" i="15"/>
  <c r="BW57" i="15"/>
  <c r="BF57" i="15"/>
  <c r="BA58" i="15"/>
  <c r="BC58" i="15"/>
  <c r="BE58" i="15"/>
  <c r="BK58" i="15"/>
  <c r="BW58" i="15"/>
  <c r="BF58" i="15"/>
  <c r="BA59" i="15"/>
  <c r="BC59" i="15"/>
  <c r="BE59" i="15"/>
  <c r="BK59" i="15"/>
  <c r="BW59" i="15"/>
  <c r="BF59" i="15"/>
  <c r="BA60" i="15"/>
  <c r="BC60" i="15"/>
  <c r="BE60" i="15"/>
  <c r="BK60" i="15"/>
  <c r="BW60" i="15"/>
  <c r="BF60" i="15"/>
  <c r="BA61" i="15"/>
  <c r="BC61" i="15"/>
  <c r="BE61" i="15"/>
  <c r="BK61" i="15"/>
  <c r="BW61" i="15"/>
  <c r="BF61" i="15"/>
  <c r="BA62" i="15"/>
  <c r="BC62" i="15"/>
  <c r="BE62" i="15"/>
  <c r="BK62" i="15"/>
  <c r="BW62" i="15"/>
  <c r="BF62" i="15"/>
  <c r="BA63" i="15"/>
  <c r="BC63" i="15"/>
  <c r="BE63" i="15"/>
  <c r="BK63" i="15"/>
  <c r="BW63" i="15"/>
  <c r="BF63" i="15"/>
  <c r="BA64" i="15"/>
  <c r="BC64" i="15"/>
  <c r="BE64" i="15"/>
  <c r="BK64" i="15"/>
  <c r="BW64" i="15"/>
  <c r="BF64" i="15"/>
  <c r="BA65" i="15"/>
  <c r="BC65" i="15"/>
  <c r="BE65" i="15"/>
  <c r="BK65" i="15"/>
  <c r="BW65" i="15"/>
  <c r="BF65" i="15"/>
  <c r="BA66" i="15"/>
  <c r="BC66" i="15"/>
  <c r="BE66" i="15"/>
  <c r="BK66" i="15"/>
  <c r="BW66" i="15"/>
  <c r="BF66" i="15"/>
  <c r="BA67" i="15"/>
  <c r="BC67" i="15"/>
  <c r="BE67" i="15"/>
  <c r="BK67" i="15"/>
  <c r="BW67" i="15"/>
  <c r="BF67" i="15"/>
  <c r="BA68" i="15"/>
  <c r="BC68" i="15"/>
  <c r="BE68" i="15"/>
  <c r="BK68" i="15"/>
  <c r="BW68" i="15"/>
  <c r="BF68" i="15"/>
  <c r="BA69" i="15"/>
  <c r="BC69" i="15"/>
  <c r="BE69" i="15"/>
  <c r="BK69" i="15"/>
  <c r="BW69" i="15"/>
  <c r="BF69" i="15"/>
  <c r="BA70" i="15"/>
  <c r="BC70" i="15"/>
  <c r="BE70" i="15"/>
  <c r="BK70" i="15"/>
  <c r="BW70" i="15"/>
  <c r="BF70" i="15"/>
  <c r="BD11" i="15"/>
  <c r="BD12" i="15"/>
  <c r="BD13" i="15"/>
  <c r="BD14" i="15"/>
  <c r="BD15" i="15"/>
  <c r="BD16" i="15"/>
  <c r="BD17" i="15"/>
  <c r="BD18" i="15"/>
  <c r="BD19" i="15"/>
  <c r="BD20" i="15"/>
  <c r="BD21" i="15"/>
  <c r="BD22" i="15"/>
  <c r="BD23" i="15"/>
  <c r="BD24" i="15"/>
  <c r="BD25" i="15"/>
  <c r="BD26" i="15"/>
  <c r="BD27" i="15"/>
  <c r="BD28" i="15"/>
  <c r="BD29" i="15"/>
  <c r="BD30" i="15"/>
  <c r="BD31" i="15"/>
  <c r="BD32" i="15"/>
  <c r="BD33" i="15"/>
  <c r="BD34" i="15"/>
  <c r="BD35" i="15"/>
  <c r="BD36" i="15"/>
  <c r="BD37" i="15"/>
  <c r="BD38" i="15"/>
  <c r="BD39" i="15"/>
  <c r="BD40" i="15"/>
  <c r="BD41" i="15"/>
  <c r="BD42" i="15"/>
  <c r="BD43" i="15"/>
  <c r="BD44" i="15"/>
  <c r="BD45" i="15"/>
  <c r="BD46" i="15"/>
  <c r="BD47" i="15"/>
  <c r="BD48" i="15"/>
  <c r="BD49" i="15"/>
  <c r="BD50" i="15"/>
  <c r="BD51" i="15"/>
  <c r="BD52" i="15"/>
  <c r="BD53" i="15"/>
  <c r="BD54" i="15"/>
  <c r="BD55" i="15"/>
  <c r="BD56" i="15"/>
  <c r="BD57" i="15"/>
  <c r="BD58" i="15"/>
  <c r="BD59" i="15"/>
  <c r="BD60" i="15"/>
  <c r="BD61" i="15"/>
  <c r="BD62" i="15"/>
  <c r="BD63" i="15"/>
  <c r="BD64" i="15"/>
  <c r="BD65" i="15"/>
  <c r="BD66" i="15"/>
  <c r="BD67" i="15"/>
  <c r="BD68" i="15"/>
  <c r="BD69" i="15"/>
  <c r="BD70" i="15"/>
  <c r="BD9" i="15"/>
  <c r="BA11" i="14"/>
  <c r="BC11" i="14"/>
  <c r="BE11" i="14"/>
  <c r="BG11" i="14"/>
  <c r="BI11" i="14"/>
  <c r="BK11" i="14"/>
  <c r="BW11" i="14"/>
  <c r="BF11" i="14"/>
  <c r="BB12" i="14"/>
  <c r="BA12" i="14"/>
  <c r="BC12" i="14"/>
  <c r="BE12" i="14"/>
  <c r="BG12" i="14"/>
  <c r="BI12" i="14"/>
  <c r="BK12" i="14"/>
  <c r="BW12" i="14"/>
  <c r="BF12" i="14"/>
  <c r="BB13" i="14"/>
  <c r="BA13" i="14"/>
  <c r="BC13" i="14"/>
  <c r="BE13" i="14"/>
  <c r="BG13" i="14"/>
  <c r="BI13" i="14"/>
  <c r="BK13" i="14"/>
  <c r="BW13" i="14"/>
  <c r="BF13" i="14"/>
  <c r="BB14" i="14"/>
  <c r="BA14" i="14"/>
  <c r="BC14" i="14"/>
  <c r="BE14" i="14"/>
  <c r="BG14" i="14"/>
  <c r="BI14" i="14"/>
  <c r="BK14" i="14"/>
  <c r="BW14" i="14"/>
  <c r="BF14" i="14"/>
  <c r="BB15" i="14"/>
  <c r="BA15" i="14"/>
  <c r="BC15" i="14"/>
  <c r="BE15" i="14"/>
  <c r="BG15" i="14"/>
  <c r="BI15" i="14"/>
  <c r="BK15" i="14"/>
  <c r="BW15" i="14"/>
  <c r="BF15" i="14"/>
  <c r="BB16" i="14"/>
  <c r="BA16" i="14"/>
  <c r="BC16" i="14"/>
  <c r="BE16" i="14"/>
  <c r="BG16" i="14"/>
  <c r="BI16" i="14"/>
  <c r="BK16" i="14"/>
  <c r="BW16" i="14"/>
  <c r="BF16" i="14"/>
  <c r="BB17" i="14"/>
  <c r="BA17" i="14"/>
  <c r="BC17" i="14"/>
  <c r="BE17" i="14"/>
  <c r="BG17" i="14"/>
  <c r="BI17" i="14"/>
  <c r="BK17" i="14"/>
  <c r="BW17" i="14"/>
  <c r="BF17" i="14"/>
  <c r="BB18" i="14"/>
  <c r="BA18" i="14"/>
  <c r="BC18" i="14"/>
  <c r="BE18" i="14"/>
  <c r="BG18" i="14"/>
  <c r="BI18" i="14"/>
  <c r="BK18" i="14"/>
  <c r="BW18" i="14"/>
  <c r="BF18" i="14"/>
  <c r="BB19" i="14"/>
  <c r="BA19" i="14"/>
  <c r="BC19" i="14"/>
  <c r="BE19" i="14"/>
  <c r="BG19" i="14"/>
  <c r="BI19" i="14"/>
  <c r="BK19" i="14"/>
  <c r="BW19" i="14"/>
  <c r="BF19" i="14"/>
  <c r="BB20" i="14"/>
  <c r="BA20" i="14"/>
  <c r="BC20" i="14"/>
  <c r="BE20" i="14"/>
  <c r="BG20" i="14"/>
  <c r="BI20" i="14"/>
  <c r="BK20" i="14"/>
  <c r="BW20" i="14"/>
  <c r="BF20" i="14"/>
  <c r="BB21" i="14"/>
  <c r="BA21" i="14"/>
  <c r="BC21" i="14"/>
  <c r="BE21" i="14"/>
  <c r="BG21" i="14"/>
  <c r="BI21" i="14"/>
  <c r="BK21" i="14"/>
  <c r="BW21" i="14"/>
  <c r="BF21" i="14"/>
  <c r="BB22" i="14"/>
  <c r="BA22" i="14"/>
  <c r="BC22" i="14"/>
  <c r="BE22" i="14"/>
  <c r="BG22" i="14"/>
  <c r="BI22" i="14"/>
  <c r="BK22" i="14"/>
  <c r="BW22" i="14"/>
  <c r="BF22" i="14"/>
  <c r="BB23" i="14"/>
  <c r="BA23" i="14"/>
  <c r="BC23" i="14"/>
  <c r="BE23" i="14"/>
  <c r="BG23" i="14"/>
  <c r="BI23" i="14"/>
  <c r="BK23" i="14"/>
  <c r="BW23" i="14"/>
  <c r="BF23" i="14"/>
  <c r="BB24" i="14"/>
  <c r="BA24" i="14"/>
  <c r="BC24" i="14"/>
  <c r="BE24" i="14"/>
  <c r="BG24" i="14"/>
  <c r="BI24" i="14"/>
  <c r="BK24" i="14"/>
  <c r="BW24" i="14"/>
  <c r="BF24" i="14"/>
  <c r="BB25" i="14"/>
  <c r="BA25" i="14"/>
  <c r="BC25" i="14"/>
  <c r="BE25" i="14"/>
  <c r="BG25" i="14"/>
  <c r="BI25" i="14"/>
  <c r="BK25" i="14"/>
  <c r="BW25" i="14"/>
  <c r="BF25" i="14"/>
  <c r="BB26" i="14"/>
  <c r="BA26" i="14"/>
  <c r="BC26" i="14"/>
  <c r="BE26" i="14"/>
  <c r="BG26" i="14"/>
  <c r="BI26" i="14"/>
  <c r="BK26" i="14"/>
  <c r="BW26" i="14"/>
  <c r="BF26" i="14"/>
  <c r="BB27" i="14"/>
  <c r="BA27" i="14"/>
  <c r="BC27" i="14"/>
  <c r="BE27" i="14"/>
  <c r="BG27" i="14"/>
  <c r="BI27" i="14"/>
  <c r="BK27" i="14"/>
  <c r="BW27" i="14"/>
  <c r="BF27" i="14"/>
  <c r="BB28" i="14"/>
  <c r="BA28" i="14"/>
  <c r="BC28" i="14"/>
  <c r="BE28" i="14"/>
  <c r="BG28" i="14"/>
  <c r="BI28" i="14"/>
  <c r="BK28" i="14"/>
  <c r="BW28" i="14"/>
  <c r="BF28" i="14"/>
  <c r="BB29" i="14"/>
  <c r="BA29" i="14"/>
  <c r="BC29" i="14"/>
  <c r="BE29" i="14"/>
  <c r="BG29" i="14"/>
  <c r="BI29" i="14"/>
  <c r="BK29" i="14"/>
  <c r="BW29" i="14"/>
  <c r="BF29" i="14"/>
  <c r="BB30" i="14"/>
  <c r="BA30" i="14"/>
  <c r="BC30" i="14"/>
  <c r="BE30" i="14"/>
  <c r="BG30" i="14"/>
  <c r="BI30" i="14"/>
  <c r="BK30" i="14"/>
  <c r="BW30" i="14"/>
  <c r="BF30" i="14"/>
  <c r="BB31" i="14"/>
  <c r="BA31" i="14"/>
  <c r="BC31" i="14"/>
  <c r="BE31" i="14"/>
  <c r="BG31" i="14"/>
  <c r="BI31" i="14"/>
  <c r="BK31" i="14"/>
  <c r="BW31" i="14"/>
  <c r="BF31" i="14"/>
  <c r="BB32" i="14"/>
  <c r="BA32" i="14"/>
  <c r="BC32" i="14"/>
  <c r="BE32" i="14"/>
  <c r="BG32" i="14"/>
  <c r="BI32" i="14"/>
  <c r="BK32" i="14"/>
  <c r="BW32" i="14"/>
  <c r="BF32" i="14"/>
  <c r="BB33" i="14"/>
  <c r="BA33" i="14"/>
  <c r="BC33" i="14"/>
  <c r="BE33" i="14"/>
  <c r="BG33" i="14"/>
  <c r="BI33" i="14"/>
  <c r="BK33" i="14"/>
  <c r="BW33" i="14"/>
  <c r="BF33" i="14"/>
  <c r="BB34" i="14"/>
  <c r="BA34" i="14"/>
  <c r="BC34" i="14"/>
  <c r="BE34" i="14"/>
  <c r="BG34" i="14"/>
  <c r="BI34" i="14"/>
  <c r="BK34" i="14"/>
  <c r="BW34" i="14"/>
  <c r="BF34" i="14"/>
  <c r="BB35" i="14"/>
  <c r="BA35" i="14"/>
  <c r="BC35" i="14"/>
  <c r="BE35" i="14"/>
  <c r="BK35" i="14"/>
  <c r="BW35" i="14"/>
  <c r="BF35" i="14"/>
  <c r="BA36" i="14"/>
  <c r="BC36" i="14"/>
  <c r="BE36" i="14"/>
  <c r="BK36" i="14"/>
  <c r="BW36" i="14"/>
  <c r="BF36" i="14"/>
  <c r="BA37" i="14"/>
  <c r="BC37" i="14"/>
  <c r="BE37" i="14"/>
  <c r="BK37" i="14"/>
  <c r="BW37" i="14"/>
  <c r="BF37" i="14"/>
  <c r="BA38" i="14"/>
  <c r="BC38" i="14"/>
  <c r="BE38" i="14"/>
  <c r="BK38" i="14"/>
  <c r="BW38" i="14"/>
  <c r="BF38" i="14"/>
  <c r="BA39" i="14"/>
  <c r="BC39" i="14"/>
  <c r="BE39" i="14"/>
  <c r="BK39" i="14"/>
  <c r="BW39" i="14"/>
  <c r="BF39" i="14"/>
  <c r="BA40" i="14"/>
  <c r="BC40" i="14"/>
  <c r="BE40" i="14"/>
  <c r="BK40" i="14"/>
  <c r="BW40" i="14"/>
  <c r="BF40" i="14"/>
  <c r="BA41" i="14"/>
  <c r="BC41" i="14"/>
  <c r="BE41" i="14"/>
  <c r="BK41" i="14"/>
  <c r="BW41" i="14"/>
  <c r="BF41" i="14"/>
  <c r="BA42" i="14"/>
  <c r="BC42" i="14"/>
  <c r="BE42" i="14"/>
  <c r="BK42" i="14"/>
  <c r="BW42" i="14"/>
  <c r="BF42" i="14"/>
  <c r="BA43" i="14"/>
  <c r="BC43" i="14"/>
  <c r="BE43" i="14"/>
  <c r="BK43" i="14"/>
  <c r="BW43" i="14"/>
  <c r="BF43" i="14"/>
  <c r="BA44" i="14"/>
  <c r="BC44" i="14"/>
  <c r="BE44" i="14"/>
  <c r="BK44" i="14"/>
  <c r="BW44" i="14"/>
  <c r="BF44" i="14"/>
  <c r="BA45" i="14"/>
  <c r="BC45" i="14"/>
  <c r="BE45" i="14"/>
  <c r="BK45" i="14"/>
  <c r="BW45" i="14"/>
  <c r="BF45" i="14"/>
  <c r="BA46" i="14"/>
  <c r="BC46" i="14"/>
  <c r="BE46" i="14"/>
  <c r="BK46" i="14"/>
  <c r="BW46" i="14"/>
  <c r="BF46" i="14"/>
  <c r="BA47" i="14"/>
  <c r="BC47" i="14"/>
  <c r="BE47" i="14"/>
  <c r="BK47" i="14"/>
  <c r="BW47" i="14"/>
  <c r="BF47" i="14"/>
  <c r="BA48" i="14"/>
  <c r="BC48" i="14"/>
  <c r="BE48" i="14"/>
  <c r="BK48" i="14"/>
  <c r="BW48" i="14"/>
  <c r="BF48" i="14"/>
  <c r="BA49" i="14"/>
  <c r="BC49" i="14"/>
  <c r="BE49" i="14"/>
  <c r="BK49" i="14"/>
  <c r="BW49" i="14"/>
  <c r="BF49" i="14"/>
  <c r="BA50" i="14"/>
  <c r="BC50" i="14"/>
  <c r="BE50" i="14"/>
  <c r="BK50" i="14"/>
  <c r="BW50" i="14"/>
  <c r="BF50" i="14"/>
  <c r="BA51" i="14"/>
  <c r="BC51" i="14"/>
  <c r="BE51" i="14"/>
  <c r="BK51" i="14"/>
  <c r="BW51" i="14"/>
  <c r="BF51" i="14"/>
  <c r="BA52" i="14"/>
  <c r="BC52" i="14"/>
  <c r="BE52" i="14"/>
  <c r="BK52" i="14"/>
  <c r="BW52" i="14"/>
  <c r="BF52" i="14"/>
  <c r="BA53" i="14"/>
  <c r="BC53" i="14"/>
  <c r="BE53" i="14"/>
  <c r="BK53" i="14"/>
  <c r="BW53" i="14"/>
  <c r="BF53" i="14"/>
  <c r="BA54" i="14"/>
  <c r="BC54" i="14"/>
  <c r="BE54" i="14"/>
  <c r="BK54" i="14"/>
  <c r="BW54" i="14"/>
  <c r="BF54" i="14"/>
  <c r="BA55" i="14"/>
  <c r="BC55" i="14"/>
  <c r="BE55" i="14"/>
  <c r="BK55" i="14"/>
  <c r="BW55" i="14"/>
  <c r="BF55" i="14"/>
  <c r="BA56" i="14"/>
  <c r="BC56" i="14"/>
  <c r="BE56" i="14"/>
  <c r="BK56" i="14"/>
  <c r="BW56" i="14"/>
  <c r="BF56" i="14"/>
  <c r="BA57" i="14"/>
  <c r="BC57" i="14"/>
  <c r="BE57" i="14"/>
  <c r="BK57" i="14"/>
  <c r="BW57" i="14"/>
  <c r="BF57" i="14"/>
  <c r="BA58" i="14"/>
  <c r="BC58" i="14"/>
  <c r="BE58" i="14"/>
  <c r="BK58" i="14"/>
  <c r="BW58" i="14"/>
  <c r="BF58" i="14"/>
  <c r="BA59" i="14"/>
  <c r="BC59" i="14"/>
  <c r="BE59" i="14"/>
  <c r="BK59" i="14"/>
  <c r="BW59" i="14"/>
  <c r="BF59" i="14"/>
  <c r="BA60" i="14"/>
  <c r="BC60" i="14"/>
  <c r="BE60" i="14"/>
  <c r="BK60" i="14"/>
  <c r="BW60" i="14"/>
  <c r="BF60" i="14"/>
  <c r="BA61" i="14"/>
  <c r="BC61" i="14"/>
  <c r="BE61" i="14"/>
  <c r="BK61" i="14"/>
  <c r="BW61" i="14"/>
  <c r="BF61" i="14"/>
  <c r="BA62" i="14"/>
  <c r="BC62" i="14"/>
  <c r="BE62" i="14"/>
  <c r="BK62" i="14"/>
  <c r="BW62" i="14"/>
  <c r="BF62" i="14"/>
  <c r="BA63" i="14"/>
  <c r="BC63" i="14"/>
  <c r="BE63" i="14"/>
  <c r="BK63" i="14"/>
  <c r="BW63" i="14"/>
  <c r="BF63" i="14"/>
  <c r="BA64" i="14"/>
  <c r="BC64" i="14"/>
  <c r="BE64" i="14"/>
  <c r="BK64" i="14"/>
  <c r="BW64" i="14"/>
  <c r="BF64" i="14"/>
  <c r="BA65" i="14"/>
  <c r="BC65" i="14"/>
  <c r="BE65" i="14"/>
  <c r="BK65" i="14"/>
  <c r="BW65" i="14"/>
  <c r="BF65" i="14"/>
  <c r="BA66" i="14"/>
  <c r="BC66" i="14"/>
  <c r="BE66" i="14"/>
  <c r="BK66" i="14"/>
  <c r="BW66" i="14"/>
  <c r="BF66" i="14"/>
  <c r="BA67" i="14"/>
  <c r="BC67" i="14"/>
  <c r="BE67" i="14"/>
  <c r="BK67" i="14"/>
  <c r="BW67" i="14"/>
  <c r="BF67" i="14"/>
  <c r="BA68" i="14"/>
  <c r="BC68" i="14"/>
  <c r="BE68" i="14"/>
  <c r="BK68" i="14"/>
  <c r="BW68" i="14"/>
  <c r="BF68" i="14"/>
  <c r="BA69" i="14"/>
  <c r="BC69" i="14"/>
  <c r="BE69" i="14"/>
  <c r="BK69" i="14"/>
  <c r="BW69" i="14"/>
  <c r="BF69" i="14"/>
  <c r="BA70" i="14"/>
  <c r="BC70" i="14"/>
  <c r="BE70" i="14"/>
  <c r="BK70" i="14"/>
  <c r="BW70" i="14"/>
  <c r="BF70" i="14"/>
  <c r="BD11" i="14"/>
  <c r="BD12" i="14"/>
  <c r="BD13" i="14"/>
  <c r="BD14" i="14"/>
  <c r="BD15" i="14"/>
  <c r="BD16" i="14"/>
  <c r="BD17" i="14"/>
  <c r="BD18" i="14"/>
  <c r="BD19" i="14"/>
  <c r="BD20" i="14"/>
  <c r="BD21" i="14"/>
  <c r="BD22" i="14"/>
  <c r="BD23" i="14"/>
  <c r="BD24" i="14"/>
  <c r="BD25" i="14"/>
  <c r="BD26" i="14"/>
  <c r="BD27" i="14"/>
  <c r="BD28" i="14"/>
  <c r="BD29" i="14"/>
  <c r="BD30" i="14"/>
  <c r="BD31" i="14"/>
  <c r="BD32" i="14"/>
  <c r="BD33" i="14"/>
  <c r="BD34" i="14"/>
  <c r="BD35" i="14"/>
  <c r="BD36" i="14"/>
  <c r="BD37" i="14"/>
  <c r="BD38" i="14"/>
  <c r="BD39" i="14"/>
  <c r="BD40" i="14"/>
  <c r="BD41" i="14"/>
  <c r="BD42" i="14"/>
  <c r="BD43" i="14"/>
  <c r="BD44" i="14"/>
  <c r="BD45" i="14"/>
  <c r="BD46" i="14"/>
  <c r="BD47" i="14"/>
  <c r="BD48" i="14"/>
  <c r="BD49" i="14"/>
  <c r="BD50" i="14"/>
  <c r="BD51" i="14"/>
  <c r="BD52" i="14"/>
  <c r="BD53" i="14"/>
  <c r="BD54" i="14"/>
  <c r="BD55" i="14"/>
  <c r="BD56" i="14"/>
  <c r="BD57" i="14"/>
  <c r="BD58" i="14"/>
  <c r="BD59" i="14"/>
  <c r="BD60" i="14"/>
  <c r="BD61" i="14"/>
  <c r="BD62" i="14"/>
  <c r="BD63" i="14"/>
  <c r="BD64" i="14"/>
  <c r="BD65" i="14"/>
  <c r="BD66" i="14"/>
  <c r="BD67" i="14"/>
  <c r="BD68" i="14"/>
  <c r="BD69" i="14"/>
  <c r="BD70" i="14"/>
  <c r="BD9" i="14"/>
  <c r="A772" i="13"/>
  <c r="A826"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BA11" i="13"/>
  <c r="BC11" i="13"/>
  <c r="BE11" i="13"/>
  <c r="BG11" i="13"/>
  <c r="BI11" i="13"/>
  <c r="BK11" i="13"/>
  <c r="BW11" i="13"/>
  <c r="BF11" i="13"/>
  <c r="BB12" i="13"/>
  <c r="BA12" i="13"/>
  <c r="BC12" i="13"/>
  <c r="BE12" i="13"/>
  <c r="BG12" i="13"/>
  <c r="BI12" i="13"/>
  <c r="BK12" i="13"/>
  <c r="BW12" i="13"/>
  <c r="BF12" i="13"/>
  <c r="BB13" i="13"/>
  <c r="BA13" i="13"/>
  <c r="BC13" i="13"/>
  <c r="BE13" i="13"/>
  <c r="BG13" i="13"/>
  <c r="BI13" i="13"/>
  <c r="BK13" i="13"/>
  <c r="BW13" i="13"/>
  <c r="BF13" i="13"/>
  <c r="BB14" i="13"/>
  <c r="BA14" i="13"/>
  <c r="BC14" i="13"/>
  <c r="BE14" i="13"/>
  <c r="BG14" i="13"/>
  <c r="BI14" i="13"/>
  <c r="BK14" i="13"/>
  <c r="BW14" i="13"/>
  <c r="BF14" i="13"/>
  <c r="BB15" i="13"/>
  <c r="BA15" i="13"/>
  <c r="BC15" i="13"/>
  <c r="BE15" i="13"/>
  <c r="BG15" i="13"/>
  <c r="BI15" i="13"/>
  <c r="BK15" i="13"/>
  <c r="BW15" i="13"/>
  <c r="BF15" i="13"/>
  <c r="BB16" i="13"/>
  <c r="BA16" i="13"/>
  <c r="BC16" i="13"/>
  <c r="BE16" i="13"/>
  <c r="BG16" i="13"/>
  <c r="BI16" i="13"/>
  <c r="BK16" i="13"/>
  <c r="BW16" i="13"/>
  <c r="BF16" i="13"/>
  <c r="BB17" i="13"/>
  <c r="BA17" i="13"/>
  <c r="BC17" i="13"/>
  <c r="BE17" i="13"/>
  <c r="BG17" i="13"/>
  <c r="BI17" i="13"/>
  <c r="BK17" i="13"/>
  <c r="BW17" i="13"/>
  <c r="BF17" i="13"/>
  <c r="BB18" i="13"/>
  <c r="BA18" i="13"/>
  <c r="BC18" i="13"/>
  <c r="BE18" i="13"/>
  <c r="BG18" i="13"/>
  <c r="BI18" i="13"/>
  <c r="BK18" i="13"/>
  <c r="BW18" i="13"/>
  <c r="BF18" i="13"/>
  <c r="BB19" i="13"/>
  <c r="BA19" i="13"/>
  <c r="BC19" i="13"/>
  <c r="BE19" i="13"/>
  <c r="BG19" i="13"/>
  <c r="BI19" i="13"/>
  <c r="BK19" i="13"/>
  <c r="BW19" i="13"/>
  <c r="BF19" i="13"/>
  <c r="BB20" i="13"/>
  <c r="BA20" i="13"/>
  <c r="BC20" i="13"/>
  <c r="BE20" i="13"/>
  <c r="BG20" i="13"/>
  <c r="BI20" i="13"/>
  <c r="BK20" i="13"/>
  <c r="BW20" i="13"/>
  <c r="BF20" i="13"/>
  <c r="BB21" i="13"/>
  <c r="BA21" i="13"/>
  <c r="BC21" i="13"/>
  <c r="BE21" i="13"/>
  <c r="BG21" i="13"/>
  <c r="BI21" i="13"/>
  <c r="BK21" i="13"/>
  <c r="BW21" i="13"/>
  <c r="BF21" i="13"/>
  <c r="BB22" i="13"/>
  <c r="BA22" i="13"/>
  <c r="BC22" i="13"/>
  <c r="BE22" i="13"/>
  <c r="BG22" i="13"/>
  <c r="BI22" i="13"/>
  <c r="BK22" i="13"/>
  <c r="BW22" i="13"/>
  <c r="BF22" i="13"/>
  <c r="BB23" i="13"/>
  <c r="BA23" i="13"/>
  <c r="BC23" i="13"/>
  <c r="BE23" i="13"/>
  <c r="BG23" i="13"/>
  <c r="BI23" i="13"/>
  <c r="BK23" i="13"/>
  <c r="BW23" i="13"/>
  <c r="BF23" i="13"/>
  <c r="BB24" i="13"/>
  <c r="BA24" i="13"/>
  <c r="BC24" i="13"/>
  <c r="BE24" i="13"/>
  <c r="BG24" i="13"/>
  <c r="BI24" i="13"/>
  <c r="BK24" i="13"/>
  <c r="BW24" i="13"/>
  <c r="BF24" i="13"/>
  <c r="BB25" i="13"/>
  <c r="BA25" i="13"/>
  <c r="BC25" i="13"/>
  <c r="BE25" i="13"/>
  <c r="BG25" i="13"/>
  <c r="BI25" i="13"/>
  <c r="BK25" i="13"/>
  <c r="BW25" i="13"/>
  <c r="BF25" i="13"/>
  <c r="BB26" i="13"/>
  <c r="BA26" i="13"/>
  <c r="BC26" i="13"/>
  <c r="BE26" i="13"/>
  <c r="BG26" i="13"/>
  <c r="BI26" i="13"/>
  <c r="BK26" i="13"/>
  <c r="BW26" i="13"/>
  <c r="BF26" i="13"/>
  <c r="BB27" i="13"/>
  <c r="BA27" i="13"/>
  <c r="BC27" i="13"/>
  <c r="BE27" i="13"/>
  <c r="BG27" i="13"/>
  <c r="BI27" i="13"/>
  <c r="BK27" i="13"/>
  <c r="BW27" i="13"/>
  <c r="BF27" i="13"/>
  <c r="BB28" i="13"/>
  <c r="BA28" i="13"/>
  <c r="BC28" i="13"/>
  <c r="BE28" i="13"/>
  <c r="BG28" i="13"/>
  <c r="BI28" i="13"/>
  <c r="BK28" i="13"/>
  <c r="BW28" i="13"/>
  <c r="BF28" i="13"/>
  <c r="BB29" i="13"/>
  <c r="BA29" i="13"/>
  <c r="BC29" i="13"/>
  <c r="BE29" i="13"/>
  <c r="BG29" i="13"/>
  <c r="BI29" i="13"/>
  <c r="BK29" i="13"/>
  <c r="BW29" i="13"/>
  <c r="BF29" i="13"/>
  <c r="BB30" i="13"/>
  <c r="BA30" i="13"/>
  <c r="BC30" i="13"/>
  <c r="BE30" i="13"/>
  <c r="BG30" i="13"/>
  <c r="BI30" i="13"/>
  <c r="BK30" i="13"/>
  <c r="BW30" i="13"/>
  <c r="BF30" i="13"/>
  <c r="BB31" i="13"/>
  <c r="BA31" i="13"/>
  <c r="BC31" i="13"/>
  <c r="BE31" i="13"/>
  <c r="BG31" i="13"/>
  <c r="BI31" i="13"/>
  <c r="BK31" i="13"/>
  <c r="BW31" i="13"/>
  <c r="BF31" i="13"/>
  <c r="BB32" i="13"/>
  <c r="BA32" i="13"/>
  <c r="BC32" i="13"/>
  <c r="BE32" i="13"/>
  <c r="BG32" i="13"/>
  <c r="BI32" i="13"/>
  <c r="BK32" i="13"/>
  <c r="BW32" i="13"/>
  <c r="BF32" i="13"/>
  <c r="BB33" i="13"/>
  <c r="BA33" i="13"/>
  <c r="BC33" i="13"/>
  <c r="BE33" i="13"/>
  <c r="BG33" i="13"/>
  <c r="BI33" i="13"/>
  <c r="BK33" i="13"/>
  <c r="BW33" i="13"/>
  <c r="BF33" i="13"/>
  <c r="BB34" i="13"/>
  <c r="BA34" i="13"/>
  <c r="BC34" i="13"/>
  <c r="BE34" i="13"/>
  <c r="BG34" i="13"/>
  <c r="BI34" i="13"/>
  <c r="BK34" i="13"/>
  <c r="BW34" i="13"/>
  <c r="BF34" i="13"/>
  <c r="BB35" i="13"/>
  <c r="BA35" i="13"/>
  <c r="BC35" i="13"/>
  <c r="BE35" i="13"/>
  <c r="BG35" i="13"/>
  <c r="BI35" i="13"/>
  <c r="BK35" i="13"/>
  <c r="BW35" i="13"/>
  <c r="BF35" i="13"/>
  <c r="BB36" i="13"/>
  <c r="BA36" i="13"/>
  <c r="BC36" i="13"/>
  <c r="BE36" i="13"/>
  <c r="BG36" i="13"/>
  <c r="BI36" i="13"/>
  <c r="BK36" i="13"/>
  <c r="BW36" i="13"/>
  <c r="BF36" i="13"/>
  <c r="BB37" i="13"/>
  <c r="BA37" i="13"/>
  <c r="BC37" i="13"/>
  <c r="BE37" i="13"/>
  <c r="BG37" i="13"/>
  <c r="BI37" i="13"/>
  <c r="BK37" i="13"/>
  <c r="BW37" i="13"/>
  <c r="BF37" i="13"/>
  <c r="BB38" i="13"/>
  <c r="BA38" i="13"/>
  <c r="BC38" i="13"/>
  <c r="BE38" i="13"/>
  <c r="BG38" i="13"/>
  <c r="BI38" i="13"/>
  <c r="BK38" i="13"/>
  <c r="BW38" i="13"/>
  <c r="BF38" i="13"/>
  <c r="BB39" i="13"/>
  <c r="BA39" i="13"/>
  <c r="BC39" i="13"/>
  <c r="BE39" i="13"/>
  <c r="BG39" i="13"/>
  <c r="BI39" i="13"/>
  <c r="BK39" i="13"/>
  <c r="BW39" i="13"/>
  <c r="BF39" i="13"/>
  <c r="BB40" i="13"/>
  <c r="BA40" i="13"/>
  <c r="BC40" i="13"/>
  <c r="BE40" i="13"/>
  <c r="BG40" i="13"/>
  <c r="BI40" i="13"/>
  <c r="BK40" i="13"/>
  <c r="BW40" i="13"/>
  <c r="BF40" i="13"/>
  <c r="BB41" i="13"/>
  <c r="BA41" i="13"/>
  <c r="BC41" i="13"/>
  <c r="BE41" i="13"/>
  <c r="BG41" i="13"/>
  <c r="BI41" i="13"/>
  <c r="BK41" i="13"/>
  <c r="BW41" i="13"/>
  <c r="BF41" i="13"/>
  <c r="BB42" i="13"/>
  <c r="BA42" i="13"/>
  <c r="BC42" i="13"/>
  <c r="BE42" i="13"/>
  <c r="BG42" i="13"/>
  <c r="BI42" i="13"/>
  <c r="BK42" i="13"/>
  <c r="BW42" i="13"/>
  <c r="BF42" i="13"/>
  <c r="BB43" i="13"/>
  <c r="BA43" i="13"/>
  <c r="BC43" i="13"/>
  <c r="BE43" i="13"/>
  <c r="BG43" i="13"/>
  <c r="BI43" i="13"/>
  <c r="BK43" i="13"/>
  <c r="BW43" i="13"/>
  <c r="BF43" i="13"/>
  <c r="BB44" i="13"/>
  <c r="BA44" i="13"/>
  <c r="BC44" i="13"/>
  <c r="BE44" i="13"/>
  <c r="BG44" i="13"/>
  <c r="BI44" i="13"/>
  <c r="BK44" i="13"/>
  <c r="BW44" i="13"/>
  <c r="BF44" i="13"/>
  <c r="BB45" i="13"/>
  <c r="BA45" i="13"/>
  <c r="BC45" i="13"/>
  <c r="BE45" i="13"/>
  <c r="BG45" i="13"/>
  <c r="BI45" i="13"/>
  <c r="BK45" i="13"/>
  <c r="BW45" i="13"/>
  <c r="BF45" i="13"/>
  <c r="BB46" i="13"/>
  <c r="BA46" i="13"/>
  <c r="BC46" i="13"/>
  <c r="BE46" i="13"/>
  <c r="BG46" i="13"/>
  <c r="BI46" i="13"/>
  <c r="BK46" i="13"/>
  <c r="BW46" i="13"/>
  <c r="BF46" i="13"/>
  <c r="BB47" i="13"/>
  <c r="BA47" i="13"/>
  <c r="BC47" i="13"/>
  <c r="BE47" i="13"/>
  <c r="BG47" i="13"/>
  <c r="BI47" i="13"/>
  <c r="BK47" i="13"/>
  <c r="BW47" i="13"/>
  <c r="BF47" i="13"/>
  <c r="BB48" i="13"/>
  <c r="BA48" i="13"/>
  <c r="BC48" i="13"/>
  <c r="BE48" i="13"/>
  <c r="BG48" i="13"/>
  <c r="BI48" i="13"/>
  <c r="BK48" i="13"/>
  <c r="BW48" i="13"/>
  <c r="BF48" i="13"/>
  <c r="BB49" i="13"/>
  <c r="BA49" i="13"/>
  <c r="BC49" i="13"/>
  <c r="BE49" i="13"/>
  <c r="BG49" i="13"/>
  <c r="BI49" i="13"/>
  <c r="BK49" i="13"/>
  <c r="BW49" i="13"/>
  <c r="BF49" i="13"/>
  <c r="BB50" i="13"/>
  <c r="BA50" i="13"/>
  <c r="BC50" i="13"/>
  <c r="BE50" i="13"/>
  <c r="BK50" i="13"/>
  <c r="BW50" i="13"/>
  <c r="BF50" i="13"/>
  <c r="BA51" i="13"/>
  <c r="BC51" i="13"/>
  <c r="BE51" i="13"/>
  <c r="BK51" i="13"/>
  <c r="BW51" i="13"/>
  <c r="BF51" i="13"/>
  <c r="BA52" i="13"/>
  <c r="BC52" i="13"/>
  <c r="BE52" i="13"/>
  <c r="BK52" i="13"/>
  <c r="BW52" i="13"/>
  <c r="BF52" i="13"/>
  <c r="BA53" i="13"/>
  <c r="BC53" i="13"/>
  <c r="BE53" i="13"/>
  <c r="BK53" i="13"/>
  <c r="BW53" i="13"/>
  <c r="BF53" i="13"/>
  <c r="BA54" i="13"/>
  <c r="BC54" i="13"/>
  <c r="BE54" i="13"/>
  <c r="BK54" i="13"/>
  <c r="BW54" i="13"/>
  <c r="BF54" i="13"/>
  <c r="BA55" i="13"/>
  <c r="BC55" i="13"/>
  <c r="BE55" i="13"/>
  <c r="BK55" i="13"/>
  <c r="BW55" i="13"/>
  <c r="BF55" i="13"/>
  <c r="BA56" i="13"/>
  <c r="BC56" i="13"/>
  <c r="BE56" i="13"/>
  <c r="BK56" i="13"/>
  <c r="BW56" i="13"/>
  <c r="BF56" i="13"/>
  <c r="BA57" i="13"/>
  <c r="BC57" i="13"/>
  <c r="BE57" i="13"/>
  <c r="BK57" i="13"/>
  <c r="BW57" i="13"/>
  <c r="BF57" i="13"/>
  <c r="BA58" i="13"/>
  <c r="BC58" i="13"/>
  <c r="BE58" i="13"/>
  <c r="BK58" i="13"/>
  <c r="BW58" i="13"/>
  <c r="BF58" i="13"/>
  <c r="BA59" i="13"/>
  <c r="BC59" i="13"/>
  <c r="BE59" i="13"/>
  <c r="BK59" i="13"/>
  <c r="BW59" i="13"/>
  <c r="BF59" i="13"/>
  <c r="BA60" i="13"/>
  <c r="BC60" i="13"/>
  <c r="BE60" i="13"/>
  <c r="BK60" i="13"/>
  <c r="BW60" i="13"/>
  <c r="BF60" i="13"/>
  <c r="BA61" i="13"/>
  <c r="BC61" i="13"/>
  <c r="BE61" i="13"/>
  <c r="BK61" i="13"/>
  <c r="BW61" i="13"/>
  <c r="BF61" i="13"/>
  <c r="BA62" i="13"/>
  <c r="BC62" i="13"/>
  <c r="BE62" i="13"/>
  <c r="BK62" i="13"/>
  <c r="BW62" i="13"/>
  <c r="BF62" i="13"/>
  <c r="BA63" i="13"/>
  <c r="BC63" i="13"/>
  <c r="BE63" i="13"/>
  <c r="BK63" i="13"/>
  <c r="BW63" i="13"/>
  <c r="BF63" i="13"/>
  <c r="BA64" i="13"/>
  <c r="BC64" i="13"/>
  <c r="BE64" i="13"/>
  <c r="BK64" i="13"/>
  <c r="BW64" i="13"/>
  <c r="BF64" i="13"/>
  <c r="BA65" i="13"/>
  <c r="BC65" i="13"/>
  <c r="BE65" i="13"/>
  <c r="BK65" i="13"/>
  <c r="BW65" i="13"/>
  <c r="BF65" i="13"/>
  <c r="BA66" i="13"/>
  <c r="BC66" i="13"/>
  <c r="BE66" i="13"/>
  <c r="BK66" i="13"/>
  <c r="BW66" i="13"/>
  <c r="BF66" i="13"/>
  <c r="BA67" i="13"/>
  <c r="BC67" i="13"/>
  <c r="BE67" i="13"/>
  <c r="BK67" i="13"/>
  <c r="BW67" i="13"/>
  <c r="BF67" i="13"/>
  <c r="BA68" i="13"/>
  <c r="BC68" i="13"/>
  <c r="BE68" i="13"/>
  <c r="BK68" i="13"/>
  <c r="BW68" i="13"/>
  <c r="BF68" i="13"/>
  <c r="BA69" i="13"/>
  <c r="BC69" i="13"/>
  <c r="BE69" i="13"/>
  <c r="BK69" i="13"/>
  <c r="BW69" i="13"/>
  <c r="BF69" i="13"/>
  <c r="BA70" i="13"/>
  <c r="BC70" i="13"/>
  <c r="BE70" i="13"/>
  <c r="BK70" i="13"/>
  <c r="BW70" i="13"/>
  <c r="BF70" i="13"/>
  <c r="BD11" i="13"/>
  <c r="BD12" i="13"/>
  <c r="BD13" i="13"/>
  <c r="BD14" i="13"/>
  <c r="BD15" i="13"/>
  <c r="BD16" i="13"/>
  <c r="BD17" i="13"/>
  <c r="BD18" i="13"/>
  <c r="BD19" i="13"/>
  <c r="BD20" i="13"/>
  <c r="BD21" i="13"/>
  <c r="BD22" i="13"/>
  <c r="BD23" i="13"/>
  <c r="BD24" i="13"/>
  <c r="BD25" i="13"/>
  <c r="BD26" i="13"/>
  <c r="BD27" i="13"/>
  <c r="BD28" i="13"/>
  <c r="BD29" i="13"/>
  <c r="BD30" i="13"/>
  <c r="BD31" i="13"/>
  <c r="BD32" i="13"/>
  <c r="BD33" i="13"/>
  <c r="BD34" i="13"/>
  <c r="BD35" i="13"/>
  <c r="BD36" i="13"/>
  <c r="BD37" i="13"/>
  <c r="BD38" i="13"/>
  <c r="BD39" i="13"/>
  <c r="BD40" i="13"/>
  <c r="BD41" i="13"/>
  <c r="BD42" i="13"/>
  <c r="BD43" i="13"/>
  <c r="BD44" i="13"/>
  <c r="BD45" i="13"/>
  <c r="BD46" i="13"/>
  <c r="BD47" i="13"/>
  <c r="BD48" i="13"/>
  <c r="BD49" i="13"/>
  <c r="BD50" i="13"/>
  <c r="BD51" i="13"/>
  <c r="BD52" i="13"/>
  <c r="BD53" i="13"/>
  <c r="BD54" i="13"/>
  <c r="BD55" i="13"/>
  <c r="BD56" i="13"/>
  <c r="BD57" i="13"/>
  <c r="BD58" i="13"/>
  <c r="BD59" i="13"/>
  <c r="BD60" i="13"/>
  <c r="BD61" i="13"/>
  <c r="BD62" i="13"/>
  <c r="BD63" i="13"/>
  <c r="BD64" i="13"/>
  <c r="BD65" i="13"/>
  <c r="BD66" i="13"/>
  <c r="BD67" i="13"/>
  <c r="BD68" i="13"/>
  <c r="BD69" i="13"/>
  <c r="BD70" i="13"/>
  <c r="BD9" i="13"/>
  <c r="BA11" i="12"/>
  <c r="BC11" i="12"/>
  <c r="BE11" i="12"/>
  <c r="BG11" i="12"/>
  <c r="BI11" i="12"/>
  <c r="BK11" i="12"/>
  <c r="BW11" i="12"/>
  <c r="BF11" i="12"/>
  <c r="BB12" i="12"/>
  <c r="BA12" i="12"/>
  <c r="BC12" i="12"/>
  <c r="BE12" i="12"/>
  <c r="BG12" i="12"/>
  <c r="BI12" i="12"/>
  <c r="BK12" i="12"/>
  <c r="BW12" i="12"/>
  <c r="BF12" i="12"/>
  <c r="BB13" i="12"/>
  <c r="BA13" i="12"/>
  <c r="BC13" i="12"/>
  <c r="BE13" i="12"/>
  <c r="BG13" i="12"/>
  <c r="BI13" i="12"/>
  <c r="BK13" i="12"/>
  <c r="BW13" i="12"/>
  <c r="BF13" i="12"/>
  <c r="BB14" i="12"/>
  <c r="BA14" i="12"/>
  <c r="BC14" i="12"/>
  <c r="BE14" i="12"/>
  <c r="BG14" i="12"/>
  <c r="BI14" i="12"/>
  <c r="BK14" i="12"/>
  <c r="BW14" i="12"/>
  <c r="BF14" i="12"/>
  <c r="BB15" i="12"/>
  <c r="BA15" i="12"/>
  <c r="BC15" i="12"/>
  <c r="BE15" i="12"/>
  <c r="BG15" i="12"/>
  <c r="BI15" i="12"/>
  <c r="BK15" i="12"/>
  <c r="BW15" i="12"/>
  <c r="BF15" i="12"/>
  <c r="BB16" i="12"/>
  <c r="BA16" i="12"/>
  <c r="BC16" i="12"/>
  <c r="BE16" i="12"/>
  <c r="BG16" i="12"/>
  <c r="BI16" i="12"/>
  <c r="BK16" i="12"/>
  <c r="BW16" i="12"/>
  <c r="BF16" i="12"/>
  <c r="BB17" i="12"/>
  <c r="BA17" i="12"/>
  <c r="BC17" i="12"/>
  <c r="BE17" i="12"/>
  <c r="BG17" i="12"/>
  <c r="BI17" i="12"/>
  <c r="BK17" i="12"/>
  <c r="BW17" i="12"/>
  <c r="BF17" i="12"/>
  <c r="BB18" i="12"/>
  <c r="BA18" i="12"/>
  <c r="BC18" i="12"/>
  <c r="BE18" i="12"/>
  <c r="BG18" i="12"/>
  <c r="BI18" i="12"/>
  <c r="BK18" i="12"/>
  <c r="BW18" i="12"/>
  <c r="BF18" i="12"/>
  <c r="BB19" i="12"/>
  <c r="BA19" i="12"/>
  <c r="BC19" i="12"/>
  <c r="BE19" i="12"/>
  <c r="BG19" i="12"/>
  <c r="BI19" i="12"/>
  <c r="BK19" i="12"/>
  <c r="BW19" i="12"/>
  <c r="BF19" i="12"/>
  <c r="BB20" i="12"/>
  <c r="BA20" i="12"/>
  <c r="BC20" i="12"/>
  <c r="BE20" i="12"/>
  <c r="BG20" i="12"/>
  <c r="BI20" i="12"/>
  <c r="BK20" i="12"/>
  <c r="BW20" i="12"/>
  <c r="BF20" i="12"/>
  <c r="BB21" i="12"/>
  <c r="BA21" i="12"/>
  <c r="BC21" i="12"/>
  <c r="BE21" i="12"/>
  <c r="BG21" i="12"/>
  <c r="BI21" i="12"/>
  <c r="BK21" i="12"/>
  <c r="BW21" i="12"/>
  <c r="BF21" i="12"/>
  <c r="BB22" i="12"/>
  <c r="BA22" i="12"/>
  <c r="BC22" i="12"/>
  <c r="BE22" i="12"/>
  <c r="BG22" i="12"/>
  <c r="BI22" i="12"/>
  <c r="BK22" i="12"/>
  <c r="BW22" i="12"/>
  <c r="BF22" i="12"/>
  <c r="BB23" i="12"/>
  <c r="BA23" i="12"/>
  <c r="BC23" i="12"/>
  <c r="BE23" i="12"/>
  <c r="BG23" i="12"/>
  <c r="BI23" i="12"/>
  <c r="BK23" i="12"/>
  <c r="BW23" i="12"/>
  <c r="BF23" i="12"/>
  <c r="BB24" i="12"/>
  <c r="BA24" i="12"/>
  <c r="BC24" i="12"/>
  <c r="BE24" i="12"/>
  <c r="BG24" i="12"/>
  <c r="BI24" i="12"/>
  <c r="BK24" i="12"/>
  <c r="BW24" i="12"/>
  <c r="BF24" i="12"/>
  <c r="BB25" i="12"/>
  <c r="BA25" i="12"/>
  <c r="BC25" i="12"/>
  <c r="BE25" i="12"/>
  <c r="BG25" i="12"/>
  <c r="BI25" i="12"/>
  <c r="BK25" i="12"/>
  <c r="BW25" i="12"/>
  <c r="BF25" i="12"/>
  <c r="BB26" i="12"/>
  <c r="BA26" i="12"/>
  <c r="BC26" i="12"/>
  <c r="BE26" i="12"/>
  <c r="BG26" i="12"/>
  <c r="BI26" i="12"/>
  <c r="BK26" i="12"/>
  <c r="BW26" i="12"/>
  <c r="BF26" i="12"/>
  <c r="BB27" i="12"/>
  <c r="BA27" i="12"/>
  <c r="BC27" i="12"/>
  <c r="BE27" i="12"/>
  <c r="BG27" i="12"/>
  <c r="BI27" i="12"/>
  <c r="BK27" i="12"/>
  <c r="BW27" i="12"/>
  <c r="BF27" i="12"/>
  <c r="BB28" i="12"/>
  <c r="BA28" i="12"/>
  <c r="BC28" i="12"/>
  <c r="BE28" i="12"/>
  <c r="BG28" i="12"/>
  <c r="BI28" i="12"/>
  <c r="BK28" i="12"/>
  <c r="BW28" i="12"/>
  <c r="BF28" i="12"/>
  <c r="BB29" i="12"/>
  <c r="BA29" i="12"/>
  <c r="BC29" i="12"/>
  <c r="BE29" i="12"/>
  <c r="BG29" i="12"/>
  <c r="BI29" i="12"/>
  <c r="BK29" i="12"/>
  <c r="BW29" i="12"/>
  <c r="BF29" i="12"/>
  <c r="BB30" i="12"/>
  <c r="BA30" i="12"/>
  <c r="BC30" i="12"/>
  <c r="BE30" i="12"/>
  <c r="BG30" i="12"/>
  <c r="BI30" i="12"/>
  <c r="BK30" i="12"/>
  <c r="BW30" i="12"/>
  <c r="BF30" i="12"/>
  <c r="BB31" i="12"/>
  <c r="BA31" i="12"/>
  <c r="BC31" i="12"/>
  <c r="BE31" i="12"/>
  <c r="BG31" i="12"/>
  <c r="BI31" i="12"/>
  <c r="BK31" i="12"/>
  <c r="BW31" i="12"/>
  <c r="BF31" i="12"/>
  <c r="BB32" i="12"/>
  <c r="BA32" i="12"/>
  <c r="BC32" i="12"/>
  <c r="BE32" i="12"/>
  <c r="BG32" i="12"/>
  <c r="BI32" i="12"/>
  <c r="BK32" i="12"/>
  <c r="BW32" i="12"/>
  <c r="BF32" i="12"/>
  <c r="BB33" i="12"/>
  <c r="BA33" i="12"/>
  <c r="BC33" i="12"/>
  <c r="BE33" i="12"/>
  <c r="BG33" i="12"/>
  <c r="BI33" i="12"/>
  <c r="BK33" i="12"/>
  <c r="BW33" i="12"/>
  <c r="BF33" i="12"/>
  <c r="BB34" i="12"/>
  <c r="BA34" i="12"/>
  <c r="BC34" i="12"/>
  <c r="BE34" i="12"/>
  <c r="BG34" i="12"/>
  <c r="BI34" i="12"/>
  <c r="BK34" i="12"/>
  <c r="BW34" i="12"/>
  <c r="BF34" i="12"/>
  <c r="BB35" i="12"/>
  <c r="BA35" i="12"/>
  <c r="BC35" i="12"/>
  <c r="BE35" i="12"/>
  <c r="BG35" i="12"/>
  <c r="BI35" i="12"/>
  <c r="BK35" i="12"/>
  <c r="BW35" i="12"/>
  <c r="BF35" i="12"/>
  <c r="BB36" i="12"/>
  <c r="BA36" i="12"/>
  <c r="BC36" i="12"/>
  <c r="BE36" i="12"/>
  <c r="BG36" i="12"/>
  <c r="BI36" i="12"/>
  <c r="BK36" i="12"/>
  <c r="BW36" i="12"/>
  <c r="BF36" i="12"/>
  <c r="BB37" i="12"/>
  <c r="BA37" i="12"/>
  <c r="BC37" i="12"/>
  <c r="BE37" i="12"/>
  <c r="BG37" i="12"/>
  <c r="BI37" i="12"/>
  <c r="BK37" i="12"/>
  <c r="BW37" i="12"/>
  <c r="BF37" i="12"/>
  <c r="BB38" i="12"/>
  <c r="BA38" i="12"/>
  <c r="BC38" i="12"/>
  <c r="BE38" i="12"/>
  <c r="BG38" i="12"/>
  <c r="BI38" i="12"/>
  <c r="BK38" i="12"/>
  <c r="BW38" i="12"/>
  <c r="BF38" i="12"/>
  <c r="BB39" i="12"/>
  <c r="BA39" i="12"/>
  <c r="BC39" i="12"/>
  <c r="BE39" i="12"/>
  <c r="BK39" i="12"/>
  <c r="BW39" i="12"/>
  <c r="BF39" i="12"/>
  <c r="BA40" i="12"/>
  <c r="BC40" i="12"/>
  <c r="BE40" i="12"/>
  <c r="BK40" i="12"/>
  <c r="BW40" i="12"/>
  <c r="BF40" i="12"/>
  <c r="BA41" i="12"/>
  <c r="BC41" i="12"/>
  <c r="BE41" i="12"/>
  <c r="BK41" i="12"/>
  <c r="BW41" i="12"/>
  <c r="BF41" i="12"/>
  <c r="BA42" i="12"/>
  <c r="BC42" i="12"/>
  <c r="BE42" i="12"/>
  <c r="BK42" i="12"/>
  <c r="BW42" i="12"/>
  <c r="BF42" i="12"/>
  <c r="BA43" i="12"/>
  <c r="BC43" i="12"/>
  <c r="BE43" i="12"/>
  <c r="BK43" i="12"/>
  <c r="BW43" i="12"/>
  <c r="BF43" i="12"/>
  <c r="BA44" i="12"/>
  <c r="BC44" i="12"/>
  <c r="BE44" i="12"/>
  <c r="BK44" i="12"/>
  <c r="BW44" i="12"/>
  <c r="BF44" i="12"/>
  <c r="BA45" i="12"/>
  <c r="BC45" i="12"/>
  <c r="BE45" i="12"/>
  <c r="BK45" i="12"/>
  <c r="BW45" i="12"/>
  <c r="BF45" i="12"/>
  <c r="BA46" i="12"/>
  <c r="BC46" i="12"/>
  <c r="BE46" i="12"/>
  <c r="BK46" i="12"/>
  <c r="BW46" i="12"/>
  <c r="BF46" i="12"/>
  <c r="BA47" i="12"/>
  <c r="BC47" i="12"/>
  <c r="BE47" i="12"/>
  <c r="BK47" i="12"/>
  <c r="BW47" i="12"/>
  <c r="BF47" i="12"/>
  <c r="BA48" i="12"/>
  <c r="BC48" i="12"/>
  <c r="BE48" i="12"/>
  <c r="BK48" i="12"/>
  <c r="BW48" i="12"/>
  <c r="BF48" i="12"/>
  <c r="BA49" i="12"/>
  <c r="BC49" i="12"/>
  <c r="BE49" i="12"/>
  <c r="BK49" i="12"/>
  <c r="BW49" i="12"/>
  <c r="BF49" i="12"/>
  <c r="BA50" i="12"/>
  <c r="BC50" i="12"/>
  <c r="BE50" i="12"/>
  <c r="BK50" i="12"/>
  <c r="BW50" i="12"/>
  <c r="BF50" i="12"/>
  <c r="BA51" i="12"/>
  <c r="BC51" i="12"/>
  <c r="BE51" i="12"/>
  <c r="BK51" i="12"/>
  <c r="BW51" i="12"/>
  <c r="BF51" i="12"/>
  <c r="BA52" i="12"/>
  <c r="BC52" i="12"/>
  <c r="BE52" i="12"/>
  <c r="BK52" i="12"/>
  <c r="BW52" i="12"/>
  <c r="BF52" i="12"/>
  <c r="BA53" i="12"/>
  <c r="BC53" i="12"/>
  <c r="BE53" i="12"/>
  <c r="BK53" i="12"/>
  <c r="BW53" i="12"/>
  <c r="BF53" i="12"/>
  <c r="BA54" i="12"/>
  <c r="BC54" i="12"/>
  <c r="BE54" i="12"/>
  <c r="BK54" i="12"/>
  <c r="BW54" i="12"/>
  <c r="BF54" i="12"/>
  <c r="BA55" i="12"/>
  <c r="BC55" i="12"/>
  <c r="BE55" i="12"/>
  <c r="BK55" i="12"/>
  <c r="BW55" i="12"/>
  <c r="BF55" i="12"/>
  <c r="BA56" i="12"/>
  <c r="BC56" i="12"/>
  <c r="BE56" i="12"/>
  <c r="BK56" i="12"/>
  <c r="BW56" i="12"/>
  <c r="BF56" i="12"/>
  <c r="BA57" i="12"/>
  <c r="BC57" i="12"/>
  <c r="BE57" i="12"/>
  <c r="BK57" i="12"/>
  <c r="BW57" i="12"/>
  <c r="BF57" i="12"/>
  <c r="BA58" i="12"/>
  <c r="BC58" i="12"/>
  <c r="BE58" i="12"/>
  <c r="BK58" i="12"/>
  <c r="BW58" i="12"/>
  <c r="BF58" i="12"/>
  <c r="BA59" i="12"/>
  <c r="BC59" i="12"/>
  <c r="BE59" i="12"/>
  <c r="BK59" i="12"/>
  <c r="BW59" i="12"/>
  <c r="BF59" i="12"/>
  <c r="BA60" i="12"/>
  <c r="BC60" i="12"/>
  <c r="BE60" i="12"/>
  <c r="BK60" i="12"/>
  <c r="BW60" i="12"/>
  <c r="BF60" i="12"/>
  <c r="BA61" i="12"/>
  <c r="BC61" i="12"/>
  <c r="BE61" i="12"/>
  <c r="BK61" i="12"/>
  <c r="BW61" i="12"/>
  <c r="BF61" i="12"/>
  <c r="BA62" i="12"/>
  <c r="BC62" i="12"/>
  <c r="BE62" i="12"/>
  <c r="BK62" i="12"/>
  <c r="BW62" i="12"/>
  <c r="BF62" i="12"/>
  <c r="BA63" i="12"/>
  <c r="BC63" i="12"/>
  <c r="BE63" i="12"/>
  <c r="BK63" i="12"/>
  <c r="BW63" i="12"/>
  <c r="BF63" i="12"/>
  <c r="BA64" i="12"/>
  <c r="BC64" i="12"/>
  <c r="BE64" i="12"/>
  <c r="BK64" i="12"/>
  <c r="BW64" i="12"/>
  <c r="BF64" i="12"/>
  <c r="BA65" i="12"/>
  <c r="BC65" i="12"/>
  <c r="BE65" i="12"/>
  <c r="BK65" i="12"/>
  <c r="BW65" i="12"/>
  <c r="BF65" i="12"/>
  <c r="BA66" i="12"/>
  <c r="BC66" i="12"/>
  <c r="BE66" i="12"/>
  <c r="BK66" i="12"/>
  <c r="BW66" i="12"/>
  <c r="BF66" i="12"/>
  <c r="BA67" i="12"/>
  <c r="BC67" i="12"/>
  <c r="BE67" i="12"/>
  <c r="BK67" i="12"/>
  <c r="BW67" i="12"/>
  <c r="BF67" i="12"/>
  <c r="BA68" i="12"/>
  <c r="BC68" i="12"/>
  <c r="BE68" i="12"/>
  <c r="BK68" i="12"/>
  <c r="BW68" i="12"/>
  <c r="BF68" i="12"/>
  <c r="BA69" i="12"/>
  <c r="BC69" i="12"/>
  <c r="BE69" i="12"/>
  <c r="BK69" i="12"/>
  <c r="BW69" i="12"/>
  <c r="BF69" i="12"/>
  <c r="BA70" i="12"/>
  <c r="BC70" i="12"/>
  <c r="BE70" i="12"/>
  <c r="BK70" i="12"/>
  <c r="BW70" i="12"/>
  <c r="BF70" i="12"/>
  <c r="BD11" i="12"/>
  <c r="BD12" i="12"/>
  <c r="BD13" i="12"/>
  <c r="BD14" i="12"/>
  <c r="BD15" i="12"/>
  <c r="BD16" i="12"/>
  <c r="BD17" i="12"/>
  <c r="BD18" i="12"/>
  <c r="BD19" i="12"/>
  <c r="BD20" i="12"/>
  <c r="BD21" i="12"/>
  <c r="BD22" i="12"/>
  <c r="BD23" i="12"/>
  <c r="BD24" i="12"/>
  <c r="BD25" i="12"/>
  <c r="BD26" i="12"/>
  <c r="BD27" i="12"/>
  <c r="BD28" i="12"/>
  <c r="BD29" i="12"/>
  <c r="BD30" i="12"/>
  <c r="BD31" i="12"/>
  <c r="BD32" i="12"/>
  <c r="BD33" i="12"/>
  <c r="BD34" i="12"/>
  <c r="BD35" i="12"/>
  <c r="BD36" i="12"/>
  <c r="BD37" i="12"/>
  <c r="BD38" i="12"/>
  <c r="BD39" i="12"/>
  <c r="BD40" i="12"/>
  <c r="BD41" i="12"/>
  <c r="BD42" i="12"/>
  <c r="BD43" i="12"/>
  <c r="BD44" i="12"/>
  <c r="BD45" i="12"/>
  <c r="BD46" i="12"/>
  <c r="BD47" i="12"/>
  <c r="BD48" i="12"/>
  <c r="BD49" i="12"/>
  <c r="BD50" i="12"/>
  <c r="BD51" i="12"/>
  <c r="BD52" i="12"/>
  <c r="BD53" i="12"/>
  <c r="BD54" i="12"/>
  <c r="BD55" i="12"/>
  <c r="BD56" i="12"/>
  <c r="BD57" i="12"/>
  <c r="BD58" i="12"/>
  <c r="BD59" i="12"/>
  <c r="BD60" i="12"/>
  <c r="BD61" i="12"/>
  <c r="BD62" i="12"/>
  <c r="BD63" i="12"/>
  <c r="BD64" i="12"/>
  <c r="BD65" i="12"/>
  <c r="BD66" i="12"/>
  <c r="BD67" i="12"/>
  <c r="BD68" i="12"/>
  <c r="BD69" i="12"/>
  <c r="BD70" i="12"/>
  <c r="BD9" i="12"/>
  <c r="A1260" i="10"/>
  <c r="A1261" i="10"/>
  <c r="A1262" i="10"/>
  <c r="A1263" i="10"/>
  <c r="A1264" i="10"/>
  <c r="A1265" i="10"/>
  <c r="A1266" i="10"/>
  <c r="A1267" i="10"/>
  <c r="A1268" i="10"/>
  <c r="A1269" i="10"/>
  <c r="A1270" i="10"/>
  <c r="A1271" i="10"/>
  <c r="A1272" i="10"/>
  <c r="A1273" i="10"/>
  <c r="A1274" i="10"/>
  <c r="A1275" i="10"/>
  <c r="A1276" i="10"/>
  <c r="BD9" i="10"/>
  <c r="A13" i="16"/>
  <c r="B10" i="16"/>
  <c r="B13" i="16"/>
  <c r="A14" i="16"/>
  <c r="BH11" i="10"/>
  <c r="BJ11" i="10"/>
  <c r="BL11" i="10"/>
  <c r="BM11" i="10"/>
  <c r="BN11" i="10"/>
  <c r="BV11" i="10"/>
  <c r="BO11" i="10"/>
  <c r="BP11" i="10"/>
  <c r="BQ11" i="10"/>
  <c r="BR11" i="10"/>
  <c r="BS11" i="10"/>
  <c r="BT11" i="10"/>
  <c r="BU11" i="10"/>
  <c r="BX11" i="10"/>
  <c r="BH12" i="10"/>
  <c r="BJ12" i="10"/>
  <c r="BL12" i="10"/>
  <c r="BM12" i="10"/>
  <c r="BN12" i="10"/>
  <c r="BV12" i="10"/>
  <c r="BO12" i="10"/>
  <c r="BP12" i="10"/>
  <c r="BQ12" i="10"/>
  <c r="BR12" i="10"/>
  <c r="BS12" i="10"/>
  <c r="BT12" i="10"/>
  <c r="BU12" i="10"/>
  <c r="BX12" i="10"/>
  <c r="BH13" i="10"/>
  <c r="BJ13" i="10"/>
  <c r="BL13" i="10"/>
  <c r="BM13" i="10"/>
  <c r="BN13" i="10"/>
  <c r="BV13" i="10"/>
  <c r="BO13" i="10"/>
  <c r="BP13" i="10"/>
  <c r="BQ13" i="10"/>
  <c r="BR13" i="10"/>
  <c r="BS13" i="10"/>
  <c r="BT13" i="10"/>
  <c r="BU13" i="10"/>
  <c r="BX13" i="10"/>
  <c r="BH14" i="10"/>
  <c r="BJ14" i="10"/>
  <c r="BL14" i="10"/>
  <c r="BM14" i="10"/>
  <c r="BN14" i="10"/>
  <c r="BV14" i="10"/>
  <c r="BO14" i="10"/>
  <c r="BP14" i="10"/>
  <c r="BQ14" i="10"/>
  <c r="BR14" i="10"/>
  <c r="BS14" i="10"/>
  <c r="BT14" i="10"/>
  <c r="BU14" i="10"/>
  <c r="BX14" i="10"/>
  <c r="BH15" i="10"/>
  <c r="BJ15" i="10"/>
  <c r="BL15" i="10"/>
  <c r="BM15" i="10"/>
  <c r="BN15" i="10"/>
  <c r="BV15" i="10"/>
  <c r="BO15" i="10"/>
  <c r="BP15" i="10"/>
  <c r="BQ15" i="10"/>
  <c r="BR15" i="10"/>
  <c r="BS15" i="10"/>
  <c r="BT15" i="10"/>
  <c r="BU15" i="10"/>
  <c r="BX15" i="10"/>
  <c r="BH16" i="10"/>
  <c r="BJ16" i="10"/>
  <c r="BL16" i="10"/>
  <c r="BM16" i="10"/>
  <c r="BN16" i="10"/>
  <c r="BV16" i="10"/>
  <c r="BO16" i="10"/>
  <c r="BP16" i="10"/>
  <c r="BQ16" i="10"/>
  <c r="BR16" i="10"/>
  <c r="BS16" i="10"/>
  <c r="BT16" i="10"/>
  <c r="BU16" i="10"/>
  <c r="BX16" i="10"/>
  <c r="BH17" i="10"/>
  <c r="BJ17" i="10"/>
  <c r="BL17" i="10"/>
  <c r="BM17" i="10"/>
  <c r="BN17" i="10"/>
  <c r="BV17" i="10"/>
  <c r="BO17" i="10"/>
  <c r="BP17" i="10"/>
  <c r="BQ17" i="10"/>
  <c r="BR17" i="10"/>
  <c r="BS17" i="10"/>
  <c r="BT17" i="10"/>
  <c r="BU17" i="10"/>
  <c r="BX17" i="10"/>
  <c r="BH18" i="10"/>
  <c r="BJ18" i="10"/>
  <c r="BL18" i="10"/>
  <c r="BM18" i="10"/>
  <c r="BN18" i="10"/>
  <c r="BV18" i="10"/>
  <c r="BO18" i="10"/>
  <c r="BP18" i="10"/>
  <c r="BQ18" i="10"/>
  <c r="BR18" i="10"/>
  <c r="BS18" i="10"/>
  <c r="BT18" i="10"/>
  <c r="BU18" i="10"/>
  <c r="BX18" i="10"/>
  <c r="BH19" i="10"/>
  <c r="BJ19" i="10"/>
  <c r="BL19" i="10"/>
  <c r="BM19" i="10"/>
  <c r="BN19" i="10"/>
  <c r="BV19" i="10"/>
  <c r="BO19" i="10"/>
  <c r="BP19" i="10"/>
  <c r="BQ19" i="10"/>
  <c r="BR19" i="10"/>
  <c r="BS19" i="10"/>
  <c r="BT19" i="10"/>
  <c r="BU19" i="10"/>
  <c r="BX19" i="10"/>
  <c r="BH20" i="10"/>
  <c r="BJ20" i="10"/>
  <c r="BL20" i="10"/>
  <c r="BM20" i="10"/>
  <c r="BN20" i="10"/>
  <c r="BV20" i="10"/>
  <c r="BO20" i="10"/>
  <c r="BP20" i="10"/>
  <c r="BQ20" i="10"/>
  <c r="BR20" i="10"/>
  <c r="BS20" i="10"/>
  <c r="BT20" i="10"/>
  <c r="BU20" i="10"/>
  <c r="BX20" i="10"/>
  <c r="BH21" i="10"/>
  <c r="BJ21" i="10"/>
  <c r="BL21" i="10"/>
  <c r="BM21" i="10"/>
  <c r="BN21" i="10"/>
  <c r="BV21" i="10"/>
  <c r="BO21" i="10"/>
  <c r="BP21" i="10"/>
  <c r="BQ21" i="10"/>
  <c r="BR21" i="10"/>
  <c r="BS21" i="10"/>
  <c r="BT21" i="10"/>
  <c r="BU21" i="10"/>
  <c r="BX21" i="10"/>
  <c r="BH22" i="10"/>
  <c r="BJ22" i="10"/>
  <c r="BL22" i="10"/>
  <c r="BM22" i="10"/>
  <c r="BN22" i="10"/>
  <c r="BV22" i="10"/>
  <c r="BO22" i="10"/>
  <c r="BP22" i="10"/>
  <c r="BQ22" i="10"/>
  <c r="BR22" i="10"/>
  <c r="BS22" i="10"/>
  <c r="BT22" i="10"/>
  <c r="BU22" i="10"/>
  <c r="BX22" i="10"/>
  <c r="BH23" i="10"/>
  <c r="BJ23" i="10"/>
  <c r="BL23" i="10"/>
  <c r="BM23" i="10"/>
  <c r="BN23" i="10"/>
  <c r="BV23" i="10"/>
  <c r="BO23" i="10"/>
  <c r="BP23" i="10"/>
  <c r="BQ23" i="10"/>
  <c r="BR23" i="10"/>
  <c r="BS23" i="10"/>
  <c r="BT23" i="10"/>
  <c r="BU23" i="10"/>
  <c r="BX23" i="10"/>
  <c r="BH24" i="10"/>
  <c r="BJ24" i="10"/>
  <c r="BL24" i="10"/>
  <c r="BM24" i="10"/>
  <c r="BN24" i="10"/>
  <c r="BV24" i="10"/>
  <c r="BO24" i="10"/>
  <c r="BP24" i="10"/>
  <c r="BQ24" i="10"/>
  <c r="BR24" i="10"/>
  <c r="BS24" i="10"/>
  <c r="BT24" i="10"/>
  <c r="BU24" i="10"/>
  <c r="BX24" i="10"/>
  <c r="BH25" i="10"/>
  <c r="BJ25" i="10"/>
  <c r="BL25" i="10"/>
  <c r="BM25" i="10"/>
  <c r="BN25" i="10"/>
  <c r="BV25" i="10"/>
  <c r="BO25" i="10"/>
  <c r="BP25" i="10"/>
  <c r="BQ25" i="10"/>
  <c r="BR25" i="10"/>
  <c r="BS25" i="10"/>
  <c r="BT25" i="10"/>
  <c r="BU25" i="10"/>
  <c r="BX25" i="10"/>
  <c r="BH26" i="10"/>
  <c r="BJ26" i="10"/>
  <c r="BL26" i="10"/>
  <c r="BM26" i="10"/>
  <c r="BN26" i="10"/>
  <c r="BV26" i="10"/>
  <c r="BO26" i="10"/>
  <c r="BP26" i="10"/>
  <c r="BQ26" i="10"/>
  <c r="BR26" i="10"/>
  <c r="BS26" i="10"/>
  <c r="BT26" i="10"/>
  <c r="BU26" i="10"/>
  <c r="BX26" i="10"/>
  <c r="BH27" i="10"/>
  <c r="BJ27" i="10"/>
  <c r="BL27" i="10"/>
  <c r="BM27" i="10"/>
  <c r="BN27" i="10"/>
  <c r="BV27" i="10"/>
  <c r="BO27" i="10"/>
  <c r="BP27" i="10"/>
  <c r="BQ27" i="10"/>
  <c r="BR27" i="10"/>
  <c r="BS27" i="10"/>
  <c r="BT27" i="10"/>
  <c r="BU27" i="10"/>
  <c r="BX27" i="10"/>
  <c r="BH28" i="10"/>
  <c r="BJ28" i="10"/>
  <c r="BL28" i="10"/>
  <c r="BM28" i="10"/>
  <c r="BN28" i="10"/>
  <c r="BV28" i="10"/>
  <c r="BO28" i="10"/>
  <c r="BP28" i="10"/>
  <c r="BQ28" i="10"/>
  <c r="BR28" i="10"/>
  <c r="BS28" i="10"/>
  <c r="BT28" i="10"/>
  <c r="BU28" i="10"/>
  <c r="BX28" i="10"/>
  <c r="BH29" i="10"/>
  <c r="BJ29" i="10"/>
  <c r="BL29" i="10"/>
  <c r="BM29" i="10"/>
  <c r="BN29" i="10"/>
  <c r="BV29" i="10"/>
  <c r="BO29" i="10"/>
  <c r="BP29" i="10"/>
  <c r="BQ29" i="10"/>
  <c r="BR29" i="10"/>
  <c r="BS29" i="10"/>
  <c r="BT29" i="10"/>
  <c r="BU29" i="10"/>
  <c r="BX29" i="10"/>
  <c r="BH30" i="10"/>
  <c r="BJ30" i="10"/>
  <c r="BL30" i="10"/>
  <c r="BM30" i="10"/>
  <c r="BN30" i="10"/>
  <c r="BV30" i="10"/>
  <c r="BO30" i="10"/>
  <c r="BP30" i="10"/>
  <c r="BQ30" i="10"/>
  <c r="BR30" i="10"/>
  <c r="BS30" i="10"/>
  <c r="BT30" i="10"/>
  <c r="BU30" i="10"/>
  <c r="BX30" i="10"/>
  <c r="BH31" i="10"/>
  <c r="BJ31" i="10"/>
  <c r="BL31" i="10"/>
  <c r="BM31" i="10"/>
  <c r="BN31" i="10"/>
  <c r="BV31" i="10"/>
  <c r="BO31" i="10"/>
  <c r="BP31" i="10"/>
  <c r="BQ31" i="10"/>
  <c r="BR31" i="10"/>
  <c r="BS31" i="10"/>
  <c r="BT31" i="10"/>
  <c r="BU31" i="10"/>
  <c r="BX31" i="10"/>
  <c r="BH32" i="10"/>
  <c r="BJ32" i="10"/>
  <c r="BL32" i="10"/>
  <c r="BM32" i="10"/>
  <c r="BN32" i="10"/>
  <c r="BV32" i="10"/>
  <c r="BO32" i="10"/>
  <c r="BP32" i="10"/>
  <c r="BQ32" i="10"/>
  <c r="BR32" i="10"/>
  <c r="BS32" i="10"/>
  <c r="BT32" i="10"/>
  <c r="BU32" i="10"/>
  <c r="BX32" i="10"/>
  <c r="BH33" i="10"/>
  <c r="BJ33" i="10"/>
  <c r="BL33" i="10"/>
  <c r="BM33" i="10"/>
  <c r="BN33" i="10"/>
  <c r="BV33" i="10"/>
  <c r="BO33" i="10"/>
  <c r="BP33" i="10"/>
  <c r="BQ33" i="10"/>
  <c r="BR33" i="10"/>
  <c r="BS33" i="10"/>
  <c r="BT33" i="10"/>
  <c r="BU33" i="10"/>
  <c r="BX33" i="10"/>
  <c r="BH34" i="10"/>
  <c r="BJ34" i="10"/>
  <c r="BL34" i="10"/>
  <c r="BM34" i="10"/>
  <c r="BN34" i="10"/>
  <c r="BV34" i="10"/>
  <c r="BO34" i="10"/>
  <c r="BP34" i="10"/>
  <c r="BQ34" i="10"/>
  <c r="BR34" i="10"/>
  <c r="BS34" i="10"/>
  <c r="BT34" i="10"/>
  <c r="BU34" i="10"/>
  <c r="BX34" i="10"/>
  <c r="BH35" i="10"/>
  <c r="BJ35" i="10"/>
  <c r="BL35" i="10"/>
  <c r="BM35" i="10"/>
  <c r="BN35" i="10"/>
  <c r="BV35" i="10"/>
  <c r="BO35" i="10"/>
  <c r="BP35" i="10"/>
  <c r="BQ35" i="10"/>
  <c r="BR35" i="10"/>
  <c r="BS35" i="10"/>
  <c r="BT35" i="10"/>
  <c r="BU35" i="10"/>
  <c r="BX35" i="10"/>
  <c r="BH36" i="10"/>
  <c r="BJ36" i="10"/>
  <c r="BL36" i="10"/>
  <c r="BM36" i="10"/>
  <c r="BN36" i="10"/>
  <c r="BV36" i="10"/>
  <c r="BO36" i="10"/>
  <c r="BP36" i="10"/>
  <c r="BQ36" i="10"/>
  <c r="BR36" i="10"/>
  <c r="BS36" i="10"/>
  <c r="BT36" i="10"/>
  <c r="BU36" i="10"/>
  <c r="BX36" i="10"/>
  <c r="BH37" i="10"/>
  <c r="BJ37" i="10"/>
  <c r="BL37" i="10"/>
  <c r="BM37" i="10"/>
  <c r="BN37" i="10"/>
  <c r="BV37" i="10"/>
  <c r="BO37" i="10"/>
  <c r="BP37" i="10"/>
  <c r="BQ37" i="10"/>
  <c r="BR37" i="10"/>
  <c r="BS37" i="10"/>
  <c r="BT37" i="10"/>
  <c r="BU37" i="10"/>
  <c r="BX37" i="10"/>
  <c r="BH38" i="10"/>
  <c r="BJ38" i="10"/>
  <c r="BL38" i="10"/>
  <c r="BM38" i="10"/>
  <c r="BN38" i="10"/>
  <c r="BV38" i="10"/>
  <c r="BO38" i="10"/>
  <c r="BP38" i="10"/>
  <c r="BQ38" i="10"/>
  <c r="BR38" i="10"/>
  <c r="BS38" i="10"/>
  <c r="BT38" i="10"/>
  <c r="BU38" i="10"/>
  <c r="BX38" i="10"/>
  <c r="BH39" i="10"/>
  <c r="BJ39" i="10"/>
  <c r="BL39" i="10"/>
  <c r="BM39" i="10"/>
  <c r="BN39" i="10"/>
  <c r="BV39" i="10"/>
  <c r="BO39" i="10"/>
  <c r="BP39" i="10"/>
  <c r="BQ39" i="10"/>
  <c r="BR39" i="10"/>
  <c r="BS39" i="10"/>
  <c r="BT39" i="10"/>
  <c r="BU39" i="10"/>
  <c r="BX39" i="10"/>
  <c r="BH40" i="10"/>
  <c r="BJ40" i="10"/>
  <c r="BL40" i="10"/>
  <c r="BM40" i="10"/>
  <c r="BN40" i="10"/>
  <c r="BV40" i="10"/>
  <c r="BO40" i="10"/>
  <c r="BP40" i="10"/>
  <c r="BQ40" i="10"/>
  <c r="BR40" i="10"/>
  <c r="BS40" i="10"/>
  <c r="BT40" i="10"/>
  <c r="BU40" i="10"/>
  <c r="BX40" i="10"/>
  <c r="BH41" i="10"/>
  <c r="BJ41" i="10"/>
  <c r="BL41" i="10"/>
  <c r="BM41" i="10"/>
  <c r="BN41" i="10"/>
  <c r="BV41" i="10"/>
  <c r="BO41" i="10"/>
  <c r="BP41" i="10"/>
  <c r="BQ41" i="10"/>
  <c r="BR41" i="10"/>
  <c r="BS41" i="10"/>
  <c r="BT41" i="10"/>
  <c r="BU41" i="10"/>
  <c r="BX41" i="10"/>
  <c r="BH42" i="10"/>
  <c r="BJ42" i="10"/>
  <c r="BL42" i="10"/>
  <c r="BM42" i="10"/>
  <c r="BN42" i="10"/>
  <c r="BV42" i="10"/>
  <c r="BO42" i="10"/>
  <c r="BP42" i="10"/>
  <c r="BQ42" i="10"/>
  <c r="BR42" i="10"/>
  <c r="BS42" i="10"/>
  <c r="BT42" i="10"/>
  <c r="BU42" i="10"/>
  <c r="BX42" i="10"/>
  <c r="BH43" i="10"/>
  <c r="BJ43" i="10"/>
  <c r="BL43" i="10"/>
  <c r="BM43" i="10"/>
  <c r="BN43" i="10"/>
  <c r="BV43" i="10"/>
  <c r="BO43" i="10"/>
  <c r="BP43" i="10"/>
  <c r="BQ43" i="10"/>
  <c r="BR43" i="10"/>
  <c r="BS43" i="10"/>
  <c r="BT43" i="10"/>
  <c r="BU43" i="10"/>
  <c r="BX43" i="10"/>
  <c r="BH44" i="10"/>
  <c r="BJ44" i="10"/>
  <c r="BL44" i="10"/>
  <c r="BM44" i="10"/>
  <c r="BN44" i="10"/>
  <c r="BV44" i="10"/>
  <c r="BO44" i="10"/>
  <c r="BP44" i="10"/>
  <c r="BQ44" i="10"/>
  <c r="BR44" i="10"/>
  <c r="BS44" i="10"/>
  <c r="BT44" i="10"/>
  <c r="BU44" i="10"/>
  <c r="BX44" i="10"/>
  <c r="BH45" i="10"/>
  <c r="BJ45" i="10"/>
  <c r="BL45" i="10"/>
  <c r="BM45" i="10"/>
  <c r="BN45" i="10"/>
  <c r="BV45" i="10"/>
  <c r="BO45" i="10"/>
  <c r="BP45" i="10"/>
  <c r="BQ45" i="10"/>
  <c r="BR45" i="10"/>
  <c r="BS45" i="10"/>
  <c r="BT45" i="10"/>
  <c r="BU45" i="10"/>
  <c r="BX45" i="10"/>
  <c r="BH46" i="10"/>
  <c r="BJ46" i="10"/>
  <c r="BL46" i="10"/>
  <c r="BM46" i="10"/>
  <c r="BN46" i="10"/>
  <c r="BV46" i="10"/>
  <c r="BO46" i="10"/>
  <c r="BP46" i="10"/>
  <c r="BQ46" i="10"/>
  <c r="BR46" i="10"/>
  <c r="BS46" i="10"/>
  <c r="BT46" i="10"/>
  <c r="BU46" i="10"/>
  <c r="BX46" i="10"/>
  <c r="BH47" i="10"/>
  <c r="BJ47" i="10"/>
  <c r="BL47" i="10"/>
  <c r="BM47" i="10"/>
  <c r="BN47" i="10"/>
  <c r="BV47" i="10"/>
  <c r="BO47" i="10"/>
  <c r="BP47" i="10"/>
  <c r="BQ47" i="10"/>
  <c r="BR47" i="10"/>
  <c r="BS47" i="10"/>
  <c r="BT47" i="10"/>
  <c r="BU47" i="10"/>
  <c r="BX47" i="10"/>
  <c r="BH48" i="10"/>
  <c r="BJ48" i="10"/>
  <c r="BL48" i="10"/>
  <c r="BM48" i="10"/>
  <c r="BN48" i="10"/>
  <c r="BV48" i="10"/>
  <c r="BO48" i="10"/>
  <c r="BP48" i="10"/>
  <c r="BQ48" i="10"/>
  <c r="BR48" i="10"/>
  <c r="BS48" i="10"/>
  <c r="BT48" i="10"/>
  <c r="BU48" i="10"/>
  <c r="BX48" i="10"/>
  <c r="BH49" i="10"/>
  <c r="BJ49" i="10"/>
  <c r="BL49" i="10"/>
  <c r="BM49" i="10"/>
  <c r="BN49" i="10"/>
  <c r="BV49" i="10"/>
  <c r="BO49" i="10"/>
  <c r="BP49" i="10"/>
  <c r="BQ49" i="10"/>
  <c r="BR49" i="10"/>
  <c r="BS49" i="10"/>
  <c r="BT49" i="10"/>
  <c r="BU49" i="10"/>
  <c r="BX49" i="10"/>
  <c r="BH50" i="10"/>
  <c r="BJ50" i="10"/>
  <c r="BL50" i="10"/>
  <c r="BM50" i="10"/>
  <c r="BN50" i="10"/>
  <c r="BV50" i="10"/>
  <c r="BO50" i="10"/>
  <c r="BP50" i="10"/>
  <c r="BQ50" i="10"/>
  <c r="BR50" i="10"/>
  <c r="BS50" i="10"/>
  <c r="BT50" i="10"/>
  <c r="BU50" i="10"/>
  <c r="BX50" i="10"/>
  <c r="BH51" i="10"/>
  <c r="BJ51" i="10"/>
  <c r="BL51" i="10"/>
  <c r="BM51" i="10"/>
  <c r="BN51" i="10"/>
  <c r="BV51" i="10"/>
  <c r="BO51" i="10"/>
  <c r="BP51" i="10"/>
  <c r="BQ51" i="10"/>
  <c r="BR51" i="10"/>
  <c r="BS51" i="10"/>
  <c r="BT51" i="10"/>
  <c r="BU51" i="10"/>
  <c r="BX51" i="10"/>
  <c r="BH52" i="10"/>
  <c r="BJ52" i="10"/>
  <c r="BL52" i="10"/>
  <c r="BM52" i="10"/>
  <c r="BN52" i="10"/>
  <c r="BV52" i="10"/>
  <c r="BO52" i="10"/>
  <c r="BP52" i="10"/>
  <c r="BQ52" i="10"/>
  <c r="BR52" i="10"/>
  <c r="BS52" i="10"/>
  <c r="BT52" i="10"/>
  <c r="BU52" i="10"/>
  <c r="BX52" i="10"/>
  <c r="BH53" i="10"/>
  <c r="BJ53" i="10"/>
  <c r="BL53" i="10"/>
  <c r="BM53" i="10"/>
  <c r="BN53" i="10"/>
  <c r="BV53" i="10"/>
  <c r="BO53" i="10"/>
  <c r="BP53" i="10"/>
  <c r="BQ53" i="10"/>
  <c r="BR53" i="10"/>
  <c r="BS53" i="10"/>
  <c r="BT53" i="10"/>
  <c r="BU53" i="10"/>
  <c r="BX53" i="10"/>
  <c r="BH54" i="10"/>
  <c r="BJ54" i="10"/>
  <c r="BL54" i="10"/>
  <c r="BM54" i="10"/>
  <c r="BN54" i="10"/>
  <c r="BV54" i="10"/>
  <c r="BO54" i="10"/>
  <c r="BP54" i="10"/>
  <c r="BQ54" i="10"/>
  <c r="BR54" i="10"/>
  <c r="BS54" i="10"/>
  <c r="BT54" i="10"/>
  <c r="BU54" i="10"/>
  <c r="BX54" i="10"/>
  <c r="BH55" i="10"/>
  <c r="BJ55" i="10"/>
  <c r="BL55" i="10"/>
  <c r="BM55" i="10"/>
  <c r="BN55" i="10"/>
  <c r="BV55" i="10"/>
  <c r="BO55" i="10"/>
  <c r="BP55" i="10"/>
  <c r="BQ55" i="10"/>
  <c r="BR55" i="10"/>
  <c r="BS55" i="10"/>
  <c r="BT55" i="10"/>
  <c r="BU55" i="10"/>
  <c r="BX55" i="10"/>
  <c r="BH56" i="10"/>
  <c r="BJ56" i="10"/>
  <c r="BL56" i="10"/>
  <c r="BM56" i="10"/>
  <c r="BN56" i="10"/>
  <c r="BV56" i="10"/>
  <c r="BO56" i="10"/>
  <c r="BP56" i="10"/>
  <c r="BQ56" i="10"/>
  <c r="BR56" i="10"/>
  <c r="BS56" i="10"/>
  <c r="BT56" i="10"/>
  <c r="BU56" i="10"/>
  <c r="BX56" i="10"/>
  <c r="BH57" i="10"/>
  <c r="BJ57" i="10"/>
  <c r="BL57" i="10"/>
  <c r="BM57" i="10"/>
  <c r="BN57" i="10"/>
  <c r="BV57" i="10"/>
  <c r="BO57" i="10"/>
  <c r="BP57" i="10"/>
  <c r="BQ57" i="10"/>
  <c r="BR57" i="10"/>
  <c r="BS57" i="10"/>
  <c r="BT57" i="10"/>
  <c r="BU57" i="10"/>
  <c r="BX57" i="10"/>
  <c r="BH58" i="10"/>
  <c r="BJ58" i="10"/>
  <c r="BL58" i="10"/>
  <c r="BM58" i="10"/>
  <c r="BN58" i="10"/>
  <c r="BV58" i="10"/>
  <c r="BO58" i="10"/>
  <c r="BP58" i="10"/>
  <c r="BQ58" i="10"/>
  <c r="BR58" i="10"/>
  <c r="BS58" i="10"/>
  <c r="BT58" i="10"/>
  <c r="BU58" i="10"/>
  <c r="BX58" i="10"/>
  <c r="BH59" i="10"/>
  <c r="BJ59" i="10"/>
  <c r="BL59" i="10"/>
  <c r="BM59" i="10"/>
  <c r="BN59" i="10"/>
  <c r="BV59" i="10"/>
  <c r="BO59" i="10"/>
  <c r="BP59" i="10"/>
  <c r="BQ59" i="10"/>
  <c r="BR59" i="10"/>
  <c r="BS59" i="10"/>
  <c r="BT59" i="10"/>
  <c r="BU59" i="10"/>
  <c r="BX59" i="10"/>
  <c r="BH60" i="10"/>
  <c r="BJ60" i="10"/>
  <c r="BL60" i="10"/>
  <c r="BM60" i="10"/>
  <c r="BN60" i="10"/>
  <c r="BV60" i="10"/>
  <c r="BO60" i="10"/>
  <c r="BP60" i="10"/>
  <c r="BQ60" i="10"/>
  <c r="BR60" i="10"/>
  <c r="BS60" i="10"/>
  <c r="BT60" i="10"/>
  <c r="BU60" i="10"/>
  <c r="BX60" i="10"/>
  <c r="BH61" i="10"/>
  <c r="BJ61" i="10"/>
  <c r="BL61" i="10"/>
  <c r="BM61" i="10"/>
  <c r="BN61" i="10"/>
  <c r="BV61" i="10"/>
  <c r="BO61" i="10"/>
  <c r="BP61" i="10"/>
  <c r="BQ61" i="10"/>
  <c r="BR61" i="10"/>
  <c r="BS61" i="10"/>
  <c r="BT61" i="10"/>
  <c r="BU61" i="10"/>
  <c r="BX61" i="10"/>
  <c r="BH62" i="10"/>
  <c r="BJ62" i="10"/>
  <c r="BL62" i="10"/>
  <c r="BM62" i="10"/>
  <c r="BN62" i="10"/>
  <c r="BV62" i="10"/>
  <c r="BO62" i="10"/>
  <c r="BP62" i="10"/>
  <c r="BQ62" i="10"/>
  <c r="BR62" i="10"/>
  <c r="BS62" i="10"/>
  <c r="BT62" i="10"/>
  <c r="BU62" i="10"/>
  <c r="BX62" i="10"/>
  <c r="BH63" i="10"/>
  <c r="BJ63" i="10"/>
  <c r="BL63" i="10"/>
  <c r="BM63" i="10"/>
  <c r="BN63" i="10"/>
  <c r="BV63" i="10"/>
  <c r="BO63" i="10"/>
  <c r="BP63" i="10"/>
  <c r="BQ63" i="10"/>
  <c r="BR63" i="10"/>
  <c r="BS63" i="10"/>
  <c r="BT63" i="10"/>
  <c r="BU63" i="10"/>
  <c r="BX63" i="10"/>
  <c r="BH64" i="10"/>
  <c r="BJ64" i="10"/>
  <c r="BL64" i="10"/>
  <c r="BM64" i="10"/>
  <c r="BN64" i="10"/>
  <c r="BV64" i="10"/>
  <c r="BO64" i="10"/>
  <c r="BP64" i="10"/>
  <c r="BQ64" i="10"/>
  <c r="BR64" i="10"/>
  <c r="BS64" i="10"/>
  <c r="BT64" i="10"/>
  <c r="BU64" i="10"/>
  <c r="BX64" i="10"/>
  <c r="BH65" i="10"/>
  <c r="BJ65" i="10"/>
  <c r="BL65" i="10"/>
  <c r="BM65" i="10"/>
  <c r="BN65" i="10"/>
  <c r="BV65" i="10"/>
  <c r="BO65" i="10"/>
  <c r="BP65" i="10"/>
  <c r="BQ65" i="10"/>
  <c r="BR65" i="10"/>
  <c r="BS65" i="10"/>
  <c r="BT65" i="10"/>
  <c r="BU65" i="10"/>
  <c r="BX65" i="10"/>
  <c r="BH66" i="10"/>
  <c r="BJ66" i="10"/>
  <c r="BL66" i="10"/>
  <c r="BM66" i="10"/>
  <c r="BN66" i="10"/>
  <c r="BV66" i="10"/>
  <c r="BO66" i="10"/>
  <c r="BP66" i="10"/>
  <c r="BQ66" i="10"/>
  <c r="BR66" i="10"/>
  <c r="BS66" i="10"/>
  <c r="BT66" i="10"/>
  <c r="BU66" i="10"/>
  <c r="BX66" i="10"/>
  <c r="BH67" i="10"/>
  <c r="BJ67" i="10"/>
  <c r="BL67" i="10"/>
  <c r="BM67" i="10"/>
  <c r="BN67" i="10"/>
  <c r="BV67" i="10"/>
  <c r="BO67" i="10"/>
  <c r="BP67" i="10"/>
  <c r="BQ67" i="10"/>
  <c r="BR67" i="10"/>
  <c r="BS67" i="10"/>
  <c r="BT67" i="10"/>
  <c r="BU67" i="10"/>
  <c r="BX67" i="10"/>
  <c r="BH68" i="10"/>
  <c r="BJ68" i="10"/>
  <c r="BL68" i="10"/>
  <c r="BM68" i="10"/>
  <c r="BN68" i="10"/>
  <c r="BV68" i="10"/>
  <c r="BO68" i="10"/>
  <c r="BP68" i="10"/>
  <c r="BQ68" i="10"/>
  <c r="BR68" i="10"/>
  <c r="BS68" i="10"/>
  <c r="BT68" i="10"/>
  <c r="BU68" i="10"/>
  <c r="BX68" i="10"/>
  <c r="BH69" i="10"/>
  <c r="BJ69" i="10"/>
  <c r="BL69" i="10"/>
  <c r="BM69" i="10"/>
  <c r="BN69" i="10"/>
  <c r="BV69" i="10"/>
  <c r="BO69" i="10"/>
  <c r="BP69" i="10"/>
  <c r="BQ69" i="10"/>
  <c r="BR69" i="10"/>
  <c r="BS69" i="10"/>
  <c r="BT69" i="10"/>
  <c r="BU69" i="10"/>
  <c r="BX69" i="10"/>
  <c r="BH70" i="10"/>
  <c r="BJ70" i="10"/>
  <c r="BL70" i="10"/>
  <c r="BM70" i="10"/>
  <c r="BN70" i="10"/>
  <c r="BV70" i="10"/>
  <c r="BO70" i="10"/>
  <c r="BP70" i="10"/>
  <c r="BQ70" i="10"/>
  <c r="BR70" i="10"/>
  <c r="BS70" i="10"/>
  <c r="BT70" i="10"/>
  <c r="BU70" i="10"/>
  <c r="BX70" i="10"/>
  <c r="BH71" i="10"/>
  <c r="BJ71" i="10"/>
  <c r="BL71" i="10"/>
  <c r="BM71" i="10"/>
  <c r="BN71" i="10"/>
  <c r="BV71" i="10"/>
  <c r="BO71" i="10"/>
  <c r="BP71" i="10"/>
  <c r="BQ71" i="10"/>
  <c r="BR71" i="10"/>
  <c r="BS71" i="10"/>
  <c r="BT71" i="10"/>
  <c r="BU71" i="10"/>
  <c r="BX71" i="10"/>
  <c r="BH72" i="10"/>
  <c r="BJ72" i="10"/>
  <c r="BL72" i="10"/>
  <c r="BM72" i="10"/>
  <c r="BN72" i="10"/>
  <c r="BV72" i="10"/>
  <c r="BO72" i="10"/>
  <c r="BP72" i="10"/>
  <c r="BQ72" i="10"/>
  <c r="BR72" i="10"/>
  <c r="BS72" i="10"/>
  <c r="BT72" i="10"/>
  <c r="BU72" i="10"/>
  <c r="BX72" i="10"/>
  <c r="BH73" i="10"/>
  <c r="BJ73" i="10"/>
  <c r="BL73" i="10"/>
  <c r="BM73" i="10"/>
  <c r="BN73" i="10"/>
  <c r="BV73" i="10"/>
  <c r="BO73" i="10"/>
  <c r="BP73" i="10"/>
  <c r="BQ73" i="10"/>
  <c r="BR73" i="10"/>
  <c r="BS73" i="10"/>
  <c r="BT73" i="10"/>
  <c r="BU73" i="10"/>
  <c r="BX73" i="10"/>
  <c r="BG74" i="10"/>
  <c r="BH74" i="10"/>
  <c r="BI74" i="10"/>
  <c r="BJ74" i="10"/>
  <c r="BL74" i="10"/>
  <c r="BM74" i="10"/>
  <c r="BN74" i="10"/>
  <c r="BO74" i="10"/>
  <c r="BP74" i="10"/>
  <c r="BQ74" i="10"/>
  <c r="BR74" i="10"/>
  <c r="BS74" i="10"/>
  <c r="BT74" i="10"/>
  <c r="BU74" i="10"/>
  <c r="BV74" i="10"/>
  <c r="BX74" i="10"/>
  <c r="BG75" i="10"/>
  <c r="BH75" i="10"/>
  <c r="BI75" i="10"/>
  <c r="BJ75" i="10"/>
  <c r="BL75" i="10"/>
  <c r="BM75" i="10"/>
  <c r="BN75" i="10"/>
  <c r="BO75" i="10"/>
  <c r="BP75" i="10"/>
  <c r="BQ75" i="10"/>
  <c r="BR75" i="10"/>
  <c r="BS75" i="10"/>
  <c r="BT75" i="10"/>
  <c r="BU75" i="10"/>
  <c r="BV75" i="10"/>
  <c r="BX75" i="10"/>
  <c r="BG76" i="10"/>
  <c r="BH76" i="10"/>
  <c r="BI76" i="10"/>
  <c r="BJ76" i="10"/>
  <c r="BL76" i="10"/>
  <c r="BM76" i="10"/>
  <c r="BN76" i="10"/>
  <c r="BO76" i="10"/>
  <c r="BP76" i="10"/>
  <c r="BQ76" i="10"/>
  <c r="BR76" i="10"/>
  <c r="BS76" i="10"/>
  <c r="BT76" i="10"/>
  <c r="BU76" i="10"/>
  <c r="BV76" i="10"/>
  <c r="BX76" i="10"/>
  <c r="BG77" i="10"/>
  <c r="BH77" i="10"/>
  <c r="BI77" i="10"/>
  <c r="BJ77" i="10"/>
  <c r="BL77" i="10"/>
  <c r="BM77" i="10"/>
  <c r="BN77" i="10"/>
  <c r="BO77" i="10"/>
  <c r="BP77" i="10"/>
  <c r="BQ77" i="10"/>
  <c r="BR77" i="10"/>
  <c r="BS77" i="10"/>
  <c r="BT77" i="10"/>
  <c r="BU77" i="10"/>
  <c r="BV77" i="10"/>
  <c r="BX77" i="10"/>
  <c r="BG78" i="10"/>
  <c r="BH78" i="10"/>
  <c r="BI78" i="10"/>
  <c r="BJ78" i="10"/>
  <c r="BL78" i="10"/>
  <c r="BM78" i="10"/>
  <c r="BN78" i="10"/>
  <c r="BO78" i="10"/>
  <c r="BP78" i="10"/>
  <c r="BQ78" i="10"/>
  <c r="BR78" i="10"/>
  <c r="BS78" i="10"/>
  <c r="BT78" i="10"/>
  <c r="BU78" i="10"/>
  <c r="BV78" i="10"/>
  <c r="BX78" i="10"/>
  <c r="BG79" i="10"/>
  <c r="BH79" i="10"/>
  <c r="BI79" i="10"/>
  <c r="BJ79" i="10"/>
  <c r="BL79" i="10"/>
  <c r="BM79" i="10"/>
  <c r="BN79" i="10"/>
  <c r="BO79" i="10"/>
  <c r="BP79" i="10"/>
  <c r="BQ79" i="10"/>
  <c r="BR79" i="10"/>
  <c r="BS79" i="10"/>
  <c r="BT79" i="10"/>
  <c r="BU79" i="10"/>
  <c r="BV79" i="10"/>
  <c r="BX79" i="10"/>
  <c r="BG80" i="10"/>
  <c r="BH80" i="10"/>
  <c r="BI80" i="10"/>
  <c r="BJ80" i="10"/>
  <c r="BL80" i="10"/>
  <c r="BM80" i="10"/>
  <c r="BN80" i="10"/>
  <c r="BO80" i="10"/>
  <c r="BP80" i="10"/>
  <c r="BQ80" i="10"/>
  <c r="BR80" i="10"/>
  <c r="BS80" i="10"/>
  <c r="BT80" i="10"/>
  <c r="BU80" i="10"/>
  <c r="BV80" i="10"/>
  <c r="BX80" i="10"/>
  <c r="BG81" i="10"/>
  <c r="BH81" i="10"/>
  <c r="BI81" i="10"/>
  <c r="BJ81" i="10"/>
  <c r="BL81" i="10"/>
  <c r="BM81" i="10"/>
  <c r="BN81" i="10"/>
  <c r="BO81" i="10"/>
  <c r="BP81" i="10"/>
  <c r="BQ81" i="10"/>
  <c r="BR81" i="10"/>
  <c r="BS81" i="10"/>
  <c r="BT81" i="10"/>
  <c r="BU81" i="10"/>
  <c r="BV81" i="10"/>
  <c r="BX81" i="10"/>
  <c r="BG82" i="10"/>
  <c r="BH82" i="10"/>
  <c r="BI82" i="10"/>
  <c r="BJ82" i="10"/>
  <c r="BL82" i="10"/>
  <c r="BM82" i="10"/>
  <c r="BN82" i="10"/>
  <c r="BO82" i="10"/>
  <c r="BP82" i="10"/>
  <c r="BQ82" i="10"/>
  <c r="BR82" i="10"/>
  <c r="BS82" i="10"/>
  <c r="BT82" i="10"/>
  <c r="BU82" i="10"/>
  <c r="BV82" i="10"/>
  <c r="BX82" i="10"/>
  <c r="BG83" i="10"/>
  <c r="BH83" i="10"/>
  <c r="BI83" i="10"/>
  <c r="BJ83" i="10"/>
  <c r="BL83" i="10"/>
  <c r="BM83" i="10"/>
  <c r="BN83" i="10"/>
  <c r="BO83" i="10"/>
  <c r="BP83" i="10"/>
  <c r="BQ83" i="10"/>
  <c r="BR83" i="10"/>
  <c r="BS83" i="10"/>
  <c r="BT83" i="10"/>
  <c r="BU83" i="10"/>
  <c r="BV83" i="10"/>
  <c r="BX83" i="10"/>
  <c r="BG84" i="10"/>
  <c r="BH84" i="10"/>
  <c r="BI84" i="10"/>
  <c r="BJ84" i="10"/>
  <c r="BL84" i="10"/>
  <c r="BM84" i="10"/>
  <c r="BN84" i="10"/>
  <c r="BO84" i="10"/>
  <c r="BP84" i="10"/>
  <c r="BQ84" i="10"/>
  <c r="BR84" i="10"/>
  <c r="BS84" i="10"/>
  <c r="BT84" i="10"/>
  <c r="BU84" i="10"/>
  <c r="BV84" i="10"/>
  <c r="BX84" i="10"/>
  <c r="BG85" i="10"/>
  <c r="BH85" i="10"/>
  <c r="BI85" i="10"/>
  <c r="BJ85" i="10"/>
  <c r="BL85" i="10"/>
  <c r="BM85" i="10"/>
  <c r="BN85" i="10"/>
  <c r="BO85" i="10"/>
  <c r="BP85" i="10"/>
  <c r="BQ85" i="10"/>
  <c r="BR85" i="10"/>
  <c r="BS85" i="10"/>
  <c r="BT85" i="10"/>
  <c r="BU85" i="10"/>
  <c r="BV85" i="10"/>
  <c r="BX85" i="10"/>
  <c r="BG86" i="10"/>
  <c r="BH86" i="10"/>
  <c r="BI86" i="10"/>
  <c r="BJ86" i="10"/>
  <c r="BL86" i="10"/>
  <c r="BM86" i="10"/>
  <c r="BN86" i="10"/>
  <c r="BO86" i="10"/>
  <c r="BP86" i="10"/>
  <c r="BQ86" i="10"/>
  <c r="BR86" i="10"/>
  <c r="BS86" i="10"/>
  <c r="BT86" i="10"/>
  <c r="BU86" i="10"/>
  <c r="BV86" i="10"/>
  <c r="BX86" i="10"/>
  <c r="BG87" i="10"/>
  <c r="BH87" i="10"/>
  <c r="BI87" i="10"/>
  <c r="BJ87" i="10"/>
  <c r="BL87" i="10"/>
  <c r="BM87" i="10"/>
  <c r="BN87" i="10"/>
  <c r="BO87" i="10"/>
  <c r="BP87" i="10"/>
  <c r="BQ87" i="10"/>
  <c r="BR87" i="10"/>
  <c r="BS87" i="10"/>
  <c r="BT87" i="10"/>
  <c r="BU87" i="10"/>
  <c r="BV87" i="10"/>
  <c r="BX87" i="10"/>
  <c r="BG88" i="10"/>
  <c r="BH88" i="10"/>
  <c r="BI88" i="10"/>
  <c r="BJ88" i="10"/>
  <c r="BL88" i="10"/>
  <c r="BM88" i="10"/>
  <c r="BN88" i="10"/>
  <c r="BO88" i="10"/>
  <c r="BP88" i="10"/>
  <c r="BQ88" i="10"/>
  <c r="BR88" i="10"/>
  <c r="BS88" i="10"/>
  <c r="BT88" i="10"/>
  <c r="BU88" i="10"/>
  <c r="BV88" i="10"/>
  <c r="BX88" i="10"/>
  <c r="BG89" i="10"/>
  <c r="BH89" i="10"/>
  <c r="BI89" i="10"/>
  <c r="BJ89" i="10"/>
  <c r="BL89" i="10"/>
  <c r="BM89" i="10"/>
  <c r="BN89" i="10"/>
  <c r="BO89" i="10"/>
  <c r="BP89" i="10"/>
  <c r="BQ89" i="10"/>
  <c r="BR89" i="10"/>
  <c r="BS89" i="10"/>
  <c r="BT89" i="10"/>
  <c r="BU89" i="10"/>
  <c r="BV89" i="10"/>
  <c r="BX89" i="10"/>
  <c r="BG90" i="10"/>
  <c r="BH90" i="10"/>
  <c r="BI90" i="10"/>
  <c r="BJ90" i="10"/>
  <c r="BL90" i="10"/>
  <c r="BM90" i="10"/>
  <c r="BN90" i="10"/>
  <c r="BO90" i="10"/>
  <c r="BP90" i="10"/>
  <c r="BQ90" i="10"/>
  <c r="BR90" i="10"/>
  <c r="BS90" i="10"/>
  <c r="BT90" i="10"/>
  <c r="BU90" i="10"/>
  <c r="BV90" i="10"/>
  <c r="BX90" i="10"/>
  <c r="BG91" i="10"/>
  <c r="BH91" i="10"/>
  <c r="BI91" i="10"/>
  <c r="BJ91" i="10"/>
  <c r="BL91" i="10"/>
  <c r="BM91" i="10"/>
  <c r="BN91" i="10"/>
  <c r="BO91" i="10"/>
  <c r="BP91" i="10"/>
  <c r="BQ91" i="10"/>
  <c r="BR91" i="10"/>
  <c r="BS91" i="10"/>
  <c r="BT91" i="10"/>
  <c r="BU91" i="10"/>
  <c r="BV91" i="10"/>
  <c r="BX91" i="10"/>
  <c r="BG92" i="10"/>
  <c r="BH92" i="10"/>
  <c r="BI92" i="10"/>
  <c r="BJ92" i="10"/>
  <c r="BL92" i="10"/>
  <c r="BM92" i="10"/>
  <c r="BN92" i="10"/>
  <c r="BO92" i="10"/>
  <c r="BP92" i="10"/>
  <c r="BQ92" i="10"/>
  <c r="BR92" i="10"/>
  <c r="BS92" i="10"/>
  <c r="BT92" i="10"/>
  <c r="BU92" i="10"/>
  <c r="BV92" i="10"/>
  <c r="BX92" i="10"/>
  <c r="BG93" i="10"/>
  <c r="BH93" i="10"/>
  <c r="BI93" i="10"/>
  <c r="BJ93" i="10"/>
  <c r="BL93" i="10"/>
  <c r="BM93" i="10"/>
  <c r="BN93" i="10"/>
  <c r="BO93" i="10"/>
  <c r="BP93" i="10"/>
  <c r="BQ93" i="10"/>
  <c r="BR93" i="10"/>
  <c r="BS93" i="10"/>
  <c r="BT93" i="10"/>
  <c r="BU93" i="10"/>
  <c r="BV93" i="10"/>
  <c r="BX93" i="10"/>
  <c r="BG94" i="10"/>
  <c r="BH94" i="10"/>
  <c r="BI94" i="10"/>
  <c r="BJ94" i="10"/>
  <c r="BL94" i="10"/>
  <c r="BM94" i="10"/>
  <c r="BN94" i="10"/>
  <c r="BO94" i="10"/>
  <c r="BP94" i="10"/>
  <c r="BQ94" i="10"/>
  <c r="BR94" i="10"/>
  <c r="BS94" i="10"/>
  <c r="BT94" i="10"/>
  <c r="BU94" i="10"/>
  <c r="BV94" i="10"/>
  <c r="BX94" i="10"/>
  <c r="BG95" i="10"/>
  <c r="BH95" i="10"/>
  <c r="BI95" i="10"/>
  <c r="BJ95" i="10"/>
  <c r="BL95" i="10"/>
  <c r="BM95" i="10"/>
  <c r="BN95" i="10"/>
  <c r="BO95" i="10"/>
  <c r="BP95" i="10"/>
  <c r="BQ95" i="10"/>
  <c r="BR95" i="10"/>
  <c r="BS95" i="10"/>
  <c r="BT95" i="10"/>
  <c r="BU95" i="10"/>
  <c r="BV95" i="10"/>
  <c r="BX95" i="10"/>
  <c r="BG96" i="10"/>
  <c r="BH96" i="10"/>
  <c r="BI96" i="10"/>
  <c r="BJ96" i="10"/>
  <c r="BL96" i="10"/>
  <c r="BM96" i="10"/>
  <c r="BN96" i="10"/>
  <c r="BO96" i="10"/>
  <c r="BP96" i="10"/>
  <c r="BQ96" i="10"/>
  <c r="BR96" i="10"/>
  <c r="BS96" i="10"/>
  <c r="BT96" i="10"/>
  <c r="BU96" i="10"/>
  <c r="BV96" i="10"/>
  <c r="BX96" i="10"/>
  <c r="BG97" i="10"/>
  <c r="BH97" i="10"/>
  <c r="BI97" i="10"/>
  <c r="BJ97" i="10"/>
  <c r="BL97" i="10"/>
  <c r="BM97" i="10"/>
  <c r="BN97" i="10"/>
  <c r="BO97" i="10"/>
  <c r="BP97" i="10"/>
  <c r="BQ97" i="10"/>
  <c r="BR97" i="10"/>
  <c r="BS97" i="10"/>
  <c r="BT97" i="10"/>
  <c r="BU97" i="10"/>
  <c r="BV97" i="10"/>
  <c r="BX97" i="10"/>
  <c r="BG98" i="10"/>
  <c r="BH98" i="10"/>
  <c r="BI98" i="10"/>
  <c r="BJ98" i="10"/>
  <c r="BL98" i="10"/>
  <c r="BM98" i="10"/>
  <c r="BN98" i="10"/>
  <c r="BO98" i="10"/>
  <c r="BP98" i="10"/>
  <c r="BQ98" i="10"/>
  <c r="BR98" i="10"/>
  <c r="BS98" i="10"/>
  <c r="BT98" i="10"/>
  <c r="BU98" i="10"/>
  <c r="BV98" i="10"/>
  <c r="BX98" i="10"/>
  <c r="BG99" i="10"/>
  <c r="BH99" i="10"/>
  <c r="BI99" i="10"/>
  <c r="BJ99" i="10"/>
  <c r="BL99" i="10"/>
  <c r="BM99" i="10"/>
  <c r="BN99" i="10"/>
  <c r="BO99" i="10"/>
  <c r="BP99" i="10"/>
  <c r="BQ99" i="10"/>
  <c r="BR99" i="10"/>
  <c r="BS99" i="10"/>
  <c r="BT99" i="10"/>
  <c r="BU99" i="10"/>
  <c r="BV99" i="10"/>
  <c r="BX99" i="10"/>
  <c r="BG100" i="10"/>
  <c r="BH100" i="10"/>
  <c r="BI100" i="10"/>
  <c r="BJ100" i="10"/>
  <c r="BL100" i="10"/>
  <c r="BM100" i="10"/>
  <c r="BN100" i="10"/>
  <c r="BO100" i="10"/>
  <c r="BP100" i="10"/>
  <c r="BQ100" i="10"/>
  <c r="BR100" i="10"/>
  <c r="BS100" i="10"/>
  <c r="BT100" i="10"/>
  <c r="BU100" i="10"/>
  <c r="BV100" i="10"/>
  <c r="BX100" i="10"/>
  <c r="B14" i="16"/>
  <c r="A15" i="16"/>
  <c r="B15" i="16"/>
  <c r="A16" i="16"/>
  <c r="B16" i="16"/>
  <c r="C13" i="16"/>
  <c r="D13" i="16"/>
  <c r="BJ11" i="9"/>
  <c r="BJ11" i="11"/>
  <c r="BJ11" i="7"/>
  <c r="BJ11" i="8"/>
  <c r="BJ11" i="15"/>
  <c r="BJ11" i="14"/>
  <c r="BJ11" i="13"/>
  <c r="BJ11" i="12"/>
  <c r="E13" i="16"/>
  <c r="BV11" i="9"/>
  <c r="BO11" i="9"/>
  <c r="BV11" i="11"/>
  <c r="BO11" i="11"/>
  <c r="BV11" i="7"/>
  <c r="BO11" i="7"/>
  <c r="BV11" i="8"/>
  <c r="BO11" i="8"/>
  <c r="BV11" i="15"/>
  <c r="BO11" i="15"/>
  <c r="BV11" i="14"/>
  <c r="BO11" i="14"/>
  <c r="BV11" i="13"/>
  <c r="BO11" i="13"/>
  <c r="BV11" i="12"/>
  <c r="BO11" i="12"/>
  <c r="F13" i="16"/>
  <c r="BP11" i="9"/>
  <c r="BP11" i="11"/>
  <c r="BP11" i="7"/>
  <c r="BP11" i="8"/>
  <c r="BP11" i="15"/>
  <c r="BP11" i="14"/>
  <c r="BP11" i="13"/>
  <c r="BP11" i="12"/>
  <c r="G13" i="16"/>
  <c r="H13" i="16"/>
  <c r="C14" i="16"/>
  <c r="D14" i="16"/>
  <c r="BJ12" i="9"/>
  <c r="BJ12" i="11"/>
  <c r="BJ12" i="7"/>
  <c r="BJ12" i="8"/>
  <c r="BJ12" i="15"/>
  <c r="BJ12" i="14"/>
  <c r="BJ12" i="13"/>
  <c r="BJ12" i="12"/>
  <c r="E14" i="16"/>
  <c r="BV12" i="9"/>
  <c r="BO12" i="9"/>
  <c r="BV12" i="11"/>
  <c r="BO12" i="11"/>
  <c r="BV12" i="7"/>
  <c r="BO12" i="7"/>
  <c r="BV12" i="8"/>
  <c r="BO12" i="8"/>
  <c r="BV12" i="15"/>
  <c r="BO12" i="15"/>
  <c r="BV12" i="14"/>
  <c r="BO12" i="14"/>
  <c r="BV12" i="13"/>
  <c r="BO12" i="13"/>
  <c r="BV12" i="12"/>
  <c r="BO12" i="12"/>
  <c r="F14" i="16"/>
  <c r="BP12" i="9"/>
  <c r="BP12" i="11"/>
  <c r="BP12" i="7"/>
  <c r="BP12" i="8"/>
  <c r="BP12" i="15"/>
  <c r="BP12" i="14"/>
  <c r="BP12" i="13"/>
  <c r="BP12" i="12"/>
  <c r="G14" i="16"/>
  <c r="H14" i="16"/>
  <c r="C15" i="16"/>
  <c r="D15" i="16"/>
  <c r="BJ13" i="9"/>
  <c r="BJ13" i="11"/>
  <c r="BJ13" i="7"/>
  <c r="BJ38" i="8"/>
  <c r="BJ13" i="15"/>
  <c r="BJ13" i="14"/>
  <c r="BJ13" i="13"/>
  <c r="BJ13" i="12"/>
  <c r="E15" i="16"/>
  <c r="BV13" i="9"/>
  <c r="BO13" i="9"/>
  <c r="BV13" i="11"/>
  <c r="BO13" i="11"/>
  <c r="BV13" i="7"/>
  <c r="BO13" i="7"/>
  <c r="BV38" i="8"/>
  <c r="BO38" i="8"/>
  <c r="BV13" i="15"/>
  <c r="BO13" i="15"/>
  <c r="BV13" i="14"/>
  <c r="BO13" i="14"/>
  <c r="BV13" i="13"/>
  <c r="BO13" i="13"/>
  <c r="BV13" i="12"/>
  <c r="BO13" i="12"/>
  <c r="F15" i="16"/>
  <c r="BP13" i="9"/>
  <c r="BP13" i="11"/>
  <c r="BP13" i="7"/>
  <c r="BP38" i="8"/>
  <c r="BP13" i="15"/>
  <c r="BP13" i="14"/>
  <c r="BP13" i="13"/>
  <c r="BP13" i="12"/>
  <c r="G15" i="16"/>
  <c r="H15" i="16"/>
  <c r="C16" i="16"/>
  <c r="D16" i="16"/>
  <c r="BJ14" i="9"/>
  <c r="BJ14" i="11"/>
  <c r="BJ14" i="7"/>
  <c r="BJ13" i="8"/>
  <c r="BJ14" i="15"/>
  <c r="BJ14" i="14"/>
  <c r="BJ14" i="13"/>
  <c r="BJ14" i="12"/>
  <c r="E16" i="16"/>
  <c r="BV14" i="9"/>
  <c r="BO14" i="9"/>
  <c r="BV14" i="11"/>
  <c r="BO14" i="11"/>
  <c r="BV14" i="7"/>
  <c r="BO14" i="7"/>
  <c r="BV13" i="8"/>
  <c r="BO13" i="8"/>
  <c r="BV14" i="15"/>
  <c r="BO14" i="15"/>
  <c r="BV14" i="14"/>
  <c r="BO14" i="14"/>
  <c r="BV14" i="13"/>
  <c r="BO14" i="13"/>
  <c r="BV14" i="12"/>
  <c r="BO14" i="12"/>
  <c r="F16" i="16"/>
  <c r="BP14" i="9"/>
  <c r="BP14" i="11"/>
  <c r="BP14" i="7"/>
  <c r="BP13" i="8"/>
  <c r="BP14" i="15"/>
  <c r="BP14" i="14"/>
  <c r="BP14" i="13"/>
  <c r="BP14" i="12"/>
  <c r="G16" i="16"/>
  <c r="H16" i="16"/>
  <c r="A17" i="16"/>
  <c r="B17" i="16"/>
  <c r="C17" i="16"/>
  <c r="D17" i="16"/>
  <c r="BJ50" i="9"/>
  <c r="BJ15" i="11"/>
  <c r="BJ15" i="7"/>
  <c r="BJ39" i="8"/>
  <c r="BJ15" i="15"/>
  <c r="BJ33" i="14"/>
  <c r="BJ15" i="13"/>
  <c r="BJ15" i="12"/>
  <c r="E17" i="16"/>
  <c r="BV50" i="9"/>
  <c r="BO50" i="9"/>
  <c r="BV15" i="11"/>
  <c r="BO15" i="11"/>
  <c r="BV15" i="7"/>
  <c r="BO15" i="7"/>
  <c r="BV39" i="8"/>
  <c r="BO39" i="8"/>
  <c r="BV15" i="15"/>
  <c r="BO15" i="15"/>
  <c r="BV33" i="14"/>
  <c r="BO33" i="14"/>
  <c r="BV15" i="13"/>
  <c r="BO15" i="13"/>
  <c r="BV15" i="12"/>
  <c r="BO15" i="12"/>
  <c r="F17" i="16"/>
  <c r="BP50" i="9"/>
  <c r="BP15" i="11"/>
  <c r="BP15" i="7"/>
  <c r="BP39" i="8"/>
  <c r="BP15" i="15"/>
  <c r="BP33" i="14"/>
  <c r="BP15" i="13"/>
  <c r="BP15" i="12"/>
  <c r="G17" i="16"/>
  <c r="H17" i="16"/>
  <c r="A18" i="16"/>
  <c r="B18" i="16"/>
  <c r="C18" i="16"/>
  <c r="D18" i="16"/>
  <c r="BJ49" i="9"/>
  <c r="BJ16" i="11"/>
  <c r="BJ16" i="7"/>
  <c r="BJ40" i="8"/>
  <c r="BJ29" i="15"/>
  <c r="BJ15" i="14"/>
  <c r="BJ16" i="13"/>
  <c r="BJ16" i="12"/>
  <c r="E18" i="16"/>
  <c r="BV49" i="9"/>
  <c r="BO49" i="9"/>
  <c r="BV16" i="11"/>
  <c r="BO16" i="11"/>
  <c r="BV16" i="7"/>
  <c r="BO16" i="7"/>
  <c r="BV40" i="8"/>
  <c r="BO40" i="8"/>
  <c r="BV29" i="15"/>
  <c r="BO29" i="15"/>
  <c r="BV15" i="14"/>
  <c r="BO15" i="14"/>
  <c r="BV16" i="13"/>
  <c r="BO16" i="13"/>
  <c r="BV16" i="12"/>
  <c r="BO16" i="12"/>
  <c r="F18" i="16"/>
  <c r="BP49" i="9"/>
  <c r="BP16" i="11"/>
  <c r="BP16" i="7"/>
  <c r="BP40" i="8"/>
  <c r="BP29" i="15"/>
  <c r="BP15" i="14"/>
  <c r="BP16" i="13"/>
  <c r="BP16" i="12"/>
  <c r="G18" i="16"/>
  <c r="H18" i="16"/>
  <c r="A19" i="16"/>
  <c r="B19" i="16"/>
  <c r="C19" i="16"/>
  <c r="D19" i="16"/>
  <c r="BJ15" i="9"/>
  <c r="BJ70" i="11"/>
  <c r="BJ17" i="7"/>
  <c r="BJ14" i="8"/>
  <c r="BJ16" i="15"/>
  <c r="BJ16" i="14"/>
  <c r="BJ17" i="13"/>
  <c r="BJ38" i="12"/>
  <c r="E19" i="16"/>
  <c r="BV15" i="9"/>
  <c r="BO15" i="9"/>
  <c r="BV70" i="11"/>
  <c r="BO70" i="11"/>
  <c r="BV17" i="7"/>
  <c r="BO17" i="7"/>
  <c r="BV14" i="8"/>
  <c r="BO14" i="8"/>
  <c r="BV16" i="15"/>
  <c r="BO16" i="15"/>
  <c r="BV16" i="14"/>
  <c r="BO16" i="14"/>
  <c r="BV17" i="13"/>
  <c r="BO17" i="13"/>
  <c r="BV38" i="12"/>
  <c r="BO38" i="12"/>
  <c r="F19" i="16"/>
  <c r="BP15" i="9"/>
  <c r="BP70" i="11"/>
  <c r="BP17" i="7"/>
  <c r="BP14" i="8"/>
  <c r="BP16" i="15"/>
  <c r="BP16" i="14"/>
  <c r="BP17" i="13"/>
  <c r="BP38" i="12"/>
  <c r="G19" i="16"/>
  <c r="H19" i="16"/>
  <c r="A20" i="16"/>
  <c r="B20" i="16"/>
  <c r="C20" i="16"/>
  <c r="D20" i="16"/>
  <c r="BJ39" i="9"/>
  <c r="BJ17" i="11"/>
  <c r="BJ18" i="7"/>
  <c r="BJ15" i="8"/>
  <c r="BJ17" i="15"/>
  <c r="BJ17" i="14"/>
  <c r="BJ18" i="13"/>
  <c r="BJ35" i="12"/>
  <c r="E20" i="16"/>
  <c r="BV39" i="9"/>
  <c r="BO39" i="9"/>
  <c r="BV17" i="11"/>
  <c r="BO17" i="11"/>
  <c r="BV18" i="7"/>
  <c r="BO18" i="7"/>
  <c r="BV15" i="8"/>
  <c r="BO15" i="8"/>
  <c r="BV17" i="15"/>
  <c r="BO17" i="15"/>
  <c r="BV17" i="14"/>
  <c r="BO17" i="14"/>
  <c r="BV18" i="13"/>
  <c r="BO18" i="13"/>
  <c r="BV35" i="12"/>
  <c r="BO35" i="12"/>
  <c r="F20" i="16"/>
  <c r="BP39" i="9"/>
  <c r="BP17" i="11"/>
  <c r="BP18" i="7"/>
  <c r="BP15" i="8"/>
  <c r="BP17" i="15"/>
  <c r="BP17" i="14"/>
  <c r="BP18" i="13"/>
  <c r="BP35" i="12"/>
  <c r="G20" i="16"/>
  <c r="H20" i="16"/>
  <c r="A21" i="16"/>
  <c r="B21" i="16"/>
  <c r="C21" i="16"/>
  <c r="D21" i="16"/>
  <c r="BJ65" i="9"/>
  <c r="BJ18" i="11"/>
  <c r="BJ19" i="7"/>
  <c r="BJ30" i="8"/>
  <c r="BJ25" i="15"/>
  <c r="BJ18" i="14"/>
  <c r="BJ19" i="13"/>
  <c r="BJ17" i="12"/>
  <c r="E21" i="16"/>
  <c r="BV65" i="9"/>
  <c r="BO65" i="9"/>
  <c r="BV18" i="11"/>
  <c r="BO18" i="11"/>
  <c r="BV19" i="7"/>
  <c r="BO19" i="7"/>
  <c r="BV30" i="8"/>
  <c r="BO30" i="8"/>
  <c r="BV25" i="15"/>
  <c r="BO25" i="15"/>
  <c r="BV18" i="14"/>
  <c r="BO18" i="14"/>
  <c r="BV19" i="13"/>
  <c r="BO19" i="13"/>
  <c r="BV17" i="12"/>
  <c r="BO17" i="12"/>
  <c r="F21" i="16"/>
  <c r="BP65" i="9"/>
  <c r="BP18" i="11"/>
  <c r="BP19" i="7"/>
  <c r="BP30" i="8"/>
  <c r="BP25" i="15"/>
  <c r="BP18" i="14"/>
  <c r="BP19" i="13"/>
  <c r="BP17" i="12"/>
  <c r="G21" i="16"/>
  <c r="H21" i="16"/>
  <c r="A22" i="16"/>
  <c r="B22" i="16"/>
  <c r="C22" i="16"/>
  <c r="D22" i="16"/>
  <c r="BJ34" i="9"/>
  <c r="BJ19" i="11"/>
  <c r="BJ20" i="7"/>
  <c r="BJ16" i="8"/>
  <c r="BJ18" i="15"/>
  <c r="BJ19" i="14"/>
  <c r="BJ20" i="13"/>
  <c r="BJ18" i="12"/>
  <c r="E22" i="16"/>
  <c r="BV34" i="9"/>
  <c r="BO34" i="9"/>
  <c r="BV19" i="11"/>
  <c r="BO19" i="11"/>
  <c r="BV20" i="7"/>
  <c r="BO20" i="7"/>
  <c r="BV16" i="8"/>
  <c r="BO16" i="8"/>
  <c r="BV18" i="15"/>
  <c r="BO18" i="15"/>
  <c r="BV19" i="14"/>
  <c r="BO19" i="14"/>
  <c r="BV20" i="13"/>
  <c r="BO20" i="13"/>
  <c r="BV18" i="12"/>
  <c r="BO18" i="12"/>
  <c r="F22" i="16"/>
  <c r="BP34" i="9"/>
  <c r="BP19" i="11"/>
  <c r="BP20" i="7"/>
  <c r="BP16" i="8"/>
  <c r="BP18" i="15"/>
  <c r="BP19" i="14"/>
  <c r="BP20" i="13"/>
  <c r="BP18" i="12"/>
  <c r="G22" i="16"/>
  <c r="H22" i="16"/>
  <c r="A23" i="16"/>
  <c r="B23" i="16"/>
  <c r="C23" i="16"/>
  <c r="D23" i="16"/>
  <c r="BJ52" i="9"/>
  <c r="BJ20" i="11"/>
  <c r="BJ21" i="7"/>
  <c r="BJ41" i="8"/>
  <c r="BJ19" i="15"/>
  <c r="BJ20" i="14"/>
  <c r="BJ42" i="13"/>
  <c r="BJ19" i="12"/>
  <c r="E23" i="16"/>
  <c r="BV52" i="9"/>
  <c r="BO52" i="9"/>
  <c r="BV20" i="11"/>
  <c r="BO20" i="11"/>
  <c r="BV21" i="7"/>
  <c r="BO21" i="7"/>
  <c r="BV41" i="8"/>
  <c r="BO41" i="8"/>
  <c r="BV19" i="15"/>
  <c r="BO19" i="15"/>
  <c r="BV20" i="14"/>
  <c r="BO20" i="14"/>
  <c r="BV42" i="13"/>
  <c r="BO42" i="13"/>
  <c r="BV19" i="12"/>
  <c r="BO19" i="12"/>
  <c r="F23" i="16"/>
  <c r="BP52" i="9"/>
  <c r="BP20" i="11"/>
  <c r="BP21" i="7"/>
  <c r="BP41" i="8"/>
  <c r="BP19" i="15"/>
  <c r="BP20" i="14"/>
  <c r="BP42" i="13"/>
  <c r="BP19" i="12"/>
  <c r="G23" i="16"/>
  <c r="H23" i="16"/>
  <c r="A24" i="16"/>
  <c r="B24" i="16"/>
  <c r="C24" i="16"/>
  <c r="D24" i="16"/>
  <c r="BJ16" i="9"/>
  <c r="BJ55" i="11"/>
  <c r="BJ22" i="7"/>
  <c r="BJ17" i="8"/>
  <c r="BJ20" i="15"/>
  <c r="BJ34" i="14"/>
  <c r="BJ21" i="13"/>
  <c r="BJ30" i="12"/>
  <c r="E24" i="16"/>
  <c r="BV16" i="9"/>
  <c r="BO16" i="9"/>
  <c r="BV55" i="11"/>
  <c r="BO55" i="11"/>
  <c r="BV22" i="7"/>
  <c r="BO22" i="7"/>
  <c r="BV17" i="8"/>
  <c r="BO17" i="8"/>
  <c r="BV20" i="15"/>
  <c r="BO20" i="15"/>
  <c r="BV34" i="14"/>
  <c r="BO34" i="14"/>
  <c r="BV21" i="13"/>
  <c r="BO21" i="13"/>
  <c r="BV30" i="12"/>
  <c r="BO30" i="12"/>
  <c r="F24" i="16"/>
  <c r="BP16" i="9"/>
  <c r="BP55" i="11"/>
  <c r="BP22" i="7"/>
  <c r="BP17" i="8"/>
  <c r="BP20" i="15"/>
  <c r="BP34" i="14"/>
  <c r="BP21" i="13"/>
  <c r="BP30" i="12"/>
  <c r="G24" i="16"/>
  <c r="H24" i="16"/>
  <c r="A25" i="16"/>
  <c r="B25" i="16"/>
  <c r="C25" i="16"/>
  <c r="D25" i="16"/>
  <c r="BJ43" i="9"/>
  <c r="BJ71" i="11"/>
  <c r="BJ23" i="7"/>
  <c r="BJ18" i="8"/>
  <c r="BJ21" i="15"/>
  <c r="BJ21" i="14"/>
  <c r="BJ22" i="13"/>
  <c r="BJ31" i="12"/>
  <c r="E25" i="16"/>
  <c r="BV43" i="9"/>
  <c r="BO43" i="9"/>
  <c r="BV71" i="11"/>
  <c r="BO71" i="11"/>
  <c r="BV23" i="7"/>
  <c r="BO23" i="7"/>
  <c r="BV18" i="8"/>
  <c r="BO18" i="8"/>
  <c r="BV21" i="15"/>
  <c r="BO21" i="15"/>
  <c r="BV21" i="14"/>
  <c r="BO21" i="14"/>
  <c r="BV22" i="13"/>
  <c r="BO22" i="13"/>
  <c r="BV31" i="12"/>
  <c r="BO31" i="12"/>
  <c r="F25" i="16"/>
  <c r="BP43" i="9"/>
  <c r="BP71" i="11"/>
  <c r="BP23" i="7"/>
  <c r="BP18" i="8"/>
  <c r="BP21" i="15"/>
  <c r="BP21" i="14"/>
  <c r="BP22" i="13"/>
  <c r="BP31" i="12"/>
  <c r="G25" i="16"/>
  <c r="H25" i="16"/>
  <c r="A26" i="16"/>
  <c r="B26" i="16"/>
  <c r="C26" i="16"/>
  <c r="D26" i="16"/>
  <c r="BJ45" i="9"/>
  <c r="BJ21" i="11"/>
  <c r="BJ24" i="7"/>
  <c r="BJ19" i="8"/>
  <c r="BJ22" i="15"/>
  <c r="BJ22" i="14"/>
  <c r="BJ23" i="13"/>
  <c r="BJ34" i="12"/>
  <c r="E26" i="16"/>
  <c r="BV45" i="9"/>
  <c r="BO45" i="9"/>
  <c r="BV21" i="11"/>
  <c r="BO21" i="11"/>
  <c r="BV24" i="7"/>
  <c r="BO24" i="7"/>
  <c r="BV19" i="8"/>
  <c r="BO19" i="8"/>
  <c r="BV22" i="15"/>
  <c r="BO22" i="15"/>
  <c r="BV22" i="14"/>
  <c r="BO22" i="14"/>
  <c r="BV23" i="13"/>
  <c r="BO23" i="13"/>
  <c r="BV34" i="12"/>
  <c r="BO34" i="12"/>
  <c r="F26" i="16"/>
  <c r="BP45" i="9"/>
  <c r="BP21" i="11"/>
  <c r="BP24" i="7"/>
  <c r="BP19" i="8"/>
  <c r="BP22" i="15"/>
  <c r="BP22" i="14"/>
  <c r="BP23" i="13"/>
  <c r="BP34" i="12"/>
  <c r="G26" i="16"/>
  <c r="H26" i="16"/>
  <c r="A27" i="16"/>
  <c r="B27" i="16"/>
  <c r="C27" i="16"/>
  <c r="D27" i="16"/>
  <c r="BJ42" i="9"/>
  <c r="BJ60" i="11"/>
  <c r="BJ30" i="7"/>
  <c r="BJ20" i="8"/>
  <c r="BJ23" i="15"/>
  <c r="BJ32" i="14"/>
  <c r="BJ39" i="13"/>
  <c r="BJ36" i="12"/>
  <c r="E27" i="16"/>
  <c r="BV42" i="9"/>
  <c r="BO42" i="9"/>
  <c r="BV60" i="11"/>
  <c r="BO60" i="11"/>
  <c r="BV30" i="7"/>
  <c r="BO30" i="7"/>
  <c r="BV20" i="8"/>
  <c r="BO20" i="8"/>
  <c r="BV23" i="15"/>
  <c r="BO23" i="15"/>
  <c r="BV32" i="14"/>
  <c r="BO32" i="14"/>
  <c r="BV39" i="13"/>
  <c r="BO39" i="13"/>
  <c r="BV36" i="12"/>
  <c r="BO36" i="12"/>
  <c r="F27" i="16"/>
  <c r="BP42" i="9"/>
  <c r="BP60" i="11"/>
  <c r="BP30" i="7"/>
  <c r="BP20" i="8"/>
  <c r="BP23" i="15"/>
  <c r="BP32" i="14"/>
  <c r="BP39" i="13"/>
  <c r="BP36" i="12"/>
  <c r="G27" i="16"/>
  <c r="H27" i="16"/>
  <c r="A28" i="16"/>
  <c r="B28" i="16"/>
  <c r="C28" i="16"/>
  <c r="D28" i="16"/>
  <c r="BJ35" i="9"/>
  <c r="BJ68" i="11"/>
  <c r="BJ31" i="7"/>
  <c r="BJ21" i="8"/>
  <c r="BJ26" i="15"/>
  <c r="BJ31" i="14"/>
  <c r="BJ40" i="13"/>
  <c r="BJ37" i="12"/>
  <c r="E28" i="16"/>
  <c r="BV35" i="9"/>
  <c r="BO35" i="9"/>
  <c r="BV68" i="11"/>
  <c r="BO68" i="11"/>
  <c r="BV31" i="7"/>
  <c r="BO31" i="7"/>
  <c r="BV21" i="8"/>
  <c r="BO21" i="8"/>
  <c r="BV26" i="15"/>
  <c r="BO26" i="15"/>
  <c r="BV31" i="14"/>
  <c r="BO31" i="14"/>
  <c r="BV40" i="13"/>
  <c r="BO40" i="13"/>
  <c r="BV37" i="12"/>
  <c r="BO37" i="12"/>
  <c r="F28" i="16"/>
  <c r="BP35" i="9"/>
  <c r="BP68" i="11"/>
  <c r="BP31" i="7"/>
  <c r="BP21" i="8"/>
  <c r="BP26" i="15"/>
  <c r="BP31" i="14"/>
  <c r="BP40" i="13"/>
  <c r="BP37" i="12"/>
  <c r="G28" i="16"/>
  <c r="H28" i="16"/>
  <c r="A29" i="16"/>
  <c r="B29" i="16"/>
  <c r="C29" i="16"/>
  <c r="D29" i="16"/>
  <c r="BJ63" i="9"/>
  <c r="BJ22" i="11"/>
  <c r="BJ25" i="7"/>
  <c r="BJ27" i="8"/>
  <c r="BJ24" i="15"/>
  <c r="BJ23" i="14"/>
  <c r="BJ41" i="13"/>
  <c r="BJ20" i="12"/>
  <c r="BJ33" i="7"/>
  <c r="BJ48" i="13"/>
  <c r="E29" i="16"/>
  <c r="BV63" i="9"/>
  <c r="BO63" i="9"/>
  <c r="BV22" i="11"/>
  <c r="BO22" i="11"/>
  <c r="BV25" i="7"/>
  <c r="BO25" i="7"/>
  <c r="BV27" i="8"/>
  <c r="BO27" i="8"/>
  <c r="BV24" i="15"/>
  <c r="BO24" i="15"/>
  <c r="BV23" i="14"/>
  <c r="BO23" i="14"/>
  <c r="BV41" i="13"/>
  <c r="BO41" i="13"/>
  <c r="BV20" i="12"/>
  <c r="BO20" i="12"/>
  <c r="BV33" i="7"/>
  <c r="BO33" i="7"/>
  <c r="BV48" i="13"/>
  <c r="BO48" i="13"/>
  <c r="F29" i="16"/>
  <c r="BP63" i="9"/>
  <c r="BP22" i="11"/>
  <c r="BP25" i="7"/>
  <c r="BP27" i="8"/>
  <c r="BP24" i="15"/>
  <c r="BP23" i="14"/>
  <c r="BP41" i="13"/>
  <c r="BP20" i="12"/>
  <c r="BP33" i="7"/>
  <c r="BP48" i="13"/>
  <c r="G29" i="16"/>
  <c r="H29" i="16"/>
  <c r="A30" i="16"/>
  <c r="B30" i="16"/>
  <c r="C30" i="16"/>
  <c r="D30" i="16"/>
  <c r="BJ60" i="9"/>
  <c r="BJ69" i="11"/>
  <c r="BJ26" i="7"/>
  <c r="BJ31" i="8"/>
  <c r="BJ27" i="15"/>
  <c r="BJ24" i="14"/>
  <c r="BJ47" i="13"/>
  <c r="BJ21" i="12"/>
  <c r="E30" i="16"/>
  <c r="BV60" i="9"/>
  <c r="BO60" i="9"/>
  <c r="BV69" i="11"/>
  <c r="BO69" i="11"/>
  <c r="BV26" i="7"/>
  <c r="BO26" i="7"/>
  <c r="BV31" i="8"/>
  <c r="BO31" i="8"/>
  <c r="BV27" i="15"/>
  <c r="BO27" i="15"/>
  <c r="BV24" i="14"/>
  <c r="BO24" i="14"/>
  <c r="BV47" i="13"/>
  <c r="BO47" i="13"/>
  <c r="BV21" i="12"/>
  <c r="BO21" i="12"/>
  <c r="F30" i="16"/>
  <c r="BP60" i="9"/>
  <c r="BP69" i="11"/>
  <c r="BP26" i="7"/>
  <c r="BP31" i="8"/>
  <c r="BP27" i="15"/>
  <c r="BP24" i="14"/>
  <c r="BP47" i="13"/>
  <c r="BP21" i="12"/>
  <c r="G30" i="16"/>
  <c r="H30" i="16"/>
  <c r="A31" i="16"/>
  <c r="B31" i="16"/>
  <c r="C31" i="16"/>
  <c r="D31" i="16"/>
  <c r="BJ56" i="9"/>
  <c r="BJ57" i="11"/>
  <c r="BJ29" i="7"/>
  <c r="BJ32" i="8"/>
  <c r="BJ28" i="15"/>
  <c r="BJ25" i="14"/>
  <c r="BJ24" i="13"/>
  <c r="BJ22" i="12"/>
  <c r="E31" i="16"/>
  <c r="BV56" i="9"/>
  <c r="BO56" i="9"/>
  <c r="BV57" i="11"/>
  <c r="BO57" i="11"/>
  <c r="BV29" i="7"/>
  <c r="BO29" i="7"/>
  <c r="BV32" i="8"/>
  <c r="BO32" i="8"/>
  <c r="BV28" i="15"/>
  <c r="BO28" i="15"/>
  <c r="BV25" i="14"/>
  <c r="BO25" i="14"/>
  <c r="BV24" i="13"/>
  <c r="BO24" i="13"/>
  <c r="BV22" i="12"/>
  <c r="BO22" i="12"/>
  <c r="F31" i="16"/>
  <c r="BP56" i="9"/>
  <c r="BP57" i="11"/>
  <c r="BP29" i="7"/>
  <c r="BP32" i="8"/>
  <c r="BP28" i="15"/>
  <c r="BP25" i="14"/>
  <c r="BP24" i="13"/>
  <c r="BP22" i="12"/>
  <c r="G31" i="16"/>
  <c r="H31" i="16"/>
  <c r="A32" i="16"/>
  <c r="B32" i="16"/>
  <c r="C32" i="16"/>
  <c r="D32" i="16"/>
  <c r="BJ61" i="9"/>
  <c r="BJ61" i="11"/>
  <c r="BJ27" i="7"/>
  <c r="BJ22" i="8"/>
  <c r="BJ30" i="15"/>
  <c r="BJ26" i="14"/>
  <c r="BJ25" i="13"/>
  <c r="BJ23" i="12"/>
  <c r="BJ34" i="7"/>
  <c r="E32" i="16"/>
  <c r="BV61" i="9"/>
  <c r="BO61" i="9"/>
  <c r="BV61" i="11"/>
  <c r="BO61" i="11"/>
  <c r="BV27" i="7"/>
  <c r="BO27" i="7"/>
  <c r="BV22" i="8"/>
  <c r="BO22" i="8"/>
  <c r="BV30" i="15"/>
  <c r="BO30" i="15"/>
  <c r="BV26" i="14"/>
  <c r="BO26" i="14"/>
  <c r="BV25" i="13"/>
  <c r="BO25" i="13"/>
  <c r="BV23" i="12"/>
  <c r="BO23" i="12"/>
  <c r="BV34" i="7"/>
  <c r="BO34" i="7"/>
  <c r="F32" i="16"/>
  <c r="BP61" i="9"/>
  <c r="BP61" i="11"/>
  <c r="BP27" i="7"/>
  <c r="BP22" i="8"/>
  <c r="BP30" i="15"/>
  <c r="BP26" i="14"/>
  <c r="BP25" i="13"/>
  <c r="BP23" i="12"/>
  <c r="BP34" i="7"/>
  <c r="G32" i="16"/>
  <c r="H32" i="16"/>
  <c r="A33" i="16"/>
  <c r="B33" i="16"/>
  <c r="C33" i="16"/>
  <c r="D33" i="16"/>
  <c r="BJ17" i="9"/>
  <c r="BJ23" i="11"/>
  <c r="BJ32" i="7"/>
  <c r="BJ23" i="8"/>
  <c r="BJ27" i="14"/>
  <c r="BJ26" i="13"/>
  <c r="BJ24" i="12"/>
  <c r="E33" i="16"/>
  <c r="BV17" i="9"/>
  <c r="BO17" i="9"/>
  <c r="BV23" i="11"/>
  <c r="BO23" i="11"/>
  <c r="BV32" i="7"/>
  <c r="BO32" i="7"/>
  <c r="BV23" i="8"/>
  <c r="BO23" i="8"/>
  <c r="BV27" i="14"/>
  <c r="BO27" i="14"/>
  <c r="BV26" i="13"/>
  <c r="BO26" i="13"/>
  <c r="BV24" i="12"/>
  <c r="BO24" i="12"/>
  <c r="F33" i="16"/>
  <c r="BP17" i="9"/>
  <c r="BP23" i="11"/>
  <c r="BP32" i="7"/>
  <c r="BP23" i="8"/>
  <c r="BP27" i="14"/>
  <c r="BP26" i="13"/>
  <c r="BP24" i="12"/>
  <c r="G33" i="16"/>
  <c r="H33" i="16"/>
  <c r="A34" i="16"/>
  <c r="B34" i="16"/>
  <c r="C34" i="16"/>
  <c r="D34" i="16"/>
  <c r="BJ36" i="9"/>
  <c r="BJ24" i="11"/>
  <c r="BJ28" i="7"/>
  <c r="BJ24" i="8"/>
  <c r="BJ28" i="14"/>
  <c r="BJ27" i="13"/>
  <c r="BJ32" i="12"/>
  <c r="E34" i="16"/>
  <c r="BV36" i="9"/>
  <c r="BO36" i="9"/>
  <c r="BV24" i="11"/>
  <c r="BO24" i="11"/>
  <c r="BV28" i="7"/>
  <c r="BO28" i="7"/>
  <c r="BV24" i="8"/>
  <c r="BO24" i="8"/>
  <c r="BV28" i="14"/>
  <c r="BO28" i="14"/>
  <c r="BV27" i="13"/>
  <c r="BO27" i="13"/>
  <c r="BV32" i="12"/>
  <c r="BO32" i="12"/>
  <c r="F34" i="16"/>
  <c r="BP36" i="9"/>
  <c r="BP24" i="11"/>
  <c r="BP28" i="7"/>
  <c r="BP24" i="8"/>
  <c r="BP28" i="14"/>
  <c r="BP27" i="13"/>
  <c r="BP32" i="12"/>
  <c r="G34" i="16"/>
  <c r="H34" i="16"/>
  <c r="A35" i="16"/>
  <c r="B35" i="16"/>
  <c r="C35" i="16"/>
  <c r="D35" i="16"/>
  <c r="BJ37" i="9"/>
  <c r="BJ26" i="11"/>
  <c r="BJ25" i="8"/>
  <c r="BJ29" i="14"/>
  <c r="BJ28" i="13"/>
  <c r="BJ33" i="12"/>
  <c r="BJ67" i="9"/>
  <c r="E35" i="16"/>
  <c r="BV37" i="9"/>
  <c r="BO37" i="9"/>
  <c r="BV26" i="11"/>
  <c r="BO26" i="11"/>
  <c r="BV25" i="8"/>
  <c r="BO25" i="8"/>
  <c r="BV29" i="14"/>
  <c r="BO29" i="14"/>
  <c r="BV28" i="13"/>
  <c r="BO28" i="13"/>
  <c r="BV33" i="12"/>
  <c r="BO33" i="12"/>
  <c r="BV67" i="9"/>
  <c r="BO67" i="9"/>
  <c r="F35" i="16"/>
  <c r="BP37" i="9"/>
  <c r="BP26" i="11"/>
  <c r="BP25" i="8"/>
  <c r="BP29" i="14"/>
  <c r="BP28" i="13"/>
  <c r="BP33" i="12"/>
  <c r="BP67" i="9"/>
  <c r="G35" i="16"/>
  <c r="H35" i="16"/>
  <c r="A36" i="16"/>
  <c r="B36" i="16"/>
  <c r="C36" i="16"/>
  <c r="D36" i="16"/>
  <c r="BJ18" i="9"/>
  <c r="BJ27" i="11"/>
  <c r="BJ34" i="8"/>
  <c r="BJ30" i="14"/>
  <c r="BJ29" i="13"/>
  <c r="BJ25" i="12"/>
  <c r="E36" i="16"/>
  <c r="BV18" i="9"/>
  <c r="BO18" i="9"/>
  <c r="BV27" i="11"/>
  <c r="BO27" i="11"/>
  <c r="BV34" i="8"/>
  <c r="BO34" i="8"/>
  <c r="BV30" i="14"/>
  <c r="BO30" i="14"/>
  <c r="BV29" i="13"/>
  <c r="BO29" i="13"/>
  <c r="BV25" i="12"/>
  <c r="BO25" i="12"/>
  <c r="F36" i="16"/>
  <c r="BP18" i="9"/>
  <c r="BP27" i="11"/>
  <c r="BP34" i="8"/>
  <c r="BP30" i="14"/>
  <c r="BP29" i="13"/>
  <c r="BP25" i="12"/>
  <c r="G36" i="16"/>
  <c r="H36" i="16"/>
  <c r="A37" i="16"/>
  <c r="B37" i="16"/>
  <c r="C37" i="16"/>
  <c r="D37" i="16"/>
  <c r="BJ19" i="9"/>
  <c r="BJ28" i="11"/>
  <c r="BJ45" i="8"/>
  <c r="BJ30" i="13"/>
  <c r="BJ26" i="12"/>
  <c r="E37" i="16"/>
  <c r="BV19" i="9"/>
  <c r="BO19" i="9"/>
  <c r="BV28" i="11"/>
  <c r="BO28" i="11"/>
  <c r="BV45" i="8"/>
  <c r="BO45" i="8"/>
  <c r="BV30" i="13"/>
  <c r="BO30" i="13"/>
  <c r="BV26" i="12"/>
  <c r="BO26" i="12"/>
  <c r="F37" i="16"/>
  <c r="BP19" i="9"/>
  <c r="BP28" i="11"/>
  <c r="BP45" i="8"/>
  <c r="BP30" i="13"/>
  <c r="BP26" i="12"/>
  <c r="G37" i="16"/>
  <c r="H37" i="16"/>
  <c r="A38" i="16"/>
  <c r="B38" i="16"/>
  <c r="C38" i="16"/>
  <c r="D38" i="16"/>
  <c r="BJ53" i="9"/>
  <c r="BJ29" i="11"/>
  <c r="BJ26" i="8"/>
  <c r="BJ31" i="13"/>
  <c r="BJ27" i="12"/>
  <c r="E38" i="16"/>
  <c r="BV53" i="9"/>
  <c r="BO53" i="9"/>
  <c r="BV29" i="11"/>
  <c r="BO29" i="11"/>
  <c r="BV26" i="8"/>
  <c r="BO26" i="8"/>
  <c r="BV31" i="13"/>
  <c r="BO31" i="13"/>
  <c r="BV27" i="12"/>
  <c r="BO27" i="12"/>
  <c r="F38" i="16"/>
  <c r="BP53" i="9"/>
  <c r="BP29" i="11"/>
  <c r="BP26" i="8"/>
  <c r="BP31" i="13"/>
  <c r="BP27" i="12"/>
  <c r="G38" i="16"/>
  <c r="H38" i="16"/>
  <c r="A39" i="16"/>
  <c r="B39" i="16"/>
  <c r="C39" i="16"/>
  <c r="D39" i="16"/>
  <c r="BJ20" i="9"/>
  <c r="BJ56" i="11"/>
  <c r="BJ28" i="8"/>
  <c r="BJ32" i="13"/>
  <c r="BJ28" i="12"/>
  <c r="E39" i="16"/>
  <c r="BV20" i="9"/>
  <c r="BO20" i="9"/>
  <c r="BV56" i="11"/>
  <c r="BO56" i="11"/>
  <c r="BV28" i="8"/>
  <c r="BO28" i="8"/>
  <c r="BV32" i="13"/>
  <c r="BO32" i="13"/>
  <c r="BV28" i="12"/>
  <c r="BO28" i="12"/>
  <c r="F39" i="16"/>
  <c r="BP20" i="9"/>
  <c r="BP56" i="11"/>
  <c r="BP28" i="8"/>
  <c r="BP32" i="13"/>
  <c r="BP28" i="12"/>
  <c r="G39" i="16"/>
  <c r="H39" i="16"/>
  <c r="A40" i="16"/>
  <c r="B40" i="16"/>
  <c r="C40" i="16"/>
  <c r="D40" i="16"/>
  <c r="BJ66" i="9"/>
  <c r="BJ58" i="11"/>
  <c r="BJ35" i="8"/>
  <c r="BJ33" i="13"/>
  <c r="BJ29" i="12"/>
  <c r="E40" i="16"/>
  <c r="BV66" i="9"/>
  <c r="BO66" i="9"/>
  <c r="BV58" i="11"/>
  <c r="BO58" i="11"/>
  <c r="BV35" i="8"/>
  <c r="BO35" i="8"/>
  <c r="BV33" i="13"/>
  <c r="BO33" i="13"/>
  <c r="BV29" i="12"/>
  <c r="BO29" i="12"/>
  <c r="F40" i="16"/>
  <c r="BP66" i="9"/>
  <c r="BP58" i="11"/>
  <c r="BP35" i="8"/>
  <c r="BP33" i="13"/>
  <c r="BP29" i="12"/>
  <c r="G40" i="16"/>
  <c r="H40" i="16"/>
  <c r="A41" i="16"/>
  <c r="B41" i="16"/>
  <c r="C41" i="16"/>
  <c r="D41" i="16"/>
  <c r="BJ21" i="9"/>
  <c r="BJ66" i="11"/>
  <c r="BJ42" i="8"/>
  <c r="BJ46" i="13"/>
  <c r="E41" i="16"/>
  <c r="BV21" i="9"/>
  <c r="BO21" i="9"/>
  <c r="BV66" i="11"/>
  <c r="BO66" i="11"/>
  <c r="BV42" i="8"/>
  <c r="BO42" i="8"/>
  <c r="BV46" i="13"/>
  <c r="BO46" i="13"/>
  <c r="F41" i="16"/>
  <c r="BP21" i="9"/>
  <c r="BP66" i="11"/>
  <c r="BP42" i="8"/>
  <c r="BP46" i="13"/>
  <c r="G41" i="16"/>
  <c r="H41" i="16"/>
  <c r="A42" i="16"/>
  <c r="B42" i="16"/>
  <c r="C42" i="16"/>
  <c r="D42" i="16"/>
  <c r="BJ40" i="9"/>
  <c r="BJ62" i="11"/>
  <c r="BJ36" i="8"/>
  <c r="BJ43" i="13"/>
  <c r="E42" i="16"/>
  <c r="BV40" i="9"/>
  <c r="BO40" i="9"/>
  <c r="BV62" i="11"/>
  <c r="BO62" i="11"/>
  <c r="BV36" i="8"/>
  <c r="BO36" i="8"/>
  <c r="BV43" i="13"/>
  <c r="BO43" i="13"/>
  <c r="F42" i="16"/>
  <c r="BP40" i="9"/>
  <c r="BP62" i="11"/>
  <c r="BP36" i="8"/>
  <c r="BP43" i="13"/>
  <c r="G42" i="16"/>
  <c r="H42" i="16"/>
  <c r="A43" i="16"/>
  <c r="B43" i="16"/>
  <c r="C43" i="16"/>
  <c r="D43" i="16"/>
  <c r="BJ47" i="9"/>
  <c r="BJ30" i="11"/>
  <c r="BJ37" i="8"/>
  <c r="BJ45" i="13"/>
  <c r="E43" i="16"/>
  <c r="BV47" i="9"/>
  <c r="BO47" i="9"/>
  <c r="BV30" i="11"/>
  <c r="BO30" i="11"/>
  <c r="BV37" i="8"/>
  <c r="BO37" i="8"/>
  <c r="BV45" i="13"/>
  <c r="BO45" i="13"/>
  <c r="F43" i="16"/>
  <c r="BP47" i="9"/>
  <c r="BP30" i="11"/>
  <c r="BP37" i="8"/>
  <c r="BP45" i="13"/>
  <c r="G43" i="16"/>
  <c r="H43" i="16"/>
  <c r="A44" i="16"/>
  <c r="B44" i="16"/>
  <c r="C44" i="16"/>
  <c r="D44" i="16"/>
  <c r="BJ51" i="9"/>
  <c r="BJ25" i="11"/>
  <c r="BJ43" i="8"/>
  <c r="BJ34" i="13"/>
  <c r="E44" i="16"/>
  <c r="BV51" i="9"/>
  <c r="BO51" i="9"/>
  <c r="BV25" i="11"/>
  <c r="BO25" i="11"/>
  <c r="BV43" i="8"/>
  <c r="BO43" i="8"/>
  <c r="BV34" i="13"/>
  <c r="BO34" i="13"/>
  <c r="F44" i="16"/>
  <c r="BP51" i="9"/>
  <c r="BP25" i="11"/>
  <c r="BP43" i="8"/>
  <c r="BP34" i="13"/>
  <c r="G44" i="16"/>
  <c r="H44" i="16"/>
  <c r="A45" i="16"/>
  <c r="B45" i="16"/>
  <c r="C45" i="16"/>
  <c r="D45" i="16"/>
  <c r="BJ22" i="9"/>
  <c r="BJ31" i="11"/>
  <c r="BJ33" i="8"/>
  <c r="BJ35" i="13"/>
  <c r="E45" i="16"/>
  <c r="BV22" i="9"/>
  <c r="BO22" i="9"/>
  <c r="BV31" i="11"/>
  <c r="BO31" i="11"/>
  <c r="BV33" i="8"/>
  <c r="BO33" i="8"/>
  <c r="BV35" i="13"/>
  <c r="BO35" i="13"/>
  <c r="F45" i="16"/>
  <c r="BP22" i="9"/>
  <c r="BP31" i="11"/>
  <c r="BP33" i="8"/>
  <c r="BP35" i="13"/>
  <c r="G45" i="16"/>
  <c r="H45" i="16"/>
  <c r="A46" i="16"/>
  <c r="B46" i="16"/>
  <c r="C46" i="16"/>
  <c r="D46" i="16"/>
  <c r="BJ23" i="9"/>
  <c r="BJ32" i="11"/>
  <c r="BJ44" i="8"/>
  <c r="BJ36" i="13"/>
  <c r="E46" i="16"/>
  <c r="BV23" i="9"/>
  <c r="BO23" i="9"/>
  <c r="BV32" i="11"/>
  <c r="BO32" i="11"/>
  <c r="BV44" i="8"/>
  <c r="BO44" i="8"/>
  <c r="BV36" i="13"/>
  <c r="BO36" i="13"/>
  <c r="F46" i="16"/>
  <c r="BP23" i="9"/>
  <c r="BP32" i="11"/>
  <c r="BP44" i="8"/>
  <c r="BP36" i="13"/>
  <c r="G46" i="16"/>
  <c r="H46" i="16"/>
  <c r="A47" i="16"/>
  <c r="B47" i="16"/>
  <c r="C47" i="16"/>
  <c r="D47" i="16"/>
  <c r="BJ24" i="9"/>
  <c r="BJ33" i="11"/>
  <c r="BJ29" i="8"/>
  <c r="BJ44" i="13"/>
  <c r="E47" i="16"/>
  <c r="BV24" i="9"/>
  <c r="BO24" i="9"/>
  <c r="BV33" i="11"/>
  <c r="BO33" i="11"/>
  <c r="BV29" i="8"/>
  <c r="BO29" i="8"/>
  <c r="BV44" i="13"/>
  <c r="BO44" i="13"/>
  <c r="F47" i="16"/>
  <c r="BP24" i="9"/>
  <c r="BP33" i="11"/>
  <c r="BP29" i="8"/>
  <c r="BP44" i="13"/>
  <c r="G47" i="16"/>
  <c r="H47" i="16"/>
  <c r="A48" i="16"/>
  <c r="B48" i="16"/>
  <c r="C48" i="16"/>
  <c r="D48" i="16"/>
  <c r="BJ44" i="9"/>
  <c r="BJ34" i="11"/>
  <c r="BJ37" i="13"/>
  <c r="E48" i="16"/>
  <c r="BV44" i="9"/>
  <c r="BO44" i="9"/>
  <c r="BV34" i="11"/>
  <c r="BO34" i="11"/>
  <c r="BV37" i="13"/>
  <c r="BO37" i="13"/>
  <c r="F48" i="16"/>
  <c r="BP44" i="9"/>
  <c r="BP34" i="11"/>
  <c r="BP37" i="13"/>
  <c r="G48" i="16"/>
  <c r="H48" i="16"/>
  <c r="A49" i="16"/>
  <c r="B49" i="16"/>
  <c r="C49" i="16"/>
  <c r="D49" i="16"/>
  <c r="BJ25" i="9"/>
  <c r="BJ35" i="11"/>
  <c r="BJ38" i="13"/>
  <c r="E49" i="16"/>
  <c r="BV25" i="9"/>
  <c r="BO25" i="9"/>
  <c r="BV35" i="11"/>
  <c r="BO35" i="11"/>
  <c r="BV38" i="13"/>
  <c r="BO38" i="13"/>
  <c r="F49" i="16"/>
  <c r="BP25" i="9"/>
  <c r="BP35" i="11"/>
  <c r="BP38" i="13"/>
  <c r="G49" i="16"/>
  <c r="H49" i="16"/>
  <c r="A50" i="16"/>
  <c r="B50" i="16"/>
  <c r="C50" i="16"/>
  <c r="D50" i="16"/>
  <c r="BJ26" i="9"/>
  <c r="BJ36" i="11"/>
  <c r="E50" i="16"/>
  <c r="BV26" i="9"/>
  <c r="BO26" i="9"/>
  <c r="BV36" i="11"/>
  <c r="BO36" i="11"/>
  <c r="F50" i="16"/>
  <c r="BP26" i="9"/>
  <c r="BP36" i="11"/>
  <c r="G50" i="16"/>
  <c r="H50" i="16"/>
  <c r="A51" i="16"/>
  <c r="B51" i="16"/>
  <c r="C51" i="16"/>
  <c r="D51" i="16"/>
  <c r="BJ54" i="9"/>
  <c r="BJ37" i="11"/>
  <c r="E51" i="16"/>
  <c r="BV54" i="9"/>
  <c r="BO54" i="9"/>
  <c r="BV37" i="11"/>
  <c r="BO37" i="11"/>
  <c r="F51" i="16"/>
  <c r="BP54" i="9"/>
  <c r="BP37" i="11"/>
  <c r="G51" i="16"/>
  <c r="H51" i="16"/>
  <c r="A52" i="16"/>
  <c r="B52" i="16"/>
  <c r="C52" i="16"/>
  <c r="D52" i="16"/>
  <c r="BJ27" i="9"/>
  <c r="BJ38" i="11"/>
  <c r="E52" i="16"/>
  <c r="BV27" i="9"/>
  <c r="BO27" i="9"/>
  <c r="BV38" i="11"/>
  <c r="BO38" i="11"/>
  <c r="F52" i="16"/>
  <c r="BP27" i="9"/>
  <c r="BP38" i="11"/>
  <c r="G52" i="16"/>
  <c r="H52" i="16"/>
  <c r="A53" i="16"/>
  <c r="B53" i="16"/>
  <c r="C53" i="16"/>
  <c r="D53" i="16"/>
  <c r="BJ28" i="9"/>
  <c r="BJ65" i="11"/>
  <c r="E53" i="16"/>
  <c r="BV28" i="9"/>
  <c r="BO28" i="9"/>
  <c r="BV65" i="11"/>
  <c r="BO65" i="11"/>
  <c r="F53" i="16"/>
  <c r="BP28" i="9"/>
  <c r="BP65" i="11"/>
  <c r="G53" i="16"/>
  <c r="H53" i="16"/>
  <c r="A54" i="16"/>
  <c r="B54" i="16"/>
  <c r="C54" i="16"/>
  <c r="D54" i="16"/>
  <c r="BJ29" i="9"/>
  <c r="BJ64" i="11"/>
  <c r="E54" i="16"/>
  <c r="BV29" i="9"/>
  <c r="BO29" i="9"/>
  <c r="BV64" i="11"/>
  <c r="BO64" i="11"/>
  <c r="F54" i="16"/>
  <c r="BP29" i="9"/>
  <c r="BP64" i="11"/>
  <c r="G54" i="16"/>
  <c r="H54" i="16"/>
  <c r="A55" i="16"/>
  <c r="B55" i="16"/>
  <c r="C55" i="16"/>
  <c r="D55" i="16"/>
  <c r="BJ57" i="9"/>
  <c r="BJ39" i="11"/>
  <c r="E55" i="16"/>
  <c r="BV57" i="9"/>
  <c r="BO57" i="9"/>
  <c r="BV39" i="11"/>
  <c r="BO39" i="11"/>
  <c r="F55" i="16"/>
  <c r="BP57" i="9"/>
  <c r="BP39" i="11"/>
  <c r="G55" i="16"/>
  <c r="H55" i="16"/>
  <c r="A56" i="16"/>
  <c r="B56" i="16"/>
  <c r="C56" i="16"/>
  <c r="D56" i="16"/>
  <c r="BJ30" i="9"/>
  <c r="BJ40" i="11"/>
  <c r="E56" i="16"/>
  <c r="BV30" i="9"/>
  <c r="BO30" i="9"/>
  <c r="BV40" i="11"/>
  <c r="BO40" i="11"/>
  <c r="F56" i="16"/>
  <c r="BP30" i="9"/>
  <c r="BP40" i="11"/>
  <c r="G56" i="16"/>
  <c r="H56" i="16"/>
  <c r="A57" i="16"/>
  <c r="B57" i="16"/>
  <c r="C57" i="16"/>
  <c r="D57" i="16"/>
  <c r="BJ62" i="9"/>
  <c r="BJ41" i="11"/>
  <c r="E57" i="16"/>
  <c r="BV62" i="9"/>
  <c r="BO62" i="9"/>
  <c r="BV41" i="11"/>
  <c r="BO41" i="11"/>
  <c r="F57" i="16"/>
  <c r="BP62" i="9"/>
  <c r="BP41" i="11"/>
  <c r="G57" i="16"/>
  <c r="H57" i="16"/>
  <c r="A58" i="16"/>
  <c r="B58" i="16"/>
  <c r="C58" i="16"/>
  <c r="D58" i="16"/>
  <c r="BJ41" i="9"/>
  <c r="BJ42" i="11"/>
  <c r="E58" i="16"/>
  <c r="BV41" i="9"/>
  <c r="BO41" i="9"/>
  <c r="BV42" i="11"/>
  <c r="BO42" i="11"/>
  <c r="F58" i="16"/>
  <c r="BP41" i="9"/>
  <c r="BP42" i="11"/>
  <c r="G58" i="16"/>
  <c r="H58" i="16"/>
  <c r="A59" i="16"/>
  <c r="B59" i="16"/>
  <c r="C59" i="16"/>
  <c r="D59" i="16"/>
  <c r="BJ48" i="9"/>
  <c r="BJ43" i="11"/>
  <c r="E59" i="16"/>
  <c r="BV48" i="9"/>
  <c r="BO48" i="9"/>
  <c r="BV43" i="11"/>
  <c r="BO43" i="11"/>
  <c r="F59" i="16"/>
  <c r="BP48" i="9"/>
  <c r="BP43" i="11"/>
  <c r="G59" i="16"/>
  <c r="H59" i="16"/>
  <c r="A60" i="16"/>
  <c r="B60" i="16"/>
  <c r="C60" i="16"/>
  <c r="D60" i="16"/>
  <c r="BJ64" i="9"/>
  <c r="BJ44" i="11"/>
  <c r="E60" i="16"/>
  <c r="BV64" i="9"/>
  <c r="BO64" i="9"/>
  <c r="BV44" i="11"/>
  <c r="BO44" i="11"/>
  <c r="F60" i="16"/>
  <c r="BP64" i="9"/>
  <c r="BP44" i="11"/>
  <c r="G60" i="16"/>
  <c r="H60" i="16"/>
  <c r="A61" i="16"/>
  <c r="B61" i="16"/>
  <c r="C61" i="16"/>
  <c r="D61" i="16"/>
  <c r="BJ31" i="9"/>
  <c r="BJ45" i="11"/>
  <c r="E61" i="16"/>
  <c r="BV31" i="9"/>
  <c r="BO31" i="9"/>
  <c r="BV45" i="11"/>
  <c r="BO45" i="11"/>
  <c r="F61" i="16"/>
  <c r="BP31" i="9"/>
  <c r="BP45" i="11"/>
  <c r="G61" i="16"/>
  <c r="H61" i="16"/>
  <c r="A62" i="16"/>
  <c r="B62" i="16"/>
  <c r="C62" i="16"/>
  <c r="D62" i="16"/>
  <c r="BJ59" i="9"/>
  <c r="BJ63" i="11"/>
  <c r="E62" i="16"/>
  <c r="BV59" i="9"/>
  <c r="BO59" i="9"/>
  <c r="BV63" i="11"/>
  <c r="BO63" i="11"/>
  <c r="F62" i="16"/>
  <c r="BP59" i="9"/>
  <c r="BP63" i="11"/>
  <c r="G62" i="16"/>
  <c r="H62" i="16"/>
  <c r="A63" i="16"/>
  <c r="B63" i="16"/>
  <c r="C63" i="16"/>
  <c r="D63" i="16"/>
  <c r="BJ58" i="9"/>
  <c r="BJ67" i="11"/>
  <c r="E63" i="16"/>
  <c r="BV58" i="9"/>
  <c r="BO58" i="9"/>
  <c r="BV67" i="11"/>
  <c r="BO67" i="11"/>
  <c r="F63" i="16"/>
  <c r="BP58" i="9"/>
  <c r="BP67" i="11"/>
  <c r="G63" i="16"/>
  <c r="H63" i="16"/>
  <c r="A64" i="16"/>
  <c r="B64" i="16"/>
  <c r="C64" i="16"/>
  <c r="D64" i="16"/>
  <c r="BJ32" i="9"/>
  <c r="BJ46" i="11"/>
  <c r="E64" i="16"/>
  <c r="BV32" i="9"/>
  <c r="BO32" i="9"/>
  <c r="BV46" i="11"/>
  <c r="BO46" i="11"/>
  <c r="F64" i="16"/>
  <c r="BP32" i="9"/>
  <c r="BP46" i="11"/>
  <c r="G64" i="16"/>
  <c r="H64" i="16"/>
  <c r="A65" i="16"/>
  <c r="B65" i="16"/>
  <c r="C65" i="16"/>
  <c r="D65" i="16"/>
  <c r="BJ38" i="9"/>
  <c r="BJ47" i="11"/>
  <c r="E65" i="16"/>
  <c r="BV38" i="9"/>
  <c r="BO38" i="9"/>
  <c r="BV47" i="11"/>
  <c r="BO47" i="11"/>
  <c r="F65" i="16"/>
  <c r="BP38" i="9"/>
  <c r="BP47" i="11"/>
  <c r="G65" i="16"/>
  <c r="H65" i="16"/>
  <c r="A66" i="16"/>
  <c r="B66" i="16"/>
  <c r="C66" i="16"/>
  <c r="D66" i="16"/>
  <c r="BJ46" i="9"/>
  <c r="BJ48" i="11"/>
  <c r="E66" i="16"/>
  <c r="BV46" i="9"/>
  <c r="BO46" i="9"/>
  <c r="BV48" i="11"/>
  <c r="BO48" i="11"/>
  <c r="F66" i="16"/>
  <c r="BP46" i="9"/>
  <c r="BP48" i="11"/>
  <c r="G66" i="16"/>
  <c r="H66" i="16"/>
  <c r="A67" i="16"/>
  <c r="B67" i="16"/>
  <c r="C67" i="16"/>
  <c r="D67" i="16"/>
  <c r="BJ33" i="9"/>
  <c r="BJ49" i="11"/>
  <c r="E67" i="16"/>
  <c r="BV33" i="9"/>
  <c r="BO33" i="9"/>
  <c r="BV49" i="11"/>
  <c r="BO49" i="11"/>
  <c r="F67" i="16"/>
  <c r="BP33" i="9"/>
  <c r="BP49" i="11"/>
  <c r="G67" i="16"/>
  <c r="H67" i="16"/>
  <c r="A68" i="16"/>
  <c r="B68" i="16"/>
  <c r="C68" i="16"/>
  <c r="D68" i="16"/>
  <c r="BJ55" i="9"/>
  <c r="BJ50" i="11"/>
  <c r="E68" i="16"/>
  <c r="BV55" i="9"/>
  <c r="BO55" i="9"/>
  <c r="BV50" i="11"/>
  <c r="BO50" i="11"/>
  <c r="F68" i="16"/>
  <c r="BP55" i="9"/>
  <c r="BP50" i="11"/>
  <c r="G68" i="16"/>
  <c r="H68" i="16"/>
  <c r="A69" i="16"/>
  <c r="B69" i="16"/>
  <c r="C69" i="16"/>
  <c r="D69" i="16"/>
  <c r="BJ51" i="11"/>
  <c r="E69" i="16"/>
  <c r="BV51" i="11"/>
  <c r="BO51" i="11"/>
  <c r="F69" i="16"/>
  <c r="BP51" i="11"/>
  <c r="G69" i="16"/>
  <c r="H69" i="16"/>
  <c r="A70" i="16"/>
  <c r="B70" i="16"/>
  <c r="C70" i="16"/>
  <c r="D70" i="16"/>
  <c r="BJ52" i="11"/>
  <c r="BJ68" i="9"/>
  <c r="E70" i="16"/>
  <c r="BV52" i="11"/>
  <c r="BO52" i="11"/>
  <c r="BV68" i="9"/>
  <c r="BO68" i="9"/>
  <c r="F70" i="16"/>
  <c r="BP52" i="11"/>
  <c r="BP68" i="9"/>
  <c r="G70" i="16"/>
  <c r="H70" i="16"/>
  <c r="A71" i="16"/>
  <c r="B71" i="16"/>
  <c r="C71" i="16"/>
  <c r="D71" i="16"/>
  <c r="BJ53" i="11"/>
  <c r="E71" i="16"/>
  <c r="BV53" i="11"/>
  <c r="BO53" i="11"/>
  <c r="F71" i="16"/>
  <c r="BP53" i="11"/>
  <c r="G71" i="16"/>
  <c r="H71" i="16"/>
  <c r="A72" i="16"/>
  <c r="B72" i="16"/>
  <c r="C72" i="16"/>
  <c r="D72" i="16"/>
  <c r="BJ54" i="11"/>
  <c r="E72" i="16"/>
  <c r="BV54" i="11"/>
  <c r="BO54" i="11"/>
  <c r="F72" i="16"/>
  <c r="BP54" i="11"/>
  <c r="G72" i="16"/>
  <c r="H72" i="16"/>
  <c r="A73" i="16"/>
  <c r="B73" i="16"/>
  <c r="C73" i="16"/>
  <c r="D73" i="16"/>
  <c r="BJ59" i="11"/>
  <c r="E73" i="16"/>
  <c r="BV59" i="11"/>
  <c r="BO59" i="11"/>
  <c r="F73" i="16"/>
  <c r="BP59" i="11"/>
  <c r="G73" i="16"/>
  <c r="H73" i="16"/>
  <c r="A74" i="16"/>
  <c r="B74" i="16"/>
  <c r="C74" i="16"/>
  <c r="D74" i="16"/>
  <c r="E74" i="16"/>
  <c r="F74" i="16"/>
  <c r="G74" i="16"/>
  <c r="H74" i="16"/>
  <c r="A75" i="16"/>
  <c r="B75" i="16"/>
  <c r="C75" i="16"/>
  <c r="D75" i="16"/>
  <c r="E75" i="16"/>
  <c r="F75" i="16"/>
  <c r="G75" i="16"/>
  <c r="H75" i="16"/>
  <c r="A76" i="16"/>
  <c r="B76" i="16"/>
  <c r="C76" i="16"/>
  <c r="D76" i="16"/>
  <c r="E76" i="16"/>
  <c r="F76" i="16"/>
  <c r="G76" i="16"/>
  <c r="H76" i="16"/>
  <c r="A77" i="16"/>
  <c r="B77" i="16"/>
  <c r="C77" i="16"/>
  <c r="D77" i="16"/>
  <c r="E77" i="16"/>
  <c r="F77" i="16"/>
  <c r="G77" i="16"/>
  <c r="H77" i="16"/>
  <c r="A78" i="16"/>
  <c r="B78" i="16"/>
  <c r="C78" i="16"/>
  <c r="D78" i="16"/>
  <c r="E78" i="16"/>
  <c r="F78" i="16"/>
  <c r="G78" i="16"/>
  <c r="H78" i="16"/>
  <c r="A79" i="16"/>
  <c r="B79" i="16"/>
  <c r="C79" i="16"/>
  <c r="D79" i="16"/>
  <c r="E79" i="16"/>
  <c r="F79" i="16"/>
  <c r="G79" i="16"/>
  <c r="H79" i="16"/>
  <c r="A80" i="16"/>
  <c r="B80" i="16"/>
  <c r="C80" i="16"/>
  <c r="D80" i="16"/>
  <c r="E80" i="16"/>
  <c r="F80" i="16"/>
  <c r="G80" i="16"/>
  <c r="H80" i="16"/>
  <c r="F10" i="16"/>
  <c r="H10" i="16"/>
  <c r="BD7" i="9"/>
  <c r="BE7" i="9"/>
  <c r="BA7" i="9"/>
  <c r="A403" i="8"/>
  <c r="A413" i="8"/>
  <c r="A424" i="8"/>
  <c r="A271" i="8"/>
  <c r="A435" i="8"/>
  <c r="A220" i="8"/>
  <c r="A298" i="8"/>
  <c r="A332" i="8"/>
  <c r="A234" i="8"/>
  <c r="A349" i="8"/>
  <c r="A367" i="8"/>
  <c r="A385" i="8"/>
  <c r="A313" i="8"/>
  <c r="A251" i="8"/>
  <c r="BD7" i="8"/>
  <c r="BE7" i="8"/>
  <c r="BA7" i="8"/>
  <c r="BD7" i="10"/>
  <c r="BE7" i="10"/>
  <c r="BA7" i="10"/>
  <c r="BD7" i="11"/>
  <c r="BE7" i="11"/>
  <c r="BA7" i="11"/>
  <c r="BD7" i="12"/>
  <c r="BE7" i="12"/>
  <c r="BA7" i="12"/>
  <c r="BD7" i="13"/>
  <c r="BE7" i="13"/>
  <c r="BA7" i="13"/>
  <c r="BD7" i="14"/>
  <c r="BE7" i="14"/>
  <c r="BA7" i="14"/>
  <c r="BD7" i="15"/>
  <c r="BE7" i="15"/>
  <c r="BA7" i="15"/>
  <c r="BD7" i="7"/>
  <c r="BE7" i="7"/>
  <c r="BA7" i="7"/>
  <c r="A161" i="7"/>
  <c r="A177" i="7"/>
  <c r="A231" i="7"/>
  <c r="A193" i="7"/>
  <c r="A278" i="7"/>
  <c r="A211" i="7"/>
  <c r="BH11" i="7"/>
  <c r="BL11" i="7"/>
  <c r="BM11" i="7"/>
  <c r="BN11" i="7"/>
  <c r="BQ11" i="7"/>
  <c r="BR11" i="7"/>
  <c r="BS11" i="7"/>
  <c r="BT11" i="7"/>
  <c r="BU11" i="7"/>
  <c r="BX11" i="7"/>
  <c r="BH12" i="7"/>
  <c r="BL12" i="7"/>
  <c r="BM12" i="7"/>
  <c r="BN12" i="7"/>
  <c r="BQ12" i="7"/>
  <c r="BR12" i="7"/>
  <c r="BS12" i="7"/>
  <c r="BT12" i="7"/>
  <c r="BU12" i="7"/>
  <c r="BX12" i="7"/>
  <c r="BH13" i="7"/>
  <c r="BL13" i="7"/>
  <c r="BM13" i="7"/>
  <c r="BN13" i="7"/>
  <c r="BQ13" i="7"/>
  <c r="BR13" i="7"/>
  <c r="BS13" i="7"/>
  <c r="BT13" i="7"/>
  <c r="BU13" i="7"/>
  <c r="BX13" i="7"/>
  <c r="BH14" i="7"/>
  <c r="BL14" i="7"/>
  <c r="BM14" i="7"/>
  <c r="BN14" i="7"/>
  <c r="BQ14" i="7"/>
  <c r="BR14" i="7"/>
  <c r="BS14" i="7"/>
  <c r="BT14" i="7"/>
  <c r="BU14" i="7"/>
  <c r="BX14" i="7"/>
  <c r="BH15" i="7"/>
  <c r="BL15" i="7"/>
  <c r="BM15" i="7"/>
  <c r="BN15" i="7"/>
  <c r="BQ15" i="7"/>
  <c r="BR15" i="7"/>
  <c r="BS15" i="7"/>
  <c r="BT15" i="7"/>
  <c r="BU15" i="7"/>
  <c r="BX15" i="7"/>
  <c r="BH16" i="7"/>
  <c r="BL16" i="7"/>
  <c r="BM16" i="7"/>
  <c r="BN16" i="7"/>
  <c r="BQ16" i="7"/>
  <c r="BR16" i="7"/>
  <c r="BS16" i="7"/>
  <c r="BT16" i="7"/>
  <c r="BU16" i="7"/>
  <c r="BX16" i="7"/>
  <c r="BH17" i="7"/>
  <c r="BL17" i="7"/>
  <c r="BM17" i="7"/>
  <c r="BN17" i="7"/>
  <c r="BQ17" i="7"/>
  <c r="BR17" i="7"/>
  <c r="BS17" i="7"/>
  <c r="BT17" i="7"/>
  <c r="BU17" i="7"/>
  <c r="BX17" i="7"/>
  <c r="BH18" i="7"/>
  <c r="BL18" i="7"/>
  <c r="BM18" i="7"/>
  <c r="BN18" i="7"/>
  <c r="BQ18" i="7"/>
  <c r="BR18" i="7"/>
  <c r="BS18" i="7"/>
  <c r="BT18" i="7"/>
  <c r="BU18" i="7"/>
  <c r="BX18" i="7"/>
  <c r="BH19" i="7"/>
  <c r="BL19" i="7"/>
  <c r="BM19" i="7"/>
  <c r="BN19" i="7"/>
  <c r="BQ19" i="7"/>
  <c r="BR19" i="7"/>
  <c r="BS19" i="7"/>
  <c r="BT19" i="7"/>
  <c r="BU19" i="7"/>
  <c r="BX19" i="7"/>
  <c r="BH20" i="7"/>
  <c r="BL20" i="7"/>
  <c r="BM20" i="7"/>
  <c r="BN20" i="7"/>
  <c r="BQ20" i="7"/>
  <c r="BR20" i="7"/>
  <c r="BS20" i="7"/>
  <c r="BT20" i="7"/>
  <c r="BU20" i="7"/>
  <c r="BX20" i="7"/>
  <c r="BH21" i="7"/>
  <c r="BL21" i="7"/>
  <c r="BM21" i="7"/>
  <c r="BN21" i="7"/>
  <c r="BQ21" i="7"/>
  <c r="BR21" i="7"/>
  <c r="BS21" i="7"/>
  <c r="BT21" i="7"/>
  <c r="BU21" i="7"/>
  <c r="BX21" i="7"/>
  <c r="BH22" i="7"/>
  <c r="BL22" i="7"/>
  <c r="BM22" i="7"/>
  <c r="BN22" i="7"/>
  <c r="BQ22" i="7"/>
  <c r="BR22" i="7"/>
  <c r="BS22" i="7"/>
  <c r="BT22" i="7"/>
  <c r="BU22" i="7"/>
  <c r="BX22" i="7"/>
  <c r="BH23" i="7"/>
  <c r="BL23" i="7"/>
  <c r="BM23" i="7"/>
  <c r="BN23" i="7"/>
  <c r="BQ23" i="7"/>
  <c r="BR23" i="7"/>
  <c r="BS23" i="7"/>
  <c r="BT23" i="7"/>
  <c r="BU23" i="7"/>
  <c r="BX23" i="7"/>
  <c r="BH24" i="7"/>
  <c r="BL24" i="7"/>
  <c r="BM24" i="7"/>
  <c r="BN24" i="7"/>
  <c r="BQ24" i="7"/>
  <c r="BR24" i="7"/>
  <c r="BS24" i="7"/>
  <c r="BT24" i="7"/>
  <c r="BU24" i="7"/>
  <c r="BX24" i="7"/>
  <c r="BH25" i="7"/>
  <c r="BL25" i="7"/>
  <c r="BM25" i="7"/>
  <c r="BN25" i="7"/>
  <c r="BQ25" i="7"/>
  <c r="BR25" i="7"/>
  <c r="BS25" i="7"/>
  <c r="BT25" i="7"/>
  <c r="BU25" i="7"/>
  <c r="BX25" i="7"/>
  <c r="BH26" i="7"/>
  <c r="BL26" i="7"/>
  <c r="BM26" i="7"/>
  <c r="BN26" i="7"/>
  <c r="BQ26" i="7"/>
  <c r="BR26" i="7"/>
  <c r="BS26" i="7"/>
  <c r="BT26" i="7"/>
  <c r="BU26" i="7"/>
  <c r="BX26" i="7"/>
  <c r="BH27" i="7"/>
  <c r="BL27" i="7"/>
  <c r="BM27" i="7"/>
  <c r="BN27" i="7"/>
  <c r="BQ27" i="7"/>
  <c r="BR27" i="7"/>
  <c r="BS27" i="7"/>
  <c r="BT27" i="7"/>
  <c r="BU27" i="7"/>
  <c r="BX27" i="7"/>
  <c r="BH28" i="7"/>
  <c r="BL28" i="7"/>
  <c r="BM28" i="7"/>
  <c r="BN28" i="7"/>
  <c r="BQ28" i="7"/>
  <c r="BR28" i="7"/>
  <c r="BS28" i="7"/>
  <c r="BT28" i="7"/>
  <c r="BU28" i="7"/>
  <c r="BX28" i="7"/>
  <c r="BH29" i="7"/>
  <c r="BL29" i="7"/>
  <c r="BM29" i="7"/>
  <c r="BN29" i="7"/>
  <c r="BQ29" i="7"/>
  <c r="BR29" i="7"/>
  <c r="BS29" i="7"/>
  <c r="BT29" i="7"/>
  <c r="BU29" i="7"/>
  <c r="BX29" i="7"/>
  <c r="BH30" i="7"/>
  <c r="BL30" i="7"/>
  <c r="BM30" i="7"/>
  <c r="BN30" i="7"/>
  <c r="BQ30" i="7"/>
  <c r="BR30" i="7"/>
  <c r="BS30" i="7"/>
  <c r="BT30" i="7"/>
  <c r="BU30" i="7"/>
  <c r="BX30" i="7"/>
  <c r="BH31" i="7"/>
  <c r="BL31" i="7"/>
  <c r="BM31" i="7"/>
  <c r="BN31" i="7"/>
  <c r="BQ31" i="7"/>
  <c r="BR31" i="7"/>
  <c r="BS31" i="7"/>
  <c r="BT31" i="7"/>
  <c r="BU31" i="7"/>
  <c r="BX31" i="7"/>
  <c r="BH32" i="7"/>
  <c r="BL32" i="7"/>
  <c r="BM32" i="7"/>
  <c r="BN32" i="7"/>
  <c r="BQ32" i="7"/>
  <c r="BR32" i="7"/>
  <c r="BS32" i="7"/>
  <c r="BT32" i="7"/>
  <c r="BU32" i="7"/>
  <c r="BX32" i="7"/>
  <c r="BH33" i="7"/>
  <c r="BL33" i="7"/>
  <c r="BM33" i="7"/>
  <c r="BN33" i="7"/>
  <c r="BQ33" i="7"/>
  <c r="BR33" i="7"/>
  <c r="BS33" i="7"/>
  <c r="BT33" i="7"/>
  <c r="BU33" i="7"/>
  <c r="BX33" i="7"/>
  <c r="BH34" i="7"/>
  <c r="BL34" i="7"/>
  <c r="BM34" i="7"/>
  <c r="BN34" i="7"/>
  <c r="BQ34" i="7"/>
  <c r="BR34" i="7"/>
  <c r="BS34" i="7"/>
  <c r="BT34" i="7"/>
  <c r="BU34" i="7"/>
  <c r="BX34" i="7"/>
  <c r="BH35" i="7"/>
  <c r="BJ35" i="7"/>
  <c r="BL35" i="7"/>
  <c r="BM35" i="7"/>
  <c r="BN35" i="7"/>
  <c r="BV35" i="7"/>
  <c r="BO35" i="7"/>
  <c r="BP35" i="7"/>
  <c r="BQ35" i="7"/>
  <c r="BR35" i="7"/>
  <c r="BS35" i="7"/>
  <c r="BT35" i="7"/>
  <c r="BU35" i="7"/>
  <c r="BX35" i="7"/>
  <c r="BH36" i="7"/>
  <c r="BJ36" i="7"/>
  <c r="BL36" i="7"/>
  <c r="BM36" i="7"/>
  <c r="BN36" i="7"/>
  <c r="BV36" i="7"/>
  <c r="BO36" i="7"/>
  <c r="BP36" i="7"/>
  <c r="BQ36" i="7"/>
  <c r="BR36" i="7"/>
  <c r="BS36" i="7"/>
  <c r="BT36" i="7"/>
  <c r="BU36" i="7"/>
  <c r="BX36" i="7"/>
  <c r="BG37" i="7"/>
  <c r="BH37" i="7"/>
  <c r="BI37" i="7"/>
  <c r="BJ37" i="7"/>
  <c r="BL37" i="7"/>
  <c r="BM37" i="7"/>
  <c r="BN37" i="7"/>
  <c r="BO37" i="7"/>
  <c r="BP37" i="7"/>
  <c r="BQ37" i="7"/>
  <c r="BR37" i="7"/>
  <c r="BS37" i="7"/>
  <c r="BT37" i="7"/>
  <c r="BU37" i="7"/>
  <c r="BV37" i="7"/>
  <c r="BX37" i="7"/>
  <c r="BG38" i="7"/>
  <c r="BH38" i="7"/>
  <c r="BI38" i="7"/>
  <c r="BJ38" i="7"/>
  <c r="BL38" i="7"/>
  <c r="BM38" i="7"/>
  <c r="BN38" i="7"/>
  <c r="BO38" i="7"/>
  <c r="BP38" i="7"/>
  <c r="BQ38" i="7"/>
  <c r="BR38" i="7"/>
  <c r="BS38" i="7"/>
  <c r="BT38" i="7"/>
  <c r="BU38" i="7"/>
  <c r="BV38" i="7"/>
  <c r="BX38" i="7"/>
  <c r="BG39" i="7"/>
  <c r="BH39" i="7"/>
  <c r="BI39" i="7"/>
  <c r="BJ39" i="7"/>
  <c r="BL39" i="7"/>
  <c r="BM39" i="7"/>
  <c r="BN39" i="7"/>
  <c r="BO39" i="7"/>
  <c r="BP39" i="7"/>
  <c r="BQ39" i="7"/>
  <c r="BR39" i="7"/>
  <c r="BS39" i="7"/>
  <c r="BT39" i="7"/>
  <c r="BU39" i="7"/>
  <c r="BV39" i="7"/>
  <c r="BX39" i="7"/>
  <c r="BG40" i="7"/>
  <c r="BH40" i="7"/>
  <c r="BI40" i="7"/>
  <c r="BJ40" i="7"/>
  <c r="BL40" i="7"/>
  <c r="BM40" i="7"/>
  <c r="BN40" i="7"/>
  <c r="BO40" i="7"/>
  <c r="BP40" i="7"/>
  <c r="BQ40" i="7"/>
  <c r="BR40" i="7"/>
  <c r="BS40" i="7"/>
  <c r="BT40" i="7"/>
  <c r="BU40" i="7"/>
  <c r="BV40" i="7"/>
  <c r="BX40" i="7"/>
  <c r="BG41" i="7"/>
  <c r="BH41" i="7"/>
  <c r="BI41" i="7"/>
  <c r="BJ41" i="7"/>
  <c r="BL41" i="7"/>
  <c r="BM41" i="7"/>
  <c r="BN41" i="7"/>
  <c r="BO41" i="7"/>
  <c r="BP41" i="7"/>
  <c r="BQ41" i="7"/>
  <c r="BR41" i="7"/>
  <c r="BS41" i="7"/>
  <c r="BT41" i="7"/>
  <c r="BU41" i="7"/>
  <c r="BV41" i="7"/>
  <c r="BX41" i="7"/>
  <c r="BG42" i="7"/>
  <c r="BH42" i="7"/>
  <c r="BI42" i="7"/>
  <c r="BJ42" i="7"/>
  <c r="BL42" i="7"/>
  <c r="BM42" i="7"/>
  <c r="BN42" i="7"/>
  <c r="BO42" i="7"/>
  <c r="BP42" i="7"/>
  <c r="BQ42" i="7"/>
  <c r="BR42" i="7"/>
  <c r="BS42" i="7"/>
  <c r="BT42" i="7"/>
  <c r="BU42" i="7"/>
  <c r="BV42" i="7"/>
  <c r="BX42" i="7"/>
  <c r="BG43" i="7"/>
  <c r="BH43" i="7"/>
  <c r="BI43" i="7"/>
  <c r="BJ43" i="7"/>
  <c r="BL43" i="7"/>
  <c r="BM43" i="7"/>
  <c r="BN43" i="7"/>
  <c r="BO43" i="7"/>
  <c r="BP43" i="7"/>
  <c r="BQ43" i="7"/>
  <c r="BR43" i="7"/>
  <c r="BS43" i="7"/>
  <c r="BT43" i="7"/>
  <c r="BU43" i="7"/>
  <c r="BV43" i="7"/>
  <c r="BX43" i="7"/>
  <c r="BG44" i="7"/>
  <c r="BH44" i="7"/>
  <c r="BI44" i="7"/>
  <c r="BJ44" i="7"/>
  <c r="BL44" i="7"/>
  <c r="BM44" i="7"/>
  <c r="BN44" i="7"/>
  <c r="BO44" i="7"/>
  <c r="BP44" i="7"/>
  <c r="BQ44" i="7"/>
  <c r="BR44" i="7"/>
  <c r="BS44" i="7"/>
  <c r="BT44" i="7"/>
  <c r="BU44" i="7"/>
  <c r="BV44" i="7"/>
  <c r="BX44" i="7"/>
  <c r="BG45" i="7"/>
  <c r="BH45" i="7"/>
  <c r="BI45" i="7"/>
  <c r="BJ45" i="7"/>
  <c r="BL45" i="7"/>
  <c r="BM45" i="7"/>
  <c r="BN45" i="7"/>
  <c r="BO45" i="7"/>
  <c r="BP45" i="7"/>
  <c r="BQ45" i="7"/>
  <c r="BR45" i="7"/>
  <c r="BS45" i="7"/>
  <c r="BT45" i="7"/>
  <c r="BU45" i="7"/>
  <c r="BV45" i="7"/>
  <c r="BX45" i="7"/>
  <c r="BG46" i="7"/>
  <c r="BH46" i="7"/>
  <c r="BI46" i="7"/>
  <c r="BJ46" i="7"/>
  <c r="BL46" i="7"/>
  <c r="BM46" i="7"/>
  <c r="BN46" i="7"/>
  <c r="BO46" i="7"/>
  <c r="BP46" i="7"/>
  <c r="BQ46" i="7"/>
  <c r="BR46" i="7"/>
  <c r="BS46" i="7"/>
  <c r="BT46" i="7"/>
  <c r="BU46" i="7"/>
  <c r="BV46" i="7"/>
  <c r="BX46" i="7"/>
  <c r="BG47" i="7"/>
  <c r="BH47" i="7"/>
  <c r="BI47" i="7"/>
  <c r="BJ47" i="7"/>
  <c r="BL47" i="7"/>
  <c r="BM47" i="7"/>
  <c r="BN47" i="7"/>
  <c r="BO47" i="7"/>
  <c r="BP47" i="7"/>
  <c r="BQ47" i="7"/>
  <c r="BR47" i="7"/>
  <c r="BS47" i="7"/>
  <c r="BT47" i="7"/>
  <c r="BU47" i="7"/>
  <c r="BV47" i="7"/>
  <c r="BX47" i="7"/>
  <c r="BG48" i="7"/>
  <c r="BH48" i="7"/>
  <c r="BI48" i="7"/>
  <c r="BJ48" i="7"/>
  <c r="BL48" i="7"/>
  <c r="BM48" i="7"/>
  <c r="BN48" i="7"/>
  <c r="BO48" i="7"/>
  <c r="BP48" i="7"/>
  <c r="BQ48" i="7"/>
  <c r="BR48" i="7"/>
  <c r="BS48" i="7"/>
  <c r="BT48" i="7"/>
  <c r="BU48" i="7"/>
  <c r="BV48" i="7"/>
  <c r="BX48" i="7"/>
  <c r="BG49" i="7"/>
  <c r="BH49" i="7"/>
  <c r="BI49" i="7"/>
  <c r="BJ49" i="7"/>
  <c r="BL49" i="7"/>
  <c r="BM49" i="7"/>
  <c r="BN49" i="7"/>
  <c r="BO49" i="7"/>
  <c r="BP49" i="7"/>
  <c r="BQ49" i="7"/>
  <c r="BR49" i="7"/>
  <c r="BS49" i="7"/>
  <c r="BT49" i="7"/>
  <c r="BU49" i="7"/>
  <c r="BV49" i="7"/>
  <c r="BX49" i="7"/>
  <c r="BG50" i="7"/>
  <c r="BH50" i="7"/>
  <c r="BI50" i="7"/>
  <c r="BJ50" i="7"/>
  <c r="BL50" i="7"/>
  <c r="BM50" i="7"/>
  <c r="BN50" i="7"/>
  <c r="BO50" i="7"/>
  <c r="BP50" i="7"/>
  <c r="BQ50" i="7"/>
  <c r="BR50" i="7"/>
  <c r="BS50" i="7"/>
  <c r="BT50" i="7"/>
  <c r="BU50" i="7"/>
  <c r="BV50" i="7"/>
  <c r="BX50" i="7"/>
  <c r="BG51" i="7"/>
  <c r="BH51" i="7"/>
  <c r="BI51" i="7"/>
  <c r="BJ51" i="7"/>
  <c r="BL51" i="7"/>
  <c r="BM51" i="7"/>
  <c r="BN51" i="7"/>
  <c r="BO51" i="7"/>
  <c r="BP51" i="7"/>
  <c r="BQ51" i="7"/>
  <c r="BR51" i="7"/>
  <c r="BS51" i="7"/>
  <c r="BT51" i="7"/>
  <c r="BU51" i="7"/>
  <c r="BV51" i="7"/>
  <c r="BX51" i="7"/>
  <c r="BG52" i="7"/>
  <c r="BH52" i="7"/>
  <c r="BI52" i="7"/>
  <c r="BJ52" i="7"/>
  <c r="BL52" i="7"/>
  <c r="BM52" i="7"/>
  <c r="BN52" i="7"/>
  <c r="BO52" i="7"/>
  <c r="BP52" i="7"/>
  <c r="BQ52" i="7"/>
  <c r="BR52" i="7"/>
  <c r="BS52" i="7"/>
  <c r="BT52" i="7"/>
  <c r="BU52" i="7"/>
  <c r="BV52" i="7"/>
  <c r="BX52" i="7"/>
  <c r="BG53" i="7"/>
  <c r="BH53" i="7"/>
  <c r="BI53" i="7"/>
  <c r="BJ53" i="7"/>
  <c r="BL53" i="7"/>
  <c r="BM53" i="7"/>
  <c r="BN53" i="7"/>
  <c r="BO53" i="7"/>
  <c r="BP53" i="7"/>
  <c r="BQ53" i="7"/>
  <c r="BR53" i="7"/>
  <c r="BS53" i="7"/>
  <c r="BT53" i="7"/>
  <c r="BU53" i="7"/>
  <c r="BV53" i="7"/>
  <c r="BX53" i="7"/>
  <c r="BG54" i="7"/>
  <c r="BH54" i="7"/>
  <c r="BI54" i="7"/>
  <c r="BJ54" i="7"/>
  <c r="BL54" i="7"/>
  <c r="BM54" i="7"/>
  <c r="BN54" i="7"/>
  <c r="BO54" i="7"/>
  <c r="BP54" i="7"/>
  <c r="BQ54" i="7"/>
  <c r="BR54" i="7"/>
  <c r="BS54" i="7"/>
  <c r="BT54" i="7"/>
  <c r="BU54" i="7"/>
  <c r="BV54" i="7"/>
  <c r="BX54" i="7"/>
  <c r="BG55" i="7"/>
  <c r="BH55" i="7"/>
  <c r="BI55" i="7"/>
  <c r="BJ55" i="7"/>
  <c r="BL55" i="7"/>
  <c r="BM55" i="7"/>
  <c r="BN55" i="7"/>
  <c r="BO55" i="7"/>
  <c r="BP55" i="7"/>
  <c r="BQ55" i="7"/>
  <c r="BR55" i="7"/>
  <c r="BS55" i="7"/>
  <c r="BT55" i="7"/>
  <c r="BU55" i="7"/>
  <c r="BV55" i="7"/>
  <c r="BX55" i="7"/>
  <c r="BG56" i="7"/>
  <c r="BH56" i="7"/>
  <c r="BI56" i="7"/>
  <c r="BJ56" i="7"/>
  <c r="BL56" i="7"/>
  <c r="BM56" i="7"/>
  <c r="BN56" i="7"/>
  <c r="BO56" i="7"/>
  <c r="BP56" i="7"/>
  <c r="BQ56" i="7"/>
  <c r="BR56" i="7"/>
  <c r="BS56" i="7"/>
  <c r="BT56" i="7"/>
  <c r="BU56" i="7"/>
  <c r="BV56" i="7"/>
  <c r="BX56" i="7"/>
  <c r="BG57" i="7"/>
  <c r="BH57" i="7"/>
  <c r="BI57" i="7"/>
  <c r="BJ57" i="7"/>
  <c r="BL57" i="7"/>
  <c r="BM57" i="7"/>
  <c r="BN57" i="7"/>
  <c r="BO57" i="7"/>
  <c r="BP57" i="7"/>
  <c r="BQ57" i="7"/>
  <c r="BR57" i="7"/>
  <c r="BS57" i="7"/>
  <c r="BT57" i="7"/>
  <c r="BU57" i="7"/>
  <c r="BV57" i="7"/>
  <c r="BX57" i="7"/>
  <c r="BG58" i="7"/>
  <c r="BH58" i="7"/>
  <c r="BI58" i="7"/>
  <c r="BJ58" i="7"/>
  <c r="BL58" i="7"/>
  <c r="BM58" i="7"/>
  <c r="BN58" i="7"/>
  <c r="BO58" i="7"/>
  <c r="BP58" i="7"/>
  <c r="BQ58" i="7"/>
  <c r="BR58" i="7"/>
  <c r="BS58" i="7"/>
  <c r="BT58" i="7"/>
  <c r="BU58" i="7"/>
  <c r="BV58" i="7"/>
  <c r="BX58" i="7"/>
  <c r="BG59" i="7"/>
  <c r="BH59" i="7"/>
  <c r="BI59" i="7"/>
  <c r="BJ59" i="7"/>
  <c r="BL59" i="7"/>
  <c r="BM59" i="7"/>
  <c r="BN59" i="7"/>
  <c r="BO59" i="7"/>
  <c r="BP59" i="7"/>
  <c r="BQ59" i="7"/>
  <c r="BR59" i="7"/>
  <c r="BS59" i="7"/>
  <c r="BT59" i="7"/>
  <c r="BU59" i="7"/>
  <c r="BV59" i="7"/>
  <c r="BX59" i="7"/>
  <c r="BG60" i="7"/>
  <c r="BH60" i="7"/>
  <c r="BI60" i="7"/>
  <c r="BJ60" i="7"/>
  <c r="BL60" i="7"/>
  <c r="BM60" i="7"/>
  <c r="BN60" i="7"/>
  <c r="BO60" i="7"/>
  <c r="BP60" i="7"/>
  <c r="BQ60" i="7"/>
  <c r="BR60" i="7"/>
  <c r="BS60" i="7"/>
  <c r="BT60" i="7"/>
  <c r="BU60" i="7"/>
  <c r="BV60" i="7"/>
  <c r="BX60" i="7"/>
  <c r="BG61" i="7"/>
  <c r="BH61" i="7"/>
  <c r="BI61" i="7"/>
  <c r="BJ61" i="7"/>
  <c r="BL61" i="7"/>
  <c r="BM61" i="7"/>
  <c r="BN61" i="7"/>
  <c r="BO61" i="7"/>
  <c r="BP61" i="7"/>
  <c r="BQ61" i="7"/>
  <c r="BR61" i="7"/>
  <c r="BS61" i="7"/>
  <c r="BT61" i="7"/>
  <c r="BU61" i="7"/>
  <c r="BV61" i="7"/>
  <c r="BX61" i="7"/>
  <c r="BG62" i="7"/>
  <c r="BH62" i="7"/>
  <c r="BI62" i="7"/>
  <c r="BJ62" i="7"/>
  <c r="BL62" i="7"/>
  <c r="BM62" i="7"/>
  <c r="BN62" i="7"/>
  <c r="BO62" i="7"/>
  <c r="BP62" i="7"/>
  <c r="BQ62" i="7"/>
  <c r="BR62" i="7"/>
  <c r="BS62" i="7"/>
  <c r="BT62" i="7"/>
  <c r="BU62" i="7"/>
  <c r="BV62" i="7"/>
  <c r="BX62" i="7"/>
  <c r="BG63" i="7"/>
  <c r="BH63" i="7"/>
  <c r="BI63" i="7"/>
  <c r="BJ63" i="7"/>
  <c r="BL63" i="7"/>
  <c r="BM63" i="7"/>
  <c r="BN63" i="7"/>
  <c r="BO63" i="7"/>
  <c r="BP63" i="7"/>
  <c r="BQ63" i="7"/>
  <c r="BR63" i="7"/>
  <c r="BS63" i="7"/>
  <c r="BT63" i="7"/>
  <c r="BU63" i="7"/>
  <c r="BV63" i="7"/>
  <c r="BX63" i="7"/>
  <c r="BG64" i="7"/>
  <c r="BH64" i="7"/>
  <c r="BI64" i="7"/>
  <c r="BJ64" i="7"/>
  <c r="BL64" i="7"/>
  <c r="BM64" i="7"/>
  <c r="BN64" i="7"/>
  <c r="BO64" i="7"/>
  <c r="BP64" i="7"/>
  <c r="BQ64" i="7"/>
  <c r="BR64" i="7"/>
  <c r="BS64" i="7"/>
  <c r="BT64" i="7"/>
  <c r="BU64" i="7"/>
  <c r="BV64" i="7"/>
  <c r="BX64" i="7"/>
  <c r="BG65" i="7"/>
  <c r="BH65" i="7"/>
  <c r="BI65" i="7"/>
  <c r="BJ65" i="7"/>
  <c r="BL65" i="7"/>
  <c r="BM65" i="7"/>
  <c r="BN65" i="7"/>
  <c r="BO65" i="7"/>
  <c r="BP65" i="7"/>
  <c r="BQ65" i="7"/>
  <c r="BR65" i="7"/>
  <c r="BS65" i="7"/>
  <c r="BT65" i="7"/>
  <c r="BU65" i="7"/>
  <c r="BV65" i="7"/>
  <c r="BX65" i="7"/>
  <c r="BG66" i="7"/>
  <c r="BH66" i="7"/>
  <c r="BI66" i="7"/>
  <c r="BJ66" i="7"/>
  <c r="BL66" i="7"/>
  <c r="BM66" i="7"/>
  <c r="BN66" i="7"/>
  <c r="BO66" i="7"/>
  <c r="BP66" i="7"/>
  <c r="BQ66" i="7"/>
  <c r="BR66" i="7"/>
  <c r="BS66" i="7"/>
  <c r="BT66" i="7"/>
  <c r="BU66" i="7"/>
  <c r="BV66" i="7"/>
  <c r="BX66" i="7"/>
  <c r="BG67" i="7"/>
  <c r="BH67" i="7"/>
  <c r="BI67" i="7"/>
  <c r="BJ67" i="7"/>
  <c r="BL67" i="7"/>
  <c r="BM67" i="7"/>
  <c r="BN67" i="7"/>
  <c r="BO67" i="7"/>
  <c r="BP67" i="7"/>
  <c r="BQ67" i="7"/>
  <c r="BR67" i="7"/>
  <c r="BS67" i="7"/>
  <c r="BT67" i="7"/>
  <c r="BU67" i="7"/>
  <c r="BV67" i="7"/>
  <c r="BX67" i="7"/>
  <c r="BG68" i="7"/>
  <c r="BH68" i="7"/>
  <c r="BI68" i="7"/>
  <c r="BJ68" i="7"/>
  <c r="BL68" i="7"/>
  <c r="BM68" i="7"/>
  <c r="BN68" i="7"/>
  <c r="BO68" i="7"/>
  <c r="BP68" i="7"/>
  <c r="BQ68" i="7"/>
  <c r="BR68" i="7"/>
  <c r="BS68" i="7"/>
  <c r="BT68" i="7"/>
  <c r="BU68" i="7"/>
  <c r="BV68" i="7"/>
  <c r="BX68" i="7"/>
  <c r="BG69" i="7"/>
  <c r="BH69" i="7"/>
  <c r="BI69" i="7"/>
  <c r="BJ69" i="7"/>
  <c r="BL69" i="7"/>
  <c r="BM69" i="7"/>
  <c r="BN69" i="7"/>
  <c r="BO69" i="7"/>
  <c r="BP69" i="7"/>
  <c r="BQ69" i="7"/>
  <c r="BR69" i="7"/>
  <c r="BS69" i="7"/>
  <c r="BT69" i="7"/>
  <c r="BU69" i="7"/>
  <c r="BV69" i="7"/>
  <c r="BX69" i="7"/>
  <c r="BG70" i="7"/>
  <c r="BH70" i="7"/>
  <c r="BI70" i="7"/>
  <c r="BJ70" i="7"/>
  <c r="BL70" i="7"/>
  <c r="BM70" i="7"/>
  <c r="BN70" i="7"/>
  <c r="BO70" i="7"/>
  <c r="BP70" i="7"/>
  <c r="BQ70" i="7"/>
  <c r="BR70" i="7"/>
  <c r="BS70" i="7"/>
  <c r="BT70" i="7"/>
  <c r="BU70" i="7"/>
  <c r="BV70" i="7"/>
  <c r="BX70" i="7"/>
  <c r="BM29" i="8"/>
  <c r="BN29" i="8"/>
  <c r="BM38" i="8"/>
  <c r="BN38" i="8"/>
  <c r="BM39" i="8"/>
  <c r="BN39" i="8"/>
  <c r="BM40" i="8"/>
  <c r="BN40" i="8"/>
  <c r="BM15" i="8"/>
  <c r="BN15" i="8"/>
  <c r="BM30" i="8"/>
  <c r="BN30" i="8"/>
  <c r="BM18" i="8"/>
  <c r="BN18" i="8"/>
  <c r="BM41" i="8"/>
  <c r="BN41" i="8"/>
  <c r="BM19" i="8"/>
  <c r="BN19" i="8"/>
  <c r="BM21" i="8"/>
  <c r="BN21" i="8"/>
  <c r="BM27" i="8"/>
  <c r="BN27" i="8"/>
  <c r="BM23" i="8"/>
  <c r="BN23" i="8"/>
  <c r="BM31" i="8"/>
  <c r="BN31" i="8"/>
  <c r="BM32" i="8"/>
  <c r="BN32" i="8"/>
  <c r="BM34" i="8"/>
  <c r="BN34" i="8"/>
  <c r="BM28" i="8"/>
  <c r="BN28" i="8"/>
  <c r="BM35" i="8"/>
  <c r="BN35" i="8"/>
  <c r="BM36" i="8"/>
  <c r="BN36" i="8"/>
  <c r="BM37" i="8"/>
  <c r="BN37" i="8"/>
  <c r="BM33" i="8"/>
  <c r="BN33" i="8"/>
  <c r="BM26" i="8"/>
  <c r="BN26" i="8"/>
  <c r="BM34" i="9"/>
  <c r="BN34" i="9"/>
  <c r="BM50" i="9"/>
  <c r="BN50" i="9"/>
  <c r="BM49" i="9"/>
  <c r="BN49" i="9"/>
  <c r="BM39" i="9"/>
  <c r="BN39" i="9"/>
  <c r="BM65" i="9"/>
  <c r="BN65" i="9"/>
  <c r="BM43" i="9"/>
  <c r="BN43" i="9"/>
  <c r="BM52" i="9"/>
  <c r="BN52" i="9"/>
  <c r="BM42" i="9"/>
  <c r="BN42" i="9"/>
  <c r="BM35" i="9"/>
  <c r="BN35" i="9"/>
  <c r="BM63" i="9"/>
  <c r="BN63" i="9"/>
  <c r="BM56" i="9"/>
  <c r="BN56" i="9"/>
  <c r="BM37" i="9"/>
  <c r="BN37" i="9"/>
  <c r="BM17" i="9"/>
  <c r="BN17" i="9"/>
  <c r="BM36" i="9"/>
  <c r="BN36" i="9"/>
  <c r="BM66" i="9"/>
  <c r="BN66" i="9"/>
  <c r="BM53" i="9"/>
  <c r="BN53" i="9"/>
  <c r="BM40" i="9"/>
  <c r="BN40" i="9"/>
  <c r="BM47" i="9"/>
  <c r="BN47" i="9"/>
  <c r="BM51" i="9"/>
  <c r="BN51" i="9"/>
  <c r="BM44" i="9"/>
  <c r="BN44" i="9"/>
  <c r="BM30" i="9"/>
  <c r="BN30" i="9"/>
  <c r="BM62" i="9"/>
  <c r="BN62" i="9"/>
  <c r="BM41" i="9"/>
  <c r="BN41" i="9"/>
  <c r="BM48" i="9"/>
  <c r="BN48" i="9"/>
  <c r="BM33" i="9"/>
  <c r="BN33" i="9"/>
  <c r="BM38" i="9"/>
  <c r="BN38" i="9"/>
  <c r="BM46" i="9"/>
  <c r="BN46" i="9"/>
  <c r="BM55" i="9"/>
  <c r="BN55" i="9"/>
  <c r="BM59" i="11"/>
  <c r="BN59" i="11"/>
  <c r="BM35" i="11"/>
  <c r="BN35" i="11"/>
  <c r="BM27" i="15"/>
  <c r="BN27" i="15"/>
  <c r="BM28" i="15"/>
  <c r="BN28" i="15"/>
  <c r="BM30" i="15"/>
  <c r="BN30" i="15"/>
  <c r="BM30" i="14"/>
  <c r="BN30" i="14"/>
  <c r="BM39" i="13"/>
  <c r="BN39" i="13"/>
  <c r="BM40" i="13"/>
  <c r="BN40" i="13"/>
  <c r="BM41" i="13"/>
  <c r="BN41" i="13"/>
  <c r="BM21" i="13"/>
  <c r="BN21" i="13"/>
  <c r="BM42" i="13"/>
  <c r="BN42" i="13"/>
  <c r="BM33" i="13"/>
  <c r="BN33" i="13"/>
  <c r="BM46" i="13"/>
  <c r="BN46" i="13"/>
  <c r="BM38" i="13"/>
  <c r="BN38" i="13"/>
  <c r="BM23" i="12"/>
  <c r="BN23" i="12"/>
  <c r="BM60" i="11"/>
  <c r="BN60" i="11"/>
  <c r="BM55" i="11"/>
  <c r="BN55" i="11"/>
  <c r="BM57" i="11"/>
  <c r="BN57" i="11"/>
  <c r="BM61" i="11"/>
  <c r="BN61" i="11"/>
  <c r="BM34" i="11"/>
  <c r="BN34" i="11"/>
  <c r="BM43" i="11"/>
  <c r="BN43" i="11"/>
  <c r="BM45" i="11"/>
  <c r="BN45" i="11"/>
  <c r="BM25" i="9"/>
  <c r="BN25" i="9"/>
  <c r="BM24" i="9"/>
  <c r="BN24" i="9"/>
  <c r="BM67" i="9"/>
  <c r="BN67" i="9"/>
  <c r="BM14" i="13"/>
  <c r="BN14" i="13"/>
  <c r="BM14" i="11"/>
  <c r="BN14" i="11"/>
  <c r="BM33" i="11"/>
  <c r="BN33" i="11"/>
  <c r="BM30" i="11"/>
  <c r="BN30" i="11"/>
  <c r="BM62" i="11"/>
  <c r="BN62" i="11"/>
  <c r="BM51" i="11"/>
  <c r="BN51" i="11"/>
  <c r="BM17" i="11"/>
  <c r="BN17" i="11"/>
  <c r="BM24" i="8"/>
  <c r="BN24" i="8"/>
  <c r="BM15" i="9"/>
  <c r="BN15" i="9"/>
  <c r="BM60" i="9"/>
  <c r="BN60" i="9"/>
  <c r="BM68" i="9"/>
  <c r="BN68" i="9"/>
  <c r="BM47" i="13"/>
  <c r="BN47" i="13"/>
  <c r="BM48" i="13"/>
  <c r="BN48" i="13"/>
  <c r="BM26" i="9"/>
  <c r="BN26" i="9"/>
  <c r="BM24" i="11"/>
  <c r="BN24" i="11"/>
  <c r="BM32" i="13"/>
  <c r="BN32" i="13"/>
  <c r="BM47" i="11"/>
  <c r="BN47" i="11"/>
  <c r="BM44" i="11"/>
  <c r="BN44" i="11"/>
  <c r="BM36" i="11"/>
  <c r="BN36" i="11"/>
  <c r="AA7" i="16"/>
  <c r="AB11" i="16"/>
  <c r="AC11" i="16"/>
  <c r="AD11" i="16"/>
  <c r="AE11" i="16"/>
  <c r="AF11" i="16"/>
  <c r="AG11" i="16"/>
  <c r="AH11" i="16"/>
  <c r="AI11" i="16"/>
  <c r="AJ11" i="16"/>
  <c r="AK11" i="16"/>
  <c r="AL11" i="16"/>
  <c r="AM11" i="16"/>
  <c r="AN11" i="16"/>
  <c r="AO11" i="16"/>
  <c r="AP11" i="16"/>
  <c r="AQ11" i="16"/>
  <c r="AR11" i="16"/>
  <c r="AS11" i="16"/>
  <c r="AT11" i="16"/>
  <c r="AU11" i="16"/>
  <c r="AV11" i="16"/>
  <c r="AW11" i="16"/>
  <c r="AX11" i="16"/>
  <c r="AY11" i="16"/>
  <c r="AZ11" i="16"/>
  <c r="BA11" i="16"/>
  <c r="BB11" i="16"/>
  <c r="BC11" i="16"/>
  <c r="BD11" i="16"/>
  <c r="BE11" i="16"/>
  <c r="BF11" i="16"/>
  <c r="BG11" i="16"/>
  <c r="BH11" i="16"/>
  <c r="BI11" i="16"/>
  <c r="BJ11" i="16"/>
  <c r="BK11" i="16"/>
  <c r="BL11" i="16"/>
  <c r="BM11" i="16"/>
  <c r="BN11" i="16"/>
  <c r="BO11" i="16"/>
  <c r="AE4" i="16"/>
  <c r="BU4" i="1"/>
  <c r="AA10" i="16"/>
  <c r="B10" i="1"/>
  <c r="BX29" i="8"/>
  <c r="BX38" i="8"/>
  <c r="BX39" i="8"/>
  <c r="BX40" i="8"/>
  <c r="BX15" i="8"/>
  <c r="BX30" i="8"/>
  <c r="BX18" i="8"/>
  <c r="BX41" i="8"/>
  <c r="BX19" i="8"/>
  <c r="BX21" i="8"/>
  <c r="BX27" i="8"/>
  <c r="BX23" i="8"/>
  <c r="BX31" i="8"/>
  <c r="BX32" i="8"/>
  <c r="BX34" i="8"/>
  <c r="BX28" i="8"/>
  <c r="BX35" i="8"/>
  <c r="BX36" i="8"/>
  <c r="BX37" i="8"/>
  <c r="BX33" i="8"/>
  <c r="BX26" i="8"/>
  <c r="BX50" i="9"/>
  <c r="BX49" i="9"/>
  <c r="BX39" i="9"/>
  <c r="BX65" i="9"/>
  <c r="BX43" i="9"/>
  <c r="BX34" i="9"/>
  <c r="BX52" i="9"/>
  <c r="BX42" i="9"/>
  <c r="BX35" i="9"/>
  <c r="BX63" i="9"/>
  <c r="BX56" i="9"/>
  <c r="BX37" i="9"/>
  <c r="BX17" i="9"/>
  <c r="BX36" i="9"/>
  <c r="BX66" i="9"/>
  <c r="BX53" i="9"/>
  <c r="BX40" i="9"/>
  <c r="BX47" i="9"/>
  <c r="BX51" i="9"/>
  <c r="BX44" i="9"/>
  <c r="BX30" i="9"/>
  <c r="BX62" i="9"/>
  <c r="BX41" i="9"/>
  <c r="BX48" i="9"/>
  <c r="BX33" i="9"/>
  <c r="BX38" i="9"/>
  <c r="BX46" i="9"/>
  <c r="BX55" i="9"/>
  <c r="BX59" i="11"/>
  <c r="BX35" i="11"/>
  <c r="BX27" i="15"/>
  <c r="BX28" i="15"/>
  <c r="BX30" i="15"/>
  <c r="BX30" i="14"/>
  <c r="BX39" i="13"/>
  <c r="BX40" i="13"/>
  <c r="BX41" i="13"/>
  <c r="BX21" i="13"/>
  <c r="BX42" i="13"/>
  <c r="BX33" i="13"/>
  <c r="BX46" i="13"/>
  <c r="BX38" i="13"/>
  <c r="BX23" i="12"/>
  <c r="BX60" i="11"/>
  <c r="BX55" i="11"/>
  <c r="BX57" i="11"/>
  <c r="BX61" i="11"/>
  <c r="BX34" i="11"/>
  <c r="BX43" i="11"/>
  <c r="BX45" i="11"/>
  <c r="BX25" i="9"/>
  <c r="BX24" i="9"/>
  <c r="BX67" i="9"/>
  <c r="BX14" i="13"/>
  <c r="BX14" i="11"/>
  <c r="BX33" i="11"/>
  <c r="BX30" i="11"/>
  <c r="BX62" i="11"/>
  <c r="BX51" i="11"/>
  <c r="BX17" i="11"/>
  <c r="BX24" i="8"/>
  <c r="BX15" i="9"/>
  <c r="BX60" i="9"/>
  <c r="BX68" i="9"/>
  <c r="BX47" i="13"/>
  <c r="BX48" i="13"/>
  <c r="BX26" i="9"/>
  <c r="BX24" i="11"/>
  <c r="BX32" i="13"/>
  <c r="BX47" i="11"/>
  <c r="BX44" i="11"/>
  <c r="BX36" i="11"/>
  <c r="N3" i="16"/>
  <c r="BO56" i="16"/>
  <c r="AP56" i="1"/>
  <c r="BN56" i="16"/>
  <c r="AO56" i="1"/>
  <c r="BM56" i="16"/>
  <c r="AN56" i="1"/>
  <c r="BL56" i="16"/>
  <c r="AM56" i="1"/>
  <c r="BK56" i="16"/>
  <c r="AL56" i="1"/>
  <c r="BJ56" i="16"/>
  <c r="AK56" i="1"/>
  <c r="BI56" i="16"/>
  <c r="AJ56" i="1"/>
  <c r="BH56" i="16"/>
  <c r="AI56" i="1"/>
  <c r="BG56" i="16"/>
  <c r="AH56" i="1"/>
  <c r="BF56" i="16"/>
  <c r="AG56" i="1"/>
  <c r="BE56" i="16"/>
  <c r="AF56" i="1"/>
  <c r="BD56" i="16"/>
  <c r="AE56" i="1"/>
  <c r="BC56" i="16"/>
  <c r="AD56" i="1"/>
  <c r="BB56" i="16"/>
  <c r="AC56" i="1"/>
  <c r="BA56" i="16"/>
  <c r="AB56" i="1"/>
  <c r="AZ56" i="16"/>
  <c r="AA56" i="1"/>
  <c r="AY56" i="16"/>
  <c r="Z56" i="1"/>
  <c r="AX56" i="16"/>
  <c r="Y56" i="1"/>
  <c r="AW56" i="16"/>
  <c r="X56" i="1"/>
  <c r="AV56" i="16"/>
  <c r="W56" i="1"/>
  <c r="AU56" i="16"/>
  <c r="V56" i="1"/>
  <c r="AT56" i="16"/>
  <c r="U56" i="1"/>
  <c r="AS56" i="16"/>
  <c r="T56" i="1"/>
  <c r="AR56" i="16"/>
  <c r="S56" i="1"/>
  <c r="AQ56" i="16"/>
  <c r="R56" i="1"/>
  <c r="AP56" i="16"/>
  <c r="Q56" i="1"/>
  <c r="AO56" i="16"/>
  <c r="P56" i="1"/>
  <c r="AN56" i="16"/>
  <c r="O56" i="1"/>
  <c r="AM56" i="16"/>
  <c r="N56" i="1"/>
  <c r="AL56" i="16"/>
  <c r="M56" i="1"/>
  <c r="AK56" i="16"/>
  <c r="L56" i="1"/>
  <c r="AJ56" i="16"/>
  <c r="K56" i="1"/>
  <c r="AI56" i="16"/>
  <c r="J56" i="1"/>
  <c r="AH56" i="16"/>
  <c r="I56" i="1"/>
  <c r="AG56" i="16"/>
  <c r="H56" i="1"/>
  <c r="AF56" i="16"/>
  <c r="G56" i="1"/>
  <c r="AE56" i="16"/>
  <c r="F56" i="1"/>
  <c r="AD56" i="16"/>
  <c r="E56" i="1"/>
  <c r="AC56" i="16"/>
  <c r="D56" i="1"/>
  <c r="AB56" i="16"/>
  <c r="C56" i="1"/>
  <c r="P11" i="16"/>
  <c r="AS8" i="1"/>
  <c r="AS56" i="1"/>
  <c r="AR56" i="1"/>
  <c r="C56" i="3"/>
  <c r="BB56" i="24"/>
  <c r="D56" i="24"/>
  <c r="BO55" i="16"/>
  <c r="AP55" i="1"/>
  <c r="BN55" i="16"/>
  <c r="AO55" i="1"/>
  <c r="BM55" i="16"/>
  <c r="AN55" i="1"/>
  <c r="BL55" i="16"/>
  <c r="AM55" i="1"/>
  <c r="BK55" i="16"/>
  <c r="AL55" i="1"/>
  <c r="BJ55" i="16"/>
  <c r="AK55" i="1"/>
  <c r="BI55" i="16"/>
  <c r="AJ55" i="1"/>
  <c r="BH55" i="16"/>
  <c r="AI55" i="1"/>
  <c r="BG55" i="16"/>
  <c r="AH55" i="1"/>
  <c r="BF55" i="16"/>
  <c r="AG55" i="1"/>
  <c r="BE55" i="16"/>
  <c r="AF55" i="1"/>
  <c r="BD55" i="16"/>
  <c r="AE55" i="1"/>
  <c r="BC55" i="16"/>
  <c r="AD55" i="1"/>
  <c r="BB55" i="16"/>
  <c r="AC55" i="1"/>
  <c r="BA55" i="16"/>
  <c r="AB55" i="1"/>
  <c r="AZ55" i="16"/>
  <c r="AA55" i="1"/>
  <c r="AY55" i="16"/>
  <c r="Z55" i="1"/>
  <c r="AX55" i="16"/>
  <c r="Y55" i="1"/>
  <c r="AW55" i="16"/>
  <c r="X55" i="1"/>
  <c r="AV55" i="16"/>
  <c r="W55" i="1"/>
  <c r="AU55" i="16"/>
  <c r="V55" i="1"/>
  <c r="AT55" i="16"/>
  <c r="U55" i="1"/>
  <c r="AS55" i="16"/>
  <c r="T55" i="1"/>
  <c r="AR55" i="16"/>
  <c r="S55" i="1"/>
  <c r="AQ55" i="16"/>
  <c r="R55" i="1"/>
  <c r="AP55" i="16"/>
  <c r="Q55" i="1"/>
  <c r="AO55" i="16"/>
  <c r="P55" i="1"/>
  <c r="AN55" i="16"/>
  <c r="O55" i="1"/>
  <c r="AM55" i="16"/>
  <c r="N55" i="1"/>
  <c r="AL55" i="16"/>
  <c r="M55" i="1"/>
  <c r="AK55" i="16"/>
  <c r="L55" i="1"/>
  <c r="AJ55" i="16"/>
  <c r="K55" i="1"/>
  <c r="AI55" i="16"/>
  <c r="J55" i="1"/>
  <c r="AH55" i="16"/>
  <c r="I55" i="1"/>
  <c r="AG55" i="16"/>
  <c r="H55" i="1"/>
  <c r="AF55" i="16"/>
  <c r="G55" i="1"/>
  <c r="AE55" i="16"/>
  <c r="F55" i="1"/>
  <c r="AD55" i="16"/>
  <c r="E55" i="1"/>
  <c r="AC55" i="16"/>
  <c r="D55" i="1"/>
  <c r="AB55" i="16"/>
  <c r="C55" i="1"/>
  <c r="AS55" i="1"/>
  <c r="AR55" i="1"/>
  <c r="C55" i="3"/>
  <c r="BB55" i="24"/>
  <c r="D55" i="24"/>
  <c r="BO54" i="16"/>
  <c r="AP54" i="1"/>
  <c r="BN54" i="16"/>
  <c r="AO54" i="1"/>
  <c r="BM54" i="16"/>
  <c r="AN54" i="1"/>
  <c r="BL54" i="16"/>
  <c r="AM54" i="1"/>
  <c r="BK54" i="16"/>
  <c r="AL54" i="1"/>
  <c r="BJ54" i="16"/>
  <c r="AK54" i="1"/>
  <c r="BI54" i="16"/>
  <c r="AJ54" i="1"/>
  <c r="BH54" i="16"/>
  <c r="AI54" i="1"/>
  <c r="BG54" i="16"/>
  <c r="AH54" i="1"/>
  <c r="BF54" i="16"/>
  <c r="AG54" i="1"/>
  <c r="BE54" i="16"/>
  <c r="AF54" i="1"/>
  <c r="BD54" i="16"/>
  <c r="AE54" i="1"/>
  <c r="BC54" i="16"/>
  <c r="AD54" i="1"/>
  <c r="BB54" i="16"/>
  <c r="AC54" i="1"/>
  <c r="BA54" i="16"/>
  <c r="AB54" i="1"/>
  <c r="AZ54" i="16"/>
  <c r="AA54" i="1"/>
  <c r="AY54" i="16"/>
  <c r="Z54" i="1"/>
  <c r="AX54" i="16"/>
  <c r="Y54" i="1"/>
  <c r="AW54" i="16"/>
  <c r="X54" i="1"/>
  <c r="AV54" i="16"/>
  <c r="W54" i="1"/>
  <c r="AU54" i="16"/>
  <c r="V54" i="1"/>
  <c r="AT54" i="16"/>
  <c r="U54" i="1"/>
  <c r="AS54" i="16"/>
  <c r="T54" i="1"/>
  <c r="AR54" i="16"/>
  <c r="S54" i="1"/>
  <c r="AQ54" i="16"/>
  <c r="R54" i="1"/>
  <c r="AP54" i="16"/>
  <c r="Q54" i="1"/>
  <c r="AO54" i="16"/>
  <c r="P54" i="1"/>
  <c r="AN54" i="16"/>
  <c r="O54" i="1"/>
  <c r="AM54" i="16"/>
  <c r="N54" i="1"/>
  <c r="AL54" i="16"/>
  <c r="M54" i="1"/>
  <c r="AK54" i="16"/>
  <c r="L54" i="1"/>
  <c r="AJ54" i="16"/>
  <c r="K54" i="1"/>
  <c r="AI54" i="16"/>
  <c r="J54" i="1"/>
  <c r="AH54" i="16"/>
  <c r="I54" i="1"/>
  <c r="AG54" i="16"/>
  <c r="H54" i="1"/>
  <c r="AF54" i="16"/>
  <c r="G54" i="1"/>
  <c r="AE54" i="16"/>
  <c r="F54" i="1"/>
  <c r="AD54" i="16"/>
  <c r="E54" i="1"/>
  <c r="AC54" i="16"/>
  <c r="D54" i="1"/>
  <c r="AB54" i="16"/>
  <c r="C54" i="1"/>
  <c r="AS54" i="1"/>
  <c r="AR54" i="1"/>
  <c r="C54" i="3"/>
  <c r="BB54" i="24"/>
  <c r="D54" i="24"/>
  <c r="BO53" i="16"/>
  <c r="AP53" i="1"/>
  <c r="BN53" i="16"/>
  <c r="AO53" i="1"/>
  <c r="BM53" i="16"/>
  <c r="AN53" i="1"/>
  <c r="BL53" i="16"/>
  <c r="AM53" i="1"/>
  <c r="BK53" i="16"/>
  <c r="AL53" i="1"/>
  <c r="BJ53" i="16"/>
  <c r="AK53" i="1"/>
  <c r="BI53" i="16"/>
  <c r="AJ53" i="1"/>
  <c r="BH53" i="16"/>
  <c r="AI53" i="1"/>
  <c r="BG53" i="16"/>
  <c r="AH53" i="1"/>
  <c r="BF53" i="16"/>
  <c r="AG53" i="1"/>
  <c r="BE53" i="16"/>
  <c r="AF53" i="1"/>
  <c r="BD53" i="16"/>
  <c r="AE53" i="1"/>
  <c r="BC53" i="16"/>
  <c r="AD53" i="1"/>
  <c r="BB53" i="16"/>
  <c r="AC53" i="1"/>
  <c r="BA53" i="16"/>
  <c r="AB53" i="1"/>
  <c r="AZ53" i="16"/>
  <c r="AA53" i="1"/>
  <c r="AY53" i="16"/>
  <c r="Z53" i="1"/>
  <c r="AX53" i="16"/>
  <c r="Y53" i="1"/>
  <c r="AW53" i="16"/>
  <c r="X53" i="1"/>
  <c r="AV53" i="16"/>
  <c r="W53" i="1"/>
  <c r="AU53" i="16"/>
  <c r="V53" i="1"/>
  <c r="AT53" i="16"/>
  <c r="U53" i="1"/>
  <c r="AS53" i="16"/>
  <c r="T53" i="1"/>
  <c r="AR53" i="16"/>
  <c r="S53" i="1"/>
  <c r="AQ53" i="16"/>
  <c r="R53" i="1"/>
  <c r="AP53" i="16"/>
  <c r="Q53" i="1"/>
  <c r="AO53" i="16"/>
  <c r="P53" i="1"/>
  <c r="AN53" i="16"/>
  <c r="O53" i="1"/>
  <c r="AM53" i="16"/>
  <c r="N53" i="1"/>
  <c r="AL53" i="16"/>
  <c r="M53" i="1"/>
  <c r="AK53" i="16"/>
  <c r="L53" i="1"/>
  <c r="AJ53" i="16"/>
  <c r="K53" i="1"/>
  <c r="AI53" i="16"/>
  <c r="J53" i="1"/>
  <c r="AH53" i="16"/>
  <c r="I53" i="1"/>
  <c r="AG53" i="16"/>
  <c r="H53" i="1"/>
  <c r="AF53" i="16"/>
  <c r="G53" i="1"/>
  <c r="AE53" i="16"/>
  <c r="F53" i="1"/>
  <c r="AD53" i="16"/>
  <c r="E53" i="1"/>
  <c r="AC53" i="16"/>
  <c r="D53" i="1"/>
  <c r="AB53" i="16"/>
  <c r="C53" i="1"/>
  <c r="AS53" i="1"/>
  <c r="AR53" i="1"/>
  <c r="C53" i="3"/>
  <c r="BB53" i="24"/>
  <c r="D53" i="24"/>
  <c r="BO52" i="16"/>
  <c r="AP52" i="1"/>
  <c r="BN52" i="16"/>
  <c r="AO52" i="1"/>
  <c r="BM52" i="16"/>
  <c r="AN52" i="1"/>
  <c r="BL52" i="16"/>
  <c r="AM52" i="1"/>
  <c r="BK52" i="16"/>
  <c r="AL52" i="1"/>
  <c r="BJ52" i="16"/>
  <c r="AK52" i="1"/>
  <c r="BI52" i="16"/>
  <c r="AJ52" i="1"/>
  <c r="BH52" i="16"/>
  <c r="AI52" i="1"/>
  <c r="BG52" i="16"/>
  <c r="AH52" i="1"/>
  <c r="BF52" i="16"/>
  <c r="AG52" i="1"/>
  <c r="BE52" i="16"/>
  <c r="AF52" i="1"/>
  <c r="BD52" i="16"/>
  <c r="AE52" i="1"/>
  <c r="BC52" i="16"/>
  <c r="AD52" i="1"/>
  <c r="BB52" i="16"/>
  <c r="AC52" i="1"/>
  <c r="BA52" i="16"/>
  <c r="AB52" i="1"/>
  <c r="AZ52" i="16"/>
  <c r="AA52" i="1"/>
  <c r="AY52" i="16"/>
  <c r="Z52" i="1"/>
  <c r="AX52" i="16"/>
  <c r="Y52" i="1"/>
  <c r="AW52" i="16"/>
  <c r="X52" i="1"/>
  <c r="AV52" i="16"/>
  <c r="W52" i="1"/>
  <c r="AU52" i="16"/>
  <c r="V52" i="1"/>
  <c r="AT52" i="16"/>
  <c r="U52" i="1"/>
  <c r="AS52" i="16"/>
  <c r="T52" i="1"/>
  <c r="AR52" i="16"/>
  <c r="S52" i="1"/>
  <c r="AQ52" i="16"/>
  <c r="R52" i="1"/>
  <c r="AP52" i="16"/>
  <c r="Q52" i="1"/>
  <c r="AO52" i="16"/>
  <c r="P52" i="1"/>
  <c r="AN52" i="16"/>
  <c r="O52" i="1"/>
  <c r="AM52" i="16"/>
  <c r="N52" i="1"/>
  <c r="AL52" i="16"/>
  <c r="M52" i="1"/>
  <c r="AK52" i="16"/>
  <c r="L52" i="1"/>
  <c r="AJ52" i="16"/>
  <c r="K52" i="1"/>
  <c r="AI52" i="16"/>
  <c r="J52" i="1"/>
  <c r="AH52" i="16"/>
  <c r="I52" i="1"/>
  <c r="AG52" i="16"/>
  <c r="H52" i="1"/>
  <c r="AF52" i="16"/>
  <c r="G52" i="1"/>
  <c r="AE52" i="16"/>
  <c r="F52" i="1"/>
  <c r="AD52" i="16"/>
  <c r="E52" i="1"/>
  <c r="AC52" i="16"/>
  <c r="D52" i="1"/>
  <c r="AB52" i="16"/>
  <c r="C52" i="1"/>
  <c r="AS52" i="1"/>
  <c r="AR52" i="1"/>
  <c r="C52" i="3"/>
  <c r="BB52" i="24"/>
  <c r="D52" i="24"/>
  <c r="BO51" i="16"/>
  <c r="AP51" i="1"/>
  <c r="BN51" i="16"/>
  <c r="AO51" i="1"/>
  <c r="BM51" i="16"/>
  <c r="AN51" i="1"/>
  <c r="BL51" i="16"/>
  <c r="AM51" i="1"/>
  <c r="BK51" i="16"/>
  <c r="AL51" i="1"/>
  <c r="BJ51" i="16"/>
  <c r="AK51" i="1"/>
  <c r="BI51" i="16"/>
  <c r="AJ51" i="1"/>
  <c r="BH51" i="16"/>
  <c r="AI51" i="1"/>
  <c r="BG51" i="16"/>
  <c r="AH51" i="1"/>
  <c r="BF51" i="16"/>
  <c r="AG51" i="1"/>
  <c r="BE51" i="16"/>
  <c r="AF51" i="1"/>
  <c r="BD51" i="16"/>
  <c r="AE51" i="1"/>
  <c r="BC51" i="16"/>
  <c r="AD51" i="1"/>
  <c r="BB51" i="16"/>
  <c r="AC51" i="1"/>
  <c r="BA51" i="16"/>
  <c r="AB51" i="1"/>
  <c r="AZ51" i="16"/>
  <c r="AA51" i="1"/>
  <c r="AY51" i="16"/>
  <c r="Z51" i="1"/>
  <c r="AX51" i="16"/>
  <c r="Y51" i="1"/>
  <c r="AW51" i="16"/>
  <c r="X51" i="1"/>
  <c r="AV51" i="16"/>
  <c r="W51" i="1"/>
  <c r="AU51" i="16"/>
  <c r="V51" i="1"/>
  <c r="AT51" i="16"/>
  <c r="U51" i="1"/>
  <c r="AS51" i="16"/>
  <c r="T51" i="1"/>
  <c r="AR51" i="16"/>
  <c r="S51" i="1"/>
  <c r="AQ51" i="16"/>
  <c r="R51" i="1"/>
  <c r="AP51" i="16"/>
  <c r="Q51" i="1"/>
  <c r="AO51" i="16"/>
  <c r="P51" i="1"/>
  <c r="AN51" i="16"/>
  <c r="O51" i="1"/>
  <c r="AM51" i="16"/>
  <c r="N51" i="1"/>
  <c r="AL51" i="16"/>
  <c r="M51" i="1"/>
  <c r="AK51" i="16"/>
  <c r="L51" i="1"/>
  <c r="AJ51" i="16"/>
  <c r="K51" i="1"/>
  <c r="AI51" i="16"/>
  <c r="J51" i="1"/>
  <c r="AH51" i="16"/>
  <c r="I51" i="1"/>
  <c r="AG51" i="16"/>
  <c r="H51" i="1"/>
  <c r="AF51" i="16"/>
  <c r="G51" i="1"/>
  <c r="AE51" i="16"/>
  <c r="F51" i="1"/>
  <c r="AD51" i="16"/>
  <c r="E51" i="1"/>
  <c r="AC51" i="16"/>
  <c r="D51" i="1"/>
  <c r="AB51" i="16"/>
  <c r="C51" i="1"/>
  <c r="AS51" i="1"/>
  <c r="AR51" i="1"/>
  <c r="C51" i="3"/>
  <c r="BB51" i="24"/>
  <c r="D51" i="24"/>
  <c r="BO50" i="16"/>
  <c r="AP50" i="1"/>
  <c r="BN50" i="16"/>
  <c r="AO50" i="1"/>
  <c r="BM50" i="16"/>
  <c r="AN50" i="1"/>
  <c r="BL50" i="16"/>
  <c r="AM50" i="1"/>
  <c r="BK50" i="16"/>
  <c r="AL50" i="1"/>
  <c r="BJ50" i="16"/>
  <c r="AK50" i="1"/>
  <c r="BI50" i="16"/>
  <c r="AJ50" i="1"/>
  <c r="BH50" i="16"/>
  <c r="AI50" i="1"/>
  <c r="BG50" i="16"/>
  <c r="AH50" i="1"/>
  <c r="BF50" i="16"/>
  <c r="AG50" i="1"/>
  <c r="BE50" i="16"/>
  <c r="AF50" i="1"/>
  <c r="BD50" i="16"/>
  <c r="AE50" i="1"/>
  <c r="BC50" i="16"/>
  <c r="AD50" i="1"/>
  <c r="BB50" i="16"/>
  <c r="AC50" i="1"/>
  <c r="BA50" i="16"/>
  <c r="AB50" i="1"/>
  <c r="AZ50" i="16"/>
  <c r="AA50" i="1"/>
  <c r="AY50" i="16"/>
  <c r="Z50" i="1"/>
  <c r="AX50" i="16"/>
  <c r="Y50" i="1"/>
  <c r="AW50" i="16"/>
  <c r="X50" i="1"/>
  <c r="AV50" i="16"/>
  <c r="W50" i="1"/>
  <c r="AU50" i="16"/>
  <c r="V50" i="1"/>
  <c r="AT50" i="16"/>
  <c r="U50" i="1"/>
  <c r="AS50" i="16"/>
  <c r="T50" i="1"/>
  <c r="AR50" i="16"/>
  <c r="S50" i="1"/>
  <c r="AQ50" i="16"/>
  <c r="R50" i="1"/>
  <c r="AP50" i="16"/>
  <c r="Q50" i="1"/>
  <c r="AO50" i="16"/>
  <c r="P50" i="1"/>
  <c r="AN50" i="16"/>
  <c r="O50" i="1"/>
  <c r="AM50" i="16"/>
  <c r="N50" i="1"/>
  <c r="AL50" i="16"/>
  <c r="M50" i="1"/>
  <c r="AK50" i="16"/>
  <c r="L50" i="1"/>
  <c r="AJ50" i="16"/>
  <c r="K50" i="1"/>
  <c r="AI50" i="16"/>
  <c r="J50" i="1"/>
  <c r="AH50" i="16"/>
  <c r="I50" i="1"/>
  <c r="AG50" i="16"/>
  <c r="H50" i="1"/>
  <c r="AF50" i="16"/>
  <c r="G50" i="1"/>
  <c r="AE50" i="16"/>
  <c r="F50" i="1"/>
  <c r="AD50" i="16"/>
  <c r="E50" i="1"/>
  <c r="AC50" i="16"/>
  <c r="D50" i="1"/>
  <c r="AB50" i="16"/>
  <c r="C50" i="1"/>
  <c r="AS50" i="1"/>
  <c r="AR50" i="1"/>
  <c r="C50" i="3"/>
  <c r="BB50" i="24"/>
  <c r="D50" i="24"/>
  <c r="BO49" i="16"/>
  <c r="AP49" i="1"/>
  <c r="BN49" i="16"/>
  <c r="AO49" i="1"/>
  <c r="BM49" i="16"/>
  <c r="AN49" i="1"/>
  <c r="BL49" i="16"/>
  <c r="AM49" i="1"/>
  <c r="BK49" i="16"/>
  <c r="AL49" i="1"/>
  <c r="BJ49" i="16"/>
  <c r="AK49" i="1"/>
  <c r="BI49" i="16"/>
  <c r="AJ49" i="1"/>
  <c r="BH49" i="16"/>
  <c r="AI49" i="1"/>
  <c r="BG49" i="16"/>
  <c r="AH49" i="1"/>
  <c r="BF49" i="16"/>
  <c r="AG49" i="1"/>
  <c r="BE49" i="16"/>
  <c r="AF49" i="1"/>
  <c r="BD49" i="16"/>
  <c r="AE49" i="1"/>
  <c r="BC49" i="16"/>
  <c r="AD49" i="1"/>
  <c r="BB49" i="16"/>
  <c r="AC49" i="1"/>
  <c r="BA49" i="16"/>
  <c r="AB49" i="1"/>
  <c r="AZ49" i="16"/>
  <c r="AA49" i="1"/>
  <c r="AY49" i="16"/>
  <c r="Z49" i="1"/>
  <c r="AX49" i="16"/>
  <c r="Y49" i="1"/>
  <c r="AW49" i="16"/>
  <c r="X49" i="1"/>
  <c r="AV49" i="16"/>
  <c r="W49" i="1"/>
  <c r="AU49" i="16"/>
  <c r="V49" i="1"/>
  <c r="AT49" i="16"/>
  <c r="U49" i="1"/>
  <c r="AS49" i="16"/>
  <c r="T49" i="1"/>
  <c r="AR49" i="16"/>
  <c r="S49" i="1"/>
  <c r="AQ49" i="16"/>
  <c r="R49" i="1"/>
  <c r="AP49" i="16"/>
  <c r="Q49" i="1"/>
  <c r="AO49" i="16"/>
  <c r="P49" i="1"/>
  <c r="AN49" i="16"/>
  <c r="O49" i="1"/>
  <c r="AM49" i="16"/>
  <c r="N49" i="1"/>
  <c r="AL49" i="16"/>
  <c r="M49" i="1"/>
  <c r="AK49" i="16"/>
  <c r="L49" i="1"/>
  <c r="AJ49" i="16"/>
  <c r="K49" i="1"/>
  <c r="AI49" i="16"/>
  <c r="J49" i="1"/>
  <c r="AH49" i="16"/>
  <c r="I49" i="1"/>
  <c r="AG49" i="16"/>
  <c r="H49" i="1"/>
  <c r="AF49" i="16"/>
  <c r="G49" i="1"/>
  <c r="AE49" i="16"/>
  <c r="F49" i="1"/>
  <c r="AD49" i="16"/>
  <c r="E49" i="1"/>
  <c r="AC49" i="16"/>
  <c r="D49" i="1"/>
  <c r="AB49" i="16"/>
  <c r="C49" i="1"/>
  <c r="AS49" i="1"/>
  <c r="AR49" i="1"/>
  <c r="C49" i="3"/>
  <c r="BB49" i="24"/>
  <c r="D49" i="24"/>
  <c r="BO48" i="16"/>
  <c r="AP48" i="1"/>
  <c r="BN48" i="16"/>
  <c r="AO48" i="1"/>
  <c r="BM48" i="16"/>
  <c r="AN48" i="1"/>
  <c r="BL48" i="16"/>
  <c r="AM48" i="1"/>
  <c r="BK48" i="16"/>
  <c r="AL48" i="1"/>
  <c r="BJ48" i="16"/>
  <c r="AK48" i="1"/>
  <c r="BI48" i="16"/>
  <c r="AJ48" i="1"/>
  <c r="BH48" i="16"/>
  <c r="AI48" i="1"/>
  <c r="BG48" i="16"/>
  <c r="AH48" i="1"/>
  <c r="BF48" i="16"/>
  <c r="AG48" i="1"/>
  <c r="BE48" i="16"/>
  <c r="AF48" i="1"/>
  <c r="BD48" i="16"/>
  <c r="AE48" i="1"/>
  <c r="BC48" i="16"/>
  <c r="AD48" i="1"/>
  <c r="BB48" i="16"/>
  <c r="AC48" i="1"/>
  <c r="BA48" i="16"/>
  <c r="AB48" i="1"/>
  <c r="AZ48" i="16"/>
  <c r="AA48" i="1"/>
  <c r="AY48" i="16"/>
  <c r="Z48" i="1"/>
  <c r="AX48" i="16"/>
  <c r="Y48" i="1"/>
  <c r="AW48" i="16"/>
  <c r="X48" i="1"/>
  <c r="AV48" i="16"/>
  <c r="W48" i="1"/>
  <c r="AU48" i="16"/>
  <c r="V48" i="1"/>
  <c r="AT48" i="16"/>
  <c r="U48" i="1"/>
  <c r="AS48" i="16"/>
  <c r="T48" i="1"/>
  <c r="AR48" i="16"/>
  <c r="S48" i="1"/>
  <c r="AQ48" i="16"/>
  <c r="R48" i="1"/>
  <c r="AP48" i="16"/>
  <c r="Q48" i="1"/>
  <c r="AO48" i="16"/>
  <c r="P48" i="1"/>
  <c r="AN48" i="16"/>
  <c r="O48" i="1"/>
  <c r="AM48" i="16"/>
  <c r="N48" i="1"/>
  <c r="AL48" i="16"/>
  <c r="M48" i="1"/>
  <c r="AK48" i="16"/>
  <c r="L48" i="1"/>
  <c r="AJ48" i="16"/>
  <c r="K48" i="1"/>
  <c r="AI48" i="16"/>
  <c r="J48" i="1"/>
  <c r="AH48" i="16"/>
  <c r="I48" i="1"/>
  <c r="AG48" i="16"/>
  <c r="H48" i="1"/>
  <c r="AF48" i="16"/>
  <c r="G48" i="1"/>
  <c r="AE48" i="16"/>
  <c r="F48" i="1"/>
  <c r="AD48" i="16"/>
  <c r="E48" i="1"/>
  <c r="AC48" i="16"/>
  <c r="D48" i="1"/>
  <c r="AB48" i="16"/>
  <c r="C48" i="1"/>
  <c r="AS48" i="1"/>
  <c r="AR48" i="1"/>
  <c r="C48" i="3"/>
  <c r="BB48" i="24"/>
  <c r="D48" i="24"/>
  <c r="BO47" i="16"/>
  <c r="AP47" i="1"/>
  <c r="BN47" i="16"/>
  <c r="AO47" i="1"/>
  <c r="BM47" i="16"/>
  <c r="AN47" i="1"/>
  <c r="BL47" i="16"/>
  <c r="AM47" i="1"/>
  <c r="BK47" i="16"/>
  <c r="AL47" i="1"/>
  <c r="BJ47" i="16"/>
  <c r="AK47" i="1"/>
  <c r="BI47" i="16"/>
  <c r="AJ47" i="1"/>
  <c r="BH47" i="16"/>
  <c r="AI47" i="1"/>
  <c r="BG47" i="16"/>
  <c r="AH47" i="1"/>
  <c r="BF47" i="16"/>
  <c r="AG47" i="1"/>
  <c r="BE47" i="16"/>
  <c r="AF47" i="1"/>
  <c r="BD47" i="16"/>
  <c r="AE47" i="1"/>
  <c r="BC47" i="16"/>
  <c r="AD47" i="1"/>
  <c r="BB47" i="16"/>
  <c r="AC47" i="1"/>
  <c r="BA47" i="16"/>
  <c r="AB47" i="1"/>
  <c r="AZ47" i="16"/>
  <c r="AA47" i="1"/>
  <c r="AY47" i="16"/>
  <c r="Z47" i="1"/>
  <c r="AX47" i="16"/>
  <c r="Y47" i="1"/>
  <c r="AW47" i="16"/>
  <c r="X47" i="1"/>
  <c r="AV47" i="16"/>
  <c r="W47" i="1"/>
  <c r="AU47" i="16"/>
  <c r="V47" i="1"/>
  <c r="AT47" i="16"/>
  <c r="U47" i="1"/>
  <c r="AS47" i="16"/>
  <c r="T47" i="1"/>
  <c r="AR47" i="16"/>
  <c r="S47" i="1"/>
  <c r="AQ47" i="16"/>
  <c r="R47" i="1"/>
  <c r="AP47" i="16"/>
  <c r="Q47" i="1"/>
  <c r="AO47" i="16"/>
  <c r="P47" i="1"/>
  <c r="AN47" i="16"/>
  <c r="O47" i="1"/>
  <c r="AM47" i="16"/>
  <c r="N47" i="1"/>
  <c r="AL47" i="16"/>
  <c r="M47" i="1"/>
  <c r="AK47" i="16"/>
  <c r="L47" i="1"/>
  <c r="AJ47" i="16"/>
  <c r="K47" i="1"/>
  <c r="AI47" i="16"/>
  <c r="J47" i="1"/>
  <c r="AH47" i="16"/>
  <c r="I47" i="1"/>
  <c r="AG47" i="16"/>
  <c r="H47" i="1"/>
  <c r="AF47" i="16"/>
  <c r="G47" i="1"/>
  <c r="AE47" i="16"/>
  <c r="F47" i="1"/>
  <c r="AD47" i="16"/>
  <c r="E47" i="1"/>
  <c r="AC47" i="16"/>
  <c r="D47" i="1"/>
  <c r="AB47" i="16"/>
  <c r="C47" i="1"/>
  <c r="AS47" i="1"/>
  <c r="AR47" i="1"/>
  <c r="C47" i="3"/>
  <c r="BB47" i="24"/>
  <c r="D47" i="24"/>
  <c r="BO46" i="16"/>
  <c r="AP46" i="1"/>
  <c r="BN46" i="16"/>
  <c r="AO46" i="1"/>
  <c r="BM46" i="16"/>
  <c r="AN46" i="1"/>
  <c r="BL46" i="16"/>
  <c r="AM46" i="1"/>
  <c r="BK46" i="16"/>
  <c r="AL46" i="1"/>
  <c r="BJ46" i="16"/>
  <c r="AK46" i="1"/>
  <c r="BI46" i="16"/>
  <c r="AJ46" i="1"/>
  <c r="BH46" i="16"/>
  <c r="AI46" i="1"/>
  <c r="BG46" i="16"/>
  <c r="AH46" i="1"/>
  <c r="BF46" i="16"/>
  <c r="AG46" i="1"/>
  <c r="BE46" i="16"/>
  <c r="AF46" i="1"/>
  <c r="BD46" i="16"/>
  <c r="AE46" i="1"/>
  <c r="BC46" i="16"/>
  <c r="AD46" i="1"/>
  <c r="BB46" i="16"/>
  <c r="AC46" i="1"/>
  <c r="BA46" i="16"/>
  <c r="AB46" i="1"/>
  <c r="AZ46" i="16"/>
  <c r="AA46" i="1"/>
  <c r="AY46" i="16"/>
  <c r="Z46" i="1"/>
  <c r="AX46" i="16"/>
  <c r="Y46" i="1"/>
  <c r="AW46" i="16"/>
  <c r="X46" i="1"/>
  <c r="AV46" i="16"/>
  <c r="W46" i="1"/>
  <c r="AU46" i="16"/>
  <c r="V46" i="1"/>
  <c r="AT46" i="16"/>
  <c r="U46" i="1"/>
  <c r="AS46" i="16"/>
  <c r="T46" i="1"/>
  <c r="AR46" i="16"/>
  <c r="S46" i="1"/>
  <c r="AQ46" i="16"/>
  <c r="R46" i="1"/>
  <c r="AP46" i="16"/>
  <c r="Q46" i="1"/>
  <c r="AO46" i="16"/>
  <c r="P46" i="1"/>
  <c r="AN46" i="16"/>
  <c r="O46" i="1"/>
  <c r="AM46" i="16"/>
  <c r="N46" i="1"/>
  <c r="AL46" i="16"/>
  <c r="M46" i="1"/>
  <c r="AK46" i="16"/>
  <c r="L46" i="1"/>
  <c r="AJ46" i="16"/>
  <c r="K46" i="1"/>
  <c r="AI46" i="16"/>
  <c r="J46" i="1"/>
  <c r="AH46" i="16"/>
  <c r="I46" i="1"/>
  <c r="AG46" i="16"/>
  <c r="H46" i="1"/>
  <c r="AF46" i="16"/>
  <c r="G46" i="1"/>
  <c r="AE46" i="16"/>
  <c r="F46" i="1"/>
  <c r="AD46" i="16"/>
  <c r="E46" i="1"/>
  <c r="AC46" i="16"/>
  <c r="D46" i="1"/>
  <c r="AB46" i="16"/>
  <c r="C46" i="1"/>
  <c r="AS46" i="1"/>
  <c r="AR46" i="1"/>
  <c r="C46" i="3"/>
  <c r="BB46" i="24"/>
  <c r="D46" i="24"/>
  <c r="BO45" i="16"/>
  <c r="AP45" i="1"/>
  <c r="BN45" i="16"/>
  <c r="AO45" i="1"/>
  <c r="BM45" i="16"/>
  <c r="AN45" i="1"/>
  <c r="BL45" i="16"/>
  <c r="AM45" i="1"/>
  <c r="BK45" i="16"/>
  <c r="AL45" i="1"/>
  <c r="BJ45" i="16"/>
  <c r="AK45" i="1"/>
  <c r="BI45" i="16"/>
  <c r="AJ45" i="1"/>
  <c r="BH45" i="16"/>
  <c r="AI45" i="1"/>
  <c r="BG45" i="16"/>
  <c r="AH45" i="1"/>
  <c r="BF45" i="16"/>
  <c r="AG45" i="1"/>
  <c r="BE45" i="16"/>
  <c r="AF45" i="1"/>
  <c r="BD45" i="16"/>
  <c r="AE45" i="1"/>
  <c r="BC45" i="16"/>
  <c r="AD45" i="1"/>
  <c r="BB45" i="16"/>
  <c r="AC45" i="1"/>
  <c r="BA45" i="16"/>
  <c r="AB45" i="1"/>
  <c r="AZ45" i="16"/>
  <c r="AA45" i="1"/>
  <c r="AY45" i="16"/>
  <c r="Z45" i="1"/>
  <c r="AX45" i="16"/>
  <c r="Y45" i="1"/>
  <c r="AW45" i="16"/>
  <c r="X45" i="1"/>
  <c r="AV45" i="16"/>
  <c r="W45" i="1"/>
  <c r="AU45" i="16"/>
  <c r="V45" i="1"/>
  <c r="AT45" i="16"/>
  <c r="U45" i="1"/>
  <c r="AS45" i="16"/>
  <c r="T45" i="1"/>
  <c r="AR45" i="16"/>
  <c r="S45" i="1"/>
  <c r="AQ45" i="16"/>
  <c r="R45" i="1"/>
  <c r="AP45" i="16"/>
  <c r="Q45" i="1"/>
  <c r="AO45" i="16"/>
  <c r="P45" i="1"/>
  <c r="AN45" i="16"/>
  <c r="O45" i="1"/>
  <c r="AM45" i="16"/>
  <c r="N45" i="1"/>
  <c r="AL45" i="16"/>
  <c r="M45" i="1"/>
  <c r="AK45" i="16"/>
  <c r="L45" i="1"/>
  <c r="AJ45" i="16"/>
  <c r="K45" i="1"/>
  <c r="AI45" i="16"/>
  <c r="J45" i="1"/>
  <c r="AH45" i="16"/>
  <c r="I45" i="1"/>
  <c r="AG45" i="16"/>
  <c r="H45" i="1"/>
  <c r="AF45" i="16"/>
  <c r="G45" i="1"/>
  <c r="AE45" i="16"/>
  <c r="F45" i="1"/>
  <c r="AD45" i="16"/>
  <c r="E45" i="1"/>
  <c r="AC45" i="16"/>
  <c r="D45" i="1"/>
  <c r="AB45" i="16"/>
  <c r="C45" i="1"/>
  <c r="AS45" i="1"/>
  <c r="AR45" i="1"/>
  <c r="C45" i="3"/>
  <c r="BB45" i="24"/>
  <c r="D45" i="24"/>
  <c r="BO44" i="16"/>
  <c r="AP44" i="1"/>
  <c r="BN44" i="16"/>
  <c r="AO44" i="1"/>
  <c r="BM44" i="16"/>
  <c r="AN44" i="1"/>
  <c r="BL44" i="16"/>
  <c r="AM44" i="1"/>
  <c r="BK44" i="16"/>
  <c r="AL44" i="1"/>
  <c r="BJ44" i="16"/>
  <c r="AK44" i="1"/>
  <c r="BI44" i="16"/>
  <c r="AJ44" i="1"/>
  <c r="BH44" i="16"/>
  <c r="AI44" i="1"/>
  <c r="BG44" i="16"/>
  <c r="AH44" i="1"/>
  <c r="BF44" i="16"/>
  <c r="AG44" i="1"/>
  <c r="BE44" i="16"/>
  <c r="AF44" i="1"/>
  <c r="BD44" i="16"/>
  <c r="AE44" i="1"/>
  <c r="BC44" i="16"/>
  <c r="AD44" i="1"/>
  <c r="BB44" i="16"/>
  <c r="AC44" i="1"/>
  <c r="BA44" i="16"/>
  <c r="AB44" i="1"/>
  <c r="AZ44" i="16"/>
  <c r="AA44" i="1"/>
  <c r="AY44" i="16"/>
  <c r="Z44" i="1"/>
  <c r="AX44" i="16"/>
  <c r="Y44" i="1"/>
  <c r="AW44" i="16"/>
  <c r="X44" i="1"/>
  <c r="AV44" i="16"/>
  <c r="W44" i="1"/>
  <c r="AU44" i="16"/>
  <c r="V44" i="1"/>
  <c r="AT44" i="16"/>
  <c r="U44" i="1"/>
  <c r="AS44" i="16"/>
  <c r="T44" i="1"/>
  <c r="AR44" i="16"/>
  <c r="S44" i="1"/>
  <c r="AQ44" i="16"/>
  <c r="R44" i="1"/>
  <c r="AP44" i="16"/>
  <c r="Q44" i="1"/>
  <c r="AO44" i="16"/>
  <c r="P44" i="1"/>
  <c r="AN44" i="16"/>
  <c r="O44" i="1"/>
  <c r="AM44" i="16"/>
  <c r="N44" i="1"/>
  <c r="AL44" i="16"/>
  <c r="M44" i="1"/>
  <c r="AK44" i="16"/>
  <c r="L44" i="1"/>
  <c r="AJ44" i="16"/>
  <c r="K44" i="1"/>
  <c r="AI44" i="16"/>
  <c r="J44" i="1"/>
  <c r="AH44" i="16"/>
  <c r="I44" i="1"/>
  <c r="AG44" i="16"/>
  <c r="H44" i="1"/>
  <c r="AF44" i="16"/>
  <c r="G44" i="1"/>
  <c r="AE44" i="16"/>
  <c r="F44" i="1"/>
  <c r="AD44" i="16"/>
  <c r="E44" i="1"/>
  <c r="AC44" i="16"/>
  <c r="D44" i="1"/>
  <c r="AB44" i="16"/>
  <c r="C44" i="1"/>
  <c r="AS44" i="1"/>
  <c r="AR44" i="1"/>
  <c r="C44" i="3"/>
  <c r="BB44" i="24"/>
  <c r="D44" i="24"/>
  <c r="BO43" i="16"/>
  <c r="AP43" i="1"/>
  <c r="BN43" i="16"/>
  <c r="AO43" i="1"/>
  <c r="BM43" i="16"/>
  <c r="AN43" i="1"/>
  <c r="BL43" i="16"/>
  <c r="AM43" i="1"/>
  <c r="BK43" i="16"/>
  <c r="AL43" i="1"/>
  <c r="BJ43" i="16"/>
  <c r="AK43" i="1"/>
  <c r="BI43" i="16"/>
  <c r="AJ43" i="1"/>
  <c r="BH43" i="16"/>
  <c r="AI43" i="1"/>
  <c r="BG43" i="16"/>
  <c r="AH43" i="1"/>
  <c r="BF43" i="16"/>
  <c r="AG43" i="1"/>
  <c r="BE43" i="16"/>
  <c r="AF43" i="1"/>
  <c r="BD43" i="16"/>
  <c r="AE43" i="1"/>
  <c r="BC43" i="16"/>
  <c r="AD43" i="1"/>
  <c r="BB43" i="16"/>
  <c r="AC43" i="1"/>
  <c r="BA43" i="16"/>
  <c r="AB43" i="1"/>
  <c r="AZ43" i="16"/>
  <c r="AA43" i="1"/>
  <c r="AY43" i="16"/>
  <c r="Z43" i="1"/>
  <c r="AX43" i="16"/>
  <c r="Y43" i="1"/>
  <c r="AW43" i="16"/>
  <c r="X43" i="1"/>
  <c r="AV43" i="16"/>
  <c r="W43" i="1"/>
  <c r="AU43" i="16"/>
  <c r="V43" i="1"/>
  <c r="AT43" i="16"/>
  <c r="U43" i="1"/>
  <c r="AS43" i="16"/>
  <c r="T43" i="1"/>
  <c r="AR43" i="16"/>
  <c r="S43" i="1"/>
  <c r="AQ43" i="16"/>
  <c r="R43" i="1"/>
  <c r="AP43" i="16"/>
  <c r="Q43" i="1"/>
  <c r="AO43" i="16"/>
  <c r="P43" i="1"/>
  <c r="AN43" i="16"/>
  <c r="O43" i="1"/>
  <c r="AM43" i="16"/>
  <c r="N43" i="1"/>
  <c r="AL43" i="16"/>
  <c r="M43" i="1"/>
  <c r="AK43" i="16"/>
  <c r="L43" i="1"/>
  <c r="AJ43" i="16"/>
  <c r="K43" i="1"/>
  <c r="AI43" i="16"/>
  <c r="J43" i="1"/>
  <c r="AH43" i="16"/>
  <c r="I43" i="1"/>
  <c r="AG43" i="16"/>
  <c r="H43" i="1"/>
  <c r="AF43" i="16"/>
  <c r="G43" i="1"/>
  <c r="AE43" i="16"/>
  <c r="F43" i="1"/>
  <c r="AD43" i="16"/>
  <c r="E43" i="1"/>
  <c r="AC43" i="16"/>
  <c r="D43" i="1"/>
  <c r="AB43" i="16"/>
  <c r="C43" i="1"/>
  <c r="AS43" i="1"/>
  <c r="AR43" i="1"/>
  <c r="C43" i="3"/>
  <c r="BB43" i="24"/>
  <c r="D43" i="24"/>
  <c r="BO42" i="16"/>
  <c r="AP42" i="1"/>
  <c r="BN42" i="16"/>
  <c r="AO42" i="1"/>
  <c r="BM42" i="16"/>
  <c r="AN42" i="1"/>
  <c r="BL42" i="16"/>
  <c r="AM42" i="1"/>
  <c r="BK42" i="16"/>
  <c r="AL42" i="1"/>
  <c r="BJ42" i="16"/>
  <c r="AK42" i="1"/>
  <c r="BI42" i="16"/>
  <c r="AJ42" i="1"/>
  <c r="BH42" i="16"/>
  <c r="AI42" i="1"/>
  <c r="BG42" i="16"/>
  <c r="AH42" i="1"/>
  <c r="BF42" i="16"/>
  <c r="AG42" i="1"/>
  <c r="BE42" i="16"/>
  <c r="AF42" i="1"/>
  <c r="BD42" i="16"/>
  <c r="AE42" i="1"/>
  <c r="BC42" i="16"/>
  <c r="AD42" i="1"/>
  <c r="BB42" i="16"/>
  <c r="AC42" i="1"/>
  <c r="BA42" i="16"/>
  <c r="AB42" i="1"/>
  <c r="AZ42" i="16"/>
  <c r="AA42" i="1"/>
  <c r="AY42" i="16"/>
  <c r="Z42" i="1"/>
  <c r="AX42" i="16"/>
  <c r="Y42" i="1"/>
  <c r="AW42" i="16"/>
  <c r="X42" i="1"/>
  <c r="AV42" i="16"/>
  <c r="W42" i="1"/>
  <c r="AU42" i="16"/>
  <c r="V42" i="1"/>
  <c r="AT42" i="16"/>
  <c r="U42" i="1"/>
  <c r="AS42" i="16"/>
  <c r="T42" i="1"/>
  <c r="AR42" i="16"/>
  <c r="S42" i="1"/>
  <c r="AQ42" i="16"/>
  <c r="R42" i="1"/>
  <c r="AP42" i="16"/>
  <c r="Q42" i="1"/>
  <c r="AO42" i="16"/>
  <c r="P42" i="1"/>
  <c r="AN42" i="16"/>
  <c r="O42" i="1"/>
  <c r="AM42" i="16"/>
  <c r="N42" i="1"/>
  <c r="AL42" i="16"/>
  <c r="M42" i="1"/>
  <c r="AK42" i="16"/>
  <c r="L42" i="1"/>
  <c r="AJ42" i="16"/>
  <c r="K42" i="1"/>
  <c r="AI42" i="16"/>
  <c r="J42" i="1"/>
  <c r="AH42" i="16"/>
  <c r="I42" i="1"/>
  <c r="AG42" i="16"/>
  <c r="H42" i="1"/>
  <c r="AF42" i="16"/>
  <c r="G42" i="1"/>
  <c r="AE42" i="16"/>
  <c r="F42" i="1"/>
  <c r="AD42" i="16"/>
  <c r="E42" i="1"/>
  <c r="AC42" i="16"/>
  <c r="D42" i="1"/>
  <c r="AB42" i="16"/>
  <c r="C42" i="1"/>
  <c r="AS42" i="1"/>
  <c r="AR42" i="1"/>
  <c r="C42" i="3"/>
  <c r="BB42" i="24"/>
  <c r="D42" i="24"/>
  <c r="BO41" i="16"/>
  <c r="AP41" i="1"/>
  <c r="BN41" i="16"/>
  <c r="AO41" i="1"/>
  <c r="BM41" i="16"/>
  <c r="AN41" i="1"/>
  <c r="BL41" i="16"/>
  <c r="AM41" i="1"/>
  <c r="BK41" i="16"/>
  <c r="AL41" i="1"/>
  <c r="BJ41" i="16"/>
  <c r="AK41" i="1"/>
  <c r="BI41" i="16"/>
  <c r="AJ41" i="1"/>
  <c r="BH41" i="16"/>
  <c r="AI41" i="1"/>
  <c r="BG41" i="16"/>
  <c r="AH41" i="1"/>
  <c r="BF41" i="16"/>
  <c r="AG41" i="1"/>
  <c r="BE41" i="16"/>
  <c r="AF41" i="1"/>
  <c r="BD41" i="16"/>
  <c r="AE41" i="1"/>
  <c r="BC41" i="16"/>
  <c r="AD41" i="1"/>
  <c r="BB41" i="16"/>
  <c r="AC41" i="1"/>
  <c r="BA41" i="16"/>
  <c r="AB41" i="1"/>
  <c r="AZ41" i="16"/>
  <c r="AA41" i="1"/>
  <c r="AY41" i="16"/>
  <c r="Z41" i="1"/>
  <c r="AX41" i="16"/>
  <c r="Y41" i="1"/>
  <c r="AW41" i="16"/>
  <c r="X41" i="1"/>
  <c r="AV41" i="16"/>
  <c r="W41" i="1"/>
  <c r="AU41" i="16"/>
  <c r="V41" i="1"/>
  <c r="AT41" i="16"/>
  <c r="U41" i="1"/>
  <c r="AS41" i="16"/>
  <c r="T41" i="1"/>
  <c r="AR41" i="16"/>
  <c r="S41" i="1"/>
  <c r="AQ41" i="16"/>
  <c r="R41" i="1"/>
  <c r="AP41" i="16"/>
  <c r="Q41" i="1"/>
  <c r="AO41" i="16"/>
  <c r="P41" i="1"/>
  <c r="AN41" i="16"/>
  <c r="O41" i="1"/>
  <c r="AM41" i="16"/>
  <c r="N41" i="1"/>
  <c r="AL41" i="16"/>
  <c r="M41" i="1"/>
  <c r="AK41" i="16"/>
  <c r="L41" i="1"/>
  <c r="AJ41" i="16"/>
  <c r="K41" i="1"/>
  <c r="AI41" i="16"/>
  <c r="J41" i="1"/>
  <c r="AH41" i="16"/>
  <c r="I41" i="1"/>
  <c r="AG41" i="16"/>
  <c r="H41" i="1"/>
  <c r="AF41" i="16"/>
  <c r="G41" i="1"/>
  <c r="AE41" i="16"/>
  <c r="F41" i="1"/>
  <c r="AD41" i="16"/>
  <c r="E41" i="1"/>
  <c r="AC41" i="16"/>
  <c r="D41" i="1"/>
  <c r="AB41" i="16"/>
  <c r="C41" i="1"/>
  <c r="AS41" i="1"/>
  <c r="AR41" i="1"/>
  <c r="C41" i="3"/>
  <c r="BB41" i="24"/>
  <c r="D41" i="24"/>
  <c r="BO40" i="16"/>
  <c r="AP40" i="1"/>
  <c r="BN40" i="16"/>
  <c r="AO40" i="1"/>
  <c r="BM40" i="16"/>
  <c r="AN40" i="1"/>
  <c r="BL40" i="16"/>
  <c r="AM40" i="1"/>
  <c r="BK40" i="16"/>
  <c r="AL40" i="1"/>
  <c r="BJ40" i="16"/>
  <c r="AK40" i="1"/>
  <c r="BI40" i="16"/>
  <c r="AJ40" i="1"/>
  <c r="BH40" i="16"/>
  <c r="AI40" i="1"/>
  <c r="BG40" i="16"/>
  <c r="AH40" i="1"/>
  <c r="BF40" i="16"/>
  <c r="AG40" i="1"/>
  <c r="BE40" i="16"/>
  <c r="AF40" i="1"/>
  <c r="BD40" i="16"/>
  <c r="AE40" i="1"/>
  <c r="BC40" i="16"/>
  <c r="AD40" i="1"/>
  <c r="BB40" i="16"/>
  <c r="AC40" i="1"/>
  <c r="BA40" i="16"/>
  <c r="AB40" i="1"/>
  <c r="AZ40" i="16"/>
  <c r="AA40" i="1"/>
  <c r="AY40" i="16"/>
  <c r="Z40" i="1"/>
  <c r="AX40" i="16"/>
  <c r="Y40" i="1"/>
  <c r="AW40" i="16"/>
  <c r="X40" i="1"/>
  <c r="AV40" i="16"/>
  <c r="W40" i="1"/>
  <c r="AU40" i="16"/>
  <c r="V40" i="1"/>
  <c r="AT40" i="16"/>
  <c r="U40" i="1"/>
  <c r="AS40" i="16"/>
  <c r="T40" i="1"/>
  <c r="AR40" i="16"/>
  <c r="S40" i="1"/>
  <c r="AQ40" i="16"/>
  <c r="R40" i="1"/>
  <c r="AP40" i="16"/>
  <c r="Q40" i="1"/>
  <c r="AO40" i="16"/>
  <c r="P40" i="1"/>
  <c r="AN40" i="16"/>
  <c r="O40" i="1"/>
  <c r="AM40" i="16"/>
  <c r="N40" i="1"/>
  <c r="AL40" i="16"/>
  <c r="M40" i="1"/>
  <c r="AK40" i="16"/>
  <c r="L40" i="1"/>
  <c r="AJ40" i="16"/>
  <c r="K40" i="1"/>
  <c r="AI40" i="16"/>
  <c r="J40" i="1"/>
  <c r="AH40" i="16"/>
  <c r="I40" i="1"/>
  <c r="AG40" i="16"/>
  <c r="H40" i="1"/>
  <c r="AF40" i="16"/>
  <c r="G40" i="1"/>
  <c r="AE40" i="16"/>
  <c r="F40" i="1"/>
  <c r="AD40" i="16"/>
  <c r="E40" i="1"/>
  <c r="AC40" i="16"/>
  <c r="D40" i="1"/>
  <c r="AB40" i="16"/>
  <c r="C40" i="1"/>
  <c r="AS40" i="1"/>
  <c r="AR40" i="1"/>
  <c r="C40" i="3"/>
  <c r="BB40" i="24"/>
  <c r="D40" i="24"/>
  <c r="BO39" i="16"/>
  <c r="AP39" i="1"/>
  <c r="BN39" i="16"/>
  <c r="AO39" i="1"/>
  <c r="BM39" i="16"/>
  <c r="AN39" i="1"/>
  <c r="BL39" i="16"/>
  <c r="AM39" i="1"/>
  <c r="BK39" i="16"/>
  <c r="AL39" i="1"/>
  <c r="BJ39" i="16"/>
  <c r="AK39" i="1"/>
  <c r="BI39" i="16"/>
  <c r="AJ39" i="1"/>
  <c r="BH39" i="16"/>
  <c r="AI39" i="1"/>
  <c r="BG39" i="16"/>
  <c r="AH39" i="1"/>
  <c r="BF39" i="16"/>
  <c r="AG39" i="1"/>
  <c r="BE39" i="16"/>
  <c r="AF39" i="1"/>
  <c r="BD39" i="16"/>
  <c r="AE39" i="1"/>
  <c r="BC39" i="16"/>
  <c r="AD39" i="1"/>
  <c r="BB39" i="16"/>
  <c r="AC39" i="1"/>
  <c r="BA39" i="16"/>
  <c r="AB39" i="1"/>
  <c r="AZ39" i="16"/>
  <c r="AA39" i="1"/>
  <c r="AY39" i="16"/>
  <c r="Z39" i="1"/>
  <c r="AX39" i="16"/>
  <c r="Y39" i="1"/>
  <c r="AW39" i="16"/>
  <c r="X39" i="1"/>
  <c r="AV39" i="16"/>
  <c r="W39" i="1"/>
  <c r="AU39" i="16"/>
  <c r="V39" i="1"/>
  <c r="AT39" i="16"/>
  <c r="U39" i="1"/>
  <c r="AS39" i="16"/>
  <c r="T39" i="1"/>
  <c r="AR39" i="16"/>
  <c r="S39" i="1"/>
  <c r="AQ39" i="16"/>
  <c r="R39" i="1"/>
  <c r="AP39" i="16"/>
  <c r="Q39" i="1"/>
  <c r="AO39" i="16"/>
  <c r="P39" i="1"/>
  <c r="AN39" i="16"/>
  <c r="O39" i="1"/>
  <c r="AM39" i="16"/>
  <c r="N39" i="1"/>
  <c r="AL39" i="16"/>
  <c r="M39" i="1"/>
  <c r="AK39" i="16"/>
  <c r="L39" i="1"/>
  <c r="AJ39" i="16"/>
  <c r="K39" i="1"/>
  <c r="AI39" i="16"/>
  <c r="J39" i="1"/>
  <c r="AH39" i="16"/>
  <c r="I39" i="1"/>
  <c r="AG39" i="16"/>
  <c r="H39" i="1"/>
  <c r="AF39" i="16"/>
  <c r="G39" i="1"/>
  <c r="AE39" i="16"/>
  <c r="F39" i="1"/>
  <c r="AD39" i="16"/>
  <c r="E39" i="1"/>
  <c r="AC39" i="16"/>
  <c r="D39" i="1"/>
  <c r="AB39" i="16"/>
  <c r="C39" i="1"/>
  <c r="AS39" i="1"/>
  <c r="AR39" i="1"/>
  <c r="C39" i="3"/>
  <c r="BB39" i="24"/>
  <c r="D39" i="24"/>
  <c r="BO38" i="16"/>
  <c r="AP38" i="1"/>
  <c r="BN38" i="16"/>
  <c r="AO38" i="1"/>
  <c r="BM38" i="16"/>
  <c r="AN38" i="1"/>
  <c r="BL38" i="16"/>
  <c r="AM38" i="1"/>
  <c r="BK38" i="16"/>
  <c r="AL38" i="1"/>
  <c r="BJ38" i="16"/>
  <c r="AK38" i="1"/>
  <c r="BI38" i="16"/>
  <c r="AJ38" i="1"/>
  <c r="BH38" i="16"/>
  <c r="AI38" i="1"/>
  <c r="BG38" i="16"/>
  <c r="AH38" i="1"/>
  <c r="BF38" i="16"/>
  <c r="AG38" i="1"/>
  <c r="BE38" i="16"/>
  <c r="AF38" i="1"/>
  <c r="BD38" i="16"/>
  <c r="AE38" i="1"/>
  <c r="BC38" i="16"/>
  <c r="AD38" i="1"/>
  <c r="BB38" i="16"/>
  <c r="AC38" i="1"/>
  <c r="BA38" i="16"/>
  <c r="AB38" i="1"/>
  <c r="AZ38" i="16"/>
  <c r="AA38" i="1"/>
  <c r="AY38" i="16"/>
  <c r="Z38" i="1"/>
  <c r="AX38" i="16"/>
  <c r="Y38" i="1"/>
  <c r="AW38" i="16"/>
  <c r="X38" i="1"/>
  <c r="AV38" i="16"/>
  <c r="W38" i="1"/>
  <c r="AU38" i="16"/>
  <c r="V38" i="1"/>
  <c r="AT38" i="16"/>
  <c r="U38" i="1"/>
  <c r="AS38" i="16"/>
  <c r="T38" i="1"/>
  <c r="AR38" i="16"/>
  <c r="S38" i="1"/>
  <c r="AQ38" i="16"/>
  <c r="R38" i="1"/>
  <c r="AP38" i="16"/>
  <c r="Q38" i="1"/>
  <c r="AO38" i="16"/>
  <c r="P38" i="1"/>
  <c r="AN38" i="16"/>
  <c r="O38" i="1"/>
  <c r="AM38" i="16"/>
  <c r="N38" i="1"/>
  <c r="AL38" i="16"/>
  <c r="M38" i="1"/>
  <c r="AK38" i="16"/>
  <c r="L38" i="1"/>
  <c r="AJ38" i="16"/>
  <c r="K38" i="1"/>
  <c r="AI38" i="16"/>
  <c r="J38" i="1"/>
  <c r="AH38" i="16"/>
  <c r="I38" i="1"/>
  <c r="AG38" i="16"/>
  <c r="H38" i="1"/>
  <c r="AF38" i="16"/>
  <c r="G38" i="1"/>
  <c r="AE38" i="16"/>
  <c r="F38" i="1"/>
  <c r="AD38" i="16"/>
  <c r="E38" i="1"/>
  <c r="AC38" i="16"/>
  <c r="D38" i="1"/>
  <c r="AB38" i="16"/>
  <c r="C38" i="1"/>
  <c r="AS38" i="1"/>
  <c r="AR38" i="1"/>
  <c r="C38" i="3"/>
  <c r="BB38" i="24"/>
  <c r="D38" i="24"/>
  <c r="BO37" i="16"/>
  <c r="AP37" i="1"/>
  <c r="BN37" i="16"/>
  <c r="AO37" i="1"/>
  <c r="BM37" i="16"/>
  <c r="AN37" i="1"/>
  <c r="BL37" i="16"/>
  <c r="AM37" i="1"/>
  <c r="BK37" i="16"/>
  <c r="AL37" i="1"/>
  <c r="BJ37" i="16"/>
  <c r="AK37" i="1"/>
  <c r="BI37" i="16"/>
  <c r="AJ37" i="1"/>
  <c r="BH37" i="16"/>
  <c r="AI37" i="1"/>
  <c r="BG37" i="16"/>
  <c r="AH37" i="1"/>
  <c r="BF37" i="16"/>
  <c r="AG37" i="1"/>
  <c r="BE37" i="16"/>
  <c r="AF37" i="1"/>
  <c r="BD37" i="16"/>
  <c r="AE37" i="1"/>
  <c r="BC37" i="16"/>
  <c r="AD37" i="1"/>
  <c r="BB37" i="16"/>
  <c r="AC37" i="1"/>
  <c r="BA37" i="16"/>
  <c r="AB37" i="1"/>
  <c r="AZ37" i="16"/>
  <c r="AA37" i="1"/>
  <c r="AY37" i="16"/>
  <c r="Z37" i="1"/>
  <c r="AX37" i="16"/>
  <c r="Y37" i="1"/>
  <c r="AW37" i="16"/>
  <c r="X37" i="1"/>
  <c r="AV37" i="16"/>
  <c r="W37" i="1"/>
  <c r="AU37" i="16"/>
  <c r="V37" i="1"/>
  <c r="AT37" i="16"/>
  <c r="U37" i="1"/>
  <c r="AS37" i="16"/>
  <c r="T37" i="1"/>
  <c r="AR37" i="16"/>
  <c r="S37" i="1"/>
  <c r="AQ37" i="16"/>
  <c r="R37" i="1"/>
  <c r="AP37" i="16"/>
  <c r="Q37" i="1"/>
  <c r="AO37" i="16"/>
  <c r="P37" i="1"/>
  <c r="AN37" i="16"/>
  <c r="O37" i="1"/>
  <c r="AM37" i="16"/>
  <c r="N37" i="1"/>
  <c r="AL37" i="16"/>
  <c r="M37" i="1"/>
  <c r="AK37" i="16"/>
  <c r="L37" i="1"/>
  <c r="AJ37" i="16"/>
  <c r="K37" i="1"/>
  <c r="AI37" i="16"/>
  <c r="J37" i="1"/>
  <c r="AH37" i="16"/>
  <c r="I37" i="1"/>
  <c r="AG37" i="16"/>
  <c r="H37" i="1"/>
  <c r="AF37" i="16"/>
  <c r="G37" i="1"/>
  <c r="AE37" i="16"/>
  <c r="F37" i="1"/>
  <c r="AD37" i="16"/>
  <c r="E37" i="1"/>
  <c r="AC37" i="16"/>
  <c r="D37" i="1"/>
  <c r="AB37" i="16"/>
  <c r="C37" i="1"/>
  <c r="AS37" i="1"/>
  <c r="AR37" i="1"/>
  <c r="C37" i="3"/>
  <c r="BB37" i="24"/>
  <c r="D37" i="24"/>
  <c r="BO36" i="16"/>
  <c r="AP36" i="1"/>
  <c r="BN36" i="16"/>
  <c r="AO36" i="1"/>
  <c r="BM36" i="16"/>
  <c r="AN36" i="1"/>
  <c r="BL36" i="16"/>
  <c r="AM36" i="1"/>
  <c r="BK36" i="16"/>
  <c r="AL36" i="1"/>
  <c r="BJ36" i="16"/>
  <c r="AK36" i="1"/>
  <c r="BI36" i="16"/>
  <c r="AJ36" i="1"/>
  <c r="BH36" i="16"/>
  <c r="AI36" i="1"/>
  <c r="BG36" i="16"/>
  <c r="AH36" i="1"/>
  <c r="BF36" i="16"/>
  <c r="AG36" i="1"/>
  <c r="BE36" i="16"/>
  <c r="AF36" i="1"/>
  <c r="BD36" i="16"/>
  <c r="AE36" i="1"/>
  <c r="BC36" i="16"/>
  <c r="AD36" i="1"/>
  <c r="BB36" i="16"/>
  <c r="AC36" i="1"/>
  <c r="BA36" i="16"/>
  <c r="AB36" i="1"/>
  <c r="AZ36" i="16"/>
  <c r="AA36" i="1"/>
  <c r="AY36" i="16"/>
  <c r="Z36" i="1"/>
  <c r="AX36" i="16"/>
  <c r="Y36" i="1"/>
  <c r="AW36" i="16"/>
  <c r="X36" i="1"/>
  <c r="AV36" i="16"/>
  <c r="W36" i="1"/>
  <c r="AU36" i="16"/>
  <c r="V36" i="1"/>
  <c r="AT36" i="16"/>
  <c r="U36" i="1"/>
  <c r="AS36" i="16"/>
  <c r="T36" i="1"/>
  <c r="AR36" i="16"/>
  <c r="S36" i="1"/>
  <c r="AQ36" i="16"/>
  <c r="R36" i="1"/>
  <c r="AP36" i="16"/>
  <c r="Q36" i="1"/>
  <c r="AO36" i="16"/>
  <c r="P36" i="1"/>
  <c r="AN36" i="16"/>
  <c r="O36" i="1"/>
  <c r="AM36" i="16"/>
  <c r="N36" i="1"/>
  <c r="AL36" i="16"/>
  <c r="M36" i="1"/>
  <c r="AK36" i="16"/>
  <c r="L36" i="1"/>
  <c r="AJ36" i="16"/>
  <c r="K36" i="1"/>
  <c r="AI36" i="16"/>
  <c r="J36" i="1"/>
  <c r="AH36" i="16"/>
  <c r="I36" i="1"/>
  <c r="AG36" i="16"/>
  <c r="H36" i="1"/>
  <c r="AF36" i="16"/>
  <c r="G36" i="1"/>
  <c r="AE36" i="16"/>
  <c r="F36" i="1"/>
  <c r="AD36" i="16"/>
  <c r="E36" i="1"/>
  <c r="AC36" i="16"/>
  <c r="D36" i="1"/>
  <c r="AB36" i="16"/>
  <c r="C36" i="1"/>
  <c r="AS36" i="1"/>
  <c r="AR36" i="1"/>
  <c r="C36" i="3"/>
  <c r="BB36" i="24"/>
  <c r="D36" i="24"/>
  <c r="BO35" i="16"/>
  <c r="AP35" i="1"/>
  <c r="BN35" i="16"/>
  <c r="AO35" i="1"/>
  <c r="BM35" i="16"/>
  <c r="AN35" i="1"/>
  <c r="BL35" i="16"/>
  <c r="AM35" i="1"/>
  <c r="BK35" i="16"/>
  <c r="AL35" i="1"/>
  <c r="BJ35" i="16"/>
  <c r="AK35" i="1"/>
  <c r="BI35" i="16"/>
  <c r="AJ35" i="1"/>
  <c r="BH35" i="16"/>
  <c r="AI35" i="1"/>
  <c r="BG35" i="16"/>
  <c r="AH35" i="1"/>
  <c r="BF35" i="16"/>
  <c r="AG35" i="1"/>
  <c r="BE35" i="16"/>
  <c r="AF35" i="1"/>
  <c r="BD35" i="16"/>
  <c r="AE35" i="1"/>
  <c r="BC35" i="16"/>
  <c r="AD35" i="1"/>
  <c r="BB35" i="16"/>
  <c r="AC35" i="1"/>
  <c r="BA35" i="16"/>
  <c r="AB35" i="1"/>
  <c r="AZ35" i="16"/>
  <c r="AA35" i="1"/>
  <c r="AY35" i="16"/>
  <c r="Z35" i="1"/>
  <c r="AX35" i="16"/>
  <c r="Y35" i="1"/>
  <c r="AW35" i="16"/>
  <c r="X35" i="1"/>
  <c r="AV35" i="16"/>
  <c r="W35" i="1"/>
  <c r="AU35" i="16"/>
  <c r="V35" i="1"/>
  <c r="AT35" i="16"/>
  <c r="U35" i="1"/>
  <c r="AS35" i="16"/>
  <c r="T35" i="1"/>
  <c r="AR35" i="16"/>
  <c r="S35" i="1"/>
  <c r="AQ35" i="16"/>
  <c r="R35" i="1"/>
  <c r="AP35" i="16"/>
  <c r="Q35" i="1"/>
  <c r="AO35" i="16"/>
  <c r="P35" i="1"/>
  <c r="AN35" i="16"/>
  <c r="O35" i="1"/>
  <c r="AM35" i="16"/>
  <c r="N35" i="1"/>
  <c r="AL35" i="16"/>
  <c r="M35" i="1"/>
  <c r="AK35" i="16"/>
  <c r="L35" i="1"/>
  <c r="AJ35" i="16"/>
  <c r="K35" i="1"/>
  <c r="AI35" i="16"/>
  <c r="J35" i="1"/>
  <c r="AH35" i="16"/>
  <c r="I35" i="1"/>
  <c r="AG35" i="16"/>
  <c r="H35" i="1"/>
  <c r="AF35" i="16"/>
  <c r="G35" i="1"/>
  <c r="AE35" i="16"/>
  <c r="F35" i="1"/>
  <c r="AD35" i="16"/>
  <c r="E35" i="1"/>
  <c r="AC35" i="16"/>
  <c r="D35" i="1"/>
  <c r="AB35" i="16"/>
  <c r="C35" i="1"/>
  <c r="AS35" i="1"/>
  <c r="AR35" i="1"/>
  <c r="C35" i="3"/>
  <c r="BB35" i="24"/>
  <c r="D35" i="24"/>
  <c r="BO34" i="16"/>
  <c r="AP34" i="1"/>
  <c r="BN34" i="16"/>
  <c r="AO34" i="1"/>
  <c r="BM34" i="16"/>
  <c r="AN34" i="1"/>
  <c r="BL34" i="16"/>
  <c r="AM34" i="1"/>
  <c r="BK34" i="16"/>
  <c r="AL34" i="1"/>
  <c r="BJ34" i="16"/>
  <c r="AK34" i="1"/>
  <c r="BI34" i="16"/>
  <c r="AJ34" i="1"/>
  <c r="BH34" i="16"/>
  <c r="AI34" i="1"/>
  <c r="BG34" i="16"/>
  <c r="AH34" i="1"/>
  <c r="BF34" i="16"/>
  <c r="AG34" i="1"/>
  <c r="BE34" i="16"/>
  <c r="AF34" i="1"/>
  <c r="BD34" i="16"/>
  <c r="AE34" i="1"/>
  <c r="BC34" i="16"/>
  <c r="AD34" i="1"/>
  <c r="BB34" i="16"/>
  <c r="AC34" i="1"/>
  <c r="BA34" i="16"/>
  <c r="AB34" i="1"/>
  <c r="AZ34" i="16"/>
  <c r="AA34" i="1"/>
  <c r="AY34" i="16"/>
  <c r="Z34" i="1"/>
  <c r="AX34" i="16"/>
  <c r="Y34" i="1"/>
  <c r="AW34" i="16"/>
  <c r="X34" i="1"/>
  <c r="AV34" i="16"/>
  <c r="W34" i="1"/>
  <c r="AU34" i="16"/>
  <c r="V34" i="1"/>
  <c r="AT34" i="16"/>
  <c r="U34" i="1"/>
  <c r="AS34" i="16"/>
  <c r="T34" i="1"/>
  <c r="AR34" i="16"/>
  <c r="S34" i="1"/>
  <c r="AQ34" i="16"/>
  <c r="R34" i="1"/>
  <c r="AP34" i="16"/>
  <c r="Q34" i="1"/>
  <c r="AO34" i="16"/>
  <c r="P34" i="1"/>
  <c r="AN34" i="16"/>
  <c r="O34" i="1"/>
  <c r="AM34" i="16"/>
  <c r="N34" i="1"/>
  <c r="AL34" i="16"/>
  <c r="M34" i="1"/>
  <c r="AK34" i="16"/>
  <c r="L34" i="1"/>
  <c r="AJ34" i="16"/>
  <c r="K34" i="1"/>
  <c r="AI34" i="16"/>
  <c r="J34" i="1"/>
  <c r="AH34" i="16"/>
  <c r="I34" i="1"/>
  <c r="AG34" i="16"/>
  <c r="H34" i="1"/>
  <c r="AF34" i="16"/>
  <c r="G34" i="1"/>
  <c r="AE34" i="16"/>
  <c r="F34" i="1"/>
  <c r="AD34" i="16"/>
  <c r="E34" i="1"/>
  <c r="AC34" i="16"/>
  <c r="D34" i="1"/>
  <c r="AB34" i="16"/>
  <c r="C34" i="1"/>
  <c r="AS34" i="1"/>
  <c r="AR34" i="1"/>
  <c r="C34" i="3"/>
  <c r="BB34" i="24"/>
  <c r="D34" i="24"/>
  <c r="BO33" i="16"/>
  <c r="AP33" i="1"/>
  <c r="BN33" i="16"/>
  <c r="AO33" i="1"/>
  <c r="BM33" i="16"/>
  <c r="AN33" i="1"/>
  <c r="BL33" i="16"/>
  <c r="AM33" i="1"/>
  <c r="BK33" i="16"/>
  <c r="AL33" i="1"/>
  <c r="BJ33" i="16"/>
  <c r="AK33" i="1"/>
  <c r="BI33" i="16"/>
  <c r="AJ33" i="1"/>
  <c r="BH33" i="16"/>
  <c r="AI33" i="1"/>
  <c r="BG33" i="16"/>
  <c r="AH33" i="1"/>
  <c r="BF33" i="16"/>
  <c r="AG33" i="1"/>
  <c r="BE33" i="16"/>
  <c r="AF33" i="1"/>
  <c r="BD33" i="16"/>
  <c r="AE33" i="1"/>
  <c r="BC33" i="16"/>
  <c r="AD33" i="1"/>
  <c r="BB33" i="16"/>
  <c r="AC33" i="1"/>
  <c r="BA33" i="16"/>
  <c r="AB33" i="1"/>
  <c r="AZ33" i="16"/>
  <c r="AA33" i="1"/>
  <c r="AY33" i="16"/>
  <c r="Z33" i="1"/>
  <c r="AX33" i="16"/>
  <c r="Y33" i="1"/>
  <c r="AW33" i="16"/>
  <c r="X33" i="1"/>
  <c r="AV33" i="16"/>
  <c r="W33" i="1"/>
  <c r="AU33" i="16"/>
  <c r="V33" i="1"/>
  <c r="AT33" i="16"/>
  <c r="U33" i="1"/>
  <c r="AS33" i="16"/>
  <c r="T33" i="1"/>
  <c r="AR33" i="16"/>
  <c r="S33" i="1"/>
  <c r="AQ33" i="16"/>
  <c r="R33" i="1"/>
  <c r="AP33" i="16"/>
  <c r="Q33" i="1"/>
  <c r="AO33" i="16"/>
  <c r="P33" i="1"/>
  <c r="AN33" i="16"/>
  <c r="O33" i="1"/>
  <c r="AM33" i="16"/>
  <c r="N33" i="1"/>
  <c r="AL33" i="16"/>
  <c r="M33" i="1"/>
  <c r="AK33" i="16"/>
  <c r="L33" i="1"/>
  <c r="AJ33" i="16"/>
  <c r="K33" i="1"/>
  <c r="AI33" i="16"/>
  <c r="J33" i="1"/>
  <c r="AH33" i="16"/>
  <c r="I33" i="1"/>
  <c r="AG33" i="16"/>
  <c r="H33" i="1"/>
  <c r="AF33" i="16"/>
  <c r="G33" i="1"/>
  <c r="AE33" i="16"/>
  <c r="F33" i="1"/>
  <c r="AD33" i="16"/>
  <c r="E33" i="1"/>
  <c r="AC33" i="16"/>
  <c r="D33" i="1"/>
  <c r="AB33" i="16"/>
  <c r="C33" i="1"/>
  <c r="AS33" i="1"/>
  <c r="AR33" i="1"/>
  <c r="C33" i="3"/>
  <c r="BB33" i="24"/>
  <c r="D33" i="24"/>
  <c r="BO32" i="16"/>
  <c r="AP32" i="1"/>
  <c r="BN32" i="16"/>
  <c r="AO32" i="1"/>
  <c r="BM32" i="16"/>
  <c r="AN32" i="1"/>
  <c r="BL32" i="16"/>
  <c r="AM32" i="1"/>
  <c r="BK32" i="16"/>
  <c r="AL32" i="1"/>
  <c r="BJ32" i="16"/>
  <c r="AK32" i="1"/>
  <c r="BI32" i="16"/>
  <c r="AJ32" i="1"/>
  <c r="BH32" i="16"/>
  <c r="AI32" i="1"/>
  <c r="BG32" i="16"/>
  <c r="AH32" i="1"/>
  <c r="BF32" i="16"/>
  <c r="AG32" i="1"/>
  <c r="BE32" i="16"/>
  <c r="AF32" i="1"/>
  <c r="BD32" i="16"/>
  <c r="AE32" i="1"/>
  <c r="BC32" i="16"/>
  <c r="AD32" i="1"/>
  <c r="BB32" i="16"/>
  <c r="AC32" i="1"/>
  <c r="BA32" i="16"/>
  <c r="AB32" i="1"/>
  <c r="AZ32" i="16"/>
  <c r="AA32" i="1"/>
  <c r="AY32" i="16"/>
  <c r="Z32" i="1"/>
  <c r="AX32" i="16"/>
  <c r="Y32" i="1"/>
  <c r="AW32" i="16"/>
  <c r="X32" i="1"/>
  <c r="AV32" i="16"/>
  <c r="W32" i="1"/>
  <c r="AU32" i="16"/>
  <c r="V32" i="1"/>
  <c r="AT32" i="16"/>
  <c r="U32" i="1"/>
  <c r="AS32" i="16"/>
  <c r="T32" i="1"/>
  <c r="AR32" i="16"/>
  <c r="S32" i="1"/>
  <c r="AQ32" i="16"/>
  <c r="R32" i="1"/>
  <c r="AP32" i="16"/>
  <c r="Q32" i="1"/>
  <c r="AO32" i="16"/>
  <c r="P32" i="1"/>
  <c r="AN32" i="16"/>
  <c r="O32" i="1"/>
  <c r="AM32" i="16"/>
  <c r="N32" i="1"/>
  <c r="AL32" i="16"/>
  <c r="M32" i="1"/>
  <c r="AK32" i="16"/>
  <c r="L32" i="1"/>
  <c r="AJ32" i="16"/>
  <c r="K32" i="1"/>
  <c r="AI32" i="16"/>
  <c r="J32" i="1"/>
  <c r="AH32" i="16"/>
  <c r="I32" i="1"/>
  <c r="AG32" i="16"/>
  <c r="H32" i="1"/>
  <c r="AF32" i="16"/>
  <c r="G32" i="1"/>
  <c r="AE32" i="16"/>
  <c r="F32" i="1"/>
  <c r="AD32" i="16"/>
  <c r="E32" i="1"/>
  <c r="AC32" i="16"/>
  <c r="D32" i="1"/>
  <c r="AB32" i="16"/>
  <c r="C32" i="1"/>
  <c r="AS32" i="1"/>
  <c r="AR32" i="1"/>
  <c r="C32" i="3"/>
  <c r="BB32" i="24"/>
  <c r="D32" i="24"/>
  <c r="BO31" i="16"/>
  <c r="AP31" i="1"/>
  <c r="BN31" i="16"/>
  <c r="AO31" i="1"/>
  <c r="BM31" i="16"/>
  <c r="AN31" i="1"/>
  <c r="BL31" i="16"/>
  <c r="AM31" i="1"/>
  <c r="BK31" i="16"/>
  <c r="AL31" i="1"/>
  <c r="BJ31" i="16"/>
  <c r="AK31" i="1"/>
  <c r="BI31" i="16"/>
  <c r="AJ31" i="1"/>
  <c r="BH31" i="16"/>
  <c r="AI31" i="1"/>
  <c r="BG31" i="16"/>
  <c r="AH31" i="1"/>
  <c r="BF31" i="16"/>
  <c r="AG31" i="1"/>
  <c r="BE31" i="16"/>
  <c r="AF31" i="1"/>
  <c r="BD31" i="16"/>
  <c r="AE31" i="1"/>
  <c r="BC31" i="16"/>
  <c r="AD31" i="1"/>
  <c r="BB31" i="16"/>
  <c r="AC31" i="1"/>
  <c r="BA31" i="16"/>
  <c r="AB31" i="1"/>
  <c r="AZ31" i="16"/>
  <c r="AA31" i="1"/>
  <c r="AY31" i="16"/>
  <c r="Z31" i="1"/>
  <c r="AX31" i="16"/>
  <c r="Y31" i="1"/>
  <c r="AW31" i="16"/>
  <c r="X31" i="1"/>
  <c r="AV31" i="16"/>
  <c r="W31" i="1"/>
  <c r="AU31" i="16"/>
  <c r="V31" i="1"/>
  <c r="AT31" i="16"/>
  <c r="U31" i="1"/>
  <c r="AS31" i="16"/>
  <c r="T31" i="1"/>
  <c r="AR31" i="16"/>
  <c r="S31" i="1"/>
  <c r="AQ31" i="16"/>
  <c r="R31" i="1"/>
  <c r="AP31" i="16"/>
  <c r="Q31" i="1"/>
  <c r="AO31" i="16"/>
  <c r="P31" i="1"/>
  <c r="AN31" i="16"/>
  <c r="O31" i="1"/>
  <c r="AM31" i="16"/>
  <c r="N31" i="1"/>
  <c r="AL31" i="16"/>
  <c r="M31" i="1"/>
  <c r="AK31" i="16"/>
  <c r="L31" i="1"/>
  <c r="AJ31" i="16"/>
  <c r="K31" i="1"/>
  <c r="AI31" i="16"/>
  <c r="J31" i="1"/>
  <c r="AH31" i="16"/>
  <c r="I31" i="1"/>
  <c r="AG31" i="16"/>
  <c r="H31" i="1"/>
  <c r="AF31" i="16"/>
  <c r="G31" i="1"/>
  <c r="AE31" i="16"/>
  <c r="F31" i="1"/>
  <c r="AD31" i="16"/>
  <c r="E31" i="1"/>
  <c r="AC31" i="16"/>
  <c r="D31" i="1"/>
  <c r="AB31" i="16"/>
  <c r="C31" i="1"/>
  <c r="AS31" i="1"/>
  <c r="AR31" i="1"/>
  <c r="C31" i="3"/>
  <c r="BB31" i="24"/>
  <c r="D31" i="24"/>
  <c r="BO30" i="16"/>
  <c r="AP30" i="1"/>
  <c r="BN30" i="16"/>
  <c r="AO30" i="1"/>
  <c r="BM30" i="16"/>
  <c r="AN30" i="1"/>
  <c r="BL30" i="16"/>
  <c r="AM30" i="1"/>
  <c r="BK30" i="16"/>
  <c r="AL30" i="1"/>
  <c r="BJ30" i="16"/>
  <c r="AK30" i="1"/>
  <c r="BI30" i="16"/>
  <c r="AJ30" i="1"/>
  <c r="BH30" i="16"/>
  <c r="AI30" i="1"/>
  <c r="BG30" i="16"/>
  <c r="AH30" i="1"/>
  <c r="BF30" i="16"/>
  <c r="AG30" i="1"/>
  <c r="BE30" i="16"/>
  <c r="AF30" i="1"/>
  <c r="BD30" i="16"/>
  <c r="AE30" i="1"/>
  <c r="BC30" i="16"/>
  <c r="AD30" i="1"/>
  <c r="BB30" i="16"/>
  <c r="AC30" i="1"/>
  <c r="BA30" i="16"/>
  <c r="AB30" i="1"/>
  <c r="AZ30" i="16"/>
  <c r="AA30" i="1"/>
  <c r="AY30" i="16"/>
  <c r="Z30" i="1"/>
  <c r="AX30" i="16"/>
  <c r="Y30" i="1"/>
  <c r="AW30" i="16"/>
  <c r="X30" i="1"/>
  <c r="AV30" i="16"/>
  <c r="W30" i="1"/>
  <c r="AU30" i="16"/>
  <c r="V30" i="1"/>
  <c r="AT30" i="16"/>
  <c r="U30" i="1"/>
  <c r="AS30" i="16"/>
  <c r="T30" i="1"/>
  <c r="AR30" i="16"/>
  <c r="S30" i="1"/>
  <c r="AQ30" i="16"/>
  <c r="R30" i="1"/>
  <c r="AP30" i="16"/>
  <c r="Q30" i="1"/>
  <c r="AO30" i="16"/>
  <c r="P30" i="1"/>
  <c r="AN30" i="16"/>
  <c r="O30" i="1"/>
  <c r="AM30" i="16"/>
  <c r="N30" i="1"/>
  <c r="AL30" i="16"/>
  <c r="M30" i="1"/>
  <c r="AK30" i="16"/>
  <c r="L30" i="1"/>
  <c r="AJ30" i="16"/>
  <c r="K30" i="1"/>
  <c r="AI30" i="16"/>
  <c r="J30" i="1"/>
  <c r="AH30" i="16"/>
  <c r="I30" i="1"/>
  <c r="AG30" i="16"/>
  <c r="H30" i="1"/>
  <c r="AF30" i="16"/>
  <c r="G30" i="1"/>
  <c r="AE30" i="16"/>
  <c r="F30" i="1"/>
  <c r="AD30" i="16"/>
  <c r="E30" i="1"/>
  <c r="AC30" i="16"/>
  <c r="D30" i="1"/>
  <c r="AB30" i="16"/>
  <c r="C30" i="1"/>
  <c r="AS30" i="1"/>
  <c r="AR30" i="1"/>
  <c r="C30" i="3"/>
  <c r="BB30" i="24"/>
  <c r="D30" i="24"/>
  <c r="BO29" i="16"/>
  <c r="AP29" i="1"/>
  <c r="BN29" i="16"/>
  <c r="AO29" i="1"/>
  <c r="BM29" i="16"/>
  <c r="AN29" i="1"/>
  <c r="BL29" i="16"/>
  <c r="AM29" i="1"/>
  <c r="BK29" i="16"/>
  <c r="AL29" i="1"/>
  <c r="BJ29" i="16"/>
  <c r="AK29" i="1"/>
  <c r="BI29" i="16"/>
  <c r="AJ29" i="1"/>
  <c r="BH29" i="16"/>
  <c r="AI29" i="1"/>
  <c r="BG29" i="16"/>
  <c r="AH29" i="1"/>
  <c r="BF29" i="16"/>
  <c r="AG29" i="1"/>
  <c r="BE29" i="16"/>
  <c r="AF29" i="1"/>
  <c r="BD29" i="16"/>
  <c r="AE29" i="1"/>
  <c r="BC29" i="16"/>
  <c r="AD29" i="1"/>
  <c r="BB29" i="16"/>
  <c r="AC29" i="1"/>
  <c r="BA29" i="16"/>
  <c r="AB29" i="1"/>
  <c r="AZ29" i="16"/>
  <c r="AA29" i="1"/>
  <c r="AY29" i="16"/>
  <c r="Z29" i="1"/>
  <c r="AX29" i="16"/>
  <c r="Y29" i="1"/>
  <c r="AW29" i="16"/>
  <c r="X29" i="1"/>
  <c r="AV29" i="16"/>
  <c r="W29" i="1"/>
  <c r="AU29" i="16"/>
  <c r="V29" i="1"/>
  <c r="AT29" i="16"/>
  <c r="U29" i="1"/>
  <c r="AS29" i="16"/>
  <c r="T29" i="1"/>
  <c r="AR29" i="16"/>
  <c r="S29" i="1"/>
  <c r="AQ29" i="16"/>
  <c r="R29" i="1"/>
  <c r="AP29" i="16"/>
  <c r="Q29" i="1"/>
  <c r="AO29" i="16"/>
  <c r="P29" i="1"/>
  <c r="AN29" i="16"/>
  <c r="O29" i="1"/>
  <c r="AM29" i="16"/>
  <c r="N29" i="1"/>
  <c r="AL29" i="16"/>
  <c r="M29" i="1"/>
  <c r="AK29" i="16"/>
  <c r="L29" i="1"/>
  <c r="AJ29" i="16"/>
  <c r="K29" i="1"/>
  <c r="AI29" i="16"/>
  <c r="J29" i="1"/>
  <c r="AH29" i="16"/>
  <c r="I29" i="1"/>
  <c r="AG29" i="16"/>
  <c r="H29" i="1"/>
  <c r="AF29" i="16"/>
  <c r="G29" i="1"/>
  <c r="AE29" i="16"/>
  <c r="F29" i="1"/>
  <c r="AD29" i="16"/>
  <c r="E29" i="1"/>
  <c r="AC29" i="16"/>
  <c r="D29" i="1"/>
  <c r="AB29" i="16"/>
  <c r="C29" i="1"/>
  <c r="AS29" i="1"/>
  <c r="AR29" i="1"/>
  <c r="C29" i="3"/>
  <c r="BB29" i="24"/>
  <c r="D29" i="24"/>
  <c r="BO28" i="16"/>
  <c r="AP28" i="1"/>
  <c r="BN28" i="16"/>
  <c r="AO28" i="1"/>
  <c r="BM28" i="16"/>
  <c r="AN28" i="1"/>
  <c r="BL28" i="16"/>
  <c r="AM28" i="1"/>
  <c r="BK28" i="16"/>
  <c r="AL28" i="1"/>
  <c r="BJ28" i="16"/>
  <c r="AK28" i="1"/>
  <c r="BI28" i="16"/>
  <c r="AJ28" i="1"/>
  <c r="BH28" i="16"/>
  <c r="AI28" i="1"/>
  <c r="BG28" i="16"/>
  <c r="AH28" i="1"/>
  <c r="BF28" i="16"/>
  <c r="AG28" i="1"/>
  <c r="BE28" i="16"/>
  <c r="AF28" i="1"/>
  <c r="BD28" i="16"/>
  <c r="AE28" i="1"/>
  <c r="BC28" i="16"/>
  <c r="AD28" i="1"/>
  <c r="BB28" i="16"/>
  <c r="AC28" i="1"/>
  <c r="BA28" i="16"/>
  <c r="AB28" i="1"/>
  <c r="AZ28" i="16"/>
  <c r="AA28" i="1"/>
  <c r="AY28" i="16"/>
  <c r="Z28" i="1"/>
  <c r="AX28" i="16"/>
  <c r="Y28" i="1"/>
  <c r="AW28" i="16"/>
  <c r="X28" i="1"/>
  <c r="AV28" i="16"/>
  <c r="W28" i="1"/>
  <c r="AU28" i="16"/>
  <c r="V28" i="1"/>
  <c r="AT28" i="16"/>
  <c r="U28" i="1"/>
  <c r="AS28" i="16"/>
  <c r="T28" i="1"/>
  <c r="AR28" i="16"/>
  <c r="S28" i="1"/>
  <c r="AQ28" i="16"/>
  <c r="R28" i="1"/>
  <c r="AP28" i="16"/>
  <c r="Q28" i="1"/>
  <c r="AO28" i="16"/>
  <c r="P28" i="1"/>
  <c r="AN28" i="16"/>
  <c r="O28" i="1"/>
  <c r="AM28" i="16"/>
  <c r="N28" i="1"/>
  <c r="AL28" i="16"/>
  <c r="M28" i="1"/>
  <c r="AK28" i="16"/>
  <c r="L28" i="1"/>
  <c r="AJ28" i="16"/>
  <c r="K28" i="1"/>
  <c r="AI28" i="16"/>
  <c r="J28" i="1"/>
  <c r="AH28" i="16"/>
  <c r="I28" i="1"/>
  <c r="AG28" i="16"/>
  <c r="H28" i="1"/>
  <c r="AF28" i="16"/>
  <c r="G28" i="1"/>
  <c r="AE28" i="16"/>
  <c r="F28" i="1"/>
  <c r="AD28" i="16"/>
  <c r="E28" i="1"/>
  <c r="AC28" i="16"/>
  <c r="D28" i="1"/>
  <c r="AB28" i="16"/>
  <c r="C28" i="1"/>
  <c r="AS28" i="1"/>
  <c r="AR28" i="1"/>
  <c r="C28" i="3"/>
  <c r="BB28" i="24"/>
  <c r="D28" i="24"/>
  <c r="BO27" i="16"/>
  <c r="AP27" i="1"/>
  <c r="BN27" i="16"/>
  <c r="AO27" i="1"/>
  <c r="BM27" i="16"/>
  <c r="AN27" i="1"/>
  <c r="BL27" i="16"/>
  <c r="AM27" i="1"/>
  <c r="BK27" i="16"/>
  <c r="AL27" i="1"/>
  <c r="BJ27" i="16"/>
  <c r="AK27" i="1"/>
  <c r="BI27" i="16"/>
  <c r="AJ27" i="1"/>
  <c r="BH27" i="16"/>
  <c r="AI27" i="1"/>
  <c r="BG27" i="16"/>
  <c r="AH27" i="1"/>
  <c r="BF27" i="16"/>
  <c r="AG27" i="1"/>
  <c r="BE27" i="16"/>
  <c r="AF27" i="1"/>
  <c r="BD27" i="16"/>
  <c r="AE27" i="1"/>
  <c r="BC27" i="16"/>
  <c r="AD27" i="1"/>
  <c r="BB27" i="16"/>
  <c r="AC27" i="1"/>
  <c r="BA27" i="16"/>
  <c r="AB27" i="1"/>
  <c r="AZ27" i="16"/>
  <c r="AA27" i="1"/>
  <c r="AY27" i="16"/>
  <c r="Z27" i="1"/>
  <c r="AX27" i="16"/>
  <c r="Y27" i="1"/>
  <c r="AW27" i="16"/>
  <c r="X27" i="1"/>
  <c r="AV27" i="16"/>
  <c r="W27" i="1"/>
  <c r="AU27" i="16"/>
  <c r="V27" i="1"/>
  <c r="AT27" i="16"/>
  <c r="U27" i="1"/>
  <c r="AS27" i="16"/>
  <c r="T27" i="1"/>
  <c r="AR27" i="16"/>
  <c r="S27" i="1"/>
  <c r="AQ27" i="16"/>
  <c r="R27" i="1"/>
  <c r="AP27" i="16"/>
  <c r="Q27" i="1"/>
  <c r="AO27" i="16"/>
  <c r="P27" i="1"/>
  <c r="AN27" i="16"/>
  <c r="O27" i="1"/>
  <c r="AM27" i="16"/>
  <c r="N27" i="1"/>
  <c r="AL27" i="16"/>
  <c r="M27" i="1"/>
  <c r="AK27" i="16"/>
  <c r="L27" i="1"/>
  <c r="AJ27" i="16"/>
  <c r="K27" i="1"/>
  <c r="AI27" i="16"/>
  <c r="J27" i="1"/>
  <c r="AH27" i="16"/>
  <c r="I27" i="1"/>
  <c r="AG27" i="16"/>
  <c r="H27" i="1"/>
  <c r="AF27" i="16"/>
  <c r="G27" i="1"/>
  <c r="AE27" i="16"/>
  <c r="F27" i="1"/>
  <c r="AD27" i="16"/>
  <c r="E27" i="1"/>
  <c r="AC27" i="16"/>
  <c r="D27" i="1"/>
  <c r="AB27" i="16"/>
  <c r="C27" i="1"/>
  <c r="AS27" i="1"/>
  <c r="AR27" i="1"/>
  <c r="C27" i="3"/>
  <c r="BB27" i="24"/>
  <c r="D27" i="24"/>
  <c r="BO26" i="16"/>
  <c r="AP26" i="1"/>
  <c r="BN26" i="16"/>
  <c r="AO26" i="1"/>
  <c r="BM26" i="16"/>
  <c r="AN26" i="1"/>
  <c r="BL26" i="16"/>
  <c r="AM26" i="1"/>
  <c r="BK26" i="16"/>
  <c r="AL26" i="1"/>
  <c r="BJ26" i="16"/>
  <c r="AK26" i="1"/>
  <c r="BI26" i="16"/>
  <c r="AJ26" i="1"/>
  <c r="BH26" i="16"/>
  <c r="AI26" i="1"/>
  <c r="BG26" i="16"/>
  <c r="AH26" i="1"/>
  <c r="BF26" i="16"/>
  <c r="AG26" i="1"/>
  <c r="BE26" i="16"/>
  <c r="AF26" i="1"/>
  <c r="BD26" i="16"/>
  <c r="AE26" i="1"/>
  <c r="BC26" i="16"/>
  <c r="AD26" i="1"/>
  <c r="BB26" i="16"/>
  <c r="AC26" i="1"/>
  <c r="BA26" i="16"/>
  <c r="AB26" i="1"/>
  <c r="AZ26" i="16"/>
  <c r="AA26" i="1"/>
  <c r="AY26" i="16"/>
  <c r="Z26" i="1"/>
  <c r="AX26" i="16"/>
  <c r="Y26" i="1"/>
  <c r="AW26" i="16"/>
  <c r="X26" i="1"/>
  <c r="AV26" i="16"/>
  <c r="W26" i="1"/>
  <c r="AU26" i="16"/>
  <c r="V26" i="1"/>
  <c r="AT26" i="16"/>
  <c r="U26" i="1"/>
  <c r="AS26" i="16"/>
  <c r="T26" i="1"/>
  <c r="AR26" i="16"/>
  <c r="S26" i="1"/>
  <c r="AQ26" i="16"/>
  <c r="R26" i="1"/>
  <c r="AP26" i="16"/>
  <c r="Q26" i="1"/>
  <c r="AO26" i="16"/>
  <c r="P26" i="1"/>
  <c r="AN26" i="16"/>
  <c r="O26" i="1"/>
  <c r="AM26" i="16"/>
  <c r="N26" i="1"/>
  <c r="AL26" i="16"/>
  <c r="M26" i="1"/>
  <c r="AK26" i="16"/>
  <c r="L26" i="1"/>
  <c r="AJ26" i="16"/>
  <c r="K26" i="1"/>
  <c r="AI26" i="16"/>
  <c r="J26" i="1"/>
  <c r="AH26" i="16"/>
  <c r="I26" i="1"/>
  <c r="AG26" i="16"/>
  <c r="H26" i="1"/>
  <c r="AF26" i="16"/>
  <c r="G26" i="1"/>
  <c r="AE26" i="16"/>
  <c r="F26" i="1"/>
  <c r="AD26" i="16"/>
  <c r="E26" i="1"/>
  <c r="AC26" i="16"/>
  <c r="D26" i="1"/>
  <c r="AB26" i="16"/>
  <c r="C26" i="1"/>
  <c r="AS26" i="1"/>
  <c r="AR26" i="1"/>
  <c r="C26" i="3"/>
  <c r="BB26" i="24"/>
  <c r="D26" i="24"/>
  <c r="BO25" i="16"/>
  <c r="AP25" i="1"/>
  <c r="BN25" i="16"/>
  <c r="AO25" i="1"/>
  <c r="BM25" i="16"/>
  <c r="AN25" i="1"/>
  <c r="BL25" i="16"/>
  <c r="AM25" i="1"/>
  <c r="BK25" i="16"/>
  <c r="AL25" i="1"/>
  <c r="BJ25" i="16"/>
  <c r="AK25" i="1"/>
  <c r="BI25" i="16"/>
  <c r="AJ25" i="1"/>
  <c r="BH25" i="16"/>
  <c r="AI25" i="1"/>
  <c r="BG25" i="16"/>
  <c r="AH25" i="1"/>
  <c r="BF25" i="16"/>
  <c r="AG25" i="1"/>
  <c r="BE25" i="16"/>
  <c r="AF25" i="1"/>
  <c r="BD25" i="16"/>
  <c r="AE25" i="1"/>
  <c r="BC25" i="16"/>
  <c r="AD25" i="1"/>
  <c r="BB25" i="16"/>
  <c r="AC25" i="1"/>
  <c r="BA25" i="16"/>
  <c r="AB25" i="1"/>
  <c r="AZ25" i="16"/>
  <c r="AA25" i="1"/>
  <c r="AY25" i="16"/>
  <c r="Z25" i="1"/>
  <c r="AX25" i="16"/>
  <c r="Y25" i="1"/>
  <c r="AW25" i="16"/>
  <c r="X25" i="1"/>
  <c r="AV25" i="16"/>
  <c r="W25" i="1"/>
  <c r="AU25" i="16"/>
  <c r="V25" i="1"/>
  <c r="AT25" i="16"/>
  <c r="U25" i="1"/>
  <c r="AS25" i="16"/>
  <c r="T25" i="1"/>
  <c r="AR25" i="16"/>
  <c r="S25" i="1"/>
  <c r="AQ25" i="16"/>
  <c r="R25" i="1"/>
  <c r="AP25" i="16"/>
  <c r="Q25" i="1"/>
  <c r="AO25" i="16"/>
  <c r="P25" i="1"/>
  <c r="AN25" i="16"/>
  <c r="O25" i="1"/>
  <c r="AM25" i="16"/>
  <c r="N25" i="1"/>
  <c r="AL25" i="16"/>
  <c r="M25" i="1"/>
  <c r="AK25" i="16"/>
  <c r="L25" i="1"/>
  <c r="AJ25" i="16"/>
  <c r="K25" i="1"/>
  <c r="AI25" i="16"/>
  <c r="J25" i="1"/>
  <c r="AH25" i="16"/>
  <c r="I25" i="1"/>
  <c r="AG25" i="16"/>
  <c r="H25" i="1"/>
  <c r="AF25" i="16"/>
  <c r="G25" i="1"/>
  <c r="AE25" i="16"/>
  <c r="F25" i="1"/>
  <c r="AD25" i="16"/>
  <c r="E25" i="1"/>
  <c r="AC25" i="16"/>
  <c r="D25" i="1"/>
  <c r="AB25" i="16"/>
  <c r="C25" i="1"/>
  <c r="AS25" i="1"/>
  <c r="AR25" i="1"/>
  <c r="C25" i="3"/>
  <c r="BB25" i="24"/>
  <c r="D25" i="24"/>
  <c r="BO24" i="16"/>
  <c r="AP24" i="1"/>
  <c r="BN24" i="16"/>
  <c r="AO24" i="1"/>
  <c r="BM24" i="16"/>
  <c r="AN24" i="1"/>
  <c r="BL24" i="16"/>
  <c r="AM24" i="1"/>
  <c r="BK24" i="16"/>
  <c r="AL24" i="1"/>
  <c r="BJ24" i="16"/>
  <c r="AK24" i="1"/>
  <c r="BI24" i="16"/>
  <c r="AJ24" i="1"/>
  <c r="BH24" i="16"/>
  <c r="AI24" i="1"/>
  <c r="BG24" i="16"/>
  <c r="AH24" i="1"/>
  <c r="BF24" i="16"/>
  <c r="AG24" i="1"/>
  <c r="BE24" i="16"/>
  <c r="AF24" i="1"/>
  <c r="BD24" i="16"/>
  <c r="AE24" i="1"/>
  <c r="BC24" i="16"/>
  <c r="AD24" i="1"/>
  <c r="BB24" i="16"/>
  <c r="AC24" i="1"/>
  <c r="BA24" i="16"/>
  <c r="AB24" i="1"/>
  <c r="AZ24" i="16"/>
  <c r="AA24" i="1"/>
  <c r="AY24" i="16"/>
  <c r="Z24" i="1"/>
  <c r="AX24" i="16"/>
  <c r="Y24" i="1"/>
  <c r="AW24" i="16"/>
  <c r="X24" i="1"/>
  <c r="AV24" i="16"/>
  <c r="W24" i="1"/>
  <c r="AU24" i="16"/>
  <c r="V24" i="1"/>
  <c r="AT24" i="16"/>
  <c r="U24" i="1"/>
  <c r="AS24" i="16"/>
  <c r="T24" i="1"/>
  <c r="AR24" i="16"/>
  <c r="S24" i="1"/>
  <c r="AQ24" i="16"/>
  <c r="R24" i="1"/>
  <c r="AP24" i="16"/>
  <c r="Q24" i="1"/>
  <c r="AO24" i="16"/>
  <c r="P24" i="1"/>
  <c r="AN24" i="16"/>
  <c r="O24" i="1"/>
  <c r="AM24" i="16"/>
  <c r="N24" i="1"/>
  <c r="AL24" i="16"/>
  <c r="M24" i="1"/>
  <c r="AK24" i="16"/>
  <c r="L24" i="1"/>
  <c r="AJ24" i="16"/>
  <c r="K24" i="1"/>
  <c r="AI24" i="16"/>
  <c r="J24" i="1"/>
  <c r="AH24" i="16"/>
  <c r="I24" i="1"/>
  <c r="AG24" i="16"/>
  <c r="H24" i="1"/>
  <c r="AF24" i="16"/>
  <c r="G24" i="1"/>
  <c r="AE24" i="16"/>
  <c r="F24" i="1"/>
  <c r="AD24" i="16"/>
  <c r="E24" i="1"/>
  <c r="AC24" i="16"/>
  <c r="D24" i="1"/>
  <c r="AB24" i="16"/>
  <c r="C24" i="1"/>
  <c r="AS24" i="1"/>
  <c r="AR24" i="1"/>
  <c r="C24" i="3"/>
  <c r="BB24" i="24"/>
  <c r="D24" i="24"/>
  <c r="BO23" i="16"/>
  <c r="AP23" i="1"/>
  <c r="BN23" i="16"/>
  <c r="AO23" i="1"/>
  <c r="BM23" i="16"/>
  <c r="AN23" i="1"/>
  <c r="BL23" i="16"/>
  <c r="AM23" i="1"/>
  <c r="BK23" i="16"/>
  <c r="AL23" i="1"/>
  <c r="BJ23" i="16"/>
  <c r="AK23" i="1"/>
  <c r="BI23" i="16"/>
  <c r="AJ23" i="1"/>
  <c r="BH23" i="16"/>
  <c r="AI23" i="1"/>
  <c r="BG23" i="16"/>
  <c r="AH23" i="1"/>
  <c r="BF23" i="16"/>
  <c r="AG23" i="1"/>
  <c r="BE23" i="16"/>
  <c r="AF23" i="1"/>
  <c r="BD23" i="16"/>
  <c r="AE23" i="1"/>
  <c r="BC23" i="16"/>
  <c r="AD23" i="1"/>
  <c r="BB23" i="16"/>
  <c r="AC23" i="1"/>
  <c r="BA23" i="16"/>
  <c r="AB23" i="1"/>
  <c r="AZ23" i="16"/>
  <c r="AA23" i="1"/>
  <c r="AY23" i="16"/>
  <c r="Z23" i="1"/>
  <c r="AX23" i="16"/>
  <c r="Y23" i="1"/>
  <c r="AW23" i="16"/>
  <c r="X23" i="1"/>
  <c r="AV23" i="16"/>
  <c r="W23" i="1"/>
  <c r="AU23" i="16"/>
  <c r="V23" i="1"/>
  <c r="AT23" i="16"/>
  <c r="U23" i="1"/>
  <c r="AS23" i="16"/>
  <c r="T23" i="1"/>
  <c r="AR23" i="16"/>
  <c r="S23" i="1"/>
  <c r="AQ23" i="16"/>
  <c r="R23" i="1"/>
  <c r="AP23" i="16"/>
  <c r="Q23" i="1"/>
  <c r="AO23" i="16"/>
  <c r="P23" i="1"/>
  <c r="AN23" i="16"/>
  <c r="O23" i="1"/>
  <c r="AM23" i="16"/>
  <c r="N23" i="1"/>
  <c r="AL23" i="16"/>
  <c r="M23" i="1"/>
  <c r="AK23" i="16"/>
  <c r="L23" i="1"/>
  <c r="AJ23" i="16"/>
  <c r="K23" i="1"/>
  <c r="AI23" i="16"/>
  <c r="J23" i="1"/>
  <c r="AH23" i="16"/>
  <c r="I23" i="1"/>
  <c r="AG23" i="16"/>
  <c r="H23" i="1"/>
  <c r="AF23" i="16"/>
  <c r="G23" i="1"/>
  <c r="AE23" i="16"/>
  <c r="F23" i="1"/>
  <c r="AD23" i="16"/>
  <c r="E23" i="1"/>
  <c r="AC23" i="16"/>
  <c r="D23" i="1"/>
  <c r="AB23" i="16"/>
  <c r="C23" i="1"/>
  <c r="AS23" i="1"/>
  <c r="AR23" i="1"/>
  <c r="C23" i="3"/>
  <c r="BB23" i="24"/>
  <c r="D23" i="24"/>
  <c r="BO22" i="16"/>
  <c r="AP22" i="1"/>
  <c r="BN22" i="16"/>
  <c r="AO22" i="1"/>
  <c r="BM22" i="16"/>
  <c r="AN22" i="1"/>
  <c r="BL22" i="16"/>
  <c r="AM22" i="1"/>
  <c r="BK22" i="16"/>
  <c r="AL22" i="1"/>
  <c r="BJ22" i="16"/>
  <c r="AK22" i="1"/>
  <c r="BI22" i="16"/>
  <c r="AJ22" i="1"/>
  <c r="BH22" i="16"/>
  <c r="AI22" i="1"/>
  <c r="BG22" i="16"/>
  <c r="AH22" i="1"/>
  <c r="BF22" i="16"/>
  <c r="AG22" i="1"/>
  <c r="BE22" i="16"/>
  <c r="AF22" i="1"/>
  <c r="BD22" i="16"/>
  <c r="AE22" i="1"/>
  <c r="BC22" i="16"/>
  <c r="AD22" i="1"/>
  <c r="BB22" i="16"/>
  <c r="AC22" i="1"/>
  <c r="BA22" i="16"/>
  <c r="AB22" i="1"/>
  <c r="AZ22" i="16"/>
  <c r="AA22" i="1"/>
  <c r="AY22" i="16"/>
  <c r="Z22" i="1"/>
  <c r="AX22" i="16"/>
  <c r="Y22" i="1"/>
  <c r="AW22" i="16"/>
  <c r="X22" i="1"/>
  <c r="AV22" i="16"/>
  <c r="W22" i="1"/>
  <c r="AU22" i="16"/>
  <c r="V22" i="1"/>
  <c r="AT22" i="16"/>
  <c r="U22" i="1"/>
  <c r="AS22" i="16"/>
  <c r="T22" i="1"/>
  <c r="AR22" i="16"/>
  <c r="S22" i="1"/>
  <c r="AQ22" i="16"/>
  <c r="R22" i="1"/>
  <c r="AP22" i="16"/>
  <c r="Q22" i="1"/>
  <c r="AO22" i="16"/>
  <c r="P22" i="1"/>
  <c r="AN22" i="16"/>
  <c r="O22" i="1"/>
  <c r="AM22" i="16"/>
  <c r="N22" i="1"/>
  <c r="AL22" i="16"/>
  <c r="M22" i="1"/>
  <c r="AK22" i="16"/>
  <c r="L22" i="1"/>
  <c r="AJ22" i="16"/>
  <c r="K22" i="1"/>
  <c r="AI22" i="16"/>
  <c r="J22" i="1"/>
  <c r="AH22" i="16"/>
  <c r="I22" i="1"/>
  <c r="AG22" i="16"/>
  <c r="H22" i="1"/>
  <c r="AF22" i="16"/>
  <c r="G22" i="1"/>
  <c r="AE22" i="16"/>
  <c r="F22" i="1"/>
  <c r="AD22" i="16"/>
  <c r="E22" i="1"/>
  <c r="AC22" i="16"/>
  <c r="D22" i="1"/>
  <c r="AB22" i="16"/>
  <c r="C22" i="1"/>
  <c r="AS22" i="1"/>
  <c r="AR22" i="1"/>
  <c r="C22" i="3"/>
  <c r="BB22" i="24"/>
  <c r="D22" i="24"/>
  <c r="BO21" i="16"/>
  <c r="AP21" i="1"/>
  <c r="BN21" i="16"/>
  <c r="AO21" i="1"/>
  <c r="BM21" i="16"/>
  <c r="AN21" i="1"/>
  <c r="BL21" i="16"/>
  <c r="AM21" i="1"/>
  <c r="BK21" i="16"/>
  <c r="AL21" i="1"/>
  <c r="BJ21" i="16"/>
  <c r="AK21" i="1"/>
  <c r="BI21" i="16"/>
  <c r="AJ21" i="1"/>
  <c r="BH21" i="16"/>
  <c r="AI21" i="1"/>
  <c r="BG21" i="16"/>
  <c r="AH21" i="1"/>
  <c r="BF21" i="16"/>
  <c r="AG21" i="1"/>
  <c r="BE21" i="16"/>
  <c r="AF21" i="1"/>
  <c r="BD21" i="16"/>
  <c r="AE21" i="1"/>
  <c r="BC21" i="16"/>
  <c r="AD21" i="1"/>
  <c r="BB21" i="16"/>
  <c r="AC21" i="1"/>
  <c r="BA21" i="16"/>
  <c r="AB21" i="1"/>
  <c r="AZ21" i="16"/>
  <c r="AA21" i="1"/>
  <c r="AY21" i="16"/>
  <c r="Z21" i="1"/>
  <c r="AX21" i="16"/>
  <c r="Y21" i="1"/>
  <c r="AW21" i="16"/>
  <c r="X21" i="1"/>
  <c r="AV21" i="16"/>
  <c r="W21" i="1"/>
  <c r="AU21" i="16"/>
  <c r="V21" i="1"/>
  <c r="AT21" i="16"/>
  <c r="U21" i="1"/>
  <c r="AS21" i="16"/>
  <c r="T21" i="1"/>
  <c r="AR21" i="16"/>
  <c r="S21" i="1"/>
  <c r="AQ21" i="16"/>
  <c r="R21" i="1"/>
  <c r="AP21" i="16"/>
  <c r="Q21" i="1"/>
  <c r="AO21" i="16"/>
  <c r="P21" i="1"/>
  <c r="AN21" i="16"/>
  <c r="O21" i="1"/>
  <c r="AM21" i="16"/>
  <c r="N21" i="1"/>
  <c r="AL21" i="16"/>
  <c r="M21" i="1"/>
  <c r="AK21" i="16"/>
  <c r="L21" i="1"/>
  <c r="AJ21" i="16"/>
  <c r="K21" i="1"/>
  <c r="AI21" i="16"/>
  <c r="J21" i="1"/>
  <c r="AH21" i="16"/>
  <c r="I21" i="1"/>
  <c r="AG21" i="16"/>
  <c r="H21" i="1"/>
  <c r="AF21" i="16"/>
  <c r="G21" i="1"/>
  <c r="AE21" i="16"/>
  <c r="F21" i="1"/>
  <c r="AD21" i="16"/>
  <c r="E21" i="1"/>
  <c r="AC21" i="16"/>
  <c r="D21" i="1"/>
  <c r="AB21" i="16"/>
  <c r="C21" i="1"/>
  <c r="AS21" i="1"/>
  <c r="AR21" i="1"/>
  <c r="C21" i="3"/>
  <c r="BB21" i="24"/>
  <c r="D21" i="24"/>
  <c r="BO20" i="16"/>
  <c r="AP20" i="1"/>
  <c r="BN20" i="16"/>
  <c r="AO20" i="1"/>
  <c r="BM20" i="16"/>
  <c r="AN20" i="1"/>
  <c r="BL20" i="16"/>
  <c r="AM20" i="1"/>
  <c r="BK20" i="16"/>
  <c r="AL20" i="1"/>
  <c r="BJ20" i="16"/>
  <c r="AK20" i="1"/>
  <c r="BI20" i="16"/>
  <c r="AJ20" i="1"/>
  <c r="BH20" i="16"/>
  <c r="AI20" i="1"/>
  <c r="BG20" i="16"/>
  <c r="AH20" i="1"/>
  <c r="BF20" i="16"/>
  <c r="AG20" i="1"/>
  <c r="BE20" i="16"/>
  <c r="AF20" i="1"/>
  <c r="BD20" i="16"/>
  <c r="AE20" i="1"/>
  <c r="BC20" i="16"/>
  <c r="AD20" i="1"/>
  <c r="BB20" i="16"/>
  <c r="AC20" i="1"/>
  <c r="BA20" i="16"/>
  <c r="AB20" i="1"/>
  <c r="AZ20" i="16"/>
  <c r="AA20" i="1"/>
  <c r="AY20" i="16"/>
  <c r="Z20" i="1"/>
  <c r="AX20" i="16"/>
  <c r="Y20" i="1"/>
  <c r="AW20" i="16"/>
  <c r="X20" i="1"/>
  <c r="AV20" i="16"/>
  <c r="W20" i="1"/>
  <c r="AU20" i="16"/>
  <c r="V20" i="1"/>
  <c r="AT20" i="16"/>
  <c r="U20" i="1"/>
  <c r="AS20" i="16"/>
  <c r="T20" i="1"/>
  <c r="AR20" i="16"/>
  <c r="S20" i="1"/>
  <c r="AQ20" i="16"/>
  <c r="R20" i="1"/>
  <c r="AP20" i="16"/>
  <c r="Q20" i="1"/>
  <c r="AO20" i="16"/>
  <c r="P20" i="1"/>
  <c r="AN20" i="16"/>
  <c r="O20" i="1"/>
  <c r="AM20" i="16"/>
  <c r="N20" i="1"/>
  <c r="AL20" i="16"/>
  <c r="M20" i="1"/>
  <c r="AK20" i="16"/>
  <c r="L20" i="1"/>
  <c r="AJ20" i="16"/>
  <c r="K20" i="1"/>
  <c r="AI20" i="16"/>
  <c r="J20" i="1"/>
  <c r="AH20" i="16"/>
  <c r="I20" i="1"/>
  <c r="AG20" i="16"/>
  <c r="H20" i="1"/>
  <c r="AF20" i="16"/>
  <c r="G20" i="1"/>
  <c r="AE20" i="16"/>
  <c r="F20" i="1"/>
  <c r="AD20" i="16"/>
  <c r="E20" i="1"/>
  <c r="AC20" i="16"/>
  <c r="D20" i="1"/>
  <c r="AB20" i="16"/>
  <c r="C20" i="1"/>
  <c r="AS20" i="1"/>
  <c r="AR20" i="1"/>
  <c r="C20" i="3"/>
  <c r="BB20" i="24"/>
  <c r="D20" i="24"/>
  <c r="BO19" i="16"/>
  <c r="AP19" i="1"/>
  <c r="BN19" i="16"/>
  <c r="AO19" i="1"/>
  <c r="BM19" i="16"/>
  <c r="AN19" i="1"/>
  <c r="BL19" i="16"/>
  <c r="AM19" i="1"/>
  <c r="BK19" i="16"/>
  <c r="AL19" i="1"/>
  <c r="BJ19" i="16"/>
  <c r="AK19" i="1"/>
  <c r="BI19" i="16"/>
  <c r="AJ19" i="1"/>
  <c r="BH19" i="16"/>
  <c r="AI19" i="1"/>
  <c r="BG19" i="16"/>
  <c r="AH19" i="1"/>
  <c r="BF19" i="16"/>
  <c r="AG19" i="1"/>
  <c r="BE19" i="16"/>
  <c r="AF19" i="1"/>
  <c r="BD19" i="16"/>
  <c r="AE19" i="1"/>
  <c r="BC19" i="16"/>
  <c r="AD19" i="1"/>
  <c r="BB19" i="16"/>
  <c r="AC19" i="1"/>
  <c r="BA19" i="16"/>
  <c r="AB19" i="1"/>
  <c r="AZ19" i="16"/>
  <c r="AA19" i="1"/>
  <c r="AY19" i="16"/>
  <c r="Z19" i="1"/>
  <c r="AX19" i="16"/>
  <c r="Y19" i="1"/>
  <c r="AW19" i="16"/>
  <c r="X19" i="1"/>
  <c r="AV19" i="16"/>
  <c r="W19" i="1"/>
  <c r="AU19" i="16"/>
  <c r="V19" i="1"/>
  <c r="AT19" i="16"/>
  <c r="U19" i="1"/>
  <c r="AS19" i="16"/>
  <c r="T19" i="1"/>
  <c r="AR19" i="16"/>
  <c r="S19" i="1"/>
  <c r="AQ19" i="16"/>
  <c r="R19" i="1"/>
  <c r="AP19" i="16"/>
  <c r="Q19" i="1"/>
  <c r="AO19" i="16"/>
  <c r="P19" i="1"/>
  <c r="AN19" i="16"/>
  <c r="O19" i="1"/>
  <c r="AM19" i="16"/>
  <c r="N19" i="1"/>
  <c r="AL19" i="16"/>
  <c r="M19" i="1"/>
  <c r="AK19" i="16"/>
  <c r="L19" i="1"/>
  <c r="AJ19" i="16"/>
  <c r="K19" i="1"/>
  <c r="AI19" i="16"/>
  <c r="J19" i="1"/>
  <c r="AH19" i="16"/>
  <c r="I19" i="1"/>
  <c r="AG19" i="16"/>
  <c r="H19" i="1"/>
  <c r="AF19" i="16"/>
  <c r="G19" i="1"/>
  <c r="AE19" i="16"/>
  <c r="F19" i="1"/>
  <c r="AD19" i="16"/>
  <c r="E19" i="1"/>
  <c r="AC19" i="16"/>
  <c r="D19" i="1"/>
  <c r="AB19" i="16"/>
  <c r="C19" i="1"/>
  <c r="AS19" i="1"/>
  <c r="AR19" i="1"/>
  <c r="C19" i="3"/>
  <c r="BB19" i="24"/>
  <c r="D19" i="24"/>
  <c r="BO18" i="16"/>
  <c r="AP18" i="1"/>
  <c r="BN18" i="16"/>
  <c r="AO18" i="1"/>
  <c r="BM18" i="16"/>
  <c r="AN18" i="1"/>
  <c r="BL18" i="16"/>
  <c r="AM18" i="1"/>
  <c r="BK18" i="16"/>
  <c r="AL18" i="1"/>
  <c r="BJ18" i="16"/>
  <c r="AK18" i="1"/>
  <c r="BI18" i="16"/>
  <c r="AJ18" i="1"/>
  <c r="BH18" i="16"/>
  <c r="AI18" i="1"/>
  <c r="BG18" i="16"/>
  <c r="AH18" i="1"/>
  <c r="BF18" i="16"/>
  <c r="AG18" i="1"/>
  <c r="BE18" i="16"/>
  <c r="AF18" i="1"/>
  <c r="BD18" i="16"/>
  <c r="AE18" i="1"/>
  <c r="BC18" i="16"/>
  <c r="AD18" i="1"/>
  <c r="BB18" i="16"/>
  <c r="AC18" i="1"/>
  <c r="BA18" i="16"/>
  <c r="AB18" i="1"/>
  <c r="AZ18" i="16"/>
  <c r="AA18" i="1"/>
  <c r="AY18" i="16"/>
  <c r="Z18" i="1"/>
  <c r="AX18" i="16"/>
  <c r="Y18" i="1"/>
  <c r="AW18" i="16"/>
  <c r="X18" i="1"/>
  <c r="AV18" i="16"/>
  <c r="W18" i="1"/>
  <c r="AU18" i="16"/>
  <c r="V18" i="1"/>
  <c r="AT18" i="16"/>
  <c r="U18" i="1"/>
  <c r="AS18" i="16"/>
  <c r="T18" i="1"/>
  <c r="AR18" i="16"/>
  <c r="S18" i="1"/>
  <c r="AQ18" i="16"/>
  <c r="R18" i="1"/>
  <c r="AP18" i="16"/>
  <c r="Q18" i="1"/>
  <c r="AO18" i="16"/>
  <c r="P18" i="1"/>
  <c r="AN18" i="16"/>
  <c r="O18" i="1"/>
  <c r="AM18" i="16"/>
  <c r="N18" i="1"/>
  <c r="AL18" i="16"/>
  <c r="M18" i="1"/>
  <c r="AK18" i="16"/>
  <c r="L18" i="1"/>
  <c r="AJ18" i="16"/>
  <c r="K18" i="1"/>
  <c r="AI18" i="16"/>
  <c r="J18" i="1"/>
  <c r="AH18" i="16"/>
  <c r="I18" i="1"/>
  <c r="AG18" i="16"/>
  <c r="H18" i="1"/>
  <c r="AF18" i="16"/>
  <c r="G18" i="1"/>
  <c r="AE18" i="16"/>
  <c r="F18" i="1"/>
  <c r="AD18" i="16"/>
  <c r="E18" i="1"/>
  <c r="AC18" i="16"/>
  <c r="D18" i="1"/>
  <c r="AB18" i="16"/>
  <c r="C18" i="1"/>
  <c r="AS18" i="1"/>
  <c r="AR18" i="1"/>
  <c r="C18" i="3"/>
  <c r="BB18" i="24"/>
  <c r="D18" i="24"/>
  <c r="BO17" i="16"/>
  <c r="AP17" i="1"/>
  <c r="BN17" i="16"/>
  <c r="AO17" i="1"/>
  <c r="BM17" i="16"/>
  <c r="AN17" i="1"/>
  <c r="BL17" i="16"/>
  <c r="AM17" i="1"/>
  <c r="BK17" i="16"/>
  <c r="AL17" i="1"/>
  <c r="BJ17" i="16"/>
  <c r="AK17" i="1"/>
  <c r="BI17" i="16"/>
  <c r="AJ17" i="1"/>
  <c r="BH17" i="16"/>
  <c r="AI17" i="1"/>
  <c r="BG17" i="16"/>
  <c r="AH17" i="1"/>
  <c r="BF17" i="16"/>
  <c r="AG17" i="1"/>
  <c r="BE17" i="16"/>
  <c r="AF17" i="1"/>
  <c r="BD17" i="16"/>
  <c r="AE17" i="1"/>
  <c r="BC17" i="16"/>
  <c r="AD17" i="1"/>
  <c r="BB17" i="16"/>
  <c r="AC17" i="1"/>
  <c r="BA17" i="16"/>
  <c r="AB17" i="1"/>
  <c r="AZ17" i="16"/>
  <c r="AA17" i="1"/>
  <c r="AY17" i="16"/>
  <c r="Z17" i="1"/>
  <c r="AX17" i="16"/>
  <c r="Y17" i="1"/>
  <c r="AW17" i="16"/>
  <c r="X17" i="1"/>
  <c r="AV17" i="16"/>
  <c r="W17" i="1"/>
  <c r="AU17" i="16"/>
  <c r="V17" i="1"/>
  <c r="AT17" i="16"/>
  <c r="U17" i="1"/>
  <c r="AS17" i="16"/>
  <c r="T17" i="1"/>
  <c r="AR17" i="16"/>
  <c r="S17" i="1"/>
  <c r="AQ17" i="16"/>
  <c r="R17" i="1"/>
  <c r="AP17" i="16"/>
  <c r="Q17" i="1"/>
  <c r="AO17" i="16"/>
  <c r="P17" i="1"/>
  <c r="AN17" i="16"/>
  <c r="O17" i="1"/>
  <c r="AM17" i="16"/>
  <c r="N17" i="1"/>
  <c r="AL17" i="16"/>
  <c r="M17" i="1"/>
  <c r="AK17" i="16"/>
  <c r="L17" i="1"/>
  <c r="AJ17" i="16"/>
  <c r="K17" i="1"/>
  <c r="AI17" i="16"/>
  <c r="J17" i="1"/>
  <c r="AH17" i="16"/>
  <c r="I17" i="1"/>
  <c r="AG17" i="16"/>
  <c r="H17" i="1"/>
  <c r="AF17" i="16"/>
  <c r="G17" i="1"/>
  <c r="AE17" i="16"/>
  <c r="F17" i="1"/>
  <c r="AD17" i="16"/>
  <c r="E17" i="1"/>
  <c r="AC17" i="16"/>
  <c r="D17" i="1"/>
  <c r="AB17" i="16"/>
  <c r="C17" i="1"/>
  <c r="AS17" i="1"/>
  <c r="AR17" i="1"/>
  <c r="C17" i="3"/>
  <c r="BB17" i="24"/>
  <c r="D17" i="24"/>
  <c r="BO16" i="16"/>
  <c r="AP16" i="1"/>
  <c r="BN16" i="16"/>
  <c r="AO16" i="1"/>
  <c r="BM16" i="16"/>
  <c r="AN16" i="1"/>
  <c r="BL16" i="16"/>
  <c r="AM16" i="1"/>
  <c r="BK16" i="16"/>
  <c r="AL16" i="1"/>
  <c r="BJ16" i="16"/>
  <c r="AK16" i="1"/>
  <c r="BI16" i="16"/>
  <c r="AJ16" i="1"/>
  <c r="BH16" i="16"/>
  <c r="AI16" i="1"/>
  <c r="BG16" i="16"/>
  <c r="AH16" i="1"/>
  <c r="BF16" i="16"/>
  <c r="AG16" i="1"/>
  <c r="BE16" i="16"/>
  <c r="AF16" i="1"/>
  <c r="BD16" i="16"/>
  <c r="AE16" i="1"/>
  <c r="BC16" i="16"/>
  <c r="AD16" i="1"/>
  <c r="BB16" i="16"/>
  <c r="AC16" i="1"/>
  <c r="BA16" i="16"/>
  <c r="AB16" i="1"/>
  <c r="AZ16" i="16"/>
  <c r="AA16" i="1"/>
  <c r="AY16" i="16"/>
  <c r="Z16" i="1"/>
  <c r="AX16" i="16"/>
  <c r="Y16" i="1"/>
  <c r="AW16" i="16"/>
  <c r="X16" i="1"/>
  <c r="AV16" i="16"/>
  <c r="W16" i="1"/>
  <c r="AU16" i="16"/>
  <c r="V16" i="1"/>
  <c r="AT16" i="16"/>
  <c r="U16" i="1"/>
  <c r="AS16" i="16"/>
  <c r="T16" i="1"/>
  <c r="AR16" i="16"/>
  <c r="S16" i="1"/>
  <c r="AQ16" i="16"/>
  <c r="R16" i="1"/>
  <c r="AP16" i="16"/>
  <c r="Q16" i="1"/>
  <c r="AO16" i="16"/>
  <c r="P16" i="1"/>
  <c r="AN16" i="16"/>
  <c r="O16" i="1"/>
  <c r="AM16" i="16"/>
  <c r="N16" i="1"/>
  <c r="AL16" i="16"/>
  <c r="M16" i="1"/>
  <c r="AK16" i="16"/>
  <c r="L16" i="1"/>
  <c r="AJ16" i="16"/>
  <c r="K16" i="1"/>
  <c r="AI16" i="16"/>
  <c r="J16" i="1"/>
  <c r="AH16" i="16"/>
  <c r="I16" i="1"/>
  <c r="AG16" i="16"/>
  <c r="H16" i="1"/>
  <c r="AF16" i="16"/>
  <c r="G16" i="1"/>
  <c r="AE16" i="16"/>
  <c r="F16" i="1"/>
  <c r="AD16" i="16"/>
  <c r="E16" i="1"/>
  <c r="AC16" i="16"/>
  <c r="D16" i="1"/>
  <c r="AB16" i="16"/>
  <c r="C16" i="1"/>
  <c r="AS16" i="1"/>
  <c r="AR16" i="1"/>
  <c r="C16" i="3"/>
  <c r="BB16" i="24"/>
  <c r="D16" i="24"/>
  <c r="BO15" i="16"/>
  <c r="AP15" i="1"/>
  <c r="BN15" i="16"/>
  <c r="AO15" i="1"/>
  <c r="BM15" i="16"/>
  <c r="AN15" i="1"/>
  <c r="BL15" i="16"/>
  <c r="AM15" i="1"/>
  <c r="BK15" i="16"/>
  <c r="AL15" i="1"/>
  <c r="BJ15" i="16"/>
  <c r="AK15" i="1"/>
  <c r="BI15" i="16"/>
  <c r="AJ15" i="1"/>
  <c r="BH15" i="16"/>
  <c r="AI15" i="1"/>
  <c r="BG15" i="16"/>
  <c r="AH15" i="1"/>
  <c r="BF15" i="16"/>
  <c r="AG15" i="1"/>
  <c r="BE15" i="16"/>
  <c r="AF15" i="1"/>
  <c r="BD15" i="16"/>
  <c r="AE15" i="1"/>
  <c r="BC15" i="16"/>
  <c r="AD15" i="1"/>
  <c r="BB15" i="16"/>
  <c r="AC15" i="1"/>
  <c r="BA15" i="16"/>
  <c r="AB15" i="1"/>
  <c r="AZ15" i="16"/>
  <c r="AA15" i="1"/>
  <c r="AY15" i="16"/>
  <c r="Z15" i="1"/>
  <c r="AX15" i="16"/>
  <c r="Y15" i="1"/>
  <c r="AW15" i="16"/>
  <c r="X15" i="1"/>
  <c r="AV15" i="16"/>
  <c r="W15" i="1"/>
  <c r="AU15" i="16"/>
  <c r="V15" i="1"/>
  <c r="AT15" i="16"/>
  <c r="U15" i="1"/>
  <c r="AS15" i="16"/>
  <c r="T15" i="1"/>
  <c r="AR15" i="16"/>
  <c r="S15" i="1"/>
  <c r="AQ15" i="16"/>
  <c r="R15" i="1"/>
  <c r="AP15" i="16"/>
  <c r="Q15" i="1"/>
  <c r="AO15" i="16"/>
  <c r="P15" i="1"/>
  <c r="AN15" i="16"/>
  <c r="O15" i="1"/>
  <c r="AM15" i="16"/>
  <c r="N15" i="1"/>
  <c r="AL15" i="16"/>
  <c r="M15" i="1"/>
  <c r="AK15" i="16"/>
  <c r="L15" i="1"/>
  <c r="AJ15" i="16"/>
  <c r="K15" i="1"/>
  <c r="AI15" i="16"/>
  <c r="J15" i="1"/>
  <c r="AH15" i="16"/>
  <c r="I15" i="1"/>
  <c r="AG15" i="16"/>
  <c r="H15" i="1"/>
  <c r="AF15" i="16"/>
  <c r="G15" i="1"/>
  <c r="AE15" i="16"/>
  <c r="F15" i="1"/>
  <c r="AD15" i="16"/>
  <c r="E15" i="1"/>
  <c r="AC15" i="16"/>
  <c r="D15" i="1"/>
  <c r="AB15" i="16"/>
  <c r="C15" i="1"/>
  <c r="AS15" i="1"/>
  <c r="AR15" i="1"/>
  <c r="C15" i="3"/>
  <c r="BB15" i="24"/>
  <c r="D15" i="24"/>
  <c r="BO14" i="16"/>
  <c r="AP14" i="1"/>
  <c r="BN14" i="16"/>
  <c r="AO14" i="1"/>
  <c r="BM14" i="16"/>
  <c r="AN14" i="1"/>
  <c r="BL14" i="16"/>
  <c r="AM14" i="1"/>
  <c r="BK14" i="16"/>
  <c r="AL14" i="1"/>
  <c r="BJ14" i="16"/>
  <c r="AK14" i="1"/>
  <c r="BI14" i="16"/>
  <c r="AJ14" i="1"/>
  <c r="BH14" i="16"/>
  <c r="AI14" i="1"/>
  <c r="BG14" i="16"/>
  <c r="AH14" i="1"/>
  <c r="BF14" i="16"/>
  <c r="AG14" i="1"/>
  <c r="BE14" i="16"/>
  <c r="AF14" i="1"/>
  <c r="BD14" i="16"/>
  <c r="AE14" i="1"/>
  <c r="BC14" i="16"/>
  <c r="AD14" i="1"/>
  <c r="BB14" i="16"/>
  <c r="AC14" i="1"/>
  <c r="BA14" i="16"/>
  <c r="AB14" i="1"/>
  <c r="AZ14" i="16"/>
  <c r="AA14" i="1"/>
  <c r="AY14" i="16"/>
  <c r="Z14" i="1"/>
  <c r="AX14" i="16"/>
  <c r="Y14" i="1"/>
  <c r="AW14" i="16"/>
  <c r="X14" i="1"/>
  <c r="AV14" i="16"/>
  <c r="W14" i="1"/>
  <c r="AU14" i="16"/>
  <c r="V14" i="1"/>
  <c r="AT14" i="16"/>
  <c r="U14" i="1"/>
  <c r="AS14" i="16"/>
  <c r="T14" i="1"/>
  <c r="AR14" i="16"/>
  <c r="S14" i="1"/>
  <c r="AQ14" i="16"/>
  <c r="R14" i="1"/>
  <c r="AP14" i="16"/>
  <c r="Q14" i="1"/>
  <c r="AO14" i="16"/>
  <c r="P14" i="1"/>
  <c r="AN14" i="16"/>
  <c r="O14" i="1"/>
  <c r="AM14" i="16"/>
  <c r="N14" i="1"/>
  <c r="AL14" i="16"/>
  <c r="M14" i="1"/>
  <c r="AK14" i="16"/>
  <c r="L14" i="1"/>
  <c r="AJ14" i="16"/>
  <c r="K14" i="1"/>
  <c r="AI14" i="16"/>
  <c r="J14" i="1"/>
  <c r="AH14" i="16"/>
  <c r="I14" i="1"/>
  <c r="AG14" i="16"/>
  <c r="H14" i="1"/>
  <c r="AF14" i="16"/>
  <c r="G14" i="1"/>
  <c r="AE14" i="16"/>
  <c r="F14" i="1"/>
  <c r="AD14" i="16"/>
  <c r="E14" i="1"/>
  <c r="AC14" i="16"/>
  <c r="D14" i="1"/>
  <c r="AB14" i="16"/>
  <c r="C14" i="1"/>
  <c r="AS14" i="1"/>
  <c r="AR14" i="1"/>
  <c r="C14" i="3"/>
  <c r="BB14" i="24"/>
  <c r="D14" i="24"/>
  <c r="BO13" i="16"/>
  <c r="AP13" i="1"/>
  <c r="BN13" i="16"/>
  <c r="AO13" i="1"/>
  <c r="BM13" i="16"/>
  <c r="AN13" i="1"/>
  <c r="BL13" i="16"/>
  <c r="AM13" i="1"/>
  <c r="BK13" i="16"/>
  <c r="AL13" i="1"/>
  <c r="BJ13" i="16"/>
  <c r="AK13" i="1"/>
  <c r="BI13" i="16"/>
  <c r="AJ13" i="1"/>
  <c r="BH13" i="16"/>
  <c r="AI13" i="1"/>
  <c r="BG13" i="16"/>
  <c r="AH13" i="1"/>
  <c r="BF13" i="16"/>
  <c r="AG13" i="1"/>
  <c r="BE13" i="16"/>
  <c r="AF13" i="1"/>
  <c r="BD13" i="16"/>
  <c r="AE13" i="1"/>
  <c r="BC13" i="16"/>
  <c r="AD13" i="1"/>
  <c r="BB13" i="16"/>
  <c r="AC13" i="1"/>
  <c r="BA13" i="16"/>
  <c r="AB13" i="1"/>
  <c r="AZ13" i="16"/>
  <c r="AA13" i="1"/>
  <c r="AY13" i="16"/>
  <c r="Z13" i="1"/>
  <c r="AX13" i="16"/>
  <c r="Y13" i="1"/>
  <c r="AW13" i="16"/>
  <c r="X13" i="1"/>
  <c r="AV13" i="16"/>
  <c r="W13" i="1"/>
  <c r="AU13" i="16"/>
  <c r="V13" i="1"/>
  <c r="AT13" i="16"/>
  <c r="U13" i="1"/>
  <c r="AS13" i="16"/>
  <c r="T13" i="1"/>
  <c r="AR13" i="16"/>
  <c r="S13" i="1"/>
  <c r="AQ13" i="16"/>
  <c r="R13" i="1"/>
  <c r="AP13" i="16"/>
  <c r="Q13" i="1"/>
  <c r="AO13" i="16"/>
  <c r="P13" i="1"/>
  <c r="AN13" i="16"/>
  <c r="O13" i="1"/>
  <c r="AM13" i="16"/>
  <c r="N13" i="1"/>
  <c r="AL13" i="16"/>
  <c r="M13" i="1"/>
  <c r="AK13" i="16"/>
  <c r="L13" i="1"/>
  <c r="AJ13" i="16"/>
  <c r="K13" i="1"/>
  <c r="AI13" i="16"/>
  <c r="J13" i="1"/>
  <c r="AH13" i="16"/>
  <c r="I13" i="1"/>
  <c r="AG13" i="16"/>
  <c r="H13" i="1"/>
  <c r="AF13" i="16"/>
  <c r="G13" i="1"/>
  <c r="AE13" i="16"/>
  <c r="F13" i="1"/>
  <c r="AD13" i="16"/>
  <c r="E13" i="1"/>
  <c r="AC13" i="16"/>
  <c r="D13" i="1"/>
  <c r="AB13" i="16"/>
  <c r="C13" i="1"/>
  <c r="AS13" i="1"/>
  <c r="AR13" i="1"/>
  <c r="C13" i="3"/>
  <c r="BB13" i="24"/>
  <c r="D13" i="24"/>
  <c r="BO12" i="16"/>
  <c r="AP12" i="1"/>
  <c r="BN12" i="16"/>
  <c r="AO12" i="1"/>
  <c r="BM12" i="16"/>
  <c r="AN12" i="1"/>
  <c r="BL12" i="16"/>
  <c r="AM12" i="1"/>
  <c r="BK12" i="16"/>
  <c r="AL12" i="1"/>
  <c r="BJ12" i="16"/>
  <c r="AK12" i="1"/>
  <c r="BI12" i="16"/>
  <c r="AJ12" i="1"/>
  <c r="BH12" i="16"/>
  <c r="AI12" i="1"/>
  <c r="BG12" i="16"/>
  <c r="AH12" i="1"/>
  <c r="BF12" i="16"/>
  <c r="AG12" i="1"/>
  <c r="BE12" i="16"/>
  <c r="AF12" i="1"/>
  <c r="BD12" i="16"/>
  <c r="AE12" i="1"/>
  <c r="BC12" i="16"/>
  <c r="AD12" i="1"/>
  <c r="BB12" i="16"/>
  <c r="AC12" i="1"/>
  <c r="BA12" i="16"/>
  <c r="AB12" i="1"/>
  <c r="AZ12" i="16"/>
  <c r="AA12" i="1"/>
  <c r="AY12" i="16"/>
  <c r="Z12" i="1"/>
  <c r="AX12" i="16"/>
  <c r="Y12" i="1"/>
  <c r="AW12" i="16"/>
  <c r="X12" i="1"/>
  <c r="AV12" i="16"/>
  <c r="W12" i="1"/>
  <c r="AU12" i="16"/>
  <c r="V12" i="1"/>
  <c r="AT12" i="16"/>
  <c r="U12" i="1"/>
  <c r="AS12" i="16"/>
  <c r="T12" i="1"/>
  <c r="AR12" i="16"/>
  <c r="S12" i="1"/>
  <c r="AQ12" i="16"/>
  <c r="R12" i="1"/>
  <c r="AP12" i="16"/>
  <c r="Q12" i="1"/>
  <c r="AO12" i="16"/>
  <c r="P12" i="1"/>
  <c r="AN12" i="16"/>
  <c r="O12" i="1"/>
  <c r="AM12" i="16"/>
  <c r="N12" i="1"/>
  <c r="AL12" i="16"/>
  <c r="M12" i="1"/>
  <c r="AK12" i="16"/>
  <c r="L12" i="1"/>
  <c r="AJ12" i="16"/>
  <c r="K12" i="1"/>
  <c r="AI12" i="16"/>
  <c r="J12" i="1"/>
  <c r="AH12" i="16"/>
  <c r="I12" i="1"/>
  <c r="AG12" i="16"/>
  <c r="H12" i="1"/>
  <c r="AF12" i="16"/>
  <c r="G12" i="1"/>
  <c r="AE12" i="16"/>
  <c r="F12" i="1"/>
  <c r="AD12" i="16"/>
  <c r="E12" i="1"/>
  <c r="AC12" i="16"/>
  <c r="D12" i="1"/>
  <c r="AB12" i="16"/>
  <c r="C12" i="1"/>
  <c r="AS12" i="1"/>
  <c r="AR12" i="1"/>
  <c r="C12" i="3"/>
  <c r="BB12" i="24"/>
  <c r="D12" i="24"/>
  <c r="AP11" i="1"/>
  <c r="AO11" i="1"/>
  <c r="AN11" i="1"/>
  <c r="AM11" i="1"/>
  <c r="AL11" i="1"/>
  <c r="AK11" i="1"/>
  <c r="AJ11" i="1"/>
  <c r="AI11" i="1"/>
  <c r="AH11" i="1"/>
  <c r="AG11" i="1"/>
  <c r="AF11" i="1"/>
  <c r="AE11" i="1"/>
  <c r="AD11" i="1"/>
  <c r="AC11" i="1"/>
  <c r="AB11" i="1"/>
  <c r="AA11" i="1"/>
  <c r="Z11" i="1"/>
  <c r="Y11" i="1"/>
  <c r="X11" i="1"/>
  <c r="W11" i="1"/>
  <c r="V11" i="1"/>
  <c r="U11" i="1"/>
  <c r="T11" i="1"/>
  <c r="S11" i="1"/>
  <c r="R11" i="1"/>
  <c r="Q11" i="1"/>
  <c r="P11" i="1"/>
  <c r="O11" i="1"/>
  <c r="N11" i="1"/>
  <c r="M11" i="1"/>
  <c r="L11" i="1"/>
  <c r="K11" i="1"/>
  <c r="J11" i="1"/>
  <c r="I11" i="1"/>
  <c r="H11" i="1"/>
  <c r="G11" i="1"/>
  <c r="F11" i="1"/>
  <c r="E11" i="1"/>
  <c r="D11" i="1"/>
  <c r="C11" i="1"/>
  <c r="AS11" i="1"/>
  <c r="AR11" i="1"/>
  <c r="C11" i="3"/>
  <c r="BB11" i="24"/>
  <c r="D11" i="24"/>
  <c r="N4" i="16"/>
  <c r="O4" i="16"/>
  <c r="A7" i="1"/>
  <c r="A263" i="7"/>
  <c r="A133" i="7"/>
  <c r="A147" i="7"/>
  <c r="A1055" i="10"/>
  <c r="A703" i="10"/>
  <c r="A482" i="10"/>
  <c r="A664" i="10"/>
  <c r="A1012" i="10"/>
  <c r="A1222" i="10"/>
  <c r="A1139" i="10"/>
  <c r="A1184" i="10"/>
  <c r="A1203" i="10"/>
  <c r="A786" i="10"/>
  <c r="A466" i="10"/>
  <c r="A686" i="10"/>
  <c r="A502" i="10"/>
  <c r="A997" i="10"/>
  <c r="A1220" i="11"/>
  <c r="A1168" i="11"/>
  <c r="BH11" i="11"/>
  <c r="BL11" i="11"/>
  <c r="BM11" i="11"/>
  <c r="BN11" i="11"/>
  <c r="BQ11" i="11"/>
  <c r="BR11" i="11"/>
  <c r="BS11" i="11"/>
  <c r="BT11" i="11"/>
  <c r="BU11" i="11"/>
  <c r="BX11" i="11"/>
  <c r="BH12" i="11"/>
  <c r="BL12" i="11"/>
  <c r="BM12" i="11"/>
  <c r="BN12" i="11"/>
  <c r="BQ12" i="11"/>
  <c r="BR12" i="11"/>
  <c r="BS12" i="11"/>
  <c r="BT12" i="11"/>
  <c r="BU12" i="11"/>
  <c r="BX12" i="11"/>
  <c r="BH13" i="11"/>
  <c r="BL13" i="11"/>
  <c r="BM13" i="11"/>
  <c r="BN13" i="11"/>
  <c r="BQ13" i="11"/>
  <c r="BR13" i="11"/>
  <c r="BS13" i="11"/>
  <c r="BT13" i="11"/>
  <c r="BU13" i="11"/>
  <c r="BX13" i="11"/>
  <c r="BH14" i="11"/>
  <c r="BL14" i="11"/>
  <c r="BQ14" i="11"/>
  <c r="BR14" i="11"/>
  <c r="BS14" i="11"/>
  <c r="BT14" i="11"/>
  <c r="BU14" i="11"/>
  <c r="BH15" i="11"/>
  <c r="BL15" i="11"/>
  <c r="BM15" i="11"/>
  <c r="BN15" i="11"/>
  <c r="BQ15" i="11"/>
  <c r="BR15" i="11"/>
  <c r="BS15" i="11"/>
  <c r="BT15" i="11"/>
  <c r="BU15" i="11"/>
  <c r="BX15" i="11"/>
  <c r="BH16" i="11"/>
  <c r="BL16" i="11"/>
  <c r="BM16" i="11"/>
  <c r="BN16" i="11"/>
  <c r="BQ16" i="11"/>
  <c r="BR16" i="11"/>
  <c r="BS16" i="11"/>
  <c r="BT16" i="11"/>
  <c r="BU16" i="11"/>
  <c r="BX16" i="11"/>
  <c r="BH17" i="11"/>
  <c r="BL17" i="11"/>
  <c r="BQ17" i="11"/>
  <c r="BR17" i="11"/>
  <c r="BS17" i="11"/>
  <c r="BT17" i="11"/>
  <c r="BU17" i="11"/>
  <c r="BH18" i="11"/>
  <c r="BL18" i="11"/>
  <c r="BM18" i="11"/>
  <c r="BN18" i="11"/>
  <c r="BQ18" i="11"/>
  <c r="BR18" i="11"/>
  <c r="BS18" i="11"/>
  <c r="BT18" i="11"/>
  <c r="BU18" i="11"/>
  <c r="BX18" i="11"/>
  <c r="BH19" i="11"/>
  <c r="BL19" i="11"/>
  <c r="BM19" i="11"/>
  <c r="BN19" i="11"/>
  <c r="BQ19" i="11"/>
  <c r="BR19" i="11"/>
  <c r="BS19" i="11"/>
  <c r="BT19" i="11"/>
  <c r="BU19" i="11"/>
  <c r="BX19" i="11"/>
  <c r="BH20" i="11"/>
  <c r="BL20" i="11"/>
  <c r="BM20" i="11"/>
  <c r="BN20" i="11"/>
  <c r="BQ20" i="11"/>
  <c r="BR20" i="11"/>
  <c r="BS20" i="11"/>
  <c r="BT20" i="11"/>
  <c r="BU20" i="11"/>
  <c r="BX20" i="11"/>
  <c r="BH21" i="11"/>
  <c r="BL21" i="11"/>
  <c r="BM21" i="11"/>
  <c r="BN21" i="11"/>
  <c r="BQ21" i="11"/>
  <c r="BR21" i="11"/>
  <c r="BS21" i="11"/>
  <c r="BT21" i="11"/>
  <c r="BU21" i="11"/>
  <c r="BX21" i="11"/>
  <c r="BH22" i="11"/>
  <c r="BL22" i="11"/>
  <c r="BM22" i="11"/>
  <c r="BN22" i="11"/>
  <c r="BQ22" i="11"/>
  <c r="BR22" i="11"/>
  <c r="BS22" i="11"/>
  <c r="BT22" i="11"/>
  <c r="BU22" i="11"/>
  <c r="BX22" i="11"/>
  <c r="BH23" i="11"/>
  <c r="BL23" i="11"/>
  <c r="BM23" i="11"/>
  <c r="BN23" i="11"/>
  <c r="BQ23" i="11"/>
  <c r="BR23" i="11"/>
  <c r="BS23" i="11"/>
  <c r="BT23" i="11"/>
  <c r="BU23" i="11"/>
  <c r="BX23" i="11"/>
  <c r="BH24" i="11"/>
  <c r="BL24" i="11"/>
  <c r="BQ24" i="11"/>
  <c r="BR24" i="11"/>
  <c r="BS24" i="11"/>
  <c r="BT24" i="11"/>
  <c r="BU24" i="11"/>
  <c r="BH25" i="11"/>
  <c r="BL25" i="11"/>
  <c r="BM25" i="11"/>
  <c r="BN25" i="11"/>
  <c r="BQ25" i="11"/>
  <c r="BR25" i="11"/>
  <c r="BS25" i="11"/>
  <c r="BT25" i="11"/>
  <c r="BU25" i="11"/>
  <c r="BX25" i="11"/>
  <c r="BH26" i="11"/>
  <c r="BL26" i="11"/>
  <c r="BM26" i="11"/>
  <c r="BN26" i="11"/>
  <c r="BQ26" i="11"/>
  <c r="BR26" i="11"/>
  <c r="BS26" i="11"/>
  <c r="BT26" i="11"/>
  <c r="BU26" i="11"/>
  <c r="BX26" i="11"/>
  <c r="BH27" i="11"/>
  <c r="BL27" i="11"/>
  <c r="BM27" i="11"/>
  <c r="BN27" i="11"/>
  <c r="BQ27" i="11"/>
  <c r="BR27" i="11"/>
  <c r="BS27" i="11"/>
  <c r="BT27" i="11"/>
  <c r="BU27" i="11"/>
  <c r="BX27" i="11"/>
  <c r="BH28" i="11"/>
  <c r="BL28" i="11"/>
  <c r="BM28" i="11"/>
  <c r="BN28" i="11"/>
  <c r="BQ28" i="11"/>
  <c r="BR28" i="11"/>
  <c r="BS28" i="11"/>
  <c r="BT28" i="11"/>
  <c r="BU28" i="11"/>
  <c r="BX28" i="11"/>
  <c r="BH29" i="11"/>
  <c r="BL29" i="11"/>
  <c r="BM29" i="11"/>
  <c r="BN29" i="11"/>
  <c r="BQ29" i="11"/>
  <c r="BR29" i="11"/>
  <c r="BS29" i="11"/>
  <c r="BT29" i="11"/>
  <c r="BU29" i="11"/>
  <c r="BX29" i="11"/>
  <c r="BH30" i="11"/>
  <c r="BL30" i="11"/>
  <c r="BQ30" i="11"/>
  <c r="BR30" i="11"/>
  <c r="BS30" i="11"/>
  <c r="BT30" i="11"/>
  <c r="BU30" i="11"/>
  <c r="BH31" i="11"/>
  <c r="BL31" i="11"/>
  <c r="BM31" i="11"/>
  <c r="BN31" i="11"/>
  <c r="BQ31" i="11"/>
  <c r="BR31" i="11"/>
  <c r="BS31" i="11"/>
  <c r="BT31" i="11"/>
  <c r="BU31" i="11"/>
  <c r="BX31" i="11"/>
  <c r="BH32" i="11"/>
  <c r="BL32" i="11"/>
  <c r="BM32" i="11"/>
  <c r="BN32" i="11"/>
  <c r="BQ32" i="11"/>
  <c r="BR32" i="11"/>
  <c r="BS32" i="11"/>
  <c r="BT32" i="11"/>
  <c r="BU32" i="11"/>
  <c r="BX32" i="11"/>
  <c r="BH33" i="11"/>
  <c r="BL33" i="11"/>
  <c r="BQ33" i="11"/>
  <c r="BR33" i="11"/>
  <c r="BS33" i="11"/>
  <c r="BT33" i="11"/>
  <c r="BU33" i="11"/>
  <c r="BH34" i="11"/>
  <c r="BL34" i="11"/>
  <c r="BQ34" i="11"/>
  <c r="BR34" i="11"/>
  <c r="BS34" i="11"/>
  <c r="BT34" i="11"/>
  <c r="BU34" i="11"/>
  <c r="BH35" i="11"/>
  <c r="BL35" i="11"/>
  <c r="BQ35" i="11"/>
  <c r="BR35" i="11"/>
  <c r="BS35" i="11"/>
  <c r="BT35" i="11"/>
  <c r="BU35" i="11"/>
  <c r="BH36" i="11"/>
  <c r="BL36" i="11"/>
  <c r="BQ36" i="11"/>
  <c r="BR36" i="11"/>
  <c r="BS36" i="11"/>
  <c r="BT36" i="11"/>
  <c r="BU36" i="11"/>
  <c r="BH37" i="11"/>
  <c r="BL37" i="11"/>
  <c r="BM37" i="11"/>
  <c r="BN37" i="11"/>
  <c r="BQ37" i="11"/>
  <c r="BR37" i="11"/>
  <c r="BS37" i="11"/>
  <c r="BT37" i="11"/>
  <c r="BU37" i="11"/>
  <c r="BX37" i="11"/>
  <c r="BH38" i="11"/>
  <c r="BL38" i="11"/>
  <c r="BM38" i="11"/>
  <c r="BN38" i="11"/>
  <c r="BQ38" i="11"/>
  <c r="BR38" i="11"/>
  <c r="BS38" i="11"/>
  <c r="BT38" i="11"/>
  <c r="BU38" i="11"/>
  <c r="BX38" i="11"/>
  <c r="BH39" i="11"/>
  <c r="BL39" i="11"/>
  <c r="BM39" i="11"/>
  <c r="BN39" i="11"/>
  <c r="BQ39" i="11"/>
  <c r="BR39" i="11"/>
  <c r="BS39" i="11"/>
  <c r="BT39" i="11"/>
  <c r="BU39" i="11"/>
  <c r="BX39" i="11"/>
  <c r="BH40" i="11"/>
  <c r="BL40" i="11"/>
  <c r="BM40" i="11"/>
  <c r="BN40" i="11"/>
  <c r="BQ40" i="11"/>
  <c r="BR40" i="11"/>
  <c r="BS40" i="11"/>
  <c r="BT40" i="11"/>
  <c r="BU40" i="11"/>
  <c r="BX40" i="11"/>
  <c r="BH41" i="11"/>
  <c r="BL41" i="11"/>
  <c r="BM41" i="11"/>
  <c r="BN41" i="11"/>
  <c r="BQ41" i="11"/>
  <c r="BR41" i="11"/>
  <c r="BS41" i="11"/>
  <c r="BT41" i="11"/>
  <c r="BU41" i="11"/>
  <c r="BX41" i="11"/>
  <c r="BH42" i="11"/>
  <c r="BL42" i="11"/>
  <c r="BM42" i="11"/>
  <c r="BN42" i="11"/>
  <c r="BQ42" i="11"/>
  <c r="BR42" i="11"/>
  <c r="BS42" i="11"/>
  <c r="BT42" i="11"/>
  <c r="BU42" i="11"/>
  <c r="BX42" i="11"/>
  <c r="BH43" i="11"/>
  <c r="BL43" i="11"/>
  <c r="BQ43" i="11"/>
  <c r="BR43" i="11"/>
  <c r="BS43" i="11"/>
  <c r="BT43" i="11"/>
  <c r="BU43" i="11"/>
  <c r="BH44" i="11"/>
  <c r="BL44" i="11"/>
  <c r="BQ44" i="11"/>
  <c r="BR44" i="11"/>
  <c r="BS44" i="11"/>
  <c r="BT44" i="11"/>
  <c r="BU44" i="11"/>
  <c r="BH45" i="11"/>
  <c r="BL45" i="11"/>
  <c r="BQ45" i="11"/>
  <c r="BR45" i="11"/>
  <c r="BS45" i="11"/>
  <c r="BT45" i="11"/>
  <c r="BU45" i="11"/>
  <c r="BH46" i="11"/>
  <c r="BL46" i="11"/>
  <c r="BM46" i="11"/>
  <c r="BN46" i="11"/>
  <c r="BQ46" i="11"/>
  <c r="BR46" i="11"/>
  <c r="BS46" i="11"/>
  <c r="BT46" i="11"/>
  <c r="BU46" i="11"/>
  <c r="BX46" i="11"/>
  <c r="BH47" i="11"/>
  <c r="BL47" i="11"/>
  <c r="BQ47" i="11"/>
  <c r="BR47" i="11"/>
  <c r="BS47" i="11"/>
  <c r="BT47" i="11"/>
  <c r="BU47" i="11"/>
  <c r="BH48" i="11"/>
  <c r="BL48" i="11"/>
  <c r="BM48" i="11"/>
  <c r="BN48" i="11"/>
  <c r="BQ48" i="11"/>
  <c r="BR48" i="11"/>
  <c r="BS48" i="11"/>
  <c r="BT48" i="11"/>
  <c r="BU48" i="11"/>
  <c r="BX48" i="11"/>
  <c r="BH49" i="11"/>
  <c r="BL49" i="11"/>
  <c r="BM49" i="11"/>
  <c r="BN49" i="11"/>
  <c r="BQ49" i="11"/>
  <c r="BR49" i="11"/>
  <c r="BS49" i="11"/>
  <c r="BT49" i="11"/>
  <c r="BU49" i="11"/>
  <c r="BX49" i="11"/>
  <c r="BH50" i="11"/>
  <c r="BL50" i="11"/>
  <c r="BM50" i="11"/>
  <c r="BN50" i="11"/>
  <c r="BQ50" i="11"/>
  <c r="BR50" i="11"/>
  <c r="BS50" i="11"/>
  <c r="BT50" i="11"/>
  <c r="BU50" i="11"/>
  <c r="BX50" i="11"/>
  <c r="BH51" i="11"/>
  <c r="BL51" i="11"/>
  <c r="BQ51" i="11"/>
  <c r="BR51" i="11"/>
  <c r="BS51" i="11"/>
  <c r="BT51" i="11"/>
  <c r="BU51" i="11"/>
  <c r="BH52" i="11"/>
  <c r="BL52" i="11"/>
  <c r="BM52" i="11"/>
  <c r="BN52" i="11"/>
  <c r="BQ52" i="11"/>
  <c r="BR52" i="11"/>
  <c r="BS52" i="11"/>
  <c r="BT52" i="11"/>
  <c r="BU52" i="11"/>
  <c r="BX52" i="11"/>
  <c r="BH53" i="11"/>
  <c r="BL53" i="11"/>
  <c r="BM53" i="11"/>
  <c r="BN53" i="11"/>
  <c r="BQ53" i="11"/>
  <c r="BR53" i="11"/>
  <c r="BS53" i="11"/>
  <c r="BT53" i="11"/>
  <c r="BU53" i="11"/>
  <c r="BX53" i="11"/>
  <c r="BH54" i="11"/>
  <c r="BL54" i="11"/>
  <c r="BM54" i="11"/>
  <c r="BN54" i="11"/>
  <c r="BQ54" i="11"/>
  <c r="BR54" i="11"/>
  <c r="BS54" i="11"/>
  <c r="BT54" i="11"/>
  <c r="BU54" i="11"/>
  <c r="BX54" i="11"/>
  <c r="BH55" i="11"/>
  <c r="BL55" i="11"/>
  <c r="BQ55" i="11"/>
  <c r="BR55" i="11"/>
  <c r="BS55" i="11"/>
  <c r="BT55" i="11"/>
  <c r="BU55" i="11"/>
  <c r="BH56" i="11"/>
  <c r="BL56" i="11"/>
  <c r="BM56" i="11"/>
  <c r="BN56" i="11"/>
  <c r="BQ56" i="11"/>
  <c r="BR56" i="11"/>
  <c r="BS56" i="11"/>
  <c r="BT56" i="11"/>
  <c r="BU56" i="11"/>
  <c r="BX56" i="11"/>
  <c r="BH57" i="11"/>
  <c r="BL57" i="11"/>
  <c r="BQ57" i="11"/>
  <c r="BR57" i="11"/>
  <c r="BS57" i="11"/>
  <c r="BT57" i="11"/>
  <c r="BU57" i="11"/>
  <c r="BH58" i="11"/>
  <c r="BL58" i="11"/>
  <c r="BM58" i="11"/>
  <c r="BN58" i="11"/>
  <c r="BQ58" i="11"/>
  <c r="BR58" i="11"/>
  <c r="BS58" i="11"/>
  <c r="BT58" i="11"/>
  <c r="BU58" i="11"/>
  <c r="BX58" i="11"/>
  <c r="BH59" i="11"/>
  <c r="BL59" i="11"/>
  <c r="BQ59" i="11"/>
  <c r="BR59" i="11"/>
  <c r="BS59" i="11"/>
  <c r="BT59" i="11"/>
  <c r="BU59" i="11"/>
  <c r="BH60" i="11"/>
  <c r="BL60" i="11"/>
  <c r="BQ60" i="11"/>
  <c r="BR60" i="11"/>
  <c r="BS60" i="11"/>
  <c r="BT60" i="11"/>
  <c r="BU60" i="11"/>
  <c r="BH61" i="11"/>
  <c r="BL61" i="11"/>
  <c r="BQ61" i="11"/>
  <c r="BR61" i="11"/>
  <c r="BS61" i="11"/>
  <c r="BT61" i="11"/>
  <c r="BU61" i="11"/>
  <c r="BH62" i="11"/>
  <c r="BL62" i="11"/>
  <c r="BQ62" i="11"/>
  <c r="BR62" i="11"/>
  <c r="BS62" i="11"/>
  <c r="BT62" i="11"/>
  <c r="BU62" i="11"/>
  <c r="BH63" i="11"/>
  <c r="BL63" i="11"/>
  <c r="BM63" i="11"/>
  <c r="BN63" i="11"/>
  <c r="BQ63" i="11"/>
  <c r="BR63" i="11"/>
  <c r="BS63" i="11"/>
  <c r="BT63" i="11"/>
  <c r="BU63" i="11"/>
  <c r="BX63" i="11"/>
  <c r="BH64" i="11"/>
  <c r="BL64" i="11"/>
  <c r="BM64" i="11"/>
  <c r="BN64" i="11"/>
  <c r="BQ64" i="11"/>
  <c r="BR64" i="11"/>
  <c r="BS64" i="11"/>
  <c r="BT64" i="11"/>
  <c r="BU64" i="11"/>
  <c r="BX64" i="11"/>
  <c r="BH65" i="11"/>
  <c r="BL65" i="11"/>
  <c r="BM65" i="11"/>
  <c r="BN65" i="11"/>
  <c r="BQ65" i="11"/>
  <c r="BR65" i="11"/>
  <c r="BS65" i="11"/>
  <c r="BT65" i="11"/>
  <c r="BU65" i="11"/>
  <c r="BX65" i="11"/>
  <c r="BH66" i="11"/>
  <c r="BL66" i="11"/>
  <c r="BM66" i="11"/>
  <c r="BN66" i="11"/>
  <c r="BQ66" i="11"/>
  <c r="BR66" i="11"/>
  <c r="BS66" i="11"/>
  <c r="BT66" i="11"/>
  <c r="BU66" i="11"/>
  <c r="BX66" i="11"/>
  <c r="BH67" i="11"/>
  <c r="BL67" i="11"/>
  <c r="BM67" i="11"/>
  <c r="BN67" i="11"/>
  <c r="BQ67" i="11"/>
  <c r="BR67" i="11"/>
  <c r="BS67" i="11"/>
  <c r="BT67" i="11"/>
  <c r="BU67" i="11"/>
  <c r="BX67" i="11"/>
  <c r="BH68" i="11"/>
  <c r="BL68" i="11"/>
  <c r="BM68" i="11"/>
  <c r="BN68" i="11"/>
  <c r="BQ68" i="11"/>
  <c r="BR68" i="11"/>
  <c r="BS68" i="11"/>
  <c r="BT68" i="11"/>
  <c r="BU68" i="11"/>
  <c r="BX68" i="11"/>
  <c r="BH69" i="11"/>
  <c r="BL69" i="11"/>
  <c r="BM69" i="11"/>
  <c r="BN69" i="11"/>
  <c r="BQ69" i="11"/>
  <c r="BR69" i="11"/>
  <c r="BS69" i="11"/>
  <c r="BT69" i="11"/>
  <c r="BU69" i="11"/>
  <c r="BX69" i="11"/>
  <c r="BH70" i="11"/>
  <c r="BL70" i="11"/>
  <c r="BM70" i="11"/>
  <c r="BN70" i="11"/>
  <c r="BQ70" i="11"/>
  <c r="BR70" i="11"/>
  <c r="BS70" i="11"/>
  <c r="BT70" i="11"/>
  <c r="BU70" i="11"/>
  <c r="BX70" i="11"/>
  <c r="BH71" i="11"/>
  <c r="BL71" i="11"/>
  <c r="BM71" i="11"/>
  <c r="BN71" i="11"/>
  <c r="BQ71" i="11"/>
  <c r="BR71" i="11"/>
  <c r="BS71" i="11"/>
  <c r="BT71" i="11"/>
  <c r="BU71" i="11"/>
  <c r="BX71" i="11"/>
  <c r="BG72" i="11"/>
  <c r="BH72" i="11"/>
  <c r="BI72" i="11"/>
  <c r="BJ72" i="11"/>
  <c r="BL72" i="11"/>
  <c r="BM72" i="11"/>
  <c r="BN72" i="11"/>
  <c r="BO72" i="11"/>
  <c r="BP72" i="11"/>
  <c r="BQ72" i="11"/>
  <c r="BR72" i="11"/>
  <c r="BS72" i="11"/>
  <c r="BT72" i="11"/>
  <c r="BU72" i="11"/>
  <c r="BV72" i="11"/>
  <c r="BX72" i="11"/>
  <c r="BG73" i="11"/>
  <c r="BH73" i="11"/>
  <c r="BI73" i="11"/>
  <c r="BJ73" i="11"/>
  <c r="BL73" i="11"/>
  <c r="BM73" i="11"/>
  <c r="BN73" i="11"/>
  <c r="BO73" i="11"/>
  <c r="BP73" i="11"/>
  <c r="BQ73" i="11"/>
  <c r="BR73" i="11"/>
  <c r="BS73" i="11"/>
  <c r="BT73" i="11"/>
  <c r="BU73" i="11"/>
  <c r="BV73" i="11"/>
  <c r="BX73" i="11"/>
  <c r="BG74" i="11"/>
  <c r="BH74" i="11"/>
  <c r="BI74" i="11"/>
  <c r="BJ74" i="11"/>
  <c r="BL74" i="11"/>
  <c r="BM74" i="11"/>
  <c r="BN74" i="11"/>
  <c r="BO74" i="11"/>
  <c r="BP74" i="11"/>
  <c r="BQ74" i="11"/>
  <c r="BR74" i="11"/>
  <c r="BS74" i="11"/>
  <c r="BT74" i="11"/>
  <c r="BU74" i="11"/>
  <c r="BV74" i="11"/>
  <c r="BX74" i="11"/>
  <c r="BG75" i="11"/>
  <c r="BH75" i="11"/>
  <c r="BI75" i="11"/>
  <c r="BJ75" i="11"/>
  <c r="BL75" i="11"/>
  <c r="BM75" i="11"/>
  <c r="BN75" i="11"/>
  <c r="BO75" i="11"/>
  <c r="BP75" i="11"/>
  <c r="BQ75" i="11"/>
  <c r="BR75" i="11"/>
  <c r="BS75" i="11"/>
  <c r="BT75" i="11"/>
  <c r="BU75" i="11"/>
  <c r="BV75" i="11"/>
  <c r="BX75" i="11"/>
  <c r="BG76" i="11"/>
  <c r="BH76" i="11"/>
  <c r="BI76" i="11"/>
  <c r="BJ76" i="11"/>
  <c r="BL76" i="11"/>
  <c r="BM76" i="11"/>
  <c r="BN76" i="11"/>
  <c r="BO76" i="11"/>
  <c r="BP76" i="11"/>
  <c r="BQ76" i="11"/>
  <c r="BR76" i="11"/>
  <c r="BS76" i="11"/>
  <c r="BT76" i="11"/>
  <c r="BU76" i="11"/>
  <c r="BV76" i="11"/>
  <c r="BX76" i="11"/>
  <c r="BG77" i="11"/>
  <c r="BH77" i="11"/>
  <c r="BI77" i="11"/>
  <c r="BJ77" i="11"/>
  <c r="BL77" i="11"/>
  <c r="BM77" i="11"/>
  <c r="BN77" i="11"/>
  <c r="BO77" i="11"/>
  <c r="BP77" i="11"/>
  <c r="BQ77" i="11"/>
  <c r="BR77" i="11"/>
  <c r="BS77" i="11"/>
  <c r="BT77" i="11"/>
  <c r="BU77" i="11"/>
  <c r="BV77" i="11"/>
  <c r="BX77" i="11"/>
  <c r="BG78" i="11"/>
  <c r="BH78" i="11"/>
  <c r="BI78" i="11"/>
  <c r="BJ78" i="11"/>
  <c r="BL78" i="11"/>
  <c r="BM78" i="11"/>
  <c r="BN78" i="11"/>
  <c r="BO78" i="11"/>
  <c r="BP78" i="11"/>
  <c r="BQ78" i="11"/>
  <c r="BR78" i="11"/>
  <c r="BS78" i="11"/>
  <c r="BT78" i="11"/>
  <c r="BU78" i="11"/>
  <c r="BV78" i="11"/>
  <c r="BX78" i="11"/>
  <c r="BG79" i="11"/>
  <c r="BH79" i="11"/>
  <c r="BI79" i="11"/>
  <c r="BJ79" i="11"/>
  <c r="BL79" i="11"/>
  <c r="BM79" i="11"/>
  <c r="BN79" i="11"/>
  <c r="BO79" i="11"/>
  <c r="BP79" i="11"/>
  <c r="BQ79" i="11"/>
  <c r="BR79" i="11"/>
  <c r="BS79" i="11"/>
  <c r="BT79" i="11"/>
  <c r="BU79" i="11"/>
  <c r="BV79" i="11"/>
  <c r="BX79" i="11"/>
  <c r="BG80" i="11"/>
  <c r="BH80" i="11"/>
  <c r="BI80" i="11"/>
  <c r="BJ80" i="11"/>
  <c r="BL80" i="11"/>
  <c r="BM80" i="11"/>
  <c r="BN80" i="11"/>
  <c r="BO80" i="11"/>
  <c r="BP80" i="11"/>
  <c r="BQ80" i="11"/>
  <c r="BR80" i="11"/>
  <c r="BS80" i="11"/>
  <c r="BT80" i="11"/>
  <c r="BU80" i="11"/>
  <c r="BV80" i="11"/>
  <c r="BX80" i="11"/>
  <c r="BG81" i="11"/>
  <c r="BH81" i="11"/>
  <c r="BI81" i="11"/>
  <c r="BJ81" i="11"/>
  <c r="BL81" i="11"/>
  <c r="BM81" i="11"/>
  <c r="BN81" i="11"/>
  <c r="BO81" i="11"/>
  <c r="BP81" i="11"/>
  <c r="BQ81" i="11"/>
  <c r="BR81" i="11"/>
  <c r="BS81" i="11"/>
  <c r="BT81" i="11"/>
  <c r="BU81" i="11"/>
  <c r="BV81" i="11"/>
  <c r="BX81" i="11"/>
  <c r="BG82" i="11"/>
  <c r="BH82" i="11"/>
  <c r="BI82" i="11"/>
  <c r="BJ82" i="11"/>
  <c r="BL82" i="11"/>
  <c r="BM82" i="11"/>
  <c r="BN82" i="11"/>
  <c r="BO82" i="11"/>
  <c r="BP82" i="11"/>
  <c r="BQ82" i="11"/>
  <c r="BR82" i="11"/>
  <c r="BS82" i="11"/>
  <c r="BT82" i="11"/>
  <c r="BU82" i="11"/>
  <c r="BV82" i="11"/>
  <c r="BX82" i="11"/>
  <c r="BG83" i="11"/>
  <c r="BH83" i="11"/>
  <c r="BI83" i="11"/>
  <c r="BJ83" i="11"/>
  <c r="BL83" i="11"/>
  <c r="BM83" i="11"/>
  <c r="BN83" i="11"/>
  <c r="BO83" i="11"/>
  <c r="BP83" i="11"/>
  <c r="BQ83" i="11"/>
  <c r="BR83" i="11"/>
  <c r="BS83" i="11"/>
  <c r="BT83" i="11"/>
  <c r="BU83" i="11"/>
  <c r="BV83" i="11"/>
  <c r="BX83" i="11"/>
  <c r="BG84" i="11"/>
  <c r="BH84" i="11"/>
  <c r="BI84" i="11"/>
  <c r="BJ84" i="11"/>
  <c r="BL84" i="11"/>
  <c r="BM84" i="11"/>
  <c r="BN84" i="11"/>
  <c r="BO84" i="11"/>
  <c r="BP84" i="11"/>
  <c r="BQ84" i="11"/>
  <c r="BR84" i="11"/>
  <c r="BS84" i="11"/>
  <c r="BT84" i="11"/>
  <c r="BU84" i="11"/>
  <c r="BV84" i="11"/>
  <c r="BX84" i="11"/>
  <c r="BG85" i="11"/>
  <c r="BH85" i="11"/>
  <c r="BI85" i="11"/>
  <c r="BJ85" i="11"/>
  <c r="BL85" i="11"/>
  <c r="BM85" i="11"/>
  <c r="BN85" i="11"/>
  <c r="BO85" i="11"/>
  <c r="BP85" i="11"/>
  <c r="BQ85" i="11"/>
  <c r="BR85" i="11"/>
  <c r="BS85" i="11"/>
  <c r="BT85" i="11"/>
  <c r="BU85" i="11"/>
  <c r="BV85" i="11"/>
  <c r="BX85" i="11"/>
  <c r="BG86" i="11"/>
  <c r="BH86" i="11"/>
  <c r="BI86" i="11"/>
  <c r="BJ86" i="11"/>
  <c r="BL86" i="11"/>
  <c r="BM86" i="11"/>
  <c r="BN86" i="11"/>
  <c r="BO86" i="11"/>
  <c r="BP86" i="11"/>
  <c r="BQ86" i="11"/>
  <c r="BR86" i="11"/>
  <c r="BS86" i="11"/>
  <c r="BT86" i="11"/>
  <c r="BU86" i="11"/>
  <c r="BV86" i="11"/>
  <c r="BX86" i="11"/>
  <c r="BG87" i="11"/>
  <c r="BH87" i="11"/>
  <c r="BI87" i="11"/>
  <c r="BJ87" i="11"/>
  <c r="BL87" i="11"/>
  <c r="BM87" i="11"/>
  <c r="BN87" i="11"/>
  <c r="BO87" i="11"/>
  <c r="BP87" i="11"/>
  <c r="BQ87" i="11"/>
  <c r="BR87" i="11"/>
  <c r="BS87" i="11"/>
  <c r="BT87" i="11"/>
  <c r="BU87" i="11"/>
  <c r="BV87" i="11"/>
  <c r="BX87" i="11"/>
  <c r="BG88" i="11"/>
  <c r="BH88" i="11"/>
  <c r="BI88" i="11"/>
  <c r="BJ88" i="11"/>
  <c r="BL88" i="11"/>
  <c r="BM88" i="11"/>
  <c r="BN88" i="11"/>
  <c r="BO88" i="11"/>
  <c r="BP88" i="11"/>
  <c r="BQ88" i="11"/>
  <c r="BR88" i="11"/>
  <c r="BS88" i="11"/>
  <c r="BT88" i="11"/>
  <c r="BU88" i="11"/>
  <c r="BV88" i="11"/>
  <c r="BX88" i="11"/>
  <c r="BG89" i="11"/>
  <c r="BH89" i="11"/>
  <c r="BI89" i="11"/>
  <c r="BJ89" i="11"/>
  <c r="BL89" i="11"/>
  <c r="BM89" i="11"/>
  <c r="BN89" i="11"/>
  <c r="BO89" i="11"/>
  <c r="BP89" i="11"/>
  <c r="BQ89" i="11"/>
  <c r="BR89" i="11"/>
  <c r="BS89" i="11"/>
  <c r="BT89" i="11"/>
  <c r="BU89" i="11"/>
  <c r="BV89" i="11"/>
  <c r="BX89" i="11"/>
  <c r="BG90" i="11"/>
  <c r="BH90" i="11"/>
  <c r="BI90" i="11"/>
  <c r="BJ90" i="11"/>
  <c r="BL90" i="11"/>
  <c r="BM90" i="11"/>
  <c r="BN90" i="11"/>
  <c r="BO90" i="11"/>
  <c r="BP90" i="11"/>
  <c r="BQ90" i="11"/>
  <c r="BR90" i="11"/>
  <c r="BS90" i="11"/>
  <c r="BT90" i="11"/>
  <c r="BU90" i="11"/>
  <c r="BV90" i="11"/>
  <c r="BX90" i="11"/>
  <c r="BG91" i="11"/>
  <c r="BH91" i="11"/>
  <c r="BI91" i="11"/>
  <c r="BJ91" i="11"/>
  <c r="BL91" i="11"/>
  <c r="BM91" i="11"/>
  <c r="BN91" i="11"/>
  <c r="BO91" i="11"/>
  <c r="BP91" i="11"/>
  <c r="BQ91" i="11"/>
  <c r="BR91" i="11"/>
  <c r="BS91" i="11"/>
  <c r="BT91" i="11"/>
  <c r="BU91" i="11"/>
  <c r="BV91" i="11"/>
  <c r="BX91" i="11"/>
  <c r="BG92" i="11"/>
  <c r="BH92" i="11"/>
  <c r="BI92" i="11"/>
  <c r="BJ92" i="11"/>
  <c r="BL92" i="11"/>
  <c r="BM92" i="11"/>
  <c r="BN92" i="11"/>
  <c r="BO92" i="11"/>
  <c r="BP92" i="11"/>
  <c r="BQ92" i="11"/>
  <c r="BR92" i="11"/>
  <c r="BS92" i="11"/>
  <c r="BT92" i="11"/>
  <c r="BU92" i="11"/>
  <c r="BV92" i="11"/>
  <c r="BX92" i="11"/>
  <c r="BG93" i="11"/>
  <c r="BH93" i="11"/>
  <c r="BI93" i="11"/>
  <c r="BJ93" i="11"/>
  <c r="BL93" i="11"/>
  <c r="BM93" i="11"/>
  <c r="BN93" i="11"/>
  <c r="BO93" i="11"/>
  <c r="BP93" i="11"/>
  <c r="BQ93" i="11"/>
  <c r="BR93" i="11"/>
  <c r="BS93" i="11"/>
  <c r="BT93" i="11"/>
  <c r="BU93" i="11"/>
  <c r="BV93" i="11"/>
  <c r="BX93" i="11"/>
  <c r="BG94" i="11"/>
  <c r="BH94" i="11"/>
  <c r="BI94" i="11"/>
  <c r="BJ94" i="11"/>
  <c r="BL94" i="11"/>
  <c r="BM94" i="11"/>
  <c r="BN94" i="11"/>
  <c r="BO94" i="11"/>
  <c r="BP94" i="11"/>
  <c r="BQ94" i="11"/>
  <c r="BR94" i="11"/>
  <c r="BS94" i="11"/>
  <c r="BT94" i="11"/>
  <c r="BU94" i="11"/>
  <c r="BV94" i="11"/>
  <c r="BX94" i="11"/>
  <c r="BG95" i="11"/>
  <c r="BH95" i="11"/>
  <c r="BI95" i="11"/>
  <c r="BJ95" i="11"/>
  <c r="BL95" i="11"/>
  <c r="BM95" i="11"/>
  <c r="BN95" i="11"/>
  <c r="BO95" i="11"/>
  <c r="BP95" i="11"/>
  <c r="BQ95" i="11"/>
  <c r="BR95" i="11"/>
  <c r="BS95" i="11"/>
  <c r="BT95" i="11"/>
  <c r="BU95" i="11"/>
  <c r="BV95" i="11"/>
  <c r="BX95" i="11"/>
  <c r="BG96" i="11"/>
  <c r="BH96" i="11"/>
  <c r="BI96" i="11"/>
  <c r="BJ96" i="11"/>
  <c r="BL96" i="11"/>
  <c r="BM96" i="11"/>
  <c r="BN96" i="11"/>
  <c r="BO96" i="11"/>
  <c r="BP96" i="11"/>
  <c r="BQ96" i="11"/>
  <c r="BR96" i="11"/>
  <c r="BS96" i="11"/>
  <c r="BT96" i="11"/>
  <c r="BU96" i="11"/>
  <c r="BV96" i="11"/>
  <c r="BX96" i="11"/>
  <c r="BG97" i="11"/>
  <c r="BH97" i="11"/>
  <c r="BI97" i="11"/>
  <c r="BJ97" i="11"/>
  <c r="BL97" i="11"/>
  <c r="BM97" i="11"/>
  <c r="BN97" i="11"/>
  <c r="BO97" i="11"/>
  <c r="BP97" i="11"/>
  <c r="BQ97" i="11"/>
  <c r="BR97" i="11"/>
  <c r="BS97" i="11"/>
  <c r="BT97" i="11"/>
  <c r="BU97" i="11"/>
  <c r="BV97" i="11"/>
  <c r="BX97" i="11"/>
  <c r="BG98" i="11"/>
  <c r="BH98" i="11"/>
  <c r="BI98" i="11"/>
  <c r="BJ98" i="11"/>
  <c r="BL98" i="11"/>
  <c r="BM98" i="11"/>
  <c r="BN98" i="11"/>
  <c r="BO98" i="11"/>
  <c r="BP98" i="11"/>
  <c r="BQ98" i="11"/>
  <c r="BR98" i="11"/>
  <c r="BS98" i="11"/>
  <c r="BT98" i="11"/>
  <c r="BU98" i="11"/>
  <c r="BV98" i="11"/>
  <c r="BX98" i="11"/>
  <c r="BG99" i="11"/>
  <c r="BH99" i="11"/>
  <c r="BI99" i="11"/>
  <c r="BJ99" i="11"/>
  <c r="BL99" i="11"/>
  <c r="BM99" i="11"/>
  <c r="BN99" i="11"/>
  <c r="BO99" i="11"/>
  <c r="BP99" i="11"/>
  <c r="BQ99" i="11"/>
  <c r="BR99" i="11"/>
  <c r="BS99" i="11"/>
  <c r="BT99" i="11"/>
  <c r="BU99" i="11"/>
  <c r="BV99" i="11"/>
  <c r="BX99" i="11"/>
  <c r="BG100" i="11"/>
  <c r="BH100" i="11"/>
  <c r="BI100" i="11"/>
  <c r="BJ100" i="11"/>
  <c r="BL100" i="11"/>
  <c r="BM100" i="11"/>
  <c r="BN100" i="11"/>
  <c r="BO100" i="11"/>
  <c r="BP100" i="11"/>
  <c r="BQ100" i="11"/>
  <c r="BR100" i="11"/>
  <c r="BS100" i="11"/>
  <c r="BT100" i="11"/>
  <c r="BU100" i="11"/>
  <c r="BV100" i="11"/>
  <c r="BX100" i="11"/>
  <c r="A1122" i="11"/>
  <c r="A1080" i="11"/>
  <c r="A420" i="15"/>
  <c r="BH11" i="15"/>
  <c r="BL11" i="15"/>
  <c r="BM11" i="15"/>
  <c r="BN11" i="15"/>
  <c r="BQ11" i="15"/>
  <c r="BR11" i="15"/>
  <c r="BS11" i="15"/>
  <c r="BT11" i="15"/>
  <c r="BU11" i="15"/>
  <c r="BX11" i="15"/>
  <c r="BH12" i="15"/>
  <c r="BL12" i="15"/>
  <c r="BM12" i="15"/>
  <c r="BN12" i="15"/>
  <c r="BQ12" i="15"/>
  <c r="BR12" i="15"/>
  <c r="BS12" i="15"/>
  <c r="BT12" i="15"/>
  <c r="BU12" i="15"/>
  <c r="BX12" i="15"/>
  <c r="BH13" i="15"/>
  <c r="BL13" i="15"/>
  <c r="BM13" i="15"/>
  <c r="BN13" i="15"/>
  <c r="BQ13" i="15"/>
  <c r="BR13" i="15"/>
  <c r="BS13" i="15"/>
  <c r="BT13" i="15"/>
  <c r="BU13" i="15"/>
  <c r="BX13" i="15"/>
  <c r="BH14" i="15"/>
  <c r="BL14" i="15"/>
  <c r="BM14" i="15"/>
  <c r="BN14" i="15"/>
  <c r="BQ14" i="15"/>
  <c r="BR14" i="15"/>
  <c r="BS14" i="15"/>
  <c r="BT14" i="15"/>
  <c r="BU14" i="15"/>
  <c r="BX14" i="15"/>
  <c r="BH15" i="15"/>
  <c r="BL15" i="15"/>
  <c r="BM15" i="15"/>
  <c r="BN15" i="15"/>
  <c r="BQ15" i="15"/>
  <c r="BR15" i="15"/>
  <c r="BS15" i="15"/>
  <c r="BT15" i="15"/>
  <c r="BU15" i="15"/>
  <c r="BX15" i="15"/>
  <c r="BH16" i="15"/>
  <c r="BL16" i="15"/>
  <c r="BM16" i="15"/>
  <c r="BN16" i="15"/>
  <c r="BQ16" i="15"/>
  <c r="BR16" i="15"/>
  <c r="BS16" i="15"/>
  <c r="BT16" i="15"/>
  <c r="BU16" i="15"/>
  <c r="BX16" i="15"/>
  <c r="BH17" i="15"/>
  <c r="BL17" i="15"/>
  <c r="BM17" i="15"/>
  <c r="BN17" i="15"/>
  <c r="BQ17" i="15"/>
  <c r="BR17" i="15"/>
  <c r="BS17" i="15"/>
  <c r="BT17" i="15"/>
  <c r="BU17" i="15"/>
  <c r="BX17" i="15"/>
  <c r="BH18" i="15"/>
  <c r="BL18" i="15"/>
  <c r="BM18" i="15"/>
  <c r="BN18" i="15"/>
  <c r="BQ18" i="15"/>
  <c r="BR18" i="15"/>
  <c r="BS18" i="15"/>
  <c r="BT18" i="15"/>
  <c r="BU18" i="15"/>
  <c r="BX18" i="15"/>
  <c r="BH19" i="15"/>
  <c r="BL19" i="15"/>
  <c r="BM19" i="15"/>
  <c r="BN19" i="15"/>
  <c r="BQ19" i="15"/>
  <c r="BR19" i="15"/>
  <c r="BS19" i="15"/>
  <c r="BT19" i="15"/>
  <c r="BU19" i="15"/>
  <c r="BX19" i="15"/>
  <c r="BH20" i="15"/>
  <c r="BL20" i="15"/>
  <c r="BM20" i="15"/>
  <c r="BN20" i="15"/>
  <c r="BQ20" i="15"/>
  <c r="BR20" i="15"/>
  <c r="BS20" i="15"/>
  <c r="BT20" i="15"/>
  <c r="BU20" i="15"/>
  <c r="BX20" i="15"/>
  <c r="BH21" i="15"/>
  <c r="BL21" i="15"/>
  <c r="BM21" i="15"/>
  <c r="BN21" i="15"/>
  <c r="BQ21" i="15"/>
  <c r="BR21" i="15"/>
  <c r="BS21" i="15"/>
  <c r="BT21" i="15"/>
  <c r="BU21" i="15"/>
  <c r="BX21" i="15"/>
  <c r="BH22" i="15"/>
  <c r="BL22" i="15"/>
  <c r="BM22" i="15"/>
  <c r="BN22" i="15"/>
  <c r="BQ22" i="15"/>
  <c r="BR22" i="15"/>
  <c r="BS22" i="15"/>
  <c r="BT22" i="15"/>
  <c r="BU22" i="15"/>
  <c r="BX22" i="15"/>
  <c r="BH23" i="15"/>
  <c r="BL23" i="15"/>
  <c r="BM23" i="15"/>
  <c r="BN23" i="15"/>
  <c r="BQ23" i="15"/>
  <c r="BR23" i="15"/>
  <c r="BS23" i="15"/>
  <c r="BT23" i="15"/>
  <c r="BU23" i="15"/>
  <c r="BX23" i="15"/>
  <c r="BH24" i="15"/>
  <c r="BL24" i="15"/>
  <c r="BM24" i="15"/>
  <c r="BN24" i="15"/>
  <c r="BQ24" i="15"/>
  <c r="BR24" i="15"/>
  <c r="BS24" i="15"/>
  <c r="BT24" i="15"/>
  <c r="BU24" i="15"/>
  <c r="BX24" i="15"/>
  <c r="BH25" i="15"/>
  <c r="BL25" i="15"/>
  <c r="BM25" i="15"/>
  <c r="BN25" i="15"/>
  <c r="BQ25" i="15"/>
  <c r="BR25" i="15"/>
  <c r="BS25" i="15"/>
  <c r="BT25" i="15"/>
  <c r="BU25" i="15"/>
  <c r="BX25" i="15"/>
  <c r="BH26" i="15"/>
  <c r="BL26" i="15"/>
  <c r="BM26" i="15"/>
  <c r="BN26" i="15"/>
  <c r="BQ26" i="15"/>
  <c r="BR26" i="15"/>
  <c r="BS26" i="15"/>
  <c r="BT26" i="15"/>
  <c r="BU26" i="15"/>
  <c r="BX26" i="15"/>
  <c r="BH27" i="15"/>
  <c r="BL27" i="15"/>
  <c r="BQ27" i="15"/>
  <c r="BR27" i="15"/>
  <c r="BS27" i="15"/>
  <c r="BT27" i="15"/>
  <c r="BU27" i="15"/>
  <c r="BH28" i="15"/>
  <c r="BL28" i="15"/>
  <c r="BQ28" i="15"/>
  <c r="BR28" i="15"/>
  <c r="BS28" i="15"/>
  <c r="BT28" i="15"/>
  <c r="BU28" i="15"/>
  <c r="BH29" i="15"/>
  <c r="BL29" i="15"/>
  <c r="BM29" i="15"/>
  <c r="BN29" i="15"/>
  <c r="BQ29" i="15"/>
  <c r="BR29" i="15"/>
  <c r="BS29" i="15"/>
  <c r="BT29" i="15"/>
  <c r="BU29" i="15"/>
  <c r="BX29" i="15"/>
  <c r="BH30" i="15"/>
  <c r="BL30" i="15"/>
  <c r="BQ30" i="15"/>
  <c r="BR30" i="15"/>
  <c r="BS30" i="15"/>
  <c r="BT30" i="15"/>
  <c r="BU30" i="15"/>
  <c r="BG31" i="15"/>
  <c r="BH31" i="15"/>
  <c r="BI31" i="15"/>
  <c r="BJ31" i="15"/>
  <c r="BL31" i="15"/>
  <c r="BM31" i="15"/>
  <c r="BN31" i="15"/>
  <c r="BO31" i="15"/>
  <c r="BP31" i="15"/>
  <c r="BQ31" i="15"/>
  <c r="BR31" i="15"/>
  <c r="BS31" i="15"/>
  <c r="BT31" i="15"/>
  <c r="BU31" i="15"/>
  <c r="BV31" i="15"/>
  <c r="BX31" i="15"/>
  <c r="BG32" i="15"/>
  <c r="BH32" i="15"/>
  <c r="BI32" i="15"/>
  <c r="BJ32" i="15"/>
  <c r="BL32" i="15"/>
  <c r="BM32" i="15"/>
  <c r="BN32" i="15"/>
  <c r="BO32" i="15"/>
  <c r="BP32" i="15"/>
  <c r="BQ32" i="15"/>
  <c r="BR32" i="15"/>
  <c r="BS32" i="15"/>
  <c r="BT32" i="15"/>
  <c r="BU32" i="15"/>
  <c r="BV32" i="15"/>
  <c r="BX32" i="15"/>
  <c r="BG33" i="15"/>
  <c r="BH33" i="15"/>
  <c r="BI33" i="15"/>
  <c r="BJ33" i="15"/>
  <c r="BL33" i="15"/>
  <c r="BM33" i="15"/>
  <c r="BN33" i="15"/>
  <c r="BO33" i="15"/>
  <c r="BP33" i="15"/>
  <c r="BQ33" i="15"/>
  <c r="BR33" i="15"/>
  <c r="BS33" i="15"/>
  <c r="BT33" i="15"/>
  <c r="BU33" i="15"/>
  <c r="BV33" i="15"/>
  <c r="BX33" i="15"/>
  <c r="BG34" i="15"/>
  <c r="BH34" i="15"/>
  <c r="BI34" i="15"/>
  <c r="BJ34" i="15"/>
  <c r="BL34" i="15"/>
  <c r="BM34" i="15"/>
  <c r="BN34" i="15"/>
  <c r="BO34" i="15"/>
  <c r="BP34" i="15"/>
  <c r="BQ34" i="15"/>
  <c r="BR34" i="15"/>
  <c r="BS34" i="15"/>
  <c r="BT34" i="15"/>
  <c r="BU34" i="15"/>
  <c r="BV34" i="15"/>
  <c r="BX34" i="15"/>
  <c r="BG35" i="15"/>
  <c r="BH35" i="15"/>
  <c r="BI35" i="15"/>
  <c r="BJ35" i="15"/>
  <c r="BL35" i="15"/>
  <c r="BM35" i="15"/>
  <c r="BN35" i="15"/>
  <c r="BO35" i="15"/>
  <c r="BP35" i="15"/>
  <c r="BQ35" i="15"/>
  <c r="BR35" i="15"/>
  <c r="BS35" i="15"/>
  <c r="BT35" i="15"/>
  <c r="BU35" i="15"/>
  <c r="BV35" i="15"/>
  <c r="BX35" i="15"/>
  <c r="BG36" i="15"/>
  <c r="BH36" i="15"/>
  <c r="BI36" i="15"/>
  <c r="BJ36" i="15"/>
  <c r="BL36" i="15"/>
  <c r="BM36" i="15"/>
  <c r="BN36" i="15"/>
  <c r="BO36" i="15"/>
  <c r="BP36" i="15"/>
  <c r="BQ36" i="15"/>
  <c r="BR36" i="15"/>
  <c r="BS36" i="15"/>
  <c r="BT36" i="15"/>
  <c r="BU36" i="15"/>
  <c r="BV36" i="15"/>
  <c r="BX36" i="15"/>
  <c r="BG37" i="15"/>
  <c r="BH37" i="15"/>
  <c r="BI37" i="15"/>
  <c r="BJ37" i="15"/>
  <c r="BL37" i="15"/>
  <c r="BM37" i="15"/>
  <c r="BN37" i="15"/>
  <c r="BO37" i="15"/>
  <c r="BP37" i="15"/>
  <c r="BQ37" i="15"/>
  <c r="BR37" i="15"/>
  <c r="BS37" i="15"/>
  <c r="BT37" i="15"/>
  <c r="BU37" i="15"/>
  <c r="BV37" i="15"/>
  <c r="BX37" i="15"/>
  <c r="BG38" i="15"/>
  <c r="BH38" i="15"/>
  <c r="BI38" i="15"/>
  <c r="BJ38" i="15"/>
  <c r="BL38" i="15"/>
  <c r="BM38" i="15"/>
  <c r="BN38" i="15"/>
  <c r="BO38" i="15"/>
  <c r="BP38" i="15"/>
  <c r="BQ38" i="15"/>
  <c r="BR38" i="15"/>
  <c r="BS38" i="15"/>
  <c r="BT38" i="15"/>
  <c r="BU38" i="15"/>
  <c r="BV38" i="15"/>
  <c r="BX38" i="15"/>
  <c r="BG39" i="15"/>
  <c r="BH39" i="15"/>
  <c r="BI39" i="15"/>
  <c r="BJ39" i="15"/>
  <c r="BL39" i="15"/>
  <c r="BM39" i="15"/>
  <c r="BN39" i="15"/>
  <c r="BO39" i="15"/>
  <c r="BP39" i="15"/>
  <c r="BQ39" i="15"/>
  <c r="BR39" i="15"/>
  <c r="BS39" i="15"/>
  <c r="BT39" i="15"/>
  <c r="BU39" i="15"/>
  <c r="BV39" i="15"/>
  <c r="BX39" i="15"/>
  <c r="BG40" i="15"/>
  <c r="BH40" i="15"/>
  <c r="BI40" i="15"/>
  <c r="BJ40" i="15"/>
  <c r="BL40" i="15"/>
  <c r="BM40" i="15"/>
  <c r="BN40" i="15"/>
  <c r="BO40" i="15"/>
  <c r="BP40" i="15"/>
  <c r="BQ40" i="15"/>
  <c r="BR40" i="15"/>
  <c r="BS40" i="15"/>
  <c r="BT40" i="15"/>
  <c r="BU40" i="15"/>
  <c r="BV40" i="15"/>
  <c r="BX40" i="15"/>
  <c r="BG41" i="15"/>
  <c r="BH41" i="15"/>
  <c r="BI41" i="15"/>
  <c r="BJ41" i="15"/>
  <c r="BL41" i="15"/>
  <c r="BM41" i="15"/>
  <c r="BN41" i="15"/>
  <c r="BO41" i="15"/>
  <c r="BP41" i="15"/>
  <c r="BQ41" i="15"/>
  <c r="BR41" i="15"/>
  <c r="BS41" i="15"/>
  <c r="BT41" i="15"/>
  <c r="BU41" i="15"/>
  <c r="BV41" i="15"/>
  <c r="BX41" i="15"/>
  <c r="BG42" i="15"/>
  <c r="BH42" i="15"/>
  <c r="BI42" i="15"/>
  <c r="BJ42" i="15"/>
  <c r="BL42" i="15"/>
  <c r="BM42" i="15"/>
  <c r="BN42" i="15"/>
  <c r="BO42" i="15"/>
  <c r="BP42" i="15"/>
  <c r="BQ42" i="15"/>
  <c r="BR42" i="15"/>
  <c r="BS42" i="15"/>
  <c r="BT42" i="15"/>
  <c r="BU42" i="15"/>
  <c r="BV42" i="15"/>
  <c r="BX42" i="15"/>
  <c r="BG43" i="15"/>
  <c r="BH43" i="15"/>
  <c r="BI43" i="15"/>
  <c r="BJ43" i="15"/>
  <c r="BL43" i="15"/>
  <c r="BM43" i="15"/>
  <c r="BN43" i="15"/>
  <c r="BO43" i="15"/>
  <c r="BP43" i="15"/>
  <c r="BQ43" i="15"/>
  <c r="BR43" i="15"/>
  <c r="BS43" i="15"/>
  <c r="BT43" i="15"/>
  <c r="BU43" i="15"/>
  <c r="BV43" i="15"/>
  <c r="BX43" i="15"/>
  <c r="BG44" i="15"/>
  <c r="BH44" i="15"/>
  <c r="BI44" i="15"/>
  <c r="BJ44" i="15"/>
  <c r="BL44" i="15"/>
  <c r="BM44" i="15"/>
  <c r="BN44" i="15"/>
  <c r="BO44" i="15"/>
  <c r="BP44" i="15"/>
  <c r="BQ44" i="15"/>
  <c r="BR44" i="15"/>
  <c r="BS44" i="15"/>
  <c r="BT44" i="15"/>
  <c r="BU44" i="15"/>
  <c r="BV44" i="15"/>
  <c r="BX44" i="15"/>
  <c r="BG45" i="15"/>
  <c r="BH45" i="15"/>
  <c r="BI45" i="15"/>
  <c r="BJ45" i="15"/>
  <c r="BL45" i="15"/>
  <c r="BM45" i="15"/>
  <c r="BN45" i="15"/>
  <c r="BO45" i="15"/>
  <c r="BP45" i="15"/>
  <c r="BQ45" i="15"/>
  <c r="BR45" i="15"/>
  <c r="BS45" i="15"/>
  <c r="BT45" i="15"/>
  <c r="BU45" i="15"/>
  <c r="BV45" i="15"/>
  <c r="BX45" i="15"/>
  <c r="BG46" i="15"/>
  <c r="BH46" i="15"/>
  <c r="BI46" i="15"/>
  <c r="BJ46" i="15"/>
  <c r="BL46" i="15"/>
  <c r="BM46" i="15"/>
  <c r="BN46" i="15"/>
  <c r="BO46" i="15"/>
  <c r="BP46" i="15"/>
  <c r="BQ46" i="15"/>
  <c r="BR46" i="15"/>
  <c r="BS46" i="15"/>
  <c r="BT46" i="15"/>
  <c r="BU46" i="15"/>
  <c r="BV46" i="15"/>
  <c r="BX46" i="15"/>
  <c r="BG47" i="15"/>
  <c r="BH47" i="15"/>
  <c r="BI47" i="15"/>
  <c r="BJ47" i="15"/>
  <c r="BL47" i="15"/>
  <c r="BM47" i="15"/>
  <c r="BN47" i="15"/>
  <c r="BO47" i="15"/>
  <c r="BP47" i="15"/>
  <c r="BQ47" i="15"/>
  <c r="BR47" i="15"/>
  <c r="BS47" i="15"/>
  <c r="BT47" i="15"/>
  <c r="BU47" i="15"/>
  <c r="BV47" i="15"/>
  <c r="BX47" i="15"/>
  <c r="BG48" i="15"/>
  <c r="BH48" i="15"/>
  <c r="BI48" i="15"/>
  <c r="BJ48" i="15"/>
  <c r="BL48" i="15"/>
  <c r="BM48" i="15"/>
  <c r="BN48" i="15"/>
  <c r="BO48" i="15"/>
  <c r="BP48" i="15"/>
  <c r="BQ48" i="15"/>
  <c r="BR48" i="15"/>
  <c r="BS48" i="15"/>
  <c r="BT48" i="15"/>
  <c r="BU48" i="15"/>
  <c r="BV48" i="15"/>
  <c r="BX48" i="15"/>
  <c r="BG49" i="15"/>
  <c r="BH49" i="15"/>
  <c r="BI49" i="15"/>
  <c r="BJ49" i="15"/>
  <c r="BL49" i="15"/>
  <c r="BM49" i="15"/>
  <c r="BN49" i="15"/>
  <c r="BO49" i="15"/>
  <c r="BP49" i="15"/>
  <c r="BQ49" i="15"/>
  <c r="BR49" i="15"/>
  <c r="BS49" i="15"/>
  <c r="BT49" i="15"/>
  <c r="BU49" i="15"/>
  <c r="BV49" i="15"/>
  <c r="BX49" i="15"/>
  <c r="BG50" i="15"/>
  <c r="BH50" i="15"/>
  <c r="BI50" i="15"/>
  <c r="BJ50" i="15"/>
  <c r="BL50" i="15"/>
  <c r="BM50" i="15"/>
  <c r="BN50" i="15"/>
  <c r="BO50" i="15"/>
  <c r="BP50" i="15"/>
  <c r="BQ50" i="15"/>
  <c r="BR50" i="15"/>
  <c r="BS50" i="15"/>
  <c r="BT50" i="15"/>
  <c r="BU50" i="15"/>
  <c r="BV50" i="15"/>
  <c r="BX50" i="15"/>
  <c r="BG51" i="15"/>
  <c r="BH51" i="15"/>
  <c r="BI51" i="15"/>
  <c r="BJ51" i="15"/>
  <c r="BL51" i="15"/>
  <c r="BM51" i="15"/>
  <c r="BN51" i="15"/>
  <c r="BO51" i="15"/>
  <c r="BP51" i="15"/>
  <c r="BQ51" i="15"/>
  <c r="BR51" i="15"/>
  <c r="BS51" i="15"/>
  <c r="BT51" i="15"/>
  <c r="BU51" i="15"/>
  <c r="BV51" i="15"/>
  <c r="BX51" i="15"/>
  <c r="BG52" i="15"/>
  <c r="BH52" i="15"/>
  <c r="BI52" i="15"/>
  <c r="BJ52" i="15"/>
  <c r="BL52" i="15"/>
  <c r="BM52" i="15"/>
  <c r="BN52" i="15"/>
  <c r="BO52" i="15"/>
  <c r="BP52" i="15"/>
  <c r="BQ52" i="15"/>
  <c r="BR52" i="15"/>
  <c r="BS52" i="15"/>
  <c r="BT52" i="15"/>
  <c r="BU52" i="15"/>
  <c r="BV52" i="15"/>
  <c r="BX52" i="15"/>
  <c r="BG53" i="15"/>
  <c r="BH53" i="15"/>
  <c r="BI53" i="15"/>
  <c r="BJ53" i="15"/>
  <c r="BL53" i="15"/>
  <c r="BM53" i="15"/>
  <c r="BN53" i="15"/>
  <c r="BO53" i="15"/>
  <c r="BP53" i="15"/>
  <c r="BQ53" i="15"/>
  <c r="BR53" i="15"/>
  <c r="BS53" i="15"/>
  <c r="BT53" i="15"/>
  <c r="BU53" i="15"/>
  <c r="BV53" i="15"/>
  <c r="BX53" i="15"/>
  <c r="BG54" i="15"/>
  <c r="BH54" i="15"/>
  <c r="BI54" i="15"/>
  <c r="BJ54" i="15"/>
  <c r="BL54" i="15"/>
  <c r="BM54" i="15"/>
  <c r="BN54" i="15"/>
  <c r="BO54" i="15"/>
  <c r="BP54" i="15"/>
  <c r="BQ54" i="15"/>
  <c r="BR54" i="15"/>
  <c r="BS54" i="15"/>
  <c r="BT54" i="15"/>
  <c r="BU54" i="15"/>
  <c r="BV54" i="15"/>
  <c r="BX54" i="15"/>
  <c r="BG55" i="15"/>
  <c r="BH55" i="15"/>
  <c r="BI55" i="15"/>
  <c r="BJ55" i="15"/>
  <c r="BL55" i="15"/>
  <c r="BM55" i="15"/>
  <c r="BN55" i="15"/>
  <c r="BO55" i="15"/>
  <c r="BP55" i="15"/>
  <c r="BQ55" i="15"/>
  <c r="BR55" i="15"/>
  <c r="BS55" i="15"/>
  <c r="BT55" i="15"/>
  <c r="BU55" i="15"/>
  <c r="BV55" i="15"/>
  <c r="BX55" i="15"/>
  <c r="BG56" i="15"/>
  <c r="BH56" i="15"/>
  <c r="BI56" i="15"/>
  <c r="BJ56" i="15"/>
  <c r="BL56" i="15"/>
  <c r="BM56" i="15"/>
  <c r="BN56" i="15"/>
  <c r="BO56" i="15"/>
  <c r="BP56" i="15"/>
  <c r="BQ56" i="15"/>
  <c r="BR56" i="15"/>
  <c r="BS56" i="15"/>
  <c r="BT56" i="15"/>
  <c r="BU56" i="15"/>
  <c r="BV56" i="15"/>
  <c r="BX56" i="15"/>
  <c r="BG57" i="15"/>
  <c r="BH57" i="15"/>
  <c r="BI57" i="15"/>
  <c r="BJ57" i="15"/>
  <c r="BL57" i="15"/>
  <c r="BM57" i="15"/>
  <c r="BN57" i="15"/>
  <c r="BO57" i="15"/>
  <c r="BP57" i="15"/>
  <c r="BQ57" i="15"/>
  <c r="BR57" i="15"/>
  <c r="BS57" i="15"/>
  <c r="BT57" i="15"/>
  <c r="BU57" i="15"/>
  <c r="BV57" i="15"/>
  <c r="BX57" i="15"/>
  <c r="BG58" i="15"/>
  <c r="BH58" i="15"/>
  <c r="BI58" i="15"/>
  <c r="BJ58" i="15"/>
  <c r="BL58" i="15"/>
  <c r="BM58" i="15"/>
  <c r="BN58" i="15"/>
  <c r="BO58" i="15"/>
  <c r="BP58" i="15"/>
  <c r="BQ58" i="15"/>
  <c r="BR58" i="15"/>
  <c r="BS58" i="15"/>
  <c r="BT58" i="15"/>
  <c r="BU58" i="15"/>
  <c r="BV58" i="15"/>
  <c r="BX58" i="15"/>
  <c r="BG59" i="15"/>
  <c r="BH59" i="15"/>
  <c r="BI59" i="15"/>
  <c r="BJ59" i="15"/>
  <c r="BL59" i="15"/>
  <c r="BM59" i="15"/>
  <c r="BN59" i="15"/>
  <c r="BO59" i="15"/>
  <c r="BP59" i="15"/>
  <c r="BQ59" i="15"/>
  <c r="BR59" i="15"/>
  <c r="BS59" i="15"/>
  <c r="BT59" i="15"/>
  <c r="BU59" i="15"/>
  <c r="BV59" i="15"/>
  <c r="BX59" i="15"/>
  <c r="BG60" i="15"/>
  <c r="BH60" i="15"/>
  <c r="BI60" i="15"/>
  <c r="BJ60" i="15"/>
  <c r="BL60" i="15"/>
  <c r="BM60" i="15"/>
  <c r="BN60" i="15"/>
  <c r="BO60" i="15"/>
  <c r="BP60" i="15"/>
  <c r="BQ60" i="15"/>
  <c r="BR60" i="15"/>
  <c r="BS60" i="15"/>
  <c r="BT60" i="15"/>
  <c r="BU60" i="15"/>
  <c r="BV60" i="15"/>
  <c r="BX60" i="15"/>
  <c r="BG61" i="15"/>
  <c r="BH61" i="15"/>
  <c r="BI61" i="15"/>
  <c r="BJ61" i="15"/>
  <c r="BL61" i="15"/>
  <c r="BM61" i="15"/>
  <c r="BN61" i="15"/>
  <c r="BO61" i="15"/>
  <c r="BP61" i="15"/>
  <c r="BQ61" i="15"/>
  <c r="BR61" i="15"/>
  <c r="BS61" i="15"/>
  <c r="BT61" i="15"/>
  <c r="BU61" i="15"/>
  <c r="BV61" i="15"/>
  <c r="BX61" i="15"/>
  <c r="BG62" i="15"/>
  <c r="BH62" i="15"/>
  <c r="BI62" i="15"/>
  <c r="BJ62" i="15"/>
  <c r="BL62" i="15"/>
  <c r="BM62" i="15"/>
  <c r="BN62" i="15"/>
  <c r="BO62" i="15"/>
  <c r="BP62" i="15"/>
  <c r="BQ62" i="15"/>
  <c r="BR62" i="15"/>
  <c r="BS62" i="15"/>
  <c r="BT62" i="15"/>
  <c r="BU62" i="15"/>
  <c r="BV62" i="15"/>
  <c r="BX62" i="15"/>
  <c r="BG63" i="15"/>
  <c r="BH63" i="15"/>
  <c r="BI63" i="15"/>
  <c r="BJ63" i="15"/>
  <c r="BL63" i="15"/>
  <c r="BM63" i="15"/>
  <c r="BN63" i="15"/>
  <c r="BO63" i="15"/>
  <c r="BP63" i="15"/>
  <c r="BQ63" i="15"/>
  <c r="BR63" i="15"/>
  <c r="BS63" i="15"/>
  <c r="BT63" i="15"/>
  <c r="BU63" i="15"/>
  <c r="BV63" i="15"/>
  <c r="BX63" i="15"/>
  <c r="BG64" i="15"/>
  <c r="BH64" i="15"/>
  <c r="BI64" i="15"/>
  <c r="BJ64" i="15"/>
  <c r="BL64" i="15"/>
  <c r="BM64" i="15"/>
  <c r="BN64" i="15"/>
  <c r="BO64" i="15"/>
  <c r="BP64" i="15"/>
  <c r="BQ64" i="15"/>
  <c r="BR64" i="15"/>
  <c r="BS64" i="15"/>
  <c r="BT64" i="15"/>
  <c r="BU64" i="15"/>
  <c r="BV64" i="15"/>
  <c r="BX64" i="15"/>
  <c r="BG65" i="15"/>
  <c r="BH65" i="15"/>
  <c r="BI65" i="15"/>
  <c r="BJ65" i="15"/>
  <c r="BL65" i="15"/>
  <c r="BM65" i="15"/>
  <c r="BN65" i="15"/>
  <c r="BO65" i="15"/>
  <c r="BP65" i="15"/>
  <c r="BQ65" i="15"/>
  <c r="BR65" i="15"/>
  <c r="BS65" i="15"/>
  <c r="BT65" i="15"/>
  <c r="BU65" i="15"/>
  <c r="BV65" i="15"/>
  <c r="BX65" i="15"/>
  <c r="BG66" i="15"/>
  <c r="BH66" i="15"/>
  <c r="BI66" i="15"/>
  <c r="BJ66" i="15"/>
  <c r="BL66" i="15"/>
  <c r="BM66" i="15"/>
  <c r="BN66" i="15"/>
  <c r="BO66" i="15"/>
  <c r="BP66" i="15"/>
  <c r="BQ66" i="15"/>
  <c r="BR66" i="15"/>
  <c r="BS66" i="15"/>
  <c r="BT66" i="15"/>
  <c r="BU66" i="15"/>
  <c r="BV66" i="15"/>
  <c r="BX66" i="15"/>
  <c r="BG67" i="15"/>
  <c r="BH67" i="15"/>
  <c r="BI67" i="15"/>
  <c r="BJ67" i="15"/>
  <c r="BL67" i="15"/>
  <c r="BM67" i="15"/>
  <c r="BN67" i="15"/>
  <c r="BO67" i="15"/>
  <c r="BP67" i="15"/>
  <c r="BQ67" i="15"/>
  <c r="BR67" i="15"/>
  <c r="BS67" i="15"/>
  <c r="BT67" i="15"/>
  <c r="BU67" i="15"/>
  <c r="BV67" i="15"/>
  <c r="BX67" i="15"/>
  <c r="BG68" i="15"/>
  <c r="BH68" i="15"/>
  <c r="BI68" i="15"/>
  <c r="BJ68" i="15"/>
  <c r="BL68" i="15"/>
  <c r="BM68" i="15"/>
  <c r="BN68" i="15"/>
  <c r="BO68" i="15"/>
  <c r="BP68" i="15"/>
  <c r="BQ68" i="15"/>
  <c r="BR68" i="15"/>
  <c r="BS68" i="15"/>
  <c r="BT68" i="15"/>
  <c r="BU68" i="15"/>
  <c r="BV68" i="15"/>
  <c r="BX68" i="15"/>
  <c r="BG69" i="15"/>
  <c r="BH69" i="15"/>
  <c r="BI69" i="15"/>
  <c r="BJ69" i="15"/>
  <c r="BL69" i="15"/>
  <c r="BM69" i="15"/>
  <c r="BN69" i="15"/>
  <c r="BO69" i="15"/>
  <c r="BP69" i="15"/>
  <c r="BQ69" i="15"/>
  <c r="BR69" i="15"/>
  <c r="BS69" i="15"/>
  <c r="BT69" i="15"/>
  <c r="BU69" i="15"/>
  <c r="BV69" i="15"/>
  <c r="BX69" i="15"/>
  <c r="BG70" i="15"/>
  <c r="BH70" i="15"/>
  <c r="BI70" i="15"/>
  <c r="BJ70" i="15"/>
  <c r="BL70" i="15"/>
  <c r="BM70" i="15"/>
  <c r="BN70" i="15"/>
  <c r="BO70" i="15"/>
  <c r="BP70" i="15"/>
  <c r="BQ70" i="15"/>
  <c r="BR70" i="15"/>
  <c r="BS70" i="15"/>
  <c r="BT70" i="15"/>
  <c r="BU70" i="15"/>
  <c r="BV70" i="15"/>
  <c r="BX70" i="15"/>
  <c r="A691" i="14"/>
  <c r="A856" i="13"/>
  <c r="BH11" i="14"/>
  <c r="BL11" i="14"/>
  <c r="BM11" i="14"/>
  <c r="BN11" i="14"/>
  <c r="BQ11" i="14"/>
  <c r="BR11" i="14"/>
  <c r="BS11" i="14"/>
  <c r="BT11" i="14"/>
  <c r="BU11" i="14"/>
  <c r="BX11" i="14"/>
  <c r="BH12" i="14"/>
  <c r="BL12" i="14"/>
  <c r="BM12" i="14"/>
  <c r="BN12" i="14"/>
  <c r="BQ12" i="14"/>
  <c r="BR12" i="14"/>
  <c r="BS12" i="14"/>
  <c r="BT12" i="14"/>
  <c r="BU12" i="14"/>
  <c r="BX12" i="14"/>
  <c r="BH13" i="14"/>
  <c r="BL13" i="14"/>
  <c r="BM13" i="14"/>
  <c r="BN13" i="14"/>
  <c r="BQ13" i="14"/>
  <c r="BR13" i="14"/>
  <c r="BS13" i="14"/>
  <c r="BT13" i="14"/>
  <c r="BU13" i="14"/>
  <c r="BX13" i="14"/>
  <c r="BH14" i="14"/>
  <c r="BL14" i="14"/>
  <c r="BM14" i="14"/>
  <c r="BN14" i="14"/>
  <c r="BQ14" i="14"/>
  <c r="BR14" i="14"/>
  <c r="BS14" i="14"/>
  <c r="BT14" i="14"/>
  <c r="BU14" i="14"/>
  <c r="BX14" i="14"/>
  <c r="BH15" i="14"/>
  <c r="BL15" i="14"/>
  <c r="BM15" i="14"/>
  <c r="BN15" i="14"/>
  <c r="BQ15" i="14"/>
  <c r="BR15" i="14"/>
  <c r="BS15" i="14"/>
  <c r="BT15" i="14"/>
  <c r="BU15" i="14"/>
  <c r="BX15" i="14"/>
  <c r="BH16" i="14"/>
  <c r="BL16" i="14"/>
  <c r="BM16" i="14"/>
  <c r="BN16" i="14"/>
  <c r="BQ16" i="14"/>
  <c r="BR16" i="14"/>
  <c r="BS16" i="14"/>
  <c r="BT16" i="14"/>
  <c r="BU16" i="14"/>
  <c r="BX16" i="14"/>
  <c r="BH17" i="14"/>
  <c r="BL17" i="14"/>
  <c r="BM17" i="14"/>
  <c r="BN17" i="14"/>
  <c r="BQ17" i="14"/>
  <c r="BR17" i="14"/>
  <c r="BS17" i="14"/>
  <c r="BT17" i="14"/>
  <c r="BU17" i="14"/>
  <c r="BX17" i="14"/>
  <c r="BH18" i="14"/>
  <c r="BL18" i="14"/>
  <c r="BM18" i="14"/>
  <c r="BN18" i="14"/>
  <c r="BQ18" i="14"/>
  <c r="BR18" i="14"/>
  <c r="BS18" i="14"/>
  <c r="BT18" i="14"/>
  <c r="BU18" i="14"/>
  <c r="BX18" i="14"/>
  <c r="BH19" i="14"/>
  <c r="BL19" i="14"/>
  <c r="BM19" i="14"/>
  <c r="BN19" i="14"/>
  <c r="BQ19" i="14"/>
  <c r="BR19" i="14"/>
  <c r="BS19" i="14"/>
  <c r="BT19" i="14"/>
  <c r="BU19" i="14"/>
  <c r="BX19" i="14"/>
  <c r="BH20" i="14"/>
  <c r="BL20" i="14"/>
  <c r="BM20" i="14"/>
  <c r="BN20" i="14"/>
  <c r="BQ20" i="14"/>
  <c r="BR20" i="14"/>
  <c r="BS20" i="14"/>
  <c r="BT20" i="14"/>
  <c r="BU20" i="14"/>
  <c r="BX20" i="14"/>
  <c r="BH21" i="14"/>
  <c r="BL21" i="14"/>
  <c r="BM21" i="14"/>
  <c r="BN21" i="14"/>
  <c r="BQ21" i="14"/>
  <c r="BR21" i="14"/>
  <c r="BS21" i="14"/>
  <c r="BT21" i="14"/>
  <c r="BU21" i="14"/>
  <c r="BX21" i="14"/>
  <c r="BH22" i="14"/>
  <c r="BL22" i="14"/>
  <c r="BM22" i="14"/>
  <c r="BN22" i="14"/>
  <c r="BQ22" i="14"/>
  <c r="BR22" i="14"/>
  <c r="BS22" i="14"/>
  <c r="BT22" i="14"/>
  <c r="BU22" i="14"/>
  <c r="BX22" i="14"/>
  <c r="BH23" i="14"/>
  <c r="BL23" i="14"/>
  <c r="BM23" i="14"/>
  <c r="BN23" i="14"/>
  <c r="BQ23" i="14"/>
  <c r="BR23" i="14"/>
  <c r="BS23" i="14"/>
  <c r="BT23" i="14"/>
  <c r="BU23" i="14"/>
  <c r="BX23" i="14"/>
  <c r="BH24" i="14"/>
  <c r="BL24" i="14"/>
  <c r="BM24" i="14"/>
  <c r="BN24" i="14"/>
  <c r="BQ24" i="14"/>
  <c r="BR24" i="14"/>
  <c r="BS24" i="14"/>
  <c r="BT24" i="14"/>
  <c r="BU24" i="14"/>
  <c r="BX24" i="14"/>
  <c r="BH25" i="14"/>
  <c r="BL25" i="14"/>
  <c r="BM25" i="14"/>
  <c r="BN25" i="14"/>
  <c r="BQ25" i="14"/>
  <c r="BR25" i="14"/>
  <c r="BS25" i="14"/>
  <c r="BT25" i="14"/>
  <c r="BU25" i="14"/>
  <c r="BX25" i="14"/>
  <c r="BH26" i="14"/>
  <c r="BL26" i="14"/>
  <c r="BM26" i="14"/>
  <c r="BN26" i="14"/>
  <c r="BQ26" i="14"/>
  <c r="BR26" i="14"/>
  <c r="BS26" i="14"/>
  <c r="BT26" i="14"/>
  <c r="BU26" i="14"/>
  <c r="BX26" i="14"/>
  <c r="BH27" i="14"/>
  <c r="BL27" i="14"/>
  <c r="BM27" i="14"/>
  <c r="BN27" i="14"/>
  <c r="BQ27" i="14"/>
  <c r="BR27" i="14"/>
  <c r="BS27" i="14"/>
  <c r="BT27" i="14"/>
  <c r="BU27" i="14"/>
  <c r="BX27" i="14"/>
  <c r="BH28" i="14"/>
  <c r="BL28" i="14"/>
  <c r="BM28" i="14"/>
  <c r="BN28" i="14"/>
  <c r="BQ28" i="14"/>
  <c r="BR28" i="14"/>
  <c r="BS28" i="14"/>
  <c r="BT28" i="14"/>
  <c r="BU28" i="14"/>
  <c r="BX28" i="14"/>
  <c r="BH29" i="14"/>
  <c r="BL29" i="14"/>
  <c r="BM29" i="14"/>
  <c r="BN29" i="14"/>
  <c r="BQ29" i="14"/>
  <c r="BR29" i="14"/>
  <c r="BS29" i="14"/>
  <c r="BT29" i="14"/>
  <c r="BU29" i="14"/>
  <c r="BX29" i="14"/>
  <c r="BH30" i="14"/>
  <c r="BL30" i="14"/>
  <c r="BQ30" i="14"/>
  <c r="BR30" i="14"/>
  <c r="BS30" i="14"/>
  <c r="BT30" i="14"/>
  <c r="BU30" i="14"/>
  <c r="BH31" i="14"/>
  <c r="BL31" i="14"/>
  <c r="BM31" i="14"/>
  <c r="BN31" i="14"/>
  <c r="BQ31" i="14"/>
  <c r="BR31" i="14"/>
  <c r="BS31" i="14"/>
  <c r="BT31" i="14"/>
  <c r="BU31" i="14"/>
  <c r="BX31" i="14"/>
  <c r="BH32" i="14"/>
  <c r="BL32" i="14"/>
  <c r="BM32" i="14"/>
  <c r="BN32" i="14"/>
  <c r="BQ32" i="14"/>
  <c r="BR32" i="14"/>
  <c r="BS32" i="14"/>
  <c r="BT32" i="14"/>
  <c r="BU32" i="14"/>
  <c r="BX32" i="14"/>
  <c r="BH33" i="14"/>
  <c r="BL33" i="14"/>
  <c r="BM33" i="14"/>
  <c r="BN33" i="14"/>
  <c r="BQ33" i="14"/>
  <c r="BR33" i="14"/>
  <c r="BS33" i="14"/>
  <c r="BT33" i="14"/>
  <c r="BU33" i="14"/>
  <c r="BX33" i="14"/>
  <c r="BH34" i="14"/>
  <c r="BL34" i="14"/>
  <c r="BM34" i="14"/>
  <c r="BN34" i="14"/>
  <c r="BQ34" i="14"/>
  <c r="BR34" i="14"/>
  <c r="BS34" i="14"/>
  <c r="BT34" i="14"/>
  <c r="BU34" i="14"/>
  <c r="BX34" i="14"/>
  <c r="BG35" i="14"/>
  <c r="BH35" i="14"/>
  <c r="BI35" i="14"/>
  <c r="BJ35" i="14"/>
  <c r="BL35" i="14"/>
  <c r="BM35" i="14"/>
  <c r="BN35" i="14"/>
  <c r="BO35" i="14"/>
  <c r="BP35" i="14"/>
  <c r="BQ35" i="14"/>
  <c r="BR35" i="14"/>
  <c r="BS35" i="14"/>
  <c r="BT35" i="14"/>
  <c r="BU35" i="14"/>
  <c r="BV35" i="14"/>
  <c r="BX35" i="14"/>
  <c r="BG36" i="14"/>
  <c r="BH36" i="14"/>
  <c r="BI36" i="14"/>
  <c r="BJ36" i="14"/>
  <c r="BL36" i="14"/>
  <c r="BM36" i="14"/>
  <c r="BN36" i="14"/>
  <c r="BO36" i="14"/>
  <c r="BP36" i="14"/>
  <c r="BQ36" i="14"/>
  <c r="BR36" i="14"/>
  <c r="BS36" i="14"/>
  <c r="BT36" i="14"/>
  <c r="BU36" i="14"/>
  <c r="BV36" i="14"/>
  <c r="BX36" i="14"/>
  <c r="BG37" i="14"/>
  <c r="BH37" i="14"/>
  <c r="BI37" i="14"/>
  <c r="BJ37" i="14"/>
  <c r="BL37" i="14"/>
  <c r="BM37" i="14"/>
  <c r="BN37" i="14"/>
  <c r="BO37" i="14"/>
  <c r="BP37" i="14"/>
  <c r="BQ37" i="14"/>
  <c r="BR37" i="14"/>
  <c r="BS37" i="14"/>
  <c r="BT37" i="14"/>
  <c r="BU37" i="14"/>
  <c r="BV37" i="14"/>
  <c r="BX37" i="14"/>
  <c r="BG38" i="14"/>
  <c r="BH38" i="14"/>
  <c r="BI38" i="14"/>
  <c r="BJ38" i="14"/>
  <c r="BL38" i="14"/>
  <c r="BM38" i="14"/>
  <c r="BN38" i="14"/>
  <c r="BO38" i="14"/>
  <c r="BP38" i="14"/>
  <c r="BQ38" i="14"/>
  <c r="BR38" i="14"/>
  <c r="BS38" i="14"/>
  <c r="BT38" i="14"/>
  <c r="BU38" i="14"/>
  <c r="BV38" i="14"/>
  <c r="BX38" i="14"/>
  <c r="BG39" i="14"/>
  <c r="BH39" i="14"/>
  <c r="BI39" i="14"/>
  <c r="BJ39" i="14"/>
  <c r="BL39" i="14"/>
  <c r="BM39" i="14"/>
  <c r="BN39" i="14"/>
  <c r="BO39" i="14"/>
  <c r="BP39" i="14"/>
  <c r="BQ39" i="14"/>
  <c r="BR39" i="14"/>
  <c r="BS39" i="14"/>
  <c r="BT39" i="14"/>
  <c r="BU39" i="14"/>
  <c r="BV39" i="14"/>
  <c r="BX39" i="14"/>
  <c r="BG40" i="14"/>
  <c r="BH40" i="14"/>
  <c r="BI40" i="14"/>
  <c r="BJ40" i="14"/>
  <c r="BL40" i="14"/>
  <c r="BM40" i="14"/>
  <c r="BN40" i="14"/>
  <c r="BO40" i="14"/>
  <c r="BP40" i="14"/>
  <c r="BQ40" i="14"/>
  <c r="BR40" i="14"/>
  <c r="BS40" i="14"/>
  <c r="BT40" i="14"/>
  <c r="BU40" i="14"/>
  <c r="BV40" i="14"/>
  <c r="BX40" i="14"/>
  <c r="BG41" i="14"/>
  <c r="BH41" i="14"/>
  <c r="BI41" i="14"/>
  <c r="BJ41" i="14"/>
  <c r="BL41" i="14"/>
  <c r="BM41" i="14"/>
  <c r="BN41" i="14"/>
  <c r="BO41" i="14"/>
  <c r="BP41" i="14"/>
  <c r="BQ41" i="14"/>
  <c r="BR41" i="14"/>
  <c r="BS41" i="14"/>
  <c r="BT41" i="14"/>
  <c r="BU41" i="14"/>
  <c r="BV41" i="14"/>
  <c r="BX41" i="14"/>
  <c r="BG42" i="14"/>
  <c r="BH42" i="14"/>
  <c r="BI42" i="14"/>
  <c r="BJ42" i="14"/>
  <c r="BL42" i="14"/>
  <c r="BM42" i="14"/>
  <c r="BN42" i="14"/>
  <c r="BO42" i="14"/>
  <c r="BP42" i="14"/>
  <c r="BQ42" i="14"/>
  <c r="BR42" i="14"/>
  <c r="BS42" i="14"/>
  <c r="BT42" i="14"/>
  <c r="BU42" i="14"/>
  <c r="BV42" i="14"/>
  <c r="BX42" i="14"/>
  <c r="BG43" i="14"/>
  <c r="BH43" i="14"/>
  <c r="BI43" i="14"/>
  <c r="BJ43" i="14"/>
  <c r="BL43" i="14"/>
  <c r="BM43" i="14"/>
  <c r="BN43" i="14"/>
  <c r="BO43" i="14"/>
  <c r="BP43" i="14"/>
  <c r="BQ43" i="14"/>
  <c r="BR43" i="14"/>
  <c r="BS43" i="14"/>
  <c r="BT43" i="14"/>
  <c r="BU43" i="14"/>
  <c r="BV43" i="14"/>
  <c r="BX43" i="14"/>
  <c r="BG44" i="14"/>
  <c r="BH44" i="14"/>
  <c r="BI44" i="14"/>
  <c r="BJ44" i="14"/>
  <c r="BL44" i="14"/>
  <c r="BM44" i="14"/>
  <c r="BN44" i="14"/>
  <c r="BO44" i="14"/>
  <c r="BP44" i="14"/>
  <c r="BQ44" i="14"/>
  <c r="BR44" i="14"/>
  <c r="BS44" i="14"/>
  <c r="BT44" i="14"/>
  <c r="BU44" i="14"/>
  <c r="BV44" i="14"/>
  <c r="BX44" i="14"/>
  <c r="BG45" i="14"/>
  <c r="BH45" i="14"/>
  <c r="BI45" i="14"/>
  <c r="BJ45" i="14"/>
  <c r="BL45" i="14"/>
  <c r="BM45" i="14"/>
  <c r="BN45" i="14"/>
  <c r="BO45" i="14"/>
  <c r="BP45" i="14"/>
  <c r="BQ45" i="14"/>
  <c r="BR45" i="14"/>
  <c r="BS45" i="14"/>
  <c r="BT45" i="14"/>
  <c r="BU45" i="14"/>
  <c r="BV45" i="14"/>
  <c r="BX45" i="14"/>
  <c r="BG46" i="14"/>
  <c r="BH46" i="14"/>
  <c r="BI46" i="14"/>
  <c r="BJ46" i="14"/>
  <c r="BL46" i="14"/>
  <c r="BM46" i="14"/>
  <c r="BN46" i="14"/>
  <c r="BO46" i="14"/>
  <c r="BP46" i="14"/>
  <c r="BQ46" i="14"/>
  <c r="BR46" i="14"/>
  <c r="BS46" i="14"/>
  <c r="BT46" i="14"/>
  <c r="BU46" i="14"/>
  <c r="BV46" i="14"/>
  <c r="BX46" i="14"/>
  <c r="BG47" i="14"/>
  <c r="BH47" i="14"/>
  <c r="BI47" i="14"/>
  <c r="BJ47" i="14"/>
  <c r="BL47" i="14"/>
  <c r="BM47" i="14"/>
  <c r="BN47" i="14"/>
  <c r="BO47" i="14"/>
  <c r="BP47" i="14"/>
  <c r="BQ47" i="14"/>
  <c r="BR47" i="14"/>
  <c r="BS47" i="14"/>
  <c r="BT47" i="14"/>
  <c r="BU47" i="14"/>
  <c r="BV47" i="14"/>
  <c r="BX47" i="14"/>
  <c r="BG48" i="14"/>
  <c r="BH48" i="14"/>
  <c r="BI48" i="14"/>
  <c r="BJ48" i="14"/>
  <c r="BL48" i="14"/>
  <c r="BM48" i="14"/>
  <c r="BN48" i="14"/>
  <c r="BO48" i="14"/>
  <c r="BP48" i="14"/>
  <c r="BQ48" i="14"/>
  <c r="BR48" i="14"/>
  <c r="BS48" i="14"/>
  <c r="BT48" i="14"/>
  <c r="BU48" i="14"/>
  <c r="BV48" i="14"/>
  <c r="BX48" i="14"/>
  <c r="BG49" i="14"/>
  <c r="BH49" i="14"/>
  <c r="BI49" i="14"/>
  <c r="BJ49" i="14"/>
  <c r="BL49" i="14"/>
  <c r="BM49" i="14"/>
  <c r="BN49" i="14"/>
  <c r="BO49" i="14"/>
  <c r="BP49" i="14"/>
  <c r="BQ49" i="14"/>
  <c r="BR49" i="14"/>
  <c r="BS49" i="14"/>
  <c r="BT49" i="14"/>
  <c r="BU49" i="14"/>
  <c r="BV49" i="14"/>
  <c r="BX49" i="14"/>
  <c r="BG50" i="14"/>
  <c r="BH50" i="14"/>
  <c r="BI50" i="14"/>
  <c r="BJ50" i="14"/>
  <c r="BL50" i="14"/>
  <c r="BM50" i="14"/>
  <c r="BN50" i="14"/>
  <c r="BO50" i="14"/>
  <c r="BP50" i="14"/>
  <c r="BQ50" i="14"/>
  <c r="BR50" i="14"/>
  <c r="BS50" i="14"/>
  <c r="BT50" i="14"/>
  <c r="BU50" i="14"/>
  <c r="BV50" i="14"/>
  <c r="BX50" i="14"/>
  <c r="BG51" i="14"/>
  <c r="BH51" i="14"/>
  <c r="BI51" i="14"/>
  <c r="BJ51" i="14"/>
  <c r="BL51" i="14"/>
  <c r="BM51" i="14"/>
  <c r="BN51" i="14"/>
  <c r="BO51" i="14"/>
  <c r="BP51" i="14"/>
  <c r="BQ51" i="14"/>
  <c r="BR51" i="14"/>
  <c r="BS51" i="14"/>
  <c r="BT51" i="14"/>
  <c r="BU51" i="14"/>
  <c r="BV51" i="14"/>
  <c r="BX51" i="14"/>
  <c r="BG52" i="14"/>
  <c r="BH52" i="14"/>
  <c r="BI52" i="14"/>
  <c r="BJ52" i="14"/>
  <c r="BL52" i="14"/>
  <c r="BM52" i="14"/>
  <c r="BN52" i="14"/>
  <c r="BO52" i="14"/>
  <c r="BP52" i="14"/>
  <c r="BQ52" i="14"/>
  <c r="BR52" i="14"/>
  <c r="BS52" i="14"/>
  <c r="BT52" i="14"/>
  <c r="BU52" i="14"/>
  <c r="BV52" i="14"/>
  <c r="BX52" i="14"/>
  <c r="BG53" i="14"/>
  <c r="BH53" i="14"/>
  <c r="BI53" i="14"/>
  <c r="BJ53" i="14"/>
  <c r="BL53" i="14"/>
  <c r="BM53" i="14"/>
  <c r="BN53" i="14"/>
  <c r="BO53" i="14"/>
  <c r="BP53" i="14"/>
  <c r="BQ53" i="14"/>
  <c r="BR53" i="14"/>
  <c r="BS53" i="14"/>
  <c r="BT53" i="14"/>
  <c r="BU53" i="14"/>
  <c r="BV53" i="14"/>
  <c r="BX53" i="14"/>
  <c r="BG54" i="14"/>
  <c r="BH54" i="14"/>
  <c r="BI54" i="14"/>
  <c r="BJ54" i="14"/>
  <c r="BL54" i="14"/>
  <c r="BM54" i="14"/>
  <c r="BN54" i="14"/>
  <c r="BO54" i="14"/>
  <c r="BP54" i="14"/>
  <c r="BQ54" i="14"/>
  <c r="BR54" i="14"/>
  <c r="BS54" i="14"/>
  <c r="BT54" i="14"/>
  <c r="BU54" i="14"/>
  <c r="BV54" i="14"/>
  <c r="BX54" i="14"/>
  <c r="BG55" i="14"/>
  <c r="BH55" i="14"/>
  <c r="BI55" i="14"/>
  <c r="BJ55" i="14"/>
  <c r="BL55" i="14"/>
  <c r="BM55" i="14"/>
  <c r="BN55" i="14"/>
  <c r="BO55" i="14"/>
  <c r="BP55" i="14"/>
  <c r="BQ55" i="14"/>
  <c r="BR55" i="14"/>
  <c r="BS55" i="14"/>
  <c r="BT55" i="14"/>
  <c r="BU55" i="14"/>
  <c r="BV55" i="14"/>
  <c r="BX55" i="14"/>
  <c r="BG56" i="14"/>
  <c r="BH56" i="14"/>
  <c r="BI56" i="14"/>
  <c r="BJ56" i="14"/>
  <c r="BL56" i="14"/>
  <c r="BM56" i="14"/>
  <c r="BN56" i="14"/>
  <c r="BO56" i="14"/>
  <c r="BP56" i="14"/>
  <c r="BQ56" i="14"/>
  <c r="BR56" i="14"/>
  <c r="BS56" i="14"/>
  <c r="BT56" i="14"/>
  <c r="BU56" i="14"/>
  <c r="BV56" i="14"/>
  <c r="BX56" i="14"/>
  <c r="BG57" i="14"/>
  <c r="BH57" i="14"/>
  <c r="BI57" i="14"/>
  <c r="BJ57" i="14"/>
  <c r="BL57" i="14"/>
  <c r="BM57" i="14"/>
  <c r="BN57" i="14"/>
  <c r="BO57" i="14"/>
  <c r="BP57" i="14"/>
  <c r="BQ57" i="14"/>
  <c r="BR57" i="14"/>
  <c r="BS57" i="14"/>
  <c r="BT57" i="14"/>
  <c r="BU57" i="14"/>
  <c r="BV57" i="14"/>
  <c r="BX57" i="14"/>
  <c r="BG58" i="14"/>
  <c r="BH58" i="14"/>
  <c r="BI58" i="14"/>
  <c r="BJ58" i="14"/>
  <c r="BL58" i="14"/>
  <c r="BM58" i="14"/>
  <c r="BN58" i="14"/>
  <c r="BO58" i="14"/>
  <c r="BP58" i="14"/>
  <c r="BQ58" i="14"/>
  <c r="BR58" i="14"/>
  <c r="BS58" i="14"/>
  <c r="BT58" i="14"/>
  <c r="BU58" i="14"/>
  <c r="BV58" i="14"/>
  <c r="BX58" i="14"/>
  <c r="BG59" i="14"/>
  <c r="BH59" i="14"/>
  <c r="BI59" i="14"/>
  <c r="BJ59" i="14"/>
  <c r="BL59" i="14"/>
  <c r="BM59" i="14"/>
  <c r="BN59" i="14"/>
  <c r="BO59" i="14"/>
  <c r="BP59" i="14"/>
  <c r="BQ59" i="14"/>
  <c r="BR59" i="14"/>
  <c r="BS59" i="14"/>
  <c r="BT59" i="14"/>
  <c r="BU59" i="14"/>
  <c r="BV59" i="14"/>
  <c r="BX59" i="14"/>
  <c r="BG60" i="14"/>
  <c r="BH60" i="14"/>
  <c r="BI60" i="14"/>
  <c r="BJ60" i="14"/>
  <c r="BL60" i="14"/>
  <c r="BM60" i="14"/>
  <c r="BN60" i="14"/>
  <c r="BO60" i="14"/>
  <c r="BP60" i="14"/>
  <c r="BQ60" i="14"/>
  <c r="BR60" i="14"/>
  <c r="BS60" i="14"/>
  <c r="BT60" i="14"/>
  <c r="BU60" i="14"/>
  <c r="BV60" i="14"/>
  <c r="BX60" i="14"/>
  <c r="BG61" i="14"/>
  <c r="BH61" i="14"/>
  <c r="BI61" i="14"/>
  <c r="BJ61" i="14"/>
  <c r="BL61" i="14"/>
  <c r="BM61" i="14"/>
  <c r="BN61" i="14"/>
  <c r="BO61" i="14"/>
  <c r="BP61" i="14"/>
  <c r="BQ61" i="14"/>
  <c r="BR61" i="14"/>
  <c r="BS61" i="14"/>
  <c r="BT61" i="14"/>
  <c r="BU61" i="14"/>
  <c r="BV61" i="14"/>
  <c r="BX61" i="14"/>
  <c r="BG62" i="14"/>
  <c r="BH62" i="14"/>
  <c r="BI62" i="14"/>
  <c r="BJ62" i="14"/>
  <c r="BL62" i="14"/>
  <c r="BM62" i="14"/>
  <c r="BN62" i="14"/>
  <c r="BO62" i="14"/>
  <c r="BP62" i="14"/>
  <c r="BQ62" i="14"/>
  <c r="BR62" i="14"/>
  <c r="BS62" i="14"/>
  <c r="BT62" i="14"/>
  <c r="BU62" i="14"/>
  <c r="BV62" i="14"/>
  <c r="BX62" i="14"/>
  <c r="BG63" i="14"/>
  <c r="BH63" i="14"/>
  <c r="BI63" i="14"/>
  <c r="BJ63" i="14"/>
  <c r="BL63" i="14"/>
  <c r="BM63" i="14"/>
  <c r="BN63" i="14"/>
  <c r="BO63" i="14"/>
  <c r="BP63" i="14"/>
  <c r="BQ63" i="14"/>
  <c r="BR63" i="14"/>
  <c r="BS63" i="14"/>
  <c r="BT63" i="14"/>
  <c r="BU63" i="14"/>
  <c r="BV63" i="14"/>
  <c r="BX63" i="14"/>
  <c r="BG64" i="14"/>
  <c r="BH64" i="14"/>
  <c r="BI64" i="14"/>
  <c r="BJ64" i="14"/>
  <c r="BL64" i="14"/>
  <c r="BM64" i="14"/>
  <c r="BN64" i="14"/>
  <c r="BO64" i="14"/>
  <c r="BP64" i="14"/>
  <c r="BQ64" i="14"/>
  <c r="BR64" i="14"/>
  <c r="BS64" i="14"/>
  <c r="BT64" i="14"/>
  <c r="BU64" i="14"/>
  <c r="BV64" i="14"/>
  <c r="BX64" i="14"/>
  <c r="BG65" i="14"/>
  <c r="BH65" i="14"/>
  <c r="BI65" i="14"/>
  <c r="BJ65" i="14"/>
  <c r="BL65" i="14"/>
  <c r="BM65" i="14"/>
  <c r="BN65" i="14"/>
  <c r="BO65" i="14"/>
  <c r="BP65" i="14"/>
  <c r="BQ65" i="14"/>
  <c r="BR65" i="14"/>
  <c r="BS65" i="14"/>
  <c r="BT65" i="14"/>
  <c r="BU65" i="14"/>
  <c r="BV65" i="14"/>
  <c r="BX65" i="14"/>
  <c r="BG66" i="14"/>
  <c r="BH66" i="14"/>
  <c r="BI66" i="14"/>
  <c r="BJ66" i="14"/>
  <c r="BL66" i="14"/>
  <c r="BM66" i="14"/>
  <c r="BN66" i="14"/>
  <c r="BO66" i="14"/>
  <c r="BP66" i="14"/>
  <c r="BQ66" i="14"/>
  <c r="BR66" i="14"/>
  <c r="BS66" i="14"/>
  <c r="BT66" i="14"/>
  <c r="BU66" i="14"/>
  <c r="BV66" i="14"/>
  <c r="BX66" i="14"/>
  <c r="BG67" i="14"/>
  <c r="BH67" i="14"/>
  <c r="BI67" i="14"/>
  <c r="BJ67" i="14"/>
  <c r="BL67" i="14"/>
  <c r="BM67" i="14"/>
  <c r="BN67" i="14"/>
  <c r="BO67" i="14"/>
  <c r="BP67" i="14"/>
  <c r="BQ67" i="14"/>
  <c r="BR67" i="14"/>
  <c r="BS67" i="14"/>
  <c r="BT67" i="14"/>
  <c r="BU67" i="14"/>
  <c r="BV67" i="14"/>
  <c r="BX67" i="14"/>
  <c r="BG68" i="14"/>
  <c r="BH68" i="14"/>
  <c r="BI68" i="14"/>
  <c r="BJ68" i="14"/>
  <c r="BL68" i="14"/>
  <c r="BM68" i="14"/>
  <c r="BN68" i="14"/>
  <c r="BO68" i="14"/>
  <c r="BP68" i="14"/>
  <c r="BQ68" i="14"/>
  <c r="BR68" i="14"/>
  <c r="BS68" i="14"/>
  <c r="BT68" i="14"/>
  <c r="BU68" i="14"/>
  <c r="BV68" i="14"/>
  <c r="BX68" i="14"/>
  <c r="BG69" i="14"/>
  <c r="BH69" i="14"/>
  <c r="BI69" i="14"/>
  <c r="BJ69" i="14"/>
  <c r="BL69" i="14"/>
  <c r="BM69" i="14"/>
  <c r="BN69" i="14"/>
  <c r="BO69" i="14"/>
  <c r="BP69" i="14"/>
  <c r="BQ69" i="14"/>
  <c r="BR69" i="14"/>
  <c r="BS69" i="14"/>
  <c r="BT69" i="14"/>
  <c r="BU69" i="14"/>
  <c r="BV69" i="14"/>
  <c r="BX69" i="14"/>
  <c r="BG70" i="14"/>
  <c r="BH70" i="14"/>
  <c r="BI70" i="14"/>
  <c r="BJ70" i="14"/>
  <c r="BL70" i="14"/>
  <c r="BM70" i="14"/>
  <c r="BN70" i="14"/>
  <c r="BO70" i="14"/>
  <c r="BP70" i="14"/>
  <c r="BQ70" i="14"/>
  <c r="BR70" i="14"/>
  <c r="BS70" i="14"/>
  <c r="BT70" i="14"/>
  <c r="BU70" i="14"/>
  <c r="BV70" i="14"/>
  <c r="BX70" i="14"/>
  <c r="AC57" i="16"/>
  <c r="D57" i="1"/>
  <c r="AC58" i="16"/>
  <c r="D58" i="1"/>
  <c r="D62" i="1"/>
  <c r="AD57" i="16"/>
  <c r="E57" i="1"/>
  <c r="AD58" i="16"/>
  <c r="E58" i="1"/>
  <c r="E62" i="1"/>
  <c r="AE57" i="16"/>
  <c r="F57" i="1"/>
  <c r="AE58" i="16"/>
  <c r="F58" i="1"/>
  <c r="F62" i="1"/>
  <c r="AF57" i="16"/>
  <c r="G57" i="1"/>
  <c r="AF58" i="16"/>
  <c r="G58" i="1"/>
  <c r="G62" i="1"/>
  <c r="AG57" i="16"/>
  <c r="H57" i="1"/>
  <c r="AG58" i="16"/>
  <c r="H58" i="1"/>
  <c r="H62" i="1"/>
  <c r="AH57" i="16"/>
  <c r="I57" i="1"/>
  <c r="AH58" i="16"/>
  <c r="I58" i="1"/>
  <c r="I62" i="1"/>
  <c r="AI57" i="16"/>
  <c r="J57" i="1"/>
  <c r="AI58" i="16"/>
  <c r="J58" i="1"/>
  <c r="J62" i="1"/>
  <c r="AJ57" i="16"/>
  <c r="K57" i="1"/>
  <c r="AJ58" i="16"/>
  <c r="K58" i="1"/>
  <c r="K62" i="1"/>
  <c r="AK57" i="16"/>
  <c r="L57" i="1"/>
  <c r="AK58" i="16"/>
  <c r="L58" i="1"/>
  <c r="L62" i="1"/>
  <c r="AL57" i="16"/>
  <c r="M57" i="1"/>
  <c r="AL58" i="16"/>
  <c r="M58" i="1"/>
  <c r="M62" i="1"/>
  <c r="AM57" i="16"/>
  <c r="N57" i="1"/>
  <c r="AM58" i="16"/>
  <c r="N58" i="1"/>
  <c r="N62" i="1"/>
  <c r="AN57" i="16"/>
  <c r="O57" i="1"/>
  <c r="AN58" i="16"/>
  <c r="O58" i="1"/>
  <c r="O62" i="1"/>
  <c r="AO57" i="16"/>
  <c r="P57" i="1"/>
  <c r="AO58" i="16"/>
  <c r="P58" i="1"/>
  <c r="P62" i="1"/>
  <c r="AP57" i="16"/>
  <c r="Q57" i="1"/>
  <c r="AP58" i="16"/>
  <c r="Q58" i="1"/>
  <c r="Q62" i="1"/>
  <c r="AQ57" i="16"/>
  <c r="R57" i="1"/>
  <c r="AQ58" i="16"/>
  <c r="R58" i="1"/>
  <c r="R62" i="1"/>
  <c r="AR57" i="16"/>
  <c r="S57" i="1"/>
  <c r="AR58" i="16"/>
  <c r="S58" i="1"/>
  <c r="S62" i="1"/>
  <c r="AS57" i="16"/>
  <c r="T57" i="1"/>
  <c r="AS58" i="16"/>
  <c r="T58" i="1"/>
  <c r="T62" i="1"/>
  <c r="AT57" i="16"/>
  <c r="U57" i="1"/>
  <c r="AT58" i="16"/>
  <c r="U58" i="1"/>
  <c r="U62" i="1"/>
  <c r="AU57" i="16"/>
  <c r="V57" i="1"/>
  <c r="AU58" i="16"/>
  <c r="V58" i="1"/>
  <c r="V62" i="1"/>
  <c r="AV57" i="16"/>
  <c r="W57" i="1"/>
  <c r="AV58" i="16"/>
  <c r="W58" i="1"/>
  <c r="W62" i="1"/>
  <c r="AW57" i="16"/>
  <c r="X57" i="1"/>
  <c r="AW58" i="16"/>
  <c r="X58" i="1"/>
  <c r="X62" i="1"/>
  <c r="AX57" i="16"/>
  <c r="Y57" i="1"/>
  <c r="AX58" i="16"/>
  <c r="Y58" i="1"/>
  <c r="Y62" i="1"/>
  <c r="AY57" i="16"/>
  <c r="Z57" i="1"/>
  <c r="AY58" i="16"/>
  <c r="Z58" i="1"/>
  <c r="Z62" i="1"/>
  <c r="AZ57" i="16"/>
  <c r="AA57" i="1"/>
  <c r="AZ58" i="16"/>
  <c r="AA58" i="1"/>
  <c r="AA62" i="1"/>
  <c r="BA57" i="16"/>
  <c r="AB57" i="1"/>
  <c r="BA58" i="16"/>
  <c r="AB58" i="1"/>
  <c r="AB62" i="1"/>
  <c r="BB57" i="16"/>
  <c r="AC57" i="1"/>
  <c r="BB58" i="16"/>
  <c r="AC58" i="1"/>
  <c r="AC62" i="1"/>
  <c r="BC57" i="16"/>
  <c r="AD57" i="1"/>
  <c r="BC58" i="16"/>
  <c r="AD58" i="1"/>
  <c r="AD62" i="1"/>
  <c r="BD57" i="16"/>
  <c r="AE57" i="1"/>
  <c r="BD58" i="16"/>
  <c r="AE58" i="1"/>
  <c r="AE62" i="1"/>
  <c r="BE57" i="16"/>
  <c r="AF57" i="1"/>
  <c r="BE58" i="16"/>
  <c r="AF58" i="1"/>
  <c r="AF62" i="1"/>
  <c r="BF57" i="16"/>
  <c r="AG57" i="1"/>
  <c r="BF58" i="16"/>
  <c r="AG58" i="1"/>
  <c r="AG62" i="1"/>
  <c r="BG57" i="16"/>
  <c r="AH57" i="1"/>
  <c r="BG58" i="16"/>
  <c r="AH58" i="1"/>
  <c r="AH62" i="1"/>
  <c r="BH57" i="16"/>
  <c r="AI57" i="1"/>
  <c r="BH58" i="16"/>
  <c r="AI58" i="1"/>
  <c r="AI62" i="1"/>
  <c r="BI57" i="16"/>
  <c r="AJ57" i="1"/>
  <c r="BI58" i="16"/>
  <c r="AJ58" i="1"/>
  <c r="AJ62" i="1"/>
  <c r="BJ57" i="16"/>
  <c r="AK57" i="1"/>
  <c r="BJ58" i="16"/>
  <c r="AK58" i="1"/>
  <c r="AK62" i="1"/>
  <c r="BK57" i="16"/>
  <c r="AL57" i="1"/>
  <c r="BK58" i="16"/>
  <c r="AL58" i="1"/>
  <c r="AL62" i="1"/>
  <c r="BL57" i="16"/>
  <c r="AM57" i="1"/>
  <c r="BL58" i="16"/>
  <c r="AM58" i="1"/>
  <c r="AM62" i="1"/>
  <c r="BM57" i="16"/>
  <c r="AN57" i="1"/>
  <c r="BM58" i="16"/>
  <c r="AN58" i="1"/>
  <c r="AN62" i="1"/>
  <c r="BN57" i="16"/>
  <c r="AO57" i="1"/>
  <c r="BN58" i="16"/>
  <c r="AO58" i="1"/>
  <c r="AO62" i="1"/>
  <c r="BO57" i="16"/>
  <c r="AP57" i="1"/>
  <c r="BO58" i="16"/>
  <c r="AP58" i="1"/>
  <c r="AP62" i="1"/>
  <c r="AB57" i="16"/>
  <c r="C57" i="1"/>
  <c r="AB58" i="16"/>
  <c r="C58" i="1"/>
  <c r="C62" i="1"/>
  <c r="A392" i="15"/>
  <c r="A473" i="15"/>
  <c r="E10" i="16"/>
  <c r="BH11" i="9"/>
  <c r="BL11" i="9"/>
  <c r="BM11" i="9"/>
  <c r="BN11" i="9"/>
  <c r="BQ11" i="9"/>
  <c r="BR11" i="9"/>
  <c r="BS11" i="9"/>
  <c r="BT11" i="9"/>
  <c r="BU11" i="9"/>
  <c r="BX11" i="9"/>
  <c r="BH12" i="9"/>
  <c r="BL12" i="9"/>
  <c r="BM12" i="9"/>
  <c r="BN12" i="9"/>
  <c r="BQ12" i="9"/>
  <c r="BR12" i="9"/>
  <c r="BS12" i="9"/>
  <c r="BT12" i="9"/>
  <c r="BU12" i="9"/>
  <c r="BX12" i="9"/>
  <c r="BH13" i="9"/>
  <c r="BL13" i="9"/>
  <c r="BM13" i="9"/>
  <c r="BN13" i="9"/>
  <c r="BQ13" i="9"/>
  <c r="BR13" i="9"/>
  <c r="BS13" i="9"/>
  <c r="BT13" i="9"/>
  <c r="BU13" i="9"/>
  <c r="BX13" i="9"/>
  <c r="BH14" i="9"/>
  <c r="BL14" i="9"/>
  <c r="BM14" i="9"/>
  <c r="BN14" i="9"/>
  <c r="BQ14" i="9"/>
  <c r="BR14" i="9"/>
  <c r="BS14" i="9"/>
  <c r="BT14" i="9"/>
  <c r="BU14" i="9"/>
  <c r="BX14" i="9"/>
  <c r="BH15" i="9"/>
  <c r="BL15" i="9"/>
  <c r="BQ15" i="9"/>
  <c r="BR15" i="9"/>
  <c r="BS15" i="9"/>
  <c r="BT15" i="9"/>
  <c r="BU15" i="9"/>
  <c r="BH16" i="9"/>
  <c r="BL16" i="9"/>
  <c r="BM16" i="9"/>
  <c r="BN16" i="9"/>
  <c r="BQ16" i="9"/>
  <c r="BR16" i="9"/>
  <c r="BS16" i="9"/>
  <c r="BT16" i="9"/>
  <c r="BU16" i="9"/>
  <c r="BX16" i="9"/>
  <c r="BH17" i="9"/>
  <c r="BL17" i="9"/>
  <c r="BQ17" i="9"/>
  <c r="BR17" i="9"/>
  <c r="BS17" i="9"/>
  <c r="BT17" i="9"/>
  <c r="BU17" i="9"/>
  <c r="BH18" i="9"/>
  <c r="BL18" i="9"/>
  <c r="BM18" i="9"/>
  <c r="BN18" i="9"/>
  <c r="BQ18" i="9"/>
  <c r="BR18" i="9"/>
  <c r="BS18" i="9"/>
  <c r="BT18" i="9"/>
  <c r="BU18" i="9"/>
  <c r="BX18" i="9"/>
  <c r="BH19" i="9"/>
  <c r="BL19" i="9"/>
  <c r="BM19" i="9"/>
  <c r="BN19" i="9"/>
  <c r="BQ19" i="9"/>
  <c r="BR19" i="9"/>
  <c r="BS19" i="9"/>
  <c r="BT19" i="9"/>
  <c r="BU19" i="9"/>
  <c r="BX19" i="9"/>
  <c r="BH20" i="9"/>
  <c r="BL20" i="9"/>
  <c r="BM20" i="9"/>
  <c r="BN20" i="9"/>
  <c r="BQ20" i="9"/>
  <c r="BR20" i="9"/>
  <c r="BS20" i="9"/>
  <c r="BT20" i="9"/>
  <c r="BU20" i="9"/>
  <c r="BX20" i="9"/>
  <c r="BH21" i="9"/>
  <c r="BL21" i="9"/>
  <c r="BM21" i="9"/>
  <c r="BN21" i="9"/>
  <c r="BQ21" i="9"/>
  <c r="BR21" i="9"/>
  <c r="BS21" i="9"/>
  <c r="BT21" i="9"/>
  <c r="BU21" i="9"/>
  <c r="BX21" i="9"/>
  <c r="BH22" i="9"/>
  <c r="BL22" i="9"/>
  <c r="BM22" i="9"/>
  <c r="BN22" i="9"/>
  <c r="BQ22" i="9"/>
  <c r="BR22" i="9"/>
  <c r="BS22" i="9"/>
  <c r="BT22" i="9"/>
  <c r="BU22" i="9"/>
  <c r="BX22" i="9"/>
  <c r="BH23" i="9"/>
  <c r="BL23" i="9"/>
  <c r="BM23" i="9"/>
  <c r="BN23" i="9"/>
  <c r="BQ23" i="9"/>
  <c r="BR23" i="9"/>
  <c r="BS23" i="9"/>
  <c r="BT23" i="9"/>
  <c r="BU23" i="9"/>
  <c r="BX23" i="9"/>
  <c r="BH24" i="9"/>
  <c r="BL24" i="9"/>
  <c r="BQ24" i="9"/>
  <c r="BR24" i="9"/>
  <c r="BS24" i="9"/>
  <c r="BT24" i="9"/>
  <c r="BU24" i="9"/>
  <c r="BH25" i="9"/>
  <c r="BL25" i="9"/>
  <c r="BQ25" i="9"/>
  <c r="BR25" i="9"/>
  <c r="BS25" i="9"/>
  <c r="BT25" i="9"/>
  <c r="BU25" i="9"/>
  <c r="BH26" i="9"/>
  <c r="BL26" i="9"/>
  <c r="BQ26" i="9"/>
  <c r="BR26" i="9"/>
  <c r="BS26" i="9"/>
  <c r="BT26" i="9"/>
  <c r="BU26" i="9"/>
  <c r="BH27" i="9"/>
  <c r="BL27" i="9"/>
  <c r="BM27" i="9"/>
  <c r="BN27" i="9"/>
  <c r="BQ27" i="9"/>
  <c r="BR27" i="9"/>
  <c r="BS27" i="9"/>
  <c r="BT27" i="9"/>
  <c r="BU27" i="9"/>
  <c r="BX27" i="9"/>
  <c r="BH28" i="9"/>
  <c r="BL28" i="9"/>
  <c r="BM28" i="9"/>
  <c r="BN28" i="9"/>
  <c r="BQ28" i="9"/>
  <c r="BR28" i="9"/>
  <c r="BS28" i="9"/>
  <c r="BT28" i="9"/>
  <c r="BU28" i="9"/>
  <c r="BX28" i="9"/>
  <c r="BH29" i="9"/>
  <c r="BL29" i="9"/>
  <c r="BM29" i="9"/>
  <c r="BN29" i="9"/>
  <c r="BQ29" i="9"/>
  <c r="BR29" i="9"/>
  <c r="BS29" i="9"/>
  <c r="BT29" i="9"/>
  <c r="BU29" i="9"/>
  <c r="BX29" i="9"/>
  <c r="BH30" i="9"/>
  <c r="BL30" i="9"/>
  <c r="BQ30" i="9"/>
  <c r="BR30" i="9"/>
  <c r="BS30" i="9"/>
  <c r="BT30" i="9"/>
  <c r="BU30" i="9"/>
  <c r="BH31" i="9"/>
  <c r="BL31" i="9"/>
  <c r="BM31" i="9"/>
  <c r="BN31" i="9"/>
  <c r="BQ31" i="9"/>
  <c r="BR31" i="9"/>
  <c r="BS31" i="9"/>
  <c r="BT31" i="9"/>
  <c r="BU31" i="9"/>
  <c r="BX31" i="9"/>
  <c r="BH32" i="9"/>
  <c r="BL32" i="9"/>
  <c r="BM32" i="9"/>
  <c r="BN32" i="9"/>
  <c r="BQ32" i="9"/>
  <c r="BR32" i="9"/>
  <c r="BS32" i="9"/>
  <c r="BT32" i="9"/>
  <c r="BU32" i="9"/>
  <c r="BX32" i="9"/>
  <c r="BH33" i="9"/>
  <c r="BL33" i="9"/>
  <c r="BQ33" i="9"/>
  <c r="BR33" i="9"/>
  <c r="BS33" i="9"/>
  <c r="BT33" i="9"/>
  <c r="BU33" i="9"/>
  <c r="BH34" i="9"/>
  <c r="BL34" i="9"/>
  <c r="BQ34" i="9"/>
  <c r="BR34" i="9"/>
  <c r="BS34" i="9"/>
  <c r="BT34" i="9"/>
  <c r="BU34" i="9"/>
  <c r="BH35" i="9"/>
  <c r="BL35" i="9"/>
  <c r="BQ35" i="9"/>
  <c r="BR35" i="9"/>
  <c r="BS35" i="9"/>
  <c r="BT35" i="9"/>
  <c r="BU35" i="9"/>
  <c r="BH36" i="9"/>
  <c r="BL36" i="9"/>
  <c r="BQ36" i="9"/>
  <c r="BR36" i="9"/>
  <c r="BS36" i="9"/>
  <c r="BT36" i="9"/>
  <c r="BU36" i="9"/>
  <c r="BH37" i="9"/>
  <c r="BL37" i="9"/>
  <c r="BQ37" i="9"/>
  <c r="BR37" i="9"/>
  <c r="BS37" i="9"/>
  <c r="BT37" i="9"/>
  <c r="BU37" i="9"/>
  <c r="BH38" i="9"/>
  <c r="BL38" i="9"/>
  <c r="BQ38" i="9"/>
  <c r="BR38" i="9"/>
  <c r="BS38" i="9"/>
  <c r="BT38" i="9"/>
  <c r="BU38" i="9"/>
  <c r="BH39" i="9"/>
  <c r="BL39" i="9"/>
  <c r="BQ39" i="9"/>
  <c r="BR39" i="9"/>
  <c r="BS39" i="9"/>
  <c r="BT39" i="9"/>
  <c r="BU39" i="9"/>
  <c r="BH40" i="9"/>
  <c r="BL40" i="9"/>
  <c r="BQ40" i="9"/>
  <c r="BR40" i="9"/>
  <c r="BS40" i="9"/>
  <c r="BT40" i="9"/>
  <c r="BU40" i="9"/>
  <c r="BH41" i="9"/>
  <c r="BL41" i="9"/>
  <c r="BQ41" i="9"/>
  <c r="BR41" i="9"/>
  <c r="BS41" i="9"/>
  <c r="BT41" i="9"/>
  <c r="BU41" i="9"/>
  <c r="BH42" i="9"/>
  <c r="BL42" i="9"/>
  <c r="BQ42" i="9"/>
  <c r="BR42" i="9"/>
  <c r="BS42" i="9"/>
  <c r="BT42" i="9"/>
  <c r="BU42" i="9"/>
  <c r="BH43" i="9"/>
  <c r="BL43" i="9"/>
  <c r="BQ43" i="9"/>
  <c r="BR43" i="9"/>
  <c r="BS43" i="9"/>
  <c r="BT43" i="9"/>
  <c r="BU43" i="9"/>
  <c r="BH44" i="9"/>
  <c r="BL44" i="9"/>
  <c r="BQ44" i="9"/>
  <c r="BR44" i="9"/>
  <c r="BS44" i="9"/>
  <c r="BT44" i="9"/>
  <c r="BU44" i="9"/>
  <c r="BH45" i="9"/>
  <c r="BL45" i="9"/>
  <c r="BM45" i="9"/>
  <c r="BN45" i="9"/>
  <c r="BQ45" i="9"/>
  <c r="BR45" i="9"/>
  <c r="BS45" i="9"/>
  <c r="BT45" i="9"/>
  <c r="BU45" i="9"/>
  <c r="BX45" i="9"/>
  <c r="BH46" i="9"/>
  <c r="BL46" i="9"/>
  <c r="BQ46" i="9"/>
  <c r="BR46" i="9"/>
  <c r="BS46" i="9"/>
  <c r="BT46" i="9"/>
  <c r="BU46" i="9"/>
  <c r="BH47" i="9"/>
  <c r="BL47" i="9"/>
  <c r="BQ47" i="9"/>
  <c r="BR47" i="9"/>
  <c r="BS47" i="9"/>
  <c r="BT47" i="9"/>
  <c r="BU47" i="9"/>
  <c r="BH48" i="9"/>
  <c r="BL48" i="9"/>
  <c r="BQ48" i="9"/>
  <c r="BR48" i="9"/>
  <c r="BS48" i="9"/>
  <c r="BT48" i="9"/>
  <c r="BU48" i="9"/>
  <c r="BH49" i="9"/>
  <c r="BL49" i="9"/>
  <c r="BQ49" i="9"/>
  <c r="BR49" i="9"/>
  <c r="BS49" i="9"/>
  <c r="BT49" i="9"/>
  <c r="BU49" i="9"/>
  <c r="BH50" i="9"/>
  <c r="BL50" i="9"/>
  <c r="BQ50" i="9"/>
  <c r="BR50" i="9"/>
  <c r="BS50" i="9"/>
  <c r="BT50" i="9"/>
  <c r="BU50" i="9"/>
  <c r="BH51" i="9"/>
  <c r="BL51" i="9"/>
  <c r="BQ51" i="9"/>
  <c r="BR51" i="9"/>
  <c r="BS51" i="9"/>
  <c r="BT51" i="9"/>
  <c r="BU51" i="9"/>
  <c r="BH52" i="9"/>
  <c r="BL52" i="9"/>
  <c r="BQ52" i="9"/>
  <c r="BR52" i="9"/>
  <c r="BS52" i="9"/>
  <c r="BT52" i="9"/>
  <c r="BU52" i="9"/>
  <c r="BH53" i="9"/>
  <c r="BL53" i="9"/>
  <c r="BQ53" i="9"/>
  <c r="BR53" i="9"/>
  <c r="BS53" i="9"/>
  <c r="BT53" i="9"/>
  <c r="BU53" i="9"/>
  <c r="BH54" i="9"/>
  <c r="BL54" i="9"/>
  <c r="BM54" i="9"/>
  <c r="BN54" i="9"/>
  <c r="BQ54" i="9"/>
  <c r="BR54" i="9"/>
  <c r="BS54" i="9"/>
  <c r="BT54" i="9"/>
  <c r="BU54" i="9"/>
  <c r="BX54" i="9"/>
  <c r="BH55" i="9"/>
  <c r="BL55" i="9"/>
  <c r="BQ55" i="9"/>
  <c r="BR55" i="9"/>
  <c r="BS55" i="9"/>
  <c r="BT55" i="9"/>
  <c r="BU55" i="9"/>
  <c r="BH56" i="9"/>
  <c r="BL56" i="9"/>
  <c r="BQ56" i="9"/>
  <c r="BR56" i="9"/>
  <c r="BS56" i="9"/>
  <c r="BT56" i="9"/>
  <c r="BU56" i="9"/>
  <c r="BH57" i="9"/>
  <c r="BL57" i="9"/>
  <c r="BM57" i="9"/>
  <c r="BN57" i="9"/>
  <c r="BQ57" i="9"/>
  <c r="BR57" i="9"/>
  <c r="BS57" i="9"/>
  <c r="BT57" i="9"/>
  <c r="BU57" i="9"/>
  <c r="BX57" i="9"/>
  <c r="BH58" i="9"/>
  <c r="BL58" i="9"/>
  <c r="BM58" i="9"/>
  <c r="BN58" i="9"/>
  <c r="BQ58" i="9"/>
  <c r="BR58" i="9"/>
  <c r="BS58" i="9"/>
  <c r="BT58" i="9"/>
  <c r="BU58" i="9"/>
  <c r="BX58" i="9"/>
  <c r="BH59" i="9"/>
  <c r="BL59" i="9"/>
  <c r="BM59" i="9"/>
  <c r="BN59" i="9"/>
  <c r="BQ59" i="9"/>
  <c r="BR59" i="9"/>
  <c r="BS59" i="9"/>
  <c r="BT59" i="9"/>
  <c r="BU59" i="9"/>
  <c r="BX59" i="9"/>
  <c r="BH60" i="9"/>
  <c r="BL60" i="9"/>
  <c r="BQ60" i="9"/>
  <c r="BR60" i="9"/>
  <c r="BS60" i="9"/>
  <c r="BT60" i="9"/>
  <c r="BU60" i="9"/>
  <c r="BH61" i="9"/>
  <c r="BL61" i="9"/>
  <c r="BM61" i="9"/>
  <c r="BN61" i="9"/>
  <c r="BQ61" i="9"/>
  <c r="BR61" i="9"/>
  <c r="BS61" i="9"/>
  <c r="BT61" i="9"/>
  <c r="BU61" i="9"/>
  <c r="BX61" i="9"/>
  <c r="BH62" i="9"/>
  <c r="BL62" i="9"/>
  <c r="BQ62" i="9"/>
  <c r="BR62" i="9"/>
  <c r="BS62" i="9"/>
  <c r="BT62" i="9"/>
  <c r="BU62" i="9"/>
  <c r="BH63" i="9"/>
  <c r="BL63" i="9"/>
  <c r="BQ63" i="9"/>
  <c r="BR63" i="9"/>
  <c r="BS63" i="9"/>
  <c r="BT63" i="9"/>
  <c r="BU63" i="9"/>
  <c r="BH64" i="9"/>
  <c r="BL64" i="9"/>
  <c r="BM64" i="9"/>
  <c r="BN64" i="9"/>
  <c r="BQ64" i="9"/>
  <c r="BR64" i="9"/>
  <c r="BS64" i="9"/>
  <c r="BT64" i="9"/>
  <c r="BU64" i="9"/>
  <c r="BX64" i="9"/>
  <c r="BH65" i="9"/>
  <c r="BL65" i="9"/>
  <c r="BQ65" i="9"/>
  <c r="BR65" i="9"/>
  <c r="BS65" i="9"/>
  <c r="BT65" i="9"/>
  <c r="BU65" i="9"/>
  <c r="BH66" i="9"/>
  <c r="BL66" i="9"/>
  <c r="BQ66" i="9"/>
  <c r="BR66" i="9"/>
  <c r="BS66" i="9"/>
  <c r="BT66" i="9"/>
  <c r="BU66" i="9"/>
  <c r="BH67" i="9"/>
  <c r="BL67" i="9"/>
  <c r="BQ67" i="9"/>
  <c r="BR67" i="9"/>
  <c r="BS67" i="9"/>
  <c r="BT67" i="9"/>
  <c r="BU67" i="9"/>
  <c r="BH68" i="9"/>
  <c r="BL68" i="9"/>
  <c r="BQ68" i="9"/>
  <c r="BR68" i="9"/>
  <c r="BS68" i="9"/>
  <c r="BT68" i="9"/>
  <c r="BU68" i="9"/>
  <c r="BH69" i="9"/>
  <c r="BJ69" i="9"/>
  <c r="BL69" i="9"/>
  <c r="BM69" i="9"/>
  <c r="BN69" i="9"/>
  <c r="BV69" i="9"/>
  <c r="BO69" i="9"/>
  <c r="BP69" i="9"/>
  <c r="BQ69" i="9"/>
  <c r="BR69" i="9"/>
  <c r="BS69" i="9"/>
  <c r="BT69" i="9"/>
  <c r="BU69" i="9"/>
  <c r="BX69" i="9"/>
  <c r="BG70" i="9"/>
  <c r="BH70" i="9"/>
  <c r="BI70" i="9"/>
  <c r="BJ70" i="9"/>
  <c r="BL70" i="9"/>
  <c r="BM70" i="9"/>
  <c r="BN70" i="9"/>
  <c r="BO70" i="9"/>
  <c r="BP70" i="9"/>
  <c r="BQ70" i="9"/>
  <c r="BR70" i="9"/>
  <c r="BS70" i="9"/>
  <c r="BT70" i="9"/>
  <c r="BU70" i="9"/>
  <c r="BV70" i="9"/>
  <c r="BX70" i="9"/>
  <c r="BH11" i="8"/>
  <c r="BL11" i="8"/>
  <c r="BM11" i="8"/>
  <c r="BN11" i="8"/>
  <c r="BQ11" i="8"/>
  <c r="BR11" i="8"/>
  <c r="BS11" i="8"/>
  <c r="BT11" i="8"/>
  <c r="BU11" i="8"/>
  <c r="BX11" i="8"/>
  <c r="BH12" i="8"/>
  <c r="BL12" i="8"/>
  <c r="BM12" i="8"/>
  <c r="BN12" i="8"/>
  <c r="BQ12" i="8"/>
  <c r="BR12" i="8"/>
  <c r="BS12" i="8"/>
  <c r="BT12" i="8"/>
  <c r="BU12" i="8"/>
  <c r="BX12" i="8"/>
  <c r="BH13" i="8"/>
  <c r="BL13" i="8"/>
  <c r="BM13" i="8"/>
  <c r="BN13" i="8"/>
  <c r="BQ13" i="8"/>
  <c r="BR13" i="8"/>
  <c r="BS13" i="8"/>
  <c r="BT13" i="8"/>
  <c r="BU13" i="8"/>
  <c r="BX13" i="8"/>
  <c r="BH14" i="8"/>
  <c r="BL14" i="8"/>
  <c r="BM14" i="8"/>
  <c r="BN14" i="8"/>
  <c r="BQ14" i="8"/>
  <c r="BR14" i="8"/>
  <c r="BS14" i="8"/>
  <c r="BT14" i="8"/>
  <c r="BU14" i="8"/>
  <c r="BX14" i="8"/>
  <c r="BH15" i="8"/>
  <c r="BL15" i="8"/>
  <c r="BQ15" i="8"/>
  <c r="BR15" i="8"/>
  <c r="BS15" i="8"/>
  <c r="BT15" i="8"/>
  <c r="BU15" i="8"/>
  <c r="BH16" i="8"/>
  <c r="BL16" i="8"/>
  <c r="BM16" i="8"/>
  <c r="BN16" i="8"/>
  <c r="BQ16" i="8"/>
  <c r="BR16" i="8"/>
  <c r="BS16" i="8"/>
  <c r="BT16" i="8"/>
  <c r="BU16" i="8"/>
  <c r="BX16" i="8"/>
  <c r="BH17" i="8"/>
  <c r="BL17" i="8"/>
  <c r="BM17" i="8"/>
  <c r="BN17" i="8"/>
  <c r="BQ17" i="8"/>
  <c r="BR17" i="8"/>
  <c r="BS17" i="8"/>
  <c r="BT17" i="8"/>
  <c r="BU17" i="8"/>
  <c r="BX17" i="8"/>
  <c r="BH18" i="8"/>
  <c r="BL18" i="8"/>
  <c r="BQ18" i="8"/>
  <c r="BR18" i="8"/>
  <c r="BS18" i="8"/>
  <c r="BT18" i="8"/>
  <c r="BU18" i="8"/>
  <c r="BH19" i="8"/>
  <c r="BL19" i="8"/>
  <c r="BQ19" i="8"/>
  <c r="BR19" i="8"/>
  <c r="BS19" i="8"/>
  <c r="BT19" i="8"/>
  <c r="BU19" i="8"/>
  <c r="BH20" i="8"/>
  <c r="BL20" i="8"/>
  <c r="BM20" i="8"/>
  <c r="BN20" i="8"/>
  <c r="BQ20" i="8"/>
  <c r="BR20" i="8"/>
  <c r="BS20" i="8"/>
  <c r="BT20" i="8"/>
  <c r="BU20" i="8"/>
  <c r="BX20" i="8"/>
  <c r="BH21" i="8"/>
  <c r="BL21" i="8"/>
  <c r="BQ21" i="8"/>
  <c r="BR21" i="8"/>
  <c r="BS21" i="8"/>
  <c r="BT21" i="8"/>
  <c r="BU21" i="8"/>
  <c r="BH22" i="8"/>
  <c r="BL22" i="8"/>
  <c r="BM22" i="8"/>
  <c r="BN22" i="8"/>
  <c r="BQ22" i="8"/>
  <c r="BR22" i="8"/>
  <c r="BS22" i="8"/>
  <c r="BT22" i="8"/>
  <c r="BU22" i="8"/>
  <c r="BX22" i="8"/>
  <c r="BH23" i="8"/>
  <c r="BL23" i="8"/>
  <c r="BQ23" i="8"/>
  <c r="BR23" i="8"/>
  <c r="BS23" i="8"/>
  <c r="BT23" i="8"/>
  <c r="BU23" i="8"/>
  <c r="BH24" i="8"/>
  <c r="BL24" i="8"/>
  <c r="BQ24" i="8"/>
  <c r="BR24" i="8"/>
  <c r="BS24" i="8"/>
  <c r="BT24" i="8"/>
  <c r="BU24" i="8"/>
  <c r="BH25" i="8"/>
  <c r="BL25" i="8"/>
  <c r="BM25" i="8"/>
  <c r="BN25" i="8"/>
  <c r="BQ25" i="8"/>
  <c r="BR25" i="8"/>
  <c r="BS25" i="8"/>
  <c r="BT25" i="8"/>
  <c r="BU25" i="8"/>
  <c r="BX25" i="8"/>
  <c r="BH26" i="8"/>
  <c r="BL26" i="8"/>
  <c r="BQ26" i="8"/>
  <c r="BR26" i="8"/>
  <c r="BS26" i="8"/>
  <c r="BT26" i="8"/>
  <c r="BU26" i="8"/>
  <c r="BH27" i="8"/>
  <c r="BL27" i="8"/>
  <c r="BQ27" i="8"/>
  <c r="BR27" i="8"/>
  <c r="BS27" i="8"/>
  <c r="BT27" i="8"/>
  <c r="BU27" i="8"/>
  <c r="BH28" i="8"/>
  <c r="BL28" i="8"/>
  <c r="BQ28" i="8"/>
  <c r="BR28" i="8"/>
  <c r="BS28" i="8"/>
  <c r="BT28" i="8"/>
  <c r="BU28" i="8"/>
  <c r="BH29" i="8"/>
  <c r="BL29" i="8"/>
  <c r="BQ29" i="8"/>
  <c r="BR29" i="8"/>
  <c r="BS29" i="8"/>
  <c r="BT29" i="8"/>
  <c r="BU29" i="8"/>
  <c r="BH30" i="8"/>
  <c r="BL30" i="8"/>
  <c r="BQ30" i="8"/>
  <c r="BR30" i="8"/>
  <c r="BS30" i="8"/>
  <c r="BT30" i="8"/>
  <c r="BU30" i="8"/>
  <c r="BH31" i="8"/>
  <c r="BL31" i="8"/>
  <c r="BQ31" i="8"/>
  <c r="BR31" i="8"/>
  <c r="BS31" i="8"/>
  <c r="BT31" i="8"/>
  <c r="BU31" i="8"/>
  <c r="BH32" i="8"/>
  <c r="BL32" i="8"/>
  <c r="BQ32" i="8"/>
  <c r="BR32" i="8"/>
  <c r="BS32" i="8"/>
  <c r="BT32" i="8"/>
  <c r="BU32" i="8"/>
  <c r="BH33" i="8"/>
  <c r="BL33" i="8"/>
  <c r="BQ33" i="8"/>
  <c r="BR33" i="8"/>
  <c r="BS33" i="8"/>
  <c r="BT33" i="8"/>
  <c r="BU33" i="8"/>
  <c r="BH34" i="8"/>
  <c r="BL34" i="8"/>
  <c r="BQ34" i="8"/>
  <c r="BR34" i="8"/>
  <c r="BS34" i="8"/>
  <c r="BT34" i="8"/>
  <c r="BU34" i="8"/>
  <c r="BH35" i="8"/>
  <c r="BL35" i="8"/>
  <c r="BQ35" i="8"/>
  <c r="BR35" i="8"/>
  <c r="BS35" i="8"/>
  <c r="BT35" i="8"/>
  <c r="BU35" i="8"/>
  <c r="BH36" i="8"/>
  <c r="BL36" i="8"/>
  <c r="BQ36" i="8"/>
  <c r="BR36" i="8"/>
  <c r="BS36" i="8"/>
  <c r="BT36" i="8"/>
  <c r="BU36" i="8"/>
  <c r="BH37" i="8"/>
  <c r="BL37" i="8"/>
  <c r="BQ37" i="8"/>
  <c r="BR37" i="8"/>
  <c r="BS37" i="8"/>
  <c r="BT37" i="8"/>
  <c r="BU37" i="8"/>
  <c r="BH38" i="8"/>
  <c r="BL38" i="8"/>
  <c r="BQ38" i="8"/>
  <c r="BR38" i="8"/>
  <c r="BS38" i="8"/>
  <c r="BT38" i="8"/>
  <c r="BU38" i="8"/>
  <c r="BH39" i="8"/>
  <c r="BL39" i="8"/>
  <c r="BQ39" i="8"/>
  <c r="BR39" i="8"/>
  <c r="BS39" i="8"/>
  <c r="BT39" i="8"/>
  <c r="BU39" i="8"/>
  <c r="BH40" i="8"/>
  <c r="BL40" i="8"/>
  <c r="BQ40" i="8"/>
  <c r="BR40" i="8"/>
  <c r="BS40" i="8"/>
  <c r="BT40" i="8"/>
  <c r="BU40" i="8"/>
  <c r="BH41" i="8"/>
  <c r="BL41" i="8"/>
  <c r="BQ41" i="8"/>
  <c r="BR41" i="8"/>
  <c r="BS41" i="8"/>
  <c r="BT41" i="8"/>
  <c r="BU41" i="8"/>
  <c r="BH42" i="8"/>
  <c r="BL42" i="8"/>
  <c r="BM42" i="8"/>
  <c r="BN42" i="8"/>
  <c r="BQ42" i="8"/>
  <c r="BR42" i="8"/>
  <c r="BS42" i="8"/>
  <c r="BT42" i="8"/>
  <c r="BU42" i="8"/>
  <c r="BX42" i="8"/>
  <c r="BH43" i="8"/>
  <c r="BL43" i="8"/>
  <c r="BM43" i="8"/>
  <c r="BN43" i="8"/>
  <c r="BQ43" i="8"/>
  <c r="BR43" i="8"/>
  <c r="BS43" i="8"/>
  <c r="BT43" i="8"/>
  <c r="BU43" i="8"/>
  <c r="BX43" i="8"/>
  <c r="BH44" i="8"/>
  <c r="BL44" i="8"/>
  <c r="BM44" i="8"/>
  <c r="BN44" i="8"/>
  <c r="BQ44" i="8"/>
  <c r="BR44" i="8"/>
  <c r="BS44" i="8"/>
  <c r="BT44" i="8"/>
  <c r="BU44" i="8"/>
  <c r="BX44" i="8"/>
  <c r="BH45" i="8"/>
  <c r="BL45" i="8"/>
  <c r="BM45" i="8"/>
  <c r="BN45" i="8"/>
  <c r="BQ45" i="8"/>
  <c r="BR45" i="8"/>
  <c r="BS45" i="8"/>
  <c r="BT45" i="8"/>
  <c r="BU45" i="8"/>
  <c r="BX45" i="8"/>
  <c r="BG46" i="8"/>
  <c r="BH46" i="8"/>
  <c r="BI46" i="8"/>
  <c r="BJ46" i="8"/>
  <c r="BL46" i="8"/>
  <c r="BM46" i="8"/>
  <c r="BN46" i="8"/>
  <c r="BO46" i="8"/>
  <c r="BP46" i="8"/>
  <c r="BQ46" i="8"/>
  <c r="BR46" i="8"/>
  <c r="BS46" i="8"/>
  <c r="BT46" i="8"/>
  <c r="BU46" i="8"/>
  <c r="BV46" i="8"/>
  <c r="BX46" i="8"/>
  <c r="BG47" i="8"/>
  <c r="BH47" i="8"/>
  <c r="BI47" i="8"/>
  <c r="BJ47" i="8"/>
  <c r="BL47" i="8"/>
  <c r="BM47" i="8"/>
  <c r="BN47" i="8"/>
  <c r="BO47" i="8"/>
  <c r="BP47" i="8"/>
  <c r="BQ47" i="8"/>
  <c r="BR47" i="8"/>
  <c r="BS47" i="8"/>
  <c r="BT47" i="8"/>
  <c r="BU47" i="8"/>
  <c r="BV47" i="8"/>
  <c r="BX47" i="8"/>
  <c r="BG48" i="8"/>
  <c r="BH48" i="8"/>
  <c r="BI48" i="8"/>
  <c r="BJ48" i="8"/>
  <c r="BL48" i="8"/>
  <c r="BM48" i="8"/>
  <c r="BN48" i="8"/>
  <c r="BO48" i="8"/>
  <c r="BP48" i="8"/>
  <c r="BQ48" i="8"/>
  <c r="BR48" i="8"/>
  <c r="BS48" i="8"/>
  <c r="BT48" i="8"/>
  <c r="BU48" i="8"/>
  <c r="BV48" i="8"/>
  <c r="BX48" i="8"/>
  <c r="BG49" i="8"/>
  <c r="BH49" i="8"/>
  <c r="BI49" i="8"/>
  <c r="BJ49" i="8"/>
  <c r="BL49" i="8"/>
  <c r="BM49" i="8"/>
  <c r="BN49" i="8"/>
  <c r="BO49" i="8"/>
  <c r="BP49" i="8"/>
  <c r="BQ49" i="8"/>
  <c r="BR49" i="8"/>
  <c r="BS49" i="8"/>
  <c r="BT49" i="8"/>
  <c r="BU49" i="8"/>
  <c r="BV49" i="8"/>
  <c r="BX49" i="8"/>
  <c r="BG50" i="8"/>
  <c r="BH50" i="8"/>
  <c r="BI50" i="8"/>
  <c r="BJ50" i="8"/>
  <c r="BL50" i="8"/>
  <c r="BM50" i="8"/>
  <c r="BN50" i="8"/>
  <c r="BO50" i="8"/>
  <c r="BP50" i="8"/>
  <c r="BQ50" i="8"/>
  <c r="BR50" i="8"/>
  <c r="BS50" i="8"/>
  <c r="BT50" i="8"/>
  <c r="BU50" i="8"/>
  <c r="BV50" i="8"/>
  <c r="BX50" i="8"/>
  <c r="BG51" i="8"/>
  <c r="BH51" i="8"/>
  <c r="BI51" i="8"/>
  <c r="BJ51" i="8"/>
  <c r="BL51" i="8"/>
  <c r="BM51" i="8"/>
  <c r="BN51" i="8"/>
  <c r="BO51" i="8"/>
  <c r="BP51" i="8"/>
  <c r="BQ51" i="8"/>
  <c r="BR51" i="8"/>
  <c r="BS51" i="8"/>
  <c r="BT51" i="8"/>
  <c r="BU51" i="8"/>
  <c r="BV51" i="8"/>
  <c r="BX51" i="8"/>
  <c r="BG52" i="8"/>
  <c r="BH52" i="8"/>
  <c r="BI52" i="8"/>
  <c r="BJ52" i="8"/>
  <c r="BL52" i="8"/>
  <c r="BM52" i="8"/>
  <c r="BN52" i="8"/>
  <c r="BO52" i="8"/>
  <c r="BP52" i="8"/>
  <c r="BQ52" i="8"/>
  <c r="BR52" i="8"/>
  <c r="BS52" i="8"/>
  <c r="BT52" i="8"/>
  <c r="BU52" i="8"/>
  <c r="BV52" i="8"/>
  <c r="BX52" i="8"/>
  <c r="BG53" i="8"/>
  <c r="BH53" i="8"/>
  <c r="BI53" i="8"/>
  <c r="BJ53" i="8"/>
  <c r="BL53" i="8"/>
  <c r="BM53" i="8"/>
  <c r="BN53" i="8"/>
  <c r="BO53" i="8"/>
  <c r="BP53" i="8"/>
  <c r="BQ53" i="8"/>
  <c r="BR53" i="8"/>
  <c r="BS53" i="8"/>
  <c r="BT53" i="8"/>
  <c r="BU53" i="8"/>
  <c r="BV53" i="8"/>
  <c r="BX53" i="8"/>
  <c r="BG54" i="8"/>
  <c r="BH54" i="8"/>
  <c r="BI54" i="8"/>
  <c r="BJ54" i="8"/>
  <c r="BL54" i="8"/>
  <c r="BM54" i="8"/>
  <c r="BN54" i="8"/>
  <c r="BO54" i="8"/>
  <c r="BP54" i="8"/>
  <c r="BQ54" i="8"/>
  <c r="BR54" i="8"/>
  <c r="BS54" i="8"/>
  <c r="BT54" i="8"/>
  <c r="BU54" i="8"/>
  <c r="BV54" i="8"/>
  <c r="BX54" i="8"/>
  <c r="BG55" i="8"/>
  <c r="BH55" i="8"/>
  <c r="BI55" i="8"/>
  <c r="BJ55" i="8"/>
  <c r="BL55" i="8"/>
  <c r="BM55" i="8"/>
  <c r="BN55" i="8"/>
  <c r="BO55" i="8"/>
  <c r="BP55" i="8"/>
  <c r="BQ55" i="8"/>
  <c r="BR55" i="8"/>
  <c r="BS55" i="8"/>
  <c r="BT55" i="8"/>
  <c r="BU55" i="8"/>
  <c r="BV55" i="8"/>
  <c r="BX55" i="8"/>
  <c r="BG56" i="8"/>
  <c r="BH56" i="8"/>
  <c r="BI56" i="8"/>
  <c r="BJ56" i="8"/>
  <c r="BL56" i="8"/>
  <c r="BM56" i="8"/>
  <c r="BN56" i="8"/>
  <c r="BO56" i="8"/>
  <c r="BP56" i="8"/>
  <c r="BQ56" i="8"/>
  <c r="BR56" i="8"/>
  <c r="BS56" i="8"/>
  <c r="BT56" i="8"/>
  <c r="BU56" i="8"/>
  <c r="BV56" i="8"/>
  <c r="BX56" i="8"/>
  <c r="BG57" i="8"/>
  <c r="BH57" i="8"/>
  <c r="BI57" i="8"/>
  <c r="BJ57" i="8"/>
  <c r="BL57" i="8"/>
  <c r="BM57" i="8"/>
  <c r="BN57" i="8"/>
  <c r="BO57" i="8"/>
  <c r="BP57" i="8"/>
  <c r="BQ57" i="8"/>
  <c r="BR57" i="8"/>
  <c r="BS57" i="8"/>
  <c r="BT57" i="8"/>
  <c r="BU57" i="8"/>
  <c r="BV57" i="8"/>
  <c r="BX57" i="8"/>
  <c r="BG58" i="8"/>
  <c r="BH58" i="8"/>
  <c r="BI58" i="8"/>
  <c r="BJ58" i="8"/>
  <c r="BL58" i="8"/>
  <c r="BM58" i="8"/>
  <c r="BN58" i="8"/>
  <c r="BO58" i="8"/>
  <c r="BP58" i="8"/>
  <c r="BQ58" i="8"/>
  <c r="BR58" i="8"/>
  <c r="BS58" i="8"/>
  <c r="BT58" i="8"/>
  <c r="BU58" i="8"/>
  <c r="BV58" i="8"/>
  <c r="BX58" i="8"/>
  <c r="BG59" i="8"/>
  <c r="BH59" i="8"/>
  <c r="BI59" i="8"/>
  <c r="BJ59" i="8"/>
  <c r="BL59" i="8"/>
  <c r="BM59" i="8"/>
  <c r="BN59" i="8"/>
  <c r="BO59" i="8"/>
  <c r="BP59" i="8"/>
  <c r="BQ59" i="8"/>
  <c r="BR59" i="8"/>
  <c r="BS59" i="8"/>
  <c r="BT59" i="8"/>
  <c r="BU59" i="8"/>
  <c r="BV59" i="8"/>
  <c r="BX59" i="8"/>
  <c r="BG60" i="8"/>
  <c r="BH60" i="8"/>
  <c r="BI60" i="8"/>
  <c r="BJ60" i="8"/>
  <c r="BL60" i="8"/>
  <c r="BM60" i="8"/>
  <c r="BN60" i="8"/>
  <c r="BO60" i="8"/>
  <c r="BP60" i="8"/>
  <c r="BQ60" i="8"/>
  <c r="BR60" i="8"/>
  <c r="BS60" i="8"/>
  <c r="BT60" i="8"/>
  <c r="BU60" i="8"/>
  <c r="BV60" i="8"/>
  <c r="BX60" i="8"/>
  <c r="BG61" i="8"/>
  <c r="BH61" i="8"/>
  <c r="BI61" i="8"/>
  <c r="BJ61" i="8"/>
  <c r="BL61" i="8"/>
  <c r="BM61" i="8"/>
  <c r="BN61" i="8"/>
  <c r="BO61" i="8"/>
  <c r="BP61" i="8"/>
  <c r="BQ61" i="8"/>
  <c r="BR61" i="8"/>
  <c r="BS61" i="8"/>
  <c r="BT61" i="8"/>
  <c r="BU61" i="8"/>
  <c r="BV61" i="8"/>
  <c r="BX61" i="8"/>
  <c r="BG62" i="8"/>
  <c r="BH62" i="8"/>
  <c r="BI62" i="8"/>
  <c r="BJ62" i="8"/>
  <c r="BL62" i="8"/>
  <c r="BM62" i="8"/>
  <c r="BN62" i="8"/>
  <c r="BO62" i="8"/>
  <c r="BP62" i="8"/>
  <c r="BQ62" i="8"/>
  <c r="BR62" i="8"/>
  <c r="BS62" i="8"/>
  <c r="BT62" i="8"/>
  <c r="BU62" i="8"/>
  <c r="BV62" i="8"/>
  <c r="BX62" i="8"/>
  <c r="BG63" i="8"/>
  <c r="BH63" i="8"/>
  <c r="BI63" i="8"/>
  <c r="BJ63" i="8"/>
  <c r="BL63" i="8"/>
  <c r="BM63" i="8"/>
  <c r="BN63" i="8"/>
  <c r="BO63" i="8"/>
  <c r="BP63" i="8"/>
  <c r="BQ63" i="8"/>
  <c r="BR63" i="8"/>
  <c r="BS63" i="8"/>
  <c r="BT63" i="8"/>
  <c r="BU63" i="8"/>
  <c r="BV63" i="8"/>
  <c r="BX63" i="8"/>
  <c r="BG64" i="8"/>
  <c r="BH64" i="8"/>
  <c r="BI64" i="8"/>
  <c r="BJ64" i="8"/>
  <c r="BL64" i="8"/>
  <c r="BM64" i="8"/>
  <c r="BN64" i="8"/>
  <c r="BO64" i="8"/>
  <c r="BP64" i="8"/>
  <c r="BQ64" i="8"/>
  <c r="BR64" i="8"/>
  <c r="BS64" i="8"/>
  <c r="BT64" i="8"/>
  <c r="BU64" i="8"/>
  <c r="BV64" i="8"/>
  <c r="BX64" i="8"/>
  <c r="BG65" i="8"/>
  <c r="BH65" i="8"/>
  <c r="BI65" i="8"/>
  <c r="BJ65" i="8"/>
  <c r="BL65" i="8"/>
  <c r="BM65" i="8"/>
  <c r="BN65" i="8"/>
  <c r="BO65" i="8"/>
  <c r="BP65" i="8"/>
  <c r="BQ65" i="8"/>
  <c r="BR65" i="8"/>
  <c r="BS65" i="8"/>
  <c r="BT65" i="8"/>
  <c r="BU65" i="8"/>
  <c r="BV65" i="8"/>
  <c r="BX65" i="8"/>
  <c r="BG66" i="8"/>
  <c r="BH66" i="8"/>
  <c r="BI66" i="8"/>
  <c r="BJ66" i="8"/>
  <c r="BL66" i="8"/>
  <c r="BM66" i="8"/>
  <c r="BN66" i="8"/>
  <c r="BO66" i="8"/>
  <c r="BP66" i="8"/>
  <c r="BQ66" i="8"/>
  <c r="BR66" i="8"/>
  <c r="BS66" i="8"/>
  <c r="BT66" i="8"/>
  <c r="BU66" i="8"/>
  <c r="BV66" i="8"/>
  <c r="BX66" i="8"/>
  <c r="BG67" i="8"/>
  <c r="BH67" i="8"/>
  <c r="BI67" i="8"/>
  <c r="BJ67" i="8"/>
  <c r="BL67" i="8"/>
  <c r="BM67" i="8"/>
  <c r="BN67" i="8"/>
  <c r="BO67" i="8"/>
  <c r="BP67" i="8"/>
  <c r="BQ67" i="8"/>
  <c r="BR67" i="8"/>
  <c r="BS67" i="8"/>
  <c r="BT67" i="8"/>
  <c r="BU67" i="8"/>
  <c r="BV67" i="8"/>
  <c r="BX67" i="8"/>
  <c r="BG68" i="8"/>
  <c r="BH68" i="8"/>
  <c r="BI68" i="8"/>
  <c r="BJ68" i="8"/>
  <c r="BL68" i="8"/>
  <c r="BM68" i="8"/>
  <c r="BN68" i="8"/>
  <c r="BO68" i="8"/>
  <c r="BP68" i="8"/>
  <c r="BQ68" i="8"/>
  <c r="BR68" i="8"/>
  <c r="BS68" i="8"/>
  <c r="BT68" i="8"/>
  <c r="BU68" i="8"/>
  <c r="BV68" i="8"/>
  <c r="BX68" i="8"/>
  <c r="BG69" i="8"/>
  <c r="BH69" i="8"/>
  <c r="BI69" i="8"/>
  <c r="BJ69" i="8"/>
  <c r="BL69" i="8"/>
  <c r="BM69" i="8"/>
  <c r="BN69" i="8"/>
  <c r="BO69" i="8"/>
  <c r="BP69" i="8"/>
  <c r="BQ69" i="8"/>
  <c r="BR69" i="8"/>
  <c r="BS69" i="8"/>
  <c r="BT69" i="8"/>
  <c r="BU69" i="8"/>
  <c r="BV69" i="8"/>
  <c r="BX69" i="8"/>
  <c r="BG70" i="8"/>
  <c r="BH70" i="8"/>
  <c r="BI70" i="8"/>
  <c r="BJ70" i="8"/>
  <c r="BL70" i="8"/>
  <c r="BM70" i="8"/>
  <c r="BN70" i="8"/>
  <c r="BO70" i="8"/>
  <c r="BP70" i="8"/>
  <c r="BQ70" i="8"/>
  <c r="BR70" i="8"/>
  <c r="BS70" i="8"/>
  <c r="BT70" i="8"/>
  <c r="BU70" i="8"/>
  <c r="BV70" i="8"/>
  <c r="BX70" i="8"/>
  <c r="I4" i="16"/>
  <c r="H4" i="16"/>
  <c r="B3" i="26"/>
  <c r="M3" i="26"/>
  <c r="M4" i="26"/>
  <c r="C6" i="26"/>
  <c r="D6" i="26"/>
  <c r="G5" i="26"/>
  <c r="G3" i="26"/>
  <c r="H5" i="26"/>
  <c r="H3" i="26"/>
  <c r="I5" i="26"/>
  <c r="I3" i="26"/>
  <c r="J5" i="26"/>
  <c r="J3" i="26"/>
  <c r="K5" i="26"/>
  <c r="K3" i="26"/>
  <c r="D10" i="26"/>
  <c r="D11" i="26"/>
  <c r="E6" i="26"/>
  <c r="E10" i="26"/>
  <c r="E11" i="26"/>
  <c r="F6" i="26"/>
  <c r="F10" i="26"/>
  <c r="F11" i="26"/>
  <c r="G6" i="26"/>
  <c r="G10" i="26"/>
  <c r="G11" i="26"/>
  <c r="H6" i="26"/>
  <c r="H10" i="26"/>
  <c r="H11" i="26"/>
  <c r="I6" i="26"/>
  <c r="I10" i="26"/>
  <c r="I11" i="26"/>
  <c r="J6" i="26"/>
  <c r="J10" i="26"/>
  <c r="J11" i="26"/>
  <c r="K6" i="26"/>
  <c r="K10" i="26"/>
  <c r="K11" i="26"/>
  <c r="L6" i="26"/>
  <c r="L10" i="26"/>
  <c r="L11" i="26"/>
  <c r="M6" i="26"/>
  <c r="M10" i="26"/>
  <c r="M11" i="26"/>
  <c r="N6" i="26"/>
  <c r="N10" i="26"/>
  <c r="N11" i="26"/>
  <c r="O6" i="26"/>
  <c r="O10" i="26"/>
  <c r="O11" i="26"/>
  <c r="P6" i="26"/>
  <c r="P10" i="26"/>
  <c r="P11" i="26"/>
  <c r="Q6" i="26"/>
  <c r="Q10" i="26"/>
  <c r="Q11" i="26"/>
  <c r="R6" i="26"/>
  <c r="R10" i="26"/>
  <c r="R11" i="26"/>
  <c r="S6" i="26"/>
  <c r="S10" i="26"/>
  <c r="S11" i="26"/>
  <c r="T6" i="26"/>
  <c r="T10" i="26"/>
  <c r="T11" i="26"/>
  <c r="U6" i="26"/>
  <c r="U10" i="26"/>
  <c r="U11" i="26"/>
  <c r="V6" i="26"/>
  <c r="V10" i="26"/>
  <c r="V11" i="26"/>
  <c r="W6" i="26"/>
  <c r="W10" i="26"/>
  <c r="W11" i="26"/>
  <c r="X6" i="26"/>
  <c r="X10" i="26"/>
  <c r="X11" i="26"/>
  <c r="Y6" i="26"/>
  <c r="Y10" i="26"/>
  <c r="Y11" i="26"/>
  <c r="Z6" i="26"/>
  <c r="Z10" i="26"/>
  <c r="Z11" i="26"/>
  <c r="AA6" i="26"/>
  <c r="AA10" i="26"/>
  <c r="AA11" i="26"/>
  <c r="AB6" i="26"/>
  <c r="AB10" i="26"/>
  <c r="AB11" i="26"/>
  <c r="AC6" i="26"/>
  <c r="AC10" i="26"/>
  <c r="AC11" i="26"/>
  <c r="AD6" i="26"/>
  <c r="AD10" i="26"/>
  <c r="AD11" i="26"/>
  <c r="AE6" i="26"/>
  <c r="AE10" i="26"/>
  <c r="AE11" i="26"/>
  <c r="AF6" i="26"/>
  <c r="AF10" i="26"/>
  <c r="AF11" i="26"/>
  <c r="AG6" i="26"/>
  <c r="AG10" i="26"/>
  <c r="AG11" i="26"/>
  <c r="AH6" i="26"/>
  <c r="AH10" i="26"/>
  <c r="AH11" i="26"/>
  <c r="AI6" i="26"/>
  <c r="AI10" i="26"/>
  <c r="AI11" i="26"/>
  <c r="AJ11" i="26"/>
  <c r="AK11" i="26"/>
  <c r="AJ6" i="26"/>
  <c r="AK6" i="26"/>
  <c r="AL6" i="26"/>
  <c r="AL10" i="26"/>
  <c r="AL11" i="26"/>
  <c r="AM6" i="26"/>
  <c r="AM10" i="26"/>
  <c r="AM11" i="26"/>
  <c r="AN11" i="26"/>
  <c r="AO11" i="26"/>
  <c r="AP11" i="26"/>
  <c r="D12" i="26"/>
  <c r="E12" i="26"/>
  <c r="F12" i="26"/>
  <c r="G12" i="26"/>
  <c r="H12" i="26"/>
  <c r="I12" i="26"/>
  <c r="J12" i="26"/>
  <c r="K12" i="26"/>
  <c r="L12" i="26"/>
  <c r="M12" i="26"/>
  <c r="N12" i="26"/>
  <c r="O12" i="26"/>
  <c r="P12" i="26"/>
  <c r="Q12" i="26"/>
  <c r="R12" i="26"/>
  <c r="S12" i="26"/>
  <c r="T12" i="26"/>
  <c r="U12" i="26"/>
  <c r="V12" i="26"/>
  <c r="W12" i="26"/>
  <c r="X12" i="26"/>
  <c r="Y12" i="26"/>
  <c r="Z12" i="26"/>
  <c r="AA12" i="26"/>
  <c r="AB12" i="26"/>
  <c r="AC12" i="26"/>
  <c r="AD12" i="26"/>
  <c r="AE12" i="26"/>
  <c r="AF12" i="26"/>
  <c r="AG12" i="26"/>
  <c r="AH12" i="26"/>
  <c r="AI12" i="26"/>
  <c r="AJ12" i="26"/>
  <c r="AK12" i="26"/>
  <c r="AL12" i="26"/>
  <c r="AM12" i="26"/>
  <c r="AN12" i="26"/>
  <c r="AO12" i="26"/>
  <c r="AP12" i="26"/>
  <c r="D13" i="26"/>
  <c r="E13" i="26"/>
  <c r="F13" i="26"/>
  <c r="G13" i="26"/>
  <c r="H13" i="26"/>
  <c r="I13" i="26"/>
  <c r="J13" i="26"/>
  <c r="K13" i="26"/>
  <c r="L13" i="26"/>
  <c r="M13" i="26"/>
  <c r="N13" i="26"/>
  <c r="O13" i="26"/>
  <c r="P13" i="26"/>
  <c r="Q13" i="26"/>
  <c r="R13" i="26"/>
  <c r="S13" i="26"/>
  <c r="T13" i="26"/>
  <c r="U13" i="26"/>
  <c r="V13" i="26"/>
  <c r="W13" i="26"/>
  <c r="X13" i="26"/>
  <c r="Y13" i="26"/>
  <c r="Z13" i="26"/>
  <c r="AA13" i="26"/>
  <c r="AB13" i="26"/>
  <c r="AC13" i="26"/>
  <c r="AD13" i="26"/>
  <c r="AE13" i="26"/>
  <c r="AF13" i="26"/>
  <c r="AG13" i="26"/>
  <c r="AH13" i="26"/>
  <c r="AI13" i="26"/>
  <c r="AJ13" i="26"/>
  <c r="AK13" i="26"/>
  <c r="AL13" i="26"/>
  <c r="AM13" i="26"/>
  <c r="AN13" i="26"/>
  <c r="AO13" i="26"/>
  <c r="AP13" i="26"/>
  <c r="D14" i="26"/>
  <c r="E14" i="26"/>
  <c r="F14" i="26"/>
  <c r="G14" i="26"/>
  <c r="H14" i="26"/>
  <c r="I14" i="26"/>
  <c r="J14" i="26"/>
  <c r="K14" i="26"/>
  <c r="L14" i="26"/>
  <c r="M14" i="26"/>
  <c r="N14" i="26"/>
  <c r="O14" i="26"/>
  <c r="P14" i="26"/>
  <c r="Q14" i="26"/>
  <c r="R14" i="26"/>
  <c r="S14" i="26"/>
  <c r="T14" i="26"/>
  <c r="U14" i="26"/>
  <c r="V14" i="26"/>
  <c r="W14" i="26"/>
  <c r="X14" i="26"/>
  <c r="Y14" i="26"/>
  <c r="Z14" i="26"/>
  <c r="AA14" i="26"/>
  <c r="AB14" i="26"/>
  <c r="AC14" i="26"/>
  <c r="AD14" i="26"/>
  <c r="AE14" i="26"/>
  <c r="AF14" i="26"/>
  <c r="AG14" i="26"/>
  <c r="AH14" i="26"/>
  <c r="AI14" i="26"/>
  <c r="AJ14" i="26"/>
  <c r="AK14" i="26"/>
  <c r="AL14" i="26"/>
  <c r="AM14" i="26"/>
  <c r="AN14" i="26"/>
  <c r="AO14" i="26"/>
  <c r="AP14" i="26"/>
  <c r="D15" i="26"/>
  <c r="E15" i="26"/>
  <c r="F15" i="26"/>
  <c r="G15" i="26"/>
  <c r="H15" i="26"/>
  <c r="I15" i="26"/>
  <c r="J15" i="26"/>
  <c r="K15" i="26"/>
  <c r="L15" i="26"/>
  <c r="M15" i="26"/>
  <c r="N15" i="26"/>
  <c r="O15" i="26"/>
  <c r="P15" i="26"/>
  <c r="Q15" i="26"/>
  <c r="R15" i="26"/>
  <c r="S15" i="26"/>
  <c r="T15" i="26"/>
  <c r="U15" i="26"/>
  <c r="V15" i="26"/>
  <c r="W15" i="26"/>
  <c r="X15" i="26"/>
  <c r="Y15" i="26"/>
  <c r="Z15" i="26"/>
  <c r="AA15" i="26"/>
  <c r="AB15" i="26"/>
  <c r="AC15" i="26"/>
  <c r="AD15" i="26"/>
  <c r="AE15" i="26"/>
  <c r="AF15" i="26"/>
  <c r="AG15" i="26"/>
  <c r="AH15" i="26"/>
  <c r="AI15" i="26"/>
  <c r="AJ15" i="26"/>
  <c r="AK15" i="26"/>
  <c r="AL15" i="26"/>
  <c r="AM15" i="26"/>
  <c r="AN15" i="26"/>
  <c r="AO15" i="26"/>
  <c r="AP15" i="26"/>
  <c r="D16" i="26"/>
  <c r="E16" i="26"/>
  <c r="F16" i="26"/>
  <c r="G16" i="26"/>
  <c r="H16" i="26"/>
  <c r="I16" i="26"/>
  <c r="J16" i="26"/>
  <c r="K16" i="26"/>
  <c r="L16" i="26"/>
  <c r="M16" i="26"/>
  <c r="N16" i="26"/>
  <c r="O16" i="26"/>
  <c r="P16" i="26"/>
  <c r="Q16" i="26"/>
  <c r="R16" i="26"/>
  <c r="S16" i="26"/>
  <c r="T16" i="26"/>
  <c r="U16" i="26"/>
  <c r="V16" i="26"/>
  <c r="W16" i="26"/>
  <c r="X16" i="26"/>
  <c r="Y16" i="26"/>
  <c r="Z16" i="26"/>
  <c r="AA16" i="26"/>
  <c r="AB16" i="26"/>
  <c r="AC16" i="26"/>
  <c r="AD16" i="26"/>
  <c r="AE16" i="26"/>
  <c r="AF16" i="26"/>
  <c r="AG16" i="26"/>
  <c r="AH16" i="26"/>
  <c r="AI16" i="26"/>
  <c r="AJ16" i="26"/>
  <c r="AK16" i="26"/>
  <c r="AL16" i="26"/>
  <c r="AM16" i="26"/>
  <c r="AN16" i="26"/>
  <c r="AO16" i="26"/>
  <c r="AP16" i="26"/>
  <c r="D17" i="26"/>
  <c r="E17" i="26"/>
  <c r="F17" i="26"/>
  <c r="G17" i="26"/>
  <c r="H17" i="26"/>
  <c r="I17" i="26"/>
  <c r="J17" i="26"/>
  <c r="K17" i="26"/>
  <c r="L17" i="26"/>
  <c r="M17" i="26"/>
  <c r="N17" i="26"/>
  <c r="O17" i="26"/>
  <c r="P17" i="26"/>
  <c r="Q17" i="26"/>
  <c r="R17" i="26"/>
  <c r="S17" i="26"/>
  <c r="T17" i="26"/>
  <c r="U17" i="26"/>
  <c r="V17" i="26"/>
  <c r="W17" i="26"/>
  <c r="X17" i="26"/>
  <c r="Y17" i="26"/>
  <c r="Z17" i="26"/>
  <c r="AA17" i="26"/>
  <c r="AB17" i="26"/>
  <c r="AC17" i="26"/>
  <c r="AD17" i="26"/>
  <c r="AE17" i="26"/>
  <c r="AF17" i="26"/>
  <c r="AG17" i="26"/>
  <c r="AH17" i="26"/>
  <c r="AI17" i="26"/>
  <c r="AJ17" i="26"/>
  <c r="AK17" i="26"/>
  <c r="AL17" i="26"/>
  <c r="AM17" i="26"/>
  <c r="AN17" i="26"/>
  <c r="AO17" i="26"/>
  <c r="AP17" i="26"/>
  <c r="D18" i="26"/>
  <c r="E18" i="26"/>
  <c r="F18" i="26"/>
  <c r="G18" i="26"/>
  <c r="H18" i="26"/>
  <c r="I18" i="26"/>
  <c r="J18" i="26"/>
  <c r="K18" i="26"/>
  <c r="L18" i="26"/>
  <c r="M18" i="26"/>
  <c r="N18" i="26"/>
  <c r="O18" i="26"/>
  <c r="P18" i="26"/>
  <c r="Q18" i="26"/>
  <c r="R18" i="26"/>
  <c r="S18" i="26"/>
  <c r="T18" i="26"/>
  <c r="U18" i="26"/>
  <c r="V18" i="26"/>
  <c r="W18" i="26"/>
  <c r="X18" i="26"/>
  <c r="Y18" i="26"/>
  <c r="Z18" i="26"/>
  <c r="AA18" i="26"/>
  <c r="AB18" i="26"/>
  <c r="AC18" i="26"/>
  <c r="AD18" i="26"/>
  <c r="AE18" i="26"/>
  <c r="AF18" i="26"/>
  <c r="AG18" i="26"/>
  <c r="AH18" i="26"/>
  <c r="AI18" i="26"/>
  <c r="AJ18" i="26"/>
  <c r="AK18" i="26"/>
  <c r="AL18" i="26"/>
  <c r="AM18" i="26"/>
  <c r="AN18" i="26"/>
  <c r="AO18" i="26"/>
  <c r="AP18" i="26"/>
  <c r="D19" i="26"/>
  <c r="E19" i="26"/>
  <c r="F19" i="26"/>
  <c r="G19" i="26"/>
  <c r="H19" i="26"/>
  <c r="I19" i="26"/>
  <c r="J19" i="26"/>
  <c r="K19" i="26"/>
  <c r="L19" i="26"/>
  <c r="M19" i="26"/>
  <c r="N19" i="26"/>
  <c r="O19" i="26"/>
  <c r="P19" i="26"/>
  <c r="Q19" i="26"/>
  <c r="R19" i="26"/>
  <c r="S19" i="26"/>
  <c r="T19" i="26"/>
  <c r="U19" i="26"/>
  <c r="V19" i="26"/>
  <c r="W19" i="26"/>
  <c r="X19" i="26"/>
  <c r="Y19" i="26"/>
  <c r="Z19" i="26"/>
  <c r="AA19" i="26"/>
  <c r="AB19" i="26"/>
  <c r="AC19" i="26"/>
  <c r="AD19" i="26"/>
  <c r="AE19" i="26"/>
  <c r="AF19" i="26"/>
  <c r="AG19" i="26"/>
  <c r="AH19" i="26"/>
  <c r="AI19" i="26"/>
  <c r="AJ19" i="26"/>
  <c r="AK19" i="26"/>
  <c r="AL19" i="26"/>
  <c r="AM19" i="26"/>
  <c r="AN19" i="26"/>
  <c r="AO19" i="26"/>
  <c r="AP19" i="26"/>
  <c r="D20" i="26"/>
  <c r="E20" i="26"/>
  <c r="F20" i="26"/>
  <c r="G20" i="26"/>
  <c r="H20" i="26"/>
  <c r="I20" i="26"/>
  <c r="J20" i="26"/>
  <c r="K20" i="26"/>
  <c r="L20" i="26"/>
  <c r="M20" i="26"/>
  <c r="N20" i="26"/>
  <c r="O20" i="26"/>
  <c r="P20" i="26"/>
  <c r="Q20" i="26"/>
  <c r="R20" i="26"/>
  <c r="S20" i="26"/>
  <c r="T20" i="26"/>
  <c r="U20" i="26"/>
  <c r="V20" i="26"/>
  <c r="W20" i="26"/>
  <c r="X20" i="26"/>
  <c r="Y20" i="26"/>
  <c r="Z20" i="26"/>
  <c r="AA20" i="26"/>
  <c r="AB20" i="26"/>
  <c r="AC20" i="26"/>
  <c r="AD20" i="26"/>
  <c r="AE20" i="26"/>
  <c r="AF20" i="26"/>
  <c r="AG20" i="26"/>
  <c r="AH20" i="26"/>
  <c r="AI20" i="26"/>
  <c r="AJ20" i="26"/>
  <c r="AK20" i="26"/>
  <c r="AL20" i="26"/>
  <c r="AM20" i="26"/>
  <c r="AN20" i="26"/>
  <c r="AO20" i="26"/>
  <c r="AP20" i="26"/>
  <c r="D21" i="26"/>
  <c r="E21" i="26"/>
  <c r="F21" i="26"/>
  <c r="G21" i="26"/>
  <c r="H21" i="26"/>
  <c r="I21" i="26"/>
  <c r="J21" i="26"/>
  <c r="K21" i="26"/>
  <c r="L21" i="26"/>
  <c r="M21" i="26"/>
  <c r="N21" i="26"/>
  <c r="O21" i="26"/>
  <c r="P21" i="26"/>
  <c r="Q21" i="26"/>
  <c r="R21" i="26"/>
  <c r="S21" i="26"/>
  <c r="T21" i="26"/>
  <c r="U21" i="26"/>
  <c r="V21" i="26"/>
  <c r="W21" i="26"/>
  <c r="X21" i="26"/>
  <c r="Y21" i="26"/>
  <c r="Z21" i="26"/>
  <c r="AA21" i="26"/>
  <c r="AB21" i="26"/>
  <c r="AC21" i="26"/>
  <c r="AD21" i="26"/>
  <c r="AE21" i="26"/>
  <c r="AF21" i="26"/>
  <c r="AG21" i="26"/>
  <c r="AH21" i="26"/>
  <c r="AI21" i="26"/>
  <c r="AJ21" i="26"/>
  <c r="AK21" i="26"/>
  <c r="AL21" i="26"/>
  <c r="AM21" i="26"/>
  <c r="AN21" i="26"/>
  <c r="AO21" i="26"/>
  <c r="AP21" i="26"/>
  <c r="D22" i="26"/>
  <c r="E22" i="26"/>
  <c r="F22" i="26"/>
  <c r="G22" i="26"/>
  <c r="H22" i="26"/>
  <c r="I22" i="26"/>
  <c r="J22" i="26"/>
  <c r="K22" i="26"/>
  <c r="L22" i="26"/>
  <c r="M22" i="26"/>
  <c r="N22" i="26"/>
  <c r="O22" i="26"/>
  <c r="P22" i="26"/>
  <c r="Q22" i="26"/>
  <c r="R22" i="26"/>
  <c r="S22" i="26"/>
  <c r="T22" i="26"/>
  <c r="U22" i="26"/>
  <c r="V22" i="26"/>
  <c r="W22" i="26"/>
  <c r="X22" i="26"/>
  <c r="Y22" i="26"/>
  <c r="Z22" i="26"/>
  <c r="AA22" i="26"/>
  <c r="AB22" i="26"/>
  <c r="AC22" i="26"/>
  <c r="AD22" i="26"/>
  <c r="AE22" i="26"/>
  <c r="AF22" i="26"/>
  <c r="AG22" i="26"/>
  <c r="AH22" i="26"/>
  <c r="AI22" i="26"/>
  <c r="AJ22" i="26"/>
  <c r="AK22" i="26"/>
  <c r="AL22" i="26"/>
  <c r="AM22" i="26"/>
  <c r="AN22" i="26"/>
  <c r="AO22" i="26"/>
  <c r="AP22" i="26"/>
  <c r="D23" i="26"/>
  <c r="E23" i="26"/>
  <c r="F23" i="26"/>
  <c r="G23" i="26"/>
  <c r="H23" i="26"/>
  <c r="I23" i="26"/>
  <c r="J23" i="26"/>
  <c r="K23" i="26"/>
  <c r="L23" i="26"/>
  <c r="M23" i="26"/>
  <c r="N23" i="26"/>
  <c r="O23" i="26"/>
  <c r="P23" i="26"/>
  <c r="Q23" i="26"/>
  <c r="R23" i="26"/>
  <c r="S23" i="26"/>
  <c r="T23" i="26"/>
  <c r="U23" i="26"/>
  <c r="V23" i="26"/>
  <c r="W23" i="26"/>
  <c r="X23" i="26"/>
  <c r="Y23" i="26"/>
  <c r="Z23" i="26"/>
  <c r="AA23" i="26"/>
  <c r="AB23" i="26"/>
  <c r="AC23" i="26"/>
  <c r="AD23" i="26"/>
  <c r="AE23" i="26"/>
  <c r="AF23" i="26"/>
  <c r="AG23" i="26"/>
  <c r="AH23" i="26"/>
  <c r="AI23" i="26"/>
  <c r="AJ23" i="26"/>
  <c r="AK23" i="26"/>
  <c r="AL23" i="26"/>
  <c r="AM23" i="26"/>
  <c r="AN23" i="26"/>
  <c r="AO23" i="26"/>
  <c r="AP23" i="26"/>
  <c r="D24" i="26"/>
  <c r="E24" i="26"/>
  <c r="F24" i="26"/>
  <c r="G24" i="26"/>
  <c r="H24" i="26"/>
  <c r="I24" i="26"/>
  <c r="J24" i="26"/>
  <c r="K24" i="26"/>
  <c r="L24" i="26"/>
  <c r="M24" i="26"/>
  <c r="N24" i="26"/>
  <c r="O24" i="26"/>
  <c r="P24" i="26"/>
  <c r="Q24" i="26"/>
  <c r="R24" i="26"/>
  <c r="S24" i="26"/>
  <c r="T24" i="26"/>
  <c r="U24" i="26"/>
  <c r="V24" i="26"/>
  <c r="W24" i="26"/>
  <c r="X24" i="26"/>
  <c r="Y24" i="26"/>
  <c r="Z24" i="26"/>
  <c r="AA24" i="26"/>
  <c r="AB24" i="26"/>
  <c r="AC24" i="26"/>
  <c r="AD24" i="26"/>
  <c r="AE24" i="26"/>
  <c r="AF24" i="26"/>
  <c r="AG24" i="26"/>
  <c r="AH24" i="26"/>
  <c r="AI24" i="26"/>
  <c r="AJ24" i="26"/>
  <c r="AK24" i="26"/>
  <c r="AL24" i="26"/>
  <c r="AM24" i="26"/>
  <c r="AN24" i="26"/>
  <c r="AO24" i="26"/>
  <c r="AP24" i="26"/>
  <c r="D25" i="26"/>
  <c r="E25" i="26"/>
  <c r="F25" i="26"/>
  <c r="G25" i="26"/>
  <c r="H25" i="26"/>
  <c r="I25" i="26"/>
  <c r="J25" i="26"/>
  <c r="K25" i="26"/>
  <c r="L25" i="26"/>
  <c r="M25" i="26"/>
  <c r="N25" i="26"/>
  <c r="O25" i="26"/>
  <c r="P25" i="26"/>
  <c r="Q25" i="26"/>
  <c r="R25" i="26"/>
  <c r="S25" i="26"/>
  <c r="T25" i="26"/>
  <c r="U25" i="26"/>
  <c r="V25" i="26"/>
  <c r="W25" i="26"/>
  <c r="X25" i="26"/>
  <c r="Y25" i="26"/>
  <c r="Z25" i="26"/>
  <c r="AA25" i="26"/>
  <c r="AB25" i="26"/>
  <c r="AC25" i="26"/>
  <c r="AD25" i="26"/>
  <c r="AE25" i="26"/>
  <c r="AF25" i="26"/>
  <c r="AG25" i="26"/>
  <c r="AH25" i="26"/>
  <c r="AI25" i="26"/>
  <c r="AJ25" i="26"/>
  <c r="AK25" i="26"/>
  <c r="AL25" i="26"/>
  <c r="AM25" i="26"/>
  <c r="AN25" i="26"/>
  <c r="AO25" i="26"/>
  <c r="AP25" i="26"/>
  <c r="D26" i="26"/>
  <c r="E26" i="26"/>
  <c r="F26" i="26"/>
  <c r="G26" i="26"/>
  <c r="H26" i="26"/>
  <c r="I26" i="26"/>
  <c r="J26" i="26"/>
  <c r="K26" i="26"/>
  <c r="L26" i="26"/>
  <c r="M26" i="26"/>
  <c r="N26" i="26"/>
  <c r="O26" i="26"/>
  <c r="P26" i="26"/>
  <c r="Q26" i="26"/>
  <c r="R26" i="26"/>
  <c r="S26" i="26"/>
  <c r="T26" i="26"/>
  <c r="U26" i="26"/>
  <c r="V26" i="26"/>
  <c r="W26" i="26"/>
  <c r="X26" i="26"/>
  <c r="Y26" i="26"/>
  <c r="Z26" i="26"/>
  <c r="AA26" i="26"/>
  <c r="AB26" i="26"/>
  <c r="AC26" i="26"/>
  <c r="AD26" i="26"/>
  <c r="AE26" i="26"/>
  <c r="AF26" i="26"/>
  <c r="AG26" i="26"/>
  <c r="AH26" i="26"/>
  <c r="AI26" i="26"/>
  <c r="AJ26" i="26"/>
  <c r="AK26" i="26"/>
  <c r="AL26" i="26"/>
  <c r="AM26" i="26"/>
  <c r="AN26" i="26"/>
  <c r="AO26" i="26"/>
  <c r="AP26" i="26"/>
  <c r="D27" i="26"/>
  <c r="E27" i="26"/>
  <c r="F27" i="26"/>
  <c r="G27" i="26"/>
  <c r="H27" i="26"/>
  <c r="I27" i="26"/>
  <c r="J27" i="26"/>
  <c r="K27" i="26"/>
  <c r="L27" i="26"/>
  <c r="M27" i="26"/>
  <c r="N27" i="26"/>
  <c r="O27" i="26"/>
  <c r="P27" i="26"/>
  <c r="Q27" i="26"/>
  <c r="R27" i="26"/>
  <c r="S27" i="26"/>
  <c r="T27" i="26"/>
  <c r="U27" i="26"/>
  <c r="V27" i="26"/>
  <c r="W27" i="26"/>
  <c r="X27" i="26"/>
  <c r="Y27" i="26"/>
  <c r="Z27" i="26"/>
  <c r="AA27" i="26"/>
  <c r="AB27" i="26"/>
  <c r="AC27" i="26"/>
  <c r="AD27" i="26"/>
  <c r="AE27" i="26"/>
  <c r="AF27" i="26"/>
  <c r="AG27" i="26"/>
  <c r="AH27" i="26"/>
  <c r="AI27" i="26"/>
  <c r="AJ27" i="26"/>
  <c r="AK27" i="26"/>
  <c r="AL27" i="26"/>
  <c r="AM27" i="26"/>
  <c r="AN27" i="26"/>
  <c r="AO27" i="26"/>
  <c r="AP27" i="26"/>
  <c r="D28" i="26"/>
  <c r="E28" i="26"/>
  <c r="F28" i="26"/>
  <c r="G28" i="26"/>
  <c r="H28" i="26"/>
  <c r="I28" i="26"/>
  <c r="J28" i="26"/>
  <c r="K28" i="26"/>
  <c r="L28" i="26"/>
  <c r="M28" i="26"/>
  <c r="N28" i="26"/>
  <c r="O28" i="26"/>
  <c r="P28" i="26"/>
  <c r="Q28" i="26"/>
  <c r="R28" i="26"/>
  <c r="S28" i="26"/>
  <c r="T28" i="26"/>
  <c r="U28" i="26"/>
  <c r="V28" i="26"/>
  <c r="W28" i="26"/>
  <c r="X28" i="26"/>
  <c r="Y28" i="26"/>
  <c r="Z28" i="26"/>
  <c r="AA28" i="26"/>
  <c r="AB28" i="26"/>
  <c r="AC28" i="26"/>
  <c r="AD28" i="26"/>
  <c r="AE28" i="26"/>
  <c r="AF28" i="26"/>
  <c r="AG28" i="26"/>
  <c r="AH28" i="26"/>
  <c r="AI28" i="26"/>
  <c r="AJ28" i="26"/>
  <c r="AK28" i="26"/>
  <c r="AL28" i="26"/>
  <c r="AM28" i="26"/>
  <c r="AN28" i="26"/>
  <c r="AO28" i="26"/>
  <c r="AP28" i="26"/>
  <c r="D29" i="26"/>
  <c r="E29" i="26"/>
  <c r="F29" i="26"/>
  <c r="G29" i="26"/>
  <c r="H29" i="26"/>
  <c r="I29" i="26"/>
  <c r="J29" i="26"/>
  <c r="K29" i="26"/>
  <c r="L29" i="26"/>
  <c r="M29" i="26"/>
  <c r="N29" i="26"/>
  <c r="O29" i="26"/>
  <c r="P29" i="26"/>
  <c r="Q29" i="26"/>
  <c r="R29" i="26"/>
  <c r="S29" i="26"/>
  <c r="T29" i="26"/>
  <c r="U29" i="26"/>
  <c r="V29" i="26"/>
  <c r="W29" i="26"/>
  <c r="X29" i="26"/>
  <c r="Y29" i="26"/>
  <c r="Z29" i="26"/>
  <c r="AA29" i="26"/>
  <c r="AB29" i="26"/>
  <c r="AC29" i="26"/>
  <c r="AD29" i="26"/>
  <c r="AE29" i="26"/>
  <c r="AF29" i="26"/>
  <c r="AG29" i="26"/>
  <c r="AH29" i="26"/>
  <c r="AI29" i="26"/>
  <c r="AJ29" i="26"/>
  <c r="AK29" i="26"/>
  <c r="AL29" i="26"/>
  <c r="AM29" i="26"/>
  <c r="AN29" i="26"/>
  <c r="AO29" i="26"/>
  <c r="AP29" i="26"/>
  <c r="D30" i="26"/>
  <c r="E30" i="26"/>
  <c r="F30" i="26"/>
  <c r="G30" i="26"/>
  <c r="H30" i="26"/>
  <c r="I30" i="26"/>
  <c r="J30" i="26"/>
  <c r="K30" i="26"/>
  <c r="L30" i="26"/>
  <c r="M30" i="26"/>
  <c r="N30" i="26"/>
  <c r="O30" i="26"/>
  <c r="P30" i="26"/>
  <c r="Q30" i="26"/>
  <c r="R30" i="26"/>
  <c r="S30" i="26"/>
  <c r="T30" i="26"/>
  <c r="U30" i="26"/>
  <c r="V30" i="26"/>
  <c r="W30" i="26"/>
  <c r="X30" i="26"/>
  <c r="Y30" i="26"/>
  <c r="Z30" i="26"/>
  <c r="AA30" i="26"/>
  <c r="AB30" i="26"/>
  <c r="AC30" i="26"/>
  <c r="AD30" i="26"/>
  <c r="AE30" i="26"/>
  <c r="AF30" i="26"/>
  <c r="AG30" i="26"/>
  <c r="AH30" i="26"/>
  <c r="AI30" i="26"/>
  <c r="AJ10" i="26"/>
  <c r="AJ30" i="26"/>
  <c r="AK10" i="26"/>
  <c r="AK30" i="26"/>
  <c r="AL30" i="26"/>
  <c r="AM30" i="26"/>
  <c r="AN6" i="26"/>
  <c r="AN10" i="26"/>
  <c r="AN30" i="26"/>
  <c r="AO30" i="26"/>
  <c r="AP30" i="26"/>
  <c r="D31" i="26"/>
  <c r="E31" i="26"/>
  <c r="F31" i="26"/>
  <c r="G31" i="26"/>
  <c r="H31" i="26"/>
  <c r="I31" i="26"/>
  <c r="J31" i="26"/>
  <c r="K31" i="26"/>
  <c r="L31" i="26"/>
  <c r="M31" i="26"/>
  <c r="N31" i="26"/>
  <c r="O31" i="26"/>
  <c r="P31" i="26"/>
  <c r="Q31" i="26"/>
  <c r="R31" i="26"/>
  <c r="S31" i="26"/>
  <c r="T31" i="26"/>
  <c r="U31" i="26"/>
  <c r="V31" i="26"/>
  <c r="W31" i="26"/>
  <c r="X31" i="26"/>
  <c r="Y31" i="26"/>
  <c r="Z31" i="26"/>
  <c r="AA31" i="26"/>
  <c r="AB31" i="26"/>
  <c r="AC31" i="26"/>
  <c r="AD31" i="26"/>
  <c r="AE31" i="26"/>
  <c r="AF31" i="26"/>
  <c r="AG31" i="26"/>
  <c r="AH31" i="26"/>
  <c r="AI31" i="26"/>
  <c r="AJ31" i="26"/>
  <c r="AK31" i="26"/>
  <c r="AL31" i="26"/>
  <c r="AM31" i="26"/>
  <c r="AN31" i="26"/>
  <c r="AO31" i="26"/>
  <c r="AP31" i="26"/>
  <c r="D32" i="26"/>
  <c r="E32" i="26"/>
  <c r="F32" i="26"/>
  <c r="G32" i="26"/>
  <c r="H32" i="26"/>
  <c r="I32" i="26"/>
  <c r="J32" i="26"/>
  <c r="K32" i="26"/>
  <c r="L32" i="26"/>
  <c r="M32" i="26"/>
  <c r="N32" i="26"/>
  <c r="O32" i="26"/>
  <c r="P32" i="26"/>
  <c r="Q32" i="26"/>
  <c r="R32" i="26"/>
  <c r="S32" i="26"/>
  <c r="T32" i="26"/>
  <c r="U32" i="26"/>
  <c r="V32" i="26"/>
  <c r="W32" i="26"/>
  <c r="X32" i="26"/>
  <c r="Y32" i="26"/>
  <c r="Z32" i="26"/>
  <c r="AA32" i="26"/>
  <c r="AB32" i="26"/>
  <c r="AC32" i="26"/>
  <c r="AD32" i="26"/>
  <c r="AE32" i="26"/>
  <c r="AF32" i="26"/>
  <c r="AG32" i="26"/>
  <c r="AH32" i="26"/>
  <c r="AI32" i="26"/>
  <c r="AJ32" i="26"/>
  <c r="AK32" i="26"/>
  <c r="AL32" i="26"/>
  <c r="AM32" i="26"/>
  <c r="AN32" i="26"/>
  <c r="AO32" i="26"/>
  <c r="AP32" i="26"/>
  <c r="D33" i="26"/>
  <c r="E33" i="26"/>
  <c r="F33" i="26"/>
  <c r="G33" i="26"/>
  <c r="H33" i="26"/>
  <c r="I33" i="26"/>
  <c r="J33" i="26"/>
  <c r="K33" i="26"/>
  <c r="L33" i="26"/>
  <c r="M33" i="26"/>
  <c r="N33" i="26"/>
  <c r="O33" i="26"/>
  <c r="P33" i="26"/>
  <c r="Q33" i="26"/>
  <c r="R33" i="26"/>
  <c r="S33" i="26"/>
  <c r="T33" i="26"/>
  <c r="U33" i="26"/>
  <c r="V33" i="26"/>
  <c r="W33" i="26"/>
  <c r="X33" i="26"/>
  <c r="Y33" i="26"/>
  <c r="Z33" i="26"/>
  <c r="AA33" i="26"/>
  <c r="AB33" i="26"/>
  <c r="AC33" i="26"/>
  <c r="AD33" i="26"/>
  <c r="AE33" i="26"/>
  <c r="AF33" i="26"/>
  <c r="AG33" i="26"/>
  <c r="AH33" i="26"/>
  <c r="AI33" i="26"/>
  <c r="AJ33" i="26"/>
  <c r="AK33" i="26"/>
  <c r="AL33" i="26"/>
  <c r="AM33" i="26"/>
  <c r="AN33" i="26"/>
  <c r="AO33" i="26"/>
  <c r="AP33" i="26"/>
  <c r="D34" i="26"/>
  <c r="E34" i="26"/>
  <c r="F34" i="26"/>
  <c r="G34" i="26"/>
  <c r="H34" i="26"/>
  <c r="I34" i="26"/>
  <c r="J34" i="26"/>
  <c r="K34" i="26"/>
  <c r="L34" i="26"/>
  <c r="M34" i="26"/>
  <c r="N34" i="26"/>
  <c r="O34" i="26"/>
  <c r="P34" i="26"/>
  <c r="Q34" i="26"/>
  <c r="R34" i="26"/>
  <c r="S34" i="26"/>
  <c r="T34" i="26"/>
  <c r="U34" i="26"/>
  <c r="V34" i="26"/>
  <c r="W34" i="26"/>
  <c r="X34" i="26"/>
  <c r="Y34" i="26"/>
  <c r="Z34" i="26"/>
  <c r="AA34" i="26"/>
  <c r="AB34" i="26"/>
  <c r="AC34" i="26"/>
  <c r="AD34" i="26"/>
  <c r="AE34" i="26"/>
  <c r="AF34" i="26"/>
  <c r="AG34" i="26"/>
  <c r="AH34" i="26"/>
  <c r="AI34" i="26"/>
  <c r="AJ34" i="26"/>
  <c r="AK34" i="26"/>
  <c r="AL34" i="26"/>
  <c r="AM34" i="26"/>
  <c r="AN34" i="26"/>
  <c r="AO34" i="26"/>
  <c r="AP34" i="26"/>
  <c r="D35" i="26"/>
  <c r="E35" i="26"/>
  <c r="F35" i="26"/>
  <c r="G35" i="26"/>
  <c r="H35" i="26"/>
  <c r="I35" i="26"/>
  <c r="J35" i="26"/>
  <c r="K35" i="26"/>
  <c r="L35" i="26"/>
  <c r="M35" i="26"/>
  <c r="N35" i="26"/>
  <c r="O35" i="26"/>
  <c r="P35" i="26"/>
  <c r="Q35" i="26"/>
  <c r="R35" i="26"/>
  <c r="S35" i="26"/>
  <c r="T35" i="26"/>
  <c r="U35" i="26"/>
  <c r="V35" i="26"/>
  <c r="W35" i="26"/>
  <c r="X35" i="26"/>
  <c r="Y35" i="26"/>
  <c r="Z35" i="26"/>
  <c r="AA35" i="26"/>
  <c r="AB35" i="26"/>
  <c r="AC35" i="26"/>
  <c r="AD35" i="26"/>
  <c r="AE35" i="26"/>
  <c r="AF35" i="26"/>
  <c r="AG35" i="26"/>
  <c r="AH35" i="26"/>
  <c r="AI35" i="26"/>
  <c r="AJ35" i="26"/>
  <c r="AK35" i="26"/>
  <c r="AL35" i="26"/>
  <c r="AM35" i="26"/>
  <c r="AN35" i="26"/>
  <c r="AO35" i="26"/>
  <c r="AP35" i="26"/>
  <c r="D36" i="26"/>
  <c r="E36" i="26"/>
  <c r="F36" i="26"/>
  <c r="G36" i="26"/>
  <c r="H36" i="26"/>
  <c r="I36" i="26"/>
  <c r="J36" i="26"/>
  <c r="K36" i="26"/>
  <c r="L36" i="26"/>
  <c r="M36" i="26"/>
  <c r="N36" i="26"/>
  <c r="O36" i="26"/>
  <c r="P36" i="26"/>
  <c r="Q36" i="26"/>
  <c r="R36" i="26"/>
  <c r="S36" i="26"/>
  <c r="T36" i="26"/>
  <c r="U36" i="26"/>
  <c r="V36" i="26"/>
  <c r="W36" i="26"/>
  <c r="X36" i="26"/>
  <c r="Y36" i="26"/>
  <c r="Z36" i="26"/>
  <c r="AA36" i="26"/>
  <c r="AB36" i="26"/>
  <c r="AC36" i="26"/>
  <c r="AD36" i="26"/>
  <c r="AE36" i="26"/>
  <c r="AF36" i="26"/>
  <c r="AG36" i="26"/>
  <c r="AH36" i="26"/>
  <c r="AI36" i="26"/>
  <c r="AJ36" i="26"/>
  <c r="AK36" i="26"/>
  <c r="AL36" i="26"/>
  <c r="AM36" i="26"/>
  <c r="AN36" i="26"/>
  <c r="AO36" i="26"/>
  <c r="AP36" i="26"/>
  <c r="D37" i="26"/>
  <c r="E37" i="26"/>
  <c r="F37" i="26"/>
  <c r="G37" i="26"/>
  <c r="H37" i="26"/>
  <c r="I37" i="26"/>
  <c r="J37" i="26"/>
  <c r="K37" i="26"/>
  <c r="L37" i="26"/>
  <c r="M37" i="26"/>
  <c r="N37" i="26"/>
  <c r="O37" i="26"/>
  <c r="P37" i="26"/>
  <c r="Q37" i="26"/>
  <c r="R37" i="26"/>
  <c r="S37" i="26"/>
  <c r="T37" i="26"/>
  <c r="U37" i="26"/>
  <c r="V37" i="26"/>
  <c r="W37" i="26"/>
  <c r="X37" i="26"/>
  <c r="Y37" i="26"/>
  <c r="Z37" i="26"/>
  <c r="AA37" i="26"/>
  <c r="AB37" i="26"/>
  <c r="AC37" i="26"/>
  <c r="AD37" i="26"/>
  <c r="AE37" i="26"/>
  <c r="AF37" i="26"/>
  <c r="AG37" i="26"/>
  <c r="AH37" i="26"/>
  <c r="AI37" i="26"/>
  <c r="AJ37" i="26"/>
  <c r="AK37" i="26"/>
  <c r="AL37" i="26"/>
  <c r="AM37" i="26"/>
  <c r="AN37" i="26"/>
  <c r="AO37" i="26"/>
  <c r="AP37" i="26"/>
  <c r="D38" i="26"/>
  <c r="E38" i="26"/>
  <c r="F38" i="26"/>
  <c r="G38" i="26"/>
  <c r="H38" i="26"/>
  <c r="I38" i="26"/>
  <c r="J38" i="26"/>
  <c r="K38" i="26"/>
  <c r="L38" i="26"/>
  <c r="M38" i="26"/>
  <c r="N38" i="26"/>
  <c r="O38" i="26"/>
  <c r="P38" i="26"/>
  <c r="Q38" i="26"/>
  <c r="R38" i="26"/>
  <c r="S38" i="26"/>
  <c r="T38" i="26"/>
  <c r="U38" i="26"/>
  <c r="V38" i="26"/>
  <c r="W38" i="26"/>
  <c r="X38" i="26"/>
  <c r="Y38" i="26"/>
  <c r="Z38" i="26"/>
  <c r="AA38" i="26"/>
  <c r="AB38" i="26"/>
  <c r="AC38" i="26"/>
  <c r="AD38" i="26"/>
  <c r="AE38" i="26"/>
  <c r="AF38" i="26"/>
  <c r="AG38" i="26"/>
  <c r="AH38" i="26"/>
  <c r="AI38" i="26"/>
  <c r="AJ38" i="26"/>
  <c r="AK38" i="26"/>
  <c r="AL38" i="26"/>
  <c r="AM38" i="26"/>
  <c r="AN38" i="26"/>
  <c r="AO38" i="26"/>
  <c r="AP38" i="26"/>
  <c r="D39" i="26"/>
  <c r="E39" i="26"/>
  <c r="F39" i="26"/>
  <c r="G39" i="26"/>
  <c r="H39" i="26"/>
  <c r="I39" i="26"/>
  <c r="J39" i="26"/>
  <c r="K39" i="26"/>
  <c r="L39" i="26"/>
  <c r="M39" i="26"/>
  <c r="N39" i="26"/>
  <c r="O39" i="26"/>
  <c r="P39" i="26"/>
  <c r="Q39" i="26"/>
  <c r="R39" i="26"/>
  <c r="S39" i="26"/>
  <c r="T39" i="26"/>
  <c r="U39" i="26"/>
  <c r="V39" i="26"/>
  <c r="W39" i="26"/>
  <c r="X39" i="26"/>
  <c r="Y39" i="26"/>
  <c r="Z39" i="26"/>
  <c r="AA39" i="26"/>
  <c r="AB39" i="26"/>
  <c r="AC39" i="26"/>
  <c r="AD39" i="26"/>
  <c r="AE39" i="26"/>
  <c r="AF39" i="26"/>
  <c r="AG39" i="26"/>
  <c r="AH39" i="26"/>
  <c r="AI39" i="26"/>
  <c r="AJ39" i="26"/>
  <c r="AK39" i="26"/>
  <c r="AL39" i="26"/>
  <c r="AM39" i="26"/>
  <c r="AN39" i="26"/>
  <c r="AO39" i="26"/>
  <c r="AP39" i="26"/>
  <c r="D40" i="26"/>
  <c r="E40" i="26"/>
  <c r="F40" i="26"/>
  <c r="G40" i="26"/>
  <c r="H40" i="26"/>
  <c r="I40" i="26"/>
  <c r="J40" i="26"/>
  <c r="K40" i="26"/>
  <c r="L40" i="26"/>
  <c r="M40" i="26"/>
  <c r="N40" i="26"/>
  <c r="O40" i="26"/>
  <c r="P40" i="26"/>
  <c r="Q40" i="26"/>
  <c r="R40" i="26"/>
  <c r="S40" i="26"/>
  <c r="T40" i="26"/>
  <c r="U40" i="26"/>
  <c r="V40" i="26"/>
  <c r="W40" i="26"/>
  <c r="X40" i="26"/>
  <c r="Y40" i="26"/>
  <c r="Z40" i="26"/>
  <c r="AA40" i="26"/>
  <c r="AB40" i="26"/>
  <c r="AC40" i="26"/>
  <c r="AD40" i="26"/>
  <c r="AE40" i="26"/>
  <c r="AF40" i="26"/>
  <c r="AG40" i="26"/>
  <c r="AH40" i="26"/>
  <c r="AI40" i="26"/>
  <c r="AJ40" i="26"/>
  <c r="AK40" i="26"/>
  <c r="AL40" i="26"/>
  <c r="AM40" i="26"/>
  <c r="AN40" i="26"/>
  <c r="AO40" i="26"/>
  <c r="AP40" i="26"/>
  <c r="D41" i="26"/>
  <c r="E41" i="26"/>
  <c r="F41" i="26"/>
  <c r="G41" i="26"/>
  <c r="H41" i="26"/>
  <c r="I41" i="26"/>
  <c r="J41" i="26"/>
  <c r="K41" i="26"/>
  <c r="L41" i="26"/>
  <c r="M41" i="26"/>
  <c r="N41" i="26"/>
  <c r="O41" i="26"/>
  <c r="P41" i="26"/>
  <c r="Q41" i="26"/>
  <c r="R41" i="26"/>
  <c r="S41" i="26"/>
  <c r="T41" i="26"/>
  <c r="U41" i="26"/>
  <c r="V41" i="26"/>
  <c r="W41" i="26"/>
  <c r="X41" i="26"/>
  <c r="Y41" i="26"/>
  <c r="Z41" i="26"/>
  <c r="AA41" i="26"/>
  <c r="AB41" i="26"/>
  <c r="AC41" i="26"/>
  <c r="AD41" i="26"/>
  <c r="AE41" i="26"/>
  <c r="AF41" i="26"/>
  <c r="AG41" i="26"/>
  <c r="AH41" i="26"/>
  <c r="AI41" i="26"/>
  <c r="AJ41" i="26"/>
  <c r="AK41" i="26"/>
  <c r="AL41" i="26"/>
  <c r="AM41" i="26"/>
  <c r="AN41" i="26"/>
  <c r="AO41" i="26"/>
  <c r="AP41" i="26"/>
  <c r="D42" i="26"/>
  <c r="E42" i="26"/>
  <c r="F42" i="26"/>
  <c r="G42" i="26"/>
  <c r="H42" i="26"/>
  <c r="I42" i="26"/>
  <c r="J42" i="26"/>
  <c r="K42" i="26"/>
  <c r="L42" i="26"/>
  <c r="M42" i="26"/>
  <c r="N42" i="26"/>
  <c r="O42" i="26"/>
  <c r="P42" i="26"/>
  <c r="Q42" i="26"/>
  <c r="R42" i="26"/>
  <c r="S42" i="26"/>
  <c r="T42" i="26"/>
  <c r="U42" i="26"/>
  <c r="V42" i="26"/>
  <c r="W42" i="26"/>
  <c r="X42" i="26"/>
  <c r="Y42" i="26"/>
  <c r="Z42" i="26"/>
  <c r="AA42" i="26"/>
  <c r="AB42" i="26"/>
  <c r="AC42" i="26"/>
  <c r="AD42" i="26"/>
  <c r="AE42" i="26"/>
  <c r="AF42" i="26"/>
  <c r="AG42" i="26"/>
  <c r="AH42" i="26"/>
  <c r="AI42" i="26"/>
  <c r="AJ42" i="26"/>
  <c r="AK42" i="26"/>
  <c r="AL42" i="26"/>
  <c r="AM42" i="26"/>
  <c r="AN42" i="26"/>
  <c r="AO42" i="26"/>
  <c r="AP42" i="26"/>
  <c r="D43" i="26"/>
  <c r="E43" i="26"/>
  <c r="F43" i="26"/>
  <c r="G43" i="26"/>
  <c r="H43" i="26"/>
  <c r="I43" i="26"/>
  <c r="J43" i="26"/>
  <c r="K43" i="26"/>
  <c r="L43" i="26"/>
  <c r="M43" i="26"/>
  <c r="N43" i="26"/>
  <c r="O43" i="26"/>
  <c r="P43" i="26"/>
  <c r="Q43" i="26"/>
  <c r="R43" i="26"/>
  <c r="S43" i="26"/>
  <c r="T43" i="26"/>
  <c r="U43" i="26"/>
  <c r="V43" i="26"/>
  <c r="W43" i="26"/>
  <c r="X43" i="26"/>
  <c r="Y43" i="26"/>
  <c r="Z43" i="26"/>
  <c r="AA43" i="26"/>
  <c r="AB43" i="26"/>
  <c r="AC43" i="26"/>
  <c r="AD43" i="26"/>
  <c r="AE43" i="26"/>
  <c r="AF43" i="26"/>
  <c r="AG43" i="26"/>
  <c r="AH43" i="26"/>
  <c r="AI43" i="26"/>
  <c r="AJ43" i="26"/>
  <c r="AK43" i="26"/>
  <c r="AL43" i="26"/>
  <c r="AM43" i="26"/>
  <c r="AN43" i="26"/>
  <c r="AO43" i="26"/>
  <c r="AP43" i="26"/>
  <c r="D44" i="26"/>
  <c r="E44" i="26"/>
  <c r="F44" i="26"/>
  <c r="G44" i="26"/>
  <c r="H44" i="26"/>
  <c r="I44" i="26"/>
  <c r="J44" i="26"/>
  <c r="K44" i="26"/>
  <c r="L44" i="26"/>
  <c r="M44" i="26"/>
  <c r="N44" i="26"/>
  <c r="O44" i="26"/>
  <c r="P44" i="26"/>
  <c r="Q44" i="26"/>
  <c r="R44" i="26"/>
  <c r="S44" i="26"/>
  <c r="T44" i="26"/>
  <c r="U44" i="26"/>
  <c r="V44" i="26"/>
  <c r="W44" i="26"/>
  <c r="X44" i="26"/>
  <c r="Y44" i="26"/>
  <c r="Z44" i="26"/>
  <c r="AA44" i="26"/>
  <c r="AB44" i="26"/>
  <c r="AC44" i="26"/>
  <c r="AD44" i="26"/>
  <c r="AE44" i="26"/>
  <c r="AF44" i="26"/>
  <c r="AG44" i="26"/>
  <c r="AH44" i="26"/>
  <c r="AI44" i="26"/>
  <c r="AJ44" i="26"/>
  <c r="AK44" i="26"/>
  <c r="AL44" i="26"/>
  <c r="AM44" i="26"/>
  <c r="AN44" i="26"/>
  <c r="AO44" i="26"/>
  <c r="AP44" i="26"/>
  <c r="D45" i="26"/>
  <c r="E45" i="26"/>
  <c r="F45" i="26"/>
  <c r="G45" i="26"/>
  <c r="H45" i="26"/>
  <c r="I45" i="26"/>
  <c r="J45" i="26"/>
  <c r="K45" i="26"/>
  <c r="L45" i="26"/>
  <c r="M45" i="26"/>
  <c r="N45" i="26"/>
  <c r="O45" i="26"/>
  <c r="P45" i="26"/>
  <c r="Q45" i="26"/>
  <c r="R45" i="26"/>
  <c r="S45" i="26"/>
  <c r="T45" i="26"/>
  <c r="U45" i="26"/>
  <c r="V45" i="26"/>
  <c r="W45" i="26"/>
  <c r="X45" i="26"/>
  <c r="Y45" i="26"/>
  <c r="Z45" i="26"/>
  <c r="AA45" i="26"/>
  <c r="AB45" i="26"/>
  <c r="AC45" i="26"/>
  <c r="AD45" i="26"/>
  <c r="AE45" i="26"/>
  <c r="AF45" i="26"/>
  <c r="AG45" i="26"/>
  <c r="AH45" i="26"/>
  <c r="AI45" i="26"/>
  <c r="AJ45" i="26"/>
  <c r="AK45" i="26"/>
  <c r="AL45" i="26"/>
  <c r="AM45" i="26"/>
  <c r="AN45" i="26"/>
  <c r="AO45" i="26"/>
  <c r="AP45" i="26"/>
  <c r="D46" i="26"/>
  <c r="E46" i="26"/>
  <c r="F46" i="26"/>
  <c r="G46" i="26"/>
  <c r="H46" i="26"/>
  <c r="I46" i="26"/>
  <c r="J46" i="26"/>
  <c r="K46" i="26"/>
  <c r="L46" i="26"/>
  <c r="M46" i="26"/>
  <c r="N46" i="26"/>
  <c r="O46" i="26"/>
  <c r="P46" i="26"/>
  <c r="Q46" i="26"/>
  <c r="R46" i="26"/>
  <c r="S46" i="26"/>
  <c r="T46" i="26"/>
  <c r="U46" i="26"/>
  <c r="V46" i="26"/>
  <c r="W46" i="26"/>
  <c r="X46" i="26"/>
  <c r="Y46" i="26"/>
  <c r="Z46" i="26"/>
  <c r="AA46" i="26"/>
  <c r="AB46" i="26"/>
  <c r="AC46" i="26"/>
  <c r="AD46" i="26"/>
  <c r="AE46" i="26"/>
  <c r="AF46" i="26"/>
  <c r="AG46" i="26"/>
  <c r="AH46" i="26"/>
  <c r="AI46" i="26"/>
  <c r="AJ46" i="26"/>
  <c r="AK46" i="26"/>
  <c r="AL46" i="26"/>
  <c r="AM46" i="26"/>
  <c r="AN46" i="26"/>
  <c r="AO46" i="26"/>
  <c r="AP46" i="26"/>
  <c r="D47" i="26"/>
  <c r="E47" i="26"/>
  <c r="F47" i="26"/>
  <c r="G47" i="26"/>
  <c r="H47" i="26"/>
  <c r="I47" i="26"/>
  <c r="J47" i="26"/>
  <c r="K47" i="26"/>
  <c r="L47" i="26"/>
  <c r="M47" i="26"/>
  <c r="N47" i="26"/>
  <c r="O47" i="26"/>
  <c r="P47" i="26"/>
  <c r="Q47" i="26"/>
  <c r="R47" i="26"/>
  <c r="S47" i="26"/>
  <c r="T47" i="26"/>
  <c r="U47" i="26"/>
  <c r="V47" i="26"/>
  <c r="W47" i="26"/>
  <c r="X47" i="26"/>
  <c r="Y47" i="26"/>
  <c r="Z47" i="26"/>
  <c r="AA47" i="26"/>
  <c r="AB47" i="26"/>
  <c r="AC47" i="26"/>
  <c r="AD47" i="26"/>
  <c r="AE47" i="26"/>
  <c r="AF47" i="26"/>
  <c r="AG47" i="26"/>
  <c r="AH47" i="26"/>
  <c r="AI47" i="26"/>
  <c r="AJ47" i="26"/>
  <c r="AK47" i="26"/>
  <c r="AL47" i="26"/>
  <c r="AM47" i="26"/>
  <c r="AN47" i="26"/>
  <c r="AO47" i="26"/>
  <c r="AP47" i="26"/>
  <c r="D48" i="26"/>
  <c r="E48" i="26"/>
  <c r="F48" i="26"/>
  <c r="G48" i="26"/>
  <c r="H48" i="26"/>
  <c r="I48" i="26"/>
  <c r="J48" i="26"/>
  <c r="K48" i="26"/>
  <c r="L48" i="26"/>
  <c r="M48" i="26"/>
  <c r="N48" i="26"/>
  <c r="O48" i="26"/>
  <c r="P48" i="26"/>
  <c r="Q48" i="26"/>
  <c r="R48" i="26"/>
  <c r="S48" i="26"/>
  <c r="T48" i="26"/>
  <c r="U48" i="26"/>
  <c r="V48" i="26"/>
  <c r="W48" i="26"/>
  <c r="X48" i="26"/>
  <c r="Y48" i="26"/>
  <c r="Z48" i="26"/>
  <c r="AA48" i="26"/>
  <c r="AB48" i="26"/>
  <c r="AC48" i="26"/>
  <c r="AD48" i="26"/>
  <c r="AE48" i="26"/>
  <c r="AF48" i="26"/>
  <c r="AG48" i="26"/>
  <c r="AH48" i="26"/>
  <c r="AI48" i="26"/>
  <c r="AJ48" i="26"/>
  <c r="AK48" i="26"/>
  <c r="AL48" i="26"/>
  <c r="AM48" i="26"/>
  <c r="AN48" i="26"/>
  <c r="AO48" i="26"/>
  <c r="AP48" i="26"/>
  <c r="D49" i="26"/>
  <c r="E49" i="26"/>
  <c r="F49" i="26"/>
  <c r="G49" i="26"/>
  <c r="H49" i="26"/>
  <c r="I49" i="26"/>
  <c r="J49" i="26"/>
  <c r="K49" i="26"/>
  <c r="L49" i="26"/>
  <c r="M49" i="26"/>
  <c r="N49" i="26"/>
  <c r="O49" i="26"/>
  <c r="P49" i="26"/>
  <c r="Q49" i="26"/>
  <c r="R49" i="26"/>
  <c r="S49" i="26"/>
  <c r="T49" i="26"/>
  <c r="U49" i="26"/>
  <c r="V49" i="26"/>
  <c r="W49" i="26"/>
  <c r="X49" i="26"/>
  <c r="Y49" i="26"/>
  <c r="Z49" i="26"/>
  <c r="AA49" i="26"/>
  <c r="AB49" i="26"/>
  <c r="AC49" i="26"/>
  <c r="AD49" i="26"/>
  <c r="AE49" i="26"/>
  <c r="AF49" i="26"/>
  <c r="AG49" i="26"/>
  <c r="AH49" i="26"/>
  <c r="AI49" i="26"/>
  <c r="AJ49" i="26"/>
  <c r="AK49" i="26"/>
  <c r="AL49" i="26"/>
  <c r="AM49" i="26"/>
  <c r="AN49" i="26"/>
  <c r="AO49" i="26"/>
  <c r="AP49" i="26"/>
  <c r="D50" i="26"/>
  <c r="E50" i="26"/>
  <c r="F50" i="26"/>
  <c r="G50" i="26"/>
  <c r="H50" i="26"/>
  <c r="I50" i="26"/>
  <c r="J50" i="26"/>
  <c r="K50" i="26"/>
  <c r="L50" i="26"/>
  <c r="M50" i="26"/>
  <c r="N50" i="26"/>
  <c r="O50" i="26"/>
  <c r="P50" i="26"/>
  <c r="Q50" i="26"/>
  <c r="R50" i="26"/>
  <c r="S50" i="26"/>
  <c r="T50" i="26"/>
  <c r="U50" i="26"/>
  <c r="V50" i="26"/>
  <c r="W50" i="26"/>
  <c r="X50" i="26"/>
  <c r="Y50" i="26"/>
  <c r="Z50" i="26"/>
  <c r="AA50" i="26"/>
  <c r="AB50" i="26"/>
  <c r="AC50" i="26"/>
  <c r="AD50" i="26"/>
  <c r="AE50" i="26"/>
  <c r="AF50" i="26"/>
  <c r="AG50" i="26"/>
  <c r="AH50" i="26"/>
  <c r="AI50" i="26"/>
  <c r="AJ50" i="26"/>
  <c r="AK50" i="26"/>
  <c r="AL50" i="26"/>
  <c r="AM50" i="26"/>
  <c r="AN50" i="26"/>
  <c r="AO50" i="26"/>
  <c r="AP50" i="26"/>
  <c r="D51" i="26"/>
  <c r="E51" i="26"/>
  <c r="F51" i="26"/>
  <c r="G51" i="26"/>
  <c r="H51" i="26"/>
  <c r="I51" i="26"/>
  <c r="J51" i="26"/>
  <c r="K51" i="26"/>
  <c r="L51" i="26"/>
  <c r="M51" i="26"/>
  <c r="N51" i="26"/>
  <c r="O51" i="26"/>
  <c r="P51" i="26"/>
  <c r="Q51" i="26"/>
  <c r="R51" i="26"/>
  <c r="S51" i="26"/>
  <c r="T51" i="26"/>
  <c r="U51" i="26"/>
  <c r="V51" i="26"/>
  <c r="W51" i="26"/>
  <c r="X51" i="26"/>
  <c r="Y51" i="26"/>
  <c r="Z51" i="26"/>
  <c r="AA51" i="26"/>
  <c r="AB51" i="26"/>
  <c r="AC51" i="26"/>
  <c r="AD51" i="26"/>
  <c r="AE51" i="26"/>
  <c r="AF51" i="26"/>
  <c r="AG51" i="26"/>
  <c r="AH51" i="26"/>
  <c r="AI51" i="26"/>
  <c r="AJ51" i="26"/>
  <c r="AK51" i="26"/>
  <c r="AL51" i="26"/>
  <c r="AM51" i="26"/>
  <c r="AN51" i="26"/>
  <c r="AO51" i="26"/>
  <c r="AP51" i="26"/>
  <c r="D52" i="26"/>
  <c r="E52" i="26"/>
  <c r="F52" i="26"/>
  <c r="G52" i="26"/>
  <c r="H52" i="26"/>
  <c r="I52" i="26"/>
  <c r="J52" i="26"/>
  <c r="K52" i="26"/>
  <c r="L52" i="26"/>
  <c r="M52" i="26"/>
  <c r="N52" i="26"/>
  <c r="O52" i="26"/>
  <c r="P52" i="26"/>
  <c r="Q52" i="26"/>
  <c r="R52" i="26"/>
  <c r="S52" i="26"/>
  <c r="T52" i="26"/>
  <c r="U52" i="26"/>
  <c r="V52" i="26"/>
  <c r="W52" i="26"/>
  <c r="X52" i="26"/>
  <c r="Y52" i="26"/>
  <c r="Z52" i="26"/>
  <c r="AA52" i="26"/>
  <c r="AB52" i="26"/>
  <c r="AC52" i="26"/>
  <c r="AD52" i="26"/>
  <c r="AE52" i="26"/>
  <c r="AF52" i="26"/>
  <c r="AG52" i="26"/>
  <c r="AH52" i="26"/>
  <c r="AI52" i="26"/>
  <c r="AJ52" i="26"/>
  <c r="AK52" i="26"/>
  <c r="AL52" i="26"/>
  <c r="AM52" i="26"/>
  <c r="AN52" i="26"/>
  <c r="AO52" i="26"/>
  <c r="AP52" i="26"/>
  <c r="D53" i="26"/>
  <c r="E53" i="26"/>
  <c r="F53" i="26"/>
  <c r="G53" i="26"/>
  <c r="H53" i="26"/>
  <c r="I53" i="26"/>
  <c r="J53" i="26"/>
  <c r="K53" i="26"/>
  <c r="L53" i="26"/>
  <c r="M53" i="26"/>
  <c r="N53" i="26"/>
  <c r="O53" i="26"/>
  <c r="P53" i="26"/>
  <c r="Q53" i="26"/>
  <c r="R53" i="26"/>
  <c r="S53" i="26"/>
  <c r="T53" i="26"/>
  <c r="U53" i="26"/>
  <c r="V53" i="26"/>
  <c r="W53" i="26"/>
  <c r="X53" i="26"/>
  <c r="Y53" i="26"/>
  <c r="Z53" i="26"/>
  <c r="AA53" i="26"/>
  <c r="AB53" i="26"/>
  <c r="AC53" i="26"/>
  <c r="AD53" i="26"/>
  <c r="AE53" i="26"/>
  <c r="AF53" i="26"/>
  <c r="AG53" i="26"/>
  <c r="AH53" i="26"/>
  <c r="AI53" i="26"/>
  <c r="AJ53" i="26"/>
  <c r="AK53" i="26"/>
  <c r="AL53" i="26"/>
  <c r="AM53" i="26"/>
  <c r="AN53" i="26"/>
  <c r="AO53" i="26"/>
  <c r="AP53" i="26"/>
  <c r="D54" i="26"/>
  <c r="E54" i="26"/>
  <c r="F54" i="26"/>
  <c r="G54" i="26"/>
  <c r="H54" i="26"/>
  <c r="I54" i="26"/>
  <c r="J54" i="26"/>
  <c r="K54" i="26"/>
  <c r="L54" i="26"/>
  <c r="M54" i="26"/>
  <c r="N54" i="26"/>
  <c r="O54" i="26"/>
  <c r="P54" i="26"/>
  <c r="Q54" i="26"/>
  <c r="R54" i="26"/>
  <c r="S54" i="26"/>
  <c r="T54" i="26"/>
  <c r="U54" i="26"/>
  <c r="V54" i="26"/>
  <c r="W54" i="26"/>
  <c r="X54" i="26"/>
  <c r="Y54" i="26"/>
  <c r="Z54" i="26"/>
  <c r="AA54" i="26"/>
  <c r="AB54" i="26"/>
  <c r="AC54" i="26"/>
  <c r="AD54" i="26"/>
  <c r="AE54" i="26"/>
  <c r="AF54" i="26"/>
  <c r="AG54" i="26"/>
  <c r="AH54" i="26"/>
  <c r="AI54" i="26"/>
  <c r="AJ54" i="26"/>
  <c r="AK54" i="26"/>
  <c r="AL54" i="26"/>
  <c r="AM54" i="26"/>
  <c r="AN54" i="26"/>
  <c r="AO54" i="26"/>
  <c r="AP54" i="26"/>
  <c r="D55" i="26"/>
  <c r="E55" i="26"/>
  <c r="F55" i="26"/>
  <c r="G55" i="26"/>
  <c r="H55" i="26"/>
  <c r="I55" i="26"/>
  <c r="J55" i="26"/>
  <c r="K55" i="26"/>
  <c r="L55" i="26"/>
  <c r="M55" i="26"/>
  <c r="N55" i="26"/>
  <c r="O55" i="26"/>
  <c r="P55" i="26"/>
  <c r="Q55" i="26"/>
  <c r="R55" i="26"/>
  <c r="S55" i="26"/>
  <c r="T55" i="26"/>
  <c r="U55" i="26"/>
  <c r="V55" i="26"/>
  <c r="W55" i="26"/>
  <c r="X55" i="26"/>
  <c r="Y55" i="26"/>
  <c r="Z55" i="26"/>
  <c r="AA55" i="26"/>
  <c r="AB55" i="26"/>
  <c r="AC55" i="26"/>
  <c r="AD55" i="26"/>
  <c r="AE55" i="26"/>
  <c r="AF55" i="26"/>
  <c r="AG55" i="26"/>
  <c r="AH55" i="26"/>
  <c r="AI55" i="26"/>
  <c r="AJ55" i="26"/>
  <c r="AK55" i="26"/>
  <c r="AL55" i="26"/>
  <c r="AM55" i="26"/>
  <c r="AN55" i="26"/>
  <c r="AO55" i="26"/>
  <c r="AP55" i="26"/>
  <c r="D56" i="26"/>
  <c r="E56" i="26"/>
  <c r="F56" i="26"/>
  <c r="G56" i="26"/>
  <c r="H56" i="26"/>
  <c r="I56" i="26"/>
  <c r="J56" i="26"/>
  <c r="K56" i="26"/>
  <c r="L56" i="26"/>
  <c r="M56" i="26"/>
  <c r="N56" i="26"/>
  <c r="O56" i="26"/>
  <c r="P56" i="26"/>
  <c r="Q56" i="26"/>
  <c r="R56" i="26"/>
  <c r="S56" i="26"/>
  <c r="T56" i="26"/>
  <c r="U56" i="26"/>
  <c r="V56" i="26"/>
  <c r="W56" i="26"/>
  <c r="X56" i="26"/>
  <c r="Y56" i="26"/>
  <c r="Z56" i="26"/>
  <c r="AA56" i="26"/>
  <c r="AB56" i="26"/>
  <c r="AC56" i="26"/>
  <c r="AD56" i="26"/>
  <c r="AE56" i="26"/>
  <c r="AF56" i="26"/>
  <c r="AG56" i="26"/>
  <c r="AH56" i="26"/>
  <c r="AI56" i="26"/>
  <c r="AJ56" i="26"/>
  <c r="AK56" i="26"/>
  <c r="AL56" i="26"/>
  <c r="AM56" i="26"/>
  <c r="AN56" i="26"/>
  <c r="AO56" i="26"/>
  <c r="AP56" i="26"/>
  <c r="C10"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B9" i="16"/>
  <c r="S5" i="16"/>
  <c r="S4" i="16"/>
  <c r="A8" i="26"/>
  <c r="BS10" i="16"/>
  <c r="BS11" i="16"/>
  <c r="BT10" i="16"/>
  <c r="BT11" i="16"/>
  <c r="BU11" i="16"/>
  <c r="BV11" i="16"/>
  <c r="BR12" i="16"/>
  <c r="BS12" i="16"/>
  <c r="BT12" i="16"/>
  <c r="BU12" i="16"/>
  <c r="BV12" i="16"/>
  <c r="BS13" i="16"/>
  <c r="BT13" i="16"/>
  <c r="BU13" i="16"/>
  <c r="BV13" i="16"/>
  <c r="BS14" i="16"/>
  <c r="BT14" i="16"/>
  <c r="BU14" i="16"/>
  <c r="BV14" i="16"/>
  <c r="BS15" i="16"/>
  <c r="BT15" i="16"/>
  <c r="BU15" i="16"/>
  <c r="BV15" i="16"/>
  <c r="BS16" i="16"/>
  <c r="BT16" i="16"/>
  <c r="BU16" i="16"/>
  <c r="BV16" i="16"/>
  <c r="BX12" i="16"/>
  <c r="Y12" i="16"/>
  <c r="DT12" i="26"/>
  <c r="BR13" i="16"/>
  <c r="BX13" i="16"/>
  <c r="Y13" i="16"/>
  <c r="DT13" i="26"/>
  <c r="BR14" i="16"/>
  <c r="BX14" i="16"/>
  <c r="Y14" i="16"/>
  <c r="DT14" i="26"/>
  <c r="BR15" i="16"/>
  <c r="BX15" i="16"/>
  <c r="Y15" i="16"/>
  <c r="DT15" i="26"/>
  <c r="BR16" i="16"/>
  <c r="BX16" i="16"/>
  <c r="Y16" i="16"/>
  <c r="DT16" i="26"/>
  <c r="BR17" i="16"/>
  <c r="BX17" i="16"/>
  <c r="Y17" i="16"/>
  <c r="DT17" i="26"/>
  <c r="BR18" i="16"/>
  <c r="BX18" i="16"/>
  <c r="Y18" i="16"/>
  <c r="DT18" i="26"/>
  <c r="BR19" i="16"/>
  <c r="BX19" i="16"/>
  <c r="Y19" i="16"/>
  <c r="DT19" i="26"/>
  <c r="BR20" i="16"/>
  <c r="BX20" i="16"/>
  <c r="Y20" i="16"/>
  <c r="DT20" i="26"/>
  <c r="BR21" i="16"/>
  <c r="BX21" i="16"/>
  <c r="Y21" i="16"/>
  <c r="DT21" i="26"/>
  <c r="BR22" i="16"/>
  <c r="BX22" i="16"/>
  <c r="Y22" i="16"/>
  <c r="DT22" i="26"/>
  <c r="BR23" i="16"/>
  <c r="BX23" i="16"/>
  <c r="Y23" i="16"/>
  <c r="DT23" i="26"/>
  <c r="BR24" i="16"/>
  <c r="BX24" i="16"/>
  <c r="Y24" i="16"/>
  <c r="DT24" i="26"/>
  <c r="BR25" i="16"/>
  <c r="BX25" i="16"/>
  <c r="Y25" i="16"/>
  <c r="DT25" i="26"/>
  <c r="BR26" i="16"/>
  <c r="BX26" i="16"/>
  <c r="Y26" i="16"/>
  <c r="DT26" i="26"/>
  <c r="BR27" i="16"/>
  <c r="BX27" i="16"/>
  <c r="Y27" i="16"/>
  <c r="DT27" i="26"/>
  <c r="BR28" i="16"/>
  <c r="BX28" i="16"/>
  <c r="Y28" i="16"/>
  <c r="DT28" i="26"/>
  <c r="BR29" i="16"/>
  <c r="BX29" i="16"/>
  <c r="Y29" i="16"/>
  <c r="DT29" i="26"/>
  <c r="BR30" i="16"/>
  <c r="BX30" i="16"/>
  <c r="Y30" i="16"/>
  <c r="DT30" i="26"/>
  <c r="BR31" i="16"/>
  <c r="BX31" i="16"/>
  <c r="Y31" i="16"/>
  <c r="DT31" i="26"/>
  <c r="BR32" i="16"/>
  <c r="BX32" i="16"/>
  <c r="Y32" i="16"/>
  <c r="DT32" i="26"/>
  <c r="BR33" i="16"/>
  <c r="BX33" i="16"/>
  <c r="Y33" i="16"/>
  <c r="DT33" i="26"/>
  <c r="BR34" i="16"/>
  <c r="BX34" i="16"/>
  <c r="Y34" i="16"/>
  <c r="DT34" i="26"/>
  <c r="BR35" i="16"/>
  <c r="BX35" i="16"/>
  <c r="Y35" i="16"/>
  <c r="DT35" i="26"/>
  <c r="BR36" i="16"/>
  <c r="BX36" i="16"/>
  <c r="Y36" i="16"/>
  <c r="DT36" i="26"/>
  <c r="BR37" i="16"/>
  <c r="BX37" i="16"/>
  <c r="Y37" i="16"/>
  <c r="DT37" i="26"/>
  <c r="BR38" i="16"/>
  <c r="BX38" i="16"/>
  <c r="Y38" i="16"/>
  <c r="DT38" i="26"/>
  <c r="BR39" i="16"/>
  <c r="BX39" i="16"/>
  <c r="Y39" i="16"/>
  <c r="DT39" i="26"/>
  <c r="BR40" i="16"/>
  <c r="BX40" i="16"/>
  <c r="Y40" i="16"/>
  <c r="DT40" i="26"/>
  <c r="BR41" i="16"/>
  <c r="BX41" i="16"/>
  <c r="Y41" i="16"/>
  <c r="DT41" i="26"/>
  <c r="BR42" i="16"/>
  <c r="BX42" i="16"/>
  <c r="Y42" i="16"/>
  <c r="DT42" i="26"/>
  <c r="BR43" i="16"/>
  <c r="BX43" i="16"/>
  <c r="Y43" i="16"/>
  <c r="DT43" i="26"/>
  <c r="BR44" i="16"/>
  <c r="BX44" i="16"/>
  <c r="Y44" i="16"/>
  <c r="DT44" i="26"/>
  <c r="BR45" i="16"/>
  <c r="BX45" i="16"/>
  <c r="Y45" i="16"/>
  <c r="DT45" i="26"/>
  <c r="BR46" i="16"/>
  <c r="BX46" i="16"/>
  <c r="Y46" i="16"/>
  <c r="DT46" i="26"/>
  <c r="BR47" i="16"/>
  <c r="BX47" i="16"/>
  <c r="Y47" i="16"/>
  <c r="DT47" i="26"/>
  <c r="BR48" i="16"/>
  <c r="BX48" i="16"/>
  <c r="Y48" i="16"/>
  <c r="DT48" i="26"/>
  <c r="BR49" i="16"/>
  <c r="BX49" i="16"/>
  <c r="Y49" i="16"/>
  <c r="DT49" i="26"/>
  <c r="BR50" i="16"/>
  <c r="BX50" i="16"/>
  <c r="Y50" i="16"/>
  <c r="DT50" i="26"/>
  <c r="BR51" i="16"/>
  <c r="BX51" i="16"/>
  <c r="Y51" i="16"/>
  <c r="DT51" i="26"/>
  <c r="BR52" i="16"/>
  <c r="BX52" i="16"/>
  <c r="Y52" i="16"/>
  <c r="DT52" i="26"/>
  <c r="BR53" i="16"/>
  <c r="BX53" i="16"/>
  <c r="Y53" i="16"/>
  <c r="DT53" i="26"/>
  <c r="BR54" i="16"/>
  <c r="BX54" i="16"/>
  <c r="Y54" i="16"/>
  <c r="DT54" i="26"/>
  <c r="BR55" i="16"/>
  <c r="BX55" i="16"/>
  <c r="Y55" i="16"/>
  <c r="DT55" i="26"/>
  <c r="BR56" i="16"/>
  <c r="BX56" i="16"/>
  <c r="Y56" i="16"/>
  <c r="DT56" i="26"/>
  <c r="BR11" i="16"/>
  <c r="BX11" i="16"/>
  <c r="Y11" i="16"/>
  <c r="DT11" i="26"/>
  <c r="AQ31" i="1"/>
  <c r="AQ32" i="1"/>
  <c r="AQ33" i="1"/>
  <c r="AQ34" i="1"/>
  <c r="AQ35" i="1"/>
  <c r="AQ36" i="1"/>
  <c r="AQ37" i="1"/>
  <c r="AQ38" i="1"/>
  <c r="AQ39" i="1"/>
  <c r="AQ40" i="1"/>
  <c r="AQ41" i="1"/>
  <c r="AQ42" i="1"/>
  <c r="AQ43" i="1"/>
  <c r="AQ44" i="1"/>
  <c r="AQ45" i="1"/>
  <c r="AQ46" i="1"/>
  <c r="AQ47" i="1"/>
  <c r="AQ48" i="1"/>
  <c r="AQ49" i="1"/>
  <c r="AQ50" i="1"/>
  <c r="AQ51" i="1"/>
  <c r="AQ52" i="1"/>
  <c r="AQ53" i="1"/>
  <c r="AQ54" i="1"/>
  <c r="AQ55" i="1"/>
  <c r="AQ56" i="1"/>
  <c r="AQ57" i="1"/>
  <c r="AQ58" i="1"/>
  <c r="AQ11" i="1"/>
  <c r="Y57" i="16"/>
  <c r="Y58" i="16"/>
  <c r="BU10" i="16"/>
  <c r="BQ11" i="16"/>
  <c r="BQ12" i="16"/>
  <c r="BQ13" i="16"/>
  <c r="BQ14" i="16"/>
  <c r="BQ15" i="16"/>
  <c r="BQ16" i="16"/>
  <c r="BQ17" i="16"/>
  <c r="BQ18" i="16"/>
  <c r="BQ19" i="16"/>
  <c r="BQ20" i="16"/>
  <c r="BQ21" i="16"/>
  <c r="BQ22" i="16"/>
  <c r="BQ23" i="16"/>
  <c r="BQ24" i="16"/>
  <c r="BQ25" i="16"/>
  <c r="BQ26" i="16"/>
  <c r="BQ27" i="16"/>
  <c r="BQ28" i="16"/>
  <c r="BQ29" i="16"/>
  <c r="BQ30" i="16"/>
  <c r="BQ31" i="16"/>
  <c r="BQ32" i="16"/>
  <c r="BQ33" i="16"/>
  <c r="BQ34" i="16"/>
  <c r="BQ35" i="16"/>
  <c r="BQ36" i="16"/>
  <c r="BQ37" i="16"/>
  <c r="BQ38" i="16"/>
  <c r="BQ39" i="16"/>
  <c r="BQ40" i="16"/>
  <c r="BQ41" i="16"/>
  <c r="BQ42" i="16"/>
  <c r="BQ43" i="16"/>
  <c r="BQ44" i="16"/>
  <c r="BQ45" i="16"/>
  <c r="BQ46" i="16"/>
  <c r="BQ47" i="16"/>
  <c r="BQ48" i="16"/>
  <c r="BQ49" i="16"/>
  <c r="BQ50" i="16"/>
  <c r="BQ51" i="16"/>
  <c r="BQ52" i="16"/>
  <c r="BQ53" i="16"/>
  <c r="BQ54" i="16"/>
  <c r="BQ55" i="16"/>
  <c r="BQ56" i="16"/>
  <c r="BR41" i="13"/>
  <c r="BR21" i="13"/>
  <c r="BR42" i="13"/>
  <c r="BR39" i="13"/>
  <c r="BR40" i="13"/>
  <c r="BR33" i="13"/>
  <c r="BR46" i="13"/>
  <c r="BR38" i="13"/>
  <c r="BR23" i="12"/>
  <c r="BR14" i="13"/>
  <c r="BR47" i="13"/>
  <c r="BR48" i="13"/>
  <c r="BR32" i="13"/>
  <c r="N7" i="16"/>
  <c r="BT41" i="13"/>
  <c r="BT21" i="13"/>
  <c r="BT42" i="13"/>
  <c r="BT39" i="13"/>
  <c r="BT40" i="13"/>
  <c r="BT33" i="13"/>
  <c r="BT46" i="13"/>
  <c r="BT38" i="13"/>
  <c r="BT23" i="12"/>
  <c r="BT14" i="13"/>
  <c r="BT47" i="13"/>
  <c r="BT48" i="13"/>
  <c r="BT32" i="13"/>
  <c r="N5" i="16"/>
  <c r="N6" i="16"/>
  <c r="BS41" i="13"/>
  <c r="BS21" i="13"/>
  <c r="BS42" i="13"/>
  <c r="BS39" i="13"/>
  <c r="BS40" i="13"/>
  <c r="BS33" i="13"/>
  <c r="BS46" i="13"/>
  <c r="BS38" i="13"/>
  <c r="BS23" i="12"/>
  <c r="BS14" i="13"/>
  <c r="BS47" i="13"/>
  <c r="BS48" i="13"/>
  <c r="BS32" i="13"/>
  <c r="N8" i="16"/>
  <c r="BU41" i="13"/>
  <c r="BU21" i="13"/>
  <c r="BU42" i="13"/>
  <c r="BU39" i="13"/>
  <c r="BU40" i="13"/>
  <c r="BU33" i="13"/>
  <c r="BU46" i="13"/>
  <c r="BU38" i="13"/>
  <c r="BU23" i="12"/>
  <c r="BU14" i="13"/>
  <c r="BU47" i="13"/>
  <c r="BU48" i="13"/>
  <c r="BU32" i="13"/>
  <c r="N9" i="16"/>
  <c r="AH4" i="16"/>
  <c r="AE5" i="16"/>
  <c r="AQ5" i="1"/>
  <c r="AT8" i="1"/>
  <c r="BL6" i="1"/>
  <c r="BL4" i="1"/>
  <c r="BM6" i="1"/>
  <c r="BO6" i="1"/>
  <c r="BN6" i="1"/>
  <c r="C61" i="1"/>
  <c r="C60" i="1"/>
  <c r="C5" i="1"/>
  <c r="BK11" i="1"/>
  <c r="D61" i="1"/>
  <c r="D60" i="1"/>
  <c r="D5" i="1"/>
  <c r="BL11" i="1"/>
  <c r="E61" i="1"/>
  <c r="E60" i="1"/>
  <c r="E5" i="1"/>
  <c r="BM11" i="1"/>
  <c r="F61" i="1"/>
  <c r="F60" i="1"/>
  <c r="F5" i="1"/>
  <c r="BN11" i="1"/>
  <c r="G61" i="1"/>
  <c r="G60" i="1"/>
  <c r="G5" i="1"/>
  <c r="BO11" i="1"/>
  <c r="H61" i="1"/>
  <c r="H60" i="1"/>
  <c r="H5" i="1"/>
  <c r="BP11" i="1"/>
  <c r="I61" i="1"/>
  <c r="I60" i="1"/>
  <c r="I5" i="1"/>
  <c r="BQ11" i="1"/>
  <c r="J61" i="1"/>
  <c r="J60" i="1"/>
  <c r="J5" i="1"/>
  <c r="BR11" i="1"/>
  <c r="K61" i="1"/>
  <c r="K60" i="1"/>
  <c r="K5" i="1"/>
  <c r="BS11" i="1"/>
  <c r="L61" i="1"/>
  <c r="L60" i="1"/>
  <c r="L5" i="1"/>
  <c r="BT11" i="1"/>
  <c r="M61" i="1"/>
  <c r="M60" i="1"/>
  <c r="M5" i="1"/>
  <c r="BU11" i="1"/>
  <c r="N61" i="1"/>
  <c r="N60" i="1"/>
  <c r="N5" i="1"/>
  <c r="BV11" i="1"/>
  <c r="O61" i="1"/>
  <c r="O60" i="1"/>
  <c r="O5" i="1"/>
  <c r="BW11" i="1"/>
  <c r="P61" i="1"/>
  <c r="P60" i="1"/>
  <c r="P5" i="1"/>
  <c r="BX11" i="1"/>
  <c r="Q61" i="1"/>
  <c r="Q60" i="1"/>
  <c r="Q5" i="1"/>
  <c r="BY11" i="1"/>
  <c r="R61" i="1"/>
  <c r="R60" i="1"/>
  <c r="R5" i="1"/>
  <c r="BZ11" i="1"/>
  <c r="S61" i="1"/>
  <c r="S60" i="1"/>
  <c r="S5" i="1"/>
  <c r="CA11" i="1"/>
  <c r="T61" i="1"/>
  <c r="T60" i="1"/>
  <c r="T5" i="1"/>
  <c r="CB11" i="1"/>
  <c r="U61" i="1"/>
  <c r="U60" i="1"/>
  <c r="U5" i="1"/>
  <c r="CC11" i="1"/>
  <c r="V61" i="1"/>
  <c r="V60" i="1"/>
  <c r="V5" i="1"/>
  <c r="CD11" i="1"/>
  <c r="W61" i="1"/>
  <c r="W60" i="1"/>
  <c r="W5" i="1"/>
  <c r="CE11" i="1"/>
  <c r="X61" i="1"/>
  <c r="X60" i="1"/>
  <c r="X5" i="1"/>
  <c r="CF11" i="1"/>
  <c r="Y61" i="1"/>
  <c r="Y60" i="1"/>
  <c r="Y5" i="1"/>
  <c r="CG11" i="1"/>
  <c r="Z61" i="1"/>
  <c r="Z60" i="1"/>
  <c r="Z5" i="1"/>
  <c r="CH11" i="1"/>
  <c r="AA61" i="1"/>
  <c r="AA60" i="1"/>
  <c r="AA5" i="1"/>
  <c r="CI11" i="1"/>
  <c r="AB61" i="1"/>
  <c r="AB60" i="1"/>
  <c r="AB5" i="1"/>
  <c r="CJ11" i="1"/>
  <c r="AC61" i="1"/>
  <c r="AC60" i="1"/>
  <c r="AC5" i="1"/>
  <c r="CK11" i="1"/>
  <c r="AD61" i="1"/>
  <c r="AD60" i="1"/>
  <c r="AD5" i="1"/>
  <c r="CL11" i="1"/>
  <c r="AE61" i="1"/>
  <c r="AE60" i="1"/>
  <c r="AE5" i="1"/>
  <c r="CM11" i="1"/>
  <c r="AF61" i="1"/>
  <c r="AF60" i="1"/>
  <c r="AF5" i="1"/>
  <c r="CN11" i="1"/>
  <c r="AG61" i="1"/>
  <c r="AG60" i="1"/>
  <c r="AG5" i="1"/>
  <c r="CO11" i="1"/>
  <c r="AH61" i="1"/>
  <c r="AH60" i="1"/>
  <c r="AH5" i="1"/>
  <c r="CP11" i="1"/>
  <c r="AI61" i="1"/>
  <c r="AI60" i="1"/>
  <c r="AI5" i="1"/>
  <c r="CQ11" i="1"/>
  <c r="AJ61" i="1"/>
  <c r="AJ60" i="1"/>
  <c r="AJ5" i="1"/>
  <c r="CR11" i="1"/>
  <c r="AK61" i="1"/>
  <c r="AK60" i="1"/>
  <c r="AK5" i="1"/>
  <c r="CS11" i="1"/>
  <c r="AL61" i="1"/>
  <c r="AL60" i="1"/>
  <c r="AL5" i="1"/>
  <c r="CT11" i="1"/>
  <c r="AM61" i="1"/>
  <c r="AM60" i="1"/>
  <c r="AM5" i="1"/>
  <c r="CU11" i="1"/>
  <c r="AN61" i="1"/>
  <c r="AN60" i="1"/>
  <c r="AN5" i="1"/>
  <c r="CV11" i="1"/>
  <c r="AO61" i="1"/>
  <c r="AO60" i="1"/>
  <c r="AO5" i="1"/>
  <c r="CW11" i="1"/>
  <c r="AP61" i="1"/>
  <c r="AP60" i="1"/>
  <c r="AP5" i="1"/>
  <c r="CX11" i="1"/>
  <c r="BE11" i="1"/>
  <c r="BH11" i="1"/>
  <c r="BH12" i="1"/>
  <c r="BH13" i="1"/>
  <c r="BH14" i="1"/>
  <c r="BH15" i="1"/>
  <c r="BH16" i="1"/>
  <c r="BH17" i="1"/>
  <c r="BH18" i="1"/>
  <c r="BH19" i="1"/>
  <c r="BH20" i="1"/>
  <c r="BH21" i="1"/>
  <c r="BH22" i="1"/>
  <c r="BH23" i="1"/>
  <c r="BH24" i="1"/>
  <c r="BH25" i="1"/>
  <c r="BH26" i="1"/>
  <c r="BH27" i="1"/>
  <c r="BH28" i="1"/>
  <c r="BH29" i="1"/>
  <c r="BH30" i="1"/>
  <c r="BH31" i="1"/>
  <c r="BH32" i="1"/>
  <c r="BH33" i="1"/>
  <c r="BH34" i="1"/>
  <c r="BH35" i="1"/>
  <c r="BH36" i="1"/>
  <c r="BH37" i="1"/>
  <c r="BH38" i="1"/>
  <c r="BH39" i="1"/>
  <c r="BH40" i="1"/>
  <c r="BH41" i="1"/>
  <c r="BH42" i="1"/>
  <c r="BH43" i="1"/>
  <c r="BH44" i="1"/>
  <c r="BH45" i="1"/>
  <c r="BH46" i="1"/>
  <c r="BH47" i="1"/>
  <c r="BH48" i="1"/>
  <c r="BH49" i="1"/>
  <c r="BH50" i="1"/>
  <c r="BH51" i="1"/>
  <c r="BH52" i="1"/>
  <c r="BH53" i="1"/>
  <c r="BH54" i="1"/>
  <c r="BH55" i="1"/>
  <c r="BH56" i="1"/>
  <c r="A390" i="9"/>
  <c r="A683" i="9"/>
  <c r="CG10" i="26"/>
  <c r="CH10" i="26"/>
  <c r="CG11" i="26"/>
  <c r="CI10" i="26"/>
  <c r="CH11" i="26"/>
  <c r="CJ10" i="26"/>
  <c r="CI11" i="26"/>
  <c r="CK10" i="26"/>
  <c r="CJ11" i="26"/>
  <c r="CL10" i="26"/>
  <c r="CK11" i="26"/>
  <c r="CM10" i="26"/>
  <c r="CL11" i="26"/>
  <c r="CN10" i="26"/>
  <c r="CM11" i="26"/>
  <c r="CO10" i="26"/>
  <c r="CN11" i="26"/>
  <c r="CP10" i="26"/>
  <c r="CO11" i="26"/>
  <c r="CQ10" i="26"/>
  <c r="CP11" i="26"/>
  <c r="CR10" i="26"/>
  <c r="CQ11" i="26"/>
  <c r="CS10" i="26"/>
  <c r="CR11" i="26"/>
  <c r="CT10" i="26"/>
  <c r="CS11" i="26"/>
  <c r="CU10" i="26"/>
  <c r="CT11" i="26"/>
  <c r="CV10" i="26"/>
  <c r="CU11" i="26"/>
  <c r="CW10" i="26"/>
  <c r="CV11" i="26"/>
  <c r="CX10" i="26"/>
  <c r="CW11" i="26"/>
  <c r="CY10" i="26"/>
  <c r="CX11" i="26"/>
  <c r="CZ10" i="26"/>
  <c r="CY11" i="26"/>
  <c r="DA10" i="26"/>
  <c r="CZ11" i="26"/>
  <c r="DB10" i="26"/>
  <c r="DA11" i="26"/>
  <c r="DB11" i="26"/>
  <c r="DC10" i="26"/>
  <c r="DD10" i="26"/>
  <c r="DC11" i="26"/>
  <c r="DE10" i="26"/>
  <c r="DD11" i="26"/>
  <c r="DF10" i="26"/>
  <c r="DE11" i="26"/>
  <c r="DG10" i="26"/>
  <c r="DF11" i="26"/>
  <c r="DH10" i="26"/>
  <c r="DG11" i="26"/>
  <c r="DH11" i="26"/>
  <c r="DI10" i="26"/>
  <c r="DJ10" i="26"/>
  <c r="DI11" i="26"/>
  <c r="DJ11" i="26"/>
  <c r="DK10" i="26"/>
  <c r="DL10" i="26"/>
  <c r="DK11" i="26"/>
  <c r="DL11" i="26"/>
  <c r="DM11" i="26"/>
  <c r="DN11" i="26"/>
  <c r="DO10" i="26"/>
  <c r="DP10" i="26"/>
  <c r="DO11" i="26"/>
  <c r="DP11" i="26"/>
  <c r="DQ11" i="26"/>
  <c r="DR11" i="26"/>
  <c r="DS11" i="26"/>
  <c r="CG12" i="26"/>
  <c r="CH12" i="26"/>
  <c r="CI12" i="26"/>
  <c r="CJ12" i="26"/>
  <c r="CK12" i="26"/>
  <c r="CL12" i="26"/>
  <c r="CM12" i="26"/>
  <c r="CN12" i="26"/>
  <c r="CO12" i="26"/>
  <c r="CP12" i="26"/>
  <c r="CQ12" i="26"/>
  <c r="CR12" i="26"/>
  <c r="CS12" i="26"/>
  <c r="CT12" i="26"/>
  <c r="CU12" i="26"/>
  <c r="CV12" i="26"/>
  <c r="CW12" i="26"/>
  <c r="CX12" i="26"/>
  <c r="CY12" i="26"/>
  <c r="CZ12" i="26"/>
  <c r="DA12" i="26"/>
  <c r="DB12" i="26"/>
  <c r="DC12" i="26"/>
  <c r="DD12" i="26"/>
  <c r="DE12" i="26"/>
  <c r="DF12" i="26"/>
  <c r="DG12" i="26"/>
  <c r="DH12" i="26"/>
  <c r="DI12" i="26"/>
  <c r="DJ12" i="26"/>
  <c r="DK12" i="26"/>
  <c r="DL12" i="26"/>
  <c r="DM12" i="26"/>
  <c r="DN12" i="26"/>
  <c r="DO12" i="26"/>
  <c r="DP12" i="26"/>
  <c r="DQ12" i="26"/>
  <c r="DR12" i="26"/>
  <c r="AQ12" i="1"/>
  <c r="DS12" i="26"/>
  <c r="CG13" i="26"/>
  <c r="CH13" i="26"/>
  <c r="CI13" i="26"/>
  <c r="CJ13" i="26"/>
  <c r="CK13" i="26"/>
  <c r="CL13" i="26"/>
  <c r="CM13" i="26"/>
  <c r="CN13" i="26"/>
  <c r="CO13" i="26"/>
  <c r="CP13" i="26"/>
  <c r="CQ13" i="26"/>
  <c r="CR13" i="26"/>
  <c r="CS13" i="26"/>
  <c r="CT13" i="26"/>
  <c r="CU13" i="26"/>
  <c r="CV13" i="26"/>
  <c r="CW13" i="26"/>
  <c r="CX13" i="26"/>
  <c r="CY13" i="26"/>
  <c r="CZ13" i="26"/>
  <c r="DA13" i="26"/>
  <c r="DB13" i="26"/>
  <c r="DC13" i="26"/>
  <c r="DD13" i="26"/>
  <c r="DE13" i="26"/>
  <c r="DF13" i="26"/>
  <c r="DG13" i="26"/>
  <c r="DH13" i="26"/>
  <c r="DI13" i="26"/>
  <c r="DJ13" i="26"/>
  <c r="DK13" i="26"/>
  <c r="DL13" i="26"/>
  <c r="DM13" i="26"/>
  <c r="DN13" i="26"/>
  <c r="DO13" i="26"/>
  <c r="DP13" i="26"/>
  <c r="DQ13" i="26"/>
  <c r="DR13" i="26"/>
  <c r="AQ13" i="1"/>
  <c r="DS13" i="26"/>
  <c r="CG14" i="26"/>
  <c r="CH14" i="26"/>
  <c r="CI14" i="26"/>
  <c r="CJ14" i="26"/>
  <c r="CK14" i="26"/>
  <c r="CL14" i="26"/>
  <c r="CM14" i="26"/>
  <c r="CN14" i="26"/>
  <c r="CO14" i="26"/>
  <c r="CP14" i="26"/>
  <c r="CQ14" i="26"/>
  <c r="CR14" i="26"/>
  <c r="CS14" i="26"/>
  <c r="CT14" i="26"/>
  <c r="CU14" i="26"/>
  <c r="CV14" i="26"/>
  <c r="CW14" i="26"/>
  <c r="CX14" i="26"/>
  <c r="CY14" i="26"/>
  <c r="CZ14" i="26"/>
  <c r="DA14" i="26"/>
  <c r="DB14" i="26"/>
  <c r="DC14" i="26"/>
  <c r="DD14" i="26"/>
  <c r="DE14" i="26"/>
  <c r="DF14" i="26"/>
  <c r="DG14" i="26"/>
  <c r="DH14" i="26"/>
  <c r="DI14" i="26"/>
  <c r="DJ14" i="26"/>
  <c r="DK14" i="26"/>
  <c r="DL14" i="26"/>
  <c r="DM14" i="26"/>
  <c r="DN14" i="26"/>
  <c r="DO14" i="26"/>
  <c r="DP14" i="26"/>
  <c r="DQ14" i="26"/>
  <c r="DR14" i="26"/>
  <c r="AQ14" i="1"/>
  <c r="DS14" i="26"/>
  <c r="CG15" i="26"/>
  <c r="CH15" i="26"/>
  <c r="CI15" i="26"/>
  <c r="CJ15" i="26"/>
  <c r="CK15" i="26"/>
  <c r="CL15" i="26"/>
  <c r="CM15" i="26"/>
  <c r="CN15" i="26"/>
  <c r="CO15" i="26"/>
  <c r="CP15" i="26"/>
  <c r="CQ15" i="26"/>
  <c r="CR15" i="26"/>
  <c r="CS15" i="26"/>
  <c r="CT15" i="26"/>
  <c r="CU15" i="26"/>
  <c r="CV15" i="26"/>
  <c r="CW15" i="26"/>
  <c r="CX15" i="26"/>
  <c r="CY15" i="26"/>
  <c r="CZ15" i="26"/>
  <c r="DA15" i="26"/>
  <c r="DB15" i="26"/>
  <c r="DC15" i="26"/>
  <c r="DD15" i="26"/>
  <c r="DE15" i="26"/>
  <c r="DF15" i="26"/>
  <c r="DG15" i="26"/>
  <c r="DH15" i="26"/>
  <c r="DI15" i="26"/>
  <c r="DJ15" i="26"/>
  <c r="DK15" i="26"/>
  <c r="DL15" i="26"/>
  <c r="DM15" i="26"/>
  <c r="DN15" i="26"/>
  <c r="DO15" i="26"/>
  <c r="DP15" i="26"/>
  <c r="DQ15" i="26"/>
  <c r="DR15" i="26"/>
  <c r="AQ15" i="1"/>
  <c r="DS15" i="26"/>
  <c r="CG16" i="26"/>
  <c r="CH16" i="26"/>
  <c r="CI16" i="26"/>
  <c r="CJ16" i="26"/>
  <c r="CK16" i="26"/>
  <c r="CL16" i="26"/>
  <c r="CM16" i="26"/>
  <c r="CN16" i="26"/>
  <c r="CO16" i="26"/>
  <c r="CP16" i="26"/>
  <c r="CQ16" i="26"/>
  <c r="CR16" i="26"/>
  <c r="CS16" i="26"/>
  <c r="CT16" i="26"/>
  <c r="CU16" i="26"/>
  <c r="CV16" i="26"/>
  <c r="CW16" i="26"/>
  <c r="CX16" i="26"/>
  <c r="CY16" i="26"/>
  <c r="CZ16" i="26"/>
  <c r="DA16" i="26"/>
  <c r="DB16" i="26"/>
  <c r="DC16" i="26"/>
  <c r="DD16" i="26"/>
  <c r="DE16" i="26"/>
  <c r="DF16" i="26"/>
  <c r="DG16" i="26"/>
  <c r="DH16" i="26"/>
  <c r="DI16" i="26"/>
  <c r="DJ16" i="26"/>
  <c r="DK16" i="26"/>
  <c r="DL16" i="26"/>
  <c r="DM16" i="26"/>
  <c r="DN16" i="26"/>
  <c r="DO16" i="26"/>
  <c r="DP16" i="26"/>
  <c r="DQ16" i="26"/>
  <c r="DR16" i="26"/>
  <c r="AQ16" i="1"/>
  <c r="DS16" i="26"/>
  <c r="CG17" i="26"/>
  <c r="CH17" i="26"/>
  <c r="CI17" i="26"/>
  <c r="CJ17" i="26"/>
  <c r="CK17" i="26"/>
  <c r="CL17" i="26"/>
  <c r="CM17" i="26"/>
  <c r="CN17" i="26"/>
  <c r="CO17" i="26"/>
  <c r="CP17" i="26"/>
  <c r="CQ17" i="26"/>
  <c r="CR17" i="26"/>
  <c r="CS17" i="26"/>
  <c r="CT17" i="26"/>
  <c r="CU17" i="26"/>
  <c r="CV17" i="26"/>
  <c r="CW17" i="26"/>
  <c r="CX17" i="26"/>
  <c r="CY17" i="26"/>
  <c r="CZ17" i="26"/>
  <c r="DA17" i="26"/>
  <c r="DB17" i="26"/>
  <c r="DC17" i="26"/>
  <c r="DD17" i="26"/>
  <c r="DE17" i="26"/>
  <c r="DF17" i="26"/>
  <c r="DG17" i="26"/>
  <c r="DH17" i="26"/>
  <c r="DI17" i="26"/>
  <c r="DJ17" i="26"/>
  <c r="DK17" i="26"/>
  <c r="DL17" i="26"/>
  <c r="DM17" i="26"/>
  <c r="DN17" i="26"/>
  <c r="DO17" i="26"/>
  <c r="DP17" i="26"/>
  <c r="DQ17" i="26"/>
  <c r="DR17" i="26"/>
  <c r="AQ17" i="1"/>
  <c r="DS17" i="26"/>
  <c r="CG18" i="26"/>
  <c r="CH18" i="26"/>
  <c r="CI18" i="26"/>
  <c r="CJ18" i="26"/>
  <c r="CK18" i="26"/>
  <c r="CL18" i="26"/>
  <c r="CM18" i="26"/>
  <c r="CN18" i="26"/>
  <c r="CO18" i="26"/>
  <c r="CP18" i="26"/>
  <c r="CQ18" i="26"/>
  <c r="CR18" i="26"/>
  <c r="CS18" i="26"/>
  <c r="CT18" i="26"/>
  <c r="CU18" i="26"/>
  <c r="CV18" i="26"/>
  <c r="CW18" i="26"/>
  <c r="CX18" i="26"/>
  <c r="CY18" i="26"/>
  <c r="CZ18" i="26"/>
  <c r="DA18" i="26"/>
  <c r="DB18" i="26"/>
  <c r="DC18" i="26"/>
  <c r="DD18" i="26"/>
  <c r="DE18" i="26"/>
  <c r="DF18" i="26"/>
  <c r="DG18" i="26"/>
  <c r="DH18" i="26"/>
  <c r="DI18" i="26"/>
  <c r="DJ18" i="26"/>
  <c r="DK18" i="26"/>
  <c r="DL18" i="26"/>
  <c r="DM18" i="26"/>
  <c r="DN18" i="26"/>
  <c r="DO18" i="26"/>
  <c r="DP18" i="26"/>
  <c r="DQ18" i="26"/>
  <c r="DR18" i="26"/>
  <c r="AQ18" i="1"/>
  <c r="DS18" i="26"/>
  <c r="CG19" i="26"/>
  <c r="CH19" i="26"/>
  <c r="CI19" i="26"/>
  <c r="CJ19" i="26"/>
  <c r="CK19" i="26"/>
  <c r="CL19" i="26"/>
  <c r="CM19" i="26"/>
  <c r="CN19" i="26"/>
  <c r="CO19" i="26"/>
  <c r="CP19" i="26"/>
  <c r="CQ19" i="26"/>
  <c r="CR19" i="26"/>
  <c r="CS19" i="26"/>
  <c r="CT19" i="26"/>
  <c r="CU19" i="26"/>
  <c r="CV19" i="26"/>
  <c r="CW19" i="26"/>
  <c r="CX19" i="26"/>
  <c r="CY19" i="26"/>
  <c r="CZ19" i="26"/>
  <c r="DA19" i="26"/>
  <c r="DB19" i="26"/>
  <c r="DC19" i="26"/>
  <c r="DD19" i="26"/>
  <c r="DE19" i="26"/>
  <c r="DF19" i="26"/>
  <c r="DG19" i="26"/>
  <c r="DH19" i="26"/>
  <c r="DI19" i="26"/>
  <c r="DJ19" i="26"/>
  <c r="DK19" i="26"/>
  <c r="DL19" i="26"/>
  <c r="DM19" i="26"/>
  <c r="DN19" i="26"/>
  <c r="DO19" i="26"/>
  <c r="DP19" i="26"/>
  <c r="DQ19" i="26"/>
  <c r="DR19" i="26"/>
  <c r="AQ19" i="1"/>
  <c r="DS19" i="26"/>
  <c r="CG20" i="26"/>
  <c r="CH20" i="26"/>
  <c r="CI20" i="26"/>
  <c r="CJ20" i="26"/>
  <c r="CK20" i="26"/>
  <c r="CL20" i="26"/>
  <c r="CM20" i="26"/>
  <c r="CN20" i="26"/>
  <c r="CO20" i="26"/>
  <c r="CP20" i="26"/>
  <c r="CQ20" i="26"/>
  <c r="CR20" i="26"/>
  <c r="CS20" i="26"/>
  <c r="CT20" i="26"/>
  <c r="CU20" i="26"/>
  <c r="CV20" i="26"/>
  <c r="CW20" i="26"/>
  <c r="CX20" i="26"/>
  <c r="CY20" i="26"/>
  <c r="CZ20" i="26"/>
  <c r="DA20" i="26"/>
  <c r="DB20" i="26"/>
  <c r="DC20" i="26"/>
  <c r="DD20" i="26"/>
  <c r="DE20" i="26"/>
  <c r="DF20" i="26"/>
  <c r="DG20" i="26"/>
  <c r="DH20" i="26"/>
  <c r="DI20" i="26"/>
  <c r="DJ20" i="26"/>
  <c r="DK20" i="26"/>
  <c r="DL20" i="26"/>
  <c r="DM20" i="26"/>
  <c r="DN20" i="26"/>
  <c r="DO20" i="26"/>
  <c r="DP20" i="26"/>
  <c r="DQ20" i="26"/>
  <c r="DR20" i="26"/>
  <c r="AQ20" i="1"/>
  <c r="DS20" i="26"/>
  <c r="CG21" i="26"/>
  <c r="CH21" i="26"/>
  <c r="CI21" i="26"/>
  <c r="CJ21" i="26"/>
  <c r="CK21" i="26"/>
  <c r="CL21" i="26"/>
  <c r="CM21" i="26"/>
  <c r="CN21" i="26"/>
  <c r="CO21" i="26"/>
  <c r="CP21" i="26"/>
  <c r="CQ21" i="26"/>
  <c r="CR21" i="26"/>
  <c r="CS21" i="26"/>
  <c r="CT21" i="26"/>
  <c r="CU21" i="26"/>
  <c r="CV21" i="26"/>
  <c r="CW21" i="26"/>
  <c r="CX21" i="26"/>
  <c r="CY21" i="26"/>
  <c r="CZ21" i="26"/>
  <c r="DA21" i="26"/>
  <c r="DB21" i="26"/>
  <c r="DC21" i="26"/>
  <c r="DD21" i="26"/>
  <c r="DE21" i="26"/>
  <c r="DF21" i="26"/>
  <c r="DG21" i="26"/>
  <c r="DH21" i="26"/>
  <c r="DI21" i="26"/>
  <c r="DJ21" i="26"/>
  <c r="DK21" i="26"/>
  <c r="DL21" i="26"/>
  <c r="DM21" i="26"/>
  <c r="DN21" i="26"/>
  <c r="DO21" i="26"/>
  <c r="DP21" i="26"/>
  <c r="DQ21" i="26"/>
  <c r="DR21" i="26"/>
  <c r="AQ21" i="1"/>
  <c r="DS21" i="26"/>
  <c r="CG22" i="26"/>
  <c r="CH22" i="26"/>
  <c r="CI22" i="26"/>
  <c r="CJ22" i="26"/>
  <c r="CK22" i="26"/>
  <c r="CL22" i="26"/>
  <c r="CM22" i="26"/>
  <c r="CN22" i="26"/>
  <c r="CO22" i="26"/>
  <c r="CP22" i="26"/>
  <c r="CQ22" i="26"/>
  <c r="CR22" i="26"/>
  <c r="CS22" i="26"/>
  <c r="CT22" i="26"/>
  <c r="CU22" i="26"/>
  <c r="CV22" i="26"/>
  <c r="CW22" i="26"/>
  <c r="CX22" i="26"/>
  <c r="CY22" i="26"/>
  <c r="CZ22" i="26"/>
  <c r="DA22" i="26"/>
  <c r="DB22" i="26"/>
  <c r="DC22" i="26"/>
  <c r="DD22" i="26"/>
  <c r="DE22" i="26"/>
  <c r="DF22" i="26"/>
  <c r="DG22" i="26"/>
  <c r="DH22" i="26"/>
  <c r="DI22" i="26"/>
  <c r="DJ22" i="26"/>
  <c r="DK22" i="26"/>
  <c r="DL22" i="26"/>
  <c r="DM22" i="26"/>
  <c r="DN22" i="26"/>
  <c r="DO22" i="26"/>
  <c r="DP22" i="26"/>
  <c r="DQ22" i="26"/>
  <c r="DR22" i="26"/>
  <c r="AQ22" i="1"/>
  <c r="DS22" i="26"/>
  <c r="CG23" i="26"/>
  <c r="CH23" i="26"/>
  <c r="CI23" i="26"/>
  <c r="CJ23" i="26"/>
  <c r="CK23" i="26"/>
  <c r="CL23" i="26"/>
  <c r="CM23" i="26"/>
  <c r="CN23" i="26"/>
  <c r="CO23" i="26"/>
  <c r="CP23" i="26"/>
  <c r="CQ23" i="26"/>
  <c r="CR23" i="26"/>
  <c r="CS23" i="26"/>
  <c r="CT23" i="26"/>
  <c r="CU23" i="26"/>
  <c r="CV23" i="26"/>
  <c r="CW23" i="26"/>
  <c r="CX23" i="26"/>
  <c r="CY23" i="26"/>
  <c r="CZ23" i="26"/>
  <c r="DA23" i="26"/>
  <c r="DB23" i="26"/>
  <c r="DC23" i="26"/>
  <c r="DD23" i="26"/>
  <c r="DE23" i="26"/>
  <c r="DF23" i="26"/>
  <c r="DG23" i="26"/>
  <c r="DH23" i="26"/>
  <c r="DI23" i="26"/>
  <c r="DJ23" i="26"/>
  <c r="DK23" i="26"/>
  <c r="DL23" i="26"/>
  <c r="DM23" i="26"/>
  <c r="DN23" i="26"/>
  <c r="DO23" i="26"/>
  <c r="DP23" i="26"/>
  <c r="DQ23" i="26"/>
  <c r="DR23" i="26"/>
  <c r="AQ23" i="1"/>
  <c r="DS23" i="26"/>
  <c r="CG24" i="26"/>
  <c r="CH24" i="26"/>
  <c r="CI24" i="26"/>
  <c r="CJ24" i="26"/>
  <c r="CK24" i="26"/>
  <c r="CL24" i="26"/>
  <c r="CM24" i="26"/>
  <c r="CN24" i="26"/>
  <c r="CO24" i="26"/>
  <c r="CP24" i="26"/>
  <c r="CQ24" i="26"/>
  <c r="CR24" i="26"/>
  <c r="CS24" i="26"/>
  <c r="CT24" i="26"/>
  <c r="CU24" i="26"/>
  <c r="CV24" i="26"/>
  <c r="CW24" i="26"/>
  <c r="CX24" i="26"/>
  <c r="CY24" i="26"/>
  <c r="CZ24" i="26"/>
  <c r="DA24" i="26"/>
  <c r="DB24" i="26"/>
  <c r="DC24" i="26"/>
  <c r="DD24" i="26"/>
  <c r="DE24" i="26"/>
  <c r="DF24" i="26"/>
  <c r="DG24" i="26"/>
  <c r="DH24" i="26"/>
  <c r="DI24" i="26"/>
  <c r="DJ24" i="26"/>
  <c r="DK24" i="26"/>
  <c r="DL24" i="26"/>
  <c r="DM24" i="26"/>
  <c r="DN24" i="26"/>
  <c r="DO24" i="26"/>
  <c r="DP24" i="26"/>
  <c r="DQ24" i="26"/>
  <c r="DR24" i="26"/>
  <c r="AQ24" i="1"/>
  <c r="DS24" i="26"/>
  <c r="CG25" i="26"/>
  <c r="CH25" i="26"/>
  <c r="CI25" i="26"/>
  <c r="CJ25" i="26"/>
  <c r="CK25" i="26"/>
  <c r="CL25" i="26"/>
  <c r="CM25" i="26"/>
  <c r="CN25" i="26"/>
  <c r="CO25" i="26"/>
  <c r="CP25" i="26"/>
  <c r="CQ25" i="26"/>
  <c r="CR25" i="26"/>
  <c r="CS25" i="26"/>
  <c r="CT25" i="26"/>
  <c r="CU25" i="26"/>
  <c r="CV25" i="26"/>
  <c r="CW25" i="26"/>
  <c r="CX25" i="26"/>
  <c r="CY25" i="26"/>
  <c r="CZ25" i="26"/>
  <c r="DA25" i="26"/>
  <c r="DB25" i="26"/>
  <c r="DC25" i="26"/>
  <c r="DD25" i="26"/>
  <c r="DE25" i="26"/>
  <c r="DF25" i="26"/>
  <c r="DG25" i="26"/>
  <c r="DH25" i="26"/>
  <c r="DI25" i="26"/>
  <c r="DJ25" i="26"/>
  <c r="DK25" i="26"/>
  <c r="DL25" i="26"/>
  <c r="DM25" i="26"/>
  <c r="DN25" i="26"/>
  <c r="DO25" i="26"/>
  <c r="DP25" i="26"/>
  <c r="DQ25" i="26"/>
  <c r="DR25" i="26"/>
  <c r="AQ25" i="1"/>
  <c r="DS25" i="26"/>
  <c r="CG26" i="26"/>
  <c r="CH26" i="26"/>
  <c r="CI26" i="26"/>
  <c r="CJ26" i="26"/>
  <c r="CK26" i="26"/>
  <c r="CL26" i="26"/>
  <c r="CM26" i="26"/>
  <c r="CN26" i="26"/>
  <c r="CO26" i="26"/>
  <c r="CP26" i="26"/>
  <c r="CQ26" i="26"/>
  <c r="CR26" i="26"/>
  <c r="CS26" i="26"/>
  <c r="CT26" i="26"/>
  <c r="CU26" i="26"/>
  <c r="CV26" i="26"/>
  <c r="CW26" i="26"/>
  <c r="CX26" i="26"/>
  <c r="CY26" i="26"/>
  <c r="CZ26" i="26"/>
  <c r="DA26" i="26"/>
  <c r="DB26" i="26"/>
  <c r="DC26" i="26"/>
  <c r="DD26" i="26"/>
  <c r="DE26" i="26"/>
  <c r="DF26" i="26"/>
  <c r="DG26" i="26"/>
  <c r="DH26" i="26"/>
  <c r="DI26" i="26"/>
  <c r="DJ26" i="26"/>
  <c r="DK26" i="26"/>
  <c r="DL26" i="26"/>
  <c r="DM26" i="26"/>
  <c r="DN26" i="26"/>
  <c r="DO26" i="26"/>
  <c r="DP26" i="26"/>
  <c r="DQ26" i="26"/>
  <c r="DR26" i="26"/>
  <c r="AQ26" i="1"/>
  <c r="DS26" i="26"/>
  <c r="CG27" i="26"/>
  <c r="CH27" i="26"/>
  <c r="CI27" i="26"/>
  <c r="CJ27" i="26"/>
  <c r="CK27" i="26"/>
  <c r="CL27" i="26"/>
  <c r="CM27" i="26"/>
  <c r="CN27" i="26"/>
  <c r="CO27" i="26"/>
  <c r="CP27" i="26"/>
  <c r="CQ27" i="26"/>
  <c r="CR27" i="26"/>
  <c r="CS27" i="26"/>
  <c r="CT27" i="26"/>
  <c r="CU27" i="26"/>
  <c r="CV27" i="26"/>
  <c r="CW27" i="26"/>
  <c r="CX27" i="26"/>
  <c r="CY27" i="26"/>
  <c r="CZ27" i="26"/>
  <c r="DA27" i="26"/>
  <c r="DB27" i="26"/>
  <c r="DC27" i="26"/>
  <c r="DD27" i="26"/>
  <c r="DE27" i="26"/>
  <c r="DF27" i="26"/>
  <c r="DG27" i="26"/>
  <c r="DH27" i="26"/>
  <c r="DI27" i="26"/>
  <c r="DJ27" i="26"/>
  <c r="DK27" i="26"/>
  <c r="DL27" i="26"/>
  <c r="DM27" i="26"/>
  <c r="DN27" i="26"/>
  <c r="DO27" i="26"/>
  <c r="DP27" i="26"/>
  <c r="DQ27" i="26"/>
  <c r="DR27" i="26"/>
  <c r="AQ27" i="1"/>
  <c r="DS27" i="26"/>
  <c r="CG28" i="26"/>
  <c r="CH28" i="26"/>
  <c r="CI28" i="26"/>
  <c r="CJ28" i="26"/>
  <c r="CK28" i="26"/>
  <c r="CL28" i="26"/>
  <c r="CM28" i="26"/>
  <c r="CN28" i="26"/>
  <c r="CO28" i="26"/>
  <c r="CP28" i="26"/>
  <c r="CQ28" i="26"/>
  <c r="CR28" i="26"/>
  <c r="CS28" i="26"/>
  <c r="CT28" i="26"/>
  <c r="CU28" i="26"/>
  <c r="CV28" i="26"/>
  <c r="CW28" i="26"/>
  <c r="CX28" i="26"/>
  <c r="CY28" i="26"/>
  <c r="CZ28" i="26"/>
  <c r="DA28" i="26"/>
  <c r="DB28" i="26"/>
  <c r="DC28" i="26"/>
  <c r="DD28" i="26"/>
  <c r="DE28" i="26"/>
  <c r="DF28" i="26"/>
  <c r="DG28" i="26"/>
  <c r="DH28" i="26"/>
  <c r="DI28" i="26"/>
  <c r="DJ28" i="26"/>
  <c r="DK28" i="26"/>
  <c r="DL28" i="26"/>
  <c r="DM28" i="26"/>
  <c r="DN28" i="26"/>
  <c r="DO28" i="26"/>
  <c r="DP28" i="26"/>
  <c r="DQ28" i="26"/>
  <c r="DR28" i="26"/>
  <c r="AQ28" i="1"/>
  <c r="DS28" i="26"/>
  <c r="CG29" i="26"/>
  <c r="CH29" i="26"/>
  <c r="CI29" i="26"/>
  <c r="CJ29" i="26"/>
  <c r="CK29" i="26"/>
  <c r="CL29" i="26"/>
  <c r="CM29" i="26"/>
  <c r="CN29" i="26"/>
  <c r="CO29" i="26"/>
  <c r="CP29" i="26"/>
  <c r="CQ29" i="26"/>
  <c r="CR29" i="26"/>
  <c r="CS29" i="26"/>
  <c r="CT29" i="26"/>
  <c r="CU29" i="26"/>
  <c r="CV29" i="26"/>
  <c r="CW29" i="26"/>
  <c r="CX29" i="26"/>
  <c r="CY29" i="26"/>
  <c r="CZ29" i="26"/>
  <c r="DA29" i="26"/>
  <c r="DB29" i="26"/>
  <c r="DC29" i="26"/>
  <c r="DD29" i="26"/>
  <c r="DE29" i="26"/>
  <c r="DF29" i="26"/>
  <c r="DG29" i="26"/>
  <c r="DH29" i="26"/>
  <c r="DI29" i="26"/>
  <c r="DJ29" i="26"/>
  <c r="DK29" i="26"/>
  <c r="DL29" i="26"/>
  <c r="DM29" i="26"/>
  <c r="DN29" i="26"/>
  <c r="DO29" i="26"/>
  <c r="DP29" i="26"/>
  <c r="DQ29" i="26"/>
  <c r="DR29" i="26"/>
  <c r="AQ29" i="1"/>
  <c r="DS29" i="26"/>
  <c r="CG30" i="26"/>
  <c r="CH30" i="26"/>
  <c r="CI30" i="26"/>
  <c r="CJ30" i="26"/>
  <c r="CK30" i="26"/>
  <c r="CL30" i="26"/>
  <c r="CM30" i="26"/>
  <c r="CN30" i="26"/>
  <c r="CO30" i="26"/>
  <c r="CP30" i="26"/>
  <c r="CQ30" i="26"/>
  <c r="CR30" i="26"/>
  <c r="CS30" i="26"/>
  <c r="CT30" i="26"/>
  <c r="CU30" i="26"/>
  <c r="CV30" i="26"/>
  <c r="CW30" i="26"/>
  <c r="CX30" i="26"/>
  <c r="CY30" i="26"/>
  <c r="CZ30" i="26"/>
  <c r="DA30" i="26"/>
  <c r="DB30" i="26"/>
  <c r="DC30" i="26"/>
  <c r="DD30" i="26"/>
  <c r="DE30" i="26"/>
  <c r="DF30" i="26"/>
  <c r="DG30" i="26"/>
  <c r="DH30" i="26"/>
  <c r="DI30" i="26"/>
  <c r="DJ30" i="26"/>
  <c r="DK30" i="26"/>
  <c r="DL30" i="26"/>
  <c r="DM10" i="26"/>
  <c r="DN10" i="26"/>
  <c r="DM30" i="26"/>
  <c r="DN30" i="26"/>
  <c r="DO30" i="26"/>
  <c r="DP30" i="26"/>
  <c r="DQ30" i="26"/>
  <c r="DR30" i="26"/>
  <c r="AQ30" i="1"/>
  <c r="DS30" i="26"/>
  <c r="CG31" i="26"/>
  <c r="CH31" i="26"/>
  <c r="CI31" i="26"/>
  <c r="CJ31" i="26"/>
  <c r="CK31" i="26"/>
  <c r="CL31" i="26"/>
  <c r="CM31" i="26"/>
  <c r="CN31" i="26"/>
  <c r="CO31" i="26"/>
  <c r="CP31" i="26"/>
  <c r="CQ31" i="26"/>
  <c r="CR31" i="26"/>
  <c r="CS31" i="26"/>
  <c r="CT31" i="26"/>
  <c r="CU31" i="26"/>
  <c r="CV31" i="26"/>
  <c r="CW31" i="26"/>
  <c r="CX31" i="26"/>
  <c r="CY31" i="26"/>
  <c r="CZ31" i="26"/>
  <c r="DA31" i="26"/>
  <c r="DB31" i="26"/>
  <c r="DC31" i="26"/>
  <c r="DD31" i="26"/>
  <c r="DE31" i="26"/>
  <c r="DF31" i="26"/>
  <c r="DG31" i="26"/>
  <c r="DH31" i="26"/>
  <c r="DI31" i="26"/>
  <c r="DJ31" i="26"/>
  <c r="DK31" i="26"/>
  <c r="DL31" i="26"/>
  <c r="DM31" i="26"/>
  <c r="DN31" i="26"/>
  <c r="DO31" i="26"/>
  <c r="DP31" i="26"/>
  <c r="DQ31" i="26"/>
  <c r="DR31" i="26"/>
  <c r="DS31" i="26"/>
  <c r="CG32" i="26"/>
  <c r="CH32" i="26"/>
  <c r="CI32" i="26"/>
  <c r="CJ32" i="26"/>
  <c r="CK32" i="26"/>
  <c r="CL32" i="26"/>
  <c r="CM32" i="26"/>
  <c r="CN32" i="26"/>
  <c r="CO32" i="26"/>
  <c r="CP32" i="26"/>
  <c r="CQ32" i="26"/>
  <c r="CR32" i="26"/>
  <c r="CS32" i="26"/>
  <c r="CT32" i="26"/>
  <c r="CU32" i="26"/>
  <c r="CV32" i="26"/>
  <c r="CW32" i="26"/>
  <c r="CX32" i="26"/>
  <c r="CY32" i="26"/>
  <c r="CZ32" i="26"/>
  <c r="DA32" i="26"/>
  <c r="DB32" i="26"/>
  <c r="DC32" i="26"/>
  <c r="DD32" i="26"/>
  <c r="DE32" i="26"/>
  <c r="DF32" i="26"/>
  <c r="DG32" i="26"/>
  <c r="DH32" i="26"/>
  <c r="DI32" i="26"/>
  <c r="DJ32" i="26"/>
  <c r="DK32" i="26"/>
  <c r="DL32" i="26"/>
  <c r="DM32" i="26"/>
  <c r="DN32" i="26"/>
  <c r="DO32" i="26"/>
  <c r="DP32" i="26"/>
  <c r="DQ32" i="26"/>
  <c r="DR32" i="26"/>
  <c r="DS32" i="26"/>
  <c r="CG33" i="26"/>
  <c r="CH33" i="26"/>
  <c r="CI33" i="26"/>
  <c r="CJ33" i="26"/>
  <c r="CK33" i="26"/>
  <c r="CL33" i="26"/>
  <c r="CM33" i="26"/>
  <c r="CN33" i="26"/>
  <c r="CO33" i="26"/>
  <c r="CP33" i="26"/>
  <c r="CQ33" i="26"/>
  <c r="CR33" i="26"/>
  <c r="CS33" i="26"/>
  <c r="CT33" i="26"/>
  <c r="CU33" i="26"/>
  <c r="CV33" i="26"/>
  <c r="CW33" i="26"/>
  <c r="CX33" i="26"/>
  <c r="CY33" i="26"/>
  <c r="CZ33" i="26"/>
  <c r="DA33" i="26"/>
  <c r="DB33" i="26"/>
  <c r="DC33" i="26"/>
  <c r="DD33" i="26"/>
  <c r="DE33" i="26"/>
  <c r="DF33" i="26"/>
  <c r="DG33" i="26"/>
  <c r="DH33" i="26"/>
  <c r="DI33" i="26"/>
  <c r="DJ33" i="26"/>
  <c r="DK33" i="26"/>
  <c r="DL33" i="26"/>
  <c r="DM33" i="26"/>
  <c r="DN33" i="26"/>
  <c r="DO33" i="26"/>
  <c r="DP33" i="26"/>
  <c r="DQ33" i="26"/>
  <c r="DR33" i="26"/>
  <c r="DS33" i="26"/>
  <c r="CG34" i="26"/>
  <c r="CH34" i="26"/>
  <c r="CI34" i="26"/>
  <c r="CJ34" i="26"/>
  <c r="CK34" i="26"/>
  <c r="CL34" i="26"/>
  <c r="CM34" i="26"/>
  <c r="CN34" i="26"/>
  <c r="CO34" i="26"/>
  <c r="CP34" i="26"/>
  <c r="CQ34" i="26"/>
  <c r="CR34" i="26"/>
  <c r="CS34" i="26"/>
  <c r="CT34" i="26"/>
  <c r="CU34" i="26"/>
  <c r="CV34" i="26"/>
  <c r="CW34" i="26"/>
  <c r="CX34" i="26"/>
  <c r="CY34" i="26"/>
  <c r="CZ34" i="26"/>
  <c r="DA34" i="26"/>
  <c r="DB34" i="26"/>
  <c r="DC34" i="26"/>
  <c r="DD34" i="26"/>
  <c r="DE34" i="26"/>
  <c r="DF34" i="26"/>
  <c r="DG34" i="26"/>
  <c r="DH34" i="26"/>
  <c r="DI34" i="26"/>
  <c r="DJ34" i="26"/>
  <c r="DK34" i="26"/>
  <c r="DL34" i="26"/>
  <c r="DM34" i="26"/>
  <c r="DN34" i="26"/>
  <c r="DO34" i="26"/>
  <c r="DP34" i="26"/>
  <c r="DQ34" i="26"/>
  <c r="DR34" i="26"/>
  <c r="DS34" i="26"/>
  <c r="CG35" i="26"/>
  <c r="CH35" i="26"/>
  <c r="CI35" i="26"/>
  <c r="CJ35" i="26"/>
  <c r="CK35" i="26"/>
  <c r="CL35" i="26"/>
  <c r="CM35" i="26"/>
  <c r="CN35" i="26"/>
  <c r="CO35" i="26"/>
  <c r="CP35" i="26"/>
  <c r="CQ35" i="26"/>
  <c r="CR35" i="26"/>
  <c r="CS35" i="26"/>
  <c r="CT35" i="26"/>
  <c r="CU35" i="26"/>
  <c r="CV35" i="26"/>
  <c r="CW35" i="26"/>
  <c r="CX35" i="26"/>
  <c r="CY35" i="26"/>
  <c r="CZ35" i="26"/>
  <c r="DA35" i="26"/>
  <c r="DB35" i="26"/>
  <c r="DC35" i="26"/>
  <c r="DD35" i="26"/>
  <c r="DE35" i="26"/>
  <c r="DF35" i="26"/>
  <c r="DG35" i="26"/>
  <c r="DH35" i="26"/>
  <c r="DI35" i="26"/>
  <c r="DJ35" i="26"/>
  <c r="DK35" i="26"/>
  <c r="DL35" i="26"/>
  <c r="DM35" i="26"/>
  <c r="DN35" i="26"/>
  <c r="DO35" i="26"/>
  <c r="DP35" i="26"/>
  <c r="DQ35" i="26"/>
  <c r="DR35" i="26"/>
  <c r="DS35" i="26"/>
  <c r="CG36" i="26"/>
  <c r="CH36" i="26"/>
  <c r="CI36" i="26"/>
  <c r="CJ36" i="26"/>
  <c r="CK36" i="26"/>
  <c r="CL36" i="26"/>
  <c r="CM36" i="26"/>
  <c r="CN36" i="26"/>
  <c r="CO36" i="26"/>
  <c r="CP36" i="26"/>
  <c r="CQ36" i="26"/>
  <c r="CR36" i="26"/>
  <c r="CS36" i="26"/>
  <c r="CT36" i="26"/>
  <c r="CU36" i="26"/>
  <c r="CV36" i="26"/>
  <c r="CW36" i="26"/>
  <c r="CX36" i="26"/>
  <c r="CY36" i="26"/>
  <c r="CZ36" i="26"/>
  <c r="DA36" i="26"/>
  <c r="DB36" i="26"/>
  <c r="DC36" i="26"/>
  <c r="DD36" i="26"/>
  <c r="DE36" i="26"/>
  <c r="DF36" i="26"/>
  <c r="DG36" i="26"/>
  <c r="DH36" i="26"/>
  <c r="DI36" i="26"/>
  <c r="DJ36" i="26"/>
  <c r="DK36" i="26"/>
  <c r="DL36" i="26"/>
  <c r="DM36" i="26"/>
  <c r="DN36" i="26"/>
  <c r="DO36" i="26"/>
  <c r="DP36" i="26"/>
  <c r="DQ36" i="26"/>
  <c r="DR36" i="26"/>
  <c r="DS36" i="26"/>
  <c r="CG37" i="26"/>
  <c r="CH37" i="26"/>
  <c r="CI37" i="26"/>
  <c r="CJ37" i="26"/>
  <c r="CK37" i="26"/>
  <c r="CL37" i="26"/>
  <c r="CM37" i="26"/>
  <c r="CN37" i="26"/>
  <c r="CO37" i="26"/>
  <c r="CP37" i="26"/>
  <c r="CQ37" i="26"/>
  <c r="CR37" i="26"/>
  <c r="CS37" i="26"/>
  <c r="CT37" i="26"/>
  <c r="CU37" i="26"/>
  <c r="CV37" i="26"/>
  <c r="CW37" i="26"/>
  <c r="CX37" i="26"/>
  <c r="CY37" i="26"/>
  <c r="CZ37" i="26"/>
  <c r="DA37" i="26"/>
  <c r="DB37" i="26"/>
  <c r="DC37" i="26"/>
  <c r="DD37" i="26"/>
  <c r="DE37" i="26"/>
  <c r="DF37" i="26"/>
  <c r="DG37" i="26"/>
  <c r="DH37" i="26"/>
  <c r="DI37" i="26"/>
  <c r="DJ37" i="26"/>
  <c r="DK37" i="26"/>
  <c r="DL37" i="26"/>
  <c r="DM37" i="26"/>
  <c r="DN37" i="26"/>
  <c r="DO37" i="26"/>
  <c r="DP37" i="26"/>
  <c r="DQ37" i="26"/>
  <c r="DR37" i="26"/>
  <c r="DS37" i="26"/>
  <c r="CG38" i="26"/>
  <c r="CH38" i="26"/>
  <c r="CI38" i="26"/>
  <c r="CJ38" i="26"/>
  <c r="CK38" i="26"/>
  <c r="CL38" i="26"/>
  <c r="CM38" i="26"/>
  <c r="CN38" i="26"/>
  <c r="CO38" i="26"/>
  <c r="CP38" i="26"/>
  <c r="CQ38" i="26"/>
  <c r="CR38" i="26"/>
  <c r="CS38" i="26"/>
  <c r="CT38" i="26"/>
  <c r="CU38" i="26"/>
  <c r="CV38" i="26"/>
  <c r="CW38" i="26"/>
  <c r="CX38" i="26"/>
  <c r="CY38" i="26"/>
  <c r="CZ38" i="26"/>
  <c r="DA38" i="26"/>
  <c r="DB38" i="26"/>
  <c r="DC38" i="26"/>
  <c r="DD38" i="26"/>
  <c r="DE38" i="26"/>
  <c r="DF38" i="26"/>
  <c r="DG38" i="26"/>
  <c r="DH38" i="26"/>
  <c r="DI38" i="26"/>
  <c r="DJ38" i="26"/>
  <c r="DK38" i="26"/>
  <c r="DL38" i="26"/>
  <c r="DM38" i="26"/>
  <c r="DN38" i="26"/>
  <c r="DO38" i="26"/>
  <c r="DP38" i="26"/>
  <c r="DQ38" i="26"/>
  <c r="DR38" i="26"/>
  <c r="DS38" i="26"/>
  <c r="CG39" i="26"/>
  <c r="CH39" i="26"/>
  <c r="CI39" i="26"/>
  <c r="CJ39" i="26"/>
  <c r="CK39" i="26"/>
  <c r="CL39" i="26"/>
  <c r="CM39" i="26"/>
  <c r="CN39" i="26"/>
  <c r="CO39" i="26"/>
  <c r="CP39" i="26"/>
  <c r="CQ39" i="26"/>
  <c r="CR39" i="26"/>
  <c r="CS39" i="26"/>
  <c r="CT39" i="26"/>
  <c r="CU39" i="26"/>
  <c r="CV39" i="26"/>
  <c r="CW39" i="26"/>
  <c r="CX39" i="26"/>
  <c r="CY39" i="26"/>
  <c r="CZ39" i="26"/>
  <c r="DA39" i="26"/>
  <c r="DB39" i="26"/>
  <c r="DC39" i="26"/>
  <c r="DD39" i="26"/>
  <c r="DE39" i="26"/>
  <c r="DF39" i="26"/>
  <c r="DG39" i="26"/>
  <c r="DH39" i="26"/>
  <c r="DI39" i="26"/>
  <c r="DJ39" i="26"/>
  <c r="DK39" i="26"/>
  <c r="DL39" i="26"/>
  <c r="DM39" i="26"/>
  <c r="DN39" i="26"/>
  <c r="DO39" i="26"/>
  <c r="DP39" i="26"/>
  <c r="DQ39" i="26"/>
  <c r="DR39" i="26"/>
  <c r="DS39" i="26"/>
  <c r="CG40" i="26"/>
  <c r="CH40" i="26"/>
  <c r="CI40" i="26"/>
  <c r="CJ40" i="26"/>
  <c r="CK40" i="26"/>
  <c r="CL40" i="26"/>
  <c r="CM40" i="26"/>
  <c r="CN40" i="26"/>
  <c r="CO40" i="26"/>
  <c r="CP40" i="26"/>
  <c r="CQ40" i="26"/>
  <c r="CR40" i="26"/>
  <c r="CS40" i="26"/>
  <c r="CT40" i="26"/>
  <c r="CU40" i="26"/>
  <c r="CV40" i="26"/>
  <c r="CW40" i="26"/>
  <c r="CX40" i="26"/>
  <c r="CY40" i="26"/>
  <c r="CZ40" i="26"/>
  <c r="DA40" i="26"/>
  <c r="DB40" i="26"/>
  <c r="DC40" i="26"/>
  <c r="DD40" i="26"/>
  <c r="DE40" i="26"/>
  <c r="DF40" i="26"/>
  <c r="DG40" i="26"/>
  <c r="DH40" i="26"/>
  <c r="DI40" i="26"/>
  <c r="DJ40" i="26"/>
  <c r="DK40" i="26"/>
  <c r="DL40" i="26"/>
  <c r="DM40" i="26"/>
  <c r="DN40" i="26"/>
  <c r="DO40" i="26"/>
  <c r="DP40" i="26"/>
  <c r="DQ40" i="26"/>
  <c r="DR40" i="26"/>
  <c r="DS40" i="26"/>
  <c r="CG41" i="26"/>
  <c r="CH41" i="26"/>
  <c r="CI41" i="26"/>
  <c r="CJ41" i="26"/>
  <c r="CK41" i="26"/>
  <c r="CL41" i="26"/>
  <c r="CM41" i="26"/>
  <c r="CN41" i="26"/>
  <c r="CO41" i="26"/>
  <c r="CP41" i="26"/>
  <c r="CQ41" i="26"/>
  <c r="CR41" i="26"/>
  <c r="CS41" i="26"/>
  <c r="CT41" i="26"/>
  <c r="CU41" i="26"/>
  <c r="CV41" i="26"/>
  <c r="CW41" i="26"/>
  <c r="CX41" i="26"/>
  <c r="CY41" i="26"/>
  <c r="CZ41" i="26"/>
  <c r="DA41" i="26"/>
  <c r="DB41" i="26"/>
  <c r="DC41" i="26"/>
  <c r="DD41" i="26"/>
  <c r="DE41" i="26"/>
  <c r="DF41" i="26"/>
  <c r="DG41" i="26"/>
  <c r="DH41" i="26"/>
  <c r="DI41" i="26"/>
  <c r="DJ41" i="26"/>
  <c r="DK41" i="26"/>
  <c r="DL41" i="26"/>
  <c r="DM41" i="26"/>
  <c r="DN41" i="26"/>
  <c r="DO41" i="26"/>
  <c r="DP41" i="26"/>
  <c r="DQ41" i="26"/>
  <c r="DR41" i="26"/>
  <c r="DS41" i="26"/>
  <c r="CG42" i="26"/>
  <c r="CH42" i="26"/>
  <c r="CI42" i="26"/>
  <c r="CJ42" i="26"/>
  <c r="CK42" i="26"/>
  <c r="CL42" i="26"/>
  <c r="CM42" i="26"/>
  <c r="CN42" i="26"/>
  <c r="CO42" i="26"/>
  <c r="CP42" i="26"/>
  <c r="CQ42" i="26"/>
  <c r="CR42" i="26"/>
  <c r="CS42" i="26"/>
  <c r="CT42" i="26"/>
  <c r="CU42" i="26"/>
  <c r="CV42" i="26"/>
  <c r="CW42" i="26"/>
  <c r="CX42" i="26"/>
  <c r="CY42" i="26"/>
  <c r="CZ42" i="26"/>
  <c r="DA42" i="26"/>
  <c r="DB42" i="26"/>
  <c r="DC42" i="26"/>
  <c r="DD42" i="26"/>
  <c r="DE42" i="26"/>
  <c r="DF42" i="26"/>
  <c r="DG42" i="26"/>
  <c r="DH42" i="26"/>
  <c r="DI42" i="26"/>
  <c r="DJ42" i="26"/>
  <c r="DK42" i="26"/>
  <c r="DL42" i="26"/>
  <c r="DM42" i="26"/>
  <c r="DN42" i="26"/>
  <c r="DO42" i="26"/>
  <c r="DP42" i="26"/>
  <c r="DQ42" i="26"/>
  <c r="DR42" i="26"/>
  <c r="DS42" i="26"/>
  <c r="CG43" i="26"/>
  <c r="CH43" i="26"/>
  <c r="CI43" i="26"/>
  <c r="CJ43" i="26"/>
  <c r="CK43" i="26"/>
  <c r="CL43" i="26"/>
  <c r="CM43" i="26"/>
  <c r="CN43" i="26"/>
  <c r="CO43" i="26"/>
  <c r="CP43" i="26"/>
  <c r="CQ43" i="26"/>
  <c r="CR43" i="26"/>
  <c r="CS43" i="26"/>
  <c r="CT43" i="26"/>
  <c r="CU43" i="26"/>
  <c r="CV43" i="26"/>
  <c r="CW43" i="26"/>
  <c r="CX43" i="26"/>
  <c r="CY43" i="26"/>
  <c r="CZ43" i="26"/>
  <c r="DA43" i="26"/>
  <c r="DB43" i="26"/>
  <c r="DC43" i="26"/>
  <c r="DD43" i="26"/>
  <c r="DE43" i="26"/>
  <c r="DF43" i="26"/>
  <c r="DG43" i="26"/>
  <c r="DH43" i="26"/>
  <c r="DI43" i="26"/>
  <c r="DJ43" i="26"/>
  <c r="DK43" i="26"/>
  <c r="DL43" i="26"/>
  <c r="DM43" i="26"/>
  <c r="DN43" i="26"/>
  <c r="DO43" i="26"/>
  <c r="DP43" i="26"/>
  <c r="DQ43" i="26"/>
  <c r="DR43" i="26"/>
  <c r="DS43" i="26"/>
  <c r="CG44" i="26"/>
  <c r="CH44" i="26"/>
  <c r="CI44" i="26"/>
  <c r="CJ44" i="26"/>
  <c r="CK44" i="26"/>
  <c r="CL44" i="26"/>
  <c r="CM44" i="26"/>
  <c r="CN44" i="26"/>
  <c r="CO44" i="26"/>
  <c r="CP44" i="26"/>
  <c r="CQ44" i="26"/>
  <c r="CR44" i="26"/>
  <c r="CS44" i="26"/>
  <c r="CT44" i="26"/>
  <c r="CU44" i="26"/>
  <c r="CV44" i="26"/>
  <c r="CW44" i="26"/>
  <c r="CX44" i="26"/>
  <c r="CY44" i="26"/>
  <c r="CZ44" i="26"/>
  <c r="DA44" i="26"/>
  <c r="DB44" i="26"/>
  <c r="DC44" i="26"/>
  <c r="DD44" i="26"/>
  <c r="DE44" i="26"/>
  <c r="DF44" i="26"/>
  <c r="DG44" i="26"/>
  <c r="DH44" i="26"/>
  <c r="DI44" i="26"/>
  <c r="DJ44" i="26"/>
  <c r="DK44" i="26"/>
  <c r="DL44" i="26"/>
  <c r="DM44" i="26"/>
  <c r="DN44" i="26"/>
  <c r="DO44" i="26"/>
  <c r="DP44" i="26"/>
  <c r="DQ44" i="26"/>
  <c r="DR44" i="26"/>
  <c r="DS44" i="26"/>
  <c r="CG45" i="26"/>
  <c r="CH45" i="26"/>
  <c r="CI45" i="26"/>
  <c r="CJ45" i="26"/>
  <c r="CK45" i="26"/>
  <c r="CL45" i="26"/>
  <c r="CM45" i="26"/>
  <c r="CN45" i="26"/>
  <c r="CO45" i="26"/>
  <c r="CP45" i="26"/>
  <c r="CQ45" i="26"/>
  <c r="CR45" i="26"/>
  <c r="CS45" i="26"/>
  <c r="CT45" i="26"/>
  <c r="CU45" i="26"/>
  <c r="CV45" i="26"/>
  <c r="CW45" i="26"/>
  <c r="CX45" i="26"/>
  <c r="CY45" i="26"/>
  <c r="CZ45" i="26"/>
  <c r="DA45" i="26"/>
  <c r="DB45" i="26"/>
  <c r="DC45" i="26"/>
  <c r="DD45" i="26"/>
  <c r="DE45" i="26"/>
  <c r="DF45" i="26"/>
  <c r="DG45" i="26"/>
  <c r="DH45" i="26"/>
  <c r="DI45" i="26"/>
  <c r="DJ45" i="26"/>
  <c r="DK45" i="26"/>
  <c r="DL45" i="26"/>
  <c r="DM45" i="26"/>
  <c r="DN45" i="26"/>
  <c r="DO45" i="26"/>
  <c r="DP45" i="26"/>
  <c r="DQ45" i="26"/>
  <c r="DR45" i="26"/>
  <c r="DS45" i="26"/>
  <c r="CG46" i="26"/>
  <c r="CH46" i="26"/>
  <c r="CI46" i="26"/>
  <c r="CJ46" i="26"/>
  <c r="CK46" i="26"/>
  <c r="CL46" i="26"/>
  <c r="CM46" i="26"/>
  <c r="CN46" i="26"/>
  <c r="CO46" i="26"/>
  <c r="CP46" i="26"/>
  <c r="CQ46" i="26"/>
  <c r="CR46" i="26"/>
  <c r="CS46" i="26"/>
  <c r="CT46" i="26"/>
  <c r="CU46" i="26"/>
  <c r="CV46" i="26"/>
  <c r="CW46" i="26"/>
  <c r="CX46" i="26"/>
  <c r="CY46" i="26"/>
  <c r="CZ46" i="26"/>
  <c r="DA46" i="26"/>
  <c r="DB46" i="26"/>
  <c r="DC46" i="26"/>
  <c r="DD46" i="26"/>
  <c r="DE46" i="26"/>
  <c r="DF46" i="26"/>
  <c r="DG46" i="26"/>
  <c r="DH46" i="26"/>
  <c r="DI46" i="26"/>
  <c r="DJ46" i="26"/>
  <c r="DK46" i="26"/>
  <c r="DL46" i="26"/>
  <c r="DM46" i="26"/>
  <c r="DN46" i="26"/>
  <c r="DO46" i="26"/>
  <c r="DP46" i="26"/>
  <c r="DQ46" i="26"/>
  <c r="DR46" i="26"/>
  <c r="DS46" i="26"/>
  <c r="CG47" i="26"/>
  <c r="CH47" i="26"/>
  <c r="CI47" i="26"/>
  <c r="CJ47" i="26"/>
  <c r="CK47" i="26"/>
  <c r="CL47" i="26"/>
  <c r="CM47" i="26"/>
  <c r="CN47" i="26"/>
  <c r="CO47" i="26"/>
  <c r="CP47" i="26"/>
  <c r="CQ47" i="26"/>
  <c r="CR47" i="26"/>
  <c r="CS47" i="26"/>
  <c r="CT47" i="26"/>
  <c r="CU47" i="26"/>
  <c r="CV47" i="26"/>
  <c r="CW47" i="26"/>
  <c r="CX47" i="26"/>
  <c r="CY47" i="26"/>
  <c r="CZ47" i="26"/>
  <c r="DA47" i="26"/>
  <c r="DB47" i="26"/>
  <c r="DC47" i="26"/>
  <c r="DD47" i="26"/>
  <c r="DE47" i="26"/>
  <c r="DF47" i="26"/>
  <c r="DG47" i="26"/>
  <c r="DH47" i="26"/>
  <c r="DI47" i="26"/>
  <c r="DJ47" i="26"/>
  <c r="DK47" i="26"/>
  <c r="DL47" i="26"/>
  <c r="DM47" i="26"/>
  <c r="DN47" i="26"/>
  <c r="DO47" i="26"/>
  <c r="DP47" i="26"/>
  <c r="DQ47" i="26"/>
  <c r="DR47" i="26"/>
  <c r="DS47" i="26"/>
  <c r="CG48" i="26"/>
  <c r="CH48" i="26"/>
  <c r="CI48" i="26"/>
  <c r="CJ48" i="26"/>
  <c r="CK48" i="26"/>
  <c r="CL48" i="26"/>
  <c r="CM48" i="26"/>
  <c r="CN48" i="26"/>
  <c r="CO48" i="26"/>
  <c r="CP48" i="26"/>
  <c r="CQ48" i="26"/>
  <c r="CR48" i="26"/>
  <c r="CS48" i="26"/>
  <c r="CT48" i="26"/>
  <c r="CU48" i="26"/>
  <c r="CV48" i="26"/>
  <c r="CW48" i="26"/>
  <c r="CX48" i="26"/>
  <c r="CY48" i="26"/>
  <c r="CZ48" i="26"/>
  <c r="DA48" i="26"/>
  <c r="DB48" i="26"/>
  <c r="DC48" i="26"/>
  <c r="DD48" i="26"/>
  <c r="DE48" i="26"/>
  <c r="DF48" i="26"/>
  <c r="DG48" i="26"/>
  <c r="DH48" i="26"/>
  <c r="DI48" i="26"/>
  <c r="DJ48" i="26"/>
  <c r="DK48" i="26"/>
  <c r="DL48" i="26"/>
  <c r="DM48" i="26"/>
  <c r="DN48" i="26"/>
  <c r="DO48" i="26"/>
  <c r="DP48" i="26"/>
  <c r="DQ48" i="26"/>
  <c r="DR48" i="26"/>
  <c r="DS48" i="26"/>
  <c r="CG49" i="26"/>
  <c r="CH49" i="26"/>
  <c r="CI49" i="26"/>
  <c r="CJ49" i="26"/>
  <c r="CK49" i="26"/>
  <c r="CL49" i="26"/>
  <c r="CM49" i="26"/>
  <c r="CN49" i="26"/>
  <c r="CO49" i="26"/>
  <c r="CP49" i="26"/>
  <c r="CQ49" i="26"/>
  <c r="CR49" i="26"/>
  <c r="CS49" i="26"/>
  <c r="CT49" i="26"/>
  <c r="CU49" i="26"/>
  <c r="CV49" i="26"/>
  <c r="CW49" i="26"/>
  <c r="CX49" i="26"/>
  <c r="CY49" i="26"/>
  <c r="CZ49" i="26"/>
  <c r="DA49" i="26"/>
  <c r="DB49" i="26"/>
  <c r="DC49" i="26"/>
  <c r="DD49" i="26"/>
  <c r="DE49" i="26"/>
  <c r="DF49" i="26"/>
  <c r="DG49" i="26"/>
  <c r="DH49" i="26"/>
  <c r="DI49" i="26"/>
  <c r="DJ49" i="26"/>
  <c r="DK49" i="26"/>
  <c r="DL49" i="26"/>
  <c r="DM49" i="26"/>
  <c r="DN49" i="26"/>
  <c r="DO49" i="26"/>
  <c r="DP49" i="26"/>
  <c r="DQ49" i="26"/>
  <c r="DR49" i="26"/>
  <c r="DS49" i="26"/>
  <c r="CG50" i="26"/>
  <c r="CH50" i="26"/>
  <c r="CI50" i="26"/>
  <c r="CJ50" i="26"/>
  <c r="CK50" i="26"/>
  <c r="CL50" i="26"/>
  <c r="CM50" i="26"/>
  <c r="CN50" i="26"/>
  <c r="CO50" i="26"/>
  <c r="CP50" i="26"/>
  <c r="CQ50" i="26"/>
  <c r="CR50" i="26"/>
  <c r="CS50" i="26"/>
  <c r="CT50" i="26"/>
  <c r="CU50" i="26"/>
  <c r="CV50" i="26"/>
  <c r="CW50" i="26"/>
  <c r="CX50" i="26"/>
  <c r="CY50" i="26"/>
  <c r="CZ50" i="26"/>
  <c r="DA50" i="26"/>
  <c r="DB50" i="26"/>
  <c r="DC50" i="26"/>
  <c r="DD50" i="26"/>
  <c r="DE50" i="26"/>
  <c r="DF50" i="26"/>
  <c r="DG50" i="26"/>
  <c r="DH50" i="26"/>
  <c r="DI50" i="26"/>
  <c r="DJ50" i="26"/>
  <c r="DK50" i="26"/>
  <c r="DL50" i="26"/>
  <c r="DM50" i="26"/>
  <c r="DN50" i="26"/>
  <c r="DO50" i="26"/>
  <c r="DP50" i="26"/>
  <c r="DQ50" i="26"/>
  <c r="DR50" i="26"/>
  <c r="DS50" i="26"/>
  <c r="CG51" i="26"/>
  <c r="CH51" i="26"/>
  <c r="CI51" i="26"/>
  <c r="CJ51" i="26"/>
  <c r="CK51" i="26"/>
  <c r="CL51" i="26"/>
  <c r="CM51" i="26"/>
  <c r="CN51" i="26"/>
  <c r="CO51" i="26"/>
  <c r="CP51" i="26"/>
  <c r="CQ51" i="26"/>
  <c r="CR51" i="26"/>
  <c r="CS51" i="26"/>
  <c r="CT51" i="26"/>
  <c r="CU51" i="26"/>
  <c r="CV51" i="26"/>
  <c r="CW51" i="26"/>
  <c r="CX51" i="26"/>
  <c r="CY51" i="26"/>
  <c r="CZ51" i="26"/>
  <c r="DA51" i="26"/>
  <c r="DB51" i="26"/>
  <c r="DC51" i="26"/>
  <c r="DD51" i="26"/>
  <c r="DE51" i="26"/>
  <c r="DF51" i="26"/>
  <c r="DG51" i="26"/>
  <c r="DH51" i="26"/>
  <c r="DI51" i="26"/>
  <c r="DJ51" i="26"/>
  <c r="DK51" i="26"/>
  <c r="DL51" i="26"/>
  <c r="DM51" i="26"/>
  <c r="DN51" i="26"/>
  <c r="DO51" i="26"/>
  <c r="DP51" i="26"/>
  <c r="DQ51" i="26"/>
  <c r="DR51" i="26"/>
  <c r="DS51" i="26"/>
  <c r="CG52" i="26"/>
  <c r="CH52" i="26"/>
  <c r="CI52" i="26"/>
  <c r="CJ52" i="26"/>
  <c r="CK52" i="26"/>
  <c r="CL52" i="26"/>
  <c r="CM52" i="26"/>
  <c r="CN52" i="26"/>
  <c r="CO52" i="26"/>
  <c r="CP52" i="26"/>
  <c r="CQ52" i="26"/>
  <c r="CR52" i="26"/>
  <c r="CS52" i="26"/>
  <c r="CT52" i="26"/>
  <c r="CU52" i="26"/>
  <c r="CV52" i="26"/>
  <c r="CW52" i="26"/>
  <c r="CX52" i="26"/>
  <c r="CY52" i="26"/>
  <c r="CZ52" i="26"/>
  <c r="DA52" i="26"/>
  <c r="DB52" i="26"/>
  <c r="DC52" i="26"/>
  <c r="DD52" i="26"/>
  <c r="DE52" i="26"/>
  <c r="DF52" i="26"/>
  <c r="DG52" i="26"/>
  <c r="DH52" i="26"/>
  <c r="DI52" i="26"/>
  <c r="DJ52" i="26"/>
  <c r="DK52" i="26"/>
  <c r="DL52" i="26"/>
  <c r="DM52" i="26"/>
  <c r="DN52" i="26"/>
  <c r="DO52" i="26"/>
  <c r="DP52" i="26"/>
  <c r="DQ52" i="26"/>
  <c r="DR52" i="26"/>
  <c r="DS52" i="26"/>
  <c r="CG53" i="26"/>
  <c r="CH53" i="26"/>
  <c r="CI53" i="26"/>
  <c r="CJ53" i="26"/>
  <c r="CK53" i="26"/>
  <c r="CL53" i="26"/>
  <c r="CM53" i="26"/>
  <c r="CN53" i="26"/>
  <c r="CO53" i="26"/>
  <c r="CP53" i="26"/>
  <c r="CQ53" i="26"/>
  <c r="CR53" i="26"/>
  <c r="CS53" i="26"/>
  <c r="CT53" i="26"/>
  <c r="CU53" i="26"/>
  <c r="CV53" i="26"/>
  <c r="CW53" i="26"/>
  <c r="CX53" i="26"/>
  <c r="CY53" i="26"/>
  <c r="CZ53" i="26"/>
  <c r="DA53" i="26"/>
  <c r="DB53" i="26"/>
  <c r="DC53" i="26"/>
  <c r="DD53" i="26"/>
  <c r="DE53" i="26"/>
  <c r="DF53" i="26"/>
  <c r="DG53" i="26"/>
  <c r="DH53" i="26"/>
  <c r="DI53" i="26"/>
  <c r="DJ53" i="26"/>
  <c r="DK53" i="26"/>
  <c r="DL53" i="26"/>
  <c r="DM53" i="26"/>
  <c r="DN53" i="26"/>
  <c r="DO53" i="26"/>
  <c r="DP53" i="26"/>
  <c r="DQ53" i="26"/>
  <c r="DR53" i="26"/>
  <c r="DS53" i="26"/>
  <c r="CG54" i="26"/>
  <c r="CH54" i="26"/>
  <c r="CI54" i="26"/>
  <c r="CJ54" i="26"/>
  <c r="CK54" i="26"/>
  <c r="CL54" i="26"/>
  <c r="CM54" i="26"/>
  <c r="CN54" i="26"/>
  <c r="CO54" i="26"/>
  <c r="CP54" i="26"/>
  <c r="CQ54" i="26"/>
  <c r="CR54" i="26"/>
  <c r="CS54" i="26"/>
  <c r="CT54" i="26"/>
  <c r="CU54" i="26"/>
  <c r="CV54" i="26"/>
  <c r="CW54" i="26"/>
  <c r="CX54" i="26"/>
  <c r="CY54" i="26"/>
  <c r="CZ54" i="26"/>
  <c r="DA54" i="26"/>
  <c r="DB54" i="26"/>
  <c r="DC54" i="26"/>
  <c r="DD54" i="26"/>
  <c r="DE54" i="26"/>
  <c r="DF54" i="26"/>
  <c r="DG54" i="26"/>
  <c r="DH54" i="26"/>
  <c r="DI54" i="26"/>
  <c r="DJ54" i="26"/>
  <c r="DK54" i="26"/>
  <c r="DL54" i="26"/>
  <c r="DM54" i="26"/>
  <c r="DN54" i="26"/>
  <c r="DO54" i="26"/>
  <c r="DP54" i="26"/>
  <c r="DQ54" i="26"/>
  <c r="DR54" i="26"/>
  <c r="DS54" i="26"/>
  <c r="CG55" i="26"/>
  <c r="CH55" i="26"/>
  <c r="CI55" i="26"/>
  <c r="CJ55" i="26"/>
  <c r="CK55" i="26"/>
  <c r="CL55" i="26"/>
  <c r="CM55" i="26"/>
  <c r="CN55" i="26"/>
  <c r="CO55" i="26"/>
  <c r="CP55" i="26"/>
  <c r="CQ55" i="26"/>
  <c r="CR55" i="26"/>
  <c r="CS55" i="26"/>
  <c r="CT55" i="26"/>
  <c r="CU55" i="26"/>
  <c r="CV55" i="26"/>
  <c r="CW55" i="26"/>
  <c r="CX55" i="26"/>
  <c r="CY55" i="26"/>
  <c r="CZ55" i="26"/>
  <c r="DA55" i="26"/>
  <c r="DB55" i="26"/>
  <c r="DC55" i="26"/>
  <c r="DD55" i="26"/>
  <c r="DE55" i="26"/>
  <c r="DF55" i="26"/>
  <c r="DG55" i="26"/>
  <c r="DH55" i="26"/>
  <c r="DI55" i="26"/>
  <c r="DJ55" i="26"/>
  <c r="DK55" i="26"/>
  <c r="DL55" i="26"/>
  <c r="DM55" i="26"/>
  <c r="DN55" i="26"/>
  <c r="DO55" i="26"/>
  <c r="DP55" i="26"/>
  <c r="DQ55" i="26"/>
  <c r="DR55" i="26"/>
  <c r="DS55" i="26"/>
  <c r="CG56" i="26"/>
  <c r="CH56" i="26"/>
  <c r="CI56" i="26"/>
  <c r="CJ56" i="26"/>
  <c r="CK56" i="26"/>
  <c r="CL56" i="26"/>
  <c r="CM56" i="26"/>
  <c r="CN56" i="26"/>
  <c r="CO56" i="26"/>
  <c r="CP56" i="26"/>
  <c r="CQ56" i="26"/>
  <c r="CR56" i="26"/>
  <c r="CS56" i="26"/>
  <c r="CT56" i="26"/>
  <c r="CU56" i="26"/>
  <c r="CV56" i="26"/>
  <c r="CW56" i="26"/>
  <c r="CX56" i="26"/>
  <c r="CY56" i="26"/>
  <c r="CZ56" i="26"/>
  <c r="DA56" i="26"/>
  <c r="DB56" i="26"/>
  <c r="DC56" i="26"/>
  <c r="DD56" i="26"/>
  <c r="DE56" i="26"/>
  <c r="DF56" i="26"/>
  <c r="DG56" i="26"/>
  <c r="DH56" i="26"/>
  <c r="DI56" i="26"/>
  <c r="DJ56" i="26"/>
  <c r="DK56" i="26"/>
  <c r="DL56" i="26"/>
  <c r="DM56" i="26"/>
  <c r="DN56" i="26"/>
  <c r="DO56" i="26"/>
  <c r="DP56" i="26"/>
  <c r="DQ56" i="26"/>
  <c r="DR56" i="26"/>
  <c r="DS56" i="26"/>
  <c r="CF10" i="26"/>
  <c r="CF12" i="26"/>
  <c r="CF13" i="26"/>
  <c r="CF14" i="26"/>
  <c r="CF15" i="26"/>
  <c r="CF16" i="26"/>
  <c r="CF17" i="26"/>
  <c r="CF18" i="26"/>
  <c r="CF19" i="26"/>
  <c r="CF20" i="26"/>
  <c r="CF21" i="26"/>
  <c r="CF22" i="26"/>
  <c r="CF23" i="26"/>
  <c r="CF24" i="26"/>
  <c r="CF25" i="26"/>
  <c r="CF26" i="26"/>
  <c r="CF27" i="26"/>
  <c r="CF28" i="26"/>
  <c r="CF29" i="26"/>
  <c r="CF30" i="26"/>
  <c r="CF31" i="26"/>
  <c r="CF32" i="26"/>
  <c r="CF33" i="26"/>
  <c r="CF34" i="26"/>
  <c r="CF35" i="26"/>
  <c r="CF36" i="26"/>
  <c r="CF37" i="26"/>
  <c r="CF38" i="26"/>
  <c r="CF39" i="26"/>
  <c r="CF40" i="26"/>
  <c r="CF41" i="26"/>
  <c r="CF42" i="26"/>
  <c r="CF43" i="26"/>
  <c r="CF44" i="26"/>
  <c r="CF45" i="26"/>
  <c r="CF46" i="26"/>
  <c r="CF47" i="26"/>
  <c r="CF48" i="26"/>
  <c r="CF49" i="26"/>
  <c r="CF50" i="26"/>
  <c r="CF51" i="26"/>
  <c r="CF52" i="26"/>
  <c r="CF53" i="26"/>
  <c r="CF54" i="26"/>
  <c r="CF55" i="26"/>
  <c r="CF56" i="26"/>
  <c r="CF11" i="26"/>
  <c r="D46" i="5"/>
  <c r="J1" i="4"/>
  <c r="AT12" i="1"/>
  <c r="BK12" i="1"/>
  <c r="BL12" i="1"/>
  <c r="BM12" i="1"/>
  <c r="BN12" i="1"/>
  <c r="BO12" i="1"/>
  <c r="BP12" i="1"/>
  <c r="BQ12" i="1"/>
  <c r="BR12" i="1"/>
  <c r="BS12" i="1"/>
  <c r="BT12" i="1"/>
  <c r="BU12" i="1"/>
  <c r="BV12" i="1"/>
  <c r="BW12" i="1"/>
  <c r="BX12" i="1"/>
  <c r="BY12" i="1"/>
  <c r="BZ12" i="1"/>
  <c r="CA12" i="1"/>
  <c r="CB12" i="1"/>
  <c r="CC12" i="1"/>
  <c r="CD12" i="1"/>
  <c r="CE12" i="1"/>
  <c r="CF12" i="1"/>
  <c r="CG12" i="1"/>
  <c r="CH12" i="1"/>
  <c r="CI12" i="1"/>
  <c r="CJ12" i="1"/>
  <c r="CK12" i="1"/>
  <c r="CL12" i="1"/>
  <c r="CM12" i="1"/>
  <c r="CN12" i="1"/>
  <c r="CO12" i="1"/>
  <c r="CP12" i="1"/>
  <c r="CQ12" i="1"/>
  <c r="CR12" i="1"/>
  <c r="CS12" i="1"/>
  <c r="CT12" i="1"/>
  <c r="CU12" i="1"/>
  <c r="CV12" i="1"/>
  <c r="CW12" i="1"/>
  <c r="CX12" i="1"/>
  <c r="BE12" i="1"/>
  <c r="BF12" i="1"/>
  <c r="AT13" i="1"/>
  <c r="BK13" i="1"/>
  <c r="BL13" i="1"/>
  <c r="BM13" i="1"/>
  <c r="BN13" i="1"/>
  <c r="BO13" i="1"/>
  <c r="BP13" i="1"/>
  <c r="BQ13" i="1"/>
  <c r="BR13" i="1"/>
  <c r="BS13" i="1"/>
  <c r="BT13" i="1"/>
  <c r="BU13" i="1"/>
  <c r="BV13" i="1"/>
  <c r="BW13" i="1"/>
  <c r="BX13" i="1"/>
  <c r="BY13" i="1"/>
  <c r="BZ13" i="1"/>
  <c r="CA13" i="1"/>
  <c r="CB13" i="1"/>
  <c r="CC13" i="1"/>
  <c r="CD13" i="1"/>
  <c r="CE13" i="1"/>
  <c r="CF13" i="1"/>
  <c r="CG13" i="1"/>
  <c r="CH13" i="1"/>
  <c r="CI13" i="1"/>
  <c r="CJ13" i="1"/>
  <c r="CK13" i="1"/>
  <c r="CL13" i="1"/>
  <c r="CM13" i="1"/>
  <c r="CN13" i="1"/>
  <c r="CO13" i="1"/>
  <c r="CP13" i="1"/>
  <c r="CQ13" i="1"/>
  <c r="CR13" i="1"/>
  <c r="CS13" i="1"/>
  <c r="CT13" i="1"/>
  <c r="CU13" i="1"/>
  <c r="CV13" i="1"/>
  <c r="CW13" i="1"/>
  <c r="CX13" i="1"/>
  <c r="BE13" i="1"/>
  <c r="BF13" i="1"/>
  <c r="AT14" i="1"/>
  <c r="BK14" i="1"/>
  <c r="BL14" i="1"/>
  <c r="BM14" i="1"/>
  <c r="BN14" i="1"/>
  <c r="BO14" i="1"/>
  <c r="BP14" i="1"/>
  <c r="BQ14" i="1"/>
  <c r="BR14" i="1"/>
  <c r="BS14" i="1"/>
  <c r="BT14" i="1"/>
  <c r="BU14" i="1"/>
  <c r="BV14" i="1"/>
  <c r="BW14" i="1"/>
  <c r="BX14" i="1"/>
  <c r="BY14" i="1"/>
  <c r="BZ14" i="1"/>
  <c r="CA14" i="1"/>
  <c r="CB14" i="1"/>
  <c r="CC14" i="1"/>
  <c r="CD14" i="1"/>
  <c r="CE14" i="1"/>
  <c r="CF14" i="1"/>
  <c r="CG14" i="1"/>
  <c r="CH14" i="1"/>
  <c r="CI14" i="1"/>
  <c r="CJ14" i="1"/>
  <c r="CK14" i="1"/>
  <c r="CL14" i="1"/>
  <c r="CM14" i="1"/>
  <c r="CN14" i="1"/>
  <c r="CO14" i="1"/>
  <c r="CP14" i="1"/>
  <c r="CQ14" i="1"/>
  <c r="CR14" i="1"/>
  <c r="CS14" i="1"/>
  <c r="CT14" i="1"/>
  <c r="CU14" i="1"/>
  <c r="CV14" i="1"/>
  <c r="CW14" i="1"/>
  <c r="CX14" i="1"/>
  <c r="BE14" i="1"/>
  <c r="BF14" i="1"/>
  <c r="AT15" i="1"/>
  <c r="BK15" i="1"/>
  <c r="BL15" i="1"/>
  <c r="BM15" i="1"/>
  <c r="BN15" i="1"/>
  <c r="BO15" i="1"/>
  <c r="BP15" i="1"/>
  <c r="BQ15" i="1"/>
  <c r="BR15" i="1"/>
  <c r="BS15" i="1"/>
  <c r="BT15" i="1"/>
  <c r="BU15" i="1"/>
  <c r="BV15" i="1"/>
  <c r="BW15" i="1"/>
  <c r="BX15" i="1"/>
  <c r="BY15" i="1"/>
  <c r="BZ15" i="1"/>
  <c r="CA15" i="1"/>
  <c r="CB15" i="1"/>
  <c r="CC15" i="1"/>
  <c r="CD15" i="1"/>
  <c r="CE15" i="1"/>
  <c r="CF15" i="1"/>
  <c r="CG15" i="1"/>
  <c r="CH15" i="1"/>
  <c r="CI15" i="1"/>
  <c r="CJ15" i="1"/>
  <c r="CK15" i="1"/>
  <c r="CL15" i="1"/>
  <c r="CM15" i="1"/>
  <c r="CN15" i="1"/>
  <c r="CO15" i="1"/>
  <c r="CP15" i="1"/>
  <c r="CQ15" i="1"/>
  <c r="CR15" i="1"/>
  <c r="CS15" i="1"/>
  <c r="CT15" i="1"/>
  <c r="CU15" i="1"/>
  <c r="CV15" i="1"/>
  <c r="CW15" i="1"/>
  <c r="CX15" i="1"/>
  <c r="BE15" i="1"/>
  <c r="BF15" i="1"/>
  <c r="AT16" i="1"/>
  <c r="BK16" i="1"/>
  <c r="BL16" i="1"/>
  <c r="BM16" i="1"/>
  <c r="BN16" i="1"/>
  <c r="BO16" i="1"/>
  <c r="BP16" i="1"/>
  <c r="BQ16" i="1"/>
  <c r="BR16" i="1"/>
  <c r="BS16" i="1"/>
  <c r="BT16" i="1"/>
  <c r="BU16" i="1"/>
  <c r="BV16" i="1"/>
  <c r="BW16" i="1"/>
  <c r="BX16" i="1"/>
  <c r="BY16" i="1"/>
  <c r="BZ16" i="1"/>
  <c r="CA16" i="1"/>
  <c r="CB16" i="1"/>
  <c r="CC16" i="1"/>
  <c r="CD16" i="1"/>
  <c r="CE16" i="1"/>
  <c r="CF16" i="1"/>
  <c r="CG16" i="1"/>
  <c r="CH16" i="1"/>
  <c r="CI16" i="1"/>
  <c r="CJ16" i="1"/>
  <c r="CK16" i="1"/>
  <c r="CL16" i="1"/>
  <c r="CM16" i="1"/>
  <c r="CN16" i="1"/>
  <c r="CO16" i="1"/>
  <c r="CP16" i="1"/>
  <c r="CQ16" i="1"/>
  <c r="CR16" i="1"/>
  <c r="CS16" i="1"/>
  <c r="CT16" i="1"/>
  <c r="CU16" i="1"/>
  <c r="CV16" i="1"/>
  <c r="CW16" i="1"/>
  <c r="CX16" i="1"/>
  <c r="BE16" i="1"/>
  <c r="BF16" i="1"/>
  <c r="AT17" i="1"/>
  <c r="BK17" i="1"/>
  <c r="BL17" i="1"/>
  <c r="BM17" i="1"/>
  <c r="BN17" i="1"/>
  <c r="BO17" i="1"/>
  <c r="BP17" i="1"/>
  <c r="BQ17" i="1"/>
  <c r="BR17" i="1"/>
  <c r="BS17" i="1"/>
  <c r="BT17" i="1"/>
  <c r="BU17" i="1"/>
  <c r="BV17" i="1"/>
  <c r="BW17" i="1"/>
  <c r="BX17" i="1"/>
  <c r="BY17" i="1"/>
  <c r="BZ17" i="1"/>
  <c r="CA17" i="1"/>
  <c r="CB17" i="1"/>
  <c r="CC17" i="1"/>
  <c r="CD17" i="1"/>
  <c r="CE17" i="1"/>
  <c r="CF17" i="1"/>
  <c r="CG17" i="1"/>
  <c r="CH17" i="1"/>
  <c r="CI17" i="1"/>
  <c r="CJ17" i="1"/>
  <c r="CK17" i="1"/>
  <c r="CL17" i="1"/>
  <c r="CM17" i="1"/>
  <c r="CN17" i="1"/>
  <c r="CO17" i="1"/>
  <c r="CP17" i="1"/>
  <c r="CQ17" i="1"/>
  <c r="CR17" i="1"/>
  <c r="CS17" i="1"/>
  <c r="CT17" i="1"/>
  <c r="CU17" i="1"/>
  <c r="CV17" i="1"/>
  <c r="CW17" i="1"/>
  <c r="CX17" i="1"/>
  <c r="BE17" i="1"/>
  <c r="BF17" i="1"/>
  <c r="AT18" i="1"/>
  <c r="BK18" i="1"/>
  <c r="BL18" i="1"/>
  <c r="BM18" i="1"/>
  <c r="BN18" i="1"/>
  <c r="BO18" i="1"/>
  <c r="BP18" i="1"/>
  <c r="BQ18" i="1"/>
  <c r="BR18" i="1"/>
  <c r="BS18" i="1"/>
  <c r="BT18" i="1"/>
  <c r="BU18" i="1"/>
  <c r="BV18" i="1"/>
  <c r="BW18" i="1"/>
  <c r="BX18" i="1"/>
  <c r="BY18" i="1"/>
  <c r="BZ18" i="1"/>
  <c r="CA18" i="1"/>
  <c r="CB18" i="1"/>
  <c r="CC18" i="1"/>
  <c r="CD18" i="1"/>
  <c r="CE18" i="1"/>
  <c r="CF18" i="1"/>
  <c r="CG18" i="1"/>
  <c r="CH18" i="1"/>
  <c r="CI18" i="1"/>
  <c r="CJ18" i="1"/>
  <c r="CK18" i="1"/>
  <c r="CL18" i="1"/>
  <c r="CM18" i="1"/>
  <c r="CN18" i="1"/>
  <c r="CO18" i="1"/>
  <c r="CP18" i="1"/>
  <c r="CQ18" i="1"/>
  <c r="CR18" i="1"/>
  <c r="CS18" i="1"/>
  <c r="CT18" i="1"/>
  <c r="CU18" i="1"/>
  <c r="CV18" i="1"/>
  <c r="CW18" i="1"/>
  <c r="CX18" i="1"/>
  <c r="BE18" i="1"/>
  <c r="BF18" i="1"/>
  <c r="AT19" i="1"/>
  <c r="BK19" i="1"/>
  <c r="BL19" i="1"/>
  <c r="BM19" i="1"/>
  <c r="BN19" i="1"/>
  <c r="BO19" i="1"/>
  <c r="BP19" i="1"/>
  <c r="BQ19" i="1"/>
  <c r="BR19" i="1"/>
  <c r="BS19" i="1"/>
  <c r="BT19" i="1"/>
  <c r="BU19" i="1"/>
  <c r="BV19" i="1"/>
  <c r="BW19" i="1"/>
  <c r="BX19" i="1"/>
  <c r="BY19" i="1"/>
  <c r="BZ19" i="1"/>
  <c r="CA19" i="1"/>
  <c r="CB19" i="1"/>
  <c r="CC19" i="1"/>
  <c r="CD19" i="1"/>
  <c r="CE19" i="1"/>
  <c r="CF19" i="1"/>
  <c r="CG19" i="1"/>
  <c r="CH19" i="1"/>
  <c r="CI19" i="1"/>
  <c r="CJ19" i="1"/>
  <c r="CK19" i="1"/>
  <c r="CL19" i="1"/>
  <c r="CM19" i="1"/>
  <c r="CN19" i="1"/>
  <c r="CO19" i="1"/>
  <c r="CP19" i="1"/>
  <c r="CQ19" i="1"/>
  <c r="CR19" i="1"/>
  <c r="CS19" i="1"/>
  <c r="CT19" i="1"/>
  <c r="CU19" i="1"/>
  <c r="CV19" i="1"/>
  <c r="CW19" i="1"/>
  <c r="CX19" i="1"/>
  <c r="BE19" i="1"/>
  <c r="BF19" i="1"/>
  <c r="AT20" i="1"/>
  <c r="BK20" i="1"/>
  <c r="BL20" i="1"/>
  <c r="BM20" i="1"/>
  <c r="BN20" i="1"/>
  <c r="BO20" i="1"/>
  <c r="BP20" i="1"/>
  <c r="BQ20" i="1"/>
  <c r="BR20" i="1"/>
  <c r="BS20" i="1"/>
  <c r="BT20" i="1"/>
  <c r="BU20" i="1"/>
  <c r="BV20" i="1"/>
  <c r="BW20" i="1"/>
  <c r="BX20" i="1"/>
  <c r="BY20" i="1"/>
  <c r="BZ20" i="1"/>
  <c r="CA20" i="1"/>
  <c r="CB20" i="1"/>
  <c r="CC20" i="1"/>
  <c r="CD20" i="1"/>
  <c r="CE20" i="1"/>
  <c r="CF20" i="1"/>
  <c r="CG20" i="1"/>
  <c r="CH20" i="1"/>
  <c r="CI20" i="1"/>
  <c r="CJ20" i="1"/>
  <c r="CK20" i="1"/>
  <c r="CL20" i="1"/>
  <c r="CM20" i="1"/>
  <c r="CN20" i="1"/>
  <c r="CO20" i="1"/>
  <c r="CP20" i="1"/>
  <c r="CQ20" i="1"/>
  <c r="CR20" i="1"/>
  <c r="CS20" i="1"/>
  <c r="CT20" i="1"/>
  <c r="CU20" i="1"/>
  <c r="CV20" i="1"/>
  <c r="CW20" i="1"/>
  <c r="CX20" i="1"/>
  <c r="BE20" i="1"/>
  <c r="BF20" i="1"/>
  <c r="AT21" i="1"/>
  <c r="BK21" i="1"/>
  <c r="BL21" i="1"/>
  <c r="BM21" i="1"/>
  <c r="BN21" i="1"/>
  <c r="BO21" i="1"/>
  <c r="BP21" i="1"/>
  <c r="BQ21" i="1"/>
  <c r="BR21" i="1"/>
  <c r="BS21" i="1"/>
  <c r="BT21" i="1"/>
  <c r="BU21" i="1"/>
  <c r="BV21" i="1"/>
  <c r="BW21" i="1"/>
  <c r="BX21" i="1"/>
  <c r="BY21" i="1"/>
  <c r="BZ21" i="1"/>
  <c r="CA21" i="1"/>
  <c r="CB21" i="1"/>
  <c r="CC21" i="1"/>
  <c r="CD21" i="1"/>
  <c r="CE21" i="1"/>
  <c r="CF21" i="1"/>
  <c r="CG21" i="1"/>
  <c r="CH21" i="1"/>
  <c r="CI21" i="1"/>
  <c r="CJ21" i="1"/>
  <c r="CK21" i="1"/>
  <c r="CL21" i="1"/>
  <c r="CM21" i="1"/>
  <c r="CN21" i="1"/>
  <c r="CO21" i="1"/>
  <c r="CP21" i="1"/>
  <c r="CQ21" i="1"/>
  <c r="CR21" i="1"/>
  <c r="CS21" i="1"/>
  <c r="CT21" i="1"/>
  <c r="CU21" i="1"/>
  <c r="CV21" i="1"/>
  <c r="CW21" i="1"/>
  <c r="CX21" i="1"/>
  <c r="BE21" i="1"/>
  <c r="BF21" i="1"/>
  <c r="AT22" i="1"/>
  <c r="BK22" i="1"/>
  <c r="BL22" i="1"/>
  <c r="BM22" i="1"/>
  <c r="BN22" i="1"/>
  <c r="BO22" i="1"/>
  <c r="BP22" i="1"/>
  <c r="BQ22" i="1"/>
  <c r="BR22" i="1"/>
  <c r="BS22" i="1"/>
  <c r="BT22" i="1"/>
  <c r="BU22" i="1"/>
  <c r="BV22" i="1"/>
  <c r="BW22" i="1"/>
  <c r="BX22" i="1"/>
  <c r="BY22" i="1"/>
  <c r="BZ22" i="1"/>
  <c r="CA22" i="1"/>
  <c r="CB22" i="1"/>
  <c r="CC22" i="1"/>
  <c r="CD22" i="1"/>
  <c r="CE22" i="1"/>
  <c r="CF22" i="1"/>
  <c r="CG22" i="1"/>
  <c r="CH22" i="1"/>
  <c r="CI22" i="1"/>
  <c r="CJ22" i="1"/>
  <c r="CK22" i="1"/>
  <c r="CL22" i="1"/>
  <c r="CM22" i="1"/>
  <c r="CN22" i="1"/>
  <c r="CO22" i="1"/>
  <c r="CP22" i="1"/>
  <c r="CQ22" i="1"/>
  <c r="CR22" i="1"/>
  <c r="CS22" i="1"/>
  <c r="CT22" i="1"/>
  <c r="CU22" i="1"/>
  <c r="CV22" i="1"/>
  <c r="CW22" i="1"/>
  <c r="CX22" i="1"/>
  <c r="BE22" i="1"/>
  <c r="BF22" i="1"/>
  <c r="AT23" i="1"/>
  <c r="BK23" i="1"/>
  <c r="BL23" i="1"/>
  <c r="BM23" i="1"/>
  <c r="BN23" i="1"/>
  <c r="BO23" i="1"/>
  <c r="BP23" i="1"/>
  <c r="BQ23" i="1"/>
  <c r="BR23" i="1"/>
  <c r="BS23" i="1"/>
  <c r="BT23" i="1"/>
  <c r="BU23" i="1"/>
  <c r="BV23" i="1"/>
  <c r="BW23" i="1"/>
  <c r="BX23" i="1"/>
  <c r="BY23" i="1"/>
  <c r="BZ23" i="1"/>
  <c r="CA23" i="1"/>
  <c r="CB23" i="1"/>
  <c r="CC23" i="1"/>
  <c r="CD23" i="1"/>
  <c r="CE23" i="1"/>
  <c r="CF23" i="1"/>
  <c r="CG23" i="1"/>
  <c r="CH23" i="1"/>
  <c r="CI23" i="1"/>
  <c r="CJ23" i="1"/>
  <c r="CK23" i="1"/>
  <c r="CL23" i="1"/>
  <c r="CM23" i="1"/>
  <c r="CN23" i="1"/>
  <c r="CO23" i="1"/>
  <c r="CP23" i="1"/>
  <c r="CQ23" i="1"/>
  <c r="CR23" i="1"/>
  <c r="CS23" i="1"/>
  <c r="CT23" i="1"/>
  <c r="CU23" i="1"/>
  <c r="CV23" i="1"/>
  <c r="CW23" i="1"/>
  <c r="CX23" i="1"/>
  <c r="BE23" i="1"/>
  <c r="BF23" i="1"/>
  <c r="AT24" i="1"/>
  <c r="BK24" i="1"/>
  <c r="BL24" i="1"/>
  <c r="BM24" i="1"/>
  <c r="BN24" i="1"/>
  <c r="BO24" i="1"/>
  <c r="BP24" i="1"/>
  <c r="BQ24" i="1"/>
  <c r="BR24" i="1"/>
  <c r="BS24" i="1"/>
  <c r="BT24" i="1"/>
  <c r="BU24" i="1"/>
  <c r="BV24" i="1"/>
  <c r="BW24" i="1"/>
  <c r="BX24" i="1"/>
  <c r="BY24" i="1"/>
  <c r="BZ24" i="1"/>
  <c r="CA24" i="1"/>
  <c r="CB24" i="1"/>
  <c r="CC24" i="1"/>
  <c r="CD24" i="1"/>
  <c r="CE24" i="1"/>
  <c r="CF24" i="1"/>
  <c r="CG24" i="1"/>
  <c r="CH24" i="1"/>
  <c r="CI24" i="1"/>
  <c r="CJ24" i="1"/>
  <c r="CK24" i="1"/>
  <c r="CL24" i="1"/>
  <c r="CM24" i="1"/>
  <c r="CN24" i="1"/>
  <c r="CO24" i="1"/>
  <c r="CP24" i="1"/>
  <c r="CQ24" i="1"/>
  <c r="CR24" i="1"/>
  <c r="CS24" i="1"/>
  <c r="CT24" i="1"/>
  <c r="CU24" i="1"/>
  <c r="CV24" i="1"/>
  <c r="CW24" i="1"/>
  <c r="CX24" i="1"/>
  <c r="BE24" i="1"/>
  <c r="BF24" i="1"/>
  <c r="AT25" i="1"/>
  <c r="BK25" i="1"/>
  <c r="BL25" i="1"/>
  <c r="BM25" i="1"/>
  <c r="BN25" i="1"/>
  <c r="BO25" i="1"/>
  <c r="BP25" i="1"/>
  <c r="BQ25" i="1"/>
  <c r="BR25" i="1"/>
  <c r="BS25" i="1"/>
  <c r="BT25" i="1"/>
  <c r="BU25" i="1"/>
  <c r="BV25" i="1"/>
  <c r="BW25" i="1"/>
  <c r="BX25" i="1"/>
  <c r="BY25" i="1"/>
  <c r="BZ25" i="1"/>
  <c r="CA25" i="1"/>
  <c r="CB25" i="1"/>
  <c r="CC25" i="1"/>
  <c r="CD25" i="1"/>
  <c r="CE25" i="1"/>
  <c r="CF25" i="1"/>
  <c r="CG25" i="1"/>
  <c r="CH25" i="1"/>
  <c r="CI25" i="1"/>
  <c r="CJ25" i="1"/>
  <c r="CK25" i="1"/>
  <c r="CL25" i="1"/>
  <c r="CM25" i="1"/>
  <c r="CN25" i="1"/>
  <c r="CO25" i="1"/>
  <c r="CP25" i="1"/>
  <c r="CQ25" i="1"/>
  <c r="CR25" i="1"/>
  <c r="CS25" i="1"/>
  <c r="CT25" i="1"/>
  <c r="CU25" i="1"/>
  <c r="CV25" i="1"/>
  <c r="CW25" i="1"/>
  <c r="CX25" i="1"/>
  <c r="BE25" i="1"/>
  <c r="BF25" i="1"/>
  <c r="AT26" i="1"/>
  <c r="BK26" i="1"/>
  <c r="BL26" i="1"/>
  <c r="BM26" i="1"/>
  <c r="BN26" i="1"/>
  <c r="BO26" i="1"/>
  <c r="BP26" i="1"/>
  <c r="BQ26" i="1"/>
  <c r="BR26" i="1"/>
  <c r="BS26" i="1"/>
  <c r="BT26" i="1"/>
  <c r="BU26" i="1"/>
  <c r="BV26" i="1"/>
  <c r="BW26" i="1"/>
  <c r="BX26" i="1"/>
  <c r="BY26" i="1"/>
  <c r="BZ26" i="1"/>
  <c r="CA26" i="1"/>
  <c r="CB26" i="1"/>
  <c r="CC26" i="1"/>
  <c r="CD26" i="1"/>
  <c r="CE26" i="1"/>
  <c r="CF26" i="1"/>
  <c r="CG26" i="1"/>
  <c r="CH26" i="1"/>
  <c r="CI26" i="1"/>
  <c r="CJ26" i="1"/>
  <c r="CK26" i="1"/>
  <c r="CL26" i="1"/>
  <c r="CM26" i="1"/>
  <c r="CN26" i="1"/>
  <c r="CO26" i="1"/>
  <c r="CP26" i="1"/>
  <c r="CQ26" i="1"/>
  <c r="CR26" i="1"/>
  <c r="CS26" i="1"/>
  <c r="CT26" i="1"/>
  <c r="CU26" i="1"/>
  <c r="CV26" i="1"/>
  <c r="CW26" i="1"/>
  <c r="CX26" i="1"/>
  <c r="BE26" i="1"/>
  <c r="BF26" i="1"/>
  <c r="AT27" i="1"/>
  <c r="BK27" i="1"/>
  <c r="BL27" i="1"/>
  <c r="BM27" i="1"/>
  <c r="BN27" i="1"/>
  <c r="BO27" i="1"/>
  <c r="BP27" i="1"/>
  <c r="BQ27" i="1"/>
  <c r="BR27" i="1"/>
  <c r="BS27" i="1"/>
  <c r="BT27" i="1"/>
  <c r="BU27" i="1"/>
  <c r="BV27" i="1"/>
  <c r="BW27" i="1"/>
  <c r="BX27" i="1"/>
  <c r="BY27" i="1"/>
  <c r="BZ27" i="1"/>
  <c r="CA27" i="1"/>
  <c r="CB27" i="1"/>
  <c r="CC27" i="1"/>
  <c r="CD27" i="1"/>
  <c r="CE27" i="1"/>
  <c r="CF27" i="1"/>
  <c r="CG27" i="1"/>
  <c r="CH27" i="1"/>
  <c r="CI27" i="1"/>
  <c r="CJ27" i="1"/>
  <c r="CK27" i="1"/>
  <c r="CL27" i="1"/>
  <c r="CM27" i="1"/>
  <c r="CN27" i="1"/>
  <c r="CO27" i="1"/>
  <c r="CP27" i="1"/>
  <c r="CQ27" i="1"/>
  <c r="CR27" i="1"/>
  <c r="CS27" i="1"/>
  <c r="CT27" i="1"/>
  <c r="CU27" i="1"/>
  <c r="CV27" i="1"/>
  <c r="CW27" i="1"/>
  <c r="CX27" i="1"/>
  <c r="BE27" i="1"/>
  <c r="BF27" i="1"/>
  <c r="AT28" i="1"/>
  <c r="BK28" i="1"/>
  <c r="BL28" i="1"/>
  <c r="BM28" i="1"/>
  <c r="BN28" i="1"/>
  <c r="BO28" i="1"/>
  <c r="BP28" i="1"/>
  <c r="BQ28" i="1"/>
  <c r="BR28" i="1"/>
  <c r="BS28" i="1"/>
  <c r="BT28" i="1"/>
  <c r="BU28" i="1"/>
  <c r="BV28" i="1"/>
  <c r="BW28" i="1"/>
  <c r="BX28" i="1"/>
  <c r="BY28" i="1"/>
  <c r="BZ28" i="1"/>
  <c r="CA28" i="1"/>
  <c r="CB28" i="1"/>
  <c r="CC28" i="1"/>
  <c r="CD28" i="1"/>
  <c r="CE28" i="1"/>
  <c r="CF28" i="1"/>
  <c r="CG28" i="1"/>
  <c r="CH28" i="1"/>
  <c r="CI28" i="1"/>
  <c r="CJ28" i="1"/>
  <c r="CK28" i="1"/>
  <c r="CL28" i="1"/>
  <c r="CM28" i="1"/>
  <c r="CN28" i="1"/>
  <c r="CO28" i="1"/>
  <c r="CP28" i="1"/>
  <c r="CQ28" i="1"/>
  <c r="CR28" i="1"/>
  <c r="CS28" i="1"/>
  <c r="CT28" i="1"/>
  <c r="CU28" i="1"/>
  <c r="CV28" i="1"/>
  <c r="CW28" i="1"/>
  <c r="CX28" i="1"/>
  <c r="BE28" i="1"/>
  <c r="BF28" i="1"/>
  <c r="AT29" i="1"/>
  <c r="BK29" i="1"/>
  <c r="BL29" i="1"/>
  <c r="BM29" i="1"/>
  <c r="BN29" i="1"/>
  <c r="BO29" i="1"/>
  <c r="BP29" i="1"/>
  <c r="BQ29" i="1"/>
  <c r="BR29" i="1"/>
  <c r="BS29" i="1"/>
  <c r="BT29" i="1"/>
  <c r="BU29" i="1"/>
  <c r="BV29" i="1"/>
  <c r="BW29" i="1"/>
  <c r="BX29" i="1"/>
  <c r="BY29" i="1"/>
  <c r="BZ29" i="1"/>
  <c r="CA29" i="1"/>
  <c r="CB29" i="1"/>
  <c r="CC29" i="1"/>
  <c r="CD29" i="1"/>
  <c r="CE29" i="1"/>
  <c r="CF29" i="1"/>
  <c r="CG29" i="1"/>
  <c r="CH29" i="1"/>
  <c r="CI29" i="1"/>
  <c r="CJ29" i="1"/>
  <c r="CK29" i="1"/>
  <c r="CL29" i="1"/>
  <c r="CM29" i="1"/>
  <c r="CN29" i="1"/>
  <c r="CO29" i="1"/>
  <c r="CP29" i="1"/>
  <c r="CQ29" i="1"/>
  <c r="CR29" i="1"/>
  <c r="CS29" i="1"/>
  <c r="CT29" i="1"/>
  <c r="CU29" i="1"/>
  <c r="CV29" i="1"/>
  <c r="CW29" i="1"/>
  <c r="CX29" i="1"/>
  <c r="BE29" i="1"/>
  <c r="BF29" i="1"/>
  <c r="AT30" i="1"/>
  <c r="BK30" i="1"/>
  <c r="BL30" i="1"/>
  <c r="BM30" i="1"/>
  <c r="BN30" i="1"/>
  <c r="BO30" i="1"/>
  <c r="BP30" i="1"/>
  <c r="BQ30" i="1"/>
  <c r="BR30" i="1"/>
  <c r="BS30" i="1"/>
  <c r="BT30" i="1"/>
  <c r="BU30" i="1"/>
  <c r="BV30" i="1"/>
  <c r="BW30" i="1"/>
  <c r="BX30" i="1"/>
  <c r="BY30" i="1"/>
  <c r="BZ30" i="1"/>
  <c r="CA30" i="1"/>
  <c r="CB30" i="1"/>
  <c r="CC30" i="1"/>
  <c r="CD30" i="1"/>
  <c r="CE30" i="1"/>
  <c r="CF30" i="1"/>
  <c r="CG30" i="1"/>
  <c r="CH30" i="1"/>
  <c r="CI30" i="1"/>
  <c r="CJ30" i="1"/>
  <c r="CK30" i="1"/>
  <c r="CL30" i="1"/>
  <c r="CM30" i="1"/>
  <c r="CN30" i="1"/>
  <c r="CO30" i="1"/>
  <c r="CP30" i="1"/>
  <c r="CQ30" i="1"/>
  <c r="CR30" i="1"/>
  <c r="CS30" i="1"/>
  <c r="CT30" i="1"/>
  <c r="CU30" i="1"/>
  <c r="CV30" i="1"/>
  <c r="CW30" i="1"/>
  <c r="CX30" i="1"/>
  <c r="BE30" i="1"/>
  <c r="BF30" i="1"/>
  <c r="AT31" i="1"/>
  <c r="BK31" i="1"/>
  <c r="BL31" i="1"/>
  <c r="BM31" i="1"/>
  <c r="BN31" i="1"/>
  <c r="BO31" i="1"/>
  <c r="BP31" i="1"/>
  <c r="BQ31" i="1"/>
  <c r="BR31" i="1"/>
  <c r="BS31" i="1"/>
  <c r="BT31" i="1"/>
  <c r="BU31" i="1"/>
  <c r="BV31" i="1"/>
  <c r="BW31" i="1"/>
  <c r="BX31" i="1"/>
  <c r="BY31" i="1"/>
  <c r="BZ31" i="1"/>
  <c r="CA31" i="1"/>
  <c r="CB31" i="1"/>
  <c r="CC31" i="1"/>
  <c r="CD31" i="1"/>
  <c r="CE31" i="1"/>
  <c r="CF31" i="1"/>
  <c r="CG31" i="1"/>
  <c r="CH31" i="1"/>
  <c r="CI31" i="1"/>
  <c r="CJ31" i="1"/>
  <c r="CK31" i="1"/>
  <c r="CL31" i="1"/>
  <c r="CM31" i="1"/>
  <c r="CN31" i="1"/>
  <c r="CO31" i="1"/>
  <c r="CP31" i="1"/>
  <c r="CQ31" i="1"/>
  <c r="CR31" i="1"/>
  <c r="CS31" i="1"/>
  <c r="CT31" i="1"/>
  <c r="CU31" i="1"/>
  <c r="CV31" i="1"/>
  <c r="CW31" i="1"/>
  <c r="CX31" i="1"/>
  <c r="BE31" i="1"/>
  <c r="BF31" i="1"/>
  <c r="AT32" i="1"/>
  <c r="BK32" i="1"/>
  <c r="BL32" i="1"/>
  <c r="BM32" i="1"/>
  <c r="BN32" i="1"/>
  <c r="BO32" i="1"/>
  <c r="BP32" i="1"/>
  <c r="BQ32" i="1"/>
  <c r="BR32" i="1"/>
  <c r="BS32" i="1"/>
  <c r="BT32" i="1"/>
  <c r="BU32" i="1"/>
  <c r="BV32" i="1"/>
  <c r="BW32" i="1"/>
  <c r="BX32" i="1"/>
  <c r="BY32" i="1"/>
  <c r="BZ32" i="1"/>
  <c r="CA32" i="1"/>
  <c r="CB32" i="1"/>
  <c r="CC32" i="1"/>
  <c r="CD32" i="1"/>
  <c r="CE32" i="1"/>
  <c r="CF32" i="1"/>
  <c r="CG32" i="1"/>
  <c r="CH32" i="1"/>
  <c r="CI32" i="1"/>
  <c r="CJ32" i="1"/>
  <c r="CK32" i="1"/>
  <c r="CL32" i="1"/>
  <c r="CM32" i="1"/>
  <c r="CN32" i="1"/>
  <c r="CO32" i="1"/>
  <c r="CP32" i="1"/>
  <c r="CQ32" i="1"/>
  <c r="CR32" i="1"/>
  <c r="CS32" i="1"/>
  <c r="CT32" i="1"/>
  <c r="CU32" i="1"/>
  <c r="CV32" i="1"/>
  <c r="CW32" i="1"/>
  <c r="CX32" i="1"/>
  <c r="BE32" i="1"/>
  <c r="BF32" i="1"/>
  <c r="AT33" i="1"/>
  <c r="BK33" i="1"/>
  <c r="BL33" i="1"/>
  <c r="BM33" i="1"/>
  <c r="BN33" i="1"/>
  <c r="BO33" i="1"/>
  <c r="BP33" i="1"/>
  <c r="BQ33" i="1"/>
  <c r="BR33" i="1"/>
  <c r="BS33" i="1"/>
  <c r="BT33" i="1"/>
  <c r="BU33" i="1"/>
  <c r="BV33" i="1"/>
  <c r="BW33" i="1"/>
  <c r="BX33" i="1"/>
  <c r="BY33" i="1"/>
  <c r="BZ33" i="1"/>
  <c r="CA33" i="1"/>
  <c r="CB33" i="1"/>
  <c r="CC33" i="1"/>
  <c r="CD33" i="1"/>
  <c r="CE33" i="1"/>
  <c r="CF33" i="1"/>
  <c r="CG33" i="1"/>
  <c r="CH33" i="1"/>
  <c r="CI33" i="1"/>
  <c r="CJ33" i="1"/>
  <c r="CK33" i="1"/>
  <c r="CL33" i="1"/>
  <c r="CM33" i="1"/>
  <c r="CN33" i="1"/>
  <c r="CO33" i="1"/>
  <c r="CP33" i="1"/>
  <c r="CQ33" i="1"/>
  <c r="CR33" i="1"/>
  <c r="CS33" i="1"/>
  <c r="CT33" i="1"/>
  <c r="CU33" i="1"/>
  <c r="CV33" i="1"/>
  <c r="CW33" i="1"/>
  <c r="CX33" i="1"/>
  <c r="BE33" i="1"/>
  <c r="BF33" i="1"/>
  <c r="AT34" i="1"/>
  <c r="BK34" i="1"/>
  <c r="BL34" i="1"/>
  <c r="BM34" i="1"/>
  <c r="BN34" i="1"/>
  <c r="BO34" i="1"/>
  <c r="BP34" i="1"/>
  <c r="BQ34" i="1"/>
  <c r="BR34" i="1"/>
  <c r="BS34" i="1"/>
  <c r="BT34" i="1"/>
  <c r="BU34" i="1"/>
  <c r="BV34" i="1"/>
  <c r="BW34" i="1"/>
  <c r="BX34" i="1"/>
  <c r="BY34" i="1"/>
  <c r="BZ34" i="1"/>
  <c r="CA34" i="1"/>
  <c r="CB34" i="1"/>
  <c r="CC34" i="1"/>
  <c r="CD34" i="1"/>
  <c r="CE34" i="1"/>
  <c r="CF34" i="1"/>
  <c r="CG34" i="1"/>
  <c r="CH34" i="1"/>
  <c r="CI34" i="1"/>
  <c r="CJ34" i="1"/>
  <c r="CK34" i="1"/>
  <c r="CL34" i="1"/>
  <c r="CM34" i="1"/>
  <c r="CN34" i="1"/>
  <c r="CO34" i="1"/>
  <c r="CP34" i="1"/>
  <c r="CQ34" i="1"/>
  <c r="CR34" i="1"/>
  <c r="CS34" i="1"/>
  <c r="CT34" i="1"/>
  <c r="CU34" i="1"/>
  <c r="CV34" i="1"/>
  <c r="CW34" i="1"/>
  <c r="CX34" i="1"/>
  <c r="BE34" i="1"/>
  <c r="BF34" i="1"/>
  <c r="AT35" i="1"/>
  <c r="BK35" i="1"/>
  <c r="BL35" i="1"/>
  <c r="BM35" i="1"/>
  <c r="BN35" i="1"/>
  <c r="BO35" i="1"/>
  <c r="BP35" i="1"/>
  <c r="BQ35" i="1"/>
  <c r="BR35" i="1"/>
  <c r="BS35" i="1"/>
  <c r="BT35" i="1"/>
  <c r="BU35" i="1"/>
  <c r="BV35" i="1"/>
  <c r="BW35" i="1"/>
  <c r="BX35" i="1"/>
  <c r="BY35" i="1"/>
  <c r="BZ35" i="1"/>
  <c r="CA35" i="1"/>
  <c r="CB35" i="1"/>
  <c r="CC35" i="1"/>
  <c r="CD35" i="1"/>
  <c r="CE35" i="1"/>
  <c r="CF35" i="1"/>
  <c r="CG35" i="1"/>
  <c r="CH35" i="1"/>
  <c r="CI35" i="1"/>
  <c r="CJ35" i="1"/>
  <c r="CK35" i="1"/>
  <c r="CL35" i="1"/>
  <c r="CM35" i="1"/>
  <c r="CN35" i="1"/>
  <c r="CO35" i="1"/>
  <c r="CP35" i="1"/>
  <c r="CQ35" i="1"/>
  <c r="CR35" i="1"/>
  <c r="CS35" i="1"/>
  <c r="CT35" i="1"/>
  <c r="CU35" i="1"/>
  <c r="CV35" i="1"/>
  <c r="CW35" i="1"/>
  <c r="CX35" i="1"/>
  <c r="BE35" i="1"/>
  <c r="BF35" i="1"/>
  <c r="AT36" i="1"/>
  <c r="BK36" i="1"/>
  <c r="BL36" i="1"/>
  <c r="BM36" i="1"/>
  <c r="BN36" i="1"/>
  <c r="BO36" i="1"/>
  <c r="BP36" i="1"/>
  <c r="BQ36" i="1"/>
  <c r="BR36" i="1"/>
  <c r="BS36" i="1"/>
  <c r="BT36" i="1"/>
  <c r="BU36" i="1"/>
  <c r="BV36" i="1"/>
  <c r="BW36" i="1"/>
  <c r="BX36" i="1"/>
  <c r="BY36" i="1"/>
  <c r="BZ36" i="1"/>
  <c r="CA36" i="1"/>
  <c r="CB36" i="1"/>
  <c r="CC36" i="1"/>
  <c r="CD36" i="1"/>
  <c r="CE36" i="1"/>
  <c r="CF36" i="1"/>
  <c r="CG36" i="1"/>
  <c r="CH36" i="1"/>
  <c r="CI36" i="1"/>
  <c r="CJ36" i="1"/>
  <c r="CK36" i="1"/>
  <c r="CL36" i="1"/>
  <c r="CM36" i="1"/>
  <c r="CN36" i="1"/>
  <c r="CO36" i="1"/>
  <c r="CP36" i="1"/>
  <c r="CQ36" i="1"/>
  <c r="CR36" i="1"/>
  <c r="CS36" i="1"/>
  <c r="CT36" i="1"/>
  <c r="CU36" i="1"/>
  <c r="CV36" i="1"/>
  <c r="CW36" i="1"/>
  <c r="CX36" i="1"/>
  <c r="BE36" i="1"/>
  <c r="BF36" i="1"/>
  <c r="AT37" i="1"/>
  <c r="BK37" i="1"/>
  <c r="BL37" i="1"/>
  <c r="BM37" i="1"/>
  <c r="BN37" i="1"/>
  <c r="BO37" i="1"/>
  <c r="BP37" i="1"/>
  <c r="BQ37" i="1"/>
  <c r="BR37" i="1"/>
  <c r="BS37" i="1"/>
  <c r="BT37" i="1"/>
  <c r="BU37" i="1"/>
  <c r="BV37" i="1"/>
  <c r="BW37" i="1"/>
  <c r="BX37" i="1"/>
  <c r="BY37" i="1"/>
  <c r="BZ37" i="1"/>
  <c r="CA37" i="1"/>
  <c r="CB37" i="1"/>
  <c r="CC37" i="1"/>
  <c r="CD37" i="1"/>
  <c r="CE37" i="1"/>
  <c r="CF37" i="1"/>
  <c r="CG37" i="1"/>
  <c r="CH37" i="1"/>
  <c r="CI37" i="1"/>
  <c r="CJ37" i="1"/>
  <c r="CK37" i="1"/>
  <c r="CL37" i="1"/>
  <c r="CM37" i="1"/>
  <c r="CN37" i="1"/>
  <c r="CO37" i="1"/>
  <c r="CP37" i="1"/>
  <c r="CQ37" i="1"/>
  <c r="CR37" i="1"/>
  <c r="CS37" i="1"/>
  <c r="CT37" i="1"/>
  <c r="CU37" i="1"/>
  <c r="CV37" i="1"/>
  <c r="CW37" i="1"/>
  <c r="CX37" i="1"/>
  <c r="BE37" i="1"/>
  <c r="BF37" i="1"/>
  <c r="AT38" i="1"/>
  <c r="BK38" i="1"/>
  <c r="BL38" i="1"/>
  <c r="BM38" i="1"/>
  <c r="BN38" i="1"/>
  <c r="BO38" i="1"/>
  <c r="BP38" i="1"/>
  <c r="BQ38" i="1"/>
  <c r="BR38" i="1"/>
  <c r="BS38" i="1"/>
  <c r="BT38" i="1"/>
  <c r="BU38" i="1"/>
  <c r="BV38" i="1"/>
  <c r="BW38" i="1"/>
  <c r="BX38" i="1"/>
  <c r="BY38" i="1"/>
  <c r="BZ38" i="1"/>
  <c r="CA38" i="1"/>
  <c r="CB38" i="1"/>
  <c r="CC38" i="1"/>
  <c r="CD38" i="1"/>
  <c r="CE38" i="1"/>
  <c r="CF38" i="1"/>
  <c r="CG38" i="1"/>
  <c r="CH38" i="1"/>
  <c r="CI38" i="1"/>
  <c r="CJ38" i="1"/>
  <c r="CK38" i="1"/>
  <c r="CL38" i="1"/>
  <c r="CM38" i="1"/>
  <c r="CN38" i="1"/>
  <c r="CO38" i="1"/>
  <c r="CP38" i="1"/>
  <c r="CQ38" i="1"/>
  <c r="CR38" i="1"/>
  <c r="CS38" i="1"/>
  <c r="CT38" i="1"/>
  <c r="CU38" i="1"/>
  <c r="CV38" i="1"/>
  <c r="CW38" i="1"/>
  <c r="CX38" i="1"/>
  <c r="BE38" i="1"/>
  <c r="BF38" i="1"/>
  <c r="AT39" i="1"/>
  <c r="BK39" i="1"/>
  <c r="BL39" i="1"/>
  <c r="BM39" i="1"/>
  <c r="BN39" i="1"/>
  <c r="BO39" i="1"/>
  <c r="BP39" i="1"/>
  <c r="BQ39" i="1"/>
  <c r="BR39" i="1"/>
  <c r="BS39" i="1"/>
  <c r="BT39" i="1"/>
  <c r="BU39" i="1"/>
  <c r="BV39" i="1"/>
  <c r="BW39" i="1"/>
  <c r="BX39" i="1"/>
  <c r="BY39" i="1"/>
  <c r="BZ39" i="1"/>
  <c r="CA39" i="1"/>
  <c r="CB39" i="1"/>
  <c r="CC39" i="1"/>
  <c r="CD39" i="1"/>
  <c r="CE39" i="1"/>
  <c r="CF39" i="1"/>
  <c r="CG39" i="1"/>
  <c r="CH39" i="1"/>
  <c r="CI39" i="1"/>
  <c r="CJ39" i="1"/>
  <c r="CK39" i="1"/>
  <c r="CL39" i="1"/>
  <c r="CM39" i="1"/>
  <c r="CN39" i="1"/>
  <c r="CO39" i="1"/>
  <c r="CP39" i="1"/>
  <c r="CQ39" i="1"/>
  <c r="CR39" i="1"/>
  <c r="CS39" i="1"/>
  <c r="CT39" i="1"/>
  <c r="CU39" i="1"/>
  <c r="CV39" i="1"/>
  <c r="CW39" i="1"/>
  <c r="CX39" i="1"/>
  <c r="BE39" i="1"/>
  <c r="BF39" i="1"/>
  <c r="AT40" i="1"/>
  <c r="BK40" i="1"/>
  <c r="BL40" i="1"/>
  <c r="BM40" i="1"/>
  <c r="BN40" i="1"/>
  <c r="BO40" i="1"/>
  <c r="BP40" i="1"/>
  <c r="BQ40" i="1"/>
  <c r="BR40" i="1"/>
  <c r="BS40" i="1"/>
  <c r="BT40" i="1"/>
  <c r="BU40" i="1"/>
  <c r="BV40" i="1"/>
  <c r="BW40" i="1"/>
  <c r="BX40" i="1"/>
  <c r="BY40" i="1"/>
  <c r="BZ40" i="1"/>
  <c r="CA40" i="1"/>
  <c r="CB40" i="1"/>
  <c r="CC40" i="1"/>
  <c r="CD40" i="1"/>
  <c r="CE40" i="1"/>
  <c r="CF40" i="1"/>
  <c r="CG40" i="1"/>
  <c r="CH40" i="1"/>
  <c r="CI40" i="1"/>
  <c r="CJ40" i="1"/>
  <c r="CK40" i="1"/>
  <c r="CL40" i="1"/>
  <c r="CM40" i="1"/>
  <c r="CN40" i="1"/>
  <c r="CO40" i="1"/>
  <c r="CP40" i="1"/>
  <c r="CQ40" i="1"/>
  <c r="CR40" i="1"/>
  <c r="CS40" i="1"/>
  <c r="CT40" i="1"/>
  <c r="CU40" i="1"/>
  <c r="CV40" i="1"/>
  <c r="CW40" i="1"/>
  <c r="CX40" i="1"/>
  <c r="BE40" i="1"/>
  <c r="BF40" i="1"/>
  <c r="AT41" i="1"/>
  <c r="BK41" i="1"/>
  <c r="BL41" i="1"/>
  <c r="BM41" i="1"/>
  <c r="BN41" i="1"/>
  <c r="BO41" i="1"/>
  <c r="BP41" i="1"/>
  <c r="BQ41" i="1"/>
  <c r="BR41" i="1"/>
  <c r="BS41" i="1"/>
  <c r="BT41" i="1"/>
  <c r="BU41" i="1"/>
  <c r="BV41" i="1"/>
  <c r="BW41" i="1"/>
  <c r="BX41" i="1"/>
  <c r="BY41" i="1"/>
  <c r="BZ41" i="1"/>
  <c r="CA41" i="1"/>
  <c r="CB41" i="1"/>
  <c r="CC41" i="1"/>
  <c r="CD41" i="1"/>
  <c r="CE41" i="1"/>
  <c r="CF41" i="1"/>
  <c r="CG41" i="1"/>
  <c r="CH41" i="1"/>
  <c r="CI41" i="1"/>
  <c r="CJ41" i="1"/>
  <c r="CK41" i="1"/>
  <c r="CL41" i="1"/>
  <c r="CM41" i="1"/>
  <c r="CN41" i="1"/>
  <c r="CO41" i="1"/>
  <c r="CP41" i="1"/>
  <c r="CQ41" i="1"/>
  <c r="CR41" i="1"/>
  <c r="CS41" i="1"/>
  <c r="CT41" i="1"/>
  <c r="CU41" i="1"/>
  <c r="CV41" i="1"/>
  <c r="CW41" i="1"/>
  <c r="CX41" i="1"/>
  <c r="BE41" i="1"/>
  <c r="BF41" i="1"/>
  <c r="AT42" i="1"/>
  <c r="BK42" i="1"/>
  <c r="BL42" i="1"/>
  <c r="BM42" i="1"/>
  <c r="BN42" i="1"/>
  <c r="BO42" i="1"/>
  <c r="BP42" i="1"/>
  <c r="BQ42" i="1"/>
  <c r="BR42" i="1"/>
  <c r="BS42" i="1"/>
  <c r="BT42" i="1"/>
  <c r="BU42" i="1"/>
  <c r="BV42" i="1"/>
  <c r="BW42" i="1"/>
  <c r="BX42" i="1"/>
  <c r="BY42" i="1"/>
  <c r="BZ42" i="1"/>
  <c r="CA42" i="1"/>
  <c r="CB42" i="1"/>
  <c r="CC42" i="1"/>
  <c r="CD42" i="1"/>
  <c r="CE42" i="1"/>
  <c r="CF42" i="1"/>
  <c r="CG42" i="1"/>
  <c r="CH42" i="1"/>
  <c r="CI42" i="1"/>
  <c r="CJ42" i="1"/>
  <c r="CK42" i="1"/>
  <c r="CL42" i="1"/>
  <c r="CM42" i="1"/>
  <c r="CN42" i="1"/>
  <c r="CO42" i="1"/>
  <c r="CP42" i="1"/>
  <c r="CQ42" i="1"/>
  <c r="CR42" i="1"/>
  <c r="CS42" i="1"/>
  <c r="CT42" i="1"/>
  <c r="CU42" i="1"/>
  <c r="CV42" i="1"/>
  <c r="CW42" i="1"/>
  <c r="CX42" i="1"/>
  <c r="BE42" i="1"/>
  <c r="BF42" i="1"/>
  <c r="AT43" i="1"/>
  <c r="BK43" i="1"/>
  <c r="BL43" i="1"/>
  <c r="BM43" i="1"/>
  <c r="BN43" i="1"/>
  <c r="BO43" i="1"/>
  <c r="BP43" i="1"/>
  <c r="BQ43" i="1"/>
  <c r="BR43" i="1"/>
  <c r="BS43" i="1"/>
  <c r="BT43" i="1"/>
  <c r="BU43" i="1"/>
  <c r="BV43" i="1"/>
  <c r="BW43" i="1"/>
  <c r="BX43" i="1"/>
  <c r="BY43" i="1"/>
  <c r="BZ43" i="1"/>
  <c r="CA43" i="1"/>
  <c r="CB43" i="1"/>
  <c r="CC43" i="1"/>
  <c r="CD43" i="1"/>
  <c r="CE43" i="1"/>
  <c r="CF43" i="1"/>
  <c r="CG43" i="1"/>
  <c r="CH43" i="1"/>
  <c r="CI43" i="1"/>
  <c r="CJ43" i="1"/>
  <c r="CK43" i="1"/>
  <c r="CL43" i="1"/>
  <c r="CM43" i="1"/>
  <c r="CN43" i="1"/>
  <c r="CO43" i="1"/>
  <c r="CP43" i="1"/>
  <c r="CQ43" i="1"/>
  <c r="CR43" i="1"/>
  <c r="CS43" i="1"/>
  <c r="CT43" i="1"/>
  <c r="CU43" i="1"/>
  <c r="CV43" i="1"/>
  <c r="CW43" i="1"/>
  <c r="CX43" i="1"/>
  <c r="BE43" i="1"/>
  <c r="BF43" i="1"/>
  <c r="AT44" i="1"/>
  <c r="BK44" i="1"/>
  <c r="BL44" i="1"/>
  <c r="BM44" i="1"/>
  <c r="BN44" i="1"/>
  <c r="BO44" i="1"/>
  <c r="BP44" i="1"/>
  <c r="BQ44" i="1"/>
  <c r="BR44" i="1"/>
  <c r="BS44" i="1"/>
  <c r="BT44" i="1"/>
  <c r="BU44" i="1"/>
  <c r="BV44" i="1"/>
  <c r="BW44" i="1"/>
  <c r="BX44" i="1"/>
  <c r="BY44" i="1"/>
  <c r="BZ44" i="1"/>
  <c r="CA44" i="1"/>
  <c r="CB44" i="1"/>
  <c r="CC44" i="1"/>
  <c r="CD44" i="1"/>
  <c r="CE44" i="1"/>
  <c r="CF44" i="1"/>
  <c r="CG44" i="1"/>
  <c r="CH44" i="1"/>
  <c r="CI44" i="1"/>
  <c r="CJ44" i="1"/>
  <c r="CK44" i="1"/>
  <c r="CL44" i="1"/>
  <c r="CM44" i="1"/>
  <c r="CN44" i="1"/>
  <c r="CO44" i="1"/>
  <c r="CP44" i="1"/>
  <c r="CQ44" i="1"/>
  <c r="CR44" i="1"/>
  <c r="CS44" i="1"/>
  <c r="CT44" i="1"/>
  <c r="CU44" i="1"/>
  <c r="CV44" i="1"/>
  <c r="CW44" i="1"/>
  <c r="CX44" i="1"/>
  <c r="BE44" i="1"/>
  <c r="BF44" i="1"/>
  <c r="AT45" i="1"/>
  <c r="BK45" i="1"/>
  <c r="BL45" i="1"/>
  <c r="BM45" i="1"/>
  <c r="BN45" i="1"/>
  <c r="BO45" i="1"/>
  <c r="BP45" i="1"/>
  <c r="BQ45" i="1"/>
  <c r="BR45" i="1"/>
  <c r="BS45" i="1"/>
  <c r="BT45" i="1"/>
  <c r="BU45" i="1"/>
  <c r="BV45" i="1"/>
  <c r="BW45" i="1"/>
  <c r="BX45" i="1"/>
  <c r="BY45" i="1"/>
  <c r="BZ45" i="1"/>
  <c r="CA45" i="1"/>
  <c r="CB45" i="1"/>
  <c r="CC45" i="1"/>
  <c r="CD45" i="1"/>
  <c r="CE45" i="1"/>
  <c r="CF45" i="1"/>
  <c r="CG45" i="1"/>
  <c r="CH45" i="1"/>
  <c r="CI45" i="1"/>
  <c r="CJ45" i="1"/>
  <c r="CK45" i="1"/>
  <c r="CL45" i="1"/>
  <c r="CM45" i="1"/>
  <c r="CN45" i="1"/>
  <c r="CO45" i="1"/>
  <c r="CP45" i="1"/>
  <c r="CQ45" i="1"/>
  <c r="CR45" i="1"/>
  <c r="CS45" i="1"/>
  <c r="CT45" i="1"/>
  <c r="CU45" i="1"/>
  <c r="CV45" i="1"/>
  <c r="CW45" i="1"/>
  <c r="CX45" i="1"/>
  <c r="BE45" i="1"/>
  <c r="BF45" i="1"/>
  <c r="AT46" i="1"/>
  <c r="BK46" i="1"/>
  <c r="BL46" i="1"/>
  <c r="BM46" i="1"/>
  <c r="BN46" i="1"/>
  <c r="BO46" i="1"/>
  <c r="BP46" i="1"/>
  <c r="BQ46" i="1"/>
  <c r="BR46" i="1"/>
  <c r="BS46" i="1"/>
  <c r="BT46" i="1"/>
  <c r="BU46" i="1"/>
  <c r="BV46" i="1"/>
  <c r="BW46" i="1"/>
  <c r="BX46" i="1"/>
  <c r="BY46" i="1"/>
  <c r="BZ46" i="1"/>
  <c r="CA46" i="1"/>
  <c r="CB46" i="1"/>
  <c r="CC46" i="1"/>
  <c r="CD46" i="1"/>
  <c r="CE46" i="1"/>
  <c r="CF46" i="1"/>
  <c r="CG46" i="1"/>
  <c r="CH46" i="1"/>
  <c r="CI46" i="1"/>
  <c r="CJ46" i="1"/>
  <c r="CK46" i="1"/>
  <c r="CL46" i="1"/>
  <c r="CM46" i="1"/>
  <c r="CN46" i="1"/>
  <c r="CO46" i="1"/>
  <c r="CP46" i="1"/>
  <c r="CQ46" i="1"/>
  <c r="CR46" i="1"/>
  <c r="CS46" i="1"/>
  <c r="CT46" i="1"/>
  <c r="CU46" i="1"/>
  <c r="CV46" i="1"/>
  <c r="CW46" i="1"/>
  <c r="CX46" i="1"/>
  <c r="BE46" i="1"/>
  <c r="BF46" i="1"/>
  <c r="AT47" i="1"/>
  <c r="BK47" i="1"/>
  <c r="BL47" i="1"/>
  <c r="BM47" i="1"/>
  <c r="BN47" i="1"/>
  <c r="BO47" i="1"/>
  <c r="BP47" i="1"/>
  <c r="BQ47" i="1"/>
  <c r="BR47" i="1"/>
  <c r="BS47" i="1"/>
  <c r="BT47" i="1"/>
  <c r="BU47" i="1"/>
  <c r="BV47" i="1"/>
  <c r="BW47" i="1"/>
  <c r="BX47" i="1"/>
  <c r="BY47" i="1"/>
  <c r="BZ47" i="1"/>
  <c r="CA47" i="1"/>
  <c r="CB47" i="1"/>
  <c r="CC47" i="1"/>
  <c r="CD47" i="1"/>
  <c r="CE47" i="1"/>
  <c r="CF47" i="1"/>
  <c r="CG47" i="1"/>
  <c r="CH47" i="1"/>
  <c r="CI47" i="1"/>
  <c r="CJ47" i="1"/>
  <c r="CK47" i="1"/>
  <c r="CL47" i="1"/>
  <c r="CM47" i="1"/>
  <c r="CN47" i="1"/>
  <c r="CO47" i="1"/>
  <c r="CP47" i="1"/>
  <c r="CQ47" i="1"/>
  <c r="CR47" i="1"/>
  <c r="CS47" i="1"/>
  <c r="CT47" i="1"/>
  <c r="CU47" i="1"/>
  <c r="CV47" i="1"/>
  <c r="CW47" i="1"/>
  <c r="CX47" i="1"/>
  <c r="BE47" i="1"/>
  <c r="BF47" i="1"/>
  <c r="AT48" i="1"/>
  <c r="BK48" i="1"/>
  <c r="BL48" i="1"/>
  <c r="BM48" i="1"/>
  <c r="BN48" i="1"/>
  <c r="BO48" i="1"/>
  <c r="BP48" i="1"/>
  <c r="BQ48" i="1"/>
  <c r="BR48" i="1"/>
  <c r="BS48" i="1"/>
  <c r="BT48" i="1"/>
  <c r="BU48" i="1"/>
  <c r="BV48" i="1"/>
  <c r="BW48" i="1"/>
  <c r="BX48" i="1"/>
  <c r="BY48" i="1"/>
  <c r="BZ48" i="1"/>
  <c r="CA48" i="1"/>
  <c r="CB48" i="1"/>
  <c r="CC48" i="1"/>
  <c r="CD48" i="1"/>
  <c r="CE48" i="1"/>
  <c r="CF48" i="1"/>
  <c r="CG48" i="1"/>
  <c r="CH48" i="1"/>
  <c r="CI48" i="1"/>
  <c r="CJ48" i="1"/>
  <c r="CK48" i="1"/>
  <c r="CL48" i="1"/>
  <c r="CM48" i="1"/>
  <c r="CN48" i="1"/>
  <c r="CO48" i="1"/>
  <c r="CP48" i="1"/>
  <c r="CQ48" i="1"/>
  <c r="CR48" i="1"/>
  <c r="CS48" i="1"/>
  <c r="CT48" i="1"/>
  <c r="CU48" i="1"/>
  <c r="CV48" i="1"/>
  <c r="CW48" i="1"/>
  <c r="CX48" i="1"/>
  <c r="BE48" i="1"/>
  <c r="BF48" i="1"/>
  <c r="AT49" i="1"/>
  <c r="BK49" i="1"/>
  <c r="BL49" i="1"/>
  <c r="BM49" i="1"/>
  <c r="BN49" i="1"/>
  <c r="BO49" i="1"/>
  <c r="BP49" i="1"/>
  <c r="BQ49" i="1"/>
  <c r="BR49" i="1"/>
  <c r="BS49" i="1"/>
  <c r="BT49" i="1"/>
  <c r="BU49" i="1"/>
  <c r="BV49" i="1"/>
  <c r="BW49" i="1"/>
  <c r="BX49" i="1"/>
  <c r="BY49" i="1"/>
  <c r="BZ49" i="1"/>
  <c r="CA49" i="1"/>
  <c r="CB49" i="1"/>
  <c r="CC49" i="1"/>
  <c r="CD49" i="1"/>
  <c r="CE49" i="1"/>
  <c r="CF49" i="1"/>
  <c r="CG49" i="1"/>
  <c r="CH49" i="1"/>
  <c r="CI49" i="1"/>
  <c r="CJ49" i="1"/>
  <c r="CK49" i="1"/>
  <c r="CL49" i="1"/>
  <c r="CM49" i="1"/>
  <c r="CN49" i="1"/>
  <c r="CO49" i="1"/>
  <c r="CP49" i="1"/>
  <c r="CQ49" i="1"/>
  <c r="CR49" i="1"/>
  <c r="CS49" i="1"/>
  <c r="CT49" i="1"/>
  <c r="CU49" i="1"/>
  <c r="CV49" i="1"/>
  <c r="CW49" i="1"/>
  <c r="CX49" i="1"/>
  <c r="BE49" i="1"/>
  <c r="BF49" i="1"/>
  <c r="AT50" i="1"/>
  <c r="BK50" i="1"/>
  <c r="BL50" i="1"/>
  <c r="BM50" i="1"/>
  <c r="BN50" i="1"/>
  <c r="BO50" i="1"/>
  <c r="BP50" i="1"/>
  <c r="BQ50" i="1"/>
  <c r="BR50" i="1"/>
  <c r="BS50" i="1"/>
  <c r="BT50" i="1"/>
  <c r="BU50" i="1"/>
  <c r="BV50" i="1"/>
  <c r="BW50" i="1"/>
  <c r="BX50" i="1"/>
  <c r="BY50" i="1"/>
  <c r="BZ50" i="1"/>
  <c r="CA50" i="1"/>
  <c r="CB50" i="1"/>
  <c r="CC50" i="1"/>
  <c r="CD50" i="1"/>
  <c r="CE50" i="1"/>
  <c r="CF50" i="1"/>
  <c r="CG50" i="1"/>
  <c r="CH50" i="1"/>
  <c r="CI50" i="1"/>
  <c r="CJ50" i="1"/>
  <c r="CK50" i="1"/>
  <c r="CL50" i="1"/>
  <c r="CM50" i="1"/>
  <c r="CN50" i="1"/>
  <c r="CO50" i="1"/>
  <c r="CP50" i="1"/>
  <c r="CQ50" i="1"/>
  <c r="CR50" i="1"/>
  <c r="CS50" i="1"/>
  <c r="CT50" i="1"/>
  <c r="CU50" i="1"/>
  <c r="CV50" i="1"/>
  <c r="CW50" i="1"/>
  <c r="CX50" i="1"/>
  <c r="BE50" i="1"/>
  <c r="BF50" i="1"/>
  <c r="AT51" i="1"/>
  <c r="BK51" i="1"/>
  <c r="BL51" i="1"/>
  <c r="BM51" i="1"/>
  <c r="BN51" i="1"/>
  <c r="BO51" i="1"/>
  <c r="BP51" i="1"/>
  <c r="BQ51" i="1"/>
  <c r="BR51" i="1"/>
  <c r="BS51" i="1"/>
  <c r="BT51" i="1"/>
  <c r="BU51" i="1"/>
  <c r="BV51" i="1"/>
  <c r="BW51" i="1"/>
  <c r="BX51" i="1"/>
  <c r="BY51" i="1"/>
  <c r="BZ51" i="1"/>
  <c r="CA51" i="1"/>
  <c r="CB51" i="1"/>
  <c r="CC51" i="1"/>
  <c r="CD51" i="1"/>
  <c r="CE51" i="1"/>
  <c r="CF51" i="1"/>
  <c r="CG51" i="1"/>
  <c r="CH51" i="1"/>
  <c r="CI51" i="1"/>
  <c r="CJ51" i="1"/>
  <c r="CK51" i="1"/>
  <c r="CL51" i="1"/>
  <c r="CM51" i="1"/>
  <c r="CN51" i="1"/>
  <c r="CO51" i="1"/>
  <c r="CP51" i="1"/>
  <c r="CQ51" i="1"/>
  <c r="CR51" i="1"/>
  <c r="CS51" i="1"/>
  <c r="CT51" i="1"/>
  <c r="CU51" i="1"/>
  <c r="CV51" i="1"/>
  <c r="CW51" i="1"/>
  <c r="CX51" i="1"/>
  <c r="BE51" i="1"/>
  <c r="BF51" i="1"/>
  <c r="AT52" i="1"/>
  <c r="BK52" i="1"/>
  <c r="BL52" i="1"/>
  <c r="BM52" i="1"/>
  <c r="BN52" i="1"/>
  <c r="BO52" i="1"/>
  <c r="BP52" i="1"/>
  <c r="BQ52" i="1"/>
  <c r="BR52" i="1"/>
  <c r="BS52" i="1"/>
  <c r="BT52" i="1"/>
  <c r="BU52" i="1"/>
  <c r="BV52" i="1"/>
  <c r="BW52" i="1"/>
  <c r="BX52" i="1"/>
  <c r="BY52" i="1"/>
  <c r="BZ52" i="1"/>
  <c r="CA52" i="1"/>
  <c r="CB52" i="1"/>
  <c r="CC52" i="1"/>
  <c r="CD52" i="1"/>
  <c r="CE52" i="1"/>
  <c r="CF52" i="1"/>
  <c r="CG52" i="1"/>
  <c r="CH52" i="1"/>
  <c r="CI52" i="1"/>
  <c r="CJ52" i="1"/>
  <c r="CK52" i="1"/>
  <c r="CL52" i="1"/>
  <c r="CM52" i="1"/>
  <c r="CN52" i="1"/>
  <c r="CO52" i="1"/>
  <c r="CP52" i="1"/>
  <c r="CQ52" i="1"/>
  <c r="CR52" i="1"/>
  <c r="CS52" i="1"/>
  <c r="CT52" i="1"/>
  <c r="CU52" i="1"/>
  <c r="CV52" i="1"/>
  <c r="CW52" i="1"/>
  <c r="CX52" i="1"/>
  <c r="BE52" i="1"/>
  <c r="BF52" i="1"/>
  <c r="AT53" i="1"/>
  <c r="BK53" i="1"/>
  <c r="BL53" i="1"/>
  <c r="BM53" i="1"/>
  <c r="BN53" i="1"/>
  <c r="BO53" i="1"/>
  <c r="BP53" i="1"/>
  <c r="BQ53" i="1"/>
  <c r="BR53" i="1"/>
  <c r="BS53" i="1"/>
  <c r="BT53" i="1"/>
  <c r="BU53" i="1"/>
  <c r="BV53" i="1"/>
  <c r="BW53" i="1"/>
  <c r="BX53" i="1"/>
  <c r="BY53" i="1"/>
  <c r="BZ53" i="1"/>
  <c r="CA53" i="1"/>
  <c r="CB53" i="1"/>
  <c r="CC53" i="1"/>
  <c r="CD53" i="1"/>
  <c r="CE53" i="1"/>
  <c r="CF53" i="1"/>
  <c r="CG53" i="1"/>
  <c r="CH53" i="1"/>
  <c r="CI53" i="1"/>
  <c r="CJ53" i="1"/>
  <c r="CK53" i="1"/>
  <c r="CL53" i="1"/>
  <c r="CM53" i="1"/>
  <c r="CN53" i="1"/>
  <c r="CO53" i="1"/>
  <c r="CP53" i="1"/>
  <c r="CQ53" i="1"/>
  <c r="CR53" i="1"/>
  <c r="CS53" i="1"/>
  <c r="CT53" i="1"/>
  <c r="CU53" i="1"/>
  <c r="CV53" i="1"/>
  <c r="CW53" i="1"/>
  <c r="CX53" i="1"/>
  <c r="BE53" i="1"/>
  <c r="BF53" i="1"/>
  <c r="AT54" i="1"/>
  <c r="BK54" i="1"/>
  <c r="BL54" i="1"/>
  <c r="BM54" i="1"/>
  <c r="BN54" i="1"/>
  <c r="BO54" i="1"/>
  <c r="BP54" i="1"/>
  <c r="BQ54" i="1"/>
  <c r="BR54" i="1"/>
  <c r="BS54" i="1"/>
  <c r="BT54" i="1"/>
  <c r="BU54" i="1"/>
  <c r="BV54" i="1"/>
  <c r="BW54" i="1"/>
  <c r="BX54" i="1"/>
  <c r="BY54" i="1"/>
  <c r="BZ54" i="1"/>
  <c r="CA54" i="1"/>
  <c r="CB54" i="1"/>
  <c r="CC54" i="1"/>
  <c r="CD54" i="1"/>
  <c r="CE54" i="1"/>
  <c r="CF54" i="1"/>
  <c r="CG54" i="1"/>
  <c r="CH54" i="1"/>
  <c r="CI54" i="1"/>
  <c r="CJ54" i="1"/>
  <c r="CK54" i="1"/>
  <c r="CL54" i="1"/>
  <c r="CM54" i="1"/>
  <c r="CN54" i="1"/>
  <c r="CO54" i="1"/>
  <c r="CP54" i="1"/>
  <c r="CQ54" i="1"/>
  <c r="CR54" i="1"/>
  <c r="CS54" i="1"/>
  <c r="CT54" i="1"/>
  <c r="CU54" i="1"/>
  <c r="CV54" i="1"/>
  <c r="CW54" i="1"/>
  <c r="CX54" i="1"/>
  <c r="BE54" i="1"/>
  <c r="BF54" i="1"/>
  <c r="AT55" i="1"/>
  <c r="BK55" i="1"/>
  <c r="BL55" i="1"/>
  <c r="BM55" i="1"/>
  <c r="BN55" i="1"/>
  <c r="BO55" i="1"/>
  <c r="BP55" i="1"/>
  <c r="BQ55" i="1"/>
  <c r="BR55" i="1"/>
  <c r="BS55" i="1"/>
  <c r="BT55" i="1"/>
  <c r="BU55" i="1"/>
  <c r="BV55" i="1"/>
  <c r="BW55" i="1"/>
  <c r="BX55" i="1"/>
  <c r="BY55" i="1"/>
  <c r="BZ55" i="1"/>
  <c r="CA55" i="1"/>
  <c r="CB55" i="1"/>
  <c r="CC55" i="1"/>
  <c r="CD55" i="1"/>
  <c r="CE55" i="1"/>
  <c r="CF55" i="1"/>
  <c r="CG55" i="1"/>
  <c r="CH55" i="1"/>
  <c r="CI55" i="1"/>
  <c r="CJ55" i="1"/>
  <c r="CK55" i="1"/>
  <c r="CL55" i="1"/>
  <c r="CM55" i="1"/>
  <c r="CN55" i="1"/>
  <c r="CO55" i="1"/>
  <c r="CP55" i="1"/>
  <c r="CQ55" i="1"/>
  <c r="CR55" i="1"/>
  <c r="CS55" i="1"/>
  <c r="CT55" i="1"/>
  <c r="CU55" i="1"/>
  <c r="CV55" i="1"/>
  <c r="CW55" i="1"/>
  <c r="CX55" i="1"/>
  <c r="BE55" i="1"/>
  <c r="BF55" i="1"/>
  <c r="AT56" i="1"/>
  <c r="BK56" i="1"/>
  <c r="BL56" i="1"/>
  <c r="BM56" i="1"/>
  <c r="BN56" i="1"/>
  <c r="BO56" i="1"/>
  <c r="BP56" i="1"/>
  <c r="BQ56" i="1"/>
  <c r="BR56" i="1"/>
  <c r="BS56" i="1"/>
  <c r="BT56" i="1"/>
  <c r="BU56" i="1"/>
  <c r="BV56" i="1"/>
  <c r="BW56" i="1"/>
  <c r="BX56" i="1"/>
  <c r="BY56" i="1"/>
  <c r="BZ56" i="1"/>
  <c r="CA56" i="1"/>
  <c r="CB56" i="1"/>
  <c r="CC56" i="1"/>
  <c r="CD56" i="1"/>
  <c r="CE56" i="1"/>
  <c r="CF56" i="1"/>
  <c r="CG56" i="1"/>
  <c r="CH56" i="1"/>
  <c r="CI56" i="1"/>
  <c r="CJ56" i="1"/>
  <c r="CK56" i="1"/>
  <c r="CL56" i="1"/>
  <c r="CM56" i="1"/>
  <c r="CN56" i="1"/>
  <c r="CO56" i="1"/>
  <c r="CP56" i="1"/>
  <c r="CQ56" i="1"/>
  <c r="CR56" i="1"/>
  <c r="CS56" i="1"/>
  <c r="CT56" i="1"/>
  <c r="CU56" i="1"/>
  <c r="CV56" i="1"/>
  <c r="CW56" i="1"/>
  <c r="CX56" i="1"/>
  <c r="BE56" i="1"/>
  <c r="BF56" i="1"/>
  <c r="BK57" i="1"/>
  <c r="BL57" i="1"/>
  <c r="BM57" i="1"/>
  <c r="BN57" i="1"/>
  <c r="BO57" i="1"/>
  <c r="BP57" i="1"/>
  <c r="BQ57" i="1"/>
  <c r="BR57" i="1"/>
  <c r="BS57" i="1"/>
  <c r="BT57" i="1"/>
  <c r="BU57" i="1"/>
  <c r="BV57" i="1"/>
  <c r="BW57" i="1"/>
  <c r="BX57" i="1"/>
  <c r="BY57" i="1"/>
  <c r="BZ57" i="1"/>
  <c r="CA57" i="1"/>
  <c r="CB57" i="1"/>
  <c r="CC57" i="1"/>
  <c r="CD57" i="1"/>
  <c r="CE57" i="1"/>
  <c r="CF57" i="1"/>
  <c r="CG57" i="1"/>
  <c r="CH57" i="1"/>
  <c r="CI57" i="1"/>
  <c r="CJ57" i="1"/>
  <c r="CK57" i="1"/>
  <c r="CL57" i="1"/>
  <c r="CM57" i="1"/>
  <c r="CN57" i="1"/>
  <c r="CO57" i="1"/>
  <c r="CP57" i="1"/>
  <c r="CQ57" i="1"/>
  <c r="CR57" i="1"/>
  <c r="CS57" i="1"/>
  <c r="CT57" i="1"/>
  <c r="CU57" i="1"/>
  <c r="CV57" i="1"/>
  <c r="CW57" i="1"/>
  <c r="CX57" i="1"/>
  <c r="BE57" i="1"/>
  <c r="BF57" i="1"/>
  <c r="BE58" i="1"/>
  <c r="BF58" i="1"/>
  <c r="AT11" i="1"/>
  <c r="BF11" i="1"/>
  <c r="A2" i="26"/>
  <c r="H2" i="22"/>
  <c r="H2" i="23"/>
  <c r="E1" i="23"/>
  <c r="C3" i="26"/>
  <c r="C1" i="26"/>
  <c r="B12" i="26"/>
  <c r="B13" i="26"/>
  <c r="B14" i="26"/>
  <c r="B15" i="26"/>
  <c r="B16" i="26"/>
  <c r="B17" i="26"/>
  <c r="B18" i="26"/>
  <c r="B19" i="26"/>
  <c r="B20" i="26"/>
  <c r="B21" i="26"/>
  <c r="B22" i="26"/>
  <c r="B23" i="26"/>
  <c r="B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11" i="26"/>
  <c r="D11" i="25"/>
  <c r="A11" i="1"/>
  <c r="H8" i="25"/>
  <c r="I8" i="25"/>
  <c r="J8" i="25"/>
  <c r="K8" i="25"/>
  <c r="L8" i="25"/>
  <c r="M8" i="25"/>
  <c r="N8" i="25"/>
  <c r="O8" i="25"/>
  <c r="P8" i="25"/>
  <c r="Q8" i="25"/>
  <c r="R8" i="25"/>
  <c r="S8" i="25"/>
  <c r="T8" i="25"/>
  <c r="U8" i="25"/>
  <c r="V8" i="25"/>
  <c r="W8" i="25"/>
  <c r="X8" i="25"/>
  <c r="Y8" i="25"/>
  <c r="Z8" i="25"/>
  <c r="AA8" i="25"/>
  <c r="AB8" i="25"/>
  <c r="AC8" i="25"/>
  <c r="AD8" i="25"/>
  <c r="AE8" i="25"/>
  <c r="AF8" i="25"/>
  <c r="AG8" i="25"/>
  <c r="AH8" i="25"/>
  <c r="AI8" i="25"/>
  <c r="AJ8" i="25"/>
  <c r="AK8" i="25"/>
  <c r="AL8" i="25"/>
  <c r="AM8" i="25"/>
  <c r="AN8" i="25"/>
  <c r="AO8" i="25"/>
  <c r="AP8" i="25"/>
  <c r="AQ8" i="25"/>
  <c r="AR8" i="25"/>
  <c r="F8" i="25"/>
  <c r="G8" i="25"/>
  <c r="E8" i="25"/>
  <c r="M5" i="26"/>
  <c r="C11" i="26"/>
  <c r="AC7" i="16"/>
  <c r="AD7" i="16"/>
  <c r="AE7" i="16"/>
  <c r="AF7" i="16"/>
  <c r="AG7" i="16"/>
  <c r="AH7" i="16"/>
  <c r="AI7" i="16"/>
  <c r="AJ7" i="16"/>
  <c r="AK7" i="16"/>
  <c r="AL7" i="16"/>
  <c r="AM7" i="16"/>
  <c r="AN7" i="16"/>
  <c r="AO7" i="16"/>
  <c r="AP7" i="16"/>
  <c r="AQ7" i="16"/>
  <c r="AR7" i="16"/>
  <c r="AS7" i="16"/>
  <c r="AT7" i="16"/>
  <c r="AU7" i="16"/>
  <c r="AV7" i="16"/>
  <c r="AW7" i="16"/>
  <c r="AX7" i="16"/>
  <c r="AY7" i="16"/>
  <c r="AZ7" i="16"/>
  <c r="BA7" i="16"/>
  <c r="BB7" i="16"/>
  <c r="BC7" i="16"/>
  <c r="BD7" i="16"/>
  <c r="BE7" i="16"/>
  <c r="BF7" i="16"/>
  <c r="BG7" i="16"/>
  <c r="BH7" i="16"/>
  <c r="BI7" i="16"/>
  <c r="BJ7" i="16"/>
  <c r="BK7" i="16"/>
  <c r="BL7" i="16"/>
  <c r="BM7" i="16"/>
  <c r="BN7" i="16"/>
  <c r="BO7" i="16"/>
  <c r="AB7" i="16"/>
  <c r="AU57" i="1"/>
  <c r="AV57" i="1"/>
  <c r="AW57" i="1"/>
  <c r="AX57" i="1"/>
  <c r="AY57" i="1"/>
  <c r="AZ57" i="1"/>
  <c r="BA57" i="1"/>
  <c r="BB57" i="1"/>
  <c r="BC57" i="1"/>
  <c r="BD57" i="1"/>
  <c r="AU58" i="1"/>
  <c r="AV58" i="1"/>
  <c r="AW58" i="1"/>
  <c r="AX58" i="1"/>
  <c r="AY58" i="1"/>
  <c r="AZ58" i="1"/>
  <c r="BA58" i="1"/>
  <c r="BB58" i="1"/>
  <c r="BC58" i="1"/>
  <c r="BD58" i="1"/>
  <c r="BF7" i="1"/>
  <c r="BE7" i="1"/>
  <c r="AA5" i="16"/>
  <c r="AB5" i="16"/>
  <c r="AC5" i="16"/>
  <c r="R11" i="16"/>
  <c r="AR8" i="1"/>
  <c r="D9" i="26"/>
  <c r="D7" i="26"/>
  <c r="BA10" i="26"/>
  <c r="E9" i="26"/>
  <c r="E7" i="26"/>
  <c r="F9" i="26"/>
  <c r="F7" i="26"/>
  <c r="G9" i="26"/>
  <c r="G7" i="26"/>
  <c r="H9" i="26"/>
  <c r="H7" i="26"/>
  <c r="I9" i="26"/>
  <c r="I7" i="26"/>
  <c r="J9" i="26"/>
  <c r="J7" i="26"/>
  <c r="K9" i="26"/>
  <c r="K7" i="26"/>
  <c r="L9" i="26"/>
  <c r="L7" i="26"/>
  <c r="M9" i="26"/>
  <c r="M7" i="26"/>
  <c r="N9" i="26"/>
  <c r="N7" i="26"/>
  <c r="O9" i="26"/>
  <c r="O7" i="26"/>
  <c r="P9" i="26"/>
  <c r="P7" i="26"/>
  <c r="Q9" i="26"/>
  <c r="Q7" i="26"/>
  <c r="R9" i="26"/>
  <c r="R7" i="26"/>
  <c r="S9" i="26"/>
  <c r="S7" i="26"/>
  <c r="T9" i="26"/>
  <c r="T7" i="26"/>
  <c r="U9" i="26"/>
  <c r="U7" i="26"/>
  <c r="V9" i="26"/>
  <c r="V7" i="26"/>
  <c r="W9" i="26"/>
  <c r="W7" i="26"/>
  <c r="X9" i="26"/>
  <c r="X7" i="26"/>
  <c r="Y9" i="26"/>
  <c r="Y7" i="26"/>
  <c r="Z9" i="26"/>
  <c r="Z7" i="26"/>
  <c r="AA9" i="26"/>
  <c r="AA7" i="26"/>
  <c r="AB9" i="26"/>
  <c r="AB7" i="26"/>
  <c r="AC9" i="26"/>
  <c r="AC7" i="26"/>
  <c r="AD9" i="26"/>
  <c r="AD7" i="26"/>
  <c r="AE9" i="26"/>
  <c r="AE7" i="26"/>
  <c r="AF9" i="26"/>
  <c r="AF7" i="26"/>
  <c r="AG9" i="26"/>
  <c r="AG7" i="26"/>
  <c r="AH9" i="26"/>
  <c r="AH7" i="26"/>
  <c r="AI9" i="26"/>
  <c r="AI7" i="26"/>
  <c r="AJ9" i="26"/>
  <c r="AJ7" i="26"/>
  <c r="AK9" i="26"/>
  <c r="AK7" i="26"/>
  <c r="AL9" i="26"/>
  <c r="AL7" i="26"/>
  <c r="AM9" i="26"/>
  <c r="AM7" i="26"/>
  <c r="AN9" i="26"/>
  <c r="AN7" i="26"/>
  <c r="AO9" i="26"/>
  <c r="AO6" i="26"/>
  <c r="AO7" i="26"/>
  <c r="AP9" i="26"/>
  <c r="AP6" i="26"/>
  <c r="AP7" i="26"/>
  <c r="BA4" i="26"/>
  <c r="BB10" i="26"/>
  <c r="BC10" i="26"/>
  <c r="BD10" i="26"/>
  <c r="BE10" i="26"/>
  <c r="BF10" i="26"/>
  <c r="BG10" i="26"/>
  <c r="BH10" i="26"/>
  <c r="BI10" i="26"/>
  <c r="BJ10" i="26"/>
  <c r="BK10" i="26"/>
  <c r="BL10" i="26"/>
  <c r="BM10" i="26"/>
  <c r="BN10" i="26"/>
  <c r="BO10" i="26"/>
  <c r="BP10" i="26"/>
  <c r="BQ10" i="26"/>
  <c r="D58" i="26"/>
  <c r="E58" i="26"/>
  <c r="F58" i="26"/>
  <c r="G58" i="26"/>
  <c r="H58" i="26"/>
  <c r="I58" i="26"/>
  <c r="J58" i="26"/>
  <c r="K58" i="26"/>
  <c r="L58" i="26"/>
  <c r="M58" i="26"/>
  <c r="N58" i="26"/>
  <c r="O58" i="26"/>
  <c r="P58" i="26"/>
  <c r="Q58" i="26"/>
  <c r="R58" i="26"/>
  <c r="S58" i="26"/>
  <c r="T58" i="26"/>
  <c r="U58" i="26"/>
  <c r="V58" i="26"/>
  <c r="W58" i="26"/>
  <c r="X58" i="26"/>
  <c r="Y58" i="26"/>
  <c r="Z58" i="26"/>
  <c r="AA58" i="26"/>
  <c r="AB58" i="26"/>
  <c r="AC58" i="26"/>
  <c r="AD58" i="26"/>
  <c r="AE58" i="26"/>
  <c r="AF58" i="26"/>
  <c r="AG58" i="26"/>
  <c r="AH58" i="26"/>
  <c r="AI58" i="26"/>
  <c r="AJ58" i="26"/>
  <c r="AK58" i="26"/>
  <c r="AL58" i="26"/>
  <c r="AM58" i="26"/>
  <c r="AN58" i="26"/>
  <c r="AO58" i="26"/>
  <c r="AP58" i="26"/>
  <c r="D59" i="26"/>
  <c r="E59" i="26"/>
  <c r="F59" i="26"/>
  <c r="G59" i="26"/>
  <c r="H59" i="26"/>
  <c r="I59" i="26"/>
  <c r="J59" i="26"/>
  <c r="K59" i="26"/>
  <c r="L59" i="26"/>
  <c r="M59" i="26"/>
  <c r="N59" i="26"/>
  <c r="O59" i="26"/>
  <c r="P59" i="26"/>
  <c r="Q59" i="26"/>
  <c r="R59" i="26"/>
  <c r="S59" i="26"/>
  <c r="T59" i="26"/>
  <c r="U59" i="26"/>
  <c r="V59" i="26"/>
  <c r="W59" i="26"/>
  <c r="X59" i="26"/>
  <c r="Y59" i="26"/>
  <c r="Z59" i="26"/>
  <c r="AA59" i="26"/>
  <c r="AB59" i="26"/>
  <c r="AC59" i="26"/>
  <c r="AD59" i="26"/>
  <c r="AE59" i="26"/>
  <c r="AF59" i="26"/>
  <c r="AG59" i="26"/>
  <c r="AH59" i="26"/>
  <c r="AI59" i="26"/>
  <c r="AJ59" i="26"/>
  <c r="AK59" i="26"/>
  <c r="AL59" i="26"/>
  <c r="AM59" i="26"/>
  <c r="AN59" i="26"/>
  <c r="AO59" i="26"/>
  <c r="AP59" i="26"/>
  <c r="C60" i="26"/>
  <c r="D60" i="26"/>
  <c r="E60" i="26"/>
  <c r="F60" i="26"/>
  <c r="G60" i="26"/>
  <c r="H60" i="26"/>
  <c r="I60" i="26"/>
  <c r="J60" i="26"/>
  <c r="K60" i="26"/>
  <c r="L60" i="26"/>
  <c r="M60" i="26"/>
  <c r="N60" i="26"/>
  <c r="O60" i="26"/>
  <c r="P60" i="26"/>
  <c r="Q60" i="26"/>
  <c r="R60" i="26"/>
  <c r="S60" i="26"/>
  <c r="T60" i="26"/>
  <c r="U60" i="26"/>
  <c r="V60" i="26"/>
  <c r="W60" i="26"/>
  <c r="X60" i="26"/>
  <c r="Y60" i="26"/>
  <c r="Z60" i="26"/>
  <c r="AA60" i="26"/>
  <c r="AB60" i="26"/>
  <c r="AC60" i="26"/>
  <c r="AD60" i="26"/>
  <c r="AE60" i="26"/>
  <c r="AF60" i="26"/>
  <c r="AG60" i="26"/>
  <c r="AH60" i="26"/>
  <c r="AI60" i="26"/>
  <c r="AJ60" i="26"/>
  <c r="AK60" i="26"/>
  <c r="AL60" i="26"/>
  <c r="AM60" i="26"/>
  <c r="AN60" i="26"/>
  <c r="AO60" i="26"/>
  <c r="AP60" i="26"/>
  <c r="BQ60" i="26"/>
  <c r="BP60" i="26"/>
  <c r="BO60" i="26"/>
  <c r="BN60" i="26"/>
  <c r="BM60" i="26"/>
  <c r="BL60" i="26"/>
  <c r="BK60" i="26"/>
  <c r="BJ60" i="26"/>
  <c r="BI60" i="26"/>
  <c r="BH60" i="26"/>
  <c r="BG60" i="26"/>
  <c r="BF60" i="26"/>
  <c r="BE60" i="26"/>
  <c r="BD60" i="26"/>
  <c r="BC60" i="26"/>
  <c r="BB60" i="26"/>
  <c r="C58" i="26"/>
  <c r="BA60" i="26"/>
  <c r="BQ59" i="26"/>
  <c r="BP59" i="26"/>
  <c r="BO59" i="26"/>
  <c r="BN59" i="26"/>
  <c r="BM59" i="26"/>
  <c r="BL59" i="26"/>
  <c r="BK59" i="26"/>
  <c r="BJ59" i="26"/>
  <c r="BI59" i="26"/>
  <c r="BH59" i="26"/>
  <c r="BG59" i="26"/>
  <c r="BF59" i="26"/>
  <c r="BE59" i="26"/>
  <c r="BD59" i="26"/>
  <c r="BC59" i="26"/>
  <c r="BB59" i="26"/>
  <c r="C59" i="26"/>
  <c r="BA59" i="26"/>
  <c r="CD10" i="26"/>
  <c r="CD56" i="26"/>
  <c r="CO7" i="26"/>
  <c r="CB10" i="26"/>
  <c r="CB56" i="26"/>
  <c r="CN7" i="26"/>
  <c r="CA10" i="26"/>
  <c r="CA56" i="26"/>
  <c r="BZ10" i="26"/>
  <c r="BZ56" i="26"/>
  <c r="CL7" i="26"/>
  <c r="BY10" i="26"/>
  <c r="BY56" i="26"/>
  <c r="CK7" i="26"/>
  <c r="BX10" i="26"/>
  <c r="BX56" i="26"/>
  <c r="CJ7" i="26"/>
  <c r="BW10" i="26"/>
  <c r="BW56" i="26"/>
  <c r="CI7" i="26"/>
  <c r="BV10" i="26"/>
  <c r="BV56" i="26"/>
  <c r="CH7" i="26"/>
  <c r="BU10" i="26"/>
  <c r="BU56" i="26"/>
  <c r="CG7" i="26"/>
  <c r="BT10" i="26"/>
  <c r="BT56" i="26"/>
  <c r="CF7" i="26"/>
  <c r="BS10" i="26"/>
  <c r="BS56" i="26"/>
  <c r="BQ56" i="26"/>
  <c r="BP56" i="26"/>
  <c r="BO56" i="26"/>
  <c r="BN56" i="26"/>
  <c r="BM56" i="26"/>
  <c r="BL56" i="26"/>
  <c r="BK56" i="26"/>
  <c r="BJ56" i="26"/>
  <c r="BI56" i="26"/>
  <c r="BH56" i="26"/>
  <c r="BG56" i="26"/>
  <c r="BF56" i="26"/>
  <c r="BE56" i="26"/>
  <c r="BD56" i="26"/>
  <c r="BC56" i="26"/>
  <c r="BB56" i="26"/>
  <c r="BA56" i="26"/>
  <c r="BQ9" i="26"/>
  <c r="AY56" i="26"/>
  <c r="BP9" i="26"/>
  <c r="AX56" i="26"/>
  <c r="BO9" i="26"/>
  <c r="AW56" i="26"/>
  <c r="BN9" i="26"/>
  <c r="AV56" i="26"/>
  <c r="BM9" i="26"/>
  <c r="AU56" i="26"/>
  <c r="AS56" i="26"/>
  <c r="CD55" i="26"/>
  <c r="CB55" i="26"/>
  <c r="CA55" i="26"/>
  <c r="BZ55" i="26"/>
  <c r="BY55" i="26"/>
  <c r="BX55" i="26"/>
  <c r="BW55" i="26"/>
  <c r="BV55" i="26"/>
  <c r="BU55" i="26"/>
  <c r="BT55" i="26"/>
  <c r="BS55" i="26"/>
  <c r="BQ55" i="26"/>
  <c r="BP55" i="26"/>
  <c r="BO55" i="26"/>
  <c r="BN55" i="26"/>
  <c r="BM55" i="26"/>
  <c r="BL55" i="26"/>
  <c r="BK55" i="26"/>
  <c r="BJ55" i="26"/>
  <c r="BI55" i="26"/>
  <c r="BH55" i="26"/>
  <c r="BG55" i="26"/>
  <c r="BF55" i="26"/>
  <c r="BE55" i="26"/>
  <c r="BD55" i="26"/>
  <c r="BC55" i="26"/>
  <c r="BB55" i="26"/>
  <c r="BA55" i="26"/>
  <c r="AY55" i="26"/>
  <c r="AX55" i="26"/>
  <c r="AW55" i="26"/>
  <c r="AV55" i="26"/>
  <c r="AU55" i="26"/>
  <c r="AS55" i="26"/>
  <c r="CD54" i="26"/>
  <c r="CB54" i="26"/>
  <c r="CA54" i="26"/>
  <c r="BZ54" i="26"/>
  <c r="BY54" i="26"/>
  <c r="BX54" i="26"/>
  <c r="BW54" i="26"/>
  <c r="BV54" i="26"/>
  <c r="BU54" i="26"/>
  <c r="BT54" i="26"/>
  <c r="BS54" i="26"/>
  <c r="BQ54" i="26"/>
  <c r="BP54" i="26"/>
  <c r="BO54" i="26"/>
  <c r="BN54" i="26"/>
  <c r="BM54" i="26"/>
  <c r="BL54" i="26"/>
  <c r="BK54" i="26"/>
  <c r="BJ54" i="26"/>
  <c r="BI54" i="26"/>
  <c r="BH54" i="26"/>
  <c r="BG54" i="26"/>
  <c r="BF54" i="26"/>
  <c r="BE54" i="26"/>
  <c r="BD54" i="26"/>
  <c r="BC54" i="26"/>
  <c r="BB54" i="26"/>
  <c r="BA54" i="26"/>
  <c r="AY54" i="26"/>
  <c r="AX54" i="26"/>
  <c r="AW54" i="26"/>
  <c r="AV54" i="26"/>
  <c r="AU54" i="26"/>
  <c r="AS54" i="26"/>
  <c r="CD53" i="26"/>
  <c r="CB53" i="26"/>
  <c r="CA53" i="26"/>
  <c r="BZ53" i="26"/>
  <c r="BY53" i="26"/>
  <c r="BX53" i="26"/>
  <c r="BW53" i="26"/>
  <c r="BV53" i="26"/>
  <c r="BU53" i="26"/>
  <c r="BT53" i="26"/>
  <c r="BS53" i="26"/>
  <c r="BQ53" i="26"/>
  <c r="BP53" i="26"/>
  <c r="BO53" i="26"/>
  <c r="BN53" i="26"/>
  <c r="BM53" i="26"/>
  <c r="BL53" i="26"/>
  <c r="BK53" i="26"/>
  <c r="BJ53" i="26"/>
  <c r="BI53" i="26"/>
  <c r="BH53" i="26"/>
  <c r="BG53" i="26"/>
  <c r="BF53" i="26"/>
  <c r="BE53" i="26"/>
  <c r="BD53" i="26"/>
  <c r="BC53" i="26"/>
  <c r="BB53" i="26"/>
  <c r="BA53" i="26"/>
  <c r="AY53" i="26"/>
  <c r="AX53" i="26"/>
  <c r="AW53" i="26"/>
  <c r="AV53" i="26"/>
  <c r="AU53" i="26"/>
  <c r="AS53" i="26"/>
  <c r="CD52" i="26"/>
  <c r="CB52" i="26"/>
  <c r="CA52" i="26"/>
  <c r="BZ52" i="26"/>
  <c r="BY52" i="26"/>
  <c r="BX52" i="26"/>
  <c r="BW52" i="26"/>
  <c r="BV52" i="26"/>
  <c r="BU52" i="26"/>
  <c r="BT52" i="26"/>
  <c r="BS52" i="26"/>
  <c r="BQ52" i="26"/>
  <c r="BP52" i="26"/>
  <c r="BO52" i="26"/>
  <c r="BN52" i="26"/>
  <c r="BM52" i="26"/>
  <c r="BL52" i="26"/>
  <c r="BK52" i="26"/>
  <c r="BJ52" i="26"/>
  <c r="BI52" i="26"/>
  <c r="BH52" i="26"/>
  <c r="BG52" i="26"/>
  <c r="BF52" i="26"/>
  <c r="BE52" i="26"/>
  <c r="BD52" i="26"/>
  <c r="BC52" i="26"/>
  <c r="BB52" i="26"/>
  <c r="BA52" i="26"/>
  <c r="AY52" i="26"/>
  <c r="AX52" i="26"/>
  <c r="AW52" i="26"/>
  <c r="AV52" i="26"/>
  <c r="AU52" i="26"/>
  <c r="AS52" i="26"/>
  <c r="CD51" i="26"/>
  <c r="CB51" i="26"/>
  <c r="CA51" i="26"/>
  <c r="BZ51" i="26"/>
  <c r="BY51" i="26"/>
  <c r="BX51" i="26"/>
  <c r="BW51" i="26"/>
  <c r="BV51" i="26"/>
  <c r="BU51" i="26"/>
  <c r="BT51" i="26"/>
  <c r="BS51" i="26"/>
  <c r="BQ51" i="26"/>
  <c r="BP51" i="26"/>
  <c r="BO51" i="26"/>
  <c r="BN51" i="26"/>
  <c r="BM51" i="26"/>
  <c r="BL51" i="26"/>
  <c r="BK51" i="26"/>
  <c r="BJ51" i="26"/>
  <c r="BI51" i="26"/>
  <c r="BH51" i="26"/>
  <c r="BG51" i="26"/>
  <c r="BF51" i="26"/>
  <c r="BE51" i="26"/>
  <c r="BD51" i="26"/>
  <c r="BC51" i="26"/>
  <c r="BB51" i="26"/>
  <c r="BA51" i="26"/>
  <c r="AY51" i="26"/>
  <c r="AX51" i="26"/>
  <c r="AW51" i="26"/>
  <c r="AV51" i="26"/>
  <c r="AU51" i="26"/>
  <c r="AS51" i="26"/>
  <c r="CD50" i="26"/>
  <c r="CB50" i="26"/>
  <c r="CA50" i="26"/>
  <c r="BZ50" i="26"/>
  <c r="BY50" i="26"/>
  <c r="BX50" i="26"/>
  <c r="BW50" i="26"/>
  <c r="BV50" i="26"/>
  <c r="BU50" i="26"/>
  <c r="BT50" i="26"/>
  <c r="BS50" i="26"/>
  <c r="BQ50" i="26"/>
  <c r="BP50" i="26"/>
  <c r="BO50" i="26"/>
  <c r="BN50" i="26"/>
  <c r="BM50" i="26"/>
  <c r="BL50" i="26"/>
  <c r="BK50" i="26"/>
  <c r="BJ50" i="26"/>
  <c r="BI50" i="26"/>
  <c r="BH50" i="26"/>
  <c r="BG50" i="26"/>
  <c r="BF50" i="26"/>
  <c r="BE50" i="26"/>
  <c r="BD50" i="26"/>
  <c r="BC50" i="26"/>
  <c r="BB50" i="26"/>
  <c r="BA50" i="26"/>
  <c r="AY50" i="26"/>
  <c r="AX50" i="26"/>
  <c r="AW50" i="26"/>
  <c r="AV50" i="26"/>
  <c r="AU50" i="26"/>
  <c r="AS50" i="26"/>
  <c r="CD49" i="26"/>
  <c r="CB49" i="26"/>
  <c r="CA49" i="26"/>
  <c r="BZ49" i="26"/>
  <c r="BY49" i="26"/>
  <c r="BX49" i="26"/>
  <c r="BW49" i="26"/>
  <c r="BV49" i="26"/>
  <c r="BU49" i="26"/>
  <c r="BT49" i="26"/>
  <c r="BS49" i="26"/>
  <c r="BQ49" i="26"/>
  <c r="BP49" i="26"/>
  <c r="BO49" i="26"/>
  <c r="BN49" i="26"/>
  <c r="BM49" i="26"/>
  <c r="BL49" i="26"/>
  <c r="BK49" i="26"/>
  <c r="BJ49" i="26"/>
  <c r="BI49" i="26"/>
  <c r="BH49" i="26"/>
  <c r="BG49" i="26"/>
  <c r="BF49" i="26"/>
  <c r="BE49" i="26"/>
  <c r="BD49" i="26"/>
  <c r="BC49" i="26"/>
  <c r="BB49" i="26"/>
  <c r="BA49" i="26"/>
  <c r="AY49" i="26"/>
  <c r="AX49" i="26"/>
  <c r="AW49" i="26"/>
  <c r="AV49" i="26"/>
  <c r="AU49" i="26"/>
  <c r="AS49" i="26"/>
  <c r="CD48" i="26"/>
  <c r="CB48" i="26"/>
  <c r="CA48" i="26"/>
  <c r="BZ48" i="26"/>
  <c r="BY48" i="26"/>
  <c r="BX48" i="26"/>
  <c r="BW48" i="26"/>
  <c r="BV48" i="26"/>
  <c r="BU48" i="26"/>
  <c r="BT48" i="26"/>
  <c r="BS48" i="26"/>
  <c r="BQ48" i="26"/>
  <c r="BP48" i="26"/>
  <c r="BO48" i="26"/>
  <c r="BN48" i="26"/>
  <c r="BM48" i="26"/>
  <c r="BL48" i="26"/>
  <c r="BK48" i="26"/>
  <c r="BJ48" i="26"/>
  <c r="BI48" i="26"/>
  <c r="BH48" i="26"/>
  <c r="BG48" i="26"/>
  <c r="BF48" i="26"/>
  <c r="BE48" i="26"/>
  <c r="BD48" i="26"/>
  <c r="BC48" i="26"/>
  <c r="BB48" i="26"/>
  <c r="BA48" i="26"/>
  <c r="AY48" i="26"/>
  <c r="AX48" i="26"/>
  <c r="AW48" i="26"/>
  <c r="AV48" i="26"/>
  <c r="AU48" i="26"/>
  <c r="AS48" i="26"/>
  <c r="CD47" i="26"/>
  <c r="CB47" i="26"/>
  <c r="CA47" i="26"/>
  <c r="BZ47" i="26"/>
  <c r="BY47" i="26"/>
  <c r="BX47" i="26"/>
  <c r="BW47" i="26"/>
  <c r="BV47" i="26"/>
  <c r="BU47" i="26"/>
  <c r="BT47" i="26"/>
  <c r="BS47" i="26"/>
  <c r="BQ47" i="26"/>
  <c r="BP47" i="26"/>
  <c r="BO47" i="26"/>
  <c r="BN47" i="26"/>
  <c r="BM47" i="26"/>
  <c r="BL47" i="26"/>
  <c r="BK47" i="26"/>
  <c r="BJ47" i="26"/>
  <c r="BI47" i="26"/>
  <c r="BH47" i="26"/>
  <c r="BG47" i="26"/>
  <c r="BF47" i="26"/>
  <c r="BE47" i="26"/>
  <c r="BD47" i="26"/>
  <c r="BC47" i="26"/>
  <c r="BB47" i="26"/>
  <c r="BA47" i="26"/>
  <c r="AY47" i="26"/>
  <c r="AX47" i="26"/>
  <c r="AW47" i="26"/>
  <c r="AV47" i="26"/>
  <c r="AU47" i="26"/>
  <c r="AS47" i="26"/>
  <c r="CD46" i="26"/>
  <c r="CB46" i="26"/>
  <c r="CA46" i="26"/>
  <c r="BZ46" i="26"/>
  <c r="BY46" i="26"/>
  <c r="BX46" i="26"/>
  <c r="BW46" i="26"/>
  <c r="BV46" i="26"/>
  <c r="BU46" i="26"/>
  <c r="BT46" i="26"/>
  <c r="BS46" i="26"/>
  <c r="BQ46" i="26"/>
  <c r="BP46" i="26"/>
  <c r="BO46" i="26"/>
  <c r="BN46" i="26"/>
  <c r="BM46" i="26"/>
  <c r="BL46" i="26"/>
  <c r="BK46" i="26"/>
  <c r="BJ46" i="26"/>
  <c r="BI46" i="26"/>
  <c r="BH46" i="26"/>
  <c r="BG46" i="26"/>
  <c r="BF46" i="26"/>
  <c r="BE46" i="26"/>
  <c r="BD46" i="26"/>
  <c r="BC46" i="26"/>
  <c r="BB46" i="26"/>
  <c r="BA46" i="26"/>
  <c r="AY46" i="26"/>
  <c r="AX46" i="26"/>
  <c r="AW46" i="26"/>
  <c r="AV46" i="26"/>
  <c r="AU46" i="26"/>
  <c r="AS46" i="26"/>
  <c r="CD45" i="26"/>
  <c r="CB45" i="26"/>
  <c r="CA45" i="26"/>
  <c r="BZ45" i="26"/>
  <c r="BY45" i="26"/>
  <c r="BX45" i="26"/>
  <c r="BW45" i="26"/>
  <c r="BV45" i="26"/>
  <c r="BU45" i="26"/>
  <c r="BT45" i="26"/>
  <c r="BS45" i="26"/>
  <c r="BQ45" i="26"/>
  <c r="BP45" i="26"/>
  <c r="BO45" i="26"/>
  <c r="BN45" i="26"/>
  <c r="BM45" i="26"/>
  <c r="BL45" i="26"/>
  <c r="BK45" i="26"/>
  <c r="BJ45" i="26"/>
  <c r="BI45" i="26"/>
  <c r="BH45" i="26"/>
  <c r="BG45" i="26"/>
  <c r="BF45" i="26"/>
  <c r="BE45" i="26"/>
  <c r="BD45" i="26"/>
  <c r="BC45" i="26"/>
  <c r="BB45" i="26"/>
  <c r="BA45" i="26"/>
  <c r="AY45" i="26"/>
  <c r="AX45" i="26"/>
  <c r="AW45" i="26"/>
  <c r="AV45" i="26"/>
  <c r="AU45" i="26"/>
  <c r="AS45" i="26"/>
  <c r="CD44" i="26"/>
  <c r="CB44" i="26"/>
  <c r="CA44" i="26"/>
  <c r="BZ44" i="26"/>
  <c r="BY44" i="26"/>
  <c r="BX44" i="26"/>
  <c r="BW44" i="26"/>
  <c r="BV44" i="26"/>
  <c r="BU44" i="26"/>
  <c r="BT44" i="26"/>
  <c r="BS44" i="26"/>
  <c r="BQ44" i="26"/>
  <c r="BP44" i="26"/>
  <c r="BO44" i="26"/>
  <c r="BN44" i="26"/>
  <c r="BM44" i="26"/>
  <c r="BL44" i="26"/>
  <c r="BK44" i="26"/>
  <c r="BJ44" i="26"/>
  <c r="BI44" i="26"/>
  <c r="BH44" i="26"/>
  <c r="BG44" i="26"/>
  <c r="BF44" i="26"/>
  <c r="BE44" i="26"/>
  <c r="BD44" i="26"/>
  <c r="BC44" i="26"/>
  <c r="BB44" i="26"/>
  <c r="BA44" i="26"/>
  <c r="AY44" i="26"/>
  <c r="AX44" i="26"/>
  <c r="AW44" i="26"/>
  <c r="AV44" i="26"/>
  <c r="AU44" i="26"/>
  <c r="AS44" i="26"/>
  <c r="CD43" i="26"/>
  <c r="CB43" i="26"/>
  <c r="CA43" i="26"/>
  <c r="BZ43" i="26"/>
  <c r="BY43" i="26"/>
  <c r="BX43" i="26"/>
  <c r="BW43" i="26"/>
  <c r="BV43" i="26"/>
  <c r="BU43" i="26"/>
  <c r="BT43" i="26"/>
  <c r="BS43" i="26"/>
  <c r="BQ43" i="26"/>
  <c r="BP43" i="26"/>
  <c r="BO43" i="26"/>
  <c r="BN43" i="26"/>
  <c r="BM43" i="26"/>
  <c r="BL43" i="26"/>
  <c r="BK43" i="26"/>
  <c r="BJ43" i="26"/>
  <c r="BI43" i="26"/>
  <c r="BH43" i="26"/>
  <c r="BG43" i="26"/>
  <c r="BF43" i="26"/>
  <c r="BE43" i="26"/>
  <c r="BD43" i="26"/>
  <c r="BC43" i="26"/>
  <c r="BB43" i="26"/>
  <c r="BA43" i="26"/>
  <c r="AY43" i="26"/>
  <c r="AX43" i="26"/>
  <c r="AW43" i="26"/>
  <c r="AV43" i="26"/>
  <c r="AU43" i="26"/>
  <c r="AS43" i="26"/>
  <c r="CD42" i="26"/>
  <c r="CB42" i="26"/>
  <c r="CA42" i="26"/>
  <c r="BZ42" i="26"/>
  <c r="BY42" i="26"/>
  <c r="BX42" i="26"/>
  <c r="BW42" i="26"/>
  <c r="BV42" i="26"/>
  <c r="BU42" i="26"/>
  <c r="BT42" i="26"/>
  <c r="BS42" i="26"/>
  <c r="BQ42" i="26"/>
  <c r="BP42" i="26"/>
  <c r="BO42" i="26"/>
  <c r="BN42" i="26"/>
  <c r="BM42" i="26"/>
  <c r="BL42" i="26"/>
  <c r="BK42" i="26"/>
  <c r="BJ42" i="26"/>
  <c r="BI42" i="26"/>
  <c r="BH42" i="26"/>
  <c r="BG42" i="26"/>
  <c r="BF42" i="26"/>
  <c r="BE42" i="26"/>
  <c r="BD42" i="26"/>
  <c r="BC42" i="26"/>
  <c r="BB42" i="26"/>
  <c r="BA42" i="26"/>
  <c r="AY42" i="26"/>
  <c r="AX42" i="26"/>
  <c r="AW42" i="26"/>
  <c r="AV42" i="26"/>
  <c r="AU42" i="26"/>
  <c r="AS42" i="26"/>
  <c r="CD41" i="26"/>
  <c r="CB41" i="26"/>
  <c r="CA41" i="26"/>
  <c r="BZ41" i="26"/>
  <c r="BY41" i="26"/>
  <c r="BX41" i="26"/>
  <c r="BW41" i="26"/>
  <c r="BV41" i="26"/>
  <c r="BU41" i="26"/>
  <c r="BT41" i="26"/>
  <c r="BS41" i="26"/>
  <c r="BQ41" i="26"/>
  <c r="BP41" i="26"/>
  <c r="BO41" i="26"/>
  <c r="BN41" i="26"/>
  <c r="BM41" i="26"/>
  <c r="BL41" i="26"/>
  <c r="BK41" i="26"/>
  <c r="BJ41" i="26"/>
  <c r="BI41" i="26"/>
  <c r="BH41" i="26"/>
  <c r="BG41" i="26"/>
  <c r="BF41" i="26"/>
  <c r="BE41" i="26"/>
  <c r="BD41" i="26"/>
  <c r="BC41" i="26"/>
  <c r="BB41" i="26"/>
  <c r="BA41" i="26"/>
  <c r="AY41" i="26"/>
  <c r="AX41" i="26"/>
  <c r="AW41" i="26"/>
  <c r="AV41" i="26"/>
  <c r="AU41" i="26"/>
  <c r="AS41" i="26"/>
  <c r="CD40" i="26"/>
  <c r="CB40" i="26"/>
  <c r="CA40" i="26"/>
  <c r="BZ40" i="26"/>
  <c r="BY40" i="26"/>
  <c r="BX40" i="26"/>
  <c r="BW40" i="26"/>
  <c r="BV40" i="26"/>
  <c r="BU40" i="26"/>
  <c r="BT40" i="26"/>
  <c r="BS40" i="26"/>
  <c r="BQ40" i="26"/>
  <c r="BP40" i="26"/>
  <c r="BO40" i="26"/>
  <c r="BN40" i="26"/>
  <c r="BM40" i="26"/>
  <c r="BL40" i="26"/>
  <c r="BK40" i="26"/>
  <c r="BJ40" i="26"/>
  <c r="BI40" i="26"/>
  <c r="BH40" i="26"/>
  <c r="BG40" i="26"/>
  <c r="BF40" i="26"/>
  <c r="BE40" i="26"/>
  <c r="BD40" i="26"/>
  <c r="BC40" i="26"/>
  <c r="BB40" i="26"/>
  <c r="BA40" i="26"/>
  <c r="AY40" i="26"/>
  <c r="AX40" i="26"/>
  <c r="AW40" i="26"/>
  <c r="AV40" i="26"/>
  <c r="AU40" i="26"/>
  <c r="AS40" i="26"/>
  <c r="CD39" i="26"/>
  <c r="CB39" i="26"/>
  <c r="CA39" i="26"/>
  <c r="BZ39" i="26"/>
  <c r="BY39" i="26"/>
  <c r="BX39" i="26"/>
  <c r="BW39" i="26"/>
  <c r="BV39" i="26"/>
  <c r="BU39" i="26"/>
  <c r="BT39" i="26"/>
  <c r="BS39" i="26"/>
  <c r="BQ39" i="26"/>
  <c r="BP39" i="26"/>
  <c r="BO39" i="26"/>
  <c r="BN39" i="26"/>
  <c r="BM39" i="26"/>
  <c r="BL39" i="26"/>
  <c r="BK39" i="26"/>
  <c r="BJ39" i="26"/>
  <c r="BI39" i="26"/>
  <c r="BH39" i="26"/>
  <c r="BG39" i="26"/>
  <c r="BF39" i="26"/>
  <c r="BE39" i="26"/>
  <c r="BD39" i="26"/>
  <c r="BC39" i="26"/>
  <c r="BB39" i="26"/>
  <c r="BA39" i="26"/>
  <c r="AY39" i="26"/>
  <c r="AX39" i="26"/>
  <c r="AW39" i="26"/>
  <c r="AV39" i="26"/>
  <c r="AU39" i="26"/>
  <c r="AS39" i="26"/>
  <c r="CD38" i="26"/>
  <c r="CB38" i="26"/>
  <c r="CA38" i="26"/>
  <c r="BZ38" i="26"/>
  <c r="BY38" i="26"/>
  <c r="BX38" i="26"/>
  <c r="BW38" i="26"/>
  <c r="BV38" i="26"/>
  <c r="BU38" i="26"/>
  <c r="BT38" i="26"/>
  <c r="BS38" i="26"/>
  <c r="BQ38" i="26"/>
  <c r="BP38" i="26"/>
  <c r="BO38" i="26"/>
  <c r="BN38" i="26"/>
  <c r="BM38" i="26"/>
  <c r="BL38" i="26"/>
  <c r="BK38" i="26"/>
  <c r="BJ38" i="26"/>
  <c r="BI38" i="26"/>
  <c r="BH38" i="26"/>
  <c r="BG38" i="26"/>
  <c r="BF38" i="26"/>
  <c r="BE38" i="26"/>
  <c r="BD38" i="26"/>
  <c r="BC38" i="26"/>
  <c r="BB38" i="26"/>
  <c r="BA38" i="26"/>
  <c r="AY38" i="26"/>
  <c r="AX38" i="26"/>
  <c r="AW38" i="26"/>
  <c r="AV38" i="26"/>
  <c r="AU38" i="26"/>
  <c r="AS38" i="26"/>
  <c r="CD37" i="26"/>
  <c r="CB37" i="26"/>
  <c r="CA37" i="26"/>
  <c r="BZ37" i="26"/>
  <c r="BY37" i="26"/>
  <c r="BX37" i="26"/>
  <c r="BW37" i="26"/>
  <c r="BV37" i="26"/>
  <c r="BU37" i="26"/>
  <c r="BT37" i="26"/>
  <c r="BS37" i="26"/>
  <c r="BQ37" i="26"/>
  <c r="BP37" i="26"/>
  <c r="BO37" i="26"/>
  <c r="BN37" i="26"/>
  <c r="BM37" i="26"/>
  <c r="BL37" i="26"/>
  <c r="BK37" i="26"/>
  <c r="BJ37" i="26"/>
  <c r="BI37" i="26"/>
  <c r="BH37" i="26"/>
  <c r="BG37" i="26"/>
  <c r="BF37" i="26"/>
  <c r="BE37" i="26"/>
  <c r="BD37" i="26"/>
  <c r="BC37" i="26"/>
  <c r="BB37" i="26"/>
  <c r="BA37" i="26"/>
  <c r="AY37" i="26"/>
  <c r="AX37" i="26"/>
  <c r="AW37" i="26"/>
  <c r="AV37" i="26"/>
  <c r="AU37" i="26"/>
  <c r="AS37" i="26"/>
  <c r="CD36" i="26"/>
  <c r="CB36" i="26"/>
  <c r="CA36" i="26"/>
  <c r="BZ36" i="26"/>
  <c r="BY36" i="26"/>
  <c r="BX36" i="26"/>
  <c r="BW36" i="26"/>
  <c r="BV36" i="26"/>
  <c r="BU36" i="26"/>
  <c r="BT36" i="26"/>
  <c r="BS36" i="26"/>
  <c r="BQ36" i="26"/>
  <c r="BP36" i="26"/>
  <c r="BO36" i="26"/>
  <c r="BN36" i="26"/>
  <c r="BM36" i="26"/>
  <c r="BL36" i="26"/>
  <c r="BK36" i="26"/>
  <c r="BJ36" i="26"/>
  <c r="BI36" i="26"/>
  <c r="BH36" i="26"/>
  <c r="BG36" i="26"/>
  <c r="BF36" i="26"/>
  <c r="BE36" i="26"/>
  <c r="BD36" i="26"/>
  <c r="BC36" i="26"/>
  <c r="BB36" i="26"/>
  <c r="BA36" i="26"/>
  <c r="AY36" i="26"/>
  <c r="AX36" i="26"/>
  <c r="AW36" i="26"/>
  <c r="AV36" i="26"/>
  <c r="AU36" i="26"/>
  <c r="AS36" i="26"/>
  <c r="CD35" i="26"/>
  <c r="CB35" i="26"/>
  <c r="CA35" i="26"/>
  <c r="BZ35" i="26"/>
  <c r="BY35" i="26"/>
  <c r="BX35" i="26"/>
  <c r="BW35" i="26"/>
  <c r="BV35" i="26"/>
  <c r="BU35" i="26"/>
  <c r="BT35" i="26"/>
  <c r="BS35" i="26"/>
  <c r="BQ35" i="26"/>
  <c r="BP35" i="26"/>
  <c r="BO35" i="26"/>
  <c r="BN35" i="26"/>
  <c r="BM35" i="26"/>
  <c r="BL35" i="26"/>
  <c r="BK35" i="26"/>
  <c r="BJ35" i="26"/>
  <c r="BI35" i="26"/>
  <c r="BH35" i="26"/>
  <c r="BG35" i="26"/>
  <c r="BF35" i="26"/>
  <c r="BE35" i="26"/>
  <c r="BD35" i="26"/>
  <c r="BC35" i="26"/>
  <c r="BB35" i="26"/>
  <c r="BA35" i="26"/>
  <c r="AY35" i="26"/>
  <c r="AX35" i="26"/>
  <c r="AW35" i="26"/>
  <c r="AV35" i="26"/>
  <c r="AU35" i="26"/>
  <c r="AS35" i="26"/>
  <c r="CD34" i="26"/>
  <c r="CB34" i="26"/>
  <c r="CA34" i="26"/>
  <c r="BZ34" i="26"/>
  <c r="BY34" i="26"/>
  <c r="BX34" i="26"/>
  <c r="BW34" i="26"/>
  <c r="BV34" i="26"/>
  <c r="BU34" i="26"/>
  <c r="BT34" i="26"/>
  <c r="BS34" i="26"/>
  <c r="BQ34" i="26"/>
  <c r="BP34" i="26"/>
  <c r="BO34" i="26"/>
  <c r="BN34" i="26"/>
  <c r="BM34" i="26"/>
  <c r="BL34" i="26"/>
  <c r="BK34" i="26"/>
  <c r="BJ34" i="26"/>
  <c r="BI34" i="26"/>
  <c r="BH34" i="26"/>
  <c r="BG34" i="26"/>
  <c r="BF34" i="26"/>
  <c r="BE34" i="26"/>
  <c r="BD34" i="26"/>
  <c r="BC34" i="26"/>
  <c r="BB34" i="26"/>
  <c r="BA34" i="26"/>
  <c r="AY34" i="26"/>
  <c r="AX34" i="26"/>
  <c r="AW34" i="26"/>
  <c r="AV34" i="26"/>
  <c r="AU34" i="26"/>
  <c r="AS34" i="26"/>
  <c r="CD33" i="26"/>
  <c r="CB33" i="26"/>
  <c r="CA33" i="26"/>
  <c r="BZ33" i="26"/>
  <c r="BY33" i="26"/>
  <c r="BX33" i="26"/>
  <c r="BW33" i="26"/>
  <c r="BV33" i="26"/>
  <c r="BU33" i="26"/>
  <c r="BT33" i="26"/>
  <c r="BS33" i="26"/>
  <c r="BQ33" i="26"/>
  <c r="BP33" i="26"/>
  <c r="BO33" i="26"/>
  <c r="BN33" i="26"/>
  <c r="BM33" i="26"/>
  <c r="BL33" i="26"/>
  <c r="BK33" i="26"/>
  <c r="BJ33" i="26"/>
  <c r="BI33" i="26"/>
  <c r="BH33" i="26"/>
  <c r="BG33" i="26"/>
  <c r="BF33" i="26"/>
  <c r="BE33" i="26"/>
  <c r="BD33" i="26"/>
  <c r="BC33" i="26"/>
  <c r="BB33" i="26"/>
  <c r="BA33" i="26"/>
  <c r="AY33" i="26"/>
  <c r="AX33" i="26"/>
  <c r="AW33" i="26"/>
  <c r="AV33" i="26"/>
  <c r="AU33" i="26"/>
  <c r="AS33" i="26"/>
  <c r="CD32" i="26"/>
  <c r="CB32" i="26"/>
  <c r="CA32" i="26"/>
  <c r="BZ32" i="26"/>
  <c r="BY32" i="26"/>
  <c r="BX32" i="26"/>
  <c r="BW32" i="26"/>
  <c r="BV32" i="26"/>
  <c r="BU32" i="26"/>
  <c r="BT32" i="26"/>
  <c r="BS32" i="26"/>
  <c r="BQ32" i="26"/>
  <c r="BP32" i="26"/>
  <c r="BO32" i="26"/>
  <c r="BN32" i="26"/>
  <c r="BM32" i="26"/>
  <c r="BL32" i="26"/>
  <c r="BK32" i="26"/>
  <c r="BJ32" i="26"/>
  <c r="BI32" i="26"/>
  <c r="BH32" i="26"/>
  <c r="BG32" i="26"/>
  <c r="BF32" i="26"/>
  <c r="BE32" i="26"/>
  <c r="BD32" i="26"/>
  <c r="BC32" i="26"/>
  <c r="BB32" i="26"/>
  <c r="BA32" i="26"/>
  <c r="AY32" i="26"/>
  <c r="AX32" i="26"/>
  <c r="AW32" i="26"/>
  <c r="AV32" i="26"/>
  <c r="AU32" i="26"/>
  <c r="AS32" i="26"/>
  <c r="CD31" i="26"/>
  <c r="CB31" i="26"/>
  <c r="CA31" i="26"/>
  <c r="BZ31" i="26"/>
  <c r="BY31" i="26"/>
  <c r="BX31" i="26"/>
  <c r="BW31" i="26"/>
  <c r="BV31" i="26"/>
  <c r="BU31" i="26"/>
  <c r="BT31" i="26"/>
  <c r="BS31" i="26"/>
  <c r="BQ31" i="26"/>
  <c r="BP31" i="26"/>
  <c r="BO31" i="26"/>
  <c r="BN31" i="26"/>
  <c r="BM31" i="26"/>
  <c r="BL31" i="26"/>
  <c r="BK31" i="26"/>
  <c r="BJ31" i="26"/>
  <c r="BI31" i="26"/>
  <c r="BH31" i="26"/>
  <c r="BG31" i="26"/>
  <c r="BF31" i="26"/>
  <c r="BE31" i="26"/>
  <c r="BD31" i="26"/>
  <c r="BC31" i="26"/>
  <c r="BB31" i="26"/>
  <c r="BA31" i="26"/>
  <c r="AY31" i="26"/>
  <c r="AX31" i="26"/>
  <c r="AW31" i="26"/>
  <c r="AV31" i="26"/>
  <c r="AU31" i="26"/>
  <c r="AS31" i="26"/>
  <c r="CD30" i="26"/>
  <c r="CB30" i="26"/>
  <c r="CA30" i="26"/>
  <c r="BZ30" i="26"/>
  <c r="BY30" i="26"/>
  <c r="BX30" i="26"/>
  <c r="BW30" i="26"/>
  <c r="BV30" i="26"/>
  <c r="BU30" i="26"/>
  <c r="BT30" i="26"/>
  <c r="BS30" i="26"/>
  <c r="BQ30" i="26"/>
  <c r="BP30" i="26"/>
  <c r="BO30" i="26"/>
  <c r="BN30" i="26"/>
  <c r="BM30" i="26"/>
  <c r="BL30" i="26"/>
  <c r="BK30" i="26"/>
  <c r="BJ30" i="26"/>
  <c r="BI30" i="26"/>
  <c r="BH30" i="26"/>
  <c r="BG30" i="26"/>
  <c r="BF30" i="26"/>
  <c r="BE30" i="26"/>
  <c r="BD30" i="26"/>
  <c r="BC30" i="26"/>
  <c r="BB30" i="26"/>
  <c r="BA30" i="26"/>
  <c r="AY30" i="26"/>
  <c r="AX30" i="26"/>
  <c r="AW30" i="26"/>
  <c r="AV30" i="26"/>
  <c r="AU30" i="26"/>
  <c r="AS30" i="26"/>
  <c r="CD29" i="26"/>
  <c r="CB29" i="26"/>
  <c r="CA29" i="26"/>
  <c r="BZ29" i="26"/>
  <c r="BY29" i="26"/>
  <c r="BX29" i="26"/>
  <c r="BW29" i="26"/>
  <c r="BV29" i="26"/>
  <c r="BU29" i="26"/>
  <c r="BT29" i="26"/>
  <c r="BS29" i="26"/>
  <c r="BQ29" i="26"/>
  <c r="BP29" i="26"/>
  <c r="BO29" i="26"/>
  <c r="BN29" i="26"/>
  <c r="BM29" i="26"/>
  <c r="BL29" i="26"/>
  <c r="BK29" i="26"/>
  <c r="BJ29" i="26"/>
  <c r="BI29" i="26"/>
  <c r="BH29" i="26"/>
  <c r="BG29" i="26"/>
  <c r="BF29" i="26"/>
  <c r="BE29" i="26"/>
  <c r="BD29" i="26"/>
  <c r="BC29" i="26"/>
  <c r="BB29" i="26"/>
  <c r="BA29" i="26"/>
  <c r="AY29" i="26"/>
  <c r="AX29" i="26"/>
  <c r="AW29" i="26"/>
  <c r="AV29" i="26"/>
  <c r="AU29" i="26"/>
  <c r="AS29" i="26"/>
  <c r="CD28" i="26"/>
  <c r="CB28" i="26"/>
  <c r="CA28" i="26"/>
  <c r="BZ28" i="26"/>
  <c r="BY28" i="26"/>
  <c r="BX28" i="26"/>
  <c r="BW28" i="26"/>
  <c r="BV28" i="26"/>
  <c r="BU28" i="26"/>
  <c r="BT28" i="26"/>
  <c r="BS28" i="26"/>
  <c r="BQ28" i="26"/>
  <c r="BP28" i="26"/>
  <c r="BO28" i="26"/>
  <c r="BN28" i="26"/>
  <c r="BM28" i="26"/>
  <c r="BL28" i="26"/>
  <c r="BK28" i="26"/>
  <c r="BJ28" i="26"/>
  <c r="BI28" i="26"/>
  <c r="BH28" i="26"/>
  <c r="BG28" i="26"/>
  <c r="BF28" i="26"/>
  <c r="BE28" i="26"/>
  <c r="BD28" i="26"/>
  <c r="BC28" i="26"/>
  <c r="BB28" i="26"/>
  <c r="BA28" i="26"/>
  <c r="AY28" i="26"/>
  <c r="AX28" i="26"/>
  <c r="AW28" i="26"/>
  <c r="AV28" i="26"/>
  <c r="AU28" i="26"/>
  <c r="AS28" i="26"/>
  <c r="CD27" i="26"/>
  <c r="CB27" i="26"/>
  <c r="CA27" i="26"/>
  <c r="BZ27" i="26"/>
  <c r="BY27" i="26"/>
  <c r="BX27" i="26"/>
  <c r="BW27" i="26"/>
  <c r="BV27" i="26"/>
  <c r="BU27" i="26"/>
  <c r="BT27" i="26"/>
  <c r="BS27" i="26"/>
  <c r="BQ27" i="26"/>
  <c r="BP27" i="26"/>
  <c r="BO27" i="26"/>
  <c r="BN27" i="26"/>
  <c r="BM27" i="26"/>
  <c r="BL27" i="26"/>
  <c r="BK27" i="26"/>
  <c r="BJ27" i="26"/>
  <c r="BI27" i="26"/>
  <c r="BH27" i="26"/>
  <c r="BG27" i="26"/>
  <c r="BF27" i="26"/>
  <c r="BE27" i="26"/>
  <c r="BD27" i="26"/>
  <c r="BC27" i="26"/>
  <c r="BB27" i="26"/>
  <c r="BA27" i="26"/>
  <c r="AY27" i="26"/>
  <c r="AX27" i="26"/>
  <c r="AW27" i="26"/>
  <c r="AV27" i="26"/>
  <c r="AU27" i="26"/>
  <c r="AS27" i="26"/>
  <c r="CD26" i="26"/>
  <c r="CB26" i="26"/>
  <c r="CA26" i="26"/>
  <c r="BZ26" i="26"/>
  <c r="BY26" i="26"/>
  <c r="BX26" i="26"/>
  <c r="BW26" i="26"/>
  <c r="BV26" i="26"/>
  <c r="BU26" i="26"/>
  <c r="BT26" i="26"/>
  <c r="BS26" i="26"/>
  <c r="BQ26" i="26"/>
  <c r="BP26" i="26"/>
  <c r="BO26" i="26"/>
  <c r="BN26" i="26"/>
  <c r="BM26" i="26"/>
  <c r="BL26" i="26"/>
  <c r="BK26" i="26"/>
  <c r="BJ26" i="26"/>
  <c r="BI26" i="26"/>
  <c r="BH26" i="26"/>
  <c r="BG26" i="26"/>
  <c r="BF26" i="26"/>
  <c r="BE26" i="26"/>
  <c r="BD26" i="26"/>
  <c r="BC26" i="26"/>
  <c r="BB26" i="26"/>
  <c r="BA26" i="26"/>
  <c r="AY26" i="26"/>
  <c r="AX26" i="26"/>
  <c r="AW26" i="26"/>
  <c r="AV26" i="26"/>
  <c r="AU26" i="26"/>
  <c r="AS26" i="26"/>
  <c r="CD25" i="26"/>
  <c r="CB25" i="26"/>
  <c r="CA25" i="26"/>
  <c r="BZ25" i="26"/>
  <c r="BY25" i="26"/>
  <c r="BX25" i="26"/>
  <c r="BW25" i="26"/>
  <c r="BV25" i="26"/>
  <c r="BU25" i="26"/>
  <c r="BT25" i="26"/>
  <c r="BS25" i="26"/>
  <c r="BQ25" i="26"/>
  <c r="BP25" i="26"/>
  <c r="BO25" i="26"/>
  <c r="BN25" i="26"/>
  <c r="BM25" i="26"/>
  <c r="BL25" i="26"/>
  <c r="BK25" i="26"/>
  <c r="BJ25" i="26"/>
  <c r="BI25" i="26"/>
  <c r="BH25" i="26"/>
  <c r="BG25" i="26"/>
  <c r="BF25" i="26"/>
  <c r="BE25" i="26"/>
  <c r="BD25" i="26"/>
  <c r="BC25" i="26"/>
  <c r="BB25" i="26"/>
  <c r="BA25" i="26"/>
  <c r="AY25" i="26"/>
  <c r="AX25" i="26"/>
  <c r="AW25" i="26"/>
  <c r="AV25" i="26"/>
  <c r="AU25" i="26"/>
  <c r="AS25" i="26"/>
  <c r="CD24" i="26"/>
  <c r="CB24" i="26"/>
  <c r="CA24" i="26"/>
  <c r="BZ24" i="26"/>
  <c r="BY24" i="26"/>
  <c r="BX24" i="26"/>
  <c r="BW24" i="26"/>
  <c r="BV24" i="26"/>
  <c r="BU24" i="26"/>
  <c r="BT24" i="26"/>
  <c r="BS24" i="26"/>
  <c r="BQ24" i="26"/>
  <c r="BP24" i="26"/>
  <c r="BO24" i="26"/>
  <c r="BN24" i="26"/>
  <c r="BM24" i="26"/>
  <c r="BL24" i="26"/>
  <c r="BK24" i="26"/>
  <c r="BJ24" i="26"/>
  <c r="BI24" i="26"/>
  <c r="BH24" i="26"/>
  <c r="BG24" i="26"/>
  <c r="BF24" i="26"/>
  <c r="BE24" i="26"/>
  <c r="BD24" i="26"/>
  <c r="BC24" i="26"/>
  <c r="BB24" i="26"/>
  <c r="BA24" i="26"/>
  <c r="AY24" i="26"/>
  <c r="AX24" i="26"/>
  <c r="AW24" i="26"/>
  <c r="AV24" i="26"/>
  <c r="AU24" i="26"/>
  <c r="AS24" i="26"/>
  <c r="CD23" i="26"/>
  <c r="CB23" i="26"/>
  <c r="CA23" i="26"/>
  <c r="BZ23" i="26"/>
  <c r="BY23" i="26"/>
  <c r="BX23" i="26"/>
  <c r="BW23" i="26"/>
  <c r="BV23" i="26"/>
  <c r="BU23" i="26"/>
  <c r="BT23" i="26"/>
  <c r="BS23" i="26"/>
  <c r="BQ23" i="26"/>
  <c r="BP23" i="26"/>
  <c r="BO23" i="26"/>
  <c r="BN23" i="26"/>
  <c r="BM23" i="26"/>
  <c r="BL23" i="26"/>
  <c r="BK23" i="26"/>
  <c r="BJ23" i="26"/>
  <c r="BI23" i="26"/>
  <c r="BH23" i="26"/>
  <c r="BG23" i="26"/>
  <c r="BF23" i="26"/>
  <c r="BE23" i="26"/>
  <c r="BD23" i="26"/>
  <c r="BC23" i="26"/>
  <c r="BB23" i="26"/>
  <c r="BA23" i="26"/>
  <c r="AY23" i="26"/>
  <c r="AX23" i="26"/>
  <c r="AW23" i="26"/>
  <c r="AV23" i="26"/>
  <c r="AU23" i="26"/>
  <c r="AS23" i="26"/>
  <c r="CD22" i="26"/>
  <c r="CB22" i="26"/>
  <c r="CA22" i="26"/>
  <c r="BZ22" i="26"/>
  <c r="BY22" i="26"/>
  <c r="BX22" i="26"/>
  <c r="BW22" i="26"/>
  <c r="BV22" i="26"/>
  <c r="BU22" i="26"/>
  <c r="BT22" i="26"/>
  <c r="BS22" i="26"/>
  <c r="BQ22" i="26"/>
  <c r="BP22" i="26"/>
  <c r="BO22" i="26"/>
  <c r="BN22" i="26"/>
  <c r="BM22" i="26"/>
  <c r="BL22" i="26"/>
  <c r="BK22" i="26"/>
  <c r="BJ22" i="26"/>
  <c r="BI22" i="26"/>
  <c r="BH22" i="26"/>
  <c r="BG22" i="26"/>
  <c r="BF22" i="26"/>
  <c r="BE22" i="26"/>
  <c r="BD22" i="26"/>
  <c r="BC22" i="26"/>
  <c r="BB22" i="26"/>
  <c r="BA22" i="26"/>
  <c r="AY22" i="26"/>
  <c r="AX22" i="26"/>
  <c r="AW22" i="26"/>
  <c r="AV22" i="26"/>
  <c r="AU22" i="26"/>
  <c r="AS22" i="26"/>
  <c r="CD21" i="26"/>
  <c r="CB21" i="26"/>
  <c r="CA21" i="26"/>
  <c r="BZ21" i="26"/>
  <c r="BY21" i="26"/>
  <c r="BX21" i="26"/>
  <c r="BW21" i="26"/>
  <c r="BV21" i="26"/>
  <c r="BU21" i="26"/>
  <c r="BT21" i="26"/>
  <c r="BS21" i="26"/>
  <c r="BQ21" i="26"/>
  <c r="BP21" i="26"/>
  <c r="BO21" i="26"/>
  <c r="BN21" i="26"/>
  <c r="BM21" i="26"/>
  <c r="BL21" i="26"/>
  <c r="BK21" i="26"/>
  <c r="BJ21" i="26"/>
  <c r="BI21" i="26"/>
  <c r="BH21" i="26"/>
  <c r="BG21" i="26"/>
  <c r="BF21" i="26"/>
  <c r="BE21" i="26"/>
  <c r="BD21" i="26"/>
  <c r="BC21" i="26"/>
  <c r="BB21" i="26"/>
  <c r="BA21" i="26"/>
  <c r="AY21" i="26"/>
  <c r="AX21" i="26"/>
  <c r="AW21" i="26"/>
  <c r="AV21" i="26"/>
  <c r="AU21" i="26"/>
  <c r="AS21" i="26"/>
  <c r="CD20" i="26"/>
  <c r="CB20" i="26"/>
  <c r="CA20" i="26"/>
  <c r="BZ20" i="26"/>
  <c r="BY20" i="26"/>
  <c r="BX20" i="26"/>
  <c r="BW20" i="26"/>
  <c r="BV20" i="26"/>
  <c r="BU20" i="26"/>
  <c r="BT20" i="26"/>
  <c r="BS20" i="26"/>
  <c r="BQ20" i="26"/>
  <c r="BP20" i="26"/>
  <c r="BO20" i="26"/>
  <c r="BN20" i="26"/>
  <c r="BM20" i="26"/>
  <c r="BL20" i="26"/>
  <c r="BK20" i="26"/>
  <c r="BJ20" i="26"/>
  <c r="BI20" i="26"/>
  <c r="BH20" i="26"/>
  <c r="BG20" i="26"/>
  <c r="BF20" i="26"/>
  <c r="BE20" i="26"/>
  <c r="BD20" i="26"/>
  <c r="BC20" i="26"/>
  <c r="BB20" i="26"/>
  <c r="BA20" i="26"/>
  <c r="AY20" i="26"/>
  <c r="AX20" i="26"/>
  <c r="AW20" i="26"/>
  <c r="AV20" i="26"/>
  <c r="AU20" i="26"/>
  <c r="AS20" i="26"/>
  <c r="CD19" i="26"/>
  <c r="CB19" i="26"/>
  <c r="CA19" i="26"/>
  <c r="BZ19" i="26"/>
  <c r="BY19" i="26"/>
  <c r="BX19" i="26"/>
  <c r="BW19" i="26"/>
  <c r="BV19" i="26"/>
  <c r="BU19" i="26"/>
  <c r="BT19" i="26"/>
  <c r="BS19" i="26"/>
  <c r="BQ19" i="26"/>
  <c r="BP19" i="26"/>
  <c r="BO19" i="26"/>
  <c r="BN19" i="26"/>
  <c r="BM19" i="26"/>
  <c r="BL19" i="26"/>
  <c r="BK19" i="26"/>
  <c r="BJ19" i="26"/>
  <c r="BI19" i="26"/>
  <c r="BH19" i="26"/>
  <c r="BG19" i="26"/>
  <c r="BF19" i="26"/>
  <c r="BE19" i="26"/>
  <c r="BD19" i="26"/>
  <c r="BC19" i="26"/>
  <c r="BB19" i="26"/>
  <c r="BA19" i="26"/>
  <c r="AY19" i="26"/>
  <c r="AX19" i="26"/>
  <c r="AW19" i="26"/>
  <c r="AV19" i="26"/>
  <c r="AU19" i="26"/>
  <c r="AS19" i="26"/>
  <c r="CD18" i="26"/>
  <c r="CB18" i="26"/>
  <c r="CA18" i="26"/>
  <c r="BZ18" i="26"/>
  <c r="BY18" i="26"/>
  <c r="BX18" i="26"/>
  <c r="BW18" i="26"/>
  <c r="BV18" i="26"/>
  <c r="BU18" i="26"/>
  <c r="BT18" i="26"/>
  <c r="BS18" i="26"/>
  <c r="BQ18" i="26"/>
  <c r="BP18" i="26"/>
  <c r="BO18" i="26"/>
  <c r="BN18" i="26"/>
  <c r="BM18" i="26"/>
  <c r="BL18" i="26"/>
  <c r="BK18" i="26"/>
  <c r="BJ18" i="26"/>
  <c r="BI18" i="26"/>
  <c r="BH18" i="26"/>
  <c r="BG18" i="26"/>
  <c r="BF18" i="26"/>
  <c r="BE18" i="26"/>
  <c r="BD18" i="26"/>
  <c r="BC18" i="26"/>
  <c r="BB18" i="26"/>
  <c r="BA18" i="26"/>
  <c r="AY18" i="26"/>
  <c r="AX18" i="26"/>
  <c r="AW18" i="26"/>
  <c r="AV18" i="26"/>
  <c r="AU18" i="26"/>
  <c r="AS18" i="26"/>
  <c r="CD17" i="26"/>
  <c r="CB17" i="26"/>
  <c r="CA17" i="26"/>
  <c r="BZ17" i="26"/>
  <c r="BY17" i="26"/>
  <c r="BX17" i="26"/>
  <c r="BW17" i="26"/>
  <c r="BV17" i="26"/>
  <c r="BU17" i="26"/>
  <c r="BT17" i="26"/>
  <c r="BS17" i="26"/>
  <c r="BQ17" i="26"/>
  <c r="BP17" i="26"/>
  <c r="BO17" i="26"/>
  <c r="BN17" i="26"/>
  <c r="BM17" i="26"/>
  <c r="BL17" i="26"/>
  <c r="BK17" i="26"/>
  <c r="BJ17" i="26"/>
  <c r="BI17" i="26"/>
  <c r="BH17" i="26"/>
  <c r="BG17" i="26"/>
  <c r="BF17" i="26"/>
  <c r="BE17" i="26"/>
  <c r="BD17" i="26"/>
  <c r="BC17" i="26"/>
  <c r="BB17" i="26"/>
  <c r="BA17" i="26"/>
  <c r="AY17" i="26"/>
  <c r="AX17" i="26"/>
  <c r="AW17" i="26"/>
  <c r="AV17" i="26"/>
  <c r="AU17" i="26"/>
  <c r="AS17" i="26"/>
  <c r="CD16" i="26"/>
  <c r="CB16" i="26"/>
  <c r="CA16" i="26"/>
  <c r="BZ16" i="26"/>
  <c r="BY16" i="26"/>
  <c r="BX16" i="26"/>
  <c r="BW16" i="26"/>
  <c r="BV16" i="26"/>
  <c r="BU16" i="26"/>
  <c r="BT16" i="26"/>
  <c r="BS16" i="26"/>
  <c r="BQ16" i="26"/>
  <c r="BP16" i="26"/>
  <c r="BO16" i="26"/>
  <c r="BN16" i="26"/>
  <c r="BM16" i="26"/>
  <c r="BL16" i="26"/>
  <c r="BK16" i="26"/>
  <c r="BJ16" i="26"/>
  <c r="BI16" i="26"/>
  <c r="BH16" i="26"/>
  <c r="BG16" i="26"/>
  <c r="BF16" i="26"/>
  <c r="BE16" i="26"/>
  <c r="BD16" i="26"/>
  <c r="BC16" i="26"/>
  <c r="BB16" i="26"/>
  <c r="BA16" i="26"/>
  <c r="AY16" i="26"/>
  <c r="AX16" i="26"/>
  <c r="AW16" i="26"/>
  <c r="AV16" i="26"/>
  <c r="AU16" i="26"/>
  <c r="AS16" i="26"/>
  <c r="CD15" i="26"/>
  <c r="CB15" i="26"/>
  <c r="CA15" i="26"/>
  <c r="BZ15" i="26"/>
  <c r="BY15" i="26"/>
  <c r="BX15" i="26"/>
  <c r="BW15" i="26"/>
  <c r="BV15" i="26"/>
  <c r="BU15" i="26"/>
  <c r="BT15" i="26"/>
  <c r="BS15" i="26"/>
  <c r="BQ15" i="26"/>
  <c r="BP15" i="26"/>
  <c r="BO15" i="26"/>
  <c r="BN15" i="26"/>
  <c r="BM15" i="26"/>
  <c r="BL15" i="26"/>
  <c r="BK15" i="26"/>
  <c r="BJ15" i="26"/>
  <c r="BI15" i="26"/>
  <c r="BH15" i="26"/>
  <c r="BG15" i="26"/>
  <c r="BF15" i="26"/>
  <c r="BE15" i="26"/>
  <c r="BD15" i="26"/>
  <c r="BC15" i="26"/>
  <c r="BB15" i="26"/>
  <c r="BA15" i="26"/>
  <c r="AY15" i="26"/>
  <c r="AX15" i="26"/>
  <c r="AW15" i="26"/>
  <c r="AV15" i="26"/>
  <c r="AU15" i="26"/>
  <c r="AS15" i="26"/>
  <c r="CD14" i="26"/>
  <c r="CB14" i="26"/>
  <c r="CA14" i="26"/>
  <c r="BZ14" i="26"/>
  <c r="BY14" i="26"/>
  <c r="BX14" i="26"/>
  <c r="BW14" i="26"/>
  <c r="BV14" i="26"/>
  <c r="BU14" i="26"/>
  <c r="BT14" i="26"/>
  <c r="BS14" i="26"/>
  <c r="BQ14" i="26"/>
  <c r="BP14" i="26"/>
  <c r="BO14" i="26"/>
  <c r="BN14" i="26"/>
  <c r="BM14" i="26"/>
  <c r="BL14" i="26"/>
  <c r="BK14" i="26"/>
  <c r="BJ14" i="26"/>
  <c r="BI14" i="26"/>
  <c r="BH14" i="26"/>
  <c r="BG14" i="26"/>
  <c r="BF14" i="26"/>
  <c r="BE14" i="26"/>
  <c r="BD14" i="26"/>
  <c r="BC14" i="26"/>
  <c r="BB14" i="26"/>
  <c r="BA14" i="26"/>
  <c r="AY14" i="26"/>
  <c r="AX14" i="26"/>
  <c r="AW14" i="26"/>
  <c r="AV14" i="26"/>
  <c r="AU14" i="26"/>
  <c r="AS14" i="26"/>
  <c r="CD13" i="26"/>
  <c r="CB13" i="26"/>
  <c r="CA13" i="26"/>
  <c r="BZ13" i="26"/>
  <c r="BY13" i="26"/>
  <c r="BX13" i="26"/>
  <c r="BW13" i="26"/>
  <c r="BV13" i="26"/>
  <c r="BU13" i="26"/>
  <c r="BT13" i="26"/>
  <c r="BS13" i="26"/>
  <c r="BQ13" i="26"/>
  <c r="BP13" i="26"/>
  <c r="BO13" i="26"/>
  <c r="BN13" i="26"/>
  <c r="BM13" i="26"/>
  <c r="BL13" i="26"/>
  <c r="BK13" i="26"/>
  <c r="BJ13" i="26"/>
  <c r="BI13" i="26"/>
  <c r="BH13" i="26"/>
  <c r="BG13" i="26"/>
  <c r="BF13" i="26"/>
  <c r="BE13" i="26"/>
  <c r="BD13" i="26"/>
  <c r="BC13" i="26"/>
  <c r="BB13" i="26"/>
  <c r="BA13" i="26"/>
  <c r="AY13" i="26"/>
  <c r="AX13" i="26"/>
  <c r="AW13" i="26"/>
  <c r="AV13" i="26"/>
  <c r="AU13" i="26"/>
  <c r="AS13" i="26"/>
  <c r="CD12" i="26"/>
  <c r="CB12" i="26"/>
  <c r="CA12" i="26"/>
  <c r="BZ12" i="26"/>
  <c r="BY12" i="26"/>
  <c r="BX12" i="26"/>
  <c r="BW12" i="26"/>
  <c r="BV12" i="26"/>
  <c r="BU12" i="26"/>
  <c r="BT12" i="26"/>
  <c r="BS12" i="26"/>
  <c r="BQ12" i="26"/>
  <c r="BP12" i="26"/>
  <c r="BO12" i="26"/>
  <c r="BN12" i="26"/>
  <c r="BM12" i="26"/>
  <c r="BL12" i="26"/>
  <c r="BK12" i="26"/>
  <c r="BJ12" i="26"/>
  <c r="BI12" i="26"/>
  <c r="BH12" i="26"/>
  <c r="BG12" i="26"/>
  <c r="BF12" i="26"/>
  <c r="BE12" i="26"/>
  <c r="BD12" i="26"/>
  <c r="BC12" i="26"/>
  <c r="BB12" i="26"/>
  <c r="BA12" i="26"/>
  <c r="AY12" i="26"/>
  <c r="AX12" i="26"/>
  <c r="AW12" i="26"/>
  <c r="AV12" i="26"/>
  <c r="AU12" i="26"/>
  <c r="AS12" i="26"/>
  <c r="CD11" i="26"/>
  <c r="CB11" i="26"/>
  <c r="CA11" i="26"/>
  <c r="BZ11" i="26"/>
  <c r="BY11" i="26"/>
  <c r="BX11" i="26"/>
  <c r="BW11" i="26"/>
  <c r="BV11" i="26"/>
  <c r="BU11" i="26"/>
  <c r="BT11" i="26"/>
  <c r="BS11" i="26"/>
  <c r="BQ11" i="26"/>
  <c r="BP11" i="26"/>
  <c r="BO11" i="26"/>
  <c r="BN11" i="26"/>
  <c r="BM11" i="26"/>
  <c r="BL11" i="26"/>
  <c r="BK11" i="26"/>
  <c r="BJ11" i="26"/>
  <c r="BI11" i="26"/>
  <c r="BH11" i="26"/>
  <c r="BG11" i="26"/>
  <c r="BF11" i="26"/>
  <c r="BE11" i="26"/>
  <c r="BD11" i="26"/>
  <c r="BC11" i="26"/>
  <c r="BB11" i="26"/>
  <c r="BA11" i="26"/>
  <c r="AY11" i="26"/>
  <c r="AX11" i="26"/>
  <c r="AW11" i="26"/>
  <c r="AV11" i="26"/>
  <c r="AU11" i="26"/>
  <c r="AS11" i="26"/>
  <c r="AP10" i="26"/>
  <c r="DS10" i="26"/>
  <c r="AO10" i="26"/>
  <c r="DR10" i="26"/>
  <c r="DQ10" i="26"/>
  <c r="BQ8" i="26"/>
  <c r="BP8" i="26"/>
  <c r="BO8" i="26"/>
  <c r="BN8" i="26"/>
  <c r="BM8" i="26"/>
  <c r="BL8" i="26"/>
  <c r="BK8" i="26"/>
  <c r="BJ8" i="26"/>
  <c r="BI8" i="26"/>
  <c r="BH8" i="26"/>
  <c r="BG8" i="26"/>
  <c r="BF8" i="26"/>
  <c r="BE8" i="26"/>
  <c r="BD8" i="26"/>
  <c r="BC8" i="26"/>
  <c r="BB8" i="26"/>
  <c r="BA8" i="26"/>
  <c r="AY8" i="26"/>
  <c r="AX8" i="26"/>
  <c r="AW8" i="26"/>
  <c r="AV8" i="26"/>
  <c r="AU8" i="26"/>
  <c r="AP8" i="26"/>
  <c r="AO8" i="26"/>
  <c r="AN8" i="26"/>
  <c r="AM8" i="26"/>
  <c r="AL8" i="26"/>
  <c r="AK8" i="26"/>
  <c r="AJ8" i="26"/>
  <c r="AI8" i="26"/>
  <c r="AH8" i="26"/>
  <c r="AG8" i="26"/>
  <c r="AF8" i="26"/>
  <c r="AE8" i="26"/>
  <c r="AD8" i="26"/>
  <c r="AC8" i="26"/>
  <c r="AB8" i="26"/>
  <c r="AA8" i="26"/>
  <c r="Z8" i="26"/>
  <c r="Y8" i="26"/>
  <c r="X8" i="26"/>
  <c r="W8" i="26"/>
  <c r="V8" i="26"/>
  <c r="U8" i="26"/>
  <c r="T8" i="26"/>
  <c r="S8" i="26"/>
  <c r="R8" i="26"/>
  <c r="Q8" i="26"/>
  <c r="P8" i="26"/>
  <c r="O8" i="26"/>
  <c r="N8" i="26"/>
  <c r="M8" i="26"/>
  <c r="L8" i="26"/>
  <c r="K8" i="26"/>
  <c r="J8" i="26"/>
  <c r="I8" i="26"/>
  <c r="H8" i="26"/>
  <c r="G8" i="26"/>
  <c r="F8" i="26"/>
  <c r="E8" i="26"/>
  <c r="D8" i="26"/>
  <c r="AU5" i="26"/>
  <c r="BA5" i="26"/>
  <c r="A12" i="14"/>
  <c r="A13" i="14"/>
  <c r="A14" i="14"/>
  <c r="A15" i="14"/>
  <c r="A16" i="14"/>
  <c r="A17" i="14"/>
  <c r="A18" i="14"/>
  <c r="A19" i="14"/>
  <c r="A20" i="14"/>
  <c r="A21" i="14"/>
  <c r="A22" i="14"/>
  <c r="A23" i="14"/>
  <c r="A24" i="14"/>
  <c r="A25" i="14"/>
  <c r="A26" i="14"/>
  <c r="A27" i="14"/>
  <c r="A28" i="14"/>
  <c r="A29" i="14"/>
  <c r="A32" i="14"/>
  <c r="A33" i="14"/>
  <c r="A34" i="14"/>
  <c r="A35" i="14"/>
  <c r="A36" i="14"/>
  <c r="A37" i="14"/>
  <c r="A38" i="14"/>
  <c r="A39" i="14"/>
  <c r="A40" i="14"/>
  <c r="A41" i="14"/>
  <c r="A42" i="14"/>
  <c r="A43" i="14"/>
  <c r="A44" i="14"/>
  <c r="A45" i="14"/>
  <c r="A46" i="14"/>
  <c r="A47" i="14"/>
  <c r="A48" i="14"/>
  <c r="A49" i="14"/>
  <c r="BB36" i="14"/>
  <c r="BM11" i="13"/>
  <c r="BN11" i="13"/>
  <c r="BR11" i="13"/>
  <c r="BS11" i="13"/>
  <c r="BU11" i="13"/>
  <c r="A341" i="10"/>
  <c r="BB75" i="10"/>
  <c r="BB76" i="10"/>
  <c r="BB77" i="10"/>
  <c r="BB78" i="10"/>
  <c r="BB79" i="10"/>
  <c r="BB80" i="10"/>
  <c r="BB81" i="10"/>
  <c r="BB82" i="10"/>
  <c r="BB83" i="10"/>
  <c r="BB84" i="10"/>
  <c r="BB85" i="10"/>
  <c r="BB86" i="10"/>
  <c r="BB87" i="10"/>
  <c r="BB88" i="10"/>
  <c r="BB89" i="10"/>
  <c r="BB90" i="10"/>
  <c r="BB91" i="10"/>
  <c r="BB92" i="10"/>
  <c r="BB93" i="10"/>
  <c r="BB94" i="10"/>
  <c r="BB95" i="10"/>
  <c r="BB96" i="10"/>
  <c r="BB97" i="10"/>
  <c r="BB98" i="10"/>
  <c r="BB99" i="10"/>
  <c r="BB100" i="10"/>
  <c r="A1457" i="11"/>
  <c r="A1458" i="11"/>
  <c r="A1459" i="11"/>
  <c r="A1460" i="11"/>
  <c r="A1461" i="11"/>
  <c r="A1462" i="11"/>
  <c r="A1463" i="11"/>
  <c r="A1464" i="11"/>
  <c r="A1465" i="11"/>
  <c r="A1466" i="11"/>
  <c r="A1467" i="11"/>
  <c r="A1468" i="11"/>
  <c r="A1469" i="11"/>
  <c r="A1470" i="11"/>
  <c r="A1471" i="11"/>
  <c r="A1472" i="11"/>
  <c r="A1473" i="11"/>
  <c r="A1474"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870" i="11"/>
  <c r="A871" i="11"/>
  <c r="A872" i="11"/>
  <c r="A873" i="11"/>
  <c r="A874" i="11"/>
  <c r="A875" i="11"/>
  <c r="A876" i="11"/>
  <c r="A877" i="11"/>
  <c r="A878" i="11"/>
  <c r="A879" i="11"/>
  <c r="A880" i="11"/>
  <c r="A881" i="11"/>
  <c r="A882" i="11"/>
  <c r="A883" i="11"/>
  <c r="A884" i="11"/>
  <c r="A885" i="11"/>
  <c r="A886" i="11"/>
  <c r="A887" i="11"/>
  <c r="A888" i="11"/>
  <c r="A889" i="11"/>
  <c r="A890" i="11"/>
  <c r="A891" i="11"/>
  <c r="A892" i="11"/>
  <c r="A893" i="11"/>
  <c r="A894" i="11"/>
  <c r="A895" i="11"/>
  <c r="A896" i="11"/>
  <c r="A897" i="11"/>
  <c r="A898" i="11"/>
  <c r="BB73" i="11"/>
  <c r="BB74" i="11"/>
  <c r="BT13" i="12"/>
  <c r="BT11" i="12"/>
  <c r="BT11" i="13"/>
  <c r="BR13" i="12"/>
  <c r="BR11" i="12"/>
  <c r="P14" i="16"/>
  <c r="P13" i="16"/>
  <c r="Q14" i="16"/>
  <c r="Q13" i="16"/>
  <c r="R14" i="16"/>
  <c r="R13" i="16"/>
  <c r="S14" i="16"/>
  <c r="S13" i="16"/>
  <c r="T14" i="16"/>
  <c r="T13" i="16"/>
  <c r="U14" i="16"/>
  <c r="U13" i="16"/>
  <c r="R15" i="16"/>
  <c r="R16" i="16"/>
  <c r="R35" i="16"/>
  <c r="R36" i="16"/>
  <c r="R27" i="16"/>
  <c r="L13" i="16"/>
  <c r="M13" i="16"/>
  <c r="AQ7" i="1"/>
  <c r="A114" i="11"/>
  <c r="A115" i="11"/>
  <c r="A116" i="11"/>
  <c r="A117" i="11"/>
  <c r="A118" i="11"/>
  <c r="A119" i="11"/>
  <c r="A120" i="11"/>
  <c r="A121" i="11"/>
  <c r="A122" i="11"/>
  <c r="A123" i="11"/>
  <c r="A124" i="11"/>
  <c r="A125" i="11"/>
  <c r="A126" i="11"/>
  <c r="A127" i="11"/>
  <c r="A128" i="11"/>
  <c r="A129" i="11"/>
  <c r="A1501" i="11"/>
  <c r="A1502" i="11"/>
  <c r="A1503" i="11"/>
  <c r="A1504" i="11"/>
  <c r="A1505" i="11"/>
  <c r="A1506" i="11"/>
  <c r="A1507" i="11"/>
  <c r="A1508" i="11"/>
  <c r="A1509" i="11"/>
  <c r="A1510" i="11"/>
  <c r="A1511" i="11"/>
  <c r="A1512" i="11"/>
  <c r="A1513" i="11"/>
  <c r="A1514" i="11"/>
  <c r="A1515" i="11"/>
  <c r="A1516" i="11"/>
  <c r="A1517" i="11"/>
  <c r="A1518" i="11"/>
  <c r="A1519" i="11"/>
  <c r="A1520" i="11"/>
  <c r="A1521" i="11"/>
  <c r="A1522" i="11"/>
  <c r="A1523" i="11"/>
  <c r="A1524" i="11"/>
  <c r="A1525" i="11"/>
  <c r="A1526" i="11"/>
  <c r="A1527" i="11"/>
  <c r="A1528" i="11"/>
  <c r="A1529" i="11"/>
  <c r="A1530" i="11"/>
  <c r="A1531" i="11"/>
  <c r="A1532" i="11"/>
  <c r="A1533" i="11"/>
  <c r="A1534" i="11"/>
  <c r="A1535" i="11"/>
  <c r="A1536" i="11"/>
  <c r="A1537" i="11"/>
  <c r="A1538" i="11"/>
  <c r="A1539" i="11"/>
  <c r="A1540" i="11"/>
  <c r="A1541" i="11"/>
  <c r="A1542" i="11"/>
  <c r="A1543" i="11"/>
  <c r="A1544" i="11"/>
  <c r="A1545" i="11"/>
  <c r="A1546" i="11"/>
  <c r="A1547" i="11"/>
  <c r="A1548" i="11"/>
  <c r="A1549" i="11"/>
  <c r="A1550" i="11"/>
  <c r="A1551" i="11"/>
  <c r="A1552" i="11"/>
  <c r="A1553" i="11"/>
  <c r="A1554" i="11"/>
  <c r="A1555" i="11"/>
  <c r="A1556" i="11"/>
  <c r="A1557" i="11"/>
  <c r="A1558" i="11"/>
  <c r="A1559" i="11"/>
  <c r="A1560" i="11"/>
  <c r="A1561" i="11"/>
  <c r="A1562" i="11"/>
  <c r="A1563" i="11"/>
  <c r="A1564" i="11"/>
  <c r="A1565" i="11"/>
  <c r="A1566" i="11"/>
  <c r="A1567" i="11"/>
  <c r="A1568" i="11"/>
  <c r="A1569" i="11"/>
  <c r="A1570" i="11"/>
  <c r="A1571" i="11"/>
  <c r="A1572" i="11"/>
  <c r="A1573" i="11"/>
  <c r="A1574" i="11"/>
  <c r="A1575" i="11"/>
  <c r="A1576" i="11"/>
  <c r="A1577" i="11"/>
  <c r="A1578" i="11"/>
  <c r="A1579" i="11"/>
  <c r="A1580" i="11"/>
  <c r="A1581" i="11"/>
  <c r="A1582" i="11"/>
  <c r="A1583" i="11"/>
  <c r="A1584" i="11"/>
  <c r="A1585" i="11"/>
  <c r="A1586" i="11"/>
  <c r="A1587" i="11"/>
  <c r="A1588" i="11"/>
  <c r="A1589" i="11"/>
  <c r="A1590" i="11"/>
  <c r="A1591" i="11"/>
  <c r="A1592" i="11"/>
  <c r="A1593" i="11"/>
  <c r="A1594" i="11"/>
  <c r="A1595" i="11"/>
  <c r="A1596" i="11"/>
  <c r="A1597" i="11"/>
  <c r="A1598" i="11"/>
  <c r="A1599" i="11"/>
  <c r="A1600" i="11"/>
  <c r="A1456" i="11"/>
  <c r="BM13" i="12"/>
  <c r="BN13" i="12"/>
  <c r="BM11" i="12"/>
  <c r="BN11" i="12"/>
  <c r="A1442" i="11"/>
  <c r="A1443" i="11"/>
  <c r="A1444" i="11"/>
  <c r="A1445" i="11"/>
  <c r="A1446" i="11"/>
  <c r="A1447" i="11"/>
  <c r="A1448" i="11"/>
  <c r="A1449" i="11"/>
  <c r="A1450" i="11"/>
  <c r="A1451" i="11"/>
  <c r="A1452" i="11"/>
  <c r="A1453" i="11"/>
  <c r="A1454" i="11"/>
  <c r="A1455" i="11"/>
  <c r="BB75" i="11"/>
  <c r="BB76" i="11"/>
  <c r="BB77" i="11"/>
  <c r="BB78" i="11"/>
  <c r="BB79" i="11"/>
  <c r="BB80" i="11"/>
  <c r="BB81" i="11"/>
  <c r="BB82" i="11"/>
  <c r="BB83" i="11"/>
  <c r="BB84" i="11"/>
  <c r="BB85" i="11"/>
  <c r="BB86" i="11"/>
  <c r="BB87" i="11"/>
  <c r="BB88" i="11"/>
  <c r="BB89" i="11"/>
  <c r="BB90" i="11"/>
  <c r="BB91" i="11"/>
  <c r="BB92" i="11"/>
  <c r="BB93" i="11"/>
  <c r="BB94" i="11"/>
  <c r="BB95" i="11"/>
  <c r="BB96" i="11"/>
  <c r="BB97" i="11"/>
  <c r="BB98" i="11"/>
  <c r="BB99" i="11"/>
  <c r="BB100" i="11"/>
  <c r="BB11"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A663" i="11"/>
  <c r="A664" i="11"/>
  <c r="A665" i="11"/>
  <c r="A666" i="11"/>
  <c r="A667" i="11"/>
  <c r="A668" i="11"/>
  <c r="A669" i="11"/>
  <c r="A670" i="11"/>
  <c r="A671" i="11"/>
  <c r="A672" i="11"/>
  <c r="A673" i="11"/>
  <c r="A674" i="11"/>
  <c r="A675" i="11"/>
  <c r="A676" i="11"/>
  <c r="A677" i="11"/>
  <c r="A678" i="11"/>
  <c r="A679" i="11"/>
  <c r="A680" i="11"/>
  <c r="A681" i="11"/>
  <c r="A682" i="11"/>
  <c r="A683" i="11"/>
  <c r="A684" i="11"/>
  <c r="A685" i="11"/>
  <c r="A686" i="11"/>
  <c r="A687" i="11"/>
  <c r="A688" i="11"/>
  <c r="A689" i="11"/>
  <c r="A690" i="11"/>
  <c r="A691" i="11"/>
  <c r="A692" i="11"/>
  <c r="A693" i="11"/>
  <c r="A694" i="11"/>
  <c r="A695" i="11"/>
  <c r="A696" i="11"/>
  <c r="A697" i="11"/>
  <c r="A698" i="11"/>
  <c r="A699" i="11"/>
  <c r="A700" i="11"/>
  <c r="A701" i="11"/>
  <c r="A702" i="11"/>
  <c r="A703" i="11"/>
  <c r="A704" i="11"/>
  <c r="A705" i="11"/>
  <c r="A706" i="11"/>
  <c r="A707" i="11"/>
  <c r="A708" i="11"/>
  <c r="A709" i="11"/>
  <c r="A710" i="11"/>
  <c r="A711" i="11"/>
  <c r="A712" i="11"/>
  <c r="A713" i="11"/>
  <c r="A714" i="11"/>
  <c r="A715" i="11"/>
  <c r="A716" i="11"/>
  <c r="A717" i="11"/>
  <c r="A718" i="11"/>
  <c r="A719" i="11"/>
  <c r="A720" i="11"/>
  <c r="A721" i="11"/>
  <c r="A722" i="11"/>
  <c r="A723" i="11"/>
  <c r="A724" i="11"/>
  <c r="A725" i="11"/>
  <c r="A726" i="11"/>
  <c r="A727" i="11"/>
  <c r="A728" i="11"/>
  <c r="A729" i="11"/>
  <c r="A730" i="11"/>
  <c r="A731" i="11"/>
  <c r="A732" i="11"/>
  <c r="A733" i="11"/>
  <c r="A734" i="11"/>
  <c r="A735" i="11"/>
  <c r="A736" i="11"/>
  <c r="A737" i="11"/>
  <c r="A738" i="11"/>
  <c r="A739" i="11"/>
  <c r="A740" i="11"/>
  <c r="A741" i="11"/>
  <c r="A742" i="11"/>
  <c r="A743" i="11"/>
  <c r="A744" i="11"/>
  <c r="A745" i="11"/>
  <c r="A746" i="11"/>
  <c r="A747" i="11"/>
  <c r="A748" i="11"/>
  <c r="A749" i="11"/>
  <c r="A750" i="11"/>
  <c r="A751" i="11"/>
  <c r="A752" i="11"/>
  <c r="A753" i="11"/>
  <c r="A754" i="11"/>
  <c r="A755" i="11"/>
  <c r="A756" i="11"/>
  <c r="A757" i="11"/>
  <c r="A758" i="11"/>
  <c r="A759" i="11"/>
  <c r="A760" i="11"/>
  <c r="A761" i="11"/>
  <c r="A762" i="11"/>
  <c r="A763" i="11"/>
  <c r="A764" i="11"/>
  <c r="A765" i="11"/>
  <c r="A766" i="11"/>
  <c r="A767" i="11"/>
  <c r="A768" i="11"/>
  <c r="A769" i="11"/>
  <c r="A770" i="11"/>
  <c r="A771" i="11"/>
  <c r="A772" i="11"/>
  <c r="A773" i="11"/>
  <c r="A774" i="11"/>
  <c r="A775" i="11"/>
  <c r="A776" i="11"/>
  <c r="A777" i="11"/>
  <c r="A778" i="11"/>
  <c r="A779" i="11"/>
  <c r="A780" i="11"/>
  <c r="A781" i="11"/>
  <c r="A782" i="11"/>
  <c r="A783" i="11"/>
  <c r="A784" i="11"/>
  <c r="A785" i="11"/>
  <c r="A786" i="11"/>
  <c r="A787" i="11"/>
  <c r="A788" i="11"/>
  <c r="A789" i="11"/>
  <c r="A790" i="11"/>
  <c r="A791" i="11"/>
  <c r="A792" i="11"/>
  <c r="A793" i="11"/>
  <c r="A794" i="11"/>
  <c r="A795" i="11"/>
  <c r="A796" i="11"/>
  <c r="A797" i="11"/>
  <c r="A798" i="11"/>
  <c r="A799" i="11"/>
  <c r="A800" i="11"/>
  <c r="A801" i="11"/>
  <c r="A802" i="11"/>
  <c r="A803" i="11"/>
  <c r="A804" i="11"/>
  <c r="A805" i="11"/>
  <c r="A806" i="11"/>
  <c r="A807" i="11"/>
  <c r="A808" i="11"/>
  <c r="A809" i="11"/>
  <c r="A810" i="11"/>
  <c r="A811" i="11"/>
  <c r="A812" i="11"/>
  <c r="A813" i="11"/>
  <c r="A814" i="11"/>
  <c r="A815" i="11"/>
  <c r="A816" i="11"/>
  <c r="A817" i="11"/>
  <c r="A818" i="11"/>
  <c r="A819" i="11"/>
  <c r="A820" i="11"/>
  <c r="A821" i="11"/>
  <c r="A822" i="11"/>
  <c r="A823" i="11"/>
  <c r="A824" i="11"/>
  <c r="A825" i="11"/>
  <c r="A826" i="11"/>
  <c r="A827" i="11"/>
  <c r="A828" i="11"/>
  <c r="A829" i="11"/>
  <c r="A830" i="11"/>
  <c r="A831" i="11"/>
  <c r="A832" i="11"/>
  <c r="A833" i="11"/>
  <c r="A834" i="11"/>
  <c r="A835" i="11"/>
  <c r="A836" i="11"/>
  <c r="A837" i="11"/>
  <c r="A838" i="11"/>
  <c r="A839" i="11"/>
  <c r="A840" i="11"/>
  <c r="A841" i="11"/>
  <c r="A842" i="11"/>
  <c r="A843" i="11"/>
  <c r="A844" i="11"/>
  <c r="A845" i="11"/>
  <c r="A846" i="11"/>
  <c r="A847" i="11"/>
  <c r="A848" i="11"/>
  <c r="A849" i="11"/>
  <c r="A850" i="11"/>
  <c r="A851" i="11"/>
  <c r="A852" i="11"/>
  <c r="A853" i="11"/>
  <c r="A854" i="11"/>
  <c r="A855" i="11"/>
  <c r="A856" i="11"/>
  <c r="A857" i="11"/>
  <c r="A858" i="11"/>
  <c r="A859" i="11"/>
  <c r="A860" i="11"/>
  <c r="A861" i="11"/>
  <c r="A862" i="11"/>
  <c r="A863" i="11"/>
  <c r="A864" i="11"/>
  <c r="A865" i="11"/>
  <c r="A866" i="11"/>
  <c r="A867" i="11"/>
  <c r="A868" i="11"/>
  <c r="A869" i="11"/>
  <c r="A899" i="11"/>
  <c r="A900" i="11"/>
  <c r="A901" i="11"/>
  <c r="A902" i="11"/>
  <c r="A903" i="11"/>
  <c r="A904" i="11"/>
  <c r="A905" i="11"/>
  <c r="A906" i="11"/>
  <c r="A907" i="11"/>
  <c r="A908" i="11"/>
  <c r="A909" i="11"/>
  <c r="A910" i="11"/>
  <c r="A911" i="11"/>
  <c r="A912" i="11"/>
  <c r="A913" i="11"/>
  <c r="A914" i="11"/>
  <c r="A915" i="11"/>
  <c r="A916" i="11"/>
  <c r="A917" i="11"/>
  <c r="A918" i="11"/>
  <c r="A919" i="11"/>
  <c r="A920" i="11"/>
  <c r="A921" i="11"/>
  <c r="A922" i="11"/>
  <c r="A923" i="11"/>
  <c r="A924" i="11"/>
  <c r="A925" i="11"/>
  <c r="A926" i="11"/>
  <c r="A927" i="11"/>
  <c r="A928" i="11"/>
  <c r="A929" i="11"/>
  <c r="A930" i="11"/>
  <c r="A931" i="11"/>
  <c r="A932" i="11"/>
  <c r="A933" i="11"/>
  <c r="A934" i="11"/>
  <c r="A935" i="11"/>
  <c r="A936" i="11"/>
  <c r="A937" i="11"/>
  <c r="A938" i="11"/>
  <c r="A939" i="11"/>
  <c r="A940" i="11"/>
  <c r="A941" i="11"/>
  <c r="A942" i="11"/>
  <c r="A943" i="11"/>
  <c r="A944" i="11"/>
  <c r="A945" i="11"/>
  <c r="A946" i="11"/>
  <c r="A947" i="11"/>
  <c r="A948" i="11"/>
  <c r="A949" i="11"/>
  <c r="A950" i="11"/>
  <c r="A951" i="11"/>
  <c r="A952" i="11"/>
  <c r="A953" i="11"/>
  <c r="A954" i="11"/>
  <c r="A955" i="11"/>
  <c r="A956" i="11"/>
  <c r="A957" i="11"/>
  <c r="A958" i="11"/>
  <c r="A959" i="11"/>
  <c r="A960" i="11"/>
  <c r="A961" i="11"/>
  <c r="A962" i="11"/>
  <c r="A963" i="11"/>
  <c r="A964" i="11"/>
  <c r="A965" i="11"/>
  <c r="A966" i="11"/>
  <c r="A967" i="11"/>
  <c r="A968" i="11"/>
  <c r="A969" i="11"/>
  <c r="A970" i="11"/>
  <c r="A971" i="11"/>
  <c r="A972" i="11"/>
  <c r="A973" i="11"/>
  <c r="A974" i="11"/>
  <c r="A975" i="11"/>
  <c r="A976" i="11"/>
  <c r="A977" i="11"/>
  <c r="A978" i="11"/>
  <c r="A979" i="11"/>
  <c r="A980" i="11"/>
  <c r="A981" i="11"/>
  <c r="A982" i="11"/>
  <c r="A983" i="11"/>
  <c r="A984" i="11"/>
  <c r="A985" i="11"/>
  <c r="A986" i="11"/>
  <c r="A987" i="11"/>
  <c r="A988" i="11"/>
  <c r="A989" i="11"/>
  <c r="A990" i="11"/>
  <c r="A991" i="11"/>
  <c r="A992" i="11"/>
  <c r="A993" i="11"/>
  <c r="A994" i="11"/>
  <c r="A995" i="11"/>
  <c r="A996" i="11"/>
  <c r="A997" i="11"/>
  <c r="A998" i="11"/>
  <c r="A999" i="11"/>
  <c r="A1000" i="11"/>
  <c r="A1001" i="11"/>
  <c r="A1002" i="11"/>
  <c r="A1003" i="11"/>
  <c r="A1004" i="11"/>
  <c r="A1005" i="11"/>
  <c r="A1006" i="11"/>
  <c r="A1007" i="11"/>
  <c r="A1008" i="11"/>
  <c r="A1009" i="11"/>
  <c r="A1010" i="11"/>
  <c r="A1011" i="11"/>
  <c r="A1012" i="11"/>
  <c r="A1013" i="11"/>
  <c r="A1014" i="11"/>
  <c r="A1015" i="11"/>
  <c r="A1016" i="11"/>
  <c r="A1017" i="11"/>
  <c r="A1018" i="11"/>
  <c r="A1019" i="11"/>
  <c r="A1020" i="11"/>
  <c r="A1021" i="11"/>
  <c r="A1022" i="11"/>
  <c r="A1023" i="11"/>
  <c r="A1024" i="11"/>
  <c r="A1025" i="11"/>
  <c r="A1026" i="11"/>
  <c r="A1027" i="11"/>
  <c r="A1028" i="11"/>
  <c r="A1029" i="11"/>
  <c r="A1030" i="11"/>
  <c r="A1031" i="11"/>
  <c r="A1032" i="11"/>
  <c r="A1033" i="11"/>
  <c r="A1034" i="11"/>
  <c r="A1035" i="11"/>
  <c r="A1036" i="11"/>
  <c r="A1037" i="11"/>
  <c r="A1038" i="11"/>
  <c r="A1039" i="11"/>
  <c r="A1040" i="11"/>
  <c r="A1041" i="11"/>
  <c r="A1042" i="11"/>
  <c r="A1043" i="11"/>
  <c r="A1044" i="11"/>
  <c r="A1045" i="11"/>
  <c r="A1046" i="11"/>
  <c r="A1047" i="11"/>
  <c r="A1048" i="11"/>
  <c r="A1049" i="11"/>
  <c r="A1050" i="11"/>
  <c r="A1051" i="11"/>
  <c r="A1052" i="11"/>
  <c r="A1053" i="11"/>
  <c r="A1054" i="11"/>
  <c r="A1055" i="11"/>
  <c r="A1056" i="11"/>
  <c r="A1057" i="11"/>
  <c r="A1058" i="11"/>
  <c r="A1059" i="11"/>
  <c r="A1060" i="11"/>
  <c r="A1061" i="11"/>
  <c r="A1062" i="11"/>
  <c r="A1063" i="11"/>
  <c r="A1064" i="11"/>
  <c r="A1065" i="11"/>
  <c r="A1066" i="11"/>
  <c r="A1067" i="11"/>
  <c r="A1068" i="11"/>
  <c r="A1069" i="11"/>
  <c r="A1070" i="11"/>
  <c r="A1071" i="11"/>
  <c r="A1072" i="11"/>
  <c r="A1073" i="11"/>
  <c r="A1074" i="11"/>
  <c r="A1075" i="11"/>
  <c r="A1076" i="11"/>
  <c r="A1077" i="11"/>
  <c r="A1078" i="11"/>
  <c r="A1079" i="11"/>
  <c r="A1081" i="11"/>
  <c r="A1082" i="11"/>
  <c r="A1083" i="11"/>
  <c r="A1084" i="11"/>
  <c r="A1085" i="11"/>
  <c r="A1086" i="11"/>
  <c r="A1087" i="11"/>
  <c r="A1088" i="11"/>
  <c r="A1089" i="11"/>
  <c r="A1090" i="11"/>
  <c r="A1091" i="11"/>
  <c r="A1092" i="11"/>
  <c r="A1093" i="11"/>
  <c r="A1094" i="11"/>
  <c r="A1095" i="11"/>
  <c r="A1096" i="11"/>
  <c r="A1097" i="11"/>
  <c r="A1098" i="11"/>
  <c r="A1099" i="11"/>
  <c r="A1100" i="11"/>
  <c r="A1101" i="11"/>
  <c r="A1102" i="11"/>
  <c r="A1103" i="11"/>
  <c r="A1104" i="11"/>
  <c r="A1105" i="11"/>
  <c r="A1106" i="11"/>
  <c r="A1107" i="11"/>
  <c r="A1108" i="11"/>
  <c r="A1109" i="11"/>
  <c r="A1110" i="11"/>
  <c r="A1111" i="11"/>
  <c r="A1112" i="11"/>
  <c r="A1113" i="11"/>
  <c r="A1114" i="11"/>
  <c r="A1115" i="11"/>
  <c r="A1116" i="11"/>
  <c r="A1117" i="11"/>
  <c r="A1118" i="11"/>
  <c r="A1119" i="11"/>
  <c r="A1120" i="11"/>
  <c r="A1121" i="11"/>
  <c r="A1123" i="11"/>
  <c r="A1124" i="11"/>
  <c r="A1125" i="11"/>
  <c r="A1126" i="11"/>
  <c r="A1127" i="11"/>
  <c r="A1128" i="11"/>
  <c r="A1129" i="11"/>
  <c r="A1130" i="11"/>
  <c r="A1131" i="11"/>
  <c r="A1132" i="11"/>
  <c r="A1133" i="11"/>
  <c r="A1134" i="11"/>
  <c r="A1135" i="11"/>
  <c r="A1136" i="11"/>
  <c r="A1137" i="11"/>
  <c r="A1138" i="11"/>
  <c r="A1139" i="11"/>
  <c r="A1140" i="11"/>
  <c r="A1141" i="11"/>
  <c r="A1142" i="11"/>
  <c r="A1143" i="11"/>
  <c r="A1144" i="11"/>
  <c r="A1145" i="11"/>
  <c r="A1146" i="11"/>
  <c r="A1147" i="11"/>
  <c r="A1148" i="11"/>
  <c r="A1149" i="11"/>
  <c r="A1150" i="11"/>
  <c r="A1151" i="11"/>
  <c r="A1152" i="11"/>
  <c r="A1153" i="11"/>
  <c r="A1154" i="11"/>
  <c r="A1155" i="11"/>
  <c r="A1156" i="11"/>
  <c r="A1157" i="11"/>
  <c r="A1158" i="11"/>
  <c r="A1159" i="11"/>
  <c r="A1160" i="11"/>
  <c r="A1161" i="11"/>
  <c r="A1162" i="11"/>
  <c r="A1163" i="11"/>
  <c r="A1164" i="11"/>
  <c r="A1165" i="11"/>
  <c r="A1166" i="11"/>
  <c r="A1167" i="11"/>
  <c r="A1169" i="11"/>
  <c r="A1170" i="11"/>
  <c r="A1171" i="11"/>
  <c r="A1172" i="11"/>
  <c r="A1173" i="11"/>
  <c r="A1174" i="11"/>
  <c r="A1175" i="11"/>
  <c r="A1176" i="11"/>
  <c r="A1177" i="11"/>
  <c r="A1178" i="11"/>
  <c r="A1179" i="11"/>
  <c r="A1180" i="11"/>
  <c r="A1181" i="11"/>
  <c r="A1182" i="11"/>
  <c r="A1183" i="11"/>
  <c r="A1184" i="11"/>
  <c r="A1185" i="11"/>
  <c r="A1186" i="11"/>
  <c r="A1187" i="11"/>
  <c r="A1188" i="11"/>
  <c r="A1189" i="11"/>
  <c r="A1190" i="11"/>
  <c r="A1191" i="11"/>
  <c r="A1192" i="11"/>
  <c r="A1193" i="11"/>
  <c r="A1194" i="11"/>
  <c r="A1195" i="11"/>
  <c r="A1196" i="11"/>
  <c r="A1197" i="11"/>
  <c r="A1198" i="11"/>
  <c r="A1199" i="11"/>
  <c r="A1200" i="11"/>
  <c r="A1201" i="11"/>
  <c r="A1202" i="11"/>
  <c r="A1203" i="11"/>
  <c r="A1204" i="11"/>
  <c r="A1205" i="11"/>
  <c r="A1206" i="11"/>
  <c r="A1207" i="11"/>
  <c r="A1208" i="11"/>
  <c r="A1209" i="11"/>
  <c r="A1210" i="11"/>
  <c r="A1211" i="11"/>
  <c r="A1212" i="11"/>
  <c r="A1213" i="11"/>
  <c r="A1214" i="11"/>
  <c r="A1215" i="11"/>
  <c r="A1216" i="11"/>
  <c r="A1217" i="11"/>
  <c r="A1218" i="11"/>
  <c r="A1219" i="11"/>
  <c r="A1221" i="11"/>
  <c r="A1222" i="11"/>
  <c r="A1223" i="11"/>
  <c r="A1224" i="11"/>
  <c r="A1225" i="11"/>
  <c r="A1226" i="11"/>
  <c r="A1227" i="11"/>
  <c r="A1228" i="11"/>
  <c r="A1229" i="11"/>
  <c r="A1230" i="11"/>
  <c r="A1231" i="11"/>
  <c r="A1232" i="11"/>
  <c r="A1233" i="11"/>
  <c r="A1234" i="11"/>
  <c r="A1235" i="11"/>
  <c r="A1236" i="11"/>
  <c r="A1237" i="11"/>
  <c r="A1238" i="11"/>
  <c r="A1239" i="11"/>
  <c r="A1240" i="11"/>
  <c r="A1241" i="11"/>
  <c r="A1242" i="11"/>
  <c r="A1243" i="11"/>
  <c r="A1244" i="11"/>
  <c r="A1245" i="11"/>
  <c r="A1246" i="11"/>
  <c r="A1247" i="11"/>
  <c r="A1248" i="11"/>
  <c r="A1249" i="11"/>
  <c r="A1250" i="11"/>
  <c r="A1251" i="11"/>
  <c r="A1252" i="11"/>
  <c r="A1253" i="11"/>
  <c r="A1254" i="11"/>
  <c r="A1255" i="11"/>
  <c r="A1256" i="11"/>
  <c r="A1257" i="11"/>
  <c r="A1258" i="11"/>
  <c r="A1259" i="11"/>
  <c r="A1260" i="11"/>
  <c r="A1261" i="11"/>
  <c r="A1262" i="11"/>
  <c r="A1263" i="11"/>
  <c r="A1264" i="11"/>
  <c r="A1265" i="11"/>
  <c r="A1266" i="11"/>
  <c r="A1267" i="11"/>
  <c r="A1268" i="11"/>
  <c r="A1269" i="11"/>
  <c r="A1270" i="11"/>
  <c r="A1271" i="11"/>
  <c r="A1272" i="11"/>
  <c r="A1273" i="11"/>
  <c r="A1274" i="11"/>
  <c r="A1275" i="11"/>
  <c r="A1276" i="11"/>
  <c r="A1277" i="11"/>
  <c r="A1278" i="11"/>
  <c r="A1279" i="11"/>
  <c r="A1280" i="11"/>
  <c r="A1281" i="11"/>
  <c r="A1282" i="11"/>
  <c r="A1283" i="11"/>
  <c r="A1284" i="11"/>
  <c r="A1285" i="11"/>
  <c r="A1286" i="11"/>
  <c r="A1287" i="11"/>
  <c r="A1288" i="11"/>
  <c r="A1289" i="11"/>
  <c r="A1290" i="11"/>
  <c r="A1291" i="11"/>
  <c r="A1292" i="11"/>
  <c r="A1293" i="11"/>
  <c r="A1294" i="11"/>
  <c r="A1295" i="11"/>
  <c r="A1296" i="11"/>
  <c r="A1297" i="11"/>
  <c r="A1298" i="11"/>
  <c r="A1299" i="11"/>
  <c r="A1300" i="11"/>
  <c r="A1301" i="11"/>
  <c r="A1302" i="11"/>
  <c r="A1303" i="11"/>
  <c r="A1304" i="11"/>
  <c r="A1305" i="11"/>
  <c r="A1306" i="11"/>
  <c r="A1307" i="11"/>
  <c r="A1308" i="11"/>
  <c r="A1309" i="11"/>
  <c r="A1310" i="11"/>
  <c r="A1311" i="11"/>
  <c r="A1312" i="11"/>
  <c r="A1313" i="11"/>
  <c r="A1314" i="11"/>
  <c r="A1315" i="11"/>
  <c r="A1316" i="11"/>
  <c r="A1317" i="11"/>
  <c r="A1318" i="11"/>
  <c r="A1319" i="11"/>
  <c r="A1320" i="11"/>
  <c r="A1321" i="11"/>
  <c r="A1322" i="11"/>
  <c r="A1323" i="11"/>
  <c r="A1324" i="11"/>
  <c r="A1325" i="11"/>
  <c r="A1326" i="11"/>
  <c r="A1327" i="11"/>
  <c r="A1328" i="11"/>
  <c r="A1329" i="11"/>
  <c r="A1330" i="11"/>
  <c r="A1331" i="11"/>
  <c r="A1332" i="11"/>
  <c r="A1333" i="11"/>
  <c r="A1334" i="11"/>
  <c r="A1335" i="11"/>
  <c r="A1336" i="11"/>
  <c r="A1337" i="11"/>
  <c r="A1338" i="11"/>
  <c r="A1339" i="11"/>
  <c r="A1340" i="11"/>
  <c r="A1341" i="11"/>
  <c r="A1342" i="11"/>
  <c r="A1343" i="11"/>
  <c r="A1344" i="11"/>
  <c r="A1345" i="11"/>
  <c r="A1346" i="11"/>
  <c r="A1347" i="11"/>
  <c r="A1348" i="11"/>
  <c r="A1349" i="11"/>
  <c r="A1350" i="11"/>
  <c r="A1351" i="11"/>
  <c r="A1352" i="11"/>
  <c r="A1353" i="11"/>
  <c r="A1354" i="11"/>
  <c r="A1355" i="11"/>
  <c r="A1356" i="11"/>
  <c r="A1357" i="11"/>
  <c r="A1358" i="11"/>
  <c r="A1359" i="11"/>
  <c r="A1360" i="11"/>
  <c r="A1361" i="11"/>
  <c r="A1362" i="11"/>
  <c r="A1363" i="11"/>
  <c r="A1364" i="11"/>
  <c r="A1365" i="11"/>
  <c r="A1366" i="11"/>
  <c r="A1367" i="11"/>
  <c r="A1368" i="11"/>
  <c r="A1369" i="11"/>
  <c r="A1370" i="11"/>
  <c r="A1371" i="11"/>
  <c r="A1372" i="11"/>
  <c r="A1373" i="11"/>
  <c r="A1374" i="11"/>
  <c r="A1375" i="11"/>
  <c r="A1376" i="11"/>
  <c r="A1377" i="11"/>
  <c r="A1378" i="11"/>
  <c r="A1379" i="11"/>
  <c r="A1380" i="11"/>
  <c r="A1381" i="11"/>
  <c r="A1382" i="11"/>
  <c r="A1383" i="11"/>
  <c r="A1384" i="11"/>
  <c r="A1385" i="11"/>
  <c r="A1386" i="11"/>
  <c r="A1387" i="11"/>
  <c r="A1388" i="11"/>
  <c r="A1389" i="11"/>
  <c r="A1390" i="11"/>
  <c r="A1391" i="11"/>
  <c r="A1392" i="11"/>
  <c r="A1393" i="11"/>
  <c r="A1394" i="11"/>
  <c r="A1395" i="11"/>
  <c r="A1396" i="11"/>
  <c r="A1397" i="11"/>
  <c r="A1398" i="11"/>
  <c r="A1399" i="11"/>
  <c r="A1400" i="11"/>
  <c r="A1401" i="11"/>
  <c r="A1402" i="11"/>
  <c r="A1403" i="11"/>
  <c r="A1404" i="11"/>
  <c r="A1405" i="11"/>
  <c r="A1406" i="11"/>
  <c r="A1407" i="11"/>
  <c r="A1408" i="11"/>
  <c r="A1409" i="11"/>
  <c r="A1410" i="11"/>
  <c r="A1411" i="11"/>
  <c r="A1412" i="11"/>
  <c r="A1413" i="11"/>
  <c r="A1414" i="11"/>
  <c r="A1415" i="11"/>
  <c r="A1416" i="11"/>
  <c r="A1417" i="11"/>
  <c r="A1418" i="11"/>
  <c r="A1419" i="11"/>
  <c r="A1420" i="11"/>
  <c r="A1421" i="11"/>
  <c r="A1422" i="11"/>
  <c r="A1423" i="11"/>
  <c r="A1424" i="11"/>
  <c r="A1425" i="11"/>
  <c r="A1426" i="11"/>
  <c r="A1427" i="11"/>
  <c r="A1428" i="11"/>
  <c r="A1429" i="11"/>
  <c r="A1430" i="11"/>
  <c r="A1431" i="11"/>
  <c r="A1432" i="11"/>
  <c r="A1433" i="11"/>
  <c r="A1434" i="11"/>
  <c r="A1435" i="11"/>
  <c r="A1436" i="11"/>
  <c r="A1437" i="11"/>
  <c r="A1438" i="11"/>
  <c r="A1439" i="11"/>
  <c r="A1440" i="11"/>
  <c r="A1441" i="11"/>
  <c r="A1475" i="11"/>
  <c r="A1476" i="11"/>
  <c r="A1477" i="11"/>
  <c r="A1478" i="11"/>
  <c r="A1479" i="11"/>
  <c r="A1480" i="11"/>
  <c r="A1481" i="11"/>
  <c r="A1482" i="11"/>
  <c r="A1483" i="11"/>
  <c r="A1484" i="11"/>
  <c r="A1485" i="11"/>
  <c r="A1486" i="11"/>
  <c r="A1487" i="11"/>
  <c r="A1488" i="11"/>
  <c r="A1489" i="11"/>
  <c r="A1490" i="11"/>
  <c r="A1491" i="11"/>
  <c r="A1492" i="11"/>
  <c r="A1493" i="11"/>
  <c r="A1494" i="11"/>
  <c r="A1495" i="11"/>
  <c r="A1496" i="11"/>
  <c r="A1497" i="11"/>
  <c r="A1498" i="11"/>
  <c r="A1499" i="11"/>
  <c r="A1500" i="11"/>
  <c r="BB11"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369" i="9"/>
  <c r="A370" i="9"/>
  <c r="A371" i="9"/>
  <c r="A372" i="9"/>
  <c r="A373" i="9"/>
  <c r="A374" i="9"/>
  <c r="A375" i="9"/>
  <c r="A376" i="9"/>
  <c r="A377" i="9"/>
  <c r="A378" i="9"/>
  <c r="A379" i="9"/>
  <c r="A380" i="9"/>
  <c r="A381" i="9"/>
  <c r="A382" i="9"/>
  <c r="A383" i="9"/>
  <c r="A384" i="9"/>
  <c r="A385" i="9"/>
  <c r="A386" i="9"/>
  <c r="A387" i="9"/>
  <c r="A388" i="9"/>
  <c r="A389" i="9"/>
  <c r="A391" i="9"/>
  <c r="A392" i="9"/>
  <c r="A393" i="9"/>
  <c r="A394" i="9"/>
  <c r="A395" i="9"/>
  <c r="A396" i="9"/>
  <c r="A397" i="9"/>
  <c r="A398" i="9"/>
  <c r="A399" i="9"/>
  <c r="A400" i="9"/>
  <c r="A401" i="9"/>
  <c r="A402" i="9"/>
  <c r="A403" i="9"/>
  <c r="A418" i="9"/>
  <c r="A420" i="9"/>
  <c r="A421" i="9"/>
  <c r="A422" i="9"/>
  <c r="A423" i="9"/>
  <c r="A424" i="9"/>
  <c r="A425" i="9"/>
  <c r="A426" i="9"/>
  <c r="A427" i="9"/>
  <c r="A428" i="9"/>
  <c r="A429" i="9"/>
  <c r="A430" i="9"/>
  <c r="A431" i="9"/>
  <c r="A432" i="9"/>
  <c r="A433" i="9"/>
  <c r="A434" i="9"/>
  <c r="A436" i="9"/>
  <c r="A437" i="9"/>
  <c r="A438" i="9"/>
  <c r="A439" i="9"/>
  <c r="A440" i="9"/>
  <c r="A441" i="9"/>
  <c r="A442" i="9"/>
  <c r="A443" i="9"/>
  <c r="A444" i="9"/>
  <c r="A445" i="9"/>
  <c r="A446" i="9"/>
  <c r="A447" i="9"/>
  <c r="A448" i="9"/>
  <c r="A449" i="9"/>
  <c r="A450" i="9"/>
  <c r="A452" i="9"/>
  <c r="A453" i="9"/>
  <c r="A454" i="9"/>
  <c r="A455" i="9"/>
  <c r="A456" i="9"/>
  <c r="A457" i="9"/>
  <c r="A458" i="9"/>
  <c r="A459" i="9"/>
  <c r="A460" i="9"/>
  <c r="A461" i="9"/>
  <c r="A462" i="9"/>
  <c r="A463" i="9"/>
  <c r="A464" i="9"/>
  <c r="A465" i="9"/>
  <c r="A466" i="9"/>
  <c r="A467" i="9"/>
  <c r="A468" i="9"/>
  <c r="A469" i="9"/>
  <c r="A470" i="9"/>
  <c r="A471" i="9"/>
  <c r="A472" i="9"/>
  <c r="A474" i="9"/>
  <c r="A475" i="9"/>
  <c r="A476" i="9"/>
  <c r="A477" i="9"/>
  <c r="A478" i="9"/>
  <c r="A479" i="9"/>
  <c r="A480" i="9"/>
  <c r="A481" i="9"/>
  <c r="A482" i="9"/>
  <c r="A483" i="9"/>
  <c r="A484" i="9"/>
  <c r="A485" i="9"/>
  <c r="A487" i="9"/>
  <c r="A488" i="9"/>
  <c r="A489" i="9"/>
  <c r="A490" i="9"/>
  <c r="A491" i="9"/>
  <c r="A492" i="9"/>
  <c r="A493" i="9"/>
  <c r="A494" i="9"/>
  <c r="A495" i="9"/>
  <c r="A496" i="9"/>
  <c r="A497" i="9"/>
  <c r="A498" i="9"/>
  <c r="A499" i="9"/>
  <c r="A500" i="9"/>
  <c r="A501" i="9"/>
  <c r="A502" i="9"/>
  <c r="A504" i="9"/>
  <c r="A505" i="9"/>
  <c r="A506" i="9"/>
  <c r="A507" i="9"/>
  <c r="A508" i="9"/>
  <c r="A509" i="9"/>
  <c r="A510" i="9"/>
  <c r="A511" i="9"/>
  <c r="A512" i="9"/>
  <c r="A513" i="9"/>
  <c r="A514" i="9"/>
  <c r="A515" i="9"/>
  <c r="A516" i="9"/>
  <c r="A517" i="9"/>
  <c r="A518" i="9"/>
  <c r="A519" i="9"/>
  <c r="A520" i="9"/>
  <c r="A521" i="9"/>
  <c r="A522" i="9"/>
  <c r="A524" i="9"/>
  <c r="A525" i="9"/>
  <c r="A526" i="9"/>
  <c r="A527" i="9"/>
  <c r="A528" i="9"/>
  <c r="A529" i="9"/>
  <c r="A530" i="9"/>
  <c r="A531" i="9"/>
  <c r="A532" i="9"/>
  <c r="A533" i="9"/>
  <c r="A534" i="9"/>
  <c r="A535" i="9"/>
  <c r="A536" i="9"/>
  <c r="A538" i="9"/>
  <c r="A539" i="9"/>
  <c r="A540" i="9"/>
  <c r="A541" i="9"/>
  <c r="A542" i="9"/>
  <c r="A543" i="9"/>
  <c r="A544" i="9"/>
  <c r="A545" i="9"/>
  <c r="A546" i="9"/>
  <c r="A547" i="9"/>
  <c r="A548" i="9"/>
  <c r="A549" i="9"/>
  <c r="A550" i="9"/>
  <c r="A552" i="9"/>
  <c r="A553" i="9"/>
  <c r="A554" i="9"/>
  <c r="A555" i="9"/>
  <c r="A556" i="9"/>
  <c r="A557" i="9"/>
  <c r="A558" i="9"/>
  <c r="A559" i="9"/>
  <c r="A560" i="9"/>
  <c r="A561" i="9"/>
  <c r="A562" i="9"/>
  <c r="A563" i="9"/>
  <c r="A564" i="9"/>
  <c r="A565" i="9"/>
  <c r="A566" i="9"/>
  <c r="A567" i="9"/>
  <c r="A568" i="9"/>
  <c r="A569" i="9"/>
  <c r="A570" i="9"/>
  <c r="A571" i="9"/>
  <c r="A572" i="9"/>
  <c r="A573" i="9"/>
  <c r="A574" i="9"/>
  <c r="A575" i="9"/>
  <c r="A576" i="9"/>
  <c r="A577" i="9"/>
  <c r="A578" i="9"/>
  <c r="A579" i="9"/>
  <c r="A580" i="9"/>
  <c r="A581" i="9"/>
  <c r="A582" i="9"/>
  <c r="A584" i="9"/>
  <c r="A585" i="9"/>
  <c r="A586" i="9"/>
  <c r="A587" i="9"/>
  <c r="A588" i="9"/>
  <c r="A589" i="9"/>
  <c r="A590" i="9"/>
  <c r="A591" i="9"/>
  <c r="A592" i="9"/>
  <c r="A593" i="9"/>
  <c r="A594" i="9"/>
  <c r="A595" i="9"/>
  <c r="A596" i="9"/>
  <c r="A597" i="9"/>
  <c r="A598" i="9"/>
  <c r="A599" i="9"/>
  <c r="A600" i="9"/>
  <c r="A601" i="9"/>
  <c r="A602" i="9"/>
  <c r="A603" i="9"/>
  <c r="A604" i="9"/>
  <c r="A606" i="9"/>
  <c r="A607" i="9"/>
  <c r="A608" i="9"/>
  <c r="A609" i="9"/>
  <c r="A610" i="9"/>
  <c r="A611" i="9"/>
  <c r="A612" i="9"/>
  <c r="A613" i="9"/>
  <c r="A614" i="9"/>
  <c r="A615" i="9"/>
  <c r="A616" i="9"/>
  <c r="A617" i="9"/>
  <c r="A618" i="9"/>
  <c r="A619" i="9"/>
  <c r="A620" i="9"/>
  <c r="A621" i="9"/>
  <c r="A623" i="9"/>
  <c r="A624" i="9"/>
  <c r="A625" i="9"/>
  <c r="A626" i="9"/>
  <c r="A627" i="9"/>
  <c r="A628" i="9"/>
  <c r="A629" i="9"/>
  <c r="A630" i="9"/>
  <c r="A631" i="9"/>
  <c r="A632" i="9"/>
  <c r="A633" i="9"/>
  <c r="A634" i="9"/>
  <c r="A635" i="9"/>
  <c r="A636" i="9"/>
  <c r="A637" i="9"/>
  <c r="A638" i="9"/>
  <c r="A639" i="9"/>
  <c r="A640" i="9"/>
  <c r="A641" i="9"/>
  <c r="A643" i="9"/>
  <c r="A644" i="9"/>
  <c r="A645" i="9"/>
  <c r="A646" i="9"/>
  <c r="A647" i="9"/>
  <c r="A648" i="9"/>
  <c r="A649" i="9"/>
  <c r="A650" i="9"/>
  <c r="A651" i="9"/>
  <c r="A652" i="9"/>
  <c r="A653" i="9"/>
  <c r="A655" i="9"/>
  <c r="A656" i="9"/>
  <c r="A657" i="9"/>
  <c r="A658" i="9"/>
  <c r="A659" i="9"/>
  <c r="A660" i="9"/>
  <c r="A661" i="9"/>
  <c r="A662" i="9"/>
  <c r="A663" i="9"/>
  <c r="A664" i="9"/>
  <c r="A665" i="9"/>
  <c r="A667" i="9"/>
  <c r="A668" i="9"/>
  <c r="A669" i="9"/>
  <c r="A670" i="9"/>
  <c r="A671" i="9"/>
  <c r="A672" i="9"/>
  <c r="A673" i="9"/>
  <c r="A674" i="9"/>
  <c r="A675" i="9"/>
  <c r="A676" i="9"/>
  <c r="A677" i="9"/>
  <c r="A678" i="9"/>
  <c r="A679" i="9"/>
  <c r="A680" i="9"/>
  <c r="A681" i="9"/>
  <c r="A682" i="9"/>
  <c r="A684" i="9"/>
  <c r="A685" i="9"/>
  <c r="A686" i="9"/>
  <c r="A687" i="9"/>
  <c r="A688" i="9"/>
  <c r="A689" i="9"/>
  <c r="A690" i="9"/>
  <c r="A691" i="9"/>
  <c r="A692" i="9"/>
  <c r="A693" i="9"/>
  <c r="A694" i="9"/>
  <c r="A695" i="9"/>
  <c r="A696" i="9"/>
  <c r="A698" i="9"/>
  <c r="A699" i="9"/>
  <c r="A700" i="9"/>
  <c r="A701" i="9"/>
  <c r="A702" i="9"/>
  <c r="A703" i="9"/>
  <c r="A704" i="9"/>
  <c r="A705" i="9"/>
  <c r="A706" i="9"/>
  <c r="A707" i="9"/>
  <c r="A708" i="9"/>
  <c r="A709" i="9"/>
  <c r="A710" i="9"/>
  <c r="A711" i="9"/>
  <c r="A712" i="9"/>
  <c r="A713" i="9"/>
  <c r="A714" i="9"/>
  <c r="A715" i="9"/>
  <c r="A716" i="9"/>
  <c r="A717" i="9"/>
  <c r="A718" i="9"/>
  <c r="A719" i="9"/>
  <c r="A720" i="9"/>
  <c r="A721" i="9"/>
  <c r="A722" i="9"/>
  <c r="A723" i="9"/>
  <c r="A724" i="9"/>
  <c r="A725" i="9"/>
  <c r="A726" i="9"/>
  <c r="A727" i="9"/>
  <c r="A728" i="9"/>
  <c r="A729" i="9"/>
  <c r="A730" i="9"/>
  <c r="A731" i="9"/>
  <c r="A732" i="9"/>
  <c r="A734" i="9"/>
  <c r="A735" i="9"/>
  <c r="A736" i="9"/>
  <c r="A737" i="9"/>
  <c r="A738" i="9"/>
  <c r="A739" i="9"/>
  <c r="A740" i="9"/>
  <c r="A741" i="9"/>
  <c r="A742" i="9"/>
  <c r="A743" i="9"/>
  <c r="A744" i="9"/>
  <c r="A745" i="9"/>
  <c r="A746" i="9"/>
  <c r="A747" i="9"/>
  <c r="A748" i="9"/>
  <c r="A749" i="9"/>
  <c r="A750" i="9"/>
  <c r="A751" i="9"/>
  <c r="A752" i="9"/>
  <c r="A753" i="9"/>
  <c r="A754" i="9"/>
  <c r="A769" i="9"/>
  <c r="A770" i="9"/>
  <c r="A771" i="9"/>
  <c r="A772" i="9"/>
  <c r="A773" i="9"/>
  <c r="A774" i="9"/>
  <c r="A775" i="9"/>
  <c r="A776" i="9"/>
  <c r="A777" i="9"/>
  <c r="A778" i="9"/>
  <c r="A779" i="9"/>
  <c r="A780" i="9"/>
  <c r="A781" i="9"/>
  <c r="A782" i="9"/>
  <c r="A783" i="9"/>
  <c r="A784" i="9"/>
  <c r="A785" i="9"/>
  <c r="A786" i="9"/>
  <c r="A787" i="9"/>
  <c r="A788" i="9"/>
  <c r="A789" i="9"/>
  <c r="A790" i="9"/>
  <c r="A791" i="9"/>
  <c r="A792" i="9"/>
  <c r="A793" i="9"/>
  <c r="A794" i="9"/>
  <c r="A795" i="9"/>
  <c r="A796" i="9"/>
  <c r="A797" i="9"/>
  <c r="A798" i="9"/>
  <c r="A799" i="9"/>
  <c r="A800" i="9"/>
  <c r="A801" i="9"/>
  <c r="A802" i="9"/>
  <c r="A803" i="9"/>
  <c r="A804" i="9"/>
  <c r="A805" i="9"/>
  <c r="A806" i="9"/>
  <c r="A807" i="9"/>
  <c r="A808" i="9"/>
  <c r="A809" i="9"/>
  <c r="A810" i="9"/>
  <c r="A811" i="9"/>
  <c r="A812" i="9"/>
  <c r="A813" i="9"/>
  <c r="A814" i="9"/>
  <c r="A815" i="9"/>
  <c r="A816" i="9"/>
  <c r="A817" i="9"/>
  <c r="A818" i="9"/>
  <c r="A819" i="9"/>
  <c r="A820" i="9"/>
  <c r="A821" i="9"/>
  <c r="A822" i="9"/>
  <c r="A823" i="9"/>
  <c r="A824" i="9"/>
  <c r="A825" i="9"/>
  <c r="A826" i="9"/>
  <c r="A827" i="9"/>
  <c r="A828" i="9"/>
  <c r="A829" i="9"/>
  <c r="A830" i="9"/>
  <c r="A831" i="9"/>
  <c r="A832" i="9"/>
  <c r="A833" i="9"/>
  <c r="A834" i="9"/>
  <c r="A835" i="9"/>
  <c r="A836" i="9"/>
  <c r="A837" i="9"/>
  <c r="A838" i="9"/>
  <c r="A839" i="9"/>
  <c r="A840" i="9"/>
  <c r="A841" i="9"/>
  <c r="A842" i="9"/>
  <c r="A843" i="9"/>
  <c r="A844" i="9"/>
  <c r="A845" i="9"/>
  <c r="A846" i="9"/>
  <c r="A847" i="9"/>
  <c r="A848" i="9"/>
  <c r="A849" i="9"/>
  <c r="A850" i="9"/>
  <c r="A851" i="9"/>
  <c r="A852" i="9"/>
  <c r="A853" i="9"/>
  <c r="A854" i="9"/>
  <c r="A855" i="9"/>
  <c r="A856" i="9"/>
  <c r="A857" i="9"/>
  <c r="A858" i="9"/>
  <c r="A859" i="9"/>
  <c r="A860" i="9"/>
  <c r="A880" i="9"/>
  <c r="A896" i="9"/>
  <c r="A897" i="9"/>
  <c r="A898" i="9"/>
  <c r="A899" i="9"/>
  <c r="A900" i="9"/>
  <c r="A901" i="9"/>
  <c r="A902" i="9"/>
  <c r="A903" i="9"/>
  <c r="A904" i="9"/>
  <c r="A905" i="9"/>
  <c r="A906" i="9"/>
  <c r="A907" i="9"/>
  <c r="A908" i="9"/>
  <c r="A909" i="9"/>
  <c r="A910" i="9"/>
  <c r="A911" i="9"/>
  <c r="A912" i="9"/>
  <c r="A913" i="9"/>
  <c r="A914" i="9"/>
  <c r="A915" i="9"/>
  <c r="A928" i="9"/>
  <c r="A945" i="9"/>
  <c r="A985" i="9"/>
  <c r="A986" i="9"/>
  <c r="A987" i="9"/>
  <c r="A988" i="9"/>
  <c r="A989" i="9"/>
  <c r="A990" i="9"/>
  <c r="A991" i="9"/>
  <c r="A992" i="9"/>
  <c r="A993" i="9"/>
  <c r="A994" i="9"/>
  <c r="A995" i="9"/>
  <c r="A996" i="9"/>
  <c r="A997" i="9"/>
  <c r="A998" i="9"/>
  <c r="A999" i="9"/>
  <c r="A1000" i="9"/>
  <c r="A1001" i="9"/>
  <c r="A1002" i="9"/>
  <c r="A1003" i="9"/>
  <c r="A1004" i="9"/>
  <c r="A1005" i="9"/>
  <c r="A1006" i="9"/>
  <c r="A1007" i="9"/>
  <c r="A1008" i="9"/>
  <c r="A1009" i="9"/>
  <c r="A1010" i="9"/>
  <c r="A1011" i="9"/>
  <c r="A1012" i="9"/>
  <c r="A1013" i="9"/>
  <c r="A1014" i="9"/>
  <c r="A1015" i="9"/>
  <c r="A1016" i="9"/>
  <c r="A1017" i="9"/>
  <c r="A1018" i="9"/>
  <c r="A1019" i="9"/>
  <c r="A1020" i="9"/>
  <c r="A1021" i="9"/>
  <c r="A1022" i="9"/>
  <c r="A1023" i="9"/>
  <c r="A1024" i="9"/>
  <c r="A1025" i="9"/>
  <c r="A1026" i="9"/>
  <c r="A1027" i="9"/>
  <c r="A1028" i="9"/>
  <c r="A1029" i="9"/>
  <c r="A1030" i="9"/>
  <c r="A1031" i="9"/>
  <c r="A1032" i="9"/>
  <c r="A1033" i="9"/>
  <c r="A1034" i="9"/>
  <c r="A1035" i="9"/>
  <c r="A1036" i="9"/>
  <c r="A1037" i="9"/>
  <c r="A1038" i="9"/>
  <c r="A1039" i="9"/>
  <c r="A1040" i="9"/>
  <c r="A1041" i="9"/>
  <c r="A1042" i="9"/>
  <c r="A1043" i="9"/>
  <c r="A1044" i="9"/>
  <c r="A1045" i="9"/>
  <c r="A1046" i="9"/>
  <c r="A1047" i="9"/>
  <c r="A1048" i="9"/>
  <c r="A1049" i="9"/>
  <c r="A1050" i="9"/>
  <c r="A1051" i="9"/>
  <c r="A1052" i="9"/>
  <c r="A1053" i="9"/>
  <c r="A1054" i="9"/>
  <c r="A1055" i="9"/>
  <c r="A1056" i="9"/>
  <c r="A1057" i="9"/>
  <c r="A1058" i="9"/>
  <c r="A1059" i="9"/>
  <c r="A1060" i="9"/>
  <c r="A1061" i="9"/>
  <c r="A1062" i="9"/>
  <c r="A1063" i="9"/>
  <c r="A1064" i="9"/>
  <c r="A1065" i="9"/>
  <c r="A1066" i="9"/>
  <c r="A1067" i="9"/>
  <c r="A1068" i="9"/>
  <c r="A1069" i="9"/>
  <c r="A1070" i="9"/>
  <c r="A1071" i="9"/>
  <c r="A1072" i="9"/>
  <c r="A1073" i="9"/>
  <c r="A1074" i="9"/>
  <c r="A1075" i="9"/>
  <c r="A1076" i="9"/>
  <c r="A1077" i="9"/>
  <c r="A1078" i="9"/>
  <c r="A1079" i="9"/>
  <c r="A1080" i="9"/>
  <c r="A1081" i="9"/>
  <c r="A1082" i="9"/>
  <c r="A1083" i="9"/>
  <c r="A1084" i="9"/>
  <c r="A1085" i="9"/>
  <c r="A1086" i="9"/>
  <c r="A1087" i="9"/>
  <c r="A1088" i="9"/>
  <c r="A1089" i="9"/>
  <c r="A1090" i="9"/>
  <c r="A1091" i="9"/>
  <c r="A1092" i="9"/>
  <c r="A1093" i="9"/>
  <c r="A1094" i="9"/>
  <c r="A1095" i="9"/>
  <c r="A1096" i="9"/>
  <c r="A1097" i="9"/>
  <c r="A1098" i="9"/>
  <c r="A1099" i="9"/>
  <c r="A1100" i="9"/>
  <c r="A1101" i="9"/>
  <c r="A1102" i="9"/>
  <c r="A1103" i="9"/>
  <c r="A1104" i="9"/>
  <c r="A1105" i="9"/>
  <c r="A1106" i="9"/>
  <c r="A1107" i="9"/>
  <c r="A1108" i="9"/>
  <c r="A1109" i="9"/>
  <c r="A1110" i="9"/>
  <c r="A1111" i="9"/>
  <c r="A1112" i="9"/>
  <c r="A1113" i="9"/>
  <c r="A1114" i="9"/>
  <c r="A1115" i="9"/>
  <c r="A1116" i="9"/>
  <c r="A1117" i="9"/>
  <c r="A1118" i="9"/>
  <c r="A1119" i="9"/>
  <c r="A1120" i="9"/>
  <c r="A1121" i="9"/>
  <c r="A1122" i="9"/>
  <c r="A1123" i="9"/>
  <c r="A1124" i="9"/>
  <c r="A1125" i="9"/>
  <c r="A1126" i="9"/>
  <c r="A1127" i="9"/>
  <c r="A1128" i="9"/>
  <c r="A1129" i="9"/>
  <c r="A1130" i="9"/>
  <c r="A1131" i="9"/>
  <c r="A1132" i="9"/>
  <c r="A1133" i="9"/>
  <c r="A1134" i="9"/>
  <c r="A1135" i="9"/>
  <c r="A1136" i="9"/>
  <c r="A1137" i="9"/>
  <c r="A1138" i="9"/>
  <c r="A1139" i="9"/>
  <c r="A1140" i="9"/>
  <c r="A1141" i="9"/>
  <c r="A1142" i="9"/>
  <c r="A1143" i="9"/>
  <c r="A1144" i="9"/>
  <c r="A1145" i="9"/>
  <c r="A1146" i="9"/>
  <c r="A1147" i="9"/>
  <c r="A1148" i="9"/>
  <c r="A1149" i="9"/>
  <c r="A1150" i="9"/>
  <c r="A1151" i="9"/>
  <c r="A1152" i="9"/>
  <c r="A1153" i="9"/>
  <c r="A1154" i="9"/>
  <c r="A1155" i="9"/>
  <c r="A1156" i="9"/>
  <c r="A1157" i="9"/>
  <c r="A1158" i="9"/>
  <c r="A1159" i="9"/>
  <c r="A1160" i="9"/>
  <c r="A1161" i="9"/>
  <c r="A1162" i="9"/>
  <c r="A1163" i="9"/>
  <c r="A1164" i="9"/>
  <c r="A1165" i="9"/>
  <c r="A1166" i="9"/>
  <c r="A1167" i="9"/>
  <c r="A1168" i="9"/>
  <c r="A1169" i="9"/>
  <c r="A1170" i="9"/>
  <c r="A1171" i="9"/>
  <c r="A1172" i="9"/>
  <c r="A1173" i="9"/>
  <c r="A1174" i="9"/>
  <c r="A1175" i="9"/>
  <c r="A1176" i="9"/>
  <c r="A1177" i="9"/>
  <c r="A1178" i="9"/>
  <c r="A1179" i="9"/>
  <c r="A1180" i="9"/>
  <c r="A1181" i="9"/>
  <c r="A1182" i="9"/>
  <c r="A1183" i="9"/>
  <c r="A1184" i="9"/>
  <c r="A1185" i="9"/>
  <c r="A1186" i="9"/>
  <c r="A1187" i="9"/>
  <c r="A1188" i="9"/>
  <c r="A1189" i="9"/>
  <c r="A1190" i="9"/>
  <c r="A1191" i="9"/>
  <c r="A1192" i="9"/>
  <c r="A1193" i="9"/>
  <c r="A1194" i="9"/>
  <c r="A1195" i="9"/>
  <c r="A1196" i="9"/>
  <c r="A1197" i="9"/>
  <c r="A1198" i="9"/>
  <c r="A1199" i="9"/>
  <c r="A1200" i="9"/>
  <c r="O7" i="16"/>
  <c r="O6" i="16"/>
  <c r="BS13" i="12"/>
  <c r="BS11" i="12"/>
  <c r="O8" i="16"/>
  <c r="BU13" i="12"/>
  <c r="BU11" i="12"/>
  <c r="I8" i="3"/>
  <c r="O5" i="16"/>
  <c r="O9" i="16"/>
  <c r="BB11"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1" i="8"/>
  <c r="A222" i="8"/>
  <c r="A223" i="8"/>
  <c r="A224" i="8"/>
  <c r="A225" i="8"/>
  <c r="A226" i="8"/>
  <c r="A227" i="8"/>
  <c r="A228" i="8"/>
  <c r="A229" i="8"/>
  <c r="A230" i="8"/>
  <c r="A231" i="8"/>
  <c r="A232" i="8"/>
  <c r="A233" i="8"/>
  <c r="A235" i="8"/>
  <c r="A236" i="8"/>
  <c r="A237" i="8"/>
  <c r="A238" i="8"/>
  <c r="A239" i="8"/>
  <c r="A240" i="8"/>
  <c r="A241" i="8"/>
  <c r="A242" i="8"/>
  <c r="A243" i="8"/>
  <c r="A244" i="8"/>
  <c r="A245" i="8"/>
  <c r="A246" i="8"/>
  <c r="A247" i="8"/>
  <c r="A248" i="8"/>
  <c r="A249" i="8"/>
  <c r="A250" i="8"/>
  <c r="A252" i="8"/>
  <c r="A253" i="8"/>
  <c r="A254" i="8"/>
  <c r="A255" i="8"/>
  <c r="A256" i="8"/>
  <c r="A257" i="8"/>
  <c r="A258" i="8"/>
  <c r="A259" i="8"/>
  <c r="A260" i="8"/>
  <c r="A261" i="8"/>
  <c r="A262" i="8"/>
  <c r="A263" i="8"/>
  <c r="A264" i="8"/>
  <c r="A265" i="8"/>
  <c r="A266" i="8"/>
  <c r="A267" i="8"/>
  <c r="A268" i="8"/>
  <c r="A269" i="8"/>
  <c r="A270"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9" i="8"/>
  <c r="A300" i="8"/>
  <c r="A301" i="8"/>
  <c r="A302" i="8"/>
  <c r="A303" i="8"/>
  <c r="A304" i="8"/>
  <c r="A305" i="8"/>
  <c r="A306" i="8"/>
  <c r="A307" i="8"/>
  <c r="A308" i="8"/>
  <c r="A309" i="8"/>
  <c r="A310" i="8"/>
  <c r="A311" i="8"/>
  <c r="A312" i="8"/>
  <c r="A314" i="8"/>
  <c r="A315" i="8"/>
  <c r="A316" i="8"/>
  <c r="A317" i="8"/>
  <c r="A318" i="8"/>
  <c r="A319" i="8"/>
  <c r="A320" i="8"/>
  <c r="A321" i="8"/>
  <c r="A322" i="8"/>
  <c r="A323" i="8"/>
  <c r="A324" i="8"/>
  <c r="A325" i="8"/>
  <c r="A326" i="8"/>
  <c r="A327" i="8"/>
  <c r="A328" i="8"/>
  <c r="A329" i="8"/>
  <c r="A330" i="8"/>
  <c r="A331" i="8"/>
  <c r="A333" i="8"/>
  <c r="A334" i="8"/>
  <c r="A335" i="8"/>
  <c r="A336" i="8"/>
  <c r="A337" i="8"/>
  <c r="A338" i="8"/>
  <c r="A339" i="8"/>
  <c r="A340" i="8"/>
  <c r="A341" i="8"/>
  <c r="A342" i="8"/>
  <c r="A343" i="8"/>
  <c r="A344" i="8"/>
  <c r="A345" i="8"/>
  <c r="A346" i="8"/>
  <c r="A347" i="8"/>
  <c r="A348" i="8"/>
  <c r="A350" i="8"/>
  <c r="A351" i="8"/>
  <c r="A352" i="8"/>
  <c r="A353" i="8"/>
  <c r="A354" i="8"/>
  <c r="A355" i="8"/>
  <c r="A356" i="8"/>
  <c r="A357" i="8"/>
  <c r="A358" i="8"/>
  <c r="A359" i="8"/>
  <c r="A360" i="8"/>
  <c r="A361" i="8"/>
  <c r="A362" i="8"/>
  <c r="A363" i="8"/>
  <c r="A364" i="8"/>
  <c r="A365" i="8"/>
  <c r="A366" i="8"/>
  <c r="A368" i="8"/>
  <c r="A369" i="8"/>
  <c r="A370" i="8"/>
  <c r="A371" i="8"/>
  <c r="A372" i="8"/>
  <c r="A373" i="8"/>
  <c r="A374" i="8"/>
  <c r="A375" i="8"/>
  <c r="A376" i="8"/>
  <c r="A377" i="8"/>
  <c r="A378" i="8"/>
  <c r="A379" i="8"/>
  <c r="A380" i="8"/>
  <c r="A381" i="8"/>
  <c r="A382" i="8"/>
  <c r="A383" i="8"/>
  <c r="A384" i="8"/>
  <c r="A386" i="8"/>
  <c r="A387" i="8"/>
  <c r="A388" i="8"/>
  <c r="A389" i="8"/>
  <c r="A390" i="8"/>
  <c r="A391" i="8"/>
  <c r="A392" i="8"/>
  <c r="A393" i="8"/>
  <c r="A394" i="8"/>
  <c r="A395" i="8"/>
  <c r="A396" i="8"/>
  <c r="A397" i="8"/>
  <c r="A398" i="8"/>
  <c r="A399" i="8"/>
  <c r="A400" i="8"/>
  <c r="A401" i="8"/>
  <c r="A402" i="8"/>
  <c r="A404" i="8"/>
  <c r="A405" i="8"/>
  <c r="A406" i="8"/>
  <c r="A407" i="8"/>
  <c r="A408" i="8"/>
  <c r="A409" i="8"/>
  <c r="A410" i="8"/>
  <c r="A411" i="8"/>
  <c r="A412" i="8"/>
  <c r="A414" i="8"/>
  <c r="A415" i="8"/>
  <c r="A416" i="8"/>
  <c r="A417" i="8"/>
  <c r="A418" i="8"/>
  <c r="A419" i="8"/>
  <c r="A420" i="8"/>
  <c r="A421" i="8"/>
  <c r="A422" i="8"/>
  <c r="A423" i="8"/>
  <c r="A425" i="8"/>
  <c r="A426" i="8"/>
  <c r="A427" i="8"/>
  <c r="A428" i="8"/>
  <c r="A429" i="8"/>
  <c r="A430" i="8"/>
  <c r="A431" i="8"/>
  <c r="A432" i="8"/>
  <c r="A433" i="8"/>
  <c r="A434"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4" i="10"/>
  <c r="A435" i="10"/>
  <c r="A436" i="10"/>
  <c r="A437" i="10"/>
  <c r="A438" i="10"/>
  <c r="A439" i="10"/>
  <c r="A440" i="10"/>
  <c r="A441" i="10"/>
  <c r="A442" i="10"/>
  <c r="A443" i="10"/>
  <c r="A444" i="10"/>
  <c r="A445" i="10"/>
  <c r="A446" i="10"/>
  <c r="A447" i="10"/>
  <c r="A448" i="10"/>
  <c r="A449" i="10"/>
  <c r="A450" i="10"/>
  <c r="A451" i="10"/>
  <c r="A452" i="10"/>
  <c r="A453" i="10"/>
  <c r="A454" i="10"/>
  <c r="A455" i="10"/>
  <c r="A456" i="10"/>
  <c r="A457" i="10"/>
  <c r="A458" i="10"/>
  <c r="A459" i="10"/>
  <c r="A460" i="10"/>
  <c r="A461" i="10"/>
  <c r="A462" i="10"/>
  <c r="A463" i="10"/>
  <c r="A464" i="10"/>
  <c r="A465" i="10"/>
  <c r="A467" i="10"/>
  <c r="A468" i="10"/>
  <c r="A469" i="10"/>
  <c r="A470" i="10"/>
  <c r="A471" i="10"/>
  <c r="A472" i="10"/>
  <c r="A473" i="10"/>
  <c r="A474" i="10"/>
  <c r="A475" i="10"/>
  <c r="A476" i="10"/>
  <c r="A477" i="10"/>
  <c r="A478" i="10"/>
  <c r="A479" i="10"/>
  <c r="A480" i="10"/>
  <c r="A481" i="10"/>
  <c r="A483" i="10"/>
  <c r="A484" i="10"/>
  <c r="A485" i="10"/>
  <c r="A486" i="10"/>
  <c r="A487" i="10"/>
  <c r="A488" i="10"/>
  <c r="A489" i="10"/>
  <c r="A490" i="10"/>
  <c r="A491" i="10"/>
  <c r="A492" i="10"/>
  <c r="A493" i="10"/>
  <c r="A494" i="10"/>
  <c r="A495" i="10"/>
  <c r="A496" i="10"/>
  <c r="A497" i="10"/>
  <c r="A498" i="10"/>
  <c r="A499" i="10"/>
  <c r="A500" i="10"/>
  <c r="A501" i="10"/>
  <c r="A503" i="10"/>
  <c r="A504" i="10"/>
  <c r="A505" i="10"/>
  <c r="A506" i="10"/>
  <c r="A507" i="10"/>
  <c r="A508" i="10"/>
  <c r="A509" i="10"/>
  <c r="A510" i="10"/>
  <c r="A511" i="10"/>
  <c r="A512" i="10"/>
  <c r="A513" i="10"/>
  <c r="A514" i="10"/>
  <c r="A515" i="10"/>
  <c r="A516" i="10"/>
  <c r="A517" i="10"/>
  <c r="A518" i="10"/>
  <c r="A519" i="10"/>
  <c r="A520" i="10"/>
  <c r="A521" i="10"/>
  <c r="A522" i="10"/>
  <c r="A523" i="10"/>
  <c r="A524" i="10"/>
  <c r="A525" i="10"/>
  <c r="A526" i="10"/>
  <c r="A527" i="10"/>
  <c r="A528" i="10"/>
  <c r="A529" i="10"/>
  <c r="A530" i="10"/>
  <c r="A531" i="10"/>
  <c r="A532" i="10"/>
  <c r="A533" i="10"/>
  <c r="A534" i="10"/>
  <c r="A535" i="10"/>
  <c r="A536" i="10"/>
  <c r="A537" i="10"/>
  <c r="A538" i="10"/>
  <c r="A539" i="10"/>
  <c r="A540" i="10"/>
  <c r="A541" i="10"/>
  <c r="A542" i="10"/>
  <c r="A543" i="10"/>
  <c r="A544" i="10"/>
  <c r="A545" i="10"/>
  <c r="A546" i="10"/>
  <c r="A547" i="10"/>
  <c r="A548" i="10"/>
  <c r="A549" i="10"/>
  <c r="A550" i="10"/>
  <c r="A551" i="10"/>
  <c r="A552" i="10"/>
  <c r="A553" i="10"/>
  <c r="A554" i="10"/>
  <c r="A555" i="10"/>
  <c r="A556" i="10"/>
  <c r="A557" i="10"/>
  <c r="A558" i="10"/>
  <c r="A559" i="10"/>
  <c r="A560" i="10"/>
  <c r="A561" i="10"/>
  <c r="A562" i="10"/>
  <c r="A563" i="10"/>
  <c r="A564" i="10"/>
  <c r="A565" i="10"/>
  <c r="A566" i="10"/>
  <c r="A567" i="10"/>
  <c r="A568" i="10"/>
  <c r="A569" i="10"/>
  <c r="A570" i="10"/>
  <c r="A571" i="10"/>
  <c r="A572" i="10"/>
  <c r="A573" i="10"/>
  <c r="A574" i="10"/>
  <c r="A575" i="10"/>
  <c r="A576" i="10"/>
  <c r="A577" i="10"/>
  <c r="A578" i="10"/>
  <c r="A579" i="10"/>
  <c r="A580" i="10"/>
  <c r="A581" i="10"/>
  <c r="A582" i="10"/>
  <c r="A583" i="10"/>
  <c r="A584" i="10"/>
  <c r="A585" i="10"/>
  <c r="A586" i="10"/>
  <c r="A587" i="10"/>
  <c r="A588" i="10"/>
  <c r="A589" i="10"/>
  <c r="A590" i="10"/>
  <c r="A591" i="10"/>
  <c r="A592" i="10"/>
  <c r="A593" i="10"/>
  <c r="A594" i="10"/>
  <c r="A595" i="10"/>
  <c r="A596" i="10"/>
  <c r="A597" i="10"/>
  <c r="A598" i="10"/>
  <c r="A599" i="10"/>
  <c r="A600" i="10"/>
  <c r="A601" i="10"/>
  <c r="A602" i="10"/>
  <c r="A603" i="10"/>
  <c r="A604" i="10"/>
  <c r="A605" i="10"/>
  <c r="A606" i="10"/>
  <c r="A607" i="10"/>
  <c r="A608" i="10"/>
  <c r="A609" i="10"/>
  <c r="A610" i="10"/>
  <c r="A611" i="10"/>
  <c r="A612" i="10"/>
  <c r="A613" i="10"/>
  <c r="A614" i="10"/>
  <c r="A615" i="10"/>
  <c r="A616" i="10"/>
  <c r="A617" i="10"/>
  <c r="A618" i="10"/>
  <c r="A619" i="10"/>
  <c r="A620" i="10"/>
  <c r="A621" i="10"/>
  <c r="A622" i="10"/>
  <c r="A623" i="10"/>
  <c r="A624" i="10"/>
  <c r="A625" i="10"/>
  <c r="A626" i="10"/>
  <c r="A627" i="10"/>
  <c r="A628" i="10"/>
  <c r="A629" i="10"/>
  <c r="A630" i="10"/>
  <c r="A631" i="10"/>
  <c r="A632" i="10"/>
  <c r="A633" i="10"/>
  <c r="A634" i="10"/>
  <c r="A635" i="10"/>
  <c r="A636" i="10"/>
  <c r="A637" i="10"/>
  <c r="A638" i="10"/>
  <c r="A639" i="10"/>
  <c r="A640" i="10"/>
  <c r="A641" i="10"/>
  <c r="A642" i="10"/>
  <c r="A643" i="10"/>
  <c r="A644" i="10"/>
  <c r="A645" i="10"/>
  <c r="A646" i="10"/>
  <c r="A647" i="10"/>
  <c r="A648" i="10"/>
  <c r="A649" i="10"/>
  <c r="A650" i="10"/>
  <c r="A651" i="10"/>
  <c r="A652" i="10"/>
  <c r="A653" i="10"/>
  <c r="A654" i="10"/>
  <c r="A655" i="10"/>
  <c r="A656" i="10"/>
  <c r="A657" i="10"/>
  <c r="A658" i="10"/>
  <c r="A659" i="10"/>
  <c r="A660" i="10"/>
  <c r="A661" i="10"/>
  <c r="A662" i="10"/>
  <c r="A663" i="10"/>
  <c r="A665" i="10"/>
  <c r="A666" i="10"/>
  <c r="A667" i="10"/>
  <c r="A668" i="10"/>
  <c r="A669" i="10"/>
  <c r="A670" i="10"/>
  <c r="A671" i="10"/>
  <c r="A672" i="10"/>
  <c r="A673" i="10"/>
  <c r="A674" i="10"/>
  <c r="A675" i="10"/>
  <c r="A676" i="10"/>
  <c r="A677" i="10"/>
  <c r="A678" i="10"/>
  <c r="A679" i="10"/>
  <c r="A680" i="10"/>
  <c r="A681" i="10"/>
  <c r="A682" i="10"/>
  <c r="A683" i="10"/>
  <c r="A684" i="10"/>
  <c r="A685" i="10"/>
  <c r="A687" i="10"/>
  <c r="A688" i="10"/>
  <c r="A689" i="10"/>
  <c r="A690" i="10"/>
  <c r="A691" i="10"/>
  <c r="A692" i="10"/>
  <c r="A693" i="10"/>
  <c r="A694" i="10"/>
  <c r="A695" i="10"/>
  <c r="A696" i="10"/>
  <c r="A697" i="10"/>
  <c r="A698" i="10"/>
  <c r="A699" i="10"/>
  <c r="A700" i="10"/>
  <c r="A701" i="10"/>
  <c r="A702" i="10"/>
  <c r="A704" i="10"/>
  <c r="A705" i="10"/>
  <c r="A706" i="10"/>
  <c r="A707" i="10"/>
  <c r="A708" i="10"/>
  <c r="A709" i="10"/>
  <c r="A710" i="10"/>
  <c r="A711" i="10"/>
  <c r="A712" i="10"/>
  <c r="A713" i="10"/>
  <c r="A714" i="10"/>
  <c r="A715" i="10"/>
  <c r="A716" i="10"/>
  <c r="A717" i="10"/>
  <c r="A718" i="10"/>
  <c r="A719" i="10"/>
  <c r="A720" i="10"/>
  <c r="A721" i="10"/>
  <c r="A722"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7" i="10"/>
  <c r="A788" i="10"/>
  <c r="A789" i="10"/>
  <c r="A790" i="10"/>
  <c r="A791" i="10"/>
  <c r="A792" i="10"/>
  <c r="A793" i="10"/>
  <c r="A794" i="10"/>
  <c r="A795" i="10"/>
  <c r="A796" i="10"/>
  <c r="A797" i="10"/>
  <c r="A798" i="10"/>
  <c r="A799" i="10"/>
  <c r="A800" i="10"/>
  <c r="A801" i="10"/>
  <c r="A802" i="10"/>
  <c r="A803" i="10"/>
  <c r="A804" i="10"/>
  <c r="A805" i="10"/>
  <c r="A806" i="10"/>
  <c r="A807" i="10"/>
  <c r="A808" i="10"/>
  <c r="A809" i="10"/>
  <c r="A810" i="10"/>
  <c r="A811" i="10"/>
  <c r="A812" i="10"/>
  <c r="A813" i="10"/>
  <c r="A814" i="10"/>
  <c r="A815" i="10"/>
  <c r="A816"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53" i="10"/>
  <c r="A854" i="10"/>
  <c r="A855" i="10"/>
  <c r="A856" i="10"/>
  <c r="A857" i="10"/>
  <c r="A858" i="10"/>
  <c r="A859" i="10"/>
  <c r="A860" i="10"/>
  <c r="A861" i="10"/>
  <c r="A862" i="10"/>
  <c r="A863" i="10"/>
  <c r="A864" i="10"/>
  <c r="A865" i="10"/>
  <c r="A866"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897" i="10"/>
  <c r="A898" i="10"/>
  <c r="A899" i="10"/>
  <c r="A900" i="10"/>
  <c r="A901" i="10"/>
  <c r="A902" i="10"/>
  <c r="A903" i="10"/>
  <c r="A904" i="10"/>
  <c r="A905" i="10"/>
  <c r="A906" i="10"/>
  <c r="A907" i="10"/>
  <c r="A908" i="10"/>
  <c r="A909"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0" i="10"/>
  <c r="A971" i="10"/>
  <c r="A972" i="10"/>
  <c r="A973" i="10"/>
  <c r="A974" i="10"/>
  <c r="A975" i="10"/>
  <c r="A976" i="10"/>
  <c r="A977" i="10"/>
  <c r="A978" i="10"/>
  <c r="A979" i="10"/>
  <c r="A980" i="10"/>
  <c r="A981" i="10"/>
  <c r="A982" i="10"/>
  <c r="A983" i="10"/>
  <c r="A984" i="10"/>
  <c r="A985" i="10"/>
  <c r="A986" i="10"/>
  <c r="A987" i="10"/>
  <c r="A988" i="10"/>
  <c r="A989" i="10"/>
  <c r="A990" i="10"/>
  <c r="A991" i="10"/>
  <c r="A992" i="10"/>
  <c r="A993" i="10"/>
  <c r="A994" i="10"/>
  <c r="A995" i="10"/>
  <c r="A996" i="10"/>
  <c r="A998" i="10"/>
  <c r="A999" i="10"/>
  <c r="A1000" i="10"/>
  <c r="A1001" i="10"/>
  <c r="A1002" i="10"/>
  <c r="A1003" i="10"/>
  <c r="A1004" i="10"/>
  <c r="A1005" i="10"/>
  <c r="A1006" i="10"/>
  <c r="A1007" i="10"/>
  <c r="A1008" i="10"/>
  <c r="A1009" i="10"/>
  <c r="A1010" i="10"/>
  <c r="A1011" i="10"/>
  <c r="A1013" i="10"/>
  <c r="A1014" i="10"/>
  <c r="A1015" i="10"/>
  <c r="A1016" i="10"/>
  <c r="A1017" i="10"/>
  <c r="A1018" i="10"/>
  <c r="A1019" i="10"/>
  <c r="A1020" i="10"/>
  <c r="A1021" i="10"/>
  <c r="A1022" i="10"/>
  <c r="A1023" i="10"/>
  <c r="A1024" i="10"/>
  <c r="A1025" i="10"/>
  <c r="A1026" i="10"/>
  <c r="A1027" i="10"/>
  <c r="A1028" i="10"/>
  <c r="A1029" i="10"/>
  <c r="A1030" i="10"/>
  <c r="A1031" i="10"/>
  <c r="A1032" i="10"/>
  <c r="A1033" i="10"/>
  <c r="A1034" i="10"/>
  <c r="A1035" i="10"/>
  <c r="A1036" i="10"/>
  <c r="A1037" i="10"/>
  <c r="A1038" i="10"/>
  <c r="A1039" i="10"/>
  <c r="A1040" i="10"/>
  <c r="A1041" i="10"/>
  <c r="A1042" i="10"/>
  <c r="A1043" i="10"/>
  <c r="A1044" i="10"/>
  <c r="A1045" i="10"/>
  <c r="A1046" i="10"/>
  <c r="A1047" i="10"/>
  <c r="A1048" i="10"/>
  <c r="A1049" i="10"/>
  <c r="A1050" i="10"/>
  <c r="A1051" i="10"/>
  <c r="A1052" i="10"/>
  <c r="A1053" i="10"/>
  <c r="A1054" i="10"/>
  <c r="A1056" i="10"/>
  <c r="A1057" i="10"/>
  <c r="A1058" i="10"/>
  <c r="A1059" i="10"/>
  <c r="A1060" i="10"/>
  <c r="A1061" i="10"/>
  <c r="A1062" i="10"/>
  <c r="A1063" i="10"/>
  <c r="A1064" i="10"/>
  <c r="A1065" i="10"/>
  <c r="A1066" i="10"/>
  <c r="A1067" i="10"/>
  <c r="A1068" i="10"/>
  <c r="A1069" i="10"/>
  <c r="A1070" i="10"/>
  <c r="A1071" i="10"/>
  <c r="A1072" i="10"/>
  <c r="A1073" i="10"/>
  <c r="A1074" i="10"/>
  <c r="A1075" i="10"/>
  <c r="A1076" i="10"/>
  <c r="A1077" i="10"/>
  <c r="A1078" i="10"/>
  <c r="A1079" i="10"/>
  <c r="A1080" i="10"/>
  <c r="A1081" i="10"/>
  <c r="A1082" i="10"/>
  <c r="A1083" i="10"/>
  <c r="A1084" i="10"/>
  <c r="A1085" i="10"/>
  <c r="A1086" i="10"/>
  <c r="A1087" i="10"/>
  <c r="A1088" i="10"/>
  <c r="A1089" i="10"/>
  <c r="A1090" i="10"/>
  <c r="A1091" i="10"/>
  <c r="A1092" i="10"/>
  <c r="A1093" i="10"/>
  <c r="A1094" i="10"/>
  <c r="A1095" i="10"/>
  <c r="A1096" i="10"/>
  <c r="A1097" i="10"/>
  <c r="A1098" i="10"/>
  <c r="A1099" i="10"/>
  <c r="A1100" i="10"/>
  <c r="A1101" i="10"/>
  <c r="A1102" i="10"/>
  <c r="A1103" i="10"/>
  <c r="A1104" i="10"/>
  <c r="A1105" i="10"/>
  <c r="A1106" i="10"/>
  <c r="A1107" i="10"/>
  <c r="A1108" i="10"/>
  <c r="A1109" i="10"/>
  <c r="A1110" i="10"/>
  <c r="A1111" i="10"/>
  <c r="A1112" i="10"/>
  <c r="A1113" i="10"/>
  <c r="A1114" i="10"/>
  <c r="A1115" i="10"/>
  <c r="A1116" i="10"/>
  <c r="A1117" i="10"/>
  <c r="A1118" i="10"/>
  <c r="A1119" i="10"/>
  <c r="A1120" i="10"/>
  <c r="A1121" i="10"/>
  <c r="A1122" i="10"/>
  <c r="A1123" i="10"/>
  <c r="A1124" i="10"/>
  <c r="A1125" i="10"/>
  <c r="A1126" i="10"/>
  <c r="A1127" i="10"/>
  <c r="A1128" i="10"/>
  <c r="A1129" i="10"/>
  <c r="A1130" i="10"/>
  <c r="A1131" i="10"/>
  <c r="A1132" i="10"/>
  <c r="A1133" i="10"/>
  <c r="A1134" i="10"/>
  <c r="A1135" i="10"/>
  <c r="A1136" i="10"/>
  <c r="A1137" i="10"/>
  <c r="A1138" i="10"/>
  <c r="A1140" i="10"/>
  <c r="A1141" i="10"/>
  <c r="A1142" i="10"/>
  <c r="A1143" i="10"/>
  <c r="A1144" i="10"/>
  <c r="A1145" i="10"/>
  <c r="A1146" i="10"/>
  <c r="A1147" i="10"/>
  <c r="A1148" i="10"/>
  <c r="A1149" i="10"/>
  <c r="A1150" i="10"/>
  <c r="A1151" i="10"/>
  <c r="A1152" i="10"/>
  <c r="A1153" i="10"/>
  <c r="A1154" i="10"/>
  <c r="A1155" i="10"/>
  <c r="A1156" i="10"/>
  <c r="A1157" i="10"/>
  <c r="A1158" i="10"/>
  <c r="A1159" i="10"/>
  <c r="A1160" i="10"/>
  <c r="A1161" i="10"/>
  <c r="A1162" i="10"/>
  <c r="A1163" i="10"/>
  <c r="A1164" i="10"/>
  <c r="A1165" i="10"/>
  <c r="A1166" i="10"/>
  <c r="A1167" i="10"/>
  <c r="A1168" i="10"/>
  <c r="A1169" i="10"/>
  <c r="A1170" i="10"/>
  <c r="A1171" i="10"/>
  <c r="A1172" i="10"/>
  <c r="A1173" i="10"/>
  <c r="A1174" i="10"/>
  <c r="A1175" i="10"/>
  <c r="A1176" i="10"/>
  <c r="A1177" i="10"/>
  <c r="A1178" i="10"/>
  <c r="A1179" i="10"/>
  <c r="A1180" i="10"/>
  <c r="A1181" i="10"/>
  <c r="A1182" i="10"/>
  <c r="A1183" i="10"/>
  <c r="A1185" i="10"/>
  <c r="A1186" i="10"/>
  <c r="A1187" i="10"/>
  <c r="A1188" i="10"/>
  <c r="A1189" i="10"/>
  <c r="A1190" i="10"/>
  <c r="A1191" i="10"/>
  <c r="A1192" i="10"/>
  <c r="A1193" i="10"/>
  <c r="A1194" i="10"/>
  <c r="A1195" i="10"/>
  <c r="A1196" i="10"/>
  <c r="A1197" i="10"/>
  <c r="A1198" i="10"/>
  <c r="A1199" i="10"/>
  <c r="A1200" i="10"/>
  <c r="A1201" i="10"/>
  <c r="A1202" i="10"/>
  <c r="A1204" i="10"/>
  <c r="A1205" i="10"/>
  <c r="A1206" i="10"/>
  <c r="A1207" i="10"/>
  <c r="A1208" i="10"/>
  <c r="A1209" i="10"/>
  <c r="A1210" i="10"/>
  <c r="A1211" i="10"/>
  <c r="A1212" i="10"/>
  <c r="A1213" i="10"/>
  <c r="A1214" i="10"/>
  <c r="A1215" i="10"/>
  <c r="A1216" i="10"/>
  <c r="A1217" i="10"/>
  <c r="A1218" i="10"/>
  <c r="A1219" i="10"/>
  <c r="A1220" i="10"/>
  <c r="A1221" i="10"/>
  <c r="A1223" i="10"/>
  <c r="A1224" i="10"/>
  <c r="A1225" i="10"/>
  <c r="A1226" i="10"/>
  <c r="A1227" i="10"/>
  <c r="A1228" i="10"/>
  <c r="A1229" i="10"/>
  <c r="A1230" i="10"/>
  <c r="A1231" i="10"/>
  <c r="A1232" i="10"/>
  <c r="A1233" i="10"/>
  <c r="A1234" i="10"/>
  <c r="A1235" i="10"/>
  <c r="A1236" i="10"/>
  <c r="A1237" i="10"/>
  <c r="A1238" i="10"/>
  <c r="A1239" i="10"/>
  <c r="A1240" i="10"/>
  <c r="A1241" i="10"/>
  <c r="A1242" i="10"/>
  <c r="A1243" i="10"/>
  <c r="A1244" i="10"/>
  <c r="A1245" i="10"/>
  <c r="A1246" i="10"/>
  <c r="A1247" i="10"/>
  <c r="A1248" i="10"/>
  <c r="A1249" i="10"/>
  <c r="A1250" i="10"/>
  <c r="A1251" i="10"/>
  <c r="A1252" i="10"/>
  <c r="A1253" i="10"/>
  <c r="A1254" i="10"/>
  <c r="A1255" i="10"/>
  <c r="A1256" i="10"/>
  <c r="A1257" i="10"/>
  <c r="A1258" i="10"/>
  <c r="A1259" i="10"/>
  <c r="B1" i="11"/>
  <c r="C1" i="11"/>
  <c r="D1" i="11"/>
  <c r="E1" i="11"/>
  <c r="F1" i="11"/>
  <c r="G1" i="11"/>
  <c r="H1" i="11"/>
  <c r="I1" i="11"/>
  <c r="J1" i="11"/>
  <c r="K1" i="11"/>
  <c r="L1" i="11"/>
  <c r="M1" i="11"/>
  <c r="N1" i="11"/>
  <c r="O1" i="11"/>
  <c r="P1" i="11"/>
  <c r="Q1" i="11"/>
  <c r="R1" i="11"/>
  <c r="S1" i="11"/>
  <c r="T1" i="11"/>
  <c r="U1" i="11"/>
  <c r="V1" i="11"/>
  <c r="W1" i="11"/>
  <c r="X1" i="11"/>
  <c r="Y1" i="11"/>
  <c r="Z1" i="11"/>
  <c r="AA1" i="11"/>
  <c r="AB1" i="11"/>
  <c r="AC1" i="11"/>
  <c r="AD1" i="11"/>
  <c r="AE1" i="11"/>
  <c r="AF1" i="11"/>
  <c r="AG1" i="11"/>
  <c r="AH1" i="11"/>
  <c r="AI1" i="11"/>
  <c r="AJ1" i="11"/>
  <c r="AK1" i="11"/>
  <c r="AL1" i="11"/>
  <c r="AM1" i="11"/>
  <c r="AN1" i="11"/>
  <c r="AO1" i="11"/>
  <c r="AP1" i="11"/>
  <c r="AQ1" i="11"/>
  <c r="AR1" i="11"/>
  <c r="AS1" i="11"/>
  <c r="AT1" i="11"/>
  <c r="AU1" i="11"/>
  <c r="AV1" i="11"/>
  <c r="AW1" i="11"/>
  <c r="AX1" i="11"/>
  <c r="AY1" i="11"/>
  <c r="AZ1" i="11"/>
  <c r="B2" i="11"/>
  <c r="C2" i="11"/>
  <c r="D2" i="11"/>
  <c r="E2" i="11"/>
  <c r="F2" i="11"/>
  <c r="G2" i="11"/>
  <c r="H2" i="11"/>
  <c r="I2" i="11"/>
  <c r="J2" i="11"/>
  <c r="K2" i="11"/>
  <c r="L2" i="11"/>
  <c r="M2" i="11"/>
  <c r="N2" i="11"/>
  <c r="O2" i="11"/>
  <c r="P2" i="11"/>
  <c r="Q2" i="11"/>
  <c r="R2" i="11"/>
  <c r="S2" i="11"/>
  <c r="T2" i="11"/>
  <c r="U2" i="11"/>
  <c r="V2" i="11"/>
  <c r="W2" i="11"/>
  <c r="X2" i="11"/>
  <c r="Y2" i="11"/>
  <c r="Z2" i="11"/>
  <c r="AA2" i="11"/>
  <c r="AB2" i="11"/>
  <c r="AC2" i="11"/>
  <c r="AD2" i="11"/>
  <c r="AE2" i="11"/>
  <c r="AF2" i="11"/>
  <c r="AG2" i="11"/>
  <c r="AH2" i="11"/>
  <c r="AI2" i="11"/>
  <c r="AJ2" i="11"/>
  <c r="AK2" i="11"/>
  <c r="AL2" i="11"/>
  <c r="AM2" i="11"/>
  <c r="AN2" i="11"/>
  <c r="AO2" i="11"/>
  <c r="AP2" i="11"/>
  <c r="AQ2" i="11"/>
  <c r="AR2" i="11"/>
  <c r="AS2" i="11"/>
  <c r="AT2" i="11"/>
  <c r="AU2" i="11"/>
  <c r="AV2" i="11"/>
  <c r="AW2" i="11"/>
  <c r="AX2" i="11"/>
  <c r="AY2" i="11"/>
  <c r="AZ2" i="11"/>
  <c r="B1" i="9"/>
  <c r="C1" i="9"/>
  <c r="D1" i="9"/>
  <c r="E1" i="9"/>
  <c r="F1" i="9"/>
  <c r="G1" i="9"/>
  <c r="H1" i="9"/>
  <c r="I1" i="9"/>
  <c r="J1" i="9"/>
  <c r="K1" i="9"/>
  <c r="L1" i="9"/>
  <c r="M1" i="9"/>
  <c r="N1" i="9"/>
  <c r="O1" i="9"/>
  <c r="P1" i="9"/>
  <c r="Q1" i="9"/>
  <c r="R1" i="9"/>
  <c r="S1" i="9"/>
  <c r="T1" i="9"/>
  <c r="U1" i="9"/>
  <c r="V1" i="9"/>
  <c r="W1" i="9"/>
  <c r="X1" i="9"/>
  <c r="Y1" i="9"/>
  <c r="Z1" i="9"/>
  <c r="AA1" i="9"/>
  <c r="AB1" i="9"/>
  <c r="AC1" i="9"/>
  <c r="AD1" i="9"/>
  <c r="AE1" i="9"/>
  <c r="AF1" i="9"/>
  <c r="AG1" i="9"/>
  <c r="AH1" i="9"/>
  <c r="AI1" i="9"/>
  <c r="AJ1" i="9"/>
  <c r="AK1" i="9"/>
  <c r="AL1" i="9"/>
  <c r="AM1" i="9"/>
  <c r="AN1" i="9"/>
  <c r="AO1" i="9"/>
  <c r="AP1" i="9"/>
  <c r="AQ1" i="9"/>
  <c r="AR1" i="9"/>
  <c r="AS1" i="9"/>
  <c r="AT1" i="9"/>
  <c r="AU1" i="9"/>
  <c r="AV1" i="9"/>
  <c r="AW1" i="9"/>
  <c r="AX1" i="9"/>
  <c r="AY1" i="9"/>
  <c r="AZ1" i="9"/>
  <c r="B2" i="9"/>
  <c r="C2" i="9"/>
  <c r="D2" i="9"/>
  <c r="E2" i="9"/>
  <c r="F2" i="9"/>
  <c r="G2" i="9"/>
  <c r="H2" i="9"/>
  <c r="I2" i="9"/>
  <c r="J2" i="9"/>
  <c r="K2" i="9"/>
  <c r="L2" i="9"/>
  <c r="M2" i="9"/>
  <c r="N2" i="9"/>
  <c r="O2" i="9"/>
  <c r="P2" i="9"/>
  <c r="Q2" i="9"/>
  <c r="R2" i="9"/>
  <c r="S2" i="9"/>
  <c r="T2" i="9"/>
  <c r="U2" i="9"/>
  <c r="V2" i="9"/>
  <c r="W2" i="9"/>
  <c r="X2" i="9"/>
  <c r="Y2" i="9"/>
  <c r="Z2" i="9"/>
  <c r="AA2" i="9"/>
  <c r="AB2" i="9"/>
  <c r="AC2" i="9"/>
  <c r="AD2" i="9"/>
  <c r="AE2" i="9"/>
  <c r="AF2" i="9"/>
  <c r="AG2" i="9"/>
  <c r="AH2" i="9"/>
  <c r="AI2" i="9"/>
  <c r="AJ2" i="9"/>
  <c r="AK2" i="9"/>
  <c r="AL2" i="9"/>
  <c r="AM2" i="9"/>
  <c r="AN2" i="9"/>
  <c r="AO2" i="9"/>
  <c r="AP2" i="9"/>
  <c r="AQ2" i="9"/>
  <c r="AR2" i="9"/>
  <c r="AS2" i="9"/>
  <c r="AT2" i="9"/>
  <c r="AU2" i="9"/>
  <c r="AV2" i="9"/>
  <c r="AW2" i="9"/>
  <c r="AX2" i="9"/>
  <c r="AY2" i="9"/>
  <c r="AZ2" i="9"/>
  <c r="B1" i="8"/>
  <c r="C1" i="8"/>
  <c r="D1" i="8"/>
  <c r="E1" i="8"/>
  <c r="F1" i="8"/>
  <c r="G1" i="8"/>
  <c r="H1" i="8"/>
  <c r="I1" i="8"/>
  <c r="J1" i="8"/>
  <c r="K1" i="8"/>
  <c r="L1" i="8"/>
  <c r="M1" i="8"/>
  <c r="N1" i="8"/>
  <c r="O1" i="8"/>
  <c r="P1" i="8"/>
  <c r="Q1" i="8"/>
  <c r="R1" i="8"/>
  <c r="S1" i="8"/>
  <c r="T1" i="8"/>
  <c r="U1" i="8"/>
  <c r="V1" i="8"/>
  <c r="W1" i="8"/>
  <c r="X1" i="8"/>
  <c r="Y1" i="8"/>
  <c r="Z1" i="8"/>
  <c r="AA1" i="8"/>
  <c r="AB1" i="8"/>
  <c r="AC1" i="8"/>
  <c r="AD1" i="8"/>
  <c r="AE1" i="8"/>
  <c r="AF1" i="8"/>
  <c r="AG1" i="8"/>
  <c r="AH1" i="8"/>
  <c r="AI1" i="8"/>
  <c r="AJ1" i="8"/>
  <c r="AK1" i="8"/>
  <c r="AL1" i="8"/>
  <c r="AM1" i="8"/>
  <c r="AN1" i="8"/>
  <c r="AO1" i="8"/>
  <c r="AP1" i="8"/>
  <c r="AQ1" i="8"/>
  <c r="AR1" i="8"/>
  <c r="AS1" i="8"/>
  <c r="AT1" i="8"/>
  <c r="AU1" i="8"/>
  <c r="AV1" i="8"/>
  <c r="AW1" i="8"/>
  <c r="AX1" i="8"/>
  <c r="AY1" i="8"/>
  <c r="AZ1" i="8"/>
  <c r="B2" i="8"/>
  <c r="C2" i="8"/>
  <c r="D2" i="8"/>
  <c r="E2" i="8"/>
  <c r="F2" i="8"/>
  <c r="G2" i="8"/>
  <c r="H2" i="8"/>
  <c r="I2" i="8"/>
  <c r="J2" i="8"/>
  <c r="K2" i="8"/>
  <c r="L2" i="8"/>
  <c r="M2" i="8"/>
  <c r="N2" i="8"/>
  <c r="O2" i="8"/>
  <c r="P2" i="8"/>
  <c r="Q2" i="8"/>
  <c r="R2" i="8"/>
  <c r="S2" i="8"/>
  <c r="T2" i="8"/>
  <c r="U2" i="8"/>
  <c r="V2" i="8"/>
  <c r="W2" i="8"/>
  <c r="X2" i="8"/>
  <c r="Y2" i="8"/>
  <c r="Z2" i="8"/>
  <c r="AA2" i="8"/>
  <c r="AB2" i="8"/>
  <c r="AC2" i="8"/>
  <c r="AD2" i="8"/>
  <c r="AE2" i="8"/>
  <c r="AF2" i="8"/>
  <c r="AG2" i="8"/>
  <c r="AH2" i="8"/>
  <c r="AI2" i="8"/>
  <c r="AJ2" i="8"/>
  <c r="AK2" i="8"/>
  <c r="AL2" i="8"/>
  <c r="AM2" i="8"/>
  <c r="AN2" i="8"/>
  <c r="AO2" i="8"/>
  <c r="AP2" i="8"/>
  <c r="AQ2" i="8"/>
  <c r="AR2" i="8"/>
  <c r="AS2" i="8"/>
  <c r="AT2" i="8"/>
  <c r="AU2" i="8"/>
  <c r="AV2" i="8"/>
  <c r="AW2" i="8"/>
  <c r="AX2" i="8"/>
  <c r="AY2" i="8"/>
  <c r="AZ2" i="8"/>
  <c r="B1" i="10"/>
  <c r="C1" i="10"/>
  <c r="D1" i="10"/>
  <c r="E1" i="10"/>
  <c r="F1" i="10"/>
  <c r="G1" i="10"/>
  <c r="H1" i="10"/>
  <c r="I1" i="10"/>
  <c r="J1" i="10"/>
  <c r="K1" i="10"/>
  <c r="L1" i="10"/>
  <c r="M1" i="10"/>
  <c r="N1" i="10"/>
  <c r="O1" i="10"/>
  <c r="P1" i="10"/>
  <c r="Q1" i="10"/>
  <c r="R1" i="10"/>
  <c r="S1" i="10"/>
  <c r="T1" i="10"/>
  <c r="U1" i="10"/>
  <c r="V1" i="10"/>
  <c r="W1" i="10"/>
  <c r="X1" i="10"/>
  <c r="Y1" i="10"/>
  <c r="Z1" i="10"/>
  <c r="AA1" i="10"/>
  <c r="AB1" i="10"/>
  <c r="AC1" i="10"/>
  <c r="AD1" i="10"/>
  <c r="AE1" i="10"/>
  <c r="AF1" i="10"/>
  <c r="AG1" i="10"/>
  <c r="AH1" i="10"/>
  <c r="AI1" i="10"/>
  <c r="AJ1" i="10"/>
  <c r="AK1" i="10"/>
  <c r="AL1" i="10"/>
  <c r="AM1" i="10"/>
  <c r="AN1" i="10"/>
  <c r="AO1" i="10"/>
  <c r="AP1" i="10"/>
  <c r="AQ1" i="10"/>
  <c r="AR1" i="10"/>
  <c r="AS1" i="10"/>
  <c r="AT1" i="10"/>
  <c r="AU1" i="10"/>
  <c r="AV1" i="10"/>
  <c r="AW1" i="10"/>
  <c r="AX1" i="10"/>
  <c r="AY1" i="10"/>
  <c r="AZ1" i="10"/>
  <c r="B2" i="10"/>
  <c r="C2" i="10"/>
  <c r="D2" i="10"/>
  <c r="E2" i="10"/>
  <c r="F2" i="10"/>
  <c r="G2" i="10"/>
  <c r="H2" i="10"/>
  <c r="I2" i="10"/>
  <c r="J2" i="10"/>
  <c r="K2" i="10"/>
  <c r="L2" i="10"/>
  <c r="M2" i="10"/>
  <c r="N2" i="10"/>
  <c r="O2" i="10"/>
  <c r="P2" i="10"/>
  <c r="Q2" i="10"/>
  <c r="R2" i="10"/>
  <c r="S2" i="10"/>
  <c r="T2" i="10"/>
  <c r="U2" i="10"/>
  <c r="V2" i="10"/>
  <c r="W2" i="10"/>
  <c r="X2" i="10"/>
  <c r="Y2" i="10"/>
  <c r="Z2" i="10"/>
  <c r="AA2" i="10"/>
  <c r="AB2" i="10"/>
  <c r="AC2" i="10"/>
  <c r="AD2" i="10"/>
  <c r="AE2" i="10"/>
  <c r="AF2" i="10"/>
  <c r="AG2" i="10"/>
  <c r="AH2" i="10"/>
  <c r="AI2" i="10"/>
  <c r="AJ2" i="10"/>
  <c r="AK2" i="10"/>
  <c r="AL2" i="10"/>
  <c r="AM2" i="10"/>
  <c r="AN2" i="10"/>
  <c r="AO2" i="10"/>
  <c r="AP2" i="10"/>
  <c r="AQ2" i="10"/>
  <c r="AR2" i="10"/>
  <c r="AS2" i="10"/>
  <c r="AT2" i="10"/>
  <c r="AU2" i="10"/>
  <c r="AV2" i="10"/>
  <c r="AW2" i="10"/>
  <c r="AX2" i="10"/>
  <c r="AY2" i="10"/>
  <c r="AZ2" i="10"/>
  <c r="H1" i="5"/>
  <c r="CY11" i="1"/>
  <c r="Z12" i="16"/>
  <c r="Z13" i="16"/>
  <c r="Z14" i="16"/>
  <c r="K14" i="16"/>
  <c r="S15" i="16"/>
  <c r="T15" i="16"/>
  <c r="R28" i="16"/>
  <c r="Q15" i="16"/>
  <c r="L14" i="16"/>
  <c r="M14" i="16"/>
  <c r="Z15" i="16"/>
  <c r="Z16" i="16"/>
  <c r="Z17" i="16"/>
  <c r="K15" i="16"/>
  <c r="S16" i="16"/>
  <c r="T16" i="16"/>
  <c r="R29" i="16"/>
  <c r="L15" i="16"/>
  <c r="M15" i="16"/>
  <c r="Z18" i="16"/>
  <c r="Z19" i="16"/>
  <c r="Z20" i="16"/>
  <c r="K16" i="16"/>
  <c r="S17" i="16"/>
  <c r="T17" i="16"/>
  <c r="L16" i="16"/>
  <c r="M16" i="16"/>
  <c r="K17" i="16"/>
  <c r="T18" i="16"/>
  <c r="L17" i="16"/>
  <c r="M17" i="16"/>
  <c r="K18" i="16"/>
  <c r="L18" i="16"/>
  <c r="M18" i="16"/>
  <c r="Z21" i="16"/>
  <c r="Z22" i="16"/>
  <c r="Z23" i="16"/>
  <c r="Z24" i="16"/>
  <c r="Z25" i="16"/>
  <c r="Z26" i="16"/>
  <c r="Z27" i="16"/>
  <c r="CY27" i="1"/>
  <c r="Z28" i="16"/>
  <c r="CY28" i="1"/>
  <c r="Z29" i="16"/>
  <c r="CY29" i="1"/>
  <c r="Z30" i="16"/>
  <c r="CY30" i="1"/>
  <c r="Z31" i="16"/>
  <c r="CY31" i="1"/>
  <c r="Z32" i="16"/>
  <c r="CY32" i="1"/>
  <c r="Z33" i="16"/>
  <c r="CY33" i="1"/>
  <c r="Z34" i="16"/>
  <c r="CY34" i="1"/>
  <c r="Z35" i="16"/>
  <c r="CY35" i="1"/>
  <c r="Z36" i="16"/>
  <c r="CY36" i="1"/>
  <c r="Z37" i="16"/>
  <c r="CY37" i="1"/>
  <c r="Z38" i="16"/>
  <c r="CY38" i="1"/>
  <c r="Z39" i="16"/>
  <c r="CY39" i="1"/>
  <c r="Z40" i="16"/>
  <c r="CY40" i="1"/>
  <c r="Z41" i="16"/>
  <c r="CY41" i="1"/>
  <c r="Z42" i="16"/>
  <c r="CY42" i="1"/>
  <c r="Z43" i="16"/>
  <c r="CY43" i="1"/>
  <c r="Z44" i="16"/>
  <c r="CY44" i="1"/>
  <c r="Z45" i="16"/>
  <c r="CY45" i="1"/>
  <c r="Z46" i="16"/>
  <c r="CY46" i="1"/>
  <c r="Z47" i="16"/>
  <c r="CY47" i="1"/>
  <c r="Z48" i="16"/>
  <c r="CY48" i="1"/>
  <c r="Z49" i="16"/>
  <c r="CY49" i="1"/>
  <c r="Z50" i="16"/>
  <c r="CY50" i="1"/>
  <c r="Z51" i="16"/>
  <c r="CY51" i="1"/>
  <c r="Z52" i="16"/>
  <c r="CY52" i="1"/>
  <c r="Z53" i="16"/>
  <c r="CY53" i="1"/>
  <c r="Z54" i="16"/>
  <c r="CY54" i="1"/>
  <c r="Z55" i="16"/>
  <c r="CY55" i="1"/>
  <c r="Z56" i="16"/>
  <c r="CY56" i="1"/>
  <c r="Z57" i="16"/>
  <c r="CY57" i="1"/>
  <c r="AB8" i="16"/>
  <c r="BB11"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4" i="7"/>
  <c r="A135" i="7"/>
  <c r="A136" i="7"/>
  <c r="A137" i="7"/>
  <c r="A138" i="7"/>
  <c r="A139" i="7"/>
  <c r="A140" i="7"/>
  <c r="A141" i="7"/>
  <c r="A142" i="7"/>
  <c r="A143" i="7"/>
  <c r="A144" i="7"/>
  <c r="A145" i="7"/>
  <c r="A146" i="7"/>
  <c r="A148" i="7"/>
  <c r="A149" i="7"/>
  <c r="A150" i="7"/>
  <c r="A151" i="7"/>
  <c r="A152" i="7"/>
  <c r="A153" i="7"/>
  <c r="A154" i="7"/>
  <c r="A155" i="7"/>
  <c r="A156" i="7"/>
  <c r="A157" i="7"/>
  <c r="A158" i="7"/>
  <c r="A159" i="7"/>
  <c r="A160" i="7"/>
  <c r="A162" i="7"/>
  <c r="A163" i="7"/>
  <c r="A164" i="7"/>
  <c r="A165" i="7"/>
  <c r="A166" i="7"/>
  <c r="A167" i="7"/>
  <c r="A168" i="7"/>
  <c r="A169" i="7"/>
  <c r="A170" i="7"/>
  <c r="A171" i="7"/>
  <c r="A172" i="7"/>
  <c r="A173" i="7"/>
  <c r="A174" i="7"/>
  <c r="A175" i="7"/>
  <c r="A176" i="7"/>
  <c r="A178" i="7"/>
  <c r="A179" i="7"/>
  <c r="A180" i="7"/>
  <c r="A181" i="7"/>
  <c r="A182" i="7"/>
  <c r="A183" i="7"/>
  <c r="A184" i="7"/>
  <c r="A185" i="7"/>
  <c r="A186" i="7"/>
  <c r="A187" i="7"/>
  <c r="A188" i="7"/>
  <c r="A189" i="7"/>
  <c r="A190" i="7"/>
  <c r="A191" i="7"/>
  <c r="A192" i="7"/>
  <c r="A194" i="7"/>
  <c r="A195" i="7"/>
  <c r="A196" i="7"/>
  <c r="A197" i="7"/>
  <c r="A198" i="7"/>
  <c r="A199" i="7"/>
  <c r="A200" i="7"/>
  <c r="A201" i="7"/>
  <c r="A202" i="7"/>
  <c r="A203" i="7"/>
  <c r="A204" i="7"/>
  <c r="A205" i="7"/>
  <c r="A206" i="7"/>
  <c r="A207" i="7"/>
  <c r="A208" i="7"/>
  <c r="A209" i="7"/>
  <c r="A210" i="7"/>
  <c r="A212" i="7"/>
  <c r="A213" i="7"/>
  <c r="A214" i="7"/>
  <c r="A215" i="7"/>
  <c r="A216" i="7"/>
  <c r="A217" i="7"/>
  <c r="A218" i="7"/>
  <c r="A219" i="7"/>
  <c r="A220" i="7"/>
  <c r="A221" i="7"/>
  <c r="A222" i="7"/>
  <c r="A223" i="7"/>
  <c r="A224" i="7"/>
  <c r="A225" i="7"/>
  <c r="A226" i="7"/>
  <c r="A227" i="7"/>
  <c r="A228" i="7"/>
  <c r="A229" i="7"/>
  <c r="A230"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4" i="7"/>
  <c r="A265" i="7"/>
  <c r="A266" i="7"/>
  <c r="A267" i="7"/>
  <c r="A268" i="7"/>
  <c r="A269" i="7"/>
  <c r="A270" i="7"/>
  <c r="A271" i="7"/>
  <c r="A272" i="7"/>
  <c r="A273" i="7"/>
  <c r="A274" i="7"/>
  <c r="A275" i="7"/>
  <c r="A276" i="7"/>
  <c r="A277" i="7"/>
  <c r="A279" i="7"/>
  <c r="A280" i="7"/>
  <c r="A281" i="7"/>
  <c r="A282" i="7"/>
  <c r="A283" i="7"/>
  <c r="A284" i="7"/>
  <c r="A285" i="7"/>
  <c r="A286" i="7"/>
  <c r="A287" i="7"/>
  <c r="A288" i="7"/>
  <c r="A289" i="7"/>
  <c r="A290" i="7"/>
  <c r="A291" i="7"/>
  <c r="A292" i="7"/>
  <c r="A293" i="7"/>
  <c r="A294" i="7"/>
  <c r="A295" i="7"/>
  <c r="A296"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60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3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41" i="7"/>
  <c r="A742" i="7"/>
  <c r="A743" i="7"/>
  <c r="A744" i="7"/>
  <c r="A745" i="7"/>
  <c r="A746" i="7"/>
  <c r="A747" i="7"/>
  <c r="A748" i="7"/>
  <c r="A749" i="7"/>
  <c r="A750" i="7"/>
  <c r="A751" i="7"/>
  <c r="A752" i="7"/>
  <c r="A75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83" i="7"/>
  <c r="A784" i="7"/>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813" i="7"/>
  <c r="A814" i="7"/>
  <c r="A815" i="7"/>
  <c r="A816" i="7"/>
  <c r="A817" i="7"/>
  <c r="A818" i="7"/>
  <c r="A819" i="7"/>
  <c r="A820" i="7"/>
  <c r="A821" i="7"/>
  <c r="A822" i="7"/>
  <c r="A823" i="7"/>
  <c r="A824" i="7"/>
  <c r="A825" i="7"/>
  <c r="A826" i="7"/>
  <c r="A827" i="7"/>
  <c r="A828" i="7"/>
  <c r="A829" i="7"/>
  <c r="A830" i="7"/>
  <c r="A831" i="7"/>
  <c r="A832" i="7"/>
  <c r="A833" i="7"/>
  <c r="A834" i="7"/>
  <c r="A835" i="7"/>
  <c r="A836" i="7"/>
  <c r="A837" i="7"/>
  <c r="A838" i="7"/>
  <c r="A839" i="7"/>
  <c r="A840" i="7"/>
  <c r="A841" i="7"/>
  <c r="A842" i="7"/>
  <c r="A843" i="7"/>
  <c r="A844" i="7"/>
  <c r="A845" i="7"/>
  <c r="A846" i="7"/>
  <c r="A847" i="7"/>
  <c r="A848" i="7"/>
  <c r="A849" i="7"/>
  <c r="A850" i="7"/>
  <c r="A851" i="7"/>
  <c r="A852" i="7"/>
  <c r="A853" i="7"/>
  <c r="A854" i="7"/>
  <c r="A855" i="7"/>
  <c r="A856" i="7"/>
  <c r="A857" i="7"/>
  <c r="A858" i="7"/>
  <c r="A859" i="7"/>
  <c r="A860" i="7"/>
  <c r="A861" i="7"/>
  <c r="A862" i="7"/>
  <c r="A863" i="7"/>
  <c r="A864" i="7"/>
  <c r="A865" i="7"/>
  <c r="A866" i="7"/>
  <c r="A867" i="7"/>
  <c r="A868" i="7"/>
  <c r="A869" i="7"/>
  <c r="A870" i="7"/>
  <c r="A871" i="7"/>
  <c r="A872" i="7"/>
  <c r="A873" i="7"/>
  <c r="A874" i="7"/>
  <c r="A875" i="7"/>
  <c r="A876" i="7"/>
  <c r="A877" i="7"/>
  <c r="A878" i="7"/>
  <c r="A879" i="7"/>
  <c r="A880" i="7"/>
  <c r="A881" i="7"/>
  <c r="A882" i="7"/>
  <c r="A883" i="7"/>
  <c r="A884" i="7"/>
  <c r="A885" i="7"/>
  <c r="A886" i="7"/>
  <c r="A887" i="7"/>
  <c r="A888" i="7"/>
  <c r="A889" i="7"/>
  <c r="A890" i="7"/>
  <c r="A891" i="7"/>
  <c r="A892" i="7"/>
  <c r="A893" i="7"/>
  <c r="A894" i="7"/>
  <c r="A895" i="7"/>
  <c r="A896" i="7"/>
  <c r="A897" i="7"/>
  <c r="A898" i="7"/>
  <c r="A899" i="7"/>
  <c r="A900" i="7"/>
  <c r="A901" i="7"/>
  <c r="A902" i="7"/>
  <c r="A903" i="7"/>
  <c r="A904" i="7"/>
  <c r="A905" i="7"/>
  <c r="A906" i="7"/>
  <c r="A907" i="7"/>
  <c r="A908" i="7"/>
  <c r="A909" i="7"/>
  <c r="A910" i="7"/>
  <c r="A911" i="7"/>
  <c r="A912" i="7"/>
  <c r="A913" i="7"/>
  <c r="A914" i="7"/>
  <c r="A915" i="7"/>
  <c r="A916" i="7"/>
  <c r="A917" i="7"/>
  <c r="A918" i="7"/>
  <c r="A919" i="7"/>
  <c r="A920" i="7"/>
  <c r="A921" i="7"/>
  <c r="A922" i="7"/>
  <c r="A923" i="7"/>
  <c r="A924" i="7"/>
  <c r="A925" i="7"/>
  <c r="A926" i="7"/>
  <c r="A927" i="7"/>
  <c r="A928" i="7"/>
  <c r="A929" i="7"/>
  <c r="A930" i="7"/>
  <c r="A931" i="7"/>
  <c r="A932" i="7"/>
  <c r="A933" i="7"/>
  <c r="A934" i="7"/>
  <c r="A935" i="7"/>
  <c r="A936" i="7"/>
  <c r="A937" i="7"/>
  <c r="A938" i="7"/>
  <c r="A939" i="7"/>
  <c r="A940" i="7"/>
  <c r="A941" i="7"/>
  <c r="A942" i="7"/>
  <c r="A943" i="7"/>
  <c r="A944" i="7"/>
  <c r="A945" i="7"/>
  <c r="A946" i="7"/>
  <c r="A947" i="7"/>
  <c r="A948" i="7"/>
  <c r="A949" i="7"/>
  <c r="A950" i="7"/>
  <c r="A951" i="7"/>
  <c r="A952" i="7"/>
  <c r="A953" i="7"/>
  <c r="A954" i="7"/>
  <c r="A955" i="7"/>
  <c r="A956" i="7"/>
  <c r="A957" i="7"/>
  <c r="A958" i="7"/>
  <c r="A959" i="7"/>
  <c r="A960" i="7"/>
  <c r="A961" i="7"/>
  <c r="A962" i="7"/>
  <c r="A963" i="7"/>
  <c r="A964" i="7"/>
  <c r="A965" i="7"/>
  <c r="A966" i="7"/>
  <c r="A967" i="7"/>
  <c r="A968" i="7"/>
  <c r="A969" i="7"/>
  <c r="A970" i="7"/>
  <c r="A971" i="7"/>
  <c r="A972" i="7"/>
  <c r="A973" i="7"/>
  <c r="A974" i="7"/>
  <c r="A975" i="7"/>
  <c r="A976" i="7"/>
  <c r="A977" i="7"/>
  <c r="A978" i="7"/>
  <c r="A979" i="7"/>
  <c r="A980" i="7"/>
  <c r="A981" i="7"/>
  <c r="A982" i="7"/>
  <c r="A983" i="7"/>
  <c r="A984" i="7"/>
  <c r="A985" i="7"/>
  <c r="A986" i="7"/>
  <c r="A987" i="7"/>
  <c r="A988" i="7"/>
  <c r="A989" i="7"/>
  <c r="A990" i="7"/>
  <c r="A991" i="7"/>
  <c r="A992" i="7"/>
  <c r="A993" i="7"/>
  <c r="A994" i="7"/>
  <c r="A995" i="7"/>
  <c r="A996" i="7"/>
  <c r="A997" i="7"/>
  <c r="A998" i="7"/>
  <c r="A999" i="7"/>
  <c r="A1000" i="7"/>
  <c r="A1001" i="7"/>
  <c r="A1002" i="7"/>
  <c r="A1003" i="7"/>
  <c r="A1004" i="7"/>
  <c r="A1005" i="7"/>
  <c r="A1006" i="7"/>
  <c r="A1007" i="7"/>
  <c r="A1008" i="7"/>
  <c r="A1009" i="7"/>
  <c r="A1010" i="7"/>
  <c r="A1011" i="7"/>
  <c r="A1012" i="7"/>
  <c r="A1013" i="7"/>
  <c r="A1014" i="7"/>
  <c r="A1015" i="7"/>
  <c r="A1016" i="7"/>
  <c r="A1017" i="7"/>
  <c r="A1018" i="7"/>
  <c r="A1019" i="7"/>
  <c r="A1020" i="7"/>
  <c r="A1021" i="7"/>
  <c r="A1022" i="7"/>
  <c r="A1023" i="7"/>
  <c r="A1024" i="7"/>
  <c r="A1025" i="7"/>
  <c r="A1026" i="7"/>
  <c r="A1027" i="7"/>
  <c r="A1028" i="7"/>
  <c r="A1029" i="7"/>
  <c r="A1030" i="7"/>
  <c r="A1031" i="7"/>
  <c r="A1032" i="7"/>
  <c r="A1033" i="7"/>
  <c r="A1034" i="7"/>
  <c r="A1035" i="7"/>
  <c r="A1036" i="7"/>
  <c r="A1037" i="7"/>
  <c r="A1038" i="7"/>
  <c r="A1039" i="7"/>
  <c r="A1040" i="7"/>
  <c r="A1041" i="7"/>
  <c r="A1042" i="7"/>
  <c r="A1043" i="7"/>
  <c r="A1044" i="7"/>
  <c r="A1045" i="7"/>
  <c r="A1046" i="7"/>
  <c r="A1047" i="7"/>
  <c r="A1048" i="7"/>
  <c r="A1049" i="7"/>
  <c r="A1050" i="7"/>
  <c r="A1051" i="7"/>
  <c r="A1052" i="7"/>
  <c r="A1053" i="7"/>
  <c r="A1054" i="7"/>
  <c r="A1055" i="7"/>
  <c r="A1056" i="7"/>
  <c r="A1057" i="7"/>
  <c r="A1058" i="7"/>
  <c r="A1059" i="7"/>
  <c r="A1060" i="7"/>
  <c r="A1061" i="7"/>
  <c r="A1062" i="7"/>
  <c r="A1063" i="7"/>
  <c r="A1064" i="7"/>
  <c r="A1065" i="7"/>
  <c r="A1066" i="7"/>
  <c r="A1067" i="7"/>
  <c r="A1068" i="7"/>
  <c r="A1069" i="7"/>
  <c r="A1070" i="7"/>
  <c r="A1071" i="7"/>
  <c r="A1072" i="7"/>
  <c r="A1073" i="7"/>
  <c r="A1074" i="7"/>
  <c r="A1075" i="7"/>
  <c r="A1076" i="7"/>
  <c r="A1077" i="7"/>
  <c r="A1078" i="7"/>
  <c r="A1079" i="7"/>
  <c r="A1080" i="7"/>
  <c r="A1081" i="7"/>
  <c r="A1082" i="7"/>
  <c r="A1083" i="7"/>
  <c r="A1084" i="7"/>
  <c r="A1085" i="7"/>
  <c r="A1086" i="7"/>
  <c r="A1087" i="7"/>
  <c r="A1088" i="7"/>
  <c r="A1089" i="7"/>
  <c r="A1090" i="7"/>
  <c r="A1091" i="7"/>
  <c r="A1092" i="7"/>
  <c r="A1093" i="7"/>
  <c r="A1094" i="7"/>
  <c r="A1095" i="7"/>
  <c r="A1096" i="7"/>
  <c r="A1097" i="7"/>
  <c r="A1098" i="7"/>
  <c r="A1099" i="7"/>
  <c r="A1100" i="7"/>
  <c r="A1101" i="7"/>
  <c r="A1102" i="7"/>
  <c r="A1103" i="7"/>
  <c r="A1104" i="7"/>
  <c r="A1105" i="7"/>
  <c r="A1106" i="7"/>
  <c r="A1107" i="7"/>
  <c r="A1108" i="7"/>
  <c r="A1109" i="7"/>
  <c r="A1110" i="7"/>
  <c r="A1111" i="7"/>
  <c r="A1112" i="7"/>
  <c r="A1113" i="7"/>
  <c r="A1114" i="7"/>
  <c r="A1115" i="7"/>
  <c r="A1116" i="7"/>
  <c r="A1117" i="7"/>
  <c r="A1118" i="7"/>
  <c r="A1119" i="7"/>
  <c r="A1120" i="7"/>
  <c r="A1121" i="7"/>
  <c r="A1122" i="7"/>
  <c r="A1123" i="7"/>
  <c r="A1124" i="7"/>
  <c r="A1125" i="7"/>
  <c r="A1126" i="7"/>
  <c r="A1127" i="7"/>
  <c r="A1128" i="7"/>
  <c r="A1129" i="7"/>
  <c r="A1130" i="7"/>
  <c r="A1131" i="7"/>
  <c r="A1132" i="7"/>
  <c r="A1133" i="7"/>
  <c r="A1134" i="7"/>
  <c r="A1135" i="7"/>
  <c r="A1136" i="7"/>
  <c r="A1137" i="7"/>
  <c r="A1138" i="7"/>
  <c r="A1139" i="7"/>
  <c r="A1140" i="7"/>
  <c r="A1141" i="7"/>
  <c r="A1142" i="7"/>
  <c r="A1143" i="7"/>
  <c r="A1144" i="7"/>
  <c r="A1145" i="7"/>
  <c r="A1146" i="7"/>
  <c r="A1147" i="7"/>
  <c r="A1148" i="7"/>
  <c r="A1149" i="7"/>
  <c r="A1150" i="7"/>
  <c r="A1151" i="7"/>
  <c r="A1152" i="7"/>
  <c r="A1153" i="7"/>
  <c r="A1154" i="7"/>
  <c r="A1155" i="7"/>
  <c r="A1156" i="7"/>
  <c r="A1157" i="7"/>
  <c r="A1158" i="7"/>
  <c r="A1159" i="7"/>
  <c r="A1160" i="7"/>
  <c r="A1161" i="7"/>
  <c r="A1162" i="7"/>
  <c r="A1163" i="7"/>
  <c r="A1164" i="7"/>
  <c r="A1165" i="7"/>
  <c r="A1166" i="7"/>
  <c r="A1167" i="7"/>
  <c r="A1168" i="7"/>
  <c r="A1169" i="7"/>
  <c r="A1170" i="7"/>
  <c r="A1171" i="7"/>
  <c r="A1172" i="7"/>
  <c r="A1173" i="7"/>
  <c r="A1174" i="7"/>
  <c r="A1175" i="7"/>
  <c r="A1176" i="7"/>
  <c r="A1177" i="7"/>
  <c r="A1178" i="7"/>
  <c r="A1179" i="7"/>
  <c r="A1180" i="7"/>
  <c r="A1181" i="7"/>
  <c r="A1182" i="7"/>
  <c r="A1183" i="7"/>
  <c r="A1184" i="7"/>
  <c r="A1185" i="7"/>
  <c r="A1186" i="7"/>
  <c r="A1187" i="7"/>
  <c r="A1188" i="7"/>
  <c r="A1189" i="7"/>
  <c r="A1190" i="7"/>
  <c r="A1191" i="7"/>
  <c r="A1192" i="7"/>
  <c r="A1193" i="7"/>
  <c r="A1194" i="7"/>
  <c r="A1195" i="7"/>
  <c r="A1196" i="7"/>
  <c r="A1197" i="7"/>
  <c r="A1198" i="7"/>
  <c r="A1199" i="7"/>
  <c r="A1200" i="7"/>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D111" i="5"/>
  <c r="BB47" i="8"/>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F111"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H111"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J111"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L111" i="5"/>
  <c r="A60" i="12"/>
  <c r="A61" i="12"/>
  <c r="A62" i="12"/>
  <c r="A63" i="12"/>
  <c r="A64" i="12"/>
  <c r="A65" i="12"/>
  <c r="A66" i="12"/>
  <c r="A67" i="12"/>
  <c r="A68" i="12"/>
  <c r="A69" i="12"/>
  <c r="A70" i="12"/>
  <c r="A71" i="12"/>
  <c r="A72" i="12"/>
  <c r="A73" i="12"/>
  <c r="A74" i="12"/>
  <c r="BB11"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523" i="12"/>
  <c r="A524" i="12"/>
  <c r="A525" i="12"/>
  <c r="A526" i="12"/>
  <c r="A527" i="12"/>
  <c r="A528" i="12"/>
  <c r="A529" i="12"/>
  <c r="A530" i="12"/>
  <c r="A531" i="12"/>
  <c r="A532" i="12"/>
  <c r="A533" i="12"/>
  <c r="A534" i="12"/>
  <c r="A535" i="12"/>
  <c r="A536"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80" i="12"/>
  <c r="A581" i="12"/>
  <c r="A582" i="12"/>
  <c r="A583" i="12"/>
  <c r="A584" i="12"/>
  <c r="A585" i="12"/>
  <c r="A586" i="12"/>
  <c r="A587" i="12"/>
  <c r="A588" i="12"/>
  <c r="A589" i="12"/>
  <c r="A590" i="12"/>
  <c r="A591" i="12"/>
  <c r="A592" i="12"/>
  <c r="A593" i="12"/>
  <c r="A594" i="12"/>
  <c r="A595" i="12"/>
  <c r="A596" i="12"/>
  <c r="A597" i="12"/>
  <c r="A598" i="12"/>
  <c r="A599" i="12"/>
  <c r="A600" i="12"/>
  <c r="A601" i="12"/>
  <c r="A602"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54" i="12"/>
  <c r="A655" i="12"/>
  <c r="A656" i="12"/>
  <c r="A657" i="12"/>
  <c r="A658" i="12"/>
  <c r="A659" i="12"/>
  <c r="A660" i="12"/>
  <c r="A661" i="12"/>
  <c r="A662" i="12"/>
  <c r="A663" i="12"/>
  <c r="A664" i="12"/>
  <c r="A665" i="12"/>
  <c r="A666" i="12"/>
  <c r="A667" i="12"/>
  <c r="A668" i="12"/>
  <c r="A669" i="12"/>
  <c r="A670" i="12"/>
  <c r="A671" i="12"/>
  <c r="A672" i="12"/>
  <c r="A673" i="12"/>
  <c r="A674" i="12"/>
  <c r="A675" i="12"/>
  <c r="A676" i="12"/>
  <c r="A677" i="12"/>
  <c r="A678" i="12"/>
  <c r="A679" i="12"/>
  <c r="A680" i="12"/>
  <c r="A681" i="12"/>
  <c r="A682" i="12"/>
  <c r="A683" i="12"/>
  <c r="A684" i="12"/>
  <c r="A685" i="12"/>
  <c r="A686" i="12"/>
  <c r="A687" i="12"/>
  <c r="A688" i="12"/>
  <c r="A689" i="12"/>
  <c r="A690" i="12"/>
  <c r="A691" i="12"/>
  <c r="A692" i="12"/>
  <c r="A693" i="12"/>
  <c r="A694" i="12"/>
  <c r="A695" i="12"/>
  <c r="A696" i="12"/>
  <c r="A697" i="12"/>
  <c r="A698" i="12"/>
  <c r="A699" i="12"/>
  <c r="A700" i="12"/>
  <c r="A701" i="12"/>
  <c r="A702" i="12"/>
  <c r="A703" i="12"/>
  <c r="A704" i="12"/>
  <c r="A705" i="12"/>
  <c r="A706" i="12"/>
  <c r="A707" i="12"/>
  <c r="A708" i="12"/>
  <c r="A709" i="12"/>
  <c r="A710" i="12"/>
  <c r="A711" i="12"/>
  <c r="A712" i="12"/>
  <c r="A713" i="12"/>
  <c r="A714" i="12"/>
  <c r="A715" i="12"/>
  <c r="A716" i="12"/>
  <c r="A717" i="12"/>
  <c r="A718" i="12"/>
  <c r="A719" i="12"/>
  <c r="A720" i="12"/>
  <c r="A721" i="12"/>
  <c r="A722" i="12"/>
  <c r="A723" i="12"/>
  <c r="A724" i="12"/>
  <c r="A725" i="12"/>
  <c r="A726" i="12"/>
  <c r="A727" i="12"/>
  <c r="A728" i="12"/>
  <c r="A729" i="12"/>
  <c r="A730" i="12"/>
  <c r="A731" i="12"/>
  <c r="A732" i="12"/>
  <c r="A733" i="12"/>
  <c r="A734" i="12"/>
  <c r="A735" i="12"/>
  <c r="A736" i="12"/>
  <c r="A737" i="12"/>
  <c r="A738" i="12"/>
  <c r="A739" i="12"/>
  <c r="A740" i="12"/>
  <c r="A741" i="12"/>
  <c r="A742" i="12"/>
  <c r="A743" i="12"/>
  <c r="A744" i="12"/>
  <c r="A745" i="12"/>
  <c r="A746" i="12"/>
  <c r="A747" i="12"/>
  <c r="A748" i="12"/>
  <c r="A749" i="12"/>
  <c r="A750" i="12"/>
  <c r="A751" i="12"/>
  <c r="A752" i="12"/>
  <c r="A753" i="12"/>
  <c r="A754" i="12"/>
  <c r="A755" i="12"/>
  <c r="A756" i="12"/>
  <c r="A757" i="12"/>
  <c r="A758" i="12"/>
  <c r="A759" i="12"/>
  <c r="A760" i="12"/>
  <c r="A761" i="12"/>
  <c r="A762" i="12"/>
  <c r="A763" i="12"/>
  <c r="A764" i="12"/>
  <c r="A765" i="12"/>
  <c r="A766" i="12"/>
  <c r="A767" i="12"/>
  <c r="A768" i="12"/>
  <c r="A769" i="12"/>
  <c r="A770" i="12"/>
  <c r="A771" i="12"/>
  <c r="A772" i="12"/>
  <c r="A773" i="12"/>
  <c r="A774" i="12"/>
  <c r="A775" i="12"/>
  <c r="A776" i="12"/>
  <c r="A777" i="12"/>
  <c r="A778" i="12"/>
  <c r="A779" i="12"/>
  <c r="A780" i="12"/>
  <c r="A781" i="12"/>
  <c r="A782" i="12"/>
  <c r="A783" i="12"/>
  <c r="A784" i="12"/>
  <c r="A785" i="12"/>
  <c r="A786" i="12"/>
  <c r="A787" i="12"/>
  <c r="A788" i="12"/>
  <c r="A789" i="12"/>
  <c r="A790" i="12"/>
  <c r="A791" i="12"/>
  <c r="A792" i="12"/>
  <c r="A793" i="12"/>
  <c r="A794" i="12"/>
  <c r="A795" i="12"/>
  <c r="A796" i="12"/>
  <c r="A797" i="12"/>
  <c r="A798" i="12"/>
  <c r="A799" i="12"/>
  <c r="A800" i="12"/>
  <c r="A801" i="12"/>
  <c r="A802" i="12"/>
  <c r="A803" i="12"/>
  <c r="A804" i="12"/>
  <c r="A805" i="12"/>
  <c r="A806" i="12"/>
  <c r="A807" i="12"/>
  <c r="A808" i="12"/>
  <c r="A809" i="12"/>
  <c r="A810" i="12"/>
  <c r="A811" i="12"/>
  <c r="A812" i="12"/>
  <c r="A813" i="12"/>
  <c r="A814" i="12"/>
  <c r="A815" i="12"/>
  <c r="A816" i="12"/>
  <c r="A817" i="12"/>
  <c r="A818" i="12"/>
  <c r="A819" i="12"/>
  <c r="A820" i="12"/>
  <c r="A821" i="12"/>
  <c r="A822" i="12"/>
  <c r="A823" i="12"/>
  <c r="A824" i="12"/>
  <c r="A825" i="12"/>
  <c r="A826" i="12"/>
  <c r="A827" i="12"/>
  <c r="A828" i="12"/>
  <c r="A829" i="12"/>
  <c r="A830" i="12"/>
  <c r="A831" i="12"/>
  <c r="A832" i="12"/>
  <c r="A833" i="12"/>
  <c r="A834" i="12"/>
  <c r="A835" i="12"/>
  <c r="A836" i="12"/>
  <c r="A837" i="12"/>
  <c r="A838" i="12"/>
  <c r="A839" i="12"/>
  <c r="A840" i="12"/>
  <c r="A841" i="12"/>
  <c r="A842" i="12"/>
  <c r="A843" i="12"/>
  <c r="A844" i="12"/>
  <c r="A845" i="12"/>
  <c r="A846" i="12"/>
  <c r="A847" i="12"/>
  <c r="A848" i="12"/>
  <c r="A849" i="12"/>
  <c r="A850" i="12"/>
  <c r="A851" i="12"/>
  <c r="A852" i="12"/>
  <c r="A853" i="12"/>
  <c r="A854" i="12"/>
  <c r="A855" i="12"/>
  <c r="A856" i="12"/>
  <c r="A857" i="12"/>
  <c r="A858" i="12"/>
  <c r="A859" i="12"/>
  <c r="A860" i="12"/>
  <c r="A861" i="12"/>
  <c r="A862" i="12"/>
  <c r="A863" i="12"/>
  <c r="A864" i="12"/>
  <c r="A865" i="12"/>
  <c r="A866" i="12"/>
  <c r="A867" i="12"/>
  <c r="A868" i="12"/>
  <c r="A869" i="12"/>
  <c r="A870" i="12"/>
  <c r="A871" i="12"/>
  <c r="A872" i="12"/>
  <c r="A873" i="12"/>
  <c r="A874" i="12"/>
  <c r="A875" i="12"/>
  <c r="A876" i="12"/>
  <c r="A877" i="12"/>
  <c r="A878" i="12"/>
  <c r="A879" i="12"/>
  <c r="A880" i="12"/>
  <c r="A881" i="12"/>
  <c r="A882" i="12"/>
  <c r="A883" i="12"/>
  <c r="A884" i="12"/>
  <c r="A885" i="12"/>
  <c r="A886" i="12"/>
  <c r="A887" i="12"/>
  <c r="A888" i="12"/>
  <c r="A889" i="12"/>
  <c r="A890" i="12"/>
  <c r="A891" i="12"/>
  <c r="A892" i="12"/>
  <c r="A893" i="12"/>
  <c r="A894" i="12"/>
  <c r="A895" i="12"/>
  <c r="A896" i="12"/>
  <c r="A897" i="12"/>
  <c r="A898" i="12"/>
  <c r="A899" i="12"/>
  <c r="A900" i="12"/>
  <c r="A901" i="12"/>
  <c r="A902" i="12"/>
  <c r="A903" i="12"/>
  <c r="A904" i="12"/>
  <c r="A905" i="12"/>
  <c r="A906" i="12"/>
  <c r="A907" i="12"/>
  <c r="A908" i="12"/>
  <c r="A909" i="12"/>
  <c r="A910" i="12"/>
  <c r="A911" i="12"/>
  <c r="A912" i="12"/>
  <c r="A913" i="12"/>
  <c r="A914" i="12"/>
  <c r="A915" i="12"/>
  <c r="A916" i="12"/>
  <c r="A917" i="12"/>
  <c r="A918" i="12"/>
  <c r="A919" i="12"/>
  <c r="A920" i="12"/>
  <c r="A921" i="12"/>
  <c r="A922" i="12"/>
  <c r="A923" i="12"/>
  <c r="A924" i="12"/>
  <c r="A925" i="12"/>
  <c r="A926" i="12"/>
  <c r="A927" i="12"/>
  <c r="A928" i="12"/>
  <c r="A929" i="12"/>
  <c r="A930" i="12"/>
  <c r="A931" i="12"/>
  <c r="A932" i="12"/>
  <c r="A933" i="12"/>
  <c r="A934" i="12"/>
  <c r="A935" i="12"/>
  <c r="A936" i="12"/>
  <c r="A937" i="12"/>
  <c r="A938" i="12"/>
  <c r="A939" i="12"/>
  <c r="A940" i="12"/>
  <c r="A941" i="12"/>
  <c r="A942" i="12"/>
  <c r="A943" i="12"/>
  <c r="A944" i="12"/>
  <c r="A945" i="12"/>
  <c r="A946" i="12"/>
  <c r="A947" i="12"/>
  <c r="A948" i="12"/>
  <c r="A949" i="12"/>
  <c r="A950" i="12"/>
  <c r="A951" i="12"/>
  <c r="A952" i="12"/>
  <c r="A953" i="12"/>
  <c r="A954" i="12"/>
  <c r="A955" i="12"/>
  <c r="A956" i="12"/>
  <c r="A957" i="12"/>
  <c r="A958" i="12"/>
  <c r="A959" i="12"/>
  <c r="A960" i="12"/>
  <c r="A961" i="12"/>
  <c r="A962" i="12"/>
  <c r="A963" i="12"/>
  <c r="A964" i="12"/>
  <c r="A965" i="12"/>
  <c r="A966" i="12"/>
  <c r="A967" i="12"/>
  <c r="A968" i="12"/>
  <c r="A969" i="12"/>
  <c r="A970" i="12"/>
  <c r="A971" i="12"/>
  <c r="A972" i="12"/>
  <c r="A973" i="12"/>
  <c r="A974" i="12"/>
  <c r="A975" i="12"/>
  <c r="A976" i="12"/>
  <c r="A977" i="12"/>
  <c r="A978" i="12"/>
  <c r="A979" i="12"/>
  <c r="A980" i="12"/>
  <c r="A981" i="12"/>
  <c r="A982" i="12"/>
  <c r="A983" i="12"/>
  <c r="A984" i="12"/>
  <c r="A985" i="12"/>
  <c r="A986" i="12"/>
  <c r="A987" i="12"/>
  <c r="A988" i="12"/>
  <c r="A989" i="12"/>
  <c r="A990" i="12"/>
  <c r="A991" i="12"/>
  <c r="A992" i="12"/>
  <c r="A993" i="12"/>
  <c r="A994" i="12"/>
  <c r="A995" i="12"/>
  <c r="A996" i="12"/>
  <c r="A997" i="12"/>
  <c r="A998" i="12"/>
  <c r="A999" i="12"/>
  <c r="A1000" i="12"/>
  <c r="A1001" i="12"/>
  <c r="A1002" i="12"/>
  <c r="A1003" i="12"/>
  <c r="A1004" i="12"/>
  <c r="A1005" i="12"/>
  <c r="A1006" i="12"/>
  <c r="A1007" i="12"/>
  <c r="A1008" i="12"/>
  <c r="A1009" i="12"/>
  <c r="A1010" i="12"/>
  <c r="A1011" i="12"/>
  <c r="A1012" i="12"/>
  <c r="A1013" i="12"/>
  <c r="A1014" i="12"/>
  <c r="A1015" i="12"/>
  <c r="A1016" i="12"/>
  <c r="A1017" i="12"/>
  <c r="A1018" i="12"/>
  <c r="A1019" i="12"/>
  <c r="A1020" i="12"/>
  <c r="A1021" i="12"/>
  <c r="A1022" i="12"/>
  <c r="A1023" i="12"/>
  <c r="A1024" i="12"/>
  <c r="A1025" i="12"/>
  <c r="A1026" i="12"/>
  <c r="A1027" i="12"/>
  <c r="A1028" i="12"/>
  <c r="A1029" i="12"/>
  <c r="A1030" i="12"/>
  <c r="A1031" i="12"/>
  <c r="A1032" i="12"/>
  <c r="A1033" i="12"/>
  <c r="A1034" i="12"/>
  <c r="A1035" i="12"/>
  <c r="A1036" i="12"/>
  <c r="A1037" i="12"/>
  <c r="A1038" i="12"/>
  <c r="A1039" i="12"/>
  <c r="A1040" i="12"/>
  <c r="A1041" i="12"/>
  <c r="A1042" i="12"/>
  <c r="A1043" i="12"/>
  <c r="A1044" i="12"/>
  <c r="A1045" i="12"/>
  <c r="A1046" i="12"/>
  <c r="A1047" i="12"/>
  <c r="A1048" i="12"/>
  <c r="A1049" i="12"/>
  <c r="A1050" i="12"/>
  <c r="A1051" i="12"/>
  <c r="A1052" i="12"/>
  <c r="A1053" i="12"/>
  <c r="A1054" i="12"/>
  <c r="A1055" i="12"/>
  <c r="A1056" i="12"/>
  <c r="A1057" i="12"/>
  <c r="A1058" i="12"/>
  <c r="A1059" i="12"/>
  <c r="A1060" i="12"/>
  <c r="A1061" i="12"/>
  <c r="A1062" i="12"/>
  <c r="A1063" i="12"/>
  <c r="A1064" i="12"/>
  <c r="A1065" i="12"/>
  <c r="A1066" i="12"/>
  <c r="A1067" i="12"/>
  <c r="A1068" i="12"/>
  <c r="A1069" i="12"/>
  <c r="A1070" i="12"/>
  <c r="A1071" i="12"/>
  <c r="A1072" i="12"/>
  <c r="A1073" i="12"/>
  <c r="A1074" i="12"/>
  <c r="A1075" i="12"/>
  <c r="A1076" i="12"/>
  <c r="A1077" i="12"/>
  <c r="A1078" i="12"/>
  <c r="A1079" i="12"/>
  <c r="A1080" i="12"/>
  <c r="A1081" i="12"/>
  <c r="A1082" i="12"/>
  <c r="A1083" i="12"/>
  <c r="A1084" i="12"/>
  <c r="A1085" i="12"/>
  <c r="A1086" i="12"/>
  <c r="A1087" i="12"/>
  <c r="A1088" i="12"/>
  <c r="A1089" i="12"/>
  <c r="A1090" i="12"/>
  <c r="A1091" i="12"/>
  <c r="A1092" i="12"/>
  <c r="A1093" i="12"/>
  <c r="A1094" i="12"/>
  <c r="A1095" i="12"/>
  <c r="A1096" i="12"/>
  <c r="A1097" i="12"/>
  <c r="A1098" i="12"/>
  <c r="A1099" i="12"/>
  <c r="A1100" i="12"/>
  <c r="A1101" i="12"/>
  <c r="A1102" i="12"/>
  <c r="A1103" i="12"/>
  <c r="A1104" i="12"/>
  <c r="A1105" i="12"/>
  <c r="A1106" i="12"/>
  <c r="A1107" i="12"/>
  <c r="A1108" i="12"/>
  <c r="A1109" i="12"/>
  <c r="A1110" i="12"/>
  <c r="A1111" i="12"/>
  <c r="A1112" i="12"/>
  <c r="A1113" i="12"/>
  <c r="A1114" i="12"/>
  <c r="A1115" i="12"/>
  <c r="A1116" i="12"/>
  <c r="A1117" i="12"/>
  <c r="A1118" i="12"/>
  <c r="A1119" i="12"/>
  <c r="A1120" i="12"/>
  <c r="A1121" i="12"/>
  <c r="A1122" i="12"/>
  <c r="A1123" i="12"/>
  <c r="A1124" i="12"/>
  <c r="A1125" i="12"/>
  <c r="A1126" i="12"/>
  <c r="A1127" i="12"/>
  <c r="A1128" i="12"/>
  <c r="A1129" i="12"/>
  <c r="A1130" i="12"/>
  <c r="A1131" i="12"/>
  <c r="A1132" i="12"/>
  <c r="A1133" i="12"/>
  <c r="A1134" i="12"/>
  <c r="A1135" i="12"/>
  <c r="A1136" i="12"/>
  <c r="A1137" i="12"/>
  <c r="A1138" i="12"/>
  <c r="A1139" i="12"/>
  <c r="A1140" i="12"/>
  <c r="A1141" i="12"/>
  <c r="A1142" i="12"/>
  <c r="A1143" i="12"/>
  <c r="A1144" i="12"/>
  <c r="A1145" i="12"/>
  <c r="A1146" i="12"/>
  <c r="A1147" i="12"/>
  <c r="A1148" i="12"/>
  <c r="A1149" i="12"/>
  <c r="A1150" i="12"/>
  <c r="A1151" i="12"/>
  <c r="A1152" i="12"/>
  <c r="A1153" i="12"/>
  <c r="A1154" i="12"/>
  <c r="A1155" i="12"/>
  <c r="A1156" i="12"/>
  <c r="A1157" i="12"/>
  <c r="A1158" i="12"/>
  <c r="A1159" i="12"/>
  <c r="A1160" i="12"/>
  <c r="A1161" i="12"/>
  <c r="A1162" i="12"/>
  <c r="A1163" i="12"/>
  <c r="A1164" i="12"/>
  <c r="A1165" i="12"/>
  <c r="A1166" i="12"/>
  <c r="A1167" i="12"/>
  <c r="A1168" i="12"/>
  <c r="A1169" i="12"/>
  <c r="A1170" i="12"/>
  <c r="A1171" i="12"/>
  <c r="A1172" i="12"/>
  <c r="A1173" i="12"/>
  <c r="A1174" i="12"/>
  <c r="A1175" i="12"/>
  <c r="A1176" i="12"/>
  <c r="A1177" i="12"/>
  <c r="A1178" i="12"/>
  <c r="A1179" i="12"/>
  <c r="A1180" i="12"/>
  <c r="A1181" i="12"/>
  <c r="A1182" i="12"/>
  <c r="A1183" i="12"/>
  <c r="A1184" i="12"/>
  <c r="A1185" i="12"/>
  <c r="A1186" i="12"/>
  <c r="A1187" i="12"/>
  <c r="A1188" i="12"/>
  <c r="A1189" i="12"/>
  <c r="A1190" i="12"/>
  <c r="A1191" i="12"/>
  <c r="A1192" i="12"/>
  <c r="A1193" i="12"/>
  <c r="A1194" i="12"/>
  <c r="A1195" i="12"/>
  <c r="A1196" i="12"/>
  <c r="A1197" i="12"/>
  <c r="A1198" i="12"/>
  <c r="A1199" i="12"/>
  <c r="A1200" i="12"/>
  <c r="BG39" i="12"/>
  <c r="BI39" i="12"/>
  <c r="BB40" i="12"/>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N111" i="5"/>
  <c r="BB11"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825" i="13"/>
  <c r="A855"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1036" i="13"/>
  <c r="A1037" i="13"/>
  <c r="A1038" i="13"/>
  <c r="A1039" i="13"/>
  <c r="A1040" i="13"/>
  <c r="A1041" i="13"/>
  <c r="A1042" i="13"/>
  <c r="A1043" i="13"/>
  <c r="A1044" i="13"/>
  <c r="A1045"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P111" i="5"/>
  <c r="BB11" i="14"/>
  <c r="A11" i="14"/>
  <c r="A30" i="14"/>
  <c r="A31"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A506" i="14"/>
  <c r="A507" i="14"/>
  <c r="A508" i="14"/>
  <c r="A509" i="14"/>
  <c r="A510" i="14"/>
  <c r="A511" i="14"/>
  <c r="A512" i="14"/>
  <c r="A513" i="14"/>
  <c r="A514" i="14"/>
  <c r="A515" i="14"/>
  <c r="A516" i="14"/>
  <c r="A517" i="14"/>
  <c r="A518" i="14"/>
  <c r="A519" i="14"/>
  <c r="A520" i="14"/>
  <c r="A521" i="14"/>
  <c r="A522" i="14"/>
  <c r="A523" i="14"/>
  <c r="A524" i="14"/>
  <c r="A525" i="14"/>
  <c r="A526" i="14"/>
  <c r="A527" i="14"/>
  <c r="A528" i="14"/>
  <c r="A529" i="14"/>
  <c r="A530" i="14"/>
  <c r="A531" i="14"/>
  <c r="A532" i="14"/>
  <c r="A533" i="14"/>
  <c r="A534" i="14"/>
  <c r="A535" i="14"/>
  <c r="A536" i="14"/>
  <c r="A537" i="14"/>
  <c r="A538" i="14"/>
  <c r="A539" i="14"/>
  <c r="A540" i="14"/>
  <c r="A541" i="14"/>
  <c r="A542" i="14"/>
  <c r="A543" i="14"/>
  <c r="A544" i="14"/>
  <c r="A545" i="14"/>
  <c r="A546" i="14"/>
  <c r="A547" i="14"/>
  <c r="A548" i="14"/>
  <c r="A549" i="14"/>
  <c r="A550" i="14"/>
  <c r="A551" i="14"/>
  <c r="A552" i="14"/>
  <c r="A553" i="14"/>
  <c r="A554" i="14"/>
  <c r="A555" i="14"/>
  <c r="A556" i="14"/>
  <c r="A557" i="14"/>
  <c r="A558" i="14"/>
  <c r="A559" i="14"/>
  <c r="A560" i="14"/>
  <c r="A561" i="14"/>
  <c r="A562" i="14"/>
  <c r="A563" i="14"/>
  <c r="A564" i="14"/>
  <c r="A565" i="14"/>
  <c r="A566" i="14"/>
  <c r="A567" i="14"/>
  <c r="A568" i="14"/>
  <c r="A569" i="14"/>
  <c r="A570" i="14"/>
  <c r="A571" i="14"/>
  <c r="A572" i="14"/>
  <c r="A573" i="14"/>
  <c r="A574" i="14"/>
  <c r="A575" i="14"/>
  <c r="A576" i="14"/>
  <c r="A577" i="14"/>
  <c r="A578" i="14"/>
  <c r="A579" i="14"/>
  <c r="A580" i="14"/>
  <c r="A581" i="14"/>
  <c r="A582" i="14"/>
  <c r="A583" i="14"/>
  <c r="A584" i="14"/>
  <c r="A585" i="14"/>
  <c r="A586" i="14"/>
  <c r="A587" i="14"/>
  <c r="A588" i="14"/>
  <c r="A589" i="14"/>
  <c r="A590" i="14"/>
  <c r="A591" i="14"/>
  <c r="A592" i="14"/>
  <c r="A593" i="14"/>
  <c r="A594" i="14"/>
  <c r="A595" i="14"/>
  <c r="A596" i="14"/>
  <c r="A597" i="14"/>
  <c r="A598" i="14"/>
  <c r="A599" i="14"/>
  <c r="A600" i="14"/>
  <c r="A601" i="14"/>
  <c r="A602" i="14"/>
  <c r="A603" i="14"/>
  <c r="A604" i="14"/>
  <c r="A605" i="14"/>
  <c r="A606" i="14"/>
  <c r="A607" i="14"/>
  <c r="A608" i="14"/>
  <c r="A609" i="14"/>
  <c r="A610" i="14"/>
  <c r="A611" i="14"/>
  <c r="A612" i="14"/>
  <c r="A613" i="14"/>
  <c r="A614" i="14"/>
  <c r="A615" i="14"/>
  <c r="A616" i="14"/>
  <c r="A617" i="14"/>
  <c r="A618" i="14"/>
  <c r="A619" i="14"/>
  <c r="A620" i="14"/>
  <c r="A621" i="14"/>
  <c r="A622" i="14"/>
  <c r="A623" i="14"/>
  <c r="A624" i="14"/>
  <c r="A625" i="14"/>
  <c r="A626" i="14"/>
  <c r="A627" i="14"/>
  <c r="A628" i="14"/>
  <c r="A629" i="14"/>
  <c r="A630" i="14"/>
  <c r="A631" i="14"/>
  <c r="A632" i="14"/>
  <c r="A633" i="14"/>
  <c r="A634" i="14"/>
  <c r="A635" i="14"/>
  <c r="A636" i="14"/>
  <c r="A637" i="14"/>
  <c r="A638" i="14"/>
  <c r="A639" i="14"/>
  <c r="A640" i="14"/>
  <c r="A641" i="14"/>
  <c r="A642" i="14"/>
  <c r="A643" i="14"/>
  <c r="A644" i="14"/>
  <c r="A645" i="14"/>
  <c r="A646" i="14"/>
  <c r="A647" i="14"/>
  <c r="A648" i="14"/>
  <c r="A649" i="14"/>
  <c r="A650" i="14"/>
  <c r="A651" i="14"/>
  <c r="A652" i="14"/>
  <c r="A653" i="14"/>
  <c r="A654" i="14"/>
  <c r="A655" i="14"/>
  <c r="A656" i="14"/>
  <c r="A657" i="14"/>
  <c r="A658" i="14"/>
  <c r="A659" i="14"/>
  <c r="A660" i="14"/>
  <c r="A661" i="14"/>
  <c r="A662" i="14"/>
  <c r="A663" i="14"/>
  <c r="A664" i="14"/>
  <c r="A665" i="14"/>
  <c r="A666" i="14"/>
  <c r="A667" i="14"/>
  <c r="A668" i="14"/>
  <c r="A669" i="14"/>
  <c r="A670" i="14"/>
  <c r="A671" i="14"/>
  <c r="A672" i="14"/>
  <c r="A673" i="14"/>
  <c r="A674" i="14"/>
  <c r="A675" i="14"/>
  <c r="A676" i="14"/>
  <c r="A677" i="14"/>
  <c r="A678" i="14"/>
  <c r="A679" i="14"/>
  <c r="A680" i="14"/>
  <c r="A681" i="14"/>
  <c r="A682" i="14"/>
  <c r="A683" i="14"/>
  <c r="A684" i="14"/>
  <c r="A685" i="14"/>
  <c r="A686" i="14"/>
  <c r="A687" i="14"/>
  <c r="A688" i="14"/>
  <c r="A689" i="14"/>
  <c r="A690" i="14"/>
  <c r="A692" i="14"/>
  <c r="A693" i="14"/>
  <c r="A694" i="14"/>
  <c r="A695" i="14"/>
  <c r="A696" i="14"/>
  <c r="A697" i="14"/>
  <c r="A698" i="14"/>
  <c r="A699" i="14"/>
  <c r="A700" i="14"/>
  <c r="A701" i="14"/>
  <c r="A702" i="14"/>
  <c r="A703" i="14"/>
  <c r="A704" i="14"/>
  <c r="A705" i="14"/>
  <c r="A706" i="14"/>
  <c r="A707" i="14"/>
  <c r="A708" i="14"/>
  <c r="A709" i="14"/>
  <c r="A710" i="14"/>
  <c r="A711" i="14"/>
  <c r="A712" i="14"/>
  <c r="A713" i="14"/>
  <c r="A714" i="14"/>
  <c r="A715" i="14"/>
  <c r="A716" i="14"/>
  <c r="A717" i="14"/>
  <c r="A718" i="14"/>
  <c r="A719" i="14"/>
  <c r="A720" i="14"/>
  <c r="A721" i="14"/>
  <c r="A722" i="14"/>
  <c r="A723" i="14"/>
  <c r="A724" i="14"/>
  <c r="A725" i="14"/>
  <c r="A726" i="14"/>
  <c r="A727" i="14"/>
  <c r="A728" i="14"/>
  <c r="A729" i="14"/>
  <c r="A730" i="14"/>
  <c r="A731" i="14"/>
  <c r="A732" i="14"/>
  <c r="A733" i="14"/>
  <c r="A734" i="14"/>
  <c r="A735" i="14"/>
  <c r="A736" i="14"/>
  <c r="A737" i="14"/>
  <c r="A738" i="14"/>
  <c r="A739" i="14"/>
  <c r="A740" i="14"/>
  <c r="A741" i="14"/>
  <c r="A742" i="14"/>
  <c r="A743" i="14"/>
  <c r="A744" i="14"/>
  <c r="A745" i="14"/>
  <c r="A746" i="14"/>
  <c r="A747" i="14"/>
  <c r="A748" i="14"/>
  <c r="A749" i="14"/>
  <c r="A750" i="14"/>
  <c r="A751" i="14"/>
  <c r="A752" i="14"/>
  <c r="A753" i="14"/>
  <c r="A754" i="14"/>
  <c r="A755" i="14"/>
  <c r="A756" i="14"/>
  <c r="A757" i="14"/>
  <c r="A758" i="14"/>
  <c r="A759" i="14"/>
  <c r="A760" i="14"/>
  <c r="A761" i="14"/>
  <c r="A762" i="14"/>
  <c r="A763" i="14"/>
  <c r="A764" i="14"/>
  <c r="A765" i="14"/>
  <c r="A766" i="14"/>
  <c r="A767" i="14"/>
  <c r="A768" i="14"/>
  <c r="A769" i="14"/>
  <c r="A770" i="14"/>
  <c r="A771" i="14"/>
  <c r="A772" i="14"/>
  <c r="A773" i="14"/>
  <c r="A774" i="14"/>
  <c r="A775" i="14"/>
  <c r="A776" i="14"/>
  <c r="A777" i="14"/>
  <c r="A778" i="14"/>
  <c r="A779" i="14"/>
  <c r="A780" i="14"/>
  <c r="A781" i="14"/>
  <c r="A782" i="14"/>
  <c r="A783" i="14"/>
  <c r="A784" i="14"/>
  <c r="A785" i="14"/>
  <c r="A786" i="14"/>
  <c r="A787" i="14"/>
  <c r="A788" i="14"/>
  <c r="A789" i="14"/>
  <c r="A790" i="14"/>
  <c r="A791" i="14"/>
  <c r="A792" i="14"/>
  <c r="A793" i="14"/>
  <c r="A794" i="14"/>
  <c r="A795" i="14"/>
  <c r="A796" i="14"/>
  <c r="A797" i="14"/>
  <c r="A798" i="14"/>
  <c r="A799" i="14"/>
  <c r="A800" i="14"/>
  <c r="A801" i="14"/>
  <c r="A802" i="14"/>
  <c r="A803" i="14"/>
  <c r="A804" i="14"/>
  <c r="A805" i="14"/>
  <c r="A806" i="14"/>
  <c r="A807" i="14"/>
  <c r="A808" i="14"/>
  <c r="A809" i="14"/>
  <c r="A810" i="14"/>
  <c r="A811" i="14"/>
  <c r="A812" i="14"/>
  <c r="A813" i="14"/>
  <c r="A814" i="14"/>
  <c r="A815" i="14"/>
  <c r="A816" i="14"/>
  <c r="A817" i="14"/>
  <c r="A818" i="14"/>
  <c r="A819" i="14"/>
  <c r="A820" i="14"/>
  <c r="A821" i="14"/>
  <c r="A822" i="14"/>
  <c r="A823" i="14"/>
  <c r="A824" i="14"/>
  <c r="A825" i="14"/>
  <c r="A826" i="14"/>
  <c r="A827" i="14"/>
  <c r="A828" i="14"/>
  <c r="A829" i="14"/>
  <c r="A830" i="14"/>
  <c r="A831" i="14"/>
  <c r="A832" i="14"/>
  <c r="A833" i="14"/>
  <c r="A834" i="14"/>
  <c r="A835" i="14"/>
  <c r="A836" i="14"/>
  <c r="A837" i="14"/>
  <c r="A838" i="14"/>
  <c r="A839" i="14"/>
  <c r="A840" i="14"/>
  <c r="A841" i="14"/>
  <c r="A842" i="14"/>
  <c r="A843" i="14"/>
  <c r="A844" i="14"/>
  <c r="A845" i="14"/>
  <c r="A846" i="14"/>
  <c r="A847" i="14"/>
  <c r="A848" i="14"/>
  <c r="A849" i="14"/>
  <c r="A850" i="14"/>
  <c r="A851" i="14"/>
  <c r="A852" i="14"/>
  <c r="A853" i="14"/>
  <c r="A854" i="14"/>
  <c r="A855" i="14"/>
  <c r="A856" i="14"/>
  <c r="A857" i="14"/>
  <c r="A858" i="14"/>
  <c r="A859" i="14"/>
  <c r="A860" i="14"/>
  <c r="A861" i="14"/>
  <c r="A862" i="14"/>
  <c r="A863" i="14"/>
  <c r="A864" i="14"/>
  <c r="A865" i="14"/>
  <c r="A866" i="14"/>
  <c r="A867" i="14"/>
  <c r="A868" i="14"/>
  <c r="A869" i="14"/>
  <c r="A870" i="14"/>
  <c r="A871" i="14"/>
  <c r="A872" i="14"/>
  <c r="A873" i="14"/>
  <c r="A874" i="14"/>
  <c r="A875" i="14"/>
  <c r="A876" i="14"/>
  <c r="A877" i="14"/>
  <c r="A878" i="14"/>
  <c r="A879" i="14"/>
  <c r="A880" i="14"/>
  <c r="A881" i="14"/>
  <c r="A882" i="14"/>
  <c r="A883" i="14"/>
  <c r="A884" i="14"/>
  <c r="A885" i="14"/>
  <c r="A886" i="14"/>
  <c r="A887" i="14"/>
  <c r="A888" i="14"/>
  <c r="A889" i="14"/>
  <c r="A890" i="14"/>
  <c r="A891" i="14"/>
  <c r="A892" i="14"/>
  <c r="A893" i="14"/>
  <c r="A894" i="14"/>
  <c r="A895" i="14"/>
  <c r="A896" i="14"/>
  <c r="A897" i="14"/>
  <c r="A898" i="14"/>
  <c r="A899" i="14"/>
  <c r="A900" i="14"/>
  <c r="A901" i="14"/>
  <c r="A902" i="14"/>
  <c r="A903" i="14"/>
  <c r="A904" i="14"/>
  <c r="A905" i="14"/>
  <c r="A906" i="14"/>
  <c r="A907" i="14"/>
  <c r="A908" i="14"/>
  <c r="A909" i="14"/>
  <c r="A910" i="14"/>
  <c r="A911" i="14"/>
  <c r="A912" i="14"/>
  <c r="A913" i="14"/>
  <c r="A914" i="14"/>
  <c r="A915" i="14"/>
  <c r="A916" i="14"/>
  <c r="A917" i="14"/>
  <c r="A918" i="14"/>
  <c r="A919" i="14"/>
  <c r="A920" i="14"/>
  <c r="A921" i="14"/>
  <c r="A922" i="14"/>
  <c r="A923" i="14"/>
  <c r="A924" i="14"/>
  <c r="A925" i="14"/>
  <c r="A926" i="14"/>
  <c r="A927" i="14"/>
  <c r="A928" i="14"/>
  <c r="A929" i="14"/>
  <c r="A930" i="14"/>
  <c r="A931" i="14"/>
  <c r="A932" i="14"/>
  <c r="A933" i="14"/>
  <c r="A934" i="14"/>
  <c r="A935" i="14"/>
  <c r="A936" i="14"/>
  <c r="A937" i="14"/>
  <c r="A938" i="14"/>
  <c r="A939" i="14"/>
  <c r="A940" i="14"/>
  <c r="A941" i="14"/>
  <c r="A942" i="14"/>
  <c r="A943" i="14"/>
  <c r="A944" i="14"/>
  <c r="A945" i="14"/>
  <c r="A946" i="14"/>
  <c r="A947" i="14"/>
  <c r="A948" i="14"/>
  <c r="A949" i="14"/>
  <c r="A950" i="14"/>
  <c r="A951" i="14"/>
  <c r="A952" i="14"/>
  <c r="A953" i="14"/>
  <c r="A954" i="14"/>
  <c r="A955" i="14"/>
  <c r="A956" i="14"/>
  <c r="A957" i="14"/>
  <c r="A958" i="14"/>
  <c r="A959" i="14"/>
  <c r="A960" i="14"/>
  <c r="A961" i="14"/>
  <c r="A962" i="14"/>
  <c r="A963" i="14"/>
  <c r="A964" i="14"/>
  <c r="A965" i="14"/>
  <c r="A966" i="14"/>
  <c r="A967" i="14"/>
  <c r="A968" i="14"/>
  <c r="A969" i="14"/>
  <c r="A970" i="14"/>
  <c r="A971" i="14"/>
  <c r="A972" i="14"/>
  <c r="A973" i="14"/>
  <c r="A974" i="14"/>
  <c r="A975" i="14"/>
  <c r="A976" i="14"/>
  <c r="A977" i="14"/>
  <c r="A978" i="14"/>
  <c r="A979" i="14"/>
  <c r="A980" i="14"/>
  <c r="A981" i="14"/>
  <c r="A982" i="14"/>
  <c r="A983" i="14"/>
  <c r="A984" i="14"/>
  <c r="A985" i="14"/>
  <c r="A986" i="14"/>
  <c r="A987" i="14"/>
  <c r="A988" i="14"/>
  <c r="A989" i="14"/>
  <c r="A990" i="14"/>
  <c r="A991" i="14"/>
  <c r="A992" i="14"/>
  <c r="A993" i="14"/>
  <c r="A994" i="14"/>
  <c r="A995" i="14"/>
  <c r="A996" i="14"/>
  <c r="A997" i="14"/>
  <c r="A998" i="14"/>
  <c r="A999" i="14"/>
  <c r="A1000" i="14"/>
  <c r="A1001" i="14"/>
  <c r="A1002" i="14"/>
  <c r="A1003" i="14"/>
  <c r="A1004" i="14"/>
  <c r="A1005" i="14"/>
  <c r="A1006" i="14"/>
  <c r="A1007" i="14"/>
  <c r="A1008" i="14"/>
  <c r="A1009" i="14"/>
  <c r="A1010" i="14"/>
  <c r="A1011" i="14"/>
  <c r="A1012" i="14"/>
  <c r="A1013" i="14"/>
  <c r="A1014" i="14"/>
  <c r="A1015" i="14"/>
  <c r="A1016" i="14"/>
  <c r="A1017" i="14"/>
  <c r="A1018" i="14"/>
  <c r="A1019" i="14"/>
  <c r="A1020" i="14"/>
  <c r="A1021" i="14"/>
  <c r="A1022" i="14"/>
  <c r="A1023" i="14"/>
  <c r="A1024" i="14"/>
  <c r="A1025" i="14"/>
  <c r="A1026" i="14"/>
  <c r="A1027" i="14"/>
  <c r="A1028" i="14"/>
  <c r="A1029" i="14"/>
  <c r="A1030" i="14"/>
  <c r="A1031" i="14"/>
  <c r="A1032" i="14"/>
  <c r="A1033" i="14"/>
  <c r="A1034" i="14"/>
  <c r="A1035" i="14"/>
  <c r="A1036" i="14"/>
  <c r="A1037" i="14"/>
  <c r="A1038" i="14"/>
  <c r="A1039" i="14"/>
  <c r="A1040" i="14"/>
  <c r="A1041" i="14"/>
  <c r="A1042" i="14"/>
  <c r="A1043" i="14"/>
  <c r="A1044" i="14"/>
  <c r="A1045" i="14"/>
  <c r="A1046" i="14"/>
  <c r="A1047" i="14"/>
  <c r="A1048" i="14"/>
  <c r="A1049" i="14"/>
  <c r="A1050" i="14"/>
  <c r="A1051" i="14"/>
  <c r="A1052" i="14"/>
  <c r="A1053" i="14"/>
  <c r="A1054" i="14"/>
  <c r="A1055" i="14"/>
  <c r="A1056" i="14"/>
  <c r="A1057" i="14"/>
  <c r="A1058" i="14"/>
  <c r="A1059" i="14"/>
  <c r="A1060" i="14"/>
  <c r="A1061" i="14"/>
  <c r="A1062" i="14"/>
  <c r="A1063" i="14"/>
  <c r="A1064" i="14"/>
  <c r="A1065" i="14"/>
  <c r="A1066" i="14"/>
  <c r="A1067" i="14"/>
  <c r="A1068" i="14"/>
  <c r="A1069" i="14"/>
  <c r="A1070" i="14"/>
  <c r="A1071" i="14"/>
  <c r="A1072" i="14"/>
  <c r="A1073" i="14"/>
  <c r="A1074" i="14"/>
  <c r="A1075" i="14"/>
  <c r="A1076" i="14"/>
  <c r="A1077" i="14"/>
  <c r="A1078" i="14"/>
  <c r="A1079" i="14"/>
  <c r="A1080" i="14"/>
  <c r="A1081" i="14"/>
  <c r="A1082" i="14"/>
  <c r="A1083" i="14"/>
  <c r="A1084" i="14"/>
  <c r="A1085" i="14"/>
  <c r="A1086" i="14"/>
  <c r="A1087" i="14"/>
  <c r="A1088" i="14"/>
  <c r="A1089" i="14"/>
  <c r="A1090" i="14"/>
  <c r="A1091" i="14"/>
  <c r="A1092" i="14"/>
  <c r="A1093" i="14"/>
  <c r="A1094" i="14"/>
  <c r="A1095" i="14"/>
  <c r="A1096" i="14"/>
  <c r="A1097" i="14"/>
  <c r="A1098" i="14"/>
  <c r="A1099" i="14"/>
  <c r="A1100" i="14"/>
  <c r="A1101" i="14"/>
  <c r="A1102" i="14"/>
  <c r="A1103" i="14"/>
  <c r="A1104" i="14"/>
  <c r="A1105" i="14"/>
  <c r="A1106" i="14"/>
  <c r="A1107" i="14"/>
  <c r="A1108" i="14"/>
  <c r="A1109" i="14"/>
  <c r="A1110" i="14"/>
  <c r="A1111" i="14"/>
  <c r="A1112" i="14"/>
  <c r="A1113" i="14"/>
  <c r="A1114" i="14"/>
  <c r="A1115" i="14"/>
  <c r="A1116" i="14"/>
  <c r="A1117" i="14"/>
  <c r="A1118" i="14"/>
  <c r="A1119" i="14"/>
  <c r="A1120" i="14"/>
  <c r="A1121" i="14"/>
  <c r="A1122" i="14"/>
  <c r="A1123" i="14"/>
  <c r="A1124" i="14"/>
  <c r="A1125" i="14"/>
  <c r="A1126" i="14"/>
  <c r="A1127" i="14"/>
  <c r="A1128" i="14"/>
  <c r="A1129" i="14"/>
  <c r="A1130" i="14"/>
  <c r="A1131" i="14"/>
  <c r="A1132" i="14"/>
  <c r="A1133" i="14"/>
  <c r="A1134" i="14"/>
  <c r="A1135" i="14"/>
  <c r="A1136" i="14"/>
  <c r="A1137" i="14"/>
  <c r="A1138" i="14"/>
  <c r="A1139" i="14"/>
  <c r="A1140" i="14"/>
  <c r="A1141" i="14"/>
  <c r="A1142" i="14"/>
  <c r="A1143" i="14"/>
  <c r="A1144" i="14"/>
  <c r="A1145" i="14"/>
  <c r="A1146" i="14"/>
  <c r="A1147" i="14"/>
  <c r="A1148" i="14"/>
  <c r="A1149" i="14"/>
  <c r="A1150" i="14"/>
  <c r="A1151" i="14"/>
  <c r="A1152" i="14"/>
  <c r="A1153" i="14"/>
  <c r="A1154" i="14"/>
  <c r="A1155" i="14"/>
  <c r="A1156" i="14"/>
  <c r="A1157" i="14"/>
  <c r="A1158" i="14"/>
  <c r="A1159" i="14"/>
  <c r="A1160" i="14"/>
  <c r="A1161" i="14"/>
  <c r="A1162" i="14"/>
  <c r="A1163" i="14"/>
  <c r="A1164" i="14"/>
  <c r="A1165" i="14"/>
  <c r="A1166" i="14"/>
  <c r="A1167" i="14"/>
  <c r="A1168" i="14"/>
  <c r="A1169" i="14"/>
  <c r="A1170" i="14"/>
  <c r="A1171" i="14"/>
  <c r="A1172" i="14"/>
  <c r="A1173" i="14"/>
  <c r="A1174" i="14"/>
  <c r="A1175" i="14"/>
  <c r="A1176" i="14"/>
  <c r="A1177" i="14"/>
  <c r="A1178" i="14"/>
  <c r="A1179" i="14"/>
  <c r="A1180" i="14"/>
  <c r="A1181" i="14"/>
  <c r="A1182" i="14"/>
  <c r="A1183" i="14"/>
  <c r="A1184" i="14"/>
  <c r="A1185" i="14"/>
  <c r="A1186" i="14"/>
  <c r="A1187" i="14"/>
  <c r="A1188" i="14"/>
  <c r="A1189" i="14"/>
  <c r="A1190" i="14"/>
  <c r="A1191" i="14"/>
  <c r="A1192" i="14"/>
  <c r="A1193" i="14"/>
  <c r="A1194" i="14"/>
  <c r="A1195" i="14"/>
  <c r="A1196" i="14"/>
  <c r="A1197" i="14"/>
  <c r="A1198" i="14"/>
  <c r="A1199" i="14"/>
  <c r="A1200" i="14"/>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R111" i="5"/>
  <c r="BB11"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39" i="15"/>
  <c r="A540" i="15"/>
  <c r="A541" i="15"/>
  <c r="A542" i="15"/>
  <c r="A543" i="15"/>
  <c r="A544" i="15"/>
  <c r="A545" i="15"/>
  <c r="A546" i="15"/>
  <c r="A547" i="15"/>
  <c r="A548" i="15"/>
  <c r="A549" i="15"/>
  <c r="A550" i="15"/>
  <c r="A551" i="15"/>
  <c r="A552" i="15"/>
  <c r="A553" i="15"/>
  <c r="A554" i="15"/>
  <c r="A555" i="15"/>
  <c r="A556" i="15"/>
  <c r="A557" i="15"/>
  <c r="A558"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582" i="15"/>
  <c r="A583" i="15"/>
  <c r="A584" i="15"/>
  <c r="A585" i="15"/>
  <c r="A586" i="15"/>
  <c r="A587" i="15"/>
  <c r="A588" i="15"/>
  <c r="A589" i="15"/>
  <c r="A590" i="15"/>
  <c r="A591" i="15"/>
  <c r="A592" i="15"/>
  <c r="A593" i="15"/>
  <c r="A594" i="15"/>
  <c r="A595" i="15"/>
  <c r="A596" i="15"/>
  <c r="A597" i="15"/>
  <c r="A598" i="15"/>
  <c r="A599" i="15"/>
  <c r="A600" i="15"/>
  <c r="A601" i="15"/>
  <c r="A602" i="15"/>
  <c r="A603" i="15"/>
  <c r="A604" i="15"/>
  <c r="A605" i="15"/>
  <c r="A606" i="15"/>
  <c r="A607" i="15"/>
  <c r="A608" i="15"/>
  <c r="A609" i="15"/>
  <c r="A610" i="15"/>
  <c r="A611" i="15"/>
  <c r="A612" i="15"/>
  <c r="A613" i="15"/>
  <c r="A614" i="15"/>
  <c r="A615" i="15"/>
  <c r="A616" i="15"/>
  <c r="A617" i="15"/>
  <c r="A618" i="15"/>
  <c r="A619" i="15"/>
  <c r="A620" i="15"/>
  <c r="A621" i="15"/>
  <c r="A622" i="15"/>
  <c r="A623" i="15"/>
  <c r="A624" i="15"/>
  <c r="A625" i="15"/>
  <c r="A626" i="15"/>
  <c r="A627" i="15"/>
  <c r="A628" i="15"/>
  <c r="A629" i="15"/>
  <c r="A630" i="15"/>
  <c r="A631" i="15"/>
  <c r="A632" i="15"/>
  <c r="A633" i="15"/>
  <c r="A634" i="15"/>
  <c r="A635" i="15"/>
  <c r="A636" i="15"/>
  <c r="A637" i="15"/>
  <c r="A638" i="15"/>
  <c r="A639" i="15"/>
  <c r="A640" i="15"/>
  <c r="A641" i="15"/>
  <c r="A642" i="15"/>
  <c r="A643" i="15"/>
  <c r="A644" i="15"/>
  <c r="A645" i="15"/>
  <c r="A646" i="15"/>
  <c r="A647" i="15"/>
  <c r="A648" i="15"/>
  <c r="A649" i="15"/>
  <c r="A650" i="15"/>
  <c r="A651" i="15"/>
  <c r="A652" i="15"/>
  <c r="A653" i="15"/>
  <c r="A654" i="15"/>
  <c r="A655" i="15"/>
  <c r="A656" i="15"/>
  <c r="A657" i="15"/>
  <c r="A658" i="15"/>
  <c r="A659" i="15"/>
  <c r="A660" i="15"/>
  <c r="A661" i="15"/>
  <c r="A662" i="15"/>
  <c r="A663" i="15"/>
  <c r="A664" i="15"/>
  <c r="A665" i="15"/>
  <c r="A666" i="15"/>
  <c r="A667" i="15"/>
  <c r="A668" i="15"/>
  <c r="A669" i="15"/>
  <c r="A670" i="15"/>
  <c r="A671" i="15"/>
  <c r="A672" i="15"/>
  <c r="A673" i="15"/>
  <c r="A674" i="15"/>
  <c r="A675" i="15"/>
  <c r="A676" i="15"/>
  <c r="A677" i="15"/>
  <c r="A678" i="15"/>
  <c r="A679" i="15"/>
  <c r="A680" i="15"/>
  <c r="A681" i="15"/>
  <c r="A682" i="15"/>
  <c r="A683" i="15"/>
  <c r="A684" i="15"/>
  <c r="A685" i="15"/>
  <c r="A686" i="15"/>
  <c r="A687" i="15"/>
  <c r="A688" i="15"/>
  <c r="A689" i="15"/>
  <c r="A690" i="15"/>
  <c r="A691" i="15"/>
  <c r="A692" i="15"/>
  <c r="A693" i="15"/>
  <c r="A694" i="15"/>
  <c r="A695" i="15"/>
  <c r="A696" i="15"/>
  <c r="A697" i="15"/>
  <c r="A698" i="15"/>
  <c r="A699" i="15"/>
  <c r="A700" i="15"/>
  <c r="A701" i="15"/>
  <c r="A702" i="15"/>
  <c r="A703" i="15"/>
  <c r="A704" i="15"/>
  <c r="A705" i="15"/>
  <c r="A706" i="15"/>
  <c r="A707" i="15"/>
  <c r="A708" i="15"/>
  <c r="A709" i="15"/>
  <c r="A710" i="15"/>
  <c r="A711" i="15"/>
  <c r="A712" i="15"/>
  <c r="A713" i="15"/>
  <c r="A714" i="15"/>
  <c r="A715" i="15"/>
  <c r="A716" i="15"/>
  <c r="A717" i="15"/>
  <c r="A718" i="15"/>
  <c r="A719" i="15"/>
  <c r="A720" i="15"/>
  <c r="A721" i="15"/>
  <c r="A722" i="15"/>
  <c r="A723" i="15"/>
  <c r="A724" i="15"/>
  <c r="A725" i="15"/>
  <c r="A726" i="15"/>
  <c r="A727" i="15"/>
  <c r="A728" i="15"/>
  <c r="A729" i="15"/>
  <c r="A730" i="15"/>
  <c r="A731" i="15"/>
  <c r="A732" i="15"/>
  <c r="A733" i="15"/>
  <c r="A734" i="15"/>
  <c r="A735" i="15"/>
  <c r="A736" i="15"/>
  <c r="A737" i="15"/>
  <c r="A738" i="15"/>
  <c r="A739" i="15"/>
  <c r="A740" i="15"/>
  <c r="A741" i="15"/>
  <c r="A742" i="15"/>
  <c r="A743" i="15"/>
  <c r="A744" i="15"/>
  <c r="A745" i="15"/>
  <c r="A746" i="15"/>
  <c r="A747" i="15"/>
  <c r="A748" i="15"/>
  <c r="A749" i="15"/>
  <c r="A750" i="15"/>
  <c r="A751" i="15"/>
  <c r="A752" i="15"/>
  <c r="A753" i="15"/>
  <c r="A754" i="15"/>
  <c r="A755" i="15"/>
  <c r="A756" i="15"/>
  <c r="A757" i="15"/>
  <c r="A758" i="15"/>
  <c r="A759" i="15"/>
  <c r="A760" i="15"/>
  <c r="A761" i="15"/>
  <c r="A762" i="15"/>
  <c r="A763" i="15"/>
  <c r="A764" i="15"/>
  <c r="A765" i="15"/>
  <c r="A766" i="15"/>
  <c r="A767" i="15"/>
  <c r="A768" i="15"/>
  <c r="A769" i="15"/>
  <c r="A770" i="15"/>
  <c r="A771" i="15"/>
  <c r="A772" i="15"/>
  <c r="A773" i="15"/>
  <c r="A774" i="15"/>
  <c r="A775" i="15"/>
  <c r="A776" i="15"/>
  <c r="A777" i="15"/>
  <c r="A778" i="15"/>
  <c r="A779" i="15"/>
  <c r="A780" i="15"/>
  <c r="A781" i="15"/>
  <c r="A782" i="15"/>
  <c r="A783" i="15"/>
  <c r="A784" i="15"/>
  <c r="A785" i="15"/>
  <c r="A786" i="15"/>
  <c r="A787" i="15"/>
  <c r="A788" i="15"/>
  <c r="A789" i="15"/>
  <c r="A790" i="15"/>
  <c r="A791" i="15"/>
  <c r="A792" i="15"/>
  <c r="A793" i="15"/>
  <c r="A794" i="15"/>
  <c r="A795" i="15"/>
  <c r="A796" i="15"/>
  <c r="A797" i="15"/>
  <c r="A798" i="15"/>
  <c r="A799" i="15"/>
  <c r="A800" i="15"/>
  <c r="A801" i="15"/>
  <c r="A802" i="15"/>
  <c r="A803" i="15"/>
  <c r="A804" i="15"/>
  <c r="A805" i="15"/>
  <c r="A806" i="15"/>
  <c r="A807" i="15"/>
  <c r="A808" i="15"/>
  <c r="A809" i="15"/>
  <c r="A810" i="15"/>
  <c r="A811" i="15"/>
  <c r="A812" i="15"/>
  <c r="A813" i="15"/>
  <c r="A814" i="15"/>
  <c r="A815" i="15"/>
  <c r="A816" i="15"/>
  <c r="A817" i="15"/>
  <c r="A818" i="15"/>
  <c r="A819" i="15"/>
  <c r="A820" i="15"/>
  <c r="A821" i="15"/>
  <c r="A822" i="15"/>
  <c r="A823" i="15"/>
  <c r="A824" i="15"/>
  <c r="A825" i="15"/>
  <c r="A826" i="15"/>
  <c r="A827" i="15"/>
  <c r="A828" i="15"/>
  <c r="A829" i="15"/>
  <c r="A830" i="15"/>
  <c r="A831" i="15"/>
  <c r="A832" i="15"/>
  <c r="A833" i="15"/>
  <c r="A834" i="15"/>
  <c r="A835" i="15"/>
  <c r="A836" i="15"/>
  <c r="A837" i="15"/>
  <c r="A838" i="15"/>
  <c r="A839" i="15"/>
  <c r="A840" i="15"/>
  <c r="A841" i="15"/>
  <c r="A842" i="15"/>
  <c r="A843" i="15"/>
  <c r="A844" i="15"/>
  <c r="A845" i="15"/>
  <c r="A846" i="15"/>
  <c r="A847" i="15"/>
  <c r="A848" i="15"/>
  <c r="A849" i="15"/>
  <c r="A850" i="15"/>
  <c r="A851" i="15"/>
  <c r="A852" i="15"/>
  <c r="A853" i="15"/>
  <c r="A854" i="15"/>
  <c r="A855" i="15"/>
  <c r="A856" i="15"/>
  <c r="A857" i="15"/>
  <c r="A858" i="15"/>
  <c r="A859" i="15"/>
  <c r="A860" i="15"/>
  <c r="A861" i="15"/>
  <c r="A862" i="15"/>
  <c r="A863" i="15"/>
  <c r="A864" i="15"/>
  <c r="A865" i="15"/>
  <c r="A866" i="15"/>
  <c r="A867" i="15"/>
  <c r="A868" i="15"/>
  <c r="A869" i="15"/>
  <c r="A870" i="15"/>
  <c r="A871" i="15"/>
  <c r="A872" i="15"/>
  <c r="A873" i="15"/>
  <c r="A874" i="15"/>
  <c r="A875" i="15"/>
  <c r="A876" i="15"/>
  <c r="A877" i="15"/>
  <c r="A878" i="15"/>
  <c r="A879" i="15"/>
  <c r="A880" i="15"/>
  <c r="A881" i="15"/>
  <c r="A882" i="15"/>
  <c r="A883" i="15"/>
  <c r="A884" i="15"/>
  <c r="A885" i="15"/>
  <c r="A886" i="15"/>
  <c r="A887" i="15"/>
  <c r="A888" i="15"/>
  <c r="A889" i="15"/>
  <c r="A890" i="15"/>
  <c r="A891" i="15"/>
  <c r="A892" i="15"/>
  <c r="A893" i="15"/>
  <c r="A894" i="15"/>
  <c r="A895" i="15"/>
  <c r="A896" i="15"/>
  <c r="A897" i="15"/>
  <c r="A898" i="15"/>
  <c r="A899" i="15"/>
  <c r="A900" i="15"/>
  <c r="A901" i="15"/>
  <c r="A902" i="15"/>
  <c r="A903" i="15"/>
  <c r="A904" i="15"/>
  <c r="A905" i="15"/>
  <c r="A906" i="15"/>
  <c r="A907" i="15"/>
  <c r="A908" i="15"/>
  <c r="A909" i="15"/>
  <c r="A910" i="15"/>
  <c r="A911" i="15"/>
  <c r="A912" i="15"/>
  <c r="A913" i="15"/>
  <c r="A914" i="15"/>
  <c r="A915" i="15"/>
  <c r="A916" i="15"/>
  <c r="A917" i="15"/>
  <c r="A918" i="15"/>
  <c r="A919" i="15"/>
  <c r="A920" i="15"/>
  <c r="A921" i="15"/>
  <c r="A922" i="15"/>
  <c r="A923" i="15"/>
  <c r="A924" i="15"/>
  <c r="A925" i="15"/>
  <c r="A926" i="15"/>
  <c r="A927" i="15"/>
  <c r="A928" i="15"/>
  <c r="A929" i="15"/>
  <c r="A930" i="15"/>
  <c r="A931" i="15"/>
  <c r="A932" i="15"/>
  <c r="A933" i="15"/>
  <c r="A934" i="15"/>
  <c r="A935" i="15"/>
  <c r="A936" i="15"/>
  <c r="A937" i="15"/>
  <c r="A938" i="15"/>
  <c r="A939" i="15"/>
  <c r="A940" i="15"/>
  <c r="A941" i="15"/>
  <c r="A942" i="15"/>
  <c r="A943" i="15"/>
  <c r="A944" i="15"/>
  <c r="A945" i="15"/>
  <c r="A946" i="15"/>
  <c r="A947" i="15"/>
  <c r="A948" i="15"/>
  <c r="A949" i="15"/>
  <c r="A950" i="15"/>
  <c r="A951" i="15"/>
  <c r="A952" i="15"/>
  <c r="A953" i="15"/>
  <c r="A954" i="15"/>
  <c r="A955" i="15"/>
  <c r="A956" i="15"/>
  <c r="A957" i="15"/>
  <c r="A958" i="15"/>
  <c r="A959" i="15"/>
  <c r="A960" i="15"/>
  <c r="A961" i="15"/>
  <c r="A962" i="15"/>
  <c r="A963" i="15"/>
  <c r="A964" i="15"/>
  <c r="A965" i="15"/>
  <c r="A966" i="15"/>
  <c r="A967" i="15"/>
  <c r="A968" i="15"/>
  <c r="A969" i="15"/>
  <c r="A970" i="15"/>
  <c r="A971" i="15"/>
  <c r="A972" i="15"/>
  <c r="A973" i="15"/>
  <c r="A974" i="15"/>
  <c r="A975" i="15"/>
  <c r="A976" i="15"/>
  <c r="A977" i="15"/>
  <c r="A978" i="15"/>
  <c r="A979" i="15"/>
  <c r="A980" i="15"/>
  <c r="A981" i="15"/>
  <c r="A982" i="15"/>
  <c r="A983" i="15"/>
  <c r="A984" i="15"/>
  <c r="A985" i="15"/>
  <c r="A986" i="15"/>
  <c r="A987" i="15"/>
  <c r="A988" i="15"/>
  <c r="A989" i="15"/>
  <c r="A990" i="15"/>
  <c r="A991" i="15"/>
  <c r="A992" i="15"/>
  <c r="A993" i="15"/>
  <c r="A994" i="15"/>
  <c r="A995" i="15"/>
  <c r="A996" i="15"/>
  <c r="A997" i="15"/>
  <c r="A998" i="15"/>
  <c r="A999" i="15"/>
  <c r="A1000" i="15"/>
  <c r="A1001" i="15"/>
  <c r="A1002" i="15"/>
  <c r="A1003" i="15"/>
  <c r="A1004" i="15"/>
  <c r="A1005" i="15"/>
  <c r="A1006" i="15"/>
  <c r="A1007" i="15"/>
  <c r="A1008" i="15"/>
  <c r="A1009" i="15"/>
  <c r="A1010" i="15"/>
  <c r="A1011" i="15"/>
  <c r="A1012" i="15"/>
  <c r="A1013" i="15"/>
  <c r="A1014" i="15"/>
  <c r="A1015" i="15"/>
  <c r="A1016" i="15"/>
  <c r="A1017" i="15"/>
  <c r="A1018" i="15"/>
  <c r="A1019" i="15"/>
  <c r="A1020" i="15"/>
  <c r="A1021" i="15"/>
  <c r="A1022" i="15"/>
  <c r="A1023" i="15"/>
  <c r="A1024" i="15"/>
  <c r="A1025" i="15"/>
  <c r="A1026" i="15"/>
  <c r="A1027" i="15"/>
  <c r="A1028" i="15"/>
  <c r="A1029" i="15"/>
  <c r="A1030" i="15"/>
  <c r="A1031" i="15"/>
  <c r="A1032" i="15"/>
  <c r="A1033" i="15"/>
  <c r="A1034" i="15"/>
  <c r="A1035" i="15"/>
  <c r="A1036" i="15"/>
  <c r="A1037" i="15"/>
  <c r="A1038" i="15"/>
  <c r="A1039" i="15"/>
  <c r="A1040" i="15"/>
  <c r="A1041" i="15"/>
  <c r="A1042" i="15"/>
  <c r="A1043" i="15"/>
  <c r="A1044" i="15"/>
  <c r="A1045" i="15"/>
  <c r="A1046" i="15"/>
  <c r="A1047" i="15"/>
  <c r="A1048" i="15"/>
  <c r="A1049" i="15"/>
  <c r="A1050" i="15"/>
  <c r="A1051" i="15"/>
  <c r="A1052" i="15"/>
  <c r="A1053" i="15"/>
  <c r="A1054" i="15"/>
  <c r="A1055" i="15"/>
  <c r="A1056" i="15"/>
  <c r="A1057" i="15"/>
  <c r="A1058" i="15"/>
  <c r="A1059" i="15"/>
  <c r="A1060" i="15"/>
  <c r="A1061" i="15"/>
  <c r="A1062" i="15"/>
  <c r="A1063" i="15"/>
  <c r="A1064" i="15"/>
  <c r="A1065" i="15"/>
  <c r="A1066" i="15"/>
  <c r="A1067" i="15"/>
  <c r="A1068" i="15"/>
  <c r="A1069" i="15"/>
  <c r="A1070" i="15"/>
  <c r="A1071" i="15"/>
  <c r="A1072" i="15"/>
  <c r="A1073" i="15"/>
  <c r="A1074" i="15"/>
  <c r="A1075" i="15"/>
  <c r="A1076" i="15"/>
  <c r="A1077" i="15"/>
  <c r="A1078" i="15"/>
  <c r="A1079" i="15"/>
  <c r="A1080" i="15"/>
  <c r="A1081" i="15"/>
  <c r="A1082" i="15"/>
  <c r="A1083" i="15"/>
  <c r="A1084" i="15"/>
  <c r="A1085" i="15"/>
  <c r="A1086" i="15"/>
  <c r="A1087" i="15"/>
  <c r="A1088" i="15"/>
  <c r="A1089" i="15"/>
  <c r="A1090" i="15"/>
  <c r="A1091" i="15"/>
  <c r="A1092" i="15"/>
  <c r="A1093" i="15"/>
  <c r="A1094" i="15"/>
  <c r="A1095" i="15"/>
  <c r="A1096" i="15"/>
  <c r="A1097" i="15"/>
  <c r="A1098" i="15"/>
  <c r="A1099" i="15"/>
  <c r="A1100" i="15"/>
  <c r="A1101" i="15"/>
  <c r="A1102" i="15"/>
  <c r="A1103" i="15"/>
  <c r="A1104" i="15"/>
  <c r="A1105" i="15"/>
  <c r="A1106" i="15"/>
  <c r="A1107" i="15"/>
  <c r="A1108" i="15"/>
  <c r="A1109" i="15"/>
  <c r="A1110" i="15"/>
  <c r="A1111" i="15"/>
  <c r="A1112" i="15"/>
  <c r="A1113" i="15"/>
  <c r="A1114" i="15"/>
  <c r="A1115" i="15"/>
  <c r="A1116" i="15"/>
  <c r="A1117" i="15"/>
  <c r="A1118" i="15"/>
  <c r="A1119" i="15"/>
  <c r="A1120" i="15"/>
  <c r="A1121" i="15"/>
  <c r="A1122" i="15"/>
  <c r="A1123" i="15"/>
  <c r="A1124" i="15"/>
  <c r="A1125" i="15"/>
  <c r="A1126" i="15"/>
  <c r="A1127" i="15"/>
  <c r="A1128" i="15"/>
  <c r="A1129" i="15"/>
  <c r="A1130" i="15"/>
  <c r="A1131" i="15"/>
  <c r="A1132" i="15"/>
  <c r="A1133" i="15"/>
  <c r="A1134" i="15"/>
  <c r="A1135" i="15"/>
  <c r="A1136" i="15"/>
  <c r="A1137" i="15"/>
  <c r="A1138" i="15"/>
  <c r="A1139" i="15"/>
  <c r="A1140" i="15"/>
  <c r="A1141" i="15"/>
  <c r="A1142" i="15"/>
  <c r="A1143" i="15"/>
  <c r="A1144" i="15"/>
  <c r="A1145" i="15"/>
  <c r="A1146" i="15"/>
  <c r="A1147" i="15"/>
  <c r="A1148" i="15"/>
  <c r="A1149" i="15"/>
  <c r="A1150" i="15"/>
  <c r="A1151" i="15"/>
  <c r="A1152" i="15"/>
  <c r="A1153" i="15"/>
  <c r="A1154" i="15"/>
  <c r="A1155" i="15"/>
  <c r="A1156" i="15"/>
  <c r="A1157" i="15"/>
  <c r="A1158" i="15"/>
  <c r="A1159" i="15"/>
  <c r="A1160" i="15"/>
  <c r="A1161" i="15"/>
  <c r="A1162" i="15"/>
  <c r="A1163" i="15"/>
  <c r="A1164" i="15"/>
  <c r="A1165" i="15"/>
  <c r="A1166" i="15"/>
  <c r="A1167" i="15"/>
  <c r="A1168" i="15"/>
  <c r="A1169" i="15"/>
  <c r="A1170" i="15"/>
  <c r="A1171" i="15"/>
  <c r="A1172" i="15"/>
  <c r="A1173" i="15"/>
  <c r="A1174" i="15"/>
  <c r="A1175" i="15"/>
  <c r="A1176" i="15"/>
  <c r="A1177" i="15"/>
  <c r="A1178" i="15"/>
  <c r="A1179" i="15"/>
  <c r="A1180" i="15"/>
  <c r="A1181" i="15"/>
  <c r="A1182" i="15"/>
  <c r="A1183" i="15"/>
  <c r="A1184" i="15"/>
  <c r="A1185" i="15"/>
  <c r="A1186" i="15"/>
  <c r="A1187" i="15"/>
  <c r="A1188" i="15"/>
  <c r="A1189" i="15"/>
  <c r="A1190" i="15"/>
  <c r="A1191" i="15"/>
  <c r="A1192" i="15"/>
  <c r="A1193" i="15"/>
  <c r="A1194" i="15"/>
  <c r="A1195" i="15"/>
  <c r="A1196" i="15"/>
  <c r="A1197" i="15"/>
  <c r="A1198" i="15"/>
  <c r="A1199" i="15"/>
  <c r="A1200" i="1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T111" i="5"/>
  <c r="C112" i="5"/>
  <c r="D112" i="5"/>
  <c r="E112" i="5"/>
  <c r="F112" i="5"/>
  <c r="G112" i="5"/>
  <c r="H112" i="5"/>
  <c r="I112" i="5"/>
  <c r="J112" i="5"/>
  <c r="K112" i="5"/>
  <c r="L112" i="5"/>
  <c r="M112" i="5"/>
  <c r="N112" i="5"/>
  <c r="O112" i="5"/>
  <c r="P112" i="5"/>
  <c r="Q112" i="5"/>
  <c r="R112" i="5"/>
  <c r="S112" i="5"/>
  <c r="T112" i="5"/>
  <c r="C113" i="5"/>
  <c r="D113" i="5"/>
  <c r="E113" i="5"/>
  <c r="F113" i="5"/>
  <c r="G113" i="5"/>
  <c r="H113" i="5"/>
  <c r="I113" i="5"/>
  <c r="J113" i="5"/>
  <c r="K113" i="5"/>
  <c r="L113" i="5"/>
  <c r="M113" i="5"/>
  <c r="N113" i="5"/>
  <c r="O113" i="5"/>
  <c r="P113" i="5"/>
  <c r="Q113" i="5"/>
  <c r="R113" i="5"/>
  <c r="S113" i="5"/>
  <c r="T113" i="5"/>
  <c r="C114" i="5"/>
  <c r="D114" i="5"/>
  <c r="E114" i="5"/>
  <c r="F114" i="5"/>
  <c r="G114" i="5"/>
  <c r="H114" i="5"/>
  <c r="I114" i="5"/>
  <c r="J114" i="5"/>
  <c r="K114" i="5"/>
  <c r="L114" i="5"/>
  <c r="M114" i="5"/>
  <c r="N114" i="5"/>
  <c r="O114" i="5"/>
  <c r="P114" i="5"/>
  <c r="Q114" i="5"/>
  <c r="R114" i="5"/>
  <c r="S114" i="5"/>
  <c r="T114" i="5"/>
  <c r="C115" i="5"/>
  <c r="D115" i="5"/>
  <c r="E115" i="5"/>
  <c r="F115" i="5"/>
  <c r="G115" i="5"/>
  <c r="H115" i="5"/>
  <c r="I115" i="5"/>
  <c r="J115" i="5"/>
  <c r="K115" i="5"/>
  <c r="L115" i="5"/>
  <c r="M115" i="5"/>
  <c r="N115" i="5"/>
  <c r="O115" i="5"/>
  <c r="P115" i="5"/>
  <c r="Q115" i="5"/>
  <c r="R115" i="5"/>
  <c r="S115" i="5"/>
  <c r="T115" i="5"/>
  <c r="C116" i="5"/>
  <c r="D116" i="5"/>
  <c r="E116" i="5"/>
  <c r="F116" i="5"/>
  <c r="G116" i="5"/>
  <c r="H116" i="5"/>
  <c r="I116" i="5"/>
  <c r="J116" i="5"/>
  <c r="K116" i="5"/>
  <c r="L116" i="5"/>
  <c r="M116" i="5"/>
  <c r="N116" i="5"/>
  <c r="O116" i="5"/>
  <c r="P116" i="5"/>
  <c r="Q116" i="5"/>
  <c r="R116" i="5"/>
  <c r="S116" i="5"/>
  <c r="T116" i="5"/>
  <c r="C117" i="5"/>
  <c r="D117" i="5"/>
  <c r="E117" i="5"/>
  <c r="F117" i="5"/>
  <c r="G117" i="5"/>
  <c r="H117" i="5"/>
  <c r="I117" i="5"/>
  <c r="J117" i="5"/>
  <c r="K117" i="5"/>
  <c r="L117" i="5"/>
  <c r="M117" i="5"/>
  <c r="N117" i="5"/>
  <c r="O117" i="5"/>
  <c r="P117" i="5"/>
  <c r="Q117" i="5"/>
  <c r="R117" i="5"/>
  <c r="S117" i="5"/>
  <c r="T117" i="5"/>
  <c r="C118" i="5"/>
  <c r="D118" i="5"/>
  <c r="E118" i="5"/>
  <c r="F118" i="5"/>
  <c r="G118" i="5"/>
  <c r="H118" i="5"/>
  <c r="I118" i="5"/>
  <c r="J118" i="5"/>
  <c r="K118" i="5"/>
  <c r="L118" i="5"/>
  <c r="M118" i="5"/>
  <c r="N118" i="5"/>
  <c r="O118" i="5"/>
  <c r="P118" i="5"/>
  <c r="Q118" i="5"/>
  <c r="R118" i="5"/>
  <c r="S118" i="5"/>
  <c r="T118" i="5"/>
  <c r="C119" i="5"/>
  <c r="D119" i="5"/>
  <c r="E119" i="5"/>
  <c r="F119" i="5"/>
  <c r="G119" i="5"/>
  <c r="H119" i="5"/>
  <c r="I119" i="5"/>
  <c r="J119" i="5"/>
  <c r="K119" i="5"/>
  <c r="L119" i="5"/>
  <c r="M119" i="5"/>
  <c r="N119" i="5"/>
  <c r="O119" i="5"/>
  <c r="P119" i="5"/>
  <c r="Q119" i="5"/>
  <c r="R119" i="5"/>
  <c r="S119" i="5"/>
  <c r="T119" i="5"/>
  <c r="C120" i="5"/>
  <c r="D120" i="5"/>
  <c r="E120" i="5"/>
  <c r="F120" i="5"/>
  <c r="G120" i="5"/>
  <c r="H120" i="5"/>
  <c r="I120" i="5"/>
  <c r="J120" i="5"/>
  <c r="K120" i="5"/>
  <c r="L120" i="5"/>
  <c r="M120" i="5"/>
  <c r="N120" i="5"/>
  <c r="O120" i="5"/>
  <c r="P120" i="5"/>
  <c r="Q120" i="5"/>
  <c r="R120" i="5"/>
  <c r="S120" i="5"/>
  <c r="T120" i="5"/>
  <c r="BM14" i="12"/>
  <c r="B1" i="12"/>
  <c r="C1" i="12"/>
  <c r="D1" i="12"/>
  <c r="E1" i="12"/>
  <c r="F1" i="12"/>
  <c r="G1" i="12"/>
  <c r="H1" i="12"/>
  <c r="I1" i="12"/>
  <c r="J1" i="12"/>
  <c r="K1" i="12"/>
  <c r="L1" i="12"/>
  <c r="M1" i="12"/>
  <c r="N1" i="12"/>
  <c r="O1" i="12"/>
  <c r="P1" i="12"/>
  <c r="Q1" i="12"/>
  <c r="R1" i="12"/>
  <c r="S1" i="12"/>
  <c r="T1" i="12"/>
  <c r="U1" i="12"/>
  <c r="V1" i="12"/>
  <c r="W1" i="12"/>
  <c r="X1" i="12"/>
  <c r="Y1" i="12"/>
  <c r="Z1" i="12"/>
  <c r="AA1" i="12"/>
  <c r="AB1" i="12"/>
  <c r="AC1" i="12"/>
  <c r="AD1" i="12"/>
  <c r="AE1" i="12"/>
  <c r="AF1" i="12"/>
  <c r="AG1" i="12"/>
  <c r="AH1" i="12"/>
  <c r="AI1" i="12"/>
  <c r="AJ1" i="12"/>
  <c r="AK1" i="12"/>
  <c r="AL1" i="12"/>
  <c r="AM1" i="12"/>
  <c r="AN1" i="12"/>
  <c r="AO1" i="12"/>
  <c r="AP1" i="12"/>
  <c r="AQ1" i="12"/>
  <c r="AR1" i="12"/>
  <c r="AS1" i="12"/>
  <c r="AT1" i="12"/>
  <c r="AU1" i="12"/>
  <c r="AV1" i="12"/>
  <c r="AW1" i="12"/>
  <c r="AX1" i="12"/>
  <c r="AY1" i="12"/>
  <c r="AZ1" i="12"/>
  <c r="B2" i="12"/>
  <c r="C2" i="12"/>
  <c r="D2" i="12"/>
  <c r="E2" i="12"/>
  <c r="F2" i="12"/>
  <c r="G2" i="12"/>
  <c r="H2" i="12"/>
  <c r="I2" i="12"/>
  <c r="J2" i="12"/>
  <c r="K2" i="12"/>
  <c r="L2" i="12"/>
  <c r="M2" i="12"/>
  <c r="N2" i="12"/>
  <c r="O2" i="12"/>
  <c r="P2" i="12"/>
  <c r="Q2" i="12"/>
  <c r="R2" i="12"/>
  <c r="S2" i="12"/>
  <c r="T2" i="12"/>
  <c r="U2" i="12"/>
  <c r="V2" i="12"/>
  <c r="W2" i="12"/>
  <c r="X2" i="12"/>
  <c r="Y2" i="12"/>
  <c r="Z2" i="12"/>
  <c r="AA2" i="12"/>
  <c r="AB2" i="12"/>
  <c r="AC2" i="12"/>
  <c r="AD2" i="12"/>
  <c r="AE2" i="12"/>
  <c r="AF2" i="12"/>
  <c r="AG2" i="12"/>
  <c r="AH2" i="12"/>
  <c r="AI2" i="12"/>
  <c r="AJ2" i="12"/>
  <c r="AK2" i="12"/>
  <c r="AL2" i="12"/>
  <c r="AM2" i="12"/>
  <c r="AN2" i="12"/>
  <c r="AO2" i="12"/>
  <c r="AP2" i="12"/>
  <c r="AQ2" i="12"/>
  <c r="AR2" i="12"/>
  <c r="AS2" i="12"/>
  <c r="AT2" i="12"/>
  <c r="AU2" i="12"/>
  <c r="AV2" i="12"/>
  <c r="AW2" i="12"/>
  <c r="AX2" i="12"/>
  <c r="AY2" i="12"/>
  <c r="AZ2" i="12"/>
  <c r="BN14" i="12"/>
  <c r="BM15" i="12"/>
  <c r="BN15" i="12"/>
  <c r="CD3" i="21"/>
  <c r="CE3" i="21"/>
  <c r="CF3" i="21"/>
  <c r="CC3" i="21"/>
  <c r="CA4" i="21"/>
  <c r="CD4" i="21"/>
  <c r="CB4" i="21"/>
  <c r="CE4" i="21"/>
  <c r="CF4" i="21"/>
  <c r="CC4" i="21"/>
  <c r="CA5" i="21"/>
  <c r="CD5" i="21"/>
  <c r="CB5" i="21"/>
  <c r="CE5" i="21"/>
  <c r="CF5" i="21"/>
  <c r="CC5" i="21"/>
  <c r="CA6" i="21"/>
  <c r="CD6" i="21"/>
  <c r="CB6" i="21"/>
  <c r="CE6" i="21"/>
  <c r="CF6" i="21"/>
  <c r="CC6" i="21"/>
  <c r="CA7" i="21"/>
  <c r="CD7" i="21"/>
  <c r="CB7" i="21"/>
  <c r="CE7" i="21"/>
  <c r="CF7" i="21"/>
  <c r="CC7" i="21"/>
  <c r="CA8" i="21"/>
  <c r="CD8" i="21"/>
  <c r="CB8" i="21"/>
  <c r="CE8" i="21"/>
  <c r="CF8" i="21"/>
  <c r="CC8" i="21"/>
  <c r="CA9" i="21"/>
  <c r="CD9" i="21"/>
  <c r="CB9" i="21"/>
  <c r="CE9" i="21"/>
  <c r="CF9" i="21"/>
  <c r="CC9" i="21"/>
  <c r="CA10" i="21"/>
  <c r="CD10" i="21"/>
  <c r="CB10" i="21"/>
  <c r="CE10" i="21"/>
  <c r="CF10" i="21"/>
  <c r="CC10" i="21"/>
  <c r="CA11" i="21"/>
  <c r="CD11" i="21"/>
  <c r="CB11" i="21"/>
  <c r="CE11" i="21"/>
  <c r="CF11" i="21"/>
  <c r="CC11" i="21"/>
  <c r="CA12" i="21"/>
  <c r="CD12" i="21"/>
  <c r="CB12" i="21"/>
  <c r="CE12" i="21"/>
  <c r="CF12" i="21"/>
  <c r="CC12" i="21"/>
  <c r="CA13" i="21"/>
  <c r="CD13" i="21"/>
  <c r="CB13" i="21"/>
  <c r="CE13" i="21"/>
  <c r="CF13" i="21"/>
  <c r="CC13" i="21"/>
  <c r="CA14" i="21"/>
  <c r="CD14" i="21"/>
  <c r="CB14" i="21"/>
  <c r="CE14" i="21"/>
  <c r="CF14" i="21"/>
  <c r="CC14" i="21"/>
  <c r="CA15" i="21"/>
  <c r="CD15" i="21"/>
  <c r="CB15" i="21"/>
  <c r="CE15" i="21"/>
  <c r="CF15" i="21"/>
  <c r="CC15" i="21"/>
  <c r="CA16" i="21"/>
  <c r="CD16" i="21"/>
  <c r="CB16" i="21"/>
  <c r="CE16" i="21"/>
  <c r="CF16" i="21"/>
  <c r="CC16" i="21"/>
  <c r="CA17" i="21"/>
  <c r="CD17" i="21"/>
  <c r="CB17" i="21"/>
  <c r="CE17" i="21"/>
  <c r="CF17" i="21"/>
  <c r="CC17" i="21"/>
  <c r="CA18" i="21"/>
  <c r="CD18" i="21"/>
  <c r="CB18" i="21"/>
  <c r="CE18" i="21"/>
  <c r="CF18" i="21"/>
  <c r="CC18" i="21"/>
  <c r="CA19" i="21"/>
  <c r="CD19" i="21"/>
  <c r="CB19" i="21"/>
  <c r="CE19" i="21"/>
  <c r="CF19" i="21"/>
  <c r="CC19" i="21"/>
  <c r="CA20" i="21"/>
  <c r="CD20" i="21"/>
  <c r="CB20" i="21"/>
  <c r="CE20" i="21"/>
  <c r="CF20" i="21"/>
  <c r="CC20" i="21"/>
  <c r="CA21" i="21"/>
  <c r="CD21" i="21"/>
  <c r="CB21" i="21"/>
  <c r="CE21" i="21"/>
  <c r="CF21" i="21"/>
  <c r="CC21" i="21"/>
  <c r="CA22" i="21"/>
  <c r="CD22" i="21"/>
  <c r="CB22" i="21"/>
  <c r="CE22" i="21"/>
  <c r="CF22" i="21"/>
  <c r="CC22" i="21"/>
  <c r="CA23" i="21"/>
  <c r="CD23" i="21"/>
  <c r="CB23" i="21"/>
  <c r="CE23" i="21"/>
  <c r="CF23" i="21"/>
  <c r="CC23" i="21"/>
  <c r="CA24" i="21"/>
  <c r="CD24" i="21"/>
  <c r="CB24" i="21"/>
  <c r="CE24" i="21"/>
  <c r="CF24" i="21"/>
  <c r="CC24" i="21"/>
  <c r="CA25" i="21"/>
  <c r="CD25" i="21"/>
  <c r="CB25" i="21"/>
  <c r="CE25" i="21"/>
  <c r="CF25" i="21"/>
  <c r="CC25" i="21"/>
  <c r="CA26" i="21"/>
  <c r="CD26" i="21"/>
  <c r="CB26" i="21"/>
  <c r="CE26" i="21"/>
  <c r="CF26" i="21"/>
  <c r="CC26" i="21"/>
  <c r="CA27" i="21"/>
  <c r="CD27" i="21"/>
  <c r="CB27" i="21"/>
  <c r="CE27" i="21"/>
  <c r="CF27" i="21"/>
  <c r="CC27" i="21"/>
  <c r="CA28" i="21"/>
  <c r="CD28" i="21"/>
  <c r="CB28" i="21"/>
  <c r="CE28" i="21"/>
  <c r="CF28" i="21"/>
  <c r="CC28" i="21"/>
  <c r="CA29" i="21"/>
  <c r="CD29" i="21"/>
  <c r="CB29" i="21"/>
  <c r="CE29" i="21"/>
  <c r="CF29" i="21"/>
  <c r="CC29" i="21"/>
  <c r="CA30" i="21"/>
  <c r="CD30" i="21"/>
  <c r="CB30" i="21"/>
  <c r="CE30" i="21"/>
  <c r="CF30" i="21"/>
  <c r="CC30" i="21"/>
  <c r="CA31" i="21"/>
  <c r="CD31" i="21"/>
  <c r="CB31" i="21"/>
  <c r="CE31" i="21"/>
  <c r="CF31" i="21"/>
  <c r="CC31" i="21"/>
  <c r="CA32" i="21"/>
  <c r="CD32" i="21"/>
  <c r="CB32" i="21"/>
  <c r="CE32" i="21"/>
  <c r="CF32" i="21"/>
  <c r="CC32" i="21"/>
  <c r="CA33" i="21"/>
  <c r="CD33" i="21"/>
  <c r="CB33" i="21"/>
  <c r="CE33" i="21"/>
  <c r="CF33" i="21"/>
  <c r="CC33" i="21"/>
  <c r="CA34" i="21"/>
  <c r="CD34" i="21"/>
  <c r="CB34" i="21"/>
  <c r="CE34" i="21"/>
  <c r="CF34" i="21"/>
  <c r="CC34" i="21"/>
  <c r="CA35" i="21"/>
  <c r="CD35" i="21"/>
  <c r="CB35" i="21"/>
  <c r="CE35" i="21"/>
  <c r="CF35" i="21"/>
  <c r="CC35" i="21"/>
  <c r="CA36" i="21"/>
  <c r="CD36" i="21"/>
  <c r="CB36" i="21"/>
  <c r="CE36" i="21"/>
  <c r="CF36" i="21"/>
  <c r="CC36" i="21"/>
  <c r="CA37" i="21"/>
  <c r="CD37" i="21"/>
  <c r="CB37" i="21"/>
  <c r="CE37" i="21"/>
  <c r="CF37" i="21"/>
  <c r="CC37" i="21"/>
  <c r="CA38" i="21"/>
  <c r="CD38" i="21"/>
  <c r="CB38" i="21"/>
  <c r="CE38" i="21"/>
  <c r="CF38" i="21"/>
  <c r="CC38" i="21"/>
  <c r="CA39" i="21"/>
  <c r="CD39" i="21"/>
  <c r="CB39" i="21"/>
  <c r="CE39" i="21"/>
  <c r="CF39" i="21"/>
  <c r="CC39" i="21"/>
  <c r="CA40" i="21"/>
  <c r="CD40" i="21"/>
  <c r="CB40" i="21"/>
  <c r="CE40" i="21"/>
  <c r="CF40" i="21"/>
  <c r="CC40" i="21"/>
  <c r="CA41" i="21"/>
  <c r="CD41" i="21"/>
  <c r="CB41" i="21"/>
  <c r="CE41" i="21"/>
  <c r="CF41" i="21"/>
  <c r="CC41" i="21"/>
  <c r="CA42" i="21"/>
  <c r="CD42" i="21"/>
  <c r="CB42" i="21"/>
  <c r="CE42" i="21"/>
  <c r="CF42" i="21"/>
  <c r="CC42" i="21"/>
  <c r="CA43" i="21"/>
  <c r="CD43" i="21"/>
  <c r="CB43" i="21"/>
  <c r="CE43" i="21"/>
  <c r="CF43" i="21"/>
  <c r="CC43" i="21"/>
  <c r="CA44" i="21"/>
  <c r="CD44" i="21"/>
  <c r="CB44" i="21"/>
  <c r="CE44" i="21"/>
  <c r="CF44" i="21"/>
  <c r="CC44" i="21"/>
  <c r="CA45" i="21"/>
  <c r="CD45" i="21"/>
  <c r="CB45" i="21"/>
  <c r="CE45" i="21"/>
  <c r="CF45" i="21"/>
  <c r="CC45" i="21"/>
  <c r="CA46" i="21"/>
  <c r="CD46" i="21"/>
  <c r="CB46" i="21"/>
  <c r="CE46" i="21"/>
  <c r="CF46" i="21"/>
  <c r="CC46" i="21"/>
  <c r="CA47" i="21"/>
  <c r="CD47" i="21"/>
  <c r="CB47" i="21"/>
  <c r="CE47" i="21"/>
  <c r="CF47" i="21"/>
  <c r="CC47" i="21"/>
  <c r="CA48" i="21"/>
  <c r="CD48" i="21"/>
  <c r="CB48" i="21"/>
  <c r="CE48" i="21"/>
  <c r="CF48" i="21"/>
  <c r="CC48" i="21"/>
  <c r="CA49" i="21"/>
  <c r="CD49" i="21"/>
  <c r="CB49" i="21"/>
  <c r="CE49" i="21"/>
  <c r="CF49" i="21"/>
  <c r="CC49" i="21"/>
  <c r="CA50" i="21"/>
  <c r="CD50" i="21"/>
  <c r="CB50" i="21"/>
  <c r="CE50" i="21"/>
  <c r="CF50" i="21"/>
  <c r="CC50" i="21"/>
  <c r="CA51" i="21"/>
  <c r="CD51" i="21"/>
  <c r="CB51" i="21"/>
  <c r="CE51" i="21"/>
  <c r="CF51" i="21"/>
  <c r="CC51" i="21"/>
  <c r="CA52" i="21"/>
  <c r="CD52" i="21"/>
  <c r="CB52" i="21"/>
  <c r="CE52" i="21"/>
  <c r="CF52" i="21"/>
  <c r="CC52" i="21"/>
  <c r="CA53" i="21"/>
  <c r="CD53" i="21"/>
  <c r="CB53" i="21"/>
  <c r="CE53" i="21"/>
  <c r="CF53" i="21"/>
  <c r="CC53" i="21"/>
  <c r="CA54" i="21"/>
  <c r="CD54" i="21"/>
  <c r="CB54" i="21"/>
  <c r="CE54" i="21"/>
  <c r="CF54" i="21"/>
  <c r="CC54" i="21"/>
  <c r="CA55" i="21"/>
  <c r="CD55" i="21"/>
  <c r="CB55" i="21"/>
  <c r="CE55" i="21"/>
  <c r="CF55" i="21"/>
  <c r="CC55" i="21"/>
  <c r="CA56" i="21"/>
  <c r="CD56" i="21"/>
  <c r="CB56" i="21"/>
  <c r="CE56" i="21"/>
  <c r="CF56" i="21"/>
  <c r="CC56" i="21"/>
  <c r="CA57" i="21"/>
  <c r="CD57" i="21"/>
  <c r="CB57" i="21"/>
  <c r="CE57" i="21"/>
  <c r="CF57" i="21"/>
  <c r="CC57" i="21"/>
  <c r="CA58" i="21"/>
  <c r="CD58" i="21"/>
  <c r="CB58" i="21"/>
  <c r="CE58" i="21"/>
  <c r="CF58" i="21"/>
  <c r="CC58" i="21"/>
  <c r="CA59" i="21"/>
  <c r="CD59" i="21"/>
  <c r="CB59" i="21"/>
  <c r="CE59" i="21"/>
  <c r="CF59" i="21"/>
  <c r="CC59" i="21"/>
  <c r="CA60" i="21"/>
  <c r="CD60" i="21"/>
  <c r="CB60" i="21"/>
  <c r="CE60" i="21"/>
  <c r="CF60" i="21"/>
  <c r="CC60" i="21"/>
  <c r="CA61" i="21"/>
  <c r="CD61" i="21"/>
  <c r="CB61" i="21"/>
  <c r="CE61" i="21"/>
  <c r="CF61" i="21"/>
  <c r="CC61" i="21"/>
  <c r="CA62" i="21"/>
  <c r="CD62" i="21"/>
  <c r="CB62" i="21"/>
  <c r="CE62" i="21"/>
  <c r="CF62" i="21"/>
  <c r="CC62" i="21"/>
  <c r="CA63" i="21"/>
  <c r="CD63" i="21"/>
  <c r="CB63" i="21"/>
  <c r="CE63" i="21"/>
  <c r="CF63" i="21"/>
  <c r="CC63" i="21"/>
  <c r="CA64" i="21"/>
  <c r="CD64" i="21"/>
  <c r="CB64" i="21"/>
  <c r="CE64" i="21"/>
  <c r="CF64" i="21"/>
  <c r="CC64" i="21"/>
  <c r="CA65" i="21"/>
  <c r="CD65" i="21"/>
  <c r="CB65" i="21"/>
  <c r="CE65" i="21"/>
  <c r="CF65" i="21"/>
  <c r="CC65" i="21"/>
  <c r="CA66" i="21"/>
  <c r="CD66" i="21"/>
  <c r="CB66" i="21"/>
  <c r="CE66" i="21"/>
  <c r="CF66" i="21"/>
  <c r="CC66" i="21"/>
  <c r="CA67" i="21"/>
  <c r="CD67" i="21"/>
  <c r="CB67" i="21"/>
  <c r="CE67" i="21"/>
  <c r="CF67" i="21"/>
  <c r="CC67" i="21"/>
  <c r="CA68" i="21"/>
  <c r="CD68" i="21"/>
  <c r="CB68" i="21"/>
  <c r="CE68" i="21"/>
  <c r="CF68" i="21"/>
  <c r="CC68" i="21"/>
  <c r="CA69" i="21"/>
  <c r="CD69" i="21"/>
  <c r="CB69" i="21"/>
  <c r="CE69" i="21"/>
  <c r="CF69" i="21"/>
  <c r="CC69" i="21"/>
  <c r="CA70" i="21"/>
  <c r="CD70" i="21"/>
  <c r="CB70" i="21"/>
  <c r="CE70" i="21"/>
  <c r="CF70" i="21"/>
  <c r="CC70" i="21"/>
  <c r="CA71" i="21"/>
  <c r="CD71" i="21"/>
  <c r="CB71" i="21"/>
  <c r="CE71" i="21"/>
  <c r="CF71" i="21"/>
  <c r="CC71" i="21"/>
  <c r="CA72" i="21"/>
  <c r="CD72" i="21"/>
  <c r="CB72" i="21"/>
  <c r="CE72" i="21"/>
  <c r="CF72" i="21"/>
  <c r="CC72" i="21"/>
  <c r="CA73" i="21"/>
  <c r="CD73" i="21"/>
  <c r="CB73" i="21"/>
  <c r="CE73" i="21"/>
  <c r="CF73" i="21"/>
  <c r="CC73" i="21"/>
  <c r="CA74" i="21"/>
  <c r="CD74" i="21"/>
  <c r="CB74" i="21"/>
  <c r="CE74" i="21"/>
  <c r="CF74" i="21"/>
  <c r="CC74" i="21"/>
  <c r="CA75" i="21"/>
  <c r="CD75" i="21"/>
  <c r="CB75" i="21"/>
  <c r="CE75" i="21"/>
  <c r="CF75" i="21"/>
  <c r="CC75" i="21"/>
  <c r="CA76" i="21"/>
  <c r="CD76" i="21"/>
  <c r="CB76" i="21"/>
  <c r="CE76" i="21"/>
  <c r="CF76" i="21"/>
  <c r="CC76" i="21"/>
  <c r="CA77" i="21"/>
  <c r="CD77" i="21"/>
  <c r="CB77" i="21"/>
  <c r="CE77" i="21"/>
  <c r="CF77" i="21"/>
  <c r="CC77" i="21"/>
  <c r="CA78" i="21"/>
  <c r="CD78" i="21"/>
  <c r="CB78" i="21"/>
  <c r="CE78" i="21"/>
  <c r="CF78" i="21"/>
  <c r="CC78" i="21"/>
  <c r="CA79" i="21"/>
  <c r="CD79" i="21"/>
  <c r="CB79" i="21"/>
  <c r="CE79" i="21"/>
  <c r="CF79" i="21"/>
  <c r="CC79" i="21"/>
  <c r="CA80" i="21"/>
  <c r="CD80" i="21"/>
  <c r="CB80" i="21"/>
  <c r="CE80" i="21"/>
  <c r="CF80" i="21"/>
  <c r="CC80" i="21"/>
  <c r="CA81" i="21"/>
  <c r="CD81" i="21"/>
  <c r="CB81" i="21"/>
  <c r="CE81" i="21"/>
  <c r="CF81" i="21"/>
  <c r="CC81" i="21"/>
  <c r="CA82" i="21"/>
  <c r="CD82" i="21"/>
  <c r="CB82" i="21"/>
  <c r="CE82" i="21"/>
  <c r="CF82" i="21"/>
  <c r="CC82" i="21"/>
  <c r="CA83" i="21"/>
  <c r="CD83" i="21"/>
  <c r="CB83" i="21"/>
  <c r="CE83" i="21"/>
  <c r="CF83" i="21"/>
  <c r="CC83" i="21"/>
  <c r="CA84" i="21"/>
  <c r="CD84" i="21"/>
  <c r="CB84" i="21"/>
  <c r="CE84" i="21"/>
  <c r="CF84" i="21"/>
  <c r="CC84" i="21"/>
  <c r="CA85" i="21"/>
  <c r="CD85" i="21"/>
  <c r="CB85" i="21"/>
  <c r="CE85" i="21"/>
  <c r="CF85" i="21"/>
  <c r="CC85" i="21"/>
  <c r="CA86" i="21"/>
  <c r="CD86" i="21"/>
  <c r="CB86" i="21"/>
  <c r="CE86" i="21"/>
  <c r="CF86" i="21"/>
  <c r="CC86" i="21"/>
  <c r="CA87" i="21"/>
  <c r="CD87" i="21"/>
  <c r="CB87" i="21"/>
  <c r="CE87" i="21"/>
  <c r="CF87" i="21"/>
  <c r="CC87" i="21"/>
  <c r="CA88" i="21"/>
  <c r="CD88" i="21"/>
  <c r="CB88" i="21"/>
  <c r="CE88" i="21"/>
  <c r="CF88" i="21"/>
  <c r="CC88" i="21"/>
  <c r="CA89" i="21"/>
  <c r="CD89" i="21"/>
  <c r="CB89" i="21"/>
  <c r="CE89" i="21"/>
  <c r="CF89" i="21"/>
  <c r="CC89" i="21"/>
  <c r="CA90" i="21"/>
  <c r="CD90" i="21"/>
  <c r="CB90" i="21"/>
  <c r="CE90" i="21"/>
  <c r="CF90" i="21"/>
  <c r="CC90" i="21"/>
  <c r="CA91" i="21"/>
  <c r="CD91" i="21"/>
  <c r="CB91" i="21"/>
  <c r="CE91" i="21"/>
  <c r="CF91" i="21"/>
  <c r="CC91" i="21"/>
  <c r="CA92" i="21"/>
  <c r="CD92" i="21"/>
  <c r="CB92" i="21"/>
  <c r="CE92" i="21"/>
  <c r="CF92" i="21"/>
  <c r="CC92" i="21"/>
  <c r="CA93" i="21"/>
  <c r="CD93" i="21"/>
  <c r="CB93" i="21"/>
  <c r="CE93" i="21"/>
  <c r="CF93" i="21"/>
  <c r="CC93" i="21"/>
  <c r="CA94" i="21"/>
  <c r="CD94" i="21"/>
  <c r="CB94" i="21"/>
  <c r="CE94" i="21"/>
  <c r="CF94" i="21"/>
  <c r="CC94" i="21"/>
  <c r="CA95" i="21"/>
  <c r="CD95" i="21"/>
  <c r="CB95" i="21"/>
  <c r="CE95" i="21"/>
  <c r="CF95" i="21"/>
  <c r="CC95" i="21"/>
  <c r="CA96" i="21"/>
  <c r="CD96" i="21"/>
  <c r="CB96" i="21"/>
  <c r="CE96" i="21"/>
  <c r="CF96" i="21"/>
  <c r="CC96" i="21"/>
  <c r="CA97" i="21"/>
  <c r="CD97" i="21"/>
  <c r="CB97" i="21"/>
  <c r="CE97" i="21"/>
  <c r="CF97" i="21"/>
  <c r="CC97" i="21"/>
  <c r="CA98" i="21"/>
  <c r="CD98" i="21"/>
  <c r="CB98" i="21"/>
  <c r="CE98" i="21"/>
  <c r="CF98" i="21"/>
  <c r="CC98" i="21"/>
  <c r="CA99" i="21"/>
  <c r="CD99" i="21"/>
  <c r="CB99" i="21"/>
  <c r="CE99" i="21"/>
  <c r="CF99" i="21"/>
  <c r="CC99" i="21"/>
  <c r="CA100" i="21"/>
  <c r="CD100" i="21"/>
  <c r="CB100" i="21"/>
  <c r="CE100" i="21"/>
  <c r="CF100" i="21"/>
  <c r="CC100" i="21"/>
  <c r="CA101" i="21"/>
  <c r="CD101" i="21"/>
  <c r="CB101" i="21"/>
  <c r="CE101" i="21"/>
  <c r="CF101" i="21"/>
  <c r="CC101" i="21"/>
  <c r="CA102" i="21"/>
  <c r="CD102" i="21"/>
  <c r="CB102" i="21"/>
  <c r="CE102" i="21"/>
  <c r="CF102" i="21"/>
  <c r="CC102" i="21"/>
  <c r="CA103" i="21"/>
  <c r="CD103" i="21"/>
  <c r="CB103" i="21"/>
  <c r="CE103" i="21"/>
  <c r="CF103" i="21"/>
  <c r="CC103" i="21"/>
  <c r="CA104" i="21"/>
  <c r="CD104" i="21"/>
  <c r="CB104" i="21"/>
  <c r="CE104" i="21"/>
  <c r="CF104" i="21"/>
  <c r="CC104" i="21"/>
  <c r="CA105" i="21"/>
  <c r="CD105" i="21"/>
  <c r="CB105" i="21"/>
  <c r="CE105" i="21"/>
  <c r="CF105" i="21"/>
  <c r="CC105" i="21"/>
  <c r="CA106" i="21"/>
  <c r="CD106" i="21"/>
  <c r="CB106" i="21"/>
  <c r="CE106" i="21"/>
  <c r="CF106" i="21"/>
  <c r="CC106" i="21"/>
  <c r="CA107" i="21"/>
  <c r="CD107" i="21"/>
  <c r="CB107" i="21"/>
  <c r="CE107" i="21"/>
  <c r="CF107" i="21"/>
  <c r="CC107" i="21"/>
  <c r="CA108" i="21"/>
  <c r="CD108" i="21"/>
  <c r="CB108" i="21"/>
  <c r="CE108" i="21"/>
  <c r="CF108" i="21"/>
  <c r="CC108" i="21"/>
  <c r="CA109" i="21"/>
  <c r="CD109" i="21"/>
  <c r="CB109" i="21"/>
  <c r="CE109" i="21"/>
  <c r="CF109" i="21"/>
  <c r="CC109" i="21"/>
  <c r="CA110" i="21"/>
  <c r="CD110" i="21"/>
  <c r="CB110" i="21"/>
  <c r="CE110" i="21"/>
  <c r="CF110" i="21"/>
  <c r="CC110" i="21"/>
  <c r="CA111" i="21"/>
  <c r="CD111" i="21"/>
  <c r="CB111" i="21"/>
  <c r="CE111" i="21"/>
  <c r="CF111" i="21"/>
  <c r="CC111" i="21"/>
  <c r="CA112" i="21"/>
  <c r="CD112" i="21"/>
  <c r="CB112" i="21"/>
  <c r="CE112" i="21"/>
  <c r="CF112" i="21"/>
  <c r="CC112" i="21"/>
  <c r="CA113" i="21"/>
  <c r="CD113" i="21"/>
  <c r="CB113" i="21"/>
  <c r="CE113" i="21"/>
  <c r="CF113" i="21"/>
  <c r="CC113" i="21"/>
  <c r="CA114" i="21"/>
  <c r="CD114" i="21"/>
  <c r="CB114" i="21"/>
  <c r="CE114" i="21"/>
  <c r="CF114" i="21"/>
  <c r="CC114" i="21"/>
  <c r="CA115" i="21"/>
  <c r="CD115" i="21"/>
  <c r="CB115" i="21"/>
  <c r="CE115" i="21"/>
  <c r="CF115" i="21"/>
  <c r="CC115" i="21"/>
  <c r="CA116" i="21"/>
  <c r="CD116" i="21"/>
  <c r="CB116" i="21"/>
  <c r="CE116" i="21"/>
  <c r="CF116" i="21"/>
  <c r="CC116" i="21"/>
  <c r="CA117" i="21"/>
  <c r="CD117" i="21"/>
  <c r="CB117" i="21"/>
  <c r="CE117" i="21"/>
  <c r="CF117" i="21"/>
  <c r="CC117" i="21"/>
  <c r="CA118" i="21"/>
  <c r="CD118" i="21"/>
  <c r="CB118" i="21"/>
  <c r="CE118" i="21"/>
  <c r="CF118" i="21"/>
  <c r="CC118" i="21"/>
  <c r="CA119" i="21"/>
  <c r="CD119" i="21"/>
  <c r="CB119" i="21"/>
  <c r="CE119" i="21"/>
  <c r="CF119" i="21"/>
  <c r="CC119" i="21"/>
  <c r="CA120" i="21"/>
  <c r="CD120" i="21"/>
  <c r="CB120" i="21"/>
  <c r="CE120" i="21"/>
  <c r="CF120" i="21"/>
  <c r="CC120" i="21"/>
  <c r="CA121" i="21"/>
  <c r="CD121" i="21"/>
  <c r="CB121" i="21"/>
  <c r="CE121" i="21"/>
  <c r="CF121" i="21"/>
  <c r="CC121" i="21"/>
  <c r="CA122" i="21"/>
  <c r="CD122" i="21"/>
  <c r="CB122" i="21"/>
  <c r="CE122" i="21"/>
  <c r="CF122" i="21"/>
  <c r="CC122" i="21"/>
  <c r="CA123" i="21"/>
  <c r="CD123" i="21"/>
  <c r="CB123" i="21"/>
  <c r="CE123" i="21"/>
  <c r="CF123" i="21"/>
  <c r="CC123" i="21"/>
  <c r="CA124" i="21"/>
  <c r="CD124" i="21"/>
  <c r="CB124" i="21"/>
  <c r="CE124" i="21"/>
  <c r="CF124" i="21"/>
  <c r="CC124" i="21"/>
  <c r="CA125" i="21"/>
  <c r="CD125" i="21"/>
  <c r="CB125" i="21"/>
  <c r="CE125" i="21"/>
  <c r="CF125" i="21"/>
  <c r="CC125" i="21"/>
  <c r="CA126" i="21"/>
  <c r="CD126" i="21"/>
  <c r="CB126" i="21"/>
  <c r="CE126" i="21"/>
  <c r="CF126" i="21"/>
  <c r="CC126" i="21"/>
  <c r="CA127" i="21"/>
  <c r="CD127" i="21"/>
  <c r="CB127" i="21"/>
  <c r="CE127" i="21"/>
  <c r="CF127" i="21"/>
  <c r="CC127" i="21"/>
  <c r="CA128" i="21"/>
  <c r="CD128" i="21"/>
  <c r="CB128" i="21"/>
  <c r="CE128" i="21"/>
  <c r="CF128" i="21"/>
  <c r="CC128" i="21"/>
  <c r="CA129" i="21"/>
  <c r="CD129" i="21"/>
  <c r="CB129" i="21"/>
  <c r="CE129" i="21"/>
  <c r="CF129" i="21"/>
  <c r="CC129" i="21"/>
  <c r="CA130" i="21"/>
  <c r="CD130" i="21"/>
  <c r="CB130" i="21"/>
  <c r="CE130" i="21"/>
  <c r="CF130" i="21"/>
  <c r="CC130" i="21"/>
  <c r="CA131" i="21"/>
  <c r="CD131" i="21"/>
  <c r="CB131" i="21"/>
  <c r="CE131" i="21"/>
  <c r="CF131" i="21"/>
  <c r="CC131" i="21"/>
  <c r="CA132" i="21"/>
  <c r="CD132" i="21"/>
  <c r="CB132" i="21"/>
  <c r="CE132" i="21"/>
  <c r="CF132" i="21"/>
  <c r="CC132" i="21"/>
  <c r="CA133" i="21"/>
  <c r="CD133" i="21"/>
  <c r="CB133" i="21"/>
  <c r="CE133" i="21"/>
  <c r="CF133" i="21"/>
  <c r="CC133" i="21"/>
  <c r="CA134" i="21"/>
  <c r="CD134" i="21"/>
  <c r="CB134" i="21"/>
  <c r="CE134" i="21"/>
  <c r="CF134" i="21"/>
  <c r="CC134" i="21"/>
  <c r="CA135" i="21"/>
  <c r="CD135" i="21"/>
  <c r="CB135" i="21"/>
  <c r="CE135" i="21"/>
  <c r="CF135" i="21"/>
  <c r="CC135" i="21"/>
  <c r="CA136" i="21"/>
  <c r="CD136" i="21"/>
  <c r="CB136" i="21"/>
  <c r="CE136" i="21"/>
  <c r="CF136" i="21"/>
  <c r="CC136" i="21"/>
  <c r="CA137" i="21"/>
  <c r="CD137" i="21"/>
  <c r="CB137" i="21"/>
  <c r="CE137" i="21"/>
  <c r="CF137" i="21"/>
  <c r="CC137" i="21"/>
  <c r="CA138" i="21"/>
  <c r="CD138" i="21"/>
  <c r="CB138" i="21"/>
  <c r="CE138" i="21"/>
  <c r="CF138" i="21"/>
  <c r="CC138" i="21"/>
  <c r="CA139" i="21"/>
  <c r="CD139" i="21"/>
  <c r="CB139" i="21"/>
  <c r="CE139" i="21"/>
  <c r="CF139" i="21"/>
  <c r="CC139" i="21"/>
  <c r="CA140" i="21"/>
  <c r="CD140" i="21"/>
  <c r="CB140" i="21"/>
  <c r="CE140" i="21"/>
  <c r="CF140" i="21"/>
  <c r="CC140" i="21"/>
  <c r="CA141" i="21"/>
  <c r="CD141" i="21"/>
  <c r="CB141" i="21"/>
  <c r="CE141" i="21"/>
  <c r="CF141" i="21"/>
  <c r="CC141" i="21"/>
  <c r="CA142" i="21"/>
  <c r="CD142" i="21"/>
  <c r="CB142" i="21"/>
  <c r="CE142" i="21"/>
  <c r="CF142" i="21"/>
  <c r="CC142" i="21"/>
  <c r="CA143" i="21"/>
  <c r="CD143" i="21"/>
  <c r="CB143" i="21"/>
  <c r="CE143" i="21"/>
  <c r="CF143" i="21"/>
  <c r="CC143" i="21"/>
  <c r="CA144" i="21"/>
  <c r="CD144" i="21"/>
  <c r="CB144" i="21"/>
  <c r="CE144" i="21"/>
  <c r="CF144" i="21"/>
  <c r="CC144" i="21"/>
  <c r="CA145" i="21"/>
  <c r="CD145" i="21"/>
  <c r="CB145" i="21"/>
  <c r="CE145" i="21"/>
  <c r="CF145" i="21"/>
  <c r="CC145" i="21"/>
  <c r="CA146" i="21"/>
  <c r="CD146" i="21"/>
  <c r="CB146" i="21"/>
  <c r="CE146" i="21"/>
  <c r="CF146" i="21"/>
  <c r="CC146" i="21"/>
  <c r="CA147" i="21"/>
  <c r="CD147" i="21"/>
  <c r="CB147" i="21"/>
  <c r="CE147" i="21"/>
  <c r="CF147" i="21"/>
  <c r="CC147" i="21"/>
  <c r="CA148" i="21"/>
  <c r="CD148" i="21"/>
  <c r="CB148" i="21"/>
  <c r="CE148" i="21"/>
  <c r="CF148" i="21"/>
  <c r="CC148" i="21"/>
  <c r="CA149" i="21"/>
  <c r="CD149" i="21"/>
  <c r="CB149" i="21"/>
  <c r="CE149" i="21"/>
  <c r="CF149" i="21"/>
  <c r="CC149" i="21"/>
  <c r="CA150" i="21"/>
  <c r="CD150" i="21"/>
  <c r="CB150" i="21"/>
  <c r="CE150" i="21"/>
  <c r="CF150" i="21"/>
  <c r="CC150" i="21"/>
  <c r="CA151" i="21"/>
  <c r="CD151" i="21"/>
  <c r="CB151" i="21"/>
  <c r="CE151" i="21"/>
  <c r="CF151" i="21"/>
  <c r="CC151" i="21"/>
  <c r="CA152" i="21"/>
  <c r="CD152" i="21"/>
  <c r="CB152" i="21"/>
  <c r="CE152" i="21"/>
  <c r="CF152" i="21"/>
  <c r="CC152" i="21"/>
  <c r="CA153" i="21"/>
  <c r="CD153" i="21"/>
  <c r="CB153" i="21"/>
  <c r="CE153" i="21"/>
  <c r="CF153" i="21"/>
  <c r="CC153" i="21"/>
  <c r="CA154" i="21"/>
  <c r="CD154" i="21"/>
  <c r="CB154" i="21"/>
  <c r="CE154" i="21"/>
  <c r="CF154" i="21"/>
  <c r="CC154" i="21"/>
  <c r="CA155" i="21"/>
  <c r="CD155" i="21"/>
  <c r="CB155" i="21"/>
  <c r="CE155" i="21"/>
  <c r="CF155" i="21"/>
  <c r="CC155" i="21"/>
  <c r="CA156" i="21"/>
  <c r="CD156" i="21"/>
  <c r="CB156" i="21"/>
  <c r="CE156" i="21"/>
  <c r="CF156" i="21"/>
  <c r="CC156" i="21"/>
  <c r="CA157" i="21"/>
  <c r="CD157" i="21"/>
  <c r="CB157" i="21"/>
  <c r="CE157" i="21"/>
  <c r="CF157" i="21"/>
  <c r="CC157" i="21"/>
  <c r="CA158" i="21"/>
  <c r="CD158" i="21"/>
  <c r="CB158" i="21"/>
  <c r="CE158" i="21"/>
  <c r="CF158" i="21"/>
  <c r="CC158" i="21"/>
  <c r="CA159" i="21"/>
  <c r="CD159" i="21"/>
  <c r="CB159" i="21"/>
  <c r="CE159" i="21"/>
  <c r="CF159" i="21"/>
  <c r="CC159" i="21"/>
  <c r="CA160" i="21"/>
  <c r="CD160" i="21"/>
  <c r="CB160" i="21"/>
  <c r="CE160" i="21"/>
  <c r="CF160" i="21"/>
  <c r="CC160" i="21"/>
  <c r="CA161" i="21"/>
  <c r="CD161" i="21"/>
  <c r="CB161" i="21"/>
  <c r="CE161" i="21"/>
  <c r="CF161" i="21"/>
  <c r="CC161" i="21"/>
  <c r="CA162" i="21"/>
  <c r="CD162" i="21"/>
  <c r="CB162" i="21"/>
  <c r="CE162" i="21"/>
  <c r="CF162" i="21"/>
  <c r="CC162" i="21"/>
  <c r="CA163" i="21"/>
  <c r="CD163" i="21"/>
  <c r="CB163" i="21"/>
  <c r="CE163" i="21"/>
  <c r="CF163" i="21"/>
  <c r="CC163" i="21"/>
  <c r="CA164" i="21"/>
  <c r="CD164" i="21"/>
  <c r="CB164" i="21"/>
  <c r="CE164" i="21"/>
  <c r="CF164" i="21"/>
  <c r="CC164" i="21"/>
  <c r="CA165" i="21"/>
  <c r="CD165" i="21"/>
  <c r="CB165" i="21"/>
  <c r="CE165" i="21"/>
  <c r="CF165" i="21"/>
  <c r="CC165" i="21"/>
  <c r="CA166" i="21"/>
  <c r="CD166" i="21"/>
  <c r="CB166" i="21"/>
  <c r="CE166" i="21"/>
  <c r="CF166" i="21"/>
  <c r="CC166" i="21"/>
  <c r="CA167" i="21"/>
  <c r="CD167" i="21"/>
  <c r="CB167" i="21"/>
  <c r="CE167" i="21"/>
  <c r="CF167" i="21"/>
  <c r="CC167" i="21"/>
  <c r="CA168" i="21"/>
  <c r="CD168" i="21"/>
  <c r="CB168" i="21"/>
  <c r="CE168" i="21"/>
  <c r="CF168" i="21"/>
  <c r="CC168" i="21"/>
  <c r="CA169" i="21"/>
  <c r="CD169" i="21"/>
  <c r="CB169" i="21"/>
  <c r="CE169" i="21"/>
  <c r="CF169" i="21"/>
  <c r="CC169" i="21"/>
  <c r="CA170" i="21"/>
  <c r="CD170" i="21"/>
  <c r="CB170" i="21"/>
  <c r="CE170" i="21"/>
  <c r="CF170" i="21"/>
  <c r="CC170" i="21"/>
  <c r="CA171" i="21"/>
  <c r="CD171" i="21"/>
  <c r="CB171" i="21"/>
  <c r="CE171" i="21"/>
  <c r="CF171" i="21"/>
  <c r="CC171" i="21"/>
  <c r="CA172" i="21"/>
  <c r="CD172" i="21"/>
  <c r="CB172" i="21"/>
  <c r="CE172" i="21"/>
  <c r="CF172" i="21"/>
  <c r="CC172" i="21"/>
  <c r="CA173" i="21"/>
  <c r="CD173" i="21"/>
  <c r="CB173" i="21"/>
  <c r="CE173" i="21"/>
  <c r="CF173" i="21"/>
  <c r="CC173" i="21"/>
  <c r="CA174" i="21"/>
  <c r="CD174" i="21"/>
  <c r="CB174" i="21"/>
  <c r="CE174" i="21"/>
  <c r="CF174" i="21"/>
  <c r="CC174" i="21"/>
  <c r="CA175" i="21"/>
  <c r="CD175" i="21"/>
  <c r="CB175" i="21"/>
  <c r="CE175" i="21"/>
  <c r="CF175" i="21"/>
  <c r="CC175" i="21"/>
  <c r="CA176" i="21"/>
  <c r="CD176" i="21"/>
  <c r="CB176" i="21"/>
  <c r="CE176" i="21"/>
  <c r="CF176" i="21"/>
  <c r="CC176" i="21"/>
  <c r="CA177" i="21"/>
  <c r="CD177" i="21"/>
  <c r="CB177" i="21"/>
  <c r="CE177" i="21"/>
  <c r="CF177" i="21"/>
  <c r="CC177" i="21"/>
  <c r="CA178" i="21"/>
  <c r="CD178" i="21"/>
  <c r="CB178" i="21"/>
  <c r="CE178" i="21"/>
  <c r="CF178" i="21"/>
  <c r="CC178" i="21"/>
  <c r="CA179" i="21"/>
  <c r="CD179" i="21"/>
  <c r="CB179" i="21"/>
  <c r="CE179" i="21"/>
  <c r="CF179" i="21"/>
  <c r="CC179" i="21"/>
  <c r="CA180" i="21"/>
  <c r="CD180" i="21"/>
  <c r="CB180" i="21"/>
  <c r="CE180" i="21"/>
  <c r="CF180" i="21"/>
  <c r="CC180" i="21"/>
  <c r="CA181" i="21"/>
  <c r="CD181" i="21"/>
  <c r="CB181" i="21"/>
  <c r="CE181" i="21"/>
  <c r="CF181" i="21"/>
  <c r="CC181" i="21"/>
  <c r="CA182" i="21"/>
  <c r="CD182" i="21"/>
  <c r="CB182" i="21"/>
  <c r="CE182" i="21"/>
  <c r="CF182" i="21"/>
  <c r="CC182" i="21"/>
  <c r="CA183" i="21"/>
  <c r="CD183" i="21"/>
  <c r="CB183" i="21"/>
  <c r="CE183" i="21"/>
  <c r="CF183" i="21"/>
  <c r="CC183" i="21"/>
  <c r="CA184" i="21"/>
  <c r="CD184" i="21"/>
  <c r="CB184" i="21"/>
  <c r="CE184" i="21"/>
  <c r="CF184" i="21"/>
  <c r="CC184" i="21"/>
  <c r="CA185" i="21"/>
  <c r="CD185" i="21"/>
  <c r="CB185" i="21"/>
  <c r="CE185" i="21"/>
  <c r="CF185" i="21"/>
  <c r="CC185" i="21"/>
  <c r="CA186" i="21"/>
  <c r="CD186" i="21"/>
  <c r="CB186" i="21"/>
  <c r="CE186" i="21"/>
  <c r="CF186" i="21"/>
  <c r="CC186" i="21"/>
  <c r="CA187" i="21"/>
  <c r="CD187" i="21"/>
  <c r="CB187" i="21"/>
  <c r="CE187" i="21"/>
  <c r="CF187" i="21"/>
  <c r="CC187" i="21"/>
  <c r="CA188" i="21"/>
  <c r="CD188" i="21"/>
  <c r="CB188" i="21"/>
  <c r="CE188" i="21"/>
  <c r="CF188" i="21"/>
  <c r="CC188" i="21"/>
  <c r="CA189" i="21"/>
  <c r="CD189" i="21"/>
  <c r="CB189" i="21"/>
  <c r="CE189" i="21"/>
  <c r="CF189" i="21"/>
  <c r="CC189" i="21"/>
  <c r="CA190" i="21"/>
  <c r="CD190" i="21"/>
  <c r="CB190" i="21"/>
  <c r="CE190" i="21"/>
  <c r="CF190" i="21"/>
  <c r="CC190" i="21"/>
  <c r="CA191" i="21"/>
  <c r="CD191" i="21"/>
  <c r="CB191" i="21"/>
  <c r="CE191" i="21"/>
  <c r="CF191" i="21"/>
  <c r="CC191" i="21"/>
  <c r="CA192" i="21"/>
  <c r="CD192" i="21"/>
  <c r="CB192" i="21"/>
  <c r="CE192" i="21"/>
  <c r="CF192" i="21"/>
  <c r="CC192" i="21"/>
  <c r="CA193" i="21"/>
  <c r="CD193" i="21"/>
  <c r="CB193" i="21"/>
  <c r="CE193" i="21"/>
  <c r="CF193" i="21"/>
  <c r="CC193" i="21"/>
  <c r="CA194" i="21"/>
  <c r="CD194" i="21"/>
  <c r="CB194" i="21"/>
  <c r="CE194" i="21"/>
  <c r="CF194" i="21"/>
  <c r="CC194" i="21"/>
  <c r="CA195" i="21"/>
  <c r="CD195" i="21"/>
  <c r="CB195" i="21"/>
  <c r="CE195" i="21"/>
  <c r="CF195" i="21"/>
  <c r="CC195" i="21"/>
  <c r="CA196" i="21"/>
  <c r="CD196" i="21"/>
  <c r="CB196" i="21"/>
  <c r="CE196" i="21"/>
  <c r="CF196" i="21"/>
  <c r="CC196" i="21"/>
  <c r="CA197" i="21"/>
  <c r="CD197" i="21"/>
  <c r="CB197" i="21"/>
  <c r="CE197" i="21"/>
  <c r="CF197" i="21"/>
  <c r="CC197" i="21"/>
  <c r="CA198" i="21"/>
  <c r="CD198" i="21"/>
  <c r="CB198" i="21"/>
  <c r="CE198" i="21"/>
  <c r="CF198" i="21"/>
  <c r="CC198" i="21"/>
  <c r="CA199" i="21"/>
  <c r="CD199" i="21"/>
  <c r="CB199" i="21"/>
  <c r="CE199" i="21"/>
  <c r="CF199" i="21"/>
  <c r="CC199" i="21"/>
  <c r="CA200" i="21"/>
  <c r="CD200" i="21"/>
  <c r="CB200" i="21"/>
  <c r="CE200" i="21"/>
  <c r="CF200" i="21"/>
  <c r="CC200" i="21"/>
  <c r="CA201" i="21"/>
  <c r="CD201" i="21"/>
  <c r="CB201" i="21"/>
  <c r="CE201" i="21"/>
  <c r="CF201" i="21"/>
  <c r="CC201" i="21"/>
  <c r="CA202" i="21"/>
  <c r="CD202" i="21"/>
  <c r="CB202" i="21"/>
  <c r="CE202" i="21"/>
  <c r="CF202" i="21"/>
  <c r="CC202" i="21"/>
  <c r="CA203" i="21"/>
  <c r="CD203" i="21"/>
  <c r="CB203" i="21"/>
  <c r="CE203" i="21"/>
  <c r="CF203" i="21"/>
  <c r="CC203" i="21"/>
  <c r="CA204" i="21"/>
  <c r="CD204" i="21"/>
  <c r="CB204" i="21"/>
  <c r="CE204" i="21"/>
  <c r="CF204" i="21"/>
  <c r="CC204" i="21"/>
  <c r="CA205" i="21"/>
  <c r="CD205" i="21"/>
  <c r="CB205" i="21"/>
  <c r="CE205" i="21"/>
  <c r="CF205" i="21"/>
  <c r="CC205" i="21"/>
  <c r="CA206" i="21"/>
  <c r="CD206" i="21"/>
  <c r="CB206" i="21"/>
  <c r="CE206" i="21"/>
  <c r="CF206" i="21"/>
  <c r="CC206" i="21"/>
  <c r="CA207" i="21"/>
  <c r="CD207" i="21"/>
  <c r="CB207" i="21"/>
  <c r="CE207" i="21"/>
  <c r="CF207" i="21"/>
  <c r="CC207" i="21"/>
  <c r="CA208" i="21"/>
  <c r="CD208" i="21"/>
  <c r="CB208" i="21"/>
  <c r="CE208" i="21"/>
  <c r="CF208" i="21"/>
  <c r="CC208" i="21"/>
  <c r="CA209" i="21"/>
  <c r="CD209" i="21"/>
  <c r="CB209" i="21"/>
  <c r="CE209" i="21"/>
  <c r="CF209" i="21"/>
  <c r="CC209" i="21"/>
  <c r="CA210" i="21"/>
  <c r="CD210" i="21"/>
  <c r="CB210" i="21"/>
  <c r="CE210" i="21"/>
  <c r="CF210" i="21"/>
  <c r="CC210" i="21"/>
  <c r="CA211" i="21"/>
  <c r="CD211" i="21"/>
  <c r="CB211" i="21"/>
  <c r="CE211" i="21"/>
  <c r="CF211" i="21"/>
  <c r="CC211" i="21"/>
  <c r="CA212" i="21"/>
  <c r="CD212" i="21"/>
  <c r="CB212" i="21"/>
  <c r="CE212" i="21"/>
  <c r="CF212" i="21"/>
  <c r="CC212" i="21"/>
  <c r="CA213" i="21"/>
  <c r="CD213" i="21"/>
  <c r="CB213" i="21"/>
  <c r="CE213" i="21"/>
  <c r="CF213" i="21"/>
  <c r="CC213" i="21"/>
  <c r="CA214" i="21"/>
  <c r="CD214" i="21"/>
  <c r="CB214" i="21"/>
  <c r="CE214" i="21"/>
  <c r="CF214" i="21"/>
  <c r="CC214" i="21"/>
  <c r="CA215" i="21"/>
  <c r="CD215" i="21"/>
  <c r="CB215" i="21"/>
  <c r="CE215" i="21"/>
  <c r="CF215" i="21"/>
  <c r="CC215" i="21"/>
  <c r="CA216" i="21"/>
  <c r="CD216" i="21"/>
  <c r="CB216" i="21"/>
  <c r="CE216" i="21"/>
  <c r="CF216" i="21"/>
  <c r="CC216" i="21"/>
  <c r="CA217" i="21"/>
  <c r="CD217" i="21"/>
  <c r="CB217" i="21"/>
  <c r="CE217" i="21"/>
  <c r="CF217" i="21"/>
  <c r="CC217" i="21"/>
  <c r="CA218" i="21"/>
  <c r="CD218" i="21"/>
  <c r="CB218" i="21"/>
  <c r="CE218" i="21"/>
  <c r="CF218" i="21"/>
  <c r="CC218" i="21"/>
  <c r="CA219" i="21"/>
  <c r="CD219" i="21"/>
  <c r="CB219" i="21"/>
  <c r="CE219" i="21"/>
  <c r="CF219" i="21"/>
  <c r="CC219" i="21"/>
  <c r="CA220" i="21"/>
  <c r="CD220" i="21"/>
  <c r="CB220" i="21"/>
  <c r="CE220" i="21"/>
  <c r="CF220" i="21"/>
  <c r="CC220" i="21"/>
  <c r="CA221" i="21"/>
  <c r="CD221" i="21"/>
  <c r="CB221" i="21"/>
  <c r="CE221" i="21"/>
  <c r="CF221" i="21"/>
  <c r="CC221" i="21"/>
  <c r="CA222" i="21"/>
  <c r="CD222" i="21"/>
  <c r="CB222" i="21"/>
  <c r="CE222" i="21"/>
  <c r="CF222" i="21"/>
  <c r="CC222" i="21"/>
  <c r="CA223" i="21"/>
  <c r="CD223" i="21"/>
  <c r="CB223" i="21"/>
  <c r="CE223" i="21"/>
  <c r="CF223" i="21"/>
  <c r="CC223" i="21"/>
  <c r="CA224" i="21"/>
  <c r="CD224" i="21"/>
  <c r="CB224" i="21"/>
  <c r="CE224" i="21"/>
  <c r="CF224" i="21"/>
  <c r="CC224" i="21"/>
  <c r="CA225" i="21"/>
  <c r="CD225" i="21"/>
  <c r="CB225" i="21"/>
  <c r="CE225" i="21"/>
  <c r="CF225" i="21"/>
  <c r="CC225" i="21"/>
  <c r="CA226" i="21"/>
  <c r="CD226" i="21"/>
  <c r="CB226" i="21"/>
  <c r="CE226" i="21"/>
  <c r="CF226" i="21"/>
  <c r="CC226" i="21"/>
  <c r="CA227" i="21"/>
  <c r="CD227" i="21"/>
  <c r="CB227" i="21"/>
  <c r="CE227" i="21"/>
  <c r="CF227" i="21"/>
  <c r="CC227" i="21"/>
  <c r="CA228" i="21"/>
  <c r="CD228" i="21"/>
  <c r="CB228" i="21"/>
  <c r="CE228" i="21"/>
  <c r="CF228" i="21"/>
  <c r="CC228" i="21"/>
  <c r="CA229" i="21"/>
  <c r="CD229" i="21"/>
  <c r="CB229" i="21"/>
  <c r="CE229" i="21"/>
  <c r="CF229" i="21"/>
  <c r="CC229" i="21"/>
  <c r="CA230" i="21"/>
  <c r="CD230" i="21"/>
  <c r="CB230" i="21"/>
  <c r="CE230" i="21"/>
  <c r="CF230" i="21"/>
  <c r="CC230" i="21"/>
  <c r="CA231" i="21"/>
  <c r="CD231" i="21"/>
  <c r="CB231" i="21"/>
  <c r="CE231" i="21"/>
  <c r="CF231" i="21"/>
  <c r="CC231" i="21"/>
  <c r="CA232" i="21"/>
  <c r="CD232" i="21"/>
  <c r="CB232" i="21"/>
  <c r="CE232" i="21"/>
  <c r="CF232" i="21"/>
  <c r="CC232" i="21"/>
  <c r="CA233" i="21"/>
  <c r="CD233" i="21"/>
  <c r="CB233" i="21"/>
  <c r="CE233" i="21"/>
  <c r="CF233" i="21"/>
  <c r="CC233" i="21"/>
  <c r="CA234" i="21"/>
  <c r="CD234" i="21"/>
  <c r="CB234" i="21"/>
  <c r="CE234" i="21"/>
  <c r="CF234" i="21"/>
  <c r="CC234" i="21"/>
  <c r="CA235" i="21"/>
  <c r="CD235" i="21"/>
  <c r="CB235" i="21"/>
  <c r="CE235" i="21"/>
  <c r="CF235" i="21"/>
  <c r="CC235" i="21"/>
  <c r="CA236" i="21"/>
  <c r="CD236" i="21"/>
  <c r="CB236" i="21"/>
  <c r="CE236" i="21"/>
  <c r="CF236" i="21"/>
  <c r="CC236" i="21"/>
  <c r="CA237" i="21"/>
  <c r="CD237" i="21"/>
  <c r="CB237" i="21"/>
  <c r="CE237" i="21"/>
  <c r="CF237" i="21"/>
  <c r="CC237" i="21"/>
  <c r="CA238" i="21"/>
  <c r="CD238" i="21"/>
  <c r="CB238" i="21"/>
  <c r="CE238" i="21"/>
  <c r="CF238" i="21"/>
  <c r="CC238" i="21"/>
  <c r="CA239" i="21"/>
  <c r="CD239" i="21"/>
  <c r="CB239" i="21"/>
  <c r="CE239" i="21"/>
  <c r="CF239" i="21"/>
  <c r="CC239" i="21"/>
  <c r="CA240" i="21"/>
  <c r="CD240" i="21"/>
  <c r="CB240" i="21"/>
  <c r="CE240" i="21"/>
  <c r="CF240" i="21"/>
  <c r="CC240" i="21"/>
  <c r="CA241" i="21"/>
  <c r="CD241" i="21"/>
  <c r="CB241" i="21"/>
  <c r="CE241" i="21"/>
  <c r="CF241" i="21"/>
  <c r="CC241" i="21"/>
  <c r="CA242" i="21"/>
  <c r="CD242" i="21"/>
  <c r="CB242" i="21"/>
  <c r="CE242" i="21"/>
  <c r="CF242" i="21"/>
  <c r="CC242" i="21"/>
  <c r="CA243" i="21"/>
  <c r="CD243" i="21"/>
  <c r="CB243" i="21"/>
  <c r="CE243" i="21"/>
  <c r="CF243" i="21"/>
  <c r="CC243" i="21"/>
  <c r="CA244" i="21"/>
  <c r="CD244" i="21"/>
  <c r="CB244" i="21"/>
  <c r="CE244" i="21"/>
  <c r="CF244" i="21"/>
  <c r="CC244" i="21"/>
  <c r="CA245" i="21"/>
  <c r="CD245" i="21"/>
  <c r="CB245" i="21"/>
  <c r="CE245" i="21"/>
  <c r="CF245" i="21"/>
  <c r="CC245" i="21"/>
  <c r="CA246" i="21"/>
  <c r="CD246" i="21"/>
  <c r="CB246" i="21"/>
  <c r="CE246" i="21"/>
  <c r="CF246" i="21"/>
  <c r="CC246" i="21"/>
  <c r="CA247" i="21"/>
  <c r="CD247" i="21"/>
  <c r="CB247" i="21"/>
  <c r="CE247" i="21"/>
  <c r="CF247" i="21"/>
  <c r="CC247" i="21"/>
  <c r="CA248" i="21"/>
  <c r="CD248" i="21"/>
  <c r="CB248" i="21"/>
  <c r="CE248" i="21"/>
  <c r="CF248" i="21"/>
  <c r="CC248" i="21"/>
  <c r="CA249" i="21"/>
  <c r="CD249" i="21"/>
  <c r="CB249" i="21"/>
  <c r="CE249" i="21"/>
  <c r="CF249" i="21"/>
  <c r="CC249" i="21"/>
  <c r="CA250" i="21"/>
  <c r="CD250" i="21"/>
  <c r="CB250" i="21"/>
  <c r="CE250" i="21"/>
  <c r="CF250" i="21"/>
  <c r="CC250" i="21"/>
  <c r="CA251" i="21"/>
  <c r="CD251" i="21"/>
  <c r="CB251" i="21"/>
  <c r="CE251" i="21"/>
  <c r="CF251" i="21"/>
  <c r="CC251" i="21"/>
  <c r="CA252" i="21"/>
  <c r="CD252" i="21"/>
  <c r="CB252" i="21"/>
  <c r="CE252" i="21"/>
  <c r="CF252" i="21"/>
  <c r="CC252" i="21"/>
  <c r="CA253" i="21"/>
  <c r="CD253" i="21"/>
  <c r="CB253" i="21"/>
  <c r="CE253" i="21"/>
  <c r="CF253" i="21"/>
  <c r="CC253" i="21"/>
  <c r="CA254" i="21"/>
  <c r="CD254" i="21"/>
  <c r="CB254" i="21"/>
  <c r="CE254" i="21"/>
  <c r="CF254" i="21"/>
  <c r="CC254" i="21"/>
  <c r="CA255" i="21"/>
  <c r="CD255" i="21"/>
  <c r="CB255" i="21"/>
  <c r="CE255" i="21"/>
  <c r="CF255" i="21"/>
  <c r="CC255" i="21"/>
  <c r="CA256" i="21"/>
  <c r="CD256" i="21"/>
  <c r="CB256" i="21"/>
  <c r="CE256" i="21"/>
  <c r="CF256" i="21"/>
  <c r="CC256" i="21"/>
  <c r="CA257" i="21"/>
  <c r="CD257" i="21"/>
  <c r="CB257" i="21"/>
  <c r="CE257" i="21"/>
  <c r="CF257" i="21"/>
  <c r="CC257" i="21"/>
  <c r="CA258" i="21"/>
  <c r="CD258" i="21"/>
  <c r="CB258" i="21"/>
  <c r="CE258" i="21"/>
  <c r="CF258" i="21"/>
  <c r="CC258" i="21"/>
  <c r="CA259" i="21"/>
  <c r="CD259" i="21"/>
  <c r="CB259" i="21"/>
  <c r="CE259" i="21"/>
  <c r="CF259" i="21"/>
  <c r="CC259" i="21"/>
  <c r="CA260" i="21"/>
  <c r="CD260" i="21"/>
  <c r="CB260" i="21"/>
  <c r="CE260" i="21"/>
  <c r="CF260" i="21"/>
  <c r="CC260" i="21"/>
  <c r="CA261" i="21"/>
  <c r="CD261" i="21"/>
  <c r="CB261" i="21"/>
  <c r="CE261" i="21"/>
  <c r="CF261" i="21"/>
  <c r="CC261" i="21"/>
  <c r="CA262" i="21"/>
  <c r="CD262" i="21"/>
  <c r="CB262" i="21"/>
  <c r="CE262" i="21"/>
  <c r="CF262" i="21"/>
  <c r="CC262" i="21"/>
  <c r="CA263" i="21"/>
  <c r="CD263" i="21"/>
  <c r="CB263" i="21"/>
  <c r="CE263" i="21"/>
  <c r="CF263" i="21"/>
  <c r="CC263" i="21"/>
  <c r="CA264" i="21"/>
  <c r="CD264" i="21"/>
  <c r="CB264" i="21"/>
  <c r="CE264" i="21"/>
  <c r="CF264" i="21"/>
  <c r="CC264" i="21"/>
  <c r="CA265" i="21"/>
  <c r="CD265" i="21"/>
  <c r="CB265" i="21"/>
  <c r="CE265" i="21"/>
  <c r="CF265" i="21"/>
  <c r="CC265" i="21"/>
  <c r="CA266" i="21"/>
  <c r="CD266" i="21"/>
  <c r="CB266" i="21"/>
  <c r="CE266" i="21"/>
  <c r="CF266" i="21"/>
  <c r="CC266" i="21"/>
  <c r="CA267" i="21"/>
  <c r="CD267" i="21"/>
  <c r="CB267" i="21"/>
  <c r="CE267" i="21"/>
  <c r="CF267" i="21"/>
  <c r="CC267" i="21"/>
  <c r="CA268" i="21"/>
  <c r="CD268" i="21"/>
  <c r="CB268" i="21"/>
  <c r="CE268" i="21"/>
  <c r="CF268" i="21"/>
  <c r="CC268" i="21"/>
  <c r="CA269" i="21"/>
  <c r="CD269" i="21"/>
  <c r="CB269" i="21"/>
  <c r="CE269" i="21"/>
  <c r="CF269" i="21"/>
  <c r="CC269" i="21"/>
  <c r="CA270" i="21"/>
  <c r="CD270" i="21"/>
  <c r="CB270" i="21"/>
  <c r="CE270" i="21"/>
  <c r="CF270" i="21"/>
  <c r="CC270" i="21"/>
  <c r="CA271" i="21"/>
  <c r="CD271" i="21"/>
  <c r="CB271" i="21"/>
  <c r="CE271" i="21"/>
  <c r="CF271" i="21"/>
  <c r="CC271" i="21"/>
  <c r="CA272" i="21"/>
  <c r="CD272" i="21"/>
  <c r="CB272" i="21"/>
  <c r="CE272" i="21"/>
  <c r="CF272" i="21"/>
  <c r="CC272" i="21"/>
  <c r="CA273" i="21"/>
  <c r="CD273" i="21"/>
  <c r="CB273" i="21"/>
  <c r="CE273" i="21"/>
  <c r="CF273" i="21"/>
  <c r="CC273" i="21"/>
  <c r="CA274" i="21"/>
  <c r="CD274" i="21"/>
  <c r="CB274" i="21"/>
  <c r="CE274" i="21"/>
  <c r="CF274" i="21"/>
  <c r="CC274" i="21"/>
  <c r="CA275" i="21"/>
  <c r="CD275" i="21"/>
  <c r="CB275" i="21"/>
  <c r="CE275" i="21"/>
  <c r="CF275" i="21"/>
  <c r="CC275" i="21"/>
  <c r="CA276" i="21"/>
  <c r="CD276" i="21"/>
  <c r="CB276" i="21"/>
  <c r="CE276" i="21"/>
  <c r="CF276" i="21"/>
  <c r="CC276" i="21"/>
  <c r="CA277" i="21"/>
  <c r="CD277" i="21"/>
  <c r="CB277" i="21"/>
  <c r="CE277" i="21"/>
  <c r="CF277" i="21"/>
  <c r="CC277" i="21"/>
  <c r="CA278" i="21"/>
  <c r="CD278" i="21"/>
  <c r="CB278" i="21"/>
  <c r="CE278" i="21"/>
  <c r="CF278" i="21"/>
  <c r="CC278" i="21"/>
  <c r="CA279" i="21"/>
  <c r="CD279" i="21"/>
  <c r="CB279" i="21"/>
  <c r="CE279" i="21"/>
  <c r="CF279" i="21"/>
  <c r="CC279" i="21"/>
  <c r="CA280" i="21"/>
  <c r="CD280" i="21"/>
  <c r="CB280" i="21"/>
  <c r="CE280" i="21"/>
  <c r="CF280" i="21"/>
  <c r="CC280" i="21"/>
  <c r="CA281" i="21"/>
  <c r="CD281" i="21"/>
  <c r="CB281" i="21"/>
  <c r="CE281" i="21"/>
  <c r="CF281" i="21"/>
  <c r="CC281" i="21"/>
  <c r="CA282" i="21"/>
  <c r="CD282" i="21"/>
  <c r="CB282" i="21"/>
  <c r="CE282" i="21"/>
  <c r="CF282" i="21"/>
  <c r="CC282" i="21"/>
  <c r="CA283" i="21"/>
  <c r="CD283" i="21"/>
  <c r="CB283" i="21"/>
  <c r="CE283" i="21"/>
  <c r="CF283" i="21"/>
  <c r="CC283" i="21"/>
  <c r="CA284" i="21"/>
  <c r="CD284" i="21"/>
  <c r="CB284" i="21"/>
  <c r="CE284" i="21"/>
  <c r="CF284" i="21"/>
  <c r="CC284" i="21"/>
  <c r="CA285" i="21"/>
  <c r="CD285" i="21"/>
  <c r="CB285" i="21"/>
  <c r="CE285" i="21"/>
  <c r="CF285" i="21"/>
  <c r="CC285" i="21"/>
  <c r="CA286" i="21"/>
  <c r="CD286" i="21"/>
  <c r="CB286" i="21"/>
  <c r="CE286" i="21"/>
  <c r="CF286" i="21"/>
  <c r="CC286" i="21"/>
  <c r="CA287" i="21"/>
  <c r="CD287" i="21"/>
  <c r="CB287" i="21"/>
  <c r="CE287" i="21"/>
  <c r="CF287" i="21"/>
  <c r="CC287" i="21"/>
  <c r="CA288" i="21"/>
  <c r="CD288" i="21"/>
  <c r="CB288" i="21"/>
  <c r="CE288" i="21"/>
  <c r="CF288" i="21"/>
  <c r="CC288" i="21"/>
  <c r="CA289" i="21"/>
  <c r="CD289" i="21"/>
  <c r="CB289" i="21"/>
  <c r="CE289" i="21"/>
  <c r="CF289" i="21"/>
  <c r="CC289" i="21"/>
  <c r="CA290" i="21"/>
  <c r="CD290" i="21"/>
  <c r="CB290" i="21"/>
  <c r="CE290" i="21"/>
  <c r="CF290" i="21"/>
  <c r="CC290" i="21"/>
  <c r="CA291" i="21"/>
  <c r="CD291" i="21"/>
  <c r="CB291" i="21"/>
  <c r="CE291" i="21"/>
  <c r="CF291" i="21"/>
  <c r="CC291" i="21"/>
  <c r="CA292" i="21"/>
  <c r="CD292" i="21"/>
  <c r="CB292" i="21"/>
  <c r="CE292" i="21"/>
  <c r="CF292" i="21"/>
  <c r="CC292" i="21"/>
  <c r="CA293" i="21"/>
  <c r="CD293" i="21"/>
  <c r="CB293" i="21"/>
  <c r="CE293" i="21"/>
  <c r="CF293" i="21"/>
  <c r="CC293" i="21"/>
  <c r="CA294" i="21"/>
  <c r="CD294" i="21"/>
  <c r="CB294" i="21"/>
  <c r="CE294" i="21"/>
  <c r="CF294" i="21"/>
  <c r="CC294" i="21"/>
  <c r="CA295" i="21"/>
  <c r="CD295" i="21"/>
  <c r="CB295" i="21"/>
  <c r="CE295" i="21"/>
  <c r="CF295" i="21"/>
  <c r="CC295" i="21"/>
  <c r="CA296" i="21"/>
  <c r="CD296" i="21"/>
  <c r="CB296" i="21"/>
  <c r="CE296" i="21"/>
  <c r="CF296" i="21"/>
  <c r="CC296" i="21"/>
  <c r="CA297" i="21"/>
  <c r="CD297" i="21"/>
  <c r="CB297" i="21"/>
  <c r="CE297" i="21"/>
  <c r="CF297" i="21"/>
  <c r="CC297" i="21"/>
  <c r="CA298" i="21"/>
  <c r="CD298" i="21"/>
  <c r="CB298" i="21"/>
  <c r="CE298" i="21"/>
  <c r="CF298" i="21"/>
  <c r="CC298" i="21"/>
  <c r="CA299" i="21"/>
  <c r="CD299" i="21"/>
  <c r="CB299" i="21"/>
  <c r="CE299" i="21"/>
  <c r="CF299" i="21"/>
  <c r="CC299" i="21"/>
  <c r="CA300" i="21"/>
  <c r="CD300" i="21"/>
  <c r="CB300" i="21"/>
  <c r="CE300" i="21"/>
  <c r="CF300" i="21"/>
  <c r="CC300" i="21"/>
  <c r="CA301" i="21"/>
  <c r="CD301" i="21"/>
  <c r="CB301" i="21"/>
  <c r="CE301" i="21"/>
  <c r="CF301" i="21"/>
  <c r="CC301" i="21"/>
  <c r="CA302" i="21"/>
  <c r="CD302" i="21"/>
  <c r="CB302" i="21"/>
  <c r="CE302" i="21"/>
  <c r="CF302" i="21"/>
  <c r="CC302" i="21"/>
  <c r="CA303" i="21"/>
  <c r="CD303" i="21"/>
  <c r="CB303" i="21"/>
  <c r="CE303" i="21"/>
  <c r="CF303" i="21"/>
  <c r="CC303" i="21"/>
  <c r="CA304" i="21"/>
  <c r="CD304" i="21"/>
  <c r="CB304" i="21"/>
  <c r="CE304" i="21"/>
  <c r="CF304" i="21"/>
  <c r="CC304" i="21"/>
  <c r="CA305" i="21"/>
  <c r="CD305" i="21"/>
  <c r="CB305" i="21"/>
  <c r="CE305" i="21"/>
  <c r="CF305" i="21"/>
  <c r="CC305" i="21"/>
  <c r="CA306" i="21"/>
  <c r="CD306" i="21"/>
  <c r="CB306" i="21"/>
  <c r="CE306" i="21"/>
  <c r="CF306" i="21"/>
  <c r="CC306" i="21"/>
  <c r="CA307" i="21"/>
  <c r="CD307" i="21"/>
  <c r="CB307" i="21"/>
  <c r="CE307" i="21"/>
  <c r="CF307" i="21"/>
  <c r="CC307" i="21"/>
  <c r="CA308" i="21"/>
  <c r="CD308" i="21"/>
  <c r="CB308" i="21"/>
  <c r="CE308" i="21"/>
  <c r="CF308" i="21"/>
  <c r="CC308" i="21"/>
  <c r="CA309" i="21"/>
  <c r="CD309" i="21"/>
  <c r="CB309" i="21"/>
  <c r="CE309" i="21"/>
  <c r="CF309" i="21"/>
  <c r="CC309" i="21"/>
  <c r="CA310" i="21"/>
  <c r="CD310" i="21"/>
  <c r="CB310" i="21"/>
  <c r="CE310" i="21"/>
  <c r="CF310" i="21"/>
  <c r="CC310" i="21"/>
  <c r="CA311" i="21"/>
  <c r="CD311" i="21"/>
  <c r="CB311" i="21"/>
  <c r="CE311" i="21"/>
  <c r="CF311" i="21"/>
  <c r="CC311" i="21"/>
  <c r="CA312" i="21"/>
  <c r="CD312" i="21"/>
  <c r="CB312" i="21"/>
  <c r="CE312" i="21"/>
  <c r="CF312" i="21"/>
  <c r="CC312" i="21"/>
  <c r="CA313" i="21"/>
  <c r="CD313" i="21"/>
  <c r="CB313" i="21"/>
  <c r="CE313" i="21"/>
  <c r="CF313" i="21"/>
  <c r="CC313" i="21"/>
  <c r="CA314" i="21"/>
  <c r="CD314" i="21"/>
  <c r="CB314" i="21"/>
  <c r="CE314" i="21"/>
  <c r="CF314" i="21"/>
  <c r="CC314" i="21"/>
  <c r="CA315" i="21"/>
  <c r="CD315" i="21"/>
  <c r="CB315" i="21"/>
  <c r="CE315" i="21"/>
  <c r="CF315" i="21"/>
  <c r="CC315" i="21"/>
  <c r="CA316" i="21"/>
  <c r="CD316" i="21"/>
  <c r="CB316" i="21"/>
  <c r="CE316" i="21"/>
  <c r="CF316" i="21"/>
  <c r="CC316" i="21"/>
  <c r="CA317" i="21"/>
  <c r="CD317" i="21"/>
  <c r="CB317" i="21"/>
  <c r="CE317" i="21"/>
  <c r="CF317" i="21"/>
  <c r="CC317" i="21"/>
  <c r="CA318" i="21"/>
  <c r="CD318" i="21"/>
  <c r="CB318" i="21"/>
  <c r="CE318" i="21"/>
  <c r="CF318" i="21"/>
  <c r="CC318" i="21"/>
  <c r="CA319" i="21"/>
  <c r="CD319" i="21"/>
  <c r="CB319" i="21"/>
  <c r="CE319" i="21"/>
  <c r="CF319" i="21"/>
  <c r="CC319" i="21"/>
  <c r="CA320" i="21"/>
  <c r="CD320" i="21"/>
  <c r="CB320" i="21"/>
  <c r="CE320" i="21"/>
  <c r="CF320" i="21"/>
  <c r="CC320" i="21"/>
  <c r="CA321" i="21"/>
  <c r="CD321" i="21"/>
  <c r="CB321" i="21"/>
  <c r="CE321" i="21"/>
  <c r="CF321" i="21"/>
  <c r="CC321" i="21"/>
  <c r="CA322" i="21"/>
  <c r="CD322" i="21"/>
  <c r="CB322" i="21"/>
  <c r="CE322" i="21"/>
  <c r="CF322" i="21"/>
  <c r="CC322" i="21"/>
  <c r="CA323" i="21"/>
  <c r="CD323" i="21"/>
  <c r="CB323" i="21"/>
  <c r="CE323" i="21"/>
  <c r="CF323" i="21"/>
  <c r="CC323" i="21"/>
  <c r="CA324" i="21"/>
  <c r="CD324" i="21"/>
  <c r="CB324" i="21"/>
  <c r="CE324" i="21"/>
  <c r="CF324" i="21"/>
  <c r="CC324" i="21"/>
  <c r="CA325" i="21"/>
  <c r="CD325" i="21"/>
  <c r="CB325" i="21"/>
  <c r="CE325" i="21"/>
  <c r="CF325" i="21"/>
  <c r="CC325" i="21"/>
  <c r="CA326" i="21"/>
  <c r="CD326" i="21"/>
  <c r="CB326" i="21"/>
  <c r="CE326" i="21"/>
  <c r="CF326" i="21"/>
  <c r="CC326" i="21"/>
  <c r="CA327" i="21"/>
  <c r="CD327" i="21"/>
  <c r="CB327" i="21"/>
  <c r="CE327" i="21"/>
  <c r="CF327" i="21"/>
  <c r="CC327" i="21"/>
  <c r="CA328" i="21"/>
  <c r="CD328" i="21"/>
  <c r="CB328" i="21"/>
  <c r="CE328" i="21"/>
  <c r="CF328" i="21"/>
  <c r="CC328" i="21"/>
  <c r="CA329" i="21"/>
  <c r="CD329" i="21"/>
  <c r="CB329" i="21"/>
  <c r="CE329" i="21"/>
  <c r="CF329" i="21"/>
  <c r="CC329" i="21"/>
  <c r="CA330" i="21"/>
  <c r="CD330" i="21"/>
  <c r="CB330" i="21"/>
  <c r="CE330" i="21"/>
  <c r="CF330" i="21"/>
  <c r="CC330" i="21"/>
  <c r="CA331" i="21"/>
  <c r="CD331" i="21"/>
  <c r="CB331" i="21"/>
  <c r="CE331" i="21"/>
  <c r="CF331" i="21"/>
  <c r="CC331" i="21"/>
  <c r="CA332" i="21"/>
  <c r="CD332" i="21"/>
  <c r="CB332" i="21"/>
  <c r="CE332" i="21"/>
  <c r="CF332" i="21"/>
  <c r="CC332" i="21"/>
  <c r="CA333" i="21"/>
  <c r="CD333" i="21"/>
  <c r="CB333" i="21"/>
  <c r="CE333" i="21"/>
  <c r="CF333" i="21"/>
  <c r="CC333" i="21"/>
  <c r="CH317" i="21"/>
  <c r="T54" i="5"/>
  <c r="T53" i="5"/>
  <c r="T52" i="5"/>
  <c r="T51" i="5"/>
  <c r="R74" i="5"/>
  <c r="R73" i="5"/>
  <c r="R72" i="5"/>
  <c r="R71" i="5"/>
  <c r="R70" i="5"/>
  <c r="R69" i="5"/>
  <c r="R68" i="5"/>
  <c r="R67" i="5"/>
  <c r="R66" i="5"/>
  <c r="R65" i="5"/>
  <c r="R64" i="5"/>
  <c r="R63" i="5"/>
  <c r="R62" i="5"/>
  <c r="R61" i="5"/>
  <c r="R60" i="5"/>
  <c r="CI317" i="21"/>
  <c r="CJ317" i="21"/>
  <c r="CK317" i="21"/>
  <c r="CL317" i="21"/>
  <c r="CM317" i="21"/>
  <c r="CN317" i="21"/>
  <c r="CO317" i="21"/>
  <c r="CH318" i="21"/>
  <c r="T55" i="5"/>
  <c r="CI318" i="21"/>
  <c r="CJ318" i="21"/>
  <c r="CK318" i="21"/>
  <c r="CL318" i="21"/>
  <c r="CM318" i="21"/>
  <c r="CN318" i="21"/>
  <c r="CO318" i="21"/>
  <c r="CH319" i="21"/>
  <c r="T56" i="5"/>
  <c r="CI319" i="21"/>
  <c r="CJ319" i="21"/>
  <c r="CK319" i="21"/>
  <c r="CL319" i="21"/>
  <c r="CM319" i="21"/>
  <c r="CN319" i="21"/>
  <c r="CO319" i="21"/>
  <c r="CH320" i="21"/>
  <c r="T57" i="5"/>
  <c r="CI320" i="21"/>
  <c r="CJ320" i="21"/>
  <c r="CK320" i="21"/>
  <c r="CL320" i="21"/>
  <c r="CM320" i="21"/>
  <c r="CN320" i="21"/>
  <c r="CO320" i="21"/>
  <c r="CH321" i="21"/>
  <c r="T58" i="5"/>
  <c r="CI321" i="21"/>
  <c r="CJ321" i="21"/>
  <c r="CK321" i="21"/>
  <c r="CL321" i="21"/>
  <c r="CM321" i="21"/>
  <c r="CN321" i="21"/>
  <c r="CO321" i="21"/>
  <c r="CH322" i="21"/>
  <c r="T59" i="5"/>
  <c r="CI322" i="21"/>
  <c r="CJ322" i="21"/>
  <c r="CK322" i="21"/>
  <c r="CL322" i="21"/>
  <c r="CM322" i="21"/>
  <c r="CN322" i="21"/>
  <c r="CO322" i="21"/>
  <c r="CH323" i="21"/>
  <c r="T60" i="5"/>
  <c r="CI323" i="21"/>
  <c r="CJ323" i="21"/>
  <c r="CK323" i="21"/>
  <c r="CL323" i="21"/>
  <c r="CM323" i="21"/>
  <c r="CN323" i="21"/>
  <c r="CO323" i="21"/>
  <c r="CH324" i="21"/>
  <c r="T61" i="5"/>
  <c r="CI324" i="21"/>
  <c r="CJ324" i="21"/>
  <c r="CK324" i="21"/>
  <c r="CL324" i="21"/>
  <c r="CM324" i="21"/>
  <c r="CN324" i="21"/>
  <c r="CO324" i="21"/>
  <c r="CH325" i="21"/>
  <c r="T62" i="5"/>
  <c r="CI325" i="21"/>
  <c r="CJ325" i="21"/>
  <c r="CK325" i="21"/>
  <c r="CL325" i="21"/>
  <c r="CM325" i="21"/>
  <c r="CN325" i="21"/>
  <c r="CO325" i="21"/>
  <c r="CH326" i="21"/>
  <c r="T63" i="5"/>
  <c r="CI326" i="21"/>
  <c r="CJ326" i="21"/>
  <c r="CK326" i="21"/>
  <c r="CL326" i="21"/>
  <c r="CM326" i="21"/>
  <c r="CN326" i="21"/>
  <c r="CO326" i="21"/>
  <c r="CH327" i="21"/>
  <c r="T64" i="5"/>
  <c r="CI327" i="21"/>
  <c r="CJ327" i="21"/>
  <c r="CK327" i="21"/>
  <c r="CL327" i="21"/>
  <c r="CM327" i="21"/>
  <c r="CN327" i="21"/>
  <c r="CO327" i="21"/>
  <c r="CH328" i="21"/>
  <c r="T65" i="5"/>
  <c r="CI328" i="21"/>
  <c r="CJ328" i="21"/>
  <c r="CK328" i="21"/>
  <c r="CL328" i="21"/>
  <c r="CM328" i="21"/>
  <c r="CN328" i="21"/>
  <c r="CO328" i="21"/>
  <c r="CH329" i="21"/>
  <c r="T66" i="5"/>
  <c r="CI329" i="21"/>
  <c r="CJ329" i="21"/>
  <c r="CK329" i="21"/>
  <c r="CL329" i="21"/>
  <c r="CM329" i="21"/>
  <c r="CN329" i="21"/>
  <c r="CO329" i="21"/>
  <c r="CH330" i="21"/>
  <c r="T67" i="5"/>
  <c r="CI330" i="21"/>
  <c r="CJ330" i="21"/>
  <c r="CK330" i="21"/>
  <c r="CL330" i="21"/>
  <c r="CM330" i="21"/>
  <c r="CN330" i="21"/>
  <c r="CO330" i="21"/>
  <c r="CH331" i="21"/>
  <c r="T68" i="5"/>
  <c r="CI331" i="21"/>
  <c r="CJ331" i="21"/>
  <c r="CK331" i="21"/>
  <c r="CL331" i="21"/>
  <c r="CM331" i="21"/>
  <c r="CN331" i="21"/>
  <c r="CO331" i="21"/>
  <c r="CH332" i="21"/>
  <c r="T69" i="5"/>
  <c r="CI332" i="21"/>
  <c r="CJ332" i="21"/>
  <c r="CK332" i="21"/>
  <c r="CL332" i="21"/>
  <c r="CM332" i="21"/>
  <c r="CN332" i="21"/>
  <c r="CO332" i="21"/>
  <c r="CH333" i="21"/>
  <c r="T70" i="5"/>
  <c r="CI333" i="21"/>
  <c r="CJ333" i="21"/>
  <c r="CK333" i="21"/>
  <c r="CL333" i="21"/>
  <c r="CM333" i="21"/>
  <c r="CN333" i="21"/>
  <c r="CO333" i="21"/>
  <c r="CH301" i="21"/>
  <c r="R59" i="5"/>
  <c r="R58" i="5"/>
  <c r="R57" i="5"/>
  <c r="R56" i="5"/>
  <c r="R55" i="5"/>
  <c r="R54" i="5"/>
  <c r="R53" i="5"/>
  <c r="R52" i="5"/>
  <c r="R51" i="5"/>
  <c r="P87" i="5"/>
  <c r="P86" i="5"/>
  <c r="P85" i="5"/>
  <c r="P84" i="5"/>
  <c r="P83" i="5"/>
  <c r="P82" i="5"/>
  <c r="P81" i="5"/>
  <c r="CI301" i="21"/>
  <c r="CJ301" i="21"/>
  <c r="CK301" i="21"/>
  <c r="CL301" i="21"/>
  <c r="CM301" i="21"/>
  <c r="CN301" i="21"/>
  <c r="CO301" i="21"/>
  <c r="CH302" i="21"/>
  <c r="CI302" i="21"/>
  <c r="CJ302" i="21"/>
  <c r="CK302" i="21"/>
  <c r="CL302" i="21"/>
  <c r="CM302" i="21"/>
  <c r="CN302" i="21"/>
  <c r="CO302" i="21"/>
  <c r="CH303" i="21"/>
  <c r="CI303" i="21"/>
  <c r="CJ303" i="21"/>
  <c r="CK303" i="21"/>
  <c r="CL303" i="21"/>
  <c r="CM303" i="21"/>
  <c r="CN303" i="21"/>
  <c r="CO303" i="21"/>
  <c r="CH304" i="21"/>
  <c r="CI304" i="21"/>
  <c r="CJ304" i="21"/>
  <c r="CK304" i="21"/>
  <c r="CL304" i="21"/>
  <c r="CM304" i="21"/>
  <c r="CN304" i="21"/>
  <c r="CO304" i="21"/>
  <c r="CH305" i="21"/>
  <c r="CI305" i="21"/>
  <c r="CJ305" i="21"/>
  <c r="CK305" i="21"/>
  <c r="CL305" i="21"/>
  <c r="CM305" i="21"/>
  <c r="CN305" i="21"/>
  <c r="CO305" i="21"/>
  <c r="CH306" i="21"/>
  <c r="CI306" i="21"/>
  <c r="CJ306" i="21"/>
  <c r="CK306" i="21"/>
  <c r="CL306" i="21"/>
  <c r="CM306" i="21"/>
  <c r="CN306" i="21"/>
  <c r="CO306" i="21"/>
  <c r="CH307" i="21"/>
  <c r="P88" i="5"/>
  <c r="CI307" i="21"/>
  <c r="CJ307" i="21"/>
  <c r="CK307" i="21"/>
  <c r="CL307" i="21"/>
  <c r="CM307" i="21"/>
  <c r="CN307" i="21"/>
  <c r="CO307" i="21"/>
  <c r="CH308" i="21"/>
  <c r="CI308" i="21"/>
  <c r="CJ308" i="21"/>
  <c r="CK308" i="21"/>
  <c r="CL308" i="21"/>
  <c r="CM308" i="21"/>
  <c r="CN308" i="21"/>
  <c r="CO308" i="21"/>
  <c r="CH309" i="21"/>
  <c r="CI309" i="21"/>
  <c r="CJ309" i="21"/>
  <c r="CK309" i="21"/>
  <c r="CL309" i="21"/>
  <c r="CM309" i="21"/>
  <c r="CN309" i="21"/>
  <c r="CO309" i="21"/>
  <c r="CH310" i="21"/>
  <c r="CI310" i="21"/>
  <c r="CJ310" i="21"/>
  <c r="CK310" i="21"/>
  <c r="CL310" i="21"/>
  <c r="CM310" i="21"/>
  <c r="CN310" i="21"/>
  <c r="CO310" i="21"/>
  <c r="CH311" i="21"/>
  <c r="CI311" i="21"/>
  <c r="CJ311" i="21"/>
  <c r="CK311" i="21"/>
  <c r="CL311" i="21"/>
  <c r="CM311" i="21"/>
  <c r="CN311" i="21"/>
  <c r="CO311" i="21"/>
  <c r="CH312" i="21"/>
  <c r="CI312" i="21"/>
  <c r="CJ312" i="21"/>
  <c r="CK312" i="21"/>
  <c r="CL312" i="21"/>
  <c r="CM312" i="21"/>
  <c r="CN312" i="21"/>
  <c r="CO312" i="21"/>
  <c r="CH313" i="21"/>
  <c r="CI313" i="21"/>
  <c r="CJ313" i="21"/>
  <c r="CK313" i="21"/>
  <c r="CL313" i="21"/>
  <c r="CM313" i="21"/>
  <c r="CN313" i="21"/>
  <c r="CO313" i="21"/>
  <c r="CH314" i="21"/>
  <c r="CI314" i="21"/>
  <c r="CJ314" i="21"/>
  <c r="CK314" i="21"/>
  <c r="CL314" i="21"/>
  <c r="CM314" i="21"/>
  <c r="CN314" i="21"/>
  <c r="CO314" i="21"/>
  <c r="CH315" i="21"/>
  <c r="CI315" i="21"/>
  <c r="CJ315" i="21"/>
  <c r="CK315" i="21"/>
  <c r="CL315" i="21"/>
  <c r="CM315" i="21"/>
  <c r="CN315" i="21"/>
  <c r="CO315" i="21"/>
  <c r="CH316" i="21"/>
  <c r="CI316" i="21"/>
  <c r="CJ316" i="21"/>
  <c r="CK316" i="21"/>
  <c r="CL316" i="21"/>
  <c r="CM316" i="21"/>
  <c r="CN316" i="21"/>
  <c r="CO316" i="21"/>
  <c r="A3" i="24"/>
  <c r="D11" i="3"/>
  <c r="BC11" i="24"/>
  <c r="B1" i="14"/>
  <c r="C1" i="14"/>
  <c r="D1" i="14"/>
  <c r="E1" i="14"/>
  <c r="F1" i="14"/>
  <c r="G1" i="14"/>
  <c r="H1" i="14"/>
  <c r="I1" i="14"/>
  <c r="J1" i="14"/>
  <c r="K1" i="14"/>
  <c r="L1" i="14"/>
  <c r="M1" i="14"/>
  <c r="N1" i="14"/>
  <c r="O1" i="14"/>
  <c r="P1" i="14"/>
  <c r="Q1" i="14"/>
  <c r="R1" i="14"/>
  <c r="S1" i="14"/>
  <c r="T1" i="14"/>
  <c r="U1" i="14"/>
  <c r="V1" i="14"/>
  <c r="W1" i="14"/>
  <c r="X1" i="14"/>
  <c r="Y1" i="14"/>
  <c r="Z1" i="14"/>
  <c r="AA1" i="14"/>
  <c r="AB1" i="14"/>
  <c r="AC1" i="14"/>
  <c r="AD1" i="14"/>
  <c r="AE1" i="14"/>
  <c r="AF1" i="14"/>
  <c r="AG1" i="14"/>
  <c r="AH1" i="14"/>
  <c r="AI1" i="14"/>
  <c r="AJ1" i="14"/>
  <c r="AK1" i="14"/>
  <c r="AL1" i="14"/>
  <c r="AM1" i="14"/>
  <c r="AN1" i="14"/>
  <c r="AO1" i="14"/>
  <c r="AP1" i="14"/>
  <c r="AQ1" i="14"/>
  <c r="AR1" i="14"/>
  <c r="AS1" i="14"/>
  <c r="AT1" i="14"/>
  <c r="AU1" i="14"/>
  <c r="AV1" i="14"/>
  <c r="AW1" i="14"/>
  <c r="AX1" i="14"/>
  <c r="AY1" i="14"/>
  <c r="AZ1" i="14"/>
  <c r="B2" i="14"/>
  <c r="C2" i="14"/>
  <c r="D2" i="14"/>
  <c r="E2" i="14"/>
  <c r="F2" i="14"/>
  <c r="G2" i="14"/>
  <c r="H2" i="14"/>
  <c r="I2" i="14"/>
  <c r="J2" i="14"/>
  <c r="K2" i="14"/>
  <c r="L2" i="14"/>
  <c r="M2" i="14"/>
  <c r="N2" i="14"/>
  <c r="O2" i="14"/>
  <c r="P2" i="14"/>
  <c r="Q2" i="14"/>
  <c r="R2" i="14"/>
  <c r="S2" i="14"/>
  <c r="T2" i="14"/>
  <c r="U2" i="14"/>
  <c r="V2" i="14"/>
  <c r="W2" i="14"/>
  <c r="X2" i="14"/>
  <c r="Y2" i="14"/>
  <c r="Z2" i="14"/>
  <c r="AA2" i="14"/>
  <c r="AB2" i="14"/>
  <c r="AC2" i="14"/>
  <c r="AD2" i="14"/>
  <c r="AE2" i="14"/>
  <c r="AF2" i="14"/>
  <c r="AG2" i="14"/>
  <c r="AH2" i="14"/>
  <c r="AI2" i="14"/>
  <c r="AJ2" i="14"/>
  <c r="AK2" i="14"/>
  <c r="AL2" i="14"/>
  <c r="AM2" i="14"/>
  <c r="AN2" i="14"/>
  <c r="AO2" i="14"/>
  <c r="AP2" i="14"/>
  <c r="AQ2" i="14"/>
  <c r="AR2" i="14"/>
  <c r="AS2" i="14"/>
  <c r="AT2" i="14"/>
  <c r="AU2" i="14"/>
  <c r="AV2" i="14"/>
  <c r="AW2" i="14"/>
  <c r="AX2" i="14"/>
  <c r="AY2" i="14"/>
  <c r="AZ2" i="14"/>
  <c r="B1" i="7"/>
  <c r="C1" i="7"/>
  <c r="D1" i="7"/>
  <c r="E1" i="7"/>
  <c r="F1" i="7"/>
  <c r="G1" i="7"/>
  <c r="H1" i="7"/>
  <c r="I1" i="7"/>
  <c r="J1" i="7"/>
  <c r="K1" i="7"/>
  <c r="L1" i="7"/>
  <c r="M1" i="7"/>
  <c r="N1" i="7"/>
  <c r="O1" i="7"/>
  <c r="P1" i="7"/>
  <c r="Q1" i="7"/>
  <c r="R1" i="7"/>
  <c r="S1" i="7"/>
  <c r="T1" i="7"/>
  <c r="U1" i="7"/>
  <c r="V1" i="7"/>
  <c r="W1" i="7"/>
  <c r="X1" i="7"/>
  <c r="Y1" i="7"/>
  <c r="Z1" i="7"/>
  <c r="AA1" i="7"/>
  <c r="AB1" i="7"/>
  <c r="AC1" i="7"/>
  <c r="AD1" i="7"/>
  <c r="AE1" i="7"/>
  <c r="AF1" i="7"/>
  <c r="AG1" i="7"/>
  <c r="AH1" i="7"/>
  <c r="AI1" i="7"/>
  <c r="AJ1" i="7"/>
  <c r="AK1" i="7"/>
  <c r="AL1" i="7"/>
  <c r="AM1" i="7"/>
  <c r="AN1" i="7"/>
  <c r="AO1" i="7"/>
  <c r="AP1" i="7"/>
  <c r="AQ1" i="7"/>
  <c r="AR1" i="7"/>
  <c r="AS1" i="7"/>
  <c r="AT1" i="7"/>
  <c r="AU1" i="7"/>
  <c r="AV1" i="7"/>
  <c r="AW1" i="7"/>
  <c r="AX1" i="7"/>
  <c r="AY1" i="7"/>
  <c r="AZ1" i="7"/>
  <c r="B2" i="7"/>
  <c r="C2" i="7"/>
  <c r="D2" i="7"/>
  <c r="E2" i="7"/>
  <c r="F2" i="7"/>
  <c r="G2" i="7"/>
  <c r="H2" i="7"/>
  <c r="I2" i="7"/>
  <c r="J2" i="7"/>
  <c r="K2" i="7"/>
  <c r="L2" i="7"/>
  <c r="M2" i="7"/>
  <c r="N2" i="7"/>
  <c r="O2" i="7"/>
  <c r="P2" i="7"/>
  <c r="Q2" i="7"/>
  <c r="R2" i="7"/>
  <c r="S2" i="7"/>
  <c r="T2" i="7"/>
  <c r="U2" i="7"/>
  <c r="V2" i="7"/>
  <c r="W2" i="7"/>
  <c r="X2" i="7"/>
  <c r="Y2" i="7"/>
  <c r="Z2" i="7"/>
  <c r="AA2" i="7"/>
  <c r="AB2" i="7"/>
  <c r="AC2" i="7"/>
  <c r="AD2" i="7"/>
  <c r="AE2" i="7"/>
  <c r="AF2" i="7"/>
  <c r="AG2" i="7"/>
  <c r="AH2" i="7"/>
  <c r="AI2" i="7"/>
  <c r="AJ2" i="7"/>
  <c r="AK2" i="7"/>
  <c r="AL2" i="7"/>
  <c r="AM2" i="7"/>
  <c r="AN2" i="7"/>
  <c r="AO2" i="7"/>
  <c r="AP2" i="7"/>
  <c r="AQ2" i="7"/>
  <c r="AR2" i="7"/>
  <c r="AS2" i="7"/>
  <c r="AT2" i="7"/>
  <c r="AU2" i="7"/>
  <c r="AV2" i="7"/>
  <c r="AW2" i="7"/>
  <c r="AX2" i="7"/>
  <c r="AY2" i="7"/>
  <c r="AZ2" i="7"/>
  <c r="B1" i="15"/>
  <c r="C1" i="15"/>
  <c r="D1" i="15"/>
  <c r="E1" i="15"/>
  <c r="F1" i="15"/>
  <c r="G1" i="15"/>
  <c r="H1" i="15"/>
  <c r="I1" i="15"/>
  <c r="J1" i="15"/>
  <c r="K1" i="15"/>
  <c r="L1" i="15"/>
  <c r="M1" i="15"/>
  <c r="N1" i="15"/>
  <c r="O1" i="15"/>
  <c r="P1" i="15"/>
  <c r="Q1" i="15"/>
  <c r="R1" i="15"/>
  <c r="S1" i="15"/>
  <c r="T1" i="15"/>
  <c r="U1" i="15"/>
  <c r="V1" i="15"/>
  <c r="W1" i="15"/>
  <c r="X1" i="15"/>
  <c r="Y1" i="15"/>
  <c r="Z1" i="15"/>
  <c r="AA1" i="15"/>
  <c r="AB1" i="15"/>
  <c r="AC1" i="15"/>
  <c r="AD1" i="15"/>
  <c r="AE1" i="15"/>
  <c r="AF1" i="15"/>
  <c r="AG1" i="15"/>
  <c r="AH1" i="15"/>
  <c r="AI1" i="15"/>
  <c r="AJ1" i="15"/>
  <c r="AK1" i="15"/>
  <c r="AL1" i="15"/>
  <c r="AM1" i="15"/>
  <c r="AN1" i="15"/>
  <c r="AO1" i="15"/>
  <c r="AP1" i="15"/>
  <c r="AQ1" i="15"/>
  <c r="AR1" i="15"/>
  <c r="AS1" i="15"/>
  <c r="AT1" i="15"/>
  <c r="AU1" i="15"/>
  <c r="AV1" i="15"/>
  <c r="AW1" i="15"/>
  <c r="AX1" i="15"/>
  <c r="AY1" i="15"/>
  <c r="AZ1" i="15"/>
  <c r="B2" i="15"/>
  <c r="C2" i="15"/>
  <c r="D2" i="15"/>
  <c r="E2" i="15"/>
  <c r="F2" i="15"/>
  <c r="G2" i="15"/>
  <c r="H2" i="15"/>
  <c r="I2" i="15"/>
  <c r="J2" i="15"/>
  <c r="K2" i="15"/>
  <c r="L2" i="15"/>
  <c r="M2" i="15"/>
  <c r="N2" i="15"/>
  <c r="O2" i="15"/>
  <c r="P2" i="15"/>
  <c r="Q2" i="15"/>
  <c r="R2" i="15"/>
  <c r="S2" i="15"/>
  <c r="T2" i="15"/>
  <c r="U2" i="15"/>
  <c r="V2" i="15"/>
  <c r="W2" i="15"/>
  <c r="X2" i="15"/>
  <c r="Y2" i="15"/>
  <c r="Z2" i="15"/>
  <c r="AA2" i="15"/>
  <c r="AB2" i="15"/>
  <c r="AC2" i="15"/>
  <c r="AD2" i="15"/>
  <c r="AE2" i="15"/>
  <c r="AF2" i="15"/>
  <c r="AG2" i="15"/>
  <c r="AH2" i="15"/>
  <c r="AI2" i="15"/>
  <c r="AJ2" i="15"/>
  <c r="AK2" i="15"/>
  <c r="AL2" i="15"/>
  <c r="AM2" i="15"/>
  <c r="AN2" i="15"/>
  <c r="AO2" i="15"/>
  <c r="AP2" i="15"/>
  <c r="AQ2" i="15"/>
  <c r="AR2" i="15"/>
  <c r="AS2" i="15"/>
  <c r="AT2" i="15"/>
  <c r="AU2" i="15"/>
  <c r="AV2" i="15"/>
  <c r="AW2" i="15"/>
  <c r="AX2" i="15"/>
  <c r="AY2" i="15"/>
  <c r="AZ2" i="15"/>
  <c r="B1" i="13"/>
  <c r="C1" i="13"/>
  <c r="D1" i="13"/>
  <c r="E1" i="13"/>
  <c r="F1" i="13"/>
  <c r="G1" i="13"/>
  <c r="H1" i="13"/>
  <c r="I1" i="13"/>
  <c r="J1" i="13"/>
  <c r="K1" i="13"/>
  <c r="L1" i="13"/>
  <c r="M1" i="13"/>
  <c r="N1" i="13"/>
  <c r="O1" i="13"/>
  <c r="P1" i="13"/>
  <c r="Q1" i="13"/>
  <c r="R1" i="13"/>
  <c r="S1" i="13"/>
  <c r="T1" i="13"/>
  <c r="U1" i="13"/>
  <c r="V1" i="13"/>
  <c r="W1" i="13"/>
  <c r="X1" i="13"/>
  <c r="Y1" i="13"/>
  <c r="Z1" i="13"/>
  <c r="AA1" i="13"/>
  <c r="AB1" i="13"/>
  <c r="AC1" i="13"/>
  <c r="AD1" i="13"/>
  <c r="AE1" i="13"/>
  <c r="AF1" i="13"/>
  <c r="AG1" i="13"/>
  <c r="AH1" i="13"/>
  <c r="AI1" i="13"/>
  <c r="AJ1" i="13"/>
  <c r="AK1" i="13"/>
  <c r="AL1" i="13"/>
  <c r="AM1" i="13"/>
  <c r="AN1" i="13"/>
  <c r="AO1" i="13"/>
  <c r="AP1" i="13"/>
  <c r="AQ1" i="13"/>
  <c r="AR1" i="13"/>
  <c r="AS1" i="13"/>
  <c r="AT1" i="13"/>
  <c r="AU1" i="13"/>
  <c r="AV1" i="13"/>
  <c r="AW1" i="13"/>
  <c r="AX1" i="13"/>
  <c r="AY1" i="13"/>
  <c r="AZ1" i="13"/>
  <c r="B2" i="13"/>
  <c r="C2" i="13"/>
  <c r="D2" i="13"/>
  <c r="E2" i="13"/>
  <c r="F2" i="13"/>
  <c r="G2" i="13"/>
  <c r="H2" i="13"/>
  <c r="I2" i="13"/>
  <c r="J2" i="13"/>
  <c r="K2" i="13"/>
  <c r="L2" i="13"/>
  <c r="M2" i="13"/>
  <c r="N2" i="13"/>
  <c r="O2" i="13"/>
  <c r="P2" i="13"/>
  <c r="Q2" i="13"/>
  <c r="R2" i="13"/>
  <c r="S2" i="13"/>
  <c r="T2" i="13"/>
  <c r="U2" i="13"/>
  <c r="V2" i="13"/>
  <c r="W2" i="13"/>
  <c r="X2" i="13"/>
  <c r="Y2" i="13"/>
  <c r="Z2" i="13"/>
  <c r="AA2" i="13"/>
  <c r="AB2" i="13"/>
  <c r="AC2" i="13"/>
  <c r="AD2" i="13"/>
  <c r="AE2" i="13"/>
  <c r="AF2" i="13"/>
  <c r="AG2" i="13"/>
  <c r="AH2" i="13"/>
  <c r="AI2" i="13"/>
  <c r="AJ2" i="13"/>
  <c r="AK2" i="13"/>
  <c r="AL2" i="13"/>
  <c r="AM2" i="13"/>
  <c r="AN2" i="13"/>
  <c r="AO2" i="13"/>
  <c r="AP2" i="13"/>
  <c r="AQ2" i="13"/>
  <c r="AR2" i="13"/>
  <c r="AS2" i="13"/>
  <c r="AT2" i="13"/>
  <c r="AU2" i="13"/>
  <c r="AV2" i="13"/>
  <c r="AW2" i="13"/>
  <c r="AX2" i="13"/>
  <c r="AY2" i="13"/>
  <c r="AZ2" i="13"/>
  <c r="BM19" i="13"/>
  <c r="BN19" i="13"/>
  <c r="BM12" i="12"/>
  <c r="BN12" i="12"/>
  <c r="BM12" i="13"/>
  <c r="BN12" i="13"/>
  <c r="BR19" i="13"/>
  <c r="BR14" i="12"/>
  <c r="BR12" i="12"/>
  <c r="BR12" i="13"/>
  <c r="BR15" i="12"/>
  <c r="E4" i="2"/>
  <c r="G4" i="2"/>
  <c r="F4" i="2"/>
  <c r="AP9"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F9" i="2"/>
  <c r="D12" i="2"/>
  <c r="D13" i="2"/>
  <c r="D14" i="2"/>
  <c r="D15" i="2"/>
  <c r="D16" i="2"/>
  <c r="D17" i="2"/>
  <c r="D18" i="2"/>
  <c r="D19" i="2"/>
  <c r="D20" i="2"/>
  <c r="D21" i="2"/>
  <c r="D22" i="2"/>
  <c r="D23" i="2"/>
  <c r="J9" i="2"/>
  <c r="N9" i="2"/>
  <c r="R9" i="2"/>
  <c r="V9" i="2"/>
  <c r="Z9" i="2"/>
  <c r="AD9" i="2"/>
  <c r="AH9" i="2"/>
  <c r="AL9" i="2"/>
  <c r="E6" i="24"/>
  <c r="D12" i="25"/>
  <c r="D13" i="25"/>
  <c r="D14" i="25"/>
  <c r="D15" i="25"/>
  <c r="F4" i="24"/>
  <c r="F6" i="24"/>
  <c r="G4" i="24"/>
  <c r="G6" i="24"/>
  <c r="H4" i="24"/>
  <c r="H6" i="24"/>
  <c r="I4" i="24"/>
  <c r="I6" i="24"/>
  <c r="J4" i="24"/>
  <c r="J6" i="24"/>
  <c r="K4" i="24"/>
  <c r="K6" i="24"/>
  <c r="L4" i="24"/>
  <c r="L6" i="24"/>
  <c r="M4" i="24"/>
  <c r="M6" i="24"/>
  <c r="N4" i="24"/>
  <c r="N6" i="24"/>
  <c r="O4" i="24"/>
  <c r="O6" i="24"/>
  <c r="P4" i="24"/>
  <c r="P6" i="24"/>
  <c r="Q4" i="24"/>
  <c r="Q6" i="24"/>
  <c r="R4" i="24"/>
  <c r="R6" i="24"/>
  <c r="S4" i="24"/>
  <c r="S6" i="24"/>
  <c r="T4" i="24"/>
  <c r="T6" i="24"/>
  <c r="U4" i="24"/>
  <c r="U6" i="24"/>
  <c r="V4" i="24"/>
  <c r="V6" i="24"/>
  <c r="W4" i="24"/>
  <c r="W6" i="24"/>
  <c r="X4" i="24"/>
  <c r="X6" i="24"/>
  <c r="Y4" i="24"/>
  <c r="Y6" i="24"/>
  <c r="Z4" i="24"/>
  <c r="Z6" i="24"/>
  <c r="AA4" i="24"/>
  <c r="AA6" i="24"/>
  <c r="AB4" i="24"/>
  <c r="AB6" i="24"/>
  <c r="AC4" i="24"/>
  <c r="AC6" i="24"/>
  <c r="AD4" i="24"/>
  <c r="AD6" i="24"/>
  <c r="AE4" i="24"/>
  <c r="AE6" i="24"/>
  <c r="AF4" i="24"/>
  <c r="AF6" i="24"/>
  <c r="AG4" i="24"/>
  <c r="AG6" i="24"/>
  <c r="AH4" i="24"/>
  <c r="AH6" i="24"/>
  <c r="AI4" i="24"/>
  <c r="AI6" i="24"/>
  <c r="AJ4" i="24"/>
  <c r="AJ6" i="24"/>
  <c r="AK4" i="24"/>
  <c r="AK6" i="24"/>
  <c r="AL4" i="24"/>
  <c r="AL6" i="24"/>
  <c r="AM4" i="24"/>
  <c r="AM6" i="24"/>
  <c r="AN4" i="24"/>
  <c r="AN6" i="24"/>
  <c r="AO4" i="24"/>
  <c r="AO6" i="24"/>
  <c r="AP4" i="24"/>
  <c r="AP6" i="24"/>
  <c r="AQ4" i="24"/>
  <c r="AQ6" i="24"/>
  <c r="AR4" i="24"/>
  <c r="AR6" i="24"/>
  <c r="E12" i="3"/>
  <c r="BD12" i="24"/>
  <c r="F13" i="3"/>
  <c r="BE13" i="24"/>
  <c r="G14" i="3"/>
  <c r="BF14" i="24"/>
  <c r="H15" i="3"/>
  <c r="BG15" i="24"/>
  <c r="D16" i="25"/>
  <c r="I16" i="3"/>
  <c r="BH16" i="24"/>
  <c r="D17" i="25"/>
  <c r="J17" i="3"/>
  <c r="BI17" i="24"/>
  <c r="D18" i="25"/>
  <c r="K18" i="3"/>
  <c r="BJ18" i="24"/>
  <c r="D19" i="25"/>
  <c r="L19" i="3"/>
  <c r="BK19" i="24"/>
  <c r="D20" i="25"/>
  <c r="M20" i="3"/>
  <c r="BL20" i="24"/>
  <c r="D21" i="25"/>
  <c r="N21" i="3"/>
  <c r="BM21" i="24"/>
  <c r="D22" i="25"/>
  <c r="O22" i="3"/>
  <c r="BN22" i="24"/>
  <c r="D23" i="25"/>
  <c r="P23" i="3"/>
  <c r="BO23" i="24"/>
  <c r="D24" i="25"/>
  <c r="Q24" i="3"/>
  <c r="BP24" i="24"/>
  <c r="D25" i="25"/>
  <c r="R25" i="3"/>
  <c r="BQ25" i="24"/>
  <c r="D26" i="25"/>
  <c r="S26" i="3"/>
  <c r="BR26" i="24"/>
  <c r="D27" i="25"/>
  <c r="T27" i="3"/>
  <c r="BS27" i="24"/>
  <c r="D28" i="25"/>
  <c r="U28" i="3"/>
  <c r="BT28" i="24"/>
  <c r="D29" i="25"/>
  <c r="V29" i="3"/>
  <c r="BU29" i="24"/>
  <c r="D30" i="25"/>
  <c r="W30" i="3"/>
  <c r="BV30" i="24"/>
  <c r="D31" i="25"/>
  <c r="X31" i="3"/>
  <c r="BW31" i="24"/>
  <c r="D32" i="25"/>
  <c r="Y32" i="3"/>
  <c r="BX32" i="24"/>
  <c r="D33" i="25"/>
  <c r="Z33" i="3"/>
  <c r="BY33" i="24"/>
  <c r="D34" i="25"/>
  <c r="AA34" i="3"/>
  <c r="BZ34" i="24"/>
  <c r="D35" i="25"/>
  <c r="AB35" i="3"/>
  <c r="CA35" i="24"/>
  <c r="D36" i="25"/>
  <c r="AC36" i="3"/>
  <c r="CB36" i="24"/>
  <c r="D37" i="25"/>
  <c r="AD37" i="3"/>
  <c r="CC37" i="24"/>
  <c r="D38" i="25"/>
  <c r="AE38" i="3"/>
  <c r="CD38" i="24"/>
  <c r="D39" i="25"/>
  <c r="AF39" i="3"/>
  <c r="CE39" i="24"/>
  <c r="D40" i="25"/>
  <c r="AG40" i="3"/>
  <c r="CF40" i="24"/>
  <c r="D41" i="25"/>
  <c r="AH41" i="3"/>
  <c r="CG41" i="24"/>
  <c r="D42" i="25"/>
  <c r="AI42" i="3"/>
  <c r="CH42" i="24"/>
  <c r="D43" i="25"/>
  <c r="AJ43" i="3"/>
  <c r="CI43" i="24"/>
  <c r="D44" i="25"/>
  <c r="AK44" i="3"/>
  <c r="CJ44" i="24"/>
  <c r="D45" i="25"/>
  <c r="AL45" i="3"/>
  <c r="CK45" i="24"/>
  <c r="D46" i="25"/>
  <c r="AM46" i="3"/>
  <c r="CL46" i="24"/>
  <c r="D47" i="25"/>
  <c r="AN47" i="3"/>
  <c r="CM47" i="24"/>
  <c r="D48" i="25"/>
  <c r="AO48" i="3"/>
  <c r="CN48" i="24"/>
  <c r="D49" i="25"/>
  <c r="AP49" i="3"/>
  <c r="CO49" i="24"/>
  <c r="D50" i="25"/>
  <c r="AQ50" i="3"/>
  <c r="CP50" i="24"/>
  <c r="D51" i="25"/>
  <c r="AR51" i="3"/>
  <c r="CQ51" i="24"/>
  <c r="D52" i="25"/>
  <c r="AS52" i="3"/>
  <c r="CR52" i="24"/>
  <c r="D53" i="25"/>
  <c r="AT53" i="3"/>
  <c r="CS53" i="24"/>
  <c r="D54" i="25"/>
  <c r="AU54" i="3"/>
  <c r="CT54" i="24"/>
  <c r="D55" i="25"/>
  <c r="AV55" i="3"/>
  <c r="CU55" i="24"/>
  <c r="D56" i="25"/>
  <c r="AW56" i="3"/>
  <c r="CV56" i="24"/>
  <c r="D7" i="25"/>
  <c r="E7" i="25"/>
  <c r="F7" i="25"/>
  <c r="G7" i="25"/>
  <c r="H7" i="25"/>
  <c r="I7" i="25"/>
  <c r="J7" i="25"/>
  <c r="K7" i="25"/>
  <c r="L7" i="25"/>
  <c r="M7" i="25"/>
  <c r="N7" i="25"/>
  <c r="O7" i="25"/>
  <c r="P7" i="25"/>
  <c r="Q7" i="25"/>
  <c r="R7" i="25"/>
  <c r="S7" i="25"/>
  <c r="T7" i="25"/>
  <c r="U7" i="25"/>
  <c r="V7" i="25"/>
  <c r="W7" i="25"/>
  <c r="X7" i="25"/>
  <c r="Y7" i="25"/>
  <c r="Z7" i="25"/>
  <c r="AA7" i="25"/>
  <c r="AB7" i="25"/>
  <c r="AC7" i="25"/>
  <c r="AD7" i="25"/>
  <c r="AE7" i="25"/>
  <c r="AF7" i="25"/>
  <c r="AG7" i="25"/>
  <c r="AH7" i="25"/>
  <c r="AI7" i="25"/>
  <c r="AJ7" i="25"/>
  <c r="AK7" i="25"/>
  <c r="AL7" i="25"/>
  <c r="AM7" i="25"/>
  <c r="AN7" i="25"/>
  <c r="AO7" i="25"/>
  <c r="AP7" i="25"/>
  <c r="AQ7" i="25"/>
  <c r="AR7" i="25"/>
  <c r="AU7" i="25"/>
  <c r="AV7" i="25"/>
  <c r="AW7" i="25"/>
  <c r="AX7" i="25"/>
  <c r="AY7" i="25"/>
  <c r="AZ7" i="25"/>
  <c r="BA7" i="25"/>
  <c r="BB7" i="25"/>
  <c r="BC7" i="25"/>
  <c r="BD7" i="25"/>
  <c r="BE7" i="25"/>
  <c r="BF7" i="25"/>
  <c r="BG7" i="25"/>
  <c r="BH7" i="25"/>
  <c r="BI7" i="25"/>
  <c r="BJ7" i="25"/>
  <c r="BK7" i="25"/>
  <c r="BL7" i="25"/>
  <c r="BM7" i="25"/>
  <c r="BN7" i="25"/>
  <c r="BO7" i="25"/>
  <c r="BP7" i="25"/>
  <c r="BQ7" i="25"/>
  <c r="BR7" i="25"/>
  <c r="BS7" i="25"/>
  <c r="BT7" i="25"/>
  <c r="BU7" i="25"/>
  <c r="BV7" i="25"/>
  <c r="BW7" i="25"/>
  <c r="BX7" i="25"/>
  <c r="BY7" i="25"/>
  <c r="BZ7" i="25"/>
  <c r="CA7" i="25"/>
  <c r="CB7" i="25"/>
  <c r="CC7" i="25"/>
  <c r="CD7" i="25"/>
  <c r="CE7" i="25"/>
  <c r="CF7" i="25"/>
  <c r="CG7" i="25"/>
  <c r="CH7" i="25"/>
  <c r="AU30" i="25"/>
  <c r="AT12" i="25"/>
  <c r="AT13" i="25"/>
  <c r="AT14" i="25"/>
  <c r="AT15" i="25"/>
  <c r="AT16" i="25"/>
  <c r="AT17" i="25"/>
  <c r="AT18" i="25"/>
  <c r="AT19" i="25"/>
  <c r="AT20" i="25"/>
  <c r="AT21" i="25"/>
  <c r="AT22" i="25"/>
  <c r="AT23" i="25"/>
  <c r="AT24" i="25"/>
  <c r="AT25" i="25"/>
  <c r="AT26" i="25"/>
  <c r="AT27" i="25"/>
  <c r="AT28" i="25"/>
  <c r="AT29" i="25"/>
  <c r="AT30" i="25"/>
  <c r="AU29" i="25"/>
  <c r="AU28" i="25"/>
  <c r="AU27" i="25"/>
  <c r="AU26" i="25"/>
  <c r="AU25" i="25"/>
  <c r="AU24" i="25"/>
  <c r="AU23" i="25"/>
  <c r="AU22" i="25"/>
  <c r="AU21" i="25"/>
  <c r="AU20" i="25"/>
  <c r="AU19" i="25"/>
  <c r="AU18" i="25"/>
  <c r="AU17" i="25"/>
  <c r="AU16" i="25"/>
  <c r="AU15" i="25"/>
  <c r="AU14" i="25"/>
  <c r="AU13" i="25"/>
  <c r="AU12" i="25"/>
  <c r="AU11" i="25"/>
  <c r="F8" i="24"/>
  <c r="G8" i="24"/>
  <c r="H8" i="24"/>
  <c r="I8" i="24"/>
  <c r="J8" i="24"/>
  <c r="K8" i="24"/>
  <c r="L8" i="24"/>
  <c r="M8" i="24"/>
  <c r="N8" i="24"/>
  <c r="O8" i="24"/>
  <c r="P8" i="24"/>
  <c r="Q8" i="24"/>
  <c r="R8" i="24"/>
  <c r="S8" i="24"/>
  <c r="T8" i="24"/>
  <c r="U8" i="24"/>
  <c r="V8" i="24"/>
  <c r="W8" i="24"/>
  <c r="X8" i="24"/>
  <c r="Y8" i="24"/>
  <c r="Z8" i="24"/>
  <c r="AA8" i="24"/>
  <c r="AB8" i="24"/>
  <c r="AC8" i="24"/>
  <c r="AD8" i="24"/>
  <c r="AE8" i="24"/>
  <c r="AF8" i="24"/>
  <c r="AG8" i="24"/>
  <c r="AH8" i="24"/>
  <c r="AI8" i="24"/>
  <c r="AJ8" i="24"/>
  <c r="AK8" i="24"/>
  <c r="AL8" i="24"/>
  <c r="AM8" i="24"/>
  <c r="AN8" i="24"/>
  <c r="AO8" i="24"/>
  <c r="AP8" i="24"/>
  <c r="AQ8" i="24"/>
  <c r="AR8" i="24"/>
  <c r="E8" i="24"/>
  <c r="F6" i="25"/>
  <c r="G6" i="25"/>
  <c r="H6" i="25"/>
  <c r="I6" i="25"/>
  <c r="J6" i="25"/>
  <c r="K6" i="25"/>
  <c r="L6" i="25"/>
  <c r="M6" i="25"/>
  <c r="N6" i="25"/>
  <c r="O6" i="25"/>
  <c r="P6" i="25"/>
  <c r="Q6" i="25"/>
  <c r="R6" i="25"/>
  <c r="S6" i="25"/>
  <c r="T6" i="25"/>
  <c r="U6" i="25"/>
  <c r="V6" i="25"/>
  <c r="W6" i="25"/>
  <c r="X6" i="25"/>
  <c r="Y6" i="25"/>
  <c r="Z6" i="25"/>
  <c r="AA6" i="25"/>
  <c r="AB6" i="25"/>
  <c r="AC6" i="25"/>
  <c r="AD6" i="25"/>
  <c r="AE6" i="25"/>
  <c r="AF6" i="25"/>
  <c r="AG6" i="25"/>
  <c r="AH6" i="25"/>
  <c r="AI6" i="25"/>
  <c r="AJ6" i="25"/>
  <c r="AK6" i="25"/>
  <c r="AL6" i="25"/>
  <c r="AM6" i="25"/>
  <c r="AN6" i="25"/>
  <c r="AO6" i="25"/>
  <c r="AP6" i="25"/>
  <c r="AQ6" i="25"/>
  <c r="AR6" i="25"/>
  <c r="D5" i="25"/>
  <c r="D6" i="3"/>
  <c r="BD5" i="24"/>
  <c r="BE5" i="24"/>
  <c r="BF5" i="24"/>
  <c r="BG5" i="24"/>
  <c r="BH5" i="24"/>
  <c r="BI5" i="24"/>
  <c r="BJ5" i="24"/>
  <c r="BK5" i="24"/>
  <c r="BL5" i="24"/>
  <c r="BM5" i="24"/>
  <c r="BN5" i="24"/>
  <c r="BO5" i="24"/>
  <c r="BP5" i="24"/>
  <c r="BQ5" i="24"/>
  <c r="BR5" i="24"/>
  <c r="BS5" i="24"/>
  <c r="BT5" i="24"/>
  <c r="BU5" i="24"/>
  <c r="BV5" i="24"/>
  <c r="BW5" i="24"/>
  <c r="BX5" i="24"/>
  <c r="BY5" i="24"/>
  <c r="BZ5" i="24"/>
  <c r="CA5" i="24"/>
  <c r="CB5" i="24"/>
  <c r="CC5" i="24"/>
  <c r="CD5" i="24"/>
  <c r="CE5" i="24"/>
  <c r="CF5" i="24"/>
  <c r="CG5" i="24"/>
  <c r="CH5" i="24"/>
  <c r="CI5" i="24"/>
  <c r="CJ5" i="24"/>
  <c r="CK5" i="24"/>
  <c r="CL5" i="24"/>
  <c r="CM5" i="24"/>
  <c r="CN5" i="24"/>
  <c r="CO5" i="24"/>
  <c r="CP5" i="24"/>
  <c r="CQ5" i="24"/>
  <c r="CR5" i="24"/>
  <c r="CS5" i="24"/>
  <c r="CT5" i="24"/>
  <c r="CU5" i="24"/>
  <c r="CV5" i="24"/>
  <c r="CV3" i="24"/>
  <c r="CU3" i="24"/>
  <c r="CT3" i="24"/>
  <c r="CS3" i="24"/>
  <c r="CR3" i="24"/>
  <c r="CQ3" i="24"/>
  <c r="CP3" i="24"/>
  <c r="CO3" i="24"/>
  <c r="CN3" i="24"/>
  <c r="CM3" i="24"/>
  <c r="CL3" i="24"/>
  <c r="CK3" i="24"/>
  <c r="CJ3" i="24"/>
  <c r="CI3" i="24"/>
  <c r="CH3" i="24"/>
  <c r="CG3" i="24"/>
  <c r="CF3" i="24"/>
  <c r="CE3" i="24"/>
  <c r="CD3" i="24"/>
  <c r="CC3" i="24"/>
  <c r="CB3" i="24"/>
  <c r="CA3" i="24"/>
  <c r="BZ3" i="24"/>
  <c r="BY3" i="24"/>
  <c r="BX3" i="24"/>
  <c r="BW3" i="24"/>
  <c r="BV3" i="24"/>
  <c r="BU3" i="24"/>
  <c r="BT3" i="24"/>
  <c r="BS3" i="24"/>
  <c r="BR3" i="24"/>
  <c r="BQ3" i="24"/>
  <c r="BP3" i="24"/>
  <c r="BO3" i="24"/>
  <c r="BN3" i="24"/>
  <c r="BM3" i="24"/>
  <c r="BL3" i="24"/>
  <c r="BK3" i="24"/>
  <c r="BJ3" i="24"/>
  <c r="BI3" i="24"/>
  <c r="BH3" i="24"/>
  <c r="BG3" i="24"/>
  <c r="BF3" i="24"/>
  <c r="BE3" i="24"/>
  <c r="BD3" i="24"/>
  <c r="BC3" i="24"/>
  <c r="AX3" i="24"/>
  <c r="AW3" i="24"/>
  <c r="AV3" i="24"/>
  <c r="AU3" i="24"/>
  <c r="AT3" i="24"/>
  <c r="AS3" i="24"/>
  <c r="AR3" i="24"/>
  <c r="AQ3" i="24"/>
  <c r="AP3" i="24"/>
  <c r="AO3" i="24"/>
  <c r="AN3" i="24"/>
  <c r="AM3" i="24"/>
  <c r="AL3" i="24"/>
  <c r="AK3" i="24"/>
  <c r="AJ3" i="24"/>
  <c r="AI3" i="24"/>
  <c r="AH3" i="24"/>
  <c r="AG3" i="24"/>
  <c r="AF3" i="24"/>
  <c r="AE3" i="24"/>
  <c r="AD3" i="24"/>
  <c r="AC3" i="24"/>
  <c r="AB3" i="24"/>
  <c r="AA3" i="24"/>
  <c r="Z3" i="24"/>
  <c r="Y3" i="24"/>
  <c r="X3" i="24"/>
  <c r="W3" i="24"/>
  <c r="V3" i="24"/>
  <c r="U3" i="24"/>
  <c r="T3" i="24"/>
  <c r="S3" i="24"/>
  <c r="R3" i="24"/>
  <c r="Q3" i="24"/>
  <c r="P3" i="24"/>
  <c r="O3" i="24"/>
  <c r="N3" i="24"/>
  <c r="M3" i="24"/>
  <c r="L3" i="24"/>
  <c r="K3" i="24"/>
  <c r="J3" i="24"/>
  <c r="I3" i="24"/>
  <c r="H3" i="24"/>
  <c r="G3" i="24"/>
  <c r="F3" i="24"/>
  <c r="E3" i="24"/>
  <c r="BM15" i="13"/>
  <c r="BN15" i="13"/>
  <c r="BR15" i="13"/>
  <c r="U15" i="16"/>
  <c r="U16" i="16"/>
  <c r="U17" i="16"/>
  <c r="U18" i="16"/>
  <c r="U19" i="16"/>
  <c r="BM17" i="13"/>
  <c r="BN17" i="13"/>
  <c r="BM20" i="13"/>
  <c r="BN20" i="13"/>
  <c r="BB32" i="15"/>
  <c r="B12" i="23"/>
  <c r="BM16" i="12"/>
  <c r="BN16" i="12"/>
  <c r="BM38" i="12"/>
  <c r="BN38" i="12"/>
  <c r="BM35" i="12"/>
  <c r="BN35" i="12"/>
  <c r="BM17" i="12"/>
  <c r="BN17" i="12"/>
  <c r="BM18" i="12"/>
  <c r="BN18" i="12"/>
  <c r="BM19" i="12"/>
  <c r="BN19" i="12"/>
  <c r="BM30" i="12"/>
  <c r="BN30" i="12"/>
  <c r="BM31" i="12"/>
  <c r="BN31" i="12"/>
  <c r="BM34" i="12"/>
  <c r="BN34" i="12"/>
  <c r="BM36" i="12"/>
  <c r="BN36" i="12"/>
  <c r="BM37" i="12"/>
  <c r="BN37" i="12"/>
  <c r="BM20" i="12"/>
  <c r="BN20" i="12"/>
  <c r="BM22" i="12"/>
  <c r="BN22" i="12"/>
  <c r="BM21" i="12"/>
  <c r="BN21" i="12"/>
  <c r="BM24" i="12"/>
  <c r="BN24" i="12"/>
  <c r="BM32" i="12"/>
  <c r="BN32" i="12"/>
  <c r="BM33" i="12"/>
  <c r="BN33" i="12"/>
  <c r="BM25" i="12"/>
  <c r="BN25" i="12"/>
  <c r="BM26" i="12"/>
  <c r="BN26" i="12"/>
  <c r="BM27" i="12"/>
  <c r="BN27" i="12"/>
  <c r="BM28" i="12"/>
  <c r="BN28" i="12"/>
  <c r="BM29" i="12"/>
  <c r="BN29" i="12"/>
  <c r="BM34" i="13"/>
  <c r="BN34" i="13"/>
  <c r="BM13" i="13"/>
  <c r="BN13" i="13"/>
  <c r="BM18" i="13"/>
  <c r="BN18" i="13"/>
  <c r="BM16" i="13"/>
  <c r="BN16" i="13"/>
  <c r="BM22" i="13"/>
  <c r="BN22" i="13"/>
  <c r="BM23" i="13"/>
  <c r="BN23" i="13"/>
  <c r="BM26" i="13"/>
  <c r="BN26" i="13"/>
  <c r="BM24" i="13"/>
  <c r="BN24" i="13"/>
  <c r="BM25" i="13"/>
  <c r="BN25" i="13"/>
  <c r="BM28" i="13"/>
  <c r="BN28" i="13"/>
  <c r="BM27" i="13"/>
  <c r="BN27" i="13"/>
  <c r="BM29" i="13"/>
  <c r="BN29" i="13"/>
  <c r="BM30" i="13"/>
  <c r="BN30" i="13"/>
  <c r="BM31" i="13"/>
  <c r="BN31" i="13"/>
  <c r="BM43" i="13"/>
  <c r="BN43" i="13"/>
  <c r="BM45" i="13"/>
  <c r="BN45" i="13"/>
  <c r="BM35" i="13"/>
  <c r="BN35" i="13"/>
  <c r="BM36" i="13"/>
  <c r="BN36" i="13"/>
  <c r="BM44" i="13"/>
  <c r="BN44" i="13"/>
  <c r="BM37" i="13"/>
  <c r="BN37" i="13"/>
  <c r="C5" i="23"/>
  <c r="AS12" i="23"/>
  <c r="B13" i="23"/>
  <c r="AS13" i="23"/>
  <c r="B14" i="23"/>
  <c r="AS14" i="23"/>
  <c r="B15" i="23"/>
  <c r="AS15" i="23"/>
  <c r="B16" i="23"/>
  <c r="AS16" i="23"/>
  <c r="B17" i="23"/>
  <c r="AS17" i="23"/>
  <c r="B18" i="23"/>
  <c r="AS18" i="23"/>
  <c r="B19" i="23"/>
  <c r="AS19" i="23"/>
  <c r="B20" i="23"/>
  <c r="AS20" i="23"/>
  <c r="B21" i="23"/>
  <c r="AS21" i="23"/>
  <c r="B22" i="23"/>
  <c r="AS22" i="23"/>
  <c r="B23" i="23"/>
  <c r="AS23" i="23"/>
  <c r="B24" i="23"/>
  <c r="AS24" i="23"/>
  <c r="B25" i="23"/>
  <c r="AS25" i="23"/>
  <c r="B26" i="23"/>
  <c r="AS26" i="23"/>
  <c r="B27" i="23"/>
  <c r="AS27" i="23"/>
  <c r="AT11" i="23"/>
  <c r="AT12" i="23"/>
  <c r="AT13" i="23"/>
  <c r="AT14" i="23"/>
  <c r="AT15" i="23"/>
  <c r="AT16" i="23"/>
  <c r="AT17" i="23"/>
  <c r="AT18" i="23"/>
  <c r="AT19" i="23"/>
  <c r="AT20" i="23"/>
  <c r="AT21" i="23"/>
  <c r="AT22" i="23"/>
  <c r="AT23" i="23"/>
  <c r="AT24" i="23"/>
  <c r="AT25" i="23"/>
  <c r="AT26" i="23"/>
  <c r="AT27" i="23"/>
  <c r="AT28" i="23"/>
  <c r="AT29" i="23"/>
  <c r="AT30" i="23"/>
  <c r="AT31" i="23"/>
  <c r="AT32" i="23"/>
  <c r="AT33" i="23"/>
  <c r="AT34" i="23"/>
  <c r="AT35" i="23"/>
  <c r="AT36" i="23"/>
  <c r="AT37" i="23"/>
  <c r="AT38" i="23"/>
  <c r="AT39" i="23"/>
  <c r="AT40" i="23"/>
  <c r="AT41" i="23"/>
  <c r="AT42" i="23"/>
  <c r="AT43" i="23"/>
  <c r="AT44" i="23"/>
  <c r="AT45" i="23"/>
  <c r="AT46" i="23"/>
  <c r="AT47" i="23"/>
  <c r="AT48" i="23"/>
  <c r="AT49" i="23"/>
  <c r="AT50" i="23"/>
  <c r="AT51" i="23"/>
  <c r="AT52" i="23"/>
  <c r="AT53" i="23"/>
  <c r="AT54" i="23"/>
  <c r="AT55" i="23"/>
  <c r="AT56" i="23"/>
  <c r="AT7" i="23"/>
  <c r="AU11" i="23"/>
  <c r="AU12" i="23"/>
  <c r="AU13" i="23"/>
  <c r="AU14" i="23"/>
  <c r="AU15" i="23"/>
  <c r="AU16" i="23"/>
  <c r="AU17" i="23"/>
  <c r="AU18" i="23"/>
  <c r="AU19" i="23"/>
  <c r="AU20" i="23"/>
  <c r="AU21" i="23"/>
  <c r="AU22" i="23"/>
  <c r="AU23" i="23"/>
  <c r="AU24" i="23"/>
  <c r="AU25" i="23"/>
  <c r="AU26" i="23"/>
  <c r="AU27" i="23"/>
  <c r="AU28" i="23"/>
  <c r="AU29" i="23"/>
  <c r="AU30" i="23"/>
  <c r="AU31" i="23"/>
  <c r="AU32" i="23"/>
  <c r="AU33" i="23"/>
  <c r="AU34" i="23"/>
  <c r="AU35" i="23"/>
  <c r="AU36" i="23"/>
  <c r="AU37" i="23"/>
  <c r="AU38" i="23"/>
  <c r="AU39" i="23"/>
  <c r="AU40" i="23"/>
  <c r="AU41" i="23"/>
  <c r="AU42" i="23"/>
  <c r="AU43" i="23"/>
  <c r="AU44" i="23"/>
  <c r="AU45" i="23"/>
  <c r="AU46" i="23"/>
  <c r="AU47" i="23"/>
  <c r="AU48" i="23"/>
  <c r="AU49" i="23"/>
  <c r="AU50" i="23"/>
  <c r="AU51" i="23"/>
  <c r="AU52" i="23"/>
  <c r="AU53" i="23"/>
  <c r="AU54" i="23"/>
  <c r="AU55" i="23"/>
  <c r="AU56" i="23"/>
  <c r="AU7" i="23"/>
  <c r="AV11" i="23"/>
  <c r="AV12" i="23"/>
  <c r="AV13" i="23"/>
  <c r="AV14" i="23"/>
  <c r="AV15" i="23"/>
  <c r="AV16" i="23"/>
  <c r="AV17" i="23"/>
  <c r="AV18" i="23"/>
  <c r="AV19" i="23"/>
  <c r="AV20" i="23"/>
  <c r="AV21" i="23"/>
  <c r="AV22" i="23"/>
  <c r="AV23" i="23"/>
  <c r="AV24" i="23"/>
  <c r="AV25" i="23"/>
  <c r="AV26" i="23"/>
  <c r="AV27" i="23"/>
  <c r="AV28" i="23"/>
  <c r="AV29" i="23"/>
  <c r="AV30" i="23"/>
  <c r="AV31" i="23"/>
  <c r="AV32" i="23"/>
  <c r="AV33" i="23"/>
  <c r="AV34" i="23"/>
  <c r="AV35" i="23"/>
  <c r="AV36" i="23"/>
  <c r="AV37" i="23"/>
  <c r="AV38" i="23"/>
  <c r="AV39" i="23"/>
  <c r="AV40" i="23"/>
  <c r="AV41" i="23"/>
  <c r="AV42" i="23"/>
  <c r="AV43" i="23"/>
  <c r="AV44" i="23"/>
  <c r="AV45" i="23"/>
  <c r="AV46" i="23"/>
  <c r="AV47" i="23"/>
  <c r="AV48" i="23"/>
  <c r="AV49" i="23"/>
  <c r="AV50" i="23"/>
  <c r="AV51" i="23"/>
  <c r="AV52" i="23"/>
  <c r="AV53" i="23"/>
  <c r="AV54" i="23"/>
  <c r="AV55" i="23"/>
  <c r="AV56" i="23"/>
  <c r="AV7" i="23"/>
  <c r="AW11" i="23"/>
  <c r="AW12" i="23"/>
  <c r="AW13" i="23"/>
  <c r="AW14" i="23"/>
  <c r="AW15" i="23"/>
  <c r="AW16" i="23"/>
  <c r="AW17" i="23"/>
  <c r="AW18" i="23"/>
  <c r="AW19" i="23"/>
  <c r="AW20" i="23"/>
  <c r="AW21" i="23"/>
  <c r="AW22" i="23"/>
  <c r="AW23" i="23"/>
  <c r="AW24" i="23"/>
  <c r="AW25" i="23"/>
  <c r="AW26" i="23"/>
  <c r="AW27" i="23"/>
  <c r="AW28" i="23"/>
  <c r="AW29" i="23"/>
  <c r="AW30" i="23"/>
  <c r="AW31" i="23"/>
  <c r="AW32" i="23"/>
  <c r="AW33" i="23"/>
  <c r="AW34" i="23"/>
  <c r="AW35" i="23"/>
  <c r="AW36" i="23"/>
  <c r="AW37" i="23"/>
  <c r="AW38" i="23"/>
  <c r="AW39" i="23"/>
  <c r="AW40" i="23"/>
  <c r="AW41" i="23"/>
  <c r="AW42" i="23"/>
  <c r="AW43" i="23"/>
  <c r="AW44" i="23"/>
  <c r="AW45" i="23"/>
  <c r="AW46" i="23"/>
  <c r="AW47" i="23"/>
  <c r="AW48" i="23"/>
  <c r="AW49" i="23"/>
  <c r="AW50" i="23"/>
  <c r="AW51" i="23"/>
  <c r="AW52" i="23"/>
  <c r="AW53" i="23"/>
  <c r="AW54" i="23"/>
  <c r="AW55" i="23"/>
  <c r="AW56" i="23"/>
  <c r="AW7" i="23"/>
  <c r="AX11" i="23"/>
  <c r="AX12" i="23"/>
  <c r="AX13" i="23"/>
  <c r="AX14" i="23"/>
  <c r="AX15" i="23"/>
  <c r="AX16" i="23"/>
  <c r="AX17" i="23"/>
  <c r="AX18" i="23"/>
  <c r="AX19" i="23"/>
  <c r="AX20" i="23"/>
  <c r="AX21" i="23"/>
  <c r="AX22" i="23"/>
  <c r="AX23" i="23"/>
  <c r="AX24" i="23"/>
  <c r="AX25" i="23"/>
  <c r="AX26" i="23"/>
  <c r="AX27" i="23"/>
  <c r="AX28" i="23"/>
  <c r="AX29" i="23"/>
  <c r="AX30" i="23"/>
  <c r="AX31" i="23"/>
  <c r="AX32" i="23"/>
  <c r="AX33" i="23"/>
  <c r="AX34" i="23"/>
  <c r="AX35" i="23"/>
  <c r="AX36" i="23"/>
  <c r="AX37" i="23"/>
  <c r="AX38" i="23"/>
  <c r="AX39" i="23"/>
  <c r="AX40" i="23"/>
  <c r="AX41" i="23"/>
  <c r="AX42" i="23"/>
  <c r="AX43" i="23"/>
  <c r="AX44" i="23"/>
  <c r="AX45" i="23"/>
  <c r="AX46" i="23"/>
  <c r="AX47" i="23"/>
  <c r="AX48" i="23"/>
  <c r="AX49" i="23"/>
  <c r="AX50" i="23"/>
  <c r="AX51" i="23"/>
  <c r="AX52" i="23"/>
  <c r="AX53" i="23"/>
  <c r="AX54" i="23"/>
  <c r="AX55" i="23"/>
  <c r="AX56" i="23"/>
  <c r="AX7" i="23"/>
  <c r="AY11" i="23"/>
  <c r="AY12" i="23"/>
  <c r="AY13" i="23"/>
  <c r="AY14" i="23"/>
  <c r="AY15" i="23"/>
  <c r="AY16" i="23"/>
  <c r="AY17" i="23"/>
  <c r="AY18" i="23"/>
  <c r="AY19" i="23"/>
  <c r="AY20" i="23"/>
  <c r="AY21" i="23"/>
  <c r="AY22" i="23"/>
  <c r="AY23" i="23"/>
  <c r="AY24" i="23"/>
  <c r="AY25" i="23"/>
  <c r="AY26" i="23"/>
  <c r="AY27" i="23"/>
  <c r="AY28" i="23"/>
  <c r="AY29" i="23"/>
  <c r="AY30" i="23"/>
  <c r="AY31" i="23"/>
  <c r="AY32" i="23"/>
  <c r="AY33" i="23"/>
  <c r="AY34" i="23"/>
  <c r="AY35" i="23"/>
  <c r="AY36" i="23"/>
  <c r="AY37" i="23"/>
  <c r="AY38" i="23"/>
  <c r="AY39" i="23"/>
  <c r="AY40" i="23"/>
  <c r="AY41" i="23"/>
  <c r="AY42" i="23"/>
  <c r="AY43" i="23"/>
  <c r="AY44" i="23"/>
  <c r="AY45" i="23"/>
  <c r="AY46" i="23"/>
  <c r="AY47" i="23"/>
  <c r="AY48" i="23"/>
  <c r="AY49" i="23"/>
  <c r="AY50" i="23"/>
  <c r="AY51" i="23"/>
  <c r="AY52" i="23"/>
  <c r="AY53" i="23"/>
  <c r="AY54" i="23"/>
  <c r="AY55" i="23"/>
  <c r="AY56" i="23"/>
  <c r="AY7" i="23"/>
  <c r="AZ11" i="23"/>
  <c r="AZ12" i="23"/>
  <c r="AZ13" i="23"/>
  <c r="AZ14" i="23"/>
  <c r="AZ15" i="23"/>
  <c r="AZ16" i="23"/>
  <c r="AZ17" i="23"/>
  <c r="AZ18" i="23"/>
  <c r="AZ19" i="23"/>
  <c r="AZ20" i="23"/>
  <c r="AZ21" i="23"/>
  <c r="AZ22" i="23"/>
  <c r="AZ23" i="23"/>
  <c r="AZ24" i="23"/>
  <c r="AZ25" i="23"/>
  <c r="AZ26" i="23"/>
  <c r="AZ27" i="23"/>
  <c r="AZ28" i="23"/>
  <c r="AZ29" i="23"/>
  <c r="AZ30" i="23"/>
  <c r="AZ31" i="23"/>
  <c r="AZ32" i="23"/>
  <c r="AZ33" i="23"/>
  <c r="AZ34" i="23"/>
  <c r="AZ35" i="23"/>
  <c r="AZ36" i="23"/>
  <c r="AZ37" i="23"/>
  <c r="AZ38" i="23"/>
  <c r="AZ39" i="23"/>
  <c r="AZ40" i="23"/>
  <c r="AZ41" i="23"/>
  <c r="AZ42" i="23"/>
  <c r="AZ43" i="23"/>
  <c r="AZ44" i="23"/>
  <c r="AZ45" i="23"/>
  <c r="AZ46" i="23"/>
  <c r="AZ47" i="23"/>
  <c r="AZ48" i="23"/>
  <c r="AZ49" i="23"/>
  <c r="AZ50" i="23"/>
  <c r="AZ51" i="23"/>
  <c r="AZ52" i="23"/>
  <c r="AZ53" i="23"/>
  <c r="AZ54" i="23"/>
  <c r="AZ55" i="23"/>
  <c r="AZ56" i="23"/>
  <c r="AZ7" i="23"/>
  <c r="BA11" i="23"/>
  <c r="BA12" i="23"/>
  <c r="BA13" i="23"/>
  <c r="BA14" i="23"/>
  <c r="BA15" i="23"/>
  <c r="BA16" i="23"/>
  <c r="BA17" i="23"/>
  <c r="BA18" i="23"/>
  <c r="BA19" i="23"/>
  <c r="BA20" i="23"/>
  <c r="BA21" i="23"/>
  <c r="BA22" i="23"/>
  <c r="BA23" i="23"/>
  <c r="BA24" i="23"/>
  <c r="BA25" i="23"/>
  <c r="BA26" i="23"/>
  <c r="BA27" i="23"/>
  <c r="BA28" i="23"/>
  <c r="BA29" i="23"/>
  <c r="BA30" i="23"/>
  <c r="BA31" i="23"/>
  <c r="BA32" i="23"/>
  <c r="BA33" i="23"/>
  <c r="BA34" i="23"/>
  <c r="BA35" i="23"/>
  <c r="BA36" i="23"/>
  <c r="BA37" i="23"/>
  <c r="BA38" i="23"/>
  <c r="BA39" i="23"/>
  <c r="BA40" i="23"/>
  <c r="BA41" i="23"/>
  <c r="BA42" i="23"/>
  <c r="BA43" i="23"/>
  <c r="BA44" i="23"/>
  <c r="BA45" i="23"/>
  <c r="BA46" i="23"/>
  <c r="BA47" i="23"/>
  <c r="BA48" i="23"/>
  <c r="BA49" i="23"/>
  <c r="BA50" i="23"/>
  <c r="BA51" i="23"/>
  <c r="BA52" i="23"/>
  <c r="BA53" i="23"/>
  <c r="BA54" i="23"/>
  <c r="BA55" i="23"/>
  <c r="BA56" i="23"/>
  <c r="BA7" i="23"/>
  <c r="BB11" i="23"/>
  <c r="BB12" i="23"/>
  <c r="BB13" i="23"/>
  <c r="BB14" i="23"/>
  <c r="BB15" i="23"/>
  <c r="BB16" i="23"/>
  <c r="BB17" i="23"/>
  <c r="BB18" i="23"/>
  <c r="BB19" i="23"/>
  <c r="BB20" i="23"/>
  <c r="BB21" i="23"/>
  <c r="BB22" i="23"/>
  <c r="BB23" i="23"/>
  <c r="BB24" i="23"/>
  <c r="BB25" i="23"/>
  <c r="BB26" i="23"/>
  <c r="BB27" i="23"/>
  <c r="BB28" i="23"/>
  <c r="BB29" i="23"/>
  <c r="BB30" i="23"/>
  <c r="BB31" i="23"/>
  <c r="BB32" i="23"/>
  <c r="BB33" i="23"/>
  <c r="BB34" i="23"/>
  <c r="BB35" i="23"/>
  <c r="BB36" i="23"/>
  <c r="BB37" i="23"/>
  <c r="BB38" i="23"/>
  <c r="BB39" i="23"/>
  <c r="BB40" i="23"/>
  <c r="BB41" i="23"/>
  <c r="BB42" i="23"/>
  <c r="BB43" i="23"/>
  <c r="BB44" i="23"/>
  <c r="BB45" i="23"/>
  <c r="BB46" i="23"/>
  <c r="BB47" i="23"/>
  <c r="BB48" i="23"/>
  <c r="BB49" i="23"/>
  <c r="BB50" i="23"/>
  <c r="BB51" i="23"/>
  <c r="BB52" i="23"/>
  <c r="BB53" i="23"/>
  <c r="BB54" i="23"/>
  <c r="BB55" i="23"/>
  <c r="BB56" i="23"/>
  <c r="BB7" i="23"/>
  <c r="BC11" i="23"/>
  <c r="BC12" i="23"/>
  <c r="BC13" i="23"/>
  <c r="BC14" i="23"/>
  <c r="BC15" i="23"/>
  <c r="BC16" i="23"/>
  <c r="BC17" i="23"/>
  <c r="BC18" i="23"/>
  <c r="BC19" i="23"/>
  <c r="BC20" i="23"/>
  <c r="BC21" i="23"/>
  <c r="BC22" i="23"/>
  <c r="BC23" i="23"/>
  <c r="BC24" i="23"/>
  <c r="BC25" i="23"/>
  <c r="BC26" i="23"/>
  <c r="BC27" i="23"/>
  <c r="BC28" i="23"/>
  <c r="BC29" i="23"/>
  <c r="BC30" i="23"/>
  <c r="BC31" i="23"/>
  <c r="BC32" i="23"/>
  <c r="BC33" i="23"/>
  <c r="BC34" i="23"/>
  <c r="BC35" i="23"/>
  <c r="BC36" i="23"/>
  <c r="BC37" i="23"/>
  <c r="BC38" i="23"/>
  <c r="BC39" i="23"/>
  <c r="BC40" i="23"/>
  <c r="BC41" i="23"/>
  <c r="BC42" i="23"/>
  <c r="BC43" i="23"/>
  <c r="BC44" i="23"/>
  <c r="BC45" i="23"/>
  <c r="BC46" i="23"/>
  <c r="BC47" i="23"/>
  <c r="BC48" i="23"/>
  <c r="BC49" i="23"/>
  <c r="BC50" i="23"/>
  <c r="BC51" i="23"/>
  <c r="BC52" i="23"/>
  <c r="BC53" i="23"/>
  <c r="BC54" i="23"/>
  <c r="BC55" i="23"/>
  <c r="BC56" i="23"/>
  <c r="BC7" i="23"/>
  <c r="BD11" i="23"/>
  <c r="BD12" i="23"/>
  <c r="BD13" i="23"/>
  <c r="BD14" i="23"/>
  <c r="BD15" i="23"/>
  <c r="BD16" i="23"/>
  <c r="BD17" i="23"/>
  <c r="BD18" i="23"/>
  <c r="BD19" i="23"/>
  <c r="BD20" i="23"/>
  <c r="BD21" i="23"/>
  <c r="BD22" i="23"/>
  <c r="BD23" i="23"/>
  <c r="BD24" i="23"/>
  <c r="BD25" i="23"/>
  <c r="BD26" i="23"/>
  <c r="BD27" i="23"/>
  <c r="BD28" i="23"/>
  <c r="BD29" i="23"/>
  <c r="BD30" i="23"/>
  <c r="BD31" i="23"/>
  <c r="BD32" i="23"/>
  <c r="BD33" i="23"/>
  <c r="BD34" i="23"/>
  <c r="BD35" i="23"/>
  <c r="BD36" i="23"/>
  <c r="BD37" i="23"/>
  <c r="BD38" i="23"/>
  <c r="BD39" i="23"/>
  <c r="BD40" i="23"/>
  <c r="BD41" i="23"/>
  <c r="BD42" i="23"/>
  <c r="BD43" i="23"/>
  <c r="BD44" i="23"/>
  <c r="BD45" i="23"/>
  <c r="BD46" i="23"/>
  <c r="BD47" i="23"/>
  <c r="BD48" i="23"/>
  <c r="BD49" i="23"/>
  <c r="BD50" i="23"/>
  <c r="BD51" i="23"/>
  <c r="BD52" i="23"/>
  <c r="BD53" i="23"/>
  <c r="BD54" i="23"/>
  <c r="BD55" i="23"/>
  <c r="BD56" i="23"/>
  <c r="BD7" i="23"/>
  <c r="BE11" i="23"/>
  <c r="BE12" i="23"/>
  <c r="BE13" i="23"/>
  <c r="BE14" i="23"/>
  <c r="BE15" i="23"/>
  <c r="BE16" i="23"/>
  <c r="BE17" i="23"/>
  <c r="BE18" i="23"/>
  <c r="BE19" i="23"/>
  <c r="BE20" i="23"/>
  <c r="BE21" i="23"/>
  <c r="BE22" i="23"/>
  <c r="BE23" i="23"/>
  <c r="BE24" i="23"/>
  <c r="BE25" i="23"/>
  <c r="BE26" i="23"/>
  <c r="BE27" i="23"/>
  <c r="BE28" i="23"/>
  <c r="BE29" i="23"/>
  <c r="BE30" i="23"/>
  <c r="BE31" i="23"/>
  <c r="BE32" i="23"/>
  <c r="BE33" i="23"/>
  <c r="BE34" i="23"/>
  <c r="BE35" i="23"/>
  <c r="BE36" i="23"/>
  <c r="BE37" i="23"/>
  <c r="BE38" i="23"/>
  <c r="BE39" i="23"/>
  <c r="BE40" i="23"/>
  <c r="BE41" i="23"/>
  <c r="BE42" i="23"/>
  <c r="BE43" i="23"/>
  <c r="BE44" i="23"/>
  <c r="BE45" i="23"/>
  <c r="BE46" i="23"/>
  <c r="BE47" i="23"/>
  <c r="BE48" i="23"/>
  <c r="BE49" i="23"/>
  <c r="BE50" i="23"/>
  <c r="BE51" i="23"/>
  <c r="BE52" i="23"/>
  <c r="BE53" i="23"/>
  <c r="BE54" i="23"/>
  <c r="BE55" i="23"/>
  <c r="BE56" i="23"/>
  <c r="BE7" i="23"/>
  <c r="BF11" i="23"/>
  <c r="BF12" i="23"/>
  <c r="BF13" i="23"/>
  <c r="BF14" i="23"/>
  <c r="BF15" i="23"/>
  <c r="BF16" i="23"/>
  <c r="BF17" i="23"/>
  <c r="BF18" i="23"/>
  <c r="BF19" i="23"/>
  <c r="BF20" i="23"/>
  <c r="BF21" i="23"/>
  <c r="BF22" i="23"/>
  <c r="BF23" i="23"/>
  <c r="BF24" i="23"/>
  <c r="BF25" i="23"/>
  <c r="BF26" i="23"/>
  <c r="BF27" i="23"/>
  <c r="BF28" i="23"/>
  <c r="BF29" i="23"/>
  <c r="BF30" i="23"/>
  <c r="BF31" i="23"/>
  <c r="BF32" i="23"/>
  <c r="BF33" i="23"/>
  <c r="BF34" i="23"/>
  <c r="BF35" i="23"/>
  <c r="BF36" i="23"/>
  <c r="BF37" i="23"/>
  <c r="BF38" i="23"/>
  <c r="BF39" i="23"/>
  <c r="BF40" i="23"/>
  <c r="BF41" i="23"/>
  <c r="BF42" i="23"/>
  <c r="BF43" i="23"/>
  <c r="BF44" i="23"/>
  <c r="BF45" i="23"/>
  <c r="BF46" i="23"/>
  <c r="BF47" i="23"/>
  <c r="BF48" i="23"/>
  <c r="BF49" i="23"/>
  <c r="BF50" i="23"/>
  <c r="BF51" i="23"/>
  <c r="BF52" i="23"/>
  <c r="BF53" i="23"/>
  <c r="BF54" i="23"/>
  <c r="BF55" i="23"/>
  <c r="BF56" i="23"/>
  <c r="BF7" i="23"/>
  <c r="BG11" i="23"/>
  <c r="BG12" i="23"/>
  <c r="BG13" i="23"/>
  <c r="BG14" i="23"/>
  <c r="BG15" i="23"/>
  <c r="BG16" i="23"/>
  <c r="BG17" i="23"/>
  <c r="BG18" i="23"/>
  <c r="BG19" i="23"/>
  <c r="BG20" i="23"/>
  <c r="BG21" i="23"/>
  <c r="BG22" i="23"/>
  <c r="BG23" i="23"/>
  <c r="BG24" i="23"/>
  <c r="BG25" i="23"/>
  <c r="BG26" i="23"/>
  <c r="BG27" i="23"/>
  <c r="BG28" i="23"/>
  <c r="BG29" i="23"/>
  <c r="BG30" i="23"/>
  <c r="BG31" i="23"/>
  <c r="BG32" i="23"/>
  <c r="BG33" i="23"/>
  <c r="BG34" i="23"/>
  <c r="BG35" i="23"/>
  <c r="BG36" i="23"/>
  <c r="BG37" i="23"/>
  <c r="BG38" i="23"/>
  <c r="BG39" i="23"/>
  <c r="BG40" i="23"/>
  <c r="BG41" i="23"/>
  <c r="BG42" i="23"/>
  <c r="BG43" i="23"/>
  <c r="BG44" i="23"/>
  <c r="BG45" i="23"/>
  <c r="BG46" i="23"/>
  <c r="BG47" i="23"/>
  <c r="BG48" i="23"/>
  <c r="BG49" i="23"/>
  <c r="BG50" i="23"/>
  <c r="BG51" i="23"/>
  <c r="BG52" i="23"/>
  <c r="BG53" i="23"/>
  <c r="BG54" i="23"/>
  <c r="BG55" i="23"/>
  <c r="BG56" i="23"/>
  <c r="BG7" i="23"/>
  <c r="BH11" i="23"/>
  <c r="BH12" i="23"/>
  <c r="BH13" i="23"/>
  <c r="BH14" i="23"/>
  <c r="BH15" i="23"/>
  <c r="BH16" i="23"/>
  <c r="BH17" i="23"/>
  <c r="BH18" i="23"/>
  <c r="BH19" i="23"/>
  <c r="BH20" i="23"/>
  <c r="BH21" i="23"/>
  <c r="BH22" i="23"/>
  <c r="BH23" i="23"/>
  <c r="BH24" i="23"/>
  <c r="BH25" i="23"/>
  <c r="BH26" i="23"/>
  <c r="BH27" i="23"/>
  <c r="BH28" i="23"/>
  <c r="BH29" i="23"/>
  <c r="BH30" i="23"/>
  <c r="BH31" i="23"/>
  <c r="BH32" i="23"/>
  <c r="BH33" i="23"/>
  <c r="BH34" i="23"/>
  <c r="BH35" i="23"/>
  <c r="BH36" i="23"/>
  <c r="BH37" i="23"/>
  <c r="BH38" i="23"/>
  <c r="BH39" i="23"/>
  <c r="BH40" i="23"/>
  <c r="BH41" i="23"/>
  <c r="BH42" i="23"/>
  <c r="BH43" i="23"/>
  <c r="BH44" i="23"/>
  <c r="BH45" i="23"/>
  <c r="BH46" i="23"/>
  <c r="BH47" i="23"/>
  <c r="BH48" i="23"/>
  <c r="BH49" i="23"/>
  <c r="BH50" i="23"/>
  <c r="BH51" i="23"/>
  <c r="BH52" i="23"/>
  <c r="BH53" i="23"/>
  <c r="BH54" i="23"/>
  <c r="BH55" i="23"/>
  <c r="BH56" i="23"/>
  <c r="BH7" i="23"/>
  <c r="BI11" i="23"/>
  <c r="BI12" i="23"/>
  <c r="BI13" i="23"/>
  <c r="BI14" i="23"/>
  <c r="BI15" i="23"/>
  <c r="BI16" i="23"/>
  <c r="BI17" i="23"/>
  <c r="BI18" i="23"/>
  <c r="BI19" i="23"/>
  <c r="BI20" i="23"/>
  <c r="BI21" i="23"/>
  <c r="BI22" i="23"/>
  <c r="BI23" i="23"/>
  <c r="BI24" i="23"/>
  <c r="BI25" i="23"/>
  <c r="BI26" i="23"/>
  <c r="BI27" i="23"/>
  <c r="BI28" i="23"/>
  <c r="BI29" i="23"/>
  <c r="BI30" i="23"/>
  <c r="BI31" i="23"/>
  <c r="BI32" i="23"/>
  <c r="BI33" i="23"/>
  <c r="BI34" i="23"/>
  <c r="BI35" i="23"/>
  <c r="BI36" i="23"/>
  <c r="BI37" i="23"/>
  <c r="BI38" i="23"/>
  <c r="BI39" i="23"/>
  <c r="BI40" i="23"/>
  <c r="BI41" i="23"/>
  <c r="BI42" i="23"/>
  <c r="BI43" i="23"/>
  <c r="BI44" i="23"/>
  <c r="BI45" i="23"/>
  <c r="BI46" i="23"/>
  <c r="BI47" i="23"/>
  <c r="BI48" i="23"/>
  <c r="BI49" i="23"/>
  <c r="BI50" i="23"/>
  <c r="BI51" i="23"/>
  <c r="BI52" i="23"/>
  <c r="BI53" i="23"/>
  <c r="BI54" i="23"/>
  <c r="BI55" i="23"/>
  <c r="BI56" i="23"/>
  <c r="BI7" i="23"/>
  <c r="BJ11" i="23"/>
  <c r="BJ12" i="23"/>
  <c r="BJ13" i="23"/>
  <c r="BJ14" i="23"/>
  <c r="BJ15" i="23"/>
  <c r="BJ16" i="23"/>
  <c r="BJ17" i="23"/>
  <c r="BJ18" i="23"/>
  <c r="BJ19" i="23"/>
  <c r="BJ20" i="23"/>
  <c r="BJ21" i="23"/>
  <c r="BJ22" i="23"/>
  <c r="BJ23" i="23"/>
  <c r="BJ24" i="23"/>
  <c r="BJ25" i="23"/>
  <c r="BJ26" i="23"/>
  <c r="BJ27" i="23"/>
  <c r="BJ28" i="23"/>
  <c r="BJ29" i="23"/>
  <c r="BJ30" i="23"/>
  <c r="BJ31" i="23"/>
  <c r="BJ32" i="23"/>
  <c r="BJ33" i="23"/>
  <c r="BJ34" i="23"/>
  <c r="BJ35" i="23"/>
  <c r="BJ36" i="23"/>
  <c r="BJ37" i="23"/>
  <c r="BJ38" i="23"/>
  <c r="BJ39" i="23"/>
  <c r="BJ40" i="23"/>
  <c r="BJ41" i="23"/>
  <c r="BJ42" i="23"/>
  <c r="BJ43" i="23"/>
  <c r="BJ44" i="23"/>
  <c r="BJ45" i="23"/>
  <c r="BJ46" i="23"/>
  <c r="BJ47" i="23"/>
  <c r="BJ48" i="23"/>
  <c r="BJ49" i="23"/>
  <c r="BJ50" i="23"/>
  <c r="BJ51" i="23"/>
  <c r="BJ52" i="23"/>
  <c r="BJ53" i="23"/>
  <c r="BJ54" i="23"/>
  <c r="BJ55" i="23"/>
  <c r="BJ56" i="23"/>
  <c r="BJ7" i="23"/>
  <c r="BK11" i="23"/>
  <c r="BK12" i="23"/>
  <c r="BK13" i="23"/>
  <c r="BK14" i="23"/>
  <c r="BK15" i="23"/>
  <c r="BK16" i="23"/>
  <c r="BK17" i="23"/>
  <c r="BK18" i="23"/>
  <c r="BK19" i="23"/>
  <c r="BK20" i="23"/>
  <c r="BK21" i="23"/>
  <c r="BK22" i="23"/>
  <c r="BK23" i="23"/>
  <c r="BK24" i="23"/>
  <c r="BK25" i="23"/>
  <c r="BK26" i="23"/>
  <c r="BK27" i="23"/>
  <c r="BK28" i="23"/>
  <c r="BK29" i="23"/>
  <c r="BK30" i="23"/>
  <c r="BK31" i="23"/>
  <c r="BK32" i="23"/>
  <c r="BK33" i="23"/>
  <c r="BK34" i="23"/>
  <c r="BK35" i="23"/>
  <c r="BK36" i="23"/>
  <c r="BK37" i="23"/>
  <c r="BK38" i="23"/>
  <c r="BK39" i="23"/>
  <c r="BK40" i="23"/>
  <c r="BK41" i="23"/>
  <c r="BK42" i="23"/>
  <c r="BK43" i="23"/>
  <c r="BK44" i="23"/>
  <c r="BK45" i="23"/>
  <c r="BK46" i="23"/>
  <c r="BK47" i="23"/>
  <c r="BK48" i="23"/>
  <c r="BK49" i="23"/>
  <c r="BK50" i="23"/>
  <c r="BK51" i="23"/>
  <c r="BK52" i="23"/>
  <c r="BK53" i="23"/>
  <c r="BK54" i="23"/>
  <c r="BK55" i="23"/>
  <c r="BK56" i="23"/>
  <c r="BK7" i="23"/>
  <c r="BL11" i="23"/>
  <c r="BL12" i="23"/>
  <c r="BL13" i="23"/>
  <c r="BL14" i="23"/>
  <c r="BL15" i="23"/>
  <c r="BL16" i="23"/>
  <c r="BL17" i="23"/>
  <c r="BL18" i="23"/>
  <c r="BL19" i="23"/>
  <c r="BL20" i="23"/>
  <c r="BL21" i="23"/>
  <c r="BL22" i="23"/>
  <c r="BL23" i="23"/>
  <c r="BL24" i="23"/>
  <c r="BL25" i="23"/>
  <c r="BL26" i="23"/>
  <c r="BL27" i="23"/>
  <c r="BL28" i="23"/>
  <c r="BL29" i="23"/>
  <c r="BL30" i="23"/>
  <c r="BL31" i="23"/>
  <c r="BL32" i="23"/>
  <c r="BL33" i="23"/>
  <c r="BL34" i="23"/>
  <c r="BL35" i="23"/>
  <c r="BL36" i="23"/>
  <c r="BL37" i="23"/>
  <c r="BL38" i="23"/>
  <c r="BL39" i="23"/>
  <c r="BL40" i="23"/>
  <c r="BL41" i="23"/>
  <c r="BL42" i="23"/>
  <c r="BL43" i="23"/>
  <c r="BL44" i="23"/>
  <c r="BL45" i="23"/>
  <c r="BL46" i="23"/>
  <c r="BL47" i="23"/>
  <c r="BL48" i="23"/>
  <c r="BL49" i="23"/>
  <c r="BL50" i="23"/>
  <c r="BL51" i="23"/>
  <c r="BL52" i="23"/>
  <c r="BL53" i="23"/>
  <c r="BL54" i="23"/>
  <c r="BL55" i="23"/>
  <c r="BL56" i="23"/>
  <c r="BL7" i="23"/>
  <c r="BM11" i="23"/>
  <c r="BM12" i="23"/>
  <c r="BM13" i="23"/>
  <c r="BM14" i="23"/>
  <c r="BM15" i="23"/>
  <c r="BM16" i="23"/>
  <c r="BM17" i="23"/>
  <c r="BM18" i="23"/>
  <c r="BM19" i="23"/>
  <c r="BM20" i="23"/>
  <c r="BM21" i="23"/>
  <c r="BM22" i="23"/>
  <c r="BM23" i="23"/>
  <c r="BM24" i="23"/>
  <c r="BM25" i="23"/>
  <c r="BM26" i="23"/>
  <c r="BM27" i="23"/>
  <c r="BM28" i="23"/>
  <c r="BM29" i="23"/>
  <c r="BM30" i="23"/>
  <c r="BM31" i="23"/>
  <c r="BM32" i="23"/>
  <c r="BM33" i="23"/>
  <c r="BM34" i="23"/>
  <c r="BM35" i="23"/>
  <c r="BM36" i="23"/>
  <c r="BM37" i="23"/>
  <c r="BM38" i="23"/>
  <c r="BM39" i="23"/>
  <c r="BM40" i="23"/>
  <c r="BM41" i="23"/>
  <c r="BM42" i="23"/>
  <c r="BM43" i="23"/>
  <c r="BM44" i="23"/>
  <c r="BM45" i="23"/>
  <c r="BM46" i="23"/>
  <c r="BM47" i="23"/>
  <c r="BM48" i="23"/>
  <c r="BM49" i="23"/>
  <c r="BM50" i="23"/>
  <c r="BM51" i="23"/>
  <c r="BM52" i="23"/>
  <c r="BM53" i="23"/>
  <c r="BM54" i="23"/>
  <c r="BM55" i="23"/>
  <c r="BM56" i="23"/>
  <c r="BM7" i="23"/>
  <c r="BN11" i="23"/>
  <c r="BN12" i="23"/>
  <c r="BN13" i="23"/>
  <c r="BN14" i="23"/>
  <c r="BN15" i="23"/>
  <c r="BN16" i="23"/>
  <c r="BN17" i="23"/>
  <c r="BN18" i="23"/>
  <c r="BN19" i="23"/>
  <c r="BN20" i="23"/>
  <c r="BN21" i="23"/>
  <c r="BN22" i="23"/>
  <c r="BN23" i="23"/>
  <c r="BN24" i="23"/>
  <c r="BN25" i="23"/>
  <c r="BN26" i="23"/>
  <c r="BN27" i="23"/>
  <c r="BN28" i="23"/>
  <c r="BN29" i="23"/>
  <c r="BN30" i="23"/>
  <c r="BN31" i="23"/>
  <c r="BN32" i="23"/>
  <c r="BN33" i="23"/>
  <c r="BN34" i="23"/>
  <c r="BN35" i="23"/>
  <c r="BN36" i="23"/>
  <c r="BN37" i="23"/>
  <c r="BN38" i="23"/>
  <c r="BN39" i="23"/>
  <c r="BN40" i="23"/>
  <c r="BN41" i="23"/>
  <c r="BN42" i="23"/>
  <c r="BN43" i="23"/>
  <c r="BN44" i="23"/>
  <c r="BN45" i="23"/>
  <c r="BN46" i="23"/>
  <c r="BN47" i="23"/>
  <c r="BN48" i="23"/>
  <c r="BN49" i="23"/>
  <c r="BN50" i="23"/>
  <c r="BN51" i="23"/>
  <c r="BN52" i="23"/>
  <c r="BN53" i="23"/>
  <c r="BN54" i="23"/>
  <c r="BN55" i="23"/>
  <c r="BN56" i="23"/>
  <c r="BN7" i="23"/>
  <c r="BO11" i="23"/>
  <c r="BO12" i="23"/>
  <c r="BO13" i="23"/>
  <c r="BO14" i="23"/>
  <c r="BO15" i="23"/>
  <c r="BO16" i="23"/>
  <c r="BO17" i="23"/>
  <c r="BO18" i="23"/>
  <c r="BO19" i="23"/>
  <c r="BO20" i="23"/>
  <c r="BO21" i="23"/>
  <c r="BO22" i="23"/>
  <c r="BO23" i="23"/>
  <c r="BO24" i="23"/>
  <c r="BO25" i="23"/>
  <c r="BO26" i="23"/>
  <c r="BO27" i="23"/>
  <c r="BO28" i="23"/>
  <c r="BO29" i="23"/>
  <c r="BO30" i="23"/>
  <c r="BO31" i="23"/>
  <c r="BO32" i="23"/>
  <c r="BO33" i="23"/>
  <c r="BO34" i="23"/>
  <c r="BO35" i="23"/>
  <c r="BO36" i="23"/>
  <c r="BO37" i="23"/>
  <c r="BO38" i="23"/>
  <c r="BO39" i="23"/>
  <c r="BO40" i="23"/>
  <c r="BO41" i="23"/>
  <c r="BO42" i="23"/>
  <c r="BO43" i="23"/>
  <c r="BO44" i="23"/>
  <c r="BO45" i="23"/>
  <c r="BO46" i="23"/>
  <c r="BO47" i="23"/>
  <c r="BO48" i="23"/>
  <c r="BO49" i="23"/>
  <c r="BO50" i="23"/>
  <c r="BO51" i="23"/>
  <c r="BO52" i="23"/>
  <c r="BO53" i="23"/>
  <c r="BO54" i="23"/>
  <c r="BO55" i="23"/>
  <c r="BO56" i="23"/>
  <c r="BO7" i="23"/>
  <c r="BP11" i="23"/>
  <c r="BP12" i="23"/>
  <c r="BP13" i="23"/>
  <c r="BP14" i="23"/>
  <c r="BP15" i="23"/>
  <c r="BP16" i="23"/>
  <c r="BP17" i="23"/>
  <c r="BP18" i="23"/>
  <c r="BP19" i="23"/>
  <c r="BP20" i="23"/>
  <c r="BP21" i="23"/>
  <c r="BP22" i="23"/>
  <c r="BP23" i="23"/>
  <c r="BP24" i="23"/>
  <c r="BP25" i="23"/>
  <c r="BP26" i="23"/>
  <c r="BP27" i="23"/>
  <c r="BP28" i="23"/>
  <c r="BP29" i="23"/>
  <c r="BP30" i="23"/>
  <c r="BP31" i="23"/>
  <c r="BP32" i="23"/>
  <c r="BP33" i="23"/>
  <c r="BP34" i="23"/>
  <c r="BP35" i="23"/>
  <c r="BP36" i="23"/>
  <c r="BP37" i="23"/>
  <c r="BP38" i="23"/>
  <c r="BP39" i="23"/>
  <c r="BP40" i="23"/>
  <c r="BP41" i="23"/>
  <c r="BP42" i="23"/>
  <c r="BP43" i="23"/>
  <c r="BP44" i="23"/>
  <c r="BP45" i="23"/>
  <c r="BP46" i="23"/>
  <c r="BP47" i="23"/>
  <c r="BP48" i="23"/>
  <c r="BP49" i="23"/>
  <c r="BP50" i="23"/>
  <c r="BP51" i="23"/>
  <c r="BP52" i="23"/>
  <c r="BP53" i="23"/>
  <c r="BP54" i="23"/>
  <c r="BP55" i="23"/>
  <c r="BP56" i="23"/>
  <c r="BP7" i="23"/>
  <c r="BQ11" i="23"/>
  <c r="BQ12" i="23"/>
  <c r="BQ13" i="23"/>
  <c r="BQ14" i="23"/>
  <c r="BQ15" i="23"/>
  <c r="BQ16" i="23"/>
  <c r="BQ17" i="23"/>
  <c r="BQ18" i="23"/>
  <c r="BQ19" i="23"/>
  <c r="BQ20" i="23"/>
  <c r="BQ21" i="23"/>
  <c r="BQ22" i="23"/>
  <c r="BQ23" i="23"/>
  <c r="BQ24" i="23"/>
  <c r="BQ25" i="23"/>
  <c r="BQ26" i="23"/>
  <c r="BQ27" i="23"/>
  <c r="BQ28" i="23"/>
  <c r="BQ29" i="23"/>
  <c r="BQ30" i="23"/>
  <c r="BQ31" i="23"/>
  <c r="BQ32" i="23"/>
  <c r="BQ33" i="23"/>
  <c r="BQ34" i="23"/>
  <c r="BQ35" i="23"/>
  <c r="BQ36" i="23"/>
  <c r="BQ37" i="23"/>
  <c r="BQ38" i="23"/>
  <c r="BQ39" i="23"/>
  <c r="BQ40" i="23"/>
  <c r="BQ41" i="23"/>
  <c r="BQ42" i="23"/>
  <c r="BQ43" i="23"/>
  <c r="BQ44" i="23"/>
  <c r="BQ45" i="23"/>
  <c r="BQ46" i="23"/>
  <c r="BQ47" i="23"/>
  <c r="BQ48" i="23"/>
  <c r="BQ49" i="23"/>
  <c r="BQ50" i="23"/>
  <c r="BQ51" i="23"/>
  <c r="BQ52" i="23"/>
  <c r="BQ53" i="23"/>
  <c r="BQ54" i="23"/>
  <c r="BQ55" i="23"/>
  <c r="BQ56" i="23"/>
  <c r="BQ7" i="23"/>
  <c r="BR11" i="23"/>
  <c r="BR12" i="23"/>
  <c r="BR13" i="23"/>
  <c r="BR14" i="23"/>
  <c r="BR15" i="23"/>
  <c r="BR16" i="23"/>
  <c r="BR17" i="23"/>
  <c r="BR18" i="23"/>
  <c r="BR19" i="23"/>
  <c r="BR20" i="23"/>
  <c r="BR21" i="23"/>
  <c r="BR22" i="23"/>
  <c r="BR23" i="23"/>
  <c r="BR24" i="23"/>
  <c r="BR25" i="23"/>
  <c r="BR26" i="23"/>
  <c r="BR27" i="23"/>
  <c r="BR28" i="23"/>
  <c r="BR29" i="23"/>
  <c r="BR30" i="23"/>
  <c r="BR31" i="23"/>
  <c r="BR32" i="23"/>
  <c r="BR33" i="23"/>
  <c r="BR34" i="23"/>
  <c r="BR35" i="23"/>
  <c r="BR36" i="23"/>
  <c r="BR37" i="23"/>
  <c r="BR38" i="23"/>
  <c r="BR39" i="23"/>
  <c r="BR40" i="23"/>
  <c r="BR41" i="23"/>
  <c r="BR42" i="23"/>
  <c r="BR43" i="23"/>
  <c r="BR44" i="23"/>
  <c r="BR45" i="23"/>
  <c r="BR46" i="23"/>
  <c r="BR47" i="23"/>
  <c r="BR48" i="23"/>
  <c r="BR49" i="23"/>
  <c r="BR50" i="23"/>
  <c r="BR51" i="23"/>
  <c r="BR52" i="23"/>
  <c r="BR53" i="23"/>
  <c r="BR54" i="23"/>
  <c r="BR55" i="23"/>
  <c r="BR56" i="23"/>
  <c r="BR7" i="23"/>
  <c r="BS11" i="23"/>
  <c r="BS12" i="23"/>
  <c r="BS13" i="23"/>
  <c r="BS14" i="23"/>
  <c r="BS15" i="23"/>
  <c r="BS16" i="23"/>
  <c r="BS17" i="23"/>
  <c r="BS18" i="23"/>
  <c r="BS19" i="23"/>
  <c r="BS20" i="23"/>
  <c r="BS21" i="23"/>
  <c r="BS22" i="23"/>
  <c r="BS23" i="23"/>
  <c r="BS24" i="23"/>
  <c r="BS25" i="23"/>
  <c r="BS26" i="23"/>
  <c r="BS27" i="23"/>
  <c r="BS28" i="23"/>
  <c r="BS29" i="23"/>
  <c r="BS30" i="23"/>
  <c r="BS31" i="23"/>
  <c r="BS32" i="23"/>
  <c r="BS33" i="23"/>
  <c r="BS34" i="23"/>
  <c r="BS35" i="23"/>
  <c r="BS36" i="23"/>
  <c r="BS37" i="23"/>
  <c r="BS38" i="23"/>
  <c r="BS39" i="23"/>
  <c r="BS40" i="23"/>
  <c r="BS41" i="23"/>
  <c r="BS42" i="23"/>
  <c r="BS43" i="23"/>
  <c r="BS44" i="23"/>
  <c r="BS45" i="23"/>
  <c r="BS46" i="23"/>
  <c r="BS47" i="23"/>
  <c r="BS48" i="23"/>
  <c r="BS49" i="23"/>
  <c r="BS50" i="23"/>
  <c r="BS51" i="23"/>
  <c r="BS52" i="23"/>
  <c r="BS53" i="23"/>
  <c r="BS54" i="23"/>
  <c r="BS55" i="23"/>
  <c r="BS56" i="23"/>
  <c r="BS7" i="23"/>
  <c r="BT11" i="23"/>
  <c r="BT12" i="23"/>
  <c r="BT13" i="23"/>
  <c r="BT14" i="23"/>
  <c r="BT15" i="23"/>
  <c r="BT16" i="23"/>
  <c r="BT17" i="23"/>
  <c r="BT18" i="23"/>
  <c r="BT19" i="23"/>
  <c r="BT20" i="23"/>
  <c r="BT21" i="23"/>
  <c r="BT22" i="23"/>
  <c r="BT23" i="23"/>
  <c r="BT24" i="23"/>
  <c r="BT25" i="23"/>
  <c r="BT26" i="23"/>
  <c r="BT27" i="23"/>
  <c r="BT28" i="23"/>
  <c r="BT29" i="23"/>
  <c r="BT30" i="23"/>
  <c r="BT31" i="23"/>
  <c r="BT32" i="23"/>
  <c r="BT33" i="23"/>
  <c r="BT34" i="23"/>
  <c r="BT35" i="23"/>
  <c r="BT36" i="23"/>
  <c r="BT37" i="23"/>
  <c r="BT38" i="23"/>
  <c r="BT39" i="23"/>
  <c r="BT40" i="23"/>
  <c r="BT41" i="23"/>
  <c r="BT42" i="23"/>
  <c r="BT43" i="23"/>
  <c r="BT44" i="23"/>
  <c r="BT45" i="23"/>
  <c r="BT46" i="23"/>
  <c r="BT47" i="23"/>
  <c r="BT48" i="23"/>
  <c r="BT49" i="23"/>
  <c r="BT50" i="23"/>
  <c r="BT51" i="23"/>
  <c r="BT52" i="23"/>
  <c r="BT53" i="23"/>
  <c r="BT54" i="23"/>
  <c r="BT55" i="23"/>
  <c r="BT56" i="23"/>
  <c r="BT7" i="23"/>
  <c r="BU11" i="23"/>
  <c r="BU12" i="23"/>
  <c r="BU13" i="23"/>
  <c r="BU14" i="23"/>
  <c r="BU15" i="23"/>
  <c r="BU16" i="23"/>
  <c r="BU17" i="23"/>
  <c r="BU18" i="23"/>
  <c r="BU19" i="23"/>
  <c r="BU20" i="23"/>
  <c r="BU21" i="23"/>
  <c r="BU22" i="23"/>
  <c r="BU23" i="23"/>
  <c r="BU24" i="23"/>
  <c r="BU25" i="23"/>
  <c r="BU26" i="23"/>
  <c r="BU27" i="23"/>
  <c r="BU28" i="23"/>
  <c r="BU29" i="23"/>
  <c r="BU30" i="23"/>
  <c r="BU31" i="23"/>
  <c r="BU32" i="23"/>
  <c r="BU33" i="23"/>
  <c r="BU34" i="23"/>
  <c r="BU35" i="23"/>
  <c r="BU36" i="23"/>
  <c r="BU37" i="23"/>
  <c r="BU38" i="23"/>
  <c r="BU39" i="23"/>
  <c r="BU40" i="23"/>
  <c r="BU41" i="23"/>
  <c r="BU42" i="23"/>
  <c r="BU43" i="23"/>
  <c r="BU44" i="23"/>
  <c r="BU45" i="23"/>
  <c r="BU46" i="23"/>
  <c r="BU47" i="23"/>
  <c r="BU48" i="23"/>
  <c r="BU49" i="23"/>
  <c r="BU50" i="23"/>
  <c r="BU51" i="23"/>
  <c r="BU52" i="23"/>
  <c r="BU53" i="23"/>
  <c r="BU54" i="23"/>
  <c r="BU55" i="23"/>
  <c r="BU56" i="23"/>
  <c r="BU7" i="23"/>
  <c r="BV11" i="23"/>
  <c r="BV12" i="23"/>
  <c r="BV13" i="23"/>
  <c r="BV14" i="23"/>
  <c r="BV15" i="23"/>
  <c r="BV16" i="23"/>
  <c r="BV17" i="23"/>
  <c r="BV18" i="23"/>
  <c r="BV19" i="23"/>
  <c r="BV20" i="23"/>
  <c r="BV21" i="23"/>
  <c r="BV22" i="23"/>
  <c r="BV23" i="23"/>
  <c r="BV24" i="23"/>
  <c r="BV25" i="23"/>
  <c r="BV26" i="23"/>
  <c r="BV27" i="23"/>
  <c r="BV28" i="23"/>
  <c r="BV29" i="23"/>
  <c r="BV30" i="23"/>
  <c r="BV31" i="23"/>
  <c r="BV32" i="23"/>
  <c r="BV33" i="23"/>
  <c r="BV34" i="23"/>
  <c r="BV35" i="23"/>
  <c r="BV36" i="23"/>
  <c r="BV37" i="23"/>
  <c r="BV38" i="23"/>
  <c r="BV39" i="23"/>
  <c r="BV40" i="23"/>
  <c r="BV41" i="23"/>
  <c r="BV42" i="23"/>
  <c r="BV43" i="23"/>
  <c r="BV44" i="23"/>
  <c r="BV45" i="23"/>
  <c r="BV46" i="23"/>
  <c r="BV47" i="23"/>
  <c r="BV48" i="23"/>
  <c r="BV49" i="23"/>
  <c r="BV50" i="23"/>
  <c r="BV51" i="23"/>
  <c r="BV52" i="23"/>
  <c r="BV53" i="23"/>
  <c r="BV54" i="23"/>
  <c r="BV55" i="23"/>
  <c r="BV56" i="23"/>
  <c r="BV7" i="23"/>
  <c r="BW11" i="23"/>
  <c r="BW12" i="23"/>
  <c r="BW13" i="23"/>
  <c r="BW14" i="23"/>
  <c r="BW15" i="23"/>
  <c r="BW16" i="23"/>
  <c r="BW17" i="23"/>
  <c r="BW18" i="23"/>
  <c r="BW19" i="23"/>
  <c r="BW20" i="23"/>
  <c r="BW21" i="23"/>
  <c r="BW22" i="23"/>
  <c r="BW23" i="23"/>
  <c r="BW24" i="23"/>
  <c r="BW25" i="23"/>
  <c r="BW26" i="23"/>
  <c r="BW27" i="23"/>
  <c r="BW28" i="23"/>
  <c r="BW29" i="23"/>
  <c r="BW30" i="23"/>
  <c r="BW31" i="23"/>
  <c r="BW32" i="23"/>
  <c r="BW33" i="23"/>
  <c r="BW34" i="23"/>
  <c r="BW35" i="23"/>
  <c r="BW36" i="23"/>
  <c r="BW37" i="23"/>
  <c r="BW38" i="23"/>
  <c r="BW39" i="23"/>
  <c r="BW40" i="23"/>
  <c r="BW41" i="23"/>
  <c r="BW42" i="23"/>
  <c r="BW43" i="23"/>
  <c r="BW44" i="23"/>
  <c r="BW45" i="23"/>
  <c r="BW46" i="23"/>
  <c r="BW47" i="23"/>
  <c r="BW48" i="23"/>
  <c r="BW49" i="23"/>
  <c r="BW50" i="23"/>
  <c r="BW51" i="23"/>
  <c r="BW52" i="23"/>
  <c r="BW53" i="23"/>
  <c r="BW54" i="23"/>
  <c r="BW55" i="23"/>
  <c r="BW56" i="23"/>
  <c r="BW7" i="23"/>
  <c r="BX11" i="23"/>
  <c r="BX12" i="23"/>
  <c r="BX13" i="23"/>
  <c r="BX14" i="23"/>
  <c r="BX15" i="23"/>
  <c r="BX16" i="23"/>
  <c r="BX17" i="23"/>
  <c r="BX18" i="23"/>
  <c r="BX19" i="23"/>
  <c r="BX20" i="23"/>
  <c r="BX21" i="23"/>
  <c r="BX22" i="23"/>
  <c r="BX23" i="23"/>
  <c r="BX24" i="23"/>
  <c r="BX25" i="23"/>
  <c r="BX26" i="23"/>
  <c r="BX27" i="23"/>
  <c r="BX28" i="23"/>
  <c r="BX29" i="23"/>
  <c r="BX30" i="23"/>
  <c r="BX31" i="23"/>
  <c r="BX32" i="23"/>
  <c r="BX33" i="23"/>
  <c r="BX34" i="23"/>
  <c r="BX35" i="23"/>
  <c r="BX36" i="23"/>
  <c r="BX37" i="23"/>
  <c r="BX38" i="23"/>
  <c r="BX39" i="23"/>
  <c r="BX40" i="23"/>
  <c r="BX41" i="23"/>
  <c r="BX42" i="23"/>
  <c r="BX43" i="23"/>
  <c r="BX44" i="23"/>
  <c r="BX45" i="23"/>
  <c r="BX46" i="23"/>
  <c r="BX47" i="23"/>
  <c r="BX48" i="23"/>
  <c r="BX49" i="23"/>
  <c r="BX50" i="23"/>
  <c r="BX51" i="23"/>
  <c r="BX52" i="23"/>
  <c r="BX53" i="23"/>
  <c r="BX54" i="23"/>
  <c r="BX55" i="23"/>
  <c r="BX56" i="23"/>
  <c r="BX7" i="23"/>
  <c r="BY11" i="23"/>
  <c r="BY12" i="23"/>
  <c r="BY13" i="23"/>
  <c r="BY14" i="23"/>
  <c r="BY15" i="23"/>
  <c r="BY16" i="23"/>
  <c r="BY17" i="23"/>
  <c r="BY18" i="23"/>
  <c r="BY19" i="23"/>
  <c r="BY20" i="23"/>
  <c r="BY21" i="23"/>
  <c r="BY22" i="23"/>
  <c r="BY23" i="23"/>
  <c r="BY24" i="23"/>
  <c r="BY25" i="23"/>
  <c r="BY26" i="23"/>
  <c r="BY27" i="23"/>
  <c r="BY28" i="23"/>
  <c r="BY29" i="23"/>
  <c r="BY30" i="23"/>
  <c r="BY31" i="23"/>
  <c r="BY32" i="23"/>
  <c r="BY33" i="23"/>
  <c r="BY34" i="23"/>
  <c r="BY35" i="23"/>
  <c r="BY36" i="23"/>
  <c r="BY37" i="23"/>
  <c r="BY38" i="23"/>
  <c r="BY39" i="23"/>
  <c r="BY40" i="23"/>
  <c r="BY41" i="23"/>
  <c r="BY42" i="23"/>
  <c r="BY43" i="23"/>
  <c r="BY44" i="23"/>
  <c r="BY45" i="23"/>
  <c r="BY46" i="23"/>
  <c r="BY47" i="23"/>
  <c r="BY48" i="23"/>
  <c r="BY49" i="23"/>
  <c r="BY50" i="23"/>
  <c r="BY51" i="23"/>
  <c r="BY52" i="23"/>
  <c r="BY53" i="23"/>
  <c r="BY54" i="23"/>
  <c r="BY55" i="23"/>
  <c r="BY56" i="23"/>
  <c r="BY7" i="23"/>
  <c r="BZ11" i="23"/>
  <c r="BZ12" i="23"/>
  <c r="BZ13" i="23"/>
  <c r="BZ14" i="23"/>
  <c r="BZ15" i="23"/>
  <c r="BZ16" i="23"/>
  <c r="BZ17" i="23"/>
  <c r="BZ18" i="23"/>
  <c r="BZ19" i="23"/>
  <c r="BZ20" i="23"/>
  <c r="BZ21" i="23"/>
  <c r="BZ22" i="23"/>
  <c r="BZ23" i="23"/>
  <c r="BZ24" i="23"/>
  <c r="BZ25" i="23"/>
  <c r="BZ26" i="23"/>
  <c r="BZ27" i="23"/>
  <c r="BZ28" i="23"/>
  <c r="BZ29" i="23"/>
  <c r="BZ30" i="23"/>
  <c r="BZ31" i="23"/>
  <c r="BZ32" i="23"/>
  <c r="BZ33" i="23"/>
  <c r="BZ34" i="23"/>
  <c r="BZ35" i="23"/>
  <c r="BZ36" i="23"/>
  <c r="BZ37" i="23"/>
  <c r="BZ38" i="23"/>
  <c r="BZ39" i="23"/>
  <c r="BZ40" i="23"/>
  <c r="BZ41" i="23"/>
  <c r="BZ42" i="23"/>
  <c r="BZ43" i="23"/>
  <c r="BZ44" i="23"/>
  <c r="BZ45" i="23"/>
  <c r="BZ46" i="23"/>
  <c r="BZ47" i="23"/>
  <c r="BZ48" i="23"/>
  <c r="BZ49" i="23"/>
  <c r="BZ50" i="23"/>
  <c r="BZ51" i="23"/>
  <c r="BZ52" i="23"/>
  <c r="BZ53" i="23"/>
  <c r="BZ54" i="23"/>
  <c r="BZ55" i="23"/>
  <c r="BZ56" i="23"/>
  <c r="BZ7" i="23"/>
  <c r="CA11" i="23"/>
  <c r="CA12" i="23"/>
  <c r="CA13" i="23"/>
  <c r="CA14" i="23"/>
  <c r="CA15" i="23"/>
  <c r="CA16" i="23"/>
  <c r="CA17" i="23"/>
  <c r="CA18" i="23"/>
  <c r="CA19" i="23"/>
  <c r="CA20" i="23"/>
  <c r="CA21" i="23"/>
  <c r="CA22" i="23"/>
  <c r="CA23" i="23"/>
  <c r="CA24" i="23"/>
  <c r="CA25" i="23"/>
  <c r="CA26" i="23"/>
  <c r="CA27" i="23"/>
  <c r="CA28" i="23"/>
  <c r="CA29" i="23"/>
  <c r="CA30" i="23"/>
  <c r="CA31" i="23"/>
  <c r="CA32" i="23"/>
  <c r="CA33" i="23"/>
  <c r="CA34" i="23"/>
  <c r="CA35" i="23"/>
  <c r="CA36" i="23"/>
  <c r="CA37" i="23"/>
  <c r="CA38" i="23"/>
  <c r="CA39" i="23"/>
  <c r="CA40" i="23"/>
  <c r="CA41" i="23"/>
  <c r="CA42" i="23"/>
  <c r="CA43" i="23"/>
  <c r="CA44" i="23"/>
  <c r="CA45" i="23"/>
  <c r="CA46" i="23"/>
  <c r="CA47" i="23"/>
  <c r="CA48" i="23"/>
  <c r="CA49" i="23"/>
  <c r="CA50" i="23"/>
  <c r="CA51" i="23"/>
  <c r="CA52" i="23"/>
  <c r="CA53" i="23"/>
  <c r="CA54" i="23"/>
  <c r="CA55" i="23"/>
  <c r="CA56" i="23"/>
  <c r="CA7" i="23"/>
  <c r="CB11" i="23"/>
  <c r="CB12" i="23"/>
  <c r="CB13" i="23"/>
  <c r="CB14" i="23"/>
  <c r="CB15" i="23"/>
  <c r="CB16" i="23"/>
  <c r="CB17" i="23"/>
  <c r="CB18" i="23"/>
  <c r="CB19" i="23"/>
  <c r="CB20" i="23"/>
  <c r="CB21" i="23"/>
  <c r="CB22" i="23"/>
  <c r="CB23" i="23"/>
  <c r="CB24" i="23"/>
  <c r="CB25" i="23"/>
  <c r="CB26" i="23"/>
  <c r="CB27" i="23"/>
  <c r="CB28" i="23"/>
  <c r="CB29" i="23"/>
  <c r="CB30" i="23"/>
  <c r="CB31" i="23"/>
  <c r="CB32" i="23"/>
  <c r="CB33" i="23"/>
  <c r="CB34" i="23"/>
  <c r="CB35" i="23"/>
  <c r="CB36" i="23"/>
  <c r="CB37" i="23"/>
  <c r="CB38" i="23"/>
  <c r="CB39" i="23"/>
  <c r="CB40" i="23"/>
  <c r="CB41" i="23"/>
  <c r="CB42" i="23"/>
  <c r="CB43" i="23"/>
  <c r="CB44" i="23"/>
  <c r="CB45" i="23"/>
  <c r="CB46" i="23"/>
  <c r="CB47" i="23"/>
  <c r="CB48" i="23"/>
  <c r="CB49" i="23"/>
  <c r="CB50" i="23"/>
  <c r="CB51" i="23"/>
  <c r="CB52" i="23"/>
  <c r="CB53" i="23"/>
  <c r="CB54" i="23"/>
  <c r="CB55" i="23"/>
  <c r="CB56" i="23"/>
  <c r="CB7" i="23"/>
  <c r="CC11" i="23"/>
  <c r="CC12" i="23"/>
  <c r="CC13" i="23"/>
  <c r="CC14" i="23"/>
  <c r="CC15" i="23"/>
  <c r="CC16" i="23"/>
  <c r="CC17" i="23"/>
  <c r="CC18" i="23"/>
  <c r="CC19" i="23"/>
  <c r="CC20" i="23"/>
  <c r="CC21" i="23"/>
  <c r="CC22" i="23"/>
  <c r="CC23" i="23"/>
  <c r="CC24" i="23"/>
  <c r="CC25" i="23"/>
  <c r="CC26" i="23"/>
  <c r="CC27" i="23"/>
  <c r="CC28" i="23"/>
  <c r="CC29" i="23"/>
  <c r="CC30" i="23"/>
  <c r="CC31" i="23"/>
  <c r="CC32" i="23"/>
  <c r="CC33" i="23"/>
  <c r="CC34" i="23"/>
  <c r="CC35" i="23"/>
  <c r="CC36" i="23"/>
  <c r="CC37" i="23"/>
  <c r="CC38" i="23"/>
  <c r="CC39" i="23"/>
  <c r="CC40" i="23"/>
  <c r="CC41" i="23"/>
  <c r="CC42" i="23"/>
  <c r="CC43" i="23"/>
  <c r="CC44" i="23"/>
  <c r="CC45" i="23"/>
  <c r="CC46" i="23"/>
  <c r="CC47" i="23"/>
  <c r="CC48" i="23"/>
  <c r="CC49" i="23"/>
  <c r="CC50" i="23"/>
  <c r="CC51" i="23"/>
  <c r="CC52" i="23"/>
  <c r="CC53" i="23"/>
  <c r="CC54" i="23"/>
  <c r="CC55" i="23"/>
  <c r="CC56" i="23"/>
  <c r="CC7" i="23"/>
  <c r="CD11" i="23"/>
  <c r="CD12" i="23"/>
  <c r="CD13" i="23"/>
  <c r="CD14" i="23"/>
  <c r="CD15" i="23"/>
  <c r="CD16" i="23"/>
  <c r="CD17" i="23"/>
  <c r="CD18" i="23"/>
  <c r="CD19" i="23"/>
  <c r="CD20" i="23"/>
  <c r="CD21" i="23"/>
  <c r="CD22" i="23"/>
  <c r="CD23" i="23"/>
  <c r="CD24" i="23"/>
  <c r="CD25" i="23"/>
  <c r="CD26" i="23"/>
  <c r="CD27" i="23"/>
  <c r="CD28" i="23"/>
  <c r="CD29" i="23"/>
  <c r="CD30" i="23"/>
  <c r="CD31" i="23"/>
  <c r="CD32" i="23"/>
  <c r="CD33" i="23"/>
  <c r="CD34" i="23"/>
  <c r="CD35" i="23"/>
  <c r="CD36" i="23"/>
  <c r="CD37" i="23"/>
  <c r="CD38" i="23"/>
  <c r="CD39" i="23"/>
  <c r="CD40" i="23"/>
  <c r="CD41" i="23"/>
  <c r="CD42" i="23"/>
  <c r="CD43" i="23"/>
  <c r="CD44" i="23"/>
  <c r="CD45" i="23"/>
  <c r="CD46" i="23"/>
  <c r="CD47" i="23"/>
  <c r="CD48" i="23"/>
  <c r="CD49" i="23"/>
  <c r="CD50" i="23"/>
  <c r="CD51" i="23"/>
  <c r="CD52" i="23"/>
  <c r="CD53" i="23"/>
  <c r="CD54" i="23"/>
  <c r="CD55" i="23"/>
  <c r="CD56" i="23"/>
  <c r="CD7" i="23"/>
  <c r="CE11" i="23"/>
  <c r="CE12" i="23"/>
  <c r="CE13" i="23"/>
  <c r="CE14" i="23"/>
  <c r="CE15" i="23"/>
  <c r="CE16" i="23"/>
  <c r="CE17" i="23"/>
  <c r="CE18" i="23"/>
  <c r="CE19" i="23"/>
  <c r="CE20" i="23"/>
  <c r="CE21" i="23"/>
  <c r="CE22" i="23"/>
  <c r="CE23" i="23"/>
  <c r="CE24" i="23"/>
  <c r="CE25" i="23"/>
  <c r="CE26" i="23"/>
  <c r="CE27" i="23"/>
  <c r="CE28" i="23"/>
  <c r="CE29" i="23"/>
  <c r="CE30" i="23"/>
  <c r="CE31" i="23"/>
  <c r="CE32" i="23"/>
  <c r="CE33" i="23"/>
  <c r="CE34" i="23"/>
  <c r="CE35" i="23"/>
  <c r="CE36" i="23"/>
  <c r="CE37" i="23"/>
  <c r="CE38" i="23"/>
  <c r="CE39" i="23"/>
  <c r="CE40" i="23"/>
  <c r="CE41" i="23"/>
  <c r="CE42" i="23"/>
  <c r="CE43" i="23"/>
  <c r="CE44" i="23"/>
  <c r="CE45" i="23"/>
  <c r="CE46" i="23"/>
  <c r="CE47" i="23"/>
  <c r="CE48" i="23"/>
  <c r="CE49" i="23"/>
  <c r="CE50" i="23"/>
  <c r="CE51" i="23"/>
  <c r="CE52" i="23"/>
  <c r="CE53" i="23"/>
  <c r="CE54" i="23"/>
  <c r="CE55" i="23"/>
  <c r="CE56" i="23"/>
  <c r="CE7" i="23"/>
  <c r="CF11" i="23"/>
  <c r="CF12" i="23"/>
  <c r="CF13" i="23"/>
  <c r="CF14" i="23"/>
  <c r="CF15" i="23"/>
  <c r="CF16" i="23"/>
  <c r="CF17" i="23"/>
  <c r="CF18" i="23"/>
  <c r="CF19" i="23"/>
  <c r="CF20" i="23"/>
  <c r="CF21" i="23"/>
  <c r="CF22" i="23"/>
  <c r="CF23" i="23"/>
  <c r="CF24" i="23"/>
  <c r="CF25" i="23"/>
  <c r="CF26" i="23"/>
  <c r="CF27" i="23"/>
  <c r="CF28" i="23"/>
  <c r="CF29" i="23"/>
  <c r="CF30" i="23"/>
  <c r="CF31" i="23"/>
  <c r="CF32" i="23"/>
  <c r="CF33" i="23"/>
  <c r="CF34" i="23"/>
  <c r="CF35" i="23"/>
  <c r="CF36" i="23"/>
  <c r="CF37" i="23"/>
  <c r="CF38" i="23"/>
  <c r="CF39" i="23"/>
  <c r="CF40" i="23"/>
  <c r="CF41" i="23"/>
  <c r="CF42" i="23"/>
  <c r="CF43" i="23"/>
  <c r="CF44" i="23"/>
  <c r="CF45" i="23"/>
  <c r="CF46" i="23"/>
  <c r="CF47" i="23"/>
  <c r="CF48" i="23"/>
  <c r="CF49" i="23"/>
  <c r="CF50" i="23"/>
  <c r="CF51" i="23"/>
  <c r="CF52" i="23"/>
  <c r="CF53" i="23"/>
  <c r="CF54" i="23"/>
  <c r="CF55" i="23"/>
  <c r="CF56" i="23"/>
  <c r="CF7" i="23"/>
  <c r="CG11" i="23"/>
  <c r="CG12" i="23"/>
  <c r="CG13" i="23"/>
  <c r="CG14" i="23"/>
  <c r="CG15" i="23"/>
  <c r="CG16" i="23"/>
  <c r="CG17" i="23"/>
  <c r="CG18" i="23"/>
  <c r="CG19" i="23"/>
  <c r="CG20" i="23"/>
  <c r="CG21" i="23"/>
  <c r="CG22" i="23"/>
  <c r="CG23" i="23"/>
  <c r="CG24" i="23"/>
  <c r="CG25" i="23"/>
  <c r="CG26" i="23"/>
  <c r="CG27" i="23"/>
  <c r="CG28" i="23"/>
  <c r="CG29" i="23"/>
  <c r="CG30" i="23"/>
  <c r="CG31" i="23"/>
  <c r="CG32" i="23"/>
  <c r="CG33" i="23"/>
  <c r="CG34" i="23"/>
  <c r="CG35" i="23"/>
  <c r="CG36" i="23"/>
  <c r="CG37" i="23"/>
  <c r="CG38" i="23"/>
  <c r="CG39" i="23"/>
  <c r="CG40" i="23"/>
  <c r="CG41" i="23"/>
  <c r="CG42" i="23"/>
  <c r="CG43" i="23"/>
  <c r="CG44" i="23"/>
  <c r="CG45" i="23"/>
  <c r="CG46" i="23"/>
  <c r="CG47" i="23"/>
  <c r="CG48" i="23"/>
  <c r="CG49" i="23"/>
  <c r="CG50" i="23"/>
  <c r="CG51" i="23"/>
  <c r="CG52" i="23"/>
  <c r="CG53" i="23"/>
  <c r="CG54" i="23"/>
  <c r="CG55" i="23"/>
  <c r="CG56" i="23"/>
  <c r="CG7" i="23"/>
  <c r="C9" i="23"/>
  <c r="C27" i="23"/>
  <c r="D9" i="23"/>
  <c r="D27" i="23"/>
  <c r="E9" i="23"/>
  <c r="E27" i="23"/>
  <c r="F9" i="23"/>
  <c r="F27" i="23"/>
  <c r="G9" i="23"/>
  <c r="G27" i="23"/>
  <c r="H9" i="23"/>
  <c r="H27" i="23"/>
  <c r="I9" i="23"/>
  <c r="I27" i="23"/>
  <c r="J9" i="23"/>
  <c r="J27" i="23"/>
  <c r="K9" i="23"/>
  <c r="K27" i="23"/>
  <c r="L9" i="23"/>
  <c r="L27" i="23"/>
  <c r="M9" i="23"/>
  <c r="M27" i="23"/>
  <c r="N9" i="23"/>
  <c r="N27" i="23"/>
  <c r="O9" i="23"/>
  <c r="O27" i="23"/>
  <c r="P9" i="23"/>
  <c r="P27" i="23"/>
  <c r="Q9" i="23"/>
  <c r="Q27" i="23"/>
  <c r="R9" i="23"/>
  <c r="R27" i="23"/>
  <c r="S9" i="23"/>
  <c r="S27" i="23"/>
  <c r="T9" i="23"/>
  <c r="T27" i="23"/>
  <c r="U9" i="23"/>
  <c r="U27" i="23"/>
  <c r="V9" i="23"/>
  <c r="V27" i="23"/>
  <c r="AB27" i="23"/>
  <c r="B28" i="23"/>
  <c r="AS28" i="23"/>
  <c r="C28" i="23"/>
  <c r="D28" i="23"/>
  <c r="E28" i="23"/>
  <c r="F28" i="23"/>
  <c r="G28" i="23"/>
  <c r="H28" i="23"/>
  <c r="I28" i="23"/>
  <c r="J28" i="23"/>
  <c r="K28" i="23"/>
  <c r="L28" i="23"/>
  <c r="M28" i="23"/>
  <c r="N28" i="23"/>
  <c r="O28" i="23"/>
  <c r="P28" i="23"/>
  <c r="Q28" i="23"/>
  <c r="R28" i="23"/>
  <c r="S28" i="23"/>
  <c r="T28" i="23"/>
  <c r="U28" i="23"/>
  <c r="V28" i="23"/>
  <c r="AB28" i="23"/>
  <c r="B29" i="23"/>
  <c r="AS29" i="23"/>
  <c r="C29" i="23"/>
  <c r="D29" i="23"/>
  <c r="E29" i="23"/>
  <c r="F29" i="23"/>
  <c r="G29" i="23"/>
  <c r="H29" i="23"/>
  <c r="I29" i="23"/>
  <c r="J29" i="23"/>
  <c r="K29" i="23"/>
  <c r="L29" i="23"/>
  <c r="M29" i="23"/>
  <c r="N29" i="23"/>
  <c r="O29" i="23"/>
  <c r="P29" i="23"/>
  <c r="Q29" i="23"/>
  <c r="R29" i="23"/>
  <c r="S29" i="23"/>
  <c r="T29" i="23"/>
  <c r="U29" i="23"/>
  <c r="V29" i="23"/>
  <c r="AB29" i="23"/>
  <c r="B30" i="23"/>
  <c r="AS30" i="23"/>
  <c r="C30" i="23"/>
  <c r="D30" i="23"/>
  <c r="E30" i="23"/>
  <c r="F30" i="23"/>
  <c r="G30" i="23"/>
  <c r="H30" i="23"/>
  <c r="I30" i="23"/>
  <c r="J30" i="23"/>
  <c r="K30" i="23"/>
  <c r="L30" i="23"/>
  <c r="M30" i="23"/>
  <c r="N30" i="23"/>
  <c r="O30" i="23"/>
  <c r="P30" i="23"/>
  <c r="Q30" i="23"/>
  <c r="R30" i="23"/>
  <c r="S30" i="23"/>
  <c r="T30" i="23"/>
  <c r="U30" i="23"/>
  <c r="V30" i="23"/>
  <c r="AB30" i="23"/>
  <c r="B31" i="23"/>
  <c r="AS31" i="23"/>
  <c r="C31" i="23"/>
  <c r="D31" i="23"/>
  <c r="E31" i="23"/>
  <c r="F31" i="23"/>
  <c r="G31" i="23"/>
  <c r="H31" i="23"/>
  <c r="I31" i="23"/>
  <c r="J31" i="23"/>
  <c r="K31" i="23"/>
  <c r="L31" i="23"/>
  <c r="M31" i="23"/>
  <c r="N31" i="23"/>
  <c r="O31" i="23"/>
  <c r="P31" i="23"/>
  <c r="Q31" i="23"/>
  <c r="R31" i="23"/>
  <c r="S31" i="23"/>
  <c r="T31" i="23"/>
  <c r="U31" i="23"/>
  <c r="V31" i="23"/>
  <c r="AB31" i="23"/>
  <c r="B32" i="23"/>
  <c r="AS32" i="23"/>
  <c r="C32" i="23"/>
  <c r="D32" i="23"/>
  <c r="E32" i="23"/>
  <c r="F32" i="23"/>
  <c r="G32" i="23"/>
  <c r="H32" i="23"/>
  <c r="I32" i="23"/>
  <c r="J32" i="23"/>
  <c r="K32" i="23"/>
  <c r="L32" i="23"/>
  <c r="M32" i="23"/>
  <c r="N32" i="23"/>
  <c r="O32" i="23"/>
  <c r="P32" i="23"/>
  <c r="Q32" i="23"/>
  <c r="R32" i="23"/>
  <c r="S32" i="23"/>
  <c r="T32" i="23"/>
  <c r="U32" i="23"/>
  <c r="V32" i="23"/>
  <c r="AB32" i="23"/>
  <c r="B33" i="23"/>
  <c r="AS33" i="23"/>
  <c r="C33" i="23"/>
  <c r="D33" i="23"/>
  <c r="E33" i="23"/>
  <c r="F33" i="23"/>
  <c r="G33" i="23"/>
  <c r="H33" i="23"/>
  <c r="I33" i="23"/>
  <c r="J33" i="23"/>
  <c r="K33" i="23"/>
  <c r="L33" i="23"/>
  <c r="M33" i="23"/>
  <c r="N33" i="23"/>
  <c r="O33" i="23"/>
  <c r="P33" i="23"/>
  <c r="Q33" i="23"/>
  <c r="R33" i="23"/>
  <c r="S33" i="23"/>
  <c r="T33" i="23"/>
  <c r="U33" i="23"/>
  <c r="V33" i="23"/>
  <c r="AB33" i="23"/>
  <c r="B34" i="23"/>
  <c r="AS34" i="23"/>
  <c r="C34" i="23"/>
  <c r="D34" i="23"/>
  <c r="E34" i="23"/>
  <c r="F34" i="23"/>
  <c r="G34" i="23"/>
  <c r="H34" i="23"/>
  <c r="I34" i="23"/>
  <c r="J34" i="23"/>
  <c r="K34" i="23"/>
  <c r="L34" i="23"/>
  <c r="M34" i="23"/>
  <c r="N34" i="23"/>
  <c r="O34" i="23"/>
  <c r="P34" i="23"/>
  <c r="Q34" i="23"/>
  <c r="R34" i="23"/>
  <c r="S34" i="23"/>
  <c r="T34" i="23"/>
  <c r="U34" i="23"/>
  <c r="V34" i="23"/>
  <c r="AB34" i="23"/>
  <c r="B35" i="23"/>
  <c r="AS35" i="23"/>
  <c r="C35" i="23"/>
  <c r="D35" i="23"/>
  <c r="E35" i="23"/>
  <c r="F35" i="23"/>
  <c r="G35" i="23"/>
  <c r="H35" i="23"/>
  <c r="I35" i="23"/>
  <c r="J35" i="23"/>
  <c r="K35" i="23"/>
  <c r="L35" i="23"/>
  <c r="M35" i="23"/>
  <c r="N35" i="23"/>
  <c r="O35" i="23"/>
  <c r="P35" i="23"/>
  <c r="Q35" i="23"/>
  <c r="R35" i="23"/>
  <c r="S35" i="23"/>
  <c r="T35" i="23"/>
  <c r="U35" i="23"/>
  <c r="V35" i="23"/>
  <c r="AB35" i="23"/>
  <c r="B36" i="23"/>
  <c r="AS36" i="23"/>
  <c r="C36" i="23"/>
  <c r="D36" i="23"/>
  <c r="E36" i="23"/>
  <c r="F36" i="23"/>
  <c r="G36" i="23"/>
  <c r="H36" i="23"/>
  <c r="I36" i="23"/>
  <c r="J36" i="23"/>
  <c r="K36" i="23"/>
  <c r="L36" i="23"/>
  <c r="M36" i="23"/>
  <c r="N36" i="23"/>
  <c r="O36" i="23"/>
  <c r="P36" i="23"/>
  <c r="Q36" i="23"/>
  <c r="R36" i="23"/>
  <c r="S36" i="23"/>
  <c r="T36" i="23"/>
  <c r="U36" i="23"/>
  <c r="V36" i="23"/>
  <c r="AB36" i="23"/>
  <c r="B37" i="23"/>
  <c r="AS37" i="23"/>
  <c r="C37" i="23"/>
  <c r="D37" i="23"/>
  <c r="E37" i="23"/>
  <c r="F37" i="23"/>
  <c r="G37" i="23"/>
  <c r="H37" i="23"/>
  <c r="I37" i="23"/>
  <c r="J37" i="23"/>
  <c r="K37" i="23"/>
  <c r="L37" i="23"/>
  <c r="M37" i="23"/>
  <c r="N37" i="23"/>
  <c r="O37" i="23"/>
  <c r="P37" i="23"/>
  <c r="Q37" i="23"/>
  <c r="R37" i="23"/>
  <c r="S37" i="23"/>
  <c r="T37" i="23"/>
  <c r="U37" i="23"/>
  <c r="V37" i="23"/>
  <c r="AB37" i="23"/>
  <c r="B38" i="23"/>
  <c r="AS38" i="23"/>
  <c r="C38" i="23"/>
  <c r="D38" i="23"/>
  <c r="E38" i="23"/>
  <c r="F38" i="23"/>
  <c r="G38" i="23"/>
  <c r="H38" i="23"/>
  <c r="I38" i="23"/>
  <c r="J38" i="23"/>
  <c r="K38" i="23"/>
  <c r="L38" i="23"/>
  <c r="M38" i="23"/>
  <c r="N38" i="23"/>
  <c r="O38" i="23"/>
  <c r="P38" i="23"/>
  <c r="Q38" i="23"/>
  <c r="R38" i="23"/>
  <c r="S38" i="23"/>
  <c r="T38" i="23"/>
  <c r="U38" i="23"/>
  <c r="V38" i="23"/>
  <c r="AB38" i="23"/>
  <c r="B39" i="23"/>
  <c r="AS39" i="23"/>
  <c r="C39" i="23"/>
  <c r="D39" i="23"/>
  <c r="E39" i="23"/>
  <c r="F39" i="23"/>
  <c r="G39" i="23"/>
  <c r="H39" i="23"/>
  <c r="I39" i="23"/>
  <c r="J39" i="23"/>
  <c r="K39" i="23"/>
  <c r="L39" i="23"/>
  <c r="M39" i="23"/>
  <c r="N39" i="23"/>
  <c r="O39" i="23"/>
  <c r="P39" i="23"/>
  <c r="Q39" i="23"/>
  <c r="R39" i="23"/>
  <c r="S39" i="23"/>
  <c r="T39" i="23"/>
  <c r="U39" i="23"/>
  <c r="V39" i="23"/>
  <c r="AB39" i="23"/>
  <c r="B40" i="23"/>
  <c r="AS40" i="23"/>
  <c r="C40" i="23"/>
  <c r="D40" i="23"/>
  <c r="E40" i="23"/>
  <c r="F40" i="23"/>
  <c r="G40" i="23"/>
  <c r="H40" i="23"/>
  <c r="I40" i="23"/>
  <c r="J40" i="23"/>
  <c r="K40" i="23"/>
  <c r="L40" i="23"/>
  <c r="M40" i="23"/>
  <c r="N40" i="23"/>
  <c r="O40" i="23"/>
  <c r="P40" i="23"/>
  <c r="Q40" i="23"/>
  <c r="R40" i="23"/>
  <c r="S40" i="23"/>
  <c r="T40" i="23"/>
  <c r="U40" i="23"/>
  <c r="V40" i="23"/>
  <c r="AB40" i="23"/>
  <c r="B41" i="23"/>
  <c r="AS41" i="23"/>
  <c r="C41" i="23"/>
  <c r="D41" i="23"/>
  <c r="E41" i="23"/>
  <c r="F41" i="23"/>
  <c r="G41" i="23"/>
  <c r="H41" i="23"/>
  <c r="I41" i="23"/>
  <c r="J41" i="23"/>
  <c r="K41" i="23"/>
  <c r="L41" i="23"/>
  <c r="M41" i="23"/>
  <c r="N41" i="23"/>
  <c r="O41" i="23"/>
  <c r="P41" i="23"/>
  <c r="Q41" i="23"/>
  <c r="R41" i="23"/>
  <c r="S41" i="23"/>
  <c r="T41" i="23"/>
  <c r="U41" i="23"/>
  <c r="V41" i="23"/>
  <c r="AB41" i="23"/>
  <c r="B42" i="23"/>
  <c r="AS42" i="23"/>
  <c r="C42" i="23"/>
  <c r="D42" i="23"/>
  <c r="E42" i="23"/>
  <c r="F42" i="23"/>
  <c r="G42" i="23"/>
  <c r="H42" i="23"/>
  <c r="I42" i="23"/>
  <c r="J42" i="23"/>
  <c r="K42" i="23"/>
  <c r="L42" i="23"/>
  <c r="M42" i="23"/>
  <c r="N42" i="23"/>
  <c r="O42" i="23"/>
  <c r="P42" i="23"/>
  <c r="Q42" i="23"/>
  <c r="R42" i="23"/>
  <c r="S42" i="23"/>
  <c r="T42" i="23"/>
  <c r="U42" i="23"/>
  <c r="V42" i="23"/>
  <c r="AB42" i="23"/>
  <c r="B43" i="23"/>
  <c r="AS43" i="23"/>
  <c r="C43" i="23"/>
  <c r="D43" i="23"/>
  <c r="E43" i="23"/>
  <c r="F43" i="23"/>
  <c r="G43" i="23"/>
  <c r="H43" i="23"/>
  <c r="I43" i="23"/>
  <c r="J43" i="23"/>
  <c r="K43" i="23"/>
  <c r="L43" i="23"/>
  <c r="M43" i="23"/>
  <c r="N43" i="23"/>
  <c r="O43" i="23"/>
  <c r="P43" i="23"/>
  <c r="Q43" i="23"/>
  <c r="R43" i="23"/>
  <c r="S43" i="23"/>
  <c r="T43" i="23"/>
  <c r="U43" i="23"/>
  <c r="V43" i="23"/>
  <c r="AB43" i="23"/>
  <c r="B44" i="23"/>
  <c r="AS44" i="23"/>
  <c r="C44" i="23"/>
  <c r="D44" i="23"/>
  <c r="E44" i="23"/>
  <c r="F44" i="23"/>
  <c r="G44" i="23"/>
  <c r="H44" i="23"/>
  <c r="I44" i="23"/>
  <c r="J44" i="23"/>
  <c r="K44" i="23"/>
  <c r="L44" i="23"/>
  <c r="M44" i="23"/>
  <c r="N44" i="23"/>
  <c r="O44" i="23"/>
  <c r="P44" i="23"/>
  <c r="Q44" i="23"/>
  <c r="R44" i="23"/>
  <c r="S44" i="23"/>
  <c r="T44" i="23"/>
  <c r="U44" i="23"/>
  <c r="V44" i="23"/>
  <c r="AB44" i="23"/>
  <c r="B45" i="23"/>
  <c r="AS45" i="23"/>
  <c r="C45" i="23"/>
  <c r="D45" i="23"/>
  <c r="E45" i="23"/>
  <c r="F45" i="23"/>
  <c r="G45" i="23"/>
  <c r="H45" i="23"/>
  <c r="I45" i="23"/>
  <c r="J45" i="23"/>
  <c r="K45" i="23"/>
  <c r="L45" i="23"/>
  <c r="M45" i="23"/>
  <c r="N45" i="23"/>
  <c r="O45" i="23"/>
  <c r="P45" i="23"/>
  <c r="Q45" i="23"/>
  <c r="R45" i="23"/>
  <c r="S45" i="23"/>
  <c r="T45" i="23"/>
  <c r="U45" i="23"/>
  <c r="V45" i="23"/>
  <c r="AB45" i="23"/>
  <c r="B46" i="23"/>
  <c r="AS46" i="23"/>
  <c r="C46" i="23"/>
  <c r="D46" i="23"/>
  <c r="E46" i="23"/>
  <c r="F46" i="23"/>
  <c r="G46" i="23"/>
  <c r="H46" i="23"/>
  <c r="I46" i="23"/>
  <c r="J46" i="23"/>
  <c r="K46" i="23"/>
  <c r="L46" i="23"/>
  <c r="M46" i="23"/>
  <c r="N46" i="23"/>
  <c r="O46" i="23"/>
  <c r="P46" i="23"/>
  <c r="Q46" i="23"/>
  <c r="R46" i="23"/>
  <c r="S46" i="23"/>
  <c r="T46" i="23"/>
  <c r="U46" i="23"/>
  <c r="V46" i="23"/>
  <c r="AB46" i="23"/>
  <c r="B47" i="23"/>
  <c r="AS47" i="23"/>
  <c r="C47" i="23"/>
  <c r="D47" i="23"/>
  <c r="E47" i="23"/>
  <c r="F47" i="23"/>
  <c r="G47" i="23"/>
  <c r="H47" i="23"/>
  <c r="I47" i="23"/>
  <c r="J47" i="23"/>
  <c r="K47" i="23"/>
  <c r="L47" i="23"/>
  <c r="M47" i="23"/>
  <c r="N47" i="23"/>
  <c r="O47" i="23"/>
  <c r="P47" i="23"/>
  <c r="Q47" i="23"/>
  <c r="R47" i="23"/>
  <c r="S47" i="23"/>
  <c r="T47" i="23"/>
  <c r="U47" i="23"/>
  <c r="V47" i="23"/>
  <c r="AB47" i="23"/>
  <c r="B48" i="23"/>
  <c r="AS48" i="23"/>
  <c r="C48" i="23"/>
  <c r="D48" i="23"/>
  <c r="E48" i="23"/>
  <c r="F48" i="23"/>
  <c r="G48" i="23"/>
  <c r="H48" i="23"/>
  <c r="I48" i="23"/>
  <c r="J48" i="23"/>
  <c r="K48" i="23"/>
  <c r="L48" i="23"/>
  <c r="M48" i="23"/>
  <c r="N48" i="23"/>
  <c r="O48" i="23"/>
  <c r="P48" i="23"/>
  <c r="Q48" i="23"/>
  <c r="R48" i="23"/>
  <c r="S48" i="23"/>
  <c r="T48" i="23"/>
  <c r="U48" i="23"/>
  <c r="V48" i="23"/>
  <c r="AB48" i="23"/>
  <c r="B49" i="23"/>
  <c r="AS49" i="23"/>
  <c r="C49" i="23"/>
  <c r="D49" i="23"/>
  <c r="E49" i="23"/>
  <c r="F49" i="23"/>
  <c r="G49" i="23"/>
  <c r="H49" i="23"/>
  <c r="I49" i="23"/>
  <c r="J49" i="23"/>
  <c r="K49" i="23"/>
  <c r="L49" i="23"/>
  <c r="M49" i="23"/>
  <c r="N49" i="23"/>
  <c r="O49" i="23"/>
  <c r="P49" i="23"/>
  <c r="Q49" i="23"/>
  <c r="R49" i="23"/>
  <c r="S49" i="23"/>
  <c r="T49" i="23"/>
  <c r="U49" i="23"/>
  <c r="V49" i="23"/>
  <c r="AB49" i="23"/>
  <c r="B50" i="23"/>
  <c r="AS50" i="23"/>
  <c r="C50" i="23"/>
  <c r="D50" i="23"/>
  <c r="E50" i="23"/>
  <c r="F50" i="23"/>
  <c r="G50" i="23"/>
  <c r="H50" i="23"/>
  <c r="I50" i="23"/>
  <c r="J50" i="23"/>
  <c r="K50" i="23"/>
  <c r="L50" i="23"/>
  <c r="M50" i="23"/>
  <c r="N50" i="23"/>
  <c r="O50" i="23"/>
  <c r="P50" i="23"/>
  <c r="Q50" i="23"/>
  <c r="R50" i="23"/>
  <c r="S50" i="23"/>
  <c r="T50" i="23"/>
  <c r="U50" i="23"/>
  <c r="V50" i="23"/>
  <c r="AB50" i="23"/>
  <c r="B51" i="23"/>
  <c r="AS51" i="23"/>
  <c r="C51" i="23"/>
  <c r="D51" i="23"/>
  <c r="E51" i="23"/>
  <c r="F51" i="23"/>
  <c r="G51" i="23"/>
  <c r="H51" i="23"/>
  <c r="I51" i="23"/>
  <c r="J51" i="23"/>
  <c r="K51" i="23"/>
  <c r="L51" i="23"/>
  <c r="M51" i="23"/>
  <c r="N51" i="23"/>
  <c r="O51" i="23"/>
  <c r="P51" i="23"/>
  <c r="Q51" i="23"/>
  <c r="R51" i="23"/>
  <c r="S51" i="23"/>
  <c r="T51" i="23"/>
  <c r="U51" i="23"/>
  <c r="V51" i="23"/>
  <c r="AB51" i="23"/>
  <c r="B52" i="23"/>
  <c r="AS52" i="23"/>
  <c r="C52" i="23"/>
  <c r="D52" i="23"/>
  <c r="E52" i="23"/>
  <c r="F52" i="23"/>
  <c r="G52" i="23"/>
  <c r="H52" i="23"/>
  <c r="I52" i="23"/>
  <c r="J52" i="23"/>
  <c r="K52" i="23"/>
  <c r="L52" i="23"/>
  <c r="M52" i="23"/>
  <c r="N52" i="23"/>
  <c r="O52" i="23"/>
  <c r="P52" i="23"/>
  <c r="Q52" i="23"/>
  <c r="R52" i="23"/>
  <c r="S52" i="23"/>
  <c r="T52" i="23"/>
  <c r="U52" i="23"/>
  <c r="V52" i="23"/>
  <c r="AB52" i="23"/>
  <c r="B53" i="23"/>
  <c r="AS53" i="23"/>
  <c r="C53" i="23"/>
  <c r="D53" i="23"/>
  <c r="E53" i="23"/>
  <c r="F53" i="23"/>
  <c r="G53" i="23"/>
  <c r="H53" i="23"/>
  <c r="I53" i="23"/>
  <c r="J53" i="23"/>
  <c r="K53" i="23"/>
  <c r="L53" i="23"/>
  <c r="M53" i="23"/>
  <c r="N53" i="23"/>
  <c r="O53" i="23"/>
  <c r="P53" i="23"/>
  <c r="Q53" i="23"/>
  <c r="R53" i="23"/>
  <c r="S53" i="23"/>
  <c r="T53" i="23"/>
  <c r="U53" i="23"/>
  <c r="V53" i="23"/>
  <c r="AB53" i="23"/>
  <c r="B54" i="23"/>
  <c r="AS54" i="23"/>
  <c r="C54" i="23"/>
  <c r="D54" i="23"/>
  <c r="E54" i="23"/>
  <c r="F54" i="23"/>
  <c r="G54" i="23"/>
  <c r="H54" i="23"/>
  <c r="I54" i="23"/>
  <c r="J54" i="23"/>
  <c r="K54" i="23"/>
  <c r="L54" i="23"/>
  <c r="M54" i="23"/>
  <c r="N54" i="23"/>
  <c r="O54" i="23"/>
  <c r="P54" i="23"/>
  <c r="Q54" i="23"/>
  <c r="R54" i="23"/>
  <c r="S54" i="23"/>
  <c r="T54" i="23"/>
  <c r="U54" i="23"/>
  <c r="V54" i="23"/>
  <c r="AB54" i="23"/>
  <c r="B55" i="23"/>
  <c r="AS55" i="23"/>
  <c r="C55" i="23"/>
  <c r="D55" i="23"/>
  <c r="E55" i="23"/>
  <c r="F55" i="23"/>
  <c r="G55" i="23"/>
  <c r="H55" i="23"/>
  <c r="I55" i="23"/>
  <c r="J55" i="23"/>
  <c r="K55" i="23"/>
  <c r="L55" i="23"/>
  <c r="M55" i="23"/>
  <c r="N55" i="23"/>
  <c r="O55" i="23"/>
  <c r="P55" i="23"/>
  <c r="Q55" i="23"/>
  <c r="R55" i="23"/>
  <c r="S55" i="23"/>
  <c r="T55" i="23"/>
  <c r="U55" i="23"/>
  <c r="V55" i="23"/>
  <c r="AB55" i="23"/>
  <c r="B56" i="23"/>
  <c r="AS56" i="23"/>
  <c r="C56" i="23"/>
  <c r="D56" i="23"/>
  <c r="E56" i="23"/>
  <c r="F56" i="23"/>
  <c r="G56" i="23"/>
  <c r="H56" i="23"/>
  <c r="I56" i="23"/>
  <c r="J56" i="23"/>
  <c r="K56" i="23"/>
  <c r="L56" i="23"/>
  <c r="M56" i="23"/>
  <c r="N56" i="23"/>
  <c r="O56" i="23"/>
  <c r="P56" i="23"/>
  <c r="Q56" i="23"/>
  <c r="R56" i="23"/>
  <c r="S56" i="23"/>
  <c r="T56" i="23"/>
  <c r="U56" i="23"/>
  <c r="V56" i="23"/>
  <c r="AB56" i="23"/>
  <c r="B11" i="23"/>
  <c r="BR16" i="12"/>
  <c r="BR38" i="12"/>
  <c r="BR35" i="12"/>
  <c r="BR17" i="12"/>
  <c r="BR18" i="12"/>
  <c r="BR19" i="12"/>
  <c r="BR30" i="12"/>
  <c r="BR31" i="12"/>
  <c r="BR34" i="12"/>
  <c r="BR36" i="12"/>
  <c r="BR37" i="12"/>
  <c r="BR20" i="12"/>
  <c r="BR22" i="12"/>
  <c r="BR21" i="12"/>
  <c r="BR24" i="12"/>
  <c r="BR32" i="12"/>
  <c r="BR33" i="12"/>
  <c r="BR25" i="12"/>
  <c r="BR26" i="12"/>
  <c r="BR27" i="12"/>
  <c r="BR28" i="12"/>
  <c r="BR29" i="12"/>
  <c r="BR34" i="13"/>
  <c r="BR13" i="13"/>
  <c r="BR18" i="13"/>
  <c r="BR16" i="13"/>
  <c r="BR17" i="13"/>
  <c r="BR20" i="13"/>
  <c r="BR22" i="13"/>
  <c r="BR23" i="13"/>
  <c r="BR26" i="13"/>
  <c r="BR24" i="13"/>
  <c r="BR25" i="13"/>
  <c r="BR28" i="13"/>
  <c r="BR27" i="13"/>
  <c r="BR29" i="13"/>
  <c r="BR30" i="13"/>
  <c r="BR31" i="13"/>
  <c r="BR43" i="13"/>
  <c r="BR45" i="13"/>
  <c r="BR35" i="13"/>
  <c r="BR36" i="13"/>
  <c r="BR44" i="13"/>
  <c r="BR37" i="13"/>
  <c r="BS12" i="12"/>
  <c r="BS14" i="12"/>
  <c r="BS15" i="12"/>
  <c r="BS16" i="12"/>
  <c r="BS38" i="12"/>
  <c r="BS35" i="12"/>
  <c r="BS17" i="12"/>
  <c r="BS18" i="12"/>
  <c r="BS19" i="12"/>
  <c r="BS30" i="12"/>
  <c r="BS31" i="12"/>
  <c r="BS34" i="12"/>
  <c r="BS36" i="12"/>
  <c r="BS37" i="12"/>
  <c r="BS20" i="12"/>
  <c r="BS22" i="12"/>
  <c r="BS21" i="12"/>
  <c r="BS24" i="12"/>
  <c r="BS32" i="12"/>
  <c r="BS33" i="12"/>
  <c r="BS25" i="12"/>
  <c r="BS26" i="12"/>
  <c r="BS27" i="12"/>
  <c r="BS28" i="12"/>
  <c r="BS29" i="12"/>
  <c r="BS34" i="13"/>
  <c r="BS12" i="13"/>
  <c r="BS13" i="13"/>
  <c r="BS18" i="13"/>
  <c r="BS15" i="13"/>
  <c r="BS16" i="13"/>
  <c r="BS17" i="13"/>
  <c r="BS19" i="13"/>
  <c r="BS20" i="13"/>
  <c r="BS22" i="13"/>
  <c r="BS23" i="13"/>
  <c r="BS26" i="13"/>
  <c r="BS24" i="13"/>
  <c r="BS25" i="13"/>
  <c r="BS28" i="13"/>
  <c r="BS27" i="13"/>
  <c r="BS29" i="13"/>
  <c r="BS30" i="13"/>
  <c r="BS31" i="13"/>
  <c r="BS43" i="13"/>
  <c r="BS45" i="13"/>
  <c r="BS35" i="13"/>
  <c r="BS36" i="13"/>
  <c r="BS44" i="13"/>
  <c r="BS37" i="13"/>
  <c r="BU12" i="12"/>
  <c r="BU14" i="12"/>
  <c r="BU15" i="12"/>
  <c r="BU16" i="12"/>
  <c r="BU38" i="12"/>
  <c r="BU35" i="12"/>
  <c r="BU17" i="12"/>
  <c r="BU18" i="12"/>
  <c r="BU19" i="12"/>
  <c r="BU30" i="12"/>
  <c r="BU31" i="12"/>
  <c r="BU34" i="12"/>
  <c r="BU36" i="12"/>
  <c r="BU37" i="12"/>
  <c r="BU20" i="12"/>
  <c r="BU22" i="12"/>
  <c r="BU21" i="12"/>
  <c r="BU24" i="12"/>
  <c r="BU32" i="12"/>
  <c r="BU33" i="12"/>
  <c r="BU25" i="12"/>
  <c r="BU26" i="12"/>
  <c r="BU27" i="12"/>
  <c r="BU28" i="12"/>
  <c r="BU29" i="12"/>
  <c r="BU34" i="13"/>
  <c r="BU12" i="13"/>
  <c r="BU13" i="13"/>
  <c r="BU18" i="13"/>
  <c r="BU15" i="13"/>
  <c r="BU16" i="13"/>
  <c r="BU17" i="13"/>
  <c r="BU19" i="13"/>
  <c r="BU20" i="13"/>
  <c r="BU22" i="13"/>
  <c r="BU23" i="13"/>
  <c r="BU26" i="13"/>
  <c r="BU24" i="13"/>
  <c r="BU25" i="13"/>
  <c r="BU28" i="13"/>
  <c r="BU27" i="13"/>
  <c r="BU29" i="13"/>
  <c r="BU30" i="13"/>
  <c r="BU31" i="13"/>
  <c r="BU43" i="13"/>
  <c r="BU45" i="13"/>
  <c r="BU35" i="13"/>
  <c r="BU36" i="13"/>
  <c r="BU44" i="13"/>
  <c r="BU37" i="13"/>
  <c r="S35" i="16"/>
  <c r="S36" i="16"/>
  <c r="S27" i="16"/>
  <c r="S28" i="16"/>
  <c r="S29" i="16"/>
  <c r="S30" i="16"/>
  <c r="BG40" i="12"/>
  <c r="BI40" i="12"/>
  <c r="BB41" i="12"/>
  <c r="BJ39" i="12"/>
  <c r="BV39" i="12"/>
  <c r="BO39" i="12"/>
  <c r="BP39" i="12"/>
  <c r="BH19" i="13"/>
  <c r="BH47" i="13"/>
  <c r="BH24" i="13"/>
  <c r="BH18" i="12"/>
  <c r="BH35" i="12"/>
  <c r="BH36" i="12"/>
  <c r="BH17" i="12"/>
  <c r="BH25" i="12"/>
  <c r="BH27" i="13"/>
  <c r="BH28" i="13"/>
  <c r="BH36" i="13"/>
  <c r="BH11" i="12"/>
  <c r="BH12" i="12"/>
  <c r="BH15" i="12"/>
  <c r="BH14" i="12"/>
  <c r="BH38" i="12"/>
  <c r="BH25" i="13"/>
  <c r="BH16" i="13"/>
  <c r="BH13" i="12"/>
  <c r="BH16" i="12"/>
  <c r="BH19" i="12"/>
  <c r="BH30" i="12"/>
  <c r="BH31" i="12"/>
  <c r="BH34" i="12"/>
  <c r="BH37" i="12"/>
  <c r="BH20" i="12"/>
  <c r="BH22" i="12"/>
  <c r="BH21" i="12"/>
  <c r="BH23" i="12"/>
  <c r="BH24" i="12"/>
  <c r="BH32" i="12"/>
  <c r="BH33" i="12"/>
  <c r="BH26" i="12"/>
  <c r="BH27" i="12"/>
  <c r="BH28" i="12"/>
  <c r="BH29" i="12"/>
  <c r="BH34" i="13"/>
  <c r="BH11" i="13"/>
  <c r="BH12" i="13"/>
  <c r="BH13" i="13"/>
  <c r="BH14" i="13"/>
  <c r="BH18" i="13"/>
  <c r="BH15" i="13"/>
  <c r="BH17" i="13"/>
  <c r="BH21" i="13"/>
  <c r="BH20" i="13"/>
  <c r="BH42" i="13"/>
  <c r="BH22" i="13"/>
  <c r="BH23" i="13"/>
  <c r="BH39" i="13"/>
  <c r="BH40" i="13"/>
  <c r="BH41" i="13"/>
  <c r="BH26" i="13"/>
  <c r="BH29" i="13"/>
  <c r="BH33" i="13"/>
  <c r="BH30" i="13"/>
  <c r="BH31" i="13"/>
  <c r="BH32" i="13"/>
  <c r="BH43" i="13"/>
  <c r="BH45" i="13"/>
  <c r="BH35" i="13"/>
  <c r="BH44" i="13"/>
  <c r="BH37" i="13"/>
  <c r="BH38" i="13"/>
  <c r="BH46" i="13"/>
  <c r="BH48" i="13"/>
  <c r="Q11" i="16"/>
  <c r="S11" i="16"/>
  <c r="C4" i="23"/>
  <c r="A2" i="23"/>
  <c r="H7" i="23"/>
  <c r="Z27" i="23"/>
  <c r="Z28" i="23"/>
  <c r="Z29" i="23"/>
  <c r="Z30" i="23"/>
  <c r="Z31" i="23"/>
  <c r="Z32" i="23"/>
  <c r="Z33" i="23"/>
  <c r="Z34" i="23"/>
  <c r="Z35" i="23"/>
  <c r="Z36" i="23"/>
  <c r="Z37" i="23"/>
  <c r="Z38" i="23"/>
  <c r="Z39" i="23"/>
  <c r="Z40" i="23"/>
  <c r="Z41" i="23"/>
  <c r="Z42" i="23"/>
  <c r="Z43" i="23"/>
  <c r="Z44" i="23"/>
  <c r="Z45" i="23"/>
  <c r="Z46" i="23"/>
  <c r="Z47" i="23"/>
  <c r="Z48" i="23"/>
  <c r="Z49" i="23"/>
  <c r="Z50" i="23"/>
  <c r="Z51" i="23"/>
  <c r="Z52" i="23"/>
  <c r="Z53" i="23"/>
  <c r="Z54" i="23"/>
  <c r="Z55" i="23"/>
  <c r="Z56" i="23"/>
  <c r="W11" i="23"/>
  <c r="W12" i="23"/>
  <c r="W13"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H6" i="23"/>
  <c r="H5" i="23"/>
  <c r="H4" i="23"/>
  <c r="BM39" i="12"/>
  <c r="BN39" i="12"/>
  <c r="A2" i="1"/>
  <c r="B6" i="1"/>
  <c r="B13" i="22"/>
  <c r="AR13" i="22"/>
  <c r="B14" i="22"/>
  <c r="AR14" i="22"/>
  <c r="B15" i="22"/>
  <c r="AR15" i="22"/>
  <c r="B16" i="22"/>
  <c r="AR16" i="22"/>
  <c r="B17" i="22"/>
  <c r="AR17" i="22"/>
  <c r="B18" i="22"/>
  <c r="AR18" i="22"/>
  <c r="B19" i="22"/>
  <c r="AR19" i="22"/>
  <c r="B20" i="22"/>
  <c r="AR20" i="22"/>
  <c r="B21" i="22"/>
  <c r="AR21" i="22"/>
  <c r="B22" i="22"/>
  <c r="AR22" i="22"/>
  <c r="B23" i="22"/>
  <c r="AR23" i="22"/>
  <c r="B24" i="22"/>
  <c r="AR24" i="22"/>
  <c r="B25" i="22"/>
  <c r="AR25" i="22"/>
  <c r="B26" i="22"/>
  <c r="AR26" i="22"/>
  <c r="B27" i="22"/>
  <c r="AR27" i="22"/>
  <c r="B28" i="22"/>
  <c r="AR28" i="22"/>
  <c r="B29" i="22"/>
  <c r="AR29" i="22"/>
  <c r="B30" i="22"/>
  <c r="AR30" i="22"/>
  <c r="B31" i="22"/>
  <c r="AR31" i="22"/>
  <c r="B32" i="22"/>
  <c r="AR32" i="22"/>
  <c r="B33" i="22"/>
  <c r="AR33" i="22"/>
  <c r="B34" i="22"/>
  <c r="AR34" i="22"/>
  <c r="B35" i="22"/>
  <c r="AR35" i="22"/>
  <c r="B36" i="22"/>
  <c r="AR36" i="22"/>
  <c r="B37" i="22"/>
  <c r="AR37" i="22"/>
  <c r="B38" i="22"/>
  <c r="AR38" i="22"/>
  <c r="B39" i="22"/>
  <c r="AR39" i="22"/>
  <c r="B40" i="22"/>
  <c r="AR40" i="22"/>
  <c r="B41" i="22"/>
  <c r="AR41" i="22"/>
  <c r="B42" i="22"/>
  <c r="AR42" i="22"/>
  <c r="B43" i="22"/>
  <c r="AR43" i="22"/>
  <c r="B44" i="22"/>
  <c r="AR44" i="22"/>
  <c r="B45" i="22"/>
  <c r="AR45" i="22"/>
  <c r="B46" i="22"/>
  <c r="AR46" i="22"/>
  <c r="B47" i="22"/>
  <c r="AR47" i="22"/>
  <c r="B48" i="22"/>
  <c r="AR48" i="22"/>
  <c r="B49" i="22"/>
  <c r="AR49" i="22"/>
  <c r="B50" i="22"/>
  <c r="AR50" i="22"/>
  <c r="B51" i="22"/>
  <c r="AR51" i="22"/>
  <c r="B52" i="22"/>
  <c r="AR52" i="22"/>
  <c r="B53" i="22"/>
  <c r="AR53" i="22"/>
  <c r="B54" i="22"/>
  <c r="AR54" i="22"/>
  <c r="B55" i="22"/>
  <c r="AR55" i="22"/>
  <c r="B56" i="22"/>
  <c r="AR56" i="22"/>
  <c r="B11" i="22"/>
  <c r="AR11" i="22"/>
  <c r="B12" i="22"/>
  <c r="AR12" i="22"/>
  <c r="BR39" i="12"/>
  <c r="U35" i="16"/>
  <c r="U36" i="16"/>
  <c r="U27" i="16"/>
  <c r="T35" i="16"/>
  <c r="T36" i="16"/>
  <c r="T27" i="16"/>
  <c r="U28" i="16"/>
  <c r="T28" i="16"/>
  <c r="T29" i="16"/>
  <c r="T30" i="16"/>
  <c r="T31" i="16"/>
  <c r="U29" i="16"/>
  <c r="U30" i="16"/>
  <c r="U31" i="16"/>
  <c r="U32" i="16"/>
  <c r="BD27" i="22"/>
  <c r="BD28" i="22"/>
  <c r="BD29" i="22"/>
  <c r="BD30" i="22"/>
  <c r="BD31" i="22"/>
  <c r="BD32" i="22"/>
  <c r="BD33" i="22"/>
  <c r="BD34" i="22"/>
  <c r="BD35" i="22"/>
  <c r="BD36" i="22"/>
  <c r="BD37" i="22"/>
  <c r="BD38" i="22"/>
  <c r="BD39" i="22"/>
  <c r="BD40" i="22"/>
  <c r="BD41" i="22"/>
  <c r="BD42" i="22"/>
  <c r="BD43" i="22"/>
  <c r="BD44" i="22"/>
  <c r="BD45" i="22"/>
  <c r="BD46" i="22"/>
  <c r="BD47" i="22"/>
  <c r="BD48" i="22"/>
  <c r="BD49" i="22"/>
  <c r="BD50" i="22"/>
  <c r="BD51" i="22"/>
  <c r="BD52" i="22"/>
  <c r="BD53" i="22"/>
  <c r="BD54" i="22"/>
  <c r="BD55" i="22"/>
  <c r="BD56" i="22"/>
  <c r="BD11" i="22"/>
  <c r="H7" i="22"/>
  <c r="BH39" i="12"/>
  <c r="H6" i="22"/>
  <c r="H5" i="22"/>
  <c r="H4" i="22"/>
  <c r="A2" i="22"/>
  <c r="BX12" i="13"/>
  <c r="BX13" i="13"/>
  <c r="BX15" i="13"/>
  <c r="BX16" i="13"/>
  <c r="BX17" i="13"/>
  <c r="BX18" i="13"/>
  <c r="BX19" i="13"/>
  <c r="BX20" i="13"/>
  <c r="BX22" i="13"/>
  <c r="BX23" i="13"/>
  <c r="BX24" i="13"/>
  <c r="BX25" i="13"/>
  <c r="BX26" i="13"/>
  <c r="BX27" i="13"/>
  <c r="BX28" i="13"/>
  <c r="BX29" i="13"/>
  <c r="BX30" i="13"/>
  <c r="BX31" i="13"/>
  <c r="BX34" i="13"/>
  <c r="BX35" i="13"/>
  <c r="BX36" i="13"/>
  <c r="BX37" i="13"/>
  <c r="BX43" i="13"/>
  <c r="BX44" i="13"/>
  <c r="BX45" i="13"/>
  <c r="BV49" i="13"/>
  <c r="BX49" i="13"/>
  <c r="BV50" i="13"/>
  <c r="BX50" i="13"/>
  <c r="BV51" i="13"/>
  <c r="BX51" i="13"/>
  <c r="BV52" i="13"/>
  <c r="BX52" i="13"/>
  <c r="BV53" i="13"/>
  <c r="BX53" i="13"/>
  <c r="BV54" i="13"/>
  <c r="BX54" i="13"/>
  <c r="BV55" i="13"/>
  <c r="BX55" i="13"/>
  <c r="BV56" i="13"/>
  <c r="BX56" i="13"/>
  <c r="BV57" i="13"/>
  <c r="BX57" i="13"/>
  <c r="BV58" i="13"/>
  <c r="BX58" i="13"/>
  <c r="BV59" i="13"/>
  <c r="BX59" i="13"/>
  <c r="BV60" i="13"/>
  <c r="BX60" i="13"/>
  <c r="BV61" i="13"/>
  <c r="BX61" i="13"/>
  <c r="BV62" i="13"/>
  <c r="BX62" i="13"/>
  <c r="BV63" i="13"/>
  <c r="BX63" i="13"/>
  <c r="BV64" i="13"/>
  <c r="BX64" i="13"/>
  <c r="BV65" i="13"/>
  <c r="BX65" i="13"/>
  <c r="BV66" i="13"/>
  <c r="BX66" i="13"/>
  <c r="BV67" i="13"/>
  <c r="BX67" i="13"/>
  <c r="BV68" i="13"/>
  <c r="BX68" i="13"/>
  <c r="BV69" i="13"/>
  <c r="BX69" i="13"/>
  <c r="BV70" i="13"/>
  <c r="BX70" i="13"/>
  <c r="BX11" i="13"/>
  <c r="BX12" i="12"/>
  <c r="BX13" i="12"/>
  <c r="BX14" i="12"/>
  <c r="BX15" i="12"/>
  <c r="BX16" i="12"/>
  <c r="BX17" i="12"/>
  <c r="BX18" i="12"/>
  <c r="BX19" i="12"/>
  <c r="BX20" i="12"/>
  <c r="BX21" i="12"/>
  <c r="BX22" i="12"/>
  <c r="BX24" i="12"/>
  <c r="BX25" i="12"/>
  <c r="BX26" i="12"/>
  <c r="BX27" i="12"/>
  <c r="BX28" i="12"/>
  <c r="BX29" i="12"/>
  <c r="BX30" i="12"/>
  <c r="BX31" i="12"/>
  <c r="BX32" i="12"/>
  <c r="BX33" i="12"/>
  <c r="BX34" i="12"/>
  <c r="BX35" i="12"/>
  <c r="BX36" i="12"/>
  <c r="BX37" i="12"/>
  <c r="BX38" i="12"/>
  <c r="BX39" i="12"/>
  <c r="BV40" i="12"/>
  <c r="BX40" i="12"/>
  <c r="BV41" i="12"/>
  <c r="BX41" i="12"/>
  <c r="BV42" i="12"/>
  <c r="BX42" i="12"/>
  <c r="BV43" i="12"/>
  <c r="BX43" i="12"/>
  <c r="BV44" i="12"/>
  <c r="BX44" i="12"/>
  <c r="BV45" i="12"/>
  <c r="BX45" i="12"/>
  <c r="BV46" i="12"/>
  <c r="BX46" i="12"/>
  <c r="BV47" i="12"/>
  <c r="BX47" i="12"/>
  <c r="BV48" i="12"/>
  <c r="BX48" i="12"/>
  <c r="BV49" i="12"/>
  <c r="BX49" i="12"/>
  <c r="BV50" i="12"/>
  <c r="BX50" i="12"/>
  <c r="BV51" i="12"/>
  <c r="BX51" i="12"/>
  <c r="BV52" i="12"/>
  <c r="BX52" i="12"/>
  <c r="BV53" i="12"/>
  <c r="BX53" i="12"/>
  <c r="BV54" i="12"/>
  <c r="BX54" i="12"/>
  <c r="BV55" i="12"/>
  <c r="BX55" i="12"/>
  <c r="BV56" i="12"/>
  <c r="BX56" i="12"/>
  <c r="BV57" i="12"/>
  <c r="BX57" i="12"/>
  <c r="BV58" i="12"/>
  <c r="BX58" i="12"/>
  <c r="BV59" i="12"/>
  <c r="BX59" i="12"/>
  <c r="BV60" i="12"/>
  <c r="BX60" i="12"/>
  <c r="BV61" i="12"/>
  <c r="BX61" i="12"/>
  <c r="BV62" i="12"/>
  <c r="BX62" i="12"/>
  <c r="BV63" i="12"/>
  <c r="BX63" i="12"/>
  <c r="BV64" i="12"/>
  <c r="BX64" i="12"/>
  <c r="BV65" i="12"/>
  <c r="BX65" i="12"/>
  <c r="BV66" i="12"/>
  <c r="BX66" i="12"/>
  <c r="BV67" i="12"/>
  <c r="BX67" i="12"/>
  <c r="BV68" i="12"/>
  <c r="BX68" i="12"/>
  <c r="BV69" i="12"/>
  <c r="BX69" i="12"/>
  <c r="BV70" i="12"/>
  <c r="BX70" i="12"/>
  <c r="BX11" i="12"/>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U26" i="16"/>
  <c r="S26" i="16"/>
  <c r="Q35" i="16"/>
  <c r="Q36" i="16"/>
  <c r="CH3" i="21"/>
  <c r="D51" i="5"/>
  <c r="CI3" i="21"/>
  <c r="CJ3" i="21"/>
  <c r="CH4" i="21"/>
  <c r="D52" i="5"/>
  <c r="CI4" i="21"/>
  <c r="CJ4" i="21"/>
  <c r="CH5" i="21"/>
  <c r="D53" i="5"/>
  <c r="CI5" i="21"/>
  <c r="CJ5" i="21"/>
  <c r="CH6" i="21"/>
  <c r="D54" i="5"/>
  <c r="CI6" i="21"/>
  <c r="CJ6" i="21"/>
  <c r="CK3" i="21"/>
  <c r="CL3" i="21"/>
  <c r="CM3" i="21"/>
  <c r="CN3" i="21"/>
  <c r="CO3" i="21"/>
  <c r="CK4" i="21"/>
  <c r="CL4" i="21"/>
  <c r="CM4" i="21"/>
  <c r="CN4" i="21"/>
  <c r="CO4" i="21"/>
  <c r="CK5" i="21"/>
  <c r="CL5" i="21"/>
  <c r="CM5" i="21"/>
  <c r="CN5" i="21"/>
  <c r="CO5" i="21"/>
  <c r="CK6" i="21"/>
  <c r="CL6" i="21"/>
  <c r="CM6" i="21"/>
  <c r="CN6" i="21"/>
  <c r="CO6" i="21"/>
  <c r="CH7" i="21"/>
  <c r="D55" i="5"/>
  <c r="CI7" i="21"/>
  <c r="CJ7" i="21"/>
  <c r="CK7" i="21"/>
  <c r="CL7" i="21"/>
  <c r="CM7" i="21"/>
  <c r="CN7" i="21"/>
  <c r="CO7" i="21"/>
  <c r="CH8" i="21"/>
  <c r="D56" i="5"/>
  <c r="CI8" i="21"/>
  <c r="CJ8" i="21"/>
  <c r="CK8" i="21"/>
  <c r="CL8" i="21"/>
  <c r="CM8" i="21"/>
  <c r="CN8" i="21"/>
  <c r="CO8" i="21"/>
  <c r="CH9" i="21"/>
  <c r="D57" i="5"/>
  <c r="CI9" i="21"/>
  <c r="CJ9" i="21"/>
  <c r="CK9" i="21"/>
  <c r="CL9" i="21"/>
  <c r="CM9" i="21"/>
  <c r="CN9" i="21"/>
  <c r="CO9" i="21"/>
  <c r="CH10" i="21"/>
  <c r="D58" i="5"/>
  <c r="CI10" i="21"/>
  <c r="CJ10" i="21"/>
  <c r="CK10" i="21"/>
  <c r="CL10" i="21"/>
  <c r="CM10" i="21"/>
  <c r="CN10" i="21"/>
  <c r="CO10" i="21"/>
  <c r="CH11" i="21"/>
  <c r="D59" i="5"/>
  <c r="CI11" i="21"/>
  <c r="CJ11" i="21"/>
  <c r="CK11" i="21"/>
  <c r="CL11" i="21"/>
  <c r="CM11" i="21"/>
  <c r="CN11" i="21"/>
  <c r="CO11" i="21"/>
  <c r="CH12" i="21"/>
  <c r="D60" i="5"/>
  <c r="CI12" i="21"/>
  <c r="CJ12" i="21"/>
  <c r="CK12" i="21"/>
  <c r="CL12" i="21"/>
  <c r="CM12" i="21"/>
  <c r="CN12" i="21"/>
  <c r="CO12" i="21"/>
  <c r="CH13" i="21"/>
  <c r="D61" i="5"/>
  <c r="CI13" i="21"/>
  <c r="CJ13" i="21"/>
  <c r="CK13" i="21"/>
  <c r="CL13" i="21"/>
  <c r="CM13" i="21"/>
  <c r="CN13" i="21"/>
  <c r="CO13" i="21"/>
  <c r="CH14" i="21"/>
  <c r="D62" i="5"/>
  <c r="CI14" i="21"/>
  <c r="CJ14" i="21"/>
  <c r="CK14" i="21"/>
  <c r="CL14" i="21"/>
  <c r="CM14" i="21"/>
  <c r="CN14" i="21"/>
  <c r="CO14" i="21"/>
  <c r="CH15" i="21"/>
  <c r="D63" i="5"/>
  <c r="CI15" i="21"/>
  <c r="CJ15" i="21"/>
  <c r="CK15" i="21"/>
  <c r="CL15" i="21"/>
  <c r="CM15" i="21"/>
  <c r="CN15" i="21"/>
  <c r="CO15" i="21"/>
  <c r="CH16" i="21"/>
  <c r="D64" i="5"/>
  <c r="CI16" i="21"/>
  <c r="CJ16" i="21"/>
  <c r="CK16" i="21"/>
  <c r="CL16" i="21"/>
  <c r="CM16" i="21"/>
  <c r="CN16" i="21"/>
  <c r="CO16" i="21"/>
  <c r="CH17" i="21"/>
  <c r="F51" i="5"/>
  <c r="D65" i="5"/>
  <c r="CI17" i="21"/>
  <c r="CJ17" i="21"/>
  <c r="CK17" i="21"/>
  <c r="CL17" i="21"/>
  <c r="CM17" i="21"/>
  <c r="CN17" i="21"/>
  <c r="CO17" i="21"/>
  <c r="CH18" i="21"/>
  <c r="F52" i="5"/>
  <c r="D66" i="5"/>
  <c r="CI18" i="21"/>
  <c r="CJ18" i="21"/>
  <c r="CK18" i="21"/>
  <c r="CL18" i="21"/>
  <c r="CM18" i="21"/>
  <c r="CN18" i="21"/>
  <c r="CO18" i="21"/>
  <c r="CH19" i="21"/>
  <c r="F53" i="5"/>
  <c r="D67" i="5"/>
  <c r="CI19" i="21"/>
  <c r="CJ19" i="21"/>
  <c r="CK19" i="21"/>
  <c r="CL19" i="21"/>
  <c r="CM19" i="21"/>
  <c r="CN19" i="21"/>
  <c r="CO19" i="21"/>
  <c r="CH20" i="21"/>
  <c r="F54" i="5"/>
  <c r="D68" i="5"/>
  <c r="CI20" i="21"/>
  <c r="CJ20" i="21"/>
  <c r="CK20" i="21"/>
  <c r="CL20" i="21"/>
  <c r="CM20" i="21"/>
  <c r="CN20" i="21"/>
  <c r="CO20" i="21"/>
  <c r="CH21" i="21"/>
  <c r="F55" i="5"/>
  <c r="D69" i="5"/>
  <c r="CI21" i="21"/>
  <c r="CJ21" i="21"/>
  <c r="CK21" i="21"/>
  <c r="CL21" i="21"/>
  <c r="CM21" i="21"/>
  <c r="CN21" i="21"/>
  <c r="CO21" i="21"/>
  <c r="CH22" i="21"/>
  <c r="F56" i="5"/>
  <c r="D70" i="5"/>
  <c r="CI22" i="21"/>
  <c r="CJ22" i="21"/>
  <c r="CK22" i="21"/>
  <c r="CL22" i="21"/>
  <c r="CM22" i="21"/>
  <c r="CN22" i="21"/>
  <c r="CO22" i="21"/>
  <c r="CH23" i="21"/>
  <c r="F57" i="5"/>
  <c r="D71" i="5"/>
  <c r="CI23" i="21"/>
  <c r="CJ23" i="21"/>
  <c r="CK23" i="21"/>
  <c r="CL23" i="21"/>
  <c r="CM23" i="21"/>
  <c r="CN23" i="21"/>
  <c r="CO23" i="21"/>
  <c r="CH24" i="21"/>
  <c r="F58" i="5"/>
  <c r="D72" i="5"/>
  <c r="CI24" i="21"/>
  <c r="CJ24" i="21"/>
  <c r="CK24" i="21"/>
  <c r="CL24" i="21"/>
  <c r="CM24" i="21"/>
  <c r="CN24" i="21"/>
  <c r="CO24" i="21"/>
  <c r="CH25" i="21"/>
  <c r="F59" i="5"/>
  <c r="D73" i="5"/>
  <c r="CI25" i="21"/>
  <c r="CJ25" i="21"/>
  <c r="CK25" i="21"/>
  <c r="CL25" i="21"/>
  <c r="CM25" i="21"/>
  <c r="CN25" i="21"/>
  <c r="CO25" i="21"/>
  <c r="CH26" i="21"/>
  <c r="F60" i="5"/>
  <c r="D74" i="5"/>
  <c r="CI26" i="21"/>
  <c r="CJ26" i="21"/>
  <c r="CK26" i="21"/>
  <c r="CL26" i="21"/>
  <c r="CM26" i="21"/>
  <c r="CN26" i="21"/>
  <c r="CO26" i="21"/>
  <c r="CH27" i="21"/>
  <c r="F61" i="5"/>
  <c r="CI27" i="21"/>
  <c r="CJ27" i="21"/>
  <c r="CK27" i="21"/>
  <c r="CL27" i="21"/>
  <c r="CM27" i="21"/>
  <c r="CN27" i="21"/>
  <c r="CO27" i="21"/>
  <c r="CH28" i="21"/>
  <c r="F62" i="5"/>
  <c r="CI28" i="21"/>
  <c r="CJ28" i="21"/>
  <c r="CK28" i="21"/>
  <c r="CL28" i="21"/>
  <c r="CM28" i="21"/>
  <c r="CN28" i="21"/>
  <c r="CO28" i="21"/>
  <c r="CH29" i="21"/>
  <c r="F63" i="5"/>
  <c r="CI29" i="21"/>
  <c r="CJ29" i="21"/>
  <c r="CK29" i="21"/>
  <c r="CL29" i="21"/>
  <c r="CM29" i="21"/>
  <c r="CN29" i="21"/>
  <c r="CO29" i="21"/>
  <c r="CH30" i="21"/>
  <c r="F64" i="5"/>
  <c r="CI30" i="21"/>
  <c r="CJ30" i="21"/>
  <c r="CK30" i="21"/>
  <c r="CL30" i="21"/>
  <c r="CM30" i="21"/>
  <c r="CN30" i="21"/>
  <c r="CO30" i="21"/>
  <c r="CH31" i="21"/>
  <c r="F65" i="5"/>
  <c r="CI31" i="21"/>
  <c r="CJ31" i="21"/>
  <c r="CK31" i="21"/>
  <c r="CL31" i="21"/>
  <c r="CM31" i="21"/>
  <c r="CN31" i="21"/>
  <c r="CO31" i="21"/>
  <c r="CH32" i="21"/>
  <c r="F66" i="5"/>
  <c r="CI32" i="21"/>
  <c r="CJ32" i="21"/>
  <c r="CK32" i="21"/>
  <c r="CL32" i="21"/>
  <c r="CM32" i="21"/>
  <c r="CN32" i="21"/>
  <c r="CO32" i="21"/>
  <c r="CH33" i="21"/>
  <c r="H51" i="5"/>
  <c r="F67" i="5"/>
  <c r="CI33" i="21"/>
  <c r="CJ33" i="21"/>
  <c r="CK33" i="21"/>
  <c r="CL33" i="21"/>
  <c r="CM33" i="21"/>
  <c r="CN33" i="21"/>
  <c r="CO33" i="21"/>
  <c r="CH34" i="21"/>
  <c r="H52" i="5"/>
  <c r="F68" i="5"/>
  <c r="CI34" i="21"/>
  <c r="CJ34" i="21"/>
  <c r="CK34" i="21"/>
  <c r="CL34" i="21"/>
  <c r="CM34" i="21"/>
  <c r="CN34" i="21"/>
  <c r="CO34" i="21"/>
  <c r="CH35" i="21"/>
  <c r="H53" i="5"/>
  <c r="F69" i="5"/>
  <c r="CI35" i="21"/>
  <c r="CJ35" i="21"/>
  <c r="CK35" i="21"/>
  <c r="CL35" i="21"/>
  <c r="CM35" i="21"/>
  <c r="CN35" i="21"/>
  <c r="CO35" i="21"/>
  <c r="CH36" i="21"/>
  <c r="H54" i="5"/>
  <c r="F70" i="5"/>
  <c r="CI36" i="21"/>
  <c r="CJ36" i="21"/>
  <c r="CK36" i="21"/>
  <c r="CL36" i="21"/>
  <c r="CM36" i="21"/>
  <c r="CN36" i="21"/>
  <c r="CO36" i="21"/>
  <c r="CH37" i="21"/>
  <c r="H55" i="5"/>
  <c r="F71" i="5"/>
  <c r="CI37" i="21"/>
  <c r="CJ37" i="21"/>
  <c r="CK37" i="21"/>
  <c r="CL37" i="21"/>
  <c r="CM37" i="21"/>
  <c r="CN37" i="21"/>
  <c r="CO37" i="21"/>
  <c r="CH38" i="21"/>
  <c r="H56" i="5"/>
  <c r="F72" i="5"/>
  <c r="CI38" i="21"/>
  <c r="CJ38" i="21"/>
  <c r="CK38" i="21"/>
  <c r="CL38" i="21"/>
  <c r="CM38" i="21"/>
  <c r="CN38" i="21"/>
  <c r="CO38" i="21"/>
  <c r="CH39" i="21"/>
  <c r="H57" i="5"/>
  <c r="CI39" i="21"/>
  <c r="CJ39" i="21"/>
  <c r="CK39" i="21"/>
  <c r="CL39" i="21"/>
  <c r="CM39" i="21"/>
  <c r="CN39" i="21"/>
  <c r="CO39" i="21"/>
  <c r="CH40" i="21"/>
  <c r="H58" i="5"/>
  <c r="CI40" i="21"/>
  <c r="CJ40" i="21"/>
  <c r="CK40" i="21"/>
  <c r="CL40" i="21"/>
  <c r="CM40" i="21"/>
  <c r="CN40" i="21"/>
  <c r="CO40" i="21"/>
  <c r="CH41" i="21"/>
  <c r="H59" i="5"/>
  <c r="CI41" i="21"/>
  <c r="CJ41" i="21"/>
  <c r="CK41" i="21"/>
  <c r="CL41" i="21"/>
  <c r="CM41" i="21"/>
  <c r="CN41" i="21"/>
  <c r="CO41" i="21"/>
  <c r="CH42" i="21"/>
  <c r="H60" i="5"/>
  <c r="CI42" i="21"/>
  <c r="CJ42" i="21"/>
  <c r="CK42" i="21"/>
  <c r="CL42" i="21"/>
  <c r="CM42" i="21"/>
  <c r="CN42" i="21"/>
  <c r="CO42" i="21"/>
  <c r="CH43" i="21"/>
  <c r="H61" i="5"/>
  <c r="CI43" i="21"/>
  <c r="CJ43" i="21"/>
  <c r="CK43" i="21"/>
  <c r="CL43" i="21"/>
  <c r="CM43" i="21"/>
  <c r="CN43" i="21"/>
  <c r="CO43" i="21"/>
  <c r="CH44" i="21"/>
  <c r="H62" i="5"/>
  <c r="CI44" i="21"/>
  <c r="CJ44" i="21"/>
  <c r="CK44" i="21"/>
  <c r="CL44" i="21"/>
  <c r="CM44" i="21"/>
  <c r="CN44" i="21"/>
  <c r="CO44" i="21"/>
  <c r="CH45" i="21"/>
  <c r="H63" i="5"/>
  <c r="CI45" i="21"/>
  <c r="CJ45" i="21"/>
  <c r="CK45" i="21"/>
  <c r="CL45" i="21"/>
  <c r="CM45" i="21"/>
  <c r="CN45" i="21"/>
  <c r="CO45" i="21"/>
  <c r="CH46" i="21"/>
  <c r="H64" i="5"/>
  <c r="CI46" i="21"/>
  <c r="CJ46" i="21"/>
  <c r="CK46" i="21"/>
  <c r="CL46" i="21"/>
  <c r="CM46" i="21"/>
  <c r="CN46" i="21"/>
  <c r="CO46" i="21"/>
  <c r="CH47" i="21"/>
  <c r="H65" i="5"/>
  <c r="F73" i="5"/>
  <c r="CI47" i="21"/>
  <c r="CJ47" i="21"/>
  <c r="CK47" i="21"/>
  <c r="CL47" i="21"/>
  <c r="CM47" i="21"/>
  <c r="CN47" i="21"/>
  <c r="CO47" i="21"/>
  <c r="CH48" i="21"/>
  <c r="H66" i="5"/>
  <c r="F74" i="5"/>
  <c r="CI48" i="21"/>
  <c r="CJ48" i="21"/>
  <c r="CK48" i="21"/>
  <c r="CL48" i="21"/>
  <c r="CM48" i="21"/>
  <c r="CN48" i="21"/>
  <c r="CO48" i="21"/>
  <c r="CH49" i="21"/>
  <c r="H67" i="5"/>
  <c r="F75" i="5"/>
  <c r="CI49" i="21"/>
  <c r="CJ49" i="21"/>
  <c r="CK49" i="21"/>
  <c r="CL49" i="21"/>
  <c r="CM49" i="21"/>
  <c r="CN49" i="21"/>
  <c r="CO49" i="21"/>
  <c r="CH50" i="21"/>
  <c r="H68" i="5"/>
  <c r="F76" i="5"/>
  <c r="CI50" i="21"/>
  <c r="CJ50" i="21"/>
  <c r="CK50" i="21"/>
  <c r="CL50" i="21"/>
  <c r="CM50" i="21"/>
  <c r="CN50" i="21"/>
  <c r="CO50" i="21"/>
  <c r="CH51" i="21"/>
  <c r="H69" i="5"/>
  <c r="F77" i="5"/>
  <c r="CI51" i="21"/>
  <c r="CJ51" i="21"/>
  <c r="CK51" i="21"/>
  <c r="CL51" i="21"/>
  <c r="CM51" i="21"/>
  <c r="CN51" i="21"/>
  <c r="CO51" i="21"/>
  <c r="CH52" i="21"/>
  <c r="H70" i="5"/>
  <c r="F78" i="5"/>
  <c r="CI52" i="21"/>
  <c r="CJ52" i="21"/>
  <c r="CK52" i="21"/>
  <c r="CL52" i="21"/>
  <c r="CM52" i="21"/>
  <c r="CN52" i="21"/>
  <c r="CO52" i="21"/>
  <c r="CH53" i="21"/>
  <c r="H71" i="5"/>
  <c r="F79" i="5"/>
  <c r="CI53" i="21"/>
  <c r="CJ53" i="21"/>
  <c r="CK53" i="21"/>
  <c r="CL53" i="21"/>
  <c r="CM53" i="21"/>
  <c r="CN53" i="21"/>
  <c r="CO53" i="21"/>
  <c r="CH54" i="21"/>
  <c r="H72" i="5"/>
  <c r="F80" i="5"/>
  <c r="CI54" i="21"/>
  <c r="CJ54" i="21"/>
  <c r="CK54" i="21"/>
  <c r="CL54" i="21"/>
  <c r="CM54" i="21"/>
  <c r="CN54" i="21"/>
  <c r="CO54" i="21"/>
  <c r="CH55" i="21"/>
  <c r="H73" i="5"/>
  <c r="F81" i="5"/>
  <c r="CI55" i="21"/>
  <c r="CJ55" i="21"/>
  <c r="CK55" i="21"/>
  <c r="CL55" i="21"/>
  <c r="CM55" i="21"/>
  <c r="CN55" i="21"/>
  <c r="CO55" i="21"/>
  <c r="CH56" i="21"/>
  <c r="H74" i="5"/>
  <c r="F82" i="5"/>
  <c r="CI56" i="21"/>
  <c r="CJ56" i="21"/>
  <c r="CK56" i="21"/>
  <c r="CL56" i="21"/>
  <c r="CM56" i="21"/>
  <c r="CN56" i="21"/>
  <c r="CO56" i="21"/>
  <c r="CH57" i="21"/>
  <c r="H75" i="5"/>
  <c r="F83" i="5"/>
  <c r="CI57" i="21"/>
  <c r="CJ57" i="21"/>
  <c r="CK57" i="21"/>
  <c r="CL57" i="21"/>
  <c r="CM57" i="21"/>
  <c r="CN57" i="21"/>
  <c r="CO57" i="21"/>
  <c r="CH58" i="21"/>
  <c r="H76" i="5"/>
  <c r="F84" i="5"/>
  <c r="CI58" i="21"/>
  <c r="CJ58" i="21"/>
  <c r="CK58" i="21"/>
  <c r="CL58" i="21"/>
  <c r="CM58" i="21"/>
  <c r="CN58" i="21"/>
  <c r="CO58" i="21"/>
  <c r="CH59" i="21"/>
  <c r="H77" i="5"/>
  <c r="F85" i="5"/>
  <c r="CI59" i="21"/>
  <c r="CJ59" i="21"/>
  <c r="CK59" i="21"/>
  <c r="CL59" i="21"/>
  <c r="CM59" i="21"/>
  <c r="CN59" i="21"/>
  <c r="CO59" i="21"/>
  <c r="CH60" i="21"/>
  <c r="H78" i="5"/>
  <c r="CI60" i="21"/>
  <c r="CJ60" i="21"/>
  <c r="CK60" i="21"/>
  <c r="CL60" i="21"/>
  <c r="CM60" i="21"/>
  <c r="CN60" i="21"/>
  <c r="CO60" i="21"/>
  <c r="CH61" i="21"/>
  <c r="H79" i="5"/>
  <c r="CI61" i="21"/>
  <c r="CJ61" i="21"/>
  <c r="CK61" i="21"/>
  <c r="CL61" i="21"/>
  <c r="CM61" i="21"/>
  <c r="CN61" i="21"/>
  <c r="CO61" i="21"/>
  <c r="CH62" i="21"/>
  <c r="H80" i="5"/>
  <c r="CI62" i="21"/>
  <c r="CJ62" i="21"/>
  <c r="CK62" i="21"/>
  <c r="CL62" i="21"/>
  <c r="CM62" i="21"/>
  <c r="CN62" i="21"/>
  <c r="CO62" i="21"/>
  <c r="CH63" i="21"/>
  <c r="H81" i="5"/>
  <c r="CI63" i="21"/>
  <c r="CJ63" i="21"/>
  <c r="CK63" i="21"/>
  <c r="CL63" i="21"/>
  <c r="CM63" i="21"/>
  <c r="CN63" i="21"/>
  <c r="CO63" i="21"/>
  <c r="CH64" i="21"/>
  <c r="J51" i="5"/>
  <c r="H82" i="5"/>
  <c r="CI64" i="21"/>
  <c r="CJ64" i="21"/>
  <c r="CK64" i="21"/>
  <c r="CL64" i="21"/>
  <c r="CM64" i="21"/>
  <c r="CN64" i="21"/>
  <c r="CO64" i="21"/>
  <c r="CH65" i="21"/>
  <c r="J52" i="5"/>
  <c r="H83" i="5"/>
  <c r="CI65" i="21"/>
  <c r="CJ65" i="21"/>
  <c r="CK65" i="21"/>
  <c r="CL65" i="21"/>
  <c r="CM65" i="21"/>
  <c r="CN65" i="21"/>
  <c r="CO65" i="21"/>
  <c r="CH66" i="21"/>
  <c r="J53" i="5"/>
  <c r="H84" i="5"/>
  <c r="CI66" i="21"/>
  <c r="CJ66" i="21"/>
  <c r="CK66" i="21"/>
  <c r="CL66" i="21"/>
  <c r="CM66" i="21"/>
  <c r="CN66" i="21"/>
  <c r="CO66" i="21"/>
  <c r="CH67" i="21"/>
  <c r="J54" i="5"/>
  <c r="H85" i="5"/>
  <c r="CI67" i="21"/>
  <c r="CJ67" i="21"/>
  <c r="CK67" i="21"/>
  <c r="CL67" i="21"/>
  <c r="CM67" i="21"/>
  <c r="CN67" i="21"/>
  <c r="CO67" i="21"/>
  <c r="CH68" i="21"/>
  <c r="J55" i="5"/>
  <c r="H86" i="5"/>
  <c r="CI68" i="21"/>
  <c r="CJ68" i="21"/>
  <c r="CK68" i="21"/>
  <c r="CL68" i="21"/>
  <c r="CM68" i="21"/>
  <c r="CN68" i="21"/>
  <c r="CO68" i="21"/>
  <c r="CH69" i="21"/>
  <c r="J56" i="5"/>
  <c r="H87" i="5"/>
  <c r="CI69" i="21"/>
  <c r="CJ69" i="21"/>
  <c r="CK69" i="21"/>
  <c r="CL69" i="21"/>
  <c r="CM69" i="21"/>
  <c r="CN69" i="21"/>
  <c r="CO69" i="21"/>
  <c r="CH70" i="21"/>
  <c r="J57" i="5"/>
  <c r="H88" i="5"/>
  <c r="CI70" i="21"/>
  <c r="CJ70" i="21"/>
  <c r="CK70" i="21"/>
  <c r="CL70" i="21"/>
  <c r="CM70" i="21"/>
  <c r="CN70" i="21"/>
  <c r="CO70" i="21"/>
  <c r="CH71" i="21"/>
  <c r="J58" i="5"/>
  <c r="CI71" i="21"/>
  <c r="CJ71" i="21"/>
  <c r="CK71" i="21"/>
  <c r="CL71" i="21"/>
  <c r="CM71" i="21"/>
  <c r="CN71" i="21"/>
  <c r="CO71" i="21"/>
  <c r="CH72" i="21"/>
  <c r="J59" i="5"/>
  <c r="CI72" i="21"/>
  <c r="CJ72" i="21"/>
  <c r="CK72" i="21"/>
  <c r="CL72" i="21"/>
  <c r="CM72" i="21"/>
  <c r="CN72" i="21"/>
  <c r="CO72" i="21"/>
  <c r="CH73" i="21"/>
  <c r="J60" i="5"/>
  <c r="CI73" i="21"/>
  <c r="CJ73" i="21"/>
  <c r="CK73" i="21"/>
  <c r="CL73" i="21"/>
  <c r="CM73" i="21"/>
  <c r="CN73" i="21"/>
  <c r="CO73" i="21"/>
  <c r="CH74" i="21"/>
  <c r="J61" i="5"/>
  <c r="CI74" i="21"/>
  <c r="CJ74" i="21"/>
  <c r="CK74" i="21"/>
  <c r="CL74" i="21"/>
  <c r="CM74" i="21"/>
  <c r="CN74" i="21"/>
  <c r="CO74" i="21"/>
  <c r="CH75" i="21"/>
  <c r="J62" i="5"/>
  <c r="H89" i="5"/>
  <c r="CI75" i="21"/>
  <c r="CJ75" i="21"/>
  <c r="CK75" i="21"/>
  <c r="CL75" i="21"/>
  <c r="CM75" i="21"/>
  <c r="CN75" i="21"/>
  <c r="CO75" i="21"/>
  <c r="CH76" i="21"/>
  <c r="J63" i="5"/>
  <c r="H90" i="5"/>
  <c r="CI76" i="21"/>
  <c r="CJ76" i="21"/>
  <c r="CK76" i="21"/>
  <c r="CL76" i="21"/>
  <c r="CM76" i="21"/>
  <c r="CN76" i="21"/>
  <c r="CO76" i="21"/>
  <c r="CH77" i="21"/>
  <c r="J64" i="5"/>
  <c r="H91" i="5"/>
  <c r="CI77" i="21"/>
  <c r="CJ77" i="21"/>
  <c r="CK77" i="21"/>
  <c r="CL77" i="21"/>
  <c r="CM77" i="21"/>
  <c r="CN77" i="21"/>
  <c r="CO77" i="21"/>
  <c r="CH78" i="21"/>
  <c r="J65" i="5"/>
  <c r="H92" i="5"/>
  <c r="CI78" i="21"/>
  <c r="CJ78" i="21"/>
  <c r="CK78" i="21"/>
  <c r="CL78" i="21"/>
  <c r="CM78" i="21"/>
  <c r="CN78" i="21"/>
  <c r="CO78" i="21"/>
  <c r="CH79" i="21"/>
  <c r="J66" i="5"/>
  <c r="H93" i="5"/>
  <c r="CI79" i="21"/>
  <c r="CJ79" i="21"/>
  <c r="CK79" i="21"/>
  <c r="CL79" i="21"/>
  <c r="CM79" i="21"/>
  <c r="CN79" i="21"/>
  <c r="CO79" i="21"/>
  <c r="CH80" i="21"/>
  <c r="J67" i="5"/>
  <c r="H94" i="5"/>
  <c r="CI80" i="21"/>
  <c r="CJ80" i="21"/>
  <c r="CK80" i="21"/>
  <c r="CL80" i="21"/>
  <c r="CM80" i="21"/>
  <c r="CN80" i="21"/>
  <c r="CO80" i="21"/>
  <c r="CH81" i="21"/>
  <c r="J68" i="5"/>
  <c r="H95" i="5"/>
  <c r="CI81" i="21"/>
  <c r="CJ81" i="21"/>
  <c r="CK81" i="21"/>
  <c r="CL81" i="21"/>
  <c r="CM81" i="21"/>
  <c r="CN81" i="21"/>
  <c r="CO81" i="21"/>
  <c r="CH82" i="21"/>
  <c r="J69" i="5"/>
  <c r="H96" i="5"/>
  <c r="CI82" i="21"/>
  <c r="CJ82" i="21"/>
  <c r="CK82" i="21"/>
  <c r="CL82" i="21"/>
  <c r="CM82" i="21"/>
  <c r="CN82" i="21"/>
  <c r="CO82" i="21"/>
  <c r="CH83" i="21"/>
  <c r="J70" i="5"/>
  <c r="H97" i="5"/>
  <c r="CI83" i="21"/>
  <c r="CJ83" i="21"/>
  <c r="CK83" i="21"/>
  <c r="CL83" i="21"/>
  <c r="CM83" i="21"/>
  <c r="CN83" i="21"/>
  <c r="CO83" i="21"/>
  <c r="CH84" i="21"/>
  <c r="J71" i="5"/>
  <c r="CI84" i="21"/>
  <c r="CJ84" i="21"/>
  <c r="CK84" i="21"/>
  <c r="CL84" i="21"/>
  <c r="CM84" i="21"/>
  <c r="CN84" i="21"/>
  <c r="CO84" i="21"/>
  <c r="CH85" i="21"/>
  <c r="J72" i="5"/>
  <c r="CI85" i="21"/>
  <c r="CJ85" i="21"/>
  <c r="CK85" i="21"/>
  <c r="CL85" i="21"/>
  <c r="CM85" i="21"/>
  <c r="CN85" i="21"/>
  <c r="CO85" i="21"/>
  <c r="CH86" i="21"/>
  <c r="J73" i="5"/>
  <c r="H98" i="5"/>
  <c r="CI86" i="21"/>
  <c r="CJ86" i="21"/>
  <c r="CK86" i="21"/>
  <c r="CL86" i="21"/>
  <c r="CM86" i="21"/>
  <c r="CN86" i="21"/>
  <c r="CO86" i="21"/>
  <c r="CH87" i="21"/>
  <c r="J74" i="5"/>
  <c r="H99" i="5"/>
  <c r="CI87" i="21"/>
  <c r="CJ87" i="21"/>
  <c r="CK87" i="21"/>
  <c r="CL87" i="21"/>
  <c r="CM87" i="21"/>
  <c r="CN87" i="21"/>
  <c r="CO87" i="21"/>
  <c r="CH88" i="21"/>
  <c r="J75" i="5"/>
  <c r="H100" i="5"/>
  <c r="CI88" i="21"/>
  <c r="CJ88" i="21"/>
  <c r="CK88" i="21"/>
  <c r="CL88" i="21"/>
  <c r="CM88" i="21"/>
  <c r="CN88" i="21"/>
  <c r="CO88" i="21"/>
  <c r="CH89" i="21"/>
  <c r="J76" i="5"/>
  <c r="H101" i="5"/>
  <c r="CI89" i="21"/>
  <c r="CJ89" i="21"/>
  <c r="CK89" i="21"/>
  <c r="CL89" i="21"/>
  <c r="CM89" i="21"/>
  <c r="CN89" i="21"/>
  <c r="CO89" i="21"/>
  <c r="CH90" i="21"/>
  <c r="J77" i="5"/>
  <c r="H102" i="5"/>
  <c r="CI90" i="21"/>
  <c r="CJ90" i="21"/>
  <c r="CK90" i="21"/>
  <c r="CL90" i="21"/>
  <c r="CM90" i="21"/>
  <c r="CN90" i="21"/>
  <c r="CO90" i="21"/>
  <c r="CH91" i="21"/>
  <c r="J78" i="5"/>
  <c r="H103" i="5"/>
  <c r="CI91" i="21"/>
  <c r="CJ91" i="21"/>
  <c r="CK91" i="21"/>
  <c r="CL91" i="21"/>
  <c r="CM91" i="21"/>
  <c r="CN91" i="21"/>
  <c r="CO91" i="21"/>
  <c r="CH92" i="21"/>
  <c r="J79" i="5"/>
  <c r="CI92" i="21"/>
  <c r="CJ92" i="21"/>
  <c r="CK92" i="21"/>
  <c r="CL92" i="21"/>
  <c r="CM92" i="21"/>
  <c r="CN92" i="21"/>
  <c r="CO92" i="21"/>
  <c r="CH93" i="21"/>
  <c r="L51" i="5"/>
  <c r="J80" i="5"/>
  <c r="CI93" i="21"/>
  <c r="CJ93" i="21"/>
  <c r="CK93" i="21"/>
  <c r="CL93" i="21"/>
  <c r="CM93" i="21"/>
  <c r="CN93" i="21"/>
  <c r="CO93" i="21"/>
  <c r="CH94" i="21"/>
  <c r="L52" i="5"/>
  <c r="J81" i="5"/>
  <c r="CI94" i="21"/>
  <c r="CJ94" i="21"/>
  <c r="CK94" i="21"/>
  <c r="CL94" i="21"/>
  <c r="CM94" i="21"/>
  <c r="CN94" i="21"/>
  <c r="CO94" i="21"/>
  <c r="CH95" i="21"/>
  <c r="L53" i="5"/>
  <c r="J82" i="5"/>
  <c r="H104" i="5"/>
  <c r="CI95" i="21"/>
  <c r="CJ95" i="21"/>
  <c r="CK95" i="21"/>
  <c r="CL95" i="21"/>
  <c r="CM95" i="21"/>
  <c r="CN95" i="21"/>
  <c r="CO95" i="21"/>
  <c r="CH96" i="21"/>
  <c r="L54" i="5"/>
  <c r="J83" i="5"/>
  <c r="H105" i="5"/>
  <c r="CI96" i="21"/>
  <c r="CJ96" i="21"/>
  <c r="CK96" i="21"/>
  <c r="CL96" i="21"/>
  <c r="CM96" i="21"/>
  <c r="CN96" i="21"/>
  <c r="CO96" i="21"/>
  <c r="CH97" i="21"/>
  <c r="L55" i="5"/>
  <c r="CI97" i="21"/>
  <c r="CJ97" i="21"/>
  <c r="CK97" i="21"/>
  <c r="CL97" i="21"/>
  <c r="CM97" i="21"/>
  <c r="CN97" i="21"/>
  <c r="CO97" i="21"/>
  <c r="CH98" i="21"/>
  <c r="L56" i="5"/>
  <c r="CI98" i="21"/>
  <c r="CJ98" i="21"/>
  <c r="CK98" i="21"/>
  <c r="CL98" i="21"/>
  <c r="CM98" i="21"/>
  <c r="CN98" i="21"/>
  <c r="CO98" i="21"/>
  <c r="CH99" i="21"/>
  <c r="L57" i="5"/>
  <c r="J84" i="5"/>
  <c r="H106" i="5"/>
  <c r="CI99" i="21"/>
  <c r="CJ99" i="21"/>
  <c r="CK99" i="21"/>
  <c r="CL99" i="21"/>
  <c r="CM99" i="21"/>
  <c r="CN99" i="21"/>
  <c r="CO99" i="21"/>
  <c r="CH100" i="21"/>
  <c r="L58" i="5"/>
  <c r="J85" i="5"/>
  <c r="CI100" i="21"/>
  <c r="CJ100" i="21"/>
  <c r="CK100" i="21"/>
  <c r="CL100" i="21"/>
  <c r="CM100" i="21"/>
  <c r="CN100" i="21"/>
  <c r="CO100" i="21"/>
  <c r="CH101" i="21"/>
  <c r="L59" i="5"/>
  <c r="J86" i="5"/>
  <c r="CI101" i="21"/>
  <c r="CJ101" i="21"/>
  <c r="CK101" i="21"/>
  <c r="CL101" i="21"/>
  <c r="CM101" i="21"/>
  <c r="CN101" i="21"/>
  <c r="CO101" i="21"/>
  <c r="CH102" i="21"/>
  <c r="L60" i="5"/>
  <c r="CI102" i="21"/>
  <c r="CJ102" i="21"/>
  <c r="CK102" i="21"/>
  <c r="CL102" i="21"/>
  <c r="CM102" i="21"/>
  <c r="CN102" i="21"/>
  <c r="CO102" i="21"/>
  <c r="CH103" i="21"/>
  <c r="L61" i="5"/>
  <c r="CI103" i="21"/>
  <c r="CJ103" i="21"/>
  <c r="CK103" i="21"/>
  <c r="CL103" i="21"/>
  <c r="CM103" i="21"/>
  <c r="CN103" i="21"/>
  <c r="CO103" i="21"/>
  <c r="CH104" i="21"/>
  <c r="L62" i="5"/>
  <c r="CI104" i="21"/>
  <c r="CJ104" i="21"/>
  <c r="CK104" i="21"/>
  <c r="CL104" i="21"/>
  <c r="CM104" i="21"/>
  <c r="CN104" i="21"/>
  <c r="CO104" i="21"/>
  <c r="CH105" i="21"/>
  <c r="L63" i="5"/>
  <c r="CI105" i="21"/>
  <c r="CJ105" i="21"/>
  <c r="CK105" i="21"/>
  <c r="CL105" i="21"/>
  <c r="CM105" i="21"/>
  <c r="CN105" i="21"/>
  <c r="CO105" i="21"/>
  <c r="CH106" i="21"/>
  <c r="L64" i="5"/>
  <c r="CI106" i="21"/>
  <c r="CJ106" i="21"/>
  <c r="CK106" i="21"/>
  <c r="CL106" i="21"/>
  <c r="CM106" i="21"/>
  <c r="CN106" i="21"/>
  <c r="CO106" i="21"/>
  <c r="CH107" i="21"/>
  <c r="L65" i="5"/>
  <c r="CI107" i="21"/>
  <c r="CJ107" i="21"/>
  <c r="CK107" i="21"/>
  <c r="CL107" i="21"/>
  <c r="CM107" i="21"/>
  <c r="CN107" i="21"/>
  <c r="CO107" i="21"/>
  <c r="CH108" i="21"/>
  <c r="L66" i="5"/>
  <c r="CI108" i="21"/>
  <c r="CJ108" i="21"/>
  <c r="CK108" i="21"/>
  <c r="CL108" i="21"/>
  <c r="CM108" i="21"/>
  <c r="CN108" i="21"/>
  <c r="CO108" i="21"/>
  <c r="CH109" i="21"/>
  <c r="L67" i="5"/>
  <c r="CI109" i="21"/>
  <c r="CJ109" i="21"/>
  <c r="CK109" i="21"/>
  <c r="CL109" i="21"/>
  <c r="CM109" i="21"/>
  <c r="CN109" i="21"/>
  <c r="CO109" i="21"/>
  <c r="CH110" i="21"/>
  <c r="L68" i="5"/>
  <c r="CI110" i="21"/>
  <c r="CJ110" i="21"/>
  <c r="CK110" i="21"/>
  <c r="CL110" i="21"/>
  <c r="CM110" i="21"/>
  <c r="CN110" i="21"/>
  <c r="CO110" i="21"/>
  <c r="CH111" i="21"/>
  <c r="L69" i="5"/>
  <c r="CI111" i="21"/>
  <c r="CJ111" i="21"/>
  <c r="CK111" i="21"/>
  <c r="CL111" i="21"/>
  <c r="CM111" i="21"/>
  <c r="CN111" i="21"/>
  <c r="CO111" i="21"/>
  <c r="CH112" i="21"/>
  <c r="L70" i="5"/>
  <c r="CI112" i="21"/>
  <c r="CJ112" i="21"/>
  <c r="CK112" i="21"/>
  <c r="CL112" i="21"/>
  <c r="CM112" i="21"/>
  <c r="CN112" i="21"/>
  <c r="CO112" i="21"/>
  <c r="CH113" i="21"/>
  <c r="L71" i="5"/>
  <c r="CI113" i="21"/>
  <c r="CJ113" i="21"/>
  <c r="CK113" i="21"/>
  <c r="CL113" i="21"/>
  <c r="CM113" i="21"/>
  <c r="CN113" i="21"/>
  <c r="CO113" i="21"/>
  <c r="CH114" i="21"/>
  <c r="L72" i="5"/>
  <c r="CI114" i="21"/>
  <c r="CJ114" i="21"/>
  <c r="CK114" i="21"/>
  <c r="CL114" i="21"/>
  <c r="CM114" i="21"/>
  <c r="CN114" i="21"/>
  <c r="CO114" i="21"/>
  <c r="CH115" i="21"/>
  <c r="L73" i="5"/>
  <c r="CI115" i="21"/>
  <c r="CJ115" i="21"/>
  <c r="CK115" i="21"/>
  <c r="CL115" i="21"/>
  <c r="CM115" i="21"/>
  <c r="CN115" i="21"/>
  <c r="CO115" i="21"/>
  <c r="CH116" i="21"/>
  <c r="L74" i="5"/>
  <c r="J87" i="5"/>
  <c r="CI116" i="21"/>
  <c r="CJ116" i="21"/>
  <c r="CK116" i="21"/>
  <c r="CL116" i="21"/>
  <c r="CM116" i="21"/>
  <c r="CN116" i="21"/>
  <c r="CO116" i="21"/>
  <c r="CH117" i="21"/>
  <c r="L75" i="5"/>
  <c r="J88" i="5"/>
  <c r="CI117" i="21"/>
  <c r="CJ117" i="21"/>
  <c r="CK117" i="21"/>
  <c r="CL117" i="21"/>
  <c r="CM117" i="21"/>
  <c r="CN117" i="21"/>
  <c r="CO117" i="21"/>
  <c r="CH118" i="21"/>
  <c r="L76" i="5"/>
  <c r="J89" i="5"/>
  <c r="H107" i="5"/>
  <c r="CI118" i="21"/>
  <c r="CJ118" i="21"/>
  <c r="CK118" i="21"/>
  <c r="CL118" i="21"/>
  <c r="CM118" i="21"/>
  <c r="CN118" i="21"/>
  <c r="CO118" i="21"/>
  <c r="CH119" i="21"/>
  <c r="L77" i="5"/>
  <c r="J90" i="5"/>
  <c r="H108" i="5"/>
  <c r="CI119" i="21"/>
  <c r="CJ119" i="21"/>
  <c r="CK119" i="21"/>
  <c r="CL119" i="21"/>
  <c r="CM119" i="21"/>
  <c r="CN119" i="21"/>
  <c r="CO119" i="21"/>
  <c r="CH120" i="21"/>
  <c r="L78" i="5"/>
  <c r="J91" i="5"/>
  <c r="CI120" i="21"/>
  <c r="CJ120" i="21"/>
  <c r="CK120" i="21"/>
  <c r="CL120" i="21"/>
  <c r="CM120" i="21"/>
  <c r="CN120" i="21"/>
  <c r="CO120" i="21"/>
  <c r="CH121" i="21"/>
  <c r="L79" i="5"/>
  <c r="J92" i="5"/>
  <c r="CI121" i="21"/>
  <c r="CJ121" i="21"/>
  <c r="CK121" i="21"/>
  <c r="CL121" i="21"/>
  <c r="CM121" i="21"/>
  <c r="CN121" i="21"/>
  <c r="CO121" i="21"/>
  <c r="CH122" i="21"/>
  <c r="L80" i="5"/>
  <c r="CI122" i="21"/>
  <c r="CJ122" i="21"/>
  <c r="CK122" i="21"/>
  <c r="CL122" i="21"/>
  <c r="CM122" i="21"/>
  <c r="CN122" i="21"/>
  <c r="CO122" i="21"/>
  <c r="CH123" i="21"/>
  <c r="L81" i="5"/>
  <c r="J93" i="5"/>
  <c r="CI123" i="21"/>
  <c r="CJ123" i="21"/>
  <c r="CK123" i="21"/>
  <c r="CL123" i="21"/>
  <c r="CM123" i="21"/>
  <c r="CN123" i="21"/>
  <c r="CO123" i="21"/>
  <c r="CH124" i="21"/>
  <c r="L82" i="5"/>
  <c r="J94" i="5"/>
  <c r="CI124" i="21"/>
  <c r="CJ124" i="21"/>
  <c r="CK124" i="21"/>
  <c r="CL124" i="21"/>
  <c r="CM124" i="21"/>
  <c r="CN124" i="21"/>
  <c r="CO124" i="21"/>
  <c r="CH125" i="21"/>
  <c r="L83" i="5"/>
  <c r="J95" i="5"/>
  <c r="CI125" i="21"/>
  <c r="CJ125" i="21"/>
  <c r="CK125" i="21"/>
  <c r="CL125" i="21"/>
  <c r="CM125" i="21"/>
  <c r="CN125" i="21"/>
  <c r="CO125" i="21"/>
  <c r="CH126" i="21"/>
  <c r="L84" i="5"/>
  <c r="J96" i="5"/>
  <c r="CI126" i="21"/>
  <c r="CJ126" i="21"/>
  <c r="CK126" i="21"/>
  <c r="CL126" i="21"/>
  <c r="CM126" i="21"/>
  <c r="CN126" i="21"/>
  <c r="CO126" i="21"/>
  <c r="CH127" i="21"/>
  <c r="L85" i="5"/>
  <c r="J97" i="5"/>
  <c r="CI127" i="21"/>
  <c r="CJ127" i="21"/>
  <c r="CK127" i="21"/>
  <c r="CL127" i="21"/>
  <c r="CM127" i="21"/>
  <c r="CN127" i="21"/>
  <c r="CO127" i="21"/>
  <c r="CH128" i="21"/>
  <c r="L86" i="5"/>
  <c r="J98" i="5"/>
  <c r="CI128" i="21"/>
  <c r="CJ128" i="21"/>
  <c r="CK128" i="21"/>
  <c r="CL128" i="21"/>
  <c r="CM128" i="21"/>
  <c r="CN128" i="21"/>
  <c r="CO128" i="21"/>
  <c r="CH129" i="21"/>
  <c r="L87" i="5"/>
  <c r="J99" i="5"/>
  <c r="CI129" i="21"/>
  <c r="CJ129" i="21"/>
  <c r="CK129" i="21"/>
  <c r="CL129" i="21"/>
  <c r="CM129" i="21"/>
  <c r="CN129" i="21"/>
  <c r="CO129" i="21"/>
  <c r="CH130" i="21"/>
  <c r="L88" i="5"/>
  <c r="CI130" i="21"/>
  <c r="CJ130" i="21"/>
  <c r="CK130" i="21"/>
  <c r="CL130" i="21"/>
  <c r="CM130" i="21"/>
  <c r="CN130" i="21"/>
  <c r="CO130" i="21"/>
  <c r="CH131" i="21"/>
  <c r="L89" i="5"/>
  <c r="CI131" i="21"/>
  <c r="CJ131" i="21"/>
  <c r="CK131" i="21"/>
  <c r="CL131" i="21"/>
  <c r="CM131" i="21"/>
  <c r="CN131" i="21"/>
  <c r="CO131" i="21"/>
  <c r="CH132" i="21"/>
  <c r="L90" i="5"/>
  <c r="CI132" i="21"/>
  <c r="CJ132" i="21"/>
  <c r="CK132" i="21"/>
  <c r="CL132" i="21"/>
  <c r="CM132" i="21"/>
  <c r="CN132" i="21"/>
  <c r="CO132" i="21"/>
  <c r="CH133" i="21"/>
  <c r="L91" i="5"/>
  <c r="J100" i="5"/>
  <c r="CI133" i="21"/>
  <c r="CJ133" i="21"/>
  <c r="CK133" i="21"/>
  <c r="CL133" i="21"/>
  <c r="CM133" i="21"/>
  <c r="CN133" i="21"/>
  <c r="CO133" i="21"/>
  <c r="CH134" i="21"/>
  <c r="L92" i="5"/>
  <c r="J101" i="5"/>
  <c r="CI134" i="21"/>
  <c r="CJ134" i="21"/>
  <c r="CK134" i="21"/>
  <c r="CL134" i="21"/>
  <c r="CM134" i="21"/>
  <c r="CN134" i="21"/>
  <c r="CO134" i="21"/>
  <c r="CH135" i="21"/>
  <c r="L93" i="5"/>
  <c r="J102" i="5"/>
  <c r="CI135" i="21"/>
  <c r="CJ135" i="21"/>
  <c r="CK135" i="21"/>
  <c r="CL135" i="21"/>
  <c r="CM135" i="21"/>
  <c r="CN135" i="21"/>
  <c r="CO135" i="21"/>
  <c r="CH136" i="21"/>
  <c r="L94" i="5"/>
  <c r="CI136" i="21"/>
  <c r="CJ136" i="21"/>
  <c r="CK136" i="21"/>
  <c r="CL136" i="21"/>
  <c r="CM136" i="21"/>
  <c r="CN136" i="21"/>
  <c r="CO136" i="21"/>
  <c r="CH137" i="21"/>
  <c r="L95" i="5"/>
  <c r="CI137" i="21"/>
  <c r="CJ137" i="21"/>
  <c r="CK137" i="21"/>
  <c r="CL137" i="21"/>
  <c r="CM137" i="21"/>
  <c r="CN137" i="21"/>
  <c r="CO137" i="21"/>
  <c r="CH138" i="21"/>
  <c r="L96" i="5"/>
  <c r="CI138" i="21"/>
  <c r="CJ138" i="21"/>
  <c r="CK138" i="21"/>
  <c r="CL138" i="21"/>
  <c r="CM138" i="21"/>
  <c r="CN138" i="21"/>
  <c r="CO138" i="21"/>
  <c r="CH139" i="21"/>
  <c r="N51" i="5"/>
  <c r="CI139" i="21"/>
  <c r="CJ139" i="21"/>
  <c r="CK139" i="21"/>
  <c r="CL139" i="21"/>
  <c r="CM139" i="21"/>
  <c r="CN139" i="21"/>
  <c r="CO139" i="21"/>
  <c r="CH140" i="21"/>
  <c r="N52" i="5"/>
  <c r="L97" i="5"/>
  <c r="CI140" i="21"/>
  <c r="CJ140" i="21"/>
  <c r="CK140" i="21"/>
  <c r="CL140" i="21"/>
  <c r="CM140" i="21"/>
  <c r="CN140" i="21"/>
  <c r="CO140" i="21"/>
  <c r="CH141" i="21"/>
  <c r="N53" i="5"/>
  <c r="CI141" i="21"/>
  <c r="CJ141" i="21"/>
  <c r="CK141" i="21"/>
  <c r="CL141" i="21"/>
  <c r="CM141" i="21"/>
  <c r="CN141" i="21"/>
  <c r="CO141" i="21"/>
  <c r="CH142" i="21"/>
  <c r="N54" i="5"/>
  <c r="J103" i="5"/>
  <c r="CI142" i="21"/>
  <c r="CJ142" i="21"/>
  <c r="CK142" i="21"/>
  <c r="CL142" i="21"/>
  <c r="CM142" i="21"/>
  <c r="CN142" i="21"/>
  <c r="CO142" i="21"/>
  <c r="CH143" i="21"/>
  <c r="N55" i="5"/>
  <c r="L98" i="5"/>
  <c r="J104" i="5"/>
  <c r="CI143" i="21"/>
  <c r="CJ143" i="21"/>
  <c r="CK143" i="21"/>
  <c r="CL143" i="21"/>
  <c r="CM143" i="21"/>
  <c r="CN143" i="21"/>
  <c r="CO143" i="21"/>
  <c r="CH144" i="21"/>
  <c r="N56" i="5"/>
  <c r="J105" i="5"/>
  <c r="CI144" i="21"/>
  <c r="CJ144" i="21"/>
  <c r="CK144" i="21"/>
  <c r="CL144" i="21"/>
  <c r="CM144" i="21"/>
  <c r="CN144" i="21"/>
  <c r="CO144" i="21"/>
  <c r="CH145" i="21"/>
  <c r="N57" i="5"/>
  <c r="CI145" i="21"/>
  <c r="CJ145" i="21"/>
  <c r="CK145" i="21"/>
  <c r="CL145" i="21"/>
  <c r="CM145" i="21"/>
  <c r="CN145" i="21"/>
  <c r="CO145" i="21"/>
  <c r="CH146" i="21"/>
  <c r="N58" i="5"/>
  <c r="J106" i="5"/>
  <c r="CI146" i="21"/>
  <c r="CJ146" i="21"/>
  <c r="CK146" i="21"/>
  <c r="CL146" i="21"/>
  <c r="CM146" i="21"/>
  <c r="CN146" i="21"/>
  <c r="CO146" i="21"/>
  <c r="CH147" i="21"/>
  <c r="N59" i="5"/>
  <c r="L99" i="5"/>
  <c r="CI147" i="21"/>
  <c r="CJ147" i="21"/>
  <c r="CK147" i="21"/>
  <c r="CL147" i="21"/>
  <c r="CM147" i="21"/>
  <c r="CN147" i="21"/>
  <c r="CO147" i="21"/>
  <c r="CH148" i="21"/>
  <c r="N60" i="5"/>
  <c r="CI148" i="21"/>
  <c r="CJ148" i="21"/>
  <c r="CK148" i="21"/>
  <c r="CL148" i="21"/>
  <c r="CM148" i="21"/>
  <c r="CN148" i="21"/>
  <c r="CO148" i="21"/>
  <c r="CH149" i="21"/>
  <c r="N61" i="5"/>
  <c r="CI149" i="21"/>
  <c r="CJ149" i="21"/>
  <c r="CK149" i="21"/>
  <c r="CL149" i="21"/>
  <c r="CM149" i="21"/>
  <c r="CN149" i="21"/>
  <c r="CO149" i="21"/>
  <c r="CH150" i="21"/>
  <c r="N62" i="5"/>
  <c r="CI150" i="21"/>
  <c r="CJ150" i="21"/>
  <c r="CK150" i="21"/>
  <c r="CL150" i="21"/>
  <c r="CM150" i="21"/>
  <c r="CN150" i="21"/>
  <c r="CO150" i="21"/>
  <c r="CH151" i="21"/>
  <c r="N63" i="5"/>
  <c r="CI151" i="21"/>
  <c r="CJ151" i="21"/>
  <c r="CK151" i="21"/>
  <c r="CL151" i="21"/>
  <c r="CM151" i="21"/>
  <c r="CN151" i="21"/>
  <c r="CO151" i="21"/>
  <c r="CH152" i="21"/>
  <c r="N64" i="5"/>
  <c r="CI152" i="21"/>
  <c r="CJ152" i="21"/>
  <c r="CK152" i="21"/>
  <c r="CL152" i="21"/>
  <c r="CM152" i="21"/>
  <c r="CN152" i="21"/>
  <c r="CO152" i="21"/>
  <c r="CH153" i="21"/>
  <c r="N65" i="5"/>
  <c r="CI153" i="21"/>
  <c r="CJ153" i="21"/>
  <c r="CK153" i="21"/>
  <c r="CL153" i="21"/>
  <c r="CM153" i="21"/>
  <c r="CN153" i="21"/>
  <c r="CO153" i="21"/>
  <c r="CH154" i="21"/>
  <c r="N66" i="5"/>
  <c r="CI154" i="21"/>
  <c r="CJ154" i="21"/>
  <c r="CK154" i="21"/>
  <c r="CL154" i="21"/>
  <c r="CM154" i="21"/>
  <c r="CN154" i="21"/>
  <c r="CO154" i="21"/>
  <c r="CH155" i="21"/>
  <c r="N67" i="5"/>
  <c r="CI155" i="21"/>
  <c r="CJ155" i="21"/>
  <c r="CK155" i="21"/>
  <c r="CL155" i="21"/>
  <c r="CM155" i="21"/>
  <c r="CN155" i="21"/>
  <c r="CO155" i="21"/>
  <c r="CH156" i="21"/>
  <c r="N68" i="5"/>
  <c r="L100" i="5"/>
  <c r="CI156" i="21"/>
  <c r="CJ156" i="21"/>
  <c r="CK156" i="21"/>
  <c r="CL156" i="21"/>
  <c r="CM156" i="21"/>
  <c r="CN156" i="21"/>
  <c r="CO156" i="21"/>
  <c r="CH157" i="21"/>
  <c r="N69" i="5"/>
  <c r="CI157" i="21"/>
  <c r="CJ157" i="21"/>
  <c r="CK157" i="21"/>
  <c r="CL157" i="21"/>
  <c r="CM157" i="21"/>
  <c r="CN157" i="21"/>
  <c r="CO157" i="21"/>
  <c r="CH158" i="21"/>
  <c r="P51" i="5"/>
  <c r="CI158" i="21"/>
  <c r="CJ158" i="21"/>
  <c r="CK158" i="21"/>
  <c r="CL158" i="21"/>
  <c r="CM158" i="21"/>
  <c r="CN158" i="21"/>
  <c r="CO158" i="21"/>
  <c r="CH159" i="21"/>
  <c r="P52" i="5"/>
  <c r="CI159" i="21"/>
  <c r="CJ159" i="21"/>
  <c r="CK159" i="21"/>
  <c r="CL159" i="21"/>
  <c r="CM159" i="21"/>
  <c r="CN159" i="21"/>
  <c r="CO159" i="21"/>
  <c r="CH160" i="21"/>
  <c r="P53" i="5"/>
  <c r="CI160" i="21"/>
  <c r="CJ160" i="21"/>
  <c r="CK160" i="21"/>
  <c r="CL160" i="21"/>
  <c r="CM160" i="21"/>
  <c r="CN160" i="21"/>
  <c r="CO160" i="21"/>
  <c r="CH161" i="21"/>
  <c r="P54" i="5"/>
  <c r="L101" i="5"/>
  <c r="CI161" i="21"/>
  <c r="CJ161" i="21"/>
  <c r="CK161" i="21"/>
  <c r="CL161" i="21"/>
  <c r="CM161" i="21"/>
  <c r="CN161" i="21"/>
  <c r="CO161" i="21"/>
  <c r="CH162" i="21"/>
  <c r="P55" i="5"/>
  <c r="N70" i="5"/>
  <c r="L102" i="5"/>
  <c r="CI162" i="21"/>
  <c r="CJ162" i="21"/>
  <c r="CK162" i="21"/>
  <c r="CL162" i="21"/>
  <c r="CM162" i="21"/>
  <c r="CN162" i="21"/>
  <c r="CO162" i="21"/>
  <c r="CH163" i="21"/>
  <c r="P56" i="5"/>
  <c r="N71" i="5"/>
  <c r="CI163" i="21"/>
  <c r="CJ163" i="21"/>
  <c r="CK163" i="21"/>
  <c r="CL163" i="21"/>
  <c r="CM163" i="21"/>
  <c r="CN163" i="21"/>
  <c r="CO163" i="21"/>
  <c r="CH164" i="21"/>
  <c r="P57" i="5"/>
  <c r="N72" i="5"/>
  <c r="J107" i="5"/>
  <c r="CI164" i="21"/>
  <c r="CJ164" i="21"/>
  <c r="CK164" i="21"/>
  <c r="CL164" i="21"/>
  <c r="CM164" i="21"/>
  <c r="CN164" i="21"/>
  <c r="CO164" i="21"/>
  <c r="CH165" i="21"/>
  <c r="P58" i="5"/>
  <c r="N73" i="5"/>
  <c r="J108" i="5"/>
  <c r="CI165" i="21"/>
  <c r="CJ165" i="21"/>
  <c r="CK165" i="21"/>
  <c r="CL165" i="21"/>
  <c r="CM165" i="21"/>
  <c r="CN165" i="21"/>
  <c r="CO165" i="21"/>
  <c r="CH166" i="21"/>
  <c r="P59" i="5"/>
  <c r="J109" i="5"/>
  <c r="CI166" i="21"/>
  <c r="CJ166" i="21"/>
  <c r="CK166" i="21"/>
  <c r="CL166" i="21"/>
  <c r="CM166" i="21"/>
  <c r="CN166" i="21"/>
  <c r="CO166" i="21"/>
  <c r="CH167" i="21"/>
  <c r="P60" i="5"/>
  <c r="CI167" i="21"/>
  <c r="CJ167" i="21"/>
  <c r="CK167" i="21"/>
  <c r="CL167" i="21"/>
  <c r="CM167" i="21"/>
  <c r="CN167" i="21"/>
  <c r="CO167" i="21"/>
  <c r="CH168" i="21"/>
  <c r="P61" i="5"/>
  <c r="CI168" i="21"/>
  <c r="CJ168" i="21"/>
  <c r="CK168" i="21"/>
  <c r="CL168" i="21"/>
  <c r="CM168" i="21"/>
  <c r="CN168" i="21"/>
  <c r="CO168" i="21"/>
  <c r="CH169" i="21"/>
  <c r="P62" i="5"/>
  <c r="L103" i="5"/>
  <c r="CI169" i="21"/>
  <c r="CJ169" i="21"/>
  <c r="CK169" i="21"/>
  <c r="CL169" i="21"/>
  <c r="CM169" i="21"/>
  <c r="CN169" i="21"/>
  <c r="CO169" i="21"/>
  <c r="CH170" i="21"/>
  <c r="P63" i="5"/>
  <c r="L104" i="5"/>
  <c r="CI170" i="21"/>
  <c r="CJ170" i="21"/>
  <c r="CK170" i="21"/>
  <c r="CL170" i="21"/>
  <c r="CM170" i="21"/>
  <c r="CN170" i="21"/>
  <c r="CO170" i="21"/>
  <c r="CH171" i="21"/>
  <c r="P64" i="5"/>
  <c r="N74" i="5"/>
  <c r="J110" i="5"/>
  <c r="CI171" i="21"/>
  <c r="CJ171" i="21"/>
  <c r="CK171" i="21"/>
  <c r="CL171" i="21"/>
  <c r="CM171" i="21"/>
  <c r="CN171" i="21"/>
  <c r="CO171" i="21"/>
  <c r="CH172" i="21"/>
  <c r="P65" i="5"/>
  <c r="CI172" i="21"/>
  <c r="CJ172" i="21"/>
  <c r="CK172" i="21"/>
  <c r="CL172" i="21"/>
  <c r="CM172" i="21"/>
  <c r="CN172" i="21"/>
  <c r="CO172" i="21"/>
  <c r="CH173" i="21"/>
  <c r="P66" i="5"/>
  <c r="CI173" i="21"/>
  <c r="CJ173" i="21"/>
  <c r="CK173" i="21"/>
  <c r="CL173" i="21"/>
  <c r="CM173" i="21"/>
  <c r="CN173" i="21"/>
  <c r="CO173" i="21"/>
  <c r="CH174" i="21"/>
  <c r="P67" i="5"/>
  <c r="CI174" i="21"/>
  <c r="CJ174" i="21"/>
  <c r="CK174" i="21"/>
  <c r="CL174" i="21"/>
  <c r="CM174" i="21"/>
  <c r="CN174" i="21"/>
  <c r="CO174" i="21"/>
  <c r="CH175" i="21"/>
  <c r="P68" i="5"/>
  <c r="CI175" i="21"/>
  <c r="CJ175" i="21"/>
  <c r="CK175" i="21"/>
  <c r="CL175" i="21"/>
  <c r="CM175" i="21"/>
  <c r="CN175" i="21"/>
  <c r="CO175" i="21"/>
  <c r="CH176" i="21"/>
  <c r="P69" i="5"/>
  <c r="L105" i="5"/>
  <c r="CI176" i="21"/>
  <c r="CJ176" i="21"/>
  <c r="CK176" i="21"/>
  <c r="CL176" i="21"/>
  <c r="CM176" i="21"/>
  <c r="CN176" i="21"/>
  <c r="CO176" i="21"/>
  <c r="CH177" i="21"/>
  <c r="P70" i="5"/>
  <c r="L106" i="5"/>
  <c r="CI177" i="21"/>
  <c r="CJ177" i="21"/>
  <c r="CK177" i="21"/>
  <c r="CL177" i="21"/>
  <c r="CM177" i="21"/>
  <c r="CN177" i="21"/>
  <c r="CO177" i="21"/>
  <c r="CH178" i="21"/>
  <c r="P71" i="5"/>
  <c r="CI178" i="21"/>
  <c r="CJ178" i="21"/>
  <c r="CK178" i="21"/>
  <c r="CL178" i="21"/>
  <c r="CM178" i="21"/>
  <c r="CN178" i="21"/>
  <c r="CO178" i="21"/>
  <c r="CH179" i="21"/>
  <c r="P72" i="5"/>
  <c r="CI179" i="21"/>
  <c r="CJ179" i="21"/>
  <c r="CK179" i="21"/>
  <c r="CL179" i="21"/>
  <c r="CM179" i="21"/>
  <c r="CN179" i="21"/>
  <c r="CO179" i="21"/>
  <c r="CH180" i="21"/>
  <c r="P73" i="5"/>
  <c r="CI180" i="21"/>
  <c r="CJ180" i="21"/>
  <c r="CK180" i="21"/>
  <c r="CL180" i="21"/>
  <c r="CM180" i="21"/>
  <c r="CN180" i="21"/>
  <c r="CO180" i="21"/>
  <c r="CH181" i="21"/>
  <c r="P74" i="5"/>
  <c r="CI181" i="21"/>
  <c r="CJ181" i="21"/>
  <c r="CK181" i="21"/>
  <c r="CL181" i="21"/>
  <c r="CM181" i="21"/>
  <c r="CN181" i="21"/>
  <c r="CO181" i="21"/>
  <c r="CH182" i="21"/>
  <c r="P75" i="5"/>
  <c r="CI182" i="21"/>
  <c r="CJ182" i="21"/>
  <c r="CK182" i="21"/>
  <c r="CL182" i="21"/>
  <c r="CM182" i="21"/>
  <c r="CN182" i="21"/>
  <c r="CO182" i="21"/>
  <c r="CH183" i="21"/>
  <c r="P76" i="5"/>
  <c r="CI183" i="21"/>
  <c r="CJ183" i="21"/>
  <c r="CK183" i="21"/>
  <c r="CL183" i="21"/>
  <c r="CM183" i="21"/>
  <c r="CN183" i="21"/>
  <c r="CO183" i="21"/>
  <c r="CH184" i="21"/>
  <c r="P77" i="5"/>
  <c r="L107" i="5"/>
  <c r="CI184" i="21"/>
  <c r="CJ184" i="21"/>
  <c r="CK184" i="21"/>
  <c r="CL184" i="21"/>
  <c r="CM184" i="21"/>
  <c r="CN184" i="21"/>
  <c r="CO184" i="21"/>
  <c r="CH185" i="21"/>
  <c r="P78" i="5"/>
  <c r="L108" i="5"/>
  <c r="CI185" i="21"/>
  <c r="CJ185" i="21"/>
  <c r="CK185" i="21"/>
  <c r="CL185" i="21"/>
  <c r="CM185" i="21"/>
  <c r="CN185" i="21"/>
  <c r="CO185" i="21"/>
  <c r="CH186" i="21"/>
  <c r="P79" i="5"/>
  <c r="CI186" i="21"/>
  <c r="CJ186" i="21"/>
  <c r="CK186" i="21"/>
  <c r="CL186" i="21"/>
  <c r="CM186" i="21"/>
  <c r="CN186" i="21"/>
  <c r="CO186" i="21"/>
  <c r="CH187" i="21"/>
  <c r="P80" i="5"/>
  <c r="L109" i="5"/>
  <c r="CI187" i="21"/>
  <c r="CJ187" i="21"/>
  <c r="CK187" i="21"/>
  <c r="CL187" i="21"/>
  <c r="CM187" i="21"/>
  <c r="CN187" i="21"/>
  <c r="CO187" i="21"/>
  <c r="CH188" i="21"/>
  <c r="CI188" i="21"/>
  <c r="CJ188" i="21"/>
  <c r="CK188" i="21"/>
  <c r="CL188" i="21"/>
  <c r="CM188" i="21"/>
  <c r="CN188" i="21"/>
  <c r="CO188" i="21"/>
  <c r="CH189" i="21"/>
  <c r="CI189" i="21"/>
  <c r="CJ189" i="21"/>
  <c r="CK189" i="21"/>
  <c r="CL189" i="21"/>
  <c r="CM189" i="21"/>
  <c r="CN189" i="21"/>
  <c r="CO189" i="21"/>
  <c r="CH190" i="21"/>
  <c r="CI190" i="21"/>
  <c r="CJ190" i="21"/>
  <c r="CK190" i="21"/>
  <c r="CL190" i="21"/>
  <c r="CM190" i="21"/>
  <c r="CN190" i="21"/>
  <c r="CO190" i="21"/>
  <c r="CH191" i="21"/>
  <c r="CI191" i="21"/>
  <c r="CJ191" i="21"/>
  <c r="CK191" i="21"/>
  <c r="CL191" i="21"/>
  <c r="CM191" i="21"/>
  <c r="CN191" i="21"/>
  <c r="CO191" i="21"/>
  <c r="CH192" i="21"/>
  <c r="CI192" i="21"/>
  <c r="CJ192" i="21"/>
  <c r="CK192" i="21"/>
  <c r="CL192" i="21"/>
  <c r="CM192" i="21"/>
  <c r="CN192" i="21"/>
  <c r="CO192" i="21"/>
  <c r="CH193" i="21"/>
  <c r="CI193" i="21"/>
  <c r="CJ193" i="21"/>
  <c r="CK193" i="21"/>
  <c r="CL193" i="21"/>
  <c r="CM193" i="21"/>
  <c r="CN193" i="21"/>
  <c r="CO193" i="21"/>
  <c r="CH194" i="21"/>
  <c r="CI194" i="21"/>
  <c r="CJ194" i="21"/>
  <c r="CK194" i="21"/>
  <c r="CL194" i="21"/>
  <c r="CM194" i="21"/>
  <c r="CN194" i="21"/>
  <c r="CO194" i="21"/>
  <c r="CH195" i="21"/>
  <c r="CI195" i="21"/>
  <c r="CJ195" i="21"/>
  <c r="CK195" i="21"/>
  <c r="CL195" i="21"/>
  <c r="CM195" i="21"/>
  <c r="CN195" i="21"/>
  <c r="CO195" i="21"/>
  <c r="CH196" i="21"/>
  <c r="CI196" i="21"/>
  <c r="CJ196" i="21"/>
  <c r="CK196" i="21"/>
  <c r="CL196" i="21"/>
  <c r="CM196" i="21"/>
  <c r="CN196" i="21"/>
  <c r="CO196" i="21"/>
  <c r="CH197" i="21"/>
  <c r="CI197" i="21"/>
  <c r="CJ197" i="21"/>
  <c r="CK197" i="21"/>
  <c r="CL197" i="21"/>
  <c r="CM197" i="21"/>
  <c r="CN197" i="21"/>
  <c r="CO197" i="21"/>
  <c r="CH198" i="21"/>
  <c r="CI198" i="21"/>
  <c r="CJ198" i="21"/>
  <c r="CK198" i="21"/>
  <c r="CL198" i="21"/>
  <c r="CM198" i="21"/>
  <c r="CN198" i="21"/>
  <c r="CO198" i="21"/>
  <c r="CH199" i="21"/>
  <c r="CI199" i="21"/>
  <c r="CJ199" i="21"/>
  <c r="CK199" i="21"/>
  <c r="CL199" i="21"/>
  <c r="CM199" i="21"/>
  <c r="CN199" i="21"/>
  <c r="CO199" i="21"/>
  <c r="CH200" i="21"/>
  <c r="CI200" i="21"/>
  <c r="CJ200" i="21"/>
  <c r="CK200" i="21"/>
  <c r="CL200" i="21"/>
  <c r="CM200" i="21"/>
  <c r="CN200" i="21"/>
  <c r="CO200" i="21"/>
  <c r="CH201" i="21"/>
  <c r="CI201" i="21"/>
  <c r="CJ201" i="21"/>
  <c r="CK201" i="21"/>
  <c r="CL201" i="21"/>
  <c r="CM201" i="21"/>
  <c r="CN201" i="21"/>
  <c r="CO201" i="21"/>
  <c r="CH202" i="21"/>
  <c r="CI202" i="21"/>
  <c r="CJ202" i="21"/>
  <c r="CK202" i="21"/>
  <c r="CL202" i="21"/>
  <c r="CM202" i="21"/>
  <c r="CN202" i="21"/>
  <c r="CO202" i="21"/>
  <c r="CH203" i="21"/>
  <c r="CI203" i="21"/>
  <c r="CJ203" i="21"/>
  <c r="CK203" i="21"/>
  <c r="CL203" i="21"/>
  <c r="CM203" i="21"/>
  <c r="CN203" i="21"/>
  <c r="CO203" i="21"/>
  <c r="CH204" i="21"/>
  <c r="CI204" i="21"/>
  <c r="CJ204" i="21"/>
  <c r="CK204" i="21"/>
  <c r="CL204" i="21"/>
  <c r="CM204" i="21"/>
  <c r="CN204" i="21"/>
  <c r="CO204" i="21"/>
  <c r="CH205" i="21"/>
  <c r="CI205" i="21"/>
  <c r="CJ205" i="21"/>
  <c r="CK205" i="21"/>
  <c r="CL205" i="21"/>
  <c r="CM205" i="21"/>
  <c r="CN205" i="21"/>
  <c r="CO205" i="21"/>
  <c r="CH206" i="21"/>
  <c r="CI206" i="21"/>
  <c r="CJ206" i="21"/>
  <c r="CK206" i="21"/>
  <c r="CL206" i="21"/>
  <c r="CM206" i="21"/>
  <c r="CN206" i="21"/>
  <c r="CO206" i="21"/>
  <c r="CH207" i="21"/>
  <c r="N75" i="5"/>
  <c r="CI207" i="21"/>
  <c r="CJ207" i="21"/>
  <c r="CK207" i="21"/>
  <c r="CL207" i="21"/>
  <c r="CM207" i="21"/>
  <c r="CN207" i="21"/>
  <c r="CO207" i="21"/>
  <c r="CH208" i="21"/>
  <c r="N76" i="5"/>
  <c r="CI208" i="21"/>
  <c r="CJ208" i="21"/>
  <c r="CK208" i="21"/>
  <c r="CL208" i="21"/>
  <c r="CM208" i="21"/>
  <c r="CN208" i="21"/>
  <c r="CO208" i="21"/>
  <c r="CH209" i="21"/>
  <c r="CI209" i="21"/>
  <c r="CJ209" i="21"/>
  <c r="CK209" i="21"/>
  <c r="CL209" i="21"/>
  <c r="CM209" i="21"/>
  <c r="CN209" i="21"/>
  <c r="CO209" i="21"/>
  <c r="CH210" i="21"/>
  <c r="CI210" i="21"/>
  <c r="CJ210" i="21"/>
  <c r="CK210" i="21"/>
  <c r="CL210" i="21"/>
  <c r="CM210" i="21"/>
  <c r="CN210" i="21"/>
  <c r="CO210" i="21"/>
  <c r="CH211" i="21"/>
  <c r="CI211" i="21"/>
  <c r="CJ211" i="21"/>
  <c r="CK211" i="21"/>
  <c r="CL211" i="21"/>
  <c r="CM211" i="21"/>
  <c r="CN211" i="21"/>
  <c r="CO211" i="21"/>
  <c r="CH212" i="21"/>
  <c r="CI212" i="21"/>
  <c r="CJ212" i="21"/>
  <c r="CK212" i="21"/>
  <c r="CL212" i="21"/>
  <c r="CM212" i="21"/>
  <c r="CN212" i="21"/>
  <c r="CO212" i="21"/>
  <c r="CH213" i="21"/>
  <c r="CI213" i="21"/>
  <c r="CJ213" i="21"/>
  <c r="CK213" i="21"/>
  <c r="CL213" i="21"/>
  <c r="CM213" i="21"/>
  <c r="CN213" i="21"/>
  <c r="CO213" i="21"/>
  <c r="CH214" i="21"/>
  <c r="CI214" i="21"/>
  <c r="CJ214" i="21"/>
  <c r="CK214" i="21"/>
  <c r="CL214" i="21"/>
  <c r="CM214" i="21"/>
  <c r="CN214" i="21"/>
  <c r="CO214" i="21"/>
  <c r="CH215" i="21"/>
  <c r="CI215" i="21"/>
  <c r="CJ215" i="21"/>
  <c r="CK215" i="21"/>
  <c r="CL215" i="21"/>
  <c r="CM215" i="21"/>
  <c r="CN215" i="21"/>
  <c r="CO215" i="21"/>
  <c r="CH216" i="21"/>
  <c r="N77" i="5"/>
  <c r="CI216" i="21"/>
  <c r="CJ216" i="21"/>
  <c r="CK216" i="21"/>
  <c r="CL216" i="21"/>
  <c r="CM216" i="21"/>
  <c r="CN216" i="21"/>
  <c r="CO216" i="21"/>
  <c r="CH217" i="21"/>
  <c r="N78" i="5"/>
  <c r="CI217" i="21"/>
  <c r="CJ217" i="21"/>
  <c r="CK217" i="21"/>
  <c r="CL217" i="21"/>
  <c r="CM217" i="21"/>
  <c r="CN217" i="21"/>
  <c r="CO217" i="21"/>
  <c r="CH218" i="21"/>
  <c r="CI218" i="21"/>
  <c r="CJ218" i="21"/>
  <c r="CK218" i="21"/>
  <c r="CL218" i="21"/>
  <c r="CM218" i="21"/>
  <c r="CN218" i="21"/>
  <c r="CO218" i="21"/>
  <c r="CH219" i="21"/>
  <c r="N79" i="5"/>
  <c r="CI219" i="21"/>
  <c r="CJ219" i="21"/>
  <c r="CK219" i="21"/>
  <c r="CL219" i="21"/>
  <c r="CM219" i="21"/>
  <c r="CN219" i="21"/>
  <c r="CO219" i="21"/>
  <c r="CH220" i="21"/>
  <c r="CI220" i="21"/>
  <c r="CJ220" i="21"/>
  <c r="CK220" i="21"/>
  <c r="CL220" i="21"/>
  <c r="CM220" i="21"/>
  <c r="CN220" i="21"/>
  <c r="CO220" i="21"/>
  <c r="CH221" i="21"/>
  <c r="CI221" i="21"/>
  <c r="CJ221" i="21"/>
  <c r="CK221" i="21"/>
  <c r="CL221" i="21"/>
  <c r="CM221" i="21"/>
  <c r="CN221" i="21"/>
  <c r="CO221" i="21"/>
  <c r="CH222" i="21"/>
  <c r="CI222" i="21"/>
  <c r="CJ222" i="21"/>
  <c r="CK222" i="21"/>
  <c r="CL222" i="21"/>
  <c r="CM222" i="21"/>
  <c r="CN222" i="21"/>
  <c r="CO222" i="21"/>
  <c r="CH223" i="21"/>
  <c r="CI223" i="21"/>
  <c r="CJ223" i="21"/>
  <c r="CK223" i="21"/>
  <c r="CL223" i="21"/>
  <c r="CM223" i="21"/>
  <c r="CN223" i="21"/>
  <c r="CO223" i="21"/>
  <c r="CH224" i="21"/>
  <c r="CI224" i="21"/>
  <c r="CJ224" i="21"/>
  <c r="CK224" i="21"/>
  <c r="CL224" i="21"/>
  <c r="CM224" i="21"/>
  <c r="CN224" i="21"/>
  <c r="CO224" i="21"/>
  <c r="CH225" i="21"/>
  <c r="CI225" i="21"/>
  <c r="CJ225" i="21"/>
  <c r="CK225" i="21"/>
  <c r="CL225" i="21"/>
  <c r="CM225" i="21"/>
  <c r="CN225" i="21"/>
  <c r="CO225" i="21"/>
  <c r="CH226" i="21"/>
  <c r="CI226" i="21"/>
  <c r="CJ226" i="21"/>
  <c r="CK226" i="21"/>
  <c r="CL226" i="21"/>
  <c r="CM226" i="21"/>
  <c r="CN226" i="21"/>
  <c r="CO226" i="21"/>
  <c r="CH227" i="21"/>
  <c r="CI227" i="21"/>
  <c r="CJ227" i="21"/>
  <c r="CK227" i="21"/>
  <c r="CL227" i="21"/>
  <c r="CM227" i="21"/>
  <c r="CN227" i="21"/>
  <c r="CO227" i="21"/>
  <c r="CH228" i="21"/>
  <c r="CI228" i="21"/>
  <c r="CJ228" i="21"/>
  <c r="CK228" i="21"/>
  <c r="CL228" i="21"/>
  <c r="CM228" i="21"/>
  <c r="CN228" i="21"/>
  <c r="CO228" i="21"/>
  <c r="CH229" i="21"/>
  <c r="CI229" i="21"/>
  <c r="CJ229" i="21"/>
  <c r="CK229" i="21"/>
  <c r="CL229" i="21"/>
  <c r="CM229" i="21"/>
  <c r="CN229" i="21"/>
  <c r="CO229" i="21"/>
  <c r="CH230" i="21"/>
  <c r="CI230" i="21"/>
  <c r="CJ230" i="21"/>
  <c r="CK230" i="21"/>
  <c r="CL230" i="21"/>
  <c r="CM230" i="21"/>
  <c r="CN230" i="21"/>
  <c r="CO230" i="21"/>
  <c r="CH231" i="21"/>
  <c r="CI231" i="21"/>
  <c r="CJ231" i="21"/>
  <c r="CK231" i="21"/>
  <c r="CL231" i="21"/>
  <c r="CM231" i="21"/>
  <c r="CN231" i="21"/>
  <c r="CO231" i="21"/>
  <c r="CH232" i="21"/>
  <c r="CI232" i="21"/>
  <c r="CJ232" i="21"/>
  <c r="CK232" i="21"/>
  <c r="CL232" i="21"/>
  <c r="CM232" i="21"/>
  <c r="CN232" i="21"/>
  <c r="CO232" i="21"/>
  <c r="CH233" i="21"/>
  <c r="CI233" i="21"/>
  <c r="CJ233" i="21"/>
  <c r="CK233" i="21"/>
  <c r="CL233" i="21"/>
  <c r="CM233" i="21"/>
  <c r="CN233" i="21"/>
  <c r="CO233" i="21"/>
  <c r="CH234" i="21"/>
  <c r="CI234" i="21"/>
  <c r="CJ234" i="21"/>
  <c r="CK234" i="21"/>
  <c r="CL234" i="21"/>
  <c r="CM234" i="21"/>
  <c r="CN234" i="21"/>
  <c r="CO234" i="21"/>
  <c r="CH235" i="21"/>
  <c r="L110" i="5"/>
  <c r="CI235" i="21"/>
  <c r="CJ235" i="21"/>
  <c r="CK235" i="21"/>
  <c r="CL235" i="21"/>
  <c r="CM235" i="21"/>
  <c r="CN235" i="21"/>
  <c r="CO235" i="21"/>
  <c r="CH236" i="21"/>
  <c r="CI236" i="21"/>
  <c r="CJ236" i="21"/>
  <c r="CK236" i="21"/>
  <c r="CL236" i="21"/>
  <c r="CM236" i="21"/>
  <c r="CN236" i="21"/>
  <c r="CO236" i="21"/>
  <c r="CH237" i="21"/>
  <c r="CI237" i="21"/>
  <c r="CJ237" i="21"/>
  <c r="CK237" i="21"/>
  <c r="CL237" i="21"/>
  <c r="CM237" i="21"/>
  <c r="CN237" i="21"/>
  <c r="CO237" i="21"/>
  <c r="CH238" i="21"/>
  <c r="CI238" i="21"/>
  <c r="CJ238" i="21"/>
  <c r="CK238" i="21"/>
  <c r="CL238" i="21"/>
  <c r="CM238" i="21"/>
  <c r="CN238" i="21"/>
  <c r="CO238" i="21"/>
  <c r="CH239" i="21"/>
  <c r="CI239" i="21"/>
  <c r="CJ239" i="21"/>
  <c r="CK239" i="21"/>
  <c r="CL239" i="21"/>
  <c r="CM239" i="21"/>
  <c r="CN239" i="21"/>
  <c r="CO239" i="21"/>
  <c r="CH240" i="21"/>
  <c r="CI240" i="21"/>
  <c r="CJ240" i="21"/>
  <c r="CK240" i="21"/>
  <c r="CL240" i="21"/>
  <c r="CM240" i="21"/>
  <c r="CN240" i="21"/>
  <c r="CO240" i="21"/>
  <c r="CH241" i="21"/>
  <c r="CI241" i="21"/>
  <c r="CJ241" i="21"/>
  <c r="CK241" i="21"/>
  <c r="CL241" i="21"/>
  <c r="CM241" i="21"/>
  <c r="CN241" i="21"/>
  <c r="CO241" i="21"/>
  <c r="CH242" i="21"/>
  <c r="CI242" i="21"/>
  <c r="CJ242" i="21"/>
  <c r="CK242" i="21"/>
  <c r="CL242" i="21"/>
  <c r="CM242" i="21"/>
  <c r="CN242" i="21"/>
  <c r="CO242" i="21"/>
  <c r="CH243" i="21"/>
  <c r="CI243" i="21"/>
  <c r="CJ243" i="21"/>
  <c r="CK243" i="21"/>
  <c r="CL243" i="21"/>
  <c r="CM243" i="21"/>
  <c r="CN243" i="21"/>
  <c r="CO243" i="21"/>
  <c r="CH244" i="21"/>
  <c r="CI244" i="21"/>
  <c r="CJ244" i="21"/>
  <c r="CK244" i="21"/>
  <c r="CL244" i="21"/>
  <c r="CM244" i="21"/>
  <c r="CN244" i="21"/>
  <c r="CO244" i="21"/>
  <c r="CH245" i="21"/>
  <c r="CI245" i="21"/>
  <c r="CJ245" i="21"/>
  <c r="CK245" i="21"/>
  <c r="CL245" i="21"/>
  <c r="CM245" i="21"/>
  <c r="CN245" i="21"/>
  <c r="CO245" i="21"/>
  <c r="CH246" i="21"/>
  <c r="CI246" i="21"/>
  <c r="CJ246" i="21"/>
  <c r="CK246" i="21"/>
  <c r="CL246" i="21"/>
  <c r="CM246" i="21"/>
  <c r="CN246" i="21"/>
  <c r="CO246" i="21"/>
  <c r="CH247" i="21"/>
  <c r="CI247" i="21"/>
  <c r="CJ247" i="21"/>
  <c r="CK247" i="21"/>
  <c r="CL247" i="21"/>
  <c r="CM247" i="21"/>
  <c r="CN247" i="21"/>
  <c r="CO247" i="21"/>
  <c r="CH248" i="21"/>
  <c r="CI248" i="21"/>
  <c r="CJ248" i="21"/>
  <c r="CK248" i="21"/>
  <c r="CL248" i="21"/>
  <c r="CM248" i="21"/>
  <c r="CN248" i="21"/>
  <c r="CO248" i="21"/>
  <c r="CH249" i="21"/>
  <c r="CI249" i="21"/>
  <c r="CJ249" i="21"/>
  <c r="CK249" i="21"/>
  <c r="CL249" i="21"/>
  <c r="CM249" i="21"/>
  <c r="CN249" i="21"/>
  <c r="CO249" i="21"/>
  <c r="CH250" i="21"/>
  <c r="CI250" i="21"/>
  <c r="CJ250" i="21"/>
  <c r="CK250" i="21"/>
  <c r="CL250" i="21"/>
  <c r="CM250" i="21"/>
  <c r="CN250" i="21"/>
  <c r="CO250" i="21"/>
  <c r="CH251" i="21"/>
  <c r="CI251" i="21"/>
  <c r="CJ251" i="21"/>
  <c r="CK251" i="21"/>
  <c r="CL251" i="21"/>
  <c r="CM251" i="21"/>
  <c r="CN251" i="21"/>
  <c r="CO251" i="21"/>
  <c r="CH252" i="21"/>
  <c r="CI252" i="21"/>
  <c r="CJ252" i="21"/>
  <c r="CK252" i="21"/>
  <c r="CL252" i="21"/>
  <c r="CM252" i="21"/>
  <c r="CN252" i="21"/>
  <c r="CO252" i="21"/>
  <c r="CH253" i="21"/>
  <c r="CI253" i="21"/>
  <c r="CJ253" i="21"/>
  <c r="CK253" i="21"/>
  <c r="CL253" i="21"/>
  <c r="CM253" i="21"/>
  <c r="CN253" i="21"/>
  <c r="CO253" i="21"/>
  <c r="CH254" i="21"/>
  <c r="CI254" i="21"/>
  <c r="CJ254" i="21"/>
  <c r="CK254" i="21"/>
  <c r="CL254" i="21"/>
  <c r="CM254" i="21"/>
  <c r="CN254" i="21"/>
  <c r="CO254" i="21"/>
  <c r="CH255" i="21"/>
  <c r="CI255" i="21"/>
  <c r="CJ255" i="21"/>
  <c r="CK255" i="21"/>
  <c r="CL255" i="21"/>
  <c r="CM255" i="21"/>
  <c r="CN255" i="21"/>
  <c r="CO255" i="21"/>
  <c r="CH256" i="21"/>
  <c r="CI256" i="21"/>
  <c r="CJ256" i="21"/>
  <c r="CK256" i="21"/>
  <c r="CL256" i="21"/>
  <c r="CM256" i="21"/>
  <c r="CN256" i="21"/>
  <c r="CO256" i="21"/>
  <c r="CH257" i="21"/>
  <c r="CI257" i="21"/>
  <c r="CJ257" i="21"/>
  <c r="CK257" i="21"/>
  <c r="CL257" i="21"/>
  <c r="CM257" i="21"/>
  <c r="CN257" i="21"/>
  <c r="CO257" i="21"/>
  <c r="CH258" i="21"/>
  <c r="CI258" i="21"/>
  <c r="CJ258" i="21"/>
  <c r="CK258" i="21"/>
  <c r="CL258" i="21"/>
  <c r="CM258" i="21"/>
  <c r="CN258" i="21"/>
  <c r="CO258" i="21"/>
  <c r="CH259" i="21"/>
  <c r="CI259" i="21"/>
  <c r="CJ259" i="21"/>
  <c r="CK259" i="21"/>
  <c r="CL259" i="21"/>
  <c r="CM259" i="21"/>
  <c r="CN259" i="21"/>
  <c r="CO259" i="21"/>
  <c r="CH260" i="21"/>
  <c r="CI260" i="21"/>
  <c r="CJ260" i="21"/>
  <c r="CK260" i="21"/>
  <c r="CL260" i="21"/>
  <c r="CM260" i="21"/>
  <c r="CN260" i="21"/>
  <c r="CO260" i="21"/>
  <c r="CH261" i="21"/>
  <c r="CI261" i="21"/>
  <c r="CJ261" i="21"/>
  <c r="CK261" i="21"/>
  <c r="CL261" i="21"/>
  <c r="CM261" i="21"/>
  <c r="CN261" i="21"/>
  <c r="CO261" i="21"/>
  <c r="CH262" i="21"/>
  <c r="CI262" i="21"/>
  <c r="CJ262" i="21"/>
  <c r="CK262" i="21"/>
  <c r="CL262" i="21"/>
  <c r="CM262" i="21"/>
  <c r="CN262" i="21"/>
  <c r="CO262" i="21"/>
  <c r="CH263" i="21"/>
  <c r="CI263" i="21"/>
  <c r="CJ263" i="21"/>
  <c r="CK263" i="21"/>
  <c r="CL263" i="21"/>
  <c r="CM263" i="21"/>
  <c r="CN263" i="21"/>
  <c r="CO263" i="21"/>
  <c r="CH264" i="21"/>
  <c r="CI264" i="21"/>
  <c r="CJ264" i="21"/>
  <c r="CK264" i="21"/>
  <c r="CL264" i="21"/>
  <c r="CM264" i="21"/>
  <c r="CN264" i="21"/>
  <c r="CO264" i="21"/>
  <c r="CH265" i="21"/>
  <c r="CI265" i="21"/>
  <c r="CJ265" i="21"/>
  <c r="CK265" i="21"/>
  <c r="CL265" i="21"/>
  <c r="CM265" i="21"/>
  <c r="CN265" i="21"/>
  <c r="CO265" i="21"/>
  <c r="CH266" i="21"/>
  <c r="CI266" i="21"/>
  <c r="CJ266" i="21"/>
  <c r="CK266" i="21"/>
  <c r="CL266" i="21"/>
  <c r="CM266" i="21"/>
  <c r="CN266" i="21"/>
  <c r="CO266" i="21"/>
  <c r="CH267" i="21"/>
  <c r="CI267" i="21"/>
  <c r="CJ267" i="21"/>
  <c r="CK267" i="21"/>
  <c r="CL267" i="21"/>
  <c r="CM267" i="21"/>
  <c r="CN267" i="21"/>
  <c r="CO267" i="21"/>
  <c r="CH268" i="21"/>
  <c r="CI268" i="21"/>
  <c r="CJ268" i="21"/>
  <c r="CK268" i="21"/>
  <c r="CL268" i="21"/>
  <c r="CM268" i="21"/>
  <c r="CN268" i="21"/>
  <c r="CO268" i="21"/>
  <c r="CH269" i="21"/>
  <c r="CI269" i="21"/>
  <c r="CJ269" i="21"/>
  <c r="CK269" i="21"/>
  <c r="CL269" i="21"/>
  <c r="CM269" i="21"/>
  <c r="CN269" i="21"/>
  <c r="CO269" i="21"/>
  <c r="CH270" i="21"/>
  <c r="CI270" i="21"/>
  <c r="CJ270" i="21"/>
  <c r="CK270" i="21"/>
  <c r="CL270" i="21"/>
  <c r="CM270" i="21"/>
  <c r="CN270" i="21"/>
  <c r="CO270" i="21"/>
  <c r="CH271" i="21"/>
  <c r="CI271" i="21"/>
  <c r="CJ271" i="21"/>
  <c r="CK271" i="21"/>
  <c r="CL271" i="21"/>
  <c r="CM271" i="21"/>
  <c r="CN271" i="21"/>
  <c r="CO271" i="21"/>
  <c r="CH272" i="21"/>
  <c r="CI272" i="21"/>
  <c r="CJ272" i="21"/>
  <c r="CK272" i="21"/>
  <c r="CL272" i="21"/>
  <c r="CM272" i="21"/>
  <c r="CN272" i="21"/>
  <c r="CO272" i="21"/>
  <c r="CH273" i="21"/>
  <c r="CI273" i="21"/>
  <c r="CJ273" i="21"/>
  <c r="CK273" i="21"/>
  <c r="CL273" i="21"/>
  <c r="CM273" i="21"/>
  <c r="CN273" i="21"/>
  <c r="CO273" i="21"/>
  <c r="CH274" i="21"/>
  <c r="CI274" i="21"/>
  <c r="CJ274" i="21"/>
  <c r="CK274" i="21"/>
  <c r="CL274" i="21"/>
  <c r="CM274" i="21"/>
  <c r="CN274" i="21"/>
  <c r="CO274" i="21"/>
  <c r="CH275" i="21"/>
  <c r="CI275" i="21"/>
  <c r="CJ275" i="21"/>
  <c r="CK275" i="21"/>
  <c r="CL275" i="21"/>
  <c r="CM275" i="21"/>
  <c r="CN275" i="21"/>
  <c r="CO275" i="21"/>
  <c r="CH276" i="21"/>
  <c r="CI276" i="21"/>
  <c r="CJ276" i="21"/>
  <c r="CK276" i="21"/>
  <c r="CL276" i="21"/>
  <c r="CM276" i="21"/>
  <c r="CN276" i="21"/>
  <c r="CO276" i="21"/>
  <c r="CH277" i="21"/>
  <c r="CI277" i="21"/>
  <c r="CJ277" i="21"/>
  <c r="CK277" i="21"/>
  <c r="CL277" i="21"/>
  <c r="CM277" i="21"/>
  <c r="CN277" i="21"/>
  <c r="CO277" i="21"/>
  <c r="CH278" i="21"/>
  <c r="CI278" i="21"/>
  <c r="CJ278" i="21"/>
  <c r="CK278" i="21"/>
  <c r="CL278" i="21"/>
  <c r="CM278" i="21"/>
  <c r="CN278" i="21"/>
  <c r="CO278" i="21"/>
  <c r="CH279" i="21"/>
  <c r="CI279" i="21"/>
  <c r="CJ279" i="21"/>
  <c r="CK279" i="21"/>
  <c r="CL279" i="21"/>
  <c r="CM279" i="21"/>
  <c r="CN279" i="21"/>
  <c r="CO279" i="21"/>
  <c r="CH280" i="21"/>
  <c r="CI280" i="21"/>
  <c r="CJ280" i="21"/>
  <c r="CK280" i="21"/>
  <c r="CL280" i="21"/>
  <c r="CM280" i="21"/>
  <c r="CN280" i="21"/>
  <c r="CO280" i="21"/>
  <c r="CH281" i="21"/>
  <c r="CI281" i="21"/>
  <c r="CJ281" i="21"/>
  <c r="CK281" i="21"/>
  <c r="CL281" i="21"/>
  <c r="CM281" i="21"/>
  <c r="CN281" i="21"/>
  <c r="CO281" i="21"/>
  <c r="CH282" i="21"/>
  <c r="CI282" i="21"/>
  <c r="CJ282" i="21"/>
  <c r="CK282" i="21"/>
  <c r="CL282" i="21"/>
  <c r="CM282" i="21"/>
  <c r="CN282" i="21"/>
  <c r="CO282" i="21"/>
  <c r="CH283" i="21"/>
  <c r="CI283" i="21"/>
  <c r="CJ283" i="21"/>
  <c r="CK283" i="21"/>
  <c r="CL283" i="21"/>
  <c r="CM283" i="21"/>
  <c r="CN283" i="21"/>
  <c r="CO283" i="21"/>
  <c r="CH284" i="21"/>
  <c r="CI284" i="21"/>
  <c r="CJ284" i="21"/>
  <c r="CK284" i="21"/>
  <c r="CL284" i="21"/>
  <c r="CM284" i="21"/>
  <c r="CN284" i="21"/>
  <c r="CO284" i="21"/>
  <c r="CH285" i="21"/>
  <c r="CI285" i="21"/>
  <c r="CJ285" i="21"/>
  <c r="CK285" i="21"/>
  <c r="CL285" i="21"/>
  <c r="CM285" i="21"/>
  <c r="CN285" i="21"/>
  <c r="CO285" i="21"/>
  <c r="CH286" i="21"/>
  <c r="CI286" i="21"/>
  <c r="CJ286" i="21"/>
  <c r="CK286" i="21"/>
  <c r="CL286" i="21"/>
  <c r="CM286" i="21"/>
  <c r="CN286" i="21"/>
  <c r="CO286" i="21"/>
  <c r="CH287" i="21"/>
  <c r="CI287" i="21"/>
  <c r="CJ287" i="21"/>
  <c r="CK287" i="21"/>
  <c r="CL287" i="21"/>
  <c r="CM287" i="21"/>
  <c r="CN287" i="21"/>
  <c r="CO287" i="21"/>
  <c r="CH288" i="21"/>
  <c r="CI288" i="21"/>
  <c r="CJ288" i="21"/>
  <c r="CK288" i="21"/>
  <c r="CL288" i="21"/>
  <c r="CM288" i="21"/>
  <c r="CN288" i="21"/>
  <c r="CO288" i="21"/>
  <c r="CH289" i="21"/>
  <c r="CI289" i="21"/>
  <c r="CJ289" i="21"/>
  <c r="CK289" i="21"/>
  <c r="CL289" i="21"/>
  <c r="CM289" i="21"/>
  <c r="CN289" i="21"/>
  <c r="CO289" i="21"/>
  <c r="CH290" i="21"/>
  <c r="CI290" i="21"/>
  <c r="CJ290" i="21"/>
  <c r="CK290" i="21"/>
  <c r="CL290" i="21"/>
  <c r="CM290" i="21"/>
  <c r="CN290" i="21"/>
  <c r="CO290" i="21"/>
  <c r="CH291" i="21"/>
  <c r="CI291" i="21"/>
  <c r="CJ291" i="21"/>
  <c r="CK291" i="21"/>
  <c r="CL291" i="21"/>
  <c r="CM291" i="21"/>
  <c r="CN291" i="21"/>
  <c r="CO291" i="21"/>
  <c r="CH292" i="21"/>
  <c r="CI292" i="21"/>
  <c r="CJ292" i="21"/>
  <c r="CK292" i="21"/>
  <c r="CL292" i="21"/>
  <c r="CM292" i="21"/>
  <c r="CN292" i="21"/>
  <c r="CO292" i="21"/>
  <c r="CH293" i="21"/>
  <c r="CI293" i="21"/>
  <c r="CJ293" i="21"/>
  <c r="CK293" i="21"/>
  <c r="CL293" i="21"/>
  <c r="CM293" i="21"/>
  <c r="CN293" i="21"/>
  <c r="CO293" i="21"/>
  <c r="CH294" i="21"/>
  <c r="CI294" i="21"/>
  <c r="CJ294" i="21"/>
  <c r="CK294" i="21"/>
  <c r="CL294" i="21"/>
  <c r="CM294" i="21"/>
  <c r="CN294" i="21"/>
  <c r="CO294" i="21"/>
  <c r="CH295" i="21"/>
  <c r="CI295" i="21"/>
  <c r="CJ295" i="21"/>
  <c r="CK295" i="21"/>
  <c r="CL295" i="21"/>
  <c r="CM295" i="21"/>
  <c r="CN295" i="21"/>
  <c r="CO295" i="21"/>
  <c r="CH296" i="21"/>
  <c r="CI296" i="21"/>
  <c r="CJ296" i="21"/>
  <c r="CK296" i="21"/>
  <c r="CL296" i="21"/>
  <c r="CM296" i="21"/>
  <c r="CN296" i="21"/>
  <c r="CO296" i="21"/>
  <c r="CH297" i="21"/>
  <c r="CI297" i="21"/>
  <c r="CJ297" i="21"/>
  <c r="CK297" i="21"/>
  <c r="CL297" i="21"/>
  <c r="CM297" i="21"/>
  <c r="CN297" i="21"/>
  <c r="CO297" i="21"/>
  <c r="CH298" i="21"/>
  <c r="CI298" i="21"/>
  <c r="CJ298" i="21"/>
  <c r="CK298" i="21"/>
  <c r="CL298" i="21"/>
  <c r="CM298" i="21"/>
  <c r="CN298" i="21"/>
  <c r="CO298" i="21"/>
  <c r="CH299" i="21"/>
  <c r="CI299" i="21"/>
  <c r="CJ299" i="21"/>
  <c r="CK299" i="21"/>
  <c r="CL299" i="21"/>
  <c r="CM299" i="21"/>
  <c r="CN299" i="21"/>
  <c r="CO299" i="21"/>
  <c r="CH300" i="21"/>
  <c r="CI300" i="21"/>
  <c r="CJ300" i="21"/>
  <c r="CK300" i="21"/>
  <c r="CL300" i="21"/>
  <c r="CM300" i="21"/>
  <c r="CN300" i="21"/>
  <c r="CO300" i="21"/>
  <c r="CY42" i="21"/>
  <c r="FE3" i="21"/>
  <c r="FJ4" i="21"/>
  <c r="FJ42" i="21"/>
  <c r="BM42" i="21"/>
  <c r="FI4" i="21"/>
  <c r="FI42" i="21"/>
  <c r="BL42" i="21"/>
  <c r="FH4" i="21"/>
  <c r="FH42" i="21"/>
  <c r="BK42" i="21"/>
  <c r="FG4" i="21"/>
  <c r="FG42" i="21"/>
  <c r="BJ42" i="21"/>
  <c r="FF4" i="21"/>
  <c r="FF42" i="21"/>
  <c r="BI42" i="21"/>
  <c r="FE4" i="21"/>
  <c r="FE42" i="21"/>
  <c r="BH42" i="21"/>
  <c r="CY41" i="21"/>
  <c r="FJ41" i="21"/>
  <c r="BM41" i="21"/>
  <c r="FI41" i="21"/>
  <c r="BL41" i="21"/>
  <c r="FH41" i="21"/>
  <c r="BK41" i="21"/>
  <c r="FG41" i="21"/>
  <c r="BJ41" i="21"/>
  <c r="FF41" i="21"/>
  <c r="BI41" i="21"/>
  <c r="FE41" i="21"/>
  <c r="BH41" i="21"/>
  <c r="CY40" i="21"/>
  <c r="FJ40" i="21"/>
  <c r="BM40" i="21"/>
  <c r="FI40" i="21"/>
  <c r="BL40" i="21"/>
  <c r="FH40" i="21"/>
  <c r="BK40" i="21"/>
  <c r="FG40" i="21"/>
  <c r="BJ40" i="21"/>
  <c r="FF40" i="21"/>
  <c r="BI40" i="21"/>
  <c r="FE40" i="21"/>
  <c r="BH40" i="21"/>
  <c r="CY39" i="21"/>
  <c r="FJ39" i="21"/>
  <c r="BM39" i="21"/>
  <c r="FI39" i="21"/>
  <c r="BL39" i="21"/>
  <c r="FH39" i="21"/>
  <c r="BK39" i="21"/>
  <c r="FG39" i="21"/>
  <c r="BJ39" i="21"/>
  <c r="FF39" i="21"/>
  <c r="BI39" i="21"/>
  <c r="FE39" i="21"/>
  <c r="BH39" i="21"/>
  <c r="CY38" i="21"/>
  <c r="FJ38" i="21"/>
  <c r="BM38" i="21"/>
  <c r="FI38" i="21"/>
  <c r="BL38" i="21"/>
  <c r="FH38" i="21"/>
  <c r="BK38" i="21"/>
  <c r="FG38" i="21"/>
  <c r="BJ38" i="21"/>
  <c r="FF38" i="21"/>
  <c r="BI38" i="21"/>
  <c r="FE38" i="21"/>
  <c r="BH38" i="21"/>
  <c r="CY37" i="21"/>
  <c r="FJ37" i="21"/>
  <c r="BM37" i="21"/>
  <c r="FI37" i="21"/>
  <c r="BL37" i="21"/>
  <c r="FH37" i="21"/>
  <c r="BK37" i="21"/>
  <c r="FG37" i="21"/>
  <c r="BJ37" i="21"/>
  <c r="FF37" i="21"/>
  <c r="BI37" i="21"/>
  <c r="FE37" i="21"/>
  <c r="BH37" i="21"/>
  <c r="CY36" i="21"/>
  <c r="FJ36" i="21"/>
  <c r="BM36" i="21"/>
  <c r="FI36" i="21"/>
  <c r="BL36" i="21"/>
  <c r="FH36" i="21"/>
  <c r="BK36" i="21"/>
  <c r="FG36" i="21"/>
  <c r="BJ36" i="21"/>
  <c r="FF36" i="21"/>
  <c r="BI36" i="21"/>
  <c r="FE36" i="21"/>
  <c r="BH36" i="21"/>
  <c r="CY35" i="21"/>
  <c r="FJ35" i="21"/>
  <c r="BM35" i="21"/>
  <c r="FI35" i="21"/>
  <c r="BL35" i="21"/>
  <c r="FH35" i="21"/>
  <c r="BK35" i="21"/>
  <c r="FG35" i="21"/>
  <c r="BJ35" i="21"/>
  <c r="FF35" i="21"/>
  <c r="BI35" i="21"/>
  <c r="FE35" i="21"/>
  <c r="BH35" i="21"/>
  <c r="CY34" i="21"/>
  <c r="FJ34" i="21"/>
  <c r="BM34" i="21"/>
  <c r="FI34" i="21"/>
  <c r="BL34" i="21"/>
  <c r="FH34" i="21"/>
  <c r="BK34" i="21"/>
  <c r="FG34" i="21"/>
  <c r="BJ34" i="21"/>
  <c r="FF34" i="21"/>
  <c r="BI34" i="21"/>
  <c r="FE34" i="21"/>
  <c r="BH34" i="21"/>
  <c r="CY33" i="21"/>
  <c r="FJ33" i="21"/>
  <c r="BM33" i="21"/>
  <c r="FI33" i="21"/>
  <c r="BL33" i="21"/>
  <c r="FH33" i="21"/>
  <c r="BK33" i="21"/>
  <c r="FG33" i="21"/>
  <c r="BJ33" i="21"/>
  <c r="FF33" i="21"/>
  <c r="BI33" i="21"/>
  <c r="FE33" i="21"/>
  <c r="BH33" i="21"/>
  <c r="CY32" i="21"/>
  <c r="FJ32" i="21"/>
  <c r="BM32" i="21"/>
  <c r="FI32" i="21"/>
  <c r="BL32" i="21"/>
  <c r="FH32" i="21"/>
  <c r="BK32" i="21"/>
  <c r="FG32" i="21"/>
  <c r="BJ32" i="21"/>
  <c r="FF32" i="21"/>
  <c r="BI32" i="21"/>
  <c r="FE32" i="21"/>
  <c r="BH32" i="21"/>
  <c r="CY31" i="21"/>
  <c r="FJ31" i="21"/>
  <c r="BM31" i="21"/>
  <c r="FI31" i="21"/>
  <c r="BL31" i="21"/>
  <c r="FH31" i="21"/>
  <c r="BK31" i="21"/>
  <c r="FG31" i="21"/>
  <c r="BJ31" i="21"/>
  <c r="FF31" i="21"/>
  <c r="BI31" i="21"/>
  <c r="FE31" i="21"/>
  <c r="BH31" i="21"/>
  <c r="CY30" i="21"/>
  <c r="FJ30" i="21"/>
  <c r="BM30" i="21"/>
  <c r="FI30" i="21"/>
  <c r="BL30" i="21"/>
  <c r="FH30" i="21"/>
  <c r="BK30" i="21"/>
  <c r="FG30" i="21"/>
  <c r="BJ30" i="21"/>
  <c r="FF30" i="21"/>
  <c r="BI30" i="21"/>
  <c r="FE30" i="21"/>
  <c r="BH30" i="21"/>
  <c r="CY29" i="21"/>
  <c r="FJ29" i="21"/>
  <c r="BM29" i="21"/>
  <c r="FI29" i="21"/>
  <c r="BL29" i="21"/>
  <c r="FH29" i="21"/>
  <c r="BK29" i="21"/>
  <c r="FG29" i="21"/>
  <c r="BJ29" i="21"/>
  <c r="FF29" i="21"/>
  <c r="BI29" i="21"/>
  <c r="FE29" i="21"/>
  <c r="BH29" i="21"/>
  <c r="CY28" i="21"/>
  <c r="FJ28" i="21"/>
  <c r="BM28" i="21"/>
  <c r="FI28" i="21"/>
  <c r="BL28" i="21"/>
  <c r="FH28" i="21"/>
  <c r="BK28" i="21"/>
  <c r="FG28" i="21"/>
  <c r="BJ28" i="21"/>
  <c r="FF28" i="21"/>
  <c r="BI28" i="21"/>
  <c r="FE28" i="21"/>
  <c r="BH28" i="21"/>
  <c r="CY27" i="21"/>
  <c r="FJ27" i="21"/>
  <c r="BM27" i="21"/>
  <c r="FI27" i="21"/>
  <c r="BL27" i="21"/>
  <c r="FH27" i="21"/>
  <c r="BK27" i="21"/>
  <c r="FG27" i="21"/>
  <c r="BJ27" i="21"/>
  <c r="FF27" i="21"/>
  <c r="BI27" i="21"/>
  <c r="FE27" i="21"/>
  <c r="BH27" i="21"/>
  <c r="CY26" i="21"/>
  <c r="FJ26" i="21"/>
  <c r="BM26" i="21"/>
  <c r="FI26" i="21"/>
  <c r="BL26" i="21"/>
  <c r="FH26" i="21"/>
  <c r="BK26" i="21"/>
  <c r="FG26" i="21"/>
  <c r="BJ26" i="21"/>
  <c r="FF26" i="21"/>
  <c r="BI26" i="21"/>
  <c r="FE26" i="21"/>
  <c r="BH26" i="21"/>
  <c r="CY25" i="21"/>
  <c r="FJ25" i="21"/>
  <c r="BM25" i="21"/>
  <c r="FI25" i="21"/>
  <c r="BL25" i="21"/>
  <c r="FH25" i="21"/>
  <c r="BK25" i="21"/>
  <c r="FG25" i="21"/>
  <c r="BJ25" i="21"/>
  <c r="FF25" i="21"/>
  <c r="BI25" i="21"/>
  <c r="FE25" i="21"/>
  <c r="BH25" i="21"/>
  <c r="CY24" i="21"/>
  <c r="FJ24" i="21"/>
  <c r="BM24" i="21"/>
  <c r="FI24" i="21"/>
  <c r="BL24" i="21"/>
  <c r="FH24" i="21"/>
  <c r="BK24" i="21"/>
  <c r="FG24" i="21"/>
  <c r="BJ24" i="21"/>
  <c r="FF24" i="21"/>
  <c r="BI24" i="21"/>
  <c r="FE24" i="21"/>
  <c r="BH24" i="21"/>
  <c r="CY23" i="21"/>
  <c r="FJ23" i="21"/>
  <c r="BM23" i="21"/>
  <c r="FI23" i="21"/>
  <c r="BL23" i="21"/>
  <c r="FH23" i="21"/>
  <c r="BK23" i="21"/>
  <c r="FG23" i="21"/>
  <c r="BJ23" i="21"/>
  <c r="FF23" i="21"/>
  <c r="BI23" i="21"/>
  <c r="FE23" i="21"/>
  <c r="BH23" i="21"/>
  <c r="CY22" i="21"/>
  <c r="FJ22" i="21"/>
  <c r="BM22" i="21"/>
  <c r="FI22" i="21"/>
  <c r="BL22" i="21"/>
  <c r="FH22" i="21"/>
  <c r="BK22" i="21"/>
  <c r="FG22" i="21"/>
  <c r="BJ22" i="21"/>
  <c r="FF22" i="21"/>
  <c r="BI22" i="21"/>
  <c r="FE22" i="21"/>
  <c r="BH22" i="21"/>
  <c r="CY21" i="21"/>
  <c r="FJ21" i="21"/>
  <c r="BM21" i="21"/>
  <c r="FI21" i="21"/>
  <c r="BL21" i="21"/>
  <c r="FH21" i="21"/>
  <c r="BK21" i="21"/>
  <c r="FG21" i="21"/>
  <c r="BJ21" i="21"/>
  <c r="FF21" i="21"/>
  <c r="BI21" i="21"/>
  <c r="FE21" i="21"/>
  <c r="BH21" i="21"/>
  <c r="CY20" i="21"/>
  <c r="FJ20" i="21"/>
  <c r="BM20" i="21"/>
  <c r="FI20" i="21"/>
  <c r="BL20" i="21"/>
  <c r="FH20" i="21"/>
  <c r="BK20" i="21"/>
  <c r="FG20" i="21"/>
  <c r="BJ20" i="21"/>
  <c r="FF20" i="21"/>
  <c r="BI20" i="21"/>
  <c r="FE20" i="21"/>
  <c r="BH20" i="21"/>
  <c r="CY19" i="21"/>
  <c r="FJ19" i="21"/>
  <c r="BM19" i="21"/>
  <c r="FI19" i="21"/>
  <c r="BL19" i="21"/>
  <c r="FH19" i="21"/>
  <c r="BK19" i="21"/>
  <c r="FG19" i="21"/>
  <c r="BJ19" i="21"/>
  <c r="FF19" i="21"/>
  <c r="BI19" i="21"/>
  <c r="FE19" i="21"/>
  <c r="BH19" i="21"/>
  <c r="CY18" i="21"/>
  <c r="FJ18" i="21"/>
  <c r="BM18" i="21"/>
  <c r="FI18" i="21"/>
  <c r="BL18" i="21"/>
  <c r="FH18" i="21"/>
  <c r="BK18" i="21"/>
  <c r="FG18" i="21"/>
  <c r="BJ18" i="21"/>
  <c r="FF18" i="21"/>
  <c r="BI18" i="21"/>
  <c r="FE18" i="21"/>
  <c r="BH18" i="21"/>
  <c r="CY17" i="21"/>
  <c r="FJ17" i="21"/>
  <c r="BM17" i="21"/>
  <c r="FI17" i="21"/>
  <c r="BL17" i="21"/>
  <c r="FH17" i="21"/>
  <c r="BK17" i="21"/>
  <c r="FG17" i="21"/>
  <c r="BJ17" i="21"/>
  <c r="FF17" i="21"/>
  <c r="BI17" i="21"/>
  <c r="FE17" i="21"/>
  <c r="BH17" i="21"/>
  <c r="CY16" i="21"/>
  <c r="FJ16" i="21"/>
  <c r="BM16" i="21"/>
  <c r="FI16" i="21"/>
  <c r="BL16" i="21"/>
  <c r="FH16" i="21"/>
  <c r="BK16" i="21"/>
  <c r="FG16" i="21"/>
  <c r="BJ16" i="21"/>
  <c r="FF16" i="21"/>
  <c r="BI16" i="21"/>
  <c r="FE16" i="21"/>
  <c r="BH16" i="21"/>
  <c r="CY15" i="21"/>
  <c r="FJ15" i="21"/>
  <c r="BM15" i="21"/>
  <c r="FI15" i="21"/>
  <c r="BL15" i="21"/>
  <c r="FH15" i="21"/>
  <c r="BK15" i="21"/>
  <c r="FG15" i="21"/>
  <c r="BJ15" i="21"/>
  <c r="FF15" i="21"/>
  <c r="BI15" i="21"/>
  <c r="FE15" i="21"/>
  <c r="BH15" i="21"/>
  <c r="CY14" i="21"/>
  <c r="FJ14" i="21"/>
  <c r="BM14" i="21"/>
  <c r="FI14" i="21"/>
  <c r="BL14" i="21"/>
  <c r="FH14" i="21"/>
  <c r="BK14" i="21"/>
  <c r="FG14" i="21"/>
  <c r="BJ14" i="21"/>
  <c r="FF14" i="21"/>
  <c r="BI14" i="21"/>
  <c r="FE14" i="21"/>
  <c r="BH14" i="21"/>
  <c r="CY13" i="21"/>
  <c r="FJ13" i="21"/>
  <c r="BM13" i="21"/>
  <c r="FI13" i="21"/>
  <c r="BL13" i="21"/>
  <c r="FH13" i="21"/>
  <c r="BK13" i="21"/>
  <c r="FG13" i="21"/>
  <c r="BJ13" i="21"/>
  <c r="FF13" i="21"/>
  <c r="BI13" i="21"/>
  <c r="FE13" i="21"/>
  <c r="BH13" i="21"/>
  <c r="CY12" i="21"/>
  <c r="FJ12" i="21"/>
  <c r="BM12" i="21"/>
  <c r="FI12" i="21"/>
  <c r="BL12" i="21"/>
  <c r="FH12" i="21"/>
  <c r="BK12" i="21"/>
  <c r="FG12" i="21"/>
  <c r="BJ12" i="21"/>
  <c r="FF12" i="21"/>
  <c r="BI12" i="21"/>
  <c r="FE12" i="21"/>
  <c r="BH12" i="21"/>
  <c r="CY11" i="21"/>
  <c r="FJ11" i="21"/>
  <c r="BM11" i="21"/>
  <c r="FI11" i="21"/>
  <c r="BL11" i="21"/>
  <c r="FH11" i="21"/>
  <c r="BK11" i="21"/>
  <c r="FG11" i="21"/>
  <c r="BJ11" i="21"/>
  <c r="FF11" i="21"/>
  <c r="BI11" i="21"/>
  <c r="FE11" i="21"/>
  <c r="BH11" i="21"/>
  <c r="CY10" i="21"/>
  <c r="FJ10" i="21"/>
  <c r="BM10" i="21"/>
  <c r="FI10" i="21"/>
  <c r="BL10" i="21"/>
  <c r="FH10" i="21"/>
  <c r="BK10" i="21"/>
  <c r="FG10" i="21"/>
  <c r="BJ10" i="21"/>
  <c r="FF10" i="21"/>
  <c r="BI10" i="21"/>
  <c r="FE10" i="21"/>
  <c r="BH10" i="21"/>
  <c r="CY9" i="21"/>
  <c r="FJ9" i="21"/>
  <c r="BM9" i="21"/>
  <c r="FI9" i="21"/>
  <c r="BL9" i="21"/>
  <c r="FH9" i="21"/>
  <c r="BK9" i="21"/>
  <c r="FG9" i="21"/>
  <c r="BJ9" i="21"/>
  <c r="FF9" i="21"/>
  <c r="BI9" i="21"/>
  <c r="FE9" i="21"/>
  <c r="BH9" i="21"/>
  <c r="CY8" i="21"/>
  <c r="FJ8" i="21"/>
  <c r="BM8" i="21"/>
  <c r="FI8" i="21"/>
  <c r="BL8" i="21"/>
  <c r="FH8" i="21"/>
  <c r="BK8" i="21"/>
  <c r="FG8" i="21"/>
  <c r="BJ8" i="21"/>
  <c r="FF8" i="21"/>
  <c r="BI8" i="21"/>
  <c r="FE8" i="21"/>
  <c r="BH8" i="21"/>
  <c r="CY7" i="21"/>
  <c r="FJ7" i="21"/>
  <c r="BM7" i="21"/>
  <c r="FI7" i="21"/>
  <c r="BL7" i="21"/>
  <c r="FH7" i="21"/>
  <c r="BK7" i="21"/>
  <c r="FG7" i="21"/>
  <c r="BJ7" i="21"/>
  <c r="FF7" i="21"/>
  <c r="BI7" i="21"/>
  <c r="FE7" i="21"/>
  <c r="BH7" i="21"/>
  <c r="CY6" i="21"/>
  <c r="FJ6" i="21"/>
  <c r="BM6" i="21"/>
  <c r="FI6" i="21"/>
  <c r="BL6" i="21"/>
  <c r="FH6" i="21"/>
  <c r="BK6" i="21"/>
  <c r="FG6" i="21"/>
  <c r="BJ6" i="21"/>
  <c r="FF6" i="21"/>
  <c r="BI6" i="21"/>
  <c r="FE6" i="21"/>
  <c r="BH6" i="21"/>
  <c r="EX3" i="21"/>
  <c r="FC4" i="21"/>
  <c r="FC42" i="21"/>
  <c r="BF42" i="21"/>
  <c r="FB4" i="21"/>
  <c r="FB42" i="21"/>
  <c r="BE42" i="21"/>
  <c r="FA4" i="21"/>
  <c r="FA42" i="21"/>
  <c r="BD42" i="21"/>
  <c r="EZ4" i="21"/>
  <c r="EZ42" i="21"/>
  <c r="BC42" i="21"/>
  <c r="EY4" i="21"/>
  <c r="EY42" i="21"/>
  <c r="BB42" i="21"/>
  <c r="EX4" i="21"/>
  <c r="EX42" i="21"/>
  <c r="BA42" i="21"/>
  <c r="FC41" i="21"/>
  <c r="BF41" i="21"/>
  <c r="FB41" i="21"/>
  <c r="BE41" i="21"/>
  <c r="FA41" i="21"/>
  <c r="BD41" i="21"/>
  <c r="EZ41" i="21"/>
  <c r="BC41" i="21"/>
  <c r="EY41" i="21"/>
  <c r="BB41" i="21"/>
  <c r="EX41" i="21"/>
  <c r="BA41" i="21"/>
  <c r="FC40" i="21"/>
  <c r="BF40" i="21"/>
  <c r="FB40" i="21"/>
  <c r="BE40" i="21"/>
  <c r="FA40" i="21"/>
  <c r="BD40" i="21"/>
  <c r="EZ40" i="21"/>
  <c r="BC40" i="21"/>
  <c r="EY40" i="21"/>
  <c r="BB40" i="21"/>
  <c r="EX40" i="21"/>
  <c r="BA40" i="21"/>
  <c r="FC39" i="21"/>
  <c r="BF39" i="21"/>
  <c r="FB39" i="21"/>
  <c r="BE39" i="21"/>
  <c r="FA39" i="21"/>
  <c r="BD39" i="21"/>
  <c r="EZ39" i="21"/>
  <c r="BC39" i="21"/>
  <c r="EY39" i="21"/>
  <c r="BB39" i="21"/>
  <c r="EX39" i="21"/>
  <c r="BA39" i="21"/>
  <c r="FC38" i="21"/>
  <c r="BF38" i="21"/>
  <c r="FB38" i="21"/>
  <c r="BE38" i="21"/>
  <c r="FA38" i="21"/>
  <c r="BD38" i="21"/>
  <c r="EZ38" i="21"/>
  <c r="BC38" i="21"/>
  <c r="EY38" i="21"/>
  <c r="BB38" i="21"/>
  <c r="EX38" i="21"/>
  <c r="BA38" i="21"/>
  <c r="FC37" i="21"/>
  <c r="BF37" i="21"/>
  <c r="FB37" i="21"/>
  <c r="BE37" i="21"/>
  <c r="FA37" i="21"/>
  <c r="BD37" i="21"/>
  <c r="EZ37" i="21"/>
  <c r="BC37" i="21"/>
  <c r="EY37" i="21"/>
  <c r="BB37" i="21"/>
  <c r="EX37" i="21"/>
  <c r="BA37" i="21"/>
  <c r="FC36" i="21"/>
  <c r="BF36" i="21"/>
  <c r="FB36" i="21"/>
  <c r="BE36" i="21"/>
  <c r="FA36" i="21"/>
  <c r="BD36" i="21"/>
  <c r="EZ36" i="21"/>
  <c r="BC36" i="21"/>
  <c r="EY36" i="21"/>
  <c r="BB36" i="21"/>
  <c r="EX36" i="21"/>
  <c r="BA36" i="21"/>
  <c r="FC35" i="21"/>
  <c r="BF35" i="21"/>
  <c r="FB35" i="21"/>
  <c r="BE35" i="21"/>
  <c r="FA35" i="21"/>
  <c r="BD35" i="21"/>
  <c r="EZ35" i="21"/>
  <c r="BC35" i="21"/>
  <c r="EY35" i="21"/>
  <c r="BB35" i="21"/>
  <c r="EX35" i="21"/>
  <c r="BA35" i="21"/>
  <c r="FC34" i="21"/>
  <c r="BF34" i="21"/>
  <c r="FB34" i="21"/>
  <c r="BE34" i="21"/>
  <c r="FA34" i="21"/>
  <c r="BD34" i="21"/>
  <c r="EZ34" i="21"/>
  <c r="BC34" i="21"/>
  <c r="EY34" i="21"/>
  <c r="BB34" i="21"/>
  <c r="EX34" i="21"/>
  <c r="BA34" i="21"/>
  <c r="FC33" i="21"/>
  <c r="BF33" i="21"/>
  <c r="FB33" i="21"/>
  <c r="BE33" i="21"/>
  <c r="FA33" i="21"/>
  <c r="BD33" i="21"/>
  <c r="EZ33" i="21"/>
  <c r="BC33" i="21"/>
  <c r="EY33" i="21"/>
  <c r="BB33" i="21"/>
  <c r="EX33" i="21"/>
  <c r="BA33" i="21"/>
  <c r="FC32" i="21"/>
  <c r="BF32" i="21"/>
  <c r="FB32" i="21"/>
  <c r="BE32" i="21"/>
  <c r="FA32" i="21"/>
  <c r="BD32" i="21"/>
  <c r="EZ32" i="21"/>
  <c r="BC32" i="21"/>
  <c r="EY32" i="21"/>
  <c r="BB32" i="21"/>
  <c r="EX32" i="21"/>
  <c r="BA32" i="21"/>
  <c r="FC31" i="21"/>
  <c r="BF31" i="21"/>
  <c r="FB31" i="21"/>
  <c r="BE31" i="21"/>
  <c r="FA31" i="21"/>
  <c r="BD31" i="21"/>
  <c r="EZ31" i="21"/>
  <c r="BC31" i="21"/>
  <c r="EY31" i="21"/>
  <c r="BB31" i="21"/>
  <c r="EX31" i="21"/>
  <c r="BA31" i="21"/>
  <c r="FC30" i="21"/>
  <c r="BF30" i="21"/>
  <c r="FB30" i="21"/>
  <c r="BE30" i="21"/>
  <c r="FA30" i="21"/>
  <c r="BD30" i="21"/>
  <c r="EZ30" i="21"/>
  <c r="BC30" i="21"/>
  <c r="EY30" i="21"/>
  <c r="BB30" i="21"/>
  <c r="EX30" i="21"/>
  <c r="BA30" i="21"/>
  <c r="FC29" i="21"/>
  <c r="BF29" i="21"/>
  <c r="FB29" i="21"/>
  <c r="BE29" i="21"/>
  <c r="FA29" i="21"/>
  <c r="BD29" i="21"/>
  <c r="EZ29" i="21"/>
  <c r="BC29" i="21"/>
  <c r="EY29" i="21"/>
  <c r="BB29" i="21"/>
  <c r="EX29" i="21"/>
  <c r="BA29" i="21"/>
  <c r="FC28" i="21"/>
  <c r="BF28" i="21"/>
  <c r="FB28" i="21"/>
  <c r="BE28" i="21"/>
  <c r="FA28" i="21"/>
  <c r="BD28" i="21"/>
  <c r="EZ28" i="21"/>
  <c r="BC28" i="21"/>
  <c r="EY28" i="21"/>
  <c r="BB28" i="21"/>
  <c r="EX28" i="21"/>
  <c r="BA28" i="21"/>
  <c r="FC27" i="21"/>
  <c r="BF27" i="21"/>
  <c r="FB27" i="21"/>
  <c r="BE27" i="21"/>
  <c r="FA27" i="21"/>
  <c r="BD27" i="21"/>
  <c r="EZ27" i="21"/>
  <c r="BC27" i="21"/>
  <c r="EY27" i="21"/>
  <c r="BB27" i="21"/>
  <c r="EX27" i="21"/>
  <c r="BA27" i="21"/>
  <c r="FC26" i="21"/>
  <c r="BF26" i="21"/>
  <c r="FB26" i="21"/>
  <c r="BE26" i="21"/>
  <c r="FA26" i="21"/>
  <c r="BD26" i="21"/>
  <c r="EZ26" i="21"/>
  <c r="BC26" i="21"/>
  <c r="EY26" i="21"/>
  <c r="BB26" i="21"/>
  <c r="EX26" i="21"/>
  <c r="BA26" i="21"/>
  <c r="FC25" i="21"/>
  <c r="BF25" i="21"/>
  <c r="FB25" i="21"/>
  <c r="BE25" i="21"/>
  <c r="FA25" i="21"/>
  <c r="BD25" i="21"/>
  <c r="EZ25" i="21"/>
  <c r="BC25" i="21"/>
  <c r="EY25" i="21"/>
  <c r="BB25" i="21"/>
  <c r="EX25" i="21"/>
  <c r="BA25" i="21"/>
  <c r="FC24" i="21"/>
  <c r="BF24" i="21"/>
  <c r="FB24" i="21"/>
  <c r="BE24" i="21"/>
  <c r="FA24" i="21"/>
  <c r="BD24" i="21"/>
  <c r="EZ24" i="21"/>
  <c r="BC24" i="21"/>
  <c r="EY24" i="21"/>
  <c r="BB24" i="21"/>
  <c r="EX24" i="21"/>
  <c r="BA24" i="21"/>
  <c r="FC23" i="21"/>
  <c r="BF23" i="21"/>
  <c r="FB23" i="21"/>
  <c r="BE23" i="21"/>
  <c r="FA23" i="21"/>
  <c r="BD23" i="21"/>
  <c r="EZ23" i="21"/>
  <c r="BC23" i="21"/>
  <c r="EY23" i="21"/>
  <c r="BB23" i="21"/>
  <c r="EX23" i="21"/>
  <c r="BA23" i="21"/>
  <c r="FC22" i="21"/>
  <c r="BF22" i="21"/>
  <c r="FB22" i="21"/>
  <c r="BE22" i="21"/>
  <c r="FA22" i="21"/>
  <c r="BD22" i="21"/>
  <c r="EZ22" i="21"/>
  <c r="BC22" i="21"/>
  <c r="EY22" i="21"/>
  <c r="BB22" i="21"/>
  <c r="EX22" i="21"/>
  <c r="BA22" i="21"/>
  <c r="FC21" i="21"/>
  <c r="BF21" i="21"/>
  <c r="FB21" i="21"/>
  <c r="BE21" i="21"/>
  <c r="FA21" i="21"/>
  <c r="BD21" i="21"/>
  <c r="EZ21" i="21"/>
  <c r="BC21" i="21"/>
  <c r="EY21" i="21"/>
  <c r="BB21" i="21"/>
  <c r="EX21" i="21"/>
  <c r="BA21" i="21"/>
  <c r="FC20" i="21"/>
  <c r="BF20" i="21"/>
  <c r="FB20" i="21"/>
  <c r="BE20" i="21"/>
  <c r="FA20" i="21"/>
  <c r="BD20" i="21"/>
  <c r="EZ20" i="21"/>
  <c r="BC20" i="21"/>
  <c r="EY20" i="21"/>
  <c r="BB20" i="21"/>
  <c r="EX20" i="21"/>
  <c r="BA20" i="21"/>
  <c r="FC19" i="21"/>
  <c r="BF19" i="21"/>
  <c r="FB19" i="21"/>
  <c r="BE19" i="21"/>
  <c r="FA19" i="21"/>
  <c r="BD19" i="21"/>
  <c r="EZ19" i="21"/>
  <c r="BC19" i="21"/>
  <c r="EY19" i="21"/>
  <c r="BB19" i="21"/>
  <c r="EX19" i="21"/>
  <c r="BA19" i="21"/>
  <c r="FC18" i="21"/>
  <c r="BF18" i="21"/>
  <c r="FB18" i="21"/>
  <c r="BE18" i="21"/>
  <c r="FA18" i="21"/>
  <c r="BD18" i="21"/>
  <c r="EZ18" i="21"/>
  <c r="BC18" i="21"/>
  <c r="EY18" i="21"/>
  <c r="BB18" i="21"/>
  <c r="EX18" i="21"/>
  <c r="BA18" i="21"/>
  <c r="FC17" i="21"/>
  <c r="BF17" i="21"/>
  <c r="FB17" i="21"/>
  <c r="BE17" i="21"/>
  <c r="FA17" i="21"/>
  <c r="BD17" i="21"/>
  <c r="EZ17" i="21"/>
  <c r="BC17" i="21"/>
  <c r="EY17" i="21"/>
  <c r="BB17" i="21"/>
  <c r="EX17" i="21"/>
  <c r="BA17" i="21"/>
  <c r="FC16" i="21"/>
  <c r="BF16" i="21"/>
  <c r="FB16" i="21"/>
  <c r="BE16" i="21"/>
  <c r="FA16" i="21"/>
  <c r="BD16" i="21"/>
  <c r="EZ16" i="21"/>
  <c r="BC16" i="21"/>
  <c r="EY16" i="21"/>
  <c r="BB16" i="21"/>
  <c r="EX16" i="21"/>
  <c r="BA16" i="21"/>
  <c r="FC15" i="21"/>
  <c r="BF15" i="21"/>
  <c r="FB15" i="21"/>
  <c r="BE15" i="21"/>
  <c r="FA15" i="21"/>
  <c r="BD15" i="21"/>
  <c r="EZ15" i="21"/>
  <c r="BC15" i="21"/>
  <c r="EY15" i="21"/>
  <c r="BB15" i="21"/>
  <c r="EX15" i="21"/>
  <c r="BA15" i="21"/>
  <c r="FC14" i="21"/>
  <c r="BF14" i="21"/>
  <c r="FB14" i="21"/>
  <c r="BE14" i="21"/>
  <c r="FA14" i="21"/>
  <c r="BD14" i="21"/>
  <c r="EZ14" i="21"/>
  <c r="BC14" i="21"/>
  <c r="EY14" i="21"/>
  <c r="BB14" i="21"/>
  <c r="EX14" i="21"/>
  <c r="BA14" i="21"/>
  <c r="FC13" i="21"/>
  <c r="BF13" i="21"/>
  <c r="FB13" i="21"/>
  <c r="BE13" i="21"/>
  <c r="FA13" i="21"/>
  <c r="BD13" i="21"/>
  <c r="EZ13" i="21"/>
  <c r="BC13" i="21"/>
  <c r="EY13" i="21"/>
  <c r="BB13" i="21"/>
  <c r="EX13" i="21"/>
  <c r="BA13" i="21"/>
  <c r="FC12" i="21"/>
  <c r="BF12" i="21"/>
  <c r="FB12" i="21"/>
  <c r="BE12" i="21"/>
  <c r="FA12" i="21"/>
  <c r="BD12" i="21"/>
  <c r="EZ12" i="21"/>
  <c r="BC12" i="21"/>
  <c r="EY12" i="21"/>
  <c r="BB12" i="21"/>
  <c r="EX12" i="21"/>
  <c r="BA12" i="21"/>
  <c r="FC11" i="21"/>
  <c r="BF11" i="21"/>
  <c r="FB11" i="21"/>
  <c r="BE11" i="21"/>
  <c r="FA11" i="21"/>
  <c r="BD11" i="21"/>
  <c r="EZ11" i="21"/>
  <c r="BC11" i="21"/>
  <c r="EY11" i="21"/>
  <c r="BB11" i="21"/>
  <c r="EX11" i="21"/>
  <c r="BA11" i="21"/>
  <c r="FC10" i="21"/>
  <c r="BF10" i="21"/>
  <c r="FB10" i="21"/>
  <c r="BE10" i="21"/>
  <c r="FA10" i="21"/>
  <c r="BD10" i="21"/>
  <c r="EZ10" i="21"/>
  <c r="BC10" i="21"/>
  <c r="EY10" i="21"/>
  <c r="BB10" i="21"/>
  <c r="EX10" i="21"/>
  <c r="BA10" i="21"/>
  <c r="FC9" i="21"/>
  <c r="BF9" i="21"/>
  <c r="FB9" i="21"/>
  <c r="BE9" i="21"/>
  <c r="FA9" i="21"/>
  <c r="BD9" i="21"/>
  <c r="EZ9" i="21"/>
  <c r="BC9" i="21"/>
  <c r="EY9" i="21"/>
  <c r="BB9" i="21"/>
  <c r="EX9" i="21"/>
  <c r="BA9" i="21"/>
  <c r="FC8" i="21"/>
  <c r="BF8" i="21"/>
  <c r="FB8" i="21"/>
  <c r="BE8" i="21"/>
  <c r="FA8" i="21"/>
  <c r="BD8" i="21"/>
  <c r="EZ8" i="21"/>
  <c r="BC8" i="21"/>
  <c r="EY8" i="21"/>
  <c r="BB8" i="21"/>
  <c r="EX8" i="21"/>
  <c r="BA8" i="21"/>
  <c r="FC7" i="21"/>
  <c r="BF7" i="21"/>
  <c r="FB7" i="21"/>
  <c r="BE7" i="21"/>
  <c r="FA7" i="21"/>
  <c r="BD7" i="21"/>
  <c r="EZ7" i="21"/>
  <c r="BC7" i="21"/>
  <c r="EY7" i="21"/>
  <c r="BB7" i="21"/>
  <c r="EX7" i="21"/>
  <c r="BA7" i="21"/>
  <c r="FC6" i="21"/>
  <c r="BF6" i="21"/>
  <c r="FB6" i="21"/>
  <c r="BE6" i="21"/>
  <c r="FA6" i="21"/>
  <c r="BD6" i="21"/>
  <c r="EZ6" i="21"/>
  <c r="BC6" i="21"/>
  <c r="EY6" i="21"/>
  <c r="BB6" i="21"/>
  <c r="EX6" i="21"/>
  <c r="BA6" i="21"/>
  <c r="EQ3" i="21"/>
  <c r="EV4" i="21"/>
  <c r="EV42" i="21"/>
  <c r="AY42" i="21"/>
  <c r="EU4" i="21"/>
  <c r="EU42" i="21"/>
  <c r="AX42" i="21"/>
  <c r="ET4" i="21"/>
  <c r="ET42" i="21"/>
  <c r="AW42" i="21"/>
  <c r="ES4" i="21"/>
  <c r="ES42" i="21"/>
  <c r="AV42" i="21"/>
  <c r="ER4" i="21"/>
  <c r="ER42" i="21"/>
  <c r="AU42" i="21"/>
  <c r="EQ4" i="21"/>
  <c r="EQ42" i="21"/>
  <c r="AT42" i="21"/>
  <c r="EV41" i="21"/>
  <c r="AY41" i="21"/>
  <c r="EU41" i="21"/>
  <c r="AX41" i="21"/>
  <c r="ET41" i="21"/>
  <c r="AW41" i="21"/>
  <c r="ES41" i="21"/>
  <c r="AV41" i="21"/>
  <c r="ER41" i="21"/>
  <c r="AU41" i="21"/>
  <c r="EQ41" i="21"/>
  <c r="AT41" i="21"/>
  <c r="EV40" i="21"/>
  <c r="AY40" i="21"/>
  <c r="EU40" i="21"/>
  <c r="AX40" i="21"/>
  <c r="ET40" i="21"/>
  <c r="AW40" i="21"/>
  <c r="ES40" i="21"/>
  <c r="AV40" i="21"/>
  <c r="ER40" i="21"/>
  <c r="AU40" i="21"/>
  <c r="EQ40" i="21"/>
  <c r="AT40" i="21"/>
  <c r="EV39" i="21"/>
  <c r="AY39" i="21"/>
  <c r="EU39" i="21"/>
  <c r="AX39" i="21"/>
  <c r="ET39" i="21"/>
  <c r="AW39" i="21"/>
  <c r="ES39" i="21"/>
  <c r="AV39" i="21"/>
  <c r="ER39" i="21"/>
  <c r="AU39" i="21"/>
  <c r="EQ39" i="21"/>
  <c r="AT39" i="21"/>
  <c r="EV38" i="21"/>
  <c r="AY38" i="21"/>
  <c r="EU38" i="21"/>
  <c r="AX38" i="21"/>
  <c r="ET38" i="21"/>
  <c r="AW38" i="21"/>
  <c r="ES38" i="21"/>
  <c r="AV38" i="21"/>
  <c r="ER38" i="21"/>
  <c r="AU38" i="21"/>
  <c r="EQ38" i="21"/>
  <c r="AT38" i="21"/>
  <c r="EV37" i="21"/>
  <c r="AY37" i="21"/>
  <c r="EU37" i="21"/>
  <c r="AX37" i="21"/>
  <c r="ET37" i="21"/>
  <c r="AW37" i="21"/>
  <c r="ES37" i="21"/>
  <c r="AV37" i="21"/>
  <c r="ER37" i="21"/>
  <c r="AU37" i="21"/>
  <c r="EQ37" i="21"/>
  <c r="AT37" i="21"/>
  <c r="EV36" i="21"/>
  <c r="AY36" i="21"/>
  <c r="EU36" i="21"/>
  <c r="AX36" i="21"/>
  <c r="ET36" i="21"/>
  <c r="AW36" i="21"/>
  <c r="ES36" i="21"/>
  <c r="AV36" i="21"/>
  <c r="ER36" i="21"/>
  <c r="AU36" i="21"/>
  <c r="EQ36" i="21"/>
  <c r="AT36" i="21"/>
  <c r="EV35" i="21"/>
  <c r="AY35" i="21"/>
  <c r="EU35" i="21"/>
  <c r="AX35" i="21"/>
  <c r="ET35" i="21"/>
  <c r="AW35" i="21"/>
  <c r="ES35" i="21"/>
  <c r="AV35" i="21"/>
  <c r="ER35" i="21"/>
  <c r="AU35" i="21"/>
  <c r="EQ35" i="21"/>
  <c r="AT35" i="21"/>
  <c r="EV34" i="21"/>
  <c r="AY34" i="21"/>
  <c r="EU34" i="21"/>
  <c r="AX34" i="21"/>
  <c r="ET34" i="21"/>
  <c r="AW34" i="21"/>
  <c r="ES34" i="21"/>
  <c r="AV34" i="21"/>
  <c r="ER34" i="21"/>
  <c r="AU34" i="21"/>
  <c r="EQ34" i="21"/>
  <c r="AT34" i="21"/>
  <c r="EV33" i="21"/>
  <c r="AY33" i="21"/>
  <c r="EU33" i="21"/>
  <c r="AX33" i="21"/>
  <c r="ET33" i="21"/>
  <c r="AW33" i="21"/>
  <c r="ES33" i="21"/>
  <c r="AV33" i="21"/>
  <c r="ER33" i="21"/>
  <c r="AU33" i="21"/>
  <c r="EQ33" i="21"/>
  <c r="AT33" i="21"/>
  <c r="EV32" i="21"/>
  <c r="AY32" i="21"/>
  <c r="EU32" i="21"/>
  <c r="AX32" i="21"/>
  <c r="ET32" i="21"/>
  <c r="AW32" i="21"/>
  <c r="ES32" i="21"/>
  <c r="AV32" i="21"/>
  <c r="ER32" i="21"/>
  <c r="AU32" i="21"/>
  <c r="EQ32" i="21"/>
  <c r="AT32" i="21"/>
  <c r="EV31" i="21"/>
  <c r="AY31" i="21"/>
  <c r="EU31" i="21"/>
  <c r="AX31" i="21"/>
  <c r="ET31" i="21"/>
  <c r="AW31" i="21"/>
  <c r="ES31" i="21"/>
  <c r="AV31" i="21"/>
  <c r="ER31" i="21"/>
  <c r="AU31" i="21"/>
  <c r="EQ31" i="21"/>
  <c r="AT31" i="21"/>
  <c r="EV30" i="21"/>
  <c r="AY30" i="21"/>
  <c r="EU30" i="21"/>
  <c r="AX30" i="21"/>
  <c r="ET30" i="21"/>
  <c r="AW30" i="21"/>
  <c r="ES30" i="21"/>
  <c r="AV30" i="21"/>
  <c r="ER30" i="21"/>
  <c r="AU30" i="21"/>
  <c r="EQ30" i="21"/>
  <c r="AT30" i="21"/>
  <c r="EV29" i="21"/>
  <c r="AY29" i="21"/>
  <c r="EU29" i="21"/>
  <c r="AX29" i="21"/>
  <c r="ET29" i="21"/>
  <c r="AW29" i="21"/>
  <c r="ES29" i="21"/>
  <c r="AV29" i="21"/>
  <c r="ER29" i="21"/>
  <c r="AU29" i="21"/>
  <c r="EQ29" i="21"/>
  <c r="AT29" i="21"/>
  <c r="EV28" i="21"/>
  <c r="AY28" i="21"/>
  <c r="EU28" i="21"/>
  <c r="AX28" i="21"/>
  <c r="ET28" i="21"/>
  <c r="AW28" i="21"/>
  <c r="ES28" i="21"/>
  <c r="AV28" i="21"/>
  <c r="ER28" i="21"/>
  <c r="AU28" i="21"/>
  <c r="EQ28" i="21"/>
  <c r="AT28" i="21"/>
  <c r="EV27" i="21"/>
  <c r="AY27" i="21"/>
  <c r="EU27" i="21"/>
  <c r="AX27" i="21"/>
  <c r="ET27" i="21"/>
  <c r="AW27" i="21"/>
  <c r="ES27" i="21"/>
  <c r="AV27" i="21"/>
  <c r="ER27" i="21"/>
  <c r="AU27" i="21"/>
  <c r="EQ27" i="21"/>
  <c r="AT27" i="21"/>
  <c r="EV26" i="21"/>
  <c r="AY26" i="21"/>
  <c r="EU26" i="21"/>
  <c r="AX26" i="21"/>
  <c r="ET26" i="21"/>
  <c r="AW26" i="21"/>
  <c r="ES26" i="21"/>
  <c r="AV26" i="21"/>
  <c r="ER26" i="21"/>
  <c r="AU26" i="21"/>
  <c r="EQ26" i="21"/>
  <c r="AT26" i="21"/>
  <c r="EV25" i="21"/>
  <c r="AY25" i="21"/>
  <c r="EU25" i="21"/>
  <c r="AX25" i="21"/>
  <c r="ET25" i="21"/>
  <c r="AW25" i="21"/>
  <c r="ES25" i="21"/>
  <c r="AV25" i="21"/>
  <c r="ER25" i="21"/>
  <c r="AU25" i="21"/>
  <c r="EQ25" i="21"/>
  <c r="AT25" i="21"/>
  <c r="EV24" i="21"/>
  <c r="AY24" i="21"/>
  <c r="EU24" i="21"/>
  <c r="AX24" i="21"/>
  <c r="ET24" i="21"/>
  <c r="AW24" i="21"/>
  <c r="ES24" i="21"/>
  <c r="AV24" i="21"/>
  <c r="ER24" i="21"/>
  <c r="AU24" i="21"/>
  <c r="EQ24" i="21"/>
  <c r="AT24" i="21"/>
  <c r="EV23" i="21"/>
  <c r="AY23" i="21"/>
  <c r="EU23" i="21"/>
  <c r="AX23" i="21"/>
  <c r="ET23" i="21"/>
  <c r="AW23" i="21"/>
  <c r="ES23" i="21"/>
  <c r="AV23" i="21"/>
  <c r="ER23" i="21"/>
  <c r="AU23" i="21"/>
  <c r="EQ23" i="21"/>
  <c r="AT23" i="21"/>
  <c r="EV22" i="21"/>
  <c r="AY22" i="21"/>
  <c r="EU22" i="21"/>
  <c r="AX22" i="21"/>
  <c r="ET22" i="21"/>
  <c r="AW22" i="21"/>
  <c r="ES22" i="21"/>
  <c r="AV22" i="21"/>
  <c r="ER22" i="21"/>
  <c r="AU22" i="21"/>
  <c r="EQ22" i="21"/>
  <c r="AT22" i="21"/>
  <c r="EV21" i="21"/>
  <c r="AY21" i="21"/>
  <c r="EU21" i="21"/>
  <c r="AX21" i="21"/>
  <c r="ET21" i="21"/>
  <c r="AW21" i="21"/>
  <c r="ES21" i="21"/>
  <c r="AV21" i="21"/>
  <c r="ER21" i="21"/>
  <c r="AU21" i="21"/>
  <c r="EQ21" i="21"/>
  <c r="AT21" i="21"/>
  <c r="EV20" i="21"/>
  <c r="AY20" i="21"/>
  <c r="EU20" i="21"/>
  <c r="AX20" i="21"/>
  <c r="ET20" i="21"/>
  <c r="AW20" i="21"/>
  <c r="ES20" i="21"/>
  <c r="AV20" i="21"/>
  <c r="ER20" i="21"/>
  <c r="AU20" i="21"/>
  <c r="EQ20" i="21"/>
  <c r="AT20" i="21"/>
  <c r="EV19" i="21"/>
  <c r="AY19" i="21"/>
  <c r="EU19" i="21"/>
  <c r="AX19" i="21"/>
  <c r="ET19" i="21"/>
  <c r="AW19" i="21"/>
  <c r="ES19" i="21"/>
  <c r="AV19" i="21"/>
  <c r="ER19" i="21"/>
  <c r="AU19" i="21"/>
  <c r="EQ19" i="21"/>
  <c r="AT19" i="21"/>
  <c r="EV18" i="21"/>
  <c r="AY18" i="21"/>
  <c r="EU18" i="21"/>
  <c r="AX18" i="21"/>
  <c r="ET18" i="21"/>
  <c r="AW18" i="21"/>
  <c r="ES18" i="21"/>
  <c r="AV18" i="21"/>
  <c r="ER18" i="21"/>
  <c r="AU18" i="21"/>
  <c r="EQ18" i="21"/>
  <c r="AT18" i="21"/>
  <c r="EV17" i="21"/>
  <c r="AY17" i="21"/>
  <c r="EU17" i="21"/>
  <c r="AX17" i="21"/>
  <c r="ET17" i="21"/>
  <c r="AW17" i="21"/>
  <c r="ES17" i="21"/>
  <c r="AV17" i="21"/>
  <c r="ER17" i="21"/>
  <c r="AU17" i="21"/>
  <c r="EQ17" i="21"/>
  <c r="AT17" i="21"/>
  <c r="EV16" i="21"/>
  <c r="AY16" i="21"/>
  <c r="EU16" i="21"/>
  <c r="AX16" i="21"/>
  <c r="ET16" i="21"/>
  <c r="AW16" i="21"/>
  <c r="ES16" i="21"/>
  <c r="AV16" i="21"/>
  <c r="ER16" i="21"/>
  <c r="AU16" i="21"/>
  <c r="EQ16" i="21"/>
  <c r="AT16" i="21"/>
  <c r="EV15" i="21"/>
  <c r="AY15" i="21"/>
  <c r="EU15" i="21"/>
  <c r="AX15" i="21"/>
  <c r="ET15" i="21"/>
  <c r="AW15" i="21"/>
  <c r="ES15" i="21"/>
  <c r="AV15" i="21"/>
  <c r="ER15" i="21"/>
  <c r="AU15" i="21"/>
  <c r="EQ15" i="21"/>
  <c r="AT15" i="21"/>
  <c r="EV14" i="21"/>
  <c r="AY14" i="21"/>
  <c r="EU14" i="21"/>
  <c r="AX14" i="21"/>
  <c r="ET14" i="21"/>
  <c r="AW14" i="21"/>
  <c r="ES14" i="21"/>
  <c r="AV14" i="21"/>
  <c r="ER14" i="21"/>
  <c r="AU14" i="21"/>
  <c r="EQ14" i="21"/>
  <c r="AT14" i="21"/>
  <c r="EV13" i="21"/>
  <c r="AY13" i="21"/>
  <c r="EU13" i="21"/>
  <c r="AX13" i="21"/>
  <c r="ET13" i="21"/>
  <c r="AW13" i="21"/>
  <c r="ES13" i="21"/>
  <c r="AV13" i="21"/>
  <c r="ER13" i="21"/>
  <c r="AU13" i="21"/>
  <c r="EQ13" i="21"/>
  <c r="AT13" i="21"/>
  <c r="EV12" i="21"/>
  <c r="AY12" i="21"/>
  <c r="EU12" i="21"/>
  <c r="AX12" i="21"/>
  <c r="ET12" i="21"/>
  <c r="AW12" i="21"/>
  <c r="ES12" i="21"/>
  <c r="AV12" i="21"/>
  <c r="ER12" i="21"/>
  <c r="AU12" i="21"/>
  <c r="EQ12" i="21"/>
  <c r="AT12" i="21"/>
  <c r="EV11" i="21"/>
  <c r="AY11" i="21"/>
  <c r="EU11" i="21"/>
  <c r="AX11" i="21"/>
  <c r="ET11" i="21"/>
  <c r="AW11" i="21"/>
  <c r="ES11" i="21"/>
  <c r="AV11" i="21"/>
  <c r="ER11" i="21"/>
  <c r="AU11" i="21"/>
  <c r="EQ11" i="21"/>
  <c r="AT11" i="21"/>
  <c r="EV10" i="21"/>
  <c r="AY10" i="21"/>
  <c r="EU10" i="21"/>
  <c r="AX10" i="21"/>
  <c r="ET10" i="21"/>
  <c r="AW10" i="21"/>
  <c r="ES10" i="21"/>
  <c r="AV10" i="21"/>
  <c r="ER10" i="21"/>
  <c r="AU10" i="21"/>
  <c r="EQ10" i="21"/>
  <c r="AT10" i="21"/>
  <c r="EV9" i="21"/>
  <c r="AY9" i="21"/>
  <c r="EU9" i="21"/>
  <c r="AX9" i="21"/>
  <c r="ET9" i="21"/>
  <c r="AW9" i="21"/>
  <c r="ES9" i="21"/>
  <c r="AV9" i="21"/>
  <c r="ER9" i="21"/>
  <c r="AU9" i="21"/>
  <c r="EQ9" i="21"/>
  <c r="AT9" i="21"/>
  <c r="EV8" i="21"/>
  <c r="AY8" i="21"/>
  <c r="EU8" i="21"/>
  <c r="AX8" i="21"/>
  <c r="ET8" i="21"/>
  <c r="AW8" i="21"/>
  <c r="ES8" i="21"/>
  <c r="AV8" i="21"/>
  <c r="ER8" i="21"/>
  <c r="AU8" i="21"/>
  <c r="EQ8" i="21"/>
  <c r="AT8" i="21"/>
  <c r="EV7" i="21"/>
  <c r="AY7" i="21"/>
  <c r="EU7" i="21"/>
  <c r="AX7" i="21"/>
  <c r="ET7" i="21"/>
  <c r="AW7" i="21"/>
  <c r="ES7" i="21"/>
  <c r="AV7" i="21"/>
  <c r="ER7" i="21"/>
  <c r="AU7" i="21"/>
  <c r="EQ7" i="21"/>
  <c r="AT7" i="21"/>
  <c r="EV6" i="21"/>
  <c r="AY6" i="21"/>
  <c r="EU6" i="21"/>
  <c r="AX6" i="21"/>
  <c r="ET6" i="21"/>
  <c r="AW6" i="21"/>
  <c r="ES6" i="21"/>
  <c r="AV6" i="21"/>
  <c r="ER6" i="21"/>
  <c r="AU6" i="21"/>
  <c r="EQ6" i="21"/>
  <c r="AT6" i="21"/>
  <c r="EJ3" i="21"/>
  <c r="EO4" i="21"/>
  <c r="EO42" i="21"/>
  <c r="AR42" i="21"/>
  <c r="EN4" i="21"/>
  <c r="EN42" i="21"/>
  <c r="AQ42" i="21"/>
  <c r="EM4" i="21"/>
  <c r="EM42" i="21"/>
  <c r="AP42" i="21"/>
  <c r="EL4" i="21"/>
  <c r="EL42" i="21"/>
  <c r="AO42" i="21"/>
  <c r="EK4" i="21"/>
  <c r="EK42" i="21"/>
  <c r="AN42" i="21"/>
  <c r="EJ4" i="21"/>
  <c r="EJ42" i="21"/>
  <c r="AM42" i="21"/>
  <c r="EO41" i="21"/>
  <c r="AR41" i="21"/>
  <c r="EN41" i="21"/>
  <c r="AQ41" i="21"/>
  <c r="EM41" i="21"/>
  <c r="AP41" i="21"/>
  <c r="EL41" i="21"/>
  <c r="AO41" i="21"/>
  <c r="EK41" i="21"/>
  <c r="AN41" i="21"/>
  <c r="EJ41" i="21"/>
  <c r="AM41" i="21"/>
  <c r="EO40" i="21"/>
  <c r="AR40" i="21"/>
  <c r="EN40" i="21"/>
  <c r="AQ40" i="21"/>
  <c r="EM40" i="21"/>
  <c r="AP40" i="21"/>
  <c r="EL40" i="21"/>
  <c r="AO40" i="21"/>
  <c r="EK40" i="21"/>
  <c r="AN40" i="21"/>
  <c r="EJ40" i="21"/>
  <c r="AM40" i="21"/>
  <c r="EO39" i="21"/>
  <c r="AR39" i="21"/>
  <c r="EN39" i="21"/>
  <c r="AQ39" i="21"/>
  <c r="EM39" i="21"/>
  <c r="AP39" i="21"/>
  <c r="EL39" i="21"/>
  <c r="AO39" i="21"/>
  <c r="EK39" i="21"/>
  <c r="AN39" i="21"/>
  <c r="EJ39" i="21"/>
  <c r="AM39" i="21"/>
  <c r="EO38" i="21"/>
  <c r="AR38" i="21"/>
  <c r="EN38" i="21"/>
  <c r="AQ38" i="21"/>
  <c r="EM38" i="21"/>
  <c r="AP38" i="21"/>
  <c r="EL38" i="21"/>
  <c r="AO38" i="21"/>
  <c r="EK38" i="21"/>
  <c r="AN38" i="21"/>
  <c r="EJ38" i="21"/>
  <c r="AM38" i="21"/>
  <c r="EO37" i="21"/>
  <c r="AR37" i="21"/>
  <c r="EN37" i="21"/>
  <c r="AQ37" i="21"/>
  <c r="EM37" i="21"/>
  <c r="AP37" i="21"/>
  <c r="EL37" i="21"/>
  <c r="AO37" i="21"/>
  <c r="EK37" i="21"/>
  <c r="AN37" i="21"/>
  <c r="EJ37" i="21"/>
  <c r="AM37" i="21"/>
  <c r="EO36" i="21"/>
  <c r="AR36" i="21"/>
  <c r="EN36" i="21"/>
  <c r="AQ36" i="21"/>
  <c r="EM36" i="21"/>
  <c r="AP36" i="21"/>
  <c r="EL36" i="21"/>
  <c r="AO36" i="21"/>
  <c r="EK36" i="21"/>
  <c r="AN36" i="21"/>
  <c r="EJ36" i="21"/>
  <c r="AM36" i="21"/>
  <c r="EO35" i="21"/>
  <c r="AR35" i="21"/>
  <c r="EN35" i="21"/>
  <c r="AQ35" i="21"/>
  <c r="EM35" i="21"/>
  <c r="AP35" i="21"/>
  <c r="EL35" i="21"/>
  <c r="AO35" i="21"/>
  <c r="EK35" i="21"/>
  <c r="AN35" i="21"/>
  <c r="EJ35" i="21"/>
  <c r="AM35" i="21"/>
  <c r="EO34" i="21"/>
  <c r="AR34" i="21"/>
  <c r="EN34" i="21"/>
  <c r="AQ34" i="21"/>
  <c r="EM34" i="21"/>
  <c r="AP34" i="21"/>
  <c r="EL34" i="21"/>
  <c r="AO34" i="21"/>
  <c r="EK34" i="21"/>
  <c r="AN34" i="21"/>
  <c r="EJ34" i="21"/>
  <c r="AM34" i="21"/>
  <c r="EO33" i="21"/>
  <c r="AR33" i="21"/>
  <c r="EN33" i="21"/>
  <c r="AQ33" i="21"/>
  <c r="EM33" i="21"/>
  <c r="AP33" i="21"/>
  <c r="EL33" i="21"/>
  <c r="AO33" i="21"/>
  <c r="EK33" i="21"/>
  <c r="AN33" i="21"/>
  <c r="EJ33" i="21"/>
  <c r="AM33" i="21"/>
  <c r="EO32" i="21"/>
  <c r="AR32" i="21"/>
  <c r="EN32" i="21"/>
  <c r="AQ32" i="21"/>
  <c r="EM32" i="21"/>
  <c r="AP32" i="21"/>
  <c r="EL32" i="21"/>
  <c r="AO32" i="21"/>
  <c r="EK32" i="21"/>
  <c r="AN32" i="21"/>
  <c r="EJ32" i="21"/>
  <c r="AM32" i="21"/>
  <c r="EO31" i="21"/>
  <c r="AR31" i="21"/>
  <c r="EN31" i="21"/>
  <c r="AQ31" i="21"/>
  <c r="EM31" i="21"/>
  <c r="AP31" i="21"/>
  <c r="EL31" i="21"/>
  <c r="AO31" i="21"/>
  <c r="EK31" i="21"/>
  <c r="AN31" i="21"/>
  <c r="EJ31" i="21"/>
  <c r="AM31" i="21"/>
  <c r="EO30" i="21"/>
  <c r="AR30" i="21"/>
  <c r="EN30" i="21"/>
  <c r="AQ30" i="21"/>
  <c r="EM30" i="21"/>
  <c r="AP30" i="21"/>
  <c r="EL30" i="21"/>
  <c r="AO30" i="21"/>
  <c r="EK30" i="21"/>
  <c r="AN30" i="21"/>
  <c r="EJ30" i="21"/>
  <c r="AM30" i="21"/>
  <c r="EO29" i="21"/>
  <c r="AR29" i="21"/>
  <c r="EN29" i="21"/>
  <c r="AQ29" i="21"/>
  <c r="EM29" i="21"/>
  <c r="AP29" i="21"/>
  <c r="EL29" i="21"/>
  <c r="AO29" i="21"/>
  <c r="EK29" i="21"/>
  <c r="AN29" i="21"/>
  <c r="EJ29" i="21"/>
  <c r="AM29" i="21"/>
  <c r="EO28" i="21"/>
  <c r="AR28" i="21"/>
  <c r="EN28" i="21"/>
  <c r="AQ28" i="21"/>
  <c r="EM28" i="21"/>
  <c r="AP28" i="21"/>
  <c r="EL28" i="21"/>
  <c r="AO28" i="21"/>
  <c r="EK28" i="21"/>
  <c r="AN28" i="21"/>
  <c r="EJ28" i="21"/>
  <c r="AM28" i="21"/>
  <c r="EO27" i="21"/>
  <c r="AR27" i="21"/>
  <c r="EN27" i="21"/>
  <c r="AQ27" i="21"/>
  <c r="EM27" i="21"/>
  <c r="AP27" i="21"/>
  <c r="EL27" i="21"/>
  <c r="AO27" i="21"/>
  <c r="EK27" i="21"/>
  <c r="AN27" i="21"/>
  <c r="EJ27" i="21"/>
  <c r="AM27" i="21"/>
  <c r="EO26" i="21"/>
  <c r="AR26" i="21"/>
  <c r="EN26" i="21"/>
  <c r="AQ26" i="21"/>
  <c r="EM26" i="21"/>
  <c r="AP26" i="21"/>
  <c r="EL26" i="21"/>
  <c r="AO26" i="21"/>
  <c r="EK26" i="21"/>
  <c r="AN26" i="21"/>
  <c r="EJ26" i="21"/>
  <c r="AM26" i="21"/>
  <c r="EO25" i="21"/>
  <c r="AR25" i="21"/>
  <c r="EN25" i="21"/>
  <c r="AQ25" i="21"/>
  <c r="EM25" i="21"/>
  <c r="AP25" i="21"/>
  <c r="EL25" i="21"/>
  <c r="AO25" i="21"/>
  <c r="EK25" i="21"/>
  <c r="AN25" i="21"/>
  <c r="EJ25" i="21"/>
  <c r="AM25" i="21"/>
  <c r="EO24" i="21"/>
  <c r="AR24" i="21"/>
  <c r="EN24" i="21"/>
  <c r="AQ24" i="21"/>
  <c r="EM24" i="21"/>
  <c r="AP24" i="21"/>
  <c r="EL24" i="21"/>
  <c r="AO24" i="21"/>
  <c r="EK24" i="21"/>
  <c r="AN24" i="21"/>
  <c r="EJ24" i="21"/>
  <c r="AM24" i="21"/>
  <c r="EO23" i="21"/>
  <c r="AR23" i="21"/>
  <c r="EN23" i="21"/>
  <c r="AQ23" i="21"/>
  <c r="EM23" i="21"/>
  <c r="AP23" i="21"/>
  <c r="EL23" i="21"/>
  <c r="AO23" i="21"/>
  <c r="EK23" i="21"/>
  <c r="AN23" i="21"/>
  <c r="EJ23" i="21"/>
  <c r="AM23" i="21"/>
  <c r="EO22" i="21"/>
  <c r="AR22" i="21"/>
  <c r="EN22" i="21"/>
  <c r="AQ22" i="21"/>
  <c r="EM22" i="21"/>
  <c r="AP22" i="21"/>
  <c r="EL22" i="21"/>
  <c r="AO22" i="21"/>
  <c r="EK22" i="21"/>
  <c r="AN22" i="21"/>
  <c r="EJ22" i="21"/>
  <c r="AM22" i="21"/>
  <c r="EO21" i="21"/>
  <c r="AR21" i="21"/>
  <c r="EN21" i="21"/>
  <c r="AQ21" i="21"/>
  <c r="EM21" i="21"/>
  <c r="AP21" i="21"/>
  <c r="EL21" i="21"/>
  <c r="AO21" i="21"/>
  <c r="EK21" i="21"/>
  <c r="AN21" i="21"/>
  <c r="EJ21" i="21"/>
  <c r="AM21" i="21"/>
  <c r="EO20" i="21"/>
  <c r="AR20" i="21"/>
  <c r="EN20" i="21"/>
  <c r="AQ20" i="21"/>
  <c r="EM20" i="21"/>
  <c r="AP20" i="21"/>
  <c r="EL20" i="21"/>
  <c r="AO20" i="21"/>
  <c r="EK20" i="21"/>
  <c r="AN20" i="21"/>
  <c r="EJ20" i="21"/>
  <c r="AM20" i="21"/>
  <c r="EO19" i="21"/>
  <c r="AR19" i="21"/>
  <c r="EN19" i="21"/>
  <c r="AQ19" i="21"/>
  <c r="EM19" i="21"/>
  <c r="AP19" i="21"/>
  <c r="EL19" i="21"/>
  <c r="AO19" i="21"/>
  <c r="EK19" i="21"/>
  <c r="AN19" i="21"/>
  <c r="EJ19" i="21"/>
  <c r="AM19" i="21"/>
  <c r="EO18" i="21"/>
  <c r="AR18" i="21"/>
  <c r="EN18" i="21"/>
  <c r="AQ18" i="21"/>
  <c r="EM18" i="21"/>
  <c r="AP18" i="21"/>
  <c r="EL18" i="21"/>
  <c r="AO18" i="21"/>
  <c r="EK18" i="21"/>
  <c r="AN18" i="21"/>
  <c r="EJ18" i="21"/>
  <c r="AM18" i="21"/>
  <c r="EO17" i="21"/>
  <c r="AR17" i="21"/>
  <c r="EN17" i="21"/>
  <c r="AQ17" i="21"/>
  <c r="EM17" i="21"/>
  <c r="AP17" i="21"/>
  <c r="EL17" i="21"/>
  <c r="AO17" i="21"/>
  <c r="EK17" i="21"/>
  <c r="AN17" i="21"/>
  <c r="EJ17" i="21"/>
  <c r="AM17" i="21"/>
  <c r="EO16" i="21"/>
  <c r="AR16" i="21"/>
  <c r="EN16" i="21"/>
  <c r="AQ16" i="21"/>
  <c r="EM16" i="21"/>
  <c r="AP16" i="21"/>
  <c r="EL16" i="21"/>
  <c r="AO16" i="21"/>
  <c r="EK16" i="21"/>
  <c r="AN16" i="21"/>
  <c r="EJ16" i="21"/>
  <c r="AM16" i="21"/>
  <c r="EO15" i="21"/>
  <c r="AR15" i="21"/>
  <c r="EN15" i="21"/>
  <c r="AQ15" i="21"/>
  <c r="EM15" i="21"/>
  <c r="AP15" i="21"/>
  <c r="EL15" i="21"/>
  <c r="AO15" i="21"/>
  <c r="EK15" i="21"/>
  <c r="AN15" i="21"/>
  <c r="EJ15" i="21"/>
  <c r="AM15" i="21"/>
  <c r="EO14" i="21"/>
  <c r="AR14" i="21"/>
  <c r="EN14" i="21"/>
  <c r="AQ14" i="21"/>
  <c r="EM14" i="21"/>
  <c r="AP14" i="21"/>
  <c r="EL14" i="21"/>
  <c r="AO14" i="21"/>
  <c r="EK14" i="21"/>
  <c r="AN14" i="21"/>
  <c r="EJ14" i="21"/>
  <c r="AM14" i="21"/>
  <c r="EO13" i="21"/>
  <c r="AR13" i="21"/>
  <c r="EN13" i="21"/>
  <c r="AQ13" i="21"/>
  <c r="EM13" i="21"/>
  <c r="AP13" i="21"/>
  <c r="EL13" i="21"/>
  <c r="AO13" i="21"/>
  <c r="EK13" i="21"/>
  <c r="AN13" i="21"/>
  <c r="EJ13" i="21"/>
  <c r="AM13" i="21"/>
  <c r="EO12" i="21"/>
  <c r="AR12" i="21"/>
  <c r="EN12" i="21"/>
  <c r="AQ12" i="21"/>
  <c r="EM12" i="21"/>
  <c r="AP12" i="21"/>
  <c r="EL12" i="21"/>
  <c r="AO12" i="21"/>
  <c r="EK12" i="21"/>
  <c r="AN12" i="21"/>
  <c r="EJ12" i="21"/>
  <c r="AM12" i="21"/>
  <c r="EO11" i="21"/>
  <c r="AR11" i="21"/>
  <c r="EN11" i="21"/>
  <c r="AQ11" i="21"/>
  <c r="EM11" i="21"/>
  <c r="AP11" i="21"/>
  <c r="EL11" i="21"/>
  <c r="AO11" i="21"/>
  <c r="EK11" i="21"/>
  <c r="AN11" i="21"/>
  <c r="EJ11" i="21"/>
  <c r="AM11" i="21"/>
  <c r="EO10" i="21"/>
  <c r="AR10" i="21"/>
  <c r="EN10" i="21"/>
  <c r="AQ10" i="21"/>
  <c r="EM10" i="21"/>
  <c r="AP10" i="21"/>
  <c r="EL10" i="21"/>
  <c r="AO10" i="21"/>
  <c r="EK10" i="21"/>
  <c r="AN10" i="21"/>
  <c r="EJ10" i="21"/>
  <c r="AM10" i="21"/>
  <c r="EO9" i="21"/>
  <c r="AR9" i="21"/>
  <c r="EN9" i="21"/>
  <c r="AQ9" i="21"/>
  <c r="EM9" i="21"/>
  <c r="AP9" i="21"/>
  <c r="EL9" i="21"/>
  <c r="AO9" i="21"/>
  <c r="EK9" i="21"/>
  <c r="AN9" i="21"/>
  <c r="EJ9" i="21"/>
  <c r="AM9" i="21"/>
  <c r="EO8" i="21"/>
  <c r="AR8" i="21"/>
  <c r="EN8" i="21"/>
  <c r="AQ8" i="21"/>
  <c r="EM8" i="21"/>
  <c r="AP8" i="21"/>
  <c r="EL8" i="21"/>
  <c r="AO8" i="21"/>
  <c r="EK8" i="21"/>
  <c r="AN8" i="21"/>
  <c r="EJ8" i="21"/>
  <c r="AM8" i="21"/>
  <c r="EO7" i="21"/>
  <c r="AR7" i="21"/>
  <c r="EN7" i="21"/>
  <c r="AQ7" i="21"/>
  <c r="EM7" i="21"/>
  <c r="AP7" i="21"/>
  <c r="EL7" i="21"/>
  <c r="AO7" i="21"/>
  <c r="EK7" i="21"/>
  <c r="AN7" i="21"/>
  <c r="EJ7" i="21"/>
  <c r="AM7" i="21"/>
  <c r="EO6" i="21"/>
  <c r="AR6" i="21"/>
  <c r="EN6" i="21"/>
  <c r="AQ6" i="21"/>
  <c r="EM6" i="21"/>
  <c r="AP6" i="21"/>
  <c r="EL6" i="21"/>
  <c r="AO6" i="21"/>
  <c r="EK6" i="21"/>
  <c r="AN6" i="21"/>
  <c r="EJ6" i="21"/>
  <c r="AM6" i="21"/>
  <c r="EC3" i="21"/>
  <c r="EH4" i="21"/>
  <c r="EH42" i="21"/>
  <c r="AK42" i="21"/>
  <c r="EG4" i="21"/>
  <c r="EG42" i="21"/>
  <c r="AJ42" i="21"/>
  <c r="EF4" i="21"/>
  <c r="EF42" i="21"/>
  <c r="AI42" i="21"/>
  <c r="EE4" i="21"/>
  <c r="EE42" i="21"/>
  <c r="AH42" i="21"/>
  <c r="ED4" i="21"/>
  <c r="ED42" i="21"/>
  <c r="AG42" i="21"/>
  <c r="EC4" i="21"/>
  <c r="EC42" i="21"/>
  <c r="AF42" i="21"/>
  <c r="EH41" i="21"/>
  <c r="AK41" i="21"/>
  <c r="EG41" i="21"/>
  <c r="AJ41" i="21"/>
  <c r="EF41" i="21"/>
  <c r="AI41" i="21"/>
  <c r="EE41" i="21"/>
  <c r="AH41" i="21"/>
  <c r="ED41" i="21"/>
  <c r="AG41" i="21"/>
  <c r="EC41" i="21"/>
  <c r="AF41" i="21"/>
  <c r="EH40" i="21"/>
  <c r="AK40" i="21"/>
  <c r="EG40" i="21"/>
  <c r="AJ40" i="21"/>
  <c r="EF40" i="21"/>
  <c r="AI40" i="21"/>
  <c r="EE40" i="21"/>
  <c r="AH40" i="21"/>
  <c r="ED40" i="21"/>
  <c r="AG40" i="21"/>
  <c r="EC40" i="21"/>
  <c r="AF40" i="21"/>
  <c r="EH39" i="21"/>
  <c r="AK39" i="21"/>
  <c r="EG39" i="21"/>
  <c r="AJ39" i="21"/>
  <c r="EF39" i="21"/>
  <c r="AI39" i="21"/>
  <c r="EE39" i="21"/>
  <c r="AH39" i="21"/>
  <c r="ED39" i="21"/>
  <c r="AG39" i="21"/>
  <c r="EC39" i="21"/>
  <c r="AF39" i="21"/>
  <c r="EH38" i="21"/>
  <c r="AK38" i="21"/>
  <c r="EG38" i="21"/>
  <c r="AJ38" i="21"/>
  <c r="EF38" i="21"/>
  <c r="AI38" i="21"/>
  <c r="EE38" i="21"/>
  <c r="AH38" i="21"/>
  <c r="ED38" i="21"/>
  <c r="AG38" i="21"/>
  <c r="EC38" i="21"/>
  <c r="AF38" i="21"/>
  <c r="EH37" i="21"/>
  <c r="AK37" i="21"/>
  <c r="EG37" i="21"/>
  <c r="AJ37" i="21"/>
  <c r="EF37" i="21"/>
  <c r="AI37" i="21"/>
  <c r="EE37" i="21"/>
  <c r="AH37" i="21"/>
  <c r="ED37" i="21"/>
  <c r="AG37" i="21"/>
  <c r="EC37" i="21"/>
  <c r="AF37" i="21"/>
  <c r="EH36" i="21"/>
  <c r="AK36" i="21"/>
  <c r="EG36" i="21"/>
  <c r="AJ36" i="21"/>
  <c r="EF36" i="21"/>
  <c r="AI36" i="21"/>
  <c r="EE36" i="21"/>
  <c r="AH36" i="21"/>
  <c r="ED36" i="21"/>
  <c r="AG36" i="21"/>
  <c r="EC36" i="21"/>
  <c r="AF36" i="21"/>
  <c r="EH35" i="21"/>
  <c r="AK35" i="21"/>
  <c r="EG35" i="21"/>
  <c r="AJ35" i="21"/>
  <c r="EF35" i="21"/>
  <c r="AI35" i="21"/>
  <c r="EE35" i="21"/>
  <c r="AH35" i="21"/>
  <c r="ED35" i="21"/>
  <c r="AG35" i="21"/>
  <c r="EC35" i="21"/>
  <c r="AF35" i="21"/>
  <c r="EH34" i="21"/>
  <c r="AK34" i="21"/>
  <c r="EG34" i="21"/>
  <c r="AJ34" i="21"/>
  <c r="EF34" i="21"/>
  <c r="AI34" i="21"/>
  <c r="EE34" i="21"/>
  <c r="AH34" i="21"/>
  <c r="ED34" i="21"/>
  <c r="AG34" i="21"/>
  <c r="EC34" i="21"/>
  <c r="AF34" i="21"/>
  <c r="EH33" i="21"/>
  <c r="AK33" i="21"/>
  <c r="EG33" i="21"/>
  <c r="AJ33" i="21"/>
  <c r="EF33" i="21"/>
  <c r="AI33" i="21"/>
  <c r="EE33" i="21"/>
  <c r="AH33" i="21"/>
  <c r="ED33" i="21"/>
  <c r="AG33" i="21"/>
  <c r="EC33" i="21"/>
  <c r="AF33" i="21"/>
  <c r="EH32" i="21"/>
  <c r="AK32" i="21"/>
  <c r="EG32" i="21"/>
  <c r="AJ32" i="21"/>
  <c r="EF32" i="21"/>
  <c r="AI32" i="21"/>
  <c r="EE32" i="21"/>
  <c r="AH32" i="21"/>
  <c r="ED32" i="21"/>
  <c r="AG32" i="21"/>
  <c r="EC32" i="21"/>
  <c r="AF32" i="21"/>
  <c r="EH31" i="21"/>
  <c r="AK31" i="21"/>
  <c r="EG31" i="21"/>
  <c r="AJ31" i="21"/>
  <c r="EF31" i="21"/>
  <c r="AI31" i="21"/>
  <c r="EE31" i="21"/>
  <c r="AH31" i="21"/>
  <c r="ED31" i="21"/>
  <c r="AG31" i="21"/>
  <c r="EC31" i="21"/>
  <c r="AF31" i="21"/>
  <c r="EH30" i="21"/>
  <c r="AK30" i="21"/>
  <c r="EG30" i="21"/>
  <c r="AJ30" i="21"/>
  <c r="EF30" i="21"/>
  <c r="AI30" i="21"/>
  <c r="EE30" i="21"/>
  <c r="AH30" i="21"/>
  <c r="ED30" i="21"/>
  <c r="AG30" i="21"/>
  <c r="EC30" i="21"/>
  <c r="AF30" i="21"/>
  <c r="EH29" i="21"/>
  <c r="AK29" i="21"/>
  <c r="EG29" i="21"/>
  <c r="AJ29" i="21"/>
  <c r="EF29" i="21"/>
  <c r="AI29" i="21"/>
  <c r="EE29" i="21"/>
  <c r="AH29" i="21"/>
  <c r="ED29" i="21"/>
  <c r="AG29" i="21"/>
  <c r="EC29" i="21"/>
  <c r="AF29" i="21"/>
  <c r="EH28" i="21"/>
  <c r="AK28" i="21"/>
  <c r="EG28" i="21"/>
  <c r="AJ28" i="21"/>
  <c r="EF28" i="21"/>
  <c r="AI28" i="21"/>
  <c r="EE28" i="21"/>
  <c r="AH28" i="21"/>
  <c r="ED28" i="21"/>
  <c r="AG28" i="21"/>
  <c r="EC28" i="21"/>
  <c r="AF28" i="21"/>
  <c r="EH27" i="21"/>
  <c r="AK27" i="21"/>
  <c r="EG27" i="21"/>
  <c r="AJ27" i="21"/>
  <c r="EF27" i="21"/>
  <c r="AI27" i="21"/>
  <c r="EE27" i="21"/>
  <c r="AH27" i="21"/>
  <c r="ED27" i="21"/>
  <c r="AG27" i="21"/>
  <c r="EC27" i="21"/>
  <c r="AF27" i="21"/>
  <c r="EH26" i="21"/>
  <c r="AK26" i="21"/>
  <c r="EG26" i="21"/>
  <c r="AJ26" i="21"/>
  <c r="EF26" i="21"/>
  <c r="AI26" i="21"/>
  <c r="EE26" i="21"/>
  <c r="AH26" i="21"/>
  <c r="ED26" i="21"/>
  <c r="AG26" i="21"/>
  <c r="EC26" i="21"/>
  <c r="AF26" i="21"/>
  <c r="EH25" i="21"/>
  <c r="AK25" i="21"/>
  <c r="EG25" i="21"/>
  <c r="AJ25" i="21"/>
  <c r="EF25" i="21"/>
  <c r="AI25" i="21"/>
  <c r="EE25" i="21"/>
  <c r="AH25" i="21"/>
  <c r="ED25" i="21"/>
  <c r="AG25" i="21"/>
  <c r="EC25" i="21"/>
  <c r="AF25" i="21"/>
  <c r="EH24" i="21"/>
  <c r="AK24" i="21"/>
  <c r="EG24" i="21"/>
  <c r="AJ24" i="21"/>
  <c r="EF24" i="21"/>
  <c r="AI24" i="21"/>
  <c r="EE24" i="21"/>
  <c r="AH24" i="21"/>
  <c r="ED24" i="21"/>
  <c r="AG24" i="21"/>
  <c r="EC24" i="21"/>
  <c r="AF24" i="21"/>
  <c r="EH23" i="21"/>
  <c r="AK23" i="21"/>
  <c r="EG23" i="21"/>
  <c r="AJ23" i="21"/>
  <c r="EF23" i="21"/>
  <c r="AI23" i="21"/>
  <c r="EE23" i="21"/>
  <c r="AH23" i="21"/>
  <c r="ED23" i="21"/>
  <c r="AG23" i="21"/>
  <c r="EC23" i="21"/>
  <c r="AF23" i="21"/>
  <c r="EH22" i="21"/>
  <c r="AK22" i="21"/>
  <c r="EG22" i="21"/>
  <c r="AJ22" i="21"/>
  <c r="EF22" i="21"/>
  <c r="AI22" i="21"/>
  <c r="EE22" i="21"/>
  <c r="AH22" i="21"/>
  <c r="ED22" i="21"/>
  <c r="AG22" i="21"/>
  <c r="EC22" i="21"/>
  <c r="AF22" i="21"/>
  <c r="EH21" i="21"/>
  <c r="AK21" i="21"/>
  <c r="EG21" i="21"/>
  <c r="AJ21" i="21"/>
  <c r="EF21" i="21"/>
  <c r="AI21" i="21"/>
  <c r="EE21" i="21"/>
  <c r="AH21" i="21"/>
  <c r="ED21" i="21"/>
  <c r="AG21" i="21"/>
  <c r="EC21" i="21"/>
  <c r="AF21" i="21"/>
  <c r="EH20" i="21"/>
  <c r="AK20" i="21"/>
  <c r="EG20" i="21"/>
  <c r="AJ20" i="21"/>
  <c r="EF20" i="21"/>
  <c r="AI20" i="21"/>
  <c r="EE20" i="21"/>
  <c r="AH20" i="21"/>
  <c r="ED20" i="21"/>
  <c r="AG20" i="21"/>
  <c r="EC20" i="21"/>
  <c r="AF20" i="21"/>
  <c r="EH19" i="21"/>
  <c r="AK19" i="21"/>
  <c r="EG19" i="21"/>
  <c r="AJ19" i="21"/>
  <c r="EF19" i="21"/>
  <c r="AI19" i="21"/>
  <c r="EE19" i="21"/>
  <c r="AH19" i="21"/>
  <c r="ED19" i="21"/>
  <c r="AG19" i="21"/>
  <c r="EC19" i="21"/>
  <c r="AF19" i="21"/>
  <c r="EH18" i="21"/>
  <c r="AK18" i="21"/>
  <c r="EG18" i="21"/>
  <c r="AJ18" i="21"/>
  <c r="EF18" i="21"/>
  <c r="AI18" i="21"/>
  <c r="EE18" i="21"/>
  <c r="AH18" i="21"/>
  <c r="ED18" i="21"/>
  <c r="AG18" i="21"/>
  <c r="EC18" i="21"/>
  <c r="AF18" i="21"/>
  <c r="EH17" i="21"/>
  <c r="AK17" i="21"/>
  <c r="EG17" i="21"/>
  <c r="AJ17" i="21"/>
  <c r="EF17" i="21"/>
  <c r="AI17" i="21"/>
  <c r="EE17" i="21"/>
  <c r="AH17" i="21"/>
  <c r="ED17" i="21"/>
  <c r="AG17" i="21"/>
  <c r="EC17" i="21"/>
  <c r="AF17" i="21"/>
  <c r="EH16" i="21"/>
  <c r="AK16" i="21"/>
  <c r="EG16" i="21"/>
  <c r="AJ16" i="21"/>
  <c r="EF16" i="21"/>
  <c r="AI16" i="21"/>
  <c r="EE16" i="21"/>
  <c r="AH16" i="21"/>
  <c r="ED16" i="21"/>
  <c r="AG16" i="21"/>
  <c r="EC16" i="21"/>
  <c r="AF16" i="21"/>
  <c r="EH15" i="21"/>
  <c r="AK15" i="21"/>
  <c r="EG15" i="21"/>
  <c r="AJ15" i="21"/>
  <c r="EF15" i="21"/>
  <c r="AI15" i="21"/>
  <c r="EE15" i="21"/>
  <c r="AH15" i="21"/>
  <c r="ED15" i="21"/>
  <c r="AG15" i="21"/>
  <c r="EC15" i="21"/>
  <c r="AF15" i="21"/>
  <c r="EH14" i="21"/>
  <c r="AK14" i="21"/>
  <c r="EG14" i="21"/>
  <c r="AJ14" i="21"/>
  <c r="EF14" i="21"/>
  <c r="AI14" i="21"/>
  <c r="EE14" i="21"/>
  <c r="AH14" i="21"/>
  <c r="ED14" i="21"/>
  <c r="AG14" i="21"/>
  <c r="EC14" i="21"/>
  <c r="AF14" i="21"/>
  <c r="EH13" i="21"/>
  <c r="AK13" i="21"/>
  <c r="EG13" i="21"/>
  <c r="AJ13" i="21"/>
  <c r="EF13" i="21"/>
  <c r="AI13" i="21"/>
  <c r="EE13" i="21"/>
  <c r="AH13" i="21"/>
  <c r="ED13" i="21"/>
  <c r="AG13" i="21"/>
  <c r="EC13" i="21"/>
  <c r="AF13" i="21"/>
  <c r="EH12" i="21"/>
  <c r="AK12" i="21"/>
  <c r="EG12" i="21"/>
  <c r="AJ12" i="21"/>
  <c r="EF12" i="21"/>
  <c r="AI12" i="21"/>
  <c r="EE12" i="21"/>
  <c r="AH12" i="21"/>
  <c r="ED12" i="21"/>
  <c r="AG12" i="21"/>
  <c r="EC12" i="21"/>
  <c r="AF12" i="21"/>
  <c r="EH11" i="21"/>
  <c r="AK11" i="21"/>
  <c r="EG11" i="21"/>
  <c r="AJ11" i="21"/>
  <c r="EF11" i="21"/>
  <c r="AI11" i="21"/>
  <c r="EE11" i="21"/>
  <c r="AH11" i="21"/>
  <c r="ED11" i="21"/>
  <c r="AG11" i="21"/>
  <c r="EC11" i="21"/>
  <c r="AF11" i="21"/>
  <c r="EH10" i="21"/>
  <c r="AK10" i="21"/>
  <c r="EG10" i="21"/>
  <c r="AJ10" i="21"/>
  <c r="EF10" i="21"/>
  <c r="AI10" i="21"/>
  <c r="EE10" i="21"/>
  <c r="AH10" i="21"/>
  <c r="ED10" i="21"/>
  <c r="AG10" i="21"/>
  <c r="EC10" i="21"/>
  <c r="AF10" i="21"/>
  <c r="EH9" i="21"/>
  <c r="AK9" i="21"/>
  <c r="EG9" i="21"/>
  <c r="AJ9" i="21"/>
  <c r="EF9" i="21"/>
  <c r="AI9" i="21"/>
  <c r="EE9" i="21"/>
  <c r="AH9" i="21"/>
  <c r="ED9" i="21"/>
  <c r="AG9" i="21"/>
  <c r="EC9" i="21"/>
  <c r="AF9" i="21"/>
  <c r="EH8" i="21"/>
  <c r="AK8" i="21"/>
  <c r="EG8" i="21"/>
  <c r="AJ8" i="21"/>
  <c r="EF8" i="21"/>
  <c r="AI8" i="21"/>
  <c r="EE8" i="21"/>
  <c r="AH8" i="21"/>
  <c r="ED8" i="21"/>
  <c r="AG8" i="21"/>
  <c r="EC8" i="21"/>
  <c r="AF8" i="21"/>
  <c r="EH7" i="21"/>
  <c r="AK7" i="21"/>
  <c r="EG7" i="21"/>
  <c r="AJ7" i="21"/>
  <c r="EF7" i="21"/>
  <c r="AI7" i="21"/>
  <c r="EE7" i="21"/>
  <c r="AH7" i="21"/>
  <c r="ED7" i="21"/>
  <c r="AG7" i="21"/>
  <c r="EC7" i="21"/>
  <c r="AF7" i="21"/>
  <c r="EH6" i="21"/>
  <c r="AK6" i="21"/>
  <c r="EG6" i="21"/>
  <c r="AJ6" i="21"/>
  <c r="EF6" i="21"/>
  <c r="AI6" i="21"/>
  <c r="EE6" i="21"/>
  <c r="AH6" i="21"/>
  <c r="ED6" i="21"/>
  <c r="AG6" i="21"/>
  <c r="EC6" i="21"/>
  <c r="AF6" i="21"/>
  <c r="DV3" i="21"/>
  <c r="EA4" i="21"/>
  <c r="EA42" i="21"/>
  <c r="AD42" i="21"/>
  <c r="DZ4" i="21"/>
  <c r="DZ42" i="21"/>
  <c r="AC42" i="21"/>
  <c r="DY4" i="21"/>
  <c r="DY42" i="21"/>
  <c r="AB42" i="21"/>
  <c r="DX4" i="21"/>
  <c r="DX42" i="21"/>
  <c r="AA42" i="21"/>
  <c r="DW4" i="21"/>
  <c r="DW42" i="21"/>
  <c r="Z42" i="21"/>
  <c r="DV4" i="21"/>
  <c r="DV42" i="21"/>
  <c r="Y42" i="21"/>
  <c r="EA41" i="21"/>
  <c r="AD41" i="21"/>
  <c r="DZ41" i="21"/>
  <c r="AC41" i="21"/>
  <c r="DY41" i="21"/>
  <c r="AB41" i="21"/>
  <c r="DX41" i="21"/>
  <c r="AA41" i="21"/>
  <c r="DW41" i="21"/>
  <c r="Z41" i="21"/>
  <c r="DV41" i="21"/>
  <c r="Y41" i="21"/>
  <c r="EA40" i="21"/>
  <c r="AD40" i="21"/>
  <c r="DZ40" i="21"/>
  <c r="AC40" i="21"/>
  <c r="DY40" i="21"/>
  <c r="AB40" i="21"/>
  <c r="DX40" i="21"/>
  <c r="AA40" i="21"/>
  <c r="DW40" i="21"/>
  <c r="Z40" i="21"/>
  <c r="DV40" i="21"/>
  <c r="Y40" i="21"/>
  <c r="EA39" i="21"/>
  <c r="AD39" i="21"/>
  <c r="DZ39" i="21"/>
  <c r="AC39" i="21"/>
  <c r="DY39" i="21"/>
  <c r="AB39" i="21"/>
  <c r="DX39" i="21"/>
  <c r="AA39" i="21"/>
  <c r="DW39" i="21"/>
  <c r="Z39" i="21"/>
  <c r="DV39" i="21"/>
  <c r="Y39" i="21"/>
  <c r="EA38" i="21"/>
  <c r="AD38" i="21"/>
  <c r="DZ38" i="21"/>
  <c r="AC38" i="21"/>
  <c r="DY38" i="21"/>
  <c r="AB38" i="21"/>
  <c r="DX38" i="21"/>
  <c r="AA38" i="21"/>
  <c r="DW38" i="21"/>
  <c r="Z38" i="21"/>
  <c r="DV38" i="21"/>
  <c r="Y38" i="21"/>
  <c r="EA37" i="21"/>
  <c r="AD37" i="21"/>
  <c r="DZ37" i="21"/>
  <c r="AC37" i="21"/>
  <c r="DY37" i="21"/>
  <c r="AB37" i="21"/>
  <c r="DX37" i="21"/>
  <c r="AA37" i="21"/>
  <c r="DW37" i="21"/>
  <c r="Z37" i="21"/>
  <c r="DV37" i="21"/>
  <c r="Y37" i="21"/>
  <c r="EA36" i="21"/>
  <c r="AD36" i="21"/>
  <c r="DZ36" i="21"/>
  <c r="AC36" i="21"/>
  <c r="DY36" i="21"/>
  <c r="AB36" i="21"/>
  <c r="DX36" i="21"/>
  <c r="AA36" i="21"/>
  <c r="DW36" i="21"/>
  <c r="Z36" i="21"/>
  <c r="DV36" i="21"/>
  <c r="Y36" i="21"/>
  <c r="EA35" i="21"/>
  <c r="AD35" i="21"/>
  <c r="DZ35" i="21"/>
  <c r="AC35" i="21"/>
  <c r="DY35" i="21"/>
  <c r="AB35" i="21"/>
  <c r="DX35" i="21"/>
  <c r="AA35" i="21"/>
  <c r="DW35" i="21"/>
  <c r="Z35" i="21"/>
  <c r="DV35" i="21"/>
  <c r="Y35" i="21"/>
  <c r="EA34" i="21"/>
  <c r="AD34" i="21"/>
  <c r="DZ34" i="21"/>
  <c r="AC34" i="21"/>
  <c r="DY34" i="21"/>
  <c r="AB34" i="21"/>
  <c r="DX34" i="21"/>
  <c r="AA34" i="21"/>
  <c r="DW34" i="21"/>
  <c r="Z34" i="21"/>
  <c r="DV34" i="21"/>
  <c r="Y34" i="21"/>
  <c r="EA33" i="21"/>
  <c r="AD33" i="21"/>
  <c r="DZ33" i="21"/>
  <c r="AC33" i="21"/>
  <c r="DY33" i="21"/>
  <c r="AB33" i="21"/>
  <c r="DX33" i="21"/>
  <c r="AA33" i="21"/>
  <c r="DW33" i="21"/>
  <c r="Z33" i="21"/>
  <c r="DV33" i="21"/>
  <c r="Y33" i="21"/>
  <c r="EA32" i="21"/>
  <c r="AD32" i="21"/>
  <c r="DZ32" i="21"/>
  <c r="AC32" i="21"/>
  <c r="DY32" i="21"/>
  <c r="AB32" i="21"/>
  <c r="DX32" i="21"/>
  <c r="AA32" i="21"/>
  <c r="DW32" i="21"/>
  <c r="Z32" i="21"/>
  <c r="DV32" i="21"/>
  <c r="Y32" i="21"/>
  <c r="EA31" i="21"/>
  <c r="AD31" i="21"/>
  <c r="DZ31" i="21"/>
  <c r="AC31" i="21"/>
  <c r="DY31" i="21"/>
  <c r="AB31" i="21"/>
  <c r="DX31" i="21"/>
  <c r="AA31" i="21"/>
  <c r="DW31" i="21"/>
  <c r="Z31" i="21"/>
  <c r="DV31" i="21"/>
  <c r="Y31" i="21"/>
  <c r="EA30" i="21"/>
  <c r="AD30" i="21"/>
  <c r="DZ30" i="21"/>
  <c r="AC30" i="21"/>
  <c r="DY30" i="21"/>
  <c r="AB30" i="21"/>
  <c r="DX30" i="21"/>
  <c r="AA30" i="21"/>
  <c r="DW30" i="21"/>
  <c r="Z30" i="21"/>
  <c r="DV30" i="21"/>
  <c r="Y30" i="21"/>
  <c r="EA29" i="21"/>
  <c r="AD29" i="21"/>
  <c r="DZ29" i="21"/>
  <c r="AC29" i="21"/>
  <c r="DY29" i="21"/>
  <c r="AB29" i="21"/>
  <c r="DX29" i="21"/>
  <c r="AA29" i="21"/>
  <c r="DW29" i="21"/>
  <c r="Z29" i="21"/>
  <c r="DV29" i="21"/>
  <c r="Y29" i="21"/>
  <c r="EA28" i="21"/>
  <c r="AD28" i="21"/>
  <c r="DZ28" i="21"/>
  <c r="AC28" i="21"/>
  <c r="DY28" i="21"/>
  <c r="AB28" i="21"/>
  <c r="DX28" i="21"/>
  <c r="AA28" i="21"/>
  <c r="DW28" i="21"/>
  <c r="Z28" i="21"/>
  <c r="DV28" i="21"/>
  <c r="Y28" i="21"/>
  <c r="EA27" i="21"/>
  <c r="AD27" i="21"/>
  <c r="DZ27" i="21"/>
  <c r="AC27" i="21"/>
  <c r="DY27" i="21"/>
  <c r="AB27" i="21"/>
  <c r="DX27" i="21"/>
  <c r="AA27" i="21"/>
  <c r="DW27" i="21"/>
  <c r="Z27" i="21"/>
  <c r="DV27" i="21"/>
  <c r="Y27" i="21"/>
  <c r="EA26" i="21"/>
  <c r="AD26" i="21"/>
  <c r="DZ26" i="21"/>
  <c r="AC26" i="21"/>
  <c r="DY26" i="21"/>
  <c r="AB26" i="21"/>
  <c r="DX26" i="21"/>
  <c r="AA26" i="21"/>
  <c r="DW26" i="21"/>
  <c r="Z26" i="21"/>
  <c r="DV26" i="21"/>
  <c r="Y26" i="21"/>
  <c r="EA25" i="21"/>
  <c r="AD25" i="21"/>
  <c r="DZ25" i="21"/>
  <c r="AC25" i="21"/>
  <c r="DY25" i="21"/>
  <c r="AB25" i="21"/>
  <c r="DX25" i="21"/>
  <c r="AA25" i="21"/>
  <c r="DW25" i="21"/>
  <c r="Z25" i="21"/>
  <c r="DV25" i="21"/>
  <c r="Y25" i="21"/>
  <c r="EA24" i="21"/>
  <c r="AD24" i="21"/>
  <c r="DZ24" i="21"/>
  <c r="AC24" i="21"/>
  <c r="DY24" i="21"/>
  <c r="AB24" i="21"/>
  <c r="DX24" i="21"/>
  <c r="AA24" i="21"/>
  <c r="DW24" i="21"/>
  <c r="Z24" i="21"/>
  <c r="DV24" i="21"/>
  <c r="Y24" i="21"/>
  <c r="EA23" i="21"/>
  <c r="AD23" i="21"/>
  <c r="DZ23" i="21"/>
  <c r="AC23" i="21"/>
  <c r="DY23" i="21"/>
  <c r="AB23" i="21"/>
  <c r="DX23" i="21"/>
  <c r="AA23" i="21"/>
  <c r="DW23" i="21"/>
  <c r="Z23" i="21"/>
  <c r="DV23" i="21"/>
  <c r="Y23" i="21"/>
  <c r="EA22" i="21"/>
  <c r="AD22" i="21"/>
  <c r="DZ22" i="21"/>
  <c r="AC22" i="21"/>
  <c r="DY22" i="21"/>
  <c r="AB22" i="21"/>
  <c r="DX22" i="21"/>
  <c r="AA22" i="21"/>
  <c r="DW22" i="21"/>
  <c r="Z22" i="21"/>
  <c r="DV22" i="21"/>
  <c r="Y22" i="21"/>
  <c r="EA21" i="21"/>
  <c r="AD21" i="21"/>
  <c r="DZ21" i="21"/>
  <c r="AC21" i="21"/>
  <c r="DY21" i="21"/>
  <c r="AB21" i="21"/>
  <c r="DX21" i="21"/>
  <c r="AA21" i="21"/>
  <c r="DW21" i="21"/>
  <c r="Z21" i="21"/>
  <c r="DV21" i="21"/>
  <c r="Y21" i="21"/>
  <c r="EA20" i="21"/>
  <c r="AD20" i="21"/>
  <c r="DZ20" i="21"/>
  <c r="AC20" i="21"/>
  <c r="DY20" i="21"/>
  <c r="AB20" i="21"/>
  <c r="DX20" i="21"/>
  <c r="AA20" i="21"/>
  <c r="DW20" i="21"/>
  <c r="Z20" i="21"/>
  <c r="DV20" i="21"/>
  <c r="Y20" i="21"/>
  <c r="EA19" i="21"/>
  <c r="AD19" i="21"/>
  <c r="DZ19" i="21"/>
  <c r="AC19" i="21"/>
  <c r="DY19" i="21"/>
  <c r="AB19" i="21"/>
  <c r="DX19" i="21"/>
  <c r="AA19" i="21"/>
  <c r="DW19" i="21"/>
  <c r="Z19" i="21"/>
  <c r="DV19" i="21"/>
  <c r="Y19" i="21"/>
  <c r="EA18" i="21"/>
  <c r="AD18" i="21"/>
  <c r="DZ18" i="21"/>
  <c r="AC18" i="21"/>
  <c r="DY18" i="21"/>
  <c r="AB18" i="21"/>
  <c r="DX18" i="21"/>
  <c r="AA18" i="21"/>
  <c r="DW18" i="21"/>
  <c r="Z18" i="21"/>
  <c r="DV18" i="21"/>
  <c r="Y18" i="21"/>
  <c r="EA17" i="21"/>
  <c r="AD17" i="21"/>
  <c r="DZ17" i="21"/>
  <c r="AC17" i="21"/>
  <c r="DY17" i="21"/>
  <c r="AB17" i="21"/>
  <c r="DX17" i="21"/>
  <c r="AA17" i="21"/>
  <c r="DW17" i="21"/>
  <c r="Z17" i="21"/>
  <c r="DV17" i="21"/>
  <c r="Y17" i="21"/>
  <c r="EA16" i="21"/>
  <c r="AD16" i="21"/>
  <c r="DZ16" i="21"/>
  <c r="AC16" i="21"/>
  <c r="DY16" i="21"/>
  <c r="AB16" i="21"/>
  <c r="DX16" i="21"/>
  <c r="AA16" i="21"/>
  <c r="DW16" i="21"/>
  <c r="Z16" i="21"/>
  <c r="DV16" i="21"/>
  <c r="Y16" i="21"/>
  <c r="EA15" i="21"/>
  <c r="AD15" i="21"/>
  <c r="DZ15" i="21"/>
  <c r="AC15" i="21"/>
  <c r="DY15" i="21"/>
  <c r="AB15" i="21"/>
  <c r="DX15" i="21"/>
  <c r="AA15" i="21"/>
  <c r="DW15" i="21"/>
  <c r="Z15" i="21"/>
  <c r="DV15" i="21"/>
  <c r="Y15" i="21"/>
  <c r="EA14" i="21"/>
  <c r="AD14" i="21"/>
  <c r="DZ14" i="21"/>
  <c r="AC14" i="21"/>
  <c r="DY14" i="21"/>
  <c r="AB14" i="21"/>
  <c r="DX14" i="21"/>
  <c r="AA14" i="21"/>
  <c r="DW14" i="21"/>
  <c r="Z14" i="21"/>
  <c r="DV14" i="21"/>
  <c r="Y14" i="21"/>
  <c r="EA13" i="21"/>
  <c r="AD13" i="21"/>
  <c r="DZ13" i="21"/>
  <c r="AC13" i="21"/>
  <c r="DY13" i="21"/>
  <c r="AB13" i="21"/>
  <c r="DX13" i="21"/>
  <c r="AA13" i="21"/>
  <c r="DW13" i="21"/>
  <c r="Z13" i="21"/>
  <c r="DV13" i="21"/>
  <c r="Y13" i="21"/>
  <c r="EA12" i="21"/>
  <c r="AD12" i="21"/>
  <c r="DZ12" i="21"/>
  <c r="AC12" i="21"/>
  <c r="DY12" i="21"/>
  <c r="AB12" i="21"/>
  <c r="DX12" i="21"/>
  <c r="AA12" i="21"/>
  <c r="DW12" i="21"/>
  <c r="Z12" i="21"/>
  <c r="DV12" i="21"/>
  <c r="Y12" i="21"/>
  <c r="EA11" i="21"/>
  <c r="AD11" i="21"/>
  <c r="DZ11" i="21"/>
  <c r="AC11" i="21"/>
  <c r="DY11" i="21"/>
  <c r="AB11" i="21"/>
  <c r="DX11" i="21"/>
  <c r="AA11" i="21"/>
  <c r="DW11" i="21"/>
  <c r="Z11" i="21"/>
  <c r="DV11" i="21"/>
  <c r="Y11" i="21"/>
  <c r="EA10" i="21"/>
  <c r="AD10" i="21"/>
  <c r="DZ10" i="21"/>
  <c r="AC10" i="21"/>
  <c r="DY10" i="21"/>
  <c r="AB10" i="21"/>
  <c r="DX10" i="21"/>
  <c r="AA10" i="21"/>
  <c r="DW10" i="21"/>
  <c r="Z10" i="21"/>
  <c r="DV10" i="21"/>
  <c r="Y10" i="21"/>
  <c r="EA9" i="21"/>
  <c r="AD9" i="21"/>
  <c r="DZ9" i="21"/>
  <c r="AC9" i="21"/>
  <c r="DY9" i="21"/>
  <c r="AB9" i="21"/>
  <c r="DX9" i="21"/>
  <c r="AA9" i="21"/>
  <c r="DW9" i="21"/>
  <c r="Z9" i="21"/>
  <c r="DV9" i="21"/>
  <c r="Y9" i="21"/>
  <c r="EA8" i="21"/>
  <c r="AD8" i="21"/>
  <c r="DZ8" i="21"/>
  <c r="AC8" i="21"/>
  <c r="DY8" i="21"/>
  <c r="AB8" i="21"/>
  <c r="DX8" i="21"/>
  <c r="AA8" i="21"/>
  <c r="DW8" i="21"/>
  <c r="Z8" i="21"/>
  <c r="DV8" i="21"/>
  <c r="Y8" i="21"/>
  <c r="EA7" i="21"/>
  <c r="AD7" i="21"/>
  <c r="DZ7" i="21"/>
  <c r="AC7" i="21"/>
  <c r="DY7" i="21"/>
  <c r="AB7" i="21"/>
  <c r="DX7" i="21"/>
  <c r="AA7" i="21"/>
  <c r="DW7" i="21"/>
  <c r="Z7" i="21"/>
  <c r="DV7" i="21"/>
  <c r="Y7" i="21"/>
  <c r="EA6" i="21"/>
  <c r="AD6" i="21"/>
  <c r="DZ6" i="21"/>
  <c r="AC6" i="21"/>
  <c r="DY6" i="21"/>
  <c r="AB6" i="21"/>
  <c r="DX6" i="21"/>
  <c r="AA6" i="21"/>
  <c r="DW6" i="21"/>
  <c r="Z6" i="21"/>
  <c r="DV6" i="21"/>
  <c r="Y6" i="21"/>
  <c r="DO3" i="21"/>
  <c r="DT4" i="21"/>
  <c r="DT42" i="21"/>
  <c r="W42" i="21"/>
  <c r="DS4" i="21"/>
  <c r="DS42" i="21"/>
  <c r="V42" i="21"/>
  <c r="DR4" i="21"/>
  <c r="DR42" i="21"/>
  <c r="U42" i="21"/>
  <c r="DQ4" i="21"/>
  <c r="DQ42" i="21"/>
  <c r="T42" i="21"/>
  <c r="DP4" i="21"/>
  <c r="DP42" i="21"/>
  <c r="S42" i="21"/>
  <c r="DO4" i="21"/>
  <c r="DO42" i="21"/>
  <c r="R42" i="21"/>
  <c r="DT41" i="21"/>
  <c r="W41" i="21"/>
  <c r="DS41" i="21"/>
  <c r="V41" i="21"/>
  <c r="DR41" i="21"/>
  <c r="U41" i="21"/>
  <c r="DQ41" i="21"/>
  <c r="T41" i="21"/>
  <c r="DP41" i="21"/>
  <c r="S41" i="21"/>
  <c r="DO41" i="21"/>
  <c r="R41" i="21"/>
  <c r="DT40" i="21"/>
  <c r="W40" i="21"/>
  <c r="DS40" i="21"/>
  <c r="V40" i="21"/>
  <c r="DR40" i="21"/>
  <c r="U40" i="21"/>
  <c r="DQ40" i="21"/>
  <c r="T40" i="21"/>
  <c r="DP40" i="21"/>
  <c r="S40" i="21"/>
  <c r="DO40" i="21"/>
  <c r="R40" i="21"/>
  <c r="DT39" i="21"/>
  <c r="W39" i="21"/>
  <c r="DS39" i="21"/>
  <c r="V39" i="21"/>
  <c r="DR39" i="21"/>
  <c r="U39" i="21"/>
  <c r="DQ39" i="21"/>
  <c r="T39" i="21"/>
  <c r="DP39" i="21"/>
  <c r="S39" i="21"/>
  <c r="DO39" i="21"/>
  <c r="R39" i="21"/>
  <c r="DT38" i="21"/>
  <c r="W38" i="21"/>
  <c r="DS38" i="21"/>
  <c r="V38" i="21"/>
  <c r="DR38" i="21"/>
  <c r="U38" i="21"/>
  <c r="DQ38" i="21"/>
  <c r="T38" i="21"/>
  <c r="DP38" i="21"/>
  <c r="S38" i="21"/>
  <c r="DO38" i="21"/>
  <c r="R38" i="21"/>
  <c r="DT37" i="21"/>
  <c r="W37" i="21"/>
  <c r="DS37" i="21"/>
  <c r="V37" i="21"/>
  <c r="DR37" i="21"/>
  <c r="U37" i="21"/>
  <c r="DQ37" i="21"/>
  <c r="T37" i="21"/>
  <c r="DP37" i="21"/>
  <c r="S37" i="21"/>
  <c r="DO37" i="21"/>
  <c r="R37" i="21"/>
  <c r="DT36" i="21"/>
  <c r="W36" i="21"/>
  <c r="DS36" i="21"/>
  <c r="V36" i="21"/>
  <c r="DR36" i="21"/>
  <c r="U36" i="21"/>
  <c r="DQ36" i="21"/>
  <c r="T36" i="21"/>
  <c r="DP36" i="21"/>
  <c r="S36" i="21"/>
  <c r="DO36" i="21"/>
  <c r="R36" i="21"/>
  <c r="DT35" i="21"/>
  <c r="W35" i="21"/>
  <c r="DS35" i="21"/>
  <c r="V35" i="21"/>
  <c r="DR35" i="21"/>
  <c r="U35" i="21"/>
  <c r="DQ35" i="21"/>
  <c r="T35" i="21"/>
  <c r="DP35" i="21"/>
  <c r="S35" i="21"/>
  <c r="DO35" i="21"/>
  <c r="R35" i="21"/>
  <c r="DT34" i="21"/>
  <c r="W34" i="21"/>
  <c r="DS34" i="21"/>
  <c r="V34" i="21"/>
  <c r="DR34" i="21"/>
  <c r="U34" i="21"/>
  <c r="DQ34" i="21"/>
  <c r="T34" i="21"/>
  <c r="DP34" i="21"/>
  <c r="S34" i="21"/>
  <c r="DO34" i="21"/>
  <c r="R34" i="21"/>
  <c r="DT33" i="21"/>
  <c r="W33" i="21"/>
  <c r="DS33" i="21"/>
  <c r="V33" i="21"/>
  <c r="DR33" i="21"/>
  <c r="U33" i="21"/>
  <c r="DQ33" i="21"/>
  <c r="T33" i="21"/>
  <c r="DP33" i="21"/>
  <c r="S33" i="21"/>
  <c r="DO33" i="21"/>
  <c r="R33" i="21"/>
  <c r="DT32" i="21"/>
  <c r="W32" i="21"/>
  <c r="DS32" i="21"/>
  <c r="V32" i="21"/>
  <c r="DR32" i="21"/>
  <c r="U32" i="21"/>
  <c r="DQ32" i="21"/>
  <c r="T32" i="21"/>
  <c r="DP32" i="21"/>
  <c r="S32" i="21"/>
  <c r="DO32" i="21"/>
  <c r="R32" i="21"/>
  <c r="DT31" i="21"/>
  <c r="W31" i="21"/>
  <c r="DS31" i="21"/>
  <c r="V31" i="21"/>
  <c r="DR31" i="21"/>
  <c r="U31" i="21"/>
  <c r="DQ31" i="21"/>
  <c r="T31" i="21"/>
  <c r="DP31" i="21"/>
  <c r="S31" i="21"/>
  <c r="DO31" i="21"/>
  <c r="R31" i="21"/>
  <c r="DT30" i="21"/>
  <c r="W30" i="21"/>
  <c r="DS30" i="21"/>
  <c r="V30" i="21"/>
  <c r="DR30" i="21"/>
  <c r="U30" i="21"/>
  <c r="DQ30" i="21"/>
  <c r="T30" i="21"/>
  <c r="DP30" i="21"/>
  <c r="S30" i="21"/>
  <c r="DO30" i="21"/>
  <c r="R30" i="21"/>
  <c r="DT29" i="21"/>
  <c r="W29" i="21"/>
  <c r="DS29" i="21"/>
  <c r="V29" i="21"/>
  <c r="DR29" i="21"/>
  <c r="U29" i="21"/>
  <c r="DQ29" i="21"/>
  <c r="T29" i="21"/>
  <c r="DP29" i="21"/>
  <c r="S29" i="21"/>
  <c r="DO29" i="21"/>
  <c r="R29" i="21"/>
  <c r="DT28" i="21"/>
  <c r="W28" i="21"/>
  <c r="DS28" i="21"/>
  <c r="V28" i="21"/>
  <c r="DR28" i="21"/>
  <c r="U28" i="21"/>
  <c r="DQ28" i="21"/>
  <c r="T28" i="21"/>
  <c r="DP28" i="21"/>
  <c r="S28" i="21"/>
  <c r="DO28" i="21"/>
  <c r="R28" i="21"/>
  <c r="DT27" i="21"/>
  <c r="W27" i="21"/>
  <c r="DS27" i="21"/>
  <c r="V27" i="21"/>
  <c r="DR27" i="21"/>
  <c r="U27" i="21"/>
  <c r="DQ27" i="21"/>
  <c r="T27" i="21"/>
  <c r="DP27" i="21"/>
  <c r="S27" i="21"/>
  <c r="DO27" i="21"/>
  <c r="R27" i="21"/>
  <c r="DT26" i="21"/>
  <c r="W26" i="21"/>
  <c r="DS26" i="21"/>
  <c r="V26" i="21"/>
  <c r="DR26" i="21"/>
  <c r="U26" i="21"/>
  <c r="DQ26" i="21"/>
  <c r="T26" i="21"/>
  <c r="DP26" i="21"/>
  <c r="S26" i="21"/>
  <c r="DO26" i="21"/>
  <c r="R26" i="21"/>
  <c r="DT25" i="21"/>
  <c r="W25" i="21"/>
  <c r="DS25" i="21"/>
  <c r="V25" i="21"/>
  <c r="DR25" i="21"/>
  <c r="U25" i="21"/>
  <c r="DQ25" i="21"/>
  <c r="T25" i="21"/>
  <c r="DP25" i="21"/>
  <c r="S25" i="21"/>
  <c r="DO25" i="21"/>
  <c r="R25" i="21"/>
  <c r="DT24" i="21"/>
  <c r="W24" i="21"/>
  <c r="DS24" i="21"/>
  <c r="V24" i="21"/>
  <c r="DR24" i="21"/>
  <c r="U24" i="21"/>
  <c r="DQ24" i="21"/>
  <c r="T24" i="21"/>
  <c r="DP24" i="21"/>
  <c r="S24" i="21"/>
  <c r="DO24" i="21"/>
  <c r="R24" i="21"/>
  <c r="DT23" i="21"/>
  <c r="W23" i="21"/>
  <c r="DS23" i="21"/>
  <c r="V23" i="21"/>
  <c r="DR23" i="21"/>
  <c r="U23" i="21"/>
  <c r="DQ23" i="21"/>
  <c r="T23" i="21"/>
  <c r="DP23" i="21"/>
  <c r="S23" i="21"/>
  <c r="DO23" i="21"/>
  <c r="R23" i="21"/>
  <c r="DT22" i="21"/>
  <c r="W22" i="21"/>
  <c r="DS22" i="21"/>
  <c r="V22" i="21"/>
  <c r="DR22" i="21"/>
  <c r="U22" i="21"/>
  <c r="DQ22" i="21"/>
  <c r="T22" i="21"/>
  <c r="DP22" i="21"/>
  <c r="S22" i="21"/>
  <c r="DO22" i="21"/>
  <c r="R22" i="21"/>
  <c r="DT21" i="21"/>
  <c r="W21" i="21"/>
  <c r="DS21" i="21"/>
  <c r="V21" i="21"/>
  <c r="DR21" i="21"/>
  <c r="U21" i="21"/>
  <c r="DQ21" i="21"/>
  <c r="T21" i="21"/>
  <c r="DP21" i="21"/>
  <c r="S21" i="21"/>
  <c r="DO21" i="21"/>
  <c r="R21" i="21"/>
  <c r="DT20" i="21"/>
  <c r="W20" i="21"/>
  <c r="DS20" i="21"/>
  <c r="V20" i="21"/>
  <c r="DR20" i="21"/>
  <c r="U20" i="21"/>
  <c r="DQ20" i="21"/>
  <c r="T20" i="21"/>
  <c r="DP20" i="21"/>
  <c r="S20" i="21"/>
  <c r="DO20" i="21"/>
  <c r="R20" i="21"/>
  <c r="DT19" i="21"/>
  <c r="W19" i="21"/>
  <c r="DS19" i="21"/>
  <c r="V19" i="21"/>
  <c r="DR19" i="21"/>
  <c r="U19" i="21"/>
  <c r="DQ19" i="21"/>
  <c r="T19" i="21"/>
  <c r="DP19" i="21"/>
  <c r="S19" i="21"/>
  <c r="DO19" i="21"/>
  <c r="R19" i="21"/>
  <c r="DT18" i="21"/>
  <c r="W18" i="21"/>
  <c r="DS18" i="21"/>
  <c r="V18" i="21"/>
  <c r="DR18" i="21"/>
  <c r="U18" i="21"/>
  <c r="DQ18" i="21"/>
  <c r="T18" i="21"/>
  <c r="DP18" i="21"/>
  <c r="S18" i="21"/>
  <c r="DO18" i="21"/>
  <c r="R18" i="21"/>
  <c r="DT17" i="21"/>
  <c r="W17" i="21"/>
  <c r="DS17" i="21"/>
  <c r="V17" i="21"/>
  <c r="DR17" i="21"/>
  <c r="U17" i="21"/>
  <c r="DQ17" i="21"/>
  <c r="T17" i="21"/>
  <c r="DP17" i="21"/>
  <c r="S17" i="21"/>
  <c r="DO17" i="21"/>
  <c r="R17" i="21"/>
  <c r="DT16" i="21"/>
  <c r="W16" i="21"/>
  <c r="DS16" i="21"/>
  <c r="V16" i="21"/>
  <c r="DR16" i="21"/>
  <c r="U16" i="21"/>
  <c r="DQ16" i="21"/>
  <c r="T16" i="21"/>
  <c r="DP16" i="21"/>
  <c r="S16" i="21"/>
  <c r="DO16" i="21"/>
  <c r="R16" i="21"/>
  <c r="DT15" i="21"/>
  <c r="W15" i="21"/>
  <c r="DS15" i="21"/>
  <c r="V15" i="21"/>
  <c r="DR15" i="21"/>
  <c r="U15" i="21"/>
  <c r="DQ15" i="21"/>
  <c r="T15" i="21"/>
  <c r="DP15" i="21"/>
  <c r="S15" i="21"/>
  <c r="DO15" i="21"/>
  <c r="R15" i="21"/>
  <c r="DT14" i="21"/>
  <c r="W14" i="21"/>
  <c r="DS14" i="21"/>
  <c r="V14" i="21"/>
  <c r="DR14" i="21"/>
  <c r="U14" i="21"/>
  <c r="DQ14" i="21"/>
  <c r="T14" i="21"/>
  <c r="DP14" i="21"/>
  <c r="S14" i="21"/>
  <c r="DO14" i="21"/>
  <c r="R14" i="21"/>
  <c r="DT13" i="21"/>
  <c r="W13" i="21"/>
  <c r="DS13" i="21"/>
  <c r="V13" i="21"/>
  <c r="DR13" i="21"/>
  <c r="U13" i="21"/>
  <c r="DQ13" i="21"/>
  <c r="T13" i="21"/>
  <c r="DP13" i="21"/>
  <c r="S13" i="21"/>
  <c r="DO13" i="21"/>
  <c r="R13" i="21"/>
  <c r="DT12" i="21"/>
  <c r="W12" i="21"/>
  <c r="DS12" i="21"/>
  <c r="V12" i="21"/>
  <c r="DR12" i="21"/>
  <c r="U12" i="21"/>
  <c r="DQ12" i="21"/>
  <c r="T12" i="21"/>
  <c r="DP12" i="21"/>
  <c r="S12" i="21"/>
  <c r="DO12" i="21"/>
  <c r="R12" i="21"/>
  <c r="DT11" i="21"/>
  <c r="W11" i="21"/>
  <c r="DS11" i="21"/>
  <c r="V11" i="21"/>
  <c r="DR11" i="21"/>
  <c r="U11" i="21"/>
  <c r="DQ11" i="21"/>
  <c r="T11" i="21"/>
  <c r="DP11" i="21"/>
  <c r="S11" i="21"/>
  <c r="DO11" i="21"/>
  <c r="R11" i="21"/>
  <c r="DT10" i="21"/>
  <c r="W10" i="21"/>
  <c r="DS10" i="21"/>
  <c r="V10" i="21"/>
  <c r="DR10" i="21"/>
  <c r="U10" i="21"/>
  <c r="DQ10" i="21"/>
  <c r="T10" i="21"/>
  <c r="DP10" i="21"/>
  <c r="S10" i="21"/>
  <c r="DO10" i="21"/>
  <c r="R10" i="21"/>
  <c r="DT9" i="21"/>
  <c r="W9" i="21"/>
  <c r="DS9" i="21"/>
  <c r="V9" i="21"/>
  <c r="DR9" i="21"/>
  <c r="U9" i="21"/>
  <c r="DQ9" i="21"/>
  <c r="T9" i="21"/>
  <c r="DP9" i="21"/>
  <c r="S9" i="21"/>
  <c r="DO9" i="21"/>
  <c r="R9" i="21"/>
  <c r="DT8" i="21"/>
  <c r="W8" i="21"/>
  <c r="DS8" i="21"/>
  <c r="V8" i="21"/>
  <c r="DR8" i="21"/>
  <c r="U8" i="21"/>
  <c r="DQ8" i="21"/>
  <c r="T8" i="21"/>
  <c r="DP8" i="21"/>
  <c r="S8" i="21"/>
  <c r="DO8" i="21"/>
  <c r="R8" i="21"/>
  <c r="DT7" i="21"/>
  <c r="W7" i="21"/>
  <c r="DS7" i="21"/>
  <c r="V7" i="21"/>
  <c r="DR7" i="21"/>
  <c r="U7" i="21"/>
  <c r="DQ7" i="21"/>
  <c r="T7" i="21"/>
  <c r="DP7" i="21"/>
  <c r="S7" i="21"/>
  <c r="DO7" i="21"/>
  <c r="R7" i="21"/>
  <c r="DT6" i="21"/>
  <c r="W6" i="21"/>
  <c r="DS6" i="21"/>
  <c r="V6" i="21"/>
  <c r="DR6" i="21"/>
  <c r="U6" i="21"/>
  <c r="DQ6" i="21"/>
  <c r="T6" i="21"/>
  <c r="DP6" i="21"/>
  <c r="S6" i="21"/>
  <c r="DO6" i="21"/>
  <c r="R6" i="21"/>
  <c r="DH3" i="21"/>
  <c r="DM4" i="21"/>
  <c r="DM42" i="21"/>
  <c r="P42" i="21"/>
  <c r="DL4" i="21"/>
  <c r="DL42" i="21"/>
  <c r="O42" i="21"/>
  <c r="DK4" i="21"/>
  <c r="DK42" i="21"/>
  <c r="N42" i="21"/>
  <c r="DJ4" i="21"/>
  <c r="DJ42" i="21"/>
  <c r="M42" i="21"/>
  <c r="DI4" i="21"/>
  <c r="DI42" i="21"/>
  <c r="L42" i="21"/>
  <c r="DH4" i="21"/>
  <c r="DH42" i="21"/>
  <c r="K42" i="21"/>
  <c r="DM41" i="21"/>
  <c r="P41" i="21"/>
  <c r="DL41" i="21"/>
  <c r="O41" i="21"/>
  <c r="DK41" i="21"/>
  <c r="N41" i="21"/>
  <c r="DJ41" i="21"/>
  <c r="M41" i="21"/>
  <c r="DI41" i="21"/>
  <c r="L41" i="21"/>
  <c r="DH41" i="21"/>
  <c r="K41" i="21"/>
  <c r="DM40" i="21"/>
  <c r="P40" i="21"/>
  <c r="DL40" i="21"/>
  <c r="O40" i="21"/>
  <c r="DK40" i="21"/>
  <c r="N40" i="21"/>
  <c r="DJ40" i="21"/>
  <c r="M40" i="21"/>
  <c r="DI40" i="21"/>
  <c r="L40" i="21"/>
  <c r="DH40" i="21"/>
  <c r="K40" i="21"/>
  <c r="DM39" i="21"/>
  <c r="P39" i="21"/>
  <c r="DL39" i="21"/>
  <c r="O39" i="21"/>
  <c r="DK39" i="21"/>
  <c r="N39" i="21"/>
  <c r="DJ39" i="21"/>
  <c r="M39" i="21"/>
  <c r="DI39" i="21"/>
  <c r="L39" i="21"/>
  <c r="DH39" i="21"/>
  <c r="K39" i="21"/>
  <c r="DM38" i="21"/>
  <c r="P38" i="21"/>
  <c r="DL38" i="21"/>
  <c r="O38" i="21"/>
  <c r="DK38" i="21"/>
  <c r="N38" i="21"/>
  <c r="DJ38" i="21"/>
  <c r="M38" i="21"/>
  <c r="DI38" i="21"/>
  <c r="L38" i="21"/>
  <c r="DH38" i="21"/>
  <c r="K38" i="21"/>
  <c r="DM37" i="21"/>
  <c r="P37" i="21"/>
  <c r="DL37" i="21"/>
  <c r="O37" i="21"/>
  <c r="DK37" i="21"/>
  <c r="N37" i="21"/>
  <c r="DJ37" i="21"/>
  <c r="M37" i="21"/>
  <c r="DI37" i="21"/>
  <c r="L37" i="21"/>
  <c r="DH37" i="21"/>
  <c r="K37" i="21"/>
  <c r="DM36" i="21"/>
  <c r="P36" i="21"/>
  <c r="DL36" i="21"/>
  <c r="O36" i="21"/>
  <c r="DK36" i="21"/>
  <c r="N36" i="21"/>
  <c r="DJ36" i="21"/>
  <c r="M36" i="21"/>
  <c r="DI36" i="21"/>
  <c r="L36" i="21"/>
  <c r="DH36" i="21"/>
  <c r="K36" i="21"/>
  <c r="DM35" i="21"/>
  <c r="P35" i="21"/>
  <c r="DL35" i="21"/>
  <c r="O35" i="21"/>
  <c r="DK35" i="21"/>
  <c r="N35" i="21"/>
  <c r="DJ35" i="21"/>
  <c r="M35" i="21"/>
  <c r="DI35" i="21"/>
  <c r="L35" i="21"/>
  <c r="DH35" i="21"/>
  <c r="K35" i="21"/>
  <c r="DM34" i="21"/>
  <c r="P34" i="21"/>
  <c r="DL34" i="21"/>
  <c r="O34" i="21"/>
  <c r="DK34" i="21"/>
  <c r="N34" i="21"/>
  <c r="DJ34" i="21"/>
  <c r="M34" i="21"/>
  <c r="DI34" i="21"/>
  <c r="L34" i="21"/>
  <c r="DH34" i="21"/>
  <c r="K34" i="21"/>
  <c r="DM33" i="21"/>
  <c r="P33" i="21"/>
  <c r="DL33" i="21"/>
  <c r="O33" i="21"/>
  <c r="DK33" i="21"/>
  <c r="N33" i="21"/>
  <c r="DJ33" i="21"/>
  <c r="M33" i="21"/>
  <c r="DI33" i="21"/>
  <c r="L33" i="21"/>
  <c r="DH33" i="21"/>
  <c r="K33" i="21"/>
  <c r="DM32" i="21"/>
  <c r="P32" i="21"/>
  <c r="DL32" i="21"/>
  <c r="O32" i="21"/>
  <c r="DK32" i="21"/>
  <c r="N32" i="21"/>
  <c r="DJ32" i="21"/>
  <c r="M32" i="21"/>
  <c r="DI32" i="21"/>
  <c r="L32" i="21"/>
  <c r="DH32" i="21"/>
  <c r="K32" i="21"/>
  <c r="DM31" i="21"/>
  <c r="P31" i="21"/>
  <c r="DL31" i="21"/>
  <c r="O31" i="21"/>
  <c r="DK31" i="21"/>
  <c r="N31" i="21"/>
  <c r="DJ31" i="21"/>
  <c r="M31" i="21"/>
  <c r="DI31" i="21"/>
  <c r="L31" i="21"/>
  <c r="DH31" i="21"/>
  <c r="K31" i="21"/>
  <c r="DM30" i="21"/>
  <c r="P30" i="21"/>
  <c r="DL30" i="21"/>
  <c r="O30" i="21"/>
  <c r="DK30" i="21"/>
  <c r="N30" i="21"/>
  <c r="DJ30" i="21"/>
  <c r="M30" i="21"/>
  <c r="DI30" i="21"/>
  <c r="L30" i="21"/>
  <c r="DH30" i="21"/>
  <c r="K30" i="21"/>
  <c r="DM29" i="21"/>
  <c r="P29" i="21"/>
  <c r="DL29" i="21"/>
  <c r="O29" i="21"/>
  <c r="DK29" i="21"/>
  <c r="N29" i="21"/>
  <c r="DJ29" i="21"/>
  <c r="M29" i="21"/>
  <c r="DI29" i="21"/>
  <c r="L29" i="21"/>
  <c r="DH29" i="21"/>
  <c r="K29" i="21"/>
  <c r="DM28" i="21"/>
  <c r="P28" i="21"/>
  <c r="DL28" i="21"/>
  <c r="O28" i="21"/>
  <c r="DK28" i="21"/>
  <c r="N28" i="21"/>
  <c r="DJ28" i="21"/>
  <c r="M28" i="21"/>
  <c r="DI28" i="21"/>
  <c r="L28" i="21"/>
  <c r="DH28" i="21"/>
  <c r="K28" i="21"/>
  <c r="DM27" i="21"/>
  <c r="P27" i="21"/>
  <c r="DL27" i="21"/>
  <c r="O27" i="21"/>
  <c r="DK27" i="21"/>
  <c r="N27" i="21"/>
  <c r="DJ27" i="21"/>
  <c r="M27" i="21"/>
  <c r="DI27" i="21"/>
  <c r="L27" i="21"/>
  <c r="DH27" i="21"/>
  <c r="K27" i="21"/>
  <c r="DM26" i="21"/>
  <c r="P26" i="21"/>
  <c r="DL26" i="21"/>
  <c r="O26" i="21"/>
  <c r="DK26" i="21"/>
  <c r="N26" i="21"/>
  <c r="DJ26" i="21"/>
  <c r="M26" i="21"/>
  <c r="DI26" i="21"/>
  <c r="L26" i="21"/>
  <c r="DH26" i="21"/>
  <c r="K26" i="21"/>
  <c r="DM25" i="21"/>
  <c r="P25" i="21"/>
  <c r="DL25" i="21"/>
  <c r="O25" i="21"/>
  <c r="DK25" i="21"/>
  <c r="N25" i="21"/>
  <c r="DJ25" i="21"/>
  <c r="M25" i="21"/>
  <c r="DI25" i="21"/>
  <c r="L25" i="21"/>
  <c r="DH25" i="21"/>
  <c r="K25" i="21"/>
  <c r="DM24" i="21"/>
  <c r="P24" i="21"/>
  <c r="DL24" i="21"/>
  <c r="O24" i="21"/>
  <c r="DK24" i="21"/>
  <c r="N24" i="21"/>
  <c r="DJ24" i="21"/>
  <c r="M24" i="21"/>
  <c r="DI24" i="21"/>
  <c r="L24" i="21"/>
  <c r="DH24" i="21"/>
  <c r="K24" i="21"/>
  <c r="DM23" i="21"/>
  <c r="P23" i="21"/>
  <c r="DL23" i="21"/>
  <c r="O23" i="21"/>
  <c r="DK23" i="21"/>
  <c r="N23" i="21"/>
  <c r="DJ23" i="21"/>
  <c r="M23" i="21"/>
  <c r="DI23" i="21"/>
  <c r="L23" i="21"/>
  <c r="DH23" i="21"/>
  <c r="K23" i="21"/>
  <c r="DM22" i="21"/>
  <c r="P22" i="21"/>
  <c r="DL22" i="21"/>
  <c r="O22" i="21"/>
  <c r="DK22" i="21"/>
  <c r="N22" i="21"/>
  <c r="DJ22" i="21"/>
  <c r="M22" i="21"/>
  <c r="DI22" i="21"/>
  <c r="L22" i="21"/>
  <c r="DH22" i="21"/>
  <c r="K22" i="21"/>
  <c r="DM21" i="21"/>
  <c r="P21" i="21"/>
  <c r="DL21" i="21"/>
  <c r="O21" i="21"/>
  <c r="DK21" i="21"/>
  <c r="N21" i="21"/>
  <c r="DJ21" i="21"/>
  <c r="M21" i="21"/>
  <c r="DI21" i="21"/>
  <c r="L21" i="21"/>
  <c r="DH21" i="21"/>
  <c r="K21" i="21"/>
  <c r="DM20" i="21"/>
  <c r="P20" i="21"/>
  <c r="DL20" i="21"/>
  <c r="O20" i="21"/>
  <c r="DK20" i="21"/>
  <c r="N20" i="21"/>
  <c r="DJ20" i="21"/>
  <c r="M20" i="21"/>
  <c r="DI20" i="21"/>
  <c r="L20" i="21"/>
  <c r="DH20" i="21"/>
  <c r="K20" i="21"/>
  <c r="DM19" i="21"/>
  <c r="P19" i="21"/>
  <c r="DL19" i="21"/>
  <c r="O19" i="21"/>
  <c r="DK19" i="21"/>
  <c r="N19" i="21"/>
  <c r="DJ19" i="21"/>
  <c r="M19" i="21"/>
  <c r="DI19" i="21"/>
  <c r="L19" i="21"/>
  <c r="DH19" i="21"/>
  <c r="K19" i="21"/>
  <c r="DM18" i="21"/>
  <c r="P18" i="21"/>
  <c r="DL18" i="21"/>
  <c r="O18" i="21"/>
  <c r="DK18" i="21"/>
  <c r="N18" i="21"/>
  <c r="DJ18" i="21"/>
  <c r="M18" i="21"/>
  <c r="DI18" i="21"/>
  <c r="L18" i="21"/>
  <c r="DH18" i="21"/>
  <c r="K18" i="21"/>
  <c r="DM17" i="21"/>
  <c r="P17" i="21"/>
  <c r="DL17" i="21"/>
  <c r="O17" i="21"/>
  <c r="DK17" i="21"/>
  <c r="N17" i="21"/>
  <c r="DJ17" i="21"/>
  <c r="M17" i="21"/>
  <c r="DI17" i="21"/>
  <c r="L17" i="21"/>
  <c r="DH17" i="21"/>
  <c r="K17" i="21"/>
  <c r="DM16" i="21"/>
  <c r="P16" i="21"/>
  <c r="DL16" i="21"/>
  <c r="O16" i="21"/>
  <c r="DK16" i="21"/>
  <c r="N16" i="21"/>
  <c r="DJ16" i="21"/>
  <c r="M16" i="21"/>
  <c r="DI16" i="21"/>
  <c r="L16" i="21"/>
  <c r="DH16" i="21"/>
  <c r="K16" i="21"/>
  <c r="DM15" i="21"/>
  <c r="P15" i="21"/>
  <c r="DL15" i="21"/>
  <c r="O15" i="21"/>
  <c r="DK15" i="21"/>
  <c r="N15" i="21"/>
  <c r="DJ15" i="21"/>
  <c r="M15" i="21"/>
  <c r="DI15" i="21"/>
  <c r="L15" i="21"/>
  <c r="DH15" i="21"/>
  <c r="K15" i="21"/>
  <c r="DM14" i="21"/>
  <c r="P14" i="21"/>
  <c r="DL14" i="21"/>
  <c r="O14" i="21"/>
  <c r="DK14" i="21"/>
  <c r="N14" i="21"/>
  <c r="DJ14" i="21"/>
  <c r="M14" i="21"/>
  <c r="DI14" i="21"/>
  <c r="L14" i="21"/>
  <c r="DH14" i="21"/>
  <c r="K14" i="21"/>
  <c r="DM13" i="21"/>
  <c r="P13" i="21"/>
  <c r="DL13" i="21"/>
  <c r="O13" i="21"/>
  <c r="DK13" i="21"/>
  <c r="N13" i="21"/>
  <c r="DJ13" i="21"/>
  <c r="M13" i="21"/>
  <c r="DI13" i="21"/>
  <c r="L13" i="21"/>
  <c r="DH13" i="21"/>
  <c r="K13" i="21"/>
  <c r="DM12" i="21"/>
  <c r="P12" i="21"/>
  <c r="DL12" i="21"/>
  <c r="O12" i="21"/>
  <c r="DK12" i="21"/>
  <c r="N12" i="21"/>
  <c r="DJ12" i="21"/>
  <c r="M12" i="21"/>
  <c r="DI12" i="21"/>
  <c r="L12" i="21"/>
  <c r="DH12" i="21"/>
  <c r="K12" i="21"/>
  <c r="DM11" i="21"/>
  <c r="P11" i="21"/>
  <c r="DL11" i="21"/>
  <c r="O11" i="21"/>
  <c r="DK11" i="21"/>
  <c r="N11" i="21"/>
  <c r="DJ11" i="21"/>
  <c r="M11" i="21"/>
  <c r="DI11" i="21"/>
  <c r="L11" i="21"/>
  <c r="DH11" i="21"/>
  <c r="K11" i="21"/>
  <c r="DM10" i="21"/>
  <c r="P10" i="21"/>
  <c r="DL10" i="21"/>
  <c r="O10" i="21"/>
  <c r="DK10" i="21"/>
  <c r="N10" i="21"/>
  <c r="DJ10" i="21"/>
  <c r="M10" i="21"/>
  <c r="DI10" i="21"/>
  <c r="L10" i="21"/>
  <c r="DH10" i="21"/>
  <c r="K10" i="21"/>
  <c r="DM9" i="21"/>
  <c r="P9" i="21"/>
  <c r="DL9" i="21"/>
  <c r="O9" i="21"/>
  <c r="DK9" i="21"/>
  <c r="N9" i="21"/>
  <c r="DJ9" i="21"/>
  <c r="M9" i="21"/>
  <c r="DI9" i="21"/>
  <c r="L9" i="21"/>
  <c r="DH9" i="21"/>
  <c r="K9" i="21"/>
  <c r="DM8" i="21"/>
  <c r="P8" i="21"/>
  <c r="DL8" i="21"/>
  <c r="O8" i="21"/>
  <c r="DK8" i="21"/>
  <c r="N8" i="21"/>
  <c r="DJ8" i="21"/>
  <c r="M8" i="21"/>
  <c r="DI8" i="21"/>
  <c r="L8" i="21"/>
  <c r="DH8" i="21"/>
  <c r="K8" i="21"/>
  <c r="DM7" i="21"/>
  <c r="P7" i="21"/>
  <c r="DL7" i="21"/>
  <c r="O7" i="21"/>
  <c r="DK7" i="21"/>
  <c r="N7" i="21"/>
  <c r="DJ7" i="21"/>
  <c r="M7" i="21"/>
  <c r="DI7" i="21"/>
  <c r="L7" i="21"/>
  <c r="DH7" i="21"/>
  <c r="K7" i="21"/>
  <c r="DM6" i="21"/>
  <c r="P6" i="21"/>
  <c r="DL6" i="21"/>
  <c r="O6" i="21"/>
  <c r="DK6" i="21"/>
  <c r="N6" i="21"/>
  <c r="DJ6" i="21"/>
  <c r="M6" i="21"/>
  <c r="DI6" i="21"/>
  <c r="L6" i="21"/>
  <c r="DH6" i="21"/>
  <c r="K6" i="21"/>
  <c r="DA3" i="21"/>
  <c r="DA4" i="21"/>
  <c r="DA7" i="21"/>
  <c r="D7" i="21"/>
  <c r="DB4" i="21"/>
  <c r="DB7" i="21"/>
  <c r="E7" i="21"/>
  <c r="DC4" i="21"/>
  <c r="DC7" i="21"/>
  <c r="F7" i="21"/>
  <c r="DD4" i="21"/>
  <c r="DD7" i="21"/>
  <c r="G7" i="21"/>
  <c r="DE4" i="21"/>
  <c r="DE7" i="21"/>
  <c r="H7" i="21"/>
  <c r="DF4" i="21"/>
  <c r="DF7" i="21"/>
  <c r="I7" i="21"/>
  <c r="DA8" i="21"/>
  <c r="D8" i="21"/>
  <c r="DB8" i="21"/>
  <c r="E8" i="21"/>
  <c r="DC8" i="21"/>
  <c r="F8" i="21"/>
  <c r="DD8" i="21"/>
  <c r="G8" i="21"/>
  <c r="DE8" i="21"/>
  <c r="H8" i="21"/>
  <c r="DF8" i="21"/>
  <c r="I8" i="21"/>
  <c r="DA9" i="21"/>
  <c r="D9" i="21"/>
  <c r="DB9" i="21"/>
  <c r="E9" i="21"/>
  <c r="DC9" i="21"/>
  <c r="F9" i="21"/>
  <c r="DD9" i="21"/>
  <c r="G9" i="21"/>
  <c r="DE9" i="21"/>
  <c r="H9" i="21"/>
  <c r="DF9" i="21"/>
  <c r="I9" i="21"/>
  <c r="DA10" i="21"/>
  <c r="D10" i="21"/>
  <c r="DB10" i="21"/>
  <c r="E10" i="21"/>
  <c r="DC10" i="21"/>
  <c r="F10" i="21"/>
  <c r="DD10" i="21"/>
  <c r="G10" i="21"/>
  <c r="DE10" i="21"/>
  <c r="H10" i="21"/>
  <c r="DF10" i="21"/>
  <c r="I10" i="21"/>
  <c r="DA11" i="21"/>
  <c r="D11" i="21"/>
  <c r="DB11" i="21"/>
  <c r="E11" i="21"/>
  <c r="DC11" i="21"/>
  <c r="F11" i="21"/>
  <c r="DD11" i="21"/>
  <c r="G11" i="21"/>
  <c r="DE11" i="21"/>
  <c r="H11" i="21"/>
  <c r="DF11" i="21"/>
  <c r="I11" i="21"/>
  <c r="DA12" i="21"/>
  <c r="D12" i="21"/>
  <c r="DB12" i="21"/>
  <c r="E12" i="21"/>
  <c r="DC12" i="21"/>
  <c r="F12" i="21"/>
  <c r="DD12" i="21"/>
  <c r="G12" i="21"/>
  <c r="DE12" i="21"/>
  <c r="H12" i="21"/>
  <c r="DF12" i="21"/>
  <c r="I12" i="21"/>
  <c r="DA13" i="21"/>
  <c r="D13" i="21"/>
  <c r="DB13" i="21"/>
  <c r="E13" i="21"/>
  <c r="DC13" i="21"/>
  <c r="F13" i="21"/>
  <c r="DD13" i="21"/>
  <c r="G13" i="21"/>
  <c r="DE13" i="21"/>
  <c r="H13" i="21"/>
  <c r="DF13" i="21"/>
  <c r="I13" i="21"/>
  <c r="DA14" i="21"/>
  <c r="D14" i="21"/>
  <c r="DB14" i="21"/>
  <c r="E14" i="21"/>
  <c r="DC14" i="21"/>
  <c r="F14" i="21"/>
  <c r="DD14" i="21"/>
  <c r="G14" i="21"/>
  <c r="DE14" i="21"/>
  <c r="H14" i="21"/>
  <c r="DF14" i="21"/>
  <c r="I14" i="21"/>
  <c r="DA15" i="21"/>
  <c r="D15" i="21"/>
  <c r="DB15" i="21"/>
  <c r="E15" i="21"/>
  <c r="DC15" i="21"/>
  <c r="F15" i="21"/>
  <c r="DD15" i="21"/>
  <c r="G15" i="21"/>
  <c r="DE15" i="21"/>
  <c r="H15" i="21"/>
  <c r="DF15" i="21"/>
  <c r="I15" i="21"/>
  <c r="DA16" i="21"/>
  <c r="D16" i="21"/>
  <c r="DB16" i="21"/>
  <c r="E16" i="21"/>
  <c r="DC16" i="21"/>
  <c r="F16" i="21"/>
  <c r="DD16" i="21"/>
  <c r="G16" i="21"/>
  <c r="DE16" i="21"/>
  <c r="H16" i="21"/>
  <c r="DF16" i="21"/>
  <c r="I16" i="21"/>
  <c r="DA17" i="21"/>
  <c r="D17" i="21"/>
  <c r="DB17" i="21"/>
  <c r="E17" i="21"/>
  <c r="DC17" i="21"/>
  <c r="F17" i="21"/>
  <c r="DD17" i="21"/>
  <c r="G17" i="21"/>
  <c r="DE17" i="21"/>
  <c r="H17" i="21"/>
  <c r="DF17" i="21"/>
  <c r="I17" i="21"/>
  <c r="DA18" i="21"/>
  <c r="D18" i="21"/>
  <c r="DB18" i="21"/>
  <c r="E18" i="21"/>
  <c r="DC18" i="21"/>
  <c r="F18" i="21"/>
  <c r="DD18" i="21"/>
  <c r="G18" i="21"/>
  <c r="DE18" i="21"/>
  <c r="H18" i="21"/>
  <c r="DF18" i="21"/>
  <c r="I18" i="21"/>
  <c r="DA19" i="21"/>
  <c r="D19" i="21"/>
  <c r="DB19" i="21"/>
  <c r="E19" i="21"/>
  <c r="DC19" i="21"/>
  <c r="F19" i="21"/>
  <c r="DD19" i="21"/>
  <c r="G19" i="21"/>
  <c r="DE19" i="21"/>
  <c r="H19" i="21"/>
  <c r="DF19" i="21"/>
  <c r="I19" i="21"/>
  <c r="DA20" i="21"/>
  <c r="D20" i="21"/>
  <c r="DB20" i="21"/>
  <c r="E20" i="21"/>
  <c r="DC20" i="21"/>
  <c r="F20" i="21"/>
  <c r="DD20" i="21"/>
  <c r="G20" i="21"/>
  <c r="DE20" i="21"/>
  <c r="H20" i="21"/>
  <c r="DF20" i="21"/>
  <c r="I20" i="21"/>
  <c r="DA21" i="21"/>
  <c r="D21" i="21"/>
  <c r="DB21" i="21"/>
  <c r="E21" i="21"/>
  <c r="DC21" i="21"/>
  <c r="F21" i="21"/>
  <c r="DD21" i="21"/>
  <c r="G21" i="21"/>
  <c r="DE21" i="21"/>
  <c r="H21" i="21"/>
  <c r="DF21" i="21"/>
  <c r="I21" i="21"/>
  <c r="DA22" i="21"/>
  <c r="D22" i="21"/>
  <c r="DB22" i="21"/>
  <c r="E22" i="21"/>
  <c r="DC22" i="21"/>
  <c r="F22" i="21"/>
  <c r="DD22" i="21"/>
  <c r="G22" i="21"/>
  <c r="DE22" i="21"/>
  <c r="H22" i="21"/>
  <c r="DF22" i="21"/>
  <c r="I22" i="21"/>
  <c r="DA23" i="21"/>
  <c r="D23" i="21"/>
  <c r="DB23" i="21"/>
  <c r="E23" i="21"/>
  <c r="DC23" i="21"/>
  <c r="F23" i="21"/>
  <c r="DD23" i="21"/>
  <c r="G23" i="21"/>
  <c r="DE23" i="21"/>
  <c r="H23" i="21"/>
  <c r="DF23" i="21"/>
  <c r="I23" i="21"/>
  <c r="DA24" i="21"/>
  <c r="D24" i="21"/>
  <c r="DB24" i="21"/>
  <c r="E24" i="21"/>
  <c r="DC24" i="21"/>
  <c r="F24" i="21"/>
  <c r="DD24" i="21"/>
  <c r="G24" i="21"/>
  <c r="DE24" i="21"/>
  <c r="H24" i="21"/>
  <c r="DF24" i="21"/>
  <c r="I24" i="21"/>
  <c r="DA25" i="21"/>
  <c r="D25" i="21"/>
  <c r="DB25" i="21"/>
  <c r="E25" i="21"/>
  <c r="DC25" i="21"/>
  <c r="F25" i="21"/>
  <c r="DD25" i="21"/>
  <c r="G25" i="21"/>
  <c r="DE25" i="21"/>
  <c r="H25" i="21"/>
  <c r="DF25" i="21"/>
  <c r="I25" i="21"/>
  <c r="DA26" i="21"/>
  <c r="D26" i="21"/>
  <c r="DB26" i="21"/>
  <c r="E26" i="21"/>
  <c r="DC26" i="21"/>
  <c r="F26" i="21"/>
  <c r="DD26" i="21"/>
  <c r="G26" i="21"/>
  <c r="DE26" i="21"/>
  <c r="H26" i="21"/>
  <c r="DF26" i="21"/>
  <c r="I26" i="21"/>
  <c r="DA27" i="21"/>
  <c r="D27" i="21"/>
  <c r="DB27" i="21"/>
  <c r="E27" i="21"/>
  <c r="DC27" i="21"/>
  <c r="F27" i="21"/>
  <c r="DD27" i="21"/>
  <c r="G27" i="21"/>
  <c r="DE27" i="21"/>
  <c r="H27" i="21"/>
  <c r="DF27" i="21"/>
  <c r="I27" i="21"/>
  <c r="DA28" i="21"/>
  <c r="D28" i="21"/>
  <c r="DB28" i="21"/>
  <c r="E28" i="21"/>
  <c r="DC28" i="21"/>
  <c r="F28" i="21"/>
  <c r="DD28" i="21"/>
  <c r="G28" i="21"/>
  <c r="DE28" i="21"/>
  <c r="H28" i="21"/>
  <c r="DF28" i="21"/>
  <c r="I28" i="21"/>
  <c r="DA29" i="21"/>
  <c r="D29" i="21"/>
  <c r="DB29" i="21"/>
  <c r="E29" i="21"/>
  <c r="DC29" i="21"/>
  <c r="F29" i="21"/>
  <c r="DD29" i="21"/>
  <c r="G29" i="21"/>
  <c r="DE29" i="21"/>
  <c r="H29" i="21"/>
  <c r="DF29" i="21"/>
  <c r="I29" i="21"/>
  <c r="DA30" i="21"/>
  <c r="D30" i="21"/>
  <c r="DB30" i="21"/>
  <c r="E30" i="21"/>
  <c r="DC30" i="21"/>
  <c r="F30" i="21"/>
  <c r="DD30" i="21"/>
  <c r="G30" i="21"/>
  <c r="DE30" i="21"/>
  <c r="H30" i="21"/>
  <c r="DF30" i="21"/>
  <c r="I30" i="21"/>
  <c r="DA31" i="21"/>
  <c r="D31" i="21"/>
  <c r="DB31" i="21"/>
  <c r="E31" i="21"/>
  <c r="DC31" i="21"/>
  <c r="F31" i="21"/>
  <c r="DD31" i="21"/>
  <c r="G31" i="21"/>
  <c r="DE31" i="21"/>
  <c r="H31" i="21"/>
  <c r="DF31" i="21"/>
  <c r="I31" i="21"/>
  <c r="DA32" i="21"/>
  <c r="D32" i="21"/>
  <c r="DB32" i="21"/>
  <c r="E32" i="21"/>
  <c r="DC32" i="21"/>
  <c r="F32" i="21"/>
  <c r="DD32" i="21"/>
  <c r="G32" i="21"/>
  <c r="DE32" i="21"/>
  <c r="H32" i="21"/>
  <c r="DF32" i="21"/>
  <c r="I32" i="21"/>
  <c r="DA33" i="21"/>
  <c r="D33" i="21"/>
  <c r="DB33" i="21"/>
  <c r="E33" i="21"/>
  <c r="DC33" i="21"/>
  <c r="F33" i="21"/>
  <c r="DD33" i="21"/>
  <c r="G33" i="21"/>
  <c r="DE33" i="21"/>
  <c r="H33" i="21"/>
  <c r="DF33" i="21"/>
  <c r="I33" i="21"/>
  <c r="DA34" i="21"/>
  <c r="D34" i="21"/>
  <c r="DB34" i="21"/>
  <c r="E34" i="21"/>
  <c r="DC34" i="21"/>
  <c r="F34" i="21"/>
  <c r="DD34" i="21"/>
  <c r="G34" i="21"/>
  <c r="DE34" i="21"/>
  <c r="H34" i="21"/>
  <c r="DF34" i="21"/>
  <c r="I34" i="21"/>
  <c r="DA35" i="21"/>
  <c r="D35" i="21"/>
  <c r="DB35" i="21"/>
  <c r="E35" i="21"/>
  <c r="DC35" i="21"/>
  <c r="F35" i="21"/>
  <c r="DD35" i="21"/>
  <c r="G35" i="21"/>
  <c r="DE35" i="21"/>
  <c r="H35" i="21"/>
  <c r="DF35" i="21"/>
  <c r="I35" i="21"/>
  <c r="DA36" i="21"/>
  <c r="D36" i="21"/>
  <c r="DB36" i="21"/>
  <c r="E36" i="21"/>
  <c r="DC36" i="21"/>
  <c r="F36" i="21"/>
  <c r="DD36" i="21"/>
  <c r="G36" i="21"/>
  <c r="DE36" i="21"/>
  <c r="H36" i="21"/>
  <c r="DF36" i="21"/>
  <c r="I36" i="21"/>
  <c r="DA37" i="21"/>
  <c r="D37" i="21"/>
  <c r="DB37" i="21"/>
  <c r="E37" i="21"/>
  <c r="DC37" i="21"/>
  <c r="F37" i="21"/>
  <c r="DD37" i="21"/>
  <c r="G37" i="21"/>
  <c r="DE37" i="21"/>
  <c r="H37" i="21"/>
  <c r="DF37" i="21"/>
  <c r="I37" i="21"/>
  <c r="DA38" i="21"/>
  <c r="D38" i="21"/>
  <c r="DB38" i="21"/>
  <c r="E38" i="21"/>
  <c r="DC38" i="21"/>
  <c r="F38" i="21"/>
  <c r="DD38" i="21"/>
  <c r="G38" i="21"/>
  <c r="DE38" i="21"/>
  <c r="H38" i="21"/>
  <c r="DF38" i="21"/>
  <c r="I38" i="21"/>
  <c r="DA39" i="21"/>
  <c r="D39" i="21"/>
  <c r="DB39" i="21"/>
  <c r="E39" i="21"/>
  <c r="DC39" i="21"/>
  <c r="F39" i="21"/>
  <c r="DD39" i="21"/>
  <c r="G39" i="21"/>
  <c r="DE39" i="21"/>
  <c r="H39" i="21"/>
  <c r="DF39" i="21"/>
  <c r="I39" i="21"/>
  <c r="DA40" i="21"/>
  <c r="D40" i="21"/>
  <c r="DB40" i="21"/>
  <c r="E40" i="21"/>
  <c r="DC40" i="21"/>
  <c r="F40" i="21"/>
  <c r="DD40" i="21"/>
  <c r="G40" i="21"/>
  <c r="DE40" i="21"/>
  <c r="H40" i="21"/>
  <c r="DF40" i="21"/>
  <c r="I40" i="21"/>
  <c r="DA41" i="21"/>
  <c r="D41" i="21"/>
  <c r="DB41" i="21"/>
  <c r="E41" i="21"/>
  <c r="DC41" i="21"/>
  <c r="F41" i="21"/>
  <c r="DD41" i="21"/>
  <c r="G41" i="21"/>
  <c r="DE41" i="21"/>
  <c r="H41" i="21"/>
  <c r="DF41" i="21"/>
  <c r="I41" i="21"/>
  <c r="DA42" i="21"/>
  <c r="D42" i="21"/>
  <c r="DB42" i="21"/>
  <c r="E42" i="21"/>
  <c r="DC42" i="21"/>
  <c r="F42" i="21"/>
  <c r="DD42" i="21"/>
  <c r="G42" i="21"/>
  <c r="DE42" i="21"/>
  <c r="H42" i="21"/>
  <c r="DF42" i="21"/>
  <c r="I42" i="21"/>
  <c r="DB6" i="21"/>
  <c r="E6" i="21"/>
  <c r="DC6" i="21"/>
  <c r="F6" i="21"/>
  <c r="DD6" i="21"/>
  <c r="G6" i="21"/>
  <c r="DE6" i="21"/>
  <c r="H6" i="21"/>
  <c r="DF6" i="21"/>
  <c r="I6" i="21"/>
  <c r="BL13" i="12"/>
  <c r="BL42" i="13"/>
  <c r="BL43" i="13"/>
  <c r="BL44" i="13"/>
  <c r="BL37" i="13"/>
  <c r="BL19" i="12"/>
  <c r="BL21" i="13"/>
  <c r="BL39" i="13"/>
  <c r="BL23" i="12"/>
  <c r="BL24" i="12"/>
  <c r="BL30" i="12"/>
  <c r="BL31" i="12"/>
  <c r="BL32" i="12"/>
  <c r="BL34" i="13"/>
  <c r="BL33" i="12"/>
  <c r="BL32" i="13"/>
  <c r="BL30" i="13"/>
  <c r="BL45" i="13"/>
  <c r="BL18" i="12"/>
  <c r="BL28" i="13"/>
  <c r="BL34" i="12"/>
  <c r="BL29" i="13"/>
  <c r="BL40" i="13"/>
  <c r="BL17" i="12"/>
  <c r="BL15" i="12"/>
  <c r="BL41" i="13"/>
  <c r="BL20" i="13"/>
  <c r="BL23" i="13"/>
  <c r="BL26" i="13"/>
  <c r="BL12" i="13"/>
  <c r="BL11" i="13"/>
  <c r="BL13" i="13"/>
  <c r="BL15" i="13"/>
  <c r="BL17" i="13"/>
  <c r="BL19" i="13"/>
  <c r="BL33" i="13"/>
  <c r="BL11" i="12"/>
  <c r="BL14" i="12"/>
  <c r="BL16" i="13"/>
  <c r="BL20" i="12"/>
  <c r="BL27" i="13"/>
  <c r="BL14" i="13"/>
  <c r="BL12" i="12"/>
  <c r="BL18" i="13"/>
  <c r="BL22" i="12"/>
  <c r="BL21" i="12"/>
  <c r="BL26" i="12"/>
  <c r="BL25" i="12"/>
  <c r="BL31" i="13"/>
  <c r="BL27" i="12"/>
  <c r="BL28" i="12"/>
  <c r="BL35" i="12"/>
  <c r="BL36" i="12"/>
  <c r="BL46" i="13"/>
  <c r="BL37" i="12"/>
  <c r="BL38" i="12"/>
  <c r="BL39" i="12"/>
  <c r="BL25" i="13"/>
  <c r="BL24" i="13"/>
  <c r="BL47" i="13"/>
  <c r="BL36" i="13"/>
  <c r="BL16" i="12"/>
  <c r="BL29" i="12"/>
  <c r="BL22" i="13"/>
  <c r="BL35" i="13"/>
  <c r="BL38" i="13"/>
  <c r="BL48" i="13"/>
  <c r="T11" i="16"/>
  <c r="A3" i="21"/>
  <c r="BG42" i="21"/>
  <c r="BG41" i="21"/>
  <c r="BG40" i="21"/>
  <c r="BG39" i="21"/>
  <c r="BG38" i="21"/>
  <c r="BG37" i="21"/>
  <c r="BG36" i="21"/>
  <c r="BG35" i="21"/>
  <c r="BG34" i="21"/>
  <c r="BG33" i="21"/>
  <c r="BG32" i="21"/>
  <c r="BG31" i="21"/>
  <c r="BG30" i="21"/>
  <c r="BG29" i="21"/>
  <c r="BG28" i="21"/>
  <c r="BG27" i="21"/>
  <c r="BG26" i="21"/>
  <c r="BG25" i="21"/>
  <c r="BG24" i="21"/>
  <c r="BG23" i="21"/>
  <c r="BG22" i="21"/>
  <c r="BG21" i="21"/>
  <c r="BG20" i="21"/>
  <c r="BG19" i="21"/>
  <c r="BG18" i="21"/>
  <c r="BG17" i="21"/>
  <c r="BG16" i="21"/>
  <c r="BG15" i="21"/>
  <c r="BG14" i="21"/>
  <c r="BG13" i="21"/>
  <c r="BG12" i="21"/>
  <c r="BG11" i="21"/>
  <c r="BG10" i="21"/>
  <c r="BG9" i="21"/>
  <c r="BG8" i="21"/>
  <c r="BG7" i="21"/>
  <c r="BG6" i="21"/>
  <c r="AZ42" i="21"/>
  <c r="AZ41" i="21"/>
  <c r="AZ40" i="21"/>
  <c r="AZ39" i="21"/>
  <c r="AZ38" i="21"/>
  <c r="AZ37" i="21"/>
  <c r="AZ36" i="21"/>
  <c r="AZ35" i="21"/>
  <c r="AZ34" i="21"/>
  <c r="AZ33" i="21"/>
  <c r="AZ32" i="21"/>
  <c r="AZ31" i="21"/>
  <c r="AZ30" i="21"/>
  <c r="AZ29" i="21"/>
  <c r="AZ28" i="21"/>
  <c r="AZ27" i="21"/>
  <c r="AZ26" i="21"/>
  <c r="AZ25" i="21"/>
  <c r="AZ24" i="21"/>
  <c r="AZ23" i="21"/>
  <c r="AZ22" i="21"/>
  <c r="AZ21" i="21"/>
  <c r="AZ20" i="21"/>
  <c r="AZ19" i="21"/>
  <c r="AZ18" i="21"/>
  <c r="AZ17" i="21"/>
  <c r="AZ16" i="21"/>
  <c r="AZ15" i="21"/>
  <c r="AZ14" i="21"/>
  <c r="AZ13" i="21"/>
  <c r="AZ12" i="21"/>
  <c r="AZ11" i="21"/>
  <c r="AZ10" i="21"/>
  <c r="AZ9" i="21"/>
  <c r="AZ8" i="21"/>
  <c r="AZ7" i="21"/>
  <c r="AZ6" i="21"/>
  <c r="AS42" i="21"/>
  <c r="AS41" i="21"/>
  <c r="AS40" i="21"/>
  <c r="AS39" i="21"/>
  <c r="AS38" i="21"/>
  <c r="AS37" i="21"/>
  <c r="AS36" i="21"/>
  <c r="AS35" i="21"/>
  <c r="AS34" i="21"/>
  <c r="AS33" i="21"/>
  <c r="AS32" i="21"/>
  <c r="AS31" i="21"/>
  <c r="AS30" i="21"/>
  <c r="AS29" i="21"/>
  <c r="AS28" i="21"/>
  <c r="AS27" i="21"/>
  <c r="AS26" i="21"/>
  <c r="AS25" i="21"/>
  <c r="AS24" i="21"/>
  <c r="AS23" i="21"/>
  <c r="AS22" i="21"/>
  <c r="AS21" i="21"/>
  <c r="AS20" i="21"/>
  <c r="AS19" i="21"/>
  <c r="AS18" i="21"/>
  <c r="AS17" i="21"/>
  <c r="AS16" i="21"/>
  <c r="AS15" i="21"/>
  <c r="AS14" i="21"/>
  <c r="AS13" i="21"/>
  <c r="AS12" i="21"/>
  <c r="AS11" i="21"/>
  <c r="AS10" i="21"/>
  <c r="AS9" i="21"/>
  <c r="AS8" i="21"/>
  <c r="AS7" i="21"/>
  <c r="AS6" i="21"/>
  <c r="AL42" i="21"/>
  <c r="AL41" i="21"/>
  <c r="AL40" i="21"/>
  <c r="AL39" i="21"/>
  <c r="AL38" i="21"/>
  <c r="AL37" i="21"/>
  <c r="AL36" i="21"/>
  <c r="AL35" i="21"/>
  <c r="AL34" i="21"/>
  <c r="AL33" i="21"/>
  <c r="AL32" i="21"/>
  <c r="AL31" i="21"/>
  <c r="AL30" i="21"/>
  <c r="AL29" i="21"/>
  <c r="AL28" i="21"/>
  <c r="AL27" i="21"/>
  <c r="AL26" i="21"/>
  <c r="AL25" i="21"/>
  <c r="AL24" i="21"/>
  <c r="AL23" i="21"/>
  <c r="AL22" i="21"/>
  <c r="AL21" i="21"/>
  <c r="AL20" i="21"/>
  <c r="AL19" i="21"/>
  <c r="AL18" i="21"/>
  <c r="AL17" i="21"/>
  <c r="AL16" i="21"/>
  <c r="AL15" i="21"/>
  <c r="AL14" i="21"/>
  <c r="AL13" i="21"/>
  <c r="AL12" i="21"/>
  <c r="AL11" i="21"/>
  <c r="AL10" i="21"/>
  <c r="AL9" i="21"/>
  <c r="AL8" i="21"/>
  <c r="AL7" i="21"/>
  <c r="AL6" i="21"/>
  <c r="AE42" i="21"/>
  <c r="AE41" i="21"/>
  <c r="AE40" i="21"/>
  <c r="AE39" i="21"/>
  <c r="AE38" i="21"/>
  <c r="AE37" i="21"/>
  <c r="AE36" i="21"/>
  <c r="AE35" i="21"/>
  <c r="AE34" i="21"/>
  <c r="AE33" i="21"/>
  <c r="AE32" i="21"/>
  <c r="AE31" i="21"/>
  <c r="AE30" i="21"/>
  <c r="AE29" i="21"/>
  <c r="AE28" i="21"/>
  <c r="AE27" i="21"/>
  <c r="AE26" i="21"/>
  <c r="AE25" i="21"/>
  <c r="AE24" i="21"/>
  <c r="AE23" i="21"/>
  <c r="AE22" i="21"/>
  <c r="AE21" i="21"/>
  <c r="AE20" i="21"/>
  <c r="AE19" i="21"/>
  <c r="AE18" i="21"/>
  <c r="AE17" i="21"/>
  <c r="AE16" i="21"/>
  <c r="AE15" i="21"/>
  <c r="AE14" i="21"/>
  <c r="AE13" i="21"/>
  <c r="AE12" i="21"/>
  <c r="AE11" i="21"/>
  <c r="AE10" i="21"/>
  <c r="AE9" i="21"/>
  <c r="AE8" i="21"/>
  <c r="AE7" i="21"/>
  <c r="AE6" i="21"/>
  <c r="X42" i="21"/>
  <c r="X41" i="21"/>
  <c r="X40" i="21"/>
  <c r="X39" i="21"/>
  <c r="X38" i="21"/>
  <c r="X37" i="21"/>
  <c r="X36" i="21"/>
  <c r="X35" i="21"/>
  <c r="X34" i="21"/>
  <c r="X33" i="21"/>
  <c r="X32" i="21"/>
  <c r="X31" i="21"/>
  <c r="X30" i="21"/>
  <c r="X29" i="21"/>
  <c r="X28" i="21"/>
  <c r="X27" i="21"/>
  <c r="X26" i="21"/>
  <c r="X25" i="21"/>
  <c r="X24" i="21"/>
  <c r="X23" i="21"/>
  <c r="X22" i="21"/>
  <c r="X21" i="21"/>
  <c r="X20" i="21"/>
  <c r="X19" i="21"/>
  <c r="X18" i="21"/>
  <c r="X17" i="21"/>
  <c r="X16" i="21"/>
  <c r="X15" i="21"/>
  <c r="X14" i="21"/>
  <c r="X13" i="21"/>
  <c r="X12" i="21"/>
  <c r="X11" i="21"/>
  <c r="X10" i="21"/>
  <c r="X9" i="21"/>
  <c r="X8" i="21"/>
  <c r="X7" i="21"/>
  <c r="X6"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 r="Q14" i="21"/>
  <c r="Q13" i="21"/>
  <c r="Q12" i="21"/>
  <c r="Q11" i="21"/>
  <c r="Q10" i="21"/>
  <c r="Q9" i="21"/>
  <c r="Q8" i="21"/>
  <c r="Q7" i="21"/>
  <c r="Q6" i="21"/>
  <c r="J42" i="21"/>
  <c r="J41" i="21"/>
  <c r="J40" i="21"/>
  <c r="J39" i="21"/>
  <c r="J38" i="21"/>
  <c r="J37" i="21"/>
  <c r="J36" i="21"/>
  <c r="J35" i="21"/>
  <c r="J34" i="21"/>
  <c r="J33" i="21"/>
  <c r="J32" i="21"/>
  <c r="J31" i="21"/>
  <c r="J30" i="21"/>
  <c r="J29" i="21"/>
  <c r="J28" i="21"/>
  <c r="J27" i="21"/>
  <c r="J26" i="21"/>
  <c r="J25" i="21"/>
  <c r="J24" i="21"/>
  <c r="J23" i="21"/>
  <c r="J22" i="21"/>
  <c r="J21" i="21"/>
  <c r="J20" i="21"/>
  <c r="J19" i="21"/>
  <c r="J18" i="21"/>
  <c r="J17" i="21"/>
  <c r="J16" i="21"/>
  <c r="J15" i="21"/>
  <c r="J14" i="21"/>
  <c r="J13" i="21"/>
  <c r="J12" i="21"/>
  <c r="J11" i="21"/>
  <c r="J10" i="21"/>
  <c r="J9" i="21"/>
  <c r="J8" i="21"/>
  <c r="J7" i="21"/>
  <c r="J6" i="21"/>
  <c r="DA6" i="21"/>
  <c r="D6" i="21"/>
  <c r="CY45" i="21"/>
  <c r="FJ45" i="21"/>
  <c r="FI45" i="21"/>
  <c r="FH45" i="21"/>
  <c r="FG45" i="21"/>
  <c r="FF45" i="21"/>
  <c r="FE45" i="21"/>
  <c r="CY44" i="21"/>
  <c r="FJ44" i="21"/>
  <c r="FI44" i="21"/>
  <c r="FH44" i="21"/>
  <c r="FG44" i="21"/>
  <c r="FF44" i="21"/>
  <c r="FE44" i="21"/>
  <c r="CY43" i="21"/>
  <c r="FJ43" i="21"/>
  <c r="FI43" i="21"/>
  <c r="FH43" i="21"/>
  <c r="FG43" i="21"/>
  <c r="FF43" i="21"/>
  <c r="FE43" i="21"/>
  <c r="FC45" i="21"/>
  <c r="FB45" i="21"/>
  <c r="FA45" i="21"/>
  <c r="EZ45" i="21"/>
  <c r="EY45" i="21"/>
  <c r="EX45" i="21"/>
  <c r="FC44" i="21"/>
  <c r="FB44" i="21"/>
  <c r="FA44" i="21"/>
  <c r="EZ44" i="21"/>
  <c r="EY44" i="21"/>
  <c r="EX44" i="21"/>
  <c r="FC43" i="21"/>
  <c r="FB43" i="21"/>
  <c r="FA43" i="21"/>
  <c r="EZ43" i="21"/>
  <c r="EY43" i="21"/>
  <c r="EX43" i="21"/>
  <c r="EV45" i="21"/>
  <c r="EU45" i="21"/>
  <c r="ET45" i="21"/>
  <c r="ES45" i="21"/>
  <c r="ER45" i="21"/>
  <c r="EQ45" i="21"/>
  <c r="EV44" i="21"/>
  <c r="EU44" i="21"/>
  <c r="ET44" i="21"/>
  <c r="ES44" i="21"/>
  <c r="ER44" i="21"/>
  <c r="EQ44" i="21"/>
  <c r="EV43" i="21"/>
  <c r="EU43" i="21"/>
  <c r="ET43" i="21"/>
  <c r="ES43" i="21"/>
  <c r="ER43" i="21"/>
  <c r="EQ43" i="21"/>
  <c r="EO45" i="21"/>
  <c r="EN45" i="21"/>
  <c r="EM45" i="21"/>
  <c r="EL45" i="21"/>
  <c r="EK45" i="21"/>
  <c r="EJ45" i="21"/>
  <c r="EO44" i="21"/>
  <c r="EN44" i="21"/>
  <c r="EM44" i="21"/>
  <c r="EL44" i="21"/>
  <c r="EK44" i="21"/>
  <c r="EJ44" i="21"/>
  <c r="EO43" i="21"/>
  <c r="EN43" i="21"/>
  <c r="EM43" i="21"/>
  <c r="EL43" i="21"/>
  <c r="EK43" i="21"/>
  <c r="EJ43" i="21"/>
  <c r="EH45" i="21"/>
  <c r="EG45" i="21"/>
  <c r="EF45" i="21"/>
  <c r="EE45" i="21"/>
  <c r="ED45" i="21"/>
  <c r="EC45" i="21"/>
  <c r="EH44" i="21"/>
  <c r="EG44" i="21"/>
  <c r="EF44" i="21"/>
  <c r="EE44" i="21"/>
  <c r="ED44" i="21"/>
  <c r="EC44" i="21"/>
  <c r="EH43" i="21"/>
  <c r="EG43" i="21"/>
  <c r="EF43" i="21"/>
  <c r="EE43" i="21"/>
  <c r="ED43" i="21"/>
  <c r="EC43" i="21"/>
  <c r="EA45" i="21"/>
  <c r="DZ45" i="21"/>
  <c r="DY45" i="21"/>
  <c r="DX45" i="21"/>
  <c r="DW45" i="21"/>
  <c r="DV45" i="21"/>
  <c r="EA44" i="21"/>
  <c r="DZ44" i="21"/>
  <c r="DY44" i="21"/>
  <c r="DX44" i="21"/>
  <c r="DW44" i="21"/>
  <c r="DV44" i="21"/>
  <c r="EA43" i="21"/>
  <c r="DZ43" i="21"/>
  <c r="DY43" i="21"/>
  <c r="DX43" i="21"/>
  <c r="DW43" i="21"/>
  <c r="DV43" i="21"/>
  <c r="DT45" i="21"/>
  <c r="DS45" i="21"/>
  <c r="DR45" i="21"/>
  <c r="DQ45" i="21"/>
  <c r="DP45" i="21"/>
  <c r="DO45" i="21"/>
  <c r="DT44" i="21"/>
  <c r="DS44" i="21"/>
  <c r="DR44" i="21"/>
  <c r="DQ44" i="21"/>
  <c r="DP44" i="21"/>
  <c r="DO44" i="21"/>
  <c r="DT43" i="21"/>
  <c r="DS43" i="21"/>
  <c r="DR43" i="21"/>
  <c r="DQ43" i="21"/>
  <c r="DP43" i="21"/>
  <c r="DO43" i="21"/>
  <c r="DM45" i="21"/>
  <c r="DL45" i="21"/>
  <c r="DK45" i="21"/>
  <c r="DJ45" i="21"/>
  <c r="DI45" i="21"/>
  <c r="DH45" i="21"/>
  <c r="DM44" i="21"/>
  <c r="DL44" i="21"/>
  <c r="DK44" i="21"/>
  <c r="DJ44" i="21"/>
  <c r="DI44" i="21"/>
  <c r="DH44" i="21"/>
  <c r="DM43" i="21"/>
  <c r="DL43" i="21"/>
  <c r="DK43" i="21"/>
  <c r="DJ43" i="21"/>
  <c r="DI43" i="21"/>
  <c r="DH43" i="21"/>
  <c r="DA43" i="21"/>
  <c r="DB43" i="21"/>
  <c r="DC43" i="21"/>
  <c r="DD43" i="21"/>
  <c r="DE43" i="21"/>
  <c r="DF43" i="21"/>
  <c r="DA44" i="21"/>
  <c r="DB44" i="21"/>
  <c r="DC44" i="21"/>
  <c r="DD44" i="21"/>
  <c r="DE44" i="21"/>
  <c r="DF44" i="21"/>
  <c r="DA45" i="21"/>
  <c r="DB45" i="21"/>
  <c r="DC45" i="21"/>
  <c r="DD45" i="21"/>
  <c r="DE45" i="21"/>
  <c r="DF45" i="21"/>
  <c r="BL4" i="21"/>
  <c r="BE4" i="21"/>
  <c r="AX4" i="21"/>
  <c r="AQ4" i="21"/>
  <c r="AJ4" i="21"/>
  <c r="AC4" i="21"/>
  <c r="V4" i="21"/>
  <c r="O4" i="21"/>
  <c r="H4" i="21"/>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B6" i="21"/>
  <c r="BM4" i="21"/>
  <c r="BK4" i="21"/>
  <c r="BJ4" i="21"/>
  <c r="BI4" i="21"/>
  <c r="BH4" i="21"/>
  <c r="BF4" i="21"/>
  <c r="BD4" i="21"/>
  <c r="BC4" i="21"/>
  <c r="BB4" i="21"/>
  <c r="BA4" i="21"/>
  <c r="AY4" i="21"/>
  <c r="AW4" i="21"/>
  <c r="AV4" i="21"/>
  <c r="AU4" i="21"/>
  <c r="AT4" i="21"/>
  <c r="AR4" i="21"/>
  <c r="AP4" i="21"/>
  <c r="AO4" i="21"/>
  <c r="AN4" i="21"/>
  <c r="AM4" i="21"/>
  <c r="AK4" i="21"/>
  <c r="AI4" i="21"/>
  <c r="AH4" i="21"/>
  <c r="AG4" i="21"/>
  <c r="AF4" i="21"/>
  <c r="AD4" i="21"/>
  <c r="AB4" i="21"/>
  <c r="AA4" i="21"/>
  <c r="Z4" i="21"/>
  <c r="Y4" i="21"/>
  <c r="W4" i="21"/>
  <c r="U4" i="21"/>
  <c r="T4" i="21"/>
  <c r="S4" i="21"/>
  <c r="R4" i="21"/>
  <c r="P4" i="21"/>
  <c r="N4" i="21"/>
  <c r="M4" i="21"/>
  <c r="L4" i="21"/>
  <c r="K4" i="21"/>
  <c r="I4" i="21"/>
  <c r="G4" i="21"/>
  <c r="F4" i="21"/>
  <c r="E4" i="21"/>
  <c r="D4" i="21"/>
  <c r="BH3" i="21"/>
  <c r="BA3" i="21"/>
  <c r="AT3" i="21"/>
  <c r="AM3" i="21"/>
  <c r="AF3" i="21"/>
  <c r="Y3" i="21"/>
  <c r="R3" i="21"/>
  <c r="K3" i="21"/>
  <c r="D3" i="21"/>
  <c r="T110" i="5"/>
  <c r="T109" i="5"/>
  <c r="T108" i="5"/>
  <c r="T107" i="5"/>
  <c r="T106" i="5"/>
  <c r="T105" i="5"/>
  <c r="T104" i="5"/>
  <c r="T103" i="5"/>
  <c r="T102" i="5"/>
  <c r="T101" i="5"/>
  <c r="T100" i="5"/>
  <c r="T99" i="5"/>
  <c r="T98" i="5"/>
  <c r="T97" i="5"/>
  <c r="T96" i="5"/>
  <c r="T95" i="5"/>
  <c r="T94" i="5"/>
  <c r="T93" i="5"/>
  <c r="T92" i="5"/>
  <c r="T91" i="5"/>
  <c r="T90" i="5"/>
  <c r="T89" i="5"/>
  <c r="T88" i="5"/>
  <c r="T87" i="5"/>
  <c r="T86" i="5"/>
  <c r="T85" i="5"/>
  <c r="T84" i="5"/>
  <c r="T83" i="5"/>
  <c r="T82" i="5"/>
  <c r="T81" i="5"/>
  <c r="T80" i="5"/>
  <c r="T79" i="5"/>
  <c r="T78" i="5"/>
  <c r="T77" i="5"/>
  <c r="T76" i="5"/>
  <c r="T75" i="5"/>
  <c r="T74" i="5"/>
  <c r="T73" i="5"/>
  <c r="T72" i="5"/>
  <c r="T7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P110" i="5"/>
  <c r="P109" i="5"/>
  <c r="P108" i="5"/>
  <c r="P107" i="5"/>
  <c r="P106" i="5"/>
  <c r="P105" i="5"/>
  <c r="P104" i="5"/>
  <c r="P103" i="5"/>
  <c r="P102" i="5"/>
  <c r="P101" i="5"/>
  <c r="P100" i="5"/>
  <c r="P99" i="5"/>
  <c r="P98" i="5"/>
  <c r="P97" i="5"/>
  <c r="P96" i="5"/>
  <c r="P95" i="5"/>
  <c r="P94" i="5"/>
  <c r="P93" i="5"/>
  <c r="P92" i="5"/>
  <c r="P91" i="5"/>
  <c r="P90" i="5"/>
  <c r="P89" i="5"/>
  <c r="N110" i="5"/>
  <c r="N109" i="5"/>
  <c r="N108" i="5"/>
  <c r="N107" i="5"/>
  <c r="N106" i="5"/>
  <c r="N105" i="5"/>
  <c r="N104" i="5"/>
  <c r="N103" i="5"/>
  <c r="N102" i="5"/>
  <c r="N101" i="5"/>
  <c r="N100" i="5"/>
  <c r="N99" i="5"/>
  <c r="N98" i="5"/>
  <c r="N97" i="5"/>
  <c r="N96" i="5"/>
  <c r="N95" i="5"/>
  <c r="N94" i="5"/>
  <c r="N93" i="5"/>
  <c r="N92" i="5"/>
  <c r="N91" i="5"/>
  <c r="N90" i="5"/>
  <c r="N89" i="5"/>
  <c r="N88" i="5"/>
  <c r="N87" i="5"/>
  <c r="N86" i="5"/>
  <c r="N85" i="5"/>
  <c r="N84" i="5"/>
  <c r="N83" i="5"/>
  <c r="N82" i="5"/>
  <c r="N81" i="5"/>
  <c r="N80" i="5"/>
  <c r="H110" i="5"/>
  <c r="H109" i="5"/>
  <c r="F110" i="5"/>
  <c r="F109" i="5"/>
  <c r="F108" i="5"/>
  <c r="F107" i="5"/>
  <c r="F106" i="5"/>
  <c r="F105" i="5"/>
  <c r="F104" i="5"/>
  <c r="F103" i="5"/>
  <c r="F102" i="5"/>
  <c r="F101" i="5"/>
  <c r="F100" i="5"/>
  <c r="F99" i="5"/>
  <c r="F98" i="5"/>
  <c r="F97" i="5"/>
  <c r="F96" i="5"/>
  <c r="F95" i="5"/>
  <c r="F94" i="5"/>
  <c r="F93" i="5"/>
  <c r="F92" i="5"/>
  <c r="F91" i="5"/>
  <c r="F90" i="5"/>
  <c r="F89" i="5"/>
  <c r="F88" i="5"/>
  <c r="F87" i="5"/>
  <c r="F86"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S1" i="18"/>
  <c r="AE47" i="18"/>
  <c r="AF47" i="18"/>
  <c r="AG47" i="18"/>
  <c r="AH47" i="18"/>
  <c r="AI47" i="18"/>
  <c r="AJ47" i="18"/>
  <c r="AO24" i="18"/>
  <c r="AG25" i="18"/>
  <c r="AO25" i="18"/>
  <c r="AG26" i="18"/>
  <c r="AO26" i="18"/>
  <c r="AG27" i="18"/>
  <c r="AM27" i="18"/>
  <c r="AE28" i="18"/>
  <c r="AM28" i="18"/>
  <c r="AE29" i="18"/>
  <c r="AM29" i="18"/>
  <c r="AE30" i="18"/>
  <c r="AM30" i="18"/>
  <c r="AE31" i="18"/>
  <c r="AM31" i="18"/>
  <c r="AE32" i="18"/>
  <c r="AM32" i="18"/>
  <c r="AE33" i="18"/>
  <c r="AM33" i="18"/>
  <c r="AE34" i="18"/>
  <c r="AM34" i="18"/>
  <c r="AE35" i="18"/>
  <c r="AM35" i="18"/>
  <c r="AE36" i="18"/>
  <c r="AM36" i="18"/>
  <c r="AE37" i="18"/>
  <c r="AM37" i="18"/>
  <c r="AE38" i="18"/>
  <c r="AM38" i="18"/>
  <c r="AL38" i="18"/>
  <c r="AC25" i="18"/>
  <c r="AC26" i="18"/>
  <c r="AC27" i="18"/>
  <c r="AC28" i="18"/>
  <c r="AC29" i="18"/>
  <c r="AC30" i="18"/>
  <c r="AC31" i="18"/>
  <c r="AC32" i="18"/>
  <c r="AC33" i="18"/>
  <c r="AC34" i="18"/>
  <c r="AC35" i="18"/>
  <c r="AC36" i="18"/>
  <c r="AC37" i="18"/>
  <c r="AC38" i="18"/>
  <c r="AL37" i="18"/>
  <c r="AL36" i="18"/>
  <c r="AL35" i="18"/>
  <c r="AL34" i="18"/>
  <c r="AL33" i="18"/>
  <c r="AL32" i="18"/>
  <c r="AL31" i="18"/>
  <c r="AL30" i="18"/>
  <c r="AL29" i="18"/>
  <c r="AL28" i="18"/>
  <c r="AL27" i="18"/>
  <c r="AL26" i="18"/>
  <c r="AL25" i="18"/>
  <c r="AL24" i="18"/>
  <c r="G1" i="17"/>
  <c r="BO49" i="13"/>
  <c r="BO50" i="13"/>
  <c r="BO51" i="13"/>
  <c r="BO52" i="13"/>
  <c r="BO53" i="13"/>
  <c r="BO54" i="13"/>
  <c r="BO55" i="13"/>
  <c r="BO56" i="13"/>
  <c r="BO57" i="13"/>
  <c r="BO58" i="13"/>
  <c r="BO59" i="13"/>
  <c r="BO60" i="13"/>
  <c r="BO61" i="13"/>
  <c r="BO62" i="13"/>
  <c r="BO63" i="13"/>
  <c r="BO64" i="13"/>
  <c r="BO65" i="13"/>
  <c r="BO66" i="13"/>
  <c r="BO67" i="13"/>
  <c r="BO68" i="13"/>
  <c r="BO69" i="13"/>
  <c r="BO70" i="13"/>
  <c r="BO40" i="12"/>
  <c r="BO41" i="12"/>
  <c r="BO42" i="12"/>
  <c r="BO43" i="12"/>
  <c r="BO44" i="12"/>
  <c r="BO45" i="12"/>
  <c r="BO46" i="12"/>
  <c r="BO47" i="12"/>
  <c r="BO48" i="12"/>
  <c r="BO49" i="12"/>
  <c r="BO50" i="12"/>
  <c r="BO51" i="12"/>
  <c r="BO52" i="12"/>
  <c r="BO53" i="12"/>
  <c r="BO54" i="12"/>
  <c r="BO55" i="12"/>
  <c r="BO56" i="12"/>
  <c r="BO57" i="12"/>
  <c r="BO58" i="12"/>
  <c r="BO59" i="12"/>
  <c r="BO60" i="12"/>
  <c r="BO61" i="12"/>
  <c r="BO62" i="12"/>
  <c r="BO63" i="12"/>
  <c r="BO64" i="12"/>
  <c r="BO65" i="12"/>
  <c r="BO66" i="12"/>
  <c r="BO67" i="12"/>
  <c r="BO68" i="12"/>
  <c r="BO69" i="12"/>
  <c r="BO70" i="12"/>
  <c r="E47" i="5"/>
  <c r="F1" i="16"/>
  <c r="AX1" i="4"/>
  <c r="BB1" i="15"/>
  <c r="BB1" i="14"/>
  <c r="BB1" i="13"/>
  <c r="BB1" i="12"/>
  <c r="BB1" i="11"/>
  <c r="BB1" i="10"/>
  <c r="BB1" i="9"/>
  <c r="BB1" i="8"/>
  <c r="BB1" i="7"/>
  <c r="X42" i="16"/>
  <c r="W42" i="16"/>
  <c r="BG50" i="13"/>
  <c r="BG51" i="13"/>
  <c r="BG52" i="13"/>
  <c r="BG53" i="13"/>
  <c r="BG54" i="13"/>
  <c r="BG55" i="13"/>
  <c r="BG56" i="13"/>
  <c r="BG57" i="13"/>
  <c r="BG58" i="13"/>
  <c r="BG59" i="13"/>
  <c r="BG60" i="13"/>
  <c r="BG61" i="13"/>
  <c r="BG62" i="13"/>
  <c r="BG63" i="13"/>
  <c r="BG64" i="13"/>
  <c r="BG65" i="13"/>
  <c r="BG66" i="13"/>
  <c r="BG67" i="13"/>
  <c r="BG68" i="13"/>
  <c r="BG69" i="13"/>
  <c r="BG70" i="13"/>
  <c r="V42" i="16"/>
  <c r="BG41" i="12"/>
  <c r="BG42" i="12"/>
  <c r="BG43" i="12"/>
  <c r="BG44" i="12"/>
  <c r="BG45" i="12"/>
  <c r="BG46" i="12"/>
  <c r="BG47" i="12"/>
  <c r="BG48" i="12"/>
  <c r="BG49" i="12"/>
  <c r="BG50" i="12"/>
  <c r="BG51" i="12"/>
  <c r="BG52" i="12"/>
  <c r="BG53" i="12"/>
  <c r="BG54" i="12"/>
  <c r="BG55" i="12"/>
  <c r="BG56" i="12"/>
  <c r="BG57" i="12"/>
  <c r="BG58" i="12"/>
  <c r="BG59" i="12"/>
  <c r="BG60" i="12"/>
  <c r="BG61" i="12"/>
  <c r="BG62" i="12"/>
  <c r="BG63" i="12"/>
  <c r="BG64" i="12"/>
  <c r="BG65" i="12"/>
  <c r="BG66" i="12"/>
  <c r="BG67" i="12"/>
  <c r="BG68" i="12"/>
  <c r="BG69" i="12"/>
  <c r="BG70" i="12"/>
  <c r="U42" i="16"/>
  <c r="T42" i="16"/>
  <c r="S42" i="16"/>
  <c r="R42" i="16"/>
  <c r="Q42" i="16"/>
  <c r="P42" i="16"/>
  <c r="C50" i="4"/>
  <c r="AW4" i="4"/>
  <c r="AV4" i="4"/>
  <c r="C48" i="4"/>
  <c r="AU4" i="4"/>
  <c r="C47" i="4"/>
  <c r="AT4" i="4"/>
  <c r="C46" i="4"/>
  <c r="AS4" i="4"/>
  <c r="C45" i="4"/>
  <c r="AR4" i="4"/>
  <c r="C44" i="4"/>
  <c r="AQ4" i="4"/>
  <c r="C43" i="4"/>
  <c r="AP4" i="4"/>
  <c r="C42" i="4"/>
  <c r="AO4" i="4"/>
  <c r="C41" i="4"/>
  <c r="AN4" i="4"/>
  <c r="C40" i="4"/>
  <c r="AM4" i="4"/>
  <c r="C39" i="4"/>
  <c r="AL4" i="4"/>
  <c r="C38" i="4"/>
  <c r="AK4" i="4"/>
  <c r="C37" i="4"/>
  <c r="AJ4" i="4"/>
  <c r="C36" i="4"/>
  <c r="AI4" i="4"/>
  <c r="C35" i="4"/>
  <c r="AH4" i="4"/>
  <c r="C34" i="4"/>
  <c r="AG4" i="4"/>
  <c r="C33" i="4"/>
  <c r="AF4" i="4"/>
  <c r="C32" i="4"/>
  <c r="AE4" i="4"/>
  <c r="C31" i="4"/>
  <c r="AD4" i="4"/>
  <c r="C30" i="4"/>
  <c r="AC4" i="4"/>
  <c r="C29" i="4"/>
  <c r="AB4" i="4"/>
  <c r="C28" i="4"/>
  <c r="AA4" i="4"/>
  <c r="C27" i="4"/>
  <c r="Z4" i="4"/>
  <c r="C26" i="4"/>
  <c r="Y4" i="4"/>
  <c r="C25" i="4"/>
  <c r="X4" i="4"/>
  <c r="C24" i="4"/>
  <c r="W4" i="4"/>
  <c r="C23" i="4"/>
  <c r="V4" i="4"/>
  <c r="C22" i="4"/>
  <c r="U4" i="4"/>
  <c r="C21" i="4"/>
  <c r="T4" i="4"/>
  <c r="C5" i="4"/>
  <c r="D4" i="4"/>
  <c r="D5" i="4"/>
  <c r="AX2" i="4"/>
  <c r="AY2" i="4"/>
  <c r="AW2" i="4"/>
  <c r="B6" i="4"/>
  <c r="E3" i="4"/>
  <c r="B7" i="4"/>
  <c r="F3" i="4"/>
  <c r="B8" i="4"/>
  <c r="G3" i="4"/>
  <c r="B9" i="4"/>
  <c r="H3" i="4"/>
  <c r="C4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 i="4"/>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11" i="3"/>
  <c r="A3" i="3"/>
  <c r="BS39" i="12"/>
  <c r="BU39" i="12"/>
  <c r="I7" i="3"/>
  <c r="I6" i="3"/>
  <c r="D8" i="3"/>
  <c r="D7" i="3"/>
  <c r="P20" i="16"/>
  <c r="Q20" i="16"/>
  <c r="R20" i="16"/>
  <c r="S20" i="16"/>
  <c r="T20" i="16"/>
  <c r="U20" i="16"/>
  <c r="P21" i="16"/>
  <c r="Q21" i="16"/>
  <c r="R21" i="16"/>
  <c r="S21" i="16"/>
  <c r="T21" i="16"/>
  <c r="U21" i="16"/>
  <c r="P35" i="16"/>
  <c r="P36" i="16"/>
  <c r="P23" i="16"/>
  <c r="Q23" i="16"/>
  <c r="R23" i="16"/>
  <c r="S23" i="16"/>
  <c r="T23" i="16"/>
  <c r="U23" i="16"/>
  <c r="P24" i="16"/>
  <c r="Q24" i="16"/>
  <c r="R24" i="16"/>
  <c r="S24" i="16"/>
  <c r="T24" i="16"/>
  <c r="U24" i="16"/>
  <c r="R26" i="16"/>
  <c r="T26" i="16"/>
  <c r="Z58" i="16"/>
  <c r="Q41" i="16"/>
  <c r="R41" i="16"/>
  <c r="S41" i="16"/>
  <c r="T41" i="16"/>
  <c r="U41" i="16"/>
  <c r="V41" i="16"/>
  <c r="W41" i="16"/>
  <c r="X41" i="16"/>
  <c r="N39" i="16"/>
  <c r="U33" i="16"/>
  <c r="U34" i="16"/>
  <c r="T33" i="16"/>
  <c r="T34" i="16"/>
  <c r="S33" i="16"/>
  <c r="S34" i="16"/>
  <c r="R33" i="16"/>
  <c r="R34" i="16"/>
  <c r="Q33" i="16"/>
  <c r="Q34" i="16"/>
  <c r="P33" i="16"/>
  <c r="P34" i="16"/>
  <c r="O34" i="16"/>
  <c r="O33" i="16"/>
  <c r="N32" i="16"/>
  <c r="N27" i="16"/>
  <c r="N12" i="16"/>
  <c r="B11" i="16"/>
  <c r="I8" i="16"/>
  <c r="H6" i="16"/>
  <c r="I6" i="16"/>
  <c r="BB70" i="15"/>
  <c r="BB69" i="15"/>
  <c r="BB68" i="15"/>
  <c r="BB67" i="15"/>
  <c r="BB66" i="15"/>
  <c r="BB65" i="15"/>
  <c r="BB64" i="15"/>
  <c r="BB63" i="15"/>
  <c r="BB62" i="15"/>
  <c r="BB61" i="15"/>
  <c r="BB60" i="15"/>
  <c r="BB59" i="15"/>
  <c r="BB58" i="15"/>
  <c r="BB57" i="15"/>
  <c r="BB56" i="15"/>
  <c r="BB55" i="15"/>
  <c r="BB54" i="15"/>
  <c r="BB53" i="15"/>
  <c r="BB52" i="15"/>
  <c r="BB51" i="15"/>
  <c r="BB50" i="15"/>
  <c r="BB49" i="15"/>
  <c r="BB48" i="15"/>
  <c r="BB47" i="15"/>
  <c r="BB46" i="15"/>
  <c r="BB45" i="15"/>
  <c r="BB44" i="15"/>
  <c r="BB43" i="15"/>
  <c r="BB42" i="15"/>
  <c r="BB41" i="15"/>
  <c r="BB40" i="15"/>
  <c r="BB39" i="15"/>
  <c r="BB38" i="15"/>
  <c r="BB37" i="15"/>
  <c r="BB36" i="15"/>
  <c r="BB35" i="15"/>
  <c r="BB34" i="15"/>
  <c r="BB33" i="15"/>
  <c r="BB70" i="14"/>
  <c r="BB69" i="14"/>
  <c r="BB68" i="14"/>
  <c r="BB67" i="14"/>
  <c r="BB66" i="14"/>
  <c r="BB65" i="14"/>
  <c r="BB64" i="14"/>
  <c r="BB63" i="14"/>
  <c r="BB62" i="14"/>
  <c r="BB61" i="14"/>
  <c r="BB60" i="14"/>
  <c r="BB59" i="14"/>
  <c r="BB58" i="14"/>
  <c r="BB57" i="14"/>
  <c r="BB56" i="14"/>
  <c r="BB55" i="14"/>
  <c r="BB54" i="14"/>
  <c r="BB53" i="14"/>
  <c r="BB52" i="14"/>
  <c r="BB51" i="14"/>
  <c r="BB50" i="14"/>
  <c r="BB49" i="14"/>
  <c r="BB48" i="14"/>
  <c r="BB47" i="14"/>
  <c r="BB46" i="14"/>
  <c r="BB45" i="14"/>
  <c r="BB44" i="14"/>
  <c r="BB43" i="14"/>
  <c r="BB42" i="14"/>
  <c r="BB41" i="14"/>
  <c r="BB40" i="14"/>
  <c r="BB39" i="14"/>
  <c r="BB38" i="14"/>
  <c r="BB37" i="14"/>
  <c r="BU70" i="13"/>
  <c r="BT70" i="13"/>
  <c r="BS70" i="13"/>
  <c r="BR70" i="13"/>
  <c r="BQ70" i="13"/>
  <c r="BP70" i="13"/>
  <c r="BN70" i="13"/>
  <c r="BM70" i="13"/>
  <c r="BL70" i="13"/>
  <c r="BJ70" i="13"/>
  <c r="BI70" i="13"/>
  <c r="BH70" i="13"/>
  <c r="BB70" i="13"/>
  <c r="BU69" i="13"/>
  <c r="BT69" i="13"/>
  <c r="BS69" i="13"/>
  <c r="BR69" i="13"/>
  <c r="BQ69" i="13"/>
  <c r="BP69" i="13"/>
  <c r="BN69" i="13"/>
  <c r="BM69" i="13"/>
  <c r="BL69" i="13"/>
  <c r="BJ69" i="13"/>
  <c r="BI69" i="13"/>
  <c r="BH69" i="13"/>
  <c r="BB69" i="13"/>
  <c r="BU68" i="13"/>
  <c r="BT68" i="13"/>
  <c r="BS68" i="13"/>
  <c r="BR68" i="13"/>
  <c r="BQ68" i="13"/>
  <c r="BP68" i="13"/>
  <c r="BN68" i="13"/>
  <c r="BM68" i="13"/>
  <c r="BL68" i="13"/>
  <c r="BJ68" i="13"/>
  <c r="BI68" i="13"/>
  <c r="BH68" i="13"/>
  <c r="BB68" i="13"/>
  <c r="BU67" i="13"/>
  <c r="BT67" i="13"/>
  <c r="BS67" i="13"/>
  <c r="BR67" i="13"/>
  <c r="BQ67" i="13"/>
  <c r="BP67" i="13"/>
  <c r="BN67" i="13"/>
  <c r="BM67" i="13"/>
  <c r="BL67" i="13"/>
  <c r="BJ67" i="13"/>
  <c r="BI67" i="13"/>
  <c r="BH67" i="13"/>
  <c r="BB67" i="13"/>
  <c r="BU66" i="13"/>
  <c r="BT66" i="13"/>
  <c r="BS66" i="13"/>
  <c r="BR66" i="13"/>
  <c r="BQ66" i="13"/>
  <c r="BP66" i="13"/>
  <c r="BN66" i="13"/>
  <c r="BM66" i="13"/>
  <c r="BL66" i="13"/>
  <c r="BJ66" i="13"/>
  <c r="BI66" i="13"/>
  <c r="BH66" i="13"/>
  <c r="BB66" i="13"/>
  <c r="BU65" i="13"/>
  <c r="BT65" i="13"/>
  <c r="BS65" i="13"/>
  <c r="BR65" i="13"/>
  <c r="BQ65" i="13"/>
  <c r="BP65" i="13"/>
  <c r="BN65" i="13"/>
  <c r="BM65" i="13"/>
  <c r="BL65" i="13"/>
  <c r="BJ65" i="13"/>
  <c r="BI65" i="13"/>
  <c r="BH65" i="13"/>
  <c r="BB65" i="13"/>
  <c r="BU64" i="13"/>
  <c r="BT64" i="13"/>
  <c r="BS64" i="13"/>
  <c r="BR64" i="13"/>
  <c r="BQ64" i="13"/>
  <c r="BP64" i="13"/>
  <c r="BN64" i="13"/>
  <c r="BM64" i="13"/>
  <c r="BL64" i="13"/>
  <c r="BJ64" i="13"/>
  <c r="BI64" i="13"/>
  <c r="BH64" i="13"/>
  <c r="BB64" i="13"/>
  <c r="BU63" i="13"/>
  <c r="BT63" i="13"/>
  <c r="BS63" i="13"/>
  <c r="BR63" i="13"/>
  <c r="BQ63" i="13"/>
  <c r="BP63" i="13"/>
  <c r="BN63" i="13"/>
  <c r="BM63" i="13"/>
  <c r="BL63" i="13"/>
  <c r="BJ63" i="13"/>
  <c r="BI63" i="13"/>
  <c r="BH63" i="13"/>
  <c r="BB63" i="13"/>
  <c r="BU62" i="13"/>
  <c r="BT62" i="13"/>
  <c r="BS62" i="13"/>
  <c r="BR62" i="13"/>
  <c r="BQ62" i="13"/>
  <c r="BP62" i="13"/>
  <c r="BN62" i="13"/>
  <c r="BM62" i="13"/>
  <c r="BL62" i="13"/>
  <c r="BJ62" i="13"/>
  <c r="BI62" i="13"/>
  <c r="BH62" i="13"/>
  <c r="BB62" i="13"/>
  <c r="BU61" i="13"/>
  <c r="BT61" i="13"/>
  <c r="BS61" i="13"/>
  <c r="BR61" i="13"/>
  <c r="BQ61" i="13"/>
  <c r="BP61" i="13"/>
  <c r="BN61" i="13"/>
  <c r="BM61" i="13"/>
  <c r="BL61" i="13"/>
  <c r="BJ61" i="13"/>
  <c r="BI61" i="13"/>
  <c r="BH61" i="13"/>
  <c r="BB61" i="13"/>
  <c r="BU60" i="13"/>
  <c r="BT60" i="13"/>
  <c r="BS60" i="13"/>
  <c r="BR60" i="13"/>
  <c r="BQ60" i="13"/>
  <c r="BP60" i="13"/>
  <c r="BN60" i="13"/>
  <c r="BM60" i="13"/>
  <c r="BL60" i="13"/>
  <c r="BJ60" i="13"/>
  <c r="BI60" i="13"/>
  <c r="BH60" i="13"/>
  <c r="BB60" i="13"/>
  <c r="BU59" i="13"/>
  <c r="BT59" i="13"/>
  <c r="BS59" i="13"/>
  <c r="BR59" i="13"/>
  <c r="BQ59" i="13"/>
  <c r="BP59" i="13"/>
  <c r="BN59" i="13"/>
  <c r="BM59" i="13"/>
  <c r="BL59" i="13"/>
  <c r="BJ59" i="13"/>
  <c r="BI59" i="13"/>
  <c r="BH59" i="13"/>
  <c r="BB59" i="13"/>
  <c r="BU58" i="13"/>
  <c r="BT58" i="13"/>
  <c r="BS58" i="13"/>
  <c r="BR58" i="13"/>
  <c r="BQ58" i="13"/>
  <c r="BP58" i="13"/>
  <c r="BN58" i="13"/>
  <c r="BM58" i="13"/>
  <c r="BL58" i="13"/>
  <c r="BJ58" i="13"/>
  <c r="BI58" i="13"/>
  <c r="BH58" i="13"/>
  <c r="BB58" i="13"/>
  <c r="BU57" i="13"/>
  <c r="BT57" i="13"/>
  <c r="BS57" i="13"/>
  <c r="BR57" i="13"/>
  <c r="BQ57" i="13"/>
  <c r="BP57" i="13"/>
  <c r="BN57" i="13"/>
  <c r="BM57" i="13"/>
  <c r="BL57" i="13"/>
  <c r="BJ57" i="13"/>
  <c r="BI57" i="13"/>
  <c r="BH57" i="13"/>
  <c r="BB57" i="13"/>
  <c r="BU56" i="13"/>
  <c r="BT56" i="13"/>
  <c r="BS56" i="13"/>
  <c r="BR56" i="13"/>
  <c r="BQ56" i="13"/>
  <c r="BP56" i="13"/>
  <c r="BN56" i="13"/>
  <c r="BM56" i="13"/>
  <c r="BL56" i="13"/>
  <c r="BJ56" i="13"/>
  <c r="BI56" i="13"/>
  <c r="BH56" i="13"/>
  <c r="BB56" i="13"/>
  <c r="BU55" i="13"/>
  <c r="BT55" i="13"/>
  <c r="BS55" i="13"/>
  <c r="BR55" i="13"/>
  <c r="BQ55" i="13"/>
  <c r="BP55" i="13"/>
  <c r="BN55" i="13"/>
  <c r="BM55" i="13"/>
  <c r="BL55" i="13"/>
  <c r="BJ55" i="13"/>
  <c r="BI55" i="13"/>
  <c r="BH55" i="13"/>
  <c r="BB55" i="13"/>
  <c r="BU54" i="13"/>
  <c r="BT54" i="13"/>
  <c r="BS54" i="13"/>
  <c r="BR54" i="13"/>
  <c r="BQ54" i="13"/>
  <c r="BP54" i="13"/>
  <c r="BN54" i="13"/>
  <c r="BM54" i="13"/>
  <c r="BL54" i="13"/>
  <c r="BJ54" i="13"/>
  <c r="BI54" i="13"/>
  <c r="BH54" i="13"/>
  <c r="BB54" i="13"/>
  <c r="BU53" i="13"/>
  <c r="BT53" i="13"/>
  <c r="BS53" i="13"/>
  <c r="BR53" i="13"/>
  <c r="BQ53" i="13"/>
  <c r="BP53" i="13"/>
  <c r="BN53" i="13"/>
  <c r="BM53" i="13"/>
  <c r="BL53" i="13"/>
  <c r="BJ53" i="13"/>
  <c r="BI53" i="13"/>
  <c r="BH53" i="13"/>
  <c r="BB53" i="13"/>
  <c r="BU52" i="13"/>
  <c r="BT52" i="13"/>
  <c r="BS52" i="13"/>
  <c r="BR52" i="13"/>
  <c r="BQ52" i="13"/>
  <c r="BP52" i="13"/>
  <c r="BN52" i="13"/>
  <c r="BM52" i="13"/>
  <c r="BL52" i="13"/>
  <c r="BJ52" i="13"/>
  <c r="BI52" i="13"/>
  <c r="BH52" i="13"/>
  <c r="BB52" i="13"/>
  <c r="BU51" i="13"/>
  <c r="BT51" i="13"/>
  <c r="BS51" i="13"/>
  <c r="BR51" i="13"/>
  <c r="BQ51" i="13"/>
  <c r="BP51" i="13"/>
  <c r="BN51" i="13"/>
  <c r="BM51" i="13"/>
  <c r="BL51" i="13"/>
  <c r="BJ51" i="13"/>
  <c r="BI51" i="13"/>
  <c r="BH51" i="13"/>
  <c r="BB51" i="13"/>
  <c r="BU50" i="13"/>
  <c r="BT50" i="13"/>
  <c r="BS50" i="13"/>
  <c r="BR50" i="13"/>
  <c r="BQ50" i="13"/>
  <c r="BP50" i="13"/>
  <c r="BN50" i="13"/>
  <c r="BM50" i="13"/>
  <c r="BL50" i="13"/>
  <c r="BJ50" i="13"/>
  <c r="BI50" i="13"/>
  <c r="BH50" i="13"/>
  <c r="BU49" i="13"/>
  <c r="BT49" i="13"/>
  <c r="BS49" i="13"/>
  <c r="BR49" i="13"/>
  <c r="BQ49" i="13"/>
  <c r="BP49" i="13"/>
  <c r="BM49" i="13"/>
  <c r="BN49" i="13"/>
  <c r="BL49" i="13"/>
  <c r="BJ49" i="13"/>
  <c r="BH49" i="13"/>
  <c r="BQ48" i="13"/>
  <c r="BQ47" i="13"/>
  <c r="BQ46" i="13"/>
  <c r="BT45" i="13"/>
  <c r="BQ45" i="13"/>
  <c r="BT44" i="13"/>
  <c r="BQ44" i="13"/>
  <c r="BT43" i="13"/>
  <c r="BQ43" i="13"/>
  <c r="BQ42" i="13"/>
  <c r="BQ41" i="13"/>
  <c r="BQ40" i="13"/>
  <c r="BQ39" i="13"/>
  <c r="BQ38" i="13"/>
  <c r="BT37" i="13"/>
  <c r="BQ37" i="13"/>
  <c r="BT36" i="13"/>
  <c r="BQ36" i="13"/>
  <c r="BT35" i="13"/>
  <c r="BQ35" i="13"/>
  <c r="BT34" i="13"/>
  <c r="BQ34" i="13"/>
  <c r="BQ33" i="13"/>
  <c r="BQ32" i="13"/>
  <c r="BT31" i="13"/>
  <c r="BQ31" i="13"/>
  <c r="BT30" i="13"/>
  <c r="BQ30" i="13"/>
  <c r="BT29" i="13"/>
  <c r="BQ29" i="13"/>
  <c r="BT28" i="13"/>
  <c r="BQ28" i="13"/>
  <c r="BT27" i="13"/>
  <c r="BQ27" i="13"/>
  <c r="BT26" i="13"/>
  <c r="BQ26" i="13"/>
  <c r="BT25" i="13"/>
  <c r="BQ25" i="13"/>
  <c r="BT24" i="13"/>
  <c r="BQ24" i="13"/>
  <c r="BT23" i="13"/>
  <c r="BQ23" i="13"/>
  <c r="BT22" i="13"/>
  <c r="BQ22" i="13"/>
  <c r="BQ21" i="13"/>
  <c r="BT20" i="13"/>
  <c r="BQ20" i="13"/>
  <c r="BT19" i="13"/>
  <c r="BQ19" i="13"/>
  <c r="BT18" i="13"/>
  <c r="BQ18" i="13"/>
  <c r="BT17" i="13"/>
  <c r="BQ17" i="13"/>
  <c r="BT16" i="13"/>
  <c r="BQ16" i="13"/>
  <c r="BT15" i="13"/>
  <c r="BQ15" i="13"/>
  <c r="BQ14" i="13"/>
  <c r="BT13" i="13"/>
  <c r="BQ13" i="13"/>
  <c r="BT12" i="13"/>
  <c r="BQ12" i="13"/>
  <c r="BQ11" i="13"/>
  <c r="BU70" i="12"/>
  <c r="BT70" i="12"/>
  <c r="BS70" i="12"/>
  <c r="BR70" i="12"/>
  <c r="BQ70" i="12"/>
  <c r="BP70" i="12"/>
  <c r="BN70" i="12"/>
  <c r="BM70" i="12"/>
  <c r="BL70" i="12"/>
  <c r="BJ70" i="12"/>
  <c r="BI70" i="12"/>
  <c r="BH70" i="12"/>
  <c r="BB70" i="12"/>
  <c r="BU69" i="12"/>
  <c r="BT69" i="12"/>
  <c r="BS69" i="12"/>
  <c r="BR69" i="12"/>
  <c r="BQ69" i="12"/>
  <c r="BP69" i="12"/>
  <c r="BN69" i="12"/>
  <c r="BM69" i="12"/>
  <c r="BL69" i="12"/>
  <c r="BJ69" i="12"/>
  <c r="BI69" i="12"/>
  <c r="BH69" i="12"/>
  <c r="BB69" i="12"/>
  <c r="BU68" i="12"/>
  <c r="BT68" i="12"/>
  <c r="BS68" i="12"/>
  <c r="BR68" i="12"/>
  <c r="BQ68" i="12"/>
  <c r="BP68" i="12"/>
  <c r="BN68" i="12"/>
  <c r="BM68" i="12"/>
  <c r="BL68" i="12"/>
  <c r="BJ68" i="12"/>
  <c r="BI68" i="12"/>
  <c r="BH68" i="12"/>
  <c r="BB68" i="12"/>
  <c r="BU67" i="12"/>
  <c r="BT67" i="12"/>
  <c r="BS67" i="12"/>
  <c r="BR67" i="12"/>
  <c r="BQ67" i="12"/>
  <c r="BP67" i="12"/>
  <c r="BN67" i="12"/>
  <c r="BM67" i="12"/>
  <c r="BL67" i="12"/>
  <c r="BJ67" i="12"/>
  <c r="BI67" i="12"/>
  <c r="BH67" i="12"/>
  <c r="BB67" i="12"/>
  <c r="BU66" i="12"/>
  <c r="BT66" i="12"/>
  <c r="BS66" i="12"/>
  <c r="BR66" i="12"/>
  <c r="BQ66" i="12"/>
  <c r="BP66" i="12"/>
  <c r="BN66" i="12"/>
  <c r="BM66" i="12"/>
  <c r="BL66" i="12"/>
  <c r="BJ66" i="12"/>
  <c r="BI66" i="12"/>
  <c r="BH66" i="12"/>
  <c r="BB66" i="12"/>
  <c r="BU65" i="12"/>
  <c r="BT65" i="12"/>
  <c r="BS65" i="12"/>
  <c r="BR65" i="12"/>
  <c r="BQ65" i="12"/>
  <c r="BP65" i="12"/>
  <c r="BN65" i="12"/>
  <c r="BM65" i="12"/>
  <c r="BL65" i="12"/>
  <c r="BJ65" i="12"/>
  <c r="BI65" i="12"/>
  <c r="BH65" i="12"/>
  <c r="BB65" i="12"/>
  <c r="BU64" i="12"/>
  <c r="BT64" i="12"/>
  <c r="BS64" i="12"/>
  <c r="BR64" i="12"/>
  <c r="BQ64" i="12"/>
  <c r="BP64" i="12"/>
  <c r="BN64" i="12"/>
  <c r="BM64" i="12"/>
  <c r="BL64" i="12"/>
  <c r="BJ64" i="12"/>
  <c r="BI64" i="12"/>
  <c r="BH64" i="12"/>
  <c r="BB64" i="12"/>
  <c r="BU63" i="12"/>
  <c r="BT63" i="12"/>
  <c r="BS63" i="12"/>
  <c r="BR63" i="12"/>
  <c r="BQ63" i="12"/>
  <c r="BP63" i="12"/>
  <c r="BN63" i="12"/>
  <c r="BM63" i="12"/>
  <c r="BL63" i="12"/>
  <c r="BJ63" i="12"/>
  <c r="BI63" i="12"/>
  <c r="BH63" i="12"/>
  <c r="BB63" i="12"/>
  <c r="BU62" i="12"/>
  <c r="BT62" i="12"/>
  <c r="BS62" i="12"/>
  <c r="BR62" i="12"/>
  <c r="BQ62" i="12"/>
  <c r="BP62" i="12"/>
  <c r="BN62" i="12"/>
  <c r="BM62" i="12"/>
  <c r="BL62" i="12"/>
  <c r="BJ62" i="12"/>
  <c r="BI62" i="12"/>
  <c r="BH62" i="12"/>
  <c r="BB62" i="12"/>
  <c r="BU61" i="12"/>
  <c r="BT61" i="12"/>
  <c r="BS61" i="12"/>
  <c r="BR61" i="12"/>
  <c r="BQ61" i="12"/>
  <c r="BP61" i="12"/>
  <c r="BN61" i="12"/>
  <c r="BM61" i="12"/>
  <c r="BL61" i="12"/>
  <c r="BJ61" i="12"/>
  <c r="BI61" i="12"/>
  <c r="BH61" i="12"/>
  <c r="BB61" i="12"/>
  <c r="BU60" i="12"/>
  <c r="BT60" i="12"/>
  <c r="BS60" i="12"/>
  <c r="BR60" i="12"/>
  <c r="BQ60" i="12"/>
  <c r="BP60" i="12"/>
  <c r="BN60" i="12"/>
  <c r="BM60" i="12"/>
  <c r="BL60" i="12"/>
  <c r="BJ60" i="12"/>
  <c r="BI60" i="12"/>
  <c r="BH60" i="12"/>
  <c r="BB60" i="12"/>
  <c r="BU59" i="12"/>
  <c r="BT59" i="12"/>
  <c r="BS59" i="12"/>
  <c r="BR59" i="12"/>
  <c r="BQ59" i="12"/>
  <c r="BP59" i="12"/>
  <c r="BN59" i="12"/>
  <c r="BM59" i="12"/>
  <c r="BL59" i="12"/>
  <c r="BJ59" i="12"/>
  <c r="BI59" i="12"/>
  <c r="BH59" i="12"/>
  <c r="BB59" i="12"/>
  <c r="BU58" i="12"/>
  <c r="BT58" i="12"/>
  <c r="BS58" i="12"/>
  <c r="BR58" i="12"/>
  <c r="BQ58" i="12"/>
  <c r="BP58" i="12"/>
  <c r="BN58" i="12"/>
  <c r="BM58" i="12"/>
  <c r="BL58" i="12"/>
  <c r="BJ58" i="12"/>
  <c r="BI58" i="12"/>
  <c r="BH58" i="12"/>
  <c r="BB58" i="12"/>
  <c r="BU57" i="12"/>
  <c r="BT57" i="12"/>
  <c r="BS57" i="12"/>
  <c r="BR57" i="12"/>
  <c r="BQ57" i="12"/>
  <c r="BP57" i="12"/>
  <c r="BN57" i="12"/>
  <c r="BM57" i="12"/>
  <c r="BL57" i="12"/>
  <c r="BJ57" i="12"/>
  <c r="BI57" i="12"/>
  <c r="BH57" i="12"/>
  <c r="BB57" i="12"/>
  <c r="BU56" i="12"/>
  <c r="BT56" i="12"/>
  <c r="BS56" i="12"/>
  <c r="BR56" i="12"/>
  <c r="BQ56" i="12"/>
  <c r="BP56" i="12"/>
  <c r="BN56" i="12"/>
  <c r="BM56" i="12"/>
  <c r="BL56" i="12"/>
  <c r="BJ56" i="12"/>
  <c r="BI56" i="12"/>
  <c r="BH56" i="12"/>
  <c r="BB56" i="12"/>
  <c r="BU55" i="12"/>
  <c r="BT55" i="12"/>
  <c r="BS55" i="12"/>
  <c r="BR55" i="12"/>
  <c r="BQ55" i="12"/>
  <c r="BP55" i="12"/>
  <c r="BN55" i="12"/>
  <c r="BM55" i="12"/>
  <c r="BL55" i="12"/>
  <c r="BJ55" i="12"/>
  <c r="BI55" i="12"/>
  <c r="BH55" i="12"/>
  <c r="BB55" i="12"/>
  <c r="BU54" i="12"/>
  <c r="BT54" i="12"/>
  <c r="BS54" i="12"/>
  <c r="BR54" i="12"/>
  <c r="BQ54" i="12"/>
  <c r="BP54" i="12"/>
  <c r="BN54" i="12"/>
  <c r="BM54" i="12"/>
  <c r="BL54" i="12"/>
  <c r="BJ54" i="12"/>
  <c r="BI54" i="12"/>
  <c r="BH54" i="12"/>
  <c r="BB54" i="12"/>
  <c r="BU53" i="12"/>
  <c r="BT53" i="12"/>
  <c r="BS53" i="12"/>
  <c r="BR53" i="12"/>
  <c r="BQ53" i="12"/>
  <c r="BP53" i="12"/>
  <c r="BN53" i="12"/>
  <c r="BM53" i="12"/>
  <c r="BL53" i="12"/>
  <c r="BJ53" i="12"/>
  <c r="BI53" i="12"/>
  <c r="BH53" i="12"/>
  <c r="BB53" i="12"/>
  <c r="BU52" i="12"/>
  <c r="BT52" i="12"/>
  <c r="BS52" i="12"/>
  <c r="BR52" i="12"/>
  <c r="BQ52" i="12"/>
  <c r="BP52" i="12"/>
  <c r="BN52" i="12"/>
  <c r="BM52" i="12"/>
  <c r="BL52" i="12"/>
  <c r="BJ52" i="12"/>
  <c r="BI52" i="12"/>
  <c r="BH52" i="12"/>
  <c r="BB52" i="12"/>
  <c r="BU51" i="12"/>
  <c r="BT51" i="12"/>
  <c r="BS51" i="12"/>
  <c r="BR51" i="12"/>
  <c r="BQ51" i="12"/>
  <c r="BP51" i="12"/>
  <c r="BN51" i="12"/>
  <c r="BM51" i="12"/>
  <c r="BL51" i="12"/>
  <c r="BJ51" i="12"/>
  <c r="BI51" i="12"/>
  <c r="BH51" i="12"/>
  <c r="BB51" i="12"/>
  <c r="BU50" i="12"/>
  <c r="BT50" i="12"/>
  <c r="BS50" i="12"/>
  <c r="BR50" i="12"/>
  <c r="BQ50" i="12"/>
  <c r="BP50" i="12"/>
  <c r="BN50" i="12"/>
  <c r="BM50" i="12"/>
  <c r="BL50" i="12"/>
  <c r="BJ50" i="12"/>
  <c r="BI50" i="12"/>
  <c r="BH50" i="12"/>
  <c r="BB50" i="12"/>
  <c r="BU49" i="12"/>
  <c r="BT49" i="12"/>
  <c r="BS49" i="12"/>
  <c r="BR49" i="12"/>
  <c r="BQ49" i="12"/>
  <c r="BP49" i="12"/>
  <c r="BN49" i="12"/>
  <c r="BM49" i="12"/>
  <c r="BL49" i="12"/>
  <c r="BJ49" i="12"/>
  <c r="BI49" i="12"/>
  <c r="BH49" i="12"/>
  <c r="BB49" i="12"/>
  <c r="BU48" i="12"/>
  <c r="BT48" i="12"/>
  <c r="BS48" i="12"/>
  <c r="BR48" i="12"/>
  <c r="BQ48" i="12"/>
  <c r="BP48" i="12"/>
  <c r="BN48" i="12"/>
  <c r="BM48" i="12"/>
  <c r="BL48" i="12"/>
  <c r="BJ48" i="12"/>
  <c r="BI48" i="12"/>
  <c r="BH48" i="12"/>
  <c r="BB48" i="12"/>
  <c r="BU47" i="12"/>
  <c r="BT47" i="12"/>
  <c r="BS47" i="12"/>
  <c r="BR47" i="12"/>
  <c r="BQ47" i="12"/>
  <c r="BP47" i="12"/>
  <c r="BN47" i="12"/>
  <c r="BM47" i="12"/>
  <c r="BL47" i="12"/>
  <c r="BJ47" i="12"/>
  <c r="BI47" i="12"/>
  <c r="BH47" i="12"/>
  <c r="BB47" i="12"/>
  <c r="BU46" i="12"/>
  <c r="BT46" i="12"/>
  <c r="BS46" i="12"/>
  <c r="BR46" i="12"/>
  <c r="BQ46" i="12"/>
  <c r="BP46" i="12"/>
  <c r="BN46" i="12"/>
  <c r="BM46" i="12"/>
  <c r="BL46" i="12"/>
  <c r="BJ46" i="12"/>
  <c r="BI46" i="12"/>
  <c r="BH46" i="12"/>
  <c r="BB46" i="12"/>
  <c r="BU45" i="12"/>
  <c r="BT45" i="12"/>
  <c r="BS45" i="12"/>
  <c r="BR45" i="12"/>
  <c r="BQ45" i="12"/>
  <c r="BP45" i="12"/>
  <c r="BN45" i="12"/>
  <c r="BM45" i="12"/>
  <c r="BL45" i="12"/>
  <c r="BJ45" i="12"/>
  <c r="BI45" i="12"/>
  <c r="BH45" i="12"/>
  <c r="BB45" i="12"/>
  <c r="BU44" i="12"/>
  <c r="BT44" i="12"/>
  <c r="BS44" i="12"/>
  <c r="BR44" i="12"/>
  <c r="BQ44" i="12"/>
  <c r="BP44" i="12"/>
  <c r="BN44" i="12"/>
  <c r="BM44" i="12"/>
  <c r="BL44" i="12"/>
  <c r="BJ44" i="12"/>
  <c r="BI44" i="12"/>
  <c r="BH44" i="12"/>
  <c r="BB44" i="12"/>
  <c r="BU43" i="12"/>
  <c r="BT43" i="12"/>
  <c r="BS43" i="12"/>
  <c r="BR43" i="12"/>
  <c r="BQ43" i="12"/>
  <c r="BP43" i="12"/>
  <c r="BN43" i="12"/>
  <c r="BM43" i="12"/>
  <c r="BL43" i="12"/>
  <c r="BJ43" i="12"/>
  <c r="BI43" i="12"/>
  <c r="BH43" i="12"/>
  <c r="BB43" i="12"/>
  <c r="BU42" i="12"/>
  <c r="BT42" i="12"/>
  <c r="BS42" i="12"/>
  <c r="BR42" i="12"/>
  <c r="BQ42" i="12"/>
  <c r="BP42" i="12"/>
  <c r="BN42" i="12"/>
  <c r="BM42" i="12"/>
  <c r="BL42" i="12"/>
  <c r="BJ42" i="12"/>
  <c r="BI42" i="12"/>
  <c r="BH42" i="12"/>
  <c r="BB42" i="12"/>
  <c r="BU41" i="12"/>
  <c r="BT41" i="12"/>
  <c r="BS41" i="12"/>
  <c r="BR41" i="12"/>
  <c r="BQ41" i="12"/>
  <c r="BP41" i="12"/>
  <c r="BN41" i="12"/>
  <c r="BM41" i="12"/>
  <c r="BL41" i="12"/>
  <c r="BJ41" i="12"/>
  <c r="BI41" i="12"/>
  <c r="BH41" i="12"/>
  <c r="BU40" i="12"/>
  <c r="BT40" i="12"/>
  <c r="BS40" i="12"/>
  <c r="BR40" i="12"/>
  <c r="BQ40" i="12"/>
  <c r="BP40" i="12"/>
  <c r="BM40" i="12"/>
  <c r="BN40" i="12"/>
  <c r="BL40" i="12"/>
  <c r="BJ40" i="12"/>
  <c r="BH40" i="12"/>
  <c r="BT39" i="12"/>
  <c r="BQ39" i="12"/>
  <c r="BT38" i="12"/>
  <c r="BQ38" i="12"/>
  <c r="BT37" i="12"/>
  <c r="BQ37" i="12"/>
  <c r="BT36" i="12"/>
  <c r="BQ36" i="12"/>
  <c r="BT35" i="12"/>
  <c r="BQ35" i="12"/>
  <c r="BT34" i="12"/>
  <c r="BQ34" i="12"/>
  <c r="BT33" i="12"/>
  <c r="BQ33" i="12"/>
  <c r="BT32" i="12"/>
  <c r="BQ32" i="12"/>
  <c r="BT31" i="12"/>
  <c r="BQ31" i="12"/>
  <c r="BT30" i="12"/>
  <c r="BQ30" i="12"/>
  <c r="BT29" i="12"/>
  <c r="BQ29" i="12"/>
  <c r="BT28" i="12"/>
  <c r="BQ28" i="12"/>
  <c r="BT27" i="12"/>
  <c r="BQ27" i="12"/>
  <c r="BT26" i="12"/>
  <c r="BQ26" i="12"/>
  <c r="BT25" i="12"/>
  <c r="BQ25" i="12"/>
  <c r="BT24" i="12"/>
  <c r="BQ24" i="12"/>
  <c r="BQ23" i="12"/>
  <c r="BT22" i="12"/>
  <c r="BQ22" i="12"/>
  <c r="BT21" i="12"/>
  <c r="BQ21" i="12"/>
  <c r="BT20" i="12"/>
  <c r="BQ20" i="12"/>
  <c r="BT19" i="12"/>
  <c r="BQ19" i="12"/>
  <c r="BT18" i="12"/>
  <c r="BQ18" i="12"/>
  <c r="BT17" i="12"/>
  <c r="BQ17" i="12"/>
  <c r="BT16" i="12"/>
  <c r="BQ16" i="12"/>
  <c r="BT15" i="12"/>
  <c r="BQ15" i="12"/>
  <c r="BT14" i="12"/>
  <c r="BQ14" i="12"/>
  <c r="BQ13" i="12"/>
  <c r="BT12" i="12"/>
  <c r="BQ12" i="12"/>
  <c r="BQ11" i="12"/>
  <c r="BB70" i="8"/>
  <c r="BB69" i="8"/>
  <c r="BB68" i="8"/>
  <c r="BB67" i="8"/>
  <c r="BB66" i="8"/>
  <c r="BB65" i="8"/>
  <c r="BB64" i="8"/>
  <c r="BB63" i="8"/>
  <c r="BB62" i="8"/>
  <c r="BB61" i="8"/>
  <c r="BB60" i="8"/>
  <c r="BB59" i="8"/>
  <c r="BB58" i="8"/>
  <c r="BB57" i="8"/>
  <c r="BB56" i="8"/>
  <c r="BB55" i="8"/>
  <c r="BB54" i="8"/>
  <c r="BB53" i="8"/>
  <c r="BB52" i="8"/>
  <c r="BB51" i="8"/>
  <c r="BB50" i="8"/>
  <c r="BB49" i="8"/>
  <c r="BB48" i="8"/>
  <c r="BB70" i="7"/>
  <c r="BB69" i="7"/>
  <c r="BB68" i="7"/>
  <c r="BB67" i="7"/>
  <c r="BB66" i="7"/>
  <c r="BB65" i="7"/>
  <c r="BB64" i="7"/>
  <c r="BB63" i="7"/>
  <c r="BB62" i="7"/>
  <c r="BB61" i="7"/>
  <c r="BB60" i="7"/>
  <c r="BB59" i="7"/>
  <c r="BB58" i="7"/>
  <c r="BB57" i="7"/>
  <c r="BB56" i="7"/>
  <c r="BB55" i="7"/>
  <c r="BB54" i="7"/>
  <c r="BB53" i="7"/>
  <c r="BB52" i="7"/>
  <c r="BB51" i="7"/>
  <c r="BB50" i="7"/>
  <c r="BB49" i="7"/>
  <c r="BB48" i="7"/>
  <c r="BB47" i="7"/>
  <c r="BB46" i="7"/>
  <c r="BB45" i="7"/>
  <c r="BB44" i="7"/>
  <c r="BB43" i="7"/>
  <c r="BB42" i="7"/>
  <c r="BB41" i="7"/>
  <c r="BB40" i="7"/>
  <c r="BB39" i="7"/>
  <c r="BB38" i="7"/>
  <c r="AC139" i="5"/>
  <c r="B4" i="2"/>
  <c r="B6" i="2"/>
  <c r="A10" i="2"/>
  <c r="B11" i="2"/>
  <c r="B12" i="2"/>
  <c r="B13" i="2"/>
  <c r="B14" i="2"/>
  <c r="B15" i="2"/>
  <c r="B16" i="2"/>
  <c r="B17" i="2"/>
  <c r="B18" i="2"/>
  <c r="B19" i="2"/>
  <c r="B20" i="2"/>
  <c r="B21" i="2"/>
  <c r="B22" i="2"/>
  <c r="B23" i="2"/>
  <c r="B24" i="2"/>
  <c r="D24" i="2"/>
  <c r="B25" i="2"/>
  <c r="D25" i="2"/>
  <c r="B26" i="2"/>
  <c r="D26" i="2"/>
  <c r="B27" i="2"/>
  <c r="D27" i="2"/>
  <c r="B28" i="2"/>
  <c r="D28" i="2"/>
  <c r="B29" i="2"/>
  <c r="D29" i="2"/>
  <c r="B30" i="2"/>
  <c r="D30" i="2"/>
  <c r="B31" i="2"/>
  <c r="D31" i="2"/>
  <c r="B32" i="2"/>
  <c r="D32" i="2"/>
  <c r="B33" i="2"/>
  <c r="D33" i="2"/>
  <c r="B34" i="2"/>
  <c r="D34" i="2"/>
  <c r="B35" i="2"/>
  <c r="D35" i="2"/>
  <c r="B36" i="2"/>
  <c r="D36" i="2"/>
  <c r="B37" i="2"/>
  <c r="D37" i="2"/>
  <c r="B38" i="2"/>
  <c r="D38" i="2"/>
  <c r="B39" i="2"/>
  <c r="D39" i="2"/>
  <c r="B40" i="2"/>
  <c r="D40" i="2"/>
  <c r="B41" i="2"/>
  <c r="D41" i="2"/>
  <c r="B42" i="2"/>
  <c r="D42" i="2"/>
  <c r="B43" i="2"/>
  <c r="D43" i="2"/>
  <c r="B44" i="2"/>
  <c r="D44" i="2"/>
  <c r="B45" i="2"/>
  <c r="D45" i="2"/>
  <c r="B46" i="2"/>
  <c r="D46" i="2"/>
  <c r="C47" i="2"/>
  <c r="D47" i="2"/>
  <c r="C48" i="2"/>
  <c r="D48" i="2"/>
  <c r="C49" i="2"/>
  <c r="D49" i="2"/>
  <c r="C50" i="2"/>
  <c r="D50" i="2"/>
  <c r="B2" i="4"/>
  <c r="D3" i="4"/>
  <c r="I3" i="4"/>
  <c r="J3" i="4"/>
  <c r="K3" i="4"/>
  <c r="L3" i="4"/>
  <c r="M3" i="4"/>
  <c r="N3" i="4"/>
  <c r="O3" i="4"/>
  <c r="P3" i="4"/>
  <c r="Q3" i="4"/>
  <c r="R3" i="4"/>
  <c r="S3" i="4"/>
  <c r="T3" i="4"/>
  <c r="U3" i="4"/>
  <c r="V3" i="4"/>
  <c r="W3" i="4"/>
  <c r="X3" i="4"/>
  <c r="Y3" i="4"/>
  <c r="Z3" i="4"/>
  <c r="AA3" i="4"/>
  <c r="AB3" i="4"/>
  <c r="AC3" i="4"/>
  <c r="AD3" i="4"/>
  <c r="AE3" i="4"/>
  <c r="AF3" i="4"/>
  <c r="AG3" i="4"/>
  <c r="AH3" i="4"/>
  <c r="AI3" i="4"/>
  <c r="AJ3" i="4"/>
  <c r="AK3" i="4"/>
  <c r="AL3" i="4"/>
  <c r="AM3" i="4"/>
  <c r="AN3" i="4"/>
  <c r="AO3" i="4"/>
  <c r="AP3" i="4"/>
  <c r="AQ3" i="4"/>
  <c r="AR3" i="4"/>
  <c r="AS3" i="4"/>
  <c r="AT3" i="4"/>
  <c r="AU3" i="4"/>
  <c r="AV3" i="4"/>
  <c r="AW3" i="4"/>
  <c r="T21" i="4"/>
  <c r="U21" i="4"/>
  <c r="V21" i="4"/>
  <c r="W21" i="4"/>
  <c r="X21" i="4"/>
  <c r="Y21" i="4"/>
  <c r="Z21" i="4"/>
  <c r="AA21" i="4"/>
  <c r="AB21" i="4"/>
  <c r="AC21" i="4"/>
  <c r="AD21" i="4"/>
  <c r="AE21" i="4"/>
  <c r="AF21" i="4"/>
  <c r="AG21" i="4"/>
  <c r="AH21" i="4"/>
  <c r="AI21" i="4"/>
  <c r="AJ21" i="4"/>
  <c r="AK21" i="4"/>
  <c r="AL21" i="4"/>
  <c r="AM21" i="4"/>
  <c r="AN21" i="4"/>
  <c r="AO21" i="4"/>
  <c r="AP21" i="4"/>
  <c r="AQ21" i="4"/>
  <c r="AR21" i="4"/>
  <c r="AS21" i="4"/>
  <c r="AT21" i="4"/>
  <c r="AU21" i="4"/>
  <c r="AV21" i="4"/>
  <c r="AW21" i="4"/>
  <c r="T22" i="4"/>
  <c r="U22" i="4"/>
  <c r="V22" i="4"/>
  <c r="W22" i="4"/>
  <c r="X22" i="4"/>
  <c r="Y22" i="4"/>
  <c r="Z22" i="4"/>
  <c r="AA22" i="4"/>
  <c r="AB22" i="4"/>
  <c r="AC22" i="4"/>
  <c r="AD22" i="4"/>
  <c r="AE22" i="4"/>
  <c r="AF22" i="4"/>
  <c r="AG22" i="4"/>
  <c r="AH22" i="4"/>
  <c r="AI22" i="4"/>
  <c r="AJ22" i="4"/>
  <c r="AK22" i="4"/>
  <c r="AL22" i="4"/>
  <c r="AM22" i="4"/>
  <c r="AN22" i="4"/>
  <c r="AO22" i="4"/>
  <c r="AP22" i="4"/>
  <c r="AQ22" i="4"/>
  <c r="AR22" i="4"/>
  <c r="AS22" i="4"/>
  <c r="AT22" i="4"/>
  <c r="AU22" i="4"/>
  <c r="AV22" i="4"/>
  <c r="AW22" i="4"/>
  <c r="T23" i="4"/>
  <c r="U23" i="4"/>
  <c r="V23" i="4"/>
  <c r="W23" i="4"/>
  <c r="X23" i="4"/>
  <c r="Y23" i="4"/>
  <c r="Z23" i="4"/>
  <c r="AA23" i="4"/>
  <c r="AB23" i="4"/>
  <c r="AC23" i="4"/>
  <c r="AD23" i="4"/>
  <c r="AE23" i="4"/>
  <c r="AF23" i="4"/>
  <c r="AG23" i="4"/>
  <c r="AH23" i="4"/>
  <c r="AI23" i="4"/>
  <c r="AJ23" i="4"/>
  <c r="AK23" i="4"/>
  <c r="AL23" i="4"/>
  <c r="AM23" i="4"/>
  <c r="AN23" i="4"/>
  <c r="AO23" i="4"/>
  <c r="AP23" i="4"/>
  <c r="AQ23" i="4"/>
  <c r="AR23" i="4"/>
  <c r="AS23" i="4"/>
  <c r="AT23" i="4"/>
  <c r="AU23" i="4"/>
  <c r="AV23" i="4"/>
  <c r="AW23" i="4"/>
  <c r="T24" i="4"/>
  <c r="U24" i="4"/>
  <c r="V24" i="4"/>
  <c r="W24" i="4"/>
  <c r="X24" i="4"/>
  <c r="Y24" i="4"/>
  <c r="Z24" i="4"/>
  <c r="AA24" i="4"/>
  <c r="AB24" i="4"/>
  <c r="AC24" i="4"/>
  <c r="AD24" i="4"/>
  <c r="AE24" i="4"/>
  <c r="AF24" i="4"/>
  <c r="AG24" i="4"/>
  <c r="AH24" i="4"/>
  <c r="AI24" i="4"/>
  <c r="AJ24" i="4"/>
  <c r="AK24" i="4"/>
  <c r="AL24" i="4"/>
  <c r="AM24" i="4"/>
  <c r="AN24" i="4"/>
  <c r="AO24" i="4"/>
  <c r="AP24" i="4"/>
  <c r="AQ24" i="4"/>
  <c r="AR24" i="4"/>
  <c r="AS24" i="4"/>
  <c r="AT24" i="4"/>
  <c r="AU24" i="4"/>
  <c r="AV24" i="4"/>
  <c r="AW24" i="4"/>
  <c r="T25" i="4"/>
  <c r="U25" i="4"/>
  <c r="V25" i="4"/>
  <c r="W25" i="4"/>
  <c r="X25" i="4"/>
  <c r="Y25" i="4"/>
  <c r="Z25" i="4"/>
  <c r="AA25" i="4"/>
  <c r="AB25" i="4"/>
  <c r="AC25" i="4"/>
  <c r="AD25" i="4"/>
  <c r="AE25" i="4"/>
  <c r="AF25" i="4"/>
  <c r="AG25" i="4"/>
  <c r="AH25" i="4"/>
  <c r="AI25" i="4"/>
  <c r="AJ25" i="4"/>
  <c r="AK25" i="4"/>
  <c r="AL25" i="4"/>
  <c r="AM25" i="4"/>
  <c r="AN25" i="4"/>
  <c r="AO25" i="4"/>
  <c r="AP25" i="4"/>
  <c r="AQ25" i="4"/>
  <c r="AR25" i="4"/>
  <c r="AS25" i="4"/>
  <c r="AT25" i="4"/>
  <c r="AU25" i="4"/>
  <c r="AV25" i="4"/>
  <c r="AW25" i="4"/>
  <c r="T26" i="4"/>
  <c r="U26" i="4"/>
  <c r="V26" i="4"/>
  <c r="W26" i="4"/>
  <c r="X26" i="4"/>
  <c r="Y26" i="4"/>
  <c r="Z26" i="4"/>
  <c r="AA26" i="4"/>
  <c r="AB26" i="4"/>
  <c r="AC26" i="4"/>
  <c r="AD26" i="4"/>
  <c r="AE26" i="4"/>
  <c r="AF26" i="4"/>
  <c r="AG26" i="4"/>
  <c r="AH26" i="4"/>
  <c r="AI26" i="4"/>
  <c r="AJ26" i="4"/>
  <c r="AK26" i="4"/>
  <c r="AL26" i="4"/>
  <c r="AM26" i="4"/>
  <c r="AN26" i="4"/>
  <c r="AO26" i="4"/>
  <c r="AP26" i="4"/>
  <c r="AQ26" i="4"/>
  <c r="AR26" i="4"/>
  <c r="AS26" i="4"/>
  <c r="AT26" i="4"/>
  <c r="AU26" i="4"/>
  <c r="AV26" i="4"/>
  <c r="AW26" i="4"/>
  <c r="T27" i="4"/>
  <c r="U27" i="4"/>
  <c r="V27" i="4"/>
  <c r="W27" i="4"/>
  <c r="X27" i="4"/>
  <c r="Y27" i="4"/>
  <c r="Z27" i="4"/>
  <c r="AA27" i="4"/>
  <c r="AB27" i="4"/>
  <c r="AC27" i="4"/>
  <c r="AD27" i="4"/>
  <c r="AE27" i="4"/>
  <c r="AF27" i="4"/>
  <c r="AG27" i="4"/>
  <c r="AH27" i="4"/>
  <c r="AI27" i="4"/>
  <c r="AJ27" i="4"/>
  <c r="AK27" i="4"/>
  <c r="AL27" i="4"/>
  <c r="AM27" i="4"/>
  <c r="AN27" i="4"/>
  <c r="AO27" i="4"/>
  <c r="AP27" i="4"/>
  <c r="AQ27" i="4"/>
  <c r="AR27" i="4"/>
  <c r="AS27" i="4"/>
  <c r="AT27" i="4"/>
  <c r="AU27" i="4"/>
  <c r="AV27" i="4"/>
  <c r="AW27" i="4"/>
  <c r="T28" i="4"/>
  <c r="U28" i="4"/>
  <c r="V28" i="4"/>
  <c r="W28" i="4"/>
  <c r="X28" i="4"/>
  <c r="Y28" i="4"/>
  <c r="Z28" i="4"/>
  <c r="AA28" i="4"/>
  <c r="AB28" i="4"/>
  <c r="AC28" i="4"/>
  <c r="AD28" i="4"/>
  <c r="AE28" i="4"/>
  <c r="AF28" i="4"/>
  <c r="AG28" i="4"/>
  <c r="AH28" i="4"/>
  <c r="AI28" i="4"/>
  <c r="AJ28" i="4"/>
  <c r="AK28" i="4"/>
  <c r="AL28" i="4"/>
  <c r="AM28" i="4"/>
  <c r="AN28" i="4"/>
  <c r="AO28" i="4"/>
  <c r="AP28" i="4"/>
  <c r="AQ28" i="4"/>
  <c r="AR28" i="4"/>
  <c r="AS28" i="4"/>
  <c r="AT28" i="4"/>
  <c r="AU28" i="4"/>
  <c r="AV28" i="4"/>
  <c r="AW28" i="4"/>
  <c r="T29" i="4"/>
  <c r="U29" i="4"/>
  <c r="V29" i="4"/>
  <c r="W29" i="4"/>
  <c r="X29" i="4"/>
  <c r="Y29" i="4"/>
  <c r="Z29" i="4"/>
  <c r="AA29" i="4"/>
  <c r="AB29" i="4"/>
  <c r="AC29" i="4"/>
  <c r="AD29" i="4"/>
  <c r="AE29" i="4"/>
  <c r="AF29" i="4"/>
  <c r="AG29" i="4"/>
  <c r="AH29" i="4"/>
  <c r="AI29" i="4"/>
  <c r="AJ29" i="4"/>
  <c r="AK29" i="4"/>
  <c r="AL29" i="4"/>
  <c r="AM29" i="4"/>
  <c r="AN29" i="4"/>
  <c r="AO29" i="4"/>
  <c r="AP29" i="4"/>
  <c r="AQ29" i="4"/>
  <c r="AR29" i="4"/>
  <c r="AS29" i="4"/>
  <c r="AT29" i="4"/>
  <c r="AU29" i="4"/>
  <c r="AV29" i="4"/>
  <c r="AW29" i="4"/>
  <c r="T30" i="4"/>
  <c r="U30" i="4"/>
  <c r="V30" i="4"/>
  <c r="W30" i="4"/>
  <c r="X30" i="4"/>
  <c r="Y30" i="4"/>
  <c r="Z30" i="4"/>
  <c r="AA30" i="4"/>
  <c r="AB30" i="4"/>
  <c r="AC30" i="4"/>
  <c r="AD30" i="4"/>
  <c r="AE30" i="4"/>
  <c r="AF30" i="4"/>
  <c r="AG30" i="4"/>
  <c r="AH30" i="4"/>
  <c r="AI30" i="4"/>
  <c r="AJ30" i="4"/>
  <c r="AK30" i="4"/>
  <c r="AL30" i="4"/>
  <c r="AM30" i="4"/>
  <c r="AN30" i="4"/>
  <c r="AO30" i="4"/>
  <c r="AP30" i="4"/>
  <c r="AQ30" i="4"/>
  <c r="AR30" i="4"/>
  <c r="AS30" i="4"/>
  <c r="AT30" i="4"/>
  <c r="AU30" i="4"/>
  <c r="AV30" i="4"/>
  <c r="AW30" i="4"/>
  <c r="T31" i="4"/>
  <c r="U31" i="4"/>
  <c r="V31" i="4"/>
  <c r="W31" i="4"/>
  <c r="X31" i="4"/>
  <c r="Y31" i="4"/>
  <c r="Z31" i="4"/>
  <c r="AA31" i="4"/>
  <c r="AB31" i="4"/>
  <c r="AC31" i="4"/>
  <c r="AD31" i="4"/>
  <c r="AE31" i="4"/>
  <c r="AF31" i="4"/>
  <c r="AG31" i="4"/>
  <c r="AH31" i="4"/>
  <c r="AI31" i="4"/>
  <c r="AJ31" i="4"/>
  <c r="AK31" i="4"/>
  <c r="AL31" i="4"/>
  <c r="AM31" i="4"/>
  <c r="AN31" i="4"/>
  <c r="AO31" i="4"/>
  <c r="AP31" i="4"/>
  <c r="AQ31" i="4"/>
  <c r="AR31" i="4"/>
  <c r="AS31" i="4"/>
  <c r="AT31" i="4"/>
  <c r="AU31" i="4"/>
  <c r="AV31" i="4"/>
  <c r="AW31" i="4"/>
  <c r="T32" i="4"/>
  <c r="U32" i="4"/>
  <c r="V32" i="4"/>
  <c r="W32" i="4"/>
  <c r="X32" i="4"/>
  <c r="Y32" i="4"/>
  <c r="Z32" i="4"/>
  <c r="AA32" i="4"/>
  <c r="AB32" i="4"/>
  <c r="AC32" i="4"/>
  <c r="AD32" i="4"/>
  <c r="AE32" i="4"/>
  <c r="AF32" i="4"/>
  <c r="AG32" i="4"/>
  <c r="AH32" i="4"/>
  <c r="AI32" i="4"/>
  <c r="AJ32" i="4"/>
  <c r="AK32" i="4"/>
  <c r="AL32" i="4"/>
  <c r="AM32" i="4"/>
  <c r="AN32" i="4"/>
  <c r="AO32" i="4"/>
  <c r="AP32" i="4"/>
  <c r="AQ32" i="4"/>
  <c r="AR32" i="4"/>
  <c r="AS32" i="4"/>
  <c r="AT32" i="4"/>
  <c r="AU32" i="4"/>
  <c r="AV32" i="4"/>
  <c r="AW32" i="4"/>
  <c r="T33" i="4"/>
  <c r="U33" i="4"/>
  <c r="V33" i="4"/>
  <c r="W33" i="4"/>
  <c r="X33" i="4"/>
  <c r="Y33" i="4"/>
  <c r="Z33" i="4"/>
  <c r="AA33" i="4"/>
  <c r="AB33" i="4"/>
  <c r="AC33" i="4"/>
  <c r="AD33" i="4"/>
  <c r="AE33" i="4"/>
  <c r="AF33" i="4"/>
  <c r="AG33" i="4"/>
  <c r="AH33" i="4"/>
  <c r="AI33" i="4"/>
  <c r="AJ33" i="4"/>
  <c r="AK33" i="4"/>
  <c r="AL33" i="4"/>
  <c r="AM33" i="4"/>
  <c r="AN33" i="4"/>
  <c r="AO33" i="4"/>
  <c r="AP33" i="4"/>
  <c r="AQ33" i="4"/>
  <c r="AR33" i="4"/>
  <c r="AS33" i="4"/>
  <c r="AT33" i="4"/>
  <c r="AU33" i="4"/>
  <c r="AV33" i="4"/>
  <c r="AW33" i="4"/>
  <c r="T34" i="4"/>
  <c r="U34" i="4"/>
  <c r="V34" i="4"/>
  <c r="W34" i="4"/>
  <c r="X34" i="4"/>
  <c r="Y34" i="4"/>
  <c r="Z34" i="4"/>
  <c r="AA34" i="4"/>
  <c r="AB34" i="4"/>
  <c r="AC34" i="4"/>
  <c r="AD34" i="4"/>
  <c r="AE34" i="4"/>
  <c r="AF34" i="4"/>
  <c r="AG34" i="4"/>
  <c r="AH34" i="4"/>
  <c r="AI34" i="4"/>
  <c r="AJ34" i="4"/>
  <c r="AK34" i="4"/>
  <c r="AL34" i="4"/>
  <c r="AM34" i="4"/>
  <c r="AN34" i="4"/>
  <c r="AO34" i="4"/>
  <c r="AP34" i="4"/>
  <c r="AQ34" i="4"/>
  <c r="AR34" i="4"/>
  <c r="AS34" i="4"/>
  <c r="AT34" i="4"/>
  <c r="AU34" i="4"/>
  <c r="AV34" i="4"/>
  <c r="AW34" i="4"/>
  <c r="T35" i="4"/>
  <c r="U35" i="4"/>
  <c r="V35" i="4"/>
  <c r="W35" i="4"/>
  <c r="X35" i="4"/>
  <c r="Y35" i="4"/>
  <c r="Z35" i="4"/>
  <c r="AA35" i="4"/>
  <c r="AB35" i="4"/>
  <c r="AC35" i="4"/>
  <c r="AD35" i="4"/>
  <c r="AE35" i="4"/>
  <c r="AF35" i="4"/>
  <c r="AG35" i="4"/>
  <c r="AH35" i="4"/>
  <c r="AI35" i="4"/>
  <c r="AJ35" i="4"/>
  <c r="AK35" i="4"/>
  <c r="AL35" i="4"/>
  <c r="AM35" i="4"/>
  <c r="AN35" i="4"/>
  <c r="AO35" i="4"/>
  <c r="AP35" i="4"/>
  <c r="AQ35" i="4"/>
  <c r="AR35" i="4"/>
  <c r="AS35" i="4"/>
  <c r="AT35" i="4"/>
  <c r="AU35" i="4"/>
  <c r="AV35" i="4"/>
  <c r="AW35" i="4"/>
  <c r="T36" i="4"/>
  <c r="U36" i="4"/>
  <c r="V36" i="4"/>
  <c r="W36" i="4"/>
  <c r="X36" i="4"/>
  <c r="Y36" i="4"/>
  <c r="Z36" i="4"/>
  <c r="AA36" i="4"/>
  <c r="AB36" i="4"/>
  <c r="AC36" i="4"/>
  <c r="AD36" i="4"/>
  <c r="AE36" i="4"/>
  <c r="AF36" i="4"/>
  <c r="AG36" i="4"/>
  <c r="AH36" i="4"/>
  <c r="AI36" i="4"/>
  <c r="AJ36" i="4"/>
  <c r="AK36" i="4"/>
  <c r="AL36" i="4"/>
  <c r="AM36" i="4"/>
  <c r="AN36" i="4"/>
  <c r="AO36" i="4"/>
  <c r="AP36" i="4"/>
  <c r="AQ36" i="4"/>
  <c r="AR36" i="4"/>
  <c r="AS36" i="4"/>
  <c r="AT36" i="4"/>
  <c r="AU36" i="4"/>
  <c r="AV36" i="4"/>
  <c r="AW36" i="4"/>
  <c r="T37" i="4"/>
  <c r="U37" i="4"/>
  <c r="V37" i="4"/>
  <c r="W37" i="4"/>
  <c r="X37" i="4"/>
  <c r="Y37" i="4"/>
  <c r="Z37" i="4"/>
  <c r="AA37" i="4"/>
  <c r="AB37" i="4"/>
  <c r="AC37" i="4"/>
  <c r="AD37" i="4"/>
  <c r="AE37" i="4"/>
  <c r="AF37" i="4"/>
  <c r="AG37" i="4"/>
  <c r="AH37" i="4"/>
  <c r="AI37" i="4"/>
  <c r="AJ37" i="4"/>
  <c r="AK37" i="4"/>
  <c r="AL37" i="4"/>
  <c r="AM37" i="4"/>
  <c r="AN37" i="4"/>
  <c r="AO37" i="4"/>
  <c r="AP37" i="4"/>
  <c r="AQ37" i="4"/>
  <c r="AR37" i="4"/>
  <c r="AS37" i="4"/>
  <c r="AT37" i="4"/>
  <c r="AU37" i="4"/>
  <c r="AV37" i="4"/>
  <c r="AW37" i="4"/>
  <c r="T38" i="4"/>
  <c r="U38" i="4"/>
  <c r="V38" i="4"/>
  <c r="W38" i="4"/>
  <c r="X38" i="4"/>
  <c r="Y38" i="4"/>
  <c r="Z38" i="4"/>
  <c r="AA38" i="4"/>
  <c r="AB38" i="4"/>
  <c r="AC38" i="4"/>
  <c r="AD38" i="4"/>
  <c r="AE38" i="4"/>
  <c r="AF38" i="4"/>
  <c r="AG38" i="4"/>
  <c r="AH38" i="4"/>
  <c r="AI38" i="4"/>
  <c r="AJ38" i="4"/>
  <c r="AK38" i="4"/>
  <c r="AL38" i="4"/>
  <c r="AM38" i="4"/>
  <c r="AN38" i="4"/>
  <c r="AO38" i="4"/>
  <c r="AP38" i="4"/>
  <c r="AQ38" i="4"/>
  <c r="AR38" i="4"/>
  <c r="AS38" i="4"/>
  <c r="AT38" i="4"/>
  <c r="AU38" i="4"/>
  <c r="AV38" i="4"/>
  <c r="AW38" i="4"/>
  <c r="T39" i="4"/>
  <c r="U39" i="4"/>
  <c r="V39" i="4"/>
  <c r="W39" i="4"/>
  <c r="X39" i="4"/>
  <c r="Y39" i="4"/>
  <c r="Z39" i="4"/>
  <c r="AA39" i="4"/>
  <c r="AB39" i="4"/>
  <c r="AC39" i="4"/>
  <c r="AD39" i="4"/>
  <c r="AE39" i="4"/>
  <c r="AF39" i="4"/>
  <c r="AG39" i="4"/>
  <c r="AH39" i="4"/>
  <c r="AI39" i="4"/>
  <c r="AJ39" i="4"/>
  <c r="AK39" i="4"/>
  <c r="AL39" i="4"/>
  <c r="AM39" i="4"/>
  <c r="AN39" i="4"/>
  <c r="AO39" i="4"/>
  <c r="AP39" i="4"/>
  <c r="AQ39" i="4"/>
  <c r="AR39" i="4"/>
  <c r="AS39" i="4"/>
  <c r="AT39" i="4"/>
  <c r="AU39" i="4"/>
  <c r="AV39" i="4"/>
  <c r="AW39" i="4"/>
  <c r="T40" i="4"/>
  <c r="U40" i="4"/>
  <c r="V40" i="4"/>
  <c r="W40" i="4"/>
  <c r="X40" i="4"/>
  <c r="Y40" i="4"/>
  <c r="Z40" i="4"/>
  <c r="AA40" i="4"/>
  <c r="AB40" i="4"/>
  <c r="AC40" i="4"/>
  <c r="AD40" i="4"/>
  <c r="AE40" i="4"/>
  <c r="AF40" i="4"/>
  <c r="AG40" i="4"/>
  <c r="AH40" i="4"/>
  <c r="AI40" i="4"/>
  <c r="AJ40" i="4"/>
  <c r="AK40" i="4"/>
  <c r="AL40" i="4"/>
  <c r="AM40" i="4"/>
  <c r="AN40" i="4"/>
  <c r="AO40" i="4"/>
  <c r="AP40" i="4"/>
  <c r="AQ40" i="4"/>
  <c r="AR40" i="4"/>
  <c r="AS40" i="4"/>
  <c r="AT40" i="4"/>
  <c r="AU40" i="4"/>
  <c r="AV40" i="4"/>
  <c r="AW40" i="4"/>
  <c r="T41" i="4"/>
  <c r="U41" i="4"/>
  <c r="V41" i="4"/>
  <c r="W41" i="4"/>
  <c r="X41" i="4"/>
  <c r="Y41" i="4"/>
  <c r="Z41" i="4"/>
  <c r="AA41" i="4"/>
  <c r="AB41" i="4"/>
  <c r="AC41" i="4"/>
  <c r="AD41" i="4"/>
  <c r="AE41" i="4"/>
  <c r="AF41" i="4"/>
  <c r="AG41" i="4"/>
  <c r="AH41" i="4"/>
  <c r="AI41" i="4"/>
  <c r="AJ41" i="4"/>
  <c r="AK41" i="4"/>
  <c r="AL41" i="4"/>
  <c r="AM41" i="4"/>
  <c r="AN41" i="4"/>
  <c r="AO41" i="4"/>
  <c r="AP41" i="4"/>
  <c r="AQ41" i="4"/>
  <c r="AR41" i="4"/>
  <c r="AS41" i="4"/>
  <c r="AT41" i="4"/>
  <c r="AU41" i="4"/>
  <c r="AV41" i="4"/>
  <c r="AW41" i="4"/>
  <c r="T42" i="4"/>
  <c r="U42" i="4"/>
  <c r="V42" i="4"/>
  <c r="W42" i="4"/>
  <c r="X42" i="4"/>
  <c r="Y42" i="4"/>
  <c r="Z42" i="4"/>
  <c r="AA42" i="4"/>
  <c r="AB42" i="4"/>
  <c r="AC42" i="4"/>
  <c r="AD42" i="4"/>
  <c r="AE42" i="4"/>
  <c r="AF42" i="4"/>
  <c r="AG42" i="4"/>
  <c r="AH42" i="4"/>
  <c r="AI42" i="4"/>
  <c r="AJ42" i="4"/>
  <c r="AK42" i="4"/>
  <c r="AL42" i="4"/>
  <c r="AM42" i="4"/>
  <c r="AN42" i="4"/>
  <c r="AO42" i="4"/>
  <c r="AP42" i="4"/>
  <c r="AQ42" i="4"/>
  <c r="AR42" i="4"/>
  <c r="AS42" i="4"/>
  <c r="AT42" i="4"/>
  <c r="AU42" i="4"/>
  <c r="AV42" i="4"/>
  <c r="AW42" i="4"/>
  <c r="T43" i="4"/>
  <c r="U43" i="4"/>
  <c r="V43" i="4"/>
  <c r="W43" i="4"/>
  <c r="X43" i="4"/>
  <c r="Y43" i="4"/>
  <c r="Z43" i="4"/>
  <c r="AA43" i="4"/>
  <c r="AB43" i="4"/>
  <c r="AC43" i="4"/>
  <c r="AD43" i="4"/>
  <c r="AE43" i="4"/>
  <c r="AF43" i="4"/>
  <c r="AG43" i="4"/>
  <c r="AH43" i="4"/>
  <c r="AI43" i="4"/>
  <c r="AJ43" i="4"/>
  <c r="AK43" i="4"/>
  <c r="AL43" i="4"/>
  <c r="AM43" i="4"/>
  <c r="AN43" i="4"/>
  <c r="AO43" i="4"/>
  <c r="AP43" i="4"/>
  <c r="AQ43" i="4"/>
  <c r="AR43" i="4"/>
  <c r="AS43" i="4"/>
  <c r="AT43" i="4"/>
  <c r="AU43" i="4"/>
  <c r="AV43" i="4"/>
  <c r="AW43" i="4"/>
  <c r="T44" i="4"/>
  <c r="U44" i="4"/>
  <c r="V44" i="4"/>
  <c r="W44" i="4"/>
  <c r="X44" i="4"/>
  <c r="Y44" i="4"/>
  <c r="Z44" i="4"/>
  <c r="AA44" i="4"/>
  <c r="AB44" i="4"/>
  <c r="AC44" i="4"/>
  <c r="AD44" i="4"/>
  <c r="AE44" i="4"/>
  <c r="AF44" i="4"/>
  <c r="AG44" i="4"/>
  <c r="AH44" i="4"/>
  <c r="AI44" i="4"/>
  <c r="AJ44" i="4"/>
  <c r="AK44" i="4"/>
  <c r="AL44" i="4"/>
  <c r="AM44" i="4"/>
  <c r="AN44" i="4"/>
  <c r="AO44" i="4"/>
  <c r="AP44" i="4"/>
  <c r="AQ44" i="4"/>
  <c r="AR44" i="4"/>
  <c r="AS44" i="4"/>
  <c r="AT44" i="4"/>
  <c r="AU44" i="4"/>
  <c r="AV44" i="4"/>
  <c r="AW44"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T46" i="4"/>
  <c r="U46" i="4"/>
  <c r="V46" i="4"/>
  <c r="W46" i="4"/>
  <c r="X46" i="4"/>
  <c r="Y46" i="4"/>
  <c r="Z46" i="4"/>
  <c r="AA46" i="4"/>
  <c r="AB46" i="4"/>
  <c r="AC46" i="4"/>
  <c r="AD46" i="4"/>
  <c r="AE46" i="4"/>
  <c r="AF46" i="4"/>
  <c r="AG46" i="4"/>
  <c r="AH46" i="4"/>
  <c r="AI46" i="4"/>
  <c r="AJ46" i="4"/>
  <c r="AK46" i="4"/>
  <c r="AL46" i="4"/>
  <c r="AM46" i="4"/>
  <c r="AN46" i="4"/>
  <c r="AO46" i="4"/>
  <c r="AP46" i="4"/>
  <c r="AQ46" i="4"/>
  <c r="AR46" i="4"/>
  <c r="AS46" i="4"/>
  <c r="AT46" i="4"/>
  <c r="AU46" i="4"/>
  <c r="AV46" i="4"/>
  <c r="AW46" i="4"/>
  <c r="T47" i="4"/>
  <c r="U47" i="4"/>
  <c r="V47" i="4"/>
  <c r="W47" i="4"/>
  <c r="X47" i="4"/>
  <c r="Y47" i="4"/>
  <c r="Z47" i="4"/>
  <c r="AA47" i="4"/>
  <c r="AB47" i="4"/>
  <c r="AC47" i="4"/>
  <c r="AD47" i="4"/>
  <c r="AE47" i="4"/>
  <c r="AF47" i="4"/>
  <c r="AG47" i="4"/>
  <c r="AH47" i="4"/>
  <c r="AI47" i="4"/>
  <c r="AJ47" i="4"/>
  <c r="AK47" i="4"/>
  <c r="AL47" i="4"/>
  <c r="AM47" i="4"/>
  <c r="AN47" i="4"/>
  <c r="AO47" i="4"/>
  <c r="AP47" i="4"/>
  <c r="AQ47" i="4"/>
  <c r="AR47" i="4"/>
  <c r="AS47" i="4"/>
  <c r="AT47" i="4"/>
  <c r="AU47" i="4"/>
  <c r="AV47" i="4"/>
  <c r="AW47" i="4"/>
  <c r="T48" i="4"/>
  <c r="U48" i="4"/>
  <c r="V48" i="4"/>
  <c r="W48" i="4"/>
  <c r="X48" i="4"/>
  <c r="Y48" i="4"/>
  <c r="Z48" i="4"/>
  <c r="AA48" i="4"/>
  <c r="AB48" i="4"/>
  <c r="AC48" i="4"/>
  <c r="AD48" i="4"/>
  <c r="AE48" i="4"/>
  <c r="AF48" i="4"/>
  <c r="AG48" i="4"/>
  <c r="AH48" i="4"/>
  <c r="AI48" i="4"/>
  <c r="AJ48" i="4"/>
  <c r="AK48" i="4"/>
  <c r="AL48" i="4"/>
  <c r="AM48" i="4"/>
  <c r="AN48" i="4"/>
  <c r="AO48" i="4"/>
  <c r="AP48" i="4"/>
  <c r="AQ48" i="4"/>
  <c r="AR48" i="4"/>
  <c r="AS48" i="4"/>
  <c r="AT48" i="4"/>
  <c r="AU48" i="4"/>
  <c r="AV48" i="4"/>
  <c r="AW48" i="4"/>
  <c r="T49" i="4"/>
  <c r="U49" i="4"/>
  <c r="V49" i="4"/>
  <c r="W49" i="4"/>
  <c r="X49" i="4"/>
  <c r="Y49" i="4"/>
  <c r="Z49" i="4"/>
  <c r="AA49" i="4"/>
  <c r="AB49" i="4"/>
  <c r="AC49" i="4"/>
  <c r="AD49" i="4"/>
  <c r="AE49" i="4"/>
  <c r="AF49" i="4"/>
  <c r="AG49" i="4"/>
  <c r="AH49" i="4"/>
  <c r="AI49" i="4"/>
  <c r="AJ49" i="4"/>
  <c r="AK49" i="4"/>
  <c r="AL49" i="4"/>
  <c r="AM49" i="4"/>
  <c r="AN49" i="4"/>
  <c r="AO49" i="4"/>
  <c r="AP49" i="4"/>
  <c r="AQ49" i="4"/>
  <c r="AR49" i="4"/>
  <c r="AS49" i="4"/>
  <c r="AT49" i="4"/>
  <c r="AU49" i="4"/>
  <c r="AV49" i="4"/>
  <c r="AW49" i="4"/>
  <c r="T50" i="4"/>
  <c r="U50" i="4"/>
  <c r="V50" i="4"/>
  <c r="W50" i="4"/>
  <c r="X50" i="4"/>
  <c r="Y50" i="4"/>
  <c r="Z50" i="4"/>
  <c r="AA50" i="4"/>
  <c r="AB50" i="4"/>
  <c r="AC50" i="4"/>
  <c r="AD50" i="4"/>
  <c r="AE50" i="4"/>
  <c r="AF50" i="4"/>
  <c r="AG50" i="4"/>
  <c r="AH50" i="4"/>
  <c r="AI50" i="4"/>
  <c r="AJ50" i="4"/>
  <c r="AK50" i="4"/>
  <c r="AL50" i="4"/>
  <c r="AM50" i="4"/>
  <c r="AN50" i="4"/>
  <c r="AO50" i="4"/>
  <c r="AP50" i="4"/>
  <c r="AQ50" i="4"/>
  <c r="AR50" i="4"/>
  <c r="AS50" i="4"/>
  <c r="AT50" i="4"/>
  <c r="AU50" i="4"/>
  <c r="AV50" i="4"/>
  <c r="AW50" i="4"/>
  <c r="A4" i="3"/>
  <c r="AQ6" i="3"/>
  <c r="AN8" i="3"/>
  <c r="AO8" i="3"/>
  <c r="AP8" i="3"/>
  <c r="AQ8" i="3"/>
  <c r="BB8" i="3"/>
  <c r="D10" i="3"/>
  <c r="E10"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AS10" i="3"/>
  <c r="AT10" i="3"/>
  <c r="AU10" i="3"/>
  <c r="AY10" i="3"/>
  <c r="AY55" i="3"/>
  <c r="B11" i="24" a="1"/>
  <c r="B11" i="24"/>
  <c r="C11" i="24"/>
  <c r="B56" i="24"/>
  <c r="C56" i="24"/>
  <c r="BA11" i="24" a="1"/>
  <c r="BA11" i="24"/>
  <c r="BA12" i="24"/>
  <c r="BA13" i="24"/>
  <c r="BA14" i="24"/>
  <c r="BA15" i="24"/>
  <c r="BA16" i="24"/>
  <c r="BA17" i="24"/>
  <c r="BA18" i="24"/>
  <c r="BA19" i="24"/>
  <c r="BA20" i="24"/>
  <c r="BA21" i="24"/>
  <c r="BA22" i="24"/>
  <c r="BA23" i="24"/>
  <c r="BA24" i="24"/>
  <c r="BA25" i="24"/>
  <c r="BA26" i="24"/>
  <c r="BA27" i="24"/>
  <c r="BA28" i="24"/>
  <c r="BA29" i="24"/>
  <c r="BA30" i="24"/>
  <c r="BA31" i="24"/>
  <c r="BA32" i="24"/>
  <c r="BA33" i="24"/>
  <c r="BA34" i="24"/>
  <c r="BA35" i="24"/>
  <c r="BA36" i="24"/>
  <c r="BA37" i="24"/>
  <c r="BA38" i="24"/>
  <c r="BA39" i="24"/>
  <c r="BA40" i="24"/>
  <c r="BA41" i="24"/>
  <c r="BA42" i="24"/>
  <c r="BA43" i="24"/>
  <c r="BA44" i="24"/>
  <c r="BA45" i="24"/>
  <c r="BA46" i="24"/>
  <c r="BA47" i="24"/>
  <c r="BA48" i="24"/>
  <c r="BA49" i="24"/>
  <c r="BA50" i="24"/>
  <c r="BA51" i="24"/>
  <c r="BA52" i="24"/>
  <c r="BA53" i="24"/>
  <c r="BA54" i="24"/>
  <c r="BA55" i="24"/>
  <c r="B55" i="24"/>
  <c r="C55" i="24"/>
  <c r="B54" i="24"/>
  <c r="C54" i="24"/>
  <c r="B53" i="24"/>
  <c r="C53" i="24"/>
  <c r="B52" i="24"/>
  <c r="C52" i="24"/>
  <c r="B51" i="24"/>
  <c r="C51" i="24"/>
  <c r="B50" i="24"/>
  <c r="C50" i="24"/>
  <c r="B49" i="24"/>
  <c r="C49" i="24"/>
  <c r="B48" i="24"/>
  <c r="C48" i="24"/>
  <c r="B47" i="24"/>
  <c r="C47" i="24"/>
  <c r="B46" i="24"/>
  <c r="C46" i="24"/>
  <c r="B45" i="24"/>
  <c r="C45" i="24"/>
  <c r="B44" i="24"/>
  <c r="C44" i="24"/>
  <c r="B43" i="24"/>
  <c r="C43" i="24"/>
  <c r="B42" i="24"/>
  <c r="C42" i="24"/>
  <c r="B41" i="24"/>
  <c r="C41" i="24"/>
  <c r="B40" i="24"/>
  <c r="C40" i="24"/>
  <c r="B39" i="24"/>
  <c r="C39" i="24"/>
  <c r="B38" i="24"/>
  <c r="C38" i="24"/>
  <c r="B37" i="24"/>
  <c r="C37" i="24"/>
  <c r="B36" i="24"/>
  <c r="C36" i="24"/>
  <c r="B35" i="24"/>
  <c r="C35" i="24"/>
  <c r="B34" i="24"/>
  <c r="C34" i="24"/>
  <c r="B33" i="24"/>
  <c r="C33" i="24"/>
  <c r="B32" i="24"/>
  <c r="C32" i="24"/>
  <c r="B31" i="24"/>
  <c r="C31" i="24"/>
  <c r="B30" i="24"/>
  <c r="C30" i="24"/>
  <c r="B29" i="24"/>
  <c r="C29" i="24"/>
  <c r="B28" i="24"/>
  <c r="C28" i="24"/>
  <c r="B27" i="24"/>
  <c r="C27" i="24"/>
  <c r="B26" i="24"/>
  <c r="C26" i="24"/>
  <c r="B25" i="24"/>
  <c r="C25" i="24"/>
  <c r="B24" i="24"/>
  <c r="C24" i="24"/>
  <c r="B23" i="24"/>
  <c r="C23" i="24"/>
  <c r="B22" i="24"/>
  <c r="C22" i="24"/>
  <c r="B21" i="24"/>
  <c r="C21" i="24"/>
  <c r="B20" i="24"/>
  <c r="C20" i="24"/>
  <c r="B19" i="24"/>
  <c r="C19" i="24"/>
  <c r="B18" i="24"/>
  <c r="C18" i="24"/>
  <c r="B17" i="24"/>
  <c r="C17" i="24"/>
  <c r="B16" i="24"/>
  <c r="C16" i="24"/>
  <c r="B15" i="24"/>
  <c r="C15" i="24"/>
  <c r="B14" i="24"/>
  <c r="C14" i="24"/>
  <c r="B13" i="24"/>
  <c r="C13" i="24"/>
  <c r="B12" i="24"/>
  <c r="C12" i="24"/>
  <c r="BA56" i="24"/>
  <c r="C20" i="4"/>
  <c r="S4" i="4"/>
  <c r="S50" i="4"/>
  <c r="C19" i="4"/>
  <c r="R4" i="4"/>
  <c r="R50" i="4"/>
  <c r="C18" i="4"/>
  <c r="Q4" i="4"/>
  <c r="Q50" i="4"/>
  <c r="C17" i="4"/>
  <c r="P4" i="4"/>
  <c r="P50" i="4"/>
  <c r="C16" i="4"/>
  <c r="O4" i="4"/>
  <c r="O50" i="4"/>
  <c r="C15" i="4"/>
  <c r="N4" i="4"/>
  <c r="N50" i="4"/>
  <c r="C14" i="4"/>
  <c r="M4" i="4"/>
  <c r="M50" i="4"/>
  <c r="C13" i="4"/>
  <c r="L4" i="4"/>
  <c r="L50" i="4"/>
  <c r="C12" i="4"/>
  <c r="K4" i="4"/>
  <c r="K50" i="4"/>
  <c r="C11" i="4"/>
  <c r="J4" i="4"/>
  <c r="J50" i="4"/>
  <c r="C10" i="4"/>
  <c r="I4" i="4"/>
  <c r="I50" i="4"/>
  <c r="C9" i="4"/>
  <c r="H4" i="4"/>
  <c r="H50" i="4"/>
  <c r="C8" i="4"/>
  <c r="G4" i="4"/>
  <c r="G50" i="4"/>
  <c r="C7" i="4"/>
  <c r="F4" i="4"/>
  <c r="F50" i="4"/>
  <c r="C6" i="4"/>
  <c r="E4" i="4"/>
  <c r="E50" i="4"/>
  <c r="D50" i="4"/>
  <c r="S49" i="4"/>
  <c r="R49" i="4"/>
  <c r="Q49" i="4"/>
  <c r="P49" i="4"/>
  <c r="O49" i="4"/>
  <c r="N49" i="4"/>
  <c r="M49" i="4"/>
  <c r="L49" i="4"/>
  <c r="K49" i="4"/>
  <c r="J49" i="4"/>
  <c r="I49" i="4"/>
  <c r="H49" i="4"/>
  <c r="G49" i="4"/>
  <c r="F49" i="4"/>
  <c r="E49" i="4"/>
  <c r="D49" i="4"/>
  <c r="S48" i="4"/>
  <c r="R48" i="4"/>
  <c r="Q48" i="4"/>
  <c r="P48" i="4"/>
  <c r="O48" i="4"/>
  <c r="N48" i="4"/>
  <c r="M48" i="4"/>
  <c r="L48" i="4"/>
  <c r="K48" i="4"/>
  <c r="J48" i="4"/>
  <c r="I48" i="4"/>
  <c r="H48" i="4"/>
  <c r="G48" i="4"/>
  <c r="F48" i="4"/>
  <c r="E48" i="4"/>
  <c r="D48" i="4"/>
  <c r="S47" i="4"/>
  <c r="R47" i="4"/>
  <c r="Q47" i="4"/>
  <c r="P47" i="4"/>
  <c r="O47" i="4"/>
  <c r="N47" i="4"/>
  <c r="M47" i="4"/>
  <c r="L47" i="4"/>
  <c r="K47" i="4"/>
  <c r="J47" i="4"/>
  <c r="I47" i="4"/>
  <c r="H47" i="4"/>
  <c r="G47" i="4"/>
  <c r="F47" i="4"/>
  <c r="E47" i="4"/>
  <c r="D47" i="4"/>
  <c r="S46" i="4"/>
  <c r="R46" i="4"/>
  <c r="Q46" i="4"/>
  <c r="P46" i="4"/>
  <c r="O46" i="4"/>
  <c r="N46" i="4"/>
  <c r="M46" i="4"/>
  <c r="L46" i="4"/>
  <c r="K46" i="4"/>
  <c r="J46" i="4"/>
  <c r="I46" i="4"/>
  <c r="H46" i="4"/>
  <c r="G46" i="4"/>
  <c r="F46" i="4"/>
  <c r="E46" i="4"/>
  <c r="D46" i="4"/>
  <c r="S45" i="4"/>
  <c r="R45" i="4"/>
  <c r="Q45" i="4"/>
  <c r="P45" i="4"/>
  <c r="O45" i="4"/>
  <c r="N45" i="4"/>
  <c r="M45" i="4"/>
  <c r="L45" i="4"/>
  <c r="K45" i="4"/>
  <c r="J45" i="4"/>
  <c r="I45" i="4"/>
  <c r="H45" i="4"/>
  <c r="G45" i="4"/>
  <c r="F45" i="4"/>
  <c r="E45" i="4"/>
  <c r="D45" i="4"/>
  <c r="S44" i="4"/>
  <c r="R44" i="4"/>
  <c r="Q44" i="4"/>
  <c r="P44" i="4"/>
  <c r="O44" i="4"/>
  <c r="N44" i="4"/>
  <c r="M44" i="4"/>
  <c r="L44" i="4"/>
  <c r="K44" i="4"/>
  <c r="J44" i="4"/>
  <c r="I44" i="4"/>
  <c r="H44" i="4"/>
  <c r="G44" i="4"/>
  <c r="F44" i="4"/>
  <c r="E44" i="4"/>
  <c r="D44" i="4"/>
  <c r="S43" i="4"/>
  <c r="R43" i="4"/>
  <c r="Q43" i="4"/>
  <c r="P43" i="4"/>
  <c r="O43" i="4"/>
  <c r="N43" i="4"/>
  <c r="M43" i="4"/>
  <c r="L43" i="4"/>
  <c r="K43" i="4"/>
  <c r="J43" i="4"/>
  <c r="I43" i="4"/>
  <c r="H43" i="4"/>
  <c r="G43" i="4"/>
  <c r="F43" i="4"/>
  <c r="E43" i="4"/>
  <c r="D43" i="4"/>
  <c r="S42" i="4"/>
  <c r="R42" i="4"/>
  <c r="Q42" i="4"/>
  <c r="P42" i="4"/>
  <c r="O42" i="4"/>
  <c r="N42" i="4"/>
  <c r="M42" i="4"/>
  <c r="L42" i="4"/>
  <c r="K42" i="4"/>
  <c r="J42" i="4"/>
  <c r="I42" i="4"/>
  <c r="H42" i="4"/>
  <c r="G42" i="4"/>
  <c r="F42" i="4"/>
  <c r="E42" i="4"/>
  <c r="D42" i="4"/>
  <c r="S41" i="4"/>
  <c r="R41" i="4"/>
  <c r="Q41" i="4"/>
  <c r="P41" i="4"/>
  <c r="O41" i="4"/>
  <c r="N41" i="4"/>
  <c r="M41" i="4"/>
  <c r="L41" i="4"/>
  <c r="K41" i="4"/>
  <c r="J41" i="4"/>
  <c r="I41" i="4"/>
  <c r="H41" i="4"/>
  <c r="G41" i="4"/>
  <c r="F41" i="4"/>
  <c r="E41" i="4"/>
  <c r="D41" i="4"/>
  <c r="S40" i="4"/>
  <c r="R40" i="4"/>
  <c r="Q40" i="4"/>
  <c r="P40" i="4"/>
  <c r="O40" i="4"/>
  <c r="N40" i="4"/>
  <c r="M40" i="4"/>
  <c r="L40" i="4"/>
  <c r="K40" i="4"/>
  <c r="J40" i="4"/>
  <c r="I40" i="4"/>
  <c r="H40" i="4"/>
  <c r="G40" i="4"/>
  <c r="F40" i="4"/>
  <c r="E40" i="4"/>
  <c r="D40" i="4"/>
  <c r="S39" i="4"/>
  <c r="R39" i="4"/>
  <c r="Q39" i="4"/>
  <c r="P39" i="4"/>
  <c r="O39" i="4"/>
  <c r="N39" i="4"/>
  <c r="M39" i="4"/>
  <c r="L39" i="4"/>
  <c r="K39" i="4"/>
  <c r="J39" i="4"/>
  <c r="I39" i="4"/>
  <c r="H39" i="4"/>
  <c r="G39" i="4"/>
  <c r="F39" i="4"/>
  <c r="E39" i="4"/>
  <c r="D39" i="4"/>
  <c r="S38" i="4"/>
  <c r="R38" i="4"/>
  <c r="Q38" i="4"/>
  <c r="P38" i="4"/>
  <c r="O38" i="4"/>
  <c r="N38" i="4"/>
  <c r="M38" i="4"/>
  <c r="L38" i="4"/>
  <c r="K38" i="4"/>
  <c r="J38" i="4"/>
  <c r="I38" i="4"/>
  <c r="H38" i="4"/>
  <c r="G38" i="4"/>
  <c r="F38" i="4"/>
  <c r="E38" i="4"/>
  <c r="D38" i="4"/>
  <c r="S37" i="4"/>
  <c r="R37" i="4"/>
  <c r="Q37" i="4"/>
  <c r="P37" i="4"/>
  <c r="O37" i="4"/>
  <c r="N37" i="4"/>
  <c r="M37" i="4"/>
  <c r="L37" i="4"/>
  <c r="K37" i="4"/>
  <c r="J37" i="4"/>
  <c r="I37" i="4"/>
  <c r="H37" i="4"/>
  <c r="G37" i="4"/>
  <c r="F37" i="4"/>
  <c r="E37" i="4"/>
  <c r="D37" i="4"/>
  <c r="S36" i="4"/>
  <c r="R36" i="4"/>
  <c r="Q36" i="4"/>
  <c r="P36" i="4"/>
  <c r="O36" i="4"/>
  <c r="N36" i="4"/>
  <c r="M36" i="4"/>
  <c r="L36" i="4"/>
  <c r="K36" i="4"/>
  <c r="J36" i="4"/>
  <c r="I36" i="4"/>
  <c r="H36" i="4"/>
  <c r="G36" i="4"/>
  <c r="F36" i="4"/>
  <c r="E36" i="4"/>
  <c r="D36" i="4"/>
  <c r="S35" i="4"/>
  <c r="R35" i="4"/>
  <c r="Q35" i="4"/>
  <c r="P35" i="4"/>
  <c r="O35" i="4"/>
  <c r="N35" i="4"/>
  <c r="M35" i="4"/>
  <c r="L35" i="4"/>
  <c r="K35" i="4"/>
  <c r="J35" i="4"/>
  <c r="I35" i="4"/>
  <c r="H35" i="4"/>
  <c r="G35" i="4"/>
  <c r="F35" i="4"/>
  <c r="E35" i="4"/>
  <c r="D35" i="4"/>
  <c r="S34" i="4"/>
  <c r="R34" i="4"/>
  <c r="Q34" i="4"/>
  <c r="P34" i="4"/>
  <c r="O34" i="4"/>
  <c r="N34" i="4"/>
  <c r="M34" i="4"/>
  <c r="L34" i="4"/>
  <c r="K34" i="4"/>
  <c r="J34" i="4"/>
  <c r="I34" i="4"/>
  <c r="H34" i="4"/>
  <c r="G34" i="4"/>
  <c r="F34" i="4"/>
  <c r="E34" i="4"/>
  <c r="D34" i="4"/>
  <c r="S33" i="4"/>
  <c r="R33" i="4"/>
  <c r="Q33" i="4"/>
  <c r="P33" i="4"/>
  <c r="O33" i="4"/>
  <c r="N33" i="4"/>
  <c r="M33" i="4"/>
  <c r="L33" i="4"/>
  <c r="K33" i="4"/>
  <c r="J33" i="4"/>
  <c r="I33" i="4"/>
  <c r="H33" i="4"/>
  <c r="G33" i="4"/>
  <c r="F33" i="4"/>
  <c r="E33" i="4"/>
  <c r="D33" i="4"/>
  <c r="S32" i="4"/>
  <c r="R32" i="4"/>
  <c r="Q32" i="4"/>
  <c r="P32" i="4"/>
  <c r="O32" i="4"/>
  <c r="N32" i="4"/>
  <c r="M32" i="4"/>
  <c r="L32" i="4"/>
  <c r="K32" i="4"/>
  <c r="J32" i="4"/>
  <c r="I32" i="4"/>
  <c r="H32" i="4"/>
  <c r="G32" i="4"/>
  <c r="F32" i="4"/>
  <c r="E32" i="4"/>
  <c r="D32" i="4"/>
  <c r="S31" i="4"/>
  <c r="R31" i="4"/>
  <c r="Q31" i="4"/>
  <c r="P31" i="4"/>
  <c r="O31" i="4"/>
  <c r="N31" i="4"/>
  <c r="M31" i="4"/>
  <c r="L31" i="4"/>
  <c r="K31" i="4"/>
  <c r="J31" i="4"/>
  <c r="I31" i="4"/>
  <c r="H31" i="4"/>
  <c r="G31" i="4"/>
  <c r="F31" i="4"/>
  <c r="E31" i="4"/>
  <c r="D31" i="4"/>
  <c r="S30" i="4"/>
  <c r="R30" i="4"/>
  <c r="Q30" i="4"/>
  <c r="P30" i="4"/>
  <c r="O30" i="4"/>
  <c r="N30" i="4"/>
  <c r="M30" i="4"/>
  <c r="L30" i="4"/>
  <c r="K30" i="4"/>
  <c r="J30" i="4"/>
  <c r="I30" i="4"/>
  <c r="H30" i="4"/>
  <c r="G30" i="4"/>
  <c r="F30" i="4"/>
  <c r="E30" i="4"/>
  <c r="D30" i="4"/>
  <c r="S29" i="4"/>
  <c r="R29" i="4"/>
  <c r="Q29" i="4"/>
  <c r="P29" i="4"/>
  <c r="O29" i="4"/>
  <c r="N29" i="4"/>
  <c r="M29" i="4"/>
  <c r="L29" i="4"/>
  <c r="K29" i="4"/>
  <c r="J29" i="4"/>
  <c r="I29" i="4"/>
  <c r="H29" i="4"/>
  <c r="G29" i="4"/>
  <c r="F29" i="4"/>
  <c r="E29" i="4"/>
  <c r="D29" i="4"/>
  <c r="S28" i="4"/>
  <c r="R28" i="4"/>
  <c r="Q28" i="4"/>
  <c r="P28" i="4"/>
  <c r="O28" i="4"/>
  <c r="N28" i="4"/>
  <c r="M28" i="4"/>
  <c r="L28" i="4"/>
  <c r="K28" i="4"/>
  <c r="J28" i="4"/>
  <c r="I28" i="4"/>
  <c r="H28" i="4"/>
  <c r="G28" i="4"/>
  <c r="F28" i="4"/>
  <c r="E28" i="4"/>
  <c r="D28" i="4"/>
  <c r="S27" i="4"/>
  <c r="R27" i="4"/>
  <c r="Q27" i="4"/>
  <c r="P27" i="4"/>
  <c r="O27" i="4"/>
  <c r="N27" i="4"/>
  <c r="M27" i="4"/>
  <c r="L27" i="4"/>
  <c r="K27" i="4"/>
  <c r="J27" i="4"/>
  <c r="I27" i="4"/>
  <c r="H27" i="4"/>
  <c r="G27" i="4"/>
  <c r="F27" i="4"/>
  <c r="E27" i="4"/>
  <c r="D27" i="4"/>
  <c r="S26" i="4"/>
  <c r="R26" i="4"/>
  <c r="Q26" i="4"/>
  <c r="P26" i="4"/>
  <c r="O26" i="4"/>
  <c r="N26" i="4"/>
  <c r="M26" i="4"/>
  <c r="L26" i="4"/>
  <c r="K26" i="4"/>
  <c r="J26" i="4"/>
  <c r="I26" i="4"/>
  <c r="H26" i="4"/>
  <c r="G26" i="4"/>
  <c r="F26" i="4"/>
  <c r="E26" i="4"/>
  <c r="D26" i="4"/>
  <c r="S25" i="4"/>
  <c r="R25" i="4"/>
  <c r="Q25" i="4"/>
  <c r="P25" i="4"/>
  <c r="O25" i="4"/>
  <c r="N25" i="4"/>
  <c r="M25" i="4"/>
  <c r="L25" i="4"/>
  <c r="K25" i="4"/>
  <c r="J25" i="4"/>
  <c r="I25" i="4"/>
  <c r="H25" i="4"/>
  <c r="G25" i="4"/>
  <c r="F25" i="4"/>
  <c r="E25" i="4"/>
  <c r="D25" i="4"/>
  <c r="S24" i="4"/>
  <c r="R24" i="4"/>
  <c r="Q24" i="4"/>
  <c r="P24" i="4"/>
  <c r="O24" i="4"/>
  <c r="N24" i="4"/>
  <c r="M24" i="4"/>
  <c r="L24" i="4"/>
  <c r="K24" i="4"/>
  <c r="J24" i="4"/>
  <c r="I24" i="4"/>
  <c r="H24" i="4"/>
  <c r="G24" i="4"/>
  <c r="F24" i="4"/>
  <c r="E24" i="4"/>
  <c r="D24" i="4"/>
  <c r="S23" i="4"/>
  <c r="R23" i="4"/>
  <c r="Q23" i="4"/>
  <c r="P23" i="4"/>
  <c r="O23" i="4"/>
  <c r="N23" i="4"/>
  <c r="M23" i="4"/>
  <c r="L23" i="4"/>
  <c r="K23" i="4"/>
  <c r="J23" i="4"/>
  <c r="I23" i="4"/>
  <c r="H23" i="4"/>
  <c r="G23" i="4"/>
  <c r="F23" i="4"/>
  <c r="E23" i="4"/>
  <c r="D23" i="4"/>
  <c r="S22" i="4"/>
  <c r="R22" i="4"/>
  <c r="Q22" i="4"/>
  <c r="P22" i="4"/>
  <c r="O22" i="4"/>
  <c r="N22" i="4"/>
  <c r="M22" i="4"/>
  <c r="L22" i="4"/>
  <c r="K22" i="4"/>
  <c r="J22" i="4"/>
  <c r="I22" i="4"/>
  <c r="H22" i="4"/>
  <c r="G22" i="4"/>
  <c r="F22" i="4"/>
  <c r="E22" i="4"/>
  <c r="D22" i="4"/>
  <c r="S21" i="4"/>
  <c r="R21" i="4"/>
  <c r="Q21" i="4"/>
  <c r="P21" i="4"/>
  <c r="O21" i="4"/>
  <c r="N21" i="4"/>
  <c r="M21" i="4"/>
  <c r="L21" i="4"/>
  <c r="K21" i="4"/>
  <c r="J21" i="4"/>
  <c r="I21" i="4"/>
  <c r="H21" i="4"/>
  <c r="G21" i="4"/>
  <c r="F21" i="4"/>
  <c r="E21" i="4"/>
  <c r="D21" i="4"/>
  <c r="AW20" i="4"/>
  <c r="AV20" i="4"/>
  <c r="AU20" i="4"/>
  <c r="AT20" i="4"/>
  <c r="AS20" i="4"/>
  <c r="AR20" i="4"/>
  <c r="AQ20" i="4"/>
  <c r="AP20" i="4"/>
  <c r="AO20" i="4"/>
  <c r="AN20"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I20" i="4"/>
  <c r="H20" i="4"/>
  <c r="G20" i="4"/>
  <c r="F20" i="4"/>
  <c r="E20" i="4"/>
  <c r="D20" i="4"/>
  <c r="AW19" i="4"/>
  <c r="AV19" i="4"/>
  <c r="AU19" i="4"/>
  <c r="AT19" i="4"/>
  <c r="AS19" i="4"/>
  <c r="AR19" i="4"/>
  <c r="AQ19" i="4"/>
  <c r="AP19" i="4"/>
  <c r="AO19" i="4"/>
  <c r="AN19" i="4"/>
  <c r="AM19" i="4"/>
  <c r="AL19" i="4"/>
  <c r="AK19" i="4"/>
  <c r="AJ19" i="4"/>
  <c r="AI19" i="4"/>
  <c r="AH19" i="4"/>
  <c r="AG19" i="4"/>
  <c r="AF19" i="4"/>
  <c r="AE19" i="4"/>
  <c r="AD19" i="4"/>
  <c r="AC19" i="4"/>
  <c r="AB19" i="4"/>
  <c r="AA19" i="4"/>
  <c r="Z19" i="4"/>
  <c r="Y19" i="4"/>
  <c r="X19" i="4"/>
  <c r="W19" i="4"/>
  <c r="V19" i="4"/>
  <c r="U19" i="4"/>
  <c r="T19" i="4"/>
  <c r="S19" i="4"/>
  <c r="R19" i="4"/>
  <c r="Q19" i="4"/>
  <c r="P19" i="4"/>
  <c r="O19" i="4"/>
  <c r="N19" i="4"/>
  <c r="M19" i="4"/>
  <c r="L19" i="4"/>
  <c r="K19" i="4"/>
  <c r="J19" i="4"/>
  <c r="I19" i="4"/>
  <c r="H19" i="4"/>
  <c r="G19" i="4"/>
  <c r="F19" i="4"/>
  <c r="E19" i="4"/>
  <c r="D19"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E18" i="4"/>
  <c r="D18" i="4"/>
  <c r="AW17" i="4"/>
  <c r="AV17" i="4"/>
  <c r="AU17" i="4"/>
  <c r="AT17" i="4"/>
  <c r="AS17" i="4"/>
  <c r="AR17" i="4"/>
  <c r="AQ17" i="4"/>
  <c r="AP17" i="4"/>
  <c r="AO17" i="4"/>
  <c r="AN17" i="4"/>
  <c r="AM17" i="4"/>
  <c r="AL17" i="4"/>
  <c r="AK17" i="4"/>
  <c r="AJ17" i="4"/>
  <c r="AI17" i="4"/>
  <c r="AH17" i="4"/>
  <c r="AG17" i="4"/>
  <c r="AF17" i="4"/>
  <c r="AE17" i="4"/>
  <c r="AD17" i="4"/>
  <c r="AC17" i="4"/>
  <c r="AB17" i="4"/>
  <c r="AA17" i="4"/>
  <c r="Z17" i="4"/>
  <c r="Y17" i="4"/>
  <c r="X17" i="4"/>
  <c r="W17" i="4"/>
  <c r="V17" i="4"/>
  <c r="U17" i="4"/>
  <c r="T17" i="4"/>
  <c r="S17" i="4"/>
  <c r="R17" i="4"/>
  <c r="Q17" i="4"/>
  <c r="P17" i="4"/>
  <c r="O17" i="4"/>
  <c r="N17" i="4"/>
  <c r="M17" i="4"/>
  <c r="L17" i="4"/>
  <c r="K17" i="4"/>
  <c r="J17" i="4"/>
  <c r="I17" i="4"/>
  <c r="H17" i="4"/>
  <c r="G17" i="4"/>
  <c r="F17" i="4"/>
  <c r="E17" i="4"/>
  <c r="D17" i="4"/>
  <c r="AW16" i="4"/>
  <c r="AV16" i="4"/>
  <c r="AU16" i="4"/>
  <c r="AT16" i="4"/>
  <c r="AS16" i="4"/>
  <c r="AR16" i="4"/>
  <c r="AQ16" i="4"/>
  <c r="AP16" i="4"/>
  <c r="AO16" i="4"/>
  <c r="AN16" i="4"/>
  <c r="AM16" i="4"/>
  <c r="AL16" i="4"/>
  <c r="AK16" i="4"/>
  <c r="AJ16" i="4"/>
  <c r="AI16" i="4"/>
  <c r="AH16" i="4"/>
  <c r="AG16" i="4"/>
  <c r="AF16" i="4"/>
  <c r="AE16" i="4"/>
  <c r="AD16" i="4"/>
  <c r="AC16" i="4"/>
  <c r="AB16" i="4"/>
  <c r="AA16" i="4"/>
  <c r="Z16" i="4"/>
  <c r="Y16" i="4"/>
  <c r="X16" i="4"/>
  <c r="W16" i="4"/>
  <c r="V16" i="4"/>
  <c r="U16" i="4"/>
  <c r="T16" i="4"/>
  <c r="S16" i="4"/>
  <c r="R16" i="4"/>
  <c r="Q16" i="4"/>
  <c r="P16" i="4"/>
  <c r="O16" i="4"/>
  <c r="N16" i="4"/>
  <c r="M16" i="4"/>
  <c r="L16" i="4"/>
  <c r="K16" i="4"/>
  <c r="J16" i="4"/>
  <c r="I16" i="4"/>
  <c r="H16" i="4"/>
  <c r="G16" i="4"/>
  <c r="F16" i="4"/>
  <c r="E16" i="4"/>
  <c r="D16" i="4"/>
  <c r="AW15" i="4"/>
  <c r="AV15" i="4"/>
  <c r="AU15" i="4"/>
  <c r="AT15" i="4"/>
  <c r="AS15" i="4"/>
  <c r="AR15" i="4"/>
  <c r="AQ15" i="4"/>
  <c r="AP15" i="4"/>
  <c r="AO15" i="4"/>
  <c r="AN15" i="4"/>
  <c r="AM15" i="4"/>
  <c r="AL15" i="4"/>
  <c r="AK15" i="4"/>
  <c r="AJ15" i="4"/>
  <c r="AI15" i="4"/>
  <c r="AH15" i="4"/>
  <c r="AG15" i="4"/>
  <c r="AF15" i="4"/>
  <c r="AE15" i="4"/>
  <c r="AD15" i="4"/>
  <c r="AC15" i="4"/>
  <c r="AB15" i="4"/>
  <c r="AA15" i="4"/>
  <c r="Z15" i="4"/>
  <c r="Y15" i="4"/>
  <c r="X15" i="4"/>
  <c r="W15" i="4"/>
  <c r="V15" i="4"/>
  <c r="U15" i="4"/>
  <c r="T15" i="4"/>
  <c r="S15" i="4"/>
  <c r="R15" i="4"/>
  <c r="Q15" i="4"/>
  <c r="P15" i="4"/>
  <c r="O15" i="4"/>
  <c r="N15" i="4"/>
  <c r="M15" i="4"/>
  <c r="L15" i="4"/>
  <c r="K15" i="4"/>
  <c r="J15" i="4"/>
  <c r="I15" i="4"/>
  <c r="H15" i="4"/>
  <c r="G15" i="4"/>
  <c r="F15" i="4"/>
  <c r="E15" i="4"/>
  <c r="D15" i="4"/>
  <c r="AW14" i="4"/>
  <c r="AV14" i="4"/>
  <c r="AU14" i="4"/>
  <c r="AT14" i="4"/>
  <c r="AS14" i="4"/>
  <c r="AR14" i="4"/>
  <c r="AQ14" i="4"/>
  <c r="AP14" i="4"/>
  <c r="AO14" i="4"/>
  <c r="AN14" i="4"/>
  <c r="AM14" i="4"/>
  <c r="AL14" i="4"/>
  <c r="AK14" i="4"/>
  <c r="AJ14" i="4"/>
  <c r="AI14" i="4"/>
  <c r="AH14" i="4"/>
  <c r="AG14" i="4"/>
  <c r="AF14" i="4"/>
  <c r="AE14" i="4"/>
  <c r="AD14" i="4"/>
  <c r="AC14" i="4"/>
  <c r="AB14" i="4"/>
  <c r="AA14" i="4"/>
  <c r="Z14" i="4"/>
  <c r="Y14" i="4"/>
  <c r="X14" i="4"/>
  <c r="W14" i="4"/>
  <c r="V14" i="4"/>
  <c r="U14" i="4"/>
  <c r="T14" i="4"/>
  <c r="S14" i="4"/>
  <c r="R14" i="4"/>
  <c r="Q14" i="4"/>
  <c r="P14" i="4"/>
  <c r="O14" i="4"/>
  <c r="N14" i="4"/>
  <c r="M14" i="4"/>
  <c r="L14" i="4"/>
  <c r="K14" i="4"/>
  <c r="J14" i="4"/>
  <c r="I14" i="4"/>
  <c r="H14" i="4"/>
  <c r="G14" i="4"/>
  <c r="F14" i="4"/>
  <c r="E14" i="4"/>
  <c r="D14" i="4"/>
  <c r="AW13" i="4"/>
  <c r="AV13" i="4"/>
  <c r="AU13" i="4"/>
  <c r="AT13" i="4"/>
  <c r="AS13" i="4"/>
  <c r="AR13" i="4"/>
  <c r="AQ13" i="4"/>
  <c r="AP13" i="4"/>
  <c r="AO13" i="4"/>
  <c r="AN13"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I13" i="4"/>
  <c r="H13" i="4"/>
  <c r="G13" i="4"/>
  <c r="F13" i="4"/>
  <c r="E13" i="4"/>
  <c r="D13" i="4"/>
  <c r="AW12" i="4"/>
  <c r="AV12" i="4"/>
  <c r="AU12" i="4"/>
  <c r="AT12" i="4"/>
  <c r="AS12" i="4"/>
  <c r="AR12" i="4"/>
  <c r="AQ12" i="4"/>
  <c r="AP12" i="4"/>
  <c r="AO12" i="4"/>
  <c r="AN12" i="4"/>
  <c r="AM12" i="4"/>
  <c r="AL12" i="4"/>
  <c r="AK12" i="4"/>
  <c r="AJ12" i="4"/>
  <c r="AI12" i="4"/>
  <c r="AH12" i="4"/>
  <c r="AG12" i="4"/>
  <c r="AF12" i="4"/>
  <c r="AE12" i="4"/>
  <c r="AD12" i="4"/>
  <c r="AC12" i="4"/>
  <c r="AB12" i="4"/>
  <c r="AA12" i="4"/>
  <c r="Z12" i="4"/>
  <c r="Y12" i="4"/>
  <c r="X12" i="4"/>
  <c r="W12" i="4"/>
  <c r="V12" i="4"/>
  <c r="U12" i="4"/>
  <c r="T12" i="4"/>
  <c r="S12" i="4"/>
  <c r="R12" i="4"/>
  <c r="Q12" i="4"/>
  <c r="P12" i="4"/>
  <c r="O12" i="4"/>
  <c r="N12" i="4"/>
  <c r="M12" i="4"/>
  <c r="L12" i="4"/>
  <c r="K12" i="4"/>
  <c r="J12" i="4"/>
  <c r="I12" i="4"/>
  <c r="H12" i="4"/>
  <c r="G12" i="4"/>
  <c r="F12" i="4"/>
  <c r="E12" i="4"/>
  <c r="D12"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H11" i="4"/>
  <c r="G11" i="4"/>
  <c r="F11" i="4"/>
  <c r="E11" i="4"/>
  <c r="D11" i="4"/>
  <c r="AW10" i="4"/>
  <c r="AV10" i="4"/>
  <c r="AU10" i="4"/>
  <c r="AT10" i="4"/>
  <c r="AS10" i="4"/>
  <c r="AR10" i="4"/>
  <c r="AQ10" i="4"/>
  <c r="AP10" i="4"/>
  <c r="AO10" i="4"/>
  <c r="AN10" i="4"/>
  <c r="AM10" i="4"/>
  <c r="AL10" i="4"/>
  <c r="AK10" i="4"/>
  <c r="AJ10" i="4"/>
  <c r="AI10" i="4"/>
  <c r="AH10" i="4"/>
  <c r="AG10" i="4"/>
  <c r="AF10" i="4"/>
  <c r="AE10" i="4"/>
  <c r="AD10" i="4"/>
  <c r="AC10" i="4"/>
  <c r="AB10" i="4"/>
  <c r="AA10" i="4"/>
  <c r="Z10" i="4"/>
  <c r="Y10" i="4"/>
  <c r="X10" i="4"/>
  <c r="W10" i="4"/>
  <c r="V10" i="4"/>
  <c r="U10" i="4"/>
  <c r="T10" i="4"/>
  <c r="S10" i="4"/>
  <c r="R10" i="4"/>
  <c r="Q10" i="4"/>
  <c r="P10" i="4"/>
  <c r="O10" i="4"/>
  <c r="N10" i="4"/>
  <c r="M10" i="4"/>
  <c r="L10" i="4"/>
  <c r="K10" i="4"/>
  <c r="J10" i="4"/>
  <c r="I10" i="4"/>
  <c r="H10" i="4"/>
  <c r="G10" i="4"/>
  <c r="F10" i="4"/>
  <c r="E10" i="4"/>
  <c r="D10"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E9" i="4"/>
  <c r="D9"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G8" i="4"/>
  <c r="F8" i="4"/>
  <c r="E8" i="4"/>
  <c r="D8"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AW6" i="4"/>
  <c r="AV6" i="4"/>
  <c r="AU6" i="4"/>
  <c r="AT6" i="4"/>
  <c r="AS6" i="4"/>
  <c r="AR6" i="4"/>
  <c r="AQ6" i="4"/>
  <c r="AP6" i="4"/>
  <c r="AO6" i="4"/>
  <c r="AN6" i="4"/>
  <c r="AM6" i="4"/>
  <c r="AL6" i="4"/>
  <c r="AK6" i="4"/>
  <c r="AJ6" i="4"/>
  <c r="AI6" i="4"/>
  <c r="AH6" i="4"/>
  <c r="AG6" i="4"/>
  <c r="AF6" i="4"/>
  <c r="AE6" i="4"/>
  <c r="AD6" i="4"/>
  <c r="AC6" i="4"/>
  <c r="AB6" i="4"/>
  <c r="AA6" i="4"/>
  <c r="Z6" i="4"/>
  <c r="Y6" i="4"/>
  <c r="X6" i="4"/>
  <c r="W6" i="4"/>
  <c r="V6" i="4"/>
  <c r="U6" i="4"/>
  <c r="T6" i="4"/>
  <c r="S6" i="4"/>
  <c r="R6" i="4"/>
  <c r="Q6" i="4"/>
  <c r="P6" i="4"/>
  <c r="O6" i="4"/>
  <c r="N6" i="4"/>
  <c r="M6" i="4"/>
  <c r="L6" i="4"/>
  <c r="K6" i="4"/>
  <c r="J6" i="4"/>
  <c r="I6" i="4"/>
  <c r="H6" i="4"/>
  <c r="G6" i="4"/>
  <c r="F6" i="4"/>
  <c r="E6" i="4"/>
  <c r="D6" i="4"/>
  <c r="AW5" i="4"/>
  <c r="B26" i="3"/>
  <c r="B25" i="3"/>
  <c r="B24" i="3"/>
  <c r="B23" i="3"/>
  <c r="B22" i="3"/>
  <c r="B21" i="3"/>
  <c r="B20" i="3"/>
  <c r="B19" i="3"/>
  <c r="B18" i="3"/>
  <c r="B17" i="3"/>
  <c r="B16" i="3"/>
  <c r="B15" i="3"/>
  <c r="B14" i="3"/>
  <c r="B13" i="3"/>
  <c r="B12" i="3"/>
  <c r="AV5" i="4"/>
  <c r="AU5" i="4"/>
  <c r="AT5" i="4"/>
  <c r="AS5" i="4"/>
  <c r="AR5" i="4"/>
  <c r="AQ5" i="4"/>
  <c r="AP5" i="4"/>
  <c r="AO5" i="4"/>
  <c r="AN5" i="4"/>
  <c r="AM5" i="4"/>
  <c r="AL5" i="4"/>
  <c r="AK5" i="4"/>
  <c r="AJ5" i="4"/>
  <c r="AI5" i="4"/>
  <c r="AH5" i="4"/>
  <c r="AG5" i="4"/>
  <c r="AF5" i="4"/>
  <c r="AE5" i="4"/>
  <c r="AD5" i="4"/>
  <c r="AC5" i="4"/>
  <c r="AB5" i="4"/>
  <c r="AA5" i="4"/>
  <c r="Z5" i="4"/>
  <c r="Y5" i="4"/>
  <c r="X5" i="4"/>
  <c r="W5" i="4"/>
  <c r="V5" i="4"/>
  <c r="U5" i="4"/>
  <c r="T5" i="4"/>
  <c r="S5" i="4"/>
  <c r="R5" i="4"/>
  <c r="Q5" i="4"/>
  <c r="P5" i="4"/>
  <c r="O5" i="4"/>
  <c r="N5" i="4"/>
  <c r="M5" i="4"/>
  <c r="L5" i="4"/>
  <c r="K5" i="4"/>
  <c r="J5" i="4"/>
  <c r="I5" i="4"/>
  <c r="H5" i="4"/>
  <c r="G5" i="4"/>
  <c r="F5" i="4"/>
  <c r="E5" i="4"/>
  <c r="BD26" i="22"/>
  <c r="BD25" i="22"/>
  <c r="BD24" i="22"/>
  <c r="BD23" i="22"/>
  <c r="BD22" i="22"/>
  <c r="BD21" i="22"/>
  <c r="BD20" i="22"/>
  <c r="BD19" i="22"/>
  <c r="BD18" i="22"/>
  <c r="BD17" i="22"/>
  <c r="BD16" i="22"/>
  <c r="BD15" i="22"/>
  <c r="BD14" i="22"/>
  <c r="BD13" i="22"/>
  <c r="BD12" i="22"/>
  <c r="CY26" i="1"/>
  <c r="CY25" i="1"/>
  <c r="CY24" i="1"/>
  <c r="CY23" i="1"/>
  <c r="CY22" i="1"/>
  <c r="CY21" i="1"/>
  <c r="CY20" i="1"/>
  <c r="CY19" i="1"/>
  <c r="CY18" i="1"/>
  <c r="CY17" i="1"/>
  <c r="CY16" i="1"/>
  <c r="CY15" i="1"/>
  <c r="CY14" i="1"/>
  <c r="CY13" i="1"/>
  <c r="CY12" i="1"/>
  <c r="AC9" i="16"/>
  <c r="AD9" i="16"/>
  <c r="AE9" i="16"/>
  <c r="AF9" i="16"/>
  <c r="AG9" i="16"/>
  <c r="AH9" i="16"/>
  <c r="AI9" i="16"/>
  <c r="AJ9" i="16"/>
  <c r="AK9" i="16"/>
  <c r="AL9" i="16"/>
  <c r="AM9" i="16"/>
  <c r="AN9" i="16"/>
  <c r="AO9" i="16"/>
  <c r="AP9" i="16"/>
  <c r="AQ9" i="16"/>
  <c r="AR9" i="16"/>
  <c r="AS9" i="16"/>
  <c r="AT9" i="16"/>
  <c r="AU9" i="16"/>
  <c r="AV9" i="16"/>
  <c r="AW9" i="16"/>
  <c r="AX9" i="16"/>
  <c r="AY9" i="16"/>
  <c r="AZ9" i="16"/>
  <c r="BA9" i="16"/>
  <c r="BB9" i="16"/>
  <c r="BC9" i="16"/>
  <c r="BD9" i="16"/>
  <c r="BE9" i="16"/>
  <c r="BF9" i="16"/>
  <c r="BG9" i="16"/>
  <c r="BH9" i="16"/>
  <c r="BI9" i="16"/>
  <c r="BJ9" i="16"/>
  <c r="BK9" i="16"/>
  <c r="BL9" i="16"/>
  <c r="BM9" i="16"/>
  <c r="BN9" i="16"/>
  <c r="BO9" i="16"/>
  <c r="BU5" i="1"/>
  <c r="BC8" i="1"/>
  <c r="C5" i="26"/>
  <c r="AU4" i="26"/>
  <c r="BA6" i="26"/>
  <c r="BA7" i="26"/>
  <c r="AU6" i="26"/>
  <c r="AU7" i="26"/>
  <c r="AU11" i="1"/>
  <c r="AV11" i="1"/>
  <c r="AW11" i="1"/>
  <c r="AX11" i="1"/>
  <c r="AY11" i="1"/>
  <c r="AZ11" i="1"/>
  <c r="BA11" i="1"/>
  <c r="BB11" i="1"/>
  <c r="BC11" i="1"/>
  <c r="BD11" i="1"/>
  <c r="AU12" i="1"/>
  <c r="AV12" i="1"/>
  <c r="AW12" i="1"/>
  <c r="AX12" i="1"/>
  <c r="AY12" i="1"/>
  <c r="AZ12" i="1"/>
  <c r="BA12" i="1"/>
  <c r="BB12" i="1"/>
  <c r="BC12" i="1"/>
  <c r="BD12" i="1"/>
  <c r="AU13" i="1"/>
  <c r="AV13" i="1"/>
  <c r="AW13" i="1"/>
  <c r="AX13" i="1"/>
  <c r="AY13" i="1"/>
  <c r="AZ13" i="1"/>
  <c r="BA13" i="1"/>
  <c r="BB13" i="1"/>
  <c r="BC13" i="1"/>
  <c r="BD13" i="1"/>
  <c r="AU14" i="1"/>
  <c r="AV14" i="1"/>
  <c r="AW14" i="1"/>
  <c r="AX14" i="1"/>
  <c r="AY14" i="1"/>
  <c r="AZ14" i="1"/>
  <c r="BA14" i="1"/>
  <c r="BB14" i="1"/>
  <c r="BC14" i="1"/>
  <c r="BD14" i="1"/>
  <c r="AU15" i="1"/>
  <c r="AV15" i="1"/>
  <c r="AW15" i="1"/>
  <c r="AX15" i="1"/>
  <c r="AY15" i="1"/>
  <c r="AZ15" i="1"/>
  <c r="BA15" i="1"/>
  <c r="BB15" i="1"/>
  <c r="BC15" i="1"/>
  <c r="BD15" i="1"/>
  <c r="AU16" i="1"/>
  <c r="AV16" i="1"/>
  <c r="AW16" i="1"/>
  <c r="AX16" i="1"/>
  <c r="AY16" i="1"/>
  <c r="AZ16" i="1"/>
  <c r="BA16" i="1"/>
  <c r="BB16" i="1"/>
  <c r="BC16" i="1"/>
  <c r="BD16" i="1"/>
  <c r="AU17" i="1"/>
  <c r="AV17" i="1"/>
  <c r="AW17" i="1"/>
  <c r="AX17" i="1"/>
  <c r="AY17" i="1"/>
  <c r="AZ17" i="1"/>
  <c r="BA17" i="1"/>
  <c r="BB17" i="1"/>
  <c r="BC17" i="1"/>
  <c r="BD17" i="1"/>
  <c r="AU18" i="1"/>
  <c r="AV18" i="1"/>
  <c r="AW18" i="1"/>
  <c r="AX18" i="1"/>
  <c r="AY18" i="1"/>
  <c r="AZ18" i="1"/>
  <c r="BA18" i="1"/>
  <c r="BB18" i="1"/>
  <c r="BC18" i="1"/>
  <c r="BD18" i="1"/>
  <c r="AU19" i="1"/>
  <c r="AV19" i="1"/>
  <c r="AW19" i="1"/>
  <c r="AX19" i="1"/>
  <c r="AY19" i="1"/>
  <c r="AZ19" i="1"/>
  <c r="BA19" i="1"/>
  <c r="BB19" i="1"/>
  <c r="BC19" i="1"/>
  <c r="BD19" i="1"/>
  <c r="AU20" i="1"/>
  <c r="AV20" i="1"/>
  <c r="AW20" i="1"/>
  <c r="AX20" i="1"/>
  <c r="AY20" i="1"/>
  <c r="AZ20" i="1"/>
  <c r="BA20" i="1"/>
  <c r="BB20" i="1"/>
  <c r="BC20" i="1"/>
  <c r="BD20" i="1"/>
  <c r="AU21" i="1"/>
  <c r="AV21" i="1"/>
  <c r="AW21" i="1"/>
  <c r="AX21" i="1"/>
  <c r="AY21" i="1"/>
  <c r="AZ21" i="1"/>
  <c r="BA21" i="1"/>
  <c r="BB21" i="1"/>
  <c r="BC21" i="1"/>
  <c r="BD21" i="1"/>
  <c r="AU22" i="1"/>
  <c r="AV22" i="1"/>
  <c r="AW22" i="1"/>
  <c r="AX22" i="1"/>
  <c r="AY22" i="1"/>
  <c r="AZ22" i="1"/>
  <c r="BA22" i="1"/>
  <c r="BB22" i="1"/>
  <c r="BC22" i="1"/>
  <c r="BD22" i="1"/>
  <c r="AU23" i="1"/>
  <c r="AV23" i="1"/>
  <c r="AW23" i="1"/>
  <c r="AX23" i="1"/>
  <c r="AY23" i="1"/>
  <c r="AZ23" i="1"/>
  <c r="BA23" i="1"/>
  <c r="BB23" i="1"/>
  <c r="BC23" i="1"/>
  <c r="BD23" i="1"/>
  <c r="AU24" i="1"/>
  <c r="AV24" i="1"/>
  <c r="AW24" i="1"/>
  <c r="AX24" i="1"/>
  <c r="AY24" i="1"/>
  <c r="AZ24" i="1"/>
  <c r="BA24" i="1"/>
  <c r="BB24" i="1"/>
  <c r="BC24" i="1"/>
  <c r="BD24" i="1"/>
  <c r="AU25" i="1"/>
  <c r="AV25" i="1"/>
  <c r="AW25" i="1"/>
  <c r="AX25" i="1"/>
  <c r="AY25" i="1"/>
  <c r="AZ25" i="1"/>
  <c r="BA25" i="1"/>
  <c r="BB25" i="1"/>
  <c r="BC25" i="1"/>
  <c r="BD25" i="1"/>
  <c r="AU26" i="1"/>
  <c r="AV26" i="1"/>
  <c r="AW26" i="1"/>
  <c r="AX26" i="1"/>
  <c r="AY26" i="1"/>
  <c r="AZ26" i="1"/>
  <c r="BA26" i="1"/>
  <c r="BB26" i="1"/>
  <c r="BC26" i="1"/>
  <c r="BD26" i="1"/>
  <c r="AU27" i="1"/>
  <c r="AV27" i="1"/>
  <c r="AW27" i="1"/>
  <c r="AX27" i="1"/>
  <c r="AY27" i="1"/>
  <c r="AZ27" i="1"/>
  <c r="BA27" i="1"/>
  <c r="BB27" i="1"/>
  <c r="BC27" i="1"/>
  <c r="BD27" i="1"/>
  <c r="AU28" i="1"/>
  <c r="AV28" i="1"/>
  <c r="AW28" i="1"/>
  <c r="AX28" i="1"/>
  <c r="AY28" i="1"/>
  <c r="AZ28" i="1"/>
  <c r="BA28" i="1"/>
  <c r="BB28" i="1"/>
  <c r="BC28" i="1"/>
  <c r="BD28" i="1"/>
  <c r="AU29" i="1"/>
  <c r="AV29" i="1"/>
  <c r="AW29" i="1"/>
  <c r="AX29" i="1"/>
  <c r="AY29" i="1"/>
  <c r="AZ29" i="1"/>
  <c r="BA29" i="1"/>
  <c r="BB29" i="1"/>
  <c r="BC29" i="1"/>
  <c r="BD29" i="1"/>
  <c r="AU30" i="1"/>
  <c r="AV30" i="1"/>
  <c r="AW30" i="1"/>
  <c r="AX30" i="1"/>
  <c r="AY30" i="1"/>
  <c r="AZ30" i="1"/>
  <c r="BA30" i="1"/>
  <c r="BB30" i="1"/>
  <c r="BC30" i="1"/>
  <c r="BD30" i="1"/>
  <c r="AU31" i="1"/>
  <c r="AV31" i="1"/>
  <c r="AW31" i="1"/>
  <c r="AX31" i="1"/>
  <c r="AY31" i="1"/>
  <c r="AZ31" i="1"/>
  <c r="BA31" i="1"/>
  <c r="BB31" i="1"/>
  <c r="BC31" i="1"/>
  <c r="BD31" i="1"/>
  <c r="AU32" i="1"/>
  <c r="AV32" i="1"/>
  <c r="AW32" i="1"/>
  <c r="AX32" i="1"/>
  <c r="AY32" i="1"/>
  <c r="AZ32" i="1"/>
  <c r="BA32" i="1"/>
  <c r="BB32" i="1"/>
  <c r="BC32" i="1"/>
  <c r="BD32" i="1"/>
  <c r="AU33" i="1"/>
  <c r="AV33" i="1"/>
  <c r="AW33" i="1"/>
  <c r="AX33" i="1"/>
  <c r="AY33" i="1"/>
  <c r="AZ33" i="1"/>
  <c r="BA33" i="1"/>
  <c r="BB33" i="1"/>
  <c r="BC33" i="1"/>
  <c r="BD33" i="1"/>
  <c r="AU34" i="1"/>
  <c r="AV34" i="1"/>
  <c r="AW34" i="1"/>
  <c r="AX34" i="1"/>
  <c r="AY34" i="1"/>
  <c r="AZ34" i="1"/>
  <c r="BA34" i="1"/>
  <c r="BB34" i="1"/>
  <c r="BC34" i="1"/>
  <c r="BD34" i="1"/>
  <c r="AU35" i="1"/>
  <c r="AV35" i="1"/>
  <c r="AW35" i="1"/>
  <c r="AX35" i="1"/>
  <c r="AY35" i="1"/>
  <c r="AZ35" i="1"/>
  <c r="BA35" i="1"/>
  <c r="BB35" i="1"/>
  <c r="BC35" i="1"/>
  <c r="BD35" i="1"/>
  <c r="AU36" i="1"/>
  <c r="AV36" i="1"/>
  <c r="AW36" i="1"/>
  <c r="AX36" i="1"/>
  <c r="AY36" i="1"/>
  <c r="AZ36" i="1"/>
  <c r="BA36" i="1"/>
  <c r="BB36" i="1"/>
  <c r="BC36" i="1"/>
  <c r="BD36" i="1"/>
  <c r="AU37" i="1"/>
  <c r="AV37" i="1"/>
  <c r="AW37" i="1"/>
  <c r="AX37" i="1"/>
  <c r="AY37" i="1"/>
  <c r="AZ37" i="1"/>
  <c r="BA37" i="1"/>
  <c r="BB37" i="1"/>
  <c r="BC37" i="1"/>
  <c r="BD37" i="1"/>
  <c r="AU38" i="1"/>
  <c r="AV38" i="1"/>
  <c r="AW38" i="1"/>
  <c r="AX38" i="1"/>
  <c r="AY38" i="1"/>
  <c r="AZ38" i="1"/>
  <c r="BA38" i="1"/>
  <c r="BB38" i="1"/>
  <c r="BC38" i="1"/>
  <c r="BD38" i="1"/>
  <c r="AU39" i="1"/>
  <c r="AV39" i="1"/>
  <c r="AW39" i="1"/>
  <c r="AX39" i="1"/>
  <c r="AY39" i="1"/>
  <c r="AZ39" i="1"/>
  <c r="BA39" i="1"/>
  <c r="BB39" i="1"/>
  <c r="BC39" i="1"/>
  <c r="BD39" i="1"/>
  <c r="AU40" i="1"/>
  <c r="AV40" i="1"/>
  <c r="AW40" i="1"/>
  <c r="AX40" i="1"/>
  <c r="AY40" i="1"/>
  <c r="AZ40" i="1"/>
  <c r="BA40" i="1"/>
  <c r="BB40" i="1"/>
  <c r="BC40" i="1"/>
  <c r="BD40" i="1"/>
  <c r="AU41" i="1"/>
  <c r="AV41" i="1"/>
  <c r="AW41" i="1"/>
  <c r="AX41" i="1"/>
  <c r="AY41" i="1"/>
  <c r="AZ41" i="1"/>
  <c r="BA41" i="1"/>
  <c r="BB41" i="1"/>
  <c r="BC41" i="1"/>
  <c r="BD41" i="1"/>
  <c r="AU42" i="1"/>
  <c r="AV42" i="1"/>
  <c r="AW42" i="1"/>
  <c r="AX42" i="1"/>
  <c r="AY42" i="1"/>
  <c r="AZ42" i="1"/>
  <c r="BA42" i="1"/>
  <c r="BB42" i="1"/>
  <c r="BC42" i="1"/>
  <c r="BD42" i="1"/>
  <c r="AU43" i="1"/>
  <c r="AV43" i="1"/>
  <c r="AW43" i="1"/>
  <c r="AX43" i="1"/>
  <c r="AY43" i="1"/>
  <c r="AZ43" i="1"/>
  <c r="BA43" i="1"/>
  <c r="BB43" i="1"/>
  <c r="BC43" i="1"/>
  <c r="BD43" i="1"/>
  <c r="AU44" i="1"/>
  <c r="AV44" i="1"/>
  <c r="AW44" i="1"/>
  <c r="AX44" i="1"/>
  <c r="AY44" i="1"/>
  <c r="AZ44" i="1"/>
  <c r="BA44" i="1"/>
  <c r="BB44" i="1"/>
  <c r="BC44" i="1"/>
  <c r="BD44" i="1"/>
  <c r="AU45" i="1"/>
  <c r="AV45" i="1"/>
  <c r="AW45" i="1"/>
  <c r="AX45" i="1"/>
  <c r="AY45" i="1"/>
  <c r="AZ45" i="1"/>
  <c r="BA45" i="1"/>
  <c r="BB45" i="1"/>
  <c r="BC45" i="1"/>
  <c r="BD45" i="1"/>
  <c r="AU46" i="1"/>
  <c r="AV46" i="1"/>
  <c r="AW46" i="1"/>
  <c r="AX46" i="1"/>
  <c r="AY46" i="1"/>
  <c r="AZ46" i="1"/>
  <c r="BA46" i="1"/>
  <c r="BB46" i="1"/>
  <c r="BC46" i="1"/>
  <c r="BD46" i="1"/>
  <c r="AU47" i="1"/>
  <c r="AV47" i="1"/>
  <c r="AW47" i="1"/>
  <c r="AX47" i="1"/>
  <c r="AY47" i="1"/>
  <c r="AZ47" i="1"/>
  <c r="BA47" i="1"/>
  <c r="BB47" i="1"/>
  <c r="BC47" i="1"/>
  <c r="BD47" i="1"/>
  <c r="AU48" i="1"/>
  <c r="AV48" i="1"/>
  <c r="AW48" i="1"/>
  <c r="AX48" i="1"/>
  <c r="AY48" i="1"/>
  <c r="AZ48" i="1"/>
  <c r="BA48" i="1"/>
  <c r="BB48" i="1"/>
  <c r="BC48" i="1"/>
  <c r="BD48" i="1"/>
  <c r="AU49" i="1"/>
  <c r="AV49" i="1"/>
  <c r="AW49" i="1"/>
  <c r="AX49" i="1"/>
  <c r="AY49" i="1"/>
  <c r="AZ49" i="1"/>
  <c r="BA49" i="1"/>
  <c r="BB49" i="1"/>
  <c r="BC49" i="1"/>
  <c r="BD49" i="1"/>
  <c r="AU50" i="1"/>
  <c r="AV50" i="1"/>
  <c r="AW50" i="1"/>
  <c r="AX50" i="1"/>
  <c r="AY50" i="1"/>
  <c r="AZ50" i="1"/>
  <c r="BA50" i="1"/>
  <c r="BB50" i="1"/>
  <c r="BC50" i="1"/>
  <c r="BD50" i="1"/>
  <c r="AU51" i="1"/>
  <c r="AV51" i="1"/>
  <c r="AW51" i="1"/>
  <c r="AX51" i="1"/>
  <c r="AY51" i="1"/>
  <c r="AZ51" i="1"/>
  <c r="BA51" i="1"/>
  <c r="BB51" i="1"/>
  <c r="BC51" i="1"/>
  <c r="BD51" i="1"/>
  <c r="AU52" i="1"/>
  <c r="AV52" i="1"/>
  <c r="AW52" i="1"/>
  <c r="AX52" i="1"/>
  <c r="AY52" i="1"/>
  <c r="AZ52" i="1"/>
  <c r="BA52" i="1"/>
  <c r="BB52" i="1"/>
  <c r="BC52" i="1"/>
  <c r="BD52" i="1"/>
  <c r="AU53" i="1"/>
  <c r="AV53" i="1"/>
  <c r="AW53" i="1"/>
  <c r="AX53" i="1"/>
  <c r="AY53" i="1"/>
  <c r="AZ53" i="1"/>
  <c r="BA53" i="1"/>
  <c r="BB53" i="1"/>
  <c r="BC53" i="1"/>
  <c r="BD53" i="1"/>
  <c r="AU54" i="1"/>
  <c r="AV54" i="1"/>
  <c r="AW54" i="1"/>
  <c r="AX54" i="1"/>
  <c r="AY54" i="1"/>
  <c r="AZ54" i="1"/>
  <c r="BA54" i="1"/>
  <c r="BB54" i="1"/>
  <c r="BC54" i="1"/>
  <c r="BD54" i="1"/>
  <c r="AU55" i="1"/>
  <c r="AV55" i="1"/>
  <c r="AW55" i="1"/>
  <c r="AX55" i="1"/>
  <c r="AY55" i="1"/>
  <c r="AZ55" i="1"/>
  <c r="BA55" i="1"/>
  <c r="BB55" i="1"/>
  <c r="BC55" i="1"/>
  <c r="BD55" i="1"/>
  <c r="AU56" i="1"/>
  <c r="AV56" i="1"/>
  <c r="AW56" i="1"/>
  <c r="AX56" i="1"/>
  <c r="AY56" i="1"/>
  <c r="AZ56" i="1"/>
  <c r="BA56" i="1"/>
  <c r="BB56" i="1"/>
  <c r="BC56" i="1"/>
  <c r="BD56" i="1"/>
  <c r="BD8" i="1"/>
  <c r="BH11" i="22"/>
  <c r="BI11" i="22"/>
  <c r="BJ11" i="22"/>
  <c r="BK11" i="22"/>
  <c r="BL11" i="22"/>
  <c r="BM11" i="22"/>
  <c r="BN11" i="22"/>
  <c r="BO11" i="22"/>
  <c r="BP11" i="22"/>
  <c r="BQ11" i="22"/>
  <c r="BR11" i="22"/>
  <c r="BS11" i="22"/>
  <c r="BT11" i="22"/>
  <c r="BU11" i="22"/>
  <c r="BV11" i="22"/>
  <c r="BW11" i="22"/>
  <c r="BX11" i="22"/>
  <c r="BY11" i="22"/>
  <c r="BZ11" i="22"/>
  <c r="CA11" i="22"/>
  <c r="CB11" i="22"/>
  <c r="CC11" i="22"/>
  <c r="CD11" i="22"/>
  <c r="CE11" i="22"/>
  <c r="CF11" i="22"/>
  <c r="CG11" i="22"/>
  <c r="CH11" i="22"/>
  <c r="CI11" i="22"/>
  <c r="CJ11" i="22"/>
  <c r="CK11" i="22"/>
  <c r="CL11" i="22"/>
  <c r="CM11" i="22"/>
  <c r="CN11" i="22"/>
  <c r="CO11" i="22"/>
  <c r="CP11" i="22"/>
  <c r="CQ11" i="22"/>
  <c r="CR11" i="22"/>
  <c r="CS11" i="22"/>
  <c r="CT11" i="22"/>
  <c r="CU11" i="22"/>
  <c r="BF11" i="22"/>
  <c r="C11" i="22"/>
  <c r="D11" i="22"/>
  <c r="E11" i="22"/>
  <c r="F11" i="22"/>
  <c r="G11" i="22"/>
  <c r="H11" i="22"/>
  <c r="I11" i="22"/>
  <c r="J11" i="22"/>
  <c r="K11" i="22"/>
  <c r="L11" i="22"/>
  <c r="M11" i="22"/>
  <c r="N11" i="22"/>
  <c r="O11" i="22"/>
  <c r="P11" i="22"/>
  <c r="Q11" i="22"/>
  <c r="R11" i="22"/>
  <c r="S11" i="22"/>
  <c r="T11" i="22"/>
  <c r="U11" i="22"/>
  <c r="V11" i="22"/>
  <c r="W11" i="22"/>
  <c r="X11" i="22"/>
  <c r="Y11" i="22"/>
  <c r="Z11" i="22"/>
  <c r="AA11" i="22"/>
  <c r="AB11" i="22"/>
  <c r="AC11" i="22"/>
  <c r="AD11" i="22"/>
  <c r="AE11" i="22"/>
  <c r="AF11" i="22"/>
  <c r="AG11" i="22"/>
  <c r="AH11" i="22"/>
  <c r="AI11" i="22"/>
  <c r="AJ11" i="22"/>
  <c r="AK11" i="22"/>
  <c r="AL11" i="22"/>
  <c r="AM11" i="22"/>
  <c r="AN11" i="22"/>
  <c r="AO11" i="22"/>
  <c r="AP11" i="22"/>
  <c r="AS11" i="22"/>
  <c r="AT11" i="22"/>
  <c r="AU11" i="22"/>
  <c r="AV11" i="22"/>
  <c r="AW11" i="22"/>
  <c r="AX11" i="22"/>
  <c r="AY11" i="22"/>
  <c r="AZ11" i="22"/>
  <c r="BA11" i="22"/>
  <c r="BB11" i="22"/>
  <c r="BH12" i="22"/>
  <c r="BI12" i="22"/>
  <c r="BJ12" i="22"/>
  <c r="BK12" i="22"/>
  <c r="BL12" i="22"/>
  <c r="BM12" i="22"/>
  <c r="BN12" i="22"/>
  <c r="BO12" i="22"/>
  <c r="BP12" i="22"/>
  <c r="BQ12" i="22"/>
  <c r="BR12" i="22"/>
  <c r="BS12" i="22"/>
  <c r="BT12" i="22"/>
  <c r="BU12" i="22"/>
  <c r="BV12" i="22"/>
  <c r="BW12" i="22"/>
  <c r="BX12" i="22"/>
  <c r="BY12" i="22"/>
  <c r="BZ12" i="22"/>
  <c r="CA12" i="22"/>
  <c r="CB12" i="22"/>
  <c r="CC12" i="22"/>
  <c r="CD12" i="22"/>
  <c r="CE12" i="22"/>
  <c r="CF12" i="22"/>
  <c r="CG12" i="22"/>
  <c r="CH12" i="22"/>
  <c r="CI12" i="22"/>
  <c r="CJ12" i="22"/>
  <c r="CK12" i="22"/>
  <c r="CL12" i="22"/>
  <c r="CM12" i="22"/>
  <c r="CN12" i="22"/>
  <c r="CO12" i="22"/>
  <c r="CP12" i="22"/>
  <c r="CQ12" i="22"/>
  <c r="CR12" i="22"/>
  <c r="CS12" i="22"/>
  <c r="CT12" i="22"/>
  <c r="CU12" i="22"/>
  <c r="BF12" i="22"/>
  <c r="C12"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S12" i="22"/>
  <c r="AT12" i="22"/>
  <c r="AU12" i="22"/>
  <c r="AV12" i="22"/>
  <c r="AW12" i="22"/>
  <c r="AX12" i="22"/>
  <c r="AY12" i="22"/>
  <c r="AZ12" i="22"/>
  <c r="BA12" i="22"/>
  <c r="BB12" i="22"/>
  <c r="BH13" i="22"/>
  <c r="BI13" i="22"/>
  <c r="BJ13" i="22"/>
  <c r="BK13" i="22"/>
  <c r="BL13" i="22"/>
  <c r="BM13" i="22"/>
  <c r="BN13" i="22"/>
  <c r="BO13" i="22"/>
  <c r="BP13" i="22"/>
  <c r="BQ13" i="22"/>
  <c r="BR13" i="22"/>
  <c r="BS13" i="22"/>
  <c r="BT13" i="22"/>
  <c r="BU13" i="22"/>
  <c r="BV13" i="22"/>
  <c r="BW13" i="22"/>
  <c r="BX13" i="22"/>
  <c r="BY13" i="22"/>
  <c r="BZ13" i="22"/>
  <c r="CA13" i="22"/>
  <c r="CB13" i="22"/>
  <c r="CC13" i="22"/>
  <c r="CD13" i="22"/>
  <c r="CE13" i="22"/>
  <c r="CF13" i="22"/>
  <c r="CG13" i="22"/>
  <c r="CH13" i="22"/>
  <c r="CI13" i="22"/>
  <c r="CJ13" i="22"/>
  <c r="CK13" i="22"/>
  <c r="CL13" i="22"/>
  <c r="CM13" i="22"/>
  <c r="CN13" i="22"/>
  <c r="CO13" i="22"/>
  <c r="CP13" i="22"/>
  <c r="CQ13" i="22"/>
  <c r="CR13" i="22"/>
  <c r="CS13" i="22"/>
  <c r="CT13" i="22"/>
  <c r="CU13" i="22"/>
  <c r="BF13" i="22"/>
  <c r="C13" i="22"/>
  <c r="D13" i="22"/>
  <c r="E13" i="22"/>
  <c r="F13" i="22"/>
  <c r="G13" i="22"/>
  <c r="H13" i="22"/>
  <c r="I13" i="22"/>
  <c r="J13" i="22"/>
  <c r="K13" i="22"/>
  <c r="L13" i="22"/>
  <c r="M13" i="22"/>
  <c r="N13" i="22"/>
  <c r="O13" i="22"/>
  <c r="P13" i="22"/>
  <c r="Q13" i="22"/>
  <c r="R13" i="22"/>
  <c r="S13" i="22"/>
  <c r="T13" i="22"/>
  <c r="U13" i="22"/>
  <c r="V13" i="22"/>
  <c r="W13" i="22"/>
  <c r="X13" i="22"/>
  <c r="Y13" i="22"/>
  <c r="Z13" i="22"/>
  <c r="AA13" i="22"/>
  <c r="AB13" i="22"/>
  <c r="AC13" i="22"/>
  <c r="AD13" i="22"/>
  <c r="AE13" i="22"/>
  <c r="AF13" i="22"/>
  <c r="AG13" i="22"/>
  <c r="AH13" i="22"/>
  <c r="AI13" i="22"/>
  <c r="AJ13" i="22"/>
  <c r="AK13" i="22"/>
  <c r="AL13" i="22"/>
  <c r="AM13" i="22"/>
  <c r="AN13" i="22"/>
  <c r="AO13" i="22"/>
  <c r="AP13" i="22"/>
  <c r="AS13" i="22"/>
  <c r="AT13" i="22"/>
  <c r="AU13" i="22"/>
  <c r="AV13" i="22"/>
  <c r="AW13" i="22"/>
  <c r="AX13" i="22"/>
  <c r="AY13" i="22"/>
  <c r="AZ13" i="22"/>
  <c r="BA13" i="22"/>
  <c r="BB13" i="22"/>
  <c r="BH14" i="22"/>
  <c r="BI14" i="22"/>
  <c r="BJ14" i="22"/>
  <c r="BK14" i="22"/>
  <c r="BL14" i="22"/>
  <c r="BM14" i="22"/>
  <c r="BN14" i="22"/>
  <c r="BO14" i="22"/>
  <c r="BP14" i="22"/>
  <c r="BQ14" i="22"/>
  <c r="BR14" i="22"/>
  <c r="BS14" i="22"/>
  <c r="BT14" i="22"/>
  <c r="BU14" i="22"/>
  <c r="BV14" i="22"/>
  <c r="BW14" i="22"/>
  <c r="BX14" i="22"/>
  <c r="BY14" i="22"/>
  <c r="BZ14" i="22"/>
  <c r="CA14" i="22"/>
  <c r="CB14" i="22"/>
  <c r="CC14" i="22"/>
  <c r="CD14" i="22"/>
  <c r="CE14" i="22"/>
  <c r="CF14" i="22"/>
  <c r="CG14" i="22"/>
  <c r="CH14" i="22"/>
  <c r="CI14" i="22"/>
  <c r="CJ14" i="22"/>
  <c r="CK14" i="22"/>
  <c r="CL14" i="22"/>
  <c r="CM14" i="22"/>
  <c r="CN14" i="22"/>
  <c r="CO14" i="22"/>
  <c r="CP14" i="22"/>
  <c r="CQ14" i="22"/>
  <c r="CR14" i="22"/>
  <c r="CS14" i="22"/>
  <c r="CT14" i="22"/>
  <c r="CU14" i="22"/>
  <c r="BF14" i="22"/>
  <c r="C14" i="22"/>
  <c r="D14" i="22"/>
  <c r="E14" i="22"/>
  <c r="F14" i="22"/>
  <c r="G14" i="22"/>
  <c r="H14" i="22"/>
  <c r="I14" i="22"/>
  <c r="J14" i="22"/>
  <c r="K14" i="22"/>
  <c r="L14" i="22"/>
  <c r="M14" i="22"/>
  <c r="N14" i="22"/>
  <c r="O14" i="22"/>
  <c r="P14" i="22"/>
  <c r="Q14" i="22"/>
  <c r="R14" i="22"/>
  <c r="S14" i="22"/>
  <c r="T14" i="22"/>
  <c r="U14" i="22"/>
  <c r="V14" i="22"/>
  <c r="W14" i="22"/>
  <c r="X14" i="22"/>
  <c r="Y14" i="22"/>
  <c r="Z14" i="22"/>
  <c r="AA14" i="22"/>
  <c r="AB14" i="22"/>
  <c r="AC14" i="22"/>
  <c r="AD14" i="22"/>
  <c r="AE14" i="22"/>
  <c r="AF14" i="22"/>
  <c r="AG14" i="22"/>
  <c r="AH14" i="22"/>
  <c r="AI14" i="22"/>
  <c r="AJ14" i="22"/>
  <c r="AK14" i="22"/>
  <c r="AL14" i="22"/>
  <c r="AM14" i="22"/>
  <c r="AN14" i="22"/>
  <c r="AO14" i="22"/>
  <c r="AP14" i="22"/>
  <c r="AS14" i="22"/>
  <c r="AT14" i="22"/>
  <c r="AU14" i="22"/>
  <c r="AV14" i="22"/>
  <c r="AW14" i="22"/>
  <c r="AX14" i="22"/>
  <c r="AY14" i="22"/>
  <c r="AZ14" i="22"/>
  <c r="BA14" i="22"/>
  <c r="BB14" i="22"/>
  <c r="BH15" i="22"/>
  <c r="BI15" i="22"/>
  <c r="BJ15" i="22"/>
  <c r="BK15" i="22"/>
  <c r="BL15" i="22"/>
  <c r="BM15" i="22"/>
  <c r="BN15" i="22"/>
  <c r="BO15" i="22"/>
  <c r="BP15" i="22"/>
  <c r="BQ15" i="22"/>
  <c r="BR15" i="22"/>
  <c r="BS15" i="22"/>
  <c r="BT15" i="22"/>
  <c r="BU15" i="22"/>
  <c r="BV15" i="22"/>
  <c r="BW15" i="22"/>
  <c r="BX15" i="22"/>
  <c r="BY15" i="22"/>
  <c r="BZ15" i="22"/>
  <c r="CA15" i="22"/>
  <c r="CB15" i="22"/>
  <c r="CC15" i="22"/>
  <c r="CD15" i="22"/>
  <c r="CE15" i="22"/>
  <c r="CF15" i="22"/>
  <c r="CG15" i="22"/>
  <c r="CH15" i="22"/>
  <c r="CI15" i="22"/>
  <c r="CJ15" i="22"/>
  <c r="CK15" i="22"/>
  <c r="CL15" i="22"/>
  <c r="CM15" i="22"/>
  <c r="CN15" i="22"/>
  <c r="CO15" i="22"/>
  <c r="CP15" i="22"/>
  <c r="CQ15" i="22"/>
  <c r="CR15" i="22"/>
  <c r="CS15" i="22"/>
  <c r="CT15" i="22"/>
  <c r="CU15" i="22"/>
  <c r="BF15" i="22"/>
  <c r="C15" i="22"/>
  <c r="D15" i="22"/>
  <c r="E15" i="22"/>
  <c r="F15" i="22"/>
  <c r="G15" i="22"/>
  <c r="H15" i="22"/>
  <c r="I15" i="22"/>
  <c r="J15" i="22"/>
  <c r="K15" i="22"/>
  <c r="L15" i="22"/>
  <c r="M15" i="22"/>
  <c r="N15" i="22"/>
  <c r="O15" i="22"/>
  <c r="P15" i="22"/>
  <c r="Q15" i="22"/>
  <c r="R15" i="22"/>
  <c r="S15" i="22"/>
  <c r="T15" i="22"/>
  <c r="U15" i="22"/>
  <c r="V15" i="22"/>
  <c r="W15" i="22"/>
  <c r="X15" i="22"/>
  <c r="Y15" i="22"/>
  <c r="Z15" i="22"/>
  <c r="AA15" i="22"/>
  <c r="AB15" i="22"/>
  <c r="AC15" i="22"/>
  <c r="AD15" i="22"/>
  <c r="AE15" i="22"/>
  <c r="AF15" i="22"/>
  <c r="AG15" i="22"/>
  <c r="AH15" i="22"/>
  <c r="AI15" i="22"/>
  <c r="AJ15" i="22"/>
  <c r="AK15" i="22"/>
  <c r="AL15" i="22"/>
  <c r="AM15" i="22"/>
  <c r="AN15" i="22"/>
  <c r="AO15" i="22"/>
  <c r="AP15" i="22"/>
  <c r="AS15" i="22"/>
  <c r="AT15" i="22"/>
  <c r="AU15" i="22"/>
  <c r="AV15" i="22"/>
  <c r="AW15" i="22"/>
  <c r="AX15" i="22"/>
  <c r="AY15" i="22"/>
  <c r="AZ15" i="22"/>
  <c r="BA15" i="22"/>
  <c r="BB15" i="22"/>
  <c r="BH16" i="22"/>
  <c r="BI16" i="22"/>
  <c r="BJ16" i="22"/>
  <c r="BK16" i="22"/>
  <c r="BL16" i="22"/>
  <c r="BM16" i="22"/>
  <c r="BN16" i="22"/>
  <c r="BO16" i="22"/>
  <c r="BP16" i="22"/>
  <c r="BQ16" i="22"/>
  <c r="BR16" i="22"/>
  <c r="BS16" i="22"/>
  <c r="BT16" i="22"/>
  <c r="BU16" i="22"/>
  <c r="BV16" i="22"/>
  <c r="BW16" i="22"/>
  <c r="BX16" i="22"/>
  <c r="BY16" i="22"/>
  <c r="BZ16" i="22"/>
  <c r="CA16" i="22"/>
  <c r="CB16" i="22"/>
  <c r="CC16" i="22"/>
  <c r="CD16" i="22"/>
  <c r="CE16" i="22"/>
  <c r="CF16" i="22"/>
  <c r="CG16" i="22"/>
  <c r="CH16" i="22"/>
  <c r="CI16" i="22"/>
  <c r="CJ16" i="22"/>
  <c r="CK16" i="22"/>
  <c r="CL16" i="22"/>
  <c r="CM16" i="22"/>
  <c r="CN16" i="22"/>
  <c r="CO16" i="22"/>
  <c r="CP16" i="22"/>
  <c r="CQ16" i="22"/>
  <c r="CR16" i="22"/>
  <c r="CS16" i="22"/>
  <c r="CT16" i="22"/>
  <c r="CU16" i="22"/>
  <c r="BF16" i="22"/>
  <c r="C16"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S16" i="22"/>
  <c r="AT16" i="22"/>
  <c r="AU16" i="22"/>
  <c r="AV16" i="22"/>
  <c r="AW16" i="22"/>
  <c r="AX16" i="22"/>
  <c r="AY16" i="22"/>
  <c r="AZ16" i="22"/>
  <c r="BA16" i="22"/>
  <c r="BB16" i="22"/>
  <c r="BH17" i="22"/>
  <c r="BI17" i="22"/>
  <c r="BJ17" i="22"/>
  <c r="BK17" i="22"/>
  <c r="BL17" i="22"/>
  <c r="BM17" i="22"/>
  <c r="BN17" i="22"/>
  <c r="BO17" i="22"/>
  <c r="BP17" i="22"/>
  <c r="BQ17" i="22"/>
  <c r="BR17" i="22"/>
  <c r="BS17" i="22"/>
  <c r="BT17" i="22"/>
  <c r="BU17" i="22"/>
  <c r="BV17" i="22"/>
  <c r="BW17" i="22"/>
  <c r="BX17" i="22"/>
  <c r="BY17" i="22"/>
  <c r="BZ17" i="22"/>
  <c r="CA17" i="22"/>
  <c r="CB17" i="22"/>
  <c r="CC17" i="22"/>
  <c r="CD17" i="22"/>
  <c r="CE17" i="22"/>
  <c r="CF17" i="22"/>
  <c r="CG17" i="22"/>
  <c r="CH17" i="22"/>
  <c r="CI17" i="22"/>
  <c r="CJ17" i="22"/>
  <c r="CK17" i="22"/>
  <c r="CL17" i="22"/>
  <c r="CM17" i="22"/>
  <c r="CN17" i="22"/>
  <c r="CO17" i="22"/>
  <c r="CP17" i="22"/>
  <c r="CQ17" i="22"/>
  <c r="CR17" i="22"/>
  <c r="CS17" i="22"/>
  <c r="CT17" i="22"/>
  <c r="CU17" i="22"/>
  <c r="BF17" i="22"/>
  <c r="C17" i="22"/>
  <c r="D17" i="22"/>
  <c r="E17" i="22"/>
  <c r="F17" i="22"/>
  <c r="G17" i="22"/>
  <c r="H17" i="22"/>
  <c r="I17" i="22"/>
  <c r="J17" i="22"/>
  <c r="K17" i="22"/>
  <c r="L17" i="22"/>
  <c r="M17" i="22"/>
  <c r="N17" i="22"/>
  <c r="O17" i="22"/>
  <c r="P17" i="22"/>
  <c r="Q17" i="22"/>
  <c r="R17" i="22"/>
  <c r="S17" i="22"/>
  <c r="T17" i="22"/>
  <c r="U17" i="22"/>
  <c r="V17" i="22"/>
  <c r="W17" i="22"/>
  <c r="X17" i="22"/>
  <c r="Y17" i="22"/>
  <c r="Z17" i="22"/>
  <c r="AA17" i="22"/>
  <c r="AB17" i="22"/>
  <c r="AC17" i="22"/>
  <c r="AD17" i="22"/>
  <c r="AE17" i="22"/>
  <c r="AF17" i="22"/>
  <c r="AG17" i="22"/>
  <c r="AH17" i="22"/>
  <c r="AI17" i="22"/>
  <c r="AJ17" i="22"/>
  <c r="AK17" i="22"/>
  <c r="AL17" i="22"/>
  <c r="AM17" i="22"/>
  <c r="AN17" i="22"/>
  <c r="AO17" i="22"/>
  <c r="AP17" i="22"/>
  <c r="AS17" i="22"/>
  <c r="AT17" i="22"/>
  <c r="AU17" i="22"/>
  <c r="AV17" i="22"/>
  <c r="AW17" i="22"/>
  <c r="AX17" i="22"/>
  <c r="AY17" i="22"/>
  <c r="AZ17" i="22"/>
  <c r="BA17" i="22"/>
  <c r="BB17" i="22"/>
  <c r="BH18" i="22"/>
  <c r="BI18" i="22"/>
  <c r="BJ18" i="22"/>
  <c r="BK18" i="22"/>
  <c r="BL18" i="22"/>
  <c r="BM18" i="22"/>
  <c r="BN18" i="22"/>
  <c r="BO18" i="22"/>
  <c r="BP18" i="22"/>
  <c r="BQ18" i="22"/>
  <c r="BR18" i="22"/>
  <c r="BS18" i="22"/>
  <c r="BT18" i="22"/>
  <c r="BU18" i="22"/>
  <c r="BV18" i="22"/>
  <c r="BW18" i="22"/>
  <c r="BX18" i="22"/>
  <c r="BY18" i="22"/>
  <c r="BZ18" i="22"/>
  <c r="CA18" i="22"/>
  <c r="CB18" i="22"/>
  <c r="CC18" i="22"/>
  <c r="CD18" i="22"/>
  <c r="CE18" i="22"/>
  <c r="CF18" i="22"/>
  <c r="CG18" i="22"/>
  <c r="CH18" i="22"/>
  <c r="CI18" i="22"/>
  <c r="CJ18" i="22"/>
  <c r="CK18" i="22"/>
  <c r="CL18" i="22"/>
  <c r="CM18" i="22"/>
  <c r="CN18" i="22"/>
  <c r="CO18" i="22"/>
  <c r="CP18" i="22"/>
  <c r="CQ18" i="22"/>
  <c r="CR18" i="22"/>
  <c r="CS18" i="22"/>
  <c r="CT18" i="22"/>
  <c r="CU18" i="22"/>
  <c r="BF18" i="22"/>
  <c r="C18" i="22"/>
  <c r="D18" i="22"/>
  <c r="E18" i="22"/>
  <c r="F18" i="22"/>
  <c r="G18" i="22"/>
  <c r="H18" i="22"/>
  <c r="I18" i="22"/>
  <c r="J18" i="22"/>
  <c r="K18" i="22"/>
  <c r="L18" i="22"/>
  <c r="M18" i="22"/>
  <c r="N18" i="22"/>
  <c r="O18" i="22"/>
  <c r="P18" i="22"/>
  <c r="Q18" i="22"/>
  <c r="R18" i="22"/>
  <c r="S18" i="22"/>
  <c r="T18" i="22"/>
  <c r="U18" i="22"/>
  <c r="V18" i="22"/>
  <c r="W18" i="22"/>
  <c r="X18" i="22"/>
  <c r="Y18" i="22"/>
  <c r="Z18" i="22"/>
  <c r="AA18" i="22"/>
  <c r="AB18" i="22"/>
  <c r="AC18" i="22"/>
  <c r="AD18" i="22"/>
  <c r="AE18" i="22"/>
  <c r="AF18" i="22"/>
  <c r="AG18" i="22"/>
  <c r="AH18" i="22"/>
  <c r="AI18" i="22"/>
  <c r="AJ18" i="22"/>
  <c r="AK18" i="22"/>
  <c r="AL18" i="22"/>
  <c r="AM18" i="22"/>
  <c r="AN18" i="22"/>
  <c r="AO18" i="22"/>
  <c r="AP18" i="22"/>
  <c r="AS18" i="22"/>
  <c r="AT18" i="22"/>
  <c r="AU18" i="22"/>
  <c r="AV18" i="22"/>
  <c r="AW18" i="22"/>
  <c r="AX18" i="22"/>
  <c r="AY18" i="22"/>
  <c r="AZ18" i="22"/>
  <c r="BA18" i="22"/>
  <c r="BB18" i="22"/>
  <c r="BH19" i="22"/>
  <c r="BI19" i="22"/>
  <c r="BJ19" i="22"/>
  <c r="BK19" i="22"/>
  <c r="BL19" i="22"/>
  <c r="BM19" i="22"/>
  <c r="BN19" i="22"/>
  <c r="BO19" i="22"/>
  <c r="BP19" i="22"/>
  <c r="BQ19" i="22"/>
  <c r="BR19" i="22"/>
  <c r="BS19" i="22"/>
  <c r="BT19" i="22"/>
  <c r="BU19" i="22"/>
  <c r="BV19" i="22"/>
  <c r="BW19" i="22"/>
  <c r="BX19" i="22"/>
  <c r="BY19" i="22"/>
  <c r="BZ19" i="22"/>
  <c r="CA19" i="22"/>
  <c r="CB19" i="22"/>
  <c r="CC19" i="22"/>
  <c r="CD19" i="22"/>
  <c r="CE19" i="22"/>
  <c r="CF19" i="22"/>
  <c r="CG19" i="22"/>
  <c r="CH19" i="22"/>
  <c r="CI19" i="22"/>
  <c r="CJ19" i="22"/>
  <c r="CK19" i="22"/>
  <c r="CL19" i="22"/>
  <c r="CM19" i="22"/>
  <c r="CN19" i="22"/>
  <c r="CO19" i="22"/>
  <c r="CP19" i="22"/>
  <c r="CQ19" i="22"/>
  <c r="CR19" i="22"/>
  <c r="CS19" i="22"/>
  <c r="CT19" i="22"/>
  <c r="CU19" i="22"/>
  <c r="BF19" i="22"/>
  <c r="C19" i="22"/>
  <c r="D19" i="22"/>
  <c r="E19" i="22"/>
  <c r="F19" i="22"/>
  <c r="G19" i="22"/>
  <c r="H19" i="22"/>
  <c r="I19" i="22"/>
  <c r="J19" i="22"/>
  <c r="K19" i="22"/>
  <c r="L19" i="22"/>
  <c r="M19" i="22"/>
  <c r="N19" i="22"/>
  <c r="O19" i="22"/>
  <c r="P19" i="22"/>
  <c r="Q19" i="22"/>
  <c r="R19" i="22"/>
  <c r="S19" i="22"/>
  <c r="T19" i="22"/>
  <c r="U19" i="22"/>
  <c r="V19" i="22"/>
  <c r="W19" i="22"/>
  <c r="X19" i="22"/>
  <c r="Y19" i="22"/>
  <c r="Z19" i="22"/>
  <c r="AA19" i="22"/>
  <c r="AB19" i="22"/>
  <c r="AC19" i="22"/>
  <c r="AD19" i="22"/>
  <c r="AE19" i="22"/>
  <c r="AF19" i="22"/>
  <c r="AG19" i="22"/>
  <c r="AH19" i="22"/>
  <c r="AI19" i="22"/>
  <c r="AJ19" i="22"/>
  <c r="AK19" i="22"/>
  <c r="AL19" i="22"/>
  <c r="AM19" i="22"/>
  <c r="AN19" i="22"/>
  <c r="AO19" i="22"/>
  <c r="AP19" i="22"/>
  <c r="AS19" i="22"/>
  <c r="AT19" i="22"/>
  <c r="AU19" i="22"/>
  <c r="AV19" i="22"/>
  <c r="AW19" i="22"/>
  <c r="AX19" i="22"/>
  <c r="AY19" i="22"/>
  <c r="AZ19" i="22"/>
  <c r="BA19" i="22"/>
  <c r="BB19" i="22"/>
  <c r="BH20" i="22"/>
  <c r="BI20" i="22"/>
  <c r="BJ20" i="22"/>
  <c r="BK20" i="22"/>
  <c r="BL20" i="22"/>
  <c r="BM20" i="22"/>
  <c r="BN20" i="22"/>
  <c r="BO20" i="22"/>
  <c r="BP20" i="22"/>
  <c r="BQ20" i="22"/>
  <c r="BR20" i="22"/>
  <c r="BS20" i="22"/>
  <c r="BT20" i="22"/>
  <c r="BU20" i="22"/>
  <c r="BV20" i="22"/>
  <c r="BW20" i="22"/>
  <c r="BX20" i="22"/>
  <c r="BY20" i="22"/>
  <c r="BZ20" i="22"/>
  <c r="CA20" i="22"/>
  <c r="CB20" i="22"/>
  <c r="CC20" i="22"/>
  <c r="CD20" i="22"/>
  <c r="CE20" i="22"/>
  <c r="CF20" i="22"/>
  <c r="CG20" i="22"/>
  <c r="CH20" i="22"/>
  <c r="CI20" i="22"/>
  <c r="CJ20" i="22"/>
  <c r="CK20" i="22"/>
  <c r="CL20" i="22"/>
  <c r="CM20" i="22"/>
  <c r="CN20" i="22"/>
  <c r="CO20" i="22"/>
  <c r="CP20" i="22"/>
  <c r="CQ20" i="22"/>
  <c r="CR20" i="22"/>
  <c r="CS20" i="22"/>
  <c r="CT20" i="22"/>
  <c r="CU20" i="22"/>
  <c r="BF20" i="22"/>
  <c r="C20"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S20" i="22"/>
  <c r="AT20" i="22"/>
  <c r="AU20" i="22"/>
  <c r="AV20" i="22"/>
  <c r="AW20" i="22"/>
  <c r="AX20" i="22"/>
  <c r="AY20" i="22"/>
  <c r="AZ20" i="22"/>
  <c r="BA20" i="22"/>
  <c r="BB20" i="22"/>
  <c r="BH21" i="22"/>
  <c r="BI21" i="22"/>
  <c r="BJ21" i="22"/>
  <c r="BK21" i="22"/>
  <c r="BL21" i="22"/>
  <c r="BM21" i="22"/>
  <c r="BN21" i="22"/>
  <c r="BO21" i="22"/>
  <c r="BP21" i="22"/>
  <c r="BQ21" i="22"/>
  <c r="BR21" i="22"/>
  <c r="BS21" i="22"/>
  <c r="BT21" i="22"/>
  <c r="BU21" i="22"/>
  <c r="BV21" i="22"/>
  <c r="BW21" i="22"/>
  <c r="BX21" i="22"/>
  <c r="BY21" i="22"/>
  <c r="BZ21" i="22"/>
  <c r="CA21" i="22"/>
  <c r="CB21" i="22"/>
  <c r="CC21" i="22"/>
  <c r="CD21" i="22"/>
  <c r="CE21" i="22"/>
  <c r="CF21" i="22"/>
  <c r="CG21" i="22"/>
  <c r="CH21" i="22"/>
  <c r="CI21" i="22"/>
  <c r="CJ21" i="22"/>
  <c r="CK21" i="22"/>
  <c r="CL21" i="22"/>
  <c r="CM21" i="22"/>
  <c r="CN21" i="22"/>
  <c r="CO21" i="22"/>
  <c r="CP21" i="22"/>
  <c r="CQ21" i="22"/>
  <c r="CR21" i="22"/>
  <c r="CS21" i="22"/>
  <c r="CT21" i="22"/>
  <c r="CU21" i="22"/>
  <c r="BF21" i="22"/>
  <c r="C21" i="22"/>
  <c r="D21" i="22"/>
  <c r="E21" i="22"/>
  <c r="F21" i="22"/>
  <c r="G21" i="22"/>
  <c r="H21" i="22"/>
  <c r="I21" i="22"/>
  <c r="J21" i="22"/>
  <c r="K21" i="22"/>
  <c r="L21" i="22"/>
  <c r="M21" i="22"/>
  <c r="N21" i="22"/>
  <c r="O21" i="22"/>
  <c r="P21" i="22"/>
  <c r="Q21" i="22"/>
  <c r="R21" i="22"/>
  <c r="S21" i="22"/>
  <c r="T21" i="22"/>
  <c r="U21" i="22"/>
  <c r="V21" i="22"/>
  <c r="W21" i="22"/>
  <c r="X21" i="22"/>
  <c r="Y21" i="22"/>
  <c r="Z21" i="22"/>
  <c r="AA21" i="22"/>
  <c r="AB21" i="22"/>
  <c r="AC21" i="22"/>
  <c r="AD21" i="22"/>
  <c r="AE21" i="22"/>
  <c r="AF21" i="22"/>
  <c r="AG21" i="22"/>
  <c r="AH21" i="22"/>
  <c r="AI21" i="22"/>
  <c r="AJ21" i="22"/>
  <c r="AK21" i="22"/>
  <c r="AL21" i="22"/>
  <c r="AM21" i="22"/>
  <c r="AN21" i="22"/>
  <c r="AO21" i="22"/>
  <c r="AP21" i="22"/>
  <c r="AS21" i="22"/>
  <c r="AT21" i="22"/>
  <c r="AU21" i="22"/>
  <c r="AV21" i="22"/>
  <c r="AW21" i="22"/>
  <c r="AX21" i="22"/>
  <c r="AY21" i="22"/>
  <c r="AZ21" i="22"/>
  <c r="BA21" i="22"/>
  <c r="BB21" i="22"/>
  <c r="BH22" i="22"/>
  <c r="BI22" i="22"/>
  <c r="BJ22" i="22"/>
  <c r="BK22" i="22"/>
  <c r="BL22" i="22"/>
  <c r="BM22" i="22"/>
  <c r="BN22" i="22"/>
  <c r="BO22" i="22"/>
  <c r="BP22" i="22"/>
  <c r="BQ22" i="22"/>
  <c r="BR22" i="22"/>
  <c r="BS22" i="22"/>
  <c r="BT22" i="22"/>
  <c r="BU22" i="22"/>
  <c r="BV22" i="22"/>
  <c r="BW22" i="22"/>
  <c r="BX22" i="22"/>
  <c r="BY22" i="22"/>
  <c r="BZ22" i="22"/>
  <c r="CA22" i="22"/>
  <c r="CB22" i="22"/>
  <c r="CC22" i="22"/>
  <c r="CD22" i="22"/>
  <c r="CE22" i="22"/>
  <c r="CF22" i="22"/>
  <c r="CG22" i="22"/>
  <c r="CH22" i="22"/>
  <c r="CI22" i="22"/>
  <c r="CJ22" i="22"/>
  <c r="CK22" i="22"/>
  <c r="CL22" i="22"/>
  <c r="CM22" i="22"/>
  <c r="CN22" i="22"/>
  <c r="CO22" i="22"/>
  <c r="CP22" i="22"/>
  <c r="CQ22" i="22"/>
  <c r="CR22" i="22"/>
  <c r="CS22" i="22"/>
  <c r="CT22" i="22"/>
  <c r="CU22" i="22"/>
  <c r="BF22" i="22"/>
  <c r="C22" i="22"/>
  <c r="D22" i="22"/>
  <c r="E22" i="22"/>
  <c r="F22" i="22"/>
  <c r="G22" i="22"/>
  <c r="H22" i="22"/>
  <c r="I22" i="22"/>
  <c r="J22" i="22"/>
  <c r="K22" i="22"/>
  <c r="L22" i="22"/>
  <c r="M22" i="22"/>
  <c r="N22" i="22"/>
  <c r="O22" i="22"/>
  <c r="P22" i="22"/>
  <c r="Q22" i="22"/>
  <c r="R22" i="22"/>
  <c r="S22" i="22"/>
  <c r="T22" i="22"/>
  <c r="U22" i="22"/>
  <c r="V22" i="22"/>
  <c r="W22" i="22"/>
  <c r="X22" i="22"/>
  <c r="Y22" i="22"/>
  <c r="Z22" i="22"/>
  <c r="AA22" i="22"/>
  <c r="AB22" i="22"/>
  <c r="AC22" i="22"/>
  <c r="AD22" i="22"/>
  <c r="AE22" i="22"/>
  <c r="AF22" i="22"/>
  <c r="AG22" i="22"/>
  <c r="AH22" i="22"/>
  <c r="AI22" i="22"/>
  <c r="AJ22" i="22"/>
  <c r="AK22" i="22"/>
  <c r="AL22" i="22"/>
  <c r="AM22" i="22"/>
  <c r="AN22" i="22"/>
  <c r="AO22" i="22"/>
  <c r="AP22" i="22"/>
  <c r="AS22" i="22"/>
  <c r="AT22" i="22"/>
  <c r="AU22" i="22"/>
  <c r="AV22" i="22"/>
  <c r="AW22" i="22"/>
  <c r="AX22" i="22"/>
  <c r="AY22" i="22"/>
  <c r="AZ22" i="22"/>
  <c r="BA22" i="22"/>
  <c r="BB22" i="22"/>
  <c r="BH23" i="22"/>
  <c r="BI23" i="22"/>
  <c r="BJ23" i="22"/>
  <c r="BK23" i="22"/>
  <c r="BL23" i="22"/>
  <c r="BM23" i="22"/>
  <c r="BN23" i="22"/>
  <c r="BO23" i="22"/>
  <c r="BP23" i="22"/>
  <c r="BQ23" i="22"/>
  <c r="BR23" i="22"/>
  <c r="BS23" i="22"/>
  <c r="BT23" i="22"/>
  <c r="BU23" i="22"/>
  <c r="BV23" i="22"/>
  <c r="BW23" i="22"/>
  <c r="BX23" i="22"/>
  <c r="BY23" i="22"/>
  <c r="BZ23" i="22"/>
  <c r="CA23" i="22"/>
  <c r="CB23" i="22"/>
  <c r="CC23" i="22"/>
  <c r="CD23" i="22"/>
  <c r="CE23" i="22"/>
  <c r="CF23" i="22"/>
  <c r="CG23" i="22"/>
  <c r="CH23" i="22"/>
  <c r="CI23" i="22"/>
  <c r="CJ23" i="22"/>
  <c r="CK23" i="22"/>
  <c r="CL23" i="22"/>
  <c r="CM23" i="22"/>
  <c r="CN23" i="22"/>
  <c r="CO23" i="22"/>
  <c r="CP23" i="22"/>
  <c r="CQ23" i="22"/>
  <c r="CR23" i="22"/>
  <c r="CS23" i="22"/>
  <c r="CT23" i="22"/>
  <c r="CU23" i="22"/>
  <c r="BF23" i="22"/>
  <c r="C23" i="22"/>
  <c r="D23" i="22"/>
  <c r="E23" i="22"/>
  <c r="F23" i="22"/>
  <c r="G23" i="22"/>
  <c r="H23" i="22"/>
  <c r="I23" i="22"/>
  <c r="J23" i="22"/>
  <c r="K23" i="22"/>
  <c r="L23" i="22"/>
  <c r="M23" i="22"/>
  <c r="N23" i="22"/>
  <c r="O23" i="22"/>
  <c r="P23" i="22"/>
  <c r="Q23" i="22"/>
  <c r="R23" i="22"/>
  <c r="S23" i="22"/>
  <c r="T23" i="22"/>
  <c r="U23" i="22"/>
  <c r="V23" i="22"/>
  <c r="W23" i="22"/>
  <c r="X23" i="22"/>
  <c r="Y23" i="22"/>
  <c r="Z23" i="22"/>
  <c r="AA23" i="22"/>
  <c r="AB23" i="22"/>
  <c r="AC23" i="22"/>
  <c r="AD23" i="22"/>
  <c r="AE23" i="22"/>
  <c r="AF23" i="22"/>
  <c r="AG23" i="22"/>
  <c r="AH23" i="22"/>
  <c r="AI23" i="22"/>
  <c r="AJ23" i="22"/>
  <c r="AK23" i="22"/>
  <c r="AL23" i="22"/>
  <c r="AM23" i="22"/>
  <c r="AN23" i="22"/>
  <c r="AO23" i="22"/>
  <c r="AP23" i="22"/>
  <c r="AS23" i="22"/>
  <c r="AT23" i="22"/>
  <c r="AU23" i="22"/>
  <c r="AV23" i="22"/>
  <c r="AW23" i="22"/>
  <c r="AX23" i="22"/>
  <c r="AY23" i="22"/>
  <c r="AZ23" i="22"/>
  <c r="BA23" i="22"/>
  <c r="BB23" i="22"/>
  <c r="BH24" i="22"/>
  <c r="BI24" i="22"/>
  <c r="BJ24" i="22"/>
  <c r="BK24" i="22"/>
  <c r="BL24" i="22"/>
  <c r="BM24" i="22"/>
  <c r="BN24" i="22"/>
  <c r="BO24" i="22"/>
  <c r="BP24" i="22"/>
  <c r="BQ24" i="22"/>
  <c r="BR24" i="22"/>
  <c r="BS24" i="22"/>
  <c r="BT24" i="22"/>
  <c r="BU24" i="22"/>
  <c r="BV24" i="22"/>
  <c r="BW24" i="22"/>
  <c r="BX24" i="22"/>
  <c r="BY24" i="22"/>
  <c r="BZ24" i="22"/>
  <c r="CA24" i="22"/>
  <c r="CB24" i="22"/>
  <c r="CC24" i="22"/>
  <c r="CD24" i="22"/>
  <c r="CE24" i="22"/>
  <c r="CF24" i="22"/>
  <c r="CG24" i="22"/>
  <c r="CH24" i="22"/>
  <c r="CI24" i="22"/>
  <c r="CJ24" i="22"/>
  <c r="CK24" i="22"/>
  <c r="CL24" i="22"/>
  <c r="CM24" i="22"/>
  <c r="CN24" i="22"/>
  <c r="CO24" i="22"/>
  <c r="CP24" i="22"/>
  <c r="CQ24" i="22"/>
  <c r="CR24" i="22"/>
  <c r="CS24" i="22"/>
  <c r="CT24" i="22"/>
  <c r="CU24" i="22"/>
  <c r="BF24" i="22"/>
  <c r="C24"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S24" i="22"/>
  <c r="AT24" i="22"/>
  <c r="AU24" i="22"/>
  <c r="AV24" i="22"/>
  <c r="AW24" i="22"/>
  <c r="AX24" i="22"/>
  <c r="AY24" i="22"/>
  <c r="AZ24" i="22"/>
  <c r="BA24" i="22"/>
  <c r="BB24" i="22"/>
  <c r="BH25" i="22"/>
  <c r="BI25" i="22"/>
  <c r="BJ25" i="22"/>
  <c r="BK25" i="22"/>
  <c r="BL25" i="22"/>
  <c r="BM25" i="22"/>
  <c r="BN25" i="22"/>
  <c r="BO25" i="22"/>
  <c r="BP25" i="22"/>
  <c r="BQ25" i="22"/>
  <c r="BR25" i="22"/>
  <c r="BS25" i="22"/>
  <c r="BT25" i="22"/>
  <c r="BU25" i="22"/>
  <c r="BV25" i="22"/>
  <c r="BW25" i="22"/>
  <c r="BX25" i="22"/>
  <c r="BY25" i="22"/>
  <c r="BZ25" i="22"/>
  <c r="CA25" i="22"/>
  <c r="CB25" i="22"/>
  <c r="CC25" i="22"/>
  <c r="CD25" i="22"/>
  <c r="CE25" i="22"/>
  <c r="CF25" i="22"/>
  <c r="CG25" i="22"/>
  <c r="CH25" i="22"/>
  <c r="CI25" i="22"/>
  <c r="CJ25" i="22"/>
  <c r="CK25" i="22"/>
  <c r="CL25" i="22"/>
  <c r="CM25" i="22"/>
  <c r="CN25" i="22"/>
  <c r="CO25" i="22"/>
  <c r="CP25" i="22"/>
  <c r="CQ25" i="22"/>
  <c r="CR25" i="22"/>
  <c r="CS25" i="22"/>
  <c r="CT25" i="22"/>
  <c r="CU25" i="22"/>
  <c r="BF25" i="22"/>
  <c r="C25" i="22"/>
  <c r="D25" i="22"/>
  <c r="E25" i="22"/>
  <c r="F25" i="22"/>
  <c r="G25" i="22"/>
  <c r="H25" i="22"/>
  <c r="I25" i="22"/>
  <c r="J25" i="22"/>
  <c r="K25" i="22"/>
  <c r="L25" i="22"/>
  <c r="M25" i="22"/>
  <c r="N25" i="22"/>
  <c r="O25" i="22"/>
  <c r="P25" i="22"/>
  <c r="Q25" i="22"/>
  <c r="R25" i="22"/>
  <c r="S25" i="22"/>
  <c r="T25" i="22"/>
  <c r="U25" i="22"/>
  <c r="V25" i="22"/>
  <c r="W25" i="22"/>
  <c r="X25" i="22"/>
  <c r="Y25" i="22"/>
  <c r="Z25" i="22"/>
  <c r="AA25" i="22"/>
  <c r="AB25" i="22"/>
  <c r="AC25" i="22"/>
  <c r="AD25" i="22"/>
  <c r="AE25" i="22"/>
  <c r="AF25" i="22"/>
  <c r="AG25" i="22"/>
  <c r="AH25" i="22"/>
  <c r="AI25" i="22"/>
  <c r="AJ25" i="22"/>
  <c r="AK25" i="22"/>
  <c r="AL25" i="22"/>
  <c r="AM25" i="22"/>
  <c r="AN25" i="22"/>
  <c r="AO25" i="22"/>
  <c r="AP25" i="22"/>
  <c r="AS25" i="22"/>
  <c r="AT25" i="22"/>
  <c r="AU25" i="22"/>
  <c r="AV25" i="22"/>
  <c r="AW25" i="22"/>
  <c r="AX25" i="22"/>
  <c r="AY25" i="22"/>
  <c r="AZ25" i="22"/>
  <c r="BA25" i="22"/>
  <c r="BB25" i="22"/>
  <c r="BH26" i="22"/>
  <c r="BI26" i="22"/>
  <c r="BJ26" i="22"/>
  <c r="BK26" i="22"/>
  <c r="BL26" i="22"/>
  <c r="BM26" i="22"/>
  <c r="BN26" i="22"/>
  <c r="BO26" i="22"/>
  <c r="BP26" i="22"/>
  <c r="BQ26" i="22"/>
  <c r="BR26" i="22"/>
  <c r="BS26" i="22"/>
  <c r="BT26" i="22"/>
  <c r="BU26" i="22"/>
  <c r="BV26" i="22"/>
  <c r="BW26" i="22"/>
  <c r="BX26" i="22"/>
  <c r="BY26" i="22"/>
  <c r="BZ26" i="22"/>
  <c r="CA26" i="22"/>
  <c r="CB26" i="22"/>
  <c r="CC26" i="22"/>
  <c r="CD26" i="22"/>
  <c r="CE26" i="22"/>
  <c r="CF26" i="22"/>
  <c r="CG26" i="22"/>
  <c r="CH26" i="22"/>
  <c r="CI26" i="22"/>
  <c r="CJ26" i="22"/>
  <c r="CK26" i="22"/>
  <c r="CL26" i="22"/>
  <c r="CM26" i="22"/>
  <c r="CN26" i="22"/>
  <c r="CO26" i="22"/>
  <c r="CP26" i="22"/>
  <c r="CQ26" i="22"/>
  <c r="CR26" i="22"/>
  <c r="CS26" i="22"/>
  <c r="CT26" i="22"/>
  <c r="CU26" i="22"/>
  <c r="BF26" i="22"/>
  <c r="C26" i="22"/>
  <c r="D26" i="22"/>
  <c r="E26" i="22"/>
  <c r="F26" i="22"/>
  <c r="G26" i="22"/>
  <c r="H26" i="22"/>
  <c r="I26" i="22"/>
  <c r="J26" i="22"/>
  <c r="K26" i="22"/>
  <c r="L26" i="22"/>
  <c r="M26" i="22"/>
  <c r="N26" i="22"/>
  <c r="O26" i="22"/>
  <c r="P26" i="22"/>
  <c r="Q26" i="22"/>
  <c r="R26" i="22"/>
  <c r="S26" i="22"/>
  <c r="T26" i="22"/>
  <c r="U26" i="22"/>
  <c r="V26" i="22"/>
  <c r="W26" i="22"/>
  <c r="X26" i="22"/>
  <c r="Y26" i="22"/>
  <c r="Z26" i="22"/>
  <c r="AA26" i="22"/>
  <c r="AB26" i="22"/>
  <c r="AC26" i="22"/>
  <c r="AD26" i="22"/>
  <c r="AE26" i="22"/>
  <c r="AF26" i="22"/>
  <c r="AG26" i="22"/>
  <c r="AH26" i="22"/>
  <c r="AI26" i="22"/>
  <c r="AJ26" i="22"/>
  <c r="AK26" i="22"/>
  <c r="AL26" i="22"/>
  <c r="AM26" i="22"/>
  <c r="AN26" i="22"/>
  <c r="AO26" i="22"/>
  <c r="AP26" i="22"/>
  <c r="AS26" i="22"/>
  <c r="AT26" i="22"/>
  <c r="AU26" i="22"/>
  <c r="AV26" i="22"/>
  <c r="AW26" i="22"/>
  <c r="AX26" i="22"/>
  <c r="AY26" i="22"/>
  <c r="AZ26" i="22"/>
  <c r="BA26" i="22"/>
  <c r="BB26" i="22"/>
  <c r="BH27" i="22"/>
  <c r="BI27" i="22"/>
  <c r="BJ27" i="22"/>
  <c r="BK27" i="22"/>
  <c r="BL27" i="22"/>
  <c r="BM27" i="22"/>
  <c r="BN27" i="22"/>
  <c r="BO27" i="22"/>
  <c r="BP27" i="22"/>
  <c r="BQ27" i="22"/>
  <c r="BR27" i="22"/>
  <c r="BS27" i="22"/>
  <c r="BT27" i="22"/>
  <c r="BU27" i="22"/>
  <c r="BV27" i="22"/>
  <c r="BW27" i="22"/>
  <c r="BX27" i="22"/>
  <c r="BY27" i="22"/>
  <c r="BZ27" i="22"/>
  <c r="CA27" i="22"/>
  <c r="CB27" i="22"/>
  <c r="CC27" i="22"/>
  <c r="CD27" i="22"/>
  <c r="CE27" i="22"/>
  <c r="CF27" i="22"/>
  <c r="CG27" i="22"/>
  <c r="CH27" i="22"/>
  <c r="CI27" i="22"/>
  <c r="CJ27" i="22"/>
  <c r="CK27" i="22"/>
  <c r="CL27" i="22"/>
  <c r="CM27" i="22"/>
  <c r="CN27" i="22"/>
  <c r="CO27" i="22"/>
  <c r="CP27" i="22"/>
  <c r="CQ27" i="22"/>
  <c r="CR27" i="22"/>
  <c r="CS27" i="22"/>
  <c r="CT27" i="22"/>
  <c r="CU27" i="22"/>
  <c r="BF27" i="22"/>
  <c r="C27" i="22"/>
  <c r="D27" i="22"/>
  <c r="E27" i="22"/>
  <c r="F27" i="22"/>
  <c r="G27" i="22"/>
  <c r="H27" i="22"/>
  <c r="I27" i="22"/>
  <c r="J27" i="22"/>
  <c r="K27" i="22"/>
  <c r="L27" i="22"/>
  <c r="M27" i="22"/>
  <c r="N27" i="22"/>
  <c r="O27" i="22"/>
  <c r="P27" i="22"/>
  <c r="Q27" i="22"/>
  <c r="R27" i="22"/>
  <c r="S27" i="22"/>
  <c r="T27" i="22"/>
  <c r="U27" i="22"/>
  <c r="V27" i="22"/>
  <c r="W27" i="22"/>
  <c r="X27" i="22"/>
  <c r="Y27" i="22"/>
  <c r="Z27" i="22"/>
  <c r="AA27" i="22"/>
  <c r="AB27" i="22"/>
  <c r="AC27" i="22"/>
  <c r="AD27" i="22"/>
  <c r="AE27" i="22"/>
  <c r="AF27" i="22"/>
  <c r="AG27" i="22"/>
  <c r="AH27" i="22"/>
  <c r="AI27" i="22"/>
  <c r="AJ27" i="22"/>
  <c r="AK27" i="22"/>
  <c r="AL27" i="22"/>
  <c r="AM27" i="22"/>
  <c r="AN27" i="22"/>
  <c r="AO27" i="22"/>
  <c r="AP27" i="22"/>
  <c r="AS27" i="22"/>
  <c r="AT27" i="22"/>
  <c r="AU27" i="22"/>
  <c r="AV27" i="22"/>
  <c r="AW27" i="22"/>
  <c r="AX27" i="22"/>
  <c r="AY27" i="22"/>
  <c r="AZ27" i="22"/>
  <c r="BA27" i="22"/>
  <c r="BB27" i="22"/>
  <c r="BH28" i="22"/>
  <c r="BI28" i="22"/>
  <c r="BJ28" i="22"/>
  <c r="BK28" i="22"/>
  <c r="BL28" i="22"/>
  <c r="BM28" i="22"/>
  <c r="BN28" i="22"/>
  <c r="BO28" i="22"/>
  <c r="BP28" i="22"/>
  <c r="BQ28" i="22"/>
  <c r="BR28" i="22"/>
  <c r="BS28" i="22"/>
  <c r="BT28" i="22"/>
  <c r="BU28" i="22"/>
  <c r="BV28" i="22"/>
  <c r="BW28" i="22"/>
  <c r="BX28" i="22"/>
  <c r="BY28" i="22"/>
  <c r="BZ28" i="22"/>
  <c r="CA28" i="22"/>
  <c r="CB28" i="22"/>
  <c r="CC28" i="22"/>
  <c r="CD28" i="22"/>
  <c r="CE28" i="22"/>
  <c r="CF28" i="22"/>
  <c r="CG28" i="22"/>
  <c r="CH28" i="22"/>
  <c r="CI28" i="22"/>
  <c r="CJ28" i="22"/>
  <c r="CK28" i="22"/>
  <c r="CL28" i="22"/>
  <c r="CM28" i="22"/>
  <c r="CN28" i="22"/>
  <c r="CO28" i="22"/>
  <c r="CP28" i="22"/>
  <c r="CQ28" i="22"/>
  <c r="CR28" i="22"/>
  <c r="CS28" i="22"/>
  <c r="CT28" i="22"/>
  <c r="CU28" i="22"/>
  <c r="BF28" i="22"/>
  <c r="C28"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S28" i="22"/>
  <c r="AT28" i="22"/>
  <c r="AU28" i="22"/>
  <c r="AV28" i="22"/>
  <c r="AW28" i="22"/>
  <c r="AX28" i="22"/>
  <c r="AY28" i="22"/>
  <c r="AZ28" i="22"/>
  <c r="BA28" i="22"/>
  <c r="BB28" i="22"/>
  <c r="BH29" i="22"/>
  <c r="BI29" i="22"/>
  <c r="BJ29" i="22"/>
  <c r="BK29" i="22"/>
  <c r="BL29" i="22"/>
  <c r="BM29" i="22"/>
  <c r="BN29" i="22"/>
  <c r="BO29" i="22"/>
  <c r="BP29" i="22"/>
  <c r="BQ29" i="22"/>
  <c r="BR29" i="22"/>
  <c r="BS29" i="22"/>
  <c r="BT29" i="22"/>
  <c r="BU29" i="22"/>
  <c r="BV29" i="22"/>
  <c r="BW29" i="22"/>
  <c r="BX29" i="22"/>
  <c r="BY29" i="22"/>
  <c r="BZ29" i="22"/>
  <c r="CA29" i="22"/>
  <c r="CB29" i="22"/>
  <c r="CC29" i="22"/>
  <c r="CD29" i="22"/>
  <c r="CE29" i="22"/>
  <c r="CF29" i="22"/>
  <c r="CG29" i="22"/>
  <c r="CH29" i="22"/>
  <c r="CI29" i="22"/>
  <c r="CJ29" i="22"/>
  <c r="CK29" i="22"/>
  <c r="CL29" i="22"/>
  <c r="CM29" i="22"/>
  <c r="CN29" i="22"/>
  <c r="CO29" i="22"/>
  <c r="CP29" i="22"/>
  <c r="CQ29" i="22"/>
  <c r="CR29" i="22"/>
  <c r="CS29" i="22"/>
  <c r="CT29" i="22"/>
  <c r="CU29" i="22"/>
  <c r="BF29" i="22"/>
  <c r="C29" i="22"/>
  <c r="D29" i="22"/>
  <c r="E29" i="22"/>
  <c r="F29" i="22"/>
  <c r="G29" i="22"/>
  <c r="H29" i="22"/>
  <c r="I29" i="22"/>
  <c r="J29" i="22"/>
  <c r="K29" i="22"/>
  <c r="L29" i="22"/>
  <c r="M29" i="22"/>
  <c r="N29" i="22"/>
  <c r="O29" i="22"/>
  <c r="P29" i="22"/>
  <c r="Q29" i="22"/>
  <c r="R29" i="22"/>
  <c r="S29" i="22"/>
  <c r="T29" i="22"/>
  <c r="U29" i="22"/>
  <c r="V29" i="22"/>
  <c r="W29" i="22"/>
  <c r="X29" i="22"/>
  <c r="Y29" i="22"/>
  <c r="Z29" i="22"/>
  <c r="AA29" i="22"/>
  <c r="AB29" i="22"/>
  <c r="AC29" i="22"/>
  <c r="AD29" i="22"/>
  <c r="AE29" i="22"/>
  <c r="AF29" i="22"/>
  <c r="AG29" i="22"/>
  <c r="AH29" i="22"/>
  <c r="AI29" i="22"/>
  <c r="AJ29" i="22"/>
  <c r="AK29" i="22"/>
  <c r="AL29" i="22"/>
  <c r="AM29" i="22"/>
  <c r="AN29" i="22"/>
  <c r="AO29" i="22"/>
  <c r="AP29" i="22"/>
  <c r="AS29" i="22"/>
  <c r="AT29" i="22"/>
  <c r="AU29" i="22"/>
  <c r="AV29" i="22"/>
  <c r="AW29" i="22"/>
  <c r="AX29" i="22"/>
  <c r="AY29" i="22"/>
  <c r="AZ29" i="22"/>
  <c r="BA29" i="22"/>
  <c r="BB29" i="22"/>
  <c r="BH30" i="22"/>
  <c r="BI30" i="22"/>
  <c r="BJ30" i="22"/>
  <c r="BK30" i="22"/>
  <c r="BL30" i="22"/>
  <c r="BM30" i="22"/>
  <c r="BN30" i="22"/>
  <c r="BO30" i="22"/>
  <c r="BP30" i="22"/>
  <c r="BQ30" i="22"/>
  <c r="BR30" i="22"/>
  <c r="BS30" i="22"/>
  <c r="BT30" i="22"/>
  <c r="BU30" i="22"/>
  <c r="BV30" i="22"/>
  <c r="BW30" i="22"/>
  <c r="BX30" i="22"/>
  <c r="BY30" i="22"/>
  <c r="BZ30" i="22"/>
  <c r="CA30" i="22"/>
  <c r="CB30" i="22"/>
  <c r="CC30" i="22"/>
  <c r="CD30" i="22"/>
  <c r="CE30" i="22"/>
  <c r="CF30" i="22"/>
  <c r="CG30" i="22"/>
  <c r="CH30" i="22"/>
  <c r="CI30" i="22"/>
  <c r="CJ30" i="22"/>
  <c r="CK30" i="22"/>
  <c r="CL30" i="22"/>
  <c r="CM30" i="22"/>
  <c r="CN30" i="22"/>
  <c r="CO30" i="22"/>
  <c r="CP30" i="22"/>
  <c r="CQ30" i="22"/>
  <c r="CR30" i="22"/>
  <c r="CS30" i="22"/>
  <c r="CT30" i="22"/>
  <c r="CU30" i="22"/>
  <c r="BF30" i="22"/>
  <c r="C30" i="22"/>
  <c r="D30" i="22"/>
  <c r="E30" i="22"/>
  <c r="F30" i="22"/>
  <c r="G30" i="22"/>
  <c r="H30" i="22"/>
  <c r="I30" i="22"/>
  <c r="J30" i="22"/>
  <c r="K30" i="22"/>
  <c r="L30" i="22"/>
  <c r="M30" i="22"/>
  <c r="N30" i="22"/>
  <c r="O30" i="22"/>
  <c r="P30" i="22"/>
  <c r="Q30" i="22"/>
  <c r="R30" i="22"/>
  <c r="S30" i="22"/>
  <c r="T30" i="22"/>
  <c r="U30" i="22"/>
  <c r="V30" i="22"/>
  <c r="W30" i="22"/>
  <c r="X30" i="22"/>
  <c r="Y30" i="22"/>
  <c r="Z30" i="22"/>
  <c r="AA30" i="22"/>
  <c r="AB30" i="22"/>
  <c r="AC30" i="22"/>
  <c r="AD30" i="22"/>
  <c r="AE30" i="22"/>
  <c r="AF30" i="22"/>
  <c r="AG30" i="22"/>
  <c r="AH30" i="22"/>
  <c r="AI30" i="22"/>
  <c r="AJ30" i="22"/>
  <c r="AK30" i="22"/>
  <c r="AL30" i="22"/>
  <c r="AM30" i="22"/>
  <c r="AN30" i="22"/>
  <c r="AO30" i="22"/>
  <c r="AP30" i="22"/>
  <c r="AS30" i="22"/>
  <c r="AT30" i="22"/>
  <c r="AU30" i="22"/>
  <c r="AV30" i="22"/>
  <c r="AW30" i="22"/>
  <c r="AX30" i="22"/>
  <c r="AY30" i="22"/>
  <c r="AZ30" i="22"/>
  <c r="BA30" i="22"/>
  <c r="BB30" i="22"/>
  <c r="BH31" i="22"/>
  <c r="BI31" i="22"/>
  <c r="BJ31" i="22"/>
  <c r="BK31" i="22"/>
  <c r="BL31" i="22"/>
  <c r="BM31" i="22"/>
  <c r="BN31" i="22"/>
  <c r="BO31" i="22"/>
  <c r="BP31" i="22"/>
  <c r="BQ31" i="22"/>
  <c r="BR31" i="22"/>
  <c r="BS31" i="22"/>
  <c r="BT31" i="22"/>
  <c r="BU31" i="22"/>
  <c r="BV31" i="22"/>
  <c r="BW31" i="22"/>
  <c r="BX31" i="22"/>
  <c r="BY31" i="22"/>
  <c r="BZ31" i="22"/>
  <c r="CA31" i="22"/>
  <c r="CB31" i="22"/>
  <c r="CC31" i="22"/>
  <c r="CD31" i="22"/>
  <c r="CE31" i="22"/>
  <c r="CF31" i="22"/>
  <c r="CG31" i="22"/>
  <c r="CH31" i="22"/>
  <c r="CI31" i="22"/>
  <c r="CJ31" i="22"/>
  <c r="CK31" i="22"/>
  <c r="CL31" i="22"/>
  <c r="CM31" i="22"/>
  <c r="CN31" i="22"/>
  <c r="CO31" i="22"/>
  <c r="CP31" i="22"/>
  <c r="CQ31" i="22"/>
  <c r="CR31" i="22"/>
  <c r="CS31" i="22"/>
  <c r="CT31" i="22"/>
  <c r="CU31" i="22"/>
  <c r="BF31" i="22"/>
  <c r="C31" i="22"/>
  <c r="D31" i="22"/>
  <c r="E31" i="22"/>
  <c r="F31" i="22"/>
  <c r="G31" i="22"/>
  <c r="H31" i="22"/>
  <c r="I31" i="22"/>
  <c r="J31" i="22"/>
  <c r="K31" i="22"/>
  <c r="L31" i="22"/>
  <c r="M31" i="22"/>
  <c r="N31" i="22"/>
  <c r="O31" i="22"/>
  <c r="P31" i="22"/>
  <c r="Q31" i="22"/>
  <c r="R31" i="22"/>
  <c r="S31" i="22"/>
  <c r="T31" i="22"/>
  <c r="U31" i="22"/>
  <c r="V31" i="22"/>
  <c r="W31" i="22"/>
  <c r="X31" i="22"/>
  <c r="Y31" i="22"/>
  <c r="Z31" i="22"/>
  <c r="AA31" i="22"/>
  <c r="AB31" i="22"/>
  <c r="AC31" i="22"/>
  <c r="AD31" i="22"/>
  <c r="AE31" i="22"/>
  <c r="AF31" i="22"/>
  <c r="AG31" i="22"/>
  <c r="AH31" i="22"/>
  <c r="AI31" i="22"/>
  <c r="AJ31" i="22"/>
  <c r="AK31" i="22"/>
  <c r="AL31" i="22"/>
  <c r="AM31" i="22"/>
  <c r="AN31" i="22"/>
  <c r="AO31" i="22"/>
  <c r="AP31" i="22"/>
  <c r="AS31" i="22"/>
  <c r="AT31" i="22"/>
  <c r="AU31" i="22"/>
  <c r="AV31" i="22"/>
  <c r="AW31" i="22"/>
  <c r="AX31" i="22"/>
  <c r="AY31" i="22"/>
  <c r="AZ31" i="22"/>
  <c r="BA31" i="22"/>
  <c r="BB31" i="22"/>
  <c r="BH32" i="22"/>
  <c r="BI32" i="22"/>
  <c r="BJ32" i="22"/>
  <c r="BK32" i="22"/>
  <c r="BL32" i="22"/>
  <c r="BM32" i="22"/>
  <c r="BN32" i="22"/>
  <c r="BO32" i="22"/>
  <c r="BP32" i="22"/>
  <c r="BQ32" i="22"/>
  <c r="BR32" i="22"/>
  <c r="BS32" i="22"/>
  <c r="BT32" i="22"/>
  <c r="BU32" i="22"/>
  <c r="BV32" i="22"/>
  <c r="BW32" i="22"/>
  <c r="BX32" i="22"/>
  <c r="BY32" i="22"/>
  <c r="BZ32" i="22"/>
  <c r="CA32" i="22"/>
  <c r="CB32" i="22"/>
  <c r="CC32" i="22"/>
  <c r="CD32" i="22"/>
  <c r="CE32" i="22"/>
  <c r="CF32" i="22"/>
  <c r="CG32" i="22"/>
  <c r="CH32" i="22"/>
  <c r="CI32" i="22"/>
  <c r="CJ32" i="22"/>
  <c r="CK32" i="22"/>
  <c r="CL32" i="22"/>
  <c r="CM32" i="22"/>
  <c r="CN32" i="22"/>
  <c r="CO32" i="22"/>
  <c r="CP32" i="22"/>
  <c r="CQ32" i="22"/>
  <c r="CR32" i="22"/>
  <c r="CS32" i="22"/>
  <c r="CT32" i="22"/>
  <c r="CU32" i="22"/>
  <c r="BF32" i="22"/>
  <c r="C32"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S32" i="22"/>
  <c r="AT32" i="22"/>
  <c r="AU32" i="22"/>
  <c r="AV32" i="22"/>
  <c r="AW32" i="22"/>
  <c r="AX32" i="22"/>
  <c r="AY32" i="22"/>
  <c r="AZ32" i="22"/>
  <c r="BA32" i="22"/>
  <c r="BB32" i="22"/>
  <c r="BH33" i="22"/>
  <c r="BI33" i="22"/>
  <c r="BJ33" i="22"/>
  <c r="BK33" i="22"/>
  <c r="BL33" i="22"/>
  <c r="BM33" i="22"/>
  <c r="BN33" i="22"/>
  <c r="BO33" i="22"/>
  <c r="BP33" i="22"/>
  <c r="BQ33" i="22"/>
  <c r="BR33" i="22"/>
  <c r="BS33" i="22"/>
  <c r="BT33" i="22"/>
  <c r="BU33" i="22"/>
  <c r="BV33" i="22"/>
  <c r="BW33" i="22"/>
  <c r="BX33" i="22"/>
  <c r="BY33" i="22"/>
  <c r="BZ33" i="22"/>
  <c r="CA33" i="22"/>
  <c r="CB33" i="22"/>
  <c r="CC33" i="22"/>
  <c r="CD33" i="22"/>
  <c r="CE33" i="22"/>
  <c r="CF33" i="22"/>
  <c r="CG33" i="22"/>
  <c r="CH33" i="22"/>
  <c r="CI33" i="22"/>
  <c r="CJ33" i="22"/>
  <c r="CK33" i="22"/>
  <c r="CL33" i="22"/>
  <c r="CM33" i="22"/>
  <c r="CN33" i="22"/>
  <c r="CO33" i="22"/>
  <c r="CP33" i="22"/>
  <c r="CQ33" i="22"/>
  <c r="CR33" i="22"/>
  <c r="CS33" i="22"/>
  <c r="CT33" i="22"/>
  <c r="CU33" i="22"/>
  <c r="BF33" i="22"/>
  <c r="C33" i="22"/>
  <c r="D33" i="22"/>
  <c r="E33" i="22"/>
  <c r="F33" i="22"/>
  <c r="G33" i="22"/>
  <c r="H33" i="22"/>
  <c r="I33" i="22"/>
  <c r="J33" i="22"/>
  <c r="K33" i="22"/>
  <c r="L33" i="22"/>
  <c r="M33" i="22"/>
  <c r="N33" i="22"/>
  <c r="O33" i="22"/>
  <c r="P33" i="22"/>
  <c r="Q33" i="22"/>
  <c r="R33" i="22"/>
  <c r="S33" i="22"/>
  <c r="T33" i="22"/>
  <c r="U33" i="22"/>
  <c r="V33" i="22"/>
  <c r="W33" i="22"/>
  <c r="X33" i="22"/>
  <c r="Y33" i="22"/>
  <c r="Z33" i="22"/>
  <c r="AA33" i="22"/>
  <c r="AB33" i="22"/>
  <c r="AC33" i="22"/>
  <c r="AD33" i="22"/>
  <c r="AE33" i="22"/>
  <c r="AF33" i="22"/>
  <c r="AG33" i="22"/>
  <c r="AH33" i="22"/>
  <c r="AI33" i="22"/>
  <c r="AJ33" i="22"/>
  <c r="AK33" i="22"/>
  <c r="AL33" i="22"/>
  <c r="AM33" i="22"/>
  <c r="AN33" i="22"/>
  <c r="AO33" i="22"/>
  <c r="AP33" i="22"/>
  <c r="AS33" i="22"/>
  <c r="AT33" i="22"/>
  <c r="AU33" i="22"/>
  <c r="AV33" i="22"/>
  <c r="AW33" i="22"/>
  <c r="AX33" i="22"/>
  <c r="AY33" i="22"/>
  <c r="AZ33" i="22"/>
  <c r="BA33" i="22"/>
  <c r="BB33" i="22"/>
  <c r="BH34" i="22"/>
  <c r="BI34" i="22"/>
  <c r="BJ34" i="22"/>
  <c r="BK34" i="22"/>
  <c r="BL34" i="22"/>
  <c r="BM34" i="22"/>
  <c r="BN34" i="22"/>
  <c r="BO34" i="22"/>
  <c r="BP34" i="22"/>
  <c r="BQ34" i="22"/>
  <c r="BR34" i="22"/>
  <c r="BS34" i="22"/>
  <c r="BT34" i="22"/>
  <c r="BU34" i="22"/>
  <c r="BV34" i="22"/>
  <c r="BW34" i="22"/>
  <c r="BX34" i="22"/>
  <c r="BY34" i="22"/>
  <c r="BZ34" i="22"/>
  <c r="CA34" i="22"/>
  <c r="CB34" i="22"/>
  <c r="CC34" i="22"/>
  <c r="CD34" i="22"/>
  <c r="CE34" i="22"/>
  <c r="CF34" i="22"/>
  <c r="CG34" i="22"/>
  <c r="CH34" i="22"/>
  <c r="CI34" i="22"/>
  <c r="CJ34" i="22"/>
  <c r="CK34" i="22"/>
  <c r="CL34" i="22"/>
  <c r="CM34" i="22"/>
  <c r="CN34" i="22"/>
  <c r="CO34" i="22"/>
  <c r="CP34" i="22"/>
  <c r="CQ34" i="22"/>
  <c r="CR34" i="22"/>
  <c r="CS34" i="22"/>
  <c r="CT34" i="22"/>
  <c r="CU34" i="22"/>
  <c r="BF34" i="22"/>
  <c r="C34" i="22"/>
  <c r="D34" i="22"/>
  <c r="E34" i="22"/>
  <c r="F34" i="22"/>
  <c r="G34" i="22"/>
  <c r="H34" i="22"/>
  <c r="I34" i="22"/>
  <c r="J34" i="22"/>
  <c r="K34" i="22"/>
  <c r="L34" i="22"/>
  <c r="M34" i="22"/>
  <c r="N34" i="22"/>
  <c r="O34" i="22"/>
  <c r="P34" i="22"/>
  <c r="Q34" i="22"/>
  <c r="R34" i="22"/>
  <c r="S34" i="22"/>
  <c r="T34" i="22"/>
  <c r="U34" i="22"/>
  <c r="V34" i="22"/>
  <c r="W34" i="22"/>
  <c r="X34" i="22"/>
  <c r="Y34" i="22"/>
  <c r="Z34" i="22"/>
  <c r="AA34" i="22"/>
  <c r="AB34" i="22"/>
  <c r="AC34" i="22"/>
  <c r="AD34" i="22"/>
  <c r="AE34" i="22"/>
  <c r="AF34" i="22"/>
  <c r="AG34" i="22"/>
  <c r="AH34" i="22"/>
  <c r="AI34" i="22"/>
  <c r="AJ34" i="22"/>
  <c r="AK34" i="22"/>
  <c r="AL34" i="22"/>
  <c r="AM34" i="22"/>
  <c r="AN34" i="22"/>
  <c r="AO34" i="22"/>
  <c r="AP34" i="22"/>
  <c r="AS34" i="22"/>
  <c r="AT34" i="22"/>
  <c r="AU34" i="22"/>
  <c r="AV34" i="22"/>
  <c r="AW34" i="22"/>
  <c r="AX34" i="22"/>
  <c r="AY34" i="22"/>
  <c r="AZ34" i="22"/>
  <c r="BA34" i="22"/>
  <c r="BB34" i="22"/>
  <c r="BH35" i="22"/>
  <c r="BI35" i="22"/>
  <c r="BJ35" i="22"/>
  <c r="BK35" i="22"/>
  <c r="BL35" i="22"/>
  <c r="BM35" i="22"/>
  <c r="BN35" i="22"/>
  <c r="BO35" i="22"/>
  <c r="BP35" i="22"/>
  <c r="BQ35" i="22"/>
  <c r="BR35" i="22"/>
  <c r="BS35" i="22"/>
  <c r="BT35" i="22"/>
  <c r="BU35" i="22"/>
  <c r="BV35" i="22"/>
  <c r="BW35" i="22"/>
  <c r="BX35" i="22"/>
  <c r="BY35" i="22"/>
  <c r="BZ35" i="22"/>
  <c r="CA35" i="22"/>
  <c r="CB35" i="22"/>
  <c r="CC35" i="22"/>
  <c r="CD35" i="22"/>
  <c r="CE35" i="22"/>
  <c r="CF35" i="22"/>
  <c r="CG35" i="22"/>
  <c r="CH35" i="22"/>
  <c r="CI35" i="22"/>
  <c r="CJ35" i="22"/>
  <c r="CK35" i="22"/>
  <c r="CL35" i="22"/>
  <c r="CM35" i="22"/>
  <c r="CN35" i="22"/>
  <c r="CO35" i="22"/>
  <c r="CP35" i="22"/>
  <c r="CQ35" i="22"/>
  <c r="CR35" i="22"/>
  <c r="CS35" i="22"/>
  <c r="CT35" i="22"/>
  <c r="CU35" i="22"/>
  <c r="BF35" i="22"/>
  <c r="C35" i="22"/>
  <c r="D35" i="22"/>
  <c r="E35" i="22"/>
  <c r="F35" i="22"/>
  <c r="G35" i="22"/>
  <c r="H35" i="22"/>
  <c r="I35" i="22"/>
  <c r="J35" i="22"/>
  <c r="K35" i="22"/>
  <c r="L35" i="22"/>
  <c r="M35" i="22"/>
  <c r="N35" i="22"/>
  <c r="O35" i="22"/>
  <c r="P35" i="22"/>
  <c r="Q35" i="22"/>
  <c r="R35" i="22"/>
  <c r="S35" i="22"/>
  <c r="T35" i="22"/>
  <c r="U35" i="22"/>
  <c r="V35" i="22"/>
  <c r="W35" i="22"/>
  <c r="X35" i="22"/>
  <c r="Y35" i="22"/>
  <c r="Z35" i="22"/>
  <c r="AA35" i="22"/>
  <c r="AB35" i="22"/>
  <c r="AC35" i="22"/>
  <c r="AD35" i="22"/>
  <c r="AE35" i="22"/>
  <c r="AF35" i="22"/>
  <c r="AG35" i="22"/>
  <c r="AH35" i="22"/>
  <c r="AI35" i="22"/>
  <c r="AJ35" i="22"/>
  <c r="AK35" i="22"/>
  <c r="AL35" i="22"/>
  <c r="AM35" i="22"/>
  <c r="AN35" i="22"/>
  <c r="AO35" i="22"/>
  <c r="AP35" i="22"/>
  <c r="AS35" i="22"/>
  <c r="AT35" i="22"/>
  <c r="AU35" i="22"/>
  <c r="AV35" i="22"/>
  <c r="AW35" i="22"/>
  <c r="AX35" i="22"/>
  <c r="AY35" i="22"/>
  <c r="AZ35" i="22"/>
  <c r="BA35" i="22"/>
  <c r="BB35" i="22"/>
  <c r="BH36" i="22"/>
  <c r="BI36" i="22"/>
  <c r="BJ36" i="22"/>
  <c r="BK36" i="22"/>
  <c r="BL36" i="22"/>
  <c r="BM36" i="22"/>
  <c r="BN36" i="22"/>
  <c r="BO36" i="22"/>
  <c r="BP36" i="22"/>
  <c r="BQ36" i="22"/>
  <c r="BR36" i="22"/>
  <c r="BS36" i="22"/>
  <c r="BT36" i="22"/>
  <c r="BU36" i="22"/>
  <c r="BV36" i="22"/>
  <c r="BW36" i="22"/>
  <c r="BX36" i="22"/>
  <c r="BY36" i="22"/>
  <c r="BZ36" i="22"/>
  <c r="CA36" i="22"/>
  <c r="CB36" i="22"/>
  <c r="CC36" i="22"/>
  <c r="CD36" i="22"/>
  <c r="CE36" i="22"/>
  <c r="CF36" i="22"/>
  <c r="CG36" i="22"/>
  <c r="CH36" i="22"/>
  <c r="CI36" i="22"/>
  <c r="CJ36" i="22"/>
  <c r="CK36" i="22"/>
  <c r="CL36" i="22"/>
  <c r="CM36" i="22"/>
  <c r="CN36" i="22"/>
  <c r="CO36" i="22"/>
  <c r="CP36" i="22"/>
  <c r="CQ36" i="22"/>
  <c r="CR36" i="22"/>
  <c r="CS36" i="22"/>
  <c r="CT36" i="22"/>
  <c r="CU36" i="22"/>
  <c r="BF36" i="22"/>
  <c r="C36"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S36" i="22"/>
  <c r="AT36" i="22"/>
  <c r="AU36" i="22"/>
  <c r="AV36" i="22"/>
  <c r="AW36" i="22"/>
  <c r="AX36" i="22"/>
  <c r="AY36" i="22"/>
  <c r="AZ36" i="22"/>
  <c r="BA36" i="22"/>
  <c r="BB36" i="22"/>
  <c r="BH37" i="22"/>
  <c r="BI37" i="22"/>
  <c r="BJ37" i="22"/>
  <c r="BK37" i="22"/>
  <c r="BL37" i="22"/>
  <c r="BM37" i="22"/>
  <c r="BN37" i="22"/>
  <c r="BO37" i="22"/>
  <c r="BP37" i="22"/>
  <c r="BQ37" i="22"/>
  <c r="BR37" i="22"/>
  <c r="BS37" i="22"/>
  <c r="BT37" i="22"/>
  <c r="BU37" i="22"/>
  <c r="BV37" i="22"/>
  <c r="BW37" i="22"/>
  <c r="BX37" i="22"/>
  <c r="BY37" i="22"/>
  <c r="BZ37" i="22"/>
  <c r="CA37" i="22"/>
  <c r="CB37" i="22"/>
  <c r="CC37" i="22"/>
  <c r="CD37" i="22"/>
  <c r="CE37" i="22"/>
  <c r="CF37" i="22"/>
  <c r="CG37" i="22"/>
  <c r="CH37" i="22"/>
  <c r="CI37" i="22"/>
  <c r="CJ37" i="22"/>
  <c r="CK37" i="22"/>
  <c r="CL37" i="22"/>
  <c r="CM37" i="22"/>
  <c r="CN37" i="22"/>
  <c r="CO37" i="22"/>
  <c r="CP37" i="22"/>
  <c r="CQ37" i="22"/>
  <c r="CR37" i="22"/>
  <c r="CS37" i="22"/>
  <c r="CT37" i="22"/>
  <c r="CU37" i="22"/>
  <c r="BF37" i="22"/>
  <c r="C37" i="22"/>
  <c r="D37" i="22"/>
  <c r="E37" i="22"/>
  <c r="F37" i="22"/>
  <c r="G37" i="22"/>
  <c r="H37" i="22"/>
  <c r="I37" i="22"/>
  <c r="J37" i="22"/>
  <c r="K37" i="22"/>
  <c r="L37" i="22"/>
  <c r="M37" i="22"/>
  <c r="N37" i="22"/>
  <c r="O37" i="22"/>
  <c r="P37" i="22"/>
  <c r="Q37" i="22"/>
  <c r="R37" i="22"/>
  <c r="S37" i="22"/>
  <c r="T37" i="22"/>
  <c r="U37" i="22"/>
  <c r="V37" i="22"/>
  <c r="W37" i="22"/>
  <c r="X37" i="22"/>
  <c r="Y37" i="22"/>
  <c r="Z37" i="22"/>
  <c r="AA37" i="22"/>
  <c r="AB37" i="22"/>
  <c r="AC37" i="22"/>
  <c r="AD37" i="22"/>
  <c r="AE37" i="22"/>
  <c r="AF37" i="22"/>
  <c r="AG37" i="22"/>
  <c r="AH37" i="22"/>
  <c r="AI37" i="22"/>
  <c r="AJ37" i="22"/>
  <c r="AK37" i="22"/>
  <c r="AL37" i="22"/>
  <c r="AM37" i="22"/>
  <c r="AN37" i="22"/>
  <c r="AO37" i="22"/>
  <c r="AP37" i="22"/>
  <c r="AS37" i="22"/>
  <c r="AT37" i="22"/>
  <c r="AU37" i="22"/>
  <c r="AV37" i="22"/>
  <c r="AW37" i="22"/>
  <c r="AX37" i="22"/>
  <c r="AY37" i="22"/>
  <c r="AZ37" i="22"/>
  <c r="BA37" i="22"/>
  <c r="BB37" i="22"/>
  <c r="BH38" i="22"/>
  <c r="BI38" i="22"/>
  <c r="BJ38" i="22"/>
  <c r="BK38" i="22"/>
  <c r="BL38" i="22"/>
  <c r="BM38" i="22"/>
  <c r="BN38" i="22"/>
  <c r="BO38" i="22"/>
  <c r="BP38" i="22"/>
  <c r="BQ38" i="22"/>
  <c r="BR38" i="22"/>
  <c r="BS38" i="22"/>
  <c r="BT38" i="22"/>
  <c r="BU38" i="22"/>
  <c r="BV38" i="22"/>
  <c r="BW38" i="22"/>
  <c r="BX38" i="22"/>
  <c r="BY38" i="22"/>
  <c r="BZ38" i="22"/>
  <c r="CA38" i="22"/>
  <c r="CB38" i="22"/>
  <c r="CC38" i="22"/>
  <c r="CD38" i="22"/>
  <c r="CE38" i="22"/>
  <c r="CF38" i="22"/>
  <c r="CG38" i="22"/>
  <c r="CH38" i="22"/>
  <c r="CI38" i="22"/>
  <c r="CJ38" i="22"/>
  <c r="CK38" i="22"/>
  <c r="CL38" i="22"/>
  <c r="CM38" i="22"/>
  <c r="CN38" i="22"/>
  <c r="CO38" i="22"/>
  <c r="CP38" i="22"/>
  <c r="CQ38" i="22"/>
  <c r="CR38" i="22"/>
  <c r="CS38" i="22"/>
  <c r="CT38" i="22"/>
  <c r="CU38" i="22"/>
  <c r="BF38" i="22"/>
  <c r="C38" i="22"/>
  <c r="D38" i="22"/>
  <c r="E38" i="22"/>
  <c r="F38" i="22"/>
  <c r="G38" i="22"/>
  <c r="H38" i="22"/>
  <c r="I38" i="22"/>
  <c r="J38" i="22"/>
  <c r="K38" i="22"/>
  <c r="L38" i="22"/>
  <c r="M38" i="22"/>
  <c r="N38" i="22"/>
  <c r="O38" i="22"/>
  <c r="P38" i="22"/>
  <c r="Q38" i="22"/>
  <c r="R38" i="22"/>
  <c r="S38" i="22"/>
  <c r="T38" i="22"/>
  <c r="U38" i="22"/>
  <c r="V38" i="22"/>
  <c r="W38" i="22"/>
  <c r="X38" i="22"/>
  <c r="Y38" i="22"/>
  <c r="Z38" i="22"/>
  <c r="AA38" i="22"/>
  <c r="AB38" i="22"/>
  <c r="AC38" i="22"/>
  <c r="AD38" i="22"/>
  <c r="AE38" i="22"/>
  <c r="AF38" i="22"/>
  <c r="AG38" i="22"/>
  <c r="AH38" i="22"/>
  <c r="AI38" i="22"/>
  <c r="AJ38" i="22"/>
  <c r="AK38" i="22"/>
  <c r="AL38" i="22"/>
  <c r="AM38" i="22"/>
  <c r="AN38" i="22"/>
  <c r="AO38" i="22"/>
  <c r="AP38" i="22"/>
  <c r="AS38" i="22"/>
  <c r="AT38" i="22"/>
  <c r="AU38" i="22"/>
  <c r="AV38" i="22"/>
  <c r="AW38" i="22"/>
  <c r="AX38" i="22"/>
  <c r="AY38" i="22"/>
  <c r="AZ38" i="22"/>
  <c r="BA38" i="22"/>
  <c r="BB38" i="22"/>
  <c r="BH39" i="22"/>
  <c r="BI39" i="22"/>
  <c r="BJ39" i="22"/>
  <c r="BK39" i="22"/>
  <c r="BL39" i="22"/>
  <c r="BM39" i="22"/>
  <c r="BN39" i="22"/>
  <c r="BO39" i="22"/>
  <c r="BP39" i="22"/>
  <c r="BQ39" i="22"/>
  <c r="BR39" i="22"/>
  <c r="BS39" i="22"/>
  <c r="BT39" i="22"/>
  <c r="BU39" i="22"/>
  <c r="BV39" i="22"/>
  <c r="BW39" i="22"/>
  <c r="BX39" i="22"/>
  <c r="BY39" i="22"/>
  <c r="BZ39" i="22"/>
  <c r="CA39" i="22"/>
  <c r="CB39" i="22"/>
  <c r="CC39" i="22"/>
  <c r="CD39" i="22"/>
  <c r="CE39" i="22"/>
  <c r="CF39" i="22"/>
  <c r="CG39" i="22"/>
  <c r="CH39" i="22"/>
  <c r="CI39" i="22"/>
  <c r="CJ39" i="22"/>
  <c r="CK39" i="22"/>
  <c r="CL39" i="22"/>
  <c r="CM39" i="22"/>
  <c r="CN39" i="22"/>
  <c r="CO39" i="22"/>
  <c r="CP39" i="22"/>
  <c r="CQ39" i="22"/>
  <c r="CR39" i="22"/>
  <c r="CS39" i="22"/>
  <c r="CT39" i="22"/>
  <c r="CU39" i="22"/>
  <c r="BF39" i="22"/>
  <c r="C39" i="22"/>
  <c r="D39" i="22"/>
  <c r="E39" i="22"/>
  <c r="F39" i="22"/>
  <c r="G39" i="22"/>
  <c r="H39" i="22"/>
  <c r="I39" i="22"/>
  <c r="J39" i="22"/>
  <c r="K39" i="22"/>
  <c r="L39" i="22"/>
  <c r="M39" i="22"/>
  <c r="N39" i="22"/>
  <c r="O39" i="22"/>
  <c r="P39" i="22"/>
  <c r="Q39" i="22"/>
  <c r="R39" i="22"/>
  <c r="S39" i="22"/>
  <c r="T39" i="22"/>
  <c r="U39" i="22"/>
  <c r="V39" i="22"/>
  <c r="W39" i="22"/>
  <c r="X39" i="22"/>
  <c r="Y39" i="22"/>
  <c r="Z39" i="22"/>
  <c r="AA39" i="22"/>
  <c r="AB39" i="22"/>
  <c r="AC39" i="22"/>
  <c r="AD39" i="22"/>
  <c r="AE39" i="22"/>
  <c r="AF39" i="22"/>
  <c r="AG39" i="22"/>
  <c r="AH39" i="22"/>
  <c r="AI39" i="22"/>
  <c r="AJ39" i="22"/>
  <c r="AK39" i="22"/>
  <c r="AL39" i="22"/>
  <c r="AM39" i="22"/>
  <c r="AN39" i="22"/>
  <c r="AO39" i="22"/>
  <c r="AP39" i="22"/>
  <c r="AS39" i="22"/>
  <c r="AT39" i="22"/>
  <c r="AU39" i="22"/>
  <c r="AV39" i="22"/>
  <c r="AW39" i="22"/>
  <c r="AX39" i="22"/>
  <c r="AY39" i="22"/>
  <c r="AZ39" i="22"/>
  <c r="BA39" i="22"/>
  <c r="BB39" i="22"/>
  <c r="BH40" i="22"/>
  <c r="BI40" i="22"/>
  <c r="BJ40" i="22"/>
  <c r="BK40" i="22"/>
  <c r="BL40" i="22"/>
  <c r="BM40" i="22"/>
  <c r="BN40" i="22"/>
  <c r="BO40" i="22"/>
  <c r="BP40" i="22"/>
  <c r="BQ40" i="22"/>
  <c r="BR40" i="22"/>
  <c r="BS40" i="22"/>
  <c r="BT40" i="22"/>
  <c r="BU40" i="22"/>
  <c r="BV40" i="22"/>
  <c r="BW40" i="22"/>
  <c r="BX40" i="22"/>
  <c r="BY40" i="22"/>
  <c r="BZ40" i="22"/>
  <c r="CA40" i="22"/>
  <c r="CB40" i="22"/>
  <c r="CC40" i="22"/>
  <c r="CD40" i="22"/>
  <c r="CE40" i="22"/>
  <c r="CF40" i="22"/>
  <c r="CG40" i="22"/>
  <c r="CH40" i="22"/>
  <c r="CI40" i="22"/>
  <c r="CJ40" i="22"/>
  <c r="CK40" i="22"/>
  <c r="CL40" i="22"/>
  <c r="CM40" i="22"/>
  <c r="CN40" i="22"/>
  <c r="CO40" i="22"/>
  <c r="CP40" i="22"/>
  <c r="CQ40" i="22"/>
  <c r="CR40" i="22"/>
  <c r="CS40" i="22"/>
  <c r="CT40" i="22"/>
  <c r="CU40" i="22"/>
  <c r="BF40" i="22"/>
  <c r="C40"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S40" i="22"/>
  <c r="AT40" i="22"/>
  <c r="AU40" i="22"/>
  <c r="AV40" i="22"/>
  <c r="AW40" i="22"/>
  <c r="AX40" i="22"/>
  <c r="AY40" i="22"/>
  <c r="AZ40" i="22"/>
  <c r="BA40" i="22"/>
  <c r="BB40" i="22"/>
  <c r="BH41" i="22"/>
  <c r="BI41" i="22"/>
  <c r="BJ41" i="22"/>
  <c r="BK41" i="22"/>
  <c r="BL41" i="22"/>
  <c r="BM41" i="22"/>
  <c r="BN41" i="22"/>
  <c r="BO41" i="22"/>
  <c r="BP41" i="22"/>
  <c r="BQ41" i="22"/>
  <c r="BR41" i="22"/>
  <c r="BS41" i="22"/>
  <c r="BT41" i="22"/>
  <c r="BU41" i="22"/>
  <c r="BV41" i="22"/>
  <c r="BW41" i="22"/>
  <c r="BX41" i="22"/>
  <c r="BY41" i="22"/>
  <c r="BZ41" i="22"/>
  <c r="CA41" i="22"/>
  <c r="CB41" i="22"/>
  <c r="CC41" i="22"/>
  <c r="CD41" i="22"/>
  <c r="CE41" i="22"/>
  <c r="CF41" i="22"/>
  <c r="CG41" i="22"/>
  <c r="CH41" i="22"/>
  <c r="CI41" i="22"/>
  <c r="CJ41" i="22"/>
  <c r="CK41" i="22"/>
  <c r="CL41" i="22"/>
  <c r="CM41" i="22"/>
  <c r="CN41" i="22"/>
  <c r="CO41" i="22"/>
  <c r="CP41" i="22"/>
  <c r="CQ41" i="22"/>
  <c r="CR41" i="22"/>
  <c r="CS41" i="22"/>
  <c r="CT41" i="22"/>
  <c r="CU41" i="22"/>
  <c r="BF41" i="22"/>
  <c r="C41" i="22"/>
  <c r="D41" i="22"/>
  <c r="E41" i="22"/>
  <c r="F41" i="22"/>
  <c r="G41" i="22"/>
  <c r="H41" i="22"/>
  <c r="I41" i="22"/>
  <c r="J41" i="22"/>
  <c r="K41" i="22"/>
  <c r="L41" i="22"/>
  <c r="M41" i="22"/>
  <c r="N41" i="22"/>
  <c r="O41" i="22"/>
  <c r="P41" i="22"/>
  <c r="Q41" i="22"/>
  <c r="R41" i="22"/>
  <c r="S41" i="22"/>
  <c r="T41" i="22"/>
  <c r="U41" i="22"/>
  <c r="V41" i="22"/>
  <c r="W41" i="22"/>
  <c r="X41" i="22"/>
  <c r="Y41" i="22"/>
  <c r="Z41" i="22"/>
  <c r="AA41" i="22"/>
  <c r="AB41" i="22"/>
  <c r="AC41" i="22"/>
  <c r="AD41" i="22"/>
  <c r="AE41" i="22"/>
  <c r="AF41" i="22"/>
  <c r="AG41" i="22"/>
  <c r="AH41" i="22"/>
  <c r="AI41" i="22"/>
  <c r="AJ41" i="22"/>
  <c r="AK41" i="22"/>
  <c r="AL41" i="22"/>
  <c r="AM41" i="22"/>
  <c r="AN41" i="22"/>
  <c r="AO41" i="22"/>
  <c r="AP41" i="22"/>
  <c r="AS41" i="22"/>
  <c r="AT41" i="22"/>
  <c r="AU41" i="22"/>
  <c r="AV41" i="22"/>
  <c r="AW41" i="22"/>
  <c r="AX41" i="22"/>
  <c r="AY41" i="22"/>
  <c r="AZ41" i="22"/>
  <c r="BA41" i="22"/>
  <c r="BB41" i="22"/>
  <c r="BH42" i="22"/>
  <c r="BI42" i="22"/>
  <c r="BJ42" i="22"/>
  <c r="BK42" i="22"/>
  <c r="BL42" i="22"/>
  <c r="BM42" i="22"/>
  <c r="BN42" i="22"/>
  <c r="BO42" i="22"/>
  <c r="BP42" i="22"/>
  <c r="BQ42" i="22"/>
  <c r="BR42" i="22"/>
  <c r="BS42" i="22"/>
  <c r="BT42" i="22"/>
  <c r="BU42" i="22"/>
  <c r="BV42" i="22"/>
  <c r="BW42" i="22"/>
  <c r="BX42" i="22"/>
  <c r="BY42" i="22"/>
  <c r="BZ42" i="22"/>
  <c r="CA42" i="22"/>
  <c r="CB42" i="22"/>
  <c r="CC42" i="22"/>
  <c r="CD42" i="22"/>
  <c r="CE42" i="22"/>
  <c r="CF42" i="22"/>
  <c r="CG42" i="22"/>
  <c r="CH42" i="22"/>
  <c r="CI42" i="22"/>
  <c r="CJ42" i="22"/>
  <c r="CK42" i="22"/>
  <c r="CL42" i="22"/>
  <c r="CM42" i="22"/>
  <c r="CN42" i="22"/>
  <c r="CO42" i="22"/>
  <c r="CP42" i="22"/>
  <c r="CQ42" i="22"/>
  <c r="CR42" i="22"/>
  <c r="CS42" i="22"/>
  <c r="CT42" i="22"/>
  <c r="CU42" i="22"/>
  <c r="BF42" i="22"/>
  <c r="C42" i="22"/>
  <c r="D42" i="22"/>
  <c r="E42" i="22"/>
  <c r="F42" i="22"/>
  <c r="G42" i="22"/>
  <c r="H42" i="22"/>
  <c r="I42" i="22"/>
  <c r="J42" i="22"/>
  <c r="K42" i="22"/>
  <c r="L42" i="22"/>
  <c r="M42" i="22"/>
  <c r="N42" i="22"/>
  <c r="O42" i="22"/>
  <c r="P42" i="22"/>
  <c r="Q42" i="22"/>
  <c r="R42" i="22"/>
  <c r="S42" i="22"/>
  <c r="T42" i="22"/>
  <c r="U42" i="22"/>
  <c r="V42" i="22"/>
  <c r="W42" i="22"/>
  <c r="X42" i="22"/>
  <c r="Y42" i="22"/>
  <c r="Z42" i="22"/>
  <c r="AA42" i="22"/>
  <c r="AB42" i="22"/>
  <c r="AC42" i="22"/>
  <c r="AD42" i="22"/>
  <c r="AE42" i="22"/>
  <c r="AF42" i="22"/>
  <c r="AG42" i="22"/>
  <c r="AH42" i="22"/>
  <c r="AI42" i="22"/>
  <c r="AJ42" i="22"/>
  <c r="AK42" i="22"/>
  <c r="AL42" i="22"/>
  <c r="AM42" i="22"/>
  <c r="AN42" i="22"/>
  <c r="AO42" i="22"/>
  <c r="AP42" i="22"/>
  <c r="AS42" i="22"/>
  <c r="AT42" i="22"/>
  <c r="AU42" i="22"/>
  <c r="AV42" i="22"/>
  <c r="AW42" i="22"/>
  <c r="AX42" i="22"/>
  <c r="AY42" i="22"/>
  <c r="AZ42" i="22"/>
  <c r="BA42" i="22"/>
  <c r="BB42" i="22"/>
  <c r="BH43" i="22"/>
  <c r="BI43" i="22"/>
  <c r="BJ43" i="22"/>
  <c r="BK43" i="22"/>
  <c r="BL43" i="22"/>
  <c r="BM43" i="22"/>
  <c r="BN43" i="22"/>
  <c r="BO43" i="22"/>
  <c r="BP43" i="22"/>
  <c r="BQ43" i="22"/>
  <c r="BR43" i="22"/>
  <c r="BS43" i="22"/>
  <c r="BT43" i="22"/>
  <c r="BU43" i="22"/>
  <c r="BV43" i="22"/>
  <c r="BW43" i="22"/>
  <c r="BX43" i="22"/>
  <c r="BY43" i="22"/>
  <c r="BZ43" i="22"/>
  <c r="CA43" i="22"/>
  <c r="CB43" i="22"/>
  <c r="CC43" i="22"/>
  <c r="CD43" i="22"/>
  <c r="CE43" i="22"/>
  <c r="CF43" i="22"/>
  <c r="CG43" i="22"/>
  <c r="CH43" i="22"/>
  <c r="CI43" i="22"/>
  <c r="CJ43" i="22"/>
  <c r="CK43" i="22"/>
  <c r="CL43" i="22"/>
  <c r="CM43" i="22"/>
  <c r="CN43" i="22"/>
  <c r="CO43" i="22"/>
  <c r="CP43" i="22"/>
  <c r="CQ43" i="22"/>
  <c r="CR43" i="22"/>
  <c r="CS43" i="22"/>
  <c r="CT43" i="22"/>
  <c r="CU43" i="22"/>
  <c r="BF43" i="22"/>
  <c r="C43" i="22"/>
  <c r="D43" i="22"/>
  <c r="E43" i="22"/>
  <c r="F43" i="22"/>
  <c r="G43" i="22"/>
  <c r="H43" i="22"/>
  <c r="I43" i="22"/>
  <c r="J43" i="22"/>
  <c r="K43" i="22"/>
  <c r="L43" i="22"/>
  <c r="M43" i="22"/>
  <c r="N43" i="22"/>
  <c r="O43" i="22"/>
  <c r="P43" i="22"/>
  <c r="Q43" i="22"/>
  <c r="R43" i="22"/>
  <c r="S43" i="22"/>
  <c r="T43" i="22"/>
  <c r="U43" i="22"/>
  <c r="V43" i="22"/>
  <c r="W43" i="22"/>
  <c r="X43" i="22"/>
  <c r="Y43" i="22"/>
  <c r="Z43" i="22"/>
  <c r="AA43" i="22"/>
  <c r="AB43" i="22"/>
  <c r="AC43" i="22"/>
  <c r="AD43" i="22"/>
  <c r="AE43" i="22"/>
  <c r="AF43" i="22"/>
  <c r="AG43" i="22"/>
  <c r="AH43" i="22"/>
  <c r="AI43" i="22"/>
  <c r="AJ43" i="22"/>
  <c r="AK43" i="22"/>
  <c r="AL43" i="22"/>
  <c r="AM43" i="22"/>
  <c r="AN43" i="22"/>
  <c r="AO43" i="22"/>
  <c r="AP43" i="22"/>
  <c r="AS43" i="22"/>
  <c r="AT43" i="22"/>
  <c r="AU43" i="22"/>
  <c r="AV43" i="22"/>
  <c r="AW43" i="22"/>
  <c r="AX43" i="22"/>
  <c r="AY43" i="22"/>
  <c r="AZ43" i="22"/>
  <c r="BA43" i="22"/>
  <c r="BB43" i="22"/>
  <c r="BH44" i="22"/>
  <c r="BI44" i="22"/>
  <c r="BJ44" i="22"/>
  <c r="BK44" i="22"/>
  <c r="BL44" i="22"/>
  <c r="BM44" i="22"/>
  <c r="BN44" i="22"/>
  <c r="BO44" i="22"/>
  <c r="BP44" i="22"/>
  <c r="BQ44" i="22"/>
  <c r="BR44" i="22"/>
  <c r="BS44" i="22"/>
  <c r="BT44" i="22"/>
  <c r="BU44" i="22"/>
  <c r="BV44" i="22"/>
  <c r="BW44" i="22"/>
  <c r="BX44" i="22"/>
  <c r="BY44" i="22"/>
  <c r="BZ44" i="22"/>
  <c r="CA44" i="22"/>
  <c r="CB44" i="22"/>
  <c r="CC44" i="22"/>
  <c r="CD44" i="22"/>
  <c r="CE44" i="22"/>
  <c r="CF44" i="22"/>
  <c r="CG44" i="22"/>
  <c r="CH44" i="22"/>
  <c r="CI44" i="22"/>
  <c r="CJ44" i="22"/>
  <c r="CK44" i="22"/>
  <c r="CL44" i="22"/>
  <c r="CM44" i="22"/>
  <c r="CN44" i="22"/>
  <c r="CO44" i="22"/>
  <c r="CP44" i="22"/>
  <c r="CQ44" i="22"/>
  <c r="CR44" i="22"/>
  <c r="CS44" i="22"/>
  <c r="CT44" i="22"/>
  <c r="CU44" i="22"/>
  <c r="BF44" i="22"/>
  <c r="C44" i="22"/>
  <c r="D44" i="22"/>
  <c r="E44" i="22"/>
  <c r="F44" i="22"/>
  <c r="G44" i="22"/>
  <c r="H44" i="22"/>
  <c r="I44" i="22"/>
  <c r="J44" i="22"/>
  <c r="K44" i="22"/>
  <c r="L44" i="22"/>
  <c r="M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S44" i="22"/>
  <c r="AT44" i="22"/>
  <c r="AU44" i="22"/>
  <c r="AV44" i="22"/>
  <c r="AW44" i="22"/>
  <c r="AX44" i="22"/>
  <c r="AY44" i="22"/>
  <c r="AZ44" i="22"/>
  <c r="BA44" i="22"/>
  <c r="BB44" i="22"/>
  <c r="BH45" i="22"/>
  <c r="BI45" i="22"/>
  <c r="BJ45" i="22"/>
  <c r="BK45" i="22"/>
  <c r="BL45" i="22"/>
  <c r="BM45" i="22"/>
  <c r="BN45" i="22"/>
  <c r="BO45" i="22"/>
  <c r="BP45" i="22"/>
  <c r="BQ45" i="22"/>
  <c r="BR45" i="22"/>
  <c r="BS45" i="22"/>
  <c r="BT45" i="22"/>
  <c r="BU45" i="22"/>
  <c r="BV45" i="22"/>
  <c r="BW45" i="22"/>
  <c r="BX45" i="22"/>
  <c r="BY45" i="22"/>
  <c r="BZ45" i="22"/>
  <c r="CA45" i="22"/>
  <c r="CB45" i="22"/>
  <c r="CC45" i="22"/>
  <c r="CD45" i="22"/>
  <c r="CE45" i="22"/>
  <c r="CF45" i="22"/>
  <c r="CG45" i="22"/>
  <c r="CH45" i="22"/>
  <c r="CI45" i="22"/>
  <c r="CJ45" i="22"/>
  <c r="CK45" i="22"/>
  <c r="CL45" i="22"/>
  <c r="CM45" i="22"/>
  <c r="CN45" i="22"/>
  <c r="CO45" i="22"/>
  <c r="CP45" i="22"/>
  <c r="CQ45" i="22"/>
  <c r="CR45" i="22"/>
  <c r="CS45" i="22"/>
  <c r="CT45" i="22"/>
  <c r="CU45" i="22"/>
  <c r="BF45" i="22"/>
  <c r="C45"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S45" i="22"/>
  <c r="AT45" i="22"/>
  <c r="AU45" i="22"/>
  <c r="AV45" i="22"/>
  <c r="AW45" i="22"/>
  <c r="AX45" i="22"/>
  <c r="AY45" i="22"/>
  <c r="AZ45" i="22"/>
  <c r="BA45" i="22"/>
  <c r="BB45" i="22"/>
  <c r="BH46" i="22"/>
  <c r="BI46" i="22"/>
  <c r="BJ46" i="22"/>
  <c r="BK46" i="22"/>
  <c r="BL46" i="22"/>
  <c r="BM46" i="22"/>
  <c r="BN46" i="22"/>
  <c r="BO46" i="22"/>
  <c r="BP46" i="22"/>
  <c r="BQ46" i="22"/>
  <c r="BR46" i="22"/>
  <c r="BS46" i="22"/>
  <c r="BT46" i="22"/>
  <c r="BU46" i="22"/>
  <c r="BV46" i="22"/>
  <c r="BW46" i="22"/>
  <c r="BX46" i="22"/>
  <c r="BY46" i="22"/>
  <c r="BZ46" i="22"/>
  <c r="CA46" i="22"/>
  <c r="CB46" i="22"/>
  <c r="CC46" i="22"/>
  <c r="CD46" i="22"/>
  <c r="CE46" i="22"/>
  <c r="CF46" i="22"/>
  <c r="CG46" i="22"/>
  <c r="CH46" i="22"/>
  <c r="CI46" i="22"/>
  <c r="CJ46" i="22"/>
  <c r="CK46" i="22"/>
  <c r="CL46" i="22"/>
  <c r="CM46" i="22"/>
  <c r="CN46" i="22"/>
  <c r="CO46" i="22"/>
  <c r="CP46" i="22"/>
  <c r="CQ46" i="22"/>
  <c r="CR46" i="22"/>
  <c r="CS46" i="22"/>
  <c r="CT46" i="22"/>
  <c r="CU46" i="22"/>
  <c r="BF46" i="22"/>
  <c r="C46" i="22"/>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S46" i="22"/>
  <c r="AT46" i="22"/>
  <c r="AU46" i="22"/>
  <c r="AV46" i="22"/>
  <c r="AW46" i="22"/>
  <c r="AX46" i="22"/>
  <c r="AY46" i="22"/>
  <c r="AZ46" i="22"/>
  <c r="BA46" i="22"/>
  <c r="BB46" i="22"/>
  <c r="BH47" i="22"/>
  <c r="BI47" i="22"/>
  <c r="BJ47" i="22"/>
  <c r="BK47" i="22"/>
  <c r="BL47" i="22"/>
  <c r="BM47" i="22"/>
  <c r="BN47" i="22"/>
  <c r="BO47" i="22"/>
  <c r="BP47" i="22"/>
  <c r="BQ47" i="22"/>
  <c r="BR47" i="22"/>
  <c r="BS47" i="22"/>
  <c r="BT47" i="22"/>
  <c r="BU47" i="22"/>
  <c r="BV47" i="22"/>
  <c r="BW47" i="22"/>
  <c r="BX47" i="22"/>
  <c r="BY47" i="22"/>
  <c r="BZ47" i="22"/>
  <c r="CA47" i="22"/>
  <c r="CB47" i="22"/>
  <c r="CC47" i="22"/>
  <c r="CD47" i="22"/>
  <c r="CE47" i="22"/>
  <c r="CF47" i="22"/>
  <c r="CG47" i="22"/>
  <c r="CH47" i="22"/>
  <c r="CI47" i="22"/>
  <c r="CJ47" i="22"/>
  <c r="CK47" i="22"/>
  <c r="CL47" i="22"/>
  <c r="CM47" i="22"/>
  <c r="CN47" i="22"/>
  <c r="CO47" i="22"/>
  <c r="CP47" i="22"/>
  <c r="CQ47" i="22"/>
  <c r="CR47" i="22"/>
  <c r="CS47" i="22"/>
  <c r="CT47" i="22"/>
  <c r="CU47" i="22"/>
  <c r="BF47" i="22"/>
  <c r="C47" i="22"/>
  <c r="D47" i="22"/>
  <c r="E47" i="22"/>
  <c r="F47" i="22"/>
  <c r="G47" i="22"/>
  <c r="H47" i="22"/>
  <c r="I47" i="22"/>
  <c r="J47" i="22"/>
  <c r="K47" i="22"/>
  <c r="L47" i="22"/>
  <c r="M47" i="22"/>
  <c r="N47" i="22"/>
  <c r="O47" i="22"/>
  <c r="P47" i="22"/>
  <c r="Q47" i="22"/>
  <c r="R47" i="22"/>
  <c r="S47" i="22"/>
  <c r="T47" i="22"/>
  <c r="U47" i="22"/>
  <c r="V47" i="22"/>
  <c r="W47" i="22"/>
  <c r="X47" i="22"/>
  <c r="Y47" i="22"/>
  <c r="Z47" i="22"/>
  <c r="AA47" i="22"/>
  <c r="AB47" i="22"/>
  <c r="AC47" i="22"/>
  <c r="AD47" i="22"/>
  <c r="AE47" i="22"/>
  <c r="AF47" i="22"/>
  <c r="AG47" i="22"/>
  <c r="AH47" i="22"/>
  <c r="AI47" i="22"/>
  <c r="AJ47" i="22"/>
  <c r="AK47" i="22"/>
  <c r="AL47" i="22"/>
  <c r="AM47" i="22"/>
  <c r="AN47" i="22"/>
  <c r="AO47" i="22"/>
  <c r="AP47" i="22"/>
  <c r="AS47" i="22"/>
  <c r="AT47" i="22"/>
  <c r="AU47" i="22"/>
  <c r="AV47" i="22"/>
  <c r="AW47" i="22"/>
  <c r="AX47" i="22"/>
  <c r="AY47" i="22"/>
  <c r="AZ47" i="22"/>
  <c r="BA47" i="22"/>
  <c r="BB47" i="22"/>
  <c r="BH48" i="22"/>
  <c r="BI48" i="22"/>
  <c r="BJ48" i="22"/>
  <c r="BK48" i="22"/>
  <c r="BL48" i="22"/>
  <c r="BM48" i="22"/>
  <c r="BN48" i="22"/>
  <c r="BO48" i="22"/>
  <c r="BP48" i="22"/>
  <c r="BQ48" i="22"/>
  <c r="BR48" i="22"/>
  <c r="BS48" i="22"/>
  <c r="BT48" i="22"/>
  <c r="BU48" i="22"/>
  <c r="BV48" i="22"/>
  <c r="BW48" i="22"/>
  <c r="BX48" i="22"/>
  <c r="BY48" i="22"/>
  <c r="BZ48" i="22"/>
  <c r="CA48" i="22"/>
  <c r="CB48" i="22"/>
  <c r="CC48" i="22"/>
  <c r="CD48" i="22"/>
  <c r="CE48" i="22"/>
  <c r="CF48" i="22"/>
  <c r="CG48" i="22"/>
  <c r="CH48" i="22"/>
  <c r="CI48" i="22"/>
  <c r="CJ48" i="22"/>
  <c r="CK48" i="22"/>
  <c r="CL48" i="22"/>
  <c r="CM48" i="22"/>
  <c r="CN48" i="22"/>
  <c r="CO48" i="22"/>
  <c r="CP48" i="22"/>
  <c r="CQ48" i="22"/>
  <c r="CR48" i="22"/>
  <c r="CS48" i="22"/>
  <c r="CT48" i="22"/>
  <c r="CU48" i="22"/>
  <c r="BF48" i="22"/>
  <c r="C48" i="22"/>
  <c r="D48" i="22"/>
  <c r="E48" i="22"/>
  <c r="F48" i="22"/>
  <c r="G48" i="22"/>
  <c r="H48" i="22"/>
  <c r="I48" i="22"/>
  <c r="J48" i="22"/>
  <c r="K48" i="22"/>
  <c r="L48" i="22"/>
  <c r="M48" i="22"/>
  <c r="N48" i="22"/>
  <c r="O48" i="22"/>
  <c r="P48" i="22"/>
  <c r="Q48" i="22"/>
  <c r="R48" i="22"/>
  <c r="S48" i="22"/>
  <c r="T48" i="22"/>
  <c r="U48" i="22"/>
  <c r="V48" i="22"/>
  <c r="W48" i="22"/>
  <c r="X48" i="22"/>
  <c r="Y48" i="22"/>
  <c r="Z48" i="22"/>
  <c r="AA48" i="22"/>
  <c r="AB48" i="22"/>
  <c r="AC48" i="22"/>
  <c r="AD48" i="22"/>
  <c r="AE48" i="22"/>
  <c r="AF48" i="22"/>
  <c r="AG48" i="22"/>
  <c r="AH48" i="22"/>
  <c r="AI48" i="22"/>
  <c r="AJ48" i="22"/>
  <c r="AK48" i="22"/>
  <c r="AL48" i="22"/>
  <c r="AM48" i="22"/>
  <c r="AN48" i="22"/>
  <c r="AO48" i="22"/>
  <c r="AP48" i="22"/>
  <c r="AS48" i="22"/>
  <c r="AT48" i="22"/>
  <c r="AU48" i="22"/>
  <c r="AV48" i="22"/>
  <c r="AW48" i="22"/>
  <c r="AX48" i="22"/>
  <c r="AY48" i="22"/>
  <c r="AZ48" i="22"/>
  <c r="BA48" i="22"/>
  <c r="BB48" i="22"/>
  <c r="BH49" i="22"/>
  <c r="BI49" i="22"/>
  <c r="BJ49" i="22"/>
  <c r="BK49" i="22"/>
  <c r="BL49" i="22"/>
  <c r="BM49" i="22"/>
  <c r="BN49" i="22"/>
  <c r="BO49" i="22"/>
  <c r="BP49" i="22"/>
  <c r="BQ49" i="22"/>
  <c r="BR49" i="22"/>
  <c r="BS49" i="22"/>
  <c r="BT49" i="22"/>
  <c r="BU49" i="22"/>
  <c r="BV49" i="22"/>
  <c r="BW49" i="22"/>
  <c r="BX49" i="22"/>
  <c r="BY49" i="22"/>
  <c r="BZ49" i="22"/>
  <c r="CA49" i="22"/>
  <c r="CB49" i="22"/>
  <c r="CC49" i="22"/>
  <c r="CD49" i="22"/>
  <c r="CE49" i="22"/>
  <c r="CF49" i="22"/>
  <c r="CG49" i="22"/>
  <c r="CH49" i="22"/>
  <c r="CI49" i="22"/>
  <c r="CJ49" i="22"/>
  <c r="CK49" i="22"/>
  <c r="CL49" i="22"/>
  <c r="CM49" i="22"/>
  <c r="CN49" i="22"/>
  <c r="CO49" i="22"/>
  <c r="CP49" i="22"/>
  <c r="CQ49" i="22"/>
  <c r="CR49" i="22"/>
  <c r="CS49" i="22"/>
  <c r="CT49" i="22"/>
  <c r="CU49" i="22"/>
  <c r="BF49" i="22"/>
  <c r="C49" i="22"/>
  <c r="D49" i="22"/>
  <c r="E49" i="22"/>
  <c r="F49" i="22"/>
  <c r="G49" i="22"/>
  <c r="H49" i="22"/>
  <c r="I49" i="22"/>
  <c r="J49" i="22"/>
  <c r="K49" i="22"/>
  <c r="L49" i="22"/>
  <c r="M49" i="22"/>
  <c r="N49" i="22"/>
  <c r="O49" i="22"/>
  <c r="P49" i="22"/>
  <c r="Q49" i="22"/>
  <c r="R49" i="22"/>
  <c r="S49" i="22"/>
  <c r="T49" i="22"/>
  <c r="U49" i="22"/>
  <c r="V49" i="22"/>
  <c r="W49" i="22"/>
  <c r="X49" i="22"/>
  <c r="Y49" i="22"/>
  <c r="Z49" i="22"/>
  <c r="AA49" i="22"/>
  <c r="AB49" i="22"/>
  <c r="AC49" i="22"/>
  <c r="AD49" i="22"/>
  <c r="AE49" i="22"/>
  <c r="AF49" i="22"/>
  <c r="AG49" i="22"/>
  <c r="AH49" i="22"/>
  <c r="AI49" i="22"/>
  <c r="AJ49" i="22"/>
  <c r="AK49" i="22"/>
  <c r="AL49" i="22"/>
  <c r="AM49" i="22"/>
  <c r="AN49" i="22"/>
  <c r="AO49" i="22"/>
  <c r="AP49" i="22"/>
  <c r="AS49" i="22"/>
  <c r="AT49" i="22"/>
  <c r="AU49" i="22"/>
  <c r="AV49" i="22"/>
  <c r="AW49" i="22"/>
  <c r="AX49" i="22"/>
  <c r="AY49" i="22"/>
  <c r="AZ49" i="22"/>
  <c r="BA49" i="22"/>
  <c r="BB49" i="22"/>
  <c r="BH50" i="22"/>
  <c r="BI50" i="22"/>
  <c r="BJ50" i="22"/>
  <c r="BK50" i="22"/>
  <c r="BL50" i="22"/>
  <c r="BM50" i="22"/>
  <c r="BN50" i="22"/>
  <c r="BO50" i="22"/>
  <c r="BP50" i="22"/>
  <c r="BQ50" i="22"/>
  <c r="BR50" i="22"/>
  <c r="BS50" i="22"/>
  <c r="BT50" i="22"/>
  <c r="BU50" i="22"/>
  <c r="BV50" i="22"/>
  <c r="BW50" i="22"/>
  <c r="BX50" i="22"/>
  <c r="BY50" i="22"/>
  <c r="BZ50" i="22"/>
  <c r="CA50" i="22"/>
  <c r="CB50" i="22"/>
  <c r="CC50" i="22"/>
  <c r="CD50" i="22"/>
  <c r="CE50" i="22"/>
  <c r="CF50" i="22"/>
  <c r="CG50" i="22"/>
  <c r="CH50" i="22"/>
  <c r="CI50" i="22"/>
  <c r="CJ50" i="22"/>
  <c r="CK50" i="22"/>
  <c r="CL50" i="22"/>
  <c r="CM50" i="22"/>
  <c r="CN50" i="22"/>
  <c r="CO50" i="22"/>
  <c r="CP50" i="22"/>
  <c r="CQ50" i="22"/>
  <c r="CR50" i="22"/>
  <c r="CS50" i="22"/>
  <c r="CT50" i="22"/>
  <c r="CU50" i="22"/>
  <c r="BF50" i="22"/>
  <c r="C50" i="22"/>
  <c r="D50" i="22"/>
  <c r="E50" i="22"/>
  <c r="F50" i="22"/>
  <c r="G50" i="22"/>
  <c r="H50" i="22"/>
  <c r="I50" i="22"/>
  <c r="J50" i="22"/>
  <c r="K50" i="22"/>
  <c r="L50" i="22"/>
  <c r="M50" i="22"/>
  <c r="N50" i="22"/>
  <c r="O50" i="22"/>
  <c r="P50" i="22"/>
  <c r="Q50" i="22"/>
  <c r="R50" i="22"/>
  <c r="S50" i="22"/>
  <c r="T50" i="22"/>
  <c r="U50" i="22"/>
  <c r="V50" i="22"/>
  <c r="W50" i="22"/>
  <c r="X50" i="22"/>
  <c r="Y50" i="22"/>
  <c r="Z50" i="22"/>
  <c r="AA50" i="22"/>
  <c r="AB50" i="22"/>
  <c r="AC50" i="22"/>
  <c r="AD50" i="22"/>
  <c r="AE50" i="22"/>
  <c r="AF50" i="22"/>
  <c r="AG50" i="22"/>
  <c r="AH50" i="22"/>
  <c r="AI50" i="22"/>
  <c r="AJ50" i="22"/>
  <c r="AK50" i="22"/>
  <c r="AL50" i="22"/>
  <c r="AM50" i="22"/>
  <c r="AN50" i="22"/>
  <c r="AO50" i="22"/>
  <c r="AP50" i="22"/>
  <c r="AS50" i="22"/>
  <c r="AT50" i="22"/>
  <c r="AU50" i="22"/>
  <c r="AV50" i="22"/>
  <c r="AW50" i="22"/>
  <c r="AX50" i="22"/>
  <c r="AY50" i="22"/>
  <c r="AZ50" i="22"/>
  <c r="BA50" i="22"/>
  <c r="BB50" i="22"/>
  <c r="BH51" i="22"/>
  <c r="BI51" i="22"/>
  <c r="BJ51" i="22"/>
  <c r="BK51" i="22"/>
  <c r="BL51" i="22"/>
  <c r="BM51" i="22"/>
  <c r="BN51" i="22"/>
  <c r="BO51" i="22"/>
  <c r="BP51" i="22"/>
  <c r="BQ51" i="22"/>
  <c r="BR51" i="22"/>
  <c r="BS51" i="22"/>
  <c r="BT51" i="22"/>
  <c r="BU51" i="22"/>
  <c r="BV51" i="22"/>
  <c r="BW51" i="22"/>
  <c r="BX51" i="22"/>
  <c r="BY51" i="22"/>
  <c r="BZ51" i="22"/>
  <c r="CA51" i="22"/>
  <c r="CB51" i="22"/>
  <c r="CC51" i="22"/>
  <c r="CD51" i="22"/>
  <c r="CE51" i="22"/>
  <c r="CF51" i="22"/>
  <c r="CG51" i="22"/>
  <c r="CH51" i="22"/>
  <c r="CI51" i="22"/>
  <c r="CJ51" i="22"/>
  <c r="CK51" i="22"/>
  <c r="CL51" i="22"/>
  <c r="CM51" i="22"/>
  <c r="CN51" i="22"/>
  <c r="CO51" i="22"/>
  <c r="CP51" i="22"/>
  <c r="CQ51" i="22"/>
  <c r="CR51" i="22"/>
  <c r="CS51" i="22"/>
  <c r="CT51" i="22"/>
  <c r="CU51" i="22"/>
  <c r="BF51" i="22"/>
  <c r="C51" i="22"/>
  <c r="D51" i="22"/>
  <c r="E51" i="22"/>
  <c r="F51" i="22"/>
  <c r="G51" i="22"/>
  <c r="H51" i="22"/>
  <c r="I51" i="22"/>
  <c r="J51" i="22"/>
  <c r="K51" i="22"/>
  <c r="L51" i="22"/>
  <c r="M51" i="22"/>
  <c r="N51" i="22"/>
  <c r="O51" i="22"/>
  <c r="P51" i="22"/>
  <c r="Q51" i="22"/>
  <c r="R51" i="22"/>
  <c r="S51" i="22"/>
  <c r="T51" i="22"/>
  <c r="U51" i="22"/>
  <c r="V51" i="22"/>
  <c r="W51" i="22"/>
  <c r="X51" i="22"/>
  <c r="Y51" i="22"/>
  <c r="Z51" i="22"/>
  <c r="AA51" i="22"/>
  <c r="AB51" i="22"/>
  <c r="AC51" i="22"/>
  <c r="AD51" i="22"/>
  <c r="AE51" i="22"/>
  <c r="AF51" i="22"/>
  <c r="AG51" i="22"/>
  <c r="AH51" i="22"/>
  <c r="AI51" i="22"/>
  <c r="AJ51" i="22"/>
  <c r="AK51" i="22"/>
  <c r="AL51" i="22"/>
  <c r="AM51" i="22"/>
  <c r="AN51" i="22"/>
  <c r="AO51" i="22"/>
  <c r="AP51" i="22"/>
  <c r="AS51" i="22"/>
  <c r="AT51" i="22"/>
  <c r="AU51" i="22"/>
  <c r="AV51" i="22"/>
  <c r="AW51" i="22"/>
  <c r="AX51" i="22"/>
  <c r="AY51" i="22"/>
  <c r="AZ51" i="22"/>
  <c r="BA51" i="22"/>
  <c r="BB51" i="22"/>
  <c r="BH52" i="22"/>
  <c r="BI52" i="22"/>
  <c r="BJ52" i="22"/>
  <c r="BK52" i="22"/>
  <c r="BL52" i="22"/>
  <c r="BM52" i="22"/>
  <c r="BN52" i="22"/>
  <c r="BO52" i="22"/>
  <c r="BP52" i="22"/>
  <c r="BQ52" i="22"/>
  <c r="BR52" i="22"/>
  <c r="BS52" i="22"/>
  <c r="BT52" i="22"/>
  <c r="BU52" i="22"/>
  <c r="BV52" i="22"/>
  <c r="BW52" i="22"/>
  <c r="BX52" i="22"/>
  <c r="BY52" i="22"/>
  <c r="BZ52" i="22"/>
  <c r="CA52" i="22"/>
  <c r="CB52" i="22"/>
  <c r="CC52" i="22"/>
  <c r="CD52" i="22"/>
  <c r="CE52" i="22"/>
  <c r="CF52" i="22"/>
  <c r="CG52" i="22"/>
  <c r="CH52" i="22"/>
  <c r="CI52" i="22"/>
  <c r="CJ52" i="22"/>
  <c r="CK52" i="22"/>
  <c r="CL52" i="22"/>
  <c r="CM52" i="22"/>
  <c r="CN52" i="22"/>
  <c r="CO52" i="22"/>
  <c r="CP52" i="22"/>
  <c r="CQ52" i="22"/>
  <c r="CR52" i="22"/>
  <c r="CS52" i="22"/>
  <c r="CT52" i="22"/>
  <c r="CU52" i="22"/>
  <c r="BF52" i="22"/>
  <c r="C52" i="22"/>
  <c r="D52" i="22"/>
  <c r="E52" i="22"/>
  <c r="F52" i="22"/>
  <c r="G52" i="22"/>
  <c r="H52" i="22"/>
  <c r="I52" i="22"/>
  <c r="J52" i="22"/>
  <c r="K52" i="22"/>
  <c r="L52" i="22"/>
  <c r="M52" i="22"/>
  <c r="N52" i="22"/>
  <c r="O52" i="22"/>
  <c r="P52" i="22"/>
  <c r="Q52" i="22"/>
  <c r="R52" i="22"/>
  <c r="S52" i="22"/>
  <c r="T52" i="22"/>
  <c r="U52" i="22"/>
  <c r="V52" i="22"/>
  <c r="W52" i="22"/>
  <c r="X52" i="22"/>
  <c r="Y52" i="22"/>
  <c r="Z52" i="22"/>
  <c r="AA52" i="22"/>
  <c r="AB52" i="22"/>
  <c r="AC52" i="22"/>
  <c r="AD52" i="22"/>
  <c r="AE52" i="22"/>
  <c r="AF52" i="22"/>
  <c r="AG52" i="22"/>
  <c r="AH52" i="22"/>
  <c r="AI52" i="22"/>
  <c r="AJ52" i="22"/>
  <c r="AK52" i="22"/>
  <c r="AL52" i="22"/>
  <c r="AM52" i="22"/>
  <c r="AN52" i="22"/>
  <c r="AO52" i="22"/>
  <c r="AP52" i="22"/>
  <c r="AS52" i="22"/>
  <c r="AT52" i="22"/>
  <c r="AU52" i="22"/>
  <c r="AV52" i="22"/>
  <c r="AW52" i="22"/>
  <c r="AX52" i="22"/>
  <c r="AY52" i="22"/>
  <c r="AZ52" i="22"/>
  <c r="BA52" i="22"/>
  <c r="BB52" i="22"/>
  <c r="BH53" i="22"/>
  <c r="BI53" i="22"/>
  <c r="BJ53" i="22"/>
  <c r="BK53" i="22"/>
  <c r="BL53" i="22"/>
  <c r="BM53" i="22"/>
  <c r="BN53" i="22"/>
  <c r="BO53" i="22"/>
  <c r="BP53" i="22"/>
  <c r="BQ53" i="22"/>
  <c r="BR53" i="22"/>
  <c r="BS53" i="22"/>
  <c r="BT53" i="22"/>
  <c r="BU53" i="22"/>
  <c r="BV53" i="22"/>
  <c r="BW53" i="22"/>
  <c r="BX53" i="22"/>
  <c r="BY53" i="22"/>
  <c r="BZ53" i="22"/>
  <c r="CA53" i="22"/>
  <c r="CB53" i="22"/>
  <c r="CC53" i="22"/>
  <c r="CD53" i="22"/>
  <c r="CE53" i="22"/>
  <c r="CF53" i="22"/>
  <c r="CG53" i="22"/>
  <c r="CH53" i="22"/>
  <c r="CI53" i="22"/>
  <c r="CJ53" i="22"/>
  <c r="CK53" i="22"/>
  <c r="CL53" i="22"/>
  <c r="CM53" i="22"/>
  <c r="CN53" i="22"/>
  <c r="CO53" i="22"/>
  <c r="CP53" i="22"/>
  <c r="CQ53" i="22"/>
  <c r="CR53" i="22"/>
  <c r="CS53" i="22"/>
  <c r="CT53" i="22"/>
  <c r="CU53" i="22"/>
  <c r="BF53" i="22"/>
  <c r="C53" i="22"/>
  <c r="D53" i="22"/>
  <c r="E53" i="22"/>
  <c r="F53" i="22"/>
  <c r="G53" i="22"/>
  <c r="H53" i="22"/>
  <c r="I53" i="22"/>
  <c r="J53" i="22"/>
  <c r="K53" i="22"/>
  <c r="L53" i="22"/>
  <c r="M53" i="22"/>
  <c r="N53" i="22"/>
  <c r="O53" i="22"/>
  <c r="P53" i="22"/>
  <c r="Q53" i="22"/>
  <c r="R53" i="22"/>
  <c r="S53" i="22"/>
  <c r="T53" i="22"/>
  <c r="U53" i="22"/>
  <c r="V53" i="22"/>
  <c r="W53" i="22"/>
  <c r="X53" i="22"/>
  <c r="Y53" i="22"/>
  <c r="Z53" i="22"/>
  <c r="AA53" i="22"/>
  <c r="AB53" i="22"/>
  <c r="AC53" i="22"/>
  <c r="AD53" i="22"/>
  <c r="AE53" i="22"/>
  <c r="AF53" i="22"/>
  <c r="AG53" i="22"/>
  <c r="AH53" i="22"/>
  <c r="AI53" i="22"/>
  <c r="AJ53" i="22"/>
  <c r="AK53" i="22"/>
  <c r="AL53" i="22"/>
  <c r="AM53" i="22"/>
  <c r="AN53" i="22"/>
  <c r="AO53" i="22"/>
  <c r="AP53" i="22"/>
  <c r="AS53" i="22"/>
  <c r="AT53" i="22"/>
  <c r="AU53" i="22"/>
  <c r="AV53" i="22"/>
  <c r="AW53" i="22"/>
  <c r="AX53" i="22"/>
  <c r="AY53" i="22"/>
  <c r="AZ53" i="22"/>
  <c r="BA53" i="22"/>
  <c r="BB53" i="22"/>
  <c r="BH54" i="22"/>
  <c r="BI54" i="22"/>
  <c r="BJ54" i="22"/>
  <c r="BK54" i="22"/>
  <c r="BL54" i="22"/>
  <c r="BM54" i="22"/>
  <c r="BN54" i="22"/>
  <c r="BO54" i="22"/>
  <c r="BP54" i="22"/>
  <c r="BQ54" i="22"/>
  <c r="BR54" i="22"/>
  <c r="BS54" i="22"/>
  <c r="BT54" i="22"/>
  <c r="BU54" i="22"/>
  <c r="BV54" i="22"/>
  <c r="BW54" i="22"/>
  <c r="BX54" i="22"/>
  <c r="BY54" i="22"/>
  <c r="BZ54" i="22"/>
  <c r="CA54" i="22"/>
  <c r="CB54" i="22"/>
  <c r="CC54" i="22"/>
  <c r="CD54" i="22"/>
  <c r="CE54" i="22"/>
  <c r="CF54" i="22"/>
  <c r="CG54" i="22"/>
  <c r="CH54" i="22"/>
  <c r="CI54" i="22"/>
  <c r="CJ54" i="22"/>
  <c r="CK54" i="22"/>
  <c r="CL54" i="22"/>
  <c r="CM54" i="22"/>
  <c r="CN54" i="22"/>
  <c r="CO54" i="22"/>
  <c r="CP54" i="22"/>
  <c r="CQ54" i="22"/>
  <c r="CR54" i="22"/>
  <c r="CS54" i="22"/>
  <c r="CT54" i="22"/>
  <c r="CU54" i="22"/>
  <c r="BF54" i="22"/>
  <c r="C54" i="22"/>
  <c r="D54" i="22"/>
  <c r="E54" i="22"/>
  <c r="F54" i="22"/>
  <c r="G54" i="22"/>
  <c r="H54" i="22"/>
  <c r="I54" i="22"/>
  <c r="J54" i="22"/>
  <c r="K54" i="22"/>
  <c r="L54" i="22"/>
  <c r="M54" i="22"/>
  <c r="N54" i="22"/>
  <c r="O54" i="22"/>
  <c r="P54" i="22"/>
  <c r="Q54" i="22"/>
  <c r="R54" i="22"/>
  <c r="S54" i="22"/>
  <c r="T54" i="22"/>
  <c r="U54" i="22"/>
  <c r="V54" i="22"/>
  <c r="W54" i="22"/>
  <c r="X54" i="22"/>
  <c r="Y54" i="22"/>
  <c r="Z54" i="22"/>
  <c r="AA54" i="22"/>
  <c r="AB54" i="22"/>
  <c r="AC54" i="22"/>
  <c r="AD54" i="22"/>
  <c r="AE54" i="22"/>
  <c r="AF54" i="22"/>
  <c r="AG54" i="22"/>
  <c r="AH54" i="22"/>
  <c r="AI54" i="22"/>
  <c r="AJ54" i="22"/>
  <c r="AK54" i="22"/>
  <c r="AL54" i="22"/>
  <c r="AM54" i="22"/>
  <c r="AN54" i="22"/>
  <c r="AO54" i="22"/>
  <c r="AP54" i="22"/>
  <c r="AS54" i="22"/>
  <c r="AT54" i="22"/>
  <c r="AU54" i="22"/>
  <c r="AV54" i="22"/>
  <c r="AW54" i="22"/>
  <c r="AX54" i="22"/>
  <c r="AY54" i="22"/>
  <c r="AZ54" i="22"/>
  <c r="BA54" i="22"/>
  <c r="BB54" i="22"/>
  <c r="BH55" i="22"/>
  <c r="BI55" i="22"/>
  <c r="BJ55" i="22"/>
  <c r="BK55" i="22"/>
  <c r="BL55" i="22"/>
  <c r="BM55" i="22"/>
  <c r="BN55" i="22"/>
  <c r="BO55" i="22"/>
  <c r="BP55" i="22"/>
  <c r="BQ55" i="22"/>
  <c r="BR55" i="22"/>
  <c r="BS55" i="22"/>
  <c r="BT55" i="22"/>
  <c r="BU55" i="22"/>
  <c r="BV55" i="22"/>
  <c r="BW55" i="22"/>
  <c r="BX55" i="22"/>
  <c r="BY55" i="22"/>
  <c r="BZ55" i="22"/>
  <c r="CA55" i="22"/>
  <c r="CB55" i="22"/>
  <c r="CC55" i="22"/>
  <c r="CD55" i="22"/>
  <c r="CE55" i="22"/>
  <c r="CF55" i="22"/>
  <c r="CG55" i="22"/>
  <c r="CH55" i="22"/>
  <c r="CI55" i="22"/>
  <c r="CJ55" i="22"/>
  <c r="CK55" i="22"/>
  <c r="CL55" i="22"/>
  <c r="CM55" i="22"/>
  <c r="CN55" i="22"/>
  <c r="CO55" i="22"/>
  <c r="CP55" i="22"/>
  <c r="CQ55" i="22"/>
  <c r="CR55" i="22"/>
  <c r="CS55" i="22"/>
  <c r="CT55" i="22"/>
  <c r="CU55" i="22"/>
  <c r="BF55" i="22"/>
  <c r="C55" i="22"/>
  <c r="D55" i="22"/>
  <c r="E55" i="22"/>
  <c r="F55" i="22"/>
  <c r="G55" i="22"/>
  <c r="H55" i="22"/>
  <c r="I55" i="22"/>
  <c r="J55" i="22"/>
  <c r="K55" i="22"/>
  <c r="L55" i="22"/>
  <c r="M55" i="22"/>
  <c r="N55" i="22"/>
  <c r="O55" i="22"/>
  <c r="P55" i="22"/>
  <c r="Q55" i="22"/>
  <c r="R55" i="22"/>
  <c r="S55" i="22"/>
  <c r="T55" i="22"/>
  <c r="U55" i="22"/>
  <c r="V55" i="22"/>
  <c r="W55" i="22"/>
  <c r="X55" i="22"/>
  <c r="Y55" i="22"/>
  <c r="Z55" i="22"/>
  <c r="AA55" i="22"/>
  <c r="AB55" i="22"/>
  <c r="AC55" i="22"/>
  <c r="AD55" i="22"/>
  <c r="AE55" i="22"/>
  <c r="AF55" i="22"/>
  <c r="AG55" i="22"/>
  <c r="AH55" i="22"/>
  <c r="AI55" i="22"/>
  <c r="AJ55" i="22"/>
  <c r="AK55" i="22"/>
  <c r="AL55" i="22"/>
  <c r="AM55" i="22"/>
  <c r="AN55" i="22"/>
  <c r="AO55" i="22"/>
  <c r="AP55" i="22"/>
  <c r="AS55" i="22"/>
  <c r="AT55" i="22"/>
  <c r="AU55" i="22"/>
  <c r="AV55" i="22"/>
  <c r="AW55" i="22"/>
  <c r="AX55" i="22"/>
  <c r="AY55" i="22"/>
  <c r="AZ55" i="22"/>
  <c r="BA55" i="22"/>
  <c r="BB55" i="22"/>
  <c r="BH56" i="22"/>
  <c r="BI56" i="22"/>
  <c r="BJ56" i="22"/>
  <c r="BK56" i="22"/>
  <c r="BL56" i="22"/>
  <c r="BM56" i="22"/>
  <c r="BN56" i="22"/>
  <c r="BO56" i="22"/>
  <c r="BP56" i="22"/>
  <c r="BQ56" i="22"/>
  <c r="BR56" i="22"/>
  <c r="BS56" i="22"/>
  <c r="BT56" i="22"/>
  <c r="BU56" i="22"/>
  <c r="BV56" i="22"/>
  <c r="BW56" i="22"/>
  <c r="BX56" i="22"/>
  <c r="BY56" i="22"/>
  <c r="BZ56" i="22"/>
  <c r="CA56" i="22"/>
  <c r="CB56" i="22"/>
  <c r="CC56" i="22"/>
  <c r="CD56" i="22"/>
  <c r="CE56" i="22"/>
  <c r="CF56" i="22"/>
  <c r="CG56" i="22"/>
  <c r="CH56" i="22"/>
  <c r="CI56" i="22"/>
  <c r="CJ56" i="22"/>
  <c r="CK56" i="22"/>
  <c r="CL56" i="22"/>
  <c r="CM56" i="22"/>
  <c r="CN56" i="22"/>
  <c r="CO56" i="22"/>
  <c r="CP56" i="22"/>
  <c r="CQ56" i="22"/>
  <c r="CR56" i="22"/>
  <c r="CS56" i="22"/>
  <c r="CT56" i="22"/>
  <c r="CU56" i="22"/>
  <c r="BF56" i="22"/>
  <c r="C56" i="22"/>
  <c r="D56" i="22"/>
  <c r="E56" i="22"/>
  <c r="F56" i="22"/>
  <c r="G56" i="22"/>
  <c r="H56" i="22"/>
  <c r="I56" i="22"/>
  <c r="J56" i="22"/>
  <c r="K56" i="22"/>
  <c r="L56" i="22"/>
  <c r="M56" i="22"/>
  <c r="N56" i="22"/>
  <c r="O56" i="22"/>
  <c r="P56" i="22"/>
  <c r="Q56" i="22"/>
  <c r="R56" i="22"/>
  <c r="S56" i="22"/>
  <c r="T56" i="22"/>
  <c r="U56" i="22"/>
  <c r="V56" i="22"/>
  <c r="W56" i="22"/>
  <c r="X56" i="22"/>
  <c r="Y56" i="22"/>
  <c r="Z56" i="22"/>
  <c r="AA56" i="22"/>
  <c r="AB56" i="22"/>
  <c r="AC56" i="22"/>
  <c r="AD56" i="22"/>
  <c r="AE56" i="22"/>
  <c r="AF56" i="22"/>
  <c r="AG56" i="22"/>
  <c r="AH56" i="22"/>
  <c r="AI56" i="22"/>
  <c r="AJ56" i="22"/>
  <c r="AK56" i="22"/>
  <c r="AL56" i="22"/>
  <c r="AM56" i="22"/>
  <c r="AN56" i="22"/>
  <c r="AO56" i="22"/>
  <c r="AP56" i="22"/>
  <c r="AS56" i="22"/>
  <c r="AT56" i="22"/>
  <c r="AU56" i="22"/>
  <c r="AV56" i="22"/>
  <c r="AW56" i="22"/>
  <c r="AX56" i="22"/>
  <c r="AY56" i="22"/>
  <c r="AZ56" i="22"/>
  <c r="BA56" i="22"/>
  <c r="BB56" i="22"/>
  <c r="BB8" i="22"/>
  <c r="AC11" i="2"/>
  <c r="AD11" i="2"/>
  <c r="AC12" i="2"/>
  <c r="AD12" i="2"/>
  <c r="AC13" i="2"/>
  <c r="AD13" i="2"/>
  <c r="AC14" i="2"/>
  <c r="AD14" i="2"/>
  <c r="AC15" i="2"/>
  <c r="AD15" i="2"/>
  <c r="AC16" i="2"/>
  <c r="AD16" i="2"/>
  <c r="AC17" i="2"/>
  <c r="AD17" i="2"/>
  <c r="AC18" i="2"/>
  <c r="AD18" i="2"/>
  <c r="AC19" i="2"/>
  <c r="AD19" i="2"/>
  <c r="AC20" i="2"/>
  <c r="AD20" i="2"/>
  <c r="AC21" i="2"/>
  <c r="AD21" i="2"/>
  <c r="AC22" i="2"/>
  <c r="AD22" i="2"/>
  <c r="AC23" i="2"/>
  <c r="AD23" i="2"/>
  <c r="AC24" i="2"/>
  <c r="AD24" i="2"/>
  <c r="AC25" i="2"/>
  <c r="AD25" i="2"/>
  <c r="AC26" i="2"/>
  <c r="AD26" i="2"/>
  <c r="AC27" i="2"/>
  <c r="AD27" i="2"/>
  <c r="AC28" i="2"/>
  <c r="AD28" i="2"/>
  <c r="AC29" i="2"/>
  <c r="AD29" i="2"/>
  <c r="AC30" i="2"/>
  <c r="AD30" i="2"/>
  <c r="AC31" i="2"/>
  <c r="AD31" i="2"/>
  <c r="AC32" i="2"/>
  <c r="AD32" i="2"/>
  <c r="AC33" i="2"/>
  <c r="AD33" i="2"/>
  <c r="AC34" i="2"/>
  <c r="AD34" i="2"/>
  <c r="AC35" i="2"/>
  <c r="AD35" i="2"/>
  <c r="AC36" i="2"/>
  <c r="AD36" i="2"/>
  <c r="AC37" i="2"/>
  <c r="AD37" i="2"/>
  <c r="AC38" i="2"/>
  <c r="AD38" i="2"/>
  <c r="AC39" i="2"/>
  <c r="AD39" i="2"/>
  <c r="AC40" i="2"/>
  <c r="AD40" i="2"/>
  <c r="AC41" i="2"/>
  <c r="AD41" i="2"/>
  <c r="AC42" i="2"/>
  <c r="AD42" i="2"/>
  <c r="AC43" i="2"/>
  <c r="AD43" i="2"/>
  <c r="AC44" i="2"/>
  <c r="AD44" i="2"/>
  <c r="AC45" i="2"/>
  <c r="AD45" i="2"/>
  <c r="AC46" i="2"/>
  <c r="AD46" i="2"/>
  <c r="C73" i="3"/>
  <c r="D73" i="3"/>
  <c r="C74" i="3"/>
  <c r="D74" i="3"/>
  <c r="BB24" i="3"/>
  <c r="AG11" i="2"/>
  <c r="AH11" i="2"/>
  <c r="AG12" i="2"/>
  <c r="AH12" i="2"/>
  <c r="AG13" i="2"/>
  <c r="AH13" i="2"/>
  <c r="AG14" i="2"/>
  <c r="AH14" i="2"/>
  <c r="AG15" i="2"/>
  <c r="AH15" i="2"/>
  <c r="AG16" i="2"/>
  <c r="AH16" i="2"/>
  <c r="AG17" i="2"/>
  <c r="AH17" i="2"/>
  <c r="AG18" i="2"/>
  <c r="AH18" i="2"/>
  <c r="AG19" i="2"/>
  <c r="AH19" i="2"/>
  <c r="AG20" i="2"/>
  <c r="AH20" i="2"/>
  <c r="AG21" i="2"/>
  <c r="AH21" i="2"/>
  <c r="AG22" i="2"/>
  <c r="AH22" i="2"/>
  <c r="AG23" i="2"/>
  <c r="AH23" i="2"/>
  <c r="AG24" i="2"/>
  <c r="AH24" i="2"/>
  <c r="AG25" i="2"/>
  <c r="AH25" i="2"/>
  <c r="AG26" i="2"/>
  <c r="AH26" i="2"/>
  <c r="AG27" i="2"/>
  <c r="AH27" i="2"/>
  <c r="AG28" i="2"/>
  <c r="AH28" i="2"/>
  <c r="AG29" i="2"/>
  <c r="AH29" i="2"/>
  <c r="AG30" i="2"/>
  <c r="AH30" i="2"/>
  <c r="AG31" i="2"/>
  <c r="AH31" i="2"/>
  <c r="AG32" i="2"/>
  <c r="AH32" i="2"/>
  <c r="AG33" i="2"/>
  <c r="AH33" i="2"/>
  <c r="AG34" i="2"/>
  <c r="AH34" i="2"/>
  <c r="AG35" i="2"/>
  <c r="AH35" i="2"/>
  <c r="AG36" i="2"/>
  <c r="AH36" i="2"/>
  <c r="AG37" i="2"/>
  <c r="AH37" i="2"/>
  <c r="AG38" i="2"/>
  <c r="AH38" i="2"/>
  <c r="AG39" i="2"/>
  <c r="AH39" i="2"/>
  <c r="AG40" i="2"/>
  <c r="AH40" i="2"/>
  <c r="AG41" i="2"/>
  <c r="AH41" i="2"/>
  <c r="AG42" i="2"/>
  <c r="AH42" i="2"/>
  <c r="AG43" i="2"/>
  <c r="AH43" i="2"/>
  <c r="AG44" i="2"/>
  <c r="AH44" i="2"/>
  <c r="AG45" i="2"/>
  <c r="AH45" i="2"/>
  <c r="AG46" i="2"/>
  <c r="AH46" i="2"/>
  <c r="C75" i="3"/>
  <c r="D75" i="3"/>
  <c r="C76" i="3"/>
  <c r="D76" i="3"/>
  <c r="BB26" i="3"/>
  <c r="AK11" i="2"/>
  <c r="AL11" i="2"/>
  <c r="AK12" i="2"/>
  <c r="AL12" i="2"/>
  <c r="AK13" i="2"/>
  <c r="AL13" i="2"/>
  <c r="AK14" i="2"/>
  <c r="AL14" i="2"/>
  <c r="AK15" i="2"/>
  <c r="AL15" i="2"/>
  <c r="AK16" i="2"/>
  <c r="AL16" i="2"/>
  <c r="AK17" i="2"/>
  <c r="AL17" i="2"/>
  <c r="AK18" i="2"/>
  <c r="AL18" i="2"/>
  <c r="AK19" i="2"/>
  <c r="AL19" i="2"/>
  <c r="AK20" i="2"/>
  <c r="AL20" i="2"/>
  <c r="AK21" i="2"/>
  <c r="AL21" i="2"/>
  <c r="AK22" i="2"/>
  <c r="AL22" i="2"/>
  <c r="AK23" i="2"/>
  <c r="AL23" i="2"/>
  <c r="AK24" i="2"/>
  <c r="AL24" i="2"/>
  <c r="AK25" i="2"/>
  <c r="AL25" i="2"/>
  <c r="AK26" i="2"/>
  <c r="AL26" i="2"/>
  <c r="AK27" i="2"/>
  <c r="AL27" i="2"/>
  <c r="AK28" i="2"/>
  <c r="AL28" i="2"/>
  <c r="AK29" i="2"/>
  <c r="AL29" i="2"/>
  <c r="AK30" i="2"/>
  <c r="AL30" i="2"/>
  <c r="AK31" i="2"/>
  <c r="AL31" i="2"/>
  <c r="AK32" i="2"/>
  <c r="AL32" i="2"/>
  <c r="AK33" i="2"/>
  <c r="AL33" i="2"/>
  <c r="AK34" i="2"/>
  <c r="AL34" i="2"/>
  <c r="AK35" i="2"/>
  <c r="AL35" i="2"/>
  <c r="AK36" i="2"/>
  <c r="AL36" i="2"/>
  <c r="AK37" i="2"/>
  <c r="AL37" i="2"/>
  <c r="AK38" i="2"/>
  <c r="AL38" i="2"/>
  <c r="AK39" i="2"/>
  <c r="AL39" i="2"/>
  <c r="AK40" i="2"/>
  <c r="AL40" i="2"/>
  <c r="AK41" i="2"/>
  <c r="AL41" i="2"/>
  <c r="AK42" i="2"/>
  <c r="AL42" i="2"/>
  <c r="AK43" i="2"/>
  <c r="AL43" i="2"/>
  <c r="AK44" i="2"/>
  <c r="AL44" i="2"/>
  <c r="AK45" i="2"/>
  <c r="AL45" i="2"/>
  <c r="AK46" i="2"/>
  <c r="AL46" i="2"/>
  <c r="C77" i="3"/>
  <c r="D77" i="3"/>
  <c r="C78" i="3"/>
  <c r="D78" i="3"/>
  <c r="BB28" i="3"/>
  <c r="E73" i="3"/>
  <c r="E74" i="3"/>
  <c r="BC24" i="3"/>
  <c r="E75" i="3"/>
  <c r="E76" i="3"/>
  <c r="BC26" i="3"/>
  <c r="E77" i="3"/>
  <c r="E78" i="3"/>
  <c r="BC28" i="3"/>
  <c r="E11" i="2"/>
  <c r="F11" i="2"/>
  <c r="E12" i="2"/>
  <c r="F12" i="2"/>
  <c r="E13" i="2"/>
  <c r="F13" i="2"/>
  <c r="E14" i="2"/>
  <c r="F14" i="2"/>
  <c r="E15" i="2"/>
  <c r="F15" i="2"/>
  <c r="E16" i="2"/>
  <c r="F16" i="2"/>
  <c r="E17" i="2"/>
  <c r="F17" i="2"/>
  <c r="E18" i="2"/>
  <c r="F18" i="2"/>
  <c r="E19" i="2"/>
  <c r="F19" i="2"/>
  <c r="E20" i="2"/>
  <c r="F20" i="2"/>
  <c r="E21" i="2"/>
  <c r="F21" i="2"/>
  <c r="E22" i="2"/>
  <c r="F22" i="2"/>
  <c r="E23" i="2"/>
  <c r="F23" i="2"/>
  <c r="E24" i="2"/>
  <c r="F24" i="2"/>
  <c r="E25" i="2"/>
  <c r="F25" i="2"/>
  <c r="E26" i="2"/>
  <c r="F26" i="2"/>
  <c r="E27" i="2"/>
  <c r="F27" i="2"/>
  <c r="E28" i="2"/>
  <c r="F28" i="2"/>
  <c r="E29" i="2"/>
  <c r="F29" i="2"/>
  <c r="E30" i="2"/>
  <c r="F30" i="2"/>
  <c r="E31" i="2"/>
  <c r="F31" i="2"/>
  <c r="E32" i="2"/>
  <c r="F32" i="2"/>
  <c r="E33" i="2"/>
  <c r="F33" i="2"/>
  <c r="E34" i="2"/>
  <c r="F34" i="2"/>
  <c r="E35" i="2"/>
  <c r="F35" i="2"/>
  <c r="E36" i="2"/>
  <c r="F36" i="2"/>
  <c r="E37" i="2"/>
  <c r="F37" i="2"/>
  <c r="E38" i="2"/>
  <c r="F38" i="2"/>
  <c r="E39" i="2"/>
  <c r="F39" i="2"/>
  <c r="E40" i="2"/>
  <c r="F40" i="2"/>
  <c r="E41" i="2"/>
  <c r="F41" i="2"/>
  <c r="E42" i="2"/>
  <c r="F42" i="2"/>
  <c r="E43" i="2"/>
  <c r="F43" i="2"/>
  <c r="E44" i="2"/>
  <c r="F44" i="2"/>
  <c r="E45" i="2"/>
  <c r="F45" i="2"/>
  <c r="E46" i="2"/>
  <c r="F46" i="2"/>
  <c r="C61" i="3"/>
  <c r="F61" i="3"/>
  <c r="C62" i="3"/>
  <c r="F62" i="3"/>
  <c r="BD12" i="3"/>
  <c r="M11" i="2"/>
  <c r="N11" i="2"/>
  <c r="M12" i="2"/>
  <c r="N12" i="2"/>
  <c r="M13" i="2"/>
  <c r="N13" i="2"/>
  <c r="M14" i="2"/>
  <c r="N14" i="2"/>
  <c r="M15" i="2"/>
  <c r="N15" i="2"/>
  <c r="M16" i="2"/>
  <c r="N16" i="2"/>
  <c r="M17" i="2"/>
  <c r="N17" i="2"/>
  <c r="M18" i="2"/>
  <c r="N18" i="2"/>
  <c r="M19" i="2"/>
  <c r="N19" i="2"/>
  <c r="M20" i="2"/>
  <c r="N20" i="2"/>
  <c r="M21" i="2"/>
  <c r="N21" i="2"/>
  <c r="M22" i="2"/>
  <c r="N22" i="2"/>
  <c r="M23" i="2"/>
  <c r="N23" i="2"/>
  <c r="M24" i="2"/>
  <c r="N24" i="2"/>
  <c r="M25" i="2"/>
  <c r="N25" i="2"/>
  <c r="M26" i="2"/>
  <c r="N26" i="2"/>
  <c r="M27" i="2"/>
  <c r="N27" i="2"/>
  <c r="M28" i="2"/>
  <c r="N28" i="2"/>
  <c r="M29" i="2"/>
  <c r="N29" i="2"/>
  <c r="M30" i="2"/>
  <c r="N30" i="2"/>
  <c r="M31" i="2"/>
  <c r="N31" i="2"/>
  <c r="M32" i="2"/>
  <c r="N32" i="2"/>
  <c r="M33" i="2"/>
  <c r="N33" i="2"/>
  <c r="M34" i="2"/>
  <c r="N34" i="2"/>
  <c r="M35" i="2"/>
  <c r="N35" i="2"/>
  <c r="M36" i="2"/>
  <c r="N36" i="2"/>
  <c r="M37" i="2"/>
  <c r="N37" i="2"/>
  <c r="M38" i="2"/>
  <c r="N38" i="2"/>
  <c r="M39" i="2"/>
  <c r="N39" i="2"/>
  <c r="M40" i="2"/>
  <c r="N40" i="2"/>
  <c r="M41" i="2"/>
  <c r="N41" i="2"/>
  <c r="M42" i="2"/>
  <c r="N42" i="2"/>
  <c r="M43" i="2"/>
  <c r="N43" i="2"/>
  <c r="M44" i="2"/>
  <c r="N44" i="2"/>
  <c r="M45" i="2"/>
  <c r="N45" i="2"/>
  <c r="M46" i="2"/>
  <c r="N46" i="2"/>
  <c r="C65" i="3"/>
  <c r="F65" i="3"/>
  <c r="C66" i="3"/>
  <c r="F66" i="3"/>
  <c r="BD16" i="3"/>
  <c r="Q11" i="2"/>
  <c r="R11" i="2"/>
  <c r="Q12" i="2"/>
  <c r="R12" i="2"/>
  <c r="Q13" i="2"/>
  <c r="R13" i="2"/>
  <c r="Q14" i="2"/>
  <c r="R14" i="2"/>
  <c r="Q15" i="2"/>
  <c r="R15" i="2"/>
  <c r="Q16" i="2"/>
  <c r="R16" i="2"/>
  <c r="Q17" i="2"/>
  <c r="R17" i="2"/>
  <c r="Q18" i="2"/>
  <c r="R18" i="2"/>
  <c r="Q19" i="2"/>
  <c r="R19" i="2"/>
  <c r="Q20" i="2"/>
  <c r="R20" i="2"/>
  <c r="Q21" i="2"/>
  <c r="R21" i="2"/>
  <c r="Q22" i="2"/>
  <c r="R22" i="2"/>
  <c r="Q23" i="2"/>
  <c r="R23" i="2"/>
  <c r="Q24" i="2"/>
  <c r="R24" i="2"/>
  <c r="Q25" i="2"/>
  <c r="R25" i="2"/>
  <c r="Q26" i="2"/>
  <c r="R26" i="2"/>
  <c r="Q27" i="2"/>
  <c r="R27" i="2"/>
  <c r="Q28" i="2"/>
  <c r="R28" i="2"/>
  <c r="Q29" i="2"/>
  <c r="R29" i="2"/>
  <c r="Q30" i="2"/>
  <c r="R30" i="2"/>
  <c r="Q31" i="2"/>
  <c r="R31" i="2"/>
  <c r="Q32" i="2"/>
  <c r="R32" i="2"/>
  <c r="Q33" i="2"/>
  <c r="R33" i="2"/>
  <c r="Q34" i="2"/>
  <c r="R34" i="2"/>
  <c r="Q35" i="2"/>
  <c r="R35" i="2"/>
  <c r="Q36" i="2"/>
  <c r="R36" i="2"/>
  <c r="Q37" i="2"/>
  <c r="R37" i="2"/>
  <c r="Q38" i="2"/>
  <c r="R38" i="2"/>
  <c r="Q39" i="2"/>
  <c r="R39" i="2"/>
  <c r="Q40" i="2"/>
  <c r="R40" i="2"/>
  <c r="Q41" i="2"/>
  <c r="R41" i="2"/>
  <c r="Q42" i="2"/>
  <c r="R42" i="2"/>
  <c r="Q43" i="2"/>
  <c r="R43" i="2"/>
  <c r="Q44" i="2"/>
  <c r="R44" i="2"/>
  <c r="Q45" i="2"/>
  <c r="R45" i="2"/>
  <c r="Q46" i="2"/>
  <c r="R46" i="2"/>
  <c r="C67" i="3"/>
  <c r="F67" i="3"/>
  <c r="C68" i="3"/>
  <c r="F68" i="3"/>
  <c r="BD18" i="3"/>
  <c r="Y11" i="2"/>
  <c r="Z11" i="2"/>
  <c r="Y12" i="2"/>
  <c r="Z12" i="2"/>
  <c r="Y13" i="2"/>
  <c r="Z13" i="2"/>
  <c r="Y14" i="2"/>
  <c r="Z14" i="2"/>
  <c r="Y15" i="2"/>
  <c r="Z15" i="2"/>
  <c r="Y16" i="2"/>
  <c r="Z16" i="2"/>
  <c r="Y17" i="2"/>
  <c r="Z17" i="2"/>
  <c r="Y18" i="2"/>
  <c r="Z18" i="2"/>
  <c r="Y19" i="2"/>
  <c r="Z19" i="2"/>
  <c r="Y20" i="2"/>
  <c r="Z20" i="2"/>
  <c r="Y21" i="2"/>
  <c r="Z21" i="2"/>
  <c r="Y22" i="2"/>
  <c r="Z22" i="2"/>
  <c r="Y23" i="2"/>
  <c r="Z23" i="2"/>
  <c r="Y24" i="2"/>
  <c r="Z24" i="2"/>
  <c r="Y25" i="2"/>
  <c r="Z25" i="2"/>
  <c r="Y26" i="2"/>
  <c r="Z26" i="2"/>
  <c r="Y27" i="2"/>
  <c r="Z27" i="2"/>
  <c r="Y28" i="2"/>
  <c r="Z28" i="2"/>
  <c r="Y29" i="2"/>
  <c r="Z29" i="2"/>
  <c r="Y30" i="2"/>
  <c r="Z30" i="2"/>
  <c r="Y31" i="2"/>
  <c r="Z31" i="2"/>
  <c r="Y32" i="2"/>
  <c r="Z32" i="2"/>
  <c r="Y33" i="2"/>
  <c r="Z33" i="2"/>
  <c r="Y34" i="2"/>
  <c r="Z34" i="2"/>
  <c r="Y35" i="2"/>
  <c r="Z35" i="2"/>
  <c r="Y36" i="2"/>
  <c r="Z36" i="2"/>
  <c r="Y37" i="2"/>
  <c r="Z37" i="2"/>
  <c r="Y38" i="2"/>
  <c r="Z38" i="2"/>
  <c r="Y39" i="2"/>
  <c r="Z39" i="2"/>
  <c r="Y40" i="2"/>
  <c r="Z40" i="2"/>
  <c r="Y41" i="2"/>
  <c r="Z41" i="2"/>
  <c r="Y42" i="2"/>
  <c r="Z42" i="2"/>
  <c r="Y43" i="2"/>
  <c r="Z43" i="2"/>
  <c r="Y44" i="2"/>
  <c r="Z44" i="2"/>
  <c r="Y45" i="2"/>
  <c r="Z45" i="2"/>
  <c r="Y46" i="2"/>
  <c r="Z46" i="2"/>
  <c r="C71" i="3"/>
  <c r="F71" i="3"/>
  <c r="C72" i="3"/>
  <c r="F72" i="3"/>
  <c r="BD22" i="3"/>
  <c r="F73" i="3"/>
  <c r="F74" i="3"/>
  <c r="BD24" i="3"/>
  <c r="F75" i="3"/>
  <c r="F76" i="3"/>
  <c r="BD26" i="3"/>
  <c r="F77" i="3"/>
  <c r="F78" i="3"/>
  <c r="BD28" i="3"/>
  <c r="AO11" i="2"/>
  <c r="AP11" i="2"/>
  <c r="AO12" i="2"/>
  <c r="AP12" i="2"/>
  <c r="AO13" i="2"/>
  <c r="AP13" i="2"/>
  <c r="AO14" i="2"/>
  <c r="AP14" i="2"/>
  <c r="AO15" i="2"/>
  <c r="AP15" i="2"/>
  <c r="AO16" i="2"/>
  <c r="AP16" i="2"/>
  <c r="AO17" i="2"/>
  <c r="AP17" i="2"/>
  <c r="AO18" i="2"/>
  <c r="AP18" i="2"/>
  <c r="AO19" i="2"/>
  <c r="AP19" i="2"/>
  <c r="AO20" i="2"/>
  <c r="AP20" i="2"/>
  <c r="AO21" i="2"/>
  <c r="AP21" i="2"/>
  <c r="AO22" i="2"/>
  <c r="AP22" i="2"/>
  <c r="AO23" i="2"/>
  <c r="AP23" i="2"/>
  <c r="AO24" i="2"/>
  <c r="AP24" i="2"/>
  <c r="AO25" i="2"/>
  <c r="AP25" i="2"/>
  <c r="AO26" i="2"/>
  <c r="AP26" i="2"/>
  <c r="AO27" i="2"/>
  <c r="AP27" i="2"/>
  <c r="AO28" i="2"/>
  <c r="AP28" i="2"/>
  <c r="AO29" i="2"/>
  <c r="AP29" i="2"/>
  <c r="AO30" i="2"/>
  <c r="AP30" i="2"/>
  <c r="AO31" i="2"/>
  <c r="AP31" i="2"/>
  <c r="AO32" i="2"/>
  <c r="AP32" i="2"/>
  <c r="AO33" i="2"/>
  <c r="AP33" i="2"/>
  <c r="AO34" i="2"/>
  <c r="AP34" i="2"/>
  <c r="AO35" i="2"/>
  <c r="AP35" i="2"/>
  <c r="AO36" i="2"/>
  <c r="AP36" i="2"/>
  <c r="AO37" i="2"/>
  <c r="AP37" i="2"/>
  <c r="AO38" i="2"/>
  <c r="AP38" i="2"/>
  <c r="AO39" i="2"/>
  <c r="AP39" i="2"/>
  <c r="AO40" i="2"/>
  <c r="AP40" i="2"/>
  <c r="AO41" i="2"/>
  <c r="AP41" i="2"/>
  <c r="AO42" i="2"/>
  <c r="AP42" i="2"/>
  <c r="AO43" i="2"/>
  <c r="AP43" i="2"/>
  <c r="AO44" i="2"/>
  <c r="AP44" i="2"/>
  <c r="AO45" i="2"/>
  <c r="AP45" i="2"/>
  <c r="AO46" i="2"/>
  <c r="AP46" i="2"/>
  <c r="C79" i="3"/>
  <c r="F79" i="3"/>
  <c r="C80" i="3"/>
  <c r="F80" i="3"/>
  <c r="BD30" i="3"/>
  <c r="G73" i="3"/>
  <c r="G74" i="3"/>
  <c r="BE24" i="3"/>
  <c r="G75" i="3"/>
  <c r="G76" i="3"/>
  <c r="BE26" i="3"/>
  <c r="G77" i="3"/>
  <c r="G78" i="3"/>
  <c r="BE28" i="3"/>
  <c r="G79" i="3"/>
  <c r="G80" i="3"/>
  <c r="BE30" i="3"/>
  <c r="H73" i="3"/>
  <c r="H74" i="3"/>
  <c r="BF24" i="3"/>
  <c r="H75" i="3"/>
  <c r="H76" i="3"/>
  <c r="BF26" i="3"/>
  <c r="H77" i="3"/>
  <c r="H78" i="3"/>
  <c r="BF28" i="3"/>
  <c r="H79" i="3"/>
  <c r="H80" i="3"/>
  <c r="BF30" i="3"/>
  <c r="I61" i="3"/>
  <c r="I62" i="3"/>
  <c r="BG12" i="3"/>
  <c r="I11" i="2"/>
  <c r="J11" i="2"/>
  <c r="I12" i="2"/>
  <c r="J12" i="2"/>
  <c r="I13" i="2"/>
  <c r="J13" i="2"/>
  <c r="I14" i="2"/>
  <c r="J14" i="2"/>
  <c r="I15" i="2"/>
  <c r="J15" i="2"/>
  <c r="I16" i="2"/>
  <c r="J16" i="2"/>
  <c r="I17" i="2"/>
  <c r="J17" i="2"/>
  <c r="I18" i="2"/>
  <c r="J18" i="2"/>
  <c r="I19" i="2"/>
  <c r="J19" i="2"/>
  <c r="I20" i="2"/>
  <c r="J20" i="2"/>
  <c r="I21" i="2"/>
  <c r="J21" i="2"/>
  <c r="I22" i="2"/>
  <c r="J22" i="2"/>
  <c r="I23" i="2"/>
  <c r="J23" i="2"/>
  <c r="I24" i="2"/>
  <c r="J24" i="2"/>
  <c r="I25" i="2"/>
  <c r="J25" i="2"/>
  <c r="I26" i="2"/>
  <c r="J26" i="2"/>
  <c r="I27" i="2"/>
  <c r="J27" i="2"/>
  <c r="I28" i="2"/>
  <c r="J28" i="2"/>
  <c r="I29" i="2"/>
  <c r="J29" i="2"/>
  <c r="I30" i="2"/>
  <c r="J30" i="2"/>
  <c r="I31" i="2"/>
  <c r="J31" i="2"/>
  <c r="I32" i="2"/>
  <c r="J32" i="2"/>
  <c r="I33" i="2"/>
  <c r="J33" i="2"/>
  <c r="I34" i="2"/>
  <c r="J34" i="2"/>
  <c r="I35" i="2"/>
  <c r="J35" i="2"/>
  <c r="I36" i="2"/>
  <c r="J36" i="2"/>
  <c r="I37" i="2"/>
  <c r="J37" i="2"/>
  <c r="I38" i="2"/>
  <c r="J38" i="2"/>
  <c r="I39" i="2"/>
  <c r="J39" i="2"/>
  <c r="I40" i="2"/>
  <c r="J40" i="2"/>
  <c r="I41" i="2"/>
  <c r="J41" i="2"/>
  <c r="I42" i="2"/>
  <c r="J42" i="2"/>
  <c r="I43" i="2"/>
  <c r="J43" i="2"/>
  <c r="I44" i="2"/>
  <c r="J44" i="2"/>
  <c r="I45" i="2"/>
  <c r="J45" i="2"/>
  <c r="I46" i="2"/>
  <c r="J46" i="2"/>
  <c r="C63" i="3"/>
  <c r="I63" i="3"/>
  <c r="C64" i="3"/>
  <c r="I64" i="3"/>
  <c r="BG14" i="3"/>
  <c r="U11" i="2"/>
  <c r="V11" i="2"/>
  <c r="U12" i="2"/>
  <c r="V12" i="2"/>
  <c r="U13" i="2"/>
  <c r="V13" i="2"/>
  <c r="U14" i="2"/>
  <c r="V14" i="2"/>
  <c r="U15" i="2"/>
  <c r="V15" i="2"/>
  <c r="U16" i="2"/>
  <c r="V16" i="2"/>
  <c r="U17" i="2"/>
  <c r="V17" i="2"/>
  <c r="U18" i="2"/>
  <c r="V18" i="2"/>
  <c r="U19" i="2"/>
  <c r="V19" i="2"/>
  <c r="U20" i="2"/>
  <c r="V20" i="2"/>
  <c r="U21" i="2"/>
  <c r="V21" i="2"/>
  <c r="U22" i="2"/>
  <c r="V22" i="2"/>
  <c r="U23" i="2"/>
  <c r="V23" i="2"/>
  <c r="U24" i="2"/>
  <c r="V24" i="2"/>
  <c r="U25" i="2"/>
  <c r="V25" i="2"/>
  <c r="U26" i="2"/>
  <c r="V26" i="2"/>
  <c r="U27" i="2"/>
  <c r="V27" i="2"/>
  <c r="U28" i="2"/>
  <c r="V28" i="2"/>
  <c r="U29" i="2"/>
  <c r="V29" i="2"/>
  <c r="U30" i="2"/>
  <c r="V30" i="2"/>
  <c r="U31" i="2"/>
  <c r="V31" i="2"/>
  <c r="U32" i="2"/>
  <c r="V32" i="2"/>
  <c r="U33" i="2"/>
  <c r="V33" i="2"/>
  <c r="U34" i="2"/>
  <c r="V34" i="2"/>
  <c r="U35" i="2"/>
  <c r="V35" i="2"/>
  <c r="U36" i="2"/>
  <c r="V36" i="2"/>
  <c r="U37" i="2"/>
  <c r="V37" i="2"/>
  <c r="U38" i="2"/>
  <c r="V38" i="2"/>
  <c r="U39" i="2"/>
  <c r="V39" i="2"/>
  <c r="U40" i="2"/>
  <c r="V40" i="2"/>
  <c r="U41" i="2"/>
  <c r="V41" i="2"/>
  <c r="U42" i="2"/>
  <c r="V42" i="2"/>
  <c r="U43" i="2"/>
  <c r="V43" i="2"/>
  <c r="U44" i="2"/>
  <c r="V44" i="2"/>
  <c r="U45" i="2"/>
  <c r="V45" i="2"/>
  <c r="U46" i="2"/>
  <c r="V46" i="2"/>
  <c r="C69" i="3"/>
  <c r="I69" i="3"/>
  <c r="C70" i="3"/>
  <c r="I70" i="3"/>
  <c r="BG20" i="3"/>
  <c r="I71" i="3"/>
  <c r="I72" i="3"/>
  <c r="BG22" i="3"/>
  <c r="I73" i="3"/>
  <c r="I74" i="3"/>
  <c r="BG24" i="3"/>
  <c r="I75" i="3"/>
  <c r="I76" i="3"/>
  <c r="BG26" i="3"/>
  <c r="I77" i="3"/>
  <c r="I78" i="3"/>
  <c r="BG28" i="3"/>
  <c r="I79" i="3"/>
  <c r="I80" i="3"/>
  <c r="BG30" i="3"/>
  <c r="J73" i="3"/>
  <c r="J74" i="3"/>
  <c r="BH24" i="3"/>
  <c r="J75" i="3"/>
  <c r="J76" i="3"/>
  <c r="BH26" i="3"/>
  <c r="J77" i="3"/>
  <c r="J78" i="3"/>
  <c r="BH28" i="3"/>
  <c r="J79" i="3"/>
  <c r="J80" i="3"/>
  <c r="BH30" i="3"/>
  <c r="K73" i="3"/>
  <c r="K74" i="3"/>
  <c r="BI24" i="3"/>
  <c r="K75" i="3"/>
  <c r="K76" i="3"/>
  <c r="BI26" i="3"/>
  <c r="K77" i="3"/>
  <c r="K78" i="3"/>
  <c r="BI28" i="3"/>
  <c r="K79" i="3"/>
  <c r="K80" i="3"/>
  <c r="BI30" i="3"/>
  <c r="L63" i="3"/>
  <c r="L64" i="3"/>
  <c r="BJ14" i="3"/>
  <c r="L69" i="3"/>
  <c r="L70" i="3"/>
  <c r="BJ20" i="3"/>
  <c r="L73" i="3"/>
  <c r="L74" i="3"/>
  <c r="BJ24" i="3"/>
  <c r="L75" i="3"/>
  <c r="L76" i="3"/>
  <c r="BJ26" i="3"/>
  <c r="L77" i="3"/>
  <c r="L78" i="3"/>
  <c r="BJ28" i="3"/>
  <c r="L79" i="3"/>
  <c r="L80" i="3"/>
  <c r="BJ30" i="3"/>
  <c r="M73" i="3"/>
  <c r="M74" i="3"/>
  <c r="BK24" i="3"/>
  <c r="M75" i="3"/>
  <c r="M76" i="3"/>
  <c r="BK26" i="3"/>
  <c r="M77" i="3"/>
  <c r="M78" i="3"/>
  <c r="BK28" i="3"/>
  <c r="M79" i="3"/>
  <c r="M80" i="3"/>
  <c r="BK30" i="3"/>
  <c r="N73" i="3"/>
  <c r="N74" i="3"/>
  <c r="BL24" i="3"/>
  <c r="N75" i="3"/>
  <c r="N76" i="3"/>
  <c r="BL26" i="3"/>
  <c r="N77" i="3"/>
  <c r="N78" i="3"/>
  <c r="BL28" i="3"/>
  <c r="N79" i="3"/>
  <c r="N80" i="3"/>
  <c r="BL30" i="3"/>
  <c r="O61" i="3"/>
  <c r="O62" i="3"/>
  <c r="BM12" i="3"/>
  <c r="O63" i="3"/>
  <c r="O64" i="3"/>
  <c r="BM14" i="3"/>
  <c r="O65" i="3"/>
  <c r="O66" i="3"/>
  <c r="BM16" i="3"/>
  <c r="O67" i="3"/>
  <c r="O68" i="3"/>
  <c r="BM18" i="3"/>
  <c r="O69" i="3"/>
  <c r="O70" i="3"/>
  <c r="BM20" i="3"/>
  <c r="O71" i="3"/>
  <c r="O72" i="3"/>
  <c r="BM22" i="3"/>
  <c r="O73" i="3"/>
  <c r="O74" i="3"/>
  <c r="BM24" i="3"/>
  <c r="O75" i="3"/>
  <c r="O76" i="3"/>
  <c r="BM26" i="3"/>
  <c r="O77" i="3"/>
  <c r="O78" i="3"/>
  <c r="BM28" i="3"/>
  <c r="O79" i="3"/>
  <c r="O80" i="3"/>
  <c r="BM30" i="3"/>
  <c r="P61" i="3"/>
  <c r="P62" i="3"/>
  <c r="BN12" i="3"/>
  <c r="P63" i="3"/>
  <c r="P64" i="3"/>
  <c r="BN14" i="3"/>
  <c r="P65" i="3"/>
  <c r="P66" i="3"/>
  <c r="BN16" i="3"/>
  <c r="P67" i="3"/>
  <c r="P68" i="3"/>
  <c r="BN18" i="3"/>
  <c r="P69" i="3"/>
  <c r="P70" i="3"/>
  <c r="BN20" i="3"/>
  <c r="P71" i="3"/>
  <c r="P72" i="3"/>
  <c r="BN22" i="3"/>
  <c r="P73" i="3"/>
  <c r="P74" i="3"/>
  <c r="BN24" i="3"/>
  <c r="P75" i="3"/>
  <c r="P76" i="3"/>
  <c r="BN26" i="3"/>
  <c r="P77" i="3"/>
  <c r="P78" i="3"/>
  <c r="BN28" i="3"/>
  <c r="P79" i="3"/>
  <c r="P80" i="3"/>
  <c r="BN30" i="3"/>
  <c r="Q61" i="3"/>
  <c r="Q62" i="3"/>
  <c r="BO12" i="3"/>
  <c r="Q63" i="3"/>
  <c r="Q64" i="3"/>
  <c r="BO14" i="3"/>
  <c r="Q65" i="3"/>
  <c r="Q66" i="3"/>
  <c r="BO16" i="3"/>
  <c r="Q67" i="3"/>
  <c r="Q68" i="3"/>
  <c r="BO18" i="3"/>
  <c r="Q69" i="3"/>
  <c r="Q70" i="3"/>
  <c r="BO20" i="3"/>
  <c r="Q71" i="3"/>
  <c r="Q72" i="3"/>
  <c r="BO22" i="3"/>
  <c r="Q73" i="3"/>
  <c r="Q74" i="3"/>
  <c r="BO24" i="3"/>
  <c r="Q75" i="3"/>
  <c r="Q76" i="3"/>
  <c r="BO26" i="3"/>
  <c r="Q77" i="3"/>
  <c r="Q78" i="3"/>
  <c r="BO28" i="3"/>
  <c r="Q79" i="3"/>
  <c r="Q80" i="3"/>
  <c r="BO30" i="3"/>
  <c r="R61" i="3"/>
  <c r="R62" i="3"/>
  <c r="BP12" i="3"/>
  <c r="R63" i="3"/>
  <c r="R64" i="3"/>
  <c r="BP14" i="3"/>
  <c r="R65" i="3"/>
  <c r="R66" i="3"/>
  <c r="BP16" i="3"/>
  <c r="R67" i="3"/>
  <c r="R68" i="3"/>
  <c r="BP18" i="3"/>
  <c r="R69" i="3"/>
  <c r="R70" i="3"/>
  <c r="BP20" i="3"/>
  <c r="R71" i="3"/>
  <c r="R72" i="3"/>
  <c r="BP22" i="3"/>
  <c r="R73" i="3"/>
  <c r="R74" i="3"/>
  <c r="BP24" i="3"/>
  <c r="R75" i="3"/>
  <c r="R76" i="3"/>
  <c r="BP26" i="3"/>
  <c r="R77" i="3"/>
  <c r="R78" i="3"/>
  <c r="BP28" i="3"/>
  <c r="R79" i="3"/>
  <c r="R80" i="3"/>
  <c r="BP30" i="3"/>
  <c r="S61" i="3"/>
  <c r="S62" i="3"/>
  <c r="BQ12" i="3"/>
  <c r="S63" i="3"/>
  <c r="S64" i="3"/>
  <c r="BQ14" i="3"/>
  <c r="S65" i="3"/>
  <c r="S66" i="3"/>
  <c r="BQ16" i="3"/>
  <c r="S67" i="3"/>
  <c r="S68" i="3"/>
  <c r="BQ18" i="3"/>
  <c r="S69" i="3"/>
  <c r="S70" i="3"/>
  <c r="BQ20" i="3"/>
  <c r="S71" i="3"/>
  <c r="S72" i="3"/>
  <c r="BQ22" i="3"/>
  <c r="S73" i="3"/>
  <c r="S74" i="3"/>
  <c r="BQ24" i="3"/>
  <c r="S75" i="3"/>
  <c r="S76" i="3"/>
  <c r="BQ26" i="3"/>
  <c r="S77" i="3"/>
  <c r="S78" i="3"/>
  <c r="BQ28" i="3"/>
  <c r="S79" i="3"/>
  <c r="S80" i="3"/>
  <c r="BQ30" i="3"/>
  <c r="T61" i="3"/>
  <c r="T62" i="3"/>
  <c r="BR12" i="3"/>
  <c r="T63" i="3"/>
  <c r="T64" i="3"/>
  <c r="BR14" i="3"/>
  <c r="T65" i="3"/>
  <c r="T66" i="3"/>
  <c r="BR16" i="3"/>
  <c r="T67" i="3"/>
  <c r="T68" i="3"/>
  <c r="BR18" i="3"/>
  <c r="T69" i="3"/>
  <c r="T70" i="3"/>
  <c r="BR20" i="3"/>
  <c r="T71" i="3"/>
  <c r="T72" i="3"/>
  <c r="BR22" i="3"/>
  <c r="T73" i="3"/>
  <c r="T74" i="3"/>
  <c r="BR24" i="3"/>
  <c r="T75" i="3"/>
  <c r="T76" i="3"/>
  <c r="BR26" i="3"/>
  <c r="T77" i="3"/>
  <c r="T78" i="3"/>
  <c r="BR28" i="3"/>
  <c r="T79" i="3"/>
  <c r="T80" i="3"/>
  <c r="BR30" i="3"/>
  <c r="U61" i="3"/>
  <c r="U62" i="3"/>
  <c r="BS12" i="3"/>
  <c r="U63" i="3"/>
  <c r="U64" i="3"/>
  <c r="BS14" i="3"/>
  <c r="U65" i="3"/>
  <c r="U66" i="3"/>
  <c r="BS16" i="3"/>
  <c r="U67" i="3"/>
  <c r="U68" i="3"/>
  <c r="BS18" i="3"/>
  <c r="U69" i="3"/>
  <c r="U70" i="3"/>
  <c r="BS20" i="3"/>
  <c r="U71" i="3"/>
  <c r="U72" i="3"/>
  <c r="BS22" i="3"/>
  <c r="U73" i="3"/>
  <c r="U74" i="3"/>
  <c r="BS24" i="3"/>
  <c r="U75" i="3"/>
  <c r="U76" i="3"/>
  <c r="BS26" i="3"/>
  <c r="U77" i="3"/>
  <c r="U78" i="3"/>
  <c r="BS28" i="3"/>
  <c r="U79" i="3"/>
  <c r="U80" i="3"/>
  <c r="BS30" i="3"/>
  <c r="V61" i="3"/>
  <c r="V62" i="3"/>
  <c r="BT12" i="3"/>
  <c r="V63" i="3"/>
  <c r="V64" i="3"/>
  <c r="BT14" i="3"/>
  <c r="V65" i="3"/>
  <c r="V66" i="3"/>
  <c r="BT16" i="3"/>
  <c r="V67" i="3"/>
  <c r="V68" i="3"/>
  <c r="BT18" i="3"/>
  <c r="V69" i="3"/>
  <c r="V70" i="3"/>
  <c r="BT20" i="3"/>
  <c r="V71" i="3"/>
  <c r="V72" i="3"/>
  <c r="BT22" i="3"/>
  <c r="V73" i="3"/>
  <c r="V74" i="3"/>
  <c r="BT24" i="3"/>
  <c r="V75" i="3"/>
  <c r="V76" i="3"/>
  <c r="BT26" i="3"/>
  <c r="V77" i="3"/>
  <c r="V78" i="3"/>
  <c r="BT28" i="3"/>
  <c r="V79" i="3"/>
  <c r="V80" i="3"/>
  <c r="BT30" i="3"/>
  <c r="W61" i="3"/>
  <c r="W62" i="3"/>
  <c r="BU12" i="3"/>
  <c r="W63" i="3"/>
  <c r="W64" i="3"/>
  <c r="BU14" i="3"/>
  <c r="W65" i="3"/>
  <c r="W66" i="3"/>
  <c r="BU16" i="3"/>
  <c r="W67" i="3"/>
  <c r="W68" i="3"/>
  <c r="BU18" i="3"/>
  <c r="W69" i="3"/>
  <c r="W70" i="3"/>
  <c r="BU20" i="3"/>
  <c r="W71" i="3"/>
  <c r="W72" i="3"/>
  <c r="BU22" i="3"/>
  <c r="W73" i="3"/>
  <c r="W74" i="3"/>
  <c r="BU24" i="3"/>
  <c r="W75" i="3"/>
  <c r="W76" i="3"/>
  <c r="BU26" i="3"/>
  <c r="W77" i="3"/>
  <c r="W78" i="3"/>
  <c r="BU28" i="3"/>
  <c r="W79" i="3"/>
  <c r="W80" i="3"/>
  <c r="BU30" i="3"/>
  <c r="X61" i="3"/>
  <c r="X62" i="3"/>
  <c r="BV12" i="3"/>
  <c r="X63" i="3"/>
  <c r="X64" i="3"/>
  <c r="BV14" i="3"/>
  <c r="X65" i="3"/>
  <c r="X66" i="3"/>
  <c r="BV16" i="3"/>
  <c r="X67" i="3"/>
  <c r="X68" i="3"/>
  <c r="BV18" i="3"/>
  <c r="X69" i="3"/>
  <c r="X70" i="3"/>
  <c r="BV20" i="3"/>
  <c r="X71" i="3"/>
  <c r="X72" i="3"/>
  <c r="BV22" i="3"/>
  <c r="X73" i="3"/>
  <c r="X74" i="3"/>
  <c r="BV24" i="3"/>
  <c r="X75" i="3"/>
  <c r="X76" i="3"/>
  <c r="BV26" i="3"/>
  <c r="X77" i="3"/>
  <c r="X78" i="3"/>
  <c r="BV28" i="3"/>
  <c r="X79" i="3"/>
  <c r="X80" i="3"/>
  <c r="BV30" i="3"/>
  <c r="Y61" i="3"/>
  <c r="Y62" i="3"/>
  <c r="BW12" i="3"/>
  <c r="Y63" i="3"/>
  <c r="Y64" i="3"/>
  <c r="BW14" i="3"/>
  <c r="Y65" i="3"/>
  <c r="Y66" i="3"/>
  <c r="BW16" i="3"/>
  <c r="Y67" i="3"/>
  <c r="Y68" i="3"/>
  <c r="BW18" i="3"/>
  <c r="Y69" i="3"/>
  <c r="Y70" i="3"/>
  <c r="BW20" i="3"/>
  <c r="Y71" i="3"/>
  <c r="Y72" i="3"/>
  <c r="BW22" i="3"/>
  <c r="Y73" i="3"/>
  <c r="Y74" i="3"/>
  <c r="BW24" i="3"/>
  <c r="Y75" i="3"/>
  <c r="Y76" i="3"/>
  <c r="BW26" i="3"/>
  <c r="Y77" i="3"/>
  <c r="Y78" i="3"/>
  <c r="BW28" i="3"/>
  <c r="Y79" i="3"/>
  <c r="Y80" i="3"/>
  <c r="BW30" i="3"/>
  <c r="Z61" i="3"/>
  <c r="Z62" i="3"/>
  <c r="BX12" i="3"/>
  <c r="Z63" i="3"/>
  <c r="Z64" i="3"/>
  <c r="BX14" i="3"/>
  <c r="Z65" i="3"/>
  <c r="Z66" i="3"/>
  <c r="BX16" i="3"/>
  <c r="Z67" i="3"/>
  <c r="Z68" i="3"/>
  <c r="BX18" i="3"/>
  <c r="Z69" i="3"/>
  <c r="Z70" i="3"/>
  <c r="BX20" i="3"/>
  <c r="Z71" i="3"/>
  <c r="Z72" i="3"/>
  <c r="BX22" i="3"/>
  <c r="Z73" i="3"/>
  <c r="Z74" i="3"/>
  <c r="BX24" i="3"/>
  <c r="Z75" i="3"/>
  <c r="Z76" i="3"/>
  <c r="BX26" i="3"/>
  <c r="Z77" i="3"/>
  <c r="Z78" i="3"/>
  <c r="BX28" i="3"/>
  <c r="Z79" i="3"/>
  <c r="Z80" i="3"/>
  <c r="BX30" i="3"/>
  <c r="AA61" i="3"/>
  <c r="AA62" i="3"/>
  <c r="BY12" i="3"/>
  <c r="AA63" i="3"/>
  <c r="AA64" i="3"/>
  <c r="BY14" i="3"/>
  <c r="AA65" i="3"/>
  <c r="AA66" i="3"/>
  <c r="BY16" i="3"/>
  <c r="AA67" i="3"/>
  <c r="AA68" i="3"/>
  <c r="BY18" i="3"/>
  <c r="AA69" i="3"/>
  <c r="AA70" i="3"/>
  <c r="BY20" i="3"/>
  <c r="AA71" i="3"/>
  <c r="AA72" i="3"/>
  <c r="BY22" i="3"/>
  <c r="AA73" i="3"/>
  <c r="AA74" i="3"/>
  <c r="BY24" i="3"/>
  <c r="AA75" i="3"/>
  <c r="AA76" i="3"/>
  <c r="BY26" i="3"/>
  <c r="AA77" i="3"/>
  <c r="AA78" i="3"/>
  <c r="BY28" i="3"/>
  <c r="AA79" i="3"/>
  <c r="AA80" i="3"/>
  <c r="BY30" i="3"/>
  <c r="AB61" i="3"/>
  <c r="AB62" i="3"/>
  <c r="BZ12" i="3"/>
  <c r="AB63" i="3"/>
  <c r="AB64" i="3"/>
  <c r="BZ14" i="3"/>
  <c r="AB65" i="3"/>
  <c r="AB66" i="3"/>
  <c r="BZ16" i="3"/>
  <c r="AB67" i="3"/>
  <c r="AB68" i="3"/>
  <c r="BZ18" i="3"/>
  <c r="AB69" i="3"/>
  <c r="AB70" i="3"/>
  <c r="BZ20" i="3"/>
  <c r="AB71" i="3"/>
  <c r="AB72" i="3"/>
  <c r="BZ22" i="3"/>
  <c r="AB73" i="3"/>
  <c r="AB74" i="3"/>
  <c r="BZ24" i="3"/>
  <c r="AB75" i="3"/>
  <c r="AB76" i="3"/>
  <c r="BZ26" i="3"/>
  <c r="AB77" i="3"/>
  <c r="AB78" i="3"/>
  <c r="BZ28" i="3"/>
  <c r="AC61" i="3"/>
  <c r="AC62" i="3"/>
  <c r="CA12" i="3"/>
  <c r="AC63" i="3"/>
  <c r="AC64" i="3"/>
  <c r="CA14" i="3"/>
  <c r="AC65" i="3"/>
  <c r="AC66" i="3"/>
  <c r="CA16" i="3"/>
  <c r="AC67" i="3"/>
  <c r="AC68" i="3"/>
  <c r="CA18" i="3"/>
  <c r="AC69" i="3"/>
  <c r="AC70" i="3"/>
  <c r="CA20" i="3"/>
  <c r="AC71" i="3"/>
  <c r="AC72" i="3"/>
  <c r="CA22" i="3"/>
  <c r="AC73" i="3"/>
  <c r="AC74" i="3"/>
  <c r="CA24" i="3"/>
  <c r="AC75" i="3"/>
  <c r="AC76" i="3"/>
  <c r="CA26" i="3"/>
  <c r="AC77" i="3"/>
  <c r="AC78" i="3"/>
  <c r="CA28" i="3"/>
  <c r="AD61" i="3"/>
  <c r="AD62" i="3"/>
  <c r="CB12" i="3"/>
  <c r="AD63" i="3"/>
  <c r="AD64" i="3"/>
  <c r="CB14" i="3"/>
  <c r="AD65" i="3"/>
  <c r="AD66" i="3"/>
  <c r="CB16" i="3"/>
  <c r="AD67" i="3"/>
  <c r="AD68" i="3"/>
  <c r="CB18" i="3"/>
  <c r="AD69" i="3"/>
  <c r="AD70" i="3"/>
  <c r="CB20" i="3"/>
  <c r="AD71" i="3"/>
  <c r="AD72" i="3"/>
  <c r="CB22" i="3"/>
  <c r="AD73" i="3"/>
  <c r="AD74" i="3"/>
  <c r="CB24" i="3"/>
  <c r="AD75" i="3"/>
  <c r="AD76" i="3"/>
  <c r="CB26" i="3"/>
  <c r="AD77" i="3"/>
  <c r="AD78" i="3"/>
  <c r="CB28" i="3"/>
  <c r="AE61" i="3"/>
  <c r="AE62" i="3"/>
  <c r="CC12" i="3"/>
  <c r="AE63" i="3"/>
  <c r="AE64" i="3"/>
  <c r="CC14" i="3"/>
  <c r="AE65" i="3"/>
  <c r="AE66" i="3"/>
  <c r="CC16" i="3"/>
  <c r="AE67" i="3"/>
  <c r="AE68" i="3"/>
  <c r="CC18" i="3"/>
  <c r="AE69" i="3"/>
  <c r="AE70" i="3"/>
  <c r="CC20" i="3"/>
  <c r="AE71" i="3"/>
  <c r="AE72" i="3"/>
  <c r="CC22" i="3"/>
  <c r="AE73" i="3"/>
  <c r="AE74" i="3"/>
  <c r="CC24" i="3"/>
  <c r="AE75" i="3"/>
  <c r="AE76" i="3"/>
  <c r="CC26" i="3"/>
  <c r="AE77" i="3"/>
  <c r="AE78" i="3"/>
  <c r="CC28" i="3"/>
  <c r="AF61" i="3"/>
  <c r="AF62" i="3"/>
  <c r="CD12" i="3"/>
  <c r="AF63" i="3"/>
  <c r="AF64" i="3"/>
  <c r="CD14" i="3"/>
  <c r="AF65" i="3"/>
  <c r="AF66" i="3"/>
  <c r="CD16" i="3"/>
  <c r="AF67" i="3"/>
  <c r="AF68" i="3"/>
  <c r="CD18" i="3"/>
  <c r="AF69" i="3"/>
  <c r="AF70" i="3"/>
  <c r="CD20" i="3"/>
  <c r="AF71" i="3"/>
  <c r="AF72" i="3"/>
  <c r="CD22" i="3"/>
  <c r="AF73" i="3"/>
  <c r="AF74" i="3"/>
  <c r="CD24" i="3"/>
  <c r="AF75" i="3"/>
  <c r="AF76" i="3"/>
  <c r="CD26" i="3"/>
  <c r="AF77" i="3"/>
  <c r="AF78" i="3"/>
  <c r="CD28" i="3"/>
  <c r="AG61" i="3"/>
  <c r="AG62" i="3"/>
  <c r="CE12" i="3"/>
  <c r="AG63" i="3"/>
  <c r="AG64" i="3"/>
  <c r="CE14" i="3"/>
  <c r="AG65" i="3"/>
  <c r="AG66" i="3"/>
  <c r="CE16" i="3"/>
  <c r="AG67" i="3"/>
  <c r="AG68" i="3"/>
  <c r="CE18" i="3"/>
  <c r="AG69" i="3"/>
  <c r="AG70" i="3"/>
  <c r="CE20" i="3"/>
  <c r="AG71" i="3"/>
  <c r="AG72" i="3"/>
  <c r="CE22" i="3"/>
  <c r="AG73" i="3"/>
  <c r="AG74" i="3"/>
  <c r="CE24" i="3"/>
  <c r="AG75" i="3"/>
  <c r="AG76" i="3"/>
  <c r="CE26" i="3"/>
  <c r="AG77" i="3"/>
  <c r="AG78" i="3"/>
  <c r="CE28" i="3"/>
  <c r="AH61" i="3"/>
  <c r="AH62" i="3"/>
  <c r="CF12" i="3"/>
  <c r="AH63" i="3"/>
  <c r="AH64" i="3"/>
  <c r="CF14" i="3"/>
  <c r="AH65" i="3"/>
  <c r="AH66" i="3"/>
  <c r="CF16" i="3"/>
  <c r="AH67" i="3"/>
  <c r="AH68" i="3"/>
  <c r="CF18" i="3"/>
  <c r="AH69" i="3"/>
  <c r="AH70" i="3"/>
  <c r="CF20" i="3"/>
  <c r="AH71" i="3"/>
  <c r="AH72" i="3"/>
  <c r="CF22" i="3"/>
  <c r="AH73" i="3"/>
  <c r="AH74" i="3"/>
  <c r="CF24" i="3"/>
  <c r="AH75" i="3"/>
  <c r="AH76" i="3"/>
  <c r="CF26" i="3"/>
  <c r="AH77" i="3"/>
  <c r="AH78" i="3"/>
  <c r="CF28" i="3"/>
  <c r="AI61" i="3"/>
  <c r="AI62" i="3"/>
  <c r="CG12" i="3"/>
  <c r="AI63" i="3"/>
  <c r="AI64" i="3"/>
  <c r="CG14" i="3"/>
  <c r="AI65" i="3"/>
  <c r="AI66" i="3"/>
  <c r="CG16" i="3"/>
  <c r="AI67" i="3"/>
  <c r="AI68" i="3"/>
  <c r="CG18" i="3"/>
  <c r="AI69" i="3"/>
  <c r="AI70" i="3"/>
  <c r="CG20" i="3"/>
  <c r="AI71" i="3"/>
  <c r="AI72" i="3"/>
  <c r="CG22" i="3"/>
  <c r="AI73" i="3"/>
  <c r="AI74" i="3"/>
  <c r="CG24" i="3"/>
  <c r="AI75" i="3"/>
  <c r="AI76" i="3"/>
  <c r="CG26" i="3"/>
  <c r="AI77" i="3"/>
  <c r="AI78" i="3"/>
  <c r="CG28" i="3"/>
  <c r="AJ61" i="3"/>
  <c r="AJ62" i="3"/>
  <c r="CH12" i="3"/>
  <c r="AJ63" i="3"/>
  <c r="AJ64" i="3"/>
  <c r="CH14" i="3"/>
  <c r="AJ65" i="3"/>
  <c r="AJ66" i="3"/>
  <c r="CH16" i="3"/>
  <c r="AJ67" i="3"/>
  <c r="AJ68" i="3"/>
  <c r="CH18" i="3"/>
  <c r="AJ69" i="3"/>
  <c r="AJ70" i="3"/>
  <c r="CH20" i="3"/>
  <c r="AJ71" i="3"/>
  <c r="AJ72" i="3"/>
  <c r="CH22" i="3"/>
  <c r="AJ73" i="3"/>
  <c r="AJ74" i="3"/>
  <c r="CH24" i="3"/>
  <c r="AJ75" i="3"/>
  <c r="AJ76" i="3"/>
  <c r="CH26" i="3"/>
  <c r="AJ77" i="3"/>
  <c r="AJ78" i="3"/>
  <c r="CH28" i="3"/>
  <c r="AK61" i="3"/>
  <c r="AK62" i="3"/>
  <c r="CI12" i="3"/>
  <c r="AK63" i="3"/>
  <c r="AK64" i="3"/>
  <c r="CI14" i="3"/>
  <c r="AK65" i="3"/>
  <c r="AK66" i="3"/>
  <c r="CI16" i="3"/>
  <c r="AK67" i="3"/>
  <c r="AK68" i="3"/>
  <c r="CI18" i="3"/>
  <c r="AK69" i="3"/>
  <c r="AK70" i="3"/>
  <c r="CI20" i="3"/>
  <c r="AK71" i="3"/>
  <c r="AK72" i="3"/>
  <c r="CI22" i="3"/>
  <c r="AK73" i="3"/>
  <c r="AK74" i="3"/>
  <c r="CI24" i="3"/>
  <c r="AK75" i="3"/>
  <c r="AK76" i="3"/>
  <c r="CI26" i="3"/>
  <c r="AK77" i="3"/>
  <c r="AK78" i="3"/>
  <c r="CI28" i="3"/>
  <c r="AL61" i="3"/>
  <c r="AL62" i="3"/>
  <c r="CJ12" i="3"/>
  <c r="AL63" i="3"/>
  <c r="AL64" i="3"/>
  <c r="CJ14" i="3"/>
  <c r="AL65" i="3"/>
  <c r="AL66" i="3"/>
  <c r="CJ16" i="3"/>
  <c r="AL67" i="3"/>
  <c r="AL68" i="3"/>
  <c r="CJ18" i="3"/>
  <c r="AL69" i="3"/>
  <c r="AL70" i="3"/>
  <c r="CJ20" i="3"/>
  <c r="AL71" i="3"/>
  <c r="AL72" i="3"/>
  <c r="CJ22" i="3"/>
  <c r="AL73" i="3"/>
  <c r="AL74" i="3"/>
  <c r="CJ24" i="3"/>
  <c r="AL75" i="3"/>
  <c r="AL76" i="3"/>
  <c r="CJ26" i="3"/>
  <c r="AL77" i="3"/>
  <c r="AL78" i="3"/>
  <c r="CJ28" i="3"/>
  <c r="AM61" i="3"/>
  <c r="AM62" i="3"/>
  <c r="CK12" i="3"/>
  <c r="AM63" i="3"/>
  <c r="AM64" i="3"/>
  <c r="CK14" i="3"/>
  <c r="AM65" i="3"/>
  <c r="AM66" i="3"/>
  <c r="CK16" i="3"/>
  <c r="AM67" i="3"/>
  <c r="AM68" i="3"/>
  <c r="CK18" i="3"/>
  <c r="AM69" i="3"/>
  <c r="AM70" i="3"/>
  <c r="CK20" i="3"/>
  <c r="AM71" i="3"/>
  <c r="AM72" i="3"/>
  <c r="CK22" i="3"/>
  <c r="AM73" i="3"/>
  <c r="AM74" i="3"/>
  <c r="CK24" i="3"/>
  <c r="AM75" i="3"/>
  <c r="AM76" i="3"/>
  <c r="CK26" i="3"/>
  <c r="AM77" i="3"/>
  <c r="AM78" i="3"/>
  <c r="CK28" i="3"/>
  <c r="AN61" i="3"/>
  <c r="AN62" i="3"/>
  <c r="CL12" i="3"/>
  <c r="AN63" i="3"/>
  <c r="AN64" i="3"/>
  <c r="CL14" i="3"/>
  <c r="AN65" i="3"/>
  <c r="AN66" i="3"/>
  <c r="CL16" i="3"/>
  <c r="AN67" i="3"/>
  <c r="AN68" i="3"/>
  <c r="CL18" i="3"/>
  <c r="AN69" i="3"/>
  <c r="AN70" i="3"/>
  <c r="CL20" i="3"/>
  <c r="AN71" i="3"/>
  <c r="AN72" i="3"/>
  <c r="CL22" i="3"/>
  <c r="AN73" i="3"/>
  <c r="AN74" i="3"/>
  <c r="CL24" i="3"/>
  <c r="AN75" i="3"/>
  <c r="AN76" i="3"/>
  <c r="CL26" i="3"/>
  <c r="AN77" i="3"/>
  <c r="AN78" i="3"/>
  <c r="CL28" i="3"/>
  <c r="AO61" i="3"/>
  <c r="AO62" i="3"/>
  <c r="CM12" i="3"/>
  <c r="AO63" i="3"/>
  <c r="AO64" i="3"/>
  <c r="CM14" i="3"/>
  <c r="AO65" i="3"/>
  <c r="AO66" i="3"/>
  <c r="CM16" i="3"/>
  <c r="AO67" i="3"/>
  <c r="AO68" i="3"/>
  <c r="CM18" i="3"/>
  <c r="AO69" i="3"/>
  <c r="AO70" i="3"/>
  <c r="CM20" i="3"/>
  <c r="AO71" i="3"/>
  <c r="AO72" i="3"/>
  <c r="CM22" i="3"/>
  <c r="AO73" i="3"/>
  <c r="AO74" i="3"/>
  <c r="CM24" i="3"/>
  <c r="AO75" i="3"/>
  <c r="AO76" i="3"/>
  <c r="CM26" i="3"/>
  <c r="AO77" i="3"/>
  <c r="AO78" i="3"/>
  <c r="CM28" i="3"/>
  <c r="C11" i="23"/>
  <c r="D11" i="23"/>
  <c r="E11" i="23"/>
  <c r="F11" i="23"/>
  <c r="G11" i="23"/>
  <c r="H11" i="23"/>
  <c r="I11" i="23"/>
  <c r="J11" i="23"/>
  <c r="K11" i="23"/>
  <c r="L11" i="23"/>
  <c r="M11" i="23"/>
  <c r="N11" i="23"/>
  <c r="O11" i="23"/>
  <c r="P11" i="23"/>
  <c r="Q11" i="23"/>
  <c r="R11" i="23"/>
  <c r="S11" i="23"/>
  <c r="T11" i="23"/>
  <c r="U11" i="23"/>
  <c r="V11" i="23"/>
  <c r="AB11" i="23"/>
  <c r="C12" i="23"/>
  <c r="D12" i="23"/>
  <c r="E12" i="23"/>
  <c r="F12" i="23"/>
  <c r="G12" i="23"/>
  <c r="H12" i="23"/>
  <c r="I12" i="23"/>
  <c r="J12" i="23"/>
  <c r="K12" i="23"/>
  <c r="L12" i="23"/>
  <c r="M12" i="23"/>
  <c r="N12" i="23"/>
  <c r="O12" i="23"/>
  <c r="P12" i="23"/>
  <c r="Q12" i="23"/>
  <c r="R12" i="23"/>
  <c r="S12" i="23"/>
  <c r="T12" i="23"/>
  <c r="U12" i="23"/>
  <c r="V12" i="23"/>
  <c r="AB12" i="23"/>
  <c r="C13" i="23"/>
  <c r="D13" i="23"/>
  <c r="E13" i="23"/>
  <c r="F13" i="23"/>
  <c r="G13" i="23"/>
  <c r="H13" i="23"/>
  <c r="I13" i="23"/>
  <c r="J13" i="23"/>
  <c r="K13" i="23"/>
  <c r="L13" i="23"/>
  <c r="M13" i="23"/>
  <c r="N13" i="23"/>
  <c r="O13" i="23"/>
  <c r="P13" i="23"/>
  <c r="Q13" i="23"/>
  <c r="R13" i="23"/>
  <c r="S13" i="23"/>
  <c r="T13" i="23"/>
  <c r="U13" i="23"/>
  <c r="V13" i="23"/>
  <c r="AB13" i="23"/>
  <c r="C14" i="23"/>
  <c r="D14" i="23"/>
  <c r="E14" i="23"/>
  <c r="F14" i="23"/>
  <c r="G14" i="23"/>
  <c r="H14" i="23"/>
  <c r="I14" i="23"/>
  <c r="J14" i="23"/>
  <c r="K14" i="23"/>
  <c r="L14" i="23"/>
  <c r="M14" i="23"/>
  <c r="N14" i="23"/>
  <c r="O14" i="23"/>
  <c r="P14" i="23"/>
  <c r="Q14" i="23"/>
  <c r="R14" i="23"/>
  <c r="S14" i="23"/>
  <c r="T14" i="23"/>
  <c r="U14" i="23"/>
  <c r="V14" i="23"/>
  <c r="AB14" i="23"/>
  <c r="C15" i="23"/>
  <c r="D15" i="23"/>
  <c r="E15" i="23"/>
  <c r="F15" i="23"/>
  <c r="G15" i="23"/>
  <c r="H15" i="23"/>
  <c r="I15" i="23"/>
  <c r="J15" i="23"/>
  <c r="K15" i="23"/>
  <c r="L15" i="23"/>
  <c r="M15" i="23"/>
  <c r="N15" i="23"/>
  <c r="O15" i="23"/>
  <c r="P15" i="23"/>
  <c r="Q15" i="23"/>
  <c r="R15" i="23"/>
  <c r="S15" i="23"/>
  <c r="T15" i="23"/>
  <c r="U15" i="23"/>
  <c r="V15" i="23"/>
  <c r="AB15" i="23"/>
  <c r="C16" i="23"/>
  <c r="D16" i="23"/>
  <c r="E16" i="23"/>
  <c r="F16" i="23"/>
  <c r="G16" i="23"/>
  <c r="H16" i="23"/>
  <c r="I16" i="23"/>
  <c r="J16" i="23"/>
  <c r="K16" i="23"/>
  <c r="L16" i="23"/>
  <c r="M16" i="23"/>
  <c r="N16" i="23"/>
  <c r="O16" i="23"/>
  <c r="P16" i="23"/>
  <c r="Q16" i="23"/>
  <c r="R16" i="23"/>
  <c r="S16" i="23"/>
  <c r="T16" i="23"/>
  <c r="U16" i="23"/>
  <c r="V16" i="23"/>
  <c r="AB16" i="23"/>
  <c r="C17" i="23"/>
  <c r="D17" i="23"/>
  <c r="E17" i="23"/>
  <c r="F17" i="23"/>
  <c r="G17" i="23"/>
  <c r="H17" i="23"/>
  <c r="I17" i="23"/>
  <c r="J17" i="23"/>
  <c r="K17" i="23"/>
  <c r="L17" i="23"/>
  <c r="M17" i="23"/>
  <c r="N17" i="23"/>
  <c r="O17" i="23"/>
  <c r="P17" i="23"/>
  <c r="Q17" i="23"/>
  <c r="R17" i="23"/>
  <c r="S17" i="23"/>
  <c r="T17" i="23"/>
  <c r="U17" i="23"/>
  <c r="V17" i="23"/>
  <c r="AB17" i="23"/>
  <c r="C18" i="23"/>
  <c r="D18" i="23"/>
  <c r="E18" i="23"/>
  <c r="F18" i="23"/>
  <c r="G18" i="23"/>
  <c r="H18" i="23"/>
  <c r="I18" i="23"/>
  <c r="J18" i="23"/>
  <c r="K18" i="23"/>
  <c r="L18" i="23"/>
  <c r="M18" i="23"/>
  <c r="N18" i="23"/>
  <c r="O18" i="23"/>
  <c r="P18" i="23"/>
  <c r="Q18" i="23"/>
  <c r="R18" i="23"/>
  <c r="S18" i="23"/>
  <c r="T18" i="23"/>
  <c r="U18" i="23"/>
  <c r="V18" i="23"/>
  <c r="AB18" i="23"/>
  <c r="C19" i="23"/>
  <c r="D19" i="23"/>
  <c r="E19" i="23"/>
  <c r="F19" i="23"/>
  <c r="G19" i="23"/>
  <c r="H19" i="23"/>
  <c r="I19" i="23"/>
  <c r="J19" i="23"/>
  <c r="K19" i="23"/>
  <c r="L19" i="23"/>
  <c r="M19" i="23"/>
  <c r="N19" i="23"/>
  <c r="O19" i="23"/>
  <c r="P19" i="23"/>
  <c r="Q19" i="23"/>
  <c r="R19" i="23"/>
  <c r="S19" i="23"/>
  <c r="T19" i="23"/>
  <c r="U19" i="23"/>
  <c r="V19" i="23"/>
  <c r="AB19" i="23"/>
  <c r="C20" i="23"/>
  <c r="D20" i="23"/>
  <c r="E20" i="23"/>
  <c r="F20" i="23"/>
  <c r="G20" i="23"/>
  <c r="H20" i="23"/>
  <c r="I20" i="23"/>
  <c r="J20" i="23"/>
  <c r="K20" i="23"/>
  <c r="L20" i="23"/>
  <c r="M20" i="23"/>
  <c r="N20" i="23"/>
  <c r="O20" i="23"/>
  <c r="P20" i="23"/>
  <c r="Q20" i="23"/>
  <c r="R20" i="23"/>
  <c r="S20" i="23"/>
  <c r="T20" i="23"/>
  <c r="U20" i="23"/>
  <c r="V20" i="23"/>
  <c r="AB20" i="23"/>
  <c r="C21" i="23"/>
  <c r="D21" i="23"/>
  <c r="E21" i="23"/>
  <c r="F21" i="23"/>
  <c r="G21" i="23"/>
  <c r="H21" i="23"/>
  <c r="I21" i="23"/>
  <c r="J21" i="23"/>
  <c r="K21" i="23"/>
  <c r="L21" i="23"/>
  <c r="M21" i="23"/>
  <c r="N21" i="23"/>
  <c r="O21" i="23"/>
  <c r="P21" i="23"/>
  <c r="Q21" i="23"/>
  <c r="R21" i="23"/>
  <c r="S21" i="23"/>
  <c r="T21" i="23"/>
  <c r="U21" i="23"/>
  <c r="V21" i="23"/>
  <c r="AB21" i="23"/>
  <c r="C22" i="23"/>
  <c r="D22" i="23"/>
  <c r="E22" i="23"/>
  <c r="F22" i="23"/>
  <c r="G22" i="23"/>
  <c r="H22" i="23"/>
  <c r="I22" i="23"/>
  <c r="J22" i="23"/>
  <c r="K22" i="23"/>
  <c r="L22" i="23"/>
  <c r="M22" i="23"/>
  <c r="N22" i="23"/>
  <c r="O22" i="23"/>
  <c r="P22" i="23"/>
  <c r="Q22" i="23"/>
  <c r="R22" i="23"/>
  <c r="S22" i="23"/>
  <c r="T22" i="23"/>
  <c r="U22" i="23"/>
  <c r="V22" i="23"/>
  <c r="AB22" i="23"/>
  <c r="C23" i="23"/>
  <c r="D23" i="23"/>
  <c r="E23" i="23"/>
  <c r="F23" i="23"/>
  <c r="G23" i="23"/>
  <c r="H23" i="23"/>
  <c r="I23" i="23"/>
  <c r="J23" i="23"/>
  <c r="K23" i="23"/>
  <c r="L23" i="23"/>
  <c r="M23" i="23"/>
  <c r="N23" i="23"/>
  <c r="O23" i="23"/>
  <c r="P23" i="23"/>
  <c r="Q23" i="23"/>
  <c r="R23" i="23"/>
  <c r="S23" i="23"/>
  <c r="T23" i="23"/>
  <c r="U23" i="23"/>
  <c r="V23" i="23"/>
  <c r="AB23" i="23"/>
  <c r="C24" i="23"/>
  <c r="D24" i="23"/>
  <c r="E24" i="23"/>
  <c r="F24" i="23"/>
  <c r="G24" i="23"/>
  <c r="H24" i="23"/>
  <c r="I24" i="23"/>
  <c r="J24" i="23"/>
  <c r="K24" i="23"/>
  <c r="L24" i="23"/>
  <c r="M24" i="23"/>
  <c r="N24" i="23"/>
  <c r="O24" i="23"/>
  <c r="P24" i="23"/>
  <c r="Q24" i="23"/>
  <c r="R24" i="23"/>
  <c r="S24" i="23"/>
  <c r="T24" i="23"/>
  <c r="U24" i="23"/>
  <c r="V24" i="23"/>
  <c r="AB24" i="23"/>
  <c r="C25" i="23"/>
  <c r="D25" i="23"/>
  <c r="E25" i="23"/>
  <c r="F25" i="23"/>
  <c r="G25" i="23"/>
  <c r="H25" i="23"/>
  <c r="I25" i="23"/>
  <c r="J25" i="23"/>
  <c r="K25" i="23"/>
  <c r="L25" i="23"/>
  <c r="M25" i="23"/>
  <c r="N25" i="23"/>
  <c r="O25" i="23"/>
  <c r="P25" i="23"/>
  <c r="Q25" i="23"/>
  <c r="R25" i="23"/>
  <c r="S25" i="23"/>
  <c r="T25" i="23"/>
  <c r="U25" i="23"/>
  <c r="V25" i="23"/>
  <c r="AB25" i="23"/>
  <c r="C26" i="23"/>
  <c r="D26" i="23"/>
  <c r="E26" i="23"/>
  <c r="F26" i="23"/>
  <c r="G26" i="23"/>
  <c r="H26" i="23"/>
  <c r="I26" i="23"/>
  <c r="J26" i="23"/>
  <c r="K26" i="23"/>
  <c r="L26" i="23"/>
  <c r="M26" i="23"/>
  <c r="N26" i="23"/>
  <c r="O26" i="23"/>
  <c r="P26" i="23"/>
  <c r="Q26" i="23"/>
  <c r="R26" i="23"/>
  <c r="S26" i="23"/>
  <c r="T26" i="23"/>
  <c r="U26" i="23"/>
  <c r="V26" i="23"/>
  <c r="AB26" i="23"/>
  <c r="AB7" i="23"/>
  <c r="Z11" i="23"/>
  <c r="Z12" i="23"/>
  <c r="Z13" i="23"/>
  <c r="Z14" i="23"/>
  <c r="Z15" i="23"/>
  <c r="Z16" i="23"/>
  <c r="Z17" i="23"/>
  <c r="Z18" i="23"/>
  <c r="Z19" i="23"/>
  <c r="Z20" i="23"/>
  <c r="Z21" i="23"/>
  <c r="Z22" i="23"/>
  <c r="Z23" i="23"/>
  <c r="Z24" i="23"/>
  <c r="Z25" i="23"/>
  <c r="Z26" i="23"/>
  <c r="BI22" i="1"/>
  <c r="BI23" i="1"/>
  <c r="BI24" i="1"/>
  <c r="BI25" i="1"/>
  <c r="BI26" i="1"/>
  <c r="BI27" i="1"/>
  <c r="BI28" i="1"/>
  <c r="BI29" i="1"/>
  <c r="BI30" i="1"/>
  <c r="BI31" i="1"/>
  <c r="BI32" i="1"/>
  <c r="BI33" i="1"/>
  <c r="BI34" i="1"/>
  <c r="BI35" i="1"/>
  <c r="BI36" i="1"/>
  <c r="BI37" i="1"/>
  <c r="BI38" i="1"/>
  <c r="BI39" i="1"/>
  <c r="BI40" i="1"/>
  <c r="BI41" i="1"/>
  <c r="BI42" i="1"/>
  <c r="BI43" i="1"/>
  <c r="BI44" i="1"/>
  <c r="BI45" i="1"/>
  <c r="BI46" i="1"/>
  <c r="BI47" i="1"/>
  <c r="BI48" i="1"/>
  <c r="BI49" i="1"/>
  <c r="BI50" i="1"/>
  <c r="BI51" i="1"/>
  <c r="BI52" i="1"/>
  <c r="BI53" i="1"/>
  <c r="BI54" i="1"/>
  <c r="BI55" i="1"/>
  <c r="BI56" i="1"/>
  <c r="BI21" i="1"/>
  <c r="BI20" i="1"/>
  <c r="BI19" i="1"/>
  <c r="BI18" i="1"/>
  <c r="BI17" i="1"/>
  <c r="BI16" i="1"/>
  <c r="BI15" i="1"/>
  <c r="BI14" i="1"/>
  <c r="BI13" i="1"/>
  <c r="BI12" i="1"/>
  <c r="BI11" i="1"/>
  <c r="G11" i="2"/>
  <c r="K11" i="2"/>
  <c r="O11" i="2"/>
  <c r="S11" i="2"/>
  <c r="W11" i="2"/>
  <c r="AA11" i="2"/>
  <c r="AE11" i="2"/>
  <c r="AI11" i="2"/>
  <c r="AM11" i="2"/>
  <c r="AQ11" i="2"/>
  <c r="G12" i="2"/>
  <c r="K12" i="2"/>
  <c r="O12" i="2"/>
  <c r="S12" i="2"/>
  <c r="W12" i="2"/>
  <c r="AA12" i="2"/>
  <c r="AE12" i="2"/>
  <c r="AI12" i="2"/>
  <c r="AM12" i="2"/>
  <c r="AQ12" i="2"/>
  <c r="G13" i="2"/>
  <c r="K13" i="2"/>
  <c r="O13" i="2"/>
  <c r="S13" i="2"/>
  <c r="W13" i="2"/>
  <c r="AA13" i="2"/>
  <c r="AE13" i="2"/>
  <c r="AI13" i="2"/>
  <c r="AM13" i="2"/>
  <c r="AQ13" i="2"/>
  <c r="G14" i="2"/>
  <c r="K14" i="2"/>
  <c r="O14" i="2"/>
  <c r="S14" i="2"/>
  <c r="W14" i="2"/>
  <c r="AA14" i="2"/>
  <c r="AE14" i="2"/>
  <c r="AI14" i="2"/>
  <c r="AM14" i="2"/>
  <c r="AQ14" i="2"/>
  <c r="G15" i="2"/>
  <c r="K15" i="2"/>
  <c r="O15" i="2"/>
  <c r="S15" i="2"/>
  <c r="W15" i="2"/>
  <c r="AA15" i="2"/>
  <c r="AE15" i="2"/>
  <c r="AI15" i="2"/>
  <c r="AM15" i="2"/>
  <c r="AQ15" i="2"/>
  <c r="G16" i="2"/>
  <c r="K16" i="2"/>
  <c r="O16" i="2"/>
  <c r="S16" i="2"/>
  <c r="W16" i="2"/>
  <c r="AA16" i="2"/>
  <c r="AE16" i="2"/>
  <c r="AI16" i="2"/>
  <c r="AM16" i="2"/>
  <c r="AQ16" i="2"/>
  <c r="G17" i="2"/>
  <c r="K17" i="2"/>
  <c r="O17" i="2"/>
  <c r="S17" i="2"/>
  <c r="W17" i="2"/>
  <c r="AA17" i="2"/>
  <c r="AE17" i="2"/>
  <c r="AI17" i="2"/>
  <c r="AM17" i="2"/>
  <c r="AQ17" i="2"/>
  <c r="G18" i="2"/>
  <c r="K18" i="2"/>
  <c r="O18" i="2"/>
  <c r="S18" i="2"/>
  <c r="W18" i="2"/>
  <c r="AA18" i="2"/>
  <c r="AE18" i="2"/>
  <c r="AI18" i="2"/>
  <c r="AM18" i="2"/>
  <c r="AQ18" i="2"/>
  <c r="G19" i="2"/>
  <c r="K19" i="2"/>
  <c r="O19" i="2"/>
  <c r="S19" i="2"/>
  <c r="W19" i="2"/>
  <c r="AA19" i="2"/>
  <c r="AE19" i="2"/>
  <c r="AI19" i="2"/>
  <c r="AM19" i="2"/>
  <c r="AQ19" i="2"/>
  <c r="G20" i="2"/>
  <c r="K20" i="2"/>
  <c r="O20" i="2"/>
  <c r="S20" i="2"/>
  <c r="W20" i="2"/>
  <c r="AA20" i="2"/>
  <c r="AE20" i="2"/>
  <c r="AI20" i="2"/>
  <c r="AM20" i="2"/>
  <c r="AQ20" i="2"/>
  <c r="G21" i="2"/>
  <c r="K21" i="2"/>
  <c r="O21" i="2"/>
  <c r="S21" i="2"/>
  <c r="W21" i="2"/>
  <c r="AA21" i="2"/>
  <c r="AE21" i="2"/>
  <c r="AI21" i="2"/>
  <c r="AM21" i="2"/>
  <c r="AQ21" i="2"/>
  <c r="G22" i="2"/>
  <c r="K22" i="2"/>
  <c r="O22" i="2"/>
  <c r="S22" i="2"/>
  <c r="W22" i="2"/>
  <c r="AA22" i="2"/>
  <c r="AE22" i="2"/>
  <c r="AI22" i="2"/>
  <c r="AM22" i="2"/>
  <c r="AQ22" i="2"/>
  <c r="G23" i="2"/>
  <c r="K23" i="2"/>
  <c r="O23" i="2"/>
  <c r="S23" i="2"/>
  <c r="W23" i="2"/>
  <c r="AA23" i="2"/>
  <c r="AE23" i="2"/>
  <c r="AI23" i="2"/>
  <c r="AM23" i="2"/>
  <c r="AQ23" i="2"/>
  <c r="G24" i="2"/>
  <c r="K24" i="2"/>
  <c r="O24" i="2"/>
  <c r="S24" i="2"/>
  <c r="W24" i="2"/>
  <c r="AA24" i="2"/>
  <c r="AE24" i="2"/>
  <c r="AI24" i="2"/>
  <c r="AM24" i="2"/>
  <c r="AQ24" i="2"/>
  <c r="G25" i="2"/>
  <c r="K25" i="2"/>
  <c r="O25" i="2"/>
  <c r="S25" i="2"/>
  <c r="W25" i="2"/>
  <c r="AA25" i="2"/>
  <c r="AE25" i="2"/>
  <c r="AI25" i="2"/>
  <c r="AM25" i="2"/>
  <c r="AQ25" i="2"/>
  <c r="G26" i="2"/>
  <c r="K26" i="2"/>
  <c r="O26" i="2"/>
  <c r="S26" i="2"/>
  <c r="W26" i="2"/>
  <c r="AA26" i="2"/>
  <c r="AE26" i="2"/>
  <c r="AI26" i="2"/>
  <c r="AM26" i="2"/>
  <c r="AQ26" i="2"/>
  <c r="G27" i="2"/>
  <c r="K27" i="2"/>
  <c r="O27" i="2"/>
  <c r="S27" i="2"/>
  <c r="W27" i="2"/>
  <c r="AA27" i="2"/>
  <c r="AE27" i="2"/>
  <c r="AI27" i="2"/>
  <c r="AM27" i="2"/>
  <c r="AQ27" i="2"/>
  <c r="G28" i="2"/>
  <c r="K28" i="2"/>
  <c r="O28" i="2"/>
  <c r="S28" i="2"/>
  <c r="W28" i="2"/>
  <c r="AA28" i="2"/>
  <c r="AE28" i="2"/>
  <c r="AI28" i="2"/>
  <c r="AM28" i="2"/>
  <c r="AQ28" i="2"/>
  <c r="G29" i="2"/>
  <c r="K29" i="2"/>
  <c r="O29" i="2"/>
  <c r="S29" i="2"/>
  <c r="W29" i="2"/>
  <c r="AA29" i="2"/>
  <c r="AE29" i="2"/>
  <c r="AI29" i="2"/>
  <c r="AM29" i="2"/>
  <c r="AQ29" i="2"/>
  <c r="G30" i="2"/>
  <c r="K30" i="2"/>
  <c r="O30" i="2"/>
  <c r="S30" i="2"/>
  <c r="W30" i="2"/>
  <c r="AA30" i="2"/>
  <c r="AE30" i="2"/>
  <c r="AI30" i="2"/>
  <c r="AM30" i="2"/>
  <c r="AQ30" i="2"/>
  <c r="G31" i="2"/>
  <c r="K31" i="2"/>
  <c r="O31" i="2"/>
  <c r="S31" i="2"/>
  <c r="W31" i="2"/>
  <c r="AA31" i="2"/>
  <c r="AE31" i="2"/>
  <c r="AI31" i="2"/>
  <c r="AM31" i="2"/>
  <c r="AQ31" i="2"/>
  <c r="G32" i="2"/>
  <c r="K32" i="2"/>
  <c r="O32" i="2"/>
  <c r="S32" i="2"/>
  <c r="W32" i="2"/>
  <c r="AA32" i="2"/>
  <c r="AE32" i="2"/>
  <c r="AI32" i="2"/>
  <c r="AM32" i="2"/>
  <c r="AQ32" i="2"/>
  <c r="G33" i="2"/>
  <c r="K33" i="2"/>
  <c r="O33" i="2"/>
  <c r="S33" i="2"/>
  <c r="W33" i="2"/>
  <c r="AA33" i="2"/>
  <c r="AE33" i="2"/>
  <c r="AI33" i="2"/>
  <c r="AM33" i="2"/>
  <c r="AQ33" i="2"/>
  <c r="G34" i="2"/>
  <c r="K34" i="2"/>
  <c r="O34" i="2"/>
  <c r="S34" i="2"/>
  <c r="W34" i="2"/>
  <c r="AA34" i="2"/>
  <c r="AE34" i="2"/>
  <c r="AI34" i="2"/>
  <c r="AM34" i="2"/>
  <c r="AQ34" i="2"/>
  <c r="G35" i="2"/>
  <c r="K35" i="2"/>
  <c r="O35" i="2"/>
  <c r="S35" i="2"/>
  <c r="W35" i="2"/>
  <c r="AA35" i="2"/>
  <c r="AE35" i="2"/>
  <c r="AI35" i="2"/>
  <c r="AM35" i="2"/>
  <c r="AQ35" i="2"/>
  <c r="G36" i="2"/>
  <c r="K36" i="2"/>
  <c r="O36" i="2"/>
  <c r="S36" i="2"/>
  <c r="W36" i="2"/>
  <c r="AA36" i="2"/>
  <c r="AE36" i="2"/>
  <c r="AI36" i="2"/>
  <c r="AM36" i="2"/>
  <c r="AQ36" i="2"/>
  <c r="G37" i="2"/>
  <c r="K37" i="2"/>
  <c r="O37" i="2"/>
  <c r="S37" i="2"/>
  <c r="W37" i="2"/>
  <c r="AA37" i="2"/>
  <c r="AE37" i="2"/>
  <c r="AI37" i="2"/>
  <c r="AM37" i="2"/>
  <c r="AQ37" i="2"/>
  <c r="G38" i="2"/>
  <c r="K38" i="2"/>
  <c r="O38" i="2"/>
  <c r="S38" i="2"/>
  <c r="W38" i="2"/>
  <c r="AA38" i="2"/>
  <c r="AE38" i="2"/>
  <c r="AI38" i="2"/>
  <c r="AM38" i="2"/>
  <c r="AQ38" i="2"/>
  <c r="G39" i="2"/>
  <c r="K39" i="2"/>
  <c r="O39" i="2"/>
  <c r="S39" i="2"/>
  <c r="W39" i="2"/>
  <c r="AA39" i="2"/>
  <c r="AE39" i="2"/>
  <c r="AI39" i="2"/>
  <c r="AM39" i="2"/>
  <c r="AQ39" i="2"/>
  <c r="G40" i="2"/>
  <c r="K40" i="2"/>
  <c r="O40" i="2"/>
  <c r="S40" i="2"/>
  <c r="W40" i="2"/>
  <c r="AA40" i="2"/>
  <c r="AE40" i="2"/>
  <c r="AI40" i="2"/>
  <c r="AM40" i="2"/>
  <c r="AQ40" i="2"/>
  <c r="G41" i="2"/>
  <c r="K41" i="2"/>
  <c r="O41" i="2"/>
  <c r="S41" i="2"/>
  <c r="W41" i="2"/>
  <c r="AA41" i="2"/>
  <c r="AE41" i="2"/>
  <c r="AI41" i="2"/>
  <c r="AM41" i="2"/>
  <c r="AQ41" i="2"/>
  <c r="G42" i="2"/>
  <c r="K42" i="2"/>
  <c r="O42" i="2"/>
  <c r="S42" i="2"/>
  <c r="W42" i="2"/>
  <c r="AA42" i="2"/>
  <c r="AE42" i="2"/>
  <c r="AI42" i="2"/>
  <c r="AM42" i="2"/>
  <c r="AQ42" i="2"/>
  <c r="G43" i="2"/>
  <c r="K43" i="2"/>
  <c r="O43" i="2"/>
  <c r="S43" i="2"/>
  <c r="W43" i="2"/>
  <c r="AA43" i="2"/>
  <c r="AE43" i="2"/>
  <c r="AI43" i="2"/>
  <c r="AM43" i="2"/>
  <c r="AQ43" i="2"/>
  <c r="G44" i="2"/>
  <c r="K44" i="2"/>
  <c r="O44" i="2"/>
  <c r="S44" i="2"/>
  <c r="W44" i="2"/>
  <c r="AA44" i="2"/>
  <c r="AE44" i="2"/>
  <c r="AI44" i="2"/>
  <c r="AM44" i="2"/>
  <c r="AQ44" i="2"/>
  <c r="G45" i="2"/>
  <c r="K45" i="2"/>
  <c r="O45" i="2"/>
  <c r="S45" i="2"/>
  <c r="W45" i="2"/>
  <c r="AA45" i="2"/>
  <c r="AE45" i="2"/>
  <c r="AI45" i="2"/>
  <c r="AM45" i="2"/>
  <c r="AQ45" i="2"/>
  <c r="G46" i="2"/>
  <c r="K46" i="2"/>
  <c r="O46" i="2"/>
  <c r="S46" i="2"/>
  <c r="W46" i="2"/>
  <c r="AA46" i="2"/>
  <c r="AE46" i="2"/>
  <c r="AI46" i="2"/>
  <c r="AM46" i="2"/>
  <c r="AQ46" i="2"/>
  <c r="E47" i="2"/>
  <c r="F47" i="2"/>
  <c r="G47" i="2"/>
  <c r="I47" i="2"/>
  <c r="J47" i="2"/>
  <c r="K47" i="2"/>
  <c r="M47" i="2"/>
  <c r="N47" i="2"/>
  <c r="O47" i="2"/>
  <c r="Q47" i="2"/>
  <c r="R47" i="2"/>
  <c r="S47" i="2"/>
  <c r="U47" i="2"/>
  <c r="V47" i="2"/>
  <c r="W47" i="2"/>
  <c r="Y47" i="2"/>
  <c r="Z47" i="2"/>
  <c r="AA47" i="2"/>
  <c r="AC47" i="2"/>
  <c r="AD47" i="2"/>
  <c r="AE47" i="2"/>
  <c r="AG47" i="2"/>
  <c r="AH47" i="2"/>
  <c r="AI47" i="2"/>
  <c r="AK47" i="2"/>
  <c r="AL47" i="2"/>
  <c r="AM47" i="2"/>
  <c r="AO47" i="2"/>
  <c r="AP47" i="2"/>
  <c r="AQ47" i="2"/>
  <c r="E48" i="2"/>
  <c r="F48" i="2"/>
  <c r="G48" i="2"/>
  <c r="I48" i="2"/>
  <c r="J48" i="2"/>
  <c r="K48" i="2"/>
  <c r="M48" i="2"/>
  <c r="N48" i="2"/>
  <c r="O48" i="2"/>
  <c r="Q48" i="2"/>
  <c r="R48" i="2"/>
  <c r="S48" i="2"/>
  <c r="U48" i="2"/>
  <c r="V48" i="2"/>
  <c r="W48" i="2"/>
  <c r="Y48" i="2"/>
  <c r="Z48" i="2"/>
  <c r="AA48" i="2"/>
  <c r="AC48" i="2"/>
  <c r="AD48" i="2"/>
  <c r="AE48" i="2"/>
  <c r="AG48" i="2"/>
  <c r="AH48" i="2"/>
  <c r="AI48" i="2"/>
  <c r="AK48" i="2"/>
  <c r="AL48" i="2"/>
  <c r="AM48" i="2"/>
  <c r="AO48" i="2"/>
  <c r="AP48" i="2"/>
  <c r="AQ48" i="2"/>
  <c r="E49" i="2"/>
  <c r="F49" i="2"/>
  <c r="G49" i="2"/>
  <c r="I49" i="2"/>
  <c r="J49" i="2"/>
  <c r="K49" i="2"/>
  <c r="M49" i="2"/>
  <c r="N49" i="2"/>
  <c r="O49" i="2"/>
  <c r="Q49" i="2"/>
  <c r="R49" i="2"/>
  <c r="S49" i="2"/>
  <c r="U49" i="2"/>
  <c r="V49" i="2"/>
  <c r="W49" i="2"/>
  <c r="Y49" i="2"/>
  <c r="Z49" i="2"/>
  <c r="AA49" i="2"/>
  <c r="AC49" i="2"/>
  <c r="AD49" i="2"/>
  <c r="AE49" i="2"/>
  <c r="AG49" i="2"/>
  <c r="AH49" i="2"/>
  <c r="AI49" i="2"/>
  <c r="AK49" i="2"/>
  <c r="AL49" i="2"/>
  <c r="AM49" i="2"/>
  <c r="AO49" i="2"/>
  <c r="AP49" i="2"/>
  <c r="AQ49" i="2"/>
  <c r="E50" i="2"/>
  <c r="F50" i="2"/>
  <c r="G50" i="2"/>
  <c r="I50" i="2"/>
  <c r="J50" i="2"/>
  <c r="K50" i="2"/>
  <c r="M50" i="2"/>
  <c r="N50" i="2"/>
  <c r="O50" i="2"/>
  <c r="Q50" i="2"/>
  <c r="R50" i="2"/>
  <c r="S50" i="2"/>
  <c r="U50" i="2"/>
  <c r="V50" i="2"/>
  <c r="W50" i="2"/>
  <c r="Y50" i="2"/>
  <c r="Z50" i="2"/>
  <c r="AA50" i="2"/>
  <c r="AC50" i="2"/>
  <c r="AD50" i="2"/>
  <c r="AE50" i="2"/>
  <c r="AG50" i="2"/>
  <c r="AH50" i="2"/>
  <c r="AI50" i="2"/>
  <c r="AK50" i="2"/>
  <c r="AL50" i="2"/>
  <c r="AM50" i="2"/>
  <c r="AO50" i="2"/>
  <c r="AP50" i="2"/>
  <c r="AQ50" i="2"/>
  <c r="BA11" i="3"/>
  <c r="AQ61" i="3"/>
  <c r="AQ62" i="3"/>
  <c r="CO11" i="3"/>
  <c r="AB79" i="3"/>
  <c r="AB80" i="3"/>
  <c r="BZ30" i="3"/>
  <c r="AC79" i="3"/>
  <c r="AC80" i="3"/>
  <c r="CA30" i="3"/>
  <c r="AD79" i="3"/>
  <c r="AD80" i="3"/>
  <c r="CB30" i="3"/>
  <c r="AE79" i="3"/>
  <c r="AE80" i="3"/>
  <c r="CC30" i="3"/>
  <c r="AF79" i="3"/>
  <c r="AF80" i="3"/>
  <c r="CD30" i="3"/>
  <c r="AG79" i="3"/>
  <c r="AG80" i="3"/>
  <c r="CE30" i="3"/>
  <c r="BA12" i="3"/>
  <c r="AP61" i="3"/>
  <c r="AP62" i="3"/>
  <c r="CN12" i="3"/>
  <c r="CO12" i="3"/>
  <c r="BA13" i="3"/>
  <c r="AQ63" i="3"/>
  <c r="AQ64" i="3"/>
  <c r="CO13" i="3"/>
  <c r="BA14" i="3"/>
  <c r="AP63" i="3"/>
  <c r="AP64" i="3"/>
  <c r="CN14" i="3"/>
  <c r="CO14" i="3"/>
  <c r="BA15" i="3"/>
  <c r="AQ65" i="3"/>
  <c r="AQ66" i="3"/>
  <c r="CO15" i="3"/>
  <c r="BA16" i="3"/>
  <c r="AP65" i="3"/>
  <c r="AP66" i="3"/>
  <c r="CN16" i="3"/>
  <c r="CO16" i="3"/>
  <c r="BA17" i="3"/>
  <c r="AQ67" i="3"/>
  <c r="AQ68" i="3"/>
  <c r="CO17" i="3"/>
  <c r="BA18" i="3"/>
  <c r="AP67" i="3"/>
  <c r="AP68" i="3"/>
  <c r="CN18" i="3"/>
  <c r="CO18" i="3"/>
  <c r="BA19" i="3"/>
  <c r="AQ69" i="3"/>
  <c r="AQ70" i="3"/>
  <c r="CO19" i="3"/>
  <c r="BA20" i="3"/>
  <c r="AP69" i="3"/>
  <c r="AP70" i="3"/>
  <c r="CN20" i="3"/>
  <c r="CO20" i="3"/>
  <c r="BA21" i="3"/>
  <c r="AQ71" i="3"/>
  <c r="AQ72" i="3"/>
  <c r="CO21" i="3"/>
  <c r="BA22" i="3"/>
  <c r="AP71" i="3"/>
  <c r="AP72" i="3"/>
  <c r="CN22" i="3"/>
  <c r="CO22" i="3"/>
  <c r="BA23" i="3"/>
  <c r="AQ73" i="3"/>
  <c r="AQ74" i="3"/>
  <c r="CO23" i="3"/>
  <c r="BA24" i="3"/>
  <c r="AP73" i="3"/>
  <c r="AP74" i="3"/>
  <c r="CN24" i="3"/>
  <c r="CO24" i="3"/>
  <c r="BA25" i="3"/>
  <c r="AQ75" i="3"/>
  <c r="AQ76" i="3"/>
  <c r="CO25" i="3"/>
  <c r="BA26" i="3"/>
  <c r="AP75" i="3"/>
  <c r="AP76" i="3"/>
  <c r="CN26" i="3"/>
  <c r="CO26" i="3"/>
  <c r="BA27" i="3"/>
  <c r="AQ77" i="3"/>
  <c r="AQ78" i="3"/>
  <c r="CO27" i="3"/>
  <c r="BA28" i="3"/>
  <c r="AP77" i="3"/>
  <c r="AP78" i="3"/>
  <c r="CN28" i="3"/>
  <c r="CO28" i="3"/>
  <c r="BA29" i="3"/>
  <c r="AQ79" i="3"/>
  <c r="AQ80" i="3"/>
  <c r="CO29" i="3"/>
  <c r="BA30" i="3"/>
  <c r="AH79" i="3"/>
  <c r="AH80" i="3"/>
  <c r="CF30" i="3"/>
  <c r="AI79" i="3"/>
  <c r="AI80" i="3"/>
  <c r="CG30" i="3"/>
  <c r="AJ79" i="3"/>
  <c r="AJ80" i="3"/>
  <c r="CH30" i="3"/>
  <c r="AK79" i="3"/>
  <c r="AK80" i="3"/>
  <c r="CI30" i="3"/>
  <c r="AL79" i="3"/>
  <c r="AL80" i="3"/>
  <c r="CJ30" i="3"/>
  <c r="AM79" i="3"/>
  <c r="AM80" i="3"/>
  <c r="CK30" i="3"/>
  <c r="AN79" i="3"/>
  <c r="AN80" i="3"/>
  <c r="CL30" i="3"/>
  <c r="AO79" i="3"/>
  <c r="AO80" i="3"/>
  <c r="CM30" i="3"/>
  <c r="AP79" i="3"/>
  <c r="AP80" i="3"/>
  <c r="CN30" i="3"/>
  <c r="CO30" i="3"/>
  <c r="AR62" i="3"/>
  <c r="D79" i="3"/>
  <c r="D80" i="3"/>
  <c r="BB30" i="3"/>
  <c r="D61" i="3"/>
  <c r="D62" i="3"/>
  <c r="BB11" i="3"/>
  <c r="BB12" i="3"/>
  <c r="BB31" i="3"/>
  <c r="D63" i="3"/>
  <c r="D64" i="3"/>
  <c r="BB13" i="3"/>
  <c r="BB14" i="3"/>
  <c r="BB32" i="3"/>
  <c r="D65" i="3"/>
  <c r="D66" i="3"/>
  <c r="BB15" i="3"/>
  <c r="BB16" i="3"/>
  <c r="BB33" i="3"/>
  <c r="E79" i="3"/>
  <c r="E80" i="3"/>
  <c r="BC30" i="3"/>
  <c r="BC31" i="3"/>
  <c r="BC32" i="3"/>
  <c r="BC33" i="3"/>
  <c r="D67" i="3"/>
  <c r="D68" i="3"/>
  <c r="BB17" i="3"/>
  <c r="BB18" i="3"/>
  <c r="BB34" i="3"/>
  <c r="BC34" i="3"/>
  <c r="D69" i="3"/>
  <c r="D70" i="3"/>
  <c r="BB19" i="3"/>
  <c r="BB20" i="3"/>
  <c r="BB35" i="3"/>
  <c r="BC35" i="3"/>
  <c r="D71" i="3"/>
  <c r="D72" i="3"/>
  <c r="BB21" i="3"/>
  <c r="BB22" i="3"/>
  <c r="BB36" i="3"/>
  <c r="BC36" i="3"/>
  <c r="BB23" i="3"/>
  <c r="BB37" i="3"/>
  <c r="BC37" i="3"/>
  <c r="BB25" i="3"/>
  <c r="BB38" i="3"/>
  <c r="BC38" i="3"/>
  <c r="BB27" i="3"/>
  <c r="BB39" i="3"/>
  <c r="BC39" i="3"/>
  <c r="BB29" i="3"/>
  <c r="BB40" i="3"/>
  <c r="BC40" i="3"/>
  <c r="E61" i="3"/>
  <c r="E62" i="3"/>
  <c r="BC11" i="3"/>
  <c r="BC12" i="3"/>
  <c r="BB41" i="3"/>
  <c r="BC41" i="3"/>
  <c r="E63" i="3"/>
  <c r="E64" i="3"/>
  <c r="BC13" i="3"/>
  <c r="BC14" i="3"/>
  <c r="BB42" i="3"/>
  <c r="BC42" i="3"/>
  <c r="E65" i="3"/>
  <c r="E66" i="3"/>
  <c r="BC15" i="3"/>
  <c r="BC16" i="3"/>
  <c r="BB43" i="3"/>
  <c r="BC43" i="3"/>
  <c r="E67" i="3"/>
  <c r="E68" i="3"/>
  <c r="BC17" i="3"/>
  <c r="BC18" i="3"/>
  <c r="BB44" i="3"/>
  <c r="BC44" i="3"/>
  <c r="E69" i="3"/>
  <c r="E70" i="3"/>
  <c r="BC19" i="3"/>
  <c r="BC20" i="3"/>
  <c r="BB45" i="3"/>
  <c r="BC45" i="3"/>
  <c r="E71" i="3"/>
  <c r="E72" i="3"/>
  <c r="BC21" i="3"/>
  <c r="BC22" i="3"/>
  <c r="BB46" i="3"/>
  <c r="BC46" i="3"/>
  <c r="BC23" i="3"/>
  <c r="BB47" i="3"/>
  <c r="BC47" i="3"/>
  <c r="BC25" i="3"/>
  <c r="BB48" i="3"/>
  <c r="BC48" i="3"/>
  <c r="BC27" i="3"/>
  <c r="BB49" i="3"/>
  <c r="BC49" i="3"/>
  <c r="BC29" i="3"/>
  <c r="BB50" i="3"/>
  <c r="BC50" i="3"/>
  <c r="BD11" i="3"/>
  <c r="BB51" i="3"/>
  <c r="BC51" i="3"/>
  <c r="F63" i="3"/>
  <c r="F64" i="3"/>
  <c r="BD13" i="3"/>
  <c r="BD14" i="3"/>
  <c r="BB52" i="3"/>
  <c r="BC52" i="3"/>
  <c r="BD15" i="3"/>
  <c r="BB53" i="3"/>
  <c r="BC53" i="3"/>
  <c r="BD17" i="3"/>
  <c r="BB54" i="3"/>
  <c r="BC54" i="3"/>
  <c r="F69" i="3"/>
  <c r="F70" i="3"/>
  <c r="BD19" i="3"/>
  <c r="BD20" i="3"/>
  <c r="BB55" i="3"/>
  <c r="BC55" i="3"/>
  <c r="BD21" i="3"/>
  <c r="BB56" i="3"/>
  <c r="BC56" i="3"/>
  <c r="BD23" i="3"/>
  <c r="BB57" i="3"/>
  <c r="BC57" i="3"/>
  <c r="BD25" i="3"/>
  <c r="BB58" i="3"/>
  <c r="BC58" i="3"/>
  <c r="BD27" i="3"/>
  <c r="BB59" i="3"/>
  <c r="BC59" i="3"/>
  <c r="BD29" i="3"/>
  <c r="BB60" i="3"/>
  <c r="BC60" i="3"/>
  <c r="G61" i="3"/>
  <c r="G62" i="3"/>
  <c r="BE11" i="3"/>
  <c r="BE12" i="3"/>
  <c r="BB61" i="3"/>
  <c r="BC61" i="3"/>
  <c r="G63" i="3"/>
  <c r="G64" i="3"/>
  <c r="BE13" i="3"/>
  <c r="BE14" i="3"/>
  <c r="BB62" i="3"/>
  <c r="BC62" i="3"/>
  <c r="G65" i="3"/>
  <c r="G66" i="3"/>
  <c r="BE15" i="3"/>
  <c r="BE16" i="3"/>
  <c r="BB63" i="3"/>
  <c r="BC63" i="3"/>
  <c r="G67" i="3"/>
  <c r="G68" i="3"/>
  <c r="BE17" i="3"/>
  <c r="BE18" i="3"/>
  <c r="BB64" i="3"/>
  <c r="BC64" i="3"/>
  <c r="G69" i="3"/>
  <c r="G70" i="3"/>
  <c r="BE19" i="3"/>
  <c r="BE20" i="3"/>
  <c r="BB65" i="3"/>
  <c r="BC65" i="3"/>
  <c r="G71" i="3"/>
  <c r="G72" i="3"/>
  <c r="BE21" i="3"/>
  <c r="BE22" i="3"/>
  <c r="BB66" i="3"/>
  <c r="BC66" i="3"/>
  <c r="BE23" i="3"/>
  <c r="BB67" i="3"/>
  <c r="BC67" i="3"/>
  <c r="BE25" i="3"/>
  <c r="BB68" i="3"/>
  <c r="BC68" i="3"/>
  <c r="BE27" i="3"/>
  <c r="BB69" i="3"/>
  <c r="BC69" i="3"/>
  <c r="BE29" i="3"/>
  <c r="BB70" i="3"/>
  <c r="BC70" i="3"/>
  <c r="H61" i="3"/>
  <c r="H62" i="3"/>
  <c r="BF11" i="3"/>
  <c r="BF12" i="3"/>
  <c r="BB71" i="3"/>
  <c r="BC71" i="3"/>
  <c r="H63" i="3"/>
  <c r="H64" i="3"/>
  <c r="BF13" i="3"/>
  <c r="BF14" i="3"/>
  <c r="BB72" i="3"/>
  <c r="BC72" i="3"/>
  <c r="H65" i="3"/>
  <c r="H66" i="3"/>
  <c r="BF15" i="3"/>
  <c r="BF16" i="3"/>
  <c r="BB73" i="3"/>
  <c r="BC73" i="3"/>
  <c r="H67" i="3"/>
  <c r="H68" i="3"/>
  <c r="BF17" i="3"/>
  <c r="BF18" i="3"/>
  <c r="BB74" i="3"/>
  <c r="BC74" i="3"/>
  <c r="H69" i="3"/>
  <c r="H70" i="3"/>
  <c r="BF19" i="3"/>
  <c r="BF20" i="3"/>
  <c r="BB75" i="3"/>
  <c r="BC75" i="3"/>
  <c r="H71" i="3"/>
  <c r="H72" i="3"/>
  <c r="BF21" i="3"/>
  <c r="BF22" i="3"/>
  <c r="BB76" i="3"/>
  <c r="BC76" i="3"/>
  <c r="BF23" i="3"/>
  <c r="BB77" i="3"/>
  <c r="BC77" i="3"/>
  <c r="BF25" i="3"/>
  <c r="BB78" i="3"/>
  <c r="BC78" i="3"/>
  <c r="BF27" i="3"/>
  <c r="BB79" i="3"/>
  <c r="BC79" i="3"/>
  <c r="BF29" i="3"/>
  <c r="BB80" i="3"/>
  <c r="BC80" i="3"/>
  <c r="BG11" i="3"/>
  <c r="BB81" i="3"/>
  <c r="BC81" i="3"/>
  <c r="BG13" i="3"/>
  <c r="BB82" i="3"/>
  <c r="BC82" i="3"/>
  <c r="I65" i="3"/>
  <c r="I66" i="3"/>
  <c r="BG15" i="3"/>
  <c r="BG16" i="3"/>
  <c r="BB83" i="3"/>
  <c r="BC83" i="3"/>
  <c r="I67" i="3"/>
  <c r="I68" i="3"/>
  <c r="BG17" i="3"/>
  <c r="BG18" i="3"/>
  <c r="BB84" i="3"/>
  <c r="BC84" i="3"/>
  <c r="BG19" i="3"/>
  <c r="BB85" i="3"/>
  <c r="BC85" i="3"/>
  <c r="BG21" i="3"/>
  <c r="BB86" i="3"/>
  <c r="BC86" i="3"/>
  <c r="BG23" i="3"/>
  <c r="BB87" i="3"/>
  <c r="BC87" i="3"/>
  <c r="BG25" i="3"/>
  <c r="BB88" i="3"/>
  <c r="BC88" i="3"/>
  <c r="BG27" i="3"/>
  <c r="BB89" i="3"/>
  <c r="BC89" i="3"/>
  <c r="BG29" i="3"/>
  <c r="BB90" i="3"/>
  <c r="BC90" i="3"/>
  <c r="J61" i="3"/>
  <c r="J62" i="3"/>
  <c r="BH11" i="3"/>
  <c r="BH12" i="3"/>
  <c r="BB91" i="3"/>
  <c r="BC91" i="3"/>
  <c r="J63" i="3"/>
  <c r="J64" i="3"/>
  <c r="BH13" i="3"/>
  <c r="BH14" i="3"/>
  <c r="BB92" i="3"/>
  <c r="BC92" i="3"/>
  <c r="J65" i="3"/>
  <c r="J66" i="3"/>
  <c r="BH15" i="3"/>
  <c r="BH16" i="3"/>
  <c r="BB93" i="3"/>
  <c r="BC93" i="3"/>
  <c r="J67" i="3"/>
  <c r="J68" i="3"/>
  <c r="BH17" i="3"/>
  <c r="BH18" i="3"/>
  <c r="BB94" i="3"/>
  <c r="BC94" i="3"/>
  <c r="J69" i="3"/>
  <c r="J70" i="3"/>
  <c r="BH19" i="3"/>
  <c r="BH20" i="3"/>
  <c r="BB95" i="3"/>
  <c r="BC95" i="3"/>
  <c r="J71" i="3"/>
  <c r="J72" i="3"/>
  <c r="BH21" i="3"/>
  <c r="BH22" i="3"/>
  <c r="BB96" i="3"/>
  <c r="BC96" i="3"/>
  <c r="BH23" i="3"/>
  <c r="BB97" i="3"/>
  <c r="BC97" i="3"/>
  <c r="BH25" i="3"/>
  <c r="BB98" i="3"/>
  <c r="BC98" i="3"/>
  <c r="BH27" i="3"/>
  <c r="BB99" i="3"/>
  <c r="BC99" i="3"/>
  <c r="BH29" i="3"/>
  <c r="BB100" i="3"/>
  <c r="BC100" i="3"/>
  <c r="K61" i="3"/>
  <c r="K62" i="3"/>
  <c r="BI11" i="3"/>
  <c r="BI12" i="3"/>
  <c r="BB101" i="3"/>
  <c r="BC101" i="3"/>
  <c r="K63" i="3"/>
  <c r="K64" i="3"/>
  <c r="BI13" i="3"/>
  <c r="BI14" i="3"/>
  <c r="BB102" i="3"/>
  <c r="BC102" i="3"/>
  <c r="K65" i="3"/>
  <c r="K66" i="3"/>
  <c r="BI15" i="3"/>
  <c r="BI16" i="3"/>
  <c r="BB103" i="3"/>
  <c r="BC103" i="3"/>
  <c r="K67" i="3"/>
  <c r="K68" i="3"/>
  <c r="BI17" i="3"/>
  <c r="BI18" i="3"/>
  <c r="BB104" i="3"/>
  <c r="BC104" i="3"/>
  <c r="K69" i="3"/>
  <c r="K70" i="3"/>
  <c r="BI19" i="3"/>
  <c r="BI20" i="3"/>
  <c r="BB105" i="3"/>
  <c r="BC105" i="3"/>
  <c r="K71" i="3"/>
  <c r="K72" i="3"/>
  <c r="BI21" i="3"/>
  <c r="BI22" i="3"/>
  <c r="BB106" i="3"/>
  <c r="BC106" i="3"/>
  <c r="BI23" i="3"/>
  <c r="BB107" i="3"/>
  <c r="BC107" i="3"/>
  <c r="BI25" i="3"/>
  <c r="BB108" i="3"/>
  <c r="BC108" i="3"/>
  <c r="BI27" i="3"/>
  <c r="BB109" i="3"/>
  <c r="BC109" i="3"/>
  <c r="BI29" i="3"/>
  <c r="BB110" i="3"/>
  <c r="BC110" i="3"/>
  <c r="L61" i="3"/>
  <c r="L62" i="3"/>
  <c r="BJ11" i="3"/>
  <c r="BJ12" i="3"/>
  <c r="BB111" i="3"/>
  <c r="BC111" i="3"/>
  <c r="BJ13" i="3"/>
  <c r="BB112" i="3"/>
  <c r="BC112" i="3"/>
  <c r="L65" i="3"/>
  <c r="L66" i="3"/>
  <c r="BJ15" i="3"/>
  <c r="BJ16" i="3"/>
  <c r="BB113" i="3"/>
  <c r="BC113" i="3"/>
  <c r="L67" i="3"/>
  <c r="L68" i="3"/>
  <c r="BJ17" i="3"/>
  <c r="BJ18" i="3"/>
  <c r="BB114" i="3"/>
  <c r="BC114" i="3"/>
  <c r="BJ19" i="3"/>
  <c r="BB115" i="3"/>
  <c r="BC115" i="3"/>
  <c r="L71" i="3"/>
  <c r="L72" i="3"/>
  <c r="BJ21" i="3"/>
  <c r="BJ22" i="3"/>
  <c r="BB116" i="3"/>
  <c r="BC116" i="3"/>
  <c r="BJ23" i="3"/>
  <c r="BB117" i="3"/>
  <c r="BC117" i="3"/>
  <c r="BJ25" i="3"/>
  <c r="BB118" i="3"/>
  <c r="BC118" i="3"/>
  <c r="BJ27" i="3"/>
  <c r="BB119" i="3"/>
  <c r="BC119" i="3"/>
  <c r="BJ29" i="3"/>
  <c r="BB120" i="3"/>
  <c r="BC120" i="3"/>
  <c r="M61" i="3"/>
  <c r="M62" i="3"/>
  <c r="BK11" i="3"/>
  <c r="BK12" i="3"/>
  <c r="BB121" i="3"/>
  <c r="BC121" i="3"/>
  <c r="M63" i="3"/>
  <c r="M64" i="3"/>
  <c r="BK13" i="3"/>
  <c r="BK14" i="3"/>
  <c r="BB122" i="3"/>
  <c r="BC122" i="3"/>
  <c r="M65" i="3"/>
  <c r="M66" i="3"/>
  <c r="BK15" i="3"/>
  <c r="BK16" i="3"/>
  <c r="BB123" i="3"/>
  <c r="BC123" i="3"/>
  <c r="M67" i="3"/>
  <c r="M68" i="3"/>
  <c r="BK17" i="3"/>
  <c r="BK18" i="3"/>
  <c r="BB124" i="3"/>
  <c r="BC124" i="3"/>
  <c r="M69" i="3"/>
  <c r="M70" i="3"/>
  <c r="BK19" i="3"/>
  <c r="BK20" i="3"/>
  <c r="BB125" i="3"/>
  <c r="BC125" i="3"/>
  <c r="M71" i="3"/>
  <c r="M72" i="3"/>
  <c r="BK21" i="3"/>
  <c r="BK22" i="3"/>
  <c r="BB126" i="3"/>
  <c r="BC126" i="3"/>
  <c r="BK23" i="3"/>
  <c r="BB127" i="3"/>
  <c r="BC127" i="3"/>
  <c r="BK25" i="3"/>
  <c r="BB128" i="3"/>
  <c r="BC128" i="3"/>
  <c r="BK27" i="3"/>
  <c r="BB129" i="3"/>
  <c r="BC129" i="3"/>
  <c r="BK29" i="3"/>
  <c r="BB130" i="3"/>
  <c r="BC130" i="3"/>
  <c r="N61" i="3"/>
  <c r="N62" i="3"/>
  <c r="BL11" i="3"/>
  <c r="BL12" i="3"/>
  <c r="BB131" i="3"/>
  <c r="BC131" i="3"/>
  <c r="N63" i="3"/>
  <c r="N64" i="3"/>
  <c r="BL13" i="3"/>
  <c r="BL14" i="3"/>
  <c r="BB132" i="3"/>
  <c r="BC132" i="3"/>
  <c r="N65" i="3"/>
  <c r="N66" i="3"/>
  <c r="BL15" i="3"/>
  <c r="BL16" i="3"/>
  <c r="BB133" i="3"/>
  <c r="BC133" i="3"/>
  <c r="N67" i="3"/>
  <c r="N68" i="3"/>
  <c r="BL17" i="3"/>
  <c r="BL18" i="3"/>
  <c r="BB134" i="3"/>
  <c r="BC134" i="3"/>
  <c r="N69" i="3"/>
  <c r="N70" i="3"/>
  <c r="BL19" i="3"/>
  <c r="BL20" i="3"/>
  <c r="BB135" i="3"/>
  <c r="BC135" i="3"/>
  <c r="N71" i="3"/>
  <c r="N72" i="3"/>
  <c r="BL21" i="3"/>
  <c r="BL22" i="3"/>
  <c r="BB136" i="3"/>
  <c r="BC136" i="3"/>
  <c r="BL23" i="3"/>
  <c r="BB137" i="3"/>
  <c r="BC137" i="3"/>
  <c r="BL25" i="3"/>
  <c r="BB138" i="3"/>
  <c r="BC138" i="3"/>
  <c r="BL27" i="3"/>
  <c r="BB139" i="3"/>
  <c r="BC139" i="3"/>
  <c r="BL29" i="3"/>
  <c r="BB140" i="3"/>
  <c r="BC140" i="3"/>
  <c r="BM11" i="3"/>
  <c r="BB141" i="3"/>
  <c r="BC141" i="3"/>
  <c r="BM13" i="3"/>
  <c r="BB142" i="3"/>
  <c r="BC142" i="3"/>
  <c r="BM15" i="3"/>
  <c r="BB143" i="3"/>
  <c r="BC143" i="3"/>
  <c r="BM17" i="3"/>
  <c r="BB144" i="3"/>
  <c r="BC144" i="3"/>
  <c r="BM19" i="3"/>
  <c r="BB145" i="3"/>
  <c r="BC145" i="3"/>
  <c r="BM21" i="3"/>
  <c r="BB146" i="3"/>
  <c r="BC146" i="3"/>
  <c r="BM23" i="3"/>
  <c r="BB147" i="3"/>
  <c r="BC147" i="3"/>
  <c r="BM25" i="3"/>
  <c r="BB148" i="3"/>
  <c r="BC148" i="3"/>
  <c r="BM27" i="3"/>
  <c r="BB149" i="3"/>
  <c r="BC149" i="3"/>
  <c r="BM29" i="3"/>
  <c r="BB150" i="3"/>
  <c r="BC150" i="3"/>
  <c r="BN11" i="3"/>
  <c r="BB151" i="3"/>
  <c r="BC151" i="3"/>
  <c r="BN13" i="3"/>
  <c r="BB152" i="3"/>
  <c r="BC152" i="3"/>
  <c r="BN15" i="3"/>
  <c r="BB153" i="3"/>
  <c r="BC153" i="3"/>
  <c r="BN17" i="3"/>
  <c r="BB154" i="3"/>
  <c r="BC154" i="3"/>
  <c r="BN19" i="3"/>
  <c r="BB155" i="3"/>
  <c r="BC155" i="3"/>
  <c r="BN21" i="3"/>
  <c r="BB156" i="3"/>
  <c r="BC156" i="3"/>
  <c r="BN23" i="3"/>
  <c r="BB157" i="3"/>
  <c r="BC157" i="3"/>
  <c r="BN25" i="3"/>
  <c r="BB158" i="3"/>
  <c r="BC158" i="3"/>
  <c r="BN27" i="3"/>
  <c r="BB159" i="3"/>
  <c r="BC159" i="3"/>
  <c r="BN29" i="3"/>
  <c r="BB160" i="3"/>
  <c r="BC160" i="3"/>
  <c r="BO11" i="3"/>
  <c r="BB161" i="3"/>
  <c r="BC161" i="3"/>
  <c r="BO13" i="3"/>
  <c r="BB162" i="3"/>
  <c r="BC162" i="3"/>
  <c r="BO15" i="3"/>
  <c r="BB163" i="3"/>
  <c r="BC163" i="3"/>
  <c r="BO17" i="3"/>
  <c r="BB164" i="3"/>
  <c r="BC164" i="3"/>
  <c r="BO19" i="3"/>
  <c r="BB165" i="3"/>
  <c r="BC165" i="3"/>
  <c r="BO21" i="3"/>
  <c r="BB166" i="3"/>
  <c r="BC166" i="3"/>
  <c r="BO23" i="3"/>
  <c r="BB167" i="3"/>
  <c r="BC167" i="3"/>
  <c r="BO25" i="3"/>
  <c r="BB168" i="3"/>
  <c r="BC168" i="3"/>
  <c r="BO27" i="3"/>
  <c r="BB169" i="3"/>
  <c r="BC169" i="3"/>
  <c r="BO29" i="3"/>
  <c r="BB170" i="3"/>
  <c r="BC170" i="3"/>
  <c r="BP11" i="3"/>
  <c r="BB171" i="3"/>
  <c r="BC171" i="3"/>
  <c r="BP13" i="3"/>
  <c r="BB172" i="3"/>
  <c r="BC172" i="3"/>
  <c r="BP15" i="3"/>
  <c r="BB173" i="3"/>
  <c r="BC173" i="3"/>
  <c r="BP17" i="3"/>
  <c r="BB174" i="3"/>
  <c r="BC174" i="3"/>
  <c r="BP19" i="3"/>
  <c r="BB175" i="3"/>
  <c r="BC175" i="3"/>
  <c r="BP21" i="3"/>
  <c r="BB176" i="3"/>
  <c r="BC176" i="3"/>
  <c r="BP23" i="3"/>
  <c r="BB177" i="3"/>
  <c r="BC177" i="3"/>
  <c r="BP25" i="3"/>
  <c r="BB178" i="3"/>
  <c r="BC178" i="3"/>
  <c r="BP27" i="3"/>
  <c r="BB179" i="3"/>
  <c r="BC179" i="3"/>
  <c r="BP29" i="3"/>
  <c r="BB180" i="3"/>
  <c r="BC180" i="3"/>
  <c r="BQ11" i="3"/>
  <c r="BB181" i="3"/>
  <c r="BC181" i="3"/>
  <c r="BQ13" i="3"/>
  <c r="BB182" i="3"/>
  <c r="BC182" i="3"/>
  <c r="BQ15" i="3"/>
  <c r="BB183" i="3"/>
  <c r="BC183" i="3"/>
  <c r="BQ17" i="3"/>
  <c r="BB184" i="3"/>
  <c r="BC184" i="3"/>
  <c r="BQ19" i="3"/>
  <c r="BB185" i="3"/>
  <c r="BC185" i="3"/>
  <c r="BQ21" i="3"/>
  <c r="BB186" i="3"/>
  <c r="BC186" i="3"/>
  <c r="BQ23" i="3"/>
  <c r="BB187" i="3"/>
  <c r="BC187" i="3"/>
  <c r="BQ25" i="3"/>
  <c r="BB188" i="3"/>
  <c r="BC188" i="3"/>
  <c r="BQ27" i="3"/>
  <c r="BB189" i="3"/>
  <c r="BC189" i="3"/>
  <c r="BQ29" i="3"/>
  <c r="BB190" i="3"/>
  <c r="BC190" i="3"/>
  <c r="BR11" i="3"/>
  <c r="BB191" i="3"/>
  <c r="BC191" i="3"/>
  <c r="BR13" i="3"/>
  <c r="BB192" i="3"/>
  <c r="BC192" i="3"/>
  <c r="BR15" i="3"/>
  <c r="BB193" i="3"/>
  <c r="BC193" i="3"/>
  <c r="BR17" i="3"/>
  <c r="BB194" i="3"/>
  <c r="BC194" i="3"/>
  <c r="BR19" i="3"/>
  <c r="BB195" i="3"/>
  <c r="BC195" i="3"/>
  <c r="BR21" i="3"/>
  <c r="BB196" i="3"/>
  <c r="BC196" i="3"/>
  <c r="BR23" i="3"/>
  <c r="BB197" i="3"/>
  <c r="BC197" i="3"/>
  <c r="BR25" i="3"/>
  <c r="BB198" i="3"/>
  <c r="BC198" i="3"/>
  <c r="BR27" i="3"/>
  <c r="BB199" i="3"/>
  <c r="BC199" i="3"/>
  <c r="BR29" i="3"/>
  <c r="BB200" i="3"/>
  <c r="BC200" i="3"/>
  <c r="BS11" i="3"/>
  <c r="BB201" i="3"/>
  <c r="BC201" i="3"/>
  <c r="BS13" i="3"/>
  <c r="BB202" i="3"/>
  <c r="BC202" i="3"/>
  <c r="BS15" i="3"/>
  <c r="BB203" i="3"/>
  <c r="BC203" i="3"/>
  <c r="BS17" i="3"/>
  <c r="BB204" i="3"/>
  <c r="BC204" i="3"/>
  <c r="BS19" i="3"/>
  <c r="BB205" i="3"/>
  <c r="BC205" i="3"/>
  <c r="BS21" i="3"/>
  <c r="BB206" i="3"/>
  <c r="BC206" i="3"/>
  <c r="BS23" i="3"/>
  <c r="BB207" i="3"/>
  <c r="BC207" i="3"/>
  <c r="BS25" i="3"/>
  <c r="BB208" i="3"/>
  <c r="BC208" i="3"/>
  <c r="BS27" i="3"/>
  <c r="BB209" i="3"/>
  <c r="BC209" i="3"/>
  <c r="BS29" i="3"/>
  <c r="BB210" i="3"/>
  <c r="BC210" i="3"/>
  <c r="BT11" i="3"/>
  <c r="BB211" i="3"/>
  <c r="BC211" i="3"/>
  <c r="BT13" i="3"/>
  <c r="BB212" i="3"/>
  <c r="BC212" i="3"/>
  <c r="BT15" i="3"/>
  <c r="BB213" i="3"/>
  <c r="BC213" i="3"/>
  <c r="BT17" i="3"/>
  <c r="BB214" i="3"/>
  <c r="BC214" i="3"/>
  <c r="BT19" i="3"/>
  <c r="BB215" i="3"/>
  <c r="BC215" i="3"/>
  <c r="BT21" i="3"/>
  <c r="BB216" i="3"/>
  <c r="BC216" i="3"/>
  <c r="BT23" i="3"/>
  <c r="BB217" i="3"/>
  <c r="BC217" i="3"/>
  <c r="BT25" i="3"/>
  <c r="BB218" i="3"/>
  <c r="BC218" i="3"/>
  <c r="BT27" i="3"/>
  <c r="BB219" i="3"/>
  <c r="BC219" i="3"/>
  <c r="BT29" i="3"/>
  <c r="BB220" i="3"/>
  <c r="BC220" i="3"/>
  <c r="BU11" i="3"/>
  <c r="BB221" i="3"/>
  <c r="BC221" i="3"/>
  <c r="BU13" i="3"/>
  <c r="BB222" i="3"/>
  <c r="BC222" i="3"/>
  <c r="BU15" i="3"/>
  <c r="BB223" i="3"/>
  <c r="BC223" i="3"/>
  <c r="BU17" i="3"/>
  <c r="BB224" i="3"/>
  <c r="BC224" i="3"/>
  <c r="BU19" i="3"/>
  <c r="BB225" i="3"/>
  <c r="BC225" i="3"/>
  <c r="BU21" i="3"/>
  <c r="BB226" i="3"/>
  <c r="BC226" i="3"/>
  <c r="BU23" i="3"/>
  <c r="BB227" i="3"/>
  <c r="BC227" i="3"/>
  <c r="BU25" i="3"/>
  <c r="BB228" i="3"/>
  <c r="BC228" i="3"/>
  <c r="BU27" i="3"/>
  <c r="BB229" i="3"/>
  <c r="BC229" i="3"/>
  <c r="BU29" i="3"/>
  <c r="BB230" i="3"/>
  <c r="BC230" i="3"/>
  <c r="BV11" i="3"/>
  <c r="BB231" i="3"/>
  <c r="BC231" i="3"/>
  <c r="BV13" i="3"/>
  <c r="BB232" i="3"/>
  <c r="BC232" i="3"/>
  <c r="BV15" i="3"/>
  <c r="BB233" i="3"/>
  <c r="BC233" i="3"/>
  <c r="BV17" i="3"/>
  <c r="BB234" i="3"/>
  <c r="BC234" i="3"/>
  <c r="BV19" i="3"/>
  <c r="BB235" i="3"/>
  <c r="BC235" i="3"/>
  <c r="BV21" i="3"/>
  <c r="BB236" i="3"/>
  <c r="BC236" i="3"/>
  <c r="BV23" i="3"/>
  <c r="BB237" i="3"/>
  <c r="BC237" i="3"/>
  <c r="BV25" i="3"/>
  <c r="BB238" i="3"/>
  <c r="BC238" i="3"/>
  <c r="BV27" i="3"/>
  <c r="BB239" i="3"/>
  <c r="BC239" i="3"/>
  <c r="BV29" i="3"/>
  <c r="BB240" i="3"/>
  <c r="BC240" i="3"/>
  <c r="BW11" i="3"/>
  <c r="BB241" i="3"/>
  <c r="BC241" i="3"/>
  <c r="BW13" i="3"/>
  <c r="BB242" i="3"/>
  <c r="BC242" i="3"/>
  <c r="BW15" i="3"/>
  <c r="BB243" i="3"/>
  <c r="BC243" i="3"/>
  <c r="BW17" i="3"/>
  <c r="BB244" i="3"/>
  <c r="BC244" i="3"/>
  <c r="BW19" i="3"/>
  <c r="BB245" i="3"/>
  <c r="BC245" i="3"/>
  <c r="BW21" i="3"/>
  <c r="BB246" i="3"/>
  <c r="BC246" i="3"/>
  <c r="BW23" i="3"/>
  <c r="BB247" i="3"/>
  <c r="BC247" i="3"/>
  <c r="BW25" i="3"/>
  <c r="BB248" i="3"/>
  <c r="BC248" i="3"/>
  <c r="BW27" i="3"/>
  <c r="BB249" i="3"/>
  <c r="BC249" i="3"/>
  <c r="BW29" i="3"/>
  <c r="BB250" i="3"/>
  <c r="BC250" i="3"/>
  <c r="BX11" i="3"/>
  <c r="BB251" i="3"/>
  <c r="BC251" i="3"/>
  <c r="BX13" i="3"/>
  <c r="BB252" i="3"/>
  <c r="BC252" i="3"/>
  <c r="BX15" i="3"/>
  <c r="BB253" i="3"/>
  <c r="BC253" i="3"/>
  <c r="BX17" i="3"/>
  <c r="BB254" i="3"/>
  <c r="BC254" i="3"/>
  <c r="BX19" i="3"/>
  <c r="BB255" i="3"/>
  <c r="BC255" i="3"/>
  <c r="BX21" i="3"/>
  <c r="BB256" i="3"/>
  <c r="BC256" i="3"/>
  <c r="BX23" i="3"/>
  <c r="BB257" i="3"/>
  <c r="BC257" i="3"/>
  <c r="BX25" i="3"/>
  <c r="BB258" i="3"/>
  <c r="BC258" i="3"/>
  <c r="BX27" i="3"/>
  <c r="BB259" i="3"/>
  <c r="BC259" i="3"/>
  <c r="BX29" i="3"/>
  <c r="BB260" i="3"/>
  <c r="BC260" i="3"/>
  <c r="BY11" i="3"/>
  <c r="BB261" i="3"/>
  <c r="BC261" i="3"/>
  <c r="BY13" i="3"/>
  <c r="BB262" i="3"/>
  <c r="BC262" i="3"/>
  <c r="BY15" i="3"/>
  <c r="BB263" i="3"/>
  <c r="BC263" i="3"/>
  <c r="BY17" i="3"/>
  <c r="BB264" i="3"/>
  <c r="BC264" i="3"/>
  <c r="BY19" i="3"/>
  <c r="BB265" i="3"/>
  <c r="BC265" i="3"/>
  <c r="BY21" i="3"/>
  <c r="BB266" i="3"/>
  <c r="BC266" i="3"/>
  <c r="BY23" i="3"/>
  <c r="BB267" i="3"/>
  <c r="BC267" i="3"/>
  <c r="BY25" i="3"/>
  <c r="BB268" i="3"/>
  <c r="BC268" i="3"/>
  <c r="BY27" i="3"/>
  <c r="BB269" i="3"/>
  <c r="BC269" i="3"/>
  <c r="BY29" i="3"/>
  <c r="BB270" i="3"/>
  <c r="BC270" i="3"/>
  <c r="BZ11" i="3"/>
  <c r="BB271" i="3"/>
  <c r="BC271" i="3"/>
  <c r="BZ13" i="3"/>
  <c r="BB272" i="3"/>
  <c r="BC272" i="3"/>
  <c r="BZ15" i="3"/>
  <c r="BB273" i="3"/>
  <c r="BC273" i="3"/>
  <c r="BZ17" i="3"/>
  <c r="BB274" i="3"/>
  <c r="BC274" i="3"/>
  <c r="BZ19" i="3"/>
  <c r="BB275" i="3"/>
  <c r="BC275" i="3"/>
  <c r="BZ21" i="3"/>
  <c r="BB276" i="3"/>
  <c r="BC276" i="3"/>
  <c r="BZ23" i="3"/>
  <c r="BB277" i="3"/>
  <c r="BC277" i="3"/>
  <c r="BZ25" i="3"/>
  <c r="BB278" i="3"/>
  <c r="BC278" i="3"/>
  <c r="BZ27" i="3"/>
  <c r="BB279" i="3"/>
  <c r="BC279" i="3"/>
  <c r="BZ29" i="3"/>
  <c r="BB280" i="3"/>
  <c r="BC280" i="3"/>
  <c r="CA11" i="3"/>
  <c r="BB281" i="3"/>
  <c r="BC281" i="3"/>
  <c r="CA13" i="3"/>
  <c r="BB282" i="3"/>
  <c r="BC282" i="3"/>
  <c r="CA15" i="3"/>
  <c r="BB283" i="3"/>
  <c r="BC283" i="3"/>
  <c r="CA17" i="3"/>
  <c r="BB284" i="3"/>
  <c r="BC284" i="3"/>
  <c r="CA19" i="3"/>
  <c r="BB285" i="3"/>
  <c r="BC285" i="3"/>
  <c r="CA21" i="3"/>
  <c r="BB286" i="3"/>
  <c r="BC286" i="3"/>
  <c r="CA23" i="3"/>
  <c r="BB287" i="3"/>
  <c r="BC287" i="3"/>
  <c r="CA25" i="3"/>
  <c r="BB288" i="3"/>
  <c r="BC288" i="3"/>
  <c r="CA27" i="3"/>
  <c r="BB289" i="3"/>
  <c r="BC289" i="3"/>
  <c r="CA29" i="3"/>
  <c r="BB290" i="3"/>
  <c r="BC290" i="3"/>
  <c r="CB11" i="3"/>
  <c r="BB291" i="3"/>
  <c r="BC291" i="3"/>
  <c r="CB13" i="3"/>
  <c r="BB292" i="3"/>
  <c r="BC292" i="3"/>
  <c r="CB15" i="3"/>
  <c r="BB293" i="3"/>
  <c r="BC293" i="3"/>
  <c r="CB17" i="3"/>
  <c r="BB294" i="3"/>
  <c r="BC294" i="3"/>
  <c r="CB19" i="3"/>
  <c r="BB295" i="3"/>
  <c r="BC295" i="3"/>
  <c r="CB21" i="3"/>
  <c r="BB296" i="3"/>
  <c r="BC296" i="3"/>
  <c r="CB23" i="3"/>
  <c r="BB297" i="3"/>
  <c r="BC297" i="3"/>
  <c r="CB25" i="3"/>
  <c r="BB298" i="3"/>
  <c r="BC298" i="3"/>
  <c r="CB27" i="3"/>
  <c r="BB299" i="3"/>
  <c r="BC299" i="3"/>
  <c r="CB29" i="3"/>
  <c r="BB300" i="3"/>
  <c r="BC300" i="3"/>
  <c r="CC11" i="3"/>
  <c r="BB301" i="3"/>
  <c r="BC301" i="3"/>
  <c r="CC13" i="3"/>
  <c r="BB302" i="3"/>
  <c r="BC302" i="3"/>
  <c r="CC15" i="3"/>
  <c r="BB303" i="3"/>
  <c r="BC303" i="3"/>
  <c r="CC17" i="3"/>
  <c r="BB304" i="3"/>
  <c r="BC304" i="3"/>
  <c r="CC19" i="3"/>
  <c r="BB305" i="3"/>
  <c r="BC305" i="3"/>
  <c r="CC21" i="3"/>
  <c r="BB306" i="3"/>
  <c r="BC306" i="3"/>
  <c r="CC23" i="3"/>
  <c r="BB307" i="3"/>
  <c r="BC307" i="3"/>
  <c r="CC25" i="3"/>
  <c r="BB308" i="3"/>
  <c r="BC308" i="3"/>
  <c r="CC27" i="3"/>
  <c r="BB309" i="3"/>
  <c r="BC309" i="3"/>
  <c r="CC29" i="3"/>
  <c r="BB310" i="3"/>
  <c r="BC310" i="3"/>
  <c r="CD11" i="3"/>
  <c r="BB311" i="3"/>
  <c r="BC311" i="3"/>
  <c r="CD13" i="3"/>
  <c r="BB312" i="3"/>
  <c r="BC312" i="3"/>
  <c r="CD15" i="3"/>
  <c r="BB313" i="3"/>
  <c r="BC313" i="3"/>
  <c r="CD17" i="3"/>
  <c r="BB314" i="3"/>
  <c r="BC314" i="3"/>
  <c r="CD19" i="3"/>
  <c r="BB315" i="3"/>
  <c r="BC315" i="3"/>
  <c r="CD21" i="3"/>
  <c r="BB316" i="3"/>
  <c r="BC316" i="3"/>
  <c r="CD23" i="3"/>
  <c r="BB317" i="3"/>
  <c r="BC317" i="3"/>
  <c r="CD25" i="3"/>
  <c r="BB318" i="3"/>
  <c r="BC318" i="3"/>
  <c r="CD27" i="3"/>
  <c r="BB319" i="3"/>
  <c r="BC319" i="3"/>
  <c r="CD29" i="3"/>
  <c r="BB320" i="3"/>
  <c r="BC320" i="3"/>
  <c r="CE11" i="3"/>
  <c r="BB321" i="3"/>
  <c r="BC321" i="3"/>
  <c r="CE13" i="3"/>
  <c r="BB322" i="3"/>
  <c r="BC322" i="3"/>
  <c r="CE15" i="3"/>
  <c r="BB323" i="3"/>
  <c r="BC323" i="3"/>
  <c r="CE17" i="3"/>
  <c r="BB324" i="3"/>
  <c r="BC324" i="3"/>
  <c r="CE19" i="3"/>
  <c r="BB325" i="3"/>
  <c r="BC325" i="3"/>
  <c r="CE21" i="3"/>
  <c r="BB326" i="3"/>
  <c r="BC326" i="3"/>
  <c r="CE23" i="3"/>
  <c r="BB327" i="3"/>
  <c r="BC327" i="3"/>
  <c r="CE25" i="3"/>
  <c r="BB328" i="3"/>
  <c r="BC328" i="3"/>
  <c r="CE27" i="3"/>
  <c r="BB329" i="3"/>
  <c r="BC329" i="3"/>
  <c r="CE29" i="3"/>
  <c r="BB330" i="3"/>
  <c r="BC330" i="3"/>
  <c r="CF11" i="3"/>
  <c r="BB331" i="3"/>
  <c r="BC331" i="3"/>
  <c r="CF13" i="3"/>
  <c r="BB332" i="3"/>
  <c r="BC332" i="3"/>
  <c r="CF15" i="3"/>
  <c r="BB333" i="3"/>
  <c r="BC333" i="3"/>
  <c r="CF17" i="3"/>
  <c r="BB334" i="3"/>
  <c r="BC334" i="3"/>
  <c r="CF19" i="3"/>
  <c r="BB335" i="3"/>
  <c r="BC335" i="3"/>
  <c r="CF21" i="3"/>
  <c r="BB336" i="3"/>
  <c r="BC336" i="3"/>
  <c r="CF23" i="3"/>
  <c r="BB337" i="3"/>
  <c r="BC337" i="3"/>
  <c r="CF25" i="3"/>
  <c r="BB338" i="3"/>
  <c r="BC338" i="3"/>
  <c r="CF27" i="3"/>
  <c r="BB339" i="3"/>
  <c r="BC339" i="3"/>
  <c r="CF29" i="3"/>
  <c r="BB340" i="3"/>
  <c r="BC340" i="3"/>
  <c r="CG11" i="3"/>
  <c r="BB341" i="3"/>
  <c r="BC341" i="3"/>
  <c r="CG13" i="3"/>
  <c r="BB342" i="3"/>
  <c r="BC342" i="3"/>
  <c r="CG15" i="3"/>
  <c r="BB343" i="3"/>
  <c r="BC343" i="3"/>
  <c r="CG17" i="3"/>
  <c r="BB344" i="3"/>
  <c r="BC344" i="3"/>
  <c r="CG19" i="3"/>
  <c r="BB345" i="3"/>
  <c r="BC345" i="3"/>
  <c r="CG21" i="3"/>
  <c r="BB346" i="3"/>
  <c r="BC346" i="3"/>
  <c r="CG23" i="3"/>
  <c r="BB347" i="3"/>
  <c r="BC347" i="3"/>
  <c r="CG25" i="3"/>
  <c r="BB348" i="3"/>
  <c r="BC348" i="3"/>
  <c r="CG27" i="3"/>
  <c r="BB349" i="3"/>
  <c r="BC349" i="3"/>
  <c r="CG29" i="3"/>
  <c r="BB350" i="3"/>
  <c r="BC350" i="3"/>
  <c r="CH11" i="3"/>
  <c r="BB351" i="3"/>
  <c r="BC351" i="3"/>
  <c r="CH13" i="3"/>
  <c r="BB352" i="3"/>
  <c r="BC352" i="3"/>
  <c r="CH15" i="3"/>
  <c r="BB353" i="3"/>
  <c r="BC353" i="3"/>
  <c r="CH17" i="3"/>
  <c r="BB354" i="3"/>
  <c r="BC354" i="3"/>
  <c r="CH19" i="3"/>
  <c r="BB355" i="3"/>
  <c r="BC355" i="3"/>
  <c r="CH21" i="3"/>
  <c r="BB356" i="3"/>
  <c r="BC356" i="3"/>
  <c r="CH23" i="3"/>
  <c r="BB357" i="3"/>
  <c r="BC357" i="3"/>
  <c r="CH25" i="3"/>
  <c r="BB358" i="3"/>
  <c r="BC358" i="3"/>
  <c r="CH27" i="3"/>
  <c r="BB359" i="3"/>
  <c r="BC359" i="3"/>
  <c r="CH29" i="3"/>
  <c r="BB360" i="3"/>
  <c r="BC360" i="3"/>
  <c r="CI11" i="3"/>
  <c r="BB361" i="3"/>
  <c r="BC361" i="3"/>
  <c r="CI13" i="3"/>
  <c r="BB362" i="3"/>
  <c r="BC362" i="3"/>
  <c r="CI15" i="3"/>
  <c r="BB363" i="3"/>
  <c r="BC363" i="3"/>
  <c r="CI17" i="3"/>
  <c r="BB364" i="3"/>
  <c r="BC364" i="3"/>
  <c r="CI19" i="3"/>
  <c r="BB365" i="3"/>
  <c r="BC365" i="3"/>
  <c r="CI21" i="3"/>
  <c r="BB366" i="3"/>
  <c r="BC366" i="3"/>
  <c r="CI23" i="3"/>
  <c r="BB367" i="3"/>
  <c r="BC367" i="3"/>
  <c r="CI25" i="3"/>
  <c r="BB368" i="3"/>
  <c r="BC368" i="3"/>
  <c r="CI27" i="3"/>
  <c r="BB369" i="3"/>
  <c r="BC369" i="3"/>
  <c r="CI29" i="3"/>
  <c r="BB370" i="3"/>
  <c r="BC370" i="3"/>
  <c r="CJ11" i="3"/>
  <c r="BB371" i="3"/>
  <c r="BC371" i="3"/>
  <c r="CJ13" i="3"/>
  <c r="BB372" i="3"/>
  <c r="BC372" i="3"/>
  <c r="CJ15" i="3"/>
  <c r="BB373" i="3"/>
  <c r="BC373" i="3"/>
  <c r="CJ17" i="3"/>
  <c r="BB374" i="3"/>
  <c r="BC374" i="3"/>
  <c r="CJ19" i="3"/>
  <c r="BB375" i="3"/>
  <c r="BC375" i="3"/>
  <c r="CJ21" i="3"/>
  <c r="BB376" i="3"/>
  <c r="BC376" i="3"/>
  <c r="CJ23" i="3"/>
  <c r="BB377" i="3"/>
  <c r="BC377" i="3"/>
  <c r="CJ25" i="3"/>
  <c r="BB378" i="3"/>
  <c r="BC378" i="3"/>
  <c r="CJ27" i="3"/>
  <c r="BB379" i="3"/>
  <c r="BC379" i="3"/>
  <c r="CJ29" i="3"/>
  <c r="BB380" i="3"/>
  <c r="BC380" i="3"/>
  <c r="CK11" i="3"/>
  <c r="BB381" i="3"/>
  <c r="BC381" i="3"/>
  <c r="CK13" i="3"/>
  <c r="BB382" i="3"/>
  <c r="BC382" i="3"/>
  <c r="CK15" i="3"/>
  <c r="BB383" i="3"/>
  <c r="BC383" i="3"/>
  <c r="CK17" i="3"/>
  <c r="BB384" i="3"/>
  <c r="BC384" i="3"/>
  <c r="CK19" i="3"/>
  <c r="BB385" i="3"/>
  <c r="BC385" i="3"/>
  <c r="CK21" i="3"/>
  <c r="BB386" i="3"/>
  <c r="BC386" i="3"/>
  <c r="CK23" i="3"/>
  <c r="BB387" i="3"/>
  <c r="BC387" i="3"/>
  <c r="CK25" i="3"/>
  <c r="BB388" i="3"/>
  <c r="BC388" i="3"/>
  <c r="CK27" i="3"/>
  <c r="BB389" i="3"/>
  <c r="BC389" i="3"/>
  <c r="CK29" i="3"/>
  <c r="BB390" i="3"/>
  <c r="BC390" i="3"/>
  <c r="CL11" i="3"/>
  <c r="BB391" i="3"/>
  <c r="BC391" i="3"/>
  <c r="CL13" i="3"/>
  <c r="BB392" i="3"/>
  <c r="BC392" i="3"/>
  <c r="CL15" i="3"/>
  <c r="BB393" i="3"/>
  <c r="BC393" i="3"/>
  <c r="CL17" i="3"/>
  <c r="BB394" i="3"/>
  <c r="BC394" i="3"/>
  <c r="CL19" i="3"/>
  <c r="BB395" i="3"/>
  <c r="BC395" i="3"/>
  <c r="CL21" i="3"/>
  <c r="BB396" i="3"/>
  <c r="BC396" i="3"/>
  <c r="CL23" i="3"/>
  <c r="BB397" i="3"/>
  <c r="BC397" i="3"/>
  <c r="CL25" i="3"/>
  <c r="BB398" i="3"/>
  <c r="BC398" i="3"/>
  <c r="CL27" i="3"/>
  <c r="BB399" i="3"/>
  <c r="BC399" i="3"/>
  <c r="CL29" i="3"/>
  <c r="BB400" i="3"/>
  <c r="BC400" i="3"/>
  <c r="CM11" i="3"/>
  <c r="BB401" i="3"/>
  <c r="BC401" i="3"/>
  <c r="CM13" i="3"/>
  <c r="BB402" i="3"/>
  <c r="BC402" i="3"/>
  <c r="CM15" i="3"/>
  <c r="BB403" i="3"/>
  <c r="BC403" i="3"/>
  <c r="CM17" i="3"/>
  <c r="BB404" i="3"/>
  <c r="BC404" i="3"/>
  <c r="CM19" i="3"/>
  <c r="BB405" i="3"/>
  <c r="BC405" i="3"/>
  <c r="CM21" i="3"/>
  <c r="BB406" i="3"/>
  <c r="BC406" i="3"/>
  <c r="CM23" i="3"/>
  <c r="BB407" i="3"/>
  <c r="BC407" i="3"/>
  <c r="CM25" i="3"/>
  <c r="BB408" i="3"/>
  <c r="BC408" i="3"/>
  <c r="CM27" i="3"/>
  <c r="BB409" i="3"/>
  <c r="BC409" i="3"/>
  <c r="CM29" i="3"/>
  <c r="BB410" i="3"/>
  <c r="BC410" i="3"/>
  <c r="BB411" i="3"/>
  <c r="BC411" i="3"/>
  <c r="BB412" i="3"/>
  <c r="BC412" i="3"/>
  <c r="BB413" i="3"/>
  <c r="BC413" i="3"/>
  <c r="BB414" i="3"/>
  <c r="BC414" i="3"/>
  <c r="BB415" i="3"/>
  <c r="BC415" i="3"/>
  <c r="BB416" i="3"/>
  <c r="BC416" i="3"/>
  <c r="BB417" i="3"/>
  <c r="BC417" i="3"/>
  <c r="BB418" i="3"/>
  <c r="BC418" i="3"/>
  <c r="BB419" i="3"/>
  <c r="BC419" i="3"/>
  <c r="BB420" i="3"/>
  <c r="BC420" i="3"/>
  <c r="CN11" i="3"/>
  <c r="BB421" i="3"/>
  <c r="CN13" i="3"/>
  <c r="BB422" i="3"/>
  <c r="CN15" i="3"/>
  <c r="BB423" i="3"/>
  <c r="CN17" i="3"/>
  <c r="BB424" i="3"/>
  <c r="CN19" i="3"/>
  <c r="BB425" i="3"/>
  <c r="CN21" i="3"/>
  <c r="BB426" i="3"/>
  <c r="CN23" i="3"/>
  <c r="BB427" i="3"/>
  <c r="CN25" i="3"/>
  <c r="BB428" i="3"/>
  <c r="CN27" i="3"/>
  <c r="BB429" i="3"/>
  <c r="CN29" i="3"/>
  <c r="BB430" i="3"/>
  <c r="D12" i="3"/>
  <c r="BC12" i="24"/>
  <c r="D13" i="3"/>
  <c r="BC13" i="24"/>
  <c r="D14" i="3"/>
  <c r="BC14" i="24"/>
  <c r="D15" i="3"/>
  <c r="BC15" i="24"/>
  <c r="D16" i="3"/>
  <c r="BC16" i="24"/>
  <c r="D17" i="3"/>
  <c r="BC17" i="24"/>
  <c r="D18" i="3"/>
  <c r="BC18" i="24"/>
  <c r="D19" i="3"/>
  <c r="BC19" i="24"/>
  <c r="D20" i="3"/>
  <c r="BC20" i="24"/>
  <c r="D21" i="3"/>
  <c r="BC21" i="24"/>
  <c r="D22" i="3"/>
  <c r="BC22" i="24"/>
  <c r="D23" i="3"/>
  <c r="BC23" i="24"/>
  <c r="D24" i="3"/>
  <c r="BC24" i="24"/>
  <c r="D25" i="3"/>
  <c r="BC25" i="24"/>
  <c r="D26" i="3"/>
  <c r="BC26" i="24"/>
  <c r="D27" i="3"/>
  <c r="BC27" i="24"/>
  <c r="D28" i="3"/>
  <c r="BC28" i="24"/>
  <c r="D29" i="3"/>
  <c r="BC29" i="24"/>
  <c r="D30" i="3"/>
  <c r="BC30" i="24"/>
  <c r="D31" i="3"/>
  <c r="BC31" i="24"/>
  <c r="D32" i="3"/>
  <c r="BC32" i="24"/>
  <c r="D33" i="3"/>
  <c r="BC33" i="24"/>
  <c r="D34" i="3"/>
  <c r="BC34" i="24"/>
  <c r="D35" i="3"/>
  <c r="BC35" i="24"/>
  <c r="D36" i="3"/>
  <c r="BC36" i="24"/>
  <c r="D37" i="3"/>
  <c r="BC37" i="24"/>
  <c r="D38" i="3"/>
  <c r="BC38" i="24"/>
  <c r="D39" i="3"/>
  <c r="BC39" i="24"/>
  <c r="D40" i="3"/>
  <c r="BC40" i="24"/>
  <c r="D41" i="3"/>
  <c r="BC41" i="24"/>
  <c r="D42" i="3"/>
  <c r="BC42" i="24"/>
  <c r="D43" i="3"/>
  <c r="BC43" i="24"/>
  <c r="D44" i="3"/>
  <c r="BC44" i="24"/>
  <c r="D45" i="3"/>
  <c r="BC45" i="24"/>
  <c r="D46" i="3"/>
  <c r="BC46" i="24"/>
  <c r="D47" i="3"/>
  <c r="BC47" i="24"/>
  <c r="D48" i="3"/>
  <c r="BC48" i="24"/>
  <c r="D49" i="3"/>
  <c r="BC49" i="24"/>
  <c r="D50" i="3"/>
  <c r="BC50" i="24"/>
  <c r="D51" i="3"/>
  <c r="BC51" i="24"/>
  <c r="D52" i="3"/>
  <c r="BC52" i="24"/>
  <c r="D53" i="3"/>
  <c r="BC53" i="24"/>
  <c r="D54" i="3"/>
  <c r="BC54" i="24"/>
  <c r="D55" i="3"/>
  <c r="BC55" i="24"/>
  <c r="D56" i="3"/>
  <c r="BC56" i="24"/>
  <c r="E11" i="24"/>
  <c r="E11" i="25"/>
  <c r="E3" i="25"/>
  <c r="AU3" i="25"/>
  <c r="F11" i="24"/>
  <c r="F11" i="25"/>
  <c r="F3" i="25"/>
  <c r="AV3" i="25"/>
  <c r="G11" i="24"/>
  <c r="G11" i="25"/>
  <c r="G3" i="25"/>
  <c r="AW3" i="25"/>
  <c r="H11" i="24"/>
  <c r="H11" i="25"/>
  <c r="H3" i="25"/>
  <c r="AX3" i="25"/>
  <c r="I11" i="24"/>
  <c r="I11" i="25"/>
  <c r="I3" i="25"/>
  <c r="AY3" i="25"/>
  <c r="J11" i="24"/>
  <c r="J11" i="25"/>
  <c r="J3" i="25"/>
  <c r="AZ3" i="25"/>
  <c r="K11" i="24"/>
  <c r="K11" i="25"/>
  <c r="K3" i="25"/>
  <c r="BA3" i="25"/>
  <c r="L11" i="24"/>
  <c r="L11" i="25"/>
  <c r="L3" i="25"/>
  <c r="BB3" i="25"/>
  <c r="M11" i="24"/>
  <c r="M11" i="25"/>
  <c r="M3" i="25"/>
  <c r="BC3" i="25"/>
  <c r="N11" i="24"/>
  <c r="N11" i="25"/>
  <c r="N3" i="25"/>
  <c r="BD3" i="25"/>
  <c r="O11" i="24"/>
  <c r="O11" i="25"/>
  <c r="O3" i="25"/>
  <c r="BE3" i="25"/>
  <c r="P11" i="24"/>
  <c r="P11" i="25"/>
  <c r="P3" i="25"/>
  <c r="BF3" i="25"/>
  <c r="Q11" i="24"/>
  <c r="Q11" i="25"/>
  <c r="Q3" i="25"/>
  <c r="BG3" i="25"/>
  <c r="R11" i="24"/>
  <c r="R11" i="25"/>
  <c r="R3" i="25"/>
  <c r="BH3" i="25"/>
  <c r="S11" i="24"/>
  <c r="S11" i="25"/>
  <c r="S3" i="25"/>
  <c r="BI3" i="25"/>
  <c r="T11" i="24"/>
  <c r="T11" i="25"/>
  <c r="T3" i="25"/>
  <c r="BJ3" i="25"/>
  <c r="U11" i="24"/>
  <c r="U11" i="25"/>
  <c r="U3" i="25"/>
  <c r="BK3" i="25"/>
  <c r="V11" i="24"/>
  <c r="V11" i="25"/>
  <c r="V3" i="25"/>
  <c r="BL3" i="25"/>
  <c r="W11" i="24"/>
  <c r="W11" i="25"/>
  <c r="W3" i="25"/>
  <c r="BM3" i="25"/>
  <c r="X11" i="24"/>
  <c r="X11" i="25"/>
  <c r="X3" i="25"/>
  <c r="BN3" i="25"/>
  <c r="Y11" i="24"/>
  <c r="Y11" i="25"/>
  <c r="Y3" i="25"/>
  <c r="BO3" i="25"/>
  <c r="Z11" i="24"/>
  <c r="Z11" i="25"/>
  <c r="Z3" i="25"/>
  <c r="BP3" i="25"/>
  <c r="AA11" i="24"/>
  <c r="AA11" i="25"/>
  <c r="AA3" i="25"/>
  <c r="BQ3" i="25"/>
  <c r="AB11" i="24"/>
  <c r="AB11" i="25"/>
  <c r="AB3" i="25"/>
  <c r="BR3" i="25"/>
  <c r="AC11" i="24"/>
  <c r="AC11" i="25"/>
  <c r="AC3" i="25"/>
  <c r="BS3" i="25"/>
  <c r="AD11" i="24"/>
  <c r="AD11" i="25"/>
  <c r="AD3" i="25"/>
  <c r="BT3" i="25"/>
  <c r="AE11" i="24"/>
  <c r="AE11" i="25"/>
  <c r="AE3" i="25"/>
  <c r="BU3" i="25"/>
  <c r="AF11" i="24"/>
  <c r="AF11" i="25"/>
  <c r="AF3" i="25"/>
  <c r="BV3" i="25"/>
  <c r="AG11" i="24"/>
  <c r="AG11" i="25"/>
  <c r="AG3" i="25"/>
  <c r="BW3" i="25"/>
  <c r="AH11" i="24"/>
  <c r="AH11" i="25"/>
  <c r="AH3" i="25"/>
  <c r="BX3" i="25"/>
  <c r="AI11" i="24"/>
  <c r="AI11" i="25"/>
  <c r="AI3" i="25"/>
  <c r="BY3" i="25"/>
  <c r="AJ11" i="24"/>
  <c r="AJ11" i="25"/>
  <c r="AJ3" i="25"/>
  <c r="BZ3" i="25"/>
  <c r="AK11" i="24"/>
  <c r="AK11" i="25"/>
  <c r="AK3" i="25"/>
  <c r="CA3" i="25"/>
  <c r="AL11" i="24"/>
  <c r="AL11" i="25"/>
  <c r="AL3" i="25"/>
  <c r="CB3" i="25"/>
  <c r="AM11" i="24"/>
  <c r="AM11" i="25"/>
  <c r="AM3" i="25"/>
  <c r="CC3" i="25"/>
  <c r="AN11" i="24"/>
  <c r="AN11" i="25"/>
  <c r="AN3" i="25"/>
  <c r="CD3" i="25"/>
  <c r="AO11" i="24"/>
  <c r="AO11" i="25"/>
  <c r="AO3" i="25"/>
  <c r="CE3" i="25"/>
  <c r="AP11" i="24"/>
  <c r="AP11" i="25"/>
  <c r="AP3" i="25"/>
  <c r="CF3" i="25"/>
  <c r="AQ11" i="24"/>
  <c r="AQ11" i="25"/>
  <c r="AQ3" i="25"/>
  <c r="CG3" i="25"/>
  <c r="AR11" i="24"/>
  <c r="AR11" i="25"/>
  <c r="AR3" i="25"/>
  <c r="CH3" i="25"/>
  <c r="E5" i="25"/>
  <c r="F5" i="25"/>
  <c r="G5" i="25"/>
  <c r="H5" i="25"/>
  <c r="I5" i="25"/>
  <c r="J5" i="25"/>
  <c r="K5" i="25"/>
  <c r="L5" i="25"/>
  <c r="M5" i="25"/>
  <c r="N5" i="25"/>
  <c r="O5" i="25"/>
  <c r="P5" i="25"/>
  <c r="Q5" i="25"/>
  <c r="R5" i="25"/>
  <c r="S5" i="25"/>
  <c r="T5" i="25"/>
  <c r="U5" i="25"/>
  <c r="V5" i="25"/>
  <c r="W5" i="25"/>
  <c r="X5" i="25"/>
  <c r="Y5" i="25"/>
  <c r="Z5" i="25"/>
  <c r="AA5" i="25"/>
  <c r="AB5" i="25"/>
  <c r="AC5" i="25"/>
  <c r="AD5" i="25"/>
  <c r="AE5" i="25"/>
  <c r="AF5" i="25"/>
  <c r="AG5" i="25"/>
  <c r="AH5" i="25"/>
  <c r="AI5" i="25"/>
  <c r="AJ5" i="25"/>
  <c r="AK5" i="25"/>
  <c r="AL5" i="25"/>
  <c r="AM5" i="25"/>
  <c r="AN5" i="25"/>
  <c r="AO5" i="25"/>
  <c r="AP5" i="25"/>
  <c r="AQ5" i="25"/>
  <c r="AR5" i="25"/>
  <c r="CV11" i="24"/>
  <c r="E56" i="3"/>
  <c r="BD56" i="24"/>
  <c r="CV12" i="24"/>
  <c r="F56" i="3"/>
  <c r="BE56" i="24"/>
  <c r="CV13" i="24"/>
  <c r="G56" i="3"/>
  <c r="BF56" i="24"/>
  <c r="CV14" i="24"/>
  <c r="H56" i="3"/>
  <c r="BG56" i="24"/>
  <c r="CV15" i="24"/>
  <c r="I56" i="3"/>
  <c r="BH56" i="24"/>
  <c r="CV16" i="24"/>
  <c r="J56" i="3"/>
  <c r="BI56" i="24"/>
  <c r="CV17" i="24"/>
  <c r="K56" i="3"/>
  <c r="BJ56" i="24"/>
  <c r="CV18" i="24"/>
  <c r="L56" i="3"/>
  <c r="BK56" i="24"/>
  <c r="CV19" i="24"/>
  <c r="M56" i="3"/>
  <c r="BL56" i="24"/>
  <c r="CV20" i="24"/>
  <c r="N56" i="3"/>
  <c r="BM56" i="24"/>
  <c r="CV21" i="24"/>
  <c r="O56" i="3"/>
  <c r="BN56" i="24"/>
  <c r="CV22" i="24"/>
  <c r="P56" i="3"/>
  <c r="BO56" i="24"/>
  <c r="CV23" i="24"/>
  <c r="Q56" i="3"/>
  <c r="BP56" i="24"/>
  <c r="CV24" i="24"/>
  <c r="R56" i="3"/>
  <c r="BQ56" i="24"/>
  <c r="CV25" i="24"/>
  <c r="S56" i="3"/>
  <c r="BR56" i="24"/>
  <c r="CV26" i="24"/>
  <c r="T56" i="3"/>
  <c r="BS56" i="24"/>
  <c r="CV27" i="24"/>
  <c r="U56" i="3"/>
  <c r="BT56" i="24"/>
  <c r="CV28" i="24"/>
  <c r="V56" i="3"/>
  <c r="BU56" i="24"/>
  <c r="CV29" i="24"/>
  <c r="W56" i="3"/>
  <c r="BV56" i="24"/>
  <c r="CV30" i="24"/>
  <c r="X56" i="3"/>
  <c r="BW56" i="24"/>
  <c r="CV31" i="24"/>
  <c r="Y56" i="3"/>
  <c r="BX56" i="24"/>
  <c r="CV32" i="24"/>
  <c r="Z56" i="3"/>
  <c r="BY56" i="24"/>
  <c r="CV33" i="24"/>
  <c r="AA56" i="3"/>
  <c r="BZ56" i="24"/>
  <c r="CV34" i="24"/>
  <c r="AB56" i="3"/>
  <c r="CA56" i="24"/>
  <c r="CV35" i="24"/>
  <c r="AC56" i="3"/>
  <c r="CB56" i="24"/>
  <c r="CV36" i="24"/>
  <c r="AD56" i="3"/>
  <c r="CC56" i="24"/>
  <c r="CV37" i="24"/>
  <c r="AE56" i="3"/>
  <c r="CD56" i="24"/>
  <c r="CV38" i="24"/>
  <c r="AF56" i="3"/>
  <c r="CE56" i="24"/>
  <c r="CV39" i="24"/>
  <c r="AG56" i="3"/>
  <c r="CF56" i="24"/>
  <c r="CV40" i="24"/>
  <c r="AH56" i="3"/>
  <c r="CG56" i="24"/>
  <c r="CV41" i="24"/>
  <c r="AI56" i="3"/>
  <c r="CH56" i="24"/>
  <c r="CV42" i="24"/>
  <c r="AJ56" i="3"/>
  <c r="CI56" i="24"/>
  <c r="CV43" i="24"/>
  <c r="AK56" i="3"/>
  <c r="CJ56" i="24"/>
  <c r="CV44" i="24"/>
  <c r="AL56" i="3"/>
  <c r="CK56" i="24"/>
  <c r="CV45" i="24"/>
  <c r="AM56" i="3"/>
  <c r="CL56" i="24"/>
  <c r="CV46" i="24"/>
  <c r="AN56" i="3"/>
  <c r="CM56" i="24"/>
  <c r="CV47" i="24"/>
  <c r="AO56" i="3"/>
  <c r="CN56" i="24"/>
  <c r="CV48" i="24"/>
  <c r="AP56" i="3"/>
  <c r="CO56" i="24"/>
  <c r="CV49" i="24"/>
  <c r="AQ56" i="3"/>
  <c r="CP56" i="24"/>
  <c r="CV50" i="24"/>
  <c r="AR56" i="3"/>
  <c r="CQ56" i="24"/>
  <c r="CV51" i="24"/>
  <c r="AS56" i="3"/>
  <c r="CR56" i="24"/>
  <c r="CV52" i="24"/>
  <c r="AT56" i="3"/>
  <c r="CS56" i="24"/>
  <c r="CV53" i="24"/>
  <c r="AU56" i="3"/>
  <c r="CT56" i="24"/>
  <c r="CV54" i="24"/>
  <c r="AV56" i="3"/>
  <c r="CU56" i="24"/>
  <c r="CV55" i="24"/>
  <c r="AR56" i="24"/>
  <c r="AR56" i="25"/>
  <c r="AQ56" i="24"/>
  <c r="AQ56" i="25"/>
  <c r="AP56" i="24"/>
  <c r="AP56" i="25"/>
  <c r="AO56" i="24"/>
  <c r="AO56" i="25"/>
  <c r="AN56" i="24"/>
  <c r="AN56" i="25"/>
  <c r="AM56" i="24"/>
  <c r="AM56" i="25"/>
  <c r="AL56" i="24"/>
  <c r="AL56" i="25"/>
  <c r="AK56" i="24"/>
  <c r="AK56" i="25"/>
  <c r="AJ56" i="24"/>
  <c r="AJ56" i="25"/>
  <c r="AI56" i="24"/>
  <c r="AI56" i="25"/>
  <c r="AH56" i="24"/>
  <c r="AH56" i="25"/>
  <c r="AG56" i="24"/>
  <c r="AG56" i="25"/>
  <c r="AF56" i="24"/>
  <c r="AF56" i="25"/>
  <c r="AE56" i="24"/>
  <c r="AE56" i="25"/>
  <c r="AD56" i="24"/>
  <c r="AD56" i="25"/>
  <c r="AC56" i="24"/>
  <c r="AC56" i="25"/>
  <c r="AB56" i="24"/>
  <c r="AB56" i="25"/>
  <c r="AA56" i="24"/>
  <c r="AA56" i="25"/>
  <c r="Z56" i="24"/>
  <c r="Z56" i="25"/>
  <c r="Y56" i="24"/>
  <c r="Y56" i="25"/>
  <c r="X56" i="24"/>
  <c r="X56" i="25"/>
  <c r="W56" i="24"/>
  <c r="W56" i="25"/>
  <c r="V56" i="24"/>
  <c r="V56" i="25"/>
  <c r="U56" i="24"/>
  <c r="U56" i="25"/>
  <c r="T56" i="24"/>
  <c r="T56" i="25"/>
  <c r="S56" i="24"/>
  <c r="S56" i="25"/>
  <c r="R56" i="24"/>
  <c r="R56" i="25"/>
  <c r="Q56" i="24"/>
  <c r="Q56" i="25"/>
  <c r="P56" i="24"/>
  <c r="P56" i="25"/>
  <c r="O56" i="24"/>
  <c r="O56" i="25"/>
  <c r="N56" i="24"/>
  <c r="N56" i="25"/>
  <c r="M56" i="24"/>
  <c r="M56" i="25"/>
  <c r="L56" i="24"/>
  <c r="L56" i="25"/>
  <c r="K56" i="24"/>
  <c r="K56" i="25"/>
  <c r="J56" i="24"/>
  <c r="J56" i="25"/>
  <c r="I56" i="24"/>
  <c r="I56" i="25"/>
  <c r="H56" i="24"/>
  <c r="H56" i="25"/>
  <c r="G56" i="24"/>
  <c r="G56" i="25"/>
  <c r="F56" i="24"/>
  <c r="F56" i="25"/>
  <c r="E56" i="24"/>
  <c r="E56" i="25"/>
  <c r="CU11" i="24"/>
  <c r="E55" i="3"/>
  <c r="BD55" i="24"/>
  <c r="CU12" i="24"/>
  <c r="F55" i="3"/>
  <c r="BE55" i="24"/>
  <c r="CU13" i="24"/>
  <c r="G55" i="3"/>
  <c r="BF55" i="24"/>
  <c r="CU14" i="24"/>
  <c r="H55" i="3"/>
  <c r="BG55" i="24"/>
  <c r="CU15" i="24"/>
  <c r="I55" i="3"/>
  <c r="BH55" i="24"/>
  <c r="CU16" i="24"/>
  <c r="J55" i="3"/>
  <c r="BI55" i="24"/>
  <c r="CU17" i="24"/>
  <c r="K55" i="3"/>
  <c r="BJ55" i="24"/>
  <c r="CU18" i="24"/>
  <c r="L55" i="3"/>
  <c r="BK55" i="24"/>
  <c r="CU19" i="24"/>
  <c r="M55" i="3"/>
  <c r="BL55" i="24"/>
  <c r="CU20" i="24"/>
  <c r="N55" i="3"/>
  <c r="BM55" i="24"/>
  <c r="CU21" i="24"/>
  <c r="O55" i="3"/>
  <c r="BN55" i="24"/>
  <c r="CU22" i="24"/>
  <c r="P55" i="3"/>
  <c r="BO55" i="24"/>
  <c r="CU23" i="24"/>
  <c r="Q55" i="3"/>
  <c r="BP55" i="24"/>
  <c r="CU24" i="24"/>
  <c r="R55" i="3"/>
  <c r="BQ55" i="24"/>
  <c r="CU25" i="24"/>
  <c r="S55" i="3"/>
  <c r="BR55" i="24"/>
  <c r="CU26" i="24"/>
  <c r="T55" i="3"/>
  <c r="BS55" i="24"/>
  <c r="CU27" i="24"/>
  <c r="U55" i="3"/>
  <c r="BT55" i="24"/>
  <c r="CU28" i="24"/>
  <c r="V55" i="3"/>
  <c r="BU55" i="24"/>
  <c r="CU29" i="24"/>
  <c r="W55" i="3"/>
  <c r="BV55" i="24"/>
  <c r="CU30" i="24"/>
  <c r="X55" i="3"/>
  <c r="BW55" i="24"/>
  <c r="CU31" i="24"/>
  <c r="Y55" i="3"/>
  <c r="BX55" i="24"/>
  <c r="CU32" i="24"/>
  <c r="Z55" i="3"/>
  <c r="BY55" i="24"/>
  <c r="CU33" i="24"/>
  <c r="AA55" i="3"/>
  <c r="BZ55" i="24"/>
  <c r="CU34" i="24"/>
  <c r="AB55" i="3"/>
  <c r="CA55" i="24"/>
  <c r="CU35" i="24"/>
  <c r="AC55" i="3"/>
  <c r="CB55" i="24"/>
  <c r="CU36" i="24"/>
  <c r="AD55" i="3"/>
  <c r="CC55" i="24"/>
  <c r="CU37" i="24"/>
  <c r="AE55" i="3"/>
  <c r="CD55" i="24"/>
  <c r="CU38" i="24"/>
  <c r="AF55" i="3"/>
  <c r="CE55" i="24"/>
  <c r="CU39" i="24"/>
  <c r="AG55" i="3"/>
  <c r="CF55" i="24"/>
  <c r="CU40" i="24"/>
  <c r="AH55" i="3"/>
  <c r="CG55" i="24"/>
  <c r="CU41" i="24"/>
  <c r="AI55" i="3"/>
  <c r="CH55" i="24"/>
  <c r="CU42" i="24"/>
  <c r="AJ55" i="3"/>
  <c r="CI55" i="24"/>
  <c r="CU43" i="24"/>
  <c r="AK55" i="3"/>
  <c r="CJ55" i="24"/>
  <c r="CU44" i="24"/>
  <c r="AL55" i="3"/>
  <c r="CK55" i="24"/>
  <c r="CU45" i="24"/>
  <c r="AM55" i="3"/>
  <c r="CL55" i="24"/>
  <c r="CU46" i="24"/>
  <c r="AN55" i="3"/>
  <c r="CM55" i="24"/>
  <c r="CU47" i="24"/>
  <c r="AO55" i="3"/>
  <c r="CN55" i="24"/>
  <c r="CU48" i="24"/>
  <c r="AP55" i="3"/>
  <c r="CO55" i="24"/>
  <c r="CU49" i="24"/>
  <c r="AQ55" i="3"/>
  <c r="CP55" i="24"/>
  <c r="CU50" i="24"/>
  <c r="AR55" i="3"/>
  <c r="CQ55" i="24"/>
  <c r="CU51" i="24"/>
  <c r="AS55" i="3"/>
  <c r="CR55" i="24"/>
  <c r="CU52" i="24"/>
  <c r="AT55" i="3"/>
  <c r="CS55" i="24"/>
  <c r="CU53" i="24"/>
  <c r="AU55" i="3"/>
  <c r="CT55" i="24"/>
  <c r="CU54" i="24"/>
  <c r="AR55" i="24"/>
  <c r="AR55" i="25"/>
  <c r="AQ55" i="24"/>
  <c r="AQ55" i="25"/>
  <c r="AP55" i="24"/>
  <c r="AP55" i="25"/>
  <c r="AO55" i="24"/>
  <c r="AO55" i="25"/>
  <c r="AN55" i="24"/>
  <c r="AN55" i="25"/>
  <c r="AM55" i="24"/>
  <c r="AM55" i="25"/>
  <c r="AL55" i="24"/>
  <c r="AL55" i="25"/>
  <c r="AK55" i="24"/>
  <c r="AK55" i="25"/>
  <c r="AJ55" i="24"/>
  <c r="AJ55" i="25"/>
  <c r="AI55" i="24"/>
  <c r="AI55" i="25"/>
  <c r="AH55" i="24"/>
  <c r="AH55" i="25"/>
  <c r="AG55" i="24"/>
  <c r="AG55" i="25"/>
  <c r="AF55" i="24"/>
  <c r="AF55" i="25"/>
  <c r="AE55" i="24"/>
  <c r="AE55" i="25"/>
  <c r="AD55" i="24"/>
  <c r="AD55" i="25"/>
  <c r="AC55" i="24"/>
  <c r="AC55" i="25"/>
  <c r="AB55" i="24"/>
  <c r="AB55" i="25"/>
  <c r="AA55" i="24"/>
  <c r="AA55" i="25"/>
  <c r="Z55" i="24"/>
  <c r="Z55" i="25"/>
  <c r="Y55" i="24"/>
  <c r="Y55" i="25"/>
  <c r="X55" i="24"/>
  <c r="X55" i="25"/>
  <c r="W55" i="24"/>
  <c r="W55" i="25"/>
  <c r="V55" i="24"/>
  <c r="V55" i="25"/>
  <c r="U55" i="24"/>
  <c r="U55" i="25"/>
  <c r="T55" i="24"/>
  <c r="T55" i="25"/>
  <c r="S55" i="24"/>
  <c r="S55" i="25"/>
  <c r="R55" i="24"/>
  <c r="R55" i="25"/>
  <c r="Q55" i="24"/>
  <c r="Q55" i="25"/>
  <c r="P55" i="24"/>
  <c r="P55" i="25"/>
  <c r="O55" i="24"/>
  <c r="O55" i="25"/>
  <c r="N55" i="24"/>
  <c r="N55" i="25"/>
  <c r="M55" i="24"/>
  <c r="M55" i="25"/>
  <c r="L55" i="24"/>
  <c r="L55" i="25"/>
  <c r="K55" i="24"/>
  <c r="K55" i="25"/>
  <c r="J55" i="24"/>
  <c r="J55" i="25"/>
  <c r="I55" i="24"/>
  <c r="I55" i="25"/>
  <c r="H55" i="24"/>
  <c r="H55" i="25"/>
  <c r="G55" i="24"/>
  <c r="G55" i="25"/>
  <c r="F55" i="24"/>
  <c r="F55" i="25"/>
  <c r="E55" i="24"/>
  <c r="E55" i="25"/>
  <c r="CT11" i="24"/>
  <c r="E54" i="3"/>
  <c r="BD54" i="24"/>
  <c r="CT12" i="24"/>
  <c r="F54" i="3"/>
  <c r="BE54" i="24"/>
  <c r="CT13" i="24"/>
  <c r="G54" i="3"/>
  <c r="BF54" i="24"/>
  <c r="CT14" i="24"/>
  <c r="H54" i="3"/>
  <c r="BG54" i="24"/>
  <c r="CT15" i="24"/>
  <c r="I54" i="3"/>
  <c r="BH54" i="24"/>
  <c r="CT16" i="24"/>
  <c r="J54" i="3"/>
  <c r="BI54" i="24"/>
  <c r="CT17" i="24"/>
  <c r="K54" i="3"/>
  <c r="BJ54" i="24"/>
  <c r="CT18" i="24"/>
  <c r="L54" i="3"/>
  <c r="BK54" i="24"/>
  <c r="CT19" i="24"/>
  <c r="M54" i="3"/>
  <c r="BL54" i="24"/>
  <c r="CT20" i="24"/>
  <c r="N54" i="3"/>
  <c r="BM54" i="24"/>
  <c r="CT21" i="24"/>
  <c r="O54" i="3"/>
  <c r="BN54" i="24"/>
  <c r="CT22" i="24"/>
  <c r="P54" i="3"/>
  <c r="BO54" i="24"/>
  <c r="CT23" i="24"/>
  <c r="Q54" i="3"/>
  <c r="BP54" i="24"/>
  <c r="CT24" i="24"/>
  <c r="R54" i="3"/>
  <c r="BQ54" i="24"/>
  <c r="CT25" i="24"/>
  <c r="S54" i="3"/>
  <c r="BR54" i="24"/>
  <c r="CT26" i="24"/>
  <c r="T54" i="3"/>
  <c r="BS54" i="24"/>
  <c r="CT27" i="24"/>
  <c r="U54" i="3"/>
  <c r="BT54" i="24"/>
  <c r="CT28" i="24"/>
  <c r="V54" i="3"/>
  <c r="BU54" i="24"/>
  <c r="CT29" i="24"/>
  <c r="W54" i="3"/>
  <c r="BV54" i="24"/>
  <c r="CT30" i="24"/>
  <c r="X54" i="3"/>
  <c r="BW54" i="24"/>
  <c r="CT31" i="24"/>
  <c r="Y54" i="3"/>
  <c r="BX54" i="24"/>
  <c r="CT32" i="24"/>
  <c r="Z54" i="3"/>
  <c r="BY54" i="24"/>
  <c r="CT33" i="24"/>
  <c r="AA54" i="3"/>
  <c r="BZ54" i="24"/>
  <c r="CT34" i="24"/>
  <c r="AB54" i="3"/>
  <c r="CA54" i="24"/>
  <c r="CT35" i="24"/>
  <c r="AC54" i="3"/>
  <c r="CB54" i="24"/>
  <c r="CT36" i="24"/>
  <c r="AD54" i="3"/>
  <c r="CC54" i="24"/>
  <c r="CT37" i="24"/>
  <c r="AE54" i="3"/>
  <c r="CD54" i="24"/>
  <c r="CT38" i="24"/>
  <c r="AF54" i="3"/>
  <c r="CE54" i="24"/>
  <c r="CT39" i="24"/>
  <c r="AG54" i="3"/>
  <c r="CF54" i="24"/>
  <c r="CT40" i="24"/>
  <c r="AH54" i="3"/>
  <c r="CG54" i="24"/>
  <c r="CT41" i="24"/>
  <c r="AI54" i="3"/>
  <c r="CH54" i="24"/>
  <c r="CT42" i="24"/>
  <c r="AJ54" i="3"/>
  <c r="CI54" i="24"/>
  <c r="CT43" i="24"/>
  <c r="AK54" i="3"/>
  <c r="CJ54" i="24"/>
  <c r="CT44" i="24"/>
  <c r="AL54" i="3"/>
  <c r="CK54" i="24"/>
  <c r="CT45" i="24"/>
  <c r="AM54" i="3"/>
  <c r="CL54" i="24"/>
  <c r="CT46" i="24"/>
  <c r="AN54" i="3"/>
  <c r="CM54" i="24"/>
  <c r="CT47" i="24"/>
  <c r="AO54" i="3"/>
  <c r="CN54" i="24"/>
  <c r="CT48" i="24"/>
  <c r="AP54" i="3"/>
  <c r="CO54" i="24"/>
  <c r="CT49" i="24"/>
  <c r="AQ54" i="3"/>
  <c r="CP54" i="24"/>
  <c r="CT50" i="24"/>
  <c r="AR54" i="3"/>
  <c r="CQ54" i="24"/>
  <c r="CT51" i="24"/>
  <c r="AS54" i="3"/>
  <c r="CR54" i="24"/>
  <c r="CT52" i="24"/>
  <c r="AT54" i="3"/>
  <c r="CS54" i="24"/>
  <c r="CT53" i="24"/>
  <c r="AR54" i="24"/>
  <c r="AR54" i="25"/>
  <c r="AQ54" i="24"/>
  <c r="AQ54" i="25"/>
  <c r="AP54" i="24"/>
  <c r="AP54" i="25"/>
  <c r="AO54" i="24"/>
  <c r="AO54" i="25"/>
  <c r="AN54" i="24"/>
  <c r="AN54" i="25"/>
  <c r="AM54" i="24"/>
  <c r="AM54" i="25"/>
  <c r="AL54" i="24"/>
  <c r="AL54" i="25"/>
  <c r="AK54" i="24"/>
  <c r="AK54" i="25"/>
  <c r="AJ54" i="24"/>
  <c r="AJ54" i="25"/>
  <c r="AI54" i="24"/>
  <c r="AI54" i="25"/>
  <c r="AH54" i="24"/>
  <c r="AH54" i="25"/>
  <c r="AG54" i="24"/>
  <c r="AG54" i="25"/>
  <c r="AF54" i="24"/>
  <c r="AF54" i="25"/>
  <c r="AE54" i="24"/>
  <c r="AE54" i="25"/>
  <c r="AD54" i="24"/>
  <c r="AD54" i="25"/>
  <c r="AC54" i="24"/>
  <c r="AC54" i="25"/>
  <c r="AB54" i="24"/>
  <c r="AB54" i="25"/>
  <c r="AA54" i="24"/>
  <c r="AA54" i="25"/>
  <c r="Z54" i="24"/>
  <c r="Z54" i="25"/>
  <c r="Y54" i="24"/>
  <c r="Y54" i="25"/>
  <c r="X54" i="24"/>
  <c r="X54" i="25"/>
  <c r="W54" i="24"/>
  <c r="W54" i="25"/>
  <c r="V54" i="24"/>
  <c r="V54" i="25"/>
  <c r="U54" i="24"/>
  <c r="U54" i="25"/>
  <c r="T54" i="24"/>
  <c r="T54" i="25"/>
  <c r="S54" i="24"/>
  <c r="S54" i="25"/>
  <c r="R54" i="24"/>
  <c r="R54" i="25"/>
  <c r="Q54" i="24"/>
  <c r="Q54" i="25"/>
  <c r="P54" i="24"/>
  <c r="P54" i="25"/>
  <c r="O54" i="24"/>
  <c r="O54" i="25"/>
  <c r="N54" i="24"/>
  <c r="N54" i="25"/>
  <c r="M54" i="24"/>
  <c r="M54" i="25"/>
  <c r="L54" i="24"/>
  <c r="L54" i="25"/>
  <c r="K54" i="24"/>
  <c r="K54" i="25"/>
  <c r="J54" i="24"/>
  <c r="J54" i="25"/>
  <c r="I54" i="24"/>
  <c r="I54" i="25"/>
  <c r="H54" i="24"/>
  <c r="H54" i="25"/>
  <c r="G54" i="24"/>
  <c r="G54" i="25"/>
  <c r="F54" i="24"/>
  <c r="F54" i="25"/>
  <c r="E54" i="24"/>
  <c r="E54" i="25"/>
  <c r="CS11" i="24"/>
  <c r="E53" i="3"/>
  <c r="BD53" i="24"/>
  <c r="CS12" i="24"/>
  <c r="F53" i="3"/>
  <c r="BE53" i="24"/>
  <c r="CS13" i="24"/>
  <c r="G53" i="3"/>
  <c r="BF53" i="24"/>
  <c r="CS14" i="24"/>
  <c r="H53" i="3"/>
  <c r="BG53" i="24"/>
  <c r="CS15" i="24"/>
  <c r="I53" i="3"/>
  <c r="BH53" i="24"/>
  <c r="CS16" i="24"/>
  <c r="J53" i="3"/>
  <c r="BI53" i="24"/>
  <c r="CS17" i="24"/>
  <c r="K53" i="3"/>
  <c r="BJ53" i="24"/>
  <c r="CS18" i="24"/>
  <c r="L53" i="3"/>
  <c r="BK53" i="24"/>
  <c r="CS19" i="24"/>
  <c r="M53" i="3"/>
  <c r="BL53" i="24"/>
  <c r="CS20" i="24"/>
  <c r="N53" i="3"/>
  <c r="BM53" i="24"/>
  <c r="CS21" i="24"/>
  <c r="O53" i="3"/>
  <c r="BN53" i="24"/>
  <c r="CS22" i="24"/>
  <c r="P53" i="3"/>
  <c r="BO53" i="24"/>
  <c r="CS23" i="24"/>
  <c r="Q53" i="3"/>
  <c r="BP53" i="24"/>
  <c r="CS24" i="24"/>
  <c r="R53" i="3"/>
  <c r="BQ53" i="24"/>
  <c r="CS25" i="24"/>
  <c r="S53" i="3"/>
  <c r="BR53" i="24"/>
  <c r="CS26" i="24"/>
  <c r="T53" i="3"/>
  <c r="BS53" i="24"/>
  <c r="CS27" i="24"/>
  <c r="U53" i="3"/>
  <c r="BT53" i="24"/>
  <c r="CS28" i="24"/>
  <c r="V53" i="3"/>
  <c r="BU53" i="24"/>
  <c r="CS29" i="24"/>
  <c r="W53" i="3"/>
  <c r="BV53" i="24"/>
  <c r="CS30" i="24"/>
  <c r="X53" i="3"/>
  <c r="BW53" i="24"/>
  <c r="CS31" i="24"/>
  <c r="Y53" i="3"/>
  <c r="BX53" i="24"/>
  <c r="CS32" i="24"/>
  <c r="Z53" i="3"/>
  <c r="BY53" i="24"/>
  <c r="CS33" i="24"/>
  <c r="AA53" i="3"/>
  <c r="BZ53" i="24"/>
  <c r="CS34" i="24"/>
  <c r="AB53" i="3"/>
  <c r="CA53" i="24"/>
  <c r="CS35" i="24"/>
  <c r="AC53" i="3"/>
  <c r="CB53" i="24"/>
  <c r="CS36" i="24"/>
  <c r="AD53" i="3"/>
  <c r="CC53" i="24"/>
  <c r="CS37" i="24"/>
  <c r="AE53" i="3"/>
  <c r="CD53" i="24"/>
  <c r="CS38" i="24"/>
  <c r="AF53" i="3"/>
  <c r="CE53" i="24"/>
  <c r="CS39" i="24"/>
  <c r="AG53" i="3"/>
  <c r="CF53" i="24"/>
  <c r="CS40" i="24"/>
  <c r="AH53" i="3"/>
  <c r="CG53" i="24"/>
  <c r="CS41" i="24"/>
  <c r="AI53" i="3"/>
  <c r="CH53" i="24"/>
  <c r="CS42" i="24"/>
  <c r="AJ53" i="3"/>
  <c r="CI53" i="24"/>
  <c r="CS43" i="24"/>
  <c r="AK53" i="3"/>
  <c r="CJ53" i="24"/>
  <c r="CS44" i="24"/>
  <c r="AL53" i="3"/>
  <c r="CK53" i="24"/>
  <c r="CS45" i="24"/>
  <c r="AM53" i="3"/>
  <c r="CL53" i="24"/>
  <c r="CS46" i="24"/>
  <c r="AN53" i="3"/>
  <c r="CM53" i="24"/>
  <c r="CS47" i="24"/>
  <c r="AO53" i="3"/>
  <c r="CN53" i="24"/>
  <c r="CS48" i="24"/>
  <c r="AP53" i="3"/>
  <c r="CO53" i="24"/>
  <c r="CS49" i="24"/>
  <c r="AQ53" i="3"/>
  <c r="CP53" i="24"/>
  <c r="CS50" i="24"/>
  <c r="AR53" i="3"/>
  <c r="CQ53" i="24"/>
  <c r="CS51" i="24"/>
  <c r="AS53" i="3"/>
  <c r="CR53" i="24"/>
  <c r="CS52" i="24"/>
  <c r="AR53" i="24"/>
  <c r="AR53" i="25"/>
  <c r="AQ53" i="24"/>
  <c r="AQ53" i="25"/>
  <c r="AP53" i="24"/>
  <c r="AP53" i="25"/>
  <c r="AO53" i="24"/>
  <c r="AO53" i="25"/>
  <c r="AN53" i="24"/>
  <c r="AN53" i="25"/>
  <c r="AM53" i="24"/>
  <c r="AM53" i="25"/>
  <c r="AL53" i="24"/>
  <c r="AL53" i="25"/>
  <c r="AK53" i="24"/>
  <c r="AK53" i="25"/>
  <c r="AJ53" i="24"/>
  <c r="AJ53" i="25"/>
  <c r="AI53" i="24"/>
  <c r="AI53" i="25"/>
  <c r="AH53" i="24"/>
  <c r="AH53" i="25"/>
  <c r="AG53" i="24"/>
  <c r="AG53" i="25"/>
  <c r="AF53" i="24"/>
  <c r="AF53" i="25"/>
  <c r="AE53" i="24"/>
  <c r="AE53" i="25"/>
  <c r="AD53" i="24"/>
  <c r="AD53" i="25"/>
  <c r="AC53" i="24"/>
  <c r="AC53" i="25"/>
  <c r="AB53" i="24"/>
  <c r="AB53" i="25"/>
  <c r="AA53" i="24"/>
  <c r="AA53" i="25"/>
  <c r="Z53" i="24"/>
  <c r="Z53" i="25"/>
  <c r="Y53" i="24"/>
  <c r="Y53" i="25"/>
  <c r="X53" i="24"/>
  <c r="X53" i="25"/>
  <c r="W53" i="24"/>
  <c r="W53" i="25"/>
  <c r="V53" i="24"/>
  <c r="V53" i="25"/>
  <c r="U53" i="24"/>
  <c r="U53" i="25"/>
  <c r="T53" i="24"/>
  <c r="T53" i="25"/>
  <c r="S53" i="24"/>
  <c r="S53" i="25"/>
  <c r="R53" i="24"/>
  <c r="R53" i="25"/>
  <c r="Q53" i="24"/>
  <c r="Q53" i="25"/>
  <c r="P53" i="24"/>
  <c r="P53" i="25"/>
  <c r="O53" i="24"/>
  <c r="O53" i="25"/>
  <c r="N53" i="24"/>
  <c r="N53" i="25"/>
  <c r="M53" i="24"/>
  <c r="M53" i="25"/>
  <c r="L53" i="24"/>
  <c r="L53" i="25"/>
  <c r="K53" i="24"/>
  <c r="K53" i="25"/>
  <c r="J53" i="24"/>
  <c r="J53" i="25"/>
  <c r="I53" i="24"/>
  <c r="I53" i="25"/>
  <c r="H53" i="24"/>
  <c r="H53" i="25"/>
  <c r="G53" i="24"/>
  <c r="G53" i="25"/>
  <c r="F53" i="24"/>
  <c r="F53" i="25"/>
  <c r="E53" i="24"/>
  <c r="E53" i="25"/>
  <c r="CR11" i="24"/>
  <c r="E52" i="3"/>
  <c r="BD52" i="24"/>
  <c r="CR12" i="24"/>
  <c r="F52" i="3"/>
  <c r="BE52" i="24"/>
  <c r="CR13" i="24"/>
  <c r="G52" i="3"/>
  <c r="BF52" i="24"/>
  <c r="CR14" i="24"/>
  <c r="H52" i="3"/>
  <c r="BG52" i="24"/>
  <c r="CR15" i="24"/>
  <c r="I52" i="3"/>
  <c r="BH52" i="24"/>
  <c r="CR16" i="24"/>
  <c r="J52" i="3"/>
  <c r="BI52" i="24"/>
  <c r="CR17" i="24"/>
  <c r="K52" i="3"/>
  <c r="BJ52" i="24"/>
  <c r="CR18" i="24"/>
  <c r="L52" i="3"/>
  <c r="BK52" i="24"/>
  <c r="CR19" i="24"/>
  <c r="M52" i="3"/>
  <c r="BL52" i="24"/>
  <c r="CR20" i="24"/>
  <c r="N52" i="3"/>
  <c r="BM52" i="24"/>
  <c r="CR21" i="24"/>
  <c r="O52" i="3"/>
  <c r="BN52" i="24"/>
  <c r="CR22" i="24"/>
  <c r="P52" i="3"/>
  <c r="BO52" i="24"/>
  <c r="CR23" i="24"/>
  <c r="Q52" i="3"/>
  <c r="BP52" i="24"/>
  <c r="CR24" i="24"/>
  <c r="R52" i="3"/>
  <c r="BQ52" i="24"/>
  <c r="CR25" i="24"/>
  <c r="S52" i="3"/>
  <c r="BR52" i="24"/>
  <c r="CR26" i="24"/>
  <c r="T52" i="3"/>
  <c r="BS52" i="24"/>
  <c r="CR27" i="24"/>
  <c r="U52" i="3"/>
  <c r="BT52" i="24"/>
  <c r="CR28" i="24"/>
  <c r="V52" i="3"/>
  <c r="BU52" i="24"/>
  <c r="CR29" i="24"/>
  <c r="W52" i="3"/>
  <c r="BV52" i="24"/>
  <c r="CR30" i="24"/>
  <c r="X52" i="3"/>
  <c r="BW52" i="24"/>
  <c r="CR31" i="24"/>
  <c r="Y52" i="3"/>
  <c r="BX52" i="24"/>
  <c r="CR32" i="24"/>
  <c r="Z52" i="3"/>
  <c r="BY52" i="24"/>
  <c r="CR33" i="24"/>
  <c r="AA52" i="3"/>
  <c r="BZ52" i="24"/>
  <c r="CR34" i="24"/>
  <c r="AB52" i="3"/>
  <c r="CA52" i="24"/>
  <c r="CR35" i="24"/>
  <c r="AC52" i="3"/>
  <c r="CB52" i="24"/>
  <c r="CR36" i="24"/>
  <c r="AD52" i="3"/>
  <c r="CC52" i="24"/>
  <c r="CR37" i="24"/>
  <c r="AE52" i="3"/>
  <c r="CD52" i="24"/>
  <c r="CR38" i="24"/>
  <c r="AF52" i="3"/>
  <c r="CE52" i="24"/>
  <c r="CR39" i="24"/>
  <c r="AG52" i="3"/>
  <c r="CF52" i="24"/>
  <c r="CR40" i="24"/>
  <c r="AH52" i="3"/>
  <c r="CG52" i="24"/>
  <c r="CR41" i="24"/>
  <c r="AI52" i="3"/>
  <c r="CH52" i="24"/>
  <c r="CR42" i="24"/>
  <c r="AJ52" i="3"/>
  <c r="CI52" i="24"/>
  <c r="CR43" i="24"/>
  <c r="AK52" i="3"/>
  <c r="CJ52" i="24"/>
  <c r="CR44" i="24"/>
  <c r="AL52" i="3"/>
  <c r="CK52" i="24"/>
  <c r="CR45" i="24"/>
  <c r="AM52" i="3"/>
  <c r="CL52" i="24"/>
  <c r="CR46" i="24"/>
  <c r="AN52" i="3"/>
  <c r="CM52" i="24"/>
  <c r="CR47" i="24"/>
  <c r="AO52" i="3"/>
  <c r="CN52" i="24"/>
  <c r="CR48" i="24"/>
  <c r="AP52" i="3"/>
  <c r="CO52" i="24"/>
  <c r="CR49" i="24"/>
  <c r="AQ52" i="3"/>
  <c r="CP52" i="24"/>
  <c r="CR50" i="24"/>
  <c r="AR52" i="3"/>
  <c r="CQ52" i="24"/>
  <c r="CR51" i="24"/>
  <c r="AR52" i="24"/>
  <c r="AR52" i="25"/>
  <c r="AQ52" i="24"/>
  <c r="AQ52" i="25"/>
  <c r="AP52" i="24"/>
  <c r="AP52" i="25"/>
  <c r="AO52" i="24"/>
  <c r="AO52" i="25"/>
  <c r="AN52" i="24"/>
  <c r="AN52" i="25"/>
  <c r="AM52" i="24"/>
  <c r="AM52" i="25"/>
  <c r="AL52" i="24"/>
  <c r="AL52" i="25"/>
  <c r="AK52" i="24"/>
  <c r="AK52" i="25"/>
  <c r="AJ52" i="24"/>
  <c r="AJ52" i="25"/>
  <c r="AI52" i="24"/>
  <c r="AI52" i="25"/>
  <c r="AH52" i="24"/>
  <c r="AH52" i="25"/>
  <c r="AG52" i="24"/>
  <c r="AG52" i="25"/>
  <c r="AF52" i="24"/>
  <c r="AF52" i="25"/>
  <c r="AE52" i="24"/>
  <c r="AE52" i="25"/>
  <c r="AD52" i="24"/>
  <c r="AD52" i="25"/>
  <c r="AC52" i="24"/>
  <c r="AC52" i="25"/>
  <c r="AB52" i="24"/>
  <c r="AB52" i="25"/>
  <c r="AA52" i="24"/>
  <c r="AA52" i="25"/>
  <c r="Z52" i="24"/>
  <c r="Z52" i="25"/>
  <c r="Y52" i="24"/>
  <c r="Y52" i="25"/>
  <c r="X52" i="24"/>
  <c r="X52" i="25"/>
  <c r="W52" i="24"/>
  <c r="W52" i="25"/>
  <c r="V52" i="24"/>
  <c r="V52" i="25"/>
  <c r="U52" i="24"/>
  <c r="U52" i="25"/>
  <c r="T52" i="24"/>
  <c r="T52" i="25"/>
  <c r="S52" i="24"/>
  <c r="S52" i="25"/>
  <c r="R52" i="24"/>
  <c r="R52" i="25"/>
  <c r="Q52" i="24"/>
  <c r="Q52" i="25"/>
  <c r="P52" i="24"/>
  <c r="P52" i="25"/>
  <c r="O52" i="24"/>
  <c r="O52" i="25"/>
  <c r="N52" i="24"/>
  <c r="N52" i="25"/>
  <c r="M52" i="24"/>
  <c r="M52" i="25"/>
  <c r="L52" i="24"/>
  <c r="L52" i="25"/>
  <c r="K52" i="24"/>
  <c r="K52" i="25"/>
  <c r="J52" i="24"/>
  <c r="J52" i="25"/>
  <c r="I52" i="24"/>
  <c r="I52" i="25"/>
  <c r="H52" i="24"/>
  <c r="H52" i="25"/>
  <c r="G52" i="24"/>
  <c r="G52" i="25"/>
  <c r="F52" i="24"/>
  <c r="F52" i="25"/>
  <c r="E52" i="24"/>
  <c r="E52" i="25"/>
  <c r="CQ11" i="24"/>
  <c r="E51" i="3"/>
  <c r="BD51" i="24"/>
  <c r="CQ12" i="24"/>
  <c r="F51" i="3"/>
  <c r="BE51" i="24"/>
  <c r="CQ13" i="24"/>
  <c r="G51" i="3"/>
  <c r="BF51" i="24"/>
  <c r="CQ14" i="24"/>
  <c r="H51" i="3"/>
  <c r="BG51" i="24"/>
  <c r="CQ15" i="24"/>
  <c r="I51" i="3"/>
  <c r="BH51" i="24"/>
  <c r="CQ16" i="24"/>
  <c r="J51" i="3"/>
  <c r="BI51" i="24"/>
  <c r="CQ17" i="24"/>
  <c r="K51" i="3"/>
  <c r="BJ51" i="24"/>
  <c r="CQ18" i="24"/>
  <c r="L51" i="3"/>
  <c r="BK51" i="24"/>
  <c r="CQ19" i="24"/>
  <c r="M51" i="3"/>
  <c r="BL51" i="24"/>
  <c r="CQ20" i="24"/>
  <c r="N51" i="3"/>
  <c r="BM51" i="24"/>
  <c r="CQ21" i="24"/>
  <c r="O51" i="3"/>
  <c r="BN51" i="24"/>
  <c r="CQ22" i="24"/>
  <c r="P51" i="3"/>
  <c r="BO51" i="24"/>
  <c r="CQ23" i="24"/>
  <c r="Q51" i="3"/>
  <c r="BP51" i="24"/>
  <c r="CQ24" i="24"/>
  <c r="R51" i="3"/>
  <c r="BQ51" i="24"/>
  <c r="CQ25" i="24"/>
  <c r="S51" i="3"/>
  <c r="BR51" i="24"/>
  <c r="CQ26" i="24"/>
  <c r="T51" i="3"/>
  <c r="BS51" i="24"/>
  <c r="CQ27" i="24"/>
  <c r="U51" i="3"/>
  <c r="BT51" i="24"/>
  <c r="CQ28" i="24"/>
  <c r="V51" i="3"/>
  <c r="BU51" i="24"/>
  <c r="CQ29" i="24"/>
  <c r="W51" i="3"/>
  <c r="BV51" i="24"/>
  <c r="CQ30" i="24"/>
  <c r="X51" i="3"/>
  <c r="BW51" i="24"/>
  <c r="CQ31" i="24"/>
  <c r="Y51" i="3"/>
  <c r="BX51" i="24"/>
  <c r="CQ32" i="24"/>
  <c r="Z51" i="3"/>
  <c r="BY51" i="24"/>
  <c r="CQ33" i="24"/>
  <c r="AA51" i="3"/>
  <c r="BZ51" i="24"/>
  <c r="CQ34" i="24"/>
  <c r="AB51" i="3"/>
  <c r="CA51" i="24"/>
  <c r="CQ35" i="24"/>
  <c r="AC51" i="3"/>
  <c r="CB51" i="24"/>
  <c r="CQ36" i="24"/>
  <c r="AD51" i="3"/>
  <c r="CC51" i="24"/>
  <c r="CQ37" i="24"/>
  <c r="AE51" i="3"/>
  <c r="CD51" i="24"/>
  <c r="CQ38" i="24"/>
  <c r="AF51" i="3"/>
  <c r="CE51" i="24"/>
  <c r="CQ39" i="24"/>
  <c r="AG51" i="3"/>
  <c r="CF51" i="24"/>
  <c r="CQ40" i="24"/>
  <c r="AH51" i="3"/>
  <c r="CG51" i="24"/>
  <c r="CQ41" i="24"/>
  <c r="AI51" i="3"/>
  <c r="CH51" i="24"/>
  <c r="CQ42" i="24"/>
  <c r="AJ51" i="3"/>
  <c r="CI51" i="24"/>
  <c r="CQ43" i="24"/>
  <c r="AK51" i="3"/>
  <c r="CJ51" i="24"/>
  <c r="CQ44" i="24"/>
  <c r="AL51" i="3"/>
  <c r="CK51" i="24"/>
  <c r="CQ45" i="24"/>
  <c r="AM51" i="3"/>
  <c r="CL51" i="24"/>
  <c r="CQ46" i="24"/>
  <c r="AN51" i="3"/>
  <c r="CM51" i="24"/>
  <c r="CQ47" i="24"/>
  <c r="AO51" i="3"/>
  <c r="CN51" i="24"/>
  <c r="CQ48" i="24"/>
  <c r="AP51" i="3"/>
  <c r="CO51" i="24"/>
  <c r="CQ49" i="24"/>
  <c r="AQ51" i="3"/>
  <c r="CP51" i="24"/>
  <c r="CQ50" i="24"/>
  <c r="AR51" i="24"/>
  <c r="AR51" i="25"/>
  <c r="AQ51" i="24"/>
  <c r="AQ51" i="25"/>
  <c r="AP51" i="24"/>
  <c r="AP51" i="25"/>
  <c r="AO51" i="24"/>
  <c r="AO51" i="25"/>
  <c r="AN51" i="24"/>
  <c r="AN51" i="25"/>
  <c r="AM51" i="24"/>
  <c r="AM51" i="25"/>
  <c r="AL51" i="24"/>
  <c r="AL51" i="25"/>
  <c r="AK51" i="24"/>
  <c r="AK51" i="25"/>
  <c r="AJ51" i="24"/>
  <c r="AJ51" i="25"/>
  <c r="AI51" i="24"/>
  <c r="AI51" i="25"/>
  <c r="AH51" i="24"/>
  <c r="AH51" i="25"/>
  <c r="AG51" i="24"/>
  <c r="AG51" i="25"/>
  <c r="AF51" i="24"/>
  <c r="AF51" i="25"/>
  <c r="AE51" i="24"/>
  <c r="AE51" i="25"/>
  <c r="AD51" i="24"/>
  <c r="AD51" i="25"/>
  <c r="AC51" i="24"/>
  <c r="AC51" i="25"/>
  <c r="AB51" i="24"/>
  <c r="AB51" i="25"/>
  <c r="AA51" i="24"/>
  <c r="AA51" i="25"/>
  <c r="Z51" i="24"/>
  <c r="Z51" i="25"/>
  <c r="Y51" i="24"/>
  <c r="Y51" i="25"/>
  <c r="X51" i="24"/>
  <c r="X51" i="25"/>
  <c r="W51" i="24"/>
  <c r="W51" i="25"/>
  <c r="V51" i="24"/>
  <c r="V51" i="25"/>
  <c r="U51" i="24"/>
  <c r="U51" i="25"/>
  <c r="T51" i="24"/>
  <c r="T51" i="25"/>
  <c r="S51" i="24"/>
  <c r="S51" i="25"/>
  <c r="R51" i="24"/>
  <c r="R51" i="25"/>
  <c r="Q51" i="24"/>
  <c r="Q51" i="25"/>
  <c r="P51" i="24"/>
  <c r="P51" i="25"/>
  <c r="O51" i="24"/>
  <c r="O51" i="25"/>
  <c r="N51" i="24"/>
  <c r="N51" i="25"/>
  <c r="M51" i="24"/>
  <c r="M51" i="25"/>
  <c r="L51" i="24"/>
  <c r="L51" i="25"/>
  <c r="K51" i="24"/>
  <c r="K51" i="25"/>
  <c r="J51" i="24"/>
  <c r="J51" i="25"/>
  <c r="I51" i="24"/>
  <c r="I51" i="25"/>
  <c r="H51" i="24"/>
  <c r="H51" i="25"/>
  <c r="G51" i="24"/>
  <c r="G51" i="25"/>
  <c r="F51" i="24"/>
  <c r="F51" i="25"/>
  <c r="E51" i="24"/>
  <c r="E51" i="25"/>
  <c r="CP11" i="24"/>
  <c r="E50" i="3"/>
  <c r="BD50" i="24"/>
  <c r="CP12" i="24"/>
  <c r="F50" i="3"/>
  <c r="BE50" i="24"/>
  <c r="CP13" i="24"/>
  <c r="G50" i="3"/>
  <c r="BF50" i="24"/>
  <c r="CP14" i="24"/>
  <c r="H50" i="3"/>
  <c r="BG50" i="24"/>
  <c r="CP15" i="24"/>
  <c r="I50" i="3"/>
  <c r="BH50" i="24"/>
  <c r="CP16" i="24"/>
  <c r="J50" i="3"/>
  <c r="BI50" i="24"/>
  <c r="CP17" i="24"/>
  <c r="K50" i="3"/>
  <c r="BJ50" i="24"/>
  <c r="CP18" i="24"/>
  <c r="L50" i="3"/>
  <c r="BK50" i="24"/>
  <c r="CP19" i="24"/>
  <c r="M50" i="3"/>
  <c r="BL50" i="24"/>
  <c r="CP20" i="24"/>
  <c r="N50" i="3"/>
  <c r="BM50" i="24"/>
  <c r="CP21" i="24"/>
  <c r="O50" i="3"/>
  <c r="BN50" i="24"/>
  <c r="CP22" i="24"/>
  <c r="P50" i="3"/>
  <c r="BO50" i="24"/>
  <c r="CP23" i="24"/>
  <c r="Q50" i="3"/>
  <c r="BP50" i="24"/>
  <c r="CP24" i="24"/>
  <c r="R50" i="3"/>
  <c r="BQ50" i="24"/>
  <c r="CP25" i="24"/>
  <c r="S50" i="3"/>
  <c r="BR50" i="24"/>
  <c r="CP26" i="24"/>
  <c r="T50" i="3"/>
  <c r="BS50" i="24"/>
  <c r="CP27" i="24"/>
  <c r="U50" i="3"/>
  <c r="BT50" i="24"/>
  <c r="CP28" i="24"/>
  <c r="V50" i="3"/>
  <c r="BU50" i="24"/>
  <c r="CP29" i="24"/>
  <c r="W50" i="3"/>
  <c r="BV50" i="24"/>
  <c r="CP30" i="24"/>
  <c r="X50" i="3"/>
  <c r="BW50" i="24"/>
  <c r="CP31" i="24"/>
  <c r="Y50" i="3"/>
  <c r="BX50" i="24"/>
  <c r="CP32" i="24"/>
  <c r="Z50" i="3"/>
  <c r="BY50" i="24"/>
  <c r="CP33" i="24"/>
  <c r="AA50" i="3"/>
  <c r="BZ50" i="24"/>
  <c r="CP34" i="24"/>
  <c r="AB50" i="3"/>
  <c r="CA50" i="24"/>
  <c r="CP35" i="24"/>
  <c r="AC50" i="3"/>
  <c r="CB50" i="24"/>
  <c r="CP36" i="24"/>
  <c r="AD50" i="3"/>
  <c r="CC50" i="24"/>
  <c r="CP37" i="24"/>
  <c r="AE50" i="3"/>
  <c r="CD50" i="24"/>
  <c r="CP38" i="24"/>
  <c r="AF50" i="3"/>
  <c r="CE50" i="24"/>
  <c r="CP39" i="24"/>
  <c r="AG50" i="3"/>
  <c r="CF50" i="24"/>
  <c r="CP40" i="24"/>
  <c r="AH50" i="3"/>
  <c r="CG50" i="24"/>
  <c r="CP41" i="24"/>
  <c r="AI50" i="3"/>
  <c r="CH50" i="24"/>
  <c r="CP42" i="24"/>
  <c r="AJ50" i="3"/>
  <c r="CI50" i="24"/>
  <c r="CP43" i="24"/>
  <c r="AK50" i="3"/>
  <c r="CJ50" i="24"/>
  <c r="CP44" i="24"/>
  <c r="AL50" i="3"/>
  <c r="CK50" i="24"/>
  <c r="CP45" i="24"/>
  <c r="AM50" i="3"/>
  <c r="CL50" i="24"/>
  <c r="CP46" i="24"/>
  <c r="AN50" i="3"/>
  <c r="CM50" i="24"/>
  <c r="CP47" i="24"/>
  <c r="AO50" i="3"/>
  <c r="CN50" i="24"/>
  <c r="CP48" i="24"/>
  <c r="AP50" i="3"/>
  <c r="CO50" i="24"/>
  <c r="CP49" i="24"/>
  <c r="AR50" i="24"/>
  <c r="AR50" i="25"/>
  <c r="AQ50" i="24"/>
  <c r="AQ50" i="25"/>
  <c r="AP50" i="24"/>
  <c r="AP50" i="25"/>
  <c r="AO50" i="24"/>
  <c r="AO50" i="25"/>
  <c r="AN50" i="24"/>
  <c r="AN50" i="25"/>
  <c r="AM50" i="24"/>
  <c r="AM50" i="25"/>
  <c r="AL50" i="24"/>
  <c r="AL50" i="25"/>
  <c r="AK50" i="24"/>
  <c r="AK50" i="25"/>
  <c r="AJ50" i="24"/>
  <c r="AJ50" i="25"/>
  <c r="AI50" i="24"/>
  <c r="AI50" i="25"/>
  <c r="AH50" i="24"/>
  <c r="AH50" i="25"/>
  <c r="AG50" i="24"/>
  <c r="AG50" i="25"/>
  <c r="AF50" i="24"/>
  <c r="AF50" i="25"/>
  <c r="AE50" i="24"/>
  <c r="AE50" i="25"/>
  <c r="AD50" i="24"/>
  <c r="AD50" i="25"/>
  <c r="AC50" i="24"/>
  <c r="AC50" i="25"/>
  <c r="AB50" i="24"/>
  <c r="AB50" i="25"/>
  <c r="AA50" i="24"/>
  <c r="AA50" i="25"/>
  <c r="Z50" i="24"/>
  <c r="Z50" i="25"/>
  <c r="Y50" i="24"/>
  <c r="Y50" i="25"/>
  <c r="X50" i="24"/>
  <c r="X50" i="25"/>
  <c r="W50" i="24"/>
  <c r="W50" i="25"/>
  <c r="V50" i="24"/>
  <c r="V50" i="25"/>
  <c r="U50" i="24"/>
  <c r="U50" i="25"/>
  <c r="T50" i="24"/>
  <c r="T50" i="25"/>
  <c r="S50" i="24"/>
  <c r="S50" i="25"/>
  <c r="R50" i="24"/>
  <c r="R50" i="25"/>
  <c r="Q50" i="24"/>
  <c r="Q50" i="25"/>
  <c r="P50" i="24"/>
  <c r="P50" i="25"/>
  <c r="O50" i="24"/>
  <c r="O50" i="25"/>
  <c r="N50" i="24"/>
  <c r="N50" i="25"/>
  <c r="M50" i="24"/>
  <c r="M50" i="25"/>
  <c r="L50" i="24"/>
  <c r="L50" i="25"/>
  <c r="K50" i="24"/>
  <c r="K50" i="25"/>
  <c r="J50" i="24"/>
  <c r="J50" i="25"/>
  <c r="I50" i="24"/>
  <c r="I50" i="25"/>
  <c r="H50" i="24"/>
  <c r="H50" i="25"/>
  <c r="G50" i="24"/>
  <c r="G50" i="25"/>
  <c r="F50" i="24"/>
  <c r="F50" i="25"/>
  <c r="E50" i="24"/>
  <c r="E50" i="25"/>
  <c r="CO11" i="24"/>
  <c r="E49" i="3"/>
  <c r="BD49" i="24"/>
  <c r="CO12" i="24"/>
  <c r="F49" i="3"/>
  <c r="BE49" i="24"/>
  <c r="CO13" i="24"/>
  <c r="G49" i="3"/>
  <c r="BF49" i="24"/>
  <c r="CO14" i="24"/>
  <c r="H49" i="3"/>
  <c r="BG49" i="24"/>
  <c r="CO15" i="24"/>
  <c r="I49" i="3"/>
  <c r="BH49" i="24"/>
  <c r="CO16" i="24"/>
  <c r="J49" i="3"/>
  <c r="BI49" i="24"/>
  <c r="CO17" i="24"/>
  <c r="K49" i="3"/>
  <c r="BJ49" i="24"/>
  <c r="CO18" i="24"/>
  <c r="L49" i="3"/>
  <c r="BK49" i="24"/>
  <c r="CO19" i="24"/>
  <c r="M49" i="3"/>
  <c r="BL49" i="24"/>
  <c r="CO20" i="24"/>
  <c r="N49" i="3"/>
  <c r="BM49" i="24"/>
  <c r="CO21" i="24"/>
  <c r="O49" i="3"/>
  <c r="BN49" i="24"/>
  <c r="CO22" i="24"/>
  <c r="P49" i="3"/>
  <c r="BO49" i="24"/>
  <c r="CO23" i="24"/>
  <c r="Q49" i="3"/>
  <c r="BP49" i="24"/>
  <c r="CO24" i="24"/>
  <c r="R49" i="3"/>
  <c r="BQ49" i="24"/>
  <c r="CO25" i="24"/>
  <c r="S49" i="3"/>
  <c r="BR49" i="24"/>
  <c r="CO26" i="24"/>
  <c r="T49" i="3"/>
  <c r="BS49" i="24"/>
  <c r="CO27" i="24"/>
  <c r="U49" i="3"/>
  <c r="BT49" i="24"/>
  <c r="CO28" i="24"/>
  <c r="V49" i="3"/>
  <c r="BU49" i="24"/>
  <c r="CO29" i="24"/>
  <c r="W49" i="3"/>
  <c r="BV49" i="24"/>
  <c r="CO30" i="24"/>
  <c r="X49" i="3"/>
  <c r="BW49" i="24"/>
  <c r="CO31" i="24"/>
  <c r="Y49" i="3"/>
  <c r="BX49" i="24"/>
  <c r="CO32" i="24"/>
  <c r="Z49" i="3"/>
  <c r="BY49" i="24"/>
  <c r="CO33" i="24"/>
  <c r="AA49" i="3"/>
  <c r="BZ49" i="24"/>
  <c r="CO34" i="24"/>
  <c r="AB49" i="3"/>
  <c r="CA49" i="24"/>
  <c r="CO35" i="24"/>
  <c r="AC49" i="3"/>
  <c r="CB49" i="24"/>
  <c r="CO36" i="24"/>
  <c r="AD49" i="3"/>
  <c r="CC49" i="24"/>
  <c r="CO37" i="24"/>
  <c r="AE49" i="3"/>
  <c r="CD49" i="24"/>
  <c r="CO38" i="24"/>
  <c r="AF49" i="3"/>
  <c r="CE49" i="24"/>
  <c r="CO39" i="24"/>
  <c r="AG49" i="3"/>
  <c r="CF49" i="24"/>
  <c r="CO40" i="24"/>
  <c r="AH49" i="3"/>
  <c r="CG49" i="24"/>
  <c r="CO41" i="24"/>
  <c r="AI49" i="3"/>
  <c r="CH49" i="24"/>
  <c r="CO42" i="24"/>
  <c r="AJ49" i="3"/>
  <c r="CI49" i="24"/>
  <c r="CO43" i="24"/>
  <c r="AK49" i="3"/>
  <c r="CJ49" i="24"/>
  <c r="CO44" i="24"/>
  <c r="AL49" i="3"/>
  <c r="CK49" i="24"/>
  <c r="CO45" i="24"/>
  <c r="AM49" i="3"/>
  <c r="CL49" i="24"/>
  <c r="CO46" i="24"/>
  <c r="AN49" i="3"/>
  <c r="CM49" i="24"/>
  <c r="CO47" i="24"/>
  <c r="AO49" i="3"/>
  <c r="CN49" i="24"/>
  <c r="CO48" i="24"/>
  <c r="AR49" i="24"/>
  <c r="AR49" i="25"/>
  <c r="AQ49" i="24"/>
  <c r="AQ49" i="25"/>
  <c r="AP49" i="24"/>
  <c r="AP49" i="25"/>
  <c r="AO49" i="24"/>
  <c r="AO49" i="25"/>
  <c r="AN49" i="24"/>
  <c r="AN49" i="25"/>
  <c r="AM49" i="24"/>
  <c r="AM49" i="25"/>
  <c r="AL49" i="24"/>
  <c r="AL49" i="25"/>
  <c r="AK49" i="24"/>
  <c r="AK49" i="25"/>
  <c r="AJ49" i="24"/>
  <c r="AJ49" i="25"/>
  <c r="AI49" i="24"/>
  <c r="AI49" i="25"/>
  <c r="AH49" i="24"/>
  <c r="AH49" i="25"/>
  <c r="AG49" i="24"/>
  <c r="AG49" i="25"/>
  <c r="AF49" i="24"/>
  <c r="AF49" i="25"/>
  <c r="AE49" i="24"/>
  <c r="AE49" i="25"/>
  <c r="AD49" i="24"/>
  <c r="AD49" i="25"/>
  <c r="AC49" i="24"/>
  <c r="AC49" i="25"/>
  <c r="AB49" i="24"/>
  <c r="AB49" i="25"/>
  <c r="AA49" i="24"/>
  <c r="AA49" i="25"/>
  <c r="Z49" i="24"/>
  <c r="Z49" i="25"/>
  <c r="Y49" i="24"/>
  <c r="Y49" i="25"/>
  <c r="X49" i="24"/>
  <c r="X49" i="25"/>
  <c r="W49" i="24"/>
  <c r="W49" i="25"/>
  <c r="V49" i="24"/>
  <c r="V49" i="25"/>
  <c r="U49" i="24"/>
  <c r="U49" i="25"/>
  <c r="T49" i="24"/>
  <c r="T49" i="25"/>
  <c r="S49" i="24"/>
  <c r="S49" i="25"/>
  <c r="R49" i="24"/>
  <c r="R49" i="25"/>
  <c r="Q49" i="24"/>
  <c r="Q49" i="25"/>
  <c r="P49" i="24"/>
  <c r="P49" i="25"/>
  <c r="O49" i="24"/>
  <c r="O49" i="25"/>
  <c r="N49" i="24"/>
  <c r="N49" i="25"/>
  <c r="M49" i="24"/>
  <c r="M49" i="25"/>
  <c r="L49" i="24"/>
  <c r="L49" i="25"/>
  <c r="K49" i="24"/>
  <c r="K49" i="25"/>
  <c r="J49" i="24"/>
  <c r="J49" i="25"/>
  <c r="I49" i="24"/>
  <c r="I49" i="25"/>
  <c r="H49" i="24"/>
  <c r="H49" i="25"/>
  <c r="G49" i="24"/>
  <c r="G49" i="25"/>
  <c r="F49" i="24"/>
  <c r="F49" i="25"/>
  <c r="E49" i="24"/>
  <c r="E49" i="25"/>
  <c r="CN11" i="24"/>
  <c r="E48" i="3"/>
  <c r="BD48" i="24"/>
  <c r="CN12" i="24"/>
  <c r="F48" i="3"/>
  <c r="BE48" i="24"/>
  <c r="CN13" i="24"/>
  <c r="G48" i="3"/>
  <c r="BF48" i="24"/>
  <c r="CN14" i="24"/>
  <c r="H48" i="3"/>
  <c r="BG48" i="24"/>
  <c r="CN15" i="24"/>
  <c r="I48" i="3"/>
  <c r="BH48" i="24"/>
  <c r="CN16" i="24"/>
  <c r="J48" i="3"/>
  <c r="BI48" i="24"/>
  <c r="CN17" i="24"/>
  <c r="K48" i="3"/>
  <c r="BJ48" i="24"/>
  <c r="CN18" i="24"/>
  <c r="L48" i="3"/>
  <c r="BK48" i="24"/>
  <c r="CN19" i="24"/>
  <c r="M48" i="3"/>
  <c r="BL48" i="24"/>
  <c r="CN20" i="24"/>
  <c r="N48" i="3"/>
  <c r="BM48" i="24"/>
  <c r="CN21" i="24"/>
  <c r="O48" i="3"/>
  <c r="BN48" i="24"/>
  <c r="CN22" i="24"/>
  <c r="P48" i="3"/>
  <c r="BO48" i="24"/>
  <c r="CN23" i="24"/>
  <c r="Q48" i="3"/>
  <c r="BP48" i="24"/>
  <c r="CN24" i="24"/>
  <c r="R48" i="3"/>
  <c r="BQ48" i="24"/>
  <c r="CN25" i="24"/>
  <c r="S48" i="3"/>
  <c r="BR48" i="24"/>
  <c r="CN26" i="24"/>
  <c r="T48" i="3"/>
  <c r="BS48" i="24"/>
  <c r="CN27" i="24"/>
  <c r="U48" i="3"/>
  <c r="BT48" i="24"/>
  <c r="CN28" i="24"/>
  <c r="V48" i="3"/>
  <c r="BU48" i="24"/>
  <c r="CN29" i="24"/>
  <c r="W48" i="3"/>
  <c r="BV48" i="24"/>
  <c r="CN30" i="24"/>
  <c r="X48" i="3"/>
  <c r="BW48" i="24"/>
  <c r="CN31" i="24"/>
  <c r="Y48" i="3"/>
  <c r="BX48" i="24"/>
  <c r="CN32" i="24"/>
  <c r="Z48" i="3"/>
  <c r="BY48" i="24"/>
  <c r="CN33" i="24"/>
  <c r="AA48" i="3"/>
  <c r="BZ48" i="24"/>
  <c r="CN34" i="24"/>
  <c r="AB48" i="3"/>
  <c r="CA48" i="24"/>
  <c r="CN35" i="24"/>
  <c r="AC48" i="3"/>
  <c r="CB48" i="24"/>
  <c r="CN36" i="24"/>
  <c r="AD48" i="3"/>
  <c r="CC48" i="24"/>
  <c r="CN37" i="24"/>
  <c r="AE48" i="3"/>
  <c r="CD48" i="24"/>
  <c r="CN38" i="24"/>
  <c r="AF48" i="3"/>
  <c r="CE48" i="24"/>
  <c r="CN39" i="24"/>
  <c r="AG48" i="3"/>
  <c r="CF48" i="24"/>
  <c r="CN40" i="24"/>
  <c r="AH48" i="3"/>
  <c r="CG48" i="24"/>
  <c r="CN41" i="24"/>
  <c r="AI48" i="3"/>
  <c r="CH48" i="24"/>
  <c r="CN42" i="24"/>
  <c r="AJ48" i="3"/>
  <c r="CI48" i="24"/>
  <c r="CN43" i="24"/>
  <c r="AK48" i="3"/>
  <c r="CJ48" i="24"/>
  <c r="CN44" i="24"/>
  <c r="AL48" i="3"/>
  <c r="CK48" i="24"/>
  <c r="CN45" i="24"/>
  <c r="AM48" i="3"/>
  <c r="CL48" i="24"/>
  <c r="CN46" i="24"/>
  <c r="AN48" i="3"/>
  <c r="CM48" i="24"/>
  <c r="CN47" i="24"/>
  <c r="AR48" i="24"/>
  <c r="AR48" i="25"/>
  <c r="AQ48" i="24"/>
  <c r="AQ48" i="25"/>
  <c r="AP48" i="24"/>
  <c r="AP48" i="25"/>
  <c r="AO48" i="24"/>
  <c r="AO48" i="25"/>
  <c r="AN48" i="24"/>
  <c r="AN48" i="25"/>
  <c r="AM48" i="24"/>
  <c r="AM48" i="25"/>
  <c r="AL48" i="24"/>
  <c r="AL48" i="25"/>
  <c r="AK48" i="24"/>
  <c r="AK48" i="25"/>
  <c r="AJ48" i="24"/>
  <c r="AJ48" i="25"/>
  <c r="AI48" i="24"/>
  <c r="AI48" i="25"/>
  <c r="AH48" i="24"/>
  <c r="AH48" i="25"/>
  <c r="AG48" i="24"/>
  <c r="AG48" i="25"/>
  <c r="AF48" i="24"/>
  <c r="AF48" i="25"/>
  <c r="AE48" i="24"/>
  <c r="AE48" i="25"/>
  <c r="AD48" i="24"/>
  <c r="AD48" i="25"/>
  <c r="AC48" i="24"/>
  <c r="AC48" i="25"/>
  <c r="AB48" i="24"/>
  <c r="AB48" i="25"/>
  <c r="AA48" i="24"/>
  <c r="AA48" i="25"/>
  <c r="Z48" i="24"/>
  <c r="Z48" i="25"/>
  <c r="Y48" i="24"/>
  <c r="Y48" i="25"/>
  <c r="X48" i="24"/>
  <c r="X48" i="25"/>
  <c r="W48" i="24"/>
  <c r="W48" i="25"/>
  <c r="V48" i="24"/>
  <c r="V48" i="25"/>
  <c r="U48" i="24"/>
  <c r="U48" i="25"/>
  <c r="T48" i="24"/>
  <c r="T48" i="25"/>
  <c r="S48" i="24"/>
  <c r="S48" i="25"/>
  <c r="R48" i="24"/>
  <c r="R48" i="25"/>
  <c r="Q48" i="24"/>
  <c r="Q48" i="25"/>
  <c r="P48" i="24"/>
  <c r="P48" i="25"/>
  <c r="O48" i="24"/>
  <c r="O48" i="25"/>
  <c r="N48" i="24"/>
  <c r="N48" i="25"/>
  <c r="M48" i="24"/>
  <c r="M48" i="25"/>
  <c r="L48" i="24"/>
  <c r="L48" i="25"/>
  <c r="K48" i="24"/>
  <c r="K48" i="25"/>
  <c r="J48" i="24"/>
  <c r="J48" i="25"/>
  <c r="I48" i="24"/>
  <c r="I48" i="25"/>
  <c r="H48" i="24"/>
  <c r="H48" i="25"/>
  <c r="G48" i="24"/>
  <c r="G48" i="25"/>
  <c r="F48" i="24"/>
  <c r="F48" i="25"/>
  <c r="E48" i="24"/>
  <c r="E48" i="25"/>
  <c r="CM11" i="24"/>
  <c r="E47" i="3"/>
  <c r="BD47" i="24"/>
  <c r="CM12" i="24"/>
  <c r="F47" i="3"/>
  <c r="BE47" i="24"/>
  <c r="CM13" i="24"/>
  <c r="G47" i="3"/>
  <c r="BF47" i="24"/>
  <c r="CM14" i="24"/>
  <c r="H47" i="3"/>
  <c r="BG47" i="24"/>
  <c r="CM15" i="24"/>
  <c r="I47" i="3"/>
  <c r="BH47" i="24"/>
  <c r="CM16" i="24"/>
  <c r="J47" i="3"/>
  <c r="BI47" i="24"/>
  <c r="CM17" i="24"/>
  <c r="K47" i="3"/>
  <c r="BJ47" i="24"/>
  <c r="CM18" i="24"/>
  <c r="L47" i="3"/>
  <c r="BK47" i="24"/>
  <c r="CM19" i="24"/>
  <c r="M47" i="3"/>
  <c r="BL47" i="24"/>
  <c r="CM20" i="24"/>
  <c r="N47" i="3"/>
  <c r="BM47" i="24"/>
  <c r="CM21" i="24"/>
  <c r="O47" i="3"/>
  <c r="BN47" i="24"/>
  <c r="CM22" i="24"/>
  <c r="P47" i="3"/>
  <c r="BO47" i="24"/>
  <c r="CM23" i="24"/>
  <c r="Q47" i="3"/>
  <c r="BP47" i="24"/>
  <c r="CM24" i="24"/>
  <c r="R47" i="3"/>
  <c r="BQ47" i="24"/>
  <c r="CM25" i="24"/>
  <c r="S47" i="3"/>
  <c r="BR47" i="24"/>
  <c r="CM26" i="24"/>
  <c r="T47" i="3"/>
  <c r="BS47" i="24"/>
  <c r="CM27" i="24"/>
  <c r="U47" i="3"/>
  <c r="BT47" i="24"/>
  <c r="CM28" i="24"/>
  <c r="V47" i="3"/>
  <c r="BU47" i="24"/>
  <c r="CM29" i="24"/>
  <c r="W47" i="3"/>
  <c r="BV47" i="24"/>
  <c r="CM30" i="24"/>
  <c r="X47" i="3"/>
  <c r="BW47" i="24"/>
  <c r="CM31" i="24"/>
  <c r="Y47" i="3"/>
  <c r="BX47" i="24"/>
  <c r="CM32" i="24"/>
  <c r="Z47" i="3"/>
  <c r="BY47" i="24"/>
  <c r="CM33" i="24"/>
  <c r="AA47" i="3"/>
  <c r="BZ47" i="24"/>
  <c r="CM34" i="24"/>
  <c r="AB47" i="3"/>
  <c r="CA47" i="24"/>
  <c r="CM35" i="24"/>
  <c r="AC47" i="3"/>
  <c r="CB47" i="24"/>
  <c r="CM36" i="24"/>
  <c r="AD47" i="3"/>
  <c r="CC47" i="24"/>
  <c r="CM37" i="24"/>
  <c r="AE47" i="3"/>
  <c r="CD47" i="24"/>
  <c r="CM38" i="24"/>
  <c r="AF47" i="3"/>
  <c r="CE47" i="24"/>
  <c r="CM39" i="24"/>
  <c r="AG47" i="3"/>
  <c r="CF47" i="24"/>
  <c r="CM40" i="24"/>
  <c r="AH47" i="3"/>
  <c r="CG47" i="24"/>
  <c r="CM41" i="24"/>
  <c r="AI47" i="3"/>
  <c r="CH47" i="24"/>
  <c r="CM42" i="24"/>
  <c r="AJ47" i="3"/>
  <c r="CI47" i="24"/>
  <c r="CM43" i="24"/>
  <c r="AK47" i="3"/>
  <c r="CJ47" i="24"/>
  <c r="CM44" i="24"/>
  <c r="AL47" i="3"/>
  <c r="CK47" i="24"/>
  <c r="CM45" i="24"/>
  <c r="AM47" i="3"/>
  <c r="CL47" i="24"/>
  <c r="CM46" i="24"/>
  <c r="AR47" i="24"/>
  <c r="AR47" i="25"/>
  <c r="AQ47" i="24"/>
  <c r="AQ47" i="25"/>
  <c r="AP47" i="24"/>
  <c r="AP47" i="25"/>
  <c r="AO47" i="24"/>
  <c r="AO47" i="25"/>
  <c r="AN47" i="24"/>
  <c r="AN47" i="25"/>
  <c r="AM47" i="24"/>
  <c r="AM47" i="25"/>
  <c r="AL47" i="24"/>
  <c r="AL47" i="25"/>
  <c r="AK47" i="24"/>
  <c r="AK47" i="25"/>
  <c r="AJ47" i="24"/>
  <c r="AJ47" i="25"/>
  <c r="AI47" i="24"/>
  <c r="AI47" i="25"/>
  <c r="AH47" i="24"/>
  <c r="AH47" i="25"/>
  <c r="AG47" i="24"/>
  <c r="AG47" i="25"/>
  <c r="AF47" i="24"/>
  <c r="AF47" i="25"/>
  <c r="AE47" i="24"/>
  <c r="AE47" i="25"/>
  <c r="AD47" i="24"/>
  <c r="AD47" i="25"/>
  <c r="AC47" i="24"/>
  <c r="AC47" i="25"/>
  <c r="AB47" i="24"/>
  <c r="AB47" i="25"/>
  <c r="AA47" i="24"/>
  <c r="AA47" i="25"/>
  <c r="Z47" i="24"/>
  <c r="Z47" i="25"/>
  <c r="Y47" i="24"/>
  <c r="Y47" i="25"/>
  <c r="X47" i="24"/>
  <c r="X47" i="25"/>
  <c r="W47" i="24"/>
  <c r="W47" i="25"/>
  <c r="V47" i="24"/>
  <c r="V47" i="25"/>
  <c r="U47" i="24"/>
  <c r="U47" i="25"/>
  <c r="T47" i="24"/>
  <c r="T47" i="25"/>
  <c r="S47" i="24"/>
  <c r="S47" i="25"/>
  <c r="R47" i="24"/>
  <c r="R47" i="25"/>
  <c r="Q47" i="24"/>
  <c r="Q47" i="25"/>
  <c r="P47" i="24"/>
  <c r="P47" i="25"/>
  <c r="O47" i="24"/>
  <c r="O47" i="25"/>
  <c r="N47" i="24"/>
  <c r="N47" i="25"/>
  <c r="M47" i="24"/>
  <c r="M47" i="25"/>
  <c r="L47" i="24"/>
  <c r="L47" i="25"/>
  <c r="K47" i="24"/>
  <c r="K47" i="25"/>
  <c r="J47" i="24"/>
  <c r="J47" i="25"/>
  <c r="I47" i="24"/>
  <c r="I47" i="25"/>
  <c r="H47" i="24"/>
  <c r="H47" i="25"/>
  <c r="G47" i="24"/>
  <c r="G47" i="25"/>
  <c r="F47" i="24"/>
  <c r="F47" i="25"/>
  <c r="E47" i="24"/>
  <c r="E47" i="25"/>
  <c r="CL11" i="24"/>
  <c r="E46" i="3"/>
  <c r="BD46" i="24"/>
  <c r="CL12" i="24"/>
  <c r="F46" i="3"/>
  <c r="BE46" i="24"/>
  <c r="CL13" i="24"/>
  <c r="G46" i="3"/>
  <c r="BF46" i="24"/>
  <c r="CL14" i="24"/>
  <c r="H46" i="3"/>
  <c r="BG46" i="24"/>
  <c r="CL15" i="24"/>
  <c r="I46" i="3"/>
  <c r="BH46" i="24"/>
  <c r="CL16" i="24"/>
  <c r="J46" i="3"/>
  <c r="BI46" i="24"/>
  <c r="CL17" i="24"/>
  <c r="K46" i="3"/>
  <c r="BJ46" i="24"/>
  <c r="CL18" i="24"/>
  <c r="L46" i="3"/>
  <c r="BK46" i="24"/>
  <c r="CL19" i="24"/>
  <c r="M46" i="3"/>
  <c r="BL46" i="24"/>
  <c r="CL20" i="24"/>
  <c r="N46" i="3"/>
  <c r="BM46" i="24"/>
  <c r="CL21" i="24"/>
  <c r="O46" i="3"/>
  <c r="BN46" i="24"/>
  <c r="CL22" i="24"/>
  <c r="P46" i="3"/>
  <c r="BO46" i="24"/>
  <c r="CL23" i="24"/>
  <c r="Q46" i="3"/>
  <c r="BP46" i="24"/>
  <c r="CL24" i="24"/>
  <c r="R46" i="3"/>
  <c r="BQ46" i="24"/>
  <c r="CL25" i="24"/>
  <c r="S46" i="3"/>
  <c r="BR46" i="24"/>
  <c r="CL26" i="24"/>
  <c r="T46" i="3"/>
  <c r="BS46" i="24"/>
  <c r="CL27" i="24"/>
  <c r="U46" i="3"/>
  <c r="BT46" i="24"/>
  <c r="CL28" i="24"/>
  <c r="V46" i="3"/>
  <c r="BU46" i="24"/>
  <c r="CL29" i="24"/>
  <c r="W46" i="3"/>
  <c r="BV46" i="24"/>
  <c r="CL30" i="24"/>
  <c r="X46" i="3"/>
  <c r="BW46" i="24"/>
  <c r="CL31" i="24"/>
  <c r="Y46" i="3"/>
  <c r="BX46" i="24"/>
  <c r="CL32" i="24"/>
  <c r="Z46" i="3"/>
  <c r="BY46" i="24"/>
  <c r="CL33" i="24"/>
  <c r="AA46" i="3"/>
  <c r="BZ46" i="24"/>
  <c r="CL34" i="24"/>
  <c r="AB46" i="3"/>
  <c r="CA46" i="24"/>
  <c r="CL35" i="24"/>
  <c r="AC46" i="3"/>
  <c r="CB46" i="24"/>
  <c r="CL36" i="24"/>
  <c r="AD46" i="3"/>
  <c r="CC46" i="24"/>
  <c r="CL37" i="24"/>
  <c r="AE46" i="3"/>
  <c r="CD46" i="24"/>
  <c r="CL38" i="24"/>
  <c r="AF46" i="3"/>
  <c r="CE46" i="24"/>
  <c r="CL39" i="24"/>
  <c r="AG46" i="3"/>
  <c r="CF46" i="24"/>
  <c r="CL40" i="24"/>
  <c r="AH46" i="3"/>
  <c r="CG46" i="24"/>
  <c r="CL41" i="24"/>
  <c r="AI46" i="3"/>
  <c r="CH46" i="24"/>
  <c r="CL42" i="24"/>
  <c r="AJ46" i="3"/>
  <c r="CI46" i="24"/>
  <c r="CL43" i="24"/>
  <c r="AK46" i="3"/>
  <c r="CJ46" i="24"/>
  <c r="CL44" i="24"/>
  <c r="AL46" i="3"/>
  <c r="CK46" i="24"/>
  <c r="CL45" i="24"/>
  <c r="AR46" i="24"/>
  <c r="AR46" i="25"/>
  <c r="AQ46" i="24"/>
  <c r="AQ46" i="25"/>
  <c r="AP46" i="24"/>
  <c r="AP46" i="25"/>
  <c r="AO46" i="24"/>
  <c r="AO46" i="25"/>
  <c r="AN46" i="24"/>
  <c r="AN46" i="25"/>
  <c r="AM46" i="24"/>
  <c r="AM46" i="25"/>
  <c r="AL46" i="24"/>
  <c r="AL46" i="25"/>
  <c r="AK46" i="24"/>
  <c r="AK46" i="25"/>
  <c r="AJ46" i="24"/>
  <c r="AJ46" i="25"/>
  <c r="AI46" i="24"/>
  <c r="AI46" i="25"/>
  <c r="AH46" i="24"/>
  <c r="AH46" i="25"/>
  <c r="AG46" i="24"/>
  <c r="AG46" i="25"/>
  <c r="AF46" i="24"/>
  <c r="AF46" i="25"/>
  <c r="AE46" i="24"/>
  <c r="AE46" i="25"/>
  <c r="AD46" i="24"/>
  <c r="AD46" i="25"/>
  <c r="AC46" i="24"/>
  <c r="AC46" i="25"/>
  <c r="AB46" i="24"/>
  <c r="AB46" i="25"/>
  <c r="AA46" i="24"/>
  <c r="AA46" i="25"/>
  <c r="Z46" i="24"/>
  <c r="Z46" i="25"/>
  <c r="Y46" i="24"/>
  <c r="Y46" i="25"/>
  <c r="X46" i="24"/>
  <c r="X46" i="25"/>
  <c r="W46" i="24"/>
  <c r="W46" i="25"/>
  <c r="V46" i="24"/>
  <c r="V46" i="25"/>
  <c r="U46" i="24"/>
  <c r="U46" i="25"/>
  <c r="T46" i="24"/>
  <c r="T46" i="25"/>
  <c r="S46" i="24"/>
  <c r="S46" i="25"/>
  <c r="R46" i="24"/>
  <c r="R46" i="25"/>
  <c r="Q46" i="24"/>
  <c r="Q46" i="25"/>
  <c r="P46" i="24"/>
  <c r="P46" i="25"/>
  <c r="O46" i="24"/>
  <c r="O46" i="25"/>
  <c r="N46" i="24"/>
  <c r="N46" i="25"/>
  <c r="M46" i="24"/>
  <c r="M46" i="25"/>
  <c r="L46" i="24"/>
  <c r="L46" i="25"/>
  <c r="K46" i="24"/>
  <c r="K46" i="25"/>
  <c r="J46" i="24"/>
  <c r="J46" i="25"/>
  <c r="I46" i="24"/>
  <c r="I46" i="25"/>
  <c r="H46" i="24"/>
  <c r="H46" i="25"/>
  <c r="G46" i="24"/>
  <c r="G46" i="25"/>
  <c r="F46" i="24"/>
  <c r="F46" i="25"/>
  <c r="E46" i="24"/>
  <c r="E46" i="25"/>
  <c r="CK11" i="24"/>
  <c r="E45" i="3"/>
  <c r="BD45" i="24"/>
  <c r="CK12" i="24"/>
  <c r="F45" i="3"/>
  <c r="BE45" i="24"/>
  <c r="CK13" i="24"/>
  <c r="G45" i="3"/>
  <c r="BF45" i="24"/>
  <c r="CK14" i="24"/>
  <c r="H45" i="3"/>
  <c r="BG45" i="24"/>
  <c r="CK15" i="24"/>
  <c r="I45" i="3"/>
  <c r="BH45" i="24"/>
  <c r="CK16" i="24"/>
  <c r="J45" i="3"/>
  <c r="BI45" i="24"/>
  <c r="CK17" i="24"/>
  <c r="K45" i="3"/>
  <c r="BJ45" i="24"/>
  <c r="CK18" i="24"/>
  <c r="L45" i="3"/>
  <c r="BK45" i="24"/>
  <c r="CK19" i="24"/>
  <c r="M45" i="3"/>
  <c r="BL45" i="24"/>
  <c r="CK20" i="24"/>
  <c r="N45" i="3"/>
  <c r="BM45" i="24"/>
  <c r="CK21" i="24"/>
  <c r="O45" i="3"/>
  <c r="BN45" i="24"/>
  <c r="CK22" i="24"/>
  <c r="P45" i="3"/>
  <c r="BO45" i="24"/>
  <c r="CK23" i="24"/>
  <c r="Q45" i="3"/>
  <c r="BP45" i="24"/>
  <c r="CK24" i="24"/>
  <c r="R45" i="3"/>
  <c r="BQ45" i="24"/>
  <c r="CK25" i="24"/>
  <c r="S45" i="3"/>
  <c r="BR45" i="24"/>
  <c r="CK26" i="24"/>
  <c r="T45" i="3"/>
  <c r="BS45" i="24"/>
  <c r="CK27" i="24"/>
  <c r="U45" i="3"/>
  <c r="BT45" i="24"/>
  <c r="CK28" i="24"/>
  <c r="V45" i="3"/>
  <c r="BU45" i="24"/>
  <c r="CK29" i="24"/>
  <c r="W45" i="3"/>
  <c r="BV45" i="24"/>
  <c r="CK30" i="24"/>
  <c r="X45" i="3"/>
  <c r="BW45" i="24"/>
  <c r="CK31" i="24"/>
  <c r="Y45" i="3"/>
  <c r="BX45" i="24"/>
  <c r="CK32" i="24"/>
  <c r="Z45" i="3"/>
  <c r="BY45" i="24"/>
  <c r="CK33" i="24"/>
  <c r="AA45" i="3"/>
  <c r="BZ45" i="24"/>
  <c r="CK34" i="24"/>
  <c r="AB45" i="3"/>
  <c r="CA45" i="24"/>
  <c r="CK35" i="24"/>
  <c r="AC45" i="3"/>
  <c r="CB45" i="24"/>
  <c r="CK36" i="24"/>
  <c r="AD45" i="3"/>
  <c r="CC45" i="24"/>
  <c r="CK37" i="24"/>
  <c r="AE45" i="3"/>
  <c r="CD45" i="24"/>
  <c r="CK38" i="24"/>
  <c r="AF45" i="3"/>
  <c r="CE45" i="24"/>
  <c r="CK39" i="24"/>
  <c r="AG45" i="3"/>
  <c r="CF45" i="24"/>
  <c r="CK40" i="24"/>
  <c r="AH45" i="3"/>
  <c r="CG45" i="24"/>
  <c r="CK41" i="24"/>
  <c r="AI45" i="3"/>
  <c r="CH45" i="24"/>
  <c r="CK42" i="24"/>
  <c r="AJ45" i="3"/>
  <c r="CI45" i="24"/>
  <c r="CK43" i="24"/>
  <c r="AK45" i="3"/>
  <c r="CJ45" i="24"/>
  <c r="CK44" i="24"/>
  <c r="AR45" i="24"/>
  <c r="AR45" i="25"/>
  <c r="AQ45" i="24"/>
  <c r="AQ45" i="25"/>
  <c r="AP45" i="24"/>
  <c r="AP45" i="25"/>
  <c r="AO45" i="24"/>
  <c r="AO45" i="25"/>
  <c r="AN45" i="24"/>
  <c r="AN45" i="25"/>
  <c r="AM45" i="24"/>
  <c r="AM45" i="25"/>
  <c r="AL45" i="24"/>
  <c r="AL45" i="25"/>
  <c r="AK45" i="24"/>
  <c r="AK45" i="25"/>
  <c r="AJ45" i="24"/>
  <c r="AJ45" i="25"/>
  <c r="AI45" i="24"/>
  <c r="AI45" i="25"/>
  <c r="AH45" i="24"/>
  <c r="AH45" i="25"/>
  <c r="AG45" i="24"/>
  <c r="AG45" i="25"/>
  <c r="AF45" i="24"/>
  <c r="AF45" i="25"/>
  <c r="AE45" i="24"/>
  <c r="AE45" i="25"/>
  <c r="AD45" i="24"/>
  <c r="AD45" i="25"/>
  <c r="AC45" i="24"/>
  <c r="AC45" i="25"/>
  <c r="AB45" i="24"/>
  <c r="AB45" i="25"/>
  <c r="AA45" i="24"/>
  <c r="AA45" i="25"/>
  <c r="Z45" i="24"/>
  <c r="Z45" i="25"/>
  <c r="Y45" i="24"/>
  <c r="Y45" i="25"/>
  <c r="X45" i="24"/>
  <c r="X45" i="25"/>
  <c r="W45" i="24"/>
  <c r="W45" i="25"/>
  <c r="V45" i="24"/>
  <c r="V45" i="25"/>
  <c r="U45" i="24"/>
  <c r="U45" i="25"/>
  <c r="T45" i="24"/>
  <c r="T45" i="25"/>
  <c r="S45" i="24"/>
  <c r="S45" i="25"/>
  <c r="R45" i="24"/>
  <c r="R45" i="25"/>
  <c r="Q45" i="24"/>
  <c r="Q45" i="25"/>
  <c r="P45" i="24"/>
  <c r="P45" i="25"/>
  <c r="O45" i="24"/>
  <c r="O45" i="25"/>
  <c r="N45" i="24"/>
  <c r="N45" i="25"/>
  <c r="M45" i="24"/>
  <c r="M45" i="25"/>
  <c r="L45" i="24"/>
  <c r="L45" i="25"/>
  <c r="K45" i="24"/>
  <c r="K45" i="25"/>
  <c r="J45" i="24"/>
  <c r="J45" i="25"/>
  <c r="I45" i="24"/>
  <c r="I45" i="25"/>
  <c r="H45" i="24"/>
  <c r="H45" i="25"/>
  <c r="G45" i="24"/>
  <c r="G45" i="25"/>
  <c r="F45" i="24"/>
  <c r="F45" i="25"/>
  <c r="E45" i="24"/>
  <c r="E45" i="25"/>
  <c r="CJ11" i="24"/>
  <c r="E44" i="3"/>
  <c r="BD44" i="24"/>
  <c r="CJ12" i="24"/>
  <c r="F44" i="3"/>
  <c r="BE44" i="24"/>
  <c r="CJ13" i="24"/>
  <c r="G44" i="3"/>
  <c r="BF44" i="24"/>
  <c r="CJ14" i="24"/>
  <c r="H44" i="3"/>
  <c r="BG44" i="24"/>
  <c r="CJ15" i="24"/>
  <c r="I44" i="3"/>
  <c r="BH44" i="24"/>
  <c r="CJ16" i="24"/>
  <c r="J44" i="3"/>
  <c r="BI44" i="24"/>
  <c r="CJ17" i="24"/>
  <c r="K44" i="3"/>
  <c r="BJ44" i="24"/>
  <c r="CJ18" i="24"/>
  <c r="L44" i="3"/>
  <c r="BK44" i="24"/>
  <c r="CJ19" i="24"/>
  <c r="M44" i="3"/>
  <c r="BL44" i="24"/>
  <c r="CJ20" i="24"/>
  <c r="N44" i="3"/>
  <c r="BM44" i="24"/>
  <c r="CJ21" i="24"/>
  <c r="O44" i="3"/>
  <c r="BN44" i="24"/>
  <c r="CJ22" i="24"/>
  <c r="P44" i="3"/>
  <c r="BO44" i="24"/>
  <c r="CJ23" i="24"/>
  <c r="Q44" i="3"/>
  <c r="BP44" i="24"/>
  <c r="CJ24" i="24"/>
  <c r="R44" i="3"/>
  <c r="BQ44" i="24"/>
  <c r="CJ25" i="24"/>
  <c r="S44" i="3"/>
  <c r="BR44" i="24"/>
  <c r="CJ26" i="24"/>
  <c r="T44" i="3"/>
  <c r="BS44" i="24"/>
  <c r="CJ27" i="24"/>
  <c r="U44" i="3"/>
  <c r="BT44" i="24"/>
  <c r="CJ28" i="24"/>
  <c r="V44" i="3"/>
  <c r="BU44" i="24"/>
  <c r="CJ29" i="24"/>
  <c r="W44" i="3"/>
  <c r="BV44" i="24"/>
  <c r="CJ30" i="24"/>
  <c r="X44" i="3"/>
  <c r="BW44" i="24"/>
  <c r="CJ31" i="24"/>
  <c r="Y44" i="3"/>
  <c r="BX44" i="24"/>
  <c r="CJ32" i="24"/>
  <c r="Z44" i="3"/>
  <c r="BY44" i="24"/>
  <c r="CJ33" i="24"/>
  <c r="AA44" i="3"/>
  <c r="BZ44" i="24"/>
  <c r="CJ34" i="24"/>
  <c r="AB44" i="3"/>
  <c r="CA44" i="24"/>
  <c r="CJ35" i="24"/>
  <c r="AC44" i="3"/>
  <c r="CB44" i="24"/>
  <c r="CJ36" i="24"/>
  <c r="AD44" i="3"/>
  <c r="CC44" i="24"/>
  <c r="CJ37" i="24"/>
  <c r="AE44" i="3"/>
  <c r="CD44" i="24"/>
  <c r="CJ38" i="24"/>
  <c r="AF44" i="3"/>
  <c r="CE44" i="24"/>
  <c r="CJ39" i="24"/>
  <c r="AG44" i="3"/>
  <c r="CF44" i="24"/>
  <c r="CJ40" i="24"/>
  <c r="AH44" i="3"/>
  <c r="CG44" i="24"/>
  <c r="CJ41" i="24"/>
  <c r="AI44" i="3"/>
  <c r="CH44" i="24"/>
  <c r="CJ42" i="24"/>
  <c r="AJ44" i="3"/>
  <c r="CI44" i="24"/>
  <c r="CJ43" i="24"/>
  <c r="AR44" i="24"/>
  <c r="AR44" i="25"/>
  <c r="AQ44" i="24"/>
  <c r="AQ44" i="25"/>
  <c r="AP44" i="24"/>
  <c r="AP44" i="25"/>
  <c r="AO44" i="24"/>
  <c r="AO44" i="25"/>
  <c r="AN44" i="24"/>
  <c r="AN44" i="25"/>
  <c r="AM44" i="24"/>
  <c r="AM44" i="25"/>
  <c r="AL44" i="24"/>
  <c r="AL44" i="25"/>
  <c r="AK44" i="24"/>
  <c r="AK44" i="25"/>
  <c r="AJ44" i="24"/>
  <c r="AJ44" i="25"/>
  <c r="AI44" i="24"/>
  <c r="AI44" i="25"/>
  <c r="AH44" i="24"/>
  <c r="AH44" i="25"/>
  <c r="AG44" i="24"/>
  <c r="AG44" i="25"/>
  <c r="AF44" i="24"/>
  <c r="AF44" i="25"/>
  <c r="AE44" i="24"/>
  <c r="AE44" i="25"/>
  <c r="AD44" i="24"/>
  <c r="AD44" i="25"/>
  <c r="AC44" i="24"/>
  <c r="AC44" i="25"/>
  <c r="AB44" i="24"/>
  <c r="AB44" i="25"/>
  <c r="AA44" i="24"/>
  <c r="AA44" i="25"/>
  <c r="Z44" i="24"/>
  <c r="Z44" i="25"/>
  <c r="Y44" i="24"/>
  <c r="Y44" i="25"/>
  <c r="X44" i="24"/>
  <c r="X44" i="25"/>
  <c r="W44" i="24"/>
  <c r="W44" i="25"/>
  <c r="V44" i="24"/>
  <c r="V44" i="25"/>
  <c r="U44" i="24"/>
  <c r="U44" i="25"/>
  <c r="T44" i="24"/>
  <c r="T44" i="25"/>
  <c r="S44" i="24"/>
  <c r="S44" i="25"/>
  <c r="R44" i="24"/>
  <c r="R44" i="25"/>
  <c r="Q44" i="24"/>
  <c r="Q44" i="25"/>
  <c r="P44" i="24"/>
  <c r="P44" i="25"/>
  <c r="O44" i="24"/>
  <c r="O44" i="25"/>
  <c r="N44" i="24"/>
  <c r="N44" i="25"/>
  <c r="M44" i="24"/>
  <c r="M44" i="25"/>
  <c r="L44" i="24"/>
  <c r="L44" i="25"/>
  <c r="K44" i="24"/>
  <c r="K44" i="25"/>
  <c r="J44" i="24"/>
  <c r="J44" i="25"/>
  <c r="I44" i="24"/>
  <c r="I44" i="25"/>
  <c r="H44" i="24"/>
  <c r="H44" i="25"/>
  <c r="G44" i="24"/>
  <c r="G44" i="25"/>
  <c r="F44" i="24"/>
  <c r="F44" i="25"/>
  <c r="E44" i="24"/>
  <c r="E44" i="25"/>
  <c r="CI11" i="24"/>
  <c r="E43" i="3"/>
  <c r="BD43" i="24"/>
  <c r="CI12" i="24"/>
  <c r="F43" i="3"/>
  <c r="BE43" i="24"/>
  <c r="CI13" i="24"/>
  <c r="G43" i="3"/>
  <c r="BF43" i="24"/>
  <c r="CI14" i="24"/>
  <c r="H43" i="3"/>
  <c r="BG43" i="24"/>
  <c r="CI15" i="24"/>
  <c r="I43" i="3"/>
  <c r="BH43" i="24"/>
  <c r="CI16" i="24"/>
  <c r="J43" i="3"/>
  <c r="BI43" i="24"/>
  <c r="CI17" i="24"/>
  <c r="K43" i="3"/>
  <c r="BJ43" i="24"/>
  <c r="CI18" i="24"/>
  <c r="L43" i="3"/>
  <c r="BK43" i="24"/>
  <c r="CI19" i="24"/>
  <c r="M43" i="3"/>
  <c r="BL43" i="24"/>
  <c r="CI20" i="24"/>
  <c r="N43" i="3"/>
  <c r="BM43" i="24"/>
  <c r="CI21" i="24"/>
  <c r="O43" i="3"/>
  <c r="BN43" i="24"/>
  <c r="CI22" i="24"/>
  <c r="P43" i="3"/>
  <c r="BO43" i="24"/>
  <c r="CI23" i="24"/>
  <c r="Q43" i="3"/>
  <c r="BP43" i="24"/>
  <c r="CI24" i="24"/>
  <c r="R43" i="3"/>
  <c r="BQ43" i="24"/>
  <c r="CI25" i="24"/>
  <c r="S43" i="3"/>
  <c r="BR43" i="24"/>
  <c r="CI26" i="24"/>
  <c r="T43" i="3"/>
  <c r="BS43" i="24"/>
  <c r="CI27" i="24"/>
  <c r="U43" i="3"/>
  <c r="BT43" i="24"/>
  <c r="CI28" i="24"/>
  <c r="V43" i="3"/>
  <c r="BU43" i="24"/>
  <c r="CI29" i="24"/>
  <c r="W43" i="3"/>
  <c r="BV43" i="24"/>
  <c r="CI30" i="24"/>
  <c r="X43" i="3"/>
  <c r="BW43" i="24"/>
  <c r="CI31" i="24"/>
  <c r="Y43" i="3"/>
  <c r="BX43" i="24"/>
  <c r="CI32" i="24"/>
  <c r="Z43" i="3"/>
  <c r="BY43" i="24"/>
  <c r="CI33" i="24"/>
  <c r="AA43" i="3"/>
  <c r="BZ43" i="24"/>
  <c r="CI34" i="24"/>
  <c r="AB43" i="3"/>
  <c r="CA43" i="24"/>
  <c r="CI35" i="24"/>
  <c r="AC43" i="3"/>
  <c r="CB43" i="24"/>
  <c r="CI36" i="24"/>
  <c r="AD43" i="3"/>
  <c r="CC43" i="24"/>
  <c r="CI37" i="24"/>
  <c r="AE43" i="3"/>
  <c r="CD43" i="24"/>
  <c r="CI38" i="24"/>
  <c r="AF43" i="3"/>
  <c r="CE43" i="24"/>
  <c r="CI39" i="24"/>
  <c r="AG43" i="3"/>
  <c r="CF43" i="24"/>
  <c r="CI40" i="24"/>
  <c r="AH43" i="3"/>
  <c r="CG43" i="24"/>
  <c r="CI41" i="24"/>
  <c r="AI43" i="3"/>
  <c r="CH43" i="24"/>
  <c r="CI42" i="24"/>
  <c r="AR43" i="24"/>
  <c r="AR43" i="25"/>
  <c r="AQ43" i="24"/>
  <c r="AQ43" i="25"/>
  <c r="AP43" i="24"/>
  <c r="AP43" i="25"/>
  <c r="AO43" i="24"/>
  <c r="AO43" i="25"/>
  <c r="AN43" i="24"/>
  <c r="AN43" i="25"/>
  <c r="AM43" i="24"/>
  <c r="AM43" i="25"/>
  <c r="AL43" i="24"/>
  <c r="AL43" i="25"/>
  <c r="AK43" i="24"/>
  <c r="AK43" i="25"/>
  <c r="AJ43" i="24"/>
  <c r="AJ43" i="25"/>
  <c r="AI43" i="24"/>
  <c r="AI43" i="25"/>
  <c r="AH43" i="24"/>
  <c r="AH43" i="25"/>
  <c r="AG43" i="24"/>
  <c r="AG43" i="25"/>
  <c r="AF43" i="24"/>
  <c r="AF43" i="25"/>
  <c r="AE43" i="24"/>
  <c r="AE43" i="25"/>
  <c r="AD43" i="24"/>
  <c r="AD43" i="25"/>
  <c r="AC43" i="24"/>
  <c r="AC43" i="25"/>
  <c r="AB43" i="24"/>
  <c r="AB43" i="25"/>
  <c r="AA43" i="24"/>
  <c r="AA43" i="25"/>
  <c r="Z43" i="24"/>
  <c r="Z43" i="25"/>
  <c r="Y43" i="24"/>
  <c r="Y43" i="25"/>
  <c r="X43" i="24"/>
  <c r="X43" i="25"/>
  <c r="W43" i="24"/>
  <c r="W43" i="25"/>
  <c r="V43" i="24"/>
  <c r="V43" i="25"/>
  <c r="U43" i="24"/>
  <c r="U43" i="25"/>
  <c r="T43" i="24"/>
  <c r="T43" i="25"/>
  <c r="S43" i="24"/>
  <c r="S43" i="25"/>
  <c r="R43" i="24"/>
  <c r="R43" i="25"/>
  <c r="Q43" i="24"/>
  <c r="Q43" i="25"/>
  <c r="P43" i="24"/>
  <c r="P43" i="25"/>
  <c r="O43" i="24"/>
  <c r="O43" i="25"/>
  <c r="N43" i="24"/>
  <c r="N43" i="25"/>
  <c r="M43" i="24"/>
  <c r="M43" i="25"/>
  <c r="L43" i="24"/>
  <c r="L43" i="25"/>
  <c r="K43" i="24"/>
  <c r="K43" i="25"/>
  <c r="J43" i="24"/>
  <c r="J43" i="25"/>
  <c r="I43" i="24"/>
  <c r="I43" i="25"/>
  <c r="H43" i="24"/>
  <c r="H43" i="25"/>
  <c r="G43" i="24"/>
  <c r="G43" i="25"/>
  <c r="F43" i="24"/>
  <c r="F43" i="25"/>
  <c r="E43" i="24"/>
  <c r="E43" i="25"/>
  <c r="CH11" i="24"/>
  <c r="E42" i="3"/>
  <c r="BD42" i="24"/>
  <c r="CH12" i="24"/>
  <c r="F42" i="3"/>
  <c r="BE42" i="24"/>
  <c r="CH13" i="24"/>
  <c r="G42" i="3"/>
  <c r="BF42" i="24"/>
  <c r="CH14" i="24"/>
  <c r="H42" i="3"/>
  <c r="BG42" i="24"/>
  <c r="CH15" i="24"/>
  <c r="I42" i="3"/>
  <c r="BH42" i="24"/>
  <c r="CH16" i="24"/>
  <c r="J42" i="3"/>
  <c r="BI42" i="24"/>
  <c r="CH17" i="24"/>
  <c r="K42" i="3"/>
  <c r="BJ42" i="24"/>
  <c r="CH18" i="24"/>
  <c r="L42" i="3"/>
  <c r="BK42" i="24"/>
  <c r="CH19" i="24"/>
  <c r="M42" i="3"/>
  <c r="BL42" i="24"/>
  <c r="CH20" i="24"/>
  <c r="N42" i="3"/>
  <c r="BM42" i="24"/>
  <c r="CH21" i="24"/>
  <c r="O42" i="3"/>
  <c r="BN42" i="24"/>
  <c r="CH22" i="24"/>
  <c r="P42" i="3"/>
  <c r="BO42" i="24"/>
  <c r="CH23" i="24"/>
  <c r="Q42" i="3"/>
  <c r="BP42" i="24"/>
  <c r="CH24" i="24"/>
  <c r="R42" i="3"/>
  <c r="BQ42" i="24"/>
  <c r="CH25" i="24"/>
  <c r="S42" i="3"/>
  <c r="BR42" i="24"/>
  <c r="CH26" i="24"/>
  <c r="T42" i="3"/>
  <c r="BS42" i="24"/>
  <c r="CH27" i="24"/>
  <c r="U42" i="3"/>
  <c r="BT42" i="24"/>
  <c r="CH28" i="24"/>
  <c r="V42" i="3"/>
  <c r="BU42" i="24"/>
  <c r="CH29" i="24"/>
  <c r="W42" i="3"/>
  <c r="BV42" i="24"/>
  <c r="CH30" i="24"/>
  <c r="X42" i="3"/>
  <c r="BW42" i="24"/>
  <c r="CH31" i="24"/>
  <c r="Y42" i="3"/>
  <c r="BX42" i="24"/>
  <c r="CH32" i="24"/>
  <c r="Z42" i="3"/>
  <c r="BY42" i="24"/>
  <c r="CH33" i="24"/>
  <c r="AA42" i="3"/>
  <c r="BZ42" i="24"/>
  <c r="CH34" i="24"/>
  <c r="AB42" i="3"/>
  <c r="CA42" i="24"/>
  <c r="CH35" i="24"/>
  <c r="AC42" i="3"/>
  <c r="CB42" i="24"/>
  <c r="CH36" i="24"/>
  <c r="AD42" i="3"/>
  <c r="CC42" i="24"/>
  <c r="CH37" i="24"/>
  <c r="AE42" i="3"/>
  <c r="CD42" i="24"/>
  <c r="CH38" i="24"/>
  <c r="AF42" i="3"/>
  <c r="CE42" i="24"/>
  <c r="CH39" i="24"/>
  <c r="AG42" i="3"/>
  <c r="CF42" i="24"/>
  <c r="CH40" i="24"/>
  <c r="AH42" i="3"/>
  <c r="CG42" i="24"/>
  <c r="CH41" i="24"/>
  <c r="AR42" i="24"/>
  <c r="AR42" i="25"/>
  <c r="AQ42" i="24"/>
  <c r="AQ42" i="25"/>
  <c r="AP42" i="24"/>
  <c r="AP42" i="25"/>
  <c r="AO42" i="24"/>
  <c r="AO42" i="25"/>
  <c r="AN42" i="24"/>
  <c r="AN42" i="25"/>
  <c r="AM42" i="24"/>
  <c r="AM42" i="25"/>
  <c r="AL42" i="24"/>
  <c r="AL42" i="25"/>
  <c r="AK42" i="24"/>
  <c r="AK42" i="25"/>
  <c r="AJ42" i="24"/>
  <c r="AJ42" i="25"/>
  <c r="AI42" i="24"/>
  <c r="AI42" i="25"/>
  <c r="AH42" i="24"/>
  <c r="AH42" i="25"/>
  <c r="AG42" i="24"/>
  <c r="AG42" i="25"/>
  <c r="AF42" i="24"/>
  <c r="AF42" i="25"/>
  <c r="AE42" i="24"/>
  <c r="AE42" i="25"/>
  <c r="AD42" i="24"/>
  <c r="AD42" i="25"/>
  <c r="AC42" i="24"/>
  <c r="AC42" i="25"/>
  <c r="AB42" i="24"/>
  <c r="AB42" i="25"/>
  <c r="AA42" i="24"/>
  <c r="AA42" i="25"/>
  <c r="Z42" i="24"/>
  <c r="Z42" i="25"/>
  <c r="Y42" i="24"/>
  <c r="Y42" i="25"/>
  <c r="X42" i="24"/>
  <c r="X42" i="25"/>
  <c r="W42" i="24"/>
  <c r="W42" i="25"/>
  <c r="V42" i="24"/>
  <c r="V42" i="25"/>
  <c r="U42" i="24"/>
  <c r="U42" i="25"/>
  <c r="T42" i="24"/>
  <c r="T42" i="25"/>
  <c r="S42" i="24"/>
  <c r="S42" i="25"/>
  <c r="R42" i="24"/>
  <c r="R42" i="25"/>
  <c r="Q42" i="24"/>
  <c r="Q42" i="25"/>
  <c r="P42" i="24"/>
  <c r="P42" i="25"/>
  <c r="O42" i="24"/>
  <c r="O42" i="25"/>
  <c r="N42" i="24"/>
  <c r="N42" i="25"/>
  <c r="M42" i="24"/>
  <c r="M42" i="25"/>
  <c r="L42" i="24"/>
  <c r="L42" i="25"/>
  <c r="K42" i="24"/>
  <c r="K42" i="25"/>
  <c r="J42" i="24"/>
  <c r="J42" i="25"/>
  <c r="I42" i="24"/>
  <c r="I42" i="25"/>
  <c r="H42" i="24"/>
  <c r="H42" i="25"/>
  <c r="G42" i="24"/>
  <c r="G42" i="25"/>
  <c r="F42" i="24"/>
  <c r="F42" i="25"/>
  <c r="E42" i="24"/>
  <c r="E42" i="25"/>
  <c r="CG11" i="24"/>
  <c r="E41" i="3"/>
  <c r="BD41" i="24"/>
  <c r="CG12" i="24"/>
  <c r="F41" i="3"/>
  <c r="BE41" i="24"/>
  <c r="CG13" i="24"/>
  <c r="G41" i="3"/>
  <c r="BF41" i="24"/>
  <c r="CG14" i="24"/>
  <c r="H41" i="3"/>
  <c r="BG41" i="24"/>
  <c r="CG15" i="24"/>
  <c r="I41" i="3"/>
  <c r="BH41" i="24"/>
  <c r="CG16" i="24"/>
  <c r="J41" i="3"/>
  <c r="BI41" i="24"/>
  <c r="CG17" i="24"/>
  <c r="K41" i="3"/>
  <c r="BJ41" i="24"/>
  <c r="CG18" i="24"/>
  <c r="L41" i="3"/>
  <c r="BK41" i="24"/>
  <c r="CG19" i="24"/>
  <c r="M41" i="3"/>
  <c r="BL41" i="24"/>
  <c r="CG20" i="24"/>
  <c r="N41" i="3"/>
  <c r="BM41" i="24"/>
  <c r="CG21" i="24"/>
  <c r="O41" i="3"/>
  <c r="BN41" i="24"/>
  <c r="CG22" i="24"/>
  <c r="P41" i="3"/>
  <c r="BO41" i="24"/>
  <c r="CG23" i="24"/>
  <c r="Q41" i="3"/>
  <c r="BP41" i="24"/>
  <c r="CG24" i="24"/>
  <c r="R41" i="3"/>
  <c r="BQ41" i="24"/>
  <c r="CG25" i="24"/>
  <c r="S41" i="3"/>
  <c r="BR41" i="24"/>
  <c r="CG26" i="24"/>
  <c r="T41" i="3"/>
  <c r="BS41" i="24"/>
  <c r="CG27" i="24"/>
  <c r="U41" i="3"/>
  <c r="BT41" i="24"/>
  <c r="CG28" i="24"/>
  <c r="V41" i="3"/>
  <c r="BU41" i="24"/>
  <c r="CG29" i="24"/>
  <c r="W41" i="3"/>
  <c r="BV41" i="24"/>
  <c r="CG30" i="24"/>
  <c r="X41" i="3"/>
  <c r="BW41" i="24"/>
  <c r="CG31" i="24"/>
  <c r="Y41" i="3"/>
  <c r="BX41" i="24"/>
  <c r="CG32" i="24"/>
  <c r="Z41" i="3"/>
  <c r="BY41" i="24"/>
  <c r="CG33" i="24"/>
  <c r="AA41" i="3"/>
  <c r="BZ41" i="24"/>
  <c r="CG34" i="24"/>
  <c r="AB41" i="3"/>
  <c r="CA41" i="24"/>
  <c r="CG35" i="24"/>
  <c r="AC41" i="3"/>
  <c r="CB41" i="24"/>
  <c r="CG36" i="24"/>
  <c r="AD41" i="3"/>
  <c r="CC41" i="24"/>
  <c r="CG37" i="24"/>
  <c r="AE41" i="3"/>
  <c r="CD41" i="24"/>
  <c r="CG38" i="24"/>
  <c r="AF41" i="3"/>
  <c r="CE41" i="24"/>
  <c r="CG39" i="24"/>
  <c r="AG41" i="3"/>
  <c r="CF41" i="24"/>
  <c r="CG40" i="24"/>
  <c r="AR41" i="24"/>
  <c r="AR41" i="25"/>
  <c r="AQ41" i="24"/>
  <c r="AQ41" i="25"/>
  <c r="AP41" i="24"/>
  <c r="AP41" i="25"/>
  <c r="AO41" i="24"/>
  <c r="AO41" i="25"/>
  <c r="AN41" i="24"/>
  <c r="AN41" i="25"/>
  <c r="AM41" i="24"/>
  <c r="AM41" i="25"/>
  <c r="AL41" i="24"/>
  <c r="AL41" i="25"/>
  <c r="AK41" i="24"/>
  <c r="AK41" i="25"/>
  <c r="AJ41" i="24"/>
  <c r="AJ41" i="25"/>
  <c r="AI41" i="24"/>
  <c r="AI41" i="25"/>
  <c r="AH41" i="24"/>
  <c r="AH41" i="25"/>
  <c r="AG41" i="24"/>
  <c r="AG41" i="25"/>
  <c r="AF41" i="24"/>
  <c r="AF41" i="25"/>
  <c r="AE41" i="24"/>
  <c r="AE41" i="25"/>
  <c r="AD41" i="24"/>
  <c r="AD41" i="25"/>
  <c r="AC41" i="24"/>
  <c r="AC41" i="25"/>
  <c r="AB41" i="24"/>
  <c r="AB41" i="25"/>
  <c r="AA41" i="24"/>
  <c r="AA41" i="25"/>
  <c r="Z41" i="24"/>
  <c r="Z41" i="25"/>
  <c r="Y41" i="24"/>
  <c r="Y41" i="25"/>
  <c r="X41" i="24"/>
  <c r="X41" i="25"/>
  <c r="W41" i="24"/>
  <c r="W41" i="25"/>
  <c r="V41" i="24"/>
  <c r="V41" i="25"/>
  <c r="U41" i="24"/>
  <c r="U41" i="25"/>
  <c r="T41" i="24"/>
  <c r="T41" i="25"/>
  <c r="S41" i="24"/>
  <c r="S41" i="25"/>
  <c r="R41" i="24"/>
  <c r="R41" i="25"/>
  <c r="Q41" i="24"/>
  <c r="Q41" i="25"/>
  <c r="P41" i="24"/>
  <c r="P41" i="25"/>
  <c r="O41" i="24"/>
  <c r="O41" i="25"/>
  <c r="N41" i="24"/>
  <c r="N41" i="25"/>
  <c r="M41" i="24"/>
  <c r="M41" i="25"/>
  <c r="L41" i="24"/>
  <c r="L41" i="25"/>
  <c r="K41" i="24"/>
  <c r="K41" i="25"/>
  <c r="J41" i="24"/>
  <c r="J41" i="25"/>
  <c r="I41" i="24"/>
  <c r="I41" i="25"/>
  <c r="H41" i="24"/>
  <c r="H41" i="25"/>
  <c r="G41" i="24"/>
  <c r="G41" i="25"/>
  <c r="F41" i="24"/>
  <c r="F41" i="25"/>
  <c r="E41" i="24"/>
  <c r="E41" i="25"/>
  <c r="CF11" i="24"/>
  <c r="E40" i="3"/>
  <c r="BD40" i="24"/>
  <c r="CF12" i="24"/>
  <c r="F40" i="3"/>
  <c r="BE40" i="24"/>
  <c r="CF13" i="24"/>
  <c r="G40" i="3"/>
  <c r="BF40" i="24"/>
  <c r="CF14" i="24"/>
  <c r="H40" i="3"/>
  <c r="BG40" i="24"/>
  <c r="CF15" i="24"/>
  <c r="I40" i="3"/>
  <c r="BH40" i="24"/>
  <c r="CF16" i="24"/>
  <c r="J40" i="3"/>
  <c r="BI40" i="24"/>
  <c r="CF17" i="24"/>
  <c r="K40" i="3"/>
  <c r="BJ40" i="24"/>
  <c r="CF18" i="24"/>
  <c r="L40" i="3"/>
  <c r="BK40" i="24"/>
  <c r="CF19" i="24"/>
  <c r="M40" i="3"/>
  <c r="BL40" i="24"/>
  <c r="CF20" i="24"/>
  <c r="N40" i="3"/>
  <c r="BM40" i="24"/>
  <c r="CF21" i="24"/>
  <c r="O40" i="3"/>
  <c r="BN40" i="24"/>
  <c r="CF22" i="24"/>
  <c r="P40" i="3"/>
  <c r="BO40" i="24"/>
  <c r="CF23" i="24"/>
  <c r="Q40" i="3"/>
  <c r="BP40" i="24"/>
  <c r="CF24" i="24"/>
  <c r="R40" i="3"/>
  <c r="BQ40" i="24"/>
  <c r="CF25" i="24"/>
  <c r="S40" i="3"/>
  <c r="BR40" i="24"/>
  <c r="CF26" i="24"/>
  <c r="T40" i="3"/>
  <c r="BS40" i="24"/>
  <c r="CF27" i="24"/>
  <c r="U40" i="3"/>
  <c r="BT40" i="24"/>
  <c r="CF28" i="24"/>
  <c r="V40" i="3"/>
  <c r="BU40" i="24"/>
  <c r="CF29" i="24"/>
  <c r="W40" i="3"/>
  <c r="BV40" i="24"/>
  <c r="CF30" i="24"/>
  <c r="X40" i="3"/>
  <c r="BW40" i="24"/>
  <c r="CF31" i="24"/>
  <c r="Y40" i="3"/>
  <c r="BX40" i="24"/>
  <c r="CF32" i="24"/>
  <c r="Z40" i="3"/>
  <c r="BY40" i="24"/>
  <c r="CF33" i="24"/>
  <c r="AA40" i="3"/>
  <c r="BZ40" i="24"/>
  <c r="CF34" i="24"/>
  <c r="AB40" i="3"/>
  <c r="CA40" i="24"/>
  <c r="CF35" i="24"/>
  <c r="AC40" i="3"/>
  <c r="CB40" i="24"/>
  <c r="CF36" i="24"/>
  <c r="AD40" i="3"/>
  <c r="CC40" i="24"/>
  <c r="CF37" i="24"/>
  <c r="AE40" i="3"/>
  <c r="CD40" i="24"/>
  <c r="CF38" i="24"/>
  <c r="AF40" i="3"/>
  <c r="CE40" i="24"/>
  <c r="CF39" i="24"/>
  <c r="AR40" i="24"/>
  <c r="AR40" i="25"/>
  <c r="AQ40" i="24"/>
  <c r="AQ40" i="25"/>
  <c r="AP40" i="24"/>
  <c r="AP40" i="25"/>
  <c r="AO40" i="24"/>
  <c r="AO40" i="25"/>
  <c r="AN40" i="24"/>
  <c r="AN40" i="25"/>
  <c r="AM40" i="24"/>
  <c r="AM40" i="25"/>
  <c r="AL40" i="24"/>
  <c r="AL40" i="25"/>
  <c r="AK40" i="24"/>
  <c r="AK40" i="25"/>
  <c r="AJ40" i="24"/>
  <c r="AJ40" i="25"/>
  <c r="AI40" i="24"/>
  <c r="AI40" i="25"/>
  <c r="AH40" i="24"/>
  <c r="AH40" i="25"/>
  <c r="AG40" i="24"/>
  <c r="AG40" i="25"/>
  <c r="AF40" i="24"/>
  <c r="AF40" i="25"/>
  <c r="AE40" i="24"/>
  <c r="AE40" i="25"/>
  <c r="AD40" i="24"/>
  <c r="AD40" i="25"/>
  <c r="AC40" i="24"/>
  <c r="AC40" i="25"/>
  <c r="AB40" i="24"/>
  <c r="AB40" i="25"/>
  <c r="AA40" i="24"/>
  <c r="AA40" i="25"/>
  <c r="Z40" i="24"/>
  <c r="Z40" i="25"/>
  <c r="Y40" i="24"/>
  <c r="Y40" i="25"/>
  <c r="X40" i="24"/>
  <c r="X40" i="25"/>
  <c r="W40" i="24"/>
  <c r="W40" i="25"/>
  <c r="V40" i="24"/>
  <c r="V40" i="25"/>
  <c r="U40" i="24"/>
  <c r="U40" i="25"/>
  <c r="T40" i="24"/>
  <c r="T40" i="25"/>
  <c r="S40" i="24"/>
  <c r="S40" i="25"/>
  <c r="R40" i="24"/>
  <c r="R40" i="25"/>
  <c r="Q40" i="24"/>
  <c r="Q40" i="25"/>
  <c r="P40" i="24"/>
  <c r="P40" i="25"/>
  <c r="O40" i="24"/>
  <c r="O40" i="25"/>
  <c r="N40" i="24"/>
  <c r="N40" i="25"/>
  <c r="M40" i="24"/>
  <c r="M40" i="25"/>
  <c r="L40" i="24"/>
  <c r="L40" i="25"/>
  <c r="K40" i="24"/>
  <c r="K40" i="25"/>
  <c r="J40" i="24"/>
  <c r="J40" i="25"/>
  <c r="I40" i="24"/>
  <c r="I40" i="25"/>
  <c r="H40" i="24"/>
  <c r="H40" i="25"/>
  <c r="G40" i="24"/>
  <c r="G40" i="25"/>
  <c r="F40" i="24"/>
  <c r="F40" i="25"/>
  <c r="E40" i="24"/>
  <c r="E40" i="25"/>
  <c r="CE11" i="24"/>
  <c r="E39" i="3"/>
  <c r="BD39" i="24"/>
  <c r="CE12" i="24"/>
  <c r="F39" i="3"/>
  <c r="BE39" i="24"/>
  <c r="CE13" i="24"/>
  <c r="G39" i="3"/>
  <c r="BF39" i="24"/>
  <c r="CE14" i="24"/>
  <c r="H39" i="3"/>
  <c r="BG39" i="24"/>
  <c r="CE15" i="24"/>
  <c r="I39" i="3"/>
  <c r="BH39" i="24"/>
  <c r="CE16" i="24"/>
  <c r="J39" i="3"/>
  <c r="BI39" i="24"/>
  <c r="CE17" i="24"/>
  <c r="K39" i="3"/>
  <c r="BJ39" i="24"/>
  <c r="CE18" i="24"/>
  <c r="L39" i="3"/>
  <c r="BK39" i="24"/>
  <c r="CE19" i="24"/>
  <c r="M39" i="3"/>
  <c r="BL39" i="24"/>
  <c r="CE20" i="24"/>
  <c r="N39" i="3"/>
  <c r="BM39" i="24"/>
  <c r="CE21" i="24"/>
  <c r="O39" i="3"/>
  <c r="BN39" i="24"/>
  <c r="CE22" i="24"/>
  <c r="P39" i="3"/>
  <c r="BO39" i="24"/>
  <c r="CE23" i="24"/>
  <c r="Q39" i="3"/>
  <c r="BP39" i="24"/>
  <c r="CE24" i="24"/>
  <c r="R39" i="3"/>
  <c r="BQ39" i="24"/>
  <c r="CE25" i="24"/>
  <c r="S39" i="3"/>
  <c r="BR39" i="24"/>
  <c r="CE26" i="24"/>
  <c r="T39" i="3"/>
  <c r="BS39" i="24"/>
  <c r="CE27" i="24"/>
  <c r="U39" i="3"/>
  <c r="BT39" i="24"/>
  <c r="CE28" i="24"/>
  <c r="V39" i="3"/>
  <c r="BU39" i="24"/>
  <c r="CE29" i="24"/>
  <c r="W39" i="3"/>
  <c r="BV39" i="24"/>
  <c r="CE30" i="24"/>
  <c r="X39" i="3"/>
  <c r="BW39" i="24"/>
  <c r="CE31" i="24"/>
  <c r="Y39" i="3"/>
  <c r="BX39" i="24"/>
  <c r="CE32" i="24"/>
  <c r="Z39" i="3"/>
  <c r="BY39" i="24"/>
  <c r="CE33" i="24"/>
  <c r="AA39" i="3"/>
  <c r="BZ39" i="24"/>
  <c r="CE34" i="24"/>
  <c r="AB39" i="3"/>
  <c r="CA39" i="24"/>
  <c r="CE35" i="24"/>
  <c r="AC39" i="3"/>
  <c r="CB39" i="24"/>
  <c r="CE36" i="24"/>
  <c r="AD39" i="3"/>
  <c r="CC39" i="24"/>
  <c r="CE37" i="24"/>
  <c r="AE39" i="3"/>
  <c r="CD39" i="24"/>
  <c r="CE38" i="24"/>
  <c r="AR39" i="24"/>
  <c r="AR39" i="25"/>
  <c r="AQ39" i="24"/>
  <c r="AQ39" i="25"/>
  <c r="AP39" i="24"/>
  <c r="AP39" i="25"/>
  <c r="AO39" i="24"/>
  <c r="AO39" i="25"/>
  <c r="AN39" i="24"/>
  <c r="AN39" i="25"/>
  <c r="AM39" i="24"/>
  <c r="AM39" i="25"/>
  <c r="AL39" i="24"/>
  <c r="AL39" i="25"/>
  <c r="AK39" i="24"/>
  <c r="AK39" i="25"/>
  <c r="AJ39" i="24"/>
  <c r="AJ39" i="25"/>
  <c r="AI39" i="24"/>
  <c r="AI39" i="25"/>
  <c r="AH39" i="24"/>
  <c r="AH39" i="25"/>
  <c r="AG39" i="24"/>
  <c r="AG39" i="25"/>
  <c r="AF39" i="24"/>
  <c r="AF39" i="25"/>
  <c r="AE39" i="24"/>
  <c r="AE39" i="25"/>
  <c r="AD39" i="24"/>
  <c r="AD39" i="25"/>
  <c r="AC39" i="24"/>
  <c r="AC39" i="25"/>
  <c r="AB39" i="24"/>
  <c r="AB39" i="25"/>
  <c r="AA39" i="24"/>
  <c r="AA39" i="25"/>
  <c r="Z39" i="24"/>
  <c r="Z39" i="25"/>
  <c r="Y39" i="24"/>
  <c r="Y39" i="25"/>
  <c r="X39" i="24"/>
  <c r="X39" i="25"/>
  <c r="W39" i="24"/>
  <c r="W39" i="25"/>
  <c r="V39" i="24"/>
  <c r="V39" i="25"/>
  <c r="U39" i="24"/>
  <c r="U39" i="25"/>
  <c r="T39" i="24"/>
  <c r="T39" i="25"/>
  <c r="S39" i="24"/>
  <c r="S39" i="25"/>
  <c r="R39" i="24"/>
  <c r="R39" i="25"/>
  <c r="Q39" i="24"/>
  <c r="Q39" i="25"/>
  <c r="P39" i="24"/>
  <c r="P39" i="25"/>
  <c r="O39" i="24"/>
  <c r="O39" i="25"/>
  <c r="N39" i="24"/>
  <c r="N39" i="25"/>
  <c r="M39" i="24"/>
  <c r="M39" i="25"/>
  <c r="L39" i="24"/>
  <c r="L39" i="25"/>
  <c r="K39" i="24"/>
  <c r="K39" i="25"/>
  <c r="J39" i="24"/>
  <c r="J39" i="25"/>
  <c r="I39" i="24"/>
  <c r="I39" i="25"/>
  <c r="H39" i="24"/>
  <c r="H39" i="25"/>
  <c r="G39" i="24"/>
  <c r="G39" i="25"/>
  <c r="F39" i="24"/>
  <c r="F39" i="25"/>
  <c r="E39" i="24"/>
  <c r="E39" i="25"/>
  <c r="CD11" i="24"/>
  <c r="E38" i="3"/>
  <c r="BD38" i="24"/>
  <c r="CD12" i="24"/>
  <c r="F38" i="3"/>
  <c r="BE38" i="24"/>
  <c r="CD13" i="24"/>
  <c r="G38" i="3"/>
  <c r="BF38" i="24"/>
  <c r="CD14" i="24"/>
  <c r="H38" i="3"/>
  <c r="BG38" i="24"/>
  <c r="CD15" i="24"/>
  <c r="I38" i="3"/>
  <c r="BH38" i="24"/>
  <c r="CD16" i="24"/>
  <c r="J38" i="3"/>
  <c r="BI38" i="24"/>
  <c r="CD17" i="24"/>
  <c r="K38" i="3"/>
  <c r="BJ38" i="24"/>
  <c r="CD18" i="24"/>
  <c r="L38" i="3"/>
  <c r="BK38" i="24"/>
  <c r="CD19" i="24"/>
  <c r="M38" i="3"/>
  <c r="BL38" i="24"/>
  <c r="CD20" i="24"/>
  <c r="N38" i="3"/>
  <c r="BM38" i="24"/>
  <c r="CD21" i="24"/>
  <c r="O38" i="3"/>
  <c r="BN38" i="24"/>
  <c r="CD22" i="24"/>
  <c r="P38" i="3"/>
  <c r="BO38" i="24"/>
  <c r="CD23" i="24"/>
  <c r="Q38" i="3"/>
  <c r="BP38" i="24"/>
  <c r="CD24" i="24"/>
  <c r="R38" i="3"/>
  <c r="BQ38" i="24"/>
  <c r="CD25" i="24"/>
  <c r="S38" i="3"/>
  <c r="BR38" i="24"/>
  <c r="CD26" i="24"/>
  <c r="T38" i="3"/>
  <c r="BS38" i="24"/>
  <c r="CD27" i="24"/>
  <c r="U38" i="3"/>
  <c r="BT38" i="24"/>
  <c r="CD28" i="24"/>
  <c r="V38" i="3"/>
  <c r="BU38" i="24"/>
  <c r="CD29" i="24"/>
  <c r="W38" i="3"/>
  <c r="BV38" i="24"/>
  <c r="CD30" i="24"/>
  <c r="X38" i="3"/>
  <c r="BW38" i="24"/>
  <c r="CD31" i="24"/>
  <c r="Y38" i="3"/>
  <c r="BX38" i="24"/>
  <c r="CD32" i="24"/>
  <c r="Z38" i="3"/>
  <c r="BY38" i="24"/>
  <c r="CD33" i="24"/>
  <c r="AA38" i="3"/>
  <c r="BZ38" i="24"/>
  <c r="CD34" i="24"/>
  <c r="AB38" i="3"/>
  <c r="CA38" i="24"/>
  <c r="CD35" i="24"/>
  <c r="AC38" i="3"/>
  <c r="CB38" i="24"/>
  <c r="CD36" i="24"/>
  <c r="AD38" i="3"/>
  <c r="CC38" i="24"/>
  <c r="CD37" i="24"/>
  <c r="AR38" i="24"/>
  <c r="AR38" i="25"/>
  <c r="AQ38" i="24"/>
  <c r="AQ38" i="25"/>
  <c r="AP38" i="24"/>
  <c r="AP38" i="25"/>
  <c r="AO38" i="24"/>
  <c r="AO38" i="25"/>
  <c r="AN38" i="24"/>
  <c r="AN38" i="25"/>
  <c r="AM38" i="24"/>
  <c r="AM38" i="25"/>
  <c r="AL38" i="24"/>
  <c r="AL38" i="25"/>
  <c r="AK38" i="24"/>
  <c r="AK38" i="25"/>
  <c r="AJ38" i="24"/>
  <c r="AJ38" i="25"/>
  <c r="AI38" i="24"/>
  <c r="AI38" i="25"/>
  <c r="AH38" i="24"/>
  <c r="AH38" i="25"/>
  <c r="AG38" i="24"/>
  <c r="AG38" i="25"/>
  <c r="AF38" i="24"/>
  <c r="AF38" i="25"/>
  <c r="AE38" i="24"/>
  <c r="AE38" i="25"/>
  <c r="AD38" i="24"/>
  <c r="AD38" i="25"/>
  <c r="AC38" i="24"/>
  <c r="AC38" i="25"/>
  <c r="AB38" i="24"/>
  <c r="AB38" i="25"/>
  <c r="AA38" i="24"/>
  <c r="AA38" i="25"/>
  <c r="Z38" i="24"/>
  <c r="Z38" i="25"/>
  <c r="Y38" i="24"/>
  <c r="Y38" i="25"/>
  <c r="X38" i="24"/>
  <c r="X38" i="25"/>
  <c r="W38" i="24"/>
  <c r="W38" i="25"/>
  <c r="V38" i="24"/>
  <c r="V38" i="25"/>
  <c r="U38" i="24"/>
  <c r="U38" i="25"/>
  <c r="T38" i="24"/>
  <c r="T38" i="25"/>
  <c r="S38" i="24"/>
  <c r="S38" i="25"/>
  <c r="R38" i="24"/>
  <c r="R38" i="25"/>
  <c r="Q38" i="24"/>
  <c r="Q38" i="25"/>
  <c r="P38" i="24"/>
  <c r="P38" i="25"/>
  <c r="O38" i="24"/>
  <c r="O38" i="25"/>
  <c r="N38" i="24"/>
  <c r="N38" i="25"/>
  <c r="M38" i="24"/>
  <c r="M38" i="25"/>
  <c r="L38" i="24"/>
  <c r="L38" i="25"/>
  <c r="K38" i="24"/>
  <c r="K38" i="25"/>
  <c r="J38" i="24"/>
  <c r="J38" i="25"/>
  <c r="I38" i="24"/>
  <c r="I38" i="25"/>
  <c r="H38" i="24"/>
  <c r="H38" i="25"/>
  <c r="G38" i="24"/>
  <c r="G38" i="25"/>
  <c r="F38" i="24"/>
  <c r="F38" i="25"/>
  <c r="E38" i="24"/>
  <c r="E38" i="25"/>
  <c r="CC11" i="24"/>
  <c r="E37" i="3"/>
  <c r="BD37" i="24"/>
  <c r="CC12" i="24"/>
  <c r="F37" i="3"/>
  <c r="BE37" i="24"/>
  <c r="CC13" i="24"/>
  <c r="G37" i="3"/>
  <c r="BF37" i="24"/>
  <c r="CC14" i="24"/>
  <c r="H37" i="3"/>
  <c r="BG37" i="24"/>
  <c r="CC15" i="24"/>
  <c r="I37" i="3"/>
  <c r="BH37" i="24"/>
  <c r="CC16" i="24"/>
  <c r="J37" i="3"/>
  <c r="BI37" i="24"/>
  <c r="CC17" i="24"/>
  <c r="K37" i="3"/>
  <c r="BJ37" i="24"/>
  <c r="CC18" i="24"/>
  <c r="L37" i="3"/>
  <c r="BK37" i="24"/>
  <c r="CC19" i="24"/>
  <c r="M37" i="3"/>
  <c r="BL37" i="24"/>
  <c r="CC20" i="24"/>
  <c r="N37" i="3"/>
  <c r="BM37" i="24"/>
  <c r="CC21" i="24"/>
  <c r="O37" i="3"/>
  <c r="BN37" i="24"/>
  <c r="CC22" i="24"/>
  <c r="P37" i="3"/>
  <c r="BO37" i="24"/>
  <c r="CC23" i="24"/>
  <c r="Q37" i="3"/>
  <c r="BP37" i="24"/>
  <c r="CC24" i="24"/>
  <c r="R37" i="3"/>
  <c r="BQ37" i="24"/>
  <c r="CC25" i="24"/>
  <c r="S37" i="3"/>
  <c r="BR37" i="24"/>
  <c r="CC26" i="24"/>
  <c r="T37" i="3"/>
  <c r="BS37" i="24"/>
  <c r="CC27" i="24"/>
  <c r="U37" i="3"/>
  <c r="BT37" i="24"/>
  <c r="CC28" i="24"/>
  <c r="V37" i="3"/>
  <c r="BU37" i="24"/>
  <c r="CC29" i="24"/>
  <c r="W37" i="3"/>
  <c r="BV37" i="24"/>
  <c r="CC30" i="24"/>
  <c r="X37" i="3"/>
  <c r="BW37" i="24"/>
  <c r="CC31" i="24"/>
  <c r="Y37" i="3"/>
  <c r="BX37" i="24"/>
  <c r="CC32" i="24"/>
  <c r="Z37" i="3"/>
  <c r="BY37" i="24"/>
  <c r="CC33" i="24"/>
  <c r="AA37" i="3"/>
  <c r="BZ37" i="24"/>
  <c r="CC34" i="24"/>
  <c r="AB37" i="3"/>
  <c r="CA37" i="24"/>
  <c r="CC35" i="24"/>
  <c r="AC37" i="3"/>
  <c r="CB37" i="24"/>
  <c r="CC36" i="24"/>
  <c r="AR37" i="24"/>
  <c r="AR37" i="25"/>
  <c r="AQ37" i="24"/>
  <c r="AQ37" i="25"/>
  <c r="AP37" i="24"/>
  <c r="AP37" i="25"/>
  <c r="AO37" i="24"/>
  <c r="AO37" i="25"/>
  <c r="AN37" i="24"/>
  <c r="AN37" i="25"/>
  <c r="AM37" i="24"/>
  <c r="AM37" i="25"/>
  <c r="AL37" i="24"/>
  <c r="AL37" i="25"/>
  <c r="AK37" i="24"/>
  <c r="AK37" i="25"/>
  <c r="AJ37" i="24"/>
  <c r="AJ37" i="25"/>
  <c r="AI37" i="24"/>
  <c r="AI37" i="25"/>
  <c r="AH37" i="24"/>
  <c r="AH37" i="25"/>
  <c r="AG37" i="24"/>
  <c r="AG37" i="25"/>
  <c r="AF37" i="24"/>
  <c r="AF37" i="25"/>
  <c r="AE37" i="24"/>
  <c r="AE37" i="25"/>
  <c r="AD37" i="24"/>
  <c r="AD37" i="25"/>
  <c r="AC37" i="24"/>
  <c r="AC37" i="25"/>
  <c r="AB37" i="24"/>
  <c r="AB37" i="25"/>
  <c r="AA37" i="24"/>
  <c r="AA37" i="25"/>
  <c r="Z37" i="24"/>
  <c r="Z37" i="25"/>
  <c r="Y37" i="24"/>
  <c r="Y37" i="25"/>
  <c r="X37" i="24"/>
  <c r="X37" i="25"/>
  <c r="W37" i="24"/>
  <c r="W37" i="25"/>
  <c r="V37" i="24"/>
  <c r="V37" i="25"/>
  <c r="U37" i="24"/>
  <c r="U37" i="25"/>
  <c r="T37" i="24"/>
  <c r="T37" i="25"/>
  <c r="S37" i="24"/>
  <c r="S37" i="25"/>
  <c r="R37" i="24"/>
  <c r="R37" i="25"/>
  <c r="Q37" i="24"/>
  <c r="Q37" i="25"/>
  <c r="P37" i="24"/>
  <c r="P37" i="25"/>
  <c r="O37" i="24"/>
  <c r="O37" i="25"/>
  <c r="N37" i="24"/>
  <c r="N37" i="25"/>
  <c r="M37" i="24"/>
  <c r="M37" i="25"/>
  <c r="L37" i="24"/>
  <c r="L37" i="25"/>
  <c r="K37" i="24"/>
  <c r="K37" i="25"/>
  <c r="J37" i="24"/>
  <c r="J37" i="25"/>
  <c r="I37" i="24"/>
  <c r="I37" i="25"/>
  <c r="H37" i="24"/>
  <c r="H37" i="25"/>
  <c r="G37" i="24"/>
  <c r="G37" i="25"/>
  <c r="F37" i="24"/>
  <c r="F37" i="25"/>
  <c r="E37" i="24"/>
  <c r="E37" i="25"/>
  <c r="CB11" i="24"/>
  <c r="E36" i="3"/>
  <c r="BD36" i="24"/>
  <c r="CB12" i="24"/>
  <c r="F36" i="3"/>
  <c r="BE36" i="24"/>
  <c r="CB13" i="24"/>
  <c r="G36" i="3"/>
  <c r="BF36" i="24"/>
  <c r="CB14" i="24"/>
  <c r="H36" i="3"/>
  <c r="BG36" i="24"/>
  <c r="CB15" i="24"/>
  <c r="I36" i="3"/>
  <c r="BH36" i="24"/>
  <c r="CB16" i="24"/>
  <c r="J36" i="3"/>
  <c r="BI36" i="24"/>
  <c r="CB17" i="24"/>
  <c r="K36" i="3"/>
  <c r="BJ36" i="24"/>
  <c r="CB18" i="24"/>
  <c r="L36" i="3"/>
  <c r="BK36" i="24"/>
  <c r="CB19" i="24"/>
  <c r="M36" i="3"/>
  <c r="BL36" i="24"/>
  <c r="CB20" i="24"/>
  <c r="N36" i="3"/>
  <c r="BM36" i="24"/>
  <c r="CB21" i="24"/>
  <c r="O36" i="3"/>
  <c r="BN36" i="24"/>
  <c r="CB22" i="24"/>
  <c r="P36" i="3"/>
  <c r="BO36" i="24"/>
  <c r="CB23" i="24"/>
  <c r="Q36" i="3"/>
  <c r="BP36" i="24"/>
  <c r="CB24" i="24"/>
  <c r="R36" i="3"/>
  <c r="BQ36" i="24"/>
  <c r="CB25" i="24"/>
  <c r="S36" i="3"/>
  <c r="BR36" i="24"/>
  <c r="CB26" i="24"/>
  <c r="T36" i="3"/>
  <c r="BS36" i="24"/>
  <c r="CB27" i="24"/>
  <c r="U36" i="3"/>
  <c r="BT36" i="24"/>
  <c r="CB28" i="24"/>
  <c r="V36" i="3"/>
  <c r="BU36" i="24"/>
  <c r="CB29" i="24"/>
  <c r="W36" i="3"/>
  <c r="BV36" i="24"/>
  <c r="CB30" i="24"/>
  <c r="X36" i="3"/>
  <c r="BW36" i="24"/>
  <c r="CB31" i="24"/>
  <c r="Y36" i="3"/>
  <c r="BX36" i="24"/>
  <c r="CB32" i="24"/>
  <c r="Z36" i="3"/>
  <c r="BY36" i="24"/>
  <c r="CB33" i="24"/>
  <c r="AA36" i="3"/>
  <c r="BZ36" i="24"/>
  <c r="CB34" i="24"/>
  <c r="AB36" i="3"/>
  <c r="CA36" i="24"/>
  <c r="CB35" i="24"/>
  <c r="AR36" i="24"/>
  <c r="AR36" i="25"/>
  <c r="AQ36" i="24"/>
  <c r="AQ36" i="25"/>
  <c r="AP36" i="24"/>
  <c r="AP36" i="25"/>
  <c r="AO36" i="24"/>
  <c r="AO36" i="25"/>
  <c r="AN36" i="24"/>
  <c r="AN36" i="25"/>
  <c r="AM36" i="24"/>
  <c r="AM36" i="25"/>
  <c r="AL36" i="24"/>
  <c r="AL36" i="25"/>
  <c r="AK36" i="24"/>
  <c r="AK36" i="25"/>
  <c r="AJ36" i="24"/>
  <c r="AJ36" i="25"/>
  <c r="AI36" i="24"/>
  <c r="AI36" i="25"/>
  <c r="AH36" i="24"/>
  <c r="AH36" i="25"/>
  <c r="AG36" i="24"/>
  <c r="AG36" i="25"/>
  <c r="AF36" i="24"/>
  <c r="AF36" i="25"/>
  <c r="AE36" i="24"/>
  <c r="AE36" i="25"/>
  <c r="AD36" i="24"/>
  <c r="AD36" i="25"/>
  <c r="AC36" i="24"/>
  <c r="AC36" i="25"/>
  <c r="AB36" i="24"/>
  <c r="AB36" i="25"/>
  <c r="AA36" i="24"/>
  <c r="AA36" i="25"/>
  <c r="Z36" i="24"/>
  <c r="Z36" i="25"/>
  <c r="Y36" i="24"/>
  <c r="Y36" i="25"/>
  <c r="X36" i="24"/>
  <c r="X36" i="25"/>
  <c r="W36" i="24"/>
  <c r="W36" i="25"/>
  <c r="V36" i="24"/>
  <c r="V36" i="25"/>
  <c r="U36" i="24"/>
  <c r="U36" i="25"/>
  <c r="T36" i="24"/>
  <c r="T36" i="25"/>
  <c r="S36" i="24"/>
  <c r="S36" i="25"/>
  <c r="R36" i="24"/>
  <c r="R36" i="25"/>
  <c r="Q36" i="24"/>
  <c r="Q36" i="25"/>
  <c r="P36" i="24"/>
  <c r="P36" i="25"/>
  <c r="O36" i="24"/>
  <c r="O36" i="25"/>
  <c r="N36" i="24"/>
  <c r="N36" i="25"/>
  <c r="M36" i="24"/>
  <c r="M36" i="25"/>
  <c r="L36" i="24"/>
  <c r="L36" i="25"/>
  <c r="K36" i="24"/>
  <c r="K36" i="25"/>
  <c r="J36" i="24"/>
  <c r="J36" i="25"/>
  <c r="I36" i="24"/>
  <c r="I36" i="25"/>
  <c r="H36" i="24"/>
  <c r="H36" i="25"/>
  <c r="G36" i="24"/>
  <c r="G36" i="25"/>
  <c r="F36" i="24"/>
  <c r="F36" i="25"/>
  <c r="E36" i="24"/>
  <c r="E36" i="25"/>
  <c r="CA11" i="24"/>
  <c r="E35" i="3"/>
  <c r="BD35" i="24"/>
  <c r="CA12" i="24"/>
  <c r="F35" i="3"/>
  <c r="BE35" i="24"/>
  <c r="CA13" i="24"/>
  <c r="G35" i="3"/>
  <c r="BF35" i="24"/>
  <c r="CA14" i="24"/>
  <c r="H35" i="3"/>
  <c r="BG35" i="24"/>
  <c r="CA15" i="24"/>
  <c r="I35" i="3"/>
  <c r="BH35" i="24"/>
  <c r="CA16" i="24"/>
  <c r="J35" i="3"/>
  <c r="BI35" i="24"/>
  <c r="CA17" i="24"/>
  <c r="K35" i="3"/>
  <c r="BJ35" i="24"/>
  <c r="CA18" i="24"/>
  <c r="L35" i="3"/>
  <c r="BK35" i="24"/>
  <c r="CA19" i="24"/>
  <c r="M35" i="3"/>
  <c r="BL35" i="24"/>
  <c r="CA20" i="24"/>
  <c r="N35" i="3"/>
  <c r="BM35" i="24"/>
  <c r="CA21" i="24"/>
  <c r="O35" i="3"/>
  <c r="BN35" i="24"/>
  <c r="CA22" i="24"/>
  <c r="P35" i="3"/>
  <c r="BO35" i="24"/>
  <c r="CA23" i="24"/>
  <c r="Q35" i="3"/>
  <c r="BP35" i="24"/>
  <c r="CA24" i="24"/>
  <c r="R35" i="3"/>
  <c r="BQ35" i="24"/>
  <c r="CA25" i="24"/>
  <c r="S35" i="3"/>
  <c r="BR35" i="24"/>
  <c r="CA26" i="24"/>
  <c r="T35" i="3"/>
  <c r="BS35" i="24"/>
  <c r="CA27" i="24"/>
  <c r="U35" i="3"/>
  <c r="BT35" i="24"/>
  <c r="CA28" i="24"/>
  <c r="V35" i="3"/>
  <c r="BU35" i="24"/>
  <c r="CA29" i="24"/>
  <c r="W35" i="3"/>
  <c r="BV35" i="24"/>
  <c r="CA30" i="24"/>
  <c r="X35" i="3"/>
  <c r="BW35" i="24"/>
  <c r="CA31" i="24"/>
  <c r="Y35" i="3"/>
  <c r="BX35" i="24"/>
  <c r="CA32" i="24"/>
  <c r="Z35" i="3"/>
  <c r="BY35" i="24"/>
  <c r="CA33" i="24"/>
  <c r="AA35" i="3"/>
  <c r="BZ35" i="24"/>
  <c r="CA34" i="24"/>
  <c r="AR35" i="24"/>
  <c r="AR35" i="25"/>
  <c r="AQ35" i="24"/>
  <c r="AQ35" i="25"/>
  <c r="AP35" i="24"/>
  <c r="AP35" i="25"/>
  <c r="AO35" i="24"/>
  <c r="AO35" i="25"/>
  <c r="AN35" i="24"/>
  <c r="AN35" i="25"/>
  <c r="AM35" i="24"/>
  <c r="AM35" i="25"/>
  <c r="AL35" i="24"/>
  <c r="AL35" i="25"/>
  <c r="AK35" i="24"/>
  <c r="AK35" i="25"/>
  <c r="AJ35" i="24"/>
  <c r="AJ35" i="25"/>
  <c r="AI35" i="24"/>
  <c r="AI35" i="25"/>
  <c r="AH35" i="24"/>
  <c r="AH35" i="25"/>
  <c r="AG35" i="24"/>
  <c r="AG35" i="25"/>
  <c r="AF35" i="24"/>
  <c r="AF35" i="25"/>
  <c r="AE35" i="24"/>
  <c r="AE35" i="25"/>
  <c r="AD35" i="24"/>
  <c r="AD35" i="25"/>
  <c r="AC35" i="24"/>
  <c r="AC35" i="25"/>
  <c r="AB35" i="24"/>
  <c r="AB35" i="25"/>
  <c r="AA35" i="24"/>
  <c r="AA35" i="25"/>
  <c r="Z35" i="24"/>
  <c r="Z35" i="25"/>
  <c r="Y35" i="24"/>
  <c r="Y35" i="25"/>
  <c r="X35" i="24"/>
  <c r="X35" i="25"/>
  <c r="W35" i="24"/>
  <c r="W35" i="25"/>
  <c r="V35" i="24"/>
  <c r="V35" i="25"/>
  <c r="U35" i="24"/>
  <c r="U35" i="25"/>
  <c r="T35" i="24"/>
  <c r="T35" i="25"/>
  <c r="S35" i="24"/>
  <c r="S35" i="25"/>
  <c r="R35" i="24"/>
  <c r="R35" i="25"/>
  <c r="Q35" i="24"/>
  <c r="Q35" i="25"/>
  <c r="P35" i="24"/>
  <c r="P35" i="25"/>
  <c r="O35" i="24"/>
  <c r="O35" i="25"/>
  <c r="N35" i="24"/>
  <c r="N35" i="25"/>
  <c r="M35" i="24"/>
  <c r="M35" i="25"/>
  <c r="L35" i="24"/>
  <c r="L35" i="25"/>
  <c r="K35" i="24"/>
  <c r="K35" i="25"/>
  <c r="J35" i="24"/>
  <c r="J35" i="25"/>
  <c r="I35" i="24"/>
  <c r="I35" i="25"/>
  <c r="H35" i="24"/>
  <c r="H35" i="25"/>
  <c r="G35" i="24"/>
  <c r="G35" i="25"/>
  <c r="F35" i="24"/>
  <c r="F35" i="25"/>
  <c r="E35" i="24"/>
  <c r="E35" i="25"/>
  <c r="BZ11" i="24"/>
  <c r="E34" i="3"/>
  <c r="BD34" i="24"/>
  <c r="BZ12" i="24"/>
  <c r="F34" i="3"/>
  <c r="BE34" i="24"/>
  <c r="BZ13" i="24"/>
  <c r="G34" i="3"/>
  <c r="BF34" i="24"/>
  <c r="BZ14" i="24"/>
  <c r="H34" i="3"/>
  <c r="BG34" i="24"/>
  <c r="BZ15" i="24"/>
  <c r="I34" i="3"/>
  <c r="BH34" i="24"/>
  <c r="BZ16" i="24"/>
  <c r="J34" i="3"/>
  <c r="BI34" i="24"/>
  <c r="BZ17" i="24"/>
  <c r="K34" i="3"/>
  <c r="BJ34" i="24"/>
  <c r="BZ18" i="24"/>
  <c r="L34" i="3"/>
  <c r="BK34" i="24"/>
  <c r="BZ19" i="24"/>
  <c r="M34" i="3"/>
  <c r="BL34" i="24"/>
  <c r="BZ20" i="24"/>
  <c r="N34" i="3"/>
  <c r="BM34" i="24"/>
  <c r="BZ21" i="24"/>
  <c r="O34" i="3"/>
  <c r="BN34" i="24"/>
  <c r="BZ22" i="24"/>
  <c r="P34" i="3"/>
  <c r="BO34" i="24"/>
  <c r="BZ23" i="24"/>
  <c r="Q34" i="3"/>
  <c r="BP34" i="24"/>
  <c r="BZ24" i="24"/>
  <c r="R34" i="3"/>
  <c r="BQ34" i="24"/>
  <c r="BZ25" i="24"/>
  <c r="S34" i="3"/>
  <c r="BR34" i="24"/>
  <c r="BZ26" i="24"/>
  <c r="T34" i="3"/>
  <c r="BS34" i="24"/>
  <c r="BZ27" i="24"/>
  <c r="U34" i="3"/>
  <c r="BT34" i="24"/>
  <c r="BZ28" i="24"/>
  <c r="V34" i="3"/>
  <c r="BU34" i="24"/>
  <c r="BZ29" i="24"/>
  <c r="W34" i="3"/>
  <c r="BV34" i="24"/>
  <c r="BZ30" i="24"/>
  <c r="X34" i="3"/>
  <c r="BW34" i="24"/>
  <c r="BZ31" i="24"/>
  <c r="Y34" i="3"/>
  <c r="BX34" i="24"/>
  <c r="BZ32" i="24"/>
  <c r="Z34" i="3"/>
  <c r="BY34" i="24"/>
  <c r="BZ33" i="24"/>
  <c r="AR34" i="24"/>
  <c r="AR34" i="25"/>
  <c r="AQ34" i="24"/>
  <c r="AQ34" i="25"/>
  <c r="AP34" i="24"/>
  <c r="AP34" i="25"/>
  <c r="AO34" i="24"/>
  <c r="AO34" i="25"/>
  <c r="AN34" i="24"/>
  <c r="AN34" i="25"/>
  <c r="AM34" i="24"/>
  <c r="AM34" i="25"/>
  <c r="AL34" i="24"/>
  <c r="AL34" i="25"/>
  <c r="AK34" i="24"/>
  <c r="AK34" i="25"/>
  <c r="AJ34" i="24"/>
  <c r="AJ34" i="25"/>
  <c r="AI34" i="24"/>
  <c r="AI34" i="25"/>
  <c r="AH34" i="24"/>
  <c r="AH34" i="25"/>
  <c r="AG34" i="24"/>
  <c r="AG34" i="25"/>
  <c r="AF34" i="24"/>
  <c r="AF34" i="25"/>
  <c r="AE34" i="24"/>
  <c r="AE34" i="25"/>
  <c r="AD34" i="24"/>
  <c r="AD34" i="25"/>
  <c r="AC34" i="24"/>
  <c r="AC34" i="25"/>
  <c r="AB34" i="24"/>
  <c r="AB34" i="25"/>
  <c r="AA34" i="24"/>
  <c r="AA34" i="25"/>
  <c r="Z34" i="24"/>
  <c r="Z34" i="25"/>
  <c r="Y34" i="24"/>
  <c r="Y34" i="25"/>
  <c r="X34" i="24"/>
  <c r="X34" i="25"/>
  <c r="W34" i="24"/>
  <c r="W34" i="25"/>
  <c r="V34" i="24"/>
  <c r="V34" i="25"/>
  <c r="U34" i="24"/>
  <c r="U34" i="25"/>
  <c r="T34" i="24"/>
  <c r="T34" i="25"/>
  <c r="S34" i="24"/>
  <c r="S34" i="25"/>
  <c r="R34" i="24"/>
  <c r="R34" i="25"/>
  <c r="Q34" i="24"/>
  <c r="Q34" i="25"/>
  <c r="P34" i="24"/>
  <c r="P34" i="25"/>
  <c r="O34" i="24"/>
  <c r="O34" i="25"/>
  <c r="N34" i="24"/>
  <c r="N34" i="25"/>
  <c r="M34" i="24"/>
  <c r="M34" i="25"/>
  <c r="L34" i="24"/>
  <c r="L34" i="25"/>
  <c r="K34" i="24"/>
  <c r="K34" i="25"/>
  <c r="J34" i="24"/>
  <c r="J34" i="25"/>
  <c r="I34" i="24"/>
  <c r="I34" i="25"/>
  <c r="H34" i="24"/>
  <c r="H34" i="25"/>
  <c r="G34" i="24"/>
  <c r="G34" i="25"/>
  <c r="F34" i="24"/>
  <c r="F34" i="25"/>
  <c r="E34" i="24"/>
  <c r="E34" i="25"/>
  <c r="BY11" i="24"/>
  <c r="E33" i="3"/>
  <c r="BD33" i="24"/>
  <c r="BY12" i="24"/>
  <c r="F33" i="3"/>
  <c r="BE33" i="24"/>
  <c r="BY13" i="24"/>
  <c r="G33" i="3"/>
  <c r="BF33" i="24"/>
  <c r="BY14" i="24"/>
  <c r="H33" i="3"/>
  <c r="BG33" i="24"/>
  <c r="BY15" i="24"/>
  <c r="I33" i="3"/>
  <c r="BH33" i="24"/>
  <c r="BY16" i="24"/>
  <c r="J33" i="3"/>
  <c r="BI33" i="24"/>
  <c r="BY17" i="24"/>
  <c r="K33" i="3"/>
  <c r="BJ33" i="24"/>
  <c r="BY18" i="24"/>
  <c r="L33" i="3"/>
  <c r="BK33" i="24"/>
  <c r="BY19" i="24"/>
  <c r="M33" i="3"/>
  <c r="BL33" i="24"/>
  <c r="BY20" i="24"/>
  <c r="N33" i="3"/>
  <c r="BM33" i="24"/>
  <c r="BY21" i="24"/>
  <c r="O33" i="3"/>
  <c r="BN33" i="24"/>
  <c r="BY22" i="24"/>
  <c r="P33" i="3"/>
  <c r="BO33" i="24"/>
  <c r="BY23" i="24"/>
  <c r="Q33" i="3"/>
  <c r="BP33" i="24"/>
  <c r="BY24" i="24"/>
  <c r="R33" i="3"/>
  <c r="BQ33" i="24"/>
  <c r="BY25" i="24"/>
  <c r="S33" i="3"/>
  <c r="BR33" i="24"/>
  <c r="BY26" i="24"/>
  <c r="T33" i="3"/>
  <c r="BS33" i="24"/>
  <c r="BY27" i="24"/>
  <c r="U33" i="3"/>
  <c r="BT33" i="24"/>
  <c r="BY28" i="24"/>
  <c r="V33" i="3"/>
  <c r="BU33" i="24"/>
  <c r="BY29" i="24"/>
  <c r="W33" i="3"/>
  <c r="BV33" i="24"/>
  <c r="BY30" i="24"/>
  <c r="X33" i="3"/>
  <c r="BW33" i="24"/>
  <c r="BY31" i="24"/>
  <c r="Y33" i="3"/>
  <c r="BX33" i="24"/>
  <c r="BY32" i="24"/>
  <c r="AR33" i="24"/>
  <c r="AR33" i="25"/>
  <c r="AQ33" i="24"/>
  <c r="AQ33" i="25"/>
  <c r="AP33" i="24"/>
  <c r="AP33" i="25"/>
  <c r="AO33" i="24"/>
  <c r="AO33" i="25"/>
  <c r="AN33" i="24"/>
  <c r="AN33" i="25"/>
  <c r="AM33" i="24"/>
  <c r="AM33" i="25"/>
  <c r="AL33" i="24"/>
  <c r="AL33" i="25"/>
  <c r="AK33" i="24"/>
  <c r="AK33" i="25"/>
  <c r="AJ33" i="24"/>
  <c r="AJ33" i="25"/>
  <c r="AI33" i="24"/>
  <c r="AI33" i="25"/>
  <c r="AH33" i="24"/>
  <c r="AH33" i="25"/>
  <c r="AG33" i="24"/>
  <c r="AG33" i="25"/>
  <c r="AF33" i="24"/>
  <c r="AF33" i="25"/>
  <c r="AE33" i="24"/>
  <c r="AE33" i="25"/>
  <c r="AD33" i="24"/>
  <c r="AD33" i="25"/>
  <c r="AC33" i="24"/>
  <c r="AC33" i="25"/>
  <c r="AB33" i="24"/>
  <c r="AB33" i="25"/>
  <c r="AA33" i="24"/>
  <c r="AA33" i="25"/>
  <c r="Z33" i="24"/>
  <c r="Z33" i="25"/>
  <c r="Y33" i="24"/>
  <c r="Y33" i="25"/>
  <c r="X33" i="24"/>
  <c r="X33" i="25"/>
  <c r="W33" i="24"/>
  <c r="W33" i="25"/>
  <c r="V33" i="24"/>
  <c r="V33" i="25"/>
  <c r="U33" i="24"/>
  <c r="U33" i="25"/>
  <c r="T33" i="24"/>
  <c r="T33" i="25"/>
  <c r="S33" i="24"/>
  <c r="S33" i="25"/>
  <c r="R33" i="24"/>
  <c r="R33" i="25"/>
  <c r="Q33" i="24"/>
  <c r="Q33" i="25"/>
  <c r="P33" i="24"/>
  <c r="P33" i="25"/>
  <c r="O33" i="24"/>
  <c r="O33" i="25"/>
  <c r="N33" i="24"/>
  <c r="N33" i="25"/>
  <c r="M33" i="24"/>
  <c r="M33" i="25"/>
  <c r="L33" i="24"/>
  <c r="L33" i="25"/>
  <c r="K33" i="24"/>
  <c r="K33" i="25"/>
  <c r="J33" i="24"/>
  <c r="J33" i="25"/>
  <c r="I33" i="24"/>
  <c r="I33" i="25"/>
  <c r="H33" i="24"/>
  <c r="H33" i="25"/>
  <c r="G33" i="24"/>
  <c r="G33" i="25"/>
  <c r="F33" i="24"/>
  <c r="F33" i="25"/>
  <c r="E33" i="24"/>
  <c r="E33" i="25"/>
  <c r="BX11" i="24"/>
  <c r="E32" i="3"/>
  <c r="BD32" i="24"/>
  <c r="BX12" i="24"/>
  <c r="F32" i="3"/>
  <c r="BE32" i="24"/>
  <c r="BX13" i="24"/>
  <c r="G32" i="3"/>
  <c r="BF32" i="24"/>
  <c r="BX14" i="24"/>
  <c r="H32" i="3"/>
  <c r="BG32" i="24"/>
  <c r="BX15" i="24"/>
  <c r="I32" i="3"/>
  <c r="BH32" i="24"/>
  <c r="BX16" i="24"/>
  <c r="J32" i="3"/>
  <c r="BI32" i="24"/>
  <c r="BX17" i="24"/>
  <c r="K32" i="3"/>
  <c r="BJ32" i="24"/>
  <c r="BX18" i="24"/>
  <c r="L32" i="3"/>
  <c r="BK32" i="24"/>
  <c r="BX19" i="24"/>
  <c r="M32" i="3"/>
  <c r="BL32" i="24"/>
  <c r="BX20" i="24"/>
  <c r="N32" i="3"/>
  <c r="BM32" i="24"/>
  <c r="BX21" i="24"/>
  <c r="O32" i="3"/>
  <c r="BN32" i="24"/>
  <c r="BX22" i="24"/>
  <c r="P32" i="3"/>
  <c r="BO32" i="24"/>
  <c r="BX23" i="24"/>
  <c r="Q32" i="3"/>
  <c r="BP32" i="24"/>
  <c r="BX24" i="24"/>
  <c r="R32" i="3"/>
  <c r="BQ32" i="24"/>
  <c r="BX25" i="24"/>
  <c r="S32" i="3"/>
  <c r="BR32" i="24"/>
  <c r="BX26" i="24"/>
  <c r="T32" i="3"/>
  <c r="BS32" i="24"/>
  <c r="BX27" i="24"/>
  <c r="U32" i="3"/>
  <c r="BT32" i="24"/>
  <c r="BX28" i="24"/>
  <c r="V32" i="3"/>
  <c r="BU32" i="24"/>
  <c r="BX29" i="24"/>
  <c r="W32" i="3"/>
  <c r="BV32" i="24"/>
  <c r="BX30" i="24"/>
  <c r="AR32" i="24"/>
  <c r="AR32" i="25"/>
  <c r="AQ32" i="24"/>
  <c r="AQ32" i="25"/>
  <c r="AP32" i="24"/>
  <c r="AP32" i="25"/>
  <c r="AO32" i="24"/>
  <c r="AO32" i="25"/>
  <c r="AN32" i="24"/>
  <c r="AN32" i="25"/>
  <c r="AM32" i="24"/>
  <c r="AM32" i="25"/>
  <c r="AL32" i="24"/>
  <c r="AL32" i="25"/>
  <c r="AK32" i="24"/>
  <c r="AK32" i="25"/>
  <c r="AJ32" i="24"/>
  <c r="AJ32" i="25"/>
  <c r="AI32" i="24"/>
  <c r="AI32" i="25"/>
  <c r="AH32" i="24"/>
  <c r="AH32" i="25"/>
  <c r="AG32" i="24"/>
  <c r="AG32" i="25"/>
  <c r="AF32" i="24"/>
  <c r="AF32" i="25"/>
  <c r="AE32" i="24"/>
  <c r="AE32" i="25"/>
  <c r="AD32" i="24"/>
  <c r="AD32" i="25"/>
  <c r="AC32" i="24"/>
  <c r="AC32" i="25"/>
  <c r="AB32" i="24"/>
  <c r="AB32" i="25"/>
  <c r="AA32" i="24"/>
  <c r="AA32" i="25"/>
  <c r="Z32" i="24"/>
  <c r="Z32" i="25"/>
  <c r="Y32" i="24"/>
  <c r="Y32" i="25"/>
  <c r="X32" i="24"/>
  <c r="X32" i="25"/>
  <c r="W32" i="24"/>
  <c r="W32" i="25"/>
  <c r="V32" i="24"/>
  <c r="V32" i="25"/>
  <c r="U32" i="24"/>
  <c r="U32" i="25"/>
  <c r="T32" i="24"/>
  <c r="T32" i="25"/>
  <c r="S32" i="24"/>
  <c r="S32" i="25"/>
  <c r="R32" i="24"/>
  <c r="R32" i="25"/>
  <c r="Q32" i="24"/>
  <c r="Q32" i="25"/>
  <c r="P32" i="24"/>
  <c r="P32" i="25"/>
  <c r="O32" i="24"/>
  <c r="O32" i="25"/>
  <c r="N32" i="24"/>
  <c r="N32" i="25"/>
  <c r="M32" i="24"/>
  <c r="M32" i="25"/>
  <c r="L32" i="24"/>
  <c r="L32" i="25"/>
  <c r="K32" i="24"/>
  <c r="K32" i="25"/>
  <c r="J32" i="24"/>
  <c r="J32" i="25"/>
  <c r="I32" i="24"/>
  <c r="I32" i="25"/>
  <c r="H32" i="24"/>
  <c r="H32" i="25"/>
  <c r="G32" i="24"/>
  <c r="G32" i="25"/>
  <c r="F32" i="24"/>
  <c r="F32" i="25"/>
  <c r="E32" i="24"/>
  <c r="E32" i="25"/>
  <c r="BW11" i="24"/>
  <c r="E31" i="3"/>
  <c r="BD31" i="24"/>
  <c r="BW12" i="24"/>
  <c r="F31" i="3"/>
  <c r="BE31" i="24"/>
  <c r="BW13" i="24"/>
  <c r="G31" i="3"/>
  <c r="BF31" i="24"/>
  <c r="BW14" i="24"/>
  <c r="H31" i="3"/>
  <c r="BG31" i="24"/>
  <c r="BW15" i="24"/>
  <c r="I31" i="3"/>
  <c r="BH31" i="24"/>
  <c r="BW16" i="24"/>
  <c r="J31" i="3"/>
  <c r="BI31" i="24"/>
  <c r="BW17" i="24"/>
  <c r="K31" i="3"/>
  <c r="BJ31" i="24"/>
  <c r="BW18" i="24"/>
  <c r="L31" i="3"/>
  <c r="BK31" i="24"/>
  <c r="BW19" i="24"/>
  <c r="M31" i="3"/>
  <c r="BL31" i="24"/>
  <c r="BW20" i="24"/>
  <c r="N31" i="3"/>
  <c r="BM31" i="24"/>
  <c r="BW21" i="24"/>
  <c r="O31" i="3"/>
  <c r="BN31" i="24"/>
  <c r="BW22" i="24"/>
  <c r="P31" i="3"/>
  <c r="BO31" i="24"/>
  <c r="BW23" i="24"/>
  <c r="Q31" i="3"/>
  <c r="BP31" i="24"/>
  <c r="BW24" i="24"/>
  <c r="R31" i="3"/>
  <c r="BQ31" i="24"/>
  <c r="BW25" i="24"/>
  <c r="S31" i="3"/>
  <c r="BR31" i="24"/>
  <c r="BW26" i="24"/>
  <c r="T31" i="3"/>
  <c r="BS31" i="24"/>
  <c r="BW27" i="24"/>
  <c r="U31" i="3"/>
  <c r="BT31" i="24"/>
  <c r="BW28" i="24"/>
  <c r="V31" i="3"/>
  <c r="BU31" i="24"/>
  <c r="BW29" i="24"/>
  <c r="W31" i="3"/>
  <c r="BV31" i="24"/>
  <c r="BW30" i="24"/>
  <c r="X32" i="3"/>
  <c r="BW32" i="24"/>
  <c r="AR31" i="24"/>
  <c r="AR31" i="25"/>
  <c r="AQ31" i="24"/>
  <c r="AQ31" i="25"/>
  <c r="AP31" i="24"/>
  <c r="AP31" i="25"/>
  <c r="AO31" i="24"/>
  <c r="AO31" i="25"/>
  <c r="AN31" i="24"/>
  <c r="AN31" i="25"/>
  <c r="AM31" i="24"/>
  <c r="AM31" i="25"/>
  <c r="AL31" i="24"/>
  <c r="AL31" i="25"/>
  <c r="AK31" i="24"/>
  <c r="AK31" i="25"/>
  <c r="AJ31" i="24"/>
  <c r="AJ31" i="25"/>
  <c r="AI31" i="24"/>
  <c r="AI31" i="25"/>
  <c r="AH31" i="24"/>
  <c r="AH31" i="25"/>
  <c r="AG31" i="24"/>
  <c r="AG31" i="25"/>
  <c r="AF31" i="24"/>
  <c r="AF31" i="25"/>
  <c r="AE31" i="24"/>
  <c r="AE31" i="25"/>
  <c r="AD31" i="24"/>
  <c r="AD31" i="25"/>
  <c r="AC31" i="24"/>
  <c r="AC31" i="25"/>
  <c r="AB31" i="24"/>
  <c r="AB31" i="25"/>
  <c r="AA31" i="24"/>
  <c r="AA31" i="25"/>
  <c r="Z31" i="24"/>
  <c r="Z31" i="25"/>
  <c r="Y31" i="24"/>
  <c r="Y31" i="25"/>
  <c r="X31" i="24"/>
  <c r="X31" i="25"/>
  <c r="W31" i="24"/>
  <c r="W31" i="25"/>
  <c r="V31" i="24"/>
  <c r="V31" i="25"/>
  <c r="U31" i="24"/>
  <c r="U31" i="25"/>
  <c r="T31" i="24"/>
  <c r="T31" i="25"/>
  <c r="S31" i="24"/>
  <c r="S31" i="25"/>
  <c r="R31" i="24"/>
  <c r="R31" i="25"/>
  <c r="Q31" i="24"/>
  <c r="Q31" i="25"/>
  <c r="P31" i="24"/>
  <c r="P31" i="25"/>
  <c r="O31" i="24"/>
  <c r="O31" i="25"/>
  <c r="N31" i="24"/>
  <c r="N31" i="25"/>
  <c r="M31" i="24"/>
  <c r="M31" i="25"/>
  <c r="L31" i="24"/>
  <c r="L31" i="25"/>
  <c r="K31" i="24"/>
  <c r="K31" i="25"/>
  <c r="J31" i="24"/>
  <c r="J31" i="25"/>
  <c r="I31" i="24"/>
  <c r="I31" i="25"/>
  <c r="H31" i="24"/>
  <c r="H31" i="25"/>
  <c r="G31" i="24"/>
  <c r="G31" i="25"/>
  <c r="F31" i="24"/>
  <c r="F31" i="25"/>
  <c r="E31" i="24"/>
  <c r="E31" i="25"/>
  <c r="BV11" i="24"/>
  <c r="E30" i="3"/>
  <c r="BD30" i="24"/>
  <c r="BV12" i="24"/>
  <c r="F30" i="3"/>
  <c r="BE30" i="24"/>
  <c r="BV13" i="24"/>
  <c r="G30" i="3"/>
  <c r="BF30" i="24"/>
  <c r="BV14" i="24"/>
  <c r="H30" i="3"/>
  <c r="BG30" i="24"/>
  <c r="BV15" i="24"/>
  <c r="I30" i="3"/>
  <c r="BH30" i="24"/>
  <c r="BV16" i="24"/>
  <c r="J30" i="3"/>
  <c r="BI30" i="24"/>
  <c r="BV17" i="24"/>
  <c r="K30" i="3"/>
  <c r="BJ30" i="24"/>
  <c r="BV18" i="24"/>
  <c r="L30" i="3"/>
  <c r="BK30" i="24"/>
  <c r="BV19" i="24"/>
  <c r="M30" i="3"/>
  <c r="BL30" i="24"/>
  <c r="BV20" i="24"/>
  <c r="N30" i="3"/>
  <c r="BM30" i="24"/>
  <c r="BV21" i="24"/>
  <c r="O30" i="3"/>
  <c r="BN30" i="24"/>
  <c r="BV22" i="24"/>
  <c r="P30" i="3"/>
  <c r="BO30" i="24"/>
  <c r="BV23" i="24"/>
  <c r="Q30" i="3"/>
  <c r="BP30" i="24"/>
  <c r="BV24" i="24"/>
  <c r="R30" i="3"/>
  <c r="BQ30" i="24"/>
  <c r="BV25" i="24"/>
  <c r="S30" i="3"/>
  <c r="BR30" i="24"/>
  <c r="BV26" i="24"/>
  <c r="T30" i="3"/>
  <c r="BS30" i="24"/>
  <c r="BV27" i="24"/>
  <c r="U30" i="3"/>
  <c r="BT30" i="24"/>
  <c r="BV28" i="24"/>
  <c r="V30" i="3"/>
  <c r="BU30" i="24"/>
  <c r="BV29" i="24"/>
  <c r="AR30" i="24"/>
  <c r="AR30" i="25"/>
  <c r="AQ30" i="24"/>
  <c r="AQ30" i="25"/>
  <c r="AP30" i="24"/>
  <c r="AP30" i="25"/>
  <c r="AO30" i="24"/>
  <c r="AO30" i="25"/>
  <c r="AN30" i="24"/>
  <c r="AN30" i="25"/>
  <c r="AM30" i="24"/>
  <c r="AM30" i="25"/>
  <c r="AL30" i="24"/>
  <c r="AL30" i="25"/>
  <c r="AK30" i="24"/>
  <c r="AK30" i="25"/>
  <c r="AJ30" i="24"/>
  <c r="AJ30" i="25"/>
  <c r="AI30" i="24"/>
  <c r="AI30" i="25"/>
  <c r="AH30" i="24"/>
  <c r="AH30" i="25"/>
  <c r="AG30" i="24"/>
  <c r="AG30" i="25"/>
  <c r="AF30" i="24"/>
  <c r="AF30" i="25"/>
  <c r="AE30" i="24"/>
  <c r="AE30" i="25"/>
  <c r="AD30" i="24"/>
  <c r="AD30" i="25"/>
  <c r="AC30" i="24"/>
  <c r="AC30" i="25"/>
  <c r="AB30" i="24"/>
  <c r="AB30" i="25"/>
  <c r="AA30" i="24"/>
  <c r="AA30" i="25"/>
  <c r="Z30" i="24"/>
  <c r="Z30" i="25"/>
  <c r="Y30" i="24"/>
  <c r="Y30" i="25"/>
  <c r="X30" i="24"/>
  <c r="X30" i="25"/>
  <c r="W30" i="24"/>
  <c r="W30" i="25"/>
  <c r="V30" i="24"/>
  <c r="V30" i="25"/>
  <c r="U30" i="24"/>
  <c r="U30" i="25"/>
  <c r="T30" i="24"/>
  <c r="T30" i="25"/>
  <c r="S30" i="24"/>
  <c r="S30" i="25"/>
  <c r="R30" i="24"/>
  <c r="R30" i="25"/>
  <c r="Q30" i="24"/>
  <c r="Q30" i="25"/>
  <c r="P30" i="24"/>
  <c r="P30" i="25"/>
  <c r="O30" i="24"/>
  <c r="O30" i="25"/>
  <c r="N30" i="24"/>
  <c r="N30" i="25"/>
  <c r="M30" i="24"/>
  <c r="M30" i="25"/>
  <c r="L30" i="24"/>
  <c r="L30" i="25"/>
  <c r="K30" i="24"/>
  <c r="K30" i="25"/>
  <c r="J30" i="24"/>
  <c r="J30" i="25"/>
  <c r="I30" i="24"/>
  <c r="I30" i="25"/>
  <c r="H30" i="24"/>
  <c r="H30" i="25"/>
  <c r="G30" i="24"/>
  <c r="G30" i="25"/>
  <c r="F30" i="24"/>
  <c r="F30" i="25"/>
  <c r="E30" i="24"/>
  <c r="E30" i="25"/>
  <c r="BU11" i="24"/>
  <c r="E29" i="3"/>
  <c r="BD29" i="24"/>
  <c r="BU12" i="24"/>
  <c r="F29" i="3"/>
  <c r="BE29" i="24"/>
  <c r="BU13" i="24"/>
  <c r="G29" i="3"/>
  <c r="BF29" i="24"/>
  <c r="BU14" i="24"/>
  <c r="H29" i="3"/>
  <c r="BG29" i="24"/>
  <c r="BU15" i="24"/>
  <c r="I29" i="3"/>
  <c r="BH29" i="24"/>
  <c r="BU16" i="24"/>
  <c r="J29" i="3"/>
  <c r="BI29" i="24"/>
  <c r="BU17" i="24"/>
  <c r="K29" i="3"/>
  <c r="BJ29" i="24"/>
  <c r="BU18" i="24"/>
  <c r="L29" i="3"/>
  <c r="BK29" i="24"/>
  <c r="BU19" i="24"/>
  <c r="M29" i="3"/>
  <c r="BL29" i="24"/>
  <c r="BU20" i="24"/>
  <c r="N29" i="3"/>
  <c r="BM29" i="24"/>
  <c r="BU21" i="24"/>
  <c r="O29" i="3"/>
  <c r="BN29" i="24"/>
  <c r="BU22" i="24"/>
  <c r="P29" i="3"/>
  <c r="BO29" i="24"/>
  <c r="BU23" i="24"/>
  <c r="Q29" i="3"/>
  <c r="BP29" i="24"/>
  <c r="BU24" i="24"/>
  <c r="R29" i="3"/>
  <c r="BQ29" i="24"/>
  <c r="BU25" i="24"/>
  <c r="S29" i="3"/>
  <c r="BR29" i="24"/>
  <c r="BU26" i="24"/>
  <c r="T29" i="3"/>
  <c r="BS29" i="24"/>
  <c r="BU27" i="24"/>
  <c r="U29" i="3"/>
  <c r="BT29" i="24"/>
  <c r="BU28" i="24"/>
  <c r="AR29" i="24"/>
  <c r="AR29" i="25"/>
  <c r="AQ29" i="24"/>
  <c r="AQ29" i="25"/>
  <c r="AP29" i="24"/>
  <c r="AP29" i="25"/>
  <c r="AO29" i="24"/>
  <c r="AO29" i="25"/>
  <c r="AN29" i="24"/>
  <c r="AN29" i="25"/>
  <c r="AM29" i="24"/>
  <c r="AM29" i="25"/>
  <c r="AL29" i="24"/>
  <c r="AL29" i="25"/>
  <c r="AK29" i="24"/>
  <c r="AK29" i="25"/>
  <c r="AJ29" i="24"/>
  <c r="AJ29" i="25"/>
  <c r="AI29" i="24"/>
  <c r="AI29" i="25"/>
  <c r="AH29" i="24"/>
  <c r="AH29" i="25"/>
  <c r="AG29" i="24"/>
  <c r="AG29" i="25"/>
  <c r="AF29" i="24"/>
  <c r="AF29" i="25"/>
  <c r="AE29" i="24"/>
  <c r="AE29" i="25"/>
  <c r="AD29" i="24"/>
  <c r="AD29" i="25"/>
  <c r="AC29" i="24"/>
  <c r="AC29" i="25"/>
  <c r="AB29" i="24"/>
  <c r="AB29" i="25"/>
  <c r="AA29" i="24"/>
  <c r="AA29" i="25"/>
  <c r="Z29" i="24"/>
  <c r="Z29" i="25"/>
  <c r="Y29" i="24"/>
  <c r="Y29" i="25"/>
  <c r="X29" i="24"/>
  <c r="X29" i="25"/>
  <c r="W29" i="24"/>
  <c r="W29" i="25"/>
  <c r="V29" i="24"/>
  <c r="V29" i="25"/>
  <c r="U29" i="24"/>
  <c r="U29" i="25"/>
  <c r="T29" i="24"/>
  <c r="T29" i="25"/>
  <c r="S29" i="24"/>
  <c r="S29" i="25"/>
  <c r="R29" i="24"/>
  <c r="R29" i="25"/>
  <c r="Q29" i="24"/>
  <c r="Q29" i="25"/>
  <c r="P29" i="24"/>
  <c r="P29" i="25"/>
  <c r="O29" i="24"/>
  <c r="O29" i="25"/>
  <c r="N29" i="24"/>
  <c r="N29" i="25"/>
  <c r="M29" i="24"/>
  <c r="M29" i="25"/>
  <c r="L29" i="24"/>
  <c r="L29" i="25"/>
  <c r="K29" i="24"/>
  <c r="K29" i="25"/>
  <c r="J29" i="24"/>
  <c r="J29" i="25"/>
  <c r="I29" i="24"/>
  <c r="I29" i="25"/>
  <c r="H29" i="24"/>
  <c r="H29" i="25"/>
  <c r="G29" i="24"/>
  <c r="G29" i="25"/>
  <c r="F29" i="24"/>
  <c r="F29" i="25"/>
  <c r="E29" i="24"/>
  <c r="E29" i="25"/>
  <c r="BT11" i="24"/>
  <c r="E28" i="3"/>
  <c r="BD28" i="24"/>
  <c r="BT12" i="24"/>
  <c r="F28" i="3"/>
  <c r="BE28" i="24"/>
  <c r="BT13" i="24"/>
  <c r="G28" i="3"/>
  <c r="BF28" i="24"/>
  <c r="BT14" i="24"/>
  <c r="H28" i="3"/>
  <c r="BG28" i="24"/>
  <c r="BT15" i="24"/>
  <c r="I28" i="3"/>
  <c r="BH28" i="24"/>
  <c r="BT16" i="24"/>
  <c r="J28" i="3"/>
  <c r="BI28" i="24"/>
  <c r="BT17" i="24"/>
  <c r="K28" i="3"/>
  <c r="BJ28" i="24"/>
  <c r="BT18" i="24"/>
  <c r="L28" i="3"/>
  <c r="BK28" i="24"/>
  <c r="BT19" i="24"/>
  <c r="M28" i="3"/>
  <c r="BL28" i="24"/>
  <c r="BT20" i="24"/>
  <c r="N28" i="3"/>
  <c r="BM28" i="24"/>
  <c r="BT21" i="24"/>
  <c r="O28" i="3"/>
  <c r="BN28" i="24"/>
  <c r="BT22" i="24"/>
  <c r="P28" i="3"/>
  <c r="BO28" i="24"/>
  <c r="BT23" i="24"/>
  <c r="Q28" i="3"/>
  <c r="BP28" i="24"/>
  <c r="BT24" i="24"/>
  <c r="R28" i="3"/>
  <c r="BQ28" i="24"/>
  <c r="BT25" i="24"/>
  <c r="S28" i="3"/>
  <c r="BR28" i="24"/>
  <c r="BT26" i="24"/>
  <c r="T28" i="3"/>
  <c r="BS28" i="24"/>
  <c r="BT27" i="24"/>
  <c r="AR28" i="24"/>
  <c r="AR28" i="25"/>
  <c r="AQ28" i="24"/>
  <c r="AQ28" i="25"/>
  <c r="AP28" i="24"/>
  <c r="AP28" i="25"/>
  <c r="AO28" i="24"/>
  <c r="AO28" i="25"/>
  <c r="AN28" i="24"/>
  <c r="AN28" i="25"/>
  <c r="AM28" i="24"/>
  <c r="AM28" i="25"/>
  <c r="AL28" i="24"/>
  <c r="AL28" i="25"/>
  <c r="AK28" i="24"/>
  <c r="AK28" i="25"/>
  <c r="AJ28" i="24"/>
  <c r="AJ28" i="25"/>
  <c r="AI28" i="24"/>
  <c r="AI28" i="25"/>
  <c r="AH28" i="24"/>
  <c r="AH28" i="25"/>
  <c r="AG28" i="24"/>
  <c r="AG28" i="25"/>
  <c r="AF28" i="24"/>
  <c r="AF28" i="25"/>
  <c r="AE28" i="24"/>
  <c r="AE28" i="25"/>
  <c r="AD28" i="24"/>
  <c r="AD28" i="25"/>
  <c r="AC28" i="24"/>
  <c r="AC28" i="25"/>
  <c r="AB28" i="24"/>
  <c r="AB28" i="25"/>
  <c r="AA28" i="24"/>
  <c r="AA28" i="25"/>
  <c r="Z28" i="24"/>
  <c r="Z28" i="25"/>
  <c r="Y28" i="24"/>
  <c r="Y28" i="25"/>
  <c r="X28" i="24"/>
  <c r="X28" i="25"/>
  <c r="W28" i="24"/>
  <c r="W28" i="25"/>
  <c r="V28" i="24"/>
  <c r="V28" i="25"/>
  <c r="U28" i="24"/>
  <c r="U28" i="25"/>
  <c r="T28" i="24"/>
  <c r="T28" i="25"/>
  <c r="S28" i="24"/>
  <c r="S28" i="25"/>
  <c r="R28" i="24"/>
  <c r="R28" i="25"/>
  <c r="Q28" i="24"/>
  <c r="Q28" i="25"/>
  <c r="P28" i="24"/>
  <c r="P28" i="25"/>
  <c r="O28" i="24"/>
  <c r="O28" i="25"/>
  <c r="N28" i="24"/>
  <c r="N28" i="25"/>
  <c r="M28" i="24"/>
  <c r="M28" i="25"/>
  <c r="L28" i="24"/>
  <c r="L28" i="25"/>
  <c r="K28" i="24"/>
  <c r="K28" i="25"/>
  <c r="J28" i="24"/>
  <c r="J28" i="25"/>
  <c r="I28" i="24"/>
  <c r="I28" i="25"/>
  <c r="H28" i="24"/>
  <c r="H28" i="25"/>
  <c r="G28" i="24"/>
  <c r="G28" i="25"/>
  <c r="F28" i="24"/>
  <c r="F28" i="25"/>
  <c r="E28" i="24"/>
  <c r="E28" i="25"/>
  <c r="BS11" i="24"/>
  <c r="E27" i="3"/>
  <c r="BD27" i="24"/>
  <c r="BS12" i="24"/>
  <c r="F27" i="3"/>
  <c r="BE27" i="24"/>
  <c r="BS13" i="24"/>
  <c r="G27" i="3"/>
  <c r="BF27" i="24"/>
  <c r="BS14" i="24"/>
  <c r="H27" i="3"/>
  <c r="BG27" i="24"/>
  <c r="BS15" i="24"/>
  <c r="I27" i="3"/>
  <c r="BH27" i="24"/>
  <c r="BS16" i="24"/>
  <c r="J27" i="3"/>
  <c r="BI27" i="24"/>
  <c r="BS17" i="24"/>
  <c r="K27" i="3"/>
  <c r="BJ27" i="24"/>
  <c r="BS18" i="24"/>
  <c r="L27" i="3"/>
  <c r="BK27" i="24"/>
  <c r="BS19" i="24"/>
  <c r="M27" i="3"/>
  <c r="BL27" i="24"/>
  <c r="BS20" i="24"/>
  <c r="N27" i="3"/>
  <c r="BM27" i="24"/>
  <c r="BS21" i="24"/>
  <c r="O27" i="3"/>
  <c r="BN27" i="24"/>
  <c r="BS22" i="24"/>
  <c r="P27" i="3"/>
  <c r="BO27" i="24"/>
  <c r="BS23" i="24"/>
  <c r="Q27" i="3"/>
  <c r="BP27" i="24"/>
  <c r="BS24" i="24"/>
  <c r="R27" i="3"/>
  <c r="BQ27" i="24"/>
  <c r="BS25" i="24"/>
  <c r="S27" i="3"/>
  <c r="BR27" i="24"/>
  <c r="BS26" i="24"/>
  <c r="AR27" i="24"/>
  <c r="AR27" i="25"/>
  <c r="AQ27" i="24"/>
  <c r="AQ27" i="25"/>
  <c r="AP27" i="24"/>
  <c r="AP27" i="25"/>
  <c r="AO27" i="24"/>
  <c r="AO27" i="25"/>
  <c r="AN27" i="24"/>
  <c r="AN27" i="25"/>
  <c r="AM27" i="24"/>
  <c r="AM27" i="25"/>
  <c r="AL27" i="24"/>
  <c r="AL27" i="25"/>
  <c r="AK27" i="24"/>
  <c r="AK27" i="25"/>
  <c r="AJ27" i="24"/>
  <c r="AJ27" i="25"/>
  <c r="AI27" i="24"/>
  <c r="AI27" i="25"/>
  <c r="AH27" i="24"/>
  <c r="AH27" i="25"/>
  <c r="AG27" i="24"/>
  <c r="AG27" i="25"/>
  <c r="AF27" i="24"/>
  <c r="AF27" i="25"/>
  <c r="AE27" i="24"/>
  <c r="AE27" i="25"/>
  <c r="AD27" i="24"/>
  <c r="AD27" i="25"/>
  <c r="AC27" i="24"/>
  <c r="AC27" i="25"/>
  <c r="AB27" i="24"/>
  <c r="AB27" i="25"/>
  <c r="AA27" i="24"/>
  <c r="AA27" i="25"/>
  <c r="Z27" i="24"/>
  <c r="Z27" i="25"/>
  <c r="Y27" i="24"/>
  <c r="Y27" i="25"/>
  <c r="X27" i="24"/>
  <c r="X27" i="25"/>
  <c r="W27" i="24"/>
  <c r="W27" i="25"/>
  <c r="V27" i="24"/>
  <c r="V27" i="25"/>
  <c r="U27" i="24"/>
  <c r="U27" i="25"/>
  <c r="T27" i="24"/>
  <c r="T27" i="25"/>
  <c r="S27" i="24"/>
  <c r="S27" i="25"/>
  <c r="R27" i="24"/>
  <c r="R27" i="25"/>
  <c r="Q27" i="24"/>
  <c r="Q27" i="25"/>
  <c r="P27" i="24"/>
  <c r="P27" i="25"/>
  <c r="O27" i="24"/>
  <c r="O27" i="25"/>
  <c r="N27" i="24"/>
  <c r="N27" i="25"/>
  <c r="M27" i="24"/>
  <c r="M27" i="25"/>
  <c r="L27" i="24"/>
  <c r="L27" i="25"/>
  <c r="K27" i="24"/>
  <c r="K27" i="25"/>
  <c r="J27" i="24"/>
  <c r="J27" i="25"/>
  <c r="I27" i="24"/>
  <c r="I27" i="25"/>
  <c r="H27" i="24"/>
  <c r="H27" i="25"/>
  <c r="G27" i="24"/>
  <c r="G27" i="25"/>
  <c r="F27" i="24"/>
  <c r="F27" i="25"/>
  <c r="E27" i="24"/>
  <c r="E27" i="25"/>
  <c r="BR11" i="24"/>
  <c r="E26" i="3"/>
  <c r="BD26" i="24"/>
  <c r="BR12" i="24"/>
  <c r="F26" i="3"/>
  <c r="BE26" i="24"/>
  <c r="BR13" i="24"/>
  <c r="G26" i="3"/>
  <c r="BF26" i="24"/>
  <c r="BR14" i="24"/>
  <c r="H26" i="3"/>
  <c r="BG26" i="24"/>
  <c r="BR15" i="24"/>
  <c r="I26" i="3"/>
  <c r="BH26" i="24"/>
  <c r="BR16" i="24"/>
  <c r="J26" i="3"/>
  <c r="BI26" i="24"/>
  <c r="BR17" i="24"/>
  <c r="K26" i="3"/>
  <c r="BJ26" i="24"/>
  <c r="BR18" i="24"/>
  <c r="L26" i="3"/>
  <c r="BK26" i="24"/>
  <c r="BR19" i="24"/>
  <c r="M26" i="3"/>
  <c r="BL26" i="24"/>
  <c r="BR20" i="24"/>
  <c r="N26" i="3"/>
  <c r="BM26" i="24"/>
  <c r="BR21" i="24"/>
  <c r="O26" i="3"/>
  <c r="BN26" i="24"/>
  <c r="BR22" i="24"/>
  <c r="P26" i="3"/>
  <c r="BO26" i="24"/>
  <c r="BR23" i="24"/>
  <c r="Q26" i="3"/>
  <c r="BP26" i="24"/>
  <c r="BR24" i="24"/>
  <c r="R26" i="3"/>
  <c r="BQ26" i="24"/>
  <c r="BR25" i="24"/>
  <c r="AR26" i="24"/>
  <c r="AR26" i="25"/>
  <c r="AQ26" i="24"/>
  <c r="AQ26" i="25"/>
  <c r="AP26" i="24"/>
  <c r="AP26" i="25"/>
  <c r="AO26" i="24"/>
  <c r="AO26" i="25"/>
  <c r="AN26" i="24"/>
  <c r="AN26" i="25"/>
  <c r="AM26" i="24"/>
  <c r="AM26" i="25"/>
  <c r="AL26" i="24"/>
  <c r="AL26" i="25"/>
  <c r="AK26" i="24"/>
  <c r="AK26" i="25"/>
  <c r="AJ26" i="24"/>
  <c r="AJ26" i="25"/>
  <c r="AI26" i="24"/>
  <c r="AI26" i="25"/>
  <c r="AH26" i="24"/>
  <c r="AH26" i="25"/>
  <c r="AG26" i="24"/>
  <c r="AG26" i="25"/>
  <c r="AF26" i="24"/>
  <c r="AF26" i="25"/>
  <c r="AE26" i="24"/>
  <c r="AE26" i="25"/>
  <c r="AD26" i="24"/>
  <c r="AD26" i="25"/>
  <c r="AC26" i="24"/>
  <c r="AC26" i="25"/>
  <c r="AB26" i="24"/>
  <c r="AB26" i="25"/>
  <c r="AA26" i="24"/>
  <c r="AA26" i="25"/>
  <c r="Z26" i="24"/>
  <c r="Z26" i="25"/>
  <c r="Y26" i="24"/>
  <c r="Y26" i="25"/>
  <c r="X26" i="24"/>
  <c r="X26" i="25"/>
  <c r="W26" i="24"/>
  <c r="W26" i="25"/>
  <c r="V26" i="24"/>
  <c r="V26" i="25"/>
  <c r="U26" i="24"/>
  <c r="U26" i="25"/>
  <c r="T26" i="24"/>
  <c r="T26" i="25"/>
  <c r="S26" i="24"/>
  <c r="S26" i="25"/>
  <c r="R26" i="24"/>
  <c r="R26" i="25"/>
  <c r="Q26" i="24"/>
  <c r="Q26" i="25"/>
  <c r="P26" i="24"/>
  <c r="P26" i="25"/>
  <c r="O26" i="24"/>
  <c r="O26" i="25"/>
  <c r="N26" i="24"/>
  <c r="N26" i="25"/>
  <c r="M26" i="24"/>
  <c r="M26" i="25"/>
  <c r="L26" i="24"/>
  <c r="L26" i="25"/>
  <c r="K26" i="24"/>
  <c r="K26" i="25"/>
  <c r="J26" i="24"/>
  <c r="J26" i="25"/>
  <c r="I26" i="24"/>
  <c r="I26" i="25"/>
  <c r="H26" i="24"/>
  <c r="H26" i="25"/>
  <c r="G26" i="24"/>
  <c r="G26" i="25"/>
  <c r="F26" i="24"/>
  <c r="F26" i="25"/>
  <c r="E26" i="24"/>
  <c r="E26" i="25"/>
  <c r="BQ11" i="24"/>
  <c r="E25" i="3"/>
  <c r="BD25" i="24"/>
  <c r="BQ12" i="24"/>
  <c r="F25" i="3"/>
  <c r="BE25" i="24"/>
  <c r="BQ13" i="24"/>
  <c r="G25" i="3"/>
  <c r="BF25" i="24"/>
  <c r="BQ14" i="24"/>
  <c r="H25" i="3"/>
  <c r="BG25" i="24"/>
  <c r="BQ15" i="24"/>
  <c r="I25" i="3"/>
  <c r="BH25" i="24"/>
  <c r="BQ16" i="24"/>
  <c r="J25" i="3"/>
  <c r="BI25" i="24"/>
  <c r="BQ17" i="24"/>
  <c r="K25" i="3"/>
  <c r="BJ25" i="24"/>
  <c r="BQ18" i="24"/>
  <c r="L25" i="3"/>
  <c r="BK25" i="24"/>
  <c r="BQ19" i="24"/>
  <c r="M25" i="3"/>
  <c r="BL25" i="24"/>
  <c r="BQ20" i="24"/>
  <c r="N25" i="3"/>
  <c r="BM25" i="24"/>
  <c r="BQ21" i="24"/>
  <c r="O25" i="3"/>
  <c r="BN25" i="24"/>
  <c r="BQ22" i="24"/>
  <c r="P25" i="3"/>
  <c r="BO25" i="24"/>
  <c r="BQ23" i="24"/>
  <c r="Q25" i="3"/>
  <c r="BP25" i="24"/>
  <c r="BQ24" i="24"/>
  <c r="AR25" i="24"/>
  <c r="AR25" i="25"/>
  <c r="AQ25" i="24"/>
  <c r="AQ25" i="25"/>
  <c r="AP25" i="24"/>
  <c r="AP25" i="25"/>
  <c r="AO25" i="24"/>
  <c r="AO25" i="25"/>
  <c r="AN25" i="24"/>
  <c r="AN25" i="25"/>
  <c r="AM25" i="24"/>
  <c r="AM25" i="25"/>
  <c r="AL25" i="24"/>
  <c r="AL25" i="25"/>
  <c r="AK25" i="24"/>
  <c r="AK25" i="25"/>
  <c r="AJ25" i="24"/>
  <c r="AJ25" i="25"/>
  <c r="AI25" i="24"/>
  <c r="AI25" i="25"/>
  <c r="AH25" i="24"/>
  <c r="AH25" i="25"/>
  <c r="AG25" i="24"/>
  <c r="AG25" i="25"/>
  <c r="AF25" i="24"/>
  <c r="AF25" i="25"/>
  <c r="AE25" i="24"/>
  <c r="AE25" i="25"/>
  <c r="AD25" i="24"/>
  <c r="AD25" i="25"/>
  <c r="AC25" i="24"/>
  <c r="AC25" i="25"/>
  <c r="AB25" i="24"/>
  <c r="AB25" i="25"/>
  <c r="AA25" i="24"/>
  <c r="AA25" i="25"/>
  <c r="Z25" i="24"/>
  <c r="Z25" i="25"/>
  <c r="Y25" i="24"/>
  <c r="Y25" i="25"/>
  <c r="X25" i="24"/>
  <c r="X25" i="25"/>
  <c r="W25" i="24"/>
  <c r="W25" i="25"/>
  <c r="V25" i="24"/>
  <c r="V25" i="25"/>
  <c r="U25" i="24"/>
  <c r="U25" i="25"/>
  <c r="T25" i="24"/>
  <c r="T25" i="25"/>
  <c r="S25" i="24"/>
  <c r="S25" i="25"/>
  <c r="R25" i="24"/>
  <c r="R25" i="25"/>
  <c r="Q25" i="24"/>
  <c r="Q25" i="25"/>
  <c r="P25" i="24"/>
  <c r="P25" i="25"/>
  <c r="O25" i="24"/>
  <c r="O25" i="25"/>
  <c r="N25" i="24"/>
  <c r="N25" i="25"/>
  <c r="M25" i="24"/>
  <c r="M25" i="25"/>
  <c r="L25" i="24"/>
  <c r="L25" i="25"/>
  <c r="K25" i="24"/>
  <c r="K25" i="25"/>
  <c r="J25" i="24"/>
  <c r="J25" i="25"/>
  <c r="I25" i="24"/>
  <c r="I25" i="25"/>
  <c r="H25" i="24"/>
  <c r="H25" i="25"/>
  <c r="G25" i="24"/>
  <c r="G25" i="25"/>
  <c r="F25" i="24"/>
  <c r="F25" i="25"/>
  <c r="E25" i="24"/>
  <c r="E25" i="25"/>
  <c r="BP11" i="24"/>
  <c r="E24" i="3"/>
  <c r="BD24" i="24"/>
  <c r="BP12" i="24"/>
  <c r="F24" i="3"/>
  <c r="BE24" i="24"/>
  <c r="BP13" i="24"/>
  <c r="G24" i="3"/>
  <c r="BF24" i="24"/>
  <c r="BP14" i="24"/>
  <c r="H24" i="3"/>
  <c r="BG24" i="24"/>
  <c r="BP15" i="24"/>
  <c r="I24" i="3"/>
  <c r="BH24" i="24"/>
  <c r="BP16" i="24"/>
  <c r="J24" i="3"/>
  <c r="BI24" i="24"/>
  <c r="BP17" i="24"/>
  <c r="K24" i="3"/>
  <c r="BJ24" i="24"/>
  <c r="BP18" i="24"/>
  <c r="L24" i="3"/>
  <c r="BK24" i="24"/>
  <c r="BP19" i="24"/>
  <c r="M24" i="3"/>
  <c r="BL24" i="24"/>
  <c r="BP20" i="24"/>
  <c r="N24" i="3"/>
  <c r="BM24" i="24"/>
  <c r="BP21" i="24"/>
  <c r="O24" i="3"/>
  <c r="BN24" i="24"/>
  <c r="BP22" i="24"/>
  <c r="P24" i="3"/>
  <c r="BO24" i="24"/>
  <c r="BP23" i="24"/>
  <c r="AR24" i="24"/>
  <c r="AR24" i="25"/>
  <c r="AQ24" i="24"/>
  <c r="AQ24" i="25"/>
  <c r="AP24" i="24"/>
  <c r="AP24" i="25"/>
  <c r="AO24" i="24"/>
  <c r="AO24" i="25"/>
  <c r="AN24" i="24"/>
  <c r="AN24" i="25"/>
  <c r="AM24" i="24"/>
  <c r="AM24" i="25"/>
  <c r="AL24" i="24"/>
  <c r="AL24" i="25"/>
  <c r="AK24" i="24"/>
  <c r="AK24" i="25"/>
  <c r="AJ24" i="24"/>
  <c r="AJ24" i="25"/>
  <c r="AI24" i="24"/>
  <c r="AI24" i="25"/>
  <c r="AH24" i="24"/>
  <c r="AH24" i="25"/>
  <c r="AG24" i="24"/>
  <c r="AG24" i="25"/>
  <c r="AF24" i="24"/>
  <c r="AF24" i="25"/>
  <c r="AE24" i="24"/>
  <c r="AE24" i="25"/>
  <c r="AD24" i="24"/>
  <c r="AD24" i="25"/>
  <c r="AC24" i="24"/>
  <c r="AC24" i="25"/>
  <c r="AB24" i="24"/>
  <c r="AB24" i="25"/>
  <c r="AA24" i="24"/>
  <c r="AA24" i="25"/>
  <c r="Z24" i="24"/>
  <c r="Z24" i="25"/>
  <c r="Y24" i="24"/>
  <c r="Y24" i="25"/>
  <c r="X24" i="24"/>
  <c r="X24" i="25"/>
  <c r="W24" i="24"/>
  <c r="W24" i="25"/>
  <c r="V24" i="24"/>
  <c r="V24" i="25"/>
  <c r="U24" i="24"/>
  <c r="U24" i="25"/>
  <c r="T24" i="24"/>
  <c r="T24" i="25"/>
  <c r="S24" i="24"/>
  <c r="S24" i="25"/>
  <c r="R24" i="24"/>
  <c r="R24" i="25"/>
  <c r="Q24" i="24"/>
  <c r="Q24" i="25"/>
  <c r="P24" i="24"/>
  <c r="P24" i="25"/>
  <c r="O24" i="24"/>
  <c r="O24" i="25"/>
  <c r="N24" i="24"/>
  <c r="N24" i="25"/>
  <c r="M24" i="24"/>
  <c r="M24" i="25"/>
  <c r="L24" i="24"/>
  <c r="L24" i="25"/>
  <c r="K24" i="24"/>
  <c r="K24" i="25"/>
  <c r="J24" i="24"/>
  <c r="J24" i="25"/>
  <c r="I24" i="24"/>
  <c r="I24" i="25"/>
  <c r="H24" i="24"/>
  <c r="H24" i="25"/>
  <c r="G24" i="24"/>
  <c r="G24" i="25"/>
  <c r="F24" i="24"/>
  <c r="F24" i="25"/>
  <c r="E24" i="24"/>
  <c r="E24" i="25"/>
  <c r="BO11" i="24"/>
  <c r="E23" i="3"/>
  <c r="BD23" i="24"/>
  <c r="BO12" i="24"/>
  <c r="F23" i="3"/>
  <c r="BE23" i="24"/>
  <c r="BO13" i="24"/>
  <c r="G23" i="3"/>
  <c r="BF23" i="24"/>
  <c r="BO14" i="24"/>
  <c r="H23" i="3"/>
  <c r="BG23" i="24"/>
  <c r="BO15" i="24"/>
  <c r="I23" i="3"/>
  <c r="BH23" i="24"/>
  <c r="BO16" i="24"/>
  <c r="J23" i="3"/>
  <c r="BI23" i="24"/>
  <c r="BO17" i="24"/>
  <c r="K23" i="3"/>
  <c r="BJ23" i="24"/>
  <c r="BO18" i="24"/>
  <c r="L23" i="3"/>
  <c r="BK23" i="24"/>
  <c r="BO19" i="24"/>
  <c r="M23" i="3"/>
  <c r="BL23" i="24"/>
  <c r="BO20" i="24"/>
  <c r="N23" i="3"/>
  <c r="BM23" i="24"/>
  <c r="BO21" i="24"/>
  <c r="O23" i="3"/>
  <c r="BN23" i="24"/>
  <c r="BO22" i="24"/>
  <c r="AR23" i="24"/>
  <c r="AR23" i="25"/>
  <c r="AQ23" i="24"/>
  <c r="AQ23" i="25"/>
  <c r="AP23" i="24"/>
  <c r="AP23" i="25"/>
  <c r="AO23" i="24"/>
  <c r="AO23" i="25"/>
  <c r="AN23" i="24"/>
  <c r="AN23" i="25"/>
  <c r="AM23" i="24"/>
  <c r="AM23" i="25"/>
  <c r="AL23" i="24"/>
  <c r="AL23" i="25"/>
  <c r="AK23" i="24"/>
  <c r="AK23" i="25"/>
  <c r="AJ23" i="24"/>
  <c r="AJ23" i="25"/>
  <c r="AI23" i="24"/>
  <c r="AI23" i="25"/>
  <c r="AH23" i="24"/>
  <c r="AH23" i="25"/>
  <c r="AG23" i="24"/>
  <c r="AG23" i="25"/>
  <c r="AF23" i="24"/>
  <c r="AF23" i="25"/>
  <c r="AE23" i="24"/>
  <c r="AE23" i="25"/>
  <c r="AD23" i="24"/>
  <c r="AD23" i="25"/>
  <c r="AC23" i="24"/>
  <c r="AC23" i="25"/>
  <c r="AB23" i="24"/>
  <c r="AB23" i="25"/>
  <c r="AA23" i="24"/>
  <c r="AA23" i="25"/>
  <c r="Z23" i="24"/>
  <c r="Z23" i="25"/>
  <c r="Y23" i="24"/>
  <c r="Y23" i="25"/>
  <c r="X23" i="24"/>
  <c r="X23" i="25"/>
  <c r="W23" i="24"/>
  <c r="W23" i="25"/>
  <c r="V23" i="24"/>
  <c r="V23" i="25"/>
  <c r="U23" i="24"/>
  <c r="U23" i="25"/>
  <c r="T23" i="24"/>
  <c r="T23" i="25"/>
  <c r="S23" i="24"/>
  <c r="S23" i="25"/>
  <c r="R23" i="24"/>
  <c r="R23" i="25"/>
  <c r="Q23" i="24"/>
  <c r="Q23" i="25"/>
  <c r="P23" i="24"/>
  <c r="P23" i="25"/>
  <c r="O23" i="24"/>
  <c r="O23" i="25"/>
  <c r="N23" i="24"/>
  <c r="N23" i="25"/>
  <c r="M23" i="24"/>
  <c r="M23" i="25"/>
  <c r="L23" i="24"/>
  <c r="L23" i="25"/>
  <c r="K23" i="24"/>
  <c r="K23" i="25"/>
  <c r="J23" i="24"/>
  <c r="J23" i="25"/>
  <c r="I23" i="24"/>
  <c r="I23" i="25"/>
  <c r="H23" i="24"/>
  <c r="H23" i="25"/>
  <c r="G23" i="24"/>
  <c r="G23" i="25"/>
  <c r="F23" i="24"/>
  <c r="F23" i="25"/>
  <c r="E23" i="24"/>
  <c r="E23" i="25"/>
  <c r="BN11" i="24"/>
  <c r="E22" i="3"/>
  <c r="BD22" i="24"/>
  <c r="BN12" i="24"/>
  <c r="F22" i="3"/>
  <c r="BE22" i="24"/>
  <c r="BN13" i="24"/>
  <c r="G22" i="3"/>
  <c r="BF22" i="24"/>
  <c r="BN14" i="24"/>
  <c r="H22" i="3"/>
  <c r="BG22" i="24"/>
  <c r="BN15" i="24"/>
  <c r="I22" i="3"/>
  <c r="BH22" i="24"/>
  <c r="BN16" i="24"/>
  <c r="J22" i="3"/>
  <c r="BI22" i="24"/>
  <c r="BN17" i="24"/>
  <c r="K22" i="3"/>
  <c r="BJ22" i="24"/>
  <c r="BN18" i="24"/>
  <c r="L22" i="3"/>
  <c r="BK22" i="24"/>
  <c r="BN19" i="24"/>
  <c r="M22" i="3"/>
  <c r="BL22" i="24"/>
  <c r="BN20" i="24"/>
  <c r="N22" i="3"/>
  <c r="BM22" i="24"/>
  <c r="BN21" i="24"/>
  <c r="AR22" i="24"/>
  <c r="AR22" i="25"/>
  <c r="AQ22" i="24"/>
  <c r="AQ22" i="25"/>
  <c r="AP22" i="24"/>
  <c r="AP22" i="25"/>
  <c r="AO22" i="24"/>
  <c r="AO22" i="25"/>
  <c r="AN22" i="24"/>
  <c r="AN22" i="25"/>
  <c r="AM22" i="24"/>
  <c r="AM22" i="25"/>
  <c r="AL22" i="24"/>
  <c r="AL22" i="25"/>
  <c r="AK22" i="24"/>
  <c r="AK22" i="25"/>
  <c r="AJ22" i="24"/>
  <c r="AJ22" i="25"/>
  <c r="AI22" i="24"/>
  <c r="AI22" i="25"/>
  <c r="AH22" i="24"/>
  <c r="AH22" i="25"/>
  <c r="AG22" i="24"/>
  <c r="AG22" i="25"/>
  <c r="AF22" i="24"/>
  <c r="AF22" i="25"/>
  <c r="AE22" i="24"/>
  <c r="AE22" i="25"/>
  <c r="AD22" i="24"/>
  <c r="AD22" i="25"/>
  <c r="AC22" i="24"/>
  <c r="AC22" i="25"/>
  <c r="AB22" i="24"/>
  <c r="AB22" i="25"/>
  <c r="AA22" i="24"/>
  <c r="AA22" i="25"/>
  <c r="Z22" i="24"/>
  <c r="Z22" i="25"/>
  <c r="Y22" i="24"/>
  <c r="Y22" i="25"/>
  <c r="X22" i="24"/>
  <c r="X22" i="25"/>
  <c r="W22" i="24"/>
  <c r="W22" i="25"/>
  <c r="V22" i="24"/>
  <c r="V22" i="25"/>
  <c r="U22" i="24"/>
  <c r="U22" i="25"/>
  <c r="T22" i="24"/>
  <c r="T22" i="25"/>
  <c r="S22" i="24"/>
  <c r="S22" i="25"/>
  <c r="R22" i="24"/>
  <c r="R22" i="25"/>
  <c r="Q22" i="24"/>
  <c r="Q22" i="25"/>
  <c r="P22" i="24"/>
  <c r="P22" i="25"/>
  <c r="O22" i="24"/>
  <c r="O22" i="25"/>
  <c r="N22" i="24"/>
  <c r="N22" i="25"/>
  <c r="M22" i="24"/>
  <c r="M22" i="25"/>
  <c r="L22" i="24"/>
  <c r="L22" i="25"/>
  <c r="K22" i="24"/>
  <c r="K22" i="25"/>
  <c r="J22" i="24"/>
  <c r="J22" i="25"/>
  <c r="I22" i="24"/>
  <c r="I22" i="25"/>
  <c r="H22" i="24"/>
  <c r="H22" i="25"/>
  <c r="G22" i="24"/>
  <c r="G22" i="25"/>
  <c r="F22" i="24"/>
  <c r="F22" i="25"/>
  <c r="E22" i="24"/>
  <c r="E22" i="25"/>
  <c r="BM11" i="24"/>
  <c r="E21" i="3"/>
  <c r="BD21" i="24"/>
  <c r="BM12" i="24"/>
  <c r="F21" i="3"/>
  <c r="BE21" i="24"/>
  <c r="BM13" i="24"/>
  <c r="G21" i="3"/>
  <c r="BF21" i="24"/>
  <c r="BM14" i="24"/>
  <c r="H21" i="3"/>
  <c r="BG21" i="24"/>
  <c r="BM15" i="24"/>
  <c r="I21" i="3"/>
  <c r="BH21" i="24"/>
  <c r="BM16" i="24"/>
  <c r="J21" i="3"/>
  <c r="BI21" i="24"/>
  <c r="BM17" i="24"/>
  <c r="K21" i="3"/>
  <c r="BJ21" i="24"/>
  <c r="BM18" i="24"/>
  <c r="L21" i="3"/>
  <c r="BK21" i="24"/>
  <c r="BM19" i="24"/>
  <c r="M21" i="3"/>
  <c r="BL21" i="24"/>
  <c r="BM20" i="24"/>
  <c r="AR21" i="24"/>
  <c r="AR21" i="25"/>
  <c r="AQ21" i="24"/>
  <c r="AQ21" i="25"/>
  <c r="AP21" i="24"/>
  <c r="AP21" i="25"/>
  <c r="AO21" i="24"/>
  <c r="AO21" i="25"/>
  <c r="AN21" i="24"/>
  <c r="AN21" i="25"/>
  <c r="AM21" i="24"/>
  <c r="AM21" i="25"/>
  <c r="AL21" i="24"/>
  <c r="AL21" i="25"/>
  <c r="AK21" i="24"/>
  <c r="AK21" i="25"/>
  <c r="AJ21" i="24"/>
  <c r="AJ21" i="25"/>
  <c r="AI21" i="24"/>
  <c r="AI21" i="25"/>
  <c r="AH21" i="24"/>
  <c r="AH21" i="25"/>
  <c r="AG21" i="24"/>
  <c r="AG21" i="25"/>
  <c r="AF21" i="24"/>
  <c r="AF21" i="25"/>
  <c r="AE21" i="24"/>
  <c r="AE21" i="25"/>
  <c r="AD21" i="24"/>
  <c r="AD21" i="25"/>
  <c r="AC21" i="24"/>
  <c r="AC21" i="25"/>
  <c r="AB21" i="24"/>
  <c r="AB21" i="25"/>
  <c r="AA21" i="24"/>
  <c r="AA21" i="25"/>
  <c r="Z21" i="24"/>
  <c r="Z21" i="25"/>
  <c r="Y21" i="24"/>
  <c r="Y21" i="25"/>
  <c r="X21" i="24"/>
  <c r="X21" i="25"/>
  <c r="W21" i="24"/>
  <c r="W21" i="25"/>
  <c r="V21" i="24"/>
  <c r="V21" i="25"/>
  <c r="U21" i="24"/>
  <c r="U21" i="25"/>
  <c r="T21" i="24"/>
  <c r="T21" i="25"/>
  <c r="S21" i="24"/>
  <c r="S21" i="25"/>
  <c r="R21" i="24"/>
  <c r="R21" i="25"/>
  <c r="Q21" i="24"/>
  <c r="Q21" i="25"/>
  <c r="P21" i="24"/>
  <c r="P21" i="25"/>
  <c r="O21" i="24"/>
  <c r="O21" i="25"/>
  <c r="N21" i="24"/>
  <c r="N21" i="25"/>
  <c r="M21" i="24"/>
  <c r="M21" i="25"/>
  <c r="L21" i="24"/>
  <c r="L21" i="25"/>
  <c r="K21" i="24"/>
  <c r="K21" i="25"/>
  <c r="J21" i="24"/>
  <c r="J21" i="25"/>
  <c r="I21" i="24"/>
  <c r="I21" i="25"/>
  <c r="H21" i="24"/>
  <c r="H21" i="25"/>
  <c r="G21" i="24"/>
  <c r="G21" i="25"/>
  <c r="F21" i="24"/>
  <c r="F21" i="25"/>
  <c r="E21" i="24"/>
  <c r="E21" i="25"/>
  <c r="BL11" i="24"/>
  <c r="E20" i="3"/>
  <c r="BD20" i="24"/>
  <c r="BL12" i="24"/>
  <c r="F20" i="3"/>
  <c r="BE20" i="24"/>
  <c r="BL13" i="24"/>
  <c r="G20" i="3"/>
  <c r="BF20" i="24"/>
  <c r="BL14" i="24"/>
  <c r="H20" i="3"/>
  <c r="BG20" i="24"/>
  <c r="BL15" i="24"/>
  <c r="I20" i="3"/>
  <c r="BH20" i="24"/>
  <c r="BL16" i="24"/>
  <c r="J20" i="3"/>
  <c r="BI20" i="24"/>
  <c r="BL17" i="24"/>
  <c r="K20" i="3"/>
  <c r="BJ20" i="24"/>
  <c r="BL18" i="24"/>
  <c r="L20" i="3"/>
  <c r="BK20" i="24"/>
  <c r="BL19" i="24"/>
  <c r="AR20" i="24"/>
  <c r="AR20" i="25"/>
  <c r="AQ20" i="24"/>
  <c r="AQ20" i="25"/>
  <c r="AP20" i="24"/>
  <c r="AP20" i="25"/>
  <c r="AO20" i="24"/>
  <c r="AO20" i="25"/>
  <c r="AN20" i="24"/>
  <c r="AN20" i="25"/>
  <c r="AM20" i="24"/>
  <c r="AM20" i="25"/>
  <c r="AL20" i="24"/>
  <c r="AL20" i="25"/>
  <c r="AK20" i="24"/>
  <c r="AK20" i="25"/>
  <c r="AJ20" i="24"/>
  <c r="AJ20" i="25"/>
  <c r="AI20" i="24"/>
  <c r="AI20" i="25"/>
  <c r="AH20" i="24"/>
  <c r="AH20" i="25"/>
  <c r="AG20" i="24"/>
  <c r="AG20" i="25"/>
  <c r="AF20" i="24"/>
  <c r="AF20" i="25"/>
  <c r="AE20" i="24"/>
  <c r="AE20" i="25"/>
  <c r="AD20" i="24"/>
  <c r="AD20" i="25"/>
  <c r="AC20" i="24"/>
  <c r="AC20" i="25"/>
  <c r="AB20" i="24"/>
  <c r="AB20" i="25"/>
  <c r="AA20" i="24"/>
  <c r="AA20" i="25"/>
  <c r="Z20" i="24"/>
  <c r="Z20" i="25"/>
  <c r="Y20" i="24"/>
  <c r="Y20" i="25"/>
  <c r="X20" i="24"/>
  <c r="X20" i="25"/>
  <c r="W20" i="24"/>
  <c r="W20" i="25"/>
  <c r="V20" i="24"/>
  <c r="V20" i="25"/>
  <c r="U20" i="24"/>
  <c r="U20" i="25"/>
  <c r="T20" i="24"/>
  <c r="T20" i="25"/>
  <c r="S20" i="24"/>
  <c r="S20" i="25"/>
  <c r="R20" i="24"/>
  <c r="R20" i="25"/>
  <c r="Q20" i="24"/>
  <c r="Q20" i="25"/>
  <c r="P20" i="24"/>
  <c r="P20" i="25"/>
  <c r="O20" i="24"/>
  <c r="O20" i="25"/>
  <c r="N20" i="24"/>
  <c r="N20" i="25"/>
  <c r="M20" i="24"/>
  <c r="M20" i="25"/>
  <c r="L20" i="24"/>
  <c r="L20" i="25"/>
  <c r="K20" i="24"/>
  <c r="K20" i="25"/>
  <c r="J20" i="24"/>
  <c r="J20" i="25"/>
  <c r="I20" i="24"/>
  <c r="I20" i="25"/>
  <c r="H20" i="24"/>
  <c r="H20" i="25"/>
  <c r="G20" i="24"/>
  <c r="G20" i="25"/>
  <c r="F20" i="24"/>
  <c r="F20" i="25"/>
  <c r="E20" i="24"/>
  <c r="E20" i="25"/>
  <c r="BK11" i="24"/>
  <c r="E19" i="3"/>
  <c r="BD19" i="24"/>
  <c r="BK12" i="24"/>
  <c r="F19" i="3"/>
  <c r="BE19" i="24"/>
  <c r="BK13" i="24"/>
  <c r="G19" i="3"/>
  <c r="BF19" i="24"/>
  <c r="BK14" i="24"/>
  <c r="H19" i="3"/>
  <c r="BG19" i="24"/>
  <c r="BK15" i="24"/>
  <c r="I19" i="3"/>
  <c r="BH19" i="24"/>
  <c r="BK16" i="24"/>
  <c r="J19" i="3"/>
  <c r="BI19" i="24"/>
  <c r="BK17" i="24"/>
  <c r="K19" i="3"/>
  <c r="BJ19" i="24"/>
  <c r="BK18" i="24"/>
  <c r="AR19" i="24"/>
  <c r="AR19" i="25"/>
  <c r="AQ19" i="24"/>
  <c r="AQ19" i="25"/>
  <c r="AP19" i="24"/>
  <c r="AP19" i="25"/>
  <c r="AO19" i="24"/>
  <c r="AO19" i="25"/>
  <c r="AN19" i="24"/>
  <c r="AN19" i="25"/>
  <c r="AM19" i="24"/>
  <c r="AM19" i="25"/>
  <c r="AL19" i="24"/>
  <c r="AL19" i="25"/>
  <c r="AK19" i="24"/>
  <c r="AK19" i="25"/>
  <c r="AJ19" i="24"/>
  <c r="AJ19" i="25"/>
  <c r="AI19" i="24"/>
  <c r="AI19" i="25"/>
  <c r="AH19" i="24"/>
  <c r="AH19" i="25"/>
  <c r="AG19" i="24"/>
  <c r="AG19" i="25"/>
  <c r="AF19" i="24"/>
  <c r="AF19" i="25"/>
  <c r="AE19" i="24"/>
  <c r="AE19" i="25"/>
  <c r="AD19" i="24"/>
  <c r="AD19" i="25"/>
  <c r="AC19" i="24"/>
  <c r="AC19" i="25"/>
  <c r="AB19" i="24"/>
  <c r="AB19" i="25"/>
  <c r="AA19" i="24"/>
  <c r="AA19" i="25"/>
  <c r="Z19" i="24"/>
  <c r="Z19" i="25"/>
  <c r="Y19" i="24"/>
  <c r="Y19" i="25"/>
  <c r="X19" i="24"/>
  <c r="X19" i="25"/>
  <c r="W19" i="24"/>
  <c r="W19" i="25"/>
  <c r="V19" i="24"/>
  <c r="V19" i="25"/>
  <c r="U19" i="24"/>
  <c r="U19" i="25"/>
  <c r="T19" i="24"/>
  <c r="T19" i="25"/>
  <c r="S19" i="24"/>
  <c r="S19" i="25"/>
  <c r="R19" i="24"/>
  <c r="R19" i="25"/>
  <c r="Q19" i="24"/>
  <c r="Q19" i="25"/>
  <c r="P19" i="24"/>
  <c r="P19" i="25"/>
  <c r="O19" i="24"/>
  <c r="O19" i="25"/>
  <c r="N19" i="24"/>
  <c r="N19" i="25"/>
  <c r="M19" i="24"/>
  <c r="M19" i="25"/>
  <c r="L19" i="24"/>
  <c r="L19" i="25"/>
  <c r="K19" i="24"/>
  <c r="K19" i="25"/>
  <c r="J19" i="24"/>
  <c r="J19" i="25"/>
  <c r="I19" i="24"/>
  <c r="I19" i="25"/>
  <c r="H19" i="24"/>
  <c r="H19" i="25"/>
  <c r="G19" i="24"/>
  <c r="G19" i="25"/>
  <c r="F19" i="24"/>
  <c r="F19" i="25"/>
  <c r="E19" i="24"/>
  <c r="E19" i="25"/>
  <c r="BJ11" i="24"/>
  <c r="E18" i="3"/>
  <c r="BD18" i="24"/>
  <c r="BJ12" i="24"/>
  <c r="F18" i="3"/>
  <c r="BE18" i="24"/>
  <c r="BJ13" i="24"/>
  <c r="G18" i="3"/>
  <c r="BF18" i="24"/>
  <c r="BJ14" i="24"/>
  <c r="H18" i="3"/>
  <c r="BG18" i="24"/>
  <c r="BJ15" i="24"/>
  <c r="I18" i="3"/>
  <c r="BH18" i="24"/>
  <c r="BJ16" i="24"/>
  <c r="J18" i="3"/>
  <c r="BI18" i="24"/>
  <c r="BJ17" i="24"/>
  <c r="AR18" i="24"/>
  <c r="AR18" i="25"/>
  <c r="AQ18" i="24"/>
  <c r="AQ18" i="25"/>
  <c r="AP18" i="24"/>
  <c r="AP18" i="25"/>
  <c r="AO18" i="24"/>
  <c r="AO18" i="25"/>
  <c r="AN18" i="24"/>
  <c r="AN18" i="25"/>
  <c r="AM18" i="24"/>
  <c r="AM18" i="25"/>
  <c r="AL18" i="24"/>
  <c r="AL18" i="25"/>
  <c r="AK18" i="24"/>
  <c r="AK18" i="25"/>
  <c r="AJ18" i="24"/>
  <c r="AJ18" i="25"/>
  <c r="AI18" i="24"/>
  <c r="AI18" i="25"/>
  <c r="AH18" i="24"/>
  <c r="AH18" i="25"/>
  <c r="AG18" i="24"/>
  <c r="AG18" i="25"/>
  <c r="AF18" i="24"/>
  <c r="AF18" i="25"/>
  <c r="AE18" i="24"/>
  <c r="AE18" i="25"/>
  <c r="AD18" i="24"/>
  <c r="AD18" i="25"/>
  <c r="AC18" i="24"/>
  <c r="AC18" i="25"/>
  <c r="AB18" i="24"/>
  <c r="AB18" i="25"/>
  <c r="AA18" i="24"/>
  <c r="AA18" i="25"/>
  <c r="Z18" i="24"/>
  <c r="Z18" i="25"/>
  <c r="Y18" i="24"/>
  <c r="Y18" i="25"/>
  <c r="X18" i="24"/>
  <c r="X18" i="25"/>
  <c r="W18" i="24"/>
  <c r="W18" i="25"/>
  <c r="V18" i="24"/>
  <c r="V18" i="25"/>
  <c r="U18" i="24"/>
  <c r="U18" i="25"/>
  <c r="T18" i="24"/>
  <c r="T18" i="25"/>
  <c r="S18" i="24"/>
  <c r="S18" i="25"/>
  <c r="R18" i="24"/>
  <c r="R18" i="25"/>
  <c r="Q18" i="24"/>
  <c r="Q18" i="25"/>
  <c r="P18" i="24"/>
  <c r="P18" i="25"/>
  <c r="O18" i="24"/>
  <c r="O18" i="25"/>
  <c r="N18" i="24"/>
  <c r="N18" i="25"/>
  <c r="M18" i="24"/>
  <c r="M18" i="25"/>
  <c r="L18" i="24"/>
  <c r="L18" i="25"/>
  <c r="K18" i="24"/>
  <c r="K18" i="25"/>
  <c r="J18" i="24"/>
  <c r="J18" i="25"/>
  <c r="I18" i="24"/>
  <c r="I18" i="25"/>
  <c r="H18" i="24"/>
  <c r="H18" i="25"/>
  <c r="G18" i="24"/>
  <c r="G18" i="25"/>
  <c r="F18" i="24"/>
  <c r="F18" i="25"/>
  <c r="E18" i="24"/>
  <c r="E18" i="25"/>
  <c r="BI11" i="24"/>
  <c r="E17" i="3"/>
  <c r="BD17" i="24"/>
  <c r="BI12" i="24"/>
  <c r="F17" i="3"/>
  <c r="BE17" i="24"/>
  <c r="BI13" i="24"/>
  <c r="G17" i="3"/>
  <c r="BF17" i="24"/>
  <c r="BI14" i="24"/>
  <c r="H17" i="3"/>
  <c r="BG17" i="24"/>
  <c r="BI15" i="24"/>
  <c r="I17" i="3"/>
  <c r="BH17" i="24"/>
  <c r="BI16" i="24"/>
  <c r="AR17" i="24"/>
  <c r="AR17" i="25"/>
  <c r="AQ17" i="24"/>
  <c r="AQ17" i="25"/>
  <c r="AP17" i="24"/>
  <c r="AP17" i="25"/>
  <c r="AO17" i="24"/>
  <c r="AO17" i="25"/>
  <c r="AN17" i="24"/>
  <c r="AN17" i="25"/>
  <c r="AM17" i="24"/>
  <c r="AM17" i="25"/>
  <c r="AL17" i="24"/>
  <c r="AL17" i="25"/>
  <c r="AK17" i="24"/>
  <c r="AK17" i="25"/>
  <c r="AJ17" i="24"/>
  <c r="AJ17" i="25"/>
  <c r="AI17" i="24"/>
  <c r="AI17" i="25"/>
  <c r="AH17" i="24"/>
  <c r="AH17" i="25"/>
  <c r="AG17" i="24"/>
  <c r="AG17" i="25"/>
  <c r="AF17" i="24"/>
  <c r="AF17" i="25"/>
  <c r="AE17" i="24"/>
  <c r="AE17" i="25"/>
  <c r="AD17" i="24"/>
  <c r="AD17" i="25"/>
  <c r="AC17" i="24"/>
  <c r="AC17" i="25"/>
  <c r="AB17" i="24"/>
  <c r="AB17" i="25"/>
  <c r="AA17" i="24"/>
  <c r="AA17" i="25"/>
  <c r="Z17" i="24"/>
  <c r="Z17" i="25"/>
  <c r="Y17" i="24"/>
  <c r="Y17" i="25"/>
  <c r="X17" i="24"/>
  <c r="X17" i="25"/>
  <c r="W17" i="24"/>
  <c r="W17" i="25"/>
  <c r="V17" i="24"/>
  <c r="V17" i="25"/>
  <c r="U17" i="24"/>
  <c r="U17" i="25"/>
  <c r="T17" i="24"/>
  <c r="T17" i="25"/>
  <c r="S17" i="24"/>
  <c r="S17" i="25"/>
  <c r="R17" i="24"/>
  <c r="R17" i="25"/>
  <c r="Q17" i="24"/>
  <c r="Q17" i="25"/>
  <c r="P17" i="24"/>
  <c r="P17" i="25"/>
  <c r="O17" i="24"/>
  <c r="O17" i="25"/>
  <c r="N17" i="24"/>
  <c r="N17" i="25"/>
  <c r="M17" i="24"/>
  <c r="M17" i="25"/>
  <c r="L17" i="24"/>
  <c r="L17" i="25"/>
  <c r="K17" i="24"/>
  <c r="K17" i="25"/>
  <c r="J17" i="24"/>
  <c r="J17" i="25"/>
  <c r="I17" i="24"/>
  <c r="I17" i="25"/>
  <c r="H17" i="24"/>
  <c r="H17" i="25"/>
  <c r="G17" i="24"/>
  <c r="G17" i="25"/>
  <c r="F17" i="24"/>
  <c r="F17" i="25"/>
  <c r="E17" i="24"/>
  <c r="E17" i="25"/>
  <c r="BH11" i="24"/>
  <c r="E16" i="3"/>
  <c r="BD16" i="24"/>
  <c r="BH12" i="24"/>
  <c r="F16" i="3"/>
  <c r="BE16" i="24"/>
  <c r="BH13" i="24"/>
  <c r="G16" i="3"/>
  <c r="BF16" i="24"/>
  <c r="BH14" i="24"/>
  <c r="H16" i="3"/>
  <c r="BG16" i="24"/>
  <c r="BH15" i="24"/>
  <c r="AR16" i="24"/>
  <c r="AR16" i="25"/>
  <c r="AQ16" i="24"/>
  <c r="AQ16" i="25"/>
  <c r="AP16" i="24"/>
  <c r="AP16" i="25"/>
  <c r="AO16" i="24"/>
  <c r="AO16" i="25"/>
  <c r="AN16" i="24"/>
  <c r="AN16" i="25"/>
  <c r="AM16" i="24"/>
  <c r="AM16" i="25"/>
  <c r="AL16" i="24"/>
  <c r="AL16" i="25"/>
  <c r="AK16" i="24"/>
  <c r="AK16" i="25"/>
  <c r="AJ16" i="24"/>
  <c r="AJ16" i="25"/>
  <c r="AI16" i="24"/>
  <c r="AI16" i="25"/>
  <c r="AH16" i="24"/>
  <c r="AH16" i="25"/>
  <c r="AG16" i="24"/>
  <c r="AG16" i="25"/>
  <c r="AF16" i="24"/>
  <c r="AF16" i="25"/>
  <c r="AE16" i="24"/>
  <c r="AE16" i="25"/>
  <c r="AD16" i="24"/>
  <c r="AD16" i="25"/>
  <c r="AC16" i="24"/>
  <c r="AC16" i="25"/>
  <c r="AB16" i="24"/>
  <c r="AB16" i="25"/>
  <c r="AA16" i="24"/>
  <c r="AA16" i="25"/>
  <c r="Z16" i="24"/>
  <c r="Z16" i="25"/>
  <c r="Y16" i="24"/>
  <c r="Y16" i="25"/>
  <c r="X16" i="24"/>
  <c r="X16" i="25"/>
  <c r="W16" i="24"/>
  <c r="W16" i="25"/>
  <c r="V16" i="24"/>
  <c r="V16" i="25"/>
  <c r="U16" i="24"/>
  <c r="U16" i="25"/>
  <c r="T16" i="24"/>
  <c r="T16" i="25"/>
  <c r="S16" i="24"/>
  <c r="S16" i="25"/>
  <c r="R16" i="24"/>
  <c r="R16" i="25"/>
  <c r="Q16" i="24"/>
  <c r="Q16" i="25"/>
  <c r="P16" i="24"/>
  <c r="P16" i="25"/>
  <c r="O16" i="24"/>
  <c r="O16" i="25"/>
  <c r="N16" i="24"/>
  <c r="N16" i="25"/>
  <c r="M16" i="24"/>
  <c r="M16" i="25"/>
  <c r="L16" i="24"/>
  <c r="L16" i="25"/>
  <c r="K16" i="24"/>
  <c r="K16" i="25"/>
  <c r="J16" i="24"/>
  <c r="J16" i="25"/>
  <c r="I16" i="24"/>
  <c r="I16" i="25"/>
  <c r="H16" i="24"/>
  <c r="H16" i="25"/>
  <c r="G16" i="24"/>
  <c r="G16" i="25"/>
  <c r="F16" i="24"/>
  <c r="F16" i="25"/>
  <c r="E16" i="24"/>
  <c r="E16" i="25"/>
  <c r="BG11" i="24"/>
  <c r="E15" i="3"/>
  <c r="BD15" i="24"/>
  <c r="BG12" i="24"/>
  <c r="F15" i="3"/>
  <c r="BE15" i="24"/>
  <c r="BG13" i="24"/>
  <c r="G15" i="3"/>
  <c r="BF15" i="24"/>
  <c r="BG14" i="24"/>
  <c r="AR15" i="24"/>
  <c r="AR15" i="25"/>
  <c r="AQ15" i="24"/>
  <c r="AQ15" i="25"/>
  <c r="AP15" i="24"/>
  <c r="AP15" i="25"/>
  <c r="AO15" i="24"/>
  <c r="AO15" i="25"/>
  <c r="AN15" i="24"/>
  <c r="AN15" i="25"/>
  <c r="AM15" i="24"/>
  <c r="AM15" i="25"/>
  <c r="AL15" i="24"/>
  <c r="AL15" i="25"/>
  <c r="AK15" i="24"/>
  <c r="AK15" i="25"/>
  <c r="AJ15" i="24"/>
  <c r="AJ15" i="25"/>
  <c r="AI15" i="24"/>
  <c r="AI15" i="25"/>
  <c r="AH15" i="24"/>
  <c r="AH15" i="25"/>
  <c r="AG15" i="24"/>
  <c r="AG15" i="25"/>
  <c r="AF15" i="24"/>
  <c r="AF15" i="25"/>
  <c r="AE15" i="24"/>
  <c r="AE15" i="25"/>
  <c r="AD15" i="24"/>
  <c r="AD15" i="25"/>
  <c r="AC15" i="24"/>
  <c r="AC15" i="25"/>
  <c r="AB15" i="24"/>
  <c r="AB15" i="25"/>
  <c r="AA15" i="24"/>
  <c r="AA15" i="25"/>
  <c r="Z15" i="24"/>
  <c r="Z15" i="25"/>
  <c r="Y15" i="24"/>
  <c r="Y15" i="25"/>
  <c r="X15" i="24"/>
  <c r="X15" i="25"/>
  <c r="W15" i="24"/>
  <c r="W15" i="25"/>
  <c r="V15" i="24"/>
  <c r="V15" i="25"/>
  <c r="U15" i="24"/>
  <c r="U15" i="25"/>
  <c r="T15" i="24"/>
  <c r="T15" i="25"/>
  <c r="S15" i="24"/>
  <c r="S15" i="25"/>
  <c r="R15" i="24"/>
  <c r="R15" i="25"/>
  <c r="Q15" i="24"/>
  <c r="Q15" i="25"/>
  <c r="P15" i="24"/>
  <c r="P15" i="25"/>
  <c r="O15" i="24"/>
  <c r="O15" i="25"/>
  <c r="N15" i="24"/>
  <c r="N15" i="25"/>
  <c r="M15" i="24"/>
  <c r="M15" i="25"/>
  <c r="L15" i="24"/>
  <c r="L15" i="25"/>
  <c r="K15" i="24"/>
  <c r="K15" i="25"/>
  <c r="J15" i="24"/>
  <c r="J15" i="25"/>
  <c r="I15" i="24"/>
  <c r="I15" i="25"/>
  <c r="H15" i="24"/>
  <c r="H15" i="25"/>
  <c r="G15" i="24"/>
  <c r="G15" i="25"/>
  <c r="F15" i="24"/>
  <c r="F15" i="25"/>
  <c r="E15" i="24"/>
  <c r="E15" i="25"/>
  <c r="BF11" i="24"/>
  <c r="E14" i="3"/>
  <c r="BD14" i="24"/>
  <c r="BF12" i="24"/>
  <c r="F14" i="3"/>
  <c r="BE14" i="24"/>
  <c r="BF13" i="24"/>
  <c r="AR14" i="24"/>
  <c r="AR14" i="25"/>
  <c r="AQ14" i="24"/>
  <c r="AQ14" i="25"/>
  <c r="AP14" i="24"/>
  <c r="AP14" i="25"/>
  <c r="AO14" i="24"/>
  <c r="AO14" i="25"/>
  <c r="AN14" i="24"/>
  <c r="AN14" i="25"/>
  <c r="AM14" i="24"/>
  <c r="AM14" i="25"/>
  <c r="AL14" i="24"/>
  <c r="AL14" i="25"/>
  <c r="AK14" i="24"/>
  <c r="AK14" i="25"/>
  <c r="AJ14" i="24"/>
  <c r="AJ14" i="25"/>
  <c r="AI14" i="24"/>
  <c r="AI14" i="25"/>
  <c r="AH14" i="24"/>
  <c r="AH14" i="25"/>
  <c r="AG14" i="24"/>
  <c r="AG14" i="25"/>
  <c r="AF14" i="24"/>
  <c r="AF14" i="25"/>
  <c r="AE14" i="24"/>
  <c r="AE14" i="25"/>
  <c r="AD14" i="24"/>
  <c r="AD14" i="25"/>
  <c r="AC14" i="24"/>
  <c r="AC14" i="25"/>
  <c r="AB14" i="24"/>
  <c r="AB14" i="25"/>
  <c r="AA14" i="24"/>
  <c r="AA14" i="25"/>
  <c r="Z14" i="24"/>
  <c r="Z14" i="25"/>
  <c r="Y14" i="24"/>
  <c r="Y14" i="25"/>
  <c r="X14" i="24"/>
  <c r="X14" i="25"/>
  <c r="W14" i="24"/>
  <c r="W14" i="25"/>
  <c r="V14" i="24"/>
  <c r="V14" i="25"/>
  <c r="U14" i="24"/>
  <c r="U14" i="25"/>
  <c r="T14" i="24"/>
  <c r="T14" i="25"/>
  <c r="S14" i="24"/>
  <c r="S14" i="25"/>
  <c r="R14" i="24"/>
  <c r="R14" i="25"/>
  <c r="Q14" i="24"/>
  <c r="Q14" i="25"/>
  <c r="P14" i="24"/>
  <c r="P14" i="25"/>
  <c r="O14" i="24"/>
  <c r="O14" i="25"/>
  <c r="N14" i="24"/>
  <c r="N14" i="25"/>
  <c r="M14" i="24"/>
  <c r="M14" i="25"/>
  <c r="L14" i="24"/>
  <c r="L14" i="25"/>
  <c r="K14" i="24"/>
  <c r="K14" i="25"/>
  <c r="J14" i="24"/>
  <c r="J14" i="25"/>
  <c r="I14" i="24"/>
  <c r="I14" i="25"/>
  <c r="H14" i="24"/>
  <c r="H14" i="25"/>
  <c r="G14" i="24"/>
  <c r="G14" i="25"/>
  <c r="F14" i="24"/>
  <c r="F14" i="25"/>
  <c r="E14" i="24"/>
  <c r="E14" i="25"/>
  <c r="BE11" i="24"/>
  <c r="E13" i="3"/>
  <c r="BD13" i="24"/>
  <c r="BE12" i="24"/>
  <c r="AR13" i="24"/>
  <c r="AR13" i="25"/>
  <c r="AQ13" i="24"/>
  <c r="AQ13" i="25"/>
  <c r="AP13" i="24"/>
  <c r="AP13" i="25"/>
  <c r="AO13" i="24"/>
  <c r="AO13" i="25"/>
  <c r="AN13" i="24"/>
  <c r="AN13" i="25"/>
  <c r="AM13" i="24"/>
  <c r="AM13" i="25"/>
  <c r="AL13" i="24"/>
  <c r="AL13" i="25"/>
  <c r="AK13" i="24"/>
  <c r="AK13" i="25"/>
  <c r="AJ13" i="24"/>
  <c r="AJ13" i="25"/>
  <c r="AI13" i="24"/>
  <c r="AI13" i="25"/>
  <c r="AH13" i="24"/>
  <c r="AH13" i="25"/>
  <c r="AG13" i="24"/>
  <c r="AG13" i="25"/>
  <c r="AF13" i="24"/>
  <c r="AF13" i="25"/>
  <c r="AE13" i="24"/>
  <c r="AE13" i="25"/>
  <c r="AD13" i="24"/>
  <c r="AD13" i="25"/>
  <c r="AC13" i="24"/>
  <c r="AC13" i="25"/>
  <c r="AB13" i="24"/>
  <c r="AB13" i="25"/>
  <c r="AA13" i="24"/>
  <c r="AA13" i="25"/>
  <c r="Z13" i="24"/>
  <c r="Z13" i="25"/>
  <c r="Y13" i="24"/>
  <c r="Y13" i="25"/>
  <c r="X13" i="24"/>
  <c r="X13" i="25"/>
  <c r="W13" i="24"/>
  <c r="W13" i="25"/>
  <c r="V13" i="24"/>
  <c r="V13" i="25"/>
  <c r="U13" i="24"/>
  <c r="U13" i="25"/>
  <c r="T13" i="24"/>
  <c r="T13" i="25"/>
  <c r="S13" i="24"/>
  <c r="S13" i="25"/>
  <c r="R13" i="24"/>
  <c r="R13" i="25"/>
  <c r="Q13" i="24"/>
  <c r="Q13" i="25"/>
  <c r="P13" i="24"/>
  <c r="P13" i="25"/>
  <c r="O13" i="24"/>
  <c r="O13" i="25"/>
  <c r="N13" i="24"/>
  <c r="N13" i="25"/>
  <c r="M13" i="24"/>
  <c r="M13" i="25"/>
  <c r="L13" i="24"/>
  <c r="L13" i="25"/>
  <c r="K13" i="24"/>
  <c r="K13" i="25"/>
  <c r="J13" i="24"/>
  <c r="J13" i="25"/>
  <c r="I13" i="24"/>
  <c r="I13" i="25"/>
  <c r="H13" i="24"/>
  <c r="H13" i="25"/>
  <c r="G13" i="24"/>
  <c r="G13" i="25"/>
  <c r="F13" i="24"/>
  <c r="F13" i="25"/>
  <c r="E13" i="24"/>
  <c r="E13" i="25"/>
  <c r="BD11" i="24"/>
  <c r="AR12" i="24"/>
  <c r="AR12" i="25"/>
  <c r="AQ12" i="24"/>
  <c r="AQ12" i="25"/>
  <c r="AP12" i="24"/>
  <c r="AP12" i="25"/>
  <c r="AO12" i="24"/>
  <c r="AO12" i="25"/>
  <c r="AN12" i="24"/>
  <c r="AN12" i="25"/>
  <c r="AM12" i="24"/>
  <c r="AM12" i="25"/>
  <c r="AL12" i="24"/>
  <c r="AL12" i="25"/>
  <c r="AK12" i="24"/>
  <c r="AK12" i="25"/>
  <c r="AJ12" i="24"/>
  <c r="AJ12" i="25"/>
  <c r="AI12" i="24"/>
  <c r="AI12" i="25"/>
  <c r="AH12" i="24"/>
  <c r="AH12" i="25"/>
  <c r="AG12" i="24"/>
  <c r="AG12" i="25"/>
  <c r="AF12" i="24"/>
  <c r="AF12" i="25"/>
  <c r="AE12" i="24"/>
  <c r="AE12" i="25"/>
  <c r="AD12" i="24"/>
  <c r="AD12" i="25"/>
  <c r="AC12" i="24"/>
  <c r="AC12" i="25"/>
  <c r="AB12" i="24"/>
  <c r="AB12" i="25"/>
  <c r="AA12" i="24"/>
  <c r="AA12" i="25"/>
  <c r="Z12" i="24"/>
  <c r="Z12" i="25"/>
  <c r="Y12" i="24"/>
  <c r="Y12" i="25"/>
  <c r="X12" i="24"/>
  <c r="X12" i="25"/>
  <c r="W12" i="24"/>
  <c r="W12" i="25"/>
  <c r="V12" i="24"/>
  <c r="V12" i="25"/>
  <c r="U12" i="24"/>
  <c r="U12" i="25"/>
  <c r="T12" i="24"/>
  <c r="T12" i="25"/>
  <c r="S12" i="24"/>
  <c r="S12" i="25"/>
  <c r="R12" i="24"/>
  <c r="R12" i="25"/>
  <c r="Q12" i="24"/>
  <c r="Q12" i="25"/>
  <c r="P12" i="24"/>
  <c r="P12" i="25"/>
  <c r="O12" i="24"/>
  <c r="O12" i="25"/>
  <c r="N12" i="24"/>
  <c r="N12" i="25"/>
  <c r="M12" i="24"/>
  <c r="M12" i="25"/>
  <c r="L12" i="24"/>
  <c r="L12" i="25"/>
  <c r="K12" i="24"/>
  <c r="K12" i="25"/>
  <c r="J12" i="24"/>
  <c r="J12" i="25"/>
  <c r="I12" i="24"/>
  <c r="I12" i="25"/>
  <c r="H12" i="24"/>
  <c r="H12" i="25"/>
  <c r="G12" i="24"/>
  <c r="G12" i="25"/>
  <c r="F12" i="24"/>
  <c r="F12" i="25"/>
  <c r="E12" i="24"/>
  <c r="E12" i="25"/>
  <c r="AR80" i="3"/>
  <c r="AR79" i="3"/>
  <c r="AR78" i="3"/>
  <c r="AR77" i="3"/>
  <c r="AR76" i="3"/>
  <c r="AR75" i="3"/>
  <c r="AR74" i="3"/>
  <c r="AR73" i="3"/>
  <c r="AR72" i="3"/>
  <c r="AR71" i="3"/>
  <c r="AR70" i="3"/>
  <c r="AR69" i="3"/>
  <c r="AR68" i="3"/>
  <c r="AR67" i="3"/>
  <c r="AR66" i="3"/>
  <c r="AR65" i="3"/>
  <c r="AR64" i="3"/>
  <c r="AR63" i="3"/>
  <c r="AR61" i="3"/>
</calcChain>
</file>

<file path=xl/sharedStrings.xml><?xml version="1.0" encoding="utf-8"?>
<sst xmlns="http://schemas.openxmlformats.org/spreadsheetml/2006/main" count="51988" uniqueCount="1271">
  <si>
    <t>Paste any selection into an appropriate application for posting.</t>
  </si>
  <si>
    <t>Instructions at bottom</t>
  </si>
  <si>
    <t>More info to right</t>
  </si>
  <si>
    <t>Sheets:</t>
  </si>
  <si>
    <t>Groups:</t>
  </si>
  <si>
    <t>Draw Type:</t>
  </si>
  <si>
    <t>Draw Extensions:</t>
  </si>
  <si>
    <t>E - groups equalized</t>
  </si>
  <si>
    <t>Draw Extension codes</t>
  </si>
  <si>
    <t>Games per team:</t>
  </si>
  <si>
    <t>w - byes awarded automatic win</t>
  </si>
  <si>
    <t>Enter win "W" across from team name under name of team defeated.</t>
  </si>
  <si>
    <t>V</t>
  </si>
  <si>
    <t>W</t>
  </si>
  <si>
    <t>X</t>
  </si>
  <si>
    <t>Y</t>
  </si>
  <si>
    <t>Z</t>
  </si>
  <si>
    <t>AA</t>
  </si>
  <si>
    <t>AB</t>
  </si>
  <si>
    <t>AC</t>
  </si>
  <si>
    <t>AD</t>
  </si>
  <si>
    <t>AE</t>
  </si>
  <si>
    <t>AF</t>
  </si>
  <si>
    <t>AG</t>
  </si>
  <si>
    <t>AH</t>
  </si>
  <si>
    <t>AI</t>
  </si>
  <si>
    <t>AJ</t>
  </si>
  <si>
    <t>AK</t>
  </si>
  <si>
    <t>AL</t>
  </si>
  <si>
    <t>AM</t>
  </si>
  <si>
    <t>AN</t>
  </si>
  <si>
    <t>AO</t>
  </si>
  <si>
    <t>AP</t>
  </si>
  <si>
    <t>AQ</t>
  </si>
  <si>
    <t>CI</t>
  </si>
  <si>
    <t>CJ</t>
  </si>
  <si>
    <t>CK</t>
  </si>
  <si>
    <t>CL</t>
  </si>
  <si>
    <t>40•2</t>
  </si>
  <si>
    <t>40•3</t>
  </si>
  <si>
    <t>40•4</t>
  </si>
  <si>
    <t>40•5</t>
  </si>
  <si>
    <t>40•6</t>
  </si>
  <si>
    <t>40•7</t>
  </si>
  <si>
    <t>40•8</t>
  </si>
  <si>
    <t>40•9</t>
  </si>
  <si>
    <t>e</t>
  </si>
  <si>
    <t>For a league schedule, copy from League Name cell to the bottom right (last) sheet cell in the draw</t>
  </si>
  <si>
    <t>For a Markup sheet, complete all the data here, and view the Markup worksheet.</t>
  </si>
  <si>
    <t>X - extension of 2 group draw into a single group</t>
  </si>
  <si>
    <t>Addgames within the same group will not be reflected.</t>
  </si>
  <si>
    <t>Rd 21</t>
  </si>
  <si>
    <t>Rd 22</t>
  </si>
  <si>
    <t>Rd 23</t>
  </si>
  <si>
    <t>Rd 24</t>
  </si>
  <si>
    <t>Rd 25</t>
  </si>
  <si>
    <t>Rd 26</t>
  </si>
  <si>
    <t>Rd 27</t>
  </si>
  <si>
    <t>Rd 30</t>
  </si>
  <si>
    <t>Rd 31</t>
  </si>
  <si>
    <t>Rd 32</t>
  </si>
  <si>
    <t>Rd 33</t>
  </si>
  <si>
    <t>Rd 34</t>
  </si>
  <si>
    <t>Rd 35</t>
  </si>
  <si>
    <t>Rd 36</t>
  </si>
  <si>
    <t>Sheet</t>
  </si>
  <si>
    <t>Draw Times</t>
  </si>
  <si>
    <t>This reference does not reflect any added games within a single group.</t>
  </si>
  <si>
    <t>Rd 28</t>
  </si>
  <si>
    <t>Rd 29</t>
  </si>
  <si>
    <t>The information may then be copied to prepare a posted draw.</t>
  </si>
  <si>
    <t>Round robins included with this template are for 2 to 10 sheets,</t>
  </si>
  <si>
    <t>CS worksheet</t>
  </si>
  <si>
    <t>TvT worksheet</t>
  </si>
  <si>
    <t>Markup worksheet</t>
  </si>
  <si>
    <t>The information may then be copied to prepare a posted recording sheet.</t>
  </si>
  <si>
    <t>Draw Cross Index</t>
  </si>
  <si>
    <t>This worksheet provides a visual confirmation that the draw is complete.</t>
  </si>
  <si>
    <r>
      <t xml:space="preserve">The cross index shows the </t>
    </r>
    <r>
      <rPr>
        <b/>
        <sz val="10"/>
        <rFont val="Arial"/>
      </rPr>
      <t>round•sheet</t>
    </r>
    <r>
      <rPr>
        <sz val="10"/>
        <rFont val="Arial"/>
      </rPr>
      <t xml:space="preserve"> for each game between two teams.</t>
    </r>
  </si>
  <si>
    <t>Teams:</t>
  </si>
  <si>
    <t xml:space="preserve">                </t>
  </si>
  <si>
    <t>Name</t>
  </si>
  <si>
    <t>Seed</t>
  </si>
  <si>
    <t>Sheet Play</t>
  </si>
  <si>
    <t># Gms</t>
  </si>
  <si>
    <t>Rd 37</t>
  </si>
  <si>
    <t>Rd 38</t>
  </si>
  <si>
    <t>Rd 39</t>
  </si>
  <si>
    <t>C</t>
  </si>
  <si>
    <t>D</t>
  </si>
  <si>
    <t>E</t>
  </si>
  <si>
    <t>F</t>
  </si>
  <si>
    <t>G</t>
  </si>
  <si>
    <t>H</t>
  </si>
  <si>
    <t>I</t>
  </si>
  <si>
    <t>J</t>
  </si>
  <si>
    <t>K</t>
  </si>
  <si>
    <t>L</t>
  </si>
  <si>
    <t>M</t>
  </si>
  <si>
    <t>N</t>
  </si>
  <si>
    <t>O</t>
  </si>
  <si>
    <t>P</t>
  </si>
  <si>
    <t>Q</t>
  </si>
  <si>
    <t>R</t>
  </si>
  <si>
    <t>S</t>
  </si>
  <si>
    <t>T</t>
  </si>
  <si>
    <t>U</t>
  </si>
  <si>
    <t>BE</t>
  </si>
  <si>
    <t>BF</t>
  </si>
  <si>
    <t>BG</t>
  </si>
  <si>
    <t>BH</t>
  </si>
  <si>
    <t>BI</t>
  </si>
  <si>
    <t>BJ</t>
  </si>
  <si>
    <t>BK</t>
  </si>
  <si>
    <t>BL</t>
  </si>
  <si>
    <t>BM</t>
  </si>
  <si>
    <t>BN</t>
  </si>
  <si>
    <t>BO</t>
  </si>
  <si>
    <t>BP</t>
  </si>
  <si>
    <t>40•1</t>
  </si>
  <si>
    <t>Late</t>
  </si>
  <si>
    <t>Early</t>
  </si>
  <si>
    <t>Rounds</t>
  </si>
  <si>
    <t>Tms</t>
  </si>
  <si>
    <t>Rd 40</t>
  </si>
  <si>
    <t>•1</t>
  </si>
  <si>
    <t>•2</t>
  </si>
  <si>
    <t>•3</t>
  </si>
  <si>
    <t>•4</t>
  </si>
  <si>
    <t>•5</t>
  </si>
  <si>
    <t>•6</t>
  </si>
  <si>
    <t>•7</t>
  </si>
  <si>
    <t>•8</t>
  </si>
  <si>
    <t>•9</t>
  </si>
  <si>
    <t>•10</t>
  </si>
  <si>
    <t>AY</t>
  </si>
  <si>
    <t>AZ</t>
  </si>
  <si>
    <t>BA</t>
  </si>
  <si>
    <t>BB</t>
  </si>
  <si>
    <t>BC</t>
  </si>
  <si>
    <t>BD</t>
  </si>
  <si>
    <t>Rd 1</t>
  </si>
  <si>
    <t>Rd 2</t>
  </si>
  <si>
    <t>Rd 3</t>
  </si>
  <si>
    <t>Rd 4</t>
  </si>
  <si>
    <t>Rd 5</t>
  </si>
  <si>
    <t>Rd 6</t>
  </si>
  <si>
    <t>Rd 7</t>
  </si>
  <si>
    <t>Rd 8</t>
  </si>
  <si>
    <t>Rd 9</t>
  </si>
  <si>
    <t>Rd 10</t>
  </si>
  <si>
    <t>Rd 11</t>
  </si>
  <si>
    <t>Rd 12</t>
  </si>
  <si>
    <t>Rd 13</t>
  </si>
  <si>
    <t>Rd 14</t>
  </si>
  <si>
    <t>Rd 15</t>
  </si>
  <si>
    <t>Rd 16</t>
  </si>
  <si>
    <t>Rd 17</t>
  </si>
  <si>
    <t>Rd 18</t>
  </si>
  <si>
    <t>Rd 19</t>
  </si>
  <si>
    <t>Rd 20</t>
  </si>
  <si>
    <t>Round</t>
  </si>
  <si>
    <t>Enter the draw date and times in the slots above each round</t>
  </si>
  <si>
    <t>(Opponents are on the same sheet under each round)</t>
  </si>
  <si>
    <t xml:space="preserve">   </t>
  </si>
  <si>
    <t xml:space="preserve">        </t>
  </si>
  <si>
    <t>For a Team vs Team schedule format, complete all the data here, and view the TvT worksheet</t>
  </si>
  <si>
    <t>Disclaimer</t>
  </si>
  <si>
    <t>round robin DrawMaster© has made every effort to provide accurate</t>
  </si>
  <si>
    <t>BQ</t>
  </si>
  <si>
    <t>BR</t>
  </si>
  <si>
    <t>BS</t>
  </si>
  <si>
    <t>BT</t>
  </si>
  <si>
    <t>BU</t>
  </si>
  <si>
    <t>BV</t>
  </si>
  <si>
    <t>BW</t>
  </si>
  <si>
    <t>BX</t>
  </si>
  <si>
    <t>BY</t>
  </si>
  <si>
    <t>BZ</t>
  </si>
  <si>
    <t>CA</t>
  </si>
  <si>
    <t>CB</t>
  </si>
  <si>
    <t>CC</t>
  </si>
  <si>
    <t>CD</t>
  </si>
  <si>
    <t>CE</t>
  </si>
  <si>
    <t>CF</t>
  </si>
  <si>
    <t>CG</t>
  </si>
  <si>
    <t>CH</t>
  </si>
  <si>
    <t>Rd</t>
  </si>
  <si>
    <t>Sh</t>
  </si>
  <si>
    <t>Tm</t>
  </si>
  <si>
    <t>hrk</t>
  </si>
  <si>
    <t>rk</t>
  </si>
  <si>
    <t>nt</t>
  </si>
  <si>
    <t>gp</t>
  </si>
  <si>
    <t>gt</t>
  </si>
  <si>
    <t>rd</t>
  </si>
  <si>
    <t>gm</t>
  </si>
  <si>
    <t>hlu</t>
  </si>
  <si>
    <t>drawlu</t>
  </si>
  <si>
    <t>seL</t>
  </si>
  <si>
    <t>b</t>
  </si>
  <si>
    <t>w</t>
  </si>
  <si>
    <t>x</t>
  </si>
  <si>
    <t>a</t>
  </si>
  <si>
    <t>c</t>
  </si>
  <si>
    <t>040201s</t>
  </si>
  <si>
    <t>[gt03;rd03;gm006]</t>
  </si>
  <si>
    <t>050201sb</t>
  </si>
  <si>
    <t>[gt04;rd05;gm010]</t>
  </si>
  <si>
    <t>060201e</t>
  </si>
  <si>
    <t>-</t>
  </si>
  <si>
    <t>[gt05;rd10;gm015]</t>
  </si>
  <si>
    <t>070201eb</t>
  </si>
  <si>
    <t>[gt06;rd14;gm021]</t>
  </si>
  <si>
    <t>080201e</t>
  </si>
  <si>
    <t>[gt07;rd14;gm028]</t>
  </si>
  <si>
    <t>080202e</t>
  </si>
  <si>
    <t>[gt03;rd06;gm012]</t>
  </si>
  <si>
    <t>090201eb</t>
  </si>
  <si>
    <t>[gt08;rd18;gm036]</t>
  </si>
  <si>
    <t>090202eba</t>
  </si>
  <si>
    <t>[gt04;rd09;gm018]</t>
  </si>
  <si>
    <t>100201L</t>
  </si>
  <si>
    <t>[gt09;rd23;gm045]</t>
  </si>
  <si>
    <t>100202eb</t>
  </si>
  <si>
    <t>[gt04;rd10;gm020]</t>
  </si>
  <si>
    <t>110201L</t>
  </si>
  <si>
    <t>[gt10;rd28;gm055]</t>
  </si>
  <si>
    <t>110202L</t>
  </si>
  <si>
    <t>[gt05;rd13;gm025]</t>
  </si>
  <si>
    <t>[gt11;rd33;gm066]</t>
  </si>
  <si>
    <t>[gt05;rd15;gm030]</t>
  </si>
  <si>
    <t>060301s</t>
  </si>
  <si>
    <t>[gt05;rd05;gm015]</t>
  </si>
  <si>
    <t>070301sb</t>
  </si>
  <si>
    <t>[gt06;rd07;gm021]</t>
  </si>
  <si>
    <t>080301e</t>
  </si>
  <si>
    <t>090301eb</t>
  </si>
  <si>
    <t>100301e</t>
  </si>
  <si>
    <t>[gt09;rd18;gm045]</t>
  </si>
  <si>
    <t>100302ex</t>
  </si>
  <si>
    <t>[gt05;rd10;gm030]</t>
  </si>
  <si>
    <t>110301eb</t>
  </si>
  <si>
    <t>[gt10;rd22;gm055]</t>
  </si>
  <si>
    <t>110302ew</t>
  </si>
  <si>
    <t>[gt05;rd10;gm025]</t>
  </si>
  <si>
    <t>120302e</t>
  </si>
  <si>
    <t>120303e</t>
  </si>
  <si>
    <t>[gt03;rd06;gm018]</t>
  </si>
  <si>
    <t>130302eba</t>
  </si>
  <si>
    <t>-|</t>
  </si>
  <si>
    <t>130303eba</t>
  </si>
  <si>
    <t>[gt04;rd09;gm026]</t>
  </si>
  <si>
    <t>140302eb</t>
  </si>
  <si>
    <t>[gt06;rd14;gm042]</t>
  </si>
  <si>
    <t>140303eba</t>
  </si>
  <si>
    <t>[gt04;rd10;gm028]</t>
  </si>
  <si>
    <t>150303eb</t>
  </si>
  <si>
    <t>[gt04;rd10;gm030]</t>
  </si>
  <si>
    <t>080401s</t>
  </si>
  <si>
    <t>[gt07;rd07;gm028]</t>
  </si>
  <si>
    <t>080402s</t>
  </si>
  <si>
    <t>[gt03;rd03;gm012]</t>
  </si>
  <si>
    <t>090401sb</t>
  </si>
  <si>
    <t>[gt08;rd09;gm036]</t>
  </si>
  <si>
    <t>090402sba</t>
  </si>
  <si>
    <t>[gt04;rd05;gm018]</t>
  </si>
  <si>
    <t>100402sb</t>
  </si>
  <si>
    <t>[gt04;rd05;gm020]</t>
  </si>
  <si>
    <t>120401e</t>
  </si>
  <si>
    <t>[gt11;rd22;gm066]</t>
  </si>
  <si>
    <t>140401e</t>
  </si>
  <si>
    <t>[gt13;rd26;gm091]</t>
  </si>
  <si>
    <t>140402ex</t>
  </si>
  <si>
    <t>[gt07;rd14;gm049]</t>
  </si>
  <si>
    <t>[gt05;rd10;gm035]</t>
  </si>
  <si>
    <t>150401eb</t>
  </si>
  <si>
    <t>[gt14;rd30;gm105]</t>
  </si>
  <si>
    <t>150402ew</t>
  </si>
  <si>
    <t>150403eb</t>
  </si>
  <si>
    <t>160402e</t>
  </si>
  <si>
    <t>[gt07;rd14;gm056]</t>
  </si>
  <si>
    <t>[gt05;rd10;gm040]</t>
  </si>
  <si>
    <t>160404e</t>
  </si>
  <si>
    <t>[gt03;rd06;gm024]</t>
  </si>
  <si>
    <t>170402eba</t>
  </si>
  <si>
    <t>[gt08;rd17;gm068]</t>
  </si>
  <si>
    <t>170404eba</t>
  </si>
  <si>
    <t>[gt04;rd09;gm034]</t>
  </si>
  <si>
    <t>180402eb</t>
  </si>
  <si>
    <t>[gt08;rd18;gm072]</t>
  </si>
  <si>
    <t>180404eba</t>
  </si>
  <si>
    <t>[gt04;rd09;gm036]</t>
  </si>
  <si>
    <t>190404eba</t>
  </si>
  <si>
    <t>[gt04;rd10;gm038]</t>
  </si>
  <si>
    <t>200404eb</t>
  </si>
  <si>
    <t>[gt04;rd10;gm040]</t>
  </si>
  <si>
    <t>[gt11;rd17;gm066]</t>
  </si>
  <si>
    <t>[gt12;rd20;gm078]</t>
  </si>
  <si>
    <t>[gt06;rd11;gm042]</t>
  </si>
  <si>
    <t>[gt09;rd23;gm090]</t>
  </si>
  <si>
    <t>100501s</t>
  </si>
  <si>
    <t>[gt09;rd09;gm045][o]</t>
  </si>
  <si>
    <t>100502sx</t>
  </si>
  <si>
    <t>110501sb</t>
  </si>
  <si>
    <t>[gt10;rd11;gm055][o]</t>
  </si>
  <si>
    <t>110502sw</t>
  </si>
  <si>
    <t>[gt05;rd05;gm025]</t>
  </si>
  <si>
    <t>180502ex</t>
  </si>
  <si>
    <t>[gt08;rd18;gm081][o]</t>
  </si>
  <si>
    <t>180503e</t>
  </si>
  <si>
    <t>[gt05;rd10;gm045]</t>
  </si>
  <si>
    <t>180504exa</t>
  </si>
  <si>
    <t>[gt05;rd05;gm045][o]</t>
  </si>
  <si>
    <t>190502ew</t>
  </si>
  <si>
    <t>[gt09;rd18;gm081][o]</t>
  </si>
  <si>
    <t>200502e</t>
  </si>
  <si>
    <t>[gt09;rd18;gm090][o]</t>
  </si>
  <si>
    <t>200503eEa</t>
  </si>
  <si>
    <t>200504ex</t>
  </si>
  <si>
    <t>[gt05;rd10;gm050]</t>
  </si>
  <si>
    <t>200505e</t>
  </si>
  <si>
    <t>[gt03;rd06;gm030][o]</t>
  </si>
  <si>
    <t>210502eba</t>
  </si>
  <si>
    <t>210503eb</t>
  </si>
  <si>
    <t>210504exw</t>
  </si>
  <si>
    <t>220502eb</t>
  </si>
  <si>
    <t>[gt10;rd22;gm110][o]</t>
  </si>
  <si>
    <t>220503ew</t>
  </si>
  <si>
    <t>[gt07;rd14;gm070][o]</t>
  </si>
  <si>
    <t>220504ew</t>
  </si>
  <si>
    <t>230505eba</t>
  </si>
  <si>
    <t>[gt04;rd10;gm046][o]</t>
  </si>
  <si>
    <t>250505eb</t>
  </si>
  <si>
    <t>[gt04;rd10;gm050][o]</t>
  </si>
  <si>
    <t>[gt06;rd09;gm042]</t>
  </si>
  <si>
    <t>[gt05;rd09;gm045]</t>
  </si>
  <si>
    <t>120601s</t>
  </si>
  <si>
    <t>[gt11;rd11;gm066][o]</t>
  </si>
  <si>
    <t>120602s</t>
  </si>
  <si>
    <t>[gt05;rd05;gm030][0]</t>
  </si>
  <si>
    <t>120603s</t>
  </si>
  <si>
    <t>[gt03;rd03;gm018][o]</t>
  </si>
  <si>
    <t>130601sb</t>
  </si>
  <si>
    <t>[gt12;rd13;gm078][o]</t>
  </si>
  <si>
    <t>[gt06;rd07;gm039][o]</t>
  </si>
  <si>
    <t>130603sba</t>
  </si>
  <si>
    <t>[gt04;rd05;gm026][o]</t>
  </si>
  <si>
    <t>140602sb</t>
  </si>
  <si>
    <t>[gt06;rd07;gm042][o]</t>
  </si>
  <si>
    <t>150603sb</t>
  </si>
  <si>
    <t>[gt04;rd05;gm030][o]</t>
  </si>
  <si>
    <t>[gt15;rd20;gm120][o]</t>
  </si>
  <si>
    <t>160603ex</t>
  </si>
  <si>
    <t>[gt05;rd10;gm040][o]</t>
  </si>
  <si>
    <t>180603e</t>
  </si>
  <si>
    <t>[gt05;rd10;gm045][o]</t>
  </si>
  <si>
    <t>200604ex</t>
  </si>
  <si>
    <t>[gt05;rd10;gm050][o]</t>
  </si>
  <si>
    <t>210603exw</t>
  </si>
  <si>
    <t>220601eX</t>
  </si>
  <si>
    <t>220602ex</t>
  </si>
  <si>
    <t>[gt11;rd22;gm121][o]</t>
  </si>
  <si>
    <t>220603ex</t>
  </si>
  <si>
    <t>[gt07;rd14;gm077][o]</t>
  </si>
  <si>
    <t>220604ex</t>
  </si>
  <si>
    <t>[gt05;rd10;gm055][o]</t>
  </si>
  <si>
    <t>230603ew</t>
  </si>
  <si>
    <t>230604ew</t>
  </si>
  <si>
    <t>230606ew</t>
  </si>
  <si>
    <t>[gt03;rd06;gm033][o]</t>
  </si>
  <si>
    <t>240601eX</t>
  </si>
  <si>
    <t>[gt23;rd24;gm276][o]</t>
  </si>
  <si>
    <t>240602e</t>
  </si>
  <si>
    <t>[gt11;rd22;gm132][o]</t>
  </si>
  <si>
    <t>240603e</t>
  </si>
  <si>
    <t>[gt07;rd14;gm084][o]</t>
  </si>
  <si>
    <t>240604e</t>
  </si>
  <si>
    <t>[gt05;rd10;gm060][o]</t>
  </si>
  <si>
    <t>[gt05;rd10;gm060]</t>
  </si>
  <si>
    <t>240606e</t>
  </si>
  <si>
    <t>[gt03;rd06;gm036][o]</t>
  </si>
  <si>
    <t>250602eba</t>
  </si>
  <si>
    <t>[gt07;rd25;gm150][o]</t>
  </si>
  <si>
    <t>250603eba</t>
  </si>
  <si>
    <t>[gt08;rd17;gm100][o]</t>
  </si>
  <si>
    <t>250604eba</t>
  </si>
  <si>
    <t>[gt06;rd13;gm075][o]</t>
  </si>
  <si>
    <t>250606eba</t>
  </si>
  <si>
    <t>[gt04;rd09;gm050][o]</t>
  </si>
  <si>
    <t>260602eb</t>
  </si>
  <si>
    <t>260603eba</t>
  </si>
  <si>
    <t>260604eba</t>
  </si>
  <si>
    <t>[gt06;rd13;gm078][o]</t>
  </si>
  <si>
    <t>260606eba</t>
  </si>
  <si>
    <t>[gt04;rd09;gm052]</t>
  </si>
  <si>
    <t>270603eb</t>
  </si>
  <si>
    <t>[gt08;rd18;gm108][o]</t>
  </si>
  <si>
    <t>270604eba</t>
  </si>
  <si>
    <t>270605ew</t>
  </si>
  <si>
    <t>270606eba</t>
  </si>
  <si>
    <t>[gt04;rd09;gm054][o]</t>
  </si>
  <si>
    <t>280604eb</t>
  </si>
  <si>
    <t>[gt06;rd14;gm084][o]</t>
  </si>
  <si>
    <t>280606eba</t>
  </si>
  <si>
    <t>[gt04;rd10;gm056][o]</t>
  </si>
  <si>
    <t>290606eba</t>
  </si>
  <si>
    <t>300606eb</t>
  </si>
  <si>
    <t>[gt07;rd11;gm056][o]</t>
  </si>
  <si>
    <t>140701s</t>
  </si>
  <si>
    <t>[gt13;rd13;gm091][o]</t>
  </si>
  <si>
    <t>140702sx</t>
  </si>
  <si>
    <t>[gt07;rd07;gm049][o]</t>
  </si>
  <si>
    <t>140703sEa</t>
  </si>
  <si>
    <t>[gt05;rd05;gm035][o]</t>
  </si>
  <si>
    <t>150701sb</t>
  </si>
  <si>
    <t>[gt14;rd15;gm105][o]</t>
  </si>
  <si>
    <t>150702sw</t>
  </si>
  <si>
    <t>160703sw</t>
  </si>
  <si>
    <t>260702ex</t>
  </si>
  <si>
    <t>[gt13;rd26;gm169][o]</t>
  </si>
  <si>
    <t>260703eEa</t>
  </si>
  <si>
    <t>[gt09;rd18;gm117][o]</t>
  </si>
  <si>
    <t>260704exa</t>
  </si>
  <si>
    <t>[gt07;rd14;gm091][o]</t>
  </si>
  <si>
    <t>270702ew</t>
  </si>
  <si>
    <t>280701eX</t>
  </si>
  <si>
    <t>[gt27;rd28;gm378][o]</t>
  </si>
  <si>
    <t>280702e</t>
  </si>
  <si>
    <t>[gt13;rd26;gm182][o]</t>
  </si>
  <si>
    <t>280703ex</t>
  </si>
  <si>
    <t>[gt09;rd18;gm126][o]</t>
  </si>
  <si>
    <t>280704ex</t>
  </si>
  <si>
    <t>[gt07;rd14;gm098][o]</t>
  </si>
  <si>
    <t>290702eba</t>
  </si>
  <si>
    <t>[gt14;rd29;gm203][o]</t>
  </si>
  <si>
    <t>290703ew</t>
  </si>
  <si>
    <t>300702eb</t>
  </si>
  <si>
    <t>[gt14;rd30;gm210][o]</t>
  </si>
  <si>
    <t>300704ew</t>
  </si>
  <si>
    <t>320706ew</t>
  </si>
  <si>
    <t>[gt05;rd10;gm070][o]</t>
  </si>
  <si>
    <t>160801s</t>
  </si>
  <si>
    <t>[gt15;rd15;gm120][o]</t>
  </si>
  <si>
    <t>160802s</t>
  </si>
  <si>
    <t>[gt07;rd07;gm056][o]</t>
  </si>
  <si>
    <t>160803sx</t>
  </si>
  <si>
    <t>[gt05;rd05;gm040][o]</t>
  </si>
  <si>
    <t>160804s</t>
  </si>
  <si>
    <t>[gt03;rd03;gm024][o]</t>
  </si>
  <si>
    <t>170801sb</t>
  </si>
  <si>
    <t>170802sba</t>
  </si>
  <si>
    <t>[gt08;rd09;gm068][o]</t>
  </si>
  <si>
    <t>170803sw</t>
  </si>
  <si>
    <t>170804sba</t>
  </si>
  <si>
    <t>[gt04;rd05;gm034][o]</t>
  </si>
  <si>
    <t>180801L</t>
  </si>
  <si>
    <t>[gt17;rd20;gm153][o]</t>
  </si>
  <si>
    <t>180802sb</t>
  </si>
  <si>
    <t>[gt08;rd09;gm072][o]</t>
  </si>
  <si>
    <t>180804sba</t>
  </si>
  <si>
    <t>[gt04;rd05;gm036][o]</t>
  </si>
  <si>
    <t>190804sba</t>
  </si>
  <si>
    <t>[gt04;rd05;gm038][o]</t>
  </si>
  <si>
    <t>200804sb</t>
  </si>
  <si>
    <t>[gt04;rd05;gm040][o]</t>
  </si>
  <si>
    <t>300802ex</t>
  </si>
  <si>
    <t>[gt15;rd30;gm225][o]</t>
  </si>
  <si>
    <t>300803e</t>
  </si>
  <si>
    <t>[gt09;rd18;gm135][o]</t>
  </si>
  <si>
    <t>300804ex</t>
  </si>
  <si>
    <t>[gt07;rd14;gm105][o]</t>
  </si>
  <si>
    <t>310802ew</t>
  </si>
  <si>
    <t>310803eba</t>
  </si>
  <si>
    <t>[gt10;rd21;gm155][o]</t>
  </si>
  <si>
    <t>310804ew</t>
  </si>
  <si>
    <t>320801eX</t>
  </si>
  <si>
    <t>[gt31;rd32;gm496][o]</t>
  </si>
  <si>
    <t>320802e</t>
  </si>
  <si>
    <t>[gt15;rd30;gm240][o]</t>
  </si>
  <si>
    <t>320803eEa</t>
  </si>
  <si>
    <t>[gt11;rd22;gm167]</t>
  </si>
  <si>
    <t>320804e</t>
  </si>
  <si>
    <t>[gt07;rd14;gm112][o]</t>
  </si>
  <si>
    <t>320806ex</t>
  </si>
  <si>
    <t>[gt05;rd10;gm080][o]</t>
  </si>
  <si>
    <t>330803eb</t>
  </si>
  <si>
    <t>[gt10;rd22;gm165][o]</t>
  </si>
  <si>
    <t>340804eba</t>
  </si>
  <si>
    <t>[gt08;rd17;gm136][o]</t>
  </si>
  <si>
    <t>340806ew</t>
  </si>
  <si>
    <t xml:space="preserve">360804eb </t>
  </si>
  <si>
    <t>[gt08;rd18;gm144][o]</t>
  </si>
  <si>
    <t>[gt11;rd17;gm132][o]</t>
  </si>
  <si>
    <t>[gt12;rd20;gm156]</t>
  </si>
  <si>
    <t>[gt06;rd12;gm084][o]</t>
  </si>
  <si>
    <t>180901s</t>
  </si>
  <si>
    <t>[gt17;rd17;gm153][o]</t>
  </si>
  <si>
    <t>180902sx</t>
  </si>
  <si>
    <t>[gt09;rd09;gm081][o]</t>
  </si>
  <si>
    <t>180903s</t>
  </si>
  <si>
    <t>180904sEa</t>
  </si>
  <si>
    <t>190901sb</t>
  </si>
  <si>
    <t>[gt18;rd19;gm171][o]</t>
  </si>
  <si>
    <t>190902sw</t>
  </si>
  <si>
    <t>190903sba</t>
  </si>
  <si>
    <t>[gt06;rd07;gm057][o]</t>
  </si>
  <si>
    <t>200903sba</t>
  </si>
  <si>
    <t>[gt06;rd07;gm060][o]</t>
  </si>
  <si>
    <t>210903sb</t>
  </si>
  <si>
    <t>[gt06;rd07;gm063][o]</t>
  </si>
  <si>
    <t>210904sw</t>
  </si>
  <si>
    <t>340902ex</t>
  </si>
  <si>
    <t>[gt17;rd34;gm289][o]</t>
  </si>
  <si>
    <t>340904exa</t>
  </si>
  <si>
    <t>[gt09;rd18;gm153][o]</t>
  </si>
  <si>
    <t>350902ew</t>
  </si>
  <si>
    <t>360901eX</t>
  </si>
  <si>
    <t>[gt35;rd36;gm630][o]</t>
  </si>
  <si>
    <t>360902e</t>
  </si>
  <si>
    <t>[gt17;rd34;gm306][o]</t>
  </si>
  <si>
    <t>360903e</t>
  </si>
  <si>
    <t>[gt11;rd22;gm198][o]</t>
  </si>
  <si>
    <t>360904ex</t>
  </si>
  <si>
    <t>[gt09;rd18;gm162][o]</t>
  </si>
  <si>
    <t>360905ex</t>
  </si>
  <si>
    <t>[gt07;rd14;gm126][o]</t>
  </si>
  <si>
    <t>360906e</t>
  </si>
  <si>
    <t>[gt05;rd10;gm090][o]</t>
  </si>
  <si>
    <t>380902eb</t>
  </si>
  <si>
    <t>[gt18;rd38;gm342][o]</t>
  </si>
  <si>
    <t>201001s</t>
  </si>
  <si>
    <t>[gt19;rd19;gm190][o]</t>
  </si>
  <si>
    <t>201002s</t>
  </si>
  <si>
    <t>[gt09;rd09;gm090][o]</t>
  </si>
  <si>
    <t>201003sEa</t>
  </si>
  <si>
    <t>[gt07;rd07;gm070][o]</t>
  </si>
  <si>
    <t>201004sx</t>
  </si>
  <si>
    <t>[gt05;rd05;gm050][o]</t>
  </si>
  <si>
    <t>201005s</t>
  </si>
  <si>
    <t>[gt03;rd03;gm030][o]</t>
  </si>
  <si>
    <t>211002sba</t>
  </si>
  <si>
    <t>[gt10;rd11;gm105][o]</t>
  </si>
  <si>
    <t>211005sba</t>
  </si>
  <si>
    <t>[gt04;rd05;gm042][o]</t>
  </si>
  <si>
    <t>221002sb</t>
  </si>
  <si>
    <t>[gt10;rd11;gm110][o]</t>
  </si>
  <si>
    <t>221003sw</t>
  </si>
  <si>
    <t>221004sw</t>
  </si>
  <si>
    <t>221005sba</t>
  </si>
  <si>
    <t>[gt04;rd05;gm044][o]</t>
  </si>
  <si>
    <t>231005sba</t>
  </si>
  <si>
    <t>[gt04;rd05;gm046][o]</t>
  </si>
  <si>
    <t>241005sba</t>
  </si>
  <si>
    <t>[gt04;rd05;gm048][o]</t>
  </si>
  <si>
    <t>251005sb</t>
  </si>
  <si>
    <t>[gt04;rd05;gm050][o]</t>
  </si>
  <si>
    <t>round robin DrawFinder</t>
  </si>
  <si>
    <t>Number of sheets:</t>
  </si>
  <si>
    <t>Number of teams:</t>
  </si>
  <si>
    <t>Number of groups:</t>
  </si>
  <si>
    <t>tm</t>
  </si>
  <si>
    <t>dw#</t>
  </si>
  <si>
    <t>teams</t>
  </si>
  <si>
    <t>rounds</t>
  </si>
  <si>
    <t>gms/tm</t>
  </si>
  <si>
    <t>type</t>
  </si>
  <si>
    <t>byes</t>
  </si>
  <si>
    <t>tm/gp</t>
  </si>
  <si>
    <t>groups of:</t>
  </si>
  <si>
    <t>sheets required:</t>
  </si>
  <si>
    <t>standard:</t>
  </si>
  <si>
    <t>early/late:</t>
  </si>
  <si>
    <t>crossgroup:</t>
  </si>
  <si>
    <t>on sheets:</t>
  </si>
  <si>
    <t>Gp</t>
  </si>
  <si>
    <t>Team vs Team Draw</t>
  </si>
  <si>
    <t>Common Sheet Format Draw</t>
  </si>
  <si>
    <t xml:space="preserve">  and provide the most common round robins for the sheets available.</t>
  </si>
  <si>
    <t>DrawFinder worksheet</t>
  </si>
  <si>
    <t>Number of Sheets:</t>
  </si>
  <si>
    <t>round robins are provided for 2 to 10 sheets.</t>
  </si>
  <si>
    <t>Number of Teams:</t>
  </si>
  <si>
    <t>the number of teams in a draw depends on the number of sheets.</t>
  </si>
  <si>
    <t>Number of Groups:</t>
  </si>
  <si>
    <t>the number of groups dividing the number of teams.</t>
  </si>
  <si>
    <r>
      <t xml:space="preserve">The chosen draw is reflected in a </t>
    </r>
    <r>
      <rPr>
        <b/>
        <i/>
        <sz val="12"/>
        <rFont val="Arial"/>
      </rPr>
      <t>cross reference</t>
    </r>
    <r>
      <rPr>
        <b/>
        <sz val="12"/>
        <rFont val="Arial"/>
      </rPr>
      <t xml:space="preserve"> format.</t>
    </r>
  </si>
  <si>
    <t>Additional information</t>
  </si>
  <si>
    <t>This worksheet provides a visual outline of the chosen round robin</t>
  </si>
  <si>
    <t>Draw codes</t>
  </si>
  <si>
    <t>b - all or part of the round robin require "byes" in "odd team" groups.</t>
  </si>
  <si>
    <t>e - early-late draw: all games required in a round need 2 draw times.</t>
  </si>
  <si>
    <t xml:space="preserve">     w - the "byes" in "odd team" groups are awarded an "automatic win".</t>
  </si>
  <si>
    <t>L - long draw: all games required in a round need more than 2 draw times.</t>
  </si>
  <si>
    <t>x - cross group games replace "byes" in "odd team" groups.</t>
  </si>
  <si>
    <t>c - competition draw: in general, each team will play 2 games every 3 rounds</t>
  </si>
  <si>
    <t xml:space="preserve">     E - "equalized":  to replace "byes" by balancing "odd team" groups into "even team" groups.</t>
  </si>
  <si>
    <t>a - "added games": additional games in "even team" groups, cross group when possible.</t>
  </si>
  <si>
    <t>Available draws</t>
  </si>
  <si>
    <t>2 Sheets</t>
  </si>
  <si>
    <t>3 Sheets</t>
  </si>
  <si>
    <t>4 Sheets</t>
  </si>
  <si>
    <t>5 Sheets</t>
  </si>
  <si>
    <t>6 Sheets</t>
  </si>
  <si>
    <t>7 Sheets</t>
  </si>
  <si>
    <t>8 Sheets</t>
  </si>
  <si>
    <t>9 Sheets</t>
  </si>
  <si>
    <t>10 Sheets</t>
  </si>
  <si>
    <t>S2!BD11:BW70</t>
  </si>
  <si>
    <t>S3!BD11:BW70</t>
  </si>
  <si>
    <t>S4!BD11:BW70</t>
  </si>
  <si>
    <t>S5!BD11:BW70</t>
  </si>
  <si>
    <t>S7!BD11:BW70</t>
  </si>
  <si>
    <t>S8!BD11:BW70</t>
  </si>
  <si>
    <t>S9!BD11:BW70</t>
  </si>
  <si>
    <t>S10!BD11:BW70</t>
  </si>
  <si>
    <t>Once a round robin is available using the chosen values,</t>
  </si>
  <si>
    <r>
      <t xml:space="preserve">           a final round robin will be displayed in the </t>
    </r>
    <r>
      <rPr>
        <b/>
        <i/>
        <u/>
        <sz val="12"/>
        <rFont val="Arial"/>
      </rPr>
      <t>Common Sheet</t>
    </r>
    <r>
      <rPr>
        <b/>
        <sz val="12"/>
        <rFont val="Arial"/>
      </rPr>
      <t xml:space="preserve"> format.</t>
    </r>
  </si>
  <si>
    <r>
      <t xml:space="preserve">The chosen draw is reflected in a </t>
    </r>
    <r>
      <rPr>
        <b/>
        <i/>
        <u/>
        <sz val="12"/>
        <rFont val="Arial"/>
      </rPr>
      <t>Team vs Team</t>
    </r>
    <r>
      <rPr>
        <b/>
        <sz val="12"/>
        <rFont val="Arial"/>
      </rPr>
      <t xml:space="preserve"> format.</t>
    </r>
  </si>
  <si>
    <t>Markup Win Loss Cross Reference</t>
  </si>
  <si>
    <t>DcI worksheet</t>
  </si>
  <si>
    <r>
      <t xml:space="preserve">          as a </t>
    </r>
    <r>
      <rPr>
        <b/>
        <i/>
        <u/>
        <sz val="12"/>
        <rFont val="Arial"/>
      </rPr>
      <t>Draw Cross Index</t>
    </r>
    <r>
      <rPr>
        <b/>
        <sz val="12"/>
        <rFont val="Arial"/>
      </rPr>
      <t xml:space="preserve"> to understand the structure of the round robin.</t>
    </r>
  </si>
  <si>
    <t>b - byes required (odd team groups)</t>
  </si>
  <si>
    <t>x - cross group games (odd team groups)</t>
  </si>
  <si>
    <t>a - additional games (even team groups: cross group when allowed)</t>
  </si>
  <si>
    <t>teams/sheets/groups_rounds/drawtype</t>
  </si>
  <si>
    <t>Enter team names in seeded order, starting at B11</t>
  </si>
  <si>
    <t>round robin rules</t>
  </si>
  <si>
    <t>All teams in a group play each other once.</t>
  </si>
  <si>
    <t>All teams can play at the same time.</t>
  </si>
  <si>
    <t>Round robin basics</t>
  </si>
  <si>
    <t>Round robin sheet assignment</t>
  </si>
  <si>
    <t>No team should play on any sheet more than required.</t>
  </si>
  <si>
    <t>• based on number of games per team divided by number of sheets.</t>
  </si>
  <si>
    <t>No teams should repeat play on any sheet until all others have been used.</t>
  </si>
  <si>
    <t>Round robin grouping</t>
  </si>
  <si>
    <t>Dividing the total team number into groups provide two advantages.</t>
  </si>
  <si>
    <t>• shorter number of total draws to complete a basic round.</t>
  </si>
  <si>
    <t>• congregates teams of similar caliber.</t>
  </si>
  <si>
    <t>Number of teams</t>
  </si>
  <si>
    <t>The number of teams in a group may be even or odd.</t>
  </si>
  <si>
    <t>Terms</t>
  </si>
  <si>
    <t>Displaying a round robin can be done in a number of ways.</t>
  </si>
  <si>
    <t>Round robin creation display</t>
  </si>
  <si>
    <t>Creating a curling round robin requires sheet assignment be included.</t>
  </si>
  <si>
    <t>• repeat play on a sheet requires inverse rock color assignment.</t>
  </si>
  <si>
    <r>
      <rPr>
        <b/>
        <sz val="12"/>
        <rFont val="Arial"/>
      </rPr>
      <t>Teams</t>
    </r>
    <r>
      <rPr>
        <sz val="12"/>
        <rFont val="Arial"/>
      </rPr>
      <t xml:space="preserve"> - the number of contestants in any round robin.</t>
    </r>
  </si>
  <si>
    <r>
      <rPr>
        <b/>
        <sz val="12"/>
        <rFont val="Arial"/>
      </rPr>
      <t>Sheets</t>
    </r>
    <r>
      <rPr>
        <sz val="12"/>
        <rFont val="Arial"/>
      </rPr>
      <t xml:space="preserve"> - the number of playing surfaces available.</t>
    </r>
  </si>
  <si>
    <r>
      <rPr>
        <b/>
        <sz val="12"/>
        <rFont val="Arial"/>
      </rPr>
      <t>Groups</t>
    </r>
    <r>
      <rPr>
        <sz val="12"/>
        <rFont val="Arial"/>
      </rPr>
      <t xml:space="preserve"> - the division of the total teams</t>
    </r>
  </si>
  <si>
    <r>
      <rPr>
        <b/>
        <sz val="12"/>
        <rFont val="Arial"/>
      </rPr>
      <t>Draw</t>
    </r>
    <r>
      <rPr>
        <sz val="12"/>
        <rFont val="Arial"/>
      </rPr>
      <t xml:space="preserve"> - a single play time (when all teams may be in play)</t>
    </r>
  </si>
  <si>
    <r>
      <rPr>
        <b/>
        <sz val="12"/>
        <rFont val="Arial"/>
      </rPr>
      <t>Round</t>
    </r>
    <r>
      <rPr>
        <sz val="12"/>
        <rFont val="Arial"/>
      </rPr>
      <t xml:space="preserve"> - a complete round robin schedule</t>
    </r>
  </si>
  <si>
    <r>
      <t xml:space="preserve">• </t>
    </r>
    <r>
      <rPr>
        <b/>
        <sz val="12"/>
        <rFont val="Arial"/>
      </rPr>
      <t>team vs team format</t>
    </r>
    <r>
      <rPr>
        <sz val="12"/>
        <rFont val="Arial"/>
      </rPr>
      <t>: teams are listed as competitors on assigned sheet for any draw time (TvT).</t>
    </r>
  </si>
  <si>
    <r>
      <t xml:space="preserve">• </t>
    </r>
    <r>
      <rPr>
        <b/>
        <sz val="12"/>
        <rFont val="Arial"/>
      </rPr>
      <t>draw cross index format</t>
    </r>
    <r>
      <rPr>
        <sz val="12"/>
        <rFont val="Arial"/>
      </rPr>
      <t>: assigns draw time &amp; sheet on a competitor cross index chart (DcI).</t>
    </r>
  </si>
  <si>
    <r>
      <t xml:space="preserve">• </t>
    </r>
    <r>
      <rPr>
        <b/>
        <sz val="12"/>
        <rFont val="Arial"/>
      </rPr>
      <t>common sheet format</t>
    </r>
    <r>
      <rPr>
        <sz val="12"/>
        <rFont val="Arial"/>
      </rPr>
      <t>: teams on the same sheet under any draw time are competitors (CS).</t>
    </r>
  </si>
  <si>
    <t>Types of round robins</t>
  </si>
  <si>
    <t>• competition usually schedules 3 draws per day</t>
  </si>
  <si>
    <r>
      <rPr>
        <b/>
        <sz val="12"/>
        <rFont val="Arial"/>
      </rPr>
      <t>Standard</t>
    </r>
    <r>
      <rPr>
        <sz val="12"/>
        <rFont val="Arial"/>
      </rPr>
      <t xml:space="preserve"> - all teams can play on a single draw</t>
    </r>
  </si>
  <si>
    <r>
      <rPr>
        <b/>
        <sz val="12"/>
        <rFont val="Arial"/>
      </rPr>
      <t>Early-late</t>
    </r>
    <r>
      <rPr>
        <sz val="12"/>
        <rFont val="Arial"/>
      </rPr>
      <t xml:space="preserve"> - all teams can play within 2 draws</t>
    </r>
  </si>
  <si>
    <r>
      <rPr>
        <b/>
        <sz val="12"/>
        <rFont val="Arial"/>
      </rPr>
      <t>Competition</t>
    </r>
    <r>
      <rPr>
        <sz val="12"/>
        <rFont val="Arial"/>
      </rPr>
      <t xml:space="preserve"> - long draw where each team plays 2 of every 3 draws</t>
    </r>
  </si>
  <si>
    <t>When teams are divided into groups, the resulting number of teams in each group may not be equal.</t>
  </si>
  <si>
    <t>All teams play the same number of games.</t>
  </si>
  <si>
    <t>• late games are balanced ahead of sheet assignment</t>
  </si>
  <si>
    <t>• a team will not play more than 2 late games consecutively</t>
  </si>
  <si>
    <t>• no team plays more late games than average allowed</t>
  </si>
  <si>
    <t>Cross group games</t>
  </si>
  <si>
    <t>Equalized groups</t>
  </si>
  <si>
    <t>Added games</t>
  </si>
  <si>
    <t>Autowin byes</t>
  </si>
  <si>
    <t xml:space="preserve">   in place of "byes", between teams of equal status from consecutive groups.</t>
  </si>
  <si>
    <t xml:space="preserve">   so that all teams are credited an equal number of games.</t>
  </si>
  <si>
    <t xml:space="preserve">   in place of autowin "byes", between teams of equal status from consecutive pairs of groups.</t>
  </si>
  <si>
    <t xml:space="preserve">   in place of "byes", between teams of equal status from consecutive pairs of groups.</t>
  </si>
  <si>
    <r>
      <t xml:space="preserve">– if the number of groups is even, and sheets permit, </t>
    </r>
    <r>
      <rPr>
        <b/>
        <u/>
        <sz val="12"/>
        <rFont val="Arial"/>
      </rPr>
      <t>cross group</t>
    </r>
    <r>
      <rPr>
        <sz val="12"/>
        <rFont val="Arial"/>
      </rPr>
      <t xml:space="preserve"> games may be played</t>
    </r>
  </si>
  <si>
    <t>Balanced group draws</t>
  </si>
  <si>
    <t>Unbalanced group draws</t>
  </si>
  <si>
    <t>When teams are divided into groups, and each group is of an equal number of teams, there are two possible orders.</t>
  </si>
  <si>
    <t>Unequal groups will always have the largest group, or groups, first, in two possible orders.</t>
  </si>
  <si>
    <r>
      <t xml:space="preserve">– if the number of smaller groups is even, and sheets permit, </t>
    </r>
    <r>
      <rPr>
        <b/>
        <u/>
        <sz val="12"/>
        <rFont val="Arial"/>
      </rPr>
      <t>cross group</t>
    </r>
    <r>
      <rPr>
        <sz val="12"/>
        <rFont val="Arial"/>
      </rPr>
      <t xml:space="preserve"> games may be played</t>
    </r>
  </si>
  <si>
    <r>
      <t xml:space="preserve">   The teams in the smaller 'even number of teams' groups must then play </t>
    </r>
    <r>
      <rPr>
        <b/>
        <u/>
        <sz val="12"/>
        <rFont val="Arial"/>
      </rPr>
      <t>2 added</t>
    </r>
    <r>
      <rPr>
        <sz val="12"/>
        <rFont val="Arial"/>
      </rPr>
      <t xml:space="preserve"> games.</t>
    </r>
  </si>
  <si>
    <r>
      <t xml:space="preserve">– the smaller 'unequal number of teams' groups, when necessary, must award an </t>
    </r>
    <r>
      <rPr>
        <b/>
        <u/>
        <sz val="12"/>
        <rFont val="Arial"/>
      </rPr>
      <t>autowin</t>
    </r>
    <r>
      <rPr>
        <sz val="12"/>
        <rFont val="Arial"/>
      </rPr>
      <t xml:space="preserve"> for "bye" games</t>
    </r>
  </si>
  <si>
    <r>
      <t xml:space="preserve">   but the </t>
    </r>
    <r>
      <rPr>
        <b/>
        <u/>
        <sz val="12"/>
        <rFont val="Arial"/>
      </rPr>
      <t>2 added</t>
    </r>
    <r>
      <rPr>
        <sz val="12"/>
        <rFont val="Arial"/>
      </rPr>
      <t xml:space="preserve"> games can be cross group games (avoids replaying the same opposition).</t>
    </r>
  </si>
  <si>
    <r>
      <t xml:space="preserve">   the draw may be </t>
    </r>
    <r>
      <rPr>
        <b/>
        <u/>
        <sz val="12"/>
        <rFont val="Arial"/>
      </rPr>
      <t>equalized</t>
    </r>
    <r>
      <rPr>
        <sz val="12"/>
        <rFont val="Arial"/>
      </rPr>
      <t>, whereby the top half of 'odd number of teams' groups</t>
    </r>
  </si>
  <si>
    <t>– if the number of groups is 3 or 5, and the number of smaller 'even number of teams' groups is 1,</t>
  </si>
  <si>
    <t xml:space="preserve">   is increased by one, and the rest of the 'odd number of teams' groups is decreased by 1.</t>
  </si>
  <si>
    <t xml:space="preserve">   The resulting number of game per team is similar to the cross group games (last set of games),</t>
  </si>
  <si>
    <r>
      <t xml:space="preserve">• </t>
    </r>
    <r>
      <rPr>
        <b/>
        <u/>
        <sz val="12"/>
        <rFont val="Arial"/>
      </rPr>
      <t>all groups are of an 'even number of teams'</t>
    </r>
  </si>
  <si>
    <r>
      <t xml:space="preserve">• </t>
    </r>
    <r>
      <rPr>
        <b/>
        <u/>
        <sz val="12"/>
        <rFont val="Arial"/>
      </rPr>
      <t>all groups are of an 'odd number of teams'</t>
    </r>
  </si>
  <si>
    <r>
      <t xml:space="preserve">• </t>
    </r>
    <r>
      <rPr>
        <b/>
        <u/>
        <sz val="12"/>
        <rFont val="Arial"/>
      </rPr>
      <t>larger 'even number of teams' groups, smaller 'odd number of teams' groups</t>
    </r>
  </si>
  <si>
    <r>
      <t xml:space="preserve">• </t>
    </r>
    <r>
      <rPr>
        <b/>
        <u/>
        <sz val="12"/>
        <rFont val="Arial"/>
      </rPr>
      <t>larger 'odd number of teams' groups, smaller 'even number of teams' groups</t>
    </r>
  </si>
  <si>
    <r>
      <t xml:space="preserve">– teams in the smaller 'even number of teams' groups will be required to play </t>
    </r>
    <r>
      <rPr>
        <b/>
        <u/>
        <sz val="12"/>
        <rFont val="Arial"/>
      </rPr>
      <t>added</t>
    </r>
    <r>
      <rPr>
        <sz val="12"/>
        <rFont val="Arial"/>
      </rPr>
      <t xml:space="preserve"> games,</t>
    </r>
  </si>
  <si>
    <r>
      <t xml:space="preserve">– if sheets permit, the larger 'odd number of teams' groups may play </t>
    </r>
    <r>
      <rPr>
        <b/>
        <u/>
        <sz val="12"/>
        <rFont val="Arial"/>
      </rPr>
      <t>cross group</t>
    </r>
    <r>
      <rPr>
        <sz val="12"/>
        <rFont val="Arial"/>
      </rPr>
      <t xml:space="preserve"> games</t>
    </r>
  </si>
  <si>
    <t>Round robin idiosyncrasies</t>
  </si>
  <si>
    <t>A 2-team round robin has only 1 possibility. A 3-team round robin has 2 possibilities. A 4-team round robin has 6 possibilites.</t>
  </si>
  <si>
    <t>Sequencing a round robin</t>
  </si>
  <si>
    <t>Sequencing a round robin can be achieved by arranging the teams # in a prescribed order,</t>
  </si>
  <si>
    <t>and setting the first team as a static team.</t>
  </si>
  <si>
    <t>The rest of the sequence aligns the rest of the teams in order, from left to right in the top row</t>
  </si>
  <si>
    <t>and from right to left in the bottom row.</t>
  </si>
  <si>
    <t>The round robin is created by assigning each column as the teams to play each other;</t>
  </si>
  <si>
    <t>be sure to assign each team with #1 under the "a" column.</t>
  </si>
  <si>
    <t>common sheet format</t>
  </si>
  <si>
    <t>d</t>
  </si>
  <si>
    <t>Team01</t>
  </si>
  <si>
    <t>Team02</t>
  </si>
  <si>
    <t>Team03</t>
  </si>
  <si>
    <t>Team04</t>
  </si>
  <si>
    <t>Team05</t>
  </si>
  <si>
    <t>Team06</t>
  </si>
  <si>
    <t>Team07</t>
  </si>
  <si>
    <t>Team08</t>
  </si>
  <si>
    <t>on the sequence shown.</t>
  </si>
  <si>
    <t>draw cross index format</t>
  </si>
  <si>
    <t>Shows the game number for</t>
  </si>
  <si>
    <t>each game from sequence shown.</t>
  </si>
  <si>
    <t>team vs team format</t>
  </si>
  <si>
    <t xml:space="preserve">Shows team combination for </t>
  </si>
  <si>
    <t>Combination possibilities</t>
  </si>
  <si>
    <t>A 2-team combination begins with only one possibility, and quickly factors upward.</t>
  </si>
  <si>
    <t>multiplied by the "current number of teams minus 1".</t>
  </si>
  <si>
    <t>2 teams</t>
  </si>
  <si>
    <t>3 teams</t>
  </si>
  <si>
    <t>4 teams</t>
  </si>
  <si>
    <t>5 teams</t>
  </si>
  <si>
    <t># teams</t>
  </si>
  <si>
    <t>combinations</t>
  </si>
  <si>
    <t>:</t>
  </si>
  <si>
    <t>Sheet use repetition</t>
  </si>
  <si>
    <t>Repeat use on a sheet would ideally be the total number of sheets apart.</t>
  </si>
  <si>
    <t>–</t>
  </si>
  <si>
    <t>of sheet distribution (this rule is not applicable with 4 or less sheets).</t>
  </si>
  <si>
    <t>sequence order &gt;</t>
  </si>
  <si>
    <t>If back-to-back outside sheet play cannot be avoided,</t>
  </si>
  <si>
    <t>Draw 1</t>
  </si>
  <si>
    <t>Draw 2</t>
  </si>
  <si>
    <t>Draw 3</t>
  </si>
  <si>
    <t>Draw 4</t>
  </si>
  <si>
    <t>Draw 5</t>
  </si>
  <si>
    <t>Draw 6</t>
  </si>
  <si>
    <t>Draw 7</t>
  </si>
  <si>
    <t>Draw</t>
  </si>
  <si>
    <t>However, since two teams must share the same sheet in the first instance, the same two teams CANNOT</t>
  </si>
  <si>
    <r>
      <t>1</t>
    </r>
    <r>
      <rPr>
        <b/>
        <sz val="12"/>
        <color theme="1"/>
        <rFont val="Arial"/>
        <family val="2"/>
      </rPr>
      <t xml:space="preserve"> 4 6 8 7 5 3 2</t>
    </r>
  </si>
  <si>
    <r>
      <t xml:space="preserve">The </t>
    </r>
    <r>
      <rPr>
        <b/>
        <sz val="12"/>
        <rFont val="Arial"/>
      </rPr>
      <t>common sheet format</t>
    </r>
    <r>
      <rPr>
        <sz val="12"/>
        <rFont val="Arial"/>
      </rPr>
      <t xml:space="preserve"> based </t>
    </r>
  </si>
  <si>
    <r>
      <t xml:space="preserve">there will be no more than </t>
    </r>
    <r>
      <rPr>
        <b/>
        <sz val="12"/>
        <rFont val="Arial"/>
      </rPr>
      <t>2 games in sequence</t>
    </r>
    <r>
      <rPr>
        <sz val="12"/>
        <rFont val="Arial"/>
      </rPr>
      <t xml:space="preserve"> on outside sheets.</t>
    </r>
  </si>
  <si>
    <t>Each color in a column represents the teams</t>
  </si>
  <si>
    <t>that play each other in that draw.</t>
  </si>
  <si>
    <t>Completing the draw requires assigning a</t>
  </si>
  <si>
    <t>Each color represents the games of one draw</t>
  </si>
  <si>
    <t>each draw from sequence shown.</t>
  </si>
  <si>
    <t>Draw sequence order &gt;</t>
  </si>
  <si>
    <r>
      <t xml:space="preserve">The rows of a </t>
    </r>
    <r>
      <rPr>
        <b/>
        <sz val="12"/>
        <color theme="1"/>
        <rFont val="Arial"/>
        <family val="2"/>
      </rPr>
      <t>common sheet format</t>
    </r>
    <r>
      <rPr>
        <sz val="12"/>
        <rFont val="Arial"/>
      </rPr>
      <t xml:space="preserve"> draw can be reordered into any sequence</t>
    </r>
  </si>
  <si>
    <t>without destroying the integrity of a round robin.</t>
  </si>
  <si>
    <t>This factor is also an indicator of how many combinations are possible</t>
  </si>
  <si>
    <t>for each increase in the number of teams when calculating a round robin.</t>
  </si>
  <si>
    <t xml:space="preserve">Each added team creates a possibility increase equal to the "previous number of teams combination" </t>
  </si>
  <si>
    <r>
      <t xml:space="preserve">Adding the rule that prevents </t>
    </r>
    <r>
      <rPr>
        <b/>
        <sz val="12"/>
        <color theme="1"/>
        <rFont val="Arial"/>
        <family val="2"/>
      </rPr>
      <t>back-to-back outside sheet</t>
    </r>
    <r>
      <rPr>
        <sz val="12"/>
        <color theme="1"/>
        <rFont val="Arial"/>
        <family val="2"/>
      </rPr>
      <t xml:space="preserve"> play</t>
    </r>
    <r>
      <rPr>
        <b/>
        <sz val="12"/>
        <color theme="1"/>
        <rFont val="Arial"/>
        <family val="2"/>
      </rPr>
      <t xml:space="preserve"> </t>
    </r>
    <r>
      <rPr>
        <sz val="12"/>
        <rFont val="Arial"/>
      </rPr>
      <t>will also hinder the process</t>
    </r>
  </si>
  <si>
    <t>In the example (4 sheets), a team should not repeat sheet use until the 4th game after the last use.</t>
  </si>
  <si>
    <t>share the same sheet (would require them to play each other again).</t>
  </si>
  <si>
    <r>
      <t xml:space="preserve">Schedules with </t>
    </r>
    <r>
      <rPr>
        <b/>
        <sz val="12"/>
        <rFont val="Arial"/>
      </rPr>
      <t>2 sheets</t>
    </r>
    <r>
      <rPr>
        <sz val="12"/>
        <rFont val="Arial"/>
      </rPr>
      <t xml:space="preserve"> can only limit back-to-back games on the same sheet to twice.</t>
    </r>
  </si>
  <si>
    <r>
      <t xml:space="preserve">Schedules with </t>
    </r>
    <r>
      <rPr>
        <b/>
        <sz val="12"/>
        <rFont val="Arial"/>
      </rPr>
      <t>3 or more sheets</t>
    </r>
    <r>
      <rPr>
        <sz val="12"/>
        <rFont val="Arial"/>
      </rPr>
      <t xml:space="preserve"> can prevent back-to-back games on the same sheet.</t>
    </r>
  </si>
  <si>
    <t>The example shows that repeat use of the same sheet has to occur in game "number of sheets minus 1".</t>
  </si>
  <si>
    <r>
      <t xml:space="preserve">The </t>
    </r>
    <r>
      <rPr>
        <b/>
        <sz val="12"/>
        <rFont val="Arial"/>
      </rPr>
      <t>common sheet format</t>
    </r>
    <r>
      <rPr>
        <sz val="12"/>
        <rFont val="Arial"/>
      </rPr>
      <t xml:space="preserve"> round robin is the only format conducive to logical analysis. Because any row can be moved</t>
    </r>
  </si>
  <si>
    <t>up or down within a group without destroying the integrity of the round robin, this defines the total possible combinations.</t>
  </si>
  <si>
    <t>The possibilities grow by multiplying the previous team number of possibilities by the current number of 'teams minus 1'.</t>
  </si>
  <si>
    <t>See the Sequencing worksheet for a detailed list of possibility growth.</t>
  </si>
  <si>
    <t>• an odd number of teams will require a "bye" draw for each team in a round.</t>
  </si>
  <si>
    <r>
      <rPr>
        <b/>
        <sz val="12"/>
        <rFont val="Arial"/>
      </rPr>
      <t>Long</t>
    </r>
    <r>
      <rPr>
        <sz val="12"/>
        <rFont val="Arial"/>
      </rPr>
      <t xml:space="preserve"> - all teams put into play requires more than 2 draws</t>
    </r>
  </si>
  <si>
    <t>(see Balanced and Unbalanced group draws)</t>
  </si>
  <si>
    <t>• certain collections of groups may require some teams to play more than one game between each other.</t>
  </si>
  <si>
    <t>• certain collections of odd team groups can be scheduled to avoid "bye" draws.</t>
  </si>
  <si>
    <r>
      <t xml:space="preserve">When combining </t>
    </r>
    <r>
      <rPr>
        <b/>
        <sz val="12"/>
        <rFont val="Arial"/>
      </rPr>
      <t>sheet distribution</t>
    </r>
    <r>
      <rPr>
        <sz val="12"/>
        <rFont val="Arial"/>
      </rPr>
      <t xml:space="preserve"> with the possible combinations, a round robin calculation can be significantly restricted.</t>
    </r>
  </si>
  <si>
    <t>• the first restriction is the alteration of team play combinations.</t>
  </si>
  <si>
    <t>• the second rule restriction is the discarding of back-to-back outside sheet use.</t>
  </si>
  <si>
    <r>
      <t xml:space="preserve">A final fact: no matter how a round robin is determined, the </t>
    </r>
    <r>
      <rPr>
        <b/>
        <sz val="12"/>
        <rFont val="Arial"/>
      </rPr>
      <t>common sheet format</t>
    </r>
    <r>
      <rPr>
        <sz val="12"/>
        <rFont val="Arial"/>
      </rPr>
      <t xml:space="preserve"> can always be reordered</t>
    </r>
  </si>
  <si>
    <t>so that the final result schedules the last draw to be #1 vs #2, #3 vs #4, etc.</t>
  </si>
  <si>
    <t>At this stage, any draw may be</t>
  </si>
  <si>
    <t>reordered into any number position.</t>
  </si>
  <si>
    <t>Changing the sequence order can</t>
  </si>
  <si>
    <t>create many variations of draws.</t>
  </si>
  <si>
    <t>and the sheet assignment at the same time, thus providing the best overall solution possible.</t>
  </si>
  <si>
    <r>
      <t xml:space="preserve">The </t>
    </r>
    <r>
      <rPr>
        <b/>
        <sz val="12"/>
        <rFont val="Arial"/>
      </rPr>
      <t>round robin DrawMaster©</t>
    </r>
    <r>
      <rPr>
        <sz val="12"/>
        <rFont val="Arial"/>
      </rPr>
      <t xml:space="preserve"> engine builds a </t>
    </r>
    <r>
      <rPr>
        <b/>
        <sz val="12"/>
        <rFont val="Arial"/>
      </rPr>
      <t>common sheet format</t>
    </r>
    <r>
      <rPr>
        <sz val="12"/>
        <rFont val="Arial"/>
      </rPr>
      <t>, applying both the game sequence</t>
    </r>
  </si>
  <si>
    <t>Each format displays a final possible order, but none readily permits an easy solution for adding sheet sequence.</t>
  </si>
  <si>
    <t>Each draw row has 4 sets of competitors.</t>
  </si>
  <si>
    <t>unique sheet to each game per draw (1 to 4).</t>
  </si>
  <si>
    <t>(ie: final draw: #1 vs #2, #3 vs #4, etc)</t>
  </si>
  <si>
    <t>Completing the draw requires assigning each</t>
  </si>
  <si>
    <t>draw team set under a sheet value.</t>
  </si>
  <si>
    <t>round robin DrawMaster©</t>
  </si>
  <si>
    <t>Balance</t>
  </si>
  <si>
    <t>Red</t>
  </si>
  <si>
    <t>Black</t>
  </si>
  <si>
    <t>160502e</t>
  </si>
  <si>
    <r>
      <t>160503e</t>
    </r>
    <r>
      <rPr>
        <sz val="10"/>
        <color theme="1"/>
        <rFont val="Arial"/>
        <family val="2"/>
      </rPr>
      <t>x</t>
    </r>
  </si>
  <si>
    <t>Sheets</t>
  </si>
  <si>
    <t>Groups</t>
  </si>
  <si>
    <t>Teams</t>
  </si>
  <si>
    <t>[gt14;rd21;gm105]</t>
  </si>
  <si>
    <t xml:space="preserve"> </t>
  </si>
  <si>
    <t>210503exw</t>
  </si>
  <si>
    <t>[gt07;rd14;gm070]</t>
  </si>
  <si>
    <t>s - standard draw: all games required in a round can be played on one draw time.</t>
  </si>
  <si>
    <t>standard draw</t>
  </si>
  <si>
    <t>early late draw</t>
  </si>
  <si>
    <t>competition draw</t>
  </si>
  <si>
    <t>long draw</t>
  </si>
  <si>
    <t># rounds in draw</t>
  </si>
  <si>
    <t>s</t>
  </si>
  <si>
    <t>note: some combinations may have more than 1 solution</t>
  </si>
  <si>
    <t>(ie: some competition draws may also have an early-late draw available)</t>
  </si>
  <si>
    <t>[gt05;rd06;gm045][o]</t>
  </si>
  <si>
    <t>220505eba</t>
  </si>
  <si>
    <t>[gt04;rd09;gm044]</t>
  </si>
  <si>
    <r>
      <t>[gt05;rd10;gm055]</t>
    </r>
    <r>
      <rPr>
        <sz val="10"/>
        <color theme="1"/>
        <rFont val="Arial"/>
        <family val="2"/>
      </rPr>
      <t>[o]</t>
    </r>
  </si>
  <si>
    <t>320805eEa</t>
  </si>
  <si>
    <t>[gt07;rd14;gm112]</t>
  </si>
  <si>
    <t>340905eEa</t>
  </si>
  <si>
    <t>[gt07;rd14;gm119][o]</t>
  </si>
  <si>
    <t>340805eba</t>
  </si>
  <si>
    <t>[gt06;rd14;gm105][o]</t>
  </si>
  <si>
    <t>240505eba</t>
  </si>
  <si>
    <t>[gt04;rd10;gm048]</t>
  </si>
  <si>
    <t>180504eEa</t>
  </si>
  <si>
    <r>
      <t>[gt05;rd</t>
    </r>
    <r>
      <rPr>
        <sz val="10"/>
        <color theme="1"/>
        <rFont val="Arial"/>
        <family val="2"/>
      </rPr>
      <t>10</t>
    </r>
    <r>
      <rPr>
        <sz val="10"/>
        <color theme="1"/>
        <rFont val="Arial"/>
        <family val="2"/>
      </rPr>
      <t>;gm045][o]</t>
    </r>
  </si>
  <si>
    <t>260704eEa</t>
  </si>
  <si>
    <t>[gt07;rd14;gm091]</t>
  </si>
  <si>
    <t>260706eEa</t>
  </si>
  <si>
    <t>[gt05;rd10;gm065][o]</t>
  </si>
  <si>
    <t>280706eEa</t>
  </si>
  <si>
    <r>
      <t>[gt05;rd10;gm070][o</t>
    </r>
    <r>
      <rPr>
        <sz val="10"/>
        <color theme="1"/>
        <rFont val="Arial"/>
        <family val="2"/>
      </rPr>
      <t>]</t>
    </r>
  </si>
  <si>
    <t>280706exa</t>
  </si>
  <si>
    <t>320805exa</t>
  </si>
  <si>
    <t>[gt04;rd07;gm040][o]</t>
  </si>
  <si>
    <t>[gt04;rd08;gm040]</t>
  </si>
  <si>
    <t>[gt03;rd05;gm018]</t>
  </si>
  <si>
    <t>[gt05;rd08;gm030]</t>
  </si>
  <si>
    <t>220605exa</t>
  </si>
  <si>
    <r>
      <t>[gt05</t>
    </r>
    <r>
      <rPr>
        <sz val="10"/>
        <color theme="1"/>
        <rFont val="Arial"/>
        <family val="2"/>
      </rPr>
      <t>;rd</t>
    </r>
    <r>
      <rPr>
        <sz val="10"/>
        <color theme="1"/>
        <rFont val="Arial"/>
        <family val="2"/>
      </rPr>
      <t>10</t>
    </r>
    <r>
      <rPr>
        <sz val="10"/>
        <color theme="1"/>
        <rFont val="Arial"/>
        <family val="2"/>
      </rPr>
      <t>;gm0</t>
    </r>
    <r>
      <rPr>
        <sz val="10"/>
        <color theme="1"/>
        <rFont val="Arial"/>
        <family val="2"/>
      </rPr>
      <t>55</t>
    </r>
    <r>
      <rPr>
        <sz val="10"/>
        <color theme="1"/>
        <rFont val="Arial"/>
        <family val="2"/>
      </rPr>
      <t>]</t>
    </r>
  </si>
  <si>
    <t>260706exa</t>
  </si>
  <si>
    <t>[gt07;rd10;gm049]</t>
  </si>
  <si>
    <t>340904eEa</t>
  </si>
  <si>
    <t>[gt08;rd15c;gm072]</t>
  </si>
  <si>
    <t>[gt06;rd13;gm063]</t>
  </si>
  <si>
    <t>Rock Color</t>
  </si>
  <si>
    <t>cm</t>
  </si>
  <si>
    <t>G1</t>
  </si>
  <si>
    <t>Gd</t>
  </si>
  <si>
    <t>Choosing more groups results in shorter draws (less rounds).</t>
  </si>
  <si>
    <t>120402e</t>
  </si>
  <si>
    <r>
      <t>[gt13;rd2</t>
    </r>
    <r>
      <rPr>
        <sz val="10"/>
        <color theme="1"/>
        <rFont val="Arial"/>
        <family val="2"/>
      </rPr>
      <t>6</t>
    </r>
    <r>
      <rPr>
        <sz val="10"/>
        <color theme="1"/>
        <rFont val="Arial"/>
        <family val="2"/>
      </rPr>
      <t>;gm091]</t>
    </r>
  </si>
  <si>
    <t>[gt04;rd08;gm030]</t>
  </si>
  <si>
    <t>[gt10;rd15;gm055]</t>
  </si>
  <si>
    <t>[gt05;rd12;gm045]</t>
  </si>
  <si>
    <t>[gt07;rd19;gm112]</t>
  </si>
  <si>
    <r>
      <t xml:space="preserve">Note: to erase input, shift/select data, and use </t>
    </r>
    <r>
      <rPr>
        <b/>
        <sz val="12"/>
        <rFont val="Arial"/>
      </rPr>
      <t>Edit/Clear&gt;Contents</t>
    </r>
  </si>
  <si>
    <t>[gt05;rd15;gm045]</t>
  </si>
  <si>
    <t>[gt04;rd07;gm020]</t>
  </si>
  <si>
    <t>1606040s</t>
  </si>
  <si>
    <t>[gt05;rd09;gm050][o]</t>
  </si>
  <si>
    <r>
      <t>[gt</t>
    </r>
    <r>
      <rPr>
        <sz val="10"/>
        <color theme="1"/>
        <rFont val="Arial"/>
        <family val="2"/>
      </rPr>
      <t>0</t>
    </r>
    <r>
      <rPr>
        <sz val="10"/>
        <color theme="1"/>
        <rFont val="Arial"/>
        <family val="2"/>
      </rPr>
      <t>3;rd</t>
    </r>
    <r>
      <rPr>
        <sz val="10"/>
        <color theme="1"/>
        <rFont val="Arial"/>
        <family val="2"/>
      </rPr>
      <t>0</t>
    </r>
    <r>
      <rPr>
        <sz val="10"/>
        <color theme="1"/>
        <rFont val="Arial"/>
        <family val="2"/>
      </rPr>
      <t>4;gm</t>
    </r>
    <r>
      <rPr>
        <sz val="10"/>
        <color theme="1"/>
        <rFont val="Arial"/>
        <family val="2"/>
      </rPr>
      <t>0</t>
    </r>
    <r>
      <rPr>
        <sz val="10"/>
        <color theme="1"/>
        <rFont val="Arial"/>
        <family val="2"/>
      </rPr>
      <t>24][o]</t>
    </r>
  </si>
  <si>
    <t>[gt09;rd14;gm045]</t>
  </si>
  <si>
    <t>[gt09;rd12;gm045]</t>
  </si>
  <si>
    <r>
      <t>[gt</t>
    </r>
    <r>
      <rPr>
        <sz val="10"/>
        <color theme="1"/>
        <rFont val="Arial"/>
        <family val="2"/>
      </rPr>
      <t>0</t>
    </r>
    <r>
      <rPr>
        <sz val="10"/>
        <color theme="1"/>
        <rFont val="Arial"/>
        <family val="2"/>
      </rPr>
      <t>4;rd09;gm030]</t>
    </r>
  </si>
  <si>
    <t>team play &gt;</t>
  </si>
  <si>
    <t>(enter team to display)</t>
  </si>
  <si>
    <t>[gt14;rd28;gm105]</t>
  </si>
  <si>
    <t>150503exw</t>
  </si>
  <si>
    <t>• the third rule restriction is a reduction in games between repeat sheet use.</t>
  </si>
  <si>
    <r>
      <t>260802c</t>
    </r>
    <r>
      <rPr>
        <sz val="10"/>
        <color theme="1"/>
        <rFont val="Arial"/>
        <family val="2"/>
      </rPr>
      <t>33</t>
    </r>
  </si>
  <si>
    <t>230602ew</t>
  </si>
  <si>
    <t>260605ew</t>
  </si>
  <si>
    <r>
      <t>[gt</t>
    </r>
    <r>
      <rPr>
        <sz val="10"/>
        <color theme="1"/>
        <rFont val="Arial"/>
        <family val="2"/>
      </rPr>
      <t>0</t>
    </r>
    <r>
      <rPr>
        <sz val="10"/>
        <color theme="1"/>
        <rFont val="Arial"/>
        <family val="2"/>
      </rPr>
      <t>5;rd10;gm</t>
    </r>
    <r>
      <rPr>
        <sz val="10"/>
        <color theme="1"/>
        <rFont val="Arial"/>
        <family val="2"/>
      </rPr>
      <t>0</t>
    </r>
    <r>
      <rPr>
        <sz val="10"/>
        <color theme="1"/>
        <rFont val="Arial"/>
        <family val="2"/>
      </rPr>
      <t>55]</t>
    </r>
  </si>
  <si>
    <t>210505eba</t>
  </si>
  <si>
    <t>S9!B12:S29</t>
  </si>
  <si>
    <t>[gt07;rd12;gm056]</t>
  </si>
  <si>
    <t>150502ew</t>
  </si>
  <si>
    <t>Sheet Order Frequency</t>
  </si>
  <si>
    <t>Game seq</t>
  </si>
  <si>
    <t xml:space="preserve">back-to-back </t>
  </si>
  <si>
    <t xml:space="preserve">1 game apart </t>
  </si>
  <si>
    <t xml:space="preserve">2 games apart </t>
  </si>
  <si>
    <t xml:space="preserve">3 games apart </t>
  </si>
  <si>
    <t>To the right is the number of games on each sheet.</t>
  </si>
  <si>
    <t># Teams</t>
  </si>
  <si>
    <t># Sheets</t>
  </si>
  <si>
    <t>Games/Team</t>
  </si>
  <si>
    <t># Groups</t>
  </si>
  <si>
    <t>Sheet use</t>
  </si>
  <si>
    <t>This worksheet shows the order of sheet play by game sequence for each team.</t>
  </si>
  <si>
    <t>as graphed by the chart at left.</t>
  </si>
  <si>
    <t>Repeat frequency</t>
  </si>
  <si>
    <t>The game sequence will also display the frequency of repeat play on the same sheet,</t>
  </si>
  <si>
    <t>Draw Index</t>
  </si>
  <si>
    <t>Using rrDM© Round Robin Finder</t>
  </si>
  <si>
    <t>Curling Club Name League</t>
  </si>
  <si>
    <t>Enter team names and round times to complete the draw.</t>
  </si>
  <si>
    <r>
      <t>[gt0</t>
    </r>
    <r>
      <rPr>
        <sz val="10"/>
        <color theme="1"/>
        <rFont val="Arial"/>
        <family val="2"/>
      </rPr>
      <t>7</t>
    </r>
    <r>
      <rPr>
        <sz val="10"/>
        <color theme="1"/>
        <rFont val="Arial"/>
        <family val="2"/>
      </rPr>
      <t>;rd14;gm070]</t>
    </r>
  </si>
  <si>
    <t>120501sb</t>
  </si>
  <si>
    <t>[gt11;rd14;gm66]</t>
  </si>
  <si>
    <t>180904sxa</t>
  </si>
  <si>
    <t>[gt05;rd05;gm45][o]</t>
  </si>
  <si>
    <t>200501e</t>
  </si>
  <si>
    <t>[gt19;rd38;gm190][o]</t>
  </si>
  <si>
    <t>170401e</t>
  </si>
  <si>
    <t>[gt16;rd34;gm136]</t>
  </si>
  <si>
    <t>210501e</t>
  </si>
  <si>
    <r>
      <t>[gt20;rd</t>
    </r>
    <r>
      <rPr>
        <sz val="10"/>
        <color theme="1"/>
        <rFont val="Arial"/>
        <family val="2"/>
      </rPr>
      <t>20</t>
    </r>
    <r>
      <rPr>
        <sz val="10"/>
        <color theme="1"/>
        <rFont val="Arial"/>
        <family val="2"/>
      </rPr>
      <t>;gm210]</t>
    </r>
  </si>
  <si>
    <r>
      <t>[gt20;rd</t>
    </r>
    <r>
      <rPr>
        <sz val="10"/>
        <color theme="1"/>
        <rFont val="Arial"/>
        <family val="2"/>
      </rPr>
      <t>2</t>
    </r>
    <r>
      <rPr>
        <sz val="10"/>
        <color theme="1"/>
        <rFont val="Arial"/>
        <family val="2"/>
      </rPr>
      <t>2;gm210]</t>
    </r>
  </si>
  <si>
    <r>
      <t>210501e</t>
    </r>
    <r>
      <rPr>
        <sz val="10"/>
        <color theme="1"/>
        <rFont val="Arial"/>
        <family val="2"/>
      </rPr>
      <t>X</t>
    </r>
  </si>
  <si>
    <r>
      <t>[gt24;rd</t>
    </r>
    <r>
      <rPr>
        <sz val="10"/>
        <color theme="1"/>
        <rFont val="Arial"/>
        <family val="2"/>
      </rPr>
      <t>3</t>
    </r>
    <r>
      <rPr>
        <sz val="10"/>
        <color theme="1"/>
        <rFont val="Arial"/>
        <family val="2"/>
      </rPr>
      <t>0;gm300]</t>
    </r>
  </si>
  <si>
    <t>260701eX</t>
  </si>
  <si>
    <t>230601ebX</t>
  </si>
  <si>
    <t>[gt22;rd24;gm132]</t>
  </si>
  <si>
    <t>221001sb</t>
  </si>
  <si>
    <t>[gt21;rd24;gm231][o]</t>
  </si>
  <si>
    <t>251001L</t>
  </si>
  <si>
    <t>[gt24;rd30;gm300]</t>
  </si>
  <si>
    <t>[gt17;rd34;gm153][o]</t>
  </si>
  <si>
    <t>[gt07;rd14c;gm112]</t>
  </si>
  <si>
    <t>[gt12;rd18;gm156]</t>
  </si>
  <si>
    <t>[gt06;rd09;gm084][o]</t>
  </si>
  <si>
    <t>[gt12;rd18;gm078]</t>
  </si>
  <si>
    <t>[gt06;rd09;gm036]</t>
  </si>
  <si>
    <t>270701eb</t>
  </si>
  <si>
    <t>270701ebX</t>
  </si>
  <si>
    <t>[gt26;rd28;gm182][o]</t>
  </si>
  <si>
    <t>250601ebX</t>
  </si>
  <si>
    <t>170405exw</t>
  </si>
  <si>
    <t>170705sw</t>
  </si>
  <si>
    <t>[gt03;rd03;gm021][o]</t>
  </si>
  <si>
    <t>211001sb</t>
  </si>
  <si>
    <t>[gt20;rd21;gm210][o]</t>
  </si>
  <si>
    <t>300801eX</t>
  </si>
  <si>
    <t>[gt15;rd28;gm210][o]</t>
  </si>
  <si>
    <t>Late Game Frequency</t>
  </si>
  <si>
    <t>AT7</t>
  </si>
  <si>
    <t>AW7</t>
  </si>
  <si>
    <t>AY7</t>
  </si>
  <si>
    <t>BA7</t>
  </si>
  <si>
    <t>BC7</t>
  </si>
  <si>
    <t>BE7</t>
  </si>
  <si>
    <t>BG7</t>
  </si>
  <si>
    <t>BI7</t>
  </si>
  <si>
    <t>BK7</t>
  </si>
  <si>
    <t>BM7</t>
  </si>
  <si>
    <t>BO7</t>
  </si>
  <si>
    <t>BQ7</t>
  </si>
  <si>
    <t>BS7</t>
  </si>
  <si>
    <t>BU7</t>
  </si>
  <si>
    <t>BW7</t>
  </si>
  <si>
    <t>BY7</t>
  </si>
  <si>
    <t>CA7</t>
  </si>
  <si>
    <t>CC7</t>
  </si>
  <si>
    <t>CE7</t>
  </si>
  <si>
    <t>CG7</t>
  </si>
  <si>
    <t>Late Game Round</t>
  </si>
  <si>
    <t>AT7:CG9</t>
  </si>
  <si>
    <t>AW7:CG9</t>
  </si>
  <si>
    <t>AY7:CG9</t>
  </si>
  <si>
    <t>BA7:CG9</t>
  </si>
  <si>
    <t>BC7:CG9</t>
  </si>
  <si>
    <t>BE7:CG9</t>
  </si>
  <si>
    <t>BG7:CG9</t>
  </si>
  <si>
    <t>BI7:CG9</t>
  </si>
  <si>
    <t>BK7:CG9</t>
  </si>
  <si>
    <t>BM7:CG9</t>
  </si>
  <si>
    <t>BO7:CG9</t>
  </si>
  <si>
    <t>BQ7:CG9</t>
  </si>
  <si>
    <t>BS7:CG9</t>
  </si>
  <si>
    <t>BU7:CG9</t>
  </si>
  <si>
    <t>BW7:CG9</t>
  </si>
  <si>
    <t>BY7:CG9</t>
  </si>
  <si>
    <t>CA7:CG9</t>
  </si>
  <si>
    <t>CC7:CG9</t>
  </si>
  <si>
    <t>CE7:CG9</t>
  </si>
  <si>
    <t>CG7:CG9</t>
  </si>
  <si>
    <t>AT9:CG56</t>
  </si>
  <si>
    <t>AW9:CG56</t>
  </si>
  <si>
    <t>AY9:CG56</t>
  </si>
  <si>
    <t>BA9:CG56</t>
  </si>
  <si>
    <t>BC9:CG56</t>
  </si>
  <si>
    <t>BE9:CG56</t>
  </si>
  <si>
    <t>BG9:CG56</t>
  </si>
  <si>
    <t>BI9:CG56</t>
  </si>
  <si>
    <t>BK9:CG56</t>
  </si>
  <si>
    <t>BM9:CG56</t>
  </si>
  <si>
    <t>BO9:CG56</t>
  </si>
  <si>
    <t>BQ9:CG56</t>
  </si>
  <si>
    <t>BS9:CG56</t>
  </si>
  <si>
    <t>BU9:CG56</t>
  </si>
  <si>
    <t>BW9:CG56</t>
  </si>
  <si>
    <t>BY9:CG56</t>
  </si>
  <si>
    <t>CA9:CG56</t>
  </si>
  <si>
    <t>CC9:CG56</t>
  </si>
  <si>
    <t>CE9:CG56</t>
  </si>
  <si>
    <t>CG9:CG56</t>
  </si>
  <si>
    <t>Late Game</t>
  </si>
  <si>
    <t>2 Consecutive Late Games</t>
  </si>
  <si>
    <t>3 Consecutive Late Games</t>
  </si>
  <si>
    <t>[gt26;rd26;gm169]</t>
  </si>
  <si>
    <t>[gt12;rd24;gm156][o]</t>
  </si>
  <si>
    <t>[gt05;rd12;gm060]</t>
  </si>
  <si>
    <t>[gt04;rd06;gm030]</t>
  </si>
  <si>
    <r>
      <t>150503c</t>
    </r>
    <r>
      <rPr>
        <sz val="10"/>
        <color theme="1"/>
        <rFont val="Arial"/>
        <family val="2"/>
      </rPr>
      <t>13</t>
    </r>
  </si>
  <si>
    <t>[gt04;rd12;gm060]</t>
  </si>
  <si>
    <t>130301eb</t>
  </si>
  <si>
    <t>l</t>
  </si>
  <si>
    <t>[gt06;rd13;gm039]</t>
  </si>
  <si>
    <t>190403eba</t>
  </si>
  <si>
    <t>[gt06;rd15;gm057]</t>
  </si>
  <si>
    <t>[gt06;rd13;gm057]</t>
  </si>
  <si>
    <t>[gt10;rd21;gm105]</t>
  </si>
  <si>
    <t>[gt04;rd09;gm042]</t>
  </si>
  <si>
    <t>260605ex</t>
  </si>
  <si>
    <t>160401e</t>
  </si>
  <si>
    <t>[gt15;rd30;gm120]</t>
  </si>
  <si>
    <t>[gt09;rd21;gm081]</t>
  </si>
  <si>
    <r>
      <t>[gt05;rd10;gm0</t>
    </r>
    <r>
      <rPr>
        <sz val="10"/>
        <color theme="1"/>
        <rFont val="Arial"/>
        <family val="2"/>
      </rPr>
      <t>25</t>
    </r>
    <r>
      <rPr>
        <sz val="10"/>
        <color theme="1"/>
        <rFont val="Arial"/>
        <family val="2"/>
      </rPr>
      <t>]</t>
    </r>
  </si>
  <si>
    <t>120301e</t>
  </si>
  <si>
    <r>
      <t>[gt05;rd10;gm035]</t>
    </r>
    <r>
      <rPr>
        <sz val="10"/>
        <color theme="1"/>
        <rFont val="Arial"/>
        <family val="2"/>
      </rPr>
      <t>[o]</t>
    </r>
  </si>
  <si>
    <r>
      <t>180501e</t>
    </r>
    <r>
      <rPr>
        <sz val="10"/>
        <color theme="1"/>
        <rFont val="Arial"/>
        <family val="2"/>
      </rPr>
      <t>X</t>
    </r>
  </si>
  <si>
    <t>190501ebX</t>
  </si>
  <si>
    <t>[gt18;rd38;gm171]</t>
  </si>
  <si>
    <t>[gt05;rd11;gm065]</t>
  </si>
  <si>
    <t>[gt12;rd26;gm078]</t>
  </si>
  <si>
    <t>130401e</t>
  </si>
  <si>
    <t>130402eba</t>
  </si>
  <si>
    <t>250501L</t>
  </si>
  <si>
    <t>250501LX</t>
  </si>
  <si>
    <t>[gt06;rd14;gm063]</t>
  </si>
  <si>
    <t>240501ebX</t>
  </si>
  <si>
    <t>[gt23;rd28;gm276]</t>
  </si>
  <si>
    <t>240501eb</t>
  </si>
  <si>
    <t>[gt10;rd20;gm110]</t>
  </si>
  <si>
    <t>160403ex</t>
  </si>
  <si>
    <r>
      <t>170403e</t>
    </r>
    <r>
      <rPr>
        <sz val="10"/>
        <color theme="1"/>
        <rFont val="Arial"/>
        <family val="2"/>
      </rPr>
      <t>w</t>
    </r>
  </si>
  <si>
    <r>
      <t>190402e</t>
    </r>
    <r>
      <rPr>
        <sz val="10"/>
        <color theme="1"/>
        <rFont val="Arial"/>
        <family val="2"/>
      </rPr>
      <t>w</t>
    </r>
  </si>
  <si>
    <t>250601eb</t>
  </si>
  <si>
    <t>[gt24;rd24;gm300]</t>
  </si>
  <si>
    <t>[gt24;rd26;gm300]</t>
  </si>
  <si>
    <t>[gt12;rd26;gm156]</t>
  </si>
  <si>
    <t>[gt08;rd18;gm104]</t>
  </si>
  <si>
    <t>[gt04;rd10;gm058]</t>
  </si>
  <si>
    <t>[gt04;rd10;gm060]</t>
  </si>
  <si>
    <t>[gt16;rd17;gm136]</t>
  </si>
  <si>
    <t>[gt06;rd18;gm084]</t>
  </si>
  <si>
    <r>
      <t>[gt08;rd19;gm</t>
    </r>
    <r>
      <rPr>
        <sz val="10"/>
        <color theme="1"/>
        <rFont val="Arial"/>
        <family val="2"/>
      </rPr>
      <t>0</t>
    </r>
    <r>
      <rPr>
        <sz val="10"/>
        <color theme="1"/>
        <rFont val="Arial"/>
        <family val="2"/>
      </rPr>
      <t>72]</t>
    </r>
  </si>
  <si>
    <t>130501s</t>
  </si>
  <si>
    <t>[gt12;rd16);gm078]</t>
  </si>
  <si>
    <t>Day 01, 12:00 pm</t>
  </si>
  <si>
    <t>Team Play Lookup</t>
  </si>
  <si>
    <t>Team Play Order</t>
  </si>
  <si>
    <t>enter team to find play order &gt;</t>
  </si>
  <si>
    <t>order of team to play &gt;</t>
  </si>
  <si>
    <t>Tm01</t>
  </si>
  <si>
    <t>TmPlayOrder worksheet</t>
  </si>
  <si>
    <t>This worksheet displays the order a team plays other teams.</t>
  </si>
  <si>
    <t>The Number of Sheets chosen will display the round robin draws available</t>
  </si>
  <si>
    <t>If a draw is available, a red Draw will appear. If there is more than</t>
  </si>
  <si>
    <t>The Number of Teams will highlight available draws.</t>
  </si>
  <si>
    <t>On the DrawFinder worksheet, enter the required values.</t>
  </si>
  <si>
    <t xml:space="preserve">         or the other draw # of the same values.</t>
  </si>
  <si>
    <t>for that number of sheets.</t>
  </si>
  <si>
    <t>one solution for the values, rrDM© asks for the number of the draw you wish to find.</t>
  </si>
  <si>
    <t>An "X" will appear, indicating the current display is the first half of the draw.</t>
  </si>
  <si>
    <t>The second part of the draw could be the same values in 2 groups,</t>
  </si>
  <si>
    <t>Draw names are displayed as # teams, # sheets, # groups.</t>
  </si>
  <si>
    <t>Protection</t>
  </si>
  <si>
    <t>Adding team names and draw times will complete the draw.</t>
  </si>
  <si>
    <t xml:space="preserve">          A team's play in the draw may be displayed by entering the team name in the red area.</t>
  </si>
  <si>
    <t xml:space="preserve">            All worksheets are protected, allowing data entry only in necessary areas.</t>
  </si>
  <si>
    <t>See below for a complete list of draws available.</t>
  </si>
  <si>
    <t>If a large draw is chosen, the displayed round robin may only be half of the draw,</t>
  </si>
  <si>
    <t xml:space="preserve">     Note: late games are balanced as much as possible ahead of sheet assignment.</t>
  </si>
  <si>
    <t>• under round robin calculations, repeat play should be as far apart as possible (view SheetFreq worksheet).</t>
  </si>
  <si>
    <t>[gt06;rd10;gt084]</t>
  </si>
  <si>
    <t>[gt06;rd21;gt042]</t>
  </si>
  <si>
    <t>[gt07;rd25;gt049]</t>
  </si>
  <si>
    <t>[gt07;rd28;gt056]</t>
  </si>
  <si>
    <t>180403e</t>
  </si>
  <si>
    <t>[gt05;rd12;gt045]</t>
  </si>
  <si>
    <t>[gt05;rd07;gt025]</t>
  </si>
  <si>
    <t>[gt05;rd23;gt045]</t>
  </si>
  <si>
    <t>[gt04;rd15;gt030]</t>
  </si>
  <si>
    <t>[gt07;rd13;gt049]</t>
  </si>
  <si>
    <t>130202c34</t>
  </si>
  <si>
    <t>[gt06;rd18;gt036]</t>
  </si>
  <si>
    <t>[gt06;rd20;gt039]</t>
  </si>
  <si>
    <t>[gt05;rd20;gt040]</t>
  </si>
  <si>
    <t>[gt05;rd14;gm040]</t>
  </si>
  <si>
    <t>[gt07;rd17;gt049]</t>
  </si>
  <si>
    <t>[gt07;rd19;gt056]</t>
  </si>
  <si>
    <t>[gt05;rd12;gt035]</t>
  </si>
  <si>
    <t>[gt05;rd14;gt040]</t>
  </si>
  <si>
    <t>[gt05;rd08;gt040]</t>
  </si>
  <si>
    <t>[gt05;rd09;gt040]</t>
  </si>
  <si>
    <t>[gt05;rd12;gt060]</t>
  </si>
  <si>
    <t>$CJ3:CO333</t>
  </si>
  <si>
    <t>160601s</t>
  </si>
  <si>
    <t>[gt07;rd11;gm028]</t>
  </si>
  <si>
    <t>[gt08;rd12;gt036]</t>
  </si>
  <si>
    <t>[gt10;rd19;gm055]</t>
  </si>
  <si>
    <t>100503sx</t>
  </si>
  <si>
    <t>[gt03;rd03;gt015][o]</t>
  </si>
  <si>
    <t>130602sb</t>
  </si>
  <si>
    <t>160302eb</t>
  </si>
  <si>
    <t>[gt07;rd19;gm056]</t>
  </si>
  <si>
    <t>[gt08;rd23;gm068]</t>
  </si>
  <si>
    <t>180302eb</t>
  </si>
  <si>
    <t>[gt08;rd24;gm072]</t>
  </si>
  <si>
    <t>[gt05;rd05;gm025][o]</t>
  </si>
  <si>
    <r>
      <t>170302eb</t>
    </r>
    <r>
      <rPr>
        <sz val="10"/>
        <color theme="1"/>
        <rFont val="Arial"/>
        <family val="2"/>
      </rPr>
      <t>x</t>
    </r>
    <r>
      <rPr>
        <sz val="10"/>
        <color theme="1"/>
        <rFont val="Arial"/>
        <family val="2"/>
      </rPr>
      <t>a</t>
    </r>
  </si>
  <si>
    <t>150302ebw</t>
  </si>
  <si>
    <t>[gt07;rd17;gm049]</t>
  </si>
  <si>
    <t>[gt05;rd10;gt040][o]</t>
  </si>
  <si>
    <t>170603ew</t>
  </si>
  <si>
    <r>
      <t>140403ex</t>
    </r>
    <r>
      <rPr>
        <sz val="10"/>
        <color theme="1"/>
        <rFont val="Arial"/>
        <family val="2"/>
      </rPr>
      <t>E</t>
    </r>
    <r>
      <rPr>
        <sz val="10"/>
        <color theme="1"/>
        <rFont val="Arial"/>
        <family val="2"/>
      </rPr>
      <t>a</t>
    </r>
  </si>
  <si>
    <t>140503eExa</t>
  </si>
  <si>
    <r>
      <t>190503eb</t>
    </r>
    <r>
      <rPr>
        <sz val="10"/>
        <color theme="1"/>
        <rFont val="Arial"/>
        <family val="2"/>
      </rPr>
      <t>x</t>
    </r>
    <r>
      <rPr>
        <sz val="10"/>
        <color theme="1"/>
        <rFont val="Arial"/>
        <family val="2"/>
      </rPr>
      <t>a</t>
    </r>
  </si>
  <si>
    <t>190504exw</t>
  </si>
  <si>
    <t>190604exw</t>
  </si>
  <si>
    <t>[gt06;rd10;gm045][o]</t>
  </si>
  <si>
    <r>
      <t>240605e</t>
    </r>
    <r>
      <rPr>
        <sz val="10"/>
        <color theme="1"/>
        <rFont val="Arial"/>
        <family val="2"/>
      </rPr>
      <t>E</t>
    </r>
    <r>
      <rPr>
        <sz val="10"/>
        <color theme="1"/>
        <rFont val="Arial"/>
        <family val="2"/>
      </rPr>
      <t>x</t>
    </r>
    <r>
      <rPr>
        <sz val="10"/>
        <color theme="1"/>
        <rFont val="Arial"/>
        <family val="2"/>
      </rPr>
      <t>a</t>
    </r>
  </si>
  <si>
    <r>
      <t>220605e</t>
    </r>
    <r>
      <rPr>
        <sz val="10"/>
        <color theme="1"/>
        <rFont val="Arial"/>
        <family val="2"/>
      </rPr>
      <t>x</t>
    </r>
    <r>
      <rPr>
        <sz val="10"/>
        <color theme="1"/>
        <rFont val="Arial"/>
        <family val="2"/>
      </rPr>
      <t>Ea</t>
    </r>
  </si>
  <si>
    <t>130604swx</t>
  </si>
  <si>
    <t>[gt03;rd03;gm015][o]</t>
  </si>
  <si>
    <t>A13:G80</t>
  </si>
  <si>
    <t>140603sExa</t>
  </si>
  <si>
    <t>[gt05;rd06;gm035]</t>
  </si>
  <si>
    <t>160603sx</t>
  </si>
  <si>
    <t>[gt05;rd07;gm040]</t>
  </si>
  <si>
    <t>[gt06;rd14;gm081]</t>
  </si>
  <si>
    <t>&lt; draws/day</t>
  </si>
  <si>
    <t>m</t>
  </si>
  <si>
    <t>n</t>
  </si>
  <si>
    <t>&lt; draws first day</t>
  </si>
  <si>
    <t>&lt; games/team</t>
  </si>
  <si>
    <t>&lt; days</t>
  </si>
  <si>
    <t>ea</t>
  </si>
  <si>
    <t>em</t>
  </si>
  <si>
    <t>lm</t>
  </si>
  <si>
    <t>total games &gt;</t>
  </si>
  <si>
    <t>&lt; total draws</t>
  </si>
  <si>
    <t>&lt; draw slots</t>
  </si>
  <si>
    <t>&lt; max games/slots</t>
  </si>
  <si>
    <t>&lt; max games/day</t>
  </si>
  <si>
    <t>mn</t>
  </si>
  <si>
    <t>ma</t>
  </si>
  <si>
    <t>me</t>
  </si>
  <si>
    <t>ml</t>
  </si>
  <si>
    <t>na</t>
  </si>
  <si>
    <t>ne</t>
  </si>
  <si>
    <t>nl</t>
  </si>
  <si>
    <t>ae</t>
  </si>
  <si>
    <t>al</t>
  </si>
  <si>
    <t>el</t>
  </si>
  <si>
    <t>&lt; min games/slots</t>
  </si>
  <si>
    <t>&lt; min games/day</t>
  </si>
  <si>
    <t>Day 1</t>
  </si>
  <si>
    <t>Games</t>
  </si>
  <si>
    <t>consecutive</t>
  </si>
  <si>
    <t>Late-early</t>
  </si>
  <si>
    <t>Draw #</t>
  </si>
  <si>
    <t>Games/slot</t>
  </si>
  <si>
    <t>Games/day</t>
  </si>
  <si>
    <t>gd</t>
  </si>
  <si>
    <t>sd</t>
  </si>
  <si>
    <t>1d</t>
  </si>
  <si>
    <t>&lt; competitive</t>
  </si>
  <si>
    <t>competitive</t>
  </si>
  <si>
    <t>&lt; rounds</t>
  </si>
  <si>
    <t>Draw name from Intro</t>
  </si>
  <si>
    <t>sheets</t>
  </si>
  <si>
    <t>&lt; sheets</t>
  </si>
  <si>
    <t>S6!BD11:BW100</t>
  </si>
  <si>
    <t>SheetFreq; LateGameFreq worksheet</t>
  </si>
  <si>
    <t>These worksheets shows the sheet order of each team, as well as displaying</t>
  </si>
  <si>
    <t xml:space="preserve">           the games apart for repeat sheet use (LateGame for early-late draws only).</t>
  </si>
  <si>
    <t xml:space="preserve">          round robins in all the provided materials, and will not be held accountable</t>
  </si>
  <si>
    <t xml:space="preserve">          for any errors or ommission in the provided materials.</t>
  </si>
  <si>
    <t>Games/Day worksheet</t>
  </si>
  <si>
    <t>This worksheet displays slot assignments in competitive draws only.</t>
  </si>
  <si>
    <t>rrDM_RR</t>
  </si>
  <si>
    <r>
      <t>120401c</t>
    </r>
    <r>
      <rPr>
        <sz val="10"/>
        <color theme="1"/>
        <rFont val="Arial"/>
        <family val="2"/>
      </rPr>
      <t>23</t>
    </r>
  </si>
  <si>
    <r>
      <t>120401c</t>
    </r>
    <r>
      <rPr>
        <sz val="10"/>
        <color theme="1"/>
        <rFont val="Arial"/>
        <family val="2"/>
      </rPr>
      <t>2</t>
    </r>
    <r>
      <rPr>
        <sz val="10"/>
        <color theme="1"/>
        <rFont val="Arial"/>
        <family val="2"/>
      </rPr>
      <t>3</t>
    </r>
  </si>
  <si>
    <t xml:space="preserve">  &lt; enter a name for the league using the draw being found</t>
  </si>
  <si>
    <t>groups</t>
  </si>
  <si>
    <t>Games: Day/Slot</t>
  </si>
  <si>
    <r>
      <t>261002c</t>
    </r>
    <r>
      <rPr>
        <sz val="10"/>
        <color theme="1"/>
        <rFont val="Arial"/>
        <family val="2"/>
      </rPr>
      <t>3</t>
    </r>
    <r>
      <rPr>
        <sz val="10"/>
        <color theme="1"/>
        <rFont val="Arial"/>
        <family val="2"/>
      </rPr>
      <t>3</t>
    </r>
  </si>
  <si>
    <r>
      <t>281004c2</t>
    </r>
    <r>
      <rPr>
        <sz val="10"/>
        <color theme="1"/>
        <rFont val="Arial"/>
        <family val="2"/>
      </rPr>
      <t>3</t>
    </r>
  </si>
  <si>
    <r>
      <t>281004c</t>
    </r>
    <r>
      <rPr>
        <sz val="10"/>
        <color theme="1"/>
        <rFont val="Arial"/>
        <family val="2"/>
      </rPr>
      <t>3</t>
    </r>
    <r>
      <rPr>
        <sz val="10"/>
        <color theme="1"/>
        <rFont val="Arial"/>
        <family val="2"/>
      </rPr>
      <t>3</t>
    </r>
  </si>
  <si>
    <t>Games/draw</t>
  </si>
  <si>
    <r>
      <t>280904c2</t>
    </r>
    <r>
      <rPr>
        <sz val="10"/>
        <color theme="1"/>
        <rFont val="Arial"/>
        <family val="2"/>
      </rPr>
      <t>3</t>
    </r>
  </si>
  <si>
    <r>
      <t>180803c</t>
    </r>
    <r>
      <rPr>
        <sz val="10"/>
        <color theme="1"/>
        <rFont val="Arial"/>
        <family val="2"/>
      </rPr>
      <t>33</t>
    </r>
  </si>
  <si>
    <r>
      <t>320804c</t>
    </r>
    <r>
      <rPr>
        <sz val="10"/>
        <color theme="1"/>
        <rFont val="Arial"/>
        <family val="2"/>
      </rPr>
      <t>4</t>
    </r>
    <r>
      <rPr>
        <sz val="10"/>
        <color theme="1"/>
        <rFont val="Arial"/>
        <family val="2"/>
      </rPr>
      <t>4</t>
    </r>
  </si>
  <si>
    <r>
      <t>160602c</t>
    </r>
    <r>
      <rPr>
        <sz val="10"/>
        <color theme="1"/>
        <rFont val="Arial"/>
        <family val="2"/>
      </rPr>
      <t>23</t>
    </r>
  </si>
  <si>
    <t>200604c33</t>
  </si>
  <si>
    <r>
      <t>200604cx</t>
    </r>
    <r>
      <rPr>
        <sz val="10"/>
        <color theme="1"/>
        <rFont val="Arial"/>
        <family val="2"/>
      </rPr>
      <t>33</t>
    </r>
  </si>
  <si>
    <r>
      <t>320604c</t>
    </r>
    <r>
      <rPr>
        <sz val="10"/>
        <color theme="1"/>
        <rFont val="Arial"/>
        <family val="2"/>
      </rPr>
      <t>34</t>
    </r>
  </si>
  <si>
    <r>
      <t>130501c</t>
    </r>
    <r>
      <rPr>
        <sz val="10"/>
        <color theme="1"/>
        <rFont val="Arial"/>
        <family val="2"/>
      </rPr>
      <t>3</t>
    </r>
    <r>
      <rPr>
        <sz val="10"/>
        <color theme="1"/>
        <rFont val="Arial"/>
        <family val="2"/>
      </rPr>
      <t>3</t>
    </r>
  </si>
  <si>
    <r>
      <t>140502c</t>
    </r>
    <r>
      <rPr>
        <sz val="10"/>
        <color theme="1"/>
        <rFont val="Arial"/>
        <family val="2"/>
      </rPr>
      <t>3</t>
    </r>
    <r>
      <rPr>
        <sz val="10"/>
        <color theme="1"/>
        <rFont val="Arial"/>
        <family val="2"/>
      </rPr>
      <t>3</t>
    </r>
  </si>
  <si>
    <r>
      <t>150502c</t>
    </r>
    <r>
      <rPr>
        <sz val="10"/>
        <color theme="1"/>
        <rFont val="Arial"/>
        <family val="2"/>
      </rPr>
      <t>33</t>
    </r>
  </si>
  <si>
    <r>
      <t>150501c</t>
    </r>
    <r>
      <rPr>
        <sz val="10"/>
        <color theme="1"/>
        <rFont val="Arial"/>
        <family val="2"/>
      </rPr>
      <t>33</t>
    </r>
  </si>
  <si>
    <r>
      <t>160502c</t>
    </r>
    <r>
      <rPr>
        <sz val="10"/>
        <color theme="1"/>
        <rFont val="Arial"/>
        <family val="2"/>
      </rPr>
      <t>3</t>
    </r>
    <r>
      <rPr>
        <sz val="10"/>
        <color theme="1"/>
        <rFont val="Arial"/>
        <family val="2"/>
      </rPr>
      <t>3</t>
    </r>
  </si>
  <si>
    <r>
      <t>170503c</t>
    </r>
    <r>
      <rPr>
        <sz val="10"/>
        <color theme="1"/>
        <rFont val="Arial"/>
        <family val="2"/>
      </rPr>
      <t>2</t>
    </r>
    <r>
      <rPr>
        <sz val="10"/>
        <color theme="1"/>
        <rFont val="Arial"/>
        <family val="2"/>
      </rPr>
      <t>3</t>
    </r>
  </si>
  <si>
    <r>
      <t>170503c</t>
    </r>
    <r>
      <rPr>
        <sz val="10"/>
        <color theme="1"/>
        <rFont val="Arial"/>
        <family val="2"/>
      </rPr>
      <t>3</t>
    </r>
    <r>
      <rPr>
        <sz val="10"/>
        <color theme="1"/>
        <rFont val="Arial"/>
        <family val="2"/>
      </rPr>
      <t>3</t>
    </r>
  </si>
  <si>
    <r>
      <t>180502c</t>
    </r>
    <r>
      <rPr>
        <sz val="10"/>
        <color theme="1"/>
        <rFont val="Arial"/>
        <family val="2"/>
      </rPr>
      <t>33</t>
    </r>
  </si>
  <si>
    <r>
      <t>180503c</t>
    </r>
    <r>
      <rPr>
        <sz val="10"/>
        <color theme="1"/>
        <rFont val="Arial"/>
        <family val="2"/>
      </rPr>
      <t>33</t>
    </r>
  </si>
  <si>
    <r>
      <t>200504c</t>
    </r>
    <r>
      <rPr>
        <sz val="10"/>
        <color theme="1"/>
        <rFont val="Arial"/>
        <family val="2"/>
      </rPr>
      <t>44</t>
    </r>
  </si>
  <si>
    <r>
      <t>240504c</t>
    </r>
    <r>
      <rPr>
        <sz val="10"/>
        <color theme="1"/>
        <rFont val="Arial"/>
        <family val="2"/>
      </rPr>
      <t>4</t>
    </r>
    <r>
      <rPr>
        <sz val="10"/>
        <color theme="1"/>
        <rFont val="Arial"/>
        <family val="2"/>
      </rPr>
      <t>4</t>
    </r>
  </si>
  <si>
    <r>
      <t>240504c</t>
    </r>
    <r>
      <rPr>
        <sz val="10"/>
        <color theme="1"/>
        <rFont val="Arial"/>
        <family val="2"/>
      </rPr>
      <t>3</t>
    </r>
    <r>
      <rPr>
        <sz val="10"/>
        <color theme="1"/>
        <rFont val="Arial"/>
        <family val="2"/>
      </rPr>
      <t>3</t>
    </r>
  </si>
  <si>
    <r>
      <t>280504c</t>
    </r>
    <r>
      <rPr>
        <sz val="10"/>
        <color theme="1"/>
        <rFont val="Arial"/>
        <family val="2"/>
      </rPr>
      <t>2</t>
    </r>
    <r>
      <rPr>
        <sz val="10"/>
        <color theme="1"/>
        <rFont val="Arial"/>
        <family val="2"/>
      </rPr>
      <t>4</t>
    </r>
  </si>
  <si>
    <r>
      <t>300506c</t>
    </r>
    <r>
      <rPr>
        <sz val="10"/>
        <color theme="1"/>
        <rFont val="Arial"/>
        <family val="2"/>
      </rPr>
      <t>4</t>
    </r>
    <r>
      <rPr>
        <sz val="10"/>
        <color theme="1"/>
        <rFont val="Arial"/>
        <family val="2"/>
      </rPr>
      <t>4</t>
    </r>
  </si>
  <si>
    <r>
      <t>120201c</t>
    </r>
    <r>
      <rPr>
        <sz val="10"/>
        <color theme="1"/>
        <rFont val="Arial"/>
        <family val="2"/>
      </rPr>
      <t>3</t>
    </r>
    <r>
      <rPr>
        <sz val="10"/>
        <color theme="1"/>
        <rFont val="Arial"/>
        <family val="2"/>
      </rPr>
      <t>3</t>
    </r>
  </si>
  <si>
    <r>
      <t>120202c</t>
    </r>
    <r>
      <rPr>
        <sz val="10"/>
        <color theme="1"/>
        <rFont val="Arial"/>
        <family val="2"/>
      </rPr>
      <t>3</t>
    </r>
    <r>
      <rPr>
        <sz val="10"/>
        <color theme="1"/>
        <rFont val="Arial"/>
        <family val="2"/>
      </rPr>
      <t>3</t>
    </r>
  </si>
  <si>
    <r>
      <t>130202ca</t>
    </r>
    <r>
      <rPr>
        <sz val="10"/>
        <color theme="1"/>
        <rFont val="Arial"/>
        <family val="2"/>
      </rPr>
      <t>3</t>
    </r>
    <r>
      <rPr>
        <sz val="10"/>
        <color theme="1"/>
        <rFont val="Arial"/>
        <family val="2"/>
      </rPr>
      <t>4</t>
    </r>
  </si>
  <si>
    <r>
      <t>140202c</t>
    </r>
    <r>
      <rPr>
        <sz val="10"/>
        <color theme="1"/>
        <rFont val="Arial"/>
        <family val="2"/>
      </rPr>
      <t>3</t>
    </r>
    <r>
      <rPr>
        <sz val="10"/>
        <color theme="1"/>
        <rFont val="Arial"/>
        <family val="2"/>
      </rPr>
      <t>3</t>
    </r>
  </si>
  <si>
    <r>
      <t>140202cx1</t>
    </r>
    <r>
      <rPr>
        <sz val="10"/>
        <color theme="1"/>
        <rFont val="Arial"/>
        <family val="2"/>
      </rPr>
      <t>3</t>
    </r>
  </si>
  <si>
    <r>
      <t>150203c</t>
    </r>
    <r>
      <rPr>
        <sz val="10"/>
        <color theme="1"/>
        <rFont val="Arial"/>
        <family val="2"/>
      </rPr>
      <t>3</t>
    </r>
    <r>
      <rPr>
        <sz val="10"/>
        <color theme="1"/>
        <rFont val="Arial"/>
        <family val="2"/>
      </rPr>
      <t>3</t>
    </r>
  </si>
  <si>
    <r>
      <t>160202c</t>
    </r>
    <r>
      <rPr>
        <sz val="10"/>
        <color theme="1"/>
        <rFont val="Arial"/>
        <family val="2"/>
      </rPr>
      <t>4</t>
    </r>
    <r>
      <rPr>
        <sz val="10"/>
        <color theme="1"/>
        <rFont val="Arial"/>
        <family val="2"/>
      </rPr>
      <t>4</t>
    </r>
  </si>
  <si>
    <r>
      <t>170203c</t>
    </r>
    <r>
      <rPr>
        <sz val="10"/>
        <color theme="1"/>
        <rFont val="Arial"/>
        <family val="2"/>
      </rPr>
      <t>4</t>
    </r>
    <r>
      <rPr>
        <sz val="10"/>
        <color theme="1"/>
        <rFont val="Arial"/>
        <family val="2"/>
      </rPr>
      <t>4</t>
    </r>
  </si>
  <si>
    <r>
      <t>180203c</t>
    </r>
    <r>
      <rPr>
        <sz val="10"/>
        <color theme="1"/>
        <rFont val="Arial"/>
        <family val="2"/>
      </rPr>
      <t>3</t>
    </r>
    <r>
      <rPr>
        <sz val="10"/>
        <color theme="1"/>
        <rFont val="Arial"/>
        <family val="2"/>
      </rPr>
      <t>4</t>
    </r>
  </si>
  <si>
    <t>080301c23</t>
  </si>
  <si>
    <r>
      <t>090301c</t>
    </r>
    <r>
      <rPr>
        <sz val="10"/>
        <color theme="1"/>
        <rFont val="Arial"/>
        <family val="2"/>
      </rPr>
      <t>3</t>
    </r>
    <r>
      <rPr>
        <sz val="10"/>
        <color theme="1"/>
        <rFont val="Arial"/>
        <family val="2"/>
      </rPr>
      <t>3</t>
    </r>
  </si>
  <si>
    <r>
      <t>090301c</t>
    </r>
    <r>
      <rPr>
        <sz val="10"/>
        <color theme="1"/>
        <rFont val="Arial"/>
        <family val="2"/>
      </rPr>
      <t>2</t>
    </r>
    <r>
      <rPr>
        <sz val="10"/>
        <color theme="1"/>
        <rFont val="Arial"/>
        <family val="2"/>
      </rPr>
      <t>3</t>
    </r>
  </si>
  <si>
    <r>
      <t>100302c</t>
    </r>
    <r>
      <rPr>
        <sz val="10"/>
        <color theme="1"/>
        <rFont val="Arial"/>
        <family val="2"/>
      </rPr>
      <t>3</t>
    </r>
    <r>
      <rPr>
        <sz val="10"/>
        <color theme="1"/>
        <rFont val="Arial"/>
        <family val="2"/>
      </rPr>
      <t>3</t>
    </r>
  </si>
  <si>
    <r>
      <t>110301c</t>
    </r>
    <r>
      <rPr>
        <sz val="10"/>
        <color theme="1"/>
        <rFont val="Arial"/>
        <family val="2"/>
      </rPr>
      <t>2</t>
    </r>
    <r>
      <rPr>
        <sz val="10"/>
        <color theme="1"/>
        <rFont val="Arial"/>
        <family val="2"/>
      </rPr>
      <t>3</t>
    </r>
  </si>
  <si>
    <r>
      <t>120303c</t>
    </r>
    <r>
      <rPr>
        <sz val="10"/>
        <color theme="1"/>
        <rFont val="Arial"/>
        <family val="2"/>
      </rPr>
      <t>3</t>
    </r>
    <r>
      <rPr>
        <sz val="10"/>
        <color theme="1"/>
        <rFont val="Arial"/>
        <family val="2"/>
      </rPr>
      <t>3</t>
    </r>
  </si>
  <si>
    <r>
      <t>130301c</t>
    </r>
    <r>
      <rPr>
        <sz val="10"/>
        <color theme="1"/>
        <rFont val="Arial"/>
        <family val="2"/>
      </rPr>
      <t>4</t>
    </r>
    <r>
      <rPr>
        <sz val="10"/>
        <color theme="1"/>
        <rFont val="Arial"/>
        <family val="2"/>
      </rPr>
      <t>4</t>
    </r>
  </si>
  <si>
    <r>
      <t>150302c</t>
    </r>
    <r>
      <rPr>
        <sz val="10"/>
        <color theme="1"/>
        <rFont val="Arial"/>
        <family val="2"/>
      </rPr>
      <t>2</t>
    </r>
    <r>
      <rPr>
        <sz val="10"/>
        <color theme="1"/>
        <rFont val="Arial"/>
        <family val="2"/>
      </rPr>
      <t>3</t>
    </r>
  </si>
  <si>
    <r>
      <t>150303c</t>
    </r>
    <r>
      <rPr>
        <sz val="10"/>
        <color theme="1"/>
        <rFont val="Arial"/>
        <family val="2"/>
      </rPr>
      <t>4</t>
    </r>
    <r>
      <rPr>
        <sz val="10"/>
        <color theme="1"/>
        <rFont val="Arial"/>
        <family val="2"/>
      </rPr>
      <t>4</t>
    </r>
  </si>
  <si>
    <r>
      <t>160302c</t>
    </r>
    <r>
      <rPr>
        <sz val="10"/>
        <color theme="1"/>
        <rFont val="Arial"/>
        <family val="2"/>
      </rPr>
      <t>3</t>
    </r>
    <r>
      <rPr>
        <sz val="10"/>
        <color theme="1"/>
        <rFont val="Arial"/>
        <family val="2"/>
      </rPr>
      <t>4</t>
    </r>
  </si>
  <si>
    <r>
      <t>160303c</t>
    </r>
    <r>
      <rPr>
        <sz val="10"/>
        <color theme="1"/>
        <rFont val="Arial"/>
        <family val="2"/>
      </rPr>
      <t>3</t>
    </r>
    <r>
      <rPr>
        <sz val="10"/>
        <color theme="1"/>
        <rFont val="Arial"/>
        <family val="2"/>
      </rPr>
      <t>3</t>
    </r>
  </si>
  <si>
    <r>
      <t>160303cx</t>
    </r>
    <r>
      <rPr>
        <sz val="10"/>
        <color theme="1"/>
        <rFont val="Arial"/>
        <family val="2"/>
      </rPr>
      <t>2</t>
    </r>
    <r>
      <rPr>
        <sz val="10"/>
        <color theme="1"/>
        <rFont val="Arial"/>
        <family val="2"/>
      </rPr>
      <t>3</t>
    </r>
  </si>
  <si>
    <r>
      <t>170303c</t>
    </r>
    <r>
      <rPr>
        <sz val="10"/>
        <color theme="1"/>
        <rFont val="Arial"/>
        <family val="2"/>
      </rPr>
      <t>2</t>
    </r>
    <r>
      <rPr>
        <sz val="10"/>
        <color theme="1"/>
        <rFont val="Arial"/>
        <family val="2"/>
      </rPr>
      <t>3</t>
    </r>
  </si>
  <si>
    <r>
      <t>180303c</t>
    </r>
    <r>
      <rPr>
        <sz val="10"/>
        <color theme="1"/>
        <rFont val="Arial"/>
        <family val="2"/>
      </rPr>
      <t>4</t>
    </r>
    <r>
      <rPr>
        <sz val="10"/>
        <color theme="1"/>
        <rFont val="Arial"/>
        <family val="2"/>
      </rPr>
      <t>4</t>
    </r>
  </si>
  <si>
    <t>100401c22</t>
  </si>
  <si>
    <r>
      <t>100401c</t>
    </r>
    <r>
      <rPr>
        <sz val="10"/>
        <color theme="1"/>
        <rFont val="Arial"/>
        <family val="2"/>
      </rPr>
      <t>3</t>
    </r>
    <r>
      <rPr>
        <sz val="10"/>
        <color theme="1"/>
        <rFont val="Arial"/>
        <family val="2"/>
      </rPr>
      <t>3</t>
    </r>
  </si>
  <si>
    <r>
      <t>110401c</t>
    </r>
    <r>
      <rPr>
        <sz val="10"/>
        <color theme="1"/>
        <rFont val="Arial"/>
        <family val="2"/>
      </rPr>
      <t>33</t>
    </r>
  </si>
  <si>
    <r>
      <t>110402c</t>
    </r>
    <r>
      <rPr>
        <sz val="10"/>
        <color theme="1"/>
        <rFont val="Arial"/>
        <family val="2"/>
      </rPr>
      <t>3</t>
    </r>
    <r>
      <rPr>
        <sz val="10"/>
        <color theme="1"/>
        <rFont val="Arial"/>
        <family val="2"/>
      </rPr>
      <t>3</t>
    </r>
  </si>
  <si>
    <r>
      <t>120402c</t>
    </r>
    <r>
      <rPr>
        <sz val="10"/>
        <color theme="1"/>
        <rFont val="Arial"/>
        <family val="2"/>
      </rPr>
      <t>23</t>
    </r>
  </si>
  <si>
    <t>120403c23</t>
  </si>
  <si>
    <r>
      <t>130401c</t>
    </r>
    <r>
      <rPr>
        <sz val="10"/>
        <color theme="1"/>
        <rFont val="Arial"/>
        <family val="2"/>
      </rPr>
      <t>2</t>
    </r>
    <r>
      <rPr>
        <sz val="10"/>
        <color theme="1"/>
        <rFont val="Arial"/>
        <family val="2"/>
      </rPr>
      <t>3</t>
    </r>
  </si>
  <si>
    <r>
      <t>130402c</t>
    </r>
    <r>
      <rPr>
        <sz val="10"/>
        <color theme="1"/>
        <rFont val="Arial"/>
        <family val="2"/>
      </rPr>
      <t>3</t>
    </r>
    <r>
      <rPr>
        <sz val="10"/>
        <color theme="1"/>
        <rFont val="Arial"/>
        <family val="2"/>
      </rPr>
      <t>3</t>
    </r>
  </si>
  <si>
    <r>
      <t>140401c</t>
    </r>
    <r>
      <rPr>
        <sz val="10"/>
        <color theme="1"/>
        <rFont val="Arial"/>
        <family val="2"/>
      </rPr>
      <t>24</t>
    </r>
  </si>
  <si>
    <r>
      <t>140402c</t>
    </r>
    <r>
      <rPr>
        <sz val="10"/>
        <color theme="1"/>
        <rFont val="Arial"/>
        <family val="2"/>
      </rPr>
      <t>23</t>
    </r>
  </si>
  <si>
    <r>
      <t>150401c</t>
    </r>
    <r>
      <rPr>
        <sz val="10"/>
        <color theme="1"/>
        <rFont val="Arial"/>
        <family val="2"/>
      </rPr>
      <t>4</t>
    </r>
    <r>
      <rPr>
        <sz val="10"/>
        <color theme="1"/>
        <rFont val="Arial"/>
        <family val="2"/>
      </rPr>
      <t>4</t>
    </r>
  </si>
  <si>
    <r>
      <t>150402c</t>
    </r>
    <r>
      <rPr>
        <sz val="10"/>
        <color theme="1"/>
        <rFont val="Arial"/>
        <family val="2"/>
      </rPr>
      <t>3</t>
    </r>
    <r>
      <rPr>
        <sz val="10"/>
        <color theme="1"/>
        <rFont val="Arial"/>
        <family val="2"/>
      </rPr>
      <t>3</t>
    </r>
  </si>
  <si>
    <r>
      <t>150403</t>
    </r>
    <r>
      <rPr>
        <sz val="10"/>
        <color theme="1"/>
        <rFont val="Arial"/>
        <family val="2"/>
      </rPr>
      <t>c23</t>
    </r>
  </si>
  <si>
    <r>
      <t>150403c</t>
    </r>
    <r>
      <rPr>
        <sz val="10"/>
        <color theme="1"/>
        <rFont val="Arial"/>
        <family val="2"/>
      </rPr>
      <t>4</t>
    </r>
    <r>
      <rPr>
        <sz val="10"/>
        <color theme="1"/>
        <rFont val="Arial"/>
        <family val="2"/>
      </rPr>
      <t>4</t>
    </r>
  </si>
  <si>
    <r>
      <t>150403c</t>
    </r>
    <r>
      <rPr>
        <sz val="10"/>
        <color theme="1"/>
        <rFont val="Arial"/>
        <family val="2"/>
      </rPr>
      <t>3</t>
    </r>
    <r>
      <rPr>
        <sz val="10"/>
        <color theme="1"/>
        <rFont val="Arial"/>
        <family val="2"/>
      </rPr>
      <t>3</t>
    </r>
  </si>
  <si>
    <r>
      <t>160402c</t>
    </r>
    <r>
      <rPr>
        <sz val="10"/>
        <color theme="1"/>
        <rFont val="Arial"/>
        <family val="2"/>
      </rPr>
      <t>4</t>
    </r>
    <r>
      <rPr>
        <sz val="10"/>
        <color theme="1"/>
        <rFont val="Arial"/>
        <family val="2"/>
      </rPr>
      <t>4</t>
    </r>
  </si>
  <si>
    <r>
      <t>180403c</t>
    </r>
    <r>
      <rPr>
        <sz val="10"/>
        <color theme="1"/>
        <rFont val="Arial"/>
        <family val="2"/>
      </rPr>
      <t>44</t>
    </r>
  </si>
  <si>
    <r>
      <t>180403c</t>
    </r>
    <r>
      <rPr>
        <sz val="10"/>
        <color theme="1"/>
        <rFont val="Arial"/>
        <family val="2"/>
      </rPr>
      <t>3</t>
    </r>
    <r>
      <rPr>
        <sz val="10"/>
        <color theme="1"/>
        <rFont val="Arial"/>
        <family val="2"/>
      </rPr>
      <t>3</t>
    </r>
  </si>
  <si>
    <r>
      <t>200402c</t>
    </r>
    <r>
      <rPr>
        <sz val="10"/>
        <color theme="1"/>
        <rFont val="Arial"/>
        <family val="2"/>
      </rPr>
      <t>23</t>
    </r>
  </si>
  <si>
    <r>
      <t>200402c</t>
    </r>
    <r>
      <rPr>
        <sz val="10"/>
        <color theme="1"/>
        <rFont val="Arial"/>
        <family val="2"/>
      </rPr>
      <t>34</t>
    </r>
  </si>
  <si>
    <r>
      <t>200404c</t>
    </r>
    <r>
      <rPr>
        <sz val="10"/>
        <color theme="1"/>
        <rFont val="Arial"/>
        <family val="2"/>
      </rPr>
      <t>4</t>
    </r>
    <r>
      <rPr>
        <sz val="10"/>
        <color theme="1"/>
        <rFont val="Arial"/>
        <family val="2"/>
      </rPr>
      <t>4</t>
    </r>
  </si>
  <si>
    <t>240802c23</t>
  </si>
  <si>
    <t>280804c44</t>
  </si>
  <si>
    <t>&lt; display outside sheets</t>
  </si>
  <si>
    <t>enter listing # &gt;</t>
  </si>
  <si>
    <t>130202ca44</t>
  </si>
  <si>
    <t>140202cx44</t>
  </si>
  <si>
    <t>150503c33</t>
  </si>
  <si>
    <t>IF(BC11=0,0,RANK(BF11,$BF$11:$BF$100,0)+(COUNTIF($BF11:$BF$100,BF11)-1))</t>
  </si>
  <si>
    <t>140402c44</t>
  </si>
  <si>
    <r>
      <t>[gt</t>
    </r>
    <r>
      <rPr>
        <sz val="10"/>
        <color theme="1"/>
        <rFont val="Arial"/>
        <family val="2"/>
      </rPr>
      <t>0</t>
    </r>
    <r>
      <rPr>
        <sz val="10"/>
        <color theme="1"/>
        <rFont val="Arial"/>
        <family val="2"/>
      </rPr>
      <t>6;rd12;gm</t>
    </r>
    <r>
      <rPr>
        <sz val="10"/>
        <color theme="1"/>
        <rFont val="Arial"/>
        <family val="2"/>
      </rPr>
      <t>0</t>
    </r>
    <r>
      <rPr>
        <sz val="10"/>
        <color theme="1"/>
        <rFont val="Arial"/>
        <family val="2"/>
      </rPr>
      <t>42]</t>
    </r>
  </si>
  <si>
    <t>130401c33</t>
  </si>
  <si>
    <t>210403c44</t>
  </si>
  <si>
    <t>[gt06;rd16;gm063]</t>
  </si>
  <si>
    <t>210503c33</t>
  </si>
  <si>
    <t>180402c33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</si>
</sst>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Red]0"/>
  </numFmts>
  <fonts count="123" x14ac:knownFonts="1">
    <font>
      <sz val="10"/>
      <name val="Verdana"/>
    </font>
    <font>
      <sz val="12"/>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2"/>
      <color theme="1"/>
      <name val="Arial"/>
      <family val="2"/>
    </font>
    <font>
      <b/>
      <sz val="10"/>
      <name val="Verdana"/>
    </font>
    <font>
      <b/>
      <sz val="12"/>
      <color indexed="8"/>
      <name val="Arial"/>
    </font>
    <font>
      <b/>
      <sz val="12"/>
      <color indexed="10"/>
      <name val="Arial"/>
    </font>
    <font>
      <b/>
      <sz val="12"/>
      <color indexed="55"/>
      <name val="Arial"/>
    </font>
    <font>
      <b/>
      <sz val="12"/>
      <color indexed="21"/>
      <name val="Arial"/>
    </font>
    <font>
      <b/>
      <sz val="12"/>
      <name val="Arial"/>
    </font>
    <font>
      <sz val="12"/>
      <name val="Verdana"/>
    </font>
    <font>
      <b/>
      <i/>
      <sz val="10"/>
      <name val="Arial"/>
    </font>
    <font>
      <b/>
      <sz val="16"/>
      <name val="Arial"/>
    </font>
    <font>
      <sz val="10"/>
      <name val="Arial"/>
    </font>
    <font>
      <b/>
      <sz val="10"/>
      <name val="Arial"/>
    </font>
    <font>
      <b/>
      <sz val="12"/>
      <color indexed="9"/>
      <name val="Arial"/>
    </font>
    <font>
      <sz val="10"/>
      <name val="Verdana"/>
    </font>
    <font>
      <b/>
      <sz val="12"/>
      <color indexed="12"/>
      <name val="Arial"/>
    </font>
    <font>
      <b/>
      <sz val="12"/>
      <color indexed="22"/>
      <name val="Arial"/>
    </font>
    <font>
      <sz val="11"/>
      <name val="Arial"/>
    </font>
    <font>
      <b/>
      <sz val="11"/>
      <name val="Arial"/>
    </font>
    <font>
      <sz val="12"/>
      <name val="Arial"/>
    </font>
    <font>
      <b/>
      <sz val="14"/>
      <name val="Arial"/>
    </font>
    <font>
      <sz val="12"/>
      <color indexed="9"/>
      <name val="Arial"/>
    </font>
    <font>
      <sz val="12"/>
      <color indexed="63"/>
      <name val="Arial"/>
    </font>
    <font>
      <sz val="8"/>
      <name val="Arial"/>
    </font>
    <font>
      <sz val="10"/>
      <color indexed="22"/>
      <name val="Arial"/>
    </font>
    <font>
      <b/>
      <sz val="10"/>
      <color indexed="23"/>
      <name val="Arial"/>
    </font>
    <font>
      <sz val="10"/>
      <color indexed="55"/>
      <name val="Arial"/>
    </font>
    <font>
      <sz val="11"/>
      <color indexed="55"/>
      <name val="Arial"/>
    </font>
    <font>
      <sz val="8"/>
      <color indexed="55"/>
      <name val="Arial"/>
    </font>
    <font>
      <b/>
      <u/>
      <sz val="12"/>
      <color indexed="8"/>
      <name val="Arial"/>
    </font>
    <font>
      <u/>
      <sz val="10"/>
      <color theme="10"/>
      <name val="Verdana"/>
    </font>
    <font>
      <u/>
      <sz val="10"/>
      <color theme="11"/>
      <name val="Verdana"/>
    </font>
    <font>
      <b/>
      <sz val="12"/>
      <color theme="0"/>
      <name val="Arial"/>
      <family val="2"/>
    </font>
    <font>
      <b/>
      <sz val="12"/>
      <color theme="1"/>
      <name val="Arial"/>
      <family val="2"/>
    </font>
    <font>
      <sz val="12"/>
      <color theme="0"/>
      <name val="Arial"/>
      <family val="2"/>
    </font>
    <font>
      <sz val="10"/>
      <color theme="1"/>
      <name val="Arial"/>
    </font>
    <font>
      <sz val="10"/>
      <color rgb="FF000000"/>
      <name val="Arial"/>
    </font>
    <font>
      <sz val="16"/>
      <name val="Arial"/>
    </font>
    <font>
      <b/>
      <sz val="24"/>
      <name val="Arial"/>
    </font>
    <font>
      <b/>
      <sz val="11"/>
      <color theme="1"/>
      <name val="Arial"/>
    </font>
    <font>
      <sz val="11"/>
      <color theme="1"/>
      <name val="Arial"/>
    </font>
    <font>
      <b/>
      <sz val="11"/>
      <color rgb="FF000000"/>
      <name val="Arial"/>
    </font>
    <font>
      <sz val="6"/>
      <color theme="0"/>
      <name val="Arial"/>
    </font>
    <font>
      <sz val="10"/>
      <color theme="0" tint="-0.249977111117893"/>
      <name val="Arial"/>
    </font>
    <font>
      <sz val="11"/>
      <color theme="0" tint="-0.249977111117893"/>
      <name val="Arial"/>
    </font>
    <font>
      <b/>
      <i/>
      <sz val="12"/>
      <name val="Arial"/>
    </font>
    <font>
      <b/>
      <i/>
      <u/>
      <sz val="12"/>
      <name val="Arial"/>
    </font>
    <font>
      <sz val="8"/>
      <color theme="0" tint="-0.14999847407452621"/>
      <name val="Arial"/>
    </font>
    <font>
      <sz val="10"/>
      <color theme="0" tint="-0.14999847407452621"/>
      <name val="Arial"/>
    </font>
    <font>
      <b/>
      <sz val="8"/>
      <color theme="0" tint="-0.14999847407452621"/>
      <name val="Arial"/>
    </font>
    <font>
      <b/>
      <sz val="11"/>
      <color theme="0" tint="-0.14999847407452621"/>
      <name val="Arial"/>
    </font>
    <font>
      <b/>
      <u/>
      <sz val="12"/>
      <name val="Arial"/>
    </font>
    <font>
      <sz val="8"/>
      <name val="Verdana"/>
    </font>
    <font>
      <sz val="12"/>
      <color rgb="FFFF0000"/>
      <name val="Arial"/>
      <family val="2"/>
    </font>
    <font>
      <b/>
      <sz val="16"/>
      <color theme="1"/>
      <name val="Arial"/>
    </font>
    <font>
      <b/>
      <sz val="12"/>
      <color rgb="FFFF0000"/>
      <name val="Arial"/>
    </font>
    <font>
      <b/>
      <sz val="12"/>
      <color rgb="FF000000"/>
      <name val="Arial"/>
      <family val="2"/>
    </font>
    <font>
      <b/>
      <u/>
      <sz val="12"/>
      <color theme="1"/>
      <name val="Arial"/>
    </font>
    <font>
      <sz val="12"/>
      <color theme="0" tint="-0.34998626667073579"/>
      <name val="Arial"/>
    </font>
    <font>
      <sz val="12"/>
      <color theme="0" tint="-0.249977111117893"/>
      <name val="Arial"/>
    </font>
    <font>
      <b/>
      <sz val="10"/>
      <color theme="0"/>
      <name val="Arial"/>
      <family val="2"/>
    </font>
    <font>
      <sz val="10"/>
      <color theme="0"/>
      <name val="Arial"/>
      <family val="2"/>
    </font>
    <font>
      <b/>
      <sz val="12"/>
      <color theme="0" tint="-0.34998626667073579"/>
      <name val="Arial"/>
    </font>
    <font>
      <sz val="8"/>
      <color theme="0" tint="-0.249977111117893"/>
      <name val="Arial"/>
    </font>
    <font>
      <b/>
      <sz val="20"/>
      <name val="Arial"/>
    </font>
    <font>
      <i/>
      <sz val="10"/>
      <name val="Arial"/>
    </font>
    <font>
      <b/>
      <sz val="10"/>
      <color theme="0" tint="-0.249977111117893"/>
      <name val="Arial"/>
    </font>
    <font>
      <b/>
      <sz val="10"/>
      <color theme="0" tint="-0.14999847407452621"/>
      <name val="Arial"/>
    </font>
    <font>
      <sz val="12"/>
      <color theme="0" tint="-0.14999847407452621"/>
      <name val="Arial"/>
    </font>
    <font>
      <sz val="8"/>
      <color theme="0" tint="-4.9989318521683403E-2"/>
      <name val="Arial"/>
    </font>
    <font>
      <sz val="8"/>
      <color theme="1"/>
      <name val="Arial"/>
    </font>
    <font>
      <b/>
      <sz val="12"/>
      <color theme="0" tint="-0.249977111117893"/>
      <name val="Arial"/>
    </font>
    <font>
      <sz val="10"/>
      <color rgb="FFBFBFBF"/>
      <name val="Arial"/>
    </font>
  </fonts>
  <fills count="24">
    <fill>
      <patternFill patternType="none"/>
    </fill>
    <fill>
      <patternFill patternType="gray125"/>
    </fill>
    <fill>
      <patternFill patternType="solid">
        <fgColor indexed="10"/>
        <bgColor indexed="64"/>
      </patternFill>
    </fill>
    <fill>
      <patternFill patternType="solid">
        <fgColor indexed="8"/>
        <bgColor indexed="64"/>
      </patternFill>
    </fill>
    <fill>
      <patternFill patternType="solid">
        <fgColor indexed="12"/>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00"/>
        <bgColor indexed="64"/>
      </patternFill>
    </fill>
    <fill>
      <patternFill patternType="solid">
        <fgColor theme="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rgb="FF008000"/>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7" tint="0.39997558519241921"/>
        <bgColor indexed="64"/>
      </patternFill>
    </fill>
    <fill>
      <patternFill patternType="solid">
        <fgColor theme="3" tint="-0.249977111117893"/>
        <bgColor indexed="64"/>
      </patternFill>
    </fill>
    <fill>
      <patternFill patternType="solid">
        <fgColor theme="4" tint="-0.249977111117893"/>
        <bgColor indexed="64"/>
      </patternFill>
    </fill>
    <fill>
      <patternFill patternType="solid">
        <fgColor theme="5" tint="0.59999389629810485"/>
        <bgColor indexed="64"/>
      </patternFill>
    </fill>
    <fill>
      <patternFill patternType="solid">
        <fgColor theme="4" tint="0.59999389629810485"/>
        <bgColor indexed="64"/>
      </patternFill>
    </fill>
  </fills>
  <borders count="57">
    <border>
      <left/>
      <right/>
      <top/>
      <bottom/>
      <diagonal/>
    </border>
    <border>
      <left/>
      <right style="thin">
        <color auto="1"/>
      </right>
      <top/>
      <bottom/>
      <diagonal/>
    </border>
    <border>
      <left/>
      <right/>
      <top style="thin">
        <color auto="1"/>
      </top>
      <bottom/>
      <diagonal/>
    </border>
    <border>
      <left/>
      <right style="thin">
        <color auto="1"/>
      </right>
      <top/>
      <bottom style="thin">
        <color auto="1"/>
      </bottom>
      <diagonal/>
    </border>
    <border>
      <left/>
      <right/>
      <top/>
      <bottom style="thin">
        <color auto="1"/>
      </bottom>
      <diagonal/>
    </border>
    <border>
      <left style="medium">
        <color auto="1"/>
      </left>
      <right/>
      <top/>
      <bottom/>
      <diagonal/>
    </border>
    <border>
      <left/>
      <right style="medium">
        <color auto="1"/>
      </right>
      <top/>
      <bottom/>
      <diagonal/>
    </border>
    <border>
      <left style="medium">
        <color auto="1"/>
      </left>
      <right style="medium">
        <color auto="1"/>
      </right>
      <top style="medium">
        <color auto="1"/>
      </top>
      <bottom style="medium">
        <color auto="1"/>
      </bottom>
      <diagonal/>
    </border>
    <border>
      <left style="thin">
        <color auto="1"/>
      </left>
      <right/>
      <top/>
      <bottom/>
      <diagonal/>
    </border>
    <border>
      <left/>
      <right/>
      <top/>
      <bottom style="medium">
        <color auto="1"/>
      </bottom>
      <diagonal/>
    </border>
    <border>
      <left/>
      <right/>
      <top style="medium">
        <color auto="1"/>
      </top>
      <bottom/>
      <diagonal/>
    </border>
    <border>
      <left style="hair">
        <color indexed="55"/>
      </left>
      <right style="hair">
        <color indexed="55"/>
      </right>
      <top style="hair">
        <color indexed="55"/>
      </top>
      <bottom style="hair">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medium">
        <color auto="1"/>
      </left>
      <right/>
      <top/>
      <bottom style="thin">
        <color auto="1"/>
      </bottom>
      <diagonal/>
    </border>
    <border>
      <left style="dotted">
        <color auto="1"/>
      </left>
      <right style="dotted">
        <color auto="1"/>
      </right>
      <top style="dotted">
        <color auto="1"/>
      </top>
      <bottom style="dotted">
        <color auto="1"/>
      </bottom>
      <diagonal/>
    </border>
    <border>
      <left/>
      <right style="thin">
        <color auto="1"/>
      </right>
      <top style="medium">
        <color auto="1"/>
      </top>
      <bottom/>
      <diagonal/>
    </border>
    <border>
      <left style="thin">
        <color auto="1"/>
      </left>
      <right/>
      <top style="medium">
        <color auto="1"/>
      </top>
      <bottom/>
      <diagonal/>
    </border>
    <border>
      <left/>
      <right/>
      <top style="double">
        <color auto="1"/>
      </top>
      <bottom/>
      <diagonal/>
    </border>
    <border>
      <left style="thin">
        <color auto="1"/>
      </left>
      <right/>
      <top style="double">
        <color auto="1"/>
      </top>
      <bottom/>
      <diagonal/>
    </border>
    <border>
      <left/>
      <right/>
      <top/>
      <bottom style="double">
        <color auto="1"/>
      </bottom>
      <diagonal/>
    </border>
    <border>
      <left style="thin">
        <color auto="1"/>
      </left>
      <right/>
      <top/>
      <bottom style="double">
        <color auto="1"/>
      </bottom>
      <diagonal/>
    </border>
    <border>
      <left/>
      <right/>
      <top style="medium">
        <color auto="1"/>
      </top>
      <bottom style="double">
        <color auto="1"/>
      </bottom>
      <diagonal/>
    </border>
    <border>
      <left/>
      <right style="thin">
        <color auto="1"/>
      </right>
      <top style="thin">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style="thin">
        <color theme="1"/>
      </right>
      <top/>
      <bottom/>
      <diagonal/>
    </border>
    <border>
      <left/>
      <right style="thin">
        <color theme="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top/>
      <bottom style="medium">
        <color auto="1"/>
      </bottom>
      <diagonal/>
    </border>
    <border>
      <left/>
      <right/>
      <top style="medium">
        <color auto="1"/>
      </top>
      <bottom style="medium">
        <color auto="1"/>
      </bottom>
      <diagonal/>
    </border>
    <border>
      <left style="dotted">
        <color auto="1"/>
      </left>
      <right/>
      <top/>
      <bottom/>
      <diagonal/>
    </border>
    <border>
      <left/>
      <right/>
      <top/>
      <bottom style="thick">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medium">
        <color auto="1"/>
      </right>
      <top/>
      <bottom style="medium">
        <color auto="1"/>
      </bottom>
      <diagonal/>
    </border>
    <border>
      <left style="thin">
        <color rgb="FFFF0000"/>
      </left>
      <right style="thin">
        <color rgb="FFFF0000"/>
      </right>
      <top style="thin">
        <color rgb="FFFF0000"/>
      </top>
      <bottom style="thin">
        <color rgb="FFFF0000"/>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bottom style="thin">
        <color auto="1"/>
      </bottom>
      <diagonal/>
    </border>
    <border>
      <left style="medium">
        <color auto="1"/>
      </left>
      <right/>
      <top style="thin">
        <color auto="1"/>
      </top>
      <bottom/>
      <diagonal/>
    </border>
    <border>
      <left/>
      <right style="medium">
        <color auto="1"/>
      </right>
      <top style="thin">
        <color auto="1"/>
      </top>
      <bottom/>
      <diagonal/>
    </border>
    <border>
      <left style="thin">
        <color auto="1"/>
      </left>
      <right style="medium">
        <color auto="1"/>
      </right>
      <top style="thin">
        <color auto="1"/>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4005">
    <xf numFmtId="0" fontId="0" fillId="0" borderId="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cellStyleXfs>
  <cellXfs count="485">
    <xf numFmtId="0" fontId="0" fillId="0" borderId="0" xfId="0"/>
    <xf numFmtId="0" fontId="53" fillId="0" borderId="0" xfId="0" applyFont="1"/>
    <xf numFmtId="0" fontId="54" fillId="0" borderId="0" xfId="0" applyFont="1"/>
    <xf numFmtId="0" fontId="56" fillId="0" borderId="0" xfId="0" applyFont="1"/>
    <xf numFmtId="0" fontId="57" fillId="0" borderId="0" xfId="0" applyFont="1"/>
    <xf numFmtId="0" fontId="57" fillId="0" borderId="0" xfId="0" applyFont="1" applyAlignment="1">
      <alignment horizontal="center"/>
    </xf>
    <xf numFmtId="0" fontId="57" fillId="2" borderId="0" xfId="0" applyFont="1" applyFill="1"/>
    <xf numFmtId="0" fontId="57" fillId="3" borderId="0" xfId="0" applyFont="1" applyFill="1"/>
    <xf numFmtId="0" fontId="58" fillId="0" borderId="0" xfId="0" applyFont="1"/>
    <xf numFmtId="0" fontId="57" fillId="4" borderId="0" xfId="0" applyFont="1" applyFill="1"/>
    <xf numFmtId="0" fontId="57" fillId="0" borderId="0" xfId="0" applyFont="1" applyAlignment="1">
      <alignment horizontal="right"/>
    </xf>
    <xf numFmtId="0" fontId="57" fillId="0" borderId="0" xfId="0" applyFont="1" applyAlignment="1">
      <alignment horizontal="left"/>
    </xf>
    <xf numFmtId="0" fontId="57" fillId="3" borderId="0" xfId="0" applyFont="1" applyFill="1" applyAlignment="1">
      <alignment horizontal="center"/>
    </xf>
    <xf numFmtId="0" fontId="59" fillId="0" borderId="0" xfId="0" applyFont="1"/>
    <xf numFmtId="0" fontId="60" fillId="0" borderId="0" xfId="0" applyFont="1"/>
    <xf numFmtId="0" fontId="57" fillId="0" borderId="0" xfId="0" applyFont="1" applyAlignment="1" applyProtection="1">
      <alignment textRotation="90"/>
      <protection locked="0"/>
    </xf>
    <xf numFmtId="0" fontId="61" fillId="0" borderId="0" xfId="0" applyFont="1"/>
    <xf numFmtId="0" fontId="61" fillId="0" borderId="0" xfId="0" applyFont="1" applyAlignment="1">
      <alignment horizontal="center"/>
    </xf>
    <xf numFmtId="0" fontId="62" fillId="0" borderId="0" xfId="0" applyFont="1" applyAlignment="1">
      <alignment horizontal="center"/>
    </xf>
    <xf numFmtId="0" fontId="61" fillId="0" borderId="0" xfId="0" applyFont="1" applyAlignment="1">
      <alignment horizontal="right"/>
    </xf>
    <xf numFmtId="0" fontId="61" fillId="0" borderId="1" xfId="0" applyFont="1" applyBorder="1"/>
    <xf numFmtId="0" fontId="0" fillId="0" borderId="1" xfId="0" applyBorder="1"/>
    <xf numFmtId="0" fontId="61" fillId="0" borderId="2" xfId="0" applyFont="1" applyBorder="1"/>
    <xf numFmtId="0" fontId="0" fillId="0" borderId="3" xfId="0" applyBorder="1"/>
    <xf numFmtId="0" fontId="61" fillId="0" borderId="0" xfId="0" applyFont="1" applyBorder="1"/>
    <xf numFmtId="0" fontId="0" fillId="0" borderId="0" xfId="0" applyBorder="1"/>
    <xf numFmtId="0" fontId="62" fillId="0" borderId="0" xfId="0" applyFont="1" applyBorder="1" applyAlignment="1">
      <alignment horizontal="center"/>
    </xf>
    <xf numFmtId="0" fontId="0" fillId="0" borderId="4" xfId="0" applyBorder="1"/>
    <xf numFmtId="0" fontId="61" fillId="0" borderId="0" xfId="0" applyFont="1" applyBorder="1" applyAlignment="1">
      <alignment horizontal="center"/>
    </xf>
    <xf numFmtId="0" fontId="62" fillId="0" borderId="3" xfId="0" applyFont="1" applyBorder="1" applyAlignment="1">
      <alignment horizontal="center"/>
    </xf>
    <xf numFmtId="0" fontId="62" fillId="0" borderId="0" xfId="0" applyFont="1"/>
    <xf numFmtId="0" fontId="62" fillId="0" borderId="0" xfId="0" applyFont="1" applyBorder="1"/>
    <xf numFmtId="0" fontId="62" fillId="0" borderId="1" xfId="0" applyFont="1" applyBorder="1"/>
    <xf numFmtId="0" fontId="52" fillId="0" borderId="0" xfId="0" applyFont="1"/>
    <xf numFmtId="0" fontId="52" fillId="0" borderId="0" xfId="0" applyFont="1" applyBorder="1"/>
    <xf numFmtId="0" fontId="62" fillId="0" borderId="4" xfId="0" applyFont="1" applyBorder="1" applyAlignment="1">
      <alignment horizontal="center"/>
    </xf>
    <xf numFmtId="0" fontId="0" fillId="3" borderId="0" xfId="0" applyFill="1"/>
    <xf numFmtId="0" fontId="57" fillId="0" borderId="0" xfId="0" applyFont="1" applyFill="1"/>
    <xf numFmtId="0" fontId="57" fillId="0" borderId="0" xfId="0" applyFont="1" applyFill="1" applyBorder="1"/>
    <xf numFmtId="0" fontId="57" fillId="0" borderId="0" xfId="0" applyFont="1" applyFill="1" applyBorder="1" applyAlignment="1">
      <alignment horizontal="center"/>
    </xf>
    <xf numFmtId="0" fontId="64" fillId="0" borderId="0" xfId="0" applyFont="1" applyFill="1" applyBorder="1"/>
    <xf numFmtId="0" fontId="58" fillId="0" borderId="0" xfId="0" applyFont="1" applyFill="1" applyBorder="1"/>
    <xf numFmtId="0" fontId="57" fillId="0" borderId="0" xfId="0" applyFont="1" applyFill="1" applyBorder="1" applyAlignment="1">
      <alignment horizontal="right"/>
    </xf>
    <xf numFmtId="0" fontId="57" fillId="0" borderId="0" xfId="0" applyFont="1" applyFill="1" applyBorder="1" applyAlignment="1">
      <alignment horizontal="left"/>
    </xf>
    <xf numFmtId="0" fontId="65" fillId="4" borderId="0" xfId="0" applyFont="1" applyFill="1"/>
    <xf numFmtId="0" fontId="63" fillId="0" borderId="0" xfId="0" applyFont="1"/>
    <xf numFmtId="0" fontId="0" fillId="0" borderId="2" xfId="0" applyBorder="1"/>
    <xf numFmtId="0" fontId="57" fillId="0" borderId="5" xfId="0" applyFont="1" applyBorder="1" applyAlignment="1">
      <alignment horizontal="center"/>
    </xf>
    <xf numFmtId="0" fontId="66" fillId="0" borderId="0" xfId="0" applyFont="1" applyAlignment="1">
      <alignment horizontal="left"/>
    </xf>
    <xf numFmtId="0" fontId="68" fillId="0" borderId="0" xfId="0" applyFont="1" applyAlignment="1">
      <alignment horizontal="right"/>
    </xf>
    <xf numFmtId="0" fontId="69" fillId="0" borderId="0" xfId="0" applyFont="1"/>
    <xf numFmtId="0" fontId="67" fillId="0" borderId="0" xfId="0" applyFont="1" applyAlignment="1">
      <alignment horizontal="center"/>
    </xf>
    <xf numFmtId="0" fontId="57" fillId="0" borderId="7" xfId="0" applyFont="1" applyBorder="1" applyAlignment="1">
      <alignment horizontal="center"/>
    </xf>
    <xf numFmtId="0" fontId="63" fillId="3" borderId="7" xfId="0" applyFont="1" applyFill="1" applyBorder="1" applyAlignment="1">
      <alignment horizontal="center"/>
    </xf>
    <xf numFmtId="0" fontId="70" fillId="0" borderId="0" xfId="0" applyFont="1" applyAlignment="1"/>
    <xf numFmtId="0" fontId="0" fillId="0" borderId="0" xfId="0" applyAlignment="1"/>
    <xf numFmtId="0" fontId="71" fillId="0" borderId="0" xfId="0" applyFont="1"/>
    <xf numFmtId="0" fontId="72" fillId="0" borderId="0" xfId="0" applyFont="1"/>
    <xf numFmtId="0" fontId="62" fillId="0" borderId="0" xfId="0" applyFont="1" applyAlignment="1">
      <alignment horizontal="right"/>
    </xf>
    <xf numFmtId="0" fontId="74" fillId="0" borderId="0" xfId="0" applyFont="1"/>
    <xf numFmtId="0" fontId="74" fillId="0" borderId="0" xfId="0" applyFont="1" applyAlignment="1">
      <alignment horizontal="center"/>
    </xf>
    <xf numFmtId="0" fontId="57" fillId="0" borderId="0" xfId="0" applyFont="1" applyAlignment="1">
      <alignment horizontal="left" textRotation="45"/>
    </xf>
    <xf numFmtId="0" fontId="67" fillId="0" borderId="0" xfId="0" applyFont="1" applyAlignment="1">
      <alignment horizontal="center" wrapText="1"/>
    </xf>
    <xf numFmtId="0" fontId="69" fillId="0" borderId="0" xfId="0" applyFont="1" applyAlignment="1">
      <alignment horizontal="center"/>
    </xf>
    <xf numFmtId="0" fontId="57" fillId="0" borderId="9" xfId="0" applyFont="1" applyBorder="1"/>
    <xf numFmtId="0" fontId="69" fillId="0" borderId="9" xfId="0" applyFont="1" applyBorder="1" applyAlignment="1">
      <alignment horizontal="center"/>
    </xf>
    <xf numFmtId="0" fontId="69" fillId="0" borderId="9" xfId="0" applyFont="1" applyBorder="1"/>
    <xf numFmtId="0" fontId="57" fillId="0" borderId="9" xfId="0" applyFont="1" applyBorder="1" applyAlignment="1">
      <alignment horizontal="left"/>
    </xf>
    <xf numFmtId="0" fontId="69" fillId="0" borderId="0" xfId="0" applyFont="1" applyBorder="1"/>
    <xf numFmtId="0" fontId="75" fillId="0" borderId="0" xfId="0" applyFont="1" applyAlignment="1">
      <alignment horizontal="center"/>
    </xf>
    <xf numFmtId="0" fontId="76" fillId="0" borderId="11" xfId="0" applyFont="1" applyBorder="1" applyAlignment="1" applyProtection="1">
      <alignment horizontal="center"/>
      <protection locked="0"/>
    </xf>
    <xf numFmtId="0" fontId="55" fillId="0" borderId="0" xfId="0" applyFont="1" applyAlignment="1">
      <alignment horizontal="center"/>
    </xf>
    <xf numFmtId="0" fontId="77" fillId="0" borderId="0" xfId="0" applyFont="1" applyAlignment="1">
      <alignment horizontal="center"/>
    </xf>
    <xf numFmtId="0" fontId="78" fillId="0" borderId="0" xfId="0" applyFont="1" applyAlignment="1">
      <alignment horizontal="center"/>
    </xf>
    <xf numFmtId="0" fontId="70" fillId="0" borderId="0" xfId="0" applyFont="1" applyProtection="1"/>
    <xf numFmtId="0" fontId="71" fillId="0" borderId="13" xfId="0" applyFont="1" applyBorder="1"/>
    <xf numFmtId="0" fontId="71" fillId="0" borderId="14" xfId="0" applyFont="1" applyBorder="1"/>
    <xf numFmtId="0" fontId="57" fillId="0" borderId="0" xfId="0" applyFont="1" applyProtection="1"/>
    <xf numFmtId="164" fontId="57" fillId="0" borderId="0" xfId="0" applyNumberFormat="1" applyFont="1" applyAlignment="1" applyProtection="1">
      <alignment horizontal="center"/>
    </xf>
    <xf numFmtId="0" fontId="57" fillId="0" borderId="0" xfId="0" applyFont="1" applyAlignment="1" applyProtection="1">
      <alignment horizontal="left"/>
    </xf>
    <xf numFmtId="0" fontId="57" fillId="0" borderId="5" xfId="0" applyFont="1" applyBorder="1" applyProtection="1"/>
    <xf numFmtId="0" fontId="57" fillId="0" borderId="0" xfId="0" applyFont="1" applyAlignment="1" applyProtection="1">
      <alignment horizontal="center"/>
    </xf>
    <xf numFmtId="0" fontId="66" fillId="0" borderId="0" xfId="0" applyFont="1" applyBorder="1" applyProtection="1"/>
    <xf numFmtId="164" fontId="57" fillId="0" borderId="5" xfId="0" applyNumberFormat="1" applyFont="1" applyBorder="1" applyAlignment="1" applyProtection="1">
      <alignment horizontal="center"/>
    </xf>
    <xf numFmtId="164" fontId="57" fillId="0" borderId="6" xfId="0" applyNumberFormat="1" applyFont="1" applyBorder="1" applyAlignment="1" applyProtection="1">
      <alignment horizontal="center"/>
    </xf>
    <xf numFmtId="0" fontId="63" fillId="0" borderId="0" xfId="0" applyFont="1" applyAlignment="1">
      <alignment horizontal="center"/>
    </xf>
    <xf numFmtId="0" fontId="57" fillId="0" borderId="0" xfId="0" applyFont="1" applyAlignment="1">
      <alignment horizontal="left"/>
    </xf>
    <xf numFmtId="0" fontId="85" fillId="0" borderId="0" xfId="0" applyFont="1"/>
    <xf numFmtId="0" fontId="85" fillId="0" borderId="0" xfId="0" applyFont="1" applyAlignment="1">
      <alignment horizontal="center"/>
    </xf>
    <xf numFmtId="0" fontId="85" fillId="0" borderId="0" xfId="0" applyFont="1" applyAlignment="1">
      <alignment horizontal="left"/>
    </xf>
    <xf numFmtId="0" fontId="85" fillId="0" borderId="6" xfId="0" applyFont="1" applyBorder="1" applyAlignment="1">
      <alignment horizontal="center"/>
    </xf>
    <xf numFmtId="0" fontId="85" fillId="0" borderId="5" xfId="0" applyFont="1" applyBorder="1" applyAlignment="1">
      <alignment horizontal="center"/>
    </xf>
    <xf numFmtId="0" fontId="85" fillId="0" borderId="4" xfId="0" applyFont="1" applyBorder="1" applyAlignment="1">
      <alignment horizontal="left"/>
    </xf>
    <xf numFmtId="0" fontId="85" fillId="0" borderId="0" xfId="0" applyFont="1" applyBorder="1" applyAlignment="1">
      <alignment horizontal="center"/>
    </xf>
    <xf numFmtId="0" fontId="85" fillId="0" borderId="0" xfId="0" applyFont="1" applyBorder="1" applyAlignment="1">
      <alignment horizontal="left"/>
    </xf>
    <xf numFmtId="0" fontId="85" fillId="0" borderId="0" xfId="0" applyFont="1" applyBorder="1"/>
    <xf numFmtId="0" fontId="86" fillId="0" borderId="0" xfId="0" applyFont="1" applyAlignment="1">
      <alignment horizontal="left"/>
    </xf>
    <xf numFmtId="0" fontId="86" fillId="0" borderId="0" xfId="0" applyFont="1"/>
    <xf numFmtId="0" fontId="85" fillId="0" borderId="5" xfId="0" applyFont="1" applyBorder="1" applyAlignment="1">
      <alignment horizontal="left"/>
    </xf>
    <xf numFmtId="0" fontId="85" fillId="0" borderId="15" xfId="0" applyFont="1" applyBorder="1" applyAlignment="1">
      <alignment horizontal="left"/>
    </xf>
    <xf numFmtId="0" fontId="87" fillId="0" borderId="0" xfId="0" applyFont="1"/>
    <xf numFmtId="0" fontId="88" fillId="0" borderId="0" xfId="0" applyFont="1"/>
    <xf numFmtId="0" fontId="89" fillId="0" borderId="0" xfId="0" applyFont="1"/>
    <xf numFmtId="0" fontId="83" fillId="0" borderId="0" xfId="0" applyFont="1" applyAlignment="1">
      <alignment horizontal="right"/>
    </xf>
    <xf numFmtId="0" fontId="83" fillId="5" borderId="16" xfId="0" applyFont="1" applyFill="1" applyBorder="1" applyAlignment="1" applyProtection="1">
      <alignment horizontal="center"/>
      <protection locked="0"/>
    </xf>
    <xf numFmtId="0" fontId="82" fillId="6" borderId="0" xfId="0" applyFont="1" applyFill="1" applyAlignment="1">
      <alignment horizontal="center"/>
    </xf>
    <xf numFmtId="0" fontId="83" fillId="0" borderId="0" xfId="0" applyFont="1" applyAlignment="1">
      <alignment horizontal="center"/>
    </xf>
    <xf numFmtId="0" fontId="83" fillId="0" borderId="0" xfId="0" applyFont="1"/>
    <xf numFmtId="0" fontId="83" fillId="0" borderId="16" xfId="0" applyFont="1" applyBorder="1" applyAlignment="1" applyProtection="1">
      <alignment horizontal="center"/>
      <protection locked="0"/>
    </xf>
    <xf numFmtId="0" fontId="83" fillId="0" borderId="9" xfId="0" applyFont="1" applyBorder="1" applyAlignment="1">
      <alignment horizontal="center"/>
    </xf>
    <xf numFmtId="0" fontId="89" fillId="0" borderId="0" xfId="0" applyFont="1" applyBorder="1" applyAlignment="1">
      <alignment horizontal="left"/>
    </xf>
    <xf numFmtId="0" fontId="89" fillId="0" borderId="0" xfId="0" applyFont="1" applyAlignment="1">
      <alignment horizontal="left"/>
    </xf>
    <xf numFmtId="164" fontId="89" fillId="0" borderId="0" xfId="0" applyNumberFormat="1" applyFont="1" applyAlignment="1">
      <alignment horizontal="center"/>
    </xf>
    <xf numFmtId="0" fontId="89" fillId="0" borderId="9" xfId="0" applyFont="1" applyBorder="1" applyAlignment="1">
      <alignment horizontal="center"/>
    </xf>
    <xf numFmtId="0" fontId="61" fillId="0" borderId="9" xfId="0" applyFont="1" applyBorder="1"/>
    <xf numFmtId="0" fontId="90" fillId="0" borderId="0" xfId="0" applyFont="1"/>
    <xf numFmtId="0" fontId="68" fillId="0" borderId="9" xfId="0" applyFont="1" applyBorder="1" applyAlignment="1">
      <alignment horizontal="center"/>
    </xf>
    <xf numFmtId="0" fontId="89" fillId="0" borderId="9" xfId="0" applyFont="1" applyFill="1" applyBorder="1" applyAlignment="1">
      <alignment horizontal="center"/>
    </xf>
    <xf numFmtId="0" fontId="89" fillId="0" borderId="9" xfId="0" applyFont="1" applyFill="1" applyBorder="1" applyAlignment="1">
      <alignment horizontal="left"/>
    </xf>
    <xf numFmtId="0" fontId="90" fillId="0" borderId="9" xfId="0" applyFont="1" applyBorder="1"/>
    <xf numFmtId="0" fontId="89" fillId="0" borderId="17" xfId="0" applyFont="1" applyBorder="1" applyAlignment="1">
      <alignment horizontal="center"/>
    </xf>
    <xf numFmtId="0" fontId="89" fillId="0" borderId="0" xfId="0" applyFont="1" applyAlignment="1">
      <alignment horizontal="center"/>
    </xf>
    <xf numFmtId="0" fontId="68" fillId="0" borderId="0" xfId="0" applyFont="1" applyAlignment="1">
      <alignment horizontal="center"/>
    </xf>
    <xf numFmtId="0" fontId="68" fillId="0" borderId="18" xfId="0" applyFont="1" applyBorder="1" applyAlignment="1">
      <alignment horizontal="center"/>
    </xf>
    <xf numFmtId="0" fontId="73" fillId="0" borderId="0" xfId="0" applyFont="1" applyAlignment="1">
      <alignment horizontal="center"/>
    </xf>
    <xf numFmtId="0" fontId="89" fillId="0" borderId="0" xfId="0" applyFont="1" applyAlignment="1">
      <alignment horizontal="right"/>
    </xf>
    <xf numFmtId="0" fontId="89" fillId="0" borderId="1" xfId="0" applyFont="1" applyBorder="1" applyAlignment="1">
      <alignment horizontal="center"/>
    </xf>
    <xf numFmtId="0" fontId="68" fillId="0" borderId="8" xfId="0" applyFont="1" applyBorder="1" applyAlignment="1">
      <alignment horizontal="center"/>
    </xf>
    <xf numFmtId="0" fontId="89" fillId="0" borderId="8" xfId="0" applyFont="1" applyBorder="1" applyAlignment="1">
      <alignment horizontal="center"/>
    </xf>
    <xf numFmtId="0" fontId="89" fillId="0" borderId="8" xfId="0" applyFont="1" applyBorder="1"/>
    <xf numFmtId="0" fontId="61" fillId="0" borderId="19" xfId="0" applyFont="1" applyBorder="1"/>
    <xf numFmtId="0" fontId="89" fillId="0" borderId="19" xfId="0" applyFont="1" applyBorder="1" applyAlignment="1">
      <alignment horizontal="right"/>
    </xf>
    <xf numFmtId="0" fontId="89" fillId="0" borderId="20" xfId="0" applyFont="1" applyBorder="1" applyAlignment="1">
      <alignment horizontal="center"/>
    </xf>
    <xf numFmtId="0" fontId="89" fillId="0" borderId="19" xfId="0" applyFont="1" applyBorder="1" applyAlignment="1">
      <alignment horizontal="center"/>
    </xf>
    <xf numFmtId="0" fontId="61" fillId="0" borderId="21" xfId="0" applyFont="1" applyBorder="1"/>
    <xf numFmtId="0" fontId="89" fillId="0" borderId="21" xfId="0" applyFont="1" applyBorder="1" applyAlignment="1">
      <alignment horizontal="right"/>
    </xf>
    <xf numFmtId="0" fontId="89" fillId="0" borderId="22" xfId="0" applyFont="1" applyBorder="1" applyAlignment="1">
      <alignment horizontal="center"/>
    </xf>
    <xf numFmtId="0" fontId="89" fillId="0" borderId="21" xfId="0" applyFont="1" applyBorder="1" applyAlignment="1">
      <alignment horizontal="center"/>
    </xf>
    <xf numFmtId="0" fontId="91" fillId="0" borderId="19" xfId="0" applyFont="1" applyBorder="1" applyAlignment="1">
      <alignment horizontal="right"/>
    </xf>
    <xf numFmtId="0" fontId="91" fillId="0" borderId="21" xfId="0" applyFont="1" applyBorder="1" applyAlignment="1">
      <alignment horizontal="right"/>
    </xf>
    <xf numFmtId="0" fontId="89" fillId="0" borderId="10" xfId="0" applyFont="1" applyBorder="1" applyAlignment="1">
      <alignment horizontal="left"/>
    </xf>
    <xf numFmtId="0" fontId="61" fillId="0" borderId="10" xfId="0" applyFont="1" applyBorder="1"/>
    <xf numFmtId="0" fontId="89" fillId="0" borderId="23" xfId="0" applyFont="1" applyBorder="1" applyAlignment="1">
      <alignment horizontal="center"/>
    </xf>
    <xf numFmtId="0" fontId="57" fillId="0" borderId="6" xfId="0" applyFont="1" applyBorder="1" applyAlignment="1" applyProtection="1">
      <alignment horizontal="left"/>
    </xf>
    <xf numFmtId="0" fontId="84" fillId="0" borderId="0" xfId="0" applyFont="1"/>
    <xf numFmtId="0" fontId="92" fillId="0" borderId="0" xfId="0" applyFont="1" applyAlignment="1"/>
    <xf numFmtId="0" fontId="84" fillId="0" borderId="12" xfId="0" applyFont="1" applyBorder="1" applyAlignment="1">
      <alignment horizontal="center"/>
    </xf>
    <xf numFmtId="0" fontId="60" fillId="0" borderId="0" xfId="0" applyFont="1" applyAlignment="1">
      <alignment horizontal="left"/>
    </xf>
    <xf numFmtId="0" fontId="94" fillId="0" borderId="0" xfId="0" applyFont="1" applyAlignment="1">
      <alignment horizontal="center"/>
    </xf>
    <xf numFmtId="0" fontId="69" fillId="0" borderId="10" xfId="0" applyFont="1" applyBorder="1" applyAlignment="1">
      <alignment horizontal="center"/>
    </xf>
    <xf numFmtId="0" fontId="69" fillId="0" borderId="0" xfId="0" applyFont="1" applyAlignment="1">
      <alignment horizontal="left"/>
    </xf>
    <xf numFmtId="0" fontId="69" fillId="0" borderId="0" xfId="0" applyFont="1" applyAlignment="1">
      <alignment horizontal="right"/>
    </xf>
    <xf numFmtId="0" fontId="57" fillId="0" borderId="9" xfId="0" applyFont="1" applyBorder="1" applyAlignment="1">
      <alignment horizontal="center"/>
    </xf>
    <xf numFmtId="0" fontId="68" fillId="0" borderId="9" xfId="0" applyFont="1" applyBorder="1"/>
    <xf numFmtId="0" fontId="93" fillId="0" borderId="0" xfId="0" applyFont="1" applyAlignment="1">
      <alignment horizontal="center"/>
    </xf>
    <xf numFmtId="0" fontId="69" fillId="0" borderId="4" xfId="0" applyFont="1" applyBorder="1"/>
    <xf numFmtId="0" fontId="68" fillId="0" borderId="0" xfId="0" applyFont="1" applyAlignment="1">
      <alignment horizontal="left"/>
    </xf>
    <xf numFmtId="0" fontId="97" fillId="0" borderId="0" xfId="0" applyFont="1" applyAlignment="1">
      <alignment horizontal="center"/>
    </xf>
    <xf numFmtId="0" fontId="98" fillId="0" borderId="0" xfId="0" applyFont="1"/>
    <xf numFmtId="0" fontId="99" fillId="0" borderId="0" xfId="0" applyFont="1" applyAlignment="1">
      <alignment horizontal="left"/>
    </xf>
    <xf numFmtId="0" fontId="100" fillId="0" borderId="0" xfId="0" applyFont="1" applyAlignment="1">
      <alignment horizontal="center"/>
    </xf>
    <xf numFmtId="3" fontId="69" fillId="0" borderId="0" xfId="0" applyNumberFormat="1" applyFont="1"/>
    <xf numFmtId="0" fontId="104" fillId="0" borderId="0" xfId="0" applyFont="1"/>
    <xf numFmtId="0" fontId="105" fillId="0" borderId="0" xfId="0" applyFont="1" applyAlignment="1">
      <alignment horizontal="center"/>
    </xf>
    <xf numFmtId="0" fontId="106" fillId="0" borderId="0" xfId="0" applyFont="1" applyAlignment="1">
      <alignment horizontal="center"/>
    </xf>
    <xf numFmtId="0" fontId="106" fillId="0" borderId="0" xfId="0" applyFont="1" applyAlignment="1">
      <alignment horizontal="left"/>
    </xf>
    <xf numFmtId="0" fontId="103" fillId="0" borderId="0" xfId="0" applyFont="1"/>
    <xf numFmtId="0" fontId="82" fillId="8" borderId="0" xfId="0" applyFont="1" applyFill="1" applyAlignment="1">
      <alignment horizontal="center"/>
    </xf>
    <xf numFmtId="0" fontId="83" fillId="0" borderId="0" xfId="0" applyFont="1" applyFill="1" applyBorder="1" applyAlignment="1">
      <alignment horizontal="center"/>
    </xf>
    <xf numFmtId="0" fontId="107" fillId="0" borderId="0" xfId="0" applyFont="1" applyFill="1" applyBorder="1" applyAlignment="1">
      <alignment horizontal="center"/>
    </xf>
    <xf numFmtId="0" fontId="83" fillId="0" borderId="10" xfId="0" applyFont="1" applyBorder="1" applyAlignment="1">
      <alignment horizontal="center"/>
    </xf>
    <xf numFmtId="0" fontId="83" fillId="0" borderId="0" xfId="0" applyFont="1" applyBorder="1" applyAlignment="1">
      <alignment horizontal="center"/>
    </xf>
    <xf numFmtId="0" fontId="108" fillId="0" borderId="0" xfId="0" applyFont="1" applyAlignment="1">
      <alignment horizontal="center"/>
    </xf>
    <xf numFmtId="3" fontId="108" fillId="0" borderId="0" xfId="0" applyNumberFormat="1" applyFont="1" applyAlignment="1">
      <alignment horizontal="center"/>
    </xf>
    <xf numFmtId="0" fontId="83" fillId="0" borderId="8" xfId="0" applyFont="1" applyBorder="1" applyAlignment="1">
      <alignment horizontal="center"/>
    </xf>
    <xf numFmtId="0" fontId="105" fillId="0" borderId="1" xfId="0" applyFont="1" applyBorder="1" applyAlignment="1">
      <alignment horizontal="center"/>
    </xf>
    <xf numFmtId="0" fontId="83" fillId="0" borderId="1" xfId="0" applyFont="1" applyBorder="1" applyAlignment="1">
      <alignment horizontal="center"/>
    </xf>
    <xf numFmtId="0" fontId="103" fillId="0" borderId="0" xfId="0" applyFont="1" applyAlignment="1">
      <alignment horizontal="center"/>
    </xf>
    <xf numFmtId="0" fontId="83" fillId="0" borderId="7" xfId="0" applyFont="1" applyBorder="1" applyAlignment="1">
      <alignment horizontal="center"/>
    </xf>
    <xf numFmtId="0" fontId="83" fillId="9" borderId="27" xfId="0" applyFont="1" applyFill="1" applyBorder="1" applyAlignment="1" applyProtection="1">
      <alignment horizontal="center"/>
      <protection locked="0"/>
    </xf>
    <xf numFmtId="0" fontId="106" fillId="9" borderId="27" xfId="0" applyFont="1" applyFill="1" applyBorder="1" applyAlignment="1" applyProtection="1">
      <alignment horizontal="center"/>
      <protection locked="0"/>
    </xf>
    <xf numFmtId="0" fontId="83" fillId="10" borderId="27" xfId="0" applyFont="1" applyFill="1" applyBorder="1" applyAlignment="1" applyProtection="1">
      <alignment horizontal="center"/>
      <protection locked="0"/>
    </xf>
    <xf numFmtId="0" fontId="106" fillId="10" borderId="27" xfId="0" applyFont="1" applyFill="1" applyBorder="1" applyAlignment="1" applyProtection="1">
      <alignment horizontal="center"/>
      <protection locked="0"/>
    </xf>
    <xf numFmtId="0" fontId="83" fillId="11" borderId="27" xfId="0" applyFont="1" applyFill="1" applyBorder="1" applyAlignment="1" applyProtection="1">
      <alignment horizontal="center"/>
      <protection locked="0"/>
    </xf>
    <xf numFmtId="0" fontId="106" fillId="11" borderId="27" xfId="0" applyFont="1" applyFill="1" applyBorder="1" applyAlignment="1" applyProtection="1">
      <alignment horizontal="center"/>
      <protection locked="0"/>
    </xf>
    <xf numFmtId="0" fontId="83" fillId="12" borderId="27" xfId="0" applyFont="1" applyFill="1" applyBorder="1" applyAlignment="1" applyProtection="1">
      <alignment horizontal="center"/>
      <protection locked="0"/>
    </xf>
    <xf numFmtId="0" fontId="106" fillId="12" borderId="27" xfId="0" applyFont="1" applyFill="1" applyBorder="1" applyAlignment="1" applyProtection="1">
      <alignment horizontal="center"/>
      <protection locked="0"/>
    </xf>
    <xf numFmtId="0" fontId="83" fillId="14" borderId="27" xfId="0" applyFont="1" applyFill="1" applyBorder="1" applyAlignment="1" applyProtection="1">
      <alignment horizontal="center"/>
      <protection locked="0"/>
    </xf>
    <xf numFmtId="0" fontId="83" fillId="7" borderId="27" xfId="0" applyFont="1" applyFill="1" applyBorder="1" applyAlignment="1" applyProtection="1">
      <alignment horizontal="center"/>
      <protection locked="0"/>
    </xf>
    <xf numFmtId="0" fontId="83" fillId="0" borderId="28" xfId="0" applyFont="1" applyFill="1" applyBorder="1" applyAlignment="1">
      <alignment horizontal="center"/>
    </xf>
    <xf numFmtId="0" fontId="83" fillId="0" borderId="8" xfId="0" applyFont="1" applyFill="1" applyBorder="1" applyAlignment="1" applyProtection="1">
      <alignment horizontal="right"/>
      <protection locked="0"/>
    </xf>
    <xf numFmtId="0" fontId="83" fillId="0" borderId="0" xfId="0" applyFont="1" applyFill="1" applyBorder="1" applyAlignment="1" applyProtection="1">
      <alignment horizontal="right"/>
      <protection locked="0"/>
    </xf>
    <xf numFmtId="0" fontId="83" fillId="0" borderId="1" xfId="0" applyFont="1" applyFill="1" applyBorder="1" applyAlignment="1" applyProtection="1">
      <alignment horizontal="left"/>
      <protection locked="0"/>
    </xf>
    <xf numFmtId="0" fontId="83" fillId="0" borderId="29" xfId="0" applyFont="1" applyFill="1" applyBorder="1" applyAlignment="1" applyProtection="1">
      <alignment horizontal="left"/>
      <protection locked="0"/>
    </xf>
    <xf numFmtId="0" fontId="83" fillId="0" borderId="8" xfId="0" applyFont="1" applyFill="1" applyBorder="1" applyAlignment="1">
      <alignment horizontal="right"/>
    </xf>
    <xf numFmtId="0" fontId="83" fillId="0" borderId="0" xfId="0" applyFont="1" applyFill="1" applyBorder="1" applyAlignment="1">
      <alignment horizontal="right"/>
    </xf>
    <xf numFmtId="0" fontId="83" fillId="0" borderId="1" xfId="0" applyFont="1" applyFill="1" applyBorder="1" applyAlignment="1">
      <alignment horizontal="left"/>
    </xf>
    <xf numFmtId="0" fontId="83" fillId="0" borderId="29" xfId="0" applyFont="1" applyFill="1" applyBorder="1" applyAlignment="1">
      <alignment horizontal="left"/>
    </xf>
    <xf numFmtId="0" fontId="83" fillId="0" borderId="8" xfId="0" applyFont="1" applyFill="1" applyBorder="1" applyAlignment="1" applyProtection="1">
      <alignment horizontal="right"/>
    </xf>
    <xf numFmtId="0" fontId="83" fillId="0" borderId="1" xfId="0" applyFont="1" applyFill="1" applyBorder="1" applyAlignment="1" applyProtection="1">
      <alignment horizontal="left"/>
    </xf>
    <xf numFmtId="0" fontId="83" fillId="0" borderId="0" xfId="0" applyFont="1" applyFill="1" applyBorder="1" applyAlignment="1" applyProtection="1">
      <alignment horizontal="right"/>
    </xf>
    <xf numFmtId="0" fontId="83" fillId="0" borderId="29" xfId="0" applyFont="1" applyFill="1" applyBorder="1" applyAlignment="1" applyProtection="1">
      <alignment horizontal="left"/>
    </xf>
    <xf numFmtId="0" fontId="83" fillId="0" borderId="27" xfId="0" applyFont="1" applyBorder="1" applyAlignment="1" applyProtection="1">
      <alignment horizontal="center"/>
    </xf>
    <xf numFmtId="0" fontId="83" fillId="9" borderId="27" xfId="0" applyFont="1" applyFill="1" applyBorder="1" applyAlignment="1" applyProtection="1">
      <alignment horizontal="center"/>
    </xf>
    <xf numFmtId="0" fontId="83" fillId="10" borderId="27" xfId="0" applyFont="1" applyFill="1" applyBorder="1" applyAlignment="1" applyProtection="1">
      <alignment horizontal="center"/>
    </xf>
    <xf numFmtId="0" fontId="83" fillId="11" borderId="27" xfId="0" applyFont="1" applyFill="1" applyBorder="1" applyAlignment="1" applyProtection="1">
      <alignment horizontal="center"/>
    </xf>
    <xf numFmtId="0" fontId="83" fillId="12" borderId="27" xfId="0" applyFont="1" applyFill="1" applyBorder="1" applyAlignment="1" applyProtection="1">
      <alignment horizontal="center"/>
    </xf>
    <xf numFmtId="0" fontId="51" fillId="0" borderId="0" xfId="0" applyFont="1" applyAlignment="1">
      <alignment horizontal="center"/>
    </xf>
    <xf numFmtId="0" fontId="105" fillId="0" borderId="0" xfId="0" applyFont="1" applyAlignment="1">
      <alignment horizontal="left"/>
    </xf>
    <xf numFmtId="0" fontId="109" fillId="0" borderId="0" xfId="0" applyFont="1" applyAlignment="1">
      <alignment horizontal="center"/>
    </xf>
    <xf numFmtId="0" fontId="69" fillId="0" borderId="0" xfId="0" applyFont="1" applyBorder="1" applyAlignment="1">
      <alignment horizontal="center"/>
    </xf>
    <xf numFmtId="3" fontId="57" fillId="0" borderId="0" xfId="0" applyNumberFormat="1" applyFont="1" applyAlignment="1">
      <alignment horizontal="center"/>
    </xf>
    <xf numFmtId="3" fontId="69" fillId="0" borderId="0" xfId="0" applyNumberFormat="1" applyFont="1" applyAlignment="1">
      <alignment horizontal="center"/>
    </xf>
    <xf numFmtId="0" fontId="69" fillId="0" borderId="0" xfId="0" applyFont="1" applyAlignment="1">
      <alignment textRotation="90"/>
    </xf>
    <xf numFmtId="0" fontId="69" fillId="0" borderId="0" xfId="0" applyFont="1" applyAlignment="1"/>
    <xf numFmtId="0" fontId="69" fillId="0" borderId="0" xfId="0" applyFont="1" applyFill="1" applyBorder="1" applyAlignment="1">
      <alignment horizontal="right"/>
    </xf>
    <xf numFmtId="0" fontId="69" fillId="0" borderId="0" xfId="0" applyFont="1" applyFill="1" applyBorder="1" applyAlignment="1">
      <alignment horizontal="left"/>
    </xf>
    <xf numFmtId="0" fontId="69" fillId="9" borderId="27" xfId="0" applyFont="1" applyFill="1" applyBorder="1"/>
    <xf numFmtId="0" fontId="69" fillId="10" borderId="27" xfId="0" applyFont="1" applyFill="1" applyBorder="1"/>
    <xf numFmtId="0" fontId="69" fillId="7" borderId="27" xfId="0" applyFont="1" applyFill="1" applyBorder="1"/>
    <xf numFmtId="0" fontId="69" fillId="11" borderId="27" xfId="0" applyFont="1" applyFill="1" applyBorder="1"/>
    <xf numFmtId="0" fontId="69" fillId="12" borderId="27" xfId="0" applyFont="1" applyFill="1" applyBorder="1"/>
    <xf numFmtId="0" fontId="69" fillId="13" borderId="27" xfId="0" applyFont="1" applyFill="1" applyBorder="1"/>
    <xf numFmtId="0" fontId="69" fillId="0" borderId="24" xfId="0" applyFont="1" applyBorder="1"/>
    <xf numFmtId="0" fontId="69" fillId="0" borderId="0" xfId="0" applyFont="1" applyFill="1" applyBorder="1" applyAlignment="1"/>
    <xf numFmtId="0" fontId="69" fillId="0" borderId="25" xfId="0" applyFont="1" applyFill="1" applyBorder="1" applyAlignment="1">
      <alignment horizontal="right"/>
    </xf>
    <xf numFmtId="0" fontId="69" fillId="0" borderId="26" xfId="0" applyFont="1" applyFill="1" applyBorder="1" applyAlignment="1">
      <alignment horizontal="left"/>
    </xf>
    <xf numFmtId="0" fontId="69" fillId="0" borderId="9" xfId="0" applyFont="1" applyFill="1" applyBorder="1" applyAlignment="1">
      <alignment horizontal="right"/>
    </xf>
    <xf numFmtId="0" fontId="69" fillId="0" borderId="30" xfId="0" applyFont="1" applyFill="1" applyBorder="1" applyAlignment="1">
      <alignment horizontal="left"/>
    </xf>
    <xf numFmtId="0" fontId="69" fillId="0" borderId="0" xfId="0" applyFont="1" applyFill="1" applyBorder="1"/>
    <xf numFmtId="0" fontId="57" fillId="0" borderId="0" xfId="0" applyFont="1" applyAlignment="1">
      <alignment vertical="center" wrapText="1"/>
    </xf>
    <xf numFmtId="0" fontId="50" fillId="0" borderId="0" xfId="0" applyFont="1"/>
    <xf numFmtId="0" fontId="85" fillId="0" borderId="15" xfId="0" applyFont="1" applyBorder="1"/>
    <xf numFmtId="0" fontId="85" fillId="0" borderId="4" xfId="0" applyFont="1" applyBorder="1"/>
    <xf numFmtId="0" fontId="49" fillId="0" borderId="0" xfId="0" applyFont="1"/>
    <xf numFmtId="0" fontId="85" fillId="0" borderId="5" xfId="0" applyFont="1" applyBorder="1"/>
    <xf numFmtId="0" fontId="48" fillId="0" borderId="5" xfId="0" applyFont="1" applyBorder="1" applyAlignment="1">
      <alignment horizontal="left"/>
    </xf>
    <xf numFmtId="0" fontId="47" fillId="0" borderId="5" xfId="0" applyFont="1" applyBorder="1" applyAlignment="1">
      <alignment horizontal="left"/>
    </xf>
    <xf numFmtId="0" fontId="73" fillId="0" borderId="0" xfId="0" applyFont="1"/>
    <xf numFmtId="0" fontId="110" fillId="0" borderId="31" xfId="0" applyFont="1" applyBorder="1" applyAlignment="1">
      <alignment horizontal="center"/>
    </xf>
    <xf numFmtId="0" fontId="110" fillId="0" borderId="32" xfId="0" applyFont="1" applyBorder="1" applyAlignment="1">
      <alignment horizontal="center"/>
    </xf>
    <xf numFmtId="0" fontId="110" fillId="0" borderId="33" xfId="0" applyFont="1" applyBorder="1" applyAlignment="1">
      <alignment horizontal="center"/>
    </xf>
    <xf numFmtId="0" fontId="110" fillId="0" borderId="1" xfId="0" applyFont="1" applyBorder="1" applyAlignment="1">
      <alignment horizontal="center"/>
    </xf>
    <xf numFmtId="0" fontId="61" fillId="0" borderId="6" xfId="0" applyFont="1" applyBorder="1"/>
    <xf numFmtId="0" fontId="110" fillId="0" borderId="34" xfId="0" applyFont="1" applyBorder="1" applyAlignment="1">
      <alignment horizontal="center"/>
    </xf>
    <xf numFmtId="0" fontId="110" fillId="0" borderId="26" xfId="0" applyFont="1" applyBorder="1" applyAlignment="1">
      <alignment horizontal="center"/>
    </xf>
    <xf numFmtId="0" fontId="110" fillId="0" borderId="35" xfId="0" applyFont="1" applyBorder="1" applyAlignment="1">
      <alignment horizontal="center"/>
    </xf>
    <xf numFmtId="0" fontId="98" fillId="0" borderId="0" xfId="0" applyFont="1" applyFill="1"/>
    <xf numFmtId="0" fontId="62" fillId="0" borderId="21" xfId="0" applyFont="1" applyBorder="1"/>
    <xf numFmtId="0" fontId="46" fillId="0" borderId="5" xfId="0" applyFont="1" applyBorder="1" applyAlignment="1">
      <alignment horizontal="left"/>
    </xf>
    <xf numFmtId="0" fontId="45" fillId="0" borderId="5" xfId="0" applyFont="1" applyBorder="1" applyAlignment="1">
      <alignment horizontal="left"/>
    </xf>
    <xf numFmtId="0" fontId="110" fillId="0" borderId="5" xfId="0" applyFont="1" applyBorder="1" applyAlignment="1">
      <alignment horizontal="center"/>
    </xf>
    <xf numFmtId="0" fontId="110" fillId="0" borderId="36" xfId="0" applyFont="1" applyBorder="1" applyAlignment="1">
      <alignment horizontal="center"/>
    </xf>
    <xf numFmtId="0" fontId="62" fillId="7" borderId="0" xfId="0" applyFont="1" applyFill="1" applyAlignment="1">
      <alignment horizontal="center"/>
    </xf>
    <xf numFmtId="0" fontId="111" fillId="15" borderId="0" xfId="0" applyFont="1" applyFill="1" applyAlignment="1">
      <alignment horizontal="center"/>
    </xf>
    <xf numFmtId="0" fontId="62" fillId="6" borderId="0" xfId="0" applyFont="1" applyFill="1" applyAlignment="1">
      <alignment horizontal="center"/>
    </xf>
    <xf numFmtId="0" fontId="62" fillId="16" borderId="0" xfId="0" applyFont="1" applyFill="1" applyAlignment="1">
      <alignment horizontal="center"/>
    </xf>
    <xf numFmtId="0" fontId="44" fillId="0" borderId="5" xfId="0" applyFont="1" applyBorder="1" applyAlignment="1">
      <alignment horizontal="left"/>
    </xf>
    <xf numFmtId="0" fontId="43" fillId="0" borderId="5" xfId="0" applyFont="1" applyBorder="1" applyAlignment="1">
      <alignment horizontal="left"/>
    </xf>
    <xf numFmtId="0" fontId="42" fillId="0" borderId="5" xfId="0" applyFont="1" applyBorder="1" applyAlignment="1">
      <alignment horizontal="left"/>
    </xf>
    <xf numFmtId="0" fontId="41" fillId="0" borderId="5" xfId="0" applyFont="1" applyBorder="1" applyAlignment="1">
      <alignment horizontal="left"/>
    </xf>
    <xf numFmtId="0" fontId="0" fillId="0" borderId="0" xfId="0" applyAlignment="1">
      <alignment horizontal="center"/>
    </xf>
    <xf numFmtId="0" fontId="0" fillId="0" borderId="4" xfId="0" applyBorder="1" applyAlignment="1">
      <alignment horizontal="center"/>
    </xf>
    <xf numFmtId="0" fontId="40" fillId="0" borderId="5" xfId="0" applyFont="1" applyBorder="1" applyAlignment="1">
      <alignment horizontal="left"/>
    </xf>
    <xf numFmtId="0" fontId="39" fillId="0" borderId="0" xfId="0" applyFont="1" applyBorder="1" applyAlignment="1">
      <alignment horizontal="left"/>
    </xf>
    <xf numFmtId="0" fontId="89" fillId="0" borderId="37" xfId="0" applyFont="1" applyBorder="1" applyAlignment="1">
      <alignment horizontal="center"/>
    </xf>
    <xf numFmtId="0" fontId="112" fillId="0" borderId="0" xfId="0" applyFont="1" applyAlignment="1" applyProtection="1">
      <alignment horizontal="right"/>
    </xf>
    <xf numFmtId="0" fontId="38" fillId="0" borderId="5" xfId="0" applyFont="1" applyBorder="1" applyAlignment="1">
      <alignment horizontal="left"/>
    </xf>
    <xf numFmtId="0" fontId="37" fillId="0" borderId="5" xfId="0" applyFont="1" applyBorder="1" applyAlignment="1">
      <alignment horizontal="left"/>
    </xf>
    <xf numFmtId="0" fontId="36" fillId="0" borderId="5" xfId="0" applyFont="1" applyBorder="1" applyAlignment="1">
      <alignment horizontal="left"/>
    </xf>
    <xf numFmtId="0" fontId="35" fillId="0" borderId="5" xfId="0" applyFont="1" applyBorder="1" applyAlignment="1">
      <alignment horizontal="left"/>
    </xf>
    <xf numFmtId="0" fontId="34" fillId="0" borderId="5" xfId="0" applyFont="1" applyBorder="1" applyAlignment="1">
      <alignment horizontal="left"/>
    </xf>
    <xf numFmtId="0" fontId="33" fillId="0" borderId="0" xfId="0" applyFont="1" applyAlignment="1">
      <alignment horizontal="left"/>
    </xf>
    <xf numFmtId="0" fontId="32" fillId="0" borderId="5" xfId="0" applyFont="1" applyBorder="1" applyAlignment="1">
      <alignment horizontal="left"/>
    </xf>
    <xf numFmtId="0" fontId="31" fillId="0" borderId="0" xfId="0" applyFont="1"/>
    <xf numFmtId="0" fontId="30" fillId="0" borderId="0" xfId="0" applyFont="1"/>
    <xf numFmtId="0" fontId="29" fillId="0" borderId="0" xfId="0" applyFont="1" applyAlignment="1">
      <alignment horizontal="left"/>
    </xf>
    <xf numFmtId="0" fontId="28" fillId="0" borderId="5" xfId="0" applyFont="1" applyBorder="1" applyAlignment="1">
      <alignment horizontal="left"/>
    </xf>
    <xf numFmtId="0" fontId="27" fillId="0" borderId="5" xfId="0" applyFont="1" applyBorder="1" applyAlignment="1">
      <alignment horizontal="left"/>
    </xf>
    <xf numFmtId="0" fontId="26" fillId="0" borderId="5" xfId="0" applyFont="1" applyBorder="1" applyAlignment="1">
      <alignment horizontal="left"/>
    </xf>
    <xf numFmtId="0" fontId="25" fillId="0" borderId="0" xfId="0" applyFont="1" applyAlignment="1">
      <alignment horizontal="left"/>
    </xf>
    <xf numFmtId="0" fontId="25" fillId="0" borderId="0" xfId="0" applyFont="1" applyBorder="1" applyAlignment="1">
      <alignment horizontal="left"/>
    </xf>
    <xf numFmtId="0" fontId="24" fillId="0" borderId="0" xfId="0" applyFont="1"/>
    <xf numFmtId="0" fontId="61" fillId="0" borderId="15" xfId="0" applyFont="1" applyBorder="1"/>
    <xf numFmtId="0" fontId="61" fillId="0" borderId="4" xfId="0" applyFont="1" applyBorder="1"/>
    <xf numFmtId="0" fontId="23" fillId="0" borderId="0" xfId="0" applyFont="1"/>
    <xf numFmtId="0" fontId="22" fillId="0" borderId="0" xfId="0" applyFont="1"/>
    <xf numFmtId="0" fontId="21" fillId="0" borderId="0" xfId="0" applyFont="1"/>
    <xf numFmtId="0" fontId="20" fillId="0" borderId="0" xfId="0" applyFont="1" applyAlignment="1">
      <alignment horizontal="left"/>
    </xf>
    <xf numFmtId="0" fontId="57" fillId="8" borderId="0" xfId="0" applyFont="1" applyFill="1"/>
    <xf numFmtId="0" fontId="19" fillId="0" borderId="0" xfId="0" applyFont="1"/>
    <xf numFmtId="0" fontId="18" fillId="0" borderId="0" xfId="0" applyFont="1"/>
    <xf numFmtId="0" fontId="17" fillId="0" borderId="0" xfId="0" applyFont="1"/>
    <xf numFmtId="0" fontId="16" fillId="0" borderId="0" xfId="0" applyFont="1"/>
    <xf numFmtId="0" fontId="71" fillId="0" borderId="0" xfId="0" applyFont="1" applyAlignment="1" applyProtection="1">
      <alignment horizontal="center"/>
    </xf>
    <xf numFmtId="0" fontId="15" fillId="0" borderId="5" xfId="0" applyFont="1" applyBorder="1" applyAlignment="1">
      <alignment horizontal="left"/>
    </xf>
    <xf numFmtId="0" fontId="14" fillId="0" borderId="5" xfId="0" applyFont="1" applyBorder="1" applyAlignment="1">
      <alignment horizontal="left"/>
    </xf>
    <xf numFmtId="0" fontId="13" fillId="0" borderId="0" xfId="0" applyFont="1"/>
    <xf numFmtId="0" fontId="12" fillId="0" borderId="0" xfId="0" applyFont="1"/>
    <xf numFmtId="0" fontId="11" fillId="0" borderId="0" xfId="0" applyFont="1"/>
    <xf numFmtId="0" fontId="10" fillId="0" borderId="0" xfId="0" applyFont="1"/>
    <xf numFmtId="0" fontId="57" fillId="17" borderId="16" xfId="0" applyFont="1" applyFill="1" applyBorder="1" applyAlignment="1" applyProtection="1">
      <alignment horizontal="center"/>
      <protection locked="0"/>
    </xf>
    <xf numFmtId="0" fontId="9" fillId="0" borderId="0" xfId="0" applyFont="1"/>
    <xf numFmtId="0" fontId="8" fillId="0" borderId="5" xfId="0" applyFont="1" applyBorder="1" applyAlignment="1">
      <alignment horizontal="left"/>
    </xf>
    <xf numFmtId="0" fontId="7" fillId="0" borderId="5" xfId="0" applyFont="1" applyBorder="1" applyAlignment="1">
      <alignment horizontal="left"/>
    </xf>
    <xf numFmtId="0" fontId="6" fillId="0" borderId="0" xfId="0" applyFont="1"/>
    <xf numFmtId="0" fontId="5" fillId="0" borderId="0" xfId="0" applyFont="1"/>
    <xf numFmtId="0" fontId="4" fillId="0" borderId="5" xfId="0" applyFont="1" applyBorder="1" applyAlignment="1">
      <alignment horizontal="left"/>
    </xf>
    <xf numFmtId="0" fontId="3" fillId="0" borderId="5" xfId="0" applyFont="1" applyBorder="1" applyAlignment="1">
      <alignment horizontal="left"/>
    </xf>
    <xf numFmtId="0" fontId="69" fillId="6" borderId="0" xfId="0" applyFont="1" applyFill="1"/>
    <xf numFmtId="0" fontId="69" fillId="11" borderId="0" xfId="0" applyFont="1" applyFill="1"/>
    <xf numFmtId="0" fontId="69" fillId="18" borderId="0" xfId="0" applyFont="1" applyFill="1"/>
    <xf numFmtId="0" fontId="93" fillId="0" borderId="0" xfId="0" applyFont="1"/>
    <xf numFmtId="0" fontId="57" fillId="0" borderId="39" xfId="0" applyFont="1" applyBorder="1"/>
    <xf numFmtId="0" fontId="114" fillId="0" borderId="0" xfId="0" applyFont="1"/>
    <xf numFmtId="0" fontId="116" fillId="0" borderId="0" xfId="0" applyFont="1"/>
    <xf numFmtId="0" fontId="115" fillId="0" borderId="0" xfId="0" applyFont="1" applyAlignment="1">
      <alignment horizontal="left" vertical="center"/>
    </xf>
    <xf numFmtId="0" fontId="2" fillId="0" borderId="5" xfId="0" applyFont="1" applyBorder="1" applyAlignment="1">
      <alignment horizontal="left"/>
    </xf>
    <xf numFmtId="0" fontId="2" fillId="0" borderId="0" xfId="0" applyFont="1"/>
    <xf numFmtId="0" fontId="2" fillId="0" borderId="0" xfId="0" applyFont="1" applyAlignment="1">
      <alignment horizontal="left"/>
    </xf>
    <xf numFmtId="0" fontId="52" fillId="0" borderId="0" xfId="0" applyFont="1" applyAlignment="1">
      <alignment horizontal="left"/>
    </xf>
    <xf numFmtId="0" fontId="62" fillId="0" borderId="0" xfId="0" applyFont="1" applyFill="1" applyAlignment="1">
      <alignment horizontal="center"/>
    </xf>
    <xf numFmtId="0" fontId="98" fillId="0" borderId="0" xfId="0" applyFont="1" applyAlignment="1">
      <alignment horizontal="center"/>
    </xf>
    <xf numFmtId="0" fontId="61" fillId="11" borderId="0" xfId="0" applyFont="1" applyFill="1"/>
    <xf numFmtId="0" fontId="61" fillId="18" borderId="0" xfId="0" applyFont="1" applyFill="1"/>
    <xf numFmtId="0" fontId="61" fillId="6" borderId="0" xfId="0" applyFont="1" applyFill="1"/>
    <xf numFmtId="0" fontId="52" fillId="0" borderId="0" xfId="0" applyFont="1" applyAlignment="1">
      <alignment horizontal="right"/>
    </xf>
    <xf numFmtId="0" fontId="117" fillId="0" borderId="0" xfId="0" applyFont="1" applyAlignment="1">
      <alignment horizontal="center"/>
    </xf>
    <xf numFmtId="164" fontId="57" fillId="0" borderId="0" xfId="0" applyNumberFormat="1" applyFont="1" applyAlignment="1">
      <alignment horizontal="center"/>
    </xf>
    <xf numFmtId="0" fontId="57" fillId="7" borderId="0" xfId="0" applyFont="1" applyFill="1" applyAlignment="1">
      <alignment horizontal="center"/>
    </xf>
    <xf numFmtId="0" fontId="57" fillId="19" borderId="0" xfId="0" applyFont="1" applyFill="1" applyAlignment="1">
      <alignment horizontal="center"/>
    </xf>
    <xf numFmtId="0" fontId="69" fillId="0" borderId="0" xfId="0" applyFont="1" applyAlignment="1" applyProtection="1">
      <alignment horizontal="center"/>
      <protection locked="0"/>
    </xf>
    <xf numFmtId="0" fontId="69" fillId="0" borderId="10" xfId="0" applyFont="1" applyBorder="1"/>
    <xf numFmtId="164" fontId="53" fillId="0" borderId="6" xfId="0" applyNumberFormat="1" applyFont="1" applyBorder="1" applyAlignment="1" applyProtection="1">
      <alignment horizontal="center"/>
    </xf>
    <xf numFmtId="0" fontId="57" fillId="0" borderId="0" xfId="0" applyFont="1" applyBorder="1" applyAlignment="1">
      <alignment horizontal="center"/>
    </xf>
    <xf numFmtId="0" fontId="57" fillId="0" borderId="0" xfId="0" applyFont="1" applyBorder="1" applyProtection="1"/>
    <xf numFmtId="164" fontId="82" fillId="20" borderId="0" xfId="0" applyNumberFormat="1" applyFont="1" applyFill="1" applyBorder="1" applyAlignment="1" applyProtection="1">
      <alignment horizontal="center"/>
    </xf>
    <xf numFmtId="0" fontId="57" fillId="0" borderId="6" xfId="0" applyFont="1" applyBorder="1" applyAlignment="1">
      <alignment horizontal="center"/>
    </xf>
    <xf numFmtId="0" fontId="57" fillId="0" borderId="6" xfId="0" applyFont="1" applyBorder="1" applyProtection="1"/>
    <xf numFmtId="0" fontId="82" fillId="20" borderId="0" xfId="0" applyFont="1" applyFill="1" applyAlignment="1">
      <alignment horizontal="center"/>
    </xf>
    <xf numFmtId="0" fontId="57" fillId="0" borderId="0" xfId="0" applyFont="1" applyBorder="1"/>
    <xf numFmtId="0" fontId="61" fillId="0" borderId="40" xfId="0" applyFont="1" applyBorder="1"/>
    <xf numFmtId="0" fontId="61" fillId="0" borderId="8" xfId="0" applyFont="1" applyBorder="1"/>
    <xf numFmtId="0" fontId="61" fillId="0" borderId="41" xfId="0" applyFont="1" applyBorder="1"/>
    <xf numFmtId="0" fontId="61" fillId="0" borderId="4" xfId="0" applyFont="1" applyBorder="1" applyAlignment="1">
      <alignment horizontal="center"/>
    </xf>
    <xf numFmtId="0" fontId="61" fillId="0" borderId="42" xfId="0" applyFont="1" applyBorder="1"/>
    <xf numFmtId="0" fontId="61" fillId="0" borderId="1" xfId="0" applyFont="1" applyBorder="1" applyAlignment="1">
      <alignment horizontal="center"/>
    </xf>
    <xf numFmtId="0" fontId="61" fillId="0" borderId="43" xfId="0" applyFont="1" applyBorder="1" applyAlignment="1">
      <alignment horizontal="center"/>
    </xf>
    <xf numFmtId="0" fontId="61" fillId="0" borderId="0" xfId="0" applyFont="1" applyAlignment="1">
      <alignment textRotation="90"/>
    </xf>
    <xf numFmtId="0" fontId="111" fillId="21" borderId="0" xfId="0" applyFont="1" applyFill="1" applyBorder="1" applyAlignment="1">
      <alignment horizontal="center"/>
    </xf>
    <xf numFmtId="0" fontId="111" fillId="21" borderId="1" xfId="0" applyFont="1" applyFill="1" applyBorder="1" applyAlignment="1">
      <alignment horizontal="center"/>
    </xf>
    <xf numFmtId="0" fontId="111" fillId="21" borderId="4" xfId="0" applyFont="1" applyFill="1" applyBorder="1" applyAlignment="1">
      <alignment horizontal="center"/>
    </xf>
    <xf numFmtId="0" fontId="111" fillId="21" borderId="3" xfId="0" applyFont="1" applyFill="1" applyBorder="1" applyAlignment="1">
      <alignment horizontal="center"/>
    </xf>
    <xf numFmtId="0" fontId="57" fillId="22" borderId="0" xfId="0" applyFont="1" applyFill="1" applyProtection="1">
      <protection locked="0"/>
    </xf>
    <xf numFmtId="0" fontId="57" fillId="23" borderId="0" xfId="0" applyFont="1" applyFill="1"/>
    <xf numFmtId="0" fontId="118" fillId="0" borderId="0" xfId="0" applyFont="1"/>
    <xf numFmtId="0" fontId="69" fillId="0" borderId="0" xfId="0" applyFont="1" applyAlignment="1">
      <alignment horizontal="center" textRotation="90"/>
    </xf>
    <xf numFmtId="0" fontId="57" fillId="0" borderId="6" xfId="0" applyFont="1" applyBorder="1"/>
    <xf numFmtId="0" fontId="57" fillId="0" borderId="44" xfId="0" applyFont="1" applyBorder="1"/>
    <xf numFmtId="0" fontId="57" fillId="0" borderId="0" xfId="0" applyFont="1" applyBorder="1" applyAlignment="1">
      <alignment horizontal="left"/>
    </xf>
    <xf numFmtId="0" fontId="69" fillId="0" borderId="9" xfId="0" applyFont="1" applyBorder="1" applyAlignment="1">
      <alignment horizontal="left"/>
    </xf>
    <xf numFmtId="0" fontId="2" fillId="0" borderId="4" xfId="0" applyFont="1" applyBorder="1"/>
    <xf numFmtId="0" fontId="69" fillId="9" borderId="0" xfId="0" applyFont="1" applyFill="1"/>
    <xf numFmtId="0" fontId="2" fillId="0" borderId="0" xfId="0" applyFont="1" applyBorder="1" applyAlignment="1">
      <alignment horizontal="left"/>
    </xf>
    <xf numFmtId="0" fontId="2" fillId="0" borderId="4" xfId="0" applyFont="1" applyBorder="1" applyAlignment="1">
      <alignment horizontal="left"/>
    </xf>
    <xf numFmtId="0" fontId="2" fillId="0" borderId="15" xfId="0" applyFont="1" applyBorder="1"/>
    <xf numFmtId="0" fontId="119" fillId="0" borderId="0" xfId="0" applyFont="1"/>
    <xf numFmtId="0" fontId="85" fillId="0" borderId="45" xfId="0" applyFont="1" applyBorder="1" applyAlignment="1" applyProtection="1">
      <alignment horizontal="center"/>
      <protection locked="0"/>
    </xf>
    <xf numFmtId="0" fontId="85" fillId="0" borderId="15" xfId="0" applyFont="1" applyBorder="1" applyAlignment="1">
      <alignment horizontal="center"/>
    </xf>
    <xf numFmtId="0" fontId="85" fillId="0" borderId="4" xfId="0" applyFont="1" applyBorder="1" applyAlignment="1">
      <alignment horizontal="center"/>
    </xf>
    <xf numFmtId="0" fontId="89" fillId="0" borderId="41" xfId="0" applyFont="1" applyBorder="1" applyAlignment="1">
      <alignment horizontal="center"/>
    </xf>
    <xf numFmtId="0" fontId="89" fillId="0" borderId="4" xfId="0" applyFont="1" applyBorder="1" applyAlignment="1">
      <alignment horizontal="center"/>
    </xf>
    <xf numFmtId="0" fontId="99" fillId="0" borderId="4" xfId="0" applyFont="1" applyBorder="1" applyAlignment="1">
      <alignment horizontal="left"/>
    </xf>
    <xf numFmtId="0" fontId="120" fillId="0" borderId="0" xfId="0" applyFont="1"/>
    <xf numFmtId="0" fontId="2" fillId="0" borderId="6" xfId="0" applyFont="1" applyBorder="1" applyAlignment="1">
      <alignment horizontal="center"/>
    </xf>
    <xf numFmtId="0" fontId="113" fillId="0" borderId="0" xfId="0" applyFont="1" applyAlignment="1">
      <alignment horizontal="center"/>
    </xf>
    <xf numFmtId="0" fontId="113" fillId="0" borderId="0" xfId="0" applyFont="1" applyAlignment="1">
      <alignment horizontal="right"/>
    </xf>
    <xf numFmtId="0" fontId="61" fillId="0" borderId="0" xfId="0" applyFont="1" applyAlignment="1">
      <alignment horizontal="left"/>
    </xf>
    <xf numFmtId="0" fontId="105" fillId="0" borderId="0" xfId="0" applyFont="1"/>
    <xf numFmtId="0" fontId="69" fillId="7" borderId="0" xfId="0" applyFont="1" applyFill="1" applyAlignment="1">
      <alignment horizontal="center"/>
    </xf>
    <xf numFmtId="0" fontId="69" fillId="10" borderId="0" xfId="0" applyFont="1" applyFill="1" applyAlignment="1">
      <alignment horizontal="center"/>
    </xf>
    <xf numFmtId="0" fontId="69" fillId="11" borderId="0" xfId="0" applyFont="1" applyFill="1" applyAlignment="1">
      <alignment horizontal="center"/>
    </xf>
    <xf numFmtId="0" fontId="69" fillId="9" borderId="0" xfId="0" applyFont="1" applyFill="1" applyAlignment="1">
      <alignment horizontal="center"/>
    </xf>
    <xf numFmtId="0" fontId="69" fillId="18" borderId="0" xfId="0" applyFont="1" applyFill="1" applyAlignment="1">
      <alignment horizontal="center"/>
    </xf>
    <xf numFmtId="0" fontId="69" fillId="0" borderId="46" xfId="0" applyFont="1" applyBorder="1" applyAlignment="1">
      <alignment horizontal="center"/>
    </xf>
    <xf numFmtId="0" fontId="69" fillId="0" borderId="47" xfId="0" applyFont="1" applyBorder="1" applyAlignment="1">
      <alignment horizontal="center"/>
    </xf>
    <xf numFmtId="0" fontId="69" fillId="0" borderId="24" xfId="0" applyFont="1" applyBorder="1" applyAlignment="1">
      <alignment horizontal="center"/>
    </xf>
    <xf numFmtId="0" fontId="84" fillId="18" borderId="0" xfId="0" applyFont="1" applyFill="1" applyAlignment="1">
      <alignment horizontal="center"/>
    </xf>
    <xf numFmtId="0" fontId="69" fillId="0" borderId="4" xfId="0" applyFont="1" applyBorder="1" applyAlignment="1">
      <alignment horizontal="center"/>
    </xf>
    <xf numFmtId="0" fontId="84" fillId="15" borderId="0" xfId="0" applyFont="1" applyFill="1" applyAlignment="1">
      <alignment horizontal="center"/>
    </xf>
    <xf numFmtId="0" fontId="57" fillId="0" borderId="0" xfId="0" applyFont="1" applyAlignment="1">
      <alignment textRotation="90"/>
    </xf>
    <xf numFmtId="0" fontId="105" fillId="0" borderId="0" xfId="0" applyFont="1" applyAlignment="1">
      <alignment textRotation="90"/>
    </xf>
    <xf numFmtId="0" fontId="105" fillId="0" borderId="0" xfId="0" applyFont="1" applyAlignment="1">
      <alignment horizontal="right"/>
    </xf>
    <xf numFmtId="0" fontId="57" fillId="0" borderId="1" xfId="0" applyFont="1" applyBorder="1"/>
    <xf numFmtId="0" fontId="69" fillId="0" borderId="2" xfId="0" applyFont="1" applyBorder="1" applyAlignment="1">
      <alignment horizontal="center"/>
    </xf>
    <xf numFmtId="0" fontId="69" fillId="0" borderId="42" xfId="0" applyFont="1" applyBorder="1" applyAlignment="1">
      <alignment horizontal="center"/>
    </xf>
    <xf numFmtId="0" fontId="69" fillId="0" borderId="1" xfId="0" applyFont="1" applyBorder="1" applyAlignment="1">
      <alignment horizontal="center"/>
    </xf>
    <xf numFmtId="0" fontId="57" fillId="0" borderId="0" xfId="0" applyFont="1" applyBorder="1" applyAlignment="1" applyProtection="1">
      <alignment horizontal="center"/>
    </xf>
    <xf numFmtId="0" fontId="121" fillId="0" borderId="0" xfId="0" applyFont="1" applyAlignment="1">
      <alignment horizontal="center"/>
    </xf>
    <xf numFmtId="0" fontId="57" fillId="0" borderId="0" xfId="0" applyFont="1" applyAlignment="1">
      <alignment horizontal="center" textRotation="90"/>
    </xf>
    <xf numFmtId="164" fontId="53" fillId="0" borderId="6" xfId="0" applyNumberFormat="1" applyFont="1" applyBorder="1" applyAlignment="1" applyProtection="1">
      <alignment horizontal="center" vertical="center"/>
    </xf>
    <xf numFmtId="164" fontId="61" fillId="0" borderId="0" xfId="0" applyNumberFormat="1" applyFont="1" applyAlignment="1">
      <alignment horizontal="center"/>
    </xf>
    <xf numFmtId="164" fontId="53" fillId="0" borderId="0" xfId="0" applyNumberFormat="1" applyFont="1" applyBorder="1" applyAlignment="1" applyProtection="1">
      <alignment horizontal="center" vertical="center"/>
    </xf>
    <xf numFmtId="0" fontId="79" fillId="8" borderId="0" xfId="0" applyFont="1" applyFill="1"/>
    <xf numFmtId="0" fontId="57" fillId="8" borderId="0" xfId="0" applyFont="1" applyFill="1" applyAlignment="1">
      <alignment horizontal="left"/>
    </xf>
    <xf numFmtId="0" fontId="57" fillId="8" borderId="0" xfId="0" applyFont="1" applyFill="1" applyAlignment="1">
      <alignment horizontal="center"/>
    </xf>
    <xf numFmtId="0" fontId="57" fillId="0" borderId="5" xfId="0" applyFont="1" applyBorder="1"/>
    <xf numFmtId="0" fontId="57" fillId="0" borderId="5" xfId="0" applyFont="1" applyBorder="1" applyAlignment="1" applyProtection="1">
      <alignment horizontal="center"/>
    </xf>
    <xf numFmtId="0" fontId="57" fillId="0" borderId="6" xfId="0" applyFont="1" applyBorder="1" applyAlignment="1" applyProtection="1">
      <alignment horizontal="center"/>
    </xf>
    <xf numFmtId="0" fontId="57" fillId="0" borderId="4" xfId="0" applyFont="1" applyBorder="1" applyAlignment="1">
      <alignment horizontal="center"/>
    </xf>
    <xf numFmtId="0" fontId="57" fillId="10" borderId="4" xfId="0" applyFont="1" applyFill="1" applyBorder="1" applyAlignment="1">
      <alignment horizontal="center"/>
    </xf>
    <xf numFmtId="0" fontId="57" fillId="11" borderId="4" xfId="0" applyFont="1" applyFill="1" applyBorder="1" applyAlignment="1">
      <alignment horizontal="center"/>
    </xf>
    <xf numFmtId="0" fontId="57" fillId="9" borderId="4" xfId="0" applyFont="1" applyFill="1" applyBorder="1" applyAlignment="1">
      <alignment horizontal="center"/>
    </xf>
    <xf numFmtId="0" fontId="57" fillId="0" borderId="48" xfId="0" applyFont="1" applyBorder="1" applyAlignment="1">
      <alignment horizontal="center"/>
    </xf>
    <xf numFmtId="0" fontId="69" fillId="0" borderId="6" xfId="0" applyFont="1" applyBorder="1" applyAlignment="1">
      <alignment horizontal="center"/>
    </xf>
    <xf numFmtId="0" fontId="69" fillId="0" borderId="49" xfId="0" applyFont="1" applyBorder="1" applyAlignment="1">
      <alignment horizontal="center"/>
    </xf>
    <xf numFmtId="0" fontId="69" fillId="0" borderId="50" xfId="0" applyFont="1" applyBorder="1" applyAlignment="1">
      <alignment horizontal="center"/>
    </xf>
    <xf numFmtId="0" fontId="69" fillId="0" borderId="5" xfId="0" applyFont="1" applyBorder="1" applyAlignment="1">
      <alignment horizontal="center"/>
    </xf>
    <xf numFmtId="0" fontId="69" fillId="0" borderId="51" xfId="0" applyFont="1" applyBorder="1" applyAlignment="1">
      <alignment horizontal="center"/>
    </xf>
    <xf numFmtId="0" fontId="69" fillId="0" borderId="33" xfId="0" applyFont="1" applyBorder="1" applyAlignment="1">
      <alignment horizontal="center"/>
    </xf>
    <xf numFmtId="0" fontId="57" fillId="7" borderId="15" xfId="0" applyFont="1" applyFill="1" applyBorder="1" applyAlignment="1">
      <alignment horizontal="center"/>
    </xf>
    <xf numFmtId="0" fontId="57" fillId="18" borderId="48" xfId="0" applyFont="1" applyFill="1" applyBorder="1" applyAlignment="1">
      <alignment horizontal="center"/>
    </xf>
    <xf numFmtId="0" fontId="57" fillId="0" borderId="15" xfId="0" applyFont="1" applyBorder="1" applyAlignment="1">
      <alignment horizontal="center"/>
    </xf>
    <xf numFmtId="0" fontId="105" fillId="0" borderId="48" xfId="0" applyFont="1" applyBorder="1"/>
    <xf numFmtId="0" fontId="109" fillId="0" borderId="0" xfId="0" applyFont="1"/>
    <xf numFmtId="0" fontId="57" fillId="0" borderId="2" xfId="0" applyFont="1" applyBorder="1" applyAlignment="1" applyProtection="1">
      <alignment horizontal="center"/>
    </xf>
    <xf numFmtId="0" fontId="57" fillId="0" borderId="4" xfId="0" applyFont="1" applyBorder="1" applyProtection="1"/>
    <xf numFmtId="0" fontId="61" fillId="0" borderId="40" xfId="0" applyFont="1" applyBorder="1" applyAlignment="1">
      <alignment horizontal="center"/>
    </xf>
    <xf numFmtId="0" fontId="61" fillId="0" borderId="2" xfId="0" applyFont="1" applyBorder="1" applyAlignment="1">
      <alignment horizontal="center"/>
    </xf>
    <xf numFmtId="0" fontId="61" fillId="0" borderId="42" xfId="0" applyFont="1" applyBorder="1" applyAlignment="1">
      <alignment horizontal="center"/>
    </xf>
    <xf numFmtId="0" fontId="61" fillId="0" borderId="8" xfId="0" applyFont="1" applyBorder="1" applyAlignment="1">
      <alignment horizontal="center"/>
    </xf>
    <xf numFmtId="0" fontId="61" fillId="0" borderId="25" xfId="0" applyFont="1" applyBorder="1" applyAlignment="1">
      <alignment horizontal="center"/>
    </xf>
    <xf numFmtId="0" fontId="61" fillId="0" borderId="9" xfId="0" applyFont="1" applyBorder="1" applyAlignment="1">
      <alignment horizontal="center"/>
    </xf>
    <xf numFmtId="0" fontId="61" fillId="0" borderId="26" xfId="0" applyFont="1" applyBorder="1" applyAlignment="1">
      <alignment horizontal="center"/>
    </xf>
    <xf numFmtId="0" fontId="122" fillId="0" borderId="0" xfId="0" applyFont="1"/>
    <xf numFmtId="0" fontId="105" fillId="0" borderId="0" xfId="0" applyFont="1" applyAlignment="1">
      <alignment vertical="center"/>
    </xf>
    <xf numFmtId="0" fontId="57" fillId="0" borderId="4" xfId="0" applyFont="1" applyBorder="1"/>
    <xf numFmtId="0" fontId="57" fillId="0" borderId="40" xfId="0" applyFont="1" applyBorder="1" applyAlignment="1" applyProtection="1">
      <alignment horizontal="center"/>
    </xf>
    <xf numFmtId="0" fontId="57" fillId="0" borderId="42" xfId="0" applyFont="1" applyBorder="1" applyAlignment="1" applyProtection="1">
      <alignment horizontal="center"/>
    </xf>
    <xf numFmtId="0" fontId="57" fillId="0" borderId="8" xfId="0" applyFont="1" applyBorder="1" applyAlignment="1" applyProtection="1">
      <alignment horizontal="center"/>
    </xf>
    <xf numFmtId="0" fontId="57" fillId="0" borderId="1" xfId="0" applyFont="1" applyBorder="1" applyAlignment="1" applyProtection="1">
      <alignment horizontal="center"/>
    </xf>
    <xf numFmtId="0" fontId="57" fillId="0" borderId="8" xfId="0" applyFont="1" applyBorder="1" applyProtection="1"/>
    <xf numFmtId="0" fontId="57" fillId="0" borderId="1" xfId="0" applyFont="1" applyBorder="1" applyProtection="1"/>
    <xf numFmtId="0" fontId="57" fillId="0" borderId="41" xfId="0" applyFont="1" applyBorder="1"/>
    <xf numFmtId="0" fontId="57" fillId="0" borderId="3" xfId="0" applyFont="1" applyBorder="1"/>
    <xf numFmtId="0" fontId="61" fillId="0" borderId="55" xfId="0" applyFont="1" applyBorder="1" applyAlignment="1">
      <alignment horizontal="center"/>
    </xf>
    <xf numFmtId="0" fontId="61" fillId="0" borderId="40" xfId="0" applyFont="1" applyBorder="1" applyAlignment="1" applyProtection="1">
      <alignment horizontal="center"/>
    </xf>
    <xf numFmtId="0" fontId="61" fillId="0" borderId="2" xfId="0" applyFont="1" applyBorder="1" applyAlignment="1" applyProtection="1">
      <alignment horizontal="center"/>
    </xf>
    <xf numFmtId="0" fontId="61" fillId="0" borderId="42" xfId="0" applyFont="1" applyBorder="1" applyAlignment="1" applyProtection="1">
      <alignment horizontal="center"/>
    </xf>
    <xf numFmtId="0" fontId="61" fillId="0" borderId="8" xfId="0" applyFont="1" applyBorder="1" applyAlignment="1" applyProtection="1">
      <alignment horizontal="center"/>
    </xf>
    <xf numFmtId="0" fontId="61" fillId="0" borderId="0" xfId="0" applyFont="1" applyBorder="1" applyAlignment="1" applyProtection="1">
      <alignment horizontal="center"/>
    </xf>
    <xf numFmtId="0" fontId="61" fillId="0" borderId="32" xfId="0" applyFont="1" applyBorder="1" applyAlignment="1">
      <alignment horizontal="center"/>
    </xf>
    <xf numFmtId="0" fontId="61" fillId="0" borderId="1" xfId="0" applyFont="1" applyBorder="1" applyAlignment="1" applyProtection="1">
      <alignment horizontal="center"/>
    </xf>
    <xf numFmtId="0" fontId="61" fillId="0" borderId="56" xfId="0" applyFont="1" applyBorder="1" applyAlignment="1">
      <alignment horizontal="center"/>
    </xf>
    <xf numFmtId="0" fontId="61" fillId="0" borderId="41" xfId="0" applyFont="1" applyBorder="1" applyAlignment="1" applyProtection="1">
      <alignment horizontal="center"/>
    </xf>
    <xf numFmtId="0" fontId="61" fillId="0" borderId="4" xfId="0" applyFont="1" applyBorder="1" applyAlignment="1" applyProtection="1">
      <alignment horizontal="center"/>
    </xf>
    <xf numFmtId="0" fontId="61" fillId="0" borderId="3" xfId="0" applyFont="1" applyBorder="1" applyAlignment="1" applyProtection="1">
      <alignment horizontal="center"/>
    </xf>
    <xf numFmtId="0" fontId="84" fillId="8" borderId="0" xfId="0" applyFont="1" applyFill="1"/>
    <xf numFmtId="0" fontId="84" fillId="8" borderId="0" xfId="0" applyFont="1" applyFill="1" applyBorder="1"/>
    <xf numFmtId="0" fontId="57" fillId="0" borderId="0" xfId="0" applyFont="1" applyAlignment="1">
      <alignment horizontal="center" vertical="center" wrapText="1"/>
    </xf>
    <xf numFmtId="0" fontId="63" fillId="0" borderId="0" xfId="0" applyFont="1" applyBorder="1"/>
    <xf numFmtId="0" fontId="82" fillId="0" borderId="0" xfId="0" applyFont="1" applyBorder="1" applyAlignment="1">
      <alignment horizontal="center"/>
    </xf>
    <xf numFmtId="0" fontId="57" fillId="0" borderId="1" xfId="0" applyFont="1" applyBorder="1" applyProtection="1">
      <protection locked="0"/>
    </xf>
    <xf numFmtId="0" fontId="57" fillId="0" borderId="1" xfId="0" applyFont="1" applyFill="1" applyBorder="1"/>
    <xf numFmtId="164" fontId="53" fillId="0" borderId="40" xfId="0" applyNumberFormat="1" applyFont="1" applyBorder="1" applyAlignment="1" applyProtection="1">
      <alignment horizontal="center" vertical="center"/>
    </xf>
    <xf numFmtId="164" fontId="53" fillId="0" borderId="2" xfId="0" applyNumberFormat="1" applyFont="1" applyBorder="1" applyAlignment="1" applyProtection="1">
      <alignment horizontal="center" vertical="center"/>
    </xf>
    <xf numFmtId="164" fontId="53" fillId="0" borderId="50" xfId="0" applyNumberFormat="1" applyFont="1" applyBorder="1" applyAlignment="1" applyProtection="1">
      <alignment horizontal="center" vertical="center"/>
    </xf>
    <xf numFmtId="0" fontId="121" fillId="0" borderId="0" xfId="0" applyFont="1" applyAlignment="1" applyProtection="1">
      <alignment horizontal="center"/>
    </xf>
    <xf numFmtId="0" fontId="57" fillId="0" borderId="42" xfId="0" applyFont="1" applyBorder="1" applyProtection="1">
      <protection locked="0"/>
    </xf>
    <xf numFmtId="0" fontId="53" fillId="0" borderId="0" xfId="0" applyFont="1" applyAlignment="1">
      <alignment horizontal="right"/>
    </xf>
    <xf numFmtId="0" fontId="111" fillId="6" borderId="0" xfId="0" applyFont="1" applyFill="1" applyAlignment="1" applyProtection="1">
      <alignment horizontal="center"/>
      <protection locked="0"/>
    </xf>
    <xf numFmtId="0" fontId="111" fillId="6" borderId="0" xfId="0" applyFont="1" applyFill="1" applyAlignment="1">
      <alignment horizontal="center"/>
    </xf>
    <xf numFmtId="0" fontId="85" fillId="0" borderId="45" xfId="0" applyFont="1" applyBorder="1" applyAlignment="1" applyProtection="1">
      <alignment horizontal="center"/>
    </xf>
    <xf numFmtId="0" fontId="85" fillId="0" borderId="45" xfId="0" applyFont="1" applyBorder="1" applyAlignment="1">
      <alignment horizontal="center"/>
    </xf>
    <xf numFmtId="0" fontId="61" fillId="0" borderId="16" xfId="0" applyFont="1" applyBorder="1" applyProtection="1">
      <protection locked="0"/>
    </xf>
    <xf numFmtId="0" fontId="69" fillId="0" borderId="45" xfId="0" applyFont="1" applyBorder="1" applyAlignment="1" applyProtection="1">
      <alignment horizontal="center"/>
      <protection locked="0"/>
    </xf>
    <xf numFmtId="0" fontId="2" fillId="0" borderId="0" xfId="0" applyFont="1" applyAlignment="1">
      <alignment horizontal="right"/>
    </xf>
    <xf numFmtId="0" fontId="57" fillId="0" borderId="52" xfId="0" applyFont="1" applyBorder="1" applyAlignment="1" applyProtection="1">
      <alignment horizontal="center" vertical="center"/>
      <protection locked="0"/>
    </xf>
    <xf numFmtId="0" fontId="0" fillId="0" borderId="53" xfId="0" applyBorder="1" applyAlignment="1">
      <alignment horizontal="center" vertical="center"/>
    </xf>
    <xf numFmtId="0" fontId="0" fillId="0" borderId="54" xfId="0" applyBorder="1" applyAlignment="1">
      <alignment horizontal="center" vertical="center"/>
    </xf>
    <xf numFmtId="0" fontId="83" fillId="0" borderId="0" xfId="0" applyFont="1" applyAlignment="1">
      <alignment horizontal="left"/>
    </xf>
    <xf numFmtId="0" fontId="0" fillId="0" borderId="0" xfId="0" applyAlignment="1"/>
    <xf numFmtId="0" fontId="83" fillId="0" borderId="38" xfId="0" applyFont="1" applyBorder="1" applyAlignment="1"/>
    <xf numFmtId="3" fontId="108" fillId="0" borderId="0" xfId="0" applyNumberFormat="1" applyFont="1" applyAlignment="1">
      <alignment horizontal="center"/>
    </xf>
    <xf numFmtId="3" fontId="57" fillId="0" borderId="0" xfId="0" applyNumberFormat="1" applyFont="1" applyAlignment="1">
      <alignment horizontal="center"/>
    </xf>
  </cellXfs>
  <cellStyles count="4005">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6" builtinId="9" hidden="1"/>
    <cellStyle name="Followed Hyperlink" xfId="1028" builtinId="9" hidden="1"/>
    <cellStyle name="Followed Hyperlink" xfId="1030" builtinId="9" hidden="1"/>
    <cellStyle name="Followed Hyperlink" xfId="1032" builtinId="9" hidden="1"/>
    <cellStyle name="Followed Hyperlink" xfId="1034" builtinId="9" hidden="1"/>
    <cellStyle name="Followed Hyperlink" xfId="1036" builtinId="9" hidden="1"/>
    <cellStyle name="Followed Hyperlink" xfId="1038"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Followed Hyperlink" xfId="1242" builtinId="9" hidden="1"/>
    <cellStyle name="Followed Hyperlink" xfId="1244" builtinId="9" hidden="1"/>
    <cellStyle name="Followed Hyperlink" xfId="1246" builtinId="9" hidden="1"/>
    <cellStyle name="Followed Hyperlink" xfId="1248" builtinId="9" hidden="1"/>
    <cellStyle name="Followed Hyperlink" xfId="1250" builtinId="9" hidden="1"/>
    <cellStyle name="Followed Hyperlink" xfId="1252" builtinId="9" hidden="1"/>
    <cellStyle name="Followed Hyperlink" xfId="1254" builtinId="9" hidden="1"/>
    <cellStyle name="Followed Hyperlink" xfId="1256" builtinId="9" hidden="1"/>
    <cellStyle name="Followed Hyperlink" xfId="1258" builtinId="9" hidden="1"/>
    <cellStyle name="Followed Hyperlink" xfId="1260" builtinId="9" hidden="1"/>
    <cellStyle name="Followed Hyperlink" xfId="1262" builtinId="9" hidden="1"/>
    <cellStyle name="Followed Hyperlink" xfId="1264" builtinId="9" hidden="1"/>
    <cellStyle name="Followed Hyperlink" xfId="1266" builtinId="9" hidden="1"/>
    <cellStyle name="Followed Hyperlink" xfId="1268" builtinId="9" hidden="1"/>
    <cellStyle name="Followed Hyperlink" xfId="1270" builtinId="9" hidden="1"/>
    <cellStyle name="Followed Hyperlink" xfId="1272" builtinId="9" hidden="1"/>
    <cellStyle name="Followed Hyperlink" xfId="1274" builtinId="9" hidden="1"/>
    <cellStyle name="Followed Hyperlink" xfId="1276" builtinId="9" hidden="1"/>
    <cellStyle name="Followed Hyperlink" xfId="1278" builtinId="9" hidden="1"/>
    <cellStyle name="Followed Hyperlink" xfId="1280" builtinId="9" hidden="1"/>
    <cellStyle name="Followed Hyperlink" xfId="1282" builtinId="9" hidden="1"/>
    <cellStyle name="Followed Hyperlink" xfId="1284" builtinId="9" hidden="1"/>
    <cellStyle name="Followed Hyperlink" xfId="1286" builtinId="9" hidden="1"/>
    <cellStyle name="Followed Hyperlink" xfId="1288" builtinId="9" hidden="1"/>
    <cellStyle name="Followed Hyperlink" xfId="1290" builtinId="9" hidden="1"/>
    <cellStyle name="Followed Hyperlink" xfId="1292" builtinId="9" hidden="1"/>
    <cellStyle name="Followed Hyperlink" xfId="1294" builtinId="9" hidden="1"/>
    <cellStyle name="Followed Hyperlink" xfId="1296" builtinId="9" hidden="1"/>
    <cellStyle name="Followed Hyperlink" xfId="1298" builtinId="9" hidden="1"/>
    <cellStyle name="Followed Hyperlink" xfId="1300" builtinId="9" hidden="1"/>
    <cellStyle name="Followed Hyperlink" xfId="1302" builtinId="9" hidden="1"/>
    <cellStyle name="Followed Hyperlink" xfId="1304" builtinId="9" hidden="1"/>
    <cellStyle name="Followed Hyperlink" xfId="1306" builtinId="9" hidden="1"/>
    <cellStyle name="Followed Hyperlink" xfId="1308" builtinId="9" hidden="1"/>
    <cellStyle name="Followed Hyperlink" xfId="1310" builtinId="9" hidden="1"/>
    <cellStyle name="Followed Hyperlink" xfId="1312" builtinId="9" hidden="1"/>
    <cellStyle name="Followed Hyperlink" xfId="1314" builtinId="9" hidden="1"/>
    <cellStyle name="Followed Hyperlink" xfId="1316" builtinId="9" hidden="1"/>
    <cellStyle name="Followed Hyperlink" xfId="1318" builtinId="9" hidden="1"/>
    <cellStyle name="Followed Hyperlink" xfId="1320" builtinId="9" hidden="1"/>
    <cellStyle name="Followed Hyperlink" xfId="1322" builtinId="9" hidden="1"/>
    <cellStyle name="Followed Hyperlink" xfId="1324" builtinId="9" hidden="1"/>
    <cellStyle name="Followed Hyperlink" xfId="1326" builtinId="9" hidden="1"/>
    <cellStyle name="Followed Hyperlink" xfId="1328" builtinId="9" hidden="1"/>
    <cellStyle name="Followed Hyperlink" xfId="1330" builtinId="9" hidden="1"/>
    <cellStyle name="Followed Hyperlink" xfId="1332" builtinId="9" hidden="1"/>
    <cellStyle name="Followed Hyperlink" xfId="1334" builtinId="9" hidden="1"/>
    <cellStyle name="Followed Hyperlink" xfId="1336" builtinId="9" hidden="1"/>
    <cellStyle name="Followed Hyperlink" xfId="1338" builtinId="9" hidden="1"/>
    <cellStyle name="Followed Hyperlink" xfId="1340" builtinId="9" hidden="1"/>
    <cellStyle name="Followed Hyperlink" xfId="1342" builtinId="9" hidden="1"/>
    <cellStyle name="Followed Hyperlink" xfId="1344" builtinId="9" hidden="1"/>
    <cellStyle name="Followed Hyperlink" xfId="1346" builtinId="9" hidden="1"/>
    <cellStyle name="Followed Hyperlink" xfId="1348" builtinId="9" hidden="1"/>
    <cellStyle name="Followed Hyperlink" xfId="1350" builtinId="9" hidden="1"/>
    <cellStyle name="Followed Hyperlink" xfId="1352" builtinId="9" hidden="1"/>
    <cellStyle name="Followed Hyperlink" xfId="1354" builtinId="9" hidden="1"/>
    <cellStyle name="Followed Hyperlink" xfId="1356" builtinId="9" hidden="1"/>
    <cellStyle name="Followed Hyperlink" xfId="1358" builtinId="9" hidden="1"/>
    <cellStyle name="Followed Hyperlink" xfId="1360" builtinId="9" hidden="1"/>
    <cellStyle name="Followed Hyperlink" xfId="1362" builtinId="9" hidden="1"/>
    <cellStyle name="Followed Hyperlink" xfId="1364" builtinId="9" hidden="1"/>
    <cellStyle name="Followed Hyperlink" xfId="1366" builtinId="9" hidden="1"/>
    <cellStyle name="Followed Hyperlink" xfId="1368" builtinId="9" hidden="1"/>
    <cellStyle name="Followed Hyperlink" xfId="1370" builtinId="9" hidden="1"/>
    <cellStyle name="Followed Hyperlink" xfId="1372" builtinId="9" hidden="1"/>
    <cellStyle name="Followed Hyperlink" xfId="1374" builtinId="9" hidden="1"/>
    <cellStyle name="Followed Hyperlink" xfId="1376" builtinId="9" hidden="1"/>
    <cellStyle name="Followed Hyperlink" xfId="1378" builtinId="9" hidden="1"/>
    <cellStyle name="Followed Hyperlink" xfId="1380" builtinId="9" hidden="1"/>
    <cellStyle name="Followed Hyperlink" xfId="1382" builtinId="9" hidden="1"/>
    <cellStyle name="Followed Hyperlink" xfId="1384" builtinId="9" hidden="1"/>
    <cellStyle name="Followed Hyperlink" xfId="1386" builtinId="9" hidden="1"/>
    <cellStyle name="Followed Hyperlink" xfId="1388" builtinId="9" hidden="1"/>
    <cellStyle name="Followed Hyperlink" xfId="1390" builtinId="9" hidden="1"/>
    <cellStyle name="Followed Hyperlink" xfId="1392" builtinId="9" hidden="1"/>
    <cellStyle name="Followed Hyperlink" xfId="1394" builtinId="9" hidden="1"/>
    <cellStyle name="Followed Hyperlink" xfId="1396" builtinId="9" hidden="1"/>
    <cellStyle name="Followed Hyperlink" xfId="1398" builtinId="9" hidden="1"/>
    <cellStyle name="Followed Hyperlink" xfId="1400" builtinId="9" hidden="1"/>
    <cellStyle name="Followed Hyperlink" xfId="1402" builtinId="9" hidden="1"/>
    <cellStyle name="Followed Hyperlink" xfId="1404" builtinId="9" hidden="1"/>
    <cellStyle name="Followed Hyperlink" xfId="1406" builtinId="9" hidden="1"/>
    <cellStyle name="Followed Hyperlink" xfId="1408" builtinId="9" hidden="1"/>
    <cellStyle name="Followed Hyperlink" xfId="1410" builtinId="9" hidden="1"/>
    <cellStyle name="Followed Hyperlink" xfId="1412" builtinId="9" hidden="1"/>
    <cellStyle name="Followed Hyperlink" xfId="1414" builtinId="9" hidden="1"/>
    <cellStyle name="Followed Hyperlink" xfId="1416" builtinId="9" hidden="1"/>
    <cellStyle name="Followed Hyperlink" xfId="1418" builtinId="9" hidden="1"/>
    <cellStyle name="Followed Hyperlink" xfId="1420" builtinId="9" hidden="1"/>
    <cellStyle name="Followed Hyperlink" xfId="1422" builtinId="9" hidden="1"/>
    <cellStyle name="Followed Hyperlink" xfId="1424" builtinId="9" hidden="1"/>
    <cellStyle name="Followed Hyperlink" xfId="1426" builtinId="9" hidden="1"/>
    <cellStyle name="Followed Hyperlink" xfId="1428" builtinId="9" hidden="1"/>
    <cellStyle name="Followed Hyperlink" xfId="1430" builtinId="9" hidden="1"/>
    <cellStyle name="Followed Hyperlink" xfId="1432" builtinId="9" hidden="1"/>
    <cellStyle name="Followed Hyperlink" xfId="1434" builtinId="9" hidden="1"/>
    <cellStyle name="Followed Hyperlink" xfId="1436" builtinId="9" hidden="1"/>
    <cellStyle name="Followed Hyperlink" xfId="1438" builtinId="9" hidden="1"/>
    <cellStyle name="Followed Hyperlink" xfId="1440" builtinId="9" hidden="1"/>
    <cellStyle name="Followed Hyperlink" xfId="1442" builtinId="9" hidden="1"/>
    <cellStyle name="Followed Hyperlink" xfId="1444" builtinId="9" hidden="1"/>
    <cellStyle name="Followed Hyperlink" xfId="1446" builtinId="9" hidden="1"/>
    <cellStyle name="Followed Hyperlink" xfId="1448" builtinId="9" hidden="1"/>
    <cellStyle name="Followed Hyperlink" xfId="1450" builtinId="9" hidden="1"/>
    <cellStyle name="Followed Hyperlink" xfId="1452" builtinId="9" hidden="1"/>
    <cellStyle name="Followed Hyperlink" xfId="1454" builtinId="9" hidden="1"/>
    <cellStyle name="Followed Hyperlink" xfId="1456" builtinId="9" hidden="1"/>
    <cellStyle name="Followed Hyperlink" xfId="1458" builtinId="9" hidden="1"/>
    <cellStyle name="Followed Hyperlink" xfId="1460" builtinId="9" hidden="1"/>
    <cellStyle name="Followed Hyperlink" xfId="1462" builtinId="9" hidden="1"/>
    <cellStyle name="Followed Hyperlink" xfId="1464" builtinId="9" hidden="1"/>
    <cellStyle name="Followed Hyperlink" xfId="1466" builtinId="9" hidden="1"/>
    <cellStyle name="Followed Hyperlink" xfId="1468" builtinId="9" hidden="1"/>
    <cellStyle name="Followed Hyperlink" xfId="1470" builtinId="9" hidden="1"/>
    <cellStyle name="Followed Hyperlink" xfId="1472" builtinId="9" hidden="1"/>
    <cellStyle name="Followed Hyperlink" xfId="1474" builtinId="9" hidden="1"/>
    <cellStyle name="Followed Hyperlink" xfId="1476" builtinId="9" hidden="1"/>
    <cellStyle name="Followed Hyperlink" xfId="1478" builtinId="9" hidden="1"/>
    <cellStyle name="Followed Hyperlink" xfId="1480" builtinId="9" hidden="1"/>
    <cellStyle name="Followed Hyperlink" xfId="1482" builtinId="9" hidden="1"/>
    <cellStyle name="Followed Hyperlink" xfId="1484" builtinId="9" hidden="1"/>
    <cellStyle name="Followed Hyperlink" xfId="1486" builtinId="9" hidden="1"/>
    <cellStyle name="Followed Hyperlink" xfId="1488" builtinId="9" hidden="1"/>
    <cellStyle name="Followed Hyperlink" xfId="1490" builtinId="9" hidden="1"/>
    <cellStyle name="Followed Hyperlink" xfId="1492" builtinId="9" hidden="1"/>
    <cellStyle name="Followed Hyperlink" xfId="1494" builtinId="9" hidden="1"/>
    <cellStyle name="Followed Hyperlink" xfId="1496" builtinId="9" hidden="1"/>
    <cellStyle name="Followed Hyperlink" xfId="1498" builtinId="9" hidden="1"/>
    <cellStyle name="Followed Hyperlink" xfId="1500" builtinId="9" hidden="1"/>
    <cellStyle name="Followed Hyperlink" xfId="1502" builtinId="9" hidden="1"/>
    <cellStyle name="Followed Hyperlink" xfId="1504" builtinId="9" hidden="1"/>
    <cellStyle name="Followed Hyperlink" xfId="1506" builtinId="9" hidden="1"/>
    <cellStyle name="Followed Hyperlink" xfId="1508" builtinId="9" hidden="1"/>
    <cellStyle name="Followed Hyperlink" xfId="1510" builtinId="9" hidden="1"/>
    <cellStyle name="Followed Hyperlink" xfId="1512" builtinId="9" hidden="1"/>
    <cellStyle name="Followed Hyperlink" xfId="1514" builtinId="9" hidden="1"/>
    <cellStyle name="Followed Hyperlink" xfId="1516" builtinId="9" hidden="1"/>
    <cellStyle name="Followed Hyperlink" xfId="1518" builtinId="9" hidden="1"/>
    <cellStyle name="Followed Hyperlink" xfId="1520" builtinId="9" hidden="1"/>
    <cellStyle name="Followed Hyperlink" xfId="1522" builtinId="9" hidden="1"/>
    <cellStyle name="Followed Hyperlink" xfId="1524" builtinId="9" hidden="1"/>
    <cellStyle name="Followed Hyperlink" xfId="1526" builtinId="9" hidden="1"/>
    <cellStyle name="Followed Hyperlink" xfId="1528" builtinId="9" hidden="1"/>
    <cellStyle name="Followed Hyperlink" xfId="1530" builtinId="9" hidden="1"/>
    <cellStyle name="Followed Hyperlink" xfId="1532" builtinId="9" hidden="1"/>
    <cellStyle name="Followed Hyperlink" xfId="1534" builtinId="9" hidden="1"/>
    <cellStyle name="Followed Hyperlink" xfId="1536" builtinId="9" hidden="1"/>
    <cellStyle name="Followed Hyperlink" xfId="1538" builtinId="9" hidden="1"/>
    <cellStyle name="Followed Hyperlink" xfId="1540" builtinId="9" hidden="1"/>
    <cellStyle name="Followed Hyperlink" xfId="1542" builtinId="9" hidden="1"/>
    <cellStyle name="Followed Hyperlink" xfId="1544" builtinId="9" hidden="1"/>
    <cellStyle name="Followed Hyperlink" xfId="1546" builtinId="9" hidden="1"/>
    <cellStyle name="Followed Hyperlink" xfId="1548" builtinId="9" hidden="1"/>
    <cellStyle name="Followed Hyperlink" xfId="1550" builtinId="9" hidden="1"/>
    <cellStyle name="Followed Hyperlink" xfId="1552" builtinId="9" hidden="1"/>
    <cellStyle name="Followed Hyperlink" xfId="1554" builtinId="9" hidden="1"/>
    <cellStyle name="Followed Hyperlink" xfId="1556" builtinId="9" hidden="1"/>
    <cellStyle name="Followed Hyperlink" xfId="1558" builtinId="9" hidden="1"/>
    <cellStyle name="Followed Hyperlink" xfId="1560" builtinId="9" hidden="1"/>
    <cellStyle name="Followed Hyperlink" xfId="1562" builtinId="9" hidden="1"/>
    <cellStyle name="Followed Hyperlink" xfId="1564" builtinId="9" hidden="1"/>
    <cellStyle name="Followed Hyperlink" xfId="1566" builtinId="9" hidden="1"/>
    <cellStyle name="Followed Hyperlink" xfId="1568" builtinId="9" hidden="1"/>
    <cellStyle name="Followed Hyperlink" xfId="1570" builtinId="9" hidden="1"/>
    <cellStyle name="Followed Hyperlink" xfId="1572" builtinId="9" hidden="1"/>
    <cellStyle name="Followed Hyperlink" xfId="1574" builtinId="9" hidden="1"/>
    <cellStyle name="Followed Hyperlink" xfId="1576" builtinId="9" hidden="1"/>
    <cellStyle name="Followed Hyperlink" xfId="1578" builtinId="9" hidden="1"/>
    <cellStyle name="Followed Hyperlink" xfId="1580" builtinId="9" hidden="1"/>
    <cellStyle name="Followed Hyperlink" xfId="1582" builtinId="9" hidden="1"/>
    <cellStyle name="Followed Hyperlink" xfId="1584" builtinId="9" hidden="1"/>
    <cellStyle name="Followed Hyperlink" xfId="1586" builtinId="9" hidden="1"/>
    <cellStyle name="Followed Hyperlink" xfId="1588" builtinId="9" hidden="1"/>
    <cellStyle name="Followed Hyperlink" xfId="1590" builtinId="9" hidden="1"/>
    <cellStyle name="Followed Hyperlink" xfId="1592" builtinId="9" hidden="1"/>
    <cellStyle name="Followed Hyperlink" xfId="1594" builtinId="9" hidden="1"/>
    <cellStyle name="Followed Hyperlink" xfId="1596" builtinId="9" hidden="1"/>
    <cellStyle name="Followed Hyperlink" xfId="1598" builtinId="9" hidden="1"/>
    <cellStyle name="Followed Hyperlink" xfId="1600" builtinId="9" hidden="1"/>
    <cellStyle name="Followed Hyperlink" xfId="1602" builtinId="9" hidden="1"/>
    <cellStyle name="Followed Hyperlink" xfId="1604" builtinId="9" hidden="1"/>
    <cellStyle name="Followed Hyperlink" xfId="1606" builtinId="9" hidden="1"/>
    <cellStyle name="Followed Hyperlink" xfId="1608" builtinId="9" hidden="1"/>
    <cellStyle name="Followed Hyperlink" xfId="1610" builtinId="9" hidden="1"/>
    <cellStyle name="Followed Hyperlink" xfId="1612" builtinId="9" hidden="1"/>
    <cellStyle name="Followed Hyperlink" xfId="1614" builtinId="9" hidden="1"/>
    <cellStyle name="Followed Hyperlink" xfId="1616" builtinId="9" hidden="1"/>
    <cellStyle name="Followed Hyperlink" xfId="1618" builtinId="9" hidden="1"/>
    <cellStyle name="Followed Hyperlink" xfId="1620" builtinId="9" hidden="1"/>
    <cellStyle name="Followed Hyperlink" xfId="1622" builtinId="9" hidden="1"/>
    <cellStyle name="Followed Hyperlink" xfId="1624" builtinId="9" hidden="1"/>
    <cellStyle name="Followed Hyperlink" xfId="1626" builtinId="9" hidden="1"/>
    <cellStyle name="Followed Hyperlink" xfId="1628" builtinId="9" hidden="1"/>
    <cellStyle name="Followed Hyperlink" xfId="1630" builtinId="9" hidden="1"/>
    <cellStyle name="Followed Hyperlink" xfId="1632" builtinId="9" hidden="1"/>
    <cellStyle name="Followed Hyperlink" xfId="1634" builtinId="9" hidden="1"/>
    <cellStyle name="Followed Hyperlink" xfId="1636" builtinId="9" hidden="1"/>
    <cellStyle name="Followed Hyperlink" xfId="1638" builtinId="9" hidden="1"/>
    <cellStyle name="Followed Hyperlink" xfId="1640" builtinId="9" hidden="1"/>
    <cellStyle name="Followed Hyperlink" xfId="1642" builtinId="9" hidden="1"/>
    <cellStyle name="Followed Hyperlink" xfId="1644" builtinId="9" hidden="1"/>
    <cellStyle name="Followed Hyperlink" xfId="1646" builtinId="9" hidden="1"/>
    <cellStyle name="Followed Hyperlink" xfId="1648" builtinId="9" hidden="1"/>
    <cellStyle name="Followed Hyperlink" xfId="1650" builtinId="9" hidden="1"/>
    <cellStyle name="Followed Hyperlink" xfId="1652" builtinId="9" hidden="1"/>
    <cellStyle name="Followed Hyperlink" xfId="1654" builtinId="9" hidden="1"/>
    <cellStyle name="Followed Hyperlink" xfId="1656" builtinId="9" hidden="1"/>
    <cellStyle name="Followed Hyperlink" xfId="1658" builtinId="9" hidden="1"/>
    <cellStyle name="Followed Hyperlink" xfId="1660" builtinId="9" hidden="1"/>
    <cellStyle name="Followed Hyperlink" xfId="1662" builtinId="9" hidden="1"/>
    <cellStyle name="Followed Hyperlink" xfId="1664" builtinId="9" hidden="1"/>
    <cellStyle name="Followed Hyperlink" xfId="1666" builtinId="9" hidden="1"/>
    <cellStyle name="Followed Hyperlink" xfId="1668" builtinId="9" hidden="1"/>
    <cellStyle name="Followed Hyperlink" xfId="1670" builtinId="9" hidden="1"/>
    <cellStyle name="Followed Hyperlink" xfId="1672" builtinId="9" hidden="1"/>
    <cellStyle name="Followed Hyperlink" xfId="1674" builtinId="9" hidden="1"/>
    <cellStyle name="Followed Hyperlink" xfId="1676" builtinId="9" hidden="1"/>
    <cellStyle name="Followed Hyperlink" xfId="1678" builtinId="9" hidden="1"/>
    <cellStyle name="Followed Hyperlink" xfId="1680" builtinId="9" hidden="1"/>
    <cellStyle name="Followed Hyperlink" xfId="1682" builtinId="9" hidden="1"/>
    <cellStyle name="Followed Hyperlink" xfId="1684" builtinId="9" hidden="1"/>
    <cellStyle name="Followed Hyperlink" xfId="1686" builtinId="9" hidden="1"/>
    <cellStyle name="Followed Hyperlink" xfId="1688" builtinId="9" hidden="1"/>
    <cellStyle name="Followed Hyperlink" xfId="1690" builtinId="9" hidden="1"/>
    <cellStyle name="Followed Hyperlink" xfId="1692" builtinId="9" hidden="1"/>
    <cellStyle name="Followed Hyperlink" xfId="1694" builtinId="9" hidden="1"/>
    <cellStyle name="Followed Hyperlink" xfId="1696" builtinId="9" hidden="1"/>
    <cellStyle name="Followed Hyperlink" xfId="1698" builtinId="9" hidden="1"/>
    <cellStyle name="Followed Hyperlink" xfId="1700" builtinId="9" hidden="1"/>
    <cellStyle name="Followed Hyperlink" xfId="1702" builtinId="9" hidden="1"/>
    <cellStyle name="Followed Hyperlink" xfId="1704" builtinId="9" hidden="1"/>
    <cellStyle name="Followed Hyperlink" xfId="1706" builtinId="9" hidden="1"/>
    <cellStyle name="Followed Hyperlink" xfId="1708" builtinId="9" hidden="1"/>
    <cellStyle name="Followed Hyperlink" xfId="1710" builtinId="9" hidden="1"/>
    <cellStyle name="Followed Hyperlink" xfId="1712" builtinId="9" hidden="1"/>
    <cellStyle name="Followed Hyperlink" xfId="1714" builtinId="9" hidden="1"/>
    <cellStyle name="Followed Hyperlink" xfId="1716" builtinId="9" hidden="1"/>
    <cellStyle name="Followed Hyperlink" xfId="1718" builtinId="9" hidden="1"/>
    <cellStyle name="Followed Hyperlink" xfId="1720" builtinId="9" hidden="1"/>
    <cellStyle name="Followed Hyperlink" xfId="1722" builtinId="9" hidden="1"/>
    <cellStyle name="Followed Hyperlink" xfId="1724" builtinId="9" hidden="1"/>
    <cellStyle name="Followed Hyperlink" xfId="1726" builtinId="9" hidden="1"/>
    <cellStyle name="Followed Hyperlink" xfId="1728" builtinId="9" hidden="1"/>
    <cellStyle name="Followed Hyperlink" xfId="1730" builtinId="9" hidden="1"/>
    <cellStyle name="Followed Hyperlink" xfId="1732" builtinId="9" hidden="1"/>
    <cellStyle name="Followed Hyperlink" xfId="1734" builtinId="9" hidden="1"/>
    <cellStyle name="Followed Hyperlink" xfId="1736" builtinId="9" hidden="1"/>
    <cellStyle name="Followed Hyperlink" xfId="1738" builtinId="9" hidden="1"/>
    <cellStyle name="Followed Hyperlink" xfId="1740" builtinId="9" hidden="1"/>
    <cellStyle name="Followed Hyperlink" xfId="1742" builtinId="9" hidden="1"/>
    <cellStyle name="Followed Hyperlink" xfId="1744" builtinId="9" hidden="1"/>
    <cellStyle name="Followed Hyperlink" xfId="1746" builtinId="9" hidden="1"/>
    <cellStyle name="Followed Hyperlink" xfId="1748" builtinId="9" hidden="1"/>
    <cellStyle name="Followed Hyperlink" xfId="1750" builtinId="9" hidden="1"/>
    <cellStyle name="Followed Hyperlink" xfId="1752" builtinId="9" hidden="1"/>
    <cellStyle name="Followed Hyperlink" xfId="1754" builtinId="9" hidden="1"/>
    <cellStyle name="Followed Hyperlink" xfId="1756" builtinId="9" hidden="1"/>
    <cellStyle name="Followed Hyperlink" xfId="1758" builtinId="9" hidden="1"/>
    <cellStyle name="Followed Hyperlink" xfId="1760" builtinId="9" hidden="1"/>
    <cellStyle name="Followed Hyperlink" xfId="1762" builtinId="9" hidden="1"/>
    <cellStyle name="Followed Hyperlink" xfId="1764" builtinId="9" hidden="1"/>
    <cellStyle name="Followed Hyperlink" xfId="1766" builtinId="9" hidden="1"/>
    <cellStyle name="Followed Hyperlink" xfId="1768" builtinId="9" hidden="1"/>
    <cellStyle name="Followed Hyperlink" xfId="1770" builtinId="9" hidden="1"/>
    <cellStyle name="Followed Hyperlink" xfId="1772" builtinId="9" hidden="1"/>
    <cellStyle name="Followed Hyperlink" xfId="1774" builtinId="9" hidden="1"/>
    <cellStyle name="Followed Hyperlink" xfId="1776" builtinId="9" hidden="1"/>
    <cellStyle name="Followed Hyperlink" xfId="1778" builtinId="9" hidden="1"/>
    <cellStyle name="Followed Hyperlink" xfId="1780" builtinId="9" hidden="1"/>
    <cellStyle name="Followed Hyperlink" xfId="1782" builtinId="9" hidden="1"/>
    <cellStyle name="Followed Hyperlink" xfId="1784" builtinId="9" hidden="1"/>
    <cellStyle name="Followed Hyperlink" xfId="1786" builtinId="9" hidden="1"/>
    <cellStyle name="Followed Hyperlink" xfId="1788" builtinId="9" hidden="1"/>
    <cellStyle name="Followed Hyperlink" xfId="1790" builtinId="9" hidden="1"/>
    <cellStyle name="Followed Hyperlink" xfId="1792" builtinId="9" hidden="1"/>
    <cellStyle name="Followed Hyperlink" xfId="1794" builtinId="9" hidden="1"/>
    <cellStyle name="Followed Hyperlink" xfId="1796" builtinId="9" hidden="1"/>
    <cellStyle name="Followed Hyperlink" xfId="1798" builtinId="9" hidden="1"/>
    <cellStyle name="Followed Hyperlink" xfId="1800" builtinId="9" hidden="1"/>
    <cellStyle name="Followed Hyperlink" xfId="1802" builtinId="9" hidden="1"/>
    <cellStyle name="Followed Hyperlink" xfId="1804" builtinId="9" hidden="1"/>
    <cellStyle name="Followed Hyperlink" xfId="1806" builtinId="9" hidden="1"/>
    <cellStyle name="Followed Hyperlink" xfId="1808" builtinId="9" hidden="1"/>
    <cellStyle name="Followed Hyperlink" xfId="1810" builtinId="9" hidden="1"/>
    <cellStyle name="Followed Hyperlink" xfId="1812" builtinId="9" hidden="1"/>
    <cellStyle name="Followed Hyperlink" xfId="1814" builtinId="9" hidden="1"/>
    <cellStyle name="Followed Hyperlink" xfId="1816" builtinId="9" hidden="1"/>
    <cellStyle name="Followed Hyperlink" xfId="1818" builtinId="9" hidden="1"/>
    <cellStyle name="Followed Hyperlink" xfId="1820" builtinId="9" hidden="1"/>
    <cellStyle name="Followed Hyperlink" xfId="1822" builtinId="9" hidden="1"/>
    <cellStyle name="Followed Hyperlink" xfId="1824" builtinId="9" hidden="1"/>
    <cellStyle name="Followed Hyperlink" xfId="1826" builtinId="9" hidden="1"/>
    <cellStyle name="Followed Hyperlink" xfId="1828" builtinId="9" hidden="1"/>
    <cellStyle name="Followed Hyperlink" xfId="1830" builtinId="9" hidden="1"/>
    <cellStyle name="Followed Hyperlink" xfId="1832" builtinId="9" hidden="1"/>
    <cellStyle name="Followed Hyperlink" xfId="1834" builtinId="9" hidden="1"/>
    <cellStyle name="Followed Hyperlink" xfId="1836" builtinId="9" hidden="1"/>
    <cellStyle name="Followed Hyperlink" xfId="1838" builtinId="9" hidden="1"/>
    <cellStyle name="Followed Hyperlink" xfId="1840" builtinId="9" hidden="1"/>
    <cellStyle name="Followed Hyperlink" xfId="1842" builtinId="9" hidden="1"/>
    <cellStyle name="Followed Hyperlink" xfId="1844" builtinId="9" hidden="1"/>
    <cellStyle name="Followed Hyperlink" xfId="1846" builtinId="9" hidden="1"/>
    <cellStyle name="Followed Hyperlink" xfId="1848" builtinId="9" hidden="1"/>
    <cellStyle name="Followed Hyperlink" xfId="1850" builtinId="9" hidden="1"/>
    <cellStyle name="Followed Hyperlink" xfId="1852" builtinId="9" hidden="1"/>
    <cellStyle name="Followed Hyperlink" xfId="1854" builtinId="9" hidden="1"/>
    <cellStyle name="Followed Hyperlink" xfId="1856" builtinId="9" hidden="1"/>
    <cellStyle name="Followed Hyperlink" xfId="1858" builtinId="9" hidden="1"/>
    <cellStyle name="Followed Hyperlink" xfId="1860" builtinId="9" hidden="1"/>
    <cellStyle name="Followed Hyperlink" xfId="1862" builtinId="9" hidden="1"/>
    <cellStyle name="Followed Hyperlink" xfId="1864" builtinId="9" hidden="1"/>
    <cellStyle name="Followed Hyperlink" xfId="1866" builtinId="9" hidden="1"/>
    <cellStyle name="Followed Hyperlink" xfId="1868" builtinId="9" hidden="1"/>
    <cellStyle name="Followed Hyperlink" xfId="1870" builtinId="9" hidden="1"/>
    <cellStyle name="Followed Hyperlink" xfId="1872" builtinId="9" hidden="1"/>
    <cellStyle name="Followed Hyperlink" xfId="1874" builtinId="9" hidden="1"/>
    <cellStyle name="Followed Hyperlink" xfId="1876" builtinId="9" hidden="1"/>
    <cellStyle name="Followed Hyperlink" xfId="1878" builtinId="9" hidden="1"/>
    <cellStyle name="Followed Hyperlink" xfId="1880" builtinId="9" hidden="1"/>
    <cellStyle name="Followed Hyperlink" xfId="1882" builtinId="9" hidden="1"/>
    <cellStyle name="Followed Hyperlink" xfId="1884" builtinId="9" hidden="1"/>
    <cellStyle name="Followed Hyperlink" xfId="1886" builtinId="9" hidden="1"/>
    <cellStyle name="Followed Hyperlink" xfId="1888" builtinId="9" hidden="1"/>
    <cellStyle name="Followed Hyperlink" xfId="1890" builtinId="9" hidden="1"/>
    <cellStyle name="Followed Hyperlink" xfId="1892" builtinId="9" hidden="1"/>
    <cellStyle name="Followed Hyperlink" xfId="1894" builtinId="9" hidden="1"/>
    <cellStyle name="Followed Hyperlink" xfId="1896" builtinId="9" hidden="1"/>
    <cellStyle name="Followed Hyperlink" xfId="1898" builtinId="9" hidden="1"/>
    <cellStyle name="Followed Hyperlink" xfId="1900" builtinId="9" hidden="1"/>
    <cellStyle name="Followed Hyperlink" xfId="1902" builtinId="9" hidden="1"/>
    <cellStyle name="Followed Hyperlink" xfId="1904" builtinId="9" hidden="1"/>
    <cellStyle name="Followed Hyperlink" xfId="1906" builtinId="9" hidden="1"/>
    <cellStyle name="Followed Hyperlink" xfId="1908" builtinId="9" hidden="1"/>
    <cellStyle name="Followed Hyperlink" xfId="1910" builtinId="9" hidden="1"/>
    <cellStyle name="Followed Hyperlink" xfId="1912" builtinId="9" hidden="1"/>
    <cellStyle name="Followed Hyperlink" xfId="1914" builtinId="9" hidden="1"/>
    <cellStyle name="Followed Hyperlink" xfId="1916" builtinId="9" hidden="1"/>
    <cellStyle name="Followed Hyperlink" xfId="1918" builtinId="9" hidden="1"/>
    <cellStyle name="Followed Hyperlink" xfId="1920" builtinId="9" hidden="1"/>
    <cellStyle name="Followed Hyperlink" xfId="1922" builtinId="9" hidden="1"/>
    <cellStyle name="Followed Hyperlink" xfId="1924" builtinId="9" hidden="1"/>
    <cellStyle name="Followed Hyperlink" xfId="1926" builtinId="9" hidden="1"/>
    <cellStyle name="Followed Hyperlink" xfId="1928" builtinId="9" hidden="1"/>
    <cellStyle name="Followed Hyperlink" xfId="1930" builtinId="9" hidden="1"/>
    <cellStyle name="Followed Hyperlink" xfId="1932" builtinId="9" hidden="1"/>
    <cellStyle name="Followed Hyperlink" xfId="1934" builtinId="9" hidden="1"/>
    <cellStyle name="Followed Hyperlink" xfId="1936" builtinId="9" hidden="1"/>
    <cellStyle name="Followed Hyperlink" xfId="1938" builtinId="9" hidden="1"/>
    <cellStyle name="Followed Hyperlink" xfId="1940" builtinId="9" hidden="1"/>
    <cellStyle name="Followed Hyperlink" xfId="1942" builtinId="9" hidden="1"/>
    <cellStyle name="Followed Hyperlink" xfId="1944" builtinId="9" hidden="1"/>
    <cellStyle name="Followed Hyperlink" xfId="1946" builtinId="9" hidden="1"/>
    <cellStyle name="Followed Hyperlink" xfId="1948" builtinId="9" hidden="1"/>
    <cellStyle name="Followed Hyperlink" xfId="1950" builtinId="9" hidden="1"/>
    <cellStyle name="Followed Hyperlink" xfId="1952" builtinId="9" hidden="1"/>
    <cellStyle name="Followed Hyperlink" xfId="1954" builtinId="9" hidden="1"/>
    <cellStyle name="Followed Hyperlink" xfId="1956" builtinId="9" hidden="1"/>
    <cellStyle name="Followed Hyperlink" xfId="1958" builtinId="9" hidden="1"/>
    <cellStyle name="Followed Hyperlink" xfId="1960" builtinId="9" hidden="1"/>
    <cellStyle name="Followed Hyperlink" xfId="1962" builtinId="9" hidden="1"/>
    <cellStyle name="Followed Hyperlink" xfId="1964" builtinId="9" hidden="1"/>
    <cellStyle name="Followed Hyperlink" xfId="1966" builtinId="9" hidden="1"/>
    <cellStyle name="Followed Hyperlink" xfId="1968" builtinId="9" hidden="1"/>
    <cellStyle name="Followed Hyperlink" xfId="1970" builtinId="9" hidden="1"/>
    <cellStyle name="Followed Hyperlink" xfId="1972" builtinId="9" hidden="1"/>
    <cellStyle name="Followed Hyperlink" xfId="1974" builtinId="9" hidden="1"/>
    <cellStyle name="Followed Hyperlink" xfId="1976" builtinId="9" hidden="1"/>
    <cellStyle name="Followed Hyperlink" xfId="1978" builtinId="9" hidden="1"/>
    <cellStyle name="Followed Hyperlink" xfId="1980" builtinId="9" hidden="1"/>
    <cellStyle name="Followed Hyperlink" xfId="1982" builtinId="9" hidden="1"/>
    <cellStyle name="Followed Hyperlink" xfId="1984" builtinId="9" hidden="1"/>
    <cellStyle name="Followed Hyperlink" xfId="1986" builtinId="9" hidden="1"/>
    <cellStyle name="Followed Hyperlink" xfId="1988" builtinId="9" hidden="1"/>
    <cellStyle name="Followed Hyperlink" xfId="1990" builtinId="9" hidden="1"/>
    <cellStyle name="Followed Hyperlink" xfId="1992" builtinId="9" hidden="1"/>
    <cellStyle name="Followed Hyperlink" xfId="1994" builtinId="9" hidden="1"/>
    <cellStyle name="Followed Hyperlink" xfId="1996" builtinId="9" hidden="1"/>
    <cellStyle name="Followed Hyperlink" xfId="1998" builtinId="9" hidden="1"/>
    <cellStyle name="Followed Hyperlink" xfId="2000" builtinId="9" hidden="1"/>
    <cellStyle name="Followed Hyperlink" xfId="2002" builtinId="9" hidden="1"/>
    <cellStyle name="Followed Hyperlink" xfId="2004" builtinId="9" hidden="1"/>
    <cellStyle name="Followed Hyperlink" xfId="2006" builtinId="9" hidden="1"/>
    <cellStyle name="Followed Hyperlink" xfId="2008" builtinId="9" hidden="1"/>
    <cellStyle name="Followed Hyperlink" xfId="2010" builtinId="9" hidden="1"/>
    <cellStyle name="Followed Hyperlink" xfId="2012" builtinId="9" hidden="1"/>
    <cellStyle name="Followed Hyperlink" xfId="2014" builtinId="9" hidden="1"/>
    <cellStyle name="Followed Hyperlink" xfId="2016" builtinId="9" hidden="1"/>
    <cellStyle name="Followed Hyperlink" xfId="2018" builtinId="9" hidden="1"/>
    <cellStyle name="Followed Hyperlink" xfId="2020" builtinId="9" hidden="1"/>
    <cellStyle name="Followed Hyperlink" xfId="2022" builtinId="9" hidden="1"/>
    <cellStyle name="Followed Hyperlink" xfId="2024" builtinId="9" hidden="1"/>
    <cellStyle name="Followed Hyperlink" xfId="2026" builtinId="9" hidden="1"/>
    <cellStyle name="Followed Hyperlink" xfId="2028" builtinId="9" hidden="1"/>
    <cellStyle name="Followed Hyperlink" xfId="2030" builtinId="9" hidden="1"/>
    <cellStyle name="Followed Hyperlink" xfId="2032" builtinId="9" hidden="1"/>
    <cellStyle name="Followed Hyperlink" xfId="2034" builtinId="9" hidden="1"/>
    <cellStyle name="Followed Hyperlink" xfId="2036" builtinId="9" hidden="1"/>
    <cellStyle name="Followed Hyperlink" xfId="2038" builtinId="9" hidden="1"/>
    <cellStyle name="Followed Hyperlink" xfId="2040" builtinId="9" hidden="1"/>
    <cellStyle name="Followed Hyperlink" xfId="2042" builtinId="9" hidden="1"/>
    <cellStyle name="Followed Hyperlink" xfId="2044" builtinId="9" hidden="1"/>
    <cellStyle name="Followed Hyperlink" xfId="2046" builtinId="9" hidden="1"/>
    <cellStyle name="Followed Hyperlink" xfId="2048" builtinId="9" hidden="1"/>
    <cellStyle name="Followed Hyperlink" xfId="2050" builtinId="9" hidden="1"/>
    <cellStyle name="Followed Hyperlink" xfId="2052" builtinId="9" hidden="1"/>
    <cellStyle name="Followed Hyperlink" xfId="2054" builtinId="9" hidden="1"/>
    <cellStyle name="Followed Hyperlink" xfId="2056" builtinId="9" hidden="1"/>
    <cellStyle name="Followed Hyperlink" xfId="2058" builtinId="9" hidden="1"/>
    <cellStyle name="Followed Hyperlink" xfId="2060" builtinId="9" hidden="1"/>
    <cellStyle name="Followed Hyperlink" xfId="2062" builtinId="9" hidden="1"/>
    <cellStyle name="Followed Hyperlink" xfId="2064" builtinId="9" hidden="1"/>
    <cellStyle name="Followed Hyperlink" xfId="2066" builtinId="9" hidden="1"/>
    <cellStyle name="Followed Hyperlink" xfId="2068" builtinId="9" hidden="1"/>
    <cellStyle name="Followed Hyperlink" xfId="2070" builtinId="9" hidden="1"/>
    <cellStyle name="Followed Hyperlink" xfId="2072" builtinId="9" hidden="1"/>
    <cellStyle name="Followed Hyperlink" xfId="2074" builtinId="9" hidden="1"/>
    <cellStyle name="Followed Hyperlink" xfId="2076" builtinId="9" hidden="1"/>
    <cellStyle name="Followed Hyperlink" xfId="2078" builtinId="9" hidden="1"/>
    <cellStyle name="Followed Hyperlink" xfId="2080" builtinId="9" hidden="1"/>
    <cellStyle name="Followed Hyperlink" xfId="2082" builtinId="9" hidden="1"/>
    <cellStyle name="Followed Hyperlink" xfId="2084" builtinId="9" hidden="1"/>
    <cellStyle name="Followed Hyperlink" xfId="2086" builtinId="9" hidden="1"/>
    <cellStyle name="Followed Hyperlink" xfId="2088" builtinId="9" hidden="1"/>
    <cellStyle name="Followed Hyperlink" xfId="2090" builtinId="9" hidden="1"/>
    <cellStyle name="Followed Hyperlink" xfId="2092" builtinId="9" hidden="1"/>
    <cellStyle name="Followed Hyperlink" xfId="2094" builtinId="9" hidden="1"/>
    <cellStyle name="Followed Hyperlink" xfId="2096" builtinId="9" hidden="1"/>
    <cellStyle name="Followed Hyperlink" xfId="2098" builtinId="9" hidden="1"/>
    <cellStyle name="Followed Hyperlink" xfId="2100" builtinId="9" hidden="1"/>
    <cellStyle name="Followed Hyperlink" xfId="2102" builtinId="9" hidden="1"/>
    <cellStyle name="Followed Hyperlink" xfId="2104" builtinId="9" hidden="1"/>
    <cellStyle name="Followed Hyperlink" xfId="2106" builtinId="9" hidden="1"/>
    <cellStyle name="Followed Hyperlink" xfId="2108" builtinId="9" hidden="1"/>
    <cellStyle name="Followed Hyperlink" xfId="2110" builtinId="9" hidden="1"/>
    <cellStyle name="Followed Hyperlink" xfId="2112" builtinId="9" hidden="1"/>
    <cellStyle name="Followed Hyperlink" xfId="2114" builtinId="9" hidden="1"/>
    <cellStyle name="Followed Hyperlink" xfId="2116" builtinId="9" hidden="1"/>
    <cellStyle name="Followed Hyperlink" xfId="2118" builtinId="9" hidden="1"/>
    <cellStyle name="Followed Hyperlink" xfId="2120" builtinId="9" hidden="1"/>
    <cellStyle name="Followed Hyperlink" xfId="2122" builtinId="9" hidden="1"/>
    <cellStyle name="Followed Hyperlink" xfId="2124" builtinId="9" hidden="1"/>
    <cellStyle name="Followed Hyperlink" xfId="2126" builtinId="9" hidden="1"/>
    <cellStyle name="Followed Hyperlink" xfId="2128" builtinId="9" hidden="1"/>
    <cellStyle name="Followed Hyperlink" xfId="2130" builtinId="9" hidden="1"/>
    <cellStyle name="Followed Hyperlink" xfId="2132" builtinId="9" hidden="1"/>
    <cellStyle name="Followed Hyperlink" xfId="2134" builtinId="9" hidden="1"/>
    <cellStyle name="Followed Hyperlink" xfId="2136" builtinId="9" hidden="1"/>
    <cellStyle name="Followed Hyperlink" xfId="2138" builtinId="9" hidden="1"/>
    <cellStyle name="Followed Hyperlink" xfId="2140" builtinId="9" hidden="1"/>
    <cellStyle name="Followed Hyperlink" xfId="2142" builtinId="9" hidden="1"/>
    <cellStyle name="Followed Hyperlink" xfId="2144" builtinId="9" hidden="1"/>
    <cellStyle name="Followed Hyperlink" xfId="2146" builtinId="9" hidden="1"/>
    <cellStyle name="Followed Hyperlink" xfId="2148" builtinId="9" hidden="1"/>
    <cellStyle name="Followed Hyperlink" xfId="2150" builtinId="9" hidden="1"/>
    <cellStyle name="Followed Hyperlink" xfId="2152" builtinId="9" hidden="1"/>
    <cellStyle name="Followed Hyperlink" xfId="2154" builtinId="9" hidden="1"/>
    <cellStyle name="Followed Hyperlink" xfId="2156" builtinId="9" hidden="1"/>
    <cellStyle name="Followed Hyperlink" xfId="2158" builtinId="9" hidden="1"/>
    <cellStyle name="Followed Hyperlink" xfId="2160" builtinId="9" hidden="1"/>
    <cellStyle name="Followed Hyperlink" xfId="2162" builtinId="9" hidden="1"/>
    <cellStyle name="Followed Hyperlink" xfId="2164" builtinId="9" hidden="1"/>
    <cellStyle name="Followed Hyperlink" xfId="2166" builtinId="9" hidden="1"/>
    <cellStyle name="Followed Hyperlink" xfId="2168" builtinId="9" hidden="1"/>
    <cellStyle name="Followed Hyperlink" xfId="2170" builtinId="9" hidden="1"/>
    <cellStyle name="Followed Hyperlink" xfId="2172" builtinId="9" hidden="1"/>
    <cellStyle name="Followed Hyperlink" xfId="2174" builtinId="9" hidden="1"/>
    <cellStyle name="Followed Hyperlink" xfId="2176" builtinId="9" hidden="1"/>
    <cellStyle name="Followed Hyperlink" xfId="2178" builtinId="9" hidden="1"/>
    <cellStyle name="Followed Hyperlink" xfId="2180" builtinId="9" hidden="1"/>
    <cellStyle name="Followed Hyperlink" xfId="2182" builtinId="9" hidden="1"/>
    <cellStyle name="Followed Hyperlink" xfId="2184" builtinId="9" hidden="1"/>
    <cellStyle name="Followed Hyperlink" xfId="2186" builtinId="9" hidden="1"/>
    <cellStyle name="Followed Hyperlink" xfId="2188" builtinId="9" hidden="1"/>
    <cellStyle name="Followed Hyperlink" xfId="2190" builtinId="9" hidden="1"/>
    <cellStyle name="Followed Hyperlink" xfId="2192" builtinId="9" hidden="1"/>
    <cellStyle name="Followed Hyperlink" xfId="2194" builtinId="9" hidden="1"/>
    <cellStyle name="Followed Hyperlink" xfId="2196" builtinId="9" hidden="1"/>
    <cellStyle name="Followed Hyperlink" xfId="2198" builtinId="9" hidden="1"/>
    <cellStyle name="Followed Hyperlink" xfId="2200" builtinId="9" hidden="1"/>
    <cellStyle name="Followed Hyperlink" xfId="2202" builtinId="9" hidden="1"/>
    <cellStyle name="Followed Hyperlink" xfId="2204" builtinId="9" hidden="1"/>
    <cellStyle name="Followed Hyperlink" xfId="2206" builtinId="9" hidden="1"/>
    <cellStyle name="Followed Hyperlink" xfId="2208" builtinId="9" hidden="1"/>
    <cellStyle name="Followed Hyperlink" xfId="2210" builtinId="9" hidden="1"/>
    <cellStyle name="Followed Hyperlink" xfId="2212" builtinId="9" hidden="1"/>
    <cellStyle name="Followed Hyperlink" xfId="2214" builtinId="9" hidden="1"/>
    <cellStyle name="Followed Hyperlink" xfId="2216" builtinId="9" hidden="1"/>
    <cellStyle name="Followed Hyperlink" xfId="2218" builtinId="9" hidden="1"/>
    <cellStyle name="Followed Hyperlink" xfId="2220" builtinId="9" hidden="1"/>
    <cellStyle name="Followed Hyperlink" xfId="2222" builtinId="9" hidden="1"/>
    <cellStyle name="Followed Hyperlink" xfId="2224" builtinId="9" hidden="1"/>
    <cellStyle name="Followed Hyperlink" xfId="2226" builtinId="9" hidden="1"/>
    <cellStyle name="Followed Hyperlink" xfId="2228" builtinId="9" hidden="1"/>
    <cellStyle name="Followed Hyperlink" xfId="2230" builtinId="9" hidden="1"/>
    <cellStyle name="Followed Hyperlink" xfId="2232" builtinId="9" hidden="1"/>
    <cellStyle name="Followed Hyperlink" xfId="2234" builtinId="9" hidden="1"/>
    <cellStyle name="Followed Hyperlink" xfId="2236" builtinId="9" hidden="1"/>
    <cellStyle name="Followed Hyperlink" xfId="2238" builtinId="9" hidden="1"/>
    <cellStyle name="Followed Hyperlink" xfId="2240" builtinId="9" hidden="1"/>
    <cellStyle name="Followed Hyperlink" xfId="2242" builtinId="9" hidden="1"/>
    <cellStyle name="Followed Hyperlink" xfId="2244" builtinId="9" hidden="1"/>
    <cellStyle name="Followed Hyperlink" xfId="2246" builtinId="9" hidden="1"/>
    <cellStyle name="Followed Hyperlink" xfId="2248" builtinId="9" hidden="1"/>
    <cellStyle name="Followed Hyperlink" xfId="2250" builtinId="9" hidden="1"/>
    <cellStyle name="Followed Hyperlink" xfId="2252" builtinId="9" hidden="1"/>
    <cellStyle name="Followed Hyperlink" xfId="2254" builtinId="9" hidden="1"/>
    <cellStyle name="Followed Hyperlink" xfId="2256" builtinId="9" hidden="1"/>
    <cellStyle name="Followed Hyperlink" xfId="2258" builtinId="9" hidden="1"/>
    <cellStyle name="Followed Hyperlink" xfId="2260" builtinId="9" hidden="1"/>
    <cellStyle name="Followed Hyperlink" xfId="2262" builtinId="9" hidden="1"/>
    <cellStyle name="Followed Hyperlink" xfId="2264" builtinId="9" hidden="1"/>
    <cellStyle name="Followed Hyperlink" xfId="2266" builtinId="9" hidden="1"/>
    <cellStyle name="Followed Hyperlink" xfId="2268" builtinId="9" hidden="1"/>
    <cellStyle name="Followed Hyperlink" xfId="2270" builtinId="9" hidden="1"/>
    <cellStyle name="Followed Hyperlink" xfId="2272" builtinId="9" hidden="1"/>
    <cellStyle name="Followed Hyperlink" xfId="2274" builtinId="9" hidden="1"/>
    <cellStyle name="Followed Hyperlink" xfId="2276" builtinId="9" hidden="1"/>
    <cellStyle name="Followed Hyperlink" xfId="2278" builtinId="9" hidden="1"/>
    <cellStyle name="Followed Hyperlink" xfId="2280" builtinId="9" hidden="1"/>
    <cellStyle name="Followed Hyperlink" xfId="2282" builtinId="9" hidden="1"/>
    <cellStyle name="Followed Hyperlink" xfId="2284" builtinId="9" hidden="1"/>
    <cellStyle name="Followed Hyperlink" xfId="2286" builtinId="9" hidden="1"/>
    <cellStyle name="Followed Hyperlink" xfId="2288" builtinId="9" hidden="1"/>
    <cellStyle name="Followed Hyperlink" xfId="2290" builtinId="9" hidden="1"/>
    <cellStyle name="Followed Hyperlink" xfId="2292" builtinId="9" hidden="1"/>
    <cellStyle name="Followed Hyperlink" xfId="2294" builtinId="9" hidden="1"/>
    <cellStyle name="Followed Hyperlink" xfId="2296" builtinId="9" hidden="1"/>
    <cellStyle name="Followed Hyperlink" xfId="2298" builtinId="9" hidden="1"/>
    <cellStyle name="Followed Hyperlink" xfId="2300" builtinId="9" hidden="1"/>
    <cellStyle name="Followed Hyperlink" xfId="2302" builtinId="9" hidden="1"/>
    <cellStyle name="Followed Hyperlink" xfId="2304" builtinId="9" hidden="1"/>
    <cellStyle name="Followed Hyperlink" xfId="2306" builtinId="9" hidden="1"/>
    <cellStyle name="Followed Hyperlink" xfId="2308" builtinId="9" hidden="1"/>
    <cellStyle name="Followed Hyperlink" xfId="2310" builtinId="9" hidden="1"/>
    <cellStyle name="Followed Hyperlink" xfId="2312" builtinId="9" hidden="1"/>
    <cellStyle name="Followed Hyperlink" xfId="2314" builtinId="9" hidden="1"/>
    <cellStyle name="Followed Hyperlink" xfId="2316" builtinId="9" hidden="1"/>
    <cellStyle name="Followed Hyperlink" xfId="2318" builtinId="9" hidden="1"/>
    <cellStyle name="Followed Hyperlink" xfId="2320" builtinId="9" hidden="1"/>
    <cellStyle name="Followed Hyperlink" xfId="2322" builtinId="9" hidden="1"/>
    <cellStyle name="Followed Hyperlink" xfId="2324" builtinId="9" hidden="1"/>
    <cellStyle name="Followed Hyperlink" xfId="2326" builtinId="9" hidden="1"/>
    <cellStyle name="Followed Hyperlink" xfId="2328" builtinId="9" hidden="1"/>
    <cellStyle name="Followed Hyperlink" xfId="2330" builtinId="9" hidden="1"/>
    <cellStyle name="Followed Hyperlink" xfId="2332" builtinId="9" hidden="1"/>
    <cellStyle name="Followed Hyperlink" xfId="2334" builtinId="9" hidden="1"/>
    <cellStyle name="Followed Hyperlink" xfId="2336" builtinId="9" hidden="1"/>
    <cellStyle name="Followed Hyperlink" xfId="2338" builtinId="9" hidden="1"/>
    <cellStyle name="Followed Hyperlink" xfId="2340" builtinId="9" hidden="1"/>
    <cellStyle name="Followed Hyperlink" xfId="2342" builtinId="9" hidden="1"/>
    <cellStyle name="Followed Hyperlink" xfId="2344" builtinId="9" hidden="1"/>
    <cellStyle name="Followed Hyperlink" xfId="2346" builtinId="9" hidden="1"/>
    <cellStyle name="Followed Hyperlink" xfId="2348" builtinId="9" hidden="1"/>
    <cellStyle name="Followed Hyperlink" xfId="2350" builtinId="9" hidden="1"/>
    <cellStyle name="Followed Hyperlink" xfId="2352" builtinId="9" hidden="1"/>
    <cellStyle name="Followed Hyperlink" xfId="2354" builtinId="9" hidden="1"/>
    <cellStyle name="Followed Hyperlink" xfId="2356" builtinId="9" hidden="1"/>
    <cellStyle name="Followed Hyperlink" xfId="2358" builtinId="9" hidden="1"/>
    <cellStyle name="Followed Hyperlink" xfId="2360" builtinId="9" hidden="1"/>
    <cellStyle name="Followed Hyperlink" xfId="2362" builtinId="9" hidden="1"/>
    <cellStyle name="Followed Hyperlink" xfId="2364" builtinId="9" hidden="1"/>
    <cellStyle name="Followed Hyperlink" xfId="2366" builtinId="9" hidden="1"/>
    <cellStyle name="Followed Hyperlink" xfId="2368" builtinId="9" hidden="1"/>
    <cellStyle name="Followed Hyperlink" xfId="2370" builtinId="9" hidden="1"/>
    <cellStyle name="Followed Hyperlink" xfId="2372" builtinId="9" hidden="1"/>
    <cellStyle name="Followed Hyperlink" xfId="2374" builtinId="9" hidden="1"/>
    <cellStyle name="Followed Hyperlink" xfId="2376" builtinId="9" hidden="1"/>
    <cellStyle name="Followed Hyperlink" xfId="2378" builtinId="9" hidden="1"/>
    <cellStyle name="Followed Hyperlink" xfId="2380" builtinId="9" hidden="1"/>
    <cellStyle name="Followed Hyperlink" xfId="2382" builtinId="9" hidden="1"/>
    <cellStyle name="Followed Hyperlink" xfId="2384" builtinId="9" hidden="1"/>
    <cellStyle name="Followed Hyperlink" xfId="2386" builtinId="9" hidden="1"/>
    <cellStyle name="Followed Hyperlink" xfId="2388" builtinId="9" hidden="1"/>
    <cellStyle name="Followed Hyperlink" xfId="2390" builtinId="9" hidden="1"/>
    <cellStyle name="Followed Hyperlink" xfId="2392" builtinId="9" hidden="1"/>
    <cellStyle name="Followed Hyperlink" xfId="2394" builtinId="9" hidden="1"/>
    <cellStyle name="Followed Hyperlink" xfId="2396" builtinId="9" hidden="1"/>
    <cellStyle name="Followed Hyperlink" xfId="2398" builtinId="9" hidden="1"/>
    <cellStyle name="Followed Hyperlink" xfId="2400" builtinId="9" hidden="1"/>
    <cellStyle name="Followed Hyperlink" xfId="2402" builtinId="9" hidden="1"/>
    <cellStyle name="Followed Hyperlink" xfId="2404" builtinId="9" hidden="1"/>
    <cellStyle name="Followed Hyperlink" xfId="2406" builtinId="9" hidden="1"/>
    <cellStyle name="Followed Hyperlink" xfId="2408" builtinId="9" hidden="1"/>
    <cellStyle name="Followed Hyperlink" xfId="2410" builtinId="9" hidden="1"/>
    <cellStyle name="Followed Hyperlink" xfId="2412" builtinId="9" hidden="1"/>
    <cellStyle name="Followed Hyperlink" xfId="2414" builtinId="9" hidden="1"/>
    <cellStyle name="Followed Hyperlink" xfId="2416" builtinId="9" hidden="1"/>
    <cellStyle name="Followed Hyperlink" xfId="2418" builtinId="9" hidden="1"/>
    <cellStyle name="Followed Hyperlink" xfId="2420" builtinId="9" hidden="1"/>
    <cellStyle name="Followed Hyperlink" xfId="2422" builtinId="9" hidden="1"/>
    <cellStyle name="Followed Hyperlink" xfId="2424" builtinId="9" hidden="1"/>
    <cellStyle name="Followed Hyperlink" xfId="2426" builtinId="9" hidden="1"/>
    <cellStyle name="Followed Hyperlink" xfId="2428" builtinId="9" hidden="1"/>
    <cellStyle name="Followed Hyperlink" xfId="2430" builtinId="9" hidden="1"/>
    <cellStyle name="Followed Hyperlink" xfId="2432" builtinId="9" hidden="1"/>
    <cellStyle name="Followed Hyperlink" xfId="2434" builtinId="9" hidden="1"/>
    <cellStyle name="Followed Hyperlink" xfId="2436" builtinId="9" hidden="1"/>
    <cellStyle name="Followed Hyperlink" xfId="2438" builtinId="9" hidden="1"/>
    <cellStyle name="Followed Hyperlink" xfId="2440" builtinId="9" hidden="1"/>
    <cellStyle name="Followed Hyperlink" xfId="2442" builtinId="9" hidden="1"/>
    <cellStyle name="Followed Hyperlink" xfId="2444" builtinId="9" hidden="1"/>
    <cellStyle name="Followed Hyperlink" xfId="2446" builtinId="9" hidden="1"/>
    <cellStyle name="Followed Hyperlink" xfId="2448" builtinId="9" hidden="1"/>
    <cellStyle name="Followed Hyperlink" xfId="2450" builtinId="9" hidden="1"/>
    <cellStyle name="Followed Hyperlink" xfId="2452" builtinId="9" hidden="1"/>
    <cellStyle name="Followed Hyperlink" xfId="2454" builtinId="9" hidden="1"/>
    <cellStyle name="Followed Hyperlink" xfId="2456" builtinId="9" hidden="1"/>
    <cellStyle name="Followed Hyperlink" xfId="2458" builtinId="9" hidden="1"/>
    <cellStyle name="Followed Hyperlink" xfId="2460" builtinId="9" hidden="1"/>
    <cellStyle name="Followed Hyperlink" xfId="2462" builtinId="9" hidden="1"/>
    <cellStyle name="Followed Hyperlink" xfId="2464" builtinId="9" hidden="1"/>
    <cellStyle name="Followed Hyperlink" xfId="2466" builtinId="9" hidden="1"/>
    <cellStyle name="Followed Hyperlink" xfId="2468" builtinId="9" hidden="1"/>
    <cellStyle name="Followed Hyperlink" xfId="2470" builtinId="9" hidden="1"/>
    <cellStyle name="Followed Hyperlink" xfId="2472" builtinId="9" hidden="1"/>
    <cellStyle name="Followed Hyperlink" xfId="2474" builtinId="9" hidden="1"/>
    <cellStyle name="Followed Hyperlink" xfId="2476" builtinId="9" hidden="1"/>
    <cellStyle name="Followed Hyperlink" xfId="2478" builtinId="9" hidden="1"/>
    <cellStyle name="Followed Hyperlink" xfId="2480" builtinId="9" hidden="1"/>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4" builtinId="9" hidden="1"/>
    <cellStyle name="Followed Hyperlink" xfId="2606" builtinId="9" hidden="1"/>
    <cellStyle name="Followed Hyperlink" xfId="2608" builtinId="9" hidden="1"/>
    <cellStyle name="Followed Hyperlink" xfId="2610" builtinId="9" hidden="1"/>
    <cellStyle name="Followed Hyperlink" xfId="2612" builtinId="9" hidden="1"/>
    <cellStyle name="Followed Hyperlink" xfId="2614" builtinId="9" hidden="1"/>
    <cellStyle name="Followed Hyperlink" xfId="2616" builtinId="9" hidden="1"/>
    <cellStyle name="Followed Hyperlink" xfId="2618" builtinId="9" hidden="1"/>
    <cellStyle name="Followed Hyperlink" xfId="2620" builtinId="9" hidden="1"/>
    <cellStyle name="Followed Hyperlink" xfId="2622" builtinId="9" hidden="1"/>
    <cellStyle name="Followed Hyperlink" xfId="2624" builtinId="9" hidden="1"/>
    <cellStyle name="Followed Hyperlink" xfId="2626" builtinId="9" hidden="1"/>
    <cellStyle name="Followed Hyperlink" xfId="2628" builtinId="9" hidden="1"/>
    <cellStyle name="Followed Hyperlink" xfId="2630" builtinId="9" hidden="1"/>
    <cellStyle name="Followed Hyperlink" xfId="2632" builtinId="9" hidden="1"/>
    <cellStyle name="Followed Hyperlink" xfId="2634" builtinId="9" hidden="1"/>
    <cellStyle name="Followed Hyperlink" xfId="2636" builtinId="9" hidden="1"/>
    <cellStyle name="Followed Hyperlink" xfId="2638" builtinId="9" hidden="1"/>
    <cellStyle name="Followed Hyperlink" xfId="2640" builtinId="9" hidden="1"/>
    <cellStyle name="Followed Hyperlink" xfId="2642" builtinId="9" hidden="1"/>
    <cellStyle name="Followed Hyperlink" xfId="2644" builtinId="9" hidden="1"/>
    <cellStyle name="Followed Hyperlink" xfId="2646" builtinId="9" hidden="1"/>
    <cellStyle name="Followed Hyperlink" xfId="2648" builtinId="9" hidden="1"/>
    <cellStyle name="Followed Hyperlink" xfId="2650" builtinId="9" hidden="1"/>
    <cellStyle name="Followed Hyperlink" xfId="2652" builtinId="9" hidden="1"/>
    <cellStyle name="Followed Hyperlink" xfId="2654" builtinId="9" hidden="1"/>
    <cellStyle name="Followed Hyperlink" xfId="2656" builtinId="9" hidden="1"/>
    <cellStyle name="Followed Hyperlink" xfId="2658" builtinId="9" hidden="1"/>
    <cellStyle name="Followed Hyperlink" xfId="2660" builtinId="9" hidden="1"/>
    <cellStyle name="Followed Hyperlink" xfId="2662" builtinId="9" hidden="1"/>
    <cellStyle name="Followed Hyperlink" xfId="2664" builtinId="9" hidden="1"/>
    <cellStyle name="Followed Hyperlink" xfId="2666" builtinId="9" hidden="1"/>
    <cellStyle name="Followed Hyperlink" xfId="2668" builtinId="9" hidden="1"/>
    <cellStyle name="Followed Hyperlink" xfId="2670" builtinId="9" hidden="1"/>
    <cellStyle name="Followed Hyperlink" xfId="2672" builtinId="9" hidden="1"/>
    <cellStyle name="Followed Hyperlink" xfId="2674" builtinId="9" hidden="1"/>
    <cellStyle name="Followed Hyperlink" xfId="2676" builtinId="9" hidden="1"/>
    <cellStyle name="Followed Hyperlink" xfId="2678" builtinId="9" hidden="1"/>
    <cellStyle name="Followed Hyperlink" xfId="2680" builtinId="9" hidden="1"/>
    <cellStyle name="Followed Hyperlink" xfId="2682" builtinId="9" hidden="1"/>
    <cellStyle name="Followed Hyperlink" xfId="2684" builtinId="9" hidden="1"/>
    <cellStyle name="Followed Hyperlink" xfId="2686" builtinId="9" hidden="1"/>
    <cellStyle name="Followed Hyperlink" xfId="2688" builtinId="9" hidden="1"/>
    <cellStyle name="Followed Hyperlink" xfId="2690" builtinId="9" hidden="1"/>
    <cellStyle name="Followed Hyperlink" xfId="2692" builtinId="9" hidden="1"/>
    <cellStyle name="Followed Hyperlink" xfId="2694" builtinId="9" hidden="1"/>
    <cellStyle name="Followed Hyperlink" xfId="2696" builtinId="9" hidden="1"/>
    <cellStyle name="Followed Hyperlink" xfId="2698" builtinId="9" hidden="1"/>
    <cellStyle name="Followed Hyperlink" xfId="2700" builtinId="9" hidden="1"/>
    <cellStyle name="Followed Hyperlink" xfId="2702" builtinId="9" hidden="1"/>
    <cellStyle name="Followed Hyperlink" xfId="2704" builtinId="9" hidden="1"/>
    <cellStyle name="Followed Hyperlink" xfId="2706" builtinId="9" hidden="1"/>
    <cellStyle name="Followed Hyperlink" xfId="2708" builtinId="9" hidden="1"/>
    <cellStyle name="Followed Hyperlink" xfId="2710" builtinId="9" hidden="1"/>
    <cellStyle name="Followed Hyperlink" xfId="2712" builtinId="9" hidden="1"/>
    <cellStyle name="Followed Hyperlink" xfId="2714" builtinId="9" hidden="1"/>
    <cellStyle name="Followed Hyperlink" xfId="2716" builtinId="9" hidden="1"/>
    <cellStyle name="Followed Hyperlink" xfId="2718" builtinId="9" hidden="1"/>
    <cellStyle name="Followed Hyperlink" xfId="2720" builtinId="9" hidden="1"/>
    <cellStyle name="Followed Hyperlink" xfId="2722" builtinId="9" hidden="1"/>
    <cellStyle name="Followed Hyperlink" xfId="2724" builtinId="9" hidden="1"/>
    <cellStyle name="Followed Hyperlink" xfId="2726" builtinId="9" hidden="1"/>
    <cellStyle name="Followed Hyperlink" xfId="2728" builtinId="9" hidden="1"/>
    <cellStyle name="Followed Hyperlink" xfId="2730" builtinId="9" hidden="1"/>
    <cellStyle name="Followed Hyperlink" xfId="2732" builtinId="9" hidden="1"/>
    <cellStyle name="Followed Hyperlink" xfId="2734" builtinId="9" hidden="1"/>
    <cellStyle name="Followed Hyperlink" xfId="2736" builtinId="9" hidden="1"/>
    <cellStyle name="Followed Hyperlink" xfId="2738" builtinId="9" hidden="1"/>
    <cellStyle name="Followed Hyperlink" xfId="2740" builtinId="9" hidden="1"/>
    <cellStyle name="Followed Hyperlink" xfId="2742" builtinId="9" hidden="1"/>
    <cellStyle name="Followed Hyperlink" xfId="2744" builtinId="9" hidden="1"/>
    <cellStyle name="Followed Hyperlink" xfId="2746" builtinId="9" hidden="1"/>
    <cellStyle name="Followed Hyperlink" xfId="2748" builtinId="9" hidden="1"/>
    <cellStyle name="Followed Hyperlink" xfId="2750" builtinId="9" hidden="1"/>
    <cellStyle name="Followed Hyperlink" xfId="2752" builtinId="9" hidden="1"/>
    <cellStyle name="Followed Hyperlink" xfId="2754" builtinId="9" hidden="1"/>
    <cellStyle name="Followed Hyperlink" xfId="2756" builtinId="9" hidden="1"/>
    <cellStyle name="Followed Hyperlink" xfId="2758" builtinId="9" hidden="1"/>
    <cellStyle name="Followed Hyperlink" xfId="2760" builtinId="9" hidden="1"/>
    <cellStyle name="Followed Hyperlink" xfId="2762" builtinId="9" hidden="1"/>
    <cellStyle name="Followed Hyperlink" xfId="2764" builtinId="9" hidden="1"/>
    <cellStyle name="Followed Hyperlink" xfId="2766" builtinId="9" hidden="1"/>
    <cellStyle name="Followed Hyperlink" xfId="2768" builtinId="9" hidden="1"/>
    <cellStyle name="Followed Hyperlink" xfId="2770" builtinId="9" hidden="1"/>
    <cellStyle name="Followed Hyperlink" xfId="2772" builtinId="9" hidden="1"/>
    <cellStyle name="Followed Hyperlink" xfId="2774" builtinId="9" hidden="1"/>
    <cellStyle name="Followed Hyperlink" xfId="2776" builtinId="9" hidden="1"/>
    <cellStyle name="Followed Hyperlink" xfId="2778" builtinId="9" hidden="1"/>
    <cellStyle name="Followed Hyperlink" xfId="2780" builtinId="9" hidden="1"/>
    <cellStyle name="Followed Hyperlink" xfId="2782" builtinId="9" hidden="1"/>
    <cellStyle name="Followed Hyperlink" xfId="2784" builtinId="9" hidden="1"/>
    <cellStyle name="Followed Hyperlink" xfId="2786" builtinId="9" hidden="1"/>
    <cellStyle name="Followed Hyperlink" xfId="2788" builtinId="9" hidden="1"/>
    <cellStyle name="Followed Hyperlink" xfId="2790" builtinId="9" hidden="1"/>
    <cellStyle name="Followed Hyperlink" xfId="2792" builtinId="9" hidden="1"/>
    <cellStyle name="Followed Hyperlink" xfId="2794" builtinId="9" hidden="1"/>
    <cellStyle name="Followed Hyperlink" xfId="2796" builtinId="9" hidden="1"/>
    <cellStyle name="Followed Hyperlink" xfId="2798" builtinId="9" hidden="1"/>
    <cellStyle name="Followed Hyperlink" xfId="2800" builtinId="9" hidden="1"/>
    <cellStyle name="Followed Hyperlink" xfId="2802" builtinId="9" hidden="1"/>
    <cellStyle name="Followed Hyperlink" xfId="2804" builtinId="9" hidden="1"/>
    <cellStyle name="Followed Hyperlink" xfId="2806" builtinId="9" hidden="1"/>
    <cellStyle name="Followed Hyperlink" xfId="2808" builtinId="9" hidden="1"/>
    <cellStyle name="Followed Hyperlink" xfId="2810" builtinId="9" hidden="1"/>
    <cellStyle name="Followed Hyperlink" xfId="2812" builtinId="9" hidden="1"/>
    <cellStyle name="Followed Hyperlink" xfId="2814" builtinId="9" hidden="1"/>
    <cellStyle name="Followed Hyperlink" xfId="2816" builtinId="9" hidden="1"/>
    <cellStyle name="Followed Hyperlink" xfId="2818" builtinId="9" hidden="1"/>
    <cellStyle name="Followed Hyperlink" xfId="2820" builtinId="9" hidden="1"/>
    <cellStyle name="Followed Hyperlink" xfId="2822" builtinId="9" hidden="1"/>
    <cellStyle name="Followed Hyperlink" xfId="2824" builtinId="9" hidden="1"/>
    <cellStyle name="Followed Hyperlink" xfId="2826" builtinId="9" hidden="1"/>
    <cellStyle name="Followed Hyperlink" xfId="2828" builtinId="9" hidden="1"/>
    <cellStyle name="Followed Hyperlink" xfId="2830" builtinId="9" hidden="1"/>
    <cellStyle name="Followed Hyperlink" xfId="2832" builtinId="9" hidden="1"/>
    <cellStyle name="Followed Hyperlink" xfId="2834" builtinId="9" hidden="1"/>
    <cellStyle name="Followed Hyperlink" xfId="2836" builtinId="9" hidden="1"/>
    <cellStyle name="Followed Hyperlink" xfId="2838" builtinId="9" hidden="1"/>
    <cellStyle name="Followed Hyperlink" xfId="2840" builtinId="9" hidden="1"/>
    <cellStyle name="Followed Hyperlink" xfId="2842" builtinId="9" hidden="1"/>
    <cellStyle name="Followed Hyperlink" xfId="2844" builtinId="9" hidden="1"/>
    <cellStyle name="Followed Hyperlink" xfId="2846" builtinId="9" hidden="1"/>
    <cellStyle name="Followed Hyperlink" xfId="2848" builtinId="9" hidden="1"/>
    <cellStyle name="Followed Hyperlink" xfId="2850" builtinId="9" hidden="1"/>
    <cellStyle name="Followed Hyperlink" xfId="2852" builtinId="9" hidden="1"/>
    <cellStyle name="Followed Hyperlink" xfId="2854" builtinId="9" hidden="1"/>
    <cellStyle name="Followed Hyperlink" xfId="2856" builtinId="9" hidden="1"/>
    <cellStyle name="Followed Hyperlink" xfId="2858" builtinId="9" hidden="1"/>
    <cellStyle name="Followed Hyperlink" xfId="2860" builtinId="9" hidden="1"/>
    <cellStyle name="Followed Hyperlink" xfId="2862" builtinId="9" hidden="1"/>
    <cellStyle name="Followed Hyperlink" xfId="2864" builtinId="9" hidden="1"/>
    <cellStyle name="Followed Hyperlink" xfId="2866" builtinId="9" hidden="1"/>
    <cellStyle name="Followed Hyperlink" xfId="2868" builtinId="9" hidden="1"/>
    <cellStyle name="Followed Hyperlink" xfId="2870" builtinId="9" hidden="1"/>
    <cellStyle name="Followed Hyperlink" xfId="2872" builtinId="9" hidden="1"/>
    <cellStyle name="Followed Hyperlink" xfId="2874" builtinId="9" hidden="1"/>
    <cellStyle name="Followed Hyperlink" xfId="2876" builtinId="9" hidden="1"/>
    <cellStyle name="Followed Hyperlink" xfId="2878" builtinId="9" hidden="1"/>
    <cellStyle name="Followed Hyperlink" xfId="2880" builtinId="9" hidden="1"/>
    <cellStyle name="Followed Hyperlink" xfId="2882" builtinId="9" hidden="1"/>
    <cellStyle name="Followed Hyperlink" xfId="2884" builtinId="9" hidden="1"/>
    <cellStyle name="Followed Hyperlink" xfId="2886" builtinId="9" hidden="1"/>
    <cellStyle name="Followed Hyperlink" xfId="2888" builtinId="9" hidden="1"/>
    <cellStyle name="Followed Hyperlink" xfId="2890" builtinId="9" hidden="1"/>
    <cellStyle name="Followed Hyperlink" xfId="2892" builtinId="9" hidden="1"/>
    <cellStyle name="Followed Hyperlink" xfId="2894" builtinId="9" hidden="1"/>
    <cellStyle name="Followed Hyperlink" xfId="2896" builtinId="9" hidden="1"/>
    <cellStyle name="Followed Hyperlink" xfId="2898" builtinId="9" hidden="1"/>
    <cellStyle name="Followed Hyperlink" xfId="2900" builtinId="9" hidden="1"/>
    <cellStyle name="Followed Hyperlink" xfId="2902" builtinId="9" hidden="1"/>
    <cellStyle name="Followed Hyperlink" xfId="2904" builtinId="9" hidden="1"/>
    <cellStyle name="Followed Hyperlink" xfId="2906" builtinId="9" hidden="1"/>
    <cellStyle name="Followed Hyperlink" xfId="2908" builtinId="9" hidden="1"/>
    <cellStyle name="Followed Hyperlink" xfId="2910" builtinId="9" hidden="1"/>
    <cellStyle name="Followed Hyperlink" xfId="2912" builtinId="9" hidden="1"/>
    <cellStyle name="Followed Hyperlink" xfId="2914" builtinId="9" hidden="1"/>
    <cellStyle name="Followed Hyperlink" xfId="2916" builtinId="9" hidden="1"/>
    <cellStyle name="Followed Hyperlink" xfId="2918" builtinId="9" hidden="1"/>
    <cellStyle name="Followed Hyperlink" xfId="2920" builtinId="9" hidden="1"/>
    <cellStyle name="Followed Hyperlink" xfId="2922" builtinId="9" hidden="1"/>
    <cellStyle name="Followed Hyperlink" xfId="2924" builtinId="9" hidden="1"/>
    <cellStyle name="Followed Hyperlink" xfId="2926" builtinId="9" hidden="1"/>
    <cellStyle name="Followed Hyperlink" xfId="2928" builtinId="9" hidden="1"/>
    <cellStyle name="Followed Hyperlink" xfId="2930" builtinId="9" hidden="1"/>
    <cellStyle name="Followed Hyperlink" xfId="2932" builtinId="9" hidden="1"/>
    <cellStyle name="Followed Hyperlink" xfId="2934" builtinId="9" hidden="1"/>
    <cellStyle name="Followed Hyperlink" xfId="2936" builtinId="9" hidden="1"/>
    <cellStyle name="Followed Hyperlink" xfId="2938" builtinId="9" hidden="1"/>
    <cellStyle name="Followed Hyperlink" xfId="2940" builtinId="9" hidden="1"/>
    <cellStyle name="Followed Hyperlink" xfId="2942" builtinId="9" hidden="1"/>
    <cellStyle name="Followed Hyperlink" xfId="2944" builtinId="9" hidden="1"/>
    <cellStyle name="Followed Hyperlink" xfId="2946" builtinId="9" hidden="1"/>
    <cellStyle name="Followed Hyperlink" xfId="2948" builtinId="9" hidden="1"/>
    <cellStyle name="Followed Hyperlink" xfId="2950" builtinId="9" hidden="1"/>
    <cellStyle name="Followed Hyperlink" xfId="2952" builtinId="9" hidden="1"/>
    <cellStyle name="Followed Hyperlink" xfId="2954" builtinId="9" hidden="1"/>
    <cellStyle name="Followed Hyperlink" xfId="2956" builtinId="9" hidden="1"/>
    <cellStyle name="Followed Hyperlink" xfId="2958" builtinId="9" hidden="1"/>
    <cellStyle name="Followed Hyperlink" xfId="2960" builtinId="9" hidden="1"/>
    <cellStyle name="Followed Hyperlink" xfId="2962" builtinId="9" hidden="1"/>
    <cellStyle name="Followed Hyperlink" xfId="2964" builtinId="9" hidden="1"/>
    <cellStyle name="Followed Hyperlink" xfId="2966" builtinId="9" hidden="1"/>
    <cellStyle name="Followed Hyperlink" xfId="2968" builtinId="9" hidden="1"/>
    <cellStyle name="Followed Hyperlink" xfId="2970" builtinId="9" hidden="1"/>
    <cellStyle name="Followed Hyperlink" xfId="2972" builtinId="9" hidden="1"/>
    <cellStyle name="Followed Hyperlink" xfId="2974" builtinId="9" hidden="1"/>
    <cellStyle name="Followed Hyperlink" xfId="2976" builtinId="9" hidden="1"/>
    <cellStyle name="Followed Hyperlink" xfId="2978" builtinId="9" hidden="1"/>
    <cellStyle name="Followed Hyperlink" xfId="2980" builtinId="9" hidden="1"/>
    <cellStyle name="Followed Hyperlink" xfId="2982" builtinId="9" hidden="1"/>
    <cellStyle name="Followed Hyperlink" xfId="2984" builtinId="9" hidden="1"/>
    <cellStyle name="Followed Hyperlink" xfId="2986" builtinId="9" hidden="1"/>
    <cellStyle name="Followed Hyperlink" xfId="2988" builtinId="9" hidden="1"/>
    <cellStyle name="Followed Hyperlink" xfId="2990" builtinId="9" hidden="1"/>
    <cellStyle name="Followed Hyperlink" xfId="2992" builtinId="9" hidden="1"/>
    <cellStyle name="Followed Hyperlink" xfId="2994" builtinId="9" hidden="1"/>
    <cellStyle name="Followed Hyperlink" xfId="2996" builtinId="9" hidden="1"/>
    <cellStyle name="Followed Hyperlink" xfId="2998" builtinId="9" hidden="1"/>
    <cellStyle name="Followed Hyperlink" xfId="3000" builtinId="9" hidden="1"/>
    <cellStyle name="Followed Hyperlink" xfId="3002" builtinId="9" hidden="1"/>
    <cellStyle name="Followed Hyperlink" xfId="3004" builtinId="9" hidden="1"/>
    <cellStyle name="Followed Hyperlink" xfId="3006" builtinId="9" hidden="1"/>
    <cellStyle name="Followed Hyperlink" xfId="3008" builtinId="9" hidden="1"/>
    <cellStyle name="Followed Hyperlink" xfId="3010" builtinId="9" hidden="1"/>
    <cellStyle name="Followed Hyperlink" xfId="3012" builtinId="9" hidden="1"/>
    <cellStyle name="Followed Hyperlink" xfId="3014" builtinId="9" hidden="1"/>
    <cellStyle name="Followed Hyperlink" xfId="3016" builtinId="9" hidden="1"/>
    <cellStyle name="Followed Hyperlink" xfId="3018" builtinId="9" hidden="1"/>
    <cellStyle name="Followed Hyperlink" xfId="3020" builtinId="9" hidden="1"/>
    <cellStyle name="Followed Hyperlink" xfId="3022" builtinId="9" hidden="1"/>
    <cellStyle name="Followed Hyperlink" xfId="3024" builtinId="9" hidden="1"/>
    <cellStyle name="Followed Hyperlink" xfId="3026" builtinId="9" hidden="1"/>
    <cellStyle name="Followed Hyperlink" xfId="3028" builtinId="9" hidden="1"/>
    <cellStyle name="Followed Hyperlink" xfId="3030" builtinId="9" hidden="1"/>
    <cellStyle name="Followed Hyperlink" xfId="3032" builtinId="9" hidden="1"/>
    <cellStyle name="Followed Hyperlink" xfId="3034" builtinId="9" hidden="1"/>
    <cellStyle name="Followed Hyperlink" xfId="3036" builtinId="9" hidden="1"/>
    <cellStyle name="Followed Hyperlink" xfId="3038" builtinId="9" hidden="1"/>
    <cellStyle name="Followed Hyperlink" xfId="3040" builtinId="9" hidden="1"/>
    <cellStyle name="Followed Hyperlink" xfId="3042" builtinId="9" hidden="1"/>
    <cellStyle name="Followed Hyperlink" xfId="3044" builtinId="9" hidden="1"/>
    <cellStyle name="Followed Hyperlink" xfId="3046" builtinId="9" hidden="1"/>
    <cellStyle name="Followed Hyperlink" xfId="3048" builtinId="9" hidden="1"/>
    <cellStyle name="Followed Hyperlink" xfId="3050" builtinId="9" hidden="1"/>
    <cellStyle name="Followed Hyperlink" xfId="3052" builtinId="9" hidden="1"/>
    <cellStyle name="Followed Hyperlink" xfId="3054" builtinId="9" hidden="1"/>
    <cellStyle name="Followed Hyperlink" xfId="3056" builtinId="9" hidden="1"/>
    <cellStyle name="Followed Hyperlink" xfId="3058" builtinId="9" hidden="1"/>
    <cellStyle name="Followed Hyperlink" xfId="3060" builtinId="9" hidden="1"/>
    <cellStyle name="Followed Hyperlink" xfId="3062" builtinId="9" hidden="1"/>
    <cellStyle name="Followed Hyperlink" xfId="3064" builtinId="9" hidden="1"/>
    <cellStyle name="Followed Hyperlink" xfId="3066" builtinId="9" hidden="1"/>
    <cellStyle name="Followed Hyperlink" xfId="3068" builtinId="9" hidden="1"/>
    <cellStyle name="Followed Hyperlink" xfId="3070" builtinId="9" hidden="1"/>
    <cellStyle name="Followed Hyperlink" xfId="3072" builtinId="9" hidden="1"/>
    <cellStyle name="Followed Hyperlink" xfId="3074" builtinId="9" hidden="1"/>
    <cellStyle name="Followed Hyperlink" xfId="3076" builtinId="9" hidden="1"/>
    <cellStyle name="Followed Hyperlink" xfId="3078" builtinId="9" hidden="1"/>
    <cellStyle name="Followed Hyperlink" xfId="3080" builtinId="9" hidden="1"/>
    <cellStyle name="Followed Hyperlink" xfId="3082" builtinId="9" hidden="1"/>
    <cellStyle name="Followed Hyperlink" xfId="3084" builtinId="9" hidden="1"/>
    <cellStyle name="Followed Hyperlink" xfId="3086" builtinId="9" hidden="1"/>
    <cellStyle name="Followed Hyperlink" xfId="3088" builtinId="9" hidden="1"/>
    <cellStyle name="Followed Hyperlink" xfId="3090" builtinId="9" hidden="1"/>
    <cellStyle name="Followed Hyperlink" xfId="3092" builtinId="9" hidden="1"/>
    <cellStyle name="Followed Hyperlink" xfId="3094" builtinId="9" hidden="1"/>
    <cellStyle name="Followed Hyperlink" xfId="3096" builtinId="9" hidden="1"/>
    <cellStyle name="Followed Hyperlink" xfId="3098" builtinId="9" hidden="1"/>
    <cellStyle name="Followed Hyperlink" xfId="3100" builtinId="9" hidden="1"/>
    <cellStyle name="Followed Hyperlink" xfId="3102"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0" builtinId="9" hidden="1"/>
    <cellStyle name="Followed Hyperlink" xfId="3152" builtinId="9" hidden="1"/>
    <cellStyle name="Followed Hyperlink" xfId="3154" builtinId="9" hidden="1"/>
    <cellStyle name="Followed Hyperlink" xfId="3156" builtinId="9" hidden="1"/>
    <cellStyle name="Followed Hyperlink" xfId="3158" builtinId="9" hidden="1"/>
    <cellStyle name="Followed Hyperlink" xfId="3160" builtinId="9" hidden="1"/>
    <cellStyle name="Followed Hyperlink" xfId="3162" builtinId="9" hidden="1"/>
    <cellStyle name="Followed Hyperlink" xfId="3164" builtinId="9" hidden="1"/>
    <cellStyle name="Followed Hyperlink" xfId="3166" builtinId="9" hidden="1"/>
    <cellStyle name="Followed Hyperlink" xfId="3168" builtinId="9" hidden="1"/>
    <cellStyle name="Followed Hyperlink" xfId="3170" builtinId="9" hidden="1"/>
    <cellStyle name="Followed Hyperlink" xfId="3172" builtinId="9" hidden="1"/>
    <cellStyle name="Followed Hyperlink" xfId="3174" builtinId="9" hidden="1"/>
    <cellStyle name="Followed Hyperlink" xfId="3176" builtinId="9" hidden="1"/>
    <cellStyle name="Followed Hyperlink" xfId="3178" builtinId="9" hidden="1"/>
    <cellStyle name="Followed Hyperlink" xfId="3180" builtinId="9" hidden="1"/>
    <cellStyle name="Followed Hyperlink" xfId="3182" builtinId="9" hidden="1"/>
    <cellStyle name="Followed Hyperlink" xfId="3184" builtinId="9" hidden="1"/>
    <cellStyle name="Followed Hyperlink" xfId="3186" builtinId="9" hidden="1"/>
    <cellStyle name="Followed Hyperlink" xfId="3188" builtinId="9" hidden="1"/>
    <cellStyle name="Followed Hyperlink" xfId="3190" builtinId="9" hidden="1"/>
    <cellStyle name="Followed Hyperlink" xfId="3192" builtinId="9" hidden="1"/>
    <cellStyle name="Followed Hyperlink" xfId="3194" builtinId="9" hidden="1"/>
    <cellStyle name="Followed Hyperlink" xfId="3196" builtinId="9" hidden="1"/>
    <cellStyle name="Followed Hyperlink" xfId="3198" builtinId="9" hidden="1"/>
    <cellStyle name="Followed Hyperlink" xfId="3200" builtinId="9" hidden="1"/>
    <cellStyle name="Followed Hyperlink" xfId="3202" builtinId="9" hidden="1"/>
    <cellStyle name="Followed Hyperlink" xfId="3204" builtinId="9" hidden="1"/>
    <cellStyle name="Followed Hyperlink" xfId="3206" builtinId="9" hidden="1"/>
    <cellStyle name="Followed Hyperlink" xfId="3208" builtinId="9" hidden="1"/>
    <cellStyle name="Followed Hyperlink" xfId="3210" builtinId="9" hidden="1"/>
    <cellStyle name="Followed Hyperlink" xfId="3212" builtinId="9" hidden="1"/>
    <cellStyle name="Followed Hyperlink" xfId="3214" builtinId="9" hidden="1"/>
    <cellStyle name="Followed Hyperlink" xfId="3216" builtinId="9" hidden="1"/>
    <cellStyle name="Followed Hyperlink" xfId="3218" builtinId="9" hidden="1"/>
    <cellStyle name="Followed Hyperlink" xfId="3220" builtinId="9" hidden="1"/>
    <cellStyle name="Followed Hyperlink" xfId="3222" builtinId="9" hidden="1"/>
    <cellStyle name="Followed Hyperlink" xfId="3224" builtinId="9" hidden="1"/>
    <cellStyle name="Followed Hyperlink" xfId="3226" builtinId="9" hidden="1"/>
    <cellStyle name="Followed Hyperlink" xfId="3228" builtinId="9" hidden="1"/>
    <cellStyle name="Followed Hyperlink" xfId="3230" builtinId="9" hidden="1"/>
    <cellStyle name="Followed Hyperlink" xfId="3232" builtinId="9" hidden="1"/>
    <cellStyle name="Followed Hyperlink" xfId="3234" builtinId="9" hidden="1"/>
    <cellStyle name="Followed Hyperlink" xfId="3236" builtinId="9" hidden="1"/>
    <cellStyle name="Followed Hyperlink" xfId="3238" builtinId="9" hidden="1"/>
    <cellStyle name="Followed Hyperlink" xfId="3240" builtinId="9" hidden="1"/>
    <cellStyle name="Followed Hyperlink" xfId="3242" builtinId="9" hidden="1"/>
    <cellStyle name="Followed Hyperlink" xfId="3244" builtinId="9" hidden="1"/>
    <cellStyle name="Followed Hyperlink" xfId="3246" builtinId="9" hidden="1"/>
    <cellStyle name="Followed Hyperlink" xfId="3248" builtinId="9" hidden="1"/>
    <cellStyle name="Followed Hyperlink" xfId="3250" builtinId="9" hidden="1"/>
    <cellStyle name="Followed Hyperlink" xfId="3252" builtinId="9" hidden="1"/>
    <cellStyle name="Followed Hyperlink" xfId="3254" builtinId="9" hidden="1"/>
    <cellStyle name="Followed Hyperlink" xfId="3256" builtinId="9" hidden="1"/>
    <cellStyle name="Followed Hyperlink" xfId="3258" builtinId="9" hidden="1"/>
    <cellStyle name="Followed Hyperlink" xfId="3260" builtinId="9" hidden="1"/>
    <cellStyle name="Followed Hyperlink" xfId="3262" builtinId="9" hidden="1"/>
    <cellStyle name="Followed Hyperlink" xfId="3264" builtinId="9" hidden="1"/>
    <cellStyle name="Followed Hyperlink" xfId="3266" builtinId="9" hidden="1"/>
    <cellStyle name="Followed Hyperlink" xfId="3268" builtinId="9" hidden="1"/>
    <cellStyle name="Followed Hyperlink" xfId="3270" builtinId="9" hidden="1"/>
    <cellStyle name="Followed Hyperlink" xfId="3272" builtinId="9" hidden="1"/>
    <cellStyle name="Followed Hyperlink" xfId="3274" builtinId="9" hidden="1"/>
    <cellStyle name="Followed Hyperlink" xfId="3276" builtinId="9" hidden="1"/>
    <cellStyle name="Followed Hyperlink" xfId="3278" builtinId="9" hidden="1"/>
    <cellStyle name="Followed Hyperlink" xfId="3280" builtinId="9" hidden="1"/>
    <cellStyle name="Followed Hyperlink" xfId="3282" builtinId="9" hidden="1"/>
    <cellStyle name="Followed Hyperlink" xfId="3284" builtinId="9" hidden="1"/>
    <cellStyle name="Followed Hyperlink" xfId="3286" builtinId="9" hidden="1"/>
    <cellStyle name="Followed Hyperlink" xfId="3288" builtinId="9" hidden="1"/>
    <cellStyle name="Followed Hyperlink" xfId="3290" builtinId="9" hidden="1"/>
    <cellStyle name="Followed Hyperlink" xfId="3292" builtinId="9" hidden="1"/>
    <cellStyle name="Followed Hyperlink" xfId="3294" builtinId="9" hidden="1"/>
    <cellStyle name="Followed Hyperlink" xfId="3296" builtinId="9" hidden="1"/>
    <cellStyle name="Followed Hyperlink" xfId="3298" builtinId="9" hidden="1"/>
    <cellStyle name="Followed Hyperlink" xfId="3300" builtinId="9" hidden="1"/>
    <cellStyle name="Followed Hyperlink" xfId="3302" builtinId="9" hidden="1"/>
    <cellStyle name="Followed Hyperlink" xfId="3304" builtinId="9" hidden="1"/>
    <cellStyle name="Followed Hyperlink" xfId="3306" builtinId="9" hidden="1"/>
    <cellStyle name="Followed Hyperlink" xfId="3308" builtinId="9" hidden="1"/>
    <cellStyle name="Followed Hyperlink" xfId="3310" builtinId="9" hidden="1"/>
    <cellStyle name="Followed Hyperlink" xfId="3312" builtinId="9" hidden="1"/>
    <cellStyle name="Followed Hyperlink" xfId="3314" builtinId="9" hidden="1"/>
    <cellStyle name="Followed Hyperlink" xfId="3316" builtinId="9" hidden="1"/>
    <cellStyle name="Followed Hyperlink" xfId="3318" builtinId="9" hidden="1"/>
    <cellStyle name="Followed Hyperlink" xfId="3320" builtinId="9" hidden="1"/>
    <cellStyle name="Followed Hyperlink" xfId="3322" builtinId="9" hidden="1"/>
    <cellStyle name="Followed Hyperlink" xfId="3324" builtinId="9" hidden="1"/>
    <cellStyle name="Followed Hyperlink" xfId="3326" builtinId="9" hidden="1"/>
    <cellStyle name="Followed Hyperlink" xfId="3328" builtinId="9" hidden="1"/>
    <cellStyle name="Followed Hyperlink" xfId="3330" builtinId="9" hidden="1"/>
    <cellStyle name="Followed Hyperlink" xfId="3332" builtinId="9" hidden="1"/>
    <cellStyle name="Followed Hyperlink" xfId="3334" builtinId="9" hidden="1"/>
    <cellStyle name="Followed Hyperlink" xfId="3336" builtinId="9" hidden="1"/>
    <cellStyle name="Followed Hyperlink" xfId="3338" builtinId="9" hidden="1"/>
    <cellStyle name="Followed Hyperlink" xfId="3340" builtinId="9" hidden="1"/>
    <cellStyle name="Followed Hyperlink" xfId="3342" builtinId="9" hidden="1"/>
    <cellStyle name="Followed Hyperlink" xfId="3344" builtinId="9" hidden="1"/>
    <cellStyle name="Followed Hyperlink" xfId="3346" builtinId="9" hidden="1"/>
    <cellStyle name="Followed Hyperlink" xfId="3348" builtinId="9" hidden="1"/>
    <cellStyle name="Followed Hyperlink" xfId="3350" builtinId="9" hidden="1"/>
    <cellStyle name="Followed Hyperlink" xfId="3352" builtinId="9" hidden="1"/>
    <cellStyle name="Followed Hyperlink" xfId="3354" builtinId="9" hidden="1"/>
    <cellStyle name="Followed Hyperlink" xfId="3356" builtinId="9" hidden="1"/>
    <cellStyle name="Followed Hyperlink" xfId="3358" builtinId="9" hidden="1"/>
    <cellStyle name="Followed Hyperlink" xfId="3360" builtinId="9" hidden="1"/>
    <cellStyle name="Followed Hyperlink" xfId="3362" builtinId="9" hidden="1"/>
    <cellStyle name="Followed Hyperlink" xfId="3364" builtinId="9" hidden="1"/>
    <cellStyle name="Followed Hyperlink" xfId="3366" builtinId="9" hidden="1"/>
    <cellStyle name="Followed Hyperlink" xfId="3368" builtinId="9" hidden="1"/>
    <cellStyle name="Followed Hyperlink" xfId="3370" builtinId="9" hidden="1"/>
    <cellStyle name="Followed Hyperlink" xfId="3372" builtinId="9" hidden="1"/>
    <cellStyle name="Followed Hyperlink" xfId="3374" builtinId="9" hidden="1"/>
    <cellStyle name="Followed Hyperlink" xfId="3376" builtinId="9" hidden="1"/>
    <cellStyle name="Followed Hyperlink" xfId="3378" builtinId="9" hidden="1"/>
    <cellStyle name="Followed Hyperlink" xfId="3380" builtinId="9" hidden="1"/>
    <cellStyle name="Followed Hyperlink" xfId="3382" builtinId="9" hidden="1"/>
    <cellStyle name="Followed Hyperlink" xfId="3384" builtinId="9" hidden="1"/>
    <cellStyle name="Followed Hyperlink" xfId="3386" builtinId="9" hidden="1"/>
    <cellStyle name="Followed Hyperlink" xfId="3388" builtinId="9" hidden="1"/>
    <cellStyle name="Followed Hyperlink" xfId="3390" builtinId="9" hidden="1"/>
    <cellStyle name="Followed Hyperlink" xfId="3392" builtinId="9" hidden="1"/>
    <cellStyle name="Followed Hyperlink" xfId="3394" builtinId="9" hidden="1"/>
    <cellStyle name="Followed Hyperlink" xfId="3396" builtinId="9" hidden="1"/>
    <cellStyle name="Followed Hyperlink" xfId="3398" builtinId="9" hidden="1"/>
    <cellStyle name="Followed Hyperlink" xfId="3400" builtinId="9" hidden="1"/>
    <cellStyle name="Followed Hyperlink" xfId="3402" builtinId="9" hidden="1"/>
    <cellStyle name="Followed Hyperlink" xfId="3404" builtinId="9" hidden="1"/>
    <cellStyle name="Followed Hyperlink" xfId="3406" builtinId="9" hidden="1"/>
    <cellStyle name="Followed Hyperlink" xfId="3408" builtinId="9" hidden="1"/>
    <cellStyle name="Followed Hyperlink" xfId="3410" builtinId="9" hidden="1"/>
    <cellStyle name="Followed Hyperlink" xfId="3412" builtinId="9" hidden="1"/>
    <cellStyle name="Followed Hyperlink" xfId="3414" builtinId="9" hidden="1"/>
    <cellStyle name="Followed Hyperlink" xfId="3416" builtinId="9" hidden="1"/>
    <cellStyle name="Followed Hyperlink" xfId="3418" builtinId="9" hidden="1"/>
    <cellStyle name="Followed Hyperlink" xfId="3420" builtinId="9" hidden="1"/>
    <cellStyle name="Followed Hyperlink" xfId="3422" builtinId="9" hidden="1"/>
    <cellStyle name="Followed Hyperlink" xfId="3424" builtinId="9" hidden="1"/>
    <cellStyle name="Followed Hyperlink" xfId="3426" builtinId="9" hidden="1"/>
    <cellStyle name="Followed Hyperlink" xfId="3428" builtinId="9" hidden="1"/>
    <cellStyle name="Followed Hyperlink" xfId="3430" builtinId="9" hidden="1"/>
    <cellStyle name="Followed Hyperlink" xfId="3432" builtinId="9" hidden="1"/>
    <cellStyle name="Followed Hyperlink" xfId="3434" builtinId="9" hidden="1"/>
    <cellStyle name="Followed Hyperlink" xfId="3436" builtinId="9" hidden="1"/>
    <cellStyle name="Followed Hyperlink" xfId="3438" builtinId="9" hidden="1"/>
    <cellStyle name="Followed Hyperlink" xfId="3440" builtinId="9" hidden="1"/>
    <cellStyle name="Followed Hyperlink" xfId="3442" builtinId="9" hidden="1"/>
    <cellStyle name="Followed Hyperlink" xfId="3444" builtinId="9" hidden="1"/>
    <cellStyle name="Followed Hyperlink" xfId="3446" builtinId="9" hidden="1"/>
    <cellStyle name="Followed Hyperlink" xfId="3448" builtinId="9" hidden="1"/>
    <cellStyle name="Followed Hyperlink" xfId="3450" builtinId="9" hidden="1"/>
    <cellStyle name="Followed Hyperlink" xfId="3452" builtinId="9" hidden="1"/>
    <cellStyle name="Followed Hyperlink" xfId="3454" builtinId="9" hidden="1"/>
    <cellStyle name="Followed Hyperlink" xfId="3456" builtinId="9" hidden="1"/>
    <cellStyle name="Followed Hyperlink" xfId="3458" builtinId="9" hidden="1"/>
    <cellStyle name="Followed Hyperlink" xfId="3460" builtinId="9" hidden="1"/>
    <cellStyle name="Followed Hyperlink" xfId="3462" builtinId="9" hidden="1"/>
    <cellStyle name="Followed Hyperlink" xfId="3464" builtinId="9" hidden="1"/>
    <cellStyle name="Followed Hyperlink" xfId="3466" builtinId="9" hidden="1"/>
    <cellStyle name="Followed Hyperlink" xfId="3468" builtinId="9" hidden="1"/>
    <cellStyle name="Followed Hyperlink" xfId="3470" builtinId="9" hidden="1"/>
    <cellStyle name="Followed Hyperlink" xfId="3472" builtinId="9" hidden="1"/>
    <cellStyle name="Followed Hyperlink" xfId="3474" builtinId="9" hidden="1"/>
    <cellStyle name="Followed Hyperlink" xfId="3476" builtinId="9" hidden="1"/>
    <cellStyle name="Followed Hyperlink" xfId="3478" builtinId="9" hidden="1"/>
    <cellStyle name="Followed Hyperlink" xfId="3480" builtinId="9" hidden="1"/>
    <cellStyle name="Followed Hyperlink" xfId="3482" builtinId="9" hidden="1"/>
    <cellStyle name="Followed Hyperlink" xfId="3484" builtinId="9" hidden="1"/>
    <cellStyle name="Followed Hyperlink" xfId="3486" builtinId="9" hidden="1"/>
    <cellStyle name="Followed Hyperlink" xfId="3488" builtinId="9" hidden="1"/>
    <cellStyle name="Followed Hyperlink" xfId="3490" builtinId="9" hidden="1"/>
    <cellStyle name="Followed Hyperlink" xfId="3492" builtinId="9" hidden="1"/>
    <cellStyle name="Followed Hyperlink" xfId="3494" builtinId="9" hidden="1"/>
    <cellStyle name="Followed Hyperlink" xfId="3496" builtinId="9" hidden="1"/>
    <cellStyle name="Followed Hyperlink" xfId="3498" builtinId="9" hidden="1"/>
    <cellStyle name="Followed Hyperlink" xfId="3500" builtinId="9" hidden="1"/>
    <cellStyle name="Followed Hyperlink" xfId="3502" builtinId="9" hidden="1"/>
    <cellStyle name="Followed Hyperlink" xfId="3504" builtinId="9" hidden="1"/>
    <cellStyle name="Followed Hyperlink" xfId="3506" builtinId="9" hidden="1"/>
    <cellStyle name="Followed Hyperlink" xfId="3508" builtinId="9" hidden="1"/>
    <cellStyle name="Followed Hyperlink" xfId="3510" builtinId="9" hidden="1"/>
    <cellStyle name="Followed Hyperlink" xfId="3512" builtinId="9" hidden="1"/>
    <cellStyle name="Followed Hyperlink" xfId="3514" builtinId="9" hidden="1"/>
    <cellStyle name="Followed Hyperlink" xfId="3516" builtinId="9" hidden="1"/>
    <cellStyle name="Followed Hyperlink" xfId="3518" builtinId="9" hidden="1"/>
    <cellStyle name="Followed Hyperlink" xfId="3520" builtinId="9" hidden="1"/>
    <cellStyle name="Followed Hyperlink" xfId="3522" builtinId="9" hidden="1"/>
    <cellStyle name="Followed Hyperlink" xfId="3524" builtinId="9" hidden="1"/>
    <cellStyle name="Followed Hyperlink" xfId="3526" builtinId="9" hidden="1"/>
    <cellStyle name="Followed Hyperlink" xfId="3528" builtinId="9" hidden="1"/>
    <cellStyle name="Followed Hyperlink" xfId="3530" builtinId="9" hidden="1"/>
    <cellStyle name="Followed Hyperlink" xfId="3532" builtinId="9" hidden="1"/>
    <cellStyle name="Followed Hyperlink" xfId="3534" builtinId="9" hidden="1"/>
    <cellStyle name="Followed Hyperlink" xfId="3536" builtinId="9" hidden="1"/>
    <cellStyle name="Followed Hyperlink" xfId="3538" builtinId="9" hidden="1"/>
    <cellStyle name="Followed Hyperlink" xfId="3540" builtinId="9" hidden="1"/>
    <cellStyle name="Followed Hyperlink" xfId="3542" builtinId="9" hidden="1"/>
    <cellStyle name="Followed Hyperlink" xfId="3544" builtinId="9" hidden="1"/>
    <cellStyle name="Followed Hyperlink" xfId="3546" builtinId="9" hidden="1"/>
    <cellStyle name="Followed Hyperlink" xfId="3548" builtinId="9" hidden="1"/>
    <cellStyle name="Followed Hyperlink" xfId="3550" builtinId="9" hidden="1"/>
    <cellStyle name="Followed Hyperlink" xfId="3552" builtinId="9" hidden="1"/>
    <cellStyle name="Followed Hyperlink" xfId="3554" builtinId="9" hidden="1"/>
    <cellStyle name="Followed Hyperlink" xfId="3556" builtinId="9" hidden="1"/>
    <cellStyle name="Followed Hyperlink" xfId="3558" builtinId="9" hidden="1"/>
    <cellStyle name="Followed Hyperlink" xfId="3560" builtinId="9" hidden="1"/>
    <cellStyle name="Followed Hyperlink" xfId="3562" builtinId="9" hidden="1"/>
    <cellStyle name="Followed Hyperlink" xfId="3564" builtinId="9" hidden="1"/>
    <cellStyle name="Followed Hyperlink" xfId="3566" builtinId="9" hidden="1"/>
    <cellStyle name="Followed Hyperlink" xfId="3568" builtinId="9" hidden="1"/>
    <cellStyle name="Followed Hyperlink" xfId="3570" builtinId="9" hidden="1"/>
    <cellStyle name="Followed Hyperlink" xfId="3572" builtinId="9" hidden="1"/>
    <cellStyle name="Followed Hyperlink" xfId="3574" builtinId="9" hidden="1"/>
    <cellStyle name="Followed Hyperlink" xfId="3576" builtinId="9" hidden="1"/>
    <cellStyle name="Followed Hyperlink" xfId="3578" builtinId="9" hidden="1"/>
    <cellStyle name="Followed Hyperlink" xfId="3580" builtinId="9" hidden="1"/>
    <cellStyle name="Followed Hyperlink" xfId="3582" builtinId="9" hidden="1"/>
    <cellStyle name="Followed Hyperlink" xfId="3584" builtinId="9" hidden="1"/>
    <cellStyle name="Followed Hyperlink" xfId="3586" builtinId="9" hidden="1"/>
    <cellStyle name="Followed Hyperlink" xfId="3588" builtinId="9" hidden="1"/>
    <cellStyle name="Followed Hyperlink" xfId="3590" builtinId="9" hidden="1"/>
    <cellStyle name="Followed Hyperlink" xfId="3592" builtinId="9" hidden="1"/>
    <cellStyle name="Followed Hyperlink" xfId="3594" builtinId="9" hidden="1"/>
    <cellStyle name="Followed Hyperlink" xfId="3596" builtinId="9" hidden="1"/>
    <cellStyle name="Followed Hyperlink" xfId="3598" builtinId="9" hidden="1"/>
    <cellStyle name="Followed Hyperlink" xfId="3600" builtinId="9" hidden="1"/>
    <cellStyle name="Followed Hyperlink" xfId="3602" builtinId="9" hidden="1"/>
    <cellStyle name="Followed Hyperlink" xfId="3604" builtinId="9" hidden="1"/>
    <cellStyle name="Followed Hyperlink" xfId="3606" builtinId="9" hidden="1"/>
    <cellStyle name="Followed Hyperlink" xfId="3608" builtinId="9" hidden="1"/>
    <cellStyle name="Followed Hyperlink" xfId="3610" builtinId="9" hidden="1"/>
    <cellStyle name="Followed Hyperlink" xfId="3612" builtinId="9" hidden="1"/>
    <cellStyle name="Followed Hyperlink" xfId="3614" builtinId="9" hidden="1"/>
    <cellStyle name="Followed Hyperlink" xfId="3616" builtinId="9" hidden="1"/>
    <cellStyle name="Followed Hyperlink" xfId="3618" builtinId="9" hidden="1"/>
    <cellStyle name="Followed Hyperlink" xfId="3620" builtinId="9" hidden="1"/>
    <cellStyle name="Followed Hyperlink" xfId="3622" builtinId="9" hidden="1"/>
    <cellStyle name="Followed Hyperlink" xfId="3624" builtinId="9" hidden="1"/>
    <cellStyle name="Followed Hyperlink" xfId="3626" builtinId="9" hidden="1"/>
    <cellStyle name="Followed Hyperlink" xfId="3628" builtinId="9" hidden="1"/>
    <cellStyle name="Followed Hyperlink" xfId="3630" builtinId="9" hidden="1"/>
    <cellStyle name="Followed Hyperlink" xfId="3632" builtinId="9" hidden="1"/>
    <cellStyle name="Followed Hyperlink" xfId="3634" builtinId="9" hidden="1"/>
    <cellStyle name="Followed Hyperlink" xfId="3636" builtinId="9" hidden="1"/>
    <cellStyle name="Followed Hyperlink" xfId="3638" builtinId="9" hidden="1"/>
    <cellStyle name="Followed Hyperlink" xfId="3640" builtinId="9" hidden="1"/>
    <cellStyle name="Followed Hyperlink" xfId="3642" builtinId="9" hidden="1"/>
    <cellStyle name="Followed Hyperlink" xfId="3644" builtinId="9" hidden="1"/>
    <cellStyle name="Followed Hyperlink" xfId="3646" builtinId="9" hidden="1"/>
    <cellStyle name="Followed Hyperlink" xfId="3648" builtinId="9" hidden="1"/>
    <cellStyle name="Followed Hyperlink" xfId="3650" builtinId="9" hidden="1"/>
    <cellStyle name="Followed Hyperlink" xfId="3652" builtinId="9" hidden="1"/>
    <cellStyle name="Followed Hyperlink" xfId="3654" builtinId="9" hidden="1"/>
    <cellStyle name="Followed Hyperlink" xfId="3656" builtinId="9" hidden="1"/>
    <cellStyle name="Followed Hyperlink" xfId="3658" builtinId="9" hidden="1"/>
    <cellStyle name="Followed Hyperlink" xfId="3660" builtinId="9" hidden="1"/>
    <cellStyle name="Followed Hyperlink" xfId="3662" builtinId="9" hidden="1"/>
    <cellStyle name="Followed Hyperlink" xfId="3664" builtinId="9" hidden="1"/>
    <cellStyle name="Followed Hyperlink" xfId="3666" builtinId="9" hidden="1"/>
    <cellStyle name="Followed Hyperlink" xfId="3668" builtinId="9" hidden="1"/>
    <cellStyle name="Followed Hyperlink" xfId="3670" builtinId="9" hidden="1"/>
    <cellStyle name="Followed Hyperlink" xfId="3672" builtinId="9" hidden="1"/>
    <cellStyle name="Followed Hyperlink" xfId="3674" builtinId="9" hidden="1"/>
    <cellStyle name="Followed Hyperlink" xfId="3676" builtinId="9" hidden="1"/>
    <cellStyle name="Followed Hyperlink" xfId="3678" builtinId="9" hidden="1"/>
    <cellStyle name="Followed Hyperlink" xfId="3680" builtinId="9" hidden="1"/>
    <cellStyle name="Followed Hyperlink" xfId="3682" builtinId="9" hidden="1"/>
    <cellStyle name="Followed Hyperlink" xfId="3684" builtinId="9" hidden="1"/>
    <cellStyle name="Followed Hyperlink" xfId="3686" builtinId="9" hidden="1"/>
    <cellStyle name="Followed Hyperlink" xfId="3688" builtinId="9" hidden="1"/>
    <cellStyle name="Followed Hyperlink" xfId="3690" builtinId="9" hidden="1"/>
    <cellStyle name="Followed Hyperlink" xfId="3692" builtinId="9" hidden="1"/>
    <cellStyle name="Followed Hyperlink" xfId="3694" builtinId="9" hidden="1"/>
    <cellStyle name="Followed Hyperlink" xfId="3696" builtinId="9" hidden="1"/>
    <cellStyle name="Followed Hyperlink" xfId="3698" builtinId="9" hidden="1"/>
    <cellStyle name="Followed Hyperlink" xfId="3700" builtinId="9" hidden="1"/>
    <cellStyle name="Followed Hyperlink" xfId="3702" builtinId="9" hidden="1"/>
    <cellStyle name="Followed Hyperlink" xfId="3704" builtinId="9" hidden="1"/>
    <cellStyle name="Followed Hyperlink" xfId="3706" builtinId="9" hidden="1"/>
    <cellStyle name="Followed Hyperlink" xfId="3708" builtinId="9" hidden="1"/>
    <cellStyle name="Followed Hyperlink" xfId="3710" builtinId="9" hidden="1"/>
    <cellStyle name="Followed Hyperlink" xfId="3712" builtinId="9" hidden="1"/>
    <cellStyle name="Followed Hyperlink" xfId="3714" builtinId="9" hidden="1"/>
    <cellStyle name="Followed Hyperlink" xfId="3716" builtinId="9" hidden="1"/>
    <cellStyle name="Followed Hyperlink" xfId="3718" builtinId="9" hidden="1"/>
    <cellStyle name="Followed Hyperlink" xfId="3720" builtinId="9" hidden="1"/>
    <cellStyle name="Followed Hyperlink" xfId="3722" builtinId="9" hidden="1"/>
    <cellStyle name="Followed Hyperlink" xfId="3724" builtinId="9" hidden="1"/>
    <cellStyle name="Followed Hyperlink" xfId="3726" builtinId="9" hidden="1"/>
    <cellStyle name="Followed Hyperlink" xfId="3728" builtinId="9" hidden="1"/>
    <cellStyle name="Followed Hyperlink" xfId="3730" builtinId="9" hidden="1"/>
    <cellStyle name="Followed Hyperlink" xfId="3732" builtinId="9" hidden="1"/>
    <cellStyle name="Followed Hyperlink" xfId="3734" builtinId="9" hidden="1"/>
    <cellStyle name="Followed Hyperlink" xfId="3736" builtinId="9" hidden="1"/>
    <cellStyle name="Followed Hyperlink" xfId="3738" builtinId="9" hidden="1"/>
    <cellStyle name="Followed Hyperlink" xfId="3740" builtinId="9" hidden="1"/>
    <cellStyle name="Followed Hyperlink" xfId="3742" builtinId="9" hidden="1"/>
    <cellStyle name="Followed Hyperlink" xfId="3744" builtinId="9" hidden="1"/>
    <cellStyle name="Followed Hyperlink" xfId="3746" builtinId="9" hidden="1"/>
    <cellStyle name="Followed Hyperlink" xfId="3748" builtinId="9" hidden="1"/>
    <cellStyle name="Followed Hyperlink" xfId="3750" builtinId="9" hidden="1"/>
    <cellStyle name="Followed Hyperlink" xfId="3752" builtinId="9" hidden="1"/>
    <cellStyle name="Followed Hyperlink" xfId="3754" builtinId="9" hidden="1"/>
    <cellStyle name="Followed Hyperlink" xfId="3756" builtinId="9" hidden="1"/>
    <cellStyle name="Followed Hyperlink" xfId="3758" builtinId="9" hidden="1"/>
    <cellStyle name="Followed Hyperlink" xfId="3760" builtinId="9" hidden="1"/>
    <cellStyle name="Followed Hyperlink" xfId="3762" builtinId="9" hidden="1"/>
    <cellStyle name="Followed Hyperlink" xfId="3764" builtinId="9" hidden="1"/>
    <cellStyle name="Followed Hyperlink" xfId="3766" builtinId="9" hidden="1"/>
    <cellStyle name="Followed Hyperlink" xfId="3768" builtinId="9" hidden="1"/>
    <cellStyle name="Followed Hyperlink" xfId="3770" builtinId="9" hidden="1"/>
    <cellStyle name="Followed Hyperlink" xfId="3772" builtinId="9" hidden="1"/>
    <cellStyle name="Followed Hyperlink" xfId="3774" builtinId="9" hidden="1"/>
    <cellStyle name="Followed Hyperlink" xfId="3776" builtinId="9" hidden="1"/>
    <cellStyle name="Followed Hyperlink" xfId="3778" builtinId="9" hidden="1"/>
    <cellStyle name="Followed Hyperlink" xfId="3780" builtinId="9" hidden="1"/>
    <cellStyle name="Followed Hyperlink" xfId="3782" builtinId="9" hidden="1"/>
    <cellStyle name="Followed Hyperlink" xfId="3784" builtinId="9" hidden="1"/>
    <cellStyle name="Followed Hyperlink" xfId="3786" builtinId="9" hidden="1"/>
    <cellStyle name="Followed Hyperlink" xfId="3788" builtinId="9" hidden="1"/>
    <cellStyle name="Followed Hyperlink" xfId="3790" builtinId="9" hidden="1"/>
    <cellStyle name="Followed Hyperlink" xfId="3792" builtinId="9" hidden="1"/>
    <cellStyle name="Followed Hyperlink" xfId="3794" builtinId="9" hidden="1"/>
    <cellStyle name="Followed Hyperlink" xfId="3796" builtinId="9" hidden="1"/>
    <cellStyle name="Followed Hyperlink" xfId="3798" builtinId="9" hidden="1"/>
    <cellStyle name="Followed Hyperlink" xfId="3800" builtinId="9" hidden="1"/>
    <cellStyle name="Followed Hyperlink" xfId="3802" builtinId="9" hidden="1"/>
    <cellStyle name="Followed Hyperlink" xfId="3804" builtinId="9" hidden="1"/>
    <cellStyle name="Followed Hyperlink" xfId="3806" builtinId="9" hidden="1"/>
    <cellStyle name="Followed Hyperlink" xfId="3808" builtinId="9" hidden="1"/>
    <cellStyle name="Followed Hyperlink" xfId="3810" builtinId="9" hidden="1"/>
    <cellStyle name="Followed Hyperlink" xfId="3812" builtinId="9" hidden="1"/>
    <cellStyle name="Followed Hyperlink" xfId="3814" builtinId="9" hidden="1"/>
    <cellStyle name="Followed Hyperlink" xfId="3816" builtinId="9" hidden="1"/>
    <cellStyle name="Followed Hyperlink" xfId="3818" builtinId="9" hidden="1"/>
    <cellStyle name="Followed Hyperlink" xfId="3820" builtinId="9" hidden="1"/>
    <cellStyle name="Followed Hyperlink" xfId="3822" builtinId="9" hidden="1"/>
    <cellStyle name="Followed Hyperlink" xfId="3824" builtinId="9" hidden="1"/>
    <cellStyle name="Followed Hyperlink" xfId="3826" builtinId="9" hidden="1"/>
    <cellStyle name="Followed Hyperlink" xfId="3828" builtinId="9" hidden="1"/>
    <cellStyle name="Followed Hyperlink" xfId="3830" builtinId="9" hidden="1"/>
    <cellStyle name="Followed Hyperlink" xfId="3832" builtinId="9" hidden="1"/>
    <cellStyle name="Followed Hyperlink" xfId="3834" builtinId="9" hidden="1"/>
    <cellStyle name="Followed Hyperlink" xfId="3836" builtinId="9" hidden="1"/>
    <cellStyle name="Followed Hyperlink" xfId="3838" builtinId="9" hidden="1"/>
    <cellStyle name="Followed Hyperlink" xfId="3840" builtinId="9" hidden="1"/>
    <cellStyle name="Followed Hyperlink" xfId="3842" builtinId="9" hidden="1"/>
    <cellStyle name="Followed Hyperlink" xfId="3844" builtinId="9" hidden="1"/>
    <cellStyle name="Followed Hyperlink" xfId="3846" builtinId="9" hidden="1"/>
    <cellStyle name="Followed Hyperlink" xfId="3848" builtinId="9" hidden="1"/>
    <cellStyle name="Followed Hyperlink" xfId="3850" builtinId="9" hidden="1"/>
    <cellStyle name="Followed Hyperlink" xfId="3852" builtinId="9" hidden="1"/>
    <cellStyle name="Followed Hyperlink" xfId="3854" builtinId="9" hidden="1"/>
    <cellStyle name="Followed Hyperlink" xfId="3856" builtinId="9" hidden="1"/>
    <cellStyle name="Followed Hyperlink" xfId="3858" builtinId="9" hidden="1"/>
    <cellStyle name="Followed Hyperlink" xfId="3860" builtinId="9" hidden="1"/>
    <cellStyle name="Followed Hyperlink" xfId="3862" builtinId="9" hidden="1"/>
    <cellStyle name="Followed Hyperlink" xfId="3864" builtinId="9" hidden="1"/>
    <cellStyle name="Followed Hyperlink" xfId="3866" builtinId="9" hidden="1"/>
    <cellStyle name="Followed Hyperlink" xfId="3868" builtinId="9" hidden="1"/>
    <cellStyle name="Followed Hyperlink" xfId="3870" builtinId="9" hidden="1"/>
    <cellStyle name="Followed Hyperlink" xfId="3872" builtinId="9" hidden="1"/>
    <cellStyle name="Followed Hyperlink" xfId="3874" builtinId="9" hidden="1"/>
    <cellStyle name="Followed Hyperlink" xfId="3876" builtinId="9" hidden="1"/>
    <cellStyle name="Followed Hyperlink" xfId="3878" builtinId="9" hidden="1"/>
    <cellStyle name="Followed Hyperlink" xfId="3880" builtinId="9" hidden="1"/>
    <cellStyle name="Followed Hyperlink" xfId="3882" builtinId="9" hidden="1"/>
    <cellStyle name="Followed Hyperlink" xfId="3884" builtinId="9" hidden="1"/>
    <cellStyle name="Followed Hyperlink" xfId="3886" builtinId="9" hidden="1"/>
    <cellStyle name="Followed Hyperlink" xfId="3888" builtinId="9" hidden="1"/>
    <cellStyle name="Followed Hyperlink" xfId="3890" builtinId="9" hidden="1"/>
    <cellStyle name="Followed Hyperlink" xfId="3892" builtinId="9" hidden="1"/>
    <cellStyle name="Followed Hyperlink" xfId="3894" builtinId="9" hidden="1"/>
    <cellStyle name="Followed Hyperlink" xfId="3896" builtinId="9" hidden="1"/>
    <cellStyle name="Followed Hyperlink" xfId="3898" builtinId="9" hidden="1"/>
    <cellStyle name="Followed Hyperlink" xfId="3900" builtinId="9" hidden="1"/>
    <cellStyle name="Followed Hyperlink" xfId="3902" builtinId="9" hidden="1"/>
    <cellStyle name="Followed Hyperlink" xfId="3904" builtinId="9" hidden="1"/>
    <cellStyle name="Followed Hyperlink" xfId="3906" builtinId="9" hidden="1"/>
    <cellStyle name="Followed Hyperlink" xfId="3908" builtinId="9" hidden="1"/>
    <cellStyle name="Followed Hyperlink" xfId="3910" builtinId="9" hidden="1"/>
    <cellStyle name="Followed Hyperlink" xfId="3912" builtinId="9" hidden="1"/>
    <cellStyle name="Followed Hyperlink" xfId="3914" builtinId="9" hidden="1"/>
    <cellStyle name="Followed Hyperlink" xfId="3916" builtinId="9" hidden="1"/>
    <cellStyle name="Followed Hyperlink" xfId="3918" builtinId="9" hidden="1"/>
    <cellStyle name="Followed Hyperlink" xfId="3920" builtinId="9" hidden="1"/>
    <cellStyle name="Followed Hyperlink" xfId="3922" builtinId="9" hidden="1"/>
    <cellStyle name="Followed Hyperlink" xfId="3924" builtinId="9" hidden="1"/>
    <cellStyle name="Followed Hyperlink" xfId="3926" builtinId="9" hidden="1"/>
    <cellStyle name="Followed Hyperlink" xfId="3928" builtinId="9" hidden="1"/>
    <cellStyle name="Followed Hyperlink" xfId="3930" builtinId="9" hidden="1"/>
    <cellStyle name="Followed Hyperlink" xfId="3932" builtinId="9" hidden="1"/>
    <cellStyle name="Followed Hyperlink" xfId="3934" builtinId="9" hidden="1"/>
    <cellStyle name="Followed Hyperlink" xfId="3936" builtinId="9" hidden="1"/>
    <cellStyle name="Followed Hyperlink" xfId="3938" builtinId="9" hidden="1"/>
    <cellStyle name="Followed Hyperlink" xfId="3940" builtinId="9" hidden="1"/>
    <cellStyle name="Followed Hyperlink" xfId="3942" builtinId="9" hidden="1"/>
    <cellStyle name="Followed Hyperlink" xfId="3944" builtinId="9" hidden="1"/>
    <cellStyle name="Followed Hyperlink" xfId="3946" builtinId="9" hidden="1"/>
    <cellStyle name="Followed Hyperlink" xfId="3948" builtinId="9" hidden="1"/>
    <cellStyle name="Followed Hyperlink" xfId="3950" builtinId="9" hidden="1"/>
    <cellStyle name="Followed Hyperlink" xfId="3952" builtinId="9" hidden="1"/>
    <cellStyle name="Followed Hyperlink" xfId="3954" builtinId="9" hidden="1"/>
    <cellStyle name="Followed Hyperlink" xfId="3956" builtinId="9" hidden="1"/>
    <cellStyle name="Followed Hyperlink" xfId="3958" builtinId="9" hidden="1"/>
    <cellStyle name="Followed Hyperlink" xfId="3960" builtinId="9" hidden="1"/>
    <cellStyle name="Followed Hyperlink" xfId="3962" builtinId="9" hidden="1"/>
    <cellStyle name="Followed Hyperlink" xfId="3964" builtinId="9" hidden="1"/>
    <cellStyle name="Followed Hyperlink" xfId="3966" builtinId="9" hidden="1"/>
    <cellStyle name="Followed Hyperlink" xfId="3968" builtinId="9" hidden="1"/>
    <cellStyle name="Followed Hyperlink" xfId="3970" builtinId="9" hidden="1"/>
    <cellStyle name="Followed Hyperlink" xfId="3972" builtinId="9" hidden="1"/>
    <cellStyle name="Followed Hyperlink" xfId="3974" builtinId="9" hidden="1"/>
    <cellStyle name="Followed Hyperlink" xfId="3976" builtinId="9" hidden="1"/>
    <cellStyle name="Followed Hyperlink" xfId="3978" builtinId="9" hidden="1"/>
    <cellStyle name="Followed Hyperlink" xfId="3980" builtinId="9" hidden="1"/>
    <cellStyle name="Followed Hyperlink" xfId="3982" builtinId="9" hidden="1"/>
    <cellStyle name="Followed Hyperlink" xfId="3984" builtinId="9" hidden="1"/>
    <cellStyle name="Followed Hyperlink" xfId="3986" builtinId="9" hidden="1"/>
    <cellStyle name="Followed Hyperlink" xfId="3988" builtinId="9" hidden="1"/>
    <cellStyle name="Followed Hyperlink" xfId="3990" builtinId="9" hidden="1"/>
    <cellStyle name="Followed Hyperlink" xfId="3992" builtinId="9" hidden="1"/>
    <cellStyle name="Followed Hyperlink" xfId="3994" builtinId="9" hidden="1"/>
    <cellStyle name="Followed Hyperlink" xfId="3996" builtinId="9" hidden="1"/>
    <cellStyle name="Followed Hyperlink" xfId="3998" builtinId="9" hidden="1"/>
    <cellStyle name="Followed Hyperlink" xfId="4000" builtinId="9" hidden="1"/>
    <cellStyle name="Followed Hyperlink" xfId="4002" builtinId="9" hidden="1"/>
    <cellStyle name="Followed Hyperlink" xfId="400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5" builtinId="8" hidden="1"/>
    <cellStyle name="Hyperlink" xfId="1027" builtinId="8" hidden="1"/>
    <cellStyle name="Hyperlink" xfId="1029" builtinId="8" hidden="1"/>
    <cellStyle name="Hyperlink" xfId="1031" builtinId="8" hidden="1"/>
    <cellStyle name="Hyperlink" xfId="1033" builtinId="8" hidden="1"/>
    <cellStyle name="Hyperlink" xfId="1035" builtinId="8" hidden="1"/>
    <cellStyle name="Hyperlink" xfId="1037"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Hyperlink" xfId="1241" builtinId="8" hidden="1"/>
    <cellStyle name="Hyperlink" xfId="1243" builtinId="8" hidden="1"/>
    <cellStyle name="Hyperlink" xfId="1245" builtinId="8" hidden="1"/>
    <cellStyle name="Hyperlink" xfId="1247" builtinId="8" hidden="1"/>
    <cellStyle name="Hyperlink" xfId="1249" builtinId="8" hidden="1"/>
    <cellStyle name="Hyperlink" xfId="1251" builtinId="8" hidden="1"/>
    <cellStyle name="Hyperlink" xfId="1253" builtinId="8" hidden="1"/>
    <cellStyle name="Hyperlink" xfId="1255" builtinId="8" hidden="1"/>
    <cellStyle name="Hyperlink" xfId="1257" builtinId="8" hidden="1"/>
    <cellStyle name="Hyperlink" xfId="1259" builtinId="8" hidden="1"/>
    <cellStyle name="Hyperlink" xfId="1261" builtinId="8" hidden="1"/>
    <cellStyle name="Hyperlink" xfId="1263" builtinId="8" hidden="1"/>
    <cellStyle name="Hyperlink" xfId="1265" builtinId="8" hidden="1"/>
    <cellStyle name="Hyperlink" xfId="1267" builtinId="8" hidden="1"/>
    <cellStyle name="Hyperlink" xfId="1269" builtinId="8" hidden="1"/>
    <cellStyle name="Hyperlink" xfId="1271" builtinId="8" hidden="1"/>
    <cellStyle name="Hyperlink" xfId="1273" builtinId="8" hidden="1"/>
    <cellStyle name="Hyperlink" xfId="1275" builtinId="8" hidden="1"/>
    <cellStyle name="Hyperlink" xfId="1277" builtinId="8" hidden="1"/>
    <cellStyle name="Hyperlink" xfId="1279" builtinId="8" hidden="1"/>
    <cellStyle name="Hyperlink" xfId="1281" builtinId="8" hidden="1"/>
    <cellStyle name="Hyperlink" xfId="1283" builtinId="8" hidden="1"/>
    <cellStyle name="Hyperlink" xfId="1285" builtinId="8" hidden="1"/>
    <cellStyle name="Hyperlink" xfId="1287" builtinId="8" hidden="1"/>
    <cellStyle name="Hyperlink" xfId="1289" builtinId="8" hidden="1"/>
    <cellStyle name="Hyperlink" xfId="1291" builtinId="8" hidden="1"/>
    <cellStyle name="Hyperlink" xfId="1293" builtinId="8" hidden="1"/>
    <cellStyle name="Hyperlink" xfId="1295" builtinId="8" hidden="1"/>
    <cellStyle name="Hyperlink" xfId="1297" builtinId="8" hidden="1"/>
    <cellStyle name="Hyperlink" xfId="1299" builtinId="8" hidden="1"/>
    <cellStyle name="Hyperlink" xfId="1301" builtinId="8" hidden="1"/>
    <cellStyle name="Hyperlink" xfId="1303" builtinId="8" hidden="1"/>
    <cellStyle name="Hyperlink" xfId="1305" builtinId="8" hidden="1"/>
    <cellStyle name="Hyperlink" xfId="1307" builtinId="8" hidden="1"/>
    <cellStyle name="Hyperlink" xfId="1309" builtinId="8" hidden="1"/>
    <cellStyle name="Hyperlink" xfId="1311" builtinId="8" hidden="1"/>
    <cellStyle name="Hyperlink" xfId="1313" builtinId="8" hidden="1"/>
    <cellStyle name="Hyperlink" xfId="1315" builtinId="8" hidden="1"/>
    <cellStyle name="Hyperlink" xfId="1317" builtinId="8" hidden="1"/>
    <cellStyle name="Hyperlink" xfId="1319" builtinId="8" hidden="1"/>
    <cellStyle name="Hyperlink" xfId="1321" builtinId="8" hidden="1"/>
    <cellStyle name="Hyperlink" xfId="1323" builtinId="8" hidden="1"/>
    <cellStyle name="Hyperlink" xfId="1325" builtinId="8" hidden="1"/>
    <cellStyle name="Hyperlink" xfId="1327" builtinId="8" hidden="1"/>
    <cellStyle name="Hyperlink" xfId="1329" builtinId="8" hidden="1"/>
    <cellStyle name="Hyperlink" xfId="1331" builtinId="8" hidden="1"/>
    <cellStyle name="Hyperlink" xfId="1333" builtinId="8" hidden="1"/>
    <cellStyle name="Hyperlink" xfId="1335" builtinId="8" hidden="1"/>
    <cellStyle name="Hyperlink" xfId="1337" builtinId="8" hidden="1"/>
    <cellStyle name="Hyperlink" xfId="1339" builtinId="8" hidden="1"/>
    <cellStyle name="Hyperlink" xfId="1341" builtinId="8" hidden="1"/>
    <cellStyle name="Hyperlink" xfId="1343" builtinId="8" hidden="1"/>
    <cellStyle name="Hyperlink" xfId="1345" builtinId="8" hidden="1"/>
    <cellStyle name="Hyperlink" xfId="1347" builtinId="8" hidden="1"/>
    <cellStyle name="Hyperlink" xfId="1349" builtinId="8" hidden="1"/>
    <cellStyle name="Hyperlink" xfId="1351" builtinId="8" hidden="1"/>
    <cellStyle name="Hyperlink" xfId="1353" builtinId="8" hidden="1"/>
    <cellStyle name="Hyperlink" xfId="1355" builtinId="8" hidden="1"/>
    <cellStyle name="Hyperlink" xfId="1357" builtinId="8" hidden="1"/>
    <cellStyle name="Hyperlink" xfId="1359" builtinId="8" hidden="1"/>
    <cellStyle name="Hyperlink" xfId="1361" builtinId="8" hidden="1"/>
    <cellStyle name="Hyperlink" xfId="1363" builtinId="8" hidden="1"/>
    <cellStyle name="Hyperlink" xfId="1365" builtinId="8" hidden="1"/>
    <cellStyle name="Hyperlink" xfId="1367" builtinId="8" hidden="1"/>
    <cellStyle name="Hyperlink" xfId="1369" builtinId="8" hidden="1"/>
    <cellStyle name="Hyperlink" xfId="1371" builtinId="8" hidden="1"/>
    <cellStyle name="Hyperlink" xfId="1373" builtinId="8" hidden="1"/>
    <cellStyle name="Hyperlink" xfId="1375" builtinId="8" hidden="1"/>
    <cellStyle name="Hyperlink" xfId="1377" builtinId="8" hidden="1"/>
    <cellStyle name="Hyperlink" xfId="1379" builtinId="8" hidden="1"/>
    <cellStyle name="Hyperlink" xfId="1381" builtinId="8" hidden="1"/>
    <cellStyle name="Hyperlink" xfId="1383" builtinId="8" hidden="1"/>
    <cellStyle name="Hyperlink" xfId="1385" builtinId="8" hidden="1"/>
    <cellStyle name="Hyperlink" xfId="1387" builtinId="8" hidden="1"/>
    <cellStyle name="Hyperlink" xfId="1389" builtinId="8" hidden="1"/>
    <cellStyle name="Hyperlink" xfId="1391" builtinId="8" hidden="1"/>
    <cellStyle name="Hyperlink" xfId="1393" builtinId="8" hidden="1"/>
    <cellStyle name="Hyperlink" xfId="1395" builtinId="8" hidden="1"/>
    <cellStyle name="Hyperlink" xfId="1397" builtinId="8" hidden="1"/>
    <cellStyle name="Hyperlink" xfId="1399" builtinId="8" hidden="1"/>
    <cellStyle name="Hyperlink" xfId="1401" builtinId="8" hidden="1"/>
    <cellStyle name="Hyperlink" xfId="1403" builtinId="8" hidden="1"/>
    <cellStyle name="Hyperlink" xfId="1405" builtinId="8" hidden="1"/>
    <cellStyle name="Hyperlink" xfId="1407" builtinId="8" hidden="1"/>
    <cellStyle name="Hyperlink" xfId="1409" builtinId="8" hidden="1"/>
    <cellStyle name="Hyperlink" xfId="1411" builtinId="8" hidden="1"/>
    <cellStyle name="Hyperlink" xfId="1413" builtinId="8" hidden="1"/>
    <cellStyle name="Hyperlink" xfId="1415" builtinId="8" hidden="1"/>
    <cellStyle name="Hyperlink" xfId="1417" builtinId="8" hidden="1"/>
    <cellStyle name="Hyperlink" xfId="1419" builtinId="8" hidden="1"/>
    <cellStyle name="Hyperlink" xfId="1421" builtinId="8" hidden="1"/>
    <cellStyle name="Hyperlink" xfId="1423" builtinId="8" hidden="1"/>
    <cellStyle name="Hyperlink" xfId="1425" builtinId="8" hidden="1"/>
    <cellStyle name="Hyperlink" xfId="1427" builtinId="8" hidden="1"/>
    <cellStyle name="Hyperlink" xfId="1429" builtinId="8" hidden="1"/>
    <cellStyle name="Hyperlink" xfId="1431" builtinId="8" hidden="1"/>
    <cellStyle name="Hyperlink" xfId="1433" builtinId="8" hidden="1"/>
    <cellStyle name="Hyperlink" xfId="1435" builtinId="8" hidden="1"/>
    <cellStyle name="Hyperlink" xfId="1437" builtinId="8" hidden="1"/>
    <cellStyle name="Hyperlink" xfId="1439" builtinId="8" hidden="1"/>
    <cellStyle name="Hyperlink" xfId="1441" builtinId="8" hidden="1"/>
    <cellStyle name="Hyperlink" xfId="1443" builtinId="8" hidden="1"/>
    <cellStyle name="Hyperlink" xfId="1445" builtinId="8" hidden="1"/>
    <cellStyle name="Hyperlink" xfId="1447" builtinId="8" hidden="1"/>
    <cellStyle name="Hyperlink" xfId="1449" builtinId="8" hidden="1"/>
    <cellStyle name="Hyperlink" xfId="1451" builtinId="8" hidden="1"/>
    <cellStyle name="Hyperlink" xfId="1453" builtinId="8" hidden="1"/>
    <cellStyle name="Hyperlink" xfId="1455" builtinId="8" hidden="1"/>
    <cellStyle name="Hyperlink" xfId="1457" builtinId="8" hidden="1"/>
    <cellStyle name="Hyperlink" xfId="1459" builtinId="8" hidden="1"/>
    <cellStyle name="Hyperlink" xfId="1461" builtinId="8" hidden="1"/>
    <cellStyle name="Hyperlink" xfId="1463" builtinId="8" hidden="1"/>
    <cellStyle name="Hyperlink" xfId="1465" builtinId="8" hidden="1"/>
    <cellStyle name="Hyperlink" xfId="1467" builtinId="8" hidden="1"/>
    <cellStyle name="Hyperlink" xfId="1469" builtinId="8" hidden="1"/>
    <cellStyle name="Hyperlink" xfId="1471" builtinId="8" hidden="1"/>
    <cellStyle name="Hyperlink" xfId="1473" builtinId="8" hidden="1"/>
    <cellStyle name="Hyperlink" xfId="1475" builtinId="8" hidden="1"/>
    <cellStyle name="Hyperlink" xfId="1477" builtinId="8" hidden="1"/>
    <cellStyle name="Hyperlink" xfId="1479" builtinId="8" hidden="1"/>
    <cellStyle name="Hyperlink" xfId="1481" builtinId="8" hidden="1"/>
    <cellStyle name="Hyperlink" xfId="1483" builtinId="8" hidden="1"/>
    <cellStyle name="Hyperlink" xfId="1485" builtinId="8" hidden="1"/>
    <cellStyle name="Hyperlink" xfId="1487" builtinId="8" hidden="1"/>
    <cellStyle name="Hyperlink" xfId="1489" builtinId="8" hidden="1"/>
    <cellStyle name="Hyperlink" xfId="1491" builtinId="8" hidden="1"/>
    <cellStyle name="Hyperlink" xfId="1493" builtinId="8" hidden="1"/>
    <cellStyle name="Hyperlink" xfId="1495" builtinId="8" hidden="1"/>
    <cellStyle name="Hyperlink" xfId="1497" builtinId="8" hidden="1"/>
    <cellStyle name="Hyperlink" xfId="1499" builtinId="8" hidden="1"/>
    <cellStyle name="Hyperlink" xfId="1501" builtinId="8" hidden="1"/>
    <cellStyle name="Hyperlink" xfId="1503" builtinId="8" hidden="1"/>
    <cellStyle name="Hyperlink" xfId="1505" builtinId="8" hidden="1"/>
    <cellStyle name="Hyperlink" xfId="1507" builtinId="8" hidden="1"/>
    <cellStyle name="Hyperlink" xfId="1509" builtinId="8" hidden="1"/>
    <cellStyle name="Hyperlink" xfId="1511" builtinId="8" hidden="1"/>
    <cellStyle name="Hyperlink" xfId="1513" builtinId="8" hidden="1"/>
    <cellStyle name="Hyperlink" xfId="1515" builtinId="8" hidden="1"/>
    <cellStyle name="Hyperlink" xfId="1517" builtinId="8" hidden="1"/>
    <cellStyle name="Hyperlink" xfId="1519" builtinId="8" hidden="1"/>
    <cellStyle name="Hyperlink" xfId="1521" builtinId="8" hidden="1"/>
    <cellStyle name="Hyperlink" xfId="1523" builtinId="8" hidden="1"/>
    <cellStyle name="Hyperlink" xfId="1525" builtinId="8" hidden="1"/>
    <cellStyle name="Hyperlink" xfId="1527" builtinId="8" hidden="1"/>
    <cellStyle name="Hyperlink" xfId="1529" builtinId="8" hidden="1"/>
    <cellStyle name="Hyperlink" xfId="1531" builtinId="8" hidden="1"/>
    <cellStyle name="Hyperlink" xfId="1533" builtinId="8" hidden="1"/>
    <cellStyle name="Hyperlink" xfId="1535" builtinId="8" hidden="1"/>
    <cellStyle name="Hyperlink" xfId="1537" builtinId="8" hidden="1"/>
    <cellStyle name="Hyperlink" xfId="1539" builtinId="8" hidden="1"/>
    <cellStyle name="Hyperlink" xfId="1541" builtinId="8" hidden="1"/>
    <cellStyle name="Hyperlink" xfId="1543" builtinId="8" hidden="1"/>
    <cellStyle name="Hyperlink" xfId="1545" builtinId="8" hidden="1"/>
    <cellStyle name="Hyperlink" xfId="1547" builtinId="8" hidden="1"/>
    <cellStyle name="Hyperlink" xfId="1549" builtinId="8" hidden="1"/>
    <cellStyle name="Hyperlink" xfId="1551" builtinId="8" hidden="1"/>
    <cellStyle name="Hyperlink" xfId="1553" builtinId="8" hidden="1"/>
    <cellStyle name="Hyperlink" xfId="1555" builtinId="8" hidden="1"/>
    <cellStyle name="Hyperlink" xfId="1557" builtinId="8" hidden="1"/>
    <cellStyle name="Hyperlink" xfId="1559" builtinId="8" hidden="1"/>
    <cellStyle name="Hyperlink" xfId="1561" builtinId="8" hidden="1"/>
    <cellStyle name="Hyperlink" xfId="1563" builtinId="8" hidden="1"/>
    <cellStyle name="Hyperlink" xfId="1565" builtinId="8" hidden="1"/>
    <cellStyle name="Hyperlink" xfId="1567" builtinId="8" hidden="1"/>
    <cellStyle name="Hyperlink" xfId="1569" builtinId="8" hidden="1"/>
    <cellStyle name="Hyperlink" xfId="1571" builtinId="8" hidden="1"/>
    <cellStyle name="Hyperlink" xfId="1573" builtinId="8" hidden="1"/>
    <cellStyle name="Hyperlink" xfId="1575" builtinId="8" hidden="1"/>
    <cellStyle name="Hyperlink" xfId="1577" builtinId="8" hidden="1"/>
    <cellStyle name="Hyperlink" xfId="1579" builtinId="8" hidden="1"/>
    <cellStyle name="Hyperlink" xfId="1581" builtinId="8" hidden="1"/>
    <cellStyle name="Hyperlink" xfId="1583" builtinId="8" hidden="1"/>
    <cellStyle name="Hyperlink" xfId="1585" builtinId="8" hidden="1"/>
    <cellStyle name="Hyperlink" xfId="1587" builtinId="8" hidden="1"/>
    <cellStyle name="Hyperlink" xfId="1589" builtinId="8" hidden="1"/>
    <cellStyle name="Hyperlink" xfId="1591" builtinId="8" hidden="1"/>
    <cellStyle name="Hyperlink" xfId="1593" builtinId="8" hidden="1"/>
    <cellStyle name="Hyperlink" xfId="1595" builtinId="8" hidden="1"/>
    <cellStyle name="Hyperlink" xfId="1597" builtinId="8" hidden="1"/>
    <cellStyle name="Hyperlink" xfId="1599" builtinId="8" hidden="1"/>
    <cellStyle name="Hyperlink" xfId="1601" builtinId="8" hidden="1"/>
    <cellStyle name="Hyperlink" xfId="1603" builtinId="8" hidden="1"/>
    <cellStyle name="Hyperlink" xfId="1605" builtinId="8" hidden="1"/>
    <cellStyle name="Hyperlink" xfId="1607" builtinId="8" hidden="1"/>
    <cellStyle name="Hyperlink" xfId="1609" builtinId="8" hidden="1"/>
    <cellStyle name="Hyperlink" xfId="1611" builtinId="8" hidden="1"/>
    <cellStyle name="Hyperlink" xfId="1613" builtinId="8" hidden="1"/>
    <cellStyle name="Hyperlink" xfId="1615" builtinId="8" hidden="1"/>
    <cellStyle name="Hyperlink" xfId="1617" builtinId="8" hidden="1"/>
    <cellStyle name="Hyperlink" xfId="1619" builtinId="8" hidden="1"/>
    <cellStyle name="Hyperlink" xfId="1621" builtinId="8" hidden="1"/>
    <cellStyle name="Hyperlink" xfId="1623" builtinId="8" hidden="1"/>
    <cellStyle name="Hyperlink" xfId="1625" builtinId="8" hidden="1"/>
    <cellStyle name="Hyperlink" xfId="1627" builtinId="8" hidden="1"/>
    <cellStyle name="Hyperlink" xfId="1629" builtinId="8" hidden="1"/>
    <cellStyle name="Hyperlink" xfId="1631" builtinId="8" hidden="1"/>
    <cellStyle name="Hyperlink" xfId="1633" builtinId="8" hidden="1"/>
    <cellStyle name="Hyperlink" xfId="1635" builtinId="8" hidden="1"/>
    <cellStyle name="Hyperlink" xfId="1637" builtinId="8" hidden="1"/>
    <cellStyle name="Hyperlink" xfId="1639" builtinId="8" hidden="1"/>
    <cellStyle name="Hyperlink" xfId="1641" builtinId="8" hidden="1"/>
    <cellStyle name="Hyperlink" xfId="1643" builtinId="8" hidden="1"/>
    <cellStyle name="Hyperlink" xfId="1645" builtinId="8" hidden="1"/>
    <cellStyle name="Hyperlink" xfId="1647" builtinId="8" hidden="1"/>
    <cellStyle name="Hyperlink" xfId="1649" builtinId="8" hidden="1"/>
    <cellStyle name="Hyperlink" xfId="1651" builtinId="8" hidden="1"/>
    <cellStyle name="Hyperlink" xfId="1653" builtinId="8" hidden="1"/>
    <cellStyle name="Hyperlink" xfId="1655" builtinId="8" hidden="1"/>
    <cellStyle name="Hyperlink" xfId="1657" builtinId="8" hidden="1"/>
    <cellStyle name="Hyperlink" xfId="1659" builtinId="8" hidden="1"/>
    <cellStyle name="Hyperlink" xfId="1661" builtinId="8" hidden="1"/>
    <cellStyle name="Hyperlink" xfId="1663" builtinId="8" hidden="1"/>
    <cellStyle name="Hyperlink" xfId="1665" builtinId="8" hidden="1"/>
    <cellStyle name="Hyperlink" xfId="1667" builtinId="8" hidden="1"/>
    <cellStyle name="Hyperlink" xfId="1669" builtinId="8" hidden="1"/>
    <cellStyle name="Hyperlink" xfId="1671" builtinId="8" hidden="1"/>
    <cellStyle name="Hyperlink" xfId="1673" builtinId="8" hidden="1"/>
    <cellStyle name="Hyperlink" xfId="1675" builtinId="8" hidden="1"/>
    <cellStyle name="Hyperlink" xfId="1677" builtinId="8" hidden="1"/>
    <cellStyle name="Hyperlink" xfId="1679" builtinId="8" hidden="1"/>
    <cellStyle name="Hyperlink" xfId="1681" builtinId="8" hidden="1"/>
    <cellStyle name="Hyperlink" xfId="1683" builtinId="8" hidden="1"/>
    <cellStyle name="Hyperlink" xfId="1685" builtinId="8" hidden="1"/>
    <cellStyle name="Hyperlink" xfId="1687" builtinId="8" hidden="1"/>
    <cellStyle name="Hyperlink" xfId="1689" builtinId="8" hidden="1"/>
    <cellStyle name="Hyperlink" xfId="1691" builtinId="8" hidden="1"/>
    <cellStyle name="Hyperlink" xfId="1693" builtinId="8" hidden="1"/>
    <cellStyle name="Hyperlink" xfId="1695" builtinId="8" hidden="1"/>
    <cellStyle name="Hyperlink" xfId="1697" builtinId="8" hidden="1"/>
    <cellStyle name="Hyperlink" xfId="1699" builtinId="8" hidden="1"/>
    <cellStyle name="Hyperlink" xfId="1701" builtinId="8" hidden="1"/>
    <cellStyle name="Hyperlink" xfId="1703" builtinId="8" hidden="1"/>
    <cellStyle name="Hyperlink" xfId="1705" builtinId="8" hidden="1"/>
    <cellStyle name="Hyperlink" xfId="1707" builtinId="8" hidden="1"/>
    <cellStyle name="Hyperlink" xfId="1709" builtinId="8" hidden="1"/>
    <cellStyle name="Hyperlink" xfId="1711" builtinId="8" hidden="1"/>
    <cellStyle name="Hyperlink" xfId="1713" builtinId="8" hidden="1"/>
    <cellStyle name="Hyperlink" xfId="1715" builtinId="8" hidden="1"/>
    <cellStyle name="Hyperlink" xfId="1717" builtinId="8" hidden="1"/>
    <cellStyle name="Hyperlink" xfId="1719" builtinId="8" hidden="1"/>
    <cellStyle name="Hyperlink" xfId="1721" builtinId="8" hidden="1"/>
    <cellStyle name="Hyperlink" xfId="1723" builtinId="8" hidden="1"/>
    <cellStyle name="Hyperlink" xfId="1725" builtinId="8" hidden="1"/>
    <cellStyle name="Hyperlink" xfId="1727" builtinId="8" hidden="1"/>
    <cellStyle name="Hyperlink" xfId="1729" builtinId="8" hidden="1"/>
    <cellStyle name="Hyperlink" xfId="1731" builtinId="8" hidden="1"/>
    <cellStyle name="Hyperlink" xfId="1733" builtinId="8" hidden="1"/>
    <cellStyle name="Hyperlink" xfId="1735" builtinId="8" hidden="1"/>
    <cellStyle name="Hyperlink" xfId="1737" builtinId="8" hidden="1"/>
    <cellStyle name="Hyperlink" xfId="1739" builtinId="8" hidden="1"/>
    <cellStyle name="Hyperlink" xfId="1741" builtinId="8" hidden="1"/>
    <cellStyle name="Hyperlink" xfId="1743" builtinId="8" hidden="1"/>
    <cellStyle name="Hyperlink" xfId="1745" builtinId="8" hidden="1"/>
    <cellStyle name="Hyperlink" xfId="1747" builtinId="8" hidden="1"/>
    <cellStyle name="Hyperlink" xfId="1749" builtinId="8" hidden="1"/>
    <cellStyle name="Hyperlink" xfId="1751" builtinId="8" hidden="1"/>
    <cellStyle name="Hyperlink" xfId="1753" builtinId="8" hidden="1"/>
    <cellStyle name="Hyperlink" xfId="1755" builtinId="8" hidden="1"/>
    <cellStyle name="Hyperlink" xfId="1757" builtinId="8" hidden="1"/>
    <cellStyle name="Hyperlink" xfId="1759" builtinId="8" hidden="1"/>
    <cellStyle name="Hyperlink" xfId="1761" builtinId="8" hidden="1"/>
    <cellStyle name="Hyperlink" xfId="1763" builtinId="8" hidden="1"/>
    <cellStyle name="Hyperlink" xfId="1765" builtinId="8" hidden="1"/>
    <cellStyle name="Hyperlink" xfId="1767" builtinId="8" hidden="1"/>
    <cellStyle name="Hyperlink" xfId="1769" builtinId="8" hidden="1"/>
    <cellStyle name="Hyperlink" xfId="1771" builtinId="8" hidden="1"/>
    <cellStyle name="Hyperlink" xfId="1773" builtinId="8" hidden="1"/>
    <cellStyle name="Hyperlink" xfId="1775" builtinId="8" hidden="1"/>
    <cellStyle name="Hyperlink" xfId="1777" builtinId="8" hidden="1"/>
    <cellStyle name="Hyperlink" xfId="1779" builtinId="8" hidden="1"/>
    <cellStyle name="Hyperlink" xfId="1781" builtinId="8" hidden="1"/>
    <cellStyle name="Hyperlink" xfId="1783" builtinId="8" hidden="1"/>
    <cellStyle name="Hyperlink" xfId="1785" builtinId="8" hidden="1"/>
    <cellStyle name="Hyperlink" xfId="1787" builtinId="8" hidden="1"/>
    <cellStyle name="Hyperlink" xfId="1789" builtinId="8" hidden="1"/>
    <cellStyle name="Hyperlink" xfId="1791" builtinId="8" hidden="1"/>
    <cellStyle name="Hyperlink" xfId="1793" builtinId="8" hidden="1"/>
    <cellStyle name="Hyperlink" xfId="1795" builtinId="8" hidden="1"/>
    <cellStyle name="Hyperlink" xfId="1797" builtinId="8" hidden="1"/>
    <cellStyle name="Hyperlink" xfId="1799" builtinId="8" hidden="1"/>
    <cellStyle name="Hyperlink" xfId="1801" builtinId="8" hidden="1"/>
    <cellStyle name="Hyperlink" xfId="1803" builtinId="8" hidden="1"/>
    <cellStyle name="Hyperlink" xfId="1805" builtinId="8" hidden="1"/>
    <cellStyle name="Hyperlink" xfId="1807" builtinId="8" hidden="1"/>
    <cellStyle name="Hyperlink" xfId="1809" builtinId="8" hidden="1"/>
    <cellStyle name="Hyperlink" xfId="1811" builtinId="8" hidden="1"/>
    <cellStyle name="Hyperlink" xfId="1813" builtinId="8" hidden="1"/>
    <cellStyle name="Hyperlink" xfId="1815" builtinId="8" hidden="1"/>
    <cellStyle name="Hyperlink" xfId="1817" builtinId="8" hidden="1"/>
    <cellStyle name="Hyperlink" xfId="1819" builtinId="8" hidden="1"/>
    <cellStyle name="Hyperlink" xfId="1821" builtinId="8" hidden="1"/>
    <cellStyle name="Hyperlink" xfId="1823" builtinId="8" hidden="1"/>
    <cellStyle name="Hyperlink" xfId="1825" builtinId="8" hidden="1"/>
    <cellStyle name="Hyperlink" xfId="1827" builtinId="8" hidden="1"/>
    <cellStyle name="Hyperlink" xfId="1829" builtinId="8" hidden="1"/>
    <cellStyle name="Hyperlink" xfId="1831" builtinId="8" hidden="1"/>
    <cellStyle name="Hyperlink" xfId="1833" builtinId="8" hidden="1"/>
    <cellStyle name="Hyperlink" xfId="1835" builtinId="8" hidden="1"/>
    <cellStyle name="Hyperlink" xfId="1837" builtinId="8" hidden="1"/>
    <cellStyle name="Hyperlink" xfId="1839" builtinId="8" hidden="1"/>
    <cellStyle name="Hyperlink" xfId="1841" builtinId="8" hidden="1"/>
    <cellStyle name="Hyperlink" xfId="1843" builtinId="8" hidden="1"/>
    <cellStyle name="Hyperlink" xfId="1845" builtinId="8" hidden="1"/>
    <cellStyle name="Hyperlink" xfId="1847" builtinId="8" hidden="1"/>
    <cellStyle name="Hyperlink" xfId="1849" builtinId="8" hidden="1"/>
    <cellStyle name="Hyperlink" xfId="1851" builtinId="8" hidden="1"/>
    <cellStyle name="Hyperlink" xfId="1853" builtinId="8" hidden="1"/>
    <cellStyle name="Hyperlink" xfId="1855" builtinId="8" hidden="1"/>
    <cellStyle name="Hyperlink" xfId="1857" builtinId="8" hidden="1"/>
    <cellStyle name="Hyperlink" xfId="1859" builtinId="8" hidden="1"/>
    <cellStyle name="Hyperlink" xfId="1861" builtinId="8" hidden="1"/>
    <cellStyle name="Hyperlink" xfId="1863" builtinId="8" hidden="1"/>
    <cellStyle name="Hyperlink" xfId="1865" builtinId="8" hidden="1"/>
    <cellStyle name="Hyperlink" xfId="1867" builtinId="8" hidden="1"/>
    <cellStyle name="Hyperlink" xfId="1869" builtinId="8" hidden="1"/>
    <cellStyle name="Hyperlink" xfId="1871" builtinId="8" hidden="1"/>
    <cellStyle name="Hyperlink" xfId="1873" builtinId="8" hidden="1"/>
    <cellStyle name="Hyperlink" xfId="1875" builtinId="8" hidden="1"/>
    <cellStyle name="Hyperlink" xfId="1877" builtinId="8" hidden="1"/>
    <cellStyle name="Hyperlink" xfId="1879" builtinId="8" hidden="1"/>
    <cellStyle name="Hyperlink" xfId="1881" builtinId="8" hidden="1"/>
    <cellStyle name="Hyperlink" xfId="1883" builtinId="8" hidden="1"/>
    <cellStyle name="Hyperlink" xfId="1885" builtinId="8" hidden="1"/>
    <cellStyle name="Hyperlink" xfId="1887" builtinId="8" hidden="1"/>
    <cellStyle name="Hyperlink" xfId="1889" builtinId="8" hidden="1"/>
    <cellStyle name="Hyperlink" xfId="1891" builtinId="8" hidden="1"/>
    <cellStyle name="Hyperlink" xfId="1893" builtinId="8" hidden="1"/>
    <cellStyle name="Hyperlink" xfId="1895" builtinId="8" hidden="1"/>
    <cellStyle name="Hyperlink" xfId="1897" builtinId="8" hidden="1"/>
    <cellStyle name="Hyperlink" xfId="1899" builtinId="8" hidden="1"/>
    <cellStyle name="Hyperlink" xfId="1901" builtinId="8" hidden="1"/>
    <cellStyle name="Hyperlink" xfId="1903" builtinId="8" hidden="1"/>
    <cellStyle name="Hyperlink" xfId="1905" builtinId="8" hidden="1"/>
    <cellStyle name="Hyperlink" xfId="1907" builtinId="8" hidden="1"/>
    <cellStyle name="Hyperlink" xfId="1909" builtinId="8" hidden="1"/>
    <cellStyle name="Hyperlink" xfId="1911" builtinId="8" hidden="1"/>
    <cellStyle name="Hyperlink" xfId="1913" builtinId="8" hidden="1"/>
    <cellStyle name="Hyperlink" xfId="1915" builtinId="8" hidden="1"/>
    <cellStyle name="Hyperlink" xfId="1917" builtinId="8" hidden="1"/>
    <cellStyle name="Hyperlink" xfId="1919" builtinId="8" hidden="1"/>
    <cellStyle name="Hyperlink" xfId="1921" builtinId="8" hidden="1"/>
    <cellStyle name="Hyperlink" xfId="1923" builtinId="8" hidden="1"/>
    <cellStyle name="Hyperlink" xfId="1925" builtinId="8" hidden="1"/>
    <cellStyle name="Hyperlink" xfId="1927" builtinId="8" hidden="1"/>
    <cellStyle name="Hyperlink" xfId="1929" builtinId="8" hidden="1"/>
    <cellStyle name="Hyperlink" xfId="1931" builtinId="8" hidden="1"/>
    <cellStyle name="Hyperlink" xfId="1933" builtinId="8" hidden="1"/>
    <cellStyle name="Hyperlink" xfId="1935" builtinId="8" hidden="1"/>
    <cellStyle name="Hyperlink" xfId="1937" builtinId="8" hidden="1"/>
    <cellStyle name="Hyperlink" xfId="1939" builtinId="8" hidden="1"/>
    <cellStyle name="Hyperlink" xfId="1941" builtinId="8" hidden="1"/>
    <cellStyle name="Hyperlink" xfId="1943" builtinId="8" hidden="1"/>
    <cellStyle name="Hyperlink" xfId="1945" builtinId="8" hidden="1"/>
    <cellStyle name="Hyperlink" xfId="1947" builtinId="8" hidden="1"/>
    <cellStyle name="Hyperlink" xfId="1949" builtinId="8" hidden="1"/>
    <cellStyle name="Hyperlink" xfId="1951" builtinId="8" hidden="1"/>
    <cellStyle name="Hyperlink" xfId="1953" builtinId="8" hidden="1"/>
    <cellStyle name="Hyperlink" xfId="1955" builtinId="8" hidden="1"/>
    <cellStyle name="Hyperlink" xfId="1957" builtinId="8" hidden="1"/>
    <cellStyle name="Hyperlink" xfId="1959" builtinId="8" hidden="1"/>
    <cellStyle name="Hyperlink" xfId="1961" builtinId="8" hidden="1"/>
    <cellStyle name="Hyperlink" xfId="1963" builtinId="8" hidden="1"/>
    <cellStyle name="Hyperlink" xfId="1965" builtinId="8" hidden="1"/>
    <cellStyle name="Hyperlink" xfId="1967" builtinId="8" hidden="1"/>
    <cellStyle name="Hyperlink" xfId="1969" builtinId="8" hidden="1"/>
    <cellStyle name="Hyperlink" xfId="1971" builtinId="8" hidden="1"/>
    <cellStyle name="Hyperlink" xfId="1973" builtinId="8" hidden="1"/>
    <cellStyle name="Hyperlink" xfId="1975" builtinId="8" hidden="1"/>
    <cellStyle name="Hyperlink" xfId="1977" builtinId="8" hidden="1"/>
    <cellStyle name="Hyperlink" xfId="1979" builtinId="8" hidden="1"/>
    <cellStyle name="Hyperlink" xfId="1981" builtinId="8" hidden="1"/>
    <cellStyle name="Hyperlink" xfId="1983" builtinId="8" hidden="1"/>
    <cellStyle name="Hyperlink" xfId="1985" builtinId="8" hidden="1"/>
    <cellStyle name="Hyperlink" xfId="1987" builtinId="8" hidden="1"/>
    <cellStyle name="Hyperlink" xfId="1989" builtinId="8" hidden="1"/>
    <cellStyle name="Hyperlink" xfId="1991" builtinId="8" hidden="1"/>
    <cellStyle name="Hyperlink" xfId="1993" builtinId="8" hidden="1"/>
    <cellStyle name="Hyperlink" xfId="1995" builtinId="8" hidden="1"/>
    <cellStyle name="Hyperlink" xfId="1997" builtinId="8" hidden="1"/>
    <cellStyle name="Hyperlink" xfId="1999" builtinId="8" hidden="1"/>
    <cellStyle name="Hyperlink" xfId="2001" builtinId="8" hidden="1"/>
    <cellStyle name="Hyperlink" xfId="2003" builtinId="8" hidden="1"/>
    <cellStyle name="Hyperlink" xfId="2005" builtinId="8" hidden="1"/>
    <cellStyle name="Hyperlink" xfId="2007" builtinId="8" hidden="1"/>
    <cellStyle name="Hyperlink" xfId="2009" builtinId="8" hidden="1"/>
    <cellStyle name="Hyperlink" xfId="2011" builtinId="8" hidden="1"/>
    <cellStyle name="Hyperlink" xfId="2013" builtinId="8" hidden="1"/>
    <cellStyle name="Hyperlink" xfId="2015" builtinId="8" hidden="1"/>
    <cellStyle name="Hyperlink" xfId="2017" builtinId="8" hidden="1"/>
    <cellStyle name="Hyperlink" xfId="2019" builtinId="8" hidden="1"/>
    <cellStyle name="Hyperlink" xfId="2021" builtinId="8" hidden="1"/>
    <cellStyle name="Hyperlink" xfId="2023" builtinId="8" hidden="1"/>
    <cellStyle name="Hyperlink" xfId="2025" builtinId="8" hidden="1"/>
    <cellStyle name="Hyperlink" xfId="2027" builtinId="8" hidden="1"/>
    <cellStyle name="Hyperlink" xfId="2029" builtinId="8" hidden="1"/>
    <cellStyle name="Hyperlink" xfId="2031" builtinId="8" hidden="1"/>
    <cellStyle name="Hyperlink" xfId="2033" builtinId="8" hidden="1"/>
    <cellStyle name="Hyperlink" xfId="2035" builtinId="8" hidden="1"/>
    <cellStyle name="Hyperlink" xfId="2037" builtinId="8" hidden="1"/>
    <cellStyle name="Hyperlink" xfId="2039" builtinId="8" hidden="1"/>
    <cellStyle name="Hyperlink" xfId="2041" builtinId="8" hidden="1"/>
    <cellStyle name="Hyperlink" xfId="2043" builtinId="8" hidden="1"/>
    <cellStyle name="Hyperlink" xfId="2045" builtinId="8" hidden="1"/>
    <cellStyle name="Hyperlink" xfId="2047" builtinId="8" hidden="1"/>
    <cellStyle name="Hyperlink" xfId="2049" builtinId="8" hidden="1"/>
    <cellStyle name="Hyperlink" xfId="2051" builtinId="8" hidden="1"/>
    <cellStyle name="Hyperlink" xfId="2053" builtinId="8" hidden="1"/>
    <cellStyle name="Hyperlink" xfId="2055" builtinId="8" hidden="1"/>
    <cellStyle name="Hyperlink" xfId="2057" builtinId="8" hidden="1"/>
    <cellStyle name="Hyperlink" xfId="2059" builtinId="8" hidden="1"/>
    <cellStyle name="Hyperlink" xfId="2061" builtinId="8" hidden="1"/>
    <cellStyle name="Hyperlink" xfId="2063" builtinId="8" hidden="1"/>
    <cellStyle name="Hyperlink" xfId="2065" builtinId="8" hidden="1"/>
    <cellStyle name="Hyperlink" xfId="2067" builtinId="8" hidden="1"/>
    <cellStyle name="Hyperlink" xfId="2069" builtinId="8" hidden="1"/>
    <cellStyle name="Hyperlink" xfId="2071" builtinId="8" hidden="1"/>
    <cellStyle name="Hyperlink" xfId="2073" builtinId="8" hidden="1"/>
    <cellStyle name="Hyperlink" xfId="2075" builtinId="8" hidden="1"/>
    <cellStyle name="Hyperlink" xfId="2077" builtinId="8" hidden="1"/>
    <cellStyle name="Hyperlink" xfId="2079" builtinId="8" hidden="1"/>
    <cellStyle name="Hyperlink" xfId="2081" builtinId="8" hidden="1"/>
    <cellStyle name="Hyperlink" xfId="2083" builtinId="8" hidden="1"/>
    <cellStyle name="Hyperlink" xfId="2085" builtinId="8" hidden="1"/>
    <cellStyle name="Hyperlink" xfId="2087" builtinId="8" hidden="1"/>
    <cellStyle name="Hyperlink" xfId="2089" builtinId="8" hidden="1"/>
    <cellStyle name="Hyperlink" xfId="2091" builtinId="8" hidden="1"/>
    <cellStyle name="Hyperlink" xfId="2093" builtinId="8" hidden="1"/>
    <cellStyle name="Hyperlink" xfId="2095" builtinId="8" hidden="1"/>
    <cellStyle name="Hyperlink" xfId="2097" builtinId="8" hidden="1"/>
    <cellStyle name="Hyperlink" xfId="2099" builtinId="8" hidden="1"/>
    <cellStyle name="Hyperlink" xfId="2101" builtinId="8" hidden="1"/>
    <cellStyle name="Hyperlink" xfId="2103" builtinId="8" hidden="1"/>
    <cellStyle name="Hyperlink" xfId="2105" builtinId="8" hidden="1"/>
    <cellStyle name="Hyperlink" xfId="2107" builtinId="8" hidden="1"/>
    <cellStyle name="Hyperlink" xfId="2109" builtinId="8" hidden="1"/>
    <cellStyle name="Hyperlink" xfId="2111" builtinId="8" hidden="1"/>
    <cellStyle name="Hyperlink" xfId="2113" builtinId="8" hidden="1"/>
    <cellStyle name="Hyperlink" xfId="2115" builtinId="8" hidden="1"/>
    <cellStyle name="Hyperlink" xfId="2117" builtinId="8" hidden="1"/>
    <cellStyle name="Hyperlink" xfId="2119" builtinId="8" hidden="1"/>
    <cellStyle name="Hyperlink" xfId="2121" builtinId="8" hidden="1"/>
    <cellStyle name="Hyperlink" xfId="2123" builtinId="8" hidden="1"/>
    <cellStyle name="Hyperlink" xfId="2125" builtinId="8" hidden="1"/>
    <cellStyle name="Hyperlink" xfId="2127" builtinId="8" hidden="1"/>
    <cellStyle name="Hyperlink" xfId="2129" builtinId="8" hidden="1"/>
    <cellStyle name="Hyperlink" xfId="2131" builtinId="8" hidden="1"/>
    <cellStyle name="Hyperlink" xfId="2133" builtinId="8" hidden="1"/>
    <cellStyle name="Hyperlink" xfId="2135" builtinId="8" hidden="1"/>
    <cellStyle name="Hyperlink" xfId="2137" builtinId="8" hidden="1"/>
    <cellStyle name="Hyperlink" xfId="2139" builtinId="8" hidden="1"/>
    <cellStyle name="Hyperlink" xfId="2141" builtinId="8" hidden="1"/>
    <cellStyle name="Hyperlink" xfId="2143" builtinId="8" hidden="1"/>
    <cellStyle name="Hyperlink" xfId="2145" builtinId="8" hidden="1"/>
    <cellStyle name="Hyperlink" xfId="2147" builtinId="8" hidden="1"/>
    <cellStyle name="Hyperlink" xfId="2149" builtinId="8" hidden="1"/>
    <cellStyle name="Hyperlink" xfId="2151" builtinId="8" hidden="1"/>
    <cellStyle name="Hyperlink" xfId="2153" builtinId="8" hidden="1"/>
    <cellStyle name="Hyperlink" xfId="2155" builtinId="8" hidden="1"/>
    <cellStyle name="Hyperlink" xfId="2157" builtinId="8" hidden="1"/>
    <cellStyle name="Hyperlink" xfId="2159" builtinId="8" hidden="1"/>
    <cellStyle name="Hyperlink" xfId="2161" builtinId="8" hidden="1"/>
    <cellStyle name="Hyperlink" xfId="2163" builtinId="8" hidden="1"/>
    <cellStyle name="Hyperlink" xfId="2165" builtinId="8" hidden="1"/>
    <cellStyle name="Hyperlink" xfId="2167" builtinId="8" hidden="1"/>
    <cellStyle name="Hyperlink" xfId="2169" builtinId="8" hidden="1"/>
    <cellStyle name="Hyperlink" xfId="2171" builtinId="8" hidden="1"/>
    <cellStyle name="Hyperlink" xfId="2173" builtinId="8" hidden="1"/>
    <cellStyle name="Hyperlink" xfId="2175" builtinId="8" hidden="1"/>
    <cellStyle name="Hyperlink" xfId="2177" builtinId="8" hidden="1"/>
    <cellStyle name="Hyperlink" xfId="2179" builtinId="8" hidden="1"/>
    <cellStyle name="Hyperlink" xfId="2181" builtinId="8" hidden="1"/>
    <cellStyle name="Hyperlink" xfId="2183" builtinId="8" hidden="1"/>
    <cellStyle name="Hyperlink" xfId="2185" builtinId="8" hidden="1"/>
    <cellStyle name="Hyperlink" xfId="2187" builtinId="8" hidden="1"/>
    <cellStyle name="Hyperlink" xfId="2189" builtinId="8" hidden="1"/>
    <cellStyle name="Hyperlink" xfId="2191" builtinId="8" hidden="1"/>
    <cellStyle name="Hyperlink" xfId="2193" builtinId="8" hidden="1"/>
    <cellStyle name="Hyperlink" xfId="2195" builtinId="8" hidden="1"/>
    <cellStyle name="Hyperlink" xfId="2197" builtinId="8" hidden="1"/>
    <cellStyle name="Hyperlink" xfId="2199" builtinId="8" hidden="1"/>
    <cellStyle name="Hyperlink" xfId="2201" builtinId="8" hidden="1"/>
    <cellStyle name="Hyperlink" xfId="2203" builtinId="8" hidden="1"/>
    <cellStyle name="Hyperlink" xfId="2205" builtinId="8" hidden="1"/>
    <cellStyle name="Hyperlink" xfId="2207" builtinId="8" hidden="1"/>
    <cellStyle name="Hyperlink" xfId="2209" builtinId="8" hidden="1"/>
    <cellStyle name="Hyperlink" xfId="2211" builtinId="8" hidden="1"/>
    <cellStyle name="Hyperlink" xfId="2213" builtinId="8" hidden="1"/>
    <cellStyle name="Hyperlink" xfId="2215" builtinId="8" hidden="1"/>
    <cellStyle name="Hyperlink" xfId="2217" builtinId="8" hidden="1"/>
    <cellStyle name="Hyperlink" xfId="2219" builtinId="8" hidden="1"/>
    <cellStyle name="Hyperlink" xfId="2221" builtinId="8" hidden="1"/>
    <cellStyle name="Hyperlink" xfId="2223" builtinId="8" hidden="1"/>
    <cellStyle name="Hyperlink" xfId="2225" builtinId="8" hidden="1"/>
    <cellStyle name="Hyperlink" xfId="2227" builtinId="8" hidden="1"/>
    <cellStyle name="Hyperlink" xfId="2229" builtinId="8" hidden="1"/>
    <cellStyle name="Hyperlink" xfId="2231" builtinId="8" hidden="1"/>
    <cellStyle name="Hyperlink" xfId="2233" builtinId="8" hidden="1"/>
    <cellStyle name="Hyperlink" xfId="2235" builtinId="8" hidden="1"/>
    <cellStyle name="Hyperlink" xfId="2237" builtinId="8" hidden="1"/>
    <cellStyle name="Hyperlink" xfId="2239" builtinId="8" hidden="1"/>
    <cellStyle name="Hyperlink" xfId="2241" builtinId="8" hidden="1"/>
    <cellStyle name="Hyperlink" xfId="2243" builtinId="8" hidden="1"/>
    <cellStyle name="Hyperlink" xfId="2245" builtinId="8" hidden="1"/>
    <cellStyle name="Hyperlink" xfId="2247" builtinId="8" hidden="1"/>
    <cellStyle name="Hyperlink" xfId="2249" builtinId="8" hidden="1"/>
    <cellStyle name="Hyperlink" xfId="2251" builtinId="8" hidden="1"/>
    <cellStyle name="Hyperlink" xfId="2253" builtinId="8" hidden="1"/>
    <cellStyle name="Hyperlink" xfId="2255" builtinId="8" hidden="1"/>
    <cellStyle name="Hyperlink" xfId="2257" builtinId="8" hidden="1"/>
    <cellStyle name="Hyperlink" xfId="2259" builtinId="8" hidden="1"/>
    <cellStyle name="Hyperlink" xfId="2261" builtinId="8" hidden="1"/>
    <cellStyle name="Hyperlink" xfId="2263" builtinId="8" hidden="1"/>
    <cellStyle name="Hyperlink" xfId="2265" builtinId="8" hidden="1"/>
    <cellStyle name="Hyperlink" xfId="2267" builtinId="8" hidden="1"/>
    <cellStyle name="Hyperlink" xfId="2269" builtinId="8" hidden="1"/>
    <cellStyle name="Hyperlink" xfId="2271" builtinId="8" hidden="1"/>
    <cellStyle name="Hyperlink" xfId="2273" builtinId="8" hidden="1"/>
    <cellStyle name="Hyperlink" xfId="2275" builtinId="8" hidden="1"/>
    <cellStyle name="Hyperlink" xfId="2277" builtinId="8" hidden="1"/>
    <cellStyle name="Hyperlink" xfId="2279" builtinId="8" hidden="1"/>
    <cellStyle name="Hyperlink" xfId="2281" builtinId="8" hidden="1"/>
    <cellStyle name="Hyperlink" xfId="2283" builtinId="8" hidden="1"/>
    <cellStyle name="Hyperlink" xfId="2285" builtinId="8" hidden="1"/>
    <cellStyle name="Hyperlink" xfId="2287" builtinId="8" hidden="1"/>
    <cellStyle name="Hyperlink" xfId="2289" builtinId="8" hidden="1"/>
    <cellStyle name="Hyperlink" xfId="2291" builtinId="8" hidden="1"/>
    <cellStyle name="Hyperlink" xfId="2293" builtinId="8" hidden="1"/>
    <cellStyle name="Hyperlink" xfId="2295" builtinId="8" hidden="1"/>
    <cellStyle name="Hyperlink" xfId="2297" builtinId="8" hidden="1"/>
    <cellStyle name="Hyperlink" xfId="2299" builtinId="8" hidden="1"/>
    <cellStyle name="Hyperlink" xfId="2301" builtinId="8" hidden="1"/>
    <cellStyle name="Hyperlink" xfId="2303" builtinId="8" hidden="1"/>
    <cellStyle name="Hyperlink" xfId="2305" builtinId="8" hidden="1"/>
    <cellStyle name="Hyperlink" xfId="2307" builtinId="8" hidden="1"/>
    <cellStyle name="Hyperlink" xfId="2309" builtinId="8" hidden="1"/>
    <cellStyle name="Hyperlink" xfId="2311" builtinId="8" hidden="1"/>
    <cellStyle name="Hyperlink" xfId="2313" builtinId="8" hidden="1"/>
    <cellStyle name="Hyperlink" xfId="2315" builtinId="8" hidden="1"/>
    <cellStyle name="Hyperlink" xfId="2317" builtinId="8" hidden="1"/>
    <cellStyle name="Hyperlink" xfId="2319" builtinId="8" hidden="1"/>
    <cellStyle name="Hyperlink" xfId="2321" builtinId="8" hidden="1"/>
    <cellStyle name="Hyperlink" xfId="2323" builtinId="8" hidden="1"/>
    <cellStyle name="Hyperlink" xfId="2325" builtinId="8" hidden="1"/>
    <cellStyle name="Hyperlink" xfId="2327" builtinId="8" hidden="1"/>
    <cellStyle name="Hyperlink" xfId="2329" builtinId="8" hidden="1"/>
    <cellStyle name="Hyperlink" xfId="2331" builtinId="8" hidden="1"/>
    <cellStyle name="Hyperlink" xfId="2333" builtinId="8" hidden="1"/>
    <cellStyle name="Hyperlink" xfId="2335" builtinId="8" hidden="1"/>
    <cellStyle name="Hyperlink" xfId="2337" builtinId="8" hidden="1"/>
    <cellStyle name="Hyperlink" xfId="2339" builtinId="8" hidden="1"/>
    <cellStyle name="Hyperlink" xfId="2341" builtinId="8" hidden="1"/>
    <cellStyle name="Hyperlink" xfId="2343" builtinId="8" hidden="1"/>
    <cellStyle name="Hyperlink" xfId="2345" builtinId="8" hidden="1"/>
    <cellStyle name="Hyperlink" xfId="2347" builtinId="8" hidden="1"/>
    <cellStyle name="Hyperlink" xfId="2349" builtinId="8" hidden="1"/>
    <cellStyle name="Hyperlink" xfId="2351" builtinId="8" hidden="1"/>
    <cellStyle name="Hyperlink" xfId="2353" builtinId="8" hidden="1"/>
    <cellStyle name="Hyperlink" xfId="2355" builtinId="8" hidden="1"/>
    <cellStyle name="Hyperlink" xfId="2357" builtinId="8" hidden="1"/>
    <cellStyle name="Hyperlink" xfId="2359" builtinId="8" hidden="1"/>
    <cellStyle name="Hyperlink" xfId="2361" builtinId="8" hidden="1"/>
    <cellStyle name="Hyperlink" xfId="2363" builtinId="8" hidden="1"/>
    <cellStyle name="Hyperlink" xfId="2365" builtinId="8" hidden="1"/>
    <cellStyle name="Hyperlink" xfId="2367" builtinId="8" hidden="1"/>
    <cellStyle name="Hyperlink" xfId="2369" builtinId="8" hidden="1"/>
    <cellStyle name="Hyperlink" xfId="2371" builtinId="8" hidden="1"/>
    <cellStyle name="Hyperlink" xfId="2373" builtinId="8" hidden="1"/>
    <cellStyle name="Hyperlink" xfId="2375" builtinId="8" hidden="1"/>
    <cellStyle name="Hyperlink" xfId="2377" builtinId="8" hidden="1"/>
    <cellStyle name="Hyperlink" xfId="2379" builtinId="8" hidden="1"/>
    <cellStyle name="Hyperlink" xfId="2381" builtinId="8" hidden="1"/>
    <cellStyle name="Hyperlink" xfId="2383" builtinId="8" hidden="1"/>
    <cellStyle name="Hyperlink" xfId="2385" builtinId="8" hidden="1"/>
    <cellStyle name="Hyperlink" xfId="2387" builtinId="8" hidden="1"/>
    <cellStyle name="Hyperlink" xfId="2389" builtinId="8" hidden="1"/>
    <cellStyle name="Hyperlink" xfId="2391" builtinId="8" hidden="1"/>
    <cellStyle name="Hyperlink" xfId="2393" builtinId="8" hidden="1"/>
    <cellStyle name="Hyperlink" xfId="2395" builtinId="8" hidden="1"/>
    <cellStyle name="Hyperlink" xfId="2397" builtinId="8" hidden="1"/>
    <cellStyle name="Hyperlink" xfId="2399" builtinId="8" hidden="1"/>
    <cellStyle name="Hyperlink" xfId="2401" builtinId="8" hidden="1"/>
    <cellStyle name="Hyperlink" xfId="2403" builtinId="8" hidden="1"/>
    <cellStyle name="Hyperlink" xfId="2405" builtinId="8" hidden="1"/>
    <cellStyle name="Hyperlink" xfId="2407" builtinId="8" hidden="1"/>
    <cellStyle name="Hyperlink" xfId="2409" builtinId="8" hidden="1"/>
    <cellStyle name="Hyperlink" xfId="2411" builtinId="8" hidden="1"/>
    <cellStyle name="Hyperlink" xfId="2413" builtinId="8" hidden="1"/>
    <cellStyle name="Hyperlink" xfId="2415" builtinId="8" hidden="1"/>
    <cellStyle name="Hyperlink" xfId="2417" builtinId="8" hidden="1"/>
    <cellStyle name="Hyperlink" xfId="2419" builtinId="8" hidden="1"/>
    <cellStyle name="Hyperlink" xfId="2421" builtinId="8" hidden="1"/>
    <cellStyle name="Hyperlink" xfId="2423" builtinId="8" hidden="1"/>
    <cellStyle name="Hyperlink" xfId="2425" builtinId="8" hidden="1"/>
    <cellStyle name="Hyperlink" xfId="2427" builtinId="8" hidden="1"/>
    <cellStyle name="Hyperlink" xfId="2429" builtinId="8" hidden="1"/>
    <cellStyle name="Hyperlink" xfId="2431" builtinId="8" hidden="1"/>
    <cellStyle name="Hyperlink" xfId="2433" builtinId="8" hidden="1"/>
    <cellStyle name="Hyperlink" xfId="2435" builtinId="8" hidden="1"/>
    <cellStyle name="Hyperlink" xfId="2437" builtinId="8" hidden="1"/>
    <cellStyle name="Hyperlink" xfId="2439" builtinId="8" hidden="1"/>
    <cellStyle name="Hyperlink" xfId="2441" builtinId="8" hidden="1"/>
    <cellStyle name="Hyperlink" xfId="2443" builtinId="8" hidden="1"/>
    <cellStyle name="Hyperlink" xfId="2445" builtinId="8" hidden="1"/>
    <cellStyle name="Hyperlink" xfId="2447" builtinId="8" hidden="1"/>
    <cellStyle name="Hyperlink" xfId="2449" builtinId="8" hidden="1"/>
    <cellStyle name="Hyperlink" xfId="2451" builtinId="8" hidden="1"/>
    <cellStyle name="Hyperlink" xfId="2453" builtinId="8" hidden="1"/>
    <cellStyle name="Hyperlink" xfId="2455" builtinId="8" hidden="1"/>
    <cellStyle name="Hyperlink" xfId="2457" builtinId="8" hidden="1"/>
    <cellStyle name="Hyperlink" xfId="2459" builtinId="8" hidden="1"/>
    <cellStyle name="Hyperlink" xfId="2461" builtinId="8" hidden="1"/>
    <cellStyle name="Hyperlink" xfId="2463" builtinId="8" hidden="1"/>
    <cellStyle name="Hyperlink" xfId="2465" builtinId="8" hidden="1"/>
    <cellStyle name="Hyperlink" xfId="2467" builtinId="8" hidden="1"/>
    <cellStyle name="Hyperlink" xfId="2469" builtinId="8" hidden="1"/>
    <cellStyle name="Hyperlink" xfId="2471" builtinId="8" hidden="1"/>
    <cellStyle name="Hyperlink" xfId="2473" builtinId="8" hidden="1"/>
    <cellStyle name="Hyperlink" xfId="2475" builtinId="8" hidden="1"/>
    <cellStyle name="Hyperlink" xfId="2477" builtinId="8" hidden="1"/>
    <cellStyle name="Hyperlink" xfId="2479" builtinId="8"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hidden="1"/>
    <cellStyle name="Hyperlink" xfId="2603" builtinId="8" hidden="1"/>
    <cellStyle name="Hyperlink" xfId="2605" builtinId="8" hidden="1"/>
    <cellStyle name="Hyperlink" xfId="2607" builtinId="8" hidden="1"/>
    <cellStyle name="Hyperlink" xfId="2609" builtinId="8" hidden="1"/>
    <cellStyle name="Hyperlink" xfId="2611" builtinId="8" hidden="1"/>
    <cellStyle name="Hyperlink" xfId="2613" builtinId="8" hidden="1"/>
    <cellStyle name="Hyperlink" xfId="2615" builtinId="8" hidden="1"/>
    <cellStyle name="Hyperlink" xfId="2617" builtinId="8" hidden="1"/>
    <cellStyle name="Hyperlink" xfId="2619" builtinId="8" hidden="1"/>
    <cellStyle name="Hyperlink" xfId="2621" builtinId="8" hidden="1"/>
    <cellStyle name="Hyperlink" xfId="2623" builtinId="8" hidden="1"/>
    <cellStyle name="Hyperlink" xfId="2625" builtinId="8" hidden="1"/>
    <cellStyle name="Hyperlink" xfId="2627" builtinId="8" hidden="1"/>
    <cellStyle name="Hyperlink" xfId="2629" builtinId="8" hidden="1"/>
    <cellStyle name="Hyperlink" xfId="2631" builtinId="8" hidden="1"/>
    <cellStyle name="Hyperlink" xfId="2633" builtinId="8" hidden="1"/>
    <cellStyle name="Hyperlink" xfId="2635" builtinId="8" hidden="1"/>
    <cellStyle name="Hyperlink" xfId="2637" builtinId="8" hidden="1"/>
    <cellStyle name="Hyperlink" xfId="2639" builtinId="8" hidden="1"/>
    <cellStyle name="Hyperlink" xfId="2641" builtinId="8" hidden="1"/>
    <cellStyle name="Hyperlink" xfId="2643" builtinId="8" hidden="1"/>
    <cellStyle name="Hyperlink" xfId="2645" builtinId="8" hidden="1"/>
    <cellStyle name="Hyperlink" xfId="2647" builtinId="8" hidden="1"/>
    <cellStyle name="Hyperlink" xfId="2649" builtinId="8" hidden="1"/>
    <cellStyle name="Hyperlink" xfId="2651" builtinId="8" hidden="1"/>
    <cellStyle name="Hyperlink" xfId="2653" builtinId="8" hidden="1"/>
    <cellStyle name="Hyperlink" xfId="2655" builtinId="8" hidden="1"/>
    <cellStyle name="Hyperlink" xfId="2657" builtinId="8" hidden="1"/>
    <cellStyle name="Hyperlink" xfId="2659" builtinId="8" hidden="1"/>
    <cellStyle name="Hyperlink" xfId="2661" builtinId="8" hidden="1"/>
    <cellStyle name="Hyperlink" xfId="2663" builtinId="8" hidden="1"/>
    <cellStyle name="Hyperlink" xfId="2665" builtinId="8" hidden="1"/>
    <cellStyle name="Hyperlink" xfId="2667" builtinId="8" hidden="1"/>
    <cellStyle name="Hyperlink" xfId="2669" builtinId="8" hidden="1"/>
    <cellStyle name="Hyperlink" xfId="2671" builtinId="8" hidden="1"/>
    <cellStyle name="Hyperlink" xfId="2673" builtinId="8" hidden="1"/>
    <cellStyle name="Hyperlink" xfId="2675" builtinId="8" hidden="1"/>
    <cellStyle name="Hyperlink" xfId="2677" builtinId="8" hidden="1"/>
    <cellStyle name="Hyperlink" xfId="2679" builtinId="8" hidden="1"/>
    <cellStyle name="Hyperlink" xfId="2681" builtinId="8" hidden="1"/>
    <cellStyle name="Hyperlink" xfId="2683" builtinId="8" hidden="1"/>
    <cellStyle name="Hyperlink" xfId="2685" builtinId="8" hidden="1"/>
    <cellStyle name="Hyperlink" xfId="2687" builtinId="8" hidden="1"/>
    <cellStyle name="Hyperlink" xfId="2689" builtinId="8" hidden="1"/>
    <cellStyle name="Hyperlink" xfId="2691" builtinId="8" hidden="1"/>
    <cellStyle name="Hyperlink" xfId="2693" builtinId="8" hidden="1"/>
    <cellStyle name="Hyperlink" xfId="2695" builtinId="8" hidden="1"/>
    <cellStyle name="Hyperlink" xfId="2697" builtinId="8" hidden="1"/>
    <cellStyle name="Hyperlink" xfId="2699" builtinId="8" hidden="1"/>
    <cellStyle name="Hyperlink" xfId="2701" builtinId="8" hidden="1"/>
    <cellStyle name="Hyperlink" xfId="2703" builtinId="8" hidden="1"/>
    <cellStyle name="Hyperlink" xfId="2705" builtinId="8" hidden="1"/>
    <cellStyle name="Hyperlink" xfId="2707" builtinId="8" hidden="1"/>
    <cellStyle name="Hyperlink" xfId="2709" builtinId="8" hidden="1"/>
    <cellStyle name="Hyperlink" xfId="2711" builtinId="8" hidden="1"/>
    <cellStyle name="Hyperlink" xfId="2713" builtinId="8" hidden="1"/>
    <cellStyle name="Hyperlink" xfId="2715" builtinId="8" hidden="1"/>
    <cellStyle name="Hyperlink" xfId="2717" builtinId="8" hidden="1"/>
    <cellStyle name="Hyperlink" xfId="2719" builtinId="8" hidden="1"/>
    <cellStyle name="Hyperlink" xfId="2721" builtinId="8" hidden="1"/>
    <cellStyle name="Hyperlink" xfId="2723" builtinId="8" hidden="1"/>
    <cellStyle name="Hyperlink" xfId="2725" builtinId="8" hidden="1"/>
    <cellStyle name="Hyperlink" xfId="2727" builtinId="8" hidden="1"/>
    <cellStyle name="Hyperlink" xfId="2729" builtinId="8" hidden="1"/>
    <cellStyle name="Hyperlink" xfId="2731" builtinId="8" hidden="1"/>
    <cellStyle name="Hyperlink" xfId="2733" builtinId="8" hidden="1"/>
    <cellStyle name="Hyperlink" xfId="2735" builtinId="8" hidden="1"/>
    <cellStyle name="Hyperlink" xfId="2737" builtinId="8" hidden="1"/>
    <cellStyle name="Hyperlink" xfId="2739" builtinId="8" hidden="1"/>
    <cellStyle name="Hyperlink" xfId="2741" builtinId="8" hidden="1"/>
    <cellStyle name="Hyperlink" xfId="2743" builtinId="8" hidden="1"/>
    <cellStyle name="Hyperlink" xfId="2745" builtinId="8" hidden="1"/>
    <cellStyle name="Hyperlink" xfId="2747" builtinId="8" hidden="1"/>
    <cellStyle name="Hyperlink" xfId="2749" builtinId="8" hidden="1"/>
    <cellStyle name="Hyperlink" xfId="2751" builtinId="8" hidden="1"/>
    <cellStyle name="Hyperlink" xfId="2753" builtinId="8" hidden="1"/>
    <cellStyle name="Hyperlink" xfId="2755" builtinId="8" hidden="1"/>
    <cellStyle name="Hyperlink" xfId="2757" builtinId="8" hidden="1"/>
    <cellStyle name="Hyperlink" xfId="2759" builtinId="8" hidden="1"/>
    <cellStyle name="Hyperlink" xfId="2761" builtinId="8" hidden="1"/>
    <cellStyle name="Hyperlink" xfId="2763" builtinId="8" hidden="1"/>
    <cellStyle name="Hyperlink" xfId="2765" builtinId="8" hidden="1"/>
    <cellStyle name="Hyperlink" xfId="2767" builtinId="8" hidden="1"/>
    <cellStyle name="Hyperlink" xfId="2769" builtinId="8" hidden="1"/>
    <cellStyle name="Hyperlink" xfId="2771" builtinId="8" hidden="1"/>
    <cellStyle name="Hyperlink" xfId="2773" builtinId="8" hidden="1"/>
    <cellStyle name="Hyperlink" xfId="2775" builtinId="8" hidden="1"/>
    <cellStyle name="Hyperlink" xfId="2777" builtinId="8" hidden="1"/>
    <cellStyle name="Hyperlink" xfId="2779" builtinId="8" hidden="1"/>
    <cellStyle name="Hyperlink" xfId="2781" builtinId="8" hidden="1"/>
    <cellStyle name="Hyperlink" xfId="2783" builtinId="8" hidden="1"/>
    <cellStyle name="Hyperlink" xfId="2785" builtinId="8" hidden="1"/>
    <cellStyle name="Hyperlink" xfId="2787" builtinId="8" hidden="1"/>
    <cellStyle name="Hyperlink" xfId="2789" builtinId="8" hidden="1"/>
    <cellStyle name="Hyperlink" xfId="2791" builtinId="8" hidden="1"/>
    <cellStyle name="Hyperlink" xfId="2793" builtinId="8" hidden="1"/>
    <cellStyle name="Hyperlink" xfId="2795" builtinId="8" hidden="1"/>
    <cellStyle name="Hyperlink" xfId="2797" builtinId="8" hidden="1"/>
    <cellStyle name="Hyperlink" xfId="2799" builtinId="8" hidden="1"/>
    <cellStyle name="Hyperlink" xfId="2801" builtinId="8" hidden="1"/>
    <cellStyle name="Hyperlink" xfId="2803" builtinId="8" hidden="1"/>
    <cellStyle name="Hyperlink" xfId="2805" builtinId="8" hidden="1"/>
    <cellStyle name="Hyperlink" xfId="2807" builtinId="8" hidden="1"/>
    <cellStyle name="Hyperlink" xfId="2809" builtinId="8" hidden="1"/>
    <cellStyle name="Hyperlink" xfId="2811" builtinId="8" hidden="1"/>
    <cellStyle name="Hyperlink" xfId="2813" builtinId="8" hidden="1"/>
    <cellStyle name="Hyperlink" xfId="2815" builtinId="8" hidden="1"/>
    <cellStyle name="Hyperlink" xfId="2817" builtinId="8" hidden="1"/>
    <cellStyle name="Hyperlink" xfId="2819" builtinId="8" hidden="1"/>
    <cellStyle name="Hyperlink" xfId="2821" builtinId="8" hidden="1"/>
    <cellStyle name="Hyperlink" xfId="2823" builtinId="8" hidden="1"/>
    <cellStyle name="Hyperlink" xfId="2825" builtinId="8" hidden="1"/>
    <cellStyle name="Hyperlink" xfId="2827" builtinId="8" hidden="1"/>
    <cellStyle name="Hyperlink" xfId="2829" builtinId="8" hidden="1"/>
    <cellStyle name="Hyperlink" xfId="2831" builtinId="8" hidden="1"/>
    <cellStyle name="Hyperlink" xfId="2833" builtinId="8" hidden="1"/>
    <cellStyle name="Hyperlink" xfId="2835" builtinId="8" hidden="1"/>
    <cellStyle name="Hyperlink" xfId="2837" builtinId="8" hidden="1"/>
    <cellStyle name="Hyperlink" xfId="2839" builtinId="8" hidden="1"/>
    <cellStyle name="Hyperlink" xfId="2841" builtinId="8" hidden="1"/>
    <cellStyle name="Hyperlink" xfId="2843" builtinId="8" hidden="1"/>
    <cellStyle name="Hyperlink" xfId="2845" builtinId="8" hidden="1"/>
    <cellStyle name="Hyperlink" xfId="2847" builtinId="8" hidden="1"/>
    <cellStyle name="Hyperlink" xfId="2849" builtinId="8" hidden="1"/>
    <cellStyle name="Hyperlink" xfId="2851" builtinId="8" hidden="1"/>
    <cellStyle name="Hyperlink" xfId="2853" builtinId="8" hidden="1"/>
    <cellStyle name="Hyperlink" xfId="2855" builtinId="8" hidden="1"/>
    <cellStyle name="Hyperlink" xfId="2857" builtinId="8" hidden="1"/>
    <cellStyle name="Hyperlink" xfId="2859" builtinId="8" hidden="1"/>
    <cellStyle name="Hyperlink" xfId="2861" builtinId="8" hidden="1"/>
    <cellStyle name="Hyperlink" xfId="2863" builtinId="8" hidden="1"/>
    <cellStyle name="Hyperlink" xfId="2865" builtinId="8" hidden="1"/>
    <cellStyle name="Hyperlink" xfId="2867" builtinId="8" hidden="1"/>
    <cellStyle name="Hyperlink" xfId="2869" builtinId="8" hidden="1"/>
    <cellStyle name="Hyperlink" xfId="2871" builtinId="8" hidden="1"/>
    <cellStyle name="Hyperlink" xfId="2873" builtinId="8" hidden="1"/>
    <cellStyle name="Hyperlink" xfId="2875" builtinId="8" hidden="1"/>
    <cellStyle name="Hyperlink" xfId="2877" builtinId="8" hidden="1"/>
    <cellStyle name="Hyperlink" xfId="2879" builtinId="8" hidden="1"/>
    <cellStyle name="Hyperlink" xfId="2881" builtinId="8" hidden="1"/>
    <cellStyle name="Hyperlink" xfId="2883" builtinId="8" hidden="1"/>
    <cellStyle name="Hyperlink" xfId="2885" builtinId="8" hidden="1"/>
    <cellStyle name="Hyperlink" xfId="2887" builtinId="8" hidden="1"/>
    <cellStyle name="Hyperlink" xfId="2889" builtinId="8" hidden="1"/>
    <cellStyle name="Hyperlink" xfId="2891" builtinId="8" hidden="1"/>
    <cellStyle name="Hyperlink" xfId="2893" builtinId="8" hidden="1"/>
    <cellStyle name="Hyperlink" xfId="2895" builtinId="8" hidden="1"/>
    <cellStyle name="Hyperlink" xfId="2897" builtinId="8" hidden="1"/>
    <cellStyle name="Hyperlink" xfId="2899" builtinId="8" hidden="1"/>
    <cellStyle name="Hyperlink" xfId="2901" builtinId="8" hidden="1"/>
    <cellStyle name="Hyperlink" xfId="2903" builtinId="8" hidden="1"/>
    <cellStyle name="Hyperlink" xfId="2905" builtinId="8" hidden="1"/>
    <cellStyle name="Hyperlink" xfId="2907" builtinId="8" hidden="1"/>
    <cellStyle name="Hyperlink" xfId="2909" builtinId="8" hidden="1"/>
    <cellStyle name="Hyperlink" xfId="2911" builtinId="8" hidden="1"/>
    <cellStyle name="Hyperlink" xfId="2913" builtinId="8" hidden="1"/>
    <cellStyle name="Hyperlink" xfId="2915" builtinId="8" hidden="1"/>
    <cellStyle name="Hyperlink" xfId="2917" builtinId="8" hidden="1"/>
    <cellStyle name="Hyperlink" xfId="2919" builtinId="8" hidden="1"/>
    <cellStyle name="Hyperlink" xfId="2921" builtinId="8" hidden="1"/>
    <cellStyle name="Hyperlink" xfId="2923" builtinId="8" hidden="1"/>
    <cellStyle name="Hyperlink" xfId="2925" builtinId="8" hidden="1"/>
    <cellStyle name="Hyperlink" xfId="2927" builtinId="8" hidden="1"/>
    <cellStyle name="Hyperlink" xfId="2929" builtinId="8" hidden="1"/>
    <cellStyle name="Hyperlink" xfId="2931" builtinId="8" hidden="1"/>
    <cellStyle name="Hyperlink" xfId="2933" builtinId="8" hidden="1"/>
    <cellStyle name="Hyperlink" xfId="2935" builtinId="8" hidden="1"/>
    <cellStyle name="Hyperlink" xfId="2937" builtinId="8" hidden="1"/>
    <cellStyle name="Hyperlink" xfId="2939" builtinId="8" hidden="1"/>
    <cellStyle name="Hyperlink" xfId="2941" builtinId="8" hidden="1"/>
    <cellStyle name="Hyperlink" xfId="2943" builtinId="8" hidden="1"/>
    <cellStyle name="Hyperlink" xfId="2945" builtinId="8" hidden="1"/>
    <cellStyle name="Hyperlink" xfId="2947" builtinId="8" hidden="1"/>
    <cellStyle name="Hyperlink" xfId="2949" builtinId="8" hidden="1"/>
    <cellStyle name="Hyperlink" xfId="2951" builtinId="8" hidden="1"/>
    <cellStyle name="Hyperlink" xfId="2953" builtinId="8" hidden="1"/>
    <cellStyle name="Hyperlink" xfId="2955" builtinId="8" hidden="1"/>
    <cellStyle name="Hyperlink" xfId="2957" builtinId="8" hidden="1"/>
    <cellStyle name="Hyperlink" xfId="2959" builtinId="8" hidden="1"/>
    <cellStyle name="Hyperlink" xfId="2961" builtinId="8" hidden="1"/>
    <cellStyle name="Hyperlink" xfId="2963" builtinId="8" hidden="1"/>
    <cellStyle name="Hyperlink" xfId="2965" builtinId="8" hidden="1"/>
    <cellStyle name="Hyperlink" xfId="2967" builtinId="8" hidden="1"/>
    <cellStyle name="Hyperlink" xfId="2969" builtinId="8" hidden="1"/>
    <cellStyle name="Hyperlink" xfId="2971" builtinId="8" hidden="1"/>
    <cellStyle name="Hyperlink" xfId="2973" builtinId="8" hidden="1"/>
    <cellStyle name="Hyperlink" xfId="2975" builtinId="8" hidden="1"/>
    <cellStyle name="Hyperlink" xfId="2977" builtinId="8" hidden="1"/>
    <cellStyle name="Hyperlink" xfId="2979" builtinId="8" hidden="1"/>
    <cellStyle name="Hyperlink" xfId="2981" builtinId="8" hidden="1"/>
    <cellStyle name="Hyperlink" xfId="2983" builtinId="8" hidden="1"/>
    <cellStyle name="Hyperlink" xfId="2985" builtinId="8" hidden="1"/>
    <cellStyle name="Hyperlink" xfId="2987" builtinId="8" hidden="1"/>
    <cellStyle name="Hyperlink" xfId="2989" builtinId="8" hidden="1"/>
    <cellStyle name="Hyperlink" xfId="2991" builtinId="8" hidden="1"/>
    <cellStyle name="Hyperlink" xfId="2993" builtinId="8" hidden="1"/>
    <cellStyle name="Hyperlink" xfId="2995" builtinId="8" hidden="1"/>
    <cellStyle name="Hyperlink" xfId="2997" builtinId="8" hidden="1"/>
    <cellStyle name="Hyperlink" xfId="2999" builtinId="8" hidden="1"/>
    <cellStyle name="Hyperlink" xfId="3001" builtinId="8" hidden="1"/>
    <cellStyle name="Hyperlink" xfId="3003" builtinId="8" hidden="1"/>
    <cellStyle name="Hyperlink" xfId="3005" builtinId="8" hidden="1"/>
    <cellStyle name="Hyperlink" xfId="3007" builtinId="8" hidden="1"/>
    <cellStyle name="Hyperlink" xfId="3009" builtinId="8" hidden="1"/>
    <cellStyle name="Hyperlink" xfId="3011" builtinId="8" hidden="1"/>
    <cellStyle name="Hyperlink" xfId="3013" builtinId="8" hidden="1"/>
    <cellStyle name="Hyperlink" xfId="3015" builtinId="8" hidden="1"/>
    <cellStyle name="Hyperlink" xfId="3017" builtinId="8" hidden="1"/>
    <cellStyle name="Hyperlink" xfId="3019" builtinId="8" hidden="1"/>
    <cellStyle name="Hyperlink" xfId="3021" builtinId="8" hidden="1"/>
    <cellStyle name="Hyperlink" xfId="3023" builtinId="8" hidden="1"/>
    <cellStyle name="Hyperlink" xfId="3025" builtinId="8" hidden="1"/>
    <cellStyle name="Hyperlink" xfId="3027" builtinId="8" hidden="1"/>
    <cellStyle name="Hyperlink" xfId="3029" builtinId="8" hidden="1"/>
    <cellStyle name="Hyperlink" xfId="3031" builtinId="8" hidden="1"/>
    <cellStyle name="Hyperlink" xfId="3033" builtinId="8" hidden="1"/>
    <cellStyle name="Hyperlink" xfId="3035" builtinId="8" hidden="1"/>
    <cellStyle name="Hyperlink" xfId="3037" builtinId="8" hidden="1"/>
    <cellStyle name="Hyperlink" xfId="3039" builtinId="8" hidden="1"/>
    <cellStyle name="Hyperlink" xfId="3041" builtinId="8" hidden="1"/>
    <cellStyle name="Hyperlink" xfId="3043" builtinId="8" hidden="1"/>
    <cellStyle name="Hyperlink" xfId="3045" builtinId="8" hidden="1"/>
    <cellStyle name="Hyperlink" xfId="3047" builtinId="8" hidden="1"/>
    <cellStyle name="Hyperlink" xfId="3049" builtinId="8" hidden="1"/>
    <cellStyle name="Hyperlink" xfId="3051" builtinId="8" hidden="1"/>
    <cellStyle name="Hyperlink" xfId="3053" builtinId="8" hidden="1"/>
    <cellStyle name="Hyperlink" xfId="3055" builtinId="8" hidden="1"/>
    <cellStyle name="Hyperlink" xfId="3057" builtinId="8" hidden="1"/>
    <cellStyle name="Hyperlink" xfId="3059" builtinId="8" hidden="1"/>
    <cellStyle name="Hyperlink" xfId="3061" builtinId="8" hidden="1"/>
    <cellStyle name="Hyperlink" xfId="3063" builtinId="8" hidden="1"/>
    <cellStyle name="Hyperlink" xfId="3065" builtinId="8" hidden="1"/>
    <cellStyle name="Hyperlink" xfId="3067" builtinId="8" hidden="1"/>
    <cellStyle name="Hyperlink" xfId="3069" builtinId="8" hidden="1"/>
    <cellStyle name="Hyperlink" xfId="3071" builtinId="8" hidden="1"/>
    <cellStyle name="Hyperlink" xfId="3073" builtinId="8" hidden="1"/>
    <cellStyle name="Hyperlink" xfId="3075" builtinId="8" hidden="1"/>
    <cellStyle name="Hyperlink" xfId="3077" builtinId="8" hidden="1"/>
    <cellStyle name="Hyperlink" xfId="3079" builtinId="8" hidden="1"/>
    <cellStyle name="Hyperlink" xfId="3081" builtinId="8" hidden="1"/>
    <cellStyle name="Hyperlink" xfId="3083" builtinId="8" hidden="1"/>
    <cellStyle name="Hyperlink" xfId="3085" builtinId="8" hidden="1"/>
    <cellStyle name="Hyperlink" xfId="3087" builtinId="8" hidden="1"/>
    <cellStyle name="Hyperlink" xfId="3089" builtinId="8" hidden="1"/>
    <cellStyle name="Hyperlink" xfId="3091" builtinId="8" hidden="1"/>
    <cellStyle name="Hyperlink" xfId="3093" builtinId="8" hidden="1"/>
    <cellStyle name="Hyperlink" xfId="3095" builtinId="8" hidden="1"/>
    <cellStyle name="Hyperlink" xfId="3097" builtinId="8" hidden="1"/>
    <cellStyle name="Hyperlink" xfId="3099" builtinId="8" hidden="1"/>
    <cellStyle name="Hyperlink" xfId="3101" builtinId="8" hidden="1"/>
    <cellStyle name="Hyperlink" xfId="3103"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49" builtinId="8" hidden="1"/>
    <cellStyle name="Hyperlink" xfId="3151" builtinId="8" hidden="1"/>
    <cellStyle name="Hyperlink" xfId="3153" builtinId="8" hidden="1"/>
    <cellStyle name="Hyperlink" xfId="3155" builtinId="8" hidden="1"/>
    <cellStyle name="Hyperlink" xfId="3157" builtinId="8" hidden="1"/>
    <cellStyle name="Hyperlink" xfId="3159" builtinId="8" hidden="1"/>
    <cellStyle name="Hyperlink" xfId="3161" builtinId="8" hidden="1"/>
    <cellStyle name="Hyperlink" xfId="3163" builtinId="8" hidden="1"/>
    <cellStyle name="Hyperlink" xfId="3165" builtinId="8" hidden="1"/>
    <cellStyle name="Hyperlink" xfId="3167" builtinId="8" hidden="1"/>
    <cellStyle name="Hyperlink" xfId="3169" builtinId="8" hidden="1"/>
    <cellStyle name="Hyperlink" xfId="3171" builtinId="8" hidden="1"/>
    <cellStyle name="Hyperlink" xfId="3173" builtinId="8" hidden="1"/>
    <cellStyle name="Hyperlink" xfId="3175" builtinId="8" hidden="1"/>
    <cellStyle name="Hyperlink" xfId="3177" builtinId="8" hidden="1"/>
    <cellStyle name="Hyperlink" xfId="3179" builtinId="8" hidden="1"/>
    <cellStyle name="Hyperlink" xfId="3181" builtinId="8" hidden="1"/>
    <cellStyle name="Hyperlink" xfId="3183" builtinId="8" hidden="1"/>
    <cellStyle name="Hyperlink" xfId="3185" builtinId="8" hidden="1"/>
    <cellStyle name="Hyperlink" xfId="3187" builtinId="8" hidden="1"/>
    <cellStyle name="Hyperlink" xfId="3189" builtinId="8" hidden="1"/>
    <cellStyle name="Hyperlink" xfId="3191" builtinId="8" hidden="1"/>
    <cellStyle name="Hyperlink" xfId="3193" builtinId="8" hidden="1"/>
    <cellStyle name="Hyperlink" xfId="3195" builtinId="8" hidden="1"/>
    <cellStyle name="Hyperlink" xfId="3197" builtinId="8" hidden="1"/>
    <cellStyle name="Hyperlink" xfId="3199" builtinId="8" hidden="1"/>
    <cellStyle name="Hyperlink" xfId="3201" builtinId="8" hidden="1"/>
    <cellStyle name="Hyperlink" xfId="3203" builtinId="8" hidden="1"/>
    <cellStyle name="Hyperlink" xfId="3205" builtinId="8" hidden="1"/>
    <cellStyle name="Hyperlink" xfId="3207" builtinId="8" hidden="1"/>
    <cellStyle name="Hyperlink" xfId="3209" builtinId="8" hidden="1"/>
    <cellStyle name="Hyperlink" xfId="3211" builtinId="8" hidden="1"/>
    <cellStyle name="Hyperlink" xfId="3213" builtinId="8" hidden="1"/>
    <cellStyle name="Hyperlink" xfId="3215" builtinId="8" hidden="1"/>
    <cellStyle name="Hyperlink" xfId="3217" builtinId="8" hidden="1"/>
    <cellStyle name="Hyperlink" xfId="3219" builtinId="8" hidden="1"/>
    <cellStyle name="Hyperlink" xfId="3221" builtinId="8" hidden="1"/>
    <cellStyle name="Hyperlink" xfId="3223" builtinId="8" hidden="1"/>
    <cellStyle name="Hyperlink" xfId="3225" builtinId="8" hidden="1"/>
    <cellStyle name="Hyperlink" xfId="3227" builtinId="8" hidden="1"/>
    <cellStyle name="Hyperlink" xfId="3229" builtinId="8" hidden="1"/>
    <cellStyle name="Hyperlink" xfId="3231" builtinId="8" hidden="1"/>
    <cellStyle name="Hyperlink" xfId="3233" builtinId="8" hidden="1"/>
    <cellStyle name="Hyperlink" xfId="3235" builtinId="8" hidden="1"/>
    <cellStyle name="Hyperlink" xfId="3237" builtinId="8" hidden="1"/>
    <cellStyle name="Hyperlink" xfId="3239" builtinId="8" hidden="1"/>
    <cellStyle name="Hyperlink" xfId="3241" builtinId="8" hidden="1"/>
    <cellStyle name="Hyperlink" xfId="3243" builtinId="8" hidden="1"/>
    <cellStyle name="Hyperlink" xfId="3245" builtinId="8" hidden="1"/>
    <cellStyle name="Hyperlink" xfId="3247" builtinId="8" hidden="1"/>
    <cellStyle name="Hyperlink" xfId="3249" builtinId="8" hidden="1"/>
    <cellStyle name="Hyperlink" xfId="3251" builtinId="8" hidden="1"/>
    <cellStyle name="Hyperlink" xfId="3253" builtinId="8" hidden="1"/>
    <cellStyle name="Hyperlink" xfId="3255" builtinId="8" hidden="1"/>
    <cellStyle name="Hyperlink" xfId="3257" builtinId="8" hidden="1"/>
    <cellStyle name="Hyperlink" xfId="3259" builtinId="8" hidden="1"/>
    <cellStyle name="Hyperlink" xfId="3261" builtinId="8" hidden="1"/>
    <cellStyle name="Hyperlink" xfId="3263" builtinId="8" hidden="1"/>
    <cellStyle name="Hyperlink" xfId="3265" builtinId="8" hidden="1"/>
    <cellStyle name="Hyperlink" xfId="3267" builtinId="8" hidden="1"/>
    <cellStyle name="Hyperlink" xfId="3269" builtinId="8" hidden="1"/>
    <cellStyle name="Hyperlink" xfId="3271" builtinId="8" hidden="1"/>
    <cellStyle name="Hyperlink" xfId="3273" builtinId="8" hidden="1"/>
    <cellStyle name="Hyperlink" xfId="3275" builtinId="8" hidden="1"/>
    <cellStyle name="Hyperlink" xfId="3277" builtinId="8" hidden="1"/>
    <cellStyle name="Hyperlink" xfId="3279" builtinId="8" hidden="1"/>
    <cellStyle name="Hyperlink" xfId="3281" builtinId="8" hidden="1"/>
    <cellStyle name="Hyperlink" xfId="3283" builtinId="8" hidden="1"/>
    <cellStyle name="Hyperlink" xfId="3285" builtinId="8" hidden="1"/>
    <cellStyle name="Hyperlink" xfId="3287" builtinId="8" hidden="1"/>
    <cellStyle name="Hyperlink" xfId="3289" builtinId="8" hidden="1"/>
    <cellStyle name="Hyperlink" xfId="3291" builtinId="8" hidden="1"/>
    <cellStyle name="Hyperlink" xfId="3293" builtinId="8" hidden="1"/>
    <cellStyle name="Hyperlink" xfId="3295" builtinId="8" hidden="1"/>
    <cellStyle name="Hyperlink" xfId="3297" builtinId="8" hidden="1"/>
    <cellStyle name="Hyperlink" xfId="3299" builtinId="8" hidden="1"/>
    <cellStyle name="Hyperlink" xfId="3301" builtinId="8" hidden="1"/>
    <cellStyle name="Hyperlink" xfId="3303" builtinId="8" hidden="1"/>
    <cellStyle name="Hyperlink" xfId="3305" builtinId="8" hidden="1"/>
    <cellStyle name="Hyperlink" xfId="3307" builtinId="8" hidden="1"/>
    <cellStyle name="Hyperlink" xfId="3309" builtinId="8" hidden="1"/>
    <cellStyle name="Hyperlink" xfId="3311" builtinId="8" hidden="1"/>
    <cellStyle name="Hyperlink" xfId="3313" builtinId="8" hidden="1"/>
    <cellStyle name="Hyperlink" xfId="3315" builtinId="8" hidden="1"/>
    <cellStyle name="Hyperlink" xfId="3317" builtinId="8" hidden="1"/>
    <cellStyle name="Hyperlink" xfId="3319" builtinId="8" hidden="1"/>
    <cellStyle name="Hyperlink" xfId="3321" builtinId="8" hidden="1"/>
    <cellStyle name="Hyperlink" xfId="3323" builtinId="8" hidden="1"/>
    <cellStyle name="Hyperlink" xfId="3325" builtinId="8" hidden="1"/>
    <cellStyle name="Hyperlink" xfId="3327" builtinId="8" hidden="1"/>
    <cellStyle name="Hyperlink" xfId="3329" builtinId="8" hidden="1"/>
    <cellStyle name="Hyperlink" xfId="3331" builtinId="8" hidden="1"/>
    <cellStyle name="Hyperlink" xfId="3333" builtinId="8" hidden="1"/>
    <cellStyle name="Hyperlink" xfId="3335" builtinId="8" hidden="1"/>
    <cellStyle name="Hyperlink" xfId="3337" builtinId="8" hidden="1"/>
    <cellStyle name="Hyperlink" xfId="3339" builtinId="8" hidden="1"/>
    <cellStyle name="Hyperlink" xfId="3341" builtinId="8" hidden="1"/>
    <cellStyle name="Hyperlink" xfId="3343" builtinId="8" hidden="1"/>
    <cellStyle name="Hyperlink" xfId="3345" builtinId="8" hidden="1"/>
    <cellStyle name="Hyperlink" xfId="3347" builtinId="8" hidden="1"/>
    <cellStyle name="Hyperlink" xfId="3349" builtinId="8" hidden="1"/>
    <cellStyle name="Hyperlink" xfId="3351" builtinId="8" hidden="1"/>
    <cellStyle name="Hyperlink" xfId="3353" builtinId="8" hidden="1"/>
    <cellStyle name="Hyperlink" xfId="3355" builtinId="8" hidden="1"/>
    <cellStyle name="Hyperlink" xfId="3357" builtinId="8" hidden="1"/>
    <cellStyle name="Hyperlink" xfId="3359" builtinId="8" hidden="1"/>
    <cellStyle name="Hyperlink" xfId="3361" builtinId="8" hidden="1"/>
    <cellStyle name="Hyperlink" xfId="3363" builtinId="8" hidden="1"/>
    <cellStyle name="Hyperlink" xfId="3365" builtinId="8" hidden="1"/>
    <cellStyle name="Hyperlink" xfId="3367" builtinId="8" hidden="1"/>
    <cellStyle name="Hyperlink" xfId="3369" builtinId="8" hidden="1"/>
    <cellStyle name="Hyperlink" xfId="3371" builtinId="8" hidden="1"/>
    <cellStyle name="Hyperlink" xfId="3373" builtinId="8" hidden="1"/>
    <cellStyle name="Hyperlink" xfId="3375" builtinId="8" hidden="1"/>
    <cellStyle name="Hyperlink" xfId="3377" builtinId="8" hidden="1"/>
    <cellStyle name="Hyperlink" xfId="3379" builtinId="8" hidden="1"/>
    <cellStyle name="Hyperlink" xfId="3381" builtinId="8" hidden="1"/>
    <cellStyle name="Hyperlink" xfId="3383" builtinId="8" hidden="1"/>
    <cellStyle name="Hyperlink" xfId="3385" builtinId="8" hidden="1"/>
    <cellStyle name="Hyperlink" xfId="3387" builtinId="8" hidden="1"/>
    <cellStyle name="Hyperlink" xfId="3389" builtinId="8" hidden="1"/>
    <cellStyle name="Hyperlink" xfId="3391" builtinId="8" hidden="1"/>
    <cellStyle name="Hyperlink" xfId="3393" builtinId="8" hidden="1"/>
    <cellStyle name="Hyperlink" xfId="3395" builtinId="8" hidden="1"/>
    <cellStyle name="Hyperlink" xfId="3397" builtinId="8" hidden="1"/>
    <cellStyle name="Hyperlink" xfId="3399" builtinId="8" hidden="1"/>
    <cellStyle name="Hyperlink" xfId="3401" builtinId="8" hidden="1"/>
    <cellStyle name="Hyperlink" xfId="3403" builtinId="8" hidden="1"/>
    <cellStyle name="Hyperlink" xfId="3405" builtinId="8" hidden="1"/>
    <cellStyle name="Hyperlink" xfId="3407" builtinId="8" hidden="1"/>
    <cellStyle name="Hyperlink" xfId="3409" builtinId="8" hidden="1"/>
    <cellStyle name="Hyperlink" xfId="3411" builtinId="8" hidden="1"/>
    <cellStyle name="Hyperlink" xfId="3413" builtinId="8" hidden="1"/>
    <cellStyle name="Hyperlink" xfId="3415" builtinId="8" hidden="1"/>
    <cellStyle name="Hyperlink" xfId="3417" builtinId="8" hidden="1"/>
    <cellStyle name="Hyperlink" xfId="3419" builtinId="8" hidden="1"/>
    <cellStyle name="Hyperlink" xfId="3421" builtinId="8" hidden="1"/>
    <cellStyle name="Hyperlink" xfId="3423" builtinId="8" hidden="1"/>
    <cellStyle name="Hyperlink" xfId="3425" builtinId="8" hidden="1"/>
    <cellStyle name="Hyperlink" xfId="3427" builtinId="8" hidden="1"/>
    <cellStyle name="Hyperlink" xfId="3429" builtinId="8" hidden="1"/>
    <cellStyle name="Hyperlink" xfId="3431" builtinId="8" hidden="1"/>
    <cellStyle name="Hyperlink" xfId="3433" builtinId="8" hidden="1"/>
    <cellStyle name="Hyperlink" xfId="3435" builtinId="8" hidden="1"/>
    <cellStyle name="Hyperlink" xfId="3437" builtinId="8" hidden="1"/>
    <cellStyle name="Hyperlink" xfId="3439" builtinId="8" hidden="1"/>
    <cellStyle name="Hyperlink" xfId="3441" builtinId="8" hidden="1"/>
    <cellStyle name="Hyperlink" xfId="3443" builtinId="8" hidden="1"/>
    <cellStyle name="Hyperlink" xfId="3445" builtinId="8" hidden="1"/>
    <cellStyle name="Hyperlink" xfId="3447" builtinId="8" hidden="1"/>
    <cellStyle name="Hyperlink" xfId="3449" builtinId="8" hidden="1"/>
    <cellStyle name="Hyperlink" xfId="3451" builtinId="8" hidden="1"/>
    <cellStyle name="Hyperlink" xfId="3453" builtinId="8" hidden="1"/>
    <cellStyle name="Hyperlink" xfId="3455" builtinId="8" hidden="1"/>
    <cellStyle name="Hyperlink" xfId="3457" builtinId="8" hidden="1"/>
    <cellStyle name="Hyperlink" xfId="3459" builtinId="8" hidden="1"/>
    <cellStyle name="Hyperlink" xfId="3461" builtinId="8" hidden="1"/>
    <cellStyle name="Hyperlink" xfId="3463" builtinId="8" hidden="1"/>
    <cellStyle name="Hyperlink" xfId="3465" builtinId="8" hidden="1"/>
    <cellStyle name="Hyperlink" xfId="3467" builtinId="8" hidden="1"/>
    <cellStyle name="Hyperlink" xfId="3469" builtinId="8" hidden="1"/>
    <cellStyle name="Hyperlink" xfId="3471" builtinId="8" hidden="1"/>
    <cellStyle name="Hyperlink" xfId="3473" builtinId="8" hidden="1"/>
    <cellStyle name="Hyperlink" xfId="3475" builtinId="8" hidden="1"/>
    <cellStyle name="Hyperlink" xfId="3477" builtinId="8" hidden="1"/>
    <cellStyle name="Hyperlink" xfId="3479" builtinId="8" hidden="1"/>
    <cellStyle name="Hyperlink" xfId="3481" builtinId="8" hidden="1"/>
    <cellStyle name="Hyperlink" xfId="3483" builtinId="8" hidden="1"/>
    <cellStyle name="Hyperlink" xfId="3485" builtinId="8" hidden="1"/>
    <cellStyle name="Hyperlink" xfId="3487" builtinId="8" hidden="1"/>
    <cellStyle name="Hyperlink" xfId="3489" builtinId="8" hidden="1"/>
    <cellStyle name="Hyperlink" xfId="3491" builtinId="8" hidden="1"/>
    <cellStyle name="Hyperlink" xfId="3493" builtinId="8" hidden="1"/>
    <cellStyle name="Hyperlink" xfId="3495" builtinId="8" hidden="1"/>
    <cellStyle name="Hyperlink" xfId="3497" builtinId="8" hidden="1"/>
    <cellStyle name="Hyperlink" xfId="3499" builtinId="8" hidden="1"/>
    <cellStyle name="Hyperlink" xfId="3501" builtinId="8" hidden="1"/>
    <cellStyle name="Hyperlink" xfId="3503" builtinId="8" hidden="1"/>
    <cellStyle name="Hyperlink" xfId="3505" builtinId="8" hidden="1"/>
    <cellStyle name="Hyperlink" xfId="3507" builtinId="8" hidden="1"/>
    <cellStyle name="Hyperlink" xfId="3509" builtinId="8" hidden="1"/>
    <cellStyle name="Hyperlink" xfId="3511" builtinId="8" hidden="1"/>
    <cellStyle name="Hyperlink" xfId="3513" builtinId="8" hidden="1"/>
    <cellStyle name="Hyperlink" xfId="3515" builtinId="8" hidden="1"/>
    <cellStyle name="Hyperlink" xfId="3517" builtinId="8" hidden="1"/>
    <cellStyle name="Hyperlink" xfId="3519" builtinId="8" hidden="1"/>
    <cellStyle name="Hyperlink" xfId="3521" builtinId="8" hidden="1"/>
    <cellStyle name="Hyperlink" xfId="3523" builtinId="8" hidden="1"/>
    <cellStyle name="Hyperlink" xfId="3525" builtinId="8" hidden="1"/>
    <cellStyle name="Hyperlink" xfId="3527" builtinId="8" hidden="1"/>
    <cellStyle name="Hyperlink" xfId="3529" builtinId="8" hidden="1"/>
    <cellStyle name="Hyperlink" xfId="3531" builtinId="8" hidden="1"/>
    <cellStyle name="Hyperlink" xfId="3533" builtinId="8" hidden="1"/>
    <cellStyle name="Hyperlink" xfId="3535" builtinId="8" hidden="1"/>
    <cellStyle name="Hyperlink" xfId="3537" builtinId="8" hidden="1"/>
    <cellStyle name="Hyperlink" xfId="3539" builtinId="8" hidden="1"/>
    <cellStyle name="Hyperlink" xfId="3541" builtinId="8" hidden="1"/>
    <cellStyle name="Hyperlink" xfId="3543" builtinId="8" hidden="1"/>
    <cellStyle name="Hyperlink" xfId="3545" builtinId="8" hidden="1"/>
    <cellStyle name="Hyperlink" xfId="3547" builtinId="8" hidden="1"/>
    <cellStyle name="Hyperlink" xfId="3549" builtinId="8" hidden="1"/>
    <cellStyle name="Hyperlink" xfId="3551" builtinId="8" hidden="1"/>
    <cellStyle name="Hyperlink" xfId="3553" builtinId="8" hidden="1"/>
    <cellStyle name="Hyperlink" xfId="3555" builtinId="8" hidden="1"/>
    <cellStyle name="Hyperlink" xfId="3557" builtinId="8" hidden="1"/>
    <cellStyle name="Hyperlink" xfId="3559" builtinId="8" hidden="1"/>
    <cellStyle name="Hyperlink" xfId="3561" builtinId="8" hidden="1"/>
    <cellStyle name="Hyperlink" xfId="3563" builtinId="8" hidden="1"/>
    <cellStyle name="Hyperlink" xfId="3565" builtinId="8" hidden="1"/>
    <cellStyle name="Hyperlink" xfId="3567" builtinId="8" hidden="1"/>
    <cellStyle name="Hyperlink" xfId="3569" builtinId="8" hidden="1"/>
    <cellStyle name="Hyperlink" xfId="3571" builtinId="8" hidden="1"/>
    <cellStyle name="Hyperlink" xfId="3573" builtinId="8" hidden="1"/>
    <cellStyle name="Hyperlink" xfId="3575" builtinId="8" hidden="1"/>
    <cellStyle name="Hyperlink" xfId="3577" builtinId="8" hidden="1"/>
    <cellStyle name="Hyperlink" xfId="3579" builtinId="8" hidden="1"/>
    <cellStyle name="Hyperlink" xfId="3581" builtinId="8" hidden="1"/>
    <cellStyle name="Hyperlink" xfId="3583" builtinId="8" hidden="1"/>
    <cellStyle name="Hyperlink" xfId="3585" builtinId="8" hidden="1"/>
    <cellStyle name="Hyperlink" xfId="3587" builtinId="8" hidden="1"/>
    <cellStyle name="Hyperlink" xfId="3589" builtinId="8" hidden="1"/>
    <cellStyle name="Hyperlink" xfId="3591" builtinId="8" hidden="1"/>
    <cellStyle name="Hyperlink" xfId="3593" builtinId="8" hidden="1"/>
    <cellStyle name="Hyperlink" xfId="3595" builtinId="8" hidden="1"/>
    <cellStyle name="Hyperlink" xfId="3597" builtinId="8" hidden="1"/>
    <cellStyle name="Hyperlink" xfId="3599" builtinId="8" hidden="1"/>
    <cellStyle name="Hyperlink" xfId="3601" builtinId="8" hidden="1"/>
    <cellStyle name="Hyperlink" xfId="3603" builtinId="8" hidden="1"/>
    <cellStyle name="Hyperlink" xfId="3605" builtinId="8" hidden="1"/>
    <cellStyle name="Hyperlink" xfId="3607" builtinId="8" hidden="1"/>
    <cellStyle name="Hyperlink" xfId="3609" builtinId="8" hidden="1"/>
    <cellStyle name="Hyperlink" xfId="3611" builtinId="8" hidden="1"/>
    <cellStyle name="Hyperlink" xfId="3613" builtinId="8" hidden="1"/>
    <cellStyle name="Hyperlink" xfId="3615" builtinId="8" hidden="1"/>
    <cellStyle name="Hyperlink" xfId="3617" builtinId="8" hidden="1"/>
    <cellStyle name="Hyperlink" xfId="3619" builtinId="8" hidden="1"/>
    <cellStyle name="Hyperlink" xfId="3621" builtinId="8" hidden="1"/>
    <cellStyle name="Hyperlink" xfId="3623" builtinId="8" hidden="1"/>
    <cellStyle name="Hyperlink" xfId="3625" builtinId="8" hidden="1"/>
    <cellStyle name="Hyperlink" xfId="3627" builtinId="8" hidden="1"/>
    <cellStyle name="Hyperlink" xfId="3629" builtinId="8" hidden="1"/>
    <cellStyle name="Hyperlink" xfId="3631" builtinId="8" hidden="1"/>
    <cellStyle name="Hyperlink" xfId="3633" builtinId="8" hidden="1"/>
    <cellStyle name="Hyperlink" xfId="3635" builtinId="8" hidden="1"/>
    <cellStyle name="Hyperlink" xfId="3637" builtinId="8" hidden="1"/>
    <cellStyle name="Hyperlink" xfId="3639" builtinId="8" hidden="1"/>
    <cellStyle name="Hyperlink" xfId="3641" builtinId="8" hidden="1"/>
    <cellStyle name="Hyperlink" xfId="3643" builtinId="8" hidden="1"/>
    <cellStyle name="Hyperlink" xfId="3645" builtinId="8" hidden="1"/>
    <cellStyle name="Hyperlink" xfId="3647" builtinId="8" hidden="1"/>
    <cellStyle name="Hyperlink" xfId="3649" builtinId="8" hidden="1"/>
    <cellStyle name="Hyperlink" xfId="3651" builtinId="8" hidden="1"/>
    <cellStyle name="Hyperlink" xfId="3653" builtinId="8" hidden="1"/>
    <cellStyle name="Hyperlink" xfId="3655" builtinId="8" hidden="1"/>
    <cellStyle name="Hyperlink" xfId="3657" builtinId="8" hidden="1"/>
    <cellStyle name="Hyperlink" xfId="3659" builtinId="8" hidden="1"/>
    <cellStyle name="Hyperlink" xfId="3661" builtinId="8" hidden="1"/>
    <cellStyle name="Hyperlink" xfId="3663" builtinId="8" hidden="1"/>
    <cellStyle name="Hyperlink" xfId="3665" builtinId="8" hidden="1"/>
    <cellStyle name="Hyperlink" xfId="3667" builtinId="8" hidden="1"/>
    <cellStyle name="Hyperlink" xfId="3669" builtinId="8" hidden="1"/>
    <cellStyle name="Hyperlink" xfId="3671" builtinId="8" hidden="1"/>
    <cellStyle name="Hyperlink" xfId="3673" builtinId="8" hidden="1"/>
    <cellStyle name="Hyperlink" xfId="3675" builtinId="8" hidden="1"/>
    <cellStyle name="Hyperlink" xfId="3677" builtinId="8" hidden="1"/>
    <cellStyle name="Hyperlink" xfId="3679" builtinId="8" hidden="1"/>
    <cellStyle name="Hyperlink" xfId="3681" builtinId="8" hidden="1"/>
    <cellStyle name="Hyperlink" xfId="3683" builtinId="8" hidden="1"/>
    <cellStyle name="Hyperlink" xfId="3685" builtinId="8" hidden="1"/>
    <cellStyle name="Hyperlink" xfId="3687" builtinId="8" hidden="1"/>
    <cellStyle name="Hyperlink" xfId="3689" builtinId="8" hidden="1"/>
    <cellStyle name="Hyperlink" xfId="3691" builtinId="8" hidden="1"/>
    <cellStyle name="Hyperlink" xfId="3693" builtinId="8" hidden="1"/>
    <cellStyle name="Hyperlink" xfId="3695" builtinId="8" hidden="1"/>
    <cellStyle name="Hyperlink" xfId="3697" builtinId="8" hidden="1"/>
    <cellStyle name="Hyperlink" xfId="3699" builtinId="8" hidden="1"/>
    <cellStyle name="Hyperlink" xfId="3701" builtinId="8" hidden="1"/>
    <cellStyle name="Hyperlink" xfId="3703" builtinId="8" hidden="1"/>
    <cellStyle name="Hyperlink" xfId="3705" builtinId="8" hidden="1"/>
    <cellStyle name="Hyperlink" xfId="3707" builtinId="8" hidden="1"/>
    <cellStyle name="Hyperlink" xfId="3709" builtinId="8" hidden="1"/>
    <cellStyle name="Hyperlink" xfId="3711" builtinId="8" hidden="1"/>
    <cellStyle name="Hyperlink" xfId="3713" builtinId="8" hidden="1"/>
    <cellStyle name="Hyperlink" xfId="3715" builtinId="8" hidden="1"/>
    <cellStyle name="Hyperlink" xfId="3717" builtinId="8" hidden="1"/>
    <cellStyle name="Hyperlink" xfId="3719" builtinId="8" hidden="1"/>
    <cellStyle name="Hyperlink" xfId="3721" builtinId="8" hidden="1"/>
    <cellStyle name="Hyperlink" xfId="3723" builtinId="8" hidden="1"/>
    <cellStyle name="Hyperlink" xfId="3725" builtinId="8" hidden="1"/>
    <cellStyle name="Hyperlink" xfId="3727" builtinId="8" hidden="1"/>
    <cellStyle name="Hyperlink" xfId="3729" builtinId="8" hidden="1"/>
    <cellStyle name="Hyperlink" xfId="3731" builtinId="8" hidden="1"/>
    <cellStyle name="Hyperlink" xfId="3733" builtinId="8" hidden="1"/>
    <cellStyle name="Hyperlink" xfId="3735" builtinId="8" hidden="1"/>
    <cellStyle name="Hyperlink" xfId="3737" builtinId="8" hidden="1"/>
    <cellStyle name="Hyperlink" xfId="3739" builtinId="8" hidden="1"/>
    <cellStyle name="Hyperlink" xfId="3741" builtinId="8" hidden="1"/>
    <cellStyle name="Hyperlink" xfId="3743" builtinId="8" hidden="1"/>
    <cellStyle name="Hyperlink" xfId="3745" builtinId="8" hidden="1"/>
    <cellStyle name="Hyperlink" xfId="3747" builtinId="8" hidden="1"/>
    <cellStyle name="Hyperlink" xfId="3749" builtinId="8" hidden="1"/>
    <cellStyle name="Hyperlink" xfId="3751" builtinId="8" hidden="1"/>
    <cellStyle name="Hyperlink" xfId="3753" builtinId="8" hidden="1"/>
    <cellStyle name="Hyperlink" xfId="3755" builtinId="8" hidden="1"/>
    <cellStyle name="Hyperlink" xfId="3757" builtinId="8" hidden="1"/>
    <cellStyle name="Hyperlink" xfId="3759" builtinId="8" hidden="1"/>
    <cellStyle name="Hyperlink" xfId="3761" builtinId="8" hidden="1"/>
    <cellStyle name="Hyperlink" xfId="3763" builtinId="8" hidden="1"/>
    <cellStyle name="Hyperlink" xfId="3765" builtinId="8" hidden="1"/>
    <cellStyle name="Hyperlink" xfId="3767" builtinId="8" hidden="1"/>
    <cellStyle name="Hyperlink" xfId="3769" builtinId="8" hidden="1"/>
    <cellStyle name="Hyperlink" xfId="3771" builtinId="8" hidden="1"/>
    <cellStyle name="Hyperlink" xfId="3773" builtinId="8" hidden="1"/>
    <cellStyle name="Hyperlink" xfId="3775" builtinId="8" hidden="1"/>
    <cellStyle name="Hyperlink" xfId="3777" builtinId="8" hidden="1"/>
    <cellStyle name="Hyperlink" xfId="3779" builtinId="8" hidden="1"/>
    <cellStyle name="Hyperlink" xfId="3781" builtinId="8" hidden="1"/>
    <cellStyle name="Hyperlink" xfId="3783" builtinId="8" hidden="1"/>
    <cellStyle name="Hyperlink" xfId="3785" builtinId="8" hidden="1"/>
    <cellStyle name="Hyperlink" xfId="3787" builtinId="8" hidden="1"/>
    <cellStyle name="Hyperlink" xfId="3789" builtinId="8" hidden="1"/>
    <cellStyle name="Hyperlink" xfId="3791" builtinId="8" hidden="1"/>
    <cellStyle name="Hyperlink" xfId="3793" builtinId="8" hidden="1"/>
    <cellStyle name="Hyperlink" xfId="3795" builtinId="8" hidden="1"/>
    <cellStyle name="Hyperlink" xfId="3797" builtinId="8" hidden="1"/>
    <cellStyle name="Hyperlink" xfId="3799" builtinId="8" hidden="1"/>
    <cellStyle name="Hyperlink" xfId="3801" builtinId="8" hidden="1"/>
    <cellStyle name="Hyperlink" xfId="3803" builtinId="8" hidden="1"/>
    <cellStyle name="Hyperlink" xfId="3805" builtinId="8" hidden="1"/>
    <cellStyle name="Hyperlink" xfId="3807" builtinId="8" hidden="1"/>
    <cellStyle name="Hyperlink" xfId="3809" builtinId="8" hidden="1"/>
    <cellStyle name="Hyperlink" xfId="3811" builtinId="8" hidden="1"/>
    <cellStyle name="Hyperlink" xfId="3813" builtinId="8" hidden="1"/>
    <cellStyle name="Hyperlink" xfId="3815" builtinId="8" hidden="1"/>
    <cellStyle name="Hyperlink" xfId="3817" builtinId="8" hidden="1"/>
    <cellStyle name="Hyperlink" xfId="3819" builtinId="8" hidden="1"/>
    <cellStyle name="Hyperlink" xfId="3821" builtinId="8" hidden="1"/>
    <cellStyle name="Hyperlink" xfId="3823" builtinId="8" hidden="1"/>
    <cellStyle name="Hyperlink" xfId="3825" builtinId="8" hidden="1"/>
    <cellStyle name="Hyperlink" xfId="3827" builtinId="8" hidden="1"/>
    <cellStyle name="Hyperlink" xfId="3829" builtinId="8" hidden="1"/>
    <cellStyle name="Hyperlink" xfId="3831" builtinId="8" hidden="1"/>
    <cellStyle name="Hyperlink" xfId="3833" builtinId="8" hidden="1"/>
    <cellStyle name="Hyperlink" xfId="3835" builtinId="8" hidden="1"/>
    <cellStyle name="Hyperlink" xfId="3837" builtinId="8" hidden="1"/>
    <cellStyle name="Hyperlink" xfId="3839" builtinId="8" hidden="1"/>
    <cellStyle name="Hyperlink" xfId="3841" builtinId="8" hidden="1"/>
    <cellStyle name="Hyperlink" xfId="3843" builtinId="8" hidden="1"/>
    <cellStyle name="Hyperlink" xfId="3845" builtinId="8" hidden="1"/>
    <cellStyle name="Hyperlink" xfId="3847" builtinId="8" hidden="1"/>
    <cellStyle name="Hyperlink" xfId="3849" builtinId="8" hidden="1"/>
    <cellStyle name="Hyperlink" xfId="3851" builtinId="8" hidden="1"/>
    <cellStyle name="Hyperlink" xfId="3853" builtinId="8" hidden="1"/>
    <cellStyle name="Hyperlink" xfId="3855" builtinId="8" hidden="1"/>
    <cellStyle name="Hyperlink" xfId="3857" builtinId="8" hidden="1"/>
    <cellStyle name="Hyperlink" xfId="3859" builtinId="8" hidden="1"/>
    <cellStyle name="Hyperlink" xfId="3861" builtinId="8" hidden="1"/>
    <cellStyle name="Hyperlink" xfId="3863" builtinId="8" hidden="1"/>
    <cellStyle name="Hyperlink" xfId="3865" builtinId="8" hidden="1"/>
    <cellStyle name="Hyperlink" xfId="3867" builtinId="8" hidden="1"/>
    <cellStyle name="Hyperlink" xfId="3869" builtinId="8" hidden="1"/>
    <cellStyle name="Hyperlink" xfId="3871" builtinId="8" hidden="1"/>
    <cellStyle name="Hyperlink" xfId="3873" builtinId="8" hidden="1"/>
    <cellStyle name="Hyperlink" xfId="3875" builtinId="8" hidden="1"/>
    <cellStyle name="Hyperlink" xfId="3877" builtinId="8" hidden="1"/>
    <cellStyle name="Hyperlink" xfId="3879" builtinId="8" hidden="1"/>
    <cellStyle name="Hyperlink" xfId="3881" builtinId="8" hidden="1"/>
    <cellStyle name="Hyperlink" xfId="3883" builtinId="8" hidden="1"/>
    <cellStyle name="Hyperlink" xfId="3885" builtinId="8" hidden="1"/>
    <cellStyle name="Hyperlink" xfId="3887" builtinId="8" hidden="1"/>
    <cellStyle name="Hyperlink" xfId="3889" builtinId="8" hidden="1"/>
    <cellStyle name="Hyperlink" xfId="3891" builtinId="8" hidden="1"/>
    <cellStyle name="Hyperlink" xfId="3893" builtinId="8" hidden="1"/>
    <cellStyle name="Hyperlink" xfId="3895" builtinId="8" hidden="1"/>
    <cellStyle name="Hyperlink" xfId="3897" builtinId="8" hidden="1"/>
    <cellStyle name="Hyperlink" xfId="3899" builtinId="8" hidden="1"/>
    <cellStyle name="Hyperlink" xfId="3901" builtinId="8" hidden="1"/>
    <cellStyle name="Hyperlink" xfId="3903" builtinId="8" hidden="1"/>
    <cellStyle name="Hyperlink" xfId="3905" builtinId="8" hidden="1"/>
    <cellStyle name="Hyperlink" xfId="3907" builtinId="8" hidden="1"/>
    <cellStyle name="Hyperlink" xfId="3909" builtinId="8" hidden="1"/>
    <cellStyle name="Hyperlink" xfId="3911" builtinId="8" hidden="1"/>
    <cellStyle name="Hyperlink" xfId="3913" builtinId="8" hidden="1"/>
    <cellStyle name="Hyperlink" xfId="3915" builtinId="8" hidden="1"/>
    <cellStyle name="Hyperlink" xfId="3917" builtinId="8" hidden="1"/>
    <cellStyle name="Hyperlink" xfId="3919" builtinId="8" hidden="1"/>
    <cellStyle name="Hyperlink" xfId="3921" builtinId="8" hidden="1"/>
    <cellStyle name="Hyperlink" xfId="3923" builtinId="8" hidden="1"/>
    <cellStyle name="Hyperlink" xfId="3925" builtinId="8" hidden="1"/>
    <cellStyle name="Hyperlink" xfId="3927" builtinId="8" hidden="1"/>
    <cellStyle name="Hyperlink" xfId="3929" builtinId="8" hidden="1"/>
    <cellStyle name="Hyperlink" xfId="3931" builtinId="8" hidden="1"/>
    <cellStyle name="Hyperlink" xfId="3933" builtinId="8" hidden="1"/>
    <cellStyle name="Hyperlink" xfId="3935" builtinId="8" hidden="1"/>
    <cellStyle name="Hyperlink" xfId="3937" builtinId="8" hidden="1"/>
    <cellStyle name="Hyperlink" xfId="3939" builtinId="8" hidden="1"/>
    <cellStyle name="Hyperlink" xfId="3941" builtinId="8" hidden="1"/>
    <cellStyle name="Hyperlink" xfId="3943" builtinId="8" hidden="1"/>
    <cellStyle name="Hyperlink" xfId="3945" builtinId="8" hidden="1"/>
    <cellStyle name="Hyperlink" xfId="3947" builtinId="8" hidden="1"/>
    <cellStyle name="Hyperlink" xfId="3949" builtinId="8" hidden="1"/>
    <cellStyle name="Hyperlink" xfId="3951" builtinId="8" hidden="1"/>
    <cellStyle name="Hyperlink" xfId="3953" builtinId="8" hidden="1"/>
    <cellStyle name="Hyperlink" xfId="3955" builtinId="8" hidden="1"/>
    <cellStyle name="Hyperlink" xfId="3957" builtinId="8" hidden="1"/>
    <cellStyle name="Hyperlink" xfId="3959" builtinId="8" hidden="1"/>
    <cellStyle name="Hyperlink" xfId="3961" builtinId="8" hidden="1"/>
    <cellStyle name="Hyperlink" xfId="3963" builtinId="8" hidden="1"/>
    <cellStyle name="Hyperlink" xfId="3965" builtinId="8" hidden="1"/>
    <cellStyle name="Hyperlink" xfId="3967" builtinId="8" hidden="1"/>
    <cellStyle name="Hyperlink" xfId="3969" builtinId="8" hidden="1"/>
    <cellStyle name="Hyperlink" xfId="3971" builtinId="8" hidden="1"/>
    <cellStyle name="Hyperlink" xfId="3973" builtinId="8" hidden="1"/>
    <cellStyle name="Hyperlink" xfId="3975" builtinId="8" hidden="1"/>
    <cellStyle name="Hyperlink" xfId="3977" builtinId="8" hidden="1"/>
    <cellStyle name="Hyperlink" xfId="3979" builtinId="8" hidden="1"/>
    <cellStyle name="Hyperlink" xfId="3981" builtinId="8" hidden="1"/>
    <cellStyle name="Hyperlink" xfId="3983" builtinId="8" hidden="1"/>
    <cellStyle name="Hyperlink" xfId="3985" builtinId="8" hidden="1"/>
    <cellStyle name="Hyperlink" xfId="3987" builtinId="8" hidden="1"/>
    <cellStyle name="Hyperlink" xfId="3989" builtinId="8" hidden="1"/>
    <cellStyle name="Hyperlink" xfId="3991" builtinId="8" hidden="1"/>
    <cellStyle name="Hyperlink" xfId="3993" builtinId="8" hidden="1"/>
    <cellStyle name="Hyperlink" xfId="3995" builtinId="8" hidden="1"/>
    <cellStyle name="Hyperlink" xfId="3997" builtinId="8" hidden="1"/>
    <cellStyle name="Hyperlink" xfId="3999" builtinId="8" hidden="1"/>
    <cellStyle name="Hyperlink" xfId="4001" builtinId="8" hidden="1"/>
    <cellStyle name="Hyperlink" xfId="4003" builtinId="8" hidden="1"/>
    <cellStyle name="Normal" xfId="0" builtinId="0"/>
  </cellStyles>
  <dxfs count="352">
    <dxf>
      <font>
        <strike val="0"/>
        <color theme="0" tint="-0.14999847407452621"/>
      </font>
      <fill>
        <patternFill patternType="none">
          <fgColor indexed="64"/>
          <bgColor auto="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theme="1"/>
        </patternFill>
      </fill>
    </dxf>
    <dxf>
      <font>
        <strike val="0"/>
        <color theme="0"/>
      </font>
      <fill>
        <patternFill patternType="solid">
          <fgColor indexed="64"/>
          <bgColor rgb="FFFF0000"/>
        </patternFill>
      </fill>
    </dxf>
    <dxf>
      <font>
        <strike val="0"/>
        <color theme="0"/>
      </font>
      <fill>
        <patternFill patternType="solid">
          <fgColor indexed="64"/>
          <bgColor rgb="FFFF0000"/>
        </patternFill>
      </fill>
    </dxf>
    <dxf>
      <font>
        <strike val="0"/>
        <color theme="0"/>
      </font>
      <fill>
        <patternFill patternType="solid">
          <fgColor indexed="64"/>
          <bgColor rgb="FFFF0000"/>
        </patternFill>
      </fill>
    </dxf>
    <dxf>
      <font>
        <strike val="0"/>
        <color theme="0"/>
      </font>
      <fill>
        <patternFill patternType="solid">
          <fgColor indexed="64"/>
          <bgColor rgb="FFFF0000"/>
        </patternFill>
      </fill>
    </dxf>
    <dxf>
      <font>
        <strike val="0"/>
        <color theme="0"/>
      </font>
      <fill>
        <patternFill patternType="solid">
          <fgColor indexed="64"/>
          <bgColor rgb="FFFF0000"/>
        </patternFill>
      </fill>
    </dxf>
    <dxf>
      <font>
        <strike val="0"/>
        <color theme="0"/>
      </font>
      <fill>
        <patternFill patternType="solid">
          <fgColor indexed="64"/>
          <bgColor rgb="FFFF0000"/>
        </patternFill>
      </fill>
    </dxf>
    <dxf>
      <font>
        <strike val="0"/>
        <color theme="0"/>
      </font>
      <fill>
        <patternFill patternType="solid">
          <fgColor indexed="64"/>
          <bgColor rgb="FFFF0000"/>
        </patternFill>
      </fill>
    </dxf>
    <dxf>
      <font>
        <strike val="0"/>
        <color theme="0"/>
      </font>
      <fill>
        <patternFill patternType="solid">
          <fgColor indexed="64"/>
          <bgColor rgb="FFFF0000"/>
        </patternFill>
      </fill>
    </dxf>
    <dxf>
      <font>
        <strike val="0"/>
        <color theme="0"/>
      </font>
      <fill>
        <patternFill patternType="solid">
          <fgColor indexed="64"/>
          <bgColor rgb="FFFF0000"/>
        </patternFill>
      </fill>
    </dxf>
    <dxf>
      <font>
        <strike val="0"/>
        <color theme="0"/>
      </font>
      <fill>
        <patternFill patternType="solid">
          <fgColor indexed="64"/>
          <bgColor rgb="FFFF0000"/>
        </patternFill>
      </fill>
    </dxf>
    <dxf>
      <font>
        <strike val="0"/>
        <color theme="0"/>
      </font>
      <fill>
        <patternFill patternType="solid">
          <fgColor indexed="64"/>
          <bgColor rgb="FFFF0000"/>
        </patternFill>
      </fill>
    </dxf>
    <dxf>
      <font>
        <strike val="0"/>
        <color theme="0"/>
      </font>
      <fill>
        <patternFill patternType="solid">
          <fgColor indexed="64"/>
          <bgColor rgb="FFFF0000"/>
        </patternFill>
      </fill>
    </dxf>
    <dxf>
      <font>
        <strike val="0"/>
        <color theme="0"/>
      </font>
      <fill>
        <patternFill patternType="solid">
          <fgColor indexed="64"/>
          <bgColor rgb="FFFF0000"/>
        </patternFill>
      </fill>
    </dxf>
    <dxf>
      <font>
        <strike val="0"/>
        <color theme="0"/>
      </font>
      <fill>
        <patternFill patternType="solid">
          <fgColor indexed="64"/>
          <bgColor rgb="FFFF0000"/>
        </patternFill>
      </fill>
    </dxf>
    <dxf>
      <font>
        <strike val="0"/>
        <color theme="0"/>
      </font>
      <fill>
        <patternFill patternType="solid">
          <fgColor indexed="64"/>
          <bgColor rgb="FFFF0000"/>
        </patternFill>
      </fill>
    </dxf>
    <dxf>
      <font>
        <strike val="0"/>
        <color theme="0"/>
      </font>
      <fill>
        <patternFill patternType="solid">
          <fgColor indexed="64"/>
          <bgColor rgb="FFFF0000"/>
        </patternFill>
      </fill>
    </dxf>
    <dxf>
      <font>
        <strike val="0"/>
        <color theme="0"/>
      </font>
      <fill>
        <patternFill patternType="solid">
          <fgColor indexed="64"/>
          <bgColor rgb="FFFF0000"/>
        </patternFill>
      </fill>
    </dxf>
    <dxf>
      <font>
        <strike val="0"/>
        <color theme="0"/>
      </font>
      <fill>
        <patternFill patternType="solid">
          <fgColor indexed="64"/>
          <bgColor rgb="FFFF0000"/>
        </patternFill>
      </fill>
    </dxf>
    <dxf>
      <border>
        <left style="thin">
          <color indexed="22"/>
        </left>
        <right style="thin">
          <color indexed="22"/>
        </right>
        <top style="thin">
          <color indexed="22"/>
        </top>
        <bottom style="thin">
          <color indexed="22"/>
        </bottom>
      </border>
    </dxf>
    <dxf>
      <font>
        <condense val="0"/>
        <extend val="0"/>
        <color indexed="9"/>
      </font>
      <fill>
        <patternFill patternType="none">
          <bgColor indexed="65"/>
        </patternFill>
      </fill>
      <border>
        <left/>
        <right/>
        <top/>
        <bottom/>
      </border>
    </dxf>
    <dxf>
      <font>
        <condense val="0"/>
        <extend val="0"/>
        <color indexed="9"/>
      </font>
    </dxf>
    <dxf>
      <font>
        <strike val="0"/>
        <color auto="1"/>
      </font>
      <fill>
        <patternFill patternType="none">
          <fgColor indexed="64"/>
          <bgColor auto="1"/>
        </patternFill>
      </fill>
      <border>
        <left style="thin">
          <color auto="1"/>
        </left>
      </border>
    </dxf>
    <dxf>
      <font>
        <strike val="0"/>
        <color theme="0"/>
      </font>
      <fill>
        <patternFill patternType="solid">
          <fgColor indexed="64"/>
          <bgColor rgb="FF008000"/>
        </patternFill>
      </fill>
    </dxf>
    <dxf>
      <font>
        <strike val="0"/>
        <color theme="0"/>
      </font>
      <fill>
        <patternFill patternType="solid">
          <fgColor indexed="64"/>
          <bgColor theme="3" tint="0.59999389629810485"/>
        </patternFill>
      </fill>
    </dxf>
    <dxf>
      <font>
        <strike val="0"/>
        <color theme="0"/>
      </font>
      <fill>
        <patternFill patternType="solid">
          <fgColor indexed="64"/>
          <bgColor rgb="FFFF0000"/>
        </patternFill>
      </fill>
    </dxf>
    <dxf>
      <font>
        <strike val="0"/>
        <color theme="0"/>
      </font>
      <fill>
        <patternFill patternType="solid">
          <fgColor indexed="64"/>
          <bgColor theme="1"/>
        </patternFill>
      </fill>
    </dxf>
    <dxf>
      <font>
        <strike val="0"/>
        <color theme="0" tint="-0.249977111117893"/>
      </font>
      <fill>
        <patternFill patternType="none">
          <fgColor indexed="64"/>
          <bgColor auto="1"/>
        </patternFill>
      </fill>
    </dxf>
    <dxf>
      <font>
        <b/>
        <i val="0"/>
        <strike val="0"/>
        <color theme="0"/>
      </font>
      <fill>
        <patternFill patternType="solid">
          <fgColor indexed="64"/>
          <bgColor rgb="FFFF0000"/>
        </patternFill>
      </fill>
    </dxf>
    <dxf>
      <font>
        <strike val="0"/>
        <color theme="0" tint="-0.249977111117893"/>
      </font>
      <fill>
        <patternFill patternType="none">
          <fgColor indexed="64"/>
          <bgColor auto="1"/>
        </patternFill>
      </fill>
    </dxf>
    <dxf>
      <font>
        <strike val="0"/>
        <color theme="0"/>
      </font>
      <fill>
        <patternFill patternType="solid">
          <fgColor indexed="64"/>
          <bgColor theme="9" tint="-0.249977111117893"/>
        </patternFill>
      </fill>
    </dxf>
    <dxf>
      <font>
        <strike val="0"/>
        <color theme="0" tint="-0.249977111117893"/>
      </font>
      <fill>
        <patternFill patternType="none">
          <fgColor indexed="64"/>
          <bgColor auto="1"/>
        </patternFill>
      </fill>
    </dxf>
    <dxf>
      <font>
        <strike val="0"/>
        <color theme="0" tint="-0.249977111117893"/>
      </font>
      <fill>
        <patternFill patternType="none">
          <fgColor indexed="64"/>
          <bgColor auto="1"/>
        </patternFill>
      </fill>
    </dxf>
    <dxf>
      <font>
        <strike val="0"/>
        <color auto="1"/>
      </font>
      <fill>
        <patternFill patternType="none">
          <fgColor indexed="64"/>
          <bgColor auto="1"/>
        </patternFill>
      </fill>
      <border>
        <top style="thin">
          <color rgb="FFFF0000"/>
        </top>
        <bottom/>
      </border>
    </dxf>
    <dxf>
      <font>
        <strike val="0"/>
        <color theme="0"/>
      </font>
      <fill>
        <patternFill patternType="solid">
          <fgColor indexed="64"/>
          <bgColor rgb="FF008000"/>
        </patternFill>
      </fill>
    </dxf>
    <dxf>
      <font>
        <strike val="0"/>
        <color theme="0"/>
      </font>
      <fill>
        <patternFill patternType="solid">
          <fgColor indexed="64"/>
          <bgColor theme="3" tint="0.59999389629810485"/>
        </patternFill>
      </fill>
    </dxf>
    <dxf>
      <font>
        <strike val="0"/>
        <color theme="0"/>
      </font>
      <fill>
        <patternFill patternType="solid">
          <fgColor indexed="64"/>
          <bgColor rgb="FFFF0000"/>
        </patternFill>
      </fill>
    </dxf>
    <dxf>
      <font>
        <strike val="0"/>
        <color theme="0"/>
      </font>
      <fill>
        <patternFill patternType="solid">
          <fgColor indexed="64"/>
          <bgColor theme="1"/>
        </patternFill>
      </fill>
    </dxf>
    <dxf>
      <font>
        <strike val="0"/>
        <color auto="1"/>
      </font>
      <fill>
        <patternFill patternType="solid">
          <fgColor indexed="64"/>
          <bgColor theme="9" tint="0.39997558519241921"/>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auto="1"/>
      </font>
      <fill>
        <patternFill patternType="solid">
          <fgColor indexed="64"/>
          <bgColor theme="3" tint="0.59999389629810485"/>
        </patternFill>
      </fill>
    </dxf>
    <dxf>
      <font>
        <strike val="0"/>
        <color auto="1"/>
      </font>
      <fill>
        <patternFill patternType="solid">
          <fgColor indexed="64"/>
          <bgColor rgb="FFFFFF00"/>
        </patternFill>
      </fill>
    </dxf>
    <dxf>
      <font>
        <strike val="0"/>
        <color auto="1"/>
      </font>
      <fill>
        <patternFill patternType="solid">
          <fgColor indexed="64"/>
          <bgColor theme="9" tint="0.39997558519241921"/>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auto="1"/>
      </font>
      <fill>
        <patternFill patternType="solid">
          <fgColor indexed="64"/>
          <bgColor theme="3" tint="0.59999389629810485"/>
        </patternFill>
      </fill>
    </dxf>
    <dxf>
      <font>
        <strike val="0"/>
        <color auto="1"/>
      </font>
      <fill>
        <patternFill patternType="solid">
          <fgColor indexed="64"/>
          <bgColor rgb="FFFFFF00"/>
        </patternFill>
      </fill>
    </dxf>
    <dxf>
      <font>
        <strike val="0"/>
        <color theme="0" tint="-0.249977111117893"/>
      </font>
      <fill>
        <patternFill patternType="none">
          <fgColor indexed="64"/>
          <bgColor auto="1"/>
        </patternFill>
      </fill>
    </dxf>
    <dxf>
      <font>
        <strike val="0"/>
        <color theme="0"/>
      </font>
      <fill>
        <patternFill patternType="solid">
          <fgColor indexed="64"/>
          <bgColor rgb="FFFF0000"/>
        </patternFill>
      </fill>
    </dxf>
    <dxf>
      <font>
        <strike val="0"/>
        <color theme="0"/>
      </font>
      <fill>
        <patternFill patternType="none">
          <fgColor indexed="64"/>
          <bgColor auto="1"/>
        </patternFill>
      </fill>
    </dxf>
    <dxf>
      <font>
        <strike val="0"/>
        <color theme="0"/>
      </font>
      <fill>
        <patternFill patternType="none">
          <fgColor indexed="64"/>
          <bgColor auto="1"/>
        </patternFill>
      </fill>
    </dxf>
    <dxf>
      <font>
        <strike val="0"/>
        <color auto="1"/>
      </font>
      <fill>
        <patternFill patternType="solid">
          <fgColor indexed="64"/>
          <bgColor theme="5" tint="0.59999389629810485"/>
        </patternFill>
      </fill>
    </dxf>
    <dxf>
      <font>
        <strike val="0"/>
        <color auto="1"/>
      </font>
      <fill>
        <patternFill patternType="solid">
          <fgColor indexed="64"/>
          <bgColor theme="3" tint="0.59999389629810485"/>
        </patternFill>
      </fill>
    </dxf>
    <dxf>
      <font>
        <strike val="0"/>
        <color rgb="FFFF0000"/>
      </font>
      <fill>
        <patternFill patternType="solid">
          <fgColor indexed="64"/>
          <bgColor rgb="FFFF0000"/>
        </patternFill>
      </fill>
    </dxf>
    <dxf>
      <font>
        <strike val="0"/>
        <color theme="3" tint="0.59999389629810485"/>
      </font>
      <fill>
        <patternFill patternType="solid">
          <fgColor indexed="64"/>
          <bgColor theme="3" tint="0.59999389629810485"/>
        </patternFill>
      </fill>
    </dxf>
    <dxf>
      <font>
        <strike val="0"/>
        <color theme="6" tint="0.39997558519241921"/>
      </font>
      <fill>
        <patternFill patternType="solid">
          <fgColor indexed="64"/>
          <bgColor theme="6" tint="0.39997558519241921"/>
        </patternFill>
      </fill>
    </dxf>
    <dxf>
      <font>
        <strike val="0"/>
        <color auto="1"/>
      </font>
      <fill>
        <patternFill patternType="solid">
          <fgColor indexed="64"/>
          <bgColor theme="3" tint="0.59999389629810485"/>
        </patternFill>
      </fill>
    </dxf>
    <dxf>
      <font>
        <strike val="0"/>
        <color theme="0"/>
      </font>
      <fill>
        <patternFill patternType="solid">
          <fgColor indexed="64"/>
          <bgColor rgb="FFFF0000"/>
        </patternFill>
      </fill>
    </dxf>
    <dxf>
      <font>
        <strike val="0"/>
        <color theme="0"/>
      </font>
      <fill>
        <patternFill patternType="none">
          <fgColor indexed="64"/>
          <bgColor auto="1"/>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3" tint="0.59999389629810485"/>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39997558519241921"/>
        </patternFill>
      </fill>
    </dxf>
    <dxf>
      <font>
        <strike val="0"/>
        <color theme="0"/>
      </font>
      <fill>
        <patternFill patternType="solid">
          <fgColor indexed="64"/>
          <bgColor rgb="FFFF0000"/>
        </patternFill>
      </fill>
    </dxf>
    <dxf>
      <font>
        <strike val="0"/>
        <color auto="1"/>
      </font>
      <fill>
        <patternFill patternType="solid">
          <fgColor indexed="64"/>
          <bgColor theme="6" tint="0.39997558519241921"/>
        </patternFill>
      </fill>
    </dxf>
    <dxf>
      <font>
        <strike val="0"/>
        <color auto="1"/>
      </font>
      <fill>
        <patternFill patternType="solid">
          <fgColor indexed="64"/>
          <bgColor theme="5" tint="0.59999389629810485"/>
        </patternFill>
      </fill>
    </dxf>
    <dxf>
      <font>
        <strike val="0"/>
        <color theme="0"/>
      </font>
      <fill>
        <patternFill patternType="solid">
          <fgColor indexed="64"/>
          <bgColor rgb="FFFF0000"/>
        </patternFill>
      </fill>
    </dxf>
    <dxf>
      <font>
        <strike val="0"/>
        <color auto="1"/>
      </font>
      <fill>
        <patternFill patternType="solid">
          <fgColor indexed="64"/>
          <bgColor theme="5" tint="0.59999389629810485"/>
        </patternFill>
      </fill>
    </dxf>
    <dxf>
      <font>
        <strike val="0"/>
        <color theme="0"/>
      </font>
      <fill>
        <patternFill patternType="solid">
          <fgColor indexed="64"/>
          <bgColor rgb="FFFF0000"/>
        </patternFill>
      </fill>
    </dxf>
    <dxf>
      <font>
        <strike val="0"/>
        <color theme="0"/>
      </font>
      <fill>
        <patternFill patternType="solid">
          <fgColor indexed="64"/>
          <bgColor rgb="FFFF0000"/>
        </patternFill>
      </fill>
    </dxf>
    <dxf>
      <font>
        <strike val="0"/>
        <color auto="1"/>
      </font>
      <fill>
        <patternFill patternType="solid">
          <fgColor indexed="64"/>
          <bgColor theme="7" tint="0.39997558519241921"/>
        </patternFill>
      </fill>
    </dxf>
    <dxf>
      <font>
        <strike val="0"/>
        <color theme="0"/>
      </font>
      <fill>
        <patternFill patternType="none">
          <fgColor indexed="64"/>
          <bgColor auto="1"/>
        </patternFill>
      </fill>
    </dxf>
    <dxf>
      <font>
        <strike val="0"/>
        <color auto="1"/>
      </font>
      <fill>
        <patternFill patternType="solid">
          <fgColor indexed="64"/>
          <bgColor rgb="FFFFFF00"/>
        </patternFill>
      </fill>
    </dxf>
    <dxf>
      <font>
        <strike val="0"/>
        <color auto="1"/>
      </font>
      <fill>
        <patternFill patternType="none">
          <fgColor indexed="64"/>
          <bgColor auto="1"/>
        </patternFill>
      </fill>
      <border>
        <top style="thin">
          <color rgb="FFFF0000"/>
        </top>
        <bottom/>
      </border>
    </dxf>
    <dxf>
      <font>
        <strike val="0"/>
        <color auto="1"/>
      </font>
      <fill>
        <patternFill patternType="none">
          <fgColor indexed="64"/>
          <bgColor auto="1"/>
        </patternFill>
      </fill>
      <border>
        <top style="thin">
          <color rgb="FFFF0000"/>
        </top>
        <bottom/>
      </border>
    </dxf>
    <dxf>
      <font>
        <strike val="0"/>
        <color theme="0"/>
      </font>
      <fill>
        <patternFill patternType="solid">
          <fgColor indexed="64"/>
          <bgColor theme="9" tint="-0.249977111117893"/>
        </patternFill>
      </fill>
    </dxf>
    <dxf>
      <font>
        <strike val="0"/>
        <color auto="1"/>
      </font>
      <fill>
        <patternFill patternType="none">
          <fgColor indexed="64"/>
          <bgColor auto="1"/>
        </patternFill>
      </fill>
    </dxf>
    <dxf>
      <font>
        <strike val="0"/>
        <color theme="0"/>
      </font>
      <fill>
        <patternFill patternType="none">
          <fgColor indexed="64"/>
          <bgColor auto="1"/>
        </patternFill>
      </fill>
    </dxf>
    <dxf>
      <font>
        <strike val="0"/>
        <color theme="0" tint="-0.14999847407452621"/>
      </font>
      <fill>
        <patternFill patternType="none">
          <fgColor indexed="64"/>
          <bgColor auto="1"/>
        </patternFill>
      </fill>
    </dxf>
    <dxf>
      <font>
        <strike val="0"/>
        <color theme="0" tint="-0.14999847407452621"/>
      </font>
      <fill>
        <patternFill patternType="none">
          <fgColor indexed="64"/>
          <bgColor auto="1"/>
        </patternFill>
      </fill>
    </dxf>
    <dxf>
      <font>
        <condense val="0"/>
        <extend val="0"/>
        <color indexed="22"/>
      </font>
    </dxf>
    <dxf>
      <font>
        <strike val="0"/>
        <color theme="0"/>
      </font>
      <fill>
        <patternFill patternType="solid">
          <fgColor indexed="64"/>
          <bgColor theme="5" tint="-0.249977111117893"/>
        </patternFill>
      </fill>
    </dxf>
    <dxf>
      <font>
        <strike val="0"/>
        <color theme="0"/>
      </font>
      <fill>
        <patternFill patternType="solid">
          <fgColor indexed="64"/>
          <bgColor theme="5" tint="-0.249977111117893"/>
        </patternFill>
      </fill>
    </dxf>
    <dxf>
      <font>
        <strike val="0"/>
        <color theme="0"/>
      </font>
      <fill>
        <patternFill patternType="solid">
          <fgColor indexed="64"/>
          <bgColor theme="5" tint="-0.249977111117893"/>
        </patternFill>
      </fill>
    </dxf>
    <dxf>
      <font>
        <condense val="0"/>
        <extend val="0"/>
        <color indexed="9"/>
      </font>
    </dxf>
    <dxf>
      <font>
        <strike val="0"/>
        <color theme="0" tint="-0.249977111117893"/>
      </font>
      <fill>
        <patternFill patternType="none">
          <fgColor indexed="64"/>
          <bgColor auto="1"/>
        </patternFill>
      </fill>
    </dxf>
    <dxf>
      <font>
        <b/>
        <i val="0"/>
        <strike val="0"/>
        <color rgb="FFFF0000"/>
      </font>
      <fill>
        <patternFill patternType="solid">
          <fgColor indexed="64"/>
          <bgColor rgb="FFFFFF00"/>
        </patternFill>
      </fill>
    </dxf>
    <dxf>
      <font>
        <b/>
        <i val="0"/>
        <strike val="0"/>
        <color auto="1"/>
      </font>
      <fill>
        <patternFill patternType="solid">
          <fgColor indexed="64"/>
          <bgColor rgb="FFFFFF00"/>
        </patternFill>
      </fill>
    </dxf>
    <dxf>
      <font>
        <strike val="0"/>
        <color theme="0"/>
      </font>
      <fill>
        <patternFill patternType="solid">
          <fgColor indexed="64"/>
          <bgColor rgb="FFFF0000"/>
        </patternFill>
      </fill>
    </dxf>
    <dxf>
      <font>
        <strike val="0"/>
        <color theme="0"/>
      </font>
      <fill>
        <patternFill patternType="solid">
          <fgColor indexed="64"/>
          <bgColor theme="1"/>
        </patternFill>
      </fill>
    </dxf>
    <dxf>
      <font>
        <strike val="0"/>
        <color theme="0" tint="-0.249977111117893"/>
      </font>
      <fill>
        <patternFill patternType="none">
          <fgColor indexed="64"/>
          <bgColor auto="1"/>
        </patternFill>
      </fill>
    </dxf>
    <dxf>
      <font>
        <strike val="0"/>
        <color theme="0" tint="-0.249977111117893"/>
      </font>
      <fill>
        <patternFill patternType="none">
          <fgColor indexed="64"/>
          <bgColor auto="1"/>
        </patternFill>
      </fill>
    </dxf>
    <dxf>
      <font>
        <strike val="0"/>
        <color theme="0"/>
      </font>
      <fill>
        <patternFill patternType="solid">
          <fgColor indexed="64"/>
          <bgColor theme="9" tint="-0.249977111117893"/>
        </patternFill>
      </fill>
    </dxf>
    <dxf>
      <font>
        <strike val="0"/>
        <color auto="1"/>
      </font>
      <fill>
        <patternFill patternType="none">
          <fgColor indexed="64"/>
          <bgColor auto="1"/>
        </patternFill>
      </fill>
    </dxf>
    <dxf>
      <font>
        <strike val="0"/>
        <color auto="1"/>
      </font>
      <fill>
        <patternFill patternType="solid">
          <fgColor indexed="64"/>
          <bgColor rgb="FFFFFF00"/>
        </patternFill>
      </fill>
      <border>
        <left style="thin">
          <color theme="0" tint="-0.249977111117893"/>
        </left>
        <right style="thin">
          <color theme="0" tint="-0.249977111117893"/>
        </right>
        <top style="thin">
          <color theme="0" tint="-0.249977111117893"/>
        </top>
        <bottom style="thin">
          <color theme="0" tint="-0.249977111117893"/>
        </bottom>
      </border>
    </dxf>
    <dxf>
      <font>
        <strike val="0"/>
        <color auto="1"/>
      </font>
      <fill>
        <patternFill patternType="none">
          <fgColor indexed="64"/>
          <bgColor auto="1"/>
        </patternFill>
      </fill>
      <border>
        <top style="thin">
          <color rgb="FFFF0000"/>
        </top>
        <bottom/>
      </border>
    </dxf>
    <dxf>
      <fill>
        <patternFill>
          <bgColor indexed="22"/>
        </patternFill>
      </fill>
    </dxf>
    <dxf>
      <font>
        <condense val="0"/>
        <extend val="0"/>
        <color indexed="48"/>
      </font>
    </dxf>
    <dxf>
      <font>
        <condense val="0"/>
        <extend val="0"/>
        <color indexed="9"/>
      </font>
    </dxf>
    <dxf>
      <font>
        <condense val="0"/>
        <extend val="0"/>
        <color indexed="9"/>
      </font>
    </dxf>
    <dxf>
      <font>
        <strike val="0"/>
        <color theme="0" tint="-0.249977111117893"/>
      </font>
      <fill>
        <patternFill patternType="none">
          <fgColor indexed="64"/>
          <bgColor auto="1"/>
        </patternFill>
      </fill>
    </dxf>
    <dxf>
      <font>
        <strike val="0"/>
        <color theme="0" tint="-0.249977111117893"/>
      </font>
      <fill>
        <patternFill patternType="none">
          <fgColor indexed="64"/>
          <bgColor auto="1"/>
        </patternFill>
      </fill>
    </dxf>
    <dxf>
      <font>
        <strike val="0"/>
        <color theme="0" tint="-0.249977111117893"/>
      </font>
      <fill>
        <patternFill patternType="none">
          <fgColor indexed="64"/>
          <bgColor auto="1"/>
        </patternFill>
      </fill>
    </dxf>
    <dxf>
      <font>
        <strike val="0"/>
        <color auto="1"/>
      </font>
      <fill>
        <patternFill patternType="none">
          <fgColor indexed="64"/>
          <bgColor auto="1"/>
        </patternFill>
      </fill>
      <border>
        <top style="thin">
          <color rgb="FFFF0000"/>
        </top>
        <bottom/>
      </border>
    </dxf>
    <dxf>
      <font>
        <strike val="0"/>
        <color theme="0"/>
      </font>
      <fill>
        <patternFill patternType="solid">
          <fgColor indexed="64"/>
          <bgColor rgb="FFFF0000"/>
        </patternFill>
      </fill>
    </dxf>
    <dxf>
      <font>
        <strike val="0"/>
        <color theme="0"/>
      </font>
      <fill>
        <patternFill patternType="solid">
          <fgColor indexed="64"/>
          <bgColor theme="1"/>
        </patternFill>
      </fill>
    </dxf>
    <dxf>
      <font>
        <strike val="0"/>
        <color theme="0"/>
      </font>
      <fill>
        <patternFill patternType="none">
          <fgColor indexed="64"/>
          <bgColor indexed="65"/>
        </patternFill>
      </fill>
    </dxf>
    <dxf>
      <font>
        <strike val="0"/>
        <color theme="0"/>
      </font>
      <fill>
        <patternFill patternType="none">
          <fgColor indexed="64"/>
          <bgColor indexed="65"/>
        </patternFill>
      </fill>
    </dxf>
    <dxf>
      <font>
        <strike val="0"/>
        <color theme="0"/>
      </font>
      <fill>
        <patternFill patternType="none">
          <fgColor indexed="64"/>
          <bgColor indexed="65"/>
        </patternFill>
      </fill>
    </dxf>
    <dxf>
      <font>
        <strike val="0"/>
        <color theme="0"/>
      </font>
      <fill>
        <patternFill patternType="none">
          <fgColor indexed="64"/>
          <bgColor indexed="65"/>
        </patternFill>
      </fill>
    </dxf>
    <dxf>
      <font>
        <strike val="0"/>
        <color theme="0"/>
      </font>
      <fill>
        <patternFill patternType="none">
          <fgColor indexed="64"/>
          <bgColor indexed="65"/>
        </patternFill>
      </fill>
    </dxf>
    <dxf>
      <font>
        <b/>
        <i val="0"/>
        <strike val="0"/>
        <color theme="0"/>
      </font>
      <fill>
        <patternFill patternType="solid">
          <fgColor indexed="64"/>
          <bgColor rgb="FFFF0000"/>
        </patternFill>
      </fill>
    </dxf>
    <dxf>
      <font>
        <strike val="0"/>
        <color theme="0"/>
      </font>
      <fill>
        <patternFill patternType="none">
          <fgColor indexed="64"/>
          <bgColor indexed="65"/>
        </patternFill>
      </fill>
    </dxf>
    <dxf>
      <font>
        <strike val="0"/>
        <color theme="0"/>
      </font>
      <fill>
        <patternFill patternType="none">
          <fgColor indexed="64"/>
          <bgColor indexed="65"/>
        </patternFill>
      </fill>
    </dxf>
    <dxf>
      <font>
        <strike val="0"/>
        <color theme="0" tint="-0.34998626667073579"/>
      </font>
      <fill>
        <patternFill patternType="none">
          <fgColor indexed="64"/>
          <bgColor indexed="65"/>
        </patternFill>
      </fill>
    </dxf>
    <dxf>
      <font>
        <strike val="0"/>
        <color theme="0"/>
      </font>
      <fill>
        <patternFill patternType="none">
          <fgColor indexed="64"/>
          <bgColor indexed="65"/>
        </patternFill>
      </fill>
    </dxf>
    <dxf>
      <font>
        <strike val="0"/>
        <color theme="0"/>
      </font>
      <fill>
        <patternFill patternType="none">
          <fgColor indexed="64"/>
          <bgColor indexed="65"/>
        </patternFill>
      </fill>
    </dxf>
    <dxf>
      <font>
        <strike val="0"/>
        <color theme="0"/>
      </font>
      <fill>
        <patternFill patternType="none">
          <fgColor indexed="64"/>
          <bgColor indexed="65"/>
        </patternFill>
      </fill>
    </dxf>
    <dxf>
      <font>
        <strike val="0"/>
        <color theme="0"/>
      </font>
      <fill>
        <patternFill patternType="none">
          <fgColor indexed="64"/>
          <bgColor indexed="65"/>
        </patternFill>
      </fill>
    </dxf>
    <dxf>
      <font>
        <strike val="0"/>
        <color theme="0" tint="-0.34998626667073579"/>
      </font>
      <fill>
        <patternFill patternType="none">
          <fgColor indexed="64"/>
          <bgColor indexed="65"/>
        </patternFill>
      </fill>
    </dxf>
    <dxf>
      <font>
        <strike val="0"/>
        <color theme="0" tint="-0.34998626667073579"/>
      </font>
      <fill>
        <patternFill patternType="none">
          <fgColor indexed="64"/>
          <bgColor indexed="65"/>
        </patternFill>
      </fill>
    </dxf>
    <dxf>
      <font>
        <strike val="0"/>
        <color auto="1"/>
      </font>
      <fill>
        <patternFill patternType="solid">
          <fgColor indexed="64"/>
          <bgColor theme="3" tint="0.39997558519241921"/>
        </patternFill>
      </fill>
    </dxf>
    <dxf>
      <font>
        <strike val="0"/>
        <color auto="1"/>
      </font>
      <fill>
        <patternFill patternType="solid">
          <fgColor indexed="64"/>
          <bgColor rgb="FFFFFF00"/>
        </patternFill>
      </fill>
    </dxf>
    <dxf>
      <font>
        <strike val="0"/>
        <color theme="0"/>
      </font>
      <fill>
        <patternFill patternType="solid">
          <fgColor indexed="64"/>
          <bgColor rgb="FF008000"/>
        </patternFill>
      </fill>
    </dxf>
    <dxf>
      <font>
        <strike val="0"/>
        <color auto="1"/>
      </font>
      <fill>
        <patternFill patternType="solid">
          <fgColor indexed="64"/>
          <bgColor rgb="FFFF0000"/>
        </patternFill>
      </fill>
    </dxf>
    <dxf>
      <font>
        <strike val="0"/>
        <color auto="1"/>
      </font>
      <fill>
        <patternFill patternType="solid">
          <fgColor indexed="64"/>
          <bgColor theme="3" tint="0.39997558519241921"/>
        </patternFill>
      </fill>
    </dxf>
    <dxf>
      <font>
        <strike val="0"/>
        <color auto="1"/>
      </font>
      <fill>
        <patternFill patternType="solid">
          <fgColor indexed="64"/>
          <bgColor rgb="FFFFFF00"/>
        </patternFill>
      </fill>
    </dxf>
    <dxf>
      <font>
        <strike val="0"/>
        <color theme="0"/>
      </font>
      <fill>
        <patternFill patternType="solid">
          <fgColor indexed="64"/>
          <bgColor rgb="FF008000"/>
        </patternFill>
      </fill>
    </dxf>
    <dxf>
      <font>
        <strike val="0"/>
        <color auto="1"/>
      </font>
      <fill>
        <patternFill patternType="solid">
          <fgColor indexed="64"/>
          <bgColor rgb="FFFF0000"/>
        </patternFill>
      </fill>
    </dxf>
    <dxf>
      <font>
        <strike val="0"/>
        <color auto="1"/>
      </font>
      <fill>
        <patternFill patternType="solid">
          <fgColor indexed="64"/>
          <bgColor theme="3" tint="0.39997558519241921"/>
        </patternFill>
      </fill>
    </dxf>
    <dxf>
      <font>
        <strike val="0"/>
        <color auto="1"/>
      </font>
      <fill>
        <patternFill patternType="solid">
          <fgColor indexed="64"/>
          <bgColor rgb="FFFFFF00"/>
        </patternFill>
      </fill>
    </dxf>
    <dxf>
      <font>
        <strike val="0"/>
        <color theme="0"/>
      </font>
      <fill>
        <patternFill patternType="solid">
          <fgColor indexed="64"/>
          <bgColor rgb="FF008000"/>
        </patternFill>
      </fill>
    </dxf>
    <dxf>
      <font>
        <strike val="0"/>
        <color auto="1"/>
      </font>
      <fill>
        <patternFill patternType="solid">
          <fgColor indexed="64"/>
          <bgColor rgb="FFFF0000"/>
        </patternFill>
      </fill>
    </dxf>
    <dxf>
      <font>
        <strike val="0"/>
        <color auto="1"/>
      </font>
      <fill>
        <patternFill patternType="solid">
          <fgColor indexed="64"/>
          <bgColor theme="3" tint="0.39997558519241921"/>
        </patternFill>
      </fill>
    </dxf>
    <dxf>
      <font>
        <strike val="0"/>
        <color auto="1"/>
      </font>
      <fill>
        <patternFill patternType="solid">
          <fgColor indexed="64"/>
          <bgColor rgb="FFFFFF00"/>
        </patternFill>
      </fill>
    </dxf>
    <dxf>
      <font>
        <strike val="0"/>
        <color theme="0"/>
      </font>
      <fill>
        <patternFill patternType="solid">
          <fgColor indexed="64"/>
          <bgColor rgb="FF008000"/>
        </patternFill>
      </fill>
    </dxf>
    <dxf>
      <font>
        <strike val="0"/>
        <color auto="1"/>
      </font>
      <fill>
        <patternFill patternType="solid">
          <fgColor indexed="64"/>
          <bgColor rgb="FFFF0000"/>
        </patternFill>
      </fill>
    </dxf>
    <dxf>
      <font>
        <strike val="0"/>
        <color auto="1"/>
      </font>
      <fill>
        <patternFill patternType="solid">
          <fgColor indexed="64"/>
          <bgColor theme="3" tint="0.39997558519241921"/>
        </patternFill>
      </fill>
    </dxf>
    <dxf>
      <font>
        <strike val="0"/>
        <color auto="1"/>
      </font>
      <fill>
        <patternFill patternType="solid">
          <fgColor indexed="64"/>
          <bgColor rgb="FFFFFF00"/>
        </patternFill>
      </fill>
    </dxf>
    <dxf>
      <font>
        <strike val="0"/>
        <color theme="0"/>
      </font>
      <fill>
        <patternFill patternType="solid">
          <fgColor indexed="64"/>
          <bgColor rgb="FF008000"/>
        </patternFill>
      </fill>
    </dxf>
    <dxf>
      <font>
        <strike val="0"/>
        <color auto="1"/>
      </font>
      <fill>
        <patternFill patternType="solid">
          <fgColor indexed="64"/>
          <bgColor rgb="FFFF0000"/>
        </patternFill>
      </fill>
    </dxf>
    <dxf>
      <font>
        <strike val="0"/>
        <color auto="1"/>
      </font>
      <fill>
        <patternFill patternType="solid">
          <fgColor indexed="64"/>
          <bgColor theme="3" tint="0.39997558519241921"/>
        </patternFill>
      </fill>
    </dxf>
    <dxf>
      <font>
        <strike val="0"/>
        <color auto="1"/>
      </font>
      <fill>
        <patternFill patternType="solid">
          <fgColor indexed="64"/>
          <bgColor rgb="FFFFFF00"/>
        </patternFill>
      </fill>
    </dxf>
    <dxf>
      <font>
        <strike val="0"/>
        <color theme="0"/>
      </font>
      <fill>
        <patternFill patternType="solid">
          <fgColor indexed="64"/>
          <bgColor rgb="FF008000"/>
        </patternFill>
      </fill>
    </dxf>
    <dxf>
      <font>
        <strike val="0"/>
        <color auto="1"/>
      </font>
      <fill>
        <patternFill patternType="solid">
          <fgColor indexed="64"/>
          <bgColor rgb="FFFF0000"/>
        </patternFill>
      </fill>
    </dxf>
    <dxf>
      <font>
        <strike val="0"/>
        <color auto="1"/>
      </font>
      <fill>
        <patternFill patternType="solid">
          <fgColor indexed="64"/>
          <bgColor theme="3" tint="0.39997558519241921"/>
        </patternFill>
      </fill>
    </dxf>
    <dxf>
      <font>
        <strike val="0"/>
        <color auto="1"/>
      </font>
      <fill>
        <patternFill patternType="solid">
          <fgColor indexed="64"/>
          <bgColor theme="3" tint="0.39997558519241921"/>
        </patternFill>
      </fill>
    </dxf>
    <dxf>
      <font>
        <strike val="0"/>
        <color auto="1"/>
      </font>
      <fill>
        <patternFill patternType="solid">
          <fgColor indexed="64"/>
          <bgColor theme="3" tint="0.39997558519241921"/>
        </patternFill>
      </fill>
    </dxf>
    <dxf>
      <font>
        <strike val="0"/>
        <color auto="1"/>
      </font>
      <fill>
        <patternFill patternType="solid">
          <fgColor indexed="64"/>
          <bgColor rgb="FFFFFF00"/>
        </patternFill>
      </fill>
    </dxf>
    <dxf>
      <font>
        <strike val="0"/>
        <color theme="0"/>
      </font>
      <fill>
        <patternFill patternType="solid">
          <fgColor indexed="64"/>
          <bgColor rgb="FF008000"/>
        </patternFill>
      </fill>
    </dxf>
    <dxf>
      <font>
        <strike val="0"/>
        <color auto="1"/>
      </font>
      <fill>
        <patternFill patternType="solid">
          <fgColor indexed="64"/>
          <bgColor rgb="FFFF0000"/>
        </patternFill>
      </fill>
    </dxf>
    <dxf>
      <font>
        <strike val="0"/>
        <color auto="1"/>
      </font>
      <fill>
        <patternFill patternType="solid">
          <fgColor indexed="64"/>
          <bgColor rgb="FFFFFF00"/>
        </patternFill>
      </fill>
    </dxf>
    <dxf>
      <font>
        <strike val="0"/>
        <color theme="0"/>
      </font>
      <fill>
        <patternFill patternType="solid">
          <fgColor indexed="64"/>
          <bgColor rgb="FF008000"/>
        </patternFill>
      </fill>
    </dxf>
    <dxf>
      <font>
        <strike val="0"/>
        <color auto="1"/>
      </font>
      <fill>
        <patternFill patternType="solid">
          <fgColor indexed="64"/>
          <bgColor rgb="FFFF0000"/>
        </patternFill>
      </fill>
    </dxf>
    <dxf>
      <font>
        <strike val="0"/>
        <color auto="1"/>
      </font>
      <fill>
        <patternFill patternType="solid">
          <fgColor indexed="64"/>
          <bgColor rgb="FFFFFF00"/>
        </patternFill>
      </fill>
    </dxf>
    <dxf>
      <font>
        <strike val="0"/>
        <color theme="0"/>
      </font>
      <fill>
        <patternFill patternType="solid">
          <fgColor indexed="64"/>
          <bgColor rgb="FF008000"/>
        </patternFill>
      </fill>
    </dxf>
    <dxf>
      <font>
        <strike val="0"/>
        <color auto="1"/>
      </font>
      <fill>
        <patternFill patternType="solid">
          <fgColor indexed="64"/>
          <bgColor rgb="FFFF0000"/>
        </patternFill>
      </fill>
    </dxf>
    <dxf>
      <font>
        <strike val="0"/>
        <color theme="0"/>
      </font>
      <fill>
        <patternFill patternType="none">
          <fgColor indexed="64"/>
          <bgColor auto="1"/>
        </patternFill>
      </fill>
    </dxf>
    <dxf>
      <font>
        <strike val="0"/>
        <color theme="0"/>
      </font>
      <fill>
        <patternFill patternType="none">
          <fgColor indexed="64"/>
          <bgColor auto="1"/>
        </patternFill>
      </fill>
    </dxf>
    <dxf>
      <font>
        <strike val="0"/>
        <color theme="0"/>
      </font>
      <fill>
        <patternFill patternType="none">
          <fgColor indexed="64"/>
          <bgColor auto="1"/>
        </patternFill>
      </fill>
    </dxf>
    <dxf>
      <font>
        <strike val="0"/>
        <color theme="0"/>
      </font>
      <fill>
        <patternFill patternType="none">
          <fgColor indexed="64"/>
          <bgColor auto="1"/>
        </patternFill>
      </fill>
    </dxf>
    <dxf>
      <font>
        <strike val="0"/>
        <color theme="0"/>
      </font>
      <fill>
        <patternFill patternType="none">
          <fgColor indexed="64"/>
          <bgColor auto="1"/>
        </patternFill>
      </fill>
    </dxf>
    <dxf>
      <font>
        <strike val="0"/>
        <color theme="0"/>
      </font>
      <fill>
        <patternFill patternType="none">
          <fgColor indexed="64"/>
          <bgColor auto="1"/>
        </patternFill>
      </fill>
    </dxf>
    <dxf>
      <font>
        <strike val="0"/>
        <color theme="0"/>
      </font>
      <fill>
        <patternFill patternType="none">
          <fgColor indexed="64"/>
          <bgColor auto="1"/>
        </patternFill>
      </fill>
    </dxf>
    <dxf>
      <font>
        <strike val="0"/>
        <color theme="0"/>
      </font>
      <fill>
        <patternFill patternType="none">
          <fgColor indexed="64"/>
          <bgColor auto="1"/>
        </patternFill>
      </fill>
    </dxf>
    <dxf>
      <font>
        <strike val="0"/>
        <color theme="0"/>
      </font>
      <fill>
        <patternFill patternType="none">
          <fgColor indexed="64"/>
          <bgColor auto="1"/>
        </patternFill>
      </fill>
    </dxf>
  </dxfs>
  <tableStyles count="0" defaultTableStyle="TableStyleMedium9" defaultPivotStyle="PivotStyleMedium4"/>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theme" Target="theme/theme1.xml"/><Relationship Id="rId25" Type="http://schemas.openxmlformats.org/officeDocument/2006/relationships/styles" Target="styles.xml"/><Relationship Id="rId26" Type="http://schemas.openxmlformats.org/officeDocument/2006/relationships/sharedStrings" Target="sharedStrings.xml"/><Relationship Id="rId27"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84"/>
  <sheetViews>
    <sheetView showGridLines="0" tabSelected="1" workbookViewId="0">
      <selection activeCell="H2" sqref="H2:K2"/>
    </sheetView>
  </sheetViews>
  <sheetFormatPr baseColWidth="10" defaultRowHeight="15" x14ac:dyDescent="0"/>
  <cols>
    <col min="1" max="1" width="1.7109375" style="50" customWidth="1"/>
    <col min="2" max="2" width="10.28515625" style="63" customWidth="1"/>
    <col min="3" max="3" width="5.140625" style="63" customWidth="1"/>
    <col min="4" max="7" width="10.28515625" style="63" customWidth="1"/>
    <col min="8" max="26" width="10.28515625" style="50" customWidth="1"/>
    <col min="27" max="29" width="10.7109375" style="50"/>
    <col min="30" max="30" width="1.7109375" style="50" customWidth="1"/>
    <col min="31" max="16384" width="10.7109375" style="50"/>
  </cols>
  <sheetData>
    <row r="1" spans="2:31" ht="18" customHeight="1" thickBot="1">
      <c r="B1" s="100" t="s">
        <v>787</v>
      </c>
      <c r="H1" s="294" t="str">
        <f>H2</f>
        <v>Curling Club Name League</v>
      </c>
    </row>
    <row r="2" spans="2:31" ht="24" thickBot="1">
      <c r="B2" s="314" t="s">
        <v>892</v>
      </c>
      <c r="H2" s="477" t="s">
        <v>893</v>
      </c>
      <c r="I2" s="478"/>
      <c r="J2" s="478"/>
      <c r="K2" s="479"/>
      <c r="L2" s="435" t="s">
        <v>1184</v>
      </c>
      <c r="Q2" s="331">
        <v>210804</v>
      </c>
    </row>
    <row r="3" spans="2:31" ht="16" thickBot="1">
      <c r="D3" s="16"/>
      <c r="E3" s="16"/>
      <c r="F3" s="16"/>
      <c r="G3" s="16"/>
      <c r="H3" s="16"/>
      <c r="I3" s="16"/>
      <c r="J3" s="16"/>
      <c r="K3" s="16"/>
      <c r="L3" s="16"/>
      <c r="M3" s="67" t="s">
        <v>1066</v>
      </c>
      <c r="N3" s="67"/>
      <c r="O3" s="360"/>
      <c r="P3" s="16"/>
      <c r="Q3" s="16"/>
      <c r="R3" s="16"/>
      <c r="S3" s="16"/>
      <c r="T3" s="16"/>
      <c r="U3" s="16"/>
      <c r="V3" s="16"/>
      <c r="W3" s="16"/>
      <c r="X3" s="16"/>
      <c r="Y3" s="16"/>
      <c r="Z3" s="16"/>
      <c r="AA3" s="16"/>
      <c r="AB3" s="16"/>
      <c r="AC3" s="16"/>
      <c r="AD3" s="16"/>
      <c r="AE3" s="16"/>
    </row>
    <row r="4" spans="2:31">
      <c r="C4" s="86" t="s">
        <v>71</v>
      </c>
      <c r="D4" s="86"/>
      <c r="E4" s="86"/>
      <c r="F4" s="86"/>
      <c r="G4" s="86"/>
      <c r="H4" s="86"/>
      <c r="J4" s="16"/>
      <c r="K4" s="16"/>
      <c r="L4" s="16"/>
      <c r="M4" s="86" t="s">
        <v>1069</v>
      </c>
      <c r="O4" s="63"/>
      <c r="Q4" s="16"/>
      <c r="R4" s="16"/>
      <c r="S4" s="16"/>
      <c r="T4" s="16"/>
      <c r="U4" s="16"/>
      <c r="V4" s="16"/>
      <c r="W4" s="16"/>
      <c r="X4" s="16"/>
      <c r="Y4" s="16"/>
      <c r="Z4" s="16"/>
      <c r="AA4" s="16"/>
      <c r="AB4" s="16"/>
      <c r="AC4" s="16"/>
      <c r="AD4" s="16"/>
      <c r="AE4" s="16"/>
    </row>
    <row r="5" spans="2:31">
      <c r="C5" s="86" t="s">
        <v>578</v>
      </c>
      <c r="D5" s="86"/>
      <c r="E5" s="86"/>
      <c r="F5" s="86"/>
      <c r="G5" s="86"/>
      <c r="H5" s="86"/>
      <c r="J5" s="16"/>
      <c r="K5" s="16"/>
      <c r="L5" s="16"/>
      <c r="Q5" s="16"/>
      <c r="R5" s="16"/>
      <c r="S5" s="16"/>
      <c r="T5" s="16"/>
      <c r="U5" s="16"/>
      <c r="V5" s="16"/>
      <c r="W5" s="16"/>
      <c r="X5" s="16"/>
      <c r="Y5" s="16"/>
      <c r="Z5" s="16"/>
      <c r="AA5" s="16"/>
      <c r="AB5" s="16"/>
      <c r="AC5" s="16"/>
      <c r="AD5" s="16"/>
      <c r="AE5" s="16"/>
    </row>
    <row r="6" spans="2:31" ht="16" thickBot="1">
      <c r="G6" s="50"/>
      <c r="J6" s="16"/>
      <c r="K6" s="16"/>
      <c r="L6" s="16"/>
      <c r="M6" s="67" t="s">
        <v>72</v>
      </c>
      <c r="N6" s="67"/>
      <c r="O6" s="16"/>
      <c r="P6" s="16"/>
      <c r="Q6" s="16"/>
      <c r="R6" s="16"/>
      <c r="S6" s="16"/>
      <c r="T6" s="16"/>
      <c r="U6" s="16"/>
      <c r="V6" s="16"/>
      <c r="W6" s="16"/>
      <c r="X6" s="16"/>
      <c r="Y6" s="16"/>
      <c r="Z6" s="16"/>
      <c r="AA6" s="16"/>
      <c r="AB6" s="16"/>
      <c r="AC6" s="16"/>
      <c r="AD6" s="16"/>
      <c r="AE6" s="16"/>
    </row>
    <row r="7" spans="2:31" ht="16" thickBot="1">
      <c r="C7" s="67" t="s">
        <v>579</v>
      </c>
      <c r="D7" s="67"/>
      <c r="E7" s="67"/>
      <c r="G7" s="50"/>
      <c r="J7" s="16"/>
      <c r="K7" s="16"/>
      <c r="L7" s="16"/>
      <c r="M7" s="86" t="s">
        <v>616</v>
      </c>
      <c r="N7" s="86"/>
      <c r="O7" s="149"/>
      <c r="P7" s="63"/>
      <c r="Q7" s="16"/>
      <c r="R7" s="16"/>
      <c r="S7" s="16"/>
      <c r="T7" s="16"/>
      <c r="U7" s="16"/>
      <c r="V7" s="16"/>
      <c r="W7" s="16"/>
      <c r="X7" s="16"/>
      <c r="Y7" s="16"/>
      <c r="Z7" s="16"/>
      <c r="AA7" s="16"/>
      <c r="AB7" s="16"/>
      <c r="AC7" s="16"/>
      <c r="AD7" s="16"/>
      <c r="AE7" s="16"/>
    </row>
    <row r="8" spans="2:31">
      <c r="C8" s="86" t="s">
        <v>1059</v>
      </c>
      <c r="D8" s="86"/>
      <c r="E8" s="86"/>
      <c r="G8" s="50"/>
      <c r="J8" s="16"/>
      <c r="K8" s="16"/>
      <c r="L8" s="16"/>
      <c r="M8" s="86" t="s">
        <v>617</v>
      </c>
      <c r="O8" s="86"/>
      <c r="P8" s="86"/>
      <c r="Q8" s="16"/>
      <c r="R8" s="16"/>
      <c r="S8" s="16"/>
      <c r="T8" s="16"/>
      <c r="U8" s="16"/>
      <c r="V8" s="16"/>
      <c r="W8" s="16"/>
      <c r="X8" s="16"/>
      <c r="Y8" s="16"/>
      <c r="Z8" s="16"/>
      <c r="AA8" s="16"/>
      <c r="AB8" s="16"/>
      <c r="AC8" s="16"/>
      <c r="AD8" s="16"/>
      <c r="AE8" s="16"/>
    </row>
    <row r="9" spans="2:31">
      <c r="D9" s="86"/>
      <c r="E9" s="86"/>
      <c r="F9" s="86"/>
      <c r="G9" s="86"/>
      <c r="J9" s="16"/>
      <c r="K9" s="16"/>
      <c r="L9" s="16"/>
      <c r="M9" s="86" t="s">
        <v>1067</v>
      </c>
      <c r="N9" s="86"/>
      <c r="O9" s="86"/>
      <c r="P9" s="86"/>
      <c r="Q9" s="86"/>
      <c r="R9" s="16"/>
      <c r="S9" s="16"/>
      <c r="T9" s="16"/>
      <c r="U9" s="16"/>
      <c r="V9" s="16"/>
      <c r="W9" s="16"/>
      <c r="X9" s="16"/>
      <c r="Y9" s="16"/>
      <c r="Z9" s="16"/>
      <c r="AA9" s="16"/>
      <c r="AB9" s="16"/>
      <c r="AC9" s="16"/>
      <c r="AD9" s="16"/>
      <c r="AE9" s="16"/>
    </row>
    <row r="10" spans="2:31">
      <c r="C10" s="359" t="s">
        <v>580</v>
      </c>
      <c r="D10" s="359"/>
      <c r="E10" s="210"/>
      <c r="G10" s="50"/>
      <c r="J10" s="16"/>
      <c r="K10" s="16"/>
      <c r="L10" s="16"/>
      <c r="M10" s="86" t="s">
        <v>70</v>
      </c>
      <c r="N10" s="86"/>
      <c r="O10" s="86"/>
      <c r="P10" s="86"/>
      <c r="Q10" s="86"/>
      <c r="R10" s="16"/>
      <c r="S10" s="16"/>
      <c r="T10" s="16"/>
      <c r="U10" s="16"/>
      <c r="V10" s="16"/>
      <c r="W10" s="16"/>
      <c r="X10" s="16"/>
      <c r="Y10" s="16"/>
      <c r="Z10" s="16"/>
      <c r="AA10" s="16"/>
      <c r="AB10" s="16"/>
      <c r="AC10" s="16"/>
      <c r="AD10" s="16"/>
      <c r="AE10" s="16"/>
    </row>
    <row r="11" spans="2:31">
      <c r="D11" s="86" t="s">
        <v>581</v>
      </c>
      <c r="E11" s="86"/>
      <c r="F11" s="86"/>
      <c r="G11" s="50"/>
      <c r="J11" s="16"/>
      <c r="K11" s="16"/>
      <c r="L11" s="16"/>
      <c r="M11" s="63"/>
      <c r="N11" s="63"/>
      <c r="O11" s="63"/>
      <c r="P11" s="63"/>
      <c r="Q11" s="86"/>
      <c r="R11" s="16"/>
      <c r="S11" s="16"/>
      <c r="T11" s="16"/>
      <c r="U11" s="16"/>
      <c r="V11" s="16"/>
      <c r="W11" s="16"/>
      <c r="X11" s="16"/>
      <c r="Y11" s="16"/>
      <c r="Z11" s="16"/>
      <c r="AA11" s="16"/>
      <c r="AB11" s="16"/>
      <c r="AC11" s="16"/>
      <c r="AD11" s="16"/>
      <c r="AE11" s="16"/>
    </row>
    <row r="12" spans="2:31" ht="16" thickBot="1">
      <c r="G12" s="86"/>
      <c r="J12" s="16"/>
      <c r="K12" s="16"/>
      <c r="L12" s="16"/>
      <c r="M12" s="67" t="s">
        <v>73</v>
      </c>
      <c r="N12" s="67"/>
      <c r="O12" s="63"/>
      <c r="P12" s="63"/>
      <c r="Q12" s="16"/>
      <c r="R12" s="16"/>
      <c r="S12" s="16"/>
      <c r="T12" s="16"/>
      <c r="U12" s="16"/>
      <c r="V12" s="16"/>
      <c r="W12" s="16"/>
      <c r="X12" s="16"/>
      <c r="Y12" s="16"/>
      <c r="Z12" s="16"/>
      <c r="AA12" s="16"/>
      <c r="AB12" s="16"/>
      <c r="AC12" s="16"/>
      <c r="AD12" s="16"/>
      <c r="AE12" s="16"/>
    </row>
    <row r="13" spans="2:31">
      <c r="C13" s="359" t="s">
        <v>582</v>
      </c>
      <c r="D13" s="359"/>
      <c r="E13" s="210"/>
      <c r="G13" s="50"/>
      <c r="J13" s="16"/>
      <c r="K13" s="16"/>
      <c r="L13" s="16"/>
      <c r="M13" s="86" t="s">
        <v>618</v>
      </c>
      <c r="N13" s="86"/>
      <c r="O13" s="149"/>
      <c r="P13" s="63"/>
      <c r="Q13" s="16"/>
      <c r="R13" s="16"/>
      <c r="S13" s="16"/>
      <c r="T13" s="16"/>
      <c r="U13" s="16"/>
      <c r="V13" s="16"/>
      <c r="W13" s="16"/>
      <c r="X13" s="16"/>
      <c r="Y13" s="16"/>
      <c r="Z13" s="16"/>
      <c r="AA13" s="16"/>
      <c r="AB13" s="16"/>
      <c r="AC13" s="16"/>
      <c r="AD13" s="16"/>
      <c r="AE13" s="16"/>
    </row>
    <row r="14" spans="2:31">
      <c r="D14" s="86" t="s">
        <v>583</v>
      </c>
      <c r="E14" s="86"/>
      <c r="F14" s="86"/>
      <c r="G14" s="50"/>
      <c r="J14" s="16"/>
      <c r="K14" s="16"/>
      <c r="L14" s="16"/>
      <c r="M14" s="86" t="s">
        <v>1068</v>
      </c>
      <c r="N14" s="86"/>
      <c r="O14" s="86"/>
      <c r="P14" s="86"/>
      <c r="Q14" s="16"/>
      <c r="R14" s="16"/>
      <c r="S14" s="16"/>
      <c r="T14" s="16"/>
      <c r="U14" s="16"/>
      <c r="V14" s="16"/>
      <c r="W14" s="16"/>
      <c r="X14" s="16"/>
      <c r="Y14" s="16"/>
      <c r="Z14" s="16"/>
      <c r="AA14" s="16"/>
      <c r="AB14" s="16"/>
      <c r="AC14" s="16"/>
      <c r="AD14" s="16"/>
      <c r="AE14" s="16"/>
    </row>
    <row r="15" spans="2:31">
      <c r="G15" s="86"/>
      <c r="H15" s="86"/>
      <c r="J15" s="16"/>
      <c r="K15" s="16"/>
      <c r="L15" s="16"/>
      <c r="M15" s="86" t="s">
        <v>70</v>
      </c>
      <c r="N15" s="63"/>
      <c r="O15" s="63"/>
      <c r="P15" s="63"/>
      <c r="Q15" s="86"/>
      <c r="R15" s="16"/>
      <c r="S15" s="16"/>
      <c r="T15" s="16"/>
      <c r="U15" s="16"/>
      <c r="V15" s="16"/>
      <c r="W15" s="16"/>
      <c r="X15" s="16"/>
      <c r="Y15" s="16"/>
      <c r="Z15" s="16"/>
      <c r="AA15" s="16"/>
      <c r="AB15" s="16"/>
      <c r="AC15" s="16"/>
      <c r="AD15" s="16"/>
      <c r="AE15" s="16"/>
    </row>
    <row r="16" spans="2:31">
      <c r="C16" s="359" t="s">
        <v>584</v>
      </c>
      <c r="D16" s="359"/>
      <c r="E16" s="210"/>
      <c r="G16" s="50"/>
      <c r="J16" s="16"/>
      <c r="K16" s="16"/>
      <c r="L16" s="16"/>
      <c r="Q16" s="16"/>
      <c r="R16" s="16"/>
      <c r="S16" s="16"/>
      <c r="T16" s="16"/>
      <c r="U16" s="16"/>
      <c r="V16" s="16"/>
      <c r="W16" s="16"/>
      <c r="X16" s="16"/>
      <c r="Y16" s="16"/>
      <c r="Z16" s="16"/>
      <c r="AA16" s="16"/>
      <c r="AB16" s="16"/>
      <c r="AC16" s="16"/>
      <c r="AD16" s="16"/>
      <c r="AE16" s="16"/>
    </row>
    <row r="17" spans="3:31" ht="16" thickBot="1">
      <c r="D17" s="86" t="s">
        <v>585</v>
      </c>
      <c r="E17" s="86"/>
      <c r="F17" s="86"/>
      <c r="G17" s="50"/>
      <c r="J17" s="16"/>
      <c r="K17" s="16"/>
      <c r="L17" s="16"/>
      <c r="M17" s="67" t="s">
        <v>620</v>
      </c>
      <c r="N17" s="67"/>
      <c r="O17" s="63"/>
      <c r="P17" s="63"/>
      <c r="S17" s="16"/>
      <c r="T17" s="16"/>
      <c r="U17" s="16"/>
      <c r="V17" s="16"/>
      <c r="W17" s="16"/>
      <c r="X17" s="16"/>
      <c r="Y17" s="16"/>
      <c r="Z17" s="16"/>
      <c r="AA17" s="16"/>
      <c r="AB17" s="16"/>
      <c r="AC17" s="16"/>
      <c r="AD17" s="16"/>
      <c r="AE17" s="16"/>
    </row>
    <row r="18" spans="3:31">
      <c r="D18" s="86" t="s">
        <v>846</v>
      </c>
      <c r="G18" s="86"/>
      <c r="J18" s="16"/>
      <c r="K18" s="16"/>
      <c r="L18" s="16"/>
      <c r="M18" s="86" t="s">
        <v>588</v>
      </c>
      <c r="N18" s="86"/>
      <c r="O18" s="149"/>
      <c r="Q18" s="16"/>
      <c r="R18" s="16"/>
      <c r="S18" s="16"/>
      <c r="W18" s="63"/>
      <c r="X18" s="16"/>
      <c r="Y18" s="16"/>
      <c r="Z18" s="16"/>
      <c r="AA18" s="16"/>
      <c r="AB18" s="16"/>
      <c r="AC18" s="16"/>
      <c r="AD18" s="16"/>
      <c r="AE18" s="16"/>
    </row>
    <row r="19" spans="3:31">
      <c r="G19" s="50"/>
      <c r="J19" s="16"/>
      <c r="K19" s="16"/>
      <c r="L19" s="16"/>
      <c r="M19" s="86" t="s">
        <v>621</v>
      </c>
      <c r="O19" s="86"/>
      <c r="P19" s="63"/>
      <c r="Q19" s="16"/>
      <c r="R19" s="16"/>
      <c r="S19" s="16"/>
      <c r="W19" s="63"/>
      <c r="X19" s="16"/>
      <c r="Y19" s="16"/>
      <c r="Z19" s="16"/>
      <c r="AA19" s="16"/>
      <c r="AB19" s="16"/>
      <c r="AC19" s="16"/>
      <c r="AD19" s="16"/>
      <c r="AE19" s="16"/>
    </row>
    <row r="20" spans="3:31" ht="16" thickBot="1">
      <c r="C20" s="67" t="s">
        <v>587</v>
      </c>
      <c r="D20" s="67"/>
      <c r="E20" s="67"/>
      <c r="G20" s="50"/>
      <c r="J20" s="16"/>
      <c r="K20" s="16"/>
      <c r="L20" s="16"/>
      <c r="M20" s="86" t="s">
        <v>67</v>
      </c>
      <c r="N20" s="86"/>
      <c r="O20" s="86"/>
      <c r="P20" s="16"/>
      <c r="Q20" s="16"/>
      <c r="R20" s="16"/>
      <c r="S20" s="16"/>
      <c r="W20" s="86"/>
      <c r="X20" s="16"/>
      <c r="Y20" s="16"/>
      <c r="Z20" s="16"/>
      <c r="AA20" s="16"/>
      <c r="AB20" s="16"/>
      <c r="AC20" s="16"/>
      <c r="AD20" s="16"/>
      <c r="AE20" s="16"/>
    </row>
    <row r="21" spans="3:31">
      <c r="F21" s="150"/>
      <c r="G21" s="50"/>
      <c r="L21" s="16"/>
      <c r="Q21" s="16"/>
      <c r="R21" s="16"/>
      <c r="S21" s="16"/>
      <c r="W21" s="63"/>
      <c r="X21" s="16"/>
      <c r="Y21" s="16"/>
      <c r="Z21" s="16"/>
      <c r="AA21" s="16"/>
      <c r="AB21" s="16"/>
      <c r="AC21" s="16"/>
      <c r="AD21" s="16"/>
      <c r="AE21" s="16"/>
    </row>
    <row r="22" spans="3:31" ht="16" thickBot="1">
      <c r="C22" s="86" t="s">
        <v>1065</v>
      </c>
      <c r="D22" s="150"/>
      <c r="F22" s="150"/>
      <c r="G22" s="150"/>
      <c r="H22" s="150"/>
      <c r="J22" s="16"/>
      <c r="K22" s="16"/>
      <c r="L22" s="16"/>
      <c r="M22" s="67" t="s">
        <v>1054</v>
      </c>
      <c r="N22" s="67"/>
      <c r="O22" s="63"/>
      <c r="Q22" s="16"/>
      <c r="R22" s="16"/>
      <c r="S22" s="16"/>
      <c r="W22" s="63"/>
      <c r="X22" s="16"/>
      <c r="Y22" s="16"/>
      <c r="Z22" s="16"/>
      <c r="AA22" s="16"/>
      <c r="AB22" s="16"/>
      <c r="AC22" s="16"/>
      <c r="AD22" s="16"/>
      <c r="AE22" s="16"/>
    </row>
    <row r="23" spans="3:31">
      <c r="C23" s="86" t="s">
        <v>1056</v>
      </c>
      <c r="D23" s="150"/>
      <c r="G23" s="50"/>
      <c r="J23" s="16"/>
      <c r="K23" s="16"/>
      <c r="L23" s="16"/>
      <c r="M23" s="86" t="s">
        <v>1055</v>
      </c>
      <c r="N23" s="86"/>
      <c r="O23" s="149"/>
      <c r="Q23" s="16"/>
      <c r="R23" s="16"/>
      <c r="S23" s="16"/>
      <c r="W23" s="63"/>
      <c r="X23" s="16"/>
      <c r="Y23" s="16"/>
      <c r="Z23" s="16"/>
      <c r="AA23" s="16"/>
      <c r="AB23" s="16"/>
      <c r="AC23" s="16"/>
      <c r="AD23" s="16"/>
      <c r="AE23" s="16"/>
    </row>
    <row r="24" spans="3:31">
      <c r="D24" s="86" t="s">
        <v>1061</v>
      </c>
      <c r="F24" s="150"/>
      <c r="G24" s="50"/>
      <c r="J24" s="16"/>
      <c r="K24" s="16"/>
      <c r="L24" s="16"/>
      <c r="M24" s="86"/>
      <c r="N24" s="86"/>
      <c r="O24" s="86"/>
      <c r="P24" s="86"/>
      <c r="Q24" s="86"/>
      <c r="R24" s="16"/>
      <c r="S24" s="16"/>
      <c r="W24" s="86"/>
      <c r="X24" s="16"/>
      <c r="Y24" s="16"/>
      <c r="Z24" s="16"/>
      <c r="AA24" s="16"/>
      <c r="AB24" s="16"/>
      <c r="AC24" s="16"/>
      <c r="AD24" s="16"/>
      <c r="AE24" s="16"/>
    </row>
    <row r="25" spans="3:31" ht="16" thickBot="1">
      <c r="C25" s="86" t="s">
        <v>1058</v>
      </c>
      <c r="D25" s="150"/>
      <c r="F25" s="150"/>
      <c r="G25" s="150"/>
      <c r="H25" s="150"/>
      <c r="I25" s="150"/>
      <c r="J25" s="150"/>
      <c r="K25" s="16"/>
      <c r="L25" s="16"/>
      <c r="M25" s="67" t="s">
        <v>1174</v>
      </c>
      <c r="N25" s="67"/>
      <c r="O25" s="63"/>
      <c r="Q25" s="86"/>
      <c r="R25" s="16"/>
      <c r="S25" s="16"/>
      <c r="W25" s="16"/>
      <c r="X25" s="16"/>
      <c r="Y25" s="16"/>
      <c r="Z25" s="16"/>
      <c r="AA25" s="16"/>
      <c r="AB25" s="16"/>
      <c r="AC25" s="16"/>
      <c r="AD25" s="16"/>
      <c r="AE25" s="16"/>
    </row>
    <row r="26" spans="3:31">
      <c r="C26" s="86" t="s">
        <v>1057</v>
      </c>
      <c r="D26" s="150"/>
      <c r="G26" s="150"/>
      <c r="H26" s="150"/>
      <c r="I26" s="150"/>
      <c r="J26" s="16"/>
      <c r="K26" s="16"/>
      <c r="L26" s="16"/>
      <c r="M26" s="86" t="s">
        <v>1175</v>
      </c>
      <c r="N26" s="86"/>
      <c r="O26" s="149"/>
      <c r="S26" s="16"/>
      <c r="W26" s="16"/>
      <c r="X26" s="16"/>
      <c r="Y26" s="16"/>
      <c r="Z26" s="16"/>
      <c r="AA26" s="16"/>
      <c r="AB26" s="16"/>
      <c r="AC26" s="16"/>
      <c r="AD26" s="16"/>
      <c r="AE26" s="16"/>
    </row>
    <row r="27" spans="3:31">
      <c r="D27" s="86" t="s">
        <v>1062</v>
      </c>
      <c r="F27" s="150"/>
      <c r="G27" s="50"/>
      <c r="J27" s="16"/>
      <c r="K27" s="16"/>
      <c r="L27" s="16"/>
      <c r="M27" s="86" t="s">
        <v>1176</v>
      </c>
      <c r="N27" s="86"/>
      <c r="O27" s="86"/>
      <c r="S27" s="16"/>
      <c r="W27" s="16"/>
      <c r="X27" s="16"/>
      <c r="Y27" s="16"/>
      <c r="Z27" s="16"/>
      <c r="AA27" s="16"/>
      <c r="AB27" s="16"/>
      <c r="AC27" s="16"/>
      <c r="AD27" s="16"/>
      <c r="AE27" s="16"/>
    </row>
    <row r="28" spans="3:31">
      <c r="D28" s="150"/>
      <c r="F28" s="150"/>
      <c r="G28" s="150"/>
      <c r="H28" s="150"/>
      <c r="J28" s="16"/>
      <c r="K28" s="16"/>
      <c r="L28" s="16"/>
      <c r="M28" s="63"/>
      <c r="N28" s="63"/>
      <c r="O28" s="63"/>
      <c r="S28" s="16"/>
      <c r="W28" s="16"/>
      <c r="X28" s="16"/>
      <c r="Y28" s="16"/>
      <c r="Z28" s="16"/>
      <c r="AA28" s="16"/>
      <c r="AB28" s="16"/>
      <c r="AC28" s="16"/>
      <c r="AD28" s="16"/>
      <c r="AE28" s="16"/>
    </row>
    <row r="29" spans="3:31" ht="16" thickBot="1">
      <c r="C29" s="86" t="s">
        <v>1071</v>
      </c>
      <c r="D29" s="150"/>
      <c r="F29" s="150"/>
      <c r="G29" s="50"/>
      <c r="J29" s="16"/>
      <c r="K29" s="16"/>
      <c r="L29" s="16"/>
      <c r="M29" s="67" t="s">
        <v>1179</v>
      </c>
      <c r="N29" s="67"/>
      <c r="O29" s="65"/>
      <c r="P29" s="16"/>
      <c r="S29" s="16"/>
      <c r="W29" s="16"/>
      <c r="X29" s="16"/>
      <c r="Y29" s="16"/>
      <c r="Z29" s="16"/>
      <c r="AA29" s="16"/>
      <c r="AB29" s="16"/>
      <c r="AC29" s="16"/>
      <c r="AD29" s="16"/>
      <c r="AE29" s="16"/>
    </row>
    <row r="30" spans="3:31">
      <c r="D30" s="86" t="s">
        <v>1063</v>
      </c>
      <c r="G30" s="150"/>
      <c r="H30" s="150"/>
      <c r="J30" s="16"/>
      <c r="K30" s="16"/>
      <c r="L30" s="16"/>
      <c r="M30" s="86" t="s">
        <v>1180</v>
      </c>
      <c r="P30" s="16"/>
      <c r="Q30" s="16"/>
      <c r="R30" s="16"/>
      <c r="S30" s="16"/>
      <c r="W30" s="16"/>
      <c r="X30" s="16"/>
      <c r="Y30" s="16"/>
      <c r="Z30" s="16"/>
      <c r="AA30" s="16"/>
      <c r="AB30" s="16"/>
      <c r="AC30" s="16"/>
      <c r="AD30" s="16"/>
      <c r="AE30" s="16"/>
    </row>
    <row r="31" spans="3:31">
      <c r="D31" s="86" t="s">
        <v>1064</v>
      </c>
      <c r="F31" s="150"/>
      <c r="G31" s="50"/>
      <c r="J31" s="16"/>
      <c r="K31" s="16"/>
      <c r="L31" s="16"/>
      <c r="P31" s="16"/>
      <c r="Q31" s="16"/>
      <c r="R31" s="16"/>
      <c r="S31" s="16"/>
      <c r="T31" s="16"/>
      <c r="U31" s="16"/>
      <c r="V31" s="16"/>
      <c r="W31" s="16"/>
      <c r="X31" s="16"/>
      <c r="Y31" s="16"/>
      <c r="Z31" s="16"/>
      <c r="AA31" s="16"/>
      <c r="AB31" s="16"/>
      <c r="AC31" s="16"/>
      <c r="AD31" s="16"/>
      <c r="AE31" s="16"/>
    </row>
    <row r="32" spans="3:31" ht="16" thickBot="1">
      <c r="D32" s="86" t="s">
        <v>1060</v>
      </c>
      <c r="F32" s="150"/>
      <c r="G32" s="150"/>
      <c r="H32" s="150"/>
      <c r="J32" s="16"/>
      <c r="K32" s="16"/>
      <c r="L32" s="16"/>
      <c r="M32" s="67" t="s">
        <v>74</v>
      </c>
      <c r="N32" s="67"/>
      <c r="O32" s="63"/>
      <c r="P32" s="16"/>
      <c r="Q32" s="16"/>
      <c r="R32" s="16"/>
      <c r="S32" s="16"/>
      <c r="T32" s="16"/>
      <c r="U32" s="16"/>
      <c r="V32" s="16"/>
      <c r="W32" s="16"/>
      <c r="X32" s="16"/>
      <c r="Y32" s="16"/>
      <c r="Z32" s="16"/>
      <c r="AA32" s="16"/>
      <c r="AB32" s="16"/>
      <c r="AC32" s="16"/>
      <c r="AD32" s="16"/>
      <c r="AE32" s="16"/>
    </row>
    <row r="33" spans="1:31">
      <c r="C33" s="86"/>
      <c r="D33" s="86"/>
      <c r="E33" s="150"/>
      <c r="F33" s="150"/>
      <c r="G33" s="150"/>
      <c r="H33" s="150"/>
      <c r="J33" s="16"/>
      <c r="K33" s="16"/>
      <c r="L33" s="16"/>
      <c r="M33" s="86" t="s">
        <v>586</v>
      </c>
      <c r="N33" s="86"/>
      <c r="O33" s="149"/>
      <c r="P33" s="16"/>
      <c r="Q33" s="16"/>
      <c r="R33" s="16"/>
      <c r="S33" s="16"/>
      <c r="T33" s="16"/>
      <c r="U33" s="16"/>
      <c r="V33" s="16"/>
      <c r="W33" s="16"/>
      <c r="X33" s="16"/>
      <c r="Y33" s="16"/>
      <c r="Z33" s="16"/>
      <c r="AA33" s="16"/>
      <c r="AB33" s="16"/>
      <c r="AC33" s="16"/>
      <c r="AD33" s="16"/>
      <c r="AE33" s="16"/>
    </row>
    <row r="34" spans="1:31">
      <c r="C34" s="86" t="s">
        <v>1070</v>
      </c>
      <c r="F34" s="150"/>
      <c r="G34" s="150"/>
      <c r="H34" s="150"/>
      <c r="J34" s="16"/>
      <c r="K34" s="16"/>
      <c r="L34" s="16"/>
      <c r="M34" s="86" t="s">
        <v>75</v>
      </c>
      <c r="N34" s="86"/>
      <c r="O34" s="86"/>
      <c r="P34" s="16"/>
      <c r="Q34" s="16"/>
      <c r="R34" s="16"/>
      <c r="S34" s="16"/>
      <c r="T34" s="16"/>
      <c r="U34" s="16"/>
      <c r="V34" s="16"/>
      <c r="W34" s="16"/>
      <c r="X34" s="16"/>
      <c r="Y34" s="16"/>
      <c r="Z34" s="16"/>
      <c r="AA34" s="16"/>
      <c r="AB34" s="16"/>
      <c r="AC34" s="16"/>
      <c r="AD34" s="16"/>
      <c r="AE34" s="16"/>
    </row>
    <row r="35" spans="1:31">
      <c r="G35" s="150"/>
      <c r="H35" s="150"/>
      <c r="I35" s="150"/>
      <c r="J35" s="150"/>
      <c r="K35" s="150"/>
      <c r="P35" s="16"/>
      <c r="Q35" s="16"/>
      <c r="R35" s="16"/>
      <c r="S35" s="16"/>
      <c r="T35" s="16"/>
      <c r="U35" s="16"/>
      <c r="V35" s="16"/>
      <c r="W35" s="16"/>
      <c r="X35" s="16"/>
      <c r="Y35" s="16"/>
      <c r="Z35" s="16"/>
      <c r="AA35" s="16"/>
      <c r="AB35" s="16"/>
      <c r="AC35" s="16"/>
      <c r="AD35" s="16"/>
      <c r="AE35" s="16"/>
    </row>
    <row r="36" spans="1:31" ht="16" thickBot="1">
      <c r="C36" s="86"/>
      <c r="G36" s="50"/>
      <c r="J36" s="16"/>
      <c r="K36" s="16"/>
      <c r="L36" s="16"/>
      <c r="M36" s="64" t="s">
        <v>167</v>
      </c>
      <c r="N36" s="66"/>
      <c r="O36" s="65"/>
      <c r="P36" s="16"/>
      <c r="Q36" s="16"/>
      <c r="R36" s="16"/>
      <c r="S36" s="16"/>
      <c r="T36" s="16"/>
      <c r="U36" s="16"/>
      <c r="V36" s="16"/>
      <c r="W36" s="16"/>
      <c r="X36" s="16"/>
      <c r="Y36" s="16"/>
      <c r="Z36" s="16"/>
      <c r="AA36" s="16"/>
      <c r="AB36" s="16"/>
      <c r="AC36" s="16"/>
      <c r="AD36" s="16"/>
      <c r="AE36" s="16"/>
    </row>
    <row r="37" spans="1:31">
      <c r="M37" s="4" t="s">
        <v>168</v>
      </c>
      <c r="O37" s="16"/>
      <c r="P37" s="16"/>
      <c r="Q37" s="16"/>
      <c r="R37" s="16"/>
      <c r="S37" s="16"/>
      <c r="T37" s="16"/>
      <c r="U37" s="16"/>
      <c r="V37" s="16"/>
      <c r="W37" s="16"/>
      <c r="X37" s="16"/>
      <c r="Y37" s="16"/>
      <c r="Z37" s="16"/>
      <c r="AA37" s="16"/>
      <c r="AB37" s="16"/>
      <c r="AC37" s="16"/>
      <c r="AD37" s="16"/>
      <c r="AE37" s="16"/>
    </row>
    <row r="38" spans="1:31" ht="16" thickBot="1">
      <c r="C38" s="67" t="s">
        <v>589</v>
      </c>
      <c r="D38" s="67"/>
      <c r="E38" s="65"/>
      <c r="G38" s="50"/>
      <c r="J38" s="16"/>
      <c r="K38" s="16"/>
      <c r="L38" s="16"/>
      <c r="M38" s="4" t="s">
        <v>1177</v>
      </c>
      <c r="O38" s="16"/>
      <c r="Q38" s="16"/>
      <c r="R38" s="16"/>
      <c r="S38" s="16"/>
      <c r="T38" s="16"/>
      <c r="U38" s="16"/>
      <c r="V38" s="16"/>
      <c r="W38" s="16"/>
      <c r="X38" s="16"/>
      <c r="Y38" s="16"/>
      <c r="Z38" s="16"/>
      <c r="AA38" s="16"/>
      <c r="AB38" s="16"/>
      <c r="AC38" s="16"/>
      <c r="AD38" s="16"/>
      <c r="AE38" s="16"/>
    </row>
    <row r="39" spans="1:31">
      <c r="C39" s="86"/>
      <c r="G39" s="50"/>
      <c r="J39" s="16"/>
      <c r="K39" s="16"/>
      <c r="L39" s="16"/>
      <c r="M39" s="4" t="s">
        <v>1178</v>
      </c>
      <c r="O39" s="16"/>
      <c r="P39" s="86"/>
      <c r="Q39" s="86"/>
      <c r="R39" s="16"/>
      <c r="S39" s="16"/>
      <c r="T39" s="16"/>
      <c r="U39" s="16"/>
      <c r="V39" s="16"/>
      <c r="W39" s="16"/>
      <c r="X39" s="16"/>
      <c r="Y39" s="16"/>
      <c r="Z39" s="16"/>
      <c r="AA39" s="16"/>
      <c r="AB39" s="16"/>
      <c r="AC39" s="16"/>
      <c r="AD39" s="16"/>
      <c r="AE39" s="16"/>
    </row>
    <row r="40" spans="1:31">
      <c r="C40" s="86"/>
      <c r="D40" s="86" t="s">
        <v>800</v>
      </c>
      <c r="E40" s="86"/>
      <c r="F40" s="86"/>
      <c r="G40" s="86"/>
      <c r="H40" s="86"/>
      <c r="I40" s="86"/>
      <c r="J40" s="86"/>
      <c r="K40" s="86"/>
      <c r="L40" s="86"/>
      <c r="O40" s="86"/>
      <c r="P40" s="86"/>
      <c r="Q40" s="86"/>
      <c r="R40" s="16"/>
      <c r="S40" s="16"/>
      <c r="T40" s="16"/>
      <c r="U40" s="16"/>
      <c r="V40" s="16"/>
      <c r="W40" s="16"/>
      <c r="X40" s="16"/>
      <c r="Y40" s="16"/>
      <c r="Z40" s="16"/>
      <c r="AA40" s="16"/>
      <c r="AB40" s="16"/>
      <c r="AC40" s="16"/>
      <c r="AD40" s="16"/>
      <c r="AE40" s="16"/>
    </row>
    <row r="41" spans="1:31">
      <c r="C41" s="86"/>
      <c r="D41" s="86" t="s">
        <v>591</v>
      </c>
      <c r="E41" s="86"/>
      <c r="F41" s="86"/>
      <c r="G41" s="86"/>
      <c r="H41" s="86"/>
      <c r="I41" s="86"/>
      <c r="J41" s="86"/>
      <c r="K41" s="16"/>
      <c r="L41" s="16"/>
      <c r="M41" s="86" t="s">
        <v>590</v>
      </c>
      <c r="O41" s="86"/>
      <c r="P41" s="86"/>
      <c r="Q41" s="86"/>
      <c r="R41" s="16"/>
      <c r="S41" s="16"/>
      <c r="T41" s="16"/>
      <c r="U41" s="16"/>
      <c r="V41" s="16"/>
      <c r="W41" s="16"/>
      <c r="X41" s="16"/>
      <c r="Y41" s="16"/>
      <c r="Z41" s="16"/>
      <c r="AA41" s="16"/>
      <c r="AB41" s="16"/>
      <c r="AC41" s="16"/>
      <c r="AD41" s="16"/>
      <c r="AE41" s="16"/>
    </row>
    <row r="42" spans="1:31">
      <c r="C42" s="86"/>
      <c r="D42" s="86" t="s">
        <v>1072</v>
      </c>
      <c r="E42" s="86"/>
      <c r="F42" s="86"/>
      <c r="G42" s="86"/>
      <c r="H42" s="86"/>
      <c r="I42" s="86"/>
      <c r="J42" s="86"/>
      <c r="K42" s="86"/>
      <c r="L42" s="16"/>
      <c r="M42" s="86" t="s">
        <v>592</v>
      </c>
      <c r="O42" s="86"/>
      <c r="P42" s="86"/>
      <c r="Q42" s="86"/>
      <c r="R42" s="16"/>
      <c r="S42" s="16"/>
      <c r="T42" s="16"/>
      <c r="U42" s="16"/>
      <c r="V42" s="16"/>
      <c r="W42" s="16"/>
      <c r="X42" s="16"/>
      <c r="Y42" s="16"/>
      <c r="Z42" s="16"/>
      <c r="AA42" s="16"/>
      <c r="AB42" s="16"/>
      <c r="AC42" s="16"/>
      <c r="AD42" s="16"/>
      <c r="AE42" s="16"/>
    </row>
    <row r="43" spans="1:31">
      <c r="D43" s="86" t="s">
        <v>593</v>
      </c>
      <c r="E43" s="86"/>
      <c r="F43" s="86"/>
      <c r="G43" s="86"/>
      <c r="H43" s="86"/>
      <c r="I43" s="86"/>
      <c r="J43" s="86"/>
      <c r="K43" s="86"/>
      <c r="L43" s="16"/>
      <c r="M43" s="86" t="s">
        <v>594</v>
      </c>
      <c r="O43" s="86"/>
      <c r="P43" s="86"/>
      <c r="Q43" s="86"/>
      <c r="R43" s="16"/>
      <c r="S43" s="16"/>
      <c r="T43" s="16"/>
      <c r="U43" s="16"/>
      <c r="V43" s="16"/>
      <c r="W43" s="16"/>
      <c r="X43" s="16"/>
      <c r="Y43" s="16"/>
      <c r="Z43" s="16"/>
      <c r="AA43" s="16"/>
      <c r="AB43" s="16"/>
      <c r="AC43" s="16"/>
      <c r="AD43" s="16"/>
      <c r="AE43" s="16"/>
    </row>
    <row r="44" spans="1:31">
      <c r="C44" s="16"/>
      <c r="D44" s="86" t="s">
        <v>595</v>
      </c>
      <c r="E44" s="86"/>
      <c r="F44" s="86"/>
      <c r="G44" s="86"/>
      <c r="H44" s="86"/>
      <c r="J44" s="16"/>
      <c r="K44" s="16"/>
      <c r="L44" s="16"/>
      <c r="M44" s="86" t="s">
        <v>596</v>
      </c>
      <c r="N44" s="16"/>
      <c r="O44" s="16"/>
      <c r="P44" s="16"/>
      <c r="Q44" s="16"/>
      <c r="R44" s="16"/>
      <c r="S44" s="16"/>
      <c r="T44" s="16"/>
      <c r="U44" s="16"/>
      <c r="V44" s="16"/>
      <c r="W44" s="16"/>
      <c r="X44" s="16"/>
      <c r="Y44" s="16"/>
      <c r="Z44" s="16"/>
      <c r="AA44" s="16"/>
      <c r="AB44" s="16"/>
      <c r="AC44" s="16"/>
      <c r="AD44" s="16"/>
      <c r="AE44" s="16"/>
    </row>
    <row r="45" spans="1:31">
      <c r="D45" s="86"/>
      <c r="E45" s="16"/>
      <c r="F45" s="16"/>
      <c r="G45" s="16"/>
      <c r="H45" s="16"/>
      <c r="I45" s="16"/>
      <c r="J45" s="16"/>
      <c r="K45" s="16"/>
      <c r="L45" s="16"/>
      <c r="M45" s="86" t="s">
        <v>597</v>
      </c>
      <c r="N45" s="16"/>
      <c r="O45" s="16"/>
      <c r="P45" s="16"/>
      <c r="Q45" s="16"/>
      <c r="R45" s="16"/>
      <c r="S45" s="16"/>
      <c r="T45" s="16"/>
      <c r="U45" s="16"/>
      <c r="V45" s="16"/>
      <c r="W45" s="16"/>
      <c r="X45" s="16"/>
      <c r="Y45" s="16"/>
      <c r="Z45" s="16"/>
      <c r="AA45" s="16"/>
      <c r="AB45" s="16"/>
      <c r="AC45" s="16"/>
      <c r="AD45" s="16"/>
      <c r="AE45" s="16"/>
    </row>
    <row r="46" spans="1:31">
      <c r="B46" s="70"/>
      <c r="D46" s="69" t="str">
        <f>IF(B46="u","rrDM_RR","")</f>
        <v/>
      </c>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row>
    <row r="47" spans="1:31" ht="18" customHeight="1" thickBot="1">
      <c r="A47" s="4"/>
      <c r="B47" s="16"/>
      <c r="C47" s="64" t="s">
        <v>598</v>
      </c>
      <c r="D47" s="114"/>
      <c r="E47" s="153">
        <f ca="1">C51+E51+G51+I51+K51+M51+O51+Q51+S51</f>
        <v>348</v>
      </c>
      <c r="F47" s="16"/>
      <c r="G47" s="156" t="s">
        <v>625</v>
      </c>
      <c r="H47" s="16"/>
      <c r="I47" s="16"/>
      <c r="J47" s="16"/>
      <c r="K47" s="16"/>
      <c r="L47" s="16"/>
      <c r="M47" s="16"/>
      <c r="N47" s="16"/>
      <c r="O47" s="16"/>
      <c r="P47" s="16"/>
      <c r="Q47" s="16"/>
      <c r="R47" s="16"/>
      <c r="S47" s="16"/>
      <c r="T47" s="16"/>
      <c r="U47" s="16"/>
      <c r="V47" s="16"/>
      <c r="W47" s="16"/>
      <c r="X47" s="16"/>
      <c r="Y47" s="16"/>
      <c r="Z47" s="16"/>
      <c r="AA47" s="16"/>
      <c r="AB47" s="16"/>
      <c r="AC47" s="16"/>
      <c r="AD47" s="16"/>
      <c r="AE47" s="16"/>
    </row>
    <row r="48" spans="1:31">
      <c r="A48" s="4"/>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row>
    <row r="49" spans="1:20" ht="16" thickBot="1">
      <c r="A49" s="4"/>
      <c r="B49" s="50"/>
      <c r="D49" s="152" t="s">
        <v>599</v>
      </c>
      <c r="E49" s="68"/>
      <c r="F49" s="152" t="s">
        <v>600</v>
      </c>
      <c r="G49" s="50"/>
      <c r="H49" s="152" t="s">
        <v>601</v>
      </c>
      <c r="J49" s="152" t="s">
        <v>602</v>
      </c>
      <c r="L49" s="152" t="s">
        <v>603</v>
      </c>
      <c r="N49" s="152" t="s">
        <v>604</v>
      </c>
      <c r="P49" s="152" t="s">
        <v>605</v>
      </c>
      <c r="R49" s="152" t="s">
        <v>606</v>
      </c>
      <c r="T49" s="152" t="s">
        <v>607</v>
      </c>
    </row>
    <row r="50" spans="1:20" ht="15" customHeight="1">
      <c r="A50" s="4"/>
      <c r="B50" s="50"/>
      <c r="C50" s="50"/>
      <c r="D50" s="124" t="s">
        <v>608</v>
      </c>
      <c r="E50" s="50"/>
      <c r="F50" s="124" t="s">
        <v>609</v>
      </c>
      <c r="G50" s="50"/>
      <c r="H50" s="124" t="s">
        <v>610</v>
      </c>
      <c r="J50" s="124" t="s">
        <v>611</v>
      </c>
      <c r="L50" s="124" t="s">
        <v>1173</v>
      </c>
      <c r="N50" s="124" t="s">
        <v>612</v>
      </c>
      <c r="P50" s="124" t="s">
        <v>613</v>
      </c>
      <c r="R50" s="124" t="s">
        <v>614</v>
      </c>
      <c r="T50" s="124" t="s">
        <v>615</v>
      </c>
    </row>
    <row r="51" spans="1:20" ht="15" customHeight="1">
      <c r="A51" s="4"/>
      <c r="B51" s="50"/>
      <c r="C51" s="50">
        <f ca="1">'S2'!BD9</f>
        <v>24</v>
      </c>
      <c r="D51" s="5" t="str">
        <f ca="1">IF(C51=0,"",CONCATENATE(VLOOKUP(C51,INDIRECT(D$50),2,FALSE),"_",IF(VLOOKUP(C51,INDIRECT(D$50),8,FALSE)&lt;10,"0",""),VLOOKUP(C51,INDIRECT(D$50),8,FALSE),VLOOKUP(C51,INDIRECT(D$50),12,FALSE)))</f>
        <v>040201_03s</v>
      </c>
      <c r="E51" s="151">
        <f ca="1">'S3'!BD9</f>
        <v>35</v>
      </c>
      <c r="F51" s="5" t="str">
        <f ca="1">IF(E51=0,"",CONCATENATE(VLOOKUP(E51,INDIRECT(F$50),2,FALSE),"_",IF(VLOOKUP(E51,INDIRECT(F$50),8,FALSE)&lt;10,"0",""),VLOOKUP(E51,INDIRECT(F$50),8,FALSE),VLOOKUP(E51,INDIRECT(F$50),12,FALSE)))</f>
        <v>060301_05s</v>
      </c>
      <c r="G51" s="151">
        <f ca="1">'S4'!BD9</f>
        <v>58</v>
      </c>
      <c r="H51" s="5" t="str">
        <f ca="1">IF(G51=0,"",CONCATENATE(VLOOKUP(G51,INDIRECT(H$50),2,FALSE),"_",IF(VLOOKUP(G51,INDIRECT(H$50),8,FALSE)&lt;10,"0",""),VLOOKUP(G51,INDIRECT(H$50),8,FALSE),VLOOKUP(G51,INDIRECT(H$50),12,FALSE)))</f>
        <v>080401_07s</v>
      </c>
      <c r="I51" s="50">
        <f ca="1">'S5'!BD9</f>
        <v>61</v>
      </c>
      <c r="J51" s="5" t="str">
        <f ca="1">IF(I51=0,"",CONCATENATE(VLOOKUP(I51,INDIRECT(J$50),2,FALSE),"_",IF(VLOOKUP(I51,INDIRECT(J$50),8,FALSE)&lt;10,"0",""),VLOOKUP(I51,INDIRECT(J$50),8,FALSE),VLOOKUP(I51,INDIRECT(J$50),12,FALSE)))</f>
        <v>100501_09s</v>
      </c>
      <c r="K51" s="50">
        <f ca="1">'S6'!BD9</f>
        <v>61</v>
      </c>
      <c r="L51" s="5" t="str">
        <f ca="1">IF(K51=0,"",CONCATENATE(VLOOKUP(K51,INDIRECT(L$50),2,FALSE),"_",IF(VLOOKUP(K51,INDIRECT(L$50),8,FALSE)&lt;10,"0",""),VLOOKUP(K51,INDIRECT(L$50),8,FALSE),VLOOKUP(K51,INDIRECT(L$50),12,FALSE)))</f>
        <v>120601_11s</v>
      </c>
      <c r="M51" s="50">
        <f ca="1">'S7'!BD9</f>
        <v>28</v>
      </c>
      <c r="N51" s="5" t="str">
        <f ca="1">IF(M51=0,"",CONCATENATE(VLOOKUP(M51,INDIRECT(N$50),2,FALSE),"_",IF(VLOOKUP(M51,INDIRECT(N$50),8,FALSE)&lt;10,"0",""),VLOOKUP(M51,INDIRECT(N$50),8,FALSE),VLOOKUP(M51,INDIRECT(N$50),12,FALSE)))</f>
        <v>140701_13s</v>
      </c>
      <c r="O51" s="50">
        <f ca="1">'S8'!BD9</f>
        <v>37</v>
      </c>
      <c r="P51" s="5" t="str">
        <f ca="1">IF(O51=0,"",CONCATENATE(VLOOKUP(O51,INDIRECT(P$50),2,FALSE),"_",IF(VLOOKUP(O51,INDIRECT(P$50),8,FALSE)&lt;10,"0",""),VLOOKUP(O51,INDIRECT(P$50),8,FALSE),VLOOKUP(O51,INDIRECT(P$50),12,FALSE)))</f>
        <v>160801_15s</v>
      </c>
      <c r="Q51" s="50">
        <f ca="1">'S9'!BD9</f>
        <v>24</v>
      </c>
      <c r="R51" s="5" t="str">
        <f ca="1">IF(Q51=0,"",CONCATENATE(VLOOKUP(Q51,INDIRECT(R$50),2,FALSE),"_",IF(VLOOKUP(Q51,INDIRECT(R$50),8,FALSE)&lt;10,"0",""),VLOOKUP(Q51,INDIRECT(R$50),8,FALSE),VLOOKUP(Q51,INDIRECT(R$50),12,FALSE)))</f>
        <v>180901_17s</v>
      </c>
      <c r="S51" s="50">
        <f ca="1">'S10'!BD9</f>
        <v>20</v>
      </c>
      <c r="T51" s="5" t="str">
        <f ca="1">IF(S51=0,"",CONCATENATE(VLOOKUP(S51,INDIRECT(T$50),2,FALSE),"_",IF(VLOOKUP(S51,INDIRECT(T$50),8,FALSE)&lt;10,"0",""),VLOOKUP(S51,INDIRECT(T$50),8,FALSE),VLOOKUP(S51,INDIRECT(T$50),12,FALSE)))</f>
        <v>201001_19s</v>
      </c>
    </row>
    <row r="52" spans="1:20" ht="15" customHeight="1">
      <c r="A52" s="4"/>
      <c r="B52" s="50"/>
      <c r="C52" s="50">
        <f ca="1">IF(C51=0,0,IF(C51-1=0,0,C51-1))</f>
        <v>23</v>
      </c>
      <c r="D52" s="5" t="str">
        <f t="shared" ref="D52:F110" ca="1" si="0">IF(C52=0,"",CONCATENATE(VLOOKUP(C52,INDIRECT(D$50),2,FALSE),"_",IF(VLOOKUP(C52,INDIRECT(D$50),8,FALSE)&lt;10,"0",""),VLOOKUP(C52,INDIRECT(D$50),8,FALSE),VLOOKUP(C52,INDIRECT(D$50),12,FALSE)))</f>
        <v>050201_05s</v>
      </c>
      <c r="E52" s="50">
        <f ca="1">IF(E51=0,0,IF(E51-1=0,0,E51-1))</f>
        <v>34</v>
      </c>
      <c r="F52" s="5" t="str">
        <f t="shared" ca="1" si="0"/>
        <v>070301_07s</v>
      </c>
      <c r="G52" s="50">
        <f ca="1">IF(G51=0,0,IF(G51-1=0,0,G51-1))</f>
        <v>57</v>
      </c>
      <c r="H52" s="5" t="str">
        <f t="shared" ref="H52" ca="1" si="1">IF(G52=0,"",CONCATENATE(VLOOKUP(G52,INDIRECT(H$50),2,FALSE),"_",IF(VLOOKUP(G52,INDIRECT(H$50),8,FALSE)&lt;10,"0",""),VLOOKUP(G52,INDIRECT(H$50),8,FALSE),VLOOKUP(G52,INDIRECT(H$50),12,FALSE)))</f>
        <v>080402_03s</v>
      </c>
      <c r="I52" s="50">
        <f ca="1">IF(I51=0,0,IF(I51-1=0,0,I51-1))</f>
        <v>60</v>
      </c>
      <c r="J52" s="5" t="str">
        <f t="shared" ref="J52" ca="1" si="2">IF(I52=0,"",CONCATENATE(VLOOKUP(I52,INDIRECT(J$50),2,FALSE),"_",IF(VLOOKUP(I52,INDIRECT(J$50),8,FALSE)&lt;10,"0",""),VLOOKUP(I52,INDIRECT(J$50),8,FALSE),VLOOKUP(I52,INDIRECT(J$50),12,FALSE)))</f>
        <v>100502_05s</v>
      </c>
      <c r="K52" s="50">
        <f ca="1">IF(K51=0,0,IF(K51-1=0,0,K51-1))</f>
        <v>60</v>
      </c>
      <c r="L52" s="5" t="str">
        <f t="shared" ref="L52" ca="1" si="3">IF(K52=0,"",CONCATENATE(VLOOKUP(K52,INDIRECT(L$50),2,FALSE),"_",IF(VLOOKUP(K52,INDIRECT(L$50),8,FALSE)&lt;10,"0",""),VLOOKUP(K52,INDIRECT(L$50),8,FALSE),VLOOKUP(K52,INDIRECT(L$50),12,FALSE)))</f>
        <v>120602_05s</v>
      </c>
      <c r="M52" s="50">
        <f ca="1">IF(M51=0,0,IF(M51-1=0,0,M51-1))</f>
        <v>27</v>
      </c>
      <c r="N52" s="5" t="str">
        <f t="shared" ref="N52" ca="1" si="4">IF(M52=0,"",CONCATENATE(VLOOKUP(M52,INDIRECT(N$50),2,FALSE),"_",IF(VLOOKUP(M52,INDIRECT(N$50),8,FALSE)&lt;10,"0",""),VLOOKUP(M52,INDIRECT(N$50),8,FALSE),VLOOKUP(M52,INDIRECT(N$50),12,FALSE)))</f>
        <v>140702_07s</v>
      </c>
      <c r="O52" s="50">
        <f ca="1">IF(O51=0,0,IF(O51-1=0,0,O51-1))</f>
        <v>36</v>
      </c>
      <c r="P52" s="5" t="str">
        <f t="shared" ref="P52" ca="1" si="5">IF(O52=0,"",CONCATENATE(VLOOKUP(O52,INDIRECT(P$50),2,FALSE),"_",IF(VLOOKUP(O52,INDIRECT(P$50),8,FALSE)&lt;10,"0",""),VLOOKUP(O52,INDIRECT(P$50),8,FALSE),VLOOKUP(O52,INDIRECT(P$50),12,FALSE)))</f>
        <v>160802_07s</v>
      </c>
      <c r="Q52" s="50">
        <f ca="1">IF(Q51=0,0,IF(Q51-1=0,0,Q51-1))</f>
        <v>23</v>
      </c>
      <c r="R52" s="5" t="str">
        <f t="shared" ref="R52" ca="1" si="6">IF(Q52=0,"",CONCATENATE(VLOOKUP(Q52,INDIRECT(R$50),2,FALSE),"_",IF(VLOOKUP(Q52,INDIRECT(R$50),8,FALSE)&lt;10,"0",""),VLOOKUP(Q52,INDIRECT(R$50),8,FALSE),VLOOKUP(Q52,INDIRECT(R$50),12,FALSE)))</f>
        <v>180902_09s</v>
      </c>
      <c r="S52" s="50">
        <f ca="1">IF(S51=0,0,IF(S51-1=0,0,S51-1))</f>
        <v>19</v>
      </c>
      <c r="T52" s="5" t="str">
        <f t="shared" ref="T52" ca="1" si="7">IF(S52=0,"",CONCATENATE(VLOOKUP(S52,INDIRECT(T$50),2,FALSE),"_",IF(VLOOKUP(S52,INDIRECT(T$50),8,FALSE)&lt;10,"0",""),VLOOKUP(S52,INDIRECT(T$50),8,FALSE),VLOOKUP(S52,INDIRECT(T$50),12,FALSE)))</f>
        <v>201002_09s</v>
      </c>
    </row>
    <row r="53" spans="1:20" ht="15" customHeight="1">
      <c r="A53" s="4"/>
      <c r="B53" s="50"/>
      <c r="C53" s="50">
        <f t="shared" ref="C53:C116" ca="1" si="8">IF(C52=0,0,IF(C52-1=0,0,C52-1))</f>
        <v>22</v>
      </c>
      <c r="D53" s="5" t="str">
        <f t="shared" ca="1" si="0"/>
        <v>060201_10e</v>
      </c>
      <c r="E53" s="50">
        <f t="shared" ref="E53:E116" ca="1" si="9">IF(E52=0,0,IF(E52-1=0,0,E52-1))</f>
        <v>33</v>
      </c>
      <c r="F53" s="5" t="str">
        <f t="shared" ca="1" si="0"/>
        <v>080301_11c</v>
      </c>
      <c r="G53" s="50">
        <f t="shared" ref="G53:G116" ca="1" si="10">IF(G52=0,0,IF(G52-1=0,0,G52-1))</f>
        <v>56</v>
      </c>
      <c r="H53" s="5" t="str">
        <f t="shared" ref="H53" ca="1" si="11">IF(G53=0,"",CONCATENATE(VLOOKUP(G53,INDIRECT(H$50),2,FALSE),"_",IF(VLOOKUP(G53,INDIRECT(H$50),8,FALSE)&lt;10,"0",""),VLOOKUP(G53,INDIRECT(H$50),8,FALSE),VLOOKUP(G53,INDIRECT(H$50),12,FALSE)))</f>
        <v>090401_09s</v>
      </c>
      <c r="I53" s="50">
        <f t="shared" ref="I53:I116" ca="1" si="12">IF(I52=0,0,IF(I52-1=0,0,I52-1))</f>
        <v>59</v>
      </c>
      <c r="J53" s="5" t="str">
        <f t="shared" ref="J53" ca="1" si="13">IF(I53=0,"",CONCATENATE(VLOOKUP(I53,INDIRECT(J$50),2,FALSE),"_",IF(VLOOKUP(I53,INDIRECT(J$50),8,FALSE)&lt;10,"0",""),VLOOKUP(I53,INDIRECT(J$50),8,FALSE),VLOOKUP(I53,INDIRECT(J$50),12,FALSE)))</f>
        <v>100503_03s</v>
      </c>
      <c r="K53" s="50">
        <f t="shared" ref="K53:K116" ca="1" si="14">IF(K52=0,0,IF(K52-1=0,0,K52-1))</f>
        <v>59</v>
      </c>
      <c r="L53" s="5" t="str">
        <f t="shared" ref="L53" ca="1" si="15">IF(K53=0,"",CONCATENATE(VLOOKUP(K53,INDIRECT(L$50),2,FALSE),"_",IF(VLOOKUP(K53,INDIRECT(L$50),8,FALSE)&lt;10,"0",""),VLOOKUP(K53,INDIRECT(L$50),8,FALSE),VLOOKUP(K53,INDIRECT(L$50),12,FALSE)))</f>
        <v>120603_03s</v>
      </c>
      <c r="M53" s="50">
        <f t="shared" ref="M53:M116" ca="1" si="16">IF(M52=0,0,IF(M52-1=0,0,M52-1))</f>
        <v>26</v>
      </c>
      <c r="N53" s="5" t="str">
        <f t="shared" ref="N53" ca="1" si="17">IF(M53=0,"",CONCATENATE(VLOOKUP(M53,INDIRECT(N$50),2,FALSE),"_",IF(VLOOKUP(M53,INDIRECT(N$50),8,FALSE)&lt;10,"0",""),VLOOKUP(M53,INDIRECT(N$50),8,FALSE),VLOOKUP(M53,INDIRECT(N$50),12,FALSE)))</f>
        <v>140703_05s</v>
      </c>
      <c r="O53" s="50">
        <f t="shared" ref="O53:O116" ca="1" si="18">IF(O52=0,0,IF(O52-1=0,0,O52-1))</f>
        <v>35</v>
      </c>
      <c r="P53" s="5" t="str">
        <f t="shared" ref="P53" ca="1" si="19">IF(O53=0,"",CONCATENATE(VLOOKUP(O53,INDIRECT(P$50),2,FALSE),"_",IF(VLOOKUP(O53,INDIRECT(P$50),8,FALSE)&lt;10,"0",""),VLOOKUP(O53,INDIRECT(P$50),8,FALSE),VLOOKUP(O53,INDIRECT(P$50),12,FALSE)))</f>
        <v>160803_05s</v>
      </c>
      <c r="Q53" s="50">
        <f t="shared" ref="Q53:Q116" ca="1" si="20">IF(Q52=0,0,IF(Q52-1=0,0,Q52-1))</f>
        <v>22</v>
      </c>
      <c r="R53" s="5" t="str">
        <f t="shared" ref="R53" ca="1" si="21">IF(Q53=0,"",CONCATENATE(VLOOKUP(Q53,INDIRECT(R$50),2,FALSE),"_",IF(VLOOKUP(Q53,INDIRECT(R$50),8,FALSE)&lt;10,"0",""),VLOOKUP(Q53,INDIRECT(R$50),8,FALSE),VLOOKUP(Q53,INDIRECT(R$50),12,FALSE)))</f>
        <v>180903_05s</v>
      </c>
      <c r="S53" s="50">
        <f t="shared" ref="S53:S116" ca="1" si="22">IF(S52=0,0,IF(S52-1=0,0,S52-1))</f>
        <v>18</v>
      </c>
      <c r="T53" s="5" t="str">
        <f t="shared" ref="T53" ca="1" si="23">IF(S53=0,"",CONCATENATE(VLOOKUP(S53,INDIRECT(T$50),2,FALSE),"_",IF(VLOOKUP(S53,INDIRECT(T$50),8,FALSE)&lt;10,"0",""),VLOOKUP(S53,INDIRECT(T$50),8,FALSE),VLOOKUP(S53,INDIRECT(T$50),12,FALSE)))</f>
        <v>201003_07s</v>
      </c>
    </row>
    <row r="54" spans="1:20" ht="15" customHeight="1">
      <c r="A54" s="4"/>
      <c r="B54" s="50"/>
      <c r="C54" s="50">
        <f t="shared" ca="1" si="8"/>
        <v>21</v>
      </c>
      <c r="D54" s="5" t="str">
        <f t="shared" ca="1" si="0"/>
        <v>070201_14e</v>
      </c>
      <c r="E54" s="50">
        <f t="shared" ca="1" si="9"/>
        <v>32</v>
      </c>
      <c r="F54" s="5" t="str">
        <f t="shared" ca="1" si="0"/>
        <v>080301_14e</v>
      </c>
      <c r="G54" s="50">
        <f t="shared" ca="1" si="10"/>
        <v>55</v>
      </c>
      <c r="H54" s="5" t="str">
        <f t="shared" ref="H54" ca="1" si="24">IF(G54=0,"",CONCATENATE(VLOOKUP(G54,INDIRECT(H$50),2,FALSE),"_",IF(VLOOKUP(G54,INDIRECT(H$50),8,FALSE)&lt;10,"0",""),VLOOKUP(G54,INDIRECT(H$50),8,FALSE),VLOOKUP(G54,INDIRECT(H$50),12,FALSE)))</f>
        <v>090402_05s</v>
      </c>
      <c r="I54" s="50">
        <f t="shared" ca="1" si="12"/>
        <v>58</v>
      </c>
      <c r="J54" s="5" t="str">
        <f t="shared" ref="J54" ca="1" si="25">IF(I54=0,"",CONCATENATE(VLOOKUP(I54,INDIRECT(J$50),2,FALSE),"_",IF(VLOOKUP(I54,INDIRECT(J$50),8,FALSE)&lt;10,"0",""),VLOOKUP(I54,INDIRECT(J$50),8,FALSE),VLOOKUP(I54,INDIRECT(J$50),12,FALSE)))</f>
        <v>110501_11s</v>
      </c>
      <c r="K54" s="50">
        <f t="shared" ca="1" si="14"/>
        <v>58</v>
      </c>
      <c r="L54" s="5" t="str">
        <f t="shared" ref="L54" ca="1" si="26">IF(K54=0,"",CONCATENATE(VLOOKUP(K54,INDIRECT(L$50),2,FALSE),"_",IF(VLOOKUP(K54,INDIRECT(L$50),8,FALSE)&lt;10,"0",""),VLOOKUP(K54,INDIRECT(L$50),8,FALSE),VLOOKUP(K54,INDIRECT(L$50),12,FALSE)))</f>
        <v>130601_13s</v>
      </c>
      <c r="M54" s="50">
        <f t="shared" ca="1" si="16"/>
        <v>25</v>
      </c>
      <c r="N54" s="5" t="str">
        <f t="shared" ref="N54" ca="1" si="27">IF(M54=0,"",CONCATENATE(VLOOKUP(M54,INDIRECT(N$50),2,FALSE),"_",IF(VLOOKUP(M54,INDIRECT(N$50),8,FALSE)&lt;10,"0",""),VLOOKUP(M54,INDIRECT(N$50),8,FALSE),VLOOKUP(M54,INDIRECT(N$50),12,FALSE)))</f>
        <v>150701_15s</v>
      </c>
      <c r="O54" s="50">
        <f t="shared" ca="1" si="18"/>
        <v>34</v>
      </c>
      <c r="P54" s="5" t="str">
        <f t="shared" ref="P54" ca="1" si="28">IF(O54=0,"",CONCATENATE(VLOOKUP(O54,INDIRECT(P$50),2,FALSE),"_",IF(VLOOKUP(O54,INDIRECT(P$50),8,FALSE)&lt;10,"0",""),VLOOKUP(O54,INDIRECT(P$50),8,FALSE),VLOOKUP(O54,INDIRECT(P$50),12,FALSE)))</f>
        <v>160804_03s</v>
      </c>
      <c r="Q54" s="50">
        <f t="shared" ca="1" si="20"/>
        <v>21</v>
      </c>
      <c r="R54" s="5" t="str">
        <f t="shared" ref="R54" ca="1" si="29">IF(Q54=0,"",CONCATENATE(VLOOKUP(Q54,INDIRECT(R$50),2,FALSE),"_",IF(VLOOKUP(Q54,INDIRECT(R$50),8,FALSE)&lt;10,"0",""),VLOOKUP(Q54,INDIRECT(R$50),8,FALSE),VLOOKUP(Q54,INDIRECT(R$50),12,FALSE)))</f>
        <v>180904_05s</v>
      </c>
      <c r="S54" s="50">
        <f t="shared" ca="1" si="22"/>
        <v>17</v>
      </c>
      <c r="T54" s="5" t="str">
        <f t="shared" ref="T54" ca="1" si="30">IF(S54=0,"",CONCATENATE(VLOOKUP(S54,INDIRECT(T$50),2,FALSE),"_",IF(VLOOKUP(S54,INDIRECT(T$50),8,FALSE)&lt;10,"0",""),VLOOKUP(S54,INDIRECT(T$50),8,FALSE),VLOOKUP(S54,INDIRECT(T$50),12,FALSE)))</f>
        <v>201004_05s</v>
      </c>
    </row>
    <row r="55" spans="1:20" ht="15" customHeight="1">
      <c r="A55" s="4"/>
      <c r="B55" s="50"/>
      <c r="C55" s="50">
        <f t="shared" ca="1" si="8"/>
        <v>20</v>
      </c>
      <c r="D55" s="5" t="str">
        <f t="shared" ca="1" si="0"/>
        <v>080201_14e</v>
      </c>
      <c r="E55" s="50">
        <f t="shared" ca="1" si="9"/>
        <v>31</v>
      </c>
      <c r="F55" s="5" t="str">
        <f t="shared" ca="1" si="0"/>
        <v>090301_12c</v>
      </c>
      <c r="G55" s="50">
        <f t="shared" ca="1" si="10"/>
        <v>54</v>
      </c>
      <c r="H55" s="5" t="str">
        <f t="shared" ref="H55" ca="1" si="31">IF(G55=0,"",CONCATENATE(VLOOKUP(G55,INDIRECT(H$50),2,FALSE),"_",IF(VLOOKUP(G55,INDIRECT(H$50),8,FALSE)&lt;10,"0",""),VLOOKUP(G55,INDIRECT(H$50),8,FALSE),VLOOKUP(G55,INDIRECT(H$50),12,FALSE)))</f>
        <v>100401_12c</v>
      </c>
      <c r="I55" s="50">
        <f t="shared" ca="1" si="12"/>
        <v>57</v>
      </c>
      <c r="J55" s="5" t="str">
        <f t="shared" ref="J55" ca="1" si="32">IF(I55=0,"",CONCATENATE(VLOOKUP(I55,INDIRECT(J$50),2,FALSE),"_",IF(VLOOKUP(I55,INDIRECT(J$50),8,FALSE)&lt;10,"0",""),VLOOKUP(I55,INDIRECT(J$50),8,FALSE),VLOOKUP(I55,INDIRECT(J$50),12,FALSE)))</f>
        <v>110502_05s</v>
      </c>
      <c r="K55" s="50">
        <f t="shared" ca="1" si="14"/>
        <v>57</v>
      </c>
      <c r="L55" s="5" t="str">
        <f t="shared" ref="L55" ca="1" si="33">IF(K55=0,"",CONCATENATE(VLOOKUP(K55,INDIRECT(L$50),2,FALSE),"_",IF(VLOOKUP(K55,INDIRECT(L$50),8,FALSE)&lt;10,"0",""),VLOOKUP(K55,INDIRECT(L$50),8,FALSE),VLOOKUP(K55,INDIRECT(L$50),12,FALSE)))</f>
        <v>130602_07s</v>
      </c>
      <c r="M55" s="50">
        <f t="shared" ca="1" si="16"/>
        <v>24</v>
      </c>
      <c r="N55" s="5" t="str">
        <f t="shared" ref="N55" ca="1" si="34">IF(M55=0,"",CONCATENATE(VLOOKUP(M55,INDIRECT(N$50),2,FALSE),"_",IF(VLOOKUP(M55,INDIRECT(N$50),8,FALSE)&lt;10,"0",""),VLOOKUP(M55,INDIRECT(N$50),8,FALSE),VLOOKUP(M55,INDIRECT(N$50),12,FALSE)))</f>
        <v>150702_07s</v>
      </c>
      <c r="O55" s="50">
        <f t="shared" ca="1" si="18"/>
        <v>33</v>
      </c>
      <c r="P55" s="5" t="str">
        <f t="shared" ref="P55" ca="1" si="35">IF(O55=0,"",CONCATENATE(VLOOKUP(O55,INDIRECT(P$50),2,FALSE),"_",IF(VLOOKUP(O55,INDIRECT(P$50),8,FALSE)&lt;10,"0",""),VLOOKUP(O55,INDIRECT(P$50),8,FALSE),VLOOKUP(O55,INDIRECT(P$50),12,FALSE)))</f>
        <v>170801_17s</v>
      </c>
      <c r="Q55" s="50">
        <f t="shared" ca="1" si="20"/>
        <v>20</v>
      </c>
      <c r="R55" s="5" t="str">
        <f t="shared" ref="R55" ca="1" si="36">IF(Q55=0,"",CONCATENATE(VLOOKUP(Q55,INDIRECT(R$50),2,FALSE),"_",IF(VLOOKUP(Q55,INDIRECT(R$50),8,FALSE)&lt;10,"0",""),VLOOKUP(Q55,INDIRECT(R$50),8,FALSE),VLOOKUP(Q55,INDIRECT(R$50),12,FALSE)))</f>
        <v>180904_05s</v>
      </c>
      <c r="S55" s="50">
        <f t="shared" ca="1" si="22"/>
        <v>16</v>
      </c>
      <c r="T55" s="5" t="str">
        <f t="shared" ref="T55" ca="1" si="37">IF(S55=0,"",CONCATENATE(VLOOKUP(S55,INDIRECT(T$50),2,FALSE),"_",IF(VLOOKUP(S55,INDIRECT(T$50),8,FALSE)&lt;10,"0",""),VLOOKUP(S55,INDIRECT(T$50),8,FALSE),VLOOKUP(S55,INDIRECT(T$50),12,FALSE)))</f>
        <v>201005_03s</v>
      </c>
    </row>
    <row r="56" spans="1:20" ht="15" customHeight="1">
      <c r="A56" s="4"/>
      <c r="B56" s="50"/>
      <c r="C56" s="50">
        <f t="shared" ca="1" si="8"/>
        <v>19</v>
      </c>
      <c r="D56" s="5" t="str">
        <f t="shared" ca="1" si="0"/>
        <v>080202_06e</v>
      </c>
      <c r="E56" s="50">
        <f t="shared" ca="1" si="9"/>
        <v>30</v>
      </c>
      <c r="F56" s="5" t="str">
        <f t="shared" ca="1" si="0"/>
        <v>090301_12c</v>
      </c>
      <c r="G56" s="50">
        <f t="shared" ca="1" si="10"/>
        <v>53</v>
      </c>
      <c r="H56" s="5" t="str">
        <f t="shared" ref="H56" ca="1" si="38">IF(G56=0,"",CONCATENATE(VLOOKUP(G56,INDIRECT(H$50),2,FALSE),"_",IF(VLOOKUP(G56,INDIRECT(H$50),8,FALSE)&lt;10,"0",""),VLOOKUP(G56,INDIRECT(H$50),8,FALSE),VLOOKUP(G56,INDIRECT(H$50),12,FALSE)))</f>
        <v>100401_14c</v>
      </c>
      <c r="I56" s="50">
        <f t="shared" ca="1" si="12"/>
        <v>56</v>
      </c>
      <c r="J56" s="5" t="str">
        <f t="shared" ref="J56" ca="1" si="39">IF(I56=0,"",CONCATENATE(VLOOKUP(I56,INDIRECT(J$50),2,FALSE),"_",IF(VLOOKUP(I56,INDIRECT(J$50),8,FALSE)&lt;10,"0",""),VLOOKUP(I56,INDIRECT(J$50),8,FALSE),VLOOKUP(I56,INDIRECT(J$50),12,FALSE)))</f>
        <v>120501_14s</v>
      </c>
      <c r="K56" s="50">
        <f t="shared" ca="1" si="14"/>
        <v>56</v>
      </c>
      <c r="L56" s="5" t="str">
        <f t="shared" ref="L56" ca="1" si="40">IF(K56=0,"",CONCATENATE(VLOOKUP(K56,INDIRECT(L$50),2,FALSE),"_",IF(VLOOKUP(K56,INDIRECT(L$50),8,FALSE)&lt;10,"0",""),VLOOKUP(K56,INDIRECT(L$50),8,FALSE),VLOOKUP(K56,INDIRECT(L$50),12,FALSE)))</f>
        <v>130603_05s</v>
      </c>
      <c r="M56" s="50">
        <f t="shared" ca="1" si="16"/>
        <v>23</v>
      </c>
      <c r="N56" s="5" t="str">
        <f t="shared" ref="N56" ca="1" si="41">IF(M56=0,"",CONCATENATE(VLOOKUP(M56,INDIRECT(N$50),2,FALSE),"_",IF(VLOOKUP(M56,INDIRECT(N$50),8,FALSE)&lt;10,"0",""),VLOOKUP(M56,INDIRECT(N$50),8,FALSE),VLOOKUP(M56,INDIRECT(N$50),12,FALSE)))</f>
        <v>160703_05s</v>
      </c>
      <c r="O56" s="50">
        <f t="shared" ca="1" si="18"/>
        <v>32</v>
      </c>
      <c r="P56" s="5" t="str">
        <f t="shared" ref="P56" ca="1" si="42">IF(O56=0,"",CONCATENATE(VLOOKUP(O56,INDIRECT(P$50),2,FALSE),"_",IF(VLOOKUP(O56,INDIRECT(P$50),8,FALSE)&lt;10,"0",""),VLOOKUP(O56,INDIRECT(P$50),8,FALSE),VLOOKUP(O56,INDIRECT(P$50),12,FALSE)))</f>
        <v>170802_09s</v>
      </c>
      <c r="Q56" s="50">
        <f t="shared" ca="1" si="20"/>
        <v>19</v>
      </c>
      <c r="R56" s="5" t="str">
        <f t="shared" ref="R56" ca="1" si="43">IF(Q56=0,"",CONCATENATE(VLOOKUP(Q56,INDIRECT(R$50),2,FALSE),"_",IF(VLOOKUP(Q56,INDIRECT(R$50),8,FALSE)&lt;10,"0",""),VLOOKUP(Q56,INDIRECT(R$50),8,FALSE),VLOOKUP(Q56,INDIRECT(R$50),12,FALSE)))</f>
        <v>190901_19s</v>
      </c>
      <c r="S56" s="50">
        <f t="shared" ca="1" si="22"/>
        <v>15</v>
      </c>
      <c r="T56" s="5" t="str">
        <f t="shared" ref="T56" ca="1" si="44">IF(S56=0,"",CONCATENATE(VLOOKUP(S56,INDIRECT(T$50),2,FALSE),"_",IF(VLOOKUP(S56,INDIRECT(T$50),8,FALSE)&lt;10,"0",""),VLOOKUP(S56,INDIRECT(T$50),8,FALSE),VLOOKUP(S56,INDIRECT(T$50),12,FALSE)))</f>
        <v>211001_21s</v>
      </c>
    </row>
    <row r="57" spans="1:20" ht="15" customHeight="1">
      <c r="A57" s="4"/>
      <c r="B57" s="50"/>
      <c r="C57" s="50">
        <f t="shared" ca="1" si="8"/>
        <v>18</v>
      </c>
      <c r="D57" s="5" t="str">
        <f t="shared" ca="1" si="0"/>
        <v>090201_18e</v>
      </c>
      <c r="E57" s="50">
        <f t="shared" ca="1" si="9"/>
        <v>29</v>
      </c>
      <c r="F57" s="5" t="str">
        <f t="shared" ca="1" si="0"/>
        <v>090301_18e</v>
      </c>
      <c r="G57" s="50">
        <f t="shared" ca="1" si="10"/>
        <v>52</v>
      </c>
      <c r="H57" s="5" t="str">
        <f t="shared" ref="H57" ca="1" si="45">IF(G57=0,"",CONCATENATE(VLOOKUP(G57,INDIRECT(H$50),2,FALSE),"_",IF(VLOOKUP(G57,INDIRECT(H$50),8,FALSE)&lt;10,"0",""),VLOOKUP(G57,INDIRECT(H$50),8,FALSE),VLOOKUP(G57,INDIRECT(H$50),12,FALSE)))</f>
        <v>100402_05s</v>
      </c>
      <c r="I57" s="50">
        <f t="shared" ca="1" si="12"/>
        <v>55</v>
      </c>
      <c r="J57" s="5" t="str">
        <f t="shared" ref="J57" ca="1" si="46">IF(I57=0,"",CONCATENATE(VLOOKUP(I57,INDIRECT(J$50),2,FALSE),"_",IF(VLOOKUP(I57,INDIRECT(J$50),8,FALSE)&lt;10,"0",""),VLOOKUP(I57,INDIRECT(J$50),8,FALSE),VLOOKUP(I57,INDIRECT(J$50),12,FALSE)))</f>
        <v>130501_16s</v>
      </c>
      <c r="K57" s="50">
        <f t="shared" ca="1" si="14"/>
        <v>55</v>
      </c>
      <c r="L57" s="5" t="str">
        <f t="shared" ref="L57" ca="1" si="47">IF(K57=0,"",CONCATENATE(VLOOKUP(K57,INDIRECT(L$50),2,FALSE),"_",IF(VLOOKUP(K57,INDIRECT(L$50),8,FALSE)&lt;10,"0",""),VLOOKUP(K57,INDIRECT(L$50),8,FALSE),VLOOKUP(K57,INDIRECT(L$50),12,FALSE)))</f>
        <v>130604_03s</v>
      </c>
      <c r="M57" s="50">
        <f t="shared" ca="1" si="16"/>
        <v>22</v>
      </c>
      <c r="N57" s="5" t="str">
        <f t="shared" ref="N57" ca="1" si="48">IF(M57=0,"",CONCATENATE(VLOOKUP(M57,INDIRECT(N$50),2,FALSE),"_",IF(VLOOKUP(M57,INDIRECT(N$50),8,FALSE)&lt;10,"0",""),VLOOKUP(M57,INDIRECT(N$50),8,FALSE),VLOOKUP(M57,INDIRECT(N$50),12,FALSE)))</f>
        <v>170705_03s</v>
      </c>
      <c r="O57" s="50">
        <f t="shared" ca="1" si="18"/>
        <v>31</v>
      </c>
      <c r="P57" s="5" t="str">
        <f t="shared" ref="P57" ca="1" si="49">IF(O57=0,"",CONCATENATE(VLOOKUP(O57,INDIRECT(P$50),2,FALSE),"_",IF(VLOOKUP(O57,INDIRECT(P$50),8,FALSE)&lt;10,"0",""),VLOOKUP(O57,INDIRECT(P$50),8,FALSE),VLOOKUP(O57,INDIRECT(P$50),12,FALSE)))</f>
        <v>170803_05s</v>
      </c>
      <c r="Q57" s="50">
        <f t="shared" ca="1" si="20"/>
        <v>18</v>
      </c>
      <c r="R57" s="5" t="str">
        <f t="shared" ref="R57" ca="1" si="50">IF(Q57=0,"",CONCATENATE(VLOOKUP(Q57,INDIRECT(R$50),2,FALSE),"_",IF(VLOOKUP(Q57,INDIRECT(R$50),8,FALSE)&lt;10,"0",""),VLOOKUP(Q57,INDIRECT(R$50),8,FALSE),VLOOKUP(Q57,INDIRECT(R$50),12,FALSE)))</f>
        <v>190902_09s</v>
      </c>
      <c r="S57" s="50">
        <f t="shared" ca="1" si="22"/>
        <v>14</v>
      </c>
      <c r="T57" s="5" t="str">
        <f t="shared" ref="T57" ca="1" si="51">IF(S57=0,"",CONCATENATE(VLOOKUP(S57,INDIRECT(T$50),2,FALSE),"_",IF(VLOOKUP(S57,INDIRECT(T$50),8,FALSE)&lt;10,"0",""),VLOOKUP(S57,INDIRECT(T$50),8,FALSE),VLOOKUP(S57,INDIRECT(T$50),12,FALSE)))</f>
        <v>211002_11s</v>
      </c>
    </row>
    <row r="58" spans="1:20" ht="15" customHeight="1">
      <c r="A58" s="4"/>
      <c r="B58" s="50"/>
      <c r="C58" s="50">
        <f t="shared" ca="1" si="8"/>
        <v>17</v>
      </c>
      <c r="D58" s="5" t="str">
        <f t="shared" ca="1" si="0"/>
        <v>090202_09e</v>
      </c>
      <c r="E58" s="50">
        <f t="shared" ca="1" si="9"/>
        <v>28</v>
      </c>
      <c r="F58" s="5" t="str">
        <f t="shared" ca="1" si="0"/>
        <v>100301_18e</v>
      </c>
      <c r="G58" s="50">
        <f t="shared" ca="1" si="10"/>
        <v>51</v>
      </c>
      <c r="H58" s="5" t="str">
        <f t="shared" ref="H58" ca="1" si="52">IF(G58=0,"",CONCATENATE(VLOOKUP(G58,INDIRECT(H$50),2,FALSE),"_",IF(VLOOKUP(G58,INDIRECT(H$50),8,FALSE)&lt;10,"0",""),VLOOKUP(G58,INDIRECT(H$50),8,FALSE),VLOOKUP(G58,INDIRECT(H$50),12,FALSE)))</f>
        <v>110401_15c</v>
      </c>
      <c r="I58" s="50">
        <f t="shared" ca="1" si="12"/>
        <v>54</v>
      </c>
      <c r="J58" s="5" t="str">
        <f t="shared" ref="J58" ca="1" si="53">IF(I58=0,"",CONCATENATE(VLOOKUP(I58,INDIRECT(J$50),2,FALSE),"_",IF(VLOOKUP(I58,INDIRECT(J$50),8,FALSE)&lt;10,"0",""),VLOOKUP(I58,INDIRECT(J$50),8,FALSE),VLOOKUP(I58,INDIRECT(J$50),12,FALSE)))</f>
        <v>130501_18c</v>
      </c>
      <c r="K58" s="50">
        <f t="shared" ca="1" si="14"/>
        <v>54</v>
      </c>
      <c r="L58" s="5" t="str">
        <f t="shared" ref="L58" ca="1" si="54">IF(K58=0,"",CONCATENATE(VLOOKUP(K58,INDIRECT(L$50),2,FALSE),"_",IF(VLOOKUP(K58,INDIRECT(L$50),8,FALSE)&lt;10,"0",""),VLOOKUP(K58,INDIRECT(L$50),8,FALSE),VLOOKUP(K58,INDIRECT(L$50),12,FALSE)))</f>
        <v>140602_07s</v>
      </c>
      <c r="M58" s="50">
        <f t="shared" ca="1" si="16"/>
        <v>21</v>
      </c>
      <c r="N58" s="5" t="str">
        <f t="shared" ref="N58" ca="1" si="55">IF(M58=0,"",CONCATENATE(VLOOKUP(M58,INDIRECT(N$50),2,FALSE),"_",IF(VLOOKUP(M58,INDIRECT(N$50),8,FALSE)&lt;10,"0",""),VLOOKUP(M58,INDIRECT(N$50),8,FALSE),VLOOKUP(M58,INDIRECT(N$50),12,FALSE)))</f>
        <v>260701_24e</v>
      </c>
      <c r="O58" s="50">
        <f t="shared" ca="1" si="18"/>
        <v>30</v>
      </c>
      <c r="P58" s="5" t="str">
        <f t="shared" ref="P58" ca="1" si="56">IF(O58=0,"",CONCATENATE(VLOOKUP(O58,INDIRECT(P$50),2,FALSE),"_",IF(VLOOKUP(O58,INDIRECT(P$50),8,FALSE)&lt;10,"0",""),VLOOKUP(O58,INDIRECT(P$50),8,FALSE),VLOOKUP(O58,INDIRECT(P$50),12,FALSE)))</f>
        <v>170804_05s</v>
      </c>
      <c r="Q58" s="50">
        <f t="shared" ca="1" si="20"/>
        <v>17</v>
      </c>
      <c r="R58" s="5" t="str">
        <f t="shared" ref="R58" ca="1" si="57">IF(Q58=0,"",CONCATENATE(VLOOKUP(Q58,INDIRECT(R$50),2,FALSE),"_",IF(VLOOKUP(Q58,INDIRECT(R$50),8,FALSE)&lt;10,"0",""),VLOOKUP(Q58,INDIRECT(R$50),8,FALSE),VLOOKUP(Q58,INDIRECT(R$50),12,FALSE)))</f>
        <v>190903_07s</v>
      </c>
      <c r="S58" s="50">
        <f t="shared" ca="1" si="22"/>
        <v>13</v>
      </c>
      <c r="T58" s="5" t="str">
        <f t="shared" ref="T58" ca="1" si="58">IF(S58=0,"",CONCATENATE(VLOOKUP(S58,INDIRECT(T$50),2,FALSE),"_",IF(VLOOKUP(S58,INDIRECT(T$50),8,FALSE)&lt;10,"0",""),VLOOKUP(S58,INDIRECT(T$50),8,FALSE),VLOOKUP(S58,INDIRECT(T$50),12,FALSE)))</f>
        <v>211005_05s</v>
      </c>
    </row>
    <row r="59" spans="1:20" ht="15" customHeight="1">
      <c r="A59" s="4"/>
      <c r="B59" s="50"/>
      <c r="C59" s="50">
        <f t="shared" ca="1" si="8"/>
        <v>16</v>
      </c>
      <c r="D59" s="5" t="str">
        <f t="shared" ca="1" si="0"/>
        <v>100201_23L</v>
      </c>
      <c r="E59" s="50">
        <f t="shared" ca="1" si="9"/>
        <v>27</v>
      </c>
      <c r="F59" s="5" t="str">
        <f t="shared" ca="1" si="0"/>
        <v>100302_07c</v>
      </c>
      <c r="G59" s="50">
        <f t="shared" ca="1" si="10"/>
        <v>50</v>
      </c>
      <c r="H59" s="5" t="str">
        <f t="shared" ref="H59" ca="1" si="59">IF(G59=0,"",CONCATENATE(VLOOKUP(G59,INDIRECT(H$50),2,FALSE),"_",IF(VLOOKUP(G59,INDIRECT(H$50),8,FALSE)&lt;10,"0",""),VLOOKUP(G59,INDIRECT(H$50),8,FALSE),VLOOKUP(G59,INDIRECT(H$50),12,FALSE)))</f>
        <v>110402_07c</v>
      </c>
      <c r="I59" s="50">
        <f t="shared" ca="1" si="12"/>
        <v>53</v>
      </c>
      <c r="J59" s="5" t="str">
        <f t="shared" ref="J59" ca="1" si="60">IF(I59=0,"",CONCATENATE(VLOOKUP(I59,INDIRECT(J$50),2,FALSE),"_",IF(VLOOKUP(I59,INDIRECT(J$50),8,FALSE)&lt;10,"0",""),VLOOKUP(I59,INDIRECT(J$50),8,FALSE),VLOOKUP(I59,INDIRECT(J$50),12,FALSE)))</f>
        <v>140502_09c</v>
      </c>
      <c r="K59" s="50">
        <f t="shared" ca="1" si="14"/>
        <v>53</v>
      </c>
      <c r="L59" s="5" t="str">
        <f t="shared" ref="L59" ca="1" si="61">IF(K59=0,"",CONCATENATE(VLOOKUP(K59,INDIRECT(L$50),2,FALSE),"_",IF(VLOOKUP(K59,INDIRECT(L$50),8,FALSE)&lt;10,"0",""),VLOOKUP(K59,INDIRECT(L$50),8,FALSE),VLOOKUP(K59,INDIRECT(L$50),12,FALSE)))</f>
        <v>140603_06s</v>
      </c>
      <c r="M59" s="50">
        <f t="shared" ca="1" si="16"/>
        <v>20</v>
      </c>
      <c r="N59" s="5" t="str">
        <f t="shared" ref="N59" ca="1" si="62">IF(M59=0,"",CONCATENATE(VLOOKUP(M59,INDIRECT(N$50),2,FALSE),"_",IF(VLOOKUP(M59,INDIRECT(N$50),8,FALSE)&lt;10,"0",""),VLOOKUP(M59,INDIRECT(N$50),8,FALSE),VLOOKUP(M59,INDIRECT(N$50),12,FALSE)))</f>
        <v>260702_26e</v>
      </c>
      <c r="O59" s="50">
        <f t="shared" ca="1" si="18"/>
        <v>29</v>
      </c>
      <c r="P59" s="5" t="str">
        <f t="shared" ref="P59" ca="1" si="63">IF(O59=0,"",CONCATENATE(VLOOKUP(O59,INDIRECT(P$50),2,FALSE),"_",IF(VLOOKUP(O59,INDIRECT(P$50),8,FALSE)&lt;10,"0",""),VLOOKUP(O59,INDIRECT(P$50),8,FALSE),VLOOKUP(O59,INDIRECT(P$50),12,FALSE)))</f>
        <v>180801_20L</v>
      </c>
      <c r="Q59" s="50">
        <f t="shared" ca="1" si="20"/>
        <v>16</v>
      </c>
      <c r="R59" s="5" t="str">
        <f t="shared" ref="R59" ca="1" si="64">IF(Q59=0,"",CONCATENATE(VLOOKUP(Q59,INDIRECT(R$50),2,FALSE),"_",IF(VLOOKUP(Q59,INDIRECT(R$50),8,FALSE)&lt;10,"0",""),VLOOKUP(Q59,INDIRECT(R$50),8,FALSE),VLOOKUP(Q59,INDIRECT(R$50),12,FALSE)))</f>
        <v>200903_07s</v>
      </c>
      <c r="S59" s="50">
        <f t="shared" ca="1" si="22"/>
        <v>12</v>
      </c>
      <c r="T59" s="5" t="str">
        <f t="shared" ref="T59" ca="1" si="65">IF(S59=0,"",CONCATENATE(VLOOKUP(S59,INDIRECT(T$50),2,FALSE),"_",IF(VLOOKUP(S59,INDIRECT(T$50),8,FALSE)&lt;10,"0",""),VLOOKUP(S59,INDIRECT(T$50),8,FALSE),VLOOKUP(S59,INDIRECT(T$50),12,FALSE)))</f>
        <v>221001_24s</v>
      </c>
    </row>
    <row r="60" spans="1:20" ht="15" customHeight="1">
      <c r="A60" s="4"/>
      <c r="B60" s="50"/>
      <c r="C60" s="50">
        <f t="shared" ca="1" si="8"/>
        <v>15</v>
      </c>
      <c r="D60" s="5" t="str">
        <f t="shared" ca="1" si="0"/>
        <v>100202_10e</v>
      </c>
      <c r="E60" s="50">
        <f t="shared" ca="1" si="9"/>
        <v>26</v>
      </c>
      <c r="F60" s="5" t="str">
        <f t="shared" ca="1" si="0"/>
        <v>100302_10e</v>
      </c>
      <c r="G60" s="50">
        <f t="shared" ca="1" si="10"/>
        <v>49</v>
      </c>
      <c r="H60" s="5" t="str">
        <f t="shared" ref="H60" ca="1" si="66">IF(G60=0,"",CONCATENATE(VLOOKUP(G60,INDIRECT(H$50),2,FALSE),"_",IF(VLOOKUP(G60,INDIRECT(H$50),8,FALSE)&lt;10,"0",""),VLOOKUP(G60,INDIRECT(H$50),8,FALSE),VLOOKUP(G60,INDIRECT(H$50),12,FALSE)))</f>
        <v>120401_17c</v>
      </c>
      <c r="I60" s="50">
        <f t="shared" ca="1" si="12"/>
        <v>52</v>
      </c>
      <c r="J60" s="5" t="str">
        <f t="shared" ref="J60" ca="1" si="67">IF(I60=0,"",CONCATENATE(VLOOKUP(I60,INDIRECT(J$50),2,FALSE),"_",IF(VLOOKUP(I60,INDIRECT(J$50),8,FALSE)&lt;10,"0",""),VLOOKUP(I60,INDIRECT(J$50),8,FALSE),VLOOKUP(I60,INDIRECT(J$50),12,FALSE)))</f>
        <v>140503_10e</v>
      </c>
      <c r="K60" s="50">
        <f t="shared" ca="1" si="14"/>
        <v>52</v>
      </c>
      <c r="L60" s="5" t="str">
        <f t="shared" ref="L60" ca="1" si="68">IF(K60=0,"",CONCATENATE(VLOOKUP(K60,INDIRECT(L$50),2,FALSE),"_",IF(VLOOKUP(K60,INDIRECT(L$50),8,FALSE)&lt;10,"0",""),VLOOKUP(K60,INDIRECT(L$50),8,FALSE),VLOOKUP(K60,INDIRECT(L$50),12,FALSE)))</f>
        <v>150603_05s</v>
      </c>
      <c r="M60" s="50">
        <f t="shared" ca="1" si="16"/>
        <v>19</v>
      </c>
      <c r="N60" s="5" t="str">
        <f t="shared" ref="N60" ca="1" si="69">IF(M60=0,"",CONCATENATE(VLOOKUP(M60,INDIRECT(N$50),2,FALSE),"_",IF(VLOOKUP(M60,INDIRECT(N$50),8,FALSE)&lt;10,"0",""),VLOOKUP(M60,INDIRECT(N$50),8,FALSE),VLOOKUP(M60,INDIRECT(N$50),12,FALSE)))</f>
        <v>260703_18e</v>
      </c>
      <c r="O60" s="50">
        <f t="shared" ca="1" si="18"/>
        <v>28</v>
      </c>
      <c r="P60" s="5" t="str">
        <f t="shared" ref="P60" ca="1" si="70">IF(O60=0,"",CONCATENATE(VLOOKUP(O60,INDIRECT(P$50),2,FALSE),"_",IF(VLOOKUP(O60,INDIRECT(P$50),8,FALSE)&lt;10,"0",""),VLOOKUP(O60,INDIRECT(P$50),8,FALSE),VLOOKUP(O60,INDIRECT(P$50),12,FALSE)))</f>
        <v>180802_09s</v>
      </c>
      <c r="Q60" s="50">
        <f t="shared" ca="1" si="20"/>
        <v>15</v>
      </c>
      <c r="R60" s="5" t="str">
        <f t="shared" ref="R60" ca="1" si="71">IF(Q60=0,"",CONCATENATE(VLOOKUP(Q60,INDIRECT(R$50),2,FALSE),"_",IF(VLOOKUP(Q60,INDIRECT(R$50),8,FALSE)&lt;10,"0",""),VLOOKUP(Q60,INDIRECT(R$50),8,FALSE),VLOOKUP(Q60,INDIRECT(R$50),12,FALSE)))</f>
        <v>210903_07s</v>
      </c>
      <c r="S60" s="50">
        <f t="shared" ca="1" si="22"/>
        <v>11</v>
      </c>
      <c r="T60" s="5" t="str">
        <f t="shared" ref="T60" ca="1" si="72">IF(S60=0,"",CONCATENATE(VLOOKUP(S60,INDIRECT(T$50),2,FALSE),"_",IF(VLOOKUP(S60,INDIRECT(T$50),8,FALSE)&lt;10,"0",""),VLOOKUP(S60,INDIRECT(T$50),8,FALSE),VLOOKUP(S60,INDIRECT(T$50),12,FALSE)))</f>
        <v>221002_11s</v>
      </c>
    </row>
    <row r="61" spans="1:20" ht="15" customHeight="1">
      <c r="A61" s="4"/>
      <c r="B61" s="50"/>
      <c r="C61" s="50">
        <f t="shared" ca="1" si="8"/>
        <v>14</v>
      </c>
      <c r="D61" s="5" t="str">
        <f t="shared" ca="1" si="0"/>
        <v>110201_28L</v>
      </c>
      <c r="E61" s="50">
        <f t="shared" ca="1" si="9"/>
        <v>25</v>
      </c>
      <c r="F61" s="5" t="str">
        <f t="shared" ca="1" si="0"/>
        <v>110301_19c</v>
      </c>
      <c r="G61" s="50">
        <f t="shared" ca="1" si="10"/>
        <v>48</v>
      </c>
      <c r="H61" s="5" t="str">
        <f t="shared" ref="H61" ca="1" si="73">IF(G61=0,"",CONCATENATE(VLOOKUP(G61,INDIRECT(H$50),2,FALSE),"_",IF(VLOOKUP(G61,INDIRECT(H$50),8,FALSE)&lt;10,"0",""),VLOOKUP(G61,INDIRECT(H$50),8,FALSE),VLOOKUP(G61,INDIRECT(H$50),12,FALSE)))</f>
        <v>120401_17c</v>
      </c>
      <c r="I61" s="50">
        <f t="shared" ca="1" si="12"/>
        <v>51</v>
      </c>
      <c r="J61" s="5" t="str">
        <f t="shared" ref="J61" ca="1" si="74">IF(I61=0,"",CONCATENATE(VLOOKUP(I61,INDIRECT(J$50),2,FALSE),"_",IF(VLOOKUP(I61,INDIRECT(J$50),8,FALSE)&lt;10,"0",""),VLOOKUP(I61,INDIRECT(J$50),8,FALSE),VLOOKUP(I61,INDIRECT(J$50),12,FALSE)))</f>
        <v>150501_21c</v>
      </c>
      <c r="K61" s="50">
        <f t="shared" ca="1" si="14"/>
        <v>51</v>
      </c>
      <c r="L61" s="5" t="str">
        <f t="shared" ref="L61" ca="1" si="75">IF(K61=0,"",CONCATENATE(VLOOKUP(K61,INDIRECT(L$50),2,FALSE),"_",IF(VLOOKUP(K61,INDIRECT(L$50),8,FALSE)&lt;10,"0",""),VLOOKUP(K61,INDIRECT(L$50),8,FALSE),VLOOKUP(K61,INDIRECT(L$50),12,FALSE)))</f>
        <v>160601_20s</v>
      </c>
      <c r="M61" s="50">
        <f t="shared" ca="1" si="16"/>
        <v>18</v>
      </c>
      <c r="N61" s="5" t="str">
        <f t="shared" ref="N61" ca="1" si="76">IF(M61=0,"",CONCATENATE(VLOOKUP(M61,INDIRECT(N$50),2,FALSE),"_",IF(VLOOKUP(M61,INDIRECT(N$50),8,FALSE)&lt;10,"0",""),VLOOKUP(M61,INDIRECT(N$50),8,FALSE),VLOOKUP(M61,INDIRECT(N$50),12,FALSE)))</f>
        <v>260704_14e</v>
      </c>
      <c r="O61" s="50">
        <f t="shared" ca="1" si="18"/>
        <v>27</v>
      </c>
      <c r="P61" s="5" t="str">
        <f t="shared" ref="P61" ca="1" si="77">IF(O61=0,"",CONCATENATE(VLOOKUP(O61,INDIRECT(P$50),2,FALSE),"_",IF(VLOOKUP(O61,INDIRECT(P$50),8,FALSE)&lt;10,"0",""),VLOOKUP(O61,INDIRECT(P$50),8,FALSE),VLOOKUP(O61,INDIRECT(P$50),12,FALSE)))</f>
        <v>180803_06c</v>
      </c>
      <c r="Q61" s="50">
        <f t="shared" ca="1" si="20"/>
        <v>14</v>
      </c>
      <c r="R61" s="5" t="str">
        <f t="shared" ref="R61" ca="1" si="78">IF(Q61=0,"",CONCATENATE(VLOOKUP(Q61,INDIRECT(R$50),2,FALSE),"_",IF(VLOOKUP(Q61,INDIRECT(R$50),8,FALSE)&lt;10,"0",""),VLOOKUP(Q61,INDIRECT(R$50),8,FALSE),VLOOKUP(Q61,INDIRECT(R$50),12,FALSE)))</f>
        <v>210904_05s</v>
      </c>
      <c r="S61" s="50">
        <f t="shared" ca="1" si="22"/>
        <v>10</v>
      </c>
      <c r="T61" s="5" t="str">
        <f t="shared" ref="T61" ca="1" si="79">IF(S61=0,"",CONCATENATE(VLOOKUP(S61,INDIRECT(T$50),2,FALSE),"_",IF(VLOOKUP(S61,INDIRECT(T$50),8,FALSE)&lt;10,"0",""),VLOOKUP(S61,INDIRECT(T$50),8,FALSE),VLOOKUP(S61,INDIRECT(T$50),12,FALSE)))</f>
        <v>221003_07s</v>
      </c>
    </row>
    <row r="62" spans="1:20" ht="15" customHeight="1">
      <c r="A62" s="4"/>
      <c r="B62" s="50"/>
      <c r="C62" s="50">
        <f t="shared" ca="1" si="8"/>
        <v>13</v>
      </c>
      <c r="D62" s="5" t="str">
        <f t="shared" ca="1" si="0"/>
        <v>110202_13L</v>
      </c>
      <c r="E62" s="50">
        <f t="shared" ca="1" si="9"/>
        <v>24</v>
      </c>
      <c r="F62" s="5" t="str">
        <f t="shared" ca="1" si="0"/>
        <v>110301_22e</v>
      </c>
      <c r="G62" s="50">
        <f t="shared" ca="1" si="10"/>
        <v>47</v>
      </c>
      <c r="H62" s="5" t="str">
        <f t="shared" ref="H62" ca="1" si="80">IF(G62=0,"",CONCATENATE(VLOOKUP(G62,INDIRECT(H$50),2,FALSE),"_",IF(VLOOKUP(G62,INDIRECT(H$50),8,FALSE)&lt;10,"0",""),VLOOKUP(G62,INDIRECT(H$50),8,FALSE),VLOOKUP(G62,INDIRECT(H$50),12,FALSE)))</f>
        <v>120401_22e</v>
      </c>
      <c r="I62" s="50">
        <f t="shared" ca="1" si="12"/>
        <v>50</v>
      </c>
      <c r="J62" s="5" t="str">
        <f t="shared" ref="J62" ca="1" si="81">IF(I62=0,"",CONCATENATE(VLOOKUP(I62,INDIRECT(J$50),2,FALSE),"_",IF(VLOOKUP(I62,INDIRECT(J$50),8,FALSE)&lt;10,"0",""),VLOOKUP(I62,INDIRECT(J$50),8,FALSE),VLOOKUP(I62,INDIRECT(J$50),12,FALSE)))</f>
        <v>150502_10c</v>
      </c>
      <c r="K62" s="50">
        <f t="shared" ca="1" si="14"/>
        <v>50</v>
      </c>
      <c r="L62" s="5" t="str">
        <f t="shared" ref="L62" ca="1" si="82">IF(K62=0,"",CONCATENATE(VLOOKUP(K62,INDIRECT(L$50),2,FALSE),"_",IF(VLOOKUP(K62,INDIRECT(L$50),8,FALSE)&lt;10,"0",""),VLOOKUP(K62,INDIRECT(L$50),8,FALSE),VLOOKUP(K62,INDIRECT(L$50),12,FALSE)))</f>
        <v>160602_11c</v>
      </c>
      <c r="M62" s="50">
        <f t="shared" ca="1" si="16"/>
        <v>17</v>
      </c>
      <c r="N62" s="5" t="str">
        <f t="shared" ref="N62" ca="1" si="83">IF(M62=0,"",CONCATENATE(VLOOKUP(M62,INDIRECT(N$50),2,FALSE),"_",IF(VLOOKUP(M62,INDIRECT(N$50),8,FALSE)&lt;10,"0",""),VLOOKUP(M62,INDIRECT(N$50),8,FALSE),VLOOKUP(M62,INDIRECT(N$50),12,FALSE)))</f>
        <v>260704_14e</v>
      </c>
      <c r="O62" s="50">
        <f t="shared" ca="1" si="18"/>
        <v>26</v>
      </c>
      <c r="P62" s="5" t="str">
        <f t="shared" ref="P62" ca="1" si="84">IF(O62=0,"",CONCATENATE(VLOOKUP(O62,INDIRECT(P$50),2,FALSE),"_",IF(VLOOKUP(O62,INDIRECT(P$50),8,FALSE)&lt;10,"0",""),VLOOKUP(O62,INDIRECT(P$50),8,FALSE),VLOOKUP(O62,INDIRECT(P$50),12,FALSE)))</f>
        <v>180804_05s</v>
      </c>
      <c r="Q62" s="50">
        <f t="shared" ca="1" si="20"/>
        <v>13</v>
      </c>
      <c r="R62" s="5" t="str">
        <f t="shared" ref="R62" ca="1" si="85">IF(Q62=0,"",CONCATENATE(VLOOKUP(Q62,INDIRECT(R$50),2,FALSE),"_",IF(VLOOKUP(Q62,INDIRECT(R$50),8,FALSE)&lt;10,"0",""),VLOOKUP(Q62,INDIRECT(R$50),8,FALSE),VLOOKUP(Q62,INDIRECT(R$50),12,FALSE)))</f>
        <v>280904_10c</v>
      </c>
      <c r="S62" s="50">
        <f t="shared" ca="1" si="22"/>
        <v>9</v>
      </c>
      <c r="T62" s="5" t="str">
        <f t="shared" ref="T62" ca="1" si="86">IF(S62=0,"",CONCATENATE(VLOOKUP(S62,INDIRECT(T$50),2,FALSE),"_",IF(VLOOKUP(S62,INDIRECT(T$50),8,FALSE)&lt;10,"0",""),VLOOKUP(S62,INDIRECT(T$50),8,FALSE),VLOOKUP(S62,INDIRECT(T$50),12,FALSE)))</f>
        <v>221004_05s</v>
      </c>
    </row>
    <row r="63" spans="1:20" ht="15" customHeight="1">
      <c r="A63" s="4"/>
      <c r="B63" s="50"/>
      <c r="C63" s="50">
        <f t="shared" ca="1" si="8"/>
        <v>12</v>
      </c>
      <c r="D63" s="5" t="str">
        <f t="shared" ca="1" si="0"/>
        <v>120201_33c</v>
      </c>
      <c r="E63" s="50">
        <f t="shared" ca="1" si="9"/>
        <v>23</v>
      </c>
      <c r="F63" s="5" t="str">
        <f t="shared" ca="1" si="0"/>
        <v>110302_10e</v>
      </c>
      <c r="G63" s="50">
        <f t="shared" ca="1" si="10"/>
        <v>46</v>
      </c>
      <c r="H63" s="5" t="str">
        <f t="shared" ref="H63" ca="1" si="87">IF(G63=0,"",CONCATENATE(VLOOKUP(G63,INDIRECT(H$50),2,FALSE),"_",IF(VLOOKUP(G63,INDIRECT(H$50),8,FALSE)&lt;10,"0",""),VLOOKUP(G63,INDIRECT(H$50),8,FALSE),VLOOKUP(G63,INDIRECT(H$50),12,FALSE)))</f>
        <v>120402_08c</v>
      </c>
      <c r="I63" s="50">
        <f t="shared" ca="1" si="12"/>
        <v>49</v>
      </c>
      <c r="J63" s="5" t="str">
        <f t="shared" ref="J63" ca="1" si="88">IF(I63=0,"",CONCATENATE(VLOOKUP(I63,INDIRECT(J$50),2,FALSE),"_",IF(VLOOKUP(I63,INDIRECT(J$50),8,FALSE)&lt;10,"0",""),VLOOKUP(I63,INDIRECT(J$50),8,FALSE),VLOOKUP(I63,INDIRECT(J$50),12,FALSE)))</f>
        <v>150502_14e</v>
      </c>
      <c r="K63" s="50">
        <f t="shared" ca="1" si="14"/>
        <v>49</v>
      </c>
      <c r="L63" s="5" t="str">
        <f t="shared" ref="L63" ca="1" si="89">IF(K63=0,"",CONCATENATE(VLOOKUP(K63,INDIRECT(L$50),2,FALSE),"_",IF(VLOOKUP(K63,INDIRECT(L$50),8,FALSE)&lt;10,"0",""),VLOOKUP(K63,INDIRECT(L$50),8,FALSE),VLOOKUP(K63,INDIRECT(L$50),12,FALSE)))</f>
        <v>160603_07s</v>
      </c>
      <c r="M63" s="50">
        <f t="shared" ca="1" si="16"/>
        <v>16</v>
      </c>
      <c r="N63" s="5" t="str">
        <f t="shared" ref="N63" ca="1" si="90">IF(M63=0,"",CONCATENATE(VLOOKUP(M63,INDIRECT(N$50),2,FALSE),"_",IF(VLOOKUP(M63,INDIRECT(N$50),8,FALSE)&lt;10,"0",""),VLOOKUP(M63,INDIRECT(N$50),8,FALSE),VLOOKUP(M63,INDIRECT(N$50),12,FALSE)))</f>
        <v>260706_10e</v>
      </c>
      <c r="O63" s="50">
        <f t="shared" ca="1" si="18"/>
        <v>25</v>
      </c>
      <c r="P63" s="5" t="str">
        <f t="shared" ref="P63" ca="1" si="91">IF(O63=0,"",CONCATENATE(VLOOKUP(O63,INDIRECT(P$50),2,FALSE),"_",IF(VLOOKUP(O63,INDIRECT(P$50),8,FALSE)&lt;10,"0",""),VLOOKUP(O63,INDIRECT(P$50),8,FALSE),VLOOKUP(O63,INDIRECT(P$50),12,FALSE)))</f>
        <v>190804_05s</v>
      </c>
      <c r="Q63" s="50">
        <f t="shared" ca="1" si="20"/>
        <v>12</v>
      </c>
      <c r="R63" s="5" t="str">
        <f t="shared" ref="R63" ca="1" si="92">IF(Q63=0,"",CONCATENATE(VLOOKUP(Q63,INDIRECT(R$50),2,FALSE),"_",IF(VLOOKUP(Q63,INDIRECT(R$50),8,FALSE)&lt;10,"0",""),VLOOKUP(Q63,INDIRECT(R$50),8,FALSE),VLOOKUP(Q63,INDIRECT(R$50),12,FALSE)))</f>
        <v>340902_34e</v>
      </c>
      <c r="S63" s="50">
        <f t="shared" ca="1" si="22"/>
        <v>8</v>
      </c>
      <c r="T63" s="5" t="str">
        <f t="shared" ref="T63" ca="1" si="93">IF(S63=0,"",CONCATENATE(VLOOKUP(S63,INDIRECT(T$50),2,FALSE),"_",IF(VLOOKUP(S63,INDIRECT(T$50),8,FALSE)&lt;10,"0",""),VLOOKUP(S63,INDIRECT(T$50),8,FALSE),VLOOKUP(S63,INDIRECT(T$50),12,FALSE)))</f>
        <v>221005_05s</v>
      </c>
    </row>
    <row r="64" spans="1:20" ht="15" customHeight="1">
      <c r="A64" s="4"/>
      <c r="B64" s="50"/>
      <c r="C64" s="50">
        <f t="shared" ca="1" si="8"/>
        <v>11</v>
      </c>
      <c r="D64" s="5" t="str">
        <f t="shared" ca="1" si="0"/>
        <v>120202_15c</v>
      </c>
      <c r="E64" s="50">
        <f t="shared" ca="1" si="9"/>
        <v>22</v>
      </c>
      <c r="F64" s="5" t="str">
        <f t="shared" ca="1" si="0"/>
        <v>120301_22e</v>
      </c>
      <c r="G64" s="50">
        <f t="shared" ca="1" si="10"/>
        <v>45</v>
      </c>
      <c r="H64" s="5" t="str">
        <f t="shared" ref="H64" ca="1" si="94">IF(G64=0,"",CONCATENATE(VLOOKUP(G64,INDIRECT(H$50),2,FALSE),"_",IF(VLOOKUP(G64,INDIRECT(H$50),8,FALSE)&lt;10,"0",""),VLOOKUP(G64,INDIRECT(H$50),8,FALSE),VLOOKUP(G64,INDIRECT(H$50),12,FALSE)))</f>
        <v>120402_10e</v>
      </c>
      <c r="I64" s="50">
        <f t="shared" ca="1" si="12"/>
        <v>48</v>
      </c>
      <c r="J64" s="5" t="str">
        <f t="shared" ref="J64" ca="1" si="95">IF(I64=0,"",CONCATENATE(VLOOKUP(I64,INDIRECT(J$50),2,FALSE),"_",IF(VLOOKUP(I64,INDIRECT(J$50),8,FALSE)&lt;10,"0",""),VLOOKUP(I64,INDIRECT(J$50),8,FALSE),VLOOKUP(I64,INDIRECT(J$50),12,FALSE)))</f>
        <v>150503_06c</v>
      </c>
      <c r="K64" s="50">
        <f t="shared" ca="1" si="14"/>
        <v>48</v>
      </c>
      <c r="L64" s="5" t="str">
        <f t="shared" ref="L64" ca="1" si="96">IF(K64=0,"",CONCATENATE(VLOOKUP(K64,INDIRECT(L$50),2,FALSE),"_",IF(VLOOKUP(K64,INDIRECT(L$50),8,FALSE)&lt;10,"0",""),VLOOKUP(K64,INDIRECT(L$50),8,FALSE),VLOOKUP(K64,INDIRECT(L$50),12,FALSE)))</f>
        <v>160603_10e</v>
      </c>
      <c r="M64" s="50">
        <f t="shared" ca="1" si="16"/>
        <v>15</v>
      </c>
      <c r="N64" s="5" t="str">
        <f t="shared" ref="N64" ca="1" si="97">IF(M64=0,"",CONCATENATE(VLOOKUP(M64,INDIRECT(N$50),2,FALSE),"_",IF(VLOOKUP(M64,INDIRECT(N$50),8,FALSE)&lt;10,"0",""),VLOOKUP(M64,INDIRECT(N$50),8,FALSE),VLOOKUP(M64,INDIRECT(N$50),12,FALSE)))</f>
        <v>260706_10e</v>
      </c>
      <c r="O64" s="50">
        <f t="shared" ca="1" si="18"/>
        <v>24</v>
      </c>
      <c r="P64" s="5" t="str">
        <f t="shared" ref="P64" ca="1" si="98">IF(O64=0,"",CONCATENATE(VLOOKUP(O64,INDIRECT(P$50),2,FALSE),"_",IF(VLOOKUP(O64,INDIRECT(P$50),8,FALSE)&lt;10,"0",""),VLOOKUP(O64,INDIRECT(P$50),8,FALSE),VLOOKUP(O64,INDIRECT(P$50),12,FALSE)))</f>
        <v>200804_05s</v>
      </c>
      <c r="Q64" s="50">
        <f t="shared" ca="1" si="20"/>
        <v>11</v>
      </c>
      <c r="R64" s="5" t="str">
        <f t="shared" ref="R64" ca="1" si="99">IF(Q64=0,"",CONCATENATE(VLOOKUP(Q64,INDIRECT(R$50),2,FALSE),"_",IF(VLOOKUP(Q64,INDIRECT(R$50),8,FALSE)&lt;10,"0",""),VLOOKUP(Q64,INDIRECT(R$50),8,FALSE),VLOOKUP(Q64,INDIRECT(R$50),12,FALSE)))</f>
        <v>340904_18e</v>
      </c>
      <c r="S64" s="50">
        <f t="shared" ca="1" si="22"/>
        <v>7</v>
      </c>
      <c r="T64" s="5" t="str">
        <f t="shared" ref="T64" ca="1" si="100">IF(S64=0,"",CONCATENATE(VLOOKUP(S64,INDIRECT(T$50),2,FALSE),"_",IF(VLOOKUP(S64,INDIRECT(T$50),8,FALSE)&lt;10,"0",""),VLOOKUP(S64,INDIRECT(T$50),8,FALSE),VLOOKUP(S64,INDIRECT(T$50),12,FALSE)))</f>
        <v>231005_05s</v>
      </c>
    </row>
    <row r="65" spans="1:20" ht="15" customHeight="1">
      <c r="A65" s="4"/>
      <c r="B65" s="50"/>
      <c r="C65" s="50">
        <f t="shared" ca="1" si="8"/>
        <v>10</v>
      </c>
      <c r="D65" s="5" t="str">
        <f t="shared" ca="1" si="0"/>
        <v>130202_18c</v>
      </c>
      <c r="E65" s="50">
        <f t="shared" ca="1" si="9"/>
        <v>21</v>
      </c>
      <c r="F65" s="5" t="str">
        <f t="shared" ca="1" si="0"/>
        <v>120302_10e</v>
      </c>
      <c r="G65" s="50">
        <f t="shared" ca="1" si="10"/>
        <v>44</v>
      </c>
      <c r="H65" s="5" t="str">
        <f t="shared" ref="H65" ca="1" si="101">IF(G65=0,"",CONCATENATE(VLOOKUP(G65,INDIRECT(H$50),2,FALSE),"_",IF(VLOOKUP(G65,INDIRECT(H$50),8,FALSE)&lt;10,"0",""),VLOOKUP(G65,INDIRECT(H$50),8,FALSE),VLOOKUP(G65,INDIRECT(H$50),12,FALSE)))</f>
        <v>120403_05c</v>
      </c>
      <c r="I65" s="50">
        <f t="shared" ca="1" si="12"/>
        <v>47</v>
      </c>
      <c r="J65" s="5" t="e">
        <f t="shared" ref="J65" ca="1" si="102">IF(I65=0,"",CONCATENATE(VLOOKUP(I65,INDIRECT(J$50),2,FALSE),"_",IF(VLOOKUP(I65,INDIRECT(J$50),8,FALSE)&lt;10,"0",""),VLOOKUP(I65,INDIRECT(J$50),8,FALSE),VLOOKUP(I65,INDIRECT(J$50),12,FALSE)))</f>
        <v>#N/A</v>
      </c>
      <c r="K65" s="50">
        <f t="shared" ca="1" si="14"/>
        <v>47</v>
      </c>
      <c r="L65" s="5" t="str">
        <f t="shared" ref="L65" ca="1" si="103">IF(K65=0,"",CONCATENATE(VLOOKUP(K65,INDIRECT(L$50),2,FALSE),"_",IF(VLOOKUP(K65,INDIRECT(L$50),8,FALSE)&lt;10,"0",""),VLOOKUP(K65,INDIRECT(L$50),8,FALSE),VLOOKUP(K65,INDIRECT(L$50),12,FALSE)))</f>
        <v>160604_04s</v>
      </c>
      <c r="M65" s="50">
        <f t="shared" ca="1" si="16"/>
        <v>14</v>
      </c>
      <c r="N65" s="5" t="str">
        <f t="shared" ref="N65" ca="1" si="104">IF(M65=0,"",CONCATENATE(VLOOKUP(M65,INDIRECT(N$50),2,FALSE),"_",IF(VLOOKUP(M65,INDIRECT(N$50),8,FALSE)&lt;10,"0",""),VLOOKUP(M65,INDIRECT(N$50),8,FALSE),VLOOKUP(M65,INDIRECT(N$50),12,FALSE)))</f>
        <v>270701_26e</v>
      </c>
      <c r="O65" s="50">
        <f t="shared" ca="1" si="18"/>
        <v>23</v>
      </c>
      <c r="P65" s="5" t="str">
        <f t="shared" ref="P65" ca="1" si="105">IF(O65=0,"",CONCATENATE(VLOOKUP(O65,INDIRECT(P$50),2,FALSE),"_",IF(VLOOKUP(O65,INDIRECT(P$50),8,FALSE)&lt;10,"0",""),VLOOKUP(O65,INDIRECT(P$50),8,FALSE),VLOOKUP(O65,INDIRECT(P$50),12,FALSE)))</f>
        <v>240802_17c</v>
      </c>
      <c r="Q65" s="50">
        <f t="shared" ca="1" si="20"/>
        <v>10</v>
      </c>
      <c r="R65" s="5" t="str">
        <f t="shared" ref="R65" ca="1" si="106">IF(Q65=0,"",CONCATENATE(VLOOKUP(Q65,INDIRECT(R$50),2,FALSE),"_",IF(VLOOKUP(Q65,INDIRECT(R$50),8,FALSE)&lt;10,"0",""),VLOOKUP(Q65,INDIRECT(R$50),8,FALSE),VLOOKUP(Q65,INDIRECT(R$50),12,FALSE)))</f>
        <v>340904_18e</v>
      </c>
      <c r="S65" s="50">
        <f t="shared" ca="1" si="22"/>
        <v>6</v>
      </c>
      <c r="T65" s="5" t="str">
        <f t="shared" ref="T65" ca="1" si="107">IF(S65=0,"",CONCATENATE(VLOOKUP(S65,INDIRECT(T$50),2,FALSE),"_",IF(VLOOKUP(S65,INDIRECT(T$50),8,FALSE)&lt;10,"0",""),VLOOKUP(S65,INDIRECT(T$50),8,FALSE),VLOOKUP(S65,INDIRECT(T$50),12,FALSE)))</f>
        <v>241005_05s</v>
      </c>
    </row>
    <row r="66" spans="1:20" ht="15" customHeight="1">
      <c r="A66" s="4"/>
      <c r="B66" s="50"/>
      <c r="C66" s="50">
        <f t="shared" ca="1" si="8"/>
        <v>9</v>
      </c>
      <c r="D66" s="5" t="str">
        <f t="shared" ca="1" si="0"/>
        <v>130202_20c</v>
      </c>
      <c r="E66" s="50">
        <f t="shared" ca="1" si="9"/>
        <v>20</v>
      </c>
      <c r="F66" s="5" t="str">
        <f t="shared" ca="1" si="0"/>
        <v>120303_06e</v>
      </c>
      <c r="G66" s="50">
        <f t="shared" ca="1" si="10"/>
        <v>43</v>
      </c>
      <c r="H66" s="5" t="str">
        <f t="shared" ref="H66" ca="1" si="108">IF(G66=0,"",CONCATENATE(VLOOKUP(G66,INDIRECT(H$50),2,FALSE),"_",IF(VLOOKUP(G66,INDIRECT(H$50),8,FALSE)&lt;10,"0",""),VLOOKUP(G66,INDIRECT(H$50),8,FALSE),VLOOKUP(G66,INDIRECT(H$50),12,FALSE)))</f>
        <v>130401_20c</v>
      </c>
      <c r="I66" s="50">
        <f t="shared" ca="1" si="12"/>
        <v>46</v>
      </c>
      <c r="J66" s="5" t="str">
        <f t="shared" ref="J66" ca="1" si="109">IF(I66=0,"",CONCATENATE(VLOOKUP(I66,INDIRECT(J$50),2,FALSE),"_",IF(VLOOKUP(I66,INDIRECT(J$50),8,FALSE)&lt;10,"0",""),VLOOKUP(I66,INDIRECT(J$50),8,FALSE),VLOOKUP(I66,INDIRECT(J$50),12,FALSE)))</f>
        <v>150503_10e</v>
      </c>
      <c r="K66" s="50">
        <f t="shared" ca="1" si="14"/>
        <v>46</v>
      </c>
      <c r="L66" s="5" t="str">
        <f t="shared" ref="L66" ca="1" si="110">IF(K66=0,"",CONCATENATE(VLOOKUP(K66,INDIRECT(L$50),2,FALSE),"_",IF(VLOOKUP(K66,INDIRECT(L$50),8,FALSE)&lt;10,"0",""),VLOOKUP(K66,INDIRECT(L$50),8,FALSE),VLOOKUP(K66,INDIRECT(L$50),12,FALSE)))</f>
        <v>170603_10e</v>
      </c>
      <c r="M66" s="50">
        <f t="shared" ca="1" si="16"/>
        <v>13</v>
      </c>
      <c r="N66" s="5" t="str">
        <f t="shared" ref="N66" ca="1" si="111">IF(M66=0,"",CONCATENATE(VLOOKUP(M66,INDIRECT(N$50),2,FALSE),"_",IF(VLOOKUP(M66,INDIRECT(N$50),8,FALSE)&lt;10,"0",""),VLOOKUP(M66,INDIRECT(N$50),8,FALSE),VLOOKUP(M66,INDIRECT(N$50),12,FALSE)))</f>
        <v>270701_28e</v>
      </c>
      <c r="O66" s="50">
        <f t="shared" ca="1" si="18"/>
        <v>22</v>
      </c>
      <c r="P66" s="5" t="str">
        <f t="shared" ref="P66" ca="1" si="112">IF(O66=0,"",CONCATENATE(VLOOKUP(O66,INDIRECT(P$50),2,FALSE),"_",IF(VLOOKUP(O66,INDIRECT(P$50),8,FALSE)&lt;10,"0",""),VLOOKUP(O66,INDIRECT(P$50),8,FALSE),VLOOKUP(O66,INDIRECT(P$50),12,FALSE)))</f>
        <v>260802_20c</v>
      </c>
      <c r="Q66" s="50">
        <f t="shared" ca="1" si="20"/>
        <v>9</v>
      </c>
      <c r="R66" s="5" t="str">
        <f t="shared" ref="R66" ca="1" si="113">IF(Q66=0,"",CONCATENATE(VLOOKUP(Q66,INDIRECT(R$50),2,FALSE),"_",IF(VLOOKUP(Q66,INDIRECT(R$50),8,FALSE)&lt;10,"0",""),VLOOKUP(Q66,INDIRECT(R$50),8,FALSE),VLOOKUP(Q66,INDIRECT(R$50),12,FALSE)))</f>
        <v>340905_14e</v>
      </c>
      <c r="S66" s="50">
        <f t="shared" ca="1" si="22"/>
        <v>5</v>
      </c>
      <c r="T66" s="5" t="str">
        <f t="shared" ref="T66" ca="1" si="114">IF(S66=0,"",CONCATENATE(VLOOKUP(S66,INDIRECT(T$50),2,FALSE),"_",IF(VLOOKUP(S66,INDIRECT(T$50),8,FALSE)&lt;10,"0",""),VLOOKUP(S66,INDIRECT(T$50),8,FALSE),VLOOKUP(S66,INDIRECT(T$50),12,FALSE)))</f>
        <v>251001_30L</v>
      </c>
    </row>
    <row r="67" spans="1:20" ht="15" customHeight="1">
      <c r="A67" s="4"/>
      <c r="B67" s="50"/>
      <c r="C67" s="50">
        <f t="shared" ca="1" si="8"/>
        <v>8</v>
      </c>
      <c r="D67" s="5" t="str">
        <f t="shared" ca="1" si="0"/>
        <v>130202_20c</v>
      </c>
      <c r="E67" s="50">
        <f t="shared" ca="1" si="9"/>
        <v>19</v>
      </c>
      <c r="F67" s="5" t="str">
        <f t="shared" ca="1" si="0"/>
        <v>120303_06c</v>
      </c>
      <c r="G67" s="50">
        <f t="shared" ca="1" si="10"/>
        <v>42</v>
      </c>
      <c r="H67" s="5" t="str">
        <f t="shared" ref="H67" ca="1" si="115">IF(G67=0,"",CONCATENATE(VLOOKUP(G67,INDIRECT(H$50),2,FALSE),"_",IF(VLOOKUP(G67,INDIRECT(H$50),8,FALSE)&lt;10,"0",""),VLOOKUP(G67,INDIRECT(H$50),8,FALSE),VLOOKUP(G67,INDIRECT(H$50),12,FALSE)))</f>
        <v>130401_20c</v>
      </c>
      <c r="I67" s="50">
        <f t="shared" ca="1" si="12"/>
        <v>45</v>
      </c>
      <c r="J67" s="5" t="str">
        <f t="shared" ref="J67" ca="1" si="116">IF(I67=0,"",CONCATENATE(VLOOKUP(I67,INDIRECT(J$50),2,FALSE),"_",IF(VLOOKUP(I67,INDIRECT(J$50),8,FALSE)&lt;10,"0",""),VLOOKUP(I67,INDIRECT(J$50),8,FALSE),VLOOKUP(I67,INDIRECT(J$50),12,FALSE)))</f>
        <v>160502_12c</v>
      </c>
      <c r="K67" s="50">
        <f t="shared" ca="1" si="14"/>
        <v>45</v>
      </c>
      <c r="L67" s="5" t="str">
        <f t="shared" ref="L67" ca="1" si="117">IF(K67=0,"",CONCATENATE(VLOOKUP(K67,INDIRECT(L$50),2,FALSE),"_",IF(VLOOKUP(K67,INDIRECT(L$50),8,FALSE)&lt;10,"0",""),VLOOKUP(K67,INDIRECT(L$50),8,FALSE),VLOOKUP(K67,INDIRECT(L$50),12,FALSE)))</f>
        <v>180603_10e</v>
      </c>
      <c r="M67" s="50">
        <f t="shared" ca="1" si="16"/>
        <v>12</v>
      </c>
      <c r="N67" s="5" t="str">
        <f t="shared" ref="N67" ca="1" si="118">IF(M67=0,"",CONCATENATE(VLOOKUP(M67,INDIRECT(N$50),2,FALSE),"_",IF(VLOOKUP(M67,INDIRECT(N$50),8,FALSE)&lt;10,"0",""),VLOOKUP(M67,INDIRECT(N$50),8,FALSE),VLOOKUP(M67,INDIRECT(N$50),12,FALSE)))</f>
        <v>270702_26e</v>
      </c>
      <c r="O67" s="50">
        <f t="shared" ca="1" si="18"/>
        <v>21</v>
      </c>
      <c r="P67" s="5" t="str">
        <f t="shared" ref="P67" ca="1" si="119">IF(O67=0,"",CONCATENATE(VLOOKUP(O67,INDIRECT(P$50),2,FALSE),"_",IF(VLOOKUP(O67,INDIRECT(P$50),8,FALSE)&lt;10,"0",""),VLOOKUP(O67,INDIRECT(P$50),8,FALSE),VLOOKUP(O67,INDIRECT(P$50),12,FALSE)))</f>
        <v>280804_12c</v>
      </c>
      <c r="Q67" s="50">
        <f t="shared" ca="1" si="20"/>
        <v>8</v>
      </c>
      <c r="R67" s="5" t="str">
        <f t="shared" ref="R67" ca="1" si="120">IF(Q67=0,"",CONCATENATE(VLOOKUP(Q67,INDIRECT(R$50),2,FALSE),"_",IF(VLOOKUP(Q67,INDIRECT(R$50),8,FALSE)&lt;10,"0",""),VLOOKUP(Q67,INDIRECT(R$50),8,FALSE),VLOOKUP(Q67,INDIRECT(R$50),12,FALSE)))</f>
        <v>350902_34e</v>
      </c>
      <c r="S67" s="50">
        <f t="shared" ca="1" si="22"/>
        <v>4</v>
      </c>
      <c r="T67" s="5" t="str">
        <f t="shared" ref="T67" ca="1" si="121">IF(S67=0,"",CONCATENATE(VLOOKUP(S67,INDIRECT(T$50),2,FALSE),"_",IF(VLOOKUP(S67,INDIRECT(T$50),8,FALSE)&lt;10,"0",""),VLOOKUP(S67,INDIRECT(T$50),8,FALSE),VLOOKUP(S67,INDIRECT(T$50),12,FALSE)))</f>
        <v>251005_05s</v>
      </c>
    </row>
    <row r="68" spans="1:20" ht="15" customHeight="1">
      <c r="A68" s="4"/>
      <c r="B68" s="50"/>
      <c r="C68" s="50">
        <f t="shared" ca="1" si="8"/>
        <v>7</v>
      </c>
      <c r="D68" s="5" t="str">
        <f t="shared" ca="1" si="0"/>
        <v>140202_21c</v>
      </c>
      <c r="E68" s="50">
        <f t="shared" ca="1" si="9"/>
        <v>18</v>
      </c>
      <c r="F68" s="5" t="str">
        <f t="shared" ca="1" si="0"/>
        <v>130301_26e</v>
      </c>
      <c r="G68" s="50">
        <f t="shared" ca="1" si="10"/>
        <v>41</v>
      </c>
      <c r="H68" s="5" t="str">
        <f t="shared" ref="H68" ca="1" si="122">IF(G68=0,"",CONCATENATE(VLOOKUP(G68,INDIRECT(H$50),2,FALSE),"_",IF(VLOOKUP(G68,INDIRECT(H$50),8,FALSE)&lt;10,"0",""),VLOOKUP(G68,INDIRECT(H$50),8,FALSE),VLOOKUP(G68,INDIRECT(H$50),12,FALSE)))</f>
        <v>130401_26e</v>
      </c>
      <c r="I68" s="50">
        <f t="shared" ca="1" si="12"/>
        <v>44</v>
      </c>
      <c r="J68" s="5" t="str">
        <f t="shared" ref="J68" ca="1" si="123">IF(I68=0,"",CONCATENATE(VLOOKUP(I68,INDIRECT(J$50),2,FALSE),"_",IF(VLOOKUP(I68,INDIRECT(J$50),8,FALSE)&lt;10,"0",""),VLOOKUP(I68,INDIRECT(J$50),8,FALSE),VLOOKUP(I68,INDIRECT(J$50),12,FALSE)))</f>
        <v>160502_14e</v>
      </c>
      <c r="K68" s="50">
        <f t="shared" ca="1" si="14"/>
        <v>44</v>
      </c>
      <c r="L68" s="5" t="str">
        <f t="shared" ref="L68" ca="1" si="124">IF(K68=0,"",CONCATENATE(VLOOKUP(K68,INDIRECT(L$50),2,FALSE),"_",IF(VLOOKUP(K68,INDIRECT(L$50),8,FALSE)&lt;10,"0",""),VLOOKUP(K68,INDIRECT(L$50),8,FALSE),VLOOKUP(K68,INDIRECT(L$50),12,FALSE)))</f>
        <v>190604_10e</v>
      </c>
      <c r="M68" s="50">
        <f t="shared" ca="1" si="16"/>
        <v>11</v>
      </c>
      <c r="N68" s="5" t="str">
        <f t="shared" ref="N68" ca="1" si="125">IF(M68=0,"",CONCATENATE(VLOOKUP(M68,INDIRECT(N$50),2,FALSE),"_",IF(VLOOKUP(M68,INDIRECT(N$50),8,FALSE)&lt;10,"0",""),VLOOKUP(M68,INDIRECT(N$50),8,FALSE),VLOOKUP(M68,INDIRECT(N$50),12,FALSE)))</f>
        <v>280701_28e</v>
      </c>
      <c r="O68" s="50">
        <f t="shared" ca="1" si="18"/>
        <v>20</v>
      </c>
      <c r="P68" s="5" t="str">
        <f t="shared" ref="P68" ca="1" si="126">IF(O68=0,"",CONCATENATE(VLOOKUP(O68,INDIRECT(P$50),2,FALSE),"_",IF(VLOOKUP(O68,INDIRECT(P$50),8,FALSE)&lt;10,"0",""),VLOOKUP(O68,INDIRECT(P$50),8,FALSE),VLOOKUP(O68,INDIRECT(P$50),12,FALSE)))</f>
        <v>300801_28e</v>
      </c>
      <c r="Q68" s="50">
        <f t="shared" ca="1" si="20"/>
        <v>7</v>
      </c>
      <c r="R68" s="5" t="str">
        <f t="shared" ref="R68" ca="1" si="127">IF(Q68=0,"",CONCATENATE(VLOOKUP(Q68,INDIRECT(R$50),2,FALSE),"_",IF(VLOOKUP(Q68,INDIRECT(R$50),8,FALSE)&lt;10,"0",""),VLOOKUP(Q68,INDIRECT(R$50),8,FALSE),VLOOKUP(Q68,INDIRECT(R$50),12,FALSE)))</f>
        <v>360901_36e</v>
      </c>
      <c r="S68" s="50">
        <f t="shared" ca="1" si="22"/>
        <v>3</v>
      </c>
      <c r="T68" s="5" t="str">
        <f t="shared" ref="T68" ca="1" si="128">IF(S68=0,"",CONCATENATE(VLOOKUP(S68,INDIRECT(T$50),2,FALSE),"_",IF(VLOOKUP(S68,INDIRECT(T$50),8,FALSE)&lt;10,"0",""),VLOOKUP(S68,INDIRECT(T$50),8,FALSE),VLOOKUP(S68,INDIRECT(T$50),12,FALSE)))</f>
        <v>261002_18c</v>
      </c>
    </row>
    <row r="69" spans="1:20" ht="15" customHeight="1">
      <c r="A69" s="4"/>
      <c r="B69" s="50"/>
      <c r="C69" s="50">
        <f t="shared" ca="1" si="8"/>
        <v>6</v>
      </c>
      <c r="D69" s="5" t="str">
        <f t="shared" ca="1" si="0"/>
        <v>140202_25c</v>
      </c>
      <c r="E69" s="50">
        <f t="shared" ca="1" si="9"/>
        <v>17</v>
      </c>
      <c r="F69" s="5" t="str">
        <f t="shared" ca="1" si="0"/>
        <v>130301_26c</v>
      </c>
      <c r="G69" s="50">
        <f t="shared" ca="1" si="10"/>
        <v>40</v>
      </c>
      <c r="H69" s="5" t="str">
        <f t="shared" ref="H69" ca="1" si="129">IF(G69=0,"",CONCATENATE(VLOOKUP(G69,INDIRECT(H$50),2,FALSE),"_",IF(VLOOKUP(G69,INDIRECT(H$50),8,FALSE)&lt;10,"0",""),VLOOKUP(G69,INDIRECT(H$50),8,FALSE),VLOOKUP(G69,INDIRECT(H$50),12,FALSE)))</f>
        <v>130402_09c</v>
      </c>
      <c r="I69" s="50">
        <f t="shared" ca="1" si="12"/>
        <v>43</v>
      </c>
      <c r="J69" s="5" t="str">
        <f t="shared" ref="J69" ca="1" si="130">IF(I69=0,"",CONCATENATE(VLOOKUP(I69,INDIRECT(J$50),2,FALSE),"_",IF(VLOOKUP(I69,INDIRECT(J$50),8,FALSE)&lt;10,"0",""),VLOOKUP(I69,INDIRECT(J$50),8,FALSE),VLOOKUP(I69,INDIRECT(J$50),12,FALSE)))</f>
        <v>160503_10e</v>
      </c>
      <c r="K69" s="50">
        <f t="shared" ca="1" si="14"/>
        <v>43</v>
      </c>
      <c r="L69" s="5" t="str">
        <f t="shared" ref="L69" ca="1" si="131">IF(K69=0,"",CONCATENATE(VLOOKUP(K69,INDIRECT(L$50),2,FALSE),"_",IF(VLOOKUP(K69,INDIRECT(L$50),8,FALSE)&lt;10,"0",""),VLOOKUP(K69,INDIRECT(L$50),8,FALSE),VLOOKUP(K69,INDIRECT(L$50),12,FALSE)))</f>
        <v>200604_07c</v>
      </c>
      <c r="M69" s="50">
        <f t="shared" ca="1" si="16"/>
        <v>10</v>
      </c>
      <c r="N69" s="5" t="str">
        <f t="shared" ref="N69" ca="1" si="132">IF(M69=0,"",CONCATENATE(VLOOKUP(M69,INDIRECT(N$50),2,FALSE),"_",IF(VLOOKUP(M69,INDIRECT(N$50),8,FALSE)&lt;10,"0",""),VLOOKUP(M69,INDIRECT(N$50),8,FALSE),VLOOKUP(M69,INDIRECT(N$50),12,FALSE)))</f>
        <v>280702_26e</v>
      </c>
      <c r="O69" s="50">
        <f t="shared" ca="1" si="18"/>
        <v>19</v>
      </c>
      <c r="P69" s="5" t="str">
        <f t="shared" ref="P69" ca="1" si="133">IF(O69=0,"",CONCATENATE(VLOOKUP(O69,INDIRECT(P$50),2,FALSE),"_",IF(VLOOKUP(O69,INDIRECT(P$50),8,FALSE)&lt;10,"0",""),VLOOKUP(O69,INDIRECT(P$50),8,FALSE),VLOOKUP(O69,INDIRECT(P$50),12,FALSE)))</f>
        <v>300802_30e</v>
      </c>
      <c r="Q69" s="50">
        <f t="shared" ca="1" si="20"/>
        <v>6</v>
      </c>
      <c r="R69" s="5" t="str">
        <f t="shared" ref="R69" ca="1" si="134">IF(Q69=0,"",CONCATENATE(VLOOKUP(Q69,INDIRECT(R$50),2,FALSE),"_",IF(VLOOKUP(Q69,INDIRECT(R$50),8,FALSE)&lt;10,"0",""),VLOOKUP(Q69,INDIRECT(R$50),8,FALSE),VLOOKUP(Q69,INDIRECT(R$50),12,FALSE)))</f>
        <v>360902_34e</v>
      </c>
      <c r="S69" s="50">
        <f t="shared" ca="1" si="22"/>
        <v>2</v>
      </c>
      <c r="T69" s="5" t="str">
        <f t="shared" ref="T69" ca="1" si="135">IF(S69=0,"",CONCATENATE(VLOOKUP(S69,INDIRECT(T$50),2,FALSE),"_",IF(VLOOKUP(S69,INDIRECT(T$50),8,FALSE)&lt;10,"0",""),VLOOKUP(S69,INDIRECT(T$50),8,FALSE),VLOOKUP(S69,INDIRECT(T$50),12,FALSE)))</f>
        <v>281004_09c</v>
      </c>
    </row>
    <row r="70" spans="1:20" ht="15" customHeight="1">
      <c r="A70" s="4"/>
      <c r="B70" s="50"/>
      <c r="C70" s="50">
        <f t="shared" ca="1" si="8"/>
        <v>5</v>
      </c>
      <c r="D70" s="5" t="str">
        <f t="shared" ca="1" si="0"/>
        <v>140202_25c</v>
      </c>
      <c r="E70" s="50">
        <f t="shared" ca="1" si="9"/>
        <v>16</v>
      </c>
      <c r="F70" s="5" t="str">
        <f t="shared" ca="1" si="0"/>
        <v>130302_13e</v>
      </c>
      <c r="G70" s="50">
        <f t="shared" ca="1" si="10"/>
        <v>39</v>
      </c>
      <c r="H70" s="5" t="str">
        <f t="shared" ref="H70" ca="1" si="136">IF(G70=0,"",CONCATENATE(VLOOKUP(G70,INDIRECT(H$50),2,FALSE),"_",IF(VLOOKUP(G70,INDIRECT(H$50),8,FALSE)&lt;10,"0",""),VLOOKUP(G70,INDIRECT(H$50),8,FALSE),VLOOKUP(G70,INDIRECT(H$50),12,FALSE)))</f>
        <v>130402_13e</v>
      </c>
      <c r="I70" s="50">
        <f t="shared" ca="1" si="12"/>
        <v>42</v>
      </c>
      <c r="J70" s="5" t="str">
        <f t="shared" ref="J70" ca="1" si="137">IF(I70=0,"",CONCATENATE(VLOOKUP(I70,INDIRECT(J$50),2,FALSE),"_",IF(VLOOKUP(I70,INDIRECT(J$50),8,FALSE)&lt;10,"0",""),VLOOKUP(I70,INDIRECT(J$50),8,FALSE),VLOOKUP(I70,INDIRECT(J$50),12,FALSE)))</f>
        <v>170503_08c</v>
      </c>
      <c r="K70" s="50">
        <f t="shared" ca="1" si="14"/>
        <v>42</v>
      </c>
      <c r="L70" s="5" t="str">
        <f t="shared" ref="L70" ca="1" si="138">IF(K70=0,"",CONCATENATE(VLOOKUP(K70,INDIRECT(L$50),2,FALSE),"_",IF(VLOOKUP(K70,INDIRECT(L$50),8,FALSE)&lt;10,"0",""),VLOOKUP(K70,INDIRECT(L$50),8,FALSE),VLOOKUP(K70,INDIRECT(L$50),12,FALSE)))</f>
        <v>200604_09c</v>
      </c>
      <c r="M70" s="50">
        <f t="shared" ca="1" si="16"/>
        <v>9</v>
      </c>
      <c r="N70" s="5" t="str">
        <f t="shared" ref="N70" ca="1" si="139">IF(M70=0,"",CONCATENATE(VLOOKUP(M70,INDIRECT(N$50),2,FALSE),"_",IF(VLOOKUP(M70,INDIRECT(N$50),8,FALSE)&lt;10,"0",""),VLOOKUP(M70,INDIRECT(N$50),8,FALSE),VLOOKUP(M70,INDIRECT(N$50),12,FALSE)))</f>
        <v>280703_18e</v>
      </c>
      <c r="O70" s="50">
        <f t="shared" ca="1" si="18"/>
        <v>18</v>
      </c>
      <c r="P70" s="5" t="str">
        <f t="shared" ref="P70" ca="1" si="140">IF(O70=0,"",CONCATENATE(VLOOKUP(O70,INDIRECT(P$50),2,FALSE),"_",IF(VLOOKUP(O70,INDIRECT(P$50),8,FALSE)&lt;10,"0",""),VLOOKUP(O70,INDIRECT(P$50),8,FALSE),VLOOKUP(O70,INDIRECT(P$50),12,FALSE)))</f>
        <v>300803_18e</v>
      </c>
      <c r="Q70" s="50">
        <f t="shared" ca="1" si="20"/>
        <v>5</v>
      </c>
      <c r="R70" s="5" t="str">
        <f t="shared" ref="R70" ca="1" si="141">IF(Q70=0,"",CONCATENATE(VLOOKUP(Q70,INDIRECT(R$50),2,FALSE),"_",IF(VLOOKUP(Q70,INDIRECT(R$50),8,FALSE)&lt;10,"0",""),VLOOKUP(Q70,INDIRECT(R$50),8,FALSE),VLOOKUP(Q70,INDIRECT(R$50),12,FALSE)))</f>
        <v>360903_22e</v>
      </c>
      <c r="S70" s="50">
        <f t="shared" ca="1" si="22"/>
        <v>1</v>
      </c>
      <c r="T70" s="5" t="str">
        <f t="shared" ref="T70" ca="1" si="142">IF(S70=0,"",CONCATENATE(VLOOKUP(S70,INDIRECT(T$50),2,FALSE),"_",IF(VLOOKUP(S70,INDIRECT(T$50),8,FALSE)&lt;10,"0",""),VLOOKUP(S70,INDIRECT(T$50),8,FALSE),VLOOKUP(S70,INDIRECT(T$50),12,FALSE)))</f>
        <v>281004_09c</v>
      </c>
    </row>
    <row r="71" spans="1:20" ht="15" customHeight="1">
      <c r="A71" s="4"/>
      <c r="B71" s="50"/>
      <c r="C71" s="50">
        <f t="shared" ca="1" si="8"/>
        <v>4</v>
      </c>
      <c r="D71" s="5" t="str">
        <f t="shared" ca="1" si="0"/>
        <v>150203_15c</v>
      </c>
      <c r="E71" s="50">
        <f t="shared" ca="1" si="9"/>
        <v>15</v>
      </c>
      <c r="F71" s="5" t="str">
        <f t="shared" ca="1" si="0"/>
        <v>130303_09e</v>
      </c>
      <c r="G71" s="50">
        <f t="shared" ca="1" si="10"/>
        <v>38</v>
      </c>
      <c r="H71" s="5" t="str">
        <f t="shared" ref="H71" ca="1" si="143">IF(G71=0,"",CONCATENATE(VLOOKUP(G71,INDIRECT(H$50),2,FALSE),"_",IF(VLOOKUP(G71,INDIRECT(H$50),8,FALSE)&lt;10,"0",""),VLOOKUP(G71,INDIRECT(H$50),8,FALSE),VLOOKUP(G71,INDIRECT(H$50),12,FALSE)))</f>
        <v>140401_26e</v>
      </c>
      <c r="I71" s="50">
        <f t="shared" ca="1" si="12"/>
        <v>41</v>
      </c>
      <c r="J71" s="5" t="str">
        <f t="shared" ref="J71" ca="1" si="144">IF(I71=0,"",CONCATENATE(VLOOKUP(I71,INDIRECT(J$50),2,FALSE),"_",IF(VLOOKUP(I71,INDIRECT(J$50),8,FALSE)&lt;10,"0",""),VLOOKUP(I71,INDIRECT(J$50),8,FALSE),VLOOKUP(I71,INDIRECT(J$50),12,FALSE)))</f>
        <v>170503_09c</v>
      </c>
      <c r="K71" s="50">
        <f t="shared" ca="1" si="14"/>
        <v>41</v>
      </c>
      <c r="L71" s="5" t="str">
        <f t="shared" ref="L71" ca="1" si="145">IF(K71=0,"",CONCATENATE(VLOOKUP(K71,INDIRECT(L$50),2,FALSE),"_",IF(VLOOKUP(K71,INDIRECT(L$50),8,FALSE)&lt;10,"0",""),VLOOKUP(K71,INDIRECT(L$50),8,FALSE),VLOOKUP(K71,INDIRECT(L$50),12,FALSE)))</f>
        <v>200604_10e</v>
      </c>
      <c r="M71" s="50">
        <f t="shared" ca="1" si="16"/>
        <v>8</v>
      </c>
      <c r="N71" s="5" t="str">
        <f t="shared" ref="N71" ca="1" si="146">IF(M71=0,"",CONCATENATE(VLOOKUP(M71,INDIRECT(N$50),2,FALSE),"_",IF(VLOOKUP(M71,INDIRECT(N$50),8,FALSE)&lt;10,"0",""),VLOOKUP(M71,INDIRECT(N$50),8,FALSE),VLOOKUP(M71,INDIRECT(N$50),12,FALSE)))</f>
        <v>280704_14e</v>
      </c>
      <c r="O71" s="50">
        <f t="shared" ca="1" si="18"/>
        <v>17</v>
      </c>
      <c r="P71" s="5" t="str">
        <f t="shared" ref="P71" ca="1" si="147">IF(O71=0,"",CONCATENATE(VLOOKUP(O71,INDIRECT(P$50),2,FALSE),"_",IF(VLOOKUP(O71,INDIRECT(P$50),8,FALSE)&lt;10,"0",""),VLOOKUP(O71,INDIRECT(P$50),8,FALSE),VLOOKUP(O71,INDIRECT(P$50),12,FALSE)))</f>
        <v>300804_14e</v>
      </c>
      <c r="Q71" s="50">
        <f t="shared" ca="1" si="20"/>
        <v>4</v>
      </c>
      <c r="R71" s="5" t="str">
        <f t="shared" ref="R71" ca="1" si="148">IF(Q71=0,"",CONCATENATE(VLOOKUP(Q71,INDIRECT(R$50),2,FALSE),"_",IF(VLOOKUP(Q71,INDIRECT(R$50),8,FALSE)&lt;10,"0",""),VLOOKUP(Q71,INDIRECT(R$50),8,FALSE),VLOOKUP(Q71,INDIRECT(R$50),12,FALSE)))</f>
        <v>360904_18e</v>
      </c>
      <c r="S71" s="50">
        <f t="shared" ca="1" si="22"/>
        <v>0</v>
      </c>
      <c r="T71" s="5" t="str">
        <f t="shared" ref="T71" ca="1" si="149">IF(S71=0,"",CONCATENATE(VLOOKUP(S71,INDIRECT(T$50),2,FALSE),"_",IF(VLOOKUP(S71,INDIRECT(T$50),8,FALSE)&lt;10,"0",""),VLOOKUP(S71,INDIRECT(T$50),8,FALSE),VLOOKUP(S71,INDIRECT(T$50),12,FALSE)))</f>
        <v/>
      </c>
    </row>
    <row r="72" spans="1:20" ht="15" customHeight="1">
      <c r="A72" s="4"/>
      <c r="B72" s="50"/>
      <c r="C72" s="50">
        <f t="shared" ca="1" si="8"/>
        <v>3</v>
      </c>
      <c r="D72" s="5" t="str">
        <f t="shared" ca="1" si="0"/>
        <v>160202_28c</v>
      </c>
      <c r="E72" s="50">
        <f t="shared" ca="1" si="9"/>
        <v>14</v>
      </c>
      <c r="F72" s="5" t="str">
        <f t="shared" ca="1" si="0"/>
        <v>140302_14e</v>
      </c>
      <c r="G72" s="50">
        <f t="shared" ca="1" si="10"/>
        <v>37</v>
      </c>
      <c r="H72" s="5" t="str">
        <f t="shared" ref="H72" ca="1" si="150">IF(G72=0,"",CONCATENATE(VLOOKUP(G72,INDIRECT(H$50),2,FALSE),"_",IF(VLOOKUP(G72,INDIRECT(H$50),8,FALSE)&lt;10,"0",""),VLOOKUP(G72,INDIRECT(H$50),8,FALSE),VLOOKUP(G72,INDIRECT(H$50),12,FALSE)))</f>
        <v>140401_26c</v>
      </c>
      <c r="I72" s="50">
        <f t="shared" ca="1" si="12"/>
        <v>40</v>
      </c>
      <c r="J72" s="5" t="str">
        <f t="shared" ref="J72" ca="1" si="151">IF(I72=0,"",CONCATENATE(VLOOKUP(I72,INDIRECT(J$50),2,FALSE),"_",IF(VLOOKUP(I72,INDIRECT(J$50),8,FALSE)&lt;10,"0",""),VLOOKUP(I72,INDIRECT(J$50),8,FALSE),VLOOKUP(I72,INDIRECT(J$50),12,FALSE)))</f>
        <v>180501_34e</v>
      </c>
      <c r="K72" s="50">
        <f t="shared" ca="1" si="14"/>
        <v>40</v>
      </c>
      <c r="L72" s="5" t="str">
        <f t="shared" ref="L72" ca="1" si="152">IF(K72=0,"",CONCATENATE(VLOOKUP(K72,INDIRECT(L$50),2,FALSE),"_",IF(VLOOKUP(K72,INDIRECT(L$50),8,FALSE)&lt;10,"0",""),VLOOKUP(K72,INDIRECT(L$50),8,FALSE),VLOOKUP(K72,INDIRECT(L$50),12,FALSE)))</f>
        <v>210603_14e</v>
      </c>
      <c r="M72" s="50">
        <f t="shared" ca="1" si="16"/>
        <v>7</v>
      </c>
      <c r="N72" s="5" t="str">
        <f t="shared" ref="N72" ca="1" si="153">IF(M72=0,"",CONCATENATE(VLOOKUP(M72,INDIRECT(N$50),2,FALSE),"_",IF(VLOOKUP(M72,INDIRECT(N$50),8,FALSE)&lt;10,"0",""),VLOOKUP(M72,INDIRECT(N$50),8,FALSE),VLOOKUP(M72,INDIRECT(N$50),12,FALSE)))</f>
        <v>280706_10e</v>
      </c>
      <c r="O72" s="50">
        <f t="shared" ca="1" si="18"/>
        <v>16</v>
      </c>
      <c r="P72" s="5" t="str">
        <f t="shared" ref="P72" ca="1" si="154">IF(O72=0,"",CONCATENATE(VLOOKUP(O72,INDIRECT(P$50),2,FALSE),"_",IF(VLOOKUP(O72,INDIRECT(P$50),8,FALSE)&lt;10,"0",""),VLOOKUP(O72,INDIRECT(P$50),8,FALSE),VLOOKUP(O72,INDIRECT(P$50),12,FALSE)))</f>
        <v>310802_30e</v>
      </c>
      <c r="Q72" s="50">
        <f t="shared" ca="1" si="20"/>
        <v>3</v>
      </c>
      <c r="R72" s="5" t="str">
        <f t="shared" ref="R72" ca="1" si="155">IF(Q72=0,"",CONCATENATE(VLOOKUP(Q72,INDIRECT(R$50),2,FALSE),"_",IF(VLOOKUP(Q72,INDIRECT(R$50),8,FALSE)&lt;10,"0",""),VLOOKUP(Q72,INDIRECT(R$50),8,FALSE),VLOOKUP(Q72,INDIRECT(R$50),12,FALSE)))</f>
        <v>360905_14e</v>
      </c>
      <c r="S72" s="50">
        <f t="shared" ca="1" si="22"/>
        <v>0</v>
      </c>
      <c r="T72" s="5" t="str">
        <f t="shared" ref="T72" ca="1" si="156">IF(S72=0,"",CONCATENATE(VLOOKUP(S72,INDIRECT(T$50),2,FALSE),"_",IF(VLOOKUP(S72,INDIRECT(T$50),8,FALSE)&lt;10,"0",""),VLOOKUP(S72,INDIRECT(T$50),8,FALSE),VLOOKUP(S72,INDIRECT(T$50),12,FALSE)))</f>
        <v/>
      </c>
    </row>
    <row r="73" spans="1:20" ht="15" customHeight="1">
      <c r="A73" s="4"/>
      <c r="B73" s="50"/>
      <c r="C73" s="50">
        <f t="shared" ca="1" si="8"/>
        <v>2</v>
      </c>
      <c r="D73" s="5" t="str">
        <f t="shared" ca="1" si="0"/>
        <v>170203_20c</v>
      </c>
      <c r="E73" s="50">
        <f t="shared" ca="1" si="9"/>
        <v>13</v>
      </c>
      <c r="F73" s="5" t="str">
        <f t="shared" ca="1" si="0"/>
        <v>140303_10e</v>
      </c>
      <c r="G73" s="50">
        <f t="shared" ca="1" si="10"/>
        <v>36</v>
      </c>
      <c r="H73" s="5" t="str">
        <f t="shared" ref="H73" ca="1" si="157">IF(G73=0,"",CONCATENATE(VLOOKUP(G73,INDIRECT(H$50),2,FALSE),"_",IF(VLOOKUP(G73,INDIRECT(H$50),8,FALSE)&lt;10,"0",""),VLOOKUP(G73,INDIRECT(H$50),8,FALSE),VLOOKUP(G73,INDIRECT(H$50),12,FALSE)))</f>
        <v>140402_11c</v>
      </c>
      <c r="I73" s="50">
        <f t="shared" ca="1" si="12"/>
        <v>39</v>
      </c>
      <c r="J73" s="5" t="str">
        <f t="shared" ref="J73" ca="1" si="158">IF(I73=0,"",CONCATENATE(VLOOKUP(I73,INDIRECT(J$50),2,FALSE),"_",IF(VLOOKUP(I73,INDIRECT(J$50),8,FALSE)&lt;10,"0",""),VLOOKUP(I73,INDIRECT(J$50),8,FALSE),VLOOKUP(I73,INDIRECT(J$50),12,FALSE)))</f>
        <v>180502_15c</v>
      </c>
      <c r="K73" s="50">
        <f t="shared" ca="1" si="14"/>
        <v>39</v>
      </c>
      <c r="L73" s="5" t="str">
        <f t="shared" ref="L73" ca="1" si="159">IF(K73=0,"",CONCATENATE(VLOOKUP(K73,INDIRECT(L$50),2,FALSE),"_",IF(VLOOKUP(K73,INDIRECT(L$50),8,FALSE)&lt;10,"0",""),VLOOKUP(K73,INDIRECT(L$50),8,FALSE),VLOOKUP(K73,INDIRECT(L$50),12,FALSE)))</f>
        <v>220601_20e</v>
      </c>
      <c r="M73" s="50">
        <f t="shared" ca="1" si="16"/>
        <v>6</v>
      </c>
      <c r="N73" s="5" t="str">
        <f t="shared" ref="N73" ca="1" si="160">IF(M73=0,"",CONCATENATE(VLOOKUP(M73,INDIRECT(N$50),2,FALSE),"_",IF(VLOOKUP(M73,INDIRECT(N$50),8,FALSE)&lt;10,"0",""),VLOOKUP(M73,INDIRECT(N$50),8,FALSE),VLOOKUP(M73,INDIRECT(N$50),12,FALSE)))</f>
        <v>280706_10e</v>
      </c>
      <c r="O73" s="50">
        <f t="shared" ca="1" si="18"/>
        <v>15</v>
      </c>
      <c r="P73" s="5" t="str">
        <f t="shared" ref="P73" ca="1" si="161">IF(O73=0,"",CONCATENATE(VLOOKUP(O73,INDIRECT(P$50),2,FALSE),"_",IF(VLOOKUP(O73,INDIRECT(P$50),8,FALSE)&lt;10,"0",""),VLOOKUP(O73,INDIRECT(P$50),8,FALSE),VLOOKUP(O73,INDIRECT(P$50),12,FALSE)))</f>
        <v>310803_21e</v>
      </c>
      <c r="Q73" s="50">
        <f t="shared" ca="1" si="20"/>
        <v>2</v>
      </c>
      <c r="R73" s="5" t="str">
        <f t="shared" ref="R73" ca="1" si="162">IF(Q73=0,"",CONCATENATE(VLOOKUP(Q73,INDIRECT(R$50),2,FALSE),"_",IF(VLOOKUP(Q73,INDIRECT(R$50),8,FALSE)&lt;10,"0",""),VLOOKUP(Q73,INDIRECT(R$50),8,FALSE),VLOOKUP(Q73,INDIRECT(R$50),12,FALSE)))</f>
        <v>360906_10e</v>
      </c>
      <c r="S73" s="50">
        <f t="shared" ca="1" si="22"/>
        <v>0</v>
      </c>
      <c r="T73" s="5" t="str">
        <f t="shared" ref="T73" ca="1" si="163">IF(S73=0,"",CONCATENATE(VLOOKUP(S73,INDIRECT(T$50),2,FALSE),"_",IF(VLOOKUP(S73,INDIRECT(T$50),8,FALSE)&lt;10,"0",""),VLOOKUP(S73,INDIRECT(T$50),8,FALSE),VLOOKUP(S73,INDIRECT(T$50),12,FALSE)))</f>
        <v/>
      </c>
    </row>
    <row r="74" spans="1:20" ht="15" customHeight="1">
      <c r="A74" s="4"/>
      <c r="B74" s="50"/>
      <c r="C74" s="50">
        <f t="shared" ca="1" si="8"/>
        <v>1</v>
      </c>
      <c r="D74" s="5" t="str">
        <f t="shared" ca="1" si="0"/>
        <v>180203_23c</v>
      </c>
      <c r="E74" s="50">
        <f t="shared" ca="1" si="9"/>
        <v>12</v>
      </c>
      <c r="F74" s="5" t="str">
        <f t="shared" ca="1" si="0"/>
        <v>150302_17c</v>
      </c>
      <c r="G74" s="50">
        <f t="shared" ca="1" si="10"/>
        <v>35</v>
      </c>
      <c r="H74" s="5" t="str">
        <f t="shared" ref="H74" ca="1" si="164">IF(G74=0,"",CONCATENATE(VLOOKUP(G74,INDIRECT(H$50),2,FALSE),"_",IF(VLOOKUP(G74,INDIRECT(H$50),8,FALSE)&lt;10,"0",""),VLOOKUP(G74,INDIRECT(H$50),8,FALSE),VLOOKUP(G74,INDIRECT(H$50),12,FALSE)))</f>
        <v>140402_12c</v>
      </c>
      <c r="I74" s="50">
        <f t="shared" ca="1" si="12"/>
        <v>38</v>
      </c>
      <c r="J74" s="5" t="str">
        <f t="shared" ref="J74" ca="1" si="165">IF(I74=0,"",CONCATENATE(VLOOKUP(I74,INDIRECT(J$50),2,FALSE),"_",IF(VLOOKUP(I74,INDIRECT(J$50),8,FALSE)&lt;10,"0",""),VLOOKUP(I74,INDIRECT(J$50),8,FALSE),VLOOKUP(I74,INDIRECT(J$50),12,FALSE)))</f>
        <v>180502_18e</v>
      </c>
      <c r="K74" s="50">
        <f t="shared" ca="1" si="14"/>
        <v>38</v>
      </c>
      <c r="L74" s="5" t="str">
        <f t="shared" ref="L74" ca="1" si="166">IF(K74=0,"",CONCATENATE(VLOOKUP(K74,INDIRECT(L$50),2,FALSE),"_",IF(VLOOKUP(K74,INDIRECT(L$50),8,FALSE)&lt;10,"0",""),VLOOKUP(K74,INDIRECT(L$50),8,FALSE),VLOOKUP(K74,INDIRECT(L$50),12,FALSE)))</f>
        <v>220602_22e</v>
      </c>
      <c r="M74" s="50">
        <f t="shared" ca="1" si="16"/>
        <v>5</v>
      </c>
      <c r="N74" s="5" t="str">
        <f t="shared" ref="N74" ca="1" si="167">IF(M74=0,"",CONCATENATE(VLOOKUP(M74,INDIRECT(N$50),2,FALSE),"_",IF(VLOOKUP(M74,INDIRECT(N$50),8,FALSE)&lt;10,"0",""),VLOOKUP(M74,INDIRECT(N$50),8,FALSE),VLOOKUP(M74,INDIRECT(N$50),12,FALSE)))</f>
        <v>290702_29e</v>
      </c>
      <c r="O74" s="50">
        <f t="shared" ca="1" si="18"/>
        <v>14</v>
      </c>
      <c r="P74" s="5" t="str">
        <f t="shared" ref="P74" ca="1" si="168">IF(O74=0,"",CONCATENATE(VLOOKUP(O74,INDIRECT(P$50),2,FALSE),"_",IF(VLOOKUP(O74,INDIRECT(P$50),8,FALSE)&lt;10,"0",""),VLOOKUP(O74,INDIRECT(P$50),8,FALSE),VLOOKUP(O74,INDIRECT(P$50),12,FALSE)))</f>
        <v>310804_14e</v>
      </c>
      <c r="Q74" s="50">
        <f t="shared" ca="1" si="20"/>
        <v>1</v>
      </c>
      <c r="R74" s="5" t="str">
        <f t="shared" ref="R74" ca="1" si="169">IF(Q74=0,"",CONCATENATE(VLOOKUP(Q74,INDIRECT(R$50),2,FALSE),"_",IF(VLOOKUP(Q74,INDIRECT(R$50),8,FALSE)&lt;10,"0",""),VLOOKUP(Q74,INDIRECT(R$50),8,FALSE),VLOOKUP(Q74,INDIRECT(R$50),12,FALSE)))</f>
        <v>380902_38e</v>
      </c>
      <c r="S74" s="50">
        <f t="shared" ca="1" si="22"/>
        <v>0</v>
      </c>
      <c r="T74" s="5" t="str">
        <f t="shared" ref="T74" ca="1" si="170">IF(S74=0,"",CONCATENATE(VLOOKUP(S74,INDIRECT(T$50),2,FALSE),"_",IF(VLOOKUP(S74,INDIRECT(T$50),8,FALSE)&lt;10,"0",""),VLOOKUP(S74,INDIRECT(T$50),8,FALSE),VLOOKUP(S74,INDIRECT(T$50),12,FALSE)))</f>
        <v/>
      </c>
    </row>
    <row r="75" spans="1:20" ht="15" customHeight="1">
      <c r="A75" s="4"/>
      <c r="B75" s="50"/>
      <c r="C75" s="50">
        <f t="shared" ca="1" si="8"/>
        <v>0</v>
      </c>
      <c r="D75" s="5" t="str">
        <f t="shared" ca="1" si="0"/>
        <v/>
      </c>
      <c r="E75" s="50">
        <f t="shared" ca="1" si="9"/>
        <v>11</v>
      </c>
      <c r="F75" s="5" t="str">
        <f t="shared" ca="1" si="0"/>
        <v>150302_17e</v>
      </c>
      <c r="G75" s="50">
        <f t="shared" ca="1" si="10"/>
        <v>34</v>
      </c>
      <c r="H75" s="5" t="str">
        <f t="shared" ref="H75" ca="1" si="171">IF(G75=0,"",CONCATENATE(VLOOKUP(G75,INDIRECT(H$50),2,FALSE),"_",IF(VLOOKUP(G75,INDIRECT(H$50),8,FALSE)&lt;10,"0",""),VLOOKUP(G75,INDIRECT(H$50),8,FALSE),VLOOKUP(G75,INDIRECT(H$50),12,FALSE)))</f>
        <v>140402_14e</v>
      </c>
      <c r="I75" s="50">
        <f t="shared" ca="1" si="12"/>
        <v>37</v>
      </c>
      <c r="J75" s="5" t="str">
        <f t="shared" ref="J75" ca="1" si="172">IF(I75=0,"",CONCATENATE(VLOOKUP(I75,INDIRECT(J$50),2,FALSE),"_",IF(VLOOKUP(I75,INDIRECT(J$50),8,FALSE)&lt;10,"0",""),VLOOKUP(I75,INDIRECT(J$50),8,FALSE),VLOOKUP(I75,INDIRECT(J$50),12,FALSE)))</f>
        <v>180503_09c</v>
      </c>
      <c r="K75" s="50">
        <f t="shared" ca="1" si="14"/>
        <v>37</v>
      </c>
      <c r="L75" s="5" t="str">
        <f t="shared" ref="L75" ca="1" si="173">IF(K75=0,"",CONCATENATE(VLOOKUP(K75,INDIRECT(L$50),2,FALSE),"_",IF(VLOOKUP(K75,INDIRECT(L$50),8,FALSE)&lt;10,"0",""),VLOOKUP(K75,INDIRECT(L$50),8,FALSE),VLOOKUP(K75,INDIRECT(L$50),12,FALSE)))</f>
        <v>220603_14e</v>
      </c>
      <c r="M75" s="50">
        <f t="shared" ca="1" si="16"/>
        <v>4</v>
      </c>
      <c r="N75" s="5" t="str">
        <f t="shared" ref="N75" ca="1" si="174">IF(M75=0,"",CONCATENATE(VLOOKUP(M75,INDIRECT(N$50),2,FALSE),"_",IF(VLOOKUP(M75,INDIRECT(N$50),8,FALSE)&lt;10,"0",""),VLOOKUP(M75,INDIRECT(N$50),8,FALSE),VLOOKUP(M75,INDIRECT(N$50),12,FALSE)))</f>
        <v>290703_18e</v>
      </c>
      <c r="O75" s="50">
        <f t="shared" ca="1" si="18"/>
        <v>13</v>
      </c>
      <c r="P75" s="5" t="str">
        <f t="shared" ref="P75" ca="1" si="175">IF(O75=0,"",CONCATENATE(VLOOKUP(O75,INDIRECT(P$50),2,FALSE),"_",IF(VLOOKUP(O75,INDIRECT(P$50),8,FALSE)&lt;10,"0",""),VLOOKUP(O75,INDIRECT(P$50),8,FALSE),VLOOKUP(O75,INDIRECT(P$50),12,FALSE)))</f>
        <v>320801_32e</v>
      </c>
      <c r="Q75" s="50">
        <f t="shared" ca="1" si="20"/>
        <v>0</v>
      </c>
      <c r="R75" s="5" t="str">
        <f t="shared" ref="R75" ca="1" si="176">IF(Q75=0,"",CONCATENATE(VLOOKUP(Q75,INDIRECT(R$50),2,FALSE),"_",IF(VLOOKUP(Q75,INDIRECT(R$50),8,FALSE)&lt;10,"0",""),VLOOKUP(Q75,INDIRECT(R$50),8,FALSE),VLOOKUP(Q75,INDIRECT(R$50),12,FALSE)))</f>
        <v/>
      </c>
      <c r="S75" s="50">
        <f t="shared" ca="1" si="22"/>
        <v>0</v>
      </c>
      <c r="T75" s="5" t="str">
        <f t="shared" ref="T75" ca="1" si="177">IF(S75=0,"",CONCATENATE(VLOOKUP(S75,INDIRECT(T$50),2,FALSE),"_",IF(VLOOKUP(S75,INDIRECT(T$50),8,FALSE)&lt;10,"0",""),VLOOKUP(S75,INDIRECT(T$50),8,FALSE),VLOOKUP(S75,INDIRECT(T$50),12,FALSE)))</f>
        <v/>
      </c>
    </row>
    <row r="76" spans="1:20" ht="15" customHeight="1">
      <c r="A76" s="4"/>
      <c r="B76" s="50"/>
      <c r="C76" s="50">
        <f t="shared" ca="1" si="8"/>
        <v>0</v>
      </c>
      <c r="D76" s="5" t="str">
        <f t="shared" ca="1" si="0"/>
        <v/>
      </c>
      <c r="E76" s="50">
        <f t="shared" ca="1" si="9"/>
        <v>10</v>
      </c>
      <c r="F76" s="5" t="str">
        <f t="shared" ca="1" si="0"/>
        <v>150303_10e</v>
      </c>
      <c r="G76" s="50">
        <f t="shared" ca="1" si="10"/>
        <v>33</v>
      </c>
      <c r="H76" s="5" t="str">
        <f t="shared" ref="H76" ca="1" si="178">IF(G76=0,"",CONCATENATE(VLOOKUP(G76,INDIRECT(H$50),2,FALSE),"_",IF(VLOOKUP(G76,INDIRECT(H$50),8,FALSE)&lt;10,"0",""),VLOOKUP(G76,INDIRECT(H$50),8,FALSE),VLOOKUP(G76,INDIRECT(H$50),12,FALSE)))</f>
        <v>140403_10e</v>
      </c>
      <c r="I76" s="50">
        <f t="shared" ca="1" si="12"/>
        <v>36</v>
      </c>
      <c r="J76" s="5" t="str">
        <f t="shared" ref="J76" ca="1" si="179">IF(I76=0,"",CONCATENATE(VLOOKUP(I76,INDIRECT(J$50),2,FALSE),"_",IF(VLOOKUP(I76,INDIRECT(J$50),8,FALSE)&lt;10,"0",""),VLOOKUP(I76,INDIRECT(J$50),8,FALSE),VLOOKUP(I76,INDIRECT(J$50),12,FALSE)))</f>
        <v>180503_10e</v>
      </c>
      <c r="K76" s="50">
        <f t="shared" ca="1" si="14"/>
        <v>36</v>
      </c>
      <c r="L76" s="5" t="str">
        <f t="shared" ref="L76" ca="1" si="180">IF(K76=0,"",CONCATENATE(VLOOKUP(K76,INDIRECT(L$50),2,FALSE),"_",IF(VLOOKUP(K76,INDIRECT(L$50),8,FALSE)&lt;10,"0",""),VLOOKUP(K76,INDIRECT(L$50),8,FALSE),VLOOKUP(K76,INDIRECT(L$50),12,FALSE)))</f>
        <v>220604_10e</v>
      </c>
      <c r="M76" s="50">
        <f t="shared" ca="1" si="16"/>
        <v>3</v>
      </c>
      <c r="N76" s="5" t="str">
        <f t="shared" ref="N76" ca="1" si="181">IF(M76=0,"",CONCATENATE(VLOOKUP(M76,INDIRECT(N$50),2,FALSE),"_",IF(VLOOKUP(M76,INDIRECT(N$50),8,FALSE)&lt;10,"0",""),VLOOKUP(M76,INDIRECT(N$50),8,FALSE),VLOOKUP(M76,INDIRECT(N$50),12,FALSE)))</f>
        <v>300702_30e</v>
      </c>
      <c r="O76" s="50">
        <f t="shared" ca="1" si="18"/>
        <v>12</v>
      </c>
      <c r="P76" s="5" t="str">
        <f t="shared" ref="P76" ca="1" si="182">IF(O76=0,"",CONCATENATE(VLOOKUP(O76,INDIRECT(P$50),2,FALSE),"_",IF(VLOOKUP(O76,INDIRECT(P$50),8,FALSE)&lt;10,"0",""),VLOOKUP(O76,INDIRECT(P$50),8,FALSE),VLOOKUP(O76,INDIRECT(P$50),12,FALSE)))</f>
        <v>320802_30e</v>
      </c>
      <c r="Q76" s="50">
        <f t="shared" ca="1" si="20"/>
        <v>0</v>
      </c>
      <c r="R76" s="5" t="str">
        <f t="shared" ref="R76" ca="1" si="183">IF(Q76=0,"",CONCATENATE(VLOOKUP(Q76,INDIRECT(R$50),2,FALSE),"_",IF(VLOOKUP(Q76,INDIRECT(R$50),8,FALSE)&lt;10,"0",""),VLOOKUP(Q76,INDIRECT(R$50),8,FALSE),VLOOKUP(Q76,INDIRECT(R$50),12,FALSE)))</f>
        <v/>
      </c>
      <c r="S76" s="50">
        <f t="shared" ca="1" si="22"/>
        <v>0</v>
      </c>
      <c r="T76" s="5" t="str">
        <f t="shared" ref="T76" ca="1" si="184">IF(S76=0,"",CONCATENATE(VLOOKUP(S76,INDIRECT(T$50),2,FALSE),"_",IF(VLOOKUP(S76,INDIRECT(T$50),8,FALSE)&lt;10,"0",""),VLOOKUP(S76,INDIRECT(T$50),8,FALSE),VLOOKUP(S76,INDIRECT(T$50),12,FALSE)))</f>
        <v/>
      </c>
    </row>
    <row r="77" spans="1:20" ht="15" customHeight="1">
      <c r="A77" s="4"/>
      <c r="B77" s="50"/>
      <c r="C77" s="50">
        <f t="shared" ca="1" si="8"/>
        <v>0</v>
      </c>
      <c r="D77" s="5" t="str">
        <f t="shared" ca="1" si="0"/>
        <v/>
      </c>
      <c r="E77" s="50">
        <f t="shared" ca="1" si="9"/>
        <v>9</v>
      </c>
      <c r="F77" s="5" t="str">
        <f t="shared" ca="1" si="0"/>
        <v>150303_10c</v>
      </c>
      <c r="G77" s="50">
        <f t="shared" ca="1" si="10"/>
        <v>32</v>
      </c>
      <c r="H77" s="5" t="str">
        <f t="shared" ref="H77" ca="1" si="185">IF(G77=0,"",CONCATENATE(VLOOKUP(G77,INDIRECT(H$50),2,FALSE),"_",IF(VLOOKUP(G77,INDIRECT(H$50),8,FALSE)&lt;10,"0",""),VLOOKUP(G77,INDIRECT(H$50),8,FALSE),VLOOKUP(G77,INDIRECT(H$50),12,FALSE)))</f>
        <v>150401_28c</v>
      </c>
      <c r="I77" s="50">
        <f t="shared" ca="1" si="12"/>
        <v>35</v>
      </c>
      <c r="J77" s="5" t="str">
        <f t="shared" ref="J77" ca="1" si="186">IF(I77=0,"",CONCATENATE(VLOOKUP(I77,INDIRECT(J$50),2,FALSE),"_",IF(VLOOKUP(I77,INDIRECT(J$50),8,FALSE)&lt;10,"0",""),VLOOKUP(I77,INDIRECT(J$50),8,FALSE),VLOOKUP(I77,INDIRECT(J$50),12,FALSE)))</f>
        <v>180504_10e</v>
      </c>
      <c r="K77" s="50">
        <f t="shared" ca="1" si="14"/>
        <v>35</v>
      </c>
      <c r="L77" s="5" t="str">
        <f t="shared" ref="L77" ca="1" si="187">IF(K77=0,"",CONCATENATE(VLOOKUP(K77,INDIRECT(L$50),2,FALSE),"_",IF(VLOOKUP(K77,INDIRECT(L$50),8,FALSE)&lt;10,"0",""),VLOOKUP(K77,INDIRECT(L$50),8,FALSE),VLOOKUP(K77,INDIRECT(L$50),12,FALSE)))</f>
        <v>220605_10e</v>
      </c>
      <c r="M77" s="50">
        <f t="shared" ca="1" si="16"/>
        <v>2</v>
      </c>
      <c r="N77" s="5" t="str">
        <f t="shared" ref="N77" ca="1" si="188">IF(M77=0,"",CONCATENATE(VLOOKUP(M77,INDIRECT(N$50),2,FALSE),"_",IF(VLOOKUP(M77,INDIRECT(N$50),8,FALSE)&lt;10,"0",""),VLOOKUP(M77,INDIRECT(N$50),8,FALSE),VLOOKUP(M77,INDIRECT(N$50),12,FALSE)))</f>
        <v>300704_14e</v>
      </c>
      <c r="O77" s="50">
        <f t="shared" ca="1" si="18"/>
        <v>11</v>
      </c>
      <c r="P77" s="5" t="str">
        <f t="shared" ref="P77" ca="1" si="189">IF(O77=0,"",CONCATENATE(VLOOKUP(O77,INDIRECT(P$50),2,FALSE),"_",IF(VLOOKUP(O77,INDIRECT(P$50),8,FALSE)&lt;10,"0",""),VLOOKUP(O77,INDIRECT(P$50),8,FALSE),VLOOKUP(O77,INDIRECT(P$50),12,FALSE)))</f>
        <v>320803_22e</v>
      </c>
      <c r="Q77" s="50">
        <f t="shared" ca="1" si="20"/>
        <v>0</v>
      </c>
      <c r="R77" s="5" t="str">
        <f t="shared" ref="R77" ca="1" si="190">IF(Q77=0,"",CONCATENATE(VLOOKUP(Q77,INDIRECT(R$50),2,FALSE),"_",IF(VLOOKUP(Q77,INDIRECT(R$50),8,FALSE)&lt;10,"0",""),VLOOKUP(Q77,INDIRECT(R$50),8,FALSE),VLOOKUP(Q77,INDIRECT(R$50),12,FALSE)))</f>
        <v/>
      </c>
      <c r="S77" s="50">
        <f t="shared" ca="1" si="22"/>
        <v>0</v>
      </c>
      <c r="T77" s="5" t="str">
        <f t="shared" ref="T77" ca="1" si="191">IF(S77=0,"",CONCATENATE(VLOOKUP(S77,INDIRECT(T$50),2,FALSE),"_",IF(VLOOKUP(S77,INDIRECT(T$50),8,FALSE)&lt;10,"0",""),VLOOKUP(S77,INDIRECT(T$50),8,FALSE),VLOOKUP(S77,INDIRECT(T$50),12,FALSE)))</f>
        <v/>
      </c>
    </row>
    <row r="78" spans="1:20" ht="15" customHeight="1">
      <c r="A78" s="4"/>
      <c r="B78" s="50"/>
      <c r="C78" s="50">
        <f t="shared" ca="1" si="8"/>
        <v>0</v>
      </c>
      <c r="D78" s="5" t="str">
        <f t="shared" ca="1" si="0"/>
        <v/>
      </c>
      <c r="E78" s="50">
        <f t="shared" ca="1" si="9"/>
        <v>8</v>
      </c>
      <c r="F78" s="5" t="str">
        <f t="shared" ca="1" si="0"/>
        <v>160302_19c</v>
      </c>
      <c r="G78" s="50">
        <f t="shared" ca="1" si="10"/>
        <v>31</v>
      </c>
      <c r="H78" s="5" t="str">
        <f t="shared" ref="H78" ca="1" si="192">IF(G78=0,"",CONCATENATE(VLOOKUP(G78,INDIRECT(H$50),2,FALSE),"_",IF(VLOOKUP(G78,INDIRECT(H$50),8,FALSE)&lt;10,"0",""),VLOOKUP(G78,INDIRECT(H$50),8,FALSE),VLOOKUP(G78,INDIRECT(H$50),12,FALSE)))</f>
        <v>150401_30e</v>
      </c>
      <c r="I78" s="50">
        <f t="shared" ca="1" si="12"/>
        <v>34</v>
      </c>
      <c r="J78" s="5" t="str">
        <f t="shared" ref="J78" ca="1" si="193">IF(I78=0,"",CONCATENATE(VLOOKUP(I78,INDIRECT(J$50),2,FALSE),"_",IF(VLOOKUP(I78,INDIRECT(J$50),8,FALSE)&lt;10,"0",""),VLOOKUP(I78,INDIRECT(J$50),8,FALSE),VLOOKUP(I78,INDIRECT(J$50),12,FALSE)))</f>
        <v>180504_10e</v>
      </c>
      <c r="K78" s="50">
        <f t="shared" ca="1" si="14"/>
        <v>34</v>
      </c>
      <c r="L78" s="5" t="str">
        <f t="shared" ref="L78" ca="1" si="194">IF(K78=0,"",CONCATENATE(VLOOKUP(K78,INDIRECT(L$50),2,FALSE),"_",IF(VLOOKUP(K78,INDIRECT(L$50),8,FALSE)&lt;10,"0",""),VLOOKUP(K78,INDIRECT(L$50),8,FALSE),VLOOKUP(K78,INDIRECT(L$50),12,FALSE)))</f>
        <v>220605_10e</v>
      </c>
      <c r="M78" s="50">
        <f t="shared" ca="1" si="16"/>
        <v>1</v>
      </c>
      <c r="N78" s="5" t="str">
        <f t="shared" ref="N78" ca="1" si="195">IF(M78=0,"",CONCATENATE(VLOOKUP(M78,INDIRECT(N$50),2,FALSE),"_",IF(VLOOKUP(M78,INDIRECT(N$50),8,FALSE)&lt;10,"0",""),VLOOKUP(M78,INDIRECT(N$50),8,FALSE),VLOOKUP(M78,INDIRECT(N$50),12,FALSE)))</f>
        <v>320706_10e</v>
      </c>
      <c r="O78" s="50">
        <f t="shared" ca="1" si="18"/>
        <v>10</v>
      </c>
      <c r="P78" s="5" t="str">
        <f t="shared" ref="P78" ca="1" si="196">IF(O78=0,"",CONCATENATE(VLOOKUP(O78,INDIRECT(P$50),2,FALSE),"_",IF(VLOOKUP(O78,INDIRECT(P$50),8,FALSE)&lt;10,"0",""),VLOOKUP(O78,INDIRECT(P$50),8,FALSE),VLOOKUP(O78,INDIRECT(P$50),12,FALSE)))</f>
        <v>320804_14e</v>
      </c>
      <c r="Q78" s="50">
        <f t="shared" ca="1" si="20"/>
        <v>0</v>
      </c>
      <c r="R78" s="5" t="str">
        <f t="shared" ref="R78" ca="1" si="197">IF(Q78=0,"",CONCATENATE(VLOOKUP(Q78,INDIRECT(R$50),2,FALSE),"_",IF(VLOOKUP(Q78,INDIRECT(R$50),8,FALSE)&lt;10,"0",""),VLOOKUP(Q78,INDIRECT(R$50),8,FALSE),VLOOKUP(Q78,INDIRECT(R$50),12,FALSE)))</f>
        <v/>
      </c>
      <c r="S78" s="50">
        <f t="shared" ca="1" si="22"/>
        <v>0</v>
      </c>
      <c r="T78" s="5" t="str">
        <f t="shared" ref="T78" ca="1" si="198">IF(S78=0,"",CONCATENATE(VLOOKUP(S78,INDIRECT(T$50),2,FALSE),"_",IF(VLOOKUP(S78,INDIRECT(T$50),8,FALSE)&lt;10,"0",""),VLOOKUP(S78,INDIRECT(T$50),8,FALSE),VLOOKUP(S78,INDIRECT(T$50),12,FALSE)))</f>
        <v/>
      </c>
    </row>
    <row r="79" spans="1:20" ht="15" customHeight="1">
      <c r="A79" s="4"/>
      <c r="B79" s="50"/>
      <c r="C79" s="50">
        <f t="shared" ca="1" si="8"/>
        <v>0</v>
      </c>
      <c r="D79" s="5" t="str">
        <f t="shared" ca="1" si="0"/>
        <v/>
      </c>
      <c r="E79" s="50">
        <f t="shared" ca="1" si="9"/>
        <v>7</v>
      </c>
      <c r="F79" s="5" t="str">
        <f t="shared" ca="1" si="0"/>
        <v>160302_19e</v>
      </c>
      <c r="G79" s="50">
        <f t="shared" ca="1" si="10"/>
        <v>30</v>
      </c>
      <c r="H79" s="5" t="str">
        <f t="shared" ref="H79" ca="1" si="199">IF(G79=0,"",CONCATENATE(VLOOKUP(G79,INDIRECT(H$50),2,FALSE),"_",IF(VLOOKUP(G79,INDIRECT(H$50),8,FALSE)&lt;10,"0",""),VLOOKUP(G79,INDIRECT(H$50),8,FALSE),VLOOKUP(G79,INDIRECT(H$50),12,FALSE)))</f>
        <v>150402_13c</v>
      </c>
      <c r="I79" s="50">
        <f t="shared" ca="1" si="12"/>
        <v>33</v>
      </c>
      <c r="J79" s="5" t="str">
        <f t="shared" ref="J79" ca="1" si="200">IF(I79=0,"",CONCATENATE(VLOOKUP(I79,INDIRECT(J$50),2,FALSE),"_",IF(VLOOKUP(I79,INDIRECT(J$50),8,FALSE)&lt;10,"0",""),VLOOKUP(I79,INDIRECT(J$50),8,FALSE),VLOOKUP(I79,INDIRECT(J$50),12,FALSE)))</f>
        <v>190501_38e</v>
      </c>
      <c r="K79" s="50">
        <f t="shared" ca="1" si="14"/>
        <v>33</v>
      </c>
      <c r="L79" s="5" t="str">
        <f t="shared" ref="L79" ca="1" si="201">IF(K79=0,"",CONCATENATE(VLOOKUP(K79,INDIRECT(L$50),2,FALSE),"_",IF(VLOOKUP(K79,INDIRECT(L$50),8,FALSE)&lt;10,"0",""),VLOOKUP(K79,INDIRECT(L$50),8,FALSE),VLOOKUP(K79,INDIRECT(L$50),12,FALSE)))</f>
        <v>230601_24e</v>
      </c>
      <c r="M79" s="50">
        <f t="shared" ca="1" si="16"/>
        <v>0</v>
      </c>
      <c r="N79" s="5" t="str">
        <f t="shared" ref="N79" ca="1" si="202">IF(M79=0,"",CONCATENATE(VLOOKUP(M79,INDIRECT(N$50),2,FALSE),"_",IF(VLOOKUP(M79,INDIRECT(N$50),8,FALSE)&lt;10,"0",""),VLOOKUP(M79,INDIRECT(N$50),8,FALSE),VLOOKUP(M79,INDIRECT(N$50),12,FALSE)))</f>
        <v/>
      </c>
      <c r="O79" s="50">
        <f t="shared" ca="1" si="18"/>
        <v>9</v>
      </c>
      <c r="P79" s="5" t="str">
        <f t="shared" ref="P79" ca="1" si="203">IF(O79=0,"",CONCATENATE(VLOOKUP(O79,INDIRECT(P$50),2,FALSE),"_",IF(VLOOKUP(O79,INDIRECT(P$50),8,FALSE)&lt;10,"0",""),VLOOKUP(O79,INDIRECT(P$50),8,FALSE),VLOOKUP(O79,INDIRECT(P$50),12,FALSE)))</f>
        <v>320804_14c</v>
      </c>
      <c r="Q79" s="50">
        <f t="shared" ca="1" si="20"/>
        <v>0</v>
      </c>
      <c r="R79" s="5" t="str">
        <f t="shared" ref="R79" ca="1" si="204">IF(Q79=0,"",CONCATENATE(VLOOKUP(Q79,INDIRECT(R$50),2,FALSE),"_",IF(VLOOKUP(Q79,INDIRECT(R$50),8,FALSE)&lt;10,"0",""),VLOOKUP(Q79,INDIRECT(R$50),8,FALSE),VLOOKUP(Q79,INDIRECT(R$50),12,FALSE)))</f>
        <v/>
      </c>
      <c r="S79" s="50">
        <f t="shared" ca="1" si="22"/>
        <v>0</v>
      </c>
      <c r="T79" s="5" t="str">
        <f t="shared" ref="T79" ca="1" si="205">IF(S79=0,"",CONCATENATE(VLOOKUP(S79,INDIRECT(T$50),2,FALSE),"_",IF(VLOOKUP(S79,INDIRECT(T$50),8,FALSE)&lt;10,"0",""),VLOOKUP(S79,INDIRECT(T$50),8,FALSE),VLOOKUP(S79,INDIRECT(T$50),12,FALSE)))</f>
        <v/>
      </c>
    </row>
    <row r="80" spans="1:20" ht="15" customHeight="1">
      <c r="A80" s="4"/>
      <c r="B80" s="50"/>
      <c r="C80" s="50">
        <f t="shared" ca="1" si="8"/>
        <v>0</v>
      </c>
      <c r="D80" s="5" t="str">
        <f t="shared" ca="1" si="0"/>
        <v/>
      </c>
      <c r="E80" s="50">
        <f t="shared" ca="1" si="9"/>
        <v>6</v>
      </c>
      <c r="F80" s="5" t="str">
        <f t="shared" ca="1" si="0"/>
        <v>160303_12c</v>
      </c>
      <c r="G80" s="50">
        <f t="shared" ca="1" si="10"/>
        <v>29</v>
      </c>
      <c r="H80" s="5" t="str">
        <f t="shared" ref="H80" ca="1" si="206">IF(G80=0,"",CONCATENATE(VLOOKUP(G80,INDIRECT(H$50),2,FALSE),"_",IF(VLOOKUP(G80,INDIRECT(H$50),8,FALSE)&lt;10,"0",""),VLOOKUP(G80,INDIRECT(H$50),8,FALSE),VLOOKUP(G80,INDIRECT(H$50),12,FALSE)))</f>
        <v>150402_14e</v>
      </c>
      <c r="I80" s="50">
        <f t="shared" ca="1" si="12"/>
        <v>32</v>
      </c>
      <c r="J80" s="5" t="str">
        <f t="shared" ref="J80" ca="1" si="207">IF(I80=0,"",CONCATENATE(VLOOKUP(I80,INDIRECT(J$50),2,FALSE),"_",IF(VLOOKUP(I80,INDIRECT(J$50),8,FALSE)&lt;10,"0",""),VLOOKUP(I80,INDIRECT(J$50),8,FALSE),VLOOKUP(I80,INDIRECT(J$50),12,FALSE)))</f>
        <v>190502_18e</v>
      </c>
      <c r="K80" s="50">
        <f t="shared" ca="1" si="14"/>
        <v>32</v>
      </c>
      <c r="L80" s="5" t="str">
        <f t="shared" ref="L80" ca="1" si="208">IF(K80=0,"",CONCATENATE(VLOOKUP(K80,INDIRECT(L$50),2,FALSE),"_",IF(VLOOKUP(K80,INDIRECT(L$50),8,FALSE)&lt;10,"0",""),VLOOKUP(K80,INDIRECT(L$50),8,FALSE),VLOOKUP(K80,INDIRECT(L$50),12,FALSE)))</f>
        <v>230602_22e</v>
      </c>
      <c r="M80" s="50">
        <f t="shared" ca="1" si="16"/>
        <v>0</v>
      </c>
      <c r="N80" s="5" t="str">
        <f t="shared" ref="N80" ca="1" si="209">IF(M80=0,"",CONCATENATE(VLOOKUP(M80,INDIRECT(N$50),2,FALSE),"_",IF(VLOOKUP(M80,INDIRECT(N$50),8,FALSE)&lt;10,"0",""),VLOOKUP(M80,INDIRECT(N$50),8,FALSE),VLOOKUP(M80,INDIRECT(N$50),12,FALSE)))</f>
        <v/>
      </c>
      <c r="O80" s="50">
        <f t="shared" ca="1" si="18"/>
        <v>8</v>
      </c>
      <c r="P80" s="5" t="str">
        <f t="shared" ref="P80" ca="1" si="210">IF(O80=0,"",CONCATENATE(VLOOKUP(O80,INDIRECT(P$50),2,FALSE),"_",IF(VLOOKUP(O80,INDIRECT(P$50),8,FALSE)&lt;10,"0",""),VLOOKUP(O80,INDIRECT(P$50),8,FALSE),VLOOKUP(O80,INDIRECT(P$50),12,FALSE)))</f>
        <v>320805_14e</v>
      </c>
      <c r="Q80" s="50">
        <f t="shared" ca="1" si="20"/>
        <v>0</v>
      </c>
      <c r="R80" s="5" t="str">
        <f t="shared" ref="R80" ca="1" si="211">IF(Q80=0,"",CONCATENATE(VLOOKUP(Q80,INDIRECT(R$50),2,FALSE),"_",IF(VLOOKUP(Q80,INDIRECT(R$50),8,FALSE)&lt;10,"0",""),VLOOKUP(Q80,INDIRECT(R$50),8,FALSE),VLOOKUP(Q80,INDIRECT(R$50),12,FALSE)))</f>
        <v/>
      </c>
      <c r="S80" s="50">
        <f t="shared" ca="1" si="22"/>
        <v>0</v>
      </c>
      <c r="T80" s="5" t="str">
        <f t="shared" ref="T80" ca="1" si="212">IF(S80=0,"",CONCATENATE(VLOOKUP(S80,INDIRECT(T$50),2,FALSE),"_",IF(VLOOKUP(S80,INDIRECT(T$50),8,FALSE)&lt;10,"0",""),VLOOKUP(S80,INDIRECT(T$50),8,FALSE),VLOOKUP(S80,INDIRECT(T$50),12,FALSE)))</f>
        <v/>
      </c>
    </row>
    <row r="81" spans="1:20" ht="15" customHeight="1">
      <c r="A81" s="4"/>
      <c r="B81" s="50"/>
      <c r="C81" s="50">
        <f t="shared" ca="1" si="8"/>
        <v>0</v>
      </c>
      <c r="D81" s="5" t="str">
        <f t="shared" ca="1" si="0"/>
        <v/>
      </c>
      <c r="E81" s="50">
        <f t="shared" ca="1" si="9"/>
        <v>5</v>
      </c>
      <c r="F81" s="5" t="str">
        <f t="shared" ca="1" si="0"/>
        <v>160303_14c</v>
      </c>
      <c r="G81" s="50">
        <f t="shared" ca="1" si="10"/>
        <v>28</v>
      </c>
      <c r="H81" s="5" t="str">
        <f t="shared" ref="H81" ca="1" si="213">IF(G81=0,"",CONCATENATE(VLOOKUP(G81,INDIRECT(H$50),2,FALSE),"_",IF(VLOOKUP(G81,INDIRECT(H$50),8,FALSE)&lt;10,"0",""),VLOOKUP(G81,INDIRECT(H$50),8,FALSE),VLOOKUP(G81,INDIRECT(H$50),12,FALSE)))</f>
        <v>150403_08c</v>
      </c>
      <c r="I81" s="50">
        <f t="shared" ca="1" si="12"/>
        <v>31</v>
      </c>
      <c r="J81" s="5" t="str">
        <f t="shared" ref="J81" ca="1" si="214">IF(I81=0,"",CONCATENATE(VLOOKUP(I81,INDIRECT(J$50),2,FALSE),"_",IF(VLOOKUP(I81,INDIRECT(J$50),8,FALSE)&lt;10,"0",""),VLOOKUP(I81,INDIRECT(J$50),8,FALSE),VLOOKUP(I81,INDIRECT(J$50),12,FALSE)))</f>
        <v>190503_13e</v>
      </c>
      <c r="K81" s="50">
        <f t="shared" ca="1" si="14"/>
        <v>31</v>
      </c>
      <c r="L81" s="5" t="str">
        <f t="shared" ref="L81" ca="1" si="215">IF(K81=0,"",CONCATENATE(VLOOKUP(K81,INDIRECT(L$50),2,FALSE),"_",IF(VLOOKUP(K81,INDIRECT(L$50),8,FALSE)&lt;10,"0",""),VLOOKUP(K81,INDIRECT(L$50),8,FALSE),VLOOKUP(K81,INDIRECT(L$50),12,FALSE)))</f>
        <v>230603_14e</v>
      </c>
      <c r="M81" s="50">
        <f t="shared" ca="1" si="16"/>
        <v>0</v>
      </c>
      <c r="N81" s="5" t="str">
        <f t="shared" ref="N81" ca="1" si="216">IF(M81=0,"",CONCATENATE(VLOOKUP(M81,INDIRECT(N$50),2,FALSE),"_",IF(VLOOKUP(M81,INDIRECT(N$50),8,FALSE)&lt;10,"0",""),VLOOKUP(M81,INDIRECT(N$50),8,FALSE),VLOOKUP(M81,INDIRECT(N$50),12,FALSE)))</f>
        <v/>
      </c>
      <c r="O81" s="50">
        <f t="shared" ca="1" si="18"/>
        <v>7</v>
      </c>
      <c r="P81" s="5" t="str">
        <f t="shared" ref="P81" ca="1" si="217">IF(O81=0,"",CONCATENATE(VLOOKUP(O81,INDIRECT(P$50),2,FALSE),"_",IF(VLOOKUP(O81,INDIRECT(P$50),8,FALSE)&lt;10,"0",""),VLOOKUP(O81,INDIRECT(P$50),8,FALSE),VLOOKUP(O81,INDIRECT(P$50),12,FALSE)))</f>
        <v>320805_14e</v>
      </c>
      <c r="Q81" s="50">
        <f t="shared" ca="1" si="20"/>
        <v>0</v>
      </c>
      <c r="R81" s="5" t="str">
        <f t="shared" ref="R81" ca="1" si="218">IF(Q81=0,"",CONCATENATE(VLOOKUP(Q81,INDIRECT(R$50),2,FALSE),"_",IF(VLOOKUP(Q81,INDIRECT(R$50),8,FALSE)&lt;10,"0",""),VLOOKUP(Q81,INDIRECT(R$50),8,FALSE),VLOOKUP(Q81,INDIRECT(R$50),12,FALSE)))</f>
        <v/>
      </c>
      <c r="S81" s="50">
        <f t="shared" ca="1" si="22"/>
        <v>0</v>
      </c>
      <c r="T81" s="5" t="str">
        <f t="shared" ref="T81" ca="1" si="219">IF(S81=0,"",CONCATENATE(VLOOKUP(S81,INDIRECT(T$50),2,FALSE),"_",IF(VLOOKUP(S81,INDIRECT(T$50),8,FALSE)&lt;10,"0",""),VLOOKUP(S81,INDIRECT(T$50),8,FALSE),VLOOKUP(S81,INDIRECT(T$50),12,FALSE)))</f>
        <v/>
      </c>
    </row>
    <row r="82" spans="1:20" ht="15" customHeight="1">
      <c r="A82" s="4"/>
      <c r="B82" s="50"/>
      <c r="C82" s="50">
        <f t="shared" ca="1" si="8"/>
        <v>0</v>
      </c>
      <c r="D82" s="5" t="str">
        <f t="shared" ca="1" si="0"/>
        <v/>
      </c>
      <c r="E82" s="50">
        <f t="shared" ca="1" si="9"/>
        <v>4</v>
      </c>
      <c r="F82" s="5" t="str">
        <f t="shared" ca="1" si="0"/>
        <v>170302_23e</v>
      </c>
      <c r="G82" s="50">
        <f t="shared" ca="1" si="10"/>
        <v>27</v>
      </c>
      <c r="H82" s="5" t="str">
        <f t="shared" ref="H82" ca="1" si="220">IF(G82=0,"",CONCATENATE(VLOOKUP(G82,INDIRECT(H$50),2,FALSE),"_",IF(VLOOKUP(G82,INDIRECT(H$50),8,FALSE)&lt;10,"0",""),VLOOKUP(G82,INDIRECT(H$50),8,FALSE),VLOOKUP(G82,INDIRECT(H$50),12,FALSE)))</f>
        <v>150403_08c</v>
      </c>
      <c r="I82" s="50">
        <f t="shared" ca="1" si="12"/>
        <v>30</v>
      </c>
      <c r="J82" s="5" t="str">
        <f t="shared" ref="J82" ca="1" si="221">IF(I82=0,"",CONCATENATE(VLOOKUP(I82,INDIRECT(J$50),2,FALSE),"_",IF(VLOOKUP(I82,INDIRECT(J$50),8,FALSE)&lt;10,"0",""),VLOOKUP(I82,INDIRECT(J$50),8,FALSE),VLOOKUP(I82,INDIRECT(J$50),12,FALSE)))</f>
        <v>190504_10e</v>
      </c>
      <c r="K82" s="50">
        <f t="shared" ca="1" si="14"/>
        <v>30</v>
      </c>
      <c r="L82" s="5" t="str">
        <f t="shared" ref="L82" ca="1" si="222">IF(K82=0,"",CONCATENATE(VLOOKUP(K82,INDIRECT(L$50),2,FALSE),"_",IF(VLOOKUP(K82,INDIRECT(L$50),8,FALSE)&lt;10,"0",""),VLOOKUP(K82,INDIRECT(L$50),8,FALSE),VLOOKUP(K82,INDIRECT(L$50),12,FALSE)))</f>
        <v>230604_10e</v>
      </c>
      <c r="M82" s="50">
        <f t="shared" ca="1" si="16"/>
        <v>0</v>
      </c>
      <c r="N82" s="5" t="str">
        <f t="shared" ref="N82" ca="1" si="223">IF(M82=0,"",CONCATENATE(VLOOKUP(M82,INDIRECT(N$50),2,FALSE),"_",IF(VLOOKUP(M82,INDIRECT(N$50),8,FALSE)&lt;10,"0",""),VLOOKUP(M82,INDIRECT(N$50),8,FALSE),VLOOKUP(M82,INDIRECT(N$50),12,FALSE)))</f>
        <v/>
      </c>
      <c r="O82" s="50">
        <f t="shared" ca="1" si="18"/>
        <v>6</v>
      </c>
      <c r="P82" s="5" t="str">
        <f t="shared" ref="P82" ca="1" si="224">IF(O82=0,"",CONCATENATE(VLOOKUP(O82,INDIRECT(P$50),2,FALSE),"_",IF(VLOOKUP(O82,INDIRECT(P$50),8,FALSE)&lt;10,"0",""),VLOOKUP(O82,INDIRECT(P$50),8,FALSE),VLOOKUP(O82,INDIRECT(P$50),12,FALSE)))</f>
        <v>320806_10e</v>
      </c>
      <c r="Q82" s="50">
        <f t="shared" ca="1" si="20"/>
        <v>0</v>
      </c>
      <c r="R82" s="5" t="str">
        <f t="shared" ref="R82" ca="1" si="225">IF(Q82=0,"",CONCATENATE(VLOOKUP(Q82,INDIRECT(R$50),2,FALSE),"_",IF(VLOOKUP(Q82,INDIRECT(R$50),8,FALSE)&lt;10,"0",""),VLOOKUP(Q82,INDIRECT(R$50),8,FALSE),VLOOKUP(Q82,INDIRECT(R$50),12,FALSE)))</f>
        <v/>
      </c>
      <c r="S82" s="50">
        <f t="shared" ca="1" si="22"/>
        <v>0</v>
      </c>
      <c r="T82" s="5" t="str">
        <f t="shared" ref="T82" ca="1" si="226">IF(S82=0,"",CONCATENATE(VLOOKUP(S82,INDIRECT(T$50),2,FALSE),"_",IF(VLOOKUP(S82,INDIRECT(T$50),8,FALSE)&lt;10,"0",""),VLOOKUP(S82,INDIRECT(T$50),8,FALSE),VLOOKUP(S82,INDIRECT(T$50),12,FALSE)))</f>
        <v/>
      </c>
    </row>
    <row r="83" spans="1:20" ht="15" customHeight="1">
      <c r="A83" s="4"/>
      <c r="B83" s="50"/>
      <c r="C83" s="50">
        <f t="shared" ca="1" si="8"/>
        <v>0</v>
      </c>
      <c r="D83" s="5" t="str">
        <f t="shared" ca="1" si="0"/>
        <v/>
      </c>
      <c r="E83" s="50">
        <f t="shared" ca="1" si="9"/>
        <v>3</v>
      </c>
      <c r="F83" s="5" t="str">
        <f t="shared" ca="1" si="0"/>
        <v>170303_14c</v>
      </c>
      <c r="G83" s="50">
        <f t="shared" ca="1" si="10"/>
        <v>26</v>
      </c>
      <c r="H83" s="5" t="str">
        <f t="shared" ref="H83" ca="1" si="227">IF(G83=0,"",CONCATENATE(VLOOKUP(G83,INDIRECT(H$50),2,FALSE),"_",IF(VLOOKUP(G83,INDIRECT(H$50),8,FALSE)&lt;10,"0",""),VLOOKUP(G83,INDIRECT(H$50),8,FALSE),VLOOKUP(G83,INDIRECT(H$50),12,FALSE)))</f>
        <v>150403_09c</v>
      </c>
      <c r="I83" s="50">
        <f t="shared" ca="1" si="12"/>
        <v>29</v>
      </c>
      <c r="J83" s="5" t="str">
        <f t="shared" ref="J83" ca="1" si="228">IF(I83=0,"",CONCATENATE(VLOOKUP(I83,INDIRECT(J$50),2,FALSE),"_",IF(VLOOKUP(I83,INDIRECT(J$50),8,FALSE)&lt;10,"0",""),VLOOKUP(I83,INDIRECT(J$50),8,FALSE),VLOOKUP(I83,INDIRECT(J$50),12,FALSE)))</f>
        <v>200501_38e</v>
      </c>
      <c r="K83" s="50">
        <f t="shared" ca="1" si="14"/>
        <v>29</v>
      </c>
      <c r="L83" s="5" t="str">
        <f t="shared" ref="L83" ca="1" si="229">IF(K83=0,"",CONCATENATE(VLOOKUP(K83,INDIRECT(L$50),2,FALSE),"_",IF(VLOOKUP(K83,INDIRECT(L$50),8,FALSE)&lt;10,"0",""),VLOOKUP(K83,INDIRECT(L$50),8,FALSE),VLOOKUP(K83,INDIRECT(L$50),12,FALSE)))</f>
        <v>230604_10e</v>
      </c>
      <c r="M83" s="50">
        <f t="shared" ca="1" si="16"/>
        <v>0</v>
      </c>
      <c r="N83" s="5" t="str">
        <f t="shared" ref="N83" ca="1" si="230">IF(M83=0,"",CONCATENATE(VLOOKUP(M83,INDIRECT(N$50),2,FALSE),"_",IF(VLOOKUP(M83,INDIRECT(N$50),8,FALSE)&lt;10,"0",""),VLOOKUP(M83,INDIRECT(N$50),8,FALSE),VLOOKUP(M83,INDIRECT(N$50),12,FALSE)))</f>
        <v/>
      </c>
      <c r="O83" s="50">
        <f t="shared" ca="1" si="18"/>
        <v>5</v>
      </c>
      <c r="P83" s="5" t="str">
        <f t="shared" ref="P83" ca="1" si="231">IF(O83=0,"",CONCATENATE(VLOOKUP(O83,INDIRECT(P$50),2,FALSE),"_",IF(VLOOKUP(O83,INDIRECT(P$50),8,FALSE)&lt;10,"0",""),VLOOKUP(O83,INDIRECT(P$50),8,FALSE),VLOOKUP(O83,INDIRECT(P$50),12,FALSE)))</f>
        <v>330803_22e</v>
      </c>
      <c r="Q83" s="50">
        <f t="shared" ca="1" si="20"/>
        <v>0</v>
      </c>
      <c r="R83" s="5" t="str">
        <f t="shared" ref="R83" ca="1" si="232">IF(Q83=0,"",CONCATENATE(VLOOKUP(Q83,INDIRECT(R$50),2,FALSE),"_",IF(VLOOKUP(Q83,INDIRECT(R$50),8,FALSE)&lt;10,"0",""),VLOOKUP(Q83,INDIRECT(R$50),8,FALSE),VLOOKUP(Q83,INDIRECT(R$50),12,FALSE)))</f>
        <v/>
      </c>
      <c r="S83" s="50">
        <f t="shared" ca="1" si="22"/>
        <v>0</v>
      </c>
      <c r="T83" s="5" t="str">
        <f t="shared" ref="T83" ca="1" si="233">IF(S83=0,"",CONCATENATE(VLOOKUP(S83,INDIRECT(T$50),2,FALSE),"_",IF(VLOOKUP(S83,INDIRECT(T$50),8,FALSE)&lt;10,"0",""),VLOOKUP(S83,INDIRECT(T$50),8,FALSE),VLOOKUP(S83,INDIRECT(T$50),12,FALSE)))</f>
        <v/>
      </c>
    </row>
    <row r="84" spans="1:20" ht="15" customHeight="1">
      <c r="A84" s="4"/>
      <c r="B84" s="50"/>
      <c r="C84" s="50">
        <f t="shared" ca="1" si="8"/>
        <v>0</v>
      </c>
      <c r="D84" s="5" t="str">
        <f t="shared" ca="1" si="0"/>
        <v/>
      </c>
      <c r="E84" s="50">
        <f t="shared" ca="1" si="9"/>
        <v>2</v>
      </c>
      <c r="F84" s="5" t="str">
        <f t="shared" ca="1" si="0"/>
        <v>180302_24e</v>
      </c>
      <c r="G84" s="50">
        <f t="shared" ca="1" si="10"/>
        <v>25</v>
      </c>
      <c r="H84" s="5" t="str">
        <f t="shared" ref="H84" ca="1" si="234">IF(G84=0,"",CONCATENATE(VLOOKUP(G84,INDIRECT(H$50),2,FALSE),"_",IF(VLOOKUP(G84,INDIRECT(H$50),8,FALSE)&lt;10,"0",""),VLOOKUP(G84,INDIRECT(H$50),8,FALSE),VLOOKUP(G84,INDIRECT(H$50),12,FALSE)))</f>
        <v>150403_10e</v>
      </c>
      <c r="I84" s="50">
        <f t="shared" ca="1" si="12"/>
        <v>28</v>
      </c>
      <c r="J84" s="5" t="str">
        <f t="shared" ref="J84" ca="1" si="235">IF(I84=0,"",CONCATENATE(VLOOKUP(I84,INDIRECT(J$50),2,FALSE),"_",IF(VLOOKUP(I84,INDIRECT(J$50),8,FALSE)&lt;10,"0",""),VLOOKUP(I84,INDIRECT(J$50),8,FALSE),VLOOKUP(I84,INDIRECT(J$50),12,FALSE)))</f>
        <v>200502_18e</v>
      </c>
      <c r="K84" s="50">
        <f t="shared" ca="1" si="14"/>
        <v>28</v>
      </c>
      <c r="L84" s="5" t="str">
        <f t="shared" ref="L84" ca="1" si="236">IF(K84=0,"",CONCATENATE(VLOOKUP(K84,INDIRECT(L$50),2,FALSE),"_",IF(VLOOKUP(K84,INDIRECT(L$50),8,FALSE)&lt;10,"0",""),VLOOKUP(K84,INDIRECT(L$50),8,FALSE),VLOOKUP(K84,INDIRECT(L$50),12,FALSE)))</f>
        <v>230606_06e</v>
      </c>
      <c r="M84" s="50">
        <f t="shared" ca="1" si="16"/>
        <v>0</v>
      </c>
      <c r="N84" s="5" t="str">
        <f t="shared" ref="N84" ca="1" si="237">IF(M84=0,"",CONCATENATE(VLOOKUP(M84,INDIRECT(N$50),2,FALSE),"_",IF(VLOOKUP(M84,INDIRECT(N$50),8,FALSE)&lt;10,"0",""),VLOOKUP(M84,INDIRECT(N$50),8,FALSE),VLOOKUP(M84,INDIRECT(N$50),12,FALSE)))</f>
        <v/>
      </c>
      <c r="O84" s="50">
        <f t="shared" ca="1" si="18"/>
        <v>4</v>
      </c>
      <c r="P84" s="5" t="str">
        <f t="shared" ref="P84" ca="1" si="238">IF(O84=0,"",CONCATENATE(VLOOKUP(O84,INDIRECT(P$50),2,FALSE),"_",IF(VLOOKUP(O84,INDIRECT(P$50),8,FALSE)&lt;10,"0",""),VLOOKUP(O84,INDIRECT(P$50),8,FALSE),VLOOKUP(O84,INDIRECT(P$50),12,FALSE)))</f>
        <v>340804_17e</v>
      </c>
      <c r="Q84" s="50">
        <f t="shared" ca="1" si="20"/>
        <v>0</v>
      </c>
      <c r="R84" s="5" t="str">
        <f t="shared" ref="R84" ca="1" si="239">IF(Q84=0,"",CONCATENATE(VLOOKUP(Q84,INDIRECT(R$50),2,FALSE),"_",IF(VLOOKUP(Q84,INDIRECT(R$50),8,FALSE)&lt;10,"0",""),VLOOKUP(Q84,INDIRECT(R$50),8,FALSE),VLOOKUP(Q84,INDIRECT(R$50),12,FALSE)))</f>
        <v/>
      </c>
      <c r="S84" s="50">
        <f t="shared" ca="1" si="22"/>
        <v>0</v>
      </c>
      <c r="T84" s="5" t="str">
        <f t="shared" ref="T84" ca="1" si="240">IF(S84=0,"",CONCATENATE(VLOOKUP(S84,INDIRECT(T$50),2,FALSE),"_",IF(VLOOKUP(S84,INDIRECT(T$50),8,FALSE)&lt;10,"0",""),VLOOKUP(S84,INDIRECT(T$50),8,FALSE),VLOOKUP(S84,INDIRECT(T$50),12,FALSE)))</f>
        <v/>
      </c>
    </row>
    <row r="85" spans="1:20" ht="15" customHeight="1">
      <c r="A85" s="4"/>
      <c r="B85" s="50"/>
      <c r="C85" s="50">
        <f t="shared" ca="1" si="8"/>
        <v>0</v>
      </c>
      <c r="D85" s="5" t="str">
        <f t="shared" ca="1" si="0"/>
        <v/>
      </c>
      <c r="E85" s="50">
        <f t="shared" ca="1" si="9"/>
        <v>1</v>
      </c>
      <c r="F85" s="5" t="str">
        <f t="shared" ca="1" si="0"/>
        <v>180303_15c</v>
      </c>
      <c r="G85" s="50">
        <f t="shared" ca="1" si="10"/>
        <v>24</v>
      </c>
      <c r="H85" s="5" t="str">
        <f t="shared" ref="H85" ca="1" si="241">IF(G85=0,"",CONCATENATE(VLOOKUP(G85,INDIRECT(H$50),2,FALSE),"_",IF(VLOOKUP(G85,INDIRECT(H$50),8,FALSE)&lt;10,"0",""),VLOOKUP(G85,INDIRECT(H$50),8,FALSE),VLOOKUP(G85,INDIRECT(H$50),12,FALSE)))</f>
        <v>160401_30e</v>
      </c>
      <c r="I85" s="50">
        <f t="shared" ca="1" si="12"/>
        <v>27</v>
      </c>
      <c r="J85" s="5" t="str">
        <f t="shared" ref="J85" ca="1" si="242">IF(I85=0,"",CONCATENATE(VLOOKUP(I85,INDIRECT(J$50),2,FALSE),"_",IF(VLOOKUP(I85,INDIRECT(J$50),8,FALSE)&lt;10,"0",""),VLOOKUP(I85,INDIRECT(J$50),8,FALSE),VLOOKUP(I85,INDIRECT(J$50),12,FALSE)))</f>
        <v>200503_14e</v>
      </c>
      <c r="K85" s="50">
        <f t="shared" ca="1" si="14"/>
        <v>27</v>
      </c>
      <c r="L85" s="5" t="str">
        <f t="shared" ref="L85" ca="1" si="243">IF(K85=0,"",CONCATENATE(VLOOKUP(K85,INDIRECT(L$50),2,FALSE),"_",IF(VLOOKUP(K85,INDIRECT(L$50),8,FALSE)&lt;10,"0",""),VLOOKUP(K85,INDIRECT(L$50),8,FALSE),VLOOKUP(K85,INDIRECT(L$50),12,FALSE)))</f>
        <v>240601_24e</v>
      </c>
      <c r="M85" s="50">
        <f t="shared" ca="1" si="16"/>
        <v>0</v>
      </c>
      <c r="N85" s="5" t="str">
        <f t="shared" ref="N85" ca="1" si="244">IF(M85=0,"",CONCATENATE(VLOOKUP(M85,INDIRECT(N$50),2,FALSE),"_",IF(VLOOKUP(M85,INDIRECT(N$50),8,FALSE)&lt;10,"0",""),VLOOKUP(M85,INDIRECT(N$50),8,FALSE),VLOOKUP(M85,INDIRECT(N$50),12,FALSE)))</f>
        <v/>
      </c>
      <c r="O85" s="50">
        <f t="shared" ca="1" si="18"/>
        <v>3</v>
      </c>
      <c r="P85" s="5" t="str">
        <f t="shared" ref="P85" ca="1" si="245">IF(O85=0,"",CONCATENATE(VLOOKUP(O85,INDIRECT(P$50),2,FALSE),"_",IF(VLOOKUP(O85,INDIRECT(P$50),8,FALSE)&lt;10,"0",""),VLOOKUP(O85,INDIRECT(P$50),8,FALSE),VLOOKUP(O85,INDIRECT(P$50),12,FALSE)))</f>
        <v>340805_14e</v>
      </c>
      <c r="Q85" s="50">
        <f t="shared" ca="1" si="20"/>
        <v>0</v>
      </c>
      <c r="R85" s="5" t="str">
        <f t="shared" ref="R85" ca="1" si="246">IF(Q85=0,"",CONCATENATE(VLOOKUP(Q85,INDIRECT(R$50),2,FALSE),"_",IF(VLOOKUP(Q85,INDIRECT(R$50),8,FALSE)&lt;10,"0",""),VLOOKUP(Q85,INDIRECT(R$50),8,FALSE),VLOOKUP(Q85,INDIRECT(R$50),12,FALSE)))</f>
        <v/>
      </c>
      <c r="S85" s="50">
        <f t="shared" ca="1" si="22"/>
        <v>0</v>
      </c>
      <c r="T85" s="5" t="str">
        <f t="shared" ref="T85" ca="1" si="247">IF(S85=0,"",CONCATENATE(VLOOKUP(S85,INDIRECT(T$50),2,FALSE),"_",IF(VLOOKUP(S85,INDIRECT(T$50),8,FALSE)&lt;10,"0",""),VLOOKUP(S85,INDIRECT(T$50),8,FALSE),VLOOKUP(S85,INDIRECT(T$50),12,FALSE)))</f>
        <v/>
      </c>
    </row>
    <row r="86" spans="1:20" ht="15" customHeight="1">
      <c r="A86" s="4"/>
      <c r="B86" s="50"/>
      <c r="C86" s="50">
        <f t="shared" ca="1" si="8"/>
        <v>0</v>
      </c>
      <c r="D86" s="5" t="str">
        <f t="shared" ca="1" si="0"/>
        <v/>
      </c>
      <c r="E86" s="50">
        <f t="shared" ca="1" si="9"/>
        <v>0</v>
      </c>
      <c r="F86" s="5" t="str">
        <f t="shared" ca="1" si="0"/>
        <v/>
      </c>
      <c r="G86" s="50">
        <f t="shared" ca="1" si="10"/>
        <v>23</v>
      </c>
      <c r="H86" s="5" t="str">
        <f t="shared" ref="H86" ca="1" si="248">IF(G86=0,"",CONCATENATE(VLOOKUP(G86,INDIRECT(H$50),2,FALSE),"_",IF(VLOOKUP(G86,INDIRECT(H$50),8,FALSE)&lt;10,"0",""),VLOOKUP(G86,INDIRECT(H$50),8,FALSE),VLOOKUP(G86,INDIRECT(H$50),12,FALSE)))</f>
        <v>160402_14e</v>
      </c>
      <c r="I86" s="50">
        <f t="shared" ca="1" si="12"/>
        <v>26</v>
      </c>
      <c r="J86" s="5" t="str">
        <f t="shared" ref="J86" ca="1" si="249">IF(I86=0,"",CONCATENATE(VLOOKUP(I86,INDIRECT(J$50),2,FALSE),"_",IF(VLOOKUP(I86,INDIRECT(J$50),8,FALSE)&lt;10,"0",""),VLOOKUP(I86,INDIRECT(J$50),8,FALSE),VLOOKUP(I86,INDIRECT(J$50),12,FALSE)))</f>
        <v>200504_08c</v>
      </c>
      <c r="K86" s="50">
        <f t="shared" ca="1" si="14"/>
        <v>26</v>
      </c>
      <c r="L86" s="5" t="str">
        <f t="shared" ref="L86" ca="1" si="250">IF(K86=0,"",CONCATENATE(VLOOKUP(K86,INDIRECT(L$50),2,FALSE),"_",IF(VLOOKUP(K86,INDIRECT(L$50),8,FALSE)&lt;10,"0",""),VLOOKUP(K86,INDIRECT(L$50),8,FALSE),VLOOKUP(K86,INDIRECT(L$50),12,FALSE)))</f>
        <v>240602_22e</v>
      </c>
      <c r="M86" s="50">
        <f t="shared" ca="1" si="16"/>
        <v>0</v>
      </c>
      <c r="N86" s="5" t="str">
        <f t="shared" ref="N86" ca="1" si="251">IF(M86=0,"",CONCATENATE(VLOOKUP(M86,INDIRECT(N$50),2,FALSE),"_",IF(VLOOKUP(M86,INDIRECT(N$50),8,FALSE)&lt;10,"0",""),VLOOKUP(M86,INDIRECT(N$50),8,FALSE),VLOOKUP(M86,INDIRECT(N$50),12,FALSE)))</f>
        <v/>
      </c>
      <c r="O86" s="50">
        <f t="shared" ca="1" si="18"/>
        <v>2</v>
      </c>
      <c r="P86" s="5" t="str">
        <f t="shared" ref="P86" ca="1" si="252">IF(O86=0,"",CONCATENATE(VLOOKUP(O86,INDIRECT(P$50),2,FALSE),"_",IF(VLOOKUP(O86,INDIRECT(P$50),8,FALSE)&lt;10,"0",""),VLOOKUP(O86,INDIRECT(P$50),8,FALSE),VLOOKUP(O86,INDIRECT(P$50),12,FALSE)))</f>
        <v>340806_10e</v>
      </c>
      <c r="Q86" s="50">
        <f t="shared" ca="1" si="20"/>
        <v>0</v>
      </c>
      <c r="R86" s="5" t="str">
        <f t="shared" ref="R86" ca="1" si="253">IF(Q86=0,"",CONCATENATE(VLOOKUP(Q86,INDIRECT(R$50),2,FALSE),"_",IF(VLOOKUP(Q86,INDIRECT(R$50),8,FALSE)&lt;10,"0",""),VLOOKUP(Q86,INDIRECT(R$50),8,FALSE),VLOOKUP(Q86,INDIRECT(R$50),12,FALSE)))</f>
        <v/>
      </c>
      <c r="S86" s="50">
        <f t="shared" ca="1" si="22"/>
        <v>0</v>
      </c>
      <c r="T86" s="5" t="str">
        <f t="shared" ref="T86" ca="1" si="254">IF(S86=0,"",CONCATENATE(VLOOKUP(S86,INDIRECT(T$50),2,FALSE),"_",IF(VLOOKUP(S86,INDIRECT(T$50),8,FALSE)&lt;10,"0",""),VLOOKUP(S86,INDIRECT(T$50),8,FALSE),VLOOKUP(S86,INDIRECT(T$50),12,FALSE)))</f>
        <v/>
      </c>
    </row>
    <row r="87" spans="1:20" ht="15" customHeight="1">
      <c r="A87" s="4"/>
      <c r="B87" s="50"/>
      <c r="C87" s="50">
        <f t="shared" ca="1" si="8"/>
        <v>0</v>
      </c>
      <c r="D87" s="5" t="str">
        <f t="shared" ca="1" si="0"/>
        <v/>
      </c>
      <c r="E87" s="50">
        <f t="shared" ca="1" si="9"/>
        <v>0</v>
      </c>
      <c r="F87" s="5" t="str">
        <f t="shared" ca="1" si="0"/>
        <v/>
      </c>
      <c r="G87" s="50">
        <f t="shared" ca="1" si="10"/>
        <v>22</v>
      </c>
      <c r="H87" s="5" t="str">
        <f t="shared" ref="H87" ca="1" si="255">IF(G87=0,"",CONCATENATE(VLOOKUP(G87,INDIRECT(H$50),2,FALSE),"_",IF(VLOOKUP(G87,INDIRECT(H$50),8,FALSE)&lt;10,"0",""),VLOOKUP(G87,INDIRECT(H$50),8,FALSE),VLOOKUP(G87,INDIRECT(H$50),12,FALSE)))</f>
        <v>160402_14c</v>
      </c>
      <c r="I87" s="50">
        <f t="shared" ca="1" si="12"/>
        <v>25</v>
      </c>
      <c r="J87" s="5" t="str">
        <f t="shared" ref="J87" ca="1" si="256">IF(I87=0,"",CONCATENATE(VLOOKUP(I87,INDIRECT(J$50),2,FALSE),"_",IF(VLOOKUP(I87,INDIRECT(J$50),8,FALSE)&lt;10,"0",""),VLOOKUP(I87,INDIRECT(J$50),8,FALSE),VLOOKUP(I87,INDIRECT(J$50),12,FALSE)))</f>
        <v>200504_10e</v>
      </c>
      <c r="K87" s="50">
        <f t="shared" ca="1" si="14"/>
        <v>25</v>
      </c>
      <c r="L87" s="5" t="str">
        <f t="shared" ref="L87" ca="1" si="257">IF(K87=0,"",CONCATENATE(VLOOKUP(K87,INDIRECT(L$50),2,FALSE),"_",IF(VLOOKUP(K87,INDIRECT(L$50),8,FALSE)&lt;10,"0",""),VLOOKUP(K87,INDIRECT(L$50),8,FALSE),VLOOKUP(K87,INDIRECT(L$50),12,FALSE)))</f>
        <v>240603_14e</v>
      </c>
      <c r="M87" s="50">
        <f t="shared" ca="1" si="16"/>
        <v>0</v>
      </c>
      <c r="N87" s="5" t="str">
        <f t="shared" ref="N87" ca="1" si="258">IF(M87=0,"",CONCATENATE(VLOOKUP(M87,INDIRECT(N$50),2,FALSE),"_",IF(VLOOKUP(M87,INDIRECT(N$50),8,FALSE)&lt;10,"0",""),VLOOKUP(M87,INDIRECT(N$50),8,FALSE),VLOOKUP(M87,INDIRECT(N$50),12,FALSE)))</f>
        <v/>
      </c>
      <c r="O87" s="50">
        <f t="shared" ca="1" si="18"/>
        <v>1</v>
      </c>
      <c r="P87" s="5" t="str">
        <f t="shared" ref="P87" ca="1" si="259">IF(O87=0,"",CONCATENATE(VLOOKUP(O87,INDIRECT(P$50),2,FALSE),"_",IF(VLOOKUP(O87,INDIRECT(P$50),8,FALSE)&lt;10,"0",""),VLOOKUP(O87,INDIRECT(P$50),8,FALSE),VLOOKUP(O87,INDIRECT(P$50),12,FALSE)))</f>
        <v>360804_18e</v>
      </c>
      <c r="Q87" s="50">
        <f t="shared" ca="1" si="20"/>
        <v>0</v>
      </c>
      <c r="R87" s="5" t="str">
        <f t="shared" ref="R87" ca="1" si="260">IF(Q87=0,"",CONCATENATE(VLOOKUP(Q87,INDIRECT(R$50),2,FALSE),"_",IF(VLOOKUP(Q87,INDIRECT(R$50),8,FALSE)&lt;10,"0",""),VLOOKUP(Q87,INDIRECT(R$50),8,FALSE),VLOOKUP(Q87,INDIRECT(R$50),12,FALSE)))</f>
        <v/>
      </c>
      <c r="S87" s="50">
        <f t="shared" ca="1" si="22"/>
        <v>0</v>
      </c>
      <c r="T87" s="5" t="str">
        <f t="shared" ref="T87" ca="1" si="261">IF(S87=0,"",CONCATENATE(VLOOKUP(S87,INDIRECT(T$50),2,FALSE),"_",IF(VLOOKUP(S87,INDIRECT(T$50),8,FALSE)&lt;10,"0",""),VLOOKUP(S87,INDIRECT(T$50),8,FALSE),VLOOKUP(S87,INDIRECT(T$50),12,FALSE)))</f>
        <v/>
      </c>
    </row>
    <row r="88" spans="1:20" ht="15" customHeight="1">
      <c r="A88" s="4"/>
      <c r="B88" s="50"/>
      <c r="C88" s="50">
        <f t="shared" ca="1" si="8"/>
        <v>0</v>
      </c>
      <c r="D88" s="5" t="str">
        <f t="shared" ca="1" si="0"/>
        <v/>
      </c>
      <c r="E88" s="50">
        <f t="shared" ca="1" si="9"/>
        <v>0</v>
      </c>
      <c r="F88" s="5" t="str">
        <f t="shared" ca="1" si="0"/>
        <v/>
      </c>
      <c r="G88" s="50">
        <f t="shared" ca="1" si="10"/>
        <v>21</v>
      </c>
      <c r="H88" s="5" t="str">
        <f t="shared" ref="H88" ca="1" si="262">IF(G88=0,"",CONCATENATE(VLOOKUP(G88,INDIRECT(H$50),2,FALSE),"_",IF(VLOOKUP(G88,INDIRECT(H$50),8,FALSE)&lt;10,"0",""),VLOOKUP(G88,INDIRECT(H$50),8,FALSE),VLOOKUP(G88,INDIRECT(H$50),12,FALSE)))</f>
        <v>160403_10e</v>
      </c>
      <c r="I88" s="50">
        <f t="shared" ca="1" si="12"/>
        <v>24</v>
      </c>
      <c r="J88" s="5" t="str">
        <f t="shared" ref="J88" ca="1" si="263">IF(I88=0,"",CONCATENATE(VLOOKUP(I88,INDIRECT(J$50),2,FALSE),"_",IF(VLOOKUP(I88,INDIRECT(J$50),8,FALSE)&lt;10,"0",""),VLOOKUP(I88,INDIRECT(J$50),8,FALSE),VLOOKUP(I88,INDIRECT(J$50),12,FALSE)))</f>
        <v>200505_06e</v>
      </c>
      <c r="K88" s="50">
        <f t="shared" ca="1" si="14"/>
        <v>24</v>
      </c>
      <c r="L88" s="5" t="str">
        <f t="shared" ref="L88" ca="1" si="264">IF(K88=0,"",CONCATENATE(VLOOKUP(K88,INDIRECT(L$50),2,FALSE),"_",IF(VLOOKUP(K88,INDIRECT(L$50),8,FALSE)&lt;10,"0",""),VLOOKUP(K88,INDIRECT(L$50),8,FALSE),VLOOKUP(K88,INDIRECT(L$50),12,FALSE)))</f>
        <v>240604_10e</v>
      </c>
      <c r="M88" s="50">
        <f t="shared" ca="1" si="16"/>
        <v>0</v>
      </c>
      <c r="N88" s="5" t="str">
        <f t="shared" ref="N88" ca="1" si="265">IF(M88=0,"",CONCATENATE(VLOOKUP(M88,INDIRECT(N$50),2,FALSE),"_",IF(VLOOKUP(M88,INDIRECT(N$50),8,FALSE)&lt;10,"0",""),VLOOKUP(M88,INDIRECT(N$50),8,FALSE),VLOOKUP(M88,INDIRECT(N$50),12,FALSE)))</f>
        <v/>
      </c>
      <c r="O88" s="50">
        <f t="shared" ca="1" si="18"/>
        <v>0</v>
      </c>
      <c r="P88" s="5" t="str">
        <f t="shared" ref="P88" ca="1" si="266">IF(O88=0,"",CONCATENATE(VLOOKUP(O88,INDIRECT(P$50),2,FALSE),"_",IF(VLOOKUP(O88,INDIRECT(P$50),8,FALSE)&lt;10,"0",""),VLOOKUP(O88,INDIRECT(P$50),8,FALSE),VLOOKUP(O88,INDIRECT(P$50),12,FALSE)))</f>
        <v/>
      </c>
      <c r="Q88" s="50">
        <f t="shared" ca="1" si="20"/>
        <v>0</v>
      </c>
      <c r="R88" s="5" t="str">
        <f t="shared" ref="R88" ca="1" si="267">IF(Q88=0,"",CONCATENATE(VLOOKUP(Q88,INDIRECT(R$50),2,FALSE),"_",IF(VLOOKUP(Q88,INDIRECT(R$50),8,FALSE)&lt;10,"0",""),VLOOKUP(Q88,INDIRECT(R$50),8,FALSE),VLOOKUP(Q88,INDIRECT(R$50),12,FALSE)))</f>
        <v/>
      </c>
      <c r="S88" s="50">
        <f t="shared" ca="1" si="22"/>
        <v>0</v>
      </c>
      <c r="T88" s="5" t="str">
        <f t="shared" ref="T88" ca="1" si="268">IF(S88=0,"",CONCATENATE(VLOOKUP(S88,INDIRECT(T$50),2,FALSE),"_",IF(VLOOKUP(S88,INDIRECT(T$50),8,FALSE)&lt;10,"0",""),VLOOKUP(S88,INDIRECT(T$50),8,FALSE),VLOOKUP(S88,INDIRECT(T$50),12,FALSE)))</f>
        <v/>
      </c>
    </row>
    <row r="89" spans="1:20" ht="15" customHeight="1">
      <c r="A89" s="4"/>
      <c r="B89" s="50"/>
      <c r="C89" s="50">
        <f t="shared" ca="1" si="8"/>
        <v>0</v>
      </c>
      <c r="D89" s="5" t="str">
        <f t="shared" ca="1" si="0"/>
        <v/>
      </c>
      <c r="E89" s="50">
        <f t="shared" ca="1" si="9"/>
        <v>0</v>
      </c>
      <c r="F89" s="5" t="str">
        <f t="shared" ca="1" si="0"/>
        <v/>
      </c>
      <c r="G89" s="50">
        <f t="shared" ca="1" si="10"/>
        <v>20</v>
      </c>
      <c r="H89" s="5" t="str">
        <f t="shared" ref="H89" ca="1" si="269">IF(G89=0,"",CONCATENATE(VLOOKUP(G89,INDIRECT(H$50),2,FALSE),"_",IF(VLOOKUP(G89,INDIRECT(H$50),8,FALSE)&lt;10,"0",""),VLOOKUP(G89,INDIRECT(H$50),8,FALSE),VLOOKUP(G89,INDIRECT(H$50),12,FALSE)))</f>
        <v>160404_06e</v>
      </c>
      <c r="I89" s="50">
        <f t="shared" ca="1" si="12"/>
        <v>23</v>
      </c>
      <c r="J89" s="5" t="str">
        <f t="shared" ref="J89" ca="1" si="270">IF(I89=0,"",CONCATENATE(VLOOKUP(I89,INDIRECT(J$50),2,FALSE),"_",IF(VLOOKUP(I89,INDIRECT(J$50),8,FALSE)&lt;10,"0",""),VLOOKUP(I89,INDIRECT(J$50),8,FALSE),VLOOKUP(I89,INDIRECT(J$50),12,FALSE)))</f>
        <v>210501_20e</v>
      </c>
      <c r="K89" s="50">
        <f t="shared" ca="1" si="14"/>
        <v>23</v>
      </c>
      <c r="L89" s="5" t="str">
        <f t="shared" ref="L89" ca="1" si="271">IF(K89=0,"",CONCATENATE(VLOOKUP(K89,INDIRECT(L$50),2,FALSE),"_",IF(VLOOKUP(K89,INDIRECT(L$50),8,FALSE)&lt;10,"0",""),VLOOKUP(K89,INDIRECT(L$50),8,FALSE),VLOOKUP(K89,INDIRECT(L$50),12,FALSE)))</f>
        <v>240605_10e</v>
      </c>
      <c r="M89" s="50">
        <f t="shared" ca="1" si="16"/>
        <v>0</v>
      </c>
      <c r="N89" s="5" t="str">
        <f t="shared" ref="N89" ca="1" si="272">IF(M89=0,"",CONCATENATE(VLOOKUP(M89,INDIRECT(N$50),2,FALSE),"_",IF(VLOOKUP(M89,INDIRECT(N$50),8,FALSE)&lt;10,"0",""),VLOOKUP(M89,INDIRECT(N$50),8,FALSE),VLOOKUP(M89,INDIRECT(N$50),12,FALSE)))</f>
        <v/>
      </c>
      <c r="O89" s="50">
        <f t="shared" ca="1" si="18"/>
        <v>0</v>
      </c>
      <c r="P89" s="5" t="str">
        <f t="shared" ref="P89" ca="1" si="273">IF(O89=0,"",CONCATENATE(VLOOKUP(O89,INDIRECT(P$50),2,FALSE),"_",IF(VLOOKUP(O89,INDIRECT(P$50),8,FALSE)&lt;10,"0",""),VLOOKUP(O89,INDIRECT(P$50),8,FALSE),VLOOKUP(O89,INDIRECT(P$50),12,FALSE)))</f>
        <v/>
      </c>
      <c r="Q89" s="50">
        <f t="shared" ca="1" si="20"/>
        <v>0</v>
      </c>
      <c r="R89" s="5" t="str">
        <f t="shared" ref="R89" ca="1" si="274">IF(Q89=0,"",CONCATENATE(VLOOKUP(Q89,INDIRECT(R$50),2,FALSE),"_",IF(VLOOKUP(Q89,INDIRECT(R$50),8,FALSE)&lt;10,"0",""),VLOOKUP(Q89,INDIRECT(R$50),8,FALSE),VLOOKUP(Q89,INDIRECT(R$50),12,FALSE)))</f>
        <v/>
      </c>
      <c r="S89" s="50">
        <f t="shared" ca="1" si="22"/>
        <v>0</v>
      </c>
      <c r="T89" s="5" t="str">
        <f t="shared" ref="T89" ca="1" si="275">IF(S89=0,"",CONCATENATE(VLOOKUP(S89,INDIRECT(T$50),2,FALSE),"_",IF(VLOOKUP(S89,INDIRECT(T$50),8,FALSE)&lt;10,"0",""),VLOOKUP(S89,INDIRECT(T$50),8,FALSE),VLOOKUP(S89,INDIRECT(T$50),12,FALSE)))</f>
        <v/>
      </c>
    </row>
    <row r="90" spans="1:20" ht="15" customHeight="1">
      <c r="A90" s="4"/>
      <c r="B90" s="50"/>
      <c r="C90" s="50">
        <f t="shared" ca="1" si="8"/>
        <v>0</v>
      </c>
      <c r="D90" s="5" t="str">
        <f t="shared" ca="1" si="0"/>
        <v/>
      </c>
      <c r="E90" s="50">
        <f t="shared" ca="1" si="9"/>
        <v>0</v>
      </c>
      <c r="F90" s="5" t="str">
        <f t="shared" ca="1" si="0"/>
        <v/>
      </c>
      <c r="G90" s="50">
        <f t="shared" ca="1" si="10"/>
        <v>19</v>
      </c>
      <c r="H90" s="5" t="str">
        <f t="shared" ref="H90" ca="1" si="276">IF(G90=0,"",CONCATENATE(VLOOKUP(G90,INDIRECT(H$50),2,FALSE),"_",IF(VLOOKUP(G90,INDIRECT(H$50),8,FALSE)&lt;10,"0",""),VLOOKUP(G90,INDIRECT(H$50),8,FALSE),VLOOKUP(G90,INDIRECT(H$50),12,FALSE)))</f>
        <v>170401_34e</v>
      </c>
      <c r="I90" s="50">
        <f t="shared" ca="1" si="12"/>
        <v>22</v>
      </c>
      <c r="J90" s="5" t="str">
        <f t="shared" ref="J90" ca="1" si="277">IF(I90=0,"",CONCATENATE(VLOOKUP(I90,INDIRECT(J$50),2,FALSE),"_",IF(VLOOKUP(I90,INDIRECT(J$50),8,FALSE)&lt;10,"0",""),VLOOKUP(I90,INDIRECT(J$50),8,FALSE),VLOOKUP(I90,INDIRECT(J$50),12,FALSE)))</f>
        <v>210501_22e</v>
      </c>
      <c r="K90" s="50">
        <f t="shared" ca="1" si="14"/>
        <v>22</v>
      </c>
      <c r="L90" s="5" t="str">
        <f t="shared" ref="L90" ca="1" si="278">IF(K90=0,"",CONCATENATE(VLOOKUP(K90,INDIRECT(L$50),2,FALSE),"_",IF(VLOOKUP(K90,INDIRECT(L$50),8,FALSE)&lt;10,"0",""),VLOOKUP(K90,INDIRECT(L$50),8,FALSE),VLOOKUP(K90,INDIRECT(L$50),12,FALSE)))</f>
        <v>240606_06e</v>
      </c>
      <c r="M90" s="50">
        <f t="shared" ca="1" si="16"/>
        <v>0</v>
      </c>
      <c r="N90" s="5" t="str">
        <f t="shared" ref="N90" ca="1" si="279">IF(M90=0,"",CONCATENATE(VLOOKUP(M90,INDIRECT(N$50),2,FALSE),"_",IF(VLOOKUP(M90,INDIRECT(N$50),8,FALSE)&lt;10,"0",""),VLOOKUP(M90,INDIRECT(N$50),8,FALSE),VLOOKUP(M90,INDIRECT(N$50),12,FALSE)))</f>
        <v/>
      </c>
      <c r="O90" s="50">
        <f t="shared" ca="1" si="18"/>
        <v>0</v>
      </c>
      <c r="P90" s="5" t="str">
        <f t="shared" ref="P90" ca="1" si="280">IF(O90=0,"",CONCATENATE(VLOOKUP(O90,INDIRECT(P$50),2,FALSE),"_",IF(VLOOKUP(O90,INDIRECT(P$50),8,FALSE)&lt;10,"0",""),VLOOKUP(O90,INDIRECT(P$50),8,FALSE),VLOOKUP(O90,INDIRECT(P$50),12,FALSE)))</f>
        <v/>
      </c>
      <c r="Q90" s="50">
        <f t="shared" ca="1" si="20"/>
        <v>0</v>
      </c>
      <c r="R90" s="5" t="str">
        <f t="shared" ref="R90" ca="1" si="281">IF(Q90=0,"",CONCATENATE(VLOOKUP(Q90,INDIRECT(R$50),2,FALSE),"_",IF(VLOOKUP(Q90,INDIRECT(R$50),8,FALSE)&lt;10,"0",""),VLOOKUP(Q90,INDIRECT(R$50),8,FALSE),VLOOKUP(Q90,INDIRECT(R$50),12,FALSE)))</f>
        <v/>
      </c>
      <c r="S90" s="50">
        <f t="shared" ca="1" si="22"/>
        <v>0</v>
      </c>
      <c r="T90" s="5" t="str">
        <f t="shared" ref="T90" ca="1" si="282">IF(S90=0,"",CONCATENATE(VLOOKUP(S90,INDIRECT(T$50),2,FALSE),"_",IF(VLOOKUP(S90,INDIRECT(T$50),8,FALSE)&lt;10,"0",""),VLOOKUP(S90,INDIRECT(T$50),8,FALSE),VLOOKUP(S90,INDIRECT(T$50),12,FALSE)))</f>
        <v/>
      </c>
    </row>
    <row r="91" spans="1:20" ht="15" customHeight="1">
      <c r="A91" s="4"/>
      <c r="B91" s="50"/>
      <c r="C91" s="50">
        <f t="shared" ca="1" si="8"/>
        <v>0</v>
      </c>
      <c r="D91" s="5" t="str">
        <f t="shared" ca="1" si="0"/>
        <v/>
      </c>
      <c r="E91" s="50">
        <f t="shared" ca="1" si="9"/>
        <v>0</v>
      </c>
      <c r="F91" s="5" t="str">
        <f t="shared" ca="1" si="0"/>
        <v/>
      </c>
      <c r="G91" s="50">
        <f t="shared" ca="1" si="10"/>
        <v>18</v>
      </c>
      <c r="H91" s="5" t="str">
        <f t="shared" ref="H91" ca="1" si="283">IF(G91=0,"",CONCATENATE(VLOOKUP(G91,INDIRECT(H$50),2,FALSE),"_",IF(VLOOKUP(G91,INDIRECT(H$50),8,FALSE)&lt;10,"0",""),VLOOKUP(G91,INDIRECT(H$50),8,FALSE),VLOOKUP(G91,INDIRECT(H$50),12,FALSE)))</f>
        <v>170402_17e</v>
      </c>
      <c r="I91" s="50">
        <f t="shared" ca="1" si="12"/>
        <v>21</v>
      </c>
      <c r="J91" s="5" t="str">
        <f t="shared" ref="J91" ca="1" si="284">IF(I91=0,"",CONCATENATE(VLOOKUP(I91,INDIRECT(J$50),2,FALSE),"_",IF(VLOOKUP(I91,INDIRECT(J$50),8,FALSE)&lt;10,"0",""),VLOOKUP(I91,INDIRECT(J$50),8,FALSE),VLOOKUP(I91,INDIRECT(J$50),12,FALSE)))</f>
        <v>210502_21e</v>
      </c>
      <c r="K91" s="50">
        <f t="shared" ca="1" si="14"/>
        <v>21</v>
      </c>
      <c r="L91" s="5" t="str">
        <f t="shared" ref="L91" ca="1" si="285">IF(K91=0,"",CONCATENATE(VLOOKUP(K91,INDIRECT(L$50),2,FALSE),"_",IF(VLOOKUP(K91,INDIRECT(L$50),8,FALSE)&lt;10,"0",""),VLOOKUP(K91,INDIRECT(L$50),8,FALSE),VLOOKUP(K91,INDIRECT(L$50),12,FALSE)))</f>
        <v>250601_24e</v>
      </c>
      <c r="M91" s="50">
        <f t="shared" ca="1" si="16"/>
        <v>0</v>
      </c>
      <c r="N91" s="5" t="str">
        <f t="shared" ref="N91" ca="1" si="286">IF(M91=0,"",CONCATENATE(VLOOKUP(M91,INDIRECT(N$50),2,FALSE),"_",IF(VLOOKUP(M91,INDIRECT(N$50),8,FALSE)&lt;10,"0",""),VLOOKUP(M91,INDIRECT(N$50),8,FALSE),VLOOKUP(M91,INDIRECT(N$50),12,FALSE)))</f>
        <v/>
      </c>
      <c r="O91" s="50">
        <f t="shared" ca="1" si="18"/>
        <v>0</v>
      </c>
      <c r="P91" s="5" t="str">
        <f t="shared" ref="P91" ca="1" si="287">IF(O91=0,"",CONCATENATE(VLOOKUP(O91,INDIRECT(P$50),2,FALSE),"_",IF(VLOOKUP(O91,INDIRECT(P$50),8,FALSE)&lt;10,"0",""),VLOOKUP(O91,INDIRECT(P$50),8,FALSE),VLOOKUP(O91,INDIRECT(P$50),12,FALSE)))</f>
        <v/>
      </c>
      <c r="Q91" s="50">
        <f t="shared" ca="1" si="20"/>
        <v>0</v>
      </c>
      <c r="R91" s="5" t="str">
        <f t="shared" ref="R91" ca="1" si="288">IF(Q91=0,"",CONCATENATE(VLOOKUP(Q91,INDIRECT(R$50),2,FALSE),"_",IF(VLOOKUP(Q91,INDIRECT(R$50),8,FALSE)&lt;10,"0",""),VLOOKUP(Q91,INDIRECT(R$50),8,FALSE),VLOOKUP(Q91,INDIRECT(R$50),12,FALSE)))</f>
        <v/>
      </c>
      <c r="S91" s="50">
        <f t="shared" ca="1" si="22"/>
        <v>0</v>
      </c>
      <c r="T91" s="5" t="str">
        <f t="shared" ref="T91" ca="1" si="289">IF(S91=0,"",CONCATENATE(VLOOKUP(S91,INDIRECT(T$50),2,FALSE),"_",IF(VLOOKUP(S91,INDIRECT(T$50),8,FALSE)&lt;10,"0",""),VLOOKUP(S91,INDIRECT(T$50),8,FALSE),VLOOKUP(S91,INDIRECT(T$50),12,FALSE)))</f>
        <v/>
      </c>
    </row>
    <row r="92" spans="1:20" ht="15" customHeight="1">
      <c r="A92" s="4"/>
      <c r="B92" s="50"/>
      <c r="C92" s="50">
        <f t="shared" ca="1" si="8"/>
        <v>0</v>
      </c>
      <c r="D92" s="5" t="str">
        <f t="shared" ca="1" si="0"/>
        <v/>
      </c>
      <c r="E92" s="50">
        <f t="shared" ca="1" si="9"/>
        <v>0</v>
      </c>
      <c r="F92" s="5" t="str">
        <f t="shared" ca="1" si="0"/>
        <v/>
      </c>
      <c r="G92" s="50">
        <f t="shared" ca="1" si="10"/>
        <v>17</v>
      </c>
      <c r="H92" s="5" t="str">
        <f t="shared" ref="H92" ca="1" si="290">IF(G92=0,"",CONCATENATE(VLOOKUP(G92,INDIRECT(H$50),2,FALSE),"_",IF(VLOOKUP(G92,INDIRECT(H$50),8,FALSE)&lt;10,"0",""),VLOOKUP(G92,INDIRECT(H$50),8,FALSE),VLOOKUP(G92,INDIRECT(H$50),12,FALSE)))</f>
        <v>170403_10e</v>
      </c>
      <c r="I92" s="50">
        <f t="shared" ca="1" si="12"/>
        <v>20</v>
      </c>
      <c r="J92" s="5" t="str">
        <f t="shared" ref="J92" ca="1" si="291">IF(I92=0,"",CONCATENATE(VLOOKUP(I92,INDIRECT(J$50),2,FALSE),"_",IF(VLOOKUP(I92,INDIRECT(J$50),8,FALSE)&lt;10,"0",""),VLOOKUP(I92,INDIRECT(J$50),8,FALSE),VLOOKUP(I92,INDIRECT(J$50),12,FALSE)))</f>
        <v>210503_13c</v>
      </c>
      <c r="K92" s="50">
        <f t="shared" ca="1" si="14"/>
        <v>20</v>
      </c>
      <c r="L92" s="5" t="str">
        <f t="shared" ref="L92" ca="1" si="292">IF(K92=0,"",CONCATENATE(VLOOKUP(K92,INDIRECT(L$50),2,FALSE),"_",IF(VLOOKUP(K92,INDIRECT(L$50),8,FALSE)&lt;10,"0",""),VLOOKUP(K92,INDIRECT(L$50),8,FALSE),VLOOKUP(K92,INDIRECT(L$50),12,FALSE)))</f>
        <v>250601_26e</v>
      </c>
      <c r="M92" s="50">
        <f t="shared" ca="1" si="16"/>
        <v>0</v>
      </c>
      <c r="N92" s="5" t="str">
        <f t="shared" ref="N92" ca="1" si="293">IF(M92=0,"",CONCATENATE(VLOOKUP(M92,INDIRECT(N$50),2,FALSE),"_",IF(VLOOKUP(M92,INDIRECT(N$50),8,FALSE)&lt;10,"0",""),VLOOKUP(M92,INDIRECT(N$50),8,FALSE),VLOOKUP(M92,INDIRECT(N$50),12,FALSE)))</f>
        <v/>
      </c>
      <c r="O92" s="50">
        <f t="shared" ca="1" si="18"/>
        <v>0</v>
      </c>
      <c r="P92" s="5" t="str">
        <f t="shared" ref="P92" ca="1" si="294">IF(O92=0,"",CONCATENATE(VLOOKUP(O92,INDIRECT(P$50),2,FALSE),"_",IF(VLOOKUP(O92,INDIRECT(P$50),8,FALSE)&lt;10,"0",""),VLOOKUP(O92,INDIRECT(P$50),8,FALSE),VLOOKUP(O92,INDIRECT(P$50),12,FALSE)))</f>
        <v/>
      </c>
      <c r="Q92" s="50">
        <f t="shared" ca="1" si="20"/>
        <v>0</v>
      </c>
      <c r="R92" s="5" t="str">
        <f t="shared" ref="R92" ca="1" si="295">IF(Q92=0,"",CONCATENATE(VLOOKUP(Q92,INDIRECT(R$50),2,FALSE),"_",IF(VLOOKUP(Q92,INDIRECT(R$50),8,FALSE)&lt;10,"0",""),VLOOKUP(Q92,INDIRECT(R$50),8,FALSE),VLOOKUP(Q92,INDIRECT(R$50),12,FALSE)))</f>
        <v/>
      </c>
      <c r="S92" s="50">
        <f t="shared" ca="1" si="22"/>
        <v>0</v>
      </c>
      <c r="T92" s="5" t="str">
        <f t="shared" ref="T92" ca="1" si="296">IF(S92=0,"",CONCATENATE(VLOOKUP(S92,INDIRECT(T$50),2,FALSE),"_",IF(VLOOKUP(S92,INDIRECT(T$50),8,FALSE)&lt;10,"0",""),VLOOKUP(S92,INDIRECT(T$50),8,FALSE),VLOOKUP(S92,INDIRECT(T$50),12,FALSE)))</f>
        <v/>
      </c>
    </row>
    <row r="93" spans="1:20" ht="15" customHeight="1">
      <c r="B93" s="50"/>
      <c r="C93" s="50">
        <f t="shared" ca="1" si="8"/>
        <v>0</v>
      </c>
      <c r="D93" s="5" t="str">
        <f t="shared" ca="1" si="0"/>
        <v/>
      </c>
      <c r="E93" s="50">
        <f t="shared" ca="1" si="9"/>
        <v>0</v>
      </c>
      <c r="F93" s="5" t="str">
        <f t="shared" ca="1" si="0"/>
        <v/>
      </c>
      <c r="G93" s="50">
        <f t="shared" ca="1" si="10"/>
        <v>16</v>
      </c>
      <c r="H93" s="5" t="str">
        <f t="shared" ref="H93" ca="1" si="297">IF(G93=0,"",CONCATENATE(VLOOKUP(G93,INDIRECT(H$50),2,FALSE),"_",IF(VLOOKUP(G93,INDIRECT(H$50),8,FALSE)&lt;10,"0",""),VLOOKUP(G93,INDIRECT(H$50),8,FALSE),VLOOKUP(G93,INDIRECT(H$50),12,FALSE)))</f>
        <v>170404_09e</v>
      </c>
      <c r="I93" s="50">
        <f t="shared" ca="1" si="12"/>
        <v>19</v>
      </c>
      <c r="J93" s="5" t="str">
        <f t="shared" ref="J93" ca="1" si="298">IF(I93=0,"",CONCATENATE(VLOOKUP(I93,INDIRECT(J$50),2,FALSE),"_",IF(VLOOKUP(I93,INDIRECT(J$50),8,FALSE)&lt;10,"0",""),VLOOKUP(I93,INDIRECT(J$50),8,FALSE),VLOOKUP(I93,INDIRECT(J$50),12,FALSE)))</f>
        <v>210503_14e</v>
      </c>
      <c r="K93" s="50">
        <f t="shared" ca="1" si="14"/>
        <v>19</v>
      </c>
      <c r="L93" s="5" t="str">
        <f t="shared" ref="L93" ca="1" si="299">IF(K93=0,"",CONCATENATE(VLOOKUP(K93,INDIRECT(L$50),2,FALSE),"_",IF(VLOOKUP(K93,INDIRECT(L$50),8,FALSE)&lt;10,"0",""),VLOOKUP(K93,INDIRECT(L$50),8,FALSE),VLOOKUP(K93,INDIRECT(L$50),12,FALSE)))</f>
        <v>250602_25e</v>
      </c>
      <c r="M93" s="50">
        <f t="shared" ca="1" si="16"/>
        <v>0</v>
      </c>
      <c r="N93" s="5" t="str">
        <f t="shared" ref="N93" ca="1" si="300">IF(M93=0,"",CONCATENATE(VLOOKUP(M93,INDIRECT(N$50),2,FALSE),"_",IF(VLOOKUP(M93,INDIRECT(N$50),8,FALSE)&lt;10,"0",""),VLOOKUP(M93,INDIRECT(N$50),8,FALSE),VLOOKUP(M93,INDIRECT(N$50),12,FALSE)))</f>
        <v/>
      </c>
      <c r="O93" s="50">
        <f t="shared" ca="1" si="18"/>
        <v>0</v>
      </c>
      <c r="P93" s="5" t="str">
        <f t="shared" ref="P93" ca="1" si="301">IF(O93=0,"",CONCATENATE(VLOOKUP(O93,INDIRECT(P$50),2,FALSE),"_",IF(VLOOKUP(O93,INDIRECT(P$50),8,FALSE)&lt;10,"0",""),VLOOKUP(O93,INDIRECT(P$50),8,FALSE),VLOOKUP(O93,INDIRECT(P$50),12,FALSE)))</f>
        <v/>
      </c>
      <c r="Q93" s="50">
        <f t="shared" ca="1" si="20"/>
        <v>0</v>
      </c>
      <c r="R93" s="5" t="str">
        <f t="shared" ref="R93" ca="1" si="302">IF(Q93=0,"",CONCATENATE(VLOOKUP(Q93,INDIRECT(R$50),2,FALSE),"_",IF(VLOOKUP(Q93,INDIRECT(R$50),8,FALSE)&lt;10,"0",""),VLOOKUP(Q93,INDIRECT(R$50),8,FALSE),VLOOKUP(Q93,INDIRECT(R$50),12,FALSE)))</f>
        <v/>
      </c>
      <c r="S93" s="50">
        <f t="shared" ca="1" si="22"/>
        <v>0</v>
      </c>
      <c r="T93" s="5" t="str">
        <f t="shared" ref="T93" ca="1" si="303">IF(S93=0,"",CONCATENATE(VLOOKUP(S93,INDIRECT(T$50),2,FALSE),"_",IF(VLOOKUP(S93,INDIRECT(T$50),8,FALSE)&lt;10,"0",""),VLOOKUP(S93,INDIRECT(T$50),8,FALSE),VLOOKUP(S93,INDIRECT(T$50),12,FALSE)))</f>
        <v/>
      </c>
    </row>
    <row r="94" spans="1:20" ht="15" customHeight="1">
      <c r="B94" s="50"/>
      <c r="C94" s="50">
        <f t="shared" ca="1" si="8"/>
        <v>0</v>
      </c>
      <c r="D94" s="5" t="str">
        <f t="shared" ca="1" si="0"/>
        <v/>
      </c>
      <c r="E94" s="50">
        <f t="shared" ca="1" si="9"/>
        <v>0</v>
      </c>
      <c r="F94" s="5" t="str">
        <f t="shared" ca="1" si="0"/>
        <v/>
      </c>
      <c r="G94" s="50">
        <f t="shared" ca="1" si="10"/>
        <v>15</v>
      </c>
      <c r="H94" s="5" t="str">
        <f t="shared" ref="H94" ca="1" si="304">IF(G94=0,"",CONCATENATE(VLOOKUP(G94,INDIRECT(H$50),2,FALSE),"_",IF(VLOOKUP(G94,INDIRECT(H$50),8,FALSE)&lt;10,"0",""),VLOOKUP(G94,INDIRECT(H$50),8,FALSE),VLOOKUP(G94,INDIRECT(H$50),12,FALSE)))</f>
        <v>170405_06e</v>
      </c>
      <c r="I94" s="50">
        <f t="shared" ca="1" si="12"/>
        <v>18</v>
      </c>
      <c r="J94" s="5" t="str">
        <f t="shared" ref="J94" ca="1" si="305">IF(I94=0,"",CONCATENATE(VLOOKUP(I94,INDIRECT(J$50),2,FALSE),"_",IF(VLOOKUP(I94,INDIRECT(J$50),8,FALSE)&lt;10,"0",""),VLOOKUP(I94,INDIRECT(J$50),8,FALSE),VLOOKUP(I94,INDIRECT(J$50),12,FALSE)))</f>
        <v>210503_14e</v>
      </c>
      <c r="K94" s="50">
        <f t="shared" ca="1" si="14"/>
        <v>18</v>
      </c>
      <c r="L94" s="5" t="str">
        <f t="shared" ref="L94" ca="1" si="306">IF(K94=0,"",CONCATENATE(VLOOKUP(K94,INDIRECT(L$50),2,FALSE),"_",IF(VLOOKUP(K94,INDIRECT(L$50),8,FALSE)&lt;10,"0",""),VLOOKUP(K94,INDIRECT(L$50),8,FALSE),VLOOKUP(K94,INDIRECT(L$50),12,FALSE)))</f>
        <v>250603_17e</v>
      </c>
      <c r="M94" s="50">
        <f t="shared" ca="1" si="16"/>
        <v>0</v>
      </c>
      <c r="N94" s="5" t="str">
        <f t="shared" ref="N94" ca="1" si="307">IF(M94=0,"",CONCATENATE(VLOOKUP(M94,INDIRECT(N$50),2,FALSE),"_",IF(VLOOKUP(M94,INDIRECT(N$50),8,FALSE)&lt;10,"0",""),VLOOKUP(M94,INDIRECT(N$50),8,FALSE),VLOOKUP(M94,INDIRECT(N$50),12,FALSE)))</f>
        <v/>
      </c>
      <c r="O94" s="50">
        <f t="shared" ca="1" si="18"/>
        <v>0</v>
      </c>
      <c r="P94" s="5" t="str">
        <f t="shared" ref="P94" ca="1" si="308">IF(O94=0,"",CONCATENATE(VLOOKUP(O94,INDIRECT(P$50),2,FALSE),"_",IF(VLOOKUP(O94,INDIRECT(P$50),8,FALSE)&lt;10,"0",""),VLOOKUP(O94,INDIRECT(P$50),8,FALSE),VLOOKUP(O94,INDIRECT(P$50),12,FALSE)))</f>
        <v/>
      </c>
      <c r="Q94" s="50">
        <f t="shared" ca="1" si="20"/>
        <v>0</v>
      </c>
      <c r="R94" s="5" t="str">
        <f t="shared" ref="R94" ca="1" si="309">IF(Q94=0,"",CONCATENATE(VLOOKUP(Q94,INDIRECT(R$50),2,FALSE),"_",IF(VLOOKUP(Q94,INDIRECT(R$50),8,FALSE)&lt;10,"0",""),VLOOKUP(Q94,INDIRECT(R$50),8,FALSE),VLOOKUP(Q94,INDIRECT(R$50),12,FALSE)))</f>
        <v/>
      </c>
      <c r="S94" s="50">
        <f t="shared" ca="1" si="22"/>
        <v>0</v>
      </c>
      <c r="T94" s="5" t="str">
        <f t="shared" ref="T94" ca="1" si="310">IF(S94=0,"",CONCATENATE(VLOOKUP(S94,INDIRECT(T$50),2,FALSE),"_",IF(VLOOKUP(S94,INDIRECT(T$50),8,FALSE)&lt;10,"0",""),VLOOKUP(S94,INDIRECT(T$50),8,FALSE),VLOOKUP(S94,INDIRECT(T$50),12,FALSE)))</f>
        <v/>
      </c>
    </row>
    <row r="95" spans="1:20" ht="15" customHeight="1">
      <c r="B95" s="50"/>
      <c r="C95" s="50">
        <f t="shared" ca="1" si="8"/>
        <v>0</v>
      </c>
      <c r="D95" s="5" t="str">
        <f t="shared" ca="1" si="0"/>
        <v/>
      </c>
      <c r="E95" s="50">
        <f t="shared" ca="1" si="9"/>
        <v>0</v>
      </c>
      <c r="F95" s="5" t="str">
        <f t="shared" ca="1" si="0"/>
        <v/>
      </c>
      <c r="G95" s="50">
        <f t="shared" ca="1" si="10"/>
        <v>14</v>
      </c>
      <c r="H95" s="5" t="str">
        <f t="shared" ref="H95" ca="1" si="311">IF(G95=0,"",CONCATENATE(VLOOKUP(G95,INDIRECT(H$50),2,FALSE),"_",IF(VLOOKUP(G95,INDIRECT(H$50),8,FALSE)&lt;10,"0",""),VLOOKUP(G95,INDIRECT(H$50),8,FALSE),VLOOKUP(G95,INDIRECT(H$50),12,FALSE)))</f>
        <v>180402_18e</v>
      </c>
      <c r="I95" s="50">
        <f t="shared" ca="1" si="12"/>
        <v>17</v>
      </c>
      <c r="J95" s="5" t="str">
        <f t="shared" ref="J95" ca="1" si="312">IF(I95=0,"",CONCATENATE(VLOOKUP(I95,INDIRECT(J$50),2,FALSE),"_",IF(VLOOKUP(I95,INDIRECT(J$50),8,FALSE)&lt;10,"0",""),VLOOKUP(I95,INDIRECT(J$50),8,FALSE),VLOOKUP(I95,INDIRECT(J$50),12,FALSE)))</f>
        <v>210504_10e</v>
      </c>
      <c r="K95" s="50">
        <f t="shared" ca="1" si="14"/>
        <v>17</v>
      </c>
      <c r="L95" s="5" t="str">
        <f t="shared" ref="L95" ca="1" si="313">IF(K95=0,"",CONCATENATE(VLOOKUP(K95,INDIRECT(L$50),2,FALSE),"_",IF(VLOOKUP(K95,INDIRECT(L$50),8,FALSE)&lt;10,"0",""),VLOOKUP(K95,INDIRECT(L$50),8,FALSE),VLOOKUP(K95,INDIRECT(L$50),12,FALSE)))</f>
        <v>250604_13e</v>
      </c>
      <c r="M95" s="50">
        <f t="shared" ca="1" si="16"/>
        <v>0</v>
      </c>
      <c r="N95" s="5" t="str">
        <f t="shared" ref="N95" ca="1" si="314">IF(M95=0,"",CONCATENATE(VLOOKUP(M95,INDIRECT(N$50),2,FALSE),"_",IF(VLOOKUP(M95,INDIRECT(N$50),8,FALSE)&lt;10,"0",""),VLOOKUP(M95,INDIRECT(N$50),8,FALSE),VLOOKUP(M95,INDIRECT(N$50),12,FALSE)))</f>
        <v/>
      </c>
      <c r="O95" s="50">
        <f t="shared" ca="1" si="18"/>
        <v>0</v>
      </c>
      <c r="P95" s="5" t="str">
        <f t="shared" ref="P95" ca="1" si="315">IF(O95=0,"",CONCATENATE(VLOOKUP(O95,INDIRECT(P$50),2,FALSE),"_",IF(VLOOKUP(O95,INDIRECT(P$50),8,FALSE)&lt;10,"0",""),VLOOKUP(O95,INDIRECT(P$50),8,FALSE),VLOOKUP(O95,INDIRECT(P$50),12,FALSE)))</f>
        <v/>
      </c>
      <c r="Q95" s="50">
        <f t="shared" ca="1" si="20"/>
        <v>0</v>
      </c>
      <c r="R95" s="5" t="str">
        <f t="shared" ref="R95" ca="1" si="316">IF(Q95=0,"",CONCATENATE(VLOOKUP(Q95,INDIRECT(R$50),2,FALSE),"_",IF(VLOOKUP(Q95,INDIRECT(R$50),8,FALSE)&lt;10,"0",""),VLOOKUP(Q95,INDIRECT(R$50),8,FALSE),VLOOKUP(Q95,INDIRECT(R$50),12,FALSE)))</f>
        <v/>
      </c>
      <c r="S95" s="50">
        <f t="shared" ca="1" si="22"/>
        <v>0</v>
      </c>
      <c r="T95" s="5" t="str">
        <f t="shared" ref="T95" ca="1" si="317">IF(S95=0,"",CONCATENATE(VLOOKUP(S95,INDIRECT(T$50),2,FALSE),"_",IF(VLOOKUP(S95,INDIRECT(T$50),8,FALSE)&lt;10,"0",""),VLOOKUP(S95,INDIRECT(T$50),8,FALSE),VLOOKUP(S95,INDIRECT(T$50),12,FALSE)))</f>
        <v/>
      </c>
    </row>
    <row r="96" spans="1:20" ht="15" customHeight="1">
      <c r="B96" s="50"/>
      <c r="C96" s="50">
        <f t="shared" ca="1" si="8"/>
        <v>0</v>
      </c>
      <c r="D96" s="5" t="str">
        <f t="shared" ca="1" si="0"/>
        <v/>
      </c>
      <c r="E96" s="50">
        <f t="shared" ca="1" si="9"/>
        <v>0</v>
      </c>
      <c r="F96" s="5" t="str">
        <f t="shared" ca="1" si="0"/>
        <v/>
      </c>
      <c r="G96" s="50">
        <f t="shared" ca="1" si="10"/>
        <v>13</v>
      </c>
      <c r="H96" s="5" t="str">
        <f t="shared" ref="H96" ca="1" si="318">IF(G96=0,"",CONCATENATE(VLOOKUP(G96,INDIRECT(H$50),2,FALSE),"_",IF(VLOOKUP(G96,INDIRECT(H$50),8,FALSE)&lt;10,"0",""),VLOOKUP(G96,INDIRECT(H$50),8,FALSE),VLOOKUP(G96,INDIRECT(H$50),12,FALSE)))</f>
        <v>180402_19c</v>
      </c>
      <c r="I96" s="50">
        <f t="shared" ca="1" si="12"/>
        <v>16</v>
      </c>
      <c r="J96" s="5" t="str">
        <f t="shared" ref="J96" ca="1" si="319">IF(I96=0,"",CONCATENATE(VLOOKUP(I96,INDIRECT(J$50),2,FALSE),"_",IF(VLOOKUP(I96,INDIRECT(J$50),8,FALSE)&lt;10,"0",""),VLOOKUP(I96,INDIRECT(J$50),8,FALSE),VLOOKUP(I96,INDIRECT(J$50),12,FALSE)))</f>
        <v>210505_09e</v>
      </c>
      <c r="K96" s="50">
        <f t="shared" ca="1" si="14"/>
        <v>16</v>
      </c>
      <c r="L96" s="5" t="str">
        <f t="shared" ref="L96" ca="1" si="320">IF(K96=0,"",CONCATENATE(VLOOKUP(K96,INDIRECT(L$50),2,FALSE),"_",IF(VLOOKUP(K96,INDIRECT(L$50),8,FALSE)&lt;10,"0",""),VLOOKUP(K96,INDIRECT(L$50),8,FALSE),VLOOKUP(K96,INDIRECT(L$50),12,FALSE)))</f>
        <v>250606_09e</v>
      </c>
      <c r="M96" s="50">
        <f t="shared" ca="1" si="16"/>
        <v>0</v>
      </c>
      <c r="N96" s="5" t="str">
        <f t="shared" ref="N96" ca="1" si="321">IF(M96=0,"",CONCATENATE(VLOOKUP(M96,INDIRECT(N$50),2,FALSE),"_",IF(VLOOKUP(M96,INDIRECT(N$50),8,FALSE)&lt;10,"0",""),VLOOKUP(M96,INDIRECT(N$50),8,FALSE),VLOOKUP(M96,INDIRECT(N$50),12,FALSE)))</f>
        <v/>
      </c>
      <c r="O96" s="50">
        <f t="shared" ca="1" si="18"/>
        <v>0</v>
      </c>
      <c r="P96" s="5" t="str">
        <f t="shared" ref="P96" ca="1" si="322">IF(O96=0,"",CONCATENATE(VLOOKUP(O96,INDIRECT(P$50),2,FALSE),"_",IF(VLOOKUP(O96,INDIRECT(P$50),8,FALSE)&lt;10,"0",""),VLOOKUP(O96,INDIRECT(P$50),8,FALSE),VLOOKUP(O96,INDIRECT(P$50),12,FALSE)))</f>
        <v/>
      </c>
      <c r="Q96" s="50">
        <f t="shared" ca="1" si="20"/>
        <v>0</v>
      </c>
      <c r="R96" s="5" t="str">
        <f t="shared" ref="R96" ca="1" si="323">IF(Q96=0,"",CONCATENATE(VLOOKUP(Q96,INDIRECT(R$50),2,FALSE),"_",IF(VLOOKUP(Q96,INDIRECT(R$50),8,FALSE)&lt;10,"0",""),VLOOKUP(Q96,INDIRECT(R$50),8,FALSE),VLOOKUP(Q96,INDIRECT(R$50),12,FALSE)))</f>
        <v/>
      </c>
      <c r="S96" s="50">
        <f t="shared" ca="1" si="22"/>
        <v>0</v>
      </c>
      <c r="T96" s="5" t="str">
        <f t="shared" ref="T96" ca="1" si="324">IF(S96=0,"",CONCATENATE(VLOOKUP(S96,INDIRECT(T$50),2,FALSE),"_",IF(VLOOKUP(S96,INDIRECT(T$50),8,FALSE)&lt;10,"0",""),VLOOKUP(S96,INDIRECT(T$50),8,FALSE),VLOOKUP(S96,INDIRECT(T$50),12,FALSE)))</f>
        <v/>
      </c>
    </row>
    <row r="97" spans="2:20" ht="15" customHeight="1">
      <c r="B97" s="50"/>
      <c r="C97" s="50">
        <f t="shared" ca="1" si="8"/>
        <v>0</v>
      </c>
      <c r="D97" s="5" t="str">
        <f t="shared" ca="1" si="0"/>
        <v/>
      </c>
      <c r="E97" s="50">
        <f t="shared" ca="1" si="9"/>
        <v>0</v>
      </c>
      <c r="F97" s="5" t="str">
        <f t="shared" ca="1" si="0"/>
        <v/>
      </c>
      <c r="G97" s="50">
        <f t="shared" ca="1" si="10"/>
        <v>12</v>
      </c>
      <c r="H97" s="5" t="str">
        <f t="shared" ref="H97" ca="1" si="325">IF(G97=0,"",CONCATENATE(VLOOKUP(G97,INDIRECT(H$50),2,FALSE),"_",IF(VLOOKUP(G97,INDIRECT(H$50),8,FALSE)&lt;10,"0",""),VLOOKUP(G97,INDIRECT(H$50),8,FALSE),VLOOKUP(G97,INDIRECT(H$50),12,FALSE)))</f>
        <v>180403_12c</v>
      </c>
      <c r="I97" s="50">
        <f t="shared" ca="1" si="12"/>
        <v>15</v>
      </c>
      <c r="J97" s="5" t="str">
        <f t="shared" ref="J97" ca="1" si="326">IF(I97=0,"",CONCATENATE(VLOOKUP(I97,INDIRECT(J$50),2,FALSE),"_",IF(VLOOKUP(I97,INDIRECT(J$50),8,FALSE)&lt;10,"0",""),VLOOKUP(I97,INDIRECT(J$50),8,FALSE),VLOOKUP(I97,INDIRECT(J$50),12,FALSE)))</f>
        <v>220502_22e</v>
      </c>
      <c r="K97" s="50">
        <f t="shared" ca="1" si="14"/>
        <v>15</v>
      </c>
      <c r="L97" s="5" t="str">
        <f t="shared" ref="L97" ca="1" si="327">IF(K97=0,"",CONCATENATE(VLOOKUP(K97,INDIRECT(L$50),2,FALSE),"_",IF(VLOOKUP(K97,INDIRECT(L$50),8,FALSE)&lt;10,"0",""),VLOOKUP(K97,INDIRECT(L$50),8,FALSE),VLOOKUP(K97,INDIRECT(L$50),12,FALSE)))</f>
        <v>260602_26e</v>
      </c>
      <c r="M97" s="50">
        <f t="shared" ca="1" si="16"/>
        <v>0</v>
      </c>
      <c r="N97" s="5" t="str">
        <f t="shared" ref="N97" ca="1" si="328">IF(M97=0,"",CONCATENATE(VLOOKUP(M97,INDIRECT(N$50),2,FALSE),"_",IF(VLOOKUP(M97,INDIRECT(N$50),8,FALSE)&lt;10,"0",""),VLOOKUP(M97,INDIRECT(N$50),8,FALSE),VLOOKUP(M97,INDIRECT(N$50),12,FALSE)))</f>
        <v/>
      </c>
      <c r="O97" s="50">
        <f t="shared" ca="1" si="18"/>
        <v>0</v>
      </c>
      <c r="P97" s="5" t="str">
        <f t="shared" ref="P97" ca="1" si="329">IF(O97=0,"",CONCATENATE(VLOOKUP(O97,INDIRECT(P$50),2,FALSE),"_",IF(VLOOKUP(O97,INDIRECT(P$50),8,FALSE)&lt;10,"0",""),VLOOKUP(O97,INDIRECT(P$50),8,FALSE),VLOOKUP(O97,INDIRECT(P$50),12,FALSE)))</f>
        <v/>
      </c>
      <c r="Q97" s="50">
        <f t="shared" ca="1" si="20"/>
        <v>0</v>
      </c>
      <c r="R97" s="5" t="str">
        <f t="shared" ref="R97" ca="1" si="330">IF(Q97=0,"",CONCATENATE(VLOOKUP(Q97,INDIRECT(R$50),2,FALSE),"_",IF(VLOOKUP(Q97,INDIRECT(R$50),8,FALSE)&lt;10,"0",""),VLOOKUP(Q97,INDIRECT(R$50),8,FALSE),VLOOKUP(Q97,INDIRECT(R$50),12,FALSE)))</f>
        <v/>
      </c>
      <c r="S97" s="50">
        <f t="shared" ca="1" si="22"/>
        <v>0</v>
      </c>
      <c r="T97" s="5" t="str">
        <f t="shared" ref="T97" ca="1" si="331">IF(S97=0,"",CONCATENATE(VLOOKUP(S97,INDIRECT(T$50),2,FALSE),"_",IF(VLOOKUP(S97,INDIRECT(T$50),8,FALSE)&lt;10,"0",""),VLOOKUP(S97,INDIRECT(T$50),8,FALSE),VLOOKUP(S97,INDIRECT(T$50),12,FALSE)))</f>
        <v/>
      </c>
    </row>
    <row r="98" spans="2:20" ht="15" customHeight="1">
      <c r="B98" s="50"/>
      <c r="C98" s="50">
        <f t="shared" ca="1" si="8"/>
        <v>0</v>
      </c>
      <c r="D98" s="5" t="str">
        <f t="shared" ca="1" si="0"/>
        <v/>
      </c>
      <c r="E98" s="50">
        <f t="shared" ca="1" si="9"/>
        <v>0</v>
      </c>
      <c r="F98" s="5" t="str">
        <f t="shared" ca="1" si="0"/>
        <v/>
      </c>
      <c r="G98" s="50">
        <f t="shared" ca="1" si="10"/>
        <v>11</v>
      </c>
      <c r="H98" s="5" t="str">
        <f t="shared" ref="H98" ca="1" si="332">IF(G98=0,"",CONCATENATE(VLOOKUP(G98,INDIRECT(H$50),2,FALSE),"_",IF(VLOOKUP(G98,INDIRECT(H$50),8,FALSE)&lt;10,"0",""),VLOOKUP(G98,INDIRECT(H$50),8,FALSE),VLOOKUP(G98,INDIRECT(H$50),12,FALSE)))</f>
        <v>180403_12c</v>
      </c>
      <c r="I98" s="50">
        <f t="shared" ca="1" si="12"/>
        <v>14</v>
      </c>
      <c r="J98" s="5" t="str">
        <f t="shared" ref="J98" ca="1" si="333">IF(I98=0,"",CONCATENATE(VLOOKUP(I98,INDIRECT(J$50),2,FALSE),"_",IF(VLOOKUP(I98,INDIRECT(J$50),8,FALSE)&lt;10,"0",""),VLOOKUP(I98,INDIRECT(J$50),8,FALSE),VLOOKUP(I98,INDIRECT(J$50),12,FALSE)))</f>
        <v>220503_14e</v>
      </c>
      <c r="K98" s="50">
        <f t="shared" ca="1" si="14"/>
        <v>14</v>
      </c>
      <c r="L98" s="5" t="str">
        <f t="shared" ref="L98" ca="1" si="334">IF(K98=0,"",CONCATENATE(VLOOKUP(K98,INDIRECT(L$50),2,FALSE),"_",IF(VLOOKUP(K98,INDIRECT(L$50),8,FALSE)&lt;10,"0",""),VLOOKUP(K98,INDIRECT(L$50),8,FALSE),VLOOKUP(K98,INDIRECT(L$50),12,FALSE)))</f>
        <v>260603_18e</v>
      </c>
      <c r="M98" s="50">
        <f t="shared" ca="1" si="16"/>
        <v>0</v>
      </c>
      <c r="N98" s="5" t="str">
        <f t="shared" ref="N98" ca="1" si="335">IF(M98=0,"",CONCATENATE(VLOOKUP(M98,INDIRECT(N$50),2,FALSE),"_",IF(VLOOKUP(M98,INDIRECT(N$50),8,FALSE)&lt;10,"0",""),VLOOKUP(M98,INDIRECT(N$50),8,FALSE),VLOOKUP(M98,INDIRECT(N$50),12,FALSE)))</f>
        <v/>
      </c>
      <c r="O98" s="50">
        <f t="shared" ca="1" si="18"/>
        <v>0</v>
      </c>
      <c r="P98" s="5" t="str">
        <f t="shared" ref="P98" ca="1" si="336">IF(O98=0,"",CONCATENATE(VLOOKUP(O98,INDIRECT(P$50),2,FALSE),"_",IF(VLOOKUP(O98,INDIRECT(P$50),8,FALSE)&lt;10,"0",""),VLOOKUP(O98,INDIRECT(P$50),8,FALSE),VLOOKUP(O98,INDIRECT(P$50),12,FALSE)))</f>
        <v/>
      </c>
      <c r="Q98" s="50">
        <f t="shared" ca="1" si="20"/>
        <v>0</v>
      </c>
      <c r="R98" s="5" t="str">
        <f t="shared" ref="R98" ca="1" si="337">IF(Q98=0,"",CONCATENATE(VLOOKUP(Q98,INDIRECT(R$50),2,FALSE),"_",IF(VLOOKUP(Q98,INDIRECT(R$50),8,FALSE)&lt;10,"0",""),VLOOKUP(Q98,INDIRECT(R$50),8,FALSE),VLOOKUP(Q98,INDIRECT(R$50),12,FALSE)))</f>
        <v/>
      </c>
      <c r="S98" s="50">
        <f t="shared" ca="1" si="22"/>
        <v>0</v>
      </c>
      <c r="T98" s="5" t="str">
        <f t="shared" ref="T98" ca="1" si="338">IF(S98=0,"",CONCATENATE(VLOOKUP(S98,INDIRECT(T$50),2,FALSE),"_",IF(VLOOKUP(S98,INDIRECT(T$50),8,FALSE)&lt;10,"0",""),VLOOKUP(S98,INDIRECT(T$50),8,FALSE),VLOOKUP(S98,INDIRECT(T$50),12,FALSE)))</f>
        <v/>
      </c>
    </row>
    <row r="99" spans="2:20" ht="15" customHeight="1">
      <c r="B99" s="50"/>
      <c r="C99" s="50">
        <f t="shared" ca="1" si="8"/>
        <v>0</v>
      </c>
      <c r="D99" s="5" t="str">
        <f t="shared" ca="1" si="0"/>
        <v/>
      </c>
      <c r="E99" s="50">
        <f t="shared" ca="1" si="9"/>
        <v>0</v>
      </c>
      <c r="F99" s="5" t="str">
        <f t="shared" ca="1" si="0"/>
        <v/>
      </c>
      <c r="G99" s="50">
        <f t="shared" ca="1" si="10"/>
        <v>10</v>
      </c>
      <c r="H99" s="5" t="str">
        <f t="shared" ref="H99" ca="1" si="339">IF(G99=0,"",CONCATENATE(VLOOKUP(G99,INDIRECT(H$50),2,FALSE),"_",IF(VLOOKUP(G99,INDIRECT(H$50),8,FALSE)&lt;10,"0",""),VLOOKUP(G99,INDIRECT(H$50),8,FALSE),VLOOKUP(G99,INDIRECT(H$50),12,FALSE)))</f>
        <v>180403_12e</v>
      </c>
      <c r="I99" s="50">
        <f t="shared" ca="1" si="12"/>
        <v>13</v>
      </c>
      <c r="J99" s="5" t="str">
        <f t="shared" ref="J99" ca="1" si="340">IF(I99=0,"",CONCATENATE(VLOOKUP(I99,INDIRECT(J$50),2,FALSE),"_",IF(VLOOKUP(I99,INDIRECT(J$50),8,FALSE)&lt;10,"0",""),VLOOKUP(I99,INDIRECT(J$50),8,FALSE),VLOOKUP(I99,INDIRECT(J$50),12,FALSE)))</f>
        <v>220504_10e</v>
      </c>
      <c r="K99" s="50">
        <f t="shared" ca="1" si="14"/>
        <v>13</v>
      </c>
      <c r="L99" s="5" t="str">
        <f t="shared" ref="L99" ca="1" si="341">IF(K99=0,"",CONCATENATE(VLOOKUP(K99,INDIRECT(L$50),2,FALSE),"_",IF(VLOOKUP(K99,INDIRECT(L$50),8,FALSE)&lt;10,"0",""),VLOOKUP(K99,INDIRECT(L$50),8,FALSE),VLOOKUP(K99,INDIRECT(L$50),12,FALSE)))</f>
        <v>260604_13e</v>
      </c>
      <c r="M99" s="50">
        <f t="shared" ca="1" si="16"/>
        <v>0</v>
      </c>
      <c r="N99" s="5" t="str">
        <f t="shared" ref="N99" ca="1" si="342">IF(M99=0,"",CONCATENATE(VLOOKUP(M99,INDIRECT(N$50),2,FALSE),"_",IF(VLOOKUP(M99,INDIRECT(N$50),8,FALSE)&lt;10,"0",""),VLOOKUP(M99,INDIRECT(N$50),8,FALSE),VLOOKUP(M99,INDIRECT(N$50),12,FALSE)))</f>
        <v/>
      </c>
      <c r="O99" s="50">
        <f t="shared" ca="1" si="18"/>
        <v>0</v>
      </c>
      <c r="P99" s="5" t="str">
        <f t="shared" ref="P99" ca="1" si="343">IF(O99=0,"",CONCATENATE(VLOOKUP(O99,INDIRECT(P$50),2,FALSE),"_",IF(VLOOKUP(O99,INDIRECT(P$50),8,FALSE)&lt;10,"0",""),VLOOKUP(O99,INDIRECT(P$50),8,FALSE),VLOOKUP(O99,INDIRECT(P$50),12,FALSE)))</f>
        <v/>
      </c>
      <c r="Q99" s="50">
        <f t="shared" ca="1" si="20"/>
        <v>0</v>
      </c>
      <c r="R99" s="5" t="str">
        <f t="shared" ref="R99" ca="1" si="344">IF(Q99=0,"",CONCATENATE(VLOOKUP(Q99,INDIRECT(R$50),2,FALSE),"_",IF(VLOOKUP(Q99,INDIRECT(R$50),8,FALSE)&lt;10,"0",""),VLOOKUP(Q99,INDIRECT(R$50),8,FALSE),VLOOKUP(Q99,INDIRECT(R$50),12,FALSE)))</f>
        <v/>
      </c>
      <c r="S99" s="50">
        <f t="shared" ca="1" si="22"/>
        <v>0</v>
      </c>
      <c r="T99" s="5" t="str">
        <f t="shared" ref="T99" ca="1" si="345">IF(S99=0,"",CONCATENATE(VLOOKUP(S99,INDIRECT(T$50),2,FALSE),"_",IF(VLOOKUP(S99,INDIRECT(T$50),8,FALSE)&lt;10,"0",""),VLOOKUP(S99,INDIRECT(T$50),8,FALSE),VLOOKUP(S99,INDIRECT(T$50),12,FALSE)))</f>
        <v/>
      </c>
    </row>
    <row r="100" spans="2:20" ht="15" customHeight="1">
      <c r="B100" s="50"/>
      <c r="C100" s="50">
        <f t="shared" ca="1" si="8"/>
        <v>0</v>
      </c>
      <c r="D100" s="5" t="str">
        <f t="shared" ca="1" si="0"/>
        <v/>
      </c>
      <c r="E100" s="50">
        <f t="shared" ca="1" si="9"/>
        <v>0</v>
      </c>
      <c r="F100" s="5" t="str">
        <f t="shared" ca="1" si="0"/>
        <v/>
      </c>
      <c r="G100" s="50">
        <f t="shared" ca="1" si="10"/>
        <v>9</v>
      </c>
      <c r="H100" s="5" t="str">
        <f t="shared" ref="H100" ca="1" si="346">IF(G100=0,"",CONCATENATE(VLOOKUP(G100,INDIRECT(H$50),2,FALSE),"_",IF(VLOOKUP(G100,INDIRECT(H$50),8,FALSE)&lt;10,"0",""),VLOOKUP(G100,INDIRECT(H$50),8,FALSE),VLOOKUP(G100,INDIRECT(H$50),12,FALSE)))</f>
        <v>180404_09e</v>
      </c>
      <c r="I100" s="50">
        <f t="shared" ca="1" si="12"/>
        <v>12</v>
      </c>
      <c r="J100" s="5" t="str">
        <f t="shared" ref="J100" ca="1" si="347">IF(I100=0,"",CONCATENATE(VLOOKUP(I100,INDIRECT(J$50),2,FALSE),"_",IF(VLOOKUP(I100,INDIRECT(J$50),8,FALSE)&lt;10,"0",""),VLOOKUP(I100,INDIRECT(J$50),8,FALSE),VLOOKUP(I100,INDIRECT(J$50),12,FALSE)))</f>
        <v>220505_09e</v>
      </c>
      <c r="K100" s="50">
        <f t="shared" ca="1" si="14"/>
        <v>12</v>
      </c>
      <c r="L100" s="5" t="str">
        <f t="shared" ref="L100" ca="1" si="348">IF(K100=0,"",CONCATENATE(VLOOKUP(K100,INDIRECT(L$50),2,FALSE),"_",IF(VLOOKUP(K100,INDIRECT(L$50),8,FALSE)&lt;10,"0",""),VLOOKUP(K100,INDIRECT(L$50),8,FALSE),VLOOKUP(K100,INDIRECT(L$50),12,FALSE)))</f>
        <v>260605_10e</v>
      </c>
      <c r="M100" s="50">
        <f t="shared" ca="1" si="16"/>
        <v>0</v>
      </c>
      <c r="N100" s="5" t="str">
        <f t="shared" ref="N100" ca="1" si="349">IF(M100=0,"",CONCATENATE(VLOOKUP(M100,INDIRECT(N$50),2,FALSE),"_",IF(VLOOKUP(M100,INDIRECT(N$50),8,FALSE)&lt;10,"0",""),VLOOKUP(M100,INDIRECT(N$50),8,FALSE),VLOOKUP(M100,INDIRECT(N$50),12,FALSE)))</f>
        <v/>
      </c>
      <c r="O100" s="50">
        <f t="shared" ca="1" si="18"/>
        <v>0</v>
      </c>
      <c r="P100" s="5" t="str">
        <f t="shared" ref="P100" ca="1" si="350">IF(O100=0,"",CONCATENATE(VLOOKUP(O100,INDIRECT(P$50),2,FALSE),"_",IF(VLOOKUP(O100,INDIRECT(P$50),8,FALSE)&lt;10,"0",""),VLOOKUP(O100,INDIRECT(P$50),8,FALSE),VLOOKUP(O100,INDIRECT(P$50),12,FALSE)))</f>
        <v/>
      </c>
      <c r="Q100" s="50">
        <f t="shared" ca="1" si="20"/>
        <v>0</v>
      </c>
      <c r="R100" s="5" t="str">
        <f t="shared" ref="R100" ca="1" si="351">IF(Q100=0,"",CONCATENATE(VLOOKUP(Q100,INDIRECT(R$50),2,FALSE),"_",IF(VLOOKUP(Q100,INDIRECT(R$50),8,FALSE)&lt;10,"0",""),VLOOKUP(Q100,INDIRECT(R$50),8,FALSE),VLOOKUP(Q100,INDIRECT(R$50),12,FALSE)))</f>
        <v/>
      </c>
      <c r="S100" s="50">
        <f t="shared" ca="1" si="22"/>
        <v>0</v>
      </c>
      <c r="T100" s="5" t="str">
        <f t="shared" ref="T100" ca="1" si="352">IF(S100=0,"",CONCATENATE(VLOOKUP(S100,INDIRECT(T$50),2,FALSE),"_",IF(VLOOKUP(S100,INDIRECT(T$50),8,FALSE)&lt;10,"0",""),VLOOKUP(S100,INDIRECT(T$50),8,FALSE),VLOOKUP(S100,INDIRECT(T$50),12,FALSE)))</f>
        <v/>
      </c>
    </row>
    <row r="101" spans="2:20" ht="15" customHeight="1">
      <c r="B101" s="50"/>
      <c r="C101" s="50">
        <f t="shared" ca="1" si="8"/>
        <v>0</v>
      </c>
      <c r="D101" s="5" t="str">
        <f t="shared" ca="1" si="0"/>
        <v/>
      </c>
      <c r="E101" s="50">
        <f t="shared" ca="1" si="9"/>
        <v>0</v>
      </c>
      <c r="F101" s="5" t="str">
        <f t="shared" ca="1" si="0"/>
        <v/>
      </c>
      <c r="G101" s="50">
        <f t="shared" ca="1" si="10"/>
        <v>8</v>
      </c>
      <c r="H101" s="5" t="str">
        <f t="shared" ref="H101" ca="1" si="353">IF(G101=0,"",CONCATENATE(VLOOKUP(G101,INDIRECT(H$50),2,FALSE),"_",IF(VLOOKUP(G101,INDIRECT(H$50),8,FALSE)&lt;10,"0",""),VLOOKUP(G101,INDIRECT(H$50),8,FALSE),VLOOKUP(G101,INDIRECT(H$50),12,FALSE)))</f>
        <v>190402_21e</v>
      </c>
      <c r="I101" s="50">
        <f t="shared" ca="1" si="12"/>
        <v>11</v>
      </c>
      <c r="J101" s="5" t="str">
        <f t="shared" ref="J101" ca="1" si="354">IF(I101=0,"",CONCATENATE(VLOOKUP(I101,INDIRECT(J$50),2,FALSE),"_",IF(VLOOKUP(I101,INDIRECT(J$50),8,FALSE)&lt;10,"0",""),VLOOKUP(I101,INDIRECT(J$50),8,FALSE),VLOOKUP(I101,INDIRECT(J$50),12,FALSE)))</f>
        <v>230505_10e</v>
      </c>
      <c r="K101" s="50">
        <f t="shared" ca="1" si="14"/>
        <v>11</v>
      </c>
      <c r="L101" s="5" t="str">
        <f t="shared" ref="L101" ca="1" si="355">IF(K101=0,"",CONCATENATE(VLOOKUP(K101,INDIRECT(L$50),2,FALSE),"_",IF(VLOOKUP(K101,INDIRECT(L$50),8,FALSE)&lt;10,"0",""),VLOOKUP(K101,INDIRECT(L$50),8,FALSE),VLOOKUP(K101,INDIRECT(L$50),12,FALSE)))</f>
        <v>260605_11e</v>
      </c>
      <c r="M101" s="50">
        <f t="shared" ca="1" si="16"/>
        <v>0</v>
      </c>
      <c r="N101" s="5" t="str">
        <f t="shared" ref="N101" ca="1" si="356">IF(M101=0,"",CONCATENATE(VLOOKUP(M101,INDIRECT(N$50),2,FALSE),"_",IF(VLOOKUP(M101,INDIRECT(N$50),8,FALSE)&lt;10,"0",""),VLOOKUP(M101,INDIRECT(N$50),8,FALSE),VLOOKUP(M101,INDIRECT(N$50),12,FALSE)))</f>
        <v/>
      </c>
      <c r="O101" s="50">
        <f t="shared" ca="1" si="18"/>
        <v>0</v>
      </c>
      <c r="P101" s="5" t="str">
        <f t="shared" ref="P101" ca="1" si="357">IF(O101=0,"",CONCATENATE(VLOOKUP(O101,INDIRECT(P$50),2,FALSE),"_",IF(VLOOKUP(O101,INDIRECT(P$50),8,FALSE)&lt;10,"0",""),VLOOKUP(O101,INDIRECT(P$50),8,FALSE),VLOOKUP(O101,INDIRECT(P$50),12,FALSE)))</f>
        <v/>
      </c>
      <c r="Q101" s="50">
        <f t="shared" ca="1" si="20"/>
        <v>0</v>
      </c>
      <c r="R101" s="5" t="str">
        <f t="shared" ref="R101" ca="1" si="358">IF(Q101=0,"",CONCATENATE(VLOOKUP(Q101,INDIRECT(R$50),2,FALSE),"_",IF(VLOOKUP(Q101,INDIRECT(R$50),8,FALSE)&lt;10,"0",""),VLOOKUP(Q101,INDIRECT(R$50),8,FALSE),VLOOKUP(Q101,INDIRECT(R$50),12,FALSE)))</f>
        <v/>
      </c>
      <c r="S101" s="50">
        <f t="shared" ca="1" si="22"/>
        <v>0</v>
      </c>
      <c r="T101" s="5" t="str">
        <f t="shared" ref="T101" ca="1" si="359">IF(S101=0,"",CONCATENATE(VLOOKUP(S101,INDIRECT(T$50),2,FALSE),"_",IF(VLOOKUP(S101,INDIRECT(T$50),8,FALSE)&lt;10,"0",""),VLOOKUP(S101,INDIRECT(T$50),8,FALSE),VLOOKUP(S101,INDIRECT(T$50),12,FALSE)))</f>
        <v/>
      </c>
    </row>
    <row r="102" spans="2:20" ht="15" customHeight="1">
      <c r="B102" s="50"/>
      <c r="C102" s="50">
        <f t="shared" ca="1" si="8"/>
        <v>0</v>
      </c>
      <c r="D102" s="5" t="str">
        <f t="shared" ca="1" si="0"/>
        <v/>
      </c>
      <c r="E102" s="50">
        <f t="shared" ca="1" si="9"/>
        <v>0</v>
      </c>
      <c r="F102" s="5" t="str">
        <f t="shared" ca="1" si="0"/>
        <v/>
      </c>
      <c r="G102" s="50">
        <f t="shared" ca="1" si="10"/>
        <v>7</v>
      </c>
      <c r="H102" s="5" t="str">
        <f t="shared" ref="H102" ca="1" si="360">IF(G102=0,"",CONCATENATE(VLOOKUP(G102,INDIRECT(H$50),2,FALSE),"_",IF(VLOOKUP(G102,INDIRECT(H$50),8,FALSE)&lt;10,"0",""),VLOOKUP(G102,INDIRECT(H$50),8,FALSE),VLOOKUP(G102,INDIRECT(H$50),12,FALSE)))</f>
        <v>190403_15e</v>
      </c>
      <c r="I102" s="50">
        <f t="shared" ca="1" si="12"/>
        <v>10</v>
      </c>
      <c r="J102" s="5" t="str">
        <f t="shared" ref="J102" ca="1" si="361">IF(I102=0,"",CONCATENATE(VLOOKUP(I102,INDIRECT(J$50),2,FALSE),"_",IF(VLOOKUP(I102,INDIRECT(J$50),8,FALSE)&lt;10,"0",""),VLOOKUP(I102,INDIRECT(J$50),8,FALSE),VLOOKUP(I102,INDIRECT(J$50),12,FALSE)))</f>
        <v>240501_28e</v>
      </c>
      <c r="K102" s="50">
        <f t="shared" ca="1" si="14"/>
        <v>10</v>
      </c>
      <c r="L102" s="5" t="str">
        <f t="shared" ref="L102" ca="1" si="362">IF(K102=0,"",CONCATENATE(VLOOKUP(K102,INDIRECT(L$50),2,FALSE),"_",IF(VLOOKUP(K102,INDIRECT(L$50),8,FALSE)&lt;10,"0",""),VLOOKUP(K102,INDIRECT(L$50),8,FALSE),VLOOKUP(K102,INDIRECT(L$50),12,FALSE)))</f>
        <v>260606_09e</v>
      </c>
      <c r="M102" s="50">
        <f t="shared" ca="1" si="16"/>
        <v>0</v>
      </c>
      <c r="N102" s="5" t="str">
        <f t="shared" ref="N102" ca="1" si="363">IF(M102=0,"",CONCATENATE(VLOOKUP(M102,INDIRECT(N$50),2,FALSE),"_",IF(VLOOKUP(M102,INDIRECT(N$50),8,FALSE)&lt;10,"0",""),VLOOKUP(M102,INDIRECT(N$50),8,FALSE),VLOOKUP(M102,INDIRECT(N$50),12,FALSE)))</f>
        <v/>
      </c>
      <c r="O102" s="50">
        <f t="shared" ca="1" si="18"/>
        <v>0</v>
      </c>
      <c r="P102" s="5" t="str">
        <f t="shared" ref="P102" ca="1" si="364">IF(O102=0,"",CONCATENATE(VLOOKUP(O102,INDIRECT(P$50),2,FALSE),"_",IF(VLOOKUP(O102,INDIRECT(P$50),8,FALSE)&lt;10,"0",""),VLOOKUP(O102,INDIRECT(P$50),8,FALSE),VLOOKUP(O102,INDIRECT(P$50),12,FALSE)))</f>
        <v/>
      </c>
      <c r="Q102" s="50">
        <f t="shared" ca="1" si="20"/>
        <v>0</v>
      </c>
      <c r="R102" s="5" t="str">
        <f t="shared" ref="R102" ca="1" si="365">IF(Q102=0,"",CONCATENATE(VLOOKUP(Q102,INDIRECT(R$50),2,FALSE),"_",IF(VLOOKUP(Q102,INDIRECT(R$50),8,FALSE)&lt;10,"0",""),VLOOKUP(Q102,INDIRECT(R$50),8,FALSE),VLOOKUP(Q102,INDIRECT(R$50),12,FALSE)))</f>
        <v/>
      </c>
      <c r="S102" s="50">
        <f t="shared" ca="1" si="22"/>
        <v>0</v>
      </c>
      <c r="T102" s="5" t="str">
        <f t="shared" ref="T102" ca="1" si="366">IF(S102=0,"",CONCATENATE(VLOOKUP(S102,INDIRECT(T$50),2,FALSE),"_",IF(VLOOKUP(S102,INDIRECT(T$50),8,FALSE)&lt;10,"0",""),VLOOKUP(S102,INDIRECT(T$50),8,FALSE),VLOOKUP(S102,INDIRECT(T$50),12,FALSE)))</f>
        <v/>
      </c>
    </row>
    <row r="103" spans="2:20" ht="15" customHeight="1">
      <c r="B103" s="50"/>
      <c r="C103" s="50">
        <f t="shared" ca="1" si="8"/>
        <v>0</v>
      </c>
      <c r="D103" s="5" t="str">
        <f t="shared" ca="1" si="0"/>
        <v/>
      </c>
      <c r="E103" s="50">
        <f t="shared" ca="1" si="9"/>
        <v>0</v>
      </c>
      <c r="F103" s="5" t="str">
        <f t="shared" ca="1" si="0"/>
        <v/>
      </c>
      <c r="G103" s="50">
        <f t="shared" ca="1" si="10"/>
        <v>6</v>
      </c>
      <c r="H103" s="5" t="str">
        <f t="shared" ref="H103" ca="1" si="367">IF(G103=0,"",CONCATENATE(VLOOKUP(G103,INDIRECT(H$50),2,FALSE),"_",IF(VLOOKUP(G103,INDIRECT(H$50),8,FALSE)&lt;10,"0",""),VLOOKUP(G103,INDIRECT(H$50),8,FALSE),VLOOKUP(G103,INDIRECT(H$50),12,FALSE)))</f>
        <v>190404_10e</v>
      </c>
      <c r="I103" s="50">
        <f t="shared" ca="1" si="12"/>
        <v>9</v>
      </c>
      <c r="J103" s="5" t="str">
        <f t="shared" ref="J103" ca="1" si="368">IF(I103=0,"",CONCATENATE(VLOOKUP(I103,INDIRECT(J$50),2,FALSE),"_",IF(VLOOKUP(I103,INDIRECT(J$50),8,FALSE)&lt;10,"0",""),VLOOKUP(I103,INDIRECT(J$50),8,FALSE),VLOOKUP(I103,INDIRECT(J$50),12,FALSE)))</f>
        <v>240501_28e</v>
      </c>
      <c r="K103" s="50">
        <f t="shared" ca="1" si="14"/>
        <v>9</v>
      </c>
      <c r="L103" s="5" t="str">
        <f t="shared" ref="L103" ca="1" si="369">IF(K103=0,"",CONCATENATE(VLOOKUP(K103,INDIRECT(L$50),2,FALSE),"_",IF(VLOOKUP(K103,INDIRECT(L$50),8,FALSE)&lt;10,"0",""),VLOOKUP(K103,INDIRECT(L$50),8,FALSE),VLOOKUP(K103,INDIRECT(L$50),12,FALSE)))</f>
        <v>270603_18e</v>
      </c>
      <c r="M103" s="50">
        <f t="shared" ca="1" si="16"/>
        <v>0</v>
      </c>
      <c r="N103" s="5" t="str">
        <f t="shared" ref="N103" ca="1" si="370">IF(M103=0,"",CONCATENATE(VLOOKUP(M103,INDIRECT(N$50),2,FALSE),"_",IF(VLOOKUP(M103,INDIRECT(N$50),8,FALSE)&lt;10,"0",""),VLOOKUP(M103,INDIRECT(N$50),8,FALSE),VLOOKUP(M103,INDIRECT(N$50),12,FALSE)))</f>
        <v/>
      </c>
      <c r="O103" s="50">
        <f t="shared" ca="1" si="18"/>
        <v>0</v>
      </c>
      <c r="P103" s="5" t="str">
        <f t="shared" ref="P103" ca="1" si="371">IF(O103=0,"",CONCATENATE(VLOOKUP(O103,INDIRECT(P$50),2,FALSE),"_",IF(VLOOKUP(O103,INDIRECT(P$50),8,FALSE)&lt;10,"0",""),VLOOKUP(O103,INDIRECT(P$50),8,FALSE),VLOOKUP(O103,INDIRECT(P$50),12,FALSE)))</f>
        <v/>
      </c>
      <c r="Q103" s="50">
        <f t="shared" ca="1" si="20"/>
        <v>0</v>
      </c>
      <c r="R103" s="5" t="str">
        <f t="shared" ref="R103" ca="1" si="372">IF(Q103=0,"",CONCATENATE(VLOOKUP(Q103,INDIRECT(R$50),2,FALSE),"_",IF(VLOOKUP(Q103,INDIRECT(R$50),8,FALSE)&lt;10,"0",""),VLOOKUP(Q103,INDIRECT(R$50),8,FALSE),VLOOKUP(Q103,INDIRECT(R$50),12,FALSE)))</f>
        <v/>
      </c>
      <c r="S103" s="50">
        <f t="shared" ca="1" si="22"/>
        <v>0</v>
      </c>
      <c r="T103" s="5" t="str">
        <f t="shared" ref="T103" ca="1" si="373">IF(S103=0,"",CONCATENATE(VLOOKUP(S103,INDIRECT(T$50),2,FALSE),"_",IF(VLOOKUP(S103,INDIRECT(T$50),8,FALSE)&lt;10,"0",""),VLOOKUP(S103,INDIRECT(T$50),8,FALSE),VLOOKUP(S103,INDIRECT(T$50),12,FALSE)))</f>
        <v/>
      </c>
    </row>
    <row r="104" spans="2:20" ht="15" customHeight="1">
      <c r="B104" s="50"/>
      <c r="C104" s="50">
        <f t="shared" ca="1" si="8"/>
        <v>0</v>
      </c>
      <c r="D104" s="5" t="str">
        <f t="shared" ca="1" si="0"/>
        <v/>
      </c>
      <c r="E104" s="50">
        <f t="shared" ca="1" si="9"/>
        <v>0</v>
      </c>
      <c r="F104" s="5" t="str">
        <f t="shared" ca="1" si="0"/>
        <v/>
      </c>
      <c r="G104" s="50">
        <f t="shared" ca="1" si="10"/>
        <v>5</v>
      </c>
      <c r="H104" s="5" t="str">
        <f t="shared" ref="H104" ca="1" si="374">IF(G104=0,"",CONCATENATE(VLOOKUP(G104,INDIRECT(H$50),2,FALSE),"_",IF(VLOOKUP(G104,INDIRECT(H$50),8,FALSE)&lt;10,"0",""),VLOOKUP(G104,INDIRECT(H$50),8,FALSE),VLOOKUP(G104,INDIRECT(H$50),12,FALSE)))</f>
        <v>200402_23c</v>
      </c>
      <c r="I104" s="50">
        <f t="shared" ca="1" si="12"/>
        <v>8</v>
      </c>
      <c r="J104" s="5" t="str">
        <f t="shared" ref="J104" ca="1" si="375">IF(I104=0,"",CONCATENATE(VLOOKUP(I104,INDIRECT(J$50),2,FALSE),"_",IF(VLOOKUP(I104,INDIRECT(J$50),8,FALSE)&lt;10,"0",""),VLOOKUP(I104,INDIRECT(J$50),8,FALSE),VLOOKUP(I104,INDIRECT(J$50),12,FALSE)))</f>
        <v>240504_12c</v>
      </c>
      <c r="K104" s="50">
        <f t="shared" ca="1" si="14"/>
        <v>8</v>
      </c>
      <c r="L104" s="5" t="str">
        <f t="shared" ref="L104" ca="1" si="376">IF(K104=0,"",CONCATENATE(VLOOKUP(K104,INDIRECT(L$50),2,FALSE),"_",IF(VLOOKUP(K104,INDIRECT(L$50),8,FALSE)&lt;10,"0",""),VLOOKUP(K104,INDIRECT(L$50),8,FALSE),VLOOKUP(K104,INDIRECT(L$50),12,FALSE)))</f>
        <v>270604_14e</v>
      </c>
      <c r="M104" s="50">
        <f t="shared" ca="1" si="16"/>
        <v>0</v>
      </c>
      <c r="N104" s="5" t="str">
        <f t="shared" ref="N104" ca="1" si="377">IF(M104=0,"",CONCATENATE(VLOOKUP(M104,INDIRECT(N$50),2,FALSE),"_",IF(VLOOKUP(M104,INDIRECT(N$50),8,FALSE)&lt;10,"0",""),VLOOKUP(M104,INDIRECT(N$50),8,FALSE),VLOOKUP(M104,INDIRECT(N$50),12,FALSE)))</f>
        <v/>
      </c>
      <c r="O104" s="50">
        <f t="shared" ca="1" si="18"/>
        <v>0</v>
      </c>
      <c r="P104" s="5" t="str">
        <f t="shared" ref="P104" ca="1" si="378">IF(O104=0,"",CONCATENATE(VLOOKUP(O104,INDIRECT(P$50),2,FALSE),"_",IF(VLOOKUP(O104,INDIRECT(P$50),8,FALSE)&lt;10,"0",""),VLOOKUP(O104,INDIRECT(P$50),8,FALSE),VLOOKUP(O104,INDIRECT(P$50),12,FALSE)))</f>
        <v/>
      </c>
      <c r="Q104" s="50">
        <f t="shared" ca="1" si="20"/>
        <v>0</v>
      </c>
      <c r="R104" s="5" t="str">
        <f t="shared" ref="R104" ca="1" si="379">IF(Q104=0,"",CONCATENATE(VLOOKUP(Q104,INDIRECT(R$50),2,FALSE),"_",IF(VLOOKUP(Q104,INDIRECT(R$50),8,FALSE)&lt;10,"0",""),VLOOKUP(Q104,INDIRECT(R$50),8,FALSE),VLOOKUP(Q104,INDIRECT(R$50),12,FALSE)))</f>
        <v/>
      </c>
      <c r="S104" s="50">
        <f t="shared" ca="1" si="22"/>
        <v>0</v>
      </c>
      <c r="T104" s="5" t="str">
        <f t="shared" ref="T104" ca="1" si="380">IF(S104=0,"",CONCATENATE(VLOOKUP(S104,INDIRECT(T$50),2,FALSE),"_",IF(VLOOKUP(S104,INDIRECT(T$50),8,FALSE)&lt;10,"0",""),VLOOKUP(S104,INDIRECT(T$50),8,FALSE),VLOOKUP(S104,INDIRECT(T$50),12,FALSE)))</f>
        <v/>
      </c>
    </row>
    <row r="105" spans="2:20" ht="15" customHeight="1">
      <c r="B105" s="50"/>
      <c r="C105" s="50">
        <f t="shared" ca="1" si="8"/>
        <v>0</v>
      </c>
      <c r="D105" s="5" t="str">
        <f t="shared" ca="1" si="0"/>
        <v/>
      </c>
      <c r="E105" s="50">
        <f t="shared" ca="1" si="9"/>
        <v>0</v>
      </c>
      <c r="F105" s="5" t="str">
        <f t="shared" ca="1" si="0"/>
        <v/>
      </c>
      <c r="G105" s="50">
        <f t="shared" ca="1" si="10"/>
        <v>4</v>
      </c>
      <c r="H105" s="5" t="str">
        <f t="shared" ref="H105" ca="1" si="381">IF(G105=0,"",CONCATENATE(VLOOKUP(G105,INDIRECT(H$50),2,FALSE),"_",IF(VLOOKUP(G105,INDIRECT(H$50),8,FALSE)&lt;10,"0",""),VLOOKUP(G105,INDIRECT(H$50),8,FALSE),VLOOKUP(G105,INDIRECT(H$50),12,FALSE)))</f>
        <v>200402_23c</v>
      </c>
      <c r="I105" s="50">
        <f t="shared" ca="1" si="12"/>
        <v>7</v>
      </c>
      <c r="J105" s="5" t="str">
        <f t="shared" ref="J105" ca="1" si="382">IF(I105=0,"",CONCATENATE(VLOOKUP(I105,INDIRECT(J$50),2,FALSE),"_",IF(VLOOKUP(I105,INDIRECT(J$50),8,FALSE)&lt;10,"0",""),VLOOKUP(I105,INDIRECT(J$50),8,FALSE),VLOOKUP(I105,INDIRECT(J$50),12,FALSE)))</f>
        <v>240504_12c</v>
      </c>
      <c r="K105" s="50">
        <f t="shared" ca="1" si="14"/>
        <v>7</v>
      </c>
      <c r="L105" s="5" t="str">
        <f t="shared" ref="L105" ca="1" si="383">IF(K105=0,"",CONCATENATE(VLOOKUP(K105,INDIRECT(L$50),2,FALSE),"_",IF(VLOOKUP(K105,INDIRECT(L$50),8,FALSE)&lt;10,"0",""),VLOOKUP(K105,INDIRECT(L$50),8,FALSE),VLOOKUP(K105,INDIRECT(L$50),12,FALSE)))</f>
        <v>270605_10e</v>
      </c>
      <c r="M105" s="50">
        <f t="shared" ca="1" si="16"/>
        <v>0</v>
      </c>
      <c r="N105" s="5" t="str">
        <f t="shared" ref="N105" ca="1" si="384">IF(M105=0,"",CONCATENATE(VLOOKUP(M105,INDIRECT(N$50),2,FALSE),"_",IF(VLOOKUP(M105,INDIRECT(N$50),8,FALSE)&lt;10,"0",""),VLOOKUP(M105,INDIRECT(N$50),8,FALSE),VLOOKUP(M105,INDIRECT(N$50),12,FALSE)))</f>
        <v/>
      </c>
      <c r="O105" s="50">
        <f t="shared" ca="1" si="18"/>
        <v>0</v>
      </c>
      <c r="P105" s="5" t="str">
        <f t="shared" ref="P105" ca="1" si="385">IF(O105=0,"",CONCATENATE(VLOOKUP(O105,INDIRECT(P$50),2,FALSE),"_",IF(VLOOKUP(O105,INDIRECT(P$50),8,FALSE)&lt;10,"0",""),VLOOKUP(O105,INDIRECT(P$50),8,FALSE),VLOOKUP(O105,INDIRECT(P$50),12,FALSE)))</f>
        <v/>
      </c>
      <c r="Q105" s="50">
        <f t="shared" ca="1" si="20"/>
        <v>0</v>
      </c>
      <c r="R105" s="5" t="str">
        <f t="shared" ref="R105" ca="1" si="386">IF(Q105=0,"",CONCATENATE(VLOOKUP(Q105,INDIRECT(R$50),2,FALSE),"_",IF(VLOOKUP(Q105,INDIRECT(R$50),8,FALSE)&lt;10,"0",""),VLOOKUP(Q105,INDIRECT(R$50),8,FALSE),VLOOKUP(Q105,INDIRECT(R$50),12,FALSE)))</f>
        <v/>
      </c>
      <c r="S105" s="50">
        <f t="shared" ca="1" si="22"/>
        <v>0</v>
      </c>
      <c r="T105" s="5" t="str">
        <f t="shared" ref="T105" ca="1" si="387">IF(S105=0,"",CONCATENATE(VLOOKUP(S105,INDIRECT(T$50),2,FALSE),"_",IF(VLOOKUP(S105,INDIRECT(T$50),8,FALSE)&lt;10,"0",""),VLOOKUP(S105,INDIRECT(T$50),8,FALSE),VLOOKUP(S105,INDIRECT(T$50),12,FALSE)))</f>
        <v/>
      </c>
    </row>
    <row r="106" spans="2:20" ht="15" customHeight="1">
      <c r="B106" s="50"/>
      <c r="C106" s="50">
        <f t="shared" ca="1" si="8"/>
        <v>0</v>
      </c>
      <c r="D106" s="5" t="str">
        <f t="shared" ca="1" si="0"/>
        <v/>
      </c>
      <c r="E106" s="50">
        <f t="shared" ca="1" si="9"/>
        <v>0</v>
      </c>
      <c r="F106" s="5" t="str">
        <f t="shared" ca="1" si="0"/>
        <v/>
      </c>
      <c r="G106" s="50">
        <f t="shared" ca="1" si="10"/>
        <v>3</v>
      </c>
      <c r="H106" s="5" t="str">
        <f t="shared" ref="H106" ca="1" si="388">IF(G106=0,"",CONCATENATE(VLOOKUP(G106,INDIRECT(H$50),2,FALSE),"_",IF(VLOOKUP(G106,INDIRECT(H$50),8,FALSE)&lt;10,"0",""),VLOOKUP(G106,INDIRECT(H$50),8,FALSE),VLOOKUP(G106,INDIRECT(H$50),12,FALSE)))</f>
        <v>200404_10e</v>
      </c>
      <c r="I106" s="50">
        <f t="shared" ca="1" si="12"/>
        <v>6</v>
      </c>
      <c r="J106" s="5" t="str">
        <f t="shared" ref="J106" ca="1" si="389">IF(I106=0,"",CONCATENATE(VLOOKUP(I106,INDIRECT(J$50),2,FALSE),"_",IF(VLOOKUP(I106,INDIRECT(J$50),8,FALSE)&lt;10,"0",""),VLOOKUP(I106,INDIRECT(J$50),8,FALSE),VLOOKUP(I106,INDIRECT(J$50),12,FALSE)))</f>
        <v>240505_10e</v>
      </c>
      <c r="K106" s="50">
        <f t="shared" ca="1" si="14"/>
        <v>6</v>
      </c>
      <c r="L106" s="5" t="str">
        <f t="shared" ref="L106" ca="1" si="390">IF(K106=0,"",CONCATENATE(VLOOKUP(K106,INDIRECT(L$50),2,FALSE),"_",IF(VLOOKUP(K106,INDIRECT(L$50),8,FALSE)&lt;10,"0",""),VLOOKUP(K106,INDIRECT(L$50),8,FALSE),VLOOKUP(K106,INDIRECT(L$50),12,FALSE)))</f>
        <v>270606_09e</v>
      </c>
      <c r="M106" s="50">
        <f t="shared" ca="1" si="16"/>
        <v>0</v>
      </c>
      <c r="N106" s="5" t="str">
        <f t="shared" ref="N106" ca="1" si="391">IF(M106=0,"",CONCATENATE(VLOOKUP(M106,INDIRECT(N$50),2,FALSE),"_",IF(VLOOKUP(M106,INDIRECT(N$50),8,FALSE)&lt;10,"0",""),VLOOKUP(M106,INDIRECT(N$50),8,FALSE),VLOOKUP(M106,INDIRECT(N$50),12,FALSE)))</f>
        <v/>
      </c>
      <c r="O106" s="50">
        <f t="shared" ca="1" si="18"/>
        <v>0</v>
      </c>
      <c r="P106" s="5" t="str">
        <f t="shared" ref="P106" ca="1" si="392">IF(O106=0,"",CONCATENATE(VLOOKUP(O106,INDIRECT(P$50),2,FALSE),"_",IF(VLOOKUP(O106,INDIRECT(P$50),8,FALSE)&lt;10,"0",""),VLOOKUP(O106,INDIRECT(P$50),8,FALSE),VLOOKUP(O106,INDIRECT(P$50),12,FALSE)))</f>
        <v/>
      </c>
      <c r="Q106" s="50">
        <f t="shared" ca="1" si="20"/>
        <v>0</v>
      </c>
      <c r="R106" s="5" t="str">
        <f t="shared" ref="R106" ca="1" si="393">IF(Q106=0,"",CONCATENATE(VLOOKUP(Q106,INDIRECT(R$50),2,FALSE),"_",IF(VLOOKUP(Q106,INDIRECT(R$50),8,FALSE)&lt;10,"0",""),VLOOKUP(Q106,INDIRECT(R$50),8,FALSE),VLOOKUP(Q106,INDIRECT(R$50),12,FALSE)))</f>
        <v/>
      </c>
      <c r="S106" s="50">
        <f t="shared" ca="1" si="22"/>
        <v>0</v>
      </c>
      <c r="T106" s="5" t="str">
        <f t="shared" ref="T106" ca="1" si="394">IF(S106=0,"",CONCATENATE(VLOOKUP(S106,INDIRECT(T$50),2,FALSE),"_",IF(VLOOKUP(S106,INDIRECT(T$50),8,FALSE)&lt;10,"0",""),VLOOKUP(S106,INDIRECT(T$50),8,FALSE),VLOOKUP(S106,INDIRECT(T$50),12,FALSE)))</f>
        <v/>
      </c>
    </row>
    <row r="107" spans="2:20" ht="15" customHeight="1">
      <c r="B107" s="50"/>
      <c r="C107" s="50">
        <f t="shared" ca="1" si="8"/>
        <v>0</v>
      </c>
      <c r="D107" s="5" t="str">
        <f t="shared" ca="1" si="0"/>
        <v/>
      </c>
      <c r="E107" s="50">
        <f t="shared" ca="1" si="9"/>
        <v>0</v>
      </c>
      <c r="F107" s="5" t="str">
        <f t="shared" ca="1" si="0"/>
        <v/>
      </c>
      <c r="G107" s="50">
        <f t="shared" ca="1" si="10"/>
        <v>2</v>
      </c>
      <c r="H107" s="5" t="str">
        <f t="shared" ref="H107" ca="1" si="395">IF(G107=0,"",CONCATENATE(VLOOKUP(G107,INDIRECT(H$50),2,FALSE),"_",IF(VLOOKUP(G107,INDIRECT(H$50),8,FALSE)&lt;10,"0",""),VLOOKUP(G107,INDIRECT(H$50),8,FALSE),VLOOKUP(G107,INDIRECT(H$50),12,FALSE)))</f>
        <v>200404_10c</v>
      </c>
      <c r="I107" s="50">
        <f t="shared" ca="1" si="12"/>
        <v>5</v>
      </c>
      <c r="J107" s="5" t="str">
        <f t="shared" ref="J107" ca="1" si="396">IF(I107=0,"",CONCATENATE(VLOOKUP(I107,INDIRECT(J$50),2,FALSE),"_",IF(VLOOKUP(I107,INDIRECT(J$50),8,FALSE)&lt;10,"0",""),VLOOKUP(I107,INDIRECT(J$50),8,FALSE),VLOOKUP(I107,INDIRECT(J$50),12,FALSE)))</f>
        <v>250501_30L</v>
      </c>
      <c r="K107" s="50">
        <f t="shared" ca="1" si="14"/>
        <v>5</v>
      </c>
      <c r="L107" s="5" t="str">
        <f t="shared" ref="L107" ca="1" si="397">IF(K107=0,"",CONCATENATE(VLOOKUP(K107,INDIRECT(L$50),2,FALSE),"_",IF(VLOOKUP(K107,INDIRECT(L$50),8,FALSE)&lt;10,"0",""),VLOOKUP(K107,INDIRECT(L$50),8,FALSE),VLOOKUP(K107,INDIRECT(L$50),12,FALSE)))</f>
        <v>280604_14e</v>
      </c>
      <c r="M107" s="50">
        <f t="shared" ca="1" si="16"/>
        <v>0</v>
      </c>
      <c r="N107" s="5" t="str">
        <f t="shared" ref="N107" ca="1" si="398">IF(M107=0,"",CONCATENATE(VLOOKUP(M107,INDIRECT(N$50),2,FALSE),"_",IF(VLOOKUP(M107,INDIRECT(N$50),8,FALSE)&lt;10,"0",""),VLOOKUP(M107,INDIRECT(N$50),8,FALSE),VLOOKUP(M107,INDIRECT(N$50),12,FALSE)))</f>
        <v/>
      </c>
      <c r="O107" s="50">
        <f t="shared" ca="1" si="18"/>
        <v>0</v>
      </c>
      <c r="P107" s="5" t="str">
        <f t="shared" ref="P107" ca="1" si="399">IF(O107=0,"",CONCATENATE(VLOOKUP(O107,INDIRECT(P$50),2,FALSE),"_",IF(VLOOKUP(O107,INDIRECT(P$50),8,FALSE)&lt;10,"0",""),VLOOKUP(O107,INDIRECT(P$50),8,FALSE),VLOOKUP(O107,INDIRECT(P$50),12,FALSE)))</f>
        <v/>
      </c>
      <c r="Q107" s="50">
        <f t="shared" ca="1" si="20"/>
        <v>0</v>
      </c>
      <c r="R107" s="5" t="str">
        <f t="shared" ref="R107" ca="1" si="400">IF(Q107=0,"",CONCATENATE(VLOOKUP(Q107,INDIRECT(R$50),2,FALSE),"_",IF(VLOOKUP(Q107,INDIRECT(R$50),8,FALSE)&lt;10,"0",""),VLOOKUP(Q107,INDIRECT(R$50),8,FALSE),VLOOKUP(Q107,INDIRECT(R$50),12,FALSE)))</f>
        <v/>
      </c>
      <c r="S107" s="50">
        <f t="shared" ca="1" si="22"/>
        <v>0</v>
      </c>
      <c r="T107" s="5" t="str">
        <f t="shared" ref="T107" ca="1" si="401">IF(S107=0,"",CONCATENATE(VLOOKUP(S107,INDIRECT(T$50),2,FALSE),"_",IF(VLOOKUP(S107,INDIRECT(T$50),8,FALSE)&lt;10,"0",""),VLOOKUP(S107,INDIRECT(T$50),8,FALSE),VLOOKUP(S107,INDIRECT(T$50),12,FALSE)))</f>
        <v/>
      </c>
    </row>
    <row r="108" spans="2:20" ht="15" customHeight="1">
      <c r="B108" s="50"/>
      <c r="C108" s="50">
        <f t="shared" ca="1" si="8"/>
        <v>0</v>
      </c>
      <c r="D108" s="5" t="str">
        <f t="shared" ca="1" si="0"/>
        <v/>
      </c>
      <c r="E108" s="50">
        <f t="shared" ca="1" si="9"/>
        <v>0</v>
      </c>
      <c r="F108" s="5" t="str">
        <f t="shared" ca="1" si="0"/>
        <v/>
      </c>
      <c r="G108" s="50">
        <f t="shared" ca="1" si="10"/>
        <v>1</v>
      </c>
      <c r="H108" s="5" t="str">
        <f t="shared" ref="H108" ca="1" si="402">IF(G108=0,"",CONCATENATE(VLOOKUP(G108,INDIRECT(H$50),2,FALSE),"_",IF(VLOOKUP(G108,INDIRECT(H$50),8,FALSE)&lt;10,"0",""),VLOOKUP(G108,INDIRECT(H$50),8,FALSE),VLOOKUP(G108,INDIRECT(H$50),12,FALSE)))</f>
        <v>210403_16c</v>
      </c>
      <c r="I108" s="50">
        <f t="shared" ca="1" si="12"/>
        <v>4</v>
      </c>
      <c r="J108" s="5" t="str">
        <f t="shared" ref="J108" ca="1" si="403">IF(I108=0,"",CONCATENATE(VLOOKUP(I108,INDIRECT(J$50),2,FALSE),"_",IF(VLOOKUP(I108,INDIRECT(J$50),8,FALSE)&lt;10,"0",""),VLOOKUP(I108,INDIRECT(J$50),8,FALSE),VLOOKUP(I108,INDIRECT(J$50),12,FALSE)))</f>
        <v>250501_30L</v>
      </c>
      <c r="K108" s="50">
        <f t="shared" ca="1" si="14"/>
        <v>4</v>
      </c>
      <c r="L108" s="5" t="str">
        <f t="shared" ref="L108" ca="1" si="404">IF(K108=0,"",CONCATENATE(VLOOKUP(K108,INDIRECT(L$50),2,FALSE),"_",IF(VLOOKUP(K108,INDIRECT(L$50),8,FALSE)&lt;10,"0",""),VLOOKUP(K108,INDIRECT(L$50),8,FALSE),VLOOKUP(K108,INDIRECT(L$50),12,FALSE)))</f>
        <v>280606_10e</v>
      </c>
      <c r="M108" s="50">
        <f t="shared" ca="1" si="16"/>
        <v>0</v>
      </c>
      <c r="N108" s="5" t="str">
        <f t="shared" ref="N108" ca="1" si="405">IF(M108=0,"",CONCATENATE(VLOOKUP(M108,INDIRECT(N$50),2,FALSE),"_",IF(VLOOKUP(M108,INDIRECT(N$50),8,FALSE)&lt;10,"0",""),VLOOKUP(M108,INDIRECT(N$50),8,FALSE),VLOOKUP(M108,INDIRECT(N$50),12,FALSE)))</f>
        <v/>
      </c>
      <c r="O108" s="50">
        <f t="shared" ca="1" si="18"/>
        <v>0</v>
      </c>
      <c r="P108" s="5" t="str">
        <f t="shared" ref="P108" ca="1" si="406">IF(O108=0,"",CONCATENATE(VLOOKUP(O108,INDIRECT(P$50),2,FALSE),"_",IF(VLOOKUP(O108,INDIRECT(P$50),8,FALSE)&lt;10,"0",""),VLOOKUP(O108,INDIRECT(P$50),8,FALSE),VLOOKUP(O108,INDIRECT(P$50),12,FALSE)))</f>
        <v/>
      </c>
      <c r="Q108" s="50">
        <f t="shared" ca="1" si="20"/>
        <v>0</v>
      </c>
      <c r="R108" s="5" t="str">
        <f t="shared" ref="R108" ca="1" si="407">IF(Q108=0,"",CONCATENATE(VLOOKUP(Q108,INDIRECT(R$50),2,FALSE),"_",IF(VLOOKUP(Q108,INDIRECT(R$50),8,FALSE)&lt;10,"0",""),VLOOKUP(Q108,INDIRECT(R$50),8,FALSE),VLOOKUP(Q108,INDIRECT(R$50),12,FALSE)))</f>
        <v/>
      </c>
      <c r="S108" s="50">
        <f t="shared" ca="1" si="22"/>
        <v>0</v>
      </c>
      <c r="T108" s="5" t="str">
        <f t="shared" ref="T108" ca="1" si="408">IF(S108=0,"",CONCATENATE(VLOOKUP(S108,INDIRECT(T$50),2,FALSE),"_",IF(VLOOKUP(S108,INDIRECT(T$50),8,FALSE)&lt;10,"0",""),VLOOKUP(S108,INDIRECT(T$50),8,FALSE),VLOOKUP(S108,INDIRECT(T$50),12,FALSE)))</f>
        <v/>
      </c>
    </row>
    <row r="109" spans="2:20" ht="15" customHeight="1">
      <c r="B109" s="50"/>
      <c r="C109" s="50">
        <f t="shared" ca="1" si="8"/>
        <v>0</v>
      </c>
      <c r="D109" s="5" t="str">
        <f t="shared" ca="1" si="0"/>
        <v/>
      </c>
      <c r="E109" s="50">
        <f t="shared" ca="1" si="9"/>
        <v>0</v>
      </c>
      <c r="F109" s="5" t="str">
        <f t="shared" ca="1" si="0"/>
        <v/>
      </c>
      <c r="G109" s="50">
        <f t="shared" ca="1" si="10"/>
        <v>0</v>
      </c>
      <c r="H109" s="5" t="str">
        <f t="shared" ref="H109" ca="1" si="409">IF(G109=0,"",CONCATENATE(VLOOKUP(G109,INDIRECT(H$50),2,FALSE),"_",IF(VLOOKUP(G109,INDIRECT(H$50),8,FALSE)&lt;10,"0",""),VLOOKUP(G109,INDIRECT(H$50),8,FALSE),VLOOKUP(G109,INDIRECT(H$50),12,FALSE)))</f>
        <v/>
      </c>
      <c r="I109" s="50">
        <f t="shared" ca="1" si="12"/>
        <v>3</v>
      </c>
      <c r="J109" s="5" t="str">
        <f t="shared" ref="J109" ca="1" si="410">IF(I109=0,"",CONCATENATE(VLOOKUP(I109,INDIRECT(J$50),2,FALSE),"_",IF(VLOOKUP(I109,INDIRECT(J$50),8,FALSE)&lt;10,"0",""),VLOOKUP(I109,INDIRECT(J$50),8,FALSE),VLOOKUP(I109,INDIRECT(J$50),12,FALSE)))</f>
        <v>250505_10e</v>
      </c>
      <c r="K109" s="50">
        <f t="shared" ca="1" si="14"/>
        <v>3</v>
      </c>
      <c r="L109" s="5" t="str">
        <f t="shared" ref="L109" ca="1" si="411">IF(K109=0,"",CONCATENATE(VLOOKUP(K109,INDIRECT(L$50),2,FALSE),"_",IF(VLOOKUP(K109,INDIRECT(L$50),8,FALSE)&lt;10,"0",""),VLOOKUP(K109,INDIRECT(L$50),8,FALSE),VLOOKUP(K109,INDIRECT(L$50),12,FALSE)))</f>
        <v>290606_10e</v>
      </c>
      <c r="M109" s="50">
        <f t="shared" ca="1" si="16"/>
        <v>0</v>
      </c>
      <c r="N109" s="5" t="str">
        <f t="shared" ref="N109" ca="1" si="412">IF(M109=0,"",CONCATENATE(VLOOKUP(M109,INDIRECT(N$50),2,FALSE),"_",IF(VLOOKUP(M109,INDIRECT(N$50),8,FALSE)&lt;10,"0",""),VLOOKUP(M109,INDIRECT(N$50),8,FALSE),VLOOKUP(M109,INDIRECT(N$50),12,FALSE)))</f>
        <v/>
      </c>
      <c r="O109" s="50">
        <f t="shared" ca="1" si="18"/>
        <v>0</v>
      </c>
      <c r="P109" s="5" t="str">
        <f t="shared" ref="P109" ca="1" si="413">IF(O109=0,"",CONCATENATE(VLOOKUP(O109,INDIRECT(P$50),2,FALSE),"_",IF(VLOOKUP(O109,INDIRECT(P$50),8,FALSE)&lt;10,"0",""),VLOOKUP(O109,INDIRECT(P$50),8,FALSE),VLOOKUP(O109,INDIRECT(P$50),12,FALSE)))</f>
        <v/>
      </c>
      <c r="Q109" s="50">
        <f t="shared" ca="1" si="20"/>
        <v>0</v>
      </c>
      <c r="R109" s="5" t="str">
        <f t="shared" ref="R109" ca="1" si="414">IF(Q109=0,"",CONCATENATE(VLOOKUP(Q109,INDIRECT(R$50),2,FALSE),"_",IF(VLOOKUP(Q109,INDIRECT(R$50),8,FALSE)&lt;10,"0",""),VLOOKUP(Q109,INDIRECT(R$50),8,FALSE),VLOOKUP(Q109,INDIRECT(R$50),12,FALSE)))</f>
        <v/>
      </c>
      <c r="S109" s="50">
        <f t="shared" ca="1" si="22"/>
        <v>0</v>
      </c>
      <c r="T109" s="5" t="str">
        <f t="shared" ref="T109" ca="1" si="415">IF(S109=0,"",CONCATENATE(VLOOKUP(S109,INDIRECT(T$50),2,FALSE),"_",IF(VLOOKUP(S109,INDIRECT(T$50),8,FALSE)&lt;10,"0",""),VLOOKUP(S109,INDIRECT(T$50),8,FALSE),VLOOKUP(S109,INDIRECT(T$50),12,FALSE)))</f>
        <v/>
      </c>
    </row>
    <row r="110" spans="2:20" ht="15" customHeight="1">
      <c r="B110" s="68"/>
      <c r="C110" s="68">
        <f t="shared" ca="1" si="8"/>
        <v>0</v>
      </c>
      <c r="D110" s="334" t="str">
        <f t="shared" ca="1" si="0"/>
        <v/>
      </c>
      <c r="E110" s="68">
        <f t="shared" ca="1" si="9"/>
        <v>0</v>
      </c>
      <c r="F110" s="334" t="str">
        <f t="shared" ca="1" si="0"/>
        <v/>
      </c>
      <c r="G110" s="68">
        <f t="shared" ca="1" si="10"/>
        <v>0</v>
      </c>
      <c r="H110" s="334" t="str">
        <f t="shared" ref="H110" ca="1" si="416">IF(G110=0,"",CONCATENATE(VLOOKUP(G110,INDIRECT(H$50),2,FALSE),"_",IF(VLOOKUP(G110,INDIRECT(H$50),8,FALSE)&lt;10,"0",""),VLOOKUP(G110,INDIRECT(H$50),8,FALSE),VLOOKUP(G110,INDIRECT(H$50),12,FALSE)))</f>
        <v/>
      </c>
      <c r="I110" s="68">
        <f t="shared" ca="1" si="12"/>
        <v>2</v>
      </c>
      <c r="J110" s="334" t="str">
        <f t="shared" ref="J110" ca="1" si="417">IF(I110=0,"",CONCATENATE(VLOOKUP(I110,INDIRECT(J$50),2,FALSE),"_",IF(VLOOKUP(I110,INDIRECT(J$50),8,FALSE)&lt;10,"0",""),VLOOKUP(I110,INDIRECT(J$50),8,FALSE),VLOOKUP(I110,INDIRECT(J$50),12,FALSE)))</f>
        <v>280504_18c</v>
      </c>
      <c r="K110" s="68">
        <f t="shared" ca="1" si="14"/>
        <v>2</v>
      </c>
      <c r="L110" s="334" t="str">
        <f t="shared" ref="L110" ca="1" si="418">IF(K110=0,"",CONCATENATE(VLOOKUP(K110,INDIRECT(L$50),2,FALSE),"_",IF(VLOOKUP(K110,INDIRECT(L$50),8,FALSE)&lt;10,"0",""),VLOOKUP(K110,INDIRECT(L$50),8,FALSE),VLOOKUP(K110,INDIRECT(L$50),12,FALSE)))</f>
        <v>300606_10e</v>
      </c>
      <c r="M110" s="68">
        <f t="shared" ca="1" si="16"/>
        <v>0</v>
      </c>
      <c r="N110" s="334" t="str">
        <f t="shared" ref="N110" ca="1" si="419">IF(M110=0,"",CONCATENATE(VLOOKUP(M110,INDIRECT(N$50),2,FALSE),"_",IF(VLOOKUP(M110,INDIRECT(N$50),8,FALSE)&lt;10,"0",""),VLOOKUP(M110,INDIRECT(N$50),8,FALSE),VLOOKUP(M110,INDIRECT(N$50),12,FALSE)))</f>
        <v/>
      </c>
      <c r="O110" s="68">
        <f t="shared" ca="1" si="18"/>
        <v>0</v>
      </c>
      <c r="P110" s="334" t="str">
        <f t="shared" ref="P110" ca="1" si="420">IF(O110=0,"",CONCATENATE(VLOOKUP(O110,INDIRECT(P$50),2,FALSE),"_",IF(VLOOKUP(O110,INDIRECT(P$50),8,FALSE)&lt;10,"0",""),VLOOKUP(O110,INDIRECT(P$50),8,FALSE),VLOOKUP(O110,INDIRECT(P$50),12,FALSE)))</f>
        <v/>
      </c>
      <c r="Q110" s="68">
        <f t="shared" ca="1" si="20"/>
        <v>0</v>
      </c>
      <c r="R110" s="334" t="str">
        <f t="shared" ref="R110" ca="1" si="421">IF(Q110=0,"",CONCATENATE(VLOOKUP(Q110,INDIRECT(R$50),2,FALSE),"_",IF(VLOOKUP(Q110,INDIRECT(R$50),8,FALSE)&lt;10,"0",""),VLOOKUP(Q110,INDIRECT(R$50),8,FALSE),VLOOKUP(Q110,INDIRECT(R$50),12,FALSE)))</f>
        <v/>
      </c>
      <c r="S110" s="68">
        <f t="shared" ca="1" si="22"/>
        <v>0</v>
      </c>
      <c r="T110" s="5" t="str">
        <f t="shared" ref="T110" ca="1" si="422">IF(S110=0,"",CONCATENATE(VLOOKUP(S110,INDIRECT(T$50),2,FALSE),"_",IF(VLOOKUP(S110,INDIRECT(T$50),8,FALSE)&lt;10,"0",""),VLOOKUP(S110,INDIRECT(T$50),8,FALSE),VLOOKUP(S110,INDIRECT(T$50),12,FALSE)))</f>
        <v/>
      </c>
    </row>
    <row r="111" spans="2:20">
      <c r="B111" s="68"/>
      <c r="C111" s="68">
        <f t="shared" ca="1" si="8"/>
        <v>0</v>
      </c>
      <c r="D111" s="334" t="str">
        <f t="shared" ref="D111:D120" ca="1" si="423">IF(C111=0,"",CONCATENATE(VLOOKUP(C111,INDIRECT(D$50),2,FALSE),"_",IF(VLOOKUP(C111,INDIRECT(D$50),8,FALSE)&lt;10,"0",""),VLOOKUP(C111,INDIRECT(D$50),8,FALSE),VLOOKUP(C111,INDIRECT(D$50),12,FALSE)))</f>
        <v/>
      </c>
      <c r="E111" s="68">
        <f t="shared" ca="1" si="9"/>
        <v>0</v>
      </c>
      <c r="F111" s="334" t="str">
        <f t="shared" ref="F111:F120" ca="1" si="424">IF(E111=0,"",CONCATENATE(VLOOKUP(E111,INDIRECT(F$50),2,FALSE),"_",IF(VLOOKUP(E111,INDIRECT(F$50),8,FALSE)&lt;10,"0",""),VLOOKUP(E111,INDIRECT(F$50),8,FALSE),VLOOKUP(E111,INDIRECT(F$50),12,FALSE)))</f>
        <v/>
      </c>
      <c r="G111" s="68">
        <f t="shared" ca="1" si="10"/>
        <v>0</v>
      </c>
      <c r="H111" s="334" t="str">
        <f t="shared" ref="H111:H120" ca="1" si="425">IF(G111=0,"",CONCATENATE(VLOOKUP(G111,INDIRECT(H$50),2,FALSE),"_",IF(VLOOKUP(G111,INDIRECT(H$50),8,FALSE)&lt;10,"0",""),VLOOKUP(G111,INDIRECT(H$50),8,FALSE),VLOOKUP(G111,INDIRECT(H$50),12,FALSE)))</f>
        <v/>
      </c>
      <c r="I111" s="68">
        <f t="shared" ca="1" si="12"/>
        <v>1</v>
      </c>
      <c r="J111" s="334" t="str">
        <f t="shared" ref="J111:J120" ca="1" si="426">IF(I111=0,"",CONCATENATE(VLOOKUP(I111,INDIRECT(J$50),2,FALSE),"_",IF(VLOOKUP(I111,INDIRECT(J$50),8,FALSE)&lt;10,"0",""),VLOOKUP(I111,INDIRECT(J$50),8,FALSE),VLOOKUP(I111,INDIRECT(J$50),12,FALSE)))</f>
        <v>300506_12c</v>
      </c>
      <c r="K111" s="68">
        <f t="shared" ca="1" si="14"/>
        <v>1</v>
      </c>
      <c r="L111" s="334" t="str">
        <f t="shared" ref="L111:L120" ca="1" si="427">IF(K111=0,"",CONCATENATE(VLOOKUP(K111,INDIRECT(L$50),2,FALSE),"_",IF(VLOOKUP(K111,INDIRECT(L$50),8,FALSE)&lt;10,"0",""),VLOOKUP(K111,INDIRECT(L$50),8,FALSE),VLOOKUP(K111,INDIRECT(L$50),12,FALSE)))</f>
        <v>320604_19c</v>
      </c>
      <c r="M111" s="68">
        <f t="shared" ca="1" si="16"/>
        <v>0</v>
      </c>
      <c r="N111" s="334" t="str">
        <f t="shared" ref="N111:N120" ca="1" si="428">IF(M111=0,"",CONCATENATE(VLOOKUP(M111,INDIRECT(N$50),2,FALSE),"_",IF(VLOOKUP(M111,INDIRECT(N$50),8,FALSE)&lt;10,"0",""),VLOOKUP(M111,INDIRECT(N$50),8,FALSE),VLOOKUP(M111,INDIRECT(N$50),12,FALSE)))</f>
        <v/>
      </c>
      <c r="O111" s="68">
        <f t="shared" ca="1" si="18"/>
        <v>0</v>
      </c>
      <c r="P111" s="334" t="str">
        <f t="shared" ref="P111:P120" ca="1" si="429">IF(O111=0,"",CONCATENATE(VLOOKUP(O111,INDIRECT(P$50),2,FALSE),"_",IF(VLOOKUP(O111,INDIRECT(P$50),8,FALSE)&lt;10,"0",""),VLOOKUP(O111,INDIRECT(P$50),8,FALSE),VLOOKUP(O111,INDIRECT(P$50),12,FALSE)))</f>
        <v/>
      </c>
      <c r="Q111" s="68">
        <f t="shared" ca="1" si="20"/>
        <v>0</v>
      </c>
      <c r="R111" s="334" t="str">
        <f t="shared" ref="R111:R120" ca="1" si="430">IF(Q111=0,"",CONCATENATE(VLOOKUP(Q111,INDIRECT(R$50),2,FALSE),"_",IF(VLOOKUP(Q111,INDIRECT(R$50),8,FALSE)&lt;10,"0",""),VLOOKUP(Q111,INDIRECT(R$50),8,FALSE),VLOOKUP(Q111,INDIRECT(R$50),12,FALSE)))</f>
        <v/>
      </c>
      <c r="S111" s="68">
        <f t="shared" ca="1" si="22"/>
        <v>0</v>
      </c>
      <c r="T111" s="5" t="str">
        <f t="shared" ref="T111:T120" ca="1" si="431">IF(S111=0,"",CONCATENATE(VLOOKUP(S111,INDIRECT(T$50),2,FALSE),"_",IF(VLOOKUP(S111,INDIRECT(T$50),8,FALSE)&lt;10,"0",""),VLOOKUP(S111,INDIRECT(T$50),8,FALSE),VLOOKUP(S111,INDIRECT(T$50),12,FALSE)))</f>
        <v/>
      </c>
    </row>
    <row r="112" spans="2:20">
      <c r="B112" s="68"/>
      <c r="C112" s="68">
        <f t="shared" ca="1" si="8"/>
        <v>0</v>
      </c>
      <c r="D112" s="334" t="str">
        <f t="shared" ca="1" si="423"/>
        <v/>
      </c>
      <c r="E112" s="68">
        <f t="shared" ca="1" si="9"/>
        <v>0</v>
      </c>
      <c r="F112" s="334" t="str">
        <f t="shared" ca="1" si="424"/>
        <v/>
      </c>
      <c r="G112" s="68">
        <f t="shared" ca="1" si="10"/>
        <v>0</v>
      </c>
      <c r="H112" s="334" t="str">
        <f t="shared" ca="1" si="425"/>
        <v/>
      </c>
      <c r="I112" s="68">
        <f t="shared" ca="1" si="12"/>
        <v>0</v>
      </c>
      <c r="J112" s="334" t="str">
        <f t="shared" ca="1" si="426"/>
        <v/>
      </c>
      <c r="K112" s="68">
        <f t="shared" ca="1" si="14"/>
        <v>0</v>
      </c>
      <c r="L112" s="334" t="str">
        <f t="shared" ca="1" si="427"/>
        <v/>
      </c>
      <c r="M112" s="68">
        <f t="shared" ca="1" si="16"/>
        <v>0</v>
      </c>
      <c r="N112" s="334" t="str">
        <f t="shared" ca="1" si="428"/>
        <v/>
      </c>
      <c r="O112" s="68">
        <f t="shared" ca="1" si="18"/>
        <v>0</v>
      </c>
      <c r="P112" s="334" t="str">
        <f t="shared" ca="1" si="429"/>
        <v/>
      </c>
      <c r="Q112" s="68">
        <f t="shared" ca="1" si="20"/>
        <v>0</v>
      </c>
      <c r="R112" s="334" t="str">
        <f t="shared" ca="1" si="430"/>
        <v/>
      </c>
      <c r="S112" s="68">
        <f t="shared" ca="1" si="22"/>
        <v>0</v>
      </c>
      <c r="T112" s="5" t="str">
        <f t="shared" ca="1" si="431"/>
        <v/>
      </c>
    </row>
    <row r="113" spans="2:20">
      <c r="B113" s="68"/>
      <c r="C113" s="68">
        <f t="shared" ca="1" si="8"/>
        <v>0</v>
      </c>
      <c r="D113" s="334" t="str">
        <f t="shared" ca="1" si="423"/>
        <v/>
      </c>
      <c r="E113" s="68">
        <f t="shared" ca="1" si="9"/>
        <v>0</v>
      </c>
      <c r="F113" s="334" t="str">
        <f t="shared" ca="1" si="424"/>
        <v/>
      </c>
      <c r="G113" s="68">
        <f t="shared" ca="1" si="10"/>
        <v>0</v>
      </c>
      <c r="H113" s="334" t="str">
        <f t="shared" ca="1" si="425"/>
        <v/>
      </c>
      <c r="I113" s="68">
        <f t="shared" ca="1" si="12"/>
        <v>0</v>
      </c>
      <c r="J113" s="334" t="str">
        <f t="shared" ca="1" si="426"/>
        <v/>
      </c>
      <c r="K113" s="68">
        <f t="shared" ca="1" si="14"/>
        <v>0</v>
      </c>
      <c r="L113" s="334" t="str">
        <f t="shared" ca="1" si="427"/>
        <v/>
      </c>
      <c r="M113" s="68">
        <f t="shared" ca="1" si="16"/>
        <v>0</v>
      </c>
      <c r="N113" s="334" t="str">
        <f t="shared" ca="1" si="428"/>
        <v/>
      </c>
      <c r="O113" s="68">
        <f t="shared" ca="1" si="18"/>
        <v>0</v>
      </c>
      <c r="P113" s="334" t="str">
        <f t="shared" ca="1" si="429"/>
        <v/>
      </c>
      <c r="Q113" s="68">
        <f t="shared" ca="1" si="20"/>
        <v>0</v>
      </c>
      <c r="R113" s="334" t="str">
        <f t="shared" ca="1" si="430"/>
        <v/>
      </c>
      <c r="S113" s="68">
        <f t="shared" ca="1" si="22"/>
        <v>0</v>
      </c>
      <c r="T113" s="5" t="str">
        <f t="shared" ca="1" si="431"/>
        <v/>
      </c>
    </row>
    <row r="114" spans="2:20">
      <c r="B114" s="68"/>
      <c r="C114" s="68">
        <f t="shared" ca="1" si="8"/>
        <v>0</v>
      </c>
      <c r="D114" s="334" t="str">
        <f t="shared" ca="1" si="423"/>
        <v/>
      </c>
      <c r="E114" s="68">
        <f t="shared" ca="1" si="9"/>
        <v>0</v>
      </c>
      <c r="F114" s="334" t="str">
        <f t="shared" ca="1" si="424"/>
        <v/>
      </c>
      <c r="G114" s="68">
        <f t="shared" ca="1" si="10"/>
        <v>0</v>
      </c>
      <c r="H114" s="334" t="str">
        <f t="shared" ca="1" si="425"/>
        <v/>
      </c>
      <c r="I114" s="68">
        <f t="shared" ca="1" si="12"/>
        <v>0</v>
      </c>
      <c r="J114" s="334" t="str">
        <f t="shared" ca="1" si="426"/>
        <v/>
      </c>
      <c r="K114" s="68">
        <f t="shared" ca="1" si="14"/>
        <v>0</v>
      </c>
      <c r="L114" s="334" t="str">
        <f t="shared" ca="1" si="427"/>
        <v/>
      </c>
      <c r="M114" s="68">
        <f t="shared" ca="1" si="16"/>
        <v>0</v>
      </c>
      <c r="N114" s="334" t="str">
        <f t="shared" ca="1" si="428"/>
        <v/>
      </c>
      <c r="O114" s="68">
        <f t="shared" ca="1" si="18"/>
        <v>0</v>
      </c>
      <c r="P114" s="334" t="str">
        <f t="shared" ca="1" si="429"/>
        <v/>
      </c>
      <c r="Q114" s="68">
        <f t="shared" ca="1" si="20"/>
        <v>0</v>
      </c>
      <c r="R114" s="334" t="str">
        <f t="shared" ca="1" si="430"/>
        <v/>
      </c>
      <c r="S114" s="68">
        <f t="shared" ca="1" si="22"/>
        <v>0</v>
      </c>
      <c r="T114" s="5" t="str">
        <f t="shared" ca="1" si="431"/>
        <v/>
      </c>
    </row>
    <row r="115" spans="2:20">
      <c r="B115" s="68"/>
      <c r="C115" s="68">
        <f t="shared" ca="1" si="8"/>
        <v>0</v>
      </c>
      <c r="D115" s="334" t="str">
        <f t="shared" ca="1" si="423"/>
        <v/>
      </c>
      <c r="E115" s="68">
        <f t="shared" ca="1" si="9"/>
        <v>0</v>
      </c>
      <c r="F115" s="334" t="str">
        <f t="shared" ca="1" si="424"/>
        <v/>
      </c>
      <c r="G115" s="68">
        <f t="shared" ca="1" si="10"/>
        <v>0</v>
      </c>
      <c r="H115" s="334" t="str">
        <f t="shared" ca="1" si="425"/>
        <v/>
      </c>
      <c r="I115" s="68">
        <f t="shared" ca="1" si="12"/>
        <v>0</v>
      </c>
      <c r="J115" s="334" t="str">
        <f t="shared" ca="1" si="426"/>
        <v/>
      </c>
      <c r="K115" s="68">
        <f t="shared" ca="1" si="14"/>
        <v>0</v>
      </c>
      <c r="L115" s="334" t="str">
        <f t="shared" ca="1" si="427"/>
        <v/>
      </c>
      <c r="M115" s="68">
        <f t="shared" ca="1" si="16"/>
        <v>0</v>
      </c>
      <c r="N115" s="334" t="str">
        <f t="shared" ca="1" si="428"/>
        <v/>
      </c>
      <c r="O115" s="68">
        <f t="shared" ca="1" si="18"/>
        <v>0</v>
      </c>
      <c r="P115" s="334" t="str">
        <f t="shared" ca="1" si="429"/>
        <v/>
      </c>
      <c r="Q115" s="68">
        <f t="shared" ca="1" si="20"/>
        <v>0</v>
      </c>
      <c r="R115" s="334" t="str">
        <f t="shared" ca="1" si="430"/>
        <v/>
      </c>
      <c r="S115" s="68">
        <f t="shared" ca="1" si="22"/>
        <v>0</v>
      </c>
      <c r="T115" s="5" t="str">
        <f t="shared" ca="1" si="431"/>
        <v/>
      </c>
    </row>
    <row r="116" spans="2:20">
      <c r="B116" s="68"/>
      <c r="C116" s="68">
        <f t="shared" ca="1" si="8"/>
        <v>0</v>
      </c>
      <c r="D116" s="334" t="str">
        <f t="shared" ca="1" si="423"/>
        <v/>
      </c>
      <c r="E116" s="68">
        <f t="shared" ca="1" si="9"/>
        <v>0</v>
      </c>
      <c r="F116" s="334" t="str">
        <f t="shared" ca="1" si="424"/>
        <v/>
      </c>
      <c r="G116" s="68">
        <f t="shared" ca="1" si="10"/>
        <v>0</v>
      </c>
      <c r="H116" s="334" t="str">
        <f t="shared" ca="1" si="425"/>
        <v/>
      </c>
      <c r="I116" s="68">
        <f t="shared" ca="1" si="12"/>
        <v>0</v>
      </c>
      <c r="J116" s="334" t="str">
        <f t="shared" ca="1" si="426"/>
        <v/>
      </c>
      <c r="K116" s="68">
        <f t="shared" ca="1" si="14"/>
        <v>0</v>
      </c>
      <c r="L116" s="334" t="str">
        <f t="shared" ca="1" si="427"/>
        <v/>
      </c>
      <c r="M116" s="68">
        <f t="shared" ca="1" si="16"/>
        <v>0</v>
      </c>
      <c r="N116" s="334" t="str">
        <f t="shared" ca="1" si="428"/>
        <v/>
      </c>
      <c r="O116" s="68">
        <f t="shared" ca="1" si="18"/>
        <v>0</v>
      </c>
      <c r="P116" s="334" t="str">
        <f t="shared" ca="1" si="429"/>
        <v/>
      </c>
      <c r="Q116" s="68">
        <f t="shared" ca="1" si="20"/>
        <v>0</v>
      </c>
      <c r="R116" s="334" t="str">
        <f t="shared" ca="1" si="430"/>
        <v/>
      </c>
      <c r="S116" s="68">
        <f t="shared" ca="1" si="22"/>
        <v>0</v>
      </c>
      <c r="T116" s="5" t="str">
        <f t="shared" ca="1" si="431"/>
        <v/>
      </c>
    </row>
    <row r="117" spans="2:20">
      <c r="B117" s="68"/>
      <c r="C117" s="68">
        <f t="shared" ref="C117:C120" ca="1" si="432">IF(C116=0,0,IF(C116-1=0,0,C116-1))</f>
        <v>0</v>
      </c>
      <c r="D117" s="334" t="str">
        <f t="shared" ca="1" si="423"/>
        <v/>
      </c>
      <c r="E117" s="68">
        <f t="shared" ref="E117:E120" ca="1" si="433">IF(E116=0,0,IF(E116-1=0,0,E116-1))</f>
        <v>0</v>
      </c>
      <c r="F117" s="334" t="str">
        <f t="shared" ca="1" si="424"/>
        <v/>
      </c>
      <c r="G117" s="68">
        <f t="shared" ref="G117:G120" ca="1" si="434">IF(G116=0,0,IF(G116-1=0,0,G116-1))</f>
        <v>0</v>
      </c>
      <c r="H117" s="334" t="str">
        <f t="shared" ca="1" si="425"/>
        <v/>
      </c>
      <c r="I117" s="68">
        <f t="shared" ref="I117:I120" ca="1" si="435">IF(I116=0,0,IF(I116-1=0,0,I116-1))</f>
        <v>0</v>
      </c>
      <c r="J117" s="334" t="str">
        <f t="shared" ca="1" si="426"/>
        <v/>
      </c>
      <c r="K117" s="68">
        <f t="shared" ref="K117:K120" ca="1" si="436">IF(K116=0,0,IF(K116-1=0,0,K116-1))</f>
        <v>0</v>
      </c>
      <c r="L117" s="334" t="str">
        <f t="shared" ca="1" si="427"/>
        <v/>
      </c>
      <c r="M117" s="68">
        <f t="shared" ref="M117:M120" ca="1" si="437">IF(M116=0,0,IF(M116-1=0,0,M116-1))</f>
        <v>0</v>
      </c>
      <c r="N117" s="334" t="str">
        <f t="shared" ca="1" si="428"/>
        <v/>
      </c>
      <c r="O117" s="68">
        <f t="shared" ref="O117:O120" ca="1" si="438">IF(O116=0,0,IF(O116-1=0,0,O116-1))</f>
        <v>0</v>
      </c>
      <c r="P117" s="334" t="str">
        <f t="shared" ca="1" si="429"/>
        <v/>
      </c>
      <c r="Q117" s="68">
        <f t="shared" ref="Q117:Q120" ca="1" si="439">IF(Q116=0,0,IF(Q116-1=0,0,Q116-1))</f>
        <v>0</v>
      </c>
      <c r="R117" s="334" t="str">
        <f t="shared" ca="1" si="430"/>
        <v/>
      </c>
      <c r="S117" s="68">
        <f t="shared" ref="S117:S120" ca="1" si="440">IF(S116=0,0,IF(S116-1=0,0,S116-1))</f>
        <v>0</v>
      </c>
      <c r="T117" s="5" t="str">
        <f t="shared" ca="1" si="431"/>
        <v/>
      </c>
    </row>
    <row r="118" spans="2:20">
      <c r="B118" s="68"/>
      <c r="C118" s="68">
        <f t="shared" ca="1" si="432"/>
        <v>0</v>
      </c>
      <c r="D118" s="334" t="str">
        <f t="shared" ca="1" si="423"/>
        <v/>
      </c>
      <c r="E118" s="68">
        <f t="shared" ca="1" si="433"/>
        <v>0</v>
      </c>
      <c r="F118" s="334" t="str">
        <f t="shared" ca="1" si="424"/>
        <v/>
      </c>
      <c r="G118" s="68">
        <f t="shared" ca="1" si="434"/>
        <v>0</v>
      </c>
      <c r="H118" s="334" t="str">
        <f t="shared" ca="1" si="425"/>
        <v/>
      </c>
      <c r="I118" s="68">
        <f t="shared" ca="1" si="435"/>
        <v>0</v>
      </c>
      <c r="J118" s="334" t="str">
        <f t="shared" ca="1" si="426"/>
        <v/>
      </c>
      <c r="K118" s="68">
        <f t="shared" ca="1" si="436"/>
        <v>0</v>
      </c>
      <c r="L118" s="334" t="str">
        <f t="shared" ca="1" si="427"/>
        <v/>
      </c>
      <c r="M118" s="68">
        <f t="shared" ca="1" si="437"/>
        <v>0</v>
      </c>
      <c r="N118" s="334" t="str">
        <f t="shared" ca="1" si="428"/>
        <v/>
      </c>
      <c r="O118" s="68">
        <f t="shared" ca="1" si="438"/>
        <v>0</v>
      </c>
      <c r="P118" s="334" t="str">
        <f t="shared" ca="1" si="429"/>
        <v/>
      </c>
      <c r="Q118" s="68">
        <f t="shared" ca="1" si="439"/>
        <v>0</v>
      </c>
      <c r="R118" s="334" t="str">
        <f t="shared" ca="1" si="430"/>
        <v/>
      </c>
      <c r="S118" s="68">
        <f t="shared" ca="1" si="440"/>
        <v>0</v>
      </c>
      <c r="T118" s="5" t="str">
        <f t="shared" ca="1" si="431"/>
        <v/>
      </c>
    </row>
    <row r="119" spans="2:20">
      <c r="B119" s="68"/>
      <c r="C119" s="68">
        <f t="shared" ca="1" si="432"/>
        <v>0</v>
      </c>
      <c r="D119" s="334" t="str">
        <f t="shared" ca="1" si="423"/>
        <v/>
      </c>
      <c r="E119" s="68">
        <f t="shared" ca="1" si="433"/>
        <v>0</v>
      </c>
      <c r="F119" s="334" t="str">
        <f t="shared" ca="1" si="424"/>
        <v/>
      </c>
      <c r="G119" s="68">
        <f t="shared" ca="1" si="434"/>
        <v>0</v>
      </c>
      <c r="H119" s="334" t="str">
        <f t="shared" ca="1" si="425"/>
        <v/>
      </c>
      <c r="I119" s="68">
        <f t="shared" ca="1" si="435"/>
        <v>0</v>
      </c>
      <c r="J119" s="334" t="str">
        <f t="shared" ca="1" si="426"/>
        <v/>
      </c>
      <c r="K119" s="68">
        <f t="shared" ca="1" si="436"/>
        <v>0</v>
      </c>
      <c r="L119" s="334" t="str">
        <f t="shared" ca="1" si="427"/>
        <v/>
      </c>
      <c r="M119" s="68">
        <f t="shared" ca="1" si="437"/>
        <v>0</v>
      </c>
      <c r="N119" s="334" t="str">
        <f t="shared" ca="1" si="428"/>
        <v/>
      </c>
      <c r="O119" s="68">
        <f t="shared" ca="1" si="438"/>
        <v>0</v>
      </c>
      <c r="P119" s="334" t="str">
        <f t="shared" ca="1" si="429"/>
        <v/>
      </c>
      <c r="Q119" s="68">
        <f t="shared" ca="1" si="439"/>
        <v>0</v>
      </c>
      <c r="R119" s="334" t="str">
        <f t="shared" ca="1" si="430"/>
        <v/>
      </c>
      <c r="S119" s="68">
        <f t="shared" ca="1" si="440"/>
        <v>0</v>
      </c>
      <c r="T119" s="5" t="str">
        <f t="shared" ca="1" si="431"/>
        <v/>
      </c>
    </row>
    <row r="120" spans="2:20">
      <c r="B120" s="50"/>
      <c r="C120" s="155">
        <f t="shared" ca="1" si="432"/>
        <v>0</v>
      </c>
      <c r="D120" s="5" t="str">
        <f t="shared" ca="1" si="423"/>
        <v/>
      </c>
      <c r="E120" s="155">
        <f t="shared" ca="1" si="433"/>
        <v>0</v>
      </c>
      <c r="F120" s="5" t="str">
        <f t="shared" ca="1" si="424"/>
        <v/>
      </c>
      <c r="G120" s="155">
        <f t="shared" ca="1" si="434"/>
        <v>0</v>
      </c>
      <c r="H120" s="5" t="str">
        <f t="shared" ca="1" si="425"/>
        <v/>
      </c>
      <c r="I120" s="155">
        <f t="shared" ca="1" si="435"/>
        <v>0</v>
      </c>
      <c r="J120" s="5" t="str">
        <f t="shared" ca="1" si="426"/>
        <v/>
      </c>
      <c r="K120" s="155">
        <f t="shared" ca="1" si="436"/>
        <v>0</v>
      </c>
      <c r="L120" s="5" t="str">
        <f t="shared" ca="1" si="427"/>
        <v/>
      </c>
      <c r="M120" s="155">
        <f t="shared" ca="1" si="437"/>
        <v>0</v>
      </c>
      <c r="N120" s="5" t="str">
        <f t="shared" ca="1" si="428"/>
        <v/>
      </c>
      <c r="O120" s="155">
        <f t="shared" ca="1" si="438"/>
        <v>0</v>
      </c>
      <c r="P120" s="5" t="str">
        <f t="shared" ca="1" si="429"/>
        <v/>
      </c>
      <c r="Q120" s="155">
        <f t="shared" ca="1" si="439"/>
        <v>0</v>
      </c>
      <c r="R120" s="5" t="str">
        <f t="shared" ca="1" si="430"/>
        <v/>
      </c>
      <c r="S120" s="155">
        <f t="shared" ca="1" si="440"/>
        <v>0</v>
      </c>
      <c r="T120" s="5" t="str">
        <f t="shared" ca="1" si="431"/>
        <v/>
      </c>
    </row>
    <row r="121" spans="2:20">
      <c r="B121" s="50"/>
      <c r="C121" s="50"/>
      <c r="D121" s="50"/>
      <c r="E121" s="50"/>
      <c r="F121" s="50"/>
      <c r="G121" s="50"/>
    </row>
    <row r="122" spans="2:20">
      <c r="B122" s="50"/>
      <c r="C122" s="50"/>
      <c r="D122" s="50"/>
      <c r="E122" s="50"/>
      <c r="F122" s="50"/>
      <c r="G122" s="50"/>
    </row>
    <row r="123" spans="2:20">
      <c r="B123" s="50"/>
      <c r="C123" s="50"/>
      <c r="D123" s="50"/>
      <c r="E123" s="50"/>
      <c r="F123" s="50"/>
      <c r="G123" s="50"/>
    </row>
    <row r="124" spans="2:20">
      <c r="B124" s="50"/>
      <c r="C124" s="50"/>
      <c r="D124" s="50"/>
      <c r="E124" s="50"/>
      <c r="F124" s="50"/>
      <c r="G124" s="50"/>
    </row>
    <row r="125" spans="2:20">
      <c r="B125" s="50"/>
      <c r="C125" s="50"/>
      <c r="D125" s="50"/>
      <c r="E125" s="50"/>
      <c r="F125" s="50"/>
      <c r="G125" s="50"/>
    </row>
    <row r="126" spans="2:20">
      <c r="B126" s="50"/>
      <c r="C126" s="50"/>
      <c r="D126" s="50"/>
      <c r="E126" s="50"/>
      <c r="F126" s="50"/>
      <c r="G126" s="50"/>
    </row>
    <row r="127" spans="2:20">
      <c r="B127" s="50"/>
      <c r="C127" s="50"/>
      <c r="D127" s="50"/>
      <c r="E127" s="50"/>
      <c r="F127" s="50"/>
      <c r="G127" s="50"/>
    </row>
    <row r="128" spans="2:20">
      <c r="B128" s="50"/>
      <c r="C128" s="50"/>
      <c r="D128" s="50"/>
      <c r="E128" s="50"/>
      <c r="F128" s="50"/>
      <c r="G128" s="50"/>
    </row>
    <row r="129" spans="2:29">
      <c r="B129" s="50"/>
      <c r="C129" s="50"/>
      <c r="D129" s="50"/>
      <c r="E129" s="50"/>
      <c r="F129" s="50"/>
      <c r="G129" s="50"/>
    </row>
    <row r="130" spans="2:29">
      <c r="B130" s="50"/>
      <c r="C130" s="50"/>
      <c r="D130" s="50"/>
      <c r="E130" s="50"/>
      <c r="F130" s="50"/>
      <c r="G130" s="50"/>
    </row>
    <row r="131" spans="2:29">
      <c r="B131" s="50"/>
      <c r="C131" s="50"/>
      <c r="D131" s="50"/>
      <c r="E131" s="50"/>
      <c r="F131" s="50"/>
      <c r="G131" s="50"/>
    </row>
    <row r="132" spans="2:29">
      <c r="B132" s="50"/>
      <c r="C132" s="50"/>
      <c r="D132" s="50"/>
      <c r="E132" s="50"/>
      <c r="F132" s="50"/>
      <c r="G132" s="50"/>
    </row>
    <row r="133" spans="2:29">
      <c r="B133" s="50"/>
      <c r="C133" s="50"/>
      <c r="D133" s="50"/>
      <c r="E133" s="50"/>
      <c r="F133" s="50"/>
      <c r="G133" s="50"/>
    </row>
    <row r="134" spans="2:29">
      <c r="B134" s="50"/>
      <c r="C134" s="50"/>
      <c r="D134" s="50"/>
      <c r="E134" s="50"/>
      <c r="F134" s="50"/>
      <c r="G134" s="50"/>
    </row>
    <row r="135" spans="2:29">
      <c r="B135" s="50"/>
      <c r="C135" s="50"/>
      <c r="D135" s="50"/>
      <c r="E135" s="50"/>
      <c r="F135" s="50"/>
      <c r="G135" s="50"/>
    </row>
    <row r="136" spans="2:29">
      <c r="B136" s="50"/>
      <c r="C136" s="50"/>
      <c r="D136" s="50"/>
      <c r="E136" s="50"/>
      <c r="F136" s="50"/>
      <c r="G136" s="50"/>
    </row>
    <row r="137" spans="2:29">
      <c r="B137" s="50"/>
      <c r="C137" s="50"/>
      <c r="D137" s="50"/>
      <c r="E137" s="50"/>
      <c r="F137" s="50"/>
      <c r="G137" s="50"/>
    </row>
    <row r="138" spans="2:29">
      <c r="B138" s="50"/>
      <c r="C138" s="50"/>
      <c r="D138" s="50"/>
      <c r="E138" s="50"/>
      <c r="F138" s="50"/>
      <c r="G138" s="50"/>
    </row>
    <row r="139" spans="2:29" ht="18" customHeight="1">
      <c r="B139" s="50"/>
      <c r="C139" s="50"/>
      <c r="D139" s="50"/>
      <c r="E139" s="50"/>
      <c r="F139" s="50"/>
      <c r="G139" s="50"/>
      <c r="AC139" s="56" t="e">
        <f>#REF!</f>
        <v>#REF!</v>
      </c>
    </row>
    <row r="140" spans="2:29">
      <c r="B140" s="50"/>
      <c r="C140" s="50"/>
      <c r="D140" s="50"/>
      <c r="E140" s="50"/>
      <c r="F140" s="50"/>
      <c r="G140" s="50"/>
    </row>
    <row r="141" spans="2:29">
      <c r="B141" s="50"/>
      <c r="C141" s="50"/>
      <c r="D141" s="50"/>
      <c r="E141" s="50"/>
      <c r="F141" s="50"/>
      <c r="G141" s="50"/>
    </row>
    <row r="142" spans="2:29">
      <c r="B142" s="50"/>
      <c r="C142" s="50"/>
      <c r="D142" s="50"/>
      <c r="E142" s="50"/>
      <c r="F142" s="50"/>
      <c r="G142" s="50"/>
    </row>
    <row r="143" spans="2:29">
      <c r="B143" s="50"/>
      <c r="C143" s="50"/>
      <c r="D143" s="50"/>
      <c r="E143" s="50"/>
      <c r="F143" s="50"/>
      <c r="G143" s="50"/>
    </row>
    <row r="144" spans="2:29">
      <c r="B144" s="50"/>
      <c r="C144" s="50"/>
      <c r="D144" s="50"/>
      <c r="E144" s="50"/>
      <c r="F144" s="50"/>
      <c r="G144" s="50"/>
    </row>
    <row r="145" spans="2:7">
      <c r="B145" s="50"/>
      <c r="C145" s="50"/>
      <c r="D145" s="50"/>
      <c r="E145" s="50"/>
      <c r="F145" s="50"/>
      <c r="G145" s="50"/>
    </row>
    <row r="146" spans="2:7">
      <c r="B146" s="50"/>
      <c r="C146" s="50"/>
      <c r="D146" s="50"/>
      <c r="E146" s="50"/>
      <c r="F146" s="50"/>
      <c r="G146" s="50"/>
    </row>
    <row r="147" spans="2:7">
      <c r="B147" s="50"/>
      <c r="C147" s="50"/>
      <c r="D147" s="50"/>
      <c r="E147" s="50"/>
      <c r="F147" s="50"/>
      <c r="G147" s="50"/>
    </row>
    <row r="148" spans="2:7">
      <c r="B148" s="50"/>
      <c r="C148" s="50"/>
      <c r="D148" s="50"/>
      <c r="E148" s="50"/>
      <c r="F148" s="50"/>
      <c r="G148" s="50"/>
    </row>
    <row r="149" spans="2:7">
      <c r="B149" s="50"/>
      <c r="C149" s="50"/>
      <c r="D149" s="50"/>
      <c r="E149" s="50"/>
      <c r="F149" s="50"/>
      <c r="G149" s="50"/>
    </row>
    <row r="150" spans="2:7">
      <c r="B150" s="50"/>
      <c r="C150" s="50"/>
      <c r="D150" s="50"/>
      <c r="E150" s="50"/>
      <c r="F150" s="50"/>
      <c r="G150" s="50"/>
    </row>
    <row r="151" spans="2:7">
      <c r="B151" s="50"/>
      <c r="C151" s="50"/>
      <c r="D151" s="50"/>
      <c r="E151" s="50"/>
      <c r="F151" s="50"/>
      <c r="G151" s="50"/>
    </row>
    <row r="152" spans="2:7">
      <c r="B152" s="50"/>
      <c r="C152" s="50"/>
      <c r="D152" s="50"/>
      <c r="E152" s="50"/>
      <c r="F152" s="50"/>
      <c r="G152" s="50"/>
    </row>
    <row r="153" spans="2:7">
      <c r="B153" s="50"/>
      <c r="C153" s="50"/>
      <c r="D153" s="50"/>
      <c r="E153" s="50"/>
      <c r="F153" s="50"/>
      <c r="G153" s="50"/>
    </row>
    <row r="154" spans="2:7">
      <c r="B154" s="50"/>
      <c r="C154" s="50"/>
      <c r="D154" s="50"/>
      <c r="E154" s="50"/>
      <c r="F154" s="50"/>
      <c r="G154" s="50"/>
    </row>
    <row r="155" spans="2:7">
      <c r="B155" s="50"/>
      <c r="C155" s="50"/>
      <c r="D155" s="50"/>
      <c r="E155" s="50"/>
      <c r="F155" s="50"/>
      <c r="G155" s="50"/>
    </row>
    <row r="156" spans="2:7">
      <c r="B156" s="50"/>
      <c r="C156" s="50"/>
      <c r="D156" s="50"/>
      <c r="E156" s="50"/>
      <c r="F156" s="50"/>
      <c r="G156" s="50"/>
    </row>
    <row r="157" spans="2:7">
      <c r="B157" s="50"/>
      <c r="C157" s="50"/>
      <c r="D157" s="50"/>
      <c r="E157" s="50"/>
      <c r="F157" s="50"/>
      <c r="G157" s="50"/>
    </row>
    <row r="158" spans="2:7">
      <c r="B158" s="50"/>
      <c r="C158" s="50"/>
      <c r="D158" s="50"/>
      <c r="E158" s="50"/>
      <c r="F158" s="50"/>
      <c r="G158" s="50"/>
    </row>
    <row r="159" spans="2:7">
      <c r="B159" s="50"/>
      <c r="C159" s="50"/>
      <c r="D159" s="50"/>
      <c r="E159" s="50"/>
      <c r="F159" s="50"/>
      <c r="G159" s="50"/>
    </row>
    <row r="160" spans="2:7">
      <c r="B160" s="50"/>
      <c r="C160" s="50"/>
      <c r="D160" s="50"/>
      <c r="E160" s="50"/>
      <c r="F160" s="50"/>
      <c r="G160" s="50"/>
    </row>
    <row r="161" spans="2:26">
      <c r="B161" s="50"/>
      <c r="C161" s="50"/>
      <c r="D161" s="50"/>
      <c r="E161" s="50"/>
      <c r="F161" s="50"/>
      <c r="G161" s="50"/>
    </row>
    <row r="162" spans="2:26">
      <c r="B162" s="50"/>
      <c r="C162" s="50"/>
      <c r="D162" s="50"/>
      <c r="E162" s="50"/>
      <c r="F162" s="50"/>
      <c r="G162" s="50"/>
    </row>
    <row r="163" spans="2:26">
      <c r="B163" s="50"/>
      <c r="C163" s="50"/>
      <c r="D163" s="50"/>
      <c r="E163" s="50"/>
      <c r="F163" s="50"/>
      <c r="G163" s="50"/>
    </row>
    <row r="164" spans="2:26">
      <c r="B164" s="50"/>
      <c r="C164" s="50"/>
      <c r="D164" s="50"/>
      <c r="E164" s="50"/>
      <c r="F164" s="50"/>
      <c r="G164" s="50"/>
    </row>
    <row r="165" spans="2:26">
      <c r="B165" s="50"/>
      <c r="C165" s="50"/>
      <c r="D165" s="50"/>
      <c r="E165" s="50"/>
      <c r="F165" s="50"/>
      <c r="G165" s="50"/>
    </row>
    <row r="166" spans="2:26">
      <c r="B166" s="50"/>
      <c r="C166" s="50"/>
      <c r="D166" s="50"/>
      <c r="E166" s="50"/>
      <c r="F166" s="50"/>
      <c r="G166" s="50"/>
    </row>
    <row r="167" spans="2:26">
      <c r="B167" s="50"/>
      <c r="C167" s="50"/>
      <c r="D167" s="50"/>
      <c r="E167" s="50"/>
      <c r="F167" s="50"/>
      <c r="G167" s="50"/>
    </row>
    <row r="168" spans="2:26">
      <c r="B168" s="50"/>
      <c r="C168" s="50"/>
      <c r="D168" s="50"/>
      <c r="E168" s="50"/>
      <c r="F168" s="50"/>
      <c r="G168" s="50"/>
    </row>
    <row r="169" spans="2:26">
      <c r="B169" s="50"/>
      <c r="C169" s="50"/>
      <c r="D169" s="50"/>
      <c r="E169" s="50"/>
      <c r="F169" s="50"/>
      <c r="G169" s="50"/>
    </row>
    <row r="170" spans="2:26">
      <c r="B170" s="50"/>
      <c r="C170" s="50"/>
      <c r="D170" s="50"/>
      <c r="E170" s="50"/>
      <c r="F170" s="50"/>
      <c r="G170" s="50"/>
    </row>
    <row r="171" spans="2:26">
      <c r="B171" s="50"/>
      <c r="C171" s="50"/>
      <c r="D171" s="50"/>
      <c r="E171" s="50"/>
      <c r="F171" s="50"/>
      <c r="G171" s="50"/>
    </row>
    <row r="172" spans="2:26">
      <c r="B172" s="50"/>
      <c r="C172" s="50"/>
      <c r="D172" s="50"/>
      <c r="E172" s="50"/>
      <c r="F172" s="50"/>
      <c r="G172" s="50"/>
    </row>
    <row r="173" spans="2:26">
      <c r="B173" s="50"/>
      <c r="C173" s="50"/>
      <c r="D173" s="50"/>
      <c r="E173" s="50"/>
      <c r="F173" s="50"/>
      <c r="G173" s="50"/>
    </row>
    <row r="174" spans="2:26">
      <c r="B174" s="50"/>
      <c r="C174" s="50"/>
      <c r="D174" s="50"/>
      <c r="E174" s="50"/>
      <c r="F174" s="50"/>
      <c r="G174" s="50"/>
    </row>
    <row r="175" spans="2:26">
      <c r="B175" s="50"/>
      <c r="C175" s="50"/>
      <c r="D175" s="50"/>
      <c r="E175" s="50"/>
      <c r="F175" s="50"/>
      <c r="G175" s="50"/>
    </row>
    <row r="176" spans="2:26">
      <c r="B176" s="16"/>
      <c r="C176" s="16"/>
      <c r="D176" s="16"/>
      <c r="E176" s="16"/>
      <c r="F176" s="16"/>
      <c r="G176" s="16"/>
      <c r="H176" s="16"/>
      <c r="I176" s="16"/>
      <c r="J176" s="16"/>
      <c r="K176" s="16"/>
      <c r="L176" s="16"/>
      <c r="N176" s="16"/>
      <c r="O176" s="16"/>
      <c r="P176" s="16"/>
      <c r="Q176" s="16"/>
      <c r="R176" s="16"/>
      <c r="S176" s="16"/>
      <c r="T176" s="16"/>
      <c r="U176" s="16"/>
      <c r="V176" s="16"/>
      <c r="W176" s="16"/>
      <c r="X176" s="16"/>
      <c r="Y176" s="16"/>
      <c r="Z176" s="16"/>
    </row>
    <row r="177" spans="2:26">
      <c r="B177" s="16"/>
      <c r="C177" s="16"/>
      <c r="D177" s="16"/>
      <c r="E177" s="16"/>
      <c r="F177" s="16"/>
      <c r="G177" s="16"/>
      <c r="H177" s="16"/>
      <c r="I177" s="16"/>
      <c r="J177" s="16"/>
      <c r="K177" s="16"/>
      <c r="L177" s="16"/>
      <c r="N177" s="16"/>
      <c r="O177" s="16"/>
      <c r="P177" s="16"/>
      <c r="Q177" s="16"/>
      <c r="R177" s="16"/>
      <c r="S177" s="16"/>
      <c r="T177" s="16"/>
      <c r="U177" s="16"/>
      <c r="V177" s="16"/>
      <c r="W177" s="16"/>
      <c r="X177" s="16"/>
      <c r="Y177" s="16"/>
      <c r="Z177" s="16"/>
    </row>
    <row r="178" spans="2:26">
      <c r="B178" s="16"/>
      <c r="C178" s="16"/>
      <c r="D178" s="16"/>
      <c r="E178" s="16"/>
      <c r="F178" s="16"/>
      <c r="G178" s="16"/>
      <c r="H178" s="16"/>
      <c r="I178" s="16"/>
      <c r="J178" s="16"/>
      <c r="K178" s="16"/>
      <c r="L178" s="16"/>
      <c r="N178" s="16"/>
      <c r="O178" s="16"/>
      <c r="P178" s="16"/>
      <c r="Q178" s="16"/>
      <c r="R178" s="16"/>
      <c r="S178" s="16"/>
      <c r="T178" s="16"/>
      <c r="U178" s="16"/>
      <c r="V178" s="16"/>
      <c r="W178" s="16"/>
      <c r="X178" s="16"/>
      <c r="Y178" s="16"/>
      <c r="Z178" s="16"/>
    </row>
    <row r="179" spans="2:26">
      <c r="B179" s="16"/>
      <c r="C179" s="16"/>
      <c r="D179" s="16"/>
      <c r="E179" s="16"/>
      <c r="F179" s="16"/>
      <c r="G179" s="16"/>
      <c r="H179" s="16"/>
      <c r="I179" s="16"/>
      <c r="J179" s="16"/>
      <c r="K179" s="16"/>
      <c r="L179" s="16"/>
      <c r="N179" s="16"/>
      <c r="O179" s="16"/>
      <c r="P179" s="16"/>
      <c r="Q179" s="16"/>
      <c r="R179" s="16"/>
      <c r="S179" s="16"/>
      <c r="T179" s="16"/>
      <c r="U179" s="16"/>
      <c r="V179" s="16"/>
      <c r="W179" s="16"/>
      <c r="X179" s="16"/>
      <c r="Y179" s="16"/>
      <c r="Z179" s="16"/>
    </row>
    <row r="180" spans="2:26">
      <c r="B180" s="16"/>
      <c r="C180" s="16"/>
      <c r="D180" s="16"/>
      <c r="E180" s="16"/>
      <c r="F180" s="16"/>
      <c r="G180" s="16"/>
      <c r="H180" s="16"/>
      <c r="I180" s="16"/>
      <c r="J180" s="16"/>
      <c r="K180" s="16"/>
      <c r="L180" s="16"/>
      <c r="N180" s="16"/>
      <c r="O180" s="16"/>
      <c r="P180" s="16"/>
      <c r="Q180" s="16"/>
      <c r="R180" s="16"/>
      <c r="S180" s="16"/>
      <c r="T180" s="16"/>
      <c r="U180" s="16"/>
      <c r="V180" s="16"/>
      <c r="W180" s="16"/>
      <c r="X180" s="16"/>
      <c r="Y180" s="16"/>
      <c r="Z180" s="16"/>
    </row>
    <row r="181" spans="2:26">
      <c r="B181" s="16"/>
      <c r="C181" s="16"/>
      <c r="D181" s="16"/>
      <c r="E181" s="16"/>
      <c r="F181" s="16"/>
      <c r="G181" s="16"/>
      <c r="H181" s="16"/>
      <c r="I181" s="16"/>
      <c r="J181" s="16"/>
      <c r="K181" s="16"/>
      <c r="L181" s="16"/>
      <c r="N181" s="16"/>
      <c r="O181" s="16"/>
      <c r="P181" s="16"/>
      <c r="Q181" s="16"/>
      <c r="R181" s="16"/>
      <c r="S181" s="16"/>
      <c r="T181" s="16"/>
      <c r="U181" s="16"/>
      <c r="V181" s="16"/>
      <c r="W181" s="16"/>
      <c r="X181" s="16"/>
      <c r="Y181" s="16"/>
      <c r="Z181" s="16"/>
    </row>
    <row r="182" spans="2:26">
      <c r="B182" s="16"/>
      <c r="C182" s="16"/>
      <c r="D182" s="16"/>
      <c r="E182" s="16"/>
      <c r="F182" s="16"/>
      <c r="G182" s="16"/>
      <c r="H182" s="16"/>
      <c r="I182" s="16"/>
      <c r="J182" s="16"/>
      <c r="K182" s="16"/>
      <c r="L182" s="16"/>
      <c r="N182" s="16"/>
      <c r="O182" s="16"/>
      <c r="P182" s="16"/>
      <c r="Q182" s="16"/>
      <c r="R182" s="16"/>
      <c r="S182" s="16"/>
      <c r="T182" s="16"/>
      <c r="U182" s="16"/>
      <c r="V182" s="16"/>
      <c r="W182" s="16"/>
      <c r="X182" s="16"/>
      <c r="Y182" s="16"/>
      <c r="Z182" s="16"/>
    </row>
    <row r="183" spans="2:26">
      <c r="B183" s="16"/>
      <c r="C183" s="16"/>
      <c r="D183" s="16"/>
      <c r="E183" s="16"/>
      <c r="F183" s="16"/>
      <c r="G183" s="16"/>
      <c r="H183" s="16"/>
      <c r="I183" s="16"/>
      <c r="J183" s="16"/>
      <c r="K183" s="16"/>
      <c r="L183" s="16"/>
      <c r="N183" s="16"/>
      <c r="O183" s="16"/>
      <c r="P183" s="16"/>
      <c r="Q183" s="16"/>
      <c r="R183" s="16"/>
      <c r="S183" s="16"/>
      <c r="T183" s="16"/>
      <c r="U183" s="16"/>
      <c r="V183" s="16"/>
      <c r="W183" s="16"/>
      <c r="X183" s="16"/>
      <c r="Y183" s="16"/>
      <c r="Z183" s="16"/>
    </row>
    <row r="184" spans="2:26">
      <c r="B184" s="16"/>
      <c r="C184" s="16"/>
      <c r="D184" s="16"/>
      <c r="E184" s="16"/>
      <c r="F184" s="16"/>
      <c r="G184" s="16"/>
      <c r="H184" s="16"/>
      <c r="I184" s="16"/>
      <c r="J184" s="16"/>
      <c r="K184" s="16"/>
      <c r="L184" s="16"/>
    </row>
  </sheetData>
  <sheetProtection password="FFF0" sheet="1" objects="1" scenarios="1"/>
  <mergeCells count="1">
    <mergeCell ref="H2:K2"/>
  </mergeCells>
  <phoneticPr fontId="102" type="noConversion"/>
  <conditionalFormatting sqref="C52:C120">
    <cfRule type="cellIs" dxfId="351" priority="9" operator="equal">
      <formula>0</formula>
    </cfRule>
  </conditionalFormatting>
  <conditionalFormatting sqref="E52:E120">
    <cfRule type="cellIs" dxfId="350" priority="8" operator="equal">
      <formula>0</formula>
    </cfRule>
  </conditionalFormatting>
  <conditionalFormatting sqref="G52:G120">
    <cfRule type="cellIs" dxfId="349" priority="7" operator="equal">
      <formula>0</formula>
    </cfRule>
  </conditionalFormatting>
  <conditionalFormatting sqref="I52:I120">
    <cfRule type="cellIs" dxfId="348" priority="6" operator="equal">
      <formula>0</formula>
    </cfRule>
  </conditionalFormatting>
  <conditionalFormatting sqref="K52:K120">
    <cfRule type="cellIs" dxfId="347" priority="5" operator="equal">
      <formula>0</formula>
    </cfRule>
  </conditionalFormatting>
  <conditionalFormatting sqref="M52:M120">
    <cfRule type="cellIs" dxfId="346" priority="4" operator="equal">
      <formula>0</formula>
    </cfRule>
  </conditionalFormatting>
  <conditionalFormatting sqref="O52:O120">
    <cfRule type="cellIs" dxfId="345" priority="3" operator="equal">
      <formula>0</formula>
    </cfRule>
  </conditionalFormatting>
  <conditionalFormatting sqref="Q52:Q120">
    <cfRule type="cellIs" dxfId="344" priority="2" operator="equal">
      <formula>0</formula>
    </cfRule>
  </conditionalFormatting>
  <conditionalFormatting sqref="S52:S120">
    <cfRule type="cellIs" dxfId="343" priority="1" operator="equal">
      <formula>0</formula>
    </cfRule>
  </conditionalFormatting>
  <pageMargins left="0.2" right="0" top="1" bottom="2.25" header="0" footer="0"/>
  <pageSetup scale="49" fitToWidth="2" fitToHeight="2" pageOrder="overThenDown" orientation="landscape" horizontalDpi="4294967292" verticalDpi="4294967292"/>
  <rowBreaks count="2" manualBreakCount="2">
    <brk id="48" max="16383" man="1"/>
    <brk id="99" max="16383" man="1"/>
  </rowBreaks>
  <extLst>
    <ext xmlns:mx="http://schemas.microsoft.com/office/mac/excel/2008/main" uri="{64002731-A6B0-56B0-2670-7721B7C09600}">
      <mx:PLV Mode="0" OnePage="0" WScale="5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T60"/>
  <sheetViews>
    <sheetView topLeftCell="A3" workbookViewId="0">
      <selection activeCell="S8" sqref="S8"/>
    </sheetView>
  </sheetViews>
  <sheetFormatPr baseColWidth="10" defaultRowHeight="15" x14ac:dyDescent="0"/>
  <cols>
    <col min="1" max="1" width="18.5703125" style="50" customWidth="1"/>
    <col min="2" max="2" width="10.7109375" style="50"/>
    <col min="3" max="44" width="3.140625" style="50" customWidth="1"/>
    <col min="45" max="45" width="5.140625" style="50" customWidth="1"/>
    <col min="46" max="83" width="3.140625" style="50" customWidth="1"/>
    <col min="84" max="124" width="3.140625" style="50" hidden="1" customWidth="1"/>
    <col min="125" max="125" width="3.140625" style="50" customWidth="1"/>
    <col min="126" max="16384" width="10.7109375" style="50"/>
  </cols>
  <sheetData>
    <row r="1" spans="1:124" ht="18">
      <c r="A1" s="147" t="s">
        <v>1186</v>
      </c>
      <c r="C1" s="378" t="str">
        <f ca="1">IF(C3&lt;&gt;"c","The draw entered is not a competitive draw!","")</f>
        <v>The draw entered is not a competitive draw!</v>
      </c>
    </row>
    <row r="2" spans="1:124">
      <c r="A2" s="315" t="str">
        <f>Intro!D46</f>
        <v/>
      </c>
    </row>
    <row r="3" spans="1:124">
      <c r="B3" s="50" t="str">
        <f ca="1">CONCATENATE(CS!B10,DrawFinder!N3)</f>
        <v>240603e0</v>
      </c>
      <c r="C3" s="63" t="str">
        <f ca="1">DrawFinder!N4</f>
        <v>e</v>
      </c>
      <c r="F3" s="209">
        <v>0</v>
      </c>
      <c r="G3" s="209">
        <f ca="1">IF(G5="",0,LARGE($F3:F3,1)+1)</f>
        <v>0</v>
      </c>
      <c r="H3" s="209">
        <f ca="1">IF(H5="",0,LARGE($F3:G3,1)+1)</f>
        <v>0</v>
      </c>
      <c r="I3" s="209">
        <f ca="1">IF(I5="",0,LARGE($F3:H3,1)+1)</f>
        <v>0</v>
      </c>
      <c r="J3" s="209">
        <f ca="1">IF(J5="",0,LARGE($F3:I3,1)+1)</f>
        <v>0</v>
      </c>
      <c r="K3" s="209">
        <f ca="1">IF(K5="",0,LARGE($F3:J3,1)+1)</f>
        <v>0</v>
      </c>
      <c r="M3" s="63">
        <f ca="1">VALUE(RIGHT(B3,1))</f>
        <v>0</v>
      </c>
      <c r="N3" s="150" t="s">
        <v>1131</v>
      </c>
      <c r="T3" s="63"/>
      <c r="U3" s="63"/>
      <c r="V3" s="63"/>
      <c r="W3" s="63"/>
      <c r="X3" s="63"/>
      <c r="CF3" s="50">
        <v>1</v>
      </c>
      <c r="CG3" s="50">
        <v>2</v>
      </c>
      <c r="CH3" s="50">
        <v>3</v>
      </c>
      <c r="CI3" s="50">
        <v>4</v>
      </c>
      <c r="CJ3" s="50">
        <v>5</v>
      </c>
    </row>
    <row r="4" spans="1:124">
      <c r="G4" s="379" t="s">
        <v>1132</v>
      </c>
      <c r="H4" s="380" t="s">
        <v>1133</v>
      </c>
      <c r="I4" s="381" t="s">
        <v>203</v>
      </c>
      <c r="J4" s="382" t="s">
        <v>46</v>
      </c>
      <c r="K4" s="383" t="s">
        <v>1005</v>
      </c>
      <c r="M4" s="63">
        <f ca="1">VALUE(MID(B3,8,1))</f>
        <v>0</v>
      </c>
      <c r="N4" s="150" t="s">
        <v>1134</v>
      </c>
      <c r="AU4" s="63">
        <f ca="1">COUNTIF(CS!C11:AP11,"&gt;0")+COUNTIF(CS!C11:AP11,"&lt;0")</f>
        <v>7</v>
      </c>
      <c r="AV4" s="150" t="s">
        <v>1135</v>
      </c>
      <c r="BA4" s="63">
        <f ca="1">COUNTIF(C7:AP7,1)</f>
        <v>14</v>
      </c>
      <c r="BB4" s="150" t="s">
        <v>1136</v>
      </c>
      <c r="BG4" s="63"/>
      <c r="BH4" s="150"/>
      <c r="CG4" s="50" t="s">
        <v>1137</v>
      </c>
      <c r="CH4" s="50" t="s">
        <v>1138</v>
      </c>
      <c r="CI4" s="50" t="s">
        <v>1138</v>
      </c>
      <c r="CJ4" s="50" t="s">
        <v>1139</v>
      </c>
    </row>
    <row r="5" spans="1:124">
      <c r="B5" s="151" t="s">
        <v>1140</v>
      </c>
      <c r="C5" s="63">
        <f ca="1">COUNTIF(CS!C11:AP56,"&gt;0")</f>
        <v>84</v>
      </c>
      <c r="G5" s="384" t="str">
        <f ca="1">IF($M3&gt;2,"m","")</f>
        <v/>
      </c>
      <c r="H5" s="385" t="str">
        <f ca="1">IF($M3&gt;=4,"n","")</f>
        <v/>
      </c>
      <c r="I5" s="385" t="str">
        <f ca="1">IF($M3&gt;0,"a","")</f>
        <v/>
      </c>
      <c r="J5" s="385" t="str">
        <f ca="1">IF($M3&gt;=2,"e","")</f>
        <v/>
      </c>
      <c r="K5" s="386" t="str">
        <f ca="1">IF($M3&gt;4,"l","")</f>
        <v/>
      </c>
      <c r="M5" s="63">
        <f ca="1">CS!BU4</f>
        <v>14</v>
      </c>
      <c r="N5" s="150" t="s">
        <v>1141</v>
      </c>
      <c r="AU5" s="63">
        <f ca="1">LARGE(G3:K3,1)</f>
        <v>0</v>
      </c>
      <c r="AV5" s="150" t="s">
        <v>1142</v>
      </c>
      <c r="BA5" s="63">
        <f ca="1">M3</f>
        <v>0</v>
      </c>
      <c r="BB5" s="150" t="s">
        <v>1131</v>
      </c>
    </row>
    <row r="6" spans="1:124">
      <c r="C6" s="63">
        <f ca="1">(M3-M4)+1</f>
        <v>1</v>
      </c>
      <c r="D6" s="63">
        <f t="shared" ref="D6:AP6" ca="1" si="0">IF(C6+1&gt;$M$3,1,C6+1)</f>
        <v>1</v>
      </c>
      <c r="E6" s="63">
        <f t="shared" ca="1" si="0"/>
        <v>1</v>
      </c>
      <c r="F6" s="63">
        <f t="shared" ca="1" si="0"/>
        <v>1</v>
      </c>
      <c r="G6" s="63">
        <f t="shared" ca="1" si="0"/>
        <v>1</v>
      </c>
      <c r="H6" s="63">
        <f t="shared" ca="1" si="0"/>
        <v>1</v>
      </c>
      <c r="I6" s="63">
        <f t="shared" ca="1" si="0"/>
        <v>1</v>
      </c>
      <c r="J6" s="63">
        <f t="shared" ca="1" si="0"/>
        <v>1</v>
      </c>
      <c r="K6" s="63">
        <f t="shared" ca="1" si="0"/>
        <v>1</v>
      </c>
      <c r="L6" s="63">
        <f t="shared" ca="1" si="0"/>
        <v>1</v>
      </c>
      <c r="M6" s="63">
        <f t="shared" ca="1" si="0"/>
        <v>1</v>
      </c>
      <c r="N6" s="63">
        <f t="shared" ca="1" si="0"/>
        <v>1</v>
      </c>
      <c r="O6" s="63">
        <f t="shared" ca="1" si="0"/>
        <v>1</v>
      </c>
      <c r="P6" s="63">
        <f t="shared" ca="1" si="0"/>
        <v>1</v>
      </c>
      <c r="Q6" s="63">
        <f t="shared" ca="1" si="0"/>
        <v>1</v>
      </c>
      <c r="R6" s="63">
        <f t="shared" ca="1" si="0"/>
        <v>1</v>
      </c>
      <c r="S6" s="63">
        <f t="shared" ca="1" si="0"/>
        <v>1</v>
      </c>
      <c r="T6" s="63">
        <f t="shared" ca="1" si="0"/>
        <v>1</v>
      </c>
      <c r="U6" s="63">
        <f t="shared" ca="1" si="0"/>
        <v>1</v>
      </c>
      <c r="V6" s="63">
        <f t="shared" ca="1" si="0"/>
        <v>1</v>
      </c>
      <c r="W6" s="63">
        <f t="shared" ca="1" si="0"/>
        <v>1</v>
      </c>
      <c r="X6" s="63">
        <f t="shared" ca="1" si="0"/>
        <v>1</v>
      </c>
      <c r="Y6" s="63">
        <f t="shared" ca="1" si="0"/>
        <v>1</v>
      </c>
      <c r="Z6" s="63">
        <f t="shared" ca="1" si="0"/>
        <v>1</v>
      </c>
      <c r="AA6" s="63">
        <f t="shared" ca="1" si="0"/>
        <v>1</v>
      </c>
      <c r="AB6" s="63">
        <f t="shared" ca="1" si="0"/>
        <v>1</v>
      </c>
      <c r="AC6" s="63">
        <f t="shared" ca="1" si="0"/>
        <v>1</v>
      </c>
      <c r="AD6" s="63">
        <f t="shared" ca="1" si="0"/>
        <v>1</v>
      </c>
      <c r="AE6" s="63">
        <f t="shared" ca="1" si="0"/>
        <v>1</v>
      </c>
      <c r="AF6" s="63">
        <f t="shared" ca="1" si="0"/>
        <v>1</v>
      </c>
      <c r="AG6" s="63">
        <f t="shared" ca="1" si="0"/>
        <v>1</v>
      </c>
      <c r="AH6" s="63">
        <f t="shared" ca="1" si="0"/>
        <v>1</v>
      </c>
      <c r="AI6" s="63">
        <f t="shared" ca="1" si="0"/>
        <v>1</v>
      </c>
      <c r="AJ6" s="63">
        <f t="shared" ca="1" si="0"/>
        <v>1</v>
      </c>
      <c r="AK6" s="63">
        <f t="shared" ca="1" si="0"/>
        <v>1</v>
      </c>
      <c r="AL6" s="63">
        <f t="shared" ca="1" si="0"/>
        <v>1</v>
      </c>
      <c r="AM6" s="63">
        <f t="shared" ca="1" si="0"/>
        <v>1</v>
      </c>
      <c r="AN6" s="63">
        <f t="shared" ca="1" si="0"/>
        <v>1</v>
      </c>
      <c r="AO6" s="63">
        <f t="shared" ca="1" si="0"/>
        <v>1</v>
      </c>
      <c r="AP6" s="63">
        <f t="shared" ca="1" si="0"/>
        <v>1</v>
      </c>
      <c r="AU6" s="387" t="e">
        <f ca="1">CEILING(AU4/AU5,1)</f>
        <v>#DIV/0!</v>
      </c>
      <c r="AV6" s="150" t="s">
        <v>1143</v>
      </c>
      <c r="BA6" s="387">
        <f ca="1">CEILING(AU4/BA4,1)</f>
        <v>1</v>
      </c>
      <c r="BB6" s="150" t="s">
        <v>1144</v>
      </c>
      <c r="CF6" s="388" t="s">
        <v>1145</v>
      </c>
      <c r="CG6" s="388" t="s">
        <v>1146</v>
      </c>
      <c r="CH6" s="388" t="s">
        <v>1147</v>
      </c>
      <c r="CI6" s="388" t="s">
        <v>1148</v>
      </c>
      <c r="CJ6" s="388" t="s">
        <v>1149</v>
      </c>
      <c r="CK6" s="388" t="s">
        <v>1150</v>
      </c>
      <c r="CL6" s="388" t="s">
        <v>1151</v>
      </c>
      <c r="CM6" s="388" t="s">
        <v>1152</v>
      </c>
      <c r="CN6" s="388" t="s">
        <v>1153</v>
      </c>
      <c r="CO6" s="388" t="s">
        <v>1154</v>
      </c>
    </row>
    <row r="7" spans="1:124">
      <c r="C7" s="63">
        <v>1</v>
      </c>
      <c r="D7" s="63">
        <f ca="1">IF(AND(D9&gt;0,D6=1),1,0)</f>
        <v>1</v>
      </c>
      <c r="E7" s="63">
        <f t="shared" ref="E7:AP7" ca="1" si="1">IF(AND(E9&gt;0,E6=1),1,0)</f>
        <v>1</v>
      </c>
      <c r="F7" s="63">
        <f t="shared" ca="1" si="1"/>
        <v>1</v>
      </c>
      <c r="G7" s="63">
        <f t="shared" ca="1" si="1"/>
        <v>1</v>
      </c>
      <c r="H7" s="63">
        <f t="shared" ca="1" si="1"/>
        <v>1</v>
      </c>
      <c r="I7" s="63">
        <f t="shared" ca="1" si="1"/>
        <v>1</v>
      </c>
      <c r="J7" s="63">
        <f t="shared" ca="1" si="1"/>
        <v>1</v>
      </c>
      <c r="K7" s="63">
        <f t="shared" ca="1" si="1"/>
        <v>1</v>
      </c>
      <c r="L7" s="63">
        <f t="shared" ca="1" si="1"/>
        <v>1</v>
      </c>
      <c r="M7" s="63">
        <f t="shared" ca="1" si="1"/>
        <v>1</v>
      </c>
      <c r="N7" s="63">
        <f t="shared" ca="1" si="1"/>
        <v>1</v>
      </c>
      <c r="O7" s="63">
        <f t="shared" ca="1" si="1"/>
        <v>1</v>
      </c>
      <c r="P7" s="63">
        <f t="shared" ca="1" si="1"/>
        <v>1</v>
      </c>
      <c r="Q7" s="63">
        <f t="shared" ca="1" si="1"/>
        <v>0</v>
      </c>
      <c r="R7" s="63">
        <f t="shared" ca="1" si="1"/>
        <v>0</v>
      </c>
      <c r="S7" s="63">
        <f t="shared" ca="1" si="1"/>
        <v>0</v>
      </c>
      <c r="T7" s="63">
        <f t="shared" ca="1" si="1"/>
        <v>0</v>
      </c>
      <c r="U7" s="63">
        <f t="shared" ca="1" si="1"/>
        <v>0</v>
      </c>
      <c r="V7" s="63">
        <f t="shared" ca="1" si="1"/>
        <v>0</v>
      </c>
      <c r="W7" s="63">
        <f t="shared" ca="1" si="1"/>
        <v>0</v>
      </c>
      <c r="X7" s="63">
        <f t="shared" ca="1" si="1"/>
        <v>0</v>
      </c>
      <c r="Y7" s="63">
        <f t="shared" ca="1" si="1"/>
        <v>0</v>
      </c>
      <c r="Z7" s="63">
        <f t="shared" ca="1" si="1"/>
        <v>0</v>
      </c>
      <c r="AA7" s="63">
        <f t="shared" ca="1" si="1"/>
        <v>0</v>
      </c>
      <c r="AB7" s="63">
        <f t="shared" ca="1" si="1"/>
        <v>0</v>
      </c>
      <c r="AC7" s="63">
        <f t="shared" ca="1" si="1"/>
        <v>0</v>
      </c>
      <c r="AD7" s="63">
        <f t="shared" ca="1" si="1"/>
        <v>0</v>
      </c>
      <c r="AE7" s="63">
        <f t="shared" ca="1" si="1"/>
        <v>0</v>
      </c>
      <c r="AF7" s="63">
        <f t="shared" ca="1" si="1"/>
        <v>0</v>
      </c>
      <c r="AG7" s="63">
        <f t="shared" ca="1" si="1"/>
        <v>0</v>
      </c>
      <c r="AH7" s="63">
        <f t="shared" ca="1" si="1"/>
        <v>0</v>
      </c>
      <c r="AI7" s="63">
        <f t="shared" ca="1" si="1"/>
        <v>0</v>
      </c>
      <c r="AJ7" s="63">
        <f t="shared" ca="1" si="1"/>
        <v>0</v>
      </c>
      <c r="AK7" s="63">
        <f t="shared" ca="1" si="1"/>
        <v>0</v>
      </c>
      <c r="AL7" s="63">
        <f t="shared" ca="1" si="1"/>
        <v>0</v>
      </c>
      <c r="AM7" s="63">
        <f t="shared" ca="1" si="1"/>
        <v>0</v>
      </c>
      <c r="AN7" s="63">
        <f t="shared" ca="1" si="1"/>
        <v>0</v>
      </c>
      <c r="AO7" s="63">
        <f t="shared" ca="1" si="1"/>
        <v>0</v>
      </c>
      <c r="AP7" s="63">
        <f t="shared" ca="1" si="1"/>
        <v>0</v>
      </c>
      <c r="AU7" s="389" t="e">
        <f ca="1">AU6-1</f>
        <v>#DIV/0!</v>
      </c>
      <c r="AV7" s="150" t="s">
        <v>1155</v>
      </c>
      <c r="BA7" s="389">
        <f ca="1">BA6-1</f>
        <v>0</v>
      </c>
      <c r="BB7" s="150" t="s">
        <v>1156</v>
      </c>
      <c r="CF7" s="63">
        <f ca="1">IF(H3=0,0,H4)</f>
        <v>0</v>
      </c>
      <c r="CG7" s="63">
        <f ca="1">IF(G3=0,0,G4)</f>
        <v>0</v>
      </c>
      <c r="CH7" s="63">
        <f ca="1">IF(G3=0,0,G4)</f>
        <v>0</v>
      </c>
      <c r="CI7" s="63">
        <f ca="1">IF(K3=0,0,K4)</f>
        <v>0</v>
      </c>
      <c r="CJ7" s="63">
        <f ca="1">IF(H3=0,0,H4)</f>
        <v>0</v>
      </c>
      <c r="CK7" s="63">
        <f ca="1">IF(H3=0,0,H4)</f>
        <v>0</v>
      </c>
      <c r="CL7" s="63">
        <f ca="1">IF(K3=0,0,K4)</f>
        <v>0</v>
      </c>
      <c r="CM7" s="63" t="s">
        <v>203</v>
      </c>
      <c r="CN7" s="63">
        <f ca="1">IF(K3=0,0,K4)</f>
        <v>0</v>
      </c>
      <c r="CO7" s="63">
        <f ca="1">IF(K3=0,0,K4)</f>
        <v>0</v>
      </c>
    </row>
    <row r="8" spans="1:124" ht="77">
      <c r="A8" s="459" t="str">
        <f ca="1">CS!A7</f>
        <v>24 teams; 6 sheets;    3 groups; early-late draw</v>
      </c>
      <c r="C8" s="399" t="s">
        <v>1157</v>
      </c>
      <c r="D8" s="399" t="str">
        <f ca="1">IF(D6=1,CONCATENATE("Day ",COUNTIF($B7:C7,1)+1),"")</f>
        <v>Day 2</v>
      </c>
      <c r="E8" s="399" t="str">
        <f ca="1">IF(E6=1,CONCATENATE("Day ",COUNTIF($B7:D7,1)+1),"")</f>
        <v>Day 3</v>
      </c>
      <c r="F8" s="399" t="str">
        <f ca="1">IF(F6=1,CONCATENATE("Day ",COUNTIF($B7:E7,1)+1),"")</f>
        <v>Day 4</v>
      </c>
      <c r="G8" s="399" t="str">
        <f ca="1">IF(G6=1,CONCATENATE("Day ",COUNTIF($B7:F7,1)+1),"")</f>
        <v>Day 5</v>
      </c>
      <c r="H8" s="399" t="str">
        <f ca="1">IF(H6=1,CONCATENATE("Day ",COUNTIF($B7:G7,1)+1),"")</f>
        <v>Day 6</v>
      </c>
      <c r="I8" s="399" t="str">
        <f ca="1">IF(I6=1,CONCATENATE("Day ",COUNTIF($B7:H7,1)+1),"")</f>
        <v>Day 7</v>
      </c>
      <c r="J8" s="399" t="str">
        <f ca="1">IF(J6=1,CONCATENATE("Day ",COUNTIF($B7:I7,1)+1),"")</f>
        <v>Day 8</v>
      </c>
      <c r="K8" s="399" t="str">
        <f ca="1">IF(K6=1,CONCATENATE("Day ",COUNTIF($B7:J7,1)+1),"")</f>
        <v>Day 9</v>
      </c>
      <c r="L8" s="399" t="str">
        <f ca="1">IF(L6=1,CONCATENATE("Day ",COUNTIF($B7:K7,1)+1),"")</f>
        <v>Day 10</v>
      </c>
      <c r="M8" s="399" t="str">
        <f ca="1">IF(M6=1,CONCATENATE("Day ",COUNTIF($B7:L7,1)+1),"")</f>
        <v>Day 11</v>
      </c>
      <c r="N8" s="399" t="str">
        <f ca="1">IF(N6=1,CONCATENATE("Day ",COUNTIF($B7:M7,1)+1),"")</f>
        <v>Day 12</v>
      </c>
      <c r="O8" s="399" t="str">
        <f ca="1">IF(O6=1,CONCATENATE("Day ",COUNTIF($B7:N7,1)+1),"")</f>
        <v>Day 13</v>
      </c>
      <c r="P8" s="399" t="str">
        <f ca="1">IF(P6=1,CONCATENATE("Day ",COUNTIF($B7:O7,1)+1),"")</f>
        <v>Day 14</v>
      </c>
      <c r="Q8" s="399" t="str">
        <f ca="1">IF(Q6=1,CONCATENATE("Day ",COUNTIF($B7:P7,1)+1),"")</f>
        <v>Day 15</v>
      </c>
      <c r="R8" s="399" t="str">
        <f ca="1">IF(R6=1,CONCATENATE("Day ",COUNTIF($B7:Q7,1)+1),"")</f>
        <v>Day 15</v>
      </c>
      <c r="S8" s="399" t="str">
        <f ca="1">IF(S6=1,CONCATENATE("Day ",COUNTIF($B7:R7,1)+1),"")</f>
        <v>Day 15</v>
      </c>
      <c r="T8" s="399" t="str">
        <f ca="1">IF(T6=1,CONCATENATE("Day ",COUNTIF($B7:S7,1)+1),"")</f>
        <v>Day 15</v>
      </c>
      <c r="U8" s="399" t="str">
        <f ca="1">IF(U6=1,CONCATENATE("Day ",COUNTIF($B7:T7,1)+1),"")</f>
        <v>Day 15</v>
      </c>
      <c r="V8" s="399" t="str">
        <f ca="1">IF(V6=1,CONCATENATE("Day ",COUNTIF($B7:U7,1)+1),"")</f>
        <v>Day 15</v>
      </c>
      <c r="W8" s="399" t="str">
        <f ca="1">IF(W6=1,CONCATENATE("Day ",COUNTIF($B7:V7,1)+1),"")</f>
        <v>Day 15</v>
      </c>
      <c r="X8" s="399" t="str">
        <f ca="1">IF(X6=1,CONCATENATE("Day ",COUNTIF($B7:W7,1)+1),"")</f>
        <v>Day 15</v>
      </c>
      <c r="Y8" s="399" t="str">
        <f ca="1">IF(Y6=1,CONCATENATE("Day ",COUNTIF($B7:X7,1)+1),"")</f>
        <v>Day 15</v>
      </c>
      <c r="Z8" s="399" t="str">
        <f ca="1">IF(Z6=1,CONCATENATE("Day ",COUNTIF($B7:Y7,1)+1),"")</f>
        <v>Day 15</v>
      </c>
      <c r="AA8" s="399" t="str">
        <f ca="1">IF(AA6=1,CONCATENATE("Day ",COUNTIF($B7:Z7,1)+1),"")</f>
        <v>Day 15</v>
      </c>
      <c r="AB8" s="399" t="str">
        <f ca="1">IF(AB6=1,CONCATENATE("Day ",COUNTIF($B7:AA7,1)+1),"")</f>
        <v>Day 15</v>
      </c>
      <c r="AC8" s="399" t="str">
        <f ca="1">IF(AC6=1,CONCATENATE("Day ",COUNTIF($B7:AB7,1)+1),"")</f>
        <v>Day 15</v>
      </c>
      <c r="AD8" s="399" t="str">
        <f ca="1">IF(AD6=1,CONCATENATE("Day ",COUNTIF($B7:AC7,1)+1),"")</f>
        <v>Day 15</v>
      </c>
      <c r="AE8" s="399" t="str">
        <f ca="1">IF(AE6=1,CONCATENATE("Day ",COUNTIF($B7:AD7,1)+1),"")</f>
        <v>Day 15</v>
      </c>
      <c r="AF8" s="399" t="str">
        <f ca="1">IF(AF6=1,CONCATENATE("Day ",COUNTIF($B7:AE7,1)+1),"")</f>
        <v>Day 15</v>
      </c>
      <c r="AG8" s="399" t="str">
        <f ca="1">IF(AG6=1,CONCATENATE("Day ",COUNTIF($B7:AF7,1)+1),"")</f>
        <v>Day 15</v>
      </c>
      <c r="AH8" s="399" t="str">
        <f ca="1">IF(AH6=1,CONCATENATE("Day ",COUNTIF($B7:AG7,1)+1),"")</f>
        <v>Day 15</v>
      </c>
      <c r="AI8" s="399" t="str">
        <f ca="1">IF(AI6=1,CONCATENATE("Day ",COUNTIF($B7:AH7,1)+1),"")</f>
        <v>Day 15</v>
      </c>
      <c r="AJ8" s="399" t="str">
        <f ca="1">IF(AJ6=1,CONCATENATE("Day ",COUNTIF($B7:AI7,1)+1),"")</f>
        <v>Day 15</v>
      </c>
      <c r="AK8" s="399" t="str">
        <f ca="1">IF(AK6=1,CONCATENATE("Day ",COUNTIF($B7:AJ7,1)+1),"")</f>
        <v>Day 15</v>
      </c>
      <c r="AL8" s="399" t="str">
        <f ca="1">IF(AL6=1,CONCATENATE("Day ",COUNTIF($B7:AK7,1)+1),"")</f>
        <v>Day 15</v>
      </c>
      <c r="AM8" s="399" t="str">
        <f ca="1">IF(AM6=1,CONCATENATE("Day ",COUNTIF($B7:AL7,1)+1),"")</f>
        <v>Day 15</v>
      </c>
      <c r="AN8" s="399" t="str">
        <f ca="1">IF(AN6=1,CONCATENATE("Day ",COUNTIF($B7:AM7,1)+1),"")</f>
        <v>Day 15</v>
      </c>
      <c r="AO8" s="399" t="str">
        <f ca="1">IF(AO6=1,CONCATENATE("Day ",COUNTIF($B7:AN7,1)+1),"")</f>
        <v>Day 15</v>
      </c>
      <c r="AP8" s="399" t="str">
        <f ca="1">IF(AP6=1,CONCATENATE("Day ",COUNTIF($B7:AO7,1)+1),"")</f>
        <v>Day 15</v>
      </c>
      <c r="AU8" s="390" t="str">
        <f ca="1">IF(BM9=0,"",IF(AU10="m","Morning",IF(AU10="n","Noon",IF(AU10="a","Afternoon",IF(AU10="e","Evening","Late")))))</f>
        <v/>
      </c>
      <c r="AV8" s="390" t="str">
        <f ca="1">IF(BN9=0,"",IF(AV10="m","Morning",IF(AV10="n","Noon",IF(AV10="a","Afternoon",IF(AV10="e","Evening","Late")))))</f>
        <v/>
      </c>
      <c r="AW8" s="390" t="str">
        <f ca="1">IF(BO9=0,"",IF(AW10="m","Morning",IF(AW10="n","Noon",IF(AW10="a","Afternoon",IF(AW10="e","Evening","Late")))))</f>
        <v/>
      </c>
      <c r="AX8" s="390" t="str">
        <f ca="1">IF(BP9=0,"",IF(AX10="m","Morning",IF(AX10="n","Noon",IF(AX10="a","Afternoon",IF(AX10="e","Evening","Late")))))</f>
        <v/>
      </c>
      <c r="AY8" s="213" t="str">
        <f ca="1">IF(BQ9=0,"",IF(AY10="m","Morning",IF(AY10="n","Noon",IF(AY10="a","Afternoon",IF(AY10="e","Evening","Late")))))</f>
        <v/>
      </c>
      <c r="BA8" s="399" t="str">
        <f t="shared" ref="BA8:BQ8" si="2">IF(BA10=0,"",CONCATENATE("Day ",BA10))</f>
        <v>Day 1</v>
      </c>
      <c r="BB8" s="399" t="str">
        <f t="shared" ca="1" si="2"/>
        <v>Day 2</v>
      </c>
      <c r="BC8" s="399" t="str">
        <f t="shared" ca="1" si="2"/>
        <v>Day 3</v>
      </c>
      <c r="BD8" s="399" t="str">
        <f t="shared" ca="1" si="2"/>
        <v>Day 4</v>
      </c>
      <c r="BE8" s="356" t="str">
        <f t="shared" ca="1" si="2"/>
        <v>Day 5</v>
      </c>
      <c r="BF8" s="356" t="str">
        <f t="shared" ca="1" si="2"/>
        <v>Day 6</v>
      </c>
      <c r="BG8" s="356" t="str">
        <f t="shared" ca="1" si="2"/>
        <v>Day 7</v>
      </c>
      <c r="BH8" s="356" t="str">
        <f t="shared" ca="1" si="2"/>
        <v>Day 8</v>
      </c>
      <c r="BI8" s="356" t="str">
        <f t="shared" ca="1" si="2"/>
        <v>Day 9</v>
      </c>
      <c r="BJ8" s="356" t="str">
        <f t="shared" ca="1" si="2"/>
        <v>Day 10</v>
      </c>
      <c r="BK8" s="356" t="str">
        <f t="shared" ca="1" si="2"/>
        <v>Day 11</v>
      </c>
      <c r="BL8" s="356" t="str">
        <f t="shared" ca="1" si="2"/>
        <v>Day 12</v>
      </c>
      <c r="BM8" s="356" t="str">
        <f t="shared" ca="1" si="2"/>
        <v>Day 13</v>
      </c>
      <c r="BN8" s="356" t="str">
        <f t="shared" ca="1" si="2"/>
        <v>Day 14</v>
      </c>
      <c r="BO8" s="356" t="str">
        <f t="shared" ca="1" si="2"/>
        <v/>
      </c>
      <c r="BP8" s="356" t="str">
        <f t="shared" ca="1" si="2"/>
        <v/>
      </c>
      <c r="BQ8" s="356" t="str">
        <f t="shared" ca="1" si="2"/>
        <v/>
      </c>
      <c r="BS8" s="390" t="s">
        <v>1158</v>
      </c>
      <c r="BT8" s="390" t="s">
        <v>1159</v>
      </c>
      <c r="BU8" s="213"/>
      <c r="BV8" s="213"/>
      <c r="BW8" s="213"/>
      <c r="BX8" s="213"/>
      <c r="BY8" s="213"/>
      <c r="BZ8" s="213"/>
      <c r="CA8" s="213"/>
      <c r="CB8" s="213"/>
      <c r="CC8" s="391" t="s">
        <v>1160</v>
      </c>
      <c r="CD8" s="391" t="s">
        <v>1159</v>
      </c>
    </row>
    <row r="9" spans="1:124">
      <c r="B9" s="10" t="s">
        <v>1161</v>
      </c>
      <c r="C9" s="5">
        <v>1</v>
      </c>
      <c r="D9" s="5">
        <f t="shared" ref="D9:AP9" ca="1" si="3">IF(OR(C9+1&gt;$M$5,C9=0),0,C9+1)</f>
        <v>2</v>
      </c>
      <c r="E9" s="5">
        <f t="shared" ca="1" si="3"/>
        <v>3</v>
      </c>
      <c r="F9" s="5">
        <f t="shared" ca="1" si="3"/>
        <v>4</v>
      </c>
      <c r="G9" s="5">
        <f t="shared" ca="1" si="3"/>
        <v>5</v>
      </c>
      <c r="H9" s="5">
        <f t="shared" ca="1" si="3"/>
        <v>6</v>
      </c>
      <c r="I9" s="5">
        <f t="shared" ca="1" si="3"/>
        <v>7</v>
      </c>
      <c r="J9" s="5">
        <f t="shared" ca="1" si="3"/>
        <v>8</v>
      </c>
      <c r="K9" s="5">
        <f t="shared" ca="1" si="3"/>
        <v>9</v>
      </c>
      <c r="L9" s="5">
        <f t="shared" ca="1" si="3"/>
        <v>10</v>
      </c>
      <c r="M9" s="5">
        <f t="shared" ca="1" si="3"/>
        <v>11</v>
      </c>
      <c r="N9" s="5">
        <f t="shared" ca="1" si="3"/>
        <v>12</v>
      </c>
      <c r="O9" s="5">
        <f t="shared" ca="1" si="3"/>
        <v>13</v>
      </c>
      <c r="P9" s="5">
        <f t="shared" ca="1" si="3"/>
        <v>14</v>
      </c>
      <c r="Q9" s="5">
        <f t="shared" ca="1" si="3"/>
        <v>0</v>
      </c>
      <c r="R9" s="5">
        <f t="shared" ca="1" si="3"/>
        <v>0</v>
      </c>
      <c r="S9" s="5">
        <f t="shared" ca="1" si="3"/>
        <v>0</v>
      </c>
      <c r="T9" s="5">
        <f t="shared" ca="1" si="3"/>
        <v>0</v>
      </c>
      <c r="U9" s="5">
        <f t="shared" ca="1" si="3"/>
        <v>0</v>
      </c>
      <c r="V9" s="5">
        <f t="shared" ca="1" si="3"/>
        <v>0</v>
      </c>
      <c r="W9" s="5">
        <f t="shared" ca="1" si="3"/>
        <v>0</v>
      </c>
      <c r="X9" s="5">
        <f t="shared" ca="1" si="3"/>
        <v>0</v>
      </c>
      <c r="Y9" s="5">
        <f t="shared" ca="1" si="3"/>
        <v>0</v>
      </c>
      <c r="Z9" s="5">
        <f t="shared" ca="1" si="3"/>
        <v>0</v>
      </c>
      <c r="AA9" s="5">
        <f t="shared" ca="1" si="3"/>
        <v>0</v>
      </c>
      <c r="AB9" s="5">
        <f t="shared" ca="1" si="3"/>
        <v>0</v>
      </c>
      <c r="AC9" s="5">
        <f t="shared" ca="1" si="3"/>
        <v>0</v>
      </c>
      <c r="AD9" s="5">
        <f t="shared" ca="1" si="3"/>
        <v>0</v>
      </c>
      <c r="AE9" s="5">
        <f t="shared" ca="1" si="3"/>
        <v>0</v>
      </c>
      <c r="AF9" s="5">
        <f t="shared" ca="1" si="3"/>
        <v>0</v>
      </c>
      <c r="AG9" s="5">
        <f t="shared" ca="1" si="3"/>
        <v>0</v>
      </c>
      <c r="AH9" s="5">
        <f t="shared" ca="1" si="3"/>
        <v>0</v>
      </c>
      <c r="AI9" s="5">
        <f t="shared" ca="1" si="3"/>
        <v>0</v>
      </c>
      <c r="AJ9" s="5">
        <f t="shared" ca="1" si="3"/>
        <v>0</v>
      </c>
      <c r="AK9" s="5">
        <f t="shared" ca="1" si="3"/>
        <v>0</v>
      </c>
      <c r="AL9" s="5">
        <f t="shared" ca="1" si="3"/>
        <v>0</v>
      </c>
      <c r="AM9" s="5">
        <f t="shared" ca="1" si="3"/>
        <v>0</v>
      </c>
      <c r="AN9" s="5">
        <f t="shared" ca="1" si="3"/>
        <v>0</v>
      </c>
      <c r="AO9" s="5">
        <f t="shared" ca="1" si="3"/>
        <v>0</v>
      </c>
      <c r="AP9" s="5">
        <f t="shared" ca="1" si="3"/>
        <v>0</v>
      </c>
      <c r="AU9" s="4" t="s">
        <v>1162</v>
      </c>
      <c r="BA9" s="4" t="s">
        <v>1163</v>
      </c>
      <c r="BM9" s="209">
        <f ca="1">G3</f>
        <v>0</v>
      </c>
      <c r="BN9" s="209">
        <f ca="1">H3</f>
        <v>0</v>
      </c>
      <c r="BO9" s="209">
        <f ca="1">I3</f>
        <v>0</v>
      </c>
      <c r="BP9" s="209">
        <f ca="1">J3</f>
        <v>0</v>
      </c>
      <c r="BQ9" s="209">
        <f ca="1">K3</f>
        <v>0</v>
      </c>
      <c r="BS9" s="86"/>
      <c r="CD9" s="392"/>
    </row>
    <row r="10" spans="1:124">
      <c r="C10" s="409" t="e">
        <f t="shared" ref="C10:AP10" ca="1" si="4">HLOOKUP(C6,$G$3:$K$5,2,FALSE)</f>
        <v>#N/A</v>
      </c>
      <c r="D10" s="409" t="e">
        <f t="shared" ca="1" si="4"/>
        <v>#N/A</v>
      </c>
      <c r="E10" s="409" t="e">
        <f t="shared" ca="1" si="4"/>
        <v>#N/A</v>
      </c>
      <c r="F10" s="409" t="e">
        <f t="shared" ca="1" si="4"/>
        <v>#N/A</v>
      </c>
      <c r="G10" s="409" t="e">
        <f t="shared" ca="1" si="4"/>
        <v>#N/A</v>
      </c>
      <c r="H10" s="409" t="e">
        <f t="shared" ca="1" si="4"/>
        <v>#N/A</v>
      </c>
      <c r="I10" s="409" t="e">
        <f t="shared" ca="1" si="4"/>
        <v>#N/A</v>
      </c>
      <c r="J10" s="409" t="e">
        <f t="shared" ca="1" si="4"/>
        <v>#N/A</v>
      </c>
      <c r="K10" s="409" t="e">
        <f t="shared" ca="1" si="4"/>
        <v>#N/A</v>
      </c>
      <c r="L10" s="409" t="e">
        <f t="shared" ca="1" si="4"/>
        <v>#N/A</v>
      </c>
      <c r="M10" s="409" t="e">
        <f t="shared" ca="1" si="4"/>
        <v>#N/A</v>
      </c>
      <c r="N10" s="409" t="e">
        <f t="shared" ca="1" si="4"/>
        <v>#N/A</v>
      </c>
      <c r="O10" s="409" t="e">
        <f t="shared" ca="1" si="4"/>
        <v>#N/A</v>
      </c>
      <c r="P10" s="409" t="e">
        <f t="shared" ca="1" si="4"/>
        <v>#N/A</v>
      </c>
      <c r="Q10" s="409" t="e">
        <f t="shared" ca="1" si="4"/>
        <v>#N/A</v>
      </c>
      <c r="R10" s="409" t="e">
        <f t="shared" ca="1" si="4"/>
        <v>#N/A</v>
      </c>
      <c r="S10" s="409" t="e">
        <f t="shared" ca="1" si="4"/>
        <v>#N/A</v>
      </c>
      <c r="T10" s="409" t="e">
        <f t="shared" ca="1" si="4"/>
        <v>#N/A</v>
      </c>
      <c r="U10" s="409" t="e">
        <f t="shared" ca="1" si="4"/>
        <v>#N/A</v>
      </c>
      <c r="V10" s="409" t="e">
        <f t="shared" ca="1" si="4"/>
        <v>#N/A</v>
      </c>
      <c r="W10" s="409" t="e">
        <f t="shared" ca="1" si="4"/>
        <v>#N/A</v>
      </c>
      <c r="X10" s="409" t="e">
        <f t="shared" ca="1" si="4"/>
        <v>#N/A</v>
      </c>
      <c r="Y10" s="409" t="e">
        <f t="shared" ca="1" si="4"/>
        <v>#N/A</v>
      </c>
      <c r="Z10" s="409" t="e">
        <f t="shared" ca="1" si="4"/>
        <v>#N/A</v>
      </c>
      <c r="AA10" s="409" t="e">
        <f t="shared" ca="1" si="4"/>
        <v>#N/A</v>
      </c>
      <c r="AB10" s="409" t="e">
        <f t="shared" ca="1" si="4"/>
        <v>#N/A</v>
      </c>
      <c r="AC10" s="409" t="e">
        <f t="shared" ca="1" si="4"/>
        <v>#N/A</v>
      </c>
      <c r="AD10" s="409" t="e">
        <f t="shared" ca="1" si="4"/>
        <v>#N/A</v>
      </c>
      <c r="AE10" s="409" t="e">
        <f t="shared" ca="1" si="4"/>
        <v>#N/A</v>
      </c>
      <c r="AF10" s="409" t="e">
        <f t="shared" ca="1" si="4"/>
        <v>#N/A</v>
      </c>
      <c r="AG10" s="409" t="e">
        <f t="shared" ca="1" si="4"/>
        <v>#N/A</v>
      </c>
      <c r="AH10" s="409" t="e">
        <f t="shared" ca="1" si="4"/>
        <v>#N/A</v>
      </c>
      <c r="AI10" s="409" t="e">
        <f t="shared" ca="1" si="4"/>
        <v>#N/A</v>
      </c>
      <c r="AJ10" s="409" t="e">
        <f t="shared" ca="1" si="4"/>
        <v>#N/A</v>
      </c>
      <c r="AK10" s="409" t="e">
        <f t="shared" ca="1" si="4"/>
        <v>#N/A</v>
      </c>
      <c r="AL10" s="409" t="e">
        <f t="shared" ca="1" si="4"/>
        <v>#N/A</v>
      </c>
      <c r="AM10" s="409" t="e">
        <f t="shared" ca="1" si="4"/>
        <v>#N/A</v>
      </c>
      <c r="AN10" s="409" t="e">
        <f t="shared" ca="1" si="4"/>
        <v>#N/A</v>
      </c>
      <c r="AO10" s="409" t="e">
        <f t="shared" ca="1" si="4"/>
        <v>#N/A</v>
      </c>
      <c r="AP10" s="413" t="e">
        <f t="shared" ca="1" si="4"/>
        <v>#N/A</v>
      </c>
      <c r="AU10" s="420" t="s">
        <v>1132</v>
      </c>
      <c r="AV10" s="410" t="s">
        <v>1133</v>
      </c>
      <c r="AW10" s="411" t="s">
        <v>203</v>
      </c>
      <c r="AX10" s="412" t="s">
        <v>46</v>
      </c>
      <c r="AY10" s="421" t="s">
        <v>1005</v>
      </c>
      <c r="BA10" s="422">
        <f>AZ9+1</f>
        <v>1</v>
      </c>
      <c r="BB10" s="409">
        <f t="shared" ref="BB10:BQ10" ca="1" si="5">IF(OR(BA10+1&gt;$BA$4,BA10=0),0,BA10+1)</f>
        <v>2</v>
      </c>
      <c r="BC10" s="409">
        <f t="shared" ca="1" si="5"/>
        <v>3</v>
      </c>
      <c r="BD10" s="409">
        <f t="shared" ca="1" si="5"/>
        <v>4</v>
      </c>
      <c r="BE10" s="409">
        <f t="shared" ca="1" si="5"/>
        <v>5</v>
      </c>
      <c r="BF10" s="409">
        <f t="shared" ca="1" si="5"/>
        <v>6</v>
      </c>
      <c r="BG10" s="409">
        <f t="shared" ca="1" si="5"/>
        <v>7</v>
      </c>
      <c r="BH10" s="409">
        <f t="shared" ca="1" si="5"/>
        <v>8</v>
      </c>
      <c r="BI10" s="409">
        <f t="shared" ca="1" si="5"/>
        <v>9</v>
      </c>
      <c r="BJ10" s="409">
        <f t="shared" ca="1" si="5"/>
        <v>10</v>
      </c>
      <c r="BK10" s="409">
        <f t="shared" ca="1" si="5"/>
        <v>11</v>
      </c>
      <c r="BL10" s="409">
        <f t="shared" ca="1" si="5"/>
        <v>12</v>
      </c>
      <c r="BM10" s="409">
        <f t="shared" ca="1" si="5"/>
        <v>13</v>
      </c>
      <c r="BN10" s="409">
        <f t="shared" ca="1" si="5"/>
        <v>14</v>
      </c>
      <c r="BO10" s="409">
        <f t="shared" ca="1" si="5"/>
        <v>0</v>
      </c>
      <c r="BP10" s="409">
        <f t="shared" ca="1" si="5"/>
        <v>0</v>
      </c>
      <c r="BQ10" s="413">
        <f t="shared" ca="1" si="5"/>
        <v>0</v>
      </c>
      <c r="BS10" s="422">
        <f ca="1">IF(CF7=0,0,CF6)</f>
        <v>0</v>
      </c>
      <c r="BT10" s="409">
        <f t="shared" ref="BT10:CB10" ca="1" si="6">IF(CG7=0,0,CG6)</f>
        <v>0</v>
      </c>
      <c r="BU10" s="409">
        <f t="shared" ca="1" si="6"/>
        <v>0</v>
      </c>
      <c r="BV10" s="409">
        <f t="shared" ca="1" si="6"/>
        <v>0</v>
      </c>
      <c r="BW10" s="409">
        <f t="shared" ca="1" si="6"/>
        <v>0</v>
      </c>
      <c r="BX10" s="409">
        <f t="shared" ca="1" si="6"/>
        <v>0</v>
      </c>
      <c r="BY10" s="409">
        <f t="shared" ca="1" si="6"/>
        <v>0</v>
      </c>
      <c r="BZ10" s="409" t="str">
        <f t="shared" si="6"/>
        <v>ae</v>
      </c>
      <c r="CA10" s="409">
        <f t="shared" ca="1" si="6"/>
        <v>0</v>
      </c>
      <c r="CB10" s="409">
        <f t="shared" ca="1" si="6"/>
        <v>0</v>
      </c>
      <c r="CC10" s="25"/>
      <c r="CD10" s="423" t="e">
        <f ca="1">HLOOKUP(M3,CF3:CJ4,2,FALSE)</f>
        <v>#N/A</v>
      </c>
      <c r="CF10" s="384" t="e">
        <f t="shared" ref="CF10:DS10" ca="1" si="7">C10</f>
        <v>#N/A</v>
      </c>
      <c r="CG10" s="385" t="e">
        <f t="shared" ca="1" si="7"/>
        <v>#N/A</v>
      </c>
      <c r="CH10" s="385" t="e">
        <f t="shared" ca="1" si="7"/>
        <v>#N/A</v>
      </c>
      <c r="CI10" s="385" t="e">
        <f t="shared" ca="1" si="7"/>
        <v>#N/A</v>
      </c>
      <c r="CJ10" s="385" t="e">
        <f t="shared" ca="1" si="7"/>
        <v>#N/A</v>
      </c>
      <c r="CK10" s="385" t="e">
        <f t="shared" ca="1" si="7"/>
        <v>#N/A</v>
      </c>
      <c r="CL10" s="385" t="e">
        <f t="shared" ca="1" si="7"/>
        <v>#N/A</v>
      </c>
      <c r="CM10" s="385" t="e">
        <f t="shared" ca="1" si="7"/>
        <v>#N/A</v>
      </c>
      <c r="CN10" s="385" t="e">
        <f t="shared" ca="1" si="7"/>
        <v>#N/A</v>
      </c>
      <c r="CO10" s="385" t="e">
        <f t="shared" ca="1" si="7"/>
        <v>#N/A</v>
      </c>
      <c r="CP10" s="385" t="e">
        <f t="shared" ca="1" si="7"/>
        <v>#N/A</v>
      </c>
      <c r="CQ10" s="385" t="e">
        <f t="shared" ca="1" si="7"/>
        <v>#N/A</v>
      </c>
      <c r="CR10" s="385" t="e">
        <f t="shared" ca="1" si="7"/>
        <v>#N/A</v>
      </c>
      <c r="CS10" s="385" t="e">
        <f t="shared" ca="1" si="7"/>
        <v>#N/A</v>
      </c>
      <c r="CT10" s="385" t="e">
        <f t="shared" ca="1" si="7"/>
        <v>#N/A</v>
      </c>
      <c r="CU10" s="385" t="e">
        <f t="shared" ca="1" si="7"/>
        <v>#N/A</v>
      </c>
      <c r="CV10" s="385" t="e">
        <f t="shared" ca="1" si="7"/>
        <v>#N/A</v>
      </c>
      <c r="CW10" s="385" t="e">
        <f t="shared" ca="1" si="7"/>
        <v>#N/A</v>
      </c>
      <c r="CX10" s="385" t="e">
        <f t="shared" ca="1" si="7"/>
        <v>#N/A</v>
      </c>
      <c r="CY10" s="385" t="e">
        <f t="shared" ca="1" si="7"/>
        <v>#N/A</v>
      </c>
      <c r="CZ10" s="385" t="e">
        <f t="shared" ca="1" si="7"/>
        <v>#N/A</v>
      </c>
      <c r="DA10" s="385" t="e">
        <f t="shared" ca="1" si="7"/>
        <v>#N/A</v>
      </c>
      <c r="DB10" s="385" t="e">
        <f t="shared" ca="1" si="7"/>
        <v>#N/A</v>
      </c>
      <c r="DC10" s="385" t="e">
        <f t="shared" ca="1" si="7"/>
        <v>#N/A</v>
      </c>
      <c r="DD10" s="385" t="e">
        <f t="shared" ca="1" si="7"/>
        <v>#N/A</v>
      </c>
      <c r="DE10" s="385" t="e">
        <f t="shared" ca="1" si="7"/>
        <v>#N/A</v>
      </c>
      <c r="DF10" s="385" t="e">
        <f t="shared" ca="1" si="7"/>
        <v>#N/A</v>
      </c>
      <c r="DG10" s="385" t="e">
        <f t="shared" ca="1" si="7"/>
        <v>#N/A</v>
      </c>
      <c r="DH10" s="385" t="e">
        <f t="shared" ca="1" si="7"/>
        <v>#N/A</v>
      </c>
      <c r="DI10" s="385" t="e">
        <f t="shared" ca="1" si="7"/>
        <v>#N/A</v>
      </c>
      <c r="DJ10" s="385" t="e">
        <f t="shared" ca="1" si="7"/>
        <v>#N/A</v>
      </c>
      <c r="DK10" s="385" t="e">
        <f t="shared" ca="1" si="7"/>
        <v>#N/A</v>
      </c>
      <c r="DL10" s="385" t="e">
        <f t="shared" ca="1" si="7"/>
        <v>#N/A</v>
      </c>
      <c r="DM10" s="385" t="e">
        <f t="shared" ca="1" si="7"/>
        <v>#N/A</v>
      </c>
      <c r="DN10" s="385" t="e">
        <f t="shared" ca="1" si="7"/>
        <v>#N/A</v>
      </c>
      <c r="DO10" s="385" t="e">
        <f t="shared" ca="1" si="7"/>
        <v>#N/A</v>
      </c>
      <c r="DP10" s="385" t="e">
        <f t="shared" ca="1" si="7"/>
        <v>#N/A</v>
      </c>
      <c r="DQ10" s="385" t="e">
        <f t="shared" ca="1" si="7"/>
        <v>#N/A</v>
      </c>
      <c r="DR10" s="385" t="e">
        <f t="shared" ca="1" si="7"/>
        <v>#N/A</v>
      </c>
      <c r="DS10" s="386" t="e">
        <f t="shared" ca="1" si="7"/>
        <v>#N/A</v>
      </c>
    </row>
    <row r="11" spans="1:124">
      <c r="B11" s="393" t="str">
        <f ca="1">TmOrderLU!D11</f>
        <v>Tm01</v>
      </c>
      <c r="C11" s="63" t="e">
        <f ca="1">IF(ISNUMBER(CS!C11),C$10,"")</f>
        <v>#N/A</v>
      </c>
      <c r="D11" s="63" t="str">
        <f ca="1">IF(ISNUMBER(CS!D11),D$10,"")</f>
        <v/>
      </c>
      <c r="E11" s="63" t="str">
        <f ca="1">IF(ISNUMBER(CS!E11),E$10,"")</f>
        <v/>
      </c>
      <c r="F11" s="63" t="e">
        <f ca="1">IF(ISNUMBER(CS!F11),F$10,"")</f>
        <v>#N/A</v>
      </c>
      <c r="G11" s="63" t="e">
        <f ca="1">IF(ISNUMBER(CS!G11),G$10,"")</f>
        <v>#N/A</v>
      </c>
      <c r="H11" s="63" t="str">
        <f ca="1">IF(ISNUMBER(CS!H11),H$10,"")</f>
        <v/>
      </c>
      <c r="I11" s="63" t="str">
        <f ca="1">IF(ISNUMBER(CS!I11),I$10,"")</f>
        <v/>
      </c>
      <c r="J11" s="63" t="e">
        <f ca="1">IF(ISNUMBER(CS!J11),J$10,"")</f>
        <v>#N/A</v>
      </c>
      <c r="K11" s="63" t="e">
        <f ca="1">IF(ISNUMBER(CS!K11),K$10,"")</f>
        <v>#N/A</v>
      </c>
      <c r="L11" s="63" t="str">
        <f ca="1">IF(ISNUMBER(CS!L11),L$10,"")</f>
        <v/>
      </c>
      <c r="M11" s="63" t="str">
        <f ca="1">IF(ISNUMBER(CS!M11),M$10,"")</f>
        <v/>
      </c>
      <c r="N11" s="63" t="e">
        <f ca="1">IF(ISNUMBER(CS!N11),N$10,"")</f>
        <v>#N/A</v>
      </c>
      <c r="O11" s="63" t="e">
        <f ca="1">IF(ISNUMBER(CS!O11),O$10,"")</f>
        <v>#N/A</v>
      </c>
      <c r="P11" s="63" t="str">
        <f ca="1">IF(ISNUMBER(CS!P11),P$10,"")</f>
        <v/>
      </c>
      <c r="Q11" s="63" t="str">
        <f ca="1">IF(ISNUMBER(CS!Q11),Q$10,"")</f>
        <v/>
      </c>
      <c r="R11" s="63" t="str">
        <f ca="1">IF(ISNUMBER(CS!R11),R$10,"")</f>
        <v/>
      </c>
      <c r="S11" s="63" t="str">
        <f ca="1">IF(ISNUMBER(CS!S11),S$10,"")</f>
        <v/>
      </c>
      <c r="T11" s="63" t="str">
        <f ca="1">IF(ISNUMBER(CS!T11),T$10,"")</f>
        <v/>
      </c>
      <c r="U11" s="63" t="str">
        <f ca="1">IF(ISNUMBER(CS!U11),U$10,"")</f>
        <v/>
      </c>
      <c r="V11" s="63" t="str">
        <f ca="1">IF(ISNUMBER(CS!V11),V$10,"")</f>
        <v/>
      </c>
      <c r="W11" s="63" t="str">
        <f ca="1">IF(ISNUMBER(CS!W11),W$10,"")</f>
        <v/>
      </c>
      <c r="X11" s="63" t="str">
        <f ca="1">IF(ISNUMBER(CS!X11),X$10,"")</f>
        <v/>
      </c>
      <c r="Y11" s="63" t="str">
        <f ca="1">IF(ISNUMBER(CS!Y11),Y$10,"")</f>
        <v/>
      </c>
      <c r="Z11" s="63" t="str">
        <f ca="1">IF(ISNUMBER(CS!Z11),Z$10,"")</f>
        <v/>
      </c>
      <c r="AA11" s="63" t="str">
        <f ca="1">IF(ISNUMBER(CS!AA11),AA$10,"")</f>
        <v/>
      </c>
      <c r="AB11" s="63" t="str">
        <f ca="1">IF(ISNUMBER(CS!AB11),AB$10,"")</f>
        <v/>
      </c>
      <c r="AC11" s="63" t="str">
        <f ca="1">IF(ISNUMBER(CS!AC11),AC$10,"")</f>
        <v/>
      </c>
      <c r="AD11" s="63" t="str">
        <f ca="1">IF(ISNUMBER(CS!AD11),AD$10,"")</f>
        <v/>
      </c>
      <c r="AE11" s="63" t="str">
        <f ca="1">IF(ISNUMBER(CS!AE11),AE$10,"")</f>
        <v/>
      </c>
      <c r="AF11" s="63" t="str">
        <f ca="1">IF(ISNUMBER(CS!AF11),AF$10,"")</f>
        <v/>
      </c>
      <c r="AG11" s="63" t="str">
        <f ca="1">IF(ISNUMBER(CS!AG11),AG$10,"")</f>
        <v/>
      </c>
      <c r="AH11" s="63" t="str">
        <f ca="1">IF(ISNUMBER(CS!AH11),AH$10,"")</f>
        <v/>
      </c>
      <c r="AI11" s="63" t="str">
        <f ca="1">IF(ISNUMBER(CS!AI11),AI$10,"")</f>
        <v/>
      </c>
      <c r="AJ11" s="63" t="str">
        <f ca="1">IF(ISNUMBER(CS!AJ11),AJ$10,"")</f>
        <v/>
      </c>
      <c r="AK11" s="63" t="str">
        <f ca="1">IF(ISNUMBER(CS!AK11),AK$10,"")</f>
        <v/>
      </c>
      <c r="AL11" s="63" t="str">
        <f ca="1">IF(ISNUMBER(CS!AL11),AL$10,"")</f>
        <v/>
      </c>
      <c r="AM11" s="63" t="str">
        <f ca="1">IF(ISNUMBER(CS!AM11),AM$10,"")</f>
        <v/>
      </c>
      <c r="AN11" s="63" t="str">
        <f ca="1">IF(ISNUMBER(CS!AN11),AN$10,"")</f>
        <v/>
      </c>
      <c r="AO11" s="63" t="str">
        <f ca="1">IF(ISNUMBER(CS!AO11),AO$10,"")</f>
        <v/>
      </c>
      <c r="AP11" s="416" t="str">
        <f ca="1">IF(ISNUMBER(CS!AP11),AP$10,"")</f>
        <v/>
      </c>
      <c r="AS11" s="4" t="str">
        <f ca="1">B11</f>
        <v>Tm01</v>
      </c>
      <c r="AU11" s="415" t="str">
        <f t="shared" ref="AU11:AY56" ca="1" si="8">IF(OR(BM$9=0,$B11=""),"",COUNTIF($C11:$AP11,AU$10))</f>
        <v/>
      </c>
      <c r="AV11" s="394" t="str">
        <f t="shared" ca="1" si="8"/>
        <v/>
      </c>
      <c r="AW11" s="394" t="str">
        <f t="shared" ca="1" si="8"/>
        <v/>
      </c>
      <c r="AX11" s="394" t="str">
        <f t="shared" ca="1" si="8"/>
        <v/>
      </c>
      <c r="AY11" s="416" t="str">
        <f t="shared" ca="1" si="8"/>
        <v/>
      </c>
      <c r="BA11" s="415" t="e">
        <f ca="1">IF(OR(BA$10=0,$B11=""),"",COUNTA(INDIRECT(CONCATENATE(BA$59,ROW(),":",BA$60,ROW())))-COUNTBLANK(INDIRECT(CONCATENATE(BA$59,ROW(),":",BA$60,ROW()))))</f>
        <v>#N/A</v>
      </c>
      <c r="BB11" s="394" t="e">
        <f t="shared" ref="BB11:BQ26" ca="1" si="9">IF(OR(BB$10=0,$B11=""),"",COUNTA(INDIRECT(CONCATENATE(BB$59,ROW(),":",BB$60,ROW())))-COUNTBLANK(INDIRECT(CONCATENATE(BB$59,ROW(),":",BB$60,ROW()))))</f>
        <v>#N/A</v>
      </c>
      <c r="BC11" s="394" t="e">
        <f t="shared" ca="1" si="9"/>
        <v>#N/A</v>
      </c>
      <c r="BD11" s="394" t="e">
        <f t="shared" ca="1" si="9"/>
        <v>#N/A</v>
      </c>
      <c r="BE11" s="394" t="e">
        <f t="shared" ca="1" si="9"/>
        <v>#N/A</v>
      </c>
      <c r="BF11" s="394" t="e">
        <f t="shared" ca="1" si="9"/>
        <v>#N/A</v>
      </c>
      <c r="BG11" s="394" t="e">
        <f t="shared" ca="1" si="9"/>
        <v>#N/A</v>
      </c>
      <c r="BH11" s="394" t="e">
        <f t="shared" ca="1" si="9"/>
        <v>#N/A</v>
      </c>
      <c r="BI11" s="394" t="e">
        <f t="shared" ca="1" si="9"/>
        <v>#N/A</v>
      </c>
      <c r="BJ11" s="394" t="e">
        <f t="shared" ca="1" si="9"/>
        <v>#N/A</v>
      </c>
      <c r="BK11" s="394" t="e">
        <f t="shared" ca="1" si="9"/>
        <v>#N/A</v>
      </c>
      <c r="BL11" s="394" t="e">
        <f t="shared" ca="1" si="9"/>
        <v>#N/A</v>
      </c>
      <c r="BM11" s="394" t="e">
        <f t="shared" ca="1" si="9"/>
        <v>#N/A</v>
      </c>
      <c r="BN11" s="394" t="e">
        <f t="shared" ca="1" si="9"/>
        <v>#N/A</v>
      </c>
      <c r="BO11" s="394" t="str">
        <f t="shared" ca="1" si="9"/>
        <v/>
      </c>
      <c r="BP11" s="394" t="str">
        <f t="shared" ca="1" si="9"/>
        <v/>
      </c>
      <c r="BQ11" s="416" t="str">
        <f t="shared" ca="1" si="9"/>
        <v/>
      </c>
      <c r="BS11" s="415" t="str">
        <f ca="1">IF(OR(BS$10=0,$B11=""),"",COUNTIF($CF11:$DS11,BS$10))</f>
        <v/>
      </c>
      <c r="BT11" s="394" t="str">
        <f t="shared" ref="BT11:CD26" ca="1" si="10">IF(OR(BT$10=0,$B11=""),"",COUNTIF($CF11:$DS11,BT$10))</f>
        <v/>
      </c>
      <c r="BU11" s="394" t="str">
        <f t="shared" ca="1" si="10"/>
        <v/>
      </c>
      <c r="BV11" s="394" t="str">
        <f t="shared" ca="1" si="10"/>
        <v/>
      </c>
      <c r="BW11" s="394" t="str">
        <f t="shared" ca="1" si="10"/>
        <v/>
      </c>
      <c r="BX11" s="394" t="str">
        <f t="shared" ca="1" si="10"/>
        <v/>
      </c>
      <c r="BY11" s="394" t="str">
        <f t="shared" ca="1" si="10"/>
        <v/>
      </c>
      <c r="BZ11" s="394">
        <f t="shared" ca="1" si="10"/>
        <v>0</v>
      </c>
      <c r="CA11" s="394" t="str">
        <f t="shared" ca="1" si="10"/>
        <v/>
      </c>
      <c r="CB11" s="395" t="str">
        <f t="shared" ca="1" si="10"/>
        <v/>
      </c>
      <c r="CC11" s="25"/>
      <c r="CD11" s="418" t="e">
        <f t="shared" ca="1" si="10"/>
        <v>#N/A</v>
      </c>
      <c r="CF11" s="50" t="str">
        <f ca="1">IF(AND(ISNUMBER(CS!C11),ISNUMBER(CS!D11)),CONCATENATE(CF$10,CG$10),"")</f>
        <v/>
      </c>
      <c r="CG11" s="50" t="str">
        <f ca="1">IF(AND(ISNUMBER(CS!D11),ISNUMBER(CS!E11)),CONCATENATE(CG$10,CH$10),"")</f>
        <v/>
      </c>
      <c r="CH11" s="50" t="str">
        <f ca="1">IF(AND(ISNUMBER(CS!E11),ISNUMBER(CS!F11)),CONCATENATE(CH$10,CI$10),"")</f>
        <v/>
      </c>
      <c r="CI11" s="50" t="e">
        <f ca="1">IF(AND(ISNUMBER(CS!F11),ISNUMBER(CS!G11)),CONCATENATE(CI$10,CJ$10),"")</f>
        <v>#N/A</v>
      </c>
      <c r="CJ11" s="50" t="str">
        <f ca="1">IF(AND(ISNUMBER(CS!G11),ISNUMBER(CS!H11)),CONCATENATE(CJ$10,CK$10),"")</f>
        <v/>
      </c>
      <c r="CK11" s="50" t="str">
        <f ca="1">IF(AND(ISNUMBER(CS!H11),ISNUMBER(CS!I11)),CONCATENATE(CK$10,CL$10),"")</f>
        <v/>
      </c>
      <c r="CL11" s="50" t="str">
        <f ca="1">IF(AND(ISNUMBER(CS!I11),ISNUMBER(CS!J11)),CONCATENATE(CL$10,CM$10),"")</f>
        <v/>
      </c>
      <c r="CM11" s="50" t="e">
        <f ca="1">IF(AND(ISNUMBER(CS!J11),ISNUMBER(CS!K11)),CONCATENATE(CM$10,CN$10),"")</f>
        <v>#N/A</v>
      </c>
      <c r="CN11" s="50" t="str">
        <f ca="1">IF(AND(ISNUMBER(CS!K11),ISNUMBER(CS!L11)),CONCATENATE(CN$10,CO$10),"")</f>
        <v/>
      </c>
      <c r="CO11" s="50" t="str">
        <f ca="1">IF(AND(ISNUMBER(CS!L11),ISNUMBER(CS!M11)),CONCATENATE(CO$10,CP$10),"")</f>
        <v/>
      </c>
      <c r="CP11" s="50" t="str">
        <f ca="1">IF(AND(ISNUMBER(CS!M11),ISNUMBER(CS!N11)),CONCATENATE(CP$10,CQ$10),"")</f>
        <v/>
      </c>
      <c r="CQ11" s="50" t="e">
        <f ca="1">IF(AND(ISNUMBER(CS!N11),ISNUMBER(CS!O11)),CONCATENATE(CQ$10,CR$10),"")</f>
        <v>#N/A</v>
      </c>
      <c r="CR11" s="50" t="str">
        <f ca="1">IF(AND(ISNUMBER(CS!O11),ISNUMBER(CS!P11)),CONCATENATE(CR$10,CS$10),"")</f>
        <v/>
      </c>
      <c r="CS11" s="50" t="str">
        <f ca="1">IF(AND(ISNUMBER(CS!P11),ISNUMBER(CS!Q11)),CONCATENATE(CS$10,CT$10),"")</f>
        <v/>
      </c>
      <c r="CT11" s="50" t="str">
        <f ca="1">IF(AND(ISNUMBER(CS!Q11),ISNUMBER(CS!R11)),CONCATENATE(CT$10,CU$10),"")</f>
        <v/>
      </c>
      <c r="CU11" s="50" t="str">
        <f ca="1">IF(AND(ISNUMBER(CS!R11),ISNUMBER(CS!S11)),CONCATENATE(CU$10,CV$10),"")</f>
        <v/>
      </c>
      <c r="CV11" s="50" t="str">
        <f ca="1">IF(AND(ISNUMBER(CS!S11),ISNUMBER(CS!T11)),CONCATENATE(CV$10,CW$10),"")</f>
        <v/>
      </c>
      <c r="CW11" s="50" t="str">
        <f ca="1">IF(AND(ISNUMBER(CS!T11),ISNUMBER(CS!U11)),CONCATENATE(CW$10,CX$10),"")</f>
        <v/>
      </c>
      <c r="CX11" s="50" t="str">
        <f ca="1">IF(AND(ISNUMBER(CS!U11),ISNUMBER(CS!V11)),CONCATENATE(CX$10,CY$10),"")</f>
        <v/>
      </c>
      <c r="CY11" s="50" t="str">
        <f ca="1">IF(AND(ISNUMBER(CS!V11),ISNUMBER(CS!W11)),CONCATENATE(CY$10,CZ$10),"")</f>
        <v/>
      </c>
      <c r="CZ11" s="50" t="str">
        <f ca="1">IF(AND(ISNUMBER(CS!W11),ISNUMBER(CS!X11)),CONCATENATE(CZ$10,DA$10),"")</f>
        <v/>
      </c>
      <c r="DA11" s="50" t="str">
        <f ca="1">IF(AND(ISNUMBER(CS!X11),ISNUMBER(CS!Y11)),CONCATENATE(DA$10,DB$10),"")</f>
        <v/>
      </c>
      <c r="DB11" s="50" t="str">
        <f ca="1">IF(AND(ISNUMBER(CS!Y11),ISNUMBER(CS!Z11)),CONCATENATE(DB$10,DC$10),"")</f>
        <v/>
      </c>
      <c r="DC11" s="50" t="str">
        <f ca="1">IF(AND(ISNUMBER(CS!Z11),ISNUMBER(CS!AA11)),CONCATENATE(DC$10,DD$10),"")</f>
        <v/>
      </c>
      <c r="DD11" s="50" t="str">
        <f ca="1">IF(AND(ISNUMBER(CS!AA11),ISNUMBER(CS!AB11)),CONCATENATE(DD$10,DE$10),"")</f>
        <v/>
      </c>
      <c r="DE11" s="50" t="str">
        <f ca="1">IF(AND(ISNUMBER(CS!AB11),ISNUMBER(CS!AC11)),CONCATENATE(DE$10,DF$10),"")</f>
        <v/>
      </c>
      <c r="DF11" s="50" t="str">
        <f ca="1">IF(AND(ISNUMBER(CS!AC11),ISNUMBER(CS!AD11)),CONCATENATE(DF$10,DG$10),"")</f>
        <v/>
      </c>
      <c r="DG11" s="50" t="str">
        <f ca="1">IF(AND(ISNUMBER(CS!AD11),ISNUMBER(CS!AE11)),CONCATENATE(DG$10,DH$10),"")</f>
        <v/>
      </c>
      <c r="DH11" s="50" t="str">
        <f ca="1">IF(AND(ISNUMBER(CS!AE11),ISNUMBER(CS!AF11)),CONCATENATE(DH$10,DI$10),"")</f>
        <v/>
      </c>
      <c r="DI11" s="50" t="str">
        <f ca="1">IF(AND(ISNUMBER(CS!AF11),ISNUMBER(CS!AG11)),CONCATENATE(DI$10,DJ$10),"")</f>
        <v/>
      </c>
      <c r="DJ11" s="50" t="str">
        <f ca="1">IF(AND(ISNUMBER(CS!AG11),ISNUMBER(CS!AH11)),CONCATENATE(DJ$10,DK$10),"")</f>
        <v/>
      </c>
      <c r="DK11" s="50" t="str">
        <f ca="1">IF(AND(ISNUMBER(CS!AH11),ISNUMBER(CS!AI11)),CONCATENATE(DK$10,DL$10),"")</f>
        <v/>
      </c>
      <c r="DL11" s="50" t="str">
        <f ca="1">IF(AND(ISNUMBER(CS!AI11),ISNUMBER(CS!AJ11)),CONCATENATE(DL$10,DM$10),"")</f>
        <v/>
      </c>
      <c r="DM11" s="50" t="str">
        <f ca="1">IF(AND(ISNUMBER(CS!AJ11),ISNUMBER(CS!AK11)),CONCATENATE(DM$10,DN$10),"")</f>
        <v/>
      </c>
      <c r="DN11" s="50" t="str">
        <f ca="1">IF(AND(ISNUMBER(CS!AK11),ISNUMBER(CS!AL11)),CONCATENATE(DN$10,DO$10),"")</f>
        <v/>
      </c>
      <c r="DO11" s="50" t="str">
        <f ca="1">IF(AND(ISNUMBER(CS!AL11),ISNUMBER(CS!AM11)),CONCATENATE(DO$10,DP$10),"")</f>
        <v/>
      </c>
      <c r="DP11" s="50" t="str">
        <f ca="1">IF(AND(ISNUMBER(CS!AM11),ISNUMBER(CS!AN11)),CONCATENATE(DP$10,DQ$10),"")</f>
        <v/>
      </c>
      <c r="DQ11" s="50" t="str">
        <f ca="1">IF(AND(ISNUMBER(CS!AN11),ISNUMBER(CS!AO11)),CONCATENATE(DQ$10,DR$10),"")</f>
        <v/>
      </c>
      <c r="DR11" s="50" t="str">
        <f ca="1">IF(AND(ISNUMBER(CS!AO11),ISNUMBER(CS!AP11)),CONCATENATE(DR$10,DS$10),"")</f>
        <v/>
      </c>
      <c r="DS11" s="50" t="str">
        <f ca="1">IF(AND(ISNUMBER(CS!AP11),ISNUMBER(CS!AQ11)),CONCATENATE(DS$10,DT$10),"")</f>
        <v/>
      </c>
      <c r="DT11" s="63">
        <f>DrawFinder!Y11</f>
        <v>1</v>
      </c>
    </row>
    <row r="12" spans="1:124">
      <c r="B12" s="393" t="str">
        <f ca="1">TmOrderLU!D12</f>
        <v>Tm02</v>
      </c>
      <c r="C12" s="63" t="e">
        <f ca="1">IF(ISNUMBER(CS!C12),C$10,"")</f>
        <v>#N/A</v>
      </c>
      <c r="D12" s="63" t="str">
        <f ca="1">IF(ISNUMBER(CS!D12),D$10,"")</f>
        <v/>
      </c>
      <c r="E12" s="63" t="str">
        <f ca="1">IF(ISNUMBER(CS!E12),E$10,"")</f>
        <v/>
      </c>
      <c r="F12" s="63" t="e">
        <f ca="1">IF(ISNUMBER(CS!F12),F$10,"")</f>
        <v>#N/A</v>
      </c>
      <c r="G12" s="63" t="e">
        <f ca="1">IF(ISNUMBER(CS!G12),G$10,"")</f>
        <v>#N/A</v>
      </c>
      <c r="H12" s="63" t="str">
        <f ca="1">IF(ISNUMBER(CS!H12),H$10,"")</f>
        <v/>
      </c>
      <c r="I12" s="63" t="str">
        <f ca="1">IF(ISNUMBER(CS!I12),I$10,"")</f>
        <v/>
      </c>
      <c r="J12" s="63" t="e">
        <f ca="1">IF(ISNUMBER(CS!J12),J$10,"")</f>
        <v>#N/A</v>
      </c>
      <c r="K12" s="63" t="e">
        <f ca="1">IF(ISNUMBER(CS!K12),K$10,"")</f>
        <v>#N/A</v>
      </c>
      <c r="L12" s="63" t="str">
        <f ca="1">IF(ISNUMBER(CS!L12),L$10,"")</f>
        <v/>
      </c>
      <c r="M12" s="63" t="str">
        <f ca="1">IF(ISNUMBER(CS!M12),M$10,"")</f>
        <v/>
      </c>
      <c r="N12" s="63" t="e">
        <f ca="1">IF(ISNUMBER(CS!N12),N$10,"")</f>
        <v>#N/A</v>
      </c>
      <c r="O12" s="63" t="e">
        <f ca="1">IF(ISNUMBER(CS!O12),O$10,"")</f>
        <v>#N/A</v>
      </c>
      <c r="P12" s="63" t="str">
        <f ca="1">IF(ISNUMBER(CS!P12),P$10,"")</f>
        <v/>
      </c>
      <c r="Q12" s="63" t="str">
        <f ca="1">IF(ISNUMBER(CS!Q12),Q$10,"")</f>
        <v/>
      </c>
      <c r="R12" s="63" t="str">
        <f ca="1">IF(ISNUMBER(CS!R12),R$10,"")</f>
        <v/>
      </c>
      <c r="S12" s="63" t="str">
        <f ca="1">IF(ISNUMBER(CS!S12),S$10,"")</f>
        <v/>
      </c>
      <c r="T12" s="63" t="str">
        <f ca="1">IF(ISNUMBER(CS!T12),T$10,"")</f>
        <v/>
      </c>
      <c r="U12" s="63" t="str">
        <f ca="1">IF(ISNUMBER(CS!U12),U$10,"")</f>
        <v/>
      </c>
      <c r="V12" s="63" t="str">
        <f ca="1">IF(ISNUMBER(CS!V12),V$10,"")</f>
        <v/>
      </c>
      <c r="W12" s="63" t="str">
        <f ca="1">IF(ISNUMBER(CS!W12),W$10,"")</f>
        <v/>
      </c>
      <c r="X12" s="63" t="str">
        <f ca="1">IF(ISNUMBER(CS!X12),X$10,"")</f>
        <v/>
      </c>
      <c r="Y12" s="63" t="str">
        <f ca="1">IF(ISNUMBER(CS!Y12),Y$10,"")</f>
        <v/>
      </c>
      <c r="Z12" s="63" t="str">
        <f ca="1">IF(ISNUMBER(CS!Z12),Z$10,"")</f>
        <v/>
      </c>
      <c r="AA12" s="63" t="str">
        <f ca="1">IF(ISNUMBER(CS!AA12),AA$10,"")</f>
        <v/>
      </c>
      <c r="AB12" s="63" t="str">
        <f ca="1">IF(ISNUMBER(CS!AB12),AB$10,"")</f>
        <v/>
      </c>
      <c r="AC12" s="63" t="str">
        <f ca="1">IF(ISNUMBER(CS!AC12),AC$10,"")</f>
        <v/>
      </c>
      <c r="AD12" s="63" t="str">
        <f ca="1">IF(ISNUMBER(CS!AD12),AD$10,"")</f>
        <v/>
      </c>
      <c r="AE12" s="63" t="str">
        <f ca="1">IF(ISNUMBER(CS!AE12),AE$10,"")</f>
        <v/>
      </c>
      <c r="AF12" s="63" t="str">
        <f ca="1">IF(ISNUMBER(CS!AF12),AF$10,"")</f>
        <v/>
      </c>
      <c r="AG12" s="63" t="str">
        <f ca="1">IF(ISNUMBER(CS!AG12),AG$10,"")</f>
        <v/>
      </c>
      <c r="AH12" s="63" t="str">
        <f ca="1">IF(ISNUMBER(CS!AH12),AH$10,"")</f>
        <v/>
      </c>
      <c r="AI12" s="63" t="str">
        <f ca="1">IF(ISNUMBER(CS!AI12),AI$10,"")</f>
        <v/>
      </c>
      <c r="AJ12" s="63" t="str">
        <f ca="1">IF(ISNUMBER(CS!AJ12),AJ$10,"")</f>
        <v/>
      </c>
      <c r="AK12" s="63" t="str">
        <f ca="1">IF(ISNUMBER(CS!AK12),AK$10,"")</f>
        <v/>
      </c>
      <c r="AL12" s="63" t="str">
        <f ca="1">IF(ISNUMBER(CS!AL12),AL$10,"")</f>
        <v/>
      </c>
      <c r="AM12" s="63" t="str">
        <f ca="1">IF(ISNUMBER(CS!AM12),AM$10,"")</f>
        <v/>
      </c>
      <c r="AN12" s="63" t="str">
        <f ca="1">IF(ISNUMBER(CS!AN12),AN$10,"")</f>
        <v/>
      </c>
      <c r="AO12" s="63" t="str">
        <f ca="1">IF(ISNUMBER(CS!AO12),AO$10,"")</f>
        <v/>
      </c>
      <c r="AP12" s="414" t="str">
        <f ca="1">IF(ISNUMBER(CS!AP12),AP$10,"")</f>
        <v/>
      </c>
      <c r="AS12" s="4" t="str">
        <f t="shared" ref="AS12:AS56" ca="1" si="11">B12</f>
        <v>Tm02</v>
      </c>
      <c r="AU12" s="417" t="str">
        <f t="shared" ca="1" si="8"/>
        <v/>
      </c>
      <c r="AV12" s="210" t="str">
        <f t="shared" ca="1" si="8"/>
        <v/>
      </c>
      <c r="AW12" s="210" t="str">
        <f t="shared" ca="1" si="8"/>
        <v/>
      </c>
      <c r="AX12" s="210" t="str">
        <f t="shared" ca="1" si="8"/>
        <v/>
      </c>
      <c r="AY12" s="414" t="str">
        <f t="shared" ca="1" si="8"/>
        <v/>
      </c>
      <c r="BA12" s="417" t="e">
        <f t="shared" ref="BA12:BP41" ca="1" si="12">IF(OR(BA$10=0,$B12=""),"",COUNTA(INDIRECT(CONCATENATE(BA$59,ROW(),":",BA$60,ROW())))-COUNTBLANK(INDIRECT(CONCATENATE(BA$59,ROW(),":",BA$60,ROW()))))</f>
        <v>#N/A</v>
      </c>
      <c r="BB12" s="210" t="e">
        <f t="shared" ca="1" si="9"/>
        <v>#N/A</v>
      </c>
      <c r="BC12" s="210" t="e">
        <f t="shared" ca="1" si="9"/>
        <v>#N/A</v>
      </c>
      <c r="BD12" s="210" t="e">
        <f t="shared" ca="1" si="9"/>
        <v>#N/A</v>
      </c>
      <c r="BE12" s="210" t="e">
        <f t="shared" ca="1" si="9"/>
        <v>#N/A</v>
      </c>
      <c r="BF12" s="210" t="e">
        <f t="shared" ca="1" si="9"/>
        <v>#N/A</v>
      </c>
      <c r="BG12" s="210" t="e">
        <f t="shared" ca="1" si="9"/>
        <v>#N/A</v>
      </c>
      <c r="BH12" s="210" t="e">
        <f t="shared" ca="1" si="9"/>
        <v>#N/A</v>
      </c>
      <c r="BI12" s="210" t="e">
        <f t="shared" ca="1" si="9"/>
        <v>#N/A</v>
      </c>
      <c r="BJ12" s="210" t="e">
        <f t="shared" ca="1" si="9"/>
        <v>#N/A</v>
      </c>
      <c r="BK12" s="210" t="e">
        <f t="shared" ca="1" si="9"/>
        <v>#N/A</v>
      </c>
      <c r="BL12" s="210" t="e">
        <f t="shared" ca="1" si="9"/>
        <v>#N/A</v>
      </c>
      <c r="BM12" s="210" t="e">
        <f t="shared" ca="1" si="9"/>
        <v>#N/A</v>
      </c>
      <c r="BN12" s="210" t="e">
        <f t="shared" ca="1" si="9"/>
        <v>#N/A</v>
      </c>
      <c r="BO12" s="210" t="str">
        <f t="shared" ca="1" si="9"/>
        <v/>
      </c>
      <c r="BP12" s="210" t="str">
        <f t="shared" ca="1" si="9"/>
        <v/>
      </c>
      <c r="BQ12" s="414" t="str">
        <f t="shared" ca="1" si="9"/>
        <v/>
      </c>
      <c r="BS12" s="417" t="str">
        <f t="shared" ref="BS12:CB50" ca="1" si="13">IF(OR(BS$10=0,$B12=""),"",COUNTIF($CF12:$DS12,BS$10))</f>
        <v/>
      </c>
      <c r="BT12" s="210" t="str">
        <f t="shared" ca="1" si="10"/>
        <v/>
      </c>
      <c r="BU12" s="210" t="str">
        <f t="shared" ca="1" si="10"/>
        <v/>
      </c>
      <c r="BV12" s="210" t="str">
        <f t="shared" ca="1" si="10"/>
        <v/>
      </c>
      <c r="BW12" s="210" t="str">
        <f t="shared" ca="1" si="10"/>
        <v/>
      </c>
      <c r="BX12" s="210" t="str">
        <f t="shared" ca="1" si="10"/>
        <v/>
      </c>
      <c r="BY12" s="210" t="str">
        <f t="shared" ca="1" si="10"/>
        <v/>
      </c>
      <c r="BZ12" s="210">
        <f t="shared" ca="1" si="10"/>
        <v>0</v>
      </c>
      <c r="CA12" s="210" t="str">
        <f t="shared" ca="1" si="10"/>
        <v/>
      </c>
      <c r="CB12" s="396" t="str">
        <f t="shared" ca="1" si="10"/>
        <v/>
      </c>
      <c r="CC12" s="68"/>
      <c r="CD12" s="419" t="e">
        <f t="shared" ca="1" si="10"/>
        <v>#N/A</v>
      </c>
      <c r="CF12" s="50" t="str">
        <f ca="1">IF(AND(ISNUMBER(CS!C12),ISNUMBER(CS!D12)),CONCATENATE(CF$10,CG$10),"")</f>
        <v/>
      </c>
      <c r="CG12" s="50" t="str">
        <f ca="1">IF(AND(ISNUMBER(CS!D12),ISNUMBER(CS!E12)),CONCATENATE(CG$10,CH$10),"")</f>
        <v/>
      </c>
      <c r="CH12" s="50" t="str">
        <f ca="1">IF(AND(ISNUMBER(CS!E12),ISNUMBER(CS!F12)),CONCATENATE(CH$10,CI$10),"")</f>
        <v/>
      </c>
      <c r="CI12" s="50" t="e">
        <f ca="1">IF(AND(ISNUMBER(CS!F12),ISNUMBER(CS!G12)),CONCATENATE(CI$10,CJ$10),"")</f>
        <v>#N/A</v>
      </c>
      <c r="CJ12" s="50" t="str">
        <f ca="1">IF(AND(ISNUMBER(CS!G12),ISNUMBER(CS!H12)),CONCATENATE(CJ$10,CK$10),"")</f>
        <v/>
      </c>
      <c r="CK12" s="50" t="str">
        <f ca="1">IF(AND(ISNUMBER(CS!H12),ISNUMBER(CS!I12)),CONCATENATE(CK$10,CL$10),"")</f>
        <v/>
      </c>
      <c r="CL12" s="50" t="str">
        <f ca="1">IF(AND(ISNUMBER(CS!I12),ISNUMBER(CS!J12)),CONCATENATE(CL$10,CM$10),"")</f>
        <v/>
      </c>
      <c r="CM12" s="50" t="e">
        <f ca="1">IF(AND(ISNUMBER(CS!J12),ISNUMBER(CS!K12)),CONCATENATE(CM$10,CN$10),"")</f>
        <v>#N/A</v>
      </c>
      <c r="CN12" s="50" t="str">
        <f ca="1">IF(AND(ISNUMBER(CS!K12),ISNUMBER(CS!L12)),CONCATENATE(CN$10,CO$10),"")</f>
        <v/>
      </c>
      <c r="CO12" s="50" t="str">
        <f ca="1">IF(AND(ISNUMBER(CS!L12),ISNUMBER(CS!M12)),CONCATENATE(CO$10,CP$10),"")</f>
        <v/>
      </c>
      <c r="CP12" s="50" t="str">
        <f ca="1">IF(AND(ISNUMBER(CS!M12),ISNUMBER(CS!N12)),CONCATENATE(CP$10,CQ$10),"")</f>
        <v/>
      </c>
      <c r="CQ12" s="50" t="e">
        <f ca="1">IF(AND(ISNUMBER(CS!N12),ISNUMBER(CS!O12)),CONCATENATE(CQ$10,CR$10),"")</f>
        <v>#N/A</v>
      </c>
      <c r="CR12" s="50" t="str">
        <f ca="1">IF(AND(ISNUMBER(CS!O12),ISNUMBER(CS!P12)),CONCATENATE(CR$10,CS$10),"")</f>
        <v/>
      </c>
      <c r="CS12" s="50" t="str">
        <f ca="1">IF(AND(ISNUMBER(CS!P12),ISNUMBER(CS!Q12)),CONCATENATE(CS$10,CT$10),"")</f>
        <v/>
      </c>
      <c r="CT12" s="50" t="str">
        <f ca="1">IF(AND(ISNUMBER(CS!Q12),ISNUMBER(CS!R12)),CONCATENATE(CT$10,CU$10),"")</f>
        <v/>
      </c>
      <c r="CU12" s="50" t="str">
        <f ca="1">IF(AND(ISNUMBER(CS!R12),ISNUMBER(CS!S12)),CONCATENATE(CU$10,CV$10),"")</f>
        <v/>
      </c>
      <c r="CV12" s="50" t="str">
        <f ca="1">IF(AND(ISNUMBER(CS!S12),ISNUMBER(CS!T12)),CONCATENATE(CV$10,CW$10),"")</f>
        <v/>
      </c>
      <c r="CW12" s="50" t="str">
        <f ca="1">IF(AND(ISNUMBER(CS!T12),ISNUMBER(CS!U12)),CONCATENATE(CW$10,CX$10),"")</f>
        <v/>
      </c>
      <c r="CX12" s="50" t="str">
        <f ca="1">IF(AND(ISNUMBER(CS!U12),ISNUMBER(CS!V12)),CONCATENATE(CX$10,CY$10),"")</f>
        <v/>
      </c>
      <c r="CY12" s="50" t="str">
        <f ca="1">IF(AND(ISNUMBER(CS!V12),ISNUMBER(CS!W12)),CONCATENATE(CY$10,CZ$10),"")</f>
        <v/>
      </c>
      <c r="CZ12" s="50" t="str">
        <f ca="1">IF(AND(ISNUMBER(CS!W12),ISNUMBER(CS!X12)),CONCATENATE(CZ$10,DA$10),"")</f>
        <v/>
      </c>
      <c r="DA12" s="50" t="str">
        <f ca="1">IF(AND(ISNUMBER(CS!X12),ISNUMBER(CS!Y12)),CONCATENATE(DA$10,DB$10),"")</f>
        <v/>
      </c>
      <c r="DB12" s="50" t="str">
        <f ca="1">IF(AND(ISNUMBER(CS!Y12),ISNUMBER(CS!Z12)),CONCATENATE(DB$10,DC$10),"")</f>
        <v/>
      </c>
      <c r="DC12" s="50" t="str">
        <f ca="1">IF(AND(ISNUMBER(CS!Z12),ISNUMBER(CS!AA12)),CONCATENATE(DC$10,DD$10),"")</f>
        <v/>
      </c>
      <c r="DD12" s="50" t="str">
        <f ca="1">IF(AND(ISNUMBER(CS!AA12),ISNUMBER(CS!AB12)),CONCATENATE(DD$10,DE$10),"")</f>
        <v/>
      </c>
      <c r="DE12" s="50" t="str">
        <f ca="1">IF(AND(ISNUMBER(CS!AB12),ISNUMBER(CS!AC12)),CONCATENATE(DE$10,DF$10),"")</f>
        <v/>
      </c>
      <c r="DF12" s="50" t="str">
        <f ca="1">IF(AND(ISNUMBER(CS!AC12),ISNUMBER(CS!AD12)),CONCATENATE(DF$10,DG$10),"")</f>
        <v/>
      </c>
      <c r="DG12" s="50" t="str">
        <f ca="1">IF(AND(ISNUMBER(CS!AD12),ISNUMBER(CS!AE12)),CONCATENATE(DG$10,DH$10),"")</f>
        <v/>
      </c>
      <c r="DH12" s="50" t="str">
        <f ca="1">IF(AND(ISNUMBER(CS!AE12),ISNUMBER(CS!AF12)),CONCATENATE(DH$10,DI$10),"")</f>
        <v/>
      </c>
      <c r="DI12" s="50" t="str">
        <f ca="1">IF(AND(ISNUMBER(CS!AF12),ISNUMBER(CS!AG12)),CONCATENATE(DI$10,DJ$10),"")</f>
        <v/>
      </c>
      <c r="DJ12" s="50" t="str">
        <f ca="1">IF(AND(ISNUMBER(CS!AG12),ISNUMBER(CS!AH12)),CONCATENATE(DJ$10,DK$10),"")</f>
        <v/>
      </c>
      <c r="DK12" s="50" t="str">
        <f ca="1">IF(AND(ISNUMBER(CS!AH12),ISNUMBER(CS!AI12)),CONCATENATE(DK$10,DL$10),"")</f>
        <v/>
      </c>
      <c r="DL12" s="50" t="str">
        <f ca="1">IF(AND(ISNUMBER(CS!AI12),ISNUMBER(CS!AJ12)),CONCATENATE(DL$10,DM$10),"")</f>
        <v/>
      </c>
      <c r="DM12" s="50" t="str">
        <f ca="1">IF(AND(ISNUMBER(CS!AJ12),ISNUMBER(CS!AK12)),CONCATENATE(DM$10,DN$10),"")</f>
        <v/>
      </c>
      <c r="DN12" s="50" t="str">
        <f ca="1">IF(AND(ISNUMBER(CS!AK12),ISNUMBER(CS!AL12)),CONCATENATE(DN$10,DO$10),"")</f>
        <v/>
      </c>
      <c r="DO12" s="50" t="str">
        <f ca="1">IF(AND(ISNUMBER(CS!AL12),ISNUMBER(CS!AM12)),CONCATENATE(DO$10,DP$10),"")</f>
        <v/>
      </c>
      <c r="DP12" s="50" t="str">
        <f ca="1">IF(AND(ISNUMBER(CS!AM12),ISNUMBER(CS!AN12)),CONCATENATE(DP$10,DQ$10),"")</f>
        <v/>
      </c>
      <c r="DQ12" s="50" t="str">
        <f ca="1">IF(AND(ISNUMBER(CS!AN12),ISNUMBER(CS!AO12)),CONCATENATE(DQ$10,DR$10),"")</f>
        <v/>
      </c>
      <c r="DR12" s="50" t="str">
        <f ca="1">IF(AND(ISNUMBER(CS!AO12),ISNUMBER(CS!AP12)),CONCATENATE(DR$10,DS$10),"")</f>
        <v/>
      </c>
      <c r="DS12" s="50" t="str">
        <f ca="1">IF(AND(ISNUMBER(CS!AP12),ISNUMBER(CS!AQ12)),CONCATENATE(DS$10,DT$10),"")</f>
        <v/>
      </c>
      <c r="DT12" s="63">
        <f>DrawFinder!Y12</f>
        <v>1</v>
      </c>
    </row>
    <row r="13" spans="1:124">
      <c r="B13" s="393" t="str">
        <f ca="1">TmOrderLU!D13</f>
        <v>Tm03</v>
      </c>
      <c r="C13" s="63" t="e">
        <f ca="1">IF(ISNUMBER(CS!C13),C$10,"")</f>
        <v>#N/A</v>
      </c>
      <c r="D13" s="63" t="str">
        <f ca="1">IF(ISNUMBER(CS!D13),D$10,"")</f>
        <v/>
      </c>
      <c r="E13" s="63" t="str">
        <f ca="1">IF(ISNUMBER(CS!E13),E$10,"")</f>
        <v/>
      </c>
      <c r="F13" s="63" t="e">
        <f ca="1">IF(ISNUMBER(CS!F13),F$10,"")</f>
        <v>#N/A</v>
      </c>
      <c r="G13" s="63" t="e">
        <f ca="1">IF(ISNUMBER(CS!G13),G$10,"")</f>
        <v>#N/A</v>
      </c>
      <c r="H13" s="63" t="str">
        <f ca="1">IF(ISNUMBER(CS!H13),H$10,"")</f>
        <v/>
      </c>
      <c r="I13" s="63" t="str">
        <f ca="1">IF(ISNUMBER(CS!I13),I$10,"")</f>
        <v/>
      </c>
      <c r="J13" s="63" t="e">
        <f ca="1">IF(ISNUMBER(CS!J13),J$10,"")</f>
        <v>#N/A</v>
      </c>
      <c r="K13" s="63" t="e">
        <f ca="1">IF(ISNUMBER(CS!K13),K$10,"")</f>
        <v>#N/A</v>
      </c>
      <c r="L13" s="63" t="str">
        <f ca="1">IF(ISNUMBER(CS!L13),L$10,"")</f>
        <v/>
      </c>
      <c r="M13" s="63" t="str">
        <f ca="1">IF(ISNUMBER(CS!M13),M$10,"")</f>
        <v/>
      </c>
      <c r="N13" s="63" t="e">
        <f ca="1">IF(ISNUMBER(CS!N13),N$10,"")</f>
        <v>#N/A</v>
      </c>
      <c r="O13" s="63" t="e">
        <f ca="1">IF(ISNUMBER(CS!O13),O$10,"")</f>
        <v>#N/A</v>
      </c>
      <c r="P13" s="63" t="str">
        <f ca="1">IF(ISNUMBER(CS!P13),P$10,"")</f>
        <v/>
      </c>
      <c r="Q13" s="63" t="str">
        <f ca="1">IF(ISNUMBER(CS!Q13),Q$10,"")</f>
        <v/>
      </c>
      <c r="R13" s="63" t="str">
        <f ca="1">IF(ISNUMBER(CS!R13),R$10,"")</f>
        <v/>
      </c>
      <c r="S13" s="63" t="str">
        <f ca="1">IF(ISNUMBER(CS!S13),S$10,"")</f>
        <v/>
      </c>
      <c r="T13" s="63" t="str">
        <f ca="1">IF(ISNUMBER(CS!T13),T$10,"")</f>
        <v/>
      </c>
      <c r="U13" s="63" t="str">
        <f ca="1">IF(ISNUMBER(CS!U13),U$10,"")</f>
        <v/>
      </c>
      <c r="V13" s="63" t="str">
        <f ca="1">IF(ISNUMBER(CS!V13),V$10,"")</f>
        <v/>
      </c>
      <c r="W13" s="63" t="str">
        <f ca="1">IF(ISNUMBER(CS!W13),W$10,"")</f>
        <v/>
      </c>
      <c r="X13" s="63" t="str">
        <f ca="1">IF(ISNUMBER(CS!X13),X$10,"")</f>
        <v/>
      </c>
      <c r="Y13" s="63" t="str">
        <f ca="1">IF(ISNUMBER(CS!Y13),Y$10,"")</f>
        <v/>
      </c>
      <c r="Z13" s="63" t="str">
        <f ca="1">IF(ISNUMBER(CS!Z13),Z$10,"")</f>
        <v/>
      </c>
      <c r="AA13" s="63" t="str">
        <f ca="1">IF(ISNUMBER(CS!AA13),AA$10,"")</f>
        <v/>
      </c>
      <c r="AB13" s="63" t="str">
        <f ca="1">IF(ISNUMBER(CS!AB13),AB$10,"")</f>
        <v/>
      </c>
      <c r="AC13" s="63" t="str">
        <f ca="1">IF(ISNUMBER(CS!AC13),AC$10,"")</f>
        <v/>
      </c>
      <c r="AD13" s="63" t="str">
        <f ca="1">IF(ISNUMBER(CS!AD13),AD$10,"")</f>
        <v/>
      </c>
      <c r="AE13" s="63" t="str">
        <f ca="1">IF(ISNUMBER(CS!AE13),AE$10,"")</f>
        <v/>
      </c>
      <c r="AF13" s="63" t="str">
        <f ca="1">IF(ISNUMBER(CS!AF13),AF$10,"")</f>
        <v/>
      </c>
      <c r="AG13" s="63" t="str">
        <f ca="1">IF(ISNUMBER(CS!AG13),AG$10,"")</f>
        <v/>
      </c>
      <c r="AH13" s="63" t="str">
        <f ca="1">IF(ISNUMBER(CS!AH13),AH$10,"")</f>
        <v/>
      </c>
      <c r="AI13" s="63" t="str">
        <f ca="1">IF(ISNUMBER(CS!AI13),AI$10,"")</f>
        <v/>
      </c>
      <c r="AJ13" s="63" t="str">
        <f ca="1">IF(ISNUMBER(CS!AJ13),AJ$10,"")</f>
        <v/>
      </c>
      <c r="AK13" s="63" t="str">
        <f ca="1">IF(ISNUMBER(CS!AK13),AK$10,"")</f>
        <v/>
      </c>
      <c r="AL13" s="63" t="str">
        <f ca="1">IF(ISNUMBER(CS!AL13),AL$10,"")</f>
        <v/>
      </c>
      <c r="AM13" s="63" t="str">
        <f ca="1">IF(ISNUMBER(CS!AM13),AM$10,"")</f>
        <v/>
      </c>
      <c r="AN13" s="63" t="str">
        <f ca="1">IF(ISNUMBER(CS!AN13),AN$10,"")</f>
        <v/>
      </c>
      <c r="AO13" s="63" t="str">
        <f ca="1">IF(ISNUMBER(CS!AO13),AO$10,"")</f>
        <v/>
      </c>
      <c r="AP13" s="414" t="str">
        <f ca="1">IF(ISNUMBER(CS!AP13),AP$10,"")</f>
        <v/>
      </c>
      <c r="AS13" s="4" t="str">
        <f t="shared" ca="1" si="11"/>
        <v>Tm03</v>
      </c>
      <c r="AU13" s="417" t="str">
        <f t="shared" ca="1" si="8"/>
        <v/>
      </c>
      <c r="AV13" s="210" t="str">
        <f t="shared" ca="1" si="8"/>
        <v/>
      </c>
      <c r="AW13" s="210" t="str">
        <f t="shared" ca="1" si="8"/>
        <v/>
      </c>
      <c r="AX13" s="210" t="str">
        <f t="shared" ca="1" si="8"/>
        <v/>
      </c>
      <c r="AY13" s="414" t="str">
        <f t="shared" ca="1" si="8"/>
        <v/>
      </c>
      <c r="BA13" s="417" t="e">
        <f t="shared" ca="1" si="12"/>
        <v>#N/A</v>
      </c>
      <c r="BB13" s="210" t="e">
        <f t="shared" ca="1" si="9"/>
        <v>#N/A</v>
      </c>
      <c r="BC13" s="210" t="e">
        <f t="shared" ca="1" si="9"/>
        <v>#N/A</v>
      </c>
      <c r="BD13" s="210" t="e">
        <f t="shared" ca="1" si="9"/>
        <v>#N/A</v>
      </c>
      <c r="BE13" s="210" t="e">
        <f t="shared" ca="1" si="9"/>
        <v>#N/A</v>
      </c>
      <c r="BF13" s="210" t="e">
        <f t="shared" ca="1" si="9"/>
        <v>#N/A</v>
      </c>
      <c r="BG13" s="210" t="e">
        <f t="shared" ca="1" si="9"/>
        <v>#N/A</v>
      </c>
      <c r="BH13" s="210" t="e">
        <f t="shared" ca="1" si="9"/>
        <v>#N/A</v>
      </c>
      <c r="BI13" s="210" t="e">
        <f t="shared" ca="1" si="9"/>
        <v>#N/A</v>
      </c>
      <c r="BJ13" s="210" t="e">
        <f t="shared" ca="1" si="9"/>
        <v>#N/A</v>
      </c>
      <c r="BK13" s="210" t="e">
        <f t="shared" ca="1" si="9"/>
        <v>#N/A</v>
      </c>
      <c r="BL13" s="210" t="e">
        <f t="shared" ca="1" si="9"/>
        <v>#N/A</v>
      </c>
      <c r="BM13" s="210" t="e">
        <f t="shared" ca="1" si="9"/>
        <v>#N/A</v>
      </c>
      <c r="BN13" s="210" t="e">
        <f t="shared" ca="1" si="9"/>
        <v>#N/A</v>
      </c>
      <c r="BO13" s="210" t="str">
        <f t="shared" ca="1" si="9"/>
        <v/>
      </c>
      <c r="BP13" s="210" t="str">
        <f t="shared" ca="1" si="9"/>
        <v/>
      </c>
      <c r="BQ13" s="414" t="str">
        <f t="shared" ca="1" si="9"/>
        <v/>
      </c>
      <c r="BS13" s="417" t="str">
        <f t="shared" ca="1" si="13"/>
        <v/>
      </c>
      <c r="BT13" s="210" t="str">
        <f t="shared" ca="1" si="10"/>
        <v/>
      </c>
      <c r="BU13" s="210" t="str">
        <f t="shared" ca="1" si="10"/>
        <v/>
      </c>
      <c r="BV13" s="210" t="str">
        <f t="shared" ca="1" si="10"/>
        <v/>
      </c>
      <c r="BW13" s="210" t="str">
        <f t="shared" ca="1" si="10"/>
        <v/>
      </c>
      <c r="BX13" s="210" t="str">
        <f t="shared" ca="1" si="10"/>
        <v/>
      </c>
      <c r="BY13" s="210" t="str">
        <f t="shared" ca="1" si="10"/>
        <v/>
      </c>
      <c r="BZ13" s="210">
        <f t="shared" ca="1" si="10"/>
        <v>0</v>
      </c>
      <c r="CA13" s="210" t="str">
        <f t="shared" ca="1" si="10"/>
        <v/>
      </c>
      <c r="CB13" s="396" t="str">
        <f t="shared" ca="1" si="10"/>
        <v/>
      </c>
      <c r="CC13" s="68"/>
      <c r="CD13" s="419" t="e">
        <f t="shared" ca="1" si="10"/>
        <v>#N/A</v>
      </c>
      <c r="CF13" s="50" t="str">
        <f ca="1">IF(AND(ISNUMBER(CS!C13),ISNUMBER(CS!D13)),CONCATENATE(CF$10,CG$10),"")</f>
        <v/>
      </c>
      <c r="CG13" s="50" t="str">
        <f ca="1">IF(AND(ISNUMBER(CS!D13),ISNUMBER(CS!E13)),CONCATENATE(CG$10,CH$10),"")</f>
        <v/>
      </c>
      <c r="CH13" s="50" t="str">
        <f ca="1">IF(AND(ISNUMBER(CS!E13),ISNUMBER(CS!F13)),CONCATENATE(CH$10,CI$10),"")</f>
        <v/>
      </c>
      <c r="CI13" s="50" t="e">
        <f ca="1">IF(AND(ISNUMBER(CS!F13),ISNUMBER(CS!G13)),CONCATENATE(CI$10,CJ$10),"")</f>
        <v>#N/A</v>
      </c>
      <c r="CJ13" s="50" t="str">
        <f ca="1">IF(AND(ISNUMBER(CS!G13),ISNUMBER(CS!H13)),CONCATENATE(CJ$10,CK$10),"")</f>
        <v/>
      </c>
      <c r="CK13" s="50" t="str">
        <f ca="1">IF(AND(ISNUMBER(CS!H13),ISNUMBER(CS!I13)),CONCATENATE(CK$10,CL$10),"")</f>
        <v/>
      </c>
      <c r="CL13" s="50" t="str">
        <f ca="1">IF(AND(ISNUMBER(CS!I13),ISNUMBER(CS!J13)),CONCATENATE(CL$10,CM$10),"")</f>
        <v/>
      </c>
      <c r="CM13" s="50" t="e">
        <f ca="1">IF(AND(ISNUMBER(CS!J13),ISNUMBER(CS!K13)),CONCATENATE(CM$10,CN$10),"")</f>
        <v>#N/A</v>
      </c>
      <c r="CN13" s="50" t="str">
        <f ca="1">IF(AND(ISNUMBER(CS!K13),ISNUMBER(CS!L13)),CONCATENATE(CN$10,CO$10),"")</f>
        <v/>
      </c>
      <c r="CO13" s="50" t="str">
        <f ca="1">IF(AND(ISNUMBER(CS!L13),ISNUMBER(CS!M13)),CONCATENATE(CO$10,CP$10),"")</f>
        <v/>
      </c>
      <c r="CP13" s="50" t="str">
        <f ca="1">IF(AND(ISNUMBER(CS!M13),ISNUMBER(CS!N13)),CONCATENATE(CP$10,CQ$10),"")</f>
        <v/>
      </c>
      <c r="CQ13" s="50" t="e">
        <f ca="1">IF(AND(ISNUMBER(CS!N13),ISNUMBER(CS!O13)),CONCATENATE(CQ$10,CR$10),"")</f>
        <v>#N/A</v>
      </c>
      <c r="CR13" s="50" t="str">
        <f ca="1">IF(AND(ISNUMBER(CS!O13),ISNUMBER(CS!P13)),CONCATENATE(CR$10,CS$10),"")</f>
        <v/>
      </c>
      <c r="CS13" s="50" t="str">
        <f ca="1">IF(AND(ISNUMBER(CS!P13),ISNUMBER(CS!Q13)),CONCATENATE(CS$10,CT$10),"")</f>
        <v/>
      </c>
      <c r="CT13" s="50" t="str">
        <f ca="1">IF(AND(ISNUMBER(CS!Q13),ISNUMBER(CS!R13)),CONCATENATE(CT$10,CU$10),"")</f>
        <v/>
      </c>
      <c r="CU13" s="50" t="str">
        <f ca="1">IF(AND(ISNUMBER(CS!R13),ISNUMBER(CS!S13)),CONCATENATE(CU$10,CV$10),"")</f>
        <v/>
      </c>
      <c r="CV13" s="50" t="str">
        <f ca="1">IF(AND(ISNUMBER(CS!S13),ISNUMBER(CS!T13)),CONCATENATE(CV$10,CW$10),"")</f>
        <v/>
      </c>
      <c r="CW13" s="50" t="str">
        <f ca="1">IF(AND(ISNUMBER(CS!T13),ISNUMBER(CS!U13)),CONCATENATE(CW$10,CX$10),"")</f>
        <v/>
      </c>
      <c r="CX13" s="50" t="str">
        <f ca="1">IF(AND(ISNUMBER(CS!U13),ISNUMBER(CS!V13)),CONCATENATE(CX$10,CY$10),"")</f>
        <v/>
      </c>
      <c r="CY13" s="50" t="str">
        <f ca="1">IF(AND(ISNUMBER(CS!V13),ISNUMBER(CS!W13)),CONCATENATE(CY$10,CZ$10),"")</f>
        <v/>
      </c>
      <c r="CZ13" s="50" t="str">
        <f ca="1">IF(AND(ISNUMBER(CS!W13),ISNUMBER(CS!X13)),CONCATENATE(CZ$10,DA$10),"")</f>
        <v/>
      </c>
      <c r="DA13" s="50" t="str">
        <f ca="1">IF(AND(ISNUMBER(CS!X13),ISNUMBER(CS!Y13)),CONCATENATE(DA$10,DB$10),"")</f>
        <v/>
      </c>
      <c r="DB13" s="50" t="str">
        <f ca="1">IF(AND(ISNUMBER(CS!Y13),ISNUMBER(CS!Z13)),CONCATENATE(DB$10,DC$10),"")</f>
        <v/>
      </c>
      <c r="DC13" s="50" t="str">
        <f ca="1">IF(AND(ISNUMBER(CS!Z13),ISNUMBER(CS!AA13)),CONCATENATE(DC$10,DD$10),"")</f>
        <v/>
      </c>
      <c r="DD13" s="50" t="str">
        <f ca="1">IF(AND(ISNUMBER(CS!AA13),ISNUMBER(CS!AB13)),CONCATENATE(DD$10,DE$10),"")</f>
        <v/>
      </c>
      <c r="DE13" s="50" t="str">
        <f ca="1">IF(AND(ISNUMBER(CS!AB13),ISNUMBER(CS!AC13)),CONCATENATE(DE$10,DF$10),"")</f>
        <v/>
      </c>
      <c r="DF13" s="50" t="str">
        <f ca="1">IF(AND(ISNUMBER(CS!AC13),ISNUMBER(CS!AD13)),CONCATENATE(DF$10,DG$10),"")</f>
        <v/>
      </c>
      <c r="DG13" s="50" t="str">
        <f ca="1">IF(AND(ISNUMBER(CS!AD13),ISNUMBER(CS!AE13)),CONCATENATE(DG$10,DH$10),"")</f>
        <v/>
      </c>
      <c r="DH13" s="50" t="str">
        <f ca="1">IF(AND(ISNUMBER(CS!AE13),ISNUMBER(CS!AF13)),CONCATENATE(DH$10,DI$10),"")</f>
        <v/>
      </c>
      <c r="DI13" s="50" t="str">
        <f ca="1">IF(AND(ISNUMBER(CS!AF13),ISNUMBER(CS!AG13)),CONCATENATE(DI$10,DJ$10),"")</f>
        <v/>
      </c>
      <c r="DJ13" s="50" t="str">
        <f ca="1">IF(AND(ISNUMBER(CS!AG13),ISNUMBER(CS!AH13)),CONCATENATE(DJ$10,DK$10),"")</f>
        <v/>
      </c>
      <c r="DK13" s="50" t="str">
        <f ca="1">IF(AND(ISNUMBER(CS!AH13),ISNUMBER(CS!AI13)),CONCATENATE(DK$10,DL$10),"")</f>
        <v/>
      </c>
      <c r="DL13" s="50" t="str">
        <f ca="1">IF(AND(ISNUMBER(CS!AI13),ISNUMBER(CS!AJ13)),CONCATENATE(DL$10,DM$10),"")</f>
        <v/>
      </c>
      <c r="DM13" s="50" t="str">
        <f ca="1">IF(AND(ISNUMBER(CS!AJ13),ISNUMBER(CS!AK13)),CONCATENATE(DM$10,DN$10),"")</f>
        <v/>
      </c>
      <c r="DN13" s="50" t="str">
        <f ca="1">IF(AND(ISNUMBER(CS!AK13),ISNUMBER(CS!AL13)),CONCATENATE(DN$10,DO$10),"")</f>
        <v/>
      </c>
      <c r="DO13" s="50" t="str">
        <f ca="1">IF(AND(ISNUMBER(CS!AL13),ISNUMBER(CS!AM13)),CONCATENATE(DO$10,DP$10),"")</f>
        <v/>
      </c>
      <c r="DP13" s="50" t="str">
        <f ca="1">IF(AND(ISNUMBER(CS!AM13),ISNUMBER(CS!AN13)),CONCATENATE(DP$10,DQ$10),"")</f>
        <v/>
      </c>
      <c r="DQ13" s="50" t="str">
        <f ca="1">IF(AND(ISNUMBER(CS!AN13),ISNUMBER(CS!AO13)),CONCATENATE(DQ$10,DR$10),"")</f>
        <v/>
      </c>
      <c r="DR13" s="50" t="str">
        <f ca="1">IF(AND(ISNUMBER(CS!AO13),ISNUMBER(CS!AP13)),CONCATENATE(DR$10,DS$10),"")</f>
        <v/>
      </c>
      <c r="DS13" s="50" t="str">
        <f ca="1">IF(AND(ISNUMBER(CS!AP13),ISNUMBER(CS!AQ13)),CONCATENATE(DS$10,DT$10),"")</f>
        <v/>
      </c>
      <c r="DT13" s="63">
        <f>DrawFinder!Y13</f>
        <v>1</v>
      </c>
    </row>
    <row r="14" spans="1:124">
      <c r="B14" s="393" t="str">
        <f ca="1">TmOrderLU!D14</f>
        <v>Tm04</v>
      </c>
      <c r="C14" s="63" t="e">
        <f ca="1">IF(ISNUMBER(CS!C14),C$10,"")</f>
        <v>#N/A</v>
      </c>
      <c r="D14" s="63" t="str">
        <f ca="1">IF(ISNUMBER(CS!D14),D$10,"")</f>
        <v/>
      </c>
      <c r="E14" s="63" t="str">
        <f ca="1">IF(ISNUMBER(CS!E14),E$10,"")</f>
        <v/>
      </c>
      <c r="F14" s="63" t="e">
        <f ca="1">IF(ISNUMBER(CS!F14),F$10,"")</f>
        <v>#N/A</v>
      </c>
      <c r="G14" s="63" t="e">
        <f ca="1">IF(ISNUMBER(CS!G14),G$10,"")</f>
        <v>#N/A</v>
      </c>
      <c r="H14" s="63" t="str">
        <f ca="1">IF(ISNUMBER(CS!H14),H$10,"")</f>
        <v/>
      </c>
      <c r="I14" s="63" t="str">
        <f ca="1">IF(ISNUMBER(CS!I14),I$10,"")</f>
        <v/>
      </c>
      <c r="J14" s="63" t="e">
        <f ca="1">IF(ISNUMBER(CS!J14),J$10,"")</f>
        <v>#N/A</v>
      </c>
      <c r="K14" s="63" t="e">
        <f ca="1">IF(ISNUMBER(CS!K14),K$10,"")</f>
        <v>#N/A</v>
      </c>
      <c r="L14" s="63" t="str">
        <f ca="1">IF(ISNUMBER(CS!L14),L$10,"")</f>
        <v/>
      </c>
      <c r="M14" s="63" t="str">
        <f ca="1">IF(ISNUMBER(CS!M14),M$10,"")</f>
        <v/>
      </c>
      <c r="N14" s="63" t="e">
        <f ca="1">IF(ISNUMBER(CS!N14),N$10,"")</f>
        <v>#N/A</v>
      </c>
      <c r="O14" s="63" t="e">
        <f ca="1">IF(ISNUMBER(CS!O14),O$10,"")</f>
        <v>#N/A</v>
      </c>
      <c r="P14" s="63" t="str">
        <f ca="1">IF(ISNUMBER(CS!P14),P$10,"")</f>
        <v/>
      </c>
      <c r="Q14" s="63" t="str">
        <f ca="1">IF(ISNUMBER(CS!Q14),Q$10,"")</f>
        <v/>
      </c>
      <c r="R14" s="63" t="str">
        <f ca="1">IF(ISNUMBER(CS!R14),R$10,"")</f>
        <v/>
      </c>
      <c r="S14" s="63" t="str">
        <f ca="1">IF(ISNUMBER(CS!S14),S$10,"")</f>
        <v/>
      </c>
      <c r="T14" s="63" t="str">
        <f ca="1">IF(ISNUMBER(CS!T14),T$10,"")</f>
        <v/>
      </c>
      <c r="U14" s="63" t="str">
        <f ca="1">IF(ISNUMBER(CS!U14),U$10,"")</f>
        <v/>
      </c>
      <c r="V14" s="63" t="str">
        <f ca="1">IF(ISNUMBER(CS!V14),V$10,"")</f>
        <v/>
      </c>
      <c r="W14" s="63" t="str">
        <f ca="1">IF(ISNUMBER(CS!W14),W$10,"")</f>
        <v/>
      </c>
      <c r="X14" s="63" t="str">
        <f ca="1">IF(ISNUMBER(CS!X14),X$10,"")</f>
        <v/>
      </c>
      <c r="Y14" s="63" t="str">
        <f ca="1">IF(ISNUMBER(CS!Y14),Y$10,"")</f>
        <v/>
      </c>
      <c r="Z14" s="63" t="str">
        <f ca="1">IF(ISNUMBER(CS!Z14),Z$10,"")</f>
        <v/>
      </c>
      <c r="AA14" s="63" t="str">
        <f ca="1">IF(ISNUMBER(CS!AA14),AA$10,"")</f>
        <v/>
      </c>
      <c r="AB14" s="63" t="str">
        <f ca="1">IF(ISNUMBER(CS!AB14),AB$10,"")</f>
        <v/>
      </c>
      <c r="AC14" s="63" t="str">
        <f ca="1">IF(ISNUMBER(CS!AC14),AC$10,"")</f>
        <v/>
      </c>
      <c r="AD14" s="63" t="str">
        <f ca="1">IF(ISNUMBER(CS!AD14),AD$10,"")</f>
        <v/>
      </c>
      <c r="AE14" s="63" t="str">
        <f ca="1">IF(ISNUMBER(CS!AE14),AE$10,"")</f>
        <v/>
      </c>
      <c r="AF14" s="63" t="str">
        <f ca="1">IF(ISNUMBER(CS!AF14),AF$10,"")</f>
        <v/>
      </c>
      <c r="AG14" s="63" t="str">
        <f ca="1">IF(ISNUMBER(CS!AG14),AG$10,"")</f>
        <v/>
      </c>
      <c r="AH14" s="63" t="str">
        <f ca="1">IF(ISNUMBER(CS!AH14),AH$10,"")</f>
        <v/>
      </c>
      <c r="AI14" s="63" t="str">
        <f ca="1">IF(ISNUMBER(CS!AI14),AI$10,"")</f>
        <v/>
      </c>
      <c r="AJ14" s="63" t="str">
        <f ca="1">IF(ISNUMBER(CS!AJ14),AJ$10,"")</f>
        <v/>
      </c>
      <c r="AK14" s="63" t="str">
        <f ca="1">IF(ISNUMBER(CS!AK14),AK$10,"")</f>
        <v/>
      </c>
      <c r="AL14" s="63" t="str">
        <f ca="1">IF(ISNUMBER(CS!AL14),AL$10,"")</f>
        <v/>
      </c>
      <c r="AM14" s="63" t="str">
        <f ca="1">IF(ISNUMBER(CS!AM14),AM$10,"")</f>
        <v/>
      </c>
      <c r="AN14" s="63" t="str">
        <f ca="1">IF(ISNUMBER(CS!AN14),AN$10,"")</f>
        <v/>
      </c>
      <c r="AO14" s="63" t="str">
        <f ca="1">IF(ISNUMBER(CS!AO14),AO$10,"")</f>
        <v/>
      </c>
      <c r="AP14" s="414" t="str">
        <f ca="1">IF(ISNUMBER(CS!AP14),AP$10,"")</f>
        <v/>
      </c>
      <c r="AS14" s="4" t="str">
        <f t="shared" ca="1" si="11"/>
        <v>Tm04</v>
      </c>
      <c r="AU14" s="417" t="str">
        <f t="shared" ca="1" si="8"/>
        <v/>
      </c>
      <c r="AV14" s="210" t="str">
        <f t="shared" ca="1" si="8"/>
        <v/>
      </c>
      <c r="AW14" s="210" t="str">
        <f t="shared" ca="1" si="8"/>
        <v/>
      </c>
      <c r="AX14" s="210" t="str">
        <f t="shared" ca="1" si="8"/>
        <v/>
      </c>
      <c r="AY14" s="414" t="str">
        <f t="shared" ca="1" si="8"/>
        <v/>
      </c>
      <c r="BA14" s="417" t="e">
        <f t="shared" ca="1" si="12"/>
        <v>#N/A</v>
      </c>
      <c r="BB14" s="210" t="e">
        <f t="shared" ca="1" si="9"/>
        <v>#N/A</v>
      </c>
      <c r="BC14" s="210" t="e">
        <f t="shared" ca="1" si="9"/>
        <v>#N/A</v>
      </c>
      <c r="BD14" s="210" t="e">
        <f t="shared" ca="1" si="9"/>
        <v>#N/A</v>
      </c>
      <c r="BE14" s="210" t="e">
        <f t="shared" ca="1" si="9"/>
        <v>#N/A</v>
      </c>
      <c r="BF14" s="210" t="e">
        <f t="shared" ca="1" si="9"/>
        <v>#N/A</v>
      </c>
      <c r="BG14" s="210" t="e">
        <f t="shared" ca="1" si="9"/>
        <v>#N/A</v>
      </c>
      <c r="BH14" s="210" t="e">
        <f t="shared" ca="1" si="9"/>
        <v>#N/A</v>
      </c>
      <c r="BI14" s="210" t="e">
        <f t="shared" ca="1" si="9"/>
        <v>#N/A</v>
      </c>
      <c r="BJ14" s="210" t="e">
        <f t="shared" ca="1" si="9"/>
        <v>#N/A</v>
      </c>
      <c r="BK14" s="210" t="e">
        <f t="shared" ca="1" si="9"/>
        <v>#N/A</v>
      </c>
      <c r="BL14" s="210" t="e">
        <f t="shared" ca="1" si="9"/>
        <v>#N/A</v>
      </c>
      <c r="BM14" s="210" t="e">
        <f t="shared" ca="1" si="9"/>
        <v>#N/A</v>
      </c>
      <c r="BN14" s="210" t="e">
        <f t="shared" ca="1" si="9"/>
        <v>#N/A</v>
      </c>
      <c r="BO14" s="210" t="str">
        <f t="shared" ca="1" si="9"/>
        <v/>
      </c>
      <c r="BP14" s="210" t="str">
        <f t="shared" ca="1" si="9"/>
        <v/>
      </c>
      <c r="BQ14" s="414" t="str">
        <f t="shared" ca="1" si="9"/>
        <v/>
      </c>
      <c r="BS14" s="417" t="str">
        <f t="shared" ca="1" si="13"/>
        <v/>
      </c>
      <c r="BT14" s="210" t="str">
        <f t="shared" ca="1" si="10"/>
        <v/>
      </c>
      <c r="BU14" s="210" t="str">
        <f t="shared" ca="1" si="10"/>
        <v/>
      </c>
      <c r="BV14" s="210" t="str">
        <f t="shared" ca="1" si="10"/>
        <v/>
      </c>
      <c r="BW14" s="210" t="str">
        <f t="shared" ca="1" si="10"/>
        <v/>
      </c>
      <c r="BX14" s="210" t="str">
        <f t="shared" ca="1" si="10"/>
        <v/>
      </c>
      <c r="BY14" s="210" t="str">
        <f t="shared" ca="1" si="10"/>
        <v/>
      </c>
      <c r="BZ14" s="210">
        <f t="shared" ca="1" si="10"/>
        <v>0</v>
      </c>
      <c r="CA14" s="210" t="str">
        <f t="shared" ca="1" si="10"/>
        <v/>
      </c>
      <c r="CB14" s="396" t="str">
        <f t="shared" ca="1" si="10"/>
        <v/>
      </c>
      <c r="CC14" s="68"/>
      <c r="CD14" s="419" t="e">
        <f t="shared" ca="1" si="10"/>
        <v>#N/A</v>
      </c>
      <c r="CF14" s="50" t="str">
        <f ca="1">IF(AND(ISNUMBER(CS!C14),ISNUMBER(CS!D14)),CONCATENATE(CF$10,CG$10),"")</f>
        <v/>
      </c>
      <c r="CG14" s="50" t="str">
        <f ca="1">IF(AND(ISNUMBER(CS!D14),ISNUMBER(CS!E14)),CONCATENATE(CG$10,CH$10),"")</f>
        <v/>
      </c>
      <c r="CH14" s="50" t="str">
        <f ca="1">IF(AND(ISNUMBER(CS!E14),ISNUMBER(CS!F14)),CONCATENATE(CH$10,CI$10),"")</f>
        <v/>
      </c>
      <c r="CI14" s="50" t="e">
        <f ca="1">IF(AND(ISNUMBER(CS!F14),ISNUMBER(CS!G14)),CONCATENATE(CI$10,CJ$10),"")</f>
        <v>#N/A</v>
      </c>
      <c r="CJ14" s="50" t="str">
        <f ca="1">IF(AND(ISNUMBER(CS!G14),ISNUMBER(CS!H14)),CONCATENATE(CJ$10,CK$10),"")</f>
        <v/>
      </c>
      <c r="CK14" s="50" t="str">
        <f ca="1">IF(AND(ISNUMBER(CS!H14),ISNUMBER(CS!I14)),CONCATENATE(CK$10,CL$10),"")</f>
        <v/>
      </c>
      <c r="CL14" s="50" t="str">
        <f ca="1">IF(AND(ISNUMBER(CS!I14),ISNUMBER(CS!J14)),CONCATENATE(CL$10,CM$10),"")</f>
        <v/>
      </c>
      <c r="CM14" s="50" t="e">
        <f ca="1">IF(AND(ISNUMBER(CS!J14),ISNUMBER(CS!K14)),CONCATENATE(CM$10,CN$10),"")</f>
        <v>#N/A</v>
      </c>
      <c r="CN14" s="50" t="str">
        <f ca="1">IF(AND(ISNUMBER(CS!K14),ISNUMBER(CS!L14)),CONCATENATE(CN$10,CO$10),"")</f>
        <v/>
      </c>
      <c r="CO14" s="50" t="str">
        <f ca="1">IF(AND(ISNUMBER(CS!L14),ISNUMBER(CS!M14)),CONCATENATE(CO$10,CP$10),"")</f>
        <v/>
      </c>
      <c r="CP14" s="50" t="str">
        <f ca="1">IF(AND(ISNUMBER(CS!M14),ISNUMBER(CS!N14)),CONCATENATE(CP$10,CQ$10),"")</f>
        <v/>
      </c>
      <c r="CQ14" s="50" t="e">
        <f ca="1">IF(AND(ISNUMBER(CS!N14),ISNUMBER(CS!O14)),CONCATENATE(CQ$10,CR$10),"")</f>
        <v>#N/A</v>
      </c>
      <c r="CR14" s="50" t="str">
        <f ca="1">IF(AND(ISNUMBER(CS!O14),ISNUMBER(CS!P14)),CONCATENATE(CR$10,CS$10),"")</f>
        <v/>
      </c>
      <c r="CS14" s="50" t="str">
        <f ca="1">IF(AND(ISNUMBER(CS!P14),ISNUMBER(CS!Q14)),CONCATENATE(CS$10,CT$10),"")</f>
        <v/>
      </c>
      <c r="CT14" s="50" t="str">
        <f ca="1">IF(AND(ISNUMBER(CS!Q14),ISNUMBER(CS!R14)),CONCATENATE(CT$10,CU$10),"")</f>
        <v/>
      </c>
      <c r="CU14" s="50" t="str">
        <f ca="1">IF(AND(ISNUMBER(CS!R14),ISNUMBER(CS!S14)),CONCATENATE(CU$10,CV$10),"")</f>
        <v/>
      </c>
      <c r="CV14" s="50" t="str">
        <f ca="1">IF(AND(ISNUMBER(CS!S14),ISNUMBER(CS!T14)),CONCATENATE(CV$10,CW$10),"")</f>
        <v/>
      </c>
      <c r="CW14" s="50" t="str">
        <f ca="1">IF(AND(ISNUMBER(CS!T14),ISNUMBER(CS!U14)),CONCATENATE(CW$10,CX$10),"")</f>
        <v/>
      </c>
      <c r="CX14" s="50" t="str">
        <f ca="1">IF(AND(ISNUMBER(CS!U14),ISNUMBER(CS!V14)),CONCATENATE(CX$10,CY$10),"")</f>
        <v/>
      </c>
      <c r="CY14" s="50" t="str">
        <f ca="1">IF(AND(ISNUMBER(CS!V14),ISNUMBER(CS!W14)),CONCATENATE(CY$10,CZ$10),"")</f>
        <v/>
      </c>
      <c r="CZ14" s="50" t="str">
        <f ca="1">IF(AND(ISNUMBER(CS!W14),ISNUMBER(CS!X14)),CONCATENATE(CZ$10,DA$10),"")</f>
        <v/>
      </c>
      <c r="DA14" s="50" t="str">
        <f ca="1">IF(AND(ISNUMBER(CS!X14),ISNUMBER(CS!Y14)),CONCATENATE(DA$10,DB$10),"")</f>
        <v/>
      </c>
      <c r="DB14" s="50" t="str">
        <f ca="1">IF(AND(ISNUMBER(CS!Y14),ISNUMBER(CS!Z14)),CONCATENATE(DB$10,DC$10),"")</f>
        <v/>
      </c>
      <c r="DC14" s="50" t="str">
        <f ca="1">IF(AND(ISNUMBER(CS!Z14),ISNUMBER(CS!AA14)),CONCATENATE(DC$10,DD$10),"")</f>
        <v/>
      </c>
      <c r="DD14" s="50" t="str">
        <f ca="1">IF(AND(ISNUMBER(CS!AA14),ISNUMBER(CS!AB14)),CONCATENATE(DD$10,DE$10),"")</f>
        <v/>
      </c>
      <c r="DE14" s="50" t="str">
        <f ca="1">IF(AND(ISNUMBER(CS!AB14),ISNUMBER(CS!AC14)),CONCATENATE(DE$10,DF$10),"")</f>
        <v/>
      </c>
      <c r="DF14" s="50" t="str">
        <f ca="1">IF(AND(ISNUMBER(CS!AC14),ISNUMBER(CS!AD14)),CONCATENATE(DF$10,DG$10),"")</f>
        <v/>
      </c>
      <c r="DG14" s="50" t="str">
        <f ca="1">IF(AND(ISNUMBER(CS!AD14),ISNUMBER(CS!AE14)),CONCATENATE(DG$10,DH$10),"")</f>
        <v/>
      </c>
      <c r="DH14" s="50" t="str">
        <f ca="1">IF(AND(ISNUMBER(CS!AE14),ISNUMBER(CS!AF14)),CONCATENATE(DH$10,DI$10),"")</f>
        <v/>
      </c>
      <c r="DI14" s="50" t="str">
        <f ca="1">IF(AND(ISNUMBER(CS!AF14),ISNUMBER(CS!AG14)),CONCATENATE(DI$10,DJ$10),"")</f>
        <v/>
      </c>
      <c r="DJ14" s="50" t="str">
        <f ca="1">IF(AND(ISNUMBER(CS!AG14),ISNUMBER(CS!AH14)),CONCATENATE(DJ$10,DK$10),"")</f>
        <v/>
      </c>
      <c r="DK14" s="50" t="str">
        <f ca="1">IF(AND(ISNUMBER(CS!AH14),ISNUMBER(CS!AI14)),CONCATENATE(DK$10,DL$10),"")</f>
        <v/>
      </c>
      <c r="DL14" s="50" t="str">
        <f ca="1">IF(AND(ISNUMBER(CS!AI14),ISNUMBER(CS!AJ14)),CONCATENATE(DL$10,DM$10),"")</f>
        <v/>
      </c>
      <c r="DM14" s="50" t="str">
        <f ca="1">IF(AND(ISNUMBER(CS!AJ14),ISNUMBER(CS!AK14)),CONCATENATE(DM$10,DN$10),"")</f>
        <v/>
      </c>
      <c r="DN14" s="50" t="str">
        <f ca="1">IF(AND(ISNUMBER(CS!AK14),ISNUMBER(CS!AL14)),CONCATENATE(DN$10,DO$10),"")</f>
        <v/>
      </c>
      <c r="DO14" s="50" t="str">
        <f ca="1">IF(AND(ISNUMBER(CS!AL14),ISNUMBER(CS!AM14)),CONCATENATE(DO$10,DP$10),"")</f>
        <v/>
      </c>
      <c r="DP14" s="50" t="str">
        <f ca="1">IF(AND(ISNUMBER(CS!AM14),ISNUMBER(CS!AN14)),CONCATENATE(DP$10,DQ$10),"")</f>
        <v/>
      </c>
      <c r="DQ14" s="50" t="str">
        <f ca="1">IF(AND(ISNUMBER(CS!AN14),ISNUMBER(CS!AO14)),CONCATENATE(DQ$10,DR$10),"")</f>
        <v/>
      </c>
      <c r="DR14" s="50" t="str">
        <f ca="1">IF(AND(ISNUMBER(CS!AO14),ISNUMBER(CS!AP14)),CONCATENATE(DR$10,DS$10),"")</f>
        <v/>
      </c>
      <c r="DS14" s="50" t="str">
        <f ca="1">IF(AND(ISNUMBER(CS!AP14),ISNUMBER(CS!AQ14)),CONCATENATE(DS$10,DT$10),"")</f>
        <v/>
      </c>
      <c r="DT14" s="63">
        <f>DrawFinder!Y14</f>
        <v>1</v>
      </c>
    </row>
    <row r="15" spans="1:124">
      <c r="B15" s="393" t="str">
        <f ca="1">TmOrderLU!D15</f>
        <v>Tm05</v>
      </c>
      <c r="C15" s="63" t="e">
        <f ca="1">IF(ISNUMBER(CS!C15),C$10,"")</f>
        <v>#N/A</v>
      </c>
      <c r="D15" s="63" t="str">
        <f ca="1">IF(ISNUMBER(CS!D15),D$10,"")</f>
        <v/>
      </c>
      <c r="E15" s="63" t="str">
        <f ca="1">IF(ISNUMBER(CS!E15),E$10,"")</f>
        <v/>
      </c>
      <c r="F15" s="63" t="e">
        <f ca="1">IF(ISNUMBER(CS!F15),F$10,"")</f>
        <v>#N/A</v>
      </c>
      <c r="G15" s="63" t="e">
        <f ca="1">IF(ISNUMBER(CS!G15),G$10,"")</f>
        <v>#N/A</v>
      </c>
      <c r="H15" s="63" t="str">
        <f ca="1">IF(ISNUMBER(CS!H15),H$10,"")</f>
        <v/>
      </c>
      <c r="I15" s="63" t="str">
        <f ca="1">IF(ISNUMBER(CS!I15),I$10,"")</f>
        <v/>
      </c>
      <c r="J15" s="63" t="e">
        <f ca="1">IF(ISNUMBER(CS!J15),J$10,"")</f>
        <v>#N/A</v>
      </c>
      <c r="K15" s="63" t="e">
        <f ca="1">IF(ISNUMBER(CS!K15),K$10,"")</f>
        <v>#N/A</v>
      </c>
      <c r="L15" s="63" t="str">
        <f ca="1">IF(ISNUMBER(CS!L15),L$10,"")</f>
        <v/>
      </c>
      <c r="M15" s="63" t="str">
        <f ca="1">IF(ISNUMBER(CS!M15),M$10,"")</f>
        <v/>
      </c>
      <c r="N15" s="63" t="e">
        <f ca="1">IF(ISNUMBER(CS!N15),N$10,"")</f>
        <v>#N/A</v>
      </c>
      <c r="O15" s="63" t="e">
        <f ca="1">IF(ISNUMBER(CS!O15),O$10,"")</f>
        <v>#N/A</v>
      </c>
      <c r="P15" s="63" t="str">
        <f ca="1">IF(ISNUMBER(CS!P15),P$10,"")</f>
        <v/>
      </c>
      <c r="Q15" s="63" t="str">
        <f ca="1">IF(ISNUMBER(CS!Q15),Q$10,"")</f>
        <v/>
      </c>
      <c r="R15" s="63" t="str">
        <f ca="1">IF(ISNUMBER(CS!R15),R$10,"")</f>
        <v/>
      </c>
      <c r="S15" s="63" t="str">
        <f ca="1">IF(ISNUMBER(CS!S15),S$10,"")</f>
        <v/>
      </c>
      <c r="T15" s="63" t="str">
        <f ca="1">IF(ISNUMBER(CS!T15),T$10,"")</f>
        <v/>
      </c>
      <c r="U15" s="63" t="str">
        <f ca="1">IF(ISNUMBER(CS!U15),U$10,"")</f>
        <v/>
      </c>
      <c r="V15" s="63" t="str">
        <f ca="1">IF(ISNUMBER(CS!V15),V$10,"")</f>
        <v/>
      </c>
      <c r="W15" s="63" t="str">
        <f ca="1">IF(ISNUMBER(CS!W15),W$10,"")</f>
        <v/>
      </c>
      <c r="X15" s="63" t="str">
        <f ca="1">IF(ISNUMBER(CS!X15),X$10,"")</f>
        <v/>
      </c>
      <c r="Y15" s="63" t="str">
        <f ca="1">IF(ISNUMBER(CS!Y15),Y$10,"")</f>
        <v/>
      </c>
      <c r="Z15" s="63" t="str">
        <f ca="1">IF(ISNUMBER(CS!Z15),Z$10,"")</f>
        <v/>
      </c>
      <c r="AA15" s="63" t="str">
        <f ca="1">IF(ISNUMBER(CS!AA15),AA$10,"")</f>
        <v/>
      </c>
      <c r="AB15" s="63" t="str">
        <f ca="1">IF(ISNUMBER(CS!AB15),AB$10,"")</f>
        <v/>
      </c>
      <c r="AC15" s="63" t="str">
        <f ca="1">IF(ISNUMBER(CS!AC15),AC$10,"")</f>
        <v/>
      </c>
      <c r="AD15" s="63" t="str">
        <f ca="1">IF(ISNUMBER(CS!AD15),AD$10,"")</f>
        <v/>
      </c>
      <c r="AE15" s="63" t="str">
        <f ca="1">IF(ISNUMBER(CS!AE15),AE$10,"")</f>
        <v/>
      </c>
      <c r="AF15" s="63" t="str">
        <f ca="1">IF(ISNUMBER(CS!AF15),AF$10,"")</f>
        <v/>
      </c>
      <c r="AG15" s="63" t="str">
        <f ca="1">IF(ISNUMBER(CS!AG15),AG$10,"")</f>
        <v/>
      </c>
      <c r="AH15" s="63" t="str">
        <f ca="1">IF(ISNUMBER(CS!AH15),AH$10,"")</f>
        <v/>
      </c>
      <c r="AI15" s="63" t="str">
        <f ca="1">IF(ISNUMBER(CS!AI15),AI$10,"")</f>
        <v/>
      </c>
      <c r="AJ15" s="63" t="str">
        <f ca="1">IF(ISNUMBER(CS!AJ15),AJ$10,"")</f>
        <v/>
      </c>
      <c r="AK15" s="63" t="str">
        <f ca="1">IF(ISNUMBER(CS!AK15),AK$10,"")</f>
        <v/>
      </c>
      <c r="AL15" s="63" t="str">
        <f ca="1">IF(ISNUMBER(CS!AL15),AL$10,"")</f>
        <v/>
      </c>
      <c r="AM15" s="63" t="str">
        <f ca="1">IF(ISNUMBER(CS!AM15),AM$10,"")</f>
        <v/>
      </c>
      <c r="AN15" s="63" t="str">
        <f ca="1">IF(ISNUMBER(CS!AN15),AN$10,"")</f>
        <v/>
      </c>
      <c r="AO15" s="63" t="str">
        <f ca="1">IF(ISNUMBER(CS!AO15),AO$10,"")</f>
        <v/>
      </c>
      <c r="AP15" s="414" t="str">
        <f ca="1">IF(ISNUMBER(CS!AP15),AP$10,"")</f>
        <v/>
      </c>
      <c r="AS15" s="4" t="str">
        <f t="shared" ca="1" si="11"/>
        <v>Tm05</v>
      </c>
      <c r="AU15" s="417" t="str">
        <f t="shared" ca="1" si="8"/>
        <v/>
      </c>
      <c r="AV15" s="210" t="str">
        <f t="shared" ca="1" si="8"/>
        <v/>
      </c>
      <c r="AW15" s="210" t="str">
        <f t="shared" ca="1" si="8"/>
        <v/>
      </c>
      <c r="AX15" s="210" t="str">
        <f t="shared" ca="1" si="8"/>
        <v/>
      </c>
      <c r="AY15" s="414" t="str">
        <f t="shared" ca="1" si="8"/>
        <v/>
      </c>
      <c r="BA15" s="417" t="e">
        <f t="shared" ca="1" si="12"/>
        <v>#N/A</v>
      </c>
      <c r="BB15" s="210" t="e">
        <f t="shared" ca="1" si="9"/>
        <v>#N/A</v>
      </c>
      <c r="BC15" s="210" t="e">
        <f t="shared" ca="1" si="9"/>
        <v>#N/A</v>
      </c>
      <c r="BD15" s="210" t="e">
        <f t="shared" ca="1" si="9"/>
        <v>#N/A</v>
      </c>
      <c r="BE15" s="210" t="e">
        <f t="shared" ca="1" si="9"/>
        <v>#N/A</v>
      </c>
      <c r="BF15" s="210" t="e">
        <f t="shared" ca="1" si="9"/>
        <v>#N/A</v>
      </c>
      <c r="BG15" s="210" t="e">
        <f t="shared" ca="1" si="9"/>
        <v>#N/A</v>
      </c>
      <c r="BH15" s="210" t="e">
        <f t="shared" ca="1" si="9"/>
        <v>#N/A</v>
      </c>
      <c r="BI15" s="210" t="e">
        <f t="shared" ca="1" si="9"/>
        <v>#N/A</v>
      </c>
      <c r="BJ15" s="210" t="e">
        <f t="shared" ca="1" si="9"/>
        <v>#N/A</v>
      </c>
      <c r="BK15" s="210" t="e">
        <f t="shared" ca="1" si="9"/>
        <v>#N/A</v>
      </c>
      <c r="BL15" s="210" t="e">
        <f t="shared" ca="1" si="9"/>
        <v>#N/A</v>
      </c>
      <c r="BM15" s="210" t="e">
        <f t="shared" ca="1" si="9"/>
        <v>#N/A</v>
      </c>
      <c r="BN15" s="210" t="e">
        <f t="shared" ca="1" si="9"/>
        <v>#N/A</v>
      </c>
      <c r="BO15" s="210" t="str">
        <f t="shared" ca="1" si="9"/>
        <v/>
      </c>
      <c r="BP15" s="210" t="str">
        <f t="shared" ca="1" si="9"/>
        <v/>
      </c>
      <c r="BQ15" s="414" t="str">
        <f t="shared" ca="1" si="9"/>
        <v/>
      </c>
      <c r="BS15" s="417" t="str">
        <f t="shared" ca="1" si="13"/>
        <v/>
      </c>
      <c r="BT15" s="210" t="str">
        <f t="shared" ca="1" si="10"/>
        <v/>
      </c>
      <c r="BU15" s="210" t="str">
        <f t="shared" ca="1" si="10"/>
        <v/>
      </c>
      <c r="BV15" s="210" t="str">
        <f t="shared" ca="1" si="10"/>
        <v/>
      </c>
      <c r="BW15" s="210" t="str">
        <f t="shared" ca="1" si="10"/>
        <v/>
      </c>
      <c r="BX15" s="210" t="str">
        <f t="shared" ca="1" si="10"/>
        <v/>
      </c>
      <c r="BY15" s="210" t="str">
        <f t="shared" ca="1" si="10"/>
        <v/>
      </c>
      <c r="BZ15" s="210">
        <f t="shared" ca="1" si="10"/>
        <v>0</v>
      </c>
      <c r="CA15" s="210" t="str">
        <f t="shared" ca="1" si="10"/>
        <v/>
      </c>
      <c r="CB15" s="396" t="str">
        <f t="shared" ca="1" si="10"/>
        <v/>
      </c>
      <c r="CC15" s="68"/>
      <c r="CD15" s="419" t="e">
        <f t="shared" ca="1" si="10"/>
        <v>#N/A</v>
      </c>
      <c r="CF15" s="50" t="str">
        <f ca="1">IF(AND(ISNUMBER(CS!C15),ISNUMBER(CS!D15)),CONCATENATE(CF$10,CG$10),"")</f>
        <v/>
      </c>
      <c r="CG15" s="50" t="str">
        <f ca="1">IF(AND(ISNUMBER(CS!D15),ISNUMBER(CS!E15)),CONCATENATE(CG$10,CH$10),"")</f>
        <v/>
      </c>
      <c r="CH15" s="50" t="str">
        <f ca="1">IF(AND(ISNUMBER(CS!E15),ISNUMBER(CS!F15)),CONCATENATE(CH$10,CI$10),"")</f>
        <v/>
      </c>
      <c r="CI15" s="50" t="e">
        <f ca="1">IF(AND(ISNUMBER(CS!F15),ISNUMBER(CS!G15)),CONCATENATE(CI$10,CJ$10),"")</f>
        <v>#N/A</v>
      </c>
      <c r="CJ15" s="50" t="str">
        <f ca="1">IF(AND(ISNUMBER(CS!G15),ISNUMBER(CS!H15)),CONCATENATE(CJ$10,CK$10),"")</f>
        <v/>
      </c>
      <c r="CK15" s="50" t="str">
        <f ca="1">IF(AND(ISNUMBER(CS!H15),ISNUMBER(CS!I15)),CONCATENATE(CK$10,CL$10),"")</f>
        <v/>
      </c>
      <c r="CL15" s="50" t="str">
        <f ca="1">IF(AND(ISNUMBER(CS!I15),ISNUMBER(CS!J15)),CONCATENATE(CL$10,CM$10),"")</f>
        <v/>
      </c>
      <c r="CM15" s="50" t="e">
        <f ca="1">IF(AND(ISNUMBER(CS!J15),ISNUMBER(CS!K15)),CONCATENATE(CM$10,CN$10),"")</f>
        <v>#N/A</v>
      </c>
      <c r="CN15" s="50" t="str">
        <f ca="1">IF(AND(ISNUMBER(CS!K15),ISNUMBER(CS!L15)),CONCATENATE(CN$10,CO$10),"")</f>
        <v/>
      </c>
      <c r="CO15" s="50" t="str">
        <f ca="1">IF(AND(ISNUMBER(CS!L15),ISNUMBER(CS!M15)),CONCATENATE(CO$10,CP$10),"")</f>
        <v/>
      </c>
      <c r="CP15" s="50" t="str">
        <f ca="1">IF(AND(ISNUMBER(CS!M15),ISNUMBER(CS!N15)),CONCATENATE(CP$10,CQ$10),"")</f>
        <v/>
      </c>
      <c r="CQ15" s="50" t="e">
        <f ca="1">IF(AND(ISNUMBER(CS!N15),ISNUMBER(CS!O15)),CONCATENATE(CQ$10,CR$10),"")</f>
        <v>#N/A</v>
      </c>
      <c r="CR15" s="50" t="str">
        <f ca="1">IF(AND(ISNUMBER(CS!O15),ISNUMBER(CS!P15)),CONCATENATE(CR$10,CS$10),"")</f>
        <v/>
      </c>
      <c r="CS15" s="50" t="str">
        <f ca="1">IF(AND(ISNUMBER(CS!P15),ISNUMBER(CS!Q15)),CONCATENATE(CS$10,CT$10),"")</f>
        <v/>
      </c>
      <c r="CT15" s="50" t="str">
        <f ca="1">IF(AND(ISNUMBER(CS!Q15),ISNUMBER(CS!R15)),CONCATENATE(CT$10,CU$10),"")</f>
        <v/>
      </c>
      <c r="CU15" s="50" t="str">
        <f ca="1">IF(AND(ISNUMBER(CS!R15),ISNUMBER(CS!S15)),CONCATENATE(CU$10,CV$10),"")</f>
        <v/>
      </c>
      <c r="CV15" s="50" t="str">
        <f ca="1">IF(AND(ISNUMBER(CS!S15),ISNUMBER(CS!T15)),CONCATENATE(CV$10,CW$10),"")</f>
        <v/>
      </c>
      <c r="CW15" s="50" t="str">
        <f ca="1">IF(AND(ISNUMBER(CS!T15),ISNUMBER(CS!U15)),CONCATENATE(CW$10,CX$10),"")</f>
        <v/>
      </c>
      <c r="CX15" s="50" t="str">
        <f ca="1">IF(AND(ISNUMBER(CS!U15),ISNUMBER(CS!V15)),CONCATENATE(CX$10,CY$10),"")</f>
        <v/>
      </c>
      <c r="CY15" s="50" t="str">
        <f ca="1">IF(AND(ISNUMBER(CS!V15),ISNUMBER(CS!W15)),CONCATENATE(CY$10,CZ$10),"")</f>
        <v/>
      </c>
      <c r="CZ15" s="50" t="str">
        <f ca="1">IF(AND(ISNUMBER(CS!W15),ISNUMBER(CS!X15)),CONCATENATE(CZ$10,DA$10),"")</f>
        <v/>
      </c>
      <c r="DA15" s="50" t="str">
        <f ca="1">IF(AND(ISNUMBER(CS!X15),ISNUMBER(CS!Y15)),CONCATENATE(DA$10,DB$10),"")</f>
        <v/>
      </c>
      <c r="DB15" s="50" t="str">
        <f ca="1">IF(AND(ISNUMBER(CS!Y15),ISNUMBER(CS!Z15)),CONCATENATE(DB$10,DC$10),"")</f>
        <v/>
      </c>
      <c r="DC15" s="50" t="str">
        <f ca="1">IF(AND(ISNUMBER(CS!Z15),ISNUMBER(CS!AA15)),CONCATENATE(DC$10,DD$10),"")</f>
        <v/>
      </c>
      <c r="DD15" s="50" t="str">
        <f ca="1">IF(AND(ISNUMBER(CS!AA15),ISNUMBER(CS!AB15)),CONCATENATE(DD$10,DE$10),"")</f>
        <v/>
      </c>
      <c r="DE15" s="50" t="str">
        <f ca="1">IF(AND(ISNUMBER(CS!AB15),ISNUMBER(CS!AC15)),CONCATENATE(DE$10,DF$10),"")</f>
        <v/>
      </c>
      <c r="DF15" s="50" t="str">
        <f ca="1">IF(AND(ISNUMBER(CS!AC15),ISNUMBER(CS!AD15)),CONCATENATE(DF$10,DG$10),"")</f>
        <v/>
      </c>
      <c r="DG15" s="50" t="str">
        <f ca="1">IF(AND(ISNUMBER(CS!AD15),ISNUMBER(CS!AE15)),CONCATENATE(DG$10,DH$10),"")</f>
        <v/>
      </c>
      <c r="DH15" s="50" t="str">
        <f ca="1">IF(AND(ISNUMBER(CS!AE15),ISNUMBER(CS!AF15)),CONCATENATE(DH$10,DI$10),"")</f>
        <v/>
      </c>
      <c r="DI15" s="50" t="str">
        <f ca="1">IF(AND(ISNUMBER(CS!AF15),ISNUMBER(CS!AG15)),CONCATENATE(DI$10,DJ$10),"")</f>
        <v/>
      </c>
      <c r="DJ15" s="50" t="str">
        <f ca="1">IF(AND(ISNUMBER(CS!AG15),ISNUMBER(CS!AH15)),CONCATENATE(DJ$10,DK$10),"")</f>
        <v/>
      </c>
      <c r="DK15" s="50" t="str">
        <f ca="1">IF(AND(ISNUMBER(CS!AH15),ISNUMBER(CS!AI15)),CONCATENATE(DK$10,DL$10),"")</f>
        <v/>
      </c>
      <c r="DL15" s="50" t="str">
        <f ca="1">IF(AND(ISNUMBER(CS!AI15),ISNUMBER(CS!AJ15)),CONCATENATE(DL$10,DM$10),"")</f>
        <v/>
      </c>
      <c r="DM15" s="50" t="str">
        <f ca="1">IF(AND(ISNUMBER(CS!AJ15),ISNUMBER(CS!AK15)),CONCATENATE(DM$10,DN$10),"")</f>
        <v/>
      </c>
      <c r="DN15" s="50" t="str">
        <f ca="1">IF(AND(ISNUMBER(CS!AK15),ISNUMBER(CS!AL15)),CONCATENATE(DN$10,DO$10),"")</f>
        <v/>
      </c>
      <c r="DO15" s="50" t="str">
        <f ca="1">IF(AND(ISNUMBER(CS!AL15),ISNUMBER(CS!AM15)),CONCATENATE(DO$10,DP$10),"")</f>
        <v/>
      </c>
      <c r="DP15" s="50" t="str">
        <f ca="1">IF(AND(ISNUMBER(CS!AM15),ISNUMBER(CS!AN15)),CONCATENATE(DP$10,DQ$10),"")</f>
        <v/>
      </c>
      <c r="DQ15" s="50" t="str">
        <f ca="1">IF(AND(ISNUMBER(CS!AN15),ISNUMBER(CS!AO15)),CONCATENATE(DQ$10,DR$10),"")</f>
        <v/>
      </c>
      <c r="DR15" s="50" t="str">
        <f ca="1">IF(AND(ISNUMBER(CS!AO15),ISNUMBER(CS!AP15)),CONCATENATE(DR$10,DS$10),"")</f>
        <v/>
      </c>
      <c r="DS15" s="50" t="str">
        <f ca="1">IF(AND(ISNUMBER(CS!AP15),ISNUMBER(CS!AQ15)),CONCATENATE(DS$10,DT$10),"")</f>
        <v/>
      </c>
      <c r="DT15" s="63">
        <f>DrawFinder!Y15</f>
        <v>1</v>
      </c>
    </row>
    <row r="16" spans="1:124">
      <c r="B16" s="393" t="str">
        <f ca="1">TmOrderLU!D16</f>
        <v>Tm06</v>
      </c>
      <c r="C16" s="63" t="e">
        <f ca="1">IF(ISNUMBER(CS!C16),C$10,"")</f>
        <v>#N/A</v>
      </c>
      <c r="D16" s="63" t="str">
        <f ca="1">IF(ISNUMBER(CS!D16),D$10,"")</f>
        <v/>
      </c>
      <c r="E16" s="63" t="str">
        <f ca="1">IF(ISNUMBER(CS!E16),E$10,"")</f>
        <v/>
      </c>
      <c r="F16" s="63" t="e">
        <f ca="1">IF(ISNUMBER(CS!F16),F$10,"")</f>
        <v>#N/A</v>
      </c>
      <c r="G16" s="63" t="e">
        <f ca="1">IF(ISNUMBER(CS!G16),G$10,"")</f>
        <v>#N/A</v>
      </c>
      <c r="H16" s="63" t="str">
        <f ca="1">IF(ISNUMBER(CS!H16),H$10,"")</f>
        <v/>
      </c>
      <c r="I16" s="63" t="str">
        <f ca="1">IF(ISNUMBER(CS!I16),I$10,"")</f>
        <v/>
      </c>
      <c r="J16" s="63" t="e">
        <f ca="1">IF(ISNUMBER(CS!J16),J$10,"")</f>
        <v>#N/A</v>
      </c>
      <c r="K16" s="63" t="e">
        <f ca="1">IF(ISNUMBER(CS!K16),K$10,"")</f>
        <v>#N/A</v>
      </c>
      <c r="L16" s="63" t="str">
        <f ca="1">IF(ISNUMBER(CS!L16),L$10,"")</f>
        <v/>
      </c>
      <c r="M16" s="63" t="str">
        <f ca="1">IF(ISNUMBER(CS!M16),M$10,"")</f>
        <v/>
      </c>
      <c r="N16" s="63" t="e">
        <f ca="1">IF(ISNUMBER(CS!N16),N$10,"")</f>
        <v>#N/A</v>
      </c>
      <c r="O16" s="63" t="e">
        <f ca="1">IF(ISNUMBER(CS!O16),O$10,"")</f>
        <v>#N/A</v>
      </c>
      <c r="P16" s="63" t="str">
        <f ca="1">IF(ISNUMBER(CS!P16),P$10,"")</f>
        <v/>
      </c>
      <c r="Q16" s="63" t="str">
        <f ca="1">IF(ISNUMBER(CS!Q16),Q$10,"")</f>
        <v/>
      </c>
      <c r="R16" s="63" t="str">
        <f ca="1">IF(ISNUMBER(CS!R16),R$10,"")</f>
        <v/>
      </c>
      <c r="S16" s="63" t="str">
        <f ca="1">IF(ISNUMBER(CS!S16),S$10,"")</f>
        <v/>
      </c>
      <c r="T16" s="63" t="str">
        <f ca="1">IF(ISNUMBER(CS!T16),T$10,"")</f>
        <v/>
      </c>
      <c r="U16" s="63" t="str">
        <f ca="1">IF(ISNUMBER(CS!U16),U$10,"")</f>
        <v/>
      </c>
      <c r="V16" s="63" t="str">
        <f ca="1">IF(ISNUMBER(CS!V16),V$10,"")</f>
        <v/>
      </c>
      <c r="W16" s="63" t="str">
        <f ca="1">IF(ISNUMBER(CS!W16),W$10,"")</f>
        <v/>
      </c>
      <c r="X16" s="63" t="str">
        <f ca="1">IF(ISNUMBER(CS!X16),X$10,"")</f>
        <v/>
      </c>
      <c r="Y16" s="63" t="str">
        <f ca="1">IF(ISNUMBER(CS!Y16),Y$10,"")</f>
        <v/>
      </c>
      <c r="Z16" s="63" t="str">
        <f ca="1">IF(ISNUMBER(CS!Z16),Z$10,"")</f>
        <v/>
      </c>
      <c r="AA16" s="63" t="str">
        <f ca="1">IF(ISNUMBER(CS!AA16),AA$10,"")</f>
        <v/>
      </c>
      <c r="AB16" s="63" t="str">
        <f ca="1">IF(ISNUMBER(CS!AB16),AB$10,"")</f>
        <v/>
      </c>
      <c r="AC16" s="63" t="str">
        <f ca="1">IF(ISNUMBER(CS!AC16),AC$10,"")</f>
        <v/>
      </c>
      <c r="AD16" s="63" t="str">
        <f ca="1">IF(ISNUMBER(CS!AD16),AD$10,"")</f>
        <v/>
      </c>
      <c r="AE16" s="63" t="str">
        <f ca="1">IF(ISNUMBER(CS!AE16),AE$10,"")</f>
        <v/>
      </c>
      <c r="AF16" s="63" t="str">
        <f ca="1">IF(ISNUMBER(CS!AF16),AF$10,"")</f>
        <v/>
      </c>
      <c r="AG16" s="63" t="str">
        <f ca="1">IF(ISNUMBER(CS!AG16),AG$10,"")</f>
        <v/>
      </c>
      <c r="AH16" s="63" t="str">
        <f ca="1">IF(ISNUMBER(CS!AH16),AH$10,"")</f>
        <v/>
      </c>
      <c r="AI16" s="63" t="str">
        <f ca="1">IF(ISNUMBER(CS!AI16),AI$10,"")</f>
        <v/>
      </c>
      <c r="AJ16" s="63" t="str">
        <f ca="1">IF(ISNUMBER(CS!AJ16),AJ$10,"")</f>
        <v/>
      </c>
      <c r="AK16" s="63" t="str">
        <f ca="1">IF(ISNUMBER(CS!AK16),AK$10,"")</f>
        <v/>
      </c>
      <c r="AL16" s="63" t="str">
        <f ca="1">IF(ISNUMBER(CS!AL16),AL$10,"")</f>
        <v/>
      </c>
      <c r="AM16" s="63" t="str">
        <f ca="1">IF(ISNUMBER(CS!AM16),AM$10,"")</f>
        <v/>
      </c>
      <c r="AN16" s="63" t="str">
        <f ca="1">IF(ISNUMBER(CS!AN16),AN$10,"")</f>
        <v/>
      </c>
      <c r="AO16" s="63" t="str">
        <f ca="1">IF(ISNUMBER(CS!AO16),AO$10,"")</f>
        <v/>
      </c>
      <c r="AP16" s="414" t="str">
        <f ca="1">IF(ISNUMBER(CS!AP16),AP$10,"")</f>
        <v/>
      </c>
      <c r="AS16" s="4" t="str">
        <f t="shared" ca="1" si="11"/>
        <v>Tm06</v>
      </c>
      <c r="AU16" s="417" t="str">
        <f t="shared" ca="1" si="8"/>
        <v/>
      </c>
      <c r="AV16" s="210" t="str">
        <f t="shared" ca="1" si="8"/>
        <v/>
      </c>
      <c r="AW16" s="210" t="str">
        <f t="shared" ca="1" si="8"/>
        <v/>
      </c>
      <c r="AX16" s="210" t="str">
        <f t="shared" ca="1" si="8"/>
        <v/>
      </c>
      <c r="AY16" s="414" t="str">
        <f t="shared" ca="1" si="8"/>
        <v/>
      </c>
      <c r="BA16" s="417" t="e">
        <f t="shared" ca="1" si="12"/>
        <v>#N/A</v>
      </c>
      <c r="BB16" s="210" t="e">
        <f t="shared" ca="1" si="9"/>
        <v>#N/A</v>
      </c>
      <c r="BC16" s="210" t="e">
        <f t="shared" ca="1" si="9"/>
        <v>#N/A</v>
      </c>
      <c r="BD16" s="210" t="e">
        <f t="shared" ca="1" si="9"/>
        <v>#N/A</v>
      </c>
      <c r="BE16" s="210" t="e">
        <f t="shared" ca="1" si="9"/>
        <v>#N/A</v>
      </c>
      <c r="BF16" s="210" t="e">
        <f t="shared" ca="1" si="9"/>
        <v>#N/A</v>
      </c>
      <c r="BG16" s="210" t="e">
        <f t="shared" ca="1" si="9"/>
        <v>#N/A</v>
      </c>
      <c r="BH16" s="210" t="e">
        <f t="shared" ca="1" si="9"/>
        <v>#N/A</v>
      </c>
      <c r="BI16" s="210" t="e">
        <f t="shared" ca="1" si="9"/>
        <v>#N/A</v>
      </c>
      <c r="BJ16" s="210" t="e">
        <f t="shared" ca="1" si="9"/>
        <v>#N/A</v>
      </c>
      <c r="BK16" s="210" t="e">
        <f t="shared" ca="1" si="9"/>
        <v>#N/A</v>
      </c>
      <c r="BL16" s="210" t="e">
        <f t="shared" ca="1" si="9"/>
        <v>#N/A</v>
      </c>
      <c r="BM16" s="210" t="e">
        <f t="shared" ca="1" si="9"/>
        <v>#N/A</v>
      </c>
      <c r="BN16" s="210" t="e">
        <f t="shared" ca="1" si="9"/>
        <v>#N/A</v>
      </c>
      <c r="BO16" s="210" t="str">
        <f t="shared" ca="1" si="9"/>
        <v/>
      </c>
      <c r="BP16" s="210" t="str">
        <f t="shared" ca="1" si="9"/>
        <v/>
      </c>
      <c r="BQ16" s="414" t="str">
        <f t="shared" ca="1" si="9"/>
        <v/>
      </c>
      <c r="BS16" s="417" t="str">
        <f t="shared" ca="1" si="13"/>
        <v/>
      </c>
      <c r="BT16" s="210" t="str">
        <f t="shared" ca="1" si="10"/>
        <v/>
      </c>
      <c r="BU16" s="210" t="str">
        <f t="shared" ca="1" si="10"/>
        <v/>
      </c>
      <c r="BV16" s="210" t="str">
        <f t="shared" ca="1" si="10"/>
        <v/>
      </c>
      <c r="BW16" s="210" t="str">
        <f t="shared" ca="1" si="10"/>
        <v/>
      </c>
      <c r="BX16" s="210" t="str">
        <f t="shared" ca="1" si="10"/>
        <v/>
      </c>
      <c r="BY16" s="210" t="str">
        <f t="shared" ca="1" si="10"/>
        <v/>
      </c>
      <c r="BZ16" s="210">
        <f t="shared" ca="1" si="10"/>
        <v>0</v>
      </c>
      <c r="CA16" s="210" t="str">
        <f t="shared" ca="1" si="10"/>
        <v/>
      </c>
      <c r="CB16" s="396" t="str">
        <f t="shared" ca="1" si="10"/>
        <v/>
      </c>
      <c r="CC16" s="68"/>
      <c r="CD16" s="419" t="e">
        <f t="shared" ca="1" si="10"/>
        <v>#N/A</v>
      </c>
      <c r="CF16" s="50" t="str">
        <f ca="1">IF(AND(ISNUMBER(CS!C16),ISNUMBER(CS!D16)),CONCATENATE(CF$10,CG$10),"")</f>
        <v/>
      </c>
      <c r="CG16" s="50" t="str">
        <f ca="1">IF(AND(ISNUMBER(CS!D16),ISNUMBER(CS!E16)),CONCATENATE(CG$10,CH$10),"")</f>
        <v/>
      </c>
      <c r="CH16" s="50" t="str">
        <f ca="1">IF(AND(ISNUMBER(CS!E16),ISNUMBER(CS!F16)),CONCATENATE(CH$10,CI$10),"")</f>
        <v/>
      </c>
      <c r="CI16" s="50" t="e">
        <f ca="1">IF(AND(ISNUMBER(CS!F16),ISNUMBER(CS!G16)),CONCATENATE(CI$10,CJ$10),"")</f>
        <v>#N/A</v>
      </c>
      <c r="CJ16" s="50" t="str">
        <f ca="1">IF(AND(ISNUMBER(CS!G16),ISNUMBER(CS!H16)),CONCATENATE(CJ$10,CK$10),"")</f>
        <v/>
      </c>
      <c r="CK16" s="50" t="str">
        <f ca="1">IF(AND(ISNUMBER(CS!H16),ISNUMBER(CS!I16)),CONCATENATE(CK$10,CL$10),"")</f>
        <v/>
      </c>
      <c r="CL16" s="50" t="str">
        <f ca="1">IF(AND(ISNUMBER(CS!I16),ISNUMBER(CS!J16)),CONCATENATE(CL$10,CM$10),"")</f>
        <v/>
      </c>
      <c r="CM16" s="50" t="e">
        <f ca="1">IF(AND(ISNUMBER(CS!J16),ISNUMBER(CS!K16)),CONCATENATE(CM$10,CN$10),"")</f>
        <v>#N/A</v>
      </c>
      <c r="CN16" s="50" t="str">
        <f ca="1">IF(AND(ISNUMBER(CS!K16),ISNUMBER(CS!L16)),CONCATENATE(CN$10,CO$10),"")</f>
        <v/>
      </c>
      <c r="CO16" s="50" t="str">
        <f ca="1">IF(AND(ISNUMBER(CS!L16),ISNUMBER(CS!M16)),CONCATENATE(CO$10,CP$10),"")</f>
        <v/>
      </c>
      <c r="CP16" s="50" t="str">
        <f ca="1">IF(AND(ISNUMBER(CS!M16),ISNUMBER(CS!N16)),CONCATENATE(CP$10,CQ$10),"")</f>
        <v/>
      </c>
      <c r="CQ16" s="50" t="e">
        <f ca="1">IF(AND(ISNUMBER(CS!N16),ISNUMBER(CS!O16)),CONCATENATE(CQ$10,CR$10),"")</f>
        <v>#N/A</v>
      </c>
      <c r="CR16" s="50" t="str">
        <f ca="1">IF(AND(ISNUMBER(CS!O16),ISNUMBER(CS!P16)),CONCATENATE(CR$10,CS$10),"")</f>
        <v/>
      </c>
      <c r="CS16" s="50" t="str">
        <f ca="1">IF(AND(ISNUMBER(CS!P16),ISNUMBER(CS!Q16)),CONCATENATE(CS$10,CT$10),"")</f>
        <v/>
      </c>
      <c r="CT16" s="50" t="str">
        <f ca="1">IF(AND(ISNUMBER(CS!Q16),ISNUMBER(CS!R16)),CONCATENATE(CT$10,CU$10),"")</f>
        <v/>
      </c>
      <c r="CU16" s="50" t="str">
        <f ca="1">IF(AND(ISNUMBER(CS!R16),ISNUMBER(CS!S16)),CONCATENATE(CU$10,CV$10),"")</f>
        <v/>
      </c>
      <c r="CV16" s="50" t="str">
        <f ca="1">IF(AND(ISNUMBER(CS!S16),ISNUMBER(CS!T16)),CONCATENATE(CV$10,CW$10),"")</f>
        <v/>
      </c>
      <c r="CW16" s="50" t="str">
        <f ca="1">IF(AND(ISNUMBER(CS!T16),ISNUMBER(CS!U16)),CONCATENATE(CW$10,CX$10),"")</f>
        <v/>
      </c>
      <c r="CX16" s="50" t="str">
        <f ca="1">IF(AND(ISNUMBER(CS!U16),ISNUMBER(CS!V16)),CONCATENATE(CX$10,CY$10),"")</f>
        <v/>
      </c>
      <c r="CY16" s="50" t="str">
        <f ca="1">IF(AND(ISNUMBER(CS!V16),ISNUMBER(CS!W16)),CONCATENATE(CY$10,CZ$10),"")</f>
        <v/>
      </c>
      <c r="CZ16" s="50" t="str">
        <f ca="1">IF(AND(ISNUMBER(CS!W16),ISNUMBER(CS!X16)),CONCATENATE(CZ$10,DA$10),"")</f>
        <v/>
      </c>
      <c r="DA16" s="50" t="str">
        <f ca="1">IF(AND(ISNUMBER(CS!X16),ISNUMBER(CS!Y16)),CONCATENATE(DA$10,DB$10),"")</f>
        <v/>
      </c>
      <c r="DB16" s="50" t="str">
        <f ca="1">IF(AND(ISNUMBER(CS!Y16),ISNUMBER(CS!Z16)),CONCATENATE(DB$10,DC$10),"")</f>
        <v/>
      </c>
      <c r="DC16" s="50" t="str">
        <f ca="1">IF(AND(ISNUMBER(CS!Z16),ISNUMBER(CS!AA16)),CONCATENATE(DC$10,DD$10),"")</f>
        <v/>
      </c>
      <c r="DD16" s="50" t="str">
        <f ca="1">IF(AND(ISNUMBER(CS!AA16),ISNUMBER(CS!AB16)),CONCATENATE(DD$10,DE$10),"")</f>
        <v/>
      </c>
      <c r="DE16" s="50" t="str">
        <f ca="1">IF(AND(ISNUMBER(CS!AB16),ISNUMBER(CS!AC16)),CONCATENATE(DE$10,DF$10),"")</f>
        <v/>
      </c>
      <c r="DF16" s="50" t="str">
        <f ca="1">IF(AND(ISNUMBER(CS!AC16),ISNUMBER(CS!AD16)),CONCATENATE(DF$10,DG$10),"")</f>
        <v/>
      </c>
      <c r="DG16" s="50" t="str">
        <f ca="1">IF(AND(ISNUMBER(CS!AD16),ISNUMBER(CS!AE16)),CONCATENATE(DG$10,DH$10),"")</f>
        <v/>
      </c>
      <c r="DH16" s="50" t="str">
        <f ca="1">IF(AND(ISNUMBER(CS!AE16),ISNUMBER(CS!AF16)),CONCATENATE(DH$10,DI$10),"")</f>
        <v/>
      </c>
      <c r="DI16" s="50" t="str">
        <f ca="1">IF(AND(ISNUMBER(CS!AF16),ISNUMBER(CS!AG16)),CONCATENATE(DI$10,DJ$10),"")</f>
        <v/>
      </c>
      <c r="DJ16" s="50" t="str">
        <f ca="1">IF(AND(ISNUMBER(CS!AG16),ISNUMBER(CS!AH16)),CONCATENATE(DJ$10,DK$10),"")</f>
        <v/>
      </c>
      <c r="DK16" s="50" t="str">
        <f ca="1">IF(AND(ISNUMBER(CS!AH16),ISNUMBER(CS!AI16)),CONCATENATE(DK$10,DL$10),"")</f>
        <v/>
      </c>
      <c r="DL16" s="50" t="str">
        <f ca="1">IF(AND(ISNUMBER(CS!AI16),ISNUMBER(CS!AJ16)),CONCATENATE(DL$10,DM$10),"")</f>
        <v/>
      </c>
      <c r="DM16" s="50" t="str">
        <f ca="1">IF(AND(ISNUMBER(CS!AJ16),ISNUMBER(CS!AK16)),CONCATENATE(DM$10,DN$10),"")</f>
        <v/>
      </c>
      <c r="DN16" s="50" t="str">
        <f ca="1">IF(AND(ISNUMBER(CS!AK16),ISNUMBER(CS!AL16)),CONCATENATE(DN$10,DO$10),"")</f>
        <v/>
      </c>
      <c r="DO16" s="50" t="str">
        <f ca="1">IF(AND(ISNUMBER(CS!AL16),ISNUMBER(CS!AM16)),CONCATENATE(DO$10,DP$10),"")</f>
        <v/>
      </c>
      <c r="DP16" s="50" t="str">
        <f ca="1">IF(AND(ISNUMBER(CS!AM16),ISNUMBER(CS!AN16)),CONCATENATE(DP$10,DQ$10),"")</f>
        <v/>
      </c>
      <c r="DQ16" s="50" t="str">
        <f ca="1">IF(AND(ISNUMBER(CS!AN16),ISNUMBER(CS!AO16)),CONCATENATE(DQ$10,DR$10),"")</f>
        <v/>
      </c>
      <c r="DR16" s="50" t="str">
        <f ca="1">IF(AND(ISNUMBER(CS!AO16),ISNUMBER(CS!AP16)),CONCATENATE(DR$10,DS$10),"")</f>
        <v/>
      </c>
      <c r="DS16" s="50" t="str">
        <f ca="1">IF(AND(ISNUMBER(CS!AP16),ISNUMBER(CS!AQ16)),CONCATENATE(DS$10,DT$10),"")</f>
        <v/>
      </c>
      <c r="DT16" s="63">
        <f>DrawFinder!Y16</f>
        <v>1</v>
      </c>
    </row>
    <row r="17" spans="2:124">
      <c r="B17" s="393" t="str">
        <f ca="1">TmOrderLU!D17</f>
        <v>Tm07</v>
      </c>
      <c r="C17" s="63" t="e">
        <f ca="1">IF(ISNUMBER(CS!C17),C$10,"")</f>
        <v>#N/A</v>
      </c>
      <c r="D17" s="63" t="str">
        <f ca="1">IF(ISNUMBER(CS!D17),D$10,"")</f>
        <v/>
      </c>
      <c r="E17" s="63" t="str">
        <f ca="1">IF(ISNUMBER(CS!E17),E$10,"")</f>
        <v/>
      </c>
      <c r="F17" s="63" t="e">
        <f ca="1">IF(ISNUMBER(CS!F17),F$10,"")</f>
        <v>#N/A</v>
      </c>
      <c r="G17" s="63" t="e">
        <f ca="1">IF(ISNUMBER(CS!G17),G$10,"")</f>
        <v>#N/A</v>
      </c>
      <c r="H17" s="63" t="str">
        <f ca="1">IF(ISNUMBER(CS!H17),H$10,"")</f>
        <v/>
      </c>
      <c r="I17" s="63" t="str">
        <f ca="1">IF(ISNUMBER(CS!I17),I$10,"")</f>
        <v/>
      </c>
      <c r="J17" s="63" t="e">
        <f ca="1">IF(ISNUMBER(CS!J17),J$10,"")</f>
        <v>#N/A</v>
      </c>
      <c r="K17" s="63" t="e">
        <f ca="1">IF(ISNUMBER(CS!K17),K$10,"")</f>
        <v>#N/A</v>
      </c>
      <c r="L17" s="63" t="str">
        <f ca="1">IF(ISNUMBER(CS!L17),L$10,"")</f>
        <v/>
      </c>
      <c r="M17" s="63" t="str">
        <f ca="1">IF(ISNUMBER(CS!M17),M$10,"")</f>
        <v/>
      </c>
      <c r="N17" s="63" t="e">
        <f ca="1">IF(ISNUMBER(CS!N17),N$10,"")</f>
        <v>#N/A</v>
      </c>
      <c r="O17" s="63" t="e">
        <f ca="1">IF(ISNUMBER(CS!O17),O$10,"")</f>
        <v>#N/A</v>
      </c>
      <c r="P17" s="63" t="str">
        <f ca="1">IF(ISNUMBER(CS!P17),P$10,"")</f>
        <v/>
      </c>
      <c r="Q17" s="63" t="str">
        <f ca="1">IF(ISNUMBER(CS!Q17),Q$10,"")</f>
        <v/>
      </c>
      <c r="R17" s="63" t="str">
        <f ca="1">IF(ISNUMBER(CS!R17),R$10,"")</f>
        <v/>
      </c>
      <c r="S17" s="63" t="str">
        <f ca="1">IF(ISNUMBER(CS!S17),S$10,"")</f>
        <v/>
      </c>
      <c r="T17" s="63" t="str">
        <f ca="1">IF(ISNUMBER(CS!T17),T$10,"")</f>
        <v/>
      </c>
      <c r="U17" s="63" t="str">
        <f ca="1">IF(ISNUMBER(CS!U17),U$10,"")</f>
        <v/>
      </c>
      <c r="V17" s="63" t="str">
        <f ca="1">IF(ISNUMBER(CS!V17),V$10,"")</f>
        <v/>
      </c>
      <c r="W17" s="63" t="str">
        <f ca="1">IF(ISNUMBER(CS!W17),W$10,"")</f>
        <v/>
      </c>
      <c r="X17" s="63" t="str">
        <f ca="1">IF(ISNUMBER(CS!X17),X$10,"")</f>
        <v/>
      </c>
      <c r="Y17" s="63" t="str">
        <f ca="1">IF(ISNUMBER(CS!Y17),Y$10,"")</f>
        <v/>
      </c>
      <c r="Z17" s="63" t="str">
        <f ca="1">IF(ISNUMBER(CS!Z17),Z$10,"")</f>
        <v/>
      </c>
      <c r="AA17" s="63" t="str">
        <f ca="1">IF(ISNUMBER(CS!AA17),AA$10,"")</f>
        <v/>
      </c>
      <c r="AB17" s="63" t="str">
        <f ca="1">IF(ISNUMBER(CS!AB17),AB$10,"")</f>
        <v/>
      </c>
      <c r="AC17" s="63" t="str">
        <f ca="1">IF(ISNUMBER(CS!AC17),AC$10,"")</f>
        <v/>
      </c>
      <c r="AD17" s="63" t="str">
        <f ca="1">IF(ISNUMBER(CS!AD17),AD$10,"")</f>
        <v/>
      </c>
      <c r="AE17" s="63" t="str">
        <f ca="1">IF(ISNUMBER(CS!AE17),AE$10,"")</f>
        <v/>
      </c>
      <c r="AF17" s="63" t="str">
        <f ca="1">IF(ISNUMBER(CS!AF17),AF$10,"")</f>
        <v/>
      </c>
      <c r="AG17" s="63" t="str">
        <f ca="1">IF(ISNUMBER(CS!AG17),AG$10,"")</f>
        <v/>
      </c>
      <c r="AH17" s="63" t="str">
        <f ca="1">IF(ISNUMBER(CS!AH17),AH$10,"")</f>
        <v/>
      </c>
      <c r="AI17" s="63" t="str">
        <f ca="1">IF(ISNUMBER(CS!AI17),AI$10,"")</f>
        <v/>
      </c>
      <c r="AJ17" s="63" t="str">
        <f ca="1">IF(ISNUMBER(CS!AJ17),AJ$10,"")</f>
        <v/>
      </c>
      <c r="AK17" s="63" t="str">
        <f ca="1">IF(ISNUMBER(CS!AK17),AK$10,"")</f>
        <v/>
      </c>
      <c r="AL17" s="63" t="str">
        <f ca="1">IF(ISNUMBER(CS!AL17),AL$10,"")</f>
        <v/>
      </c>
      <c r="AM17" s="63" t="str">
        <f ca="1">IF(ISNUMBER(CS!AM17),AM$10,"")</f>
        <v/>
      </c>
      <c r="AN17" s="63" t="str">
        <f ca="1">IF(ISNUMBER(CS!AN17),AN$10,"")</f>
        <v/>
      </c>
      <c r="AO17" s="63" t="str">
        <f ca="1">IF(ISNUMBER(CS!AO17),AO$10,"")</f>
        <v/>
      </c>
      <c r="AP17" s="414" t="str">
        <f ca="1">IF(ISNUMBER(CS!AP17),AP$10,"")</f>
        <v/>
      </c>
      <c r="AS17" s="4" t="str">
        <f t="shared" ca="1" si="11"/>
        <v>Tm07</v>
      </c>
      <c r="AU17" s="417" t="str">
        <f t="shared" ca="1" si="8"/>
        <v/>
      </c>
      <c r="AV17" s="210" t="str">
        <f t="shared" ca="1" si="8"/>
        <v/>
      </c>
      <c r="AW17" s="210" t="str">
        <f t="shared" ca="1" si="8"/>
        <v/>
      </c>
      <c r="AX17" s="210" t="str">
        <f t="shared" ca="1" si="8"/>
        <v/>
      </c>
      <c r="AY17" s="414" t="str">
        <f t="shared" ca="1" si="8"/>
        <v/>
      </c>
      <c r="BA17" s="417" t="e">
        <f t="shared" ca="1" si="12"/>
        <v>#N/A</v>
      </c>
      <c r="BB17" s="210" t="e">
        <f t="shared" ca="1" si="9"/>
        <v>#N/A</v>
      </c>
      <c r="BC17" s="210" t="e">
        <f t="shared" ca="1" si="9"/>
        <v>#N/A</v>
      </c>
      <c r="BD17" s="210" t="e">
        <f t="shared" ca="1" si="9"/>
        <v>#N/A</v>
      </c>
      <c r="BE17" s="210" t="e">
        <f t="shared" ca="1" si="9"/>
        <v>#N/A</v>
      </c>
      <c r="BF17" s="210" t="e">
        <f t="shared" ca="1" si="9"/>
        <v>#N/A</v>
      </c>
      <c r="BG17" s="210" t="e">
        <f t="shared" ca="1" si="9"/>
        <v>#N/A</v>
      </c>
      <c r="BH17" s="210" t="e">
        <f t="shared" ca="1" si="9"/>
        <v>#N/A</v>
      </c>
      <c r="BI17" s="210" t="e">
        <f t="shared" ca="1" si="9"/>
        <v>#N/A</v>
      </c>
      <c r="BJ17" s="210" t="e">
        <f t="shared" ca="1" si="9"/>
        <v>#N/A</v>
      </c>
      <c r="BK17" s="210" t="e">
        <f t="shared" ca="1" si="9"/>
        <v>#N/A</v>
      </c>
      <c r="BL17" s="210" t="e">
        <f t="shared" ca="1" si="9"/>
        <v>#N/A</v>
      </c>
      <c r="BM17" s="210" t="e">
        <f t="shared" ca="1" si="9"/>
        <v>#N/A</v>
      </c>
      <c r="BN17" s="210" t="e">
        <f t="shared" ca="1" si="9"/>
        <v>#N/A</v>
      </c>
      <c r="BO17" s="210" t="str">
        <f t="shared" ca="1" si="9"/>
        <v/>
      </c>
      <c r="BP17" s="210" t="str">
        <f t="shared" ca="1" si="9"/>
        <v/>
      </c>
      <c r="BQ17" s="414" t="str">
        <f t="shared" ca="1" si="9"/>
        <v/>
      </c>
      <c r="BS17" s="417" t="str">
        <f t="shared" ca="1" si="13"/>
        <v/>
      </c>
      <c r="BT17" s="210" t="str">
        <f t="shared" ca="1" si="10"/>
        <v/>
      </c>
      <c r="BU17" s="210" t="str">
        <f t="shared" ca="1" si="10"/>
        <v/>
      </c>
      <c r="BV17" s="210" t="str">
        <f t="shared" ca="1" si="10"/>
        <v/>
      </c>
      <c r="BW17" s="210" t="str">
        <f t="shared" ca="1" si="10"/>
        <v/>
      </c>
      <c r="BX17" s="210" t="str">
        <f t="shared" ca="1" si="10"/>
        <v/>
      </c>
      <c r="BY17" s="210" t="str">
        <f t="shared" ca="1" si="10"/>
        <v/>
      </c>
      <c r="BZ17" s="210">
        <f t="shared" ca="1" si="10"/>
        <v>0</v>
      </c>
      <c r="CA17" s="210" t="str">
        <f t="shared" ca="1" si="10"/>
        <v/>
      </c>
      <c r="CB17" s="396" t="str">
        <f t="shared" ca="1" si="10"/>
        <v/>
      </c>
      <c r="CC17" s="68"/>
      <c r="CD17" s="419" t="e">
        <f t="shared" ca="1" si="10"/>
        <v>#N/A</v>
      </c>
      <c r="CF17" s="50" t="str">
        <f ca="1">IF(AND(ISNUMBER(CS!C17),ISNUMBER(CS!D17)),CONCATENATE(CF$10,CG$10),"")</f>
        <v/>
      </c>
      <c r="CG17" s="50" t="str">
        <f ca="1">IF(AND(ISNUMBER(CS!D17),ISNUMBER(CS!E17)),CONCATENATE(CG$10,CH$10),"")</f>
        <v/>
      </c>
      <c r="CH17" s="50" t="str">
        <f ca="1">IF(AND(ISNUMBER(CS!E17),ISNUMBER(CS!F17)),CONCATENATE(CH$10,CI$10),"")</f>
        <v/>
      </c>
      <c r="CI17" s="50" t="e">
        <f ca="1">IF(AND(ISNUMBER(CS!F17),ISNUMBER(CS!G17)),CONCATENATE(CI$10,CJ$10),"")</f>
        <v>#N/A</v>
      </c>
      <c r="CJ17" s="50" t="str">
        <f ca="1">IF(AND(ISNUMBER(CS!G17),ISNUMBER(CS!H17)),CONCATENATE(CJ$10,CK$10),"")</f>
        <v/>
      </c>
      <c r="CK17" s="50" t="str">
        <f ca="1">IF(AND(ISNUMBER(CS!H17),ISNUMBER(CS!I17)),CONCATENATE(CK$10,CL$10),"")</f>
        <v/>
      </c>
      <c r="CL17" s="50" t="str">
        <f ca="1">IF(AND(ISNUMBER(CS!I17),ISNUMBER(CS!J17)),CONCATENATE(CL$10,CM$10),"")</f>
        <v/>
      </c>
      <c r="CM17" s="50" t="e">
        <f ca="1">IF(AND(ISNUMBER(CS!J17),ISNUMBER(CS!K17)),CONCATENATE(CM$10,CN$10),"")</f>
        <v>#N/A</v>
      </c>
      <c r="CN17" s="50" t="str">
        <f ca="1">IF(AND(ISNUMBER(CS!K17),ISNUMBER(CS!L17)),CONCATENATE(CN$10,CO$10),"")</f>
        <v/>
      </c>
      <c r="CO17" s="50" t="str">
        <f ca="1">IF(AND(ISNUMBER(CS!L17),ISNUMBER(CS!M17)),CONCATENATE(CO$10,CP$10),"")</f>
        <v/>
      </c>
      <c r="CP17" s="50" t="str">
        <f ca="1">IF(AND(ISNUMBER(CS!M17),ISNUMBER(CS!N17)),CONCATENATE(CP$10,CQ$10),"")</f>
        <v/>
      </c>
      <c r="CQ17" s="50" t="e">
        <f ca="1">IF(AND(ISNUMBER(CS!N17),ISNUMBER(CS!O17)),CONCATENATE(CQ$10,CR$10),"")</f>
        <v>#N/A</v>
      </c>
      <c r="CR17" s="50" t="str">
        <f ca="1">IF(AND(ISNUMBER(CS!O17),ISNUMBER(CS!P17)),CONCATENATE(CR$10,CS$10),"")</f>
        <v/>
      </c>
      <c r="CS17" s="50" t="str">
        <f ca="1">IF(AND(ISNUMBER(CS!P17),ISNUMBER(CS!Q17)),CONCATENATE(CS$10,CT$10),"")</f>
        <v/>
      </c>
      <c r="CT17" s="50" t="str">
        <f ca="1">IF(AND(ISNUMBER(CS!Q17),ISNUMBER(CS!R17)),CONCATENATE(CT$10,CU$10),"")</f>
        <v/>
      </c>
      <c r="CU17" s="50" t="str">
        <f ca="1">IF(AND(ISNUMBER(CS!R17),ISNUMBER(CS!S17)),CONCATENATE(CU$10,CV$10),"")</f>
        <v/>
      </c>
      <c r="CV17" s="50" t="str">
        <f ca="1">IF(AND(ISNUMBER(CS!S17),ISNUMBER(CS!T17)),CONCATENATE(CV$10,CW$10),"")</f>
        <v/>
      </c>
      <c r="CW17" s="50" t="str">
        <f ca="1">IF(AND(ISNUMBER(CS!T17),ISNUMBER(CS!U17)),CONCATENATE(CW$10,CX$10),"")</f>
        <v/>
      </c>
      <c r="CX17" s="50" t="str">
        <f ca="1">IF(AND(ISNUMBER(CS!U17),ISNUMBER(CS!V17)),CONCATENATE(CX$10,CY$10),"")</f>
        <v/>
      </c>
      <c r="CY17" s="50" t="str">
        <f ca="1">IF(AND(ISNUMBER(CS!V17),ISNUMBER(CS!W17)),CONCATENATE(CY$10,CZ$10),"")</f>
        <v/>
      </c>
      <c r="CZ17" s="50" t="str">
        <f ca="1">IF(AND(ISNUMBER(CS!W17),ISNUMBER(CS!X17)),CONCATENATE(CZ$10,DA$10),"")</f>
        <v/>
      </c>
      <c r="DA17" s="50" t="str">
        <f ca="1">IF(AND(ISNUMBER(CS!X17),ISNUMBER(CS!Y17)),CONCATENATE(DA$10,DB$10),"")</f>
        <v/>
      </c>
      <c r="DB17" s="50" t="str">
        <f ca="1">IF(AND(ISNUMBER(CS!Y17),ISNUMBER(CS!Z17)),CONCATENATE(DB$10,DC$10),"")</f>
        <v/>
      </c>
      <c r="DC17" s="50" t="str">
        <f ca="1">IF(AND(ISNUMBER(CS!Z17),ISNUMBER(CS!AA17)),CONCATENATE(DC$10,DD$10),"")</f>
        <v/>
      </c>
      <c r="DD17" s="50" t="str">
        <f ca="1">IF(AND(ISNUMBER(CS!AA17),ISNUMBER(CS!AB17)),CONCATENATE(DD$10,DE$10),"")</f>
        <v/>
      </c>
      <c r="DE17" s="50" t="str">
        <f ca="1">IF(AND(ISNUMBER(CS!AB17),ISNUMBER(CS!AC17)),CONCATENATE(DE$10,DF$10),"")</f>
        <v/>
      </c>
      <c r="DF17" s="50" t="str">
        <f ca="1">IF(AND(ISNUMBER(CS!AC17),ISNUMBER(CS!AD17)),CONCATENATE(DF$10,DG$10),"")</f>
        <v/>
      </c>
      <c r="DG17" s="50" t="str">
        <f ca="1">IF(AND(ISNUMBER(CS!AD17),ISNUMBER(CS!AE17)),CONCATENATE(DG$10,DH$10),"")</f>
        <v/>
      </c>
      <c r="DH17" s="50" t="str">
        <f ca="1">IF(AND(ISNUMBER(CS!AE17),ISNUMBER(CS!AF17)),CONCATENATE(DH$10,DI$10),"")</f>
        <v/>
      </c>
      <c r="DI17" s="50" t="str">
        <f ca="1">IF(AND(ISNUMBER(CS!AF17),ISNUMBER(CS!AG17)),CONCATENATE(DI$10,DJ$10),"")</f>
        <v/>
      </c>
      <c r="DJ17" s="50" t="str">
        <f ca="1">IF(AND(ISNUMBER(CS!AG17),ISNUMBER(CS!AH17)),CONCATENATE(DJ$10,DK$10),"")</f>
        <v/>
      </c>
      <c r="DK17" s="50" t="str">
        <f ca="1">IF(AND(ISNUMBER(CS!AH17),ISNUMBER(CS!AI17)),CONCATENATE(DK$10,DL$10),"")</f>
        <v/>
      </c>
      <c r="DL17" s="50" t="str">
        <f ca="1">IF(AND(ISNUMBER(CS!AI17),ISNUMBER(CS!AJ17)),CONCATENATE(DL$10,DM$10),"")</f>
        <v/>
      </c>
      <c r="DM17" s="50" t="str">
        <f ca="1">IF(AND(ISNUMBER(CS!AJ17),ISNUMBER(CS!AK17)),CONCATENATE(DM$10,DN$10),"")</f>
        <v/>
      </c>
      <c r="DN17" s="50" t="str">
        <f ca="1">IF(AND(ISNUMBER(CS!AK17),ISNUMBER(CS!AL17)),CONCATENATE(DN$10,DO$10),"")</f>
        <v/>
      </c>
      <c r="DO17" s="50" t="str">
        <f ca="1">IF(AND(ISNUMBER(CS!AL17),ISNUMBER(CS!AM17)),CONCATENATE(DO$10,DP$10),"")</f>
        <v/>
      </c>
      <c r="DP17" s="50" t="str">
        <f ca="1">IF(AND(ISNUMBER(CS!AM17),ISNUMBER(CS!AN17)),CONCATENATE(DP$10,DQ$10),"")</f>
        <v/>
      </c>
      <c r="DQ17" s="50" t="str">
        <f ca="1">IF(AND(ISNUMBER(CS!AN17),ISNUMBER(CS!AO17)),CONCATENATE(DQ$10,DR$10),"")</f>
        <v/>
      </c>
      <c r="DR17" s="50" t="str">
        <f ca="1">IF(AND(ISNUMBER(CS!AO17),ISNUMBER(CS!AP17)),CONCATENATE(DR$10,DS$10),"")</f>
        <v/>
      </c>
      <c r="DS17" s="50" t="str">
        <f ca="1">IF(AND(ISNUMBER(CS!AP17),ISNUMBER(CS!AQ17)),CONCATENATE(DS$10,DT$10),"")</f>
        <v/>
      </c>
      <c r="DT17" s="63">
        <f>DrawFinder!Y17</f>
        <v>1</v>
      </c>
    </row>
    <row r="18" spans="2:124">
      <c r="B18" s="393" t="str">
        <f ca="1">TmOrderLU!D18</f>
        <v>Tm08</v>
      </c>
      <c r="C18" s="63" t="e">
        <f ca="1">IF(ISNUMBER(CS!C18),C$10,"")</f>
        <v>#N/A</v>
      </c>
      <c r="D18" s="63" t="str">
        <f ca="1">IF(ISNUMBER(CS!D18),D$10,"")</f>
        <v/>
      </c>
      <c r="E18" s="63" t="str">
        <f ca="1">IF(ISNUMBER(CS!E18),E$10,"")</f>
        <v/>
      </c>
      <c r="F18" s="63" t="e">
        <f ca="1">IF(ISNUMBER(CS!F18),F$10,"")</f>
        <v>#N/A</v>
      </c>
      <c r="G18" s="63" t="e">
        <f ca="1">IF(ISNUMBER(CS!G18),G$10,"")</f>
        <v>#N/A</v>
      </c>
      <c r="H18" s="63" t="str">
        <f ca="1">IF(ISNUMBER(CS!H18),H$10,"")</f>
        <v/>
      </c>
      <c r="I18" s="63" t="str">
        <f ca="1">IF(ISNUMBER(CS!I18),I$10,"")</f>
        <v/>
      </c>
      <c r="J18" s="63" t="e">
        <f ca="1">IF(ISNUMBER(CS!J18),J$10,"")</f>
        <v>#N/A</v>
      </c>
      <c r="K18" s="63" t="e">
        <f ca="1">IF(ISNUMBER(CS!K18),K$10,"")</f>
        <v>#N/A</v>
      </c>
      <c r="L18" s="63" t="str">
        <f ca="1">IF(ISNUMBER(CS!L18),L$10,"")</f>
        <v/>
      </c>
      <c r="M18" s="63" t="str">
        <f ca="1">IF(ISNUMBER(CS!M18),M$10,"")</f>
        <v/>
      </c>
      <c r="N18" s="63" t="e">
        <f ca="1">IF(ISNUMBER(CS!N18),N$10,"")</f>
        <v>#N/A</v>
      </c>
      <c r="O18" s="63" t="e">
        <f ca="1">IF(ISNUMBER(CS!O18),O$10,"")</f>
        <v>#N/A</v>
      </c>
      <c r="P18" s="63" t="str">
        <f ca="1">IF(ISNUMBER(CS!P18),P$10,"")</f>
        <v/>
      </c>
      <c r="Q18" s="63" t="str">
        <f ca="1">IF(ISNUMBER(CS!Q18),Q$10,"")</f>
        <v/>
      </c>
      <c r="R18" s="63" t="str">
        <f ca="1">IF(ISNUMBER(CS!R18),R$10,"")</f>
        <v/>
      </c>
      <c r="S18" s="63" t="str">
        <f ca="1">IF(ISNUMBER(CS!S18),S$10,"")</f>
        <v/>
      </c>
      <c r="T18" s="63" t="str">
        <f ca="1">IF(ISNUMBER(CS!T18),T$10,"")</f>
        <v/>
      </c>
      <c r="U18" s="63" t="str">
        <f ca="1">IF(ISNUMBER(CS!U18),U$10,"")</f>
        <v/>
      </c>
      <c r="V18" s="63" t="str">
        <f ca="1">IF(ISNUMBER(CS!V18),V$10,"")</f>
        <v/>
      </c>
      <c r="W18" s="63" t="str">
        <f ca="1">IF(ISNUMBER(CS!W18),W$10,"")</f>
        <v/>
      </c>
      <c r="X18" s="63" t="str">
        <f ca="1">IF(ISNUMBER(CS!X18),X$10,"")</f>
        <v/>
      </c>
      <c r="Y18" s="63" t="str">
        <f ca="1">IF(ISNUMBER(CS!Y18),Y$10,"")</f>
        <v/>
      </c>
      <c r="Z18" s="63" t="str">
        <f ca="1">IF(ISNUMBER(CS!Z18),Z$10,"")</f>
        <v/>
      </c>
      <c r="AA18" s="63" t="str">
        <f ca="1">IF(ISNUMBER(CS!AA18),AA$10,"")</f>
        <v/>
      </c>
      <c r="AB18" s="63" t="str">
        <f ca="1">IF(ISNUMBER(CS!AB18),AB$10,"")</f>
        <v/>
      </c>
      <c r="AC18" s="63" t="str">
        <f ca="1">IF(ISNUMBER(CS!AC18),AC$10,"")</f>
        <v/>
      </c>
      <c r="AD18" s="63" t="str">
        <f ca="1">IF(ISNUMBER(CS!AD18),AD$10,"")</f>
        <v/>
      </c>
      <c r="AE18" s="63" t="str">
        <f ca="1">IF(ISNUMBER(CS!AE18),AE$10,"")</f>
        <v/>
      </c>
      <c r="AF18" s="63" t="str">
        <f ca="1">IF(ISNUMBER(CS!AF18),AF$10,"")</f>
        <v/>
      </c>
      <c r="AG18" s="63" t="str">
        <f ca="1">IF(ISNUMBER(CS!AG18),AG$10,"")</f>
        <v/>
      </c>
      <c r="AH18" s="63" t="str">
        <f ca="1">IF(ISNUMBER(CS!AH18),AH$10,"")</f>
        <v/>
      </c>
      <c r="AI18" s="63" t="str">
        <f ca="1">IF(ISNUMBER(CS!AI18),AI$10,"")</f>
        <v/>
      </c>
      <c r="AJ18" s="63" t="str">
        <f ca="1">IF(ISNUMBER(CS!AJ18),AJ$10,"")</f>
        <v/>
      </c>
      <c r="AK18" s="63" t="str">
        <f ca="1">IF(ISNUMBER(CS!AK18),AK$10,"")</f>
        <v/>
      </c>
      <c r="AL18" s="63" t="str">
        <f ca="1">IF(ISNUMBER(CS!AL18),AL$10,"")</f>
        <v/>
      </c>
      <c r="AM18" s="63" t="str">
        <f ca="1">IF(ISNUMBER(CS!AM18),AM$10,"")</f>
        <v/>
      </c>
      <c r="AN18" s="63" t="str">
        <f ca="1">IF(ISNUMBER(CS!AN18),AN$10,"")</f>
        <v/>
      </c>
      <c r="AO18" s="63" t="str">
        <f ca="1">IF(ISNUMBER(CS!AO18),AO$10,"")</f>
        <v/>
      </c>
      <c r="AP18" s="414" t="str">
        <f ca="1">IF(ISNUMBER(CS!AP18),AP$10,"")</f>
        <v/>
      </c>
      <c r="AS18" s="4" t="str">
        <f t="shared" ca="1" si="11"/>
        <v>Tm08</v>
      </c>
      <c r="AU18" s="417" t="str">
        <f t="shared" ca="1" si="8"/>
        <v/>
      </c>
      <c r="AV18" s="210" t="str">
        <f t="shared" ca="1" si="8"/>
        <v/>
      </c>
      <c r="AW18" s="210" t="str">
        <f t="shared" ca="1" si="8"/>
        <v/>
      </c>
      <c r="AX18" s="210" t="str">
        <f t="shared" ca="1" si="8"/>
        <v/>
      </c>
      <c r="AY18" s="414" t="str">
        <f t="shared" ca="1" si="8"/>
        <v/>
      </c>
      <c r="BA18" s="417" t="e">
        <f t="shared" ca="1" si="12"/>
        <v>#N/A</v>
      </c>
      <c r="BB18" s="210" t="e">
        <f t="shared" ca="1" si="9"/>
        <v>#N/A</v>
      </c>
      <c r="BC18" s="210" t="e">
        <f t="shared" ca="1" si="9"/>
        <v>#N/A</v>
      </c>
      <c r="BD18" s="210" t="e">
        <f t="shared" ca="1" si="9"/>
        <v>#N/A</v>
      </c>
      <c r="BE18" s="210" t="e">
        <f t="shared" ca="1" si="9"/>
        <v>#N/A</v>
      </c>
      <c r="BF18" s="210" t="e">
        <f t="shared" ca="1" si="9"/>
        <v>#N/A</v>
      </c>
      <c r="BG18" s="210" t="e">
        <f t="shared" ca="1" si="9"/>
        <v>#N/A</v>
      </c>
      <c r="BH18" s="210" t="e">
        <f t="shared" ca="1" si="9"/>
        <v>#N/A</v>
      </c>
      <c r="BI18" s="210" t="e">
        <f t="shared" ca="1" si="9"/>
        <v>#N/A</v>
      </c>
      <c r="BJ18" s="210" t="e">
        <f t="shared" ca="1" si="9"/>
        <v>#N/A</v>
      </c>
      <c r="BK18" s="210" t="e">
        <f t="shared" ca="1" si="9"/>
        <v>#N/A</v>
      </c>
      <c r="BL18" s="210" t="e">
        <f t="shared" ca="1" si="9"/>
        <v>#N/A</v>
      </c>
      <c r="BM18" s="210" t="e">
        <f t="shared" ca="1" si="9"/>
        <v>#N/A</v>
      </c>
      <c r="BN18" s="210" t="e">
        <f t="shared" ca="1" si="9"/>
        <v>#N/A</v>
      </c>
      <c r="BO18" s="210" t="str">
        <f t="shared" ca="1" si="9"/>
        <v/>
      </c>
      <c r="BP18" s="210" t="str">
        <f t="shared" ca="1" si="9"/>
        <v/>
      </c>
      <c r="BQ18" s="414" t="str">
        <f t="shared" ca="1" si="9"/>
        <v/>
      </c>
      <c r="BS18" s="417" t="str">
        <f t="shared" ca="1" si="13"/>
        <v/>
      </c>
      <c r="BT18" s="210" t="str">
        <f t="shared" ca="1" si="10"/>
        <v/>
      </c>
      <c r="BU18" s="210" t="str">
        <f t="shared" ca="1" si="10"/>
        <v/>
      </c>
      <c r="BV18" s="210" t="str">
        <f t="shared" ca="1" si="10"/>
        <v/>
      </c>
      <c r="BW18" s="210" t="str">
        <f t="shared" ca="1" si="10"/>
        <v/>
      </c>
      <c r="BX18" s="210" t="str">
        <f t="shared" ca="1" si="10"/>
        <v/>
      </c>
      <c r="BY18" s="210" t="str">
        <f t="shared" ca="1" si="10"/>
        <v/>
      </c>
      <c r="BZ18" s="210">
        <f t="shared" ca="1" si="10"/>
        <v>0</v>
      </c>
      <c r="CA18" s="210" t="str">
        <f t="shared" ca="1" si="10"/>
        <v/>
      </c>
      <c r="CB18" s="396" t="str">
        <f t="shared" ca="1" si="10"/>
        <v/>
      </c>
      <c r="CC18" s="68"/>
      <c r="CD18" s="419" t="e">
        <f t="shared" ca="1" si="10"/>
        <v>#N/A</v>
      </c>
      <c r="CF18" s="50" t="str">
        <f ca="1">IF(AND(ISNUMBER(CS!C18),ISNUMBER(CS!D18)),CONCATENATE(CF$10,CG$10),"")</f>
        <v/>
      </c>
      <c r="CG18" s="50" t="str">
        <f ca="1">IF(AND(ISNUMBER(CS!D18),ISNUMBER(CS!E18)),CONCATENATE(CG$10,CH$10),"")</f>
        <v/>
      </c>
      <c r="CH18" s="50" t="str">
        <f ca="1">IF(AND(ISNUMBER(CS!E18),ISNUMBER(CS!F18)),CONCATENATE(CH$10,CI$10),"")</f>
        <v/>
      </c>
      <c r="CI18" s="50" t="e">
        <f ca="1">IF(AND(ISNUMBER(CS!F18),ISNUMBER(CS!G18)),CONCATENATE(CI$10,CJ$10),"")</f>
        <v>#N/A</v>
      </c>
      <c r="CJ18" s="50" t="str">
        <f ca="1">IF(AND(ISNUMBER(CS!G18),ISNUMBER(CS!H18)),CONCATENATE(CJ$10,CK$10),"")</f>
        <v/>
      </c>
      <c r="CK18" s="50" t="str">
        <f ca="1">IF(AND(ISNUMBER(CS!H18),ISNUMBER(CS!I18)),CONCATENATE(CK$10,CL$10),"")</f>
        <v/>
      </c>
      <c r="CL18" s="50" t="str">
        <f ca="1">IF(AND(ISNUMBER(CS!I18),ISNUMBER(CS!J18)),CONCATENATE(CL$10,CM$10),"")</f>
        <v/>
      </c>
      <c r="CM18" s="50" t="e">
        <f ca="1">IF(AND(ISNUMBER(CS!J18),ISNUMBER(CS!K18)),CONCATENATE(CM$10,CN$10),"")</f>
        <v>#N/A</v>
      </c>
      <c r="CN18" s="50" t="str">
        <f ca="1">IF(AND(ISNUMBER(CS!K18),ISNUMBER(CS!L18)),CONCATENATE(CN$10,CO$10),"")</f>
        <v/>
      </c>
      <c r="CO18" s="50" t="str">
        <f ca="1">IF(AND(ISNUMBER(CS!L18),ISNUMBER(CS!M18)),CONCATENATE(CO$10,CP$10),"")</f>
        <v/>
      </c>
      <c r="CP18" s="50" t="str">
        <f ca="1">IF(AND(ISNUMBER(CS!M18),ISNUMBER(CS!N18)),CONCATENATE(CP$10,CQ$10),"")</f>
        <v/>
      </c>
      <c r="CQ18" s="50" t="e">
        <f ca="1">IF(AND(ISNUMBER(CS!N18),ISNUMBER(CS!O18)),CONCATENATE(CQ$10,CR$10),"")</f>
        <v>#N/A</v>
      </c>
      <c r="CR18" s="50" t="str">
        <f ca="1">IF(AND(ISNUMBER(CS!O18),ISNUMBER(CS!P18)),CONCATENATE(CR$10,CS$10),"")</f>
        <v/>
      </c>
      <c r="CS18" s="50" t="str">
        <f ca="1">IF(AND(ISNUMBER(CS!P18),ISNUMBER(CS!Q18)),CONCATENATE(CS$10,CT$10),"")</f>
        <v/>
      </c>
      <c r="CT18" s="50" t="str">
        <f ca="1">IF(AND(ISNUMBER(CS!Q18),ISNUMBER(CS!R18)),CONCATENATE(CT$10,CU$10),"")</f>
        <v/>
      </c>
      <c r="CU18" s="50" t="str">
        <f ca="1">IF(AND(ISNUMBER(CS!R18),ISNUMBER(CS!S18)),CONCATENATE(CU$10,CV$10),"")</f>
        <v/>
      </c>
      <c r="CV18" s="50" t="str">
        <f ca="1">IF(AND(ISNUMBER(CS!S18),ISNUMBER(CS!T18)),CONCATENATE(CV$10,CW$10),"")</f>
        <v/>
      </c>
      <c r="CW18" s="50" t="str">
        <f ca="1">IF(AND(ISNUMBER(CS!T18),ISNUMBER(CS!U18)),CONCATENATE(CW$10,CX$10),"")</f>
        <v/>
      </c>
      <c r="CX18" s="50" t="str">
        <f ca="1">IF(AND(ISNUMBER(CS!U18),ISNUMBER(CS!V18)),CONCATENATE(CX$10,CY$10),"")</f>
        <v/>
      </c>
      <c r="CY18" s="50" t="str">
        <f ca="1">IF(AND(ISNUMBER(CS!V18),ISNUMBER(CS!W18)),CONCATENATE(CY$10,CZ$10),"")</f>
        <v/>
      </c>
      <c r="CZ18" s="50" t="str">
        <f ca="1">IF(AND(ISNUMBER(CS!W18),ISNUMBER(CS!X18)),CONCATENATE(CZ$10,DA$10),"")</f>
        <v/>
      </c>
      <c r="DA18" s="50" t="str">
        <f ca="1">IF(AND(ISNUMBER(CS!X18),ISNUMBER(CS!Y18)),CONCATENATE(DA$10,DB$10),"")</f>
        <v/>
      </c>
      <c r="DB18" s="50" t="str">
        <f ca="1">IF(AND(ISNUMBER(CS!Y18),ISNUMBER(CS!Z18)),CONCATENATE(DB$10,DC$10),"")</f>
        <v/>
      </c>
      <c r="DC18" s="50" t="str">
        <f ca="1">IF(AND(ISNUMBER(CS!Z18),ISNUMBER(CS!AA18)),CONCATENATE(DC$10,DD$10),"")</f>
        <v/>
      </c>
      <c r="DD18" s="50" t="str">
        <f ca="1">IF(AND(ISNUMBER(CS!AA18),ISNUMBER(CS!AB18)),CONCATENATE(DD$10,DE$10),"")</f>
        <v/>
      </c>
      <c r="DE18" s="50" t="str">
        <f ca="1">IF(AND(ISNUMBER(CS!AB18),ISNUMBER(CS!AC18)),CONCATENATE(DE$10,DF$10),"")</f>
        <v/>
      </c>
      <c r="DF18" s="50" t="str">
        <f ca="1">IF(AND(ISNUMBER(CS!AC18),ISNUMBER(CS!AD18)),CONCATENATE(DF$10,DG$10),"")</f>
        <v/>
      </c>
      <c r="DG18" s="50" t="str">
        <f ca="1">IF(AND(ISNUMBER(CS!AD18),ISNUMBER(CS!AE18)),CONCATENATE(DG$10,DH$10),"")</f>
        <v/>
      </c>
      <c r="DH18" s="50" t="str">
        <f ca="1">IF(AND(ISNUMBER(CS!AE18),ISNUMBER(CS!AF18)),CONCATENATE(DH$10,DI$10),"")</f>
        <v/>
      </c>
      <c r="DI18" s="50" t="str">
        <f ca="1">IF(AND(ISNUMBER(CS!AF18),ISNUMBER(CS!AG18)),CONCATENATE(DI$10,DJ$10),"")</f>
        <v/>
      </c>
      <c r="DJ18" s="50" t="str">
        <f ca="1">IF(AND(ISNUMBER(CS!AG18),ISNUMBER(CS!AH18)),CONCATENATE(DJ$10,DK$10),"")</f>
        <v/>
      </c>
      <c r="DK18" s="50" t="str">
        <f ca="1">IF(AND(ISNUMBER(CS!AH18),ISNUMBER(CS!AI18)),CONCATENATE(DK$10,DL$10),"")</f>
        <v/>
      </c>
      <c r="DL18" s="50" t="str">
        <f ca="1">IF(AND(ISNUMBER(CS!AI18),ISNUMBER(CS!AJ18)),CONCATENATE(DL$10,DM$10),"")</f>
        <v/>
      </c>
      <c r="DM18" s="50" t="str">
        <f ca="1">IF(AND(ISNUMBER(CS!AJ18),ISNUMBER(CS!AK18)),CONCATENATE(DM$10,DN$10),"")</f>
        <v/>
      </c>
      <c r="DN18" s="50" t="str">
        <f ca="1">IF(AND(ISNUMBER(CS!AK18),ISNUMBER(CS!AL18)),CONCATENATE(DN$10,DO$10),"")</f>
        <v/>
      </c>
      <c r="DO18" s="50" t="str">
        <f ca="1">IF(AND(ISNUMBER(CS!AL18),ISNUMBER(CS!AM18)),CONCATENATE(DO$10,DP$10),"")</f>
        <v/>
      </c>
      <c r="DP18" s="50" t="str">
        <f ca="1">IF(AND(ISNUMBER(CS!AM18),ISNUMBER(CS!AN18)),CONCATENATE(DP$10,DQ$10),"")</f>
        <v/>
      </c>
      <c r="DQ18" s="50" t="str">
        <f ca="1">IF(AND(ISNUMBER(CS!AN18),ISNUMBER(CS!AO18)),CONCATENATE(DQ$10,DR$10),"")</f>
        <v/>
      </c>
      <c r="DR18" s="50" t="str">
        <f ca="1">IF(AND(ISNUMBER(CS!AO18),ISNUMBER(CS!AP18)),CONCATENATE(DR$10,DS$10),"")</f>
        <v/>
      </c>
      <c r="DS18" s="50" t="str">
        <f ca="1">IF(AND(ISNUMBER(CS!AP18),ISNUMBER(CS!AQ18)),CONCATENATE(DS$10,DT$10),"")</f>
        <v/>
      </c>
      <c r="DT18" s="63">
        <f>DrawFinder!Y18</f>
        <v>1</v>
      </c>
    </row>
    <row r="19" spans="2:124">
      <c r="B19" s="393" t="str">
        <f ca="1">TmOrderLU!D19</f>
        <v>Tm09</v>
      </c>
      <c r="C19" s="63" t="str">
        <f ca="1">IF(ISNUMBER(CS!C19),C$10,"")</f>
        <v/>
      </c>
      <c r="D19" s="63" t="e">
        <f ca="1">IF(ISNUMBER(CS!D19),D$10,"")</f>
        <v>#N/A</v>
      </c>
      <c r="E19" s="63" t="e">
        <f ca="1">IF(ISNUMBER(CS!E19),E$10,"")</f>
        <v>#N/A</v>
      </c>
      <c r="F19" s="63" t="str">
        <f ca="1">IF(ISNUMBER(CS!F19),F$10,"")</f>
        <v/>
      </c>
      <c r="G19" s="63" t="str">
        <f ca="1">IF(ISNUMBER(CS!G19),G$10,"")</f>
        <v/>
      </c>
      <c r="H19" s="63" t="e">
        <f ca="1">IF(ISNUMBER(CS!H19),H$10,"")</f>
        <v>#N/A</v>
      </c>
      <c r="I19" s="63" t="e">
        <f ca="1">IF(ISNUMBER(CS!I19),I$10,"")</f>
        <v>#N/A</v>
      </c>
      <c r="J19" s="63" t="str">
        <f ca="1">IF(ISNUMBER(CS!J19),J$10,"")</f>
        <v/>
      </c>
      <c r="K19" s="63" t="str">
        <f ca="1">IF(ISNUMBER(CS!K19),K$10,"")</f>
        <v/>
      </c>
      <c r="L19" s="63" t="e">
        <f ca="1">IF(ISNUMBER(CS!L19),L$10,"")</f>
        <v>#N/A</v>
      </c>
      <c r="M19" s="63" t="e">
        <f ca="1">IF(ISNUMBER(CS!M19),M$10,"")</f>
        <v>#N/A</v>
      </c>
      <c r="N19" s="63" t="str">
        <f ca="1">IF(ISNUMBER(CS!N19),N$10,"")</f>
        <v/>
      </c>
      <c r="O19" s="63" t="str">
        <f ca="1">IF(ISNUMBER(CS!O19),O$10,"")</f>
        <v/>
      </c>
      <c r="P19" s="63" t="e">
        <f ca="1">IF(ISNUMBER(CS!P19),P$10,"")</f>
        <v>#N/A</v>
      </c>
      <c r="Q19" s="63" t="str">
        <f ca="1">IF(ISNUMBER(CS!Q19),Q$10,"")</f>
        <v/>
      </c>
      <c r="R19" s="63" t="str">
        <f ca="1">IF(ISNUMBER(CS!R19),R$10,"")</f>
        <v/>
      </c>
      <c r="S19" s="63" t="str">
        <f ca="1">IF(ISNUMBER(CS!S19),S$10,"")</f>
        <v/>
      </c>
      <c r="T19" s="63" t="str">
        <f ca="1">IF(ISNUMBER(CS!T19),T$10,"")</f>
        <v/>
      </c>
      <c r="U19" s="63" t="str">
        <f ca="1">IF(ISNUMBER(CS!U19),U$10,"")</f>
        <v/>
      </c>
      <c r="V19" s="63" t="str">
        <f ca="1">IF(ISNUMBER(CS!V19),V$10,"")</f>
        <v/>
      </c>
      <c r="W19" s="63" t="str">
        <f ca="1">IF(ISNUMBER(CS!W19),W$10,"")</f>
        <v/>
      </c>
      <c r="X19" s="63" t="str">
        <f ca="1">IF(ISNUMBER(CS!X19),X$10,"")</f>
        <v/>
      </c>
      <c r="Y19" s="63" t="str">
        <f ca="1">IF(ISNUMBER(CS!Y19),Y$10,"")</f>
        <v/>
      </c>
      <c r="Z19" s="63" t="str">
        <f ca="1">IF(ISNUMBER(CS!Z19),Z$10,"")</f>
        <v/>
      </c>
      <c r="AA19" s="63" t="str">
        <f ca="1">IF(ISNUMBER(CS!AA19),AA$10,"")</f>
        <v/>
      </c>
      <c r="AB19" s="63" t="str">
        <f ca="1">IF(ISNUMBER(CS!AB19),AB$10,"")</f>
        <v/>
      </c>
      <c r="AC19" s="63" t="str">
        <f ca="1">IF(ISNUMBER(CS!AC19),AC$10,"")</f>
        <v/>
      </c>
      <c r="AD19" s="63" t="str">
        <f ca="1">IF(ISNUMBER(CS!AD19),AD$10,"")</f>
        <v/>
      </c>
      <c r="AE19" s="63" t="str">
        <f ca="1">IF(ISNUMBER(CS!AE19),AE$10,"")</f>
        <v/>
      </c>
      <c r="AF19" s="63" t="str">
        <f ca="1">IF(ISNUMBER(CS!AF19),AF$10,"")</f>
        <v/>
      </c>
      <c r="AG19" s="63" t="str">
        <f ca="1">IF(ISNUMBER(CS!AG19),AG$10,"")</f>
        <v/>
      </c>
      <c r="AH19" s="63" t="str">
        <f ca="1">IF(ISNUMBER(CS!AH19),AH$10,"")</f>
        <v/>
      </c>
      <c r="AI19" s="63" t="str">
        <f ca="1">IF(ISNUMBER(CS!AI19),AI$10,"")</f>
        <v/>
      </c>
      <c r="AJ19" s="63" t="str">
        <f ca="1">IF(ISNUMBER(CS!AJ19),AJ$10,"")</f>
        <v/>
      </c>
      <c r="AK19" s="63" t="str">
        <f ca="1">IF(ISNUMBER(CS!AK19),AK$10,"")</f>
        <v/>
      </c>
      <c r="AL19" s="63" t="str">
        <f ca="1">IF(ISNUMBER(CS!AL19),AL$10,"")</f>
        <v/>
      </c>
      <c r="AM19" s="63" t="str">
        <f ca="1">IF(ISNUMBER(CS!AM19),AM$10,"")</f>
        <v/>
      </c>
      <c r="AN19" s="63" t="str">
        <f ca="1">IF(ISNUMBER(CS!AN19),AN$10,"")</f>
        <v/>
      </c>
      <c r="AO19" s="63" t="str">
        <f ca="1">IF(ISNUMBER(CS!AO19),AO$10,"")</f>
        <v/>
      </c>
      <c r="AP19" s="414" t="str">
        <f ca="1">IF(ISNUMBER(CS!AP19),AP$10,"")</f>
        <v/>
      </c>
      <c r="AS19" s="4" t="str">
        <f t="shared" ca="1" si="11"/>
        <v>Tm09</v>
      </c>
      <c r="AU19" s="417" t="str">
        <f t="shared" ca="1" si="8"/>
        <v/>
      </c>
      <c r="AV19" s="210" t="str">
        <f t="shared" ca="1" si="8"/>
        <v/>
      </c>
      <c r="AW19" s="210" t="str">
        <f t="shared" ca="1" si="8"/>
        <v/>
      </c>
      <c r="AX19" s="210" t="str">
        <f t="shared" ca="1" si="8"/>
        <v/>
      </c>
      <c r="AY19" s="414" t="str">
        <f t="shared" ca="1" si="8"/>
        <v/>
      </c>
      <c r="BA19" s="417" t="e">
        <f t="shared" ca="1" si="12"/>
        <v>#N/A</v>
      </c>
      <c r="BB19" s="210" t="e">
        <f t="shared" ca="1" si="9"/>
        <v>#N/A</v>
      </c>
      <c r="BC19" s="210" t="e">
        <f t="shared" ca="1" si="9"/>
        <v>#N/A</v>
      </c>
      <c r="BD19" s="210" t="e">
        <f t="shared" ca="1" si="9"/>
        <v>#N/A</v>
      </c>
      <c r="BE19" s="210" t="e">
        <f t="shared" ca="1" si="9"/>
        <v>#N/A</v>
      </c>
      <c r="BF19" s="210" t="e">
        <f t="shared" ca="1" si="9"/>
        <v>#N/A</v>
      </c>
      <c r="BG19" s="210" t="e">
        <f t="shared" ca="1" si="9"/>
        <v>#N/A</v>
      </c>
      <c r="BH19" s="210" t="e">
        <f t="shared" ca="1" si="9"/>
        <v>#N/A</v>
      </c>
      <c r="BI19" s="210" t="e">
        <f t="shared" ca="1" si="9"/>
        <v>#N/A</v>
      </c>
      <c r="BJ19" s="210" t="e">
        <f t="shared" ca="1" si="9"/>
        <v>#N/A</v>
      </c>
      <c r="BK19" s="210" t="e">
        <f t="shared" ca="1" si="9"/>
        <v>#N/A</v>
      </c>
      <c r="BL19" s="210" t="e">
        <f t="shared" ca="1" si="9"/>
        <v>#N/A</v>
      </c>
      <c r="BM19" s="210" t="e">
        <f t="shared" ca="1" si="9"/>
        <v>#N/A</v>
      </c>
      <c r="BN19" s="210" t="e">
        <f t="shared" ca="1" si="9"/>
        <v>#N/A</v>
      </c>
      <c r="BO19" s="210" t="str">
        <f t="shared" ca="1" si="9"/>
        <v/>
      </c>
      <c r="BP19" s="210" t="str">
        <f t="shared" ca="1" si="9"/>
        <v/>
      </c>
      <c r="BQ19" s="414" t="str">
        <f t="shared" ca="1" si="9"/>
        <v/>
      </c>
      <c r="BS19" s="417" t="str">
        <f t="shared" ca="1" si="13"/>
        <v/>
      </c>
      <c r="BT19" s="210" t="str">
        <f t="shared" ca="1" si="10"/>
        <v/>
      </c>
      <c r="BU19" s="210" t="str">
        <f t="shared" ca="1" si="10"/>
        <v/>
      </c>
      <c r="BV19" s="210" t="str">
        <f t="shared" ca="1" si="10"/>
        <v/>
      </c>
      <c r="BW19" s="210" t="str">
        <f t="shared" ca="1" si="10"/>
        <v/>
      </c>
      <c r="BX19" s="210" t="str">
        <f t="shared" ca="1" si="10"/>
        <v/>
      </c>
      <c r="BY19" s="210" t="str">
        <f t="shared" ca="1" si="10"/>
        <v/>
      </c>
      <c r="BZ19" s="210">
        <f t="shared" ca="1" si="10"/>
        <v>0</v>
      </c>
      <c r="CA19" s="210" t="str">
        <f t="shared" ca="1" si="10"/>
        <v/>
      </c>
      <c r="CB19" s="396" t="str">
        <f t="shared" ca="1" si="10"/>
        <v/>
      </c>
      <c r="CC19" s="68"/>
      <c r="CD19" s="419" t="e">
        <f t="shared" ca="1" si="10"/>
        <v>#N/A</v>
      </c>
      <c r="CF19" s="50" t="str">
        <f ca="1">IF(AND(ISNUMBER(CS!C19),ISNUMBER(CS!D19)),CONCATENATE(CF$10,CG$10),"")</f>
        <v/>
      </c>
      <c r="CG19" s="50" t="e">
        <f ca="1">IF(AND(ISNUMBER(CS!D19),ISNUMBER(CS!E19)),CONCATENATE(CG$10,CH$10),"")</f>
        <v>#N/A</v>
      </c>
      <c r="CH19" s="50" t="str">
        <f ca="1">IF(AND(ISNUMBER(CS!E19),ISNUMBER(CS!F19)),CONCATENATE(CH$10,CI$10),"")</f>
        <v/>
      </c>
      <c r="CI19" s="50" t="str">
        <f ca="1">IF(AND(ISNUMBER(CS!F19),ISNUMBER(CS!G19)),CONCATENATE(CI$10,CJ$10),"")</f>
        <v/>
      </c>
      <c r="CJ19" s="50" t="str">
        <f ca="1">IF(AND(ISNUMBER(CS!G19),ISNUMBER(CS!H19)),CONCATENATE(CJ$10,CK$10),"")</f>
        <v/>
      </c>
      <c r="CK19" s="50" t="e">
        <f ca="1">IF(AND(ISNUMBER(CS!H19),ISNUMBER(CS!I19)),CONCATENATE(CK$10,CL$10),"")</f>
        <v>#N/A</v>
      </c>
      <c r="CL19" s="50" t="str">
        <f ca="1">IF(AND(ISNUMBER(CS!I19),ISNUMBER(CS!J19)),CONCATENATE(CL$10,CM$10),"")</f>
        <v/>
      </c>
      <c r="CM19" s="50" t="str">
        <f ca="1">IF(AND(ISNUMBER(CS!J19),ISNUMBER(CS!K19)),CONCATENATE(CM$10,CN$10),"")</f>
        <v/>
      </c>
      <c r="CN19" s="50" t="str">
        <f ca="1">IF(AND(ISNUMBER(CS!K19),ISNUMBER(CS!L19)),CONCATENATE(CN$10,CO$10),"")</f>
        <v/>
      </c>
      <c r="CO19" s="50" t="e">
        <f ca="1">IF(AND(ISNUMBER(CS!L19),ISNUMBER(CS!M19)),CONCATENATE(CO$10,CP$10),"")</f>
        <v>#N/A</v>
      </c>
      <c r="CP19" s="50" t="str">
        <f ca="1">IF(AND(ISNUMBER(CS!M19),ISNUMBER(CS!N19)),CONCATENATE(CP$10,CQ$10),"")</f>
        <v/>
      </c>
      <c r="CQ19" s="50" t="str">
        <f ca="1">IF(AND(ISNUMBER(CS!N19),ISNUMBER(CS!O19)),CONCATENATE(CQ$10,CR$10),"")</f>
        <v/>
      </c>
      <c r="CR19" s="50" t="str">
        <f ca="1">IF(AND(ISNUMBER(CS!O19),ISNUMBER(CS!P19)),CONCATENATE(CR$10,CS$10),"")</f>
        <v/>
      </c>
      <c r="CS19" s="50" t="str">
        <f ca="1">IF(AND(ISNUMBER(CS!P19),ISNUMBER(CS!Q19)),CONCATENATE(CS$10,CT$10),"")</f>
        <v/>
      </c>
      <c r="CT19" s="50" t="str">
        <f ca="1">IF(AND(ISNUMBER(CS!Q19),ISNUMBER(CS!R19)),CONCATENATE(CT$10,CU$10),"")</f>
        <v/>
      </c>
      <c r="CU19" s="50" t="str">
        <f ca="1">IF(AND(ISNUMBER(CS!R19),ISNUMBER(CS!S19)),CONCATENATE(CU$10,CV$10),"")</f>
        <v/>
      </c>
      <c r="CV19" s="50" t="str">
        <f ca="1">IF(AND(ISNUMBER(CS!S19),ISNUMBER(CS!T19)),CONCATENATE(CV$10,CW$10),"")</f>
        <v/>
      </c>
      <c r="CW19" s="50" t="str">
        <f ca="1">IF(AND(ISNUMBER(CS!T19),ISNUMBER(CS!U19)),CONCATENATE(CW$10,CX$10),"")</f>
        <v/>
      </c>
      <c r="CX19" s="50" t="str">
        <f ca="1">IF(AND(ISNUMBER(CS!U19),ISNUMBER(CS!V19)),CONCATENATE(CX$10,CY$10),"")</f>
        <v/>
      </c>
      <c r="CY19" s="50" t="str">
        <f ca="1">IF(AND(ISNUMBER(CS!V19),ISNUMBER(CS!W19)),CONCATENATE(CY$10,CZ$10),"")</f>
        <v/>
      </c>
      <c r="CZ19" s="50" t="str">
        <f ca="1">IF(AND(ISNUMBER(CS!W19),ISNUMBER(CS!X19)),CONCATENATE(CZ$10,DA$10),"")</f>
        <v/>
      </c>
      <c r="DA19" s="50" t="str">
        <f ca="1">IF(AND(ISNUMBER(CS!X19),ISNUMBER(CS!Y19)),CONCATENATE(DA$10,DB$10),"")</f>
        <v/>
      </c>
      <c r="DB19" s="50" t="str">
        <f ca="1">IF(AND(ISNUMBER(CS!Y19),ISNUMBER(CS!Z19)),CONCATENATE(DB$10,DC$10),"")</f>
        <v/>
      </c>
      <c r="DC19" s="50" t="str">
        <f ca="1">IF(AND(ISNUMBER(CS!Z19),ISNUMBER(CS!AA19)),CONCATENATE(DC$10,DD$10),"")</f>
        <v/>
      </c>
      <c r="DD19" s="50" t="str">
        <f ca="1">IF(AND(ISNUMBER(CS!AA19),ISNUMBER(CS!AB19)),CONCATENATE(DD$10,DE$10),"")</f>
        <v/>
      </c>
      <c r="DE19" s="50" t="str">
        <f ca="1">IF(AND(ISNUMBER(CS!AB19),ISNUMBER(CS!AC19)),CONCATENATE(DE$10,DF$10),"")</f>
        <v/>
      </c>
      <c r="DF19" s="50" t="str">
        <f ca="1">IF(AND(ISNUMBER(CS!AC19),ISNUMBER(CS!AD19)),CONCATENATE(DF$10,DG$10),"")</f>
        <v/>
      </c>
      <c r="DG19" s="50" t="str">
        <f ca="1">IF(AND(ISNUMBER(CS!AD19),ISNUMBER(CS!AE19)),CONCATENATE(DG$10,DH$10),"")</f>
        <v/>
      </c>
      <c r="DH19" s="50" t="str">
        <f ca="1">IF(AND(ISNUMBER(CS!AE19),ISNUMBER(CS!AF19)),CONCATENATE(DH$10,DI$10),"")</f>
        <v/>
      </c>
      <c r="DI19" s="50" t="str">
        <f ca="1">IF(AND(ISNUMBER(CS!AF19),ISNUMBER(CS!AG19)),CONCATENATE(DI$10,DJ$10),"")</f>
        <v/>
      </c>
      <c r="DJ19" s="50" t="str">
        <f ca="1">IF(AND(ISNUMBER(CS!AG19),ISNUMBER(CS!AH19)),CONCATENATE(DJ$10,DK$10),"")</f>
        <v/>
      </c>
      <c r="DK19" s="50" t="str">
        <f ca="1">IF(AND(ISNUMBER(CS!AH19),ISNUMBER(CS!AI19)),CONCATENATE(DK$10,DL$10),"")</f>
        <v/>
      </c>
      <c r="DL19" s="50" t="str">
        <f ca="1">IF(AND(ISNUMBER(CS!AI19),ISNUMBER(CS!AJ19)),CONCATENATE(DL$10,DM$10),"")</f>
        <v/>
      </c>
      <c r="DM19" s="50" t="str">
        <f ca="1">IF(AND(ISNUMBER(CS!AJ19),ISNUMBER(CS!AK19)),CONCATENATE(DM$10,DN$10),"")</f>
        <v/>
      </c>
      <c r="DN19" s="50" t="str">
        <f ca="1">IF(AND(ISNUMBER(CS!AK19),ISNUMBER(CS!AL19)),CONCATENATE(DN$10,DO$10),"")</f>
        <v/>
      </c>
      <c r="DO19" s="50" t="str">
        <f ca="1">IF(AND(ISNUMBER(CS!AL19),ISNUMBER(CS!AM19)),CONCATENATE(DO$10,DP$10),"")</f>
        <v/>
      </c>
      <c r="DP19" s="50" t="str">
        <f ca="1">IF(AND(ISNUMBER(CS!AM19),ISNUMBER(CS!AN19)),CONCATENATE(DP$10,DQ$10),"")</f>
        <v/>
      </c>
      <c r="DQ19" s="50" t="str">
        <f ca="1">IF(AND(ISNUMBER(CS!AN19),ISNUMBER(CS!AO19)),CONCATENATE(DQ$10,DR$10),"")</f>
        <v/>
      </c>
      <c r="DR19" s="50" t="str">
        <f ca="1">IF(AND(ISNUMBER(CS!AO19),ISNUMBER(CS!AP19)),CONCATENATE(DR$10,DS$10),"")</f>
        <v/>
      </c>
      <c r="DS19" s="50" t="str">
        <f ca="1">IF(AND(ISNUMBER(CS!AP19),ISNUMBER(CS!AQ19)),CONCATENATE(DS$10,DT$10),"")</f>
        <v/>
      </c>
      <c r="DT19" s="63">
        <f>DrawFinder!Y19</f>
        <v>2</v>
      </c>
    </row>
    <row r="20" spans="2:124">
      <c r="B20" s="393" t="str">
        <f ca="1">TmOrderLU!D20</f>
        <v>Tm10</v>
      </c>
      <c r="C20" s="63" t="str">
        <f ca="1">IF(ISNUMBER(CS!C20),C$10,"")</f>
        <v/>
      </c>
      <c r="D20" s="63" t="e">
        <f ca="1">IF(ISNUMBER(CS!D20),D$10,"")</f>
        <v>#N/A</v>
      </c>
      <c r="E20" s="63" t="e">
        <f ca="1">IF(ISNUMBER(CS!E20),E$10,"")</f>
        <v>#N/A</v>
      </c>
      <c r="F20" s="63" t="str">
        <f ca="1">IF(ISNUMBER(CS!F20),F$10,"")</f>
        <v/>
      </c>
      <c r="G20" s="63" t="str">
        <f ca="1">IF(ISNUMBER(CS!G20),G$10,"")</f>
        <v/>
      </c>
      <c r="H20" s="63" t="e">
        <f ca="1">IF(ISNUMBER(CS!H20),H$10,"")</f>
        <v>#N/A</v>
      </c>
      <c r="I20" s="63" t="e">
        <f ca="1">IF(ISNUMBER(CS!I20),I$10,"")</f>
        <v>#N/A</v>
      </c>
      <c r="J20" s="63" t="str">
        <f ca="1">IF(ISNUMBER(CS!J20),J$10,"")</f>
        <v/>
      </c>
      <c r="K20" s="63" t="str">
        <f ca="1">IF(ISNUMBER(CS!K20),K$10,"")</f>
        <v/>
      </c>
      <c r="L20" s="63" t="e">
        <f ca="1">IF(ISNUMBER(CS!L20),L$10,"")</f>
        <v>#N/A</v>
      </c>
      <c r="M20" s="63" t="e">
        <f ca="1">IF(ISNUMBER(CS!M20),M$10,"")</f>
        <v>#N/A</v>
      </c>
      <c r="N20" s="63" t="str">
        <f ca="1">IF(ISNUMBER(CS!N20),N$10,"")</f>
        <v/>
      </c>
      <c r="O20" s="63" t="str">
        <f ca="1">IF(ISNUMBER(CS!O20),O$10,"")</f>
        <v/>
      </c>
      <c r="P20" s="63" t="e">
        <f ca="1">IF(ISNUMBER(CS!P20),P$10,"")</f>
        <v>#N/A</v>
      </c>
      <c r="Q20" s="63" t="str">
        <f ca="1">IF(ISNUMBER(CS!Q20),Q$10,"")</f>
        <v/>
      </c>
      <c r="R20" s="63" t="str">
        <f ca="1">IF(ISNUMBER(CS!R20),R$10,"")</f>
        <v/>
      </c>
      <c r="S20" s="63" t="str">
        <f ca="1">IF(ISNUMBER(CS!S20),S$10,"")</f>
        <v/>
      </c>
      <c r="T20" s="63" t="str">
        <f ca="1">IF(ISNUMBER(CS!T20),T$10,"")</f>
        <v/>
      </c>
      <c r="U20" s="63" t="str">
        <f ca="1">IF(ISNUMBER(CS!U20),U$10,"")</f>
        <v/>
      </c>
      <c r="V20" s="63" t="str">
        <f ca="1">IF(ISNUMBER(CS!V20),V$10,"")</f>
        <v/>
      </c>
      <c r="W20" s="63" t="str">
        <f ca="1">IF(ISNUMBER(CS!W20),W$10,"")</f>
        <v/>
      </c>
      <c r="X20" s="63" t="str">
        <f ca="1">IF(ISNUMBER(CS!X20),X$10,"")</f>
        <v/>
      </c>
      <c r="Y20" s="63" t="str">
        <f ca="1">IF(ISNUMBER(CS!Y20),Y$10,"")</f>
        <v/>
      </c>
      <c r="Z20" s="63" t="str">
        <f ca="1">IF(ISNUMBER(CS!Z20),Z$10,"")</f>
        <v/>
      </c>
      <c r="AA20" s="63" t="str">
        <f ca="1">IF(ISNUMBER(CS!AA20),AA$10,"")</f>
        <v/>
      </c>
      <c r="AB20" s="63" t="str">
        <f ca="1">IF(ISNUMBER(CS!AB20),AB$10,"")</f>
        <v/>
      </c>
      <c r="AC20" s="63" t="str">
        <f ca="1">IF(ISNUMBER(CS!AC20),AC$10,"")</f>
        <v/>
      </c>
      <c r="AD20" s="63" t="str">
        <f ca="1">IF(ISNUMBER(CS!AD20),AD$10,"")</f>
        <v/>
      </c>
      <c r="AE20" s="63" t="str">
        <f ca="1">IF(ISNUMBER(CS!AE20),AE$10,"")</f>
        <v/>
      </c>
      <c r="AF20" s="63" t="str">
        <f ca="1">IF(ISNUMBER(CS!AF20),AF$10,"")</f>
        <v/>
      </c>
      <c r="AG20" s="63" t="str">
        <f ca="1">IF(ISNUMBER(CS!AG20),AG$10,"")</f>
        <v/>
      </c>
      <c r="AH20" s="63" t="str">
        <f ca="1">IF(ISNUMBER(CS!AH20),AH$10,"")</f>
        <v/>
      </c>
      <c r="AI20" s="63" t="str">
        <f ca="1">IF(ISNUMBER(CS!AI20),AI$10,"")</f>
        <v/>
      </c>
      <c r="AJ20" s="63" t="str">
        <f ca="1">IF(ISNUMBER(CS!AJ20),AJ$10,"")</f>
        <v/>
      </c>
      <c r="AK20" s="63" t="str">
        <f ca="1">IF(ISNUMBER(CS!AK20),AK$10,"")</f>
        <v/>
      </c>
      <c r="AL20" s="63" t="str">
        <f ca="1">IF(ISNUMBER(CS!AL20),AL$10,"")</f>
        <v/>
      </c>
      <c r="AM20" s="63" t="str">
        <f ca="1">IF(ISNUMBER(CS!AM20),AM$10,"")</f>
        <v/>
      </c>
      <c r="AN20" s="63" t="str">
        <f ca="1">IF(ISNUMBER(CS!AN20),AN$10,"")</f>
        <v/>
      </c>
      <c r="AO20" s="63" t="str">
        <f ca="1">IF(ISNUMBER(CS!AO20),AO$10,"")</f>
        <v/>
      </c>
      <c r="AP20" s="414" t="str">
        <f ca="1">IF(ISNUMBER(CS!AP20),AP$10,"")</f>
        <v/>
      </c>
      <c r="AS20" s="4" t="str">
        <f t="shared" ca="1" si="11"/>
        <v>Tm10</v>
      </c>
      <c r="AU20" s="417" t="str">
        <f t="shared" ca="1" si="8"/>
        <v/>
      </c>
      <c r="AV20" s="210" t="str">
        <f t="shared" ca="1" si="8"/>
        <v/>
      </c>
      <c r="AW20" s="210" t="str">
        <f t="shared" ca="1" si="8"/>
        <v/>
      </c>
      <c r="AX20" s="210" t="str">
        <f t="shared" ca="1" si="8"/>
        <v/>
      </c>
      <c r="AY20" s="414" t="str">
        <f t="shared" ca="1" si="8"/>
        <v/>
      </c>
      <c r="BA20" s="417" t="e">
        <f t="shared" ca="1" si="12"/>
        <v>#N/A</v>
      </c>
      <c r="BB20" s="210" t="e">
        <f t="shared" ca="1" si="9"/>
        <v>#N/A</v>
      </c>
      <c r="BC20" s="210" t="e">
        <f t="shared" ca="1" si="9"/>
        <v>#N/A</v>
      </c>
      <c r="BD20" s="210" t="e">
        <f t="shared" ca="1" si="9"/>
        <v>#N/A</v>
      </c>
      <c r="BE20" s="210" t="e">
        <f t="shared" ca="1" si="9"/>
        <v>#N/A</v>
      </c>
      <c r="BF20" s="210" t="e">
        <f t="shared" ca="1" si="9"/>
        <v>#N/A</v>
      </c>
      <c r="BG20" s="210" t="e">
        <f t="shared" ca="1" si="9"/>
        <v>#N/A</v>
      </c>
      <c r="BH20" s="210" t="e">
        <f t="shared" ca="1" si="9"/>
        <v>#N/A</v>
      </c>
      <c r="BI20" s="210" t="e">
        <f t="shared" ca="1" si="9"/>
        <v>#N/A</v>
      </c>
      <c r="BJ20" s="210" t="e">
        <f t="shared" ca="1" si="9"/>
        <v>#N/A</v>
      </c>
      <c r="BK20" s="210" t="e">
        <f t="shared" ca="1" si="9"/>
        <v>#N/A</v>
      </c>
      <c r="BL20" s="210" t="e">
        <f t="shared" ca="1" si="9"/>
        <v>#N/A</v>
      </c>
      <c r="BM20" s="210" t="e">
        <f t="shared" ca="1" si="9"/>
        <v>#N/A</v>
      </c>
      <c r="BN20" s="210" t="e">
        <f t="shared" ca="1" si="9"/>
        <v>#N/A</v>
      </c>
      <c r="BO20" s="210" t="str">
        <f t="shared" ca="1" si="9"/>
        <v/>
      </c>
      <c r="BP20" s="210" t="str">
        <f t="shared" ca="1" si="9"/>
        <v/>
      </c>
      <c r="BQ20" s="414" t="str">
        <f t="shared" ca="1" si="9"/>
        <v/>
      </c>
      <c r="BS20" s="417" t="str">
        <f t="shared" ca="1" si="13"/>
        <v/>
      </c>
      <c r="BT20" s="210" t="str">
        <f t="shared" ca="1" si="10"/>
        <v/>
      </c>
      <c r="BU20" s="210" t="str">
        <f t="shared" ca="1" si="10"/>
        <v/>
      </c>
      <c r="BV20" s="210" t="str">
        <f t="shared" ca="1" si="10"/>
        <v/>
      </c>
      <c r="BW20" s="210" t="str">
        <f t="shared" ca="1" si="10"/>
        <v/>
      </c>
      <c r="BX20" s="210" t="str">
        <f t="shared" ca="1" si="10"/>
        <v/>
      </c>
      <c r="BY20" s="210" t="str">
        <f t="shared" ca="1" si="10"/>
        <v/>
      </c>
      <c r="BZ20" s="210">
        <f t="shared" ca="1" si="10"/>
        <v>0</v>
      </c>
      <c r="CA20" s="210" t="str">
        <f t="shared" ca="1" si="10"/>
        <v/>
      </c>
      <c r="CB20" s="396" t="str">
        <f t="shared" ca="1" si="10"/>
        <v/>
      </c>
      <c r="CC20" s="68"/>
      <c r="CD20" s="419" t="e">
        <f t="shared" ca="1" si="10"/>
        <v>#N/A</v>
      </c>
      <c r="CF20" s="50" t="str">
        <f ca="1">IF(AND(ISNUMBER(CS!C20),ISNUMBER(CS!D20)),CONCATENATE(CF$10,CG$10),"")</f>
        <v/>
      </c>
      <c r="CG20" s="50" t="e">
        <f ca="1">IF(AND(ISNUMBER(CS!D20),ISNUMBER(CS!E20)),CONCATENATE(CG$10,CH$10),"")</f>
        <v>#N/A</v>
      </c>
      <c r="CH20" s="50" t="str">
        <f ca="1">IF(AND(ISNUMBER(CS!E20),ISNUMBER(CS!F20)),CONCATENATE(CH$10,CI$10),"")</f>
        <v/>
      </c>
      <c r="CI20" s="50" t="str">
        <f ca="1">IF(AND(ISNUMBER(CS!F20),ISNUMBER(CS!G20)),CONCATENATE(CI$10,CJ$10),"")</f>
        <v/>
      </c>
      <c r="CJ20" s="50" t="str">
        <f ca="1">IF(AND(ISNUMBER(CS!G20),ISNUMBER(CS!H20)),CONCATENATE(CJ$10,CK$10),"")</f>
        <v/>
      </c>
      <c r="CK20" s="50" t="e">
        <f ca="1">IF(AND(ISNUMBER(CS!H20),ISNUMBER(CS!I20)),CONCATENATE(CK$10,CL$10),"")</f>
        <v>#N/A</v>
      </c>
      <c r="CL20" s="50" t="str">
        <f ca="1">IF(AND(ISNUMBER(CS!I20),ISNUMBER(CS!J20)),CONCATENATE(CL$10,CM$10),"")</f>
        <v/>
      </c>
      <c r="CM20" s="50" t="str">
        <f ca="1">IF(AND(ISNUMBER(CS!J20),ISNUMBER(CS!K20)),CONCATENATE(CM$10,CN$10),"")</f>
        <v/>
      </c>
      <c r="CN20" s="50" t="str">
        <f ca="1">IF(AND(ISNUMBER(CS!K20),ISNUMBER(CS!L20)),CONCATENATE(CN$10,CO$10),"")</f>
        <v/>
      </c>
      <c r="CO20" s="50" t="e">
        <f ca="1">IF(AND(ISNUMBER(CS!L20),ISNUMBER(CS!M20)),CONCATENATE(CO$10,CP$10),"")</f>
        <v>#N/A</v>
      </c>
      <c r="CP20" s="50" t="str">
        <f ca="1">IF(AND(ISNUMBER(CS!M20),ISNUMBER(CS!N20)),CONCATENATE(CP$10,CQ$10),"")</f>
        <v/>
      </c>
      <c r="CQ20" s="50" t="str">
        <f ca="1">IF(AND(ISNUMBER(CS!N20),ISNUMBER(CS!O20)),CONCATENATE(CQ$10,CR$10),"")</f>
        <v/>
      </c>
      <c r="CR20" s="50" t="str">
        <f ca="1">IF(AND(ISNUMBER(CS!O20),ISNUMBER(CS!P20)),CONCATENATE(CR$10,CS$10),"")</f>
        <v/>
      </c>
      <c r="CS20" s="50" t="str">
        <f ca="1">IF(AND(ISNUMBER(CS!P20),ISNUMBER(CS!Q20)),CONCATENATE(CS$10,CT$10),"")</f>
        <v/>
      </c>
      <c r="CT20" s="50" t="str">
        <f ca="1">IF(AND(ISNUMBER(CS!Q20),ISNUMBER(CS!R20)),CONCATENATE(CT$10,CU$10),"")</f>
        <v/>
      </c>
      <c r="CU20" s="50" t="str">
        <f ca="1">IF(AND(ISNUMBER(CS!R20),ISNUMBER(CS!S20)),CONCATENATE(CU$10,CV$10),"")</f>
        <v/>
      </c>
      <c r="CV20" s="50" t="str">
        <f ca="1">IF(AND(ISNUMBER(CS!S20),ISNUMBER(CS!T20)),CONCATENATE(CV$10,CW$10),"")</f>
        <v/>
      </c>
      <c r="CW20" s="50" t="str">
        <f ca="1">IF(AND(ISNUMBER(CS!T20),ISNUMBER(CS!U20)),CONCATENATE(CW$10,CX$10),"")</f>
        <v/>
      </c>
      <c r="CX20" s="50" t="str">
        <f ca="1">IF(AND(ISNUMBER(CS!U20),ISNUMBER(CS!V20)),CONCATENATE(CX$10,CY$10),"")</f>
        <v/>
      </c>
      <c r="CY20" s="50" t="str">
        <f ca="1">IF(AND(ISNUMBER(CS!V20),ISNUMBER(CS!W20)),CONCATENATE(CY$10,CZ$10),"")</f>
        <v/>
      </c>
      <c r="CZ20" s="50" t="str">
        <f ca="1">IF(AND(ISNUMBER(CS!W20),ISNUMBER(CS!X20)),CONCATENATE(CZ$10,DA$10),"")</f>
        <v/>
      </c>
      <c r="DA20" s="50" t="str">
        <f ca="1">IF(AND(ISNUMBER(CS!X20),ISNUMBER(CS!Y20)),CONCATENATE(DA$10,DB$10),"")</f>
        <v/>
      </c>
      <c r="DB20" s="50" t="str">
        <f ca="1">IF(AND(ISNUMBER(CS!Y20),ISNUMBER(CS!Z20)),CONCATENATE(DB$10,DC$10),"")</f>
        <v/>
      </c>
      <c r="DC20" s="50" t="str">
        <f ca="1">IF(AND(ISNUMBER(CS!Z20),ISNUMBER(CS!AA20)),CONCATENATE(DC$10,DD$10),"")</f>
        <v/>
      </c>
      <c r="DD20" s="50" t="str">
        <f ca="1">IF(AND(ISNUMBER(CS!AA20),ISNUMBER(CS!AB20)),CONCATENATE(DD$10,DE$10),"")</f>
        <v/>
      </c>
      <c r="DE20" s="50" t="str">
        <f ca="1">IF(AND(ISNUMBER(CS!AB20),ISNUMBER(CS!AC20)),CONCATENATE(DE$10,DF$10),"")</f>
        <v/>
      </c>
      <c r="DF20" s="50" t="str">
        <f ca="1">IF(AND(ISNUMBER(CS!AC20),ISNUMBER(CS!AD20)),CONCATENATE(DF$10,DG$10),"")</f>
        <v/>
      </c>
      <c r="DG20" s="50" t="str">
        <f ca="1">IF(AND(ISNUMBER(CS!AD20),ISNUMBER(CS!AE20)),CONCATENATE(DG$10,DH$10),"")</f>
        <v/>
      </c>
      <c r="DH20" s="50" t="str">
        <f ca="1">IF(AND(ISNUMBER(CS!AE20),ISNUMBER(CS!AF20)),CONCATENATE(DH$10,DI$10),"")</f>
        <v/>
      </c>
      <c r="DI20" s="50" t="str">
        <f ca="1">IF(AND(ISNUMBER(CS!AF20),ISNUMBER(CS!AG20)),CONCATENATE(DI$10,DJ$10),"")</f>
        <v/>
      </c>
      <c r="DJ20" s="50" t="str">
        <f ca="1">IF(AND(ISNUMBER(CS!AG20),ISNUMBER(CS!AH20)),CONCATENATE(DJ$10,DK$10),"")</f>
        <v/>
      </c>
      <c r="DK20" s="50" t="str">
        <f ca="1">IF(AND(ISNUMBER(CS!AH20),ISNUMBER(CS!AI20)),CONCATENATE(DK$10,DL$10),"")</f>
        <v/>
      </c>
      <c r="DL20" s="50" t="str">
        <f ca="1">IF(AND(ISNUMBER(CS!AI20),ISNUMBER(CS!AJ20)),CONCATENATE(DL$10,DM$10),"")</f>
        <v/>
      </c>
      <c r="DM20" s="50" t="str">
        <f ca="1">IF(AND(ISNUMBER(CS!AJ20),ISNUMBER(CS!AK20)),CONCATENATE(DM$10,DN$10),"")</f>
        <v/>
      </c>
      <c r="DN20" s="50" t="str">
        <f ca="1">IF(AND(ISNUMBER(CS!AK20),ISNUMBER(CS!AL20)),CONCATENATE(DN$10,DO$10),"")</f>
        <v/>
      </c>
      <c r="DO20" s="50" t="str">
        <f ca="1">IF(AND(ISNUMBER(CS!AL20),ISNUMBER(CS!AM20)),CONCATENATE(DO$10,DP$10),"")</f>
        <v/>
      </c>
      <c r="DP20" s="50" t="str">
        <f ca="1">IF(AND(ISNUMBER(CS!AM20),ISNUMBER(CS!AN20)),CONCATENATE(DP$10,DQ$10),"")</f>
        <v/>
      </c>
      <c r="DQ20" s="50" t="str">
        <f ca="1">IF(AND(ISNUMBER(CS!AN20),ISNUMBER(CS!AO20)),CONCATENATE(DQ$10,DR$10),"")</f>
        <v/>
      </c>
      <c r="DR20" s="50" t="str">
        <f ca="1">IF(AND(ISNUMBER(CS!AO20),ISNUMBER(CS!AP20)),CONCATENATE(DR$10,DS$10),"")</f>
        <v/>
      </c>
      <c r="DS20" s="50" t="str">
        <f ca="1">IF(AND(ISNUMBER(CS!AP20),ISNUMBER(CS!AQ20)),CONCATENATE(DS$10,DT$10),"")</f>
        <v/>
      </c>
      <c r="DT20" s="63">
        <f>DrawFinder!Y20</f>
        <v>2</v>
      </c>
    </row>
    <row r="21" spans="2:124">
      <c r="B21" s="393" t="str">
        <f ca="1">TmOrderLU!D21</f>
        <v>Tm11</v>
      </c>
      <c r="C21" s="63" t="str">
        <f ca="1">IF(ISNUMBER(CS!C21),C$10,"")</f>
        <v/>
      </c>
      <c r="D21" s="63" t="e">
        <f ca="1">IF(ISNUMBER(CS!D21),D$10,"")</f>
        <v>#N/A</v>
      </c>
      <c r="E21" s="63" t="e">
        <f ca="1">IF(ISNUMBER(CS!E21),E$10,"")</f>
        <v>#N/A</v>
      </c>
      <c r="F21" s="63" t="str">
        <f ca="1">IF(ISNUMBER(CS!F21),F$10,"")</f>
        <v/>
      </c>
      <c r="G21" s="63" t="str">
        <f ca="1">IF(ISNUMBER(CS!G21),G$10,"")</f>
        <v/>
      </c>
      <c r="H21" s="63" t="e">
        <f ca="1">IF(ISNUMBER(CS!H21),H$10,"")</f>
        <v>#N/A</v>
      </c>
      <c r="I21" s="63" t="e">
        <f ca="1">IF(ISNUMBER(CS!I21),I$10,"")</f>
        <v>#N/A</v>
      </c>
      <c r="J21" s="63" t="str">
        <f ca="1">IF(ISNUMBER(CS!J21),J$10,"")</f>
        <v/>
      </c>
      <c r="K21" s="63" t="str">
        <f ca="1">IF(ISNUMBER(CS!K21),K$10,"")</f>
        <v/>
      </c>
      <c r="L21" s="63" t="e">
        <f ca="1">IF(ISNUMBER(CS!L21),L$10,"")</f>
        <v>#N/A</v>
      </c>
      <c r="M21" s="63" t="e">
        <f ca="1">IF(ISNUMBER(CS!M21),M$10,"")</f>
        <v>#N/A</v>
      </c>
      <c r="N21" s="63" t="str">
        <f ca="1">IF(ISNUMBER(CS!N21),N$10,"")</f>
        <v/>
      </c>
      <c r="O21" s="63" t="str">
        <f ca="1">IF(ISNUMBER(CS!O21),O$10,"")</f>
        <v/>
      </c>
      <c r="P21" s="63" t="e">
        <f ca="1">IF(ISNUMBER(CS!P21),P$10,"")</f>
        <v>#N/A</v>
      </c>
      <c r="Q21" s="63" t="str">
        <f ca="1">IF(ISNUMBER(CS!Q21),Q$10,"")</f>
        <v/>
      </c>
      <c r="R21" s="63" t="str">
        <f ca="1">IF(ISNUMBER(CS!R21),R$10,"")</f>
        <v/>
      </c>
      <c r="S21" s="63" t="str">
        <f ca="1">IF(ISNUMBER(CS!S21),S$10,"")</f>
        <v/>
      </c>
      <c r="T21" s="63" t="str">
        <f ca="1">IF(ISNUMBER(CS!T21),T$10,"")</f>
        <v/>
      </c>
      <c r="U21" s="63" t="str">
        <f ca="1">IF(ISNUMBER(CS!U21),U$10,"")</f>
        <v/>
      </c>
      <c r="V21" s="63" t="str">
        <f ca="1">IF(ISNUMBER(CS!V21),V$10,"")</f>
        <v/>
      </c>
      <c r="W21" s="63" t="str">
        <f ca="1">IF(ISNUMBER(CS!W21),W$10,"")</f>
        <v/>
      </c>
      <c r="X21" s="63" t="str">
        <f ca="1">IF(ISNUMBER(CS!X21),X$10,"")</f>
        <v/>
      </c>
      <c r="Y21" s="63" t="str">
        <f ca="1">IF(ISNUMBER(CS!Y21),Y$10,"")</f>
        <v/>
      </c>
      <c r="Z21" s="63" t="str">
        <f ca="1">IF(ISNUMBER(CS!Z21),Z$10,"")</f>
        <v/>
      </c>
      <c r="AA21" s="63" t="str">
        <f ca="1">IF(ISNUMBER(CS!AA21),AA$10,"")</f>
        <v/>
      </c>
      <c r="AB21" s="63" t="str">
        <f ca="1">IF(ISNUMBER(CS!AB21),AB$10,"")</f>
        <v/>
      </c>
      <c r="AC21" s="63" t="str">
        <f ca="1">IF(ISNUMBER(CS!AC21),AC$10,"")</f>
        <v/>
      </c>
      <c r="AD21" s="63" t="str">
        <f ca="1">IF(ISNUMBER(CS!AD21),AD$10,"")</f>
        <v/>
      </c>
      <c r="AE21" s="63" t="str">
        <f ca="1">IF(ISNUMBER(CS!AE21),AE$10,"")</f>
        <v/>
      </c>
      <c r="AF21" s="63" t="str">
        <f ca="1">IF(ISNUMBER(CS!AF21),AF$10,"")</f>
        <v/>
      </c>
      <c r="AG21" s="63" t="str">
        <f ca="1">IF(ISNUMBER(CS!AG21),AG$10,"")</f>
        <v/>
      </c>
      <c r="AH21" s="63" t="str">
        <f ca="1">IF(ISNUMBER(CS!AH21),AH$10,"")</f>
        <v/>
      </c>
      <c r="AI21" s="63" t="str">
        <f ca="1">IF(ISNUMBER(CS!AI21),AI$10,"")</f>
        <v/>
      </c>
      <c r="AJ21" s="63" t="str">
        <f ca="1">IF(ISNUMBER(CS!AJ21),AJ$10,"")</f>
        <v/>
      </c>
      <c r="AK21" s="63" t="str">
        <f ca="1">IF(ISNUMBER(CS!AK21),AK$10,"")</f>
        <v/>
      </c>
      <c r="AL21" s="63" t="str">
        <f ca="1">IF(ISNUMBER(CS!AL21),AL$10,"")</f>
        <v/>
      </c>
      <c r="AM21" s="63" t="str">
        <f ca="1">IF(ISNUMBER(CS!AM21),AM$10,"")</f>
        <v/>
      </c>
      <c r="AN21" s="63" t="str">
        <f ca="1">IF(ISNUMBER(CS!AN21),AN$10,"")</f>
        <v/>
      </c>
      <c r="AO21" s="63" t="str">
        <f ca="1">IF(ISNUMBER(CS!AO21),AO$10,"")</f>
        <v/>
      </c>
      <c r="AP21" s="414" t="str">
        <f ca="1">IF(ISNUMBER(CS!AP21),AP$10,"")</f>
        <v/>
      </c>
      <c r="AS21" s="4" t="str">
        <f t="shared" ca="1" si="11"/>
        <v>Tm11</v>
      </c>
      <c r="AU21" s="417" t="str">
        <f t="shared" ca="1" si="8"/>
        <v/>
      </c>
      <c r="AV21" s="210" t="str">
        <f t="shared" ca="1" si="8"/>
        <v/>
      </c>
      <c r="AW21" s="210" t="str">
        <f t="shared" ca="1" si="8"/>
        <v/>
      </c>
      <c r="AX21" s="210" t="str">
        <f t="shared" ca="1" si="8"/>
        <v/>
      </c>
      <c r="AY21" s="414" t="str">
        <f t="shared" ca="1" si="8"/>
        <v/>
      </c>
      <c r="BA21" s="417" t="e">
        <f t="shared" ca="1" si="12"/>
        <v>#N/A</v>
      </c>
      <c r="BB21" s="210" t="e">
        <f t="shared" ca="1" si="9"/>
        <v>#N/A</v>
      </c>
      <c r="BC21" s="210" t="e">
        <f t="shared" ca="1" si="9"/>
        <v>#N/A</v>
      </c>
      <c r="BD21" s="210" t="e">
        <f t="shared" ca="1" si="9"/>
        <v>#N/A</v>
      </c>
      <c r="BE21" s="210" t="e">
        <f t="shared" ca="1" si="9"/>
        <v>#N/A</v>
      </c>
      <c r="BF21" s="210" t="e">
        <f t="shared" ca="1" si="9"/>
        <v>#N/A</v>
      </c>
      <c r="BG21" s="210" t="e">
        <f t="shared" ca="1" si="9"/>
        <v>#N/A</v>
      </c>
      <c r="BH21" s="210" t="e">
        <f t="shared" ca="1" si="9"/>
        <v>#N/A</v>
      </c>
      <c r="BI21" s="210" t="e">
        <f t="shared" ca="1" si="9"/>
        <v>#N/A</v>
      </c>
      <c r="BJ21" s="210" t="e">
        <f t="shared" ca="1" si="9"/>
        <v>#N/A</v>
      </c>
      <c r="BK21" s="210" t="e">
        <f t="shared" ca="1" si="9"/>
        <v>#N/A</v>
      </c>
      <c r="BL21" s="210" t="e">
        <f t="shared" ca="1" si="9"/>
        <v>#N/A</v>
      </c>
      <c r="BM21" s="210" t="e">
        <f t="shared" ca="1" si="9"/>
        <v>#N/A</v>
      </c>
      <c r="BN21" s="210" t="e">
        <f t="shared" ca="1" si="9"/>
        <v>#N/A</v>
      </c>
      <c r="BO21" s="210" t="str">
        <f t="shared" ca="1" si="9"/>
        <v/>
      </c>
      <c r="BP21" s="210" t="str">
        <f t="shared" ca="1" si="9"/>
        <v/>
      </c>
      <c r="BQ21" s="414" t="str">
        <f t="shared" ca="1" si="9"/>
        <v/>
      </c>
      <c r="BS21" s="417" t="str">
        <f t="shared" ca="1" si="13"/>
        <v/>
      </c>
      <c r="BT21" s="210" t="str">
        <f t="shared" ca="1" si="10"/>
        <v/>
      </c>
      <c r="BU21" s="210" t="str">
        <f t="shared" ca="1" si="10"/>
        <v/>
      </c>
      <c r="BV21" s="210" t="str">
        <f t="shared" ca="1" si="10"/>
        <v/>
      </c>
      <c r="BW21" s="210" t="str">
        <f t="shared" ca="1" si="10"/>
        <v/>
      </c>
      <c r="BX21" s="210" t="str">
        <f t="shared" ca="1" si="10"/>
        <v/>
      </c>
      <c r="BY21" s="210" t="str">
        <f t="shared" ca="1" si="10"/>
        <v/>
      </c>
      <c r="BZ21" s="210">
        <f t="shared" ca="1" si="10"/>
        <v>0</v>
      </c>
      <c r="CA21" s="210" t="str">
        <f t="shared" ca="1" si="10"/>
        <v/>
      </c>
      <c r="CB21" s="396" t="str">
        <f t="shared" ca="1" si="10"/>
        <v/>
      </c>
      <c r="CC21" s="68"/>
      <c r="CD21" s="419" t="e">
        <f t="shared" ca="1" si="10"/>
        <v>#N/A</v>
      </c>
      <c r="CF21" s="50" t="str">
        <f ca="1">IF(AND(ISNUMBER(CS!C21),ISNUMBER(CS!D21)),CONCATENATE(CF$10,CG$10),"")</f>
        <v/>
      </c>
      <c r="CG21" s="50" t="e">
        <f ca="1">IF(AND(ISNUMBER(CS!D21),ISNUMBER(CS!E21)),CONCATENATE(CG$10,CH$10),"")</f>
        <v>#N/A</v>
      </c>
      <c r="CH21" s="50" t="str">
        <f ca="1">IF(AND(ISNUMBER(CS!E21),ISNUMBER(CS!F21)),CONCATENATE(CH$10,CI$10),"")</f>
        <v/>
      </c>
      <c r="CI21" s="50" t="str">
        <f ca="1">IF(AND(ISNUMBER(CS!F21),ISNUMBER(CS!G21)),CONCATENATE(CI$10,CJ$10),"")</f>
        <v/>
      </c>
      <c r="CJ21" s="50" t="str">
        <f ca="1">IF(AND(ISNUMBER(CS!G21),ISNUMBER(CS!H21)),CONCATENATE(CJ$10,CK$10),"")</f>
        <v/>
      </c>
      <c r="CK21" s="50" t="e">
        <f ca="1">IF(AND(ISNUMBER(CS!H21),ISNUMBER(CS!I21)),CONCATENATE(CK$10,CL$10),"")</f>
        <v>#N/A</v>
      </c>
      <c r="CL21" s="50" t="str">
        <f ca="1">IF(AND(ISNUMBER(CS!I21),ISNUMBER(CS!J21)),CONCATENATE(CL$10,CM$10),"")</f>
        <v/>
      </c>
      <c r="CM21" s="50" t="str">
        <f ca="1">IF(AND(ISNUMBER(CS!J21),ISNUMBER(CS!K21)),CONCATENATE(CM$10,CN$10),"")</f>
        <v/>
      </c>
      <c r="CN21" s="50" t="str">
        <f ca="1">IF(AND(ISNUMBER(CS!K21),ISNUMBER(CS!L21)),CONCATENATE(CN$10,CO$10),"")</f>
        <v/>
      </c>
      <c r="CO21" s="50" t="e">
        <f ca="1">IF(AND(ISNUMBER(CS!L21),ISNUMBER(CS!M21)),CONCATENATE(CO$10,CP$10),"")</f>
        <v>#N/A</v>
      </c>
      <c r="CP21" s="50" t="str">
        <f ca="1">IF(AND(ISNUMBER(CS!M21),ISNUMBER(CS!N21)),CONCATENATE(CP$10,CQ$10),"")</f>
        <v/>
      </c>
      <c r="CQ21" s="50" t="str">
        <f ca="1">IF(AND(ISNUMBER(CS!N21),ISNUMBER(CS!O21)),CONCATENATE(CQ$10,CR$10),"")</f>
        <v/>
      </c>
      <c r="CR21" s="50" t="str">
        <f ca="1">IF(AND(ISNUMBER(CS!O21),ISNUMBER(CS!P21)),CONCATENATE(CR$10,CS$10),"")</f>
        <v/>
      </c>
      <c r="CS21" s="50" t="str">
        <f ca="1">IF(AND(ISNUMBER(CS!P21),ISNUMBER(CS!Q21)),CONCATENATE(CS$10,CT$10),"")</f>
        <v/>
      </c>
      <c r="CT21" s="50" t="str">
        <f ca="1">IF(AND(ISNUMBER(CS!Q21),ISNUMBER(CS!R21)),CONCATENATE(CT$10,CU$10),"")</f>
        <v/>
      </c>
      <c r="CU21" s="50" t="str">
        <f ca="1">IF(AND(ISNUMBER(CS!R21),ISNUMBER(CS!S21)),CONCATENATE(CU$10,CV$10),"")</f>
        <v/>
      </c>
      <c r="CV21" s="50" t="str">
        <f ca="1">IF(AND(ISNUMBER(CS!S21),ISNUMBER(CS!T21)),CONCATENATE(CV$10,CW$10),"")</f>
        <v/>
      </c>
      <c r="CW21" s="50" t="str">
        <f ca="1">IF(AND(ISNUMBER(CS!T21),ISNUMBER(CS!U21)),CONCATENATE(CW$10,CX$10),"")</f>
        <v/>
      </c>
      <c r="CX21" s="50" t="str">
        <f ca="1">IF(AND(ISNUMBER(CS!U21),ISNUMBER(CS!V21)),CONCATENATE(CX$10,CY$10),"")</f>
        <v/>
      </c>
      <c r="CY21" s="50" t="str">
        <f ca="1">IF(AND(ISNUMBER(CS!V21),ISNUMBER(CS!W21)),CONCATENATE(CY$10,CZ$10),"")</f>
        <v/>
      </c>
      <c r="CZ21" s="50" t="str">
        <f ca="1">IF(AND(ISNUMBER(CS!W21),ISNUMBER(CS!X21)),CONCATENATE(CZ$10,DA$10),"")</f>
        <v/>
      </c>
      <c r="DA21" s="50" t="str">
        <f ca="1">IF(AND(ISNUMBER(CS!X21),ISNUMBER(CS!Y21)),CONCATENATE(DA$10,DB$10),"")</f>
        <v/>
      </c>
      <c r="DB21" s="50" t="str">
        <f ca="1">IF(AND(ISNUMBER(CS!Y21),ISNUMBER(CS!Z21)),CONCATENATE(DB$10,DC$10),"")</f>
        <v/>
      </c>
      <c r="DC21" s="50" t="str">
        <f ca="1">IF(AND(ISNUMBER(CS!Z21),ISNUMBER(CS!AA21)),CONCATENATE(DC$10,DD$10),"")</f>
        <v/>
      </c>
      <c r="DD21" s="50" t="str">
        <f ca="1">IF(AND(ISNUMBER(CS!AA21),ISNUMBER(CS!AB21)),CONCATENATE(DD$10,DE$10),"")</f>
        <v/>
      </c>
      <c r="DE21" s="50" t="str">
        <f ca="1">IF(AND(ISNUMBER(CS!AB21),ISNUMBER(CS!AC21)),CONCATENATE(DE$10,DF$10),"")</f>
        <v/>
      </c>
      <c r="DF21" s="50" t="str">
        <f ca="1">IF(AND(ISNUMBER(CS!AC21),ISNUMBER(CS!AD21)),CONCATENATE(DF$10,DG$10),"")</f>
        <v/>
      </c>
      <c r="DG21" s="50" t="str">
        <f ca="1">IF(AND(ISNUMBER(CS!AD21),ISNUMBER(CS!AE21)),CONCATENATE(DG$10,DH$10),"")</f>
        <v/>
      </c>
      <c r="DH21" s="50" t="str">
        <f ca="1">IF(AND(ISNUMBER(CS!AE21),ISNUMBER(CS!AF21)),CONCATENATE(DH$10,DI$10),"")</f>
        <v/>
      </c>
      <c r="DI21" s="50" t="str">
        <f ca="1">IF(AND(ISNUMBER(CS!AF21),ISNUMBER(CS!AG21)),CONCATENATE(DI$10,DJ$10),"")</f>
        <v/>
      </c>
      <c r="DJ21" s="50" t="str">
        <f ca="1">IF(AND(ISNUMBER(CS!AG21),ISNUMBER(CS!AH21)),CONCATENATE(DJ$10,DK$10),"")</f>
        <v/>
      </c>
      <c r="DK21" s="50" t="str">
        <f ca="1">IF(AND(ISNUMBER(CS!AH21),ISNUMBER(CS!AI21)),CONCATENATE(DK$10,DL$10),"")</f>
        <v/>
      </c>
      <c r="DL21" s="50" t="str">
        <f ca="1">IF(AND(ISNUMBER(CS!AI21),ISNUMBER(CS!AJ21)),CONCATENATE(DL$10,DM$10),"")</f>
        <v/>
      </c>
      <c r="DM21" s="50" t="str">
        <f ca="1">IF(AND(ISNUMBER(CS!AJ21),ISNUMBER(CS!AK21)),CONCATENATE(DM$10,DN$10),"")</f>
        <v/>
      </c>
      <c r="DN21" s="50" t="str">
        <f ca="1">IF(AND(ISNUMBER(CS!AK21),ISNUMBER(CS!AL21)),CONCATENATE(DN$10,DO$10),"")</f>
        <v/>
      </c>
      <c r="DO21" s="50" t="str">
        <f ca="1">IF(AND(ISNUMBER(CS!AL21),ISNUMBER(CS!AM21)),CONCATENATE(DO$10,DP$10),"")</f>
        <v/>
      </c>
      <c r="DP21" s="50" t="str">
        <f ca="1">IF(AND(ISNUMBER(CS!AM21),ISNUMBER(CS!AN21)),CONCATENATE(DP$10,DQ$10),"")</f>
        <v/>
      </c>
      <c r="DQ21" s="50" t="str">
        <f ca="1">IF(AND(ISNUMBER(CS!AN21),ISNUMBER(CS!AO21)),CONCATENATE(DQ$10,DR$10),"")</f>
        <v/>
      </c>
      <c r="DR21" s="50" t="str">
        <f ca="1">IF(AND(ISNUMBER(CS!AO21),ISNUMBER(CS!AP21)),CONCATENATE(DR$10,DS$10),"")</f>
        <v/>
      </c>
      <c r="DS21" s="50" t="str">
        <f ca="1">IF(AND(ISNUMBER(CS!AP21),ISNUMBER(CS!AQ21)),CONCATENATE(DS$10,DT$10),"")</f>
        <v/>
      </c>
      <c r="DT21" s="63">
        <f>DrawFinder!Y21</f>
        <v>2</v>
      </c>
    </row>
    <row r="22" spans="2:124">
      <c r="B22" s="393" t="str">
        <f ca="1">TmOrderLU!D22</f>
        <v>Tm12</v>
      </c>
      <c r="C22" s="63" t="str">
        <f ca="1">IF(ISNUMBER(CS!C22),C$10,"")</f>
        <v/>
      </c>
      <c r="D22" s="63" t="e">
        <f ca="1">IF(ISNUMBER(CS!D22),D$10,"")</f>
        <v>#N/A</v>
      </c>
      <c r="E22" s="63" t="e">
        <f ca="1">IF(ISNUMBER(CS!E22),E$10,"")</f>
        <v>#N/A</v>
      </c>
      <c r="F22" s="63" t="str">
        <f ca="1">IF(ISNUMBER(CS!F22),F$10,"")</f>
        <v/>
      </c>
      <c r="G22" s="63" t="str">
        <f ca="1">IF(ISNUMBER(CS!G22),G$10,"")</f>
        <v/>
      </c>
      <c r="H22" s="63" t="e">
        <f ca="1">IF(ISNUMBER(CS!H22),H$10,"")</f>
        <v>#N/A</v>
      </c>
      <c r="I22" s="63" t="e">
        <f ca="1">IF(ISNUMBER(CS!I22),I$10,"")</f>
        <v>#N/A</v>
      </c>
      <c r="J22" s="63" t="str">
        <f ca="1">IF(ISNUMBER(CS!J22),J$10,"")</f>
        <v/>
      </c>
      <c r="K22" s="63" t="str">
        <f ca="1">IF(ISNUMBER(CS!K22),K$10,"")</f>
        <v/>
      </c>
      <c r="L22" s="63" t="e">
        <f ca="1">IF(ISNUMBER(CS!L22),L$10,"")</f>
        <v>#N/A</v>
      </c>
      <c r="M22" s="63" t="e">
        <f ca="1">IF(ISNUMBER(CS!M22),M$10,"")</f>
        <v>#N/A</v>
      </c>
      <c r="N22" s="63" t="str">
        <f ca="1">IF(ISNUMBER(CS!N22),N$10,"")</f>
        <v/>
      </c>
      <c r="O22" s="63" t="str">
        <f ca="1">IF(ISNUMBER(CS!O22),O$10,"")</f>
        <v/>
      </c>
      <c r="P22" s="63" t="e">
        <f ca="1">IF(ISNUMBER(CS!P22),P$10,"")</f>
        <v>#N/A</v>
      </c>
      <c r="Q22" s="63" t="str">
        <f ca="1">IF(ISNUMBER(CS!Q22),Q$10,"")</f>
        <v/>
      </c>
      <c r="R22" s="63" t="str">
        <f ca="1">IF(ISNUMBER(CS!R22),R$10,"")</f>
        <v/>
      </c>
      <c r="S22" s="63" t="str">
        <f ca="1">IF(ISNUMBER(CS!S22),S$10,"")</f>
        <v/>
      </c>
      <c r="T22" s="63" t="str">
        <f ca="1">IF(ISNUMBER(CS!T22),T$10,"")</f>
        <v/>
      </c>
      <c r="U22" s="63" t="str">
        <f ca="1">IF(ISNUMBER(CS!U22),U$10,"")</f>
        <v/>
      </c>
      <c r="V22" s="63" t="str">
        <f ca="1">IF(ISNUMBER(CS!V22),V$10,"")</f>
        <v/>
      </c>
      <c r="W22" s="63" t="str">
        <f ca="1">IF(ISNUMBER(CS!W22),W$10,"")</f>
        <v/>
      </c>
      <c r="X22" s="63" t="str">
        <f ca="1">IF(ISNUMBER(CS!X22),X$10,"")</f>
        <v/>
      </c>
      <c r="Y22" s="63" t="str">
        <f ca="1">IF(ISNUMBER(CS!Y22),Y$10,"")</f>
        <v/>
      </c>
      <c r="Z22" s="63" t="str">
        <f ca="1">IF(ISNUMBER(CS!Z22),Z$10,"")</f>
        <v/>
      </c>
      <c r="AA22" s="63" t="str">
        <f ca="1">IF(ISNUMBER(CS!AA22),AA$10,"")</f>
        <v/>
      </c>
      <c r="AB22" s="63" t="str">
        <f ca="1">IF(ISNUMBER(CS!AB22),AB$10,"")</f>
        <v/>
      </c>
      <c r="AC22" s="63" t="str">
        <f ca="1">IF(ISNUMBER(CS!AC22),AC$10,"")</f>
        <v/>
      </c>
      <c r="AD22" s="63" t="str">
        <f ca="1">IF(ISNUMBER(CS!AD22),AD$10,"")</f>
        <v/>
      </c>
      <c r="AE22" s="63" t="str">
        <f ca="1">IF(ISNUMBER(CS!AE22),AE$10,"")</f>
        <v/>
      </c>
      <c r="AF22" s="63" t="str">
        <f ca="1">IF(ISNUMBER(CS!AF22),AF$10,"")</f>
        <v/>
      </c>
      <c r="AG22" s="63" t="str">
        <f ca="1">IF(ISNUMBER(CS!AG22),AG$10,"")</f>
        <v/>
      </c>
      <c r="AH22" s="63" t="str">
        <f ca="1">IF(ISNUMBER(CS!AH22),AH$10,"")</f>
        <v/>
      </c>
      <c r="AI22" s="63" t="str">
        <f ca="1">IF(ISNUMBER(CS!AI22),AI$10,"")</f>
        <v/>
      </c>
      <c r="AJ22" s="63" t="str">
        <f ca="1">IF(ISNUMBER(CS!AJ22),AJ$10,"")</f>
        <v/>
      </c>
      <c r="AK22" s="63" t="str">
        <f ca="1">IF(ISNUMBER(CS!AK22),AK$10,"")</f>
        <v/>
      </c>
      <c r="AL22" s="63" t="str">
        <f ca="1">IF(ISNUMBER(CS!AL22),AL$10,"")</f>
        <v/>
      </c>
      <c r="AM22" s="63" t="str">
        <f ca="1">IF(ISNUMBER(CS!AM22),AM$10,"")</f>
        <v/>
      </c>
      <c r="AN22" s="63" t="str">
        <f ca="1">IF(ISNUMBER(CS!AN22),AN$10,"")</f>
        <v/>
      </c>
      <c r="AO22" s="63" t="str">
        <f ca="1">IF(ISNUMBER(CS!AO22),AO$10,"")</f>
        <v/>
      </c>
      <c r="AP22" s="414" t="str">
        <f ca="1">IF(ISNUMBER(CS!AP22),AP$10,"")</f>
        <v/>
      </c>
      <c r="AS22" s="4" t="str">
        <f t="shared" ca="1" si="11"/>
        <v>Tm12</v>
      </c>
      <c r="AU22" s="417" t="str">
        <f t="shared" ca="1" si="8"/>
        <v/>
      </c>
      <c r="AV22" s="210" t="str">
        <f t="shared" ca="1" si="8"/>
        <v/>
      </c>
      <c r="AW22" s="210" t="str">
        <f t="shared" ca="1" si="8"/>
        <v/>
      </c>
      <c r="AX22" s="210" t="str">
        <f t="shared" ca="1" si="8"/>
        <v/>
      </c>
      <c r="AY22" s="414" t="str">
        <f t="shared" ca="1" si="8"/>
        <v/>
      </c>
      <c r="BA22" s="417" t="e">
        <f t="shared" ca="1" si="12"/>
        <v>#N/A</v>
      </c>
      <c r="BB22" s="210" t="e">
        <f t="shared" ca="1" si="9"/>
        <v>#N/A</v>
      </c>
      <c r="BC22" s="210" t="e">
        <f t="shared" ca="1" si="9"/>
        <v>#N/A</v>
      </c>
      <c r="BD22" s="210" t="e">
        <f t="shared" ca="1" si="9"/>
        <v>#N/A</v>
      </c>
      <c r="BE22" s="210" t="e">
        <f t="shared" ca="1" si="9"/>
        <v>#N/A</v>
      </c>
      <c r="BF22" s="210" t="e">
        <f t="shared" ca="1" si="9"/>
        <v>#N/A</v>
      </c>
      <c r="BG22" s="210" t="e">
        <f t="shared" ca="1" si="9"/>
        <v>#N/A</v>
      </c>
      <c r="BH22" s="210" t="e">
        <f t="shared" ca="1" si="9"/>
        <v>#N/A</v>
      </c>
      <c r="BI22" s="210" t="e">
        <f t="shared" ca="1" si="9"/>
        <v>#N/A</v>
      </c>
      <c r="BJ22" s="210" t="e">
        <f t="shared" ca="1" si="9"/>
        <v>#N/A</v>
      </c>
      <c r="BK22" s="210" t="e">
        <f t="shared" ca="1" si="9"/>
        <v>#N/A</v>
      </c>
      <c r="BL22" s="210" t="e">
        <f t="shared" ca="1" si="9"/>
        <v>#N/A</v>
      </c>
      <c r="BM22" s="210" t="e">
        <f t="shared" ca="1" si="9"/>
        <v>#N/A</v>
      </c>
      <c r="BN22" s="210" t="e">
        <f t="shared" ca="1" si="9"/>
        <v>#N/A</v>
      </c>
      <c r="BO22" s="210" t="str">
        <f t="shared" ca="1" si="9"/>
        <v/>
      </c>
      <c r="BP22" s="210" t="str">
        <f t="shared" ca="1" si="9"/>
        <v/>
      </c>
      <c r="BQ22" s="414" t="str">
        <f t="shared" ca="1" si="9"/>
        <v/>
      </c>
      <c r="BS22" s="417" t="str">
        <f t="shared" ca="1" si="13"/>
        <v/>
      </c>
      <c r="BT22" s="210" t="str">
        <f t="shared" ca="1" si="10"/>
        <v/>
      </c>
      <c r="BU22" s="210" t="str">
        <f t="shared" ca="1" si="10"/>
        <v/>
      </c>
      <c r="BV22" s="210" t="str">
        <f t="shared" ca="1" si="10"/>
        <v/>
      </c>
      <c r="BW22" s="210" t="str">
        <f t="shared" ca="1" si="10"/>
        <v/>
      </c>
      <c r="BX22" s="210" t="str">
        <f t="shared" ca="1" si="10"/>
        <v/>
      </c>
      <c r="BY22" s="210" t="str">
        <f t="shared" ca="1" si="10"/>
        <v/>
      </c>
      <c r="BZ22" s="210">
        <f t="shared" ca="1" si="10"/>
        <v>0</v>
      </c>
      <c r="CA22" s="210" t="str">
        <f t="shared" ca="1" si="10"/>
        <v/>
      </c>
      <c r="CB22" s="396" t="str">
        <f t="shared" ca="1" si="10"/>
        <v/>
      </c>
      <c r="CC22" s="68"/>
      <c r="CD22" s="419" t="e">
        <f t="shared" ca="1" si="10"/>
        <v>#N/A</v>
      </c>
      <c r="CF22" s="50" t="str">
        <f ca="1">IF(AND(ISNUMBER(CS!C22),ISNUMBER(CS!D22)),CONCATENATE(CF$10,CG$10),"")</f>
        <v/>
      </c>
      <c r="CG22" s="50" t="e">
        <f ca="1">IF(AND(ISNUMBER(CS!D22),ISNUMBER(CS!E22)),CONCATENATE(CG$10,CH$10),"")</f>
        <v>#N/A</v>
      </c>
      <c r="CH22" s="50" t="str">
        <f ca="1">IF(AND(ISNUMBER(CS!E22),ISNUMBER(CS!F22)),CONCATENATE(CH$10,CI$10),"")</f>
        <v/>
      </c>
      <c r="CI22" s="50" t="str">
        <f ca="1">IF(AND(ISNUMBER(CS!F22),ISNUMBER(CS!G22)),CONCATENATE(CI$10,CJ$10),"")</f>
        <v/>
      </c>
      <c r="CJ22" s="50" t="str">
        <f ca="1">IF(AND(ISNUMBER(CS!G22),ISNUMBER(CS!H22)),CONCATENATE(CJ$10,CK$10),"")</f>
        <v/>
      </c>
      <c r="CK22" s="50" t="e">
        <f ca="1">IF(AND(ISNUMBER(CS!H22),ISNUMBER(CS!I22)),CONCATENATE(CK$10,CL$10),"")</f>
        <v>#N/A</v>
      </c>
      <c r="CL22" s="50" t="str">
        <f ca="1">IF(AND(ISNUMBER(CS!I22),ISNUMBER(CS!J22)),CONCATENATE(CL$10,CM$10),"")</f>
        <v/>
      </c>
      <c r="CM22" s="50" t="str">
        <f ca="1">IF(AND(ISNUMBER(CS!J22),ISNUMBER(CS!K22)),CONCATENATE(CM$10,CN$10),"")</f>
        <v/>
      </c>
      <c r="CN22" s="50" t="str">
        <f ca="1">IF(AND(ISNUMBER(CS!K22),ISNUMBER(CS!L22)),CONCATENATE(CN$10,CO$10),"")</f>
        <v/>
      </c>
      <c r="CO22" s="50" t="e">
        <f ca="1">IF(AND(ISNUMBER(CS!L22),ISNUMBER(CS!M22)),CONCATENATE(CO$10,CP$10),"")</f>
        <v>#N/A</v>
      </c>
      <c r="CP22" s="50" t="str">
        <f ca="1">IF(AND(ISNUMBER(CS!M22),ISNUMBER(CS!N22)),CONCATENATE(CP$10,CQ$10),"")</f>
        <v/>
      </c>
      <c r="CQ22" s="50" t="str">
        <f ca="1">IF(AND(ISNUMBER(CS!N22),ISNUMBER(CS!O22)),CONCATENATE(CQ$10,CR$10),"")</f>
        <v/>
      </c>
      <c r="CR22" s="50" t="str">
        <f ca="1">IF(AND(ISNUMBER(CS!O22),ISNUMBER(CS!P22)),CONCATENATE(CR$10,CS$10),"")</f>
        <v/>
      </c>
      <c r="CS22" s="50" t="str">
        <f ca="1">IF(AND(ISNUMBER(CS!P22),ISNUMBER(CS!Q22)),CONCATENATE(CS$10,CT$10),"")</f>
        <v/>
      </c>
      <c r="CT22" s="50" t="str">
        <f ca="1">IF(AND(ISNUMBER(CS!Q22),ISNUMBER(CS!R22)),CONCATENATE(CT$10,CU$10),"")</f>
        <v/>
      </c>
      <c r="CU22" s="50" t="str">
        <f ca="1">IF(AND(ISNUMBER(CS!R22),ISNUMBER(CS!S22)),CONCATENATE(CU$10,CV$10),"")</f>
        <v/>
      </c>
      <c r="CV22" s="50" t="str">
        <f ca="1">IF(AND(ISNUMBER(CS!S22),ISNUMBER(CS!T22)),CONCATENATE(CV$10,CW$10),"")</f>
        <v/>
      </c>
      <c r="CW22" s="50" t="str">
        <f ca="1">IF(AND(ISNUMBER(CS!T22),ISNUMBER(CS!U22)),CONCATENATE(CW$10,CX$10),"")</f>
        <v/>
      </c>
      <c r="CX22" s="50" t="str">
        <f ca="1">IF(AND(ISNUMBER(CS!U22),ISNUMBER(CS!V22)),CONCATENATE(CX$10,CY$10),"")</f>
        <v/>
      </c>
      <c r="CY22" s="50" t="str">
        <f ca="1">IF(AND(ISNUMBER(CS!V22),ISNUMBER(CS!W22)),CONCATENATE(CY$10,CZ$10),"")</f>
        <v/>
      </c>
      <c r="CZ22" s="50" t="str">
        <f ca="1">IF(AND(ISNUMBER(CS!W22),ISNUMBER(CS!X22)),CONCATENATE(CZ$10,DA$10),"")</f>
        <v/>
      </c>
      <c r="DA22" s="50" t="str">
        <f ca="1">IF(AND(ISNUMBER(CS!X22),ISNUMBER(CS!Y22)),CONCATENATE(DA$10,DB$10),"")</f>
        <v/>
      </c>
      <c r="DB22" s="50" t="str">
        <f ca="1">IF(AND(ISNUMBER(CS!Y22),ISNUMBER(CS!Z22)),CONCATENATE(DB$10,DC$10),"")</f>
        <v/>
      </c>
      <c r="DC22" s="50" t="str">
        <f ca="1">IF(AND(ISNUMBER(CS!Z22),ISNUMBER(CS!AA22)),CONCATENATE(DC$10,DD$10),"")</f>
        <v/>
      </c>
      <c r="DD22" s="50" t="str">
        <f ca="1">IF(AND(ISNUMBER(CS!AA22),ISNUMBER(CS!AB22)),CONCATENATE(DD$10,DE$10),"")</f>
        <v/>
      </c>
      <c r="DE22" s="50" t="str">
        <f ca="1">IF(AND(ISNUMBER(CS!AB22),ISNUMBER(CS!AC22)),CONCATENATE(DE$10,DF$10),"")</f>
        <v/>
      </c>
      <c r="DF22" s="50" t="str">
        <f ca="1">IF(AND(ISNUMBER(CS!AC22),ISNUMBER(CS!AD22)),CONCATENATE(DF$10,DG$10),"")</f>
        <v/>
      </c>
      <c r="DG22" s="50" t="str">
        <f ca="1">IF(AND(ISNUMBER(CS!AD22),ISNUMBER(CS!AE22)),CONCATENATE(DG$10,DH$10),"")</f>
        <v/>
      </c>
      <c r="DH22" s="50" t="str">
        <f ca="1">IF(AND(ISNUMBER(CS!AE22),ISNUMBER(CS!AF22)),CONCATENATE(DH$10,DI$10),"")</f>
        <v/>
      </c>
      <c r="DI22" s="50" t="str">
        <f ca="1">IF(AND(ISNUMBER(CS!AF22),ISNUMBER(CS!AG22)),CONCATENATE(DI$10,DJ$10),"")</f>
        <v/>
      </c>
      <c r="DJ22" s="50" t="str">
        <f ca="1">IF(AND(ISNUMBER(CS!AG22),ISNUMBER(CS!AH22)),CONCATENATE(DJ$10,DK$10),"")</f>
        <v/>
      </c>
      <c r="DK22" s="50" t="str">
        <f ca="1">IF(AND(ISNUMBER(CS!AH22),ISNUMBER(CS!AI22)),CONCATENATE(DK$10,DL$10),"")</f>
        <v/>
      </c>
      <c r="DL22" s="50" t="str">
        <f ca="1">IF(AND(ISNUMBER(CS!AI22),ISNUMBER(CS!AJ22)),CONCATENATE(DL$10,DM$10),"")</f>
        <v/>
      </c>
      <c r="DM22" s="50" t="str">
        <f ca="1">IF(AND(ISNUMBER(CS!AJ22),ISNUMBER(CS!AK22)),CONCATENATE(DM$10,DN$10),"")</f>
        <v/>
      </c>
      <c r="DN22" s="50" t="str">
        <f ca="1">IF(AND(ISNUMBER(CS!AK22),ISNUMBER(CS!AL22)),CONCATENATE(DN$10,DO$10),"")</f>
        <v/>
      </c>
      <c r="DO22" s="50" t="str">
        <f ca="1">IF(AND(ISNUMBER(CS!AL22),ISNUMBER(CS!AM22)),CONCATENATE(DO$10,DP$10),"")</f>
        <v/>
      </c>
      <c r="DP22" s="50" t="str">
        <f ca="1">IF(AND(ISNUMBER(CS!AM22),ISNUMBER(CS!AN22)),CONCATENATE(DP$10,DQ$10),"")</f>
        <v/>
      </c>
      <c r="DQ22" s="50" t="str">
        <f ca="1">IF(AND(ISNUMBER(CS!AN22),ISNUMBER(CS!AO22)),CONCATENATE(DQ$10,DR$10),"")</f>
        <v/>
      </c>
      <c r="DR22" s="50" t="str">
        <f ca="1">IF(AND(ISNUMBER(CS!AO22),ISNUMBER(CS!AP22)),CONCATENATE(DR$10,DS$10),"")</f>
        <v/>
      </c>
      <c r="DS22" s="50" t="str">
        <f ca="1">IF(AND(ISNUMBER(CS!AP22),ISNUMBER(CS!AQ22)),CONCATENATE(DS$10,DT$10),"")</f>
        <v/>
      </c>
      <c r="DT22" s="63">
        <f>DrawFinder!Y22</f>
        <v>2</v>
      </c>
    </row>
    <row r="23" spans="2:124">
      <c r="B23" s="393" t="str">
        <f ca="1">TmOrderLU!D23</f>
        <v>Tm13</v>
      </c>
      <c r="C23" s="63" t="str">
        <f ca="1">IF(ISNUMBER(CS!C23),C$10,"")</f>
        <v/>
      </c>
      <c r="D23" s="63" t="e">
        <f ca="1">IF(ISNUMBER(CS!D23),D$10,"")</f>
        <v>#N/A</v>
      </c>
      <c r="E23" s="63" t="e">
        <f ca="1">IF(ISNUMBER(CS!E23),E$10,"")</f>
        <v>#N/A</v>
      </c>
      <c r="F23" s="63" t="str">
        <f ca="1">IF(ISNUMBER(CS!F23),F$10,"")</f>
        <v/>
      </c>
      <c r="G23" s="63" t="str">
        <f ca="1">IF(ISNUMBER(CS!G23),G$10,"")</f>
        <v/>
      </c>
      <c r="H23" s="63" t="e">
        <f ca="1">IF(ISNUMBER(CS!H23),H$10,"")</f>
        <v>#N/A</v>
      </c>
      <c r="I23" s="63" t="e">
        <f ca="1">IF(ISNUMBER(CS!I23),I$10,"")</f>
        <v>#N/A</v>
      </c>
      <c r="J23" s="63" t="str">
        <f ca="1">IF(ISNUMBER(CS!J23),J$10,"")</f>
        <v/>
      </c>
      <c r="K23" s="63" t="str">
        <f ca="1">IF(ISNUMBER(CS!K23),K$10,"")</f>
        <v/>
      </c>
      <c r="L23" s="63" t="e">
        <f ca="1">IF(ISNUMBER(CS!L23),L$10,"")</f>
        <v>#N/A</v>
      </c>
      <c r="M23" s="63" t="e">
        <f ca="1">IF(ISNUMBER(CS!M23),M$10,"")</f>
        <v>#N/A</v>
      </c>
      <c r="N23" s="63" t="str">
        <f ca="1">IF(ISNUMBER(CS!N23),N$10,"")</f>
        <v/>
      </c>
      <c r="O23" s="63" t="str">
        <f ca="1">IF(ISNUMBER(CS!O23),O$10,"")</f>
        <v/>
      </c>
      <c r="P23" s="63" t="e">
        <f ca="1">IF(ISNUMBER(CS!P23),P$10,"")</f>
        <v>#N/A</v>
      </c>
      <c r="Q23" s="63" t="str">
        <f ca="1">IF(ISNUMBER(CS!Q23),Q$10,"")</f>
        <v/>
      </c>
      <c r="R23" s="63" t="str">
        <f ca="1">IF(ISNUMBER(CS!R23),R$10,"")</f>
        <v/>
      </c>
      <c r="S23" s="63" t="str">
        <f ca="1">IF(ISNUMBER(CS!S23),S$10,"")</f>
        <v/>
      </c>
      <c r="T23" s="63" t="str">
        <f ca="1">IF(ISNUMBER(CS!T23),T$10,"")</f>
        <v/>
      </c>
      <c r="U23" s="63" t="str">
        <f ca="1">IF(ISNUMBER(CS!U23),U$10,"")</f>
        <v/>
      </c>
      <c r="V23" s="63" t="str">
        <f ca="1">IF(ISNUMBER(CS!V23),V$10,"")</f>
        <v/>
      </c>
      <c r="W23" s="63" t="str">
        <f ca="1">IF(ISNUMBER(CS!W23),W$10,"")</f>
        <v/>
      </c>
      <c r="X23" s="63" t="str">
        <f ca="1">IF(ISNUMBER(CS!X23),X$10,"")</f>
        <v/>
      </c>
      <c r="Y23" s="63" t="str">
        <f ca="1">IF(ISNUMBER(CS!Y23),Y$10,"")</f>
        <v/>
      </c>
      <c r="Z23" s="63" t="str">
        <f ca="1">IF(ISNUMBER(CS!Z23),Z$10,"")</f>
        <v/>
      </c>
      <c r="AA23" s="63" t="str">
        <f ca="1">IF(ISNUMBER(CS!AA23),AA$10,"")</f>
        <v/>
      </c>
      <c r="AB23" s="63" t="str">
        <f ca="1">IF(ISNUMBER(CS!AB23),AB$10,"")</f>
        <v/>
      </c>
      <c r="AC23" s="63" t="str">
        <f ca="1">IF(ISNUMBER(CS!AC23),AC$10,"")</f>
        <v/>
      </c>
      <c r="AD23" s="63" t="str">
        <f ca="1">IF(ISNUMBER(CS!AD23),AD$10,"")</f>
        <v/>
      </c>
      <c r="AE23" s="63" t="str">
        <f ca="1">IF(ISNUMBER(CS!AE23),AE$10,"")</f>
        <v/>
      </c>
      <c r="AF23" s="63" t="str">
        <f ca="1">IF(ISNUMBER(CS!AF23),AF$10,"")</f>
        <v/>
      </c>
      <c r="AG23" s="63" t="str">
        <f ca="1">IF(ISNUMBER(CS!AG23),AG$10,"")</f>
        <v/>
      </c>
      <c r="AH23" s="63" t="str">
        <f ca="1">IF(ISNUMBER(CS!AH23),AH$10,"")</f>
        <v/>
      </c>
      <c r="AI23" s="63" t="str">
        <f ca="1">IF(ISNUMBER(CS!AI23),AI$10,"")</f>
        <v/>
      </c>
      <c r="AJ23" s="63" t="str">
        <f ca="1">IF(ISNUMBER(CS!AJ23),AJ$10,"")</f>
        <v/>
      </c>
      <c r="AK23" s="63" t="str">
        <f ca="1">IF(ISNUMBER(CS!AK23),AK$10,"")</f>
        <v/>
      </c>
      <c r="AL23" s="63" t="str">
        <f ca="1">IF(ISNUMBER(CS!AL23),AL$10,"")</f>
        <v/>
      </c>
      <c r="AM23" s="63" t="str">
        <f ca="1">IF(ISNUMBER(CS!AM23),AM$10,"")</f>
        <v/>
      </c>
      <c r="AN23" s="63" t="str">
        <f ca="1">IF(ISNUMBER(CS!AN23),AN$10,"")</f>
        <v/>
      </c>
      <c r="AO23" s="63" t="str">
        <f ca="1">IF(ISNUMBER(CS!AO23),AO$10,"")</f>
        <v/>
      </c>
      <c r="AP23" s="414" t="str">
        <f ca="1">IF(ISNUMBER(CS!AP23),AP$10,"")</f>
        <v/>
      </c>
      <c r="AS23" s="4" t="str">
        <f t="shared" ca="1" si="11"/>
        <v>Tm13</v>
      </c>
      <c r="AU23" s="417" t="str">
        <f t="shared" ca="1" si="8"/>
        <v/>
      </c>
      <c r="AV23" s="210" t="str">
        <f t="shared" ca="1" si="8"/>
        <v/>
      </c>
      <c r="AW23" s="210" t="str">
        <f t="shared" ca="1" si="8"/>
        <v/>
      </c>
      <c r="AX23" s="210" t="str">
        <f t="shared" ca="1" si="8"/>
        <v/>
      </c>
      <c r="AY23" s="414" t="str">
        <f t="shared" ca="1" si="8"/>
        <v/>
      </c>
      <c r="BA23" s="417" t="e">
        <f t="shared" ca="1" si="12"/>
        <v>#N/A</v>
      </c>
      <c r="BB23" s="210" t="e">
        <f t="shared" ca="1" si="9"/>
        <v>#N/A</v>
      </c>
      <c r="BC23" s="210" t="e">
        <f t="shared" ca="1" si="9"/>
        <v>#N/A</v>
      </c>
      <c r="BD23" s="210" t="e">
        <f t="shared" ca="1" si="9"/>
        <v>#N/A</v>
      </c>
      <c r="BE23" s="210" t="e">
        <f t="shared" ca="1" si="9"/>
        <v>#N/A</v>
      </c>
      <c r="BF23" s="210" t="e">
        <f t="shared" ca="1" si="9"/>
        <v>#N/A</v>
      </c>
      <c r="BG23" s="210" t="e">
        <f t="shared" ca="1" si="9"/>
        <v>#N/A</v>
      </c>
      <c r="BH23" s="210" t="e">
        <f t="shared" ca="1" si="9"/>
        <v>#N/A</v>
      </c>
      <c r="BI23" s="210" t="e">
        <f t="shared" ca="1" si="9"/>
        <v>#N/A</v>
      </c>
      <c r="BJ23" s="210" t="e">
        <f t="shared" ca="1" si="9"/>
        <v>#N/A</v>
      </c>
      <c r="BK23" s="210" t="e">
        <f t="shared" ca="1" si="9"/>
        <v>#N/A</v>
      </c>
      <c r="BL23" s="210" t="e">
        <f t="shared" ca="1" si="9"/>
        <v>#N/A</v>
      </c>
      <c r="BM23" s="210" t="e">
        <f t="shared" ca="1" si="9"/>
        <v>#N/A</v>
      </c>
      <c r="BN23" s="210" t="e">
        <f t="shared" ca="1" si="9"/>
        <v>#N/A</v>
      </c>
      <c r="BO23" s="210" t="str">
        <f t="shared" ca="1" si="9"/>
        <v/>
      </c>
      <c r="BP23" s="210" t="str">
        <f t="shared" ca="1" si="9"/>
        <v/>
      </c>
      <c r="BQ23" s="414" t="str">
        <f t="shared" ca="1" si="9"/>
        <v/>
      </c>
      <c r="BS23" s="417" t="str">
        <f t="shared" ca="1" si="13"/>
        <v/>
      </c>
      <c r="BT23" s="210" t="str">
        <f t="shared" ca="1" si="10"/>
        <v/>
      </c>
      <c r="BU23" s="210" t="str">
        <f t="shared" ca="1" si="10"/>
        <v/>
      </c>
      <c r="BV23" s="210" t="str">
        <f t="shared" ca="1" si="10"/>
        <v/>
      </c>
      <c r="BW23" s="210" t="str">
        <f t="shared" ca="1" si="10"/>
        <v/>
      </c>
      <c r="BX23" s="210" t="str">
        <f t="shared" ca="1" si="10"/>
        <v/>
      </c>
      <c r="BY23" s="210" t="str">
        <f t="shared" ca="1" si="10"/>
        <v/>
      </c>
      <c r="BZ23" s="210">
        <f t="shared" ca="1" si="10"/>
        <v>0</v>
      </c>
      <c r="CA23" s="210" t="str">
        <f t="shared" ca="1" si="10"/>
        <v/>
      </c>
      <c r="CB23" s="396" t="str">
        <f t="shared" ca="1" si="10"/>
        <v/>
      </c>
      <c r="CC23" s="68"/>
      <c r="CD23" s="419" t="e">
        <f t="shared" ca="1" si="10"/>
        <v>#N/A</v>
      </c>
      <c r="CF23" s="50" t="str">
        <f ca="1">IF(AND(ISNUMBER(CS!C23),ISNUMBER(CS!D23)),CONCATENATE(CF$10,CG$10),"")</f>
        <v/>
      </c>
      <c r="CG23" s="50" t="e">
        <f ca="1">IF(AND(ISNUMBER(CS!D23),ISNUMBER(CS!E23)),CONCATENATE(CG$10,CH$10),"")</f>
        <v>#N/A</v>
      </c>
      <c r="CH23" s="50" t="str">
        <f ca="1">IF(AND(ISNUMBER(CS!E23),ISNUMBER(CS!F23)),CONCATENATE(CH$10,CI$10),"")</f>
        <v/>
      </c>
      <c r="CI23" s="50" t="str">
        <f ca="1">IF(AND(ISNUMBER(CS!F23),ISNUMBER(CS!G23)),CONCATENATE(CI$10,CJ$10),"")</f>
        <v/>
      </c>
      <c r="CJ23" s="50" t="str">
        <f ca="1">IF(AND(ISNUMBER(CS!G23),ISNUMBER(CS!H23)),CONCATENATE(CJ$10,CK$10),"")</f>
        <v/>
      </c>
      <c r="CK23" s="50" t="e">
        <f ca="1">IF(AND(ISNUMBER(CS!H23),ISNUMBER(CS!I23)),CONCATENATE(CK$10,CL$10),"")</f>
        <v>#N/A</v>
      </c>
      <c r="CL23" s="50" t="str">
        <f ca="1">IF(AND(ISNUMBER(CS!I23),ISNUMBER(CS!J23)),CONCATENATE(CL$10,CM$10),"")</f>
        <v/>
      </c>
      <c r="CM23" s="50" t="str">
        <f ca="1">IF(AND(ISNUMBER(CS!J23),ISNUMBER(CS!K23)),CONCATENATE(CM$10,CN$10),"")</f>
        <v/>
      </c>
      <c r="CN23" s="50" t="str">
        <f ca="1">IF(AND(ISNUMBER(CS!K23),ISNUMBER(CS!L23)),CONCATENATE(CN$10,CO$10),"")</f>
        <v/>
      </c>
      <c r="CO23" s="50" t="e">
        <f ca="1">IF(AND(ISNUMBER(CS!L23),ISNUMBER(CS!M23)),CONCATENATE(CO$10,CP$10),"")</f>
        <v>#N/A</v>
      </c>
      <c r="CP23" s="50" t="str">
        <f ca="1">IF(AND(ISNUMBER(CS!M23),ISNUMBER(CS!N23)),CONCATENATE(CP$10,CQ$10),"")</f>
        <v/>
      </c>
      <c r="CQ23" s="50" t="str">
        <f ca="1">IF(AND(ISNUMBER(CS!N23),ISNUMBER(CS!O23)),CONCATENATE(CQ$10,CR$10),"")</f>
        <v/>
      </c>
      <c r="CR23" s="50" t="str">
        <f ca="1">IF(AND(ISNUMBER(CS!O23),ISNUMBER(CS!P23)),CONCATENATE(CR$10,CS$10),"")</f>
        <v/>
      </c>
      <c r="CS23" s="50" t="str">
        <f ca="1">IF(AND(ISNUMBER(CS!P23),ISNUMBER(CS!Q23)),CONCATENATE(CS$10,CT$10),"")</f>
        <v/>
      </c>
      <c r="CT23" s="50" t="str">
        <f ca="1">IF(AND(ISNUMBER(CS!Q23),ISNUMBER(CS!R23)),CONCATENATE(CT$10,CU$10),"")</f>
        <v/>
      </c>
      <c r="CU23" s="50" t="str">
        <f ca="1">IF(AND(ISNUMBER(CS!R23),ISNUMBER(CS!S23)),CONCATENATE(CU$10,CV$10),"")</f>
        <v/>
      </c>
      <c r="CV23" s="50" t="str">
        <f ca="1">IF(AND(ISNUMBER(CS!S23),ISNUMBER(CS!T23)),CONCATENATE(CV$10,CW$10),"")</f>
        <v/>
      </c>
      <c r="CW23" s="50" t="str">
        <f ca="1">IF(AND(ISNUMBER(CS!T23),ISNUMBER(CS!U23)),CONCATENATE(CW$10,CX$10),"")</f>
        <v/>
      </c>
      <c r="CX23" s="50" t="str">
        <f ca="1">IF(AND(ISNUMBER(CS!U23),ISNUMBER(CS!V23)),CONCATENATE(CX$10,CY$10),"")</f>
        <v/>
      </c>
      <c r="CY23" s="50" t="str">
        <f ca="1">IF(AND(ISNUMBER(CS!V23),ISNUMBER(CS!W23)),CONCATENATE(CY$10,CZ$10),"")</f>
        <v/>
      </c>
      <c r="CZ23" s="50" t="str">
        <f ca="1">IF(AND(ISNUMBER(CS!W23),ISNUMBER(CS!X23)),CONCATENATE(CZ$10,DA$10),"")</f>
        <v/>
      </c>
      <c r="DA23" s="50" t="str">
        <f ca="1">IF(AND(ISNUMBER(CS!X23),ISNUMBER(CS!Y23)),CONCATENATE(DA$10,DB$10),"")</f>
        <v/>
      </c>
      <c r="DB23" s="50" t="str">
        <f ca="1">IF(AND(ISNUMBER(CS!Y23),ISNUMBER(CS!Z23)),CONCATENATE(DB$10,DC$10),"")</f>
        <v/>
      </c>
      <c r="DC23" s="50" t="str">
        <f ca="1">IF(AND(ISNUMBER(CS!Z23),ISNUMBER(CS!AA23)),CONCATENATE(DC$10,DD$10),"")</f>
        <v/>
      </c>
      <c r="DD23" s="50" t="str">
        <f ca="1">IF(AND(ISNUMBER(CS!AA23),ISNUMBER(CS!AB23)),CONCATENATE(DD$10,DE$10),"")</f>
        <v/>
      </c>
      <c r="DE23" s="50" t="str">
        <f ca="1">IF(AND(ISNUMBER(CS!AB23),ISNUMBER(CS!AC23)),CONCATENATE(DE$10,DF$10),"")</f>
        <v/>
      </c>
      <c r="DF23" s="50" t="str">
        <f ca="1">IF(AND(ISNUMBER(CS!AC23),ISNUMBER(CS!AD23)),CONCATENATE(DF$10,DG$10),"")</f>
        <v/>
      </c>
      <c r="DG23" s="50" t="str">
        <f ca="1">IF(AND(ISNUMBER(CS!AD23),ISNUMBER(CS!AE23)),CONCATENATE(DG$10,DH$10),"")</f>
        <v/>
      </c>
      <c r="DH23" s="50" t="str">
        <f ca="1">IF(AND(ISNUMBER(CS!AE23),ISNUMBER(CS!AF23)),CONCATENATE(DH$10,DI$10),"")</f>
        <v/>
      </c>
      <c r="DI23" s="50" t="str">
        <f ca="1">IF(AND(ISNUMBER(CS!AF23),ISNUMBER(CS!AG23)),CONCATENATE(DI$10,DJ$10),"")</f>
        <v/>
      </c>
      <c r="DJ23" s="50" t="str">
        <f ca="1">IF(AND(ISNUMBER(CS!AG23),ISNUMBER(CS!AH23)),CONCATENATE(DJ$10,DK$10),"")</f>
        <v/>
      </c>
      <c r="DK23" s="50" t="str">
        <f ca="1">IF(AND(ISNUMBER(CS!AH23),ISNUMBER(CS!AI23)),CONCATENATE(DK$10,DL$10),"")</f>
        <v/>
      </c>
      <c r="DL23" s="50" t="str">
        <f ca="1">IF(AND(ISNUMBER(CS!AI23),ISNUMBER(CS!AJ23)),CONCATENATE(DL$10,DM$10),"")</f>
        <v/>
      </c>
      <c r="DM23" s="50" t="str">
        <f ca="1">IF(AND(ISNUMBER(CS!AJ23),ISNUMBER(CS!AK23)),CONCATENATE(DM$10,DN$10),"")</f>
        <v/>
      </c>
      <c r="DN23" s="50" t="str">
        <f ca="1">IF(AND(ISNUMBER(CS!AK23),ISNUMBER(CS!AL23)),CONCATENATE(DN$10,DO$10),"")</f>
        <v/>
      </c>
      <c r="DO23" s="50" t="str">
        <f ca="1">IF(AND(ISNUMBER(CS!AL23),ISNUMBER(CS!AM23)),CONCATENATE(DO$10,DP$10),"")</f>
        <v/>
      </c>
      <c r="DP23" s="50" t="str">
        <f ca="1">IF(AND(ISNUMBER(CS!AM23),ISNUMBER(CS!AN23)),CONCATENATE(DP$10,DQ$10),"")</f>
        <v/>
      </c>
      <c r="DQ23" s="50" t="str">
        <f ca="1">IF(AND(ISNUMBER(CS!AN23),ISNUMBER(CS!AO23)),CONCATENATE(DQ$10,DR$10),"")</f>
        <v/>
      </c>
      <c r="DR23" s="50" t="str">
        <f ca="1">IF(AND(ISNUMBER(CS!AO23),ISNUMBER(CS!AP23)),CONCATENATE(DR$10,DS$10),"")</f>
        <v/>
      </c>
      <c r="DS23" s="50" t="str">
        <f ca="1">IF(AND(ISNUMBER(CS!AP23),ISNUMBER(CS!AQ23)),CONCATENATE(DS$10,DT$10),"")</f>
        <v/>
      </c>
      <c r="DT23" s="63">
        <f>DrawFinder!Y23</f>
        <v>2</v>
      </c>
    </row>
    <row r="24" spans="2:124">
      <c r="B24" s="393" t="str">
        <f ca="1">TmOrderLU!D24</f>
        <v>Tm14</v>
      </c>
      <c r="C24" s="63" t="str">
        <f ca="1">IF(ISNUMBER(CS!C24),C$10,"")</f>
        <v/>
      </c>
      <c r="D24" s="63" t="e">
        <f ca="1">IF(ISNUMBER(CS!D24),D$10,"")</f>
        <v>#N/A</v>
      </c>
      <c r="E24" s="63" t="e">
        <f ca="1">IF(ISNUMBER(CS!E24),E$10,"")</f>
        <v>#N/A</v>
      </c>
      <c r="F24" s="63" t="str">
        <f ca="1">IF(ISNUMBER(CS!F24),F$10,"")</f>
        <v/>
      </c>
      <c r="G24" s="63" t="str">
        <f ca="1">IF(ISNUMBER(CS!G24),G$10,"")</f>
        <v/>
      </c>
      <c r="H24" s="63" t="e">
        <f ca="1">IF(ISNUMBER(CS!H24),H$10,"")</f>
        <v>#N/A</v>
      </c>
      <c r="I24" s="63" t="e">
        <f ca="1">IF(ISNUMBER(CS!I24),I$10,"")</f>
        <v>#N/A</v>
      </c>
      <c r="J24" s="63" t="str">
        <f ca="1">IF(ISNUMBER(CS!J24),J$10,"")</f>
        <v/>
      </c>
      <c r="K24" s="63" t="str">
        <f ca="1">IF(ISNUMBER(CS!K24),K$10,"")</f>
        <v/>
      </c>
      <c r="L24" s="63" t="e">
        <f ca="1">IF(ISNUMBER(CS!L24),L$10,"")</f>
        <v>#N/A</v>
      </c>
      <c r="M24" s="63" t="e">
        <f ca="1">IF(ISNUMBER(CS!M24),M$10,"")</f>
        <v>#N/A</v>
      </c>
      <c r="N24" s="63" t="str">
        <f ca="1">IF(ISNUMBER(CS!N24),N$10,"")</f>
        <v/>
      </c>
      <c r="O24" s="63" t="str">
        <f ca="1">IF(ISNUMBER(CS!O24),O$10,"")</f>
        <v/>
      </c>
      <c r="P24" s="63" t="e">
        <f ca="1">IF(ISNUMBER(CS!P24),P$10,"")</f>
        <v>#N/A</v>
      </c>
      <c r="Q24" s="63" t="str">
        <f ca="1">IF(ISNUMBER(CS!Q24),Q$10,"")</f>
        <v/>
      </c>
      <c r="R24" s="63" t="str">
        <f ca="1">IF(ISNUMBER(CS!R24),R$10,"")</f>
        <v/>
      </c>
      <c r="S24" s="63" t="str">
        <f ca="1">IF(ISNUMBER(CS!S24),S$10,"")</f>
        <v/>
      </c>
      <c r="T24" s="63" t="str">
        <f ca="1">IF(ISNUMBER(CS!T24),T$10,"")</f>
        <v/>
      </c>
      <c r="U24" s="63" t="str">
        <f ca="1">IF(ISNUMBER(CS!U24),U$10,"")</f>
        <v/>
      </c>
      <c r="V24" s="63" t="str">
        <f ca="1">IF(ISNUMBER(CS!V24),V$10,"")</f>
        <v/>
      </c>
      <c r="W24" s="63" t="str">
        <f ca="1">IF(ISNUMBER(CS!W24),W$10,"")</f>
        <v/>
      </c>
      <c r="X24" s="63" t="str">
        <f ca="1">IF(ISNUMBER(CS!X24),X$10,"")</f>
        <v/>
      </c>
      <c r="Y24" s="63" t="str">
        <f ca="1">IF(ISNUMBER(CS!Y24),Y$10,"")</f>
        <v/>
      </c>
      <c r="Z24" s="63" t="str">
        <f ca="1">IF(ISNUMBER(CS!Z24),Z$10,"")</f>
        <v/>
      </c>
      <c r="AA24" s="63" t="str">
        <f ca="1">IF(ISNUMBER(CS!AA24),AA$10,"")</f>
        <v/>
      </c>
      <c r="AB24" s="63" t="str">
        <f ca="1">IF(ISNUMBER(CS!AB24),AB$10,"")</f>
        <v/>
      </c>
      <c r="AC24" s="63" t="str">
        <f ca="1">IF(ISNUMBER(CS!AC24),AC$10,"")</f>
        <v/>
      </c>
      <c r="AD24" s="63" t="str">
        <f ca="1">IF(ISNUMBER(CS!AD24),AD$10,"")</f>
        <v/>
      </c>
      <c r="AE24" s="63" t="str">
        <f ca="1">IF(ISNUMBER(CS!AE24),AE$10,"")</f>
        <v/>
      </c>
      <c r="AF24" s="63" t="str">
        <f ca="1">IF(ISNUMBER(CS!AF24),AF$10,"")</f>
        <v/>
      </c>
      <c r="AG24" s="63" t="str">
        <f ca="1">IF(ISNUMBER(CS!AG24),AG$10,"")</f>
        <v/>
      </c>
      <c r="AH24" s="63" t="str">
        <f ca="1">IF(ISNUMBER(CS!AH24),AH$10,"")</f>
        <v/>
      </c>
      <c r="AI24" s="63" t="str">
        <f ca="1">IF(ISNUMBER(CS!AI24),AI$10,"")</f>
        <v/>
      </c>
      <c r="AJ24" s="63" t="str">
        <f ca="1">IF(ISNUMBER(CS!AJ24),AJ$10,"")</f>
        <v/>
      </c>
      <c r="AK24" s="63" t="str">
        <f ca="1">IF(ISNUMBER(CS!AK24),AK$10,"")</f>
        <v/>
      </c>
      <c r="AL24" s="63" t="str">
        <f ca="1">IF(ISNUMBER(CS!AL24),AL$10,"")</f>
        <v/>
      </c>
      <c r="AM24" s="63" t="str">
        <f ca="1">IF(ISNUMBER(CS!AM24),AM$10,"")</f>
        <v/>
      </c>
      <c r="AN24" s="63" t="str">
        <f ca="1">IF(ISNUMBER(CS!AN24),AN$10,"")</f>
        <v/>
      </c>
      <c r="AO24" s="63" t="str">
        <f ca="1">IF(ISNUMBER(CS!AO24),AO$10,"")</f>
        <v/>
      </c>
      <c r="AP24" s="414" t="str">
        <f ca="1">IF(ISNUMBER(CS!AP24),AP$10,"")</f>
        <v/>
      </c>
      <c r="AS24" s="4" t="str">
        <f t="shared" ca="1" si="11"/>
        <v>Tm14</v>
      </c>
      <c r="AU24" s="417" t="str">
        <f t="shared" ca="1" si="8"/>
        <v/>
      </c>
      <c r="AV24" s="210" t="str">
        <f t="shared" ca="1" si="8"/>
        <v/>
      </c>
      <c r="AW24" s="210" t="str">
        <f t="shared" ca="1" si="8"/>
        <v/>
      </c>
      <c r="AX24" s="210" t="str">
        <f t="shared" ca="1" si="8"/>
        <v/>
      </c>
      <c r="AY24" s="414" t="str">
        <f t="shared" ca="1" si="8"/>
        <v/>
      </c>
      <c r="BA24" s="417" t="e">
        <f t="shared" ca="1" si="12"/>
        <v>#N/A</v>
      </c>
      <c r="BB24" s="210" t="e">
        <f t="shared" ca="1" si="9"/>
        <v>#N/A</v>
      </c>
      <c r="BC24" s="210" t="e">
        <f t="shared" ca="1" si="9"/>
        <v>#N/A</v>
      </c>
      <c r="BD24" s="210" t="e">
        <f t="shared" ca="1" si="9"/>
        <v>#N/A</v>
      </c>
      <c r="BE24" s="210" t="e">
        <f t="shared" ca="1" si="9"/>
        <v>#N/A</v>
      </c>
      <c r="BF24" s="210" t="e">
        <f t="shared" ca="1" si="9"/>
        <v>#N/A</v>
      </c>
      <c r="BG24" s="210" t="e">
        <f t="shared" ca="1" si="9"/>
        <v>#N/A</v>
      </c>
      <c r="BH24" s="210" t="e">
        <f t="shared" ca="1" si="9"/>
        <v>#N/A</v>
      </c>
      <c r="BI24" s="210" t="e">
        <f t="shared" ca="1" si="9"/>
        <v>#N/A</v>
      </c>
      <c r="BJ24" s="210" t="e">
        <f t="shared" ca="1" si="9"/>
        <v>#N/A</v>
      </c>
      <c r="BK24" s="210" t="e">
        <f t="shared" ca="1" si="9"/>
        <v>#N/A</v>
      </c>
      <c r="BL24" s="210" t="e">
        <f t="shared" ca="1" si="9"/>
        <v>#N/A</v>
      </c>
      <c r="BM24" s="210" t="e">
        <f t="shared" ca="1" si="9"/>
        <v>#N/A</v>
      </c>
      <c r="BN24" s="210" t="e">
        <f t="shared" ca="1" si="9"/>
        <v>#N/A</v>
      </c>
      <c r="BO24" s="210" t="str">
        <f t="shared" ca="1" si="9"/>
        <v/>
      </c>
      <c r="BP24" s="210" t="str">
        <f t="shared" ca="1" si="9"/>
        <v/>
      </c>
      <c r="BQ24" s="414" t="str">
        <f t="shared" ca="1" si="9"/>
        <v/>
      </c>
      <c r="BS24" s="417" t="str">
        <f t="shared" ca="1" si="13"/>
        <v/>
      </c>
      <c r="BT24" s="210" t="str">
        <f t="shared" ca="1" si="10"/>
        <v/>
      </c>
      <c r="BU24" s="210" t="str">
        <f t="shared" ca="1" si="10"/>
        <v/>
      </c>
      <c r="BV24" s="210" t="str">
        <f t="shared" ca="1" si="10"/>
        <v/>
      </c>
      <c r="BW24" s="210" t="str">
        <f t="shared" ca="1" si="10"/>
        <v/>
      </c>
      <c r="BX24" s="210" t="str">
        <f t="shared" ca="1" si="10"/>
        <v/>
      </c>
      <c r="BY24" s="210" t="str">
        <f t="shared" ca="1" si="10"/>
        <v/>
      </c>
      <c r="BZ24" s="210">
        <f t="shared" ca="1" si="10"/>
        <v>0</v>
      </c>
      <c r="CA24" s="210" t="str">
        <f t="shared" ca="1" si="10"/>
        <v/>
      </c>
      <c r="CB24" s="396" t="str">
        <f t="shared" ca="1" si="10"/>
        <v/>
      </c>
      <c r="CC24" s="68"/>
      <c r="CD24" s="419" t="e">
        <f t="shared" ca="1" si="10"/>
        <v>#N/A</v>
      </c>
      <c r="CF24" s="50" t="str">
        <f ca="1">IF(AND(ISNUMBER(CS!C24),ISNUMBER(CS!D24)),CONCATENATE(CF$10,CG$10),"")</f>
        <v/>
      </c>
      <c r="CG24" s="50" t="e">
        <f ca="1">IF(AND(ISNUMBER(CS!D24),ISNUMBER(CS!E24)),CONCATENATE(CG$10,CH$10),"")</f>
        <v>#N/A</v>
      </c>
      <c r="CH24" s="50" t="str">
        <f ca="1">IF(AND(ISNUMBER(CS!E24),ISNUMBER(CS!F24)),CONCATENATE(CH$10,CI$10),"")</f>
        <v/>
      </c>
      <c r="CI24" s="50" t="str">
        <f ca="1">IF(AND(ISNUMBER(CS!F24),ISNUMBER(CS!G24)),CONCATENATE(CI$10,CJ$10),"")</f>
        <v/>
      </c>
      <c r="CJ24" s="50" t="str">
        <f ca="1">IF(AND(ISNUMBER(CS!G24),ISNUMBER(CS!H24)),CONCATENATE(CJ$10,CK$10),"")</f>
        <v/>
      </c>
      <c r="CK24" s="50" t="e">
        <f ca="1">IF(AND(ISNUMBER(CS!H24),ISNUMBER(CS!I24)),CONCATENATE(CK$10,CL$10),"")</f>
        <v>#N/A</v>
      </c>
      <c r="CL24" s="50" t="str">
        <f ca="1">IF(AND(ISNUMBER(CS!I24),ISNUMBER(CS!J24)),CONCATENATE(CL$10,CM$10),"")</f>
        <v/>
      </c>
      <c r="CM24" s="50" t="str">
        <f ca="1">IF(AND(ISNUMBER(CS!J24),ISNUMBER(CS!K24)),CONCATENATE(CM$10,CN$10),"")</f>
        <v/>
      </c>
      <c r="CN24" s="50" t="str">
        <f ca="1">IF(AND(ISNUMBER(CS!K24),ISNUMBER(CS!L24)),CONCATENATE(CN$10,CO$10),"")</f>
        <v/>
      </c>
      <c r="CO24" s="50" t="e">
        <f ca="1">IF(AND(ISNUMBER(CS!L24),ISNUMBER(CS!M24)),CONCATENATE(CO$10,CP$10),"")</f>
        <v>#N/A</v>
      </c>
      <c r="CP24" s="50" t="str">
        <f ca="1">IF(AND(ISNUMBER(CS!M24),ISNUMBER(CS!N24)),CONCATENATE(CP$10,CQ$10),"")</f>
        <v/>
      </c>
      <c r="CQ24" s="50" t="str">
        <f ca="1">IF(AND(ISNUMBER(CS!N24),ISNUMBER(CS!O24)),CONCATENATE(CQ$10,CR$10),"")</f>
        <v/>
      </c>
      <c r="CR24" s="50" t="str">
        <f ca="1">IF(AND(ISNUMBER(CS!O24),ISNUMBER(CS!P24)),CONCATENATE(CR$10,CS$10),"")</f>
        <v/>
      </c>
      <c r="CS24" s="50" t="str">
        <f ca="1">IF(AND(ISNUMBER(CS!P24),ISNUMBER(CS!Q24)),CONCATENATE(CS$10,CT$10),"")</f>
        <v/>
      </c>
      <c r="CT24" s="50" t="str">
        <f ca="1">IF(AND(ISNUMBER(CS!Q24),ISNUMBER(CS!R24)),CONCATENATE(CT$10,CU$10),"")</f>
        <v/>
      </c>
      <c r="CU24" s="50" t="str">
        <f ca="1">IF(AND(ISNUMBER(CS!R24),ISNUMBER(CS!S24)),CONCATENATE(CU$10,CV$10),"")</f>
        <v/>
      </c>
      <c r="CV24" s="50" t="str">
        <f ca="1">IF(AND(ISNUMBER(CS!S24),ISNUMBER(CS!T24)),CONCATENATE(CV$10,CW$10),"")</f>
        <v/>
      </c>
      <c r="CW24" s="50" t="str">
        <f ca="1">IF(AND(ISNUMBER(CS!T24),ISNUMBER(CS!U24)),CONCATENATE(CW$10,CX$10),"")</f>
        <v/>
      </c>
      <c r="CX24" s="50" t="str">
        <f ca="1">IF(AND(ISNUMBER(CS!U24),ISNUMBER(CS!V24)),CONCATENATE(CX$10,CY$10),"")</f>
        <v/>
      </c>
      <c r="CY24" s="50" t="str">
        <f ca="1">IF(AND(ISNUMBER(CS!V24),ISNUMBER(CS!W24)),CONCATENATE(CY$10,CZ$10),"")</f>
        <v/>
      </c>
      <c r="CZ24" s="50" t="str">
        <f ca="1">IF(AND(ISNUMBER(CS!W24),ISNUMBER(CS!X24)),CONCATENATE(CZ$10,DA$10),"")</f>
        <v/>
      </c>
      <c r="DA24" s="50" t="str">
        <f ca="1">IF(AND(ISNUMBER(CS!X24),ISNUMBER(CS!Y24)),CONCATENATE(DA$10,DB$10),"")</f>
        <v/>
      </c>
      <c r="DB24" s="50" t="str">
        <f ca="1">IF(AND(ISNUMBER(CS!Y24),ISNUMBER(CS!Z24)),CONCATENATE(DB$10,DC$10),"")</f>
        <v/>
      </c>
      <c r="DC24" s="50" t="str">
        <f ca="1">IF(AND(ISNUMBER(CS!Z24),ISNUMBER(CS!AA24)),CONCATENATE(DC$10,DD$10),"")</f>
        <v/>
      </c>
      <c r="DD24" s="50" t="str">
        <f ca="1">IF(AND(ISNUMBER(CS!AA24),ISNUMBER(CS!AB24)),CONCATENATE(DD$10,DE$10),"")</f>
        <v/>
      </c>
      <c r="DE24" s="50" t="str">
        <f ca="1">IF(AND(ISNUMBER(CS!AB24),ISNUMBER(CS!AC24)),CONCATENATE(DE$10,DF$10),"")</f>
        <v/>
      </c>
      <c r="DF24" s="50" t="str">
        <f ca="1">IF(AND(ISNUMBER(CS!AC24),ISNUMBER(CS!AD24)),CONCATENATE(DF$10,DG$10),"")</f>
        <v/>
      </c>
      <c r="DG24" s="50" t="str">
        <f ca="1">IF(AND(ISNUMBER(CS!AD24),ISNUMBER(CS!AE24)),CONCATENATE(DG$10,DH$10),"")</f>
        <v/>
      </c>
      <c r="DH24" s="50" t="str">
        <f ca="1">IF(AND(ISNUMBER(CS!AE24),ISNUMBER(CS!AF24)),CONCATENATE(DH$10,DI$10),"")</f>
        <v/>
      </c>
      <c r="DI24" s="50" t="str">
        <f ca="1">IF(AND(ISNUMBER(CS!AF24),ISNUMBER(CS!AG24)),CONCATENATE(DI$10,DJ$10),"")</f>
        <v/>
      </c>
      <c r="DJ24" s="50" t="str">
        <f ca="1">IF(AND(ISNUMBER(CS!AG24),ISNUMBER(CS!AH24)),CONCATENATE(DJ$10,DK$10),"")</f>
        <v/>
      </c>
      <c r="DK24" s="50" t="str">
        <f ca="1">IF(AND(ISNUMBER(CS!AH24),ISNUMBER(CS!AI24)),CONCATENATE(DK$10,DL$10),"")</f>
        <v/>
      </c>
      <c r="DL24" s="50" t="str">
        <f ca="1">IF(AND(ISNUMBER(CS!AI24),ISNUMBER(CS!AJ24)),CONCATENATE(DL$10,DM$10),"")</f>
        <v/>
      </c>
      <c r="DM24" s="50" t="str">
        <f ca="1">IF(AND(ISNUMBER(CS!AJ24),ISNUMBER(CS!AK24)),CONCATENATE(DM$10,DN$10),"")</f>
        <v/>
      </c>
      <c r="DN24" s="50" t="str">
        <f ca="1">IF(AND(ISNUMBER(CS!AK24),ISNUMBER(CS!AL24)),CONCATENATE(DN$10,DO$10),"")</f>
        <v/>
      </c>
      <c r="DO24" s="50" t="str">
        <f ca="1">IF(AND(ISNUMBER(CS!AL24),ISNUMBER(CS!AM24)),CONCATENATE(DO$10,DP$10),"")</f>
        <v/>
      </c>
      <c r="DP24" s="50" t="str">
        <f ca="1">IF(AND(ISNUMBER(CS!AM24),ISNUMBER(CS!AN24)),CONCATENATE(DP$10,DQ$10),"")</f>
        <v/>
      </c>
      <c r="DQ24" s="50" t="str">
        <f ca="1">IF(AND(ISNUMBER(CS!AN24),ISNUMBER(CS!AO24)),CONCATENATE(DQ$10,DR$10),"")</f>
        <v/>
      </c>
      <c r="DR24" s="50" t="str">
        <f ca="1">IF(AND(ISNUMBER(CS!AO24),ISNUMBER(CS!AP24)),CONCATENATE(DR$10,DS$10),"")</f>
        <v/>
      </c>
      <c r="DS24" s="50" t="str">
        <f ca="1">IF(AND(ISNUMBER(CS!AP24),ISNUMBER(CS!AQ24)),CONCATENATE(DS$10,DT$10),"")</f>
        <v/>
      </c>
      <c r="DT24" s="63">
        <f>DrawFinder!Y24</f>
        <v>2</v>
      </c>
    </row>
    <row r="25" spans="2:124">
      <c r="B25" s="393" t="str">
        <f ca="1">TmOrderLU!D25</f>
        <v>Tm15</v>
      </c>
      <c r="C25" s="63" t="str">
        <f ca="1">IF(ISNUMBER(CS!C25),C$10,"")</f>
        <v/>
      </c>
      <c r="D25" s="63" t="e">
        <f ca="1">IF(ISNUMBER(CS!D25),D$10,"")</f>
        <v>#N/A</v>
      </c>
      <c r="E25" s="63" t="e">
        <f ca="1">IF(ISNUMBER(CS!E25),E$10,"")</f>
        <v>#N/A</v>
      </c>
      <c r="F25" s="63" t="str">
        <f ca="1">IF(ISNUMBER(CS!F25),F$10,"")</f>
        <v/>
      </c>
      <c r="G25" s="63" t="str">
        <f ca="1">IF(ISNUMBER(CS!G25),G$10,"")</f>
        <v/>
      </c>
      <c r="H25" s="63" t="e">
        <f ca="1">IF(ISNUMBER(CS!H25),H$10,"")</f>
        <v>#N/A</v>
      </c>
      <c r="I25" s="63" t="e">
        <f ca="1">IF(ISNUMBER(CS!I25),I$10,"")</f>
        <v>#N/A</v>
      </c>
      <c r="J25" s="63" t="str">
        <f ca="1">IF(ISNUMBER(CS!J25),J$10,"")</f>
        <v/>
      </c>
      <c r="K25" s="63" t="str">
        <f ca="1">IF(ISNUMBER(CS!K25),K$10,"")</f>
        <v/>
      </c>
      <c r="L25" s="63" t="e">
        <f ca="1">IF(ISNUMBER(CS!L25),L$10,"")</f>
        <v>#N/A</v>
      </c>
      <c r="M25" s="63" t="e">
        <f ca="1">IF(ISNUMBER(CS!M25),M$10,"")</f>
        <v>#N/A</v>
      </c>
      <c r="N25" s="63" t="str">
        <f ca="1">IF(ISNUMBER(CS!N25),N$10,"")</f>
        <v/>
      </c>
      <c r="O25" s="63" t="str">
        <f ca="1">IF(ISNUMBER(CS!O25),O$10,"")</f>
        <v/>
      </c>
      <c r="P25" s="63" t="e">
        <f ca="1">IF(ISNUMBER(CS!P25),P$10,"")</f>
        <v>#N/A</v>
      </c>
      <c r="Q25" s="63" t="str">
        <f ca="1">IF(ISNUMBER(CS!Q25),Q$10,"")</f>
        <v/>
      </c>
      <c r="R25" s="63" t="str">
        <f ca="1">IF(ISNUMBER(CS!R25),R$10,"")</f>
        <v/>
      </c>
      <c r="S25" s="63" t="str">
        <f ca="1">IF(ISNUMBER(CS!S25),S$10,"")</f>
        <v/>
      </c>
      <c r="T25" s="63" t="str">
        <f ca="1">IF(ISNUMBER(CS!T25),T$10,"")</f>
        <v/>
      </c>
      <c r="U25" s="63" t="str">
        <f ca="1">IF(ISNUMBER(CS!U25),U$10,"")</f>
        <v/>
      </c>
      <c r="V25" s="63" t="str">
        <f ca="1">IF(ISNUMBER(CS!V25),V$10,"")</f>
        <v/>
      </c>
      <c r="W25" s="63" t="str">
        <f ca="1">IF(ISNUMBER(CS!W25),W$10,"")</f>
        <v/>
      </c>
      <c r="X25" s="63" t="str">
        <f ca="1">IF(ISNUMBER(CS!X25),X$10,"")</f>
        <v/>
      </c>
      <c r="Y25" s="63" t="str">
        <f ca="1">IF(ISNUMBER(CS!Y25),Y$10,"")</f>
        <v/>
      </c>
      <c r="Z25" s="63" t="str">
        <f ca="1">IF(ISNUMBER(CS!Z25),Z$10,"")</f>
        <v/>
      </c>
      <c r="AA25" s="63" t="str">
        <f ca="1">IF(ISNUMBER(CS!AA25),AA$10,"")</f>
        <v/>
      </c>
      <c r="AB25" s="63" t="str">
        <f ca="1">IF(ISNUMBER(CS!AB25),AB$10,"")</f>
        <v/>
      </c>
      <c r="AC25" s="63" t="str">
        <f ca="1">IF(ISNUMBER(CS!AC25),AC$10,"")</f>
        <v/>
      </c>
      <c r="AD25" s="63" t="str">
        <f ca="1">IF(ISNUMBER(CS!AD25),AD$10,"")</f>
        <v/>
      </c>
      <c r="AE25" s="63" t="str">
        <f ca="1">IF(ISNUMBER(CS!AE25),AE$10,"")</f>
        <v/>
      </c>
      <c r="AF25" s="63" t="str">
        <f ca="1">IF(ISNUMBER(CS!AF25),AF$10,"")</f>
        <v/>
      </c>
      <c r="AG25" s="63" t="str">
        <f ca="1">IF(ISNUMBER(CS!AG25),AG$10,"")</f>
        <v/>
      </c>
      <c r="AH25" s="63" t="str">
        <f ca="1">IF(ISNUMBER(CS!AH25),AH$10,"")</f>
        <v/>
      </c>
      <c r="AI25" s="63" t="str">
        <f ca="1">IF(ISNUMBER(CS!AI25),AI$10,"")</f>
        <v/>
      </c>
      <c r="AJ25" s="63" t="str">
        <f ca="1">IF(ISNUMBER(CS!AJ25),AJ$10,"")</f>
        <v/>
      </c>
      <c r="AK25" s="63" t="str">
        <f ca="1">IF(ISNUMBER(CS!AK25),AK$10,"")</f>
        <v/>
      </c>
      <c r="AL25" s="63" t="str">
        <f ca="1">IF(ISNUMBER(CS!AL25),AL$10,"")</f>
        <v/>
      </c>
      <c r="AM25" s="63" t="str">
        <f ca="1">IF(ISNUMBER(CS!AM25),AM$10,"")</f>
        <v/>
      </c>
      <c r="AN25" s="63" t="str">
        <f ca="1">IF(ISNUMBER(CS!AN25),AN$10,"")</f>
        <v/>
      </c>
      <c r="AO25" s="63" t="str">
        <f ca="1">IF(ISNUMBER(CS!AO25),AO$10,"")</f>
        <v/>
      </c>
      <c r="AP25" s="414" t="str">
        <f ca="1">IF(ISNUMBER(CS!AP25),AP$10,"")</f>
        <v/>
      </c>
      <c r="AS25" s="4" t="str">
        <f t="shared" ca="1" si="11"/>
        <v>Tm15</v>
      </c>
      <c r="AU25" s="417" t="str">
        <f t="shared" ca="1" si="8"/>
        <v/>
      </c>
      <c r="AV25" s="210" t="str">
        <f t="shared" ca="1" si="8"/>
        <v/>
      </c>
      <c r="AW25" s="210" t="str">
        <f t="shared" ca="1" si="8"/>
        <v/>
      </c>
      <c r="AX25" s="210" t="str">
        <f t="shared" ca="1" si="8"/>
        <v/>
      </c>
      <c r="AY25" s="414" t="str">
        <f t="shared" ca="1" si="8"/>
        <v/>
      </c>
      <c r="BA25" s="417" t="e">
        <f t="shared" ca="1" si="12"/>
        <v>#N/A</v>
      </c>
      <c r="BB25" s="210" t="e">
        <f t="shared" ca="1" si="9"/>
        <v>#N/A</v>
      </c>
      <c r="BC25" s="210" t="e">
        <f t="shared" ca="1" si="9"/>
        <v>#N/A</v>
      </c>
      <c r="BD25" s="210" t="e">
        <f t="shared" ca="1" si="9"/>
        <v>#N/A</v>
      </c>
      <c r="BE25" s="210" t="e">
        <f t="shared" ca="1" si="9"/>
        <v>#N/A</v>
      </c>
      <c r="BF25" s="210" t="e">
        <f t="shared" ca="1" si="9"/>
        <v>#N/A</v>
      </c>
      <c r="BG25" s="210" t="e">
        <f t="shared" ca="1" si="9"/>
        <v>#N/A</v>
      </c>
      <c r="BH25" s="210" t="e">
        <f t="shared" ca="1" si="9"/>
        <v>#N/A</v>
      </c>
      <c r="BI25" s="210" t="e">
        <f t="shared" ca="1" si="9"/>
        <v>#N/A</v>
      </c>
      <c r="BJ25" s="210" t="e">
        <f t="shared" ca="1" si="9"/>
        <v>#N/A</v>
      </c>
      <c r="BK25" s="210" t="e">
        <f t="shared" ca="1" si="9"/>
        <v>#N/A</v>
      </c>
      <c r="BL25" s="210" t="e">
        <f t="shared" ca="1" si="9"/>
        <v>#N/A</v>
      </c>
      <c r="BM25" s="210" t="e">
        <f t="shared" ca="1" si="9"/>
        <v>#N/A</v>
      </c>
      <c r="BN25" s="210" t="e">
        <f t="shared" ca="1" si="9"/>
        <v>#N/A</v>
      </c>
      <c r="BO25" s="210" t="str">
        <f t="shared" ca="1" si="9"/>
        <v/>
      </c>
      <c r="BP25" s="210" t="str">
        <f t="shared" ca="1" si="9"/>
        <v/>
      </c>
      <c r="BQ25" s="414" t="str">
        <f t="shared" ca="1" si="9"/>
        <v/>
      </c>
      <c r="BS25" s="417" t="str">
        <f t="shared" ca="1" si="13"/>
        <v/>
      </c>
      <c r="BT25" s="210" t="str">
        <f t="shared" ca="1" si="10"/>
        <v/>
      </c>
      <c r="BU25" s="210" t="str">
        <f t="shared" ca="1" si="10"/>
        <v/>
      </c>
      <c r="BV25" s="210" t="str">
        <f t="shared" ca="1" si="10"/>
        <v/>
      </c>
      <c r="BW25" s="210" t="str">
        <f t="shared" ca="1" si="10"/>
        <v/>
      </c>
      <c r="BX25" s="210" t="str">
        <f t="shared" ca="1" si="10"/>
        <v/>
      </c>
      <c r="BY25" s="210" t="str">
        <f t="shared" ca="1" si="10"/>
        <v/>
      </c>
      <c r="BZ25" s="210">
        <f t="shared" ca="1" si="10"/>
        <v>0</v>
      </c>
      <c r="CA25" s="210" t="str">
        <f t="shared" ca="1" si="10"/>
        <v/>
      </c>
      <c r="CB25" s="396" t="str">
        <f t="shared" ca="1" si="10"/>
        <v/>
      </c>
      <c r="CC25" s="68"/>
      <c r="CD25" s="419" t="e">
        <f t="shared" ca="1" si="10"/>
        <v>#N/A</v>
      </c>
      <c r="CF25" s="50" t="str">
        <f ca="1">IF(AND(ISNUMBER(CS!C25),ISNUMBER(CS!D25)),CONCATENATE(CF$10,CG$10),"")</f>
        <v/>
      </c>
      <c r="CG25" s="50" t="e">
        <f ca="1">IF(AND(ISNUMBER(CS!D25),ISNUMBER(CS!E25)),CONCATENATE(CG$10,CH$10),"")</f>
        <v>#N/A</v>
      </c>
      <c r="CH25" s="50" t="str">
        <f ca="1">IF(AND(ISNUMBER(CS!E25),ISNUMBER(CS!F25)),CONCATENATE(CH$10,CI$10),"")</f>
        <v/>
      </c>
      <c r="CI25" s="50" t="str">
        <f ca="1">IF(AND(ISNUMBER(CS!F25),ISNUMBER(CS!G25)),CONCATENATE(CI$10,CJ$10),"")</f>
        <v/>
      </c>
      <c r="CJ25" s="50" t="str">
        <f ca="1">IF(AND(ISNUMBER(CS!G25),ISNUMBER(CS!H25)),CONCATENATE(CJ$10,CK$10),"")</f>
        <v/>
      </c>
      <c r="CK25" s="50" t="e">
        <f ca="1">IF(AND(ISNUMBER(CS!H25),ISNUMBER(CS!I25)),CONCATENATE(CK$10,CL$10),"")</f>
        <v>#N/A</v>
      </c>
      <c r="CL25" s="50" t="str">
        <f ca="1">IF(AND(ISNUMBER(CS!I25),ISNUMBER(CS!J25)),CONCATENATE(CL$10,CM$10),"")</f>
        <v/>
      </c>
      <c r="CM25" s="50" t="str">
        <f ca="1">IF(AND(ISNUMBER(CS!J25),ISNUMBER(CS!K25)),CONCATENATE(CM$10,CN$10),"")</f>
        <v/>
      </c>
      <c r="CN25" s="50" t="str">
        <f ca="1">IF(AND(ISNUMBER(CS!K25),ISNUMBER(CS!L25)),CONCATENATE(CN$10,CO$10),"")</f>
        <v/>
      </c>
      <c r="CO25" s="50" t="e">
        <f ca="1">IF(AND(ISNUMBER(CS!L25),ISNUMBER(CS!M25)),CONCATENATE(CO$10,CP$10),"")</f>
        <v>#N/A</v>
      </c>
      <c r="CP25" s="50" t="str">
        <f ca="1">IF(AND(ISNUMBER(CS!M25),ISNUMBER(CS!N25)),CONCATENATE(CP$10,CQ$10),"")</f>
        <v/>
      </c>
      <c r="CQ25" s="50" t="str">
        <f ca="1">IF(AND(ISNUMBER(CS!N25),ISNUMBER(CS!O25)),CONCATENATE(CQ$10,CR$10),"")</f>
        <v/>
      </c>
      <c r="CR25" s="50" t="str">
        <f ca="1">IF(AND(ISNUMBER(CS!O25),ISNUMBER(CS!P25)),CONCATENATE(CR$10,CS$10),"")</f>
        <v/>
      </c>
      <c r="CS25" s="50" t="str">
        <f ca="1">IF(AND(ISNUMBER(CS!P25),ISNUMBER(CS!Q25)),CONCATENATE(CS$10,CT$10),"")</f>
        <v/>
      </c>
      <c r="CT25" s="50" t="str">
        <f ca="1">IF(AND(ISNUMBER(CS!Q25),ISNUMBER(CS!R25)),CONCATENATE(CT$10,CU$10),"")</f>
        <v/>
      </c>
      <c r="CU25" s="50" t="str">
        <f ca="1">IF(AND(ISNUMBER(CS!R25),ISNUMBER(CS!S25)),CONCATENATE(CU$10,CV$10),"")</f>
        <v/>
      </c>
      <c r="CV25" s="50" t="str">
        <f ca="1">IF(AND(ISNUMBER(CS!S25),ISNUMBER(CS!T25)),CONCATENATE(CV$10,CW$10),"")</f>
        <v/>
      </c>
      <c r="CW25" s="50" t="str">
        <f ca="1">IF(AND(ISNUMBER(CS!T25),ISNUMBER(CS!U25)),CONCATENATE(CW$10,CX$10),"")</f>
        <v/>
      </c>
      <c r="CX25" s="50" t="str">
        <f ca="1">IF(AND(ISNUMBER(CS!U25),ISNUMBER(CS!V25)),CONCATENATE(CX$10,CY$10),"")</f>
        <v/>
      </c>
      <c r="CY25" s="50" t="str">
        <f ca="1">IF(AND(ISNUMBER(CS!V25),ISNUMBER(CS!W25)),CONCATENATE(CY$10,CZ$10),"")</f>
        <v/>
      </c>
      <c r="CZ25" s="50" t="str">
        <f ca="1">IF(AND(ISNUMBER(CS!W25),ISNUMBER(CS!X25)),CONCATENATE(CZ$10,DA$10),"")</f>
        <v/>
      </c>
      <c r="DA25" s="50" t="str">
        <f ca="1">IF(AND(ISNUMBER(CS!X25),ISNUMBER(CS!Y25)),CONCATENATE(DA$10,DB$10),"")</f>
        <v/>
      </c>
      <c r="DB25" s="50" t="str">
        <f ca="1">IF(AND(ISNUMBER(CS!Y25),ISNUMBER(CS!Z25)),CONCATENATE(DB$10,DC$10),"")</f>
        <v/>
      </c>
      <c r="DC25" s="50" t="str">
        <f ca="1">IF(AND(ISNUMBER(CS!Z25),ISNUMBER(CS!AA25)),CONCATENATE(DC$10,DD$10),"")</f>
        <v/>
      </c>
      <c r="DD25" s="50" t="str">
        <f ca="1">IF(AND(ISNUMBER(CS!AA25),ISNUMBER(CS!AB25)),CONCATENATE(DD$10,DE$10),"")</f>
        <v/>
      </c>
      <c r="DE25" s="50" t="str">
        <f ca="1">IF(AND(ISNUMBER(CS!AB25),ISNUMBER(CS!AC25)),CONCATENATE(DE$10,DF$10),"")</f>
        <v/>
      </c>
      <c r="DF25" s="50" t="str">
        <f ca="1">IF(AND(ISNUMBER(CS!AC25),ISNUMBER(CS!AD25)),CONCATENATE(DF$10,DG$10),"")</f>
        <v/>
      </c>
      <c r="DG25" s="50" t="str">
        <f ca="1">IF(AND(ISNUMBER(CS!AD25),ISNUMBER(CS!AE25)),CONCATENATE(DG$10,DH$10),"")</f>
        <v/>
      </c>
      <c r="DH25" s="50" t="str">
        <f ca="1">IF(AND(ISNUMBER(CS!AE25),ISNUMBER(CS!AF25)),CONCATENATE(DH$10,DI$10),"")</f>
        <v/>
      </c>
      <c r="DI25" s="50" t="str">
        <f ca="1">IF(AND(ISNUMBER(CS!AF25),ISNUMBER(CS!AG25)),CONCATENATE(DI$10,DJ$10),"")</f>
        <v/>
      </c>
      <c r="DJ25" s="50" t="str">
        <f ca="1">IF(AND(ISNUMBER(CS!AG25),ISNUMBER(CS!AH25)),CONCATENATE(DJ$10,DK$10),"")</f>
        <v/>
      </c>
      <c r="DK25" s="50" t="str">
        <f ca="1">IF(AND(ISNUMBER(CS!AH25),ISNUMBER(CS!AI25)),CONCATENATE(DK$10,DL$10),"")</f>
        <v/>
      </c>
      <c r="DL25" s="50" t="str">
        <f ca="1">IF(AND(ISNUMBER(CS!AI25),ISNUMBER(CS!AJ25)),CONCATENATE(DL$10,DM$10),"")</f>
        <v/>
      </c>
      <c r="DM25" s="50" t="str">
        <f ca="1">IF(AND(ISNUMBER(CS!AJ25),ISNUMBER(CS!AK25)),CONCATENATE(DM$10,DN$10),"")</f>
        <v/>
      </c>
      <c r="DN25" s="50" t="str">
        <f ca="1">IF(AND(ISNUMBER(CS!AK25),ISNUMBER(CS!AL25)),CONCATENATE(DN$10,DO$10),"")</f>
        <v/>
      </c>
      <c r="DO25" s="50" t="str">
        <f ca="1">IF(AND(ISNUMBER(CS!AL25),ISNUMBER(CS!AM25)),CONCATENATE(DO$10,DP$10),"")</f>
        <v/>
      </c>
      <c r="DP25" s="50" t="str">
        <f ca="1">IF(AND(ISNUMBER(CS!AM25),ISNUMBER(CS!AN25)),CONCATENATE(DP$10,DQ$10),"")</f>
        <v/>
      </c>
      <c r="DQ25" s="50" t="str">
        <f ca="1">IF(AND(ISNUMBER(CS!AN25),ISNUMBER(CS!AO25)),CONCATENATE(DQ$10,DR$10),"")</f>
        <v/>
      </c>
      <c r="DR25" s="50" t="str">
        <f ca="1">IF(AND(ISNUMBER(CS!AO25),ISNUMBER(CS!AP25)),CONCATENATE(DR$10,DS$10),"")</f>
        <v/>
      </c>
      <c r="DS25" s="50" t="str">
        <f ca="1">IF(AND(ISNUMBER(CS!AP25),ISNUMBER(CS!AQ25)),CONCATENATE(DS$10,DT$10),"")</f>
        <v/>
      </c>
      <c r="DT25" s="63">
        <f>DrawFinder!Y25</f>
        <v>2</v>
      </c>
    </row>
    <row r="26" spans="2:124">
      <c r="B26" s="393" t="str">
        <f ca="1">TmOrderLU!D26</f>
        <v>Tm16</v>
      </c>
      <c r="C26" s="63" t="str">
        <f ca="1">IF(ISNUMBER(CS!C26),C$10,"")</f>
        <v/>
      </c>
      <c r="D26" s="63" t="e">
        <f ca="1">IF(ISNUMBER(CS!D26),D$10,"")</f>
        <v>#N/A</v>
      </c>
      <c r="E26" s="63" t="e">
        <f ca="1">IF(ISNUMBER(CS!E26),E$10,"")</f>
        <v>#N/A</v>
      </c>
      <c r="F26" s="63" t="str">
        <f ca="1">IF(ISNUMBER(CS!F26),F$10,"")</f>
        <v/>
      </c>
      <c r="G26" s="63" t="str">
        <f ca="1">IF(ISNUMBER(CS!G26),G$10,"")</f>
        <v/>
      </c>
      <c r="H26" s="63" t="e">
        <f ca="1">IF(ISNUMBER(CS!H26),H$10,"")</f>
        <v>#N/A</v>
      </c>
      <c r="I26" s="63" t="e">
        <f ca="1">IF(ISNUMBER(CS!I26),I$10,"")</f>
        <v>#N/A</v>
      </c>
      <c r="J26" s="63" t="str">
        <f ca="1">IF(ISNUMBER(CS!J26),J$10,"")</f>
        <v/>
      </c>
      <c r="K26" s="63" t="str">
        <f ca="1">IF(ISNUMBER(CS!K26),K$10,"")</f>
        <v/>
      </c>
      <c r="L26" s="63" t="e">
        <f ca="1">IF(ISNUMBER(CS!L26),L$10,"")</f>
        <v>#N/A</v>
      </c>
      <c r="M26" s="63" t="e">
        <f ca="1">IF(ISNUMBER(CS!M26),M$10,"")</f>
        <v>#N/A</v>
      </c>
      <c r="N26" s="63" t="str">
        <f ca="1">IF(ISNUMBER(CS!N26),N$10,"")</f>
        <v/>
      </c>
      <c r="O26" s="63" t="str">
        <f ca="1">IF(ISNUMBER(CS!O26),O$10,"")</f>
        <v/>
      </c>
      <c r="P26" s="63" t="e">
        <f ca="1">IF(ISNUMBER(CS!P26),P$10,"")</f>
        <v>#N/A</v>
      </c>
      <c r="Q26" s="63" t="str">
        <f ca="1">IF(ISNUMBER(CS!Q26),Q$10,"")</f>
        <v/>
      </c>
      <c r="R26" s="63" t="str">
        <f ca="1">IF(ISNUMBER(CS!R26),R$10,"")</f>
        <v/>
      </c>
      <c r="S26" s="63" t="str">
        <f ca="1">IF(ISNUMBER(CS!S26),S$10,"")</f>
        <v/>
      </c>
      <c r="T26" s="63" t="str">
        <f ca="1">IF(ISNUMBER(CS!T26),T$10,"")</f>
        <v/>
      </c>
      <c r="U26" s="63" t="str">
        <f ca="1">IF(ISNUMBER(CS!U26),U$10,"")</f>
        <v/>
      </c>
      <c r="V26" s="63" t="str">
        <f ca="1">IF(ISNUMBER(CS!V26),V$10,"")</f>
        <v/>
      </c>
      <c r="W26" s="63" t="str">
        <f ca="1">IF(ISNUMBER(CS!W26),W$10,"")</f>
        <v/>
      </c>
      <c r="X26" s="63" t="str">
        <f ca="1">IF(ISNUMBER(CS!X26),X$10,"")</f>
        <v/>
      </c>
      <c r="Y26" s="63" t="str">
        <f ca="1">IF(ISNUMBER(CS!Y26),Y$10,"")</f>
        <v/>
      </c>
      <c r="Z26" s="63" t="str">
        <f ca="1">IF(ISNUMBER(CS!Z26),Z$10,"")</f>
        <v/>
      </c>
      <c r="AA26" s="63" t="str">
        <f ca="1">IF(ISNUMBER(CS!AA26),AA$10,"")</f>
        <v/>
      </c>
      <c r="AB26" s="63" t="str">
        <f ca="1">IF(ISNUMBER(CS!AB26),AB$10,"")</f>
        <v/>
      </c>
      <c r="AC26" s="63" t="str">
        <f ca="1">IF(ISNUMBER(CS!AC26),AC$10,"")</f>
        <v/>
      </c>
      <c r="AD26" s="63" t="str">
        <f ca="1">IF(ISNUMBER(CS!AD26),AD$10,"")</f>
        <v/>
      </c>
      <c r="AE26" s="63" t="str">
        <f ca="1">IF(ISNUMBER(CS!AE26),AE$10,"")</f>
        <v/>
      </c>
      <c r="AF26" s="63" t="str">
        <f ca="1">IF(ISNUMBER(CS!AF26),AF$10,"")</f>
        <v/>
      </c>
      <c r="AG26" s="63" t="str">
        <f ca="1">IF(ISNUMBER(CS!AG26),AG$10,"")</f>
        <v/>
      </c>
      <c r="AH26" s="63" t="str">
        <f ca="1">IF(ISNUMBER(CS!AH26),AH$10,"")</f>
        <v/>
      </c>
      <c r="AI26" s="63" t="str">
        <f ca="1">IF(ISNUMBER(CS!AI26),AI$10,"")</f>
        <v/>
      </c>
      <c r="AJ26" s="63" t="str">
        <f ca="1">IF(ISNUMBER(CS!AJ26),AJ$10,"")</f>
        <v/>
      </c>
      <c r="AK26" s="63" t="str">
        <f ca="1">IF(ISNUMBER(CS!AK26),AK$10,"")</f>
        <v/>
      </c>
      <c r="AL26" s="63" t="str">
        <f ca="1">IF(ISNUMBER(CS!AL26),AL$10,"")</f>
        <v/>
      </c>
      <c r="AM26" s="63" t="str">
        <f ca="1">IF(ISNUMBER(CS!AM26),AM$10,"")</f>
        <v/>
      </c>
      <c r="AN26" s="63" t="str">
        <f ca="1">IF(ISNUMBER(CS!AN26),AN$10,"")</f>
        <v/>
      </c>
      <c r="AO26" s="63" t="str">
        <f ca="1">IF(ISNUMBER(CS!AO26),AO$10,"")</f>
        <v/>
      </c>
      <c r="AP26" s="414" t="str">
        <f ca="1">IF(ISNUMBER(CS!AP26),AP$10,"")</f>
        <v/>
      </c>
      <c r="AS26" s="4" t="str">
        <f t="shared" ca="1" si="11"/>
        <v>Tm16</v>
      </c>
      <c r="AU26" s="417" t="str">
        <f t="shared" ca="1" si="8"/>
        <v/>
      </c>
      <c r="AV26" s="210" t="str">
        <f t="shared" ca="1" si="8"/>
        <v/>
      </c>
      <c r="AW26" s="210" t="str">
        <f t="shared" ca="1" si="8"/>
        <v/>
      </c>
      <c r="AX26" s="210" t="str">
        <f t="shared" ca="1" si="8"/>
        <v/>
      </c>
      <c r="AY26" s="414" t="str">
        <f t="shared" ca="1" si="8"/>
        <v/>
      </c>
      <c r="BA26" s="417" t="e">
        <f t="shared" ca="1" si="12"/>
        <v>#N/A</v>
      </c>
      <c r="BB26" s="210" t="e">
        <f t="shared" ca="1" si="9"/>
        <v>#N/A</v>
      </c>
      <c r="BC26" s="210" t="e">
        <f t="shared" ca="1" si="9"/>
        <v>#N/A</v>
      </c>
      <c r="BD26" s="210" t="e">
        <f t="shared" ca="1" si="9"/>
        <v>#N/A</v>
      </c>
      <c r="BE26" s="210" t="e">
        <f t="shared" ca="1" si="9"/>
        <v>#N/A</v>
      </c>
      <c r="BF26" s="210" t="e">
        <f t="shared" ca="1" si="9"/>
        <v>#N/A</v>
      </c>
      <c r="BG26" s="210" t="e">
        <f t="shared" ca="1" si="9"/>
        <v>#N/A</v>
      </c>
      <c r="BH26" s="210" t="e">
        <f t="shared" ca="1" si="9"/>
        <v>#N/A</v>
      </c>
      <c r="BI26" s="210" t="e">
        <f t="shared" ca="1" si="9"/>
        <v>#N/A</v>
      </c>
      <c r="BJ26" s="210" t="e">
        <f t="shared" ca="1" si="9"/>
        <v>#N/A</v>
      </c>
      <c r="BK26" s="210" t="e">
        <f t="shared" ca="1" si="9"/>
        <v>#N/A</v>
      </c>
      <c r="BL26" s="210" t="e">
        <f t="shared" ca="1" si="9"/>
        <v>#N/A</v>
      </c>
      <c r="BM26" s="210" t="e">
        <f t="shared" ca="1" si="9"/>
        <v>#N/A</v>
      </c>
      <c r="BN26" s="210" t="e">
        <f t="shared" ca="1" si="9"/>
        <v>#N/A</v>
      </c>
      <c r="BO26" s="210" t="str">
        <f t="shared" ca="1" si="9"/>
        <v/>
      </c>
      <c r="BP26" s="210" t="str">
        <f t="shared" ca="1" si="9"/>
        <v/>
      </c>
      <c r="BQ26" s="414" t="str">
        <f t="shared" ref="BQ26:BQ42" ca="1" si="14">IF(OR(BQ$10=0,$B26=""),"",COUNTA(INDIRECT(CONCATENATE(BQ$59,ROW(),":",BQ$60,ROW())))-COUNTBLANK(INDIRECT(CONCATENATE(BQ$59,ROW(),":",BQ$60,ROW()))))</f>
        <v/>
      </c>
      <c r="BS26" s="417" t="str">
        <f t="shared" ca="1" si="13"/>
        <v/>
      </c>
      <c r="BT26" s="210" t="str">
        <f t="shared" ca="1" si="10"/>
        <v/>
      </c>
      <c r="BU26" s="210" t="str">
        <f t="shared" ca="1" si="10"/>
        <v/>
      </c>
      <c r="BV26" s="210" t="str">
        <f t="shared" ca="1" si="10"/>
        <v/>
      </c>
      <c r="BW26" s="210" t="str">
        <f t="shared" ca="1" si="10"/>
        <v/>
      </c>
      <c r="BX26" s="210" t="str">
        <f t="shared" ca="1" si="10"/>
        <v/>
      </c>
      <c r="BY26" s="210" t="str">
        <f t="shared" ca="1" si="10"/>
        <v/>
      </c>
      <c r="BZ26" s="210">
        <f t="shared" ca="1" si="10"/>
        <v>0</v>
      </c>
      <c r="CA26" s="210" t="str">
        <f t="shared" ca="1" si="10"/>
        <v/>
      </c>
      <c r="CB26" s="396" t="str">
        <f t="shared" ca="1" si="10"/>
        <v/>
      </c>
      <c r="CC26" s="68"/>
      <c r="CD26" s="419" t="e">
        <f t="shared" ca="1" si="10"/>
        <v>#N/A</v>
      </c>
      <c r="CF26" s="50" t="str">
        <f ca="1">IF(AND(ISNUMBER(CS!C26),ISNUMBER(CS!D26)),CONCATENATE(CF$10,CG$10),"")</f>
        <v/>
      </c>
      <c r="CG26" s="50" t="e">
        <f ca="1">IF(AND(ISNUMBER(CS!D26),ISNUMBER(CS!E26)),CONCATENATE(CG$10,CH$10),"")</f>
        <v>#N/A</v>
      </c>
      <c r="CH26" s="50" t="str">
        <f ca="1">IF(AND(ISNUMBER(CS!E26),ISNUMBER(CS!F26)),CONCATENATE(CH$10,CI$10),"")</f>
        <v/>
      </c>
      <c r="CI26" s="50" t="str">
        <f ca="1">IF(AND(ISNUMBER(CS!F26),ISNUMBER(CS!G26)),CONCATENATE(CI$10,CJ$10),"")</f>
        <v/>
      </c>
      <c r="CJ26" s="50" t="str">
        <f ca="1">IF(AND(ISNUMBER(CS!G26),ISNUMBER(CS!H26)),CONCATENATE(CJ$10,CK$10),"")</f>
        <v/>
      </c>
      <c r="CK26" s="50" t="e">
        <f ca="1">IF(AND(ISNUMBER(CS!H26),ISNUMBER(CS!I26)),CONCATENATE(CK$10,CL$10),"")</f>
        <v>#N/A</v>
      </c>
      <c r="CL26" s="50" t="str">
        <f ca="1">IF(AND(ISNUMBER(CS!I26),ISNUMBER(CS!J26)),CONCATENATE(CL$10,CM$10),"")</f>
        <v/>
      </c>
      <c r="CM26" s="50" t="str">
        <f ca="1">IF(AND(ISNUMBER(CS!J26),ISNUMBER(CS!K26)),CONCATENATE(CM$10,CN$10),"")</f>
        <v/>
      </c>
      <c r="CN26" s="50" t="str">
        <f ca="1">IF(AND(ISNUMBER(CS!K26),ISNUMBER(CS!L26)),CONCATENATE(CN$10,CO$10),"")</f>
        <v/>
      </c>
      <c r="CO26" s="50" t="e">
        <f ca="1">IF(AND(ISNUMBER(CS!L26),ISNUMBER(CS!M26)),CONCATENATE(CO$10,CP$10),"")</f>
        <v>#N/A</v>
      </c>
      <c r="CP26" s="50" t="str">
        <f ca="1">IF(AND(ISNUMBER(CS!M26),ISNUMBER(CS!N26)),CONCATENATE(CP$10,CQ$10),"")</f>
        <v/>
      </c>
      <c r="CQ26" s="50" t="str">
        <f ca="1">IF(AND(ISNUMBER(CS!N26),ISNUMBER(CS!O26)),CONCATENATE(CQ$10,CR$10),"")</f>
        <v/>
      </c>
      <c r="CR26" s="50" t="str">
        <f ca="1">IF(AND(ISNUMBER(CS!O26),ISNUMBER(CS!P26)),CONCATENATE(CR$10,CS$10),"")</f>
        <v/>
      </c>
      <c r="CS26" s="50" t="str">
        <f ca="1">IF(AND(ISNUMBER(CS!P26),ISNUMBER(CS!Q26)),CONCATENATE(CS$10,CT$10),"")</f>
        <v/>
      </c>
      <c r="CT26" s="50" t="str">
        <f ca="1">IF(AND(ISNUMBER(CS!Q26),ISNUMBER(CS!R26)),CONCATENATE(CT$10,CU$10),"")</f>
        <v/>
      </c>
      <c r="CU26" s="50" t="str">
        <f ca="1">IF(AND(ISNUMBER(CS!R26),ISNUMBER(CS!S26)),CONCATENATE(CU$10,CV$10),"")</f>
        <v/>
      </c>
      <c r="CV26" s="50" t="str">
        <f ca="1">IF(AND(ISNUMBER(CS!S26),ISNUMBER(CS!T26)),CONCATENATE(CV$10,CW$10),"")</f>
        <v/>
      </c>
      <c r="CW26" s="50" t="str">
        <f ca="1">IF(AND(ISNUMBER(CS!T26),ISNUMBER(CS!U26)),CONCATENATE(CW$10,CX$10),"")</f>
        <v/>
      </c>
      <c r="CX26" s="50" t="str">
        <f ca="1">IF(AND(ISNUMBER(CS!U26),ISNUMBER(CS!V26)),CONCATENATE(CX$10,CY$10),"")</f>
        <v/>
      </c>
      <c r="CY26" s="50" t="str">
        <f ca="1">IF(AND(ISNUMBER(CS!V26),ISNUMBER(CS!W26)),CONCATENATE(CY$10,CZ$10),"")</f>
        <v/>
      </c>
      <c r="CZ26" s="50" t="str">
        <f ca="1">IF(AND(ISNUMBER(CS!W26),ISNUMBER(CS!X26)),CONCATENATE(CZ$10,DA$10),"")</f>
        <v/>
      </c>
      <c r="DA26" s="50" t="str">
        <f ca="1">IF(AND(ISNUMBER(CS!X26),ISNUMBER(CS!Y26)),CONCATENATE(DA$10,DB$10),"")</f>
        <v/>
      </c>
      <c r="DB26" s="50" t="str">
        <f ca="1">IF(AND(ISNUMBER(CS!Y26),ISNUMBER(CS!Z26)),CONCATENATE(DB$10,DC$10),"")</f>
        <v/>
      </c>
      <c r="DC26" s="50" t="str">
        <f ca="1">IF(AND(ISNUMBER(CS!Z26),ISNUMBER(CS!AA26)),CONCATENATE(DC$10,DD$10),"")</f>
        <v/>
      </c>
      <c r="DD26" s="50" t="str">
        <f ca="1">IF(AND(ISNUMBER(CS!AA26),ISNUMBER(CS!AB26)),CONCATENATE(DD$10,DE$10),"")</f>
        <v/>
      </c>
      <c r="DE26" s="50" t="str">
        <f ca="1">IF(AND(ISNUMBER(CS!AB26),ISNUMBER(CS!AC26)),CONCATENATE(DE$10,DF$10),"")</f>
        <v/>
      </c>
      <c r="DF26" s="50" t="str">
        <f ca="1">IF(AND(ISNUMBER(CS!AC26),ISNUMBER(CS!AD26)),CONCATENATE(DF$10,DG$10),"")</f>
        <v/>
      </c>
      <c r="DG26" s="50" t="str">
        <f ca="1">IF(AND(ISNUMBER(CS!AD26),ISNUMBER(CS!AE26)),CONCATENATE(DG$10,DH$10),"")</f>
        <v/>
      </c>
      <c r="DH26" s="50" t="str">
        <f ca="1">IF(AND(ISNUMBER(CS!AE26),ISNUMBER(CS!AF26)),CONCATENATE(DH$10,DI$10),"")</f>
        <v/>
      </c>
      <c r="DI26" s="50" t="str">
        <f ca="1">IF(AND(ISNUMBER(CS!AF26),ISNUMBER(CS!AG26)),CONCATENATE(DI$10,DJ$10),"")</f>
        <v/>
      </c>
      <c r="DJ26" s="50" t="str">
        <f ca="1">IF(AND(ISNUMBER(CS!AG26),ISNUMBER(CS!AH26)),CONCATENATE(DJ$10,DK$10),"")</f>
        <v/>
      </c>
      <c r="DK26" s="50" t="str">
        <f ca="1">IF(AND(ISNUMBER(CS!AH26),ISNUMBER(CS!AI26)),CONCATENATE(DK$10,DL$10),"")</f>
        <v/>
      </c>
      <c r="DL26" s="50" t="str">
        <f ca="1">IF(AND(ISNUMBER(CS!AI26),ISNUMBER(CS!AJ26)),CONCATENATE(DL$10,DM$10),"")</f>
        <v/>
      </c>
      <c r="DM26" s="50" t="str">
        <f ca="1">IF(AND(ISNUMBER(CS!AJ26),ISNUMBER(CS!AK26)),CONCATENATE(DM$10,DN$10),"")</f>
        <v/>
      </c>
      <c r="DN26" s="50" t="str">
        <f ca="1">IF(AND(ISNUMBER(CS!AK26),ISNUMBER(CS!AL26)),CONCATENATE(DN$10,DO$10),"")</f>
        <v/>
      </c>
      <c r="DO26" s="50" t="str">
        <f ca="1">IF(AND(ISNUMBER(CS!AL26),ISNUMBER(CS!AM26)),CONCATENATE(DO$10,DP$10),"")</f>
        <v/>
      </c>
      <c r="DP26" s="50" t="str">
        <f ca="1">IF(AND(ISNUMBER(CS!AM26),ISNUMBER(CS!AN26)),CONCATENATE(DP$10,DQ$10),"")</f>
        <v/>
      </c>
      <c r="DQ26" s="50" t="str">
        <f ca="1">IF(AND(ISNUMBER(CS!AN26),ISNUMBER(CS!AO26)),CONCATENATE(DQ$10,DR$10),"")</f>
        <v/>
      </c>
      <c r="DR26" s="50" t="str">
        <f ca="1">IF(AND(ISNUMBER(CS!AO26),ISNUMBER(CS!AP26)),CONCATENATE(DR$10,DS$10),"")</f>
        <v/>
      </c>
      <c r="DS26" s="50" t="str">
        <f ca="1">IF(AND(ISNUMBER(CS!AP26),ISNUMBER(CS!AQ26)),CONCATENATE(DS$10,DT$10),"")</f>
        <v/>
      </c>
      <c r="DT26" s="63">
        <f>DrawFinder!Y26</f>
        <v>2</v>
      </c>
    </row>
    <row r="27" spans="2:124">
      <c r="B27" s="393" t="str">
        <f ca="1">TmOrderLU!D27</f>
        <v>Tm17</v>
      </c>
      <c r="C27" s="63" t="str">
        <f ca="1">IF(ISNUMBER(CS!C27),C$10,"")</f>
        <v/>
      </c>
      <c r="D27" s="63" t="e">
        <f ca="1">IF(ISNUMBER(CS!D27),D$10,"")</f>
        <v>#N/A</v>
      </c>
      <c r="E27" s="63" t="str">
        <f ca="1">IF(ISNUMBER(CS!E27),E$10,"")</f>
        <v/>
      </c>
      <c r="F27" s="63" t="e">
        <f ca="1">IF(ISNUMBER(CS!F27),F$10,"")</f>
        <v>#N/A</v>
      </c>
      <c r="G27" s="63" t="e">
        <f ca="1">IF(ISNUMBER(CS!G27),G$10,"")</f>
        <v>#N/A</v>
      </c>
      <c r="H27" s="63" t="str">
        <f ca="1">IF(ISNUMBER(CS!H27),H$10,"")</f>
        <v/>
      </c>
      <c r="I27" s="63" t="e">
        <f ca="1">IF(ISNUMBER(CS!I27),I$10,"")</f>
        <v>#N/A</v>
      </c>
      <c r="J27" s="63" t="str">
        <f ca="1">IF(ISNUMBER(CS!J27),J$10,"")</f>
        <v/>
      </c>
      <c r="K27" s="63" t="e">
        <f ca="1">IF(ISNUMBER(CS!K27),K$10,"")</f>
        <v>#N/A</v>
      </c>
      <c r="L27" s="63" t="str">
        <f ca="1">IF(ISNUMBER(CS!L27),L$10,"")</f>
        <v/>
      </c>
      <c r="M27" s="63" t="str">
        <f ca="1">IF(ISNUMBER(CS!M27),M$10,"")</f>
        <v/>
      </c>
      <c r="N27" s="63" t="e">
        <f ca="1">IF(ISNUMBER(CS!N27),N$10,"")</f>
        <v>#N/A</v>
      </c>
      <c r="O27" s="63" t="e">
        <f ca="1">IF(ISNUMBER(CS!O27),O$10,"")</f>
        <v>#N/A</v>
      </c>
      <c r="P27" s="63" t="str">
        <f ca="1">IF(ISNUMBER(CS!P27),P$10,"")</f>
        <v/>
      </c>
      <c r="Q27" s="63" t="str">
        <f ca="1">IF(ISNUMBER(CS!Q27),Q$10,"")</f>
        <v/>
      </c>
      <c r="R27" s="63" t="str">
        <f ca="1">IF(ISNUMBER(CS!R27),R$10,"")</f>
        <v/>
      </c>
      <c r="S27" s="63" t="str">
        <f ca="1">IF(ISNUMBER(CS!S27),S$10,"")</f>
        <v/>
      </c>
      <c r="T27" s="63" t="str">
        <f ca="1">IF(ISNUMBER(CS!T27),T$10,"")</f>
        <v/>
      </c>
      <c r="U27" s="63" t="str">
        <f ca="1">IF(ISNUMBER(CS!U27),U$10,"")</f>
        <v/>
      </c>
      <c r="V27" s="63" t="str">
        <f ca="1">IF(ISNUMBER(CS!V27),V$10,"")</f>
        <v/>
      </c>
      <c r="W27" s="63" t="str">
        <f ca="1">IF(ISNUMBER(CS!W27),W$10,"")</f>
        <v/>
      </c>
      <c r="X27" s="63" t="str">
        <f ca="1">IF(ISNUMBER(CS!X27),X$10,"")</f>
        <v/>
      </c>
      <c r="Y27" s="63" t="str">
        <f ca="1">IF(ISNUMBER(CS!Y27),Y$10,"")</f>
        <v/>
      </c>
      <c r="Z27" s="63" t="str">
        <f ca="1">IF(ISNUMBER(CS!Z27),Z$10,"")</f>
        <v/>
      </c>
      <c r="AA27" s="63" t="str">
        <f ca="1">IF(ISNUMBER(CS!AA27),AA$10,"")</f>
        <v/>
      </c>
      <c r="AB27" s="63" t="str">
        <f ca="1">IF(ISNUMBER(CS!AB27),AB$10,"")</f>
        <v/>
      </c>
      <c r="AC27" s="63" t="str">
        <f ca="1">IF(ISNUMBER(CS!AC27),AC$10,"")</f>
        <v/>
      </c>
      <c r="AD27" s="63" t="str">
        <f ca="1">IF(ISNUMBER(CS!AD27),AD$10,"")</f>
        <v/>
      </c>
      <c r="AE27" s="63" t="str">
        <f ca="1">IF(ISNUMBER(CS!AE27),AE$10,"")</f>
        <v/>
      </c>
      <c r="AF27" s="63" t="str">
        <f ca="1">IF(ISNUMBER(CS!AF27),AF$10,"")</f>
        <v/>
      </c>
      <c r="AG27" s="63" t="str">
        <f ca="1">IF(ISNUMBER(CS!AG27),AG$10,"")</f>
        <v/>
      </c>
      <c r="AH27" s="63" t="str">
        <f ca="1">IF(ISNUMBER(CS!AH27),AH$10,"")</f>
        <v/>
      </c>
      <c r="AI27" s="63" t="str">
        <f ca="1">IF(ISNUMBER(CS!AI27),AI$10,"")</f>
        <v/>
      </c>
      <c r="AJ27" s="63" t="str">
        <f ca="1">IF(ISNUMBER(CS!AJ27),AJ$10,"")</f>
        <v/>
      </c>
      <c r="AK27" s="63" t="str">
        <f ca="1">IF(ISNUMBER(CS!AK27),AK$10,"")</f>
        <v/>
      </c>
      <c r="AL27" s="63" t="str">
        <f ca="1">IF(ISNUMBER(CS!AL27),AL$10,"")</f>
        <v/>
      </c>
      <c r="AM27" s="63" t="str">
        <f ca="1">IF(ISNUMBER(CS!AM27),AM$10,"")</f>
        <v/>
      </c>
      <c r="AN27" s="63" t="str">
        <f ca="1">IF(ISNUMBER(CS!AN27),AN$10,"")</f>
        <v/>
      </c>
      <c r="AO27" s="63" t="str">
        <f ca="1">IF(ISNUMBER(CS!AO27),AO$10,"")</f>
        <v/>
      </c>
      <c r="AP27" s="414" t="str">
        <f ca="1">IF(ISNUMBER(CS!AP27),AP$10,"")</f>
        <v/>
      </c>
      <c r="AS27" s="4" t="str">
        <f t="shared" ca="1" si="11"/>
        <v>Tm17</v>
      </c>
      <c r="AU27" s="417" t="str">
        <f t="shared" ca="1" si="8"/>
        <v/>
      </c>
      <c r="AV27" s="210" t="str">
        <f t="shared" ca="1" si="8"/>
        <v/>
      </c>
      <c r="AW27" s="210" t="str">
        <f t="shared" ca="1" si="8"/>
        <v/>
      </c>
      <c r="AX27" s="210" t="str">
        <f t="shared" ca="1" si="8"/>
        <v/>
      </c>
      <c r="AY27" s="414" t="str">
        <f t="shared" ca="1" si="8"/>
        <v/>
      </c>
      <c r="BA27" s="417" t="e">
        <f t="shared" ca="1" si="12"/>
        <v>#N/A</v>
      </c>
      <c r="BB27" s="210" t="e">
        <f t="shared" ca="1" si="12"/>
        <v>#N/A</v>
      </c>
      <c r="BC27" s="210" t="e">
        <f t="shared" ca="1" si="12"/>
        <v>#N/A</v>
      </c>
      <c r="BD27" s="210" t="e">
        <f t="shared" ca="1" si="12"/>
        <v>#N/A</v>
      </c>
      <c r="BE27" s="210" t="e">
        <f t="shared" ca="1" si="12"/>
        <v>#N/A</v>
      </c>
      <c r="BF27" s="210" t="e">
        <f t="shared" ca="1" si="12"/>
        <v>#N/A</v>
      </c>
      <c r="BG27" s="210" t="e">
        <f t="shared" ca="1" si="12"/>
        <v>#N/A</v>
      </c>
      <c r="BH27" s="210" t="e">
        <f t="shared" ca="1" si="12"/>
        <v>#N/A</v>
      </c>
      <c r="BI27" s="210" t="e">
        <f t="shared" ca="1" si="12"/>
        <v>#N/A</v>
      </c>
      <c r="BJ27" s="210" t="e">
        <f t="shared" ca="1" si="12"/>
        <v>#N/A</v>
      </c>
      <c r="BK27" s="210" t="e">
        <f t="shared" ca="1" si="12"/>
        <v>#N/A</v>
      </c>
      <c r="BL27" s="210" t="e">
        <f t="shared" ca="1" si="12"/>
        <v>#N/A</v>
      </c>
      <c r="BM27" s="210" t="e">
        <f t="shared" ca="1" si="12"/>
        <v>#N/A</v>
      </c>
      <c r="BN27" s="210" t="e">
        <f t="shared" ca="1" si="12"/>
        <v>#N/A</v>
      </c>
      <c r="BO27" s="210" t="str">
        <f t="shared" ca="1" si="12"/>
        <v/>
      </c>
      <c r="BP27" s="210" t="str">
        <f t="shared" ca="1" si="12"/>
        <v/>
      </c>
      <c r="BQ27" s="414" t="str">
        <f t="shared" ca="1" si="14"/>
        <v/>
      </c>
      <c r="BS27" s="417" t="str">
        <f t="shared" ca="1" si="13"/>
        <v/>
      </c>
      <c r="BT27" s="210" t="str">
        <f t="shared" ca="1" si="13"/>
        <v/>
      </c>
      <c r="BU27" s="210" t="str">
        <f t="shared" ca="1" si="13"/>
        <v/>
      </c>
      <c r="BV27" s="210" t="str">
        <f t="shared" ca="1" si="13"/>
        <v/>
      </c>
      <c r="BW27" s="210" t="str">
        <f t="shared" ca="1" si="13"/>
        <v/>
      </c>
      <c r="BX27" s="210" t="str">
        <f t="shared" ca="1" si="13"/>
        <v/>
      </c>
      <c r="BY27" s="210" t="str">
        <f t="shared" ca="1" si="13"/>
        <v/>
      </c>
      <c r="BZ27" s="210">
        <f t="shared" ca="1" si="13"/>
        <v>0</v>
      </c>
      <c r="CA27" s="210" t="str">
        <f t="shared" ca="1" si="13"/>
        <v/>
      </c>
      <c r="CB27" s="396" t="str">
        <f t="shared" ca="1" si="13"/>
        <v/>
      </c>
      <c r="CC27" s="68"/>
      <c r="CD27" s="419" t="e">
        <f t="shared" ref="CD27:CD56" ca="1" si="15">IF(OR(CD$10=0,$B27=""),"",COUNTIF($CF27:$DS27,CD$10))</f>
        <v>#N/A</v>
      </c>
      <c r="CF27" s="50" t="str">
        <f ca="1">IF(AND(ISNUMBER(CS!C27),ISNUMBER(CS!D27)),CONCATENATE(CF$10,CG$10),"")</f>
        <v/>
      </c>
      <c r="CG27" s="50" t="str">
        <f ca="1">IF(AND(ISNUMBER(CS!D27),ISNUMBER(CS!E27)),CONCATENATE(CG$10,CH$10),"")</f>
        <v/>
      </c>
      <c r="CH27" s="50" t="str">
        <f ca="1">IF(AND(ISNUMBER(CS!E27),ISNUMBER(CS!F27)),CONCATENATE(CH$10,CI$10),"")</f>
        <v/>
      </c>
      <c r="CI27" s="50" t="e">
        <f ca="1">IF(AND(ISNUMBER(CS!F27),ISNUMBER(CS!G27)),CONCATENATE(CI$10,CJ$10),"")</f>
        <v>#N/A</v>
      </c>
      <c r="CJ27" s="50" t="str">
        <f ca="1">IF(AND(ISNUMBER(CS!G27),ISNUMBER(CS!H27)),CONCATENATE(CJ$10,CK$10),"")</f>
        <v/>
      </c>
      <c r="CK27" s="50" t="str">
        <f ca="1">IF(AND(ISNUMBER(CS!H27),ISNUMBER(CS!I27)),CONCATENATE(CK$10,CL$10),"")</f>
        <v/>
      </c>
      <c r="CL27" s="50" t="str">
        <f ca="1">IF(AND(ISNUMBER(CS!I27),ISNUMBER(CS!J27)),CONCATENATE(CL$10,CM$10),"")</f>
        <v/>
      </c>
      <c r="CM27" s="50" t="str">
        <f ca="1">IF(AND(ISNUMBER(CS!J27),ISNUMBER(CS!K27)),CONCATENATE(CM$10,CN$10),"")</f>
        <v/>
      </c>
      <c r="CN27" s="50" t="str">
        <f ca="1">IF(AND(ISNUMBER(CS!K27),ISNUMBER(CS!L27)),CONCATENATE(CN$10,CO$10),"")</f>
        <v/>
      </c>
      <c r="CO27" s="50" t="str">
        <f ca="1">IF(AND(ISNUMBER(CS!L27),ISNUMBER(CS!M27)),CONCATENATE(CO$10,CP$10),"")</f>
        <v/>
      </c>
      <c r="CP27" s="50" t="str">
        <f ca="1">IF(AND(ISNUMBER(CS!M27),ISNUMBER(CS!N27)),CONCATENATE(CP$10,CQ$10),"")</f>
        <v/>
      </c>
      <c r="CQ27" s="50" t="e">
        <f ca="1">IF(AND(ISNUMBER(CS!N27),ISNUMBER(CS!O27)),CONCATENATE(CQ$10,CR$10),"")</f>
        <v>#N/A</v>
      </c>
      <c r="CR27" s="50" t="str">
        <f ca="1">IF(AND(ISNUMBER(CS!O27),ISNUMBER(CS!P27)),CONCATENATE(CR$10,CS$10),"")</f>
        <v/>
      </c>
      <c r="CS27" s="50" t="str">
        <f ca="1">IF(AND(ISNUMBER(CS!P27),ISNUMBER(CS!Q27)),CONCATENATE(CS$10,CT$10),"")</f>
        <v/>
      </c>
      <c r="CT27" s="50" t="str">
        <f ca="1">IF(AND(ISNUMBER(CS!Q27),ISNUMBER(CS!R27)),CONCATENATE(CT$10,CU$10),"")</f>
        <v/>
      </c>
      <c r="CU27" s="50" t="str">
        <f ca="1">IF(AND(ISNUMBER(CS!R27),ISNUMBER(CS!S27)),CONCATENATE(CU$10,CV$10),"")</f>
        <v/>
      </c>
      <c r="CV27" s="50" t="str">
        <f ca="1">IF(AND(ISNUMBER(CS!S27),ISNUMBER(CS!T27)),CONCATENATE(CV$10,CW$10),"")</f>
        <v/>
      </c>
      <c r="CW27" s="50" t="str">
        <f ca="1">IF(AND(ISNUMBER(CS!T27),ISNUMBER(CS!U27)),CONCATENATE(CW$10,CX$10),"")</f>
        <v/>
      </c>
      <c r="CX27" s="50" t="str">
        <f ca="1">IF(AND(ISNUMBER(CS!U27),ISNUMBER(CS!V27)),CONCATENATE(CX$10,CY$10),"")</f>
        <v/>
      </c>
      <c r="CY27" s="50" t="str">
        <f ca="1">IF(AND(ISNUMBER(CS!V27),ISNUMBER(CS!W27)),CONCATENATE(CY$10,CZ$10),"")</f>
        <v/>
      </c>
      <c r="CZ27" s="50" t="str">
        <f ca="1">IF(AND(ISNUMBER(CS!W27),ISNUMBER(CS!X27)),CONCATENATE(CZ$10,DA$10),"")</f>
        <v/>
      </c>
      <c r="DA27" s="50" t="str">
        <f ca="1">IF(AND(ISNUMBER(CS!X27),ISNUMBER(CS!Y27)),CONCATENATE(DA$10,DB$10),"")</f>
        <v/>
      </c>
      <c r="DB27" s="50" t="str">
        <f ca="1">IF(AND(ISNUMBER(CS!Y27),ISNUMBER(CS!Z27)),CONCATENATE(DB$10,DC$10),"")</f>
        <v/>
      </c>
      <c r="DC27" s="50" t="str">
        <f ca="1">IF(AND(ISNUMBER(CS!Z27),ISNUMBER(CS!AA27)),CONCATENATE(DC$10,DD$10),"")</f>
        <v/>
      </c>
      <c r="DD27" s="50" t="str">
        <f ca="1">IF(AND(ISNUMBER(CS!AA27),ISNUMBER(CS!AB27)),CONCATENATE(DD$10,DE$10),"")</f>
        <v/>
      </c>
      <c r="DE27" s="50" t="str">
        <f ca="1">IF(AND(ISNUMBER(CS!AB27),ISNUMBER(CS!AC27)),CONCATENATE(DE$10,DF$10),"")</f>
        <v/>
      </c>
      <c r="DF27" s="50" t="str">
        <f ca="1">IF(AND(ISNUMBER(CS!AC27),ISNUMBER(CS!AD27)),CONCATENATE(DF$10,DG$10),"")</f>
        <v/>
      </c>
      <c r="DG27" s="50" t="str">
        <f ca="1">IF(AND(ISNUMBER(CS!AD27),ISNUMBER(CS!AE27)),CONCATENATE(DG$10,DH$10),"")</f>
        <v/>
      </c>
      <c r="DH27" s="50" t="str">
        <f ca="1">IF(AND(ISNUMBER(CS!AE27),ISNUMBER(CS!AF27)),CONCATENATE(DH$10,DI$10),"")</f>
        <v/>
      </c>
      <c r="DI27" s="50" t="str">
        <f ca="1">IF(AND(ISNUMBER(CS!AF27),ISNUMBER(CS!AG27)),CONCATENATE(DI$10,DJ$10),"")</f>
        <v/>
      </c>
      <c r="DJ27" s="50" t="str">
        <f ca="1">IF(AND(ISNUMBER(CS!AG27),ISNUMBER(CS!AH27)),CONCATENATE(DJ$10,DK$10),"")</f>
        <v/>
      </c>
      <c r="DK27" s="50" t="str">
        <f ca="1">IF(AND(ISNUMBER(CS!AH27),ISNUMBER(CS!AI27)),CONCATENATE(DK$10,DL$10),"")</f>
        <v/>
      </c>
      <c r="DL27" s="50" t="str">
        <f ca="1">IF(AND(ISNUMBER(CS!AI27),ISNUMBER(CS!AJ27)),CONCATENATE(DL$10,DM$10),"")</f>
        <v/>
      </c>
      <c r="DM27" s="50" t="str">
        <f ca="1">IF(AND(ISNUMBER(CS!AJ27),ISNUMBER(CS!AK27)),CONCATENATE(DM$10,DN$10),"")</f>
        <v/>
      </c>
      <c r="DN27" s="50" t="str">
        <f ca="1">IF(AND(ISNUMBER(CS!AK27),ISNUMBER(CS!AL27)),CONCATENATE(DN$10,DO$10),"")</f>
        <v/>
      </c>
      <c r="DO27" s="50" t="str">
        <f ca="1">IF(AND(ISNUMBER(CS!AL27),ISNUMBER(CS!AM27)),CONCATENATE(DO$10,DP$10),"")</f>
        <v/>
      </c>
      <c r="DP27" s="50" t="str">
        <f ca="1">IF(AND(ISNUMBER(CS!AM27),ISNUMBER(CS!AN27)),CONCATENATE(DP$10,DQ$10),"")</f>
        <v/>
      </c>
      <c r="DQ27" s="50" t="str">
        <f ca="1">IF(AND(ISNUMBER(CS!AN27),ISNUMBER(CS!AO27)),CONCATENATE(DQ$10,DR$10),"")</f>
        <v/>
      </c>
      <c r="DR27" s="50" t="str">
        <f ca="1">IF(AND(ISNUMBER(CS!AO27),ISNUMBER(CS!AP27)),CONCATENATE(DR$10,DS$10),"")</f>
        <v/>
      </c>
      <c r="DS27" s="50" t="str">
        <f ca="1">IF(AND(ISNUMBER(CS!AP27),ISNUMBER(CS!AQ27)),CONCATENATE(DS$10,DT$10),"")</f>
        <v/>
      </c>
      <c r="DT27" s="63">
        <f>DrawFinder!Y27</f>
        <v>3</v>
      </c>
    </row>
    <row r="28" spans="2:124">
      <c r="B28" s="393" t="str">
        <f ca="1">TmOrderLU!D28</f>
        <v>Tm18</v>
      </c>
      <c r="C28" s="63" t="e">
        <f ca="1">IF(ISNUMBER(CS!C28),C$10,"")</f>
        <v>#N/A</v>
      </c>
      <c r="D28" s="63" t="str">
        <f ca="1">IF(ISNUMBER(CS!D28),D$10,"")</f>
        <v/>
      </c>
      <c r="E28" s="63" t="str">
        <f ca="1">IF(ISNUMBER(CS!E28),E$10,"")</f>
        <v/>
      </c>
      <c r="F28" s="63" t="e">
        <f ca="1">IF(ISNUMBER(CS!F28),F$10,"")</f>
        <v>#N/A</v>
      </c>
      <c r="G28" s="63" t="e">
        <f ca="1">IF(ISNUMBER(CS!G28),G$10,"")</f>
        <v>#N/A</v>
      </c>
      <c r="H28" s="63" t="str">
        <f ca="1">IF(ISNUMBER(CS!H28),H$10,"")</f>
        <v/>
      </c>
      <c r="I28" s="63" t="str">
        <f ca="1">IF(ISNUMBER(CS!I28),I$10,"")</f>
        <v/>
      </c>
      <c r="J28" s="63" t="e">
        <f ca="1">IF(ISNUMBER(CS!J28),J$10,"")</f>
        <v>#N/A</v>
      </c>
      <c r="K28" s="63" t="e">
        <f ca="1">IF(ISNUMBER(CS!K28),K$10,"")</f>
        <v>#N/A</v>
      </c>
      <c r="L28" s="63" t="str">
        <f ca="1">IF(ISNUMBER(CS!L28),L$10,"")</f>
        <v/>
      </c>
      <c r="M28" s="63" t="str">
        <f ca="1">IF(ISNUMBER(CS!M28),M$10,"")</f>
        <v/>
      </c>
      <c r="N28" s="63" t="e">
        <f ca="1">IF(ISNUMBER(CS!N28),N$10,"")</f>
        <v>#N/A</v>
      </c>
      <c r="O28" s="63" t="e">
        <f ca="1">IF(ISNUMBER(CS!O28),O$10,"")</f>
        <v>#N/A</v>
      </c>
      <c r="P28" s="63" t="str">
        <f ca="1">IF(ISNUMBER(CS!P28),P$10,"")</f>
        <v/>
      </c>
      <c r="Q28" s="63" t="str">
        <f ca="1">IF(ISNUMBER(CS!Q28),Q$10,"")</f>
        <v/>
      </c>
      <c r="R28" s="63" t="str">
        <f ca="1">IF(ISNUMBER(CS!R28),R$10,"")</f>
        <v/>
      </c>
      <c r="S28" s="63" t="str">
        <f ca="1">IF(ISNUMBER(CS!S28),S$10,"")</f>
        <v/>
      </c>
      <c r="T28" s="63" t="str">
        <f ca="1">IF(ISNUMBER(CS!T28),T$10,"")</f>
        <v/>
      </c>
      <c r="U28" s="63" t="str">
        <f ca="1">IF(ISNUMBER(CS!U28),U$10,"")</f>
        <v/>
      </c>
      <c r="V28" s="63" t="str">
        <f ca="1">IF(ISNUMBER(CS!V28),V$10,"")</f>
        <v/>
      </c>
      <c r="W28" s="63" t="str">
        <f ca="1">IF(ISNUMBER(CS!W28),W$10,"")</f>
        <v/>
      </c>
      <c r="X28" s="63" t="str">
        <f ca="1">IF(ISNUMBER(CS!X28),X$10,"")</f>
        <v/>
      </c>
      <c r="Y28" s="63" t="str">
        <f ca="1">IF(ISNUMBER(CS!Y28),Y$10,"")</f>
        <v/>
      </c>
      <c r="Z28" s="63" t="str">
        <f ca="1">IF(ISNUMBER(CS!Z28),Z$10,"")</f>
        <v/>
      </c>
      <c r="AA28" s="63" t="str">
        <f ca="1">IF(ISNUMBER(CS!AA28),AA$10,"")</f>
        <v/>
      </c>
      <c r="AB28" s="63" t="str">
        <f ca="1">IF(ISNUMBER(CS!AB28),AB$10,"")</f>
        <v/>
      </c>
      <c r="AC28" s="63" t="str">
        <f ca="1">IF(ISNUMBER(CS!AC28),AC$10,"")</f>
        <v/>
      </c>
      <c r="AD28" s="63" t="str">
        <f ca="1">IF(ISNUMBER(CS!AD28),AD$10,"")</f>
        <v/>
      </c>
      <c r="AE28" s="63" t="str">
        <f ca="1">IF(ISNUMBER(CS!AE28),AE$10,"")</f>
        <v/>
      </c>
      <c r="AF28" s="63" t="str">
        <f ca="1">IF(ISNUMBER(CS!AF28),AF$10,"")</f>
        <v/>
      </c>
      <c r="AG28" s="63" t="str">
        <f ca="1">IF(ISNUMBER(CS!AG28),AG$10,"")</f>
        <v/>
      </c>
      <c r="AH28" s="63" t="str">
        <f ca="1">IF(ISNUMBER(CS!AH28),AH$10,"")</f>
        <v/>
      </c>
      <c r="AI28" s="63" t="str">
        <f ca="1">IF(ISNUMBER(CS!AI28),AI$10,"")</f>
        <v/>
      </c>
      <c r="AJ28" s="63" t="str">
        <f ca="1">IF(ISNUMBER(CS!AJ28),AJ$10,"")</f>
        <v/>
      </c>
      <c r="AK28" s="63" t="str">
        <f ca="1">IF(ISNUMBER(CS!AK28),AK$10,"")</f>
        <v/>
      </c>
      <c r="AL28" s="63" t="str">
        <f ca="1">IF(ISNUMBER(CS!AL28),AL$10,"")</f>
        <v/>
      </c>
      <c r="AM28" s="63" t="str">
        <f ca="1">IF(ISNUMBER(CS!AM28),AM$10,"")</f>
        <v/>
      </c>
      <c r="AN28" s="63" t="str">
        <f ca="1">IF(ISNUMBER(CS!AN28),AN$10,"")</f>
        <v/>
      </c>
      <c r="AO28" s="63" t="str">
        <f ca="1">IF(ISNUMBER(CS!AO28),AO$10,"")</f>
        <v/>
      </c>
      <c r="AP28" s="414" t="str">
        <f ca="1">IF(ISNUMBER(CS!AP28),AP$10,"")</f>
        <v/>
      </c>
      <c r="AS28" s="4" t="str">
        <f t="shared" ca="1" si="11"/>
        <v>Tm18</v>
      </c>
      <c r="AU28" s="417" t="str">
        <f t="shared" ca="1" si="8"/>
        <v/>
      </c>
      <c r="AV28" s="210" t="str">
        <f t="shared" ca="1" si="8"/>
        <v/>
      </c>
      <c r="AW28" s="210" t="str">
        <f t="shared" ca="1" si="8"/>
        <v/>
      </c>
      <c r="AX28" s="210" t="str">
        <f t="shared" ca="1" si="8"/>
        <v/>
      </c>
      <c r="AY28" s="414" t="str">
        <f t="shared" ca="1" si="8"/>
        <v/>
      </c>
      <c r="BA28" s="417" t="e">
        <f t="shared" ca="1" si="12"/>
        <v>#N/A</v>
      </c>
      <c r="BB28" s="210" t="e">
        <f t="shared" ca="1" si="12"/>
        <v>#N/A</v>
      </c>
      <c r="BC28" s="210" t="e">
        <f t="shared" ca="1" si="12"/>
        <v>#N/A</v>
      </c>
      <c r="BD28" s="210" t="e">
        <f t="shared" ca="1" si="12"/>
        <v>#N/A</v>
      </c>
      <c r="BE28" s="210" t="e">
        <f t="shared" ca="1" si="12"/>
        <v>#N/A</v>
      </c>
      <c r="BF28" s="210" t="e">
        <f t="shared" ca="1" si="12"/>
        <v>#N/A</v>
      </c>
      <c r="BG28" s="210" t="e">
        <f t="shared" ca="1" si="12"/>
        <v>#N/A</v>
      </c>
      <c r="BH28" s="210" t="e">
        <f t="shared" ca="1" si="12"/>
        <v>#N/A</v>
      </c>
      <c r="BI28" s="210" t="e">
        <f t="shared" ca="1" si="12"/>
        <v>#N/A</v>
      </c>
      <c r="BJ28" s="210" t="e">
        <f t="shared" ca="1" si="12"/>
        <v>#N/A</v>
      </c>
      <c r="BK28" s="210" t="e">
        <f t="shared" ca="1" si="12"/>
        <v>#N/A</v>
      </c>
      <c r="BL28" s="210" t="e">
        <f t="shared" ca="1" si="12"/>
        <v>#N/A</v>
      </c>
      <c r="BM28" s="210" t="e">
        <f t="shared" ca="1" si="12"/>
        <v>#N/A</v>
      </c>
      <c r="BN28" s="210" t="e">
        <f t="shared" ca="1" si="12"/>
        <v>#N/A</v>
      </c>
      <c r="BO28" s="210" t="str">
        <f t="shared" ca="1" si="12"/>
        <v/>
      </c>
      <c r="BP28" s="210" t="str">
        <f t="shared" ca="1" si="12"/>
        <v/>
      </c>
      <c r="BQ28" s="414" t="str">
        <f t="shared" ca="1" si="14"/>
        <v/>
      </c>
      <c r="BS28" s="417" t="str">
        <f t="shared" ca="1" si="13"/>
        <v/>
      </c>
      <c r="BT28" s="210" t="str">
        <f t="shared" ca="1" si="13"/>
        <v/>
      </c>
      <c r="BU28" s="210" t="str">
        <f t="shared" ca="1" si="13"/>
        <v/>
      </c>
      <c r="BV28" s="210" t="str">
        <f t="shared" ca="1" si="13"/>
        <v/>
      </c>
      <c r="BW28" s="210" t="str">
        <f t="shared" ca="1" si="13"/>
        <v/>
      </c>
      <c r="BX28" s="210" t="str">
        <f t="shared" ca="1" si="13"/>
        <v/>
      </c>
      <c r="BY28" s="210" t="str">
        <f t="shared" ca="1" si="13"/>
        <v/>
      </c>
      <c r="BZ28" s="210">
        <f t="shared" ca="1" si="13"/>
        <v>0</v>
      </c>
      <c r="CA28" s="210" t="str">
        <f t="shared" ca="1" si="13"/>
        <v/>
      </c>
      <c r="CB28" s="396" t="str">
        <f t="shared" ca="1" si="13"/>
        <v/>
      </c>
      <c r="CC28" s="68"/>
      <c r="CD28" s="419" t="e">
        <f t="shared" ca="1" si="15"/>
        <v>#N/A</v>
      </c>
      <c r="CF28" s="50" t="str">
        <f ca="1">IF(AND(ISNUMBER(CS!C28),ISNUMBER(CS!D28)),CONCATENATE(CF$10,CG$10),"")</f>
        <v/>
      </c>
      <c r="CG28" s="50" t="str">
        <f ca="1">IF(AND(ISNUMBER(CS!D28),ISNUMBER(CS!E28)),CONCATENATE(CG$10,CH$10),"")</f>
        <v/>
      </c>
      <c r="CH28" s="50" t="str">
        <f ca="1">IF(AND(ISNUMBER(CS!E28),ISNUMBER(CS!F28)),CONCATENATE(CH$10,CI$10),"")</f>
        <v/>
      </c>
      <c r="CI28" s="50" t="e">
        <f ca="1">IF(AND(ISNUMBER(CS!F28),ISNUMBER(CS!G28)),CONCATENATE(CI$10,CJ$10),"")</f>
        <v>#N/A</v>
      </c>
      <c r="CJ28" s="50" t="str">
        <f ca="1">IF(AND(ISNUMBER(CS!G28),ISNUMBER(CS!H28)),CONCATENATE(CJ$10,CK$10),"")</f>
        <v/>
      </c>
      <c r="CK28" s="50" t="str">
        <f ca="1">IF(AND(ISNUMBER(CS!H28),ISNUMBER(CS!I28)),CONCATENATE(CK$10,CL$10),"")</f>
        <v/>
      </c>
      <c r="CL28" s="50" t="str">
        <f ca="1">IF(AND(ISNUMBER(CS!I28),ISNUMBER(CS!J28)),CONCATENATE(CL$10,CM$10),"")</f>
        <v/>
      </c>
      <c r="CM28" s="50" t="e">
        <f ca="1">IF(AND(ISNUMBER(CS!J28),ISNUMBER(CS!K28)),CONCATENATE(CM$10,CN$10),"")</f>
        <v>#N/A</v>
      </c>
      <c r="CN28" s="50" t="str">
        <f ca="1">IF(AND(ISNUMBER(CS!K28),ISNUMBER(CS!L28)),CONCATENATE(CN$10,CO$10),"")</f>
        <v/>
      </c>
      <c r="CO28" s="50" t="str">
        <f ca="1">IF(AND(ISNUMBER(CS!L28),ISNUMBER(CS!M28)),CONCATENATE(CO$10,CP$10),"")</f>
        <v/>
      </c>
      <c r="CP28" s="50" t="str">
        <f ca="1">IF(AND(ISNUMBER(CS!M28),ISNUMBER(CS!N28)),CONCATENATE(CP$10,CQ$10),"")</f>
        <v/>
      </c>
      <c r="CQ28" s="50" t="e">
        <f ca="1">IF(AND(ISNUMBER(CS!N28),ISNUMBER(CS!O28)),CONCATENATE(CQ$10,CR$10),"")</f>
        <v>#N/A</v>
      </c>
      <c r="CR28" s="50" t="str">
        <f ca="1">IF(AND(ISNUMBER(CS!O28),ISNUMBER(CS!P28)),CONCATENATE(CR$10,CS$10),"")</f>
        <v/>
      </c>
      <c r="CS28" s="50" t="str">
        <f ca="1">IF(AND(ISNUMBER(CS!P28),ISNUMBER(CS!Q28)),CONCATENATE(CS$10,CT$10),"")</f>
        <v/>
      </c>
      <c r="CT28" s="50" t="str">
        <f ca="1">IF(AND(ISNUMBER(CS!Q28),ISNUMBER(CS!R28)),CONCATENATE(CT$10,CU$10),"")</f>
        <v/>
      </c>
      <c r="CU28" s="50" t="str">
        <f ca="1">IF(AND(ISNUMBER(CS!R28),ISNUMBER(CS!S28)),CONCATENATE(CU$10,CV$10),"")</f>
        <v/>
      </c>
      <c r="CV28" s="50" t="str">
        <f ca="1">IF(AND(ISNUMBER(CS!S28),ISNUMBER(CS!T28)),CONCATENATE(CV$10,CW$10),"")</f>
        <v/>
      </c>
      <c r="CW28" s="50" t="str">
        <f ca="1">IF(AND(ISNUMBER(CS!T28),ISNUMBER(CS!U28)),CONCATENATE(CW$10,CX$10),"")</f>
        <v/>
      </c>
      <c r="CX28" s="50" t="str">
        <f ca="1">IF(AND(ISNUMBER(CS!U28),ISNUMBER(CS!V28)),CONCATENATE(CX$10,CY$10),"")</f>
        <v/>
      </c>
      <c r="CY28" s="50" t="str">
        <f ca="1">IF(AND(ISNUMBER(CS!V28),ISNUMBER(CS!W28)),CONCATENATE(CY$10,CZ$10),"")</f>
        <v/>
      </c>
      <c r="CZ28" s="50" t="str">
        <f ca="1">IF(AND(ISNUMBER(CS!W28),ISNUMBER(CS!X28)),CONCATENATE(CZ$10,DA$10),"")</f>
        <v/>
      </c>
      <c r="DA28" s="50" t="str">
        <f ca="1">IF(AND(ISNUMBER(CS!X28),ISNUMBER(CS!Y28)),CONCATENATE(DA$10,DB$10),"")</f>
        <v/>
      </c>
      <c r="DB28" s="50" t="str">
        <f ca="1">IF(AND(ISNUMBER(CS!Y28),ISNUMBER(CS!Z28)),CONCATENATE(DB$10,DC$10),"")</f>
        <v/>
      </c>
      <c r="DC28" s="50" t="str">
        <f ca="1">IF(AND(ISNUMBER(CS!Z28),ISNUMBER(CS!AA28)),CONCATENATE(DC$10,DD$10),"")</f>
        <v/>
      </c>
      <c r="DD28" s="50" t="str">
        <f ca="1">IF(AND(ISNUMBER(CS!AA28),ISNUMBER(CS!AB28)),CONCATENATE(DD$10,DE$10),"")</f>
        <v/>
      </c>
      <c r="DE28" s="50" t="str">
        <f ca="1">IF(AND(ISNUMBER(CS!AB28),ISNUMBER(CS!AC28)),CONCATENATE(DE$10,DF$10),"")</f>
        <v/>
      </c>
      <c r="DF28" s="50" t="str">
        <f ca="1">IF(AND(ISNUMBER(CS!AC28),ISNUMBER(CS!AD28)),CONCATENATE(DF$10,DG$10),"")</f>
        <v/>
      </c>
      <c r="DG28" s="50" t="str">
        <f ca="1">IF(AND(ISNUMBER(CS!AD28),ISNUMBER(CS!AE28)),CONCATENATE(DG$10,DH$10),"")</f>
        <v/>
      </c>
      <c r="DH28" s="50" t="str">
        <f ca="1">IF(AND(ISNUMBER(CS!AE28),ISNUMBER(CS!AF28)),CONCATENATE(DH$10,DI$10),"")</f>
        <v/>
      </c>
      <c r="DI28" s="50" t="str">
        <f ca="1">IF(AND(ISNUMBER(CS!AF28),ISNUMBER(CS!AG28)),CONCATENATE(DI$10,DJ$10),"")</f>
        <v/>
      </c>
      <c r="DJ28" s="50" t="str">
        <f ca="1">IF(AND(ISNUMBER(CS!AG28),ISNUMBER(CS!AH28)),CONCATENATE(DJ$10,DK$10),"")</f>
        <v/>
      </c>
      <c r="DK28" s="50" t="str">
        <f ca="1">IF(AND(ISNUMBER(CS!AH28),ISNUMBER(CS!AI28)),CONCATENATE(DK$10,DL$10),"")</f>
        <v/>
      </c>
      <c r="DL28" s="50" t="str">
        <f ca="1">IF(AND(ISNUMBER(CS!AI28),ISNUMBER(CS!AJ28)),CONCATENATE(DL$10,DM$10),"")</f>
        <v/>
      </c>
      <c r="DM28" s="50" t="str">
        <f ca="1">IF(AND(ISNUMBER(CS!AJ28),ISNUMBER(CS!AK28)),CONCATENATE(DM$10,DN$10),"")</f>
        <v/>
      </c>
      <c r="DN28" s="50" t="str">
        <f ca="1">IF(AND(ISNUMBER(CS!AK28),ISNUMBER(CS!AL28)),CONCATENATE(DN$10,DO$10),"")</f>
        <v/>
      </c>
      <c r="DO28" s="50" t="str">
        <f ca="1">IF(AND(ISNUMBER(CS!AL28),ISNUMBER(CS!AM28)),CONCATENATE(DO$10,DP$10),"")</f>
        <v/>
      </c>
      <c r="DP28" s="50" t="str">
        <f ca="1">IF(AND(ISNUMBER(CS!AM28),ISNUMBER(CS!AN28)),CONCATENATE(DP$10,DQ$10),"")</f>
        <v/>
      </c>
      <c r="DQ28" s="50" t="str">
        <f ca="1">IF(AND(ISNUMBER(CS!AN28),ISNUMBER(CS!AO28)),CONCATENATE(DQ$10,DR$10),"")</f>
        <v/>
      </c>
      <c r="DR28" s="50" t="str">
        <f ca="1">IF(AND(ISNUMBER(CS!AO28),ISNUMBER(CS!AP28)),CONCATENATE(DR$10,DS$10),"")</f>
        <v/>
      </c>
      <c r="DS28" s="50" t="str">
        <f ca="1">IF(AND(ISNUMBER(CS!AP28),ISNUMBER(CS!AQ28)),CONCATENATE(DS$10,DT$10),"")</f>
        <v/>
      </c>
      <c r="DT28" s="63">
        <f>DrawFinder!Y28</f>
        <v>3</v>
      </c>
    </row>
    <row r="29" spans="2:124">
      <c r="B29" s="393" t="str">
        <f ca="1">TmOrderLU!D29</f>
        <v>Tm19</v>
      </c>
      <c r="C29" s="63" t="e">
        <f ca="1">IF(ISNUMBER(CS!C29),C$10,"")</f>
        <v>#N/A</v>
      </c>
      <c r="D29" s="63" t="str">
        <f ca="1">IF(ISNUMBER(CS!D29),D$10,"")</f>
        <v/>
      </c>
      <c r="E29" s="63" t="e">
        <f ca="1">IF(ISNUMBER(CS!E29),E$10,"")</f>
        <v>#N/A</v>
      </c>
      <c r="F29" s="63" t="str">
        <f ca="1">IF(ISNUMBER(CS!F29),F$10,"")</f>
        <v/>
      </c>
      <c r="G29" s="63" t="str">
        <f ca="1">IF(ISNUMBER(CS!G29),G$10,"")</f>
        <v/>
      </c>
      <c r="H29" s="63" t="e">
        <f ca="1">IF(ISNUMBER(CS!H29),H$10,"")</f>
        <v>#N/A</v>
      </c>
      <c r="I29" s="63" t="str">
        <f ca="1">IF(ISNUMBER(CS!I29),I$10,"")</f>
        <v/>
      </c>
      <c r="J29" s="63" t="e">
        <f ca="1">IF(ISNUMBER(CS!J29),J$10,"")</f>
        <v>#N/A</v>
      </c>
      <c r="K29" s="63" t="e">
        <f ca="1">IF(ISNUMBER(CS!K29),K$10,"")</f>
        <v>#N/A</v>
      </c>
      <c r="L29" s="63" t="str">
        <f ca="1">IF(ISNUMBER(CS!L29),L$10,"")</f>
        <v/>
      </c>
      <c r="M29" s="63" t="str">
        <f ca="1">IF(ISNUMBER(CS!M29),M$10,"")</f>
        <v/>
      </c>
      <c r="N29" s="63" t="e">
        <f ca="1">IF(ISNUMBER(CS!N29),N$10,"")</f>
        <v>#N/A</v>
      </c>
      <c r="O29" s="63" t="e">
        <f ca="1">IF(ISNUMBER(CS!O29),O$10,"")</f>
        <v>#N/A</v>
      </c>
      <c r="P29" s="63" t="str">
        <f ca="1">IF(ISNUMBER(CS!P29),P$10,"")</f>
        <v/>
      </c>
      <c r="Q29" s="63" t="str">
        <f ca="1">IF(ISNUMBER(CS!Q29),Q$10,"")</f>
        <v/>
      </c>
      <c r="R29" s="63" t="str">
        <f ca="1">IF(ISNUMBER(CS!R29),R$10,"")</f>
        <v/>
      </c>
      <c r="S29" s="63" t="str">
        <f ca="1">IF(ISNUMBER(CS!S29),S$10,"")</f>
        <v/>
      </c>
      <c r="T29" s="63" t="str">
        <f ca="1">IF(ISNUMBER(CS!T29),T$10,"")</f>
        <v/>
      </c>
      <c r="U29" s="63" t="str">
        <f ca="1">IF(ISNUMBER(CS!U29),U$10,"")</f>
        <v/>
      </c>
      <c r="V29" s="63" t="str">
        <f ca="1">IF(ISNUMBER(CS!V29),V$10,"")</f>
        <v/>
      </c>
      <c r="W29" s="63" t="str">
        <f ca="1">IF(ISNUMBER(CS!W29),W$10,"")</f>
        <v/>
      </c>
      <c r="X29" s="63" t="str">
        <f ca="1">IF(ISNUMBER(CS!X29),X$10,"")</f>
        <v/>
      </c>
      <c r="Y29" s="63" t="str">
        <f ca="1">IF(ISNUMBER(CS!Y29),Y$10,"")</f>
        <v/>
      </c>
      <c r="Z29" s="63" t="str">
        <f ca="1">IF(ISNUMBER(CS!Z29),Z$10,"")</f>
        <v/>
      </c>
      <c r="AA29" s="63" t="str">
        <f ca="1">IF(ISNUMBER(CS!AA29),AA$10,"")</f>
        <v/>
      </c>
      <c r="AB29" s="63" t="str">
        <f ca="1">IF(ISNUMBER(CS!AB29),AB$10,"")</f>
        <v/>
      </c>
      <c r="AC29" s="63" t="str">
        <f ca="1">IF(ISNUMBER(CS!AC29),AC$10,"")</f>
        <v/>
      </c>
      <c r="AD29" s="63" t="str">
        <f ca="1">IF(ISNUMBER(CS!AD29),AD$10,"")</f>
        <v/>
      </c>
      <c r="AE29" s="63" t="str">
        <f ca="1">IF(ISNUMBER(CS!AE29),AE$10,"")</f>
        <v/>
      </c>
      <c r="AF29" s="63" t="str">
        <f ca="1">IF(ISNUMBER(CS!AF29),AF$10,"")</f>
        <v/>
      </c>
      <c r="AG29" s="63" t="str">
        <f ca="1">IF(ISNUMBER(CS!AG29),AG$10,"")</f>
        <v/>
      </c>
      <c r="AH29" s="63" t="str">
        <f ca="1">IF(ISNUMBER(CS!AH29),AH$10,"")</f>
        <v/>
      </c>
      <c r="AI29" s="63" t="str">
        <f ca="1">IF(ISNUMBER(CS!AI29),AI$10,"")</f>
        <v/>
      </c>
      <c r="AJ29" s="63" t="str">
        <f ca="1">IF(ISNUMBER(CS!AJ29),AJ$10,"")</f>
        <v/>
      </c>
      <c r="AK29" s="63" t="str">
        <f ca="1">IF(ISNUMBER(CS!AK29),AK$10,"")</f>
        <v/>
      </c>
      <c r="AL29" s="63" t="str">
        <f ca="1">IF(ISNUMBER(CS!AL29),AL$10,"")</f>
        <v/>
      </c>
      <c r="AM29" s="63" t="str">
        <f ca="1">IF(ISNUMBER(CS!AM29),AM$10,"")</f>
        <v/>
      </c>
      <c r="AN29" s="63" t="str">
        <f ca="1">IF(ISNUMBER(CS!AN29),AN$10,"")</f>
        <v/>
      </c>
      <c r="AO29" s="63" t="str">
        <f ca="1">IF(ISNUMBER(CS!AO29),AO$10,"")</f>
        <v/>
      </c>
      <c r="AP29" s="414" t="str">
        <f ca="1">IF(ISNUMBER(CS!AP29),AP$10,"")</f>
        <v/>
      </c>
      <c r="AS29" s="4" t="str">
        <f t="shared" ca="1" si="11"/>
        <v>Tm19</v>
      </c>
      <c r="AU29" s="417" t="str">
        <f t="shared" ca="1" si="8"/>
        <v/>
      </c>
      <c r="AV29" s="210" t="str">
        <f t="shared" ca="1" si="8"/>
        <v/>
      </c>
      <c r="AW29" s="210" t="str">
        <f t="shared" ca="1" si="8"/>
        <v/>
      </c>
      <c r="AX29" s="210" t="str">
        <f t="shared" ca="1" si="8"/>
        <v/>
      </c>
      <c r="AY29" s="414" t="str">
        <f t="shared" ca="1" si="8"/>
        <v/>
      </c>
      <c r="BA29" s="417" t="e">
        <f t="shared" ca="1" si="12"/>
        <v>#N/A</v>
      </c>
      <c r="BB29" s="210" t="e">
        <f t="shared" ca="1" si="12"/>
        <v>#N/A</v>
      </c>
      <c r="BC29" s="210" t="e">
        <f t="shared" ca="1" si="12"/>
        <v>#N/A</v>
      </c>
      <c r="BD29" s="210" t="e">
        <f t="shared" ca="1" si="12"/>
        <v>#N/A</v>
      </c>
      <c r="BE29" s="210" t="e">
        <f t="shared" ca="1" si="12"/>
        <v>#N/A</v>
      </c>
      <c r="BF29" s="210" t="e">
        <f t="shared" ca="1" si="12"/>
        <v>#N/A</v>
      </c>
      <c r="BG29" s="210" t="e">
        <f t="shared" ca="1" si="12"/>
        <v>#N/A</v>
      </c>
      <c r="BH29" s="210" t="e">
        <f t="shared" ca="1" si="12"/>
        <v>#N/A</v>
      </c>
      <c r="BI29" s="210" t="e">
        <f t="shared" ca="1" si="12"/>
        <v>#N/A</v>
      </c>
      <c r="BJ29" s="210" t="e">
        <f t="shared" ca="1" si="12"/>
        <v>#N/A</v>
      </c>
      <c r="BK29" s="210" t="e">
        <f t="shared" ca="1" si="12"/>
        <v>#N/A</v>
      </c>
      <c r="BL29" s="210" t="e">
        <f t="shared" ca="1" si="12"/>
        <v>#N/A</v>
      </c>
      <c r="BM29" s="210" t="e">
        <f t="shared" ca="1" si="12"/>
        <v>#N/A</v>
      </c>
      <c r="BN29" s="210" t="e">
        <f t="shared" ca="1" si="12"/>
        <v>#N/A</v>
      </c>
      <c r="BO29" s="210" t="str">
        <f t="shared" ca="1" si="12"/>
        <v/>
      </c>
      <c r="BP29" s="210" t="str">
        <f t="shared" ca="1" si="12"/>
        <v/>
      </c>
      <c r="BQ29" s="414" t="str">
        <f t="shared" ca="1" si="14"/>
        <v/>
      </c>
      <c r="BS29" s="417" t="str">
        <f t="shared" ca="1" si="13"/>
        <v/>
      </c>
      <c r="BT29" s="210" t="str">
        <f t="shared" ca="1" si="13"/>
        <v/>
      </c>
      <c r="BU29" s="210" t="str">
        <f t="shared" ca="1" si="13"/>
        <v/>
      </c>
      <c r="BV29" s="210" t="str">
        <f t="shared" ca="1" si="13"/>
        <v/>
      </c>
      <c r="BW29" s="210" t="str">
        <f t="shared" ca="1" si="13"/>
        <v/>
      </c>
      <c r="BX29" s="210" t="str">
        <f t="shared" ca="1" si="13"/>
        <v/>
      </c>
      <c r="BY29" s="210" t="str">
        <f t="shared" ca="1" si="13"/>
        <v/>
      </c>
      <c r="BZ29" s="210">
        <f t="shared" ca="1" si="13"/>
        <v>0</v>
      </c>
      <c r="CA29" s="210" t="str">
        <f t="shared" ca="1" si="13"/>
        <v/>
      </c>
      <c r="CB29" s="396" t="str">
        <f t="shared" ca="1" si="13"/>
        <v/>
      </c>
      <c r="CC29" s="68"/>
      <c r="CD29" s="419" t="e">
        <f t="shared" ca="1" si="15"/>
        <v>#N/A</v>
      </c>
      <c r="CF29" s="50" t="str">
        <f ca="1">IF(AND(ISNUMBER(CS!C29),ISNUMBER(CS!D29)),CONCATENATE(CF$10,CG$10),"")</f>
        <v/>
      </c>
      <c r="CG29" s="50" t="str">
        <f ca="1">IF(AND(ISNUMBER(CS!D29),ISNUMBER(CS!E29)),CONCATENATE(CG$10,CH$10),"")</f>
        <v/>
      </c>
      <c r="CH29" s="50" t="str">
        <f ca="1">IF(AND(ISNUMBER(CS!E29),ISNUMBER(CS!F29)),CONCATENATE(CH$10,CI$10),"")</f>
        <v/>
      </c>
      <c r="CI29" s="50" t="str">
        <f ca="1">IF(AND(ISNUMBER(CS!F29),ISNUMBER(CS!G29)),CONCATENATE(CI$10,CJ$10),"")</f>
        <v/>
      </c>
      <c r="CJ29" s="50" t="str">
        <f ca="1">IF(AND(ISNUMBER(CS!G29),ISNUMBER(CS!H29)),CONCATENATE(CJ$10,CK$10),"")</f>
        <v/>
      </c>
      <c r="CK29" s="50" t="str">
        <f ca="1">IF(AND(ISNUMBER(CS!H29),ISNUMBER(CS!I29)),CONCATENATE(CK$10,CL$10),"")</f>
        <v/>
      </c>
      <c r="CL29" s="50" t="str">
        <f ca="1">IF(AND(ISNUMBER(CS!I29),ISNUMBER(CS!J29)),CONCATENATE(CL$10,CM$10),"")</f>
        <v/>
      </c>
      <c r="CM29" s="50" t="e">
        <f ca="1">IF(AND(ISNUMBER(CS!J29),ISNUMBER(CS!K29)),CONCATENATE(CM$10,CN$10),"")</f>
        <v>#N/A</v>
      </c>
      <c r="CN29" s="50" t="str">
        <f ca="1">IF(AND(ISNUMBER(CS!K29),ISNUMBER(CS!L29)),CONCATENATE(CN$10,CO$10),"")</f>
        <v/>
      </c>
      <c r="CO29" s="50" t="str">
        <f ca="1">IF(AND(ISNUMBER(CS!L29),ISNUMBER(CS!M29)),CONCATENATE(CO$10,CP$10),"")</f>
        <v/>
      </c>
      <c r="CP29" s="50" t="str">
        <f ca="1">IF(AND(ISNUMBER(CS!M29),ISNUMBER(CS!N29)),CONCATENATE(CP$10,CQ$10),"")</f>
        <v/>
      </c>
      <c r="CQ29" s="50" t="e">
        <f ca="1">IF(AND(ISNUMBER(CS!N29),ISNUMBER(CS!O29)),CONCATENATE(CQ$10,CR$10),"")</f>
        <v>#N/A</v>
      </c>
      <c r="CR29" s="50" t="str">
        <f ca="1">IF(AND(ISNUMBER(CS!O29),ISNUMBER(CS!P29)),CONCATENATE(CR$10,CS$10),"")</f>
        <v/>
      </c>
      <c r="CS29" s="50" t="str">
        <f ca="1">IF(AND(ISNUMBER(CS!P29),ISNUMBER(CS!Q29)),CONCATENATE(CS$10,CT$10),"")</f>
        <v/>
      </c>
      <c r="CT29" s="50" t="str">
        <f ca="1">IF(AND(ISNUMBER(CS!Q29),ISNUMBER(CS!R29)),CONCATENATE(CT$10,CU$10),"")</f>
        <v/>
      </c>
      <c r="CU29" s="50" t="str">
        <f ca="1">IF(AND(ISNUMBER(CS!R29),ISNUMBER(CS!S29)),CONCATENATE(CU$10,CV$10),"")</f>
        <v/>
      </c>
      <c r="CV29" s="50" t="str">
        <f ca="1">IF(AND(ISNUMBER(CS!S29),ISNUMBER(CS!T29)),CONCATENATE(CV$10,CW$10),"")</f>
        <v/>
      </c>
      <c r="CW29" s="50" t="str">
        <f ca="1">IF(AND(ISNUMBER(CS!T29),ISNUMBER(CS!U29)),CONCATENATE(CW$10,CX$10),"")</f>
        <v/>
      </c>
      <c r="CX29" s="50" t="str">
        <f ca="1">IF(AND(ISNUMBER(CS!U29),ISNUMBER(CS!V29)),CONCATENATE(CX$10,CY$10),"")</f>
        <v/>
      </c>
      <c r="CY29" s="50" t="str">
        <f ca="1">IF(AND(ISNUMBER(CS!V29),ISNUMBER(CS!W29)),CONCATENATE(CY$10,CZ$10),"")</f>
        <v/>
      </c>
      <c r="CZ29" s="50" t="str">
        <f ca="1">IF(AND(ISNUMBER(CS!W29),ISNUMBER(CS!X29)),CONCATENATE(CZ$10,DA$10),"")</f>
        <v/>
      </c>
      <c r="DA29" s="50" t="str">
        <f ca="1">IF(AND(ISNUMBER(CS!X29),ISNUMBER(CS!Y29)),CONCATENATE(DA$10,DB$10),"")</f>
        <v/>
      </c>
      <c r="DB29" s="50" t="str">
        <f ca="1">IF(AND(ISNUMBER(CS!Y29),ISNUMBER(CS!Z29)),CONCATENATE(DB$10,DC$10),"")</f>
        <v/>
      </c>
      <c r="DC29" s="50" t="str">
        <f ca="1">IF(AND(ISNUMBER(CS!Z29),ISNUMBER(CS!AA29)),CONCATENATE(DC$10,DD$10),"")</f>
        <v/>
      </c>
      <c r="DD29" s="50" t="str">
        <f ca="1">IF(AND(ISNUMBER(CS!AA29),ISNUMBER(CS!AB29)),CONCATENATE(DD$10,DE$10),"")</f>
        <v/>
      </c>
      <c r="DE29" s="50" t="str">
        <f ca="1">IF(AND(ISNUMBER(CS!AB29),ISNUMBER(CS!AC29)),CONCATENATE(DE$10,DF$10),"")</f>
        <v/>
      </c>
      <c r="DF29" s="50" t="str">
        <f ca="1">IF(AND(ISNUMBER(CS!AC29),ISNUMBER(CS!AD29)),CONCATENATE(DF$10,DG$10),"")</f>
        <v/>
      </c>
      <c r="DG29" s="50" t="str">
        <f ca="1">IF(AND(ISNUMBER(CS!AD29),ISNUMBER(CS!AE29)),CONCATENATE(DG$10,DH$10),"")</f>
        <v/>
      </c>
      <c r="DH29" s="50" t="str">
        <f ca="1">IF(AND(ISNUMBER(CS!AE29),ISNUMBER(CS!AF29)),CONCATENATE(DH$10,DI$10),"")</f>
        <v/>
      </c>
      <c r="DI29" s="50" t="str">
        <f ca="1">IF(AND(ISNUMBER(CS!AF29),ISNUMBER(CS!AG29)),CONCATENATE(DI$10,DJ$10),"")</f>
        <v/>
      </c>
      <c r="DJ29" s="50" t="str">
        <f ca="1">IF(AND(ISNUMBER(CS!AG29),ISNUMBER(CS!AH29)),CONCATENATE(DJ$10,DK$10),"")</f>
        <v/>
      </c>
      <c r="DK29" s="50" t="str">
        <f ca="1">IF(AND(ISNUMBER(CS!AH29),ISNUMBER(CS!AI29)),CONCATENATE(DK$10,DL$10),"")</f>
        <v/>
      </c>
      <c r="DL29" s="50" t="str">
        <f ca="1">IF(AND(ISNUMBER(CS!AI29),ISNUMBER(CS!AJ29)),CONCATENATE(DL$10,DM$10),"")</f>
        <v/>
      </c>
      <c r="DM29" s="50" t="str">
        <f ca="1">IF(AND(ISNUMBER(CS!AJ29),ISNUMBER(CS!AK29)),CONCATENATE(DM$10,DN$10),"")</f>
        <v/>
      </c>
      <c r="DN29" s="50" t="str">
        <f ca="1">IF(AND(ISNUMBER(CS!AK29),ISNUMBER(CS!AL29)),CONCATENATE(DN$10,DO$10),"")</f>
        <v/>
      </c>
      <c r="DO29" s="50" t="str">
        <f ca="1">IF(AND(ISNUMBER(CS!AL29),ISNUMBER(CS!AM29)),CONCATENATE(DO$10,DP$10),"")</f>
        <v/>
      </c>
      <c r="DP29" s="50" t="str">
        <f ca="1">IF(AND(ISNUMBER(CS!AM29),ISNUMBER(CS!AN29)),CONCATENATE(DP$10,DQ$10),"")</f>
        <v/>
      </c>
      <c r="DQ29" s="50" t="str">
        <f ca="1">IF(AND(ISNUMBER(CS!AN29),ISNUMBER(CS!AO29)),CONCATENATE(DQ$10,DR$10),"")</f>
        <v/>
      </c>
      <c r="DR29" s="50" t="str">
        <f ca="1">IF(AND(ISNUMBER(CS!AO29),ISNUMBER(CS!AP29)),CONCATENATE(DR$10,DS$10),"")</f>
        <v/>
      </c>
      <c r="DS29" s="50" t="str">
        <f ca="1">IF(AND(ISNUMBER(CS!AP29),ISNUMBER(CS!AQ29)),CONCATENATE(DS$10,DT$10),"")</f>
        <v/>
      </c>
      <c r="DT29" s="63">
        <f>DrawFinder!Y29</f>
        <v>3</v>
      </c>
    </row>
    <row r="30" spans="2:124">
      <c r="B30" s="393" t="str">
        <f ca="1">TmOrderLU!D30</f>
        <v>Tm20</v>
      </c>
      <c r="C30" s="63" t="str">
        <f ca="1">IF(ISNUMBER(CS!C30),C$10,"")</f>
        <v/>
      </c>
      <c r="D30" s="63" t="e">
        <f ca="1">IF(ISNUMBER(CS!D30),D$10,"")</f>
        <v>#N/A</v>
      </c>
      <c r="E30" s="63" t="e">
        <f ca="1">IF(ISNUMBER(CS!E30),E$10,"")</f>
        <v>#N/A</v>
      </c>
      <c r="F30" s="63" t="str">
        <f ca="1">IF(ISNUMBER(CS!F30),F$10,"")</f>
        <v/>
      </c>
      <c r="G30" s="63" t="str">
        <f ca="1">IF(ISNUMBER(CS!G30),G$10,"")</f>
        <v/>
      </c>
      <c r="H30" s="63" t="e">
        <f ca="1">IF(ISNUMBER(CS!H30),H$10,"")</f>
        <v>#N/A</v>
      </c>
      <c r="I30" s="63" t="e">
        <f ca="1">IF(ISNUMBER(CS!I30),I$10,"")</f>
        <v>#N/A</v>
      </c>
      <c r="J30" s="63" t="str">
        <f ca="1">IF(ISNUMBER(CS!J30),J$10,"")</f>
        <v/>
      </c>
      <c r="K30" s="63" t="e">
        <f ca="1">IF(ISNUMBER(CS!K30),K$10,"")</f>
        <v>#N/A</v>
      </c>
      <c r="L30" s="63" t="str">
        <f ca="1">IF(ISNUMBER(CS!L30),L$10,"")</f>
        <v/>
      </c>
      <c r="M30" s="63" t="str">
        <f ca="1">IF(ISNUMBER(CS!M30),M$10,"")</f>
        <v/>
      </c>
      <c r="N30" s="63" t="e">
        <f ca="1">IF(ISNUMBER(CS!N30),N$10,"")</f>
        <v>#N/A</v>
      </c>
      <c r="O30" s="63" t="e">
        <f ca="1">IF(ISNUMBER(CS!O30),O$10,"")</f>
        <v>#N/A</v>
      </c>
      <c r="P30" s="63" t="str">
        <f ca="1">IF(ISNUMBER(CS!P30),P$10,"")</f>
        <v/>
      </c>
      <c r="Q30" s="63" t="str">
        <f ca="1">IF(ISNUMBER(CS!Q30),Q$10,"")</f>
        <v/>
      </c>
      <c r="R30" s="63" t="str">
        <f ca="1">IF(ISNUMBER(CS!R30),R$10,"")</f>
        <v/>
      </c>
      <c r="S30" s="63" t="str">
        <f ca="1">IF(ISNUMBER(CS!S30),S$10,"")</f>
        <v/>
      </c>
      <c r="T30" s="63" t="str">
        <f ca="1">IF(ISNUMBER(CS!T30),T$10,"")</f>
        <v/>
      </c>
      <c r="U30" s="63" t="str">
        <f ca="1">IF(ISNUMBER(CS!U30),U$10,"")</f>
        <v/>
      </c>
      <c r="V30" s="63" t="str">
        <f ca="1">IF(ISNUMBER(CS!V30),V$10,"")</f>
        <v/>
      </c>
      <c r="W30" s="63" t="str">
        <f ca="1">IF(ISNUMBER(CS!W30),W$10,"")</f>
        <v/>
      </c>
      <c r="X30" s="63" t="str">
        <f ca="1">IF(ISNUMBER(CS!X30),X$10,"")</f>
        <v/>
      </c>
      <c r="Y30" s="63" t="str">
        <f ca="1">IF(ISNUMBER(CS!Y30),Y$10,"")</f>
        <v/>
      </c>
      <c r="Z30" s="63" t="str">
        <f ca="1">IF(ISNUMBER(CS!Z30),Z$10,"")</f>
        <v/>
      </c>
      <c r="AA30" s="63" t="str">
        <f ca="1">IF(ISNUMBER(CS!AA30),AA$10,"")</f>
        <v/>
      </c>
      <c r="AB30" s="63" t="str">
        <f ca="1">IF(ISNUMBER(CS!AB30),AB$10,"")</f>
        <v/>
      </c>
      <c r="AC30" s="63" t="str">
        <f ca="1">IF(ISNUMBER(CS!AC30),AC$10,"")</f>
        <v/>
      </c>
      <c r="AD30" s="63" t="str">
        <f ca="1">IF(ISNUMBER(CS!AD30),AD$10,"")</f>
        <v/>
      </c>
      <c r="AE30" s="63" t="str">
        <f ca="1">IF(ISNUMBER(CS!AE30),AE$10,"")</f>
        <v/>
      </c>
      <c r="AF30" s="63" t="str">
        <f ca="1">IF(ISNUMBER(CS!AF30),AF$10,"")</f>
        <v/>
      </c>
      <c r="AG30" s="63" t="str">
        <f ca="1">IF(ISNUMBER(CS!AG30),AG$10,"")</f>
        <v/>
      </c>
      <c r="AH30" s="63" t="str">
        <f ca="1">IF(ISNUMBER(CS!AH30),AH$10,"")</f>
        <v/>
      </c>
      <c r="AI30" s="63" t="str">
        <f ca="1">IF(ISNUMBER(CS!AI30),AI$10,"")</f>
        <v/>
      </c>
      <c r="AJ30" s="63" t="str">
        <f ca="1">IF(ISNUMBER(CS!AJ30),AJ$10,"")</f>
        <v/>
      </c>
      <c r="AK30" s="63" t="str">
        <f ca="1">IF(ISNUMBER(CS!AK30),AK$10,"")</f>
        <v/>
      </c>
      <c r="AL30" s="63" t="str">
        <f ca="1">IF(ISNUMBER(CS!AL30),AL$10,"")</f>
        <v/>
      </c>
      <c r="AM30" s="63" t="str">
        <f ca="1">IF(ISNUMBER(CS!AM30),AM$10,"")</f>
        <v/>
      </c>
      <c r="AN30" s="63" t="str">
        <f ca="1">IF(ISNUMBER(CS!AN30),AN$10,"")</f>
        <v/>
      </c>
      <c r="AO30" s="63" t="str">
        <f ca="1">IF(ISNUMBER(CS!AO30),AO$10,"")</f>
        <v/>
      </c>
      <c r="AP30" s="414" t="str">
        <f ca="1">IF(ISNUMBER(CS!AP30),AP$10,"")</f>
        <v/>
      </c>
      <c r="AS30" s="4" t="str">
        <f t="shared" ca="1" si="11"/>
        <v>Tm20</v>
      </c>
      <c r="AU30" s="417" t="str">
        <f t="shared" ca="1" si="8"/>
        <v/>
      </c>
      <c r="AV30" s="210" t="str">
        <f t="shared" ca="1" si="8"/>
        <v/>
      </c>
      <c r="AW30" s="210" t="str">
        <f t="shared" ca="1" si="8"/>
        <v/>
      </c>
      <c r="AX30" s="210" t="str">
        <f t="shared" ca="1" si="8"/>
        <v/>
      </c>
      <c r="AY30" s="414" t="str">
        <f t="shared" ca="1" si="8"/>
        <v/>
      </c>
      <c r="BA30" s="417" t="e">
        <f t="shared" ca="1" si="12"/>
        <v>#N/A</v>
      </c>
      <c r="BB30" s="210" t="e">
        <f t="shared" ca="1" si="12"/>
        <v>#N/A</v>
      </c>
      <c r="BC30" s="210" t="e">
        <f t="shared" ca="1" si="12"/>
        <v>#N/A</v>
      </c>
      <c r="BD30" s="210" t="e">
        <f t="shared" ca="1" si="12"/>
        <v>#N/A</v>
      </c>
      <c r="BE30" s="210" t="e">
        <f t="shared" ca="1" si="12"/>
        <v>#N/A</v>
      </c>
      <c r="BF30" s="210" t="e">
        <f t="shared" ca="1" si="12"/>
        <v>#N/A</v>
      </c>
      <c r="BG30" s="210" t="e">
        <f t="shared" ca="1" si="12"/>
        <v>#N/A</v>
      </c>
      <c r="BH30" s="210" t="e">
        <f t="shared" ca="1" si="12"/>
        <v>#N/A</v>
      </c>
      <c r="BI30" s="210" t="e">
        <f t="shared" ca="1" si="12"/>
        <v>#N/A</v>
      </c>
      <c r="BJ30" s="210" t="e">
        <f t="shared" ca="1" si="12"/>
        <v>#N/A</v>
      </c>
      <c r="BK30" s="210" t="e">
        <f t="shared" ca="1" si="12"/>
        <v>#N/A</v>
      </c>
      <c r="BL30" s="210" t="e">
        <f t="shared" ca="1" si="12"/>
        <v>#N/A</v>
      </c>
      <c r="BM30" s="210" t="e">
        <f t="shared" ca="1" si="12"/>
        <v>#N/A</v>
      </c>
      <c r="BN30" s="210" t="e">
        <f t="shared" ca="1" si="12"/>
        <v>#N/A</v>
      </c>
      <c r="BO30" s="210" t="str">
        <f t="shared" ca="1" si="12"/>
        <v/>
      </c>
      <c r="BP30" s="210" t="str">
        <f t="shared" ca="1" si="12"/>
        <v/>
      </c>
      <c r="BQ30" s="414" t="str">
        <f t="shared" ca="1" si="14"/>
        <v/>
      </c>
      <c r="BS30" s="417" t="str">
        <f t="shared" ca="1" si="13"/>
        <v/>
      </c>
      <c r="BT30" s="210" t="str">
        <f t="shared" ca="1" si="13"/>
        <v/>
      </c>
      <c r="BU30" s="210" t="str">
        <f t="shared" ca="1" si="13"/>
        <v/>
      </c>
      <c r="BV30" s="210" t="str">
        <f t="shared" ca="1" si="13"/>
        <v/>
      </c>
      <c r="BW30" s="210" t="str">
        <f t="shared" ca="1" si="13"/>
        <v/>
      </c>
      <c r="BX30" s="210" t="str">
        <f t="shared" ca="1" si="13"/>
        <v/>
      </c>
      <c r="BY30" s="210" t="str">
        <f t="shared" ca="1" si="13"/>
        <v/>
      </c>
      <c r="BZ30" s="210">
        <f t="shared" ca="1" si="13"/>
        <v>0</v>
      </c>
      <c r="CA30" s="210" t="str">
        <f t="shared" ca="1" si="13"/>
        <v/>
      </c>
      <c r="CB30" s="396" t="str">
        <f t="shared" ca="1" si="13"/>
        <v/>
      </c>
      <c r="CC30" s="68"/>
      <c r="CD30" s="419" t="e">
        <f t="shared" ca="1" si="15"/>
        <v>#N/A</v>
      </c>
      <c r="CF30" s="50" t="str">
        <f ca="1">IF(AND(ISNUMBER(CS!C30),ISNUMBER(CS!D30)),CONCATENATE(CF$10,CG$10),"")</f>
        <v/>
      </c>
      <c r="CG30" s="50" t="e">
        <f ca="1">IF(AND(ISNUMBER(CS!D30),ISNUMBER(CS!E30)),CONCATENATE(CG$10,CH$10),"")</f>
        <v>#N/A</v>
      </c>
      <c r="CH30" s="50" t="str">
        <f ca="1">IF(AND(ISNUMBER(CS!E30),ISNUMBER(CS!F30)),CONCATENATE(CH$10,CI$10),"")</f>
        <v/>
      </c>
      <c r="CI30" s="50" t="str">
        <f ca="1">IF(AND(ISNUMBER(CS!F30),ISNUMBER(CS!G30)),CONCATENATE(CI$10,CJ$10),"")</f>
        <v/>
      </c>
      <c r="CJ30" s="50" t="str">
        <f ca="1">IF(AND(ISNUMBER(CS!G30),ISNUMBER(CS!H30)),CONCATENATE(CJ$10,CK$10),"")</f>
        <v/>
      </c>
      <c r="CK30" s="50" t="e">
        <f ca="1">IF(AND(ISNUMBER(CS!H30),ISNUMBER(CS!I30)),CONCATENATE(CK$10,CL$10),"")</f>
        <v>#N/A</v>
      </c>
      <c r="CL30" s="50" t="str">
        <f ca="1">IF(AND(ISNUMBER(CS!I30),ISNUMBER(CS!J30)),CONCATENATE(CL$10,CM$10),"")</f>
        <v/>
      </c>
      <c r="CM30" s="50" t="str">
        <f ca="1">IF(AND(ISNUMBER(CS!J30),ISNUMBER(CS!K30)),CONCATENATE(CM$10,CN$10),"")</f>
        <v/>
      </c>
      <c r="CN30" s="50" t="str">
        <f ca="1">IF(AND(ISNUMBER(CS!K30),ISNUMBER(CS!L30)),CONCATENATE(CN$10,CO$10),"")</f>
        <v/>
      </c>
      <c r="CO30" s="50" t="str">
        <f ca="1">IF(AND(ISNUMBER(CS!L30),ISNUMBER(CS!M30)),CONCATENATE(CO$10,CP$10),"")</f>
        <v/>
      </c>
      <c r="CP30" s="50" t="str">
        <f ca="1">IF(AND(ISNUMBER(CS!M30),ISNUMBER(CS!N30)),CONCATENATE(CP$10,CQ$10),"")</f>
        <v/>
      </c>
      <c r="CQ30" s="50" t="e">
        <f ca="1">IF(AND(ISNUMBER(CS!N30),ISNUMBER(CS!O30)),CONCATENATE(CQ$10,CR$10),"")</f>
        <v>#N/A</v>
      </c>
      <c r="CR30" s="50" t="str">
        <f ca="1">IF(AND(ISNUMBER(CS!O30),ISNUMBER(CS!P30)),CONCATENATE(CR$10,CS$10),"")</f>
        <v/>
      </c>
      <c r="CS30" s="50" t="str">
        <f ca="1">IF(AND(ISNUMBER(CS!P30),ISNUMBER(CS!Q30)),CONCATENATE(CS$10,CT$10),"")</f>
        <v/>
      </c>
      <c r="CT30" s="50" t="str">
        <f ca="1">IF(AND(ISNUMBER(CS!Q30),ISNUMBER(CS!R30)),CONCATENATE(CT$10,CU$10),"")</f>
        <v/>
      </c>
      <c r="CU30" s="50" t="str">
        <f ca="1">IF(AND(ISNUMBER(CS!R30),ISNUMBER(CS!S30)),CONCATENATE(CU$10,CV$10),"")</f>
        <v/>
      </c>
      <c r="CV30" s="50" t="str">
        <f ca="1">IF(AND(ISNUMBER(CS!S30),ISNUMBER(CS!T30)),CONCATENATE(CV$10,CW$10),"")</f>
        <v/>
      </c>
      <c r="CW30" s="50" t="str">
        <f ca="1">IF(AND(ISNUMBER(CS!T30),ISNUMBER(CS!U30)),CONCATENATE(CW$10,CX$10),"")</f>
        <v/>
      </c>
      <c r="CX30" s="50" t="str">
        <f ca="1">IF(AND(ISNUMBER(CS!U30),ISNUMBER(CS!V30)),CONCATENATE(CX$10,CY$10),"")</f>
        <v/>
      </c>
      <c r="CY30" s="50" t="str">
        <f ca="1">IF(AND(ISNUMBER(CS!V30),ISNUMBER(CS!W30)),CONCATENATE(CY$10,CZ$10),"")</f>
        <v/>
      </c>
      <c r="CZ30" s="50" t="str">
        <f ca="1">IF(AND(ISNUMBER(CS!W30),ISNUMBER(CS!X30)),CONCATENATE(CZ$10,DA$10),"")</f>
        <v/>
      </c>
      <c r="DA30" s="50" t="str">
        <f ca="1">IF(AND(ISNUMBER(CS!X30),ISNUMBER(CS!Y30)),CONCATENATE(DA$10,DB$10),"")</f>
        <v/>
      </c>
      <c r="DB30" s="50" t="str">
        <f ca="1">IF(AND(ISNUMBER(CS!Y30),ISNUMBER(CS!Z30)),CONCATENATE(DB$10,DC$10),"")</f>
        <v/>
      </c>
      <c r="DC30" s="50" t="str">
        <f ca="1">IF(AND(ISNUMBER(CS!Z30),ISNUMBER(CS!AA30)),CONCATENATE(DC$10,DD$10),"")</f>
        <v/>
      </c>
      <c r="DD30" s="50" t="str">
        <f ca="1">IF(AND(ISNUMBER(CS!AA30),ISNUMBER(CS!AB30)),CONCATENATE(DD$10,DE$10),"")</f>
        <v/>
      </c>
      <c r="DE30" s="50" t="str">
        <f ca="1">IF(AND(ISNUMBER(CS!AB30),ISNUMBER(CS!AC30)),CONCATENATE(DE$10,DF$10),"")</f>
        <v/>
      </c>
      <c r="DF30" s="50" t="str">
        <f ca="1">IF(AND(ISNUMBER(CS!AC30),ISNUMBER(CS!AD30)),CONCATENATE(DF$10,DG$10),"")</f>
        <v/>
      </c>
      <c r="DG30" s="50" t="str">
        <f ca="1">IF(AND(ISNUMBER(CS!AD30),ISNUMBER(CS!AE30)),CONCATENATE(DG$10,DH$10),"")</f>
        <v/>
      </c>
      <c r="DH30" s="50" t="str">
        <f ca="1">IF(AND(ISNUMBER(CS!AE30),ISNUMBER(CS!AF30)),CONCATENATE(DH$10,DI$10),"")</f>
        <v/>
      </c>
      <c r="DI30" s="50" t="str">
        <f ca="1">IF(AND(ISNUMBER(CS!AF30),ISNUMBER(CS!AG30)),CONCATENATE(DI$10,DJ$10),"")</f>
        <v/>
      </c>
      <c r="DJ30" s="50" t="str">
        <f ca="1">IF(AND(ISNUMBER(CS!AG30),ISNUMBER(CS!AH30)),CONCATENATE(DJ$10,DK$10),"")</f>
        <v/>
      </c>
      <c r="DK30" s="50" t="str">
        <f ca="1">IF(AND(ISNUMBER(CS!AH30),ISNUMBER(CS!AI30)),CONCATENATE(DK$10,DL$10),"")</f>
        <v/>
      </c>
      <c r="DL30" s="50" t="str">
        <f ca="1">IF(AND(ISNUMBER(CS!AI30),ISNUMBER(CS!AJ30)),CONCATENATE(DL$10,DM$10),"")</f>
        <v/>
      </c>
      <c r="DM30" s="50" t="str">
        <f ca="1">IF(AND(ISNUMBER(CS!AJ30),ISNUMBER(CS!AK30)),CONCATENATE(DM$10,DN$10),"")</f>
        <v/>
      </c>
      <c r="DN30" s="50" t="str">
        <f ca="1">IF(AND(ISNUMBER(CS!AK30),ISNUMBER(CS!AL30)),CONCATENATE(DN$10,DO$10),"")</f>
        <v/>
      </c>
      <c r="DO30" s="50" t="str">
        <f ca="1">IF(AND(ISNUMBER(CS!AL30),ISNUMBER(CS!AM30)),CONCATENATE(DO$10,DP$10),"")</f>
        <v/>
      </c>
      <c r="DP30" s="50" t="str">
        <f ca="1">IF(AND(ISNUMBER(CS!AM30),ISNUMBER(CS!AN30)),CONCATENATE(DP$10,DQ$10),"")</f>
        <v/>
      </c>
      <c r="DQ30" s="50" t="str">
        <f ca="1">IF(AND(ISNUMBER(CS!AN30),ISNUMBER(CS!AO30)),CONCATENATE(DQ$10,DR$10),"")</f>
        <v/>
      </c>
      <c r="DR30" s="50" t="str">
        <f ca="1">IF(AND(ISNUMBER(CS!AO30),ISNUMBER(CS!AP30)),CONCATENATE(DR$10,DS$10),"")</f>
        <v/>
      </c>
      <c r="DS30" s="50" t="str">
        <f ca="1">IF(AND(ISNUMBER(CS!AP30),ISNUMBER(CS!AQ30)),CONCATENATE(DS$10,DT$10),"")</f>
        <v/>
      </c>
      <c r="DT30" s="63">
        <f>DrawFinder!Y30</f>
        <v>3</v>
      </c>
    </row>
    <row r="31" spans="2:124">
      <c r="B31" s="393" t="str">
        <f ca="1">TmOrderLU!D31</f>
        <v>Tm21</v>
      </c>
      <c r="C31" s="63" t="str">
        <f ca="1">IF(ISNUMBER(CS!C31),C$10,"")</f>
        <v/>
      </c>
      <c r="D31" s="63" t="e">
        <f ca="1">IF(ISNUMBER(CS!D31),D$10,"")</f>
        <v>#N/A</v>
      </c>
      <c r="E31" s="63" t="e">
        <f ca="1">IF(ISNUMBER(CS!E31),E$10,"")</f>
        <v>#N/A</v>
      </c>
      <c r="F31" s="63" t="str">
        <f ca="1">IF(ISNUMBER(CS!F31),F$10,"")</f>
        <v/>
      </c>
      <c r="G31" s="63" t="e">
        <f ca="1">IF(ISNUMBER(CS!G31),G$10,"")</f>
        <v>#N/A</v>
      </c>
      <c r="H31" s="63" t="str">
        <f ca="1">IF(ISNUMBER(CS!H31),H$10,"")</f>
        <v/>
      </c>
      <c r="I31" s="63" t="str">
        <f ca="1">IF(ISNUMBER(CS!I31),I$10,"")</f>
        <v/>
      </c>
      <c r="J31" s="63" t="e">
        <f ca="1">IF(ISNUMBER(CS!J31),J$10,"")</f>
        <v>#N/A</v>
      </c>
      <c r="K31" s="63" t="str">
        <f ca="1">IF(ISNUMBER(CS!K31),K$10,"")</f>
        <v/>
      </c>
      <c r="L31" s="63" t="e">
        <f ca="1">IF(ISNUMBER(CS!L31),L$10,"")</f>
        <v>#N/A</v>
      </c>
      <c r="M31" s="63" t="e">
        <f ca="1">IF(ISNUMBER(CS!M31),M$10,"")</f>
        <v>#N/A</v>
      </c>
      <c r="N31" s="63" t="str">
        <f ca="1">IF(ISNUMBER(CS!N31),N$10,"")</f>
        <v/>
      </c>
      <c r="O31" s="63" t="str">
        <f ca="1">IF(ISNUMBER(CS!O31),O$10,"")</f>
        <v/>
      </c>
      <c r="P31" s="63" t="e">
        <f ca="1">IF(ISNUMBER(CS!P31),P$10,"")</f>
        <v>#N/A</v>
      </c>
      <c r="Q31" s="63" t="str">
        <f ca="1">IF(ISNUMBER(CS!Q31),Q$10,"")</f>
        <v/>
      </c>
      <c r="R31" s="63" t="str">
        <f ca="1">IF(ISNUMBER(CS!R31),R$10,"")</f>
        <v/>
      </c>
      <c r="S31" s="63" t="str">
        <f ca="1">IF(ISNUMBER(CS!S31),S$10,"")</f>
        <v/>
      </c>
      <c r="T31" s="63" t="str">
        <f ca="1">IF(ISNUMBER(CS!T31),T$10,"")</f>
        <v/>
      </c>
      <c r="U31" s="63" t="str">
        <f ca="1">IF(ISNUMBER(CS!U31),U$10,"")</f>
        <v/>
      </c>
      <c r="V31" s="63" t="str">
        <f ca="1">IF(ISNUMBER(CS!V31),V$10,"")</f>
        <v/>
      </c>
      <c r="W31" s="63" t="str">
        <f ca="1">IF(ISNUMBER(CS!W31),W$10,"")</f>
        <v/>
      </c>
      <c r="X31" s="63" t="str">
        <f ca="1">IF(ISNUMBER(CS!X31),X$10,"")</f>
        <v/>
      </c>
      <c r="Y31" s="63" t="str">
        <f ca="1">IF(ISNUMBER(CS!Y31),Y$10,"")</f>
        <v/>
      </c>
      <c r="Z31" s="63" t="str">
        <f ca="1">IF(ISNUMBER(CS!Z31),Z$10,"")</f>
        <v/>
      </c>
      <c r="AA31" s="63" t="str">
        <f ca="1">IF(ISNUMBER(CS!AA31),AA$10,"")</f>
        <v/>
      </c>
      <c r="AB31" s="63" t="str">
        <f ca="1">IF(ISNUMBER(CS!AB31),AB$10,"")</f>
        <v/>
      </c>
      <c r="AC31" s="63" t="str">
        <f ca="1">IF(ISNUMBER(CS!AC31),AC$10,"")</f>
        <v/>
      </c>
      <c r="AD31" s="63" t="str">
        <f ca="1">IF(ISNUMBER(CS!AD31),AD$10,"")</f>
        <v/>
      </c>
      <c r="AE31" s="63" t="str">
        <f ca="1">IF(ISNUMBER(CS!AE31),AE$10,"")</f>
        <v/>
      </c>
      <c r="AF31" s="63" t="str">
        <f ca="1">IF(ISNUMBER(CS!AF31),AF$10,"")</f>
        <v/>
      </c>
      <c r="AG31" s="63" t="str">
        <f ca="1">IF(ISNUMBER(CS!AG31),AG$10,"")</f>
        <v/>
      </c>
      <c r="AH31" s="63" t="str">
        <f ca="1">IF(ISNUMBER(CS!AH31),AH$10,"")</f>
        <v/>
      </c>
      <c r="AI31" s="63" t="str">
        <f ca="1">IF(ISNUMBER(CS!AI31),AI$10,"")</f>
        <v/>
      </c>
      <c r="AJ31" s="63" t="str">
        <f ca="1">IF(ISNUMBER(CS!AJ31),AJ$10,"")</f>
        <v/>
      </c>
      <c r="AK31" s="63" t="str">
        <f ca="1">IF(ISNUMBER(CS!AK31),AK$10,"")</f>
        <v/>
      </c>
      <c r="AL31" s="63" t="str">
        <f ca="1">IF(ISNUMBER(CS!AL31),AL$10,"")</f>
        <v/>
      </c>
      <c r="AM31" s="63" t="str">
        <f ca="1">IF(ISNUMBER(CS!AM31),AM$10,"")</f>
        <v/>
      </c>
      <c r="AN31" s="63" t="str">
        <f ca="1">IF(ISNUMBER(CS!AN31),AN$10,"")</f>
        <v/>
      </c>
      <c r="AO31" s="63" t="str">
        <f ca="1">IF(ISNUMBER(CS!AO31),AO$10,"")</f>
        <v/>
      </c>
      <c r="AP31" s="414" t="str">
        <f ca="1">IF(ISNUMBER(CS!AP31),AP$10,"")</f>
        <v/>
      </c>
      <c r="AS31" s="4" t="str">
        <f t="shared" ca="1" si="11"/>
        <v>Tm21</v>
      </c>
      <c r="AU31" s="417" t="str">
        <f t="shared" ca="1" si="8"/>
        <v/>
      </c>
      <c r="AV31" s="210" t="str">
        <f t="shared" ca="1" si="8"/>
        <v/>
      </c>
      <c r="AW31" s="210" t="str">
        <f t="shared" ca="1" si="8"/>
        <v/>
      </c>
      <c r="AX31" s="210" t="str">
        <f t="shared" ca="1" si="8"/>
        <v/>
      </c>
      <c r="AY31" s="414" t="str">
        <f t="shared" ca="1" si="8"/>
        <v/>
      </c>
      <c r="BA31" s="417" t="e">
        <f t="shared" ca="1" si="12"/>
        <v>#N/A</v>
      </c>
      <c r="BB31" s="210" t="e">
        <f t="shared" ca="1" si="12"/>
        <v>#N/A</v>
      </c>
      <c r="BC31" s="210" t="e">
        <f t="shared" ca="1" si="12"/>
        <v>#N/A</v>
      </c>
      <c r="BD31" s="210" t="e">
        <f t="shared" ca="1" si="12"/>
        <v>#N/A</v>
      </c>
      <c r="BE31" s="210" t="e">
        <f t="shared" ca="1" si="12"/>
        <v>#N/A</v>
      </c>
      <c r="BF31" s="210" t="e">
        <f t="shared" ca="1" si="12"/>
        <v>#N/A</v>
      </c>
      <c r="BG31" s="210" t="e">
        <f t="shared" ca="1" si="12"/>
        <v>#N/A</v>
      </c>
      <c r="BH31" s="210" t="e">
        <f t="shared" ca="1" si="12"/>
        <v>#N/A</v>
      </c>
      <c r="BI31" s="210" t="e">
        <f t="shared" ca="1" si="12"/>
        <v>#N/A</v>
      </c>
      <c r="BJ31" s="210" t="e">
        <f t="shared" ca="1" si="12"/>
        <v>#N/A</v>
      </c>
      <c r="BK31" s="210" t="e">
        <f t="shared" ca="1" si="12"/>
        <v>#N/A</v>
      </c>
      <c r="BL31" s="210" t="e">
        <f t="shared" ca="1" si="12"/>
        <v>#N/A</v>
      </c>
      <c r="BM31" s="210" t="e">
        <f t="shared" ca="1" si="12"/>
        <v>#N/A</v>
      </c>
      <c r="BN31" s="210" t="e">
        <f t="shared" ca="1" si="12"/>
        <v>#N/A</v>
      </c>
      <c r="BO31" s="210" t="str">
        <f t="shared" ca="1" si="12"/>
        <v/>
      </c>
      <c r="BP31" s="210" t="str">
        <f t="shared" ca="1" si="12"/>
        <v/>
      </c>
      <c r="BQ31" s="414" t="str">
        <f t="shared" ca="1" si="14"/>
        <v/>
      </c>
      <c r="BS31" s="417" t="str">
        <f t="shared" ca="1" si="13"/>
        <v/>
      </c>
      <c r="BT31" s="210" t="str">
        <f t="shared" ca="1" si="13"/>
        <v/>
      </c>
      <c r="BU31" s="210" t="str">
        <f t="shared" ca="1" si="13"/>
        <v/>
      </c>
      <c r="BV31" s="210" t="str">
        <f t="shared" ca="1" si="13"/>
        <v/>
      </c>
      <c r="BW31" s="210" t="str">
        <f t="shared" ca="1" si="13"/>
        <v/>
      </c>
      <c r="BX31" s="210" t="str">
        <f t="shared" ca="1" si="13"/>
        <v/>
      </c>
      <c r="BY31" s="210" t="str">
        <f t="shared" ca="1" si="13"/>
        <v/>
      </c>
      <c r="BZ31" s="210">
        <f t="shared" ca="1" si="13"/>
        <v>0</v>
      </c>
      <c r="CA31" s="210" t="str">
        <f t="shared" ca="1" si="13"/>
        <v/>
      </c>
      <c r="CB31" s="396" t="str">
        <f t="shared" ca="1" si="13"/>
        <v/>
      </c>
      <c r="CC31" s="68"/>
      <c r="CD31" s="419" t="e">
        <f t="shared" ca="1" si="15"/>
        <v>#N/A</v>
      </c>
      <c r="CF31" s="50" t="str">
        <f ca="1">IF(AND(ISNUMBER(CS!C31),ISNUMBER(CS!D31)),CONCATENATE(CF$10,CG$10),"")</f>
        <v/>
      </c>
      <c r="CG31" s="50" t="e">
        <f ca="1">IF(AND(ISNUMBER(CS!D31),ISNUMBER(CS!E31)),CONCATENATE(CG$10,CH$10),"")</f>
        <v>#N/A</v>
      </c>
      <c r="CH31" s="50" t="str">
        <f ca="1">IF(AND(ISNUMBER(CS!E31),ISNUMBER(CS!F31)),CONCATENATE(CH$10,CI$10),"")</f>
        <v/>
      </c>
      <c r="CI31" s="50" t="str">
        <f ca="1">IF(AND(ISNUMBER(CS!F31),ISNUMBER(CS!G31)),CONCATENATE(CI$10,CJ$10),"")</f>
        <v/>
      </c>
      <c r="CJ31" s="50" t="str">
        <f ca="1">IF(AND(ISNUMBER(CS!G31),ISNUMBER(CS!H31)),CONCATENATE(CJ$10,CK$10),"")</f>
        <v/>
      </c>
      <c r="CK31" s="50" t="str">
        <f ca="1">IF(AND(ISNUMBER(CS!H31),ISNUMBER(CS!I31)),CONCATENATE(CK$10,CL$10),"")</f>
        <v/>
      </c>
      <c r="CL31" s="50" t="str">
        <f ca="1">IF(AND(ISNUMBER(CS!I31),ISNUMBER(CS!J31)),CONCATENATE(CL$10,CM$10),"")</f>
        <v/>
      </c>
      <c r="CM31" s="50" t="str">
        <f ca="1">IF(AND(ISNUMBER(CS!J31),ISNUMBER(CS!K31)),CONCATENATE(CM$10,CN$10),"")</f>
        <v/>
      </c>
      <c r="CN31" s="50" t="str">
        <f ca="1">IF(AND(ISNUMBER(CS!K31),ISNUMBER(CS!L31)),CONCATENATE(CN$10,CO$10),"")</f>
        <v/>
      </c>
      <c r="CO31" s="50" t="e">
        <f ca="1">IF(AND(ISNUMBER(CS!L31),ISNUMBER(CS!M31)),CONCATENATE(CO$10,CP$10),"")</f>
        <v>#N/A</v>
      </c>
      <c r="CP31" s="50" t="str">
        <f ca="1">IF(AND(ISNUMBER(CS!M31),ISNUMBER(CS!N31)),CONCATENATE(CP$10,CQ$10),"")</f>
        <v/>
      </c>
      <c r="CQ31" s="50" t="str">
        <f ca="1">IF(AND(ISNUMBER(CS!N31),ISNUMBER(CS!O31)),CONCATENATE(CQ$10,CR$10),"")</f>
        <v/>
      </c>
      <c r="CR31" s="50" t="str">
        <f ca="1">IF(AND(ISNUMBER(CS!O31),ISNUMBER(CS!P31)),CONCATENATE(CR$10,CS$10),"")</f>
        <v/>
      </c>
      <c r="CS31" s="50" t="str">
        <f ca="1">IF(AND(ISNUMBER(CS!P31),ISNUMBER(CS!Q31)),CONCATENATE(CS$10,CT$10),"")</f>
        <v/>
      </c>
      <c r="CT31" s="50" t="str">
        <f ca="1">IF(AND(ISNUMBER(CS!Q31),ISNUMBER(CS!R31)),CONCATENATE(CT$10,CU$10),"")</f>
        <v/>
      </c>
      <c r="CU31" s="50" t="str">
        <f ca="1">IF(AND(ISNUMBER(CS!R31),ISNUMBER(CS!S31)),CONCATENATE(CU$10,CV$10),"")</f>
        <v/>
      </c>
      <c r="CV31" s="50" t="str">
        <f ca="1">IF(AND(ISNUMBER(CS!S31),ISNUMBER(CS!T31)),CONCATENATE(CV$10,CW$10),"")</f>
        <v/>
      </c>
      <c r="CW31" s="50" t="str">
        <f ca="1">IF(AND(ISNUMBER(CS!T31),ISNUMBER(CS!U31)),CONCATENATE(CW$10,CX$10),"")</f>
        <v/>
      </c>
      <c r="CX31" s="50" t="str">
        <f ca="1">IF(AND(ISNUMBER(CS!U31),ISNUMBER(CS!V31)),CONCATENATE(CX$10,CY$10),"")</f>
        <v/>
      </c>
      <c r="CY31" s="50" t="str">
        <f ca="1">IF(AND(ISNUMBER(CS!V31),ISNUMBER(CS!W31)),CONCATENATE(CY$10,CZ$10),"")</f>
        <v/>
      </c>
      <c r="CZ31" s="50" t="str">
        <f ca="1">IF(AND(ISNUMBER(CS!W31),ISNUMBER(CS!X31)),CONCATENATE(CZ$10,DA$10),"")</f>
        <v/>
      </c>
      <c r="DA31" s="50" t="str">
        <f ca="1">IF(AND(ISNUMBER(CS!X31),ISNUMBER(CS!Y31)),CONCATENATE(DA$10,DB$10),"")</f>
        <v/>
      </c>
      <c r="DB31" s="50" t="str">
        <f ca="1">IF(AND(ISNUMBER(CS!Y31),ISNUMBER(CS!Z31)),CONCATENATE(DB$10,DC$10),"")</f>
        <v/>
      </c>
      <c r="DC31" s="50" t="str">
        <f ca="1">IF(AND(ISNUMBER(CS!Z31),ISNUMBER(CS!AA31)),CONCATENATE(DC$10,DD$10),"")</f>
        <v/>
      </c>
      <c r="DD31" s="50" t="str">
        <f ca="1">IF(AND(ISNUMBER(CS!AA31),ISNUMBER(CS!AB31)),CONCATENATE(DD$10,DE$10),"")</f>
        <v/>
      </c>
      <c r="DE31" s="50" t="str">
        <f ca="1">IF(AND(ISNUMBER(CS!AB31),ISNUMBER(CS!AC31)),CONCATENATE(DE$10,DF$10),"")</f>
        <v/>
      </c>
      <c r="DF31" s="50" t="str">
        <f ca="1">IF(AND(ISNUMBER(CS!AC31),ISNUMBER(CS!AD31)),CONCATENATE(DF$10,DG$10),"")</f>
        <v/>
      </c>
      <c r="DG31" s="50" t="str">
        <f ca="1">IF(AND(ISNUMBER(CS!AD31),ISNUMBER(CS!AE31)),CONCATENATE(DG$10,DH$10),"")</f>
        <v/>
      </c>
      <c r="DH31" s="50" t="str">
        <f ca="1">IF(AND(ISNUMBER(CS!AE31),ISNUMBER(CS!AF31)),CONCATENATE(DH$10,DI$10),"")</f>
        <v/>
      </c>
      <c r="DI31" s="50" t="str">
        <f ca="1">IF(AND(ISNUMBER(CS!AF31),ISNUMBER(CS!AG31)),CONCATENATE(DI$10,DJ$10),"")</f>
        <v/>
      </c>
      <c r="DJ31" s="50" t="str">
        <f ca="1">IF(AND(ISNUMBER(CS!AG31),ISNUMBER(CS!AH31)),CONCATENATE(DJ$10,DK$10),"")</f>
        <v/>
      </c>
      <c r="DK31" s="50" t="str">
        <f ca="1">IF(AND(ISNUMBER(CS!AH31),ISNUMBER(CS!AI31)),CONCATENATE(DK$10,DL$10),"")</f>
        <v/>
      </c>
      <c r="DL31" s="50" t="str">
        <f ca="1">IF(AND(ISNUMBER(CS!AI31),ISNUMBER(CS!AJ31)),CONCATENATE(DL$10,DM$10),"")</f>
        <v/>
      </c>
      <c r="DM31" s="50" t="str">
        <f ca="1">IF(AND(ISNUMBER(CS!AJ31),ISNUMBER(CS!AK31)),CONCATENATE(DM$10,DN$10),"")</f>
        <v/>
      </c>
      <c r="DN31" s="50" t="str">
        <f ca="1">IF(AND(ISNUMBER(CS!AK31),ISNUMBER(CS!AL31)),CONCATENATE(DN$10,DO$10),"")</f>
        <v/>
      </c>
      <c r="DO31" s="50" t="str">
        <f ca="1">IF(AND(ISNUMBER(CS!AL31),ISNUMBER(CS!AM31)),CONCATENATE(DO$10,DP$10),"")</f>
        <v/>
      </c>
      <c r="DP31" s="50" t="str">
        <f ca="1">IF(AND(ISNUMBER(CS!AM31),ISNUMBER(CS!AN31)),CONCATENATE(DP$10,DQ$10),"")</f>
        <v/>
      </c>
      <c r="DQ31" s="50" t="str">
        <f ca="1">IF(AND(ISNUMBER(CS!AN31),ISNUMBER(CS!AO31)),CONCATENATE(DQ$10,DR$10),"")</f>
        <v/>
      </c>
      <c r="DR31" s="50" t="str">
        <f ca="1">IF(AND(ISNUMBER(CS!AO31),ISNUMBER(CS!AP31)),CONCATENATE(DR$10,DS$10),"")</f>
        <v/>
      </c>
      <c r="DS31" s="50" t="str">
        <f ca="1">IF(AND(ISNUMBER(CS!AP31),ISNUMBER(CS!AQ31)),CONCATENATE(DS$10,DT$10),"")</f>
        <v/>
      </c>
      <c r="DT31" s="63">
        <f>DrawFinder!Y31</f>
        <v>3</v>
      </c>
    </row>
    <row r="32" spans="2:124">
      <c r="B32" s="393" t="str">
        <f ca="1">TmOrderLU!D32</f>
        <v>Tm22</v>
      </c>
      <c r="C32" s="63" t="e">
        <f ca="1">IF(ISNUMBER(CS!C32),C$10,"")</f>
        <v>#N/A</v>
      </c>
      <c r="D32" s="63" t="str">
        <f ca="1">IF(ISNUMBER(CS!D32),D$10,"")</f>
        <v/>
      </c>
      <c r="E32" s="63" t="str">
        <f ca="1">IF(ISNUMBER(CS!E32),E$10,"")</f>
        <v/>
      </c>
      <c r="F32" s="63" t="e">
        <f ca="1">IF(ISNUMBER(CS!F32),F$10,"")</f>
        <v>#N/A</v>
      </c>
      <c r="G32" s="63" t="str">
        <f ca="1">IF(ISNUMBER(CS!G32),G$10,"")</f>
        <v/>
      </c>
      <c r="H32" s="63" t="e">
        <f ca="1">IF(ISNUMBER(CS!H32),H$10,"")</f>
        <v>#N/A</v>
      </c>
      <c r="I32" s="63" t="e">
        <f ca="1">IF(ISNUMBER(CS!I32),I$10,"")</f>
        <v>#N/A</v>
      </c>
      <c r="J32" s="63" t="str">
        <f ca="1">IF(ISNUMBER(CS!J32),J$10,"")</f>
        <v/>
      </c>
      <c r="K32" s="63" t="str">
        <f ca="1">IF(ISNUMBER(CS!K32),K$10,"")</f>
        <v/>
      </c>
      <c r="L32" s="63" t="e">
        <f ca="1">IF(ISNUMBER(CS!L32),L$10,"")</f>
        <v>#N/A</v>
      </c>
      <c r="M32" s="63" t="e">
        <f ca="1">IF(ISNUMBER(CS!M32),M$10,"")</f>
        <v>#N/A</v>
      </c>
      <c r="N32" s="63" t="str">
        <f ca="1">IF(ISNUMBER(CS!N32),N$10,"")</f>
        <v/>
      </c>
      <c r="O32" s="63" t="str">
        <f ca="1">IF(ISNUMBER(CS!O32),O$10,"")</f>
        <v/>
      </c>
      <c r="P32" s="63" t="e">
        <f ca="1">IF(ISNUMBER(CS!P32),P$10,"")</f>
        <v>#N/A</v>
      </c>
      <c r="Q32" s="63" t="str">
        <f ca="1">IF(ISNUMBER(CS!Q32),Q$10,"")</f>
        <v/>
      </c>
      <c r="R32" s="63" t="str">
        <f ca="1">IF(ISNUMBER(CS!R32),R$10,"")</f>
        <v/>
      </c>
      <c r="S32" s="63" t="str">
        <f ca="1">IF(ISNUMBER(CS!S32),S$10,"")</f>
        <v/>
      </c>
      <c r="T32" s="63" t="str">
        <f ca="1">IF(ISNUMBER(CS!T32),T$10,"")</f>
        <v/>
      </c>
      <c r="U32" s="63" t="str">
        <f ca="1">IF(ISNUMBER(CS!U32),U$10,"")</f>
        <v/>
      </c>
      <c r="V32" s="63" t="str">
        <f ca="1">IF(ISNUMBER(CS!V32),V$10,"")</f>
        <v/>
      </c>
      <c r="W32" s="63" t="str">
        <f ca="1">IF(ISNUMBER(CS!W32),W$10,"")</f>
        <v/>
      </c>
      <c r="X32" s="63" t="str">
        <f ca="1">IF(ISNUMBER(CS!X32),X$10,"")</f>
        <v/>
      </c>
      <c r="Y32" s="63" t="str">
        <f ca="1">IF(ISNUMBER(CS!Y32),Y$10,"")</f>
        <v/>
      </c>
      <c r="Z32" s="63" t="str">
        <f ca="1">IF(ISNUMBER(CS!Z32),Z$10,"")</f>
        <v/>
      </c>
      <c r="AA32" s="63" t="str">
        <f ca="1">IF(ISNUMBER(CS!AA32),AA$10,"")</f>
        <v/>
      </c>
      <c r="AB32" s="63" t="str">
        <f ca="1">IF(ISNUMBER(CS!AB32),AB$10,"")</f>
        <v/>
      </c>
      <c r="AC32" s="63" t="str">
        <f ca="1">IF(ISNUMBER(CS!AC32),AC$10,"")</f>
        <v/>
      </c>
      <c r="AD32" s="63" t="str">
        <f ca="1">IF(ISNUMBER(CS!AD32),AD$10,"")</f>
        <v/>
      </c>
      <c r="AE32" s="63" t="str">
        <f ca="1">IF(ISNUMBER(CS!AE32),AE$10,"")</f>
        <v/>
      </c>
      <c r="AF32" s="63" t="str">
        <f ca="1">IF(ISNUMBER(CS!AF32),AF$10,"")</f>
        <v/>
      </c>
      <c r="AG32" s="63" t="str">
        <f ca="1">IF(ISNUMBER(CS!AG32),AG$10,"")</f>
        <v/>
      </c>
      <c r="AH32" s="63" t="str">
        <f ca="1">IF(ISNUMBER(CS!AH32),AH$10,"")</f>
        <v/>
      </c>
      <c r="AI32" s="63" t="str">
        <f ca="1">IF(ISNUMBER(CS!AI32),AI$10,"")</f>
        <v/>
      </c>
      <c r="AJ32" s="63" t="str">
        <f ca="1">IF(ISNUMBER(CS!AJ32),AJ$10,"")</f>
        <v/>
      </c>
      <c r="AK32" s="63" t="str">
        <f ca="1">IF(ISNUMBER(CS!AK32),AK$10,"")</f>
        <v/>
      </c>
      <c r="AL32" s="63" t="str">
        <f ca="1">IF(ISNUMBER(CS!AL32),AL$10,"")</f>
        <v/>
      </c>
      <c r="AM32" s="63" t="str">
        <f ca="1">IF(ISNUMBER(CS!AM32),AM$10,"")</f>
        <v/>
      </c>
      <c r="AN32" s="63" t="str">
        <f ca="1">IF(ISNUMBER(CS!AN32),AN$10,"")</f>
        <v/>
      </c>
      <c r="AO32" s="63" t="str">
        <f ca="1">IF(ISNUMBER(CS!AO32),AO$10,"")</f>
        <v/>
      </c>
      <c r="AP32" s="414" t="str">
        <f ca="1">IF(ISNUMBER(CS!AP32),AP$10,"")</f>
        <v/>
      </c>
      <c r="AS32" s="4" t="str">
        <f t="shared" ca="1" si="11"/>
        <v>Tm22</v>
      </c>
      <c r="AU32" s="417" t="str">
        <f t="shared" ca="1" si="8"/>
        <v/>
      </c>
      <c r="AV32" s="210" t="str">
        <f t="shared" ca="1" si="8"/>
        <v/>
      </c>
      <c r="AW32" s="210" t="str">
        <f t="shared" ca="1" si="8"/>
        <v/>
      </c>
      <c r="AX32" s="210" t="str">
        <f t="shared" ca="1" si="8"/>
        <v/>
      </c>
      <c r="AY32" s="414" t="str">
        <f t="shared" ca="1" si="8"/>
        <v/>
      </c>
      <c r="BA32" s="417" t="e">
        <f t="shared" ca="1" si="12"/>
        <v>#N/A</v>
      </c>
      <c r="BB32" s="210" t="e">
        <f t="shared" ca="1" si="12"/>
        <v>#N/A</v>
      </c>
      <c r="BC32" s="210" t="e">
        <f t="shared" ca="1" si="12"/>
        <v>#N/A</v>
      </c>
      <c r="BD32" s="210" t="e">
        <f t="shared" ca="1" si="12"/>
        <v>#N/A</v>
      </c>
      <c r="BE32" s="210" t="e">
        <f t="shared" ca="1" si="12"/>
        <v>#N/A</v>
      </c>
      <c r="BF32" s="210" t="e">
        <f t="shared" ca="1" si="12"/>
        <v>#N/A</v>
      </c>
      <c r="BG32" s="210" t="e">
        <f t="shared" ca="1" si="12"/>
        <v>#N/A</v>
      </c>
      <c r="BH32" s="210" t="e">
        <f t="shared" ca="1" si="12"/>
        <v>#N/A</v>
      </c>
      <c r="BI32" s="210" t="e">
        <f t="shared" ca="1" si="12"/>
        <v>#N/A</v>
      </c>
      <c r="BJ32" s="210" t="e">
        <f t="shared" ca="1" si="12"/>
        <v>#N/A</v>
      </c>
      <c r="BK32" s="210" t="e">
        <f t="shared" ca="1" si="12"/>
        <v>#N/A</v>
      </c>
      <c r="BL32" s="210" t="e">
        <f t="shared" ca="1" si="12"/>
        <v>#N/A</v>
      </c>
      <c r="BM32" s="210" t="e">
        <f t="shared" ca="1" si="12"/>
        <v>#N/A</v>
      </c>
      <c r="BN32" s="210" t="e">
        <f t="shared" ca="1" si="12"/>
        <v>#N/A</v>
      </c>
      <c r="BO32" s="210" t="str">
        <f t="shared" ca="1" si="12"/>
        <v/>
      </c>
      <c r="BP32" s="210" t="str">
        <f t="shared" ca="1" si="12"/>
        <v/>
      </c>
      <c r="BQ32" s="414" t="str">
        <f t="shared" ca="1" si="14"/>
        <v/>
      </c>
      <c r="BS32" s="417" t="str">
        <f t="shared" ca="1" si="13"/>
        <v/>
      </c>
      <c r="BT32" s="210" t="str">
        <f t="shared" ca="1" si="13"/>
        <v/>
      </c>
      <c r="BU32" s="210" t="str">
        <f t="shared" ca="1" si="13"/>
        <v/>
      </c>
      <c r="BV32" s="210" t="str">
        <f t="shared" ca="1" si="13"/>
        <v/>
      </c>
      <c r="BW32" s="210" t="str">
        <f t="shared" ca="1" si="13"/>
        <v/>
      </c>
      <c r="BX32" s="210" t="str">
        <f t="shared" ca="1" si="13"/>
        <v/>
      </c>
      <c r="BY32" s="210" t="str">
        <f t="shared" ca="1" si="13"/>
        <v/>
      </c>
      <c r="BZ32" s="210">
        <f t="shared" ca="1" si="13"/>
        <v>0</v>
      </c>
      <c r="CA32" s="210" t="str">
        <f t="shared" ca="1" si="13"/>
        <v/>
      </c>
      <c r="CB32" s="396" t="str">
        <f t="shared" ca="1" si="13"/>
        <v/>
      </c>
      <c r="CC32" s="68"/>
      <c r="CD32" s="419" t="e">
        <f t="shared" ca="1" si="15"/>
        <v>#N/A</v>
      </c>
      <c r="CF32" s="50" t="str">
        <f ca="1">IF(AND(ISNUMBER(CS!C32),ISNUMBER(CS!D32)),CONCATENATE(CF$10,CG$10),"")</f>
        <v/>
      </c>
      <c r="CG32" s="50" t="str">
        <f ca="1">IF(AND(ISNUMBER(CS!D32),ISNUMBER(CS!E32)),CONCATENATE(CG$10,CH$10),"")</f>
        <v/>
      </c>
      <c r="CH32" s="50" t="str">
        <f ca="1">IF(AND(ISNUMBER(CS!E32),ISNUMBER(CS!F32)),CONCATENATE(CH$10,CI$10),"")</f>
        <v/>
      </c>
      <c r="CI32" s="50" t="str">
        <f ca="1">IF(AND(ISNUMBER(CS!F32),ISNUMBER(CS!G32)),CONCATENATE(CI$10,CJ$10),"")</f>
        <v/>
      </c>
      <c r="CJ32" s="50" t="str">
        <f ca="1">IF(AND(ISNUMBER(CS!G32),ISNUMBER(CS!H32)),CONCATENATE(CJ$10,CK$10),"")</f>
        <v/>
      </c>
      <c r="CK32" s="50" t="e">
        <f ca="1">IF(AND(ISNUMBER(CS!H32),ISNUMBER(CS!I32)),CONCATENATE(CK$10,CL$10),"")</f>
        <v>#N/A</v>
      </c>
      <c r="CL32" s="50" t="str">
        <f ca="1">IF(AND(ISNUMBER(CS!I32),ISNUMBER(CS!J32)),CONCATENATE(CL$10,CM$10),"")</f>
        <v/>
      </c>
      <c r="CM32" s="50" t="str">
        <f ca="1">IF(AND(ISNUMBER(CS!J32),ISNUMBER(CS!K32)),CONCATENATE(CM$10,CN$10),"")</f>
        <v/>
      </c>
      <c r="CN32" s="50" t="str">
        <f ca="1">IF(AND(ISNUMBER(CS!K32),ISNUMBER(CS!L32)),CONCATENATE(CN$10,CO$10),"")</f>
        <v/>
      </c>
      <c r="CO32" s="50" t="e">
        <f ca="1">IF(AND(ISNUMBER(CS!L32),ISNUMBER(CS!M32)),CONCATENATE(CO$10,CP$10),"")</f>
        <v>#N/A</v>
      </c>
      <c r="CP32" s="50" t="str">
        <f ca="1">IF(AND(ISNUMBER(CS!M32),ISNUMBER(CS!N32)),CONCATENATE(CP$10,CQ$10),"")</f>
        <v/>
      </c>
      <c r="CQ32" s="50" t="str">
        <f ca="1">IF(AND(ISNUMBER(CS!N32),ISNUMBER(CS!O32)),CONCATENATE(CQ$10,CR$10),"")</f>
        <v/>
      </c>
      <c r="CR32" s="50" t="str">
        <f ca="1">IF(AND(ISNUMBER(CS!O32),ISNUMBER(CS!P32)),CONCATENATE(CR$10,CS$10),"")</f>
        <v/>
      </c>
      <c r="CS32" s="50" t="str">
        <f ca="1">IF(AND(ISNUMBER(CS!P32),ISNUMBER(CS!Q32)),CONCATENATE(CS$10,CT$10),"")</f>
        <v/>
      </c>
      <c r="CT32" s="50" t="str">
        <f ca="1">IF(AND(ISNUMBER(CS!Q32),ISNUMBER(CS!R32)),CONCATENATE(CT$10,CU$10),"")</f>
        <v/>
      </c>
      <c r="CU32" s="50" t="str">
        <f ca="1">IF(AND(ISNUMBER(CS!R32),ISNUMBER(CS!S32)),CONCATENATE(CU$10,CV$10),"")</f>
        <v/>
      </c>
      <c r="CV32" s="50" t="str">
        <f ca="1">IF(AND(ISNUMBER(CS!S32),ISNUMBER(CS!T32)),CONCATENATE(CV$10,CW$10),"")</f>
        <v/>
      </c>
      <c r="CW32" s="50" t="str">
        <f ca="1">IF(AND(ISNUMBER(CS!T32),ISNUMBER(CS!U32)),CONCATENATE(CW$10,CX$10),"")</f>
        <v/>
      </c>
      <c r="CX32" s="50" t="str">
        <f ca="1">IF(AND(ISNUMBER(CS!U32),ISNUMBER(CS!V32)),CONCATENATE(CX$10,CY$10),"")</f>
        <v/>
      </c>
      <c r="CY32" s="50" t="str">
        <f ca="1">IF(AND(ISNUMBER(CS!V32),ISNUMBER(CS!W32)),CONCATENATE(CY$10,CZ$10),"")</f>
        <v/>
      </c>
      <c r="CZ32" s="50" t="str">
        <f ca="1">IF(AND(ISNUMBER(CS!W32),ISNUMBER(CS!X32)),CONCATENATE(CZ$10,DA$10),"")</f>
        <v/>
      </c>
      <c r="DA32" s="50" t="str">
        <f ca="1">IF(AND(ISNUMBER(CS!X32),ISNUMBER(CS!Y32)),CONCATENATE(DA$10,DB$10),"")</f>
        <v/>
      </c>
      <c r="DB32" s="50" t="str">
        <f ca="1">IF(AND(ISNUMBER(CS!Y32),ISNUMBER(CS!Z32)),CONCATENATE(DB$10,DC$10),"")</f>
        <v/>
      </c>
      <c r="DC32" s="50" t="str">
        <f ca="1">IF(AND(ISNUMBER(CS!Z32),ISNUMBER(CS!AA32)),CONCATENATE(DC$10,DD$10),"")</f>
        <v/>
      </c>
      <c r="DD32" s="50" t="str">
        <f ca="1">IF(AND(ISNUMBER(CS!AA32),ISNUMBER(CS!AB32)),CONCATENATE(DD$10,DE$10),"")</f>
        <v/>
      </c>
      <c r="DE32" s="50" t="str">
        <f ca="1">IF(AND(ISNUMBER(CS!AB32),ISNUMBER(CS!AC32)),CONCATENATE(DE$10,DF$10),"")</f>
        <v/>
      </c>
      <c r="DF32" s="50" t="str">
        <f ca="1">IF(AND(ISNUMBER(CS!AC32),ISNUMBER(CS!AD32)),CONCATENATE(DF$10,DG$10),"")</f>
        <v/>
      </c>
      <c r="DG32" s="50" t="str">
        <f ca="1">IF(AND(ISNUMBER(CS!AD32),ISNUMBER(CS!AE32)),CONCATENATE(DG$10,DH$10),"")</f>
        <v/>
      </c>
      <c r="DH32" s="50" t="str">
        <f ca="1">IF(AND(ISNUMBER(CS!AE32),ISNUMBER(CS!AF32)),CONCATENATE(DH$10,DI$10),"")</f>
        <v/>
      </c>
      <c r="DI32" s="50" t="str">
        <f ca="1">IF(AND(ISNUMBER(CS!AF32),ISNUMBER(CS!AG32)),CONCATENATE(DI$10,DJ$10),"")</f>
        <v/>
      </c>
      <c r="DJ32" s="50" t="str">
        <f ca="1">IF(AND(ISNUMBER(CS!AG32),ISNUMBER(CS!AH32)),CONCATENATE(DJ$10,DK$10),"")</f>
        <v/>
      </c>
      <c r="DK32" s="50" t="str">
        <f ca="1">IF(AND(ISNUMBER(CS!AH32),ISNUMBER(CS!AI32)),CONCATENATE(DK$10,DL$10),"")</f>
        <v/>
      </c>
      <c r="DL32" s="50" t="str">
        <f ca="1">IF(AND(ISNUMBER(CS!AI32),ISNUMBER(CS!AJ32)),CONCATENATE(DL$10,DM$10),"")</f>
        <v/>
      </c>
      <c r="DM32" s="50" t="str">
        <f ca="1">IF(AND(ISNUMBER(CS!AJ32),ISNUMBER(CS!AK32)),CONCATENATE(DM$10,DN$10),"")</f>
        <v/>
      </c>
      <c r="DN32" s="50" t="str">
        <f ca="1">IF(AND(ISNUMBER(CS!AK32),ISNUMBER(CS!AL32)),CONCATENATE(DN$10,DO$10),"")</f>
        <v/>
      </c>
      <c r="DO32" s="50" t="str">
        <f ca="1">IF(AND(ISNUMBER(CS!AL32),ISNUMBER(CS!AM32)),CONCATENATE(DO$10,DP$10),"")</f>
        <v/>
      </c>
      <c r="DP32" s="50" t="str">
        <f ca="1">IF(AND(ISNUMBER(CS!AM32),ISNUMBER(CS!AN32)),CONCATENATE(DP$10,DQ$10),"")</f>
        <v/>
      </c>
      <c r="DQ32" s="50" t="str">
        <f ca="1">IF(AND(ISNUMBER(CS!AN32),ISNUMBER(CS!AO32)),CONCATENATE(DQ$10,DR$10),"")</f>
        <v/>
      </c>
      <c r="DR32" s="50" t="str">
        <f ca="1">IF(AND(ISNUMBER(CS!AO32),ISNUMBER(CS!AP32)),CONCATENATE(DR$10,DS$10),"")</f>
        <v/>
      </c>
      <c r="DS32" s="50" t="str">
        <f ca="1">IF(AND(ISNUMBER(CS!AP32),ISNUMBER(CS!AQ32)),CONCATENATE(DS$10,DT$10),"")</f>
        <v/>
      </c>
      <c r="DT32" s="63">
        <f>DrawFinder!Y32</f>
        <v>3</v>
      </c>
    </row>
    <row r="33" spans="2:124">
      <c r="B33" s="393" t="str">
        <f ca="1">TmOrderLU!D33</f>
        <v>Tm23</v>
      </c>
      <c r="C33" s="63" t="e">
        <f ca="1">IF(ISNUMBER(CS!C33),C$10,"")</f>
        <v>#N/A</v>
      </c>
      <c r="D33" s="63" t="str">
        <f ca="1">IF(ISNUMBER(CS!D33),D$10,"")</f>
        <v/>
      </c>
      <c r="E33" s="63" t="str">
        <f ca="1">IF(ISNUMBER(CS!E33),E$10,"")</f>
        <v/>
      </c>
      <c r="F33" s="63" t="e">
        <f ca="1">IF(ISNUMBER(CS!F33),F$10,"")</f>
        <v>#N/A</v>
      </c>
      <c r="G33" s="63" t="str">
        <f ca="1">IF(ISNUMBER(CS!G33),G$10,"")</f>
        <v/>
      </c>
      <c r="H33" s="63" t="e">
        <f ca="1">IF(ISNUMBER(CS!H33),H$10,"")</f>
        <v>#N/A</v>
      </c>
      <c r="I33" s="63" t="e">
        <f ca="1">IF(ISNUMBER(CS!I33),I$10,"")</f>
        <v>#N/A</v>
      </c>
      <c r="J33" s="63" t="str">
        <f ca="1">IF(ISNUMBER(CS!J33),J$10,"")</f>
        <v/>
      </c>
      <c r="K33" s="63" t="str">
        <f ca="1">IF(ISNUMBER(CS!K33),K$10,"")</f>
        <v/>
      </c>
      <c r="L33" s="63" t="e">
        <f ca="1">IF(ISNUMBER(CS!L33),L$10,"")</f>
        <v>#N/A</v>
      </c>
      <c r="M33" s="63" t="e">
        <f ca="1">IF(ISNUMBER(CS!M33),M$10,"")</f>
        <v>#N/A</v>
      </c>
      <c r="N33" s="63" t="str">
        <f ca="1">IF(ISNUMBER(CS!N33),N$10,"")</f>
        <v/>
      </c>
      <c r="O33" s="63" t="str">
        <f ca="1">IF(ISNUMBER(CS!O33),O$10,"")</f>
        <v/>
      </c>
      <c r="P33" s="63" t="e">
        <f ca="1">IF(ISNUMBER(CS!P33),P$10,"")</f>
        <v>#N/A</v>
      </c>
      <c r="Q33" s="63" t="str">
        <f ca="1">IF(ISNUMBER(CS!Q33),Q$10,"")</f>
        <v/>
      </c>
      <c r="R33" s="63" t="str">
        <f ca="1">IF(ISNUMBER(CS!R33),R$10,"")</f>
        <v/>
      </c>
      <c r="S33" s="63" t="str">
        <f ca="1">IF(ISNUMBER(CS!S33),S$10,"")</f>
        <v/>
      </c>
      <c r="T33" s="63" t="str">
        <f ca="1">IF(ISNUMBER(CS!T33),T$10,"")</f>
        <v/>
      </c>
      <c r="U33" s="63" t="str">
        <f ca="1">IF(ISNUMBER(CS!U33),U$10,"")</f>
        <v/>
      </c>
      <c r="V33" s="63" t="str">
        <f ca="1">IF(ISNUMBER(CS!V33),V$10,"")</f>
        <v/>
      </c>
      <c r="W33" s="63" t="str">
        <f ca="1">IF(ISNUMBER(CS!W33),W$10,"")</f>
        <v/>
      </c>
      <c r="X33" s="63" t="str">
        <f ca="1">IF(ISNUMBER(CS!X33),X$10,"")</f>
        <v/>
      </c>
      <c r="Y33" s="63" t="str">
        <f ca="1">IF(ISNUMBER(CS!Y33),Y$10,"")</f>
        <v/>
      </c>
      <c r="Z33" s="63" t="str">
        <f ca="1">IF(ISNUMBER(CS!Z33),Z$10,"")</f>
        <v/>
      </c>
      <c r="AA33" s="63" t="str">
        <f ca="1">IF(ISNUMBER(CS!AA33),AA$10,"")</f>
        <v/>
      </c>
      <c r="AB33" s="63" t="str">
        <f ca="1">IF(ISNUMBER(CS!AB33),AB$10,"")</f>
        <v/>
      </c>
      <c r="AC33" s="63" t="str">
        <f ca="1">IF(ISNUMBER(CS!AC33),AC$10,"")</f>
        <v/>
      </c>
      <c r="AD33" s="63" t="str">
        <f ca="1">IF(ISNUMBER(CS!AD33),AD$10,"")</f>
        <v/>
      </c>
      <c r="AE33" s="63" t="str">
        <f ca="1">IF(ISNUMBER(CS!AE33),AE$10,"")</f>
        <v/>
      </c>
      <c r="AF33" s="63" t="str">
        <f ca="1">IF(ISNUMBER(CS!AF33),AF$10,"")</f>
        <v/>
      </c>
      <c r="AG33" s="63" t="str">
        <f ca="1">IF(ISNUMBER(CS!AG33),AG$10,"")</f>
        <v/>
      </c>
      <c r="AH33" s="63" t="str">
        <f ca="1">IF(ISNUMBER(CS!AH33),AH$10,"")</f>
        <v/>
      </c>
      <c r="AI33" s="63" t="str">
        <f ca="1">IF(ISNUMBER(CS!AI33),AI$10,"")</f>
        <v/>
      </c>
      <c r="AJ33" s="63" t="str">
        <f ca="1">IF(ISNUMBER(CS!AJ33),AJ$10,"")</f>
        <v/>
      </c>
      <c r="AK33" s="63" t="str">
        <f ca="1">IF(ISNUMBER(CS!AK33),AK$10,"")</f>
        <v/>
      </c>
      <c r="AL33" s="63" t="str">
        <f ca="1">IF(ISNUMBER(CS!AL33),AL$10,"")</f>
        <v/>
      </c>
      <c r="AM33" s="63" t="str">
        <f ca="1">IF(ISNUMBER(CS!AM33),AM$10,"")</f>
        <v/>
      </c>
      <c r="AN33" s="63" t="str">
        <f ca="1">IF(ISNUMBER(CS!AN33),AN$10,"")</f>
        <v/>
      </c>
      <c r="AO33" s="63" t="str">
        <f ca="1">IF(ISNUMBER(CS!AO33),AO$10,"")</f>
        <v/>
      </c>
      <c r="AP33" s="414" t="str">
        <f ca="1">IF(ISNUMBER(CS!AP33),AP$10,"")</f>
        <v/>
      </c>
      <c r="AS33" s="4" t="str">
        <f t="shared" ca="1" si="11"/>
        <v>Tm23</v>
      </c>
      <c r="AU33" s="417" t="str">
        <f t="shared" ca="1" si="8"/>
        <v/>
      </c>
      <c r="AV33" s="210" t="str">
        <f t="shared" ca="1" si="8"/>
        <v/>
      </c>
      <c r="AW33" s="210" t="str">
        <f t="shared" ca="1" si="8"/>
        <v/>
      </c>
      <c r="AX33" s="210" t="str">
        <f t="shared" ca="1" si="8"/>
        <v/>
      </c>
      <c r="AY33" s="414" t="str">
        <f t="shared" ca="1" si="8"/>
        <v/>
      </c>
      <c r="BA33" s="417" t="e">
        <f t="shared" ca="1" si="12"/>
        <v>#N/A</v>
      </c>
      <c r="BB33" s="210" t="e">
        <f t="shared" ca="1" si="12"/>
        <v>#N/A</v>
      </c>
      <c r="BC33" s="210" t="e">
        <f t="shared" ca="1" si="12"/>
        <v>#N/A</v>
      </c>
      <c r="BD33" s="210" t="e">
        <f t="shared" ca="1" si="12"/>
        <v>#N/A</v>
      </c>
      <c r="BE33" s="210" t="e">
        <f t="shared" ca="1" si="12"/>
        <v>#N/A</v>
      </c>
      <c r="BF33" s="210" t="e">
        <f t="shared" ca="1" si="12"/>
        <v>#N/A</v>
      </c>
      <c r="BG33" s="210" t="e">
        <f t="shared" ca="1" si="12"/>
        <v>#N/A</v>
      </c>
      <c r="BH33" s="210" t="e">
        <f t="shared" ca="1" si="12"/>
        <v>#N/A</v>
      </c>
      <c r="BI33" s="210" t="e">
        <f t="shared" ca="1" si="12"/>
        <v>#N/A</v>
      </c>
      <c r="BJ33" s="210" t="e">
        <f t="shared" ca="1" si="12"/>
        <v>#N/A</v>
      </c>
      <c r="BK33" s="210" t="e">
        <f t="shared" ca="1" si="12"/>
        <v>#N/A</v>
      </c>
      <c r="BL33" s="210" t="e">
        <f t="shared" ca="1" si="12"/>
        <v>#N/A</v>
      </c>
      <c r="BM33" s="210" t="e">
        <f t="shared" ca="1" si="12"/>
        <v>#N/A</v>
      </c>
      <c r="BN33" s="210" t="e">
        <f t="shared" ca="1" si="12"/>
        <v>#N/A</v>
      </c>
      <c r="BO33" s="210" t="str">
        <f t="shared" ca="1" si="12"/>
        <v/>
      </c>
      <c r="BP33" s="210" t="str">
        <f t="shared" ca="1" si="12"/>
        <v/>
      </c>
      <c r="BQ33" s="414" t="str">
        <f t="shared" ca="1" si="14"/>
        <v/>
      </c>
      <c r="BS33" s="417" t="str">
        <f t="shared" ca="1" si="13"/>
        <v/>
      </c>
      <c r="BT33" s="210" t="str">
        <f t="shared" ca="1" si="13"/>
        <v/>
      </c>
      <c r="BU33" s="210" t="str">
        <f t="shared" ca="1" si="13"/>
        <v/>
      </c>
      <c r="BV33" s="210" t="str">
        <f t="shared" ca="1" si="13"/>
        <v/>
      </c>
      <c r="BW33" s="210" t="str">
        <f t="shared" ca="1" si="13"/>
        <v/>
      </c>
      <c r="BX33" s="210" t="str">
        <f t="shared" ca="1" si="13"/>
        <v/>
      </c>
      <c r="BY33" s="210" t="str">
        <f t="shared" ca="1" si="13"/>
        <v/>
      </c>
      <c r="BZ33" s="210">
        <f t="shared" ca="1" si="13"/>
        <v>0</v>
      </c>
      <c r="CA33" s="210" t="str">
        <f t="shared" ca="1" si="13"/>
        <v/>
      </c>
      <c r="CB33" s="396" t="str">
        <f t="shared" ca="1" si="13"/>
        <v/>
      </c>
      <c r="CC33" s="68"/>
      <c r="CD33" s="419" t="e">
        <f t="shared" ca="1" si="15"/>
        <v>#N/A</v>
      </c>
      <c r="CF33" s="50" t="str">
        <f ca="1">IF(AND(ISNUMBER(CS!C33),ISNUMBER(CS!D33)),CONCATENATE(CF$10,CG$10),"")</f>
        <v/>
      </c>
      <c r="CG33" s="50" t="str">
        <f ca="1">IF(AND(ISNUMBER(CS!D33),ISNUMBER(CS!E33)),CONCATENATE(CG$10,CH$10),"")</f>
        <v/>
      </c>
      <c r="CH33" s="50" t="str">
        <f ca="1">IF(AND(ISNUMBER(CS!E33),ISNUMBER(CS!F33)),CONCATENATE(CH$10,CI$10),"")</f>
        <v/>
      </c>
      <c r="CI33" s="50" t="str">
        <f ca="1">IF(AND(ISNUMBER(CS!F33),ISNUMBER(CS!G33)),CONCATENATE(CI$10,CJ$10),"")</f>
        <v/>
      </c>
      <c r="CJ33" s="50" t="str">
        <f ca="1">IF(AND(ISNUMBER(CS!G33),ISNUMBER(CS!H33)),CONCATENATE(CJ$10,CK$10),"")</f>
        <v/>
      </c>
      <c r="CK33" s="50" t="e">
        <f ca="1">IF(AND(ISNUMBER(CS!H33),ISNUMBER(CS!I33)),CONCATENATE(CK$10,CL$10),"")</f>
        <v>#N/A</v>
      </c>
      <c r="CL33" s="50" t="str">
        <f ca="1">IF(AND(ISNUMBER(CS!I33),ISNUMBER(CS!J33)),CONCATENATE(CL$10,CM$10),"")</f>
        <v/>
      </c>
      <c r="CM33" s="50" t="str">
        <f ca="1">IF(AND(ISNUMBER(CS!J33),ISNUMBER(CS!K33)),CONCATENATE(CM$10,CN$10),"")</f>
        <v/>
      </c>
      <c r="CN33" s="50" t="str">
        <f ca="1">IF(AND(ISNUMBER(CS!K33),ISNUMBER(CS!L33)),CONCATENATE(CN$10,CO$10),"")</f>
        <v/>
      </c>
      <c r="CO33" s="50" t="e">
        <f ca="1">IF(AND(ISNUMBER(CS!L33),ISNUMBER(CS!M33)),CONCATENATE(CO$10,CP$10),"")</f>
        <v>#N/A</v>
      </c>
      <c r="CP33" s="50" t="str">
        <f ca="1">IF(AND(ISNUMBER(CS!M33),ISNUMBER(CS!N33)),CONCATENATE(CP$10,CQ$10),"")</f>
        <v/>
      </c>
      <c r="CQ33" s="50" t="str">
        <f ca="1">IF(AND(ISNUMBER(CS!N33),ISNUMBER(CS!O33)),CONCATENATE(CQ$10,CR$10),"")</f>
        <v/>
      </c>
      <c r="CR33" s="50" t="str">
        <f ca="1">IF(AND(ISNUMBER(CS!O33),ISNUMBER(CS!P33)),CONCATENATE(CR$10,CS$10),"")</f>
        <v/>
      </c>
      <c r="CS33" s="50" t="str">
        <f ca="1">IF(AND(ISNUMBER(CS!P33),ISNUMBER(CS!Q33)),CONCATENATE(CS$10,CT$10),"")</f>
        <v/>
      </c>
      <c r="CT33" s="50" t="str">
        <f ca="1">IF(AND(ISNUMBER(CS!Q33),ISNUMBER(CS!R33)),CONCATENATE(CT$10,CU$10),"")</f>
        <v/>
      </c>
      <c r="CU33" s="50" t="str">
        <f ca="1">IF(AND(ISNUMBER(CS!R33),ISNUMBER(CS!S33)),CONCATENATE(CU$10,CV$10),"")</f>
        <v/>
      </c>
      <c r="CV33" s="50" t="str">
        <f ca="1">IF(AND(ISNUMBER(CS!S33),ISNUMBER(CS!T33)),CONCATENATE(CV$10,CW$10),"")</f>
        <v/>
      </c>
      <c r="CW33" s="50" t="str">
        <f ca="1">IF(AND(ISNUMBER(CS!T33),ISNUMBER(CS!U33)),CONCATENATE(CW$10,CX$10),"")</f>
        <v/>
      </c>
      <c r="CX33" s="50" t="str">
        <f ca="1">IF(AND(ISNUMBER(CS!U33),ISNUMBER(CS!V33)),CONCATENATE(CX$10,CY$10),"")</f>
        <v/>
      </c>
      <c r="CY33" s="50" t="str">
        <f ca="1">IF(AND(ISNUMBER(CS!V33),ISNUMBER(CS!W33)),CONCATENATE(CY$10,CZ$10),"")</f>
        <v/>
      </c>
      <c r="CZ33" s="50" t="str">
        <f ca="1">IF(AND(ISNUMBER(CS!W33),ISNUMBER(CS!X33)),CONCATENATE(CZ$10,DA$10),"")</f>
        <v/>
      </c>
      <c r="DA33" s="50" t="str">
        <f ca="1">IF(AND(ISNUMBER(CS!X33),ISNUMBER(CS!Y33)),CONCATENATE(DA$10,DB$10),"")</f>
        <v/>
      </c>
      <c r="DB33" s="50" t="str">
        <f ca="1">IF(AND(ISNUMBER(CS!Y33),ISNUMBER(CS!Z33)),CONCATENATE(DB$10,DC$10),"")</f>
        <v/>
      </c>
      <c r="DC33" s="50" t="str">
        <f ca="1">IF(AND(ISNUMBER(CS!Z33),ISNUMBER(CS!AA33)),CONCATENATE(DC$10,DD$10),"")</f>
        <v/>
      </c>
      <c r="DD33" s="50" t="str">
        <f ca="1">IF(AND(ISNUMBER(CS!AA33),ISNUMBER(CS!AB33)),CONCATENATE(DD$10,DE$10),"")</f>
        <v/>
      </c>
      <c r="DE33" s="50" t="str">
        <f ca="1">IF(AND(ISNUMBER(CS!AB33),ISNUMBER(CS!AC33)),CONCATENATE(DE$10,DF$10),"")</f>
        <v/>
      </c>
      <c r="DF33" s="50" t="str">
        <f ca="1">IF(AND(ISNUMBER(CS!AC33),ISNUMBER(CS!AD33)),CONCATENATE(DF$10,DG$10),"")</f>
        <v/>
      </c>
      <c r="DG33" s="50" t="str">
        <f ca="1">IF(AND(ISNUMBER(CS!AD33),ISNUMBER(CS!AE33)),CONCATENATE(DG$10,DH$10),"")</f>
        <v/>
      </c>
      <c r="DH33" s="50" t="str">
        <f ca="1">IF(AND(ISNUMBER(CS!AE33),ISNUMBER(CS!AF33)),CONCATENATE(DH$10,DI$10),"")</f>
        <v/>
      </c>
      <c r="DI33" s="50" t="str">
        <f ca="1">IF(AND(ISNUMBER(CS!AF33),ISNUMBER(CS!AG33)),CONCATENATE(DI$10,DJ$10),"")</f>
        <v/>
      </c>
      <c r="DJ33" s="50" t="str">
        <f ca="1">IF(AND(ISNUMBER(CS!AG33),ISNUMBER(CS!AH33)),CONCATENATE(DJ$10,DK$10),"")</f>
        <v/>
      </c>
      <c r="DK33" s="50" t="str">
        <f ca="1">IF(AND(ISNUMBER(CS!AH33),ISNUMBER(CS!AI33)),CONCATENATE(DK$10,DL$10),"")</f>
        <v/>
      </c>
      <c r="DL33" s="50" t="str">
        <f ca="1">IF(AND(ISNUMBER(CS!AI33),ISNUMBER(CS!AJ33)),CONCATENATE(DL$10,DM$10),"")</f>
        <v/>
      </c>
      <c r="DM33" s="50" t="str">
        <f ca="1">IF(AND(ISNUMBER(CS!AJ33),ISNUMBER(CS!AK33)),CONCATENATE(DM$10,DN$10),"")</f>
        <v/>
      </c>
      <c r="DN33" s="50" t="str">
        <f ca="1">IF(AND(ISNUMBER(CS!AK33),ISNUMBER(CS!AL33)),CONCATENATE(DN$10,DO$10),"")</f>
        <v/>
      </c>
      <c r="DO33" s="50" t="str">
        <f ca="1">IF(AND(ISNUMBER(CS!AL33),ISNUMBER(CS!AM33)),CONCATENATE(DO$10,DP$10),"")</f>
        <v/>
      </c>
      <c r="DP33" s="50" t="str">
        <f ca="1">IF(AND(ISNUMBER(CS!AM33),ISNUMBER(CS!AN33)),CONCATENATE(DP$10,DQ$10),"")</f>
        <v/>
      </c>
      <c r="DQ33" s="50" t="str">
        <f ca="1">IF(AND(ISNUMBER(CS!AN33),ISNUMBER(CS!AO33)),CONCATENATE(DQ$10,DR$10),"")</f>
        <v/>
      </c>
      <c r="DR33" s="50" t="str">
        <f ca="1">IF(AND(ISNUMBER(CS!AO33),ISNUMBER(CS!AP33)),CONCATENATE(DR$10,DS$10),"")</f>
        <v/>
      </c>
      <c r="DS33" s="50" t="str">
        <f ca="1">IF(AND(ISNUMBER(CS!AP33),ISNUMBER(CS!AQ33)),CONCATENATE(DS$10,DT$10),"")</f>
        <v/>
      </c>
      <c r="DT33" s="63">
        <f>DrawFinder!Y33</f>
        <v>3</v>
      </c>
    </row>
    <row r="34" spans="2:124">
      <c r="B34" s="393" t="str">
        <f ca="1">TmOrderLU!D34</f>
        <v>Tm24</v>
      </c>
      <c r="C34" s="63" t="str">
        <f ca="1">IF(ISNUMBER(CS!C34),C$10,"")</f>
        <v/>
      </c>
      <c r="D34" s="63" t="e">
        <f ca="1">IF(ISNUMBER(CS!D34),D$10,"")</f>
        <v>#N/A</v>
      </c>
      <c r="E34" s="63" t="e">
        <f ca="1">IF(ISNUMBER(CS!E34),E$10,"")</f>
        <v>#N/A</v>
      </c>
      <c r="F34" s="63" t="str">
        <f ca="1">IF(ISNUMBER(CS!F34),F$10,"")</f>
        <v/>
      </c>
      <c r="G34" s="63" t="e">
        <f ca="1">IF(ISNUMBER(CS!G34),G$10,"")</f>
        <v>#N/A</v>
      </c>
      <c r="H34" s="63" t="str">
        <f ca="1">IF(ISNUMBER(CS!H34),H$10,"")</f>
        <v/>
      </c>
      <c r="I34" s="63" t="str">
        <f ca="1">IF(ISNUMBER(CS!I34),I$10,"")</f>
        <v/>
      </c>
      <c r="J34" s="63" t="e">
        <f ca="1">IF(ISNUMBER(CS!J34),J$10,"")</f>
        <v>#N/A</v>
      </c>
      <c r="K34" s="63" t="str">
        <f ca="1">IF(ISNUMBER(CS!K34),K$10,"")</f>
        <v/>
      </c>
      <c r="L34" s="63" t="e">
        <f ca="1">IF(ISNUMBER(CS!L34),L$10,"")</f>
        <v>#N/A</v>
      </c>
      <c r="M34" s="63" t="e">
        <f ca="1">IF(ISNUMBER(CS!M34),M$10,"")</f>
        <v>#N/A</v>
      </c>
      <c r="N34" s="63" t="str">
        <f ca="1">IF(ISNUMBER(CS!N34),N$10,"")</f>
        <v/>
      </c>
      <c r="O34" s="63" t="str">
        <f ca="1">IF(ISNUMBER(CS!O34),O$10,"")</f>
        <v/>
      </c>
      <c r="P34" s="63" t="e">
        <f ca="1">IF(ISNUMBER(CS!P34),P$10,"")</f>
        <v>#N/A</v>
      </c>
      <c r="Q34" s="63" t="str">
        <f ca="1">IF(ISNUMBER(CS!Q34),Q$10,"")</f>
        <v/>
      </c>
      <c r="R34" s="63" t="str">
        <f ca="1">IF(ISNUMBER(CS!R34),R$10,"")</f>
        <v/>
      </c>
      <c r="S34" s="63" t="str">
        <f ca="1">IF(ISNUMBER(CS!S34),S$10,"")</f>
        <v/>
      </c>
      <c r="T34" s="63" t="str">
        <f ca="1">IF(ISNUMBER(CS!T34),T$10,"")</f>
        <v/>
      </c>
      <c r="U34" s="63" t="str">
        <f ca="1">IF(ISNUMBER(CS!U34),U$10,"")</f>
        <v/>
      </c>
      <c r="V34" s="63" t="str">
        <f ca="1">IF(ISNUMBER(CS!V34),V$10,"")</f>
        <v/>
      </c>
      <c r="W34" s="63" t="str">
        <f ca="1">IF(ISNUMBER(CS!W34),W$10,"")</f>
        <v/>
      </c>
      <c r="X34" s="63" t="str">
        <f ca="1">IF(ISNUMBER(CS!X34),X$10,"")</f>
        <v/>
      </c>
      <c r="Y34" s="63" t="str">
        <f ca="1">IF(ISNUMBER(CS!Y34),Y$10,"")</f>
        <v/>
      </c>
      <c r="Z34" s="63" t="str">
        <f ca="1">IF(ISNUMBER(CS!Z34),Z$10,"")</f>
        <v/>
      </c>
      <c r="AA34" s="63" t="str">
        <f ca="1">IF(ISNUMBER(CS!AA34),AA$10,"")</f>
        <v/>
      </c>
      <c r="AB34" s="63" t="str">
        <f ca="1">IF(ISNUMBER(CS!AB34),AB$10,"")</f>
        <v/>
      </c>
      <c r="AC34" s="63" t="str">
        <f ca="1">IF(ISNUMBER(CS!AC34),AC$10,"")</f>
        <v/>
      </c>
      <c r="AD34" s="63" t="str">
        <f ca="1">IF(ISNUMBER(CS!AD34),AD$10,"")</f>
        <v/>
      </c>
      <c r="AE34" s="63" t="str">
        <f ca="1">IF(ISNUMBER(CS!AE34),AE$10,"")</f>
        <v/>
      </c>
      <c r="AF34" s="63" t="str">
        <f ca="1">IF(ISNUMBER(CS!AF34),AF$10,"")</f>
        <v/>
      </c>
      <c r="AG34" s="63" t="str">
        <f ca="1">IF(ISNUMBER(CS!AG34),AG$10,"")</f>
        <v/>
      </c>
      <c r="AH34" s="63" t="str">
        <f ca="1">IF(ISNUMBER(CS!AH34),AH$10,"")</f>
        <v/>
      </c>
      <c r="AI34" s="63" t="str">
        <f ca="1">IF(ISNUMBER(CS!AI34),AI$10,"")</f>
        <v/>
      </c>
      <c r="AJ34" s="63" t="str">
        <f ca="1">IF(ISNUMBER(CS!AJ34),AJ$10,"")</f>
        <v/>
      </c>
      <c r="AK34" s="63" t="str">
        <f ca="1">IF(ISNUMBER(CS!AK34),AK$10,"")</f>
        <v/>
      </c>
      <c r="AL34" s="63" t="str">
        <f ca="1">IF(ISNUMBER(CS!AL34),AL$10,"")</f>
        <v/>
      </c>
      <c r="AM34" s="63" t="str">
        <f ca="1">IF(ISNUMBER(CS!AM34),AM$10,"")</f>
        <v/>
      </c>
      <c r="AN34" s="63" t="str">
        <f ca="1">IF(ISNUMBER(CS!AN34),AN$10,"")</f>
        <v/>
      </c>
      <c r="AO34" s="63" t="str">
        <f ca="1">IF(ISNUMBER(CS!AO34),AO$10,"")</f>
        <v/>
      </c>
      <c r="AP34" s="414" t="str">
        <f ca="1">IF(ISNUMBER(CS!AP34),AP$10,"")</f>
        <v/>
      </c>
      <c r="AS34" s="4" t="str">
        <f t="shared" ca="1" si="11"/>
        <v>Tm24</v>
      </c>
      <c r="AU34" s="417" t="str">
        <f t="shared" ca="1" si="8"/>
        <v/>
      </c>
      <c r="AV34" s="210" t="str">
        <f t="shared" ca="1" si="8"/>
        <v/>
      </c>
      <c r="AW34" s="210" t="str">
        <f t="shared" ca="1" si="8"/>
        <v/>
      </c>
      <c r="AX34" s="210" t="str">
        <f t="shared" ca="1" si="8"/>
        <v/>
      </c>
      <c r="AY34" s="414" t="str">
        <f t="shared" ca="1" si="8"/>
        <v/>
      </c>
      <c r="BA34" s="417" t="e">
        <f t="shared" ca="1" si="12"/>
        <v>#N/A</v>
      </c>
      <c r="BB34" s="210" t="e">
        <f t="shared" ca="1" si="12"/>
        <v>#N/A</v>
      </c>
      <c r="BC34" s="210" t="e">
        <f t="shared" ca="1" si="12"/>
        <v>#N/A</v>
      </c>
      <c r="BD34" s="210" t="e">
        <f t="shared" ca="1" si="12"/>
        <v>#N/A</v>
      </c>
      <c r="BE34" s="210" t="e">
        <f t="shared" ca="1" si="12"/>
        <v>#N/A</v>
      </c>
      <c r="BF34" s="210" t="e">
        <f t="shared" ca="1" si="12"/>
        <v>#N/A</v>
      </c>
      <c r="BG34" s="210" t="e">
        <f t="shared" ca="1" si="12"/>
        <v>#N/A</v>
      </c>
      <c r="BH34" s="210" t="e">
        <f t="shared" ca="1" si="12"/>
        <v>#N/A</v>
      </c>
      <c r="BI34" s="210" t="e">
        <f t="shared" ca="1" si="12"/>
        <v>#N/A</v>
      </c>
      <c r="BJ34" s="210" t="e">
        <f t="shared" ca="1" si="12"/>
        <v>#N/A</v>
      </c>
      <c r="BK34" s="210" t="e">
        <f t="shared" ca="1" si="12"/>
        <v>#N/A</v>
      </c>
      <c r="BL34" s="210" t="e">
        <f t="shared" ca="1" si="12"/>
        <v>#N/A</v>
      </c>
      <c r="BM34" s="210" t="e">
        <f t="shared" ca="1" si="12"/>
        <v>#N/A</v>
      </c>
      <c r="BN34" s="210" t="e">
        <f t="shared" ca="1" si="12"/>
        <v>#N/A</v>
      </c>
      <c r="BO34" s="210" t="str">
        <f t="shared" ca="1" si="12"/>
        <v/>
      </c>
      <c r="BP34" s="210" t="str">
        <f t="shared" ca="1" si="12"/>
        <v/>
      </c>
      <c r="BQ34" s="414" t="str">
        <f t="shared" ca="1" si="14"/>
        <v/>
      </c>
      <c r="BS34" s="417" t="str">
        <f t="shared" ca="1" si="13"/>
        <v/>
      </c>
      <c r="BT34" s="210" t="str">
        <f t="shared" ca="1" si="13"/>
        <v/>
      </c>
      <c r="BU34" s="210" t="str">
        <f t="shared" ca="1" si="13"/>
        <v/>
      </c>
      <c r="BV34" s="210" t="str">
        <f t="shared" ca="1" si="13"/>
        <v/>
      </c>
      <c r="BW34" s="210" t="str">
        <f t="shared" ca="1" si="13"/>
        <v/>
      </c>
      <c r="BX34" s="210" t="str">
        <f t="shared" ca="1" si="13"/>
        <v/>
      </c>
      <c r="BY34" s="210" t="str">
        <f t="shared" ca="1" si="13"/>
        <v/>
      </c>
      <c r="BZ34" s="210">
        <f t="shared" ca="1" si="13"/>
        <v>0</v>
      </c>
      <c r="CA34" s="210" t="str">
        <f t="shared" ca="1" si="13"/>
        <v/>
      </c>
      <c r="CB34" s="396" t="str">
        <f t="shared" ca="1" si="13"/>
        <v/>
      </c>
      <c r="CC34" s="68"/>
      <c r="CD34" s="419" t="e">
        <f t="shared" ca="1" si="15"/>
        <v>#N/A</v>
      </c>
      <c r="CF34" s="50" t="str">
        <f ca="1">IF(AND(ISNUMBER(CS!C34),ISNUMBER(CS!D34)),CONCATENATE(CF$10,CG$10),"")</f>
        <v/>
      </c>
      <c r="CG34" s="50" t="e">
        <f ca="1">IF(AND(ISNUMBER(CS!D34),ISNUMBER(CS!E34)),CONCATENATE(CG$10,CH$10),"")</f>
        <v>#N/A</v>
      </c>
      <c r="CH34" s="50" t="str">
        <f ca="1">IF(AND(ISNUMBER(CS!E34),ISNUMBER(CS!F34)),CONCATENATE(CH$10,CI$10),"")</f>
        <v/>
      </c>
      <c r="CI34" s="50" t="str">
        <f ca="1">IF(AND(ISNUMBER(CS!F34),ISNUMBER(CS!G34)),CONCATENATE(CI$10,CJ$10),"")</f>
        <v/>
      </c>
      <c r="CJ34" s="50" t="str">
        <f ca="1">IF(AND(ISNUMBER(CS!G34),ISNUMBER(CS!H34)),CONCATENATE(CJ$10,CK$10),"")</f>
        <v/>
      </c>
      <c r="CK34" s="50" t="str">
        <f ca="1">IF(AND(ISNUMBER(CS!H34),ISNUMBER(CS!I34)),CONCATENATE(CK$10,CL$10),"")</f>
        <v/>
      </c>
      <c r="CL34" s="50" t="str">
        <f ca="1">IF(AND(ISNUMBER(CS!I34),ISNUMBER(CS!J34)),CONCATENATE(CL$10,CM$10),"")</f>
        <v/>
      </c>
      <c r="CM34" s="50" t="str">
        <f ca="1">IF(AND(ISNUMBER(CS!J34),ISNUMBER(CS!K34)),CONCATENATE(CM$10,CN$10),"")</f>
        <v/>
      </c>
      <c r="CN34" s="50" t="str">
        <f ca="1">IF(AND(ISNUMBER(CS!K34),ISNUMBER(CS!L34)),CONCATENATE(CN$10,CO$10),"")</f>
        <v/>
      </c>
      <c r="CO34" s="50" t="e">
        <f ca="1">IF(AND(ISNUMBER(CS!L34),ISNUMBER(CS!M34)),CONCATENATE(CO$10,CP$10),"")</f>
        <v>#N/A</v>
      </c>
      <c r="CP34" s="50" t="str">
        <f ca="1">IF(AND(ISNUMBER(CS!M34),ISNUMBER(CS!N34)),CONCATENATE(CP$10,CQ$10),"")</f>
        <v/>
      </c>
      <c r="CQ34" s="50" t="str">
        <f ca="1">IF(AND(ISNUMBER(CS!N34),ISNUMBER(CS!O34)),CONCATENATE(CQ$10,CR$10),"")</f>
        <v/>
      </c>
      <c r="CR34" s="50" t="str">
        <f ca="1">IF(AND(ISNUMBER(CS!O34),ISNUMBER(CS!P34)),CONCATENATE(CR$10,CS$10),"")</f>
        <v/>
      </c>
      <c r="CS34" s="50" t="str">
        <f ca="1">IF(AND(ISNUMBER(CS!P34),ISNUMBER(CS!Q34)),CONCATENATE(CS$10,CT$10),"")</f>
        <v/>
      </c>
      <c r="CT34" s="50" t="str">
        <f ca="1">IF(AND(ISNUMBER(CS!Q34),ISNUMBER(CS!R34)),CONCATENATE(CT$10,CU$10),"")</f>
        <v/>
      </c>
      <c r="CU34" s="50" t="str">
        <f ca="1">IF(AND(ISNUMBER(CS!R34),ISNUMBER(CS!S34)),CONCATENATE(CU$10,CV$10),"")</f>
        <v/>
      </c>
      <c r="CV34" s="50" t="str">
        <f ca="1">IF(AND(ISNUMBER(CS!S34),ISNUMBER(CS!T34)),CONCATENATE(CV$10,CW$10),"")</f>
        <v/>
      </c>
      <c r="CW34" s="50" t="str">
        <f ca="1">IF(AND(ISNUMBER(CS!T34),ISNUMBER(CS!U34)),CONCATENATE(CW$10,CX$10),"")</f>
        <v/>
      </c>
      <c r="CX34" s="50" t="str">
        <f ca="1">IF(AND(ISNUMBER(CS!U34),ISNUMBER(CS!V34)),CONCATENATE(CX$10,CY$10),"")</f>
        <v/>
      </c>
      <c r="CY34" s="50" t="str">
        <f ca="1">IF(AND(ISNUMBER(CS!V34),ISNUMBER(CS!W34)),CONCATENATE(CY$10,CZ$10),"")</f>
        <v/>
      </c>
      <c r="CZ34" s="50" t="str">
        <f ca="1">IF(AND(ISNUMBER(CS!W34),ISNUMBER(CS!X34)),CONCATENATE(CZ$10,DA$10),"")</f>
        <v/>
      </c>
      <c r="DA34" s="50" t="str">
        <f ca="1">IF(AND(ISNUMBER(CS!X34),ISNUMBER(CS!Y34)),CONCATENATE(DA$10,DB$10),"")</f>
        <v/>
      </c>
      <c r="DB34" s="50" t="str">
        <f ca="1">IF(AND(ISNUMBER(CS!Y34),ISNUMBER(CS!Z34)),CONCATENATE(DB$10,DC$10),"")</f>
        <v/>
      </c>
      <c r="DC34" s="50" t="str">
        <f ca="1">IF(AND(ISNUMBER(CS!Z34),ISNUMBER(CS!AA34)),CONCATENATE(DC$10,DD$10),"")</f>
        <v/>
      </c>
      <c r="DD34" s="50" t="str">
        <f ca="1">IF(AND(ISNUMBER(CS!AA34),ISNUMBER(CS!AB34)),CONCATENATE(DD$10,DE$10),"")</f>
        <v/>
      </c>
      <c r="DE34" s="50" t="str">
        <f ca="1">IF(AND(ISNUMBER(CS!AB34),ISNUMBER(CS!AC34)),CONCATENATE(DE$10,DF$10),"")</f>
        <v/>
      </c>
      <c r="DF34" s="50" t="str">
        <f ca="1">IF(AND(ISNUMBER(CS!AC34),ISNUMBER(CS!AD34)),CONCATENATE(DF$10,DG$10),"")</f>
        <v/>
      </c>
      <c r="DG34" s="50" t="str">
        <f ca="1">IF(AND(ISNUMBER(CS!AD34),ISNUMBER(CS!AE34)),CONCATENATE(DG$10,DH$10),"")</f>
        <v/>
      </c>
      <c r="DH34" s="50" t="str">
        <f ca="1">IF(AND(ISNUMBER(CS!AE34),ISNUMBER(CS!AF34)),CONCATENATE(DH$10,DI$10),"")</f>
        <v/>
      </c>
      <c r="DI34" s="50" t="str">
        <f ca="1">IF(AND(ISNUMBER(CS!AF34),ISNUMBER(CS!AG34)),CONCATENATE(DI$10,DJ$10),"")</f>
        <v/>
      </c>
      <c r="DJ34" s="50" t="str">
        <f ca="1">IF(AND(ISNUMBER(CS!AG34),ISNUMBER(CS!AH34)),CONCATENATE(DJ$10,DK$10),"")</f>
        <v/>
      </c>
      <c r="DK34" s="50" t="str">
        <f ca="1">IF(AND(ISNUMBER(CS!AH34),ISNUMBER(CS!AI34)),CONCATENATE(DK$10,DL$10),"")</f>
        <v/>
      </c>
      <c r="DL34" s="50" t="str">
        <f ca="1">IF(AND(ISNUMBER(CS!AI34),ISNUMBER(CS!AJ34)),CONCATENATE(DL$10,DM$10),"")</f>
        <v/>
      </c>
      <c r="DM34" s="50" t="str">
        <f ca="1">IF(AND(ISNUMBER(CS!AJ34),ISNUMBER(CS!AK34)),CONCATENATE(DM$10,DN$10),"")</f>
        <v/>
      </c>
      <c r="DN34" s="50" t="str">
        <f ca="1">IF(AND(ISNUMBER(CS!AK34),ISNUMBER(CS!AL34)),CONCATENATE(DN$10,DO$10),"")</f>
        <v/>
      </c>
      <c r="DO34" s="50" t="str">
        <f ca="1">IF(AND(ISNUMBER(CS!AL34),ISNUMBER(CS!AM34)),CONCATENATE(DO$10,DP$10),"")</f>
        <v/>
      </c>
      <c r="DP34" s="50" t="str">
        <f ca="1">IF(AND(ISNUMBER(CS!AM34),ISNUMBER(CS!AN34)),CONCATENATE(DP$10,DQ$10),"")</f>
        <v/>
      </c>
      <c r="DQ34" s="50" t="str">
        <f ca="1">IF(AND(ISNUMBER(CS!AN34),ISNUMBER(CS!AO34)),CONCATENATE(DQ$10,DR$10),"")</f>
        <v/>
      </c>
      <c r="DR34" s="50" t="str">
        <f ca="1">IF(AND(ISNUMBER(CS!AO34),ISNUMBER(CS!AP34)),CONCATENATE(DR$10,DS$10),"")</f>
        <v/>
      </c>
      <c r="DS34" s="50" t="str">
        <f ca="1">IF(AND(ISNUMBER(CS!AP34),ISNUMBER(CS!AQ34)),CONCATENATE(DS$10,DT$10),"")</f>
        <v/>
      </c>
      <c r="DT34" s="63">
        <f>DrawFinder!Y34</f>
        <v>3</v>
      </c>
    </row>
    <row r="35" spans="2:124">
      <c r="B35" s="393" t="str">
        <f ca="1">TmOrderLU!D35</f>
        <v/>
      </c>
      <c r="C35" s="63" t="str">
        <f ca="1">IF(ISNUMBER(CS!C35),C$10,"")</f>
        <v/>
      </c>
      <c r="D35" s="63" t="str">
        <f ca="1">IF(ISNUMBER(CS!D35),D$10,"")</f>
        <v/>
      </c>
      <c r="E35" s="63" t="str">
        <f ca="1">IF(ISNUMBER(CS!E35),E$10,"")</f>
        <v/>
      </c>
      <c r="F35" s="63" t="str">
        <f ca="1">IF(ISNUMBER(CS!F35),F$10,"")</f>
        <v/>
      </c>
      <c r="G35" s="63" t="str">
        <f ca="1">IF(ISNUMBER(CS!G35),G$10,"")</f>
        <v/>
      </c>
      <c r="H35" s="63" t="str">
        <f ca="1">IF(ISNUMBER(CS!H35),H$10,"")</f>
        <v/>
      </c>
      <c r="I35" s="63" t="str">
        <f ca="1">IF(ISNUMBER(CS!I35),I$10,"")</f>
        <v/>
      </c>
      <c r="J35" s="63" t="str">
        <f ca="1">IF(ISNUMBER(CS!J35),J$10,"")</f>
        <v/>
      </c>
      <c r="K35" s="63" t="str">
        <f ca="1">IF(ISNUMBER(CS!K35),K$10,"")</f>
        <v/>
      </c>
      <c r="L35" s="63" t="str">
        <f ca="1">IF(ISNUMBER(CS!L35),L$10,"")</f>
        <v/>
      </c>
      <c r="M35" s="63" t="str">
        <f ca="1">IF(ISNUMBER(CS!M35),M$10,"")</f>
        <v/>
      </c>
      <c r="N35" s="63" t="str">
        <f ca="1">IF(ISNUMBER(CS!N35),N$10,"")</f>
        <v/>
      </c>
      <c r="O35" s="63" t="str">
        <f ca="1">IF(ISNUMBER(CS!O35),O$10,"")</f>
        <v/>
      </c>
      <c r="P35" s="63" t="str">
        <f ca="1">IF(ISNUMBER(CS!P35),P$10,"")</f>
        <v/>
      </c>
      <c r="Q35" s="63" t="str">
        <f ca="1">IF(ISNUMBER(CS!Q35),Q$10,"")</f>
        <v/>
      </c>
      <c r="R35" s="63" t="str">
        <f ca="1">IF(ISNUMBER(CS!R35),R$10,"")</f>
        <v/>
      </c>
      <c r="S35" s="63" t="str">
        <f ca="1">IF(ISNUMBER(CS!S35),S$10,"")</f>
        <v/>
      </c>
      <c r="T35" s="63" t="str">
        <f ca="1">IF(ISNUMBER(CS!T35),T$10,"")</f>
        <v/>
      </c>
      <c r="U35" s="63" t="str">
        <f ca="1">IF(ISNUMBER(CS!U35),U$10,"")</f>
        <v/>
      </c>
      <c r="V35" s="63" t="str">
        <f ca="1">IF(ISNUMBER(CS!V35),V$10,"")</f>
        <v/>
      </c>
      <c r="W35" s="63" t="str">
        <f ca="1">IF(ISNUMBER(CS!W35),W$10,"")</f>
        <v/>
      </c>
      <c r="X35" s="63" t="str">
        <f ca="1">IF(ISNUMBER(CS!X35),X$10,"")</f>
        <v/>
      </c>
      <c r="Y35" s="63" t="str">
        <f ca="1">IF(ISNUMBER(CS!Y35),Y$10,"")</f>
        <v/>
      </c>
      <c r="Z35" s="63" t="str">
        <f ca="1">IF(ISNUMBER(CS!Z35),Z$10,"")</f>
        <v/>
      </c>
      <c r="AA35" s="63" t="str">
        <f ca="1">IF(ISNUMBER(CS!AA35),AA$10,"")</f>
        <v/>
      </c>
      <c r="AB35" s="63" t="str">
        <f ca="1">IF(ISNUMBER(CS!AB35),AB$10,"")</f>
        <v/>
      </c>
      <c r="AC35" s="63" t="str">
        <f ca="1">IF(ISNUMBER(CS!AC35),AC$10,"")</f>
        <v/>
      </c>
      <c r="AD35" s="63" t="str">
        <f ca="1">IF(ISNUMBER(CS!AD35),AD$10,"")</f>
        <v/>
      </c>
      <c r="AE35" s="63" t="str">
        <f ca="1">IF(ISNUMBER(CS!AE35),AE$10,"")</f>
        <v/>
      </c>
      <c r="AF35" s="63" t="str">
        <f ca="1">IF(ISNUMBER(CS!AF35),AF$10,"")</f>
        <v/>
      </c>
      <c r="AG35" s="63" t="str">
        <f ca="1">IF(ISNUMBER(CS!AG35),AG$10,"")</f>
        <v/>
      </c>
      <c r="AH35" s="63" t="str">
        <f ca="1">IF(ISNUMBER(CS!AH35),AH$10,"")</f>
        <v/>
      </c>
      <c r="AI35" s="63" t="str">
        <f ca="1">IF(ISNUMBER(CS!AI35),AI$10,"")</f>
        <v/>
      </c>
      <c r="AJ35" s="63" t="str">
        <f ca="1">IF(ISNUMBER(CS!AJ35),AJ$10,"")</f>
        <v/>
      </c>
      <c r="AK35" s="63" t="str">
        <f ca="1">IF(ISNUMBER(CS!AK35),AK$10,"")</f>
        <v/>
      </c>
      <c r="AL35" s="63" t="str">
        <f ca="1">IF(ISNUMBER(CS!AL35),AL$10,"")</f>
        <v/>
      </c>
      <c r="AM35" s="63" t="str">
        <f ca="1">IF(ISNUMBER(CS!AM35),AM$10,"")</f>
        <v/>
      </c>
      <c r="AN35" s="63" t="str">
        <f ca="1">IF(ISNUMBER(CS!AN35),AN$10,"")</f>
        <v/>
      </c>
      <c r="AO35" s="63" t="str">
        <f ca="1">IF(ISNUMBER(CS!AO35),AO$10,"")</f>
        <v/>
      </c>
      <c r="AP35" s="414" t="str">
        <f ca="1">IF(ISNUMBER(CS!AP35),AP$10,"")</f>
        <v/>
      </c>
      <c r="AS35" s="4" t="str">
        <f t="shared" ca="1" si="11"/>
        <v/>
      </c>
      <c r="AU35" s="417" t="str">
        <f t="shared" ca="1" si="8"/>
        <v/>
      </c>
      <c r="AV35" s="210" t="str">
        <f t="shared" ca="1" si="8"/>
        <v/>
      </c>
      <c r="AW35" s="210" t="str">
        <f t="shared" ca="1" si="8"/>
        <v/>
      </c>
      <c r="AX35" s="210" t="str">
        <f t="shared" ca="1" si="8"/>
        <v/>
      </c>
      <c r="AY35" s="414" t="str">
        <f t="shared" ca="1" si="8"/>
        <v/>
      </c>
      <c r="BA35" s="417" t="str">
        <f t="shared" ca="1" si="12"/>
        <v/>
      </c>
      <c r="BB35" s="210" t="str">
        <f t="shared" ca="1" si="12"/>
        <v/>
      </c>
      <c r="BC35" s="210" t="str">
        <f t="shared" ca="1" si="12"/>
        <v/>
      </c>
      <c r="BD35" s="210" t="str">
        <f t="shared" ca="1" si="12"/>
        <v/>
      </c>
      <c r="BE35" s="210" t="str">
        <f t="shared" ca="1" si="12"/>
        <v/>
      </c>
      <c r="BF35" s="210" t="str">
        <f t="shared" ca="1" si="12"/>
        <v/>
      </c>
      <c r="BG35" s="210" t="str">
        <f t="shared" ca="1" si="12"/>
        <v/>
      </c>
      <c r="BH35" s="210" t="str">
        <f t="shared" ca="1" si="12"/>
        <v/>
      </c>
      <c r="BI35" s="210" t="str">
        <f t="shared" ca="1" si="12"/>
        <v/>
      </c>
      <c r="BJ35" s="210" t="str">
        <f t="shared" ca="1" si="12"/>
        <v/>
      </c>
      <c r="BK35" s="210" t="str">
        <f t="shared" ca="1" si="12"/>
        <v/>
      </c>
      <c r="BL35" s="210" t="str">
        <f t="shared" ca="1" si="12"/>
        <v/>
      </c>
      <c r="BM35" s="210" t="str">
        <f t="shared" ca="1" si="12"/>
        <v/>
      </c>
      <c r="BN35" s="210" t="str">
        <f t="shared" ca="1" si="12"/>
        <v/>
      </c>
      <c r="BO35" s="210" t="str">
        <f t="shared" ca="1" si="12"/>
        <v/>
      </c>
      <c r="BP35" s="210" t="str">
        <f t="shared" ca="1" si="12"/>
        <v/>
      </c>
      <c r="BQ35" s="414" t="str">
        <f t="shared" ca="1" si="14"/>
        <v/>
      </c>
      <c r="BS35" s="417" t="str">
        <f t="shared" ca="1" si="13"/>
        <v/>
      </c>
      <c r="BT35" s="210" t="str">
        <f t="shared" ca="1" si="13"/>
        <v/>
      </c>
      <c r="BU35" s="210" t="str">
        <f t="shared" ca="1" si="13"/>
        <v/>
      </c>
      <c r="BV35" s="210" t="str">
        <f t="shared" ca="1" si="13"/>
        <v/>
      </c>
      <c r="BW35" s="210" t="str">
        <f t="shared" ca="1" si="13"/>
        <v/>
      </c>
      <c r="BX35" s="210" t="str">
        <f t="shared" ca="1" si="13"/>
        <v/>
      </c>
      <c r="BY35" s="210" t="str">
        <f t="shared" ca="1" si="13"/>
        <v/>
      </c>
      <c r="BZ35" s="210" t="str">
        <f t="shared" ca="1" si="13"/>
        <v/>
      </c>
      <c r="CA35" s="210" t="str">
        <f t="shared" ca="1" si="13"/>
        <v/>
      </c>
      <c r="CB35" s="396" t="str">
        <f t="shared" ca="1" si="13"/>
        <v/>
      </c>
      <c r="CC35" s="68"/>
      <c r="CD35" s="419" t="e">
        <f t="shared" ca="1" si="15"/>
        <v>#N/A</v>
      </c>
      <c r="CF35" s="50" t="str">
        <f ca="1">IF(AND(ISNUMBER(CS!C35),ISNUMBER(CS!D35)),CONCATENATE(CF$10,CG$10),"")</f>
        <v/>
      </c>
      <c r="CG35" s="50" t="str">
        <f ca="1">IF(AND(ISNUMBER(CS!D35),ISNUMBER(CS!E35)),CONCATENATE(CG$10,CH$10),"")</f>
        <v/>
      </c>
      <c r="CH35" s="50" t="str">
        <f ca="1">IF(AND(ISNUMBER(CS!E35),ISNUMBER(CS!F35)),CONCATENATE(CH$10,CI$10),"")</f>
        <v/>
      </c>
      <c r="CI35" s="50" t="str">
        <f ca="1">IF(AND(ISNUMBER(CS!F35),ISNUMBER(CS!G35)),CONCATENATE(CI$10,CJ$10),"")</f>
        <v/>
      </c>
      <c r="CJ35" s="50" t="str">
        <f ca="1">IF(AND(ISNUMBER(CS!G35),ISNUMBER(CS!H35)),CONCATENATE(CJ$10,CK$10),"")</f>
        <v/>
      </c>
      <c r="CK35" s="50" t="str">
        <f ca="1">IF(AND(ISNUMBER(CS!H35),ISNUMBER(CS!I35)),CONCATENATE(CK$10,CL$10),"")</f>
        <v/>
      </c>
      <c r="CL35" s="50" t="str">
        <f ca="1">IF(AND(ISNUMBER(CS!I35),ISNUMBER(CS!J35)),CONCATENATE(CL$10,CM$10),"")</f>
        <v/>
      </c>
      <c r="CM35" s="50" t="str">
        <f ca="1">IF(AND(ISNUMBER(CS!J35),ISNUMBER(CS!K35)),CONCATENATE(CM$10,CN$10),"")</f>
        <v/>
      </c>
      <c r="CN35" s="50" t="str">
        <f ca="1">IF(AND(ISNUMBER(CS!K35),ISNUMBER(CS!L35)),CONCATENATE(CN$10,CO$10),"")</f>
        <v/>
      </c>
      <c r="CO35" s="50" t="str">
        <f ca="1">IF(AND(ISNUMBER(CS!L35),ISNUMBER(CS!M35)),CONCATENATE(CO$10,CP$10),"")</f>
        <v/>
      </c>
      <c r="CP35" s="50" t="str">
        <f ca="1">IF(AND(ISNUMBER(CS!M35),ISNUMBER(CS!N35)),CONCATENATE(CP$10,CQ$10),"")</f>
        <v/>
      </c>
      <c r="CQ35" s="50" t="str">
        <f ca="1">IF(AND(ISNUMBER(CS!N35),ISNUMBER(CS!O35)),CONCATENATE(CQ$10,CR$10),"")</f>
        <v/>
      </c>
      <c r="CR35" s="50" t="str">
        <f ca="1">IF(AND(ISNUMBER(CS!O35),ISNUMBER(CS!P35)),CONCATENATE(CR$10,CS$10),"")</f>
        <v/>
      </c>
      <c r="CS35" s="50" t="str">
        <f ca="1">IF(AND(ISNUMBER(CS!P35),ISNUMBER(CS!Q35)),CONCATENATE(CS$10,CT$10),"")</f>
        <v/>
      </c>
      <c r="CT35" s="50" t="str">
        <f ca="1">IF(AND(ISNUMBER(CS!Q35),ISNUMBER(CS!R35)),CONCATENATE(CT$10,CU$10),"")</f>
        <v/>
      </c>
      <c r="CU35" s="50" t="str">
        <f ca="1">IF(AND(ISNUMBER(CS!R35),ISNUMBER(CS!S35)),CONCATENATE(CU$10,CV$10),"")</f>
        <v/>
      </c>
      <c r="CV35" s="50" t="str">
        <f ca="1">IF(AND(ISNUMBER(CS!S35),ISNUMBER(CS!T35)),CONCATENATE(CV$10,CW$10),"")</f>
        <v/>
      </c>
      <c r="CW35" s="50" t="str">
        <f ca="1">IF(AND(ISNUMBER(CS!T35),ISNUMBER(CS!U35)),CONCATENATE(CW$10,CX$10),"")</f>
        <v/>
      </c>
      <c r="CX35" s="50" t="str">
        <f ca="1">IF(AND(ISNUMBER(CS!U35),ISNUMBER(CS!V35)),CONCATENATE(CX$10,CY$10),"")</f>
        <v/>
      </c>
      <c r="CY35" s="50" t="str">
        <f ca="1">IF(AND(ISNUMBER(CS!V35),ISNUMBER(CS!W35)),CONCATENATE(CY$10,CZ$10),"")</f>
        <v/>
      </c>
      <c r="CZ35" s="50" t="str">
        <f ca="1">IF(AND(ISNUMBER(CS!W35),ISNUMBER(CS!X35)),CONCATENATE(CZ$10,DA$10),"")</f>
        <v/>
      </c>
      <c r="DA35" s="50" t="str">
        <f ca="1">IF(AND(ISNUMBER(CS!X35),ISNUMBER(CS!Y35)),CONCATENATE(DA$10,DB$10),"")</f>
        <v/>
      </c>
      <c r="DB35" s="50" t="str">
        <f ca="1">IF(AND(ISNUMBER(CS!Y35),ISNUMBER(CS!Z35)),CONCATENATE(DB$10,DC$10),"")</f>
        <v/>
      </c>
      <c r="DC35" s="50" t="str">
        <f ca="1">IF(AND(ISNUMBER(CS!Z35),ISNUMBER(CS!AA35)),CONCATENATE(DC$10,DD$10),"")</f>
        <v/>
      </c>
      <c r="DD35" s="50" t="str">
        <f ca="1">IF(AND(ISNUMBER(CS!AA35),ISNUMBER(CS!AB35)),CONCATENATE(DD$10,DE$10),"")</f>
        <v/>
      </c>
      <c r="DE35" s="50" t="str">
        <f ca="1">IF(AND(ISNUMBER(CS!AB35),ISNUMBER(CS!AC35)),CONCATENATE(DE$10,DF$10),"")</f>
        <v/>
      </c>
      <c r="DF35" s="50" t="str">
        <f ca="1">IF(AND(ISNUMBER(CS!AC35),ISNUMBER(CS!AD35)),CONCATENATE(DF$10,DG$10),"")</f>
        <v/>
      </c>
      <c r="DG35" s="50" t="str">
        <f ca="1">IF(AND(ISNUMBER(CS!AD35),ISNUMBER(CS!AE35)),CONCATENATE(DG$10,DH$10),"")</f>
        <v/>
      </c>
      <c r="DH35" s="50" t="str">
        <f ca="1">IF(AND(ISNUMBER(CS!AE35),ISNUMBER(CS!AF35)),CONCATENATE(DH$10,DI$10),"")</f>
        <v/>
      </c>
      <c r="DI35" s="50" t="str">
        <f ca="1">IF(AND(ISNUMBER(CS!AF35),ISNUMBER(CS!AG35)),CONCATENATE(DI$10,DJ$10),"")</f>
        <v/>
      </c>
      <c r="DJ35" s="50" t="str">
        <f ca="1">IF(AND(ISNUMBER(CS!AG35),ISNUMBER(CS!AH35)),CONCATENATE(DJ$10,DK$10),"")</f>
        <v/>
      </c>
      <c r="DK35" s="50" t="str">
        <f ca="1">IF(AND(ISNUMBER(CS!AH35),ISNUMBER(CS!AI35)),CONCATENATE(DK$10,DL$10),"")</f>
        <v/>
      </c>
      <c r="DL35" s="50" t="str">
        <f ca="1">IF(AND(ISNUMBER(CS!AI35),ISNUMBER(CS!AJ35)),CONCATENATE(DL$10,DM$10),"")</f>
        <v/>
      </c>
      <c r="DM35" s="50" t="str">
        <f ca="1">IF(AND(ISNUMBER(CS!AJ35),ISNUMBER(CS!AK35)),CONCATENATE(DM$10,DN$10),"")</f>
        <v/>
      </c>
      <c r="DN35" s="50" t="str">
        <f ca="1">IF(AND(ISNUMBER(CS!AK35),ISNUMBER(CS!AL35)),CONCATENATE(DN$10,DO$10),"")</f>
        <v/>
      </c>
      <c r="DO35" s="50" t="str">
        <f ca="1">IF(AND(ISNUMBER(CS!AL35),ISNUMBER(CS!AM35)),CONCATENATE(DO$10,DP$10),"")</f>
        <v/>
      </c>
      <c r="DP35" s="50" t="str">
        <f ca="1">IF(AND(ISNUMBER(CS!AM35),ISNUMBER(CS!AN35)),CONCATENATE(DP$10,DQ$10),"")</f>
        <v/>
      </c>
      <c r="DQ35" s="50" t="str">
        <f ca="1">IF(AND(ISNUMBER(CS!AN35),ISNUMBER(CS!AO35)),CONCATENATE(DQ$10,DR$10),"")</f>
        <v/>
      </c>
      <c r="DR35" s="50" t="str">
        <f ca="1">IF(AND(ISNUMBER(CS!AO35),ISNUMBER(CS!AP35)),CONCATENATE(DR$10,DS$10),"")</f>
        <v/>
      </c>
      <c r="DS35" s="50" t="str">
        <f ca="1">IF(AND(ISNUMBER(CS!AP35),ISNUMBER(CS!AQ35)),CONCATENATE(DS$10,DT$10),"")</f>
        <v/>
      </c>
      <c r="DT35" s="63">
        <f>DrawFinder!Y35</f>
        <v>0</v>
      </c>
    </row>
    <row r="36" spans="2:124">
      <c r="B36" s="393" t="str">
        <f ca="1">TmOrderLU!D36</f>
        <v/>
      </c>
      <c r="C36" s="63" t="str">
        <f ca="1">IF(ISNUMBER(CS!C36),C$10,"")</f>
        <v/>
      </c>
      <c r="D36" s="63" t="str">
        <f ca="1">IF(ISNUMBER(CS!D36),D$10,"")</f>
        <v/>
      </c>
      <c r="E36" s="63" t="str">
        <f ca="1">IF(ISNUMBER(CS!E36),E$10,"")</f>
        <v/>
      </c>
      <c r="F36" s="63" t="str">
        <f ca="1">IF(ISNUMBER(CS!F36),F$10,"")</f>
        <v/>
      </c>
      <c r="G36" s="63" t="str">
        <f ca="1">IF(ISNUMBER(CS!G36),G$10,"")</f>
        <v/>
      </c>
      <c r="H36" s="63" t="str">
        <f ca="1">IF(ISNUMBER(CS!H36),H$10,"")</f>
        <v/>
      </c>
      <c r="I36" s="63" t="str">
        <f ca="1">IF(ISNUMBER(CS!I36),I$10,"")</f>
        <v/>
      </c>
      <c r="J36" s="63" t="str">
        <f ca="1">IF(ISNUMBER(CS!J36),J$10,"")</f>
        <v/>
      </c>
      <c r="K36" s="63" t="str">
        <f ca="1">IF(ISNUMBER(CS!K36),K$10,"")</f>
        <v/>
      </c>
      <c r="L36" s="63" t="str">
        <f ca="1">IF(ISNUMBER(CS!L36),L$10,"")</f>
        <v/>
      </c>
      <c r="M36" s="63" t="str">
        <f ca="1">IF(ISNUMBER(CS!M36),M$10,"")</f>
        <v/>
      </c>
      <c r="N36" s="63" t="str">
        <f ca="1">IF(ISNUMBER(CS!N36),N$10,"")</f>
        <v/>
      </c>
      <c r="O36" s="63" t="str">
        <f ca="1">IF(ISNUMBER(CS!O36),O$10,"")</f>
        <v/>
      </c>
      <c r="P36" s="63" t="str">
        <f ca="1">IF(ISNUMBER(CS!P36),P$10,"")</f>
        <v/>
      </c>
      <c r="Q36" s="63" t="str">
        <f ca="1">IF(ISNUMBER(CS!Q36),Q$10,"")</f>
        <v/>
      </c>
      <c r="R36" s="63" t="str">
        <f ca="1">IF(ISNUMBER(CS!R36),R$10,"")</f>
        <v/>
      </c>
      <c r="S36" s="63" t="str">
        <f ca="1">IF(ISNUMBER(CS!S36),S$10,"")</f>
        <v/>
      </c>
      <c r="T36" s="63" t="str">
        <f ca="1">IF(ISNUMBER(CS!T36),T$10,"")</f>
        <v/>
      </c>
      <c r="U36" s="63" t="str">
        <f ca="1">IF(ISNUMBER(CS!U36),U$10,"")</f>
        <v/>
      </c>
      <c r="V36" s="63" t="str">
        <f ca="1">IF(ISNUMBER(CS!V36),V$10,"")</f>
        <v/>
      </c>
      <c r="W36" s="63" t="str">
        <f ca="1">IF(ISNUMBER(CS!W36),W$10,"")</f>
        <v/>
      </c>
      <c r="X36" s="63" t="str">
        <f ca="1">IF(ISNUMBER(CS!X36),X$10,"")</f>
        <v/>
      </c>
      <c r="Y36" s="63" t="str">
        <f ca="1">IF(ISNUMBER(CS!Y36),Y$10,"")</f>
        <v/>
      </c>
      <c r="Z36" s="63" t="str">
        <f ca="1">IF(ISNUMBER(CS!Z36),Z$10,"")</f>
        <v/>
      </c>
      <c r="AA36" s="63" t="str">
        <f ca="1">IF(ISNUMBER(CS!AA36),AA$10,"")</f>
        <v/>
      </c>
      <c r="AB36" s="63" t="str">
        <f ca="1">IF(ISNUMBER(CS!AB36),AB$10,"")</f>
        <v/>
      </c>
      <c r="AC36" s="63" t="str">
        <f ca="1">IF(ISNUMBER(CS!AC36),AC$10,"")</f>
        <v/>
      </c>
      <c r="AD36" s="63" t="str">
        <f ca="1">IF(ISNUMBER(CS!AD36),AD$10,"")</f>
        <v/>
      </c>
      <c r="AE36" s="63" t="str">
        <f ca="1">IF(ISNUMBER(CS!AE36),AE$10,"")</f>
        <v/>
      </c>
      <c r="AF36" s="63" t="str">
        <f ca="1">IF(ISNUMBER(CS!AF36),AF$10,"")</f>
        <v/>
      </c>
      <c r="AG36" s="63" t="str">
        <f ca="1">IF(ISNUMBER(CS!AG36),AG$10,"")</f>
        <v/>
      </c>
      <c r="AH36" s="63" t="str">
        <f ca="1">IF(ISNUMBER(CS!AH36),AH$10,"")</f>
        <v/>
      </c>
      <c r="AI36" s="63" t="str">
        <f ca="1">IF(ISNUMBER(CS!AI36),AI$10,"")</f>
        <v/>
      </c>
      <c r="AJ36" s="63" t="str">
        <f ca="1">IF(ISNUMBER(CS!AJ36),AJ$10,"")</f>
        <v/>
      </c>
      <c r="AK36" s="63" t="str">
        <f ca="1">IF(ISNUMBER(CS!AK36),AK$10,"")</f>
        <v/>
      </c>
      <c r="AL36" s="63" t="str">
        <f ca="1">IF(ISNUMBER(CS!AL36),AL$10,"")</f>
        <v/>
      </c>
      <c r="AM36" s="63" t="str">
        <f ca="1">IF(ISNUMBER(CS!AM36),AM$10,"")</f>
        <v/>
      </c>
      <c r="AN36" s="63" t="str">
        <f ca="1">IF(ISNUMBER(CS!AN36),AN$10,"")</f>
        <v/>
      </c>
      <c r="AO36" s="63" t="str">
        <f ca="1">IF(ISNUMBER(CS!AO36),AO$10,"")</f>
        <v/>
      </c>
      <c r="AP36" s="414" t="str">
        <f ca="1">IF(ISNUMBER(CS!AP36),AP$10,"")</f>
        <v/>
      </c>
      <c r="AS36" s="4" t="str">
        <f t="shared" ca="1" si="11"/>
        <v/>
      </c>
      <c r="AU36" s="417" t="str">
        <f t="shared" ca="1" si="8"/>
        <v/>
      </c>
      <c r="AV36" s="210" t="str">
        <f t="shared" ca="1" si="8"/>
        <v/>
      </c>
      <c r="AW36" s="210" t="str">
        <f t="shared" ca="1" si="8"/>
        <v/>
      </c>
      <c r="AX36" s="210" t="str">
        <f t="shared" ca="1" si="8"/>
        <v/>
      </c>
      <c r="AY36" s="414" t="str">
        <f t="shared" ca="1" si="8"/>
        <v/>
      </c>
      <c r="BA36" s="417" t="str">
        <f t="shared" ca="1" si="12"/>
        <v/>
      </c>
      <c r="BB36" s="210" t="str">
        <f t="shared" ca="1" si="12"/>
        <v/>
      </c>
      <c r="BC36" s="210" t="str">
        <f t="shared" ca="1" si="12"/>
        <v/>
      </c>
      <c r="BD36" s="210" t="str">
        <f t="shared" ca="1" si="12"/>
        <v/>
      </c>
      <c r="BE36" s="210" t="str">
        <f t="shared" ca="1" si="12"/>
        <v/>
      </c>
      <c r="BF36" s="210" t="str">
        <f t="shared" ca="1" si="12"/>
        <v/>
      </c>
      <c r="BG36" s="210" t="str">
        <f t="shared" ca="1" si="12"/>
        <v/>
      </c>
      <c r="BH36" s="210" t="str">
        <f t="shared" ca="1" si="12"/>
        <v/>
      </c>
      <c r="BI36" s="210" t="str">
        <f t="shared" ca="1" si="12"/>
        <v/>
      </c>
      <c r="BJ36" s="210" t="str">
        <f t="shared" ca="1" si="12"/>
        <v/>
      </c>
      <c r="BK36" s="210" t="str">
        <f t="shared" ca="1" si="12"/>
        <v/>
      </c>
      <c r="BL36" s="210" t="str">
        <f t="shared" ca="1" si="12"/>
        <v/>
      </c>
      <c r="BM36" s="210" t="str">
        <f t="shared" ca="1" si="12"/>
        <v/>
      </c>
      <c r="BN36" s="210" t="str">
        <f t="shared" ca="1" si="12"/>
        <v/>
      </c>
      <c r="BO36" s="210" t="str">
        <f t="shared" ca="1" si="12"/>
        <v/>
      </c>
      <c r="BP36" s="210" t="str">
        <f t="shared" ca="1" si="12"/>
        <v/>
      </c>
      <c r="BQ36" s="414" t="str">
        <f t="shared" ca="1" si="14"/>
        <v/>
      </c>
      <c r="BS36" s="417" t="str">
        <f t="shared" ca="1" si="13"/>
        <v/>
      </c>
      <c r="BT36" s="210" t="str">
        <f t="shared" ca="1" si="13"/>
        <v/>
      </c>
      <c r="BU36" s="210" t="str">
        <f t="shared" ca="1" si="13"/>
        <v/>
      </c>
      <c r="BV36" s="210" t="str">
        <f t="shared" ca="1" si="13"/>
        <v/>
      </c>
      <c r="BW36" s="210" t="str">
        <f t="shared" ca="1" si="13"/>
        <v/>
      </c>
      <c r="BX36" s="210" t="str">
        <f t="shared" ca="1" si="13"/>
        <v/>
      </c>
      <c r="BY36" s="210" t="str">
        <f t="shared" ca="1" si="13"/>
        <v/>
      </c>
      <c r="BZ36" s="210" t="str">
        <f t="shared" ca="1" si="13"/>
        <v/>
      </c>
      <c r="CA36" s="210" t="str">
        <f t="shared" ca="1" si="13"/>
        <v/>
      </c>
      <c r="CB36" s="396" t="str">
        <f t="shared" ca="1" si="13"/>
        <v/>
      </c>
      <c r="CC36" s="68"/>
      <c r="CD36" s="419" t="e">
        <f t="shared" ca="1" si="15"/>
        <v>#N/A</v>
      </c>
      <c r="CF36" s="50" t="str">
        <f ca="1">IF(AND(ISNUMBER(CS!C36),ISNUMBER(CS!D36)),CONCATENATE(CF$10,CG$10),"")</f>
        <v/>
      </c>
      <c r="CG36" s="50" t="str">
        <f ca="1">IF(AND(ISNUMBER(CS!D36),ISNUMBER(CS!E36)),CONCATENATE(CG$10,CH$10),"")</f>
        <v/>
      </c>
      <c r="CH36" s="50" t="str">
        <f ca="1">IF(AND(ISNUMBER(CS!E36),ISNUMBER(CS!F36)),CONCATENATE(CH$10,CI$10),"")</f>
        <v/>
      </c>
      <c r="CI36" s="50" t="str">
        <f ca="1">IF(AND(ISNUMBER(CS!F36),ISNUMBER(CS!G36)),CONCATENATE(CI$10,CJ$10),"")</f>
        <v/>
      </c>
      <c r="CJ36" s="50" t="str">
        <f ca="1">IF(AND(ISNUMBER(CS!G36),ISNUMBER(CS!H36)),CONCATENATE(CJ$10,CK$10),"")</f>
        <v/>
      </c>
      <c r="CK36" s="50" t="str">
        <f ca="1">IF(AND(ISNUMBER(CS!H36),ISNUMBER(CS!I36)),CONCATENATE(CK$10,CL$10),"")</f>
        <v/>
      </c>
      <c r="CL36" s="50" t="str">
        <f ca="1">IF(AND(ISNUMBER(CS!I36),ISNUMBER(CS!J36)),CONCATENATE(CL$10,CM$10),"")</f>
        <v/>
      </c>
      <c r="CM36" s="50" t="str">
        <f ca="1">IF(AND(ISNUMBER(CS!J36),ISNUMBER(CS!K36)),CONCATENATE(CM$10,CN$10),"")</f>
        <v/>
      </c>
      <c r="CN36" s="50" t="str">
        <f ca="1">IF(AND(ISNUMBER(CS!K36),ISNUMBER(CS!L36)),CONCATENATE(CN$10,CO$10),"")</f>
        <v/>
      </c>
      <c r="CO36" s="50" t="str">
        <f ca="1">IF(AND(ISNUMBER(CS!L36),ISNUMBER(CS!M36)),CONCATENATE(CO$10,CP$10),"")</f>
        <v/>
      </c>
      <c r="CP36" s="50" t="str">
        <f ca="1">IF(AND(ISNUMBER(CS!M36),ISNUMBER(CS!N36)),CONCATENATE(CP$10,CQ$10),"")</f>
        <v/>
      </c>
      <c r="CQ36" s="50" t="str">
        <f ca="1">IF(AND(ISNUMBER(CS!N36),ISNUMBER(CS!O36)),CONCATENATE(CQ$10,CR$10),"")</f>
        <v/>
      </c>
      <c r="CR36" s="50" t="str">
        <f ca="1">IF(AND(ISNUMBER(CS!O36),ISNUMBER(CS!P36)),CONCATENATE(CR$10,CS$10),"")</f>
        <v/>
      </c>
      <c r="CS36" s="50" t="str">
        <f ca="1">IF(AND(ISNUMBER(CS!P36),ISNUMBER(CS!Q36)),CONCATENATE(CS$10,CT$10),"")</f>
        <v/>
      </c>
      <c r="CT36" s="50" t="str">
        <f ca="1">IF(AND(ISNUMBER(CS!Q36),ISNUMBER(CS!R36)),CONCATENATE(CT$10,CU$10),"")</f>
        <v/>
      </c>
      <c r="CU36" s="50" t="str">
        <f ca="1">IF(AND(ISNUMBER(CS!R36),ISNUMBER(CS!S36)),CONCATENATE(CU$10,CV$10),"")</f>
        <v/>
      </c>
      <c r="CV36" s="50" t="str">
        <f ca="1">IF(AND(ISNUMBER(CS!S36),ISNUMBER(CS!T36)),CONCATENATE(CV$10,CW$10),"")</f>
        <v/>
      </c>
      <c r="CW36" s="50" t="str">
        <f ca="1">IF(AND(ISNUMBER(CS!T36),ISNUMBER(CS!U36)),CONCATENATE(CW$10,CX$10),"")</f>
        <v/>
      </c>
      <c r="CX36" s="50" t="str">
        <f ca="1">IF(AND(ISNUMBER(CS!U36),ISNUMBER(CS!V36)),CONCATENATE(CX$10,CY$10),"")</f>
        <v/>
      </c>
      <c r="CY36" s="50" t="str">
        <f ca="1">IF(AND(ISNUMBER(CS!V36),ISNUMBER(CS!W36)),CONCATENATE(CY$10,CZ$10),"")</f>
        <v/>
      </c>
      <c r="CZ36" s="50" t="str">
        <f ca="1">IF(AND(ISNUMBER(CS!W36),ISNUMBER(CS!X36)),CONCATENATE(CZ$10,DA$10),"")</f>
        <v/>
      </c>
      <c r="DA36" s="50" t="str">
        <f ca="1">IF(AND(ISNUMBER(CS!X36),ISNUMBER(CS!Y36)),CONCATENATE(DA$10,DB$10),"")</f>
        <v/>
      </c>
      <c r="DB36" s="50" t="str">
        <f ca="1">IF(AND(ISNUMBER(CS!Y36),ISNUMBER(CS!Z36)),CONCATENATE(DB$10,DC$10),"")</f>
        <v/>
      </c>
      <c r="DC36" s="50" t="str">
        <f ca="1">IF(AND(ISNUMBER(CS!Z36),ISNUMBER(CS!AA36)),CONCATENATE(DC$10,DD$10),"")</f>
        <v/>
      </c>
      <c r="DD36" s="50" t="str">
        <f ca="1">IF(AND(ISNUMBER(CS!AA36),ISNUMBER(CS!AB36)),CONCATENATE(DD$10,DE$10),"")</f>
        <v/>
      </c>
      <c r="DE36" s="50" t="str">
        <f ca="1">IF(AND(ISNUMBER(CS!AB36),ISNUMBER(CS!AC36)),CONCATENATE(DE$10,DF$10),"")</f>
        <v/>
      </c>
      <c r="DF36" s="50" t="str">
        <f ca="1">IF(AND(ISNUMBER(CS!AC36),ISNUMBER(CS!AD36)),CONCATENATE(DF$10,DG$10),"")</f>
        <v/>
      </c>
      <c r="DG36" s="50" t="str">
        <f ca="1">IF(AND(ISNUMBER(CS!AD36),ISNUMBER(CS!AE36)),CONCATENATE(DG$10,DH$10),"")</f>
        <v/>
      </c>
      <c r="DH36" s="50" t="str">
        <f ca="1">IF(AND(ISNUMBER(CS!AE36),ISNUMBER(CS!AF36)),CONCATENATE(DH$10,DI$10),"")</f>
        <v/>
      </c>
      <c r="DI36" s="50" t="str">
        <f ca="1">IF(AND(ISNUMBER(CS!AF36),ISNUMBER(CS!AG36)),CONCATENATE(DI$10,DJ$10),"")</f>
        <v/>
      </c>
      <c r="DJ36" s="50" t="str">
        <f ca="1">IF(AND(ISNUMBER(CS!AG36),ISNUMBER(CS!AH36)),CONCATENATE(DJ$10,DK$10),"")</f>
        <v/>
      </c>
      <c r="DK36" s="50" t="str">
        <f ca="1">IF(AND(ISNUMBER(CS!AH36),ISNUMBER(CS!AI36)),CONCATENATE(DK$10,DL$10),"")</f>
        <v/>
      </c>
      <c r="DL36" s="50" t="str">
        <f ca="1">IF(AND(ISNUMBER(CS!AI36),ISNUMBER(CS!AJ36)),CONCATENATE(DL$10,DM$10),"")</f>
        <v/>
      </c>
      <c r="DM36" s="50" t="str">
        <f ca="1">IF(AND(ISNUMBER(CS!AJ36),ISNUMBER(CS!AK36)),CONCATENATE(DM$10,DN$10),"")</f>
        <v/>
      </c>
      <c r="DN36" s="50" t="str">
        <f ca="1">IF(AND(ISNUMBER(CS!AK36),ISNUMBER(CS!AL36)),CONCATENATE(DN$10,DO$10),"")</f>
        <v/>
      </c>
      <c r="DO36" s="50" t="str">
        <f ca="1">IF(AND(ISNUMBER(CS!AL36),ISNUMBER(CS!AM36)),CONCATENATE(DO$10,DP$10),"")</f>
        <v/>
      </c>
      <c r="DP36" s="50" t="str">
        <f ca="1">IF(AND(ISNUMBER(CS!AM36),ISNUMBER(CS!AN36)),CONCATENATE(DP$10,DQ$10),"")</f>
        <v/>
      </c>
      <c r="DQ36" s="50" t="str">
        <f ca="1">IF(AND(ISNUMBER(CS!AN36),ISNUMBER(CS!AO36)),CONCATENATE(DQ$10,DR$10),"")</f>
        <v/>
      </c>
      <c r="DR36" s="50" t="str">
        <f ca="1">IF(AND(ISNUMBER(CS!AO36),ISNUMBER(CS!AP36)),CONCATENATE(DR$10,DS$10),"")</f>
        <v/>
      </c>
      <c r="DS36" s="50" t="str">
        <f ca="1">IF(AND(ISNUMBER(CS!AP36),ISNUMBER(CS!AQ36)),CONCATENATE(DS$10,DT$10),"")</f>
        <v/>
      </c>
      <c r="DT36" s="63">
        <f>DrawFinder!Y36</f>
        <v>0</v>
      </c>
    </row>
    <row r="37" spans="2:124">
      <c r="B37" s="393" t="str">
        <f ca="1">TmOrderLU!D37</f>
        <v/>
      </c>
      <c r="C37" s="63" t="str">
        <f ca="1">IF(ISNUMBER(CS!C37),C$10,"")</f>
        <v/>
      </c>
      <c r="D37" s="63" t="str">
        <f ca="1">IF(ISNUMBER(CS!D37),D$10,"")</f>
        <v/>
      </c>
      <c r="E37" s="63" t="str">
        <f ca="1">IF(ISNUMBER(CS!E37),E$10,"")</f>
        <v/>
      </c>
      <c r="F37" s="63" t="str">
        <f ca="1">IF(ISNUMBER(CS!F37),F$10,"")</f>
        <v/>
      </c>
      <c r="G37" s="63" t="str">
        <f ca="1">IF(ISNUMBER(CS!G37),G$10,"")</f>
        <v/>
      </c>
      <c r="H37" s="63" t="str">
        <f ca="1">IF(ISNUMBER(CS!H37),H$10,"")</f>
        <v/>
      </c>
      <c r="I37" s="63" t="str">
        <f ca="1">IF(ISNUMBER(CS!I37),I$10,"")</f>
        <v/>
      </c>
      <c r="J37" s="63" t="str">
        <f ca="1">IF(ISNUMBER(CS!J37),J$10,"")</f>
        <v/>
      </c>
      <c r="K37" s="63" t="str">
        <f ca="1">IF(ISNUMBER(CS!K37),K$10,"")</f>
        <v/>
      </c>
      <c r="L37" s="63" t="str">
        <f ca="1">IF(ISNUMBER(CS!L37),L$10,"")</f>
        <v/>
      </c>
      <c r="M37" s="63" t="str">
        <f ca="1">IF(ISNUMBER(CS!M37),M$10,"")</f>
        <v/>
      </c>
      <c r="N37" s="63" t="str">
        <f ca="1">IF(ISNUMBER(CS!N37),N$10,"")</f>
        <v/>
      </c>
      <c r="O37" s="63" t="str">
        <f ca="1">IF(ISNUMBER(CS!O37),O$10,"")</f>
        <v/>
      </c>
      <c r="P37" s="63" t="str">
        <f ca="1">IF(ISNUMBER(CS!P37),P$10,"")</f>
        <v/>
      </c>
      <c r="Q37" s="63" t="str">
        <f ca="1">IF(ISNUMBER(CS!Q37),Q$10,"")</f>
        <v/>
      </c>
      <c r="R37" s="63" t="str">
        <f ca="1">IF(ISNUMBER(CS!R37),R$10,"")</f>
        <v/>
      </c>
      <c r="S37" s="63" t="str">
        <f ca="1">IF(ISNUMBER(CS!S37),S$10,"")</f>
        <v/>
      </c>
      <c r="T37" s="63" t="str">
        <f ca="1">IF(ISNUMBER(CS!T37),T$10,"")</f>
        <v/>
      </c>
      <c r="U37" s="63" t="str">
        <f ca="1">IF(ISNUMBER(CS!U37),U$10,"")</f>
        <v/>
      </c>
      <c r="V37" s="63" t="str">
        <f ca="1">IF(ISNUMBER(CS!V37),V$10,"")</f>
        <v/>
      </c>
      <c r="W37" s="63" t="str">
        <f ca="1">IF(ISNUMBER(CS!W37),W$10,"")</f>
        <v/>
      </c>
      <c r="X37" s="63" t="str">
        <f ca="1">IF(ISNUMBER(CS!X37),X$10,"")</f>
        <v/>
      </c>
      <c r="Y37" s="63" t="str">
        <f ca="1">IF(ISNUMBER(CS!Y37),Y$10,"")</f>
        <v/>
      </c>
      <c r="Z37" s="63" t="str">
        <f ca="1">IF(ISNUMBER(CS!Z37),Z$10,"")</f>
        <v/>
      </c>
      <c r="AA37" s="63" t="str">
        <f ca="1">IF(ISNUMBER(CS!AA37),AA$10,"")</f>
        <v/>
      </c>
      <c r="AB37" s="63" t="str">
        <f ca="1">IF(ISNUMBER(CS!AB37),AB$10,"")</f>
        <v/>
      </c>
      <c r="AC37" s="63" t="str">
        <f ca="1">IF(ISNUMBER(CS!AC37),AC$10,"")</f>
        <v/>
      </c>
      <c r="AD37" s="63" t="str">
        <f ca="1">IF(ISNUMBER(CS!AD37),AD$10,"")</f>
        <v/>
      </c>
      <c r="AE37" s="63" t="str">
        <f ca="1">IF(ISNUMBER(CS!AE37),AE$10,"")</f>
        <v/>
      </c>
      <c r="AF37" s="63" t="str">
        <f ca="1">IF(ISNUMBER(CS!AF37),AF$10,"")</f>
        <v/>
      </c>
      <c r="AG37" s="63" t="str">
        <f ca="1">IF(ISNUMBER(CS!AG37),AG$10,"")</f>
        <v/>
      </c>
      <c r="AH37" s="63" t="str">
        <f ca="1">IF(ISNUMBER(CS!AH37),AH$10,"")</f>
        <v/>
      </c>
      <c r="AI37" s="63" t="str">
        <f ca="1">IF(ISNUMBER(CS!AI37),AI$10,"")</f>
        <v/>
      </c>
      <c r="AJ37" s="63" t="str">
        <f ca="1">IF(ISNUMBER(CS!AJ37),AJ$10,"")</f>
        <v/>
      </c>
      <c r="AK37" s="63" t="str">
        <f ca="1">IF(ISNUMBER(CS!AK37),AK$10,"")</f>
        <v/>
      </c>
      <c r="AL37" s="63" t="str">
        <f ca="1">IF(ISNUMBER(CS!AL37),AL$10,"")</f>
        <v/>
      </c>
      <c r="AM37" s="63" t="str">
        <f ca="1">IF(ISNUMBER(CS!AM37),AM$10,"")</f>
        <v/>
      </c>
      <c r="AN37" s="63" t="str">
        <f ca="1">IF(ISNUMBER(CS!AN37),AN$10,"")</f>
        <v/>
      </c>
      <c r="AO37" s="63" t="str">
        <f ca="1">IF(ISNUMBER(CS!AO37),AO$10,"")</f>
        <v/>
      </c>
      <c r="AP37" s="414" t="str">
        <f ca="1">IF(ISNUMBER(CS!AP37),AP$10,"")</f>
        <v/>
      </c>
      <c r="AS37" s="4" t="str">
        <f t="shared" ca="1" si="11"/>
        <v/>
      </c>
      <c r="AU37" s="417" t="str">
        <f t="shared" ca="1" si="8"/>
        <v/>
      </c>
      <c r="AV37" s="210" t="str">
        <f t="shared" ca="1" si="8"/>
        <v/>
      </c>
      <c r="AW37" s="210" t="str">
        <f t="shared" ca="1" si="8"/>
        <v/>
      </c>
      <c r="AX37" s="210" t="str">
        <f t="shared" ca="1" si="8"/>
        <v/>
      </c>
      <c r="AY37" s="414" t="str">
        <f t="shared" ca="1" si="8"/>
        <v/>
      </c>
      <c r="BA37" s="417" t="str">
        <f t="shared" ca="1" si="12"/>
        <v/>
      </c>
      <c r="BB37" s="210" t="str">
        <f t="shared" ca="1" si="12"/>
        <v/>
      </c>
      <c r="BC37" s="210" t="str">
        <f t="shared" ca="1" si="12"/>
        <v/>
      </c>
      <c r="BD37" s="210" t="str">
        <f t="shared" ca="1" si="12"/>
        <v/>
      </c>
      <c r="BE37" s="210" t="str">
        <f t="shared" ca="1" si="12"/>
        <v/>
      </c>
      <c r="BF37" s="210" t="str">
        <f t="shared" ca="1" si="12"/>
        <v/>
      </c>
      <c r="BG37" s="210" t="str">
        <f t="shared" ca="1" si="12"/>
        <v/>
      </c>
      <c r="BH37" s="210" t="str">
        <f t="shared" ca="1" si="12"/>
        <v/>
      </c>
      <c r="BI37" s="210" t="str">
        <f t="shared" ca="1" si="12"/>
        <v/>
      </c>
      <c r="BJ37" s="210" t="str">
        <f t="shared" ca="1" si="12"/>
        <v/>
      </c>
      <c r="BK37" s="210" t="str">
        <f t="shared" ca="1" si="12"/>
        <v/>
      </c>
      <c r="BL37" s="210" t="str">
        <f t="shared" ca="1" si="12"/>
        <v/>
      </c>
      <c r="BM37" s="210" t="str">
        <f t="shared" ca="1" si="12"/>
        <v/>
      </c>
      <c r="BN37" s="210" t="str">
        <f t="shared" ca="1" si="12"/>
        <v/>
      </c>
      <c r="BO37" s="210" t="str">
        <f t="shared" ca="1" si="12"/>
        <v/>
      </c>
      <c r="BP37" s="210" t="str">
        <f t="shared" ca="1" si="12"/>
        <v/>
      </c>
      <c r="BQ37" s="414" t="str">
        <f t="shared" ca="1" si="14"/>
        <v/>
      </c>
      <c r="BS37" s="417" t="str">
        <f t="shared" ca="1" si="13"/>
        <v/>
      </c>
      <c r="BT37" s="210" t="str">
        <f t="shared" ca="1" si="13"/>
        <v/>
      </c>
      <c r="BU37" s="210" t="str">
        <f t="shared" ca="1" si="13"/>
        <v/>
      </c>
      <c r="BV37" s="210" t="str">
        <f t="shared" ca="1" si="13"/>
        <v/>
      </c>
      <c r="BW37" s="210" t="str">
        <f t="shared" ca="1" si="13"/>
        <v/>
      </c>
      <c r="BX37" s="210" t="str">
        <f t="shared" ca="1" si="13"/>
        <v/>
      </c>
      <c r="BY37" s="210" t="str">
        <f t="shared" ca="1" si="13"/>
        <v/>
      </c>
      <c r="BZ37" s="210" t="str">
        <f t="shared" ca="1" si="13"/>
        <v/>
      </c>
      <c r="CA37" s="210" t="str">
        <f t="shared" ca="1" si="13"/>
        <v/>
      </c>
      <c r="CB37" s="396" t="str">
        <f t="shared" ca="1" si="13"/>
        <v/>
      </c>
      <c r="CC37" s="68"/>
      <c r="CD37" s="419" t="e">
        <f t="shared" ca="1" si="15"/>
        <v>#N/A</v>
      </c>
      <c r="CF37" s="50" t="str">
        <f ca="1">IF(AND(ISNUMBER(CS!C37),ISNUMBER(CS!D37)),CONCATENATE(CF$10,CG$10),"")</f>
        <v/>
      </c>
      <c r="CG37" s="50" t="str">
        <f ca="1">IF(AND(ISNUMBER(CS!D37),ISNUMBER(CS!E37)),CONCATENATE(CG$10,CH$10),"")</f>
        <v/>
      </c>
      <c r="CH37" s="50" t="str">
        <f ca="1">IF(AND(ISNUMBER(CS!E37),ISNUMBER(CS!F37)),CONCATENATE(CH$10,CI$10),"")</f>
        <v/>
      </c>
      <c r="CI37" s="50" t="str">
        <f ca="1">IF(AND(ISNUMBER(CS!F37),ISNUMBER(CS!G37)),CONCATENATE(CI$10,CJ$10),"")</f>
        <v/>
      </c>
      <c r="CJ37" s="50" t="str">
        <f ca="1">IF(AND(ISNUMBER(CS!G37),ISNUMBER(CS!H37)),CONCATENATE(CJ$10,CK$10),"")</f>
        <v/>
      </c>
      <c r="CK37" s="50" t="str">
        <f ca="1">IF(AND(ISNUMBER(CS!H37),ISNUMBER(CS!I37)),CONCATENATE(CK$10,CL$10),"")</f>
        <v/>
      </c>
      <c r="CL37" s="50" t="str">
        <f ca="1">IF(AND(ISNUMBER(CS!I37),ISNUMBER(CS!J37)),CONCATENATE(CL$10,CM$10),"")</f>
        <v/>
      </c>
      <c r="CM37" s="50" t="str">
        <f ca="1">IF(AND(ISNUMBER(CS!J37),ISNUMBER(CS!K37)),CONCATENATE(CM$10,CN$10),"")</f>
        <v/>
      </c>
      <c r="CN37" s="50" t="str">
        <f ca="1">IF(AND(ISNUMBER(CS!K37),ISNUMBER(CS!L37)),CONCATENATE(CN$10,CO$10),"")</f>
        <v/>
      </c>
      <c r="CO37" s="50" t="str">
        <f ca="1">IF(AND(ISNUMBER(CS!L37),ISNUMBER(CS!M37)),CONCATENATE(CO$10,CP$10),"")</f>
        <v/>
      </c>
      <c r="CP37" s="50" t="str">
        <f ca="1">IF(AND(ISNUMBER(CS!M37),ISNUMBER(CS!N37)),CONCATENATE(CP$10,CQ$10),"")</f>
        <v/>
      </c>
      <c r="CQ37" s="50" t="str">
        <f ca="1">IF(AND(ISNUMBER(CS!N37),ISNUMBER(CS!O37)),CONCATENATE(CQ$10,CR$10),"")</f>
        <v/>
      </c>
      <c r="CR37" s="50" t="str">
        <f ca="1">IF(AND(ISNUMBER(CS!O37),ISNUMBER(CS!P37)),CONCATENATE(CR$10,CS$10),"")</f>
        <v/>
      </c>
      <c r="CS37" s="50" t="str">
        <f ca="1">IF(AND(ISNUMBER(CS!P37),ISNUMBER(CS!Q37)),CONCATENATE(CS$10,CT$10),"")</f>
        <v/>
      </c>
      <c r="CT37" s="50" t="str">
        <f ca="1">IF(AND(ISNUMBER(CS!Q37),ISNUMBER(CS!R37)),CONCATENATE(CT$10,CU$10),"")</f>
        <v/>
      </c>
      <c r="CU37" s="50" t="str">
        <f ca="1">IF(AND(ISNUMBER(CS!R37),ISNUMBER(CS!S37)),CONCATENATE(CU$10,CV$10),"")</f>
        <v/>
      </c>
      <c r="CV37" s="50" t="str">
        <f ca="1">IF(AND(ISNUMBER(CS!S37),ISNUMBER(CS!T37)),CONCATENATE(CV$10,CW$10),"")</f>
        <v/>
      </c>
      <c r="CW37" s="50" t="str">
        <f ca="1">IF(AND(ISNUMBER(CS!T37),ISNUMBER(CS!U37)),CONCATENATE(CW$10,CX$10),"")</f>
        <v/>
      </c>
      <c r="CX37" s="50" t="str">
        <f ca="1">IF(AND(ISNUMBER(CS!U37),ISNUMBER(CS!V37)),CONCATENATE(CX$10,CY$10),"")</f>
        <v/>
      </c>
      <c r="CY37" s="50" t="str">
        <f ca="1">IF(AND(ISNUMBER(CS!V37),ISNUMBER(CS!W37)),CONCATENATE(CY$10,CZ$10),"")</f>
        <v/>
      </c>
      <c r="CZ37" s="50" t="str">
        <f ca="1">IF(AND(ISNUMBER(CS!W37),ISNUMBER(CS!X37)),CONCATENATE(CZ$10,DA$10),"")</f>
        <v/>
      </c>
      <c r="DA37" s="50" t="str">
        <f ca="1">IF(AND(ISNUMBER(CS!X37),ISNUMBER(CS!Y37)),CONCATENATE(DA$10,DB$10),"")</f>
        <v/>
      </c>
      <c r="DB37" s="50" t="str">
        <f ca="1">IF(AND(ISNUMBER(CS!Y37),ISNUMBER(CS!Z37)),CONCATENATE(DB$10,DC$10),"")</f>
        <v/>
      </c>
      <c r="DC37" s="50" t="str">
        <f ca="1">IF(AND(ISNUMBER(CS!Z37),ISNUMBER(CS!AA37)),CONCATENATE(DC$10,DD$10),"")</f>
        <v/>
      </c>
      <c r="DD37" s="50" t="str">
        <f ca="1">IF(AND(ISNUMBER(CS!AA37),ISNUMBER(CS!AB37)),CONCATENATE(DD$10,DE$10),"")</f>
        <v/>
      </c>
      <c r="DE37" s="50" t="str">
        <f ca="1">IF(AND(ISNUMBER(CS!AB37),ISNUMBER(CS!AC37)),CONCATENATE(DE$10,DF$10),"")</f>
        <v/>
      </c>
      <c r="DF37" s="50" t="str">
        <f ca="1">IF(AND(ISNUMBER(CS!AC37),ISNUMBER(CS!AD37)),CONCATENATE(DF$10,DG$10),"")</f>
        <v/>
      </c>
      <c r="DG37" s="50" t="str">
        <f ca="1">IF(AND(ISNUMBER(CS!AD37),ISNUMBER(CS!AE37)),CONCATENATE(DG$10,DH$10),"")</f>
        <v/>
      </c>
      <c r="DH37" s="50" t="str">
        <f ca="1">IF(AND(ISNUMBER(CS!AE37),ISNUMBER(CS!AF37)),CONCATENATE(DH$10,DI$10),"")</f>
        <v/>
      </c>
      <c r="DI37" s="50" t="str">
        <f ca="1">IF(AND(ISNUMBER(CS!AF37),ISNUMBER(CS!AG37)),CONCATENATE(DI$10,DJ$10),"")</f>
        <v/>
      </c>
      <c r="DJ37" s="50" t="str">
        <f ca="1">IF(AND(ISNUMBER(CS!AG37),ISNUMBER(CS!AH37)),CONCATENATE(DJ$10,DK$10),"")</f>
        <v/>
      </c>
      <c r="DK37" s="50" t="str">
        <f ca="1">IF(AND(ISNUMBER(CS!AH37),ISNUMBER(CS!AI37)),CONCATENATE(DK$10,DL$10),"")</f>
        <v/>
      </c>
      <c r="DL37" s="50" t="str">
        <f ca="1">IF(AND(ISNUMBER(CS!AI37),ISNUMBER(CS!AJ37)),CONCATENATE(DL$10,DM$10),"")</f>
        <v/>
      </c>
      <c r="DM37" s="50" t="str">
        <f ca="1">IF(AND(ISNUMBER(CS!AJ37),ISNUMBER(CS!AK37)),CONCATENATE(DM$10,DN$10),"")</f>
        <v/>
      </c>
      <c r="DN37" s="50" t="str">
        <f ca="1">IF(AND(ISNUMBER(CS!AK37),ISNUMBER(CS!AL37)),CONCATENATE(DN$10,DO$10),"")</f>
        <v/>
      </c>
      <c r="DO37" s="50" t="str">
        <f ca="1">IF(AND(ISNUMBER(CS!AL37),ISNUMBER(CS!AM37)),CONCATENATE(DO$10,DP$10),"")</f>
        <v/>
      </c>
      <c r="DP37" s="50" t="str">
        <f ca="1">IF(AND(ISNUMBER(CS!AM37),ISNUMBER(CS!AN37)),CONCATENATE(DP$10,DQ$10),"")</f>
        <v/>
      </c>
      <c r="DQ37" s="50" t="str">
        <f ca="1">IF(AND(ISNUMBER(CS!AN37),ISNUMBER(CS!AO37)),CONCATENATE(DQ$10,DR$10),"")</f>
        <v/>
      </c>
      <c r="DR37" s="50" t="str">
        <f ca="1">IF(AND(ISNUMBER(CS!AO37),ISNUMBER(CS!AP37)),CONCATENATE(DR$10,DS$10),"")</f>
        <v/>
      </c>
      <c r="DS37" s="50" t="str">
        <f ca="1">IF(AND(ISNUMBER(CS!AP37),ISNUMBER(CS!AQ37)),CONCATENATE(DS$10,DT$10),"")</f>
        <v/>
      </c>
      <c r="DT37" s="63">
        <f>DrawFinder!Y37</f>
        <v>0</v>
      </c>
    </row>
    <row r="38" spans="2:124">
      <c r="B38" s="393" t="str">
        <f ca="1">TmOrderLU!D38</f>
        <v/>
      </c>
      <c r="C38" s="63" t="str">
        <f ca="1">IF(ISNUMBER(CS!C38),C$10,"")</f>
        <v/>
      </c>
      <c r="D38" s="63" t="str">
        <f ca="1">IF(ISNUMBER(CS!D38),D$10,"")</f>
        <v/>
      </c>
      <c r="E38" s="63" t="str">
        <f ca="1">IF(ISNUMBER(CS!E38),E$10,"")</f>
        <v/>
      </c>
      <c r="F38" s="63" t="str">
        <f ca="1">IF(ISNUMBER(CS!F38),F$10,"")</f>
        <v/>
      </c>
      <c r="G38" s="63" t="str">
        <f ca="1">IF(ISNUMBER(CS!G38),G$10,"")</f>
        <v/>
      </c>
      <c r="H38" s="63" t="str">
        <f ca="1">IF(ISNUMBER(CS!H38),H$10,"")</f>
        <v/>
      </c>
      <c r="I38" s="63" t="str">
        <f ca="1">IF(ISNUMBER(CS!I38),I$10,"")</f>
        <v/>
      </c>
      <c r="J38" s="63" t="str">
        <f ca="1">IF(ISNUMBER(CS!J38),J$10,"")</f>
        <v/>
      </c>
      <c r="K38" s="63" t="str">
        <f ca="1">IF(ISNUMBER(CS!K38),K$10,"")</f>
        <v/>
      </c>
      <c r="L38" s="63" t="str">
        <f ca="1">IF(ISNUMBER(CS!L38),L$10,"")</f>
        <v/>
      </c>
      <c r="M38" s="63" t="str">
        <f ca="1">IF(ISNUMBER(CS!M38),M$10,"")</f>
        <v/>
      </c>
      <c r="N38" s="63" t="str">
        <f ca="1">IF(ISNUMBER(CS!N38),N$10,"")</f>
        <v/>
      </c>
      <c r="O38" s="63" t="str">
        <f ca="1">IF(ISNUMBER(CS!O38),O$10,"")</f>
        <v/>
      </c>
      <c r="P38" s="63" t="str">
        <f ca="1">IF(ISNUMBER(CS!P38),P$10,"")</f>
        <v/>
      </c>
      <c r="Q38" s="63" t="str">
        <f ca="1">IF(ISNUMBER(CS!Q38),Q$10,"")</f>
        <v/>
      </c>
      <c r="R38" s="63" t="str">
        <f ca="1">IF(ISNUMBER(CS!R38),R$10,"")</f>
        <v/>
      </c>
      <c r="S38" s="63" t="str">
        <f ca="1">IF(ISNUMBER(CS!S38),S$10,"")</f>
        <v/>
      </c>
      <c r="T38" s="63" t="str">
        <f ca="1">IF(ISNUMBER(CS!T38),T$10,"")</f>
        <v/>
      </c>
      <c r="U38" s="63" t="str">
        <f ca="1">IF(ISNUMBER(CS!U38),U$10,"")</f>
        <v/>
      </c>
      <c r="V38" s="63" t="str">
        <f ca="1">IF(ISNUMBER(CS!V38),V$10,"")</f>
        <v/>
      </c>
      <c r="W38" s="63" t="str">
        <f ca="1">IF(ISNUMBER(CS!W38),W$10,"")</f>
        <v/>
      </c>
      <c r="X38" s="63" t="str">
        <f ca="1">IF(ISNUMBER(CS!X38),X$10,"")</f>
        <v/>
      </c>
      <c r="Y38" s="63" t="str">
        <f ca="1">IF(ISNUMBER(CS!Y38),Y$10,"")</f>
        <v/>
      </c>
      <c r="Z38" s="63" t="str">
        <f ca="1">IF(ISNUMBER(CS!Z38),Z$10,"")</f>
        <v/>
      </c>
      <c r="AA38" s="63" t="str">
        <f ca="1">IF(ISNUMBER(CS!AA38),AA$10,"")</f>
        <v/>
      </c>
      <c r="AB38" s="63" t="str">
        <f ca="1">IF(ISNUMBER(CS!AB38),AB$10,"")</f>
        <v/>
      </c>
      <c r="AC38" s="63" t="str">
        <f ca="1">IF(ISNUMBER(CS!AC38),AC$10,"")</f>
        <v/>
      </c>
      <c r="AD38" s="63" t="str">
        <f ca="1">IF(ISNUMBER(CS!AD38),AD$10,"")</f>
        <v/>
      </c>
      <c r="AE38" s="63" t="str">
        <f ca="1">IF(ISNUMBER(CS!AE38),AE$10,"")</f>
        <v/>
      </c>
      <c r="AF38" s="63" t="str">
        <f ca="1">IF(ISNUMBER(CS!AF38),AF$10,"")</f>
        <v/>
      </c>
      <c r="AG38" s="63" t="str">
        <f ca="1">IF(ISNUMBER(CS!AG38),AG$10,"")</f>
        <v/>
      </c>
      <c r="AH38" s="63" t="str">
        <f ca="1">IF(ISNUMBER(CS!AH38),AH$10,"")</f>
        <v/>
      </c>
      <c r="AI38" s="63" t="str">
        <f ca="1">IF(ISNUMBER(CS!AI38),AI$10,"")</f>
        <v/>
      </c>
      <c r="AJ38" s="63" t="str">
        <f ca="1">IF(ISNUMBER(CS!AJ38),AJ$10,"")</f>
        <v/>
      </c>
      <c r="AK38" s="63" t="str">
        <f ca="1">IF(ISNUMBER(CS!AK38),AK$10,"")</f>
        <v/>
      </c>
      <c r="AL38" s="63" t="str">
        <f ca="1">IF(ISNUMBER(CS!AL38),AL$10,"")</f>
        <v/>
      </c>
      <c r="AM38" s="63" t="str">
        <f ca="1">IF(ISNUMBER(CS!AM38),AM$10,"")</f>
        <v/>
      </c>
      <c r="AN38" s="63" t="str">
        <f ca="1">IF(ISNUMBER(CS!AN38),AN$10,"")</f>
        <v/>
      </c>
      <c r="AO38" s="63" t="str">
        <f ca="1">IF(ISNUMBER(CS!AO38),AO$10,"")</f>
        <v/>
      </c>
      <c r="AP38" s="414" t="str">
        <f ca="1">IF(ISNUMBER(CS!AP38),AP$10,"")</f>
        <v/>
      </c>
      <c r="AS38" s="4" t="str">
        <f t="shared" ca="1" si="11"/>
        <v/>
      </c>
      <c r="AU38" s="417" t="str">
        <f t="shared" ca="1" si="8"/>
        <v/>
      </c>
      <c r="AV38" s="210" t="str">
        <f t="shared" ca="1" si="8"/>
        <v/>
      </c>
      <c r="AW38" s="210" t="str">
        <f t="shared" ca="1" si="8"/>
        <v/>
      </c>
      <c r="AX38" s="210" t="str">
        <f t="shared" ca="1" si="8"/>
        <v/>
      </c>
      <c r="AY38" s="414" t="str">
        <f t="shared" ca="1" si="8"/>
        <v/>
      </c>
      <c r="BA38" s="417" t="str">
        <f t="shared" ca="1" si="12"/>
        <v/>
      </c>
      <c r="BB38" s="210" t="str">
        <f t="shared" ca="1" si="12"/>
        <v/>
      </c>
      <c r="BC38" s="210" t="str">
        <f t="shared" ca="1" si="12"/>
        <v/>
      </c>
      <c r="BD38" s="210" t="str">
        <f t="shared" ca="1" si="12"/>
        <v/>
      </c>
      <c r="BE38" s="210" t="str">
        <f t="shared" ca="1" si="12"/>
        <v/>
      </c>
      <c r="BF38" s="210" t="str">
        <f t="shared" ca="1" si="12"/>
        <v/>
      </c>
      <c r="BG38" s="210" t="str">
        <f t="shared" ca="1" si="12"/>
        <v/>
      </c>
      <c r="BH38" s="210" t="str">
        <f t="shared" ca="1" si="12"/>
        <v/>
      </c>
      <c r="BI38" s="210" t="str">
        <f t="shared" ca="1" si="12"/>
        <v/>
      </c>
      <c r="BJ38" s="210" t="str">
        <f t="shared" ca="1" si="12"/>
        <v/>
      </c>
      <c r="BK38" s="210" t="str">
        <f t="shared" ca="1" si="12"/>
        <v/>
      </c>
      <c r="BL38" s="210" t="str">
        <f t="shared" ca="1" si="12"/>
        <v/>
      </c>
      <c r="BM38" s="210" t="str">
        <f t="shared" ca="1" si="12"/>
        <v/>
      </c>
      <c r="BN38" s="210" t="str">
        <f t="shared" ca="1" si="12"/>
        <v/>
      </c>
      <c r="BO38" s="210" t="str">
        <f t="shared" ca="1" si="12"/>
        <v/>
      </c>
      <c r="BP38" s="210" t="str">
        <f t="shared" ca="1" si="12"/>
        <v/>
      </c>
      <c r="BQ38" s="414" t="str">
        <f t="shared" ca="1" si="14"/>
        <v/>
      </c>
      <c r="BS38" s="417" t="str">
        <f t="shared" ca="1" si="13"/>
        <v/>
      </c>
      <c r="BT38" s="210" t="str">
        <f t="shared" ca="1" si="13"/>
        <v/>
      </c>
      <c r="BU38" s="210" t="str">
        <f t="shared" ca="1" si="13"/>
        <v/>
      </c>
      <c r="BV38" s="210" t="str">
        <f t="shared" ca="1" si="13"/>
        <v/>
      </c>
      <c r="BW38" s="210" t="str">
        <f t="shared" ca="1" si="13"/>
        <v/>
      </c>
      <c r="BX38" s="210" t="str">
        <f t="shared" ca="1" si="13"/>
        <v/>
      </c>
      <c r="BY38" s="210" t="str">
        <f t="shared" ca="1" si="13"/>
        <v/>
      </c>
      <c r="BZ38" s="210" t="str">
        <f t="shared" ca="1" si="13"/>
        <v/>
      </c>
      <c r="CA38" s="210" t="str">
        <f t="shared" ca="1" si="13"/>
        <v/>
      </c>
      <c r="CB38" s="396" t="str">
        <f t="shared" ca="1" si="13"/>
        <v/>
      </c>
      <c r="CC38" s="68"/>
      <c r="CD38" s="419" t="e">
        <f t="shared" ca="1" si="15"/>
        <v>#N/A</v>
      </c>
      <c r="CF38" s="50" t="str">
        <f ca="1">IF(AND(ISNUMBER(CS!C38),ISNUMBER(CS!D38)),CONCATENATE(CF$10,CG$10),"")</f>
        <v/>
      </c>
      <c r="CG38" s="50" t="str">
        <f ca="1">IF(AND(ISNUMBER(CS!D38),ISNUMBER(CS!E38)),CONCATENATE(CG$10,CH$10),"")</f>
        <v/>
      </c>
      <c r="CH38" s="50" t="str">
        <f ca="1">IF(AND(ISNUMBER(CS!E38),ISNUMBER(CS!F38)),CONCATENATE(CH$10,CI$10),"")</f>
        <v/>
      </c>
      <c r="CI38" s="50" t="str">
        <f ca="1">IF(AND(ISNUMBER(CS!F38),ISNUMBER(CS!G38)),CONCATENATE(CI$10,CJ$10),"")</f>
        <v/>
      </c>
      <c r="CJ38" s="50" t="str">
        <f ca="1">IF(AND(ISNUMBER(CS!G38),ISNUMBER(CS!H38)),CONCATENATE(CJ$10,CK$10),"")</f>
        <v/>
      </c>
      <c r="CK38" s="50" t="str">
        <f ca="1">IF(AND(ISNUMBER(CS!H38),ISNUMBER(CS!I38)),CONCATENATE(CK$10,CL$10),"")</f>
        <v/>
      </c>
      <c r="CL38" s="50" t="str">
        <f ca="1">IF(AND(ISNUMBER(CS!I38),ISNUMBER(CS!J38)),CONCATENATE(CL$10,CM$10),"")</f>
        <v/>
      </c>
      <c r="CM38" s="50" t="str">
        <f ca="1">IF(AND(ISNUMBER(CS!J38),ISNUMBER(CS!K38)),CONCATENATE(CM$10,CN$10),"")</f>
        <v/>
      </c>
      <c r="CN38" s="50" t="str">
        <f ca="1">IF(AND(ISNUMBER(CS!K38),ISNUMBER(CS!L38)),CONCATENATE(CN$10,CO$10),"")</f>
        <v/>
      </c>
      <c r="CO38" s="50" t="str">
        <f ca="1">IF(AND(ISNUMBER(CS!L38),ISNUMBER(CS!M38)),CONCATENATE(CO$10,CP$10),"")</f>
        <v/>
      </c>
      <c r="CP38" s="50" t="str">
        <f ca="1">IF(AND(ISNUMBER(CS!M38),ISNUMBER(CS!N38)),CONCATENATE(CP$10,CQ$10),"")</f>
        <v/>
      </c>
      <c r="CQ38" s="50" t="str">
        <f ca="1">IF(AND(ISNUMBER(CS!N38),ISNUMBER(CS!O38)),CONCATENATE(CQ$10,CR$10),"")</f>
        <v/>
      </c>
      <c r="CR38" s="50" t="str">
        <f ca="1">IF(AND(ISNUMBER(CS!O38),ISNUMBER(CS!P38)),CONCATENATE(CR$10,CS$10),"")</f>
        <v/>
      </c>
      <c r="CS38" s="50" t="str">
        <f ca="1">IF(AND(ISNUMBER(CS!P38),ISNUMBER(CS!Q38)),CONCATENATE(CS$10,CT$10),"")</f>
        <v/>
      </c>
      <c r="CT38" s="50" t="str">
        <f ca="1">IF(AND(ISNUMBER(CS!Q38),ISNUMBER(CS!R38)),CONCATENATE(CT$10,CU$10),"")</f>
        <v/>
      </c>
      <c r="CU38" s="50" t="str">
        <f ca="1">IF(AND(ISNUMBER(CS!R38),ISNUMBER(CS!S38)),CONCATENATE(CU$10,CV$10),"")</f>
        <v/>
      </c>
      <c r="CV38" s="50" t="str">
        <f ca="1">IF(AND(ISNUMBER(CS!S38),ISNUMBER(CS!T38)),CONCATENATE(CV$10,CW$10),"")</f>
        <v/>
      </c>
      <c r="CW38" s="50" t="str">
        <f ca="1">IF(AND(ISNUMBER(CS!T38),ISNUMBER(CS!U38)),CONCATENATE(CW$10,CX$10),"")</f>
        <v/>
      </c>
      <c r="CX38" s="50" t="str">
        <f ca="1">IF(AND(ISNUMBER(CS!U38),ISNUMBER(CS!V38)),CONCATENATE(CX$10,CY$10),"")</f>
        <v/>
      </c>
      <c r="CY38" s="50" t="str">
        <f ca="1">IF(AND(ISNUMBER(CS!V38),ISNUMBER(CS!W38)),CONCATENATE(CY$10,CZ$10),"")</f>
        <v/>
      </c>
      <c r="CZ38" s="50" t="str">
        <f ca="1">IF(AND(ISNUMBER(CS!W38),ISNUMBER(CS!X38)),CONCATENATE(CZ$10,DA$10),"")</f>
        <v/>
      </c>
      <c r="DA38" s="50" t="str">
        <f ca="1">IF(AND(ISNUMBER(CS!X38),ISNUMBER(CS!Y38)),CONCATENATE(DA$10,DB$10),"")</f>
        <v/>
      </c>
      <c r="DB38" s="50" t="str">
        <f ca="1">IF(AND(ISNUMBER(CS!Y38),ISNUMBER(CS!Z38)),CONCATENATE(DB$10,DC$10),"")</f>
        <v/>
      </c>
      <c r="DC38" s="50" t="str">
        <f ca="1">IF(AND(ISNUMBER(CS!Z38),ISNUMBER(CS!AA38)),CONCATENATE(DC$10,DD$10),"")</f>
        <v/>
      </c>
      <c r="DD38" s="50" t="str">
        <f ca="1">IF(AND(ISNUMBER(CS!AA38),ISNUMBER(CS!AB38)),CONCATENATE(DD$10,DE$10),"")</f>
        <v/>
      </c>
      <c r="DE38" s="50" t="str">
        <f ca="1">IF(AND(ISNUMBER(CS!AB38),ISNUMBER(CS!AC38)),CONCATENATE(DE$10,DF$10),"")</f>
        <v/>
      </c>
      <c r="DF38" s="50" t="str">
        <f ca="1">IF(AND(ISNUMBER(CS!AC38),ISNUMBER(CS!AD38)),CONCATENATE(DF$10,DG$10),"")</f>
        <v/>
      </c>
      <c r="DG38" s="50" t="str">
        <f ca="1">IF(AND(ISNUMBER(CS!AD38),ISNUMBER(CS!AE38)),CONCATENATE(DG$10,DH$10),"")</f>
        <v/>
      </c>
      <c r="DH38" s="50" t="str">
        <f ca="1">IF(AND(ISNUMBER(CS!AE38),ISNUMBER(CS!AF38)),CONCATENATE(DH$10,DI$10),"")</f>
        <v/>
      </c>
      <c r="DI38" s="50" t="str">
        <f ca="1">IF(AND(ISNUMBER(CS!AF38),ISNUMBER(CS!AG38)),CONCATENATE(DI$10,DJ$10),"")</f>
        <v/>
      </c>
      <c r="DJ38" s="50" t="str">
        <f ca="1">IF(AND(ISNUMBER(CS!AG38),ISNUMBER(CS!AH38)),CONCATENATE(DJ$10,DK$10),"")</f>
        <v/>
      </c>
      <c r="DK38" s="50" t="str">
        <f ca="1">IF(AND(ISNUMBER(CS!AH38),ISNUMBER(CS!AI38)),CONCATENATE(DK$10,DL$10),"")</f>
        <v/>
      </c>
      <c r="DL38" s="50" t="str">
        <f ca="1">IF(AND(ISNUMBER(CS!AI38),ISNUMBER(CS!AJ38)),CONCATENATE(DL$10,DM$10),"")</f>
        <v/>
      </c>
      <c r="DM38" s="50" t="str">
        <f ca="1">IF(AND(ISNUMBER(CS!AJ38),ISNUMBER(CS!AK38)),CONCATENATE(DM$10,DN$10),"")</f>
        <v/>
      </c>
      <c r="DN38" s="50" t="str">
        <f ca="1">IF(AND(ISNUMBER(CS!AK38),ISNUMBER(CS!AL38)),CONCATENATE(DN$10,DO$10),"")</f>
        <v/>
      </c>
      <c r="DO38" s="50" t="str">
        <f ca="1">IF(AND(ISNUMBER(CS!AL38),ISNUMBER(CS!AM38)),CONCATENATE(DO$10,DP$10),"")</f>
        <v/>
      </c>
      <c r="DP38" s="50" t="str">
        <f ca="1">IF(AND(ISNUMBER(CS!AM38),ISNUMBER(CS!AN38)),CONCATENATE(DP$10,DQ$10),"")</f>
        <v/>
      </c>
      <c r="DQ38" s="50" t="str">
        <f ca="1">IF(AND(ISNUMBER(CS!AN38),ISNUMBER(CS!AO38)),CONCATENATE(DQ$10,DR$10),"")</f>
        <v/>
      </c>
      <c r="DR38" s="50" t="str">
        <f ca="1">IF(AND(ISNUMBER(CS!AO38),ISNUMBER(CS!AP38)),CONCATENATE(DR$10,DS$10),"")</f>
        <v/>
      </c>
      <c r="DS38" s="50" t="str">
        <f ca="1">IF(AND(ISNUMBER(CS!AP38),ISNUMBER(CS!AQ38)),CONCATENATE(DS$10,DT$10),"")</f>
        <v/>
      </c>
      <c r="DT38" s="63">
        <f>DrawFinder!Y38</f>
        <v>0</v>
      </c>
    </row>
    <row r="39" spans="2:124">
      <c r="B39" s="393" t="str">
        <f ca="1">TmOrderLU!D39</f>
        <v/>
      </c>
      <c r="C39" s="63" t="str">
        <f ca="1">IF(ISNUMBER(CS!C39),C$10,"")</f>
        <v/>
      </c>
      <c r="D39" s="63" t="str">
        <f ca="1">IF(ISNUMBER(CS!D39),D$10,"")</f>
        <v/>
      </c>
      <c r="E39" s="63" t="str">
        <f ca="1">IF(ISNUMBER(CS!E39),E$10,"")</f>
        <v/>
      </c>
      <c r="F39" s="63" t="str">
        <f ca="1">IF(ISNUMBER(CS!F39),F$10,"")</f>
        <v/>
      </c>
      <c r="G39" s="63" t="str">
        <f ca="1">IF(ISNUMBER(CS!G39),G$10,"")</f>
        <v/>
      </c>
      <c r="H39" s="63" t="str">
        <f ca="1">IF(ISNUMBER(CS!H39),H$10,"")</f>
        <v/>
      </c>
      <c r="I39" s="63" t="str">
        <f ca="1">IF(ISNUMBER(CS!I39),I$10,"")</f>
        <v/>
      </c>
      <c r="J39" s="63" t="str">
        <f ca="1">IF(ISNUMBER(CS!J39),J$10,"")</f>
        <v/>
      </c>
      <c r="K39" s="63" t="str">
        <f ca="1">IF(ISNUMBER(CS!K39),K$10,"")</f>
        <v/>
      </c>
      <c r="L39" s="63" t="str">
        <f ca="1">IF(ISNUMBER(CS!L39),L$10,"")</f>
        <v/>
      </c>
      <c r="M39" s="63" t="str">
        <f ca="1">IF(ISNUMBER(CS!M39),M$10,"")</f>
        <v/>
      </c>
      <c r="N39" s="63" t="str">
        <f ca="1">IF(ISNUMBER(CS!N39),N$10,"")</f>
        <v/>
      </c>
      <c r="O39" s="63" t="str">
        <f ca="1">IF(ISNUMBER(CS!O39),O$10,"")</f>
        <v/>
      </c>
      <c r="P39" s="63" t="str">
        <f ca="1">IF(ISNUMBER(CS!P39),P$10,"")</f>
        <v/>
      </c>
      <c r="Q39" s="63" t="str">
        <f ca="1">IF(ISNUMBER(CS!Q39),Q$10,"")</f>
        <v/>
      </c>
      <c r="R39" s="63" t="str">
        <f ca="1">IF(ISNUMBER(CS!R39),R$10,"")</f>
        <v/>
      </c>
      <c r="S39" s="63" t="str">
        <f ca="1">IF(ISNUMBER(CS!S39),S$10,"")</f>
        <v/>
      </c>
      <c r="T39" s="63" t="str">
        <f ca="1">IF(ISNUMBER(CS!T39),T$10,"")</f>
        <v/>
      </c>
      <c r="U39" s="63" t="str">
        <f ca="1">IF(ISNUMBER(CS!U39),U$10,"")</f>
        <v/>
      </c>
      <c r="V39" s="63" t="str">
        <f ca="1">IF(ISNUMBER(CS!V39),V$10,"")</f>
        <v/>
      </c>
      <c r="W39" s="63" t="str">
        <f ca="1">IF(ISNUMBER(CS!W39),W$10,"")</f>
        <v/>
      </c>
      <c r="X39" s="63" t="str">
        <f ca="1">IF(ISNUMBER(CS!X39),X$10,"")</f>
        <v/>
      </c>
      <c r="Y39" s="63" t="str">
        <f ca="1">IF(ISNUMBER(CS!Y39),Y$10,"")</f>
        <v/>
      </c>
      <c r="Z39" s="63" t="str">
        <f ca="1">IF(ISNUMBER(CS!Z39),Z$10,"")</f>
        <v/>
      </c>
      <c r="AA39" s="63" t="str">
        <f ca="1">IF(ISNUMBER(CS!AA39),AA$10,"")</f>
        <v/>
      </c>
      <c r="AB39" s="63" t="str">
        <f ca="1">IF(ISNUMBER(CS!AB39),AB$10,"")</f>
        <v/>
      </c>
      <c r="AC39" s="63" t="str">
        <f ca="1">IF(ISNUMBER(CS!AC39),AC$10,"")</f>
        <v/>
      </c>
      <c r="AD39" s="63" t="str">
        <f ca="1">IF(ISNUMBER(CS!AD39),AD$10,"")</f>
        <v/>
      </c>
      <c r="AE39" s="63" t="str">
        <f ca="1">IF(ISNUMBER(CS!AE39),AE$10,"")</f>
        <v/>
      </c>
      <c r="AF39" s="63" t="str">
        <f ca="1">IF(ISNUMBER(CS!AF39),AF$10,"")</f>
        <v/>
      </c>
      <c r="AG39" s="63" t="str">
        <f ca="1">IF(ISNUMBER(CS!AG39),AG$10,"")</f>
        <v/>
      </c>
      <c r="AH39" s="63" t="str">
        <f ca="1">IF(ISNUMBER(CS!AH39),AH$10,"")</f>
        <v/>
      </c>
      <c r="AI39" s="63" t="str">
        <f ca="1">IF(ISNUMBER(CS!AI39),AI$10,"")</f>
        <v/>
      </c>
      <c r="AJ39" s="63" t="str">
        <f ca="1">IF(ISNUMBER(CS!AJ39),AJ$10,"")</f>
        <v/>
      </c>
      <c r="AK39" s="63" t="str">
        <f ca="1">IF(ISNUMBER(CS!AK39),AK$10,"")</f>
        <v/>
      </c>
      <c r="AL39" s="63" t="str">
        <f ca="1">IF(ISNUMBER(CS!AL39),AL$10,"")</f>
        <v/>
      </c>
      <c r="AM39" s="63" t="str">
        <f ca="1">IF(ISNUMBER(CS!AM39),AM$10,"")</f>
        <v/>
      </c>
      <c r="AN39" s="63" t="str">
        <f ca="1">IF(ISNUMBER(CS!AN39),AN$10,"")</f>
        <v/>
      </c>
      <c r="AO39" s="63" t="str">
        <f ca="1">IF(ISNUMBER(CS!AO39),AO$10,"")</f>
        <v/>
      </c>
      <c r="AP39" s="414" t="str">
        <f ca="1">IF(ISNUMBER(CS!AP39),AP$10,"")</f>
        <v/>
      </c>
      <c r="AS39" s="4" t="str">
        <f t="shared" ca="1" si="11"/>
        <v/>
      </c>
      <c r="AU39" s="417" t="str">
        <f t="shared" ca="1" si="8"/>
        <v/>
      </c>
      <c r="AV39" s="210" t="str">
        <f t="shared" ca="1" si="8"/>
        <v/>
      </c>
      <c r="AW39" s="210" t="str">
        <f t="shared" ca="1" si="8"/>
        <v/>
      </c>
      <c r="AX39" s="210" t="str">
        <f t="shared" ca="1" si="8"/>
        <v/>
      </c>
      <c r="AY39" s="414" t="str">
        <f t="shared" ca="1" si="8"/>
        <v/>
      </c>
      <c r="BA39" s="417" t="str">
        <f t="shared" ca="1" si="12"/>
        <v/>
      </c>
      <c r="BB39" s="210" t="str">
        <f t="shared" ca="1" si="12"/>
        <v/>
      </c>
      <c r="BC39" s="210" t="str">
        <f t="shared" ca="1" si="12"/>
        <v/>
      </c>
      <c r="BD39" s="210" t="str">
        <f t="shared" ca="1" si="12"/>
        <v/>
      </c>
      <c r="BE39" s="210" t="str">
        <f t="shared" ca="1" si="12"/>
        <v/>
      </c>
      <c r="BF39" s="210" t="str">
        <f t="shared" ca="1" si="12"/>
        <v/>
      </c>
      <c r="BG39" s="210" t="str">
        <f t="shared" ca="1" si="12"/>
        <v/>
      </c>
      <c r="BH39" s="210" t="str">
        <f t="shared" ca="1" si="12"/>
        <v/>
      </c>
      <c r="BI39" s="210" t="str">
        <f t="shared" ca="1" si="12"/>
        <v/>
      </c>
      <c r="BJ39" s="210" t="str">
        <f t="shared" ca="1" si="12"/>
        <v/>
      </c>
      <c r="BK39" s="210" t="str">
        <f t="shared" ca="1" si="12"/>
        <v/>
      </c>
      <c r="BL39" s="210" t="str">
        <f t="shared" ca="1" si="12"/>
        <v/>
      </c>
      <c r="BM39" s="210" t="str">
        <f t="shared" ca="1" si="12"/>
        <v/>
      </c>
      <c r="BN39" s="210" t="str">
        <f t="shared" ca="1" si="12"/>
        <v/>
      </c>
      <c r="BO39" s="210" t="str">
        <f t="shared" ca="1" si="12"/>
        <v/>
      </c>
      <c r="BP39" s="210" t="str">
        <f t="shared" ca="1" si="12"/>
        <v/>
      </c>
      <c r="BQ39" s="414" t="str">
        <f t="shared" ca="1" si="14"/>
        <v/>
      </c>
      <c r="BS39" s="417" t="str">
        <f t="shared" ca="1" si="13"/>
        <v/>
      </c>
      <c r="BT39" s="210" t="str">
        <f t="shared" ca="1" si="13"/>
        <v/>
      </c>
      <c r="BU39" s="210" t="str">
        <f t="shared" ca="1" si="13"/>
        <v/>
      </c>
      <c r="BV39" s="210" t="str">
        <f t="shared" ca="1" si="13"/>
        <v/>
      </c>
      <c r="BW39" s="210" t="str">
        <f t="shared" ca="1" si="13"/>
        <v/>
      </c>
      <c r="BX39" s="210" t="str">
        <f t="shared" ca="1" si="13"/>
        <v/>
      </c>
      <c r="BY39" s="210" t="str">
        <f t="shared" ca="1" si="13"/>
        <v/>
      </c>
      <c r="BZ39" s="210" t="str">
        <f t="shared" ca="1" si="13"/>
        <v/>
      </c>
      <c r="CA39" s="210" t="str">
        <f t="shared" ca="1" si="13"/>
        <v/>
      </c>
      <c r="CB39" s="396" t="str">
        <f t="shared" ca="1" si="13"/>
        <v/>
      </c>
      <c r="CC39" s="68"/>
      <c r="CD39" s="419" t="e">
        <f t="shared" ca="1" si="15"/>
        <v>#N/A</v>
      </c>
      <c r="CF39" s="50" t="str">
        <f ca="1">IF(AND(ISNUMBER(CS!C39),ISNUMBER(CS!D39)),CONCATENATE(CF$10,CG$10),"")</f>
        <v/>
      </c>
      <c r="CG39" s="50" t="str">
        <f ca="1">IF(AND(ISNUMBER(CS!D39),ISNUMBER(CS!E39)),CONCATENATE(CG$10,CH$10),"")</f>
        <v/>
      </c>
      <c r="CH39" s="50" t="str">
        <f ca="1">IF(AND(ISNUMBER(CS!E39),ISNUMBER(CS!F39)),CONCATENATE(CH$10,CI$10),"")</f>
        <v/>
      </c>
      <c r="CI39" s="50" t="str">
        <f ca="1">IF(AND(ISNUMBER(CS!F39),ISNUMBER(CS!G39)),CONCATENATE(CI$10,CJ$10),"")</f>
        <v/>
      </c>
      <c r="CJ39" s="50" t="str">
        <f ca="1">IF(AND(ISNUMBER(CS!G39),ISNUMBER(CS!H39)),CONCATENATE(CJ$10,CK$10),"")</f>
        <v/>
      </c>
      <c r="CK39" s="50" t="str">
        <f ca="1">IF(AND(ISNUMBER(CS!H39),ISNUMBER(CS!I39)),CONCATENATE(CK$10,CL$10),"")</f>
        <v/>
      </c>
      <c r="CL39" s="50" t="str">
        <f ca="1">IF(AND(ISNUMBER(CS!I39),ISNUMBER(CS!J39)),CONCATENATE(CL$10,CM$10),"")</f>
        <v/>
      </c>
      <c r="CM39" s="50" t="str">
        <f ca="1">IF(AND(ISNUMBER(CS!J39),ISNUMBER(CS!K39)),CONCATENATE(CM$10,CN$10),"")</f>
        <v/>
      </c>
      <c r="CN39" s="50" t="str">
        <f ca="1">IF(AND(ISNUMBER(CS!K39),ISNUMBER(CS!L39)),CONCATENATE(CN$10,CO$10),"")</f>
        <v/>
      </c>
      <c r="CO39" s="50" t="str">
        <f ca="1">IF(AND(ISNUMBER(CS!L39),ISNUMBER(CS!M39)),CONCATENATE(CO$10,CP$10),"")</f>
        <v/>
      </c>
      <c r="CP39" s="50" t="str">
        <f ca="1">IF(AND(ISNUMBER(CS!M39),ISNUMBER(CS!N39)),CONCATENATE(CP$10,CQ$10),"")</f>
        <v/>
      </c>
      <c r="CQ39" s="50" t="str">
        <f ca="1">IF(AND(ISNUMBER(CS!N39),ISNUMBER(CS!O39)),CONCATENATE(CQ$10,CR$10),"")</f>
        <v/>
      </c>
      <c r="CR39" s="50" t="str">
        <f ca="1">IF(AND(ISNUMBER(CS!O39),ISNUMBER(CS!P39)),CONCATENATE(CR$10,CS$10),"")</f>
        <v/>
      </c>
      <c r="CS39" s="50" t="str">
        <f ca="1">IF(AND(ISNUMBER(CS!P39),ISNUMBER(CS!Q39)),CONCATENATE(CS$10,CT$10),"")</f>
        <v/>
      </c>
      <c r="CT39" s="50" t="str">
        <f ca="1">IF(AND(ISNUMBER(CS!Q39),ISNUMBER(CS!R39)),CONCATENATE(CT$10,CU$10),"")</f>
        <v/>
      </c>
      <c r="CU39" s="50" t="str">
        <f ca="1">IF(AND(ISNUMBER(CS!R39),ISNUMBER(CS!S39)),CONCATENATE(CU$10,CV$10),"")</f>
        <v/>
      </c>
      <c r="CV39" s="50" t="str">
        <f ca="1">IF(AND(ISNUMBER(CS!S39),ISNUMBER(CS!T39)),CONCATENATE(CV$10,CW$10),"")</f>
        <v/>
      </c>
      <c r="CW39" s="50" t="str">
        <f ca="1">IF(AND(ISNUMBER(CS!T39),ISNUMBER(CS!U39)),CONCATENATE(CW$10,CX$10),"")</f>
        <v/>
      </c>
      <c r="CX39" s="50" t="str">
        <f ca="1">IF(AND(ISNUMBER(CS!U39),ISNUMBER(CS!V39)),CONCATENATE(CX$10,CY$10),"")</f>
        <v/>
      </c>
      <c r="CY39" s="50" t="str">
        <f ca="1">IF(AND(ISNUMBER(CS!V39),ISNUMBER(CS!W39)),CONCATENATE(CY$10,CZ$10),"")</f>
        <v/>
      </c>
      <c r="CZ39" s="50" t="str">
        <f ca="1">IF(AND(ISNUMBER(CS!W39),ISNUMBER(CS!X39)),CONCATENATE(CZ$10,DA$10),"")</f>
        <v/>
      </c>
      <c r="DA39" s="50" t="str">
        <f ca="1">IF(AND(ISNUMBER(CS!X39),ISNUMBER(CS!Y39)),CONCATENATE(DA$10,DB$10),"")</f>
        <v/>
      </c>
      <c r="DB39" s="50" t="str">
        <f ca="1">IF(AND(ISNUMBER(CS!Y39),ISNUMBER(CS!Z39)),CONCATENATE(DB$10,DC$10),"")</f>
        <v/>
      </c>
      <c r="DC39" s="50" t="str">
        <f ca="1">IF(AND(ISNUMBER(CS!Z39),ISNUMBER(CS!AA39)),CONCATENATE(DC$10,DD$10),"")</f>
        <v/>
      </c>
      <c r="DD39" s="50" t="str">
        <f ca="1">IF(AND(ISNUMBER(CS!AA39),ISNUMBER(CS!AB39)),CONCATENATE(DD$10,DE$10),"")</f>
        <v/>
      </c>
      <c r="DE39" s="50" t="str">
        <f ca="1">IF(AND(ISNUMBER(CS!AB39),ISNUMBER(CS!AC39)),CONCATENATE(DE$10,DF$10),"")</f>
        <v/>
      </c>
      <c r="DF39" s="50" t="str">
        <f ca="1">IF(AND(ISNUMBER(CS!AC39),ISNUMBER(CS!AD39)),CONCATENATE(DF$10,DG$10),"")</f>
        <v/>
      </c>
      <c r="DG39" s="50" t="str">
        <f ca="1">IF(AND(ISNUMBER(CS!AD39),ISNUMBER(CS!AE39)),CONCATENATE(DG$10,DH$10),"")</f>
        <v/>
      </c>
      <c r="DH39" s="50" t="str">
        <f ca="1">IF(AND(ISNUMBER(CS!AE39),ISNUMBER(CS!AF39)),CONCATENATE(DH$10,DI$10),"")</f>
        <v/>
      </c>
      <c r="DI39" s="50" t="str">
        <f ca="1">IF(AND(ISNUMBER(CS!AF39),ISNUMBER(CS!AG39)),CONCATENATE(DI$10,DJ$10),"")</f>
        <v/>
      </c>
      <c r="DJ39" s="50" t="str">
        <f ca="1">IF(AND(ISNUMBER(CS!AG39),ISNUMBER(CS!AH39)),CONCATENATE(DJ$10,DK$10),"")</f>
        <v/>
      </c>
      <c r="DK39" s="50" t="str">
        <f ca="1">IF(AND(ISNUMBER(CS!AH39),ISNUMBER(CS!AI39)),CONCATENATE(DK$10,DL$10),"")</f>
        <v/>
      </c>
      <c r="DL39" s="50" t="str">
        <f ca="1">IF(AND(ISNUMBER(CS!AI39),ISNUMBER(CS!AJ39)),CONCATENATE(DL$10,DM$10),"")</f>
        <v/>
      </c>
      <c r="DM39" s="50" t="str">
        <f ca="1">IF(AND(ISNUMBER(CS!AJ39),ISNUMBER(CS!AK39)),CONCATENATE(DM$10,DN$10),"")</f>
        <v/>
      </c>
      <c r="DN39" s="50" t="str">
        <f ca="1">IF(AND(ISNUMBER(CS!AK39),ISNUMBER(CS!AL39)),CONCATENATE(DN$10,DO$10),"")</f>
        <v/>
      </c>
      <c r="DO39" s="50" t="str">
        <f ca="1">IF(AND(ISNUMBER(CS!AL39),ISNUMBER(CS!AM39)),CONCATENATE(DO$10,DP$10),"")</f>
        <v/>
      </c>
      <c r="DP39" s="50" t="str">
        <f ca="1">IF(AND(ISNUMBER(CS!AM39),ISNUMBER(CS!AN39)),CONCATENATE(DP$10,DQ$10),"")</f>
        <v/>
      </c>
      <c r="DQ39" s="50" t="str">
        <f ca="1">IF(AND(ISNUMBER(CS!AN39),ISNUMBER(CS!AO39)),CONCATENATE(DQ$10,DR$10),"")</f>
        <v/>
      </c>
      <c r="DR39" s="50" t="str">
        <f ca="1">IF(AND(ISNUMBER(CS!AO39),ISNUMBER(CS!AP39)),CONCATENATE(DR$10,DS$10),"")</f>
        <v/>
      </c>
      <c r="DS39" s="50" t="str">
        <f ca="1">IF(AND(ISNUMBER(CS!AP39),ISNUMBER(CS!AQ39)),CONCATENATE(DS$10,DT$10),"")</f>
        <v/>
      </c>
      <c r="DT39" s="63">
        <f>DrawFinder!Y39</f>
        <v>0</v>
      </c>
    </row>
    <row r="40" spans="2:124">
      <c r="B40" s="393" t="str">
        <f ca="1">TmOrderLU!D40</f>
        <v/>
      </c>
      <c r="C40" s="63" t="str">
        <f ca="1">IF(ISNUMBER(CS!C40),C$10,"")</f>
        <v/>
      </c>
      <c r="D40" s="63" t="str">
        <f ca="1">IF(ISNUMBER(CS!D40),D$10,"")</f>
        <v/>
      </c>
      <c r="E40" s="63" t="str">
        <f ca="1">IF(ISNUMBER(CS!E40),E$10,"")</f>
        <v/>
      </c>
      <c r="F40" s="63" t="str">
        <f ca="1">IF(ISNUMBER(CS!F40),F$10,"")</f>
        <v/>
      </c>
      <c r="G40" s="63" t="str">
        <f ca="1">IF(ISNUMBER(CS!G40),G$10,"")</f>
        <v/>
      </c>
      <c r="H40" s="63" t="str">
        <f ca="1">IF(ISNUMBER(CS!H40),H$10,"")</f>
        <v/>
      </c>
      <c r="I40" s="63" t="str">
        <f ca="1">IF(ISNUMBER(CS!I40),I$10,"")</f>
        <v/>
      </c>
      <c r="J40" s="63" t="str">
        <f ca="1">IF(ISNUMBER(CS!J40),J$10,"")</f>
        <v/>
      </c>
      <c r="K40" s="63" t="str">
        <f ca="1">IF(ISNUMBER(CS!K40),K$10,"")</f>
        <v/>
      </c>
      <c r="L40" s="63" t="str">
        <f ca="1">IF(ISNUMBER(CS!L40),L$10,"")</f>
        <v/>
      </c>
      <c r="M40" s="63" t="str">
        <f ca="1">IF(ISNUMBER(CS!M40),M$10,"")</f>
        <v/>
      </c>
      <c r="N40" s="63" t="str">
        <f ca="1">IF(ISNUMBER(CS!N40),N$10,"")</f>
        <v/>
      </c>
      <c r="O40" s="63" t="str">
        <f ca="1">IF(ISNUMBER(CS!O40),O$10,"")</f>
        <v/>
      </c>
      <c r="P40" s="63" t="str">
        <f ca="1">IF(ISNUMBER(CS!P40),P$10,"")</f>
        <v/>
      </c>
      <c r="Q40" s="63" t="str">
        <f ca="1">IF(ISNUMBER(CS!Q40),Q$10,"")</f>
        <v/>
      </c>
      <c r="R40" s="63" t="str">
        <f ca="1">IF(ISNUMBER(CS!R40),R$10,"")</f>
        <v/>
      </c>
      <c r="S40" s="63" t="str">
        <f ca="1">IF(ISNUMBER(CS!S40),S$10,"")</f>
        <v/>
      </c>
      <c r="T40" s="63" t="str">
        <f ca="1">IF(ISNUMBER(CS!T40),T$10,"")</f>
        <v/>
      </c>
      <c r="U40" s="63" t="str">
        <f ca="1">IF(ISNUMBER(CS!U40),U$10,"")</f>
        <v/>
      </c>
      <c r="V40" s="63" t="str">
        <f ca="1">IF(ISNUMBER(CS!V40),V$10,"")</f>
        <v/>
      </c>
      <c r="W40" s="63" t="str">
        <f ca="1">IF(ISNUMBER(CS!W40),W$10,"")</f>
        <v/>
      </c>
      <c r="X40" s="63" t="str">
        <f ca="1">IF(ISNUMBER(CS!X40),X$10,"")</f>
        <v/>
      </c>
      <c r="Y40" s="63" t="str">
        <f ca="1">IF(ISNUMBER(CS!Y40),Y$10,"")</f>
        <v/>
      </c>
      <c r="Z40" s="63" t="str">
        <f ca="1">IF(ISNUMBER(CS!Z40),Z$10,"")</f>
        <v/>
      </c>
      <c r="AA40" s="63" t="str">
        <f ca="1">IF(ISNUMBER(CS!AA40),AA$10,"")</f>
        <v/>
      </c>
      <c r="AB40" s="63" t="str">
        <f ca="1">IF(ISNUMBER(CS!AB40),AB$10,"")</f>
        <v/>
      </c>
      <c r="AC40" s="63" t="str">
        <f ca="1">IF(ISNUMBER(CS!AC40),AC$10,"")</f>
        <v/>
      </c>
      <c r="AD40" s="63" t="str">
        <f ca="1">IF(ISNUMBER(CS!AD40),AD$10,"")</f>
        <v/>
      </c>
      <c r="AE40" s="63" t="str">
        <f ca="1">IF(ISNUMBER(CS!AE40),AE$10,"")</f>
        <v/>
      </c>
      <c r="AF40" s="63" t="str">
        <f ca="1">IF(ISNUMBER(CS!AF40),AF$10,"")</f>
        <v/>
      </c>
      <c r="AG40" s="63" t="str">
        <f ca="1">IF(ISNUMBER(CS!AG40),AG$10,"")</f>
        <v/>
      </c>
      <c r="AH40" s="63" t="str">
        <f ca="1">IF(ISNUMBER(CS!AH40),AH$10,"")</f>
        <v/>
      </c>
      <c r="AI40" s="63" t="str">
        <f ca="1">IF(ISNUMBER(CS!AI40),AI$10,"")</f>
        <v/>
      </c>
      <c r="AJ40" s="63" t="str">
        <f ca="1">IF(ISNUMBER(CS!AJ40),AJ$10,"")</f>
        <v/>
      </c>
      <c r="AK40" s="63" t="str">
        <f ca="1">IF(ISNUMBER(CS!AK40),AK$10,"")</f>
        <v/>
      </c>
      <c r="AL40" s="63" t="str">
        <f ca="1">IF(ISNUMBER(CS!AL40),AL$10,"")</f>
        <v/>
      </c>
      <c r="AM40" s="63" t="str">
        <f ca="1">IF(ISNUMBER(CS!AM40),AM$10,"")</f>
        <v/>
      </c>
      <c r="AN40" s="63" t="str">
        <f ca="1">IF(ISNUMBER(CS!AN40),AN$10,"")</f>
        <v/>
      </c>
      <c r="AO40" s="63" t="str">
        <f ca="1">IF(ISNUMBER(CS!AO40),AO$10,"")</f>
        <v/>
      </c>
      <c r="AP40" s="414" t="str">
        <f ca="1">IF(ISNUMBER(CS!AP40),AP$10,"")</f>
        <v/>
      </c>
      <c r="AS40" s="4" t="str">
        <f t="shared" ca="1" si="11"/>
        <v/>
      </c>
      <c r="AU40" s="417" t="str">
        <f t="shared" ca="1" si="8"/>
        <v/>
      </c>
      <c r="AV40" s="210" t="str">
        <f t="shared" ca="1" si="8"/>
        <v/>
      </c>
      <c r="AW40" s="210" t="str">
        <f t="shared" ca="1" si="8"/>
        <v/>
      </c>
      <c r="AX40" s="210" t="str">
        <f t="shared" ca="1" si="8"/>
        <v/>
      </c>
      <c r="AY40" s="414" t="str">
        <f t="shared" ca="1" si="8"/>
        <v/>
      </c>
      <c r="BA40" s="417" t="str">
        <f t="shared" ca="1" si="12"/>
        <v/>
      </c>
      <c r="BB40" s="210" t="str">
        <f t="shared" ca="1" si="12"/>
        <v/>
      </c>
      <c r="BC40" s="210" t="str">
        <f t="shared" ca="1" si="12"/>
        <v/>
      </c>
      <c r="BD40" s="210" t="str">
        <f t="shared" ca="1" si="12"/>
        <v/>
      </c>
      <c r="BE40" s="210" t="str">
        <f t="shared" ca="1" si="12"/>
        <v/>
      </c>
      <c r="BF40" s="210" t="str">
        <f t="shared" ca="1" si="12"/>
        <v/>
      </c>
      <c r="BG40" s="210" t="str">
        <f t="shared" ca="1" si="12"/>
        <v/>
      </c>
      <c r="BH40" s="210" t="str">
        <f t="shared" ca="1" si="12"/>
        <v/>
      </c>
      <c r="BI40" s="210" t="str">
        <f t="shared" ca="1" si="12"/>
        <v/>
      </c>
      <c r="BJ40" s="210" t="str">
        <f t="shared" ca="1" si="12"/>
        <v/>
      </c>
      <c r="BK40" s="210" t="str">
        <f t="shared" ca="1" si="12"/>
        <v/>
      </c>
      <c r="BL40" s="210" t="str">
        <f t="shared" ca="1" si="12"/>
        <v/>
      </c>
      <c r="BM40" s="210" t="str">
        <f t="shared" ca="1" si="12"/>
        <v/>
      </c>
      <c r="BN40" s="210" t="str">
        <f t="shared" ca="1" si="12"/>
        <v/>
      </c>
      <c r="BO40" s="210" t="str">
        <f t="shared" ca="1" si="12"/>
        <v/>
      </c>
      <c r="BP40" s="210" t="str">
        <f t="shared" ca="1" si="12"/>
        <v/>
      </c>
      <c r="BQ40" s="414" t="str">
        <f t="shared" ca="1" si="14"/>
        <v/>
      </c>
      <c r="BS40" s="417" t="str">
        <f t="shared" ca="1" si="13"/>
        <v/>
      </c>
      <c r="BT40" s="210" t="str">
        <f t="shared" ca="1" si="13"/>
        <v/>
      </c>
      <c r="BU40" s="210" t="str">
        <f t="shared" ca="1" si="13"/>
        <v/>
      </c>
      <c r="BV40" s="210" t="str">
        <f t="shared" ca="1" si="13"/>
        <v/>
      </c>
      <c r="BW40" s="210" t="str">
        <f t="shared" ca="1" si="13"/>
        <v/>
      </c>
      <c r="BX40" s="210" t="str">
        <f t="shared" ca="1" si="13"/>
        <v/>
      </c>
      <c r="BY40" s="210" t="str">
        <f t="shared" ca="1" si="13"/>
        <v/>
      </c>
      <c r="BZ40" s="210" t="str">
        <f t="shared" ca="1" si="13"/>
        <v/>
      </c>
      <c r="CA40" s="210" t="str">
        <f t="shared" ca="1" si="13"/>
        <v/>
      </c>
      <c r="CB40" s="396" t="str">
        <f t="shared" ca="1" si="13"/>
        <v/>
      </c>
      <c r="CC40" s="68"/>
      <c r="CD40" s="419" t="e">
        <f t="shared" ca="1" si="15"/>
        <v>#N/A</v>
      </c>
      <c r="CF40" s="50" t="str">
        <f ca="1">IF(AND(ISNUMBER(CS!C40),ISNUMBER(CS!D40)),CONCATENATE(CF$10,CG$10),"")</f>
        <v/>
      </c>
      <c r="CG40" s="50" t="str">
        <f ca="1">IF(AND(ISNUMBER(CS!D40),ISNUMBER(CS!E40)),CONCATENATE(CG$10,CH$10),"")</f>
        <v/>
      </c>
      <c r="CH40" s="50" t="str">
        <f ca="1">IF(AND(ISNUMBER(CS!E40),ISNUMBER(CS!F40)),CONCATENATE(CH$10,CI$10),"")</f>
        <v/>
      </c>
      <c r="CI40" s="50" t="str">
        <f ca="1">IF(AND(ISNUMBER(CS!F40),ISNUMBER(CS!G40)),CONCATENATE(CI$10,CJ$10),"")</f>
        <v/>
      </c>
      <c r="CJ40" s="50" t="str">
        <f ca="1">IF(AND(ISNUMBER(CS!G40),ISNUMBER(CS!H40)),CONCATENATE(CJ$10,CK$10),"")</f>
        <v/>
      </c>
      <c r="CK40" s="50" t="str">
        <f ca="1">IF(AND(ISNUMBER(CS!H40),ISNUMBER(CS!I40)),CONCATENATE(CK$10,CL$10),"")</f>
        <v/>
      </c>
      <c r="CL40" s="50" t="str">
        <f ca="1">IF(AND(ISNUMBER(CS!I40),ISNUMBER(CS!J40)),CONCATENATE(CL$10,CM$10),"")</f>
        <v/>
      </c>
      <c r="CM40" s="50" t="str">
        <f ca="1">IF(AND(ISNUMBER(CS!J40),ISNUMBER(CS!K40)),CONCATENATE(CM$10,CN$10),"")</f>
        <v/>
      </c>
      <c r="CN40" s="50" t="str">
        <f ca="1">IF(AND(ISNUMBER(CS!K40),ISNUMBER(CS!L40)),CONCATENATE(CN$10,CO$10),"")</f>
        <v/>
      </c>
      <c r="CO40" s="50" t="str">
        <f ca="1">IF(AND(ISNUMBER(CS!L40),ISNUMBER(CS!M40)),CONCATENATE(CO$10,CP$10),"")</f>
        <v/>
      </c>
      <c r="CP40" s="50" t="str">
        <f ca="1">IF(AND(ISNUMBER(CS!M40),ISNUMBER(CS!N40)),CONCATENATE(CP$10,CQ$10),"")</f>
        <v/>
      </c>
      <c r="CQ40" s="50" t="str">
        <f ca="1">IF(AND(ISNUMBER(CS!N40),ISNUMBER(CS!O40)),CONCATENATE(CQ$10,CR$10),"")</f>
        <v/>
      </c>
      <c r="CR40" s="50" t="str">
        <f ca="1">IF(AND(ISNUMBER(CS!O40),ISNUMBER(CS!P40)),CONCATENATE(CR$10,CS$10),"")</f>
        <v/>
      </c>
      <c r="CS40" s="50" t="str">
        <f ca="1">IF(AND(ISNUMBER(CS!P40),ISNUMBER(CS!Q40)),CONCATENATE(CS$10,CT$10),"")</f>
        <v/>
      </c>
      <c r="CT40" s="50" t="str">
        <f ca="1">IF(AND(ISNUMBER(CS!Q40),ISNUMBER(CS!R40)),CONCATENATE(CT$10,CU$10),"")</f>
        <v/>
      </c>
      <c r="CU40" s="50" t="str">
        <f ca="1">IF(AND(ISNUMBER(CS!R40),ISNUMBER(CS!S40)),CONCATENATE(CU$10,CV$10),"")</f>
        <v/>
      </c>
      <c r="CV40" s="50" t="str">
        <f ca="1">IF(AND(ISNUMBER(CS!S40),ISNUMBER(CS!T40)),CONCATENATE(CV$10,CW$10),"")</f>
        <v/>
      </c>
      <c r="CW40" s="50" t="str">
        <f ca="1">IF(AND(ISNUMBER(CS!T40),ISNUMBER(CS!U40)),CONCATENATE(CW$10,CX$10),"")</f>
        <v/>
      </c>
      <c r="CX40" s="50" t="str">
        <f ca="1">IF(AND(ISNUMBER(CS!U40),ISNUMBER(CS!V40)),CONCATENATE(CX$10,CY$10),"")</f>
        <v/>
      </c>
      <c r="CY40" s="50" t="str">
        <f ca="1">IF(AND(ISNUMBER(CS!V40),ISNUMBER(CS!W40)),CONCATENATE(CY$10,CZ$10),"")</f>
        <v/>
      </c>
      <c r="CZ40" s="50" t="str">
        <f ca="1">IF(AND(ISNUMBER(CS!W40),ISNUMBER(CS!X40)),CONCATENATE(CZ$10,DA$10),"")</f>
        <v/>
      </c>
      <c r="DA40" s="50" t="str">
        <f ca="1">IF(AND(ISNUMBER(CS!X40),ISNUMBER(CS!Y40)),CONCATENATE(DA$10,DB$10),"")</f>
        <v/>
      </c>
      <c r="DB40" s="50" t="str">
        <f ca="1">IF(AND(ISNUMBER(CS!Y40),ISNUMBER(CS!Z40)),CONCATENATE(DB$10,DC$10),"")</f>
        <v/>
      </c>
      <c r="DC40" s="50" t="str">
        <f ca="1">IF(AND(ISNUMBER(CS!Z40),ISNUMBER(CS!AA40)),CONCATENATE(DC$10,DD$10),"")</f>
        <v/>
      </c>
      <c r="DD40" s="50" t="str">
        <f ca="1">IF(AND(ISNUMBER(CS!AA40),ISNUMBER(CS!AB40)),CONCATENATE(DD$10,DE$10),"")</f>
        <v/>
      </c>
      <c r="DE40" s="50" t="str">
        <f ca="1">IF(AND(ISNUMBER(CS!AB40),ISNUMBER(CS!AC40)),CONCATENATE(DE$10,DF$10),"")</f>
        <v/>
      </c>
      <c r="DF40" s="50" t="str">
        <f ca="1">IF(AND(ISNUMBER(CS!AC40),ISNUMBER(CS!AD40)),CONCATENATE(DF$10,DG$10),"")</f>
        <v/>
      </c>
      <c r="DG40" s="50" t="str">
        <f ca="1">IF(AND(ISNUMBER(CS!AD40),ISNUMBER(CS!AE40)),CONCATENATE(DG$10,DH$10),"")</f>
        <v/>
      </c>
      <c r="DH40" s="50" t="str">
        <f ca="1">IF(AND(ISNUMBER(CS!AE40),ISNUMBER(CS!AF40)),CONCATENATE(DH$10,DI$10),"")</f>
        <v/>
      </c>
      <c r="DI40" s="50" t="str">
        <f ca="1">IF(AND(ISNUMBER(CS!AF40),ISNUMBER(CS!AG40)),CONCATENATE(DI$10,DJ$10),"")</f>
        <v/>
      </c>
      <c r="DJ40" s="50" t="str">
        <f ca="1">IF(AND(ISNUMBER(CS!AG40),ISNUMBER(CS!AH40)),CONCATENATE(DJ$10,DK$10),"")</f>
        <v/>
      </c>
      <c r="DK40" s="50" t="str">
        <f ca="1">IF(AND(ISNUMBER(CS!AH40),ISNUMBER(CS!AI40)),CONCATENATE(DK$10,DL$10),"")</f>
        <v/>
      </c>
      <c r="DL40" s="50" t="str">
        <f ca="1">IF(AND(ISNUMBER(CS!AI40),ISNUMBER(CS!AJ40)),CONCATENATE(DL$10,DM$10),"")</f>
        <v/>
      </c>
      <c r="DM40" s="50" t="str">
        <f ca="1">IF(AND(ISNUMBER(CS!AJ40),ISNUMBER(CS!AK40)),CONCATENATE(DM$10,DN$10),"")</f>
        <v/>
      </c>
      <c r="DN40" s="50" t="str">
        <f ca="1">IF(AND(ISNUMBER(CS!AK40),ISNUMBER(CS!AL40)),CONCATENATE(DN$10,DO$10),"")</f>
        <v/>
      </c>
      <c r="DO40" s="50" t="str">
        <f ca="1">IF(AND(ISNUMBER(CS!AL40),ISNUMBER(CS!AM40)),CONCATENATE(DO$10,DP$10),"")</f>
        <v/>
      </c>
      <c r="DP40" s="50" t="str">
        <f ca="1">IF(AND(ISNUMBER(CS!AM40),ISNUMBER(CS!AN40)),CONCATENATE(DP$10,DQ$10),"")</f>
        <v/>
      </c>
      <c r="DQ40" s="50" t="str">
        <f ca="1">IF(AND(ISNUMBER(CS!AN40),ISNUMBER(CS!AO40)),CONCATENATE(DQ$10,DR$10),"")</f>
        <v/>
      </c>
      <c r="DR40" s="50" t="str">
        <f ca="1">IF(AND(ISNUMBER(CS!AO40),ISNUMBER(CS!AP40)),CONCATENATE(DR$10,DS$10),"")</f>
        <v/>
      </c>
      <c r="DS40" s="50" t="str">
        <f ca="1">IF(AND(ISNUMBER(CS!AP40),ISNUMBER(CS!AQ40)),CONCATENATE(DS$10,DT$10),"")</f>
        <v/>
      </c>
      <c r="DT40" s="63">
        <f>DrawFinder!Y40</f>
        <v>0</v>
      </c>
    </row>
    <row r="41" spans="2:124">
      <c r="B41" s="393" t="str">
        <f ca="1">TmOrderLU!D41</f>
        <v/>
      </c>
      <c r="C41" s="63" t="str">
        <f ca="1">IF(ISNUMBER(CS!C41),C$10,"")</f>
        <v/>
      </c>
      <c r="D41" s="63" t="str">
        <f ca="1">IF(ISNUMBER(CS!D41),D$10,"")</f>
        <v/>
      </c>
      <c r="E41" s="63" t="str">
        <f ca="1">IF(ISNUMBER(CS!E41),E$10,"")</f>
        <v/>
      </c>
      <c r="F41" s="63" t="str">
        <f ca="1">IF(ISNUMBER(CS!F41),F$10,"")</f>
        <v/>
      </c>
      <c r="G41" s="63" t="str">
        <f ca="1">IF(ISNUMBER(CS!G41),G$10,"")</f>
        <v/>
      </c>
      <c r="H41" s="63" t="str">
        <f ca="1">IF(ISNUMBER(CS!H41),H$10,"")</f>
        <v/>
      </c>
      <c r="I41" s="63" t="str">
        <f ca="1">IF(ISNUMBER(CS!I41),I$10,"")</f>
        <v/>
      </c>
      <c r="J41" s="63" t="str">
        <f ca="1">IF(ISNUMBER(CS!J41),J$10,"")</f>
        <v/>
      </c>
      <c r="K41" s="63" t="str">
        <f ca="1">IF(ISNUMBER(CS!K41),K$10,"")</f>
        <v/>
      </c>
      <c r="L41" s="63" t="str">
        <f ca="1">IF(ISNUMBER(CS!L41),L$10,"")</f>
        <v/>
      </c>
      <c r="M41" s="63" t="str">
        <f ca="1">IF(ISNUMBER(CS!M41),M$10,"")</f>
        <v/>
      </c>
      <c r="N41" s="63" t="str">
        <f ca="1">IF(ISNUMBER(CS!N41),N$10,"")</f>
        <v/>
      </c>
      <c r="O41" s="63" t="str">
        <f ca="1">IF(ISNUMBER(CS!O41),O$10,"")</f>
        <v/>
      </c>
      <c r="P41" s="63" t="str">
        <f ca="1">IF(ISNUMBER(CS!P41),P$10,"")</f>
        <v/>
      </c>
      <c r="Q41" s="63" t="str">
        <f ca="1">IF(ISNUMBER(CS!Q41),Q$10,"")</f>
        <v/>
      </c>
      <c r="R41" s="63" t="str">
        <f ca="1">IF(ISNUMBER(CS!R41),R$10,"")</f>
        <v/>
      </c>
      <c r="S41" s="63" t="str">
        <f ca="1">IF(ISNUMBER(CS!S41),S$10,"")</f>
        <v/>
      </c>
      <c r="T41" s="63" t="str">
        <f ca="1">IF(ISNUMBER(CS!T41),T$10,"")</f>
        <v/>
      </c>
      <c r="U41" s="63" t="str">
        <f ca="1">IF(ISNUMBER(CS!U41),U$10,"")</f>
        <v/>
      </c>
      <c r="V41" s="63" t="str">
        <f ca="1">IF(ISNUMBER(CS!V41),V$10,"")</f>
        <v/>
      </c>
      <c r="W41" s="63" t="str">
        <f ca="1">IF(ISNUMBER(CS!W41),W$10,"")</f>
        <v/>
      </c>
      <c r="X41" s="63" t="str">
        <f ca="1">IF(ISNUMBER(CS!X41),X$10,"")</f>
        <v/>
      </c>
      <c r="Y41" s="63" t="str">
        <f ca="1">IF(ISNUMBER(CS!Y41),Y$10,"")</f>
        <v/>
      </c>
      <c r="Z41" s="63" t="str">
        <f ca="1">IF(ISNUMBER(CS!Z41),Z$10,"")</f>
        <v/>
      </c>
      <c r="AA41" s="63" t="str">
        <f ca="1">IF(ISNUMBER(CS!AA41),AA$10,"")</f>
        <v/>
      </c>
      <c r="AB41" s="63" t="str">
        <f ca="1">IF(ISNUMBER(CS!AB41),AB$10,"")</f>
        <v/>
      </c>
      <c r="AC41" s="63" t="str">
        <f ca="1">IF(ISNUMBER(CS!AC41),AC$10,"")</f>
        <v/>
      </c>
      <c r="AD41" s="63" t="str">
        <f ca="1">IF(ISNUMBER(CS!AD41),AD$10,"")</f>
        <v/>
      </c>
      <c r="AE41" s="63" t="str">
        <f ca="1">IF(ISNUMBER(CS!AE41),AE$10,"")</f>
        <v/>
      </c>
      <c r="AF41" s="63" t="str">
        <f ca="1">IF(ISNUMBER(CS!AF41),AF$10,"")</f>
        <v/>
      </c>
      <c r="AG41" s="63" t="str">
        <f ca="1">IF(ISNUMBER(CS!AG41),AG$10,"")</f>
        <v/>
      </c>
      <c r="AH41" s="63" t="str">
        <f ca="1">IF(ISNUMBER(CS!AH41),AH$10,"")</f>
        <v/>
      </c>
      <c r="AI41" s="63" t="str">
        <f ca="1">IF(ISNUMBER(CS!AI41),AI$10,"")</f>
        <v/>
      </c>
      <c r="AJ41" s="63" t="str">
        <f ca="1">IF(ISNUMBER(CS!AJ41),AJ$10,"")</f>
        <v/>
      </c>
      <c r="AK41" s="63" t="str">
        <f ca="1">IF(ISNUMBER(CS!AK41),AK$10,"")</f>
        <v/>
      </c>
      <c r="AL41" s="63" t="str">
        <f ca="1">IF(ISNUMBER(CS!AL41),AL$10,"")</f>
        <v/>
      </c>
      <c r="AM41" s="63" t="str">
        <f ca="1">IF(ISNUMBER(CS!AM41),AM$10,"")</f>
        <v/>
      </c>
      <c r="AN41" s="63" t="str">
        <f ca="1">IF(ISNUMBER(CS!AN41),AN$10,"")</f>
        <v/>
      </c>
      <c r="AO41" s="63" t="str">
        <f ca="1">IF(ISNUMBER(CS!AO41),AO$10,"")</f>
        <v/>
      </c>
      <c r="AP41" s="414" t="str">
        <f ca="1">IF(ISNUMBER(CS!AP41),AP$10,"")</f>
        <v/>
      </c>
      <c r="AS41" s="4" t="str">
        <f t="shared" ca="1" si="11"/>
        <v/>
      </c>
      <c r="AU41" s="417" t="str">
        <f t="shared" ca="1" si="8"/>
        <v/>
      </c>
      <c r="AV41" s="210" t="str">
        <f t="shared" ca="1" si="8"/>
        <v/>
      </c>
      <c r="AW41" s="210" t="str">
        <f t="shared" ca="1" si="8"/>
        <v/>
      </c>
      <c r="AX41" s="210" t="str">
        <f t="shared" ca="1" si="8"/>
        <v/>
      </c>
      <c r="AY41" s="414" t="str">
        <f t="shared" ca="1" si="8"/>
        <v/>
      </c>
      <c r="BA41" s="417" t="str">
        <f t="shared" ca="1" si="12"/>
        <v/>
      </c>
      <c r="BB41" s="210" t="str">
        <f t="shared" ca="1" si="12"/>
        <v/>
      </c>
      <c r="BC41" s="210" t="str">
        <f t="shared" ca="1" si="12"/>
        <v/>
      </c>
      <c r="BD41" s="210" t="str">
        <f t="shared" ca="1" si="12"/>
        <v/>
      </c>
      <c r="BE41" s="210" t="str">
        <f t="shared" ca="1" si="12"/>
        <v/>
      </c>
      <c r="BF41" s="210" t="str">
        <f t="shared" ca="1" si="12"/>
        <v/>
      </c>
      <c r="BG41" s="210" t="str">
        <f t="shared" ca="1" si="12"/>
        <v/>
      </c>
      <c r="BH41" s="210" t="str">
        <f t="shared" ca="1" si="12"/>
        <v/>
      </c>
      <c r="BI41" s="210" t="str">
        <f t="shared" ca="1" si="12"/>
        <v/>
      </c>
      <c r="BJ41" s="210" t="str">
        <f t="shared" ca="1" si="12"/>
        <v/>
      </c>
      <c r="BK41" s="210" t="str">
        <f t="shared" ca="1" si="12"/>
        <v/>
      </c>
      <c r="BL41" s="210" t="str">
        <f t="shared" ca="1" si="12"/>
        <v/>
      </c>
      <c r="BM41" s="210" t="str">
        <f t="shared" ca="1" si="12"/>
        <v/>
      </c>
      <c r="BN41" s="210" t="str">
        <f t="shared" ca="1" si="12"/>
        <v/>
      </c>
      <c r="BO41" s="210" t="str">
        <f t="shared" ca="1" si="12"/>
        <v/>
      </c>
      <c r="BP41" s="210" t="str">
        <f t="shared" ca="1" si="12"/>
        <v/>
      </c>
      <c r="BQ41" s="414" t="str">
        <f t="shared" ca="1" si="14"/>
        <v/>
      </c>
      <c r="BS41" s="417" t="str">
        <f t="shared" ca="1" si="13"/>
        <v/>
      </c>
      <c r="BT41" s="210" t="str">
        <f t="shared" ca="1" si="13"/>
        <v/>
      </c>
      <c r="BU41" s="210" t="str">
        <f t="shared" ca="1" si="13"/>
        <v/>
      </c>
      <c r="BV41" s="210" t="str">
        <f t="shared" ca="1" si="13"/>
        <v/>
      </c>
      <c r="BW41" s="210" t="str">
        <f t="shared" ca="1" si="13"/>
        <v/>
      </c>
      <c r="BX41" s="210" t="str">
        <f t="shared" ca="1" si="13"/>
        <v/>
      </c>
      <c r="BY41" s="210" t="str">
        <f t="shared" ca="1" si="13"/>
        <v/>
      </c>
      <c r="BZ41" s="210" t="str">
        <f t="shared" ca="1" si="13"/>
        <v/>
      </c>
      <c r="CA41" s="210" t="str">
        <f t="shared" ca="1" si="13"/>
        <v/>
      </c>
      <c r="CB41" s="396" t="str">
        <f t="shared" ca="1" si="13"/>
        <v/>
      </c>
      <c r="CC41" s="68"/>
      <c r="CD41" s="419" t="e">
        <f t="shared" ca="1" si="15"/>
        <v>#N/A</v>
      </c>
      <c r="CF41" s="50" t="str">
        <f ca="1">IF(AND(ISNUMBER(CS!C41),ISNUMBER(CS!D41)),CONCATENATE(CF$10,CG$10),"")</f>
        <v/>
      </c>
      <c r="CG41" s="50" t="str">
        <f ca="1">IF(AND(ISNUMBER(CS!D41),ISNUMBER(CS!E41)),CONCATENATE(CG$10,CH$10),"")</f>
        <v/>
      </c>
      <c r="CH41" s="50" t="str">
        <f ca="1">IF(AND(ISNUMBER(CS!E41),ISNUMBER(CS!F41)),CONCATENATE(CH$10,CI$10),"")</f>
        <v/>
      </c>
      <c r="CI41" s="50" t="str">
        <f ca="1">IF(AND(ISNUMBER(CS!F41),ISNUMBER(CS!G41)),CONCATENATE(CI$10,CJ$10),"")</f>
        <v/>
      </c>
      <c r="CJ41" s="50" t="str">
        <f ca="1">IF(AND(ISNUMBER(CS!G41),ISNUMBER(CS!H41)),CONCATENATE(CJ$10,CK$10),"")</f>
        <v/>
      </c>
      <c r="CK41" s="50" t="str">
        <f ca="1">IF(AND(ISNUMBER(CS!H41),ISNUMBER(CS!I41)),CONCATENATE(CK$10,CL$10),"")</f>
        <v/>
      </c>
      <c r="CL41" s="50" t="str">
        <f ca="1">IF(AND(ISNUMBER(CS!I41),ISNUMBER(CS!J41)),CONCATENATE(CL$10,CM$10),"")</f>
        <v/>
      </c>
      <c r="CM41" s="50" t="str">
        <f ca="1">IF(AND(ISNUMBER(CS!J41),ISNUMBER(CS!K41)),CONCATENATE(CM$10,CN$10),"")</f>
        <v/>
      </c>
      <c r="CN41" s="50" t="str">
        <f ca="1">IF(AND(ISNUMBER(CS!K41),ISNUMBER(CS!L41)),CONCATENATE(CN$10,CO$10),"")</f>
        <v/>
      </c>
      <c r="CO41" s="50" t="str">
        <f ca="1">IF(AND(ISNUMBER(CS!L41),ISNUMBER(CS!M41)),CONCATENATE(CO$10,CP$10),"")</f>
        <v/>
      </c>
      <c r="CP41" s="50" t="str">
        <f ca="1">IF(AND(ISNUMBER(CS!M41),ISNUMBER(CS!N41)),CONCATENATE(CP$10,CQ$10),"")</f>
        <v/>
      </c>
      <c r="CQ41" s="50" t="str">
        <f ca="1">IF(AND(ISNUMBER(CS!N41),ISNUMBER(CS!O41)),CONCATENATE(CQ$10,CR$10),"")</f>
        <v/>
      </c>
      <c r="CR41" s="50" t="str">
        <f ca="1">IF(AND(ISNUMBER(CS!O41),ISNUMBER(CS!P41)),CONCATENATE(CR$10,CS$10),"")</f>
        <v/>
      </c>
      <c r="CS41" s="50" t="str">
        <f ca="1">IF(AND(ISNUMBER(CS!P41),ISNUMBER(CS!Q41)),CONCATENATE(CS$10,CT$10),"")</f>
        <v/>
      </c>
      <c r="CT41" s="50" t="str">
        <f ca="1">IF(AND(ISNUMBER(CS!Q41),ISNUMBER(CS!R41)),CONCATENATE(CT$10,CU$10),"")</f>
        <v/>
      </c>
      <c r="CU41" s="50" t="str">
        <f ca="1">IF(AND(ISNUMBER(CS!R41),ISNUMBER(CS!S41)),CONCATENATE(CU$10,CV$10),"")</f>
        <v/>
      </c>
      <c r="CV41" s="50" t="str">
        <f ca="1">IF(AND(ISNUMBER(CS!S41),ISNUMBER(CS!T41)),CONCATENATE(CV$10,CW$10),"")</f>
        <v/>
      </c>
      <c r="CW41" s="50" t="str">
        <f ca="1">IF(AND(ISNUMBER(CS!T41),ISNUMBER(CS!U41)),CONCATENATE(CW$10,CX$10),"")</f>
        <v/>
      </c>
      <c r="CX41" s="50" t="str">
        <f ca="1">IF(AND(ISNUMBER(CS!U41),ISNUMBER(CS!V41)),CONCATENATE(CX$10,CY$10),"")</f>
        <v/>
      </c>
      <c r="CY41" s="50" t="str">
        <f ca="1">IF(AND(ISNUMBER(CS!V41),ISNUMBER(CS!W41)),CONCATENATE(CY$10,CZ$10),"")</f>
        <v/>
      </c>
      <c r="CZ41" s="50" t="str">
        <f ca="1">IF(AND(ISNUMBER(CS!W41),ISNUMBER(CS!X41)),CONCATENATE(CZ$10,DA$10),"")</f>
        <v/>
      </c>
      <c r="DA41" s="50" t="str">
        <f ca="1">IF(AND(ISNUMBER(CS!X41),ISNUMBER(CS!Y41)),CONCATENATE(DA$10,DB$10),"")</f>
        <v/>
      </c>
      <c r="DB41" s="50" t="str">
        <f ca="1">IF(AND(ISNUMBER(CS!Y41),ISNUMBER(CS!Z41)),CONCATENATE(DB$10,DC$10),"")</f>
        <v/>
      </c>
      <c r="DC41" s="50" t="str">
        <f ca="1">IF(AND(ISNUMBER(CS!Z41),ISNUMBER(CS!AA41)),CONCATENATE(DC$10,DD$10),"")</f>
        <v/>
      </c>
      <c r="DD41" s="50" t="str">
        <f ca="1">IF(AND(ISNUMBER(CS!AA41),ISNUMBER(CS!AB41)),CONCATENATE(DD$10,DE$10),"")</f>
        <v/>
      </c>
      <c r="DE41" s="50" t="str">
        <f ca="1">IF(AND(ISNUMBER(CS!AB41),ISNUMBER(CS!AC41)),CONCATENATE(DE$10,DF$10),"")</f>
        <v/>
      </c>
      <c r="DF41" s="50" t="str">
        <f ca="1">IF(AND(ISNUMBER(CS!AC41),ISNUMBER(CS!AD41)),CONCATENATE(DF$10,DG$10),"")</f>
        <v/>
      </c>
      <c r="DG41" s="50" t="str">
        <f ca="1">IF(AND(ISNUMBER(CS!AD41),ISNUMBER(CS!AE41)),CONCATENATE(DG$10,DH$10),"")</f>
        <v/>
      </c>
      <c r="DH41" s="50" t="str">
        <f ca="1">IF(AND(ISNUMBER(CS!AE41),ISNUMBER(CS!AF41)),CONCATENATE(DH$10,DI$10),"")</f>
        <v/>
      </c>
      <c r="DI41" s="50" t="str">
        <f ca="1">IF(AND(ISNUMBER(CS!AF41),ISNUMBER(CS!AG41)),CONCATENATE(DI$10,DJ$10),"")</f>
        <v/>
      </c>
      <c r="DJ41" s="50" t="str">
        <f ca="1">IF(AND(ISNUMBER(CS!AG41),ISNUMBER(CS!AH41)),CONCATENATE(DJ$10,DK$10),"")</f>
        <v/>
      </c>
      <c r="DK41" s="50" t="str">
        <f ca="1">IF(AND(ISNUMBER(CS!AH41),ISNUMBER(CS!AI41)),CONCATENATE(DK$10,DL$10),"")</f>
        <v/>
      </c>
      <c r="DL41" s="50" t="str">
        <f ca="1">IF(AND(ISNUMBER(CS!AI41),ISNUMBER(CS!AJ41)),CONCATENATE(DL$10,DM$10),"")</f>
        <v/>
      </c>
      <c r="DM41" s="50" t="str">
        <f ca="1">IF(AND(ISNUMBER(CS!AJ41),ISNUMBER(CS!AK41)),CONCATENATE(DM$10,DN$10),"")</f>
        <v/>
      </c>
      <c r="DN41" s="50" t="str">
        <f ca="1">IF(AND(ISNUMBER(CS!AK41),ISNUMBER(CS!AL41)),CONCATENATE(DN$10,DO$10),"")</f>
        <v/>
      </c>
      <c r="DO41" s="50" t="str">
        <f ca="1">IF(AND(ISNUMBER(CS!AL41),ISNUMBER(CS!AM41)),CONCATENATE(DO$10,DP$10),"")</f>
        <v/>
      </c>
      <c r="DP41" s="50" t="str">
        <f ca="1">IF(AND(ISNUMBER(CS!AM41),ISNUMBER(CS!AN41)),CONCATENATE(DP$10,DQ$10),"")</f>
        <v/>
      </c>
      <c r="DQ41" s="50" t="str">
        <f ca="1">IF(AND(ISNUMBER(CS!AN41),ISNUMBER(CS!AO41)),CONCATENATE(DQ$10,DR$10),"")</f>
        <v/>
      </c>
      <c r="DR41" s="50" t="str">
        <f ca="1">IF(AND(ISNUMBER(CS!AO41),ISNUMBER(CS!AP41)),CONCATENATE(DR$10,DS$10),"")</f>
        <v/>
      </c>
      <c r="DS41" s="50" t="str">
        <f ca="1">IF(AND(ISNUMBER(CS!AP41),ISNUMBER(CS!AQ41)),CONCATENATE(DS$10,DT$10),"")</f>
        <v/>
      </c>
      <c r="DT41" s="63">
        <f>DrawFinder!Y41</f>
        <v>0</v>
      </c>
    </row>
    <row r="42" spans="2:124">
      <c r="B42" s="393" t="str">
        <f ca="1">TmOrderLU!D42</f>
        <v/>
      </c>
      <c r="C42" s="63" t="str">
        <f ca="1">IF(ISNUMBER(CS!C42),C$10,"")</f>
        <v/>
      </c>
      <c r="D42" s="63" t="str">
        <f ca="1">IF(ISNUMBER(CS!D42),D$10,"")</f>
        <v/>
      </c>
      <c r="E42" s="63" t="str">
        <f ca="1">IF(ISNUMBER(CS!E42),E$10,"")</f>
        <v/>
      </c>
      <c r="F42" s="63" t="str">
        <f ca="1">IF(ISNUMBER(CS!F42),F$10,"")</f>
        <v/>
      </c>
      <c r="G42" s="63" t="str">
        <f ca="1">IF(ISNUMBER(CS!G42),G$10,"")</f>
        <v/>
      </c>
      <c r="H42" s="63" t="str">
        <f ca="1">IF(ISNUMBER(CS!H42),H$10,"")</f>
        <v/>
      </c>
      <c r="I42" s="63" t="str">
        <f ca="1">IF(ISNUMBER(CS!I42),I$10,"")</f>
        <v/>
      </c>
      <c r="J42" s="63" t="str">
        <f ca="1">IF(ISNUMBER(CS!J42),J$10,"")</f>
        <v/>
      </c>
      <c r="K42" s="63" t="str">
        <f ca="1">IF(ISNUMBER(CS!K42),K$10,"")</f>
        <v/>
      </c>
      <c r="L42" s="63" t="str">
        <f ca="1">IF(ISNUMBER(CS!L42),L$10,"")</f>
        <v/>
      </c>
      <c r="M42" s="63" t="str">
        <f ca="1">IF(ISNUMBER(CS!M42),M$10,"")</f>
        <v/>
      </c>
      <c r="N42" s="63" t="str">
        <f ca="1">IF(ISNUMBER(CS!N42),N$10,"")</f>
        <v/>
      </c>
      <c r="O42" s="63" t="str">
        <f ca="1">IF(ISNUMBER(CS!O42),O$10,"")</f>
        <v/>
      </c>
      <c r="P42" s="63" t="str">
        <f ca="1">IF(ISNUMBER(CS!P42),P$10,"")</f>
        <v/>
      </c>
      <c r="Q42" s="63" t="str">
        <f ca="1">IF(ISNUMBER(CS!Q42),Q$10,"")</f>
        <v/>
      </c>
      <c r="R42" s="63" t="str">
        <f ca="1">IF(ISNUMBER(CS!R42),R$10,"")</f>
        <v/>
      </c>
      <c r="S42" s="63" t="str">
        <f ca="1">IF(ISNUMBER(CS!S42),S$10,"")</f>
        <v/>
      </c>
      <c r="T42" s="63" t="str">
        <f ca="1">IF(ISNUMBER(CS!T42),T$10,"")</f>
        <v/>
      </c>
      <c r="U42" s="63" t="str">
        <f ca="1">IF(ISNUMBER(CS!U42),U$10,"")</f>
        <v/>
      </c>
      <c r="V42" s="63" t="str">
        <f ca="1">IF(ISNUMBER(CS!V42),V$10,"")</f>
        <v/>
      </c>
      <c r="W42" s="63" t="str">
        <f ca="1">IF(ISNUMBER(CS!W42),W$10,"")</f>
        <v/>
      </c>
      <c r="X42" s="63" t="str">
        <f ca="1">IF(ISNUMBER(CS!X42),X$10,"")</f>
        <v/>
      </c>
      <c r="Y42" s="63" t="str">
        <f ca="1">IF(ISNUMBER(CS!Y42),Y$10,"")</f>
        <v/>
      </c>
      <c r="Z42" s="63" t="str">
        <f ca="1">IF(ISNUMBER(CS!Z42),Z$10,"")</f>
        <v/>
      </c>
      <c r="AA42" s="63" t="str">
        <f ca="1">IF(ISNUMBER(CS!AA42),AA$10,"")</f>
        <v/>
      </c>
      <c r="AB42" s="63" t="str">
        <f ca="1">IF(ISNUMBER(CS!AB42),AB$10,"")</f>
        <v/>
      </c>
      <c r="AC42" s="63" t="str">
        <f ca="1">IF(ISNUMBER(CS!AC42),AC$10,"")</f>
        <v/>
      </c>
      <c r="AD42" s="63" t="str">
        <f ca="1">IF(ISNUMBER(CS!AD42),AD$10,"")</f>
        <v/>
      </c>
      <c r="AE42" s="63" t="str">
        <f ca="1">IF(ISNUMBER(CS!AE42),AE$10,"")</f>
        <v/>
      </c>
      <c r="AF42" s="63" t="str">
        <f ca="1">IF(ISNUMBER(CS!AF42),AF$10,"")</f>
        <v/>
      </c>
      <c r="AG42" s="63" t="str">
        <f ca="1">IF(ISNUMBER(CS!AG42),AG$10,"")</f>
        <v/>
      </c>
      <c r="AH42" s="63" t="str">
        <f ca="1">IF(ISNUMBER(CS!AH42),AH$10,"")</f>
        <v/>
      </c>
      <c r="AI42" s="63" t="str">
        <f ca="1">IF(ISNUMBER(CS!AI42),AI$10,"")</f>
        <v/>
      </c>
      <c r="AJ42" s="63" t="str">
        <f ca="1">IF(ISNUMBER(CS!AJ42),AJ$10,"")</f>
        <v/>
      </c>
      <c r="AK42" s="63" t="str">
        <f ca="1">IF(ISNUMBER(CS!AK42),AK$10,"")</f>
        <v/>
      </c>
      <c r="AL42" s="63" t="str">
        <f ca="1">IF(ISNUMBER(CS!AL42),AL$10,"")</f>
        <v/>
      </c>
      <c r="AM42" s="63" t="str">
        <f ca="1">IF(ISNUMBER(CS!AM42),AM$10,"")</f>
        <v/>
      </c>
      <c r="AN42" s="63" t="str">
        <f ca="1">IF(ISNUMBER(CS!AN42),AN$10,"")</f>
        <v/>
      </c>
      <c r="AO42" s="63" t="str">
        <f ca="1">IF(ISNUMBER(CS!AO42),AO$10,"")</f>
        <v/>
      </c>
      <c r="AP42" s="414" t="str">
        <f ca="1">IF(ISNUMBER(CS!AP42),AP$10,"")</f>
        <v/>
      </c>
      <c r="AS42" s="4" t="str">
        <f t="shared" ca="1" si="11"/>
        <v/>
      </c>
      <c r="AU42" s="417" t="str">
        <f t="shared" ca="1" si="8"/>
        <v/>
      </c>
      <c r="AV42" s="210" t="str">
        <f t="shared" ca="1" si="8"/>
        <v/>
      </c>
      <c r="AW42" s="210" t="str">
        <f t="shared" ca="1" si="8"/>
        <v/>
      </c>
      <c r="AX42" s="210" t="str">
        <f t="shared" ca="1" si="8"/>
        <v/>
      </c>
      <c r="AY42" s="414" t="str">
        <f t="shared" ca="1" si="8"/>
        <v/>
      </c>
      <c r="BA42" s="417" t="str">
        <f t="shared" ref="BA42:BP56" ca="1" si="16">IF(OR(BA$10=0,$B42=""),"",COUNTA(INDIRECT(CONCATENATE(BA$59,ROW(),":",BA$60,ROW())))-COUNTBLANK(INDIRECT(CONCATENATE(BA$59,ROW(),":",BA$60,ROW()))))</f>
        <v/>
      </c>
      <c r="BB42" s="210" t="str">
        <f t="shared" ca="1" si="16"/>
        <v/>
      </c>
      <c r="BC42" s="210" t="str">
        <f t="shared" ca="1" si="16"/>
        <v/>
      </c>
      <c r="BD42" s="210" t="str">
        <f t="shared" ca="1" si="16"/>
        <v/>
      </c>
      <c r="BE42" s="210" t="str">
        <f t="shared" ca="1" si="16"/>
        <v/>
      </c>
      <c r="BF42" s="210" t="str">
        <f t="shared" ca="1" si="16"/>
        <v/>
      </c>
      <c r="BG42" s="210" t="str">
        <f t="shared" ca="1" si="16"/>
        <v/>
      </c>
      <c r="BH42" s="210" t="str">
        <f t="shared" ca="1" si="16"/>
        <v/>
      </c>
      <c r="BI42" s="210" t="str">
        <f t="shared" ca="1" si="16"/>
        <v/>
      </c>
      <c r="BJ42" s="210" t="str">
        <f t="shared" ca="1" si="16"/>
        <v/>
      </c>
      <c r="BK42" s="210" t="str">
        <f t="shared" ca="1" si="16"/>
        <v/>
      </c>
      <c r="BL42" s="210" t="str">
        <f t="shared" ca="1" si="16"/>
        <v/>
      </c>
      <c r="BM42" s="210" t="str">
        <f t="shared" ca="1" si="16"/>
        <v/>
      </c>
      <c r="BN42" s="210" t="str">
        <f t="shared" ca="1" si="16"/>
        <v/>
      </c>
      <c r="BO42" s="210" t="str">
        <f t="shared" ca="1" si="16"/>
        <v/>
      </c>
      <c r="BP42" s="210" t="str">
        <f t="shared" ca="1" si="16"/>
        <v/>
      </c>
      <c r="BQ42" s="414" t="str">
        <f t="shared" ca="1" si="14"/>
        <v/>
      </c>
      <c r="BS42" s="417" t="str">
        <f t="shared" ca="1" si="13"/>
        <v/>
      </c>
      <c r="BT42" s="210" t="str">
        <f t="shared" ca="1" si="13"/>
        <v/>
      </c>
      <c r="BU42" s="210" t="str">
        <f t="shared" ca="1" si="13"/>
        <v/>
      </c>
      <c r="BV42" s="210" t="str">
        <f t="shared" ca="1" si="13"/>
        <v/>
      </c>
      <c r="BW42" s="210" t="str">
        <f t="shared" ca="1" si="13"/>
        <v/>
      </c>
      <c r="BX42" s="210" t="str">
        <f t="shared" ca="1" si="13"/>
        <v/>
      </c>
      <c r="BY42" s="210" t="str">
        <f t="shared" ca="1" si="13"/>
        <v/>
      </c>
      <c r="BZ42" s="210" t="str">
        <f t="shared" ca="1" si="13"/>
        <v/>
      </c>
      <c r="CA42" s="210" t="str">
        <f t="shared" ca="1" si="13"/>
        <v/>
      </c>
      <c r="CB42" s="396" t="str">
        <f t="shared" ca="1" si="13"/>
        <v/>
      </c>
      <c r="CC42" s="68"/>
      <c r="CD42" s="419" t="e">
        <f t="shared" ca="1" si="15"/>
        <v>#N/A</v>
      </c>
      <c r="CF42" s="50" t="str">
        <f ca="1">IF(AND(ISNUMBER(CS!C42),ISNUMBER(CS!D42)),CONCATENATE(CF$10,CG$10),"")</f>
        <v/>
      </c>
      <c r="CG42" s="50" t="str">
        <f ca="1">IF(AND(ISNUMBER(CS!D42),ISNUMBER(CS!E42)),CONCATENATE(CG$10,CH$10),"")</f>
        <v/>
      </c>
      <c r="CH42" s="50" t="str">
        <f ca="1">IF(AND(ISNUMBER(CS!E42),ISNUMBER(CS!F42)),CONCATENATE(CH$10,CI$10),"")</f>
        <v/>
      </c>
      <c r="CI42" s="50" t="str">
        <f ca="1">IF(AND(ISNUMBER(CS!F42),ISNUMBER(CS!G42)),CONCATENATE(CI$10,CJ$10),"")</f>
        <v/>
      </c>
      <c r="CJ42" s="50" t="str">
        <f ca="1">IF(AND(ISNUMBER(CS!G42),ISNUMBER(CS!H42)),CONCATENATE(CJ$10,CK$10),"")</f>
        <v/>
      </c>
      <c r="CK42" s="50" t="str">
        <f ca="1">IF(AND(ISNUMBER(CS!H42),ISNUMBER(CS!I42)),CONCATENATE(CK$10,CL$10),"")</f>
        <v/>
      </c>
      <c r="CL42" s="50" t="str">
        <f ca="1">IF(AND(ISNUMBER(CS!I42),ISNUMBER(CS!J42)),CONCATENATE(CL$10,CM$10),"")</f>
        <v/>
      </c>
      <c r="CM42" s="50" t="str">
        <f ca="1">IF(AND(ISNUMBER(CS!J42),ISNUMBER(CS!K42)),CONCATENATE(CM$10,CN$10),"")</f>
        <v/>
      </c>
      <c r="CN42" s="50" t="str">
        <f ca="1">IF(AND(ISNUMBER(CS!K42),ISNUMBER(CS!L42)),CONCATENATE(CN$10,CO$10),"")</f>
        <v/>
      </c>
      <c r="CO42" s="50" t="str">
        <f ca="1">IF(AND(ISNUMBER(CS!L42),ISNUMBER(CS!M42)),CONCATENATE(CO$10,CP$10),"")</f>
        <v/>
      </c>
      <c r="CP42" s="50" t="str">
        <f ca="1">IF(AND(ISNUMBER(CS!M42),ISNUMBER(CS!N42)),CONCATENATE(CP$10,CQ$10),"")</f>
        <v/>
      </c>
      <c r="CQ42" s="50" t="str">
        <f ca="1">IF(AND(ISNUMBER(CS!N42),ISNUMBER(CS!O42)),CONCATENATE(CQ$10,CR$10),"")</f>
        <v/>
      </c>
      <c r="CR42" s="50" t="str">
        <f ca="1">IF(AND(ISNUMBER(CS!O42),ISNUMBER(CS!P42)),CONCATENATE(CR$10,CS$10),"")</f>
        <v/>
      </c>
      <c r="CS42" s="50" t="str">
        <f ca="1">IF(AND(ISNUMBER(CS!P42),ISNUMBER(CS!Q42)),CONCATENATE(CS$10,CT$10),"")</f>
        <v/>
      </c>
      <c r="CT42" s="50" t="str">
        <f ca="1">IF(AND(ISNUMBER(CS!Q42),ISNUMBER(CS!R42)),CONCATENATE(CT$10,CU$10),"")</f>
        <v/>
      </c>
      <c r="CU42" s="50" t="str">
        <f ca="1">IF(AND(ISNUMBER(CS!R42),ISNUMBER(CS!S42)),CONCATENATE(CU$10,CV$10),"")</f>
        <v/>
      </c>
      <c r="CV42" s="50" t="str">
        <f ca="1">IF(AND(ISNUMBER(CS!S42),ISNUMBER(CS!T42)),CONCATENATE(CV$10,CW$10),"")</f>
        <v/>
      </c>
      <c r="CW42" s="50" t="str">
        <f ca="1">IF(AND(ISNUMBER(CS!T42),ISNUMBER(CS!U42)),CONCATENATE(CW$10,CX$10),"")</f>
        <v/>
      </c>
      <c r="CX42" s="50" t="str">
        <f ca="1">IF(AND(ISNUMBER(CS!U42),ISNUMBER(CS!V42)),CONCATENATE(CX$10,CY$10),"")</f>
        <v/>
      </c>
      <c r="CY42" s="50" t="str">
        <f ca="1">IF(AND(ISNUMBER(CS!V42),ISNUMBER(CS!W42)),CONCATENATE(CY$10,CZ$10),"")</f>
        <v/>
      </c>
      <c r="CZ42" s="50" t="str">
        <f ca="1">IF(AND(ISNUMBER(CS!W42),ISNUMBER(CS!X42)),CONCATENATE(CZ$10,DA$10),"")</f>
        <v/>
      </c>
      <c r="DA42" s="50" t="str">
        <f ca="1">IF(AND(ISNUMBER(CS!X42),ISNUMBER(CS!Y42)),CONCATENATE(DA$10,DB$10),"")</f>
        <v/>
      </c>
      <c r="DB42" s="50" t="str">
        <f ca="1">IF(AND(ISNUMBER(CS!Y42),ISNUMBER(CS!Z42)),CONCATENATE(DB$10,DC$10),"")</f>
        <v/>
      </c>
      <c r="DC42" s="50" t="str">
        <f ca="1">IF(AND(ISNUMBER(CS!Z42),ISNUMBER(CS!AA42)),CONCATENATE(DC$10,DD$10),"")</f>
        <v/>
      </c>
      <c r="DD42" s="50" t="str">
        <f ca="1">IF(AND(ISNUMBER(CS!AA42),ISNUMBER(CS!AB42)),CONCATENATE(DD$10,DE$10),"")</f>
        <v/>
      </c>
      <c r="DE42" s="50" t="str">
        <f ca="1">IF(AND(ISNUMBER(CS!AB42),ISNUMBER(CS!AC42)),CONCATENATE(DE$10,DF$10),"")</f>
        <v/>
      </c>
      <c r="DF42" s="50" t="str">
        <f ca="1">IF(AND(ISNUMBER(CS!AC42),ISNUMBER(CS!AD42)),CONCATENATE(DF$10,DG$10),"")</f>
        <v/>
      </c>
      <c r="DG42" s="50" t="str">
        <f ca="1">IF(AND(ISNUMBER(CS!AD42),ISNUMBER(CS!AE42)),CONCATENATE(DG$10,DH$10),"")</f>
        <v/>
      </c>
      <c r="DH42" s="50" t="str">
        <f ca="1">IF(AND(ISNUMBER(CS!AE42),ISNUMBER(CS!AF42)),CONCATENATE(DH$10,DI$10),"")</f>
        <v/>
      </c>
      <c r="DI42" s="50" t="str">
        <f ca="1">IF(AND(ISNUMBER(CS!AF42),ISNUMBER(CS!AG42)),CONCATENATE(DI$10,DJ$10),"")</f>
        <v/>
      </c>
      <c r="DJ42" s="50" t="str">
        <f ca="1">IF(AND(ISNUMBER(CS!AG42),ISNUMBER(CS!AH42)),CONCATENATE(DJ$10,DK$10),"")</f>
        <v/>
      </c>
      <c r="DK42" s="50" t="str">
        <f ca="1">IF(AND(ISNUMBER(CS!AH42),ISNUMBER(CS!AI42)),CONCATENATE(DK$10,DL$10),"")</f>
        <v/>
      </c>
      <c r="DL42" s="50" t="str">
        <f ca="1">IF(AND(ISNUMBER(CS!AI42),ISNUMBER(CS!AJ42)),CONCATENATE(DL$10,DM$10),"")</f>
        <v/>
      </c>
      <c r="DM42" s="50" t="str">
        <f ca="1">IF(AND(ISNUMBER(CS!AJ42),ISNUMBER(CS!AK42)),CONCATENATE(DM$10,DN$10),"")</f>
        <v/>
      </c>
      <c r="DN42" s="50" t="str">
        <f ca="1">IF(AND(ISNUMBER(CS!AK42),ISNUMBER(CS!AL42)),CONCATENATE(DN$10,DO$10),"")</f>
        <v/>
      </c>
      <c r="DO42" s="50" t="str">
        <f ca="1">IF(AND(ISNUMBER(CS!AL42),ISNUMBER(CS!AM42)),CONCATENATE(DO$10,DP$10),"")</f>
        <v/>
      </c>
      <c r="DP42" s="50" t="str">
        <f ca="1">IF(AND(ISNUMBER(CS!AM42),ISNUMBER(CS!AN42)),CONCATENATE(DP$10,DQ$10),"")</f>
        <v/>
      </c>
      <c r="DQ42" s="50" t="str">
        <f ca="1">IF(AND(ISNUMBER(CS!AN42),ISNUMBER(CS!AO42)),CONCATENATE(DQ$10,DR$10),"")</f>
        <v/>
      </c>
      <c r="DR42" s="50" t="str">
        <f ca="1">IF(AND(ISNUMBER(CS!AO42),ISNUMBER(CS!AP42)),CONCATENATE(DR$10,DS$10),"")</f>
        <v/>
      </c>
      <c r="DS42" s="50" t="str">
        <f ca="1">IF(AND(ISNUMBER(CS!AP42),ISNUMBER(CS!AQ42)),CONCATENATE(DS$10,DT$10),"")</f>
        <v/>
      </c>
      <c r="DT42" s="63">
        <f>DrawFinder!Y42</f>
        <v>0</v>
      </c>
    </row>
    <row r="43" spans="2:124">
      <c r="B43" s="393" t="str">
        <f ca="1">TmOrderLU!D43</f>
        <v/>
      </c>
      <c r="C43" s="63" t="str">
        <f ca="1">IF(ISNUMBER(CS!C43),C$10,"")</f>
        <v/>
      </c>
      <c r="D43" s="63" t="str">
        <f ca="1">IF(ISNUMBER(CS!D43),D$10,"")</f>
        <v/>
      </c>
      <c r="E43" s="63" t="str">
        <f ca="1">IF(ISNUMBER(CS!E43),E$10,"")</f>
        <v/>
      </c>
      <c r="F43" s="63" t="str">
        <f ca="1">IF(ISNUMBER(CS!F43),F$10,"")</f>
        <v/>
      </c>
      <c r="G43" s="63" t="str">
        <f ca="1">IF(ISNUMBER(CS!G43),G$10,"")</f>
        <v/>
      </c>
      <c r="H43" s="63" t="str">
        <f ca="1">IF(ISNUMBER(CS!H43),H$10,"")</f>
        <v/>
      </c>
      <c r="I43" s="63" t="str">
        <f ca="1">IF(ISNUMBER(CS!I43),I$10,"")</f>
        <v/>
      </c>
      <c r="J43" s="63" t="str">
        <f ca="1">IF(ISNUMBER(CS!J43),J$10,"")</f>
        <v/>
      </c>
      <c r="K43" s="63" t="str">
        <f ca="1">IF(ISNUMBER(CS!K43),K$10,"")</f>
        <v/>
      </c>
      <c r="L43" s="63" t="str">
        <f ca="1">IF(ISNUMBER(CS!L43),L$10,"")</f>
        <v/>
      </c>
      <c r="M43" s="63" t="str">
        <f ca="1">IF(ISNUMBER(CS!M43),M$10,"")</f>
        <v/>
      </c>
      <c r="N43" s="63" t="str">
        <f ca="1">IF(ISNUMBER(CS!N43),N$10,"")</f>
        <v/>
      </c>
      <c r="O43" s="63" t="str">
        <f ca="1">IF(ISNUMBER(CS!O43),O$10,"")</f>
        <v/>
      </c>
      <c r="P43" s="63" t="str">
        <f ca="1">IF(ISNUMBER(CS!P43),P$10,"")</f>
        <v/>
      </c>
      <c r="Q43" s="63" t="str">
        <f ca="1">IF(ISNUMBER(CS!Q43),Q$10,"")</f>
        <v/>
      </c>
      <c r="R43" s="63" t="str">
        <f ca="1">IF(ISNUMBER(CS!R43),R$10,"")</f>
        <v/>
      </c>
      <c r="S43" s="63" t="str">
        <f ca="1">IF(ISNUMBER(CS!S43),S$10,"")</f>
        <v/>
      </c>
      <c r="T43" s="63" t="str">
        <f ca="1">IF(ISNUMBER(CS!T43),T$10,"")</f>
        <v/>
      </c>
      <c r="U43" s="63" t="str">
        <f ca="1">IF(ISNUMBER(CS!U43),U$10,"")</f>
        <v/>
      </c>
      <c r="V43" s="63" t="str">
        <f ca="1">IF(ISNUMBER(CS!V43),V$10,"")</f>
        <v/>
      </c>
      <c r="W43" s="63" t="str">
        <f ca="1">IF(ISNUMBER(CS!W43),W$10,"")</f>
        <v/>
      </c>
      <c r="X43" s="63" t="str">
        <f ca="1">IF(ISNUMBER(CS!X43),X$10,"")</f>
        <v/>
      </c>
      <c r="Y43" s="63" t="str">
        <f ca="1">IF(ISNUMBER(CS!Y43),Y$10,"")</f>
        <v/>
      </c>
      <c r="Z43" s="63" t="str">
        <f ca="1">IF(ISNUMBER(CS!Z43),Z$10,"")</f>
        <v/>
      </c>
      <c r="AA43" s="63" t="str">
        <f ca="1">IF(ISNUMBER(CS!AA43),AA$10,"")</f>
        <v/>
      </c>
      <c r="AB43" s="63" t="str">
        <f ca="1">IF(ISNUMBER(CS!AB43),AB$10,"")</f>
        <v/>
      </c>
      <c r="AC43" s="63" t="str">
        <f ca="1">IF(ISNUMBER(CS!AC43),AC$10,"")</f>
        <v/>
      </c>
      <c r="AD43" s="63" t="str">
        <f ca="1">IF(ISNUMBER(CS!AD43),AD$10,"")</f>
        <v/>
      </c>
      <c r="AE43" s="63" t="str">
        <f ca="1">IF(ISNUMBER(CS!AE43),AE$10,"")</f>
        <v/>
      </c>
      <c r="AF43" s="63" t="str">
        <f ca="1">IF(ISNUMBER(CS!AF43),AF$10,"")</f>
        <v/>
      </c>
      <c r="AG43" s="63" t="str">
        <f ca="1">IF(ISNUMBER(CS!AG43),AG$10,"")</f>
        <v/>
      </c>
      <c r="AH43" s="63" t="str">
        <f ca="1">IF(ISNUMBER(CS!AH43),AH$10,"")</f>
        <v/>
      </c>
      <c r="AI43" s="63" t="str">
        <f ca="1">IF(ISNUMBER(CS!AI43),AI$10,"")</f>
        <v/>
      </c>
      <c r="AJ43" s="63" t="str">
        <f ca="1">IF(ISNUMBER(CS!AJ43),AJ$10,"")</f>
        <v/>
      </c>
      <c r="AK43" s="63" t="str">
        <f ca="1">IF(ISNUMBER(CS!AK43),AK$10,"")</f>
        <v/>
      </c>
      <c r="AL43" s="63" t="str">
        <f ca="1">IF(ISNUMBER(CS!AL43),AL$10,"")</f>
        <v/>
      </c>
      <c r="AM43" s="63" t="str">
        <f ca="1">IF(ISNUMBER(CS!AM43),AM$10,"")</f>
        <v/>
      </c>
      <c r="AN43" s="63" t="str">
        <f ca="1">IF(ISNUMBER(CS!AN43),AN$10,"")</f>
        <v/>
      </c>
      <c r="AO43" s="63" t="str">
        <f ca="1">IF(ISNUMBER(CS!AO43),AO$10,"")</f>
        <v/>
      </c>
      <c r="AP43" s="414" t="str">
        <f ca="1">IF(ISNUMBER(CS!AP43),AP$10,"")</f>
        <v/>
      </c>
      <c r="AS43" s="4" t="str">
        <f t="shared" ca="1" si="11"/>
        <v/>
      </c>
      <c r="AU43" s="417" t="str">
        <f t="shared" ca="1" si="8"/>
        <v/>
      </c>
      <c r="AV43" s="210" t="str">
        <f t="shared" ca="1" si="8"/>
        <v/>
      </c>
      <c r="AW43" s="210" t="str">
        <f t="shared" ca="1" si="8"/>
        <v/>
      </c>
      <c r="AX43" s="210" t="str">
        <f t="shared" ca="1" si="8"/>
        <v/>
      </c>
      <c r="AY43" s="414" t="str">
        <f t="shared" ca="1" si="8"/>
        <v/>
      </c>
      <c r="BA43" s="417" t="str">
        <f t="shared" ca="1" si="16"/>
        <v/>
      </c>
      <c r="BB43" s="210" t="str">
        <f t="shared" ca="1" si="16"/>
        <v/>
      </c>
      <c r="BC43" s="210" t="str">
        <f t="shared" ca="1" si="16"/>
        <v/>
      </c>
      <c r="BD43" s="210" t="str">
        <f t="shared" ca="1" si="16"/>
        <v/>
      </c>
      <c r="BE43" s="210" t="str">
        <f t="shared" ca="1" si="16"/>
        <v/>
      </c>
      <c r="BF43" s="210" t="str">
        <f t="shared" ca="1" si="16"/>
        <v/>
      </c>
      <c r="BG43" s="210" t="str">
        <f t="shared" ca="1" si="16"/>
        <v/>
      </c>
      <c r="BH43" s="210" t="str">
        <f t="shared" ca="1" si="16"/>
        <v/>
      </c>
      <c r="BI43" s="210" t="str">
        <f t="shared" ca="1" si="16"/>
        <v/>
      </c>
      <c r="BJ43" s="210" t="str">
        <f t="shared" ca="1" si="16"/>
        <v/>
      </c>
      <c r="BK43" s="210" t="str">
        <f t="shared" ca="1" si="16"/>
        <v/>
      </c>
      <c r="BL43" s="210" t="str">
        <f t="shared" ca="1" si="16"/>
        <v/>
      </c>
      <c r="BM43" s="210" t="str">
        <f t="shared" ca="1" si="16"/>
        <v/>
      </c>
      <c r="BN43" s="210" t="str">
        <f t="shared" ca="1" si="16"/>
        <v/>
      </c>
      <c r="BO43" s="210" t="str">
        <f t="shared" ca="1" si="16"/>
        <v/>
      </c>
      <c r="BP43" s="210" t="str">
        <f t="shared" ca="1" si="16"/>
        <v/>
      </c>
      <c r="BQ43" s="414" t="str">
        <f t="shared" ref="BQ43:BQ56" ca="1" si="17">IF(OR(BQ$10=0,$B43=""),"",COUNTA(INDIRECT(CONCATENATE(BQ$59,ROW(),":",BQ$60,ROW())))-COUNTBLANK(INDIRECT(CONCATENATE(BQ$59,ROW(),":",BQ$60,ROW()))))</f>
        <v/>
      </c>
      <c r="BS43" s="417" t="str">
        <f t="shared" ca="1" si="13"/>
        <v/>
      </c>
      <c r="BT43" s="210" t="str">
        <f t="shared" ca="1" si="13"/>
        <v/>
      </c>
      <c r="BU43" s="210" t="str">
        <f t="shared" ca="1" si="13"/>
        <v/>
      </c>
      <c r="BV43" s="210" t="str">
        <f t="shared" ca="1" si="13"/>
        <v/>
      </c>
      <c r="BW43" s="210" t="str">
        <f t="shared" ca="1" si="13"/>
        <v/>
      </c>
      <c r="BX43" s="210" t="str">
        <f t="shared" ca="1" si="13"/>
        <v/>
      </c>
      <c r="BY43" s="210" t="str">
        <f t="shared" ca="1" si="13"/>
        <v/>
      </c>
      <c r="BZ43" s="210" t="str">
        <f t="shared" ca="1" si="13"/>
        <v/>
      </c>
      <c r="CA43" s="210" t="str">
        <f t="shared" ca="1" si="13"/>
        <v/>
      </c>
      <c r="CB43" s="396" t="str">
        <f t="shared" ca="1" si="13"/>
        <v/>
      </c>
      <c r="CC43" s="68"/>
      <c r="CD43" s="419" t="e">
        <f t="shared" ca="1" si="15"/>
        <v>#N/A</v>
      </c>
      <c r="CF43" s="50" t="str">
        <f ca="1">IF(AND(ISNUMBER(CS!C43),ISNUMBER(CS!D43)),CONCATENATE(CF$10,CG$10),"")</f>
        <v/>
      </c>
      <c r="CG43" s="50" t="str">
        <f ca="1">IF(AND(ISNUMBER(CS!D43),ISNUMBER(CS!E43)),CONCATENATE(CG$10,CH$10),"")</f>
        <v/>
      </c>
      <c r="CH43" s="50" t="str">
        <f ca="1">IF(AND(ISNUMBER(CS!E43),ISNUMBER(CS!F43)),CONCATENATE(CH$10,CI$10),"")</f>
        <v/>
      </c>
      <c r="CI43" s="50" t="str">
        <f ca="1">IF(AND(ISNUMBER(CS!F43),ISNUMBER(CS!G43)),CONCATENATE(CI$10,CJ$10),"")</f>
        <v/>
      </c>
      <c r="CJ43" s="50" t="str">
        <f ca="1">IF(AND(ISNUMBER(CS!G43),ISNUMBER(CS!H43)),CONCATENATE(CJ$10,CK$10),"")</f>
        <v/>
      </c>
      <c r="CK43" s="50" t="str">
        <f ca="1">IF(AND(ISNUMBER(CS!H43),ISNUMBER(CS!I43)),CONCATENATE(CK$10,CL$10),"")</f>
        <v/>
      </c>
      <c r="CL43" s="50" t="str">
        <f ca="1">IF(AND(ISNUMBER(CS!I43),ISNUMBER(CS!J43)),CONCATENATE(CL$10,CM$10),"")</f>
        <v/>
      </c>
      <c r="CM43" s="50" t="str">
        <f ca="1">IF(AND(ISNUMBER(CS!J43),ISNUMBER(CS!K43)),CONCATENATE(CM$10,CN$10),"")</f>
        <v/>
      </c>
      <c r="CN43" s="50" t="str">
        <f ca="1">IF(AND(ISNUMBER(CS!K43),ISNUMBER(CS!L43)),CONCATENATE(CN$10,CO$10),"")</f>
        <v/>
      </c>
      <c r="CO43" s="50" t="str">
        <f ca="1">IF(AND(ISNUMBER(CS!L43),ISNUMBER(CS!M43)),CONCATENATE(CO$10,CP$10),"")</f>
        <v/>
      </c>
      <c r="CP43" s="50" t="str">
        <f ca="1">IF(AND(ISNUMBER(CS!M43),ISNUMBER(CS!N43)),CONCATENATE(CP$10,CQ$10),"")</f>
        <v/>
      </c>
      <c r="CQ43" s="50" t="str">
        <f ca="1">IF(AND(ISNUMBER(CS!N43),ISNUMBER(CS!O43)),CONCATENATE(CQ$10,CR$10),"")</f>
        <v/>
      </c>
      <c r="CR43" s="50" t="str">
        <f ca="1">IF(AND(ISNUMBER(CS!O43),ISNUMBER(CS!P43)),CONCATENATE(CR$10,CS$10),"")</f>
        <v/>
      </c>
      <c r="CS43" s="50" t="str">
        <f ca="1">IF(AND(ISNUMBER(CS!P43),ISNUMBER(CS!Q43)),CONCATENATE(CS$10,CT$10),"")</f>
        <v/>
      </c>
      <c r="CT43" s="50" t="str">
        <f ca="1">IF(AND(ISNUMBER(CS!Q43),ISNUMBER(CS!R43)),CONCATENATE(CT$10,CU$10),"")</f>
        <v/>
      </c>
      <c r="CU43" s="50" t="str">
        <f ca="1">IF(AND(ISNUMBER(CS!R43),ISNUMBER(CS!S43)),CONCATENATE(CU$10,CV$10),"")</f>
        <v/>
      </c>
      <c r="CV43" s="50" t="str">
        <f ca="1">IF(AND(ISNUMBER(CS!S43),ISNUMBER(CS!T43)),CONCATENATE(CV$10,CW$10),"")</f>
        <v/>
      </c>
      <c r="CW43" s="50" t="str">
        <f ca="1">IF(AND(ISNUMBER(CS!T43),ISNUMBER(CS!U43)),CONCATENATE(CW$10,CX$10),"")</f>
        <v/>
      </c>
      <c r="CX43" s="50" t="str">
        <f ca="1">IF(AND(ISNUMBER(CS!U43),ISNUMBER(CS!V43)),CONCATENATE(CX$10,CY$10),"")</f>
        <v/>
      </c>
      <c r="CY43" s="50" t="str">
        <f ca="1">IF(AND(ISNUMBER(CS!V43),ISNUMBER(CS!W43)),CONCATENATE(CY$10,CZ$10),"")</f>
        <v/>
      </c>
      <c r="CZ43" s="50" t="str">
        <f ca="1">IF(AND(ISNUMBER(CS!W43),ISNUMBER(CS!X43)),CONCATENATE(CZ$10,DA$10),"")</f>
        <v/>
      </c>
      <c r="DA43" s="50" t="str">
        <f ca="1">IF(AND(ISNUMBER(CS!X43),ISNUMBER(CS!Y43)),CONCATENATE(DA$10,DB$10),"")</f>
        <v/>
      </c>
      <c r="DB43" s="50" t="str">
        <f ca="1">IF(AND(ISNUMBER(CS!Y43),ISNUMBER(CS!Z43)),CONCATENATE(DB$10,DC$10),"")</f>
        <v/>
      </c>
      <c r="DC43" s="50" t="str">
        <f ca="1">IF(AND(ISNUMBER(CS!Z43),ISNUMBER(CS!AA43)),CONCATENATE(DC$10,DD$10),"")</f>
        <v/>
      </c>
      <c r="DD43" s="50" t="str">
        <f ca="1">IF(AND(ISNUMBER(CS!AA43),ISNUMBER(CS!AB43)),CONCATENATE(DD$10,DE$10),"")</f>
        <v/>
      </c>
      <c r="DE43" s="50" t="str">
        <f ca="1">IF(AND(ISNUMBER(CS!AB43),ISNUMBER(CS!AC43)),CONCATENATE(DE$10,DF$10),"")</f>
        <v/>
      </c>
      <c r="DF43" s="50" t="str">
        <f ca="1">IF(AND(ISNUMBER(CS!AC43),ISNUMBER(CS!AD43)),CONCATENATE(DF$10,DG$10),"")</f>
        <v/>
      </c>
      <c r="DG43" s="50" t="str">
        <f ca="1">IF(AND(ISNUMBER(CS!AD43),ISNUMBER(CS!AE43)),CONCATENATE(DG$10,DH$10),"")</f>
        <v/>
      </c>
      <c r="DH43" s="50" t="str">
        <f ca="1">IF(AND(ISNUMBER(CS!AE43),ISNUMBER(CS!AF43)),CONCATENATE(DH$10,DI$10),"")</f>
        <v/>
      </c>
      <c r="DI43" s="50" t="str">
        <f ca="1">IF(AND(ISNUMBER(CS!AF43),ISNUMBER(CS!AG43)),CONCATENATE(DI$10,DJ$10),"")</f>
        <v/>
      </c>
      <c r="DJ43" s="50" t="str">
        <f ca="1">IF(AND(ISNUMBER(CS!AG43),ISNUMBER(CS!AH43)),CONCATENATE(DJ$10,DK$10),"")</f>
        <v/>
      </c>
      <c r="DK43" s="50" t="str">
        <f ca="1">IF(AND(ISNUMBER(CS!AH43),ISNUMBER(CS!AI43)),CONCATENATE(DK$10,DL$10),"")</f>
        <v/>
      </c>
      <c r="DL43" s="50" t="str">
        <f ca="1">IF(AND(ISNUMBER(CS!AI43),ISNUMBER(CS!AJ43)),CONCATENATE(DL$10,DM$10),"")</f>
        <v/>
      </c>
      <c r="DM43" s="50" t="str">
        <f ca="1">IF(AND(ISNUMBER(CS!AJ43),ISNUMBER(CS!AK43)),CONCATENATE(DM$10,DN$10),"")</f>
        <v/>
      </c>
      <c r="DN43" s="50" t="str">
        <f ca="1">IF(AND(ISNUMBER(CS!AK43),ISNUMBER(CS!AL43)),CONCATENATE(DN$10,DO$10),"")</f>
        <v/>
      </c>
      <c r="DO43" s="50" t="str">
        <f ca="1">IF(AND(ISNUMBER(CS!AL43),ISNUMBER(CS!AM43)),CONCATENATE(DO$10,DP$10),"")</f>
        <v/>
      </c>
      <c r="DP43" s="50" t="str">
        <f ca="1">IF(AND(ISNUMBER(CS!AM43),ISNUMBER(CS!AN43)),CONCATENATE(DP$10,DQ$10),"")</f>
        <v/>
      </c>
      <c r="DQ43" s="50" t="str">
        <f ca="1">IF(AND(ISNUMBER(CS!AN43),ISNUMBER(CS!AO43)),CONCATENATE(DQ$10,DR$10),"")</f>
        <v/>
      </c>
      <c r="DR43" s="50" t="str">
        <f ca="1">IF(AND(ISNUMBER(CS!AO43),ISNUMBER(CS!AP43)),CONCATENATE(DR$10,DS$10),"")</f>
        <v/>
      </c>
      <c r="DS43" s="50" t="str">
        <f ca="1">IF(AND(ISNUMBER(CS!AP43),ISNUMBER(CS!AQ43)),CONCATENATE(DS$10,DT$10),"")</f>
        <v/>
      </c>
      <c r="DT43" s="63">
        <f>DrawFinder!Y43</f>
        <v>0</v>
      </c>
    </row>
    <row r="44" spans="2:124">
      <c r="B44" s="393" t="str">
        <f ca="1">TmOrderLU!D44</f>
        <v/>
      </c>
      <c r="C44" s="63" t="str">
        <f ca="1">IF(ISNUMBER(CS!C44),C$10,"")</f>
        <v/>
      </c>
      <c r="D44" s="63" t="str">
        <f ca="1">IF(ISNUMBER(CS!D44),D$10,"")</f>
        <v/>
      </c>
      <c r="E44" s="63" t="str">
        <f ca="1">IF(ISNUMBER(CS!E44),E$10,"")</f>
        <v/>
      </c>
      <c r="F44" s="63" t="str">
        <f ca="1">IF(ISNUMBER(CS!F44),F$10,"")</f>
        <v/>
      </c>
      <c r="G44" s="63" t="str">
        <f ca="1">IF(ISNUMBER(CS!G44),G$10,"")</f>
        <v/>
      </c>
      <c r="H44" s="63" t="str">
        <f ca="1">IF(ISNUMBER(CS!H44),H$10,"")</f>
        <v/>
      </c>
      <c r="I44" s="63" t="str">
        <f ca="1">IF(ISNUMBER(CS!I44),I$10,"")</f>
        <v/>
      </c>
      <c r="J44" s="63" t="str">
        <f ca="1">IF(ISNUMBER(CS!J44),J$10,"")</f>
        <v/>
      </c>
      <c r="K44" s="63" t="str">
        <f ca="1">IF(ISNUMBER(CS!K44),K$10,"")</f>
        <v/>
      </c>
      <c r="L44" s="63" t="str">
        <f ca="1">IF(ISNUMBER(CS!L44),L$10,"")</f>
        <v/>
      </c>
      <c r="M44" s="63" t="str">
        <f ca="1">IF(ISNUMBER(CS!M44),M$10,"")</f>
        <v/>
      </c>
      <c r="N44" s="63" t="str">
        <f ca="1">IF(ISNUMBER(CS!N44),N$10,"")</f>
        <v/>
      </c>
      <c r="O44" s="63" t="str">
        <f ca="1">IF(ISNUMBER(CS!O44),O$10,"")</f>
        <v/>
      </c>
      <c r="P44" s="63" t="str">
        <f ca="1">IF(ISNUMBER(CS!P44),P$10,"")</f>
        <v/>
      </c>
      <c r="Q44" s="63" t="str">
        <f ca="1">IF(ISNUMBER(CS!Q44),Q$10,"")</f>
        <v/>
      </c>
      <c r="R44" s="63" t="str">
        <f ca="1">IF(ISNUMBER(CS!R44),R$10,"")</f>
        <v/>
      </c>
      <c r="S44" s="63" t="str">
        <f ca="1">IF(ISNUMBER(CS!S44),S$10,"")</f>
        <v/>
      </c>
      <c r="T44" s="63" t="str">
        <f ca="1">IF(ISNUMBER(CS!T44),T$10,"")</f>
        <v/>
      </c>
      <c r="U44" s="63" t="str">
        <f ca="1">IF(ISNUMBER(CS!U44),U$10,"")</f>
        <v/>
      </c>
      <c r="V44" s="63" t="str">
        <f ca="1">IF(ISNUMBER(CS!V44),V$10,"")</f>
        <v/>
      </c>
      <c r="W44" s="63" t="str">
        <f ca="1">IF(ISNUMBER(CS!W44),W$10,"")</f>
        <v/>
      </c>
      <c r="X44" s="63" t="str">
        <f ca="1">IF(ISNUMBER(CS!X44),X$10,"")</f>
        <v/>
      </c>
      <c r="Y44" s="63" t="str">
        <f ca="1">IF(ISNUMBER(CS!Y44),Y$10,"")</f>
        <v/>
      </c>
      <c r="Z44" s="63" t="str">
        <f ca="1">IF(ISNUMBER(CS!Z44),Z$10,"")</f>
        <v/>
      </c>
      <c r="AA44" s="63" t="str">
        <f ca="1">IF(ISNUMBER(CS!AA44),AA$10,"")</f>
        <v/>
      </c>
      <c r="AB44" s="63" t="str">
        <f ca="1">IF(ISNUMBER(CS!AB44),AB$10,"")</f>
        <v/>
      </c>
      <c r="AC44" s="63" t="str">
        <f ca="1">IF(ISNUMBER(CS!AC44),AC$10,"")</f>
        <v/>
      </c>
      <c r="AD44" s="63" t="str">
        <f ca="1">IF(ISNUMBER(CS!AD44),AD$10,"")</f>
        <v/>
      </c>
      <c r="AE44" s="63" t="str">
        <f ca="1">IF(ISNUMBER(CS!AE44),AE$10,"")</f>
        <v/>
      </c>
      <c r="AF44" s="63" t="str">
        <f ca="1">IF(ISNUMBER(CS!AF44),AF$10,"")</f>
        <v/>
      </c>
      <c r="AG44" s="63" t="str">
        <f ca="1">IF(ISNUMBER(CS!AG44),AG$10,"")</f>
        <v/>
      </c>
      <c r="AH44" s="63" t="str">
        <f ca="1">IF(ISNUMBER(CS!AH44),AH$10,"")</f>
        <v/>
      </c>
      <c r="AI44" s="63" t="str">
        <f ca="1">IF(ISNUMBER(CS!AI44),AI$10,"")</f>
        <v/>
      </c>
      <c r="AJ44" s="63" t="str">
        <f ca="1">IF(ISNUMBER(CS!AJ44),AJ$10,"")</f>
        <v/>
      </c>
      <c r="AK44" s="63" t="str">
        <f ca="1">IF(ISNUMBER(CS!AK44),AK$10,"")</f>
        <v/>
      </c>
      <c r="AL44" s="63" t="str">
        <f ca="1">IF(ISNUMBER(CS!AL44),AL$10,"")</f>
        <v/>
      </c>
      <c r="AM44" s="63" t="str">
        <f ca="1">IF(ISNUMBER(CS!AM44),AM$10,"")</f>
        <v/>
      </c>
      <c r="AN44" s="63" t="str">
        <f ca="1">IF(ISNUMBER(CS!AN44),AN$10,"")</f>
        <v/>
      </c>
      <c r="AO44" s="63" t="str">
        <f ca="1">IF(ISNUMBER(CS!AO44),AO$10,"")</f>
        <v/>
      </c>
      <c r="AP44" s="414" t="str">
        <f ca="1">IF(ISNUMBER(CS!AP44),AP$10,"")</f>
        <v/>
      </c>
      <c r="AS44" s="4" t="str">
        <f t="shared" ca="1" si="11"/>
        <v/>
      </c>
      <c r="AU44" s="417" t="str">
        <f t="shared" ca="1" si="8"/>
        <v/>
      </c>
      <c r="AV44" s="210" t="str">
        <f t="shared" ca="1" si="8"/>
        <v/>
      </c>
      <c r="AW44" s="210" t="str">
        <f t="shared" ca="1" si="8"/>
        <v/>
      </c>
      <c r="AX44" s="210" t="str">
        <f t="shared" ca="1" si="8"/>
        <v/>
      </c>
      <c r="AY44" s="414" t="str">
        <f t="shared" ca="1" si="8"/>
        <v/>
      </c>
      <c r="BA44" s="417" t="str">
        <f t="shared" ca="1" si="16"/>
        <v/>
      </c>
      <c r="BB44" s="210" t="str">
        <f t="shared" ca="1" si="16"/>
        <v/>
      </c>
      <c r="BC44" s="210" t="str">
        <f t="shared" ca="1" si="16"/>
        <v/>
      </c>
      <c r="BD44" s="210" t="str">
        <f t="shared" ca="1" si="16"/>
        <v/>
      </c>
      <c r="BE44" s="210" t="str">
        <f t="shared" ca="1" si="16"/>
        <v/>
      </c>
      <c r="BF44" s="210" t="str">
        <f t="shared" ca="1" si="16"/>
        <v/>
      </c>
      <c r="BG44" s="210" t="str">
        <f t="shared" ca="1" si="16"/>
        <v/>
      </c>
      <c r="BH44" s="210" t="str">
        <f t="shared" ca="1" si="16"/>
        <v/>
      </c>
      <c r="BI44" s="210" t="str">
        <f t="shared" ca="1" si="16"/>
        <v/>
      </c>
      <c r="BJ44" s="210" t="str">
        <f t="shared" ca="1" si="16"/>
        <v/>
      </c>
      <c r="BK44" s="210" t="str">
        <f t="shared" ca="1" si="16"/>
        <v/>
      </c>
      <c r="BL44" s="210" t="str">
        <f t="shared" ca="1" si="16"/>
        <v/>
      </c>
      <c r="BM44" s="210" t="str">
        <f t="shared" ca="1" si="16"/>
        <v/>
      </c>
      <c r="BN44" s="210" t="str">
        <f t="shared" ca="1" si="16"/>
        <v/>
      </c>
      <c r="BO44" s="210" t="str">
        <f t="shared" ca="1" si="16"/>
        <v/>
      </c>
      <c r="BP44" s="210" t="str">
        <f t="shared" ca="1" si="16"/>
        <v/>
      </c>
      <c r="BQ44" s="414" t="str">
        <f t="shared" ca="1" si="17"/>
        <v/>
      </c>
      <c r="BS44" s="417" t="str">
        <f t="shared" ca="1" si="13"/>
        <v/>
      </c>
      <c r="BT44" s="210" t="str">
        <f t="shared" ca="1" si="13"/>
        <v/>
      </c>
      <c r="BU44" s="210" t="str">
        <f t="shared" ca="1" si="13"/>
        <v/>
      </c>
      <c r="BV44" s="210" t="str">
        <f t="shared" ca="1" si="13"/>
        <v/>
      </c>
      <c r="BW44" s="210" t="str">
        <f t="shared" ca="1" si="13"/>
        <v/>
      </c>
      <c r="BX44" s="210" t="str">
        <f t="shared" ca="1" si="13"/>
        <v/>
      </c>
      <c r="BY44" s="210" t="str">
        <f t="shared" ca="1" si="13"/>
        <v/>
      </c>
      <c r="BZ44" s="210" t="str">
        <f t="shared" ca="1" si="13"/>
        <v/>
      </c>
      <c r="CA44" s="210" t="str">
        <f t="shared" ca="1" si="13"/>
        <v/>
      </c>
      <c r="CB44" s="396" t="str">
        <f t="shared" ca="1" si="13"/>
        <v/>
      </c>
      <c r="CC44" s="68"/>
      <c r="CD44" s="419" t="e">
        <f t="shared" ca="1" si="15"/>
        <v>#N/A</v>
      </c>
      <c r="CF44" s="50" t="str">
        <f ca="1">IF(AND(ISNUMBER(CS!C44),ISNUMBER(CS!D44)),CONCATENATE(CF$10,CG$10),"")</f>
        <v/>
      </c>
      <c r="CG44" s="50" t="str">
        <f ca="1">IF(AND(ISNUMBER(CS!D44),ISNUMBER(CS!E44)),CONCATENATE(CG$10,CH$10),"")</f>
        <v/>
      </c>
      <c r="CH44" s="50" t="str">
        <f ca="1">IF(AND(ISNUMBER(CS!E44),ISNUMBER(CS!F44)),CONCATENATE(CH$10,CI$10),"")</f>
        <v/>
      </c>
      <c r="CI44" s="50" t="str">
        <f ca="1">IF(AND(ISNUMBER(CS!F44),ISNUMBER(CS!G44)),CONCATENATE(CI$10,CJ$10),"")</f>
        <v/>
      </c>
      <c r="CJ44" s="50" t="str">
        <f ca="1">IF(AND(ISNUMBER(CS!G44),ISNUMBER(CS!H44)),CONCATENATE(CJ$10,CK$10),"")</f>
        <v/>
      </c>
      <c r="CK44" s="50" t="str">
        <f ca="1">IF(AND(ISNUMBER(CS!H44),ISNUMBER(CS!I44)),CONCATENATE(CK$10,CL$10),"")</f>
        <v/>
      </c>
      <c r="CL44" s="50" t="str">
        <f ca="1">IF(AND(ISNUMBER(CS!I44),ISNUMBER(CS!J44)),CONCATENATE(CL$10,CM$10),"")</f>
        <v/>
      </c>
      <c r="CM44" s="50" t="str">
        <f ca="1">IF(AND(ISNUMBER(CS!J44),ISNUMBER(CS!K44)),CONCATENATE(CM$10,CN$10),"")</f>
        <v/>
      </c>
      <c r="CN44" s="50" t="str">
        <f ca="1">IF(AND(ISNUMBER(CS!K44),ISNUMBER(CS!L44)),CONCATENATE(CN$10,CO$10),"")</f>
        <v/>
      </c>
      <c r="CO44" s="50" t="str">
        <f ca="1">IF(AND(ISNUMBER(CS!L44),ISNUMBER(CS!M44)),CONCATENATE(CO$10,CP$10),"")</f>
        <v/>
      </c>
      <c r="CP44" s="50" t="str">
        <f ca="1">IF(AND(ISNUMBER(CS!M44),ISNUMBER(CS!N44)),CONCATENATE(CP$10,CQ$10),"")</f>
        <v/>
      </c>
      <c r="CQ44" s="50" t="str">
        <f ca="1">IF(AND(ISNUMBER(CS!N44),ISNUMBER(CS!O44)),CONCATENATE(CQ$10,CR$10),"")</f>
        <v/>
      </c>
      <c r="CR44" s="50" t="str">
        <f ca="1">IF(AND(ISNUMBER(CS!O44),ISNUMBER(CS!P44)),CONCATENATE(CR$10,CS$10),"")</f>
        <v/>
      </c>
      <c r="CS44" s="50" t="str">
        <f ca="1">IF(AND(ISNUMBER(CS!P44),ISNUMBER(CS!Q44)),CONCATENATE(CS$10,CT$10),"")</f>
        <v/>
      </c>
      <c r="CT44" s="50" t="str">
        <f ca="1">IF(AND(ISNUMBER(CS!Q44),ISNUMBER(CS!R44)),CONCATENATE(CT$10,CU$10),"")</f>
        <v/>
      </c>
      <c r="CU44" s="50" t="str">
        <f ca="1">IF(AND(ISNUMBER(CS!R44),ISNUMBER(CS!S44)),CONCATENATE(CU$10,CV$10),"")</f>
        <v/>
      </c>
      <c r="CV44" s="50" t="str">
        <f ca="1">IF(AND(ISNUMBER(CS!S44),ISNUMBER(CS!T44)),CONCATENATE(CV$10,CW$10),"")</f>
        <v/>
      </c>
      <c r="CW44" s="50" t="str">
        <f ca="1">IF(AND(ISNUMBER(CS!T44),ISNUMBER(CS!U44)),CONCATENATE(CW$10,CX$10),"")</f>
        <v/>
      </c>
      <c r="CX44" s="50" t="str">
        <f ca="1">IF(AND(ISNUMBER(CS!U44),ISNUMBER(CS!V44)),CONCATENATE(CX$10,CY$10),"")</f>
        <v/>
      </c>
      <c r="CY44" s="50" t="str">
        <f ca="1">IF(AND(ISNUMBER(CS!V44),ISNUMBER(CS!W44)),CONCATENATE(CY$10,CZ$10),"")</f>
        <v/>
      </c>
      <c r="CZ44" s="50" t="str">
        <f ca="1">IF(AND(ISNUMBER(CS!W44),ISNUMBER(CS!X44)),CONCATENATE(CZ$10,DA$10),"")</f>
        <v/>
      </c>
      <c r="DA44" s="50" t="str">
        <f ca="1">IF(AND(ISNUMBER(CS!X44),ISNUMBER(CS!Y44)),CONCATENATE(DA$10,DB$10),"")</f>
        <v/>
      </c>
      <c r="DB44" s="50" t="str">
        <f ca="1">IF(AND(ISNUMBER(CS!Y44),ISNUMBER(CS!Z44)),CONCATENATE(DB$10,DC$10),"")</f>
        <v/>
      </c>
      <c r="DC44" s="50" t="str">
        <f ca="1">IF(AND(ISNUMBER(CS!Z44),ISNUMBER(CS!AA44)),CONCATENATE(DC$10,DD$10),"")</f>
        <v/>
      </c>
      <c r="DD44" s="50" t="str">
        <f ca="1">IF(AND(ISNUMBER(CS!AA44),ISNUMBER(CS!AB44)),CONCATENATE(DD$10,DE$10),"")</f>
        <v/>
      </c>
      <c r="DE44" s="50" t="str">
        <f ca="1">IF(AND(ISNUMBER(CS!AB44),ISNUMBER(CS!AC44)),CONCATENATE(DE$10,DF$10),"")</f>
        <v/>
      </c>
      <c r="DF44" s="50" t="str">
        <f ca="1">IF(AND(ISNUMBER(CS!AC44),ISNUMBER(CS!AD44)),CONCATENATE(DF$10,DG$10),"")</f>
        <v/>
      </c>
      <c r="DG44" s="50" t="str">
        <f ca="1">IF(AND(ISNUMBER(CS!AD44),ISNUMBER(CS!AE44)),CONCATENATE(DG$10,DH$10),"")</f>
        <v/>
      </c>
      <c r="DH44" s="50" t="str">
        <f ca="1">IF(AND(ISNUMBER(CS!AE44),ISNUMBER(CS!AF44)),CONCATENATE(DH$10,DI$10),"")</f>
        <v/>
      </c>
      <c r="DI44" s="50" t="str">
        <f ca="1">IF(AND(ISNUMBER(CS!AF44),ISNUMBER(CS!AG44)),CONCATENATE(DI$10,DJ$10),"")</f>
        <v/>
      </c>
      <c r="DJ44" s="50" t="str">
        <f ca="1">IF(AND(ISNUMBER(CS!AG44),ISNUMBER(CS!AH44)),CONCATENATE(DJ$10,DK$10),"")</f>
        <v/>
      </c>
      <c r="DK44" s="50" t="str">
        <f ca="1">IF(AND(ISNUMBER(CS!AH44),ISNUMBER(CS!AI44)),CONCATENATE(DK$10,DL$10),"")</f>
        <v/>
      </c>
      <c r="DL44" s="50" t="str">
        <f ca="1">IF(AND(ISNUMBER(CS!AI44),ISNUMBER(CS!AJ44)),CONCATENATE(DL$10,DM$10),"")</f>
        <v/>
      </c>
      <c r="DM44" s="50" t="str">
        <f ca="1">IF(AND(ISNUMBER(CS!AJ44),ISNUMBER(CS!AK44)),CONCATENATE(DM$10,DN$10),"")</f>
        <v/>
      </c>
      <c r="DN44" s="50" t="str">
        <f ca="1">IF(AND(ISNUMBER(CS!AK44),ISNUMBER(CS!AL44)),CONCATENATE(DN$10,DO$10),"")</f>
        <v/>
      </c>
      <c r="DO44" s="50" t="str">
        <f ca="1">IF(AND(ISNUMBER(CS!AL44),ISNUMBER(CS!AM44)),CONCATENATE(DO$10,DP$10),"")</f>
        <v/>
      </c>
      <c r="DP44" s="50" t="str">
        <f ca="1">IF(AND(ISNUMBER(CS!AM44),ISNUMBER(CS!AN44)),CONCATENATE(DP$10,DQ$10),"")</f>
        <v/>
      </c>
      <c r="DQ44" s="50" t="str">
        <f ca="1">IF(AND(ISNUMBER(CS!AN44),ISNUMBER(CS!AO44)),CONCATENATE(DQ$10,DR$10),"")</f>
        <v/>
      </c>
      <c r="DR44" s="50" t="str">
        <f ca="1">IF(AND(ISNUMBER(CS!AO44),ISNUMBER(CS!AP44)),CONCATENATE(DR$10,DS$10),"")</f>
        <v/>
      </c>
      <c r="DS44" s="50" t="str">
        <f ca="1">IF(AND(ISNUMBER(CS!AP44),ISNUMBER(CS!AQ44)),CONCATENATE(DS$10,DT$10),"")</f>
        <v/>
      </c>
      <c r="DT44" s="63">
        <f>DrawFinder!Y44</f>
        <v>0</v>
      </c>
    </row>
    <row r="45" spans="2:124">
      <c r="B45" s="393" t="str">
        <f ca="1">TmOrderLU!D45</f>
        <v/>
      </c>
      <c r="C45" s="63" t="str">
        <f ca="1">IF(ISNUMBER(CS!C45),C$10,"")</f>
        <v/>
      </c>
      <c r="D45" s="63" t="str">
        <f ca="1">IF(ISNUMBER(CS!D45),D$10,"")</f>
        <v/>
      </c>
      <c r="E45" s="63" t="str">
        <f ca="1">IF(ISNUMBER(CS!E45),E$10,"")</f>
        <v/>
      </c>
      <c r="F45" s="63" t="str">
        <f ca="1">IF(ISNUMBER(CS!F45),F$10,"")</f>
        <v/>
      </c>
      <c r="G45" s="63" t="str">
        <f ca="1">IF(ISNUMBER(CS!G45),G$10,"")</f>
        <v/>
      </c>
      <c r="H45" s="63" t="str">
        <f ca="1">IF(ISNUMBER(CS!H45),H$10,"")</f>
        <v/>
      </c>
      <c r="I45" s="63" t="str">
        <f ca="1">IF(ISNUMBER(CS!I45),I$10,"")</f>
        <v/>
      </c>
      <c r="J45" s="63" t="str">
        <f ca="1">IF(ISNUMBER(CS!J45),J$10,"")</f>
        <v/>
      </c>
      <c r="K45" s="63" t="str">
        <f ca="1">IF(ISNUMBER(CS!K45),K$10,"")</f>
        <v/>
      </c>
      <c r="L45" s="63" t="str">
        <f ca="1">IF(ISNUMBER(CS!L45),L$10,"")</f>
        <v/>
      </c>
      <c r="M45" s="63" t="str">
        <f ca="1">IF(ISNUMBER(CS!M45),M$10,"")</f>
        <v/>
      </c>
      <c r="N45" s="63" t="str">
        <f ca="1">IF(ISNUMBER(CS!N45),N$10,"")</f>
        <v/>
      </c>
      <c r="O45" s="63" t="str">
        <f ca="1">IF(ISNUMBER(CS!O45),O$10,"")</f>
        <v/>
      </c>
      <c r="P45" s="63" t="str">
        <f ca="1">IF(ISNUMBER(CS!P45),P$10,"")</f>
        <v/>
      </c>
      <c r="Q45" s="63" t="str">
        <f ca="1">IF(ISNUMBER(CS!Q45),Q$10,"")</f>
        <v/>
      </c>
      <c r="R45" s="63" t="str">
        <f ca="1">IF(ISNUMBER(CS!R45),R$10,"")</f>
        <v/>
      </c>
      <c r="S45" s="63" t="str">
        <f ca="1">IF(ISNUMBER(CS!S45),S$10,"")</f>
        <v/>
      </c>
      <c r="T45" s="63" t="str">
        <f ca="1">IF(ISNUMBER(CS!T45),T$10,"")</f>
        <v/>
      </c>
      <c r="U45" s="63" t="str">
        <f ca="1">IF(ISNUMBER(CS!U45),U$10,"")</f>
        <v/>
      </c>
      <c r="V45" s="63" t="str">
        <f ca="1">IF(ISNUMBER(CS!V45),V$10,"")</f>
        <v/>
      </c>
      <c r="W45" s="63" t="str">
        <f ca="1">IF(ISNUMBER(CS!W45),W$10,"")</f>
        <v/>
      </c>
      <c r="X45" s="63" t="str">
        <f ca="1">IF(ISNUMBER(CS!X45),X$10,"")</f>
        <v/>
      </c>
      <c r="Y45" s="63" t="str">
        <f ca="1">IF(ISNUMBER(CS!Y45),Y$10,"")</f>
        <v/>
      </c>
      <c r="Z45" s="63" t="str">
        <f ca="1">IF(ISNUMBER(CS!Z45),Z$10,"")</f>
        <v/>
      </c>
      <c r="AA45" s="63" t="str">
        <f ca="1">IF(ISNUMBER(CS!AA45),AA$10,"")</f>
        <v/>
      </c>
      <c r="AB45" s="63" t="str">
        <f ca="1">IF(ISNUMBER(CS!AB45),AB$10,"")</f>
        <v/>
      </c>
      <c r="AC45" s="63" t="str">
        <f ca="1">IF(ISNUMBER(CS!AC45),AC$10,"")</f>
        <v/>
      </c>
      <c r="AD45" s="63" t="str">
        <f ca="1">IF(ISNUMBER(CS!AD45),AD$10,"")</f>
        <v/>
      </c>
      <c r="AE45" s="63" t="str">
        <f ca="1">IF(ISNUMBER(CS!AE45),AE$10,"")</f>
        <v/>
      </c>
      <c r="AF45" s="63" t="str">
        <f ca="1">IF(ISNUMBER(CS!AF45),AF$10,"")</f>
        <v/>
      </c>
      <c r="AG45" s="63" t="str">
        <f ca="1">IF(ISNUMBER(CS!AG45),AG$10,"")</f>
        <v/>
      </c>
      <c r="AH45" s="63" t="str">
        <f ca="1">IF(ISNUMBER(CS!AH45),AH$10,"")</f>
        <v/>
      </c>
      <c r="AI45" s="63" t="str">
        <f ca="1">IF(ISNUMBER(CS!AI45),AI$10,"")</f>
        <v/>
      </c>
      <c r="AJ45" s="63" t="str">
        <f ca="1">IF(ISNUMBER(CS!AJ45),AJ$10,"")</f>
        <v/>
      </c>
      <c r="AK45" s="63" t="str">
        <f ca="1">IF(ISNUMBER(CS!AK45),AK$10,"")</f>
        <v/>
      </c>
      <c r="AL45" s="63" t="str">
        <f ca="1">IF(ISNUMBER(CS!AL45),AL$10,"")</f>
        <v/>
      </c>
      <c r="AM45" s="63" t="str">
        <f ca="1">IF(ISNUMBER(CS!AM45),AM$10,"")</f>
        <v/>
      </c>
      <c r="AN45" s="63" t="str">
        <f ca="1">IF(ISNUMBER(CS!AN45),AN$10,"")</f>
        <v/>
      </c>
      <c r="AO45" s="63" t="str">
        <f ca="1">IF(ISNUMBER(CS!AO45),AO$10,"")</f>
        <v/>
      </c>
      <c r="AP45" s="414" t="str">
        <f ca="1">IF(ISNUMBER(CS!AP45),AP$10,"")</f>
        <v/>
      </c>
      <c r="AS45" s="4" t="str">
        <f t="shared" ca="1" si="11"/>
        <v/>
      </c>
      <c r="AU45" s="417" t="str">
        <f t="shared" ca="1" si="8"/>
        <v/>
      </c>
      <c r="AV45" s="210" t="str">
        <f t="shared" ca="1" si="8"/>
        <v/>
      </c>
      <c r="AW45" s="210" t="str">
        <f t="shared" ca="1" si="8"/>
        <v/>
      </c>
      <c r="AX45" s="210" t="str">
        <f t="shared" ca="1" si="8"/>
        <v/>
      </c>
      <c r="AY45" s="414" t="str">
        <f t="shared" ca="1" si="8"/>
        <v/>
      </c>
      <c r="BA45" s="417" t="str">
        <f t="shared" ca="1" si="16"/>
        <v/>
      </c>
      <c r="BB45" s="210" t="str">
        <f t="shared" ca="1" si="16"/>
        <v/>
      </c>
      <c r="BC45" s="210" t="str">
        <f t="shared" ca="1" si="16"/>
        <v/>
      </c>
      <c r="BD45" s="210" t="str">
        <f t="shared" ca="1" si="16"/>
        <v/>
      </c>
      <c r="BE45" s="210" t="str">
        <f t="shared" ca="1" si="16"/>
        <v/>
      </c>
      <c r="BF45" s="210" t="str">
        <f t="shared" ca="1" si="16"/>
        <v/>
      </c>
      <c r="BG45" s="210" t="str">
        <f t="shared" ca="1" si="16"/>
        <v/>
      </c>
      <c r="BH45" s="210" t="str">
        <f t="shared" ca="1" si="16"/>
        <v/>
      </c>
      <c r="BI45" s="210" t="str">
        <f t="shared" ca="1" si="16"/>
        <v/>
      </c>
      <c r="BJ45" s="210" t="str">
        <f t="shared" ca="1" si="16"/>
        <v/>
      </c>
      <c r="BK45" s="210" t="str">
        <f t="shared" ca="1" si="16"/>
        <v/>
      </c>
      <c r="BL45" s="210" t="str">
        <f t="shared" ca="1" si="16"/>
        <v/>
      </c>
      <c r="BM45" s="210" t="str">
        <f t="shared" ca="1" si="16"/>
        <v/>
      </c>
      <c r="BN45" s="210" t="str">
        <f t="shared" ca="1" si="16"/>
        <v/>
      </c>
      <c r="BO45" s="210" t="str">
        <f t="shared" ca="1" si="16"/>
        <v/>
      </c>
      <c r="BP45" s="210" t="str">
        <f t="shared" ca="1" si="16"/>
        <v/>
      </c>
      <c r="BQ45" s="414" t="str">
        <f t="shared" ca="1" si="17"/>
        <v/>
      </c>
      <c r="BS45" s="417" t="str">
        <f t="shared" ca="1" si="13"/>
        <v/>
      </c>
      <c r="BT45" s="210" t="str">
        <f t="shared" ca="1" si="13"/>
        <v/>
      </c>
      <c r="BU45" s="210" t="str">
        <f t="shared" ca="1" si="13"/>
        <v/>
      </c>
      <c r="BV45" s="210" t="str">
        <f t="shared" ca="1" si="13"/>
        <v/>
      </c>
      <c r="BW45" s="210" t="str">
        <f t="shared" ca="1" si="13"/>
        <v/>
      </c>
      <c r="BX45" s="210" t="str">
        <f t="shared" ca="1" si="13"/>
        <v/>
      </c>
      <c r="BY45" s="210" t="str">
        <f t="shared" ca="1" si="13"/>
        <v/>
      </c>
      <c r="BZ45" s="210" t="str">
        <f t="shared" ca="1" si="13"/>
        <v/>
      </c>
      <c r="CA45" s="210" t="str">
        <f t="shared" ca="1" si="13"/>
        <v/>
      </c>
      <c r="CB45" s="396" t="str">
        <f t="shared" ca="1" si="13"/>
        <v/>
      </c>
      <c r="CC45" s="68"/>
      <c r="CD45" s="419" t="e">
        <f t="shared" ca="1" si="15"/>
        <v>#N/A</v>
      </c>
      <c r="CF45" s="50" t="str">
        <f ca="1">IF(AND(ISNUMBER(CS!C45),ISNUMBER(CS!D45)),CONCATENATE(CF$10,CG$10),"")</f>
        <v/>
      </c>
      <c r="CG45" s="50" t="str">
        <f ca="1">IF(AND(ISNUMBER(CS!D45),ISNUMBER(CS!E45)),CONCATENATE(CG$10,CH$10),"")</f>
        <v/>
      </c>
      <c r="CH45" s="50" t="str">
        <f ca="1">IF(AND(ISNUMBER(CS!E45),ISNUMBER(CS!F45)),CONCATENATE(CH$10,CI$10),"")</f>
        <v/>
      </c>
      <c r="CI45" s="50" t="str">
        <f ca="1">IF(AND(ISNUMBER(CS!F45),ISNUMBER(CS!G45)),CONCATENATE(CI$10,CJ$10),"")</f>
        <v/>
      </c>
      <c r="CJ45" s="50" t="str">
        <f ca="1">IF(AND(ISNUMBER(CS!G45),ISNUMBER(CS!H45)),CONCATENATE(CJ$10,CK$10),"")</f>
        <v/>
      </c>
      <c r="CK45" s="50" t="str">
        <f ca="1">IF(AND(ISNUMBER(CS!H45),ISNUMBER(CS!I45)),CONCATENATE(CK$10,CL$10),"")</f>
        <v/>
      </c>
      <c r="CL45" s="50" t="str">
        <f ca="1">IF(AND(ISNUMBER(CS!I45),ISNUMBER(CS!J45)),CONCATENATE(CL$10,CM$10),"")</f>
        <v/>
      </c>
      <c r="CM45" s="50" t="str">
        <f ca="1">IF(AND(ISNUMBER(CS!J45),ISNUMBER(CS!K45)),CONCATENATE(CM$10,CN$10),"")</f>
        <v/>
      </c>
      <c r="CN45" s="50" t="str">
        <f ca="1">IF(AND(ISNUMBER(CS!K45),ISNUMBER(CS!L45)),CONCATENATE(CN$10,CO$10),"")</f>
        <v/>
      </c>
      <c r="CO45" s="50" t="str">
        <f ca="1">IF(AND(ISNUMBER(CS!L45),ISNUMBER(CS!M45)),CONCATENATE(CO$10,CP$10),"")</f>
        <v/>
      </c>
      <c r="CP45" s="50" t="str">
        <f ca="1">IF(AND(ISNUMBER(CS!M45),ISNUMBER(CS!N45)),CONCATENATE(CP$10,CQ$10),"")</f>
        <v/>
      </c>
      <c r="CQ45" s="50" t="str">
        <f ca="1">IF(AND(ISNUMBER(CS!N45),ISNUMBER(CS!O45)),CONCATENATE(CQ$10,CR$10),"")</f>
        <v/>
      </c>
      <c r="CR45" s="50" t="str">
        <f ca="1">IF(AND(ISNUMBER(CS!O45),ISNUMBER(CS!P45)),CONCATENATE(CR$10,CS$10),"")</f>
        <v/>
      </c>
      <c r="CS45" s="50" t="str">
        <f ca="1">IF(AND(ISNUMBER(CS!P45),ISNUMBER(CS!Q45)),CONCATENATE(CS$10,CT$10),"")</f>
        <v/>
      </c>
      <c r="CT45" s="50" t="str">
        <f ca="1">IF(AND(ISNUMBER(CS!Q45),ISNUMBER(CS!R45)),CONCATENATE(CT$10,CU$10),"")</f>
        <v/>
      </c>
      <c r="CU45" s="50" t="str">
        <f ca="1">IF(AND(ISNUMBER(CS!R45),ISNUMBER(CS!S45)),CONCATENATE(CU$10,CV$10),"")</f>
        <v/>
      </c>
      <c r="CV45" s="50" t="str">
        <f ca="1">IF(AND(ISNUMBER(CS!S45),ISNUMBER(CS!T45)),CONCATENATE(CV$10,CW$10),"")</f>
        <v/>
      </c>
      <c r="CW45" s="50" t="str">
        <f ca="1">IF(AND(ISNUMBER(CS!T45),ISNUMBER(CS!U45)),CONCATENATE(CW$10,CX$10),"")</f>
        <v/>
      </c>
      <c r="CX45" s="50" t="str">
        <f ca="1">IF(AND(ISNUMBER(CS!U45),ISNUMBER(CS!V45)),CONCATENATE(CX$10,CY$10),"")</f>
        <v/>
      </c>
      <c r="CY45" s="50" t="str">
        <f ca="1">IF(AND(ISNUMBER(CS!V45),ISNUMBER(CS!W45)),CONCATENATE(CY$10,CZ$10),"")</f>
        <v/>
      </c>
      <c r="CZ45" s="50" t="str">
        <f ca="1">IF(AND(ISNUMBER(CS!W45),ISNUMBER(CS!X45)),CONCATENATE(CZ$10,DA$10),"")</f>
        <v/>
      </c>
      <c r="DA45" s="50" t="str">
        <f ca="1">IF(AND(ISNUMBER(CS!X45),ISNUMBER(CS!Y45)),CONCATENATE(DA$10,DB$10),"")</f>
        <v/>
      </c>
      <c r="DB45" s="50" t="str">
        <f ca="1">IF(AND(ISNUMBER(CS!Y45),ISNUMBER(CS!Z45)),CONCATENATE(DB$10,DC$10),"")</f>
        <v/>
      </c>
      <c r="DC45" s="50" t="str">
        <f ca="1">IF(AND(ISNUMBER(CS!Z45),ISNUMBER(CS!AA45)),CONCATENATE(DC$10,DD$10),"")</f>
        <v/>
      </c>
      <c r="DD45" s="50" t="str">
        <f ca="1">IF(AND(ISNUMBER(CS!AA45),ISNUMBER(CS!AB45)),CONCATENATE(DD$10,DE$10),"")</f>
        <v/>
      </c>
      <c r="DE45" s="50" t="str">
        <f ca="1">IF(AND(ISNUMBER(CS!AB45),ISNUMBER(CS!AC45)),CONCATENATE(DE$10,DF$10),"")</f>
        <v/>
      </c>
      <c r="DF45" s="50" t="str">
        <f ca="1">IF(AND(ISNUMBER(CS!AC45),ISNUMBER(CS!AD45)),CONCATENATE(DF$10,DG$10),"")</f>
        <v/>
      </c>
      <c r="DG45" s="50" t="str">
        <f ca="1">IF(AND(ISNUMBER(CS!AD45),ISNUMBER(CS!AE45)),CONCATENATE(DG$10,DH$10),"")</f>
        <v/>
      </c>
      <c r="DH45" s="50" t="str">
        <f ca="1">IF(AND(ISNUMBER(CS!AE45),ISNUMBER(CS!AF45)),CONCATENATE(DH$10,DI$10),"")</f>
        <v/>
      </c>
      <c r="DI45" s="50" t="str">
        <f ca="1">IF(AND(ISNUMBER(CS!AF45),ISNUMBER(CS!AG45)),CONCATENATE(DI$10,DJ$10),"")</f>
        <v/>
      </c>
      <c r="DJ45" s="50" t="str">
        <f ca="1">IF(AND(ISNUMBER(CS!AG45),ISNUMBER(CS!AH45)),CONCATENATE(DJ$10,DK$10),"")</f>
        <v/>
      </c>
      <c r="DK45" s="50" t="str">
        <f ca="1">IF(AND(ISNUMBER(CS!AH45),ISNUMBER(CS!AI45)),CONCATENATE(DK$10,DL$10),"")</f>
        <v/>
      </c>
      <c r="DL45" s="50" t="str">
        <f ca="1">IF(AND(ISNUMBER(CS!AI45),ISNUMBER(CS!AJ45)),CONCATENATE(DL$10,DM$10),"")</f>
        <v/>
      </c>
      <c r="DM45" s="50" t="str">
        <f ca="1">IF(AND(ISNUMBER(CS!AJ45),ISNUMBER(CS!AK45)),CONCATENATE(DM$10,DN$10),"")</f>
        <v/>
      </c>
      <c r="DN45" s="50" t="str">
        <f ca="1">IF(AND(ISNUMBER(CS!AK45),ISNUMBER(CS!AL45)),CONCATENATE(DN$10,DO$10),"")</f>
        <v/>
      </c>
      <c r="DO45" s="50" t="str">
        <f ca="1">IF(AND(ISNUMBER(CS!AL45),ISNUMBER(CS!AM45)),CONCATENATE(DO$10,DP$10),"")</f>
        <v/>
      </c>
      <c r="DP45" s="50" t="str">
        <f ca="1">IF(AND(ISNUMBER(CS!AM45),ISNUMBER(CS!AN45)),CONCATENATE(DP$10,DQ$10),"")</f>
        <v/>
      </c>
      <c r="DQ45" s="50" t="str">
        <f ca="1">IF(AND(ISNUMBER(CS!AN45),ISNUMBER(CS!AO45)),CONCATENATE(DQ$10,DR$10),"")</f>
        <v/>
      </c>
      <c r="DR45" s="50" t="str">
        <f ca="1">IF(AND(ISNUMBER(CS!AO45),ISNUMBER(CS!AP45)),CONCATENATE(DR$10,DS$10),"")</f>
        <v/>
      </c>
      <c r="DS45" s="50" t="str">
        <f ca="1">IF(AND(ISNUMBER(CS!AP45),ISNUMBER(CS!AQ45)),CONCATENATE(DS$10,DT$10),"")</f>
        <v/>
      </c>
      <c r="DT45" s="63">
        <f>DrawFinder!Y45</f>
        <v>0</v>
      </c>
    </row>
    <row r="46" spans="2:124">
      <c r="B46" s="393" t="str">
        <f ca="1">TmOrderLU!D46</f>
        <v/>
      </c>
      <c r="C46" s="63" t="str">
        <f ca="1">IF(ISNUMBER(CS!C46),C$10,"")</f>
        <v/>
      </c>
      <c r="D46" s="63" t="str">
        <f ca="1">IF(ISNUMBER(CS!D46),D$10,"")</f>
        <v/>
      </c>
      <c r="E46" s="63" t="str">
        <f ca="1">IF(ISNUMBER(CS!E46),E$10,"")</f>
        <v/>
      </c>
      <c r="F46" s="63" t="str">
        <f ca="1">IF(ISNUMBER(CS!F46),F$10,"")</f>
        <v/>
      </c>
      <c r="G46" s="63" t="str">
        <f ca="1">IF(ISNUMBER(CS!G46),G$10,"")</f>
        <v/>
      </c>
      <c r="H46" s="63" t="str">
        <f ca="1">IF(ISNUMBER(CS!H46),H$10,"")</f>
        <v/>
      </c>
      <c r="I46" s="63" t="str">
        <f ca="1">IF(ISNUMBER(CS!I46),I$10,"")</f>
        <v/>
      </c>
      <c r="J46" s="63" t="str">
        <f ca="1">IF(ISNUMBER(CS!J46),J$10,"")</f>
        <v/>
      </c>
      <c r="K46" s="63" t="str">
        <f ca="1">IF(ISNUMBER(CS!K46),K$10,"")</f>
        <v/>
      </c>
      <c r="L46" s="63" t="str">
        <f ca="1">IF(ISNUMBER(CS!L46),L$10,"")</f>
        <v/>
      </c>
      <c r="M46" s="63" t="str">
        <f ca="1">IF(ISNUMBER(CS!M46),M$10,"")</f>
        <v/>
      </c>
      <c r="N46" s="63" t="str">
        <f ca="1">IF(ISNUMBER(CS!N46),N$10,"")</f>
        <v/>
      </c>
      <c r="O46" s="63" t="str">
        <f ca="1">IF(ISNUMBER(CS!O46),O$10,"")</f>
        <v/>
      </c>
      <c r="P46" s="63" t="str">
        <f ca="1">IF(ISNUMBER(CS!P46),P$10,"")</f>
        <v/>
      </c>
      <c r="Q46" s="63" t="str">
        <f ca="1">IF(ISNUMBER(CS!Q46),Q$10,"")</f>
        <v/>
      </c>
      <c r="R46" s="63" t="str">
        <f ca="1">IF(ISNUMBER(CS!R46),R$10,"")</f>
        <v/>
      </c>
      <c r="S46" s="63" t="str">
        <f ca="1">IF(ISNUMBER(CS!S46),S$10,"")</f>
        <v/>
      </c>
      <c r="T46" s="63" t="str">
        <f ca="1">IF(ISNUMBER(CS!T46),T$10,"")</f>
        <v/>
      </c>
      <c r="U46" s="63" t="str">
        <f ca="1">IF(ISNUMBER(CS!U46),U$10,"")</f>
        <v/>
      </c>
      <c r="V46" s="63" t="str">
        <f ca="1">IF(ISNUMBER(CS!V46),V$10,"")</f>
        <v/>
      </c>
      <c r="W46" s="63" t="str">
        <f ca="1">IF(ISNUMBER(CS!W46),W$10,"")</f>
        <v/>
      </c>
      <c r="X46" s="63" t="str">
        <f ca="1">IF(ISNUMBER(CS!X46),X$10,"")</f>
        <v/>
      </c>
      <c r="Y46" s="63" t="str">
        <f ca="1">IF(ISNUMBER(CS!Y46),Y$10,"")</f>
        <v/>
      </c>
      <c r="Z46" s="63" t="str">
        <f ca="1">IF(ISNUMBER(CS!Z46),Z$10,"")</f>
        <v/>
      </c>
      <c r="AA46" s="63" t="str">
        <f ca="1">IF(ISNUMBER(CS!AA46),AA$10,"")</f>
        <v/>
      </c>
      <c r="AB46" s="63" t="str">
        <f ca="1">IF(ISNUMBER(CS!AB46),AB$10,"")</f>
        <v/>
      </c>
      <c r="AC46" s="63" t="str">
        <f ca="1">IF(ISNUMBER(CS!AC46),AC$10,"")</f>
        <v/>
      </c>
      <c r="AD46" s="63" t="str">
        <f ca="1">IF(ISNUMBER(CS!AD46),AD$10,"")</f>
        <v/>
      </c>
      <c r="AE46" s="63" t="str">
        <f ca="1">IF(ISNUMBER(CS!AE46),AE$10,"")</f>
        <v/>
      </c>
      <c r="AF46" s="63" t="str">
        <f ca="1">IF(ISNUMBER(CS!AF46),AF$10,"")</f>
        <v/>
      </c>
      <c r="AG46" s="63" t="str">
        <f ca="1">IF(ISNUMBER(CS!AG46),AG$10,"")</f>
        <v/>
      </c>
      <c r="AH46" s="63" t="str">
        <f ca="1">IF(ISNUMBER(CS!AH46),AH$10,"")</f>
        <v/>
      </c>
      <c r="AI46" s="63" t="str">
        <f ca="1">IF(ISNUMBER(CS!AI46),AI$10,"")</f>
        <v/>
      </c>
      <c r="AJ46" s="63" t="str">
        <f ca="1">IF(ISNUMBER(CS!AJ46),AJ$10,"")</f>
        <v/>
      </c>
      <c r="AK46" s="63" t="str">
        <f ca="1">IF(ISNUMBER(CS!AK46),AK$10,"")</f>
        <v/>
      </c>
      <c r="AL46" s="63" t="str">
        <f ca="1">IF(ISNUMBER(CS!AL46),AL$10,"")</f>
        <v/>
      </c>
      <c r="AM46" s="63" t="str">
        <f ca="1">IF(ISNUMBER(CS!AM46),AM$10,"")</f>
        <v/>
      </c>
      <c r="AN46" s="63" t="str">
        <f ca="1">IF(ISNUMBER(CS!AN46),AN$10,"")</f>
        <v/>
      </c>
      <c r="AO46" s="63" t="str">
        <f ca="1">IF(ISNUMBER(CS!AO46),AO$10,"")</f>
        <v/>
      </c>
      <c r="AP46" s="414" t="str">
        <f ca="1">IF(ISNUMBER(CS!AP46),AP$10,"")</f>
        <v/>
      </c>
      <c r="AS46" s="4" t="str">
        <f t="shared" ca="1" si="11"/>
        <v/>
      </c>
      <c r="AU46" s="417" t="str">
        <f t="shared" ca="1" si="8"/>
        <v/>
      </c>
      <c r="AV46" s="210" t="str">
        <f t="shared" ca="1" si="8"/>
        <v/>
      </c>
      <c r="AW46" s="210" t="str">
        <f t="shared" ca="1" si="8"/>
        <v/>
      </c>
      <c r="AX46" s="210" t="str">
        <f t="shared" ca="1" si="8"/>
        <v/>
      </c>
      <c r="AY46" s="414" t="str">
        <f t="shared" ca="1" si="8"/>
        <v/>
      </c>
      <c r="BA46" s="417" t="str">
        <f t="shared" ca="1" si="16"/>
        <v/>
      </c>
      <c r="BB46" s="210" t="str">
        <f t="shared" ca="1" si="16"/>
        <v/>
      </c>
      <c r="BC46" s="210" t="str">
        <f t="shared" ca="1" si="16"/>
        <v/>
      </c>
      <c r="BD46" s="210" t="str">
        <f t="shared" ca="1" si="16"/>
        <v/>
      </c>
      <c r="BE46" s="210" t="str">
        <f t="shared" ca="1" si="16"/>
        <v/>
      </c>
      <c r="BF46" s="210" t="str">
        <f t="shared" ca="1" si="16"/>
        <v/>
      </c>
      <c r="BG46" s="210" t="str">
        <f t="shared" ca="1" si="16"/>
        <v/>
      </c>
      <c r="BH46" s="210" t="str">
        <f t="shared" ca="1" si="16"/>
        <v/>
      </c>
      <c r="BI46" s="210" t="str">
        <f t="shared" ca="1" si="16"/>
        <v/>
      </c>
      <c r="BJ46" s="210" t="str">
        <f t="shared" ca="1" si="16"/>
        <v/>
      </c>
      <c r="BK46" s="210" t="str">
        <f t="shared" ca="1" si="16"/>
        <v/>
      </c>
      <c r="BL46" s="210" t="str">
        <f t="shared" ca="1" si="16"/>
        <v/>
      </c>
      <c r="BM46" s="210" t="str">
        <f t="shared" ca="1" si="16"/>
        <v/>
      </c>
      <c r="BN46" s="210" t="str">
        <f t="shared" ca="1" si="16"/>
        <v/>
      </c>
      <c r="BO46" s="210" t="str">
        <f t="shared" ca="1" si="16"/>
        <v/>
      </c>
      <c r="BP46" s="210" t="str">
        <f t="shared" ca="1" si="16"/>
        <v/>
      </c>
      <c r="BQ46" s="414" t="str">
        <f t="shared" ca="1" si="17"/>
        <v/>
      </c>
      <c r="BS46" s="417" t="str">
        <f t="shared" ca="1" si="13"/>
        <v/>
      </c>
      <c r="BT46" s="210" t="str">
        <f t="shared" ca="1" si="13"/>
        <v/>
      </c>
      <c r="BU46" s="210" t="str">
        <f t="shared" ca="1" si="13"/>
        <v/>
      </c>
      <c r="BV46" s="210" t="str">
        <f t="shared" ca="1" si="13"/>
        <v/>
      </c>
      <c r="BW46" s="210" t="str">
        <f t="shared" ca="1" si="13"/>
        <v/>
      </c>
      <c r="BX46" s="210" t="str">
        <f t="shared" ca="1" si="13"/>
        <v/>
      </c>
      <c r="BY46" s="210" t="str">
        <f t="shared" ca="1" si="13"/>
        <v/>
      </c>
      <c r="BZ46" s="210" t="str">
        <f t="shared" ca="1" si="13"/>
        <v/>
      </c>
      <c r="CA46" s="210" t="str">
        <f t="shared" ca="1" si="13"/>
        <v/>
      </c>
      <c r="CB46" s="396" t="str">
        <f t="shared" ca="1" si="13"/>
        <v/>
      </c>
      <c r="CC46" s="68"/>
      <c r="CD46" s="419" t="e">
        <f t="shared" ca="1" si="15"/>
        <v>#N/A</v>
      </c>
      <c r="CF46" s="50" t="str">
        <f ca="1">IF(AND(ISNUMBER(CS!C46),ISNUMBER(CS!D46)),CONCATENATE(CF$10,CG$10),"")</f>
        <v/>
      </c>
      <c r="CG46" s="50" t="str">
        <f ca="1">IF(AND(ISNUMBER(CS!D46),ISNUMBER(CS!E46)),CONCATENATE(CG$10,CH$10),"")</f>
        <v/>
      </c>
      <c r="CH46" s="50" t="str">
        <f ca="1">IF(AND(ISNUMBER(CS!E46),ISNUMBER(CS!F46)),CONCATENATE(CH$10,CI$10),"")</f>
        <v/>
      </c>
      <c r="CI46" s="50" t="str">
        <f ca="1">IF(AND(ISNUMBER(CS!F46),ISNUMBER(CS!G46)),CONCATENATE(CI$10,CJ$10),"")</f>
        <v/>
      </c>
      <c r="CJ46" s="50" t="str">
        <f ca="1">IF(AND(ISNUMBER(CS!G46),ISNUMBER(CS!H46)),CONCATENATE(CJ$10,CK$10),"")</f>
        <v/>
      </c>
      <c r="CK46" s="50" t="str">
        <f ca="1">IF(AND(ISNUMBER(CS!H46),ISNUMBER(CS!I46)),CONCATENATE(CK$10,CL$10),"")</f>
        <v/>
      </c>
      <c r="CL46" s="50" t="str">
        <f ca="1">IF(AND(ISNUMBER(CS!I46),ISNUMBER(CS!J46)),CONCATENATE(CL$10,CM$10),"")</f>
        <v/>
      </c>
      <c r="CM46" s="50" t="str">
        <f ca="1">IF(AND(ISNUMBER(CS!J46),ISNUMBER(CS!K46)),CONCATENATE(CM$10,CN$10),"")</f>
        <v/>
      </c>
      <c r="CN46" s="50" t="str">
        <f ca="1">IF(AND(ISNUMBER(CS!K46),ISNUMBER(CS!L46)),CONCATENATE(CN$10,CO$10),"")</f>
        <v/>
      </c>
      <c r="CO46" s="50" t="str">
        <f ca="1">IF(AND(ISNUMBER(CS!L46),ISNUMBER(CS!M46)),CONCATENATE(CO$10,CP$10),"")</f>
        <v/>
      </c>
      <c r="CP46" s="50" t="str">
        <f ca="1">IF(AND(ISNUMBER(CS!M46),ISNUMBER(CS!N46)),CONCATENATE(CP$10,CQ$10),"")</f>
        <v/>
      </c>
      <c r="CQ46" s="50" t="str">
        <f ca="1">IF(AND(ISNUMBER(CS!N46),ISNUMBER(CS!O46)),CONCATENATE(CQ$10,CR$10),"")</f>
        <v/>
      </c>
      <c r="CR46" s="50" t="str">
        <f ca="1">IF(AND(ISNUMBER(CS!O46),ISNUMBER(CS!P46)),CONCATENATE(CR$10,CS$10),"")</f>
        <v/>
      </c>
      <c r="CS46" s="50" t="str">
        <f ca="1">IF(AND(ISNUMBER(CS!P46),ISNUMBER(CS!Q46)),CONCATENATE(CS$10,CT$10),"")</f>
        <v/>
      </c>
      <c r="CT46" s="50" t="str">
        <f ca="1">IF(AND(ISNUMBER(CS!Q46),ISNUMBER(CS!R46)),CONCATENATE(CT$10,CU$10),"")</f>
        <v/>
      </c>
      <c r="CU46" s="50" t="str">
        <f ca="1">IF(AND(ISNUMBER(CS!R46),ISNUMBER(CS!S46)),CONCATENATE(CU$10,CV$10),"")</f>
        <v/>
      </c>
      <c r="CV46" s="50" t="str">
        <f ca="1">IF(AND(ISNUMBER(CS!S46),ISNUMBER(CS!T46)),CONCATENATE(CV$10,CW$10),"")</f>
        <v/>
      </c>
      <c r="CW46" s="50" t="str">
        <f ca="1">IF(AND(ISNUMBER(CS!T46),ISNUMBER(CS!U46)),CONCATENATE(CW$10,CX$10),"")</f>
        <v/>
      </c>
      <c r="CX46" s="50" t="str">
        <f ca="1">IF(AND(ISNUMBER(CS!U46),ISNUMBER(CS!V46)),CONCATENATE(CX$10,CY$10),"")</f>
        <v/>
      </c>
      <c r="CY46" s="50" t="str">
        <f ca="1">IF(AND(ISNUMBER(CS!V46),ISNUMBER(CS!W46)),CONCATENATE(CY$10,CZ$10),"")</f>
        <v/>
      </c>
      <c r="CZ46" s="50" t="str">
        <f ca="1">IF(AND(ISNUMBER(CS!W46),ISNUMBER(CS!X46)),CONCATENATE(CZ$10,DA$10),"")</f>
        <v/>
      </c>
      <c r="DA46" s="50" t="str">
        <f ca="1">IF(AND(ISNUMBER(CS!X46),ISNUMBER(CS!Y46)),CONCATENATE(DA$10,DB$10),"")</f>
        <v/>
      </c>
      <c r="DB46" s="50" t="str">
        <f ca="1">IF(AND(ISNUMBER(CS!Y46),ISNUMBER(CS!Z46)),CONCATENATE(DB$10,DC$10),"")</f>
        <v/>
      </c>
      <c r="DC46" s="50" t="str">
        <f ca="1">IF(AND(ISNUMBER(CS!Z46),ISNUMBER(CS!AA46)),CONCATENATE(DC$10,DD$10),"")</f>
        <v/>
      </c>
      <c r="DD46" s="50" t="str">
        <f ca="1">IF(AND(ISNUMBER(CS!AA46),ISNUMBER(CS!AB46)),CONCATENATE(DD$10,DE$10),"")</f>
        <v/>
      </c>
      <c r="DE46" s="50" t="str">
        <f ca="1">IF(AND(ISNUMBER(CS!AB46),ISNUMBER(CS!AC46)),CONCATENATE(DE$10,DF$10),"")</f>
        <v/>
      </c>
      <c r="DF46" s="50" t="str">
        <f ca="1">IF(AND(ISNUMBER(CS!AC46),ISNUMBER(CS!AD46)),CONCATENATE(DF$10,DG$10),"")</f>
        <v/>
      </c>
      <c r="DG46" s="50" t="str">
        <f ca="1">IF(AND(ISNUMBER(CS!AD46),ISNUMBER(CS!AE46)),CONCATENATE(DG$10,DH$10),"")</f>
        <v/>
      </c>
      <c r="DH46" s="50" t="str">
        <f ca="1">IF(AND(ISNUMBER(CS!AE46),ISNUMBER(CS!AF46)),CONCATENATE(DH$10,DI$10),"")</f>
        <v/>
      </c>
      <c r="DI46" s="50" t="str">
        <f ca="1">IF(AND(ISNUMBER(CS!AF46),ISNUMBER(CS!AG46)),CONCATENATE(DI$10,DJ$10),"")</f>
        <v/>
      </c>
      <c r="DJ46" s="50" t="str">
        <f ca="1">IF(AND(ISNUMBER(CS!AG46),ISNUMBER(CS!AH46)),CONCATENATE(DJ$10,DK$10),"")</f>
        <v/>
      </c>
      <c r="DK46" s="50" t="str">
        <f ca="1">IF(AND(ISNUMBER(CS!AH46),ISNUMBER(CS!AI46)),CONCATENATE(DK$10,DL$10),"")</f>
        <v/>
      </c>
      <c r="DL46" s="50" t="str">
        <f ca="1">IF(AND(ISNUMBER(CS!AI46),ISNUMBER(CS!AJ46)),CONCATENATE(DL$10,DM$10),"")</f>
        <v/>
      </c>
      <c r="DM46" s="50" t="str">
        <f ca="1">IF(AND(ISNUMBER(CS!AJ46),ISNUMBER(CS!AK46)),CONCATENATE(DM$10,DN$10),"")</f>
        <v/>
      </c>
      <c r="DN46" s="50" t="str">
        <f ca="1">IF(AND(ISNUMBER(CS!AK46),ISNUMBER(CS!AL46)),CONCATENATE(DN$10,DO$10),"")</f>
        <v/>
      </c>
      <c r="DO46" s="50" t="str">
        <f ca="1">IF(AND(ISNUMBER(CS!AL46),ISNUMBER(CS!AM46)),CONCATENATE(DO$10,DP$10),"")</f>
        <v/>
      </c>
      <c r="DP46" s="50" t="str">
        <f ca="1">IF(AND(ISNUMBER(CS!AM46),ISNUMBER(CS!AN46)),CONCATENATE(DP$10,DQ$10),"")</f>
        <v/>
      </c>
      <c r="DQ46" s="50" t="str">
        <f ca="1">IF(AND(ISNUMBER(CS!AN46),ISNUMBER(CS!AO46)),CONCATENATE(DQ$10,DR$10),"")</f>
        <v/>
      </c>
      <c r="DR46" s="50" t="str">
        <f ca="1">IF(AND(ISNUMBER(CS!AO46),ISNUMBER(CS!AP46)),CONCATENATE(DR$10,DS$10),"")</f>
        <v/>
      </c>
      <c r="DS46" s="50" t="str">
        <f ca="1">IF(AND(ISNUMBER(CS!AP46),ISNUMBER(CS!AQ46)),CONCATENATE(DS$10,DT$10),"")</f>
        <v/>
      </c>
      <c r="DT46" s="63">
        <f>DrawFinder!Y46</f>
        <v>0</v>
      </c>
    </row>
    <row r="47" spans="2:124">
      <c r="B47" s="393" t="str">
        <f ca="1">TmOrderLU!D47</f>
        <v/>
      </c>
      <c r="C47" s="63" t="str">
        <f ca="1">IF(ISNUMBER(CS!C47),C$10,"")</f>
        <v/>
      </c>
      <c r="D47" s="63" t="str">
        <f ca="1">IF(ISNUMBER(CS!D47),D$10,"")</f>
        <v/>
      </c>
      <c r="E47" s="63" t="str">
        <f ca="1">IF(ISNUMBER(CS!E47),E$10,"")</f>
        <v/>
      </c>
      <c r="F47" s="63" t="str">
        <f ca="1">IF(ISNUMBER(CS!F47),F$10,"")</f>
        <v/>
      </c>
      <c r="G47" s="63" t="str">
        <f ca="1">IF(ISNUMBER(CS!G47),G$10,"")</f>
        <v/>
      </c>
      <c r="H47" s="63" t="str">
        <f ca="1">IF(ISNUMBER(CS!H47),H$10,"")</f>
        <v/>
      </c>
      <c r="I47" s="63" t="str">
        <f ca="1">IF(ISNUMBER(CS!I47),I$10,"")</f>
        <v/>
      </c>
      <c r="J47" s="63" t="str">
        <f ca="1">IF(ISNUMBER(CS!J47),J$10,"")</f>
        <v/>
      </c>
      <c r="K47" s="63" t="str">
        <f ca="1">IF(ISNUMBER(CS!K47),K$10,"")</f>
        <v/>
      </c>
      <c r="L47" s="63" t="str">
        <f ca="1">IF(ISNUMBER(CS!L47),L$10,"")</f>
        <v/>
      </c>
      <c r="M47" s="63" t="str">
        <f ca="1">IF(ISNUMBER(CS!M47),M$10,"")</f>
        <v/>
      </c>
      <c r="N47" s="63" t="str">
        <f ca="1">IF(ISNUMBER(CS!N47),N$10,"")</f>
        <v/>
      </c>
      <c r="O47" s="63" t="str">
        <f ca="1">IF(ISNUMBER(CS!O47),O$10,"")</f>
        <v/>
      </c>
      <c r="P47" s="63" t="str">
        <f ca="1">IF(ISNUMBER(CS!P47),P$10,"")</f>
        <v/>
      </c>
      <c r="Q47" s="63" t="str">
        <f ca="1">IF(ISNUMBER(CS!Q47),Q$10,"")</f>
        <v/>
      </c>
      <c r="R47" s="63" t="str">
        <f ca="1">IF(ISNUMBER(CS!R47),R$10,"")</f>
        <v/>
      </c>
      <c r="S47" s="63" t="str">
        <f ca="1">IF(ISNUMBER(CS!S47),S$10,"")</f>
        <v/>
      </c>
      <c r="T47" s="63" t="str">
        <f ca="1">IF(ISNUMBER(CS!T47),T$10,"")</f>
        <v/>
      </c>
      <c r="U47" s="63" t="str">
        <f ca="1">IF(ISNUMBER(CS!U47),U$10,"")</f>
        <v/>
      </c>
      <c r="V47" s="63" t="str">
        <f ca="1">IF(ISNUMBER(CS!V47),V$10,"")</f>
        <v/>
      </c>
      <c r="W47" s="63" t="str">
        <f ca="1">IF(ISNUMBER(CS!W47),W$10,"")</f>
        <v/>
      </c>
      <c r="X47" s="63" t="str">
        <f ca="1">IF(ISNUMBER(CS!X47),X$10,"")</f>
        <v/>
      </c>
      <c r="Y47" s="63" t="str">
        <f ca="1">IF(ISNUMBER(CS!Y47),Y$10,"")</f>
        <v/>
      </c>
      <c r="Z47" s="63" t="str">
        <f ca="1">IF(ISNUMBER(CS!Z47),Z$10,"")</f>
        <v/>
      </c>
      <c r="AA47" s="63" t="str">
        <f ca="1">IF(ISNUMBER(CS!AA47),AA$10,"")</f>
        <v/>
      </c>
      <c r="AB47" s="63" t="str">
        <f ca="1">IF(ISNUMBER(CS!AB47),AB$10,"")</f>
        <v/>
      </c>
      <c r="AC47" s="63" t="str">
        <f ca="1">IF(ISNUMBER(CS!AC47),AC$10,"")</f>
        <v/>
      </c>
      <c r="AD47" s="63" t="str">
        <f ca="1">IF(ISNUMBER(CS!AD47),AD$10,"")</f>
        <v/>
      </c>
      <c r="AE47" s="63" t="str">
        <f ca="1">IF(ISNUMBER(CS!AE47),AE$10,"")</f>
        <v/>
      </c>
      <c r="AF47" s="63" t="str">
        <f ca="1">IF(ISNUMBER(CS!AF47),AF$10,"")</f>
        <v/>
      </c>
      <c r="AG47" s="63" t="str">
        <f ca="1">IF(ISNUMBER(CS!AG47),AG$10,"")</f>
        <v/>
      </c>
      <c r="AH47" s="63" t="str">
        <f ca="1">IF(ISNUMBER(CS!AH47),AH$10,"")</f>
        <v/>
      </c>
      <c r="AI47" s="63" t="str">
        <f ca="1">IF(ISNUMBER(CS!AI47),AI$10,"")</f>
        <v/>
      </c>
      <c r="AJ47" s="63" t="str">
        <f ca="1">IF(ISNUMBER(CS!AJ47),AJ$10,"")</f>
        <v/>
      </c>
      <c r="AK47" s="63" t="str">
        <f ca="1">IF(ISNUMBER(CS!AK47),AK$10,"")</f>
        <v/>
      </c>
      <c r="AL47" s="63" t="str">
        <f ca="1">IF(ISNUMBER(CS!AL47),AL$10,"")</f>
        <v/>
      </c>
      <c r="AM47" s="63" t="str">
        <f ca="1">IF(ISNUMBER(CS!AM47),AM$10,"")</f>
        <v/>
      </c>
      <c r="AN47" s="63" t="str">
        <f ca="1">IF(ISNUMBER(CS!AN47),AN$10,"")</f>
        <v/>
      </c>
      <c r="AO47" s="63" t="str">
        <f ca="1">IF(ISNUMBER(CS!AO47),AO$10,"")</f>
        <v/>
      </c>
      <c r="AP47" s="414" t="str">
        <f ca="1">IF(ISNUMBER(CS!AP47),AP$10,"")</f>
        <v/>
      </c>
      <c r="AS47" s="4" t="str">
        <f t="shared" ca="1" si="11"/>
        <v/>
      </c>
      <c r="AU47" s="417" t="str">
        <f t="shared" ca="1" si="8"/>
        <v/>
      </c>
      <c r="AV47" s="210" t="str">
        <f t="shared" ca="1" si="8"/>
        <v/>
      </c>
      <c r="AW47" s="210" t="str">
        <f t="shared" ca="1" si="8"/>
        <v/>
      </c>
      <c r="AX47" s="210" t="str">
        <f t="shared" ca="1" si="8"/>
        <v/>
      </c>
      <c r="AY47" s="414" t="str">
        <f t="shared" ca="1" si="8"/>
        <v/>
      </c>
      <c r="BA47" s="417" t="str">
        <f t="shared" ca="1" si="16"/>
        <v/>
      </c>
      <c r="BB47" s="210" t="str">
        <f t="shared" ca="1" si="16"/>
        <v/>
      </c>
      <c r="BC47" s="210" t="str">
        <f t="shared" ca="1" si="16"/>
        <v/>
      </c>
      <c r="BD47" s="210" t="str">
        <f t="shared" ca="1" si="16"/>
        <v/>
      </c>
      <c r="BE47" s="210" t="str">
        <f t="shared" ca="1" si="16"/>
        <v/>
      </c>
      <c r="BF47" s="210" t="str">
        <f t="shared" ca="1" si="16"/>
        <v/>
      </c>
      <c r="BG47" s="210" t="str">
        <f t="shared" ca="1" si="16"/>
        <v/>
      </c>
      <c r="BH47" s="210" t="str">
        <f t="shared" ca="1" si="16"/>
        <v/>
      </c>
      <c r="BI47" s="210" t="str">
        <f t="shared" ca="1" si="16"/>
        <v/>
      </c>
      <c r="BJ47" s="210" t="str">
        <f t="shared" ca="1" si="16"/>
        <v/>
      </c>
      <c r="BK47" s="210" t="str">
        <f t="shared" ca="1" si="16"/>
        <v/>
      </c>
      <c r="BL47" s="210" t="str">
        <f t="shared" ca="1" si="16"/>
        <v/>
      </c>
      <c r="BM47" s="210" t="str">
        <f t="shared" ca="1" si="16"/>
        <v/>
      </c>
      <c r="BN47" s="210" t="str">
        <f t="shared" ca="1" si="16"/>
        <v/>
      </c>
      <c r="BO47" s="210" t="str">
        <f t="shared" ca="1" si="16"/>
        <v/>
      </c>
      <c r="BP47" s="210" t="str">
        <f t="shared" ca="1" si="16"/>
        <v/>
      </c>
      <c r="BQ47" s="414" t="str">
        <f t="shared" ca="1" si="17"/>
        <v/>
      </c>
      <c r="BS47" s="417" t="str">
        <f t="shared" ca="1" si="13"/>
        <v/>
      </c>
      <c r="BT47" s="210" t="str">
        <f t="shared" ca="1" si="13"/>
        <v/>
      </c>
      <c r="BU47" s="210" t="str">
        <f t="shared" ca="1" si="13"/>
        <v/>
      </c>
      <c r="BV47" s="210" t="str">
        <f t="shared" ca="1" si="13"/>
        <v/>
      </c>
      <c r="BW47" s="210" t="str">
        <f t="shared" ca="1" si="13"/>
        <v/>
      </c>
      <c r="BX47" s="210" t="str">
        <f t="shared" ca="1" si="13"/>
        <v/>
      </c>
      <c r="BY47" s="210" t="str">
        <f t="shared" ca="1" si="13"/>
        <v/>
      </c>
      <c r="BZ47" s="210" t="str">
        <f t="shared" ca="1" si="13"/>
        <v/>
      </c>
      <c r="CA47" s="210" t="str">
        <f t="shared" ca="1" si="13"/>
        <v/>
      </c>
      <c r="CB47" s="396" t="str">
        <f t="shared" ca="1" si="13"/>
        <v/>
      </c>
      <c r="CC47" s="68"/>
      <c r="CD47" s="419" t="e">
        <f t="shared" ca="1" si="15"/>
        <v>#N/A</v>
      </c>
      <c r="CF47" s="50" t="str">
        <f ca="1">IF(AND(ISNUMBER(CS!C47),ISNUMBER(CS!D47)),CONCATENATE(CF$10,CG$10),"")</f>
        <v/>
      </c>
      <c r="CG47" s="50" t="str">
        <f ca="1">IF(AND(ISNUMBER(CS!D47),ISNUMBER(CS!E47)),CONCATENATE(CG$10,CH$10),"")</f>
        <v/>
      </c>
      <c r="CH47" s="50" t="str">
        <f ca="1">IF(AND(ISNUMBER(CS!E47),ISNUMBER(CS!F47)),CONCATENATE(CH$10,CI$10),"")</f>
        <v/>
      </c>
      <c r="CI47" s="50" t="str">
        <f ca="1">IF(AND(ISNUMBER(CS!F47),ISNUMBER(CS!G47)),CONCATENATE(CI$10,CJ$10),"")</f>
        <v/>
      </c>
      <c r="CJ47" s="50" t="str">
        <f ca="1">IF(AND(ISNUMBER(CS!G47),ISNUMBER(CS!H47)),CONCATENATE(CJ$10,CK$10),"")</f>
        <v/>
      </c>
      <c r="CK47" s="50" t="str">
        <f ca="1">IF(AND(ISNUMBER(CS!H47),ISNUMBER(CS!I47)),CONCATENATE(CK$10,CL$10),"")</f>
        <v/>
      </c>
      <c r="CL47" s="50" t="str">
        <f ca="1">IF(AND(ISNUMBER(CS!I47),ISNUMBER(CS!J47)),CONCATENATE(CL$10,CM$10),"")</f>
        <v/>
      </c>
      <c r="CM47" s="50" t="str">
        <f ca="1">IF(AND(ISNUMBER(CS!J47),ISNUMBER(CS!K47)),CONCATENATE(CM$10,CN$10),"")</f>
        <v/>
      </c>
      <c r="CN47" s="50" t="str">
        <f ca="1">IF(AND(ISNUMBER(CS!K47),ISNUMBER(CS!L47)),CONCATENATE(CN$10,CO$10),"")</f>
        <v/>
      </c>
      <c r="CO47" s="50" t="str">
        <f ca="1">IF(AND(ISNUMBER(CS!L47),ISNUMBER(CS!M47)),CONCATENATE(CO$10,CP$10),"")</f>
        <v/>
      </c>
      <c r="CP47" s="50" t="str">
        <f ca="1">IF(AND(ISNUMBER(CS!M47),ISNUMBER(CS!N47)),CONCATENATE(CP$10,CQ$10),"")</f>
        <v/>
      </c>
      <c r="CQ47" s="50" t="str">
        <f ca="1">IF(AND(ISNUMBER(CS!N47),ISNUMBER(CS!O47)),CONCATENATE(CQ$10,CR$10),"")</f>
        <v/>
      </c>
      <c r="CR47" s="50" t="str">
        <f ca="1">IF(AND(ISNUMBER(CS!O47),ISNUMBER(CS!P47)),CONCATENATE(CR$10,CS$10),"")</f>
        <v/>
      </c>
      <c r="CS47" s="50" t="str">
        <f ca="1">IF(AND(ISNUMBER(CS!P47),ISNUMBER(CS!Q47)),CONCATENATE(CS$10,CT$10),"")</f>
        <v/>
      </c>
      <c r="CT47" s="50" t="str">
        <f ca="1">IF(AND(ISNUMBER(CS!Q47),ISNUMBER(CS!R47)),CONCATENATE(CT$10,CU$10),"")</f>
        <v/>
      </c>
      <c r="CU47" s="50" t="str">
        <f ca="1">IF(AND(ISNUMBER(CS!R47),ISNUMBER(CS!S47)),CONCATENATE(CU$10,CV$10),"")</f>
        <v/>
      </c>
      <c r="CV47" s="50" t="str">
        <f ca="1">IF(AND(ISNUMBER(CS!S47),ISNUMBER(CS!T47)),CONCATENATE(CV$10,CW$10),"")</f>
        <v/>
      </c>
      <c r="CW47" s="50" t="str">
        <f ca="1">IF(AND(ISNUMBER(CS!T47),ISNUMBER(CS!U47)),CONCATENATE(CW$10,CX$10),"")</f>
        <v/>
      </c>
      <c r="CX47" s="50" t="str">
        <f ca="1">IF(AND(ISNUMBER(CS!U47),ISNUMBER(CS!V47)),CONCATENATE(CX$10,CY$10),"")</f>
        <v/>
      </c>
      <c r="CY47" s="50" t="str">
        <f ca="1">IF(AND(ISNUMBER(CS!V47),ISNUMBER(CS!W47)),CONCATENATE(CY$10,CZ$10),"")</f>
        <v/>
      </c>
      <c r="CZ47" s="50" t="str">
        <f ca="1">IF(AND(ISNUMBER(CS!W47),ISNUMBER(CS!X47)),CONCATENATE(CZ$10,DA$10),"")</f>
        <v/>
      </c>
      <c r="DA47" s="50" t="str">
        <f ca="1">IF(AND(ISNUMBER(CS!X47),ISNUMBER(CS!Y47)),CONCATENATE(DA$10,DB$10),"")</f>
        <v/>
      </c>
      <c r="DB47" s="50" t="str">
        <f ca="1">IF(AND(ISNUMBER(CS!Y47),ISNUMBER(CS!Z47)),CONCATENATE(DB$10,DC$10),"")</f>
        <v/>
      </c>
      <c r="DC47" s="50" t="str">
        <f ca="1">IF(AND(ISNUMBER(CS!Z47),ISNUMBER(CS!AA47)),CONCATENATE(DC$10,DD$10),"")</f>
        <v/>
      </c>
      <c r="DD47" s="50" t="str">
        <f ca="1">IF(AND(ISNUMBER(CS!AA47),ISNUMBER(CS!AB47)),CONCATENATE(DD$10,DE$10),"")</f>
        <v/>
      </c>
      <c r="DE47" s="50" t="str">
        <f ca="1">IF(AND(ISNUMBER(CS!AB47),ISNUMBER(CS!AC47)),CONCATENATE(DE$10,DF$10),"")</f>
        <v/>
      </c>
      <c r="DF47" s="50" t="str">
        <f ca="1">IF(AND(ISNUMBER(CS!AC47),ISNUMBER(CS!AD47)),CONCATENATE(DF$10,DG$10),"")</f>
        <v/>
      </c>
      <c r="DG47" s="50" t="str">
        <f ca="1">IF(AND(ISNUMBER(CS!AD47),ISNUMBER(CS!AE47)),CONCATENATE(DG$10,DH$10),"")</f>
        <v/>
      </c>
      <c r="DH47" s="50" t="str">
        <f ca="1">IF(AND(ISNUMBER(CS!AE47),ISNUMBER(CS!AF47)),CONCATENATE(DH$10,DI$10),"")</f>
        <v/>
      </c>
      <c r="DI47" s="50" t="str">
        <f ca="1">IF(AND(ISNUMBER(CS!AF47),ISNUMBER(CS!AG47)),CONCATENATE(DI$10,DJ$10),"")</f>
        <v/>
      </c>
      <c r="DJ47" s="50" t="str">
        <f ca="1">IF(AND(ISNUMBER(CS!AG47),ISNUMBER(CS!AH47)),CONCATENATE(DJ$10,DK$10),"")</f>
        <v/>
      </c>
      <c r="DK47" s="50" t="str">
        <f ca="1">IF(AND(ISNUMBER(CS!AH47),ISNUMBER(CS!AI47)),CONCATENATE(DK$10,DL$10),"")</f>
        <v/>
      </c>
      <c r="DL47" s="50" t="str">
        <f ca="1">IF(AND(ISNUMBER(CS!AI47),ISNUMBER(CS!AJ47)),CONCATENATE(DL$10,DM$10),"")</f>
        <v/>
      </c>
      <c r="DM47" s="50" t="str">
        <f ca="1">IF(AND(ISNUMBER(CS!AJ47),ISNUMBER(CS!AK47)),CONCATENATE(DM$10,DN$10),"")</f>
        <v/>
      </c>
      <c r="DN47" s="50" t="str">
        <f ca="1">IF(AND(ISNUMBER(CS!AK47),ISNUMBER(CS!AL47)),CONCATENATE(DN$10,DO$10),"")</f>
        <v/>
      </c>
      <c r="DO47" s="50" t="str">
        <f ca="1">IF(AND(ISNUMBER(CS!AL47),ISNUMBER(CS!AM47)),CONCATENATE(DO$10,DP$10),"")</f>
        <v/>
      </c>
      <c r="DP47" s="50" t="str">
        <f ca="1">IF(AND(ISNUMBER(CS!AM47),ISNUMBER(CS!AN47)),CONCATENATE(DP$10,DQ$10),"")</f>
        <v/>
      </c>
      <c r="DQ47" s="50" t="str">
        <f ca="1">IF(AND(ISNUMBER(CS!AN47),ISNUMBER(CS!AO47)),CONCATENATE(DQ$10,DR$10),"")</f>
        <v/>
      </c>
      <c r="DR47" s="50" t="str">
        <f ca="1">IF(AND(ISNUMBER(CS!AO47),ISNUMBER(CS!AP47)),CONCATENATE(DR$10,DS$10),"")</f>
        <v/>
      </c>
      <c r="DS47" s="50" t="str">
        <f ca="1">IF(AND(ISNUMBER(CS!AP47),ISNUMBER(CS!AQ47)),CONCATENATE(DS$10,DT$10),"")</f>
        <v/>
      </c>
      <c r="DT47" s="63">
        <f>DrawFinder!Y47</f>
        <v>0</v>
      </c>
    </row>
    <row r="48" spans="2:124">
      <c r="B48" s="393" t="str">
        <f ca="1">TmOrderLU!D48</f>
        <v/>
      </c>
      <c r="C48" s="63" t="str">
        <f ca="1">IF(ISNUMBER(CS!C48),C$10,"")</f>
        <v/>
      </c>
      <c r="D48" s="63" t="str">
        <f ca="1">IF(ISNUMBER(CS!D48),D$10,"")</f>
        <v/>
      </c>
      <c r="E48" s="63" t="str">
        <f ca="1">IF(ISNUMBER(CS!E48),E$10,"")</f>
        <v/>
      </c>
      <c r="F48" s="63" t="str">
        <f ca="1">IF(ISNUMBER(CS!F48),F$10,"")</f>
        <v/>
      </c>
      <c r="G48" s="63" t="str">
        <f ca="1">IF(ISNUMBER(CS!G48),G$10,"")</f>
        <v/>
      </c>
      <c r="H48" s="63" t="str">
        <f ca="1">IF(ISNUMBER(CS!H48),H$10,"")</f>
        <v/>
      </c>
      <c r="I48" s="63" t="str">
        <f ca="1">IF(ISNUMBER(CS!I48),I$10,"")</f>
        <v/>
      </c>
      <c r="J48" s="63" t="str">
        <f ca="1">IF(ISNUMBER(CS!J48),J$10,"")</f>
        <v/>
      </c>
      <c r="K48" s="63" t="str">
        <f ca="1">IF(ISNUMBER(CS!K48),K$10,"")</f>
        <v/>
      </c>
      <c r="L48" s="63" t="str">
        <f ca="1">IF(ISNUMBER(CS!L48),L$10,"")</f>
        <v/>
      </c>
      <c r="M48" s="63" t="str">
        <f ca="1">IF(ISNUMBER(CS!M48),M$10,"")</f>
        <v/>
      </c>
      <c r="N48" s="63" t="str">
        <f ca="1">IF(ISNUMBER(CS!N48),N$10,"")</f>
        <v/>
      </c>
      <c r="O48" s="63" t="str">
        <f ca="1">IF(ISNUMBER(CS!O48),O$10,"")</f>
        <v/>
      </c>
      <c r="P48" s="63" t="str">
        <f ca="1">IF(ISNUMBER(CS!P48),P$10,"")</f>
        <v/>
      </c>
      <c r="Q48" s="63" t="str">
        <f ca="1">IF(ISNUMBER(CS!Q48),Q$10,"")</f>
        <v/>
      </c>
      <c r="R48" s="63" t="str">
        <f ca="1">IF(ISNUMBER(CS!R48),R$10,"")</f>
        <v/>
      </c>
      <c r="S48" s="63" t="str">
        <f ca="1">IF(ISNUMBER(CS!S48),S$10,"")</f>
        <v/>
      </c>
      <c r="T48" s="63" t="str">
        <f ca="1">IF(ISNUMBER(CS!T48),T$10,"")</f>
        <v/>
      </c>
      <c r="U48" s="63" t="str">
        <f ca="1">IF(ISNUMBER(CS!U48),U$10,"")</f>
        <v/>
      </c>
      <c r="V48" s="63" t="str">
        <f ca="1">IF(ISNUMBER(CS!V48),V$10,"")</f>
        <v/>
      </c>
      <c r="W48" s="63" t="str">
        <f ca="1">IF(ISNUMBER(CS!W48),W$10,"")</f>
        <v/>
      </c>
      <c r="X48" s="63" t="str">
        <f ca="1">IF(ISNUMBER(CS!X48),X$10,"")</f>
        <v/>
      </c>
      <c r="Y48" s="63" t="str">
        <f ca="1">IF(ISNUMBER(CS!Y48),Y$10,"")</f>
        <v/>
      </c>
      <c r="Z48" s="63" t="str">
        <f ca="1">IF(ISNUMBER(CS!Z48),Z$10,"")</f>
        <v/>
      </c>
      <c r="AA48" s="63" t="str">
        <f ca="1">IF(ISNUMBER(CS!AA48),AA$10,"")</f>
        <v/>
      </c>
      <c r="AB48" s="63" t="str">
        <f ca="1">IF(ISNUMBER(CS!AB48),AB$10,"")</f>
        <v/>
      </c>
      <c r="AC48" s="63" t="str">
        <f ca="1">IF(ISNUMBER(CS!AC48),AC$10,"")</f>
        <v/>
      </c>
      <c r="AD48" s="63" t="str">
        <f ca="1">IF(ISNUMBER(CS!AD48),AD$10,"")</f>
        <v/>
      </c>
      <c r="AE48" s="63" t="str">
        <f ca="1">IF(ISNUMBER(CS!AE48),AE$10,"")</f>
        <v/>
      </c>
      <c r="AF48" s="63" t="str">
        <f ca="1">IF(ISNUMBER(CS!AF48),AF$10,"")</f>
        <v/>
      </c>
      <c r="AG48" s="63" t="str">
        <f ca="1">IF(ISNUMBER(CS!AG48),AG$10,"")</f>
        <v/>
      </c>
      <c r="AH48" s="63" t="str">
        <f ca="1">IF(ISNUMBER(CS!AH48),AH$10,"")</f>
        <v/>
      </c>
      <c r="AI48" s="63" t="str">
        <f ca="1">IF(ISNUMBER(CS!AI48),AI$10,"")</f>
        <v/>
      </c>
      <c r="AJ48" s="63" t="str">
        <f ca="1">IF(ISNUMBER(CS!AJ48),AJ$10,"")</f>
        <v/>
      </c>
      <c r="AK48" s="63" t="str">
        <f ca="1">IF(ISNUMBER(CS!AK48),AK$10,"")</f>
        <v/>
      </c>
      <c r="AL48" s="63" t="str">
        <f ca="1">IF(ISNUMBER(CS!AL48),AL$10,"")</f>
        <v/>
      </c>
      <c r="AM48" s="63" t="str">
        <f ca="1">IF(ISNUMBER(CS!AM48),AM$10,"")</f>
        <v/>
      </c>
      <c r="AN48" s="63" t="str">
        <f ca="1">IF(ISNUMBER(CS!AN48),AN$10,"")</f>
        <v/>
      </c>
      <c r="AO48" s="63" t="str">
        <f ca="1">IF(ISNUMBER(CS!AO48),AO$10,"")</f>
        <v/>
      </c>
      <c r="AP48" s="414" t="str">
        <f ca="1">IF(ISNUMBER(CS!AP48),AP$10,"")</f>
        <v/>
      </c>
      <c r="AS48" s="4" t="str">
        <f t="shared" ca="1" si="11"/>
        <v/>
      </c>
      <c r="AU48" s="417" t="str">
        <f t="shared" ca="1" si="8"/>
        <v/>
      </c>
      <c r="AV48" s="210" t="str">
        <f t="shared" ca="1" si="8"/>
        <v/>
      </c>
      <c r="AW48" s="210" t="str">
        <f t="shared" ca="1" si="8"/>
        <v/>
      </c>
      <c r="AX48" s="210" t="str">
        <f t="shared" ca="1" si="8"/>
        <v/>
      </c>
      <c r="AY48" s="414" t="str">
        <f t="shared" ca="1" si="8"/>
        <v/>
      </c>
      <c r="BA48" s="417" t="str">
        <f t="shared" ca="1" si="16"/>
        <v/>
      </c>
      <c r="BB48" s="210" t="str">
        <f t="shared" ca="1" si="16"/>
        <v/>
      </c>
      <c r="BC48" s="210" t="str">
        <f t="shared" ca="1" si="16"/>
        <v/>
      </c>
      <c r="BD48" s="210" t="str">
        <f t="shared" ca="1" si="16"/>
        <v/>
      </c>
      <c r="BE48" s="210" t="str">
        <f t="shared" ca="1" si="16"/>
        <v/>
      </c>
      <c r="BF48" s="210" t="str">
        <f t="shared" ca="1" si="16"/>
        <v/>
      </c>
      <c r="BG48" s="210" t="str">
        <f t="shared" ca="1" si="16"/>
        <v/>
      </c>
      <c r="BH48" s="210" t="str">
        <f t="shared" ca="1" si="16"/>
        <v/>
      </c>
      <c r="BI48" s="210" t="str">
        <f t="shared" ca="1" si="16"/>
        <v/>
      </c>
      <c r="BJ48" s="210" t="str">
        <f t="shared" ca="1" si="16"/>
        <v/>
      </c>
      <c r="BK48" s="210" t="str">
        <f t="shared" ca="1" si="16"/>
        <v/>
      </c>
      <c r="BL48" s="210" t="str">
        <f t="shared" ca="1" si="16"/>
        <v/>
      </c>
      <c r="BM48" s="210" t="str">
        <f t="shared" ca="1" si="16"/>
        <v/>
      </c>
      <c r="BN48" s="210" t="str">
        <f t="shared" ca="1" si="16"/>
        <v/>
      </c>
      <c r="BO48" s="210" t="str">
        <f t="shared" ca="1" si="16"/>
        <v/>
      </c>
      <c r="BP48" s="210" t="str">
        <f t="shared" ca="1" si="16"/>
        <v/>
      </c>
      <c r="BQ48" s="414" t="str">
        <f t="shared" ca="1" si="17"/>
        <v/>
      </c>
      <c r="BS48" s="417" t="str">
        <f t="shared" ca="1" si="13"/>
        <v/>
      </c>
      <c r="BT48" s="210" t="str">
        <f t="shared" ca="1" si="13"/>
        <v/>
      </c>
      <c r="BU48" s="210" t="str">
        <f t="shared" ca="1" si="13"/>
        <v/>
      </c>
      <c r="BV48" s="210" t="str">
        <f t="shared" ca="1" si="13"/>
        <v/>
      </c>
      <c r="BW48" s="210" t="str">
        <f t="shared" ca="1" si="13"/>
        <v/>
      </c>
      <c r="BX48" s="210" t="str">
        <f t="shared" ca="1" si="13"/>
        <v/>
      </c>
      <c r="BY48" s="210" t="str">
        <f t="shared" ca="1" si="13"/>
        <v/>
      </c>
      <c r="BZ48" s="210" t="str">
        <f t="shared" ca="1" si="13"/>
        <v/>
      </c>
      <c r="CA48" s="210" t="str">
        <f t="shared" ca="1" si="13"/>
        <v/>
      </c>
      <c r="CB48" s="396" t="str">
        <f t="shared" ca="1" si="13"/>
        <v/>
      </c>
      <c r="CC48" s="68"/>
      <c r="CD48" s="419" t="e">
        <f t="shared" ca="1" si="15"/>
        <v>#N/A</v>
      </c>
      <c r="CF48" s="50" t="str">
        <f ca="1">IF(AND(ISNUMBER(CS!C48),ISNUMBER(CS!D48)),CONCATENATE(CF$10,CG$10),"")</f>
        <v/>
      </c>
      <c r="CG48" s="50" t="str">
        <f ca="1">IF(AND(ISNUMBER(CS!D48),ISNUMBER(CS!E48)),CONCATENATE(CG$10,CH$10),"")</f>
        <v/>
      </c>
      <c r="CH48" s="50" t="str">
        <f ca="1">IF(AND(ISNUMBER(CS!E48),ISNUMBER(CS!F48)),CONCATENATE(CH$10,CI$10),"")</f>
        <v/>
      </c>
      <c r="CI48" s="50" t="str">
        <f ca="1">IF(AND(ISNUMBER(CS!F48),ISNUMBER(CS!G48)),CONCATENATE(CI$10,CJ$10),"")</f>
        <v/>
      </c>
      <c r="CJ48" s="50" t="str">
        <f ca="1">IF(AND(ISNUMBER(CS!G48),ISNUMBER(CS!H48)),CONCATENATE(CJ$10,CK$10),"")</f>
        <v/>
      </c>
      <c r="CK48" s="50" t="str">
        <f ca="1">IF(AND(ISNUMBER(CS!H48),ISNUMBER(CS!I48)),CONCATENATE(CK$10,CL$10),"")</f>
        <v/>
      </c>
      <c r="CL48" s="50" t="str">
        <f ca="1">IF(AND(ISNUMBER(CS!I48),ISNUMBER(CS!J48)),CONCATENATE(CL$10,CM$10),"")</f>
        <v/>
      </c>
      <c r="CM48" s="50" t="str">
        <f ca="1">IF(AND(ISNUMBER(CS!J48),ISNUMBER(CS!K48)),CONCATENATE(CM$10,CN$10),"")</f>
        <v/>
      </c>
      <c r="CN48" s="50" t="str">
        <f ca="1">IF(AND(ISNUMBER(CS!K48),ISNUMBER(CS!L48)),CONCATENATE(CN$10,CO$10),"")</f>
        <v/>
      </c>
      <c r="CO48" s="50" t="str">
        <f ca="1">IF(AND(ISNUMBER(CS!L48),ISNUMBER(CS!M48)),CONCATENATE(CO$10,CP$10),"")</f>
        <v/>
      </c>
      <c r="CP48" s="50" t="str">
        <f ca="1">IF(AND(ISNUMBER(CS!M48),ISNUMBER(CS!N48)),CONCATENATE(CP$10,CQ$10),"")</f>
        <v/>
      </c>
      <c r="CQ48" s="50" t="str">
        <f ca="1">IF(AND(ISNUMBER(CS!N48),ISNUMBER(CS!O48)),CONCATENATE(CQ$10,CR$10),"")</f>
        <v/>
      </c>
      <c r="CR48" s="50" t="str">
        <f ca="1">IF(AND(ISNUMBER(CS!O48),ISNUMBER(CS!P48)),CONCATENATE(CR$10,CS$10),"")</f>
        <v/>
      </c>
      <c r="CS48" s="50" t="str">
        <f ca="1">IF(AND(ISNUMBER(CS!P48),ISNUMBER(CS!Q48)),CONCATENATE(CS$10,CT$10),"")</f>
        <v/>
      </c>
      <c r="CT48" s="50" t="str">
        <f ca="1">IF(AND(ISNUMBER(CS!Q48),ISNUMBER(CS!R48)),CONCATENATE(CT$10,CU$10),"")</f>
        <v/>
      </c>
      <c r="CU48" s="50" t="str">
        <f ca="1">IF(AND(ISNUMBER(CS!R48),ISNUMBER(CS!S48)),CONCATENATE(CU$10,CV$10),"")</f>
        <v/>
      </c>
      <c r="CV48" s="50" t="str">
        <f ca="1">IF(AND(ISNUMBER(CS!S48),ISNUMBER(CS!T48)),CONCATENATE(CV$10,CW$10),"")</f>
        <v/>
      </c>
      <c r="CW48" s="50" t="str">
        <f ca="1">IF(AND(ISNUMBER(CS!T48),ISNUMBER(CS!U48)),CONCATENATE(CW$10,CX$10),"")</f>
        <v/>
      </c>
      <c r="CX48" s="50" t="str">
        <f ca="1">IF(AND(ISNUMBER(CS!U48),ISNUMBER(CS!V48)),CONCATENATE(CX$10,CY$10),"")</f>
        <v/>
      </c>
      <c r="CY48" s="50" t="str">
        <f ca="1">IF(AND(ISNUMBER(CS!V48),ISNUMBER(CS!W48)),CONCATENATE(CY$10,CZ$10),"")</f>
        <v/>
      </c>
      <c r="CZ48" s="50" t="str">
        <f ca="1">IF(AND(ISNUMBER(CS!W48),ISNUMBER(CS!X48)),CONCATENATE(CZ$10,DA$10),"")</f>
        <v/>
      </c>
      <c r="DA48" s="50" t="str">
        <f ca="1">IF(AND(ISNUMBER(CS!X48),ISNUMBER(CS!Y48)),CONCATENATE(DA$10,DB$10),"")</f>
        <v/>
      </c>
      <c r="DB48" s="50" t="str">
        <f ca="1">IF(AND(ISNUMBER(CS!Y48),ISNUMBER(CS!Z48)),CONCATENATE(DB$10,DC$10),"")</f>
        <v/>
      </c>
      <c r="DC48" s="50" t="str">
        <f ca="1">IF(AND(ISNUMBER(CS!Z48),ISNUMBER(CS!AA48)),CONCATENATE(DC$10,DD$10),"")</f>
        <v/>
      </c>
      <c r="DD48" s="50" t="str">
        <f ca="1">IF(AND(ISNUMBER(CS!AA48),ISNUMBER(CS!AB48)),CONCATENATE(DD$10,DE$10),"")</f>
        <v/>
      </c>
      <c r="DE48" s="50" t="str">
        <f ca="1">IF(AND(ISNUMBER(CS!AB48),ISNUMBER(CS!AC48)),CONCATENATE(DE$10,DF$10),"")</f>
        <v/>
      </c>
      <c r="DF48" s="50" t="str">
        <f ca="1">IF(AND(ISNUMBER(CS!AC48),ISNUMBER(CS!AD48)),CONCATENATE(DF$10,DG$10),"")</f>
        <v/>
      </c>
      <c r="DG48" s="50" t="str">
        <f ca="1">IF(AND(ISNUMBER(CS!AD48),ISNUMBER(CS!AE48)),CONCATENATE(DG$10,DH$10),"")</f>
        <v/>
      </c>
      <c r="DH48" s="50" t="str">
        <f ca="1">IF(AND(ISNUMBER(CS!AE48),ISNUMBER(CS!AF48)),CONCATENATE(DH$10,DI$10),"")</f>
        <v/>
      </c>
      <c r="DI48" s="50" t="str">
        <f ca="1">IF(AND(ISNUMBER(CS!AF48),ISNUMBER(CS!AG48)),CONCATENATE(DI$10,DJ$10),"")</f>
        <v/>
      </c>
      <c r="DJ48" s="50" t="str">
        <f ca="1">IF(AND(ISNUMBER(CS!AG48),ISNUMBER(CS!AH48)),CONCATENATE(DJ$10,DK$10),"")</f>
        <v/>
      </c>
      <c r="DK48" s="50" t="str">
        <f ca="1">IF(AND(ISNUMBER(CS!AH48),ISNUMBER(CS!AI48)),CONCATENATE(DK$10,DL$10),"")</f>
        <v/>
      </c>
      <c r="DL48" s="50" t="str">
        <f ca="1">IF(AND(ISNUMBER(CS!AI48),ISNUMBER(CS!AJ48)),CONCATENATE(DL$10,DM$10),"")</f>
        <v/>
      </c>
      <c r="DM48" s="50" t="str">
        <f ca="1">IF(AND(ISNUMBER(CS!AJ48),ISNUMBER(CS!AK48)),CONCATENATE(DM$10,DN$10),"")</f>
        <v/>
      </c>
      <c r="DN48" s="50" t="str">
        <f ca="1">IF(AND(ISNUMBER(CS!AK48),ISNUMBER(CS!AL48)),CONCATENATE(DN$10,DO$10),"")</f>
        <v/>
      </c>
      <c r="DO48" s="50" t="str">
        <f ca="1">IF(AND(ISNUMBER(CS!AL48),ISNUMBER(CS!AM48)),CONCATENATE(DO$10,DP$10),"")</f>
        <v/>
      </c>
      <c r="DP48" s="50" t="str">
        <f ca="1">IF(AND(ISNUMBER(CS!AM48),ISNUMBER(CS!AN48)),CONCATENATE(DP$10,DQ$10),"")</f>
        <v/>
      </c>
      <c r="DQ48" s="50" t="str">
        <f ca="1">IF(AND(ISNUMBER(CS!AN48),ISNUMBER(CS!AO48)),CONCATENATE(DQ$10,DR$10),"")</f>
        <v/>
      </c>
      <c r="DR48" s="50" t="str">
        <f ca="1">IF(AND(ISNUMBER(CS!AO48),ISNUMBER(CS!AP48)),CONCATENATE(DR$10,DS$10),"")</f>
        <v/>
      </c>
      <c r="DS48" s="50" t="str">
        <f ca="1">IF(AND(ISNUMBER(CS!AP48),ISNUMBER(CS!AQ48)),CONCATENATE(DS$10,DT$10),"")</f>
        <v/>
      </c>
      <c r="DT48" s="63">
        <f>DrawFinder!Y48</f>
        <v>0</v>
      </c>
    </row>
    <row r="49" spans="2:124">
      <c r="B49" s="393" t="str">
        <f ca="1">TmOrderLU!D49</f>
        <v/>
      </c>
      <c r="C49" s="63" t="str">
        <f ca="1">IF(ISNUMBER(CS!C49),C$10,"")</f>
        <v/>
      </c>
      <c r="D49" s="63" t="str">
        <f ca="1">IF(ISNUMBER(CS!D49),D$10,"")</f>
        <v/>
      </c>
      <c r="E49" s="63" t="str">
        <f ca="1">IF(ISNUMBER(CS!E49),E$10,"")</f>
        <v/>
      </c>
      <c r="F49" s="63" t="str">
        <f ca="1">IF(ISNUMBER(CS!F49),F$10,"")</f>
        <v/>
      </c>
      <c r="G49" s="63" t="str">
        <f ca="1">IF(ISNUMBER(CS!G49),G$10,"")</f>
        <v/>
      </c>
      <c r="H49" s="63" t="str">
        <f ca="1">IF(ISNUMBER(CS!H49),H$10,"")</f>
        <v/>
      </c>
      <c r="I49" s="63" t="str">
        <f ca="1">IF(ISNUMBER(CS!I49),I$10,"")</f>
        <v/>
      </c>
      <c r="J49" s="63" t="str">
        <f ca="1">IF(ISNUMBER(CS!J49),J$10,"")</f>
        <v/>
      </c>
      <c r="K49" s="63" t="str">
        <f ca="1">IF(ISNUMBER(CS!K49),K$10,"")</f>
        <v/>
      </c>
      <c r="L49" s="63" t="str">
        <f ca="1">IF(ISNUMBER(CS!L49),L$10,"")</f>
        <v/>
      </c>
      <c r="M49" s="63" t="str">
        <f ca="1">IF(ISNUMBER(CS!M49),M$10,"")</f>
        <v/>
      </c>
      <c r="N49" s="63" t="str">
        <f ca="1">IF(ISNUMBER(CS!N49),N$10,"")</f>
        <v/>
      </c>
      <c r="O49" s="63" t="str">
        <f ca="1">IF(ISNUMBER(CS!O49),O$10,"")</f>
        <v/>
      </c>
      <c r="P49" s="63" t="str">
        <f ca="1">IF(ISNUMBER(CS!P49),P$10,"")</f>
        <v/>
      </c>
      <c r="Q49" s="63" t="str">
        <f ca="1">IF(ISNUMBER(CS!Q49),Q$10,"")</f>
        <v/>
      </c>
      <c r="R49" s="63" t="str">
        <f ca="1">IF(ISNUMBER(CS!R49),R$10,"")</f>
        <v/>
      </c>
      <c r="S49" s="63" t="str">
        <f ca="1">IF(ISNUMBER(CS!S49),S$10,"")</f>
        <v/>
      </c>
      <c r="T49" s="63" t="str">
        <f ca="1">IF(ISNUMBER(CS!T49),T$10,"")</f>
        <v/>
      </c>
      <c r="U49" s="63" t="str">
        <f ca="1">IF(ISNUMBER(CS!U49),U$10,"")</f>
        <v/>
      </c>
      <c r="V49" s="63" t="str">
        <f ca="1">IF(ISNUMBER(CS!V49),V$10,"")</f>
        <v/>
      </c>
      <c r="W49" s="63" t="str">
        <f ca="1">IF(ISNUMBER(CS!W49),W$10,"")</f>
        <v/>
      </c>
      <c r="X49" s="63" t="str">
        <f ca="1">IF(ISNUMBER(CS!X49),X$10,"")</f>
        <v/>
      </c>
      <c r="Y49" s="63" t="str">
        <f ca="1">IF(ISNUMBER(CS!Y49),Y$10,"")</f>
        <v/>
      </c>
      <c r="Z49" s="63" t="str">
        <f ca="1">IF(ISNUMBER(CS!Z49),Z$10,"")</f>
        <v/>
      </c>
      <c r="AA49" s="63" t="str">
        <f ca="1">IF(ISNUMBER(CS!AA49),AA$10,"")</f>
        <v/>
      </c>
      <c r="AB49" s="63" t="str">
        <f ca="1">IF(ISNUMBER(CS!AB49),AB$10,"")</f>
        <v/>
      </c>
      <c r="AC49" s="63" t="str">
        <f ca="1">IF(ISNUMBER(CS!AC49),AC$10,"")</f>
        <v/>
      </c>
      <c r="AD49" s="63" t="str">
        <f ca="1">IF(ISNUMBER(CS!AD49),AD$10,"")</f>
        <v/>
      </c>
      <c r="AE49" s="63" t="str">
        <f ca="1">IF(ISNUMBER(CS!AE49),AE$10,"")</f>
        <v/>
      </c>
      <c r="AF49" s="63" t="str">
        <f ca="1">IF(ISNUMBER(CS!AF49),AF$10,"")</f>
        <v/>
      </c>
      <c r="AG49" s="63" t="str">
        <f ca="1">IF(ISNUMBER(CS!AG49),AG$10,"")</f>
        <v/>
      </c>
      <c r="AH49" s="63" t="str">
        <f ca="1">IF(ISNUMBER(CS!AH49),AH$10,"")</f>
        <v/>
      </c>
      <c r="AI49" s="63" t="str">
        <f ca="1">IF(ISNUMBER(CS!AI49),AI$10,"")</f>
        <v/>
      </c>
      <c r="AJ49" s="63" t="str">
        <f ca="1">IF(ISNUMBER(CS!AJ49),AJ$10,"")</f>
        <v/>
      </c>
      <c r="AK49" s="63" t="str">
        <f ca="1">IF(ISNUMBER(CS!AK49),AK$10,"")</f>
        <v/>
      </c>
      <c r="AL49" s="63" t="str">
        <f ca="1">IF(ISNUMBER(CS!AL49),AL$10,"")</f>
        <v/>
      </c>
      <c r="AM49" s="63" t="str">
        <f ca="1">IF(ISNUMBER(CS!AM49),AM$10,"")</f>
        <v/>
      </c>
      <c r="AN49" s="63" t="str">
        <f ca="1">IF(ISNUMBER(CS!AN49),AN$10,"")</f>
        <v/>
      </c>
      <c r="AO49" s="63" t="str">
        <f ca="1">IF(ISNUMBER(CS!AO49),AO$10,"")</f>
        <v/>
      </c>
      <c r="AP49" s="414" t="str">
        <f ca="1">IF(ISNUMBER(CS!AP49),AP$10,"")</f>
        <v/>
      </c>
      <c r="AS49" s="4" t="str">
        <f t="shared" ca="1" si="11"/>
        <v/>
      </c>
      <c r="AU49" s="417" t="str">
        <f t="shared" ca="1" si="8"/>
        <v/>
      </c>
      <c r="AV49" s="210" t="str">
        <f t="shared" ca="1" si="8"/>
        <v/>
      </c>
      <c r="AW49" s="210" t="str">
        <f t="shared" ca="1" si="8"/>
        <v/>
      </c>
      <c r="AX49" s="210" t="str">
        <f t="shared" ca="1" si="8"/>
        <v/>
      </c>
      <c r="AY49" s="414" t="str">
        <f t="shared" ca="1" si="8"/>
        <v/>
      </c>
      <c r="BA49" s="417" t="str">
        <f t="shared" ca="1" si="16"/>
        <v/>
      </c>
      <c r="BB49" s="210" t="str">
        <f t="shared" ca="1" si="16"/>
        <v/>
      </c>
      <c r="BC49" s="210" t="str">
        <f t="shared" ca="1" si="16"/>
        <v/>
      </c>
      <c r="BD49" s="210" t="str">
        <f t="shared" ca="1" si="16"/>
        <v/>
      </c>
      <c r="BE49" s="210" t="str">
        <f t="shared" ca="1" si="16"/>
        <v/>
      </c>
      <c r="BF49" s="210" t="str">
        <f t="shared" ca="1" si="16"/>
        <v/>
      </c>
      <c r="BG49" s="210" t="str">
        <f t="shared" ca="1" si="16"/>
        <v/>
      </c>
      <c r="BH49" s="210" t="str">
        <f t="shared" ca="1" si="16"/>
        <v/>
      </c>
      <c r="BI49" s="210" t="str">
        <f t="shared" ca="1" si="16"/>
        <v/>
      </c>
      <c r="BJ49" s="210" t="str">
        <f t="shared" ca="1" si="16"/>
        <v/>
      </c>
      <c r="BK49" s="210" t="str">
        <f t="shared" ca="1" si="16"/>
        <v/>
      </c>
      <c r="BL49" s="210" t="str">
        <f t="shared" ca="1" si="16"/>
        <v/>
      </c>
      <c r="BM49" s="210" t="str">
        <f t="shared" ca="1" si="16"/>
        <v/>
      </c>
      <c r="BN49" s="210" t="str">
        <f t="shared" ca="1" si="16"/>
        <v/>
      </c>
      <c r="BO49" s="210" t="str">
        <f t="shared" ca="1" si="16"/>
        <v/>
      </c>
      <c r="BP49" s="210" t="str">
        <f t="shared" ca="1" si="16"/>
        <v/>
      </c>
      <c r="BQ49" s="414" t="str">
        <f t="shared" ca="1" si="17"/>
        <v/>
      </c>
      <c r="BS49" s="417" t="str">
        <f t="shared" ca="1" si="13"/>
        <v/>
      </c>
      <c r="BT49" s="210" t="str">
        <f t="shared" ca="1" si="13"/>
        <v/>
      </c>
      <c r="BU49" s="210" t="str">
        <f t="shared" ca="1" si="13"/>
        <v/>
      </c>
      <c r="BV49" s="210" t="str">
        <f t="shared" ca="1" si="13"/>
        <v/>
      </c>
      <c r="BW49" s="210" t="str">
        <f t="shared" ca="1" si="13"/>
        <v/>
      </c>
      <c r="BX49" s="210" t="str">
        <f t="shared" ca="1" si="13"/>
        <v/>
      </c>
      <c r="BY49" s="210" t="str">
        <f t="shared" ca="1" si="13"/>
        <v/>
      </c>
      <c r="BZ49" s="210" t="str">
        <f t="shared" ca="1" si="13"/>
        <v/>
      </c>
      <c r="CA49" s="210" t="str">
        <f t="shared" ca="1" si="13"/>
        <v/>
      </c>
      <c r="CB49" s="396" t="str">
        <f t="shared" ca="1" si="13"/>
        <v/>
      </c>
      <c r="CC49" s="68"/>
      <c r="CD49" s="419" t="e">
        <f t="shared" ca="1" si="15"/>
        <v>#N/A</v>
      </c>
      <c r="CF49" s="50" t="str">
        <f ca="1">IF(AND(ISNUMBER(CS!C49),ISNUMBER(CS!D49)),CONCATENATE(CF$10,CG$10),"")</f>
        <v/>
      </c>
      <c r="CG49" s="50" t="str">
        <f ca="1">IF(AND(ISNUMBER(CS!D49),ISNUMBER(CS!E49)),CONCATENATE(CG$10,CH$10),"")</f>
        <v/>
      </c>
      <c r="CH49" s="50" t="str">
        <f ca="1">IF(AND(ISNUMBER(CS!E49),ISNUMBER(CS!F49)),CONCATENATE(CH$10,CI$10),"")</f>
        <v/>
      </c>
      <c r="CI49" s="50" t="str">
        <f ca="1">IF(AND(ISNUMBER(CS!F49),ISNUMBER(CS!G49)),CONCATENATE(CI$10,CJ$10),"")</f>
        <v/>
      </c>
      <c r="CJ49" s="50" t="str">
        <f ca="1">IF(AND(ISNUMBER(CS!G49),ISNUMBER(CS!H49)),CONCATENATE(CJ$10,CK$10),"")</f>
        <v/>
      </c>
      <c r="CK49" s="50" t="str">
        <f ca="1">IF(AND(ISNUMBER(CS!H49),ISNUMBER(CS!I49)),CONCATENATE(CK$10,CL$10),"")</f>
        <v/>
      </c>
      <c r="CL49" s="50" t="str">
        <f ca="1">IF(AND(ISNUMBER(CS!I49),ISNUMBER(CS!J49)),CONCATENATE(CL$10,CM$10),"")</f>
        <v/>
      </c>
      <c r="CM49" s="50" t="str">
        <f ca="1">IF(AND(ISNUMBER(CS!J49),ISNUMBER(CS!K49)),CONCATENATE(CM$10,CN$10),"")</f>
        <v/>
      </c>
      <c r="CN49" s="50" t="str">
        <f ca="1">IF(AND(ISNUMBER(CS!K49),ISNUMBER(CS!L49)),CONCATENATE(CN$10,CO$10),"")</f>
        <v/>
      </c>
      <c r="CO49" s="50" t="str">
        <f ca="1">IF(AND(ISNUMBER(CS!L49),ISNUMBER(CS!M49)),CONCATENATE(CO$10,CP$10),"")</f>
        <v/>
      </c>
      <c r="CP49" s="50" t="str">
        <f ca="1">IF(AND(ISNUMBER(CS!M49),ISNUMBER(CS!N49)),CONCATENATE(CP$10,CQ$10),"")</f>
        <v/>
      </c>
      <c r="CQ49" s="50" t="str">
        <f ca="1">IF(AND(ISNUMBER(CS!N49),ISNUMBER(CS!O49)),CONCATENATE(CQ$10,CR$10),"")</f>
        <v/>
      </c>
      <c r="CR49" s="50" t="str">
        <f ca="1">IF(AND(ISNUMBER(CS!O49),ISNUMBER(CS!P49)),CONCATENATE(CR$10,CS$10),"")</f>
        <v/>
      </c>
      <c r="CS49" s="50" t="str">
        <f ca="1">IF(AND(ISNUMBER(CS!P49),ISNUMBER(CS!Q49)),CONCATENATE(CS$10,CT$10),"")</f>
        <v/>
      </c>
      <c r="CT49" s="50" t="str">
        <f ca="1">IF(AND(ISNUMBER(CS!Q49),ISNUMBER(CS!R49)),CONCATENATE(CT$10,CU$10),"")</f>
        <v/>
      </c>
      <c r="CU49" s="50" t="str">
        <f ca="1">IF(AND(ISNUMBER(CS!R49),ISNUMBER(CS!S49)),CONCATENATE(CU$10,CV$10),"")</f>
        <v/>
      </c>
      <c r="CV49" s="50" t="str">
        <f ca="1">IF(AND(ISNUMBER(CS!S49),ISNUMBER(CS!T49)),CONCATENATE(CV$10,CW$10),"")</f>
        <v/>
      </c>
      <c r="CW49" s="50" t="str">
        <f ca="1">IF(AND(ISNUMBER(CS!T49),ISNUMBER(CS!U49)),CONCATENATE(CW$10,CX$10),"")</f>
        <v/>
      </c>
      <c r="CX49" s="50" t="str">
        <f ca="1">IF(AND(ISNUMBER(CS!U49),ISNUMBER(CS!V49)),CONCATENATE(CX$10,CY$10),"")</f>
        <v/>
      </c>
      <c r="CY49" s="50" t="str">
        <f ca="1">IF(AND(ISNUMBER(CS!V49),ISNUMBER(CS!W49)),CONCATENATE(CY$10,CZ$10),"")</f>
        <v/>
      </c>
      <c r="CZ49" s="50" t="str">
        <f ca="1">IF(AND(ISNUMBER(CS!W49),ISNUMBER(CS!X49)),CONCATENATE(CZ$10,DA$10),"")</f>
        <v/>
      </c>
      <c r="DA49" s="50" t="str">
        <f ca="1">IF(AND(ISNUMBER(CS!X49),ISNUMBER(CS!Y49)),CONCATENATE(DA$10,DB$10),"")</f>
        <v/>
      </c>
      <c r="DB49" s="50" t="str">
        <f ca="1">IF(AND(ISNUMBER(CS!Y49),ISNUMBER(CS!Z49)),CONCATENATE(DB$10,DC$10),"")</f>
        <v/>
      </c>
      <c r="DC49" s="50" t="str">
        <f ca="1">IF(AND(ISNUMBER(CS!Z49),ISNUMBER(CS!AA49)),CONCATENATE(DC$10,DD$10),"")</f>
        <v/>
      </c>
      <c r="DD49" s="50" t="str">
        <f ca="1">IF(AND(ISNUMBER(CS!AA49),ISNUMBER(CS!AB49)),CONCATENATE(DD$10,DE$10),"")</f>
        <v/>
      </c>
      <c r="DE49" s="50" t="str">
        <f ca="1">IF(AND(ISNUMBER(CS!AB49),ISNUMBER(CS!AC49)),CONCATENATE(DE$10,DF$10),"")</f>
        <v/>
      </c>
      <c r="DF49" s="50" t="str">
        <f ca="1">IF(AND(ISNUMBER(CS!AC49),ISNUMBER(CS!AD49)),CONCATENATE(DF$10,DG$10),"")</f>
        <v/>
      </c>
      <c r="DG49" s="50" t="str">
        <f ca="1">IF(AND(ISNUMBER(CS!AD49),ISNUMBER(CS!AE49)),CONCATENATE(DG$10,DH$10),"")</f>
        <v/>
      </c>
      <c r="DH49" s="50" t="str">
        <f ca="1">IF(AND(ISNUMBER(CS!AE49),ISNUMBER(CS!AF49)),CONCATENATE(DH$10,DI$10),"")</f>
        <v/>
      </c>
      <c r="DI49" s="50" t="str">
        <f ca="1">IF(AND(ISNUMBER(CS!AF49),ISNUMBER(CS!AG49)),CONCATENATE(DI$10,DJ$10),"")</f>
        <v/>
      </c>
      <c r="DJ49" s="50" t="str">
        <f ca="1">IF(AND(ISNUMBER(CS!AG49),ISNUMBER(CS!AH49)),CONCATENATE(DJ$10,DK$10),"")</f>
        <v/>
      </c>
      <c r="DK49" s="50" t="str">
        <f ca="1">IF(AND(ISNUMBER(CS!AH49),ISNUMBER(CS!AI49)),CONCATENATE(DK$10,DL$10),"")</f>
        <v/>
      </c>
      <c r="DL49" s="50" t="str">
        <f ca="1">IF(AND(ISNUMBER(CS!AI49),ISNUMBER(CS!AJ49)),CONCATENATE(DL$10,DM$10),"")</f>
        <v/>
      </c>
      <c r="DM49" s="50" t="str">
        <f ca="1">IF(AND(ISNUMBER(CS!AJ49),ISNUMBER(CS!AK49)),CONCATENATE(DM$10,DN$10),"")</f>
        <v/>
      </c>
      <c r="DN49" s="50" t="str">
        <f ca="1">IF(AND(ISNUMBER(CS!AK49),ISNUMBER(CS!AL49)),CONCATENATE(DN$10,DO$10),"")</f>
        <v/>
      </c>
      <c r="DO49" s="50" t="str">
        <f ca="1">IF(AND(ISNUMBER(CS!AL49),ISNUMBER(CS!AM49)),CONCATENATE(DO$10,DP$10),"")</f>
        <v/>
      </c>
      <c r="DP49" s="50" t="str">
        <f ca="1">IF(AND(ISNUMBER(CS!AM49),ISNUMBER(CS!AN49)),CONCATENATE(DP$10,DQ$10),"")</f>
        <v/>
      </c>
      <c r="DQ49" s="50" t="str">
        <f ca="1">IF(AND(ISNUMBER(CS!AN49),ISNUMBER(CS!AO49)),CONCATENATE(DQ$10,DR$10),"")</f>
        <v/>
      </c>
      <c r="DR49" s="50" t="str">
        <f ca="1">IF(AND(ISNUMBER(CS!AO49),ISNUMBER(CS!AP49)),CONCATENATE(DR$10,DS$10),"")</f>
        <v/>
      </c>
      <c r="DS49" s="50" t="str">
        <f ca="1">IF(AND(ISNUMBER(CS!AP49),ISNUMBER(CS!AQ49)),CONCATENATE(DS$10,DT$10),"")</f>
        <v/>
      </c>
      <c r="DT49" s="63">
        <f>DrawFinder!Y49</f>
        <v>0</v>
      </c>
    </row>
    <row r="50" spans="2:124">
      <c r="B50" s="393" t="str">
        <f ca="1">TmOrderLU!D50</f>
        <v/>
      </c>
      <c r="C50" s="63" t="str">
        <f ca="1">IF(ISNUMBER(CS!C50),C$10,"")</f>
        <v/>
      </c>
      <c r="D50" s="63" t="str">
        <f ca="1">IF(ISNUMBER(CS!D50),D$10,"")</f>
        <v/>
      </c>
      <c r="E50" s="63" t="str">
        <f ca="1">IF(ISNUMBER(CS!E50),E$10,"")</f>
        <v/>
      </c>
      <c r="F50" s="63" t="str">
        <f ca="1">IF(ISNUMBER(CS!F50),F$10,"")</f>
        <v/>
      </c>
      <c r="G50" s="63" t="str">
        <f ca="1">IF(ISNUMBER(CS!G50),G$10,"")</f>
        <v/>
      </c>
      <c r="H50" s="63" t="str">
        <f ca="1">IF(ISNUMBER(CS!H50),H$10,"")</f>
        <v/>
      </c>
      <c r="I50" s="63" t="str">
        <f ca="1">IF(ISNUMBER(CS!I50),I$10,"")</f>
        <v/>
      </c>
      <c r="J50" s="63" t="str">
        <f ca="1">IF(ISNUMBER(CS!J50),J$10,"")</f>
        <v/>
      </c>
      <c r="K50" s="63" t="str">
        <f ca="1">IF(ISNUMBER(CS!K50),K$10,"")</f>
        <v/>
      </c>
      <c r="L50" s="63" t="str">
        <f ca="1">IF(ISNUMBER(CS!L50),L$10,"")</f>
        <v/>
      </c>
      <c r="M50" s="63" t="str">
        <f ca="1">IF(ISNUMBER(CS!M50),M$10,"")</f>
        <v/>
      </c>
      <c r="N50" s="63" t="str">
        <f ca="1">IF(ISNUMBER(CS!N50),N$10,"")</f>
        <v/>
      </c>
      <c r="O50" s="63" t="str">
        <f ca="1">IF(ISNUMBER(CS!O50),O$10,"")</f>
        <v/>
      </c>
      <c r="P50" s="63" t="str">
        <f ca="1">IF(ISNUMBER(CS!P50),P$10,"")</f>
        <v/>
      </c>
      <c r="Q50" s="63" t="str">
        <f ca="1">IF(ISNUMBER(CS!Q50),Q$10,"")</f>
        <v/>
      </c>
      <c r="R50" s="63" t="str">
        <f ca="1">IF(ISNUMBER(CS!R50),R$10,"")</f>
        <v/>
      </c>
      <c r="S50" s="63" t="str">
        <f ca="1">IF(ISNUMBER(CS!S50),S$10,"")</f>
        <v/>
      </c>
      <c r="T50" s="63" t="str">
        <f ca="1">IF(ISNUMBER(CS!T50),T$10,"")</f>
        <v/>
      </c>
      <c r="U50" s="63" t="str">
        <f ca="1">IF(ISNUMBER(CS!U50),U$10,"")</f>
        <v/>
      </c>
      <c r="V50" s="63" t="str">
        <f ca="1">IF(ISNUMBER(CS!V50),V$10,"")</f>
        <v/>
      </c>
      <c r="W50" s="63" t="str">
        <f ca="1">IF(ISNUMBER(CS!W50),W$10,"")</f>
        <v/>
      </c>
      <c r="X50" s="63" t="str">
        <f ca="1">IF(ISNUMBER(CS!X50),X$10,"")</f>
        <v/>
      </c>
      <c r="Y50" s="63" t="str">
        <f ca="1">IF(ISNUMBER(CS!Y50),Y$10,"")</f>
        <v/>
      </c>
      <c r="Z50" s="63" t="str">
        <f ca="1">IF(ISNUMBER(CS!Z50),Z$10,"")</f>
        <v/>
      </c>
      <c r="AA50" s="63" t="str">
        <f ca="1">IF(ISNUMBER(CS!AA50),AA$10,"")</f>
        <v/>
      </c>
      <c r="AB50" s="63" t="str">
        <f ca="1">IF(ISNUMBER(CS!AB50),AB$10,"")</f>
        <v/>
      </c>
      <c r="AC50" s="63" t="str">
        <f ca="1">IF(ISNUMBER(CS!AC50),AC$10,"")</f>
        <v/>
      </c>
      <c r="AD50" s="63" t="str">
        <f ca="1">IF(ISNUMBER(CS!AD50),AD$10,"")</f>
        <v/>
      </c>
      <c r="AE50" s="63" t="str">
        <f ca="1">IF(ISNUMBER(CS!AE50),AE$10,"")</f>
        <v/>
      </c>
      <c r="AF50" s="63" t="str">
        <f ca="1">IF(ISNUMBER(CS!AF50),AF$10,"")</f>
        <v/>
      </c>
      <c r="AG50" s="63" t="str">
        <f ca="1">IF(ISNUMBER(CS!AG50),AG$10,"")</f>
        <v/>
      </c>
      <c r="AH50" s="63" t="str">
        <f ca="1">IF(ISNUMBER(CS!AH50),AH$10,"")</f>
        <v/>
      </c>
      <c r="AI50" s="63" t="str">
        <f ca="1">IF(ISNUMBER(CS!AI50),AI$10,"")</f>
        <v/>
      </c>
      <c r="AJ50" s="63" t="str">
        <f ca="1">IF(ISNUMBER(CS!AJ50),AJ$10,"")</f>
        <v/>
      </c>
      <c r="AK50" s="63" t="str">
        <f ca="1">IF(ISNUMBER(CS!AK50),AK$10,"")</f>
        <v/>
      </c>
      <c r="AL50" s="63" t="str">
        <f ca="1">IF(ISNUMBER(CS!AL50),AL$10,"")</f>
        <v/>
      </c>
      <c r="AM50" s="63" t="str">
        <f ca="1">IF(ISNUMBER(CS!AM50),AM$10,"")</f>
        <v/>
      </c>
      <c r="AN50" s="63" t="str">
        <f ca="1">IF(ISNUMBER(CS!AN50),AN$10,"")</f>
        <v/>
      </c>
      <c r="AO50" s="63" t="str">
        <f ca="1">IF(ISNUMBER(CS!AO50),AO$10,"")</f>
        <v/>
      </c>
      <c r="AP50" s="414" t="str">
        <f ca="1">IF(ISNUMBER(CS!AP50),AP$10,"")</f>
        <v/>
      </c>
      <c r="AS50" s="4" t="str">
        <f t="shared" ca="1" si="11"/>
        <v/>
      </c>
      <c r="AU50" s="417" t="str">
        <f t="shared" ca="1" si="8"/>
        <v/>
      </c>
      <c r="AV50" s="210" t="str">
        <f t="shared" ca="1" si="8"/>
        <v/>
      </c>
      <c r="AW50" s="210" t="str">
        <f t="shared" ca="1" si="8"/>
        <v/>
      </c>
      <c r="AX50" s="210" t="str">
        <f t="shared" ca="1" si="8"/>
        <v/>
      </c>
      <c r="AY50" s="414" t="str">
        <f t="shared" ca="1" si="8"/>
        <v/>
      </c>
      <c r="BA50" s="417" t="str">
        <f t="shared" ca="1" si="16"/>
        <v/>
      </c>
      <c r="BB50" s="210" t="str">
        <f t="shared" ca="1" si="16"/>
        <v/>
      </c>
      <c r="BC50" s="210" t="str">
        <f t="shared" ca="1" si="16"/>
        <v/>
      </c>
      <c r="BD50" s="210" t="str">
        <f t="shared" ca="1" si="16"/>
        <v/>
      </c>
      <c r="BE50" s="210" t="str">
        <f t="shared" ca="1" si="16"/>
        <v/>
      </c>
      <c r="BF50" s="210" t="str">
        <f t="shared" ca="1" si="16"/>
        <v/>
      </c>
      <c r="BG50" s="210" t="str">
        <f t="shared" ca="1" si="16"/>
        <v/>
      </c>
      <c r="BH50" s="210" t="str">
        <f t="shared" ca="1" si="16"/>
        <v/>
      </c>
      <c r="BI50" s="210" t="str">
        <f t="shared" ca="1" si="16"/>
        <v/>
      </c>
      <c r="BJ50" s="210" t="str">
        <f t="shared" ca="1" si="16"/>
        <v/>
      </c>
      <c r="BK50" s="210" t="str">
        <f t="shared" ca="1" si="16"/>
        <v/>
      </c>
      <c r="BL50" s="210" t="str">
        <f t="shared" ca="1" si="16"/>
        <v/>
      </c>
      <c r="BM50" s="210" t="str">
        <f t="shared" ca="1" si="16"/>
        <v/>
      </c>
      <c r="BN50" s="210" t="str">
        <f t="shared" ca="1" si="16"/>
        <v/>
      </c>
      <c r="BO50" s="210" t="str">
        <f t="shared" ca="1" si="16"/>
        <v/>
      </c>
      <c r="BP50" s="210" t="str">
        <f t="shared" ca="1" si="16"/>
        <v/>
      </c>
      <c r="BQ50" s="414" t="str">
        <f t="shared" ca="1" si="17"/>
        <v/>
      </c>
      <c r="BS50" s="417" t="str">
        <f t="shared" ca="1" si="13"/>
        <v/>
      </c>
      <c r="BT50" s="210" t="str">
        <f t="shared" ca="1" si="13"/>
        <v/>
      </c>
      <c r="BU50" s="210" t="str">
        <f t="shared" ca="1" si="13"/>
        <v/>
      </c>
      <c r="BV50" s="210" t="str">
        <f t="shared" ca="1" si="13"/>
        <v/>
      </c>
      <c r="BW50" s="210" t="str">
        <f t="shared" ca="1" si="13"/>
        <v/>
      </c>
      <c r="BX50" s="210" t="str">
        <f t="shared" ca="1" si="13"/>
        <v/>
      </c>
      <c r="BY50" s="210" t="str">
        <f t="shared" ca="1" si="13"/>
        <v/>
      </c>
      <c r="BZ50" s="210" t="str">
        <f t="shared" ca="1" si="13"/>
        <v/>
      </c>
      <c r="CA50" s="210" t="str">
        <f t="shared" ca="1" si="13"/>
        <v/>
      </c>
      <c r="CB50" s="396" t="str">
        <f t="shared" ca="1" si="13"/>
        <v/>
      </c>
      <c r="CC50" s="68"/>
      <c r="CD50" s="419" t="e">
        <f t="shared" ca="1" si="15"/>
        <v>#N/A</v>
      </c>
      <c r="CF50" s="50" t="str">
        <f ca="1">IF(AND(ISNUMBER(CS!C50),ISNUMBER(CS!D50)),CONCATENATE(CF$10,CG$10),"")</f>
        <v/>
      </c>
      <c r="CG50" s="50" t="str">
        <f ca="1">IF(AND(ISNUMBER(CS!D50),ISNUMBER(CS!E50)),CONCATENATE(CG$10,CH$10),"")</f>
        <v/>
      </c>
      <c r="CH50" s="50" t="str">
        <f ca="1">IF(AND(ISNUMBER(CS!E50),ISNUMBER(CS!F50)),CONCATENATE(CH$10,CI$10),"")</f>
        <v/>
      </c>
      <c r="CI50" s="50" t="str">
        <f ca="1">IF(AND(ISNUMBER(CS!F50),ISNUMBER(CS!G50)),CONCATENATE(CI$10,CJ$10),"")</f>
        <v/>
      </c>
      <c r="CJ50" s="50" t="str">
        <f ca="1">IF(AND(ISNUMBER(CS!G50),ISNUMBER(CS!H50)),CONCATENATE(CJ$10,CK$10),"")</f>
        <v/>
      </c>
      <c r="CK50" s="50" t="str">
        <f ca="1">IF(AND(ISNUMBER(CS!H50),ISNUMBER(CS!I50)),CONCATENATE(CK$10,CL$10),"")</f>
        <v/>
      </c>
      <c r="CL50" s="50" t="str">
        <f ca="1">IF(AND(ISNUMBER(CS!I50),ISNUMBER(CS!J50)),CONCATENATE(CL$10,CM$10),"")</f>
        <v/>
      </c>
      <c r="CM50" s="50" t="str">
        <f ca="1">IF(AND(ISNUMBER(CS!J50),ISNUMBER(CS!K50)),CONCATENATE(CM$10,CN$10),"")</f>
        <v/>
      </c>
      <c r="CN50" s="50" t="str">
        <f ca="1">IF(AND(ISNUMBER(CS!K50),ISNUMBER(CS!L50)),CONCATENATE(CN$10,CO$10),"")</f>
        <v/>
      </c>
      <c r="CO50" s="50" t="str">
        <f ca="1">IF(AND(ISNUMBER(CS!L50),ISNUMBER(CS!M50)),CONCATENATE(CO$10,CP$10),"")</f>
        <v/>
      </c>
      <c r="CP50" s="50" t="str">
        <f ca="1">IF(AND(ISNUMBER(CS!M50),ISNUMBER(CS!N50)),CONCATENATE(CP$10,CQ$10),"")</f>
        <v/>
      </c>
      <c r="CQ50" s="50" t="str">
        <f ca="1">IF(AND(ISNUMBER(CS!N50),ISNUMBER(CS!O50)),CONCATENATE(CQ$10,CR$10),"")</f>
        <v/>
      </c>
      <c r="CR50" s="50" t="str">
        <f ca="1">IF(AND(ISNUMBER(CS!O50),ISNUMBER(CS!P50)),CONCATENATE(CR$10,CS$10),"")</f>
        <v/>
      </c>
      <c r="CS50" s="50" t="str">
        <f ca="1">IF(AND(ISNUMBER(CS!P50),ISNUMBER(CS!Q50)),CONCATENATE(CS$10,CT$10),"")</f>
        <v/>
      </c>
      <c r="CT50" s="50" t="str">
        <f ca="1">IF(AND(ISNUMBER(CS!Q50),ISNUMBER(CS!R50)),CONCATENATE(CT$10,CU$10),"")</f>
        <v/>
      </c>
      <c r="CU50" s="50" t="str">
        <f ca="1">IF(AND(ISNUMBER(CS!R50),ISNUMBER(CS!S50)),CONCATENATE(CU$10,CV$10),"")</f>
        <v/>
      </c>
      <c r="CV50" s="50" t="str">
        <f ca="1">IF(AND(ISNUMBER(CS!S50),ISNUMBER(CS!T50)),CONCATENATE(CV$10,CW$10),"")</f>
        <v/>
      </c>
      <c r="CW50" s="50" t="str">
        <f ca="1">IF(AND(ISNUMBER(CS!T50),ISNUMBER(CS!U50)),CONCATENATE(CW$10,CX$10),"")</f>
        <v/>
      </c>
      <c r="CX50" s="50" t="str">
        <f ca="1">IF(AND(ISNUMBER(CS!U50),ISNUMBER(CS!V50)),CONCATENATE(CX$10,CY$10),"")</f>
        <v/>
      </c>
      <c r="CY50" s="50" t="str">
        <f ca="1">IF(AND(ISNUMBER(CS!V50),ISNUMBER(CS!W50)),CONCATENATE(CY$10,CZ$10),"")</f>
        <v/>
      </c>
      <c r="CZ50" s="50" t="str">
        <f ca="1">IF(AND(ISNUMBER(CS!W50),ISNUMBER(CS!X50)),CONCATENATE(CZ$10,DA$10),"")</f>
        <v/>
      </c>
      <c r="DA50" s="50" t="str">
        <f ca="1">IF(AND(ISNUMBER(CS!X50),ISNUMBER(CS!Y50)),CONCATENATE(DA$10,DB$10),"")</f>
        <v/>
      </c>
      <c r="DB50" s="50" t="str">
        <f ca="1">IF(AND(ISNUMBER(CS!Y50),ISNUMBER(CS!Z50)),CONCATENATE(DB$10,DC$10),"")</f>
        <v/>
      </c>
      <c r="DC50" s="50" t="str">
        <f ca="1">IF(AND(ISNUMBER(CS!Z50),ISNUMBER(CS!AA50)),CONCATENATE(DC$10,DD$10),"")</f>
        <v/>
      </c>
      <c r="DD50" s="50" t="str">
        <f ca="1">IF(AND(ISNUMBER(CS!AA50),ISNUMBER(CS!AB50)),CONCATENATE(DD$10,DE$10),"")</f>
        <v/>
      </c>
      <c r="DE50" s="50" t="str">
        <f ca="1">IF(AND(ISNUMBER(CS!AB50),ISNUMBER(CS!AC50)),CONCATENATE(DE$10,DF$10),"")</f>
        <v/>
      </c>
      <c r="DF50" s="50" t="str">
        <f ca="1">IF(AND(ISNUMBER(CS!AC50),ISNUMBER(CS!AD50)),CONCATENATE(DF$10,DG$10),"")</f>
        <v/>
      </c>
      <c r="DG50" s="50" t="str">
        <f ca="1">IF(AND(ISNUMBER(CS!AD50),ISNUMBER(CS!AE50)),CONCATENATE(DG$10,DH$10),"")</f>
        <v/>
      </c>
      <c r="DH50" s="50" t="str">
        <f ca="1">IF(AND(ISNUMBER(CS!AE50),ISNUMBER(CS!AF50)),CONCATENATE(DH$10,DI$10),"")</f>
        <v/>
      </c>
      <c r="DI50" s="50" t="str">
        <f ca="1">IF(AND(ISNUMBER(CS!AF50),ISNUMBER(CS!AG50)),CONCATENATE(DI$10,DJ$10),"")</f>
        <v/>
      </c>
      <c r="DJ50" s="50" t="str">
        <f ca="1">IF(AND(ISNUMBER(CS!AG50),ISNUMBER(CS!AH50)),CONCATENATE(DJ$10,DK$10),"")</f>
        <v/>
      </c>
      <c r="DK50" s="50" t="str">
        <f ca="1">IF(AND(ISNUMBER(CS!AH50),ISNUMBER(CS!AI50)),CONCATENATE(DK$10,DL$10),"")</f>
        <v/>
      </c>
      <c r="DL50" s="50" t="str">
        <f ca="1">IF(AND(ISNUMBER(CS!AI50),ISNUMBER(CS!AJ50)),CONCATENATE(DL$10,DM$10),"")</f>
        <v/>
      </c>
      <c r="DM50" s="50" t="str">
        <f ca="1">IF(AND(ISNUMBER(CS!AJ50),ISNUMBER(CS!AK50)),CONCATENATE(DM$10,DN$10),"")</f>
        <v/>
      </c>
      <c r="DN50" s="50" t="str">
        <f ca="1">IF(AND(ISNUMBER(CS!AK50),ISNUMBER(CS!AL50)),CONCATENATE(DN$10,DO$10),"")</f>
        <v/>
      </c>
      <c r="DO50" s="50" t="str">
        <f ca="1">IF(AND(ISNUMBER(CS!AL50),ISNUMBER(CS!AM50)),CONCATENATE(DO$10,DP$10),"")</f>
        <v/>
      </c>
      <c r="DP50" s="50" t="str">
        <f ca="1">IF(AND(ISNUMBER(CS!AM50),ISNUMBER(CS!AN50)),CONCATENATE(DP$10,DQ$10),"")</f>
        <v/>
      </c>
      <c r="DQ50" s="50" t="str">
        <f ca="1">IF(AND(ISNUMBER(CS!AN50),ISNUMBER(CS!AO50)),CONCATENATE(DQ$10,DR$10),"")</f>
        <v/>
      </c>
      <c r="DR50" s="50" t="str">
        <f ca="1">IF(AND(ISNUMBER(CS!AO50),ISNUMBER(CS!AP50)),CONCATENATE(DR$10,DS$10),"")</f>
        <v/>
      </c>
      <c r="DS50" s="50" t="str">
        <f ca="1">IF(AND(ISNUMBER(CS!AP50),ISNUMBER(CS!AQ50)),CONCATENATE(DS$10,DT$10),"")</f>
        <v/>
      </c>
      <c r="DT50" s="63">
        <f>DrawFinder!Y50</f>
        <v>0</v>
      </c>
    </row>
    <row r="51" spans="2:124">
      <c r="B51" s="393" t="str">
        <f ca="1">TmOrderLU!D51</f>
        <v/>
      </c>
      <c r="C51" s="63" t="str">
        <f ca="1">IF(ISNUMBER(CS!C51),C$10,"")</f>
        <v/>
      </c>
      <c r="D51" s="63" t="str">
        <f ca="1">IF(ISNUMBER(CS!D51),D$10,"")</f>
        <v/>
      </c>
      <c r="E51" s="63" t="str">
        <f ca="1">IF(ISNUMBER(CS!E51),E$10,"")</f>
        <v/>
      </c>
      <c r="F51" s="63" t="str">
        <f ca="1">IF(ISNUMBER(CS!F51),F$10,"")</f>
        <v/>
      </c>
      <c r="G51" s="63" t="str">
        <f ca="1">IF(ISNUMBER(CS!G51),G$10,"")</f>
        <v/>
      </c>
      <c r="H51" s="63" t="str">
        <f ca="1">IF(ISNUMBER(CS!H51),H$10,"")</f>
        <v/>
      </c>
      <c r="I51" s="63" t="str">
        <f ca="1">IF(ISNUMBER(CS!I51),I$10,"")</f>
        <v/>
      </c>
      <c r="J51" s="63" t="str">
        <f ca="1">IF(ISNUMBER(CS!J51),J$10,"")</f>
        <v/>
      </c>
      <c r="K51" s="63" t="str">
        <f ca="1">IF(ISNUMBER(CS!K51),K$10,"")</f>
        <v/>
      </c>
      <c r="L51" s="63" t="str">
        <f ca="1">IF(ISNUMBER(CS!L51),L$10,"")</f>
        <v/>
      </c>
      <c r="M51" s="63" t="str">
        <f ca="1">IF(ISNUMBER(CS!M51),M$10,"")</f>
        <v/>
      </c>
      <c r="N51" s="63" t="str">
        <f ca="1">IF(ISNUMBER(CS!N51),N$10,"")</f>
        <v/>
      </c>
      <c r="O51" s="63" t="str">
        <f ca="1">IF(ISNUMBER(CS!O51),O$10,"")</f>
        <v/>
      </c>
      <c r="P51" s="63" t="str">
        <f ca="1">IF(ISNUMBER(CS!P51),P$10,"")</f>
        <v/>
      </c>
      <c r="Q51" s="63" t="str">
        <f ca="1">IF(ISNUMBER(CS!Q51),Q$10,"")</f>
        <v/>
      </c>
      <c r="R51" s="63" t="str">
        <f ca="1">IF(ISNUMBER(CS!R51),R$10,"")</f>
        <v/>
      </c>
      <c r="S51" s="63" t="str">
        <f ca="1">IF(ISNUMBER(CS!S51),S$10,"")</f>
        <v/>
      </c>
      <c r="T51" s="63" t="str">
        <f ca="1">IF(ISNUMBER(CS!T51),T$10,"")</f>
        <v/>
      </c>
      <c r="U51" s="63" t="str">
        <f ca="1">IF(ISNUMBER(CS!U51),U$10,"")</f>
        <v/>
      </c>
      <c r="V51" s="63" t="str">
        <f ca="1">IF(ISNUMBER(CS!V51),V$10,"")</f>
        <v/>
      </c>
      <c r="W51" s="63" t="str">
        <f ca="1">IF(ISNUMBER(CS!W51),W$10,"")</f>
        <v/>
      </c>
      <c r="X51" s="63" t="str">
        <f ca="1">IF(ISNUMBER(CS!X51),X$10,"")</f>
        <v/>
      </c>
      <c r="Y51" s="63" t="str">
        <f ca="1">IF(ISNUMBER(CS!Y51),Y$10,"")</f>
        <v/>
      </c>
      <c r="Z51" s="63" t="str">
        <f ca="1">IF(ISNUMBER(CS!Z51),Z$10,"")</f>
        <v/>
      </c>
      <c r="AA51" s="63" t="str">
        <f ca="1">IF(ISNUMBER(CS!AA51),AA$10,"")</f>
        <v/>
      </c>
      <c r="AB51" s="63" t="str">
        <f ca="1">IF(ISNUMBER(CS!AB51),AB$10,"")</f>
        <v/>
      </c>
      <c r="AC51" s="63" t="str">
        <f ca="1">IF(ISNUMBER(CS!AC51),AC$10,"")</f>
        <v/>
      </c>
      <c r="AD51" s="63" t="str">
        <f ca="1">IF(ISNUMBER(CS!AD51),AD$10,"")</f>
        <v/>
      </c>
      <c r="AE51" s="63" t="str">
        <f ca="1">IF(ISNUMBER(CS!AE51),AE$10,"")</f>
        <v/>
      </c>
      <c r="AF51" s="63" t="str">
        <f ca="1">IF(ISNUMBER(CS!AF51),AF$10,"")</f>
        <v/>
      </c>
      <c r="AG51" s="63" t="str">
        <f ca="1">IF(ISNUMBER(CS!AG51),AG$10,"")</f>
        <v/>
      </c>
      <c r="AH51" s="63" t="str">
        <f ca="1">IF(ISNUMBER(CS!AH51),AH$10,"")</f>
        <v/>
      </c>
      <c r="AI51" s="63" t="str">
        <f ca="1">IF(ISNUMBER(CS!AI51),AI$10,"")</f>
        <v/>
      </c>
      <c r="AJ51" s="63" t="str">
        <f ca="1">IF(ISNUMBER(CS!AJ51),AJ$10,"")</f>
        <v/>
      </c>
      <c r="AK51" s="63" t="str">
        <f ca="1">IF(ISNUMBER(CS!AK51),AK$10,"")</f>
        <v/>
      </c>
      <c r="AL51" s="63" t="str">
        <f ca="1">IF(ISNUMBER(CS!AL51),AL$10,"")</f>
        <v/>
      </c>
      <c r="AM51" s="63" t="str">
        <f ca="1">IF(ISNUMBER(CS!AM51),AM$10,"")</f>
        <v/>
      </c>
      <c r="AN51" s="63" t="str">
        <f ca="1">IF(ISNUMBER(CS!AN51),AN$10,"")</f>
        <v/>
      </c>
      <c r="AO51" s="63" t="str">
        <f ca="1">IF(ISNUMBER(CS!AO51),AO$10,"")</f>
        <v/>
      </c>
      <c r="AP51" s="414" t="str">
        <f ca="1">IF(ISNUMBER(CS!AP51),AP$10,"")</f>
        <v/>
      </c>
      <c r="AS51" s="4" t="str">
        <f t="shared" ca="1" si="11"/>
        <v/>
      </c>
      <c r="AU51" s="417" t="str">
        <f t="shared" ca="1" si="8"/>
        <v/>
      </c>
      <c r="AV51" s="210" t="str">
        <f t="shared" ca="1" si="8"/>
        <v/>
      </c>
      <c r="AW51" s="210" t="str">
        <f t="shared" ca="1" si="8"/>
        <v/>
      </c>
      <c r="AX51" s="210" t="str">
        <f t="shared" ca="1" si="8"/>
        <v/>
      </c>
      <c r="AY51" s="414" t="str">
        <f t="shared" ca="1" si="8"/>
        <v/>
      </c>
      <c r="BA51" s="417" t="str">
        <f t="shared" ca="1" si="16"/>
        <v/>
      </c>
      <c r="BB51" s="210" t="str">
        <f t="shared" ca="1" si="16"/>
        <v/>
      </c>
      <c r="BC51" s="210" t="str">
        <f t="shared" ca="1" si="16"/>
        <v/>
      </c>
      <c r="BD51" s="210" t="str">
        <f t="shared" ca="1" si="16"/>
        <v/>
      </c>
      <c r="BE51" s="210" t="str">
        <f t="shared" ca="1" si="16"/>
        <v/>
      </c>
      <c r="BF51" s="210" t="str">
        <f t="shared" ca="1" si="16"/>
        <v/>
      </c>
      <c r="BG51" s="210" t="str">
        <f t="shared" ca="1" si="16"/>
        <v/>
      </c>
      <c r="BH51" s="210" t="str">
        <f t="shared" ca="1" si="16"/>
        <v/>
      </c>
      <c r="BI51" s="210" t="str">
        <f t="shared" ca="1" si="16"/>
        <v/>
      </c>
      <c r="BJ51" s="210" t="str">
        <f t="shared" ca="1" si="16"/>
        <v/>
      </c>
      <c r="BK51" s="210" t="str">
        <f t="shared" ca="1" si="16"/>
        <v/>
      </c>
      <c r="BL51" s="210" t="str">
        <f t="shared" ca="1" si="16"/>
        <v/>
      </c>
      <c r="BM51" s="210" t="str">
        <f t="shared" ca="1" si="16"/>
        <v/>
      </c>
      <c r="BN51" s="210" t="str">
        <f t="shared" ca="1" si="16"/>
        <v/>
      </c>
      <c r="BO51" s="210" t="str">
        <f t="shared" ca="1" si="16"/>
        <v/>
      </c>
      <c r="BP51" s="210" t="str">
        <f t="shared" ca="1" si="16"/>
        <v/>
      </c>
      <c r="BQ51" s="414" t="str">
        <f t="shared" ca="1" si="17"/>
        <v/>
      </c>
      <c r="BS51" s="417" t="str">
        <f t="shared" ref="BS51:CB56" ca="1" si="18">IF(OR(BS$10=0,$B51=""),"",COUNTIF($CF51:$DS51,BS$10))</f>
        <v/>
      </c>
      <c r="BT51" s="210" t="str">
        <f t="shared" ca="1" si="18"/>
        <v/>
      </c>
      <c r="BU51" s="210" t="str">
        <f t="shared" ca="1" si="18"/>
        <v/>
      </c>
      <c r="BV51" s="210" t="str">
        <f t="shared" ca="1" si="18"/>
        <v/>
      </c>
      <c r="BW51" s="210" t="str">
        <f t="shared" ca="1" si="18"/>
        <v/>
      </c>
      <c r="BX51" s="210" t="str">
        <f t="shared" ca="1" si="18"/>
        <v/>
      </c>
      <c r="BY51" s="210" t="str">
        <f t="shared" ca="1" si="18"/>
        <v/>
      </c>
      <c r="BZ51" s="210" t="str">
        <f t="shared" ca="1" si="18"/>
        <v/>
      </c>
      <c r="CA51" s="210" t="str">
        <f t="shared" ca="1" si="18"/>
        <v/>
      </c>
      <c r="CB51" s="396" t="str">
        <f t="shared" ca="1" si="18"/>
        <v/>
      </c>
      <c r="CC51" s="68"/>
      <c r="CD51" s="419" t="e">
        <f t="shared" ca="1" si="15"/>
        <v>#N/A</v>
      </c>
      <c r="CF51" s="50" t="str">
        <f ca="1">IF(AND(ISNUMBER(CS!C51),ISNUMBER(CS!D51)),CONCATENATE(CF$10,CG$10),"")</f>
        <v/>
      </c>
      <c r="CG51" s="50" t="str">
        <f ca="1">IF(AND(ISNUMBER(CS!D51),ISNUMBER(CS!E51)),CONCATENATE(CG$10,CH$10),"")</f>
        <v/>
      </c>
      <c r="CH51" s="50" t="str">
        <f ca="1">IF(AND(ISNUMBER(CS!E51),ISNUMBER(CS!F51)),CONCATENATE(CH$10,CI$10),"")</f>
        <v/>
      </c>
      <c r="CI51" s="50" t="str">
        <f ca="1">IF(AND(ISNUMBER(CS!F51),ISNUMBER(CS!G51)),CONCATENATE(CI$10,CJ$10),"")</f>
        <v/>
      </c>
      <c r="CJ51" s="50" t="str">
        <f ca="1">IF(AND(ISNUMBER(CS!G51),ISNUMBER(CS!H51)),CONCATENATE(CJ$10,CK$10),"")</f>
        <v/>
      </c>
      <c r="CK51" s="50" t="str">
        <f ca="1">IF(AND(ISNUMBER(CS!H51),ISNUMBER(CS!I51)),CONCATENATE(CK$10,CL$10),"")</f>
        <v/>
      </c>
      <c r="CL51" s="50" t="str">
        <f ca="1">IF(AND(ISNUMBER(CS!I51),ISNUMBER(CS!J51)),CONCATENATE(CL$10,CM$10),"")</f>
        <v/>
      </c>
      <c r="CM51" s="50" t="str">
        <f ca="1">IF(AND(ISNUMBER(CS!J51),ISNUMBER(CS!K51)),CONCATENATE(CM$10,CN$10),"")</f>
        <v/>
      </c>
      <c r="CN51" s="50" t="str">
        <f ca="1">IF(AND(ISNUMBER(CS!K51),ISNUMBER(CS!L51)),CONCATENATE(CN$10,CO$10),"")</f>
        <v/>
      </c>
      <c r="CO51" s="50" t="str">
        <f ca="1">IF(AND(ISNUMBER(CS!L51),ISNUMBER(CS!M51)),CONCATENATE(CO$10,CP$10),"")</f>
        <v/>
      </c>
      <c r="CP51" s="50" t="str">
        <f ca="1">IF(AND(ISNUMBER(CS!M51),ISNUMBER(CS!N51)),CONCATENATE(CP$10,CQ$10),"")</f>
        <v/>
      </c>
      <c r="CQ51" s="50" t="str">
        <f ca="1">IF(AND(ISNUMBER(CS!N51),ISNUMBER(CS!O51)),CONCATENATE(CQ$10,CR$10),"")</f>
        <v/>
      </c>
      <c r="CR51" s="50" t="str">
        <f ca="1">IF(AND(ISNUMBER(CS!O51),ISNUMBER(CS!P51)),CONCATENATE(CR$10,CS$10),"")</f>
        <v/>
      </c>
      <c r="CS51" s="50" t="str">
        <f ca="1">IF(AND(ISNUMBER(CS!P51),ISNUMBER(CS!Q51)),CONCATENATE(CS$10,CT$10),"")</f>
        <v/>
      </c>
      <c r="CT51" s="50" t="str">
        <f ca="1">IF(AND(ISNUMBER(CS!Q51),ISNUMBER(CS!R51)),CONCATENATE(CT$10,CU$10),"")</f>
        <v/>
      </c>
      <c r="CU51" s="50" t="str">
        <f ca="1">IF(AND(ISNUMBER(CS!R51),ISNUMBER(CS!S51)),CONCATENATE(CU$10,CV$10),"")</f>
        <v/>
      </c>
      <c r="CV51" s="50" t="str">
        <f ca="1">IF(AND(ISNUMBER(CS!S51),ISNUMBER(CS!T51)),CONCATENATE(CV$10,CW$10),"")</f>
        <v/>
      </c>
      <c r="CW51" s="50" t="str">
        <f ca="1">IF(AND(ISNUMBER(CS!T51),ISNUMBER(CS!U51)),CONCATENATE(CW$10,CX$10),"")</f>
        <v/>
      </c>
      <c r="CX51" s="50" t="str">
        <f ca="1">IF(AND(ISNUMBER(CS!U51),ISNUMBER(CS!V51)),CONCATENATE(CX$10,CY$10),"")</f>
        <v/>
      </c>
      <c r="CY51" s="50" t="str">
        <f ca="1">IF(AND(ISNUMBER(CS!V51),ISNUMBER(CS!W51)),CONCATENATE(CY$10,CZ$10),"")</f>
        <v/>
      </c>
      <c r="CZ51" s="50" t="str">
        <f ca="1">IF(AND(ISNUMBER(CS!W51),ISNUMBER(CS!X51)),CONCATENATE(CZ$10,DA$10),"")</f>
        <v/>
      </c>
      <c r="DA51" s="50" t="str">
        <f ca="1">IF(AND(ISNUMBER(CS!X51),ISNUMBER(CS!Y51)),CONCATENATE(DA$10,DB$10),"")</f>
        <v/>
      </c>
      <c r="DB51" s="50" t="str">
        <f ca="1">IF(AND(ISNUMBER(CS!Y51),ISNUMBER(CS!Z51)),CONCATENATE(DB$10,DC$10),"")</f>
        <v/>
      </c>
      <c r="DC51" s="50" t="str">
        <f ca="1">IF(AND(ISNUMBER(CS!Z51),ISNUMBER(CS!AA51)),CONCATENATE(DC$10,DD$10),"")</f>
        <v/>
      </c>
      <c r="DD51" s="50" t="str">
        <f ca="1">IF(AND(ISNUMBER(CS!AA51),ISNUMBER(CS!AB51)),CONCATENATE(DD$10,DE$10),"")</f>
        <v/>
      </c>
      <c r="DE51" s="50" t="str">
        <f ca="1">IF(AND(ISNUMBER(CS!AB51),ISNUMBER(CS!AC51)),CONCATENATE(DE$10,DF$10),"")</f>
        <v/>
      </c>
      <c r="DF51" s="50" t="str">
        <f ca="1">IF(AND(ISNUMBER(CS!AC51),ISNUMBER(CS!AD51)),CONCATENATE(DF$10,DG$10),"")</f>
        <v/>
      </c>
      <c r="DG51" s="50" t="str">
        <f ca="1">IF(AND(ISNUMBER(CS!AD51),ISNUMBER(CS!AE51)),CONCATENATE(DG$10,DH$10),"")</f>
        <v/>
      </c>
      <c r="DH51" s="50" t="str">
        <f ca="1">IF(AND(ISNUMBER(CS!AE51),ISNUMBER(CS!AF51)),CONCATENATE(DH$10,DI$10),"")</f>
        <v/>
      </c>
      <c r="DI51" s="50" t="str">
        <f ca="1">IF(AND(ISNUMBER(CS!AF51),ISNUMBER(CS!AG51)),CONCATENATE(DI$10,DJ$10),"")</f>
        <v/>
      </c>
      <c r="DJ51" s="50" t="str">
        <f ca="1">IF(AND(ISNUMBER(CS!AG51),ISNUMBER(CS!AH51)),CONCATENATE(DJ$10,DK$10),"")</f>
        <v/>
      </c>
      <c r="DK51" s="50" t="str">
        <f ca="1">IF(AND(ISNUMBER(CS!AH51),ISNUMBER(CS!AI51)),CONCATENATE(DK$10,DL$10),"")</f>
        <v/>
      </c>
      <c r="DL51" s="50" t="str">
        <f ca="1">IF(AND(ISNUMBER(CS!AI51),ISNUMBER(CS!AJ51)),CONCATENATE(DL$10,DM$10),"")</f>
        <v/>
      </c>
      <c r="DM51" s="50" t="str">
        <f ca="1">IF(AND(ISNUMBER(CS!AJ51),ISNUMBER(CS!AK51)),CONCATENATE(DM$10,DN$10),"")</f>
        <v/>
      </c>
      <c r="DN51" s="50" t="str">
        <f ca="1">IF(AND(ISNUMBER(CS!AK51),ISNUMBER(CS!AL51)),CONCATENATE(DN$10,DO$10),"")</f>
        <v/>
      </c>
      <c r="DO51" s="50" t="str">
        <f ca="1">IF(AND(ISNUMBER(CS!AL51),ISNUMBER(CS!AM51)),CONCATENATE(DO$10,DP$10),"")</f>
        <v/>
      </c>
      <c r="DP51" s="50" t="str">
        <f ca="1">IF(AND(ISNUMBER(CS!AM51),ISNUMBER(CS!AN51)),CONCATENATE(DP$10,DQ$10),"")</f>
        <v/>
      </c>
      <c r="DQ51" s="50" t="str">
        <f ca="1">IF(AND(ISNUMBER(CS!AN51),ISNUMBER(CS!AO51)),CONCATENATE(DQ$10,DR$10),"")</f>
        <v/>
      </c>
      <c r="DR51" s="50" t="str">
        <f ca="1">IF(AND(ISNUMBER(CS!AO51),ISNUMBER(CS!AP51)),CONCATENATE(DR$10,DS$10),"")</f>
        <v/>
      </c>
      <c r="DS51" s="50" t="str">
        <f ca="1">IF(AND(ISNUMBER(CS!AP51),ISNUMBER(CS!AQ51)),CONCATENATE(DS$10,DT$10),"")</f>
        <v/>
      </c>
      <c r="DT51" s="63">
        <f>DrawFinder!Y51</f>
        <v>0</v>
      </c>
    </row>
    <row r="52" spans="2:124">
      <c r="B52" s="393" t="str">
        <f ca="1">TmOrderLU!D52</f>
        <v/>
      </c>
      <c r="C52" s="63" t="str">
        <f ca="1">IF(ISNUMBER(CS!C52),C$10,"")</f>
        <v/>
      </c>
      <c r="D52" s="63" t="str">
        <f ca="1">IF(ISNUMBER(CS!D52),D$10,"")</f>
        <v/>
      </c>
      <c r="E52" s="63" t="str">
        <f ca="1">IF(ISNUMBER(CS!E52),E$10,"")</f>
        <v/>
      </c>
      <c r="F52" s="63" t="str">
        <f ca="1">IF(ISNUMBER(CS!F52),F$10,"")</f>
        <v/>
      </c>
      <c r="G52" s="63" t="str">
        <f ca="1">IF(ISNUMBER(CS!G52),G$10,"")</f>
        <v/>
      </c>
      <c r="H52" s="63" t="str">
        <f ca="1">IF(ISNUMBER(CS!H52),H$10,"")</f>
        <v/>
      </c>
      <c r="I52" s="63" t="str">
        <f ca="1">IF(ISNUMBER(CS!I52),I$10,"")</f>
        <v/>
      </c>
      <c r="J52" s="63" t="str">
        <f ca="1">IF(ISNUMBER(CS!J52),J$10,"")</f>
        <v/>
      </c>
      <c r="K52" s="63" t="str">
        <f ca="1">IF(ISNUMBER(CS!K52),K$10,"")</f>
        <v/>
      </c>
      <c r="L52" s="63" t="str">
        <f ca="1">IF(ISNUMBER(CS!L52),L$10,"")</f>
        <v/>
      </c>
      <c r="M52" s="63" t="str">
        <f ca="1">IF(ISNUMBER(CS!M52),M$10,"")</f>
        <v/>
      </c>
      <c r="N52" s="63" t="str">
        <f ca="1">IF(ISNUMBER(CS!N52),N$10,"")</f>
        <v/>
      </c>
      <c r="O52" s="63" t="str">
        <f ca="1">IF(ISNUMBER(CS!O52),O$10,"")</f>
        <v/>
      </c>
      <c r="P52" s="63" t="str">
        <f ca="1">IF(ISNUMBER(CS!P52),P$10,"")</f>
        <v/>
      </c>
      <c r="Q52" s="63" t="str">
        <f ca="1">IF(ISNUMBER(CS!Q52),Q$10,"")</f>
        <v/>
      </c>
      <c r="R52" s="63" t="str">
        <f ca="1">IF(ISNUMBER(CS!R52),R$10,"")</f>
        <v/>
      </c>
      <c r="S52" s="63" t="str">
        <f ca="1">IF(ISNUMBER(CS!S52),S$10,"")</f>
        <v/>
      </c>
      <c r="T52" s="63" t="str">
        <f ca="1">IF(ISNUMBER(CS!T52),T$10,"")</f>
        <v/>
      </c>
      <c r="U52" s="63" t="str">
        <f ca="1">IF(ISNUMBER(CS!U52),U$10,"")</f>
        <v/>
      </c>
      <c r="V52" s="63" t="str">
        <f ca="1">IF(ISNUMBER(CS!V52),V$10,"")</f>
        <v/>
      </c>
      <c r="W52" s="63" t="str">
        <f ca="1">IF(ISNUMBER(CS!W52),W$10,"")</f>
        <v/>
      </c>
      <c r="X52" s="63" t="str">
        <f ca="1">IF(ISNUMBER(CS!X52),X$10,"")</f>
        <v/>
      </c>
      <c r="Y52" s="63" t="str">
        <f ca="1">IF(ISNUMBER(CS!Y52),Y$10,"")</f>
        <v/>
      </c>
      <c r="Z52" s="63" t="str">
        <f ca="1">IF(ISNUMBER(CS!Z52),Z$10,"")</f>
        <v/>
      </c>
      <c r="AA52" s="63" t="str">
        <f ca="1">IF(ISNUMBER(CS!AA52),AA$10,"")</f>
        <v/>
      </c>
      <c r="AB52" s="63" t="str">
        <f ca="1">IF(ISNUMBER(CS!AB52),AB$10,"")</f>
        <v/>
      </c>
      <c r="AC52" s="63" t="str">
        <f ca="1">IF(ISNUMBER(CS!AC52),AC$10,"")</f>
        <v/>
      </c>
      <c r="AD52" s="63" t="str">
        <f ca="1">IF(ISNUMBER(CS!AD52),AD$10,"")</f>
        <v/>
      </c>
      <c r="AE52" s="63" t="str">
        <f ca="1">IF(ISNUMBER(CS!AE52),AE$10,"")</f>
        <v/>
      </c>
      <c r="AF52" s="63" t="str">
        <f ca="1">IF(ISNUMBER(CS!AF52),AF$10,"")</f>
        <v/>
      </c>
      <c r="AG52" s="63" t="str">
        <f ca="1">IF(ISNUMBER(CS!AG52),AG$10,"")</f>
        <v/>
      </c>
      <c r="AH52" s="63" t="str">
        <f ca="1">IF(ISNUMBER(CS!AH52),AH$10,"")</f>
        <v/>
      </c>
      <c r="AI52" s="63" t="str">
        <f ca="1">IF(ISNUMBER(CS!AI52),AI$10,"")</f>
        <v/>
      </c>
      <c r="AJ52" s="63" t="str">
        <f ca="1">IF(ISNUMBER(CS!AJ52),AJ$10,"")</f>
        <v/>
      </c>
      <c r="AK52" s="63" t="str">
        <f ca="1">IF(ISNUMBER(CS!AK52),AK$10,"")</f>
        <v/>
      </c>
      <c r="AL52" s="63" t="str">
        <f ca="1">IF(ISNUMBER(CS!AL52),AL$10,"")</f>
        <v/>
      </c>
      <c r="AM52" s="63" t="str">
        <f ca="1">IF(ISNUMBER(CS!AM52),AM$10,"")</f>
        <v/>
      </c>
      <c r="AN52" s="63" t="str">
        <f ca="1">IF(ISNUMBER(CS!AN52),AN$10,"")</f>
        <v/>
      </c>
      <c r="AO52" s="63" t="str">
        <f ca="1">IF(ISNUMBER(CS!AO52),AO$10,"")</f>
        <v/>
      </c>
      <c r="AP52" s="414" t="str">
        <f ca="1">IF(ISNUMBER(CS!AP52),AP$10,"")</f>
        <v/>
      </c>
      <c r="AS52" s="4" t="str">
        <f t="shared" ca="1" si="11"/>
        <v/>
      </c>
      <c r="AU52" s="417" t="str">
        <f t="shared" ca="1" si="8"/>
        <v/>
      </c>
      <c r="AV52" s="210" t="str">
        <f t="shared" ca="1" si="8"/>
        <v/>
      </c>
      <c r="AW52" s="210" t="str">
        <f t="shared" ca="1" si="8"/>
        <v/>
      </c>
      <c r="AX52" s="210" t="str">
        <f t="shared" ca="1" si="8"/>
        <v/>
      </c>
      <c r="AY52" s="414" t="str">
        <f t="shared" ca="1" si="8"/>
        <v/>
      </c>
      <c r="BA52" s="417" t="str">
        <f t="shared" ca="1" si="16"/>
        <v/>
      </c>
      <c r="BB52" s="210" t="str">
        <f t="shared" ca="1" si="16"/>
        <v/>
      </c>
      <c r="BC52" s="210" t="str">
        <f t="shared" ca="1" si="16"/>
        <v/>
      </c>
      <c r="BD52" s="210" t="str">
        <f t="shared" ca="1" si="16"/>
        <v/>
      </c>
      <c r="BE52" s="210" t="str">
        <f t="shared" ca="1" si="16"/>
        <v/>
      </c>
      <c r="BF52" s="210" t="str">
        <f t="shared" ca="1" si="16"/>
        <v/>
      </c>
      <c r="BG52" s="210" t="str">
        <f t="shared" ca="1" si="16"/>
        <v/>
      </c>
      <c r="BH52" s="210" t="str">
        <f t="shared" ca="1" si="16"/>
        <v/>
      </c>
      <c r="BI52" s="210" t="str">
        <f t="shared" ca="1" si="16"/>
        <v/>
      </c>
      <c r="BJ52" s="210" t="str">
        <f t="shared" ca="1" si="16"/>
        <v/>
      </c>
      <c r="BK52" s="210" t="str">
        <f t="shared" ca="1" si="16"/>
        <v/>
      </c>
      <c r="BL52" s="210" t="str">
        <f t="shared" ca="1" si="16"/>
        <v/>
      </c>
      <c r="BM52" s="210" t="str">
        <f t="shared" ca="1" si="16"/>
        <v/>
      </c>
      <c r="BN52" s="210" t="str">
        <f t="shared" ca="1" si="16"/>
        <v/>
      </c>
      <c r="BO52" s="210" t="str">
        <f t="shared" ca="1" si="16"/>
        <v/>
      </c>
      <c r="BP52" s="210" t="str">
        <f t="shared" ca="1" si="16"/>
        <v/>
      </c>
      <c r="BQ52" s="414" t="str">
        <f t="shared" ca="1" si="17"/>
        <v/>
      </c>
      <c r="BS52" s="417" t="str">
        <f t="shared" ca="1" si="18"/>
        <v/>
      </c>
      <c r="BT52" s="210" t="str">
        <f t="shared" ca="1" si="18"/>
        <v/>
      </c>
      <c r="BU52" s="210" t="str">
        <f t="shared" ca="1" si="18"/>
        <v/>
      </c>
      <c r="BV52" s="210" t="str">
        <f t="shared" ca="1" si="18"/>
        <v/>
      </c>
      <c r="BW52" s="210" t="str">
        <f t="shared" ca="1" si="18"/>
        <v/>
      </c>
      <c r="BX52" s="210" t="str">
        <f t="shared" ca="1" si="18"/>
        <v/>
      </c>
      <c r="BY52" s="210" t="str">
        <f t="shared" ca="1" si="18"/>
        <v/>
      </c>
      <c r="BZ52" s="210" t="str">
        <f t="shared" ca="1" si="18"/>
        <v/>
      </c>
      <c r="CA52" s="210" t="str">
        <f t="shared" ca="1" si="18"/>
        <v/>
      </c>
      <c r="CB52" s="396" t="str">
        <f t="shared" ca="1" si="18"/>
        <v/>
      </c>
      <c r="CC52" s="68"/>
      <c r="CD52" s="419" t="e">
        <f t="shared" ca="1" si="15"/>
        <v>#N/A</v>
      </c>
      <c r="CF52" s="50" t="str">
        <f ca="1">IF(AND(ISNUMBER(CS!C52),ISNUMBER(CS!D52)),CONCATENATE(CF$10,CG$10),"")</f>
        <v/>
      </c>
      <c r="CG52" s="50" t="str">
        <f ca="1">IF(AND(ISNUMBER(CS!D52),ISNUMBER(CS!E52)),CONCATENATE(CG$10,CH$10),"")</f>
        <v/>
      </c>
      <c r="CH52" s="50" t="str">
        <f ca="1">IF(AND(ISNUMBER(CS!E52),ISNUMBER(CS!F52)),CONCATENATE(CH$10,CI$10),"")</f>
        <v/>
      </c>
      <c r="CI52" s="50" t="str">
        <f ca="1">IF(AND(ISNUMBER(CS!F52),ISNUMBER(CS!G52)),CONCATENATE(CI$10,CJ$10),"")</f>
        <v/>
      </c>
      <c r="CJ52" s="50" t="str">
        <f ca="1">IF(AND(ISNUMBER(CS!G52),ISNUMBER(CS!H52)),CONCATENATE(CJ$10,CK$10),"")</f>
        <v/>
      </c>
      <c r="CK52" s="50" t="str">
        <f ca="1">IF(AND(ISNUMBER(CS!H52),ISNUMBER(CS!I52)),CONCATENATE(CK$10,CL$10),"")</f>
        <v/>
      </c>
      <c r="CL52" s="50" t="str">
        <f ca="1">IF(AND(ISNUMBER(CS!I52),ISNUMBER(CS!J52)),CONCATENATE(CL$10,CM$10),"")</f>
        <v/>
      </c>
      <c r="CM52" s="50" t="str">
        <f ca="1">IF(AND(ISNUMBER(CS!J52),ISNUMBER(CS!K52)),CONCATENATE(CM$10,CN$10),"")</f>
        <v/>
      </c>
      <c r="CN52" s="50" t="str">
        <f ca="1">IF(AND(ISNUMBER(CS!K52),ISNUMBER(CS!L52)),CONCATENATE(CN$10,CO$10),"")</f>
        <v/>
      </c>
      <c r="CO52" s="50" t="str">
        <f ca="1">IF(AND(ISNUMBER(CS!L52),ISNUMBER(CS!M52)),CONCATENATE(CO$10,CP$10),"")</f>
        <v/>
      </c>
      <c r="CP52" s="50" t="str">
        <f ca="1">IF(AND(ISNUMBER(CS!M52),ISNUMBER(CS!N52)),CONCATENATE(CP$10,CQ$10),"")</f>
        <v/>
      </c>
      <c r="CQ52" s="50" t="str">
        <f ca="1">IF(AND(ISNUMBER(CS!N52),ISNUMBER(CS!O52)),CONCATENATE(CQ$10,CR$10),"")</f>
        <v/>
      </c>
      <c r="CR52" s="50" t="str">
        <f ca="1">IF(AND(ISNUMBER(CS!O52),ISNUMBER(CS!P52)),CONCATENATE(CR$10,CS$10),"")</f>
        <v/>
      </c>
      <c r="CS52" s="50" t="str">
        <f ca="1">IF(AND(ISNUMBER(CS!P52),ISNUMBER(CS!Q52)),CONCATENATE(CS$10,CT$10),"")</f>
        <v/>
      </c>
      <c r="CT52" s="50" t="str">
        <f ca="1">IF(AND(ISNUMBER(CS!Q52),ISNUMBER(CS!R52)),CONCATENATE(CT$10,CU$10),"")</f>
        <v/>
      </c>
      <c r="CU52" s="50" t="str">
        <f ca="1">IF(AND(ISNUMBER(CS!R52),ISNUMBER(CS!S52)),CONCATENATE(CU$10,CV$10),"")</f>
        <v/>
      </c>
      <c r="CV52" s="50" t="str">
        <f ca="1">IF(AND(ISNUMBER(CS!S52),ISNUMBER(CS!T52)),CONCATENATE(CV$10,CW$10),"")</f>
        <v/>
      </c>
      <c r="CW52" s="50" t="str">
        <f ca="1">IF(AND(ISNUMBER(CS!T52),ISNUMBER(CS!U52)),CONCATENATE(CW$10,CX$10),"")</f>
        <v/>
      </c>
      <c r="CX52" s="50" t="str">
        <f ca="1">IF(AND(ISNUMBER(CS!U52),ISNUMBER(CS!V52)),CONCATENATE(CX$10,CY$10),"")</f>
        <v/>
      </c>
      <c r="CY52" s="50" t="str">
        <f ca="1">IF(AND(ISNUMBER(CS!V52),ISNUMBER(CS!W52)),CONCATENATE(CY$10,CZ$10),"")</f>
        <v/>
      </c>
      <c r="CZ52" s="50" t="str">
        <f ca="1">IF(AND(ISNUMBER(CS!W52),ISNUMBER(CS!X52)),CONCATENATE(CZ$10,DA$10),"")</f>
        <v/>
      </c>
      <c r="DA52" s="50" t="str">
        <f ca="1">IF(AND(ISNUMBER(CS!X52),ISNUMBER(CS!Y52)),CONCATENATE(DA$10,DB$10),"")</f>
        <v/>
      </c>
      <c r="DB52" s="50" t="str">
        <f ca="1">IF(AND(ISNUMBER(CS!Y52),ISNUMBER(CS!Z52)),CONCATENATE(DB$10,DC$10),"")</f>
        <v/>
      </c>
      <c r="DC52" s="50" t="str">
        <f ca="1">IF(AND(ISNUMBER(CS!Z52),ISNUMBER(CS!AA52)),CONCATENATE(DC$10,DD$10),"")</f>
        <v/>
      </c>
      <c r="DD52" s="50" t="str">
        <f ca="1">IF(AND(ISNUMBER(CS!AA52),ISNUMBER(CS!AB52)),CONCATENATE(DD$10,DE$10),"")</f>
        <v/>
      </c>
      <c r="DE52" s="50" t="str">
        <f ca="1">IF(AND(ISNUMBER(CS!AB52),ISNUMBER(CS!AC52)),CONCATENATE(DE$10,DF$10),"")</f>
        <v/>
      </c>
      <c r="DF52" s="50" t="str">
        <f ca="1">IF(AND(ISNUMBER(CS!AC52),ISNUMBER(CS!AD52)),CONCATENATE(DF$10,DG$10),"")</f>
        <v/>
      </c>
      <c r="DG52" s="50" t="str">
        <f ca="1">IF(AND(ISNUMBER(CS!AD52),ISNUMBER(CS!AE52)),CONCATENATE(DG$10,DH$10),"")</f>
        <v/>
      </c>
      <c r="DH52" s="50" t="str">
        <f ca="1">IF(AND(ISNUMBER(CS!AE52),ISNUMBER(CS!AF52)),CONCATENATE(DH$10,DI$10),"")</f>
        <v/>
      </c>
      <c r="DI52" s="50" t="str">
        <f ca="1">IF(AND(ISNUMBER(CS!AF52),ISNUMBER(CS!AG52)),CONCATENATE(DI$10,DJ$10),"")</f>
        <v/>
      </c>
      <c r="DJ52" s="50" t="str">
        <f ca="1">IF(AND(ISNUMBER(CS!AG52),ISNUMBER(CS!AH52)),CONCATENATE(DJ$10,DK$10),"")</f>
        <v/>
      </c>
      <c r="DK52" s="50" t="str">
        <f ca="1">IF(AND(ISNUMBER(CS!AH52),ISNUMBER(CS!AI52)),CONCATENATE(DK$10,DL$10),"")</f>
        <v/>
      </c>
      <c r="DL52" s="50" t="str">
        <f ca="1">IF(AND(ISNUMBER(CS!AI52),ISNUMBER(CS!AJ52)),CONCATENATE(DL$10,DM$10),"")</f>
        <v/>
      </c>
      <c r="DM52" s="50" t="str">
        <f ca="1">IF(AND(ISNUMBER(CS!AJ52),ISNUMBER(CS!AK52)),CONCATENATE(DM$10,DN$10),"")</f>
        <v/>
      </c>
      <c r="DN52" s="50" t="str">
        <f ca="1">IF(AND(ISNUMBER(CS!AK52),ISNUMBER(CS!AL52)),CONCATENATE(DN$10,DO$10),"")</f>
        <v/>
      </c>
      <c r="DO52" s="50" t="str">
        <f ca="1">IF(AND(ISNUMBER(CS!AL52),ISNUMBER(CS!AM52)),CONCATENATE(DO$10,DP$10),"")</f>
        <v/>
      </c>
      <c r="DP52" s="50" t="str">
        <f ca="1">IF(AND(ISNUMBER(CS!AM52),ISNUMBER(CS!AN52)),CONCATENATE(DP$10,DQ$10),"")</f>
        <v/>
      </c>
      <c r="DQ52" s="50" t="str">
        <f ca="1">IF(AND(ISNUMBER(CS!AN52),ISNUMBER(CS!AO52)),CONCATENATE(DQ$10,DR$10),"")</f>
        <v/>
      </c>
      <c r="DR52" s="50" t="str">
        <f ca="1">IF(AND(ISNUMBER(CS!AO52),ISNUMBER(CS!AP52)),CONCATENATE(DR$10,DS$10),"")</f>
        <v/>
      </c>
      <c r="DS52" s="50" t="str">
        <f ca="1">IF(AND(ISNUMBER(CS!AP52),ISNUMBER(CS!AQ52)),CONCATENATE(DS$10,DT$10),"")</f>
        <v/>
      </c>
      <c r="DT52" s="63">
        <f>DrawFinder!Y52</f>
        <v>0</v>
      </c>
    </row>
    <row r="53" spans="2:124">
      <c r="B53" s="393" t="str">
        <f ca="1">TmOrderLU!D53</f>
        <v/>
      </c>
      <c r="C53" s="63" t="str">
        <f ca="1">IF(ISNUMBER(CS!C53),C$10,"")</f>
        <v/>
      </c>
      <c r="D53" s="63" t="str">
        <f ca="1">IF(ISNUMBER(CS!D53),D$10,"")</f>
        <v/>
      </c>
      <c r="E53" s="63" t="str">
        <f ca="1">IF(ISNUMBER(CS!E53),E$10,"")</f>
        <v/>
      </c>
      <c r="F53" s="63" t="str">
        <f ca="1">IF(ISNUMBER(CS!F53),F$10,"")</f>
        <v/>
      </c>
      <c r="G53" s="63" t="str">
        <f ca="1">IF(ISNUMBER(CS!G53),G$10,"")</f>
        <v/>
      </c>
      <c r="H53" s="63" t="str">
        <f ca="1">IF(ISNUMBER(CS!H53),H$10,"")</f>
        <v/>
      </c>
      <c r="I53" s="63" t="str">
        <f ca="1">IF(ISNUMBER(CS!I53),I$10,"")</f>
        <v/>
      </c>
      <c r="J53" s="63" t="str">
        <f ca="1">IF(ISNUMBER(CS!J53),J$10,"")</f>
        <v/>
      </c>
      <c r="K53" s="63" t="str">
        <f ca="1">IF(ISNUMBER(CS!K53),K$10,"")</f>
        <v/>
      </c>
      <c r="L53" s="63" t="str">
        <f ca="1">IF(ISNUMBER(CS!L53),L$10,"")</f>
        <v/>
      </c>
      <c r="M53" s="63" t="str">
        <f ca="1">IF(ISNUMBER(CS!M53),M$10,"")</f>
        <v/>
      </c>
      <c r="N53" s="63" t="str">
        <f ca="1">IF(ISNUMBER(CS!N53),N$10,"")</f>
        <v/>
      </c>
      <c r="O53" s="63" t="str">
        <f ca="1">IF(ISNUMBER(CS!O53),O$10,"")</f>
        <v/>
      </c>
      <c r="P53" s="63" t="str">
        <f ca="1">IF(ISNUMBER(CS!P53),P$10,"")</f>
        <v/>
      </c>
      <c r="Q53" s="63" t="str">
        <f ca="1">IF(ISNUMBER(CS!Q53),Q$10,"")</f>
        <v/>
      </c>
      <c r="R53" s="63" t="str">
        <f ca="1">IF(ISNUMBER(CS!R53),R$10,"")</f>
        <v/>
      </c>
      <c r="S53" s="63" t="str">
        <f ca="1">IF(ISNUMBER(CS!S53),S$10,"")</f>
        <v/>
      </c>
      <c r="T53" s="63" t="str">
        <f ca="1">IF(ISNUMBER(CS!T53),T$10,"")</f>
        <v/>
      </c>
      <c r="U53" s="63" t="str">
        <f ca="1">IF(ISNUMBER(CS!U53),U$10,"")</f>
        <v/>
      </c>
      <c r="V53" s="63" t="str">
        <f ca="1">IF(ISNUMBER(CS!V53),V$10,"")</f>
        <v/>
      </c>
      <c r="W53" s="63" t="str">
        <f ca="1">IF(ISNUMBER(CS!W53),W$10,"")</f>
        <v/>
      </c>
      <c r="X53" s="63" t="str">
        <f ca="1">IF(ISNUMBER(CS!X53),X$10,"")</f>
        <v/>
      </c>
      <c r="Y53" s="63" t="str">
        <f ca="1">IF(ISNUMBER(CS!Y53),Y$10,"")</f>
        <v/>
      </c>
      <c r="Z53" s="63" t="str">
        <f ca="1">IF(ISNUMBER(CS!Z53),Z$10,"")</f>
        <v/>
      </c>
      <c r="AA53" s="63" t="str">
        <f ca="1">IF(ISNUMBER(CS!AA53),AA$10,"")</f>
        <v/>
      </c>
      <c r="AB53" s="63" t="str">
        <f ca="1">IF(ISNUMBER(CS!AB53),AB$10,"")</f>
        <v/>
      </c>
      <c r="AC53" s="63" t="str">
        <f ca="1">IF(ISNUMBER(CS!AC53),AC$10,"")</f>
        <v/>
      </c>
      <c r="AD53" s="63" t="str">
        <f ca="1">IF(ISNUMBER(CS!AD53),AD$10,"")</f>
        <v/>
      </c>
      <c r="AE53" s="63" t="str">
        <f ca="1">IF(ISNUMBER(CS!AE53),AE$10,"")</f>
        <v/>
      </c>
      <c r="AF53" s="63" t="str">
        <f ca="1">IF(ISNUMBER(CS!AF53),AF$10,"")</f>
        <v/>
      </c>
      <c r="AG53" s="63" t="str">
        <f ca="1">IF(ISNUMBER(CS!AG53),AG$10,"")</f>
        <v/>
      </c>
      <c r="AH53" s="63" t="str">
        <f ca="1">IF(ISNUMBER(CS!AH53),AH$10,"")</f>
        <v/>
      </c>
      <c r="AI53" s="63" t="str">
        <f ca="1">IF(ISNUMBER(CS!AI53),AI$10,"")</f>
        <v/>
      </c>
      <c r="AJ53" s="63" t="str">
        <f ca="1">IF(ISNUMBER(CS!AJ53),AJ$10,"")</f>
        <v/>
      </c>
      <c r="AK53" s="63" t="str">
        <f ca="1">IF(ISNUMBER(CS!AK53),AK$10,"")</f>
        <v/>
      </c>
      <c r="AL53" s="63" t="str">
        <f ca="1">IF(ISNUMBER(CS!AL53),AL$10,"")</f>
        <v/>
      </c>
      <c r="AM53" s="63" t="str">
        <f ca="1">IF(ISNUMBER(CS!AM53),AM$10,"")</f>
        <v/>
      </c>
      <c r="AN53" s="63" t="str">
        <f ca="1">IF(ISNUMBER(CS!AN53),AN$10,"")</f>
        <v/>
      </c>
      <c r="AO53" s="63" t="str">
        <f ca="1">IF(ISNUMBER(CS!AO53),AO$10,"")</f>
        <v/>
      </c>
      <c r="AP53" s="414" t="str">
        <f ca="1">IF(ISNUMBER(CS!AP53),AP$10,"")</f>
        <v/>
      </c>
      <c r="AS53" s="4" t="str">
        <f t="shared" ca="1" si="11"/>
        <v/>
      </c>
      <c r="AU53" s="417" t="str">
        <f t="shared" ca="1" si="8"/>
        <v/>
      </c>
      <c r="AV53" s="210" t="str">
        <f t="shared" ca="1" si="8"/>
        <v/>
      </c>
      <c r="AW53" s="210" t="str">
        <f t="shared" ca="1" si="8"/>
        <v/>
      </c>
      <c r="AX53" s="210" t="str">
        <f t="shared" ca="1" si="8"/>
        <v/>
      </c>
      <c r="AY53" s="414" t="str">
        <f t="shared" ca="1" si="8"/>
        <v/>
      </c>
      <c r="BA53" s="417" t="str">
        <f t="shared" ca="1" si="16"/>
        <v/>
      </c>
      <c r="BB53" s="210" t="str">
        <f t="shared" ca="1" si="16"/>
        <v/>
      </c>
      <c r="BC53" s="210" t="str">
        <f t="shared" ca="1" si="16"/>
        <v/>
      </c>
      <c r="BD53" s="210" t="str">
        <f t="shared" ca="1" si="16"/>
        <v/>
      </c>
      <c r="BE53" s="210" t="str">
        <f t="shared" ca="1" si="16"/>
        <v/>
      </c>
      <c r="BF53" s="210" t="str">
        <f t="shared" ca="1" si="16"/>
        <v/>
      </c>
      <c r="BG53" s="210" t="str">
        <f t="shared" ca="1" si="16"/>
        <v/>
      </c>
      <c r="BH53" s="210" t="str">
        <f t="shared" ca="1" si="16"/>
        <v/>
      </c>
      <c r="BI53" s="210" t="str">
        <f t="shared" ca="1" si="16"/>
        <v/>
      </c>
      <c r="BJ53" s="210" t="str">
        <f t="shared" ca="1" si="16"/>
        <v/>
      </c>
      <c r="BK53" s="210" t="str">
        <f t="shared" ca="1" si="16"/>
        <v/>
      </c>
      <c r="BL53" s="210" t="str">
        <f t="shared" ca="1" si="16"/>
        <v/>
      </c>
      <c r="BM53" s="210" t="str">
        <f t="shared" ca="1" si="16"/>
        <v/>
      </c>
      <c r="BN53" s="210" t="str">
        <f t="shared" ca="1" si="16"/>
        <v/>
      </c>
      <c r="BO53" s="210" t="str">
        <f t="shared" ca="1" si="16"/>
        <v/>
      </c>
      <c r="BP53" s="210" t="str">
        <f t="shared" ca="1" si="16"/>
        <v/>
      </c>
      <c r="BQ53" s="414" t="str">
        <f t="shared" ca="1" si="17"/>
        <v/>
      </c>
      <c r="BS53" s="417" t="str">
        <f t="shared" ca="1" si="18"/>
        <v/>
      </c>
      <c r="BT53" s="210" t="str">
        <f t="shared" ca="1" si="18"/>
        <v/>
      </c>
      <c r="BU53" s="210" t="str">
        <f t="shared" ca="1" si="18"/>
        <v/>
      </c>
      <c r="BV53" s="210" t="str">
        <f t="shared" ca="1" si="18"/>
        <v/>
      </c>
      <c r="BW53" s="210" t="str">
        <f t="shared" ca="1" si="18"/>
        <v/>
      </c>
      <c r="BX53" s="210" t="str">
        <f t="shared" ca="1" si="18"/>
        <v/>
      </c>
      <c r="BY53" s="210" t="str">
        <f t="shared" ca="1" si="18"/>
        <v/>
      </c>
      <c r="BZ53" s="210" t="str">
        <f t="shared" ca="1" si="18"/>
        <v/>
      </c>
      <c r="CA53" s="210" t="str">
        <f t="shared" ca="1" si="18"/>
        <v/>
      </c>
      <c r="CB53" s="396" t="str">
        <f t="shared" ca="1" si="18"/>
        <v/>
      </c>
      <c r="CC53" s="68"/>
      <c r="CD53" s="419" t="e">
        <f t="shared" ca="1" si="15"/>
        <v>#N/A</v>
      </c>
      <c r="CF53" s="50" t="str">
        <f ca="1">IF(AND(ISNUMBER(CS!C53),ISNUMBER(CS!D53)),CONCATENATE(CF$10,CG$10),"")</f>
        <v/>
      </c>
      <c r="CG53" s="50" t="str">
        <f ca="1">IF(AND(ISNUMBER(CS!D53),ISNUMBER(CS!E53)),CONCATENATE(CG$10,CH$10),"")</f>
        <v/>
      </c>
      <c r="CH53" s="50" t="str">
        <f ca="1">IF(AND(ISNUMBER(CS!E53),ISNUMBER(CS!F53)),CONCATENATE(CH$10,CI$10),"")</f>
        <v/>
      </c>
      <c r="CI53" s="50" t="str">
        <f ca="1">IF(AND(ISNUMBER(CS!F53),ISNUMBER(CS!G53)),CONCATENATE(CI$10,CJ$10),"")</f>
        <v/>
      </c>
      <c r="CJ53" s="50" t="str">
        <f ca="1">IF(AND(ISNUMBER(CS!G53),ISNUMBER(CS!H53)),CONCATENATE(CJ$10,CK$10),"")</f>
        <v/>
      </c>
      <c r="CK53" s="50" t="str">
        <f ca="1">IF(AND(ISNUMBER(CS!H53),ISNUMBER(CS!I53)),CONCATENATE(CK$10,CL$10),"")</f>
        <v/>
      </c>
      <c r="CL53" s="50" t="str">
        <f ca="1">IF(AND(ISNUMBER(CS!I53),ISNUMBER(CS!J53)),CONCATENATE(CL$10,CM$10),"")</f>
        <v/>
      </c>
      <c r="CM53" s="50" t="str">
        <f ca="1">IF(AND(ISNUMBER(CS!J53),ISNUMBER(CS!K53)),CONCATENATE(CM$10,CN$10),"")</f>
        <v/>
      </c>
      <c r="CN53" s="50" t="str">
        <f ca="1">IF(AND(ISNUMBER(CS!K53),ISNUMBER(CS!L53)),CONCATENATE(CN$10,CO$10),"")</f>
        <v/>
      </c>
      <c r="CO53" s="50" t="str">
        <f ca="1">IF(AND(ISNUMBER(CS!L53),ISNUMBER(CS!M53)),CONCATENATE(CO$10,CP$10),"")</f>
        <v/>
      </c>
      <c r="CP53" s="50" t="str">
        <f ca="1">IF(AND(ISNUMBER(CS!M53),ISNUMBER(CS!N53)),CONCATENATE(CP$10,CQ$10),"")</f>
        <v/>
      </c>
      <c r="CQ53" s="50" t="str">
        <f ca="1">IF(AND(ISNUMBER(CS!N53),ISNUMBER(CS!O53)),CONCATENATE(CQ$10,CR$10),"")</f>
        <v/>
      </c>
      <c r="CR53" s="50" t="str">
        <f ca="1">IF(AND(ISNUMBER(CS!O53),ISNUMBER(CS!P53)),CONCATENATE(CR$10,CS$10),"")</f>
        <v/>
      </c>
      <c r="CS53" s="50" t="str">
        <f ca="1">IF(AND(ISNUMBER(CS!P53),ISNUMBER(CS!Q53)),CONCATENATE(CS$10,CT$10),"")</f>
        <v/>
      </c>
      <c r="CT53" s="50" t="str">
        <f ca="1">IF(AND(ISNUMBER(CS!Q53),ISNUMBER(CS!R53)),CONCATENATE(CT$10,CU$10),"")</f>
        <v/>
      </c>
      <c r="CU53" s="50" t="str">
        <f ca="1">IF(AND(ISNUMBER(CS!R53),ISNUMBER(CS!S53)),CONCATENATE(CU$10,CV$10),"")</f>
        <v/>
      </c>
      <c r="CV53" s="50" t="str">
        <f ca="1">IF(AND(ISNUMBER(CS!S53),ISNUMBER(CS!T53)),CONCATENATE(CV$10,CW$10),"")</f>
        <v/>
      </c>
      <c r="CW53" s="50" t="str">
        <f ca="1">IF(AND(ISNUMBER(CS!T53),ISNUMBER(CS!U53)),CONCATENATE(CW$10,CX$10),"")</f>
        <v/>
      </c>
      <c r="CX53" s="50" t="str">
        <f ca="1">IF(AND(ISNUMBER(CS!U53),ISNUMBER(CS!V53)),CONCATENATE(CX$10,CY$10),"")</f>
        <v/>
      </c>
      <c r="CY53" s="50" t="str">
        <f ca="1">IF(AND(ISNUMBER(CS!V53),ISNUMBER(CS!W53)),CONCATENATE(CY$10,CZ$10),"")</f>
        <v/>
      </c>
      <c r="CZ53" s="50" t="str">
        <f ca="1">IF(AND(ISNUMBER(CS!W53),ISNUMBER(CS!X53)),CONCATENATE(CZ$10,DA$10),"")</f>
        <v/>
      </c>
      <c r="DA53" s="50" t="str">
        <f ca="1">IF(AND(ISNUMBER(CS!X53),ISNUMBER(CS!Y53)),CONCATENATE(DA$10,DB$10),"")</f>
        <v/>
      </c>
      <c r="DB53" s="50" t="str">
        <f ca="1">IF(AND(ISNUMBER(CS!Y53),ISNUMBER(CS!Z53)),CONCATENATE(DB$10,DC$10),"")</f>
        <v/>
      </c>
      <c r="DC53" s="50" t="str">
        <f ca="1">IF(AND(ISNUMBER(CS!Z53),ISNUMBER(CS!AA53)),CONCATENATE(DC$10,DD$10),"")</f>
        <v/>
      </c>
      <c r="DD53" s="50" t="str">
        <f ca="1">IF(AND(ISNUMBER(CS!AA53),ISNUMBER(CS!AB53)),CONCATENATE(DD$10,DE$10),"")</f>
        <v/>
      </c>
      <c r="DE53" s="50" t="str">
        <f ca="1">IF(AND(ISNUMBER(CS!AB53),ISNUMBER(CS!AC53)),CONCATENATE(DE$10,DF$10),"")</f>
        <v/>
      </c>
      <c r="DF53" s="50" t="str">
        <f ca="1">IF(AND(ISNUMBER(CS!AC53),ISNUMBER(CS!AD53)),CONCATENATE(DF$10,DG$10),"")</f>
        <v/>
      </c>
      <c r="DG53" s="50" t="str">
        <f ca="1">IF(AND(ISNUMBER(CS!AD53),ISNUMBER(CS!AE53)),CONCATENATE(DG$10,DH$10),"")</f>
        <v/>
      </c>
      <c r="DH53" s="50" t="str">
        <f ca="1">IF(AND(ISNUMBER(CS!AE53),ISNUMBER(CS!AF53)),CONCATENATE(DH$10,DI$10),"")</f>
        <v/>
      </c>
      <c r="DI53" s="50" t="str">
        <f ca="1">IF(AND(ISNUMBER(CS!AF53),ISNUMBER(CS!AG53)),CONCATENATE(DI$10,DJ$10),"")</f>
        <v/>
      </c>
      <c r="DJ53" s="50" t="str">
        <f ca="1">IF(AND(ISNUMBER(CS!AG53),ISNUMBER(CS!AH53)),CONCATENATE(DJ$10,DK$10),"")</f>
        <v/>
      </c>
      <c r="DK53" s="50" t="str">
        <f ca="1">IF(AND(ISNUMBER(CS!AH53),ISNUMBER(CS!AI53)),CONCATENATE(DK$10,DL$10),"")</f>
        <v/>
      </c>
      <c r="DL53" s="50" t="str">
        <f ca="1">IF(AND(ISNUMBER(CS!AI53),ISNUMBER(CS!AJ53)),CONCATENATE(DL$10,DM$10),"")</f>
        <v/>
      </c>
      <c r="DM53" s="50" t="str">
        <f ca="1">IF(AND(ISNUMBER(CS!AJ53),ISNUMBER(CS!AK53)),CONCATENATE(DM$10,DN$10),"")</f>
        <v/>
      </c>
      <c r="DN53" s="50" t="str">
        <f ca="1">IF(AND(ISNUMBER(CS!AK53),ISNUMBER(CS!AL53)),CONCATENATE(DN$10,DO$10),"")</f>
        <v/>
      </c>
      <c r="DO53" s="50" t="str">
        <f ca="1">IF(AND(ISNUMBER(CS!AL53),ISNUMBER(CS!AM53)),CONCATENATE(DO$10,DP$10),"")</f>
        <v/>
      </c>
      <c r="DP53" s="50" t="str">
        <f ca="1">IF(AND(ISNUMBER(CS!AM53),ISNUMBER(CS!AN53)),CONCATENATE(DP$10,DQ$10),"")</f>
        <v/>
      </c>
      <c r="DQ53" s="50" t="str">
        <f ca="1">IF(AND(ISNUMBER(CS!AN53),ISNUMBER(CS!AO53)),CONCATENATE(DQ$10,DR$10),"")</f>
        <v/>
      </c>
      <c r="DR53" s="50" t="str">
        <f ca="1">IF(AND(ISNUMBER(CS!AO53),ISNUMBER(CS!AP53)),CONCATENATE(DR$10,DS$10),"")</f>
        <v/>
      </c>
      <c r="DS53" s="50" t="str">
        <f ca="1">IF(AND(ISNUMBER(CS!AP53),ISNUMBER(CS!AQ53)),CONCATENATE(DS$10,DT$10),"")</f>
        <v/>
      </c>
      <c r="DT53" s="63">
        <f>DrawFinder!Y53</f>
        <v>0</v>
      </c>
    </row>
    <row r="54" spans="2:124">
      <c r="B54" s="393" t="str">
        <f ca="1">TmOrderLU!D54</f>
        <v/>
      </c>
      <c r="C54" s="63" t="str">
        <f ca="1">IF(ISNUMBER(CS!C54),C$10,"")</f>
        <v/>
      </c>
      <c r="D54" s="63" t="str">
        <f ca="1">IF(ISNUMBER(CS!D54),D$10,"")</f>
        <v/>
      </c>
      <c r="E54" s="63" t="str">
        <f ca="1">IF(ISNUMBER(CS!E54),E$10,"")</f>
        <v/>
      </c>
      <c r="F54" s="63" t="str">
        <f ca="1">IF(ISNUMBER(CS!F54),F$10,"")</f>
        <v/>
      </c>
      <c r="G54" s="63" t="str">
        <f ca="1">IF(ISNUMBER(CS!G54),G$10,"")</f>
        <v/>
      </c>
      <c r="H54" s="63" t="str">
        <f ca="1">IF(ISNUMBER(CS!H54),H$10,"")</f>
        <v/>
      </c>
      <c r="I54" s="63" t="str">
        <f ca="1">IF(ISNUMBER(CS!I54),I$10,"")</f>
        <v/>
      </c>
      <c r="J54" s="63" t="str">
        <f ca="1">IF(ISNUMBER(CS!J54),J$10,"")</f>
        <v/>
      </c>
      <c r="K54" s="63" t="str">
        <f ca="1">IF(ISNUMBER(CS!K54),K$10,"")</f>
        <v/>
      </c>
      <c r="L54" s="63" t="str">
        <f ca="1">IF(ISNUMBER(CS!L54),L$10,"")</f>
        <v/>
      </c>
      <c r="M54" s="63" t="str">
        <f ca="1">IF(ISNUMBER(CS!M54),M$10,"")</f>
        <v/>
      </c>
      <c r="N54" s="63" t="str">
        <f ca="1">IF(ISNUMBER(CS!N54),N$10,"")</f>
        <v/>
      </c>
      <c r="O54" s="63" t="str">
        <f ca="1">IF(ISNUMBER(CS!O54),O$10,"")</f>
        <v/>
      </c>
      <c r="P54" s="63" t="str">
        <f ca="1">IF(ISNUMBER(CS!P54),P$10,"")</f>
        <v/>
      </c>
      <c r="Q54" s="63" t="str">
        <f ca="1">IF(ISNUMBER(CS!Q54),Q$10,"")</f>
        <v/>
      </c>
      <c r="R54" s="63" t="str">
        <f ca="1">IF(ISNUMBER(CS!R54),R$10,"")</f>
        <v/>
      </c>
      <c r="S54" s="63" t="str">
        <f ca="1">IF(ISNUMBER(CS!S54),S$10,"")</f>
        <v/>
      </c>
      <c r="T54" s="63" t="str">
        <f ca="1">IF(ISNUMBER(CS!T54),T$10,"")</f>
        <v/>
      </c>
      <c r="U54" s="63" t="str">
        <f ca="1">IF(ISNUMBER(CS!U54),U$10,"")</f>
        <v/>
      </c>
      <c r="V54" s="63" t="str">
        <f ca="1">IF(ISNUMBER(CS!V54),V$10,"")</f>
        <v/>
      </c>
      <c r="W54" s="63" t="str">
        <f ca="1">IF(ISNUMBER(CS!W54),W$10,"")</f>
        <v/>
      </c>
      <c r="X54" s="63" t="str">
        <f ca="1">IF(ISNUMBER(CS!X54),X$10,"")</f>
        <v/>
      </c>
      <c r="Y54" s="63" t="str">
        <f ca="1">IF(ISNUMBER(CS!Y54),Y$10,"")</f>
        <v/>
      </c>
      <c r="Z54" s="63" t="str">
        <f ca="1">IF(ISNUMBER(CS!Z54),Z$10,"")</f>
        <v/>
      </c>
      <c r="AA54" s="63" t="str">
        <f ca="1">IF(ISNUMBER(CS!AA54),AA$10,"")</f>
        <v/>
      </c>
      <c r="AB54" s="63" t="str">
        <f ca="1">IF(ISNUMBER(CS!AB54),AB$10,"")</f>
        <v/>
      </c>
      <c r="AC54" s="63" t="str">
        <f ca="1">IF(ISNUMBER(CS!AC54),AC$10,"")</f>
        <v/>
      </c>
      <c r="AD54" s="63" t="str">
        <f ca="1">IF(ISNUMBER(CS!AD54),AD$10,"")</f>
        <v/>
      </c>
      <c r="AE54" s="63" t="str">
        <f ca="1">IF(ISNUMBER(CS!AE54),AE$10,"")</f>
        <v/>
      </c>
      <c r="AF54" s="63" t="str">
        <f ca="1">IF(ISNUMBER(CS!AF54),AF$10,"")</f>
        <v/>
      </c>
      <c r="AG54" s="63" t="str">
        <f ca="1">IF(ISNUMBER(CS!AG54),AG$10,"")</f>
        <v/>
      </c>
      <c r="AH54" s="63" t="str">
        <f ca="1">IF(ISNUMBER(CS!AH54),AH$10,"")</f>
        <v/>
      </c>
      <c r="AI54" s="63" t="str">
        <f ca="1">IF(ISNUMBER(CS!AI54),AI$10,"")</f>
        <v/>
      </c>
      <c r="AJ54" s="63" t="str">
        <f ca="1">IF(ISNUMBER(CS!AJ54),AJ$10,"")</f>
        <v/>
      </c>
      <c r="AK54" s="63" t="str">
        <f ca="1">IF(ISNUMBER(CS!AK54),AK$10,"")</f>
        <v/>
      </c>
      <c r="AL54" s="63" t="str">
        <f ca="1">IF(ISNUMBER(CS!AL54),AL$10,"")</f>
        <v/>
      </c>
      <c r="AM54" s="63" t="str">
        <f ca="1">IF(ISNUMBER(CS!AM54),AM$10,"")</f>
        <v/>
      </c>
      <c r="AN54" s="63" t="str">
        <f ca="1">IF(ISNUMBER(CS!AN54),AN$10,"")</f>
        <v/>
      </c>
      <c r="AO54" s="63" t="str">
        <f ca="1">IF(ISNUMBER(CS!AO54),AO$10,"")</f>
        <v/>
      </c>
      <c r="AP54" s="414" t="str">
        <f ca="1">IF(ISNUMBER(CS!AP54),AP$10,"")</f>
        <v/>
      </c>
      <c r="AS54" s="4" t="str">
        <f t="shared" ca="1" si="11"/>
        <v/>
      </c>
      <c r="AU54" s="417" t="str">
        <f t="shared" ca="1" si="8"/>
        <v/>
      </c>
      <c r="AV54" s="210" t="str">
        <f t="shared" ca="1" si="8"/>
        <v/>
      </c>
      <c r="AW54" s="210" t="str">
        <f t="shared" ca="1" si="8"/>
        <v/>
      </c>
      <c r="AX54" s="210" t="str">
        <f t="shared" ca="1" si="8"/>
        <v/>
      </c>
      <c r="AY54" s="414" t="str">
        <f t="shared" ca="1" si="8"/>
        <v/>
      </c>
      <c r="BA54" s="417" t="str">
        <f t="shared" ca="1" si="16"/>
        <v/>
      </c>
      <c r="BB54" s="210" t="str">
        <f t="shared" ca="1" si="16"/>
        <v/>
      </c>
      <c r="BC54" s="210" t="str">
        <f t="shared" ca="1" si="16"/>
        <v/>
      </c>
      <c r="BD54" s="210" t="str">
        <f t="shared" ca="1" si="16"/>
        <v/>
      </c>
      <c r="BE54" s="210" t="str">
        <f t="shared" ca="1" si="16"/>
        <v/>
      </c>
      <c r="BF54" s="210" t="str">
        <f t="shared" ca="1" si="16"/>
        <v/>
      </c>
      <c r="BG54" s="210" t="str">
        <f t="shared" ca="1" si="16"/>
        <v/>
      </c>
      <c r="BH54" s="210" t="str">
        <f t="shared" ca="1" si="16"/>
        <v/>
      </c>
      <c r="BI54" s="210" t="str">
        <f t="shared" ca="1" si="16"/>
        <v/>
      </c>
      <c r="BJ54" s="210" t="str">
        <f t="shared" ca="1" si="16"/>
        <v/>
      </c>
      <c r="BK54" s="210" t="str">
        <f t="shared" ca="1" si="16"/>
        <v/>
      </c>
      <c r="BL54" s="210" t="str">
        <f t="shared" ca="1" si="16"/>
        <v/>
      </c>
      <c r="BM54" s="210" t="str">
        <f t="shared" ca="1" si="16"/>
        <v/>
      </c>
      <c r="BN54" s="210" t="str">
        <f t="shared" ca="1" si="16"/>
        <v/>
      </c>
      <c r="BO54" s="210" t="str">
        <f t="shared" ca="1" si="16"/>
        <v/>
      </c>
      <c r="BP54" s="210" t="str">
        <f t="shared" ca="1" si="16"/>
        <v/>
      </c>
      <c r="BQ54" s="414" t="str">
        <f t="shared" ca="1" si="17"/>
        <v/>
      </c>
      <c r="BS54" s="417" t="str">
        <f t="shared" ca="1" si="18"/>
        <v/>
      </c>
      <c r="BT54" s="210" t="str">
        <f t="shared" ca="1" si="18"/>
        <v/>
      </c>
      <c r="BU54" s="210" t="str">
        <f t="shared" ca="1" si="18"/>
        <v/>
      </c>
      <c r="BV54" s="210" t="str">
        <f t="shared" ca="1" si="18"/>
        <v/>
      </c>
      <c r="BW54" s="210" t="str">
        <f t="shared" ca="1" si="18"/>
        <v/>
      </c>
      <c r="BX54" s="210" t="str">
        <f t="shared" ca="1" si="18"/>
        <v/>
      </c>
      <c r="BY54" s="210" t="str">
        <f t="shared" ca="1" si="18"/>
        <v/>
      </c>
      <c r="BZ54" s="210" t="str">
        <f t="shared" ca="1" si="18"/>
        <v/>
      </c>
      <c r="CA54" s="210" t="str">
        <f t="shared" ca="1" si="18"/>
        <v/>
      </c>
      <c r="CB54" s="396" t="str">
        <f t="shared" ca="1" si="18"/>
        <v/>
      </c>
      <c r="CC54" s="68"/>
      <c r="CD54" s="419" t="e">
        <f t="shared" ca="1" si="15"/>
        <v>#N/A</v>
      </c>
      <c r="CF54" s="50" t="str">
        <f ca="1">IF(AND(ISNUMBER(CS!C54),ISNUMBER(CS!D54)),CONCATENATE(CF$10,CG$10),"")</f>
        <v/>
      </c>
      <c r="CG54" s="50" t="str">
        <f ca="1">IF(AND(ISNUMBER(CS!D54),ISNUMBER(CS!E54)),CONCATENATE(CG$10,CH$10),"")</f>
        <v/>
      </c>
      <c r="CH54" s="50" t="str">
        <f ca="1">IF(AND(ISNUMBER(CS!E54),ISNUMBER(CS!F54)),CONCATENATE(CH$10,CI$10),"")</f>
        <v/>
      </c>
      <c r="CI54" s="50" t="str">
        <f ca="1">IF(AND(ISNUMBER(CS!F54),ISNUMBER(CS!G54)),CONCATENATE(CI$10,CJ$10),"")</f>
        <v/>
      </c>
      <c r="CJ54" s="50" t="str">
        <f ca="1">IF(AND(ISNUMBER(CS!G54),ISNUMBER(CS!H54)),CONCATENATE(CJ$10,CK$10),"")</f>
        <v/>
      </c>
      <c r="CK54" s="50" t="str">
        <f ca="1">IF(AND(ISNUMBER(CS!H54),ISNUMBER(CS!I54)),CONCATENATE(CK$10,CL$10),"")</f>
        <v/>
      </c>
      <c r="CL54" s="50" t="str">
        <f ca="1">IF(AND(ISNUMBER(CS!I54),ISNUMBER(CS!J54)),CONCATENATE(CL$10,CM$10),"")</f>
        <v/>
      </c>
      <c r="CM54" s="50" t="str">
        <f ca="1">IF(AND(ISNUMBER(CS!J54),ISNUMBER(CS!K54)),CONCATENATE(CM$10,CN$10),"")</f>
        <v/>
      </c>
      <c r="CN54" s="50" t="str">
        <f ca="1">IF(AND(ISNUMBER(CS!K54),ISNUMBER(CS!L54)),CONCATENATE(CN$10,CO$10),"")</f>
        <v/>
      </c>
      <c r="CO54" s="50" t="str">
        <f ca="1">IF(AND(ISNUMBER(CS!L54),ISNUMBER(CS!M54)),CONCATENATE(CO$10,CP$10),"")</f>
        <v/>
      </c>
      <c r="CP54" s="50" t="str">
        <f ca="1">IF(AND(ISNUMBER(CS!M54),ISNUMBER(CS!N54)),CONCATENATE(CP$10,CQ$10),"")</f>
        <v/>
      </c>
      <c r="CQ54" s="50" t="str">
        <f ca="1">IF(AND(ISNUMBER(CS!N54),ISNUMBER(CS!O54)),CONCATENATE(CQ$10,CR$10),"")</f>
        <v/>
      </c>
      <c r="CR54" s="50" t="str">
        <f ca="1">IF(AND(ISNUMBER(CS!O54),ISNUMBER(CS!P54)),CONCATENATE(CR$10,CS$10),"")</f>
        <v/>
      </c>
      <c r="CS54" s="50" t="str">
        <f ca="1">IF(AND(ISNUMBER(CS!P54),ISNUMBER(CS!Q54)),CONCATENATE(CS$10,CT$10),"")</f>
        <v/>
      </c>
      <c r="CT54" s="50" t="str">
        <f ca="1">IF(AND(ISNUMBER(CS!Q54),ISNUMBER(CS!R54)),CONCATENATE(CT$10,CU$10),"")</f>
        <v/>
      </c>
      <c r="CU54" s="50" t="str">
        <f ca="1">IF(AND(ISNUMBER(CS!R54),ISNUMBER(CS!S54)),CONCATENATE(CU$10,CV$10),"")</f>
        <v/>
      </c>
      <c r="CV54" s="50" t="str">
        <f ca="1">IF(AND(ISNUMBER(CS!S54),ISNUMBER(CS!T54)),CONCATENATE(CV$10,CW$10),"")</f>
        <v/>
      </c>
      <c r="CW54" s="50" t="str">
        <f ca="1">IF(AND(ISNUMBER(CS!T54),ISNUMBER(CS!U54)),CONCATENATE(CW$10,CX$10),"")</f>
        <v/>
      </c>
      <c r="CX54" s="50" t="str">
        <f ca="1">IF(AND(ISNUMBER(CS!U54),ISNUMBER(CS!V54)),CONCATENATE(CX$10,CY$10),"")</f>
        <v/>
      </c>
      <c r="CY54" s="50" t="str">
        <f ca="1">IF(AND(ISNUMBER(CS!V54),ISNUMBER(CS!W54)),CONCATENATE(CY$10,CZ$10),"")</f>
        <v/>
      </c>
      <c r="CZ54" s="50" t="str">
        <f ca="1">IF(AND(ISNUMBER(CS!W54),ISNUMBER(CS!X54)),CONCATENATE(CZ$10,DA$10),"")</f>
        <v/>
      </c>
      <c r="DA54" s="50" t="str">
        <f ca="1">IF(AND(ISNUMBER(CS!X54),ISNUMBER(CS!Y54)),CONCATENATE(DA$10,DB$10),"")</f>
        <v/>
      </c>
      <c r="DB54" s="50" t="str">
        <f ca="1">IF(AND(ISNUMBER(CS!Y54),ISNUMBER(CS!Z54)),CONCATENATE(DB$10,DC$10),"")</f>
        <v/>
      </c>
      <c r="DC54" s="50" t="str">
        <f ca="1">IF(AND(ISNUMBER(CS!Z54),ISNUMBER(CS!AA54)),CONCATENATE(DC$10,DD$10),"")</f>
        <v/>
      </c>
      <c r="DD54" s="50" t="str">
        <f ca="1">IF(AND(ISNUMBER(CS!AA54),ISNUMBER(CS!AB54)),CONCATENATE(DD$10,DE$10),"")</f>
        <v/>
      </c>
      <c r="DE54" s="50" t="str">
        <f ca="1">IF(AND(ISNUMBER(CS!AB54),ISNUMBER(CS!AC54)),CONCATENATE(DE$10,DF$10),"")</f>
        <v/>
      </c>
      <c r="DF54" s="50" t="str">
        <f ca="1">IF(AND(ISNUMBER(CS!AC54),ISNUMBER(CS!AD54)),CONCATENATE(DF$10,DG$10),"")</f>
        <v/>
      </c>
      <c r="DG54" s="50" t="str">
        <f ca="1">IF(AND(ISNUMBER(CS!AD54),ISNUMBER(CS!AE54)),CONCATENATE(DG$10,DH$10),"")</f>
        <v/>
      </c>
      <c r="DH54" s="50" t="str">
        <f ca="1">IF(AND(ISNUMBER(CS!AE54),ISNUMBER(CS!AF54)),CONCATENATE(DH$10,DI$10),"")</f>
        <v/>
      </c>
      <c r="DI54" s="50" t="str">
        <f ca="1">IF(AND(ISNUMBER(CS!AF54),ISNUMBER(CS!AG54)),CONCATENATE(DI$10,DJ$10),"")</f>
        <v/>
      </c>
      <c r="DJ54" s="50" t="str">
        <f ca="1">IF(AND(ISNUMBER(CS!AG54),ISNUMBER(CS!AH54)),CONCATENATE(DJ$10,DK$10),"")</f>
        <v/>
      </c>
      <c r="DK54" s="50" t="str">
        <f ca="1">IF(AND(ISNUMBER(CS!AH54),ISNUMBER(CS!AI54)),CONCATENATE(DK$10,DL$10),"")</f>
        <v/>
      </c>
      <c r="DL54" s="50" t="str">
        <f ca="1">IF(AND(ISNUMBER(CS!AI54),ISNUMBER(CS!AJ54)),CONCATENATE(DL$10,DM$10),"")</f>
        <v/>
      </c>
      <c r="DM54" s="50" t="str">
        <f ca="1">IF(AND(ISNUMBER(CS!AJ54),ISNUMBER(CS!AK54)),CONCATENATE(DM$10,DN$10),"")</f>
        <v/>
      </c>
      <c r="DN54" s="50" t="str">
        <f ca="1">IF(AND(ISNUMBER(CS!AK54),ISNUMBER(CS!AL54)),CONCATENATE(DN$10,DO$10),"")</f>
        <v/>
      </c>
      <c r="DO54" s="50" t="str">
        <f ca="1">IF(AND(ISNUMBER(CS!AL54),ISNUMBER(CS!AM54)),CONCATENATE(DO$10,DP$10),"")</f>
        <v/>
      </c>
      <c r="DP54" s="50" t="str">
        <f ca="1">IF(AND(ISNUMBER(CS!AM54),ISNUMBER(CS!AN54)),CONCATENATE(DP$10,DQ$10),"")</f>
        <v/>
      </c>
      <c r="DQ54" s="50" t="str">
        <f ca="1">IF(AND(ISNUMBER(CS!AN54),ISNUMBER(CS!AO54)),CONCATENATE(DQ$10,DR$10),"")</f>
        <v/>
      </c>
      <c r="DR54" s="50" t="str">
        <f ca="1">IF(AND(ISNUMBER(CS!AO54),ISNUMBER(CS!AP54)),CONCATENATE(DR$10,DS$10),"")</f>
        <v/>
      </c>
      <c r="DS54" s="50" t="str">
        <f ca="1">IF(AND(ISNUMBER(CS!AP54),ISNUMBER(CS!AQ54)),CONCATENATE(DS$10,DT$10),"")</f>
        <v/>
      </c>
      <c r="DT54" s="63">
        <f>DrawFinder!Y54</f>
        <v>0</v>
      </c>
    </row>
    <row r="55" spans="2:124">
      <c r="B55" s="393" t="str">
        <f ca="1">TmOrderLU!D55</f>
        <v/>
      </c>
      <c r="C55" s="63" t="str">
        <f ca="1">IF(ISNUMBER(CS!C55),C$10,"")</f>
        <v/>
      </c>
      <c r="D55" s="63" t="str">
        <f ca="1">IF(ISNUMBER(CS!D55),D$10,"")</f>
        <v/>
      </c>
      <c r="E55" s="63" t="str">
        <f ca="1">IF(ISNUMBER(CS!E55),E$10,"")</f>
        <v/>
      </c>
      <c r="F55" s="63" t="str">
        <f ca="1">IF(ISNUMBER(CS!F55),F$10,"")</f>
        <v/>
      </c>
      <c r="G55" s="63" t="str">
        <f ca="1">IF(ISNUMBER(CS!G55),G$10,"")</f>
        <v/>
      </c>
      <c r="H55" s="63" t="str">
        <f ca="1">IF(ISNUMBER(CS!H55),H$10,"")</f>
        <v/>
      </c>
      <c r="I55" s="63" t="str">
        <f ca="1">IF(ISNUMBER(CS!I55),I$10,"")</f>
        <v/>
      </c>
      <c r="J55" s="63" t="str">
        <f ca="1">IF(ISNUMBER(CS!J55),J$10,"")</f>
        <v/>
      </c>
      <c r="K55" s="63" t="str">
        <f ca="1">IF(ISNUMBER(CS!K55),K$10,"")</f>
        <v/>
      </c>
      <c r="L55" s="63" t="str">
        <f ca="1">IF(ISNUMBER(CS!L55),L$10,"")</f>
        <v/>
      </c>
      <c r="M55" s="63" t="str">
        <f ca="1">IF(ISNUMBER(CS!M55),M$10,"")</f>
        <v/>
      </c>
      <c r="N55" s="63" t="str">
        <f ca="1">IF(ISNUMBER(CS!N55),N$10,"")</f>
        <v/>
      </c>
      <c r="O55" s="63" t="str">
        <f ca="1">IF(ISNUMBER(CS!O55),O$10,"")</f>
        <v/>
      </c>
      <c r="P55" s="63" t="str">
        <f ca="1">IF(ISNUMBER(CS!P55),P$10,"")</f>
        <v/>
      </c>
      <c r="Q55" s="63" t="str">
        <f ca="1">IF(ISNUMBER(CS!Q55),Q$10,"")</f>
        <v/>
      </c>
      <c r="R55" s="63" t="str">
        <f ca="1">IF(ISNUMBER(CS!R55),R$10,"")</f>
        <v/>
      </c>
      <c r="S55" s="63" t="str">
        <f ca="1">IF(ISNUMBER(CS!S55),S$10,"")</f>
        <v/>
      </c>
      <c r="T55" s="63" t="str">
        <f ca="1">IF(ISNUMBER(CS!T55),T$10,"")</f>
        <v/>
      </c>
      <c r="U55" s="63" t="str">
        <f ca="1">IF(ISNUMBER(CS!U55),U$10,"")</f>
        <v/>
      </c>
      <c r="V55" s="63" t="str">
        <f ca="1">IF(ISNUMBER(CS!V55),V$10,"")</f>
        <v/>
      </c>
      <c r="W55" s="63" t="str">
        <f ca="1">IF(ISNUMBER(CS!W55),W$10,"")</f>
        <v/>
      </c>
      <c r="X55" s="63" t="str">
        <f ca="1">IF(ISNUMBER(CS!X55),X$10,"")</f>
        <v/>
      </c>
      <c r="Y55" s="63" t="str">
        <f ca="1">IF(ISNUMBER(CS!Y55),Y$10,"")</f>
        <v/>
      </c>
      <c r="Z55" s="63" t="str">
        <f ca="1">IF(ISNUMBER(CS!Z55),Z$10,"")</f>
        <v/>
      </c>
      <c r="AA55" s="63" t="str">
        <f ca="1">IF(ISNUMBER(CS!AA55),AA$10,"")</f>
        <v/>
      </c>
      <c r="AB55" s="63" t="str">
        <f ca="1">IF(ISNUMBER(CS!AB55),AB$10,"")</f>
        <v/>
      </c>
      <c r="AC55" s="63" t="str">
        <f ca="1">IF(ISNUMBER(CS!AC55),AC$10,"")</f>
        <v/>
      </c>
      <c r="AD55" s="63" t="str">
        <f ca="1">IF(ISNUMBER(CS!AD55),AD$10,"")</f>
        <v/>
      </c>
      <c r="AE55" s="63" t="str">
        <f ca="1">IF(ISNUMBER(CS!AE55),AE$10,"")</f>
        <v/>
      </c>
      <c r="AF55" s="63" t="str">
        <f ca="1">IF(ISNUMBER(CS!AF55),AF$10,"")</f>
        <v/>
      </c>
      <c r="AG55" s="63" t="str">
        <f ca="1">IF(ISNUMBER(CS!AG55),AG$10,"")</f>
        <v/>
      </c>
      <c r="AH55" s="63" t="str">
        <f ca="1">IF(ISNUMBER(CS!AH55),AH$10,"")</f>
        <v/>
      </c>
      <c r="AI55" s="63" t="str">
        <f ca="1">IF(ISNUMBER(CS!AI55),AI$10,"")</f>
        <v/>
      </c>
      <c r="AJ55" s="63" t="str">
        <f ca="1">IF(ISNUMBER(CS!AJ55),AJ$10,"")</f>
        <v/>
      </c>
      <c r="AK55" s="63" t="str">
        <f ca="1">IF(ISNUMBER(CS!AK55),AK$10,"")</f>
        <v/>
      </c>
      <c r="AL55" s="63" t="str">
        <f ca="1">IF(ISNUMBER(CS!AL55),AL$10,"")</f>
        <v/>
      </c>
      <c r="AM55" s="63" t="str">
        <f ca="1">IF(ISNUMBER(CS!AM55),AM$10,"")</f>
        <v/>
      </c>
      <c r="AN55" s="63" t="str">
        <f ca="1">IF(ISNUMBER(CS!AN55),AN$10,"")</f>
        <v/>
      </c>
      <c r="AO55" s="63" t="str">
        <f ca="1">IF(ISNUMBER(CS!AO55),AO$10,"")</f>
        <v/>
      </c>
      <c r="AP55" s="414" t="str">
        <f ca="1">IF(ISNUMBER(CS!AP55),AP$10,"")</f>
        <v/>
      </c>
      <c r="AS55" s="4" t="str">
        <f t="shared" ca="1" si="11"/>
        <v/>
      </c>
      <c r="AU55" s="417" t="str">
        <f t="shared" ca="1" si="8"/>
        <v/>
      </c>
      <c r="AV55" s="210" t="str">
        <f t="shared" ca="1" si="8"/>
        <v/>
      </c>
      <c r="AW55" s="210" t="str">
        <f t="shared" ca="1" si="8"/>
        <v/>
      </c>
      <c r="AX55" s="210" t="str">
        <f t="shared" ca="1" si="8"/>
        <v/>
      </c>
      <c r="AY55" s="414" t="str">
        <f t="shared" ca="1" si="8"/>
        <v/>
      </c>
      <c r="BA55" s="417" t="str">
        <f t="shared" ca="1" si="16"/>
        <v/>
      </c>
      <c r="BB55" s="210" t="str">
        <f t="shared" ca="1" si="16"/>
        <v/>
      </c>
      <c r="BC55" s="210" t="str">
        <f t="shared" ca="1" si="16"/>
        <v/>
      </c>
      <c r="BD55" s="210" t="str">
        <f t="shared" ca="1" si="16"/>
        <v/>
      </c>
      <c r="BE55" s="210" t="str">
        <f t="shared" ca="1" si="16"/>
        <v/>
      </c>
      <c r="BF55" s="210" t="str">
        <f t="shared" ca="1" si="16"/>
        <v/>
      </c>
      <c r="BG55" s="210" t="str">
        <f t="shared" ca="1" si="16"/>
        <v/>
      </c>
      <c r="BH55" s="210" t="str">
        <f t="shared" ca="1" si="16"/>
        <v/>
      </c>
      <c r="BI55" s="210" t="str">
        <f t="shared" ca="1" si="16"/>
        <v/>
      </c>
      <c r="BJ55" s="210" t="str">
        <f t="shared" ca="1" si="16"/>
        <v/>
      </c>
      <c r="BK55" s="210" t="str">
        <f t="shared" ca="1" si="16"/>
        <v/>
      </c>
      <c r="BL55" s="210" t="str">
        <f t="shared" ca="1" si="16"/>
        <v/>
      </c>
      <c r="BM55" s="210" t="str">
        <f t="shared" ca="1" si="16"/>
        <v/>
      </c>
      <c r="BN55" s="210" t="str">
        <f t="shared" ca="1" si="16"/>
        <v/>
      </c>
      <c r="BO55" s="210" t="str">
        <f t="shared" ca="1" si="16"/>
        <v/>
      </c>
      <c r="BP55" s="210" t="str">
        <f t="shared" ca="1" si="16"/>
        <v/>
      </c>
      <c r="BQ55" s="414" t="str">
        <f t="shared" ca="1" si="17"/>
        <v/>
      </c>
      <c r="BS55" s="417" t="str">
        <f t="shared" ca="1" si="18"/>
        <v/>
      </c>
      <c r="BT55" s="210" t="str">
        <f t="shared" ca="1" si="18"/>
        <v/>
      </c>
      <c r="BU55" s="210" t="str">
        <f t="shared" ca="1" si="18"/>
        <v/>
      </c>
      <c r="BV55" s="210" t="str">
        <f t="shared" ca="1" si="18"/>
        <v/>
      </c>
      <c r="BW55" s="210" t="str">
        <f t="shared" ca="1" si="18"/>
        <v/>
      </c>
      <c r="BX55" s="210" t="str">
        <f t="shared" ca="1" si="18"/>
        <v/>
      </c>
      <c r="BY55" s="210" t="str">
        <f t="shared" ca="1" si="18"/>
        <v/>
      </c>
      <c r="BZ55" s="210" t="str">
        <f t="shared" ca="1" si="18"/>
        <v/>
      </c>
      <c r="CA55" s="210" t="str">
        <f t="shared" ca="1" si="18"/>
        <v/>
      </c>
      <c r="CB55" s="396" t="str">
        <f t="shared" ca="1" si="18"/>
        <v/>
      </c>
      <c r="CC55" s="68"/>
      <c r="CD55" s="419" t="e">
        <f t="shared" ca="1" si="15"/>
        <v>#N/A</v>
      </c>
      <c r="CF55" s="50" t="str">
        <f ca="1">IF(AND(ISNUMBER(CS!C55),ISNUMBER(CS!D55)),CONCATENATE(CF$10,CG$10),"")</f>
        <v/>
      </c>
      <c r="CG55" s="50" t="str">
        <f ca="1">IF(AND(ISNUMBER(CS!D55),ISNUMBER(CS!E55)),CONCATENATE(CG$10,CH$10),"")</f>
        <v/>
      </c>
      <c r="CH55" s="50" t="str">
        <f ca="1">IF(AND(ISNUMBER(CS!E55),ISNUMBER(CS!F55)),CONCATENATE(CH$10,CI$10),"")</f>
        <v/>
      </c>
      <c r="CI55" s="50" t="str">
        <f ca="1">IF(AND(ISNUMBER(CS!F55),ISNUMBER(CS!G55)),CONCATENATE(CI$10,CJ$10),"")</f>
        <v/>
      </c>
      <c r="CJ55" s="50" t="str">
        <f ca="1">IF(AND(ISNUMBER(CS!G55),ISNUMBER(CS!H55)),CONCATENATE(CJ$10,CK$10),"")</f>
        <v/>
      </c>
      <c r="CK55" s="50" t="str">
        <f ca="1">IF(AND(ISNUMBER(CS!H55),ISNUMBER(CS!I55)),CONCATENATE(CK$10,CL$10),"")</f>
        <v/>
      </c>
      <c r="CL55" s="50" t="str">
        <f ca="1">IF(AND(ISNUMBER(CS!I55),ISNUMBER(CS!J55)),CONCATENATE(CL$10,CM$10),"")</f>
        <v/>
      </c>
      <c r="CM55" s="50" t="str">
        <f ca="1">IF(AND(ISNUMBER(CS!J55),ISNUMBER(CS!K55)),CONCATENATE(CM$10,CN$10),"")</f>
        <v/>
      </c>
      <c r="CN55" s="50" t="str">
        <f ca="1">IF(AND(ISNUMBER(CS!K55),ISNUMBER(CS!L55)),CONCATENATE(CN$10,CO$10),"")</f>
        <v/>
      </c>
      <c r="CO55" s="50" t="str">
        <f ca="1">IF(AND(ISNUMBER(CS!L55),ISNUMBER(CS!M55)),CONCATENATE(CO$10,CP$10),"")</f>
        <v/>
      </c>
      <c r="CP55" s="50" t="str">
        <f ca="1">IF(AND(ISNUMBER(CS!M55),ISNUMBER(CS!N55)),CONCATENATE(CP$10,CQ$10),"")</f>
        <v/>
      </c>
      <c r="CQ55" s="50" t="str">
        <f ca="1">IF(AND(ISNUMBER(CS!N55),ISNUMBER(CS!O55)),CONCATENATE(CQ$10,CR$10),"")</f>
        <v/>
      </c>
      <c r="CR55" s="50" t="str">
        <f ca="1">IF(AND(ISNUMBER(CS!O55),ISNUMBER(CS!P55)),CONCATENATE(CR$10,CS$10),"")</f>
        <v/>
      </c>
      <c r="CS55" s="50" t="str">
        <f ca="1">IF(AND(ISNUMBER(CS!P55),ISNUMBER(CS!Q55)),CONCATENATE(CS$10,CT$10),"")</f>
        <v/>
      </c>
      <c r="CT55" s="50" t="str">
        <f ca="1">IF(AND(ISNUMBER(CS!Q55),ISNUMBER(CS!R55)),CONCATENATE(CT$10,CU$10),"")</f>
        <v/>
      </c>
      <c r="CU55" s="50" t="str">
        <f ca="1">IF(AND(ISNUMBER(CS!R55),ISNUMBER(CS!S55)),CONCATENATE(CU$10,CV$10),"")</f>
        <v/>
      </c>
      <c r="CV55" s="50" t="str">
        <f ca="1">IF(AND(ISNUMBER(CS!S55),ISNUMBER(CS!T55)),CONCATENATE(CV$10,CW$10),"")</f>
        <v/>
      </c>
      <c r="CW55" s="50" t="str">
        <f ca="1">IF(AND(ISNUMBER(CS!T55),ISNUMBER(CS!U55)),CONCATENATE(CW$10,CX$10),"")</f>
        <v/>
      </c>
      <c r="CX55" s="50" t="str">
        <f ca="1">IF(AND(ISNUMBER(CS!U55),ISNUMBER(CS!V55)),CONCATENATE(CX$10,CY$10),"")</f>
        <v/>
      </c>
      <c r="CY55" s="50" t="str">
        <f ca="1">IF(AND(ISNUMBER(CS!V55),ISNUMBER(CS!W55)),CONCATENATE(CY$10,CZ$10),"")</f>
        <v/>
      </c>
      <c r="CZ55" s="50" t="str">
        <f ca="1">IF(AND(ISNUMBER(CS!W55),ISNUMBER(CS!X55)),CONCATENATE(CZ$10,DA$10),"")</f>
        <v/>
      </c>
      <c r="DA55" s="50" t="str">
        <f ca="1">IF(AND(ISNUMBER(CS!X55),ISNUMBER(CS!Y55)),CONCATENATE(DA$10,DB$10),"")</f>
        <v/>
      </c>
      <c r="DB55" s="50" t="str">
        <f ca="1">IF(AND(ISNUMBER(CS!Y55),ISNUMBER(CS!Z55)),CONCATENATE(DB$10,DC$10),"")</f>
        <v/>
      </c>
      <c r="DC55" s="50" t="str">
        <f ca="1">IF(AND(ISNUMBER(CS!Z55),ISNUMBER(CS!AA55)),CONCATENATE(DC$10,DD$10),"")</f>
        <v/>
      </c>
      <c r="DD55" s="50" t="str">
        <f ca="1">IF(AND(ISNUMBER(CS!AA55),ISNUMBER(CS!AB55)),CONCATENATE(DD$10,DE$10),"")</f>
        <v/>
      </c>
      <c r="DE55" s="50" t="str">
        <f ca="1">IF(AND(ISNUMBER(CS!AB55),ISNUMBER(CS!AC55)),CONCATENATE(DE$10,DF$10),"")</f>
        <v/>
      </c>
      <c r="DF55" s="50" t="str">
        <f ca="1">IF(AND(ISNUMBER(CS!AC55),ISNUMBER(CS!AD55)),CONCATENATE(DF$10,DG$10),"")</f>
        <v/>
      </c>
      <c r="DG55" s="50" t="str">
        <f ca="1">IF(AND(ISNUMBER(CS!AD55),ISNUMBER(CS!AE55)),CONCATENATE(DG$10,DH$10),"")</f>
        <v/>
      </c>
      <c r="DH55" s="50" t="str">
        <f ca="1">IF(AND(ISNUMBER(CS!AE55),ISNUMBER(CS!AF55)),CONCATENATE(DH$10,DI$10),"")</f>
        <v/>
      </c>
      <c r="DI55" s="50" t="str">
        <f ca="1">IF(AND(ISNUMBER(CS!AF55),ISNUMBER(CS!AG55)),CONCATENATE(DI$10,DJ$10),"")</f>
        <v/>
      </c>
      <c r="DJ55" s="50" t="str">
        <f ca="1">IF(AND(ISNUMBER(CS!AG55),ISNUMBER(CS!AH55)),CONCATENATE(DJ$10,DK$10),"")</f>
        <v/>
      </c>
      <c r="DK55" s="50" t="str">
        <f ca="1">IF(AND(ISNUMBER(CS!AH55),ISNUMBER(CS!AI55)),CONCATENATE(DK$10,DL$10),"")</f>
        <v/>
      </c>
      <c r="DL55" s="50" t="str">
        <f ca="1">IF(AND(ISNUMBER(CS!AI55),ISNUMBER(CS!AJ55)),CONCATENATE(DL$10,DM$10),"")</f>
        <v/>
      </c>
      <c r="DM55" s="50" t="str">
        <f ca="1">IF(AND(ISNUMBER(CS!AJ55),ISNUMBER(CS!AK55)),CONCATENATE(DM$10,DN$10),"")</f>
        <v/>
      </c>
      <c r="DN55" s="50" t="str">
        <f ca="1">IF(AND(ISNUMBER(CS!AK55),ISNUMBER(CS!AL55)),CONCATENATE(DN$10,DO$10),"")</f>
        <v/>
      </c>
      <c r="DO55" s="50" t="str">
        <f ca="1">IF(AND(ISNUMBER(CS!AL55),ISNUMBER(CS!AM55)),CONCATENATE(DO$10,DP$10),"")</f>
        <v/>
      </c>
      <c r="DP55" s="50" t="str">
        <f ca="1">IF(AND(ISNUMBER(CS!AM55),ISNUMBER(CS!AN55)),CONCATENATE(DP$10,DQ$10),"")</f>
        <v/>
      </c>
      <c r="DQ55" s="50" t="str">
        <f ca="1">IF(AND(ISNUMBER(CS!AN55),ISNUMBER(CS!AO55)),CONCATENATE(DQ$10,DR$10),"")</f>
        <v/>
      </c>
      <c r="DR55" s="50" t="str">
        <f ca="1">IF(AND(ISNUMBER(CS!AO55),ISNUMBER(CS!AP55)),CONCATENATE(DR$10,DS$10),"")</f>
        <v/>
      </c>
      <c r="DS55" s="50" t="str">
        <f ca="1">IF(AND(ISNUMBER(CS!AP55),ISNUMBER(CS!AQ55)),CONCATENATE(DS$10,DT$10),"")</f>
        <v/>
      </c>
      <c r="DT55" s="63">
        <f>DrawFinder!Y55</f>
        <v>0</v>
      </c>
    </row>
    <row r="56" spans="2:124">
      <c r="B56" s="393" t="str">
        <f ca="1">TmOrderLU!D56</f>
        <v/>
      </c>
      <c r="C56" s="210" t="str">
        <f ca="1">IF(ISNUMBER(CS!C56),C$10,"")</f>
        <v/>
      </c>
      <c r="D56" s="210" t="str">
        <f ca="1">IF(ISNUMBER(CS!D56),D$10,"")</f>
        <v/>
      </c>
      <c r="E56" s="210" t="str">
        <f ca="1">IF(ISNUMBER(CS!E56),E$10,"")</f>
        <v/>
      </c>
      <c r="F56" s="210" t="str">
        <f ca="1">IF(ISNUMBER(CS!F56),F$10,"")</f>
        <v/>
      </c>
      <c r="G56" s="210" t="str">
        <f ca="1">IF(ISNUMBER(CS!G56),G$10,"")</f>
        <v/>
      </c>
      <c r="H56" s="210" t="str">
        <f ca="1">IF(ISNUMBER(CS!H56),H$10,"")</f>
        <v/>
      </c>
      <c r="I56" s="210" t="str">
        <f ca="1">IF(ISNUMBER(CS!I56),I$10,"")</f>
        <v/>
      </c>
      <c r="J56" s="210" t="str">
        <f ca="1">IF(ISNUMBER(CS!J56),J$10,"")</f>
        <v/>
      </c>
      <c r="K56" s="210" t="str">
        <f ca="1">IF(ISNUMBER(CS!K56),K$10,"")</f>
        <v/>
      </c>
      <c r="L56" s="210" t="str">
        <f ca="1">IF(ISNUMBER(CS!L56),L$10,"")</f>
        <v/>
      </c>
      <c r="M56" s="210" t="str">
        <f ca="1">IF(ISNUMBER(CS!M56),M$10,"")</f>
        <v/>
      </c>
      <c r="N56" s="210" t="str">
        <f ca="1">IF(ISNUMBER(CS!N56),N$10,"")</f>
        <v/>
      </c>
      <c r="O56" s="210" t="str">
        <f ca="1">IF(ISNUMBER(CS!O56),O$10,"")</f>
        <v/>
      </c>
      <c r="P56" s="210" t="str">
        <f ca="1">IF(ISNUMBER(CS!P56),P$10,"")</f>
        <v/>
      </c>
      <c r="Q56" s="210" t="str">
        <f ca="1">IF(ISNUMBER(CS!Q56),Q$10,"")</f>
        <v/>
      </c>
      <c r="R56" s="210" t="str">
        <f ca="1">IF(ISNUMBER(CS!R56),R$10,"")</f>
        <v/>
      </c>
      <c r="S56" s="210" t="str">
        <f ca="1">IF(ISNUMBER(CS!S56),S$10,"")</f>
        <v/>
      </c>
      <c r="T56" s="210" t="str">
        <f ca="1">IF(ISNUMBER(CS!T56),T$10,"")</f>
        <v/>
      </c>
      <c r="U56" s="210" t="str">
        <f ca="1">IF(ISNUMBER(CS!U56),U$10,"")</f>
        <v/>
      </c>
      <c r="V56" s="210" t="str">
        <f ca="1">IF(ISNUMBER(CS!V56),V$10,"")</f>
        <v/>
      </c>
      <c r="W56" s="210" t="str">
        <f ca="1">IF(ISNUMBER(CS!W56),W$10,"")</f>
        <v/>
      </c>
      <c r="X56" s="210" t="str">
        <f ca="1">IF(ISNUMBER(CS!X56),X$10,"")</f>
        <v/>
      </c>
      <c r="Y56" s="210" t="str">
        <f ca="1">IF(ISNUMBER(CS!Y56),Y$10,"")</f>
        <v/>
      </c>
      <c r="Z56" s="210" t="str">
        <f ca="1">IF(ISNUMBER(CS!Z56),Z$10,"")</f>
        <v/>
      </c>
      <c r="AA56" s="210" t="str">
        <f ca="1">IF(ISNUMBER(CS!AA56),AA$10,"")</f>
        <v/>
      </c>
      <c r="AB56" s="210" t="str">
        <f ca="1">IF(ISNUMBER(CS!AB56),AB$10,"")</f>
        <v/>
      </c>
      <c r="AC56" s="210" t="str">
        <f ca="1">IF(ISNUMBER(CS!AC56),AC$10,"")</f>
        <v/>
      </c>
      <c r="AD56" s="210" t="str">
        <f ca="1">IF(ISNUMBER(CS!AD56),AD$10,"")</f>
        <v/>
      </c>
      <c r="AE56" s="210" t="str">
        <f ca="1">IF(ISNUMBER(CS!AE56),AE$10,"")</f>
        <v/>
      </c>
      <c r="AF56" s="210" t="str">
        <f ca="1">IF(ISNUMBER(CS!AF56),AF$10,"")</f>
        <v/>
      </c>
      <c r="AG56" s="210" t="str">
        <f ca="1">IF(ISNUMBER(CS!AG56),AG$10,"")</f>
        <v/>
      </c>
      <c r="AH56" s="210" t="str">
        <f ca="1">IF(ISNUMBER(CS!AH56),AH$10,"")</f>
        <v/>
      </c>
      <c r="AI56" s="210" t="str">
        <f ca="1">IF(ISNUMBER(CS!AI56),AI$10,"")</f>
        <v/>
      </c>
      <c r="AJ56" s="210" t="str">
        <f ca="1">IF(ISNUMBER(CS!AJ56),AJ$10,"")</f>
        <v/>
      </c>
      <c r="AK56" s="210" t="str">
        <f ca="1">IF(ISNUMBER(CS!AK56),AK$10,"")</f>
        <v/>
      </c>
      <c r="AL56" s="210" t="str">
        <f ca="1">IF(ISNUMBER(CS!AL56),AL$10,"")</f>
        <v/>
      </c>
      <c r="AM56" s="210" t="str">
        <f ca="1">IF(ISNUMBER(CS!AM56),AM$10,"")</f>
        <v/>
      </c>
      <c r="AN56" s="210" t="str">
        <f ca="1">IF(ISNUMBER(CS!AN56),AN$10,"")</f>
        <v/>
      </c>
      <c r="AO56" s="210" t="str">
        <f ca="1">IF(ISNUMBER(CS!AO56),AO$10,"")</f>
        <v/>
      </c>
      <c r="AP56" s="414" t="str">
        <f ca="1">IF(ISNUMBER(CS!AP56),AP$10,"")</f>
        <v/>
      </c>
      <c r="AQ56" s="68"/>
      <c r="AR56" s="68"/>
      <c r="AS56" s="340" t="str">
        <f t="shared" ca="1" si="11"/>
        <v/>
      </c>
      <c r="AT56" s="68"/>
      <c r="AU56" s="417" t="str">
        <f t="shared" ca="1" si="8"/>
        <v/>
      </c>
      <c r="AV56" s="210" t="str">
        <f t="shared" ca="1" si="8"/>
        <v/>
      </c>
      <c r="AW56" s="210" t="str">
        <f t="shared" ca="1" si="8"/>
        <v/>
      </c>
      <c r="AX56" s="210" t="str">
        <f t="shared" ca="1" si="8"/>
        <v/>
      </c>
      <c r="AY56" s="414" t="str">
        <f t="shared" ca="1" si="8"/>
        <v/>
      </c>
      <c r="AZ56" s="68"/>
      <c r="BA56" s="417" t="str">
        <f t="shared" ca="1" si="16"/>
        <v/>
      </c>
      <c r="BB56" s="210" t="str">
        <f t="shared" ca="1" si="16"/>
        <v/>
      </c>
      <c r="BC56" s="210" t="str">
        <f t="shared" ca="1" si="16"/>
        <v/>
      </c>
      <c r="BD56" s="210" t="str">
        <f t="shared" ca="1" si="16"/>
        <v/>
      </c>
      <c r="BE56" s="210" t="str">
        <f t="shared" ca="1" si="16"/>
        <v/>
      </c>
      <c r="BF56" s="210" t="str">
        <f t="shared" ca="1" si="16"/>
        <v/>
      </c>
      <c r="BG56" s="210" t="str">
        <f t="shared" ca="1" si="16"/>
        <v/>
      </c>
      <c r="BH56" s="210" t="str">
        <f t="shared" ca="1" si="16"/>
        <v/>
      </c>
      <c r="BI56" s="210" t="str">
        <f t="shared" ca="1" si="16"/>
        <v/>
      </c>
      <c r="BJ56" s="210" t="str">
        <f t="shared" ca="1" si="16"/>
        <v/>
      </c>
      <c r="BK56" s="210" t="str">
        <f t="shared" ca="1" si="16"/>
        <v/>
      </c>
      <c r="BL56" s="210" t="str">
        <f t="shared" ca="1" si="16"/>
        <v/>
      </c>
      <c r="BM56" s="210" t="str">
        <f t="shared" ca="1" si="16"/>
        <v/>
      </c>
      <c r="BN56" s="210" t="str">
        <f t="shared" ca="1" si="16"/>
        <v/>
      </c>
      <c r="BO56" s="210" t="str">
        <f t="shared" ca="1" si="16"/>
        <v/>
      </c>
      <c r="BP56" s="210" t="str">
        <f t="shared" ca="1" si="16"/>
        <v/>
      </c>
      <c r="BQ56" s="414" t="str">
        <f t="shared" ca="1" si="17"/>
        <v/>
      </c>
      <c r="BR56" s="68"/>
      <c r="BS56" s="417" t="str">
        <f t="shared" ca="1" si="18"/>
        <v/>
      </c>
      <c r="BT56" s="210" t="str">
        <f t="shared" ca="1" si="18"/>
        <v/>
      </c>
      <c r="BU56" s="210" t="str">
        <f t="shared" ca="1" si="18"/>
        <v/>
      </c>
      <c r="BV56" s="210" t="str">
        <f t="shared" ca="1" si="18"/>
        <v/>
      </c>
      <c r="BW56" s="210" t="str">
        <f t="shared" ca="1" si="18"/>
        <v/>
      </c>
      <c r="BX56" s="210" t="str">
        <f t="shared" ca="1" si="18"/>
        <v/>
      </c>
      <c r="BY56" s="210" t="str">
        <f t="shared" ca="1" si="18"/>
        <v/>
      </c>
      <c r="BZ56" s="210" t="str">
        <f t="shared" ca="1" si="18"/>
        <v/>
      </c>
      <c r="CA56" s="210" t="str">
        <f t="shared" ca="1" si="18"/>
        <v/>
      </c>
      <c r="CB56" s="396" t="str">
        <f t="shared" ca="1" si="18"/>
        <v/>
      </c>
      <c r="CC56" s="68"/>
      <c r="CD56" s="419" t="e">
        <f t="shared" ca="1" si="15"/>
        <v>#N/A</v>
      </c>
      <c r="CE56" s="68"/>
      <c r="CF56" s="68" t="str">
        <f ca="1">IF(AND(ISNUMBER(CS!C56),ISNUMBER(CS!D56)),CONCATENATE(CF$10,CG$10),"")</f>
        <v/>
      </c>
      <c r="CG56" s="68" t="str">
        <f ca="1">IF(AND(ISNUMBER(CS!D56),ISNUMBER(CS!E56)),CONCATENATE(CG$10,CH$10),"")</f>
        <v/>
      </c>
      <c r="CH56" s="68" t="str">
        <f ca="1">IF(AND(ISNUMBER(CS!E56),ISNUMBER(CS!F56)),CONCATENATE(CH$10,CI$10),"")</f>
        <v/>
      </c>
      <c r="CI56" s="68" t="str">
        <f ca="1">IF(AND(ISNUMBER(CS!F56),ISNUMBER(CS!G56)),CONCATENATE(CI$10,CJ$10),"")</f>
        <v/>
      </c>
      <c r="CJ56" s="68" t="str">
        <f ca="1">IF(AND(ISNUMBER(CS!G56),ISNUMBER(CS!H56)),CONCATENATE(CJ$10,CK$10),"")</f>
        <v/>
      </c>
      <c r="CK56" s="68" t="str">
        <f ca="1">IF(AND(ISNUMBER(CS!H56),ISNUMBER(CS!I56)),CONCATENATE(CK$10,CL$10),"")</f>
        <v/>
      </c>
      <c r="CL56" s="68" t="str">
        <f ca="1">IF(AND(ISNUMBER(CS!I56),ISNUMBER(CS!J56)),CONCATENATE(CL$10,CM$10),"")</f>
        <v/>
      </c>
      <c r="CM56" s="68" t="str">
        <f ca="1">IF(AND(ISNUMBER(CS!J56),ISNUMBER(CS!K56)),CONCATENATE(CM$10,CN$10),"")</f>
        <v/>
      </c>
      <c r="CN56" s="68" t="str">
        <f ca="1">IF(AND(ISNUMBER(CS!K56),ISNUMBER(CS!L56)),CONCATENATE(CN$10,CO$10),"")</f>
        <v/>
      </c>
      <c r="CO56" s="68" t="str">
        <f ca="1">IF(AND(ISNUMBER(CS!L56),ISNUMBER(CS!M56)),CONCATENATE(CO$10,CP$10),"")</f>
        <v/>
      </c>
      <c r="CP56" s="68" t="str">
        <f ca="1">IF(AND(ISNUMBER(CS!M56),ISNUMBER(CS!N56)),CONCATENATE(CP$10,CQ$10),"")</f>
        <v/>
      </c>
      <c r="CQ56" s="68" t="str">
        <f ca="1">IF(AND(ISNUMBER(CS!N56),ISNUMBER(CS!O56)),CONCATENATE(CQ$10,CR$10),"")</f>
        <v/>
      </c>
      <c r="CR56" s="68" t="str">
        <f ca="1">IF(AND(ISNUMBER(CS!O56),ISNUMBER(CS!P56)),CONCATENATE(CR$10,CS$10),"")</f>
        <v/>
      </c>
      <c r="CS56" s="68" t="str">
        <f ca="1">IF(AND(ISNUMBER(CS!P56),ISNUMBER(CS!Q56)),CONCATENATE(CS$10,CT$10),"")</f>
        <v/>
      </c>
      <c r="CT56" s="68" t="str">
        <f ca="1">IF(AND(ISNUMBER(CS!Q56),ISNUMBER(CS!R56)),CONCATENATE(CT$10,CU$10),"")</f>
        <v/>
      </c>
      <c r="CU56" s="68" t="str">
        <f ca="1">IF(AND(ISNUMBER(CS!R56),ISNUMBER(CS!S56)),CONCATENATE(CU$10,CV$10),"")</f>
        <v/>
      </c>
      <c r="CV56" s="68" t="str">
        <f ca="1">IF(AND(ISNUMBER(CS!S56),ISNUMBER(CS!T56)),CONCATENATE(CV$10,CW$10),"")</f>
        <v/>
      </c>
      <c r="CW56" s="68" t="str">
        <f ca="1">IF(AND(ISNUMBER(CS!T56),ISNUMBER(CS!U56)),CONCATENATE(CW$10,CX$10),"")</f>
        <v/>
      </c>
      <c r="CX56" s="68" t="str">
        <f ca="1">IF(AND(ISNUMBER(CS!U56),ISNUMBER(CS!V56)),CONCATENATE(CX$10,CY$10),"")</f>
        <v/>
      </c>
      <c r="CY56" s="68" t="str">
        <f ca="1">IF(AND(ISNUMBER(CS!V56),ISNUMBER(CS!W56)),CONCATENATE(CY$10,CZ$10),"")</f>
        <v/>
      </c>
      <c r="CZ56" s="68" t="str">
        <f ca="1">IF(AND(ISNUMBER(CS!W56),ISNUMBER(CS!X56)),CONCATENATE(CZ$10,DA$10),"")</f>
        <v/>
      </c>
      <c r="DA56" s="68" t="str">
        <f ca="1">IF(AND(ISNUMBER(CS!X56),ISNUMBER(CS!Y56)),CONCATENATE(DA$10,DB$10),"")</f>
        <v/>
      </c>
      <c r="DB56" s="68" t="str">
        <f ca="1">IF(AND(ISNUMBER(CS!Y56),ISNUMBER(CS!Z56)),CONCATENATE(DB$10,DC$10),"")</f>
        <v/>
      </c>
      <c r="DC56" s="68" t="str">
        <f ca="1">IF(AND(ISNUMBER(CS!Z56),ISNUMBER(CS!AA56)),CONCATENATE(DC$10,DD$10),"")</f>
        <v/>
      </c>
      <c r="DD56" s="68" t="str">
        <f ca="1">IF(AND(ISNUMBER(CS!AA56),ISNUMBER(CS!AB56)),CONCATENATE(DD$10,DE$10),"")</f>
        <v/>
      </c>
      <c r="DE56" s="68" t="str">
        <f ca="1">IF(AND(ISNUMBER(CS!AB56),ISNUMBER(CS!AC56)),CONCATENATE(DE$10,DF$10),"")</f>
        <v/>
      </c>
      <c r="DF56" s="68" t="str">
        <f ca="1">IF(AND(ISNUMBER(CS!AC56),ISNUMBER(CS!AD56)),CONCATENATE(DF$10,DG$10),"")</f>
        <v/>
      </c>
      <c r="DG56" s="68" t="str">
        <f ca="1">IF(AND(ISNUMBER(CS!AD56),ISNUMBER(CS!AE56)),CONCATENATE(DG$10,DH$10),"")</f>
        <v/>
      </c>
      <c r="DH56" s="68" t="str">
        <f ca="1">IF(AND(ISNUMBER(CS!AE56),ISNUMBER(CS!AF56)),CONCATENATE(DH$10,DI$10),"")</f>
        <v/>
      </c>
      <c r="DI56" s="68" t="str">
        <f ca="1">IF(AND(ISNUMBER(CS!AF56),ISNUMBER(CS!AG56)),CONCATENATE(DI$10,DJ$10),"")</f>
        <v/>
      </c>
      <c r="DJ56" s="68" t="str">
        <f ca="1">IF(AND(ISNUMBER(CS!AG56),ISNUMBER(CS!AH56)),CONCATENATE(DJ$10,DK$10),"")</f>
        <v/>
      </c>
      <c r="DK56" s="68" t="str">
        <f ca="1">IF(AND(ISNUMBER(CS!AH56),ISNUMBER(CS!AI56)),CONCATENATE(DK$10,DL$10),"")</f>
        <v/>
      </c>
      <c r="DL56" s="68" t="str">
        <f ca="1">IF(AND(ISNUMBER(CS!AI56),ISNUMBER(CS!AJ56)),CONCATENATE(DL$10,DM$10),"")</f>
        <v/>
      </c>
      <c r="DM56" s="68" t="str">
        <f ca="1">IF(AND(ISNUMBER(CS!AJ56),ISNUMBER(CS!AK56)),CONCATENATE(DM$10,DN$10),"")</f>
        <v/>
      </c>
      <c r="DN56" s="68" t="str">
        <f ca="1">IF(AND(ISNUMBER(CS!AK56),ISNUMBER(CS!AL56)),CONCATENATE(DN$10,DO$10),"")</f>
        <v/>
      </c>
      <c r="DO56" s="68" t="str">
        <f ca="1">IF(AND(ISNUMBER(CS!AL56),ISNUMBER(CS!AM56)),CONCATENATE(DO$10,DP$10),"")</f>
        <v/>
      </c>
      <c r="DP56" s="68" t="str">
        <f ca="1">IF(AND(ISNUMBER(CS!AM56),ISNUMBER(CS!AN56)),CONCATENATE(DP$10,DQ$10),"")</f>
        <v/>
      </c>
      <c r="DQ56" s="68" t="str">
        <f ca="1">IF(AND(ISNUMBER(CS!AN56),ISNUMBER(CS!AO56)),CONCATENATE(DQ$10,DR$10),"")</f>
        <v/>
      </c>
      <c r="DR56" s="68" t="str">
        <f ca="1">IF(AND(ISNUMBER(CS!AO56),ISNUMBER(CS!AP56)),CONCATENATE(DR$10,DS$10),"")</f>
        <v/>
      </c>
      <c r="DS56" s="68" t="str">
        <f ca="1">IF(AND(ISNUMBER(CS!AP56),ISNUMBER(CS!AQ56)),CONCATENATE(DS$10,DT$10),"")</f>
        <v/>
      </c>
      <c r="DT56" s="210">
        <f>DrawFinder!Y56</f>
        <v>0</v>
      </c>
    </row>
    <row r="57" spans="2:124" ht="4" customHeight="1">
      <c r="B57" s="458"/>
      <c r="C57" s="458"/>
      <c r="D57" s="458"/>
      <c r="E57" s="458"/>
      <c r="F57" s="458"/>
      <c r="G57" s="458"/>
      <c r="H57" s="458"/>
      <c r="I57" s="458"/>
      <c r="J57" s="458"/>
      <c r="K57" s="458"/>
      <c r="L57" s="458"/>
      <c r="M57" s="458"/>
      <c r="N57" s="458"/>
      <c r="O57" s="458"/>
      <c r="P57" s="458"/>
      <c r="Q57" s="458"/>
      <c r="R57" s="458"/>
      <c r="S57" s="458"/>
      <c r="T57" s="458"/>
      <c r="U57" s="458"/>
      <c r="V57" s="458"/>
      <c r="W57" s="458"/>
      <c r="X57" s="458"/>
      <c r="Y57" s="458"/>
      <c r="Z57" s="458"/>
      <c r="AA57" s="458"/>
      <c r="AB57" s="458"/>
      <c r="AC57" s="458"/>
      <c r="AD57" s="458"/>
      <c r="AE57" s="458"/>
      <c r="AF57" s="458"/>
      <c r="AG57" s="458"/>
      <c r="AH57" s="458"/>
      <c r="AI57" s="458"/>
      <c r="AJ57" s="458"/>
      <c r="AK57" s="458"/>
      <c r="AL57" s="458"/>
      <c r="AM57" s="458"/>
      <c r="AN57" s="458"/>
      <c r="AO57" s="458"/>
      <c r="AP57" s="458"/>
      <c r="AQ57" s="457"/>
      <c r="AR57" s="457"/>
      <c r="AS57" s="458"/>
      <c r="AT57" s="458"/>
      <c r="AU57" s="458"/>
      <c r="AV57" s="458"/>
      <c r="AW57" s="458"/>
      <c r="AX57" s="458"/>
      <c r="AY57" s="458"/>
      <c r="AZ57" s="458"/>
      <c r="BA57" s="458"/>
      <c r="BB57" s="458"/>
      <c r="BC57" s="458"/>
      <c r="BD57" s="458"/>
      <c r="BE57" s="458"/>
      <c r="BF57" s="458"/>
      <c r="BG57" s="458"/>
      <c r="BH57" s="458"/>
      <c r="BI57" s="458"/>
      <c r="BJ57" s="458"/>
      <c r="BK57" s="458"/>
      <c r="BL57" s="458"/>
      <c r="BM57" s="458"/>
      <c r="BN57" s="458"/>
      <c r="BO57" s="458"/>
      <c r="BP57" s="458"/>
      <c r="BQ57" s="458"/>
      <c r="BR57" s="457"/>
      <c r="BS57" s="458"/>
      <c r="BT57" s="458"/>
      <c r="BU57" s="458"/>
      <c r="BV57" s="458"/>
      <c r="BW57" s="458"/>
      <c r="BX57" s="458"/>
      <c r="BY57" s="458"/>
      <c r="BZ57" s="458"/>
      <c r="CA57" s="458"/>
      <c r="CB57" s="458"/>
      <c r="CC57" s="458"/>
      <c r="CD57" s="457"/>
      <c r="CE57" s="457"/>
      <c r="CF57" s="458"/>
      <c r="CG57" s="458"/>
      <c r="CH57" s="458"/>
      <c r="CI57" s="458"/>
      <c r="CJ57" s="458"/>
      <c r="CK57" s="458"/>
      <c r="CL57" s="458"/>
      <c r="CM57" s="458"/>
      <c r="CN57" s="458"/>
      <c r="CO57" s="458"/>
      <c r="CP57" s="458"/>
      <c r="CQ57" s="458"/>
      <c r="CR57" s="458"/>
      <c r="CS57" s="458"/>
      <c r="CT57" s="458"/>
      <c r="CU57" s="458"/>
      <c r="CV57" s="458"/>
      <c r="CW57" s="458"/>
      <c r="CX57" s="458"/>
      <c r="CY57" s="458"/>
      <c r="CZ57" s="458"/>
      <c r="DA57" s="458"/>
      <c r="DB57" s="458"/>
      <c r="DC57" s="458"/>
      <c r="DD57" s="458"/>
      <c r="DE57" s="458"/>
      <c r="DF57" s="458"/>
      <c r="DG57" s="458"/>
      <c r="DH57" s="458"/>
      <c r="DI57" s="458"/>
      <c r="DJ57" s="458"/>
      <c r="DK57" s="458"/>
      <c r="DL57" s="458"/>
      <c r="DM57" s="458"/>
      <c r="DN57" s="458"/>
      <c r="DO57" s="458"/>
      <c r="DP57" s="458"/>
      <c r="DQ57" s="458"/>
      <c r="DR57" s="458"/>
      <c r="DS57" s="458"/>
      <c r="DT57" s="457"/>
    </row>
    <row r="58" spans="2:124">
      <c r="B58" s="50">
        <v>0</v>
      </c>
      <c r="C58" s="63">
        <f>IF(C7=1,LARGE($B58:B58,1)+1,0)</f>
        <v>1</v>
      </c>
      <c r="D58" s="63">
        <f ca="1">IF(D7=1,LARGE($B58:C58,1)+1,0)</f>
        <v>2</v>
      </c>
      <c r="E58" s="63">
        <f ca="1">IF(E7=1,LARGE($B58:D58,1)+1,0)</f>
        <v>3</v>
      </c>
      <c r="F58" s="63">
        <f ca="1">IF(F7=1,LARGE($B58:E58,1)+1,0)</f>
        <v>4</v>
      </c>
      <c r="G58" s="63">
        <f ca="1">IF(G7=1,LARGE($B58:F58,1)+1,0)</f>
        <v>5</v>
      </c>
      <c r="H58" s="63">
        <f ca="1">IF(H7=1,LARGE($B58:G58,1)+1,0)</f>
        <v>6</v>
      </c>
      <c r="I58" s="63">
        <f ca="1">IF(I7=1,LARGE($B58:H58,1)+1,0)</f>
        <v>7</v>
      </c>
      <c r="J58" s="63">
        <f ca="1">IF(J7=1,LARGE($B58:I58,1)+1,0)</f>
        <v>8</v>
      </c>
      <c r="K58" s="63">
        <f ca="1">IF(K7=1,LARGE($B58:J58,1)+1,0)</f>
        <v>9</v>
      </c>
      <c r="L58" s="63">
        <f ca="1">IF(L7=1,LARGE($B58:K58,1)+1,0)</f>
        <v>10</v>
      </c>
      <c r="M58" s="63">
        <f ca="1">IF(M7=1,LARGE($B58:L58,1)+1,0)</f>
        <v>11</v>
      </c>
      <c r="N58" s="63">
        <f ca="1">IF(N7=1,LARGE($B58:M58,1)+1,0)</f>
        <v>12</v>
      </c>
      <c r="O58" s="63">
        <f ca="1">IF(O7=1,LARGE($B58:N58,1)+1,0)</f>
        <v>13</v>
      </c>
      <c r="P58" s="63">
        <f ca="1">IF(P7=1,LARGE($B58:O58,1)+1,0)</f>
        <v>14</v>
      </c>
      <c r="Q58" s="63">
        <f ca="1">IF(Q7=1,LARGE($B58:P58,1)+1,0)</f>
        <v>0</v>
      </c>
      <c r="R58" s="63">
        <f ca="1">IF(R7=1,LARGE($B58:Q58,1)+1,0)</f>
        <v>0</v>
      </c>
      <c r="S58" s="63">
        <f ca="1">IF(S7=1,LARGE($B58:R58,1)+1,0)</f>
        <v>0</v>
      </c>
      <c r="T58" s="63">
        <f ca="1">IF(T7=1,LARGE($B58:S58,1)+1,0)</f>
        <v>0</v>
      </c>
      <c r="U58" s="63">
        <f ca="1">IF(U7=1,LARGE($B58:T58,1)+1,0)</f>
        <v>0</v>
      </c>
      <c r="V58" s="63">
        <f ca="1">IF(V7=1,LARGE($B58:U58,1)+1,0)</f>
        <v>0</v>
      </c>
      <c r="W58" s="63">
        <f ca="1">IF(W7=1,LARGE($B58:V58,1)+1,0)</f>
        <v>0</v>
      </c>
      <c r="X58" s="63">
        <f ca="1">IF(X7=1,LARGE($B58:W58,1)+1,0)</f>
        <v>0</v>
      </c>
      <c r="Y58" s="63">
        <f ca="1">IF(Y7=1,LARGE($B58:X58,1)+1,0)</f>
        <v>0</v>
      </c>
      <c r="Z58" s="63">
        <f ca="1">IF(Z7=1,LARGE($B58:Y58,1)+1,0)</f>
        <v>0</v>
      </c>
      <c r="AA58" s="63">
        <f ca="1">IF(AA7=1,LARGE($B58:Z58,1)+1,0)</f>
        <v>0</v>
      </c>
      <c r="AB58" s="63">
        <f ca="1">IF(AB7=1,LARGE($B58:AA58,1)+1,0)</f>
        <v>0</v>
      </c>
      <c r="AC58" s="63">
        <f ca="1">IF(AC7=1,LARGE($B58:AB58,1)+1,0)</f>
        <v>0</v>
      </c>
      <c r="AD58" s="63">
        <f ca="1">IF(AD7=1,LARGE($B58:AC58,1)+1,0)</f>
        <v>0</v>
      </c>
      <c r="AE58" s="63">
        <f ca="1">IF(AE7=1,LARGE($B58:AD58,1)+1,0)</f>
        <v>0</v>
      </c>
      <c r="AF58" s="63">
        <f ca="1">IF(AF7=1,LARGE($B58:AE58,1)+1,0)</f>
        <v>0</v>
      </c>
      <c r="AG58" s="63">
        <f ca="1">IF(AG7=1,LARGE($B58:AF58,1)+1,0)</f>
        <v>0</v>
      </c>
      <c r="AH58" s="63">
        <f ca="1">IF(AH7=1,LARGE($B58:AG58,1)+1,0)</f>
        <v>0</v>
      </c>
      <c r="AI58" s="63">
        <f ca="1">IF(AI7=1,LARGE($B58:AH58,1)+1,0)</f>
        <v>0</v>
      </c>
      <c r="AJ58" s="63">
        <f ca="1">IF(AJ7=1,LARGE($B58:AI58,1)+1,0)</f>
        <v>0</v>
      </c>
      <c r="AK58" s="63">
        <f ca="1">IF(AK7=1,LARGE($B58:AJ58,1)+1,0)</f>
        <v>0</v>
      </c>
      <c r="AL58" s="63">
        <f ca="1">IF(AL7=1,LARGE($B58:AK58,1)+1,0)</f>
        <v>0</v>
      </c>
      <c r="AM58" s="63">
        <f ca="1">IF(AM7=1,LARGE($B58:AL58,1)+1,0)</f>
        <v>0</v>
      </c>
      <c r="AN58" s="63">
        <f ca="1">IF(AN7=1,LARGE($B58:AM58,1)+1,0)</f>
        <v>0</v>
      </c>
      <c r="AO58" s="63">
        <f ca="1">IF(AO7=1,LARGE($B58:AN58,1)+1,0)</f>
        <v>0</v>
      </c>
      <c r="AP58" s="63">
        <f ca="1">IF(AP7=1,LARGE($B58:AO58,1)+1,0)</f>
        <v>0</v>
      </c>
      <c r="BB58" s="213"/>
      <c r="BC58" s="213"/>
      <c r="BD58" s="213"/>
      <c r="BE58" s="213"/>
      <c r="BF58" s="213"/>
      <c r="BG58" s="213"/>
      <c r="BH58" s="213"/>
      <c r="BI58" s="213"/>
      <c r="BJ58" s="213"/>
      <c r="BK58" s="213"/>
      <c r="BL58" s="213"/>
      <c r="BM58" s="213"/>
      <c r="BN58" s="213"/>
      <c r="BO58" s="213"/>
      <c r="BP58" s="213"/>
      <c r="BQ58" s="213"/>
    </row>
    <row r="59" spans="2:124">
      <c r="C59" s="63" t="str">
        <f>IF(C7=1,SUBSTITUTE(ADDRESS(1,COLUMN()*1,4),"1",""),"")</f>
        <v>C</v>
      </c>
      <c r="D59" s="63" t="str">
        <f t="shared" ref="D59:AP59" ca="1" si="19">IF(D7=1,SUBSTITUTE(ADDRESS(1,COLUMN()*1,4),"1",""),"")</f>
        <v>D</v>
      </c>
      <c r="E59" s="63" t="str">
        <f t="shared" ca="1" si="19"/>
        <v>E</v>
      </c>
      <c r="F59" s="63" t="str">
        <f t="shared" ca="1" si="19"/>
        <v>F</v>
      </c>
      <c r="G59" s="63" t="str">
        <f t="shared" ca="1" si="19"/>
        <v>G</v>
      </c>
      <c r="H59" s="63" t="str">
        <f t="shared" ca="1" si="19"/>
        <v>H</v>
      </c>
      <c r="I59" s="63" t="str">
        <f t="shared" ca="1" si="19"/>
        <v>I</v>
      </c>
      <c r="J59" s="63" t="str">
        <f t="shared" ca="1" si="19"/>
        <v>J</v>
      </c>
      <c r="K59" s="63" t="str">
        <f t="shared" ca="1" si="19"/>
        <v>K</v>
      </c>
      <c r="L59" s="63" t="str">
        <f t="shared" ca="1" si="19"/>
        <v>L</v>
      </c>
      <c r="M59" s="63" t="str">
        <f t="shared" ca="1" si="19"/>
        <v>M</v>
      </c>
      <c r="N59" s="63" t="str">
        <f t="shared" ca="1" si="19"/>
        <v>N</v>
      </c>
      <c r="O59" s="63" t="str">
        <f t="shared" ca="1" si="19"/>
        <v>O</v>
      </c>
      <c r="P59" s="63" t="str">
        <f t="shared" ca="1" si="19"/>
        <v>P</v>
      </c>
      <c r="Q59" s="63" t="str">
        <f t="shared" ca="1" si="19"/>
        <v/>
      </c>
      <c r="R59" s="63" t="str">
        <f t="shared" ca="1" si="19"/>
        <v/>
      </c>
      <c r="S59" s="63" t="str">
        <f t="shared" ca="1" si="19"/>
        <v/>
      </c>
      <c r="T59" s="63" t="str">
        <f t="shared" ca="1" si="19"/>
        <v/>
      </c>
      <c r="U59" s="63" t="str">
        <f t="shared" ca="1" si="19"/>
        <v/>
      </c>
      <c r="V59" s="63" t="str">
        <f t="shared" ca="1" si="19"/>
        <v/>
      </c>
      <c r="W59" s="63" t="str">
        <f t="shared" ca="1" si="19"/>
        <v/>
      </c>
      <c r="X59" s="63" t="str">
        <f t="shared" ca="1" si="19"/>
        <v/>
      </c>
      <c r="Y59" s="63" t="str">
        <f t="shared" ca="1" si="19"/>
        <v/>
      </c>
      <c r="Z59" s="63" t="str">
        <f t="shared" ca="1" si="19"/>
        <v/>
      </c>
      <c r="AA59" s="63" t="str">
        <f t="shared" ca="1" si="19"/>
        <v/>
      </c>
      <c r="AB59" s="63" t="str">
        <f t="shared" ca="1" si="19"/>
        <v/>
      </c>
      <c r="AC59" s="63" t="str">
        <f t="shared" ca="1" si="19"/>
        <v/>
      </c>
      <c r="AD59" s="63" t="str">
        <f t="shared" ca="1" si="19"/>
        <v/>
      </c>
      <c r="AE59" s="63" t="str">
        <f t="shared" ca="1" si="19"/>
        <v/>
      </c>
      <c r="AF59" s="63" t="str">
        <f t="shared" ca="1" si="19"/>
        <v/>
      </c>
      <c r="AG59" s="63" t="str">
        <f t="shared" ca="1" si="19"/>
        <v/>
      </c>
      <c r="AH59" s="63" t="str">
        <f t="shared" ca="1" si="19"/>
        <v/>
      </c>
      <c r="AI59" s="63" t="str">
        <f t="shared" ca="1" si="19"/>
        <v/>
      </c>
      <c r="AJ59" s="63" t="str">
        <f t="shared" ca="1" si="19"/>
        <v/>
      </c>
      <c r="AK59" s="63" t="str">
        <f t="shared" ca="1" si="19"/>
        <v/>
      </c>
      <c r="AL59" s="63" t="str">
        <f t="shared" ca="1" si="19"/>
        <v/>
      </c>
      <c r="AM59" s="63" t="str">
        <f t="shared" ca="1" si="19"/>
        <v/>
      </c>
      <c r="AN59" s="63" t="str">
        <f t="shared" ca="1" si="19"/>
        <v/>
      </c>
      <c r="AO59" s="63" t="str">
        <f t="shared" ca="1" si="19"/>
        <v/>
      </c>
      <c r="AP59" s="63" t="str">
        <f t="shared" ca="1" si="19"/>
        <v/>
      </c>
      <c r="BA59" s="63" t="str">
        <f t="shared" ref="BA59:BQ59" si="20">IF(BA10=0,"",HLOOKUP(BA10,$C$58:$AP$60,2,FALSE))</f>
        <v>C</v>
      </c>
      <c r="BB59" s="63" t="str">
        <f t="shared" ca="1" si="20"/>
        <v>D</v>
      </c>
      <c r="BC59" s="63" t="str">
        <f t="shared" ca="1" si="20"/>
        <v>E</v>
      </c>
      <c r="BD59" s="63" t="str">
        <f t="shared" ca="1" si="20"/>
        <v>F</v>
      </c>
      <c r="BE59" s="63" t="str">
        <f t="shared" ca="1" si="20"/>
        <v>G</v>
      </c>
      <c r="BF59" s="63" t="str">
        <f t="shared" ca="1" si="20"/>
        <v>H</v>
      </c>
      <c r="BG59" s="63" t="str">
        <f t="shared" ca="1" si="20"/>
        <v>I</v>
      </c>
      <c r="BH59" s="63" t="str">
        <f t="shared" ca="1" si="20"/>
        <v>J</v>
      </c>
      <c r="BI59" s="63" t="str">
        <f t="shared" ca="1" si="20"/>
        <v>K</v>
      </c>
      <c r="BJ59" s="63" t="str">
        <f t="shared" ca="1" si="20"/>
        <v>L</v>
      </c>
      <c r="BK59" s="63" t="str">
        <f t="shared" ca="1" si="20"/>
        <v>M</v>
      </c>
      <c r="BL59" s="63" t="str">
        <f t="shared" ca="1" si="20"/>
        <v>N</v>
      </c>
      <c r="BM59" s="63" t="str">
        <f t="shared" ca="1" si="20"/>
        <v>O</v>
      </c>
      <c r="BN59" s="63" t="str">
        <f t="shared" ca="1" si="20"/>
        <v>P</v>
      </c>
      <c r="BO59" s="63" t="str">
        <f t="shared" ca="1" si="20"/>
        <v/>
      </c>
      <c r="BP59" s="63" t="str">
        <f t="shared" ca="1" si="20"/>
        <v/>
      </c>
      <c r="BQ59" s="63" t="str">
        <f t="shared" ca="1" si="20"/>
        <v/>
      </c>
    </row>
    <row r="60" spans="2:124">
      <c r="C60" s="63" t="e">
        <f ca="1">IF(C6=$M$3,SUBSTITUTE(ADDRESS(1,COLUMN()*1,4),"1",""),SUBSTITUTE(ADDRESS(1,(COLUMN()+(MATCH($M$3,C6:$AP6,0)-1))*1,4),"1",""))</f>
        <v>#N/A</v>
      </c>
      <c r="D60" s="63" t="e">
        <f ca="1">IF(D6=$M$3,SUBSTITUTE(ADDRESS(1,COLUMN()*1,4),"1",""),SUBSTITUTE(ADDRESS(1,(COLUMN()+(MATCH($M$3,D6:$AP6,0)-1))*1,4),"1",""))</f>
        <v>#N/A</v>
      </c>
      <c r="E60" s="63" t="e">
        <f ca="1">IF(E6=$M$3,SUBSTITUTE(ADDRESS(1,COLUMN()*1,4),"1",""),SUBSTITUTE(ADDRESS(1,(COLUMN()+(MATCH($M$3,E6:$AP6,0)-1))*1,4),"1",""))</f>
        <v>#N/A</v>
      </c>
      <c r="F60" s="63" t="e">
        <f ca="1">IF(F6=$M$3,SUBSTITUTE(ADDRESS(1,COLUMN()*1,4),"1",""),SUBSTITUTE(ADDRESS(1,(COLUMN()+(MATCH($M$3,F6:$AP6,0)-1))*1,4),"1",""))</f>
        <v>#N/A</v>
      </c>
      <c r="G60" s="63" t="e">
        <f ca="1">IF(G6=$M$3,SUBSTITUTE(ADDRESS(1,COLUMN()*1,4),"1",""),SUBSTITUTE(ADDRESS(1,(COLUMN()+(MATCH($M$3,G6:$AP6,0)-1))*1,4),"1",""))</f>
        <v>#N/A</v>
      </c>
      <c r="H60" s="63" t="e">
        <f ca="1">IF(H6=$M$3,SUBSTITUTE(ADDRESS(1,COLUMN()*1,4),"1",""),SUBSTITUTE(ADDRESS(1,(COLUMN()+(MATCH($M$3,H6:$AP6,0)-1))*1,4),"1",""))</f>
        <v>#N/A</v>
      </c>
      <c r="I60" s="63" t="e">
        <f ca="1">IF(I6=$M$3,SUBSTITUTE(ADDRESS(1,COLUMN()*1,4),"1",""),SUBSTITUTE(ADDRESS(1,(COLUMN()+(MATCH($M$3,I6:$AP6,0)-1))*1,4),"1",""))</f>
        <v>#N/A</v>
      </c>
      <c r="J60" s="63" t="e">
        <f ca="1">IF(J6=$M$3,SUBSTITUTE(ADDRESS(1,COLUMN()*1,4),"1",""),SUBSTITUTE(ADDRESS(1,(COLUMN()+(MATCH($M$3,J6:$AP6,0)-1))*1,4),"1",""))</f>
        <v>#N/A</v>
      </c>
      <c r="K60" s="63" t="e">
        <f ca="1">IF(K6=$M$3,SUBSTITUTE(ADDRESS(1,COLUMN()*1,4),"1",""),SUBSTITUTE(ADDRESS(1,(COLUMN()+(MATCH($M$3,K6:$AP6,0)-1))*1,4),"1",""))</f>
        <v>#N/A</v>
      </c>
      <c r="L60" s="63" t="e">
        <f ca="1">IF(L6=$M$3,SUBSTITUTE(ADDRESS(1,COLUMN()*1,4),"1",""),SUBSTITUTE(ADDRESS(1,(COLUMN()+(MATCH($M$3,L6:$AP6,0)-1))*1,4),"1",""))</f>
        <v>#N/A</v>
      </c>
      <c r="M60" s="63" t="e">
        <f ca="1">IF(M6=$M$3,SUBSTITUTE(ADDRESS(1,COLUMN()*1,4),"1",""),SUBSTITUTE(ADDRESS(1,(COLUMN()+(MATCH($M$3,M6:$AP6,0)-1))*1,4),"1",""))</f>
        <v>#N/A</v>
      </c>
      <c r="N60" s="63" t="e">
        <f ca="1">IF(N6=$M$3,SUBSTITUTE(ADDRESS(1,COLUMN()*1,4),"1",""),SUBSTITUTE(ADDRESS(1,(COLUMN()+(MATCH($M$3,N6:$AP6,0)-1))*1,4),"1",""))</f>
        <v>#N/A</v>
      </c>
      <c r="O60" s="63" t="e">
        <f ca="1">IF(O6=$M$3,SUBSTITUTE(ADDRESS(1,COLUMN()*1,4),"1",""),SUBSTITUTE(ADDRESS(1,(COLUMN()+(MATCH($M$3,O6:$AP6,0)-1))*1,4),"1",""))</f>
        <v>#N/A</v>
      </c>
      <c r="P60" s="63" t="e">
        <f ca="1">IF(P6=$M$3,SUBSTITUTE(ADDRESS(1,COLUMN()*1,4),"1",""),SUBSTITUTE(ADDRESS(1,(COLUMN()+(MATCH($M$3,P6:$AP6,0)-1))*1,4),"1",""))</f>
        <v>#N/A</v>
      </c>
      <c r="Q60" s="63" t="e">
        <f ca="1">IF(Q6=$M$3,SUBSTITUTE(ADDRESS(1,COLUMN()*1,4),"1",""),SUBSTITUTE(ADDRESS(1,(COLUMN()+(MATCH($M$3,Q6:$AP6,0)-1))*1,4),"1",""))</f>
        <v>#N/A</v>
      </c>
      <c r="R60" s="63" t="e">
        <f ca="1">IF(R6=$M$3,SUBSTITUTE(ADDRESS(1,COLUMN()*1,4),"1",""),SUBSTITUTE(ADDRESS(1,(COLUMN()+(MATCH($M$3,R6:$AP6,0)-1))*1,4),"1",""))</f>
        <v>#N/A</v>
      </c>
      <c r="S60" s="63" t="e">
        <f ca="1">IF(S6=$M$3,SUBSTITUTE(ADDRESS(1,COLUMN()*1,4),"1",""),SUBSTITUTE(ADDRESS(1,(COLUMN()+(MATCH($M$3,S6:$AP6,0)-1))*1,4),"1",""))</f>
        <v>#N/A</v>
      </c>
      <c r="T60" s="63" t="e">
        <f ca="1">IF(T6=$M$3,SUBSTITUTE(ADDRESS(1,COLUMN()*1,4),"1",""),SUBSTITUTE(ADDRESS(1,(COLUMN()+(MATCH($M$3,T6:$AP6,0)-1))*1,4),"1",""))</f>
        <v>#N/A</v>
      </c>
      <c r="U60" s="63" t="e">
        <f ca="1">IF(U6=$M$3,SUBSTITUTE(ADDRESS(1,COLUMN()*1,4),"1",""),SUBSTITUTE(ADDRESS(1,(COLUMN()+(MATCH($M$3,U6:$AP6,0)-1))*1,4),"1",""))</f>
        <v>#N/A</v>
      </c>
      <c r="V60" s="63" t="e">
        <f ca="1">IF(V6=$M$3,SUBSTITUTE(ADDRESS(1,COLUMN()*1,4),"1",""),SUBSTITUTE(ADDRESS(1,(COLUMN()+(MATCH($M$3,V6:$AP6,0)-1))*1,4),"1",""))</f>
        <v>#N/A</v>
      </c>
      <c r="W60" s="63" t="e">
        <f ca="1">IF(W6=$M$3,SUBSTITUTE(ADDRESS(1,COLUMN()*1,4),"1",""),SUBSTITUTE(ADDRESS(1,(COLUMN()+(MATCH($M$3,W6:$AP6,0)-1))*1,4),"1",""))</f>
        <v>#N/A</v>
      </c>
      <c r="X60" s="63" t="e">
        <f ca="1">IF(X6=$M$3,SUBSTITUTE(ADDRESS(1,COLUMN()*1,4),"1",""),SUBSTITUTE(ADDRESS(1,(COLUMN()+(MATCH($M$3,X6:$AP6,0)-1))*1,4),"1",""))</f>
        <v>#N/A</v>
      </c>
      <c r="Y60" s="63" t="e">
        <f ca="1">IF(Y6=$M$3,SUBSTITUTE(ADDRESS(1,COLUMN()*1,4),"1",""),SUBSTITUTE(ADDRESS(1,(COLUMN()+(MATCH($M$3,Y6:$AP6,0)-1))*1,4),"1",""))</f>
        <v>#N/A</v>
      </c>
      <c r="Z60" s="63" t="e">
        <f ca="1">IF(Z6=$M$3,SUBSTITUTE(ADDRESS(1,COLUMN()*1,4),"1",""),SUBSTITUTE(ADDRESS(1,(COLUMN()+(MATCH($M$3,Z6:$AP6,0)-1))*1,4),"1",""))</f>
        <v>#N/A</v>
      </c>
      <c r="AA60" s="63" t="e">
        <f ca="1">IF(AA6=$M$3,SUBSTITUTE(ADDRESS(1,COLUMN()*1,4),"1",""),SUBSTITUTE(ADDRESS(1,(COLUMN()+(MATCH($M$3,AA6:$AP6,0)-1))*1,4),"1",""))</f>
        <v>#N/A</v>
      </c>
      <c r="AB60" s="63" t="e">
        <f ca="1">IF(AB6=$M$3,SUBSTITUTE(ADDRESS(1,COLUMN()*1,4),"1",""),SUBSTITUTE(ADDRESS(1,(COLUMN()+(MATCH($M$3,AB6:$AP6,0)-1))*1,4),"1",""))</f>
        <v>#N/A</v>
      </c>
      <c r="AC60" s="63" t="e">
        <f ca="1">IF(AC6=$M$3,SUBSTITUTE(ADDRESS(1,COLUMN()*1,4),"1",""),SUBSTITUTE(ADDRESS(1,(COLUMN()+(MATCH($M$3,AC6:$AP6,0)-1))*1,4),"1",""))</f>
        <v>#N/A</v>
      </c>
      <c r="AD60" s="63" t="e">
        <f ca="1">IF(AD6=$M$3,SUBSTITUTE(ADDRESS(1,COLUMN()*1,4),"1",""),SUBSTITUTE(ADDRESS(1,(COLUMN()+(MATCH($M$3,AD6:$AP6,0)-1))*1,4),"1",""))</f>
        <v>#N/A</v>
      </c>
      <c r="AE60" s="63" t="e">
        <f ca="1">IF(AE6=$M$3,SUBSTITUTE(ADDRESS(1,COLUMN()*1,4),"1",""),SUBSTITUTE(ADDRESS(1,(COLUMN()+(MATCH($M$3,AE6:$AP6,0)-1))*1,4),"1",""))</f>
        <v>#N/A</v>
      </c>
      <c r="AF60" s="63" t="e">
        <f ca="1">IF(AF6=$M$3,SUBSTITUTE(ADDRESS(1,COLUMN()*1,4),"1",""),SUBSTITUTE(ADDRESS(1,(COLUMN()+(MATCH($M$3,AF6:$AP6,0)-1))*1,4),"1",""))</f>
        <v>#N/A</v>
      </c>
      <c r="AG60" s="63" t="e">
        <f ca="1">IF(AG6=$M$3,SUBSTITUTE(ADDRESS(1,COLUMN()*1,4),"1",""),SUBSTITUTE(ADDRESS(1,(COLUMN()+(MATCH($M$3,AG6:$AP6,0)-1))*1,4),"1",""))</f>
        <v>#N/A</v>
      </c>
      <c r="AH60" s="63" t="e">
        <f ca="1">IF(AH6=$M$3,SUBSTITUTE(ADDRESS(1,COLUMN()*1,4),"1",""),SUBSTITUTE(ADDRESS(1,(COLUMN()+(MATCH($M$3,AH6:$AP6,0)-1))*1,4),"1",""))</f>
        <v>#N/A</v>
      </c>
      <c r="AI60" s="63" t="e">
        <f ca="1">IF(AI6=$M$3,SUBSTITUTE(ADDRESS(1,COLUMN()*1,4),"1",""),SUBSTITUTE(ADDRESS(1,(COLUMN()+(MATCH($M$3,AI6:$AP6,0)-1))*1,4),"1",""))</f>
        <v>#N/A</v>
      </c>
      <c r="AJ60" s="63" t="e">
        <f ca="1">IF(AJ6=$M$3,SUBSTITUTE(ADDRESS(1,COLUMN()*1,4),"1",""),SUBSTITUTE(ADDRESS(1,(COLUMN()+(MATCH($M$3,AJ6:$AP6,0)-1))*1,4),"1",""))</f>
        <v>#N/A</v>
      </c>
      <c r="AK60" s="63" t="e">
        <f ca="1">IF(AK6=$M$3,SUBSTITUTE(ADDRESS(1,COLUMN()*1,4),"1",""),SUBSTITUTE(ADDRESS(1,(COLUMN()+(MATCH($M$3,AK6:$AP6,0)-1))*1,4),"1",""))</f>
        <v>#N/A</v>
      </c>
      <c r="AL60" s="63" t="e">
        <f ca="1">IF(AL6=$M$3,SUBSTITUTE(ADDRESS(1,COLUMN()*1,4),"1",""),SUBSTITUTE(ADDRESS(1,(COLUMN()+(MATCH($M$3,AL6:$AP6,0)-1))*1,4),"1",""))</f>
        <v>#N/A</v>
      </c>
      <c r="AM60" s="63" t="e">
        <f ca="1">IF(AM6=$M$3,SUBSTITUTE(ADDRESS(1,COLUMN()*1,4),"1",""),SUBSTITUTE(ADDRESS(1,(COLUMN()+(MATCH($M$3,AM6:$AP6,0)-1))*1,4),"1",""))</f>
        <v>#N/A</v>
      </c>
      <c r="AN60" s="63" t="e">
        <f ca="1">IF(AN6=$M$3,SUBSTITUTE(ADDRESS(1,COLUMN()*1,4),"1",""),SUBSTITUTE(ADDRESS(1,(COLUMN()+(MATCH($M$3,AN6:$AP6,0)-1))*1,4),"1",""))</f>
        <v>#N/A</v>
      </c>
      <c r="AO60" s="63" t="e">
        <f ca="1">IF(AO6=$M$3,SUBSTITUTE(ADDRESS(1,COLUMN()*1,4),"1",""),SUBSTITUTE(ADDRESS(1,(COLUMN()+(MATCH($M$3,AO6:$AP6,0)-1))*1,4),"1",""))</f>
        <v>#N/A</v>
      </c>
      <c r="AP60" s="63" t="e">
        <f ca="1">IF(AP6=$M$3,SUBSTITUTE(ADDRESS(1,COLUMN()*1,4),"1",""),SUBSTITUTE(ADDRESS(1,(COLUMN()+(MATCH($M$3,AP6:$AP6,0)-1))*1,4),"1",""))</f>
        <v>#N/A</v>
      </c>
      <c r="BA60" s="63" t="e">
        <f t="shared" ref="BA60:BQ60" ca="1" si="21">IF(BA10=0,"",HLOOKUP(BA10,$C$58:$AP$60,3,FALSE))</f>
        <v>#N/A</v>
      </c>
      <c r="BB60" s="63" t="e">
        <f t="shared" ca="1" si="21"/>
        <v>#N/A</v>
      </c>
      <c r="BC60" s="63" t="e">
        <f t="shared" ca="1" si="21"/>
        <v>#N/A</v>
      </c>
      <c r="BD60" s="63" t="e">
        <f t="shared" ca="1" si="21"/>
        <v>#N/A</v>
      </c>
      <c r="BE60" s="63" t="e">
        <f t="shared" ca="1" si="21"/>
        <v>#N/A</v>
      </c>
      <c r="BF60" s="63" t="e">
        <f t="shared" ca="1" si="21"/>
        <v>#N/A</v>
      </c>
      <c r="BG60" s="63" t="e">
        <f t="shared" ca="1" si="21"/>
        <v>#N/A</v>
      </c>
      <c r="BH60" s="63" t="e">
        <f t="shared" ca="1" si="21"/>
        <v>#N/A</v>
      </c>
      <c r="BI60" s="63" t="e">
        <f t="shared" ca="1" si="21"/>
        <v>#N/A</v>
      </c>
      <c r="BJ60" s="63" t="e">
        <f t="shared" ca="1" si="21"/>
        <v>#N/A</v>
      </c>
      <c r="BK60" s="63" t="e">
        <f t="shared" ca="1" si="21"/>
        <v>#N/A</v>
      </c>
      <c r="BL60" s="63" t="e">
        <f t="shared" ca="1" si="21"/>
        <v>#N/A</v>
      </c>
      <c r="BM60" s="63" t="e">
        <f t="shared" ca="1" si="21"/>
        <v>#N/A</v>
      </c>
      <c r="BN60" s="63" t="e">
        <f t="shared" ca="1" si="21"/>
        <v>#N/A</v>
      </c>
      <c r="BO60" s="63" t="str">
        <f t="shared" ca="1" si="21"/>
        <v/>
      </c>
      <c r="BP60" s="63" t="str">
        <f t="shared" ca="1" si="21"/>
        <v/>
      </c>
      <c r="BQ60" s="63" t="str">
        <f t="shared" ca="1" si="21"/>
        <v/>
      </c>
    </row>
  </sheetData>
  <sheetProtection password="FFF0" sheet="1" objects="1" scenarios="1"/>
  <conditionalFormatting sqref="C7:AP7 C9:AP9">
    <cfRule type="cellIs" dxfId="94" priority="21" operator="equal">
      <formula>0</formula>
    </cfRule>
  </conditionalFormatting>
  <conditionalFormatting sqref="C10:AP10">
    <cfRule type="expression" dxfId="93" priority="20">
      <formula>AND(C9&gt;0,C10=$G$4)</formula>
    </cfRule>
  </conditionalFormatting>
  <conditionalFormatting sqref="C10:AP10">
    <cfRule type="expression" dxfId="92" priority="16">
      <formula>AND(C9&gt;0,C10=$K$4)</formula>
    </cfRule>
    <cfRule type="expression" dxfId="91" priority="17">
      <formula>AND(C9&gt;0,C10=$J$4)</formula>
    </cfRule>
    <cfRule type="expression" dxfId="90" priority="18">
      <formula>AND(C9&gt;0,C10=$I$4)</formula>
    </cfRule>
    <cfRule type="expression" dxfId="89" priority="19">
      <formula>AND(C9&gt;0,C10=$H$4)</formula>
    </cfRule>
  </conditionalFormatting>
  <conditionalFormatting sqref="C11:AP56">
    <cfRule type="expression" dxfId="88" priority="14">
      <formula>C11=$G$4</formula>
    </cfRule>
  </conditionalFormatting>
  <conditionalFormatting sqref="C11:AP56">
    <cfRule type="expression" dxfId="87" priority="1">
      <formula>C11=$K$4</formula>
    </cfRule>
    <cfRule type="expression" dxfId="86" priority="11">
      <formula>C11=$J$4</formula>
    </cfRule>
    <cfRule type="expression" dxfId="85" priority="12">
      <formula>C11=$I$4</formula>
    </cfRule>
    <cfRule type="expression" dxfId="84" priority="13">
      <formula>C11=$H$4</formula>
    </cfRule>
  </conditionalFormatting>
  <conditionalFormatting sqref="AU11:AY56">
    <cfRule type="cellIs" dxfId="83" priority="7" operator="equal">
      <formula>0</formula>
    </cfRule>
    <cfRule type="expression" dxfId="82" priority="8">
      <formula>AND(ISNUMBER(AU11),OR(AU11&gt;$AU$6,AU11&lt;$AU$7))</formula>
    </cfRule>
    <cfRule type="cellIs" dxfId="81" priority="9" operator="equal">
      <formula>$AU$6</formula>
    </cfRule>
    <cfRule type="cellIs" dxfId="80" priority="10" operator="equal">
      <formula>$AU$7</formula>
    </cfRule>
  </conditionalFormatting>
  <conditionalFormatting sqref="B11:B56">
    <cfRule type="expression" dxfId="79" priority="22">
      <formula>DT11&lt;&gt;DT10</formula>
    </cfRule>
  </conditionalFormatting>
  <conditionalFormatting sqref="BA10:BQ10">
    <cfRule type="cellIs" dxfId="78" priority="6" operator="equal">
      <formula>0</formula>
    </cfRule>
  </conditionalFormatting>
  <conditionalFormatting sqref="B58:AP58">
    <cfRule type="cellIs" dxfId="77" priority="5" operator="equal">
      <formula>0</formula>
    </cfRule>
  </conditionalFormatting>
  <conditionalFormatting sqref="BS11:CB56">
    <cfRule type="expression" dxfId="76" priority="4">
      <formula>AND(ISNUMBER(BS11),BS11&gt;0)</formula>
    </cfRule>
  </conditionalFormatting>
  <conditionalFormatting sqref="BS10:CB10">
    <cfRule type="cellIs" dxfId="75" priority="3" operator="equal">
      <formula>0</formula>
    </cfRule>
  </conditionalFormatting>
  <conditionalFormatting sqref="CD11:CD56">
    <cfRule type="expression" dxfId="74" priority="2">
      <formula>AND(ISNUMBER(CD11),CD11&gt;0)</formula>
    </cfRule>
  </conditionalFormatting>
  <conditionalFormatting sqref="C8:AP8 C6:AP6 C10:AP56">
    <cfRule type="expression" dxfId="73" priority="23">
      <formula>C$9=0</formula>
    </cfRule>
  </conditionalFormatting>
  <conditionalFormatting sqref="BA11:BQ56">
    <cfRule type="expression" dxfId="72" priority="24">
      <formula>AND(ISNUMBER(BA11),BA11=0)</formula>
    </cfRule>
    <cfRule type="expression" dxfId="71" priority="25">
      <formula>AND(ISNUMBER(BA11),OR(BA11&gt;$BA$6,BA11&lt;$BA$7))</formula>
    </cfRule>
    <cfRule type="expression" dxfId="70" priority="26">
      <formula>AND(ISNUMBER(BA11),BA11=$BA$6)</formula>
    </cfRule>
    <cfRule type="expression" dxfId="69" priority="27">
      <formula>AND(ISNUMBER(BA11),BA11=$BA$7)</formula>
    </cfRule>
  </conditionalFormatting>
  <conditionalFormatting sqref="C11:AP56">
    <cfRule type="expression" dxfId="68" priority="15">
      <formula>AND(C$7=1,$DT11&gt;0)</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1"/>
  <sheetViews>
    <sheetView showGridLines="0" workbookViewId="0">
      <selection activeCell="J1" sqref="J1"/>
    </sheetView>
  </sheetViews>
  <sheetFormatPr baseColWidth="10" defaultRowHeight="15" x14ac:dyDescent="0"/>
  <cols>
    <col min="1" max="1" width="4.7109375" style="50" customWidth="1"/>
    <col min="2" max="2" width="14.7109375" style="50" customWidth="1"/>
    <col min="3" max="3" width="1.7109375" style="50" customWidth="1"/>
    <col min="4" max="49" width="3.7109375" style="50" customWidth="1"/>
    <col min="50" max="16384" width="10.7109375" style="50"/>
  </cols>
  <sheetData>
    <row r="1" spans="1:51" ht="18">
      <c r="A1" s="147" t="s">
        <v>619</v>
      </c>
      <c r="B1" s="72"/>
      <c r="J1" s="424" t="str">
        <f>Intro!D46</f>
        <v/>
      </c>
      <c r="AX1" s="148" t="str">
        <f>Intro!D46</f>
        <v/>
      </c>
    </row>
    <row r="2" spans="1:51" ht="17">
      <c r="B2" s="54" t="str">
        <f>CS!B6</f>
        <v>Curling Club Name League</v>
      </c>
      <c r="C2" s="55"/>
      <c r="D2" s="55"/>
      <c r="E2" s="55"/>
      <c r="F2" s="55"/>
      <c r="G2" s="55"/>
      <c r="H2" s="55"/>
      <c r="AW2" s="146" t="str">
        <f>IF(AX2=AY2,"y","n")</f>
        <v>y</v>
      </c>
      <c r="AX2" s="75" t="str">
        <f>Intro!H1</f>
        <v>Curling Club Name League</v>
      </c>
      <c r="AY2" s="76" t="str">
        <f>Intro!H2</f>
        <v>Curling Club Name League</v>
      </c>
    </row>
    <row r="3" spans="1:51" s="51" customFormat="1" ht="100" customHeight="1">
      <c r="B3" s="62" t="s">
        <v>11</v>
      </c>
      <c r="D3" s="61" t="str">
        <f ca="1">B5</f>
        <v>Tm01</v>
      </c>
      <c r="E3" s="61" t="str">
        <f ca="1">B6</f>
        <v>Tm02</v>
      </c>
      <c r="F3" s="61" t="str">
        <f ca="1">B7</f>
        <v>Tm03</v>
      </c>
      <c r="G3" s="61" t="str">
        <f ca="1">B8</f>
        <v>Tm04</v>
      </c>
      <c r="H3" s="61" t="str">
        <f ca="1">B9</f>
        <v>Tm05</v>
      </c>
      <c r="I3" s="61" t="str">
        <f ca="1">B10</f>
        <v>Tm06</v>
      </c>
      <c r="J3" s="61" t="str">
        <f ca="1">B11</f>
        <v>Tm07</v>
      </c>
      <c r="K3" s="61" t="str">
        <f ca="1">B12</f>
        <v>Tm08</v>
      </c>
      <c r="L3" s="61" t="str">
        <f ca="1">B13</f>
        <v>Tm09</v>
      </c>
      <c r="M3" s="61" t="str">
        <f ca="1">B14</f>
        <v>Tm10</v>
      </c>
      <c r="N3" s="61" t="str">
        <f ca="1">B15</f>
        <v>Tm11</v>
      </c>
      <c r="O3" s="61" t="str">
        <f ca="1">B16</f>
        <v>Tm12</v>
      </c>
      <c r="P3" s="61" t="str">
        <f ca="1">B17</f>
        <v>Tm13</v>
      </c>
      <c r="Q3" s="61" t="str">
        <f ca="1">B18</f>
        <v>Tm14</v>
      </c>
      <c r="R3" s="61" t="str">
        <f ca="1">B19</f>
        <v>Tm15</v>
      </c>
      <c r="S3" s="61" t="str">
        <f ca="1">B20</f>
        <v>Tm16</v>
      </c>
      <c r="T3" s="61" t="str">
        <f ca="1">B21</f>
        <v>Tm17</v>
      </c>
      <c r="U3" s="61" t="str">
        <f ca="1">B22</f>
        <v>Tm18</v>
      </c>
      <c r="V3" s="61" t="str">
        <f ca="1">B23</f>
        <v>Tm19</v>
      </c>
      <c r="W3" s="61" t="str">
        <f ca="1">B24</f>
        <v>Tm20</v>
      </c>
      <c r="X3" s="61" t="str">
        <f ca="1">B25</f>
        <v>Tm21</v>
      </c>
      <c r="Y3" s="61" t="str">
        <f ca="1">B26</f>
        <v>Tm22</v>
      </c>
      <c r="Z3" s="61" t="str">
        <f ca="1">B27</f>
        <v>Tm23</v>
      </c>
      <c r="AA3" s="61" t="str">
        <f ca="1">B28</f>
        <v>Tm24</v>
      </c>
      <c r="AB3" s="61" t="str">
        <f ca="1">B29</f>
        <v/>
      </c>
      <c r="AC3" s="61" t="str">
        <f ca="1">B30</f>
        <v/>
      </c>
      <c r="AD3" s="61" t="str">
        <f ca="1">B31</f>
        <v/>
      </c>
      <c r="AE3" s="61" t="str">
        <f ca="1">B32</f>
        <v/>
      </c>
      <c r="AF3" s="61" t="str">
        <f ca="1">B33</f>
        <v/>
      </c>
      <c r="AG3" s="61" t="str">
        <f ca="1">B34</f>
        <v/>
      </c>
      <c r="AH3" s="61" t="str">
        <f ca="1">B35</f>
        <v/>
      </c>
      <c r="AI3" s="61" t="str">
        <f ca="1">B36</f>
        <v/>
      </c>
      <c r="AJ3" s="61" t="str">
        <f ca="1">B37</f>
        <v/>
      </c>
      <c r="AK3" s="61" t="str">
        <f ca="1">B38</f>
        <v/>
      </c>
      <c r="AL3" s="61" t="str">
        <f ca="1">B39</f>
        <v/>
      </c>
      <c r="AM3" s="61" t="str">
        <f ca="1">B40</f>
        <v/>
      </c>
      <c r="AN3" s="61" t="str">
        <f ca="1">B41</f>
        <v/>
      </c>
      <c r="AO3" s="61" t="str">
        <f ca="1">B42</f>
        <v/>
      </c>
      <c r="AP3" s="61" t="str">
        <f ca="1">B43</f>
        <v/>
      </c>
      <c r="AQ3" s="61" t="str">
        <f ca="1">B44</f>
        <v/>
      </c>
      <c r="AR3" s="61" t="str">
        <f ca="1">B45</f>
        <v/>
      </c>
      <c r="AS3" s="61" t="str">
        <f ca="1">B46</f>
        <v/>
      </c>
      <c r="AT3" s="61" t="str">
        <f ca="1">B47</f>
        <v/>
      </c>
      <c r="AU3" s="61" t="str">
        <f ca="1">B48</f>
        <v/>
      </c>
      <c r="AV3" s="61" t="str">
        <f ca="1">B49</f>
        <v/>
      </c>
      <c r="AW3" s="61" t="str">
        <f ca="1">B50</f>
        <v/>
      </c>
    </row>
    <row r="4" spans="1:51" ht="10" customHeight="1" thickBot="1">
      <c r="D4" s="145">
        <f>$C5</f>
        <v>1</v>
      </c>
      <c r="E4" s="145">
        <f>$C6</f>
        <v>1</v>
      </c>
      <c r="F4" s="145">
        <f>$C7</f>
        <v>1</v>
      </c>
      <c r="G4" s="145">
        <f>$C8</f>
        <v>1</v>
      </c>
      <c r="H4" s="145">
        <f>$C9</f>
        <v>1</v>
      </c>
      <c r="I4" s="145">
        <f>$C10</f>
        <v>1</v>
      </c>
      <c r="J4" s="145">
        <f>$C11</f>
        <v>1</v>
      </c>
      <c r="K4" s="145">
        <f>$C12</f>
        <v>1</v>
      </c>
      <c r="L4" s="145">
        <f>$C13</f>
        <v>2</v>
      </c>
      <c r="M4" s="145">
        <f>$C14</f>
        <v>2</v>
      </c>
      <c r="N4" s="145">
        <f>$C15</f>
        <v>2</v>
      </c>
      <c r="O4" s="145">
        <f>$C16</f>
        <v>2</v>
      </c>
      <c r="P4" s="145">
        <f>$C17</f>
        <v>2</v>
      </c>
      <c r="Q4" s="145">
        <f>$C18</f>
        <v>2</v>
      </c>
      <c r="R4" s="145">
        <f>$C19</f>
        <v>2</v>
      </c>
      <c r="S4" s="145">
        <f>$C20</f>
        <v>2</v>
      </c>
      <c r="T4" s="145">
        <f>$C21</f>
        <v>3</v>
      </c>
      <c r="U4" s="145">
        <f>$C22</f>
        <v>3</v>
      </c>
      <c r="V4" s="145">
        <f>$C23</f>
        <v>3</v>
      </c>
      <c r="W4" s="145">
        <f>$C24</f>
        <v>3</v>
      </c>
      <c r="X4" s="145">
        <f>$C25</f>
        <v>3</v>
      </c>
      <c r="Y4" s="145">
        <f>$C26</f>
        <v>3</v>
      </c>
      <c r="Z4" s="145">
        <f>$C27</f>
        <v>3</v>
      </c>
      <c r="AA4" s="145">
        <f>$C28</f>
        <v>3</v>
      </c>
      <c r="AB4" s="145">
        <f>$C29</f>
        <v>0</v>
      </c>
      <c r="AC4" s="145">
        <f>$C30</f>
        <v>0</v>
      </c>
      <c r="AD4" s="145">
        <f>$C31</f>
        <v>0</v>
      </c>
      <c r="AE4" s="145">
        <f>$C32</f>
        <v>0</v>
      </c>
      <c r="AF4" s="145">
        <f>$C33</f>
        <v>0</v>
      </c>
      <c r="AG4" s="145">
        <f>$C34</f>
        <v>0</v>
      </c>
      <c r="AH4" s="145">
        <f>$C35</f>
        <v>0</v>
      </c>
      <c r="AI4" s="145">
        <f>$C36</f>
        <v>0</v>
      </c>
      <c r="AJ4" s="145">
        <f>$C37</f>
        <v>0</v>
      </c>
      <c r="AK4" s="145">
        <f>$C38</f>
        <v>0</v>
      </c>
      <c r="AL4" s="145">
        <f>$C39</f>
        <v>0</v>
      </c>
      <c r="AM4" s="145">
        <f>$C40</f>
        <v>0</v>
      </c>
      <c r="AN4" s="145">
        <f>$C41</f>
        <v>0</v>
      </c>
      <c r="AO4" s="145">
        <f>$C42</f>
        <v>0</v>
      </c>
      <c r="AP4" s="145">
        <f>$C43</f>
        <v>0</v>
      </c>
      <c r="AQ4" s="145">
        <f>$C44</f>
        <v>0</v>
      </c>
      <c r="AR4" s="145">
        <f>$C45</f>
        <v>0</v>
      </c>
      <c r="AS4" s="145">
        <f>$C46</f>
        <v>0</v>
      </c>
      <c r="AT4" s="145">
        <f>$C47</f>
        <v>0</v>
      </c>
      <c r="AU4" s="145">
        <f>$C48</f>
        <v>0</v>
      </c>
      <c r="AV4" s="145">
        <f>$C4</f>
        <v>0</v>
      </c>
      <c r="AW4" s="145">
        <f>$C50</f>
        <v>0</v>
      </c>
    </row>
    <row r="5" spans="1:51" ht="18" customHeight="1" thickBot="1">
      <c r="B5" s="49" t="str">
        <f ca="1">IF($AW$2="y",CS!AR11,"")</f>
        <v>Tm01</v>
      </c>
      <c r="C5" s="144">
        <f>DrawFinder!Y11</f>
        <v>1</v>
      </c>
      <c r="D5" s="53" t="str">
        <f>IF(D$4=0,0,CHAR(D$4+64))</f>
        <v>A</v>
      </c>
      <c r="E5" s="52" t="str">
        <f>IF(AND($C5=0,AND($C6&gt;0,$C6=E$4)),LEFT(E$3,2),"")</f>
        <v/>
      </c>
      <c r="F5" s="52" t="str">
        <f t="shared" ref="F5:AW11" si="0">IF(AND($C5=0,AND($C6&gt;0,$C6=F$4)),LEFT(F$3,2),"")</f>
        <v/>
      </c>
      <c r="G5" s="52" t="str">
        <f t="shared" si="0"/>
        <v/>
      </c>
      <c r="H5" s="52" t="str">
        <f t="shared" si="0"/>
        <v/>
      </c>
      <c r="I5" s="52" t="str">
        <f t="shared" si="0"/>
        <v/>
      </c>
      <c r="J5" s="52" t="str">
        <f t="shared" si="0"/>
        <v/>
      </c>
      <c r="K5" s="52" t="str">
        <f t="shared" si="0"/>
        <v/>
      </c>
      <c r="L5" s="52" t="str">
        <f t="shared" si="0"/>
        <v/>
      </c>
      <c r="M5" s="52" t="str">
        <f t="shared" si="0"/>
        <v/>
      </c>
      <c r="N5" s="52" t="str">
        <f t="shared" si="0"/>
        <v/>
      </c>
      <c r="O5" s="52" t="str">
        <f t="shared" si="0"/>
        <v/>
      </c>
      <c r="P5" s="52" t="str">
        <f t="shared" si="0"/>
        <v/>
      </c>
      <c r="Q5" s="52" t="str">
        <f t="shared" si="0"/>
        <v/>
      </c>
      <c r="R5" s="52" t="str">
        <f t="shared" si="0"/>
        <v/>
      </c>
      <c r="S5" s="52" t="str">
        <f t="shared" si="0"/>
        <v/>
      </c>
      <c r="T5" s="52" t="str">
        <f t="shared" si="0"/>
        <v/>
      </c>
      <c r="U5" s="52" t="str">
        <f t="shared" si="0"/>
        <v/>
      </c>
      <c r="V5" s="52" t="str">
        <f t="shared" si="0"/>
        <v/>
      </c>
      <c r="W5" s="52" t="str">
        <f t="shared" si="0"/>
        <v/>
      </c>
      <c r="X5" s="52" t="str">
        <f t="shared" si="0"/>
        <v/>
      </c>
      <c r="Y5" s="52" t="str">
        <f t="shared" si="0"/>
        <v/>
      </c>
      <c r="Z5" s="52" t="str">
        <f t="shared" si="0"/>
        <v/>
      </c>
      <c r="AA5" s="52" t="str">
        <f t="shared" si="0"/>
        <v/>
      </c>
      <c r="AB5" s="52" t="str">
        <f t="shared" si="0"/>
        <v/>
      </c>
      <c r="AC5" s="52" t="str">
        <f t="shared" si="0"/>
        <v/>
      </c>
      <c r="AD5" s="52" t="str">
        <f t="shared" si="0"/>
        <v/>
      </c>
      <c r="AE5" s="52" t="str">
        <f t="shared" si="0"/>
        <v/>
      </c>
      <c r="AF5" s="52" t="str">
        <f t="shared" si="0"/>
        <v/>
      </c>
      <c r="AG5" s="52" t="str">
        <f t="shared" si="0"/>
        <v/>
      </c>
      <c r="AH5" s="52" t="str">
        <f t="shared" si="0"/>
        <v/>
      </c>
      <c r="AI5" s="52" t="str">
        <f t="shared" si="0"/>
        <v/>
      </c>
      <c r="AJ5" s="52" t="str">
        <f t="shared" si="0"/>
        <v/>
      </c>
      <c r="AK5" s="52" t="str">
        <f t="shared" si="0"/>
        <v/>
      </c>
      <c r="AL5" s="52" t="str">
        <f t="shared" si="0"/>
        <v/>
      </c>
      <c r="AM5" s="52" t="str">
        <f t="shared" si="0"/>
        <v/>
      </c>
      <c r="AN5" s="52" t="str">
        <f t="shared" si="0"/>
        <v/>
      </c>
      <c r="AO5" s="52" t="str">
        <f t="shared" si="0"/>
        <v/>
      </c>
      <c r="AP5" s="52" t="str">
        <f t="shared" si="0"/>
        <v/>
      </c>
      <c r="AQ5" s="52" t="str">
        <f t="shared" si="0"/>
        <v/>
      </c>
      <c r="AR5" s="52" t="str">
        <f t="shared" si="0"/>
        <v/>
      </c>
      <c r="AS5" s="52" t="str">
        <f t="shared" si="0"/>
        <v/>
      </c>
      <c r="AT5" s="52" t="str">
        <f t="shared" si="0"/>
        <v/>
      </c>
      <c r="AU5" s="52" t="str">
        <f t="shared" si="0"/>
        <v/>
      </c>
      <c r="AV5" s="52" t="str">
        <f t="shared" si="0"/>
        <v/>
      </c>
      <c r="AW5" s="52" t="str">
        <f t="shared" si="0"/>
        <v/>
      </c>
    </row>
    <row r="6" spans="1:51" ht="18" customHeight="1" thickBot="1">
      <c r="B6" s="49" t="str">
        <f ca="1">IF($AW$2="y",CS!AR12,"")</f>
        <v>Tm02</v>
      </c>
      <c r="C6" s="144">
        <f>DrawFinder!Y12</f>
        <v>1</v>
      </c>
      <c r="D6" s="52" t="str">
        <f>IF(AND(D$4=0,AND(E$4&gt;0,$C6=E$4)),LEFT($B6,2),"")</f>
        <v/>
      </c>
      <c r="E6" s="53" t="str">
        <f>IF(E$4=0,0,CHAR(E$4+64))</f>
        <v>A</v>
      </c>
      <c r="F6" s="52" t="str">
        <f>IF(AND($C6=0,AND($C7&gt;0,$C7=F$4)),LEFT(F$3,2),"")</f>
        <v/>
      </c>
      <c r="G6" s="52" t="str">
        <f t="shared" si="0"/>
        <v/>
      </c>
      <c r="H6" s="52" t="str">
        <f t="shared" si="0"/>
        <v/>
      </c>
      <c r="I6" s="52" t="str">
        <f t="shared" si="0"/>
        <v/>
      </c>
      <c r="J6" s="52" t="str">
        <f t="shared" si="0"/>
        <v/>
      </c>
      <c r="K6" s="52" t="str">
        <f t="shared" si="0"/>
        <v/>
      </c>
      <c r="L6" s="52" t="str">
        <f t="shared" si="0"/>
        <v/>
      </c>
      <c r="M6" s="52" t="str">
        <f t="shared" si="0"/>
        <v/>
      </c>
      <c r="N6" s="52" t="str">
        <f t="shared" si="0"/>
        <v/>
      </c>
      <c r="O6" s="52" t="str">
        <f t="shared" si="0"/>
        <v/>
      </c>
      <c r="P6" s="52" t="str">
        <f t="shared" si="0"/>
        <v/>
      </c>
      <c r="Q6" s="52" t="str">
        <f t="shared" si="0"/>
        <v/>
      </c>
      <c r="R6" s="52" t="str">
        <f t="shared" si="0"/>
        <v/>
      </c>
      <c r="S6" s="52" t="str">
        <f t="shared" si="0"/>
        <v/>
      </c>
      <c r="T6" s="52" t="str">
        <f t="shared" si="0"/>
        <v/>
      </c>
      <c r="U6" s="52" t="str">
        <f t="shared" si="0"/>
        <v/>
      </c>
      <c r="V6" s="52" t="str">
        <f t="shared" si="0"/>
        <v/>
      </c>
      <c r="W6" s="52" t="str">
        <f t="shared" si="0"/>
        <v/>
      </c>
      <c r="X6" s="52" t="str">
        <f t="shared" si="0"/>
        <v/>
      </c>
      <c r="Y6" s="52" t="str">
        <f t="shared" si="0"/>
        <v/>
      </c>
      <c r="Z6" s="52" t="str">
        <f t="shared" si="0"/>
        <v/>
      </c>
      <c r="AA6" s="52" t="str">
        <f t="shared" si="0"/>
        <v/>
      </c>
      <c r="AB6" s="52" t="str">
        <f t="shared" si="0"/>
        <v/>
      </c>
      <c r="AC6" s="52" t="str">
        <f t="shared" si="0"/>
        <v/>
      </c>
      <c r="AD6" s="52" t="str">
        <f t="shared" si="0"/>
        <v/>
      </c>
      <c r="AE6" s="52" t="str">
        <f t="shared" si="0"/>
        <v/>
      </c>
      <c r="AF6" s="52" t="str">
        <f t="shared" si="0"/>
        <v/>
      </c>
      <c r="AG6" s="52" t="str">
        <f t="shared" si="0"/>
        <v/>
      </c>
      <c r="AH6" s="52" t="str">
        <f t="shared" si="0"/>
        <v/>
      </c>
      <c r="AI6" s="52" t="str">
        <f t="shared" si="0"/>
        <v/>
      </c>
      <c r="AJ6" s="52" t="str">
        <f t="shared" si="0"/>
        <v/>
      </c>
      <c r="AK6" s="52" t="str">
        <f t="shared" si="0"/>
        <v/>
      </c>
      <c r="AL6" s="52" t="str">
        <f t="shared" si="0"/>
        <v/>
      </c>
      <c r="AM6" s="52" t="str">
        <f t="shared" si="0"/>
        <v/>
      </c>
      <c r="AN6" s="52" t="str">
        <f t="shared" si="0"/>
        <v/>
      </c>
      <c r="AO6" s="52" t="str">
        <f t="shared" si="0"/>
        <v/>
      </c>
      <c r="AP6" s="52" t="str">
        <f t="shared" si="0"/>
        <v/>
      </c>
      <c r="AQ6" s="52" t="str">
        <f t="shared" si="0"/>
        <v/>
      </c>
      <c r="AR6" s="52" t="str">
        <f t="shared" si="0"/>
        <v/>
      </c>
      <c r="AS6" s="52" t="str">
        <f t="shared" si="0"/>
        <v/>
      </c>
      <c r="AT6" s="52" t="str">
        <f t="shared" si="0"/>
        <v/>
      </c>
      <c r="AU6" s="52" t="str">
        <f t="shared" si="0"/>
        <v/>
      </c>
      <c r="AV6" s="52" t="str">
        <f t="shared" si="0"/>
        <v/>
      </c>
      <c r="AW6" s="52" t="str">
        <f t="shared" si="0"/>
        <v/>
      </c>
    </row>
    <row r="7" spans="1:51" ht="18" customHeight="1" thickBot="1">
      <c r="B7" s="49" t="str">
        <f ca="1">IF($AW$2="y",CS!AR13,"")</f>
        <v>Tm03</v>
      </c>
      <c r="C7" s="144">
        <f>DrawFinder!Y13</f>
        <v>1</v>
      </c>
      <c r="D7" s="52" t="str">
        <f t="shared" ref="D7:J50" si="1">IF(AND(D$4=0,AND(E$4&gt;0,$C7=E$4)),LEFT($B7,2),"")</f>
        <v/>
      </c>
      <c r="E7" s="52" t="str">
        <f>IF(AND(E$4=0,AND(F$4&gt;0,$C7=F$4)),LEFT($B7,2),"")</f>
        <v/>
      </c>
      <c r="F7" s="53" t="str">
        <f>IF(F$4=0,0,CHAR(F$4+64))</f>
        <v>A</v>
      </c>
      <c r="G7" s="52" t="str">
        <f>IF(AND($C7=0,AND($C8&gt;0,$C8=G$4)),LEFT(G$3,2),"")</f>
        <v/>
      </c>
      <c r="H7" s="52" t="str">
        <f t="shared" si="0"/>
        <v/>
      </c>
      <c r="I7" s="52" t="str">
        <f t="shared" si="0"/>
        <v/>
      </c>
      <c r="J7" s="52" t="str">
        <f t="shared" si="0"/>
        <v/>
      </c>
      <c r="K7" s="52" t="str">
        <f t="shared" si="0"/>
        <v/>
      </c>
      <c r="L7" s="52" t="str">
        <f t="shared" si="0"/>
        <v/>
      </c>
      <c r="M7" s="52" t="str">
        <f t="shared" si="0"/>
        <v/>
      </c>
      <c r="N7" s="52" t="str">
        <f t="shared" si="0"/>
        <v/>
      </c>
      <c r="O7" s="52" t="str">
        <f t="shared" si="0"/>
        <v/>
      </c>
      <c r="P7" s="52" t="str">
        <f t="shared" si="0"/>
        <v/>
      </c>
      <c r="Q7" s="52" t="str">
        <f t="shared" si="0"/>
        <v/>
      </c>
      <c r="R7" s="52" t="str">
        <f t="shared" si="0"/>
        <v/>
      </c>
      <c r="S7" s="52" t="str">
        <f t="shared" si="0"/>
        <v/>
      </c>
      <c r="T7" s="52" t="str">
        <f t="shared" si="0"/>
        <v/>
      </c>
      <c r="U7" s="52" t="str">
        <f t="shared" si="0"/>
        <v/>
      </c>
      <c r="V7" s="52" t="str">
        <f t="shared" si="0"/>
        <v/>
      </c>
      <c r="W7" s="52" t="str">
        <f t="shared" si="0"/>
        <v/>
      </c>
      <c r="X7" s="52" t="str">
        <f t="shared" si="0"/>
        <v/>
      </c>
      <c r="Y7" s="52" t="str">
        <f t="shared" si="0"/>
        <v/>
      </c>
      <c r="Z7" s="52" t="str">
        <f t="shared" si="0"/>
        <v/>
      </c>
      <c r="AA7" s="52" t="str">
        <f t="shared" si="0"/>
        <v/>
      </c>
      <c r="AB7" s="52" t="str">
        <f t="shared" si="0"/>
        <v/>
      </c>
      <c r="AC7" s="52" t="str">
        <f t="shared" si="0"/>
        <v/>
      </c>
      <c r="AD7" s="52" t="str">
        <f t="shared" si="0"/>
        <v/>
      </c>
      <c r="AE7" s="52" t="str">
        <f t="shared" si="0"/>
        <v/>
      </c>
      <c r="AF7" s="52" t="str">
        <f t="shared" si="0"/>
        <v/>
      </c>
      <c r="AG7" s="52" t="str">
        <f t="shared" si="0"/>
        <v/>
      </c>
      <c r="AH7" s="52" t="str">
        <f t="shared" si="0"/>
        <v/>
      </c>
      <c r="AI7" s="52" t="str">
        <f t="shared" si="0"/>
        <v/>
      </c>
      <c r="AJ7" s="52" t="str">
        <f t="shared" si="0"/>
        <v/>
      </c>
      <c r="AK7" s="52" t="str">
        <f t="shared" si="0"/>
        <v/>
      </c>
      <c r="AL7" s="52" t="str">
        <f t="shared" si="0"/>
        <v/>
      </c>
      <c r="AM7" s="52" t="str">
        <f t="shared" si="0"/>
        <v/>
      </c>
      <c r="AN7" s="52" t="str">
        <f t="shared" si="0"/>
        <v/>
      </c>
      <c r="AO7" s="52" t="str">
        <f t="shared" si="0"/>
        <v/>
      </c>
      <c r="AP7" s="52" t="str">
        <f t="shared" si="0"/>
        <v/>
      </c>
      <c r="AQ7" s="52" t="str">
        <f t="shared" si="0"/>
        <v/>
      </c>
      <c r="AR7" s="52" t="str">
        <f t="shared" si="0"/>
        <v/>
      </c>
      <c r="AS7" s="52" t="str">
        <f t="shared" si="0"/>
        <v/>
      </c>
      <c r="AT7" s="52" t="str">
        <f t="shared" si="0"/>
        <v/>
      </c>
      <c r="AU7" s="52" t="str">
        <f t="shared" si="0"/>
        <v/>
      </c>
      <c r="AV7" s="52" t="str">
        <f t="shared" si="0"/>
        <v/>
      </c>
      <c r="AW7" s="52" t="str">
        <f t="shared" si="0"/>
        <v/>
      </c>
    </row>
    <row r="8" spans="1:51" ht="18" customHeight="1" thickBot="1">
      <c r="B8" s="49" t="str">
        <f ca="1">IF($AW$2="y",CS!AR14,"")</f>
        <v>Tm04</v>
      </c>
      <c r="C8" s="144">
        <f>DrawFinder!Y14</f>
        <v>1</v>
      </c>
      <c r="D8" s="52" t="str">
        <f t="shared" si="1"/>
        <v/>
      </c>
      <c r="E8" s="52" t="str">
        <f t="shared" si="1"/>
        <v/>
      </c>
      <c r="F8" s="52" t="str">
        <f>IF(AND(F$4=0,AND(G$4&gt;0,$C8=G$4)),LEFT($B8,2),"")</f>
        <v/>
      </c>
      <c r="G8" s="53" t="str">
        <f>IF(G$4=0,0,CHAR(G$4+64))</f>
        <v>A</v>
      </c>
      <c r="H8" s="52" t="str">
        <f>IF(AND($C8=0,AND($C9&gt;0,$C9=H$4)),LEFT(H$3,2),"")</f>
        <v/>
      </c>
      <c r="I8" s="52" t="str">
        <f t="shared" si="0"/>
        <v/>
      </c>
      <c r="J8" s="52" t="str">
        <f t="shared" si="0"/>
        <v/>
      </c>
      <c r="K8" s="52" t="str">
        <f t="shared" si="0"/>
        <v/>
      </c>
      <c r="L8" s="52" t="str">
        <f t="shared" si="0"/>
        <v/>
      </c>
      <c r="M8" s="52" t="str">
        <f t="shared" si="0"/>
        <v/>
      </c>
      <c r="N8" s="52" t="str">
        <f t="shared" si="0"/>
        <v/>
      </c>
      <c r="O8" s="52" t="str">
        <f t="shared" si="0"/>
        <v/>
      </c>
      <c r="P8" s="52" t="str">
        <f t="shared" si="0"/>
        <v/>
      </c>
      <c r="Q8" s="52" t="str">
        <f t="shared" si="0"/>
        <v/>
      </c>
      <c r="R8" s="52" t="str">
        <f t="shared" si="0"/>
        <v/>
      </c>
      <c r="S8" s="52" t="str">
        <f t="shared" si="0"/>
        <v/>
      </c>
      <c r="T8" s="52" t="str">
        <f t="shared" si="0"/>
        <v/>
      </c>
      <c r="U8" s="52" t="str">
        <f t="shared" si="0"/>
        <v/>
      </c>
      <c r="V8" s="52" t="str">
        <f t="shared" si="0"/>
        <v/>
      </c>
      <c r="W8" s="52" t="str">
        <f t="shared" si="0"/>
        <v/>
      </c>
      <c r="X8" s="52" t="str">
        <f t="shared" si="0"/>
        <v/>
      </c>
      <c r="Y8" s="52" t="str">
        <f t="shared" si="0"/>
        <v/>
      </c>
      <c r="Z8" s="52" t="str">
        <f t="shared" si="0"/>
        <v/>
      </c>
      <c r="AA8" s="52" t="str">
        <f t="shared" si="0"/>
        <v/>
      </c>
      <c r="AB8" s="52" t="str">
        <f t="shared" si="0"/>
        <v/>
      </c>
      <c r="AC8" s="52" t="str">
        <f t="shared" si="0"/>
        <v/>
      </c>
      <c r="AD8" s="52" t="str">
        <f t="shared" si="0"/>
        <v/>
      </c>
      <c r="AE8" s="52" t="str">
        <f t="shared" si="0"/>
        <v/>
      </c>
      <c r="AF8" s="52" t="str">
        <f t="shared" si="0"/>
        <v/>
      </c>
      <c r="AG8" s="52" t="str">
        <f t="shared" si="0"/>
        <v/>
      </c>
      <c r="AH8" s="52" t="str">
        <f t="shared" si="0"/>
        <v/>
      </c>
      <c r="AI8" s="52" t="str">
        <f t="shared" si="0"/>
        <v/>
      </c>
      <c r="AJ8" s="52" t="str">
        <f t="shared" si="0"/>
        <v/>
      </c>
      <c r="AK8" s="52" t="str">
        <f t="shared" si="0"/>
        <v/>
      </c>
      <c r="AL8" s="52" t="str">
        <f t="shared" si="0"/>
        <v/>
      </c>
      <c r="AM8" s="52" t="str">
        <f t="shared" si="0"/>
        <v/>
      </c>
      <c r="AN8" s="52" t="str">
        <f t="shared" si="0"/>
        <v/>
      </c>
      <c r="AO8" s="52" t="str">
        <f t="shared" si="0"/>
        <v/>
      </c>
      <c r="AP8" s="52" t="str">
        <f t="shared" si="0"/>
        <v/>
      </c>
      <c r="AQ8" s="52" t="str">
        <f t="shared" si="0"/>
        <v/>
      </c>
      <c r="AR8" s="52" t="str">
        <f t="shared" si="0"/>
        <v/>
      </c>
      <c r="AS8" s="52" t="str">
        <f t="shared" si="0"/>
        <v/>
      </c>
      <c r="AT8" s="52" t="str">
        <f t="shared" si="0"/>
        <v/>
      </c>
      <c r="AU8" s="52" t="str">
        <f t="shared" si="0"/>
        <v/>
      </c>
      <c r="AV8" s="52" t="str">
        <f t="shared" si="0"/>
        <v/>
      </c>
      <c r="AW8" s="52" t="str">
        <f t="shared" si="0"/>
        <v/>
      </c>
    </row>
    <row r="9" spans="1:51" ht="18" customHeight="1" thickBot="1">
      <c r="B9" s="49" t="str">
        <f ca="1">IF($AW$2="y",CS!AR15,"")</f>
        <v>Tm05</v>
      </c>
      <c r="C9" s="144">
        <f>DrawFinder!Y15</f>
        <v>1</v>
      </c>
      <c r="D9" s="52" t="str">
        <f t="shared" si="1"/>
        <v/>
      </c>
      <c r="E9" s="52" t="str">
        <f t="shared" si="1"/>
        <v/>
      </c>
      <c r="F9" s="52" t="str">
        <f t="shared" si="1"/>
        <v/>
      </c>
      <c r="G9" s="52" t="str">
        <f>IF(AND(G$4=0,AND(H$4&gt;0,$C9=H$4)),LEFT($B9,2),"")</f>
        <v/>
      </c>
      <c r="H9" s="53" t="str">
        <f>IF(H$4=0,0,CHAR(H$4+64))</f>
        <v>A</v>
      </c>
      <c r="I9" s="52" t="str">
        <f>IF(AND($C9=0,AND($C10&gt;0,$C10=I$4)),LEFT(I$3,2),"")</f>
        <v/>
      </c>
      <c r="J9" s="52" t="str">
        <f t="shared" si="0"/>
        <v/>
      </c>
      <c r="K9" s="52" t="str">
        <f t="shared" si="0"/>
        <v/>
      </c>
      <c r="L9" s="52" t="str">
        <f t="shared" si="0"/>
        <v/>
      </c>
      <c r="M9" s="52" t="str">
        <f t="shared" si="0"/>
        <v/>
      </c>
      <c r="N9" s="52" t="str">
        <f t="shared" si="0"/>
        <v/>
      </c>
      <c r="O9" s="52" t="str">
        <f t="shared" si="0"/>
        <v/>
      </c>
      <c r="P9" s="52" t="str">
        <f t="shared" si="0"/>
        <v/>
      </c>
      <c r="Q9" s="52" t="str">
        <f t="shared" si="0"/>
        <v/>
      </c>
      <c r="R9" s="52" t="str">
        <f t="shared" si="0"/>
        <v/>
      </c>
      <c r="S9" s="52" t="str">
        <f t="shared" si="0"/>
        <v/>
      </c>
      <c r="T9" s="52" t="str">
        <f t="shared" si="0"/>
        <v/>
      </c>
      <c r="U9" s="52" t="str">
        <f t="shared" si="0"/>
        <v/>
      </c>
      <c r="V9" s="52" t="str">
        <f t="shared" si="0"/>
        <v/>
      </c>
      <c r="W9" s="52" t="str">
        <f t="shared" si="0"/>
        <v/>
      </c>
      <c r="X9" s="52" t="str">
        <f t="shared" si="0"/>
        <v/>
      </c>
      <c r="Y9" s="52" t="str">
        <f t="shared" si="0"/>
        <v/>
      </c>
      <c r="Z9" s="52" t="str">
        <f t="shared" si="0"/>
        <v/>
      </c>
      <c r="AA9" s="52" t="str">
        <f t="shared" si="0"/>
        <v/>
      </c>
      <c r="AB9" s="52" t="str">
        <f t="shared" si="0"/>
        <v/>
      </c>
      <c r="AC9" s="52" t="str">
        <f t="shared" si="0"/>
        <v/>
      </c>
      <c r="AD9" s="52" t="str">
        <f t="shared" si="0"/>
        <v/>
      </c>
      <c r="AE9" s="52" t="str">
        <f t="shared" si="0"/>
        <v/>
      </c>
      <c r="AF9" s="52" t="str">
        <f t="shared" si="0"/>
        <v/>
      </c>
      <c r="AG9" s="52" t="str">
        <f t="shared" si="0"/>
        <v/>
      </c>
      <c r="AH9" s="52" t="str">
        <f t="shared" si="0"/>
        <v/>
      </c>
      <c r="AI9" s="52" t="str">
        <f t="shared" si="0"/>
        <v/>
      </c>
      <c r="AJ9" s="52" t="str">
        <f t="shared" si="0"/>
        <v/>
      </c>
      <c r="AK9" s="52" t="str">
        <f t="shared" si="0"/>
        <v/>
      </c>
      <c r="AL9" s="52" t="str">
        <f t="shared" si="0"/>
        <v/>
      </c>
      <c r="AM9" s="52" t="str">
        <f t="shared" si="0"/>
        <v/>
      </c>
      <c r="AN9" s="52" t="str">
        <f t="shared" si="0"/>
        <v/>
      </c>
      <c r="AO9" s="52" t="str">
        <f t="shared" si="0"/>
        <v/>
      </c>
      <c r="AP9" s="52" t="str">
        <f t="shared" si="0"/>
        <v/>
      </c>
      <c r="AQ9" s="52" t="str">
        <f t="shared" si="0"/>
        <v/>
      </c>
      <c r="AR9" s="52" t="str">
        <f t="shared" si="0"/>
        <v/>
      </c>
      <c r="AS9" s="52" t="str">
        <f t="shared" si="0"/>
        <v/>
      </c>
      <c r="AT9" s="52" t="str">
        <f t="shared" si="0"/>
        <v/>
      </c>
      <c r="AU9" s="52" t="str">
        <f t="shared" si="0"/>
        <v/>
      </c>
      <c r="AV9" s="52" t="str">
        <f t="shared" si="0"/>
        <v/>
      </c>
      <c r="AW9" s="52" t="str">
        <f t="shared" si="0"/>
        <v/>
      </c>
    </row>
    <row r="10" spans="1:51" ht="18" customHeight="1" thickBot="1">
      <c r="B10" s="49" t="str">
        <f ca="1">IF($AW$2="y",CS!AR16,"")</f>
        <v>Tm06</v>
      </c>
      <c r="C10" s="144">
        <f>DrawFinder!Y16</f>
        <v>1</v>
      </c>
      <c r="D10" s="52" t="str">
        <f t="shared" si="1"/>
        <v/>
      </c>
      <c r="E10" s="52" t="str">
        <f t="shared" si="1"/>
        <v/>
      </c>
      <c r="F10" s="52" t="str">
        <f t="shared" si="1"/>
        <v/>
      </c>
      <c r="G10" s="52" t="str">
        <f t="shared" si="1"/>
        <v/>
      </c>
      <c r="H10" s="52" t="str">
        <f>IF(AND(H$4=0,AND(I$4&gt;0,$C10=I$4)),LEFT($B10,2),"")</f>
        <v/>
      </c>
      <c r="I10" s="53" t="str">
        <f>IF(I$4=0,0,CHAR(I$4+64))</f>
        <v>A</v>
      </c>
      <c r="J10" s="52" t="str">
        <f>IF(AND($C10=0,AND($C11&gt;0,$C11=J$4)),LEFT(J$3,2),"")</f>
        <v/>
      </c>
      <c r="K10" s="52" t="str">
        <f t="shared" si="0"/>
        <v/>
      </c>
      <c r="L10" s="52" t="str">
        <f t="shared" si="0"/>
        <v/>
      </c>
      <c r="M10" s="52" t="str">
        <f t="shared" si="0"/>
        <v/>
      </c>
      <c r="N10" s="52" t="str">
        <f t="shared" si="0"/>
        <v/>
      </c>
      <c r="O10" s="52" t="str">
        <f t="shared" si="0"/>
        <v/>
      </c>
      <c r="P10" s="52" t="str">
        <f t="shared" si="0"/>
        <v/>
      </c>
      <c r="Q10" s="52" t="str">
        <f t="shared" si="0"/>
        <v/>
      </c>
      <c r="R10" s="52" t="str">
        <f t="shared" si="0"/>
        <v/>
      </c>
      <c r="S10" s="52" t="str">
        <f t="shared" si="0"/>
        <v/>
      </c>
      <c r="T10" s="52" t="str">
        <f t="shared" si="0"/>
        <v/>
      </c>
      <c r="U10" s="52" t="str">
        <f t="shared" si="0"/>
        <v/>
      </c>
      <c r="V10" s="52" t="str">
        <f t="shared" si="0"/>
        <v/>
      </c>
      <c r="W10" s="52" t="str">
        <f t="shared" si="0"/>
        <v/>
      </c>
      <c r="X10" s="52" t="str">
        <f t="shared" si="0"/>
        <v/>
      </c>
      <c r="Y10" s="52" t="str">
        <f t="shared" si="0"/>
        <v/>
      </c>
      <c r="Z10" s="52" t="str">
        <f t="shared" si="0"/>
        <v/>
      </c>
      <c r="AA10" s="52" t="str">
        <f t="shared" si="0"/>
        <v/>
      </c>
      <c r="AB10" s="52" t="str">
        <f t="shared" si="0"/>
        <v/>
      </c>
      <c r="AC10" s="52" t="str">
        <f t="shared" si="0"/>
        <v/>
      </c>
      <c r="AD10" s="52" t="str">
        <f t="shared" si="0"/>
        <v/>
      </c>
      <c r="AE10" s="52" t="str">
        <f t="shared" si="0"/>
        <v/>
      </c>
      <c r="AF10" s="52" t="str">
        <f t="shared" si="0"/>
        <v/>
      </c>
      <c r="AG10" s="52" t="str">
        <f t="shared" si="0"/>
        <v/>
      </c>
      <c r="AH10" s="52" t="str">
        <f t="shared" si="0"/>
        <v/>
      </c>
      <c r="AI10" s="52" t="str">
        <f t="shared" si="0"/>
        <v/>
      </c>
      <c r="AJ10" s="52" t="str">
        <f t="shared" si="0"/>
        <v/>
      </c>
      <c r="AK10" s="52" t="str">
        <f t="shared" si="0"/>
        <v/>
      </c>
      <c r="AL10" s="52" t="str">
        <f t="shared" si="0"/>
        <v/>
      </c>
      <c r="AM10" s="52" t="str">
        <f t="shared" si="0"/>
        <v/>
      </c>
      <c r="AN10" s="52" t="str">
        <f t="shared" si="0"/>
        <v/>
      </c>
      <c r="AO10" s="52" t="str">
        <f t="shared" si="0"/>
        <v/>
      </c>
      <c r="AP10" s="52" t="str">
        <f t="shared" si="0"/>
        <v/>
      </c>
      <c r="AQ10" s="52" t="str">
        <f t="shared" si="0"/>
        <v/>
      </c>
      <c r="AR10" s="52" t="str">
        <f t="shared" si="0"/>
        <v/>
      </c>
      <c r="AS10" s="52" t="str">
        <f t="shared" si="0"/>
        <v/>
      </c>
      <c r="AT10" s="52" t="str">
        <f t="shared" si="0"/>
        <v/>
      </c>
      <c r="AU10" s="52" t="str">
        <f t="shared" si="0"/>
        <v/>
      </c>
      <c r="AV10" s="52" t="str">
        <f t="shared" si="0"/>
        <v/>
      </c>
      <c r="AW10" s="52" t="str">
        <f t="shared" si="0"/>
        <v/>
      </c>
    </row>
    <row r="11" spans="1:51" ht="18" customHeight="1" thickBot="1">
      <c r="B11" s="49" t="str">
        <f ca="1">IF($AW$2="y",CS!AR17,"")</f>
        <v>Tm07</v>
      </c>
      <c r="C11" s="144">
        <f>DrawFinder!Y17</f>
        <v>1</v>
      </c>
      <c r="D11" s="52" t="str">
        <f t="shared" si="1"/>
        <v/>
      </c>
      <c r="E11" s="52" t="str">
        <f t="shared" si="1"/>
        <v/>
      </c>
      <c r="F11" s="52" t="str">
        <f t="shared" si="1"/>
        <v/>
      </c>
      <c r="G11" s="52" t="str">
        <f t="shared" si="1"/>
        <v/>
      </c>
      <c r="H11" s="52" t="str">
        <f t="shared" si="1"/>
        <v/>
      </c>
      <c r="I11" s="52" t="str">
        <f>IF(AND(I$4=0,AND(J$4&gt;0,$C11=J$4)),LEFT($B11,2),"")</f>
        <v/>
      </c>
      <c r="J11" s="53" t="str">
        <f>IF(J$4=0,0,CHAR(J$4+64))</f>
        <v>A</v>
      </c>
      <c r="K11" s="52" t="str">
        <f>IF(AND($C11=0,AND($C12&gt;0,$C12=K$4)),LEFT(K$3,2),"")</f>
        <v/>
      </c>
      <c r="L11" s="52" t="str">
        <f t="shared" si="0"/>
        <v/>
      </c>
      <c r="M11" s="52" t="str">
        <f t="shared" si="0"/>
        <v/>
      </c>
      <c r="N11" s="52" t="str">
        <f t="shared" si="0"/>
        <v/>
      </c>
      <c r="O11" s="52" t="str">
        <f t="shared" si="0"/>
        <v/>
      </c>
      <c r="P11" s="52" t="str">
        <f t="shared" si="0"/>
        <v/>
      </c>
      <c r="Q11" s="52" t="str">
        <f t="shared" si="0"/>
        <v/>
      </c>
      <c r="R11" s="52" t="str">
        <f t="shared" ref="R11:AW18" si="2">IF(AND($C11=0,AND($C12&gt;0,$C12=R$4)),LEFT(R$3,2),"")</f>
        <v/>
      </c>
      <c r="S11" s="52" t="str">
        <f t="shared" si="2"/>
        <v/>
      </c>
      <c r="T11" s="52" t="str">
        <f t="shared" si="2"/>
        <v/>
      </c>
      <c r="U11" s="52" t="str">
        <f t="shared" si="2"/>
        <v/>
      </c>
      <c r="V11" s="52" t="str">
        <f t="shared" si="2"/>
        <v/>
      </c>
      <c r="W11" s="52" t="str">
        <f t="shared" si="2"/>
        <v/>
      </c>
      <c r="X11" s="52" t="str">
        <f t="shared" si="2"/>
        <v/>
      </c>
      <c r="Y11" s="52" t="str">
        <f t="shared" si="2"/>
        <v/>
      </c>
      <c r="Z11" s="52" t="str">
        <f t="shared" si="2"/>
        <v/>
      </c>
      <c r="AA11" s="52" t="str">
        <f t="shared" si="2"/>
        <v/>
      </c>
      <c r="AB11" s="52" t="str">
        <f t="shared" si="2"/>
        <v/>
      </c>
      <c r="AC11" s="52" t="str">
        <f t="shared" si="2"/>
        <v/>
      </c>
      <c r="AD11" s="52" t="str">
        <f t="shared" si="2"/>
        <v/>
      </c>
      <c r="AE11" s="52" t="str">
        <f t="shared" si="2"/>
        <v/>
      </c>
      <c r="AF11" s="52" t="str">
        <f t="shared" si="2"/>
        <v/>
      </c>
      <c r="AG11" s="52" t="str">
        <f t="shared" si="2"/>
        <v/>
      </c>
      <c r="AH11" s="52" t="str">
        <f t="shared" si="2"/>
        <v/>
      </c>
      <c r="AI11" s="52" t="str">
        <f t="shared" si="2"/>
        <v/>
      </c>
      <c r="AJ11" s="52" t="str">
        <f t="shared" si="2"/>
        <v/>
      </c>
      <c r="AK11" s="52" t="str">
        <f t="shared" si="2"/>
        <v/>
      </c>
      <c r="AL11" s="52" t="str">
        <f t="shared" si="2"/>
        <v/>
      </c>
      <c r="AM11" s="52" t="str">
        <f t="shared" si="2"/>
        <v/>
      </c>
      <c r="AN11" s="52" t="str">
        <f t="shared" si="2"/>
        <v/>
      </c>
      <c r="AO11" s="52" t="str">
        <f t="shared" si="2"/>
        <v/>
      </c>
      <c r="AP11" s="52" t="str">
        <f t="shared" si="2"/>
        <v/>
      </c>
      <c r="AQ11" s="52" t="str">
        <f t="shared" si="2"/>
        <v/>
      </c>
      <c r="AR11" s="52" t="str">
        <f t="shared" si="2"/>
        <v/>
      </c>
      <c r="AS11" s="52" t="str">
        <f t="shared" si="2"/>
        <v/>
      </c>
      <c r="AT11" s="52" t="str">
        <f t="shared" si="2"/>
        <v/>
      </c>
      <c r="AU11" s="52" t="str">
        <f t="shared" si="2"/>
        <v/>
      </c>
      <c r="AV11" s="52" t="str">
        <f t="shared" si="2"/>
        <v/>
      </c>
      <c r="AW11" s="52" t="str">
        <f t="shared" si="2"/>
        <v/>
      </c>
    </row>
    <row r="12" spans="1:51" ht="18" customHeight="1" thickBot="1">
      <c r="B12" s="49" t="str">
        <f ca="1">IF($AW$2="y",CS!AR18,"")</f>
        <v>Tm08</v>
      </c>
      <c r="C12" s="144">
        <f>DrawFinder!Y18</f>
        <v>1</v>
      </c>
      <c r="D12" s="52" t="str">
        <f t="shared" si="1"/>
        <v/>
      </c>
      <c r="E12" s="52" t="str">
        <f t="shared" si="1"/>
        <v/>
      </c>
      <c r="F12" s="52" t="str">
        <f t="shared" si="1"/>
        <v/>
      </c>
      <c r="G12" s="52" t="str">
        <f t="shared" si="1"/>
        <v/>
      </c>
      <c r="H12" s="52" t="str">
        <f t="shared" si="1"/>
        <v/>
      </c>
      <c r="I12" s="52" t="str">
        <f t="shared" si="1"/>
        <v/>
      </c>
      <c r="J12" s="52" t="str">
        <f>IF(AND(J$4=0,AND(K$4&gt;0,$C12=K$4)),LEFT($B12,2),"")</f>
        <v/>
      </c>
      <c r="K12" s="53" t="str">
        <f>IF(K$4=0,0,CHAR(K$4+64))</f>
        <v>A</v>
      </c>
      <c r="L12" s="52" t="str">
        <f t="shared" ref="L12:Q12" si="3">IF(AND($C12=0,AND($C13&gt;0,$C13=L$4)),LEFT(L$3,2),"")</f>
        <v/>
      </c>
      <c r="M12" s="52" t="str">
        <f t="shared" si="3"/>
        <v/>
      </c>
      <c r="N12" s="52" t="str">
        <f t="shared" si="3"/>
        <v/>
      </c>
      <c r="O12" s="52" t="str">
        <f t="shared" si="3"/>
        <v/>
      </c>
      <c r="P12" s="52" t="str">
        <f t="shared" si="3"/>
        <v/>
      </c>
      <c r="Q12" s="52" t="str">
        <f t="shared" si="3"/>
        <v/>
      </c>
      <c r="R12" s="52" t="str">
        <f t="shared" si="2"/>
        <v/>
      </c>
      <c r="S12" s="52" t="str">
        <f t="shared" si="2"/>
        <v/>
      </c>
      <c r="T12" s="52" t="str">
        <f t="shared" si="2"/>
        <v/>
      </c>
      <c r="U12" s="52" t="str">
        <f t="shared" si="2"/>
        <v/>
      </c>
      <c r="V12" s="52" t="str">
        <f t="shared" si="2"/>
        <v/>
      </c>
      <c r="W12" s="52" t="str">
        <f t="shared" si="2"/>
        <v/>
      </c>
      <c r="X12" s="52" t="str">
        <f t="shared" si="2"/>
        <v/>
      </c>
      <c r="Y12" s="52" t="str">
        <f t="shared" si="2"/>
        <v/>
      </c>
      <c r="Z12" s="52" t="str">
        <f t="shared" si="2"/>
        <v/>
      </c>
      <c r="AA12" s="52" t="str">
        <f t="shared" si="2"/>
        <v/>
      </c>
      <c r="AB12" s="52" t="str">
        <f t="shared" si="2"/>
        <v/>
      </c>
      <c r="AC12" s="52" t="str">
        <f t="shared" si="2"/>
        <v/>
      </c>
      <c r="AD12" s="52" t="str">
        <f t="shared" si="2"/>
        <v/>
      </c>
      <c r="AE12" s="52" t="str">
        <f t="shared" si="2"/>
        <v/>
      </c>
      <c r="AF12" s="52" t="str">
        <f t="shared" si="2"/>
        <v/>
      </c>
      <c r="AG12" s="52" t="str">
        <f t="shared" si="2"/>
        <v/>
      </c>
      <c r="AH12" s="52" t="str">
        <f t="shared" si="2"/>
        <v/>
      </c>
      <c r="AI12" s="52" t="str">
        <f t="shared" si="2"/>
        <v/>
      </c>
      <c r="AJ12" s="52" t="str">
        <f t="shared" si="2"/>
        <v/>
      </c>
      <c r="AK12" s="52" t="str">
        <f t="shared" si="2"/>
        <v/>
      </c>
      <c r="AL12" s="52" t="str">
        <f t="shared" si="2"/>
        <v/>
      </c>
      <c r="AM12" s="52" t="str">
        <f t="shared" si="2"/>
        <v/>
      </c>
      <c r="AN12" s="52" t="str">
        <f t="shared" si="2"/>
        <v/>
      </c>
      <c r="AO12" s="52" t="str">
        <f t="shared" si="2"/>
        <v/>
      </c>
      <c r="AP12" s="52" t="str">
        <f t="shared" si="2"/>
        <v/>
      </c>
      <c r="AQ12" s="52" t="str">
        <f t="shared" si="2"/>
        <v/>
      </c>
      <c r="AR12" s="52" t="str">
        <f t="shared" si="2"/>
        <v/>
      </c>
      <c r="AS12" s="52" t="str">
        <f t="shared" si="2"/>
        <v/>
      </c>
      <c r="AT12" s="52" t="str">
        <f t="shared" si="2"/>
        <v/>
      </c>
      <c r="AU12" s="52" t="str">
        <f t="shared" si="2"/>
        <v/>
      </c>
      <c r="AV12" s="52" t="str">
        <f t="shared" si="2"/>
        <v/>
      </c>
      <c r="AW12" s="52" t="str">
        <f t="shared" si="2"/>
        <v/>
      </c>
    </row>
    <row r="13" spans="1:51" ht="18" customHeight="1" thickBot="1">
      <c r="B13" s="49" t="str">
        <f ca="1">IF($AW$2="y",CS!AR19,"")</f>
        <v>Tm09</v>
      </c>
      <c r="C13" s="144">
        <f>DrawFinder!Y19</f>
        <v>2</v>
      </c>
      <c r="D13" s="52" t="str">
        <f t="shared" si="1"/>
        <v/>
      </c>
      <c r="E13" s="52" t="str">
        <f t="shared" si="1"/>
        <v/>
      </c>
      <c r="F13" s="52" t="str">
        <f t="shared" si="1"/>
        <v/>
      </c>
      <c r="G13" s="52" t="str">
        <f t="shared" si="1"/>
        <v/>
      </c>
      <c r="H13" s="52" t="str">
        <f t="shared" si="1"/>
        <v/>
      </c>
      <c r="I13" s="52" t="str">
        <f t="shared" si="1"/>
        <v/>
      </c>
      <c r="J13" s="52" t="str">
        <f t="shared" si="1"/>
        <v/>
      </c>
      <c r="K13" s="52" t="str">
        <f>IF(AND(K$4=0,AND(L$4&gt;0,$C13=L$4)),LEFT($B13,2),"")</f>
        <v/>
      </c>
      <c r="L13" s="53" t="str">
        <f>IF(L$4=0,0,CHAR(L$4+64))</f>
        <v>B</v>
      </c>
      <c r="M13" s="52" t="str">
        <f>IF(AND($C13=0,AND($C14&gt;0,$C14=M$4)),LEFT(M$3,2),"")</f>
        <v/>
      </c>
      <c r="N13" s="52" t="str">
        <f>IF(AND($C13=0,AND($C14&gt;0,$C14=N$4)),LEFT(N$3,2),"")</f>
        <v/>
      </c>
      <c r="O13" s="52" t="str">
        <f>IF(AND($C13=0,AND($C14&gt;0,$C14=O$4)),LEFT(O$3,2),"")</f>
        <v/>
      </c>
      <c r="P13" s="52" t="str">
        <f>IF(AND($C13=0,AND($C14&gt;0,$C14=P$4)),LEFT(P$3,2),"")</f>
        <v/>
      </c>
      <c r="Q13" s="52" t="str">
        <f>IF(AND($C13=0,AND($C14&gt;0,$C14=Q$4)),LEFT(Q$3,2),"")</f>
        <v/>
      </c>
      <c r="R13" s="52" t="str">
        <f t="shared" si="2"/>
        <v/>
      </c>
      <c r="S13" s="52" t="str">
        <f t="shared" si="2"/>
        <v/>
      </c>
      <c r="T13" s="52" t="str">
        <f t="shared" si="2"/>
        <v/>
      </c>
      <c r="U13" s="52" t="str">
        <f t="shared" si="2"/>
        <v/>
      </c>
      <c r="V13" s="52" t="str">
        <f t="shared" si="2"/>
        <v/>
      </c>
      <c r="W13" s="52" t="str">
        <f t="shared" si="2"/>
        <v/>
      </c>
      <c r="X13" s="52" t="str">
        <f t="shared" si="2"/>
        <v/>
      </c>
      <c r="Y13" s="52" t="str">
        <f t="shared" si="2"/>
        <v/>
      </c>
      <c r="Z13" s="52" t="str">
        <f t="shared" si="2"/>
        <v/>
      </c>
      <c r="AA13" s="52" t="str">
        <f t="shared" si="2"/>
        <v/>
      </c>
      <c r="AB13" s="52" t="str">
        <f t="shared" si="2"/>
        <v/>
      </c>
      <c r="AC13" s="52" t="str">
        <f t="shared" si="2"/>
        <v/>
      </c>
      <c r="AD13" s="52" t="str">
        <f t="shared" si="2"/>
        <v/>
      </c>
      <c r="AE13" s="52" t="str">
        <f t="shared" si="2"/>
        <v/>
      </c>
      <c r="AF13" s="52" t="str">
        <f t="shared" si="2"/>
        <v/>
      </c>
      <c r="AG13" s="52" t="str">
        <f t="shared" si="2"/>
        <v/>
      </c>
      <c r="AH13" s="52" t="str">
        <f t="shared" si="2"/>
        <v/>
      </c>
      <c r="AI13" s="52" t="str">
        <f t="shared" si="2"/>
        <v/>
      </c>
      <c r="AJ13" s="52" t="str">
        <f t="shared" si="2"/>
        <v/>
      </c>
      <c r="AK13" s="52" t="str">
        <f t="shared" si="2"/>
        <v/>
      </c>
      <c r="AL13" s="52" t="str">
        <f t="shared" si="2"/>
        <v/>
      </c>
      <c r="AM13" s="52" t="str">
        <f t="shared" si="2"/>
        <v/>
      </c>
      <c r="AN13" s="52" t="str">
        <f t="shared" si="2"/>
        <v/>
      </c>
      <c r="AO13" s="52" t="str">
        <f t="shared" si="2"/>
        <v/>
      </c>
      <c r="AP13" s="52" t="str">
        <f t="shared" si="2"/>
        <v/>
      </c>
      <c r="AQ13" s="52" t="str">
        <f t="shared" si="2"/>
        <v/>
      </c>
      <c r="AR13" s="52" t="str">
        <f t="shared" si="2"/>
        <v/>
      </c>
      <c r="AS13" s="52" t="str">
        <f t="shared" si="2"/>
        <v/>
      </c>
      <c r="AT13" s="52" t="str">
        <f t="shared" si="2"/>
        <v/>
      </c>
      <c r="AU13" s="52" t="str">
        <f t="shared" si="2"/>
        <v/>
      </c>
      <c r="AV13" s="52" t="str">
        <f t="shared" si="2"/>
        <v/>
      </c>
      <c r="AW13" s="52" t="str">
        <f t="shared" si="2"/>
        <v/>
      </c>
    </row>
    <row r="14" spans="1:51" ht="18" customHeight="1" thickBot="1">
      <c r="B14" s="49" t="str">
        <f ca="1">IF($AW$2="y",CS!AR20,"")</f>
        <v>Tm10</v>
      </c>
      <c r="C14" s="144">
        <f>DrawFinder!Y20</f>
        <v>2</v>
      </c>
      <c r="D14" s="52" t="str">
        <f t="shared" si="1"/>
        <v/>
      </c>
      <c r="E14" s="52" t="str">
        <f t="shared" si="1"/>
        <v/>
      </c>
      <c r="F14" s="52" t="str">
        <f t="shared" si="1"/>
        <v/>
      </c>
      <c r="G14" s="52" t="str">
        <f t="shared" si="1"/>
        <v/>
      </c>
      <c r="H14" s="52" t="str">
        <f t="shared" si="1"/>
        <v/>
      </c>
      <c r="I14" s="52" t="str">
        <f t="shared" si="1"/>
        <v/>
      </c>
      <c r="J14" s="52" t="str">
        <f t="shared" si="1"/>
        <v/>
      </c>
      <c r="K14" s="52" t="str">
        <f t="shared" ref="K14:R50" si="4">IF(AND(K$4=0,AND(L$4&gt;0,$C14=L$4)),LEFT($B14,2),"")</f>
        <v/>
      </c>
      <c r="L14" s="52" t="str">
        <f>IF(AND(L$4=0,AND(M$4&gt;0,$C14=M$4)),LEFT($B14,2),"")</f>
        <v/>
      </c>
      <c r="M14" s="53" t="str">
        <f>IF(M$4=0,0,CHAR(M$4+64))</f>
        <v>B</v>
      </c>
      <c r="N14" s="52" t="str">
        <f>IF(AND($C14=0,AND($C15&gt;0,$C15=N$4)),LEFT(N$3,2),"")</f>
        <v/>
      </c>
      <c r="O14" s="52" t="str">
        <f>IF(AND($C14=0,AND($C15&gt;0,$C15=O$4)),LEFT(O$3,2),"")</f>
        <v/>
      </c>
      <c r="P14" s="52" t="str">
        <f>IF(AND($C14=0,AND($C15&gt;0,$C15=P$4)),LEFT(P$3,2),"")</f>
        <v/>
      </c>
      <c r="Q14" s="52" t="str">
        <f>IF(AND($C14=0,AND($C15&gt;0,$C15=Q$4)),LEFT(Q$3,2),"")</f>
        <v/>
      </c>
      <c r="R14" s="52" t="str">
        <f t="shared" si="2"/>
        <v/>
      </c>
      <c r="S14" s="52" t="str">
        <f t="shared" si="2"/>
        <v/>
      </c>
      <c r="T14" s="52" t="str">
        <f t="shared" si="2"/>
        <v/>
      </c>
      <c r="U14" s="52" t="str">
        <f t="shared" si="2"/>
        <v/>
      </c>
      <c r="V14" s="52" t="str">
        <f t="shared" si="2"/>
        <v/>
      </c>
      <c r="W14" s="52" t="str">
        <f t="shared" si="2"/>
        <v/>
      </c>
      <c r="X14" s="52" t="str">
        <f t="shared" si="2"/>
        <v/>
      </c>
      <c r="Y14" s="52" t="str">
        <f t="shared" si="2"/>
        <v/>
      </c>
      <c r="Z14" s="52" t="str">
        <f t="shared" si="2"/>
        <v/>
      </c>
      <c r="AA14" s="52" t="str">
        <f t="shared" si="2"/>
        <v/>
      </c>
      <c r="AB14" s="52" t="str">
        <f t="shared" si="2"/>
        <v/>
      </c>
      <c r="AC14" s="52" t="str">
        <f t="shared" si="2"/>
        <v/>
      </c>
      <c r="AD14" s="52" t="str">
        <f t="shared" si="2"/>
        <v/>
      </c>
      <c r="AE14" s="52" t="str">
        <f t="shared" si="2"/>
        <v/>
      </c>
      <c r="AF14" s="52" t="str">
        <f t="shared" si="2"/>
        <v/>
      </c>
      <c r="AG14" s="52" t="str">
        <f t="shared" si="2"/>
        <v/>
      </c>
      <c r="AH14" s="52" t="str">
        <f t="shared" si="2"/>
        <v/>
      </c>
      <c r="AI14" s="52" t="str">
        <f t="shared" si="2"/>
        <v/>
      </c>
      <c r="AJ14" s="52" t="str">
        <f t="shared" si="2"/>
        <v/>
      </c>
      <c r="AK14" s="52" t="str">
        <f t="shared" si="2"/>
        <v/>
      </c>
      <c r="AL14" s="52" t="str">
        <f t="shared" si="2"/>
        <v/>
      </c>
      <c r="AM14" s="52" t="str">
        <f t="shared" si="2"/>
        <v/>
      </c>
      <c r="AN14" s="52" t="str">
        <f t="shared" si="2"/>
        <v/>
      </c>
      <c r="AO14" s="52" t="str">
        <f t="shared" si="2"/>
        <v/>
      </c>
      <c r="AP14" s="52" t="str">
        <f t="shared" si="2"/>
        <v/>
      </c>
      <c r="AQ14" s="52" t="str">
        <f t="shared" si="2"/>
        <v/>
      </c>
      <c r="AR14" s="52" t="str">
        <f t="shared" si="2"/>
        <v/>
      </c>
      <c r="AS14" s="52" t="str">
        <f t="shared" si="2"/>
        <v/>
      </c>
      <c r="AT14" s="52" t="str">
        <f t="shared" si="2"/>
        <v/>
      </c>
      <c r="AU14" s="52" t="str">
        <f t="shared" si="2"/>
        <v/>
      </c>
      <c r="AV14" s="52" t="str">
        <f t="shared" si="2"/>
        <v/>
      </c>
      <c r="AW14" s="52" t="str">
        <f t="shared" si="2"/>
        <v/>
      </c>
    </row>
    <row r="15" spans="1:51" ht="18" customHeight="1" thickBot="1">
      <c r="B15" s="49" t="str">
        <f ca="1">IF($AW$2="y",CS!AR21,"")</f>
        <v>Tm11</v>
      </c>
      <c r="C15" s="144">
        <f>DrawFinder!Y21</f>
        <v>2</v>
      </c>
      <c r="D15" s="52" t="str">
        <f t="shared" si="1"/>
        <v/>
      </c>
      <c r="E15" s="52" t="str">
        <f t="shared" si="1"/>
        <v/>
      </c>
      <c r="F15" s="52" t="str">
        <f t="shared" si="1"/>
        <v/>
      </c>
      <c r="G15" s="52" t="str">
        <f t="shared" si="1"/>
        <v/>
      </c>
      <c r="H15" s="52" t="str">
        <f t="shared" si="1"/>
        <v/>
      </c>
      <c r="I15" s="52" t="str">
        <f t="shared" si="1"/>
        <v/>
      </c>
      <c r="J15" s="52" t="str">
        <f t="shared" si="1"/>
        <v/>
      </c>
      <c r="K15" s="52" t="str">
        <f t="shared" si="4"/>
        <v/>
      </c>
      <c r="L15" s="52" t="str">
        <f t="shared" si="4"/>
        <v/>
      </c>
      <c r="M15" s="52" t="str">
        <f>IF(AND(M$4=0,AND(N$4&gt;0,$C15=N$4)),LEFT($B15,2),"")</f>
        <v/>
      </c>
      <c r="N15" s="53" t="str">
        <f>IF(N$4=0,0,CHAR(N$4+64))</f>
        <v>B</v>
      </c>
      <c r="O15" s="52" t="str">
        <f>IF(AND($C15=0,AND($C16&gt;0,$C16=O$4)),LEFT(O$3,2),"")</f>
        <v/>
      </c>
      <c r="P15" s="52" t="str">
        <f>IF(AND($C15=0,AND($C16&gt;0,$C16=P$4)),LEFT(P$3,2),"")</f>
        <v/>
      </c>
      <c r="Q15" s="52" t="str">
        <f>IF(AND($C15=0,AND($C16&gt;0,$C16=Q$4)),LEFT(Q$3,2),"")</f>
        <v/>
      </c>
      <c r="R15" s="52" t="str">
        <f t="shared" si="2"/>
        <v/>
      </c>
      <c r="S15" s="52" t="str">
        <f t="shared" si="2"/>
        <v/>
      </c>
      <c r="T15" s="52" t="str">
        <f t="shared" si="2"/>
        <v/>
      </c>
      <c r="U15" s="52" t="str">
        <f t="shared" si="2"/>
        <v/>
      </c>
      <c r="V15" s="52" t="str">
        <f t="shared" si="2"/>
        <v/>
      </c>
      <c r="W15" s="52" t="str">
        <f t="shared" si="2"/>
        <v/>
      </c>
      <c r="X15" s="52" t="str">
        <f t="shared" si="2"/>
        <v/>
      </c>
      <c r="Y15" s="52" t="str">
        <f t="shared" si="2"/>
        <v/>
      </c>
      <c r="Z15" s="52" t="str">
        <f t="shared" si="2"/>
        <v/>
      </c>
      <c r="AA15" s="52" t="str">
        <f t="shared" si="2"/>
        <v/>
      </c>
      <c r="AB15" s="52" t="str">
        <f t="shared" si="2"/>
        <v/>
      </c>
      <c r="AC15" s="52" t="str">
        <f t="shared" si="2"/>
        <v/>
      </c>
      <c r="AD15" s="52" t="str">
        <f t="shared" si="2"/>
        <v/>
      </c>
      <c r="AE15" s="52" t="str">
        <f t="shared" si="2"/>
        <v/>
      </c>
      <c r="AF15" s="52" t="str">
        <f t="shared" si="2"/>
        <v/>
      </c>
      <c r="AG15" s="52" t="str">
        <f t="shared" si="2"/>
        <v/>
      </c>
      <c r="AH15" s="52" t="str">
        <f t="shared" si="2"/>
        <v/>
      </c>
      <c r="AI15" s="52" t="str">
        <f t="shared" si="2"/>
        <v/>
      </c>
      <c r="AJ15" s="52" t="str">
        <f t="shared" si="2"/>
        <v/>
      </c>
      <c r="AK15" s="52" t="str">
        <f t="shared" si="2"/>
        <v/>
      </c>
      <c r="AL15" s="52" t="str">
        <f t="shared" si="2"/>
        <v/>
      </c>
      <c r="AM15" s="52" t="str">
        <f t="shared" si="2"/>
        <v/>
      </c>
      <c r="AN15" s="52" t="str">
        <f t="shared" si="2"/>
        <v/>
      </c>
      <c r="AO15" s="52" t="str">
        <f t="shared" si="2"/>
        <v/>
      </c>
      <c r="AP15" s="52" t="str">
        <f t="shared" si="2"/>
        <v/>
      </c>
      <c r="AQ15" s="52" t="str">
        <f t="shared" si="2"/>
        <v/>
      </c>
      <c r="AR15" s="52" t="str">
        <f t="shared" si="2"/>
        <v/>
      </c>
      <c r="AS15" s="52" t="str">
        <f t="shared" si="2"/>
        <v/>
      </c>
      <c r="AT15" s="52" t="str">
        <f t="shared" si="2"/>
        <v/>
      </c>
      <c r="AU15" s="52" t="str">
        <f t="shared" si="2"/>
        <v/>
      </c>
      <c r="AV15" s="52" t="str">
        <f t="shared" si="2"/>
        <v/>
      </c>
      <c r="AW15" s="52" t="str">
        <f t="shared" si="2"/>
        <v/>
      </c>
    </row>
    <row r="16" spans="1:51" ht="18" customHeight="1" thickBot="1">
      <c r="B16" s="49" t="str">
        <f ca="1">IF($AW$2="y",CS!AR22,"")</f>
        <v>Tm12</v>
      </c>
      <c r="C16" s="144">
        <f>DrawFinder!Y22</f>
        <v>2</v>
      </c>
      <c r="D16" s="52" t="str">
        <f t="shared" si="1"/>
        <v/>
      </c>
      <c r="E16" s="52" t="str">
        <f t="shared" si="1"/>
        <v/>
      </c>
      <c r="F16" s="52" t="str">
        <f t="shared" si="1"/>
        <v/>
      </c>
      <c r="G16" s="52" t="str">
        <f t="shared" si="1"/>
        <v/>
      </c>
      <c r="H16" s="52" t="str">
        <f t="shared" si="1"/>
        <v/>
      </c>
      <c r="I16" s="52" t="str">
        <f t="shared" si="1"/>
        <v/>
      </c>
      <c r="J16" s="52" t="str">
        <f t="shared" si="1"/>
        <v/>
      </c>
      <c r="K16" s="52" t="str">
        <f t="shared" si="4"/>
        <v/>
      </c>
      <c r="L16" s="52" t="str">
        <f t="shared" si="4"/>
        <v/>
      </c>
      <c r="M16" s="52" t="str">
        <f t="shared" si="4"/>
        <v/>
      </c>
      <c r="N16" s="52" t="str">
        <f>IF(AND(N$4=0,AND(O$4&gt;0,$C16=O$4)),LEFT($B16,2),"")</f>
        <v/>
      </c>
      <c r="O16" s="53" t="str">
        <f>IF(O$4=0,0,CHAR(O$4+64))</f>
        <v>B</v>
      </c>
      <c r="P16" s="52" t="str">
        <f>IF(AND($C16=0,AND($C17&gt;0,$C17=P$4)),LEFT(P$3,2),"")</f>
        <v/>
      </c>
      <c r="Q16" s="52" t="str">
        <f>IF(AND($C16=0,AND($C17&gt;0,$C17=Q$4)),LEFT(Q$3,2),"")</f>
        <v/>
      </c>
      <c r="R16" s="52" t="str">
        <f t="shared" si="2"/>
        <v/>
      </c>
      <c r="S16" s="52" t="str">
        <f t="shared" si="2"/>
        <v/>
      </c>
      <c r="T16" s="52" t="str">
        <f t="shared" si="2"/>
        <v/>
      </c>
      <c r="U16" s="52" t="str">
        <f t="shared" si="2"/>
        <v/>
      </c>
      <c r="V16" s="52" t="str">
        <f t="shared" si="2"/>
        <v/>
      </c>
      <c r="W16" s="52" t="str">
        <f t="shared" si="2"/>
        <v/>
      </c>
      <c r="X16" s="52" t="str">
        <f t="shared" si="2"/>
        <v/>
      </c>
      <c r="Y16" s="52" t="str">
        <f t="shared" si="2"/>
        <v/>
      </c>
      <c r="Z16" s="52" t="str">
        <f t="shared" si="2"/>
        <v/>
      </c>
      <c r="AA16" s="52" t="str">
        <f t="shared" si="2"/>
        <v/>
      </c>
      <c r="AB16" s="52" t="str">
        <f t="shared" si="2"/>
        <v/>
      </c>
      <c r="AC16" s="52" t="str">
        <f t="shared" si="2"/>
        <v/>
      </c>
      <c r="AD16" s="52" t="str">
        <f t="shared" si="2"/>
        <v/>
      </c>
      <c r="AE16" s="52" t="str">
        <f t="shared" si="2"/>
        <v/>
      </c>
      <c r="AF16" s="52" t="str">
        <f t="shared" si="2"/>
        <v/>
      </c>
      <c r="AG16" s="52" t="str">
        <f t="shared" si="2"/>
        <v/>
      </c>
      <c r="AH16" s="52" t="str">
        <f t="shared" si="2"/>
        <v/>
      </c>
      <c r="AI16" s="52" t="str">
        <f t="shared" si="2"/>
        <v/>
      </c>
      <c r="AJ16" s="52" t="str">
        <f t="shared" si="2"/>
        <v/>
      </c>
      <c r="AK16" s="52" t="str">
        <f t="shared" si="2"/>
        <v/>
      </c>
      <c r="AL16" s="52" t="str">
        <f t="shared" si="2"/>
        <v/>
      </c>
      <c r="AM16" s="52" t="str">
        <f t="shared" si="2"/>
        <v/>
      </c>
      <c r="AN16" s="52" t="str">
        <f t="shared" si="2"/>
        <v/>
      </c>
      <c r="AO16" s="52" t="str">
        <f t="shared" si="2"/>
        <v/>
      </c>
      <c r="AP16" s="52" t="str">
        <f t="shared" si="2"/>
        <v/>
      </c>
      <c r="AQ16" s="52" t="str">
        <f t="shared" si="2"/>
        <v/>
      </c>
      <c r="AR16" s="52" t="str">
        <f t="shared" si="2"/>
        <v/>
      </c>
      <c r="AS16" s="52" t="str">
        <f t="shared" si="2"/>
        <v/>
      </c>
      <c r="AT16" s="52" t="str">
        <f t="shared" si="2"/>
        <v/>
      </c>
      <c r="AU16" s="52" t="str">
        <f t="shared" si="2"/>
        <v/>
      </c>
      <c r="AV16" s="52" t="str">
        <f t="shared" si="2"/>
        <v/>
      </c>
      <c r="AW16" s="52" t="str">
        <f t="shared" si="2"/>
        <v/>
      </c>
    </row>
    <row r="17" spans="2:49" ht="18" customHeight="1" thickBot="1">
      <c r="B17" s="49" t="str">
        <f ca="1">IF($AW$2="y",CS!AR23,"")</f>
        <v>Tm13</v>
      </c>
      <c r="C17" s="144">
        <f>DrawFinder!Y23</f>
        <v>2</v>
      </c>
      <c r="D17" s="52" t="str">
        <f t="shared" si="1"/>
        <v/>
      </c>
      <c r="E17" s="52" t="str">
        <f t="shared" si="1"/>
        <v/>
      </c>
      <c r="F17" s="52" t="str">
        <f t="shared" si="1"/>
        <v/>
      </c>
      <c r="G17" s="52" t="str">
        <f t="shared" si="1"/>
        <v/>
      </c>
      <c r="H17" s="52" t="str">
        <f t="shared" si="1"/>
        <v/>
      </c>
      <c r="I17" s="52" t="str">
        <f t="shared" si="1"/>
        <v/>
      </c>
      <c r="J17" s="52" t="str">
        <f t="shared" si="1"/>
        <v/>
      </c>
      <c r="K17" s="52" t="str">
        <f t="shared" si="4"/>
        <v/>
      </c>
      <c r="L17" s="52" t="str">
        <f t="shared" si="4"/>
        <v/>
      </c>
      <c r="M17" s="52" t="str">
        <f t="shared" si="4"/>
        <v/>
      </c>
      <c r="N17" s="52" t="str">
        <f t="shared" si="4"/>
        <v/>
      </c>
      <c r="O17" s="52" t="str">
        <f>IF(AND(O$4=0,AND(P$4&gt;0,$C17=P$4)),LEFT($B17,2),"")</f>
        <v/>
      </c>
      <c r="P17" s="53" t="str">
        <f>IF(P$4=0,0,CHAR(P$4+64))</f>
        <v>B</v>
      </c>
      <c r="Q17" s="52" t="str">
        <f>IF(AND($C17=0,AND($C18&gt;0,$C18=Q$4)),LEFT(Q$3,2),"")</f>
        <v/>
      </c>
      <c r="R17" s="52" t="str">
        <f t="shared" si="2"/>
        <v/>
      </c>
      <c r="S17" s="52" t="str">
        <f t="shared" si="2"/>
        <v/>
      </c>
      <c r="T17" s="52" t="str">
        <f t="shared" si="2"/>
        <v/>
      </c>
      <c r="U17" s="52" t="str">
        <f t="shared" si="2"/>
        <v/>
      </c>
      <c r="V17" s="52" t="str">
        <f t="shared" si="2"/>
        <v/>
      </c>
      <c r="W17" s="52" t="str">
        <f t="shared" si="2"/>
        <v/>
      </c>
      <c r="X17" s="52" t="str">
        <f t="shared" si="2"/>
        <v/>
      </c>
      <c r="Y17" s="52" t="str">
        <f t="shared" si="2"/>
        <v/>
      </c>
      <c r="Z17" s="52" t="str">
        <f t="shared" si="2"/>
        <v/>
      </c>
      <c r="AA17" s="52" t="str">
        <f t="shared" si="2"/>
        <v/>
      </c>
      <c r="AB17" s="52" t="str">
        <f t="shared" si="2"/>
        <v/>
      </c>
      <c r="AC17" s="52" t="str">
        <f t="shared" si="2"/>
        <v/>
      </c>
      <c r="AD17" s="52" t="str">
        <f t="shared" si="2"/>
        <v/>
      </c>
      <c r="AE17" s="52" t="str">
        <f t="shared" si="2"/>
        <v/>
      </c>
      <c r="AF17" s="52" t="str">
        <f t="shared" si="2"/>
        <v/>
      </c>
      <c r="AG17" s="52" t="str">
        <f t="shared" si="2"/>
        <v/>
      </c>
      <c r="AH17" s="52" t="str">
        <f t="shared" si="2"/>
        <v/>
      </c>
      <c r="AI17" s="52" t="str">
        <f t="shared" si="2"/>
        <v/>
      </c>
      <c r="AJ17" s="52" t="str">
        <f t="shared" si="2"/>
        <v/>
      </c>
      <c r="AK17" s="52" t="str">
        <f t="shared" si="2"/>
        <v/>
      </c>
      <c r="AL17" s="52" t="str">
        <f t="shared" si="2"/>
        <v/>
      </c>
      <c r="AM17" s="52" t="str">
        <f t="shared" si="2"/>
        <v/>
      </c>
      <c r="AN17" s="52" t="str">
        <f t="shared" si="2"/>
        <v/>
      </c>
      <c r="AO17" s="52" t="str">
        <f t="shared" si="2"/>
        <v/>
      </c>
      <c r="AP17" s="52" t="str">
        <f t="shared" si="2"/>
        <v/>
      </c>
      <c r="AQ17" s="52" t="str">
        <f t="shared" si="2"/>
        <v/>
      </c>
      <c r="AR17" s="52" t="str">
        <f t="shared" si="2"/>
        <v/>
      </c>
      <c r="AS17" s="52" t="str">
        <f t="shared" si="2"/>
        <v/>
      </c>
      <c r="AT17" s="52" t="str">
        <f t="shared" si="2"/>
        <v/>
      </c>
      <c r="AU17" s="52" t="str">
        <f t="shared" si="2"/>
        <v/>
      </c>
      <c r="AV17" s="52" t="str">
        <f t="shared" si="2"/>
        <v/>
      </c>
      <c r="AW17" s="52" t="str">
        <f t="shared" si="2"/>
        <v/>
      </c>
    </row>
    <row r="18" spans="2:49" ht="18" customHeight="1" thickBot="1">
      <c r="B18" s="49" t="str">
        <f ca="1">IF($AW$2="y",CS!AR24,"")</f>
        <v>Tm14</v>
      </c>
      <c r="C18" s="144">
        <f>DrawFinder!Y24</f>
        <v>2</v>
      </c>
      <c r="D18" s="52" t="str">
        <f t="shared" si="1"/>
        <v/>
      </c>
      <c r="E18" s="52" t="str">
        <f t="shared" si="1"/>
        <v/>
      </c>
      <c r="F18" s="52" t="str">
        <f t="shared" si="1"/>
        <v/>
      </c>
      <c r="G18" s="52" t="str">
        <f t="shared" si="1"/>
        <v/>
      </c>
      <c r="H18" s="52" t="str">
        <f t="shared" si="1"/>
        <v/>
      </c>
      <c r="I18" s="52" t="str">
        <f t="shared" si="1"/>
        <v/>
      </c>
      <c r="J18" s="52" t="str">
        <f t="shared" si="1"/>
        <v/>
      </c>
      <c r="K18" s="52" t="str">
        <f t="shared" si="4"/>
        <v/>
      </c>
      <c r="L18" s="52" t="str">
        <f t="shared" si="4"/>
        <v/>
      </c>
      <c r="M18" s="52" t="str">
        <f t="shared" si="4"/>
        <v/>
      </c>
      <c r="N18" s="52" t="str">
        <f t="shared" si="4"/>
        <v/>
      </c>
      <c r="O18" s="52" t="str">
        <f t="shared" si="4"/>
        <v/>
      </c>
      <c r="P18" s="52" t="str">
        <f>IF(AND(P$4=0,AND(Q$4&gt;0,$C18=Q$4)),LEFT($B18,2),"")</f>
        <v/>
      </c>
      <c r="Q18" s="53" t="str">
        <f>IF(Q$4=0,0,CHAR(Q$4+64))</f>
        <v>B</v>
      </c>
      <c r="R18" s="52" t="str">
        <f>IF(AND($C18=0,AND($C19&gt;0,$C19=R$4)),LEFT(R$3,2),"")</f>
        <v/>
      </c>
      <c r="S18" s="52" t="str">
        <f t="shared" si="2"/>
        <v/>
      </c>
      <c r="T18" s="52" t="str">
        <f t="shared" si="2"/>
        <v/>
      </c>
      <c r="U18" s="52" t="str">
        <f t="shared" si="2"/>
        <v/>
      </c>
      <c r="V18" s="52" t="str">
        <f t="shared" si="2"/>
        <v/>
      </c>
      <c r="W18" s="52" t="str">
        <f t="shared" si="2"/>
        <v/>
      </c>
      <c r="X18" s="52" t="str">
        <f t="shared" si="2"/>
        <v/>
      </c>
      <c r="Y18" s="52" t="str">
        <f t="shared" si="2"/>
        <v/>
      </c>
      <c r="Z18" s="52" t="str">
        <f t="shared" si="2"/>
        <v/>
      </c>
      <c r="AA18" s="52" t="str">
        <f t="shared" si="2"/>
        <v/>
      </c>
      <c r="AB18" s="52" t="str">
        <f t="shared" si="2"/>
        <v/>
      </c>
      <c r="AC18" s="52" t="str">
        <f t="shared" si="2"/>
        <v/>
      </c>
      <c r="AD18" s="52" t="str">
        <f t="shared" si="2"/>
        <v/>
      </c>
      <c r="AE18" s="52" t="str">
        <f t="shared" si="2"/>
        <v/>
      </c>
      <c r="AF18" s="52" t="str">
        <f t="shared" si="2"/>
        <v/>
      </c>
      <c r="AG18" s="52" t="str">
        <f t="shared" si="2"/>
        <v/>
      </c>
      <c r="AH18" s="52" t="str">
        <f t="shared" si="2"/>
        <v/>
      </c>
      <c r="AI18" s="52" t="str">
        <f t="shared" si="2"/>
        <v/>
      </c>
      <c r="AJ18" s="52" t="str">
        <f t="shared" si="2"/>
        <v/>
      </c>
      <c r="AK18" s="52" t="str">
        <f t="shared" si="2"/>
        <v/>
      </c>
      <c r="AL18" s="52" t="str">
        <f t="shared" si="2"/>
        <v/>
      </c>
      <c r="AM18" s="52" t="str">
        <f t="shared" si="2"/>
        <v/>
      </c>
      <c r="AN18" s="52" t="str">
        <f t="shared" si="2"/>
        <v/>
      </c>
      <c r="AO18" s="52" t="str">
        <f t="shared" si="2"/>
        <v/>
      </c>
      <c r="AP18" s="52" t="str">
        <f t="shared" si="2"/>
        <v/>
      </c>
      <c r="AQ18" s="52" t="str">
        <f t="shared" si="2"/>
        <v/>
      </c>
      <c r="AR18" s="52" t="str">
        <f t="shared" si="2"/>
        <v/>
      </c>
      <c r="AS18" s="52" t="str">
        <f t="shared" si="2"/>
        <v/>
      </c>
      <c r="AT18" s="52" t="str">
        <f t="shared" si="2"/>
        <v/>
      </c>
      <c r="AU18" s="52" t="str">
        <f t="shared" si="2"/>
        <v/>
      </c>
      <c r="AV18" s="52" t="str">
        <f t="shared" si="2"/>
        <v/>
      </c>
      <c r="AW18" s="52" t="str">
        <f t="shared" si="2"/>
        <v/>
      </c>
    </row>
    <row r="19" spans="2:49" ht="18" customHeight="1" thickBot="1">
      <c r="B19" s="49" t="str">
        <f ca="1">IF($AW$2="y",CS!AR25,"")</f>
        <v>Tm15</v>
      </c>
      <c r="C19" s="144">
        <f>DrawFinder!Y25</f>
        <v>2</v>
      </c>
      <c r="D19" s="52" t="str">
        <f t="shared" si="1"/>
        <v/>
      </c>
      <c r="E19" s="52" t="str">
        <f t="shared" si="1"/>
        <v/>
      </c>
      <c r="F19" s="52" t="str">
        <f t="shared" si="1"/>
        <v/>
      </c>
      <c r="G19" s="52" t="str">
        <f t="shared" si="1"/>
        <v/>
      </c>
      <c r="H19" s="52" t="str">
        <f t="shared" si="1"/>
        <v/>
      </c>
      <c r="I19" s="52" t="str">
        <f t="shared" si="1"/>
        <v/>
      </c>
      <c r="J19" s="52" t="str">
        <f t="shared" ref="J19:J50" si="5">IF(AND(J$4=0,AND(K$4&gt;0,$C19=K$4)),LEFT($B19,2),"")</f>
        <v/>
      </c>
      <c r="K19" s="52" t="str">
        <f t="shared" si="4"/>
        <v/>
      </c>
      <c r="L19" s="52" t="str">
        <f t="shared" si="4"/>
        <v/>
      </c>
      <c r="M19" s="52" t="str">
        <f t="shared" si="4"/>
        <v/>
      </c>
      <c r="N19" s="52" t="str">
        <f t="shared" si="4"/>
        <v/>
      </c>
      <c r="O19" s="52" t="str">
        <f t="shared" si="4"/>
        <v/>
      </c>
      <c r="P19" s="52" t="str">
        <f t="shared" si="4"/>
        <v/>
      </c>
      <c r="Q19" s="52" t="str">
        <f>IF(AND(Q$4=0,AND(R$4&gt;0,$C19=R$4)),LEFT($B19,2),"")</f>
        <v/>
      </c>
      <c r="R19" s="53" t="str">
        <f>IF(R$4=0,0,CHAR(R$4+64))</f>
        <v>B</v>
      </c>
      <c r="S19" s="52" t="str">
        <f>IF(AND($C19=0,AND($C20&gt;0,$C20=S$4)),LEFT(S$3,2),"")</f>
        <v/>
      </c>
      <c r="T19" s="52" t="str">
        <f t="shared" ref="T19:AW28" si="6">IF(AND($C19=0,AND($C20&gt;0,$C20=T$4)),LEFT(T$3,2),"")</f>
        <v/>
      </c>
      <c r="U19" s="52" t="str">
        <f t="shared" si="6"/>
        <v/>
      </c>
      <c r="V19" s="52" t="str">
        <f t="shared" si="6"/>
        <v/>
      </c>
      <c r="W19" s="52" t="str">
        <f t="shared" si="6"/>
        <v/>
      </c>
      <c r="X19" s="52" t="str">
        <f t="shared" si="6"/>
        <v/>
      </c>
      <c r="Y19" s="52" t="str">
        <f t="shared" si="6"/>
        <v/>
      </c>
      <c r="Z19" s="52" t="str">
        <f t="shared" si="6"/>
        <v/>
      </c>
      <c r="AA19" s="52" t="str">
        <f t="shared" si="6"/>
        <v/>
      </c>
      <c r="AB19" s="52" t="str">
        <f t="shared" si="6"/>
        <v/>
      </c>
      <c r="AC19" s="52" t="str">
        <f t="shared" si="6"/>
        <v/>
      </c>
      <c r="AD19" s="52" t="str">
        <f t="shared" si="6"/>
        <v/>
      </c>
      <c r="AE19" s="52" t="str">
        <f t="shared" si="6"/>
        <v/>
      </c>
      <c r="AF19" s="52" t="str">
        <f t="shared" si="6"/>
        <v/>
      </c>
      <c r="AG19" s="52" t="str">
        <f t="shared" si="6"/>
        <v/>
      </c>
      <c r="AH19" s="52" t="str">
        <f t="shared" si="6"/>
        <v/>
      </c>
      <c r="AI19" s="52" t="str">
        <f t="shared" si="6"/>
        <v/>
      </c>
      <c r="AJ19" s="52" t="str">
        <f t="shared" si="6"/>
        <v/>
      </c>
      <c r="AK19" s="52" t="str">
        <f t="shared" si="6"/>
        <v/>
      </c>
      <c r="AL19" s="52" t="str">
        <f t="shared" si="6"/>
        <v/>
      </c>
      <c r="AM19" s="52" t="str">
        <f t="shared" si="6"/>
        <v/>
      </c>
      <c r="AN19" s="52" t="str">
        <f t="shared" si="6"/>
        <v/>
      </c>
      <c r="AO19" s="52" t="str">
        <f t="shared" si="6"/>
        <v/>
      </c>
      <c r="AP19" s="52" t="str">
        <f t="shared" si="6"/>
        <v/>
      </c>
      <c r="AQ19" s="52" t="str">
        <f t="shared" si="6"/>
        <v/>
      </c>
      <c r="AR19" s="52" t="str">
        <f t="shared" si="6"/>
        <v/>
      </c>
      <c r="AS19" s="52" t="str">
        <f t="shared" si="6"/>
        <v/>
      </c>
      <c r="AT19" s="52" t="str">
        <f t="shared" si="6"/>
        <v/>
      </c>
      <c r="AU19" s="52" t="str">
        <f t="shared" si="6"/>
        <v/>
      </c>
      <c r="AV19" s="52" t="str">
        <f t="shared" si="6"/>
        <v/>
      </c>
      <c r="AW19" s="52" t="str">
        <f t="shared" si="6"/>
        <v/>
      </c>
    </row>
    <row r="20" spans="2:49" ht="18" customHeight="1" thickBot="1">
      <c r="B20" s="49" t="str">
        <f ca="1">IF($AW$2="y",CS!AR26,"")</f>
        <v>Tm16</v>
      </c>
      <c r="C20" s="144">
        <f>DrawFinder!Y26</f>
        <v>2</v>
      </c>
      <c r="D20" s="52" t="str">
        <f t="shared" si="1"/>
        <v/>
      </c>
      <c r="E20" s="52" t="str">
        <f t="shared" si="1"/>
        <v/>
      </c>
      <c r="F20" s="52" t="str">
        <f t="shared" si="1"/>
        <v/>
      </c>
      <c r="G20" s="52" t="str">
        <f t="shared" si="1"/>
        <v/>
      </c>
      <c r="H20" s="52" t="str">
        <f t="shared" si="1"/>
        <v/>
      </c>
      <c r="I20" s="52" t="str">
        <f t="shared" si="1"/>
        <v/>
      </c>
      <c r="J20" s="52" t="str">
        <f t="shared" si="5"/>
        <v/>
      </c>
      <c r="K20" s="52" t="str">
        <f t="shared" si="4"/>
        <v/>
      </c>
      <c r="L20" s="52" t="str">
        <f t="shared" si="4"/>
        <v/>
      </c>
      <c r="M20" s="52" t="str">
        <f t="shared" si="4"/>
        <v/>
      </c>
      <c r="N20" s="52" t="str">
        <f t="shared" si="4"/>
        <v/>
      </c>
      <c r="O20" s="52" t="str">
        <f t="shared" si="4"/>
        <v/>
      </c>
      <c r="P20" s="52" t="str">
        <f t="shared" si="4"/>
        <v/>
      </c>
      <c r="Q20" s="52" t="str">
        <f t="shared" si="4"/>
        <v/>
      </c>
      <c r="R20" s="52" t="str">
        <f>IF(AND(R$4=0,AND(S$4&gt;0,$C20=S$4)),LEFT($B20,2),"")</f>
        <v/>
      </c>
      <c r="S20" s="53" t="str">
        <f>IF(S$4=0,0,CHAR(S$4+64))</f>
        <v>B</v>
      </c>
      <c r="T20" s="52" t="str">
        <f>IF(AND($C20=0,AND($C21&gt;0,$C21=T$4)),LEFT(T$3,2),"")</f>
        <v/>
      </c>
      <c r="U20" s="52" t="str">
        <f t="shared" si="6"/>
        <v/>
      </c>
      <c r="V20" s="52" t="str">
        <f t="shared" si="6"/>
        <v/>
      </c>
      <c r="W20" s="52" t="str">
        <f t="shared" si="6"/>
        <v/>
      </c>
      <c r="X20" s="52" t="str">
        <f t="shared" si="6"/>
        <v/>
      </c>
      <c r="Y20" s="52" t="str">
        <f t="shared" si="6"/>
        <v/>
      </c>
      <c r="Z20" s="52" t="str">
        <f t="shared" si="6"/>
        <v/>
      </c>
      <c r="AA20" s="52" t="str">
        <f t="shared" si="6"/>
        <v/>
      </c>
      <c r="AB20" s="52" t="str">
        <f t="shared" si="6"/>
        <v/>
      </c>
      <c r="AC20" s="52" t="str">
        <f t="shared" si="6"/>
        <v/>
      </c>
      <c r="AD20" s="52" t="str">
        <f t="shared" si="6"/>
        <v/>
      </c>
      <c r="AE20" s="52" t="str">
        <f t="shared" si="6"/>
        <v/>
      </c>
      <c r="AF20" s="52" t="str">
        <f t="shared" si="6"/>
        <v/>
      </c>
      <c r="AG20" s="52" t="str">
        <f t="shared" si="6"/>
        <v/>
      </c>
      <c r="AH20" s="52" t="str">
        <f t="shared" si="6"/>
        <v/>
      </c>
      <c r="AI20" s="52" t="str">
        <f t="shared" si="6"/>
        <v/>
      </c>
      <c r="AJ20" s="52" t="str">
        <f t="shared" si="6"/>
        <v/>
      </c>
      <c r="AK20" s="52" t="str">
        <f t="shared" si="6"/>
        <v/>
      </c>
      <c r="AL20" s="52" t="str">
        <f t="shared" si="6"/>
        <v/>
      </c>
      <c r="AM20" s="52" t="str">
        <f t="shared" si="6"/>
        <v/>
      </c>
      <c r="AN20" s="52" t="str">
        <f t="shared" si="6"/>
        <v/>
      </c>
      <c r="AO20" s="52" t="str">
        <f t="shared" si="6"/>
        <v/>
      </c>
      <c r="AP20" s="52" t="str">
        <f t="shared" si="6"/>
        <v/>
      </c>
      <c r="AQ20" s="52" t="str">
        <f t="shared" si="6"/>
        <v/>
      </c>
      <c r="AR20" s="52" t="str">
        <f t="shared" si="6"/>
        <v/>
      </c>
      <c r="AS20" s="52" t="str">
        <f t="shared" si="6"/>
        <v/>
      </c>
      <c r="AT20" s="52" t="str">
        <f t="shared" si="6"/>
        <v/>
      </c>
      <c r="AU20" s="52" t="str">
        <f t="shared" si="6"/>
        <v/>
      </c>
      <c r="AV20" s="52" t="str">
        <f t="shared" si="6"/>
        <v/>
      </c>
      <c r="AW20" s="52" t="str">
        <f t="shared" si="6"/>
        <v/>
      </c>
    </row>
    <row r="21" spans="2:49" ht="18" customHeight="1" thickBot="1">
      <c r="B21" s="49" t="str">
        <f ca="1">IF($AW$2="y",CS!AR27,"")</f>
        <v>Tm17</v>
      </c>
      <c r="C21" s="144">
        <f>DrawFinder!Y27</f>
        <v>3</v>
      </c>
      <c r="D21" s="52" t="str">
        <f t="shared" si="1"/>
        <v/>
      </c>
      <c r="E21" s="52" t="str">
        <f t="shared" si="1"/>
        <v/>
      </c>
      <c r="F21" s="52" t="str">
        <f t="shared" si="1"/>
        <v/>
      </c>
      <c r="G21" s="52" t="str">
        <f t="shared" si="1"/>
        <v/>
      </c>
      <c r="H21" s="52" t="str">
        <f t="shared" si="1"/>
        <v/>
      </c>
      <c r="I21" s="52" t="str">
        <f t="shared" si="1"/>
        <v/>
      </c>
      <c r="J21" s="52" t="str">
        <f t="shared" si="5"/>
        <v/>
      </c>
      <c r="K21" s="52" t="str">
        <f t="shared" si="4"/>
        <v/>
      </c>
      <c r="L21" s="52" t="str">
        <f t="shared" si="4"/>
        <v/>
      </c>
      <c r="M21" s="52" t="str">
        <f t="shared" si="4"/>
        <v/>
      </c>
      <c r="N21" s="52" t="str">
        <f t="shared" si="4"/>
        <v/>
      </c>
      <c r="O21" s="52" t="str">
        <f t="shared" si="4"/>
        <v/>
      </c>
      <c r="P21" s="52" t="str">
        <f t="shared" si="4"/>
        <v/>
      </c>
      <c r="Q21" s="52" t="str">
        <f t="shared" si="4"/>
        <v/>
      </c>
      <c r="R21" s="52" t="str">
        <f t="shared" si="4"/>
        <v/>
      </c>
      <c r="S21" s="52" t="str">
        <f>IF(AND(S$4=0,AND(T$4&gt;0,$C21=T$4)),LEFT($B21,2),"")</f>
        <v/>
      </c>
      <c r="T21" s="53" t="str">
        <f>IF(T$4=0,0,CHAR(T$4+64))</f>
        <v>C</v>
      </c>
      <c r="U21" s="52" t="str">
        <f>IF(AND($C21=0,AND($C22&gt;0,$C22=U$4)),LEFT(U$3,2),"")</f>
        <v/>
      </c>
      <c r="V21" s="52" t="str">
        <f t="shared" si="6"/>
        <v/>
      </c>
      <c r="W21" s="52" t="str">
        <f t="shared" si="6"/>
        <v/>
      </c>
      <c r="X21" s="52" t="str">
        <f t="shared" si="6"/>
        <v/>
      </c>
      <c r="Y21" s="52" t="str">
        <f t="shared" si="6"/>
        <v/>
      </c>
      <c r="Z21" s="52" t="str">
        <f t="shared" si="6"/>
        <v/>
      </c>
      <c r="AA21" s="52" t="str">
        <f t="shared" si="6"/>
        <v/>
      </c>
      <c r="AB21" s="52" t="str">
        <f t="shared" si="6"/>
        <v/>
      </c>
      <c r="AC21" s="52" t="str">
        <f t="shared" si="6"/>
        <v/>
      </c>
      <c r="AD21" s="52" t="str">
        <f t="shared" si="6"/>
        <v/>
      </c>
      <c r="AE21" s="52" t="str">
        <f t="shared" si="6"/>
        <v/>
      </c>
      <c r="AF21" s="52" t="str">
        <f t="shared" si="6"/>
        <v/>
      </c>
      <c r="AG21" s="52" t="str">
        <f t="shared" si="6"/>
        <v/>
      </c>
      <c r="AH21" s="52" t="str">
        <f t="shared" si="6"/>
        <v/>
      </c>
      <c r="AI21" s="52" t="str">
        <f t="shared" si="6"/>
        <v/>
      </c>
      <c r="AJ21" s="52" t="str">
        <f t="shared" si="6"/>
        <v/>
      </c>
      <c r="AK21" s="52" t="str">
        <f t="shared" si="6"/>
        <v/>
      </c>
      <c r="AL21" s="52" t="str">
        <f t="shared" si="6"/>
        <v/>
      </c>
      <c r="AM21" s="52" t="str">
        <f t="shared" si="6"/>
        <v/>
      </c>
      <c r="AN21" s="52" t="str">
        <f t="shared" si="6"/>
        <v/>
      </c>
      <c r="AO21" s="52" t="str">
        <f t="shared" si="6"/>
        <v/>
      </c>
      <c r="AP21" s="52" t="str">
        <f t="shared" si="6"/>
        <v/>
      </c>
      <c r="AQ21" s="52" t="str">
        <f t="shared" si="6"/>
        <v/>
      </c>
      <c r="AR21" s="52" t="str">
        <f t="shared" si="6"/>
        <v/>
      </c>
      <c r="AS21" s="52" t="str">
        <f t="shared" si="6"/>
        <v/>
      </c>
      <c r="AT21" s="52" t="str">
        <f t="shared" si="6"/>
        <v/>
      </c>
      <c r="AU21" s="52" t="str">
        <f t="shared" si="6"/>
        <v/>
      </c>
      <c r="AV21" s="52" t="str">
        <f t="shared" si="6"/>
        <v/>
      </c>
      <c r="AW21" s="52" t="str">
        <f t="shared" si="6"/>
        <v/>
      </c>
    </row>
    <row r="22" spans="2:49" ht="18" customHeight="1" thickBot="1">
      <c r="B22" s="49" t="str">
        <f ca="1">IF($AW$2="y",CS!AR28,"")</f>
        <v>Tm18</v>
      </c>
      <c r="C22" s="144">
        <f>DrawFinder!Y28</f>
        <v>3</v>
      </c>
      <c r="D22" s="52" t="str">
        <f t="shared" si="1"/>
        <v/>
      </c>
      <c r="E22" s="52" t="str">
        <f t="shared" si="1"/>
        <v/>
      </c>
      <c r="F22" s="52" t="str">
        <f t="shared" si="1"/>
        <v/>
      </c>
      <c r="G22" s="52" t="str">
        <f t="shared" si="1"/>
        <v/>
      </c>
      <c r="H22" s="52" t="str">
        <f t="shared" si="1"/>
        <v/>
      </c>
      <c r="I22" s="52" t="str">
        <f t="shared" si="1"/>
        <v/>
      </c>
      <c r="J22" s="52" t="str">
        <f t="shared" si="5"/>
        <v/>
      </c>
      <c r="K22" s="52" t="str">
        <f t="shared" si="4"/>
        <v/>
      </c>
      <c r="L22" s="52" t="str">
        <f t="shared" si="4"/>
        <v/>
      </c>
      <c r="M22" s="52" t="str">
        <f t="shared" si="4"/>
        <v/>
      </c>
      <c r="N22" s="52" t="str">
        <f t="shared" si="4"/>
        <v/>
      </c>
      <c r="O22" s="52" t="str">
        <f t="shared" si="4"/>
        <v/>
      </c>
      <c r="P22" s="52" t="str">
        <f t="shared" si="4"/>
        <v/>
      </c>
      <c r="Q22" s="52" t="str">
        <f t="shared" si="4"/>
        <v/>
      </c>
      <c r="R22" s="52" t="str">
        <f t="shared" si="4"/>
        <v/>
      </c>
      <c r="S22" s="52" t="str">
        <f t="shared" ref="S22:AC50" si="7">IF(AND(S$4=0,AND(T$4&gt;0,$C22=T$4)),LEFT($B22,2),"")</f>
        <v/>
      </c>
      <c r="T22" s="52" t="str">
        <f>IF(AND(T$4=0,AND(U$4&gt;0,$C22=U$4)),LEFT($B22,2),"")</f>
        <v/>
      </c>
      <c r="U22" s="53" t="str">
        <f>IF(U$4=0,0,CHAR(U$4+64))</f>
        <v>C</v>
      </c>
      <c r="V22" s="52" t="str">
        <f>IF(AND($C22=0,AND($C23&gt;0,$C23=V$4)),LEFT(V$3,2),"")</f>
        <v/>
      </c>
      <c r="W22" s="52" t="str">
        <f t="shared" si="6"/>
        <v/>
      </c>
      <c r="X22" s="52" t="str">
        <f t="shared" si="6"/>
        <v/>
      </c>
      <c r="Y22" s="52" t="str">
        <f t="shared" si="6"/>
        <v/>
      </c>
      <c r="Z22" s="52" t="str">
        <f t="shared" si="6"/>
        <v/>
      </c>
      <c r="AA22" s="52" t="str">
        <f t="shared" si="6"/>
        <v/>
      </c>
      <c r="AB22" s="52" t="str">
        <f t="shared" si="6"/>
        <v/>
      </c>
      <c r="AC22" s="52" t="str">
        <f t="shared" si="6"/>
        <v/>
      </c>
      <c r="AD22" s="52" t="str">
        <f t="shared" si="6"/>
        <v/>
      </c>
      <c r="AE22" s="52" t="str">
        <f t="shared" si="6"/>
        <v/>
      </c>
      <c r="AF22" s="52" t="str">
        <f t="shared" si="6"/>
        <v/>
      </c>
      <c r="AG22" s="52" t="str">
        <f t="shared" si="6"/>
        <v/>
      </c>
      <c r="AH22" s="52" t="str">
        <f t="shared" si="6"/>
        <v/>
      </c>
      <c r="AI22" s="52" t="str">
        <f t="shared" si="6"/>
        <v/>
      </c>
      <c r="AJ22" s="52" t="str">
        <f t="shared" si="6"/>
        <v/>
      </c>
      <c r="AK22" s="52" t="str">
        <f t="shared" si="6"/>
        <v/>
      </c>
      <c r="AL22" s="52" t="str">
        <f t="shared" si="6"/>
        <v/>
      </c>
      <c r="AM22" s="52" t="str">
        <f t="shared" si="6"/>
        <v/>
      </c>
      <c r="AN22" s="52" t="str">
        <f t="shared" si="6"/>
        <v/>
      </c>
      <c r="AO22" s="52" t="str">
        <f t="shared" si="6"/>
        <v/>
      </c>
      <c r="AP22" s="52" t="str">
        <f t="shared" si="6"/>
        <v/>
      </c>
      <c r="AQ22" s="52" t="str">
        <f t="shared" si="6"/>
        <v/>
      </c>
      <c r="AR22" s="52" t="str">
        <f t="shared" si="6"/>
        <v/>
      </c>
      <c r="AS22" s="52" t="str">
        <f t="shared" si="6"/>
        <v/>
      </c>
      <c r="AT22" s="52" t="str">
        <f t="shared" si="6"/>
        <v/>
      </c>
      <c r="AU22" s="52" t="str">
        <f t="shared" si="6"/>
        <v/>
      </c>
      <c r="AV22" s="52" t="str">
        <f t="shared" si="6"/>
        <v/>
      </c>
      <c r="AW22" s="52" t="str">
        <f t="shared" si="6"/>
        <v/>
      </c>
    </row>
    <row r="23" spans="2:49" ht="18" customHeight="1" thickBot="1">
      <c r="B23" s="49" t="str">
        <f ca="1">IF($AW$2="y",CS!AR29,"")</f>
        <v>Tm19</v>
      </c>
      <c r="C23" s="144">
        <f>DrawFinder!Y29</f>
        <v>3</v>
      </c>
      <c r="D23" s="52" t="str">
        <f t="shared" si="1"/>
        <v/>
      </c>
      <c r="E23" s="52" t="str">
        <f t="shared" si="1"/>
        <v/>
      </c>
      <c r="F23" s="52" t="str">
        <f t="shared" si="1"/>
        <v/>
      </c>
      <c r="G23" s="52" t="str">
        <f t="shared" si="1"/>
        <v/>
      </c>
      <c r="H23" s="52" t="str">
        <f t="shared" si="1"/>
        <v/>
      </c>
      <c r="I23" s="52" t="str">
        <f t="shared" si="1"/>
        <v/>
      </c>
      <c r="J23" s="52" t="str">
        <f t="shared" si="5"/>
        <v/>
      </c>
      <c r="K23" s="52" t="str">
        <f t="shared" si="4"/>
        <v/>
      </c>
      <c r="L23" s="52" t="str">
        <f t="shared" si="4"/>
        <v/>
      </c>
      <c r="M23" s="52" t="str">
        <f t="shared" si="4"/>
        <v/>
      </c>
      <c r="N23" s="52" t="str">
        <f t="shared" si="4"/>
        <v/>
      </c>
      <c r="O23" s="52" t="str">
        <f t="shared" si="4"/>
        <v/>
      </c>
      <c r="P23" s="52" t="str">
        <f t="shared" si="4"/>
        <v/>
      </c>
      <c r="Q23" s="52" t="str">
        <f t="shared" si="4"/>
        <v/>
      </c>
      <c r="R23" s="52" t="str">
        <f t="shared" si="4"/>
        <v/>
      </c>
      <c r="S23" s="52" t="str">
        <f t="shared" si="7"/>
        <v/>
      </c>
      <c r="T23" s="52" t="str">
        <f t="shared" si="7"/>
        <v/>
      </c>
      <c r="U23" s="52" t="str">
        <f>IF(AND(U$4=0,AND(V$4&gt;0,$C23=V$4)),LEFT($B23,2),"")</f>
        <v/>
      </c>
      <c r="V23" s="53" t="str">
        <f>IF(V$4=0,0,CHAR(V$4+64))</f>
        <v>C</v>
      </c>
      <c r="W23" s="52" t="str">
        <f>IF(AND($C23=0,AND($C24&gt;0,$C24=W$4)),LEFT(W$3,2),"")</f>
        <v/>
      </c>
      <c r="X23" s="52" t="str">
        <f t="shared" si="6"/>
        <v/>
      </c>
      <c r="Y23" s="52" t="str">
        <f t="shared" si="6"/>
        <v/>
      </c>
      <c r="Z23" s="52" t="str">
        <f t="shared" si="6"/>
        <v/>
      </c>
      <c r="AA23" s="52" t="str">
        <f t="shared" si="6"/>
        <v/>
      </c>
      <c r="AB23" s="52" t="str">
        <f t="shared" si="6"/>
        <v/>
      </c>
      <c r="AC23" s="52" t="str">
        <f t="shared" si="6"/>
        <v/>
      </c>
      <c r="AD23" s="52" t="str">
        <f t="shared" si="6"/>
        <v/>
      </c>
      <c r="AE23" s="52" t="str">
        <f t="shared" si="6"/>
        <v/>
      </c>
      <c r="AF23" s="52" t="str">
        <f t="shared" si="6"/>
        <v/>
      </c>
      <c r="AG23" s="52" t="str">
        <f t="shared" si="6"/>
        <v/>
      </c>
      <c r="AH23" s="52" t="str">
        <f t="shared" si="6"/>
        <v/>
      </c>
      <c r="AI23" s="52" t="str">
        <f t="shared" si="6"/>
        <v/>
      </c>
      <c r="AJ23" s="52" t="str">
        <f t="shared" si="6"/>
        <v/>
      </c>
      <c r="AK23" s="52" t="str">
        <f t="shared" si="6"/>
        <v/>
      </c>
      <c r="AL23" s="52" t="str">
        <f t="shared" si="6"/>
        <v/>
      </c>
      <c r="AM23" s="52" t="str">
        <f t="shared" si="6"/>
        <v/>
      </c>
      <c r="AN23" s="52" t="str">
        <f t="shared" si="6"/>
        <v/>
      </c>
      <c r="AO23" s="52" t="str">
        <f t="shared" si="6"/>
        <v/>
      </c>
      <c r="AP23" s="52" t="str">
        <f t="shared" si="6"/>
        <v/>
      </c>
      <c r="AQ23" s="52" t="str">
        <f t="shared" si="6"/>
        <v/>
      </c>
      <c r="AR23" s="52" t="str">
        <f t="shared" si="6"/>
        <v/>
      </c>
      <c r="AS23" s="52" t="str">
        <f t="shared" si="6"/>
        <v/>
      </c>
      <c r="AT23" s="52" t="str">
        <f t="shared" si="6"/>
        <v/>
      </c>
      <c r="AU23" s="52" t="str">
        <f t="shared" si="6"/>
        <v/>
      </c>
      <c r="AV23" s="52" t="str">
        <f t="shared" si="6"/>
        <v/>
      </c>
      <c r="AW23" s="52" t="str">
        <f t="shared" si="6"/>
        <v/>
      </c>
    </row>
    <row r="24" spans="2:49" ht="18" customHeight="1" thickBot="1">
      <c r="B24" s="49" t="str">
        <f ca="1">IF($AW$2="y",CS!AR30,"")</f>
        <v>Tm20</v>
      </c>
      <c r="C24" s="144">
        <f>DrawFinder!Y30</f>
        <v>3</v>
      </c>
      <c r="D24" s="52" t="str">
        <f t="shared" si="1"/>
        <v/>
      </c>
      <c r="E24" s="52" t="str">
        <f t="shared" si="1"/>
        <v/>
      </c>
      <c r="F24" s="52" t="str">
        <f t="shared" si="1"/>
        <v/>
      </c>
      <c r="G24" s="52" t="str">
        <f t="shared" si="1"/>
        <v/>
      </c>
      <c r="H24" s="52" t="str">
        <f t="shared" si="1"/>
        <v/>
      </c>
      <c r="I24" s="52" t="str">
        <f t="shared" si="1"/>
        <v/>
      </c>
      <c r="J24" s="52" t="str">
        <f t="shared" si="5"/>
        <v/>
      </c>
      <c r="K24" s="52" t="str">
        <f t="shared" si="4"/>
        <v/>
      </c>
      <c r="L24" s="52" t="str">
        <f t="shared" si="4"/>
        <v/>
      </c>
      <c r="M24" s="52" t="str">
        <f t="shared" si="4"/>
        <v/>
      </c>
      <c r="N24" s="52" t="str">
        <f t="shared" si="4"/>
        <v/>
      </c>
      <c r="O24" s="52" t="str">
        <f t="shared" si="4"/>
        <v/>
      </c>
      <c r="P24" s="52" t="str">
        <f t="shared" si="4"/>
        <v/>
      </c>
      <c r="Q24" s="52" t="str">
        <f t="shared" si="4"/>
        <v/>
      </c>
      <c r="R24" s="52" t="str">
        <f t="shared" si="4"/>
        <v/>
      </c>
      <c r="S24" s="52" t="str">
        <f t="shared" si="7"/>
        <v/>
      </c>
      <c r="T24" s="52" t="str">
        <f t="shared" si="7"/>
        <v/>
      </c>
      <c r="U24" s="52" t="str">
        <f t="shared" si="7"/>
        <v/>
      </c>
      <c r="V24" s="52" t="str">
        <f>IF(AND(V$4=0,AND(W$4&gt;0,$C24=W$4)),LEFT($B24,2),"")</f>
        <v/>
      </c>
      <c r="W24" s="53" t="str">
        <f>IF(W$4=0,0,CHAR(W$4+64))</f>
        <v>C</v>
      </c>
      <c r="X24" s="52" t="str">
        <f>IF(AND($C24=0,AND($C25&gt;0,$C25=X$4)),LEFT(X$3,2),"")</f>
        <v/>
      </c>
      <c r="Y24" s="52" t="str">
        <f t="shared" si="6"/>
        <v/>
      </c>
      <c r="Z24" s="52" t="str">
        <f t="shared" si="6"/>
        <v/>
      </c>
      <c r="AA24" s="52" t="str">
        <f t="shared" si="6"/>
        <v/>
      </c>
      <c r="AB24" s="52" t="str">
        <f t="shared" si="6"/>
        <v/>
      </c>
      <c r="AC24" s="52" t="str">
        <f t="shared" si="6"/>
        <v/>
      </c>
      <c r="AD24" s="52" t="str">
        <f t="shared" si="6"/>
        <v/>
      </c>
      <c r="AE24" s="52" t="str">
        <f t="shared" si="6"/>
        <v/>
      </c>
      <c r="AF24" s="52" t="str">
        <f t="shared" si="6"/>
        <v/>
      </c>
      <c r="AG24" s="52" t="str">
        <f t="shared" si="6"/>
        <v/>
      </c>
      <c r="AH24" s="52" t="str">
        <f t="shared" si="6"/>
        <v/>
      </c>
      <c r="AI24" s="52" t="str">
        <f t="shared" si="6"/>
        <v/>
      </c>
      <c r="AJ24" s="52" t="str">
        <f t="shared" si="6"/>
        <v/>
      </c>
      <c r="AK24" s="52" t="str">
        <f t="shared" si="6"/>
        <v/>
      </c>
      <c r="AL24" s="52" t="str">
        <f t="shared" si="6"/>
        <v/>
      </c>
      <c r="AM24" s="52" t="str">
        <f t="shared" si="6"/>
        <v/>
      </c>
      <c r="AN24" s="52" t="str">
        <f t="shared" si="6"/>
        <v/>
      </c>
      <c r="AO24" s="52" t="str">
        <f t="shared" si="6"/>
        <v/>
      </c>
      <c r="AP24" s="52" t="str">
        <f t="shared" si="6"/>
        <v/>
      </c>
      <c r="AQ24" s="52" t="str">
        <f t="shared" si="6"/>
        <v/>
      </c>
      <c r="AR24" s="52" t="str">
        <f t="shared" si="6"/>
        <v/>
      </c>
      <c r="AS24" s="52" t="str">
        <f t="shared" si="6"/>
        <v/>
      </c>
      <c r="AT24" s="52" t="str">
        <f t="shared" si="6"/>
        <v/>
      </c>
      <c r="AU24" s="52" t="str">
        <f t="shared" si="6"/>
        <v/>
      </c>
      <c r="AV24" s="52" t="str">
        <f t="shared" si="6"/>
        <v/>
      </c>
      <c r="AW24" s="52" t="str">
        <f t="shared" si="6"/>
        <v/>
      </c>
    </row>
    <row r="25" spans="2:49" ht="18" customHeight="1" thickBot="1">
      <c r="B25" s="49" t="str">
        <f ca="1">IF($AW$2="y",CS!AR31,"")</f>
        <v>Tm21</v>
      </c>
      <c r="C25" s="144">
        <f>DrawFinder!Y31</f>
        <v>3</v>
      </c>
      <c r="D25" s="52" t="str">
        <f t="shared" si="1"/>
        <v/>
      </c>
      <c r="E25" s="52" t="str">
        <f t="shared" si="1"/>
        <v/>
      </c>
      <c r="F25" s="52" t="str">
        <f t="shared" si="1"/>
        <v/>
      </c>
      <c r="G25" s="52" t="str">
        <f t="shared" si="1"/>
        <v/>
      </c>
      <c r="H25" s="52" t="str">
        <f t="shared" si="1"/>
        <v/>
      </c>
      <c r="I25" s="52" t="str">
        <f t="shared" si="1"/>
        <v/>
      </c>
      <c r="J25" s="52" t="str">
        <f t="shared" si="5"/>
        <v/>
      </c>
      <c r="K25" s="52" t="str">
        <f t="shared" si="4"/>
        <v/>
      </c>
      <c r="L25" s="52" t="str">
        <f t="shared" si="4"/>
        <v/>
      </c>
      <c r="M25" s="52" t="str">
        <f t="shared" si="4"/>
        <v/>
      </c>
      <c r="N25" s="52" t="str">
        <f t="shared" si="4"/>
        <v/>
      </c>
      <c r="O25" s="52" t="str">
        <f t="shared" si="4"/>
        <v/>
      </c>
      <c r="P25" s="52" t="str">
        <f t="shared" si="4"/>
        <v/>
      </c>
      <c r="Q25" s="52" t="str">
        <f t="shared" si="4"/>
        <v/>
      </c>
      <c r="R25" s="52" t="str">
        <f t="shared" si="4"/>
        <v/>
      </c>
      <c r="S25" s="52" t="str">
        <f t="shared" si="7"/>
        <v/>
      </c>
      <c r="T25" s="52" t="str">
        <f t="shared" si="7"/>
        <v/>
      </c>
      <c r="U25" s="52" t="str">
        <f t="shared" si="7"/>
        <v/>
      </c>
      <c r="V25" s="52" t="str">
        <f t="shared" si="7"/>
        <v/>
      </c>
      <c r="W25" s="52" t="str">
        <f>IF(AND(W$4=0,AND(X$4&gt;0,$C25=X$4)),LEFT($B25,2),"")</f>
        <v/>
      </c>
      <c r="X25" s="53" t="str">
        <f>IF(X$4=0,0,CHAR(X$4+64))</f>
        <v>C</v>
      </c>
      <c r="Y25" s="52" t="str">
        <f>IF(AND($C25=0,AND($C26&gt;0,$C26=Y$4)),LEFT(Y$3,2),"")</f>
        <v/>
      </c>
      <c r="Z25" s="52" t="str">
        <f t="shared" si="6"/>
        <v/>
      </c>
      <c r="AA25" s="52" t="str">
        <f t="shared" si="6"/>
        <v/>
      </c>
      <c r="AB25" s="52" t="str">
        <f t="shared" si="6"/>
        <v/>
      </c>
      <c r="AC25" s="52" t="str">
        <f t="shared" si="6"/>
        <v/>
      </c>
      <c r="AD25" s="52" t="str">
        <f t="shared" si="6"/>
        <v/>
      </c>
      <c r="AE25" s="52" t="str">
        <f t="shared" si="6"/>
        <v/>
      </c>
      <c r="AF25" s="52" t="str">
        <f t="shared" si="6"/>
        <v/>
      </c>
      <c r="AG25" s="52" t="str">
        <f t="shared" si="6"/>
        <v/>
      </c>
      <c r="AH25" s="52" t="str">
        <f t="shared" si="6"/>
        <v/>
      </c>
      <c r="AI25" s="52" t="str">
        <f t="shared" si="6"/>
        <v/>
      </c>
      <c r="AJ25" s="52" t="str">
        <f t="shared" si="6"/>
        <v/>
      </c>
      <c r="AK25" s="52" t="str">
        <f t="shared" si="6"/>
        <v/>
      </c>
      <c r="AL25" s="52" t="str">
        <f t="shared" si="6"/>
        <v/>
      </c>
      <c r="AM25" s="52" t="str">
        <f t="shared" si="6"/>
        <v/>
      </c>
      <c r="AN25" s="52" t="str">
        <f t="shared" si="6"/>
        <v/>
      </c>
      <c r="AO25" s="52" t="str">
        <f t="shared" si="6"/>
        <v/>
      </c>
      <c r="AP25" s="52" t="str">
        <f t="shared" si="6"/>
        <v/>
      </c>
      <c r="AQ25" s="52" t="str">
        <f t="shared" si="6"/>
        <v/>
      </c>
      <c r="AR25" s="52" t="str">
        <f t="shared" si="6"/>
        <v/>
      </c>
      <c r="AS25" s="52" t="str">
        <f t="shared" si="6"/>
        <v/>
      </c>
      <c r="AT25" s="52" t="str">
        <f t="shared" si="6"/>
        <v/>
      </c>
      <c r="AU25" s="52" t="str">
        <f t="shared" si="6"/>
        <v/>
      </c>
      <c r="AV25" s="52" t="str">
        <f t="shared" si="6"/>
        <v/>
      </c>
      <c r="AW25" s="52" t="str">
        <f t="shared" si="6"/>
        <v/>
      </c>
    </row>
    <row r="26" spans="2:49" ht="18" customHeight="1" thickBot="1">
      <c r="B26" s="49" t="str">
        <f ca="1">IF($AW$2="y",CS!AR32,"")</f>
        <v>Tm22</v>
      </c>
      <c r="C26" s="144">
        <f>DrawFinder!Y32</f>
        <v>3</v>
      </c>
      <c r="D26" s="52" t="str">
        <f t="shared" si="1"/>
        <v/>
      </c>
      <c r="E26" s="52" t="str">
        <f t="shared" si="1"/>
        <v/>
      </c>
      <c r="F26" s="52" t="str">
        <f t="shared" si="1"/>
        <v/>
      </c>
      <c r="G26" s="52" t="str">
        <f t="shared" si="1"/>
        <v/>
      </c>
      <c r="H26" s="52" t="str">
        <f t="shared" si="1"/>
        <v/>
      </c>
      <c r="I26" s="52" t="str">
        <f t="shared" si="1"/>
        <v/>
      </c>
      <c r="J26" s="52" t="str">
        <f t="shared" si="5"/>
        <v/>
      </c>
      <c r="K26" s="52" t="str">
        <f t="shared" si="4"/>
        <v/>
      </c>
      <c r="L26" s="52" t="str">
        <f t="shared" si="4"/>
        <v/>
      </c>
      <c r="M26" s="52" t="str">
        <f t="shared" si="4"/>
        <v/>
      </c>
      <c r="N26" s="52" t="str">
        <f t="shared" si="4"/>
        <v/>
      </c>
      <c r="O26" s="52" t="str">
        <f t="shared" si="4"/>
        <v/>
      </c>
      <c r="P26" s="52" t="str">
        <f t="shared" si="4"/>
        <v/>
      </c>
      <c r="Q26" s="52" t="str">
        <f t="shared" si="4"/>
        <v/>
      </c>
      <c r="R26" s="52" t="str">
        <f t="shared" si="4"/>
        <v/>
      </c>
      <c r="S26" s="52" t="str">
        <f t="shared" si="7"/>
        <v/>
      </c>
      <c r="T26" s="52" t="str">
        <f t="shared" si="7"/>
        <v/>
      </c>
      <c r="U26" s="52" t="str">
        <f t="shared" si="7"/>
        <v/>
      </c>
      <c r="V26" s="52" t="str">
        <f t="shared" si="7"/>
        <v/>
      </c>
      <c r="W26" s="52" t="str">
        <f t="shared" si="7"/>
        <v/>
      </c>
      <c r="X26" s="52" t="str">
        <f>IF(AND(X$4=0,AND(Y$4&gt;0,$C26=Y$4)),LEFT($B26,2),"")</f>
        <v/>
      </c>
      <c r="Y26" s="53" t="str">
        <f>IF(Y$4=0,0,CHAR(Y$4+64))</f>
        <v>C</v>
      </c>
      <c r="Z26" s="52" t="str">
        <f>IF(AND($C26=0,AND($C27&gt;0,$C27=Z$4)),LEFT(Z$3,2),"")</f>
        <v/>
      </c>
      <c r="AA26" s="52" t="str">
        <f t="shared" si="6"/>
        <v/>
      </c>
      <c r="AB26" s="52" t="str">
        <f t="shared" si="6"/>
        <v/>
      </c>
      <c r="AC26" s="52" t="str">
        <f t="shared" si="6"/>
        <v/>
      </c>
      <c r="AD26" s="52" t="str">
        <f t="shared" si="6"/>
        <v/>
      </c>
      <c r="AE26" s="52" t="str">
        <f t="shared" si="6"/>
        <v/>
      </c>
      <c r="AF26" s="52" t="str">
        <f t="shared" si="6"/>
        <v/>
      </c>
      <c r="AG26" s="52" t="str">
        <f t="shared" si="6"/>
        <v/>
      </c>
      <c r="AH26" s="52" t="str">
        <f t="shared" si="6"/>
        <v/>
      </c>
      <c r="AI26" s="52" t="str">
        <f t="shared" si="6"/>
        <v/>
      </c>
      <c r="AJ26" s="52" t="str">
        <f t="shared" si="6"/>
        <v/>
      </c>
      <c r="AK26" s="52" t="str">
        <f t="shared" si="6"/>
        <v/>
      </c>
      <c r="AL26" s="52" t="str">
        <f t="shared" si="6"/>
        <v/>
      </c>
      <c r="AM26" s="52" t="str">
        <f t="shared" si="6"/>
        <v/>
      </c>
      <c r="AN26" s="52" t="str">
        <f t="shared" si="6"/>
        <v/>
      </c>
      <c r="AO26" s="52" t="str">
        <f t="shared" si="6"/>
        <v/>
      </c>
      <c r="AP26" s="52" t="str">
        <f t="shared" si="6"/>
        <v/>
      </c>
      <c r="AQ26" s="52" t="str">
        <f t="shared" si="6"/>
        <v/>
      </c>
      <c r="AR26" s="52" t="str">
        <f t="shared" si="6"/>
        <v/>
      </c>
      <c r="AS26" s="52" t="str">
        <f t="shared" si="6"/>
        <v/>
      </c>
      <c r="AT26" s="52" t="str">
        <f t="shared" si="6"/>
        <v/>
      </c>
      <c r="AU26" s="52" t="str">
        <f t="shared" si="6"/>
        <v/>
      </c>
      <c r="AV26" s="52" t="str">
        <f t="shared" si="6"/>
        <v/>
      </c>
      <c r="AW26" s="52" t="str">
        <f t="shared" si="6"/>
        <v/>
      </c>
    </row>
    <row r="27" spans="2:49" ht="18" customHeight="1" thickBot="1">
      <c r="B27" s="49" t="str">
        <f ca="1">IF($AW$2="y",CS!AR33,"")</f>
        <v>Tm23</v>
      </c>
      <c r="C27" s="144">
        <f>DrawFinder!Y33</f>
        <v>3</v>
      </c>
      <c r="D27" s="52" t="str">
        <f t="shared" si="1"/>
        <v/>
      </c>
      <c r="E27" s="52" t="str">
        <f t="shared" si="1"/>
        <v/>
      </c>
      <c r="F27" s="52" t="str">
        <f t="shared" si="1"/>
        <v/>
      </c>
      <c r="G27" s="52" t="str">
        <f t="shared" si="1"/>
        <v/>
      </c>
      <c r="H27" s="52" t="str">
        <f t="shared" si="1"/>
        <v/>
      </c>
      <c r="I27" s="52" t="str">
        <f t="shared" si="1"/>
        <v/>
      </c>
      <c r="J27" s="52" t="str">
        <f t="shared" si="5"/>
        <v/>
      </c>
      <c r="K27" s="52" t="str">
        <f t="shared" si="4"/>
        <v/>
      </c>
      <c r="L27" s="52" t="str">
        <f t="shared" si="4"/>
        <v/>
      </c>
      <c r="M27" s="52" t="str">
        <f t="shared" si="4"/>
        <v/>
      </c>
      <c r="N27" s="52" t="str">
        <f t="shared" si="4"/>
        <v/>
      </c>
      <c r="O27" s="52" t="str">
        <f t="shared" si="4"/>
        <v/>
      </c>
      <c r="P27" s="52" t="str">
        <f t="shared" si="4"/>
        <v/>
      </c>
      <c r="Q27" s="52" t="str">
        <f t="shared" si="4"/>
        <v/>
      </c>
      <c r="R27" s="52" t="str">
        <f t="shared" si="4"/>
        <v/>
      </c>
      <c r="S27" s="52" t="str">
        <f t="shared" si="7"/>
        <v/>
      </c>
      <c r="T27" s="52" t="str">
        <f t="shared" si="7"/>
        <v/>
      </c>
      <c r="U27" s="52" t="str">
        <f t="shared" si="7"/>
        <v/>
      </c>
      <c r="V27" s="52" t="str">
        <f t="shared" si="7"/>
        <v/>
      </c>
      <c r="W27" s="52" t="str">
        <f t="shared" si="7"/>
        <v/>
      </c>
      <c r="X27" s="52" t="str">
        <f t="shared" si="7"/>
        <v/>
      </c>
      <c r="Y27" s="52" t="str">
        <f>IF(AND(Y$4=0,AND(Z$4&gt;0,$C27=Z$4)),LEFT($B27,2),"")</f>
        <v/>
      </c>
      <c r="Z27" s="53" t="str">
        <f>IF(Z$4=0,0,CHAR(Z$4+64))</f>
        <v>C</v>
      </c>
      <c r="AA27" s="52" t="str">
        <f>IF(AND($C27=0,AND($C28&gt;0,$C28=AA$4)),LEFT(AA$3,2),"")</f>
        <v/>
      </c>
      <c r="AB27" s="52" t="str">
        <f t="shared" si="6"/>
        <v/>
      </c>
      <c r="AC27" s="52" t="str">
        <f t="shared" si="6"/>
        <v/>
      </c>
      <c r="AD27" s="52" t="str">
        <f t="shared" si="6"/>
        <v/>
      </c>
      <c r="AE27" s="52" t="str">
        <f t="shared" si="6"/>
        <v/>
      </c>
      <c r="AF27" s="52" t="str">
        <f t="shared" si="6"/>
        <v/>
      </c>
      <c r="AG27" s="52" t="str">
        <f t="shared" si="6"/>
        <v/>
      </c>
      <c r="AH27" s="52" t="str">
        <f t="shared" si="6"/>
        <v/>
      </c>
      <c r="AI27" s="52" t="str">
        <f t="shared" si="6"/>
        <v/>
      </c>
      <c r="AJ27" s="52" t="str">
        <f t="shared" si="6"/>
        <v/>
      </c>
      <c r="AK27" s="52" t="str">
        <f t="shared" si="6"/>
        <v/>
      </c>
      <c r="AL27" s="52" t="str">
        <f t="shared" si="6"/>
        <v/>
      </c>
      <c r="AM27" s="52" t="str">
        <f t="shared" si="6"/>
        <v/>
      </c>
      <c r="AN27" s="52" t="str">
        <f t="shared" si="6"/>
        <v/>
      </c>
      <c r="AO27" s="52" t="str">
        <f t="shared" si="6"/>
        <v/>
      </c>
      <c r="AP27" s="52" t="str">
        <f t="shared" si="6"/>
        <v/>
      </c>
      <c r="AQ27" s="52" t="str">
        <f t="shared" si="6"/>
        <v/>
      </c>
      <c r="AR27" s="52" t="str">
        <f t="shared" si="6"/>
        <v/>
      </c>
      <c r="AS27" s="52" t="str">
        <f t="shared" si="6"/>
        <v/>
      </c>
      <c r="AT27" s="52" t="str">
        <f t="shared" si="6"/>
        <v/>
      </c>
      <c r="AU27" s="52" t="str">
        <f t="shared" si="6"/>
        <v/>
      </c>
      <c r="AV27" s="52" t="str">
        <f t="shared" si="6"/>
        <v/>
      </c>
      <c r="AW27" s="52" t="str">
        <f t="shared" si="6"/>
        <v/>
      </c>
    </row>
    <row r="28" spans="2:49" ht="18" customHeight="1" thickBot="1">
      <c r="B28" s="49" t="str">
        <f ca="1">IF($AW$2="y",CS!AR34,"")</f>
        <v>Tm24</v>
      </c>
      <c r="C28" s="144">
        <f>DrawFinder!Y34</f>
        <v>3</v>
      </c>
      <c r="D28" s="52" t="str">
        <f t="shared" si="1"/>
        <v/>
      </c>
      <c r="E28" s="52" t="str">
        <f t="shared" si="1"/>
        <v/>
      </c>
      <c r="F28" s="52" t="str">
        <f t="shared" si="1"/>
        <v/>
      </c>
      <c r="G28" s="52" t="str">
        <f t="shared" si="1"/>
        <v/>
      </c>
      <c r="H28" s="52" t="str">
        <f t="shared" si="1"/>
        <v/>
      </c>
      <c r="I28" s="52" t="str">
        <f t="shared" si="1"/>
        <v/>
      </c>
      <c r="J28" s="52" t="str">
        <f t="shared" si="5"/>
        <v/>
      </c>
      <c r="K28" s="52" t="str">
        <f t="shared" si="4"/>
        <v/>
      </c>
      <c r="L28" s="52" t="str">
        <f t="shared" si="4"/>
        <v/>
      </c>
      <c r="M28" s="52" t="str">
        <f t="shared" si="4"/>
        <v/>
      </c>
      <c r="N28" s="52" t="str">
        <f t="shared" si="4"/>
        <v/>
      </c>
      <c r="O28" s="52" t="str">
        <f t="shared" si="4"/>
        <v/>
      </c>
      <c r="P28" s="52" t="str">
        <f t="shared" si="4"/>
        <v/>
      </c>
      <c r="Q28" s="52" t="str">
        <f t="shared" si="4"/>
        <v/>
      </c>
      <c r="R28" s="52" t="str">
        <f t="shared" si="4"/>
        <v/>
      </c>
      <c r="S28" s="52" t="str">
        <f t="shared" si="7"/>
        <v/>
      </c>
      <c r="T28" s="52" t="str">
        <f t="shared" si="7"/>
        <v/>
      </c>
      <c r="U28" s="52" t="str">
        <f t="shared" si="7"/>
        <v/>
      </c>
      <c r="V28" s="52" t="str">
        <f t="shared" si="7"/>
        <v/>
      </c>
      <c r="W28" s="52" t="str">
        <f t="shared" si="7"/>
        <v/>
      </c>
      <c r="X28" s="52" t="str">
        <f t="shared" si="7"/>
        <v/>
      </c>
      <c r="Y28" s="52" t="str">
        <f t="shared" si="7"/>
        <v/>
      </c>
      <c r="Z28" s="52" t="str">
        <f>IF(AND(Z$4=0,AND(AA$4&gt;0,$C28=AA$4)),LEFT($B28,2),"")</f>
        <v/>
      </c>
      <c r="AA28" s="53" t="str">
        <f>IF(AA$4=0,0,CHAR(AA$4+64))</f>
        <v>C</v>
      </c>
      <c r="AB28" s="52" t="str">
        <f>IF(AND($C28=0,AND($C29&gt;0,$C29=AB$4)),LEFT(AB$3,2),"")</f>
        <v/>
      </c>
      <c r="AC28" s="52" t="str">
        <f t="shared" si="6"/>
        <v/>
      </c>
      <c r="AD28" s="52" t="str">
        <f t="shared" si="6"/>
        <v/>
      </c>
      <c r="AE28" s="52" t="str">
        <f t="shared" si="6"/>
        <v/>
      </c>
      <c r="AF28" s="52" t="str">
        <f t="shared" si="6"/>
        <v/>
      </c>
      <c r="AG28" s="52" t="str">
        <f t="shared" si="6"/>
        <v/>
      </c>
      <c r="AH28" s="52" t="str">
        <f t="shared" si="6"/>
        <v/>
      </c>
      <c r="AI28" s="52" t="str">
        <f t="shared" si="6"/>
        <v/>
      </c>
      <c r="AJ28" s="52" t="str">
        <f t="shared" si="6"/>
        <v/>
      </c>
      <c r="AK28" s="52" t="str">
        <f t="shared" si="6"/>
        <v/>
      </c>
      <c r="AL28" s="52" t="str">
        <f t="shared" si="6"/>
        <v/>
      </c>
      <c r="AM28" s="52" t="str">
        <f t="shared" si="6"/>
        <v/>
      </c>
      <c r="AN28" s="52" t="str">
        <f t="shared" si="6"/>
        <v/>
      </c>
      <c r="AO28" s="52" t="str">
        <f t="shared" si="6"/>
        <v/>
      </c>
      <c r="AP28" s="52" t="str">
        <f t="shared" si="6"/>
        <v/>
      </c>
      <c r="AQ28" s="52" t="str">
        <f t="shared" si="6"/>
        <v/>
      </c>
      <c r="AR28" s="52" t="str">
        <f t="shared" si="6"/>
        <v/>
      </c>
      <c r="AS28" s="52" t="str">
        <f t="shared" si="6"/>
        <v/>
      </c>
      <c r="AT28" s="52" t="str">
        <f t="shared" si="6"/>
        <v/>
      </c>
      <c r="AU28" s="52" t="str">
        <f t="shared" si="6"/>
        <v/>
      </c>
      <c r="AV28" s="52" t="str">
        <f t="shared" si="6"/>
        <v/>
      </c>
      <c r="AW28" s="52" t="str">
        <f t="shared" si="6"/>
        <v/>
      </c>
    </row>
    <row r="29" spans="2:49" ht="18" customHeight="1" thickBot="1">
      <c r="B29" s="49" t="str">
        <f ca="1">IF($AW$2="y",CS!AR35,"")</f>
        <v/>
      </c>
      <c r="C29" s="144">
        <f>DrawFinder!Y35</f>
        <v>0</v>
      </c>
      <c r="D29" s="52" t="str">
        <f t="shared" si="1"/>
        <v/>
      </c>
      <c r="E29" s="52" t="str">
        <f t="shared" si="1"/>
        <v/>
      </c>
      <c r="F29" s="52" t="str">
        <f t="shared" si="1"/>
        <v/>
      </c>
      <c r="G29" s="52" t="str">
        <f t="shared" si="1"/>
        <v/>
      </c>
      <c r="H29" s="52" t="str">
        <f t="shared" si="1"/>
        <v/>
      </c>
      <c r="I29" s="52" t="str">
        <f t="shared" si="1"/>
        <v/>
      </c>
      <c r="J29" s="52" t="str">
        <f t="shared" si="5"/>
        <v/>
      </c>
      <c r="K29" s="52" t="str">
        <f t="shared" si="4"/>
        <v/>
      </c>
      <c r="L29" s="52" t="str">
        <f t="shared" si="4"/>
        <v/>
      </c>
      <c r="M29" s="52" t="str">
        <f t="shared" si="4"/>
        <v/>
      </c>
      <c r="N29" s="52" t="str">
        <f t="shared" si="4"/>
        <v/>
      </c>
      <c r="O29" s="52" t="str">
        <f t="shared" si="4"/>
        <v/>
      </c>
      <c r="P29" s="52" t="str">
        <f t="shared" si="4"/>
        <v/>
      </c>
      <c r="Q29" s="52" t="str">
        <f t="shared" si="4"/>
        <v/>
      </c>
      <c r="R29" s="52" t="str">
        <f t="shared" si="4"/>
        <v/>
      </c>
      <c r="S29" s="52" t="str">
        <f t="shared" si="7"/>
        <v/>
      </c>
      <c r="T29" s="52" t="str">
        <f t="shared" si="7"/>
        <v/>
      </c>
      <c r="U29" s="52" t="str">
        <f t="shared" si="7"/>
        <v/>
      </c>
      <c r="V29" s="52" t="str">
        <f t="shared" si="7"/>
        <v/>
      </c>
      <c r="W29" s="52" t="str">
        <f t="shared" si="7"/>
        <v/>
      </c>
      <c r="X29" s="52" t="str">
        <f t="shared" si="7"/>
        <v/>
      </c>
      <c r="Y29" s="52" t="str">
        <f t="shared" si="7"/>
        <v/>
      </c>
      <c r="Z29" s="52" t="str">
        <f t="shared" si="7"/>
        <v/>
      </c>
      <c r="AA29" s="52" t="str">
        <f>IF(AND(AA$4=0,AND(AB$4&gt;0,$C29=AB$4)),LEFT($B29,2),"")</f>
        <v/>
      </c>
      <c r="AB29" s="53">
        <f>IF(AB$4=0,0,CHAR(AB$4+64))</f>
        <v>0</v>
      </c>
      <c r="AC29" s="52" t="str">
        <f>IF(AND($C29=0,AND($C30&gt;0,$C30=AC$4)),LEFT(AC$3,2),"")</f>
        <v/>
      </c>
      <c r="AD29" s="52" t="str">
        <f t="shared" ref="AD29:AW44" si="8">IF(AND($C29=0,AND($C30&gt;0,$C30=AD$4)),LEFT(AD$3,2),"")</f>
        <v/>
      </c>
      <c r="AE29" s="52" t="str">
        <f t="shared" si="8"/>
        <v/>
      </c>
      <c r="AF29" s="52" t="str">
        <f t="shared" si="8"/>
        <v/>
      </c>
      <c r="AG29" s="52" t="str">
        <f t="shared" si="8"/>
        <v/>
      </c>
      <c r="AH29" s="52" t="str">
        <f t="shared" si="8"/>
        <v/>
      </c>
      <c r="AI29" s="52" t="str">
        <f t="shared" si="8"/>
        <v/>
      </c>
      <c r="AJ29" s="52" t="str">
        <f t="shared" si="8"/>
        <v/>
      </c>
      <c r="AK29" s="52" t="str">
        <f t="shared" si="8"/>
        <v/>
      </c>
      <c r="AL29" s="52" t="str">
        <f t="shared" si="8"/>
        <v/>
      </c>
      <c r="AM29" s="52" t="str">
        <f t="shared" si="8"/>
        <v/>
      </c>
      <c r="AN29" s="52" t="str">
        <f t="shared" si="8"/>
        <v/>
      </c>
      <c r="AO29" s="52" t="str">
        <f t="shared" si="8"/>
        <v/>
      </c>
      <c r="AP29" s="52" t="str">
        <f t="shared" si="8"/>
        <v/>
      </c>
      <c r="AQ29" s="52" t="str">
        <f t="shared" si="8"/>
        <v/>
      </c>
      <c r="AR29" s="52" t="str">
        <f t="shared" si="8"/>
        <v/>
      </c>
      <c r="AS29" s="52" t="str">
        <f t="shared" si="8"/>
        <v/>
      </c>
      <c r="AT29" s="52" t="str">
        <f t="shared" si="8"/>
        <v/>
      </c>
      <c r="AU29" s="52" t="str">
        <f t="shared" si="8"/>
        <v/>
      </c>
      <c r="AV29" s="52" t="str">
        <f t="shared" si="8"/>
        <v/>
      </c>
      <c r="AW29" s="52" t="str">
        <f t="shared" si="8"/>
        <v/>
      </c>
    </row>
    <row r="30" spans="2:49" ht="18" customHeight="1" thickBot="1">
      <c r="B30" s="49" t="str">
        <f ca="1">IF($AW$2="y",CS!AR36,"")</f>
        <v/>
      </c>
      <c r="C30" s="144">
        <f>DrawFinder!Y36</f>
        <v>0</v>
      </c>
      <c r="D30" s="52" t="str">
        <f t="shared" si="1"/>
        <v/>
      </c>
      <c r="E30" s="52" t="str">
        <f t="shared" si="1"/>
        <v/>
      </c>
      <c r="F30" s="52" t="str">
        <f t="shared" si="1"/>
        <v/>
      </c>
      <c r="G30" s="52" t="str">
        <f t="shared" si="1"/>
        <v/>
      </c>
      <c r="H30" s="52" t="str">
        <f t="shared" si="1"/>
        <v/>
      </c>
      <c r="I30" s="52" t="str">
        <f t="shared" si="1"/>
        <v/>
      </c>
      <c r="J30" s="52" t="str">
        <f t="shared" si="5"/>
        <v/>
      </c>
      <c r="K30" s="52" t="str">
        <f t="shared" si="4"/>
        <v/>
      </c>
      <c r="L30" s="52" t="str">
        <f t="shared" si="4"/>
        <v/>
      </c>
      <c r="M30" s="52" t="str">
        <f t="shared" si="4"/>
        <v/>
      </c>
      <c r="N30" s="52" t="str">
        <f t="shared" si="4"/>
        <v/>
      </c>
      <c r="O30" s="52" t="str">
        <f t="shared" si="4"/>
        <v/>
      </c>
      <c r="P30" s="52" t="str">
        <f t="shared" si="4"/>
        <v/>
      </c>
      <c r="Q30" s="52" t="str">
        <f t="shared" si="4"/>
        <v/>
      </c>
      <c r="R30" s="52" t="str">
        <f t="shared" si="4"/>
        <v/>
      </c>
      <c r="S30" s="52" t="str">
        <f t="shared" si="7"/>
        <v/>
      </c>
      <c r="T30" s="52" t="str">
        <f t="shared" si="7"/>
        <v/>
      </c>
      <c r="U30" s="52" t="str">
        <f t="shared" si="7"/>
        <v/>
      </c>
      <c r="V30" s="52" t="str">
        <f t="shared" si="7"/>
        <v/>
      </c>
      <c r="W30" s="52" t="str">
        <f t="shared" si="7"/>
        <v/>
      </c>
      <c r="X30" s="52" t="str">
        <f t="shared" si="7"/>
        <v/>
      </c>
      <c r="Y30" s="52" t="str">
        <f t="shared" si="7"/>
        <v/>
      </c>
      <c r="Z30" s="52" t="str">
        <f t="shared" si="7"/>
        <v/>
      </c>
      <c r="AA30" s="52" t="str">
        <f t="shared" si="7"/>
        <v/>
      </c>
      <c r="AB30" s="52" t="str">
        <f>IF(AND(AB$4=0,AND(AC$4&gt;0,$C30=AC$4)),LEFT($B30,2),"")</f>
        <v/>
      </c>
      <c r="AC30" s="53">
        <f>IF(AC$4=0,0,CHAR(AC$4+64))</f>
        <v>0</v>
      </c>
      <c r="AD30" s="52" t="str">
        <f>IF(AND($C30=0,AND($C31&gt;0,$C31=AD$4)),LEFT(AD$3,2),"")</f>
        <v/>
      </c>
      <c r="AE30" s="52" t="str">
        <f t="shared" si="8"/>
        <v/>
      </c>
      <c r="AF30" s="52" t="str">
        <f t="shared" si="8"/>
        <v/>
      </c>
      <c r="AG30" s="52" t="str">
        <f t="shared" si="8"/>
        <v/>
      </c>
      <c r="AH30" s="52" t="str">
        <f t="shared" si="8"/>
        <v/>
      </c>
      <c r="AI30" s="52" t="str">
        <f t="shared" si="8"/>
        <v/>
      </c>
      <c r="AJ30" s="52" t="str">
        <f t="shared" si="8"/>
        <v/>
      </c>
      <c r="AK30" s="52" t="str">
        <f t="shared" si="8"/>
        <v/>
      </c>
      <c r="AL30" s="52" t="str">
        <f t="shared" si="8"/>
        <v/>
      </c>
      <c r="AM30" s="52" t="str">
        <f t="shared" si="8"/>
        <v/>
      </c>
      <c r="AN30" s="52" t="str">
        <f t="shared" si="8"/>
        <v/>
      </c>
      <c r="AO30" s="52" t="str">
        <f t="shared" si="8"/>
        <v/>
      </c>
      <c r="AP30" s="52" t="str">
        <f t="shared" si="8"/>
        <v/>
      </c>
      <c r="AQ30" s="52" t="str">
        <f t="shared" si="8"/>
        <v/>
      </c>
      <c r="AR30" s="52" t="str">
        <f t="shared" si="8"/>
        <v/>
      </c>
      <c r="AS30" s="52" t="str">
        <f t="shared" si="8"/>
        <v/>
      </c>
      <c r="AT30" s="52" t="str">
        <f t="shared" si="8"/>
        <v/>
      </c>
      <c r="AU30" s="52" t="str">
        <f t="shared" si="8"/>
        <v/>
      </c>
      <c r="AV30" s="52" t="str">
        <f t="shared" si="8"/>
        <v/>
      </c>
      <c r="AW30" s="52" t="str">
        <f t="shared" si="8"/>
        <v/>
      </c>
    </row>
    <row r="31" spans="2:49" ht="18" customHeight="1" thickBot="1">
      <c r="B31" s="49" t="str">
        <f ca="1">IF($AW$2="y",CS!AR37,"")</f>
        <v/>
      </c>
      <c r="C31" s="144">
        <f>DrawFinder!Y37</f>
        <v>0</v>
      </c>
      <c r="D31" s="52" t="str">
        <f t="shared" si="1"/>
        <v/>
      </c>
      <c r="E31" s="52" t="str">
        <f t="shared" si="1"/>
        <v/>
      </c>
      <c r="F31" s="52" t="str">
        <f t="shared" si="1"/>
        <v/>
      </c>
      <c r="G31" s="52" t="str">
        <f t="shared" si="1"/>
        <v/>
      </c>
      <c r="H31" s="52" t="str">
        <f t="shared" si="1"/>
        <v/>
      </c>
      <c r="I31" s="52" t="str">
        <f t="shared" si="1"/>
        <v/>
      </c>
      <c r="J31" s="52" t="str">
        <f t="shared" si="5"/>
        <v/>
      </c>
      <c r="K31" s="52" t="str">
        <f t="shared" si="4"/>
        <v/>
      </c>
      <c r="L31" s="52" t="str">
        <f t="shared" si="4"/>
        <v/>
      </c>
      <c r="M31" s="52" t="str">
        <f t="shared" si="4"/>
        <v/>
      </c>
      <c r="N31" s="52" t="str">
        <f t="shared" si="4"/>
        <v/>
      </c>
      <c r="O31" s="52" t="str">
        <f t="shared" si="4"/>
        <v/>
      </c>
      <c r="P31" s="52" t="str">
        <f t="shared" si="4"/>
        <v/>
      </c>
      <c r="Q31" s="52" t="str">
        <f t="shared" si="4"/>
        <v/>
      </c>
      <c r="R31" s="52" t="str">
        <f t="shared" si="4"/>
        <v/>
      </c>
      <c r="S31" s="52" t="str">
        <f t="shared" si="7"/>
        <v/>
      </c>
      <c r="T31" s="52" t="str">
        <f t="shared" si="7"/>
        <v/>
      </c>
      <c r="U31" s="52" t="str">
        <f t="shared" si="7"/>
        <v/>
      </c>
      <c r="V31" s="52" t="str">
        <f t="shared" si="7"/>
        <v/>
      </c>
      <c r="W31" s="52" t="str">
        <f t="shared" si="7"/>
        <v/>
      </c>
      <c r="X31" s="52" t="str">
        <f t="shared" si="7"/>
        <v/>
      </c>
      <c r="Y31" s="52" t="str">
        <f t="shared" si="7"/>
        <v/>
      </c>
      <c r="Z31" s="52" t="str">
        <f t="shared" si="7"/>
        <v/>
      </c>
      <c r="AA31" s="52" t="str">
        <f t="shared" si="7"/>
        <v/>
      </c>
      <c r="AB31" s="52" t="str">
        <f t="shared" si="7"/>
        <v/>
      </c>
      <c r="AC31" s="52" t="str">
        <f>IF(AND(AC$4=0,AND(AD$4&gt;0,$C31=AD$4)),LEFT($B31,2),"")</f>
        <v/>
      </c>
      <c r="AD31" s="53">
        <f>IF(AD$4=0,0,CHAR(AD$4+64))</f>
        <v>0</v>
      </c>
      <c r="AE31" s="52" t="str">
        <f>IF(AND($C31=0,AND($C32&gt;0,$C32=AE$4)),LEFT(AE$3,2),"")</f>
        <v/>
      </c>
      <c r="AF31" s="52" t="str">
        <f t="shared" si="8"/>
        <v/>
      </c>
      <c r="AG31" s="52" t="str">
        <f t="shared" si="8"/>
        <v/>
      </c>
      <c r="AH31" s="52" t="str">
        <f t="shared" si="8"/>
        <v/>
      </c>
      <c r="AI31" s="52" t="str">
        <f t="shared" si="8"/>
        <v/>
      </c>
      <c r="AJ31" s="52" t="str">
        <f t="shared" si="8"/>
        <v/>
      </c>
      <c r="AK31" s="52" t="str">
        <f t="shared" si="8"/>
        <v/>
      </c>
      <c r="AL31" s="52" t="str">
        <f t="shared" si="8"/>
        <v/>
      </c>
      <c r="AM31" s="52" t="str">
        <f t="shared" si="8"/>
        <v/>
      </c>
      <c r="AN31" s="52" t="str">
        <f t="shared" si="8"/>
        <v/>
      </c>
      <c r="AO31" s="52" t="str">
        <f t="shared" si="8"/>
        <v/>
      </c>
      <c r="AP31" s="52" t="str">
        <f t="shared" si="8"/>
        <v/>
      </c>
      <c r="AQ31" s="52" t="str">
        <f t="shared" si="8"/>
        <v/>
      </c>
      <c r="AR31" s="52" t="str">
        <f t="shared" si="8"/>
        <v/>
      </c>
      <c r="AS31" s="52" t="str">
        <f t="shared" si="8"/>
        <v/>
      </c>
      <c r="AT31" s="52" t="str">
        <f t="shared" si="8"/>
        <v/>
      </c>
      <c r="AU31" s="52" t="str">
        <f t="shared" si="8"/>
        <v/>
      </c>
      <c r="AV31" s="52" t="str">
        <f t="shared" si="8"/>
        <v/>
      </c>
      <c r="AW31" s="52" t="str">
        <f t="shared" si="8"/>
        <v/>
      </c>
    </row>
    <row r="32" spans="2:49" ht="18" customHeight="1" thickBot="1">
      <c r="B32" s="49" t="str">
        <f ca="1">IF($AW$2="y",CS!AR38,"")</f>
        <v/>
      </c>
      <c r="C32" s="144">
        <f>DrawFinder!Y38</f>
        <v>0</v>
      </c>
      <c r="D32" s="52" t="str">
        <f t="shared" si="1"/>
        <v/>
      </c>
      <c r="E32" s="52" t="str">
        <f t="shared" si="1"/>
        <v/>
      </c>
      <c r="F32" s="52" t="str">
        <f t="shared" si="1"/>
        <v/>
      </c>
      <c r="G32" s="52" t="str">
        <f t="shared" si="1"/>
        <v/>
      </c>
      <c r="H32" s="52" t="str">
        <f t="shared" si="1"/>
        <v/>
      </c>
      <c r="I32" s="52" t="str">
        <f t="shared" si="1"/>
        <v/>
      </c>
      <c r="J32" s="52" t="str">
        <f t="shared" si="5"/>
        <v/>
      </c>
      <c r="K32" s="52" t="str">
        <f t="shared" si="4"/>
        <v/>
      </c>
      <c r="L32" s="52" t="str">
        <f t="shared" si="4"/>
        <v/>
      </c>
      <c r="M32" s="52" t="str">
        <f t="shared" si="4"/>
        <v/>
      </c>
      <c r="N32" s="52" t="str">
        <f t="shared" si="4"/>
        <v/>
      </c>
      <c r="O32" s="52" t="str">
        <f t="shared" si="4"/>
        <v/>
      </c>
      <c r="P32" s="52" t="str">
        <f t="shared" si="4"/>
        <v/>
      </c>
      <c r="Q32" s="52" t="str">
        <f t="shared" si="4"/>
        <v/>
      </c>
      <c r="R32" s="52" t="str">
        <f t="shared" si="4"/>
        <v/>
      </c>
      <c r="S32" s="52" t="str">
        <f t="shared" si="7"/>
        <v/>
      </c>
      <c r="T32" s="52" t="str">
        <f t="shared" si="7"/>
        <v/>
      </c>
      <c r="U32" s="52" t="str">
        <f t="shared" si="7"/>
        <v/>
      </c>
      <c r="V32" s="52" t="str">
        <f t="shared" si="7"/>
        <v/>
      </c>
      <c r="W32" s="52" t="str">
        <f t="shared" si="7"/>
        <v/>
      </c>
      <c r="X32" s="52" t="str">
        <f t="shared" si="7"/>
        <v/>
      </c>
      <c r="Y32" s="52" t="str">
        <f t="shared" si="7"/>
        <v/>
      </c>
      <c r="Z32" s="52" t="str">
        <f t="shared" si="7"/>
        <v/>
      </c>
      <c r="AA32" s="52" t="str">
        <f t="shared" si="7"/>
        <v/>
      </c>
      <c r="AB32" s="52" t="str">
        <f t="shared" si="7"/>
        <v/>
      </c>
      <c r="AC32" s="52" t="str">
        <f t="shared" si="7"/>
        <v/>
      </c>
      <c r="AD32" s="52" t="str">
        <f>IF(AND(AD$4=0,AND(AE$4&gt;0,$C32=AE$4)),LEFT($B32,2),"")</f>
        <v/>
      </c>
      <c r="AE32" s="53">
        <f>IF(AE$4=0,0,CHAR(AE$4+64))</f>
        <v>0</v>
      </c>
      <c r="AF32" s="52" t="str">
        <f>IF(AND($C32=0,AND($C33&gt;0,$C33=AF$4)),LEFT(AF$3,2),"")</f>
        <v/>
      </c>
      <c r="AG32" s="52" t="str">
        <f t="shared" si="8"/>
        <v/>
      </c>
      <c r="AH32" s="52" t="str">
        <f t="shared" si="8"/>
        <v/>
      </c>
      <c r="AI32" s="52" t="str">
        <f t="shared" si="8"/>
        <v/>
      </c>
      <c r="AJ32" s="52" t="str">
        <f t="shared" si="8"/>
        <v/>
      </c>
      <c r="AK32" s="52" t="str">
        <f t="shared" si="8"/>
        <v/>
      </c>
      <c r="AL32" s="52" t="str">
        <f t="shared" si="8"/>
        <v/>
      </c>
      <c r="AM32" s="52" t="str">
        <f t="shared" si="8"/>
        <v/>
      </c>
      <c r="AN32" s="52" t="str">
        <f t="shared" si="8"/>
        <v/>
      </c>
      <c r="AO32" s="52" t="str">
        <f t="shared" si="8"/>
        <v/>
      </c>
      <c r="AP32" s="52" t="str">
        <f t="shared" si="8"/>
        <v/>
      </c>
      <c r="AQ32" s="52" t="str">
        <f t="shared" si="8"/>
        <v/>
      </c>
      <c r="AR32" s="52" t="str">
        <f t="shared" si="8"/>
        <v/>
      </c>
      <c r="AS32" s="52" t="str">
        <f t="shared" si="8"/>
        <v/>
      </c>
      <c r="AT32" s="52" t="str">
        <f t="shared" si="8"/>
        <v/>
      </c>
      <c r="AU32" s="52" t="str">
        <f t="shared" si="8"/>
        <v/>
      </c>
      <c r="AV32" s="52" t="str">
        <f t="shared" si="8"/>
        <v/>
      </c>
      <c r="AW32" s="52" t="str">
        <f t="shared" si="8"/>
        <v/>
      </c>
    </row>
    <row r="33" spans="2:49" ht="18" customHeight="1" thickBot="1">
      <c r="B33" s="49" t="str">
        <f ca="1">IF($AW$2="y",CS!AR39,"")</f>
        <v/>
      </c>
      <c r="C33" s="144">
        <f>DrawFinder!Y39</f>
        <v>0</v>
      </c>
      <c r="D33" s="52" t="str">
        <f t="shared" si="1"/>
        <v/>
      </c>
      <c r="E33" s="52" t="str">
        <f t="shared" si="1"/>
        <v/>
      </c>
      <c r="F33" s="52" t="str">
        <f t="shared" si="1"/>
        <v/>
      </c>
      <c r="G33" s="52" t="str">
        <f t="shared" si="1"/>
        <v/>
      </c>
      <c r="H33" s="52" t="str">
        <f t="shared" si="1"/>
        <v/>
      </c>
      <c r="I33" s="52" t="str">
        <f t="shared" si="1"/>
        <v/>
      </c>
      <c r="J33" s="52" t="str">
        <f t="shared" si="5"/>
        <v/>
      </c>
      <c r="K33" s="52" t="str">
        <f t="shared" si="4"/>
        <v/>
      </c>
      <c r="L33" s="52" t="str">
        <f t="shared" si="4"/>
        <v/>
      </c>
      <c r="M33" s="52" t="str">
        <f t="shared" si="4"/>
        <v/>
      </c>
      <c r="N33" s="52" t="str">
        <f t="shared" si="4"/>
        <v/>
      </c>
      <c r="O33" s="52" t="str">
        <f t="shared" si="4"/>
        <v/>
      </c>
      <c r="P33" s="52" t="str">
        <f t="shared" si="4"/>
        <v/>
      </c>
      <c r="Q33" s="52" t="str">
        <f t="shared" si="4"/>
        <v/>
      </c>
      <c r="R33" s="52" t="str">
        <f t="shared" si="4"/>
        <v/>
      </c>
      <c r="S33" s="52" t="str">
        <f t="shared" si="7"/>
        <v/>
      </c>
      <c r="T33" s="52" t="str">
        <f t="shared" si="7"/>
        <v/>
      </c>
      <c r="U33" s="52" t="str">
        <f t="shared" si="7"/>
        <v/>
      </c>
      <c r="V33" s="52" t="str">
        <f t="shared" si="7"/>
        <v/>
      </c>
      <c r="W33" s="52" t="str">
        <f t="shared" si="7"/>
        <v/>
      </c>
      <c r="X33" s="52" t="str">
        <f t="shared" si="7"/>
        <v/>
      </c>
      <c r="Y33" s="52" t="str">
        <f t="shared" si="7"/>
        <v/>
      </c>
      <c r="Z33" s="52" t="str">
        <f t="shared" si="7"/>
        <v/>
      </c>
      <c r="AA33" s="52" t="str">
        <f t="shared" si="7"/>
        <v/>
      </c>
      <c r="AB33" s="52" t="str">
        <f t="shared" si="7"/>
        <v/>
      </c>
      <c r="AC33" s="52" t="str">
        <f t="shared" si="7"/>
        <v/>
      </c>
      <c r="AD33" s="52" t="str">
        <f t="shared" ref="AD33:AS50" si="9">IF(AND(AD$4=0,AND(AE$4&gt;0,$C33=AE$4)),LEFT($B33,2),"")</f>
        <v/>
      </c>
      <c r="AE33" s="52" t="str">
        <f>IF(AND(AE$4=0,AND(AF$4&gt;0,$C33=AF$4)),LEFT($B33,2),"")</f>
        <v/>
      </c>
      <c r="AF33" s="53">
        <f>IF(AF$4=0,0,CHAR(AF$4+64))</f>
        <v>0</v>
      </c>
      <c r="AG33" s="52" t="str">
        <f>IF(AND($C33=0,AND($C34&gt;0,$C34=AG$4)),LEFT(AG$3,2),"")</f>
        <v/>
      </c>
      <c r="AH33" s="52" t="str">
        <f t="shared" si="8"/>
        <v/>
      </c>
      <c r="AI33" s="52" t="str">
        <f t="shared" si="8"/>
        <v/>
      </c>
      <c r="AJ33" s="52" t="str">
        <f t="shared" si="8"/>
        <v/>
      </c>
      <c r="AK33" s="52" t="str">
        <f t="shared" si="8"/>
        <v/>
      </c>
      <c r="AL33" s="52" t="str">
        <f t="shared" si="8"/>
        <v/>
      </c>
      <c r="AM33" s="52" t="str">
        <f t="shared" si="8"/>
        <v/>
      </c>
      <c r="AN33" s="52" t="str">
        <f t="shared" si="8"/>
        <v/>
      </c>
      <c r="AO33" s="52" t="str">
        <f t="shared" si="8"/>
        <v/>
      </c>
      <c r="AP33" s="52" t="str">
        <f t="shared" si="8"/>
        <v/>
      </c>
      <c r="AQ33" s="52" t="str">
        <f t="shared" si="8"/>
        <v/>
      </c>
      <c r="AR33" s="52" t="str">
        <f t="shared" si="8"/>
        <v/>
      </c>
      <c r="AS33" s="52" t="str">
        <f t="shared" si="8"/>
        <v/>
      </c>
      <c r="AT33" s="52" t="str">
        <f t="shared" si="8"/>
        <v/>
      </c>
      <c r="AU33" s="52" t="str">
        <f t="shared" si="8"/>
        <v/>
      </c>
      <c r="AV33" s="52" t="str">
        <f t="shared" si="8"/>
        <v/>
      </c>
      <c r="AW33" s="52" t="str">
        <f t="shared" si="8"/>
        <v/>
      </c>
    </row>
    <row r="34" spans="2:49" ht="18" customHeight="1" thickBot="1">
      <c r="B34" s="49" t="str">
        <f ca="1">IF($AW$2="y",CS!AR40,"")</f>
        <v/>
      </c>
      <c r="C34" s="144">
        <f>DrawFinder!Y40</f>
        <v>0</v>
      </c>
      <c r="D34" s="52" t="str">
        <f t="shared" si="1"/>
        <v/>
      </c>
      <c r="E34" s="52" t="str">
        <f t="shared" si="1"/>
        <v/>
      </c>
      <c r="F34" s="52" t="str">
        <f t="shared" si="1"/>
        <v/>
      </c>
      <c r="G34" s="52" t="str">
        <f t="shared" si="1"/>
        <v/>
      </c>
      <c r="H34" s="52" t="str">
        <f t="shared" si="1"/>
        <v/>
      </c>
      <c r="I34" s="52" t="str">
        <f t="shared" si="1"/>
        <v/>
      </c>
      <c r="J34" s="52" t="str">
        <f t="shared" si="5"/>
        <v/>
      </c>
      <c r="K34" s="52" t="str">
        <f t="shared" si="4"/>
        <v/>
      </c>
      <c r="L34" s="52" t="str">
        <f t="shared" si="4"/>
        <v/>
      </c>
      <c r="M34" s="52" t="str">
        <f t="shared" si="4"/>
        <v/>
      </c>
      <c r="N34" s="52" t="str">
        <f t="shared" si="4"/>
        <v/>
      </c>
      <c r="O34" s="52" t="str">
        <f t="shared" si="4"/>
        <v/>
      </c>
      <c r="P34" s="52" t="str">
        <f t="shared" si="4"/>
        <v/>
      </c>
      <c r="Q34" s="52" t="str">
        <f t="shared" si="4"/>
        <v/>
      </c>
      <c r="R34" s="52" t="str">
        <f t="shared" si="4"/>
        <v/>
      </c>
      <c r="S34" s="52" t="str">
        <f t="shared" si="7"/>
        <v/>
      </c>
      <c r="T34" s="52" t="str">
        <f t="shared" si="7"/>
        <v/>
      </c>
      <c r="U34" s="52" t="str">
        <f t="shared" si="7"/>
        <v/>
      </c>
      <c r="V34" s="52" t="str">
        <f t="shared" si="7"/>
        <v/>
      </c>
      <c r="W34" s="52" t="str">
        <f t="shared" si="7"/>
        <v/>
      </c>
      <c r="X34" s="52" t="str">
        <f t="shared" si="7"/>
        <v/>
      </c>
      <c r="Y34" s="52" t="str">
        <f t="shared" si="7"/>
        <v/>
      </c>
      <c r="Z34" s="52" t="str">
        <f t="shared" si="7"/>
        <v/>
      </c>
      <c r="AA34" s="52" t="str">
        <f t="shared" si="7"/>
        <v/>
      </c>
      <c r="AB34" s="52" t="str">
        <f t="shared" si="7"/>
        <v/>
      </c>
      <c r="AC34" s="52" t="str">
        <f t="shared" si="7"/>
        <v/>
      </c>
      <c r="AD34" s="52" t="str">
        <f t="shared" si="9"/>
        <v/>
      </c>
      <c r="AE34" s="52" t="str">
        <f t="shared" si="9"/>
        <v/>
      </c>
      <c r="AF34" s="52" t="str">
        <f>IF(AND(AF$4=0,AND(AG$4&gt;0,$C34=AG$4)),LEFT($B34,2),"")</f>
        <v/>
      </c>
      <c r="AG34" s="53">
        <f>IF(AG$4=0,0,CHAR(AG$4+64))</f>
        <v>0</v>
      </c>
      <c r="AH34" s="52" t="str">
        <f>IF(AND($C34=0,AND($C35&gt;0,$C35=AH$4)),LEFT(AH$3,2),"")</f>
        <v/>
      </c>
      <c r="AI34" s="52" t="str">
        <f t="shared" si="8"/>
        <v/>
      </c>
      <c r="AJ34" s="52" t="str">
        <f t="shared" si="8"/>
        <v/>
      </c>
      <c r="AK34" s="52" t="str">
        <f t="shared" si="8"/>
        <v/>
      </c>
      <c r="AL34" s="52" t="str">
        <f t="shared" si="8"/>
        <v/>
      </c>
      <c r="AM34" s="52" t="str">
        <f t="shared" si="8"/>
        <v/>
      </c>
      <c r="AN34" s="52" t="str">
        <f t="shared" si="8"/>
        <v/>
      </c>
      <c r="AO34" s="52" t="str">
        <f t="shared" si="8"/>
        <v/>
      </c>
      <c r="AP34" s="52" t="str">
        <f t="shared" si="8"/>
        <v/>
      </c>
      <c r="AQ34" s="52" t="str">
        <f t="shared" si="8"/>
        <v/>
      </c>
      <c r="AR34" s="52" t="str">
        <f t="shared" si="8"/>
        <v/>
      </c>
      <c r="AS34" s="52" t="str">
        <f t="shared" si="8"/>
        <v/>
      </c>
      <c r="AT34" s="52" t="str">
        <f t="shared" si="8"/>
        <v/>
      </c>
      <c r="AU34" s="52" t="str">
        <f t="shared" si="8"/>
        <v/>
      </c>
      <c r="AV34" s="52" t="str">
        <f t="shared" si="8"/>
        <v/>
      </c>
      <c r="AW34" s="52" t="str">
        <f t="shared" si="8"/>
        <v/>
      </c>
    </row>
    <row r="35" spans="2:49" ht="18" customHeight="1" thickBot="1">
      <c r="B35" s="49" t="str">
        <f ca="1">IF($AW$2="y",CS!AR41,"")</f>
        <v/>
      </c>
      <c r="C35" s="144">
        <f>DrawFinder!Y41</f>
        <v>0</v>
      </c>
      <c r="D35" s="52" t="str">
        <f t="shared" si="1"/>
        <v/>
      </c>
      <c r="E35" s="52" t="str">
        <f t="shared" si="1"/>
        <v/>
      </c>
      <c r="F35" s="52" t="str">
        <f t="shared" si="1"/>
        <v/>
      </c>
      <c r="G35" s="52" t="str">
        <f t="shared" si="1"/>
        <v/>
      </c>
      <c r="H35" s="52" t="str">
        <f t="shared" si="1"/>
        <v/>
      </c>
      <c r="I35" s="52" t="str">
        <f t="shared" si="1"/>
        <v/>
      </c>
      <c r="J35" s="52" t="str">
        <f t="shared" si="5"/>
        <v/>
      </c>
      <c r="K35" s="52" t="str">
        <f t="shared" si="4"/>
        <v/>
      </c>
      <c r="L35" s="52" t="str">
        <f t="shared" si="4"/>
        <v/>
      </c>
      <c r="M35" s="52" t="str">
        <f t="shared" si="4"/>
        <v/>
      </c>
      <c r="N35" s="52" t="str">
        <f t="shared" si="4"/>
        <v/>
      </c>
      <c r="O35" s="52" t="str">
        <f t="shared" si="4"/>
        <v/>
      </c>
      <c r="P35" s="52" t="str">
        <f t="shared" si="4"/>
        <v/>
      </c>
      <c r="Q35" s="52" t="str">
        <f t="shared" si="4"/>
        <v/>
      </c>
      <c r="R35" s="52" t="str">
        <f t="shared" si="4"/>
        <v/>
      </c>
      <c r="S35" s="52" t="str">
        <f t="shared" si="7"/>
        <v/>
      </c>
      <c r="T35" s="52" t="str">
        <f t="shared" si="7"/>
        <v/>
      </c>
      <c r="U35" s="52" t="str">
        <f t="shared" si="7"/>
        <v/>
      </c>
      <c r="V35" s="52" t="str">
        <f t="shared" si="7"/>
        <v/>
      </c>
      <c r="W35" s="52" t="str">
        <f t="shared" si="7"/>
        <v/>
      </c>
      <c r="X35" s="52" t="str">
        <f t="shared" si="7"/>
        <v/>
      </c>
      <c r="Y35" s="52" t="str">
        <f t="shared" si="7"/>
        <v/>
      </c>
      <c r="Z35" s="52" t="str">
        <f t="shared" si="7"/>
        <v/>
      </c>
      <c r="AA35" s="52" t="str">
        <f t="shared" si="7"/>
        <v/>
      </c>
      <c r="AB35" s="52" t="str">
        <f t="shared" si="7"/>
        <v/>
      </c>
      <c r="AC35" s="52" t="str">
        <f t="shared" si="7"/>
        <v/>
      </c>
      <c r="AD35" s="52" t="str">
        <f t="shared" si="9"/>
        <v/>
      </c>
      <c r="AE35" s="52" t="str">
        <f t="shared" si="9"/>
        <v/>
      </c>
      <c r="AF35" s="52" t="str">
        <f t="shared" si="9"/>
        <v/>
      </c>
      <c r="AG35" s="52" t="str">
        <f>IF(AND(AG$4=0,AND(AH$4&gt;0,$C35=AH$4)),LEFT($B35,2),"")</f>
        <v/>
      </c>
      <c r="AH35" s="53">
        <f>IF(AH$4=0,0,CHAR(AH$4+64))</f>
        <v>0</v>
      </c>
      <c r="AI35" s="52" t="str">
        <f>IF(AND($C35=0,AND($C36&gt;0,$C36=AI$4)),LEFT(AI$3,2),"")</f>
        <v/>
      </c>
      <c r="AJ35" s="52" t="str">
        <f t="shared" si="8"/>
        <v/>
      </c>
      <c r="AK35" s="52" t="str">
        <f t="shared" si="8"/>
        <v/>
      </c>
      <c r="AL35" s="52" t="str">
        <f t="shared" si="8"/>
        <v/>
      </c>
      <c r="AM35" s="52" t="str">
        <f t="shared" si="8"/>
        <v/>
      </c>
      <c r="AN35" s="52" t="str">
        <f t="shared" si="8"/>
        <v/>
      </c>
      <c r="AO35" s="52" t="str">
        <f t="shared" si="8"/>
        <v/>
      </c>
      <c r="AP35" s="52" t="str">
        <f t="shared" si="8"/>
        <v/>
      </c>
      <c r="AQ35" s="52" t="str">
        <f t="shared" si="8"/>
        <v/>
      </c>
      <c r="AR35" s="52" t="str">
        <f t="shared" si="8"/>
        <v/>
      </c>
      <c r="AS35" s="52" t="str">
        <f t="shared" si="8"/>
        <v/>
      </c>
      <c r="AT35" s="52" t="str">
        <f t="shared" si="8"/>
        <v/>
      </c>
      <c r="AU35" s="52" t="str">
        <f t="shared" si="8"/>
        <v/>
      </c>
      <c r="AV35" s="52" t="str">
        <f t="shared" si="8"/>
        <v/>
      </c>
      <c r="AW35" s="52" t="str">
        <f t="shared" si="8"/>
        <v/>
      </c>
    </row>
    <row r="36" spans="2:49" ht="18" customHeight="1" thickBot="1">
      <c r="B36" s="49" t="str">
        <f ca="1">IF($AW$2="y",CS!AR42,"")</f>
        <v/>
      </c>
      <c r="C36" s="144">
        <f>DrawFinder!Y42</f>
        <v>0</v>
      </c>
      <c r="D36" s="52" t="str">
        <f t="shared" si="1"/>
        <v/>
      </c>
      <c r="E36" s="52" t="str">
        <f t="shared" si="1"/>
        <v/>
      </c>
      <c r="F36" s="52" t="str">
        <f t="shared" si="1"/>
        <v/>
      </c>
      <c r="G36" s="52" t="str">
        <f t="shared" si="1"/>
        <v/>
      </c>
      <c r="H36" s="52" t="str">
        <f t="shared" si="1"/>
        <v/>
      </c>
      <c r="I36" s="52" t="str">
        <f t="shared" si="1"/>
        <v/>
      </c>
      <c r="J36" s="52" t="str">
        <f t="shared" si="5"/>
        <v/>
      </c>
      <c r="K36" s="52" t="str">
        <f t="shared" si="4"/>
        <v/>
      </c>
      <c r="L36" s="52" t="str">
        <f t="shared" si="4"/>
        <v/>
      </c>
      <c r="M36" s="52" t="str">
        <f t="shared" si="4"/>
        <v/>
      </c>
      <c r="N36" s="52" t="str">
        <f t="shared" si="4"/>
        <v/>
      </c>
      <c r="O36" s="52" t="str">
        <f t="shared" si="4"/>
        <v/>
      </c>
      <c r="P36" s="52" t="str">
        <f t="shared" si="4"/>
        <v/>
      </c>
      <c r="Q36" s="52" t="str">
        <f t="shared" si="4"/>
        <v/>
      </c>
      <c r="R36" s="52" t="str">
        <f t="shared" si="4"/>
        <v/>
      </c>
      <c r="S36" s="52" t="str">
        <f t="shared" si="7"/>
        <v/>
      </c>
      <c r="T36" s="52" t="str">
        <f t="shared" si="7"/>
        <v/>
      </c>
      <c r="U36" s="52" t="str">
        <f t="shared" si="7"/>
        <v/>
      </c>
      <c r="V36" s="52" t="str">
        <f t="shared" si="7"/>
        <v/>
      </c>
      <c r="W36" s="52" t="str">
        <f t="shared" si="7"/>
        <v/>
      </c>
      <c r="X36" s="52" t="str">
        <f t="shared" si="7"/>
        <v/>
      </c>
      <c r="Y36" s="52" t="str">
        <f t="shared" si="7"/>
        <v/>
      </c>
      <c r="Z36" s="52" t="str">
        <f t="shared" si="7"/>
        <v/>
      </c>
      <c r="AA36" s="52" t="str">
        <f t="shared" si="7"/>
        <v/>
      </c>
      <c r="AB36" s="52" t="str">
        <f t="shared" si="7"/>
        <v/>
      </c>
      <c r="AC36" s="52" t="str">
        <f t="shared" si="7"/>
        <v/>
      </c>
      <c r="AD36" s="52" t="str">
        <f t="shared" si="9"/>
        <v/>
      </c>
      <c r="AE36" s="52" t="str">
        <f t="shared" si="9"/>
        <v/>
      </c>
      <c r="AF36" s="52" t="str">
        <f t="shared" si="9"/>
        <v/>
      </c>
      <c r="AG36" s="52" t="str">
        <f t="shared" si="9"/>
        <v/>
      </c>
      <c r="AH36" s="52" t="str">
        <f>IF(AND(AH$4=0,AND(AI$4&gt;0,$C36=AI$4)),LEFT($B36,2),"")</f>
        <v/>
      </c>
      <c r="AI36" s="53">
        <f>IF(AI$4=0,0,CHAR(AI$4+64))</f>
        <v>0</v>
      </c>
      <c r="AJ36" s="52" t="str">
        <f>IF(AND($C36=0,AND($C37&gt;0,$C37=AJ$4)),LEFT(AJ$3,2),"")</f>
        <v/>
      </c>
      <c r="AK36" s="52" t="str">
        <f t="shared" si="8"/>
        <v/>
      </c>
      <c r="AL36" s="52" t="str">
        <f t="shared" si="8"/>
        <v/>
      </c>
      <c r="AM36" s="52" t="str">
        <f t="shared" si="8"/>
        <v/>
      </c>
      <c r="AN36" s="52" t="str">
        <f t="shared" si="8"/>
        <v/>
      </c>
      <c r="AO36" s="52" t="str">
        <f t="shared" si="8"/>
        <v/>
      </c>
      <c r="AP36" s="52" t="str">
        <f t="shared" si="8"/>
        <v/>
      </c>
      <c r="AQ36" s="52" t="str">
        <f t="shared" si="8"/>
        <v/>
      </c>
      <c r="AR36" s="52" t="str">
        <f t="shared" si="8"/>
        <v/>
      </c>
      <c r="AS36" s="52" t="str">
        <f t="shared" si="8"/>
        <v/>
      </c>
      <c r="AT36" s="52" t="str">
        <f t="shared" si="8"/>
        <v/>
      </c>
      <c r="AU36" s="52" t="str">
        <f t="shared" si="8"/>
        <v/>
      </c>
      <c r="AV36" s="52" t="str">
        <f t="shared" si="8"/>
        <v/>
      </c>
      <c r="AW36" s="52" t="str">
        <f t="shared" si="8"/>
        <v/>
      </c>
    </row>
    <row r="37" spans="2:49" ht="18" customHeight="1" thickBot="1">
      <c r="B37" s="49" t="str">
        <f ca="1">IF($AW$2="y",CS!AR43,"")</f>
        <v/>
      </c>
      <c r="C37" s="144">
        <f>DrawFinder!Y43</f>
        <v>0</v>
      </c>
      <c r="D37" s="52" t="str">
        <f t="shared" si="1"/>
        <v/>
      </c>
      <c r="E37" s="52" t="str">
        <f t="shared" si="1"/>
        <v/>
      </c>
      <c r="F37" s="52" t="str">
        <f t="shared" si="1"/>
        <v/>
      </c>
      <c r="G37" s="52" t="str">
        <f t="shared" si="1"/>
        <v/>
      </c>
      <c r="H37" s="52" t="str">
        <f t="shared" si="1"/>
        <v/>
      </c>
      <c r="I37" s="52" t="str">
        <f t="shared" si="1"/>
        <v/>
      </c>
      <c r="J37" s="52" t="str">
        <f t="shared" si="5"/>
        <v/>
      </c>
      <c r="K37" s="52" t="str">
        <f t="shared" si="4"/>
        <v/>
      </c>
      <c r="L37" s="52" t="str">
        <f t="shared" si="4"/>
        <v/>
      </c>
      <c r="M37" s="52" t="str">
        <f t="shared" si="4"/>
        <v/>
      </c>
      <c r="N37" s="52" t="str">
        <f t="shared" si="4"/>
        <v/>
      </c>
      <c r="O37" s="52" t="str">
        <f t="shared" si="4"/>
        <v/>
      </c>
      <c r="P37" s="52" t="str">
        <f t="shared" si="4"/>
        <v/>
      </c>
      <c r="Q37" s="52" t="str">
        <f t="shared" si="4"/>
        <v/>
      </c>
      <c r="R37" s="52" t="str">
        <f t="shared" si="4"/>
        <v/>
      </c>
      <c r="S37" s="52" t="str">
        <f t="shared" si="7"/>
        <v/>
      </c>
      <c r="T37" s="52" t="str">
        <f t="shared" si="7"/>
        <v/>
      </c>
      <c r="U37" s="52" t="str">
        <f t="shared" si="7"/>
        <v/>
      </c>
      <c r="V37" s="52" t="str">
        <f t="shared" si="7"/>
        <v/>
      </c>
      <c r="W37" s="52" t="str">
        <f t="shared" si="7"/>
        <v/>
      </c>
      <c r="X37" s="52" t="str">
        <f t="shared" si="7"/>
        <v/>
      </c>
      <c r="Y37" s="52" t="str">
        <f t="shared" si="7"/>
        <v/>
      </c>
      <c r="Z37" s="52" t="str">
        <f t="shared" si="7"/>
        <v/>
      </c>
      <c r="AA37" s="52" t="str">
        <f t="shared" si="7"/>
        <v/>
      </c>
      <c r="AB37" s="52" t="str">
        <f t="shared" si="7"/>
        <v/>
      </c>
      <c r="AC37" s="52" t="str">
        <f t="shared" si="7"/>
        <v/>
      </c>
      <c r="AD37" s="52" t="str">
        <f t="shared" si="9"/>
        <v/>
      </c>
      <c r="AE37" s="52" t="str">
        <f t="shared" si="9"/>
        <v/>
      </c>
      <c r="AF37" s="52" t="str">
        <f t="shared" si="9"/>
        <v/>
      </c>
      <c r="AG37" s="52" t="str">
        <f t="shared" si="9"/>
        <v/>
      </c>
      <c r="AH37" s="52" t="str">
        <f t="shared" si="9"/>
        <v/>
      </c>
      <c r="AI37" s="52" t="str">
        <f>IF(AND(AI$4=0,AND(AJ$4&gt;0,$C37=AJ$4)),LEFT($B37,2),"")</f>
        <v/>
      </c>
      <c r="AJ37" s="53">
        <f>IF(AJ$4=0,0,CHAR(AJ$4+64))</f>
        <v>0</v>
      </c>
      <c r="AK37" s="52" t="str">
        <f>IF(AND($C37=0,AND($C38&gt;0,$C38=AK$4)),LEFT(AK$3,2),"")</f>
        <v/>
      </c>
      <c r="AL37" s="52" t="str">
        <f t="shared" si="8"/>
        <v/>
      </c>
      <c r="AM37" s="52" t="str">
        <f t="shared" si="8"/>
        <v/>
      </c>
      <c r="AN37" s="52" t="str">
        <f t="shared" si="8"/>
        <v/>
      </c>
      <c r="AO37" s="52" t="str">
        <f t="shared" si="8"/>
        <v/>
      </c>
      <c r="AP37" s="52" t="str">
        <f t="shared" si="8"/>
        <v/>
      </c>
      <c r="AQ37" s="52" t="str">
        <f t="shared" si="8"/>
        <v/>
      </c>
      <c r="AR37" s="52" t="str">
        <f t="shared" si="8"/>
        <v/>
      </c>
      <c r="AS37" s="52" t="str">
        <f t="shared" si="8"/>
        <v/>
      </c>
      <c r="AT37" s="52" t="str">
        <f t="shared" si="8"/>
        <v/>
      </c>
      <c r="AU37" s="52" t="str">
        <f t="shared" si="8"/>
        <v/>
      </c>
      <c r="AV37" s="52" t="str">
        <f t="shared" si="8"/>
        <v/>
      </c>
      <c r="AW37" s="52" t="str">
        <f t="shared" si="8"/>
        <v/>
      </c>
    </row>
    <row r="38" spans="2:49" ht="18" customHeight="1" thickBot="1">
      <c r="B38" s="49" t="str">
        <f ca="1">IF($AW$2="y",CS!AR44,"")</f>
        <v/>
      </c>
      <c r="C38" s="144">
        <f>DrawFinder!Y44</f>
        <v>0</v>
      </c>
      <c r="D38" s="52" t="str">
        <f t="shared" si="1"/>
        <v/>
      </c>
      <c r="E38" s="52" t="str">
        <f t="shared" si="1"/>
        <v/>
      </c>
      <c r="F38" s="52" t="str">
        <f t="shared" si="1"/>
        <v/>
      </c>
      <c r="G38" s="52" t="str">
        <f t="shared" si="1"/>
        <v/>
      </c>
      <c r="H38" s="52" t="str">
        <f t="shared" si="1"/>
        <v/>
      </c>
      <c r="I38" s="52" t="str">
        <f t="shared" si="1"/>
        <v/>
      </c>
      <c r="J38" s="52" t="str">
        <f t="shared" si="5"/>
        <v/>
      </c>
      <c r="K38" s="52" t="str">
        <f t="shared" si="4"/>
        <v/>
      </c>
      <c r="L38" s="52" t="str">
        <f t="shared" si="4"/>
        <v/>
      </c>
      <c r="M38" s="52" t="str">
        <f t="shared" si="4"/>
        <v/>
      </c>
      <c r="N38" s="52" t="str">
        <f t="shared" si="4"/>
        <v/>
      </c>
      <c r="O38" s="52" t="str">
        <f t="shared" si="4"/>
        <v/>
      </c>
      <c r="P38" s="52" t="str">
        <f t="shared" si="4"/>
        <v/>
      </c>
      <c r="Q38" s="52" t="str">
        <f t="shared" si="4"/>
        <v/>
      </c>
      <c r="R38" s="52" t="str">
        <f t="shared" ref="R38:R50" si="10">IF(AND(R$4=0,AND(S$4&gt;0,$C38=S$4)),LEFT($B38,2),"")</f>
        <v/>
      </c>
      <c r="S38" s="52" t="str">
        <f t="shared" si="7"/>
        <v/>
      </c>
      <c r="T38" s="52" t="str">
        <f t="shared" si="7"/>
        <v/>
      </c>
      <c r="U38" s="52" t="str">
        <f t="shared" si="7"/>
        <v/>
      </c>
      <c r="V38" s="52" t="str">
        <f t="shared" si="7"/>
        <v/>
      </c>
      <c r="W38" s="52" t="str">
        <f t="shared" si="7"/>
        <v/>
      </c>
      <c r="X38" s="52" t="str">
        <f t="shared" si="7"/>
        <v/>
      </c>
      <c r="Y38" s="52" t="str">
        <f t="shared" si="7"/>
        <v/>
      </c>
      <c r="Z38" s="52" t="str">
        <f t="shared" si="7"/>
        <v/>
      </c>
      <c r="AA38" s="52" t="str">
        <f t="shared" si="7"/>
        <v/>
      </c>
      <c r="AB38" s="52" t="str">
        <f t="shared" si="7"/>
        <v/>
      </c>
      <c r="AC38" s="52" t="str">
        <f t="shared" si="7"/>
        <v/>
      </c>
      <c r="AD38" s="52" t="str">
        <f t="shared" si="9"/>
        <v/>
      </c>
      <c r="AE38" s="52" t="str">
        <f t="shared" si="9"/>
        <v/>
      </c>
      <c r="AF38" s="52" t="str">
        <f t="shared" si="9"/>
        <v/>
      </c>
      <c r="AG38" s="52" t="str">
        <f t="shared" si="9"/>
        <v/>
      </c>
      <c r="AH38" s="52" t="str">
        <f t="shared" si="9"/>
        <v/>
      </c>
      <c r="AI38" s="52" t="str">
        <f t="shared" si="9"/>
        <v/>
      </c>
      <c r="AJ38" s="52" t="str">
        <f>IF(AND(AJ$4=0,AND(AK$4&gt;0,$C38=AK$4)),LEFT($B38,2),"")</f>
        <v/>
      </c>
      <c r="AK38" s="53">
        <f>IF(AK$4=0,0,CHAR(AK$4+64))</f>
        <v>0</v>
      </c>
      <c r="AL38" s="52" t="str">
        <f>IF(AND($C38=0,AND($C39&gt;0,$C39=AL$4)),LEFT(AL$3,2),"")</f>
        <v/>
      </c>
      <c r="AM38" s="52" t="str">
        <f t="shared" si="8"/>
        <v/>
      </c>
      <c r="AN38" s="52" t="str">
        <f t="shared" si="8"/>
        <v/>
      </c>
      <c r="AO38" s="52" t="str">
        <f t="shared" si="8"/>
        <v/>
      </c>
      <c r="AP38" s="52" t="str">
        <f t="shared" si="8"/>
        <v/>
      </c>
      <c r="AQ38" s="52" t="str">
        <f t="shared" si="8"/>
        <v/>
      </c>
      <c r="AR38" s="52" t="str">
        <f t="shared" si="8"/>
        <v/>
      </c>
      <c r="AS38" s="52" t="str">
        <f t="shared" si="8"/>
        <v/>
      </c>
      <c r="AT38" s="52" t="str">
        <f t="shared" si="8"/>
        <v/>
      </c>
      <c r="AU38" s="52" t="str">
        <f t="shared" si="8"/>
        <v/>
      </c>
      <c r="AV38" s="52" t="str">
        <f t="shared" si="8"/>
        <v/>
      </c>
      <c r="AW38" s="52" t="str">
        <f t="shared" si="8"/>
        <v/>
      </c>
    </row>
    <row r="39" spans="2:49" ht="18" customHeight="1" thickBot="1">
      <c r="B39" s="49" t="str">
        <f ca="1">IF($AW$2="y",CS!AR45,"")</f>
        <v/>
      </c>
      <c r="C39" s="144">
        <f>DrawFinder!Y45</f>
        <v>0</v>
      </c>
      <c r="D39" s="52" t="str">
        <f t="shared" si="1"/>
        <v/>
      </c>
      <c r="E39" s="52" t="str">
        <f t="shared" si="1"/>
        <v/>
      </c>
      <c r="F39" s="52" t="str">
        <f t="shared" si="1"/>
        <v/>
      </c>
      <c r="G39" s="52" t="str">
        <f t="shared" si="1"/>
        <v/>
      </c>
      <c r="H39" s="52" t="str">
        <f t="shared" si="1"/>
        <v/>
      </c>
      <c r="I39" s="52" t="str">
        <f t="shared" si="1"/>
        <v/>
      </c>
      <c r="J39" s="52" t="str">
        <f t="shared" si="5"/>
        <v/>
      </c>
      <c r="K39" s="52" t="str">
        <f t="shared" si="4"/>
        <v/>
      </c>
      <c r="L39" s="52" t="str">
        <f t="shared" si="4"/>
        <v/>
      </c>
      <c r="M39" s="52" t="str">
        <f t="shared" si="4"/>
        <v/>
      </c>
      <c r="N39" s="52" t="str">
        <f t="shared" si="4"/>
        <v/>
      </c>
      <c r="O39" s="52" t="str">
        <f t="shared" si="4"/>
        <v/>
      </c>
      <c r="P39" s="52" t="str">
        <f t="shared" si="4"/>
        <v/>
      </c>
      <c r="Q39" s="52" t="str">
        <f t="shared" si="4"/>
        <v/>
      </c>
      <c r="R39" s="52" t="str">
        <f t="shared" si="10"/>
        <v/>
      </c>
      <c r="S39" s="52" t="str">
        <f t="shared" si="7"/>
        <v/>
      </c>
      <c r="T39" s="52" t="str">
        <f t="shared" si="7"/>
        <v/>
      </c>
      <c r="U39" s="52" t="str">
        <f t="shared" si="7"/>
        <v/>
      </c>
      <c r="V39" s="52" t="str">
        <f t="shared" si="7"/>
        <v/>
      </c>
      <c r="W39" s="52" t="str">
        <f t="shared" si="7"/>
        <v/>
      </c>
      <c r="X39" s="52" t="str">
        <f t="shared" si="7"/>
        <v/>
      </c>
      <c r="Y39" s="52" t="str">
        <f t="shared" si="7"/>
        <v/>
      </c>
      <c r="Z39" s="52" t="str">
        <f t="shared" si="7"/>
        <v/>
      </c>
      <c r="AA39" s="52" t="str">
        <f t="shared" si="7"/>
        <v/>
      </c>
      <c r="AB39" s="52" t="str">
        <f t="shared" si="7"/>
        <v/>
      </c>
      <c r="AC39" s="52" t="str">
        <f t="shared" si="7"/>
        <v/>
      </c>
      <c r="AD39" s="52" t="str">
        <f t="shared" si="9"/>
        <v/>
      </c>
      <c r="AE39" s="52" t="str">
        <f t="shared" si="9"/>
        <v/>
      </c>
      <c r="AF39" s="52" t="str">
        <f t="shared" si="9"/>
        <v/>
      </c>
      <c r="AG39" s="52" t="str">
        <f t="shared" si="9"/>
        <v/>
      </c>
      <c r="AH39" s="52" t="str">
        <f t="shared" si="9"/>
        <v/>
      </c>
      <c r="AI39" s="52" t="str">
        <f t="shared" si="9"/>
        <v/>
      </c>
      <c r="AJ39" s="52" t="str">
        <f t="shared" si="9"/>
        <v/>
      </c>
      <c r="AK39" s="52" t="str">
        <f>IF(AND(AK$4=0,AND(AL$4&gt;0,$C39=AL$4)),LEFT($B39,2),"")</f>
        <v/>
      </c>
      <c r="AL39" s="53">
        <f>IF(AL$4=0,0,CHAR(AL$4+64))</f>
        <v>0</v>
      </c>
      <c r="AM39" s="52" t="str">
        <f>IF(AND($C39=0,AND($C40&gt;0,$C40=AM$4)),LEFT(AM$3,2),"")</f>
        <v/>
      </c>
      <c r="AN39" s="52" t="str">
        <f t="shared" si="8"/>
        <v/>
      </c>
      <c r="AO39" s="52" t="str">
        <f t="shared" si="8"/>
        <v/>
      </c>
      <c r="AP39" s="52" t="str">
        <f t="shared" si="8"/>
        <v/>
      </c>
      <c r="AQ39" s="52" t="str">
        <f t="shared" si="8"/>
        <v/>
      </c>
      <c r="AR39" s="52" t="str">
        <f t="shared" si="8"/>
        <v/>
      </c>
      <c r="AS39" s="52" t="str">
        <f t="shared" si="8"/>
        <v/>
      </c>
      <c r="AT39" s="52" t="str">
        <f t="shared" si="8"/>
        <v/>
      </c>
      <c r="AU39" s="52" t="str">
        <f t="shared" si="8"/>
        <v/>
      </c>
      <c r="AV39" s="52" t="str">
        <f t="shared" si="8"/>
        <v/>
      </c>
      <c r="AW39" s="52" t="str">
        <f t="shared" si="8"/>
        <v/>
      </c>
    </row>
    <row r="40" spans="2:49" ht="18" customHeight="1" thickBot="1">
      <c r="B40" s="49" t="str">
        <f ca="1">IF($AW$2="y",CS!AR46,"")</f>
        <v/>
      </c>
      <c r="C40" s="144">
        <f>DrawFinder!Y46</f>
        <v>0</v>
      </c>
      <c r="D40" s="52" t="str">
        <f t="shared" si="1"/>
        <v/>
      </c>
      <c r="E40" s="52" t="str">
        <f t="shared" si="1"/>
        <v/>
      </c>
      <c r="F40" s="52" t="str">
        <f t="shared" si="1"/>
        <v/>
      </c>
      <c r="G40" s="52" t="str">
        <f t="shared" si="1"/>
        <v/>
      </c>
      <c r="H40" s="52" t="str">
        <f t="shared" si="1"/>
        <v/>
      </c>
      <c r="I40" s="52" t="str">
        <f t="shared" si="1"/>
        <v/>
      </c>
      <c r="J40" s="52" t="str">
        <f t="shared" si="5"/>
        <v/>
      </c>
      <c r="K40" s="52" t="str">
        <f t="shared" si="4"/>
        <v/>
      </c>
      <c r="L40" s="52" t="str">
        <f t="shared" si="4"/>
        <v/>
      </c>
      <c r="M40" s="52" t="str">
        <f t="shared" si="4"/>
        <v/>
      </c>
      <c r="N40" s="52" t="str">
        <f t="shared" si="4"/>
        <v/>
      </c>
      <c r="O40" s="52" t="str">
        <f t="shared" si="4"/>
        <v/>
      </c>
      <c r="P40" s="52" t="str">
        <f t="shared" si="4"/>
        <v/>
      </c>
      <c r="Q40" s="52" t="str">
        <f t="shared" si="4"/>
        <v/>
      </c>
      <c r="R40" s="52" t="str">
        <f t="shared" si="10"/>
        <v/>
      </c>
      <c r="S40" s="52" t="str">
        <f t="shared" si="7"/>
        <v/>
      </c>
      <c r="T40" s="52" t="str">
        <f t="shared" si="7"/>
        <v/>
      </c>
      <c r="U40" s="52" t="str">
        <f t="shared" si="7"/>
        <v/>
      </c>
      <c r="V40" s="52" t="str">
        <f t="shared" si="7"/>
        <v/>
      </c>
      <c r="W40" s="52" t="str">
        <f t="shared" si="7"/>
        <v/>
      </c>
      <c r="X40" s="52" t="str">
        <f t="shared" si="7"/>
        <v/>
      </c>
      <c r="Y40" s="52" t="str">
        <f t="shared" si="7"/>
        <v/>
      </c>
      <c r="Z40" s="52" t="str">
        <f t="shared" si="7"/>
        <v/>
      </c>
      <c r="AA40" s="52" t="str">
        <f t="shared" si="7"/>
        <v/>
      </c>
      <c r="AB40" s="52" t="str">
        <f t="shared" si="7"/>
        <v/>
      </c>
      <c r="AC40" s="52" t="str">
        <f t="shared" si="7"/>
        <v/>
      </c>
      <c r="AD40" s="52" t="str">
        <f t="shared" si="9"/>
        <v/>
      </c>
      <c r="AE40" s="52" t="str">
        <f t="shared" si="9"/>
        <v/>
      </c>
      <c r="AF40" s="52" t="str">
        <f t="shared" si="9"/>
        <v/>
      </c>
      <c r="AG40" s="52" t="str">
        <f t="shared" si="9"/>
        <v/>
      </c>
      <c r="AH40" s="52" t="str">
        <f t="shared" si="9"/>
        <v/>
      </c>
      <c r="AI40" s="52" t="str">
        <f t="shared" si="9"/>
        <v/>
      </c>
      <c r="AJ40" s="52" t="str">
        <f t="shared" si="9"/>
        <v/>
      </c>
      <c r="AK40" s="52" t="str">
        <f t="shared" si="9"/>
        <v/>
      </c>
      <c r="AL40" s="52" t="str">
        <f>IF(AND(AL$4=0,AND(AM$4&gt;0,$C40=AM$4)),LEFT($B40,2),"")</f>
        <v/>
      </c>
      <c r="AM40" s="53">
        <f>IF(AM$4=0,0,CHAR(AM$4+64))</f>
        <v>0</v>
      </c>
      <c r="AN40" s="52" t="str">
        <f>IF(AND($C40=0,AND($C41&gt;0,$C41=AN$4)),LEFT(AN$3,2),"")</f>
        <v/>
      </c>
      <c r="AO40" s="52" t="str">
        <f t="shared" si="8"/>
        <v/>
      </c>
      <c r="AP40" s="52" t="str">
        <f t="shared" si="8"/>
        <v/>
      </c>
      <c r="AQ40" s="52" t="str">
        <f t="shared" si="8"/>
        <v/>
      </c>
      <c r="AR40" s="52" t="str">
        <f t="shared" si="8"/>
        <v/>
      </c>
      <c r="AS40" s="52" t="str">
        <f t="shared" si="8"/>
        <v/>
      </c>
      <c r="AT40" s="52" t="str">
        <f t="shared" si="8"/>
        <v/>
      </c>
      <c r="AU40" s="52" t="str">
        <f t="shared" si="8"/>
        <v/>
      </c>
      <c r="AV40" s="52" t="str">
        <f t="shared" si="8"/>
        <v/>
      </c>
      <c r="AW40" s="52" t="str">
        <f t="shared" si="8"/>
        <v/>
      </c>
    </row>
    <row r="41" spans="2:49" ht="18" customHeight="1" thickBot="1">
      <c r="B41" s="49" t="str">
        <f ca="1">IF($AW$2="y",CS!AR47,"")</f>
        <v/>
      </c>
      <c r="C41" s="144">
        <f>DrawFinder!Y47</f>
        <v>0</v>
      </c>
      <c r="D41" s="52" t="str">
        <f t="shared" si="1"/>
        <v/>
      </c>
      <c r="E41" s="52" t="str">
        <f t="shared" si="1"/>
        <v/>
      </c>
      <c r="F41" s="52" t="str">
        <f t="shared" si="1"/>
        <v/>
      </c>
      <c r="G41" s="52" t="str">
        <f t="shared" si="1"/>
        <v/>
      </c>
      <c r="H41" s="52" t="str">
        <f t="shared" si="1"/>
        <v/>
      </c>
      <c r="I41" s="52" t="str">
        <f t="shared" si="1"/>
        <v/>
      </c>
      <c r="J41" s="52" t="str">
        <f t="shared" si="5"/>
        <v/>
      </c>
      <c r="K41" s="52" t="str">
        <f t="shared" si="4"/>
        <v/>
      </c>
      <c r="L41" s="52" t="str">
        <f t="shared" si="4"/>
        <v/>
      </c>
      <c r="M41" s="52" t="str">
        <f t="shared" si="4"/>
        <v/>
      </c>
      <c r="N41" s="52" t="str">
        <f t="shared" si="4"/>
        <v/>
      </c>
      <c r="O41" s="52" t="str">
        <f t="shared" si="4"/>
        <v/>
      </c>
      <c r="P41" s="52" t="str">
        <f t="shared" si="4"/>
        <v/>
      </c>
      <c r="Q41" s="52" t="str">
        <f t="shared" si="4"/>
        <v/>
      </c>
      <c r="R41" s="52" t="str">
        <f t="shared" si="10"/>
        <v/>
      </c>
      <c r="S41" s="52" t="str">
        <f t="shared" si="7"/>
        <v/>
      </c>
      <c r="T41" s="52" t="str">
        <f t="shared" si="7"/>
        <v/>
      </c>
      <c r="U41" s="52" t="str">
        <f t="shared" si="7"/>
        <v/>
      </c>
      <c r="V41" s="52" t="str">
        <f t="shared" si="7"/>
        <v/>
      </c>
      <c r="W41" s="52" t="str">
        <f t="shared" si="7"/>
        <v/>
      </c>
      <c r="X41" s="52" t="str">
        <f t="shared" si="7"/>
        <v/>
      </c>
      <c r="Y41" s="52" t="str">
        <f t="shared" si="7"/>
        <v/>
      </c>
      <c r="Z41" s="52" t="str">
        <f t="shared" si="7"/>
        <v/>
      </c>
      <c r="AA41" s="52" t="str">
        <f t="shared" si="7"/>
        <v/>
      </c>
      <c r="AB41" s="52" t="str">
        <f t="shared" si="7"/>
        <v/>
      </c>
      <c r="AC41" s="52" t="str">
        <f t="shared" si="7"/>
        <v/>
      </c>
      <c r="AD41" s="52" t="str">
        <f t="shared" si="9"/>
        <v/>
      </c>
      <c r="AE41" s="52" t="str">
        <f t="shared" si="9"/>
        <v/>
      </c>
      <c r="AF41" s="52" t="str">
        <f t="shared" si="9"/>
        <v/>
      </c>
      <c r="AG41" s="52" t="str">
        <f t="shared" si="9"/>
        <v/>
      </c>
      <c r="AH41" s="52" t="str">
        <f t="shared" si="9"/>
        <v/>
      </c>
      <c r="AI41" s="52" t="str">
        <f t="shared" si="9"/>
        <v/>
      </c>
      <c r="AJ41" s="52" t="str">
        <f t="shared" si="9"/>
        <v/>
      </c>
      <c r="AK41" s="52" t="str">
        <f t="shared" si="9"/>
        <v/>
      </c>
      <c r="AL41" s="52" t="str">
        <f t="shared" si="9"/>
        <v/>
      </c>
      <c r="AM41" s="52" t="str">
        <f>IF(AND(AM$4=0,AND(AN$4&gt;0,$C41=AN$4)),LEFT($B41,2),"")</f>
        <v/>
      </c>
      <c r="AN41" s="53">
        <f>IF(AN$4=0,0,CHAR(AN$4+64))</f>
        <v>0</v>
      </c>
      <c r="AO41" s="52" t="str">
        <f>IF(AND($C41=0,AND($C42&gt;0,$C42=AO$4)),LEFT(AO$3,2),"")</f>
        <v/>
      </c>
      <c r="AP41" s="52" t="str">
        <f t="shared" si="8"/>
        <v/>
      </c>
      <c r="AQ41" s="52" t="str">
        <f t="shared" si="8"/>
        <v/>
      </c>
      <c r="AR41" s="52" t="str">
        <f t="shared" si="8"/>
        <v/>
      </c>
      <c r="AS41" s="52" t="str">
        <f t="shared" si="8"/>
        <v/>
      </c>
      <c r="AT41" s="52" t="str">
        <f t="shared" si="8"/>
        <v/>
      </c>
      <c r="AU41" s="52" t="str">
        <f t="shared" si="8"/>
        <v/>
      </c>
      <c r="AV41" s="52" t="str">
        <f t="shared" si="8"/>
        <v/>
      </c>
      <c r="AW41" s="52" t="str">
        <f t="shared" si="8"/>
        <v/>
      </c>
    </row>
    <row r="42" spans="2:49" ht="18" customHeight="1" thickBot="1">
      <c r="B42" s="49" t="str">
        <f ca="1">IF($AW$2="y",CS!AR48,"")</f>
        <v/>
      </c>
      <c r="C42" s="144">
        <f>DrawFinder!Y48</f>
        <v>0</v>
      </c>
      <c r="D42" s="52" t="str">
        <f t="shared" si="1"/>
        <v/>
      </c>
      <c r="E42" s="52" t="str">
        <f t="shared" si="1"/>
        <v/>
      </c>
      <c r="F42" s="52" t="str">
        <f t="shared" si="1"/>
        <v/>
      </c>
      <c r="G42" s="52" t="str">
        <f t="shared" si="1"/>
        <v/>
      </c>
      <c r="H42" s="52" t="str">
        <f t="shared" si="1"/>
        <v/>
      </c>
      <c r="I42" s="52" t="str">
        <f t="shared" si="1"/>
        <v/>
      </c>
      <c r="J42" s="52" t="str">
        <f t="shared" si="5"/>
        <v/>
      </c>
      <c r="K42" s="52" t="str">
        <f t="shared" si="4"/>
        <v/>
      </c>
      <c r="L42" s="52" t="str">
        <f t="shared" si="4"/>
        <v/>
      </c>
      <c r="M42" s="52" t="str">
        <f t="shared" si="4"/>
        <v/>
      </c>
      <c r="N42" s="52" t="str">
        <f t="shared" si="4"/>
        <v/>
      </c>
      <c r="O42" s="52" t="str">
        <f t="shared" si="4"/>
        <v/>
      </c>
      <c r="P42" s="52" t="str">
        <f t="shared" si="4"/>
        <v/>
      </c>
      <c r="Q42" s="52" t="str">
        <f t="shared" si="4"/>
        <v/>
      </c>
      <c r="R42" s="52" t="str">
        <f t="shared" si="10"/>
        <v/>
      </c>
      <c r="S42" s="52" t="str">
        <f t="shared" si="7"/>
        <v/>
      </c>
      <c r="T42" s="52" t="str">
        <f t="shared" si="7"/>
        <v/>
      </c>
      <c r="U42" s="52" t="str">
        <f t="shared" si="7"/>
        <v/>
      </c>
      <c r="V42" s="52" t="str">
        <f t="shared" si="7"/>
        <v/>
      </c>
      <c r="W42" s="52" t="str">
        <f t="shared" si="7"/>
        <v/>
      </c>
      <c r="X42" s="52" t="str">
        <f t="shared" si="7"/>
        <v/>
      </c>
      <c r="Y42" s="52" t="str">
        <f t="shared" si="7"/>
        <v/>
      </c>
      <c r="Z42" s="52" t="str">
        <f t="shared" si="7"/>
        <v/>
      </c>
      <c r="AA42" s="52" t="str">
        <f t="shared" si="7"/>
        <v/>
      </c>
      <c r="AB42" s="52" t="str">
        <f t="shared" si="7"/>
        <v/>
      </c>
      <c r="AC42" s="52" t="str">
        <f t="shared" ref="AC42:AC50" si="11">IF(AND(AC$4=0,AND(AD$4&gt;0,$C42=AD$4)),LEFT($B42,2),"")</f>
        <v/>
      </c>
      <c r="AD42" s="52" t="str">
        <f t="shared" si="9"/>
        <v/>
      </c>
      <c r="AE42" s="52" t="str">
        <f t="shared" si="9"/>
        <v/>
      </c>
      <c r="AF42" s="52" t="str">
        <f t="shared" si="9"/>
        <v/>
      </c>
      <c r="AG42" s="52" t="str">
        <f t="shared" si="9"/>
        <v/>
      </c>
      <c r="AH42" s="52" t="str">
        <f t="shared" si="9"/>
        <v/>
      </c>
      <c r="AI42" s="52" t="str">
        <f t="shared" si="9"/>
        <v/>
      </c>
      <c r="AJ42" s="52" t="str">
        <f t="shared" si="9"/>
        <v/>
      </c>
      <c r="AK42" s="52" t="str">
        <f t="shared" si="9"/>
        <v/>
      </c>
      <c r="AL42" s="52" t="str">
        <f t="shared" si="9"/>
        <v/>
      </c>
      <c r="AM42" s="52" t="str">
        <f t="shared" si="9"/>
        <v/>
      </c>
      <c r="AN42" s="52" t="str">
        <f>IF(AND(AN$4=0,AND(AO$4&gt;0,$C42=AO$4)),LEFT($B42,2),"")</f>
        <v/>
      </c>
      <c r="AO42" s="53">
        <f>IF(AO$4=0,0,CHAR(AO$4+64))</f>
        <v>0</v>
      </c>
      <c r="AP42" s="52" t="str">
        <f>IF(AND($C42=0,AND($C43&gt;0,$C43=AP$4)),LEFT(AP$3,2),"")</f>
        <v/>
      </c>
      <c r="AQ42" s="52" t="str">
        <f t="shared" si="8"/>
        <v/>
      </c>
      <c r="AR42" s="52" t="str">
        <f t="shared" si="8"/>
        <v/>
      </c>
      <c r="AS42" s="52" t="str">
        <f t="shared" si="8"/>
        <v/>
      </c>
      <c r="AT42" s="52" t="str">
        <f t="shared" si="8"/>
        <v/>
      </c>
      <c r="AU42" s="52" t="str">
        <f t="shared" si="8"/>
        <v/>
      </c>
      <c r="AV42" s="52" t="str">
        <f t="shared" si="8"/>
        <v/>
      </c>
      <c r="AW42" s="52" t="str">
        <f t="shared" si="8"/>
        <v/>
      </c>
    </row>
    <row r="43" spans="2:49" ht="18" customHeight="1" thickBot="1">
      <c r="B43" s="49" t="str">
        <f ca="1">IF($AW$2="y",CS!AR49,"")</f>
        <v/>
      </c>
      <c r="C43" s="144">
        <f>DrawFinder!Y49</f>
        <v>0</v>
      </c>
      <c r="D43" s="52" t="str">
        <f t="shared" si="1"/>
        <v/>
      </c>
      <c r="E43" s="52" t="str">
        <f t="shared" si="1"/>
        <v/>
      </c>
      <c r="F43" s="52" t="str">
        <f t="shared" si="1"/>
        <v/>
      </c>
      <c r="G43" s="52" t="str">
        <f t="shared" si="1"/>
        <v/>
      </c>
      <c r="H43" s="52" t="str">
        <f t="shared" si="1"/>
        <v/>
      </c>
      <c r="I43" s="52" t="str">
        <f t="shared" si="1"/>
        <v/>
      </c>
      <c r="J43" s="52" t="str">
        <f t="shared" si="5"/>
        <v/>
      </c>
      <c r="K43" s="52" t="str">
        <f t="shared" si="4"/>
        <v/>
      </c>
      <c r="L43" s="52" t="str">
        <f t="shared" si="4"/>
        <v/>
      </c>
      <c r="M43" s="52" t="str">
        <f t="shared" si="4"/>
        <v/>
      </c>
      <c r="N43" s="52" t="str">
        <f t="shared" si="4"/>
        <v/>
      </c>
      <c r="O43" s="52" t="str">
        <f t="shared" si="4"/>
        <v/>
      </c>
      <c r="P43" s="52" t="str">
        <f t="shared" si="4"/>
        <v/>
      </c>
      <c r="Q43" s="52" t="str">
        <f t="shared" si="4"/>
        <v/>
      </c>
      <c r="R43" s="52" t="str">
        <f t="shared" si="10"/>
        <v/>
      </c>
      <c r="S43" s="52" t="str">
        <f t="shared" si="7"/>
        <v/>
      </c>
      <c r="T43" s="52" t="str">
        <f t="shared" si="7"/>
        <v/>
      </c>
      <c r="U43" s="52" t="str">
        <f t="shared" si="7"/>
        <v/>
      </c>
      <c r="V43" s="52" t="str">
        <f t="shared" si="7"/>
        <v/>
      </c>
      <c r="W43" s="52" t="str">
        <f t="shared" si="7"/>
        <v/>
      </c>
      <c r="X43" s="52" t="str">
        <f t="shared" si="7"/>
        <v/>
      </c>
      <c r="Y43" s="52" t="str">
        <f t="shared" si="7"/>
        <v/>
      </c>
      <c r="Z43" s="52" t="str">
        <f t="shared" si="7"/>
        <v/>
      </c>
      <c r="AA43" s="52" t="str">
        <f t="shared" si="7"/>
        <v/>
      </c>
      <c r="AB43" s="52" t="str">
        <f t="shared" si="7"/>
        <v/>
      </c>
      <c r="AC43" s="52" t="str">
        <f t="shared" si="11"/>
        <v/>
      </c>
      <c r="AD43" s="52" t="str">
        <f t="shared" si="9"/>
        <v/>
      </c>
      <c r="AE43" s="52" t="str">
        <f t="shared" si="9"/>
        <v/>
      </c>
      <c r="AF43" s="52" t="str">
        <f t="shared" si="9"/>
        <v/>
      </c>
      <c r="AG43" s="52" t="str">
        <f t="shared" si="9"/>
        <v/>
      </c>
      <c r="AH43" s="52" t="str">
        <f t="shared" si="9"/>
        <v/>
      </c>
      <c r="AI43" s="52" t="str">
        <f t="shared" si="9"/>
        <v/>
      </c>
      <c r="AJ43" s="52" t="str">
        <f t="shared" si="9"/>
        <v/>
      </c>
      <c r="AK43" s="52" t="str">
        <f t="shared" si="9"/>
        <v/>
      </c>
      <c r="AL43" s="52" t="str">
        <f t="shared" si="9"/>
        <v/>
      </c>
      <c r="AM43" s="52" t="str">
        <f t="shared" si="9"/>
        <v/>
      </c>
      <c r="AN43" s="52" t="str">
        <f t="shared" si="9"/>
        <v/>
      </c>
      <c r="AO43" s="52" t="str">
        <f>IF(AND(AO$4=0,AND(AP$4&gt;0,$C43=AP$4)),LEFT($B43,2),"")</f>
        <v/>
      </c>
      <c r="AP43" s="53">
        <f>IF(AP$4=0,0,CHAR(AP$4+64))</f>
        <v>0</v>
      </c>
      <c r="AQ43" s="52" t="str">
        <f>IF(AND($C43=0,AND($C44&gt;0,$C44=AQ$4)),LEFT(AQ$3,2),"")</f>
        <v/>
      </c>
      <c r="AR43" s="52" t="str">
        <f t="shared" si="8"/>
        <v/>
      </c>
      <c r="AS43" s="52" t="str">
        <f t="shared" si="8"/>
        <v/>
      </c>
      <c r="AT43" s="52" t="str">
        <f t="shared" si="8"/>
        <v/>
      </c>
      <c r="AU43" s="52" t="str">
        <f t="shared" si="8"/>
        <v/>
      </c>
      <c r="AV43" s="52" t="str">
        <f t="shared" si="8"/>
        <v/>
      </c>
      <c r="AW43" s="52" t="str">
        <f t="shared" si="8"/>
        <v/>
      </c>
    </row>
    <row r="44" spans="2:49" ht="18" customHeight="1" thickBot="1">
      <c r="B44" s="49" t="str">
        <f ca="1">IF($AW$2="y",CS!AR50,"")</f>
        <v/>
      </c>
      <c r="C44" s="144">
        <f>DrawFinder!Y50</f>
        <v>0</v>
      </c>
      <c r="D44" s="52" t="str">
        <f t="shared" si="1"/>
        <v/>
      </c>
      <c r="E44" s="52" t="str">
        <f t="shared" si="1"/>
        <v/>
      </c>
      <c r="F44" s="52" t="str">
        <f t="shared" si="1"/>
        <v/>
      </c>
      <c r="G44" s="52" t="str">
        <f t="shared" si="1"/>
        <v/>
      </c>
      <c r="H44" s="52" t="str">
        <f t="shared" si="1"/>
        <v/>
      </c>
      <c r="I44" s="52" t="str">
        <f t="shared" si="1"/>
        <v/>
      </c>
      <c r="J44" s="52" t="str">
        <f t="shared" si="5"/>
        <v/>
      </c>
      <c r="K44" s="52" t="str">
        <f t="shared" si="4"/>
        <v/>
      </c>
      <c r="L44" s="52" t="str">
        <f t="shared" si="4"/>
        <v/>
      </c>
      <c r="M44" s="52" t="str">
        <f t="shared" si="4"/>
        <v/>
      </c>
      <c r="N44" s="52" t="str">
        <f t="shared" si="4"/>
        <v/>
      </c>
      <c r="O44" s="52" t="str">
        <f t="shared" si="4"/>
        <v/>
      </c>
      <c r="P44" s="52" t="str">
        <f t="shared" si="4"/>
        <v/>
      </c>
      <c r="Q44" s="52" t="str">
        <f t="shared" si="4"/>
        <v/>
      </c>
      <c r="R44" s="52" t="str">
        <f t="shared" si="10"/>
        <v/>
      </c>
      <c r="S44" s="52" t="str">
        <f t="shared" si="7"/>
        <v/>
      </c>
      <c r="T44" s="52" t="str">
        <f t="shared" si="7"/>
        <v/>
      </c>
      <c r="U44" s="52" t="str">
        <f t="shared" si="7"/>
        <v/>
      </c>
      <c r="V44" s="52" t="str">
        <f t="shared" si="7"/>
        <v/>
      </c>
      <c r="W44" s="52" t="str">
        <f t="shared" si="7"/>
        <v/>
      </c>
      <c r="X44" s="52" t="str">
        <f t="shared" si="7"/>
        <v/>
      </c>
      <c r="Y44" s="52" t="str">
        <f t="shared" si="7"/>
        <v/>
      </c>
      <c r="Z44" s="52" t="str">
        <f t="shared" si="7"/>
        <v/>
      </c>
      <c r="AA44" s="52" t="str">
        <f t="shared" si="7"/>
        <v/>
      </c>
      <c r="AB44" s="52" t="str">
        <f t="shared" si="7"/>
        <v/>
      </c>
      <c r="AC44" s="52" t="str">
        <f t="shared" si="11"/>
        <v/>
      </c>
      <c r="AD44" s="52" t="str">
        <f t="shared" si="9"/>
        <v/>
      </c>
      <c r="AE44" s="52" t="str">
        <f t="shared" si="9"/>
        <v/>
      </c>
      <c r="AF44" s="52" t="str">
        <f t="shared" si="9"/>
        <v/>
      </c>
      <c r="AG44" s="52" t="str">
        <f t="shared" si="9"/>
        <v/>
      </c>
      <c r="AH44" s="52" t="str">
        <f t="shared" si="9"/>
        <v/>
      </c>
      <c r="AI44" s="52" t="str">
        <f t="shared" si="9"/>
        <v/>
      </c>
      <c r="AJ44" s="52" t="str">
        <f t="shared" si="9"/>
        <v/>
      </c>
      <c r="AK44" s="52" t="str">
        <f t="shared" si="9"/>
        <v/>
      </c>
      <c r="AL44" s="52" t="str">
        <f t="shared" si="9"/>
        <v/>
      </c>
      <c r="AM44" s="52" t="str">
        <f t="shared" si="9"/>
        <v/>
      </c>
      <c r="AN44" s="52" t="str">
        <f t="shared" si="9"/>
        <v/>
      </c>
      <c r="AO44" s="52" t="str">
        <f t="shared" si="9"/>
        <v/>
      </c>
      <c r="AP44" s="52" t="str">
        <f>IF(AND(AP$4=0,AND(AQ$4&gt;0,$C44=AQ$4)),LEFT($B44,2),"")</f>
        <v/>
      </c>
      <c r="AQ44" s="53">
        <f>IF(AQ$4=0,0,CHAR(AQ$4+64))</f>
        <v>0</v>
      </c>
      <c r="AR44" s="52" t="str">
        <f>IF(AND($C44=0,AND($C45&gt;0,$C45=AR$4)),LEFT(AR$3,2),"")</f>
        <v/>
      </c>
      <c r="AS44" s="52" t="str">
        <f t="shared" si="8"/>
        <v/>
      </c>
      <c r="AT44" s="52" t="str">
        <f t="shared" si="8"/>
        <v/>
      </c>
      <c r="AU44" s="52" t="str">
        <f t="shared" si="8"/>
        <v/>
      </c>
      <c r="AV44" s="52" t="str">
        <f t="shared" si="8"/>
        <v/>
      </c>
      <c r="AW44" s="52" t="str">
        <f t="shared" si="8"/>
        <v/>
      </c>
    </row>
    <row r="45" spans="2:49" ht="18" customHeight="1" thickBot="1">
      <c r="B45" s="49" t="str">
        <f ca="1">IF($AW$2="y",CS!AR51,"")</f>
        <v/>
      </c>
      <c r="C45" s="144">
        <f>DrawFinder!Y51</f>
        <v>0</v>
      </c>
      <c r="D45" s="52" t="str">
        <f t="shared" si="1"/>
        <v/>
      </c>
      <c r="E45" s="52" t="str">
        <f t="shared" si="1"/>
        <v/>
      </c>
      <c r="F45" s="52" t="str">
        <f t="shared" si="1"/>
        <v/>
      </c>
      <c r="G45" s="52" t="str">
        <f t="shared" si="1"/>
        <v/>
      </c>
      <c r="H45" s="52" t="str">
        <f t="shared" si="1"/>
        <v/>
      </c>
      <c r="I45" s="52" t="str">
        <f t="shared" si="1"/>
        <v/>
      </c>
      <c r="J45" s="52" t="str">
        <f t="shared" si="5"/>
        <v/>
      </c>
      <c r="K45" s="52" t="str">
        <f t="shared" si="4"/>
        <v/>
      </c>
      <c r="L45" s="52" t="str">
        <f t="shared" si="4"/>
        <v/>
      </c>
      <c r="M45" s="52" t="str">
        <f t="shared" si="4"/>
        <v/>
      </c>
      <c r="N45" s="52" t="str">
        <f t="shared" si="4"/>
        <v/>
      </c>
      <c r="O45" s="52" t="str">
        <f t="shared" si="4"/>
        <v/>
      </c>
      <c r="P45" s="52" t="str">
        <f t="shared" si="4"/>
        <v/>
      </c>
      <c r="Q45" s="52" t="str">
        <f t="shared" si="4"/>
        <v/>
      </c>
      <c r="R45" s="52" t="str">
        <f t="shared" si="10"/>
        <v/>
      </c>
      <c r="S45" s="52" t="str">
        <f t="shared" si="7"/>
        <v/>
      </c>
      <c r="T45" s="52" t="str">
        <f t="shared" si="7"/>
        <v/>
      </c>
      <c r="U45" s="52" t="str">
        <f t="shared" si="7"/>
        <v/>
      </c>
      <c r="V45" s="52" t="str">
        <f t="shared" si="7"/>
        <v/>
      </c>
      <c r="W45" s="52" t="str">
        <f t="shared" si="7"/>
        <v/>
      </c>
      <c r="X45" s="52" t="str">
        <f t="shared" si="7"/>
        <v/>
      </c>
      <c r="Y45" s="52" t="str">
        <f t="shared" si="7"/>
        <v/>
      </c>
      <c r="Z45" s="52" t="str">
        <f t="shared" si="7"/>
        <v/>
      </c>
      <c r="AA45" s="52" t="str">
        <f t="shared" si="7"/>
        <v/>
      </c>
      <c r="AB45" s="52" t="str">
        <f t="shared" si="7"/>
        <v/>
      </c>
      <c r="AC45" s="52" t="str">
        <f t="shared" si="11"/>
        <v/>
      </c>
      <c r="AD45" s="52" t="str">
        <f t="shared" si="9"/>
        <v/>
      </c>
      <c r="AE45" s="52" t="str">
        <f t="shared" si="9"/>
        <v/>
      </c>
      <c r="AF45" s="52" t="str">
        <f t="shared" si="9"/>
        <v/>
      </c>
      <c r="AG45" s="52" t="str">
        <f t="shared" si="9"/>
        <v/>
      </c>
      <c r="AH45" s="52" t="str">
        <f t="shared" si="9"/>
        <v/>
      </c>
      <c r="AI45" s="52" t="str">
        <f t="shared" si="9"/>
        <v/>
      </c>
      <c r="AJ45" s="52" t="str">
        <f t="shared" si="9"/>
        <v/>
      </c>
      <c r="AK45" s="52" t="str">
        <f t="shared" si="9"/>
        <v/>
      </c>
      <c r="AL45" s="52" t="str">
        <f t="shared" si="9"/>
        <v/>
      </c>
      <c r="AM45" s="52" t="str">
        <f t="shared" si="9"/>
        <v/>
      </c>
      <c r="AN45" s="52" t="str">
        <f t="shared" si="9"/>
        <v/>
      </c>
      <c r="AO45" s="52" t="str">
        <f t="shared" si="9"/>
        <v/>
      </c>
      <c r="AP45" s="52" t="str">
        <f t="shared" si="9"/>
        <v/>
      </c>
      <c r="AQ45" s="52" t="str">
        <f>IF(AND(AQ$4=0,AND(AR$4&gt;0,$C45=AR$4)),LEFT($B45,2),"")</f>
        <v/>
      </c>
      <c r="AR45" s="53">
        <f>IF(AR$4=0,0,CHAR(AR$4+64))</f>
        <v>0</v>
      </c>
      <c r="AS45" s="52" t="str">
        <f>IF(AND($C45=0,AND($C46&gt;0,$C46=AS$4)),LEFT(AS$3,2),"")</f>
        <v/>
      </c>
      <c r="AT45" s="52" t="str">
        <f t="shared" ref="AT45:AW47" si="12">IF(AND($C45=0,AND($C46&gt;0,$C46=AT$4)),LEFT(AT$3,2),"")</f>
        <v/>
      </c>
      <c r="AU45" s="52" t="str">
        <f t="shared" si="12"/>
        <v/>
      </c>
      <c r="AV45" s="52" t="str">
        <f t="shared" si="12"/>
        <v/>
      </c>
      <c r="AW45" s="52" t="str">
        <f t="shared" si="12"/>
        <v/>
      </c>
    </row>
    <row r="46" spans="2:49" ht="18" customHeight="1" thickBot="1">
      <c r="B46" s="49" t="str">
        <f ca="1">IF($AW$2="y",CS!AR52,"")</f>
        <v/>
      </c>
      <c r="C46" s="144">
        <f>DrawFinder!Y52</f>
        <v>0</v>
      </c>
      <c r="D46" s="52" t="str">
        <f t="shared" si="1"/>
        <v/>
      </c>
      <c r="E46" s="52" t="str">
        <f t="shared" si="1"/>
        <v/>
      </c>
      <c r="F46" s="52" t="str">
        <f t="shared" si="1"/>
        <v/>
      </c>
      <c r="G46" s="52" t="str">
        <f t="shared" si="1"/>
        <v/>
      </c>
      <c r="H46" s="52" t="str">
        <f t="shared" si="1"/>
        <v/>
      </c>
      <c r="I46" s="52" t="str">
        <f t="shared" si="1"/>
        <v/>
      </c>
      <c r="J46" s="52" t="str">
        <f t="shared" si="5"/>
        <v/>
      </c>
      <c r="K46" s="52" t="str">
        <f t="shared" si="4"/>
        <v/>
      </c>
      <c r="L46" s="52" t="str">
        <f t="shared" si="4"/>
        <v/>
      </c>
      <c r="M46" s="52" t="str">
        <f t="shared" si="4"/>
        <v/>
      </c>
      <c r="N46" s="52" t="str">
        <f t="shared" si="4"/>
        <v/>
      </c>
      <c r="O46" s="52" t="str">
        <f t="shared" si="4"/>
        <v/>
      </c>
      <c r="P46" s="52" t="str">
        <f t="shared" si="4"/>
        <v/>
      </c>
      <c r="Q46" s="52" t="str">
        <f t="shared" si="4"/>
        <v/>
      </c>
      <c r="R46" s="52" t="str">
        <f t="shared" si="10"/>
        <v/>
      </c>
      <c r="S46" s="52" t="str">
        <f t="shared" si="7"/>
        <v/>
      </c>
      <c r="T46" s="52" t="str">
        <f t="shared" si="7"/>
        <v/>
      </c>
      <c r="U46" s="52" t="str">
        <f t="shared" si="7"/>
        <v/>
      </c>
      <c r="V46" s="52" t="str">
        <f t="shared" si="7"/>
        <v/>
      </c>
      <c r="W46" s="52" t="str">
        <f t="shared" si="7"/>
        <v/>
      </c>
      <c r="X46" s="52" t="str">
        <f t="shared" si="7"/>
        <v/>
      </c>
      <c r="Y46" s="52" t="str">
        <f t="shared" si="7"/>
        <v/>
      </c>
      <c r="Z46" s="52" t="str">
        <f t="shared" si="7"/>
        <v/>
      </c>
      <c r="AA46" s="52" t="str">
        <f t="shared" si="7"/>
        <v/>
      </c>
      <c r="AB46" s="52" t="str">
        <f t="shared" si="7"/>
        <v/>
      </c>
      <c r="AC46" s="52" t="str">
        <f t="shared" si="11"/>
        <v/>
      </c>
      <c r="AD46" s="52" t="str">
        <f t="shared" si="9"/>
        <v/>
      </c>
      <c r="AE46" s="52" t="str">
        <f t="shared" si="9"/>
        <v/>
      </c>
      <c r="AF46" s="52" t="str">
        <f t="shared" si="9"/>
        <v/>
      </c>
      <c r="AG46" s="52" t="str">
        <f t="shared" si="9"/>
        <v/>
      </c>
      <c r="AH46" s="52" t="str">
        <f t="shared" si="9"/>
        <v/>
      </c>
      <c r="AI46" s="52" t="str">
        <f t="shared" si="9"/>
        <v/>
      </c>
      <c r="AJ46" s="52" t="str">
        <f t="shared" si="9"/>
        <v/>
      </c>
      <c r="AK46" s="52" t="str">
        <f t="shared" si="9"/>
        <v/>
      </c>
      <c r="AL46" s="52" t="str">
        <f t="shared" si="9"/>
        <v/>
      </c>
      <c r="AM46" s="52" t="str">
        <f t="shared" si="9"/>
        <v/>
      </c>
      <c r="AN46" s="52" t="str">
        <f t="shared" si="9"/>
        <v/>
      </c>
      <c r="AO46" s="52" t="str">
        <f t="shared" si="9"/>
        <v/>
      </c>
      <c r="AP46" s="52" t="str">
        <f t="shared" si="9"/>
        <v/>
      </c>
      <c r="AQ46" s="52" t="str">
        <f t="shared" si="9"/>
        <v/>
      </c>
      <c r="AR46" s="52" t="str">
        <f>IF(AND(AR$4=0,AND(AS$4&gt;0,$C46=AS$4)),LEFT($B46,2),"")</f>
        <v/>
      </c>
      <c r="AS46" s="53">
        <f>IF(AS$4=0,0,CHAR(AS$4+64))</f>
        <v>0</v>
      </c>
      <c r="AT46" s="52" t="str">
        <f>IF(AND($C46=0,AND($C47&gt;0,$C47=AT$4)),LEFT(AT$3,2),"")</f>
        <v/>
      </c>
      <c r="AU46" s="52" t="str">
        <f t="shared" si="12"/>
        <v/>
      </c>
      <c r="AV46" s="52" t="str">
        <f t="shared" si="12"/>
        <v/>
      </c>
      <c r="AW46" s="52" t="str">
        <f t="shared" si="12"/>
        <v/>
      </c>
    </row>
    <row r="47" spans="2:49" ht="18" customHeight="1" thickBot="1">
      <c r="B47" s="49" t="str">
        <f ca="1">IF($AW$2="y",CS!AR53,"")</f>
        <v/>
      </c>
      <c r="C47" s="144">
        <f>DrawFinder!Y53</f>
        <v>0</v>
      </c>
      <c r="D47" s="52" t="str">
        <f t="shared" si="1"/>
        <v/>
      </c>
      <c r="E47" s="52" t="str">
        <f t="shared" si="1"/>
        <v/>
      </c>
      <c r="F47" s="52" t="str">
        <f t="shared" si="1"/>
        <v/>
      </c>
      <c r="G47" s="52" t="str">
        <f t="shared" si="1"/>
        <v/>
      </c>
      <c r="H47" s="52" t="str">
        <f t="shared" si="1"/>
        <v/>
      </c>
      <c r="I47" s="52" t="str">
        <f t="shared" si="1"/>
        <v/>
      </c>
      <c r="J47" s="52" t="str">
        <f t="shared" si="5"/>
        <v/>
      </c>
      <c r="K47" s="52" t="str">
        <f t="shared" si="4"/>
        <v/>
      </c>
      <c r="L47" s="52" t="str">
        <f t="shared" si="4"/>
        <v/>
      </c>
      <c r="M47" s="52" t="str">
        <f t="shared" si="4"/>
        <v/>
      </c>
      <c r="N47" s="52" t="str">
        <f t="shared" si="4"/>
        <v/>
      </c>
      <c r="O47" s="52" t="str">
        <f t="shared" si="4"/>
        <v/>
      </c>
      <c r="P47" s="52" t="str">
        <f t="shared" si="4"/>
        <v/>
      </c>
      <c r="Q47" s="52" t="str">
        <f t="shared" si="4"/>
        <v/>
      </c>
      <c r="R47" s="52" t="str">
        <f t="shared" si="10"/>
        <v/>
      </c>
      <c r="S47" s="52" t="str">
        <f t="shared" si="7"/>
        <v/>
      </c>
      <c r="T47" s="52" t="str">
        <f t="shared" si="7"/>
        <v/>
      </c>
      <c r="U47" s="52" t="str">
        <f t="shared" si="7"/>
        <v/>
      </c>
      <c r="V47" s="52" t="str">
        <f t="shared" si="7"/>
        <v/>
      </c>
      <c r="W47" s="52" t="str">
        <f t="shared" si="7"/>
        <v/>
      </c>
      <c r="X47" s="52" t="str">
        <f t="shared" si="7"/>
        <v/>
      </c>
      <c r="Y47" s="52" t="str">
        <f t="shared" si="7"/>
        <v/>
      </c>
      <c r="Z47" s="52" t="str">
        <f t="shared" si="7"/>
        <v/>
      </c>
      <c r="AA47" s="52" t="str">
        <f t="shared" si="7"/>
        <v/>
      </c>
      <c r="AB47" s="52" t="str">
        <f t="shared" si="7"/>
        <v/>
      </c>
      <c r="AC47" s="52" t="str">
        <f t="shared" si="11"/>
        <v/>
      </c>
      <c r="AD47" s="52" t="str">
        <f t="shared" si="9"/>
        <v/>
      </c>
      <c r="AE47" s="52" t="str">
        <f t="shared" si="9"/>
        <v/>
      </c>
      <c r="AF47" s="52" t="str">
        <f t="shared" si="9"/>
        <v/>
      </c>
      <c r="AG47" s="52" t="str">
        <f t="shared" si="9"/>
        <v/>
      </c>
      <c r="AH47" s="52" t="str">
        <f t="shared" si="9"/>
        <v/>
      </c>
      <c r="AI47" s="52" t="str">
        <f t="shared" si="9"/>
        <v/>
      </c>
      <c r="AJ47" s="52" t="str">
        <f t="shared" si="9"/>
        <v/>
      </c>
      <c r="AK47" s="52" t="str">
        <f t="shared" si="9"/>
        <v/>
      </c>
      <c r="AL47" s="52" t="str">
        <f t="shared" si="9"/>
        <v/>
      </c>
      <c r="AM47" s="52" t="str">
        <f t="shared" si="9"/>
        <v/>
      </c>
      <c r="AN47" s="52" t="str">
        <f t="shared" si="9"/>
        <v/>
      </c>
      <c r="AO47" s="52" t="str">
        <f t="shared" si="9"/>
        <v/>
      </c>
      <c r="AP47" s="52" t="str">
        <f t="shared" si="9"/>
        <v/>
      </c>
      <c r="AQ47" s="52" t="str">
        <f t="shared" si="9"/>
        <v/>
      </c>
      <c r="AR47" s="52" t="str">
        <f t="shared" si="9"/>
        <v/>
      </c>
      <c r="AS47" s="52" t="str">
        <f>IF(AND(AS$4=0,AND(AT$4&gt;0,$C47=AT$4)),LEFT($B47,2),"")</f>
        <v/>
      </c>
      <c r="AT47" s="53">
        <f>IF(AT$4=0,0,CHAR(AT$4+64))</f>
        <v>0</v>
      </c>
      <c r="AU47" s="52" t="str">
        <f>IF(AND($C47=0,AND($C48&gt;0,$C48=AU$4)),LEFT(AU$3,2),"")</f>
        <v/>
      </c>
      <c r="AV47" s="52" t="str">
        <f t="shared" si="12"/>
        <v/>
      </c>
      <c r="AW47" s="52" t="str">
        <f t="shared" si="12"/>
        <v/>
      </c>
    </row>
    <row r="48" spans="2:49" ht="18" customHeight="1" thickBot="1">
      <c r="B48" s="49" t="str">
        <f ca="1">IF($AW$2="y",CS!AR54,"")</f>
        <v/>
      </c>
      <c r="C48" s="144">
        <f>DrawFinder!Y54</f>
        <v>0</v>
      </c>
      <c r="D48" s="52" t="str">
        <f t="shared" si="1"/>
        <v/>
      </c>
      <c r="E48" s="52" t="str">
        <f t="shared" si="1"/>
        <v/>
      </c>
      <c r="F48" s="52" t="str">
        <f t="shared" si="1"/>
        <v/>
      </c>
      <c r="G48" s="52" t="str">
        <f t="shared" si="1"/>
        <v/>
      </c>
      <c r="H48" s="52" t="str">
        <f t="shared" si="1"/>
        <v/>
      </c>
      <c r="I48" s="52" t="str">
        <f t="shared" si="1"/>
        <v/>
      </c>
      <c r="J48" s="52" t="str">
        <f t="shared" si="5"/>
        <v/>
      </c>
      <c r="K48" s="52" t="str">
        <f t="shared" si="4"/>
        <v/>
      </c>
      <c r="L48" s="52" t="str">
        <f t="shared" si="4"/>
        <v/>
      </c>
      <c r="M48" s="52" t="str">
        <f t="shared" si="4"/>
        <v/>
      </c>
      <c r="N48" s="52" t="str">
        <f t="shared" si="4"/>
        <v/>
      </c>
      <c r="O48" s="52" t="str">
        <f t="shared" si="4"/>
        <v/>
      </c>
      <c r="P48" s="52" t="str">
        <f t="shared" si="4"/>
        <v/>
      </c>
      <c r="Q48" s="52" t="str">
        <f t="shared" si="4"/>
        <v/>
      </c>
      <c r="R48" s="52" t="str">
        <f t="shared" si="10"/>
        <v/>
      </c>
      <c r="S48" s="52" t="str">
        <f t="shared" si="7"/>
        <v/>
      </c>
      <c r="T48" s="52" t="str">
        <f t="shared" si="7"/>
        <v/>
      </c>
      <c r="U48" s="52" t="str">
        <f t="shared" si="7"/>
        <v/>
      </c>
      <c r="V48" s="52" t="str">
        <f t="shared" si="7"/>
        <v/>
      </c>
      <c r="W48" s="52" t="str">
        <f t="shared" si="7"/>
        <v/>
      </c>
      <c r="X48" s="52" t="str">
        <f t="shared" si="7"/>
        <v/>
      </c>
      <c r="Y48" s="52" t="str">
        <f t="shared" si="7"/>
        <v/>
      </c>
      <c r="Z48" s="52" t="str">
        <f t="shared" si="7"/>
        <v/>
      </c>
      <c r="AA48" s="52" t="str">
        <f t="shared" si="7"/>
        <v/>
      </c>
      <c r="AB48" s="52" t="str">
        <f t="shared" si="7"/>
        <v/>
      </c>
      <c r="AC48" s="52" t="str">
        <f t="shared" si="11"/>
        <v/>
      </c>
      <c r="AD48" s="52" t="str">
        <f t="shared" si="9"/>
        <v/>
      </c>
      <c r="AE48" s="52" t="str">
        <f t="shared" si="9"/>
        <v/>
      </c>
      <c r="AF48" s="52" t="str">
        <f t="shared" si="9"/>
        <v/>
      </c>
      <c r="AG48" s="52" t="str">
        <f t="shared" si="9"/>
        <v/>
      </c>
      <c r="AH48" s="52" t="str">
        <f t="shared" si="9"/>
        <v/>
      </c>
      <c r="AI48" s="52" t="str">
        <f t="shared" si="9"/>
        <v/>
      </c>
      <c r="AJ48" s="52" t="str">
        <f t="shared" si="9"/>
        <v/>
      </c>
      <c r="AK48" s="52" t="str">
        <f t="shared" si="9"/>
        <v/>
      </c>
      <c r="AL48" s="52" t="str">
        <f t="shared" si="9"/>
        <v/>
      </c>
      <c r="AM48" s="52" t="str">
        <f t="shared" si="9"/>
        <v/>
      </c>
      <c r="AN48" s="52" t="str">
        <f t="shared" si="9"/>
        <v/>
      </c>
      <c r="AO48" s="52" t="str">
        <f t="shared" si="9"/>
        <v/>
      </c>
      <c r="AP48" s="52" t="str">
        <f t="shared" si="9"/>
        <v/>
      </c>
      <c r="AQ48" s="52" t="str">
        <f t="shared" si="9"/>
        <v/>
      </c>
      <c r="AR48" s="52" t="str">
        <f t="shared" si="9"/>
        <v/>
      </c>
      <c r="AS48" s="52" t="str">
        <f t="shared" si="9"/>
        <v/>
      </c>
      <c r="AT48" s="52" t="str">
        <f>IF(AND(AT$4=0,AND(AU$4&gt;0,$C48=AU$4)),LEFT($B48,2),"")</f>
        <v/>
      </c>
      <c r="AU48" s="53">
        <f>IF(AU$4=0,0,CHAR(AU$4+64))</f>
        <v>0</v>
      </c>
      <c r="AV48" s="52" t="str">
        <f>IF(AND($C48=0,AND($C49&gt;0,$C49=AV$4)),LEFT(AV$3,2),"")</f>
        <v/>
      </c>
      <c r="AW48" s="52" t="str">
        <f>IF(AND($C48=0,AND($C49&gt;0,$C49=AW$4)),LEFT(AW$3,2),"")</f>
        <v/>
      </c>
    </row>
    <row r="49" spans="2:49" ht="18" customHeight="1" thickBot="1">
      <c r="B49" s="49" t="str">
        <f ca="1">IF($AW$2="y",CS!AR55,"")</f>
        <v/>
      </c>
      <c r="C49" s="144">
        <f>DrawFinder!Y55</f>
        <v>0</v>
      </c>
      <c r="D49" s="52" t="str">
        <f t="shared" si="1"/>
        <v/>
      </c>
      <c r="E49" s="52" t="str">
        <f t="shared" si="1"/>
        <v/>
      </c>
      <c r="F49" s="52" t="str">
        <f t="shared" si="1"/>
        <v/>
      </c>
      <c r="G49" s="52" t="str">
        <f t="shared" si="1"/>
        <v/>
      </c>
      <c r="H49" s="52" t="str">
        <f t="shared" si="1"/>
        <v/>
      </c>
      <c r="I49" s="52" t="str">
        <f t="shared" si="1"/>
        <v/>
      </c>
      <c r="J49" s="52" t="str">
        <f t="shared" si="5"/>
        <v/>
      </c>
      <c r="K49" s="52" t="str">
        <f t="shared" si="4"/>
        <v/>
      </c>
      <c r="L49" s="52" t="str">
        <f t="shared" si="4"/>
        <v/>
      </c>
      <c r="M49" s="52" t="str">
        <f t="shared" si="4"/>
        <v/>
      </c>
      <c r="N49" s="52" t="str">
        <f t="shared" si="4"/>
        <v/>
      </c>
      <c r="O49" s="52" t="str">
        <f t="shared" si="4"/>
        <v/>
      </c>
      <c r="P49" s="52" t="str">
        <f t="shared" si="4"/>
        <v/>
      </c>
      <c r="Q49" s="52" t="str">
        <f t="shared" si="4"/>
        <v/>
      </c>
      <c r="R49" s="52" t="str">
        <f t="shared" si="10"/>
        <v/>
      </c>
      <c r="S49" s="52" t="str">
        <f t="shared" si="7"/>
        <v/>
      </c>
      <c r="T49" s="52" t="str">
        <f t="shared" si="7"/>
        <v/>
      </c>
      <c r="U49" s="52" t="str">
        <f t="shared" si="7"/>
        <v/>
      </c>
      <c r="V49" s="52" t="str">
        <f t="shared" si="7"/>
        <v/>
      </c>
      <c r="W49" s="52" t="str">
        <f t="shared" si="7"/>
        <v/>
      </c>
      <c r="X49" s="52" t="str">
        <f t="shared" si="7"/>
        <v/>
      </c>
      <c r="Y49" s="52" t="str">
        <f t="shared" si="7"/>
        <v/>
      </c>
      <c r="Z49" s="52" t="str">
        <f t="shared" si="7"/>
        <v/>
      </c>
      <c r="AA49" s="52" t="str">
        <f t="shared" si="7"/>
        <v/>
      </c>
      <c r="AB49" s="52" t="str">
        <f t="shared" si="7"/>
        <v/>
      </c>
      <c r="AC49" s="52" t="str">
        <f t="shared" si="11"/>
        <v/>
      </c>
      <c r="AD49" s="52" t="str">
        <f t="shared" si="9"/>
        <v/>
      </c>
      <c r="AE49" s="52" t="str">
        <f t="shared" si="9"/>
        <v/>
      </c>
      <c r="AF49" s="52" t="str">
        <f t="shared" si="9"/>
        <v/>
      </c>
      <c r="AG49" s="52" t="str">
        <f t="shared" si="9"/>
        <v/>
      </c>
      <c r="AH49" s="52" t="str">
        <f t="shared" si="9"/>
        <v/>
      </c>
      <c r="AI49" s="52" t="str">
        <f t="shared" si="9"/>
        <v/>
      </c>
      <c r="AJ49" s="52" t="str">
        <f t="shared" si="9"/>
        <v/>
      </c>
      <c r="AK49" s="52" t="str">
        <f t="shared" si="9"/>
        <v/>
      </c>
      <c r="AL49" s="52" t="str">
        <f t="shared" si="9"/>
        <v/>
      </c>
      <c r="AM49" s="52" t="str">
        <f t="shared" si="9"/>
        <v/>
      </c>
      <c r="AN49" s="52" t="str">
        <f t="shared" si="9"/>
        <v/>
      </c>
      <c r="AO49" s="52" t="str">
        <f t="shared" si="9"/>
        <v/>
      </c>
      <c r="AP49" s="52" t="str">
        <f t="shared" si="9"/>
        <v/>
      </c>
      <c r="AQ49" s="52" t="str">
        <f t="shared" si="9"/>
        <v/>
      </c>
      <c r="AR49" s="52" t="str">
        <f t="shared" si="9"/>
        <v/>
      </c>
      <c r="AS49" s="52" t="str">
        <f t="shared" si="9"/>
        <v/>
      </c>
      <c r="AT49" s="52" t="str">
        <f>IF(AND(AT$4=0,AND(AU$4&gt;0,$C49=AU$4)),LEFT($B49,2),"")</f>
        <v/>
      </c>
      <c r="AU49" s="52" t="str">
        <f>IF(AND(AU$4=0,AND(AV$4&gt;0,$C49=AV$4)),LEFT($B49,2),"")</f>
        <v/>
      </c>
      <c r="AV49" s="53">
        <f>IF(AV$4=0,0,CHAR(AV$4+64))</f>
        <v>0</v>
      </c>
      <c r="AW49" s="52" t="str">
        <f>IF(AND($C49=0,AND($C50&gt;0,$C50=AW$4)),LEFT(AW$3,2),"")</f>
        <v/>
      </c>
    </row>
    <row r="50" spans="2:49" ht="16" thickBot="1">
      <c r="B50" s="49" t="str">
        <f ca="1">IF($AW$2="y",CS!AR56,"")</f>
        <v/>
      </c>
      <c r="C50" s="144">
        <f>DrawFinder!Y56</f>
        <v>0</v>
      </c>
      <c r="D50" s="52" t="str">
        <f t="shared" si="1"/>
        <v/>
      </c>
      <c r="E50" s="52" t="str">
        <f t="shared" si="1"/>
        <v/>
      </c>
      <c r="F50" s="52" t="str">
        <f t="shared" si="1"/>
        <v/>
      </c>
      <c r="G50" s="52" t="str">
        <f t="shared" si="1"/>
        <v/>
      </c>
      <c r="H50" s="52" t="str">
        <f t="shared" si="1"/>
        <v/>
      </c>
      <c r="I50" s="52" t="str">
        <f t="shared" si="1"/>
        <v/>
      </c>
      <c r="J50" s="52" t="str">
        <f t="shared" si="5"/>
        <v/>
      </c>
      <c r="K50" s="52" t="str">
        <f t="shared" si="4"/>
        <v/>
      </c>
      <c r="L50" s="52" t="str">
        <f t="shared" si="4"/>
        <v/>
      </c>
      <c r="M50" s="52" t="str">
        <f t="shared" si="4"/>
        <v/>
      </c>
      <c r="N50" s="52" t="str">
        <f t="shared" si="4"/>
        <v/>
      </c>
      <c r="O50" s="52" t="str">
        <f t="shared" si="4"/>
        <v/>
      </c>
      <c r="P50" s="52" t="str">
        <f t="shared" si="4"/>
        <v/>
      </c>
      <c r="Q50" s="52" t="str">
        <f t="shared" si="4"/>
        <v/>
      </c>
      <c r="R50" s="52" t="str">
        <f t="shared" si="10"/>
        <v/>
      </c>
      <c r="S50" s="52" t="str">
        <f t="shared" si="7"/>
        <v/>
      </c>
      <c r="T50" s="52" t="str">
        <f t="shared" si="7"/>
        <v/>
      </c>
      <c r="U50" s="52" t="str">
        <f t="shared" si="7"/>
        <v/>
      </c>
      <c r="V50" s="52" t="str">
        <f t="shared" si="7"/>
        <v/>
      </c>
      <c r="W50" s="52" t="str">
        <f t="shared" si="7"/>
        <v/>
      </c>
      <c r="X50" s="52" t="str">
        <f t="shared" si="7"/>
        <v/>
      </c>
      <c r="Y50" s="52" t="str">
        <f t="shared" si="7"/>
        <v/>
      </c>
      <c r="Z50" s="52" t="str">
        <f t="shared" si="7"/>
        <v/>
      </c>
      <c r="AA50" s="52" t="str">
        <f t="shared" si="7"/>
        <v/>
      </c>
      <c r="AB50" s="52" t="str">
        <f t="shared" si="7"/>
        <v/>
      </c>
      <c r="AC50" s="52" t="str">
        <f t="shared" si="11"/>
        <v/>
      </c>
      <c r="AD50" s="52" t="str">
        <f t="shared" si="9"/>
        <v/>
      </c>
      <c r="AE50" s="52" t="str">
        <f t="shared" si="9"/>
        <v/>
      </c>
      <c r="AF50" s="52" t="str">
        <f t="shared" si="9"/>
        <v/>
      </c>
      <c r="AG50" s="52" t="str">
        <f t="shared" si="9"/>
        <v/>
      </c>
      <c r="AH50" s="52" t="str">
        <f t="shared" si="9"/>
        <v/>
      </c>
      <c r="AI50" s="52" t="str">
        <f t="shared" si="9"/>
        <v/>
      </c>
      <c r="AJ50" s="52" t="str">
        <f t="shared" si="9"/>
        <v/>
      </c>
      <c r="AK50" s="52" t="str">
        <f t="shared" si="9"/>
        <v/>
      </c>
      <c r="AL50" s="52" t="str">
        <f t="shared" si="9"/>
        <v/>
      </c>
      <c r="AM50" s="52" t="str">
        <f t="shared" si="9"/>
        <v/>
      </c>
      <c r="AN50" s="52" t="str">
        <f t="shared" si="9"/>
        <v/>
      </c>
      <c r="AO50" s="52" t="str">
        <f t="shared" si="9"/>
        <v/>
      </c>
      <c r="AP50" s="52" t="str">
        <f t="shared" si="9"/>
        <v/>
      </c>
      <c r="AQ50" s="52" t="str">
        <f t="shared" si="9"/>
        <v/>
      </c>
      <c r="AR50" s="52" t="str">
        <f t="shared" si="9"/>
        <v/>
      </c>
      <c r="AS50" s="52" t="str">
        <f t="shared" si="9"/>
        <v/>
      </c>
      <c r="AT50" s="52" t="str">
        <f>IF(AND(AT$4=0,AND(AU$4&gt;0,$C50=AU$4)),LEFT($B50,2),"")</f>
        <v/>
      </c>
      <c r="AU50" s="52" t="str">
        <f>IF(AND(AU$4=0,AND(AV$4&gt;0,$C50=AV$4)),LEFT($B50,2),"")</f>
        <v/>
      </c>
      <c r="AV50" s="52" t="str">
        <f>IF(AND(AV$4=0,AND(AW$4&gt;0,$C50=AW$4)),LEFT($B50,2),"")</f>
        <v/>
      </c>
      <c r="AW50" s="53">
        <f>IF(AW$4=0,0,CHAR(AW$4+64))</f>
        <v>0</v>
      </c>
    </row>
    <row r="51" spans="2:49">
      <c r="B51" s="49"/>
      <c r="C51" s="57"/>
    </row>
  </sheetData>
  <sheetProtection password="FFF0" sheet="1" objects="1" scenarios="1"/>
  <conditionalFormatting sqref="D3:AW3 B5:B50">
    <cfRule type="cellIs" dxfId="67" priority="1" stopIfTrue="1" operator="equal">
      <formula>0</formula>
    </cfRule>
  </conditionalFormatting>
  <conditionalFormatting sqref="D5 V23 W24 X25 Y26 Z27 E6 F7 G8 H9 I10 J11 K12 L13 M14 N15 O16 P17 Q18 R19 S20 T21 U22 AA28 AB29 AC30 AD31 AE32 AF33 AG34 AH35 AI36 AJ37 AK38 AL39 AM40 AN41 AO42 AP43 AQ44 AR45 AS46 AT47 AU48 AV49 AW50">
    <cfRule type="expression" dxfId="66" priority="2" stopIfTrue="1">
      <formula>D$4=0</formula>
    </cfRule>
  </conditionalFormatting>
  <conditionalFormatting sqref="AU50:AV50 AW49 AU49 D6:D50 E7:E50 F8:F50 G9:G50 H10:H50 I11:I50 J12:J50 K13:K50 L14:L50 M15:M50 N16:N50 O17:O50 P18:P50 Q19:Q50 R20:R50 S21:S50 T22:T50 U23:U50 V24:V50 W25:W50 X26:X50 Y27:Y50 Z28:Z50 AA29:AA50 AB30:AB50 AC31:AC50 AD32:AD50 AE33:AE50 AF34:AF50 AG35:AG50 AH36:AH50 AI37:AI50 AJ38:AJ50 AK39:AK50 AL40:AL50 AM41:AM50 AN42:AN50 AO43:AO50 AP44:AP50 AQ45:AQ50 AR46:AR50 AS47:AS50 AT48:AT50 E5:AW5 F6:AW6 G7:AW7 H8:AW8 I9:AW9 J10:AW10 K11:AW11 L12:AW12 M13:AW13 N14:AW14 O15:AW15 P16:AW16 Q17:AW17 R18:AW18 S19:AW19 T20:AW20 U21:AW21 V22:AW22 W23:AW23 X24:AW24 Y25:AW25 Z26:AW26 AA27:AW27 AB28:AW28 AC29:AW29 AD30:AW30 AE31:AW31 AF32:AW32 AG33:AW33 AH34:AW34 AI35:AW35 AJ36:AW36 AK37:AW37 AL38:AW38 AM39:AW39 AN40:AW40 AO41:AW41 AP42:AW42 AQ43:AW43 AR44:AW44 AS45:AW45 AT46:AW46 AU47:AW47 AV48:AW48">
    <cfRule type="expression" dxfId="65" priority="3" stopIfTrue="1">
      <formula>OR(D$4&lt;&gt;$C5,D$4=0)</formula>
    </cfRule>
  </conditionalFormatting>
  <pageMargins left="0.5" right="0.5" top="0.75" bottom="0.75" header="0" footer="0"/>
  <pageSetup pageOrder="overThenDown" orientation="landscape"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207"/>
  <sheetViews>
    <sheetView workbookViewId="0">
      <selection activeCell="BB1" sqref="BB1"/>
    </sheetView>
  </sheetViews>
  <sheetFormatPr baseColWidth="10" defaultRowHeight="12" x14ac:dyDescent="0"/>
  <cols>
    <col min="1" max="1" width="5.140625" style="87" customWidth="1"/>
    <col min="2" max="2" width="2.5703125" style="89" customWidth="1"/>
    <col min="3" max="52" width="2.5703125" style="87" customWidth="1"/>
    <col min="53" max="53" width="4.140625" style="87" customWidth="1"/>
    <col min="54" max="54" width="10.28515625" style="87" customWidth="1"/>
    <col min="55" max="55" width="5.140625" style="87" customWidth="1"/>
    <col min="56" max="56" width="3.140625" style="87" customWidth="1"/>
    <col min="57" max="57" width="7.140625" style="89" customWidth="1"/>
    <col min="58" max="58" width="10.28515625" style="89" customWidth="1"/>
    <col min="59" max="60" width="3.140625" style="87" customWidth="1"/>
    <col min="61" max="61" width="5.140625" style="87" customWidth="1"/>
    <col min="62" max="65" width="3.140625" style="87" customWidth="1"/>
    <col min="66" max="66" width="10.7109375" style="87"/>
    <col min="67" max="74" width="3.140625" style="87" customWidth="1"/>
    <col min="75" max="75" width="10.28515625" style="87" customWidth="1"/>
    <col min="76" max="79" width="5.140625" style="87" customWidth="1"/>
    <col min="80" max="16384" width="10.7109375" style="87"/>
  </cols>
  <sheetData>
    <row r="1" spans="1:76">
      <c r="B1" s="89">
        <f>COLUMN()</f>
        <v>2</v>
      </c>
      <c r="C1" s="88">
        <f>COLUMN()</f>
        <v>3</v>
      </c>
      <c r="D1" s="88">
        <f>COLUMN()</f>
        <v>4</v>
      </c>
      <c r="E1" s="88">
        <f>COLUMN()</f>
        <v>5</v>
      </c>
      <c r="F1" s="88">
        <f>COLUMN()</f>
        <v>6</v>
      </c>
      <c r="G1" s="88">
        <f>COLUMN()</f>
        <v>7</v>
      </c>
      <c r="H1" s="88">
        <f>COLUMN()</f>
        <v>8</v>
      </c>
      <c r="I1" s="88">
        <f>COLUMN()</f>
        <v>9</v>
      </c>
      <c r="J1" s="88">
        <f>COLUMN()</f>
        <v>10</v>
      </c>
      <c r="K1" s="88">
        <f>COLUMN()</f>
        <v>11</v>
      </c>
      <c r="L1" s="88">
        <f>COLUMN()</f>
        <v>12</v>
      </c>
      <c r="M1" s="88">
        <f>COLUMN()</f>
        <v>13</v>
      </c>
      <c r="N1" s="88">
        <f>COLUMN()</f>
        <v>14</v>
      </c>
      <c r="O1" s="88">
        <f>COLUMN()</f>
        <v>15</v>
      </c>
      <c r="P1" s="88">
        <f>COLUMN()</f>
        <v>16</v>
      </c>
      <c r="Q1" s="88">
        <f>COLUMN()</f>
        <v>17</v>
      </c>
      <c r="R1" s="88">
        <f>COLUMN()</f>
        <v>18</v>
      </c>
      <c r="S1" s="88">
        <f>COLUMN()</f>
        <v>19</v>
      </c>
      <c r="T1" s="88">
        <f>COLUMN()</f>
        <v>20</v>
      </c>
      <c r="U1" s="88">
        <f>COLUMN()</f>
        <v>21</v>
      </c>
      <c r="V1" s="88">
        <f>COLUMN()</f>
        <v>22</v>
      </c>
      <c r="W1" s="88">
        <f>COLUMN()</f>
        <v>23</v>
      </c>
      <c r="X1" s="88">
        <f>COLUMN()</f>
        <v>24</v>
      </c>
      <c r="Y1" s="88">
        <f>COLUMN()</f>
        <v>25</v>
      </c>
      <c r="Z1" s="88">
        <f>COLUMN()</f>
        <v>26</v>
      </c>
      <c r="AA1" s="88">
        <f>COLUMN()</f>
        <v>27</v>
      </c>
      <c r="AB1" s="88">
        <f>COLUMN()</f>
        <v>28</v>
      </c>
      <c r="AC1" s="88">
        <f>COLUMN()</f>
        <v>29</v>
      </c>
      <c r="AD1" s="88">
        <f>COLUMN()</f>
        <v>30</v>
      </c>
      <c r="AE1" s="88">
        <f>COLUMN()</f>
        <v>31</v>
      </c>
      <c r="AF1" s="88">
        <f>COLUMN()</f>
        <v>32</v>
      </c>
      <c r="AG1" s="88">
        <f>COLUMN()</f>
        <v>33</v>
      </c>
      <c r="AH1" s="88">
        <f>COLUMN()</f>
        <v>34</v>
      </c>
      <c r="AI1" s="88">
        <f>COLUMN()</f>
        <v>35</v>
      </c>
      <c r="AJ1" s="88">
        <f>COLUMN()</f>
        <v>36</v>
      </c>
      <c r="AK1" s="88">
        <f>COLUMN()</f>
        <v>37</v>
      </c>
      <c r="AL1" s="88">
        <f>COLUMN()</f>
        <v>38</v>
      </c>
      <c r="AM1" s="88">
        <f>COLUMN()</f>
        <v>39</v>
      </c>
      <c r="AN1" s="88">
        <f>COLUMN()</f>
        <v>40</v>
      </c>
      <c r="AO1" s="88">
        <f>COLUMN()</f>
        <v>41</v>
      </c>
      <c r="AP1" s="88">
        <f>COLUMN()</f>
        <v>42</v>
      </c>
      <c r="AQ1" s="88">
        <f>COLUMN()</f>
        <v>43</v>
      </c>
      <c r="AR1" s="88">
        <f>COLUMN()</f>
        <v>44</v>
      </c>
      <c r="AS1" s="88">
        <f>COLUMN()</f>
        <v>45</v>
      </c>
      <c r="AT1" s="88">
        <f>COLUMN()</f>
        <v>46</v>
      </c>
      <c r="AU1" s="88">
        <f>COLUMN()</f>
        <v>47</v>
      </c>
      <c r="AV1" s="88">
        <f>COLUMN()</f>
        <v>48</v>
      </c>
      <c r="AW1" s="88">
        <f>COLUMN()</f>
        <v>49</v>
      </c>
      <c r="AX1" s="88">
        <f>COLUMN()</f>
        <v>50</v>
      </c>
      <c r="AY1" s="88">
        <f>COLUMN()</f>
        <v>51</v>
      </c>
      <c r="AZ1" s="88">
        <f>COLUMN()</f>
        <v>52</v>
      </c>
      <c r="BB1" s="88" t="str">
        <f>Intro!D46</f>
        <v/>
      </c>
    </row>
    <row r="2" spans="1:76">
      <c r="B2" s="89" t="str">
        <f>CHAR(B1+64)</f>
        <v>B</v>
      </c>
      <c r="C2" s="88" t="str">
        <f t="shared" ref="C2:Z2" si="0">CHAR(C1+64)</f>
        <v>C</v>
      </c>
      <c r="D2" s="88" t="str">
        <f t="shared" si="0"/>
        <v>D</v>
      </c>
      <c r="E2" s="88" t="str">
        <f t="shared" si="0"/>
        <v>E</v>
      </c>
      <c r="F2" s="88" t="str">
        <f t="shared" si="0"/>
        <v>F</v>
      </c>
      <c r="G2" s="88" t="str">
        <f t="shared" si="0"/>
        <v>G</v>
      </c>
      <c r="H2" s="88" t="str">
        <f t="shared" si="0"/>
        <v>H</v>
      </c>
      <c r="I2" s="88" t="str">
        <f t="shared" si="0"/>
        <v>I</v>
      </c>
      <c r="J2" s="88" t="str">
        <f t="shared" si="0"/>
        <v>J</v>
      </c>
      <c r="K2" s="88" t="str">
        <f t="shared" si="0"/>
        <v>K</v>
      </c>
      <c r="L2" s="88" t="str">
        <f t="shared" si="0"/>
        <v>L</v>
      </c>
      <c r="M2" s="88" t="str">
        <f t="shared" si="0"/>
        <v>M</v>
      </c>
      <c r="N2" s="88" t="str">
        <f t="shared" si="0"/>
        <v>N</v>
      </c>
      <c r="O2" s="88" t="str">
        <f t="shared" si="0"/>
        <v>O</v>
      </c>
      <c r="P2" s="88" t="str">
        <f t="shared" si="0"/>
        <v>P</v>
      </c>
      <c r="Q2" s="88" t="str">
        <f t="shared" si="0"/>
        <v>Q</v>
      </c>
      <c r="R2" s="88" t="str">
        <f t="shared" si="0"/>
        <v>R</v>
      </c>
      <c r="S2" s="88" t="str">
        <f t="shared" si="0"/>
        <v>S</v>
      </c>
      <c r="T2" s="88" t="str">
        <f t="shared" si="0"/>
        <v>T</v>
      </c>
      <c r="U2" s="88" t="str">
        <f t="shared" si="0"/>
        <v>U</v>
      </c>
      <c r="V2" s="88" t="str">
        <f t="shared" si="0"/>
        <v>V</v>
      </c>
      <c r="W2" s="88" t="str">
        <f t="shared" si="0"/>
        <v>W</v>
      </c>
      <c r="X2" s="88" t="str">
        <f t="shared" si="0"/>
        <v>X</v>
      </c>
      <c r="Y2" s="88" t="str">
        <f t="shared" si="0"/>
        <v>Y</v>
      </c>
      <c r="Z2" s="88" t="str">
        <f t="shared" si="0"/>
        <v>Z</v>
      </c>
      <c r="AA2" s="88" t="str">
        <f>CONCATENATE("A",CHAR(AA1+38))</f>
        <v>AA</v>
      </c>
      <c r="AB2" s="88" t="str">
        <f t="shared" ref="AB2:AZ2" si="1">CONCATENATE("A",CHAR(AB1+38))</f>
        <v>AB</v>
      </c>
      <c r="AC2" s="88" t="str">
        <f t="shared" si="1"/>
        <v>AC</v>
      </c>
      <c r="AD2" s="88" t="str">
        <f t="shared" si="1"/>
        <v>AD</v>
      </c>
      <c r="AE2" s="88" t="str">
        <f t="shared" si="1"/>
        <v>AE</v>
      </c>
      <c r="AF2" s="88" t="str">
        <f t="shared" si="1"/>
        <v>AF</v>
      </c>
      <c r="AG2" s="88" t="str">
        <f t="shared" si="1"/>
        <v>AG</v>
      </c>
      <c r="AH2" s="88" t="str">
        <f t="shared" si="1"/>
        <v>AH</v>
      </c>
      <c r="AI2" s="88" t="str">
        <f t="shared" si="1"/>
        <v>AI</v>
      </c>
      <c r="AJ2" s="88" t="str">
        <f t="shared" si="1"/>
        <v>AJ</v>
      </c>
      <c r="AK2" s="88" t="str">
        <f t="shared" si="1"/>
        <v>AK</v>
      </c>
      <c r="AL2" s="88" t="str">
        <f t="shared" si="1"/>
        <v>AL</v>
      </c>
      <c r="AM2" s="88" t="str">
        <f t="shared" si="1"/>
        <v>AM</v>
      </c>
      <c r="AN2" s="88" t="str">
        <f t="shared" si="1"/>
        <v>AN</v>
      </c>
      <c r="AO2" s="88" t="str">
        <f t="shared" si="1"/>
        <v>AO</v>
      </c>
      <c r="AP2" s="88" t="str">
        <f t="shared" si="1"/>
        <v>AP</v>
      </c>
      <c r="AQ2" s="88" t="str">
        <f t="shared" si="1"/>
        <v>AQ</v>
      </c>
      <c r="AR2" s="88" t="str">
        <f t="shared" si="1"/>
        <v>AR</v>
      </c>
      <c r="AS2" s="88" t="str">
        <f t="shared" si="1"/>
        <v>AS</v>
      </c>
      <c r="AT2" s="88" t="str">
        <f t="shared" si="1"/>
        <v>AT</v>
      </c>
      <c r="AU2" s="88" t="str">
        <f t="shared" si="1"/>
        <v>AU</v>
      </c>
      <c r="AV2" s="88" t="str">
        <f t="shared" si="1"/>
        <v>AV</v>
      </c>
      <c r="AW2" s="88" t="str">
        <f t="shared" si="1"/>
        <v>AW</v>
      </c>
      <c r="AX2" s="88" t="str">
        <f t="shared" si="1"/>
        <v>AX</v>
      </c>
      <c r="AY2" s="88" t="str">
        <f t="shared" si="1"/>
        <v>AY</v>
      </c>
      <c r="AZ2" s="88" t="str">
        <f t="shared" si="1"/>
        <v>AZ</v>
      </c>
    </row>
    <row r="6" spans="1:76">
      <c r="BD6" s="470"/>
    </row>
    <row r="7" spans="1:76">
      <c r="BA7" s="87" t="e">
        <f ca="1">VALUE(INDIRECT(CONCATENATE("BA",BE7+10)))</f>
        <v>#N/A</v>
      </c>
      <c r="BD7" s="473">
        <f ca="1">IF(BD6&gt;0,BD6,DrawFinder!H10)</f>
        <v>25</v>
      </c>
      <c r="BE7" s="88" t="e">
        <f ca="1">MATCH(BD7,BD11:BD70,0)</f>
        <v>#N/A</v>
      </c>
    </row>
    <row r="8" spans="1:76">
      <c r="BD8" s="87" t="s">
        <v>190</v>
      </c>
    </row>
    <row r="9" spans="1:76">
      <c r="BD9" s="89">
        <f ca="1">LARGE(BD11:BD70,1)</f>
        <v>24</v>
      </c>
    </row>
    <row r="10" spans="1:76">
      <c r="BA10" s="88">
        <v>1</v>
      </c>
      <c r="BB10" s="88">
        <v>1200</v>
      </c>
      <c r="BD10" s="87" t="s">
        <v>191</v>
      </c>
      <c r="BG10" s="87" t="s">
        <v>192</v>
      </c>
      <c r="BH10" s="87" t="s">
        <v>193</v>
      </c>
      <c r="BJ10" s="87" t="s">
        <v>194</v>
      </c>
      <c r="BK10" s="89" t="s">
        <v>195</v>
      </c>
      <c r="BL10" s="89" t="s">
        <v>196</v>
      </c>
      <c r="BM10" s="87" t="s">
        <v>197</v>
      </c>
      <c r="BN10" s="87" t="s">
        <v>198</v>
      </c>
      <c r="BO10" s="89" t="s">
        <v>199</v>
      </c>
      <c r="BP10" s="89" t="s">
        <v>200</v>
      </c>
      <c r="BQ10" s="89" t="s">
        <v>201</v>
      </c>
      <c r="BR10" s="87" t="s">
        <v>202</v>
      </c>
      <c r="BS10" s="89" t="s">
        <v>203</v>
      </c>
      <c r="BT10" s="89" t="s">
        <v>90</v>
      </c>
      <c r="BU10" s="89" t="s">
        <v>14</v>
      </c>
      <c r="BV10" s="87" t="s">
        <v>204</v>
      </c>
      <c r="BX10" s="285" t="s">
        <v>843</v>
      </c>
    </row>
    <row r="11" spans="1:76">
      <c r="A11" s="90">
        <f>IF(MID(B11,3,2)="02",ROW(),"")</f>
        <v>11</v>
      </c>
      <c r="B11" s="89" t="s">
        <v>205</v>
      </c>
      <c r="C11" s="89"/>
      <c r="D11" s="89"/>
      <c r="E11" s="89"/>
      <c r="F11" s="89"/>
      <c r="G11" s="89"/>
      <c r="H11" s="89"/>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BA11" s="91">
        <f ca="1">IF(BA10=0,0,MIN(INDIRECT(BB11)))</f>
        <v>11</v>
      </c>
      <c r="BB11" s="88" t="str">
        <f>IF(BA10=0,"",CONCATENATE("A",BA10+1,":A",BB$10))</f>
        <v>A2:A1200</v>
      </c>
      <c r="BC11" s="89" t="str">
        <f ca="1">IF(BA11=0,0,CONCATENATE("B",BA11))</f>
        <v>B11</v>
      </c>
      <c r="BD11" s="89">
        <f ca="1">IF(BC11=0,0,RANK(BF11,$BF$11:$BF$70,0)+(COUNTIF($BF11:$BF$70,BF11)-1))</f>
        <v>24</v>
      </c>
      <c r="BE11" s="89" t="str">
        <f ca="1">IF(BC11=0,0,LEFT(INDIRECT(BC11),6))</f>
        <v>040201</v>
      </c>
      <c r="BF11" s="89">
        <f ca="1">VALUE(BW11)</f>
        <v>4020103</v>
      </c>
      <c r="BG11" s="89">
        <f ca="1">IF(BA11=0,0,VALUE(LEFT(BE11,2)))</f>
        <v>4</v>
      </c>
      <c r="BH11" s="89">
        <f ca="1">IF(BA11=0,0,VALUE(MID(BE11,5,2)))</f>
        <v>1</v>
      </c>
      <c r="BI11" s="89" t="str">
        <f ca="1">IF(BA11=0,0,CONCATENATE("B",BA11+BG11+1))</f>
        <v>B16</v>
      </c>
      <c r="BJ11" s="89">
        <f ca="1">IF(BA11=0,0,VALUE(MID(INDIRECT(BI11),4,2)))</f>
        <v>3</v>
      </c>
      <c r="BK11" s="89">
        <f ca="1">IF(BA11=0,0,VALUE(MID(INDIRECT(BI11),9,2)))</f>
        <v>3</v>
      </c>
      <c r="BL11" s="89">
        <f ca="1">IF(BA11=0,0,VALUE(MID(INDIRECT(BI11),14,3)))</f>
        <v>6</v>
      </c>
      <c r="BM11" s="89">
        <f ca="1">IF(BA11=0,0,2+BK11)</f>
        <v>5</v>
      </c>
      <c r="BN11" s="89" t="str">
        <f ca="1">IF(BA11=0,0,CONCATENATE("S2!B",BA11+1,":",HLOOKUP(BM11,$B$1:$AZ$2,2,FALSE),BA11+BG11))</f>
        <v>S2!B12:E15</v>
      </c>
      <c r="BO11" s="89" t="str">
        <f ca="1">IF(BA11=0,0,IF(BV11="c","c",IF(ISERROR(FIND("s",INDIRECT($BC11))),IF(ISERROR(FIND("e",INDIRECT($BC11))),"L","e"),"s")))</f>
        <v>s</v>
      </c>
      <c r="BP11" s="89" t="str">
        <f ca="1">IF(BA11=0,0,IF(ISERROR(FIND("b",INDIRECT($BC11))),IF(ISERROR(FIND("w",INDIRECT($BC11))),"","w"),"b"))</f>
        <v/>
      </c>
      <c r="BQ11" s="89" t="str">
        <f ca="1">IF(BA11=0,0,IF(ISERROR(FIND("w",INDIRECT($BC11))),"","w"))</f>
        <v/>
      </c>
      <c r="BR11" s="87" t="str">
        <f ca="1">IF(BA11=0,0,IF(ISERROR(FIND("x",INDIRECT($BC11))),IF(ISERROR(FIND("E",INDIRECT($BC11))),"","E"),"x"))</f>
        <v/>
      </c>
      <c r="BS11" s="89" t="str">
        <f ca="1">IF(BA11=0,0,IF(ISERROR(FIND("a",INDIRECT($BC11))),"","a"))</f>
        <v/>
      </c>
      <c r="BT11" s="89" t="str">
        <f ca="1">IF(BA11=0,0,IF(ISERROR(FIND("E",INDIRECT($BC11))),"","E"))</f>
        <v/>
      </c>
      <c r="BU11" s="89" t="str">
        <f ca="1">IF(BA11=0,0,IF(ISERROR(FIND("X",INDIRECT($BC11))),"","X"))</f>
        <v/>
      </c>
      <c r="BV11" s="87" t="str">
        <f ca="1">IF(BA11=0,0,IF(ISERROR(FIND("c",INDIRECT($BC11))),"","c"))</f>
        <v/>
      </c>
      <c r="BW11" s="87" t="str">
        <f ca="1">CONCATENATE(BE11,IF(BK11&lt;10,"0",""),BK11)</f>
        <v>04020103</v>
      </c>
      <c r="BX11" s="89">
        <f ca="1">IF(BV11="c",RIGHT(INDIRECT(BC11),2),0)</f>
        <v>0</v>
      </c>
    </row>
    <row r="12" spans="1:76">
      <c r="A12" s="90" t="str">
        <f t="shared" ref="A12:A75" si="2">IF(MID(B12,3,2)="02",ROW(),"")</f>
        <v/>
      </c>
      <c r="B12" s="89">
        <v>1</v>
      </c>
      <c r="C12" s="89">
        <v>1</v>
      </c>
      <c r="D12" s="89">
        <v>-1</v>
      </c>
      <c r="E12" s="89">
        <v>1</v>
      </c>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BA12" s="91">
        <f t="shared" ref="BA12:BA70" ca="1" si="3">IF(BA11=0,0,MIN(INDIRECT(BB12)))</f>
        <v>17</v>
      </c>
      <c r="BB12" s="88" t="str">
        <f t="shared" ref="BB12:BB70" ca="1" si="4">IF(BA11=0,"",CONCATENATE("A",BA11+1,":A",BB$10))</f>
        <v>A12:A1200</v>
      </c>
      <c r="BC12" s="89" t="str">
        <f t="shared" ref="BC12:BC70" ca="1" si="5">IF(BA12=0,0,CONCATENATE("B",BA12))</f>
        <v>B17</v>
      </c>
      <c r="BD12" s="89">
        <f ca="1">IF(BC12=0,0,RANK(BF12,$BF$11:$BF$70,0)+(COUNTIF($BF12:$BF$70,BF12)-1))</f>
        <v>23</v>
      </c>
      <c r="BE12" s="89" t="str">
        <f t="shared" ref="BE12:BE70" ca="1" si="6">IF(BC12=0,0,LEFT(INDIRECT(BC12),6))</f>
        <v>050201</v>
      </c>
      <c r="BF12" s="89">
        <f t="shared" ref="BF12:BF70" ca="1" si="7">VALUE(BW12)</f>
        <v>5020105</v>
      </c>
      <c r="BG12" s="89">
        <f t="shared" ref="BG12:BG70" ca="1" si="8">IF(BA12=0,0,VALUE(LEFT(BE12,2)))</f>
        <v>5</v>
      </c>
      <c r="BH12" s="89">
        <f t="shared" ref="BH12:BH70" ca="1" si="9">IF(BA12=0,0,VALUE(MID(BE12,5,2)))</f>
        <v>1</v>
      </c>
      <c r="BI12" s="89" t="str">
        <f t="shared" ref="BI12:BI70" ca="1" si="10">IF(BA12=0,0,CONCATENATE("B",BA12+BG12+1))</f>
        <v>B23</v>
      </c>
      <c r="BJ12" s="89">
        <f t="shared" ref="BJ12:BJ70" ca="1" si="11">IF(BA12=0,0,VALUE(MID(INDIRECT(BI12),4,2)))</f>
        <v>4</v>
      </c>
      <c r="BK12" s="89">
        <f t="shared" ref="BK12:BK70" ca="1" si="12">IF(BA12=0,0,VALUE(MID(INDIRECT(BI12),9,2)))</f>
        <v>5</v>
      </c>
      <c r="BL12" s="89">
        <f t="shared" ref="BL12:BL70" ca="1" si="13">IF(BA12=0,0,VALUE(MID(INDIRECT(BI12),14,3)))</f>
        <v>10</v>
      </c>
      <c r="BM12" s="89">
        <f t="shared" ref="BM12:BM70" ca="1" si="14">IF(BA12=0,0,2+BK12)</f>
        <v>7</v>
      </c>
      <c r="BN12" s="89" t="str">
        <f t="shared" ref="BN12:BN70" ca="1" si="15">IF(BA12=0,0,CONCATENATE("S2!B",BA12+1,":",HLOOKUP(BM12,$B$1:$AZ$2,2,FALSE),BA12+BG12))</f>
        <v>S2!B18:G22</v>
      </c>
      <c r="BO12" s="89" t="str">
        <f t="shared" ref="BO12:BO70" ca="1" si="16">IF(BA12=0,0,IF(BV12="c","c",IF(ISERROR(FIND("s",INDIRECT($BC12))),IF(ISERROR(FIND("e",INDIRECT($BC12))),"L","e"),"s")))</f>
        <v>s</v>
      </c>
      <c r="BP12" s="89" t="str">
        <f t="shared" ref="BP12:BP70" ca="1" si="17">IF(BA12=0,0,IF(ISERROR(FIND("b",INDIRECT($BC12))),IF(ISERROR(FIND("w",INDIRECT($BC12))),"","w"),"b"))</f>
        <v>b</v>
      </c>
      <c r="BQ12" s="89" t="str">
        <f t="shared" ref="BQ12:BQ70" ca="1" si="18">IF(BA12=0,0,IF(ISERROR(FIND("w",INDIRECT($BC12))),"","w"))</f>
        <v/>
      </c>
      <c r="BR12" s="87" t="str">
        <f t="shared" ref="BR12:BR70" ca="1" si="19">IF(BA12=0,0,IF(ISERROR(FIND("x",INDIRECT($BC12))),IF(ISERROR(FIND("E",INDIRECT($BC12))),"","E"),"x"))</f>
        <v/>
      </c>
      <c r="BS12" s="89" t="str">
        <f t="shared" ref="BS12:BS70" ca="1" si="20">IF(BA12=0,0,IF(ISERROR(FIND("a",INDIRECT($BC12))),"","a"))</f>
        <v/>
      </c>
      <c r="BT12" s="89" t="str">
        <f t="shared" ref="BT12:BT70" ca="1" si="21">IF(BA12=0,0,IF(ISERROR(FIND("E",INDIRECT($BC12))),"","E"))</f>
        <v/>
      </c>
      <c r="BU12" s="89" t="str">
        <f t="shared" ref="BU12:BU70" ca="1" si="22">IF(BA12=0,0,IF(ISERROR(FIND("X",INDIRECT($BC12))),"","X"))</f>
        <v/>
      </c>
      <c r="BV12" s="87" t="str">
        <f t="shared" ref="BV12:BV70" ca="1" si="23">IF(BA12=0,0,IF(ISERROR(FIND("c",INDIRECT($BC12))),"","c"))</f>
        <v/>
      </c>
      <c r="BW12" s="87" t="str">
        <f t="shared" ref="BW12:BW70" ca="1" si="24">CONCATENATE(BE12,IF(BK12&lt;10,"0",""),BK12)</f>
        <v>05020105</v>
      </c>
      <c r="BX12" s="89">
        <f t="shared" ref="BX12:BX70" ca="1" si="25">IF(BV12="c",RIGHT(INDIRECT(BC12),2),0)</f>
        <v>0</v>
      </c>
    </row>
    <row r="13" spans="1:76">
      <c r="A13" s="90" t="str">
        <f t="shared" si="2"/>
        <v/>
      </c>
      <c r="B13" s="89">
        <v>2</v>
      </c>
      <c r="C13" s="89">
        <v>-2</v>
      </c>
      <c r="D13" s="89">
        <v>2</v>
      </c>
      <c r="E13" s="89">
        <v>-1</v>
      </c>
      <c r="F13" s="89"/>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c r="BA13" s="91">
        <f t="shared" ca="1" si="3"/>
        <v>24</v>
      </c>
      <c r="BB13" s="88" t="str">
        <f t="shared" ca="1" si="4"/>
        <v>A18:A1200</v>
      </c>
      <c r="BC13" s="89" t="str">
        <f t="shared" ca="1" si="5"/>
        <v>B24</v>
      </c>
      <c r="BD13" s="89">
        <f ca="1">IF(BC13=0,0,RANK(BF13,$BF$11:$BF$70,0)+(COUNTIF($BF13:$BF$70,BF13)-1))</f>
        <v>22</v>
      </c>
      <c r="BE13" s="89" t="str">
        <f t="shared" ca="1" si="6"/>
        <v>060201</v>
      </c>
      <c r="BF13" s="89">
        <f t="shared" ca="1" si="7"/>
        <v>6020110</v>
      </c>
      <c r="BG13" s="89">
        <f t="shared" ca="1" si="8"/>
        <v>6</v>
      </c>
      <c r="BH13" s="89">
        <f t="shared" ca="1" si="9"/>
        <v>1</v>
      </c>
      <c r="BI13" s="89" t="str">
        <f t="shared" ca="1" si="10"/>
        <v>B31</v>
      </c>
      <c r="BJ13" s="89">
        <f t="shared" ca="1" si="11"/>
        <v>5</v>
      </c>
      <c r="BK13" s="89">
        <f t="shared" ca="1" si="12"/>
        <v>10</v>
      </c>
      <c r="BL13" s="89">
        <f t="shared" ca="1" si="13"/>
        <v>15</v>
      </c>
      <c r="BM13" s="89">
        <f t="shared" ca="1" si="14"/>
        <v>12</v>
      </c>
      <c r="BN13" s="89" t="str">
        <f t="shared" ca="1" si="15"/>
        <v>S2!B25:L30</v>
      </c>
      <c r="BO13" s="89" t="str">
        <f t="shared" ca="1" si="16"/>
        <v>e</v>
      </c>
      <c r="BP13" s="89" t="str">
        <f t="shared" ca="1" si="17"/>
        <v/>
      </c>
      <c r="BQ13" s="89" t="str">
        <f t="shared" ca="1" si="18"/>
        <v/>
      </c>
      <c r="BR13" s="87" t="str">
        <f t="shared" ca="1" si="19"/>
        <v/>
      </c>
      <c r="BS13" s="89" t="str">
        <f t="shared" ca="1" si="20"/>
        <v/>
      </c>
      <c r="BT13" s="89" t="str">
        <f t="shared" ca="1" si="21"/>
        <v/>
      </c>
      <c r="BU13" s="89" t="str">
        <f t="shared" ca="1" si="22"/>
        <v/>
      </c>
      <c r="BV13" s="87" t="str">
        <f t="shared" ca="1" si="23"/>
        <v/>
      </c>
      <c r="BW13" s="87" t="str">
        <f t="shared" ca="1" si="24"/>
        <v>06020110</v>
      </c>
      <c r="BX13" s="89">
        <f t="shared" ca="1" si="25"/>
        <v>0</v>
      </c>
    </row>
    <row r="14" spans="1:76">
      <c r="A14" s="90" t="str">
        <f t="shared" si="2"/>
        <v/>
      </c>
      <c r="B14" s="89">
        <v>3</v>
      </c>
      <c r="C14" s="89">
        <v>2</v>
      </c>
      <c r="D14" s="89">
        <v>1</v>
      </c>
      <c r="E14" s="89">
        <v>-2</v>
      </c>
      <c r="F14" s="89"/>
      <c r="G14" s="89"/>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c r="AP14" s="89"/>
      <c r="BA14" s="91">
        <f t="shared" ca="1" si="3"/>
        <v>32</v>
      </c>
      <c r="BB14" s="88" t="str">
        <f t="shared" ca="1" si="4"/>
        <v>A25:A1200</v>
      </c>
      <c r="BC14" s="89" t="str">
        <f t="shared" ca="1" si="5"/>
        <v>B32</v>
      </c>
      <c r="BD14" s="89">
        <f ca="1">IF(BC14=0,0,RANK(BF14,$BF$11:$BF$70,0)+(COUNTIF($BF14:$BF$70,BF14)-1))</f>
        <v>21</v>
      </c>
      <c r="BE14" s="89" t="str">
        <f t="shared" ca="1" si="6"/>
        <v>070201</v>
      </c>
      <c r="BF14" s="89">
        <f t="shared" ca="1" si="7"/>
        <v>7020114</v>
      </c>
      <c r="BG14" s="89">
        <f t="shared" ca="1" si="8"/>
        <v>7</v>
      </c>
      <c r="BH14" s="89">
        <f t="shared" ca="1" si="9"/>
        <v>1</v>
      </c>
      <c r="BI14" s="89" t="str">
        <f t="shared" ca="1" si="10"/>
        <v>B40</v>
      </c>
      <c r="BJ14" s="89">
        <f t="shared" ca="1" si="11"/>
        <v>6</v>
      </c>
      <c r="BK14" s="89">
        <f t="shared" ca="1" si="12"/>
        <v>14</v>
      </c>
      <c r="BL14" s="89">
        <f t="shared" ca="1" si="13"/>
        <v>21</v>
      </c>
      <c r="BM14" s="89">
        <f t="shared" ca="1" si="14"/>
        <v>16</v>
      </c>
      <c r="BN14" s="89" t="str">
        <f t="shared" ca="1" si="15"/>
        <v>S2!B33:P39</v>
      </c>
      <c r="BO14" s="89" t="str">
        <f t="shared" ca="1" si="16"/>
        <v>e</v>
      </c>
      <c r="BP14" s="89" t="str">
        <f t="shared" ca="1" si="17"/>
        <v>b</v>
      </c>
      <c r="BQ14" s="89" t="str">
        <f t="shared" ca="1" si="18"/>
        <v/>
      </c>
      <c r="BR14" s="87" t="str">
        <f t="shared" ca="1" si="19"/>
        <v/>
      </c>
      <c r="BS14" s="89" t="str">
        <f t="shared" ca="1" si="20"/>
        <v/>
      </c>
      <c r="BT14" s="89" t="str">
        <f t="shared" ca="1" si="21"/>
        <v/>
      </c>
      <c r="BU14" s="89" t="str">
        <f t="shared" ca="1" si="22"/>
        <v/>
      </c>
      <c r="BV14" s="87" t="str">
        <f t="shared" ca="1" si="23"/>
        <v/>
      </c>
      <c r="BW14" s="87" t="str">
        <f t="shared" ca="1" si="24"/>
        <v>07020114</v>
      </c>
      <c r="BX14" s="89">
        <f t="shared" ca="1" si="25"/>
        <v>0</v>
      </c>
    </row>
    <row r="15" spans="1:76">
      <c r="A15" s="90" t="str">
        <f t="shared" si="2"/>
        <v/>
      </c>
      <c r="B15" s="89">
        <v>4</v>
      </c>
      <c r="C15" s="89">
        <v>-1</v>
      </c>
      <c r="D15" s="89">
        <v>-2</v>
      </c>
      <c r="E15" s="89">
        <v>2</v>
      </c>
      <c r="F15" s="89"/>
      <c r="G15" s="89"/>
      <c r="H15" s="89"/>
      <c r="I15" s="89"/>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c r="AO15" s="89"/>
      <c r="AP15" s="89"/>
      <c r="BA15" s="91">
        <f t="shared" ca="1" si="3"/>
        <v>41</v>
      </c>
      <c r="BB15" s="88" t="str">
        <f t="shared" ca="1" si="4"/>
        <v>A33:A1200</v>
      </c>
      <c r="BC15" s="89" t="str">
        <f t="shared" ca="1" si="5"/>
        <v>B41</v>
      </c>
      <c r="BD15" s="89">
        <f ca="1">IF(BC15=0,0,RANK(BF15,$BF$11:$BF$70,0)+(COUNTIF($BF15:$BF$70,BF15)-1))</f>
        <v>20</v>
      </c>
      <c r="BE15" s="89" t="str">
        <f t="shared" ca="1" si="6"/>
        <v>080201</v>
      </c>
      <c r="BF15" s="89">
        <f t="shared" ca="1" si="7"/>
        <v>8020114</v>
      </c>
      <c r="BG15" s="89">
        <f t="shared" ca="1" si="8"/>
        <v>8</v>
      </c>
      <c r="BH15" s="89">
        <f t="shared" ca="1" si="9"/>
        <v>1</v>
      </c>
      <c r="BI15" s="89" t="str">
        <f t="shared" ca="1" si="10"/>
        <v>B50</v>
      </c>
      <c r="BJ15" s="89">
        <f t="shared" ca="1" si="11"/>
        <v>7</v>
      </c>
      <c r="BK15" s="89">
        <f t="shared" ca="1" si="12"/>
        <v>14</v>
      </c>
      <c r="BL15" s="89">
        <f t="shared" ca="1" si="13"/>
        <v>28</v>
      </c>
      <c r="BM15" s="89">
        <f t="shared" ca="1" si="14"/>
        <v>16</v>
      </c>
      <c r="BN15" s="89" t="str">
        <f t="shared" ca="1" si="15"/>
        <v>S2!B42:P49</v>
      </c>
      <c r="BO15" s="89" t="str">
        <f t="shared" ca="1" si="16"/>
        <v>e</v>
      </c>
      <c r="BP15" s="89" t="str">
        <f t="shared" ca="1" si="17"/>
        <v/>
      </c>
      <c r="BQ15" s="89" t="str">
        <f t="shared" ca="1" si="18"/>
        <v/>
      </c>
      <c r="BR15" s="87" t="str">
        <f t="shared" ca="1" si="19"/>
        <v/>
      </c>
      <c r="BS15" s="89" t="str">
        <f t="shared" ca="1" si="20"/>
        <v/>
      </c>
      <c r="BT15" s="89" t="str">
        <f t="shared" ca="1" si="21"/>
        <v/>
      </c>
      <c r="BU15" s="89" t="str">
        <f t="shared" ca="1" si="22"/>
        <v/>
      </c>
      <c r="BV15" s="87" t="str">
        <f t="shared" ca="1" si="23"/>
        <v/>
      </c>
      <c r="BW15" s="87" t="str">
        <f t="shared" ca="1" si="24"/>
        <v>08020114</v>
      </c>
      <c r="BX15" s="89">
        <f t="shared" ca="1" si="25"/>
        <v>0</v>
      </c>
    </row>
    <row r="16" spans="1:76">
      <c r="A16" s="90" t="str">
        <f t="shared" si="2"/>
        <v/>
      </c>
      <c r="B16" s="89" t="s">
        <v>206</v>
      </c>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BA16" s="91">
        <f t="shared" ca="1" si="3"/>
        <v>51</v>
      </c>
      <c r="BB16" s="88" t="str">
        <f t="shared" ca="1" si="4"/>
        <v>A42:A1200</v>
      </c>
      <c r="BC16" s="89" t="str">
        <f t="shared" ca="1" si="5"/>
        <v>B51</v>
      </c>
      <c r="BD16" s="89">
        <f ca="1">IF(BC16=0,0,RANK(BF16,$BF$11:$BF$70,0)+(COUNTIF($BF16:$BF$70,BF16)-1))</f>
        <v>19</v>
      </c>
      <c r="BE16" s="89" t="str">
        <f t="shared" ca="1" si="6"/>
        <v>080202</v>
      </c>
      <c r="BF16" s="89">
        <f t="shared" ca="1" si="7"/>
        <v>8020206</v>
      </c>
      <c r="BG16" s="89">
        <f t="shared" ca="1" si="8"/>
        <v>8</v>
      </c>
      <c r="BH16" s="89">
        <f t="shared" ca="1" si="9"/>
        <v>2</v>
      </c>
      <c r="BI16" s="89" t="str">
        <f t="shared" ca="1" si="10"/>
        <v>B60</v>
      </c>
      <c r="BJ16" s="89">
        <f t="shared" ca="1" si="11"/>
        <v>3</v>
      </c>
      <c r="BK16" s="89">
        <f t="shared" ca="1" si="12"/>
        <v>6</v>
      </c>
      <c r="BL16" s="89">
        <f t="shared" ca="1" si="13"/>
        <v>12</v>
      </c>
      <c r="BM16" s="89">
        <f t="shared" ca="1" si="14"/>
        <v>8</v>
      </c>
      <c r="BN16" s="89" t="str">
        <f t="shared" ca="1" si="15"/>
        <v>S2!B52:H59</v>
      </c>
      <c r="BO16" s="89" t="str">
        <f t="shared" ca="1" si="16"/>
        <v>e</v>
      </c>
      <c r="BP16" s="89" t="str">
        <f t="shared" ca="1" si="17"/>
        <v/>
      </c>
      <c r="BQ16" s="89" t="str">
        <f t="shared" ca="1" si="18"/>
        <v/>
      </c>
      <c r="BR16" s="87" t="str">
        <f t="shared" ca="1" si="19"/>
        <v/>
      </c>
      <c r="BS16" s="89" t="str">
        <f t="shared" ca="1" si="20"/>
        <v/>
      </c>
      <c r="BT16" s="89" t="str">
        <f t="shared" ca="1" si="21"/>
        <v/>
      </c>
      <c r="BU16" s="89" t="str">
        <f t="shared" ca="1" si="22"/>
        <v/>
      </c>
      <c r="BV16" s="87" t="str">
        <f t="shared" ca="1" si="23"/>
        <v/>
      </c>
      <c r="BW16" s="87" t="str">
        <f t="shared" ca="1" si="24"/>
        <v>08020206</v>
      </c>
      <c r="BX16" s="89">
        <f t="shared" ca="1" si="25"/>
        <v>0</v>
      </c>
    </row>
    <row r="17" spans="1:76">
      <c r="A17" s="90">
        <f t="shared" si="2"/>
        <v>17</v>
      </c>
      <c r="B17" s="89" t="s">
        <v>207</v>
      </c>
      <c r="C17" s="89"/>
      <c r="D17" s="89"/>
      <c r="E17" s="89"/>
      <c r="F17" s="89"/>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BA17" s="91">
        <f t="shared" ca="1" si="3"/>
        <v>61</v>
      </c>
      <c r="BB17" s="88" t="str">
        <f t="shared" ca="1" si="4"/>
        <v>A52:A1200</v>
      </c>
      <c r="BC17" s="89" t="str">
        <f t="shared" ca="1" si="5"/>
        <v>B61</v>
      </c>
      <c r="BD17" s="89">
        <f ca="1">IF(BC17=0,0,RANK(BF17,$BF$11:$BF$70,0)+(COUNTIF($BF17:$BF$70,BF17)-1))</f>
        <v>18</v>
      </c>
      <c r="BE17" s="89" t="str">
        <f t="shared" ca="1" si="6"/>
        <v>090201</v>
      </c>
      <c r="BF17" s="89">
        <f t="shared" ca="1" si="7"/>
        <v>9020118</v>
      </c>
      <c r="BG17" s="89">
        <f t="shared" ca="1" si="8"/>
        <v>9</v>
      </c>
      <c r="BH17" s="89">
        <f t="shared" ca="1" si="9"/>
        <v>1</v>
      </c>
      <c r="BI17" s="89" t="str">
        <f t="shared" ca="1" si="10"/>
        <v>B71</v>
      </c>
      <c r="BJ17" s="89">
        <f t="shared" ca="1" si="11"/>
        <v>8</v>
      </c>
      <c r="BK17" s="89">
        <f t="shared" ca="1" si="12"/>
        <v>18</v>
      </c>
      <c r="BL17" s="89">
        <f t="shared" ca="1" si="13"/>
        <v>36</v>
      </c>
      <c r="BM17" s="89">
        <f t="shared" ca="1" si="14"/>
        <v>20</v>
      </c>
      <c r="BN17" s="89" t="str">
        <f t="shared" ca="1" si="15"/>
        <v>S2!B62:T70</v>
      </c>
      <c r="BO17" s="89" t="str">
        <f t="shared" ca="1" si="16"/>
        <v>e</v>
      </c>
      <c r="BP17" s="89" t="str">
        <f t="shared" ca="1" si="17"/>
        <v>b</v>
      </c>
      <c r="BQ17" s="89" t="str">
        <f t="shared" ca="1" si="18"/>
        <v/>
      </c>
      <c r="BR17" s="87" t="str">
        <f t="shared" ca="1" si="19"/>
        <v/>
      </c>
      <c r="BS17" s="89" t="str">
        <f t="shared" ca="1" si="20"/>
        <v/>
      </c>
      <c r="BT17" s="89" t="str">
        <f t="shared" ca="1" si="21"/>
        <v/>
      </c>
      <c r="BU17" s="89" t="str">
        <f t="shared" ca="1" si="22"/>
        <v/>
      </c>
      <c r="BV17" s="87" t="str">
        <f t="shared" ca="1" si="23"/>
        <v/>
      </c>
      <c r="BW17" s="87" t="str">
        <f t="shared" ca="1" si="24"/>
        <v>09020118</v>
      </c>
      <c r="BX17" s="89">
        <f t="shared" ca="1" si="25"/>
        <v>0</v>
      </c>
    </row>
    <row r="18" spans="1:76">
      <c r="A18" s="90" t="str">
        <f t="shared" si="2"/>
        <v/>
      </c>
      <c r="B18" s="89">
        <v>1</v>
      </c>
      <c r="C18" s="89">
        <v>-2</v>
      </c>
      <c r="D18" s="89" t="s">
        <v>202</v>
      </c>
      <c r="E18" s="89">
        <v>2</v>
      </c>
      <c r="F18" s="89">
        <v>-1</v>
      </c>
      <c r="G18" s="89">
        <v>1</v>
      </c>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c r="AO18" s="89"/>
      <c r="AP18" s="89"/>
      <c r="BA18" s="91">
        <f t="shared" ca="1" si="3"/>
        <v>72</v>
      </c>
      <c r="BB18" s="88" t="str">
        <f t="shared" ca="1" si="4"/>
        <v>A62:A1200</v>
      </c>
      <c r="BC18" s="89" t="str">
        <f t="shared" ca="1" si="5"/>
        <v>B72</v>
      </c>
      <c r="BD18" s="89">
        <f ca="1">IF(BC18=0,0,RANK(BF18,$BF$11:$BF$70,0)+(COUNTIF($BF18:$BF$70,BF18)-1))</f>
        <v>17</v>
      </c>
      <c r="BE18" s="89" t="str">
        <f t="shared" ca="1" si="6"/>
        <v>090202</v>
      </c>
      <c r="BF18" s="89">
        <f t="shared" ca="1" si="7"/>
        <v>9020209</v>
      </c>
      <c r="BG18" s="89">
        <f t="shared" ca="1" si="8"/>
        <v>9</v>
      </c>
      <c r="BH18" s="89">
        <f t="shared" ca="1" si="9"/>
        <v>2</v>
      </c>
      <c r="BI18" s="89" t="str">
        <f t="shared" ca="1" si="10"/>
        <v>B82</v>
      </c>
      <c r="BJ18" s="89">
        <f t="shared" ca="1" si="11"/>
        <v>4</v>
      </c>
      <c r="BK18" s="89">
        <f t="shared" ca="1" si="12"/>
        <v>9</v>
      </c>
      <c r="BL18" s="89">
        <f t="shared" ca="1" si="13"/>
        <v>18</v>
      </c>
      <c r="BM18" s="89">
        <f t="shared" ca="1" si="14"/>
        <v>11</v>
      </c>
      <c r="BN18" s="89" t="str">
        <f t="shared" ca="1" si="15"/>
        <v>S2!B73:K81</v>
      </c>
      <c r="BO18" s="89" t="str">
        <f t="shared" ca="1" si="16"/>
        <v>e</v>
      </c>
      <c r="BP18" s="89" t="str">
        <f t="shared" ca="1" si="17"/>
        <v>b</v>
      </c>
      <c r="BQ18" s="89" t="str">
        <f t="shared" ca="1" si="18"/>
        <v/>
      </c>
      <c r="BR18" s="87" t="str">
        <f t="shared" ca="1" si="19"/>
        <v/>
      </c>
      <c r="BS18" s="89" t="str">
        <f t="shared" ca="1" si="20"/>
        <v>a</v>
      </c>
      <c r="BT18" s="89" t="str">
        <f t="shared" ca="1" si="21"/>
        <v/>
      </c>
      <c r="BU18" s="89" t="str">
        <f t="shared" ca="1" si="22"/>
        <v/>
      </c>
      <c r="BV18" s="87" t="str">
        <f t="shared" ca="1" si="23"/>
        <v/>
      </c>
      <c r="BW18" s="87" t="str">
        <f t="shared" ca="1" si="24"/>
        <v>09020209</v>
      </c>
      <c r="BX18" s="89">
        <f t="shared" ca="1" si="25"/>
        <v>0</v>
      </c>
    </row>
    <row r="19" spans="1:76">
      <c r="A19" s="90" t="str">
        <f t="shared" si="2"/>
        <v/>
      </c>
      <c r="B19" s="89">
        <v>2</v>
      </c>
      <c r="C19" s="89">
        <v>1</v>
      </c>
      <c r="D19" s="89">
        <v>-2</v>
      </c>
      <c r="E19" s="89" t="s">
        <v>202</v>
      </c>
      <c r="F19" s="89">
        <v>2</v>
      </c>
      <c r="G19" s="89">
        <v>-1</v>
      </c>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BA19" s="91">
        <f t="shared" ca="1" si="3"/>
        <v>83</v>
      </c>
      <c r="BB19" s="88" t="str">
        <f t="shared" ca="1" si="4"/>
        <v>A73:A1200</v>
      </c>
      <c r="BC19" s="89" t="str">
        <f t="shared" ca="1" si="5"/>
        <v>B83</v>
      </c>
      <c r="BD19" s="89">
        <f ca="1">IF(BC19=0,0,RANK(BF19,$BF$11:$BF$70,0)+(COUNTIF($BF19:$BF$70,BF19)-1))</f>
        <v>16</v>
      </c>
      <c r="BE19" s="89" t="str">
        <f t="shared" ca="1" si="6"/>
        <v>100201</v>
      </c>
      <c r="BF19" s="89">
        <f t="shared" ca="1" si="7"/>
        <v>10020123</v>
      </c>
      <c r="BG19" s="89">
        <f t="shared" ca="1" si="8"/>
        <v>10</v>
      </c>
      <c r="BH19" s="89">
        <f t="shared" ca="1" si="9"/>
        <v>1</v>
      </c>
      <c r="BI19" s="89" t="str">
        <f t="shared" ca="1" si="10"/>
        <v>B94</v>
      </c>
      <c r="BJ19" s="89">
        <f t="shared" ca="1" si="11"/>
        <v>9</v>
      </c>
      <c r="BK19" s="89">
        <f t="shared" ca="1" si="12"/>
        <v>23</v>
      </c>
      <c r="BL19" s="89">
        <f t="shared" ca="1" si="13"/>
        <v>45</v>
      </c>
      <c r="BM19" s="89">
        <f t="shared" ca="1" si="14"/>
        <v>25</v>
      </c>
      <c r="BN19" s="89" t="str">
        <f t="shared" ca="1" si="15"/>
        <v>S2!B84:Y93</v>
      </c>
      <c r="BO19" s="89" t="str">
        <f t="shared" ca="1" si="16"/>
        <v>L</v>
      </c>
      <c r="BP19" s="89" t="str">
        <f t="shared" ca="1" si="17"/>
        <v/>
      </c>
      <c r="BQ19" s="89" t="str">
        <f t="shared" ca="1" si="18"/>
        <v/>
      </c>
      <c r="BR19" s="87" t="str">
        <f t="shared" ca="1" si="19"/>
        <v/>
      </c>
      <c r="BS19" s="89" t="str">
        <f t="shared" ca="1" si="20"/>
        <v/>
      </c>
      <c r="BT19" s="89" t="str">
        <f t="shared" ca="1" si="21"/>
        <v/>
      </c>
      <c r="BU19" s="89" t="str">
        <f t="shared" ca="1" si="22"/>
        <v/>
      </c>
      <c r="BV19" s="87" t="str">
        <f t="shared" ca="1" si="23"/>
        <v/>
      </c>
      <c r="BW19" s="87" t="str">
        <f t="shared" ca="1" si="24"/>
        <v>10020123</v>
      </c>
      <c r="BX19" s="89">
        <f t="shared" ca="1" si="25"/>
        <v>0</v>
      </c>
    </row>
    <row r="20" spans="1:76">
      <c r="A20" s="90" t="str">
        <f t="shared" si="2"/>
        <v/>
      </c>
      <c r="B20" s="89">
        <v>3</v>
      </c>
      <c r="C20" s="89">
        <v>-1</v>
      </c>
      <c r="D20" s="89">
        <v>1</v>
      </c>
      <c r="E20" s="89">
        <v>-2</v>
      </c>
      <c r="F20" s="89" t="s">
        <v>202</v>
      </c>
      <c r="G20" s="89">
        <v>2</v>
      </c>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BA20" s="91">
        <f t="shared" ca="1" si="3"/>
        <v>95</v>
      </c>
      <c r="BB20" s="88" t="str">
        <f t="shared" ca="1" si="4"/>
        <v>A84:A1200</v>
      </c>
      <c r="BC20" s="89" t="str">
        <f t="shared" ca="1" si="5"/>
        <v>B95</v>
      </c>
      <c r="BD20" s="89">
        <f ca="1">IF(BC20=0,0,RANK(BF20,$BF$11:$BF$70,0)+(COUNTIF($BF20:$BF$70,BF20)-1))</f>
        <v>15</v>
      </c>
      <c r="BE20" s="89" t="str">
        <f t="shared" ca="1" si="6"/>
        <v>100202</v>
      </c>
      <c r="BF20" s="89">
        <f t="shared" ca="1" si="7"/>
        <v>10020210</v>
      </c>
      <c r="BG20" s="89">
        <f t="shared" ca="1" si="8"/>
        <v>10</v>
      </c>
      <c r="BH20" s="89">
        <f t="shared" ca="1" si="9"/>
        <v>2</v>
      </c>
      <c r="BI20" s="89" t="str">
        <f t="shared" ca="1" si="10"/>
        <v>B106</v>
      </c>
      <c r="BJ20" s="89">
        <f t="shared" ca="1" si="11"/>
        <v>4</v>
      </c>
      <c r="BK20" s="89">
        <f t="shared" ca="1" si="12"/>
        <v>10</v>
      </c>
      <c r="BL20" s="89">
        <f t="shared" ca="1" si="13"/>
        <v>20</v>
      </c>
      <c r="BM20" s="89">
        <f t="shared" ca="1" si="14"/>
        <v>12</v>
      </c>
      <c r="BN20" s="89" t="str">
        <f t="shared" ca="1" si="15"/>
        <v>S2!B96:L105</v>
      </c>
      <c r="BO20" s="89" t="str">
        <f t="shared" ca="1" si="16"/>
        <v>e</v>
      </c>
      <c r="BP20" s="89" t="str">
        <f t="shared" ca="1" si="17"/>
        <v>b</v>
      </c>
      <c r="BQ20" s="89" t="str">
        <f t="shared" ca="1" si="18"/>
        <v/>
      </c>
      <c r="BR20" s="87" t="str">
        <f t="shared" ca="1" si="19"/>
        <v/>
      </c>
      <c r="BS20" s="89" t="str">
        <f t="shared" ca="1" si="20"/>
        <v/>
      </c>
      <c r="BT20" s="89" t="str">
        <f t="shared" ca="1" si="21"/>
        <v/>
      </c>
      <c r="BU20" s="89" t="str">
        <f t="shared" ca="1" si="22"/>
        <v/>
      </c>
      <c r="BV20" s="87" t="str">
        <f t="shared" ca="1" si="23"/>
        <v/>
      </c>
      <c r="BW20" s="87" t="str">
        <f t="shared" ca="1" si="24"/>
        <v>10020210</v>
      </c>
      <c r="BX20" s="89">
        <f t="shared" ca="1" si="25"/>
        <v>0</v>
      </c>
    </row>
    <row r="21" spans="1:76">
      <c r="A21" s="90" t="str">
        <f t="shared" si="2"/>
        <v/>
      </c>
      <c r="B21" s="89">
        <v>4</v>
      </c>
      <c r="C21" s="89" t="s">
        <v>202</v>
      </c>
      <c r="D21" s="89">
        <v>2</v>
      </c>
      <c r="E21" s="89">
        <v>-1</v>
      </c>
      <c r="F21" s="89">
        <v>1</v>
      </c>
      <c r="G21" s="89">
        <v>-2</v>
      </c>
      <c r="H21" s="89"/>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P21" s="89"/>
      <c r="BA21" s="91">
        <f t="shared" ca="1" si="3"/>
        <v>107</v>
      </c>
      <c r="BB21" s="88" t="str">
        <f t="shared" ca="1" si="4"/>
        <v>A96:A1200</v>
      </c>
      <c r="BC21" s="89" t="str">
        <f t="shared" ca="1" si="5"/>
        <v>B107</v>
      </c>
      <c r="BD21" s="89">
        <f ca="1">IF(BC21=0,0,RANK(BF21,$BF$11:$BF$70,0)+(COUNTIF($BF21:$BF$70,BF21)-1))</f>
        <v>14</v>
      </c>
      <c r="BE21" s="89" t="str">
        <f t="shared" ca="1" si="6"/>
        <v>110201</v>
      </c>
      <c r="BF21" s="89">
        <f t="shared" ca="1" si="7"/>
        <v>11020128</v>
      </c>
      <c r="BG21" s="89">
        <f t="shared" ca="1" si="8"/>
        <v>11</v>
      </c>
      <c r="BH21" s="89">
        <f t="shared" ca="1" si="9"/>
        <v>1</v>
      </c>
      <c r="BI21" s="89" t="str">
        <f t="shared" ca="1" si="10"/>
        <v>B119</v>
      </c>
      <c r="BJ21" s="89">
        <f t="shared" ca="1" si="11"/>
        <v>10</v>
      </c>
      <c r="BK21" s="89">
        <f t="shared" ca="1" si="12"/>
        <v>28</v>
      </c>
      <c r="BL21" s="89">
        <f t="shared" ca="1" si="13"/>
        <v>55</v>
      </c>
      <c r="BM21" s="89">
        <f t="shared" ca="1" si="14"/>
        <v>30</v>
      </c>
      <c r="BN21" s="89" t="str">
        <f t="shared" ca="1" si="15"/>
        <v>S2!B108:AD118</v>
      </c>
      <c r="BO21" s="89" t="str">
        <f t="shared" ca="1" si="16"/>
        <v>L</v>
      </c>
      <c r="BP21" s="89" t="str">
        <f t="shared" ca="1" si="17"/>
        <v/>
      </c>
      <c r="BQ21" s="89" t="str">
        <f t="shared" ca="1" si="18"/>
        <v/>
      </c>
      <c r="BR21" s="87" t="str">
        <f t="shared" ca="1" si="19"/>
        <v/>
      </c>
      <c r="BS21" s="89" t="str">
        <f t="shared" ca="1" si="20"/>
        <v/>
      </c>
      <c r="BT21" s="89" t="str">
        <f t="shared" ca="1" si="21"/>
        <v/>
      </c>
      <c r="BU21" s="89" t="str">
        <f t="shared" ca="1" si="22"/>
        <v/>
      </c>
      <c r="BV21" s="87" t="str">
        <f t="shared" ca="1" si="23"/>
        <v/>
      </c>
      <c r="BW21" s="87" t="str">
        <f t="shared" ca="1" si="24"/>
        <v>11020128</v>
      </c>
      <c r="BX21" s="89">
        <f t="shared" ca="1" si="25"/>
        <v>0</v>
      </c>
    </row>
    <row r="22" spans="1:76">
      <c r="A22" s="90" t="str">
        <f t="shared" si="2"/>
        <v/>
      </c>
      <c r="B22" s="89">
        <v>5</v>
      </c>
      <c r="C22" s="89">
        <v>2</v>
      </c>
      <c r="D22" s="89">
        <v>-1</v>
      </c>
      <c r="E22" s="89">
        <v>1</v>
      </c>
      <c r="F22" s="89">
        <v>-2</v>
      </c>
      <c r="G22" s="89" t="s">
        <v>202</v>
      </c>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BA22" s="91">
        <f t="shared" ca="1" si="3"/>
        <v>120</v>
      </c>
      <c r="BB22" s="88" t="str">
        <f t="shared" ca="1" si="4"/>
        <v>A108:A1200</v>
      </c>
      <c r="BC22" s="89" t="str">
        <f t="shared" ca="1" si="5"/>
        <v>B120</v>
      </c>
      <c r="BD22" s="89">
        <f ca="1">IF(BC22=0,0,RANK(BF22,$BF$11:$BF$70,0)+(COUNTIF($BF22:$BF$70,BF22)-1))</f>
        <v>13</v>
      </c>
      <c r="BE22" s="89" t="str">
        <f t="shared" ca="1" si="6"/>
        <v>110202</v>
      </c>
      <c r="BF22" s="89">
        <f t="shared" ca="1" si="7"/>
        <v>11020213</v>
      </c>
      <c r="BG22" s="89">
        <f t="shared" ca="1" si="8"/>
        <v>11</v>
      </c>
      <c r="BH22" s="89">
        <f t="shared" ca="1" si="9"/>
        <v>2</v>
      </c>
      <c r="BI22" s="89" t="str">
        <f t="shared" ca="1" si="10"/>
        <v>B132</v>
      </c>
      <c r="BJ22" s="89">
        <f t="shared" ca="1" si="11"/>
        <v>5</v>
      </c>
      <c r="BK22" s="89">
        <f t="shared" ca="1" si="12"/>
        <v>13</v>
      </c>
      <c r="BL22" s="89">
        <f t="shared" ca="1" si="13"/>
        <v>25</v>
      </c>
      <c r="BM22" s="89">
        <f t="shared" ca="1" si="14"/>
        <v>15</v>
      </c>
      <c r="BN22" s="89" t="str">
        <f t="shared" ca="1" si="15"/>
        <v>S2!B121:O131</v>
      </c>
      <c r="BO22" s="89" t="str">
        <f t="shared" ca="1" si="16"/>
        <v>L</v>
      </c>
      <c r="BP22" s="89" t="str">
        <f t="shared" ca="1" si="17"/>
        <v/>
      </c>
      <c r="BQ22" s="89" t="str">
        <f t="shared" ca="1" si="18"/>
        <v/>
      </c>
      <c r="BR22" s="87" t="str">
        <f t="shared" ca="1" si="19"/>
        <v/>
      </c>
      <c r="BS22" s="89" t="str">
        <f t="shared" ca="1" si="20"/>
        <v/>
      </c>
      <c r="BT22" s="89" t="str">
        <f t="shared" ca="1" si="21"/>
        <v/>
      </c>
      <c r="BU22" s="89" t="str">
        <f t="shared" ca="1" si="22"/>
        <v/>
      </c>
      <c r="BV22" s="87" t="str">
        <f t="shared" ca="1" si="23"/>
        <v/>
      </c>
      <c r="BW22" s="87" t="str">
        <f t="shared" ca="1" si="24"/>
        <v>11020213</v>
      </c>
      <c r="BX22" s="89">
        <f t="shared" ca="1" si="25"/>
        <v>0</v>
      </c>
    </row>
    <row r="23" spans="1:76">
      <c r="A23" s="90" t="str">
        <f t="shared" si="2"/>
        <v/>
      </c>
      <c r="B23" s="89" t="s">
        <v>208</v>
      </c>
      <c r="C23" s="89"/>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BA23" s="91">
        <f t="shared" ca="1" si="3"/>
        <v>133</v>
      </c>
      <c r="BB23" s="88" t="str">
        <f t="shared" ca="1" si="4"/>
        <v>A121:A1200</v>
      </c>
      <c r="BC23" s="89" t="str">
        <f t="shared" ca="1" si="5"/>
        <v>B133</v>
      </c>
      <c r="BD23" s="89">
        <f ca="1">IF(BC23=0,0,RANK(BF23,$BF$11:$BF$70,0)+(COUNTIF($BF23:$BF$70,BF23)-1))</f>
        <v>12</v>
      </c>
      <c r="BE23" s="89" t="str">
        <f t="shared" ca="1" si="6"/>
        <v>120201</v>
      </c>
      <c r="BF23" s="89">
        <f t="shared" ca="1" si="7"/>
        <v>12020133</v>
      </c>
      <c r="BG23" s="89">
        <f t="shared" ca="1" si="8"/>
        <v>12</v>
      </c>
      <c r="BH23" s="89">
        <f t="shared" ca="1" si="9"/>
        <v>1</v>
      </c>
      <c r="BI23" s="89" t="str">
        <f t="shared" ca="1" si="10"/>
        <v>B146</v>
      </c>
      <c r="BJ23" s="89">
        <f t="shared" ca="1" si="11"/>
        <v>11</v>
      </c>
      <c r="BK23" s="89">
        <f t="shared" ca="1" si="12"/>
        <v>33</v>
      </c>
      <c r="BL23" s="89">
        <f t="shared" ca="1" si="13"/>
        <v>66</v>
      </c>
      <c r="BM23" s="89">
        <f t="shared" ca="1" si="14"/>
        <v>35</v>
      </c>
      <c r="BN23" s="89" t="str">
        <f t="shared" ca="1" si="15"/>
        <v>S2!B134:AI145</v>
      </c>
      <c r="BO23" s="89" t="str">
        <f t="shared" ca="1" si="16"/>
        <v>c</v>
      </c>
      <c r="BP23" s="89" t="str">
        <f t="shared" ca="1" si="17"/>
        <v/>
      </c>
      <c r="BQ23" s="89" t="str">
        <f t="shared" ca="1" si="18"/>
        <v/>
      </c>
      <c r="BR23" s="87" t="str">
        <f t="shared" ca="1" si="19"/>
        <v/>
      </c>
      <c r="BS23" s="89" t="str">
        <f t="shared" ca="1" si="20"/>
        <v/>
      </c>
      <c r="BT23" s="89" t="str">
        <f t="shared" ca="1" si="21"/>
        <v/>
      </c>
      <c r="BU23" s="89" t="str">
        <f t="shared" ca="1" si="22"/>
        <v/>
      </c>
      <c r="BV23" s="87" t="str">
        <f t="shared" ca="1" si="23"/>
        <v>c</v>
      </c>
      <c r="BW23" s="87" t="str">
        <f t="shared" ca="1" si="24"/>
        <v>12020133</v>
      </c>
      <c r="BX23" s="89" t="str">
        <f t="shared" ca="1" si="25"/>
        <v>33</v>
      </c>
    </row>
    <row r="24" spans="1:76">
      <c r="A24" s="90">
        <f t="shared" si="2"/>
        <v>24</v>
      </c>
      <c r="B24" s="89" t="s">
        <v>209</v>
      </c>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BA24" s="91">
        <f t="shared" ca="1" si="3"/>
        <v>147</v>
      </c>
      <c r="BB24" s="88" t="str">
        <f t="shared" ca="1" si="4"/>
        <v>A134:A1200</v>
      </c>
      <c r="BC24" s="89" t="str">
        <f t="shared" ca="1" si="5"/>
        <v>B147</v>
      </c>
      <c r="BD24" s="89">
        <f ca="1">IF(BC24=0,0,RANK(BF24,$BF$11:$BF$70,0)+(COUNTIF($BF24:$BF$70,BF24)-1))</f>
        <v>11</v>
      </c>
      <c r="BE24" s="89" t="str">
        <f t="shared" ca="1" si="6"/>
        <v>120202</v>
      </c>
      <c r="BF24" s="89">
        <f t="shared" ca="1" si="7"/>
        <v>12020215</v>
      </c>
      <c r="BG24" s="89">
        <f t="shared" ca="1" si="8"/>
        <v>12</v>
      </c>
      <c r="BH24" s="89">
        <f t="shared" ca="1" si="9"/>
        <v>2</v>
      </c>
      <c r="BI24" s="89" t="str">
        <f t="shared" ca="1" si="10"/>
        <v>B160</v>
      </c>
      <c r="BJ24" s="89">
        <f t="shared" ca="1" si="11"/>
        <v>5</v>
      </c>
      <c r="BK24" s="89">
        <f t="shared" ca="1" si="12"/>
        <v>15</v>
      </c>
      <c r="BL24" s="89">
        <f t="shared" ca="1" si="13"/>
        <v>30</v>
      </c>
      <c r="BM24" s="89">
        <f t="shared" ca="1" si="14"/>
        <v>17</v>
      </c>
      <c r="BN24" s="89" t="str">
        <f t="shared" ca="1" si="15"/>
        <v>S2!B148:Q159</v>
      </c>
      <c r="BO24" s="89" t="str">
        <f t="shared" ca="1" si="16"/>
        <v>c</v>
      </c>
      <c r="BP24" s="89" t="str">
        <f t="shared" ca="1" si="17"/>
        <v/>
      </c>
      <c r="BQ24" s="89" t="str">
        <f t="shared" ca="1" si="18"/>
        <v/>
      </c>
      <c r="BR24" s="87" t="str">
        <f t="shared" ca="1" si="19"/>
        <v/>
      </c>
      <c r="BS24" s="89" t="str">
        <f t="shared" ca="1" si="20"/>
        <v/>
      </c>
      <c r="BT24" s="89" t="str">
        <f t="shared" ca="1" si="21"/>
        <v/>
      </c>
      <c r="BU24" s="89" t="str">
        <f t="shared" ca="1" si="22"/>
        <v/>
      </c>
      <c r="BV24" s="87" t="str">
        <f t="shared" ca="1" si="23"/>
        <v>c</v>
      </c>
      <c r="BW24" s="87" t="str">
        <f t="shared" ca="1" si="24"/>
        <v>12020215</v>
      </c>
      <c r="BX24" s="89" t="str">
        <f t="shared" ca="1" si="25"/>
        <v>33</v>
      </c>
    </row>
    <row r="25" spans="1:76">
      <c r="A25" s="90" t="str">
        <f t="shared" si="2"/>
        <v/>
      </c>
      <c r="B25" s="89">
        <v>1</v>
      </c>
      <c r="C25" s="89" t="s">
        <v>210</v>
      </c>
      <c r="D25" s="89">
        <v>-1</v>
      </c>
      <c r="E25" s="89">
        <v>-2</v>
      </c>
      <c r="F25" s="89" t="s">
        <v>210</v>
      </c>
      <c r="G25" s="89">
        <v>-1</v>
      </c>
      <c r="H25" s="89" t="s">
        <v>210</v>
      </c>
      <c r="I25" s="89">
        <v>1</v>
      </c>
      <c r="J25" s="89" t="s">
        <v>210</v>
      </c>
      <c r="K25" s="89">
        <v>2</v>
      </c>
      <c r="L25" s="89" t="s">
        <v>210</v>
      </c>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BA25" s="91">
        <f t="shared" ca="1" si="3"/>
        <v>161</v>
      </c>
      <c r="BB25" s="88" t="str">
        <f t="shared" ca="1" si="4"/>
        <v>A148:A1200</v>
      </c>
      <c r="BC25" s="89" t="str">
        <f t="shared" ca="1" si="5"/>
        <v>B161</v>
      </c>
      <c r="BD25" s="89">
        <f ca="1">IF(BC25=0,0,RANK(BF25,$BF$11:$BF$70,0)+(COUNTIF($BF25:$BF$70,BF25)-1))</f>
        <v>7</v>
      </c>
      <c r="BE25" s="89" t="str">
        <f t="shared" ca="1" si="6"/>
        <v>140202</v>
      </c>
      <c r="BF25" s="89">
        <f t="shared" ca="1" si="7"/>
        <v>14020221</v>
      </c>
      <c r="BG25" s="89">
        <f t="shared" ca="1" si="8"/>
        <v>14</v>
      </c>
      <c r="BH25" s="89">
        <f t="shared" ca="1" si="9"/>
        <v>2</v>
      </c>
      <c r="BI25" s="89" t="str">
        <f t="shared" ca="1" si="10"/>
        <v>B176</v>
      </c>
      <c r="BJ25" s="89">
        <f t="shared" ca="1" si="11"/>
        <v>6</v>
      </c>
      <c r="BK25" s="89">
        <f t="shared" ca="1" si="12"/>
        <v>21</v>
      </c>
      <c r="BL25" s="89">
        <f t="shared" ca="1" si="13"/>
        <v>42</v>
      </c>
      <c r="BM25" s="89">
        <f t="shared" ca="1" si="14"/>
        <v>23</v>
      </c>
      <c r="BN25" s="89" t="str">
        <f t="shared" ca="1" si="15"/>
        <v>S2!B162:W175</v>
      </c>
      <c r="BO25" s="89" t="str">
        <f t="shared" ca="1" si="16"/>
        <v>c</v>
      </c>
      <c r="BP25" s="89" t="str">
        <f t="shared" ca="1" si="17"/>
        <v/>
      </c>
      <c r="BQ25" s="89" t="str">
        <f t="shared" ca="1" si="18"/>
        <v/>
      </c>
      <c r="BR25" s="87" t="str">
        <f t="shared" ca="1" si="19"/>
        <v/>
      </c>
      <c r="BS25" s="89" t="str">
        <f t="shared" ca="1" si="20"/>
        <v/>
      </c>
      <c r="BT25" s="89" t="str">
        <f t="shared" ca="1" si="21"/>
        <v/>
      </c>
      <c r="BU25" s="89" t="str">
        <f t="shared" ca="1" si="22"/>
        <v/>
      </c>
      <c r="BV25" s="87" t="str">
        <f t="shared" ca="1" si="23"/>
        <v>c</v>
      </c>
      <c r="BW25" s="87" t="str">
        <f t="shared" ca="1" si="24"/>
        <v>14020221</v>
      </c>
      <c r="BX25" s="89" t="str">
        <f t="shared" ca="1" si="25"/>
        <v>33</v>
      </c>
    </row>
    <row r="26" spans="1:76">
      <c r="A26" s="90" t="str">
        <f t="shared" si="2"/>
        <v/>
      </c>
      <c r="B26" s="89">
        <v>2</v>
      </c>
      <c r="C26" s="89">
        <v>2</v>
      </c>
      <c r="D26" s="89" t="s">
        <v>210</v>
      </c>
      <c r="E26" s="89" t="s">
        <v>210</v>
      </c>
      <c r="F26" s="89">
        <v>1</v>
      </c>
      <c r="G26" s="89">
        <v>2</v>
      </c>
      <c r="H26" s="89" t="s">
        <v>210</v>
      </c>
      <c r="I26" s="89" t="s">
        <v>210</v>
      </c>
      <c r="J26" s="89">
        <v>-1</v>
      </c>
      <c r="K26" s="89">
        <v>-2</v>
      </c>
      <c r="L26" s="89" t="s">
        <v>210</v>
      </c>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BA26" s="91">
        <f t="shared" ca="1" si="3"/>
        <v>177</v>
      </c>
      <c r="BB26" s="88" t="str">
        <f t="shared" ca="1" si="4"/>
        <v>A162:A1200</v>
      </c>
      <c r="BC26" s="89" t="str">
        <f t="shared" ca="1" si="5"/>
        <v>B177</v>
      </c>
      <c r="BD26" s="89">
        <f ca="1">IF(BC26=0,0,RANK(BF26,$BF$11:$BF$70,0)+(COUNTIF($BF26:$BF$70,BF26)-1))</f>
        <v>6</v>
      </c>
      <c r="BE26" s="89" t="str">
        <f t="shared" ca="1" si="6"/>
        <v>140202</v>
      </c>
      <c r="BF26" s="89">
        <f t="shared" ca="1" si="7"/>
        <v>14020225</v>
      </c>
      <c r="BG26" s="89">
        <f t="shared" ca="1" si="8"/>
        <v>14</v>
      </c>
      <c r="BH26" s="89">
        <f t="shared" ca="1" si="9"/>
        <v>2</v>
      </c>
      <c r="BI26" s="89" t="str">
        <f t="shared" ca="1" si="10"/>
        <v>B192</v>
      </c>
      <c r="BJ26" s="89">
        <f t="shared" ca="1" si="11"/>
        <v>7</v>
      </c>
      <c r="BK26" s="89">
        <f t="shared" ca="1" si="12"/>
        <v>25</v>
      </c>
      <c r="BL26" s="89">
        <f t="shared" ca="1" si="13"/>
        <v>49</v>
      </c>
      <c r="BM26" s="89">
        <f t="shared" ca="1" si="14"/>
        <v>27</v>
      </c>
      <c r="BN26" s="89" t="str">
        <f t="shared" ca="1" si="15"/>
        <v>S2!B178:AA191</v>
      </c>
      <c r="BO26" s="89" t="str">
        <f t="shared" ca="1" si="16"/>
        <v>c</v>
      </c>
      <c r="BP26" s="89" t="str">
        <f t="shared" ca="1" si="17"/>
        <v/>
      </c>
      <c r="BQ26" s="89" t="str">
        <f t="shared" ca="1" si="18"/>
        <v/>
      </c>
      <c r="BR26" s="87" t="str">
        <f t="shared" ca="1" si="19"/>
        <v>x</v>
      </c>
      <c r="BS26" s="89" t="str">
        <f t="shared" ca="1" si="20"/>
        <v/>
      </c>
      <c r="BT26" s="89" t="str">
        <f t="shared" ca="1" si="21"/>
        <v/>
      </c>
      <c r="BU26" s="89" t="str">
        <f t="shared" ca="1" si="22"/>
        <v/>
      </c>
      <c r="BV26" s="87" t="str">
        <f t="shared" ca="1" si="23"/>
        <v>c</v>
      </c>
      <c r="BW26" s="87" t="str">
        <f t="shared" ca="1" si="24"/>
        <v>14020225</v>
      </c>
      <c r="BX26" s="89" t="str">
        <f t="shared" ca="1" si="25"/>
        <v>13</v>
      </c>
    </row>
    <row r="27" spans="1:76">
      <c r="A27" s="90" t="str">
        <f t="shared" si="2"/>
        <v/>
      </c>
      <c r="B27" s="89">
        <v>3</v>
      </c>
      <c r="C27" s="89" t="s">
        <v>210</v>
      </c>
      <c r="D27" s="89">
        <v>1</v>
      </c>
      <c r="E27" s="89">
        <v>-1</v>
      </c>
      <c r="F27" s="89" t="s">
        <v>210</v>
      </c>
      <c r="G27" s="89">
        <v>-2</v>
      </c>
      <c r="H27" s="89" t="s">
        <v>210</v>
      </c>
      <c r="I27" s="89">
        <v>2</v>
      </c>
      <c r="J27" s="89" t="s">
        <v>210</v>
      </c>
      <c r="K27" s="89">
        <v>1</v>
      </c>
      <c r="L27" s="89" t="s">
        <v>210</v>
      </c>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BA27" s="91">
        <f t="shared" ca="1" si="3"/>
        <v>193</v>
      </c>
      <c r="BB27" s="88" t="str">
        <f t="shared" ca="1" si="4"/>
        <v>A178:A1200</v>
      </c>
      <c r="BC27" s="89" t="str">
        <f t="shared" ca="1" si="5"/>
        <v>B193</v>
      </c>
      <c r="BD27" s="89">
        <f ca="1">IF(BC27=0,0,RANK(BF27,$BF$11:$BF$70,0)+(COUNTIF($BF27:$BF$70,BF27)-1))</f>
        <v>3</v>
      </c>
      <c r="BE27" s="89" t="str">
        <f t="shared" ca="1" si="6"/>
        <v>160202</v>
      </c>
      <c r="BF27" s="89">
        <f t="shared" ca="1" si="7"/>
        <v>16020228</v>
      </c>
      <c r="BG27" s="89">
        <f t="shared" ca="1" si="8"/>
        <v>16</v>
      </c>
      <c r="BH27" s="89">
        <f t="shared" ca="1" si="9"/>
        <v>2</v>
      </c>
      <c r="BI27" s="89" t="str">
        <f t="shared" ca="1" si="10"/>
        <v>B210</v>
      </c>
      <c r="BJ27" s="89">
        <f t="shared" ca="1" si="11"/>
        <v>7</v>
      </c>
      <c r="BK27" s="89">
        <f t="shared" ca="1" si="12"/>
        <v>28</v>
      </c>
      <c r="BL27" s="89">
        <f t="shared" ca="1" si="13"/>
        <v>56</v>
      </c>
      <c r="BM27" s="89">
        <f t="shared" ca="1" si="14"/>
        <v>30</v>
      </c>
      <c r="BN27" s="89" t="str">
        <f t="shared" ca="1" si="15"/>
        <v>S2!B194:AD209</v>
      </c>
      <c r="BO27" s="89" t="str">
        <f t="shared" ca="1" si="16"/>
        <v>c</v>
      </c>
      <c r="BP27" s="89" t="str">
        <f t="shared" ca="1" si="17"/>
        <v/>
      </c>
      <c r="BQ27" s="89" t="str">
        <f t="shared" ca="1" si="18"/>
        <v/>
      </c>
      <c r="BR27" s="87" t="str">
        <f t="shared" ca="1" si="19"/>
        <v/>
      </c>
      <c r="BS27" s="89" t="str">
        <f t="shared" ca="1" si="20"/>
        <v/>
      </c>
      <c r="BT27" s="89" t="str">
        <f t="shared" ca="1" si="21"/>
        <v/>
      </c>
      <c r="BU27" s="89" t="str">
        <f t="shared" ca="1" si="22"/>
        <v/>
      </c>
      <c r="BV27" s="87" t="str">
        <f t="shared" ca="1" si="23"/>
        <v>c</v>
      </c>
      <c r="BW27" s="87" t="str">
        <f t="shared" ca="1" si="24"/>
        <v>16020228</v>
      </c>
      <c r="BX27" s="89" t="str">
        <f t="shared" ca="1" si="25"/>
        <v>44</v>
      </c>
    </row>
    <row r="28" spans="1:76">
      <c r="A28" s="90" t="str">
        <f t="shared" si="2"/>
        <v/>
      </c>
      <c r="B28" s="89">
        <v>4</v>
      </c>
      <c r="C28" s="89">
        <v>-1</v>
      </c>
      <c r="D28" s="89" t="s">
        <v>210</v>
      </c>
      <c r="E28" s="89">
        <v>2</v>
      </c>
      <c r="F28" s="89" t="s">
        <v>210</v>
      </c>
      <c r="G28" s="89" t="s">
        <v>210</v>
      </c>
      <c r="H28" s="89">
        <v>-2</v>
      </c>
      <c r="I28" s="89" t="s">
        <v>210</v>
      </c>
      <c r="J28" s="89">
        <v>1</v>
      </c>
      <c r="K28" s="89">
        <v>-1</v>
      </c>
      <c r="L28" s="89" t="s">
        <v>210</v>
      </c>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BA28" s="91">
        <f t="shared" ca="1" si="3"/>
        <v>211</v>
      </c>
      <c r="BB28" s="88" t="str">
        <f t="shared" ca="1" si="4"/>
        <v>A194:A1200</v>
      </c>
      <c r="BC28" s="89" t="str">
        <f t="shared" ca="1" si="5"/>
        <v>B211</v>
      </c>
      <c r="BD28" s="89">
        <f ca="1">IF(BC28=0,0,RANK(BF28,$BF$11:$BF$70,0)+(COUNTIF($BF28:$BF$70,BF28)-1))</f>
        <v>1</v>
      </c>
      <c r="BE28" s="89" t="str">
        <f t="shared" ca="1" si="6"/>
        <v>180203</v>
      </c>
      <c r="BF28" s="89">
        <f t="shared" ca="1" si="7"/>
        <v>18020323</v>
      </c>
      <c r="BG28" s="89">
        <f t="shared" ca="1" si="8"/>
        <v>18</v>
      </c>
      <c r="BH28" s="89">
        <f t="shared" ca="1" si="9"/>
        <v>3</v>
      </c>
      <c r="BI28" s="89" t="str">
        <f t="shared" ca="1" si="10"/>
        <v>B230</v>
      </c>
      <c r="BJ28" s="89">
        <f t="shared" ca="1" si="11"/>
        <v>5</v>
      </c>
      <c r="BK28" s="89">
        <f t="shared" ca="1" si="12"/>
        <v>23</v>
      </c>
      <c r="BL28" s="89">
        <f t="shared" ca="1" si="13"/>
        <v>45</v>
      </c>
      <c r="BM28" s="89">
        <f t="shared" ca="1" si="14"/>
        <v>25</v>
      </c>
      <c r="BN28" s="89" t="str">
        <f t="shared" ca="1" si="15"/>
        <v>S2!B212:Y229</v>
      </c>
      <c r="BO28" s="89" t="str">
        <f t="shared" ca="1" si="16"/>
        <v>c</v>
      </c>
      <c r="BP28" s="89" t="str">
        <f t="shared" ca="1" si="17"/>
        <v/>
      </c>
      <c r="BQ28" s="89" t="str">
        <f t="shared" ca="1" si="18"/>
        <v/>
      </c>
      <c r="BR28" s="87" t="str">
        <f t="shared" ca="1" si="19"/>
        <v/>
      </c>
      <c r="BS28" s="89" t="str">
        <f t="shared" ca="1" si="20"/>
        <v/>
      </c>
      <c r="BT28" s="89" t="str">
        <f t="shared" ca="1" si="21"/>
        <v/>
      </c>
      <c r="BU28" s="89" t="str">
        <f t="shared" ca="1" si="22"/>
        <v/>
      </c>
      <c r="BV28" s="87" t="str">
        <f t="shared" ca="1" si="23"/>
        <v>c</v>
      </c>
      <c r="BW28" s="87" t="str">
        <f t="shared" ca="1" si="24"/>
        <v>18020323</v>
      </c>
      <c r="BX28" s="89" t="str">
        <f t="shared" ca="1" si="25"/>
        <v>34</v>
      </c>
    </row>
    <row r="29" spans="1:76">
      <c r="A29" s="90" t="str">
        <f t="shared" si="2"/>
        <v/>
      </c>
      <c r="B29" s="89">
        <v>5</v>
      </c>
      <c r="C29" s="89">
        <v>-2</v>
      </c>
      <c r="D29" s="89" t="s">
        <v>210</v>
      </c>
      <c r="E29" s="89">
        <v>1</v>
      </c>
      <c r="F29" s="89" t="s">
        <v>210</v>
      </c>
      <c r="G29" s="89" t="s">
        <v>210</v>
      </c>
      <c r="H29" s="89">
        <v>2</v>
      </c>
      <c r="I29" s="89">
        <v>-1</v>
      </c>
      <c r="J29" s="89" t="s">
        <v>210</v>
      </c>
      <c r="K29" s="89" t="s">
        <v>210</v>
      </c>
      <c r="L29" s="89">
        <v>-2</v>
      </c>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BA29" s="91">
        <f t="shared" ca="1" si="3"/>
        <v>231</v>
      </c>
      <c r="BB29" s="88" t="str">
        <f t="shared" ca="1" si="4"/>
        <v>A212:A1200</v>
      </c>
      <c r="BC29" s="89" t="str">
        <f t="shared" ca="1" si="5"/>
        <v>B231</v>
      </c>
      <c r="BD29" s="89">
        <f ca="1">IF(BC29=0,0,RANK(BF29,$BF$11:$BF$70,0)+(COUNTIF($BF29:$BF$70,BF29)-1))</f>
        <v>4</v>
      </c>
      <c r="BE29" s="89" t="str">
        <f t="shared" ca="1" si="6"/>
        <v>150203</v>
      </c>
      <c r="BF29" s="89">
        <f t="shared" ca="1" si="7"/>
        <v>15020315</v>
      </c>
      <c r="BG29" s="89">
        <f t="shared" ca="1" si="8"/>
        <v>15</v>
      </c>
      <c r="BH29" s="89">
        <f t="shared" ca="1" si="9"/>
        <v>3</v>
      </c>
      <c r="BI29" s="89" t="str">
        <f t="shared" ca="1" si="10"/>
        <v>B247</v>
      </c>
      <c r="BJ29" s="89">
        <f t="shared" ca="1" si="11"/>
        <v>4</v>
      </c>
      <c r="BK29" s="89">
        <f t="shared" ca="1" si="12"/>
        <v>15</v>
      </c>
      <c r="BL29" s="89">
        <f t="shared" ca="1" si="13"/>
        <v>30</v>
      </c>
      <c r="BM29" s="89">
        <f t="shared" ca="1" si="14"/>
        <v>17</v>
      </c>
      <c r="BN29" s="89" t="str">
        <f t="shared" ca="1" si="15"/>
        <v>S2!B232:Q246</v>
      </c>
      <c r="BO29" s="89" t="str">
        <f t="shared" ca="1" si="16"/>
        <v>c</v>
      </c>
      <c r="BP29" s="89" t="str">
        <f t="shared" ca="1" si="17"/>
        <v/>
      </c>
      <c r="BQ29" s="89" t="str">
        <f t="shared" ca="1" si="18"/>
        <v/>
      </c>
      <c r="BR29" s="87" t="str">
        <f t="shared" ca="1" si="19"/>
        <v/>
      </c>
      <c r="BS29" s="89" t="str">
        <f t="shared" ca="1" si="20"/>
        <v/>
      </c>
      <c r="BT29" s="89" t="str">
        <f t="shared" ca="1" si="21"/>
        <v/>
      </c>
      <c r="BU29" s="89" t="str">
        <f t="shared" ca="1" si="22"/>
        <v/>
      </c>
      <c r="BV29" s="87" t="str">
        <f t="shared" ca="1" si="23"/>
        <v>c</v>
      </c>
      <c r="BW29" s="87" t="str">
        <f t="shared" ca="1" si="24"/>
        <v>15020315</v>
      </c>
      <c r="BX29" s="89" t="str">
        <f t="shared" ca="1" si="25"/>
        <v>33</v>
      </c>
    </row>
    <row r="30" spans="1:76">
      <c r="A30" s="90" t="str">
        <f t="shared" si="2"/>
        <v/>
      </c>
      <c r="B30" s="89">
        <v>6</v>
      </c>
      <c r="C30" s="89">
        <v>1</v>
      </c>
      <c r="D30" s="89" t="s">
        <v>210</v>
      </c>
      <c r="E30" s="89" t="s">
        <v>210</v>
      </c>
      <c r="F30" s="89">
        <v>-1</v>
      </c>
      <c r="G30" s="89">
        <v>1</v>
      </c>
      <c r="H30" s="89" t="s">
        <v>210</v>
      </c>
      <c r="I30" s="89">
        <v>-2</v>
      </c>
      <c r="J30" s="89" t="s">
        <v>210</v>
      </c>
      <c r="K30" s="89" t="s">
        <v>210</v>
      </c>
      <c r="L30" s="89">
        <v>2</v>
      </c>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BA30" s="91">
        <f t="shared" ca="1" si="3"/>
        <v>248</v>
      </c>
      <c r="BB30" s="88" t="str">
        <f t="shared" ca="1" si="4"/>
        <v>A232:A1200</v>
      </c>
      <c r="BC30" s="89" t="str">
        <f t="shared" ca="1" si="5"/>
        <v>B248</v>
      </c>
      <c r="BD30" s="89">
        <f ca="1">IF(BC30=0,0,RANK(BF30,$BF$11:$BF$70,0)+(COUNTIF($BF30:$BF$70,BF30)-1))</f>
        <v>10</v>
      </c>
      <c r="BE30" s="89" t="str">
        <f t="shared" ca="1" si="6"/>
        <v>130202</v>
      </c>
      <c r="BF30" s="89">
        <f t="shared" ca="1" si="7"/>
        <v>13020218</v>
      </c>
      <c r="BG30" s="89">
        <f t="shared" ca="1" si="8"/>
        <v>13</v>
      </c>
      <c r="BH30" s="89">
        <f t="shared" ca="1" si="9"/>
        <v>2</v>
      </c>
      <c r="BI30" s="89" t="str">
        <f t="shared" ca="1" si="10"/>
        <v>B262</v>
      </c>
      <c r="BJ30" s="89">
        <f t="shared" ca="1" si="11"/>
        <v>6</v>
      </c>
      <c r="BK30" s="89">
        <f t="shared" ca="1" si="12"/>
        <v>18</v>
      </c>
      <c r="BL30" s="89">
        <f t="shared" ca="1" si="13"/>
        <v>36</v>
      </c>
      <c r="BM30" s="89">
        <f t="shared" ca="1" si="14"/>
        <v>20</v>
      </c>
      <c r="BN30" s="89" t="str">
        <f t="shared" ca="1" si="15"/>
        <v>S2!B249:T261</v>
      </c>
      <c r="BO30" s="89" t="str">
        <f t="shared" ca="1" si="16"/>
        <v>c</v>
      </c>
      <c r="BP30" s="89" t="str">
        <f t="shared" ca="1" si="17"/>
        <v/>
      </c>
      <c r="BQ30" s="89" t="str">
        <f t="shared" ca="1" si="18"/>
        <v/>
      </c>
      <c r="BR30" s="87" t="str">
        <f t="shared" ca="1" si="19"/>
        <v/>
      </c>
      <c r="BS30" s="89" t="str">
        <f t="shared" ca="1" si="20"/>
        <v/>
      </c>
      <c r="BT30" s="89" t="str">
        <f t="shared" ca="1" si="21"/>
        <v/>
      </c>
      <c r="BU30" s="89" t="str">
        <f t="shared" ca="1" si="22"/>
        <v/>
      </c>
      <c r="BV30" s="87" t="str">
        <f t="shared" ca="1" si="23"/>
        <v>c</v>
      </c>
      <c r="BW30" s="87" t="str">
        <f t="shared" ca="1" si="24"/>
        <v>13020218</v>
      </c>
      <c r="BX30" s="89" t="str">
        <f t="shared" ca="1" si="25"/>
        <v>34</v>
      </c>
    </row>
    <row r="31" spans="1:76">
      <c r="A31" s="90" t="str">
        <f t="shared" si="2"/>
        <v/>
      </c>
      <c r="B31" s="89" t="s">
        <v>211</v>
      </c>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BA31" s="91">
        <f t="shared" ca="1" si="3"/>
        <v>263</v>
      </c>
      <c r="BB31" s="88" t="str">
        <f t="shared" ca="1" si="4"/>
        <v>A249:A1200</v>
      </c>
      <c r="BC31" s="89" t="str">
        <f t="shared" ca="1" si="5"/>
        <v>B263</v>
      </c>
      <c r="BD31" s="89">
        <f ca="1">IF(BC31=0,0,RANK(BF31,$BF$11:$BF$70,0)+(COUNTIF($BF31:$BF$70,BF31)-1))</f>
        <v>9</v>
      </c>
      <c r="BE31" s="89" t="str">
        <f t="shared" ca="1" si="6"/>
        <v>130202</v>
      </c>
      <c r="BF31" s="89">
        <f t="shared" ca="1" si="7"/>
        <v>13020220</v>
      </c>
      <c r="BG31" s="89">
        <f t="shared" ca="1" si="8"/>
        <v>13</v>
      </c>
      <c r="BH31" s="89">
        <f t="shared" ca="1" si="9"/>
        <v>2</v>
      </c>
      <c r="BI31" s="89" t="str">
        <f t="shared" ca="1" si="10"/>
        <v>B277</v>
      </c>
      <c r="BJ31" s="89">
        <f t="shared" ca="1" si="11"/>
        <v>6</v>
      </c>
      <c r="BK31" s="89">
        <f t="shared" ca="1" si="12"/>
        <v>20</v>
      </c>
      <c r="BL31" s="89">
        <f t="shared" ca="1" si="13"/>
        <v>39</v>
      </c>
      <c r="BM31" s="89">
        <f t="shared" ca="1" si="14"/>
        <v>22</v>
      </c>
      <c r="BN31" s="89" t="str">
        <f t="shared" ca="1" si="15"/>
        <v>S2!B264:V276</v>
      </c>
      <c r="BO31" s="89" t="str">
        <f t="shared" ca="1" si="16"/>
        <v>c</v>
      </c>
      <c r="BP31" s="89" t="str">
        <f t="shared" ca="1" si="17"/>
        <v/>
      </c>
      <c r="BQ31" s="89" t="str">
        <f t="shared" ca="1" si="18"/>
        <v/>
      </c>
      <c r="BR31" s="87" t="str">
        <f t="shared" ca="1" si="19"/>
        <v/>
      </c>
      <c r="BS31" s="89" t="str">
        <f t="shared" ca="1" si="20"/>
        <v>a</v>
      </c>
      <c r="BT31" s="89" t="str">
        <f t="shared" ca="1" si="21"/>
        <v/>
      </c>
      <c r="BU31" s="89" t="str">
        <f t="shared" ca="1" si="22"/>
        <v/>
      </c>
      <c r="BV31" s="87" t="str">
        <f t="shared" ca="1" si="23"/>
        <v>c</v>
      </c>
      <c r="BW31" s="87" t="str">
        <f t="shared" ca="1" si="24"/>
        <v>13020220</v>
      </c>
      <c r="BX31" s="89" t="str">
        <f t="shared" ca="1" si="25"/>
        <v>34</v>
      </c>
    </row>
    <row r="32" spans="1:76">
      <c r="A32" s="90">
        <f t="shared" si="2"/>
        <v>32</v>
      </c>
      <c r="B32" s="89" t="s">
        <v>212</v>
      </c>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BA32" s="91">
        <f t="shared" ca="1" si="3"/>
        <v>278</v>
      </c>
      <c r="BB32" s="88" t="str">
        <f t="shared" ca="1" si="4"/>
        <v>A264:A1200</v>
      </c>
      <c r="BC32" s="89" t="str">
        <f t="shared" ca="1" si="5"/>
        <v>B278</v>
      </c>
      <c r="BD32" s="89">
        <f ca="1">IF(BC32=0,0,RANK(BF32,$BF$11:$BF$70,0)+(COUNTIF($BF32:$BF$70,BF32)-1))</f>
        <v>2</v>
      </c>
      <c r="BE32" s="89" t="str">
        <f t="shared" ca="1" si="6"/>
        <v>170203</v>
      </c>
      <c r="BF32" s="89">
        <f t="shared" ca="1" si="7"/>
        <v>17020320</v>
      </c>
      <c r="BG32" s="89">
        <f t="shared" ca="1" si="8"/>
        <v>17</v>
      </c>
      <c r="BH32" s="89">
        <f t="shared" ca="1" si="9"/>
        <v>3</v>
      </c>
      <c r="BI32" s="89" t="str">
        <f t="shared" ca="1" si="10"/>
        <v>B296</v>
      </c>
      <c r="BJ32" s="89">
        <f t="shared" ca="1" si="11"/>
        <v>5</v>
      </c>
      <c r="BK32" s="89">
        <f t="shared" ca="1" si="12"/>
        <v>20</v>
      </c>
      <c r="BL32" s="89">
        <f t="shared" ca="1" si="13"/>
        <v>40</v>
      </c>
      <c r="BM32" s="89">
        <f t="shared" ca="1" si="14"/>
        <v>22</v>
      </c>
      <c r="BN32" s="89" t="str">
        <f t="shared" ca="1" si="15"/>
        <v>S2!B279:V295</v>
      </c>
      <c r="BO32" s="89" t="str">
        <f t="shared" ca="1" si="16"/>
        <v>c</v>
      </c>
      <c r="BP32" s="89" t="str">
        <f t="shared" ca="1" si="17"/>
        <v/>
      </c>
      <c r="BQ32" s="89" t="str">
        <f t="shared" ca="1" si="18"/>
        <v/>
      </c>
      <c r="BR32" s="87" t="str">
        <f t="shared" ca="1" si="19"/>
        <v/>
      </c>
      <c r="BS32" s="89" t="str">
        <f t="shared" ca="1" si="20"/>
        <v/>
      </c>
      <c r="BT32" s="89" t="str">
        <f t="shared" ca="1" si="21"/>
        <v/>
      </c>
      <c r="BU32" s="89" t="str">
        <f t="shared" ca="1" si="22"/>
        <v/>
      </c>
      <c r="BV32" s="87" t="str">
        <f t="shared" ca="1" si="23"/>
        <v>c</v>
      </c>
      <c r="BW32" s="87" t="str">
        <f t="shared" ca="1" si="24"/>
        <v>17020320</v>
      </c>
      <c r="BX32" s="89" t="str">
        <f t="shared" ca="1" si="25"/>
        <v>44</v>
      </c>
    </row>
    <row r="33" spans="1:76">
      <c r="A33" s="90" t="str">
        <f t="shared" si="2"/>
        <v/>
      </c>
      <c r="B33" s="89">
        <v>1</v>
      </c>
      <c r="C33" s="89" t="s">
        <v>210</v>
      </c>
      <c r="D33" s="89">
        <v>-1</v>
      </c>
      <c r="E33" s="89">
        <v>1</v>
      </c>
      <c r="F33" s="89" t="s">
        <v>210</v>
      </c>
      <c r="G33" s="89">
        <v>2</v>
      </c>
      <c r="H33" s="89" t="s">
        <v>210</v>
      </c>
      <c r="I33" s="89" t="s">
        <v>210</v>
      </c>
      <c r="J33" s="89">
        <v>-1</v>
      </c>
      <c r="K33" s="89">
        <v>2</v>
      </c>
      <c r="L33" s="89" t="s">
        <v>210</v>
      </c>
      <c r="M33" s="89" t="s">
        <v>202</v>
      </c>
      <c r="N33" s="89" t="s">
        <v>210</v>
      </c>
      <c r="O33" s="89">
        <v>-2</v>
      </c>
      <c r="P33" s="89" t="s">
        <v>210</v>
      </c>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BA33" s="91">
        <f t="shared" ca="1" si="3"/>
        <v>297</v>
      </c>
      <c r="BB33" s="88" t="str">
        <f t="shared" ca="1" si="4"/>
        <v>A279:A1200</v>
      </c>
      <c r="BC33" s="89" t="str">
        <f t="shared" ca="1" si="5"/>
        <v>B297</v>
      </c>
      <c r="BD33" s="89">
        <f ca="1">IF(BC33=0,0,RANK(BF33,$BF$11:$BF$70,0)+(COUNTIF($BF33:$BF$70,BF33)-1))</f>
        <v>8</v>
      </c>
      <c r="BE33" s="89" t="str">
        <f t="shared" ca="1" si="6"/>
        <v>130202</v>
      </c>
      <c r="BF33" s="89">
        <f t="shared" ca="1" si="7"/>
        <v>13020220</v>
      </c>
      <c r="BG33" s="89">
        <f t="shared" ca="1" si="8"/>
        <v>13</v>
      </c>
      <c r="BH33" s="89">
        <f t="shared" ca="1" si="9"/>
        <v>2</v>
      </c>
      <c r="BI33" s="89" t="str">
        <f t="shared" ca="1" si="10"/>
        <v>B311</v>
      </c>
      <c r="BJ33" s="89">
        <f t="shared" ca="1" si="11"/>
        <v>6</v>
      </c>
      <c r="BK33" s="89">
        <f t="shared" ca="1" si="12"/>
        <v>20</v>
      </c>
      <c r="BL33" s="89">
        <f t="shared" ca="1" si="13"/>
        <v>39</v>
      </c>
      <c r="BM33" s="89">
        <f t="shared" ca="1" si="14"/>
        <v>22</v>
      </c>
      <c r="BN33" s="89" t="str">
        <f t="shared" ca="1" si="15"/>
        <v>S2!B298:V310</v>
      </c>
      <c r="BO33" s="89" t="str">
        <f t="shared" ca="1" si="16"/>
        <v>c</v>
      </c>
      <c r="BP33" s="89" t="str">
        <f t="shared" ca="1" si="17"/>
        <v/>
      </c>
      <c r="BQ33" s="89" t="str">
        <f t="shared" ca="1" si="18"/>
        <v/>
      </c>
      <c r="BR33" s="87" t="str">
        <f t="shared" ca="1" si="19"/>
        <v/>
      </c>
      <c r="BS33" s="89" t="str">
        <f t="shared" ca="1" si="20"/>
        <v>a</v>
      </c>
      <c r="BT33" s="89" t="str">
        <f t="shared" ca="1" si="21"/>
        <v/>
      </c>
      <c r="BU33" s="89" t="str">
        <f t="shared" ca="1" si="22"/>
        <v/>
      </c>
      <c r="BV33" s="87" t="str">
        <f t="shared" ca="1" si="23"/>
        <v>c</v>
      </c>
      <c r="BW33" s="87" t="str">
        <f t="shared" ca="1" si="24"/>
        <v>13020220</v>
      </c>
      <c r="BX33" s="89" t="str">
        <f t="shared" ca="1" si="25"/>
        <v>44</v>
      </c>
    </row>
    <row r="34" spans="1:76">
      <c r="A34" s="90" t="str">
        <f t="shared" si="2"/>
        <v/>
      </c>
      <c r="B34" s="89">
        <v>2</v>
      </c>
      <c r="C34" s="89">
        <v>2</v>
      </c>
      <c r="D34" s="89" t="s">
        <v>210</v>
      </c>
      <c r="E34" s="89" t="s">
        <v>210</v>
      </c>
      <c r="F34" s="89">
        <v>-1</v>
      </c>
      <c r="G34" s="89" t="s">
        <v>202</v>
      </c>
      <c r="H34" s="89" t="s">
        <v>210</v>
      </c>
      <c r="I34" s="89">
        <v>-2</v>
      </c>
      <c r="J34" s="89" t="s">
        <v>210</v>
      </c>
      <c r="K34" s="89">
        <v>1</v>
      </c>
      <c r="L34" s="89" t="s">
        <v>210</v>
      </c>
      <c r="M34" s="89" t="s">
        <v>210</v>
      </c>
      <c r="N34" s="89">
        <v>-1</v>
      </c>
      <c r="O34" s="89">
        <v>2</v>
      </c>
      <c r="P34" s="89" t="s">
        <v>210</v>
      </c>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BA34" s="91">
        <f t="shared" ca="1" si="3"/>
        <v>312</v>
      </c>
      <c r="BB34" s="88" t="str">
        <f t="shared" ca="1" si="4"/>
        <v>A298:A1200</v>
      </c>
      <c r="BC34" s="89" t="str">
        <f t="shared" ca="1" si="5"/>
        <v>B312</v>
      </c>
      <c r="BD34" s="89">
        <f ca="1">IF(BC34=0,0,RANK(BF34,$BF$11:$BF$70,0)+(COUNTIF($BF34:$BF$70,BF34)-1))</f>
        <v>5</v>
      </c>
      <c r="BE34" s="89" t="str">
        <f t="shared" ca="1" si="6"/>
        <v>140202</v>
      </c>
      <c r="BF34" s="89">
        <f t="shared" ca="1" si="7"/>
        <v>14020225</v>
      </c>
      <c r="BG34" s="89">
        <f t="shared" ca="1" si="8"/>
        <v>14</v>
      </c>
      <c r="BH34" s="89">
        <f t="shared" ca="1" si="9"/>
        <v>2</v>
      </c>
      <c r="BI34" s="89" t="str">
        <f t="shared" ca="1" si="10"/>
        <v>B327</v>
      </c>
      <c r="BJ34" s="89">
        <f t="shared" ca="1" si="11"/>
        <v>7</v>
      </c>
      <c r="BK34" s="89">
        <f t="shared" ca="1" si="12"/>
        <v>25</v>
      </c>
      <c r="BL34" s="89">
        <f t="shared" ca="1" si="13"/>
        <v>49</v>
      </c>
      <c r="BM34" s="89">
        <f t="shared" ca="1" si="14"/>
        <v>27</v>
      </c>
      <c r="BN34" s="89" t="str">
        <f t="shared" ca="1" si="15"/>
        <v>S2!B313:AA326</v>
      </c>
      <c r="BO34" s="89" t="str">
        <f t="shared" ca="1" si="16"/>
        <v>c</v>
      </c>
      <c r="BP34" s="89" t="str">
        <f t="shared" ca="1" si="17"/>
        <v/>
      </c>
      <c r="BQ34" s="89" t="str">
        <f t="shared" ca="1" si="18"/>
        <v/>
      </c>
      <c r="BR34" s="87" t="str">
        <f t="shared" ca="1" si="19"/>
        <v>x</v>
      </c>
      <c r="BS34" s="89" t="str">
        <f t="shared" ca="1" si="20"/>
        <v/>
      </c>
      <c r="BT34" s="89" t="str">
        <f t="shared" ca="1" si="21"/>
        <v/>
      </c>
      <c r="BU34" s="89" t="str">
        <f t="shared" ca="1" si="22"/>
        <v/>
      </c>
      <c r="BV34" s="87" t="str">
        <f t="shared" ca="1" si="23"/>
        <v>c</v>
      </c>
      <c r="BW34" s="87" t="str">
        <f t="shared" ca="1" si="24"/>
        <v>14020225</v>
      </c>
      <c r="BX34" s="89" t="str">
        <f t="shared" ca="1" si="25"/>
        <v>44</v>
      </c>
    </row>
    <row r="35" spans="1:76">
      <c r="A35" s="90" t="str">
        <f t="shared" si="2"/>
        <v/>
      </c>
      <c r="B35" s="89">
        <v>3</v>
      </c>
      <c r="C35" s="89">
        <v>1</v>
      </c>
      <c r="D35" s="89" t="s">
        <v>210</v>
      </c>
      <c r="E35" s="89">
        <v>2</v>
      </c>
      <c r="F35" s="89" t="s">
        <v>210</v>
      </c>
      <c r="G35" s="89" t="s">
        <v>210</v>
      </c>
      <c r="H35" s="89">
        <v>-2</v>
      </c>
      <c r="I35" s="89" t="s">
        <v>202</v>
      </c>
      <c r="J35" s="89" t="s">
        <v>210</v>
      </c>
      <c r="K35" s="89">
        <v>-2</v>
      </c>
      <c r="L35" s="89" t="s">
        <v>210</v>
      </c>
      <c r="M35" s="89" t="s">
        <v>210</v>
      </c>
      <c r="N35" s="89">
        <v>1</v>
      </c>
      <c r="O35" s="89">
        <v>-1</v>
      </c>
      <c r="P35" s="89" t="s">
        <v>210</v>
      </c>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BA35" s="91">
        <f t="shared" ca="1" si="3"/>
        <v>0</v>
      </c>
      <c r="BB35" s="88" t="str">
        <f t="shared" ca="1" si="4"/>
        <v>A313:A1200</v>
      </c>
      <c r="BC35" s="89">
        <f t="shared" ca="1" si="5"/>
        <v>0</v>
      </c>
      <c r="BD35" s="89">
        <f ca="1">IF(BC35=0,0,RANK(BF35,$BF$11:$BF$70,0)+(COUNTIF($BF35:$BF$70,BF35)-1))</f>
        <v>0</v>
      </c>
      <c r="BE35" s="89">
        <f t="shared" ca="1" si="6"/>
        <v>0</v>
      </c>
      <c r="BF35" s="89">
        <f t="shared" ca="1" si="7"/>
        <v>0</v>
      </c>
      <c r="BG35" s="89">
        <f t="shared" ca="1" si="8"/>
        <v>0</v>
      </c>
      <c r="BH35" s="89">
        <f t="shared" ca="1" si="9"/>
        <v>0</v>
      </c>
      <c r="BI35" s="89">
        <f t="shared" ca="1" si="10"/>
        <v>0</v>
      </c>
      <c r="BJ35" s="89">
        <f t="shared" ca="1" si="11"/>
        <v>0</v>
      </c>
      <c r="BK35" s="89">
        <f t="shared" ca="1" si="12"/>
        <v>0</v>
      </c>
      <c r="BL35" s="89">
        <f t="shared" ca="1" si="13"/>
        <v>0</v>
      </c>
      <c r="BM35" s="89">
        <f t="shared" ca="1" si="14"/>
        <v>0</v>
      </c>
      <c r="BN35" s="89">
        <f t="shared" ca="1" si="15"/>
        <v>0</v>
      </c>
      <c r="BO35" s="89">
        <f t="shared" ca="1" si="16"/>
        <v>0</v>
      </c>
      <c r="BP35" s="89">
        <f t="shared" ca="1" si="17"/>
        <v>0</v>
      </c>
      <c r="BQ35" s="89">
        <f t="shared" ca="1" si="18"/>
        <v>0</v>
      </c>
      <c r="BR35" s="87">
        <f t="shared" ca="1" si="19"/>
        <v>0</v>
      </c>
      <c r="BS35" s="89">
        <f t="shared" ca="1" si="20"/>
        <v>0</v>
      </c>
      <c r="BT35" s="89">
        <f t="shared" ca="1" si="21"/>
        <v>0</v>
      </c>
      <c r="BU35" s="89">
        <f t="shared" ca="1" si="22"/>
        <v>0</v>
      </c>
      <c r="BV35" s="87">
        <f t="shared" ca="1" si="23"/>
        <v>0</v>
      </c>
      <c r="BW35" s="87" t="str">
        <f t="shared" ca="1" si="24"/>
        <v>000</v>
      </c>
      <c r="BX35" s="89">
        <f t="shared" ca="1" si="25"/>
        <v>0</v>
      </c>
    </row>
    <row r="36" spans="1:76">
      <c r="A36" s="90" t="str">
        <f t="shared" si="2"/>
        <v/>
      </c>
      <c r="B36" s="89">
        <v>4</v>
      </c>
      <c r="C36" s="89" t="s">
        <v>210</v>
      </c>
      <c r="D36" s="89">
        <v>1</v>
      </c>
      <c r="E36" s="89" t="s">
        <v>202</v>
      </c>
      <c r="F36" s="89" t="s">
        <v>210</v>
      </c>
      <c r="G36" s="89">
        <v>-1</v>
      </c>
      <c r="H36" s="89" t="s">
        <v>210</v>
      </c>
      <c r="I36" s="89">
        <v>2</v>
      </c>
      <c r="J36" s="89" t="s">
        <v>210</v>
      </c>
      <c r="K36" s="89" t="s">
        <v>210</v>
      </c>
      <c r="L36" s="89">
        <v>-2</v>
      </c>
      <c r="M36" s="89">
        <v>-1</v>
      </c>
      <c r="N36" s="89" t="s">
        <v>210</v>
      </c>
      <c r="O36" s="89">
        <v>1</v>
      </c>
      <c r="P36" s="89" t="s">
        <v>210</v>
      </c>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BA36" s="91">
        <f t="shared" ca="1" si="3"/>
        <v>0</v>
      </c>
      <c r="BB36" s="88" t="str">
        <f t="shared" ca="1" si="4"/>
        <v/>
      </c>
      <c r="BC36" s="89">
        <f t="shared" ca="1" si="5"/>
        <v>0</v>
      </c>
      <c r="BD36" s="89">
        <f ca="1">IF(BC36=0,0,RANK(BF36,$BF$11:$BF$70,0)+(COUNTIF($BF36:$BF$70,BF36)-1))</f>
        <v>0</v>
      </c>
      <c r="BE36" s="89">
        <f t="shared" ca="1" si="6"/>
        <v>0</v>
      </c>
      <c r="BF36" s="89">
        <f t="shared" ca="1" si="7"/>
        <v>0</v>
      </c>
      <c r="BG36" s="89">
        <f t="shared" ca="1" si="8"/>
        <v>0</v>
      </c>
      <c r="BH36" s="89">
        <f t="shared" ca="1" si="9"/>
        <v>0</v>
      </c>
      <c r="BI36" s="89">
        <f t="shared" ca="1" si="10"/>
        <v>0</v>
      </c>
      <c r="BJ36" s="89">
        <f t="shared" ca="1" si="11"/>
        <v>0</v>
      </c>
      <c r="BK36" s="89">
        <f t="shared" ca="1" si="12"/>
        <v>0</v>
      </c>
      <c r="BL36" s="89">
        <f t="shared" ca="1" si="13"/>
        <v>0</v>
      </c>
      <c r="BM36" s="89">
        <f t="shared" ca="1" si="14"/>
        <v>0</v>
      </c>
      <c r="BN36" s="89">
        <f t="shared" ca="1" si="15"/>
        <v>0</v>
      </c>
      <c r="BO36" s="89">
        <f t="shared" ca="1" si="16"/>
        <v>0</v>
      </c>
      <c r="BP36" s="89">
        <f t="shared" ca="1" si="17"/>
        <v>0</v>
      </c>
      <c r="BQ36" s="89">
        <f t="shared" ca="1" si="18"/>
        <v>0</v>
      </c>
      <c r="BR36" s="87">
        <f t="shared" ca="1" si="19"/>
        <v>0</v>
      </c>
      <c r="BS36" s="89">
        <f t="shared" ca="1" si="20"/>
        <v>0</v>
      </c>
      <c r="BT36" s="89">
        <f t="shared" ca="1" si="21"/>
        <v>0</v>
      </c>
      <c r="BU36" s="89">
        <f t="shared" ca="1" si="22"/>
        <v>0</v>
      </c>
      <c r="BV36" s="87">
        <f t="shared" ca="1" si="23"/>
        <v>0</v>
      </c>
      <c r="BW36" s="87" t="str">
        <f t="shared" ca="1" si="24"/>
        <v>000</v>
      </c>
      <c r="BX36" s="89">
        <f t="shared" ca="1" si="25"/>
        <v>0</v>
      </c>
    </row>
    <row r="37" spans="1:76">
      <c r="A37" s="90" t="str">
        <f t="shared" si="2"/>
        <v/>
      </c>
      <c r="B37" s="89">
        <v>5</v>
      </c>
      <c r="C37" s="89">
        <v>-2</v>
      </c>
      <c r="D37" s="89" t="s">
        <v>210</v>
      </c>
      <c r="E37" s="89">
        <v>-1</v>
      </c>
      <c r="F37" s="89" t="s">
        <v>210</v>
      </c>
      <c r="G37" s="89" t="s">
        <v>210</v>
      </c>
      <c r="H37" s="89">
        <v>2</v>
      </c>
      <c r="I37" s="89">
        <v>-1</v>
      </c>
      <c r="J37" s="89" t="s">
        <v>210</v>
      </c>
      <c r="K37" s="89" t="s">
        <v>202</v>
      </c>
      <c r="L37" s="89" t="s">
        <v>210</v>
      </c>
      <c r="M37" s="89">
        <v>1</v>
      </c>
      <c r="N37" s="89" t="s">
        <v>210</v>
      </c>
      <c r="O37" s="89" t="s">
        <v>210</v>
      </c>
      <c r="P37" s="89">
        <v>2</v>
      </c>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BA37" s="91">
        <f t="shared" ca="1" si="3"/>
        <v>0</v>
      </c>
      <c r="BB37" s="88" t="str">
        <f t="shared" ca="1" si="4"/>
        <v/>
      </c>
      <c r="BC37" s="89">
        <f t="shared" ca="1" si="5"/>
        <v>0</v>
      </c>
      <c r="BD37" s="89">
        <f ca="1">IF(BC37=0,0,RANK(BF37,$BF$11:$BF$70,0)+(COUNTIF($BF37:$BF$70,BF37)-1))</f>
        <v>0</v>
      </c>
      <c r="BE37" s="89">
        <f t="shared" ca="1" si="6"/>
        <v>0</v>
      </c>
      <c r="BF37" s="89">
        <f t="shared" ca="1" si="7"/>
        <v>0</v>
      </c>
      <c r="BG37" s="89">
        <f t="shared" ca="1" si="8"/>
        <v>0</v>
      </c>
      <c r="BH37" s="89">
        <f t="shared" ca="1" si="9"/>
        <v>0</v>
      </c>
      <c r="BI37" s="89">
        <f t="shared" ca="1" si="10"/>
        <v>0</v>
      </c>
      <c r="BJ37" s="89">
        <f t="shared" ca="1" si="11"/>
        <v>0</v>
      </c>
      <c r="BK37" s="89">
        <f t="shared" ca="1" si="12"/>
        <v>0</v>
      </c>
      <c r="BL37" s="89">
        <f t="shared" ca="1" si="13"/>
        <v>0</v>
      </c>
      <c r="BM37" s="89">
        <f t="shared" ca="1" si="14"/>
        <v>0</v>
      </c>
      <c r="BN37" s="89">
        <f t="shared" ca="1" si="15"/>
        <v>0</v>
      </c>
      <c r="BO37" s="89">
        <f t="shared" ca="1" si="16"/>
        <v>0</v>
      </c>
      <c r="BP37" s="89">
        <f t="shared" ca="1" si="17"/>
        <v>0</v>
      </c>
      <c r="BQ37" s="89">
        <f t="shared" ca="1" si="18"/>
        <v>0</v>
      </c>
      <c r="BR37" s="87">
        <f t="shared" ca="1" si="19"/>
        <v>0</v>
      </c>
      <c r="BS37" s="89">
        <f t="shared" ca="1" si="20"/>
        <v>0</v>
      </c>
      <c r="BT37" s="89">
        <f t="shared" ca="1" si="21"/>
        <v>0</v>
      </c>
      <c r="BU37" s="89">
        <f t="shared" ca="1" si="22"/>
        <v>0</v>
      </c>
      <c r="BV37" s="87">
        <f t="shared" ca="1" si="23"/>
        <v>0</v>
      </c>
      <c r="BW37" s="87" t="str">
        <f t="shared" ca="1" si="24"/>
        <v>000</v>
      </c>
      <c r="BX37" s="89">
        <f t="shared" ca="1" si="25"/>
        <v>0</v>
      </c>
    </row>
    <row r="38" spans="1:76">
      <c r="A38" s="90" t="str">
        <f t="shared" si="2"/>
        <v/>
      </c>
      <c r="B38" s="89">
        <v>6</v>
      </c>
      <c r="C38" s="89" t="s">
        <v>202</v>
      </c>
      <c r="D38" s="89" t="s">
        <v>210</v>
      </c>
      <c r="E38" s="89">
        <v>-2</v>
      </c>
      <c r="F38" s="89" t="s">
        <v>210</v>
      </c>
      <c r="G38" s="89">
        <v>1</v>
      </c>
      <c r="H38" s="89" t="s">
        <v>210</v>
      </c>
      <c r="I38" s="89" t="s">
        <v>210</v>
      </c>
      <c r="J38" s="89">
        <v>1</v>
      </c>
      <c r="K38" s="89">
        <v>-1</v>
      </c>
      <c r="L38" s="89" t="s">
        <v>210</v>
      </c>
      <c r="M38" s="89">
        <v>2</v>
      </c>
      <c r="N38" s="89" t="s">
        <v>210</v>
      </c>
      <c r="O38" s="89" t="s">
        <v>210</v>
      </c>
      <c r="P38" s="89">
        <v>-2</v>
      </c>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BA38" s="91">
        <f t="shared" ca="1" si="3"/>
        <v>0</v>
      </c>
      <c r="BB38" s="88" t="str">
        <f t="shared" ca="1" si="4"/>
        <v/>
      </c>
      <c r="BC38" s="89">
        <f t="shared" ca="1" si="5"/>
        <v>0</v>
      </c>
      <c r="BD38" s="89">
        <f ca="1">IF(BC38=0,0,RANK(BF38,$BF$11:$BF$70,0)+(COUNTIF($BF38:$BF$70,BF38)-1))</f>
        <v>0</v>
      </c>
      <c r="BE38" s="89">
        <f t="shared" ca="1" si="6"/>
        <v>0</v>
      </c>
      <c r="BF38" s="89">
        <f t="shared" ca="1" si="7"/>
        <v>0</v>
      </c>
      <c r="BG38" s="89">
        <f t="shared" ca="1" si="8"/>
        <v>0</v>
      </c>
      <c r="BH38" s="89">
        <f t="shared" ca="1" si="9"/>
        <v>0</v>
      </c>
      <c r="BI38" s="89">
        <f t="shared" ca="1" si="10"/>
        <v>0</v>
      </c>
      <c r="BJ38" s="89">
        <f t="shared" ca="1" si="11"/>
        <v>0</v>
      </c>
      <c r="BK38" s="89">
        <f t="shared" ca="1" si="12"/>
        <v>0</v>
      </c>
      <c r="BL38" s="89">
        <f t="shared" ca="1" si="13"/>
        <v>0</v>
      </c>
      <c r="BM38" s="89">
        <f t="shared" ca="1" si="14"/>
        <v>0</v>
      </c>
      <c r="BN38" s="89">
        <f t="shared" ca="1" si="15"/>
        <v>0</v>
      </c>
      <c r="BO38" s="89">
        <f t="shared" ca="1" si="16"/>
        <v>0</v>
      </c>
      <c r="BP38" s="89">
        <f t="shared" ca="1" si="17"/>
        <v>0</v>
      </c>
      <c r="BQ38" s="89">
        <f t="shared" ca="1" si="18"/>
        <v>0</v>
      </c>
      <c r="BR38" s="87">
        <f t="shared" ca="1" si="19"/>
        <v>0</v>
      </c>
      <c r="BS38" s="89">
        <f t="shared" ca="1" si="20"/>
        <v>0</v>
      </c>
      <c r="BT38" s="89">
        <f t="shared" ca="1" si="21"/>
        <v>0</v>
      </c>
      <c r="BU38" s="89">
        <f t="shared" ca="1" si="22"/>
        <v>0</v>
      </c>
      <c r="BV38" s="87">
        <f t="shared" ca="1" si="23"/>
        <v>0</v>
      </c>
      <c r="BW38" s="87" t="str">
        <f t="shared" ca="1" si="24"/>
        <v>000</v>
      </c>
      <c r="BX38" s="89">
        <f t="shared" ca="1" si="25"/>
        <v>0</v>
      </c>
    </row>
    <row r="39" spans="1:76">
      <c r="A39" s="90" t="str">
        <f t="shared" si="2"/>
        <v/>
      </c>
      <c r="B39" s="89">
        <v>7</v>
      </c>
      <c r="C39" s="89">
        <v>-1</v>
      </c>
      <c r="D39" s="89" t="s">
        <v>210</v>
      </c>
      <c r="E39" s="89" t="s">
        <v>210</v>
      </c>
      <c r="F39" s="89">
        <v>1</v>
      </c>
      <c r="G39" s="89">
        <v>-2</v>
      </c>
      <c r="H39" s="89" t="s">
        <v>210</v>
      </c>
      <c r="I39" s="89">
        <v>1</v>
      </c>
      <c r="J39" s="89" t="s">
        <v>210</v>
      </c>
      <c r="K39" s="89" t="s">
        <v>210</v>
      </c>
      <c r="L39" s="89">
        <v>2</v>
      </c>
      <c r="M39" s="89">
        <v>-2</v>
      </c>
      <c r="N39" s="89" t="s">
        <v>210</v>
      </c>
      <c r="O39" s="89" t="s">
        <v>202</v>
      </c>
      <c r="P39" s="89" t="s">
        <v>210</v>
      </c>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BA39" s="91">
        <f t="shared" ca="1" si="3"/>
        <v>0</v>
      </c>
      <c r="BB39" s="88" t="str">
        <f t="shared" ca="1" si="4"/>
        <v/>
      </c>
      <c r="BC39" s="89">
        <f t="shared" ca="1" si="5"/>
        <v>0</v>
      </c>
      <c r="BD39" s="89">
        <f ca="1">IF(BC39=0,0,RANK(BF39,$BF$11:$BF$70,0)+(COUNTIF($BF39:$BF$70,BF39)-1))</f>
        <v>0</v>
      </c>
      <c r="BE39" s="89">
        <f t="shared" ca="1" si="6"/>
        <v>0</v>
      </c>
      <c r="BF39" s="89">
        <f t="shared" ca="1" si="7"/>
        <v>0</v>
      </c>
      <c r="BG39" s="89">
        <f t="shared" ca="1" si="8"/>
        <v>0</v>
      </c>
      <c r="BH39" s="89">
        <f t="shared" ca="1" si="9"/>
        <v>0</v>
      </c>
      <c r="BI39" s="89">
        <f t="shared" ca="1" si="10"/>
        <v>0</v>
      </c>
      <c r="BJ39" s="89">
        <f t="shared" ca="1" si="11"/>
        <v>0</v>
      </c>
      <c r="BK39" s="89">
        <f t="shared" ca="1" si="12"/>
        <v>0</v>
      </c>
      <c r="BL39" s="89">
        <f t="shared" ca="1" si="13"/>
        <v>0</v>
      </c>
      <c r="BM39" s="89">
        <f t="shared" ca="1" si="14"/>
        <v>0</v>
      </c>
      <c r="BN39" s="89">
        <f t="shared" ca="1" si="15"/>
        <v>0</v>
      </c>
      <c r="BO39" s="89">
        <f t="shared" ca="1" si="16"/>
        <v>0</v>
      </c>
      <c r="BP39" s="89">
        <f t="shared" ca="1" si="17"/>
        <v>0</v>
      </c>
      <c r="BQ39" s="89">
        <f t="shared" ca="1" si="18"/>
        <v>0</v>
      </c>
      <c r="BR39" s="87">
        <f t="shared" ca="1" si="19"/>
        <v>0</v>
      </c>
      <c r="BS39" s="89">
        <f t="shared" ca="1" si="20"/>
        <v>0</v>
      </c>
      <c r="BT39" s="89">
        <f t="shared" ca="1" si="21"/>
        <v>0</v>
      </c>
      <c r="BU39" s="89">
        <f t="shared" ca="1" si="22"/>
        <v>0</v>
      </c>
      <c r="BV39" s="87">
        <f t="shared" ca="1" si="23"/>
        <v>0</v>
      </c>
      <c r="BW39" s="87" t="str">
        <f t="shared" ca="1" si="24"/>
        <v>000</v>
      </c>
      <c r="BX39" s="89">
        <f t="shared" ca="1" si="25"/>
        <v>0</v>
      </c>
    </row>
    <row r="40" spans="1:76">
      <c r="A40" s="90" t="str">
        <f t="shared" si="2"/>
        <v/>
      </c>
      <c r="B40" s="89" t="s">
        <v>213</v>
      </c>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BA40" s="91">
        <f t="shared" ca="1" si="3"/>
        <v>0</v>
      </c>
      <c r="BB40" s="88" t="str">
        <f t="shared" ca="1" si="4"/>
        <v/>
      </c>
      <c r="BC40" s="89">
        <f t="shared" ca="1" si="5"/>
        <v>0</v>
      </c>
      <c r="BD40" s="89">
        <f ca="1">IF(BC40=0,0,RANK(BF40,$BF$11:$BF$70,0)+(COUNTIF($BF40:$BF$70,BF40)-1))</f>
        <v>0</v>
      </c>
      <c r="BE40" s="89">
        <f t="shared" ca="1" si="6"/>
        <v>0</v>
      </c>
      <c r="BF40" s="89">
        <f t="shared" ca="1" si="7"/>
        <v>0</v>
      </c>
      <c r="BG40" s="89">
        <f t="shared" ca="1" si="8"/>
        <v>0</v>
      </c>
      <c r="BH40" s="89">
        <f t="shared" ca="1" si="9"/>
        <v>0</v>
      </c>
      <c r="BI40" s="89">
        <f t="shared" ca="1" si="10"/>
        <v>0</v>
      </c>
      <c r="BJ40" s="89">
        <f t="shared" ca="1" si="11"/>
        <v>0</v>
      </c>
      <c r="BK40" s="89">
        <f t="shared" ca="1" si="12"/>
        <v>0</v>
      </c>
      <c r="BL40" s="89">
        <f t="shared" ca="1" si="13"/>
        <v>0</v>
      </c>
      <c r="BM40" s="89">
        <f t="shared" ca="1" si="14"/>
        <v>0</v>
      </c>
      <c r="BN40" s="89">
        <f t="shared" ca="1" si="15"/>
        <v>0</v>
      </c>
      <c r="BO40" s="89">
        <f t="shared" ca="1" si="16"/>
        <v>0</v>
      </c>
      <c r="BP40" s="89">
        <f t="shared" ca="1" si="17"/>
        <v>0</v>
      </c>
      <c r="BQ40" s="89">
        <f t="shared" ca="1" si="18"/>
        <v>0</v>
      </c>
      <c r="BR40" s="87">
        <f t="shared" ca="1" si="19"/>
        <v>0</v>
      </c>
      <c r="BS40" s="89">
        <f t="shared" ca="1" si="20"/>
        <v>0</v>
      </c>
      <c r="BT40" s="89">
        <f t="shared" ca="1" si="21"/>
        <v>0</v>
      </c>
      <c r="BU40" s="89">
        <f t="shared" ca="1" si="22"/>
        <v>0</v>
      </c>
      <c r="BV40" s="87">
        <f t="shared" ca="1" si="23"/>
        <v>0</v>
      </c>
      <c r="BW40" s="87" t="str">
        <f t="shared" ca="1" si="24"/>
        <v>000</v>
      </c>
      <c r="BX40" s="89">
        <f t="shared" ca="1" si="25"/>
        <v>0</v>
      </c>
    </row>
    <row r="41" spans="1:76">
      <c r="A41" s="90">
        <f t="shared" si="2"/>
        <v>41</v>
      </c>
      <c r="B41" s="89" t="s">
        <v>214</v>
      </c>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BA41" s="91">
        <f t="shared" ca="1" si="3"/>
        <v>0</v>
      </c>
      <c r="BB41" s="88" t="str">
        <f t="shared" ca="1" si="4"/>
        <v/>
      </c>
      <c r="BC41" s="89">
        <f t="shared" ca="1" si="5"/>
        <v>0</v>
      </c>
      <c r="BD41" s="89">
        <f ca="1">IF(BC41=0,0,RANK(BF41,$BF$11:$BF$70,0)+(COUNTIF($BF41:$BF$70,BF41)-1))</f>
        <v>0</v>
      </c>
      <c r="BE41" s="89">
        <f t="shared" ca="1" si="6"/>
        <v>0</v>
      </c>
      <c r="BF41" s="89">
        <f t="shared" ca="1" si="7"/>
        <v>0</v>
      </c>
      <c r="BG41" s="89">
        <f t="shared" ca="1" si="8"/>
        <v>0</v>
      </c>
      <c r="BH41" s="89">
        <f t="shared" ca="1" si="9"/>
        <v>0</v>
      </c>
      <c r="BI41" s="89">
        <f t="shared" ca="1" si="10"/>
        <v>0</v>
      </c>
      <c r="BJ41" s="89">
        <f t="shared" ca="1" si="11"/>
        <v>0</v>
      </c>
      <c r="BK41" s="89">
        <f t="shared" ca="1" si="12"/>
        <v>0</v>
      </c>
      <c r="BL41" s="89">
        <f t="shared" ca="1" si="13"/>
        <v>0</v>
      </c>
      <c r="BM41" s="89">
        <f t="shared" ca="1" si="14"/>
        <v>0</v>
      </c>
      <c r="BN41" s="89">
        <f t="shared" ca="1" si="15"/>
        <v>0</v>
      </c>
      <c r="BO41" s="89">
        <f t="shared" ca="1" si="16"/>
        <v>0</v>
      </c>
      <c r="BP41" s="89">
        <f t="shared" ca="1" si="17"/>
        <v>0</v>
      </c>
      <c r="BQ41" s="89">
        <f t="shared" ca="1" si="18"/>
        <v>0</v>
      </c>
      <c r="BR41" s="87">
        <f t="shared" ca="1" si="19"/>
        <v>0</v>
      </c>
      <c r="BS41" s="89">
        <f t="shared" ca="1" si="20"/>
        <v>0</v>
      </c>
      <c r="BT41" s="89">
        <f t="shared" ca="1" si="21"/>
        <v>0</v>
      </c>
      <c r="BU41" s="89">
        <f t="shared" ca="1" si="22"/>
        <v>0</v>
      </c>
      <c r="BV41" s="87">
        <f t="shared" ca="1" si="23"/>
        <v>0</v>
      </c>
      <c r="BW41" s="87" t="str">
        <f t="shared" ca="1" si="24"/>
        <v>000</v>
      </c>
      <c r="BX41" s="89">
        <f t="shared" ca="1" si="25"/>
        <v>0</v>
      </c>
    </row>
    <row r="42" spans="1:76">
      <c r="A42" s="90" t="str">
        <f t="shared" si="2"/>
        <v/>
      </c>
      <c r="B42" s="89">
        <v>1</v>
      </c>
      <c r="C42" s="89">
        <v>-1</v>
      </c>
      <c r="D42" s="89" t="s">
        <v>210</v>
      </c>
      <c r="E42" s="89" t="s">
        <v>210</v>
      </c>
      <c r="F42" s="89">
        <v>2</v>
      </c>
      <c r="G42" s="89">
        <v>1</v>
      </c>
      <c r="H42" s="89" t="s">
        <v>210</v>
      </c>
      <c r="I42" s="89">
        <v>2</v>
      </c>
      <c r="J42" s="89" t="s">
        <v>210</v>
      </c>
      <c r="K42" s="89" t="s">
        <v>210</v>
      </c>
      <c r="L42" s="89">
        <v>-2</v>
      </c>
      <c r="M42" s="89" t="s">
        <v>210</v>
      </c>
      <c r="N42" s="89">
        <v>1</v>
      </c>
      <c r="O42" s="89">
        <v>-1</v>
      </c>
      <c r="P42" s="89" t="s">
        <v>210</v>
      </c>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BA42" s="91">
        <f t="shared" ca="1" si="3"/>
        <v>0</v>
      </c>
      <c r="BB42" s="88" t="str">
        <f t="shared" ca="1" si="4"/>
        <v/>
      </c>
      <c r="BC42" s="89">
        <f t="shared" ca="1" si="5"/>
        <v>0</v>
      </c>
      <c r="BD42" s="89">
        <f ca="1">IF(BC42=0,0,RANK(BF42,$BF$11:$BF$70,0)+(COUNTIF($BF42:$BF$70,BF42)-1))</f>
        <v>0</v>
      </c>
      <c r="BE42" s="89">
        <f t="shared" ca="1" si="6"/>
        <v>0</v>
      </c>
      <c r="BF42" s="89">
        <f t="shared" ca="1" si="7"/>
        <v>0</v>
      </c>
      <c r="BG42" s="89">
        <f t="shared" ca="1" si="8"/>
        <v>0</v>
      </c>
      <c r="BH42" s="89">
        <f t="shared" ca="1" si="9"/>
        <v>0</v>
      </c>
      <c r="BI42" s="89">
        <f t="shared" ca="1" si="10"/>
        <v>0</v>
      </c>
      <c r="BJ42" s="89">
        <f t="shared" ca="1" si="11"/>
        <v>0</v>
      </c>
      <c r="BK42" s="89">
        <f t="shared" ca="1" si="12"/>
        <v>0</v>
      </c>
      <c r="BL42" s="89">
        <f t="shared" ca="1" si="13"/>
        <v>0</v>
      </c>
      <c r="BM42" s="89">
        <f t="shared" ca="1" si="14"/>
        <v>0</v>
      </c>
      <c r="BN42" s="89">
        <f t="shared" ca="1" si="15"/>
        <v>0</v>
      </c>
      <c r="BO42" s="89">
        <f t="shared" ca="1" si="16"/>
        <v>0</v>
      </c>
      <c r="BP42" s="89">
        <f t="shared" ca="1" si="17"/>
        <v>0</v>
      </c>
      <c r="BQ42" s="89">
        <f t="shared" ca="1" si="18"/>
        <v>0</v>
      </c>
      <c r="BR42" s="87">
        <f t="shared" ca="1" si="19"/>
        <v>0</v>
      </c>
      <c r="BS42" s="89">
        <f t="shared" ca="1" si="20"/>
        <v>0</v>
      </c>
      <c r="BT42" s="89">
        <f t="shared" ca="1" si="21"/>
        <v>0</v>
      </c>
      <c r="BU42" s="89">
        <f t="shared" ca="1" si="22"/>
        <v>0</v>
      </c>
      <c r="BV42" s="87">
        <f t="shared" ca="1" si="23"/>
        <v>0</v>
      </c>
      <c r="BW42" s="87" t="str">
        <f t="shared" ca="1" si="24"/>
        <v>000</v>
      </c>
      <c r="BX42" s="89">
        <f t="shared" ca="1" si="25"/>
        <v>0</v>
      </c>
    </row>
    <row r="43" spans="1:76">
      <c r="A43" s="90" t="str">
        <f t="shared" si="2"/>
        <v/>
      </c>
      <c r="B43" s="89">
        <v>2</v>
      </c>
      <c r="C43" s="89">
        <v>-2</v>
      </c>
      <c r="D43" s="89" t="s">
        <v>210</v>
      </c>
      <c r="E43" s="89" t="s">
        <v>210</v>
      </c>
      <c r="F43" s="89">
        <v>-1</v>
      </c>
      <c r="G43" s="89">
        <v>-2</v>
      </c>
      <c r="H43" s="89" t="s">
        <v>210</v>
      </c>
      <c r="I43" s="89">
        <v>-1</v>
      </c>
      <c r="J43" s="89" t="s">
        <v>210</v>
      </c>
      <c r="K43" s="89" t="s">
        <v>210</v>
      </c>
      <c r="L43" s="89">
        <v>1</v>
      </c>
      <c r="M43" s="89" t="s">
        <v>210</v>
      </c>
      <c r="N43" s="89">
        <v>2</v>
      </c>
      <c r="O43" s="89">
        <v>1</v>
      </c>
      <c r="P43" s="89" t="s">
        <v>210</v>
      </c>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BA43" s="91">
        <f t="shared" ca="1" si="3"/>
        <v>0</v>
      </c>
      <c r="BB43" s="88" t="str">
        <f t="shared" ca="1" si="4"/>
        <v/>
      </c>
      <c r="BC43" s="89">
        <f t="shared" ca="1" si="5"/>
        <v>0</v>
      </c>
      <c r="BD43" s="89">
        <f ca="1">IF(BC43=0,0,RANK(BF43,$BF$11:$BF$70,0)+(COUNTIF($BF43:$BF$70,BF43)-1))</f>
        <v>0</v>
      </c>
      <c r="BE43" s="89">
        <f t="shared" ca="1" si="6"/>
        <v>0</v>
      </c>
      <c r="BF43" s="89">
        <f t="shared" ca="1" si="7"/>
        <v>0</v>
      </c>
      <c r="BG43" s="89">
        <f t="shared" ca="1" si="8"/>
        <v>0</v>
      </c>
      <c r="BH43" s="89">
        <f t="shared" ca="1" si="9"/>
        <v>0</v>
      </c>
      <c r="BI43" s="89">
        <f t="shared" ca="1" si="10"/>
        <v>0</v>
      </c>
      <c r="BJ43" s="89">
        <f t="shared" ca="1" si="11"/>
        <v>0</v>
      </c>
      <c r="BK43" s="89">
        <f t="shared" ca="1" si="12"/>
        <v>0</v>
      </c>
      <c r="BL43" s="89">
        <f t="shared" ca="1" si="13"/>
        <v>0</v>
      </c>
      <c r="BM43" s="89">
        <f t="shared" ca="1" si="14"/>
        <v>0</v>
      </c>
      <c r="BN43" s="89">
        <f t="shared" ca="1" si="15"/>
        <v>0</v>
      </c>
      <c r="BO43" s="89">
        <f t="shared" ca="1" si="16"/>
        <v>0</v>
      </c>
      <c r="BP43" s="89">
        <f t="shared" ca="1" si="17"/>
        <v>0</v>
      </c>
      <c r="BQ43" s="89">
        <f t="shared" ca="1" si="18"/>
        <v>0</v>
      </c>
      <c r="BR43" s="87">
        <f t="shared" ca="1" si="19"/>
        <v>0</v>
      </c>
      <c r="BS43" s="89">
        <f t="shared" ca="1" si="20"/>
        <v>0</v>
      </c>
      <c r="BT43" s="89">
        <f t="shared" ca="1" si="21"/>
        <v>0</v>
      </c>
      <c r="BU43" s="89">
        <f t="shared" ca="1" si="22"/>
        <v>0</v>
      </c>
      <c r="BV43" s="87">
        <f t="shared" ca="1" si="23"/>
        <v>0</v>
      </c>
      <c r="BW43" s="87" t="str">
        <f t="shared" ca="1" si="24"/>
        <v>000</v>
      </c>
      <c r="BX43" s="89">
        <f t="shared" ca="1" si="25"/>
        <v>0</v>
      </c>
    </row>
    <row r="44" spans="1:76">
      <c r="A44" s="90" t="str">
        <f t="shared" si="2"/>
        <v/>
      </c>
      <c r="B44" s="89">
        <v>3</v>
      </c>
      <c r="C44" s="89">
        <v>1</v>
      </c>
      <c r="D44" s="89" t="s">
        <v>210</v>
      </c>
      <c r="E44" s="89">
        <v>2</v>
      </c>
      <c r="F44" s="89" t="s">
        <v>210</v>
      </c>
      <c r="G44" s="89" t="s">
        <v>210</v>
      </c>
      <c r="H44" s="89">
        <v>-2</v>
      </c>
      <c r="I44" s="89" t="s">
        <v>210</v>
      </c>
      <c r="J44" s="89">
        <v>-1</v>
      </c>
      <c r="K44" s="89">
        <v>1</v>
      </c>
      <c r="L44" s="89" t="s">
        <v>210</v>
      </c>
      <c r="M44" s="89" t="s">
        <v>210</v>
      </c>
      <c r="N44" s="89">
        <v>-2</v>
      </c>
      <c r="O44" s="89">
        <v>2</v>
      </c>
      <c r="P44" s="89" t="s">
        <v>210</v>
      </c>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BA44" s="91">
        <f t="shared" ca="1" si="3"/>
        <v>0</v>
      </c>
      <c r="BB44" s="88" t="str">
        <f t="shared" ca="1" si="4"/>
        <v/>
      </c>
      <c r="BC44" s="89">
        <f t="shared" ca="1" si="5"/>
        <v>0</v>
      </c>
      <c r="BD44" s="89">
        <f ca="1">IF(BC44=0,0,RANK(BF44,$BF$11:$BF$70,0)+(COUNTIF($BF44:$BF$70,BF44)-1))</f>
        <v>0</v>
      </c>
      <c r="BE44" s="89">
        <f t="shared" ca="1" si="6"/>
        <v>0</v>
      </c>
      <c r="BF44" s="89">
        <f t="shared" ca="1" si="7"/>
        <v>0</v>
      </c>
      <c r="BG44" s="89">
        <f t="shared" ca="1" si="8"/>
        <v>0</v>
      </c>
      <c r="BH44" s="89">
        <f t="shared" ca="1" si="9"/>
        <v>0</v>
      </c>
      <c r="BI44" s="89">
        <f t="shared" ca="1" si="10"/>
        <v>0</v>
      </c>
      <c r="BJ44" s="89">
        <f t="shared" ca="1" si="11"/>
        <v>0</v>
      </c>
      <c r="BK44" s="89">
        <f t="shared" ca="1" si="12"/>
        <v>0</v>
      </c>
      <c r="BL44" s="89">
        <f t="shared" ca="1" si="13"/>
        <v>0</v>
      </c>
      <c r="BM44" s="89">
        <f t="shared" ca="1" si="14"/>
        <v>0</v>
      </c>
      <c r="BN44" s="89">
        <f t="shared" ca="1" si="15"/>
        <v>0</v>
      </c>
      <c r="BO44" s="89">
        <f t="shared" ca="1" si="16"/>
        <v>0</v>
      </c>
      <c r="BP44" s="89">
        <f t="shared" ca="1" si="17"/>
        <v>0</v>
      </c>
      <c r="BQ44" s="89">
        <f t="shared" ca="1" si="18"/>
        <v>0</v>
      </c>
      <c r="BR44" s="87">
        <f t="shared" ca="1" si="19"/>
        <v>0</v>
      </c>
      <c r="BS44" s="89">
        <f t="shared" ca="1" si="20"/>
        <v>0</v>
      </c>
      <c r="BT44" s="89">
        <f t="shared" ca="1" si="21"/>
        <v>0</v>
      </c>
      <c r="BU44" s="89">
        <f t="shared" ca="1" si="22"/>
        <v>0</v>
      </c>
      <c r="BV44" s="87">
        <f t="shared" ca="1" si="23"/>
        <v>0</v>
      </c>
      <c r="BW44" s="87" t="str">
        <f t="shared" ca="1" si="24"/>
        <v>000</v>
      </c>
      <c r="BX44" s="89">
        <f t="shared" ca="1" si="25"/>
        <v>0</v>
      </c>
    </row>
    <row r="45" spans="1:76">
      <c r="A45" s="90" t="str">
        <f t="shared" si="2"/>
        <v/>
      </c>
      <c r="B45" s="89">
        <v>4</v>
      </c>
      <c r="C45" s="89">
        <v>2</v>
      </c>
      <c r="D45" s="89" t="s">
        <v>210</v>
      </c>
      <c r="E45" s="89">
        <v>-1</v>
      </c>
      <c r="F45" s="89" t="s">
        <v>210</v>
      </c>
      <c r="G45" s="89" t="s">
        <v>210</v>
      </c>
      <c r="H45" s="89">
        <v>1</v>
      </c>
      <c r="I45" s="89" t="s">
        <v>210</v>
      </c>
      <c r="J45" s="89">
        <v>-2</v>
      </c>
      <c r="K45" s="89">
        <v>2</v>
      </c>
      <c r="L45" s="89" t="s">
        <v>210</v>
      </c>
      <c r="M45" s="89" t="s">
        <v>210</v>
      </c>
      <c r="N45" s="89">
        <v>-1</v>
      </c>
      <c r="O45" s="89">
        <v>-2</v>
      </c>
      <c r="P45" s="89" t="s">
        <v>210</v>
      </c>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BA45" s="91">
        <f t="shared" ca="1" si="3"/>
        <v>0</v>
      </c>
      <c r="BB45" s="88" t="str">
        <f t="shared" ca="1" si="4"/>
        <v/>
      </c>
      <c r="BC45" s="89">
        <f t="shared" ca="1" si="5"/>
        <v>0</v>
      </c>
      <c r="BD45" s="89">
        <f ca="1">IF(BC45=0,0,RANK(BF45,$BF$11:$BF$70,0)+(COUNTIF($BF45:$BF$70,BF45)-1))</f>
        <v>0</v>
      </c>
      <c r="BE45" s="89">
        <f t="shared" ca="1" si="6"/>
        <v>0</v>
      </c>
      <c r="BF45" s="89">
        <f t="shared" ca="1" si="7"/>
        <v>0</v>
      </c>
      <c r="BG45" s="89">
        <f t="shared" ca="1" si="8"/>
        <v>0</v>
      </c>
      <c r="BH45" s="89">
        <f t="shared" ca="1" si="9"/>
        <v>0</v>
      </c>
      <c r="BI45" s="89">
        <f t="shared" ca="1" si="10"/>
        <v>0</v>
      </c>
      <c r="BJ45" s="89">
        <f t="shared" ca="1" si="11"/>
        <v>0</v>
      </c>
      <c r="BK45" s="89">
        <f t="shared" ca="1" si="12"/>
        <v>0</v>
      </c>
      <c r="BL45" s="89">
        <f t="shared" ca="1" si="13"/>
        <v>0</v>
      </c>
      <c r="BM45" s="89">
        <f t="shared" ca="1" si="14"/>
        <v>0</v>
      </c>
      <c r="BN45" s="89">
        <f t="shared" ca="1" si="15"/>
        <v>0</v>
      </c>
      <c r="BO45" s="89">
        <f t="shared" ca="1" si="16"/>
        <v>0</v>
      </c>
      <c r="BP45" s="89">
        <f t="shared" ca="1" si="17"/>
        <v>0</v>
      </c>
      <c r="BQ45" s="89">
        <f t="shared" ca="1" si="18"/>
        <v>0</v>
      </c>
      <c r="BR45" s="87">
        <f t="shared" ca="1" si="19"/>
        <v>0</v>
      </c>
      <c r="BS45" s="89">
        <f t="shared" ca="1" si="20"/>
        <v>0</v>
      </c>
      <c r="BT45" s="89">
        <f t="shared" ca="1" si="21"/>
        <v>0</v>
      </c>
      <c r="BU45" s="89">
        <f t="shared" ca="1" si="22"/>
        <v>0</v>
      </c>
      <c r="BV45" s="87">
        <f t="shared" ca="1" si="23"/>
        <v>0</v>
      </c>
      <c r="BW45" s="87" t="str">
        <f t="shared" ca="1" si="24"/>
        <v>000</v>
      </c>
      <c r="BX45" s="89">
        <f t="shared" ca="1" si="25"/>
        <v>0</v>
      </c>
    </row>
    <row r="46" spans="1:76">
      <c r="A46" s="90" t="str">
        <f t="shared" si="2"/>
        <v/>
      </c>
      <c r="B46" s="89">
        <v>5</v>
      </c>
      <c r="C46" s="89" t="s">
        <v>210</v>
      </c>
      <c r="D46" s="89">
        <v>2</v>
      </c>
      <c r="E46" s="89">
        <v>-2</v>
      </c>
      <c r="F46" s="89" t="s">
        <v>210</v>
      </c>
      <c r="G46" s="89" t="s">
        <v>210</v>
      </c>
      <c r="H46" s="89">
        <v>-1</v>
      </c>
      <c r="I46" s="89">
        <v>1</v>
      </c>
      <c r="J46" s="89" t="s">
        <v>210</v>
      </c>
      <c r="K46" s="89" t="s">
        <v>210</v>
      </c>
      <c r="L46" s="89">
        <v>2</v>
      </c>
      <c r="M46" s="89">
        <v>1</v>
      </c>
      <c r="N46" s="89" t="s">
        <v>210</v>
      </c>
      <c r="O46" s="89" t="s">
        <v>210</v>
      </c>
      <c r="P46" s="89">
        <v>-1</v>
      </c>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BA46" s="91">
        <f t="shared" ca="1" si="3"/>
        <v>0</v>
      </c>
      <c r="BB46" s="88" t="str">
        <f t="shared" ca="1" si="4"/>
        <v/>
      </c>
      <c r="BC46" s="89">
        <f t="shared" ca="1" si="5"/>
        <v>0</v>
      </c>
      <c r="BD46" s="89">
        <f ca="1">IF(BC46=0,0,RANK(BF46,$BF$11:$BF$70,0)+(COUNTIF($BF46:$BF$70,BF46)-1))</f>
        <v>0</v>
      </c>
      <c r="BE46" s="89">
        <f t="shared" ca="1" si="6"/>
        <v>0</v>
      </c>
      <c r="BF46" s="89">
        <f t="shared" ca="1" si="7"/>
        <v>0</v>
      </c>
      <c r="BG46" s="89">
        <f t="shared" ca="1" si="8"/>
        <v>0</v>
      </c>
      <c r="BH46" s="89">
        <f t="shared" ca="1" si="9"/>
        <v>0</v>
      </c>
      <c r="BI46" s="89">
        <f t="shared" ca="1" si="10"/>
        <v>0</v>
      </c>
      <c r="BJ46" s="89">
        <f t="shared" ca="1" si="11"/>
        <v>0</v>
      </c>
      <c r="BK46" s="89">
        <f t="shared" ca="1" si="12"/>
        <v>0</v>
      </c>
      <c r="BL46" s="89">
        <f t="shared" ca="1" si="13"/>
        <v>0</v>
      </c>
      <c r="BM46" s="89">
        <f t="shared" ca="1" si="14"/>
        <v>0</v>
      </c>
      <c r="BN46" s="89">
        <f t="shared" ca="1" si="15"/>
        <v>0</v>
      </c>
      <c r="BO46" s="89">
        <f t="shared" ca="1" si="16"/>
        <v>0</v>
      </c>
      <c r="BP46" s="89">
        <f t="shared" ca="1" si="17"/>
        <v>0</v>
      </c>
      <c r="BQ46" s="89">
        <f t="shared" ca="1" si="18"/>
        <v>0</v>
      </c>
      <c r="BR46" s="87">
        <f t="shared" ca="1" si="19"/>
        <v>0</v>
      </c>
      <c r="BS46" s="89">
        <f t="shared" ca="1" si="20"/>
        <v>0</v>
      </c>
      <c r="BT46" s="89">
        <f t="shared" ca="1" si="21"/>
        <v>0</v>
      </c>
      <c r="BU46" s="89">
        <f t="shared" ca="1" si="22"/>
        <v>0</v>
      </c>
      <c r="BV46" s="87">
        <f t="shared" ca="1" si="23"/>
        <v>0</v>
      </c>
      <c r="BW46" s="87" t="str">
        <f t="shared" ca="1" si="24"/>
        <v>000</v>
      </c>
      <c r="BX46" s="89">
        <f t="shared" ca="1" si="25"/>
        <v>0</v>
      </c>
    </row>
    <row r="47" spans="1:76">
      <c r="A47" s="90" t="str">
        <f t="shared" si="2"/>
        <v/>
      </c>
      <c r="B47" s="89">
        <v>6</v>
      </c>
      <c r="C47" s="89" t="s">
        <v>210</v>
      </c>
      <c r="D47" s="89">
        <v>-1</v>
      </c>
      <c r="E47" s="89">
        <v>1</v>
      </c>
      <c r="F47" s="89" t="s">
        <v>210</v>
      </c>
      <c r="G47" s="89" t="s">
        <v>210</v>
      </c>
      <c r="H47" s="89">
        <v>2</v>
      </c>
      <c r="I47" s="89">
        <v>-2</v>
      </c>
      <c r="J47" s="89" t="s">
        <v>210</v>
      </c>
      <c r="K47" s="89" t="s">
        <v>210</v>
      </c>
      <c r="L47" s="89">
        <v>-1</v>
      </c>
      <c r="M47" s="89">
        <v>-2</v>
      </c>
      <c r="N47" s="89" t="s">
        <v>210</v>
      </c>
      <c r="O47" s="89" t="s">
        <v>210</v>
      </c>
      <c r="P47" s="89">
        <v>1</v>
      </c>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BA47" s="91">
        <f t="shared" ca="1" si="3"/>
        <v>0</v>
      </c>
      <c r="BB47" s="88" t="str">
        <f t="shared" ca="1" si="4"/>
        <v/>
      </c>
      <c r="BC47" s="89">
        <f t="shared" ca="1" si="5"/>
        <v>0</v>
      </c>
      <c r="BD47" s="89">
        <f ca="1">IF(BC47=0,0,RANK(BF47,$BF$11:$BF$70,0)+(COUNTIF($BF47:$BF$70,BF47)-1))</f>
        <v>0</v>
      </c>
      <c r="BE47" s="89">
        <f t="shared" ca="1" si="6"/>
        <v>0</v>
      </c>
      <c r="BF47" s="89">
        <f t="shared" ca="1" si="7"/>
        <v>0</v>
      </c>
      <c r="BG47" s="89">
        <f t="shared" ca="1" si="8"/>
        <v>0</v>
      </c>
      <c r="BH47" s="89">
        <f t="shared" ca="1" si="9"/>
        <v>0</v>
      </c>
      <c r="BI47" s="89">
        <f t="shared" ca="1" si="10"/>
        <v>0</v>
      </c>
      <c r="BJ47" s="89">
        <f t="shared" ca="1" si="11"/>
        <v>0</v>
      </c>
      <c r="BK47" s="89">
        <f t="shared" ca="1" si="12"/>
        <v>0</v>
      </c>
      <c r="BL47" s="89">
        <f t="shared" ca="1" si="13"/>
        <v>0</v>
      </c>
      <c r="BM47" s="89">
        <f t="shared" ca="1" si="14"/>
        <v>0</v>
      </c>
      <c r="BN47" s="89">
        <f t="shared" ca="1" si="15"/>
        <v>0</v>
      </c>
      <c r="BO47" s="89">
        <f t="shared" ca="1" si="16"/>
        <v>0</v>
      </c>
      <c r="BP47" s="89">
        <f t="shared" ca="1" si="17"/>
        <v>0</v>
      </c>
      <c r="BQ47" s="89">
        <f t="shared" ca="1" si="18"/>
        <v>0</v>
      </c>
      <c r="BR47" s="87">
        <f t="shared" ca="1" si="19"/>
        <v>0</v>
      </c>
      <c r="BS47" s="89">
        <f t="shared" ca="1" si="20"/>
        <v>0</v>
      </c>
      <c r="BT47" s="89">
        <f t="shared" ca="1" si="21"/>
        <v>0</v>
      </c>
      <c r="BU47" s="89">
        <f t="shared" ca="1" si="22"/>
        <v>0</v>
      </c>
      <c r="BV47" s="87">
        <f t="shared" ca="1" si="23"/>
        <v>0</v>
      </c>
      <c r="BW47" s="87" t="str">
        <f t="shared" ca="1" si="24"/>
        <v>000</v>
      </c>
      <c r="BX47" s="89">
        <f t="shared" ca="1" si="25"/>
        <v>0</v>
      </c>
    </row>
    <row r="48" spans="1:76">
      <c r="A48" s="90" t="str">
        <f t="shared" si="2"/>
        <v/>
      </c>
      <c r="B48" s="89">
        <v>7</v>
      </c>
      <c r="C48" s="89" t="s">
        <v>210</v>
      </c>
      <c r="D48" s="89">
        <v>1</v>
      </c>
      <c r="E48" s="89" t="s">
        <v>210</v>
      </c>
      <c r="F48" s="89">
        <v>-2</v>
      </c>
      <c r="G48" s="89">
        <v>2</v>
      </c>
      <c r="H48" s="89" t="s">
        <v>210</v>
      </c>
      <c r="I48" s="89" t="s">
        <v>210</v>
      </c>
      <c r="J48" s="89">
        <v>1</v>
      </c>
      <c r="K48" s="89">
        <v>-2</v>
      </c>
      <c r="L48" s="89" t="s">
        <v>210</v>
      </c>
      <c r="M48" s="89">
        <v>-1</v>
      </c>
      <c r="N48" s="89" t="s">
        <v>210</v>
      </c>
      <c r="O48" s="89" t="s">
        <v>210</v>
      </c>
      <c r="P48" s="89">
        <v>2</v>
      </c>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BA48" s="91">
        <f t="shared" ca="1" si="3"/>
        <v>0</v>
      </c>
      <c r="BB48" s="88" t="str">
        <f t="shared" ca="1" si="4"/>
        <v/>
      </c>
      <c r="BC48" s="89">
        <f t="shared" ca="1" si="5"/>
        <v>0</v>
      </c>
      <c r="BD48" s="89">
        <f ca="1">IF(BC48=0,0,RANK(BF48,$BF$11:$BF$70,0)+(COUNTIF($BF48:$BF$70,BF48)-1))</f>
        <v>0</v>
      </c>
      <c r="BE48" s="89">
        <f t="shared" ca="1" si="6"/>
        <v>0</v>
      </c>
      <c r="BF48" s="89">
        <f t="shared" ca="1" si="7"/>
        <v>0</v>
      </c>
      <c r="BG48" s="89">
        <f t="shared" ca="1" si="8"/>
        <v>0</v>
      </c>
      <c r="BH48" s="89">
        <f t="shared" ca="1" si="9"/>
        <v>0</v>
      </c>
      <c r="BI48" s="89">
        <f t="shared" ca="1" si="10"/>
        <v>0</v>
      </c>
      <c r="BJ48" s="89">
        <f t="shared" ca="1" si="11"/>
        <v>0</v>
      </c>
      <c r="BK48" s="89">
        <f t="shared" ca="1" si="12"/>
        <v>0</v>
      </c>
      <c r="BL48" s="89">
        <f t="shared" ca="1" si="13"/>
        <v>0</v>
      </c>
      <c r="BM48" s="89">
        <f t="shared" ca="1" si="14"/>
        <v>0</v>
      </c>
      <c r="BN48" s="89">
        <f t="shared" ca="1" si="15"/>
        <v>0</v>
      </c>
      <c r="BO48" s="89">
        <f t="shared" ca="1" si="16"/>
        <v>0</v>
      </c>
      <c r="BP48" s="89">
        <f t="shared" ca="1" si="17"/>
        <v>0</v>
      </c>
      <c r="BQ48" s="89">
        <f t="shared" ca="1" si="18"/>
        <v>0</v>
      </c>
      <c r="BR48" s="87">
        <f t="shared" ca="1" si="19"/>
        <v>0</v>
      </c>
      <c r="BS48" s="89">
        <f t="shared" ca="1" si="20"/>
        <v>0</v>
      </c>
      <c r="BT48" s="89">
        <f t="shared" ca="1" si="21"/>
        <v>0</v>
      </c>
      <c r="BU48" s="89">
        <f t="shared" ca="1" si="22"/>
        <v>0</v>
      </c>
      <c r="BV48" s="87">
        <f t="shared" ca="1" si="23"/>
        <v>0</v>
      </c>
      <c r="BW48" s="87" t="str">
        <f t="shared" ca="1" si="24"/>
        <v>000</v>
      </c>
      <c r="BX48" s="89">
        <f t="shared" ca="1" si="25"/>
        <v>0</v>
      </c>
    </row>
    <row r="49" spans="1:76">
      <c r="A49" s="90" t="str">
        <f t="shared" si="2"/>
        <v/>
      </c>
      <c r="B49" s="89">
        <v>8</v>
      </c>
      <c r="C49" s="89" t="s">
        <v>210</v>
      </c>
      <c r="D49" s="89">
        <v>-2</v>
      </c>
      <c r="E49" s="89" t="s">
        <v>210</v>
      </c>
      <c r="F49" s="89">
        <v>1</v>
      </c>
      <c r="G49" s="89">
        <v>-1</v>
      </c>
      <c r="H49" s="89" t="s">
        <v>210</v>
      </c>
      <c r="I49" s="89" t="s">
        <v>210</v>
      </c>
      <c r="J49" s="89">
        <v>2</v>
      </c>
      <c r="K49" s="89">
        <v>-1</v>
      </c>
      <c r="L49" s="89" t="s">
        <v>210</v>
      </c>
      <c r="M49" s="89">
        <v>2</v>
      </c>
      <c r="N49" s="89" t="s">
        <v>210</v>
      </c>
      <c r="O49" s="89" t="s">
        <v>210</v>
      </c>
      <c r="P49" s="89">
        <v>-2</v>
      </c>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BA49" s="91">
        <f t="shared" ca="1" si="3"/>
        <v>0</v>
      </c>
      <c r="BB49" s="88" t="str">
        <f t="shared" ca="1" si="4"/>
        <v/>
      </c>
      <c r="BC49" s="89">
        <f t="shared" ca="1" si="5"/>
        <v>0</v>
      </c>
      <c r="BD49" s="89">
        <f ca="1">IF(BC49=0,0,RANK(BF49,$BF$11:$BF$70,0)+(COUNTIF($BF49:$BF$70,BF49)-1))</f>
        <v>0</v>
      </c>
      <c r="BE49" s="89">
        <f t="shared" ca="1" si="6"/>
        <v>0</v>
      </c>
      <c r="BF49" s="89">
        <f t="shared" ca="1" si="7"/>
        <v>0</v>
      </c>
      <c r="BG49" s="89">
        <f t="shared" ca="1" si="8"/>
        <v>0</v>
      </c>
      <c r="BH49" s="89">
        <f t="shared" ca="1" si="9"/>
        <v>0</v>
      </c>
      <c r="BI49" s="89">
        <f t="shared" ca="1" si="10"/>
        <v>0</v>
      </c>
      <c r="BJ49" s="89">
        <f t="shared" ca="1" si="11"/>
        <v>0</v>
      </c>
      <c r="BK49" s="89">
        <f t="shared" ca="1" si="12"/>
        <v>0</v>
      </c>
      <c r="BL49" s="89">
        <f t="shared" ca="1" si="13"/>
        <v>0</v>
      </c>
      <c r="BM49" s="89">
        <f t="shared" ca="1" si="14"/>
        <v>0</v>
      </c>
      <c r="BN49" s="89">
        <f t="shared" ca="1" si="15"/>
        <v>0</v>
      </c>
      <c r="BO49" s="89">
        <f t="shared" ca="1" si="16"/>
        <v>0</v>
      </c>
      <c r="BP49" s="89">
        <f t="shared" ca="1" si="17"/>
        <v>0</v>
      </c>
      <c r="BQ49" s="89">
        <f t="shared" ca="1" si="18"/>
        <v>0</v>
      </c>
      <c r="BR49" s="87">
        <f t="shared" ca="1" si="19"/>
        <v>0</v>
      </c>
      <c r="BS49" s="89">
        <f t="shared" ca="1" si="20"/>
        <v>0</v>
      </c>
      <c r="BT49" s="89">
        <f t="shared" ca="1" si="21"/>
        <v>0</v>
      </c>
      <c r="BU49" s="89">
        <f t="shared" ca="1" si="22"/>
        <v>0</v>
      </c>
      <c r="BV49" s="87">
        <f t="shared" ca="1" si="23"/>
        <v>0</v>
      </c>
      <c r="BW49" s="87" t="str">
        <f t="shared" ca="1" si="24"/>
        <v>000</v>
      </c>
      <c r="BX49" s="89">
        <f t="shared" ca="1" si="25"/>
        <v>0</v>
      </c>
    </row>
    <row r="50" spans="1:76">
      <c r="A50" s="90" t="str">
        <f t="shared" si="2"/>
        <v/>
      </c>
      <c r="B50" s="89" t="s">
        <v>215</v>
      </c>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BA50" s="91">
        <f t="shared" ca="1" si="3"/>
        <v>0</v>
      </c>
      <c r="BB50" s="88" t="str">
        <f t="shared" ca="1" si="4"/>
        <v/>
      </c>
      <c r="BC50" s="89">
        <f t="shared" ca="1" si="5"/>
        <v>0</v>
      </c>
      <c r="BD50" s="89">
        <f ca="1">IF(BC50=0,0,RANK(BF50,$BF$11:$BF$70,0)+(COUNTIF($BF50:$BF$70,BF50)-1))</f>
        <v>0</v>
      </c>
      <c r="BE50" s="89">
        <f t="shared" ca="1" si="6"/>
        <v>0</v>
      </c>
      <c r="BF50" s="89">
        <f t="shared" ca="1" si="7"/>
        <v>0</v>
      </c>
      <c r="BG50" s="89">
        <f t="shared" ca="1" si="8"/>
        <v>0</v>
      </c>
      <c r="BH50" s="89">
        <f t="shared" ca="1" si="9"/>
        <v>0</v>
      </c>
      <c r="BI50" s="89">
        <f t="shared" ca="1" si="10"/>
        <v>0</v>
      </c>
      <c r="BJ50" s="89">
        <f t="shared" ca="1" si="11"/>
        <v>0</v>
      </c>
      <c r="BK50" s="89">
        <f t="shared" ca="1" si="12"/>
        <v>0</v>
      </c>
      <c r="BL50" s="89">
        <f t="shared" ca="1" si="13"/>
        <v>0</v>
      </c>
      <c r="BM50" s="89">
        <f t="shared" ca="1" si="14"/>
        <v>0</v>
      </c>
      <c r="BN50" s="89">
        <f t="shared" ca="1" si="15"/>
        <v>0</v>
      </c>
      <c r="BO50" s="89">
        <f t="shared" ca="1" si="16"/>
        <v>0</v>
      </c>
      <c r="BP50" s="89">
        <f t="shared" ca="1" si="17"/>
        <v>0</v>
      </c>
      <c r="BQ50" s="89">
        <f t="shared" ca="1" si="18"/>
        <v>0</v>
      </c>
      <c r="BR50" s="87">
        <f t="shared" ca="1" si="19"/>
        <v>0</v>
      </c>
      <c r="BS50" s="89">
        <f t="shared" ca="1" si="20"/>
        <v>0</v>
      </c>
      <c r="BT50" s="89">
        <f t="shared" ca="1" si="21"/>
        <v>0</v>
      </c>
      <c r="BU50" s="89">
        <f t="shared" ca="1" si="22"/>
        <v>0</v>
      </c>
      <c r="BV50" s="87">
        <f t="shared" ca="1" si="23"/>
        <v>0</v>
      </c>
      <c r="BW50" s="87" t="str">
        <f t="shared" ca="1" si="24"/>
        <v>000</v>
      </c>
      <c r="BX50" s="89">
        <f t="shared" ca="1" si="25"/>
        <v>0</v>
      </c>
    </row>
    <row r="51" spans="1:76">
      <c r="A51" s="90">
        <f t="shared" si="2"/>
        <v>51</v>
      </c>
      <c r="B51" s="89" t="s">
        <v>216</v>
      </c>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BA51" s="91">
        <f t="shared" ca="1" si="3"/>
        <v>0</v>
      </c>
      <c r="BB51" s="88" t="str">
        <f t="shared" ca="1" si="4"/>
        <v/>
      </c>
      <c r="BC51" s="89">
        <f t="shared" ca="1" si="5"/>
        <v>0</v>
      </c>
      <c r="BD51" s="89">
        <f ca="1">IF(BC51=0,0,RANK(BF51,$BF$11:$BF$70,0)+(COUNTIF($BF51:$BF$70,BF51)-1))</f>
        <v>0</v>
      </c>
      <c r="BE51" s="89">
        <f t="shared" ca="1" si="6"/>
        <v>0</v>
      </c>
      <c r="BF51" s="89">
        <f t="shared" ca="1" si="7"/>
        <v>0</v>
      </c>
      <c r="BG51" s="89">
        <f t="shared" ca="1" si="8"/>
        <v>0</v>
      </c>
      <c r="BH51" s="89">
        <f t="shared" ca="1" si="9"/>
        <v>0</v>
      </c>
      <c r="BI51" s="89">
        <f t="shared" ca="1" si="10"/>
        <v>0</v>
      </c>
      <c r="BJ51" s="89">
        <f t="shared" ca="1" si="11"/>
        <v>0</v>
      </c>
      <c r="BK51" s="89">
        <f t="shared" ca="1" si="12"/>
        <v>0</v>
      </c>
      <c r="BL51" s="89">
        <f t="shared" ca="1" si="13"/>
        <v>0</v>
      </c>
      <c r="BM51" s="89">
        <f t="shared" ca="1" si="14"/>
        <v>0</v>
      </c>
      <c r="BN51" s="89">
        <f t="shared" ca="1" si="15"/>
        <v>0</v>
      </c>
      <c r="BO51" s="89">
        <f t="shared" ca="1" si="16"/>
        <v>0</v>
      </c>
      <c r="BP51" s="89">
        <f t="shared" ca="1" si="17"/>
        <v>0</v>
      </c>
      <c r="BQ51" s="89">
        <f t="shared" ca="1" si="18"/>
        <v>0</v>
      </c>
      <c r="BR51" s="87">
        <f t="shared" ca="1" si="19"/>
        <v>0</v>
      </c>
      <c r="BS51" s="89">
        <f t="shared" ca="1" si="20"/>
        <v>0</v>
      </c>
      <c r="BT51" s="89">
        <f t="shared" ca="1" si="21"/>
        <v>0</v>
      </c>
      <c r="BU51" s="89">
        <f t="shared" ca="1" si="22"/>
        <v>0</v>
      </c>
      <c r="BV51" s="87">
        <f t="shared" ca="1" si="23"/>
        <v>0</v>
      </c>
      <c r="BW51" s="87" t="str">
        <f t="shared" ca="1" si="24"/>
        <v>000</v>
      </c>
      <c r="BX51" s="89">
        <f t="shared" ca="1" si="25"/>
        <v>0</v>
      </c>
    </row>
    <row r="52" spans="1:76">
      <c r="A52" s="90" t="str">
        <f t="shared" si="2"/>
        <v/>
      </c>
      <c r="B52" s="89">
        <v>1</v>
      </c>
      <c r="C52" s="89">
        <v>1</v>
      </c>
      <c r="D52" s="89" t="s">
        <v>210</v>
      </c>
      <c r="E52" s="89" t="s">
        <v>210</v>
      </c>
      <c r="F52" s="89">
        <v>-1</v>
      </c>
      <c r="G52" s="89">
        <v>1</v>
      </c>
      <c r="H52" s="89" t="s">
        <v>210</v>
      </c>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BA52" s="91">
        <f t="shared" ca="1" si="3"/>
        <v>0</v>
      </c>
      <c r="BB52" s="88" t="str">
        <f t="shared" ca="1" si="4"/>
        <v/>
      </c>
      <c r="BC52" s="89">
        <f t="shared" ca="1" si="5"/>
        <v>0</v>
      </c>
      <c r="BD52" s="89">
        <f ca="1">IF(BC52=0,0,RANK(BF52,$BF$11:$BF$70,0)+(COUNTIF($BF52:$BF$70,BF52)-1))</f>
        <v>0</v>
      </c>
      <c r="BE52" s="89">
        <f t="shared" ca="1" si="6"/>
        <v>0</v>
      </c>
      <c r="BF52" s="89">
        <f t="shared" ca="1" si="7"/>
        <v>0</v>
      </c>
      <c r="BG52" s="89">
        <f t="shared" ca="1" si="8"/>
        <v>0</v>
      </c>
      <c r="BH52" s="89">
        <f t="shared" ca="1" si="9"/>
        <v>0</v>
      </c>
      <c r="BI52" s="89">
        <f t="shared" ca="1" si="10"/>
        <v>0</v>
      </c>
      <c r="BJ52" s="89">
        <f t="shared" ca="1" si="11"/>
        <v>0</v>
      </c>
      <c r="BK52" s="89">
        <f t="shared" ca="1" si="12"/>
        <v>0</v>
      </c>
      <c r="BL52" s="89">
        <f t="shared" ca="1" si="13"/>
        <v>0</v>
      </c>
      <c r="BM52" s="89">
        <f t="shared" ca="1" si="14"/>
        <v>0</v>
      </c>
      <c r="BN52" s="89">
        <f t="shared" ca="1" si="15"/>
        <v>0</v>
      </c>
      <c r="BO52" s="89">
        <f t="shared" ca="1" si="16"/>
        <v>0</v>
      </c>
      <c r="BP52" s="89">
        <f t="shared" ca="1" si="17"/>
        <v>0</v>
      </c>
      <c r="BQ52" s="89">
        <f t="shared" ca="1" si="18"/>
        <v>0</v>
      </c>
      <c r="BR52" s="87">
        <f t="shared" ca="1" si="19"/>
        <v>0</v>
      </c>
      <c r="BS52" s="89">
        <f t="shared" ca="1" si="20"/>
        <v>0</v>
      </c>
      <c r="BT52" s="89">
        <f t="shared" ca="1" si="21"/>
        <v>0</v>
      </c>
      <c r="BU52" s="89">
        <f t="shared" ca="1" si="22"/>
        <v>0</v>
      </c>
      <c r="BV52" s="87">
        <f t="shared" ca="1" si="23"/>
        <v>0</v>
      </c>
      <c r="BW52" s="87" t="str">
        <f t="shared" ca="1" si="24"/>
        <v>000</v>
      </c>
      <c r="BX52" s="89">
        <f t="shared" ca="1" si="25"/>
        <v>0</v>
      </c>
    </row>
    <row r="53" spans="1:76">
      <c r="A53" s="90" t="str">
        <f t="shared" si="2"/>
        <v/>
      </c>
      <c r="B53" s="89">
        <v>2</v>
      </c>
      <c r="C53" s="89">
        <v>-2</v>
      </c>
      <c r="D53" s="89" t="s">
        <v>210</v>
      </c>
      <c r="E53" s="89" t="s">
        <v>210</v>
      </c>
      <c r="F53" s="89">
        <v>2</v>
      </c>
      <c r="G53" s="89">
        <v>-1</v>
      </c>
      <c r="H53" s="89" t="s">
        <v>210</v>
      </c>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c r="BA53" s="91">
        <f t="shared" ca="1" si="3"/>
        <v>0</v>
      </c>
      <c r="BB53" s="88" t="str">
        <f t="shared" ca="1" si="4"/>
        <v/>
      </c>
      <c r="BC53" s="89">
        <f t="shared" ca="1" si="5"/>
        <v>0</v>
      </c>
      <c r="BD53" s="89">
        <f ca="1">IF(BC53=0,0,RANK(BF53,$BF$11:$BF$70,0)+(COUNTIF($BF53:$BF$70,BF53)-1))</f>
        <v>0</v>
      </c>
      <c r="BE53" s="89">
        <f t="shared" ca="1" si="6"/>
        <v>0</v>
      </c>
      <c r="BF53" s="89">
        <f t="shared" ca="1" si="7"/>
        <v>0</v>
      </c>
      <c r="BG53" s="89">
        <f t="shared" ca="1" si="8"/>
        <v>0</v>
      </c>
      <c r="BH53" s="89">
        <f t="shared" ca="1" si="9"/>
        <v>0</v>
      </c>
      <c r="BI53" s="89">
        <f t="shared" ca="1" si="10"/>
        <v>0</v>
      </c>
      <c r="BJ53" s="89">
        <f t="shared" ca="1" si="11"/>
        <v>0</v>
      </c>
      <c r="BK53" s="89">
        <f t="shared" ca="1" si="12"/>
        <v>0</v>
      </c>
      <c r="BL53" s="89">
        <f t="shared" ca="1" si="13"/>
        <v>0</v>
      </c>
      <c r="BM53" s="89">
        <f t="shared" ca="1" si="14"/>
        <v>0</v>
      </c>
      <c r="BN53" s="89">
        <f t="shared" ca="1" si="15"/>
        <v>0</v>
      </c>
      <c r="BO53" s="89">
        <f t="shared" ca="1" si="16"/>
        <v>0</v>
      </c>
      <c r="BP53" s="89">
        <f t="shared" ca="1" si="17"/>
        <v>0</v>
      </c>
      <c r="BQ53" s="89">
        <f t="shared" ca="1" si="18"/>
        <v>0</v>
      </c>
      <c r="BR53" s="87">
        <f t="shared" ca="1" si="19"/>
        <v>0</v>
      </c>
      <c r="BS53" s="89">
        <f t="shared" ca="1" si="20"/>
        <v>0</v>
      </c>
      <c r="BT53" s="89">
        <f t="shared" ca="1" si="21"/>
        <v>0</v>
      </c>
      <c r="BU53" s="89">
        <f t="shared" ca="1" si="22"/>
        <v>0</v>
      </c>
      <c r="BV53" s="87">
        <f t="shared" ca="1" si="23"/>
        <v>0</v>
      </c>
      <c r="BW53" s="87" t="str">
        <f t="shared" ca="1" si="24"/>
        <v>000</v>
      </c>
      <c r="BX53" s="89">
        <f t="shared" ca="1" si="25"/>
        <v>0</v>
      </c>
    </row>
    <row r="54" spans="1:76">
      <c r="A54" s="90" t="str">
        <f t="shared" si="2"/>
        <v/>
      </c>
      <c r="B54" s="89">
        <v>3</v>
      </c>
      <c r="C54" s="89">
        <v>2</v>
      </c>
      <c r="D54" s="89" t="s">
        <v>210</v>
      </c>
      <c r="E54" s="89" t="s">
        <v>210</v>
      </c>
      <c r="F54" s="89">
        <v>1</v>
      </c>
      <c r="G54" s="89">
        <v>-2</v>
      </c>
      <c r="H54" s="89" t="s">
        <v>210</v>
      </c>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BA54" s="91">
        <f t="shared" ca="1" si="3"/>
        <v>0</v>
      </c>
      <c r="BB54" s="88" t="str">
        <f t="shared" ca="1" si="4"/>
        <v/>
      </c>
      <c r="BC54" s="89">
        <f t="shared" ca="1" si="5"/>
        <v>0</v>
      </c>
      <c r="BD54" s="89">
        <f ca="1">IF(BC54=0,0,RANK(BF54,$BF$11:$BF$70,0)+(COUNTIF($BF54:$BF$70,BF54)-1))</f>
        <v>0</v>
      </c>
      <c r="BE54" s="89">
        <f t="shared" ca="1" si="6"/>
        <v>0</v>
      </c>
      <c r="BF54" s="89">
        <f t="shared" ca="1" si="7"/>
        <v>0</v>
      </c>
      <c r="BG54" s="89">
        <f t="shared" ca="1" si="8"/>
        <v>0</v>
      </c>
      <c r="BH54" s="89">
        <f t="shared" ca="1" si="9"/>
        <v>0</v>
      </c>
      <c r="BI54" s="89">
        <f t="shared" ca="1" si="10"/>
        <v>0</v>
      </c>
      <c r="BJ54" s="89">
        <f t="shared" ca="1" si="11"/>
        <v>0</v>
      </c>
      <c r="BK54" s="89">
        <f t="shared" ca="1" si="12"/>
        <v>0</v>
      </c>
      <c r="BL54" s="89">
        <f t="shared" ca="1" si="13"/>
        <v>0</v>
      </c>
      <c r="BM54" s="89">
        <f t="shared" ca="1" si="14"/>
        <v>0</v>
      </c>
      <c r="BN54" s="89">
        <f t="shared" ca="1" si="15"/>
        <v>0</v>
      </c>
      <c r="BO54" s="89">
        <f t="shared" ca="1" si="16"/>
        <v>0</v>
      </c>
      <c r="BP54" s="89">
        <f t="shared" ca="1" si="17"/>
        <v>0</v>
      </c>
      <c r="BQ54" s="89">
        <f t="shared" ca="1" si="18"/>
        <v>0</v>
      </c>
      <c r="BR54" s="87">
        <f t="shared" ca="1" si="19"/>
        <v>0</v>
      </c>
      <c r="BS54" s="89">
        <f t="shared" ca="1" si="20"/>
        <v>0</v>
      </c>
      <c r="BT54" s="89">
        <f t="shared" ca="1" si="21"/>
        <v>0</v>
      </c>
      <c r="BU54" s="89">
        <f t="shared" ca="1" si="22"/>
        <v>0</v>
      </c>
      <c r="BV54" s="87">
        <f t="shared" ca="1" si="23"/>
        <v>0</v>
      </c>
      <c r="BW54" s="87" t="str">
        <f t="shared" ca="1" si="24"/>
        <v>000</v>
      </c>
      <c r="BX54" s="89">
        <f t="shared" ca="1" si="25"/>
        <v>0</v>
      </c>
    </row>
    <row r="55" spans="1:76">
      <c r="A55" s="90" t="str">
        <f t="shared" si="2"/>
        <v/>
      </c>
      <c r="B55" s="92">
        <v>4</v>
      </c>
      <c r="C55" s="92">
        <v>-1</v>
      </c>
      <c r="D55" s="92" t="s">
        <v>210</v>
      </c>
      <c r="E55" s="92" t="s">
        <v>210</v>
      </c>
      <c r="F55" s="92">
        <v>-2</v>
      </c>
      <c r="G55" s="92">
        <v>2</v>
      </c>
      <c r="H55" s="92" t="s">
        <v>210</v>
      </c>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BA55" s="91">
        <f t="shared" ca="1" si="3"/>
        <v>0</v>
      </c>
      <c r="BB55" s="88" t="str">
        <f t="shared" ca="1" si="4"/>
        <v/>
      </c>
      <c r="BC55" s="89">
        <f t="shared" ca="1" si="5"/>
        <v>0</v>
      </c>
      <c r="BD55" s="89">
        <f ca="1">IF(BC55=0,0,RANK(BF55,$BF$11:$BF$70,0)+(COUNTIF($BF55:$BF$70,BF55)-1))</f>
        <v>0</v>
      </c>
      <c r="BE55" s="89">
        <f t="shared" ca="1" si="6"/>
        <v>0</v>
      </c>
      <c r="BF55" s="89">
        <f t="shared" ca="1" si="7"/>
        <v>0</v>
      </c>
      <c r="BG55" s="89">
        <f t="shared" ca="1" si="8"/>
        <v>0</v>
      </c>
      <c r="BH55" s="89">
        <f t="shared" ca="1" si="9"/>
        <v>0</v>
      </c>
      <c r="BI55" s="89">
        <f t="shared" ca="1" si="10"/>
        <v>0</v>
      </c>
      <c r="BJ55" s="89">
        <f t="shared" ca="1" si="11"/>
        <v>0</v>
      </c>
      <c r="BK55" s="89">
        <f t="shared" ca="1" si="12"/>
        <v>0</v>
      </c>
      <c r="BL55" s="89">
        <f t="shared" ca="1" si="13"/>
        <v>0</v>
      </c>
      <c r="BM55" s="89">
        <f t="shared" ca="1" si="14"/>
        <v>0</v>
      </c>
      <c r="BN55" s="89">
        <f t="shared" ca="1" si="15"/>
        <v>0</v>
      </c>
      <c r="BO55" s="89">
        <f t="shared" ca="1" si="16"/>
        <v>0</v>
      </c>
      <c r="BP55" s="89">
        <f t="shared" ca="1" si="17"/>
        <v>0</v>
      </c>
      <c r="BQ55" s="89">
        <f t="shared" ca="1" si="18"/>
        <v>0</v>
      </c>
      <c r="BR55" s="87">
        <f t="shared" ca="1" si="19"/>
        <v>0</v>
      </c>
      <c r="BS55" s="89">
        <f t="shared" ca="1" si="20"/>
        <v>0</v>
      </c>
      <c r="BT55" s="89">
        <f t="shared" ca="1" si="21"/>
        <v>0</v>
      </c>
      <c r="BU55" s="89">
        <f t="shared" ca="1" si="22"/>
        <v>0</v>
      </c>
      <c r="BV55" s="87">
        <f t="shared" ca="1" si="23"/>
        <v>0</v>
      </c>
      <c r="BW55" s="87" t="str">
        <f t="shared" ca="1" si="24"/>
        <v>000</v>
      </c>
      <c r="BX55" s="89">
        <f t="shared" ca="1" si="25"/>
        <v>0</v>
      </c>
    </row>
    <row r="56" spans="1:76">
      <c r="A56" s="90" t="str">
        <f t="shared" si="2"/>
        <v/>
      </c>
      <c r="B56" s="89">
        <v>5</v>
      </c>
      <c r="C56" s="89" t="s">
        <v>210</v>
      </c>
      <c r="D56" s="89">
        <v>1</v>
      </c>
      <c r="E56" s="89">
        <v>-1</v>
      </c>
      <c r="F56" s="89" t="s">
        <v>210</v>
      </c>
      <c r="G56" s="89" t="s">
        <v>210</v>
      </c>
      <c r="H56" s="89">
        <v>1</v>
      </c>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BA56" s="91">
        <f t="shared" ca="1" si="3"/>
        <v>0</v>
      </c>
      <c r="BB56" s="88" t="str">
        <f t="shared" ca="1" si="4"/>
        <v/>
      </c>
      <c r="BC56" s="89">
        <f t="shared" ca="1" si="5"/>
        <v>0</v>
      </c>
      <c r="BD56" s="89">
        <f ca="1">IF(BC56=0,0,RANK(BF56,$BF$11:$BF$70,0)+(COUNTIF($BF56:$BF$70,BF56)-1))</f>
        <v>0</v>
      </c>
      <c r="BE56" s="89">
        <f t="shared" ca="1" si="6"/>
        <v>0</v>
      </c>
      <c r="BF56" s="89">
        <f t="shared" ca="1" si="7"/>
        <v>0</v>
      </c>
      <c r="BG56" s="89">
        <f t="shared" ca="1" si="8"/>
        <v>0</v>
      </c>
      <c r="BH56" s="89">
        <f t="shared" ca="1" si="9"/>
        <v>0</v>
      </c>
      <c r="BI56" s="89">
        <f t="shared" ca="1" si="10"/>
        <v>0</v>
      </c>
      <c r="BJ56" s="89">
        <f t="shared" ca="1" si="11"/>
        <v>0</v>
      </c>
      <c r="BK56" s="89">
        <f t="shared" ca="1" si="12"/>
        <v>0</v>
      </c>
      <c r="BL56" s="89">
        <f t="shared" ca="1" si="13"/>
        <v>0</v>
      </c>
      <c r="BM56" s="89">
        <f t="shared" ca="1" si="14"/>
        <v>0</v>
      </c>
      <c r="BN56" s="89">
        <f t="shared" ca="1" si="15"/>
        <v>0</v>
      </c>
      <c r="BO56" s="89">
        <f t="shared" ca="1" si="16"/>
        <v>0</v>
      </c>
      <c r="BP56" s="89">
        <f t="shared" ca="1" si="17"/>
        <v>0</v>
      </c>
      <c r="BQ56" s="89">
        <f t="shared" ca="1" si="18"/>
        <v>0</v>
      </c>
      <c r="BR56" s="87">
        <f t="shared" ca="1" si="19"/>
        <v>0</v>
      </c>
      <c r="BS56" s="89">
        <f t="shared" ca="1" si="20"/>
        <v>0</v>
      </c>
      <c r="BT56" s="89">
        <f t="shared" ca="1" si="21"/>
        <v>0</v>
      </c>
      <c r="BU56" s="89">
        <f t="shared" ca="1" si="22"/>
        <v>0</v>
      </c>
      <c r="BV56" s="87">
        <f t="shared" ca="1" si="23"/>
        <v>0</v>
      </c>
      <c r="BW56" s="87" t="str">
        <f t="shared" ca="1" si="24"/>
        <v>000</v>
      </c>
      <c r="BX56" s="89">
        <f t="shared" ca="1" si="25"/>
        <v>0</v>
      </c>
    </row>
    <row r="57" spans="1:76">
      <c r="A57" s="90" t="str">
        <f t="shared" si="2"/>
        <v/>
      </c>
      <c r="B57" s="89">
        <v>6</v>
      </c>
      <c r="C57" s="89" t="s">
        <v>210</v>
      </c>
      <c r="D57" s="89">
        <v>-2</v>
      </c>
      <c r="E57" s="89">
        <v>2</v>
      </c>
      <c r="F57" s="89" t="s">
        <v>210</v>
      </c>
      <c r="G57" s="89" t="s">
        <v>210</v>
      </c>
      <c r="H57" s="89">
        <v>-1</v>
      </c>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BA57" s="91">
        <f t="shared" ca="1" si="3"/>
        <v>0</v>
      </c>
      <c r="BB57" s="88" t="str">
        <f t="shared" ca="1" si="4"/>
        <v/>
      </c>
      <c r="BC57" s="89">
        <f t="shared" ca="1" si="5"/>
        <v>0</v>
      </c>
      <c r="BD57" s="89">
        <f ca="1">IF(BC57=0,0,RANK(BF57,$BF$11:$BF$70,0)+(COUNTIF($BF57:$BF$70,BF57)-1))</f>
        <v>0</v>
      </c>
      <c r="BE57" s="89">
        <f t="shared" ca="1" si="6"/>
        <v>0</v>
      </c>
      <c r="BF57" s="89">
        <f t="shared" ca="1" si="7"/>
        <v>0</v>
      </c>
      <c r="BG57" s="89">
        <f t="shared" ca="1" si="8"/>
        <v>0</v>
      </c>
      <c r="BH57" s="89">
        <f t="shared" ca="1" si="9"/>
        <v>0</v>
      </c>
      <c r="BI57" s="89">
        <f t="shared" ca="1" si="10"/>
        <v>0</v>
      </c>
      <c r="BJ57" s="89">
        <f t="shared" ca="1" si="11"/>
        <v>0</v>
      </c>
      <c r="BK57" s="89">
        <f t="shared" ca="1" si="12"/>
        <v>0</v>
      </c>
      <c r="BL57" s="89">
        <f t="shared" ca="1" si="13"/>
        <v>0</v>
      </c>
      <c r="BM57" s="89">
        <f t="shared" ca="1" si="14"/>
        <v>0</v>
      </c>
      <c r="BN57" s="89">
        <f t="shared" ca="1" si="15"/>
        <v>0</v>
      </c>
      <c r="BO57" s="89">
        <f t="shared" ca="1" si="16"/>
        <v>0</v>
      </c>
      <c r="BP57" s="89">
        <f t="shared" ca="1" si="17"/>
        <v>0</v>
      </c>
      <c r="BQ57" s="89">
        <f t="shared" ca="1" si="18"/>
        <v>0</v>
      </c>
      <c r="BR57" s="87">
        <f t="shared" ca="1" si="19"/>
        <v>0</v>
      </c>
      <c r="BS57" s="89">
        <f t="shared" ca="1" si="20"/>
        <v>0</v>
      </c>
      <c r="BT57" s="89">
        <f t="shared" ca="1" si="21"/>
        <v>0</v>
      </c>
      <c r="BU57" s="89">
        <f t="shared" ca="1" si="22"/>
        <v>0</v>
      </c>
      <c r="BV57" s="87">
        <f t="shared" ca="1" si="23"/>
        <v>0</v>
      </c>
      <c r="BW57" s="87" t="str">
        <f t="shared" ca="1" si="24"/>
        <v>000</v>
      </c>
      <c r="BX57" s="89">
        <f t="shared" ca="1" si="25"/>
        <v>0</v>
      </c>
    </row>
    <row r="58" spans="1:76">
      <c r="A58" s="90" t="str">
        <f t="shared" si="2"/>
        <v/>
      </c>
      <c r="B58" s="89">
        <v>7</v>
      </c>
      <c r="C58" s="89" t="s">
        <v>210</v>
      </c>
      <c r="D58" s="89">
        <v>2</v>
      </c>
      <c r="E58" s="89">
        <v>1</v>
      </c>
      <c r="F58" s="89" t="s">
        <v>210</v>
      </c>
      <c r="G58" s="89" t="s">
        <v>210</v>
      </c>
      <c r="H58" s="89">
        <v>-2</v>
      </c>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BA58" s="91">
        <f t="shared" ca="1" si="3"/>
        <v>0</v>
      </c>
      <c r="BB58" s="88" t="str">
        <f t="shared" ca="1" si="4"/>
        <v/>
      </c>
      <c r="BC58" s="89">
        <f t="shared" ca="1" si="5"/>
        <v>0</v>
      </c>
      <c r="BD58" s="89">
        <f ca="1">IF(BC58=0,0,RANK(BF58,$BF$11:$BF$70,0)+(COUNTIF($BF58:$BF$70,BF58)-1))</f>
        <v>0</v>
      </c>
      <c r="BE58" s="89">
        <f t="shared" ca="1" si="6"/>
        <v>0</v>
      </c>
      <c r="BF58" s="89">
        <f t="shared" ca="1" si="7"/>
        <v>0</v>
      </c>
      <c r="BG58" s="89">
        <f t="shared" ca="1" si="8"/>
        <v>0</v>
      </c>
      <c r="BH58" s="89">
        <f t="shared" ca="1" si="9"/>
        <v>0</v>
      </c>
      <c r="BI58" s="89">
        <f t="shared" ca="1" si="10"/>
        <v>0</v>
      </c>
      <c r="BJ58" s="89">
        <f t="shared" ca="1" si="11"/>
        <v>0</v>
      </c>
      <c r="BK58" s="89">
        <f t="shared" ca="1" si="12"/>
        <v>0</v>
      </c>
      <c r="BL58" s="89">
        <f t="shared" ca="1" si="13"/>
        <v>0</v>
      </c>
      <c r="BM58" s="89">
        <f t="shared" ca="1" si="14"/>
        <v>0</v>
      </c>
      <c r="BN58" s="89">
        <f t="shared" ca="1" si="15"/>
        <v>0</v>
      </c>
      <c r="BO58" s="89">
        <f t="shared" ca="1" si="16"/>
        <v>0</v>
      </c>
      <c r="BP58" s="89">
        <f t="shared" ca="1" si="17"/>
        <v>0</v>
      </c>
      <c r="BQ58" s="89">
        <f t="shared" ca="1" si="18"/>
        <v>0</v>
      </c>
      <c r="BR58" s="87">
        <f t="shared" ca="1" si="19"/>
        <v>0</v>
      </c>
      <c r="BS58" s="89">
        <f t="shared" ca="1" si="20"/>
        <v>0</v>
      </c>
      <c r="BT58" s="89">
        <f t="shared" ca="1" si="21"/>
        <v>0</v>
      </c>
      <c r="BU58" s="89">
        <f t="shared" ca="1" si="22"/>
        <v>0</v>
      </c>
      <c r="BV58" s="87">
        <f t="shared" ca="1" si="23"/>
        <v>0</v>
      </c>
      <c r="BW58" s="87" t="str">
        <f t="shared" ca="1" si="24"/>
        <v>000</v>
      </c>
      <c r="BX58" s="89">
        <f t="shared" ca="1" si="25"/>
        <v>0</v>
      </c>
    </row>
    <row r="59" spans="1:76">
      <c r="A59" s="90" t="str">
        <f t="shared" si="2"/>
        <v/>
      </c>
      <c r="B59" s="89">
        <v>8</v>
      </c>
      <c r="C59" s="89" t="s">
        <v>210</v>
      </c>
      <c r="D59" s="89">
        <v>-1</v>
      </c>
      <c r="E59" s="89">
        <v>-2</v>
      </c>
      <c r="F59" s="89" t="s">
        <v>210</v>
      </c>
      <c r="G59" s="89" t="s">
        <v>210</v>
      </c>
      <c r="H59" s="89">
        <v>2</v>
      </c>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BA59" s="91">
        <f t="shared" ca="1" si="3"/>
        <v>0</v>
      </c>
      <c r="BB59" s="88" t="str">
        <f t="shared" ca="1" si="4"/>
        <v/>
      </c>
      <c r="BC59" s="89">
        <f t="shared" ca="1" si="5"/>
        <v>0</v>
      </c>
      <c r="BD59" s="89">
        <f ca="1">IF(BC59=0,0,RANK(BF59,$BF$11:$BF$70,0)+(COUNTIF($BF59:$BF$70,BF59)-1))</f>
        <v>0</v>
      </c>
      <c r="BE59" s="89">
        <f t="shared" ca="1" si="6"/>
        <v>0</v>
      </c>
      <c r="BF59" s="89">
        <f t="shared" ca="1" si="7"/>
        <v>0</v>
      </c>
      <c r="BG59" s="89">
        <f t="shared" ca="1" si="8"/>
        <v>0</v>
      </c>
      <c r="BH59" s="89">
        <f t="shared" ca="1" si="9"/>
        <v>0</v>
      </c>
      <c r="BI59" s="89">
        <f t="shared" ca="1" si="10"/>
        <v>0</v>
      </c>
      <c r="BJ59" s="89">
        <f t="shared" ca="1" si="11"/>
        <v>0</v>
      </c>
      <c r="BK59" s="89">
        <f t="shared" ca="1" si="12"/>
        <v>0</v>
      </c>
      <c r="BL59" s="89">
        <f t="shared" ca="1" si="13"/>
        <v>0</v>
      </c>
      <c r="BM59" s="89">
        <f t="shared" ca="1" si="14"/>
        <v>0</v>
      </c>
      <c r="BN59" s="89">
        <f t="shared" ca="1" si="15"/>
        <v>0</v>
      </c>
      <c r="BO59" s="89">
        <f t="shared" ca="1" si="16"/>
        <v>0</v>
      </c>
      <c r="BP59" s="89">
        <f t="shared" ca="1" si="17"/>
        <v>0</v>
      </c>
      <c r="BQ59" s="89">
        <f t="shared" ca="1" si="18"/>
        <v>0</v>
      </c>
      <c r="BR59" s="87">
        <f t="shared" ca="1" si="19"/>
        <v>0</v>
      </c>
      <c r="BS59" s="89">
        <f t="shared" ca="1" si="20"/>
        <v>0</v>
      </c>
      <c r="BT59" s="89">
        <f t="shared" ca="1" si="21"/>
        <v>0</v>
      </c>
      <c r="BU59" s="89">
        <f t="shared" ca="1" si="22"/>
        <v>0</v>
      </c>
      <c r="BV59" s="87">
        <f t="shared" ca="1" si="23"/>
        <v>0</v>
      </c>
      <c r="BW59" s="87" t="str">
        <f t="shared" ca="1" si="24"/>
        <v>000</v>
      </c>
      <c r="BX59" s="89">
        <f t="shared" ca="1" si="25"/>
        <v>0</v>
      </c>
    </row>
    <row r="60" spans="1:76">
      <c r="A60" s="90" t="str">
        <f t="shared" si="2"/>
        <v/>
      </c>
      <c r="B60" s="89" t="s">
        <v>217</v>
      </c>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BA60" s="91">
        <f t="shared" ca="1" si="3"/>
        <v>0</v>
      </c>
      <c r="BB60" s="88" t="str">
        <f t="shared" ca="1" si="4"/>
        <v/>
      </c>
      <c r="BC60" s="89">
        <f t="shared" ca="1" si="5"/>
        <v>0</v>
      </c>
      <c r="BD60" s="89">
        <f ca="1">IF(BC60=0,0,RANK(BF60,$BF$11:$BF$70,0)+(COUNTIF($BF60:$BF$70,BF60)-1))</f>
        <v>0</v>
      </c>
      <c r="BE60" s="89">
        <f t="shared" ca="1" si="6"/>
        <v>0</v>
      </c>
      <c r="BF60" s="89">
        <f t="shared" ca="1" si="7"/>
        <v>0</v>
      </c>
      <c r="BG60" s="89">
        <f t="shared" ca="1" si="8"/>
        <v>0</v>
      </c>
      <c r="BH60" s="89">
        <f t="shared" ca="1" si="9"/>
        <v>0</v>
      </c>
      <c r="BI60" s="89">
        <f t="shared" ca="1" si="10"/>
        <v>0</v>
      </c>
      <c r="BJ60" s="89">
        <f t="shared" ca="1" si="11"/>
        <v>0</v>
      </c>
      <c r="BK60" s="89">
        <f t="shared" ca="1" si="12"/>
        <v>0</v>
      </c>
      <c r="BL60" s="89">
        <f t="shared" ca="1" si="13"/>
        <v>0</v>
      </c>
      <c r="BM60" s="89">
        <f t="shared" ca="1" si="14"/>
        <v>0</v>
      </c>
      <c r="BN60" s="89">
        <f t="shared" ca="1" si="15"/>
        <v>0</v>
      </c>
      <c r="BO60" s="89">
        <f t="shared" ca="1" si="16"/>
        <v>0</v>
      </c>
      <c r="BP60" s="89">
        <f t="shared" ca="1" si="17"/>
        <v>0</v>
      </c>
      <c r="BQ60" s="89">
        <f t="shared" ca="1" si="18"/>
        <v>0</v>
      </c>
      <c r="BR60" s="87">
        <f t="shared" ca="1" si="19"/>
        <v>0</v>
      </c>
      <c r="BS60" s="89">
        <f t="shared" ca="1" si="20"/>
        <v>0</v>
      </c>
      <c r="BT60" s="89">
        <f t="shared" ca="1" si="21"/>
        <v>0</v>
      </c>
      <c r="BU60" s="89">
        <f t="shared" ca="1" si="22"/>
        <v>0</v>
      </c>
      <c r="BV60" s="87">
        <f t="shared" ca="1" si="23"/>
        <v>0</v>
      </c>
      <c r="BW60" s="87" t="str">
        <f t="shared" ca="1" si="24"/>
        <v>000</v>
      </c>
      <c r="BX60" s="89">
        <f t="shared" ca="1" si="25"/>
        <v>0</v>
      </c>
    </row>
    <row r="61" spans="1:76">
      <c r="A61" s="90">
        <f t="shared" si="2"/>
        <v>61</v>
      </c>
      <c r="B61" s="89" t="s">
        <v>218</v>
      </c>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BA61" s="91">
        <f t="shared" ca="1" si="3"/>
        <v>0</v>
      </c>
      <c r="BB61" s="88" t="str">
        <f t="shared" ca="1" si="4"/>
        <v/>
      </c>
      <c r="BC61" s="89">
        <f t="shared" ca="1" si="5"/>
        <v>0</v>
      </c>
      <c r="BD61" s="89">
        <f ca="1">IF(BC61=0,0,RANK(BF61,$BF$11:$BF$70,0)+(COUNTIF($BF61:$BF$70,BF61)-1))</f>
        <v>0</v>
      </c>
      <c r="BE61" s="89">
        <f t="shared" ca="1" si="6"/>
        <v>0</v>
      </c>
      <c r="BF61" s="89">
        <f t="shared" ca="1" si="7"/>
        <v>0</v>
      </c>
      <c r="BG61" s="89">
        <f t="shared" ca="1" si="8"/>
        <v>0</v>
      </c>
      <c r="BH61" s="89">
        <f t="shared" ca="1" si="9"/>
        <v>0</v>
      </c>
      <c r="BI61" s="89">
        <f t="shared" ca="1" si="10"/>
        <v>0</v>
      </c>
      <c r="BJ61" s="89">
        <f t="shared" ca="1" si="11"/>
        <v>0</v>
      </c>
      <c r="BK61" s="89">
        <f t="shared" ca="1" si="12"/>
        <v>0</v>
      </c>
      <c r="BL61" s="89">
        <f t="shared" ca="1" si="13"/>
        <v>0</v>
      </c>
      <c r="BM61" s="89">
        <f t="shared" ca="1" si="14"/>
        <v>0</v>
      </c>
      <c r="BN61" s="89">
        <f t="shared" ca="1" si="15"/>
        <v>0</v>
      </c>
      <c r="BO61" s="89">
        <f t="shared" ca="1" si="16"/>
        <v>0</v>
      </c>
      <c r="BP61" s="89">
        <f t="shared" ca="1" si="17"/>
        <v>0</v>
      </c>
      <c r="BQ61" s="89">
        <f t="shared" ca="1" si="18"/>
        <v>0</v>
      </c>
      <c r="BR61" s="87">
        <f t="shared" ca="1" si="19"/>
        <v>0</v>
      </c>
      <c r="BS61" s="89">
        <f t="shared" ca="1" si="20"/>
        <v>0</v>
      </c>
      <c r="BT61" s="89">
        <f t="shared" ca="1" si="21"/>
        <v>0</v>
      </c>
      <c r="BU61" s="89">
        <f t="shared" ca="1" si="22"/>
        <v>0</v>
      </c>
      <c r="BV61" s="87">
        <f t="shared" ca="1" si="23"/>
        <v>0</v>
      </c>
      <c r="BW61" s="87" t="str">
        <f t="shared" ca="1" si="24"/>
        <v>000</v>
      </c>
      <c r="BX61" s="89">
        <f t="shared" ca="1" si="25"/>
        <v>0</v>
      </c>
    </row>
    <row r="62" spans="1:76">
      <c r="A62" s="90" t="str">
        <f t="shared" si="2"/>
        <v/>
      </c>
      <c r="B62" s="89">
        <v>1</v>
      </c>
      <c r="C62" s="89" t="s">
        <v>210</v>
      </c>
      <c r="D62" s="89">
        <v>2</v>
      </c>
      <c r="E62" s="89">
        <v>-2</v>
      </c>
      <c r="F62" s="89" t="s">
        <v>210</v>
      </c>
      <c r="G62" s="89" t="s">
        <v>202</v>
      </c>
      <c r="H62" s="89" t="s">
        <v>210</v>
      </c>
      <c r="I62" s="89" t="s">
        <v>210</v>
      </c>
      <c r="J62" s="89">
        <v>-1</v>
      </c>
      <c r="K62" s="89">
        <v>2</v>
      </c>
      <c r="L62" s="89" t="s">
        <v>210</v>
      </c>
      <c r="M62" s="89">
        <v>1</v>
      </c>
      <c r="N62" s="89" t="s">
        <v>210</v>
      </c>
      <c r="O62" s="89" t="s">
        <v>210</v>
      </c>
      <c r="P62" s="89">
        <v>-2</v>
      </c>
      <c r="Q62" s="89" t="s">
        <v>210</v>
      </c>
      <c r="R62" s="89">
        <v>-1</v>
      </c>
      <c r="S62" s="89">
        <v>1</v>
      </c>
      <c r="T62" s="89" t="s">
        <v>210</v>
      </c>
      <c r="U62" s="89"/>
      <c r="V62" s="89"/>
      <c r="W62" s="89"/>
      <c r="X62" s="89"/>
      <c r="Y62" s="89"/>
      <c r="Z62" s="89"/>
      <c r="AA62" s="89"/>
      <c r="AB62" s="89"/>
      <c r="AC62" s="89"/>
      <c r="AD62" s="89"/>
      <c r="AE62" s="89"/>
      <c r="AF62" s="89"/>
      <c r="AG62" s="89"/>
      <c r="AH62" s="89"/>
      <c r="AI62" s="89"/>
      <c r="AJ62" s="89"/>
      <c r="AK62" s="89"/>
      <c r="AL62" s="89"/>
      <c r="AM62" s="89"/>
      <c r="AN62" s="89"/>
      <c r="AO62" s="89"/>
      <c r="AP62" s="89"/>
      <c r="BA62" s="91">
        <f t="shared" ca="1" si="3"/>
        <v>0</v>
      </c>
      <c r="BB62" s="88" t="str">
        <f t="shared" ca="1" si="4"/>
        <v/>
      </c>
      <c r="BC62" s="89">
        <f t="shared" ca="1" si="5"/>
        <v>0</v>
      </c>
      <c r="BD62" s="89">
        <f ca="1">IF(BC62=0,0,RANK(BF62,$BF$11:$BF$70,0)+(COUNTIF($BF62:$BF$70,BF62)-1))</f>
        <v>0</v>
      </c>
      <c r="BE62" s="89">
        <f t="shared" ca="1" si="6"/>
        <v>0</v>
      </c>
      <c r="BF62" s="89">
        <f t="shared" ca="1" si="7"/>
        <v>0</v>
      </c>
      <c r="BG62" s="89">
        <f t="shared" ca="1" si="8"/>
        <v>0</v>
      </c>
      <c r="BH62" s="89">
        <f t="shared" ca="1" si="9"/>
        <v>0</v>
      </c>
      <c r="BI62" s="89">
        <f t="shared" ca="1" si="10"/>
        <v>0</v>
      </c>
      <c r="BJ62" s="89">
        <f t="shared" ca="1" si="11"/>
        <v>0</v>
      </c>
      <c r="BK62" s="89">
        <f t="shared" ca="1" si="12"/>
        <v>0</v>
      </c>
      <c r="BL62" s="89">
        <f t="shared" ca="1" si="13"/>
        <v>0</v>
      </c>
      <c r="BM62" s="89">
        <f t="shared" ca="1" si="14"/>
        <v>0</v>
      </c>
      <c r="BN62" s="89">
        <f t="shared" ca="1" si="15"/>
        <v>0</v>
      </c>
      <c r="BO62" s="89">
        <f t="shared" ca="1" si="16"/>
        <v>0</v>
      </c>
      <c r="BP62" s="89">
        <f t="shared" ca="1" si="17"/>
        <v>0</v>
      </c>
      <c r="BQ62" s="89">
        <f t="shared" ca="1" si="18"/>
        <v>0</v>
      </c>
      <c r="BR62" s="87">
        <f t="shared" ca="1" si="19"/>
        <v>0</v>
      </c>
      <c r="BS62" s="89">
        <f t="shared" ca="1" si="20"/>
        <v>0</v>
      </c>
      <c r="BT62" s="89">
        <f t="shared" ca="1" si="21"/>
        <v>0</v>
      </c>
      <c r="BU62" s="89">
        <f t="shared" ca="1" si="22"/>
        <v>0</v>
      </c>
      <c r="BV62" s="87">
        <f t="shared" ca="1" si="23"/>
        <v>0</v>
      </c>
      <c r="BW62" s="87" t="str">
        <f t="shared" ca="1" si="24"/>
        <v>000</v>
      </c>
      <c r="BX62" s="89">
        <f t="shared" ca="1" si="25"/>
        <v>0</v>
      </c>
    </row>
    <row r="63" spans="1:76">
      <c r="A63" s="90" t="str">
        <f t="shared" si="2"/>
        <v/>
      </c>
      <c r="B63" s="89">
        <v>2</v>
      </c>
      <c r="C63" s="89" t="s">
        <v>210</v>
      </c>
      <c r="D63" s="89">
        <v>-1</v>
      </c>
      <c r="E63" s="89" t="s">
        <v>210</v>
      </c>
      <c r="F63" s="89">
        <v>2</v>
      </c>
      <c r="G63" s="89">
        <v>1</v>
      </c>
      <c r="H63" s="89" t="s">
        <v>210</v>
      </c>
      <c r="I63" s="89">
        <v>-2</v>
      </c>
      <c r="J63" s="89" t="s">
        <v>210</v>
      </c>
      <c r="K63" s="89" t="s">
        <v>210</v>
      </c>
      <c r="L63" s="89">
        <v>1</v>
      </c>
      <c r="M63" s="89" t="s">
        <v>210</v>
      </c>
      <c r="N63" s="89">
        <v>2</v>
      </c>
      <c r="O63" s="89" t="s">
        <v>202</v>
      </c>
      <c r="P63" s="89" t="s">
        <v>210</v>
      </c>
      <c r="Q63" s="89">
        <v>-2</v>
      </c>
      <c r="R63" s="89" t="s">
        <v>210</v>
      </c>
      <c r="S63" s="89">
        <v>-1</v>
      </c>
      <c r="T63" s="89" t="s">
        <v>210</v>
      </c>
      <c r="U63" s="89"/>
      <c r="V63" s="89"/>
      <c r="W63" s="89"/>
      <c r="X63" s="89"/>
      <c r="Y63" s="89"/>
      <c r="Z63" s="89"/>
      <c r="AA63" s="89"/>
      <c r="AB63" s="89"/>
      <c r="AC63" s="89"/>
      <c r="AD63" s="89"/>
      <c r="AE63" s="89"/>
      <c r="AF63" s="89"/>
      <c r="AG63" s="89"/>
      <c r="AH63" s="89"/>
      <c r="AI63" s="89"/>
      <c r="AJ63" s="89"/>
      <c r="AK63" s="89"/>
      <c r="AL63" s="89"/>
      <c r="AM63" s="89"/>
      <c r="AN63" s="89"/>
      <c r="AO63" s="89"/>
      <c r="AP63" s="89"/>
      <c r="BA63" s="91">
        <f t="shared" ca="1" si="3"/>
        <v>0</v>
      </c>
      <c r="BB63" s="88" t="str">
        <f t="shared" ca="1" si="4"/>
        <v/>
      </c>
      <c r="BC63" s="89">
        <f t="shared" ca="1" si="5"/>
        <v>0</v>
      </c>
      <c r="BD63" s="89">
        <f ca="1">IF(BC63=0,0,RANK(BF63,$BF$11:$BF$70,0)+(COUNTIF($BF63:$BF$70,BF63)-1))</f>
        <v>0</v>
      </c>
      <c r="BE63" s="89">
        <f t="shared" ca="1" si="6"/>
        <v>0</v>
      </c>
      <c r="BF63" s="89">
        <f t="shared" ca="1" si="7"/>
        <v>0</v>
      </c>
      <c r="BG63" s="89">
        <f t="shared" ca="1" si="8"/>
        <v>0</v>
      </c>
      <c r="BH63" s="89">
        <f t="shared" ca="1" si="9"/>
        <v>0</v>
      </c>
      <c r="BI63" s="89">
        <f t="shared" ca="1" si="10"/>
        <v>0</v>
      </c>
      <c r="BJ63" s="89">
        <f t="shared" ca="1" si="11"/>
        <v>0</v>
      </c>
      <c r="BK63" s="89">
        <f t="shared" ca="1" si="12"/>
        <v>0</v>
      </c>
      <c r="BL63" s="89">
        <f t="shared" ca="1" si="13"/>
        <v>0</v>
      </c>
      <c r="BM63" s="89">
        <f t="shared" ca="1" si="14"/>
        <v>0</v>
      </c>
      <c r="BN63" s="89">
        <f t="shared" ca="1" si="15"/>
        <v>0</v>
      </c>
      <c r="BO63" s="89">
        <f t="shared" ca="1" si="16"/>
        <v>0</v>
      </c>
      <c r="BP63" s="89">
        <f t="shared" ca="1" si="17"/>
        <v>0</v>
      </c>
      <c r="BQ63" s="89">
        <f t="shared" ca="1" si="18"/>
        <v>0</v>
      </c>
      <c r="BR63" s="87">
        <f t="shared" ca="1" si="19"/>
        <v>0</v>
      </c>
      <c r="BS63" s="89">
        <f t="shared" ca="1" si="20"/>
        <v>0</v>
      </c>
      <c r="BT63" s="89">
        <f t="shared" ca="1" si="21"/>
        <v>0</v>
      </c>
      <c r="BU63" s="89">
        <f t="shared" ca="1" si="22"/>
        <v>0</v>
      </c>
      <c r="BV63" s="87">
        <f t="shared" ca="1" si="23"/>
        <v>0</v>
      </c>
      <c r="BW63" s="87" t="str">
        <f t="shared" ca="1" si="24"/>
        <v>000</v>
      </c>
      <c r="BX63" s="89">
        <f t="shared" ca="1" si="25"/>
        <v>0</v>
      </c>
    </row>
    <row r="64" spans="1:76">
      <c r="A64" s="90" t="str">
        <f t="shared" si="2"/>
        <v/>
      </c>
      <c r="B64" s="89">
        <v>3</v>
      </c>
      <c r="C64" s="89">
        <v>-2</v>
      </c>
      <c r="D64" s="89" t="s">
        <v>210</v>
      </c>
      <c r="E64" s="89" t="s">
        <v>202</v>
      </c>
      <c r="F64" s="89" t="s">
        <v>210</v>
      </c>
      <c r="G64" s="89" t="s">
        <v>210</v>
      </c>
      <c r="H64" s="89">
        <v>2</v>
      </c>
      <c r="I64" s="89" t="s">
        <v>210</v>
      </c>
      <c r="J64" s="89">
        <v>1</v>
      </c>
      <c r="K64" s="89">
        <v>-1</v>
      </c>
      <c r="L64" s="89" t="s">
        <v>210</v>
      </c>
      <c r="M64" s="89" t="s">
        <v>210</v>
      </c>
      <c r="N64" s="89">
        <v>-2</v>
      </c>
      <c r="O64" s="89" t="s">
        <v>210</v>
      </c>
      <c r="P64" s="89">
        <v>-1</v>
      </c>
      <c r="Q64" s="89">
        <v>1</v>
      </c>
      <c r="R64" s="89" t="s">
        <v>210</v>
      </c>
      <c r="S64" s="89">
        <v>2</v>
      </c>
      <c r="T64" s="89" t="s">
        <v>210</v>
      </c>
      <c r="U64" s="89"/>
      <c r="V64" s="89"/>
      <c r="W64" s="89"/>
      <c r="X64" s="89"/>
      <c r="Y64" s="89"/>
      <c r="Z64" s="89"/>
      <c r="AA64" s="89"/>
      <c r="AB64" s="89"/>
      <c r="AC64" s="89"/>
      <c r="AD64" s="89"/>
      <c r="AE64" s="89"/>
      <c r="AF64" s="89"/>
      <c r="AG64" s="89"/>
      <c r="AH64" s="89"/>
      <c r="AI64" s="89"/>
      <c r="AJ64" s="89"/>
      <c r="AK64" s="89"/>
      <c r="AL64" s="89"/>
      <c r="AM64" s="89"/>
      <c r="AN64" s="89"/>
      <c r="AO64" s="89"/>
      <c r="AP64" s="89"/>
      <c r="BA64" s="91">
        <f t="shared" ca="1" si="3"/>
        <v>0</v>
      </c>
      <c r="BB64" s="88" t="str">
        <f t="shared" ca="1" si="4"/>
        <v/>
      </c>
      <c r="BC64" s="89">
        <f t="shared" ca="1" si="5"/>
        <v>0</v>
      </c>
      <c r="BD64" s="89">
        <f ca="1">IF(BC64=0,0,RANK(BF64,$BF$11:$BF$70,0)+(COUNTIF($BF64:$BF$70,BF64)-1))</f>
        <v>0</v>
      </c>
      <c r="BE64" s="89">
        <f t="shared" ca="1" si="6"/>
        <v>0</v>
      </c>
      <c r="BF64" s="89">
        <f t="shared" ca="1" si="7"/>
        <v>0</v>
      </c>
      <c r="BG64" s="89">
        <f t="shared" ca="1" si="8"/>
        <v>0</v>
      </c>
      <c r="BH64" s="89">
        <f t="shared" ca="1" si="9"/>
        <v>0</v>
      </c>
      <c r="BI64" s="89">
        <f t="shared" ca="1" si="10"/>
        <v>0</v>
      </c>
      <c r="BJ64" s="89">
        <f t="shared" ca="1" si="11"/>
        <v>0</v>
      </c>
      <c r="BK64" s="89">
        <f t="shared" ca="1" si="12"/>
        <v>0</v>
      </c>
      <c r="BL64" s="89">
        <f t="shared" ca="1" si="13"/>
        <v>0</v>
      </c>
      <c r="BM64" s="89">
        <f t="shared" ca="1" si="14"/>
        <v>0</v>
      </c>
      <c r="BN64" s="89">
        <f t="shared" ca="1" si="15"/>
        <v>0</v>
      </c>
      <c r="BO64" s="89">
        <f t="shared" ca="1" si="16"/>
        <v>0</v>
      </c>
      <c r="BP64" s="89">
        <f t="shared" ca="1" si="17"/>
        <v>0</v>
      </c>
      <c r="BQ64" s="89">
        <f t="shared" ca="1" si="18"/>
        <v>0</v>
      </c>
      <c r="BR64" s="87">
        <f t="shared" ca="1" si="19"/>
        <v>0</v>
      </c>
      <c r="BS64" s="89">
        <f t="shared" ca="1" si="20"/>
        <v>0</v>
      </c>
      <c r="BT64" s="89">
        <f t="shared" ca="1" si="21"/>
        <v>0</v>
      </c>
      <c r="BU64" s="89">
        <f t="shared" ca="1" si="22"/>
        <v>0</v>
      </c>
      <c r="BV64" s="87">
        <f t="shared" ca="1" si="23"/>
        <v>0</v>
      </c>
      <c r="BW64" s="87" t="str">
        <f t="shared" ca="1" si="24"/>
        <v>000</v>
      </c>
      <c r="BX64" s="89">
        <f t="shared" ca="1" si="25"/>
        <v>0</v>
      </c>
    </row>
    <row r="65" spans="1:76">
      <c r="A65" s="90" t="str">
        <f t="shared" si="2"/>
        <v/>
      </c>
      <c r="B65" s="89">
        <v>4</v>
      </c>
      <c r="C65" s="89" t="s">
        <v>202</v>
      </c>
      <c r="D65" s="89" t="s">
        <v>210</v>
      </c>
      <c r="E65" s="89" t="s">
        <v>210</v>
      </c>
      <c r="F65" s="89">
        <v>1</v>
      </c>
      <c r="G65" s="89">
        <v>-1</v>
      </c>
      <c r="H65" s="89" t="s">
        <v>210</v>
      </c>
      <c r="I65" s="89" t="s">
        <v>210</v>
      </c>
      <c r="J65" s="89">
        <v>2</v>
      </c>
      <c r="K65" s="89">
        <v>-2</v>
      </c>
      <c r="L65" s="89" t="s">
        <v>210</v>
      </c>
      <c r="M65" s="89" t="s">
        <v>210</v>
      </c>
      <c r="N65" s="89">
        <v>-1</v>
      </c>
      <c r="O65" s="89">
        <v>1</v>
      </c>
      <c r="P65" s="89" t="s">
        <v>210</v>
      </c>
      <c r="Q65" s="89" t="s">
        <v>210</v>
      </c>
      <c r="R65" s="89">
        <v>2</v>
      </c>
      <c r="S65" s="89">
        <v>-2</v>
      </c>
      <c r="T65" s="89" t="s">
        <v>210</v>
      </c>
      <c r="U65" s="89"/>
      <c r="V65" s="89"/>
      <c r="W65" s="89"/>
      <c r="X65" s="89"/>
      <c r="Y65" s="89"/>
      <c r="Z65" s="89"/>
      <c r="AA65" s="89"/>
      <c r="AB65" s="89"/>
      <c r="AC65" s="89"/>
      <c r="AD65" s="89"/>
      <c r="AE65" s="89"/>
      <c r="AF65" s="89"/>
      <c r="AG65" s="89"/>
      <c r="AH65" s="89"/>
      <c r="AI65" s="89"/>
      <c r="AJ65" s="89"/>
      <c r="AK65" s="89"/>
      <c r="AL65" s="89"/>
      <c r="AM65" s="89"/>
      <c r="AN65" s="89"/>
      <c r="AO65" s="89"/>
      <c r="AP65" s="89"/>
      <c r="BA65" s="91">
        <f t="shared" ca="1" si="3"/>
        <v>0</v>
      </c>
      <c r="BB65" s="88" t="str">
        <f ca="1">IF(BA64=0,"",CONCATENATE("A",BA64+1,":A",BB$10))</f>
        <v/>
      </c>
      <c r="BC65" s="89">
        <f t="shared" ca="1" si="5"/>
        <v>0</v>
      </c>
      <c r="BD65" s="89">
        <f ca="1">IF(BC65=0,0,RANK(BF65,$BF$11:$BF$70,0)+(COUNTIF($BF65:$BF$70,BF65)-1))</f>
        <v>0</v>
      </c>
      <c r="BE65" s="89">
        <f t="shared" ca="1" si="6"/>
        <v>0</v>
      </c>
      <c r="BF65" s="89">
        <f t="shared" ca="1" si="7"/>
        <v>0</v>
      </c>
      <c r="BG65" s="89">
        <f t="shared" ca="1" si="8"/>
        <v>0</v>
      </c>
      <c r="BH65" s="89">
        <f t="shared" ca="1" si="9"/>
        <v>0</v>
      </c>
      <c r="BI65" s="89">
        <f t="shared" ca="1" si="10"/>
        <v>0</v>
      </c>
      <c r="BJ65" s="89">
        <f t="shared" ca="1" si="11"/>
        <v>0</v>
      </c>
      <c r="BK65" s="89">
        <f t="shared" ca="1" si="12"/>
        <v>0</v>
      </c>
      <c r="BL65" s="89">
        <f t="shared" ca="1" si="13"/>
        <v>0</v>
      </c>
      <c r="BM65" s="89">
        <f t="shared" ca="1" si="14"/>
        <v>0</v>
      </c>
      <c r="BN65" s="89">
        <f t="shared" ca="1" si="15"/>
        <v>0</v>
      </c>
      <c r="BO65" s="89">
        <f t="shared" ca="1" si="16"/>
        <v>0</v>
      </c>
      <c r="BP65" s="89">
        <f t="shared" ca="1" si="17"/>
        <v>0</v>
      </c>
      <c r="BQ65" s="89">
        <f t="shared" ca="1" si="18"/>
        <v>0</v>
      </c>
      <c r="BR65" s="87">
        <f t="shared" ca="1" si="19"/>
        <v>0</v>
      </c>
      <c r="BS65" s="89">
        <f t="shared" ca="1" si="20"/>
        <v>0</v>
      </c>
      <c r="BT65" s="89">
        <f t="shared" ca="1" si="21"/>
        <v>0</v>
      </c>
      <c r="BU65" s="89">
        <f t="shared" ca="1" si="22"/>
        <v>0</v>
      </c>
      <c r="BV65" s="87">
        <f t="shared" ca="1" si="23"/>
        <v>0</v>
      </c>
      <c r="BW65" s="87" t="str">
        <f t="shared" ca="1" si="24"/>
        <v>000</v>
      </c>
      <c r="BX65" s="89">
        <f t="shared" ca="1" si="25"/>
        <v>0</v>
      </c>
    </row>
    <row r="66" spans="1:76">
      <c r="A66" s="90" t="str">
        <f t="shared" si="2"/>
        <v/>
      </c>
      <c r="B66" s="89">
        <v>5</v>
      </c>
      <c r="C66" s="89">
        <v>-1</v>
      </c>
      <c r="D66" s="89" t="s">
        <v>210</v>
      </c>
      <c r="E66" s="89">
        <v>2</v>
      </c>
      <c r="F66" s="89" t="s">
        <v>210</v>
      </c>
      <c r="G66" s="89" t="s">
        <v>210</v>
      </c>
      <c r="H66" s="89">
        <v>-2</v>
      </c>
      <c r="I66" s="89">
        <v>1</v>
      </c>
      <c r="J66" s="89" t="s">
        <v>210</v>
      </c>
      <c r="K66" s="89" t="s">
        <v>210</v>
      </c>
      <c r="L66" s="89">
        <v>-1</v>
      </c>
      <c r="M66" s="89" t="s">
        <v>202</v>
      </c>
      <c r="N66" s="89" t="s">
        <v>210</v>
      </c>
      <c r="O66" s="89">
        <v>2</v>
      </c>
      <c r="P66" s="89" t="s">
        <v>210</v>
      </c>
      <c r="Q66" s="89" t="s">
        <v>210</v>
      </c>
      <c r="R66" s="89">
        <v>-2</v>
      </c>
      <c r="S66" s="89" t="s">
        <v>210</v>
      </c>
      <c r="T66" s="89">
        <v>1</v>
      </c>
      <c r="U66" s="89"/>
      <c r="V66" s="89"/>
      <c r="W66" s="89"/>
      <c r="X66" s="89"/>
      <c r="Y66" s="89"/>
      <c r="Z66" s="89"/>
      <c r="AA66" s="89"/>
      <c r="AB66" s="89"/>
      <c r="AC66" s="89"/>
      <c r="AD66" s="89"/>
      <c r="AE66" s="89"/>
      <c r="AF66" s="89"/>
      <c r="AG66" s="89"/>
      <c r="AH66" s="89"/>
      <c r="AI66" s="89"/>
      <c r="AJ66" s="89"/>
      <c r="AK66" s="89"/>
      <c r="AL66" s="89"/>
      <c r="AM66" s="89"/>
      <c r="AN66" s="89"/>
      <c r="AO66" s="89"/>
      <c r="AP66" s="89"/>
      <c r="BA66" s="91">
        <f t="shared" ca="1" si="3"/>
        <v>0</v>
      </c>
      <c r="BB66" s="88" t="str">
        <f t="shared" ca="1" si="4"/>
        <v/>
      </c>
      <c r="BC66" s="89">
        <f t="shared" ca="1" si="5"/>
        <v>0</v>
      </c>
      <c r="BD66" s="89">
        <f ca="1">IF(BC66=0,0,RANK(BF66,$BF$11:$BF$70,0)+(COUNTIF($BF66:$BF$70,BF66)-1))</f>
        <v>0</v>
      </c>
      <c r="BE66" s="89">
        <f t="shared" ca="1" si="6"/>
        <v>0</v>
      </c>
      <c r="BF66" s="89">
        <f t="shared" ca="1" si="7"/>
        <v>0</v>
      </c>
      <c r="BG66" s="89">
        <f t="shared" ca="1" si="8"/>
        <v>0</v>
      </c>
      <c r="BH66" s="89">
        <f t="shared" ca="1" si="9"/>
        <v>0</v>
      </c>
      <c r="BI66" s="89">
        <f t="shared" ca="1" si="10"/>
        <v>0</v>
      </c>
      <c r="BJ66" s="89">
        <f t="shared" ca="1" si="11"/>
        <v>0</v>
      </c>
      <c r="BK66" s="89">
        <f t="shared" ca="1" si="12"/>
        <v>0</v>
      </c>
      <c r="BL66" s="89">
        <f t="shared" ca="1" si="13"/>
        <v>0</v>
      </c>
      <c r="BM66" s="89">
        <f t="shared" ca="1" si="14"/>
        <v>0</v>
      </c>
      <c r="BN66" s="89">
        <f t="shared" ca="1" si="15"/>
        <v>0</v>
      </c>
      <c r="BO66" s="89">
        <f t="shared" ca="1" si="16"/>
        <v>0</v>
      </c>
      <c r="BP66" s="89">
        <f t="shared" ca="1" si="17"/>
        <v>0</v>
      </c>
      <c r="BQ66" s="89">
        <f t="shared" ca="1" si="18"/>
        <v>0</v>
      </c>
      <c r="BR66" s="87">
        <f t="shared" ca="1" si="19"/>
        <v>0</v>
      </c>
      <c r="BS66" s="89">
        <f t="shared" ca="1" si="20"/>
        <v>0</v>
      </c>
      <c r="BT66" s="89">
        <f t="shared" ca="1" si="21"/>
        <v>0</v>
      </c>
      <c r="BU66" s="89">
        <f t="shared" ca="1" si="22"/>
        <v>0</v>
      </c>
      <c r="BV66" s="87">
        <f t="shared" ca="1" si="23"/>
        <v>0</v>
      </c>
      <c r="BW66" s="87" t="str">
        <f t="shared" ca="1" si="24"/>
        <v>000</v>
      </c>
      <c r="BX66" s="89">
        <f t="shared" ca="1" si="25"/>
        <v>0</v>
      </c>
    </row>
    <row r="67" spans="1:76">
      <c r="A67" s="90" t="str">
        <f t="shared" si="2"/>
        <v/>
      </c>
      <c r="B67" s="89">
        <v>6</v>
      </c>
      <c r="C67" s="89" t="s">
        <v>210</v>
      </c>
      <c r="D67" s="89">
        <v>1</v>
      </c>
      <c r="E67" s="89">
        <v>-1</v>
      </c>
      <c r="F67" s="89" t="s">
        <v>210</v>
      </c>
      <c r="G67" s="89">
        <v>2</v>
      </c>
      <c r="H67" s="89" t="s">
        <v>210</v>
      </c>
      <c r="I67" s="89" t="s">
        <v>210</v>
      </c>
      <c r="J67" s="89">
        <v>-2</v>
      </c>
      <c r="K67" s="89">
        <v>1</v>
      </c>
      <c r="L67" s="89" t="s">
        <v>210</v>
      </c>
      <c r="M67" s="89">
        <v>-2</v>
      </c>
      <c r="N67" s="89" t="s">
        <v>210</v>
      </c>
      <c r="O67" s="89" t="s">
        <v>210</v>
      </c>
      <c r="P67" s="89">
        <v>2</v>
      </c>
      <c r="Q67" s="89" t="s">
        <v>202</v>
      </c>
      <c r="R67" s="89" t="s">
        <v>210</v>
      </c>
      <c r="S67" s="89" t="s">
        <v>210</v>
      </c>
      <c r="T67" s="89">
        <v>-1</v>
      </c>
      <c r="U67" s="89"/>
      <c r="V67" s="89"/>
      <c r="W67" s="89"/>
      <c r="X67" s="89"/>
      <c r="Y67" s="89"/>
      <c r="Z67" s="89"/>
      <c r="AA67" s="89"/>
      <c r="AB67" s="89"/>
      <c r="AC67" s="89"/>
      <c r="AD67" s="89"/>
      <c r="AE67" s="89"/>
      <c r="AF67" s="89"/>
      <c r="AG67" s="89"/>
      <c r="AH67" s="89"/>
      <c r="AI67" s="89"/>
      <c r="AJ67" s="89"/>
      <c r="AK67" s="89"/>
      <c r="AL67" s="89"/>
      <c r="AM67" s="89"/>
      <c r="AN67" s="89"/>
      <c r="AO67" s="89"/>
      <c r="AP67" s="89"/>
      <c r="BA67" s="91">
        <f t="shared" ca="1" si="3"/>
        <v>0</v>
      </c>
      <c r="BB67" s="88" t="str">
        <f t="shared" ca="1" si="4"/>
        <v/>
      </c>
      <c r="BC67" s="89">
        <f t="shared" ca="1" si="5"/>
        <v>0</v>
      </c>
      <c r="BD67" s="89">
        <f ca="1">IF(BC67=0,0,RANK(BF67,$BF$11:$BF$70,0)+(COUNTIF($BF67:$BF$70,BF67)-1))</f>
        <v>0</v>
      </c>
      <c r="BE67" s="89">
        <f t="shared" ca="1" si="6"/>
        <v>0</v>
      </c>
      <c r="BF67" s="89">
        <f t="shared" ca="1" si="7"/>
        <v>0</v>
      </c>
      <c r="BG67" s="89">
        <f t="shared" ca="1" si="8"/>
        <v>0</v>
      </c>
      <c r="BH67" s="89">
        <f t="shared" ca="1" si="9"/>
        <v>0</v>
      </c>
      <c r="BI67" s="89">
        <f t="shared" ca="1" si="10"/>
        <v>0</v>
      </c>
      <c r="BJ67" s="89">
        <f t="shared" ca="1" si="11"/>
        <v>0</v>
      </c>
      <c r="BK67" s="89">
        <f t="shared" ca="1" si="12"/>
        <v>0</v>
      </c>
      <c r="BL67" s="89">
        <f t="shared" ca="1" si="13"/>
        <v>0</v>
      </c>
      <c r="BM67" s="89">
        <f t="shared" ca="1" si="14"/>
        <v>0</v>
      </c>
      <c r="BN67" s="89">
        <f t="shared" ca="1" si="15"/>
        <v>0</v>
      </c>
      <c r="BO67" s="89">
        <f t="shared" ca="1" si="16"/>
        <v>0</v>
      </c>
      <c r="BP67" s="89">
        <f t="shared" ca="1" si="17"/>
        <v>0</v>
      </c>
      <c r="BQ67" s="89">
        <f t="shared" ca="1" si="18"/>
        <v>0</v>
      </c>
      <c r="BR67" s="87">
        <f t="shared" ca="1" si="19"/>
        <v>0</v>
      </c>
      <c r="BS67" s="89">
        <f t="shared" ca="1" si="20"/>
        <v>0</v>
      </c>
      <c r="BT67" s="89">
        <f t="shared" ca="1" si="21"/>
        <v>0</v>
      </c>
      <c r="BU67" s="89">
        <f t="shared" ca="1" si="22"/>
        <v>0</v>
      </c>
      <c r="BV67" s="87">
        <f t="shared" ca="1" si="23"/>
        <v>0</v>
      </c>
      <c r="BW67" s="87" t="str">
        <f t="shared" ca="1" si="24"/>
        <v>000</v>
      </c>
      <c r="BX67" s="89">
        <f t="shared" ca="1" si="25"/>
        <v>0</v>
      </c>
    </row>
    <row r="68" spans="1:76">
      <c r="A68" s="90" t="str">
        <f t="shared" si="2"/>
        <v/>
      </c>
      <c r="B68" s="89">
        <v>7</v>
      </c>
      <c r="C68" s="89">
        <v>1</v>
      </c>
      <c r="D68" s="89" t="s">
        <v>210</v>
      </c>
      <c r="E68" s="89" t="s">
        <v>210</v>
      </c>
      <c r="F68" s="89">
        <v>-1</v>
      </c>
      <c r="G68" s="89">
        <v>-2</v>
      </c>
      <c r="H68" s="89" t="s">
        <v>210</v>
      </c>
      <c r="I68" s="89" t="s">
        <v>202</v>
      </c>
      <c r="J68" s="89" t="s">
        <v>210</v>
      </c>
      <c r="K68" s="89" t="s">
        <v>210</v>
      </c>
      <c r="L68" s="89">
        <v>2</v>
      </c>
      <c r="M68" s="89">
        <v>-1</v>
      </c>
      <c r="N68" s="89" t="s">
        <v>210</v>
      </c>
      <c r="O68" s="89" t="s">
        <v>210</v>
      </c>
      <c r="P68" s="89">
        <v>1</v>
      </c>
      <c r="Q68" s="89">
        <v>2</v>
      </c>
      <c r="R68" s="89" t="s">
        <v>210</v>
      </c>
      <c r="S68" s="89" t="s">
        <v>210</v>
      </c>
      <c r="T68" s="89">
        <v>-2</v>
      </c>
      <c r="U68" s="89"/>
      <c r="V68" s="89"/>
      <c r="W68" s="89"/>
      <c r="X68" s="89"/>
      <c r="Y68" s="89"/>
      <c r="Z68" s="89"/>
      <c r="AA68" s="89"/>
      <c r="AB68" s="89"/>
      <c r="AC68" s="89"/>
      <c r="AD68" s="89"/>
      <c r="AE68" s="89"/>
      <c r="AF68" s="89"/>
      <c r="AG68" s="89"/>
      <c r="AH68" s="89"/>
      <c r="AI68" s="89"/>
      <c r="AJ68" s="89"/>
      <c r="AK68" s="89"/>
      <c r="AL68" s="89"/>
      <c r="AM68" s="89"/>
      <c r="AN68" s="89"/>
      <c r="AO68" s="89"/>
      <c r="AP68" s="89"/>
      <c r="BA68" s="91">
        <f t="shared" ca="1" si="3"/>
        <v>0</v>
      </c>
      <c r="BB68" s="88" t="str">
        <f t="shared" ca="1" si="4"/>
        <v/>
      </c>
      <c r="BC68" s="89">
        <f t="shared" ca="1" si="5"/>
        <v>0</v>
      </c>
      <c r="BD68" s="89">
        <f ca="1">IF(BC68=0,0,RANK(BF68,$BF$11:$BF$70,0)+(COUNTIF($BF68:$BF$70,BF68)-1))</f>
        <v>0</v>
      </c>
      <c r="BE68" s="89">
        <f t="shared" ca="1" si="6"/>
        <v>0</v>
      </c>
      <c r="BF68" s="89">
        <f t="shared" ca="1" si="7"/>
        <v>0</v>
      </c>
      <c r="BG68" s="89">
        <f t="shared" ca="1" si="8"/>
        <v>0</v>
      </c>
      <c r="BH68" s="89">
        <f t="shared" ca="1" si="9"/>
        <v>0</v>
      </c>
      <c r="BI68" s="89">
        <f t="shared" ca="1" si="10"/>
        <v>0</v>
      </c>
      <c r="BJ68" s="89">
        <f t="shared" ca="1" si="11"/>
        <v>0</v>
      </c>
      <c r="BK68" s="89">
        <f t="shared" ca="1" si="12"/>
        <v>0</v>
      </c>
      <c r="BL68" s="89">
        <f t="shared" ca="1" si="13"/>
        <v>0</v>
      </c>
      <c r="BM68" s="89">
        <f t="shared" ca="1" si="14"/>
        <v>0</v>
      </c>
      <c r="BN68" s="89">
        <f t="shared" ca="1" si="15"/>
        <v>0</v>
      </c>
      <c r="BO68" s="89">
        <f t="shared" ca="1" si="16"/>
        <v>0</v>
      </c>
      <c r="BP68" s="89">
        <f t="shared" ca="1" si="17"/>
        <v>0</v>
      </c>
      <c r="BQ68" s="89">
        <f t="shared" ca="1" si="18"/>
        <v>0</v>
      </c>
      <c r="BR68" s="87">
        <f t="shared" ca="1" si="19"/>
        <v>0</v>
      </c>
      <c r="BS68" s="89">
        <f t="shared" ca="1" si="20"/>
        <v>0</v>
      </c>
      <c r="BT68" s="89">
        <f t="shared" ca="1" si="21"/>
        <v>0</v>
      </c>
      <c r="BU68" s="89">
        <f t="shared" ca="1" si="22"/>
        <v>0</v>
      </c>
      <c r="BV68" s="87">
        <f t="shared" ca="1" si="23"/>
        <v>0</v>
      </c>
      <c r="BW68" s="87" t="str">
        <f t="shared" ca="1" si="24"/>
        <v>000</v>
      </c>
      <c r="BX68" s="89">
        <f t="shared" ca="1" si="25"/>
        <v>0</v>
      </c>
    </row>
    <row r="69" spans="1:76">
      <c r="A69" s="90" t="str">
        <f t="shared" si="2"/>
        <v/>
      </c>
      <c r="B69" s="89">
        <v>8</v>
      </c>
      <c r="C69" s="89" t="s">
        <v>210</v>
      </c>
      <c r="D69" s="89">
        <v>-2</v>
      </c>
      <c r="E69" s="89">
        <v>1</v>
      </c>
      <c r="F69" s="89" t="s">
        <v>210</v>
      </c>
      <c r="G69" s="89" t="s">
        <v>210</v>
      </c>
      <c r="H69" s="89">
        <v>-1</v>
      </c>
      <c r="I69" s="89">
        <v>2</v>
      </c>
      <c r="J69" s="89" t="s">
        <v>210</v>
      </c>
      <c r="K69" s="89" t="s">
        <v>202</v>
      </c>
      <c r="L69" s="89" t="s">
        <v>210</v>
      </c>
      <c r="M69" s="89" t="s">
        <v>210</v>
      </c>
      <c r="N69" s="89">
        <v>1</v>
      </c>
      <c r="O69" s="89">
        <v>-2</v>
      </c>
      <c r="P69" s="89" t="s">
        <v>210</v>
      </c>
      <c r="Q69" s="89">
        <v>-1</v>
      </c>
      <c r="R69" s="89" t="s">
        <v>210</v>
      </c>
      <c r="S69" s="89" t="s">
        <v>210</v>
      </c>
      <c r="T69" s="89">
        <v>2</v>
      </c>
      <c r="U69" s="89"/>
      <c r="V69" s="89"/>
      <c r="W69" s="89"/>
      <c r="X69" s="89"/>
      <c r="Y69" s="89"/>
      <c r="Z69" s="89"/>
      <c r="AA69" s="89"/>
      <c r="AB69" s="89"/>
      <c r="AC69" s="89"/>
      <c r="AD69" s="89"/>
      <c r="AE69" s="89"/>
      <c r="AF69" s="89"/>
      <c r="AG69" s="89"/>
      <c r="AH69" s="89"/>
      <c r="AI69" s="89"/>
      <c r="AJ69" s="89"/>
      <c r="AK69" s="89"/>
      <c r="AL69" s="89"/>
      <c r="AM69" s="89"/>
      <c r="AN69" s="89"/>
      <c r="AO69" s="89"/>
      <c r="AP69" s="89"/>
      <c r="BA69" s="91">
        <f t="shared" ca="1" si="3"/>
        <v>0</v>
      </c>
      <c r="BB69" s="88" t="str">
        <f t="shared" ca="1" si="4"/>
        <v/>
      </c>
      <c r="BC69" s="89">
        <f t="shared" ca="1" si="5"/>
        <v>0</v>
      </c>
      <c r="BD69" s="89">
        <f ca="1">IF(BC69=0,0,RANK(BF69,$BF$11:$BF$70,0)+(COUNTIF($BF69:$BF$70,BF69)-1))</f>
        <v>0</v>
      </c>
      <c r="BE69" s="89">
        <f t="shared" ca="1" si="6"/>
        <v>0</v>
      </c>
      <c r="BF69" s="89">
        <f t="shared" ca="1" si="7"/>
        <v>0</v>
      </c>
      <c r="BG69" s="89">
        <f t="shared" ca="1" si="8"/>
        <v>0</v>
      </c>
      <c r="BH69" s="89">
        <f t="shared" ca="1" si="9"/>
        <v>0</v>
      </c>
      <c r="BI69" s="89">
        <f t="shared" ca="1" si="10"/>
        <v>0</v>
      </c>
      <c r="BJ69" s="89">
        <f t="shared" ca="1" si="11"/>
        <v>0</v>
      </c>
      <c r="BK69" s="89">
        <f t="shared" ca="1" si="12"/>
        <v>0</v>
      </c>
      <c r="BL69" s="89">
        <f t="shared" ca="1" si="13"/>
        <v>0</v>
      </c>
      <c r="BM69" s="89">
        <f t="shared" ca="1" si="14"/>
        <v>0</v>
      </c>
      <c r="BN69" s="89">
        <f t="shared" ca="1" si="15"/>
        <v>0</v>
      </c>
      <c r="BO69" s="89">
        <f t="shared" ca="1" si="16"/>
        <v>0</v>
      </c>
      <c r="BP69" s="89">
        <f t="shared" ca="1" si="17"/>
        <v>0</v>
      </c>
      <c r="BQ69" s="89">
        <f t="shared" ca="1" si="18"/>
        <v>0</v>
      </c>
      <c r="BR69" s="87">
        <f t="shared" ca="1" si="19"/>
        <v>0</v>
      </c>
      <c r="BS69" s="89">
        <f t="shared" ca="1" si="20"/>
        <v>0</v>
      </c>
      <c r="BT69" s="89">
        <f t="shared" ca="1" si="21"/>
        <v>0</v>
      </c>
      <c r="BU69" s="89">
        <f t="shared" ca="1" si="22"/>
        <v>0</v>
      </c>
      <c r="BV69" s="87">
        <f t="shared" ca="1" si="23"/>
        <v>0</v>
      </c>
      <c r="BW69" s="87" t="str">
        <f t="shared" ca="1" si="24"/>
        <v>000</v>
      </c>
      <c r="BX69" s="89">
        <f t="shared" ca="1" si="25"/>
        <v>0</v>
      </c>
    </row>
    <row r="70" spans="1:76">
      <c r="A70" s="90" t="str">
        <f t="shared" si="2"/>
        <v/>
      </c>
      <c r="B70" s="89">
        <v>9</v>
      </c>
      <c r="C70" s="89">
        <v>2</v>
      </c>
      <c r="D70" s="89" t="s">
        <v>210</v>
      </c>
      <c r="E70" s="89" t="s">
        <v>210</v>
      </c>
      <c r="F70" s="89">
        <v>-2</v>
      </c>
      <c r="G70" s="89" t="s">
        <v>210</v>
      </c>
      <c r="H70" s="89">
        <v>1</v>
      </c>
      <c r="I70" s="89">
        <v>-1</v>
      </c>
      <c r="J70" s="89" t="s">
        <v>210</v>
      </c>
      <c r="K70" s="89" t="s">
        <v>210</v>
      </c>
      <c r="L70" s="89">
        <v>-2</v>
      </c>
      <c r="M70" s="89">
        <v>2</v>
      </c>
      <c r="N70" s="89" t="s">
        <v>210</v>
      </c>
      <c r="O70" s="89">
        <v>-1</v>
      </c>
      <c r="P70" s="89" t="s">
        <v>210</v>
      </c>
      <c r="Q70" s="89" t="s">
        <v>210</v>
      </c>
      <c r="R70" s="89">
        <v>1</v>
      </c>
      <c r="S70" s="89" t="s">
        <v>202</v>
      </c>
      <c r="T70" s="89" t="s">
        <v>210</v>
      </c>
      <c r="U70" s="89"/>
      <c r="V70" s="89"/>
      <c r="W70" s="89"/>
      <c r="X70" s="89"/>
      <c r="Y70" s="89"/>
      <c r="Z70" s="89"/>
      <c r="AA70" s="89"/>
      <c r="AB70" s="89"/>
      <c r="AC70" s="89"/>
      <c r="AD70" s="89"/>
      <c r="AE70" s="89"/>
      <c r="AF70" s="89"/>
      <c r="AG70" s="89"/>
      <c r="AH70" s="89"/>
      <c r="AI70" s="89"/>
      <c r="AJ70" s="89"/>
      <c r="AK70" s="89"/>
      <c r="AL70" s="89"/>
      <c r="AM70" s="89"/>
      <c r="AN70" s="89"/>
      <c r="AO70" s="89"/>
      <c r="AP70" s="89"/>
      <c r="BA70" s="91">
        <f t="shared" ca="1" si="3"/>
        <v>0</v>
      </c>
      <c r="BB70" s="88" t="str">
        <f t="shared" ca="1" si="4"/>
        <v/>
      </c>
      <c r="BC70" s="89">
        <f t="shared" ca="1" si="5"/>
        <v>0</v>
      </c>
      <c r="BD70" s="89">
        <f ca="1">IF(BC70=0,0,RANK(BF70,$BF$11:$BF$70,0)+(COUNTIF($BF70:$BF$70,BF70)-1))</f>
        <v>0</v>
      </c>
      <c r="BE70" s="89">
        <f t="shared" ca="1" si="6"/>
        <v>0</v>
      </c>
      <c r="BF70" s="89">
        <f t="shared" ca="1" si="7"/>
        <v>0</v>
      </c>
      <c r="BG70" s="89">
        <f t="shared" ca="1" si="8"/>
        <v>0</v>
      </c>
      <c r="BH70" s="89">
        <f t="shared" ca="1" si="9"/>
        <v>0</v>
      </c>
      <c r="BI70" s="89">
        <f t="shared" ca="1" si="10"/>
        <v>0</v>
      </c>
      <c r="BJ70" s="89">
        <f t="shared" ca="1" si="11"/>
        <v>0</v>
      </c>
      <c r="BK70" s="89">
        <f t="shared" ca="1" si="12"/>
        <v>0</v>
      </c>
      <c r="BL70" s="89">
        <f t="shared" ca="1" si="13"/>
        <v>0</v>
      </c>
      <c r="BM70" s="89">
        <f t="shared" ca="1" si="14"/>
        <v>0</v>
      </c>
      <c r="BN70" s="89">
        <f t="shared" ca="1" si="15"/>
        <v>0</v>
      </c>
      <c r="BO70" s="89">
        <f t="shared" ca="1" si="16"/>
        <v>0</v>
      </c>
      <c r="BP70" s="89">
        <f t="shared" ca="1" si="17"/>
        <v>0</v>
      </c>
      <c r="BQ70" s="89">
        <f t="shared" ca="1" si="18"/>
        <v>0</v>
      </c>
      <c r="BR70" s="87">
        <f t="shared" ca="1" si="19"/>
        <v>0</v>
      </c>
      <c r="BS70" s="89">
        <f t="shared" ca="1" si="20"/>
        <v>0</v>
      </c>
      <c r="BT70" s="89">
        <f t="shared" ca="1" si="21"/>
        <v>0</v>
      </c>
      <c r="BU70" s="89">
        <f t="shared" ca="1" si="22"/>
        <v>0</v>
      </c>
      <c r="BV70" s="87">
        <f t="shared" ca="1" si="23"/>
        <v>0</v>
      </c>
      <c r="BW70" s="87" t="str">
        <f t="shared" ca="1" si="24"/>
        <v>000</v>
      </c>
      <c r="BX70" s="89">
        <f t="shared" ca="1" si="25"/>
        <v>0</v>
      </c>
    </row>
    <row r="71" spans="1:76">
      <c r="A71" s="90" t="str">
        <f t="shared" si="2"/>
        <v/>
      </c>
      <c r="B71" s="89" t="s">
        <v>219</v>
      </c>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BA71" s="93"/>
      <c r="BB71" s="88"/>
    </row>
    <row r="72" spans="1:76">
      <c r="A72" s="90">
        <f t="shared" si="2"/>
        <v>72</v>
      </c>
      <c r="B72" s="89" t="s">
        <v>220</v>
      </c>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BA72" s="93"/>
      <c r="BB72" s="88"/>
    </row>
    <row r="73" spans="1:76">
      <c r="A73" s="90" t="str">
        <f t="shared" si="2"/>
        <v/>
      </c>
      <c r="B73" s="94">
        <v>1</v>
      </c>
      <c r="C73" s="94">
        <v>-2</v>
      </c>
      <c r="D73" s="94" t="s">
        <v>210</v>
      </c>
      <c r="E73" s="94" t="s">
        <v>210</v>
      </c>
      <c r="F73" s="94">
        <v>2</v>
      </c>
      <c r="G73" s="94">
        <v>-1</v>
      </c>
      <c r="H73" s="94" t="s">
        <v>210</v>
      </c>
      <c r="I73" s="94" t="s">
        <v>210</v>
      </c>
      <c r="J73" s="94" t="s">
        <v>202</v>
      </c>
      <c r="K73" s="94">
        <v>1</v>
      </c>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BA73" s="95"/>
    </row>
    <row r="74" spans="1:76">
      <c r="A74" s="90" t="str">
        <f t="shared" si="2"/>
        <v/>
      </c>
      <c r="B74" s="94">
        <v>2</v>
      </c>
      <c r="C74" s="94" t="s">
        <v>202</v>
      </c>
      <c r="D74" s="94" t="s">
        <v>210</v>
      </c>
      <c r="E74" s="94" t="s">
        <v>210</v>
      </c>
      <c r="F74" s="94">
        <v>1</v>
      </c>
      <c r="G74" s="94">
        <v>-2</v>
      </c>
      <c r="H74" s="94" t="s">
        <v>210</v>
      </c>
      <c r="I74" s="94" t="s">
        <v>210</v>
      </c>
      <c r="J74" s="94">
        <v>2</v>
      </c>
      <c r="K74" s="94">
        <v>-1</v>
      </c>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BA74" s="95"/>
    </row>
    <row r="75" spans="1:76">
      <c r="A75" s="90" t="str">
        <f t="shared" si="2"/>
        <v/>
      </c>
      <c r="B75" s="94">
        <v>3</v>
      </c>
      <c r="C75" s="94">
        <v>-1</v>
      </c>
      <c r="D75" s="94" t="s">
        <v>210</v>
      </c>
      <c r="E75" s="94" t="s">
        <v>210</v>
      </c>
      <c r="F75" s="94" t="s">
        <v>202</v>
      </c>
      <c r="G75" s="94">
        <v>1</v>
      </c>
      <c r="H75" s="94" t="s">
        <v>210</v>
      </c>
      <c r="I75" s="94" t="s">
        <v>210</v>
      </c>
      <c r="J75" s="94">
        <v>-2</v>
      </c>
      <c r="K75" s="94">
        <v>2</v>
      </c>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BA75" s="95"/>
    </row>
    <row r="76" spans="1:76">
      <c r="A76" s="90" t="str">
        <f t="shared" ref="A76:A139" si="26">IF(MID(B76,3,2)="02",ROW(),"")</f>
        <v/>
      </c>
      <c r="B76" s="94">
        <v>4</v>
      </c>
      <c r="C76" s="94">
        <v>2</v>
      </c>
      <c r="D76" s="94" t="s">
        <v>210</v>
      </c>
      <c r="E76" s="94" t="s">
        <v>210</v>
      </c>
      <c r="F76" s="94">
        <v>-1</v>
      </c>
      <c r="G76" s="94" t="s">
        <v>202</v>
      </c>
      <c r="H76" s="94" t="s">
        <v>210</v>
      </c>
      <c r="I76" s="94" t="s">
        <v>210</v>
      </c>
      <c r="J76" s="94">
        <v>1</v>
      </c>
      <c r="K76" s="94">
        <v>-2</v>
      </c>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BA76" s="95"/>
    </row>
    <row r="77" spans="1:76">
      <c r="A77" s="90" t="str">
        <f t="shared" si="26"/>
        <v/>
      </c>
      <c r="B77" s="92">
        <v>5</v>
      </c>
      <c r="C77" s="92">
        <v>1</v>
      </c>
      <c r="D77" s="92" t="s">
        <v>210</v>
      </c>
      <c r="E77" s="92" t="s">
        <v>210</v>
      </c>
      <c r="F77" s="92">
        <v>-2</v>
      </c>
      <c r="G77" s="92">
        <v>2</v>
      </c>
      <c r="H77" s="92" t="s">
        <v>210</v>
      </c>
      <c r="I77" s="92" t="s">
        <v>210</v>
      </c>
      <c r="J77" s="92">
        <v>-1</v>
      </c>
      <c r="K77" s="92" t="s">
        <v>202</v>
      </c>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c r="BA77" s="95"/>
    </row>
    <row r="78" spans="1:76">
      <c r="A78" s="90" t="str">
        <f t="shared" si="26"/>
        <v/>
      </c>
      <c r="B78" s="89">
        <v>6</v>
      </c>
      <c r="C78" s="89" t="s">
        <v>210</v>
      </c>
      <c r="D78" s="89">
        <v>-1</v>
      </c>
      <c r="E78" s="89">
        <v>1</v>
      </c>
      <c r="F78" s="89" t="s">
        <v>210</v>
      </c>
      <c r="G78" s="89" t="s">
        <v>210</v>
      </c>
      <c r="H78" s="89">
        <v>-1</v>
      </c>
      <c r="I78" s="89">
        <v>2</v>
      </c>
      <c r="J78" s="89" t="s">
        <v>210</v>
      </c>
      <c r="K78" s="89" t="s">
        <v>210</v>
      </c>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BA78" s="95"/>
    </row>
    <row r="79" spans="1:76">
      <c r="A79" s="90" t="str">
        <f t="shared" si="26"/>
        <v/>
      </c>
      <c r="B79" s="89">
        <v>7</v>
      </c>
      <c r="C79" s="89" t="s">
        <v>210</v>
      </c>
      <c r="D79" s="89">
        <v>1</v>
      </c>
      <c r="E79" s="89">
        <v>-2</v>
      </c>
      <c r="F79" s="89" t="s">
        <v>210</v>
      </c>
      <c r="G79" s="89" t="s">
        <v>210</v>
      </c>
      <c r="H79" s="89">
        <v>2</v>
      </c>
      <c r="I79" s="89">
        <v>-2</v>
      </c>
      <c r="J79" s="89" t="s">
        <v>210</v>
      </c>
      <c r="K79" s="89" t="s">
        <v>210</v>
      </c>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BA79" s="95"/>
    </row>
    <row r="80" spans="1:76">
      <c r="A80" s="90" t="str">
        <f t="shared" si="26"/>
        <v/>
      </c>
      <c r="B80" s="89">
        <v>8</v>
      </c>
      <c r="C80" s="89" t="s">
        <v>210</v>
      </c>
      <c r="D80" s="89">
        <v>-2</v>
      </c>
      <c r="E80" s="89">
        <v>2</v>
      </c>
      <c r="F80" s="89" t="s">
        <v>210</v>
      </c>
      <c r="G80" s="89" t="s">
        <v>210</v>
      </c>
      <c r="H80" s="89">
        <v>1</v>
      </c>
      <c r="I80" s="89">
        <v>-1</v>
      </c>
      <c r="J80" s="89" t="s">
        <v>210</v>
      </c>
      <c r="K80" s="89" t="s">
        <v>210</v>
      </c>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BA80" s="95"/>
    </row>
    <row r="81" spans="1:53" s="87" customFormat="1">
      <c r="A81" s="90" t="str">
        <f t="shared" si="26"/>
        <v/>
      </c>
      <c r="B81" s="89">
        <v>9</v>
      </c>
      <c r="C81" s="89" t="s">
        <v>210</v>
      </c>
      <c r="D81" s="89">
        <v>2</v>
      </c>
      <c r="E81" s="89">
        <v>-1</v>
      </c>
      <c r="F81" s="89" t="s">
        <v>210</v>
      </c>
      <c r="G81" s="89" t="s">
        <v>210</v>
      </c>
      <c r="H81" s="89">
        <v>-2</v>
      </c>
      <c r="I81" s="89">
        <v>1</v>
      </c>
      <c r="J81" s="89" t="s">
        <v>210</v>
      </c>
      <c r="K81" s="89" t="s">
        <v>210</v>
      </c>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89"/>
      <c r="AL81" s="89"/>
      <c r="AM81" s="89"/>
      <c r="AN81" s="89"/>
      <c r="AO81" s="89"/>
      <c r="AP81" s="89"/>
      <c r="BA81" s="95"/>
    </row>
    <row r="82" spans="1:53" s="87" customFormat="1">
      <c r="A82" s="90" t="str">
        <f t="shared" si="26"/>
        <v/>
      </c>
      <c r="B82" s="89" t="s">
        <v>221</v>
      </c>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89"/>
      <c r="AL82" s="89"/>
      <c r="AM82" s="89"/>
      <c r="AN82" s="89"/>
      <c r="AO82" s="89"/>
      <c r="AP82" s="89"/>
      <c r="BA82" s="95"/>
    </row>
    <row r="83" spans="1:53" s="87" customFormat="1">
      <c r="A83" s="90">
        <f t="shared" si="26"/>
        <v>83</v>
      </c>
      <c r="B83" s="89" t="s">
        <v>222</v>
      </c>
      <c r="C83" s="89"/>
      <c r="D83" s="89"/>
      <c r="E83" s="89"/>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BA83" s="95"/>
    </row>
    <row r="84" spans="1:53" s="87" customFormat="1">
      <c r="A84" s="90" t="str">
        <f t="shared" si="26"/>
        <v/>
      </c>
      <c r="B84" s="89">
        <v>1</v>
      </c>
      <c r="C84" s="89" t="s">
        <v>210</v>
      </c>
      <c r="D84" s="89" t="s">
        <v>210</v>
      </c>
      <c r="E84" s="89">
        <v>1</v>
      </c>
      <c r="F84" s="89" t="s">
        <v>210</v>
      </c>
      <c r="G84" s="89">
        <v>-1</v>
      </c>
      <c r="H84" s="89" t="s">
        <v>210</v>
      </c>
      <c r="I84" s="89">
        <v>-2</v>
      </c>
      <c r="J84" s="89" t="s">
        <v>210</v>
      </c>
      <c r="K84" s="89">
        <v>1</v>
      </c>
      <c r="L84" s="89" t="s">
        <v>210</v>
      </c>
      <c r="M84" s="89" t="s">
        <v>210</v>
      </c>
      <c r="N84" s="89">
        <v>2</v>
      </c>
      <c r="O84" s="89" t="s">
        <v>210</v>
      </c>
      <c r="P84" s="89" t="s">
        <v>210</v>
      </c>
      <c r="Q84" s="89">
        <v>1</v>
      </c>
      <c r="R84" s="89" t="s">
        <v>210</v>
      </c>
      <c r="S84" s="89" t="s">
        <v>210</v>
      </c>
      <c r="T84" s="89">
        <v>-2</v>
      </c>
      <c r="U84" s="89" t="s">
        <v>210</v>
      </c>
      <c r="V84" s="89" t="s">
        <v>210</v>
      </c>
      <c r="W84" s="89">
        <v>2</v>
      </c>
      <c r="X84" s="89" t="s">
        <v>210</v>
      </c>
      <c r="Y84" s="89">
        <v>1</v>
      </c>
      <c r="Z84" s="89"/>
      <c r="AA84" s="89"/>
      <c r="AB84" s="89"/>
      <c r="AC84" s="89"/>
      <c r="AD84" s="89"/>
      <c r="AE84" s="89"/>
      <c r="AF84" s="89"/>
      <c r="AG84" s="89"/>
      <c r="AH84" s="89"/>
      <c r="AI84" s="89"/>
      <c r="AJ84" s="89"/>
      <c r="AK84" s="89"/>
      <c r="AL84" s="89"/>
      <c r="AM84" s="89"/>
      <c r="AN84" s="89"/>
      <c r="AO84" s="89"/>
      <c r="AP84" s="89"/>
      <c r="BA84" s="95"/>
    </row>
    <row r="85" spans="1:53" s="87" customFormat="1">
      <c r="A85" s="90" t="str">
        <f t="shared" si="26"/>
        <v/>
      </c>
      <c r="B85" s="89">
        <v>2</v>
      </c>
      <c r="C85" s="89" t="s">
        <v>210</v>
      </c>
      <c r="D85" s="89" t="s">
        <v>210</v>
      </c>
      <c r="E85" s="89">
        <v>2</v>
      </c>
      <c r="F85" s="89" t="s">
        <v>210</v>
      </c>
      <c r="G85" s="89" t="s">
        <v>210</v>
      </c>
      <c r="H85" s="89">
        <v>-1</v>
      </c>
      <c r="I85" s="89" t="s">
        <v>210</v>
      </c>
      <c r="J85" s="89">
        <v>1</v>
      </c>
      <c r="K85" s="89" t="s">
        <v>210</v>
      </c>
      <c r="L85" s="89" t="s">
        <v>210</v>
      </c>
      <c r="M85" s="89">
        <v>-2</v>
      </c>
      <c r="N85" s="89" t="s">
        <v>210</v>
      </c>
      <c r="O85" s="89">
        <v>-1</v>
      </c>
      <c r="P85" s="89" t="s">
        <v>210</v>
      </c>
      <c r="Q85" s="89">
        <v>2</v>
      </c>
      <c r="R85" s="89" t="s">
        <v>210</v>
      </c>
      <c r="S85" s="89">
        <v>-2</v>
      </c>
      <c r="T85" s="89" t="s">
        <v>210</v>
      </c>
      <c r="U85" s="89" t="s">
        <v>210</v>
      </c>
      <c r="V85" s="89">
        <v>1</v>
      </c>
      <c r="W85" s="89" t="s">
        <v>210</v>
      </c>
      <c r="X85" s="89" t="s">
        <v>210</v>
      </c>
      <c r="Y85" s="89">
        <v>-1</v>
      </c>
      <c r="Z85" s="89"/>
      <c r="AA85" s="89"/>
      <c r="AB85" s="89"/>
      <c r="AC85" s="89"/>
      <c r="AD85" s="89"/>
      <c r="AE85" s="89"/>
      <c r="AF85" s="89"/>
      <c r="AG85" s="89"/>
      <c r="AH85" s="89"/>
      <c r="AI85" s="89"/>
      <c r="AJ85" s="89"/>
      <c r="AK85" s="89"/>
      <c r="AL85" s="89"/>
      <c r="AM85" s="89"/>
      <c r="AN85" s="89"/>
      <c r="AO85" s="89"/>
      <c r="AP85" s="89"/>
      <c r="BA85" s="95"/>
    </row>
    <row r="86" spans="1:53" s="87" customFormat="1">
      <c r="A86" s="90" t="str">
        <f t="shared" si="26"/>
        <v/>
      </c>
      <c r="B86" s="89">
        <v>3</v>
      </c>
      <c r="C86" s="89" t="s">
        <v>210</v>
      </c>
      <c r="D86" s="89">
        <v>-1</v>
      </c>
      <c r="E86" s="89" t="s">
        <v>210</v>
      </c>
      <c r="F86" s="89" t="s">
        <v>210</v>
      </c>
      <c r="G86" s="89" t="s">
        <v>210</v>
      </c>
      <c r="H86" s="89">
        <v>1</v>
      </c>
      <c r="I86" s="89" t="s">
        <v>210</v>
      </c>
      <c r="J86" s="89">
        <v>2</v>
      </c>
      <c r="K86" s="89" t="s">
        <v>210</v>
      </c>
      <c r="L86" s="89">
        <v>-2</v>
      </c>
      <c r="M86" s="89">
        <v>1</v>
      </c>
      <c r="N86" s="89" t="s">
        <v>210</v>
      </c>
      <c r="O86" s="89" t="s">
        <v>210</v>
      </c>
      <c r="P86" s="89" t="s">
        <v>210</v>
      </c>
      <c r="Q86" s="89" t="s">
        <v>210</v>
      </c>
      <c r="R86" s="89">
        <v>2</v>
      </c>
      <c r="S86" s="89" t="s">
        <v>210</v>
      </c>
      <c r="T86" s="89">
        <v>-1</v>
      </c>
      <c r="U86" s="89" t="s">
        <v>210</v>
      </c>
      <c r="V86" s="89" t="s">
        <v>210</v>
      </c>
      <c r="W86" s="89">
        <v>-2</v>
      </c>
      <c r="X86" s="89" t="s">
        <v>210</v>
      </c>
      <c r="Y86" s="89">
        <v>2</v>
      </c>
      <c r="Z86" s="89"/>
      <c r="AA86" s="89"/>
      <c r="AB86" s="89"/>
      <c r="AC86" s="89"/>
      <c r="AD86" s="89"/>
      <c r="AE86" s="89"/>
      <c r="AF86" s="89"/>
      <c r="AG86" s="89"/>
      <c r="AH86" s="89"/>
      <c r="AI86" s="89"/>
      <c r="AJ86" s="89"/>
      <c r="AK86" s="89"/>
      <c r="AL86" s="89"/>
      <c r="AM86" s="89"/>
      <c r="AN86" s="89"/>
      <c r="AO86" s="89"/>
      <c r="AP86" s="89"/>
      <c r="BA86" s="95"/>
    </row>
    <row r="87" spans="1:53" s="87" customFormat="1">
      <c r="A87" s="90" t="str">
        <f t="shared" si="26"/>
        <v/>
      </c>
      <c r="B87" s="89">
        <v>4</v>
      </c>
      <c r="C87" s="89">
        <v>1</v>
      </c>
      <c r="D87" s="89" t="s">
        <v>210</v>
      </c>
      <c r="E87" s="89" t="s">
        <v>210</v>
      </c>
      <c r="F87" s="89" t="s">
        <v>210</v>
      </c>
      <c r="G87" s="89">
        <v>-2</v>
      </c>
      <c r="H87" s="89" t="s">
        <v>210</v>
      </c>
      <c r="I87" s="89">
        <v>-1</v>
      </c>
      <c r="J87" s="89" t="s">
        <v>210</v>
      </c>
      <c r="K87" s="89" t="s">
        <v>210</v>
      </c>
      <c r="L87" s="89" t="s">
        <v>210</v>
      </c>
      <c r="M87" s="89">
        <v>2</v>
      </c>
      <c r="N87" s="89">
        <v>-2</v>
      </c>
      <c r="O87" s="89" t="s">
        <v>210</v>
      </c>
      <c r="P87" s="89">
        <v>-1</v>
      </c>
      <c r="Q87" s="89" t="s">
        <v>210</v>
      </c>
      <c r="R87" s="89" t="s">
        <v>210</v>
      </c>
      <c r="S87" s="89">
        <v>1</v>
      </c>
      <c r="T87" s="89" t="s">
        <v>210</v>
      </c>
      <c r="U87" s="89" t="s">
        <v>210</v>
      </c>
      <c r="V87" s="89">
        <v>2</v>
      </c>
      <c r="W87" s="89" t="s">
        <v>210</v>
      </c>
      <c r="X87" s="89" t="s">
        <v>210</v>
      </c>
      <c r="Y87" s="89">
        <v>-2</v>
      </c>
      <c r="Z87" s="89"/>
      <c r="AA87" s="89"/>
      <c r="AB87" s="89"/>
      <c r="AC87" s="89"/>
      <c r="AD87" s="89"/>
      <c r="AE87" s="89"/>
      <c r="AF87" s="89"/>
      <c r="AG87" s="89"/>
      <c r="AH87" s="89"/>
      <c r="AI87" s="89"/>
      <c r="AJ87" s="89"/>
      <c r="AK87" s="89"/>
      <c r="AL87" s="89"/>
      <c r="AM87" s="89"/>
      <c r="AN87" s="89"/>
      <c r="AO87" s="89"/>
      <c r="AP87" s="89"/>
      <c r="BA87" s="95"/>
    </row>
    <row r="88" spans="1:53" s="87" customFormat="1">
      <c r="A88" s="90" t="str">
        <f t="shared" si="26"/>
        <v/>
      </c>
      <c r="B88" s="89">
        <v>5</v>
      </c>
      <c r="C88" s="89" t="s">
        <v>210</v>
      </c>
      <c r="D88" s="89">
        <v>-2</v>
      </c>
      <c r="E88" s="89" t="s">
        <v>210</v>
      </c>
      <c r="F88" s="89">
        <v>2</v>
      </c>
      <c r="G88" s="89" t="s">
        <v>210</v>
      </c>
      <c r="H88" s="89" t="s">
        <v>210</v>
      </c>
      <c r="I88" s="89">
        <v>1</v>
      </c>
      <c r="J88" s="89" t="s">
        <v>210</v>
      </c>
      <c r="K88" s="89">
        <v>2</v>
      </c>
      <c r="L88" s="89" t="s">
        <v>210</v>
      </c>
      <c r="M88" s="89" t="s">
        <v>210</v>
      </c>
      <c r="N88" s="89">
        <v>-1</v>
      </c>
      <c r="O88" s="89" t="s">
        <v>210</v>
      </c>
      <c r="P88" s="89" t="s">
        <v>210</v>
      </c>
      <c r="Q88" s="89" t="s">
        <v>210</v>
      </c>
      <c r="R88" s="89">
        <v>-2</v>
      </c>
      <c r="S88" s="89" t="s">
        <v>210</v>
      </c>
      <c r="T88" s="89">
        <v>2</v>
      </c>
      <c r="U88" s="89" t="s">
        <v>210</v>
      </c>
      <c r="V88" s="89">
        <v>-1</v>
      </c>
      <c r="W88" s="89" t="s">
        <v>210</v>
      </c>
      <c r="X88" s="89">
        <v>1</v>
      </c>
      <c r="Y88" s="89" t="s">
        <v>210</v>
      </c>
      <c r="Z88" s="89"/>
      <c r="AA88" s="89"/>
      <c r="AB88" s="89"/>
      <c r="AC88" s="89"/>
      <c r="AD88" s="89"/>
      <c r="AE88" s="89"/>
      <c r="AF88" s="89"/>
      <c r="AG88" s="89"/>
      <c r="AH88" s="89"/>
      <c r="AI88" s="89"/>
      <c r="AJ88" s="89"/>
      <c r="AK88" s="89"/>
      <c r="AL88" s="89"/>
      <c r="AM88" s="89"/>
      <c r="AN88" s="89"/>
      <c r="AO88" s="89"/>
      <c r="AP88" s="89"/>
      <c r="BA88" s="95"/>
    </row>
    <row r="89" spans="1:53" s="87" customFormat="1">
      <c r="A89" s="90" t="str">
        <f t="shared" si="26"/>
        <v/>
      </c>
      <c r="B89" s="89">
        <v>6</v>
      </c>
      <c r="C89" s="89" t="s">
        <v>210</v>
      </c>
      <c r="D89" s="89" t="s">
        <v>210</v>
      </c>
      <c r="E89" s="89">
        <v>-2</v>
      </c>
      <c r="F89" s="89">
        <v>-1</v>
      </c>
      <c r="G89" s="89" t="s">
        <v>210</v>
      </c>
      <c r="H89" s="89">
        <v>2</v>
      </c>
      <c r="I89" s="89" t="s">
        <v>210</v>
      </c>
      <c r="J89" s="89" t="s">
        <v>210</v>
      </c>
      <c r="K89" s="89" t="s">
        <v>210</v>
      </c>
      <c r="L89" s="89">
        <v>1</v>
      </c>
      <c r="M89" s="89" t="s">
        <v>210</v>
      </c>
      <c r="N89" s="89" t="s">
        <v>210</v>
      </c>
      <c r="O89" s="89">
        <v>2</v>
      </c>
      <c r="P89" s="89" t="s">
        <v>210</v>
      </c>
      <c r="Q89" s="89">
        <v>-1</v>
      </c>
      <c r="R89" s="89" t="s">
        <v>210</v>
      </c>
      <c r="S89" s="89" t="s">
        <v>210</v>
      </c>
      <c r="T89" s="89">
        <v>1</v>
      </c>
      <c r="U89" s="89" t="s">
        <v>210</v>
      </c>
      <c r="V89" s="89">
        <v>-2</v>
      </c>
      <c r="W89" s="89" t="s">
        <v>210</v>
      </c>
      <c r="X89" s="89">
        <v>-1</v>
      </c>
      <c r="Y89" s="89" t="s">
        <v>210</v>
      </c>
      <c r="Z89" s="89"/>
      <c r="AA89" s="89"/>
      <c r="AB89" s="89"/>
      <c r="AC89" s="89"/>
      <c r="AD89" s="89"/>
      <c r="AE89" s="89"/>
      <c r="AF89" s="89"/>
      <c r="AG89" s="89"/>
      <c r="AH89" s="89"/>
      <c r="AI89" s="89"/>
      <c r="AJ89" s="89"/>
      <c r="AK89" s="89"/>
      <c r="AL89" s="89"/>
      <c r="AM89" s="89"/>
      <c r="AN89" s="89"/>
      <c r="AO89" s="89"/>
      <c r="AP89" s="89"/>
      <c r="BA89" s="95"/>
    </row>
    <row r="90" spans="1:53" s="87" customFormat="1">
      <c r="A90" s="90" t="str">
        <f t="shared" si="26"/>
        <v/>
      </c>
      <c r="B90" s="89">
        <v>7</v>
      </c>
      <c r="C90" s="89" t="s">
        <v>210</v>
      </c>
      <c r="D90" s="89">
        <v>2</v>
      </c>
      <c r="E90" s="89" t="s">
        <v>210</v>
      </c>
      <c r="F90" s="89" t="s">
        <v>210</v>
      </c>
      <c r="G90" s="89">
        <v>1</v>
      </c>
      <c r="H90" s="89" t="s">
        <v>210</v>
      </c>
      <c r="I90" s="89" t="s">
        <v>210</v>
      </c>
      <c r="J90" s="89">
        <v>-2</v>
      </c>
      <c r="K90" s="89" t="s">
        <v>210</v>
      </c>
      <c r="L90" s="89">
        <v>-1</v>
      </c>
      <c r="M90" s="89" t="s">
        <v>210</v>
      </c>
      <c r="N90" s="89" t="s">
        <v>210</v>
      </c>
      <c r="O90" s="89">
        <v>1</v>
      </c>
      <c r="P90" s="89">
        <v>2</v>
      </c>
      <c r="Q90" s="89" t="s">
        <v>210</v>
      </c>
      <c r="R90" s="89" t="s">
        <v>210</v>
      </c>
      <c r="S90" s="89">
        <v>-1</v>
      </c>
      <c r="T90" s="89" t="s">
        <v>210</v>
      </c>
      <c r="U90" s="89">
        <v>-2</v>
      </c>
      <c r="V90" s="89" t="s">
        <v>210</v>
      </c>
      <c r="W90" s="89" t="s">
        <v>210</v>
      </c>
      <c r="X90" s="89">
        <v>2</v>
      </c>
      <c r="Y90" s="89" t="s">
        <v>210</v>
      </c>
      <c r="Z90" s="89"/>
      <c r="AA90" s="89"/>
      <c r="AB90" s="89"/>
      <c r="AC90" s="89"/>
      <c r="AD90" s="89"/>
      <c r="AE90" s="89"/>
      <c r="AF90" s="89"/>
      <c r="AG90" s="89"/>
      <c r="AH90" s="89"/>
      <c r="AI90" s="89"/>
      <c r="AJ90" s="89"/>
      <c r="AK90" s="89"/>
      <c r="AL90" s="89"/>
      <c r="AM90" s="89"/>
      <c r="AN90" s="89"/>
      <c r="AO90" s="89"/>
      <c r="AP90" s="89"/>
      <c r="BA90" s="95"/>
    </row>
    <row r="91" spans="1:53" s="87" customFormat="1">
      <c r="A91" s="90" t="str">
        <f t="shared" si="26"/>
        <v/>
      </c>
      <c r="B91" s="89">
        <v>8</v>
      </c>
      <c r="C91" s="89" t="s">
        <v>210</v>
      </c>
      <c r="D91" s="89">
        <v>1</v>
      </c>
      <c r="E91" s="89" t="s">
        <v>210</v>
      </c>
      <c r="F91" s="89" t="s">
        <v>210</v>
      </c>
      <c r="G91" s="89">
        <v>2</v>
      </c>
      <c r="H91" s="89">
        <v>-2</v>
      </c>
      <c r="I91" s="89" t="s">
        <v>210</v>
      </c>
      <c r="J91" s="89" t="s">
        <v>210</v>
      </c>
      <c r="K91" s="89">
        <v>-1</v>
      </c>
      <c r="L91" s="89" t="s">
        <v>210</v>
      </c>
      <c r="M91" s="89" t="s">
        <v>210</v>
      </c>
      <c r="N91" s="89">
        <v>1</v>
      </c>
      <c r="O91" s="89" t="s">
        <v>210</v>
      </c>
      <c r="P91" s="89" t="s">
        <v>210</v>
      </c>
      <c r="Q91" s="89">
        <v>-2</v>
      </c>
      <c r="R91" s="89">
        <v>1</v>
      </c>
      <c r="S91" s="89" t="s">
        <v>210</v>
      </c>
      <c r="T91" s="89" t="s">
        <v>210</v>
      </c>
      <c r="U91" s="89">
        <v>-1</v>
      </c>
      <c r="V91" s="89" t="s">
        <v>210</v>
      </c>
      <c r="W91" s="89" t="s">
        <v>210</v>
      </c>
      <c r="X91" s="89">
        <v>-2</v>
      </c>
      <c r="Y91" s="89" t="s">
        <v>210</v>
      </c>
      <c r="Z91" s="89"/>
      <c r="AA91" s="89"/>
      <c r="AB91" s="89"/>
      <c r="AC91" s="89"/>
      <c r="AD91" s="89"/>
      <c r="AE91" s="89"/>
      <c r="AF91" s="89"/>
      <c r="AG91" s="89"/>
      <c r="AH91" s="89"/>
      <c r="AI91" s="89"/>
      <c r="AJ91" s="89"/>
      <c r="AK91" s="89"/>
      <c r="AL91" s="89"/>
      <c r="AM91" s="89"/>
      <c r="AN91" s="89"/>
      <c r="AO91" s="89"/>
      <c r="AP91" s="89"/>
      <c r="BA91" s="95"/>
    </row>
    <row r="92" spans="1:53" s="87" customFormat="1">
      <c r="A92" s="90" t="str">
        <f t="shared" si="26"/>
        <v/>
      </c>
      <c r="B92" s="89">
        <v>9</v>
      </c>
      <c r="C92" s="89" t="s">
        <v>210</v>
      </c>
      <c r="D92" s="89" t="s">
        <v>210</v>
      </c>
      <c r="E92" s="89">
        <v>-1</v>
      </c>
      <c r="F92" s="89">
        <v>-2</v>
      </c>
      <c r="G92" s="89" t="s">
        <v>210</v>
      </c>
      <c r="H92" s="89" t="s">
        <v>210</v>
      </c>
      <c r="I92" s="89" t="s">
        <v>210</v>
      </c>
      <c r="J92" s="89">
        <v>-1</v>
      </c>
      <c r="K92" s="89" t="s">
        <v>210</v>
      </c>
      <c r="L92" s="89">
        <v>2</v>
      </c>
      <c r="M92" s="89" t="s">
        <v>210</v>
      </c>
      <c r="N92" s="89" t="s">
        <v>210</v>
      </c>
      <c r="O92" s="89">
        <v>-2</v>
      </c>
      <c r="P92" s="89">
        <v>1</v>
      </c>
      <c r="Q92" s="89" t="s">
        <v>210</v>
      </c>
      <c r="R92" s="89">
        <v>-1</v>
      </c>
      <c r="S92" s="89" t="s">
        <v>210</v>
      </c>
      <c r="T92" s="89" t="s">
        <v>210</v>
      </c>
      <c r="U92" s="89">
        <v>2</v>
      </c>
      <c r="V92" s="89" t="s">
        <v>210</v>
      </c>
      <c r="W92" s="89">
        <v>1</v>
      </c>
      <c r="X92" s="89" t="s">
        <v>210</v>
      </c>
      <c r="Y92" s="89" t="s">
        <v>210</v>
      </c>
      <c r="Z92" s="89"/>
      <c r="AA92" s="89"/>
      <c r="AB92" s="89"/>
      <c r="AC92" s="89"/>
      <c r="AD92" s="89"/>
      <c r="AE92" s="89"/>
      <c r="AF92" s="89"/>
      <c r="AG92" s="89"/>
      <c r="AH92" s="89"/>
      <c r="AI92" s="89"/>
      <c r="AJ92" s="89"/>
      <c r="AK92" s="89"/>
      <c r="AL92" s="89"/>
      <c r="AM92" s="89"/>
      <c r="AN92" s="89"/>
      <c r="AO92" s="89"/>
      <c r="AP92" s="89"/>
      <c r="BA92" s="95"/>
    </row>
    <row r="93" spans="1:53" s="87" customFormat="1">
      <c r="A93" s="90" t="str">
        <f t="shared" si="26"/>
        <v/>
      </c>
      <c r="B93" s="89">
        <v>10</v>
      </c>
      <c r="C93" s="89">
        <v>-1</v>
      </c>
      <c r="D93" s="89" t="s">
        <v>210</v>
      </c>
      <c r="E93" s="89" t="s">
        <v>210</v>
      </c>
      <c r="F93" s="89">
        <v>1</v>
      </c>
      <c r="G93" s="89" t="s">
        <v>210</v>
      </c>
      <c r="H93" s="89" t="s">
        <v>210</v>
      </c>
      <c r="I93" s="89">
        <v>2</v>
      </c>
      <c r="J93" s="89" t="s">
        <v>210</v>
      </c>
      <c r="K93" s="89">
        <v>-2</v>
      </c>
      <c r="L93" s="89" t="s">
        <v>210</v>
      </c>
      <c r="M93" s="89">
        <v>-1</v>
      </c>
      <c r="N93" s="89" t="s">
        <v>210</v>
      </c>
      <c r="O93" s="89" t="s">
        <v>210</v>
      </c>
      <c r="P93" s="89">
        <v>-2</v>
      </c>
      <c r="Q93" s="89" t="s">
        <v>210</v>
      </c>
      <c r="R93" s="89" t="s">
        <v>210</v>
      </c>
      <c r="S93" s="89">
        <v>2</v>
      </c>
      <c r="T93" s="89" t="s">
        <v>210</v>
      </c>
      <c r="U93" s="89">
        <v>1</v>
      </c>
      <c r="V93" s="89" t="s">
        <v>210</v>
      </c>
      <c r="W93" s="89">
        <v>-1</v>
      </c>
      <c r="X93" s="89" t="s">
        <v>210</v>
      </c>
      <c r="Y93" s="89" t="s">
        <v>210</v>
      </c>
      <c r="Z93" s="89"/>
      <c r="AA93" s="89"/>
      <c r="AB93" s="89"/>
      <c r="AC93" s="89"/>
      <c r="AD93" s="89"/>
      <c r="AE93" s="89"/>
      <c r="AF93" s="89"/>
      <c r="AG93" s="89"/>
      <c r="AH93" s="89"/>
      <c r="AI93" s="89"/>
      <c r="AJ93" s="89"/>
      <c r="AK93" s="89"/>
      <c r="AL93" s="89"/>
      <c r="AM93" s="89"/>
      <c r="AN93" s="89"/>
      <c r="AO93" s="89"/>
      <c r="AP93" s="89"/>
      <c r="BA93" s="95"/>
    </row>
    <row r="94" spans="1:53" s="87" customFormat="1">
      <c r="A94" s="90" t="str">
        <f t="shared" si="26"/>
        <v/>
      </c>
      <c r="B94" s="89" t="s">
        <v>223</v>
      </c>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BA94" s="95"/>
    </row>
    <row r="95" spans="1:53" s="87" customFormat="1">
      <c r="A95" s="90">
        <f t="shared" si="26"/>
        <v>95</v>
      </c>
      <c r="B95" s="89" t="s">
        <v>224</v>
      </c>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BA95" s="95"/>
    </row>
    <row r="96" spans="1:53" s="87" customFormat="1">
      <c r="A96" s="90" t="str">
        <f t="shared" si="26"/>
        <v/>
      </c>
      <c r="B96" s="94">
        <v>1</v>
      </c>
      <c r="C96" s="94" t="s">
        <v>210</v>
      </c>
      <c r="D96" s="94">
        <v>-2</v>
      </c>
      <c r="E96" s="94" t="s">
        <v>210</v>
      </c>
      <c r="F96" s="94">
        <v>1</v>
      </c>
      <c r="G96" s="94">
        <v>2</v>
      </c>
      <c r="H96" s="94" t="s">
        <v>210</v>
      </c>
      <c r="I96" s="94" t="s">
        <v>210</v>
      </c>
      <c r="J96" s="94" t="s">
        <v>202</v>
      </c>
      <c r="K96" s="94">
        <v>-1</v>
      </c>
      <c r="L96" s="94" t="s">
        <v>210</v>
      </c>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BA96" s="95"/>
    </row>
    <row r="97" spans="1:53" s="87" customFormat="1">
      <c r="A97" s="90" t="str">
        <f t="shared" si="26"/>
        <v/>
      </c>
      <c r="B97" s="94">
        <v>2</v>
      </c>
      <c r="C97" s="94" t="s">
        <v>202</v>
      </c>
      <c r="D97" s="94" t="s">
        <v>210</v>
      </c>
      <c r="E97" s="94" t="s">
        <v>210</v>
      </c>
      <c r="F97" s="94">
        <v>-2</v>
      </c>
      <c r="G97" s="94">
        <v>-1</v>
      </c>
      <c r="H97" s="94" t="s">
        <v>210</v>
      </c>
      <c r="I97" s="94" t="s">
        <v>210</v>
      </c>
      <c r="J97" s="94">
        <v>2</v>
      </c>
      <c r="K97" s="94">
        <v>1</v>
      </c>
      <c r="L97" s="94" t="s">
        <v>210</v>
      </c>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BA97" s="95"/>
    </row>
    <row r="98" spans="1:53" s="87" customFormat="1">
      <c r="A98" s="90" t="str">
        <f t="shared" si="26"/>
        <v/>
      </c>
      <c r="B98" s="94">
        <v>3</v>
      </c>
      <c r="C98" s="94">
        <v>1</v>
      </c>
      <c r="D98" s="94" t="s">
        <v>210</v>
      </c>
      <c r="E98" s="94" t="s">
        <v>210</v>
      </c>
      <c r="F98" s="94">
        <v>-1</v>
      </c>
      <c r="G98" s="94" t="s">
        <v>202</v>
      </c>
      <c r="H98" s="94" t="s">
        <v>210</v>
      </c>
      <c r="I98" s="94" t="s">
        <v>210</v>
      </c>
      <c r="J98" s="94">
        <v>-2</v>
      </c>
      <c r="K98" s="94">
        <v>2</v>
      </c>
      <c r="L98" s="94" t="s">
        <v>210</v>
      </c>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BA98" s="95"/>
    </row>
    <row r="99" spans="1:53" s="87" customFormat="1">
      <c r="A99" s="90" t="str">
        <f t="shared" si="26"/>
        <v/>
      </c>
      <c r="B99" s="94">
        <v>4</v>
      </c>
      <c r="C99" s="94" t="s">
        <v>210</v>
      </c>
      <c r="D99" s="94">
        <v>2</v>
      </c>
      <c r="E99" s="94" t="s">
        <v>210</v>
      </c>
      <c r="F99" s="94" t="s">
        <v>202</v>
      </c>
      <c r="G99" s="94">
        <v>1</v>
      </c>
      <c r="H99" s="94" t="s">
        <v>210</v>
      </c>
      <c r="I99" s="94" t="s">
        <v>210</v>
      </c>
      <c r="J99" s="94">
        <v>-1</v>
      </c>
      <c r="K99" s="94">
        <v>-2</v>
      </c>
      <c r="L99" s="94" t="s">
        <v>210</v>
      </c>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BA99" s="95"/>
    </row>
    <row r="100" spans="1:53" s="87" customFormat="1">
      <c r="A100" s="90" t="str">
        <f t="shared" si="26"/>
        <v/>
      </c>
      <c r="B100" s="92">
        <v>5</v>
      </c>
      <c r="C100" s="92">
        <v>-1</v>
      </c>
      <c r="D100" s="92" t="s">
        <v>210</v>
      </c>
      <c r="E100" s="92" t="s">
        <v>210</v>
      </c>
      <c r="F100" s="92">
        <v>2</v>
      </c>
      <c r="G100" s="92">
        <v>-2</v>
      </c>
      <c r="H100" s="92" t="s">
        <v>210</v>
      </c>
      <c r="I100" s="92" t="s">
        <v>210</v>
      </c>
      <c r="J100" s="92">
        <v>1</v>
      </c>
      <c r="K100" s="92" t="s">
        <v>202</v>
      </c>
      <c r="L100" s="92" t="s">
        <v>210</v>
      </c>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BA100" s="95"/>
    </row>
    <row r="101" spans="1:53" s="87" customFormat="1">
      <c r="A101" s="90" t="str">
        <f t="shared" si="26"/>
        <v/>
      </c>
      <c r="B101" s="89">
        <v>6</v>
      </c>
      <c r="C101" s="89">
        <v>2</v>
      </c>
      <c r="D101" s="89" t="s">
        <v>210</v>
      </c>
      <c r="E101" s="89">
        <v>1</v>
      </c>
      <c r="F101" s="89" t="s">
        <v>210</v>
      </c>
      <c r="G101" s="89" t="s">
        <v>210</v>
      </c>
      <c r="H101" s="89">
        <v>-2</v>
      </c>
      <c r="I101" s="89" t="s">
        <v>202</v>
      </c>
      <c r="J101" s="89" t="s">
        <v>210</v>
      </c>
      <c r="K101" s="89" t="s">
        <v>210</v>
      </c>
      <c r="L101" s="89">
        <v>-1</v>
      </c>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BA101" s="95"/>
    </row>
    <row r="102" spans="1:53" s="87" customFormat="1">
      <c r="A102" s="90" t="str">
        <f t="shared" si="26"/>
        <v/>
      </c>
      <c r="B102" s="89">
        <v>7</v>
      </c>
      <c r="C102" s="89" t="s">
        <v>202</v>
      </c>
      <c r="D102" s="89" t="s">
        <v>210</v>
      </c>
      <c r="E102" s="89">
        <v>2</v>
      </c>
      <c r="F102" s="89" t="s">
        <v>210</v>
      </c>
      <c r="G102" s="89" t="s">
        <v>210</v>
      </c>
      <c r="H102" s="89">
        <v>-1</v>
      </c>
      <c r="I102" s="89">
        <v>-2</v>
      </c>
      <c r="J102" s="89" t="s">
        <v>210</v>
      </c>
      <c r="K102" s="89" t="s">
        <v>210</v>
      </c>
      <c r="L102" s="89">
        <v>1</v>
      </c>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BA102" s="95"/>
    </row>
    <row r="103" spans="1:53" s="87" customFormat="1">
      <c r="A103" s="90" t="str">
        <f t="shared" si="26"/>
        <v/>
      </c>
      <c r="B103" s="89">
        <v>8</v>
      </c>
      <c r="C103" s="89" t="s">
        <v>210</v>
      </c>
      <c r="D103" s="89">
        <v>1</v>
      </c>
      <c r="E103" s="89">
        <v>-1</v>
      </c>
      <c r="F103" s="89" t="s">
        <v>210</v>
      </c>
      <c r="G103" s="89" t="s">
        <v>210</v>
      </c>
      <c r="H103" s="89" t="s">
        <v>202</v>
      </c>
      <c r="I103" s="89">
        <v>2</v>
      </c>
      <c r="J103" s="89" t="s">
        <v>210</v>
      </c>
      <c r="K103" s="89" t="s">
        <v>210</v>
      </c>
      <c r="L103" s="89">
        <v>-2</v>
      </c>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BA103" s="95"/>
    </row>
    <row r="104" spans="1:53" s="87" customFormat="1">
      <c r="A104" s="90" t="str">
        <f t="shared" si="26"/>
        <v/>
      </c>
      <c r="B104" s="89">
        <v>9</v>
      </c>
      <c r="C104" s="89">
        <v>-2</v>
      </c>
      <c r="D104" s="89" t="s">
        <v>210</v>
      </c>
      <c r="E104" s="89" t="s">
        <v>202</v>
      </c>
      <c r="F104" s="89" t="s">
        <v>210</v>
      </c>
      <c r="G104" s="89" t="s">
        <v>210</v>
      </c>
      <c r="H104" s="89">
        <v>1</v>
      </c>
      <c r="I104" s="89">
        <v>-1</v>
      </c>
      <c r="J104" s="89" t="s">
        <v>210</v>
      </c>
      <c r="K104" s="89" t="s">
        <v>210</v>
      </c>
      <c r="L104" s="89">
        <v>2</v>
      </c>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BA104" s="95"/>
    </row>
    <row r="105" spans="1:53" s="87" customFormat="1">
      <c r="A105" s="90" t="str">
        <f t="shared" si="26"/>
        <v/>
      </c>
      <c r="B105" s="89">
        <v>10</v>
      </c>
      <c r="C105" s="89" t="s">
        <v>210</v>
      </c>
      <c r="D105" s="89">
        <v>-1</v>
      </c>
      <c r="E105" s="89">
        <v>-2</v>
      </c>
      <c r="F105" s="89" t="s">
        <v>210</v>
      </c>
      <c r="G105" s="89" t="s">
        <v>210</v>
      </c>
      <c r="H105" s="89">
        <v>2</v>
      </c>
      <c r="I105" s="89">
        <v>1</v>
      </c>
      <c r="J105" s="89" t="s">
        <v>210</v>
      </c>
      <c r="K105" s="89" t="s">
        <v>210</v>
      </c>
      <c r="L105" s="89" t="s">
        <v>202</v>
      </c>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BA105" s="95"/>
    </row>
    <row r="106" spans="1:53" s="87" customFormat="1">
      <c r="A106" s="90" t="str">
        <f t="shared" si="26"/>
        <v/>
      </c>
      <c r="B106" s="89" t="s">
        <v>225</v>
      </c>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BA106" s="95"/>
    </row>
    <row r="107" spans="1:53" s="87" customFormat="1">
      <c r="A107" s="90">
        <f t="shared" si="26"/>
        <v>107</v>
      </c>
      <c r="B107" s="89" t="s">
        <v>226</v>
      </c>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BA107" s="95"/>
    </row>
    <row r="108" spans="1:53" s="87" customFormat="1">
      <c r="A108" s="90" t="str">
        <f t="shared" si="26"/>
        <v/>
      </c>
      <c r="B108" s="89">
        <v>1</v>
      </c>
      <c r="C108" s="89" t="s">
        <v>210</v>
      </c>
      <c r="D108" s="89">
        <v>1</v>
      </c>
      <c r="E108" s="89" t="s">
        <v>210</v>
      </c>
      <c r="F108" s="89" t="s">
        <v>210</v>
      </c>
      <c r="G108" s="89">
        <v>-2</v>
      </c>
      <c r="H108" s="89" t="s">
        <v>210</v>
      </c>
      <c r="I108" s="89" t="s">
        <v>210</v>
      </c>
      <c r="J108" s="89">
        <v>-1</v>
      </c>
      <c r="K108" s="89" t="s">
        <v>210</v>
      </c>
      <c r="L108" s="89" t="s">
        <v>210</v>
      </c>
      <c r="M108" s="89" t="s">
        <v>210</v>
      </c>
      <c r="N108" s="89" t="s">
        <v>210</v>
      </c>
      <c r="O108" s="89">
        <v>2</v>
      </c>
      <c r="P108" s="89" t="s">
        <v>210</v>
      </c>
      <c r="Q108" s="89">
        <v>-1</v>
      </c>
      <c r="R108" s="89">
        <v>1</v>
      </c>
      <c r="S108" s="89" t="s">
        <v>210</v>
      </c>
      <c r="T108" s="89" t="s">
        <v>210</v>
      </c>
      <c r="U108" s="89" t="s">
        <v>210</v>
      </c>
      <c r="V108" s="89">
        <v>-2</v>
      </c>
      <c r="W108" s="89" t="s">
        <v>210</v>
      </c>
      <c r="X108" s="89" t="s">
        <v>210</v>
      </c>
      <c r="Y108" s="89">
        <v>2</v>
      </c>
      <c r="Z108" s="89" t="s">
        <v>210</v>
      </c>
      <c r="AA108" s="89">
        <v>-1</v>
      </c>
      <c r="AB108" s="89" t="s">
        <v>210</v>
      </c>
      <c r="AC108" s="89" t="s">
        <v>210</v>
      </c>
      <c r="AD108" s="89">
        <v>1</v>
      </c>
      <c r="AE108" s="89"/>
      <c r="AF108" s="89"/>
      <c r="AG108" s="89"/>
      <c r="AH108" s="89"/>
      <c r="AI108" s="89"/>
      <c r="AJ108" s="89"/>
      <c r="AK108" s="89"/>
      <c r="AL108" s="89"/>
      <c r="AM108" s="89"/>
      <c r="AN108" s="89"/>
      <c r="AO108" s="89"/>
      <c r="AP108" s="89"/>
      <c r="BA108" s="95"/>
    </row>
    <row r="109" spans="1:53" s="87" customFormat="1">
      <c r="A109" s="90" t="str">
        <f t="shared" si="26"/>
        <v/>
      </c>
      <c r="B109" s="89">
        <v>2</v>
      </c>
      <c r="C109" s="89" t="s">
        <v>210</v>
      </c>
      <c r="D109" s="89" t="s">
        <v>210</v>
      </c>
      <c r="E109" s="89">
        <v>-2</v>
      </c>
      <c r="F109" s="89" t="s">
        <v>210</v>
      </c>
      <c r="G109" s="89" t="s">
        <v>210</v>
      </c>
      <c r="H109" s="89">
        <v>1</v>
      </c>
      <c r="I109" s="89" t="s">
        <v>210</v>
      </c>
      <c r="J109" s="89" t="s">
        <v>210</v>
      </c>
      <c r="K109" s="89" t="s">
        <v>210</v>
      </c>
      <c r="L109" s="89">
        <v>2</v>
      </c>
      <c r="M109" s="89" t="s">
        <v>210</v>
      </c>
      <c r="N109" s="89">
        <v>-1</v>
      </c>
      <c r="O109" s="89" t="s">
        <v>210</v>
      </c>
      <c r="P109" s="89" t="s">
        <v>210</v>
      </c>
      <c r="Q109" s="89">
        <v>2</v>
      </c>
      <c r="R109" s="89" t="s">
        <v>210</v>
      </c>
      <c r="S109" s="89" t="s">
        <v>210</v>
      </c>
      <c r="T109" s="89">
        <v>2</v>
      </c>
      <c r="U109" s="89" t="s">
        <v>210</v>
      </c>
      <c r="V109" s="89">
        <v>-1</v>
      </c>
      <c r="W109" s="89" t="s">
        <v>210</v>
      </c>
      <c r="X109" s="89">
        <v>1</v>
      </c>
      <c r="Y109" s="89" t="s">
        <v>210</v>
      </c>
      <c r="Z109" s="89" t="s">
        <v>210</v>
      </c>
      <c r="AA109" s="89">
        <v>-2</v>
      </c>
      <c r="AB109" s="89" t="s">
        <v>210</v>
      </c>
      <c r="AC109" s="89" t="s">
        <v>210</v>
      </c>
      <c r="AD109" s="89">
        <v>-1</v>
      </c>
      <c r="AE109" s="89"/>
      <c r="AF109" s="89"/>
      <c r="AG109" s="89"/>
      <c r="AH109" s="89"/>
      <c r="AI109" s="89"/>
      <c r="AJ109" s="89"/>
      <c r="AK109" s="89"/>
      <c r="AL109" s="89"/>
      <c r="AM109" s="89"/>
      <c r="AN109" s="89"/>
      <c r="AO109" s="89"/>
      <c r="AP109" s="89"/>
      <c r="BA109" s="95"/>
    </row>
    <row r="110" spans="1:53" s="87" customFormat="1">
      <c r="A110" s="90" t="str">
        <f t="shared" si="26"/>
        <v/>
      </c>
      <c r="B110" s="89">
        <v>3</v>
      </c>
      <c r="C110" s="89" t="s">
        <v>210</v>
      </c>
      <c r="D110" s="89" t="s">
        <v>210</v>
      </c>
      <c r="E110" s="89">
        <v>-1</v>
      </c>
      <c r="F110" s="89" t="s">
        <v>210</v>
      </c>
      <c r="G110" s="89" t="s">
        <v>210</v>
      </c>
      <c r="H110" s="89" t="s">
        <v>210</v>
      </c>
      <c r="I110" s="89">
        <v>-2</v>
      </c>
      <c r="J110" s="89">
        <v>1</v>
      </c>
      <c r="K110" s="89" t="s">
        <v>210</v>
      </c>
      <c r="L110" s="89" t="s">
        <v>210</v>
      </c>
      <c r="M110" s="89">
        <v>2</v>
      </c>
      <c r="N110" s="89" t="s">
        <v>210</v>
      </c>
      <c r="O110" s="89" t="s">
        <v>210</v>
      </c>
      <c r="P110" s="89">
        <v>-2</v>
      </c>
      <c r="Q110" s="89" t="s">
        <v>210</v>
      </c>
      <c r="R110" s="89" t="s">
        <v>210</v>
      </c>
      <c r="S110" s="89">
        <v>1</v>
      </c>
      <c r="T110" s="89" t="s">
        <v>210</v>
      </c>
      <c r="U110" s="89">
        <v>-1</v>
      </c>
      <c r="V110" s="89" t="s">
        <v>210</v>
      </c>
      <c r="W110" s="89" t="s">
        <v>210</v>
      </c>
      <c r="X110" s="89">
        <v>-2</v>
      </c>
      <c r="Y110" s="89" t="s">
        <v>210</v>
      </c>
      <c r="Z110" s="89" t="s">
        <v>210</v>
      </c>
      <c r="AA110" s="89">
        <v>2</v>
      </c>
      <c r="AB110" s="89" t="s">
        <v>210</v>
      </c>
      <c r="AC110" s="89">
        <v>1</v>
      </c>
      <c r="AD110" s="89" t="s">
        <v>210</v>
      </c>
      <c r="AE110" s="89"/>
      <c r="AF110" s="89"/>
      <c r="AG110" s="89"/>
      <c r="AH110" s="89"/>
      <c r="AI110" s="89"/>
      <c r="AJ110" s="89"/>
      <c r="AK110" s="89"/>
      <c r="AL110" s="89"/>
      <c r="AM110" s="89"/>
      <c r="AN110" s="89"/>
      <c r="AO110" s="89"/>
      <c r="AP110" s="89"/>
      <c r="BA110" s="95"/>
    </row>
    <row r="111" spans="1:53" s="87" customFormat="1">
      <c r="A111" s="90" t="str">
        <f t="shared" si="26"/>
        <v/>
      </c>
      <c r="B111" s="89">
        <v>4</v>
      </c>
      <c r="C111" s="89">
        <v>2</v>
      </c>
      <c r="D111" s="89" t="s">
        <v>210</v>
      </c>
      <c r="E111" s="89" t="s">
        <v>210</v>
      </c>
      <c r="F111" s="89" t="s">
        <v>210</v>
      </c>
      <c r="G111" s="89">
        <v>-1</v>
      </c>
      <c r="H111" s="89">
        <v>2</v>
      </c>
      <c r="I111" s="89" t="s">
        <v>210</v>
      </c>
      <c r="J111" s="89" t="s">
        <v>210</v>
      </c>
      <c r="K111" s="89" t="s">
        <v>210</v>
      </c>
      <c r="L111" s="89">
        <v>-2</v>
      </c>
      <c r="M111" s="89" t="s">
        <v>210</v>
      </c>
      <c r="N111" s="89" t="s">
        <v>210</v>
      </c>
      <c r="O111" s="89" t="s">
        <v>210</v>
      </c>
      <c r="P111" s="89">
        <v>1</v>
      </c>
      <c r="Q111" s="89" t="s">
        <v>210</v>
      </c>
      <c r="R111" s="89">
        <v>-1</v>
      </c>
      <c r="S111" s="89" t="s">
        <v>210</v>
      </c>
      <c r="T111" s="89" t="s">
        <v>210</v>
      </c>
      <c r="U111" s="89">
        <v>-2</v>
      </c>
      <c r="V111" s="89" t="s">
        <v>210</v>
      </c>
      <c r="W111" s="89">
        <v>2</v>
      </c>
      <c r="X111" s="89" t="s">
        <v>210</v>
      </c>
      <c r="Y111" s="89" t="s">
        <v>210</v>
      </c>
      <c r="Z111" s="89">
        <v>1</v>
      </c>
      <c r="AA111" s="89" t="s">
        <v>210</v>
      </c>
      <c r="AB111" s="89" t="s">
        <v>210</v>
      </c>
      <c r="AC111" s="89">
        <v>-1</v>
      </c>
      <c r="AD111" s="89" t="s">
        <v>210</v>
      </c>
      <c r="AE111" s="89"/>
      <c r="AF111" s="89"/>
      <c r="AG111" s="89"/>
      <c r="AH111" s="89"/>
      <c r="AI111" s="89"/>
      <c r="AJ111" s="89"/>
      <c r="AK111" s="89"/>
      <c r="AL111" s="89"/>
      <c r="AM111" s="89"/>
      <c r="AN111" s="89"/>
      <c r="AO111" s="89"/>
      <c r="AP111" s="89"/>
      <c r="BA111" s="95"/>
    </row>
    <row r="112" spans="1:53" s="87" customFormat="1">
      <c r="A112" s="90" t="str">
        <f t="shared" si="26"/>
        <v/>
      </c>
      <c r="B112" s="89">
        <v>5</v>
      </c>
      <c r="C112" s="89">
        <v>1</v>
      </c>
      <c r="D112" s="89" t="s">
        <v>210</v>
      </c>
      <c r="E112" s="89" t="s">
        <v>210</v>
      </c>
      <c r="F112" s="89" t="s">
        <v>210</v>
      </c>
      <c r="G112" s="89">
        <v>2</v>
      </c>
      <c r="H112" s="89" t="s">
        <v>210</v>
      </c>
      <c r="I112" s="89" t="s">
        <v>210</v>
      </c>
      <c r="J112" s="89">
        <v>-2</v>
      </c>
      <c r="K112" s="89" t="s">
        <v>210</v>
      </c>
      <c r="L112" s="89" t="s">
        <v>210</v>
      </c>
      <c r="M112" s="89" t="s">
        <v>210</v>
      </c>
      <c r="N112" s="89">
        <v>1</v>
      </c>
      <c r="O112" s="89">
        <v>-1</v>
      </c>
      <c r="P112" s="89" t="s">
        <v>210</v>
      </c>
      <c r="Q112" s="89" t="s">
        <v>210</v>
      </c>
      <c r="R112" s="89">
        <v>-2</v>
      </c>
      <c r="S112" s="89" t="s">
        <v>210</v>
      </c>
      <c r="T112" s="89">
        <v>1</v>
      </c>
      <c r="U112" s="89" t="s">
        <v>210</v>
      </c>
      <c r="V112" s="89" t="s">
        <v>210</v>
      </c>
      <c r="W112" s="89" t="s">
        <v>210</v>
      </c>
      <c r="X112" s="89">
        <v>2</v>
      </c>
      <c r="Y112" s="89" t="s">
        <v>210</v>
      </c>
      <c r="Z112" s="89">
        <v>-1</v>
      </c>
      <c r="AA112" s="89" t="s">
        <v>210</v>
      </c>
      <c r="AB112" s="89" t="s">
        <v>210</v>
      </c>
      <c r="AC112" s="89">
        <v>-2</v>
      </c>
      <c r="AD112" s="89" t="s">
        <v>210</v>
      </c>
      <c r="AE112" s="89"/>
      <c r="AF112" s="89"/>
      <c r="AG112" s="89"/>
      <c r="AH112" s="89"/>
      <c r="AI112" s="89"/>
      <c r="AJ112" s="89"/>
      <c r="AK112" s="89"/>
      <c r="AL112" s="89"/>
      <c r="AM112" s="89"/>
      <c r="AN112" s="89"/>
      <c r="AO112" s="89"/>
      <c r="AP112" s="89"/>
      <c r="BA112" s="95"/>
    </row>
    <row r="113" spans="1:53" s="87" customFormat="1">
      <c r="A113" s="90" t="str">
        <f t="shared" si="26"/>
        <v/>
      </c>
      <c r="B113" s="89">
        <v>6</v>
      </c>
      <c r="C113" s="89">
        <v>-2</v>
      </c>
      <c r="D113" s="89" t="s">
        <v>210</v>
      </c>
      <c r="E113" s="89">
        <v>2</v>
      </c>
      <c r="F113" s="89" t="s">
        <v>210</v>
      </c>
      <c r="G113" s="89" t="s">
        <v>210</v>
      </c>
      <c r="H113" s="89" t="s">
        <v>210</v>
      </c>
      <c r="I113" s="89">
        <v>1</v>
      </c>
      <c r="J113" s="89" t="s">
        <v>210</v>
      </c>
      <c r="K113" s="89" t="s">
        <v>210</v>
      </c>
      <c r="L113" s="89">
        <v>-1</v>
      </c>
      <c r="M113" s="89" t="s">
        <v>210</v>
      </c>
      <c r="N113" s="89" t="s">
        <v>210</v>
      </c>
      <c r="O113" s="89">
        <v>-2</v>
      </c>
      <c r="P113" s="89" t="s">
        <v>210</v>
      </c>
      <c r="Q113" s="89" t="s">
        <v>210</v>
      </c>
      <c r="R113" s="89" t="s">
        <v>210</v>
      </c>
      <c r="S113" s="89">
        <v>2</v>
      </c>
      <c r="T113" s="89" t="s">
        <v>210</v>
      </c>
      <c r="U113" s="89">
        <v>1</v>
      </c>
      <c r="V113" s="89" t="s">
        <v>210</v>
      </c>
      <c r="W113" s="89">
        <v>-1</v>
      </c>
      <c r="X113" s="89" t="s">
        <v>210</v>
      </c>
      <c r="Y113" s="89" t="s">
        <v>210</v>
      </c>
      <c r="Z113" s="89">
        <v>-2</v>
      </c>
      <c r="AA113" s="89" t="s">
        <v>210</v>
      </c>
      <c r="AB113" s="89" t="s">
        <v>210</v>
      </c>
      <c r="AC113" s="89">
        <v>2</v>
      </c>
      <c r="AD113" s="89" t="s">
        <v>210</v>
      </c>
      <c r="AE113" s="89"/>
      <c r="AF113" s="89"/>
      <c r="AG113" s="89"/>
      <c r="AH113" s="89"/>
      <c r="AI113" s="89"/>
      <c r="AJ113" s="89"/>
      <c r="AK113" s="89"/>
      <c r="AL113" s="89"/>
      <c r="AM113" s="89"/>
      <c r="AN113" s="89"/>
      <c r="AO113" s="89"/>
      <c r="AP113" s="89"/>
      <c r="BA113" s="95"/>
    </row>
    <row r="114" spans="1:53" s="87" customFormat="1">
      <c r="A114" s="90" t="str">
        <f t="shared" si="26"/>
        <v/>
      </c>
      <c r="B114" s="89">
        <v>7</v>
      </c>
      <c r="C114" s="89" t="s">
        <v>210</v>
      </c>
      <c r="D114" s="89">
        <v>-2</v>
      </c>
      <c r="E114" s="89" t="s">
        <v>210</v>
      </c>
      <c r="F114" s="89">
        <v>2</v>
      </c>
      <c r="G114" s="89" t="s">
        <v>210</v>
      </c>
      <c r="H114" s="89">
        <v>-1</v>
      </c>
      <c r="I114" s="89" t="s">
        <v>210</v>
      </c>
      <c r="J114" s="89" t="s">
        <v>210</v>
      </c>
      <c r="K114" s="89">
        <v>1</v>
      </c>
      <c r="L114" s="89" t="s">
        <v>210</v>
      </c>
      <c r="M114" s="89">
        <v>-2</v>
      </c>
      <c r="N114" s="89" t="s">
        <v>210</v>
      </c>
      <c r="O114" s="89" t="s">
        <v>210</v>
      </c>
      <c r="P114" s="89" t="s">
        <v>210</v>
      </c>
      <c r="Q114" s="89">
        <v>1</v>
      </c>
      <c r="R114" s="89" t="s">
        <v>210</v>
      </c>
      <c r="S114" s="89" t="s">
        <v>210</v>
      </c>
      <c r="T114" s="89">
        <v>-1</v>
      </c>
      <c r="U114" s="89" t="s">
        <v>210</v>
      </c>
      <c r="V114" s="89" t="s">
        <v>210</v>
      </c>
      <c r="W114" s="89">
        <v>-2</v>
      </c>
      <c r="X114" s="89" t="s">
        <v>210</v>
      </c>
      <c r="Y114" s="89" t="s">
        <v>210</v>
      </c>
      <c r="Z114" s="89">
        <v>2</v>
      </c>
      <c r="AA114" s="89" t="s">
        <v>210</v>
      </c>
      <c r="AB114" s="89">
        <v>1</v>
      </c>
      <c r="AC114" s="89" t="s">
        <v>210</v>
      </c>
      <c r="AD114" s="89" t="s">
        <v>210</v>
      </c>
      <c r="AE114" s="89"/>
      <c r="AF114" s="89"/>
      <c r="AG114" s="89"/>
      <c r="AH114" s="89"/>
      <c r="AI114" s="89"/>
      <c r="AJ114" s="89"/>
      <c r="AK114" s="89"/>
      <c r="AL114" s="89"/>
      <c r="AM114" s="89"/>
      <c r="AN114" s="89"/>
      <c r="AO114" s="89"/>
      <c r="AP114" s="89"/>
      <c r="BA114" s="95"/>
    </row>
    <row r="115" spans="1:53" s="87" customFormat="1">
      <c r="A115" s="90" t="str">
        <f t="shared" si="26"/>
        <v/>
      </c>
      <c r="B115" s="89">
        <v>8</v>
      </c>
      <c r="C115" s="89">
        <v>-1</v>
      </c>
      <c r="D115" s="89" t="s">
        <v>210</v>
      </c>
      <c r="E115" s="89" t="s">
        <v>210</v>
      </c>
      <c r="F115" s="89">
        <v>1</v>
      </c>
      <c r="G115" s="89" t="s">
        <v>210</v>
      </c>
      <c r="H115" s="89">
        <v>-2</v>
      </c>
      <c r="I115" s="89" t="s">
        <v>210</v>
      </c>
      <c r="J115" s="89" t="s">
        <v>210</v>
      </c>
      <c r="K115" s="89" t="s">
        <v>210</v>
      </c>
      <c r="L115" s="89">
        <v>1</v>
      </c>
      <c r="M115" s="89" t="s">
        <v>210</v>
      </c>
      <c r="N115" s="89">
        <v>2</v>
      </c>
      <c r="O115" s="89" t="s">
        <v>210</v>
      </c>
      <c r="P115" s="89" t="s">
        <v>210</v>
      </c>
      <c r="Q115" s="89">
        <v>-2</v>
      </c>
      <c r="R115" s="89" t="s">
        <v>210</v>
      </c>
      <c r="S115" s="89">
        <v>-1</v>
      </c>
      <c r="T115" s="89" t="s">
        <v>210</v>
      </c>
      <c r="U115" s="89" t="s">
        <v>210</v>
      </c>
      <c r="V115" s="89">
        <v>2</v>
      </c>
      <c r="W115" s="89" t="s">
        <v>210</v>
      </c>
      <c r="X115" s="89" t="s">
        <v>210</v>
      </c>
      <c r="Y115" s="89">
        <v>1</v>
      </c>
      <c r="Z115" s="89" t="s">
        <v>210</v>
      </c>
      <c r="AA115" s="89" t="s">
        <v>210</v>
      </c>
      <c r="AB115" s="89">
        <v>-1</v>
      </c>
      <c r="AC115" s="89" t="s">
        <v>210</v>
      </c>
      <c r="AD115" s="89" t="s">
        <v>210</v>
      </c>
      <c r="AE115" s="89"/>
      <c r="AF115" s="89"/>
      <c r="AG115" s="89"/>
      <c r="AH115" s="89"/>
      <c r="AI115" s="89"/>
      <c r="AJ115" s="89"/>
      <c r="AK115" s="89"/>
      <c r="AL115" s="89"/>
      <c r="AM115" s="89"/>
      <c r="AN115" s="89"/>
      <c r="AO115" s="89"/>
      <c r="AP115" s="89"/>
      <c r="BA115" s="95"/>
    </row>
    <row r="116" spans="1:53" s="87" customFormat="1">
      <c r="A116" s="90" t="str">
        <f t="shared" si="26"/>
        <v/>
      </c>
      <c r="B116" s="89">
        <v>9</v>
      </c>
      <c r="C116" s="89" t="s">
        <v>210</v>
      </c>
      <c r="D116" s="89">
        <v>-1</v>
      </c>
      <c r="E116" s="89" t="s">
        <v>210</v>
      </c>
      <c r="F116" s="89" t="s">
        <v>210</v>
      </c>
      <c r="G116" s="89">
        <v>1</v>
      </c>
      <c r="H116" s="89" t="s">
        <v>210</v>
      </c>
      <c r="I116" s="89" t="s">
        <v>210</v>
      </c>
      <c r="J116" s="89">
        <v>2</v>
      </c>
      <c r="K116" s="89">
        <v>-1</v>
      </c>
      <c r="L116" s="89" t="s">
        <v>210</v>
      </c>
      <c r="M116" s="89">
        <v>1</v>
      </c>
      <c r="N116" s="89" t="s">
        <v>210</v>
      </c>
      <c r="O116" s="89" t="s">
        <v>210</v>
      </c>
      <c r="P116" s="89">
        <v>2</v>
      </c>
      <c r="Q116" s="89" t="s">
        <v>210</v>
      </c>
      <c r="R116" s="89" t="s">
        <v>210</v>
      </c>
      <c r="S116" s="89" t="s">
        <v>210</v>
      </c>
      <c r="T116" s="89">
        <v>-2</v>
      </c>
      <c r="U116" s="89" t="s">
        <v>210</v>
      </c>
      <c r="V116" s="89" t="s">
        <v>210</v>
      </c>
      <c r="W116" s="89">
        <v>1</v>
      </c>
      <c r="X116" s="89" t="s">
        <v>210</v>
      </c>
      <c r="Y116" s="89">
        <v>-1</v>
      </c>
      <c r="Z116" s="89" t="s">
        <v>210</v>
      </c>
      <c r="AA116" s="89" t="s">
        <v>210</v>
      </c>
      <c r="AB116" s="89">
        <v>-2</v>
      </c>
      <c r="AC116" s="89" t="s">
        <v>210</v>
      </c>
      <c r="AD116" s="89" t="s">
        <v>210</v>
      </c>
      <c r="AE116" s="89"/>
      <c r="AF116" s="89"/>
      <c r="AG116" s="89"/>
      <c r="AH116" s="89"/>
      <c r="AI116" s="89"/>
      <c r="AJ116" s="89"/>
      <c r="AK116" s="89"/>
      <c r="AL116" s="89"/>
      <c r="AM116" s="89"/>
      <c r="AN116" s="89"/>
      <c r="AO116" s="89"/>
      <c r="AP116" s="89"/>
      <c r="BA116" s="95"/>
    </row>
    <row r="117" spans="1:53" s="87" customFormat="1">
      <c r="A117" s="90" t="str">
        <f t="shared" si="26"/>
        <v/>
      </c>
      <c r="B117" s="89">
        <v>10</v>
      </c>
      <c r="C117" s="89" t="s">
        <v>210</v>
      </c>
      <c r="D117" s="89" t="s">
        <v>210</v>
      </c>
      <c r="E117" s="89">
        <v>1</v>
      </c>
      <c r="F117" s="89">
        <v>-2</v>
      </c>
      <c r="G117" s="89" t="s">
        <v>210</v>
      </c>
      <c r="H117" s="89" t="s">
        <v>210</v>
      </c>
      <c r="I117" s="89">
        <v>-1</v>
      </c>
      <c r="J117" s="89" t="s">
        <v>210</v>
      </c>
      <c r="K117" s="89">
        <v>2</v>
      </c>
      <c r="L117" s="89" t="s">
        <v>210</v>
      </c>
      <c r="M117" s="89" t="s">
        <v>210</v>
      </c>
      <c r="N117" s="89">
        <v>-2</v>
      </c>
      <c r="O117" s="89" t="s">
        <v>210</v>
      </c>
      <c r="P117" s="89">
        <v>-1</v>
      </c>
      <c r="Q117" s="89" t="s">
        <v>210</v>
      </c>
      <c r="R117" s="89">
        <v>2</v>
      </c>
      <c r="S117" s="89" t="s">
        <v>210</v>
      </c>
      <c r="T117" s="89" t="s">
        <v>210</v>
      </c>
      <c r="U117" s="89" t="s">
        <v>210</v>
      </c>
      <c r="V117" s="89">
        <v>1</v>
      </c>
      <c r="W117" s="89" t="s">
        <v>210</v>
      </c>
      <c r="X117" s="89" t="s">
        <v>210</v>
      </c>
      <c r="Y117" s="89">
        <v>-2</v>
      </c>
      <c r="Z117" s="89" t="s">
        <v>210</v>
      </c>
      <c r="AA117" s="89" t="s">
        <v>210</v>
      </c>
      <c r="AB117" s="89">
        <v>2</v>
      </c>
      <c r="AC117" s="89" t="s">
        <v>210</v>
      </c>
      <c r="AD117" s="89" t="s">
        <v>210</v>
      </c>
      <c r="AE117" s="89"/>
      <c r="AF117" s="89"/>
      <c r="AG117" s="89"/>
      <c r="AH117" s="89"/>
      <c r="AI117" s="89"/>
      <c r="AJ117" s="89"/>
      <c r="AK117" s="89"/>
      <c r="AL117" s="89"/>
      <c r="AM117" s="89"/>
      <c r="AN117" s="89"/>
      <c r="AO117" s="89"/>
      <c r="AP117" s="89"/>
      <c r="BA117" s="95"/>
    </row>
    <row r="118" spans="1:53" s="87" customFormat="1">
      <c r="A118" s="90" t="str">
        <f t="shared" si="26"/>
        <v/>
      </c>
      <c r="B118" s="89">
        <v>11</v>
      </c>
      <c r="C118" s="89" t="s">
        <v>210</v>
      </c>
      <c r="D118" s="89">
        <v>2</v>
      </c>
      <c r="E118" s="89" t="s">
        <v>210</v>
      </c>
      <c r="F118" s="89">
        <v>-1</v>
      </c>
      <c r="G118" s="89" t="s">
        <v>210</v>
      </c>
      <c r="H118" s="89" t="s">
        <v>210</v>
      </c>
      <c r="I118" s="89">
        <v>2</v>
      </c>
      <c r="J118" s="89" t="s">
        <v>210</v>
      </c>
      <c r="K118" s="89">
        <v>-2</v>
      </c>
      <c r="L118" s="89" t="s">
        <v>210</v>
      </c>
      <c r="M118" s="89">
        <v>-1</v>
      </c>
      <c r="N118" s="89" t="s">
        <v>210</v>
      </c>
      <c r="O118" s="89">
        <v>1</v>
      </c>
      <c r="P118" s="89" t="s">
        <v>210</v>
      </c>
      <c r="Q118" s="89" t="s">
        <v>210</v>
      </c>
      <c r="R118" s="89" t="s">
        <v>210</v>
      </c>
      <c r="S118" s="89">
        <v>-2</v>
      </c>
      <c r="T118" s="89" t="s">
        <v>210</v>
      </c>
      <c r="U118" s="89">
        <v>2</v>
      </c>
      <c r="V118" s="89" t="s">
        <v>210</v>
      </c>
      <c r="W118" s="89" t="s">
        <v>210</v>
      </c>
      <c r="X118" s="89">
        <v>-1</v>
      </c>
      <c r="Y118" s="89" t="s">
        <v>210</v>
      </c>
      <c r="Z118" s="89" t="s">
        <v>210</v>
      </c>
      <c r="AA118" s="89">
        <v>1</v>
      </c>
      <c r="AB118" s="89" t="s">
        <v>210</v>
      </c>
      <c r="AC118" s="89" t="s">
        <v>210</v>
      </c>
      <c r="AD118" s="89" t="s">
        <v>210</v>
      </c>
      <c r="AE118" s="89"/>
      <c r="AF118" s="89"/>
      <c r="AG118" s="89"/>
      <c r="AH118" s="89"/>
      <c r="AI118" s="89"/>
      <c r="AJ118" s="89"/>
      <c r="AK118" s="89"/>
      <c r="AL118" s="89"/>
      <c r="AM118" s="89"/>
      <c r="AN118" s="89"/>
      <c r="AO118" s="89"/>
      <c r="AP118" s="89"/>
      <c r="BA118" s="95"/>
    </row>
    <row r="119" spans="1:53" s="87" customFormat="1">
      <c r="A119" s="90" t="str">
        <f t="shared" si="26"/>
        <v/>
      </c>
      <c r="B119" s="89" t="s">
        <v>227</v>
      </c>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BA119" s="95"/>
    </row>
    <row r="120" spans="1:53" s="87" customFormat="1">
      <c r="A120" s="90">
        <f t="shared" si="26"/>
        <v>120</v>
      </c>
      <c r="B120" s="89" t="s">
        <v>228</v>
      </c>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c r="AA120" s="89"/>
      <c r="AB120" s="89"/>
      <c r="AC120" s="89"/>
      <c r="AD120" s="89"/>
      <c r="AE120" s="89"/>
      <c r="AF120" s="89"/>
      <c r="AG120" s="89"/>
      <c r="AH120" s="89"/>
      <c r="AI120" s="89"/>
      <c r="AJ120" s="89"/>
      <c r="AK120" s="89"/>
      <c r="AL120" s="89"/>
      <c r="AM120" s="89"/>
      <c r="AN120" s="89"/>
      <c r="AO120" s="89"/>
      <c r="AP120" s="89"/>
      <c r="BA120" s="95"/>
    </row>
    <row r="121" spans="1:53" s="87" customFormat="1">
      <c r="A121" s="90" t="str">
        <f t="shared" si="26"/>
        <v/>
      </c>
      <c r="B121" s="89">
        <v>1</v>
      </c>
      <c r="C121" s="89">
        <v>-2</v>
      </c>
      <c r="D121" s="89" t="s">
        <v>210</v>
      </c>
      <c r="E121" s="89">
        <v>1</v>
      </c>
      <c r="F121" s="89" t="s">
        <v>210</v>
      </c>
      <c r="G121" s="89" t="s">
        <v>210</v>
      </c>
      <c r="H121" s="89">
        <v>-1</v>
      </c>
      <c r="I121" s="89" t="s">
        <v>210</v>
      </c>
      <c r="J121" s="89">
        <v>-2</v>
      </c>
      <c r="K121" s="89" t="s">
        <v>210</v>
      </c>
      <c r="L121" s="89" t="s">
        <v>210</v>
      </c>
      <c r="M121" s="89">
        <v>2</v>
      </c>
      <c r="N121" s="89" t="s">
        <v>210</v>
      </c>
      <c r="O121" s="89" t="s">
        <v>210</v>
      </c>
      <c r="P121" s="89"/>
      <c r="Q121" s="89"/>
      <c r="R121" s="89"/>
      <c r="S121" s="89"/>
      <c r="T121" s="89"/>
      <c r="U121" s="89"/>
      <c r="V121" s="89"/>
      <c r="W121" s="89"/>
      <c r="X121" s="89"/>
      <c r="Y121" s="89"/>
      <c r="Z121" s="89"/>
      <c r="AA121" s="89"/>
      <c r="AB121" s="89"/>
      <c r="AC121" s="89"/>
      <c r="AD121" s="89"/>
      <c r="AE121" s="89"/>
      <c r="AF121" s="89"/>
      <c r="AG121" s="89"/>
      <c r="AH121" s="89"/>
      <c r="AI121" s="89"/>
      <c r="AJ121" s="89"/>
      <c r="AK121" s="89"/>
      <c r="AL121" s="89"/>
      <c r="AM121" s="89"/>
      <c r="AN121" s="89"/>
      <c r="AO121" s="89"/>
      <c r="AP121" s="89"/>
      <c r="BA121" s="95"/>
    </row>
    <row r="122" spans="1:53" s="87" customFormat="1">
      <c r="A122" s="90" t="str">
        <f t="shared" si="26"/>
        <v/>
      </c>
      <c r="B122" s="89">
        <v>2</v>
      </c>
      <c r="C122" s="89" t="s">
        <v>210</v>
      </c>
      <c r="D122" s="89">
        <v>-1</v>
      </c>
      <c r="E122" s="89" t="s">
        <v>210</v>
      </c>
      <c r="F122" s="89">
        <v>2</v>
      </c>
      <c r="G122" s="89" t="s">
        <v>210</v>
      </c>
      <c r="H122" s="89" t="s">
        <v>210</v>
      </c>
      <c r="I122" s="89">
        <v>1</v>
      </c>
      <c r="J122" s="89" t="s">
        <v>210</v>
      </c>
      <c r="K122" s="89">
        <v>-1</v>
      </c>
      <c r="L122" s="89" t="s">
        <v>210</v>
      </c>
      <c r="M122" s="89">
        <v>-2</v>
      </c>
      <c r="N122" s="89" t="s">
        <v>210</v>
      </c>
      <c r="O122" s="89" t="s">
        <v>210</v>
      </c>
      <c r="P122" s="89"/>
      <c r="Q122" s="89"/>
      <c r="R122" s="89"/>
      <c r="S122" s="89"/>
      <c r="T122" s="89"/>
      <c r="U122" s="89"/>
      <c r="V122" s="89"/>
      <c r="W122" s="89"/>
      <c r="X122" s="89"/>
      <c r="Y122" s="89"/>
      <c r="Z122" s="89"/>
      <c r="AA122" s="89"/>
      <c r="AB122" s="89"/>
      <c r="AC122" s="89"/>
      <c r="AD122" s="89"/>
      <c r="AE122" s="89"/>
      <c r="AF122" s="89"/>
      <c r="AG122" s="89"/>
      <c r="AH122" s="89"/>
      <c r="AI122" s="89"/>
      <c r="AJ122" s="89"/>
      <c r="AK122" s="89"/>
      <c r="AL122" s="89"/>
      <c r="AM122" s="89"/>
      <c r="AN122" s="89"/>
      <c r="AO122" s="89"/>
      <c r="AP122" s="89"/>
      <c r="BA122" s="95"/>
    </row>
    <row r="123" spans="1:53" s="87" customFormat="1">
      <c r="A123" s="90" t="str">
        <f t="shared" si="26"/>
        <v/>
      </c>
      <c r="B123" s="89">
        <v>3</v>
      </c>
      <c r="C123" s="89" t="s">
        <v>210</v>
      </c>
      <c r="D123" s="89">
        <v>1</v>
      </c>
      <c r="E123" s="89" t="s">
        <v>210</v>
      </c>
      <c r="F123" s="89">
        <v>-1</v>
      </c>
      <c r="G123" s="89" t="s">
        <v>210</v>
      </c>
      <c r="H123" s="89">
        <v>-2</v>
      </c>
      <c r="I123" s="89" t="s">
        <v>210</v>
      </c>
      <c r="J123" s="89">
        <v>2</v>
      </c>
      <c r="K123" s="89" t="s">
        <v>210</v>
      </c>
      <c r="L123" s="89" t="s">
        <v>210</v>
      </c>
      <c r="M123" s="89">
        <v>1</v>
      </c>
      <c r="N123" s="89" t="s">
        <v>210</v>
      </c>
      <c r="O123" s="89" t="s">
        <v>210</v>
      </c>
      <c r="P123" s="89"/>
      <c r="Q123" s="89"/>
      <c r="R123" s="89"/>
      <c r="S123" s="89"/>
      <c r="T123" s="89"/>
      <c r="U123" s="89"/>
      <c r="V123" s="89"/>
      <c r="W123" s="89"/>
      <c r="X123" s="89"/>
      <c r="Y123" s="89"/>
      <c r="Z123" s="89"/>
      <c r="AA123" s="89"/>
      <c r="AB123" s="89"/>
      <c r="AC123" s="89"/>
      <c r="AD123" s="89"/>
      <c r="AE123" s="89"/>
      <c r="AF123" s="89"/>
      <c r="AG123" s="89"/>
      <c r="AH123" s="89"/>
      <c r="AI123" s="89"/>
      <c r="AJ123" s="89"/>
      <c r="AK123" s="89"/>
      <c r="AL123" s="89"/>
      <c r="AM123" s="89"/>
      <c r="AN123" s="89"/>
      <c r="AO123" s="89"/>
      <c r="AP123" s="89"/>
      <c r="BA123" s="95"/>
    </row>
    <row r="124" spans="1:53" s="87" customFormat="1">
      <c r="A124" s="90" t="str">
        <f t="shared" si="26"/>
        <v/>
      </c>
      <c r="B124" s="89">
        <v>4</v>
      </c>
      <c r="C124" s="89">
        <v>-1</v>
      </c>
      <c r="D124" s="89" t="s">
        <v>210</v>
      </c>
      <c r="E124" s="89" t="s">
        <v>210</v>
      </c>
      <c r="F124" s="89">
        <v>-2</v>
      </c>
      <c r="G124" s="89" t="s">
        <v>210</v>
      </c>
      <c r="H124" s="89">
        <v>1</v>
      </c>
      <c r="I124" s="89" t="s">
        <v>210</v>
      </c>
      <c r="J124" s="89" t="s">
        <v>210</v>
      </c>
      <c r="K124" s="89">
        <v>2</v>
      </c>
      <c r="L124" s="89" t="s">
        <v>210</v>
      </c>
      <c r="M124" s="89">
        <v>-1</v>
      </c>
      <c r="N124" s="89" t="s">
        <v>210</v>
      </c>
      <c r="O124" s="89" t="s">
        <v>210</v>
      </c>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BA124" s="95"/>
    </row>
    <row r="125" spans="1:53" s="87" customFormat="1">
      <c r="A125" s="90" t="str">
        <f t="shared" si="26"/>
        <v/>
      </c>
      <c r="B125" s="89">
        <v>5</v>
      </c>
      <c r="C125" s="89">
        <v>1</v>
      </c>
      <c r="D125" s="89" t="s">
        <v>210</v>
      </c>
      <c r="E125" s="89">
        <v>-1</v>
      </c>
      <c r="F125" s="89" t="s">
        <v>210</v>
      </c>
      <c r="G125" s="89" t="s">
        <v>210</v>
      </c>
      <c r="H125" s="89">
        <v>2</v>
      </c>
      <c r="I125" s="89" t="s">
        <v>210</v>
      </c>
      <c r="J125" s="89" t="s">
        <v>210</v>
      </c>
      <c r="K125" s="89">
        <v>1</v>
      </c>
      <c r="L125" s="89" t="s">
        <v>210</v>
      </c>
      <c r="M125" s="89" t="s">
        <v>210</v>
      </c>
      <c r="N125" s="89">
        <v>-1</v>
      </c>
      <c r="O125" s="89" t="s">
        <v>210</v>
      </c>
      <c r="P125" s="89"/>
      <c r="Q125" s="89"/>
      <c r="R125" s="89"/>
      <c r="S125" s="89"/>
      <c r="T125" s="89"/>
      <c r="U125" s="89"/>
      <c r="V125" s="89"/>
      <c r="W125" s="89"/>
      <c r="X125" s="89"/>
      <c r="Y125" s="89"/>
      <c r="Z125" s="89"/>
      <c r="AA125" s="89"/>
      <c r="AB125" s="89"/>
      <c r="AC125" s="89"/>
      <c r="AD125" s="89"/>
      <c r="AE125" s="89"/>
      <c r="AF125" s="89"/>
      <c r="AG125" s="89"/>
      <c r="AH125" s="89"/>
      <c r="AI125" s="89"/>
      <c r="AJ125" s="89"/>
      <c r="AK125" s="89"/>
      <c r="AL125" s="89"/>
      <c r="AM125" s="89"/>
      <c r="AN125" s="89"/>
      <c r="AO125" s="89"/>
      <c r="AP125" s="89"/>
      <c r="BA125" s="95"/>
    </row>
    <row r="126" spans="1:53" s="87" customFormat="1">
      <c r="A126" s="90" t="str">
        <f t="shared" si="26"/>
        <v/>
      </c>
      <c r="B126" s="92">
        <v>6</v>
      </c>
      <c r="C126" s="92">
        <v>2</v>
      </c>
      <c r="D126" s="92" t="s">
        <v>210</v>
      </c>
      <c r="E126" s="92" t="s">
        <v>210</v>
      </c>
      <c r="F126" s="92">
        <v>1</v>
      </c>
      <c r="G126" s="92" t="s">
        <v>210</v>
      </c>
      <c r="H126" s="92" t="s">
        <v>210</v>
      </c>
      <c r="I126" s="92">
        <v>-1</v>
      </c>
      <c r="J126" s="92" t="s">
        <v>210</v>
      </c>
      <c r="K126" s="92">
        <v>-2</v>
      </c>
      <c r="L126" s="92" t="s">
        <v>210</v>
      </c>
      <c r="M126" s="92" t="s">
        <v>210</v>
      </c>
      <c r="N126" s="92">
        <v>1</v>
      </c>
      <c r="O126" s="92" t="s">
        <v>210</v>
      </c>
      <c r="P126" s="89"/>
      <c r="Q126" s="89"/>
      <c r="R126" s="89"/>
      <c r="S126" s="89"/>
      <c r="T126" s="89"/>
      <c r="U126" s="89"/>
      <c r="V126" s="89"/>
      <c r="W126" s="89"/>
      <c r="X126" s="89"/>
      <c r="Y126" s="89"/>
      <c r="Z126" s="89"/>
      <c r="AA126" s="89"/>
      <c r="AB126" s="89"/>
      <c r="AC126" s="89"/>
      <c r="AD126" s="89"/>
      <c r="AE126" s="89"/>
      <c r="AF126" s="89"/>
      <c r="AG126" s="89"/>
      <c r="AH126" s="89"/>
      <c r="AI126" s="89"/>
      <c r="AJ126" s="89"/>
      <c r="AK126" s="89"/>
      <c r="AL126" s="89"/>
      <c r="AM126" s="89"/>
      <c r="AN126" s="89"/>
      <c r="AO126" s="89"/>
      <c r="AP126" s="89"/>
      <c r="BA126" s="95"/>
    </row>
    <row r="127" spans="1:53" s="87" customFormat="1">
      <c r="A127" s="90" t="str">
        <f t="shared" si="26"/>
        <v/>
      </c>
      <c r="B127" s="89">
        <v>7</v>
      </c>
      <c r="C127" s="89" t="s">
        <v>210</v>
      </c>
      <c r="D127" s="89">
        <v>-2</v>
      </c>
      <c r="E127" s="89" t="s">
        <v>210</v>
      </c>
      <c r="F127" s="89" t="s">
        <v>210</v>
      </c>
      <c r="G127" s="89">
        <v>1</v>
      </c>
      <c r="H127" s="89" t="s">
        <v>210</v>
      </c>
      <c r="I127" s="89">
        <v>-2</v>
      </c>
      <c r="J127" s="89" t="s">
        <v>210</v>
      </c>
      <c r="K127" s="89" t="s">
        <v>210</v>
      </c>
      <c r="L127" s="89">
        <v>2</v>
      </c>
      <c r="M127" s="89" t="s">
        <v>210</v>
      </c>
      <c r="N127" s="89" t="s">
        <v>210</v>
      </c>
      <c r="O127" s="89" t="s">
        <v>210</v>
      </c>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BA127" s="95"/>
    </row>
    <row r="128" spans="1:53" s="87" customFormat="1">
      <c r="A128" s="90" t="str">
        <f t="shared" si="26"/>
        <v/>
      </c>
      <c r="B128" s="89">
        <v>8</v>
      </c>
      <c r="C128" s="89" t="s">
        <v>210</v>
      </c>
      <c r="D128" s="89" t="s">
        <v>210</v>
      </c>
      <c r="E128" s="89">
        <v>2</v>
      </c>
      <c r="F128" s="89" t="s">
        <v>210</v>
      </c>
      <c r="G128" s="89">
        <v>-1</v>
      </c>
      <c r="H128" s="89" t="s">
        <v>210</v>
      </c>
      <c r="I128" s="89" t="s">
        <v>210</v>
      </c>
      <c r="J128" s="89">
        <v>1</v>
      </c>
      <c r="K128" s="89" t="s">
        <v>210</v>
      </c>
      <c r="L128" s="89" t="s">
        <v>210</v>
      </c>
      <c r="M128" s="89" t="s">
        <v>210</v>
      </c>
      <c r="N128" s="89">
        <v>-2</v>
      </c>
      <c r="O128" s="89" t="s">
        <v>210</v>
      </c>
      <c r="P128" s="89"/>
      <c r="Q128" s="89"/>
      <c r="R128" s="89"/>
      <c r="S128" s="89"/>
      <c r="T128" s="89"/>
      <c r="U128" s="89"/>
      <c r="V128" s="89"/>
      <c r="W128" s="89"/>
      <c r="X128" s="89"/>
      <c r="Y128" s="89"/>
      <c r="Z128" s="89"/>
      <c r="AA128" s="89"/>
      <c r="AB128" s="89"/>
      <c r="AC128" s="89"/>
      <c r="AD128" s="89"/>
      <c r="AE128" s="89"/>
      <c r="AF128" s="89"/>
      <c r="AG128" s="89"/>
      <c r="AH128" s="89"/>
      <c r="AI128" s="89"/>
      <c r="AJ128" s="89"/>
      <c r="AK128" s="89"/>
      <c r="AL128" s="89"/>
      <c r="AM128" s="89"/>
      <c r="AN128" s="89"/>
      <c r="AO128" s="89"/>
      <c r="AP128" s="89"/>
      <c r="BA128" s="95"/>
    </row>
    <row r="129" spans="1:53" s="87" customFormat="1">
      <c r="A129" s="90" t="str">
        <f t="shared" si="26"/>
        <v/>
      </c>
      <c r="B129" s="89">
        <v>9</v>
      </c>
      <c r="C129" s="89" t="s">
        <v>210</v>
      </c>
      <c r="D129" s="89">
        <v>2</v>
      </c>
      <c r="E129" s="89" t="s">
        <v>210</v>
      </c>
      <c r="F129" s="89" t="s">
        <v>210</v>
      </c>
      <c r="G129" s="89">
        <v>-2</v>
      </c>
      <c r="H129" s="89" t="s">
        <v>210</v>
      </c>
      <c r="I129" s="89" t="s">
        <v>210</v>
      </c>
      <c r="J129" s="89" t="s">
        <v>210</v>
      </c>
      <c r="K129" s="89" t="s">
        <v>210</v>
      </c>
      <c r="L129" s="89">
        <v>-1</v>
      </c>
      <c r="M129" s="89" t="s">
        <v>210</v>
      </c>
      <c r="N129" s="89">
        <v>2</v>
      </c>
      <c r="O129" s="89" t="s">
        <v>210</v>
      </c>
      <c r="P129" s="89"/>
      <c r="Q129" s="89"/>
      <c r="R129" s="89"/>
      <c r="S129" s="89"/>
      <c r="T129" s="89"/>
      <c r="U129" s="89"/>
      <c r="V129" s="89"/>
      <c r="W129" s="89"/>
      <c r="X129" s="89"/>
      <c r="Y129" s="89"/>
      <c r="Z129" s="89"/>
      <c r="AA129" s="89"/>
      <c r="AB129" s="89"/>
      <c r="AC129" s="89"/>
      <c r="AD129" s="89"/>
      <c r="AE129" s="89"/>
      <c r="AF129" s="89"/>
      <c r="AG129" s="89"/>
      <c r="AH129" s="89"/>
      <c r="AI129" s="89"/>
      <c r="AJ129" s="89"/>
      <c r="AK129" s="89"/>
      <c r="AL129" s="89"/>
      <c r="AM129" s="89"/>
      <c r="AN129" s="89"/>
      <c r="AO129" s="89"/>
      <c r="AP129" s="89"/>
      <c r="BA129" s="95"/>
    </row>
    <row r="130" spans="1:53" s="87" customFormat="1">
      <c r="A130" s="90" t="str">
        <f t="shared" si="26"/>
        <v/>
      </c>
      <c r="B130" s="89">
        <v>10</v>
      </c>
      <c r="C130" s="89" t="s">
        <v>210</v>
      </c>
      <c r="D130" s="89" t="s">
        <v>210</v>
      </c>
      <c r="E130" s="89">
        <v>-2</v>
      </c>
      <c r="F130" s="89" t="s">
        <v>210</v>
      </c>
      <c r="G130" s="89" t="s">
        <v>210</v>
      </c>
      <c r="H130" s="89" t="s">
        <v>210</v>
      </c>
      <c r="I130" s="89">
        <v>2</v>
      </c>
      <c r="J130" s="89" t="s">
        <v>210</v>
      </c>
      <c r="K130" s="89" t="s">
        <v>210</v>
      </c>
      <c r="L130" s="89">
        <v>1</v>
      </c>
      <c r="M130" s="89" t="s">
        <v>210</v>
      </c>
      <c r="N130" s="89" t="s">
        <v>210</v>
      </c>
      <c r="O130" s="89">
        <v>-1</v>
      </c>
      <c r="P130" s="89"/>
      <c r="Q130" s="89"/>
      <c r="R130" s="89"/>
      <c r="S130" s="89"/>
      <c r="T130" s="89"/>
      <c r="U130" s="89"/>
      <c r="V130" s="89"/>
      <c r="W130" s="89"/>
      <c r="X130" s="89"/>
      <c r="Y130" s="89"/>
      <c r="Z130" s="89"/>
      <c r="AA130" s="89"/>
      <c r="AB130" s="89"/>
      <c r="AC130" s="89"/>
      <c r="AD130" s="89"/>
      <c r="AE130" s="89"/>
      <c r="AF130" s="89"/>
      <c r="AG130" s="89"/>
      <c r="AH130" s="89"/>
      <c r="AI130" s="89"/>
      <c r="AJ130" s="89"/>
      <c r="AK130" s="89"/>
      <c r="AL130" s="89"/>
      <c r="AM130" s="89"/>
      <c r="AN130" s="89"/>
      <c r="AO130" s="89"/>
      <c r="AP130" s="89"/>
      <c r="BA130" s="95"/>
    </row>
    <row r="131" spans="1:53" s="87" customFormat="1">
      <c r="A131" s="90" t="str">
        <f t="shared" si="26"/>
        <v/>
      </c>
      <c r="B131" s="89">
        <v>11</v>
      </c>
      <c r="C131" s="89" t="s">
        <v>210</v>
      </c>
      <c r="D131" s="89" t="s">
        <v>210</v>
      </c>
      <c r="E131" s="89" t="s">
        <v>210</v>
      </c>
      <c r="F131" s="89" t="s">
        <v>210</v>
      </c>
      <c r="G131" s="89">
        <v>2</v>
      </c>
      <c r="H131" s="89" t="s">
        <v>210</v>
      </c>
      <c r="I131" s="89" t="s">
        <v>210</v>
      </c>
      <c r="J131" s="89">
        <v>-1</v>
      </c>
      <c r="K131" s="89" t="s">
        <v>210</v>
      </c>
      <c r="L131" s="89">
        <v>-2</v>
      </c>
      <c r="M131" s="89" t="s">
        <v>210</v>
      </c>
      <c r="N131" s="89" t="s">
        <v>210</v>
      </c>
      <c r="O131" s="89">
        <v>1</v>
      </c>
      <c r="P131" s="89"/>
      <c r="Q131" s="89"/>
      <c r="R131" s="89"/>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BA131" s="95"/>
    </row>
    <row r="132" spans="1:53" s="87" customFormat="1">
      <c r="A132" s="90" t="str">
        <f t="shared" si="26"/>
        <v/>
      </c>
      <c r="B132" s="89" t="s">
        <v>229</v>
      </c>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89"/>
      <c r="AE132" s="89"/>
      <c r="AF132" s="89"/>
      <c r="AG132" s="89"/>
      <c r="AH132" s="89"/>
      <c r="AI132" s="89"/>
      <c r="AJ132" s="89"/>
      <c r="AK132" s="89"/>
      <c r="AL132" s="89"/>
      <c r="AM132" s="89"/>
      <c r="AN132" s="89"/>
      <c r="AO132" s="89"/>
      <c r="AP132" s="89"/>
      <c r="BA132" s="95"/>
    </row>
    <row r="133" spans="1:53" s="87" customFormat="1">
      <c r="A133" s="90">
        <f t="shared" si="26"/>
        <v>133</v>
      </c>
      <c r="B133" s="319" t="s">
        <v>1212</v>
      </c>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c r="AA133" s="89"/>
      <c r="AB133" s="89"/>
      <c r="AC133" s="89"/>
      <c r="AD133" s="89"/>
      <c r="AE133" s="89"/>
      <c r="AF133" s="89"/>
      <c r="AG133" s="89"/>
      <c r="AH133" s="89"/>
      <c r="AI133" s="89"/>
      <c r="AJ133" s="89"/>
      <c r="AK133" s="89"/>
      <c r="AL133" s="89"/>
      <c r="AM133" s="89"/>
      <c r="AN133" s="89"/>
      <c r="AO133" s="89"/>
      <c r="AP133" s="89"/>
      <c r="BA133" s="95"/>
    </row>
    <row r="134" spans="1:53" s="87" customFormat="1">
      <c r="A134" s="90" t="str">
        <f t="shared" si="26"/>
        <v/>
      </c>
      <c r="B134" s="89">
        <v>1</v>
      </c>
      <c r="C134" s="89">
        <v>-2</v>
      </c>
      <c r="D134" s="89" t="s">
        <v>210</v>
      </c>
      <c r="E134" s="89" t="s">
        <v>210</v>
      </c>
      <c r="F134" s="89" t="s">
        <v>210</v>
      </c>
      <c r="G134" s="89" t="s">
        <v>210</v>
      </c>
      <c r="H134" s="89">
        <v>2</v>
      </c>
      <c r="I134" s="89" t="s">
        <v>210</v>
      </c>
      <c r="J134" s="89">
        <v>1</v>
      </c>
      <c r="K134" s="89" t="s">
        <v>210</v>
      </c>
      <c r="L134" s="89">
        <v>2</v>
      </c>
      <c r="M134" s="89" t="s">
        <v>210</v>
      </c>
      <c r="N134" s="89" t="s">
        <v>210</v>
      </c>
      <c r="O134" s="89" t="s">
        <v>210</v>
      </c>
      <c r="P134" s="89">
        <v>-1</v>
      </c>
      <c r="Q134" s="89" t="s">
        <v>210</v>
      </c>
      <c r="R134" s="89" t="s">
        <v>210</v>
      </c>
      <c r="S134" s="89">
        <v>-2</v>
      </c>
      <c r="T134" s="89" t="s">
        <v>210</v>
      </c>
      <c r="U134" s="89" t="s">
        <v>210</v>
      </c>
      <c r="V134" s="89" t="s">
        <v>210</v>
      </c>
      <c r="W134" s="89">
        <v>1</v>
      </c>
      <c r="X134" s="89" t="s">
        <v>210</v>
      </c>
      <c r="Y134" s="89" t="s">
        <v>210</v>
      </c>
      <c r="Z134" s="89">
        <v>-1</v>
      </c>
      <c r="AA134" s="89" t="s">
        <v>210</v>
      </c>
      <c r="AB134" s="89">
        <v>2</v>
      </c>
      <c r="AC134" s="89" t="s">
        <v>210</v>
      </c>
      <c r="AD134" s="89" t="s">
        <v>210</v>
      </c>
      <c r="AE134" s="89" t="s">
        <v>210</v>
      </c>
      <c r="AF134" s="89">
        <v>1</v>
      </c>
      <c r="AG134" s="89">
        <v>-1</v>
      </c>
      <c r="AH134" s="89" t="s">
        <v>210</v>
      </c>
      <c r="AI134" s="89" t="s">
        <v>210</v>
      </c>
      <c r="AJ134" s="89"/>
      <c r="AK134" s="89"/>
      <c r="AL134" s="89"/>
      <c r="AM134" s="89"/>
      <c r="AN134" s="89"/>
      <c r="AO134" s="89"/>
      <c r="AP134" s="89"/>
      <c r="BA134" s="95"/>
    </row>
    <row r="135" spans="1:53" s="87" customFormat="1">
      <c r="A135" s="90" t="str">
        <f t="shared" si="26"/>
        <v/>
      </c>
      <c r="B135" s="89">
        <v>2</v>
      </c>
      <c r="C135" s="89">
        <v>-1</v>
      </c>
      <c r="D135" s="89" t="s">
        <v>210</v>
      </c>
      <c r="E135" s="89" t="s">
        <v>210</v>
      </c>
      <c r="F135" s="89" t="s">
        <v>210</v>
      </c>
      <c r="G135" s="89" t="s">
        <v>210</v>
      </c>
      <c r="H135" s="89">
        <v>1</v>
      </c>
      <c r="I135" s="89" t="s">
        <v>210</v>
      </c>
      <c r="J135" s="89">
        <v>-2</v>
      </c>
      <c r="K135" s="89" t="s">
        <v>210</v>
      </c>
      <c r="L135" s="89">
        <v>-1</v>
      </c>
      <c r="M135" s="89" t="s">
        <v>210</v>
      </c>
      <c r="N135" s="89" t="s">
        <v>210</v>
      </c>
      <c r="O135" s="89" t="s">
        <v>210</v>
      </c>
      <c r="P135" s="89" t="s">
        <v>210</v>
      </c>
      <c r="Q135" s="89">
        <v>2</v>
      </c>
      <c r="R135" s="89" t="s">
        <v>210</v>
      </c>
      <c r="S135" s="89">
        <v>1</v>
      </c>
      <c r="T135" s="89" t="s">
        <v>210</v>
      </c>
      <c r="U135" s="89">
        <v>2</v>
      </c>
      <c r="V135" s="89" t="s">
        <v>210</v>
      </c>
      <c r="W135" s="89" t="s">
        <v>210</v>
      </c>
      <c r="X135" s="89" t="s">
        <v>210</v>
      </c>
      <c r="Y135" s="89" t="s">
        <v>210</v>
      </c>
      <c r="Z135" s="89">
        <v>-2</v>
      </c>
      <c r="AA135" s="89" t="s">
        <v>210</v>
      </c>
      <c r="AB135" s="89">
        <v>-1</v>
      </c>
      <c r="AC135" s="89" t="s">
        <v>210</v>
      </c>
      <c r="AD135" s="89" t="s">
        <v>210</v>
      </c>
      <c r="AE135" s="89" t="s">
        <v>210</v>
      </c>
      <c r="AF135" s="89">
        <v>2</v>
      </c>
      <c r="AG135" s="89">
        <v>1</v>
      </c>
      <c r="AH135" s="89" t="s">
        <v>210</v>
      </c>
      <c r="AI135" s="89" t="s">
        <v>210</v>
      </c>
      <c r="AJ135" s="89"/>
      <c r="AK135" s="89"/>
      <c r="AL135" s="89"/>
      <c r="AM135" s="89"/>
      <c r="AN135" s="89"/>
      <c r="AO135" s="89"/>
      <c r="AP135" s="89"/>
      <c r="BA135" s="95"/>
    </row>
    <row r="136" spans="1:53" s="87" customFormat="1">
      <c r="A136" s="90" t="str">
        <f t="shared" si="26"/>
        <v/>
      </c>
      <c r="B136" s="89">
        <v>3</v>
      </c>
      <c r="C136" s="89" t="s">
        <v>210</v>
      </c>
      <c r="D136" s="89">
        <v>1</v>
      </c>
      <c r="E136" s="89" t="s">
        <v>210</v>
      </c>
      <c r="F136" s="89">
        <v>-1</v>
      </c>
      <c r="G136" s="89" t="s">
        <v>210</v>
      </c>
      <c r="H136" s="89" t="s">
        <v>210</v>
      </c>
      <c r="I136" s="89" t="s">
        <v>210</v>
      </c>
      <c r="J136" s="89" t="s">
        <v>210</v>
      </c>
      <c r="K136" s="89">
        <v>2</v>
      </c>
      <c r="L136" s="89" t="s">
        <v>210</v>
      </c>
      <c r="M136" s="89">
        <v>-2</v>
      </c>
      <c r="N136" s="89" t="s">
        <v>210</v>
      </c>
      <c r="O136" s="89" t="s">
        <v>210</v>
      </c>
      <c r="P136" s="89" t="s">
        <v>210</v>
      </c>
      <c r="Q136" s="89">
        <v>1</v>
      </c>
      <c r="R136" s="89">
        <v>-2</v>
      </c>
      <c r="S136" s="89" t="s">
        <v>210</v>
      </c>
      <c r="T136" s="89" t="s">
        <v>210</v>
      </c>
      <c r="U136" s="89">
        <v>-1</v>
      </c>
      <c r="V136" s="89" t="s">
        <v>210</v>
      </c>
      <c r="W136" s="89" t="s">
        <v>210</v>
      </c>
      <c r="X136" s="89" t="s">
        <v>210</v>
      </c>
      <c r="Y136" s="89">
        <v>2</v>
      </c>
      <c r="Z136" s="89" t="s">
        <v>210</v>
      </c>
      <c r="AA136" s="89" t="s">
        <v>210</v>
      </c>
      <c r="AB136" s="89">
        <v>1</v>
      </c>
      <c r="AC136" s="89" t="s">
        <v>210</v>
      </c>
      <c r="AD136" s="89" t="s">
        <v>210</v>
      </c>
      <c r="AE136" s="89" t="s">
        <v>210</v>
      </c>
      <c r="AF136" s="89">
        <v>-1</v>
      </c>
      <c r="AG136" s="89" t="s">
        <v>210</v>
      </c>
      <c r="AH136" s="89" t="s">
        <v>210</v>
      </c>
      <c r="AI136" s="89">
        <v>-2</v>
      </c>
      <c r="AJ136" s="89"/>
      <c r="AK136" s="89"/>
      <c r="AL136" s="89"/>
      <c r="AM136" s="89"/>
      <c r="AN136" s="89"/>
      <c r="AO136" s="89"/>
      <c r="AP136" s="89"/>
      <c r="BA136" s="95"/>
    </row>
    <row r="137" spans="1:53" s="87" customFormat="1">
      <c r="A137" s="90" t="str">
        <f t="shared" si="26"/>
        <v/>
      </c>
      <c r="B137" s="89">
        <v>4</v>
      </c>
      <c r="C137" s="89">
        <v>2</v>
      </c>
      <c r="D137" s="89" t="s">
        <v>210</v>
      </c>
      <c r="E137" s="89" t="s">
        <v>210</v>
      </c>
      <c r="F137" s="89" t="s">
        <v>210</v>
      </c>
      <c r="G137" s="89">
        <v>-2</v>
      </c>
      <c r="H137" s="89" t="s">
        <v>210</v>
      </c>
      <c r="I137" s="89">
        <v>-1</v>
      </c>
      <c r="J137" s="89" t="s">
        <v>210</v>
      </c>
      <c r="K137" s="89" t="s">
        <v>210</v>
      </c>
      <c r="L137" s="89" t="s">
        <v>210</v>
      </c>
      <c r="M137" s="89" t="s">
        <v>210</v>
      </c>
      <c r="N137" s="89">
        <v>1</v>
      </c>
      <c r="O137" s="89" t="s">
        <v>210</v>
      </c>
      <c r="P137" s="89">
        <v>2</v>
      </c>
      <c r="Q137" s="89" t="s">
        <v>210</v>
      </c>
      <c r="R137" s="89">
        <v>1</v>
      </c>
      <c r="S137" s="89" t="s">
        <v>210</v>
      </c>
      <c r="T137" s="89" t="s">
        <v>210</v>
      </c>
      <c r="U137" s="89" t="s">
        <v>210</v>
      </c>
      <c r="V137" s="89" t="s">
        <v>210</v>
      </c>
      <c r="W137" s="89">
        <v>-2</v>
      </c>
      <c r="X137" s="89" t="s">
        <v>210</v>
      </c>
      <c r="Y137" s="89">
        <v>-1</v>
      </c>
      <c r="Z137" s="89" t="s">
        <v>210</v>
      </c>
      <c r="AA137" s="89">
        <v>1</v>
      </c>
      <c r="AB137" s="89" t="s">
        <v>210</v>
      </c>
      <c r="AC137" s="89" t="s">
        <v>210</v>
      </c>
      <c r="AD137" s="89" t="s">
        <v>210</v>
      </c>
      <c r="AE137" s="89" t="s">
        <v>210</v>
      </c>
      <c r="AF137" s="89">
        <v>-2</v>
      </c>
      <c r="AG137" s="89" t="s">
        <v>210</v>
      </c>
      <c r="AH137" s="89" t="s">
        <v>210</v>
      </c>
      <c r="AI137" s="89">
        <v>2</v>
      </c>
      <c r="AJ137" s="89"/>
      <c r="AK137" s="89"/>
      <c r="AL137" s="89"/>
      <c r="AM137" s="89"/>
      <c r="AN137" s="89"/>
      <c r="AO137" s="89"/>
      <c r="AP137" s="89"/>
      <c r="BA137" s="95"/>
    </row>
    <row r="138" spans="1:53" s="87" customFormat="1">
      <c r="A138" s="90" t="str">
        <f t="shared" si="26"/>
        <v/>
      </c>
      <c r="B138" s="89">
        <v>5</v>
      </c>
      <c r="C138" s="89" t="s">
        <v>210</v>
      </c>
      <c r="D138" s="89">
        <v>2</v>
      </c>
      <c r="E138" s="89" t="s">
        <v>210</v>
      </c>
      <c r="F138" s="89">
        <v>-2</v>
      </c>
      <c r="G138" s="89" t="s">
        <v>210</v>
      </c>
      <c r="H138" s="89" t="s">
        <v>210</v>
      </c>
      <c r="I138" s="89" t="s">
        <v>210</v>
      </c>
      <c r="J138" s="89" t="s">
        <v>210</v>
      </c>
      <c r="K138" s="89">
        <v>1</v>
      </c>
      <c r="L138" s="89" t="s">
        <v>210</v>
      </c>
      <c r="M138" s="89" t="s">
        <v>210</v>
      </c>
      <c r="N138" s="89">
        <v>-1</v>
      </c>
      <c r="O138" s="89">
        <v>2</v>
      </c>
      <c r="P138" s="89" t="s">
        <v>210</v>
      </c>
      <c r="Q138" s="89" t="s">
        <v>210</v>
      </c>
      <c r="R138" s="89" t="s">
        <v>210</v>
      </c>
      <c r="S138" s="89" t="s">
        <v>210</v>
      </c>
      <c r="T138" s="89">
        <v>-1</v>
      </c>
      <c r="U138" s="89">
        <v>1</v>
      </c>
      <c r="V138" s="89" t="s">
        <v>210</v>
      </c>
      <c r="W138" s="89" t="s">
        <v>210</v>
      </c>
      <c r="X138" s="89" t="s">
        <v>210</v>
      </c>
      <c r="Y138" s="89" t="s">
        <v>210</v>
      </c>
      <c r="Z138" s="89">
        <v>2</v>
      </c>
      <c r="AA138" s="89" t="s">
        <v>210</v>
      </c>
      <c r="AB138" s="89">
        <v>-2</v>
      </c>
      <c r="AC138" s="89" t="s">
        <v>210</v>
      </c>
      <c r="AD138" s="89">
        <v>1</v>
      </c>
      <c r="AE138" s="89" t="s">
        <v>210</v>
      </c>
      <c r="AF138" s="89" t="s">
        <v>210</v>
      </c>
      <c r="AG138" s="89" t="s">
        <v>210</v>
      </c>
      <c r="AH138" s="89">
        <v>-1</v>
      </c>
      <c r="AI138" s="89" t="s">
        <v>210</v>
      </c>
      <c r="AJ138" s="89"/>
      <c r="AK138" s="89"/>
      <c r="AL138" s="89"/>
      <c r="AM138" s="89"/>
      <c r="AN138" s="89"/>
      <c r="AO138" s="89"/>
      <c r="AP138" s="89"/>
      <c r="BA138" s="95"/>
    </row>
    <row r="139" spans="1:53" s="87" customFormat="1">
      <c r="A139" s="90" t="str">
        <f t="shared" si="26"/>
        <v/>
      </c>
      <c r="B139" s="89">
        <v>6</v>
      </c>
      <c r="C139" s="89" t="s">
        <v>210</v>
      </c>
      <c r="D139" s="89" t="s">
        <v>210</v>
      </c>
      <c r="E139" s="89">
        <v>-2</v>
      </c>
      <c r="F139" s="89" t="s">
        <v>210</v>
      </c>
      <c r="G139" s="89" t="s">
        <v>210</v>
      </c>
      <c r="H139" s="89">
        <v>-1</v>
      </c>
      <c r="I139" s="89">
        <v>1</v>
      </c>
      <c r="J139" s="89" t="s">
        <v>210</v>
      </c>
      <c r="K139" s="89" t="s">
        <v>210</v>
      </c>
      <c r="L139" s="89" t="s">
        <v>210</v>
      </c>
      <c r="M139" s="89">
        <v>2</v>
      </c>
      <c r="N139" s="89" t="s">
        <v>210</v>
      </c>
      <c r="O139" s="89">
        <v>-1</v>
      </c>
      <c r="P139" s="89" t="s">
        <v>210</v>
      </c>
      <c r="Q139" s="89" t="s">
        <v>210</v>
      </c>
      <c r="R139" s="89" t="s">
        <v>210</v>
      </c>
      <c r="S139" s="89" t="s">
        <v>210</v>
      </c>
      <c r="T139" s="89">
        <v>-2</v>
      </c>
      <c r="U139" s="89" t="s">
        <v>210</v>
      </c>
      <c r="V139" s="89">
        <v>-1</v>
      </c>
      <c r="W139" s="89" t="s">
        <v>210</v>
      </c>
      <c r="X139" s="89" t="s">
        <v>210</v>
      </c>
      <c r="Y139" s="89" t="s">
        <v>210</v>
      </c>
      <c r="Z139" s="89">
        <v>1</v>
      </c>
      <c r="AA139" s="89">
        <v>2</v>
      </c>
      <c r="AB139" s="89" t="s">
        <v>210</v>
      </c>
      <c r="AC139" s="89" t="s">
        <v>210</v>
      </c>
      <c r="AD139" s="89">
        <v>-2</v>
      </c>
      <c r="AE139" s="89" t="s">
        <v>210</v>
      </c>
      <c r="AF139" s="89" t="s">
        <v>210</v>
      </c>
      <c r="AG139" s="89" t="s">
        <v>210</v>
      </c>
      <c r="AH139" s="89">
        <v>1</v>
      </c>
      <c r="AI139" s="89" t="s">
        <v>210</v>
      </c>
      <c r="AJ139" s="89"/>
      <c r="AK139" s="89"/>
      <c r="AL139" s="89"/>
      <c r="AM139" s="89"/>
      <c r="AN139" s="89"/>
      <c r="AO139" s="89"/>
      <c r="AP139" s="89"/>
      <c r="BA139" s="95"/>
    </row>
    <row r="140" spans="1:53" s="87" customFormat="1">
      <c r="A140" s="90" t="str">
        <f t="shared" ref="A140:A203" si="27">IF(MID(B140,3,2)="02",ROW(),"")</f>
        <v/>
      </c>
      <c r="B140" s="89">
        <v>7</v>
      </c>
      <c r="C140" s="89" t="s">
        <v>210</v>
      </c>
      <c r="D140" s="89" t="s">
        <v>210</v>
      </c>
      <c r="E140" s="89">
        <v>1</v>
      </c>
      <c r="F140" s="89" t="s">
        <v>210</v>
      </c>
      <c r="G140" s="89">
        <v>-1</v>
      </c>
      <c r="H140" s="89" t="s">
        <v>210</v>
      </c>
      <c r="I140" s="89">
        <v>-2</v>
      </c>
      <c r="J140" s="89" t="s">
        <v>210</v>
      </c>
      <c r="K140" s="89" t="s">
        <v>210</v>
      </c>
      <c r="L140" s="89">
        <v>1</v>
      </c>
      <c r="M140" s="89" t="s">
        <v>210</v>
      </c>
      <c r="N140" s="89" t="s">
        <v>210</v>
      </c>
      <c r="O140" s="89" t="s">
        <v>210</v>
      </c>
      <c r="P140" s="89">
        <v>-2</v>
      </c>
      <c r="Q140" s="89" t="s">
        <v>210</v>
      </c>
      <c r="R140" s="89" t="s">
        <v>210</v>
      </c>
      <c r="S140" s="89" t="s">
        <v>210</v>
      </c>
      <c r="T140" s="89">
        <v>2</v>
      </c>
      <c r="U140" s="89" t="s">
        <v>210</v>
      </c>
      <c r="V140" s="89" t="s">
        <v>210</v>
      </c>
      <c r="W140" s="89">
        <v>-1</v>
      </c>
      <c r="X140" s="89" t="s">
        <v>210</v>
      </c>
      <c r="Y140" s="89">
        <v>-2</v>
      </c>
      <c r="Z140" s="89" t="s">
        <v>210</v>
      </c>
      <c r="AA140" s="89" t="s">
        <v>210</v>
      </c>
      <c r="AB140" s="89" t="s">
        <v>210</v>
      </c>
      <c r="AC140" s="89">
        <v>2</v>
      </c>
      <c r="AD140" s="89">
        <v>-1</v>
      </c>
      <c r="AE140" s="89" t="s">
        <v>210</v>
      </c>
      <c r="AF140" s="89" t="s">
        <v>210</v>
      </c>
      <c r="AG140" s="89" t="s">
        <v>210</v>
      </c>
      <c r="AH140" s="89">
        <v>2</v>
      </c>
      <c r="AI140" s="89" t="s">
        <v>210</v>
      </c>
      <c r="AJ140" s="89"/>
      <c r="AK140" s="89"/>
      <c r="AL140" s="89"/>
      <c r="AM140" s="89"/>
      <c r="AN140" s="89"/>
      <c r="AO140" s="89"/>
      <c r="AP140" s="89"/>
      <c r="BA140" s="95"/>
    </row>
    <row r="141" spans="1:53" s="87" customFormat="1">
      <c r="A141" s="90" t="str">
        <f t="shared" si="27"/>
        <v/>
      </c>
      <c r="B141" s="89">
        <v>8</v>
      </c>
      <c r="C141" s="89">
        <v>1</v>
      </c>
      <c r="D141" s="89" t="s">
        <v>210</v>
      </c>
      <c r="E141" s="89" t="s">
        <v>210</v>
      </c>
      <c r="F141" s="89" t="s">
        <v>210</v>
      </c>
      <c r="G141" s="89">
        <v>2</v>
      </c>
      <c r="H141" s="89" t="s">
        <v>210</v>
      </c>
      <c r="I141" s="89" t="s">
        <v>210</v>
      </c>
      <c r="J141" s="89" t="s">
        <v>210</v>
      </c>
      <c r="K141" s="89">
        <v>-1</v>
      </c>
      <c r="L141" s="89" t="s">
        <v>210</v>
      </c>
      <c r="M141" s="89" t="s">
        <v>210</v>
      </c>
      <c r="N141" s="89">
        <v>-2</v>
      </c>
      <c r="O141" s="89" t="s">
        <v>210</v>
      </c>
      <c r="P141" s="89">
        <v>1</v>
      </c>
      <c r="Q141" s="89" t="s">
        <v>210</v>
      </c>
      <c r="R141" s="89">
        <v>2</v>
      </c>
      <c r="S141" s="89" t="s">
        <v>210</v>
      </c>
      <c r="T141" s="89" t="s">
        <v>210</v>
      </c>
      <c r="U141" s="89" t="s">
        <v>210</v>
      </c>
      <c r="V141" s="89">
        <v>-2</v>
      </c>
      <c r="W141" s="89" t="s">
        <v>210</v>
      </c>
      <c r="X141" s="89">
        <v>-1</v>
      </c>
      <c r="Y141" s="89" t="s">
        <v>210</v>
      </c>
      <c r="Z141" s="89" t="s">
        <v>210</v>
      </c>
      <c r="AA141" s="89" t="s">
        <v>210</v>
      </c>
      <c r="AB141" s="89" t="s">
        <v>210</v>
      </c>
      <c r="AC141" s="89">
        <v>1</v>
      </c>
      <c r="AD141" s="89">
        <v>2</v>
      </c>
      <c r="AE141" s="89" t="s">
        <v>210</v>
      </c>
      <c r="AF141" s="89" t="s">
        <v>210</v>
      </c>
      <c r="AG141" s="89" t="s">
        <v>210</v>
      </c>
      <c r="AH141" s="89">
        <v>-2</v>
      </c>
      <c r="AI141" s="89" t="s">
        <v>210</v>
      </c>
      <c r="AJ141" s="89"/>
      <c r="AK141" s="89"/>
      <c r="AL141" s="89"/>
      <c r="AM141" s="89"/>
      <c r="AN141" s="89"/>
      <c r="AO141" s="89"/>
      <c r="AP141" s="89"/>
      <c r="BA141" s="95"/>
    </row>
    <row r="142" spans="1:53" s="87" customFormat="1">
      <c r="A142" s="90" t="str">
        <f t="shared" si="27"/>
        <v/>
      </c>
      <c r="B142" s="89">
        <v>9</v>
      </c>
      <c r="C142" s="89" t="s">
        <v>210</v>
      </c>
      <c r="D142" s="89">
        <v>-1</v>
      </c>
      <c r="E142" s="89" t="s">
        <v>210</v>
      </c>
      <c r="F142" s="89" t="s">
        <v>210</v>
      </c>
      <c r="G142" s="89" t="s">
        <v>210</v>
      </c>
      <c r="H142" s="89">
        <v>-2</v>
      </c>
      <c r="I142" s="89">
        <v>2</v>
      </c>
      <c r="J142" s="89" t="s">
        <v>210</v>
      </c>
      <c r="K142" s="89" t="s">
        <v>210</v>
      </c>
      <c r="L142" s="89" t="s">
        <v>210</v>
      </c>
      <c r="M142" s="89">
        <v>1</v>
      </c>
      <c r="N142" s="89" t="s">
        <v>210</v>
      </c>
      <c r="O142" s="89">
        <v>-2</v>
      </c>
      <c r="P142" s="89" t="s">
        <v>210</v>
      </c>
      <c r="Q142" s="89" t="s">
        <v>210</v>
      </c>
      <c r="R142" s="89" t="s">
        <v>210</v>
      </c>
      <c r="S142" s="89">
        <v>-1</v>
      </c>
      <c r="T142" s="89" t="s">
        <v>210</v>
      </c>
      <c r="U142" s="89" t="s">
        <v>210</v>
      </c>
      <c r="V142" s="89" t="s">
        <v>210</v>
      </c>
      <c r="W142" s="89">
        <v>2</v>
      </c>
      <c r="X142" s="89">
        <v>1</v>
      </c>
      <c r="Y142" s="89" t="s">
        <v>210</v>
      </c>
      <c r="Z142" s="89" t="s">
        <v>210</v>
      </c>
      <c r="AA142" s="89">
        <v>-2</v>
      </c>
      <c r="AB142" s="89" t="s">
        <v>210</v>
      </c>
      <c r="AC142" s="89" t="s">
        <v>210</v>
      </c>
      <c r="AD142" s="89" t="s">
        <v>210</v>
      </c>
      <c r="AE142" s="89">
        <v>1</v>
      </c>
      <c r="AF142" s="89" t="s">
        <v>210</v>
      </c>
      <c r="AG142" s="89" t="s">
        <v>210</v>
      </c>
      <c r="AH142" s="89" t="s">
        <v>210</v>
      </c>
      <c r="AI142" s="89">
        <v>-1</v>
      </c>
      <c r="AJ142" s="89"/>
      <c r="AK142" s="89"/>
      <c r="AL142" s="89"/>
      <c r="AM142" s="89"/>
      <c r="AN142" s="89"/>
      <c r="AO142" s="89"/>
      <c r="AP142" s="89"/>
      <c r="BA142" s="95"/>
    </row>
    <row r="143" spans="1:53" s="87" customFormat="1">
      <c r="A143" s="90" t="str">
        <f t="shared" si="27"/>
        <v/>
      </c>
      <c r="B143" s="89">
        <v>10</v>
      </c>
      <c r="C143" s="89" t="s">
        <v>210</v>
      </c>
      <c r="D143" s="89" t="s">
        <v>210</v>
      </c>
      <c r="E143" s="89">
        <v>2</v>
      </c>
      <c r="F143" s="89" t="s">
        <v>210</v>
      </c>
      <c r="G143" s="89">
        <v>1</v>
      </c>
      <c r="H143" s="89" t="s">
        <v>210</v>
      </c>
      <c r="I143" s="89" t="s">
        <v>210</v>
      </c>
      <c r="J143" s="89">
        <v>2</v>
      </c>
      <c r="K143" s="89" t="s">
        <v>210</v>
      </c>
      <c r="L143" s="89">
        <v>-2</v>
      </c>
      <c r="M143" s="89" t="s">
        <v>210</v>
      </c>
      <c r="N143" s="89" t="s">
        <v>210</v>
      </c>
      <c r="O143" s="89" t="s">
        <v>210</v>
      </c>
      <c r="P143" s="89" t="s">
        <v>210</v>
      </c>
      <c r="Q143" s="89">
        <v>-1</v>
      </c>
      <c r="R143" s="89" t="s">
        <v>210</v>
      </c>
      <c r="S143" s="89" t="s">
        <v>210</v>
      </c>
      <c r="T143" s="89">
        <v>1</v>
      </c>
      <c r="U143" s="89" t="s">
        <v>210</v>
      </c>
      <c r="V143" s="89">
        <v>2</v>
      </c>
      <c r="W143" s="89" t="s">
        <v>210</v>
      </c>
      <c r="X143" s="89">
        <v>-2</v>
      </c>
      <c r="Y143" s="89" t="s">
        <v>210</v>
      </c>
      <c r="Z143" s="89" t="s">
        <v>210</v>
      </c>
      <c r="AA143" s="89">
        <v>-1</v>
      </c>
      <c r="AB143" s="89" t="s">
        <v>210</v>
      </c>
      <c r="AC143" s="89" t="s">
        <v>210</v>
      </c>
      <c r="AD143" s="89" t="s">
        <v>210</v>
      </c>
      <c r="AE143" s="89">
        <v>-2</v>
      </c>
      <c r="AF143" s="89" t="s">
        <v>210</v>
      </c>
      <c r="AG143" s="89" t="s">
        <v>210</v>
      </c>
      <c r="AH143" s="89" t="s">
        <v>210</v>
      </c>
      <c r="AI143" s="89">
        <v>1</v>
      </c>
      <c r="AJ143" s="89"/>
      <c r="AK143" s="89"/>
      <c r="AL143" s="89"/>
      <c r="AM143" s="89"/>
      <c r="AN143" s="89"/>
      <c r="AO143" s="89"/>
      <c r="AP143" s="89"/>
      <c r="BA143" s="95"/>
    </row>
    <row r="144" spans="1:53" s="87" customFormat="1">
      <c r="A144" s="90" t="str">
        <f t="shared" si="27"/>
        <v/>
      </c>
      <c r="B144" s="89">
        <v>11</v>
      </c>
      <c r="C144" s="89" t="s">
        <v>210</v>
      </c>
      <c r="D144" s="89">
        <v>-2</v>
      </c>
      <c r="E144" s="89" t="s">
        <v>210</v>
      </c>
      <c r="F144" s="89">
        <v>1</v>
      </c>
      <c r="G144" s="89" t="s">
        <v>210</v>
      </c>
      <c r="H144" s="89" t="s">
        <v>210</v>
      </c>
      <c r="I144" s="89" t="s">
        <v>210</v>
      </c>
      <c r="J144" s="89">
        <v>-1</v>
      </c>
      <c r="K144" s="89" t="s">
        <v>210</v>
      </c>
      <c r="L144" s="89" t="s">
        <v>210</v>
      </c>
      <c r="M144" s="89" t="s">
        <v>210</v>
      </c>
      <c r="N144" s="89">
        <v>2</v>
      </c>
      <c r="O144" s="89" t="s">
        <v>210</v>
      </c>
      <c r="P144" s="89" t="s">
        <v>210</v>
      </c>
      <c r="Q144" s="89">
        <v>-2</v>
      </c>
      <c r="R144" s="89">
        <v>-1</v>
      </c>
      <c r="S144" s="89" t="s">
        <v>210</v>
      </c>
      <c r="T144" s="89" t="s">
        <v>210</v>
      </c>
      <c r="U144" s="89" t="s">
        <v>210</v>
      </c>
      <c r="V144" s="89">
        <v>1</v>
      </c>
      <c r="W144" s="89" t="s">
        <v>210</v>
      </c>
      <c r="X144" s="89">
        <v>2</v>
      </c>
      <c r="Y144" s="89" t="s">
        <v>210</v>
      </c>
      <c r="Z144" s="89" t="s">
        <v>210</v>
      </c>
      <c r="AA144" s="89" t="s">
        <v>210</v>
      </c>
      <c r="AB144" s="89" t="s">
        <v>210</v>
      </c>
      <c r="AC144" s="89">
        <v>-2</v>
      </c>
      <c r="AD144" s="89" t="s">
        <v>210</v>
      </c>
      <c r="AE144" s="89">
        <v>-1</v>
      </c>
      <c r="AF144" s="89" t="s">
        <v>210</v>
      </c>
      <c r="AG144" s="89">
        <v>2</v>
      </c>
      <c r="AH144" s="89" t="s">
        <v>210</v>
      </c>
      <c r="AI144" s="89" t="s">
        <v>210</v>
      </c>
      <c r="AJ144" s="89"/>
      <c r="AK144" s="89"/>
      <c r="AL144" s="89"/>
      <c r="AM144" s="89"/>
      <c r="AN144" s="89"/>
      <c r="AO144" s="89"/>
      <c r="AP144" s="89"/>
      <c r="BA144" s="95"/>
    </row>
    <row r="145" spans="1:53" s="87" customFormat="1">
      <c r="A145" s="90" t="str">
        <f t="shared" si="27"/>
        <v/>
      </c>
      <c r="B145" s="89">
        <v>12</v>
      </c>
      <c r="C145" s="89" t="s">
        <v>210</v>
      </c>
      <c r="D145" s="89" t="s">
        <v>210</v>
      </c>
      <c r="E145" s="89">
        <v>-1</v>
      </c>
      <c r="F145" s="89">
        <v>2</v>
      </c>
      <c r="G145" s="89" t="s">
        <v>210</v>
      </c>
      <c r="H145" s="89" t="s">
        <v>210</v>
      </c>
      <c r="I145" s="89" t="s">
        <v>210</v>
      </c>
      <c r="J145" s="89" t="s">
        <v>210</v>
      </c>
      <c r="K145" s="89">
        <v>-2</v>
      </c>
      <c r="L145" s="89" t="s">
        <v>210</v>
      </c>
      <c r="M145" s="89">
        <v>-1</v>
      </c>
      <c r="N145" s="89" t="s">
        <v>210</v>
      </c>
      <c r="O145" s="89">
        <v>1</v>
      </c>
      <c r="P145" s="89" t="s">
        <v>210</v>
      </c>
      <c r="Q145" s="89" t="s">
        <v>210</v>
      </c>
      <c r="R145" s="89" t="s">
        <v>210</v>
      </c>
      <c r="S145" s="89">
        <v>2</v>
      </c>
      <c r="T145" s="89" t="s">
        <v>210</v>
      </c>
      <c r="U145" s="89">
        <v>-2</v>
      </c>
      <c r="V145" s="89" t="s">
        <v>210</v>
      </c>
      <c r="W145" s="89" t="s">
        <v>210</v>
      </c>
      <c r="X145" s="89" t="s">
        <v>210</v>
      </c>
      <c r="Y145" s="89">
        <v>1</v>
      </c>
      <c r="Z145" s="89" t="s">
        <v>210</v>
      </c>
      <c r="AA145" s="89" t="s">
        <v>210</v>
      </c>
      <c r="AB145" s="89" t="s">
        <v>210</v>
      </c>
      <c r="AC145" s="89">
        <v>-1</v>
      </c>
      <c r="AD145" s="89" t="s">
        <v>210</v>
      </c>
      <c r="AE145" s="89">
        <v>2</v>
      </c>
      <c r="AF145" s="89" t="s">
        <v>210</v>
      </c>
      <c r="AG145" s="89">
        <v>-2</v>
      </c>
      <c r="AH145" s="89" t="s">
        <v>210</v>
      </c>
      <c r="AI145" s="89" t="s">
        <v>210</v>
      </c>
      <c r="AJ145" s="89"/>
      <c r="AK145" s="89"/>
      <c r="AL145" s="89"/>
      <c r="AM145" s="89"/>
      <c r="AN145" s="89"/>
      <c r="AO145" s="89"/>
      <c r="AP145" s="89"/>
      <c r="BA145" s="95"/>
    </row>
    <row r="146" spans="1:53" s="87" customFormat="1">
      <c r="A146" s="90" t="str">
        <f t="shared" si="27"/>
        <v/>
      </c>
      <c r="B146" s="319" t="s">
        <v>230</v>
      </c>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c r="AA146" s="89"/>
      <c r="AB146" s="89"/>
      <c r="AC146" s="89"/>
      <c r="AD146" s="89"/>
      <c r="AE146" s="89"/>
      <c r="AF146" s="89"/>
      <c r="AG146" s="89"/>
      <c r="AH146" s="89"/>
      <c r="AI146" s="89"/>
      <c r="AJ146" s="89"/>
      <c r="AK146" s="89"/>
      <c r="AL146" s="89"/>
      <c r="AM146" s="89"/>
      <c r="AN146" s="89"/>
      <c r="AO146" s="89"/>
      <c r="AP146" s="89"/>
      <c r="BA146" s="95"/>
    </row>
    <row r="147" spans="1:53" s="87" customFormat="1">
      <c r="A147" s="90">
        <f t="shared" si="27"/>
        <v>147</v>
      </c>
      <c r="B147" s="319" t="s">
        <v>1213</v>
      </c>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c r="AA147" s="89"/>
      <c r="AB147" s="89"/>
      <c r="AC147" s="89"/>
      <c r="AD147" s="89"/>
      <c r="AE147" s="89"/>
      <c r="AF147" s="89"/>
      <c r="AG147" s="89"/>
      <c r="AH147" s="89"/>
      <c r="AI147" s="89"/>
      <c r="AJ147" s="89"/>
      <c r="AK147" s="89"/>
      <c r="AL147" s="89"/>
      <c r="AM147" s="89"/>
      <c r="AN147" s="89"/>
      <c r="AO147" s="89"/>
      <c r="AP147" s="89"/>
      <c r="BA147" s="95"/>
    </row>
    <row r="148" spans="1:53" s="87" customFormat="1">
      <c r="A148" s="90" t="str">
        <f t="shared" si="27"/>
        <v/>
      </c>
      <c r="B148" s="89">
        <v>1</v>
      </c>
      <c r="C148" s="89">
        <v>-1</v>
      </c>
      <c r="D148" s="89" t="s">
        <v>210</v>
      </c>
      <c r="E148" s="89" t="s">
        <v>210</v>
      </c>
      <c r="F148" s="89" t="s">
        <v>210</v>
      </c>
      <c r="G148" s="89">
        <v>1</v>
      </c>
      <c r="H148" s="89" t="s">
        <v>210</v>
      </c>
      <c r="I148" s="89" t="s">
        <v>210</v>
      </c>
      <c r="J148" s="89" t="s">
        <v>210</v>
      </c>
      <c r="K148" s="89">
        <v>-2</v>
      </c>
      <c r="L148" s="89" t="s">
        <v>210</v>
      </c>
      <c r="M148" s="89">
        <v>2</v>
      </c>
      <c r="N148" s="89" t="s">
        <v>210</v>
      </c>
      <c r="O148" s="89" t="s">
        <v>210</v>
      </c>
      <c r="P148" s="89" t="s">
        <v>210</v>
      </c>
      <c r="Q148" s="89">
        <v>1</v>
      </c>
      <c r="R148" s="89"/>
      <c r="S148" s="89"/>
      <c r="T148" s="89"/>
      <c r="U148" s="89"/>
      <c r="V148" s="89"/>
      <c r="W148" s="89"/>
      <c r="X148" s="89"/>
      <c r="Y148" s="89"/>
      <c r="Z148" s="89"/>
      <c r="AA148" s="89"/>
      <c r="AB148" s="89"/>
      <c r="AC148" s="89"/>
      <c r="AD148" s="89"/>
      <c r="AE148" s="89"/>
      <c r="AF148" s="89"/>
      <c r="AG148" s="89"/>
      <c r="AH148" s="89"/>
      <c r="AI148" s="89"/>
      <c r="AJ148" s="89"/>
      <c r="AK148" s="89"/>
      <c r="AL148" s="89"/>
      <c r="AM148" s="89"/>
      <c r="AN148" s="89"/>
      <c r="AO148" s="89"/>
      <c r="AP148" s="89"/>
      <c r="BA148" s="95"/>
    </row>
    <row r="149" spans="1:53" s="87" customFormat="1">
      <c r="A149" s="90" t="str">
        <f t="shared" si="27"/>
        <v/>
      </c>
      <c r="B149" s="89">
        <v>2</v>
      </c>
      <c r="C149" s="89">
        <v>2</v>
      </c>
      <c r="D149" s="89" t="s">
        <v>210</v>
      </c>
      <c r="E149" s="89" t="s">
        <v>210</v>
      </c>
      <c r="F149" s="89" t="s">
        <v>210</v>
      </c>
      <c r="G149" s="89" t="s">
        <v>210</v>
      </c>
      <c r="H149" s="89">
        <v>-2</v>
      </c>
      <c r="I149" s="89" t="s">
        <v>210</v>
      </c>
      <c r="J149" s="89">
        <v>1</v>
      </c>
      <c r="K149" s="89" t="s">
        <v>210</v>
      </c>
      <c r="L149" s="89">
        <v>-2</v>
      </c>
      <c r="M149" s="89" t="s">
        <v>210</v>
      </c>
      <c r="N149" s="89" t="s">
        <v>210</v>
      </c>
      <c r="O149" s="89" t="s">
        <v>210</v>
      </c>
      <c r="P149" s="89" t="s">
        <v>210</v>
      </c>
      <c r="Q149" s="89">
        <v>-1</v>
      </c>
      <c r="R149" s="89"/>
      <c r="S149" s="89"/>
      <c r="T149" s="89"/>
      <c r="U149" s="89"/>
      <c r="V149" s="89"/>
      <c r="W149" s="89"/>
      <c r="X149" s="89"/>
      <c r="Y149" s="89"/>
      <c r="Z149" s="89"/>
      <c r="AA149" s="89"/>
      <c r="AB149" s="89"/>
      <c r="AC149" s="89"/>
      <c r="AD149" s="89"/>
      <c r="AE149" s="89"/>
      <c r="AF149" s="89"/>
      <c r="AG149" s="89"/>
      <c r="AH149" s="89"/>
      <c r="AI149" s="89"/>
      <c r="AJ149" s="89"/>
      <c r="AK149" s="89"/>
      <c r="AL149" s="89"/>
      <c r="AM149" s="89"/>
      <c r="AN149" s="89"/>
      <c r="AO149" s="89"/>
      <c r="AP149" s="89"/>
      <c r="BA149" s="95"/>
    </row>
    <row r="150" spans="1:53" s="87" customFormat="1">
      <c r="A150" s="90" t="str">
        <f t="shared" si="27"/>
        <v/>
      </c>
      <c r="B150" s="89">
        <v>3</v>
      </c>
      <c r="C150" s="89" t="s">
        <v>210</v>
      </c>
      <c r="D150" s="89" t="s">
        <v>210</v>
      </c>
      <c r="E150" s="89">
        <v>2</v>
      </c>
      <c r="F150" s="89" t="s">
        <v>210</v>
      </c>
      <c r="G150" s="89" t="s">
        <v>210</v>
      </c>
      <c r="H150" s="89">
        <v>1</v>
      </c>
      <c r="I150" s="89" t="s">
        <v>210</v>
      </c>
      <c r="J150" s="89">
        <v>-1</v>
      </c>
      <c r="K150" s="89" t="s">
        <v>210</v>
      </c>
      <c r="L150" s="89" t="s">
        <v>210</v>
      </c>
      <c r="M150" s="89">
        <v>-2</v>
      </c>
      <c r="N150" s="89" t="s">
        <v>210</v>
      </c>
      <c r="O150" s="89">
        <v>2</v>
      </c>
      <c r="P150" s="89" t="s">
        <v>210</v>
      </c>
      <c r="Q150" s="89" t="s">
        <v>210</v>
      </c>
      <c r="R150" s="89"/>
      <c r="S150" s="89"/>
      <c r="T150" s="89"/>
      <c r="U150" s="89"/>
      <c r="V150" s="89"/>
      <c r="W150" s="89"/>
      <c r="X150" s="89"/>
      <c r="Y150" s="89"/>
      <c r="Z150" s="89"/>
      <c r="AA150" s="89"/>
      <c r="AB150" s="89"/>
      <c r="AC150" s="89"/>
      <c r="AD150" s="89"/>
      <c r="AE150" s="89"/>
      <c r="AF150" s="89"/>
      <c r="AG150" s="89"/>
      <c r="AH150" s="89"/>
      <c r="AI150" s="89"/>
      <c r="AJ150" s="89"/>
      <c r="AK150" s="89"/>
      <c r="AL150" s="89"/>
      <c r="AM150" s="89"/>
      <c r="AN150" s="89"/>
      <c r="AO150" s="89"/>
      <c r="AP150" s="89"/>
      <c r="BA150" s="95"/>
    </row>
    <row r="151" spans="1:53" s="87" customFormat="1">
      <c r="A151" s="90" t="str">
        <f t="shared" si="27"/>
        <v/>
      </c>
      <c r="B151" s="89">
        <v>4</v>
      </c>
      <c r="C151" s="89">
        <v>1</v>
      </c>
      <c r="D151" s="89" t="s">
        <v>210</v>
      </c>
      <c r="E151" s="89" t="s">
        <v>210</v>
      </c>
      <c r="F151" s="89" t="s">
        <v>210</v>
      </c>
      <c r="G151" s="89" t="s">
        <v>210</v>
      </c>
      <c r="H151" s="89">
        <v>2</v>
      </c>
      <c r="I151" s="89" t="s">
        <v>210</v>
      </c>
      <c r="J151" s="89" t="s">
        <v>210</v>
      </c>
      <c r="K151" s="89">
        <v>-1</v>
      </c>
      <c r="L151" s="89" t="s">
        <v>210</v>
      </c>
      <c r="M151" s="89">
        <v>1</v>
      </c>
      <c r="N151" s="89" t="s">
        <v>210</v>
      </c>
      <c r="O151" s="89">
        <v>-2</v>
      </c>
      <c r="P151" s="89" t="s">
        <v>210</v>
      </c>
      <c r="Q151" s="89" t="s">
        <v>210</v>
      </c>
      <c r="R151" s="89"/>
      <c r="S151" s="89"/>
      <c r="T151" s="89"/>
      <c r="U151" s="89"/>
      <c r="V151" s="89"/>
      <c r="W151" s="89"/>
      <c r="X151" s="89"/>
      <c r="Y151" s="89"/>
      <c r="Z151" s="89"/>
      <c r="AA151" s="89"/>
      <c r="AB151" s="89"/>
      <c r="AC151" s="89"/>
      <c r="AD151" s="89"/>
      <c r="AE151" s="89"/>
      <c r="AF151" s="89"/>
      <c r="AG151" s="89"/>
      <c r="AH151" s="89"/>
      <c r="AI151" s="89"/>
      <c r="AJ151" s="89"/>
      <c r="AK151" s="89"/>
      <c r="AL151" s="89"/>
      <c r="AM151" s="89"/>
      <c r="AN151" s="89"/>
      <c r="AO151" s="89"/>
      <c r="AP151" s="89"/>
      <c r="BA151" s="95"/>
    </row>
    <row r="152" spans="1:53" s="87" customFormat="1">
      <c r="A152" s="90" t="str">
        <f t="shared" si="27"/>
        <v/>
      </c>
      <c r="B152" s="89">
        <v>5</v>
      </c>
      <c r="C152" s="89">
        <v>-2</v>
      </c>
      <c r="D152" s="89" t="s">
        <v>210</v>
      </c>
      <c r="E152" s="89" t="s">
        <v>210</v>
      </c>
      <c r="F152" s="89" t="s">
        <v>210</v>
      </c>
      <c r="G152" s="89" t="s">
        <v>210</v>
      </c>
      <c r="H152" s="89">
        <v>-1</v>
      </c>
      <c r="I152" s="89" t="s">
        <v>210</v>
      </c>
      <c r="J152" s="89" t="s">
        <v>210</v>
      </c>
      <c r="K152" s="89">
        <v>2</v>
      </c>
      <c r="L152" s="89" t="s">
        <v>210</v>
      </c>
      <c r="M152" s="89">
        <v>-1</v>
      </c>
      <c r="N152" s="89" t="s">
        <v>210</v>
      </c>
      <c r="O152" s="89">
        <v>1</v>
      </c>
      <c r="P152" s="89" t="s">
        <v>210</v>
      </c>
      <c r="Q152" s="89" t="s">
        <v>210</v>
      </c>
      <c r="R152" s="89"/>
      <c r="S152" s="89"/>
      <c r="T152" s="89"/>
      <c r="U152" s="89"/>
      <c r="V152" s="89"/>
      <c r="W152" s="89"/>
      <c r="X152" s="89"/>
      <c r="Y152" s="89"/>
      <c r="Z152" s="89"/>
      <c r="AA152" s="89"/>
      <c r="AB152" s="89"/>
      <c r="AC152" s="89"/>
      <c r="AD152" s="89"/>
      <c r="AE152" s="89"/>
      <c r="AF152" s="89"/>
      <c r="AG152" s="89"/>
      <c r="AH152" s="89"/>
      <c r="AI152" s="89"/>
      <c r="AJ152" s="89"/>
      <c r="AK152" s="89"/>
      <c r="AL152" s="89"/>
      <c r="AM152" s="89"/>
      <c r="AN152" s="89"/>
      <c r="AO152" s="89"/>
      <c r="AP152" s="89"/>
      <c r="BA152" s="95"/>
    </row>
    <row r="153" spans="1:53" s="87" customFormat="1">
      <c r="A153" s="90" t="str">
        <f t="shared" si="27"/>
        <v/>
      </c>
      <c r="B153" s="92">
        <v>6</v>
      </c>
      <c r="C153" s="92" t="s">
        <v>210</v>
      </c>
      <c r="D153" s="92" t="s">
        <v>210</v>
      </c>
      <c r="E153" s="92">
        <v>-2</v>
      </c>
      <c r="F153" s="92" t="s">
        <v>210</v>
      </c>
      <c r="G153" s="92">
        <v>-1</v>
      </c>
      <c r="H153" s="92" t="s">
        <v>210</v>
      </c>
      <c r="I153" s="92" t="s">
        <v>210</v>
      </c>
      <c r="J153" s="92" t="s">
        <v>210</v>
      </c>
      <c r="K153" s="92">
        <v>1</v>
      </c>
      <c r="L153" s="92">
        <v>2</v>
      </c>
      <c r="M153" s="92" t="s">
        <v>210</v>
      </c>
      <c r="N153" s="92" t="s">
        <v>210</v>
      </c>
      <c r="O153" s="92">
        <v>-1</v>
      </c>
      <c r="P153" s="92" t="s">
        <v>210</v>
      </c>
      <c r="Q153" s="92" t="s">
        <v>210</v>
      </c>
      <c r="R153" s="89"/>
      <c r="S153" s="89"/>
      <c r="T153" s="89"/>
      <c r="U153" s="89"/>
      <c r="V153" s="89"/>
      <c r="W153" s="89"/>
      <c r="X153" s="89"/>
      <c r="Y153" s="89"/>
      <c r="Z153" s="89"/>
      <c r="AA153" s="89"/>
      <c r="AB153" s="89"/>
      <c r="AC153" s="89"/>
      <c r="AD153" s="89"/>
      <c r="AE153" s="89"/>
      <c r="AF153" s="89"/>
      <c r="AG153" s="89"/>
      <c r="AH153" s="89"/>
      <c r="AI153" s="89"/>
      <c r="AJ153" s="89"/>
      <c r="AK153" s="89"/>
      <c r="AL153" s="89"/>
      <c r="AM153" s="89"/>
      <c r="AN153" s="89"/>
      <c r="AO153" s="89"/>
      <c r="AP153" s="89"/>
      <c r="BA153" s="95"/>
    </row>
    <row r="154" spans="1:53" s="87" customFormat="1">
      <c r="A154" s="90" t="str">
        <f t="shared" si="27"/>
        <v/>
      </c>
      <c r="B154" s="89">
        <v>7</v>
      </c>
      <c r="C154" s="89" t="s">
        <v>210</v>
      </c>
      <c r="D154" s="89">
        <v>2</v>
      </c>
      <c r="E154" s="89" t="s">
        <v>210</v>
      </c>
      <c r="F154" s="89" t="s">
        <v>210</v>
      </c>
      <c r="G154" s="89">
        <v>-2</v>
      </c>
      <c r="H154" s="89" t="s">
        <v>210</v>
      </c>
      <c r="I154" s="89">
        <v>1</v>
      </c>
      <c r="J154" s="89" t="s">
        <v>210</v>
      </c>
      <c r="K154" s="89" t="s">
        <v>210</v>
      </c>
      <c r="L154" s="89" t="s">
        <v>210</v>
      </c>
      <c r="M154" s="89" t="s">
        <v>210</v>
      </c>
      <c r="N154" s="89">
        <v>-1</v>
      </c>
      <c r="O154" s="89" t="s">
        <v>210</v>
      </c>
      <c r="P154" s="89" t="s">
        <v>210</v>
      </c>
      <c r="Q154" s="89">
        <v>-2</v>
      </c>
      <c r="R154" s="89"/>
      <c r="S154" s="89"/>
      <c r="T154" s="89"/>
      <c r="U154" s="89"/>
      <c r="V154" s="89"/>
      <c r="W154" s="89"/>
      <c r="X154" s="89"/>
      <c r="Y154" s="89"/>
      <c r="Z154" s="89"/>
      <c r="AA154" s="89"/>
      <c r="AB154" s="89"/>
      <c r="AC154" s="89"/>
      <c r="AD154" s="89"/>
      <c r="AE154" s="89"/>
      <c r="AF154" s="89"/>
      <c r="AG154" s="89"/>
      <c r="AH154" s="89"/>
      <c r="AI154" s="89"/>
      <c r="AJ154" s="89"/>
      <c r="AK154" s="89"/>
      <c r="AL154" s="89"/>
      <c r="AM154" s="89"/>
      <c r="AN154" s="89"/>
      <c r="AO154" s="89"/>
      <c r="AP154" s="89"/>
      <c r="BA154" s="95"/>
    </row>
    <row r="155" spans="1:53" s="87" customFormat="1">
      <c r="A155" s="90" t="str">
        <f t="shared" si="27"/>
        <v/>
      </c>
      <c r="B155" s="89">
        <v>8</v>
      </c>
      <c r="C155" s="89" t="s">
        <v>210</v>
      </c>
      <c r="D155" s="89">
        <v>-1</v>
      </c>
      <c r="E155" s="89" t="s">
        <v>210</v>
      </c>
      <c r="F155" s="89">
        <v>1</v>
      </c>
      <c r="G155" s="89" t="s">
        <v>210</v>
      </c>
      <c r="H155" s="89" t="s">
        <v>210</v>
      </c>
      <c r="I155" s="89" t="s">
        <v>210</v>
      </c>
      <c r="J155" s="89">
        <v>-2</v>
      </c>
      <c r="K155" s="89" t="s">
        <v>210</v>
      </c>
      <c r="L155" s="89">
        <v>1</v>
      </c>
      <c r="M155" s="89" t="s">
        <v>210</v>
      </c>
      <c r="N155" s="89" t="s">
        <v>210</v>
      </c>
      <c r="O155" s="89" t="s">
        <v>210</v>
      </c>
      <c r="P155" s="89" t="s">
        <v>210</v>
      </c>
      <c r="Q155" s="89">
        <v>2</v>
      </c>
      <c r="R155" s="89"/>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BA155" s="95"/>
    </row>
    <row r="156" spans="1:53" s="87" customFormat="1">
      <c r="A156" s="90" t="str">
        <f t="shared" si="27"/>
        <v/>
      </c>
      <c r="B156" s="89">
        <v>9</v>
      </c>
      <c r="C156" s="89" t="s">
        <v>210</v>
      </c>
      <c r="D156" s="89">
        <v>1</v>
      </c>
      <c r="E156" s="89" t="s">
        <v>210</v>
      </c>
      <c r="F156" s="89">
        <v>2</v>
      </c>
      <c r="G156" s="89" t="s">
        <v>210</v>
      </c>
      <c r="H156" s="89" t="s">
        <v>210</v>
      </c>
      <c r="I156" s="89">
        <v>-1</v>
      </c>
      <c r="J156" s="89" t="s">
        <v>210</v>
      </c>
      <c r="K156" s="89" t="s">
        <v>210</v>
      </c>
      <c r="L156" s="89" t="s">
        <v>210</v>
      </c>
      <c r="M156" s="89" t="s">
        <v>210</v>
      </c>
      <c r="N156" s="89">
        <v>2</v>
      </c>
      <c r="O156" s="89" t="s">
        <v>210</v>
      </c>
      <c r="P156" s="89">
        <v>-2</v>
      </c>
      <c r="Q156" s="89" t="s">
        <v>210</v>
      </c>
      <c r="R156" s="89"/>
      <c r="S156" s="89"/>
      <c r="T156" s="89"/>
      <c r="U156" s="89"/>
      <c r="V156" s="89"/>
      <c r="W156" s="89"/>
      <c r="X156" s="89"/>
      <c r="Y156" s="89"/>
      <c r="Z156" s="89"/>
      <c r="AA156" s="89"/>
      <c r="AB156" s="89"/>
      <c r="AC156" s="89"/>
      <c r="AD156" s="89"/>
      <c r="AE156" s="89"/>
      <c r="AF156" s="89"/>
      <c r="AG156" s="89"/>
      <c r="AH156" s="89"/>
      <c r="AI156" s="89"/>
      <c r="AJ156" s="89"/>
      <c r="AK156" s="89"/>
      <c r="AL156" s="89"/>
      <c r="AM156" s="89"/>
      <c r="AN156" s="89"/>
      <c r="AO156" s="89"/>
      <c r="AP156" s="89"/>
      <c r="BA156" s="95"/>
    </row>
    <row r="157" spans="1:53" s="87" customFormat="1">
      <c r="A157" s="90" t="str">
        <f t="shared" si="27"/>
        <v/>
      </c>
      <c r="B157" s="89">
        <v>10</v>
      </c>
      <c r="C157" s="89" t="s">
        <v>210</v>
      </c>
      <c r="D157" s="89" t="s">
        <v>210</v>
      </c>
      <c r="E157" s="89">
        <v>1</v>
      </c>
      <c r="F157" s="89" t="s">
        <v>210</v>
      </c>
      <c r="G157" s="89">
        <v>2</v>
      </c>
      <c r="H157" s="89" t="s">
        <v>210</v>
      </c>
      <c r="I157" s="89">
        <v>-2</v>
      </c>
      <c r="J157" s="89" t="s">
        <v>210</v>
      </c>
      <c r="K157" s="89" t="s">
        <v>210</v>
      </c>
      <c r="L157" s="89">
        <v>-1</v>
      </c>
      <c r="M157" s="89" t="s">
        <v>210</v>
      </c>
      <c r="N157" s="89" t="s">
        <v>210</v>
      </c>
      <c r="O157" s="89" t="s">
        <v>210</v>
      </c>
      <c r="P157" s="89">
        <v>2</v>
      </c>
      <c r="Q157" s="89" t="s">
        <v>210</v>
      </c>
      <c r="R157" s="89"/>
      <c r="S157" s="89"/>
      <c r="T157" s="89"/>
      <c r="U157" s="89"/>
      <c r="V157" s="89"/>
      <c r="W157" s="89"/>
      <c r="X157" s="89"/>
      <c r="Y157" s="89"/>
      <c r="Z157" s="89"/>
      <c r="AA157" s="89"/>
      <c r="AB157" s="89"/>
      <c r="AC157" s="89"/>
      <c r="AD157" s="89"/>
      <c r="AE157" s="89"/>
      <c r="AF157" s="89"/>
      <c r="AG157" s="89"/>
      <c r="AH157" s="89"/>
      <c r="AI157" s="89"/>
      <c r="AJ157" s="89"/>
      <c r="AK157" s="89"/>
      <c r="AL157" s="89"/>
      <c r="AM157" s="89"/>
      <c r="AN157" s="89"/>
      <c r="AO157" s="89"/>
      <c r="AP157" s="89"/>
      <c r="BA157" s="95"/>
    </row>
    <row r="158" spans="1:53" s="87" customFormat="1">
      <c r="A158" s="90" t="str">
        <f t="shared" si="27"/>
        <v/>
      </c>
      <c r="B158" s="89">
        <v>11</v>
      </c>
      <c r="C158" s="89" t="s">
        <v>210</v>
      </c>
      <c r="D158" s="89">
        <v>-2</v>
      </c>
      <c r="E158" s="89" t="s">
        <v>210</v>
      </c>
      <c r="F158" s="89">
        <v>-1</v>
      </c>
      <c r="G158" s="89" t="s">
        <v>210</v>
      </c>
      <c r="H158" s="89" t="s">
        <v>210</v>
      </c>
      <c r="I158" s="89">
        <v>2</v>
      </c>
      <c r="J158" s="89" t="s">
        <v>210</v>
      </c>
      <c r="K158" s="89" t="s">
        <v>210</v>
      </c>
      <c r="L158" s="89" t="s">
        <v>210</v>
      </c>
      <c r="M158" s="89" t="s">
        <v>210</v>
      </c>
      <c r="N158" s="89">
        <v>-2</v>
      </c>
      <c r="O158" s="89" t="s">
        <v>210</v>
      </c>
      <c r="P158" s="89">
        <v>1</v>
      </c>
      <c r="Q158" s="89" t="s">
        <v>210</v>
      </c>
      <c r="R158" s="89"/>
      <c r="S158" s="89"/>
      <c r="T158" s="89"/>
      <c r="U158" s="89"/>
      <c r="V158" s="89"/>
      <c r="W158" s="89"/>
      <c r="X158" s="89"/>
      <c r="Y158" s="89"/>
      <c r="Z158" s="89"/>
      <c r="AA158" s="89"/>
      <c r="AB158" s="89"/>
      <c r="AC158" s="89"/>
      <c r="AD158" s="89"/>
      <c r="AE158" s="89"/>
      <c r="AF158" s="89"/>
      <c r="AG158" s="89"/>
      <c r="AH158" s="89"/>
      <c r="AI158" s="89"/>
      <c r="AJ158" s="89"/>
      <c r="AK158" s="89"/>
      <c r="AL158" s="89"/>
      <c r="AM158" s="89"/>
      <c r="AN158" s="89"/>
      <c r="AO158" s="89"/>
      <c r="AP158" s="89"/>
      <c r="BA158" s="95"/>
    </row>
    <row r="159" spans="1:53" s="87" customFormat="1">
      <c r="A159" s="90" t="str">
        <f t="shared" si="27"/>
        <v/>
      </c>
      <c r="B159" s="89">
        <v>12</v>
      </c>
      <c r="C159" s="89" t="s">
        <v>210</v>
      </c>
      <c r="D159" s="89" t="s">
        <v>210</v>
      </c>
      <c r="E159" s="89">
        <v>-1</v>
      </c>
      <c r="F159" s="89">
        <v>-2</v>
      </c>
      <c r="G159" s="89" t="s">
        <v>210</v>
      </c>
      <c r="H159" s="89" t="s">
        <v>210</v>
      </c>
      <c r="I159" s="89" t="s">
        <v>210</v>
      </c>
      <c r="J159" s="89">
        <v>2</v>
      </c>
      <c r="K159" s="89" t="s">
        <v>210</v>
      </c>
      <c r="L159" s="89" t="s">
        <v>210</v>
      </c>
      <c r="M159" s="89" t="s">
        <v>210</v>
      </c>
      <c r="N159" s="89">
        <v>1</v>
      </c>
      <c r="O159" s="89" t="s">
        <v>210</v>
      </c>
      <c r="P159" s="89">
        <v>-1</v>
      </c>
      <c r="Q159" s="89" t="s">
        <v>210</v>
      </c>
      <c r="R159" s="89"/>
      <c r="S159" s="89"/>
      <c r="T159" s="89"/>
      <c r="U159" s="89"/>
      <c r="V159" s="89"/>
      <c r="W159" s="89"/>
      <c r="X159" s="89"/>
      <c r="Y159" s="89"/>
      <c r="Z159" s="89"/>
      <c r="AA159" s="89"/>
      <c r="AB159" s="89"/>
      <c r="AC159" s="89"/>
      <c r="AD159" s="89"/>
      <c r="AE159" s="89"/>
      <c r="AF159" s="89"/>
      <c r="AG159" s="89"/>
      <c r="AH159" s="89"/>
      <c r="AI159" s="89"/>
      <c r="AJ159" s="89"/>
      <c r="AK159" s="89"/>
      <c r="AL159" s="89"/>
      <c r="AM159" s="89"/>
      <c r="AN159" s="89"/>
      <c r="AO159" s="89"/>
      <c r="AP159" s="89"/>
      <c r="BA159" s="95"/>
    </row>
    <row r="160" spans="1:53" s="87" customFormat="1">
      <c r="A160" s="90" t="str">
        <f t="shared" si="27"/>
        <v/>
      </c>
      <c r="B160" s="319" t="s">
        <v>231</v>
      </c>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c r="AA160" s="89"/>
      <c r="AB160" s="89"/>
      <c r="AC160" s="89"/>
      <c r="AD160" s="89"/>
      <c r="AE160" s="89"/>
      <c r="AF160" s="89"/>
      <c r="AG160" s="89"/>
      <c r="AH160" s="89"/>
      <c r="AI160" s="89"/>
      <c r="AJ160" s="89"/>
      <c r="AK160" s="89"/>
      <c r="AL160" s="89"/>
      <c r="AM160" s="89"/>
      <c r="AN160" s="89"/>
      <c r="AO160" s="89"/>
      <c r="AP160" s="89"/>
      <c r="BA160" s="95"/>
    </row>
    <row r="161" spans="1:53" s="87" customFormat="1">
      <c r="A161" s="90">
        <f t="shared" si="27"/>
        <v>161</v>
      </c>
      <c r="B161" s="319" t="s">
        <v>1215</v>
      </c>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C161" s="89"/>
      <c r="AD161" s="89"/>
      <c r="AE161" s="89"/>
      <c r="AF161" s="89"/>
      <c r="AG161" s="89"/>
      <c r="AH161" s="89"/>
      <c r="AI161" s="89"/>
      <c r="AJ161" s="89"/>
      <c r="AK161" s="89"/>
      <c r="AL161" s="89"/>
      <c r="AM161" s="89"/>
      <c r="AN161" s="89"/>
      <c r="AO161" s="89"/>
      <c r="AP161" s="89"/>
      <c r="BA161" s="95"/>
    </row>
    <row r="162" spans="1:53" s="87" customFormat="1">
      <c r="A162" s="90" t="str">
        <f t="shared" si="27"/>
        <v/>
      </c>
      <c r="B162" s="89">
        <v>1</v>
      </c>
      <c r="C162" s="89">
        <v>1</v>
      </c>
      <c r="D162" s="89" t="s">
        <v>210</v>
      </c>
      <c r="E162" s="89" t="s">
        <v>210</v>
      </c>
      <c r="F162" s="89" t="s">
        <v>210</v>
      </c>
      <c r="G162" s="89" t="s">
        <v>210</v>
      </c>
      <c r="H162" s="89">
        <v>-2</v>
      </c>
      <c r="I162" s="89" t="s">
        <v>210</v>
      </c>
      <c r="J162" s="89">
        <v>-1</v>
      </c>
      <c r="K162" s="89" t="s">
        <v>210</v>
      </c>
      <c r="L162" s="89" t="s">
        <v>210</v>
      </c>
      <c r="M162" s="89">
        <v>2</v>
      </c>
      <c r="N162" s="89" t="s">
        <v>210</v>
      </c>
      <c r="O162" s="89" t="s">
        <v>210</v>
      </c>
      <c r="P162" s="89" t="s">
        <v>210</v>
      </c>
      <c r="Q162" s="89" t="s">
        <v>210</v>
      </c>
      <c r="R162" s="89">
        <v>-1</v>
      </c>
      <c r="S162" s="89" t="s">
        <v>210</v>
      </c>
      <c r="T162" s="89" t="s">
        <v>210</v>
      </c>
      <c r="U162" s="89" t="s">
        <v>210</v>
      </c>
      <c r="V162" s="89" t="s">
        <v>210</v>
      </c>
      <c r="W162" s="89">
        <v>1</v>
      </c>
      <c r="X162" s="89"/>
      <c r="Y162" s="89"/>
      <c r="Z162" s="89"/>
      <c r="AA162" s="89"/>
      <c r="AB162" s="89"/>
      <c r="AC162" s="89"/>
      <c r="AD162" s="89"/>
      <c r="AE162" s="89"/>
      <c r="AF162" s="89"/>
      <c r="AG162" s="89"/>
      <c r="AH162" s="89"/>
      <c r="AI162" s="89"/>
      <c r="AJ162" s="89"/>
      <c r="AK162" s="89"/>
      <c r="AL162" s="89"/>
      <c r="AM162" s="89"/>
      <c r="AN162" s="89"/>
      <c r="AO162" s="89"/>
      <c r="AP162" s="89"/>
      <c r="BA162" s="95"/>
    </row>
    <row r="163" spans="1:53" s="87" customFormat="1">
      <c r="A163" s="90" t="str">
        <f t="shared" si="27"/>
        <v/>
      </c>
      <c r="B163" s="89">
        <v>2</v>
      </c>
      <c r="C163" s="89" t="s">
        <v>210</v>
      </c>
      <c r="D163" s="89">
        <v>2</v>
      </c>
      <c r="E163" s="89" t="s">
        <v>210</v>
      </c>
      <c r="F163" s="89" t="s">
        <v>210</v>
      </c>
      <c r="G163" s="89">
        <v>-2</v>
      </c>
      <c r="H163" s="89" t="s">
        <v>210</v>
      </c>
      <c r="I163" s="89">
        <v>-1</v>
      </c>
      <c r="J163" s="89" t="s">
        <v>210</v>
      </c>
      <c r="K163" s="89" t="s">
        <v>210</v>
      </c>
      <c r="L163" s="89">
        <v>2</v>
      </c>
      <c r="M163" s="89" t="s">
        <v>210</v>
      </c>
      <c r="N163" s="89" t="s">
        <v>210</v>
      </c>
      <c r="O163" s="89" t="s">
        <v>210</v>
      </c>
      <c r="P163" s="89" t="s">
        <v>210</v>
      </c>
      <c r="Q163" s="89">
        <v>1</v>
      </c>
      <c r="R163" s="89" t="s">
        <v>210</v>
      </c>
      <c r="S163" s="89" t="s">
        <v>210</v>
      </c>
      <c r="T163" s="89" t="s">
        <v>210</v>
      </c>
      <c r="U163" s="89" t="s">
        <v>210</v>
      </c>
      <c r="V163" s="89" t="s">
        <v>210</v>
      </c>
      <c r="W163" s="89">
        <v>-1</v>
      </c>
      <c r="X163" s="89"/>
      <c r="Y163" s="89"/>
      <c r="Z163" s="89"/>
      <c r="AA163" s="89"/>
      <c r="AB163" s="89"/>
      <c r="AC163" s="89"/>
      <c r="AD163" s="89"/>
      <c r="AE163" s="89"/>
      <c r="AF163" s="89"/>
      <c r="AG163" s="89"/>
      <c r="AH163" s="89"/>
      <c r="AI163" s="89"/>
      <c r="AJ163" s="89"/>
      <c r="AK163" s="89"/>
      <c r="AL163" s="89"/>
      <c r="AM163" s="89"/>
      <c r="AN163" s="89"/>
      <c r="AO163" s="89"/>
      <c r="AP163" s="89"/>
      <c r="BA163" s="95"/>
    </row>
    <row r="164" spans="1:53" s="87" customFormat="1">
      <c r="A164" s="90" t="str">
        <f t="shared" si="27"/>
        <v/>
      </c>
      <c r="B164" s="89">
        <v>3</v>
      </c>
      <c r="C164" s="89" t="s">
        <v>210</v>
      </c>
      <c r="D164" s="89" t="s">
        <v>210</v>
      </c>
      <c r="E164" s="89">
        <v>1</v>
      </c>
      <c r="F164" s="89" t="s">
        <v>210</v>
      </c>
      <c r="G164" s="89" t="s">
        <v>210</v>
      </c>
      <c r="H164" s="89">
        <v>2</v>
      </c>
      <c r="I164" s="89" t="s">
        <v>210</v>
      </c>
      <c r="J164" s="89" t="s">
        <v>210</v>
      </c>
      <c r="K164" s="89" t="s">
        <v>210</v>
      </c>
      <c r="L164" s="89">
        <v>-2</v>
      </c>
      <c r="M164" s="89" t="s">
        <v>210</v>
      </c>
      <c r="N164" s="89" t="s">
        <v>210</v>
      </c>
      <c r="O164" s="89">
        <v>-1</v>
      </c>
      <c r="P164" s="89" t="s">
        <v>210</v>
      </c>
      <c r="Q164" s="89" t="s">
        <v>210</v>
      </c>
      <c r="R164" s="89" t="s">
        <v>210</v>
      </c>
      <c r="S164" s="89">
        <v>1</v>
      </c>
      <c r="T164" s="89" t="s">
        <v>210</v>
      </c>
      <c r="U164" s="89" t="s">
        <v>210</v>
      </c>
      <c r="V164" s="89">
        <v>-2</v>
      </c>
      <c r="W164" s="89" t="s">
        <v>210</v>
      </c>
      <c r="X164" s="89"/>
      <c r="Y164" s="89"/>
      <c r="Z164" s="89"/>
      <c r="AA164" s="89"/>
      <c r="AB164" s="89"/>
      <c r="AC164" s="89"/>
      <c r="AD164" s="89"/>
      <c r="AE164" s="89"/>
      <c r="AF164" s="89"/>
      <c r="AG164" s="89"/>
      <c r="AH164" s="89"/>
      <c r="AI164" s="89"/>
      <c r="AJ164" s="89"/>
      <c r="AK164" s="89"/>
      <c r="AL164" s="89"/>
      <c r="AM164" s="89"/>
      <c r="AN164" s="89"/>
      <c r="AO164" s="89"/>
      <c r="AP164" s="89"/>
      <c r="BA164" s="95"/>
    </row>
    <row r="165" spans="1:53" s="87" customFormat="1">
      <c r="A165" s="90" t="str">
        <f t="shared" si="27"/>
        <v/>
      </c>
      <c r="B165" s="89">
        <v>4</v>
      </c>
      <c r="C165" s="89">
        <v>-1</v>
      </c>
      <c r="D165" s="89" t="s">
        <v>210</v>
      </c>
      <c r="E165" s="89" t="s">
        <v>210</v>
      </c>
      <c r="F165" s="89" t="s">
        <v>210</v>
      </c>
      <c r="G165" s="89" t="s">
        <v>210</v>
      </c>
      <c r="H165" s="89" t="s">
        <v>210</v>
      </c>
      <c r="I165" s="89">
        <v>1</v>
      </c>
      <c r="J165" s="89" t="s">
        <v>210</v>
      </c>
      <c r="K165" s="89" t="s">
        <v>210</v>
      </c>
      <c r="L165" s="89" t="s">
        <v>210</v>
      </c>
      <c r="M165" s="89" t="s">
        <v>210</v>
      </c>
      <c r="N165" s="89">
        <v>-2</v>
      </c>
      <c r="O165" s="89" t="s">
        <v>210</v>
      </c>
      <c r="P165" s="89">
        <v>-2</v>
      </c>
      <c r="Q165" s="89" t="s">
        <v>210</v>
      </c>
      <c r="R165" s="89" t="s">
        <v>210</v>
      </c>
      <c r="S165" s="89" t="s">
        <v>210</v>
      </c>
      <c r="T165" s="89">
        <v>1</v>
      </c>
      <c r="U165" s="89" t="s">
        <v>210</v>
      </c>
      <c r="V165" s="89">
        <v>2</v>
      </c>
      <c r="W165" s="89" t="s">
        <v>210</v>
      </c>
      <c r="X165" s="89"/>
      <c r="Y165" s="89"/>
      <c r="Z165" s="89"/>
      <c r="AA165" s="89"/>
      <c r="AB165" s="89"/>
      <c r="AC165" s="89"/>
      <c r="AD165" s="89"/>
      <c r="AE165" s="89"/>
      <c r="AF165" s="89"/>
      <c r="AG165" s="89"/>
      <c r="AH165" s="89"/>
      <c r="AI165" s="89"/>
      <c r="AJ165" s="89"/>
      <c r="AK165" s="89"/>
      <c r="AL165" s="89"/>
      <c r="AM165" s="89"/>
      <c r="AN165" s="89"/>
      <c r="AO165" s="89"/>
      <c r="AP165" s="89"/>
      <c r="BA165" s="95"/>
    </row>
    <row r="166" spans="1:53" s="87" customFormat="1">
      <c r="A166" s="90" t="str">
        <f t="shared" si="27"/>
        <v/>
      </c>
      <c r="B166" s="89">
        <v>5</v>
      </c>
      <c r="C166" s="87" t="s">
        <v>210</v>
      </c>
      <c r="D166" s="87" t="s">
        <v>210</v>
      </c>
      <c r="E166" s="87" t="s">
        <v>210</v>
      </c>
      <c r="F166" s="87">
        <v>-2</v>
      </c>
      <c r="G166" s="87" t="s">
        <v>210</v>
      </c>
      <c r="H166" s="87" t="s">
        <v>210</v>
      </c>
      <c r="I166" s="87" t="s">
        <v>210</v>
      </c>
      <c r="J166" s="87">
        <v>1</v>
      </c>
      <c r="K166" s="87" t="s">
        <v>210</v>
      </c>
      <c r="L166" s="87" t="s">
        <v>210</v>
      </c>
      <c r="M166" s="87" t="s">
        <v>210</v>
      </c>
      <c r="N166" s="87">
        <v>2</v>
      </c>
      <c r="O166" s="87" t="s">
        <v>210</v>
      </c>
      <c r="P166" s="87" t="s">
        <v>210</v>
      </c>
      <c r="Q166" s="87">
        <v>-1</v>
      </c>
      <c r="R166" s="87" t="s">
        <v>210</v>
      </c>
      <c r="S166" s="87">
        <v>-1</v>
      </c>
      <c r="T166" s="87" t="s">
        <v>210</v>
      </c>
      <c r="U166" s="87">
        <v>2</v>
      </c>
      <c r="V166" s="87" t="s">
        <v>210</v>
      </c>
      <c r="W166" s="87" t="s">
        <v>210</v>
      </c>
      <c r="BA166" s="95"/>
    </row>
    <row r="167" spans="1:53" s="87" customFormat="1">
      <c r="A167" s="90" t="str">
        <f t="shared" si="27"/>
        <v/>
      </c>
      <c r="B167" s="89">
        <v>6</v>
      </c>
      <c r="C167" s="87" t="s">
        <v>210</v>
      </c>
      <c r="D167" s="87" t="s">
        <v>210</v>
      </c>
      <c r="E167" s="87">
        <v>-1</v>
      </c>
      <c r="F167" s="87" t="s">
        <v>210</v>
      </c>
      <c r="G167" s="87">
        <v>2</v>
      </c>
      <c r="H167" s="87" t="s">
        <v>210</v>
      </c>
      <c r="I167" s="87" t="s">
        <v>210</v>
      </c>
      <c r="J167" s="87" t="s">
        <v>210</v>
      </c>
      <c r="K167" s="87">
        <v>-1</v>
      </c>
      <c r="L167" s="87" t="s">
        <v>210</v>
      </c>
      <c r="M167" s="87" t="s">
        <v>210</v>
      </c>
      <c r="N167" s="87" t="s">
        <v>210</v>
      </c>
      <c r="O167" s="87" t="s">
        <v>210</v>
      </c>
      <c r="P167" s="87">
        <v>2</v>
      </c>
      <c r="Q167" s="87" t="s">
        <v>210</v>
      </c>
      <c r="R167" s="87">
        <v>1</v>
      </c>
      <c r="S167" s="87" t="s">
        <v>210</v>
      </c>
      <c r="T167" s="87" t="s">
        <v>210</v>
      </c>
      <c r="U167" s="87">
        <v>-2</v>
      </c>
      <c r="V167" s="87" t="s">
        <v>210</v>
      </c>
      <c r="W167" s="87" t="s">
        <v>210</v>
      </c>
      <c r="BA167" s="95"/>
    </row>
    <row r="168" spans="1:53" s="87" customFormat="1">
      <c r="A168" s="90" t="str">
        <f t="shared" si="27"/>
        <v/>
      </c>
      <c r="B168" s="99">
        <v>7</v>
      </c>
      <c r="C168" s="233" t="s">
        <v>210</v>
      </c>
      <c r="D168" s="233">
        <v>-2</v>
      </c>
      <c r="E168" s="233" t="s">
        <v>210</v>
      </c>
      <c r="F168" s="233">
        <v>2</v>
      </c>
      <c r="G168" s="233" t="s">
        <v>210</v>
      </c>
      <c r="H168" s="233" t="s">
        <v>210</v>
      </c>
      <c r="I168" s="233" t="s">
        <v>210</v>
      </c>
      <c r="J168" s="233" t="s">
        <v>210</v>
      </c>
      <c r="K168" s="233">
        <v>1</v>
      </c>
      <c r="L168" s="233" t="s">
        <v>210</v>
      </c>
      <c r="M168" s="233">
        <v>-2</v>
      </c>
      <c r="N168" s="233" t="s">
        <v>210</v>
      </c>
      <c r="O168" s="233">
        <v>1</v>
      </c>
      <c r="P168" s="233" t="s">
        <v>210</v>
      </c>
      <c r="Q168" s="233" t="s">
        <v>210</v>
      </c>
      <c r="R168" s="233" t="s">
        <v>210</v>
      </c>
      <c r="S168" s="233" t="s">
        <v>210</v>
      </c>
      <c r="T168" s="233">
        <v>-1</v>
      </c>
      <c r="U168" s="233" t="s">
        <v>210</v>
      </c>
      <c r="V168" s="233" t="s">
        <v>210</v>
      </c>
      <c r="W168" s="233" t="s">
        <v>210</v>
      </c>
      <c r="BA168" s="95"/>
    </row>
    <row r="169" spans="1:53" s="87" customFormat="1">
      <c r="A169" s="90" t="str">
        <f t="shared" si="27"/>
        <v/>
      </c>
      <c r="B169" s="89">
        <v>8</v>
      </c>
      <c r="C169" s="87">
        <v>2</v>
      </c>
      <c r="D169" s="87" t="s">
        <v>210</v>
      </c>
      <c r="E169" s="87" t="s">
        <v>210</v>
      </c>
      <c r="F169" s="87" t="s">
        <v>210</v>
      </c>
      <c r="G169" s="87" t="s">
        <v>210</v>
      </c>
      <c r="H169" s="87">
        <v>-1</v>
      </c>
      <c r="I169" s="87" t="s">
        <v>210</v>
      </c>
      <c r="J169" s="87">
        <v>-2</v>
      </c>
      <c r="K169" s="87" t="s">
        <v>210</v>
      </c>
      <c r="L169" s="87" t="s">
        <v>210</v>
      </c>
      <c r="M169" s="87">
        <v>1</v>
      </c>
      <c r="N169" s="87" t="s">
        <v>210</v>
      </c>
      <c r="O169" s="87" t="s">
        <v>210</v>
      </c>
      <c r="P169" s="87" t="s">
        <v>210</v>
      </c>
      <c r="Q169" s="87" t="s">
        <v>210</v>
      </c>
      <c r="R169" s="87">
        <v>-2</v>
      </c>
      <c r="S169" s="87" t="s">
        <v>210</v>
      </c>
      <c r="T169" s="87" t="s">
        <v>210</v>
      </c>
      <c r="U169" s="87" t="s">
        <v>210</v>
      </c>
      <c r="V169" s="87" t="s">
        <v>210</v>
      </c>
      <c r="W169" s="87">
        <v>2</v>
      </c>
      <c r="BA169" s="95"/>
    </row>
    <row r="170" spans="1:53" s="87" customFormat="1">
      <c r="A170" s="90" t="str">
        <f t="shared" si="27"/>
        <v/>
      </c>
      <c r="B170" s="89">
        <v>9</v>
      </c>
      <c r="C170" s="87" t="s">
        <v>210</v>
      </c>
      <c r="D170" s="87">
        <v>1</v>
      </c>
      <c r="E170" s="87" t="s">
        <v>210</v>
      </c>
      <c r="F170" s="87" t="s">
        <v>210</v>
      </c>
      <c r="G170" s="87">
        <v>-1</v>
      </c>
      <c r="H170" s="87" t="s">
        <v>210</v>
      </c>
      <c r="I170" s="87">
        <v>-2</v>
      </c>
      <c r="J170" s="87" t="s">
        <v>210</v>
      </c>
      <c r="K170" s="87" t="s">
        <v>210</v>
      </c>
      <c r="L170" s="87">
        <v>1</v>
      </c>
      <c r="M170" s="87" t="s">
        <v>210</v>
      </c>
      <c r="N170" s="87" t="s">
        <v>210</v>
      </c>
      <c r="O170" s="87" t="s">
        <v>210</v>
      </c>
      <c r="P170" s="87" t="s">
        <v>210</v>
      </c>
      <c r="Q170" s="87">
        <v>2</v>
      </c>
      <c r="R170" s="87" t="s">
        <v>210</v>
      </c>
      <c r="S170" s="87" t="s">
        <v>210</v>
      </c>
      <c r="T170" s="87" t="s">
        <v>210</v>
      </c>
      <c r="U170" s="87" t="s">
        <v>210</v>
      </c>
      <c r="V170" s="87" t="s">
        <v>210</v>
      </c>
      <c r="W170" s="87">
        <v>-2</v>
      </c>
      <c r="BA170" s="95"/>
    </row>
    <row r="171" spans="1:53" s="87" customFormat="1">
      <c r="A171" s="90" t="str">
        <f t="shared" si="27"/>
        <v/>
      </c>
      <c r="B171" s="89">
        <v>10</v>
      </c>
      <c r="C171" s="87" t="s">
        <v>210</v>
      </c>
      <c r="D171" s="87" t="s">
        <v>210</v>
      </c>
      <c r="E171" s="87">
        <v>2</v>
      </c>
      <c r="F171" s="87" t="s">
        <v>210</v>
      </c>
      <c r="G171" s="87" t="s">
        <v>210</v>
      </c>
      <c r="H171" s="87">
        <v>1</v>
      </c>
      <c r="I171" s="87" t="s">
        <v>210</v>
      </c>
      <c r="J171" s="87" t="s">
        <v>210</v>
      </c>
      <c r="K171" s="87" t="s">
        <v>210</v>
      </c>
      <c r="L171" s="87">
        <v>-1</v>
      </c>
      <c r="M171" s="87" t="s">
        <v>210</v>
      </c>
      <c r="N171" s="87" t="s">
        <v>210</v>
      </c>
      <c r="O171" s="87">
        <v>-2</v>
      </c>
      <c r="P171" s="87" t="s">
        <v>210</v>
      </c>
      <c r="Q171" s="87" t="s">
        <v>210</v>
      </c>
      <c r="R171" s="87" t="s">
        <v>210</v>
      </c>
      <c r="S171" s="87">
        <v>2</v>
      </c>
      <c r="T171" s="87" t="s">
        <v>210</v>
      </c>
      <c r="U171" s="87" t="s">
        <v>210</v>
      </c>
      <c r="V171" s="87">
        <v>-1</v>
      </c>
      <c r="W171" s="87" t="s">
        <v>210</v>
      </c>
      <c r="BA171" s="95"/>
    </row>
    <row r="172" spans="1:53" s="87" customFormat="1">
      <c r="A172" s="90" t="str">
        <f t="shared" si="27"/>
        <v/>
      </c>
      <c r="B172" s="89">
        <v>11</v>
      </c>
      <c r="C172" s="87">
        <v>-2</v>
      </c>
      <c r="D172" s="87" t="s">
        <v>210</v>
      </c>
      <c r="E172" s="87" t="s">
        <v>210</v>
      </c>
      <c r="F172" s="87" t="s">
        <v>210</v>
      </c>
      <c r="G172" s="87" t="s">
        <v>210</v>
      </c>
      <c r="H172" s="87" t="s">
        <v>210</v>
      </c>
      <c r="I172" s="87">
        <v>2</v>
      </c>
      <c r="J172" s="87" t="s">
        <v>210</v>
      </c>
      <c r="K172" s="87" t="s">
        <v>210</v>
      </c>
      <c r="L172" s="87" t="s">
        <v>210</v>
      </c>
      <c r="M172" s="87" t="s">
        <v>210</v>
      </c>
      <c r="N172" s="87">
        <v>-1</v>
      </c>
      <c r="O172" s="87" t="s">
        <v>210</v>
      </c>
      <c r="P172" s="87">
        <v>-1</v>
      </c>
      <c r="Q172" s="87" t="s">
        <v>210</v>
      </c>
      <c r="R172" s="87" t="s">
        <v>210</v>
      </c>
      <c r="S172" s="87" t="s">
        <v>210</v>
      </c>
      <c r="T172" s="87">
        <v>2</v>
      </c>
      <c r="U172" s="87" t="s">
        <v>210</v>
      </c>
      <c r="V172" s="87">
        <v>1</v>
      </c>
      <c r="W172" s="87" t="s">
        <v>210</v>
      </c>
      <c r="BA172" s="95"/>
    </row>
    <row r="173" spans="1:53" s="87" customFormat="1">
      <c r="A173" s="90" t="str">
        <f t="shared" si="27"/>
        <v/>
      </c>
      <c r="B173" s="89">
        <v>12</v>
      </c>
      <c r="C173" s="87" t="s">
        <v>210</v>
      </c>
      <c r="D173" s="87" t="s">
        <v>210</v>
      </c>
      <c r="E173" s="87" t="s">
        <v>210</v>
      </c>
      <c r="F173" s="87">
        <v>-1</v>
      </c>
      <c r="G173" s="87" t="s">
        <v>210</v>
      </c>
      <c r="H173" s="87" t="s">
        <v>210</v>
      </c>
      <c r="I173" s="87" t="s">
        <v>210</v>
      </c>
      <c r="J173" s="87">
        <v>2</v>
      </c>
      <c r="K173" s="87" t="s">
        <v>210</v>
      </c>
      <c r="L173" s="87" t="s">
        <v>210</v>
      </c>
      <c r="M173" s="87" t="s">
        <v>210</v>
      </c>
      <c r="N173" s="87">
        <v>1</v>
      </c>
      <c r="O173" s="87" t="s">
        <v>210</v>
      </c>
      <c r="P173" s="87" t="s">
        <v>210</v>
      </c>
      <c r="Q173" s="87">
        <v>-2</v>
      </c>
      <c r="R173" s="87" t="s">
        <v>210</v>
      </c>
      <c r="S173" s="87">
        <v>-2</v>
      </c>
      <c r="T173" s="87" t="s">
        <v>210</v>
      </c>
      <c r="U173" s="87">
        <v>1</v>
      </c>
      <c r="V173" s="87" t="s">
        <v>210</v>
      </c>
      <c r="W173" s="87" t="s">
        <v>210</v>
      </c>
      <c r="BA173" s="95"/>
    </row>
    <row r="174" spans="1:53" s="87" customFormat="1">
      <c r="A174" s="90" t="str">
        <f t="shared" si="27"/>
        <v/>
      </c>
      <c r="B174" s="89">
        <v>13</v>
      </c>
      <c r="C174" s="87" t="s">
        <v>210</v>
      </c>
      <c r="D174" s="87" t="s">
        <v>210</v>
      </c>
      <c r="E174" s="87">
        <v>-2</v>
      </c>
      <c r="F174" s="87" t="s">
        <v>210</v>
      </c>
      <c r="G174" s="87">
        <v>1</v>
      </c>
      <c r="H174" s="87" t="s">
        <v>210</v>
      </c>
      <c r="I174" s="87" t="s">
        <v>210</v>
      </c>
      <c r="J174" s="87" t="s">
        <v>210</v>
      </c>
      <c r="K174" s="87">
        <v>-2</v>
      </c>
      <c r="L174" s="87" t="s">
        <v>210</v>
      </c>
      <c r="M174" s="87" t="s">
        <v>210</v>
      </c>
      <c r="N174" s="87" t="s">
        <v>210</v>
      </c>
      <c r="O174" s="87" t="s">
        <v>210</v>
      </c>
      <c r="P174" s="87">
        <v>1</v>
      </c>
      <c r="Q174" s="87" t="s">
        <v>210</v>
      </c>
      <c r="R174" s="87">
        <v>2</v>
      </c>
      <c r="S174" s="87" t="s">
        <v>210</v>
      </c>
      <c r="T174" s="87" t="s">
        <v>210</v>
      </c>
      <c r="U174" s="87">
        <v>-1</v>
      </c>
      <c r="V174" s="87" t="s">
        <v>210</v>
      </c>
      <c r="W174" s="87" t="s">
        <v>210</v>
      </c>
      <c r="BA174" s="95"/>
    </row>
    <row r="175" spans="1:53" s="87" customFormat="1">
      <c r="A175" s="90" t="str">
        <f t="shared" si="27"/>
        <v/>
      </c>
      <c r="B175" s="89">
        <v>14</v>
      </c>
      <c r="C175" s="87" t="s">
        <v>210</v>
      </c>
      <c r="D175" s="87">
        <v>-1</v>
      </c>
      <c r="E175" s="87" t="s">
        <v>210</v>
      </c>
      <c r="F175" s="87">
        <v>1</v>
      </c>
      <c r="G175" s="87" t="s">
        <v>210</v>
      </c>
      <c r="H175" s="87" t="s">
        <v>210</v>
      </c>
      <c r="I175" s="87" t="s">
        <v>210</v>
      </c>
      <c r="J175" s="87" t="s">
        <v>210</v>
      </c>
      <c r="K175" s="87">
        <v>2</v>
      </c>
      <c r="L175" s="87" t="s">
        <v>210</v>
      </c>
      <c r="M175" s="87">
        <v>-1</v>
      </c>
      <c r="N175" s="87" t="s">
        <v>210</v>
      </c>
      <c r="O175" s="87">
        <v>2</v>
      </c>
      <c r="P175" s="87" t="s">
        <v>210</v>
      </c>
      <c r="Q175" s="87" t="s">
        <v>210</v>
      </c>
      <c r="R175" s="87" t="s">
        <v>210</v>
      </c>
      <c r="S175" s="87" t="s">
        <v>210</v>
      </c>
      <c r="T175" s="87">
        <v>-2</v>
      </c>
      <c r="U175" s="87" t="s">
        <v>210</v>
      </c>
      <c r="V175" s="87" t="s">
        <v>210</v>
      </c>
      <c r="W175" s="87" t="s">
        <v>210</v>
      </c>
      <c r="BA175" s="95"/>
    </row>
    <row r="176" spans="1:53" s="87" customFormat="1">
      <c r="A176" s="90" t="str">
        <f t="shared" si="27"/>
        <v/>
      </c>
      <c r="B176" s="319" t="s">
        <v>1075</v>
      </c>
      <c r="BA176" s="95"/>
    </row>
    <row r="177" spans="1:53" s="87" customFormat="1">
      <c r="A177" s="90">
        <f t="shared" si="27"/>
        <v>177</v>
      </c>
      <c r="B177" s="319" t="s">
        <v>1216</v>
      </c>
      <c r="BA177" s="95"/>
    </row>
    <row r="178" spans="1:53" s="87" customFormat="1">
      <c r="A178" s="90" t="str">
        <f t="shared" si="27"/>
        <v/>
      </c>
      <c r="B178" s="89">
        <v>1</v>
      </c>
      <c r="C178" s="87" t="s">
        <v>210</v>
      </c>
      <c r="D178" s="87" t="s">
        <v>210</v>
      </c>
      <c r="E178" s="87">
        <v>-1</v>
      </c>
      <c r="F178" s="87" t="s">
        <v>210</v>
      </c>
      <c r="G178" s="87" t="s">
        <v>210</v>
      </c>
      <c r="H178" s="87">
        <v>1</v>
      </c>
      <c r="I178" s="87" t="s">
        <v>210</v>
      </c>
      <c r="J178" s="87" t="s">
        <v>210</v>
      </c>
      <c r="K178" s="87" t="s">
        <v>210</v>
      </c>
      <c r="L178" s="87" t="s">
        <v>210</v>
      </c>
      <c r="M178" s="87">
        <v>-2</v>
      </c>
      <c r="N178" s="87" t="s">
        <v>210</v>
      </c>
      <c r="O178" s="87" t="s">
        <v>210</v>
      </c>
      <c r="P178" s="87" t="s">
        <v>210</v>
      </c>
      <c r="Q178" s="87" t="s">
        <v>210</v>
      </c>
      <c r="R178" s="87">
        <v>2</v>
      </c>
      <c r="S178" s="87" t="s">
        <v>210</v>
      </c>
      <c r="T178" s="87" t="s">
        <v>210</v>
      </c>
      <c r="U178" s="87">
        <v>-1</v>
      </c>
      <c r="V178" s="87" t="s">
        <v>210</v>
      </c>
      <c r="W178" s="87" t="s">
        <v>210</v>
      </c>
      <c r="X178" s="87">
        <v>-2</v>
      </c>
      <c r="Y178" s="87">
        <v>2</v>
      </c>
      <c r="Z178" s="87" t="s">
        <v>210</v>
      </c>
      <c r="AA178" s="87" t="s">
        <v>210</v>
      </c>
      <c r="BA178" s="95"/>
    </row>
    <row r="179" spans="1:53" s="87" customFormat="1">
      <c r="A179" s="90" t="str">
        <f t="shared" si="27"/>
        <v/>
      </c>
      <c r="B179" s="89">
        <v>2</v>
      </c>
      <c r="C179" s="87" t="s">
        <v>210</v>
      </c>
      <c r="D179" s="87" t="s">
        <v>210</v>
      </c>
      <c r="E179" s="87" t="s">
        <v>210</v>
      </c>
      <c r="F179" s="87">
        <v>-1</v>
      </c>
      <c r="G179" s="87">
        <v>-2</v>
      </c>
      <c r="H179" s="87" t="s">
        <v>210</v>
      </c>
      <c r="I179" s="87" t="s">
        <v>210</v>
      </c>
      <c r="J179" s="87" t="s">
        <v>210</v>
      </c>
      <c r="K179" s="87" t="s">
        <v>210</v>
      </c>
      <c r="L179" s="87">
        <v>2</v>
      </c>
      <c r="M179" s="87" t="s">
        <v>210</v>
      </c>
      <c r="N179" s="87" t="s">
        <v>210</v>
      </c>
      <c r="O179" s="87">
        <v>-1</v>
      </c>
      <c r="P179" s="87" t="s">
        <v>210</v>
      </c>
      <c r="Q179" s="87" t="s">
        <v>210</v>
      </c>
      <c r="R179" s="87" t="s">
        <v>210</v>
      </c>
      <c r="S179" s="87" t="s">
        <v>210</v>
      </c>
      <c r="T179" s="87">
        <v>2</v>
      </c>
      <c r="U179" s="87" t="s">
        <v>210</v>
      </c>
      <c r="V179" s="87" t="s">
        <v>210</v>
      </c>
      <c r="W179" s="87">
        <v>1</v>
      </c>
      <c r="X179" s="87" t="s">
        <v>210</v>
      </c>
      <c r="Y179" s="87">
        <v>-2</v>
      </c>
      <c r="Z179" s="87" t="s">
        <v>210</v>
      </c>
      <c r="AA179" s="87" t="s">
        <v>210</v>
      </c>
      <c r="BA179" s="95"/>
    </row>
    <row r="180" spans="1:53" s="87" customFormat="1">
      <c r="A180" s="90" t="str">
        <f t="shared" si="27"/>
        <v/>
      </c>
      <c r="B180" s="89">
        <v>3</v>
      </c>
      <c r="C180" s="87" t="s">
        <v>210</v>
      </c>
      <c r="D180" s="87" t="s">
        <v>210</v>
      </c>
      <c r="E180" s="87" t="s">
        <v>210</v>
      </c>
      <c r="F180" s="87">
        <v>-2</v>
      </c>
      <c r="G180" s="87" t="s">
        <v>210</v>
      </c>
      <c r="H180" s="87" t="s">
        <v>210</v>
      </c>
      <c r="I180" s="87" t="s">
        <v>210</v>
      </c>
      <c r="J180" s="87">
        <v>-1</v>
      </c>
      <c r="K180" s="87" t="s">
        <v>210</v>
      </c>
      <c r="L180" s="87" t="s">
        <v>210</v>
      </c>
      <c r="M180" s="87" t="s">
        <v>210</v>
      </c>
      <c r="N180" s="87">
        <v>1</v>
      </c>
      <c r="O180" s="87" t="s">
        <v>210</v>
      </c>
      <c r="P180" s="87" t="s">
        <v>210</v>
      </c>
      <c r="Q180" s="87" t="s">
        <v>210</v>
      </c>
      <c r="R180" s="87">
        <v>-2</v>
      </c>
      <c r="S180" s="87">
        <v>1</v>
      </c>
      <c r="T180" s="87" t="s">
        <v>210</v>
      </c>
      <c r="U180" s="87" t="s">
        <v>210</v>
      </c>
      <c r="V180" s="87" t="s">
        <v>210</v>
      </c>
      <c r="W180" s="87">
        <v>-1</v>
      </c>
      <c r="X180" s="87" t="s">
        <v>210</v>
      </c>
      <c r="Y180" s="87" t="s">
        <v>210</v>
      </c>
      <c r="Z180" s="87" t="s">
        <v>210</v>
      </c>
      <c r="AA180" s="87">
        <v>2</v>
      </c>
      <c r="BA180" s="95"/>
    </row>
    <row r="181" spans="1:53" s="87" customFormat="1">
      <c r="A181" s="90" t="str">
        <f t="shared" si="27"/>
        <v/>
      </c>
      <c r="B181" s="89">
        <v>4</v>
      </c>
      <c r="C181" s="87" t="s">
        <v>210</v>
      </c>
      <c r="D181" s="87" t="s">
        <v>210</v>
      </c>
      <c r="E181" s="87">
        <v>1</v>
      </c>
      <c r="F181" s="87" t="s">
        <v>210</v>
      </c>
      <c r="G181" s="87">
        <v>2</v>
      </c>
      <c r="H181" s="87" t="s">
        <v>210</v>
      </c>
      <c r="I181" s="87" t="s">
        <v>210</v>
      </c>
      <c r="J181" s="87" t="s">
        <v>210</v>
      </c>
      <c r="K181" s="87" t="s">
        <v>210</v>
      </c>
      <c r="L181" s="87">
        <v>-1</v>
      </c>
      <c r="M181" s="87" t="s">
        <v>210</v>
      </c>
      <c r="N181" s="87" t="s">
        <v>210</v>
      </c>
      <c r="O181" s="87" t="s">
        <v>210</v>
      </c>
      <c r="P181" s="87">
        <v>2</v>
      </c>
      <c r="Q181" s="87" t="s">
        <v>210</v>
      </c>
      <c r="R181" s="87" t="s">
        <v>210</v>
      </c>
      <c r="S181" s="87" t="s">
        <v>210</v>
      </c>
      <c r="T181" s="87">
        <v>1</v>
      </c>
      <c r="U181" s="87" t="s">
        <v>210</v>
      </c>
      <c r="V181" s="87" t="s">
        <v>210</v>
      </c>
      <c r="W181" s="87">
        <v>-2</v>
      </c>
      <c r="X181" s="87" t="s">
        <v>210</v>
      </c>
      <c r="Y181" s="87" t="s">
        <v>210</v>
      </c>
      <c r="Z181" s="87" t="s">
        <v>210</v>
      </c>
      <c r="AA181" s="87">
        <v>-2</v>
      </c>
      <c r="BA181" s="95"/>
    </row>
    <row r="182" spans="1:53" s="87" customFormat="1">
      <c r="A182" s="90" t="str">
        <f t="shared" si="27"/>
        <v/>
      </c>
      <c r="B182" s="89">
        <v>5</v>
      </c>
      <c r="C182" s="87">
        <v>-1</v>
      </c>
      <c r="D182" s="87" t="s">
        <v>210</v>
      </c>
      <c r="E182" s="87" t="s">
        <v>210</v>
      </c>
      <c r="F182" s="87" t="s">
        <v>210</v>
      </c>
      <c r="G182" s="87" t="s">
        <v>210</v>
      </c>
      <c r="H182" s="87" t="s">
        <v>210</v>
      </c>
      <c r="I182" s="87" t="s">
        <v>210</v>
      </c>
      <c r="J182" s="87">
        <v>1</v>
      </c>
      <c r="K182" s="87" t="s">
        <v>210</v>
      </c>
      <c r="L182" s="87" t="s">
        <v>210</v>
      </c>
      <c r="M182" s="87">
        <v>2</v>
      </c>
      <c r="N182" s="87" t="s">
        <v>210</v>
      </c>
      <c r="O182" s="87" t="s">
        <v>210</v>
      </c>
      <c r="P182" s="87">
        <v>-1</v>
      </c>
      <c r="Q182" s="87" t="s">
        <v>210</v>
      </c>
      <c r="R182" s="87" t="s">
        <v>210</v>
      </c>
      <c r="S182" s="87" t="s">
        <v>210</v>
      </c>
      <c r="T182" s="87">
        <v>-2</v>
      </c>
      <c r="U182" s="87" t="s">
        <v>210</v>
      </c>
      <c r="V182" s="87" t="s">
        <v>210</v>
      </c>
      <c r="W182" s="87">
        <v>2</v>
      </c>
      <c r="X182" s="87" t="s">
        <v>210</v>
      </c>
      <c r="Y182" s="87" t="s">
        <v>210</v>
      </c>
      <c r="Z182" s="87" t="s">
        <v>210</v>
      </c>
      <c r="AA182" s="87">
        <v>1</v>
      </c>
      <c r="BA182" s="95"/>
    </row>
    <row r="183" spans="1:53" s="87" customFormat="1">
      <c r="A183" s="90" t="str">
        <f t="shared" si="27"/>
        <v/>
      </c>
      <c r="B183" s="89">
        <v>6</v>
      </c>
      <c r="C183" s="87" t="s">
        <v>210</v>
      </c>
      <c r="D183" s="87" t="s">
        <v>210</v>
      </c>
      <c r="E183" s="87" t="s">
        <v>210</v>
      </c>
      <c r="F183" s="87">
        <v>1</v>
      </c>
      <c r="G183" s="87" t="s">
        <v>210</v>
      </c>
      <c r="H183" s="87">
        <v>2</v>
      </c>
      <c r="I183" s="87" t="s">
        <v>210</v>
      </c>
      <c r="J183" s="87" t="s">
        <v>210</v>
      </c>
      <c r="K183" s="87" t="s">
        <v>210</v>
      </c>
      <c r="L183" s="87" t="s">
        <v>210</v>
      </c>
      <c r="M183" s="87" t="s">
        <v>210</v>
      </c>
      <c r="N183" s="87">
        <v>-1</v>
      </c>
      <c r="O183" s="87" t="s">
        <v>210</v>
      </c>
      <c r="P183" s="87">
        <v>-2</v>
      </c>
      <c r="Q183" s="87" t="s">
        <v>210</v>
      </c>
      <c r="R183" s="87" t="s">
        <v>210</v>
      </c>
      <c r="S183" s="87" t="s">
        <v>210</v>
      </c>
      <c r="T183" s="87" t="s">
        <v>210</v>
      </c>
      <c r="U183" s="87">
        <v>1</v>
      </c>
      <c r="V183" s="87">
        <v>2</v>
      </c>
      <c r="W183" s="87" t="s">
        <v>210</v>
      </c>
      <c r="X183" s="87" t="s">
        <v>210</v>
      </c>
      <c r="Y183" s="87" t="s">
        <v>210</v>
      </c>
      <c r="Z183" s="87" t="s">
        <v>210</v>
      </c>
      <c r="AA183" s="87">
        <v>-1</v>
      </c>
      <c r="BA183" s="95"/>
    </row>
    <row r="184" spans="1:53" s="87" customFormat="1">
      <c r="A184" s="90" t="str">
        <f t="shared" si="27"/>
        <v/>
      </c>
      <c r="B184" s="99">
        <v>7</v>
      </c>
      <c r="C184" s="233" t="s">
        <v>210</v>
      </c>
      <c r="D184" s="233" t="s">
        <v>210</v>
      </c>
      <c r="E184" s="233" t="s">
        <v>210</v>
      </c>
      <c r="F184" s="233">
        <v>2</v>
      </c>
      <c r="G184" s="233" t="s">
        <v>210</v>
      </c>
      <c r="H184" s="233">
        <v>-2</v>
      </c>
      <c r="I184" s="233" t="s">
        <v>210</v>
      </c>
      <c r="J184" s="233" t="s">
        <v>210</v>
      </c>
      <c r="K184" s="233" t="s">
        <v>210</v>
      </c>
      <c r="L184" s="233">
        <v>-2</v>
      </c>
      <c r="M184" s="233" t="s">
        <v>210</v>
      </c>
      <c r="N184" s="233" t="s">
        <v>210</v>
      </c>
      <c r="O184" s="233" t="s">
        <v>210</v>
      </c>
      <c r="P184" s="233">
        <v>1</v>
      </c>
      <c r="Q184" s="233" t="s">
        <v>210</v>
      </c>
      <c r="R184" s="233" t="s">
        <v>210</v>
      </c>
      <c r="S184" s="233" t="s">
        <v>210</v>
      </c>
      <c r="T184" s="233">
        <v>-1</v>
      </c>
      <c r="U184" s="233" t="s">
        <v>210</v>
      </c>
      <c r="V184" s="233" t="s">
        <v>210</v>
      </c>
      <c r="W184" s="233" t="s">
        <v>210</v>
      </c>
      <c r="X184" s="233">
        <v>2</v>
      </c>
      <c r="Y184" s="233">
        <v>1</v>
      </c>
      <c r="Z184" s="233" t="s">
        <v>210</v>
      </c>
      <c r="AA184" s="233" t="s">
        <v>210</v>
      </c>
      <c r="BA184" s="95"/>
    </row>
    <row r="185" spans="1:53" s="87" customFormat="1">
      <c r="A185" s="90" t="str">
        <f t="shared" si="27"/>
        <v/>
      </c>
      <c r="B185" s="89">
        <v>8</v>
      </c>
      <c r="C185" s="87" t="s">
        <v>210</v>
      </c>
      <c r="D185" s="87">
        <v>1</v>
      </c>
      <c r="E185" s="87" t="s">
        <v>210</v>
      </c>
      <c r="F185" s="87" t="s">
        <v>210</v>
      </c>
      <c r="G185" s="87" t="s">
        <v>210</v>
      </c>
      <c r="H185" s="87">
        <v>-1</v>
      </c>
      <c r="I185" s="87" t="s">
        <v>210</v>
      </c>
      <c r="J185" s="87">
        <v>2</v>
      </c>
      <c r="K185" s="87" t="s">
        <v>210</v>
      </c>
      <c r="L185" s="87" t="s">
        <v>210</v>
      </c>
      <c r="M185" s="87" t="s">
        <v>210</v>
      </c>
      <c r="N185" s="87" t="s">
        <v>210</v>
      </c>
      <c r="O185" s="87">
        <v>-2</v>
      </c>
      <c r="P185" s="87" t="s">
        <v>210</v>
      </c>
      <c r="Q185" s="87" t="s">
        <v>210</v>
      </c>
      <c r="R185" s="87">
        <v>1</v>
      </c>
      <c r="S185" s="87" t="s">
        <v>210</v>
      </c>
      <c r="T185" s="87" t="s">
        <v>210</v>
      </c>
      <c r="U185" s="87">
        <v>-2</v>
      </c>
      <c r="V185" s="87" t="s">
        <v>210</v>
      </c>
      <c r="W185" s="87" t="s">
        <v>210</v>
      </c>
      <c r="X185" s="87" t="s">
        <v>210</v>
      </c>
      <c r="Y185" s="87" t="s">
        <v>210</v>
      </c>
      <c r="Z185" s="87">
        <v>-1</v>
      </c>
      <c r="AA185" s="87" t="s">
        <v>210</v>
      </c>
      <c r="BA185" s="95"/>
    </row>
    <row r="186" spans="1:53" s="87" customFormat="1">
      <c r="A186" s="90" t="str">
        <f t="shared" si="27"/>
        <v/>
      </c>
      <c r="B186" s="89">
        <v>9</v>
      </c>
      <c r="C186" s="87" t="s">
        <v>210</v>
      </c>
      <c r="D186" s="87">
        <v>2</v>
      </c>
      <c r="E186" s="87" t="s">
        <v>210</v>
      </c>
      <c r="F186" s="87" t="s">
        <v>210</v>
      </c>
      <c r="G186" s="87" t="s">
        <v>210</v>
      </c>
      <c r="H186" s="87" t="s">
        <v>210</v>
      </c>
      <c r="I186" s="87">
        <v>-1</v>
      </c>
      <c r="J186" s="87" t="s">
        <v>210</v>
      </c>
      <c r="K186" s="87">
        <v>-2</v>
      </c>
      <c r="L186" s="87" t="s">
        <v>210</v>
      </c>
      <c r="M186" s="87" t="s">
        <v>210</v>
      </c>
      <c r="N186" s="87" t="s">
        <v>210</v>
      </c>
      <c r="O186" s="87">
        <v>1</v>
      </c>
      <c r="P186" s="87" t="s">
        <v>210</v>
      </c>
      <c r="Q186" s="87">
        <v>-2</v>
      </c>
      <c r="R186" s="87" t="s">
        <v>210</v>
      </c>
      <c r="S186" s="87" t="s">
        <v>210</v>
      </c>
      <c r="T186" s="87" t="s">
        <v>210</v>
      </c>
      <c r="U186" s="87" t="s">
        <v>210</v>
      </c>
      <c r="V186" s="87">
        <v>-1</v>
      </c>
      <c r="W186" s="87" t="s">
        <v>210</v>
      </c>
      <c r="X186" s="87" t="s">
        <v>210</v>
      </c>
      <c r="Y186" s="87" t="s">
        <v>210</v>
      </c>
      <c r="Z186" s="87">
        <v>1</v>
      </c>
      <c r="AA186" s="87" t="s">
        <v>210</v>
      </c>
      <c r="BA186" s="95"/>
    </row>
    <row r="187" spans="1:53" s="87" customFormat="1">
      <c r="A187" s="90" t="str">
        <f t="shared" si="27"/>
        <v/>
      </c>
      <c r="B187" s="89">
        <v>10</v>
      </c>
      <c r="C187" s="87">
        <v>2</v>
      </c>
      <c r="D187" s="87" t="s">
        <v>210</v>
      </c>
      <c r="E187" s="87">
        <v>-2</v>
      </c>
      <c r="F187" s="87" t="s">
        <v>210</v>
      </c>
      <c r="G187" s="87" t="s">
        <v>210</v>
      </c>
      <c r="H187" s="87" t="s">
        <v>210</v>
      </c>
      <c r="I187" s="87" t="s">
        <v>210</v>
      </c>
      <c r="J187" s="87" t="s">
        <v>210</v>
      </c>
      <c r="K187" s="87">
        <v>1</v>
      </c>
      <c r="L187" s="87" t="s">
        <v>210</v>
      </c>
      <c r="M187" s="87" t="s">
        <v>210</v>
      </c>
      <c r="N187" s="87" t="s">
        <v>210</v>
      </c>
      <c r="O187" s="87">
        <v>2</v>
      </c>
      <c r="P187" s="87" t="s">
        <v>210</v>
      </c>
      <c r="Q187" s="87" t="s">
        <v>210</v>
      </c>
      <c r="R187" s="87" t="s">
        <v>210</v>
      </c>
      <c r="S187" s="87">
        <v>-1</v>
      </c>
      <c r="T187" s="87" t="s">
        <v>210</v>
      </c>
      <c r="U187" s="87" t="s">
        <v>210</v>
      </c>
      <c r="V187" s="87">
        <v>1</v>
      </c>
      <c r="W187" s="87" t="s">
        <v>210</v>
      </c>
      <c r="X187" s="87" t="s">
        <v>210</v>
      </c>
      <c r="Y187" s="87" t="s">
        <v>210</v>
      </c>
      <c r="Z187" s="87">
        <v>-2</v>
      </c>
      <c r="AA187" s="87" t="s">
        <v>210</v>
      </c>
      <c r="BA187" s="95"/>
    </row>
    <row r="188" spans="1:53" s="87" customFormat="1">
      <c r="A188" s="90" t="str">
        <f t="shared" si="27"/>
        <v/>
      </c>
      <c r="B188" s="89">
        <v>11</v>
      </c>
      <c r="C188" s="87" t="s">
        <v>210</v>
      </c>
      <c r="D188" s="87">
        <v>-1</v>
      </c>
      <c r="E188" s="87" t="s">
        <v>210</v>
      </c>
      <c r="F188" s="87" t="s">
        <v>210</v>
      </c>
      <c r="G188" s="87" t="s">
        <v>210</v>
      </c>
      <c r="H188" s="87" t="s">
        <v>210</v>
      </c>
      <c r="I188" s="87">
        <v>1</v>
      </c>
      <c r="J188" s="87" t="s">
        <v>210</v>
      </c>
      <c r="K188" s="87" t="s">
        <v>210</v>
      </c>
      <c r="L188" s="87">
        <v>1</v>
      </c>
      <c r="M188" s="87" t="s">
        <v>210</v>
      </c>
      <c r="N188" s="87">
        <v>-2</v>
      </c>
      <c r="O188" s="87" t="s">
        <v>210</v>
      </c>
      <c r="P188" s="87" t="s">
        <v>210</v>
      </c>
      <c r="Q188" s="87">
        <v>-1</v>
      </c>
      <c r="R188" s="87" t="s">
        <v>210</v>
      </c>
      <c r="S188" s="87">
        <v>2</v>
      </c>
      <c r="T188" s="87" t="s">
        <v>210</v>
      </c>
      <c r="U188" s="87" t="s">
        <v>210</v>
      </c>
      <c r="V188" s="87" t="s">
        <v>210</v>
      </c>
      <c r="W188" s="87" t="s">
        <v>210</v>
      </c>
      <c r="X188" s="87" t="s">
        <v>210</v>
      </c>
      <c r="Y188" s="87" t="s">
        <v>210</v>
      </c>
      <c r="Z188" s="87">
        <v>2</v>
      </c>
      <c r="AA188" s="87" t="s">
        <v>210</v>
      </c>
      <c r="BA188" s="95"/>
    </row>
    <row r="189" spans="1:53" s="87" customFormat="1">
      <c r="A189" s="90" t="str">
        <f t="shared" si="27"/>
        <v/>
      </c>
      <c r="B189" s="89">
        <v>12</v>
      </c>
      <c r="C189" s="87">
        <v>1</v>
      </c>
      <c r="D189" s="87" t="s">
        <v>210</v>
      </c>
      <c r="E189" s="87">
        <v>2</v>
      </c>
      <c r="F189" s="87" t="s">
        <v>210</v>
      </c>
      <c r="G189" s="87" t="s">
        <v>210</v>
      </c>
      <c r="H189" s="87" t="s">
        <v>210</v>
      </c>
      <c r="I189" s="87" t="s">
        <v>210</v>
      </c>
      <c r="J189" s="87">
        <v>-2</v>
      </c>
      <c r="K189" s="87" t="s">
        <v>210</v>
      </c>
      <c r="L189" s="87" t="s">
        <v>210</v>
      </c>
      <c r="M189" s="87">
        <v>1</v>
      </c>
      <c r="N189" s="87" t="s">
        <v>210</v>
      </c>
      <c r="O189" s="87" t="s">
        <v>210</v>
      </c>
      <c r="P189" s="87" t="s">
        <v>210</v>
      </c>
      <c r="Q189" s="87">
        <v>2</v>
      </c>
      <c r="R189" s="87" t="s">
        <v>210</v>
      </c>
      <c r="S189" s="87">
        <v>-2</v>
      </c>
      <c r="T189" s="87" t="s">
        <v>210</v>
      </c>
      <c r="U189" s="87" t="s">
        <v>210</v>
      </c>
      <c r="V189" s="87" t="s">
        <v>210</v>
      </c>
      <c r="W189" s="87" t="s">
        <v>210</v>
      </c>
      <c r="X189" s="87">
        <v>-1</v>
      </c>
      <c r="Y189" s="87" t="s">
        <v>210</v>
      </c>
      <c r="Z189" s="87" t="s">
        <v>210</v>
      </c>
      <c r="AA189" s="87" t="s">
        <v>210</v>
      </c>
      <c r="BA189" s="95"/>
    </row>
    <row r="190" spans="1:53" s="87" customFormat="1">
      <c r="A190" s="90" t="str">
        <f t="shared" si="27"/>
        <v/>
      </c>
      <c r="B190" s="89">
        <v>13</v>
      </c>
      <c r="C190" s="87" t="s">
        <v>210</v>
      </c>
      <c r="D190" s="87">
        <v>-2</v>
      </c>
      <c r="E190" s="87" t="s">
        <v>210</v>
      </c>
      <c r="F190" s="87" t="s">
        <v>210</v>
      </c>
      <c r="G190" s="87" t="s">
        <v>210</v>
      </c>
      <c r="H190" s="87" t="s">
        <v>210</v>
      </c>
      <c r="I190" s="87">
        <v>2</v>
      </c>
      <c r="J190" s="87" t="s">
        <v>210</v>
      </c>
      <c r="K190" s="87">
        <v>-1</v>
      </c>
      <c r="L190" s="87" t="s">
        <v>210</v>
      </c>
      <c r="M190" s="87" t="s">
        <v>210</v>
      </c>
      <c r="N190" s="87">
        <v>2</v>
      </c>
      <c r="O190" s="87" t="s">
        <v>210</v>
      </c>
      <c r="P190" s="87" t="s">
        <v>210</v>
      </c>
      <c r="Q190" s="87" t="s">
        <v>210</v>
      </c>
      <c r="R190" s="87">
        <v>-1</v>
      </c>
      <c r="S190" s="87" t="s">
        <v>210</v>
      </c>
      <c r="T190" s="87" t="s">
        <v>210</v>
      </c>
      <c r="U190" s="87" t="s">
        <v>210</v>
      </c>
      <c r="V190" s="87">
        <v>-2</v>
      </c>
      <c r="W190" s="87" t="s">
        <v>210</v>
      </c>
      <c r="X190" s="87">
        <v>1</v>
      </c>
      <c r="Y190" s="87" t="s">
        <v>210</v>
      </c>
      <c r="Z190" s="87" t="s">
        <v>210</v>
      </c>
      <c r="AA190" s="87" t="s">
        <v>210</v>
      </c>
      <c r="BA190" s="95"/>
    </row>
    <row r="191" spans="1:53" s="87" customFormat="1">
      <c r="A191" s="90" t="str">
        <f t="shared" si="27"/>
        <v/>
      </c>
      <c r="B191" s="89">
        <v>14</v>
      </c>
      <c r="C191" s="87">
        <v>-2</v>
      </c>
      <c r="D191" s="87" t="s">
        <v>210</v>
      </c>
      <c r="E191" s="87" t="s">
        <v>210</v>
      </c>
      <c r="F191" s="87" t="s">
        <v>210</v>
      </c>
      <c r="G191" s="87" t="s">
        <v>210</v>
      </c>
      <c r="H191" s="87" t="s">
        <v>210</v>
      </c>
      <c r="I191" s="87">
        <v>-2</v>
      </c>
      <c r="J191" s="87" t="s">
        <v>210</v>
      </c>
      <c r="K191" s="87">
        <v>2</v>
      </c>
      <c r="L191" s="87" t="s">
        <v>210</v>
      </c>
      <c r="M191" s="87">
        <v>-1</v>
      </c>
      <c r="N191" s="87" t="s">
        <v>210</v>
      </c>
      <c r="O191" s="87" t="s">
        <v>210</v>
      </c>
      <c r="P191" s="87" t="s">
        <v>210</v>
      </c>
      <c r="Q191" s="87">
        <v>1</v>
      </c>
      <c r="R191" s="87" t="s">
        <v>210</v>
      </c>
      <c r="S191" s="87" t="s">
        <v>210</v>
      </c>
      <c r="T191" s="87" t="s">
        <v>210</v>
      </c>
      <c r="U191" s="87">
        <v>2</v>
      </c>
      <c r="V191" s="87" t="s">
        <v>210</v>
      </c>
      <c r="W191" s="87" t="s">
        <v>210</v>
      </c>
      <c r="X191" s="87" t="s">
        <v>210</v>
      </c>
      <c r="Y191" s="87">
        <v>-1</v>
      </c>
      <c r="Z191" s="87" t="s">
        <v>210</v>
      </c>
      <c r="AA191" s="87" t="s">
        <v>210</v>
      </c>
      <c r="BA191" s="95"/>
    </row>
    <row r="192" spans="1:53" s="87" customFormat="1">
      <c r="A192" s="90" t="str">
        <f t="shared" si="27"/>
        <v/>
      </c>
      <c r="B192" s="319" t="s">
        <v>1076</v>
      </c>
      <c r="BA192" s="95"/>
    </row>
    <row r="193" spans="1:53" s="87" customFormat="1">
      <c r="A193" s="90">
        <f t="shared" si="27"/>
        <v>193</v>
      </c>
      <c r="B193" s="319" t="s">
        <v>1218</v>
      </c>
      <c r="BA193" s="95"/>
    </row>
    <row r="194" spans="1:53" s="87" customFormat="1">
      <c r="A194" s="90" t="str">
        <f t="shared" si="27"/>
        <v/>
      </c>
      <c r="B194" s="89">
        <v>1</v>
      </c>
      <c r="C194" s="87">
        <v>-1</v>
      </c>
      <c r="D194" s="87" t="s">
        <v>210</v>
      </c>
      <c r="E194" s="87" t="s">
        <v>210</v>
      </c>
      <c r="F194" s="87" t="s">
        <v>210</v>
      </c>
      <c r="G194" s="87" t="s">
        <v>210</v>
      </c>
      <c r="H194" s="87" t="s">
        <v>210</v>
      </c>
      <c r="I194" s="87" t="s">
        <v>210</v>
      </c>
      <c r="J194" s="87">
        <v>-2</v>
      </c>
      <c r="K194" s="87" t="s">
        <v>210</v>
      </c>
      <c r="L194" s="87">
        <v>1</v>
      </c>
      <c r="M194" s="87" t="s">
        <v>210</v>
      </c>
      <c r="N194" s="87" t="s">
        <v>210</v>
      </c>
      <c r="O194" s="87" t="s">
        <v>210</v>
      </c>
      <c r="P194" s="87" t="s">
        <v>210</v>
      </c>
      <c r="Q194" s="87">
        <v>2</v>
      </c>
      <c r="R194" s="87" t="s">
        <v>210</v>
      </c>
      <c r="S194" s="87">
        <v>-1</v>
      </c>
      <c r="T194" s="87" t="s">
        <v>210</v>
      </c>
      <c r="U194" s="87" t="s">
        <v>210</v>
      </c>
      <c r="V194" s="87" t="s">
        <v>210</v>
      </c>
      <c r="W194" s="87" t="s">
        <v>210</v>
      </c>
      <c r="X194" s="87" t="s">
        <v>210</v>
      </c>
      <c r="Y194" s="87">
        <v>-2</v>
      </c>
      <c r="Z194" s="87" t="s">
        <v>210</v>
      </c>
      <c r="AA194" s="87" t="s">
        <v>210</v>
      </c>
      <c r="AB194" s="87" t="s">
        <v>210</v>
      </c>
      <c r="AC194" s="87" t="s">
        <v>210</v>
      </c>
      <c r="AD194" s="87">
        <v>1</v>
      </c>
      <c r="BA194" s="95"/>
    </row>
    <row r="195" spans="1:53" s="87" customFormat="1">
      <c r="A195" s="90" t="str">
        <f t="shared" si="27"/>
        <v/>
      </c>
      <c r="B195" s="89">
        <v>2</v>
      </c>
      <c r="C195" s="87" t="s">
        <v>210</v>
      </c>
      <c r="D195" s="87" t="s">
        <v>210</v>
      </c>
      <c r="E195" s="87">
        <v>-1</v>
      </c>
      <c r="F195" s="87" t="s">
        <v>210</v>
      </c>
      <c r="G195" s="87" t="s">
        <v>210</v>
      </c>
      <c r="H195" s="87">
        <v>-2</v>
      </c>
      <c r="I195" s="87" t="s">
        <v>210</v>
      </c>
      <c r="J195" s="87" t="s">
        <v>210</v>
      </c>
      <c r="K195" s="87">
        <v>1</v>
      </c>
      <c r="L195" s="87" t="s">
        <v>210</v>
      </c>
      <c r="M195" s="87" t="s">
        <v>210</v>
      </c>
      <c r="N195" s="87" t="s">
        <v>210</v>
      </c>
      <c r="O195" s="87" t="s">
        <v>210</v>
      </c>
      <c r="P195" s="87">
        <v>-2</v>
      </c>
      <c r="Q195" s="87" t="s">
        <v>210</v>
      </c>
      <c r="R195" s="87" t="s">
        <v>210</v>
      </c>
      <c r="S195" s="87" t="s">
        <v>210</v>
      </c>
      <c r="T195" s="87" t="s">
        <v>210</v>
      </c>
      <c r="U195" s="87">
        <v>1</v>
      </c>
      <c r="V195" s="87" t="s">
        <v>210</v>
      </c>
      <c r="W195" s="87">
        <v>2</v>
      </c>
      <c r="X195" s="87" t="s">
        <v>210</v>
      </c>
      <c r="Y195" s="87" t="s">
        <v>210</v>
      </c>
      <c r="Z195" s="87" t="s">
        <v>210</v>
      </c>
      <c r="AA195" s="87" t="s">
        <v>210</v>
      </c>
      <c r="AB195" s="87" t="s">
        <v>210</v>
      </c>
      <c r="AC195" s="87" t="s">
        <v>210</v>
      </c>
      <c r="AD195" s="87">
        <v>-1</v>
      </c>
      <c r="BA195" s="95"/>
    </row>
    <row r="196" spans="1:53" s="87" customFormat="1">
      <c r="A196" s="90" t="str">
        <f t="shared" si="27"/>
        <v/>
      </c>
      <c r="B196" s="89">
        <v>3</v>
      </c>
      <c r="C196" s="87">
        <v>1</v>
      </c>
      <c r="D196" s="87" t="s">
        <v>210</v>
      </c>
      <c r="E196" s="87" t="s">
        <v>210</v>
      </c>
      <c r="F196" s="87" t="s">
        <v>210</v>
      </c>
      <c r="G196" s="87" t="s">
        <v>210</v>
      </c>
      <c r="H196" s="87" t="s">
        <v>210</v>
      </c>
      <c r="I196" s="87">
        <v>-2</v>
      </c>
      <c r="J196" s="87" t="s">
        <v>210</v>
      </c>
      <c r="K196" s="87">
        <v>-1</v>
      </c>
      <c r="L196" s="87" t="s">
        <v>210</v>
      </c>
      <c r="M196" s="87" t="s">
        <v>210</v>
      </c>
      <c r="N196" s="87" t="s">
        <v>210</v>
      </c>
      <c r="O196" s="87" t="s">
        <v>210</v>
      </c>
      <c r="P196" s="87" t="s">
        <v>210</v>
      </c>
      <c r="Q196" s="87" t="s">
        <v>210</v>
      </c>
      <c r="R196" s="87">
        <v>2</v>
      </c>
      <c r="S196" s="87" t="s">
        <v>210</v>
      </c>
      <c r="T196" s="87">
        <v>-1</v>
      </c>
      <c r="U196" s="87" t="s">
        <v>210</v>
      </c>
      <c r="V196" s="87" t="s">
        <v>210</v>
      </c>
      <c r="W196" s="87" t="s">
        <v>210</v>
      </c>
      <c r="X196" s="87" t="s">
        <v>210</v>
      </c>
      <c r="Y196" s="87" t="s">
        <v>210</v>
      </c>
      <c r="Z196" s="87">
        <v>-2</v>
      </c>
      <c r="AA196" s="87" t="s">
        <v>210</v>
      </c>
      <c r="AB196" s="87" t="s">
        <v>210</v>
      </c>
      <c r="AC196" s="87">
        <v>1</v>
      </c>
      <c r="AD196" s="87" t="s">
        <v>210</v>
      </c>
      <c r="BA196" s="95"/>
    </row>
    <row r="197" spans="1:53" s="87" customFormat="1">
      <c r="A197" s="90" t="str">
        <f t="shared" si="27"/>
        <v/>
      </c>
      <c r="B197" s="89">
        <v>4</v>
      </c>
      <c r="C197" s="87" t="s">
        <v>210</v>
      </c>
      <c r="D197" s="87" t="s">
        <v>210</v>
      </c>
      <c r="E197" s="87">
        <v>1</v>
      </c>
      <c r="F197" s="87" t="s">
        <v>210</v>
      </c>
      <c r="G197" s="87">
        <v>2</v>
      </c>
      <c r="H197" s="87" t="s">
        <v>210</v>
      </c>
      <c r="I197" s="87" t="s">
        <v>210</v>
      </c>
      <c r="J197" s="87" t="s">
        <v>210</v>
      </c>
      <c r="K197" s="87" t="s">
        <v>210</v>
      </c>
      <c r="L197" s="87">
        <v>-1</v>
      </c>
      <c r="M197" s="87" t="s">
        <v>210</v>
      </c>
      <c r="N197" s="87" t="s">
        <v>210</v>
      </c>
      <c r="O197" s="87">
        <v>-2</v>
      </c>
      <c r="P197" s="87" t="s">
        <v>210</v>
      </c>
      <c r="Q197" s="87" t="s">
        <v>210</v>
      </c>
      <c r="R197" s="87" t="s">
        <v>210</v>
      </c>
      <c r="S197" s="87" t="s">
        <v>210</v>
      </c>
      <c r="T197" s="87" t="s">
        <v>210</v>
      </c>
      <c r="U197" s="87" t="s">
        <v>210</v>
      </c>
      <c r="V197" s="87">
        <v>1</v>
      </c>
      <c r="W197" s="87" t="s">
        <v>210</v>
      </c>
      <c r="X197" s="87">
        <v>2</v>
      </c>
      <c r="Y197" s="87" t="s">
        <v>210</v>
      </c>
      <c r="Z197" s="87" t="s">
        <v>210</v>
      </c>
      <c r="AA197" s="87" t="s">
        <v>210</v>
      </c>
      <c r="AB197" s="87" t="s">
        <v>210</v>
      </c>
      <c r="AC197" s="87">
        <v>-1</v>
      </c>
      <c r="AD197" s="87" t="s">
        <v>210</v>
      </c>
      <c r="BA197" s="95"/>
    </row>
    <row r="198" spans="1:53" s="87" customFormat="1">
      <c r="A198" s="90" t="str">
        <f t="shared" si="27"/>
        <v/>
      </c>
      <c r="B198" s="89">
        <v>5</v>
      </c>
      <c r="C198" s="87" t="s">
        <v>210</v>
      </c>
      <c r="D198" s="87">
        <v>1</v>
      </c>
      <c r="E198" s="87" t="s">
        <v>210</v>
      </c>
      <c r="F198" s="87" t="s">
        <v>210</v>
      </c>
      <c r="G198" s="87">
        <v>-2</v>
      </c>
      <c r="H198" s="87" t="s">
        <v>210</v>
      </c>
      <c r="I198" s="87" t="s">
        <v>210</v>
      </c>
      <c r="J198" s="87" t="s">
        <v>210</v>
      </c>
      <c r="K198" s="87" t="s">
        <v>210</v>
      </c>
      <c r="L198" s="87" t="s">
        <v>210</v>
      </c>
      <c r="M198" s="87" t="s">
        <v>210</v>
      </c>
      <c r="N198" s="87">
        <v>1</v>
      </c>
      <c r="O198" s="87" t="s">
        <v>210</v>
      </c>
      <c r="P198" s="87" t="s">
        <v>210</v>
      </c>
      <c r="Q198" s="87">
        <v>-2</v>
      </c>
      <c r="R198" s="87" t="s">
        <v>210</v>
      </c>
      <c r="S198" s="87" t="s">
        <v>210</v>
      </c>
      <c r="T198" s="87" t="s">
        <v>210</v>
      </c>
      <c r="U198" s="87">
        <v>-1</v>
      </c>
      <c r="V198" s="87" t="s">
        <v>210</v>
      </c>
      <c r="W198" s="87" t="s">
        <v>210</v>
      </c>
      <c r="X198" s="87" t="s">
        <v>210</v>
      </c>
      <c r="Y198" s="87" t="s">
        <v>210</v>
      </c>
      <c r="Z198" s="87">
        <v>2</v>
      </c>
      <c r="AA198" s="87" t="s">
        <v>210</v>
      </c>
      <c r="AB198" s="87">
        <v>-1</v>
      </c>
      <c r="AC198" s="87" t="s">
        <v>210</v>
      </c>
      <c r="AD198" s="87" t="s">
        <v>210</v>
      </c>
      <c r="BA198" s="95"/>
    </row>
    <row r="199" spans="1:53" s="87" customFormat="1">
      <c r="A199" s="90" t="str">
        <f t="shared" si="27"/>
        <v/>
      </c>
      <c r="B199" s="89">
        <v>6</v>
      </c>
      <c r="C199" s="87" t="s">
        <v>210</v>
      </c>
      <c r="D199" s="87" t="s">
        <v>210</v>
      </c>
      <c r="E199" s="87" t="s">
        <v>210</v>
      </c>
      <c r="F199" s="87">
        <v>-1</v>
      </c>
      <c r="G199" s="87" t="s">
        <v>210</v>
      </c>
      <c r="H199" s="87" t="s">
        <v>210</v>
      </c>
      <c r="I199" s="87" t="s">
        <v>210</v>
      </c>
      <c r="J199" s="87">
        <v>2</v>
      </c>
      <c r="K199" s="87" t="s">
        <v>210</v>
      </c>
      <c r="L199" s="87" t="s">
        <v>210</v>
      </c>
      <c r="M199" s="87">
        <v>-1</v>
      </c>
      <c r="N199" s="87" t="s">
        <v>210</v>
      </c>
      <c r="O199" s="87">
        <v>2</v>
      </c>
      <c r="P199" s="87" t="s">
        <v>210</v>
      </c>
      <c r="Q199" s="87" t="s">
        <v>210</v>
      </c>
      <c r="R199" s="87" t="s">
        <v>210</v>
      </c>
      <c r="S199" s="87" t="s">
        <v>210</v>
      </c>
      <c r="T199" s="87">
        <v>1</v>
      </c>
      <c r="U199" s="87" t="s">
        <v>210</v>
      </c>
      <c r="V199" s="87" t="s">
        <v>210</v>
      </c>
      <c r="W199" s="87">
        <v>-2</v>
      </c>
      <c r="X199" s="87" t="s">
        <v>210</v>
      </c>
      <c r="Y199" s="87" t="s">
        <v>210</v>
      </c>
      <c r="Z199" s="87" t="s">
        <v>210</v>
      </c>
      <c r="AA199" s="87" t="s">
        <v>210</v>
      </c>
      <c r="AB199" s="87">
        <v>1</v>
      </c>
      <c r="AC199" s="87" t="s">
        <v>210</v>
      </c>
      <c r="AD199" s="87" t="s">
        <v>210</v>
      </c>
      <c r="BA199" s="95"/>
    </row>
    <row r="200" spans="1:53" s="87" customFormat="1">
      <c r="A200" s="90" t="str">
        <f t="shared" si="27"/>
        <v/>
      </c>
      <c r="B200" s="89">
        <v>7</v>
      </c>
      <c r="C200" s="87" t="s">
        <v>210</v>
      </c>
      <c r="D200" s="87">
        <v>-1</v>
      </c>
      <c r="E200" s="87" t="s">
        <v>210</v>
      </c>
      <c r="F200" s="87" t="s">
        <v>210</v>
      </c>
      <c r="G200" s="87" t="s">
        <v>210</v>
      </c>
      <c r="H200" s="87">
        <v>2</v>
      </c>
      <c r="I200" s="87" t="s">
        <v>210</v>
      </c>
      <c r="J200" s="87" t="s">
        <v>210</v>
      </c>
      <c r="K200" s="87" t="s">
        <v>210</v>
      </c>
      <c r="L200" s="87" t="s">
        <v>210</v>
      </c>
      <c r="M200" s="87">
        <v>1</v>
      </c>
      <c r="N200" s="87" t="s">
        <v>210</v>
      </c>
      <c r="O200" s="87" t="s">
        <v>210</v>
      </c>
      <c r="P200" s="87" t="s">
        <v>210</v>
      </c>
      <c r="Q200" s="87" t="s">
        <v>210</v>
      </c>
      <c r="R200" s="87">
        <v>-2</v>
      </c>
      <c r="S200" s="87" t="s">
        <v>210</v>
      </c>
      <c r="T200" s="87" t="s">
        <v>210</v>
      </c>
      <c r="U200" s="87" t="s">
        <v>210</v>
      </c>
      <c r="V200" s="87">
        <v>-1</v>
      </c>
      <c r="W200" s="87" t="s">
        <v>210</v>
      </c>
      <c r="X200" s="87" t="s">
        <v>210</v>
      </c>
      <c r="Y200" s="87">
        <v>2</v>
      </c>
      <c r="Z200" s="87" t="s">
        <v>210</v>
      </c>
      <c r="AA200" s="87">
        <v>1</v>
      </c>
      <c r="AB200" s="87" t="s">
        <v>210</v>
      </c>
      <c r="AC200" s="87" t="s">
        <v>210</v>
      </c>
      <c r="AD200" s="87" t="s">
        <v>210</v>
      </c>
      <c r="BA200" s="95"/>
    </row>
    <row r="201" spans="1:53" s="87" customFormat="1">
      <c r="A201" s="90" t="str">
        <f t="shared" si="27"/>
        <v/>
      </c>
      <c r="B201" s="99">
        <v>8</v>
      </c>
      <c r="C201" s="233" t="s">
        <v>210</v>
      </c>
      <c r="D201" s="233" t="s">
        <v>210</v>
      </c>
      <c r="E201" s="233" t="s">
        <v>210</v>
      </c>
      <c r="F201" s="233">
        <v>1</v>
      </c>
      <c r="G201" s="233" t="s">
        <v>210</v>
      </c>
      <c r="H201" s="233" t="s">
        <v>210</v>
      </c>
      <c r="I201" s="233">
        <v>2</v>
      </c>
      <c r="J201" s="233" t="s">
        <v>210</v>
      </c>
      <c r="K201" s="233" t="s">
        <v>210</v>
      </c>
      <c r="L201" s="233" t="s">
        <v>210</v>
      </c>
      <c r="M201" s="233" t="s">
        <v>210</v>
      </c>
      <c r="N201" s="233">
        <v>-1</v>
      </c>
      <c r="O201" s="233" t="s">
        <v>210</v>
      </c>
      <c r="P201" s="233">
        <v>2</v>
      </c>
      <c r="Q201" s="233" t="s">
        <v>210</v>
      </c>
      <c r="R201" s="233" t="s">
        <v>210</v>
      </c>
      <c r="S201" s="233">
        <v>1</v>
      </c>
      <c r="T201" s="233" t="s">
        <v>210</v>
      </c>
      <c r="U201" s="233" t="s">
        <v>210</v>
      </c>
      <c r="V201" s="233" t="s">
        <v>210</v>
      </c>
      <c r="W201" s="233" t="s">
        <v>210</v>
      </c>
      <c r="X201" s="233">
        <v>-2</v>
      </c>
      <c r="Y201" s="233" t="s">
        <v>210</v>
      </c>
      <c r="Z201" s="233" t="s">
        <v>210</v>
      </c>
      <c r="AA201" s="233">
        <v>-1</v>
      </c>
      <c r="AB201" s="233" t="s">
        <v>210</v>
      </c>
      <c r="AC201" s="233" t="s">
        <v>210</v>
      </c>
      <c r="AD201" s="233" t="s">
        <v>210</v>
      </c>
      <c r="BA201" s="95"/>
    </row>
    <row r="202" spans="1:53" s="87" customFormat="1">
      <c r="A202" s="90" t="str">
        <f t="shared" si="27"/>
        <v/>
      </c>
      <c r="B202" s="89">
        <v>9</v>
      </c>
      <c r="C202" s="87">
        <v>2</v>
      </c>
      <c r="D202" s="87" t="s">
        <v>210</v>
      </c>
      <c r="E202" s="87" t="s">
        <v>210</v>
      </c>
      <c r="F202" s="87" t="s">
        <v>210</v>
      </c>
      <c r="G202" s="87" t="s">
        <v>210</v>
      </c>
      <c r="H202" s="87" t="s">
        <v>210</v>
      </c>
      <c r="I202" s="87" t="s">
        <v>210</v>
      </c>
      <c r="J202" s="87">
        <v>1</v>
      </c>
      <c r="K202" s="87" t="s">
        <v>210</v>
      </c>
      <c r="L202" s="87">
        <v>-2</v>
      </c>
      <c r="M202" s="87" t="s">
        <v>210</v>
      </c>
      <c r="N202" s="87" t="s">
        <v>210</v>
      </c>
      <c r="O202" s="87" t="s">
        <v>210</v>
      </c>
      <c r="P202" s="87" t="s">
        <v>210</v>
      </c>
      <c r="Q202" s="87">
        <v>-1</v>
      </c>
      <c r="R202" s="87" t="s">
        <v>210</v>
      </c>
      <c r="S202" s="87">
        <v>2</v>
      </c>
      <c r="T202" s="87" t="s">
        <v>210</v>
      </c>
      <c r="U202" s="87" t="s">
        <v>210</v>
      </c>
      <c r="V202" s="87" t="s">
        <v>210</v>
      </c>
      <c r="W202" s="87" t="s">
        <v>210</v>
      </c>
      <c r="X202" s="87" t="s">
        <v>210</v>
      </c>
      <c r="Y202" s="87">
        <v>1</v>
      </c>
      <c r="Z202" s="87" t="s">
        <v>210</v>
      </c>
      <c r="AA202" s="87" t="s">
        <v>210</v>
      </c>
      <c r="AB202" s="87" t="s">
        <v>210</v>
      </c>
      <c r="AC202" s="87" t="s">
        <v>210</v>
      </c>
      <c r="AD202" s="87">
        <v>-2</v>
      </c>
      <c r="BA202" s="95"/>
    </row>
    <row r="203" spans="1:53" s="87" customFormat="1">
      <c r="A203" s="90" t="str">
        <f t="shared" si="27"/>
        <v/>
      </c>
      <c r="B203" s="89">
        <v>10</v>
      </c>
      <c r="C203" s="87" t="s">
        <v>210</v>
      </c>
      <c r="D203" s="87" t="s">
        <v>210</v>
      </c>
      <c r="E203" s="87">
        <v>2</v>
      </c>
      <c r="F203" s="87" t="s">
        <v>210</v>
      </c>
      <c r="G203" s="87" t="s">
        <v>210</v>
      </c>
      <c r="H203" s="87">
        <v>1</v>
      </c>
      <c r="I203" s="87" t="s">
        <v>210</v>
      </c>
      <c r="J203" s="87" t="s">
        <v>210</v>
      </c>
      <c r="K203" s="87">
        <v>-2</v>
      </c>
      <c r="L203" s="87" t="s">
        <v>210</v>
      </c>
      <c r="M203" s="87" t="s">
        <v>210</v>
      </c>
      <c r="N203" s="87" t="s">
        <v>210</v>
      </c>
      <c r="O203" s="87" t="s">
        <v>210</v>
      </c>
      <c r="P203" s="87">
        <v>1</v>
      </c>
      <c r="Q203" s="87" t="s">
        <v>210</v>
      </c>
      <c r="R203" s="87" t="s">
        <v>210</v>
      </c>
      <c r="S203" s="87" t="s">
        <v>210</v>
      </c>
      <c r="T203" s="87" t="s">
        <v>210</v>
      </c>
      <c r="U203" s="87">
        <v>-2</v>
      </c>
      <c r="V203" s="87" t="s">
        <v>210</v>
      </c>
      <c r="W203" s="87">
        <v>-1</v>
      </c>
      <c r="X203" s="87" t="s">
        <v>210</v>
      </c>
      <c r="Y203" s="87" t="s">
        <v>210</v>
      </c>
      <c r="Z203" s="87" t="s">
        <v>210</v>
      </c>
      <c r="AA203" s="87" t="s">
        <v>210</v>
      </c>
      <c r="AB203" s="87" t="s">
        <v>210</v>
      </c>
      <c r="AC203" s="87" t="s">
        <v>210</v>
      </c>
      <c r="AD203" s="87">
        <v>2</v>
      </c>
      <c r="BA203" s="95"/>
    </row>
    <row r="204" spans="1:53" s="87" customFormat="1">
      <c r="A204" s="90" t="str">
        <f t="shared" ref="A204:A267" si="28">IF(MID(B204,3,2)="02",ROW(),"")</f>
        <v/>
      </c>
      <c r="B204" s="89">
        <v>11</v>
      </c>
      <c r="C204" s="87">
        <v>-2</v>
      </c>
      <c r="D204" s="87" t="s">
        <v>210</v>
      </c>
      <c r="E204" s="87" t="s">
        <v>210</v>
      </c>
      <c r="F204" s="87" t="s">
        <v>210</v>
      </c>
      <c r="G204" s="87" t="s">
        <v>210</v>
      </c>
      <c r="H204" s="87" t="s">
        <v>210</v>
      </c>
      <c r="I204" s="87">
        <v>1</v>
      </c>
      <c r="J204" s="87" t="s">
        <v>210</v>
      </c>
      <c r="K204" s="87">
        <v>2</v>
      </c>
      <c r="L204" s="87" t="s">
        <v>210</v>
      </c>
      <c r="M204" s="87" t="s">
        <v>210</v>
      </c>
      <c r="N204" s="87" t="s">
        <v>210</v>
      </c>
      <c r="O204" s="87" t="s">
        <v>210</v>
      </c>
      <c r="P204" s="87" t="s">
        <v>210</v>
      </c>
      <c r="Q204" s="87" t="s">
        <v>210</v>
      </c>
      <c r="R204" s="87">
        <v>-1</v>
      </c>
      <c r="S204" s="87" t="s">
        <v>210</v>
      </c>
      <c r="T204" s="87">
        <v>2</v>
      </c>
      <c r="U204" s="87" t="s">
        <v>210</v>
      </c>
      <c r="V204" s="87" t="s">
        <v>210</v>
      </c>
      <c r="W204" s="87" t="s">
        <v>210</v>
      </c>
      <c r="X204" s="87" t="s">
        <v>210</v>
      </c>
      <c r="Y204" s="87" t="s">
        <v>210</v>
      </c>
      <c r="Z204" s="87">
        <v>1</v>
      </c>
      <c r="AA204" s="87" t="s">
        <v>210</v>
      </c>
      <c r="AB204" s="87" t="s">
        <v>210</v>
      </c>
      <c r="AC204" s="87">
        <v>-2</v>
      </c>
      <c r="AD204" s="87" t="s">
        <v>210</v>
      </c>
      <c r="BA204" s="95"/>
    </row>
    <row r="205" spans="1:53" s="87" customFormat="1">
      <c r="A205" s="90" t="str">
        <f t="shared" si="28"/>
        <v/>
      </c>
      <c r="B205" s="89">
        <v>12</v>
      </c>
      <c r="C205" s="87" t="s">
        <v>210</v>
      </c>
      <c r="D205" s="87" t="s">
        <v>210</v>
      </c>
      <c r="E205" s="87">
        <v>-2</v>
      </c>
      <c r="F205" s="87" t="s">
        <v>210</v>
      </c>
      <c r="G205" s="87">
        <v>-1</v>
      </c>
      <c r="H205" s="87" t="s">
        <v>210</v>
      </c>
      <c r="I205" s="87" t="s">
        <v>210</v>
      </c>
      <c r="J205" s="87" t="s">
        <v>210</v>
      </c>
      <c r="K205" s="87" t="s">
        <v>210</v>
      </c>
      <c r="L205" s="87">
        <v>2</v>
      </c>
      <c r="M205" s="87" t="s">
        <v>210</v>
      </c>
      <c r="N205" s="87" t="s">
        <v>210</v>
      </c>
      <c r="O205" s="87">
        <v>1</v>
      </c>
      <c r="P205" s="87" t="s">
        <v>210</v>
      </c>
      <c r="Q205" s="87" t="s">
        <v>210</v>
      </c>
      <c r="R205" s="87" t="s">
        <v>210</v>
      </c>
      <c r="S205" s="87" t="s">
        <v>210</v>
      </c>
      <c r="T205" s="87" t="s">
        <v>210</v>
      </c>
      <c r="U205" s="87" t="s">
        <v>210</v>
      </c>
      <c r="V205" s="87">
        <v>-2</v>
      </c>
      <c r="W205" s="87" t="s">
        <v>210</v>
      </c>
      <c r="X205" s="87">
        <v>-1</v>
      </c>
      <c r="Y205" s="87" t="s">
        <v>210</v>
      </c>
      <c r="Z205" s="87" t="s">
        <v>210</v>
      </c>
      <c r="AA205" s="87" t="s">
        <v>210</v>
      </c>
      <c r="AB205" s="87" t="s">
        <v>210</v>
      </c>
      <c r="AC205" s="87">
        <v>2</v>
      </c>
      <c r="AD205" s="87" t="s">
        <v>210</v>
      </c>
      <c r="BA205" s="95"/>
    </row>
    <row r="206" spans="1:53" s="87" customFormat="1">
      <c r="A206" s="90" t="str">
        <f t="shared" si="28"/>
        <v/>
      </c>
      <c r="B206" s="89">
        <v>13</v>
      </c>
      <c r="C206" s="87" t="s">
        <v>210</v>
      </c>
      <c r="D206" s="87">
        <v>-2</v>
      </c>
      <c r="E206" s="87" t="s">
        <v>210</v>
      </c>
      <c r="F206" s="87" t="s">
        <v>210</v>
      </c>
      <c r="G206" s="87">
        <v>1</v>
      </c>
      <c r="H206" s="87" t="s">
        <v>210</v>
      </c>
      <c r="I206" s="87" t="s">
        <v>210</v>
      </c>
      <c r="J206" s="87" t="s">
        <v>210</v>
      </c>
      <c r="K206" s="87" t="s">
        <v>210</v>
      </c>
      <c r="L206" s="87" t="s">
        <v>210</v>
      </c>
      <c r="M206" s="87" t="s">
        <v>210</v>
      </c>
      <c r="N206" s="87">
        <v>-2</v>
      </c>
      <c r="O206" s="87" t="s">
        <v>210</v>
      </c>
      <c r="P206" s="87" t="s">
        <v>210</v>
      </c>
      <c r="Q206" s="87">
        <v>1</v>
      </c>
      <c r="R206" s="87" t="s">
        <v>210</v>
      </c>
      <c r="S206" s="87" t="s">
        <v>210</v>
      </c>
      <c r="T206" s="87" t="s">
        <v>210</v>
      </c>
      <c r="U206" s="87">
        <v>2</v>
      </c>
      <c r="V206" s="87" t="s">
        <v>210</v>
      </c>
      <c r="W206" s="87" t="s">
        <v>210</v>
      </c>
      <c r="X206" s="87" t="s">
        <v>210</v>
      </c>
      <c r="Y206" s="87" t="s">
        <v>210</v>
      </c>
      <c r="Z206" s="87">
        <v>-1</v>
      </c>
      <c r="AA206" s="87" t="s">
        <v>210</v>
      </c>
      <c r="AB206" s="87">
        <v>2</v>
      </c>
      <c r="AC206" s="87" t="s">
        <v>210</v>
      </c>
      <c r="AD206" s="87" t="s">
        <v>210</v>
      </c>
      <c r="BA206" s="95"/>
    </row>
    <row r="207" spans="1:53" s="87" customFormat="1">
      <c r="A207" s="90" t="str">
        <f t="shared" si="28"/>
        <v/>
      </c>
      <c r="B207" s="89">
        <v>14</v>
      </c>
      <c r="C207" s="87" t="s">
        <v>210</v>
      </c>
      <c r="D207" s="87" t="s">
        <v>210</v>
      </c>
      <c r="E207" s="87" t="s">
        <v>210</v>
      </c>
      <c r="F207" s="87">
        <v>2</v>
      </c>
      <c r="G207" s="87" t="s">
        <v>210</v>
      </c>
      <c r="H207" s="87" t="s">
        <v>210</v>
      </c>
      <c r="I207" s="87" t="s">
        <v>210</v>
      </c>
      <c r="J207" s="87">
        <v>-1</v>
      </c>
      <c r="K207" s="87" t="s">
        <v>210</v>
      </c>
      <c r="L207" s="87" t="s">
        <v>210</v>
      </c>
      <c r="M207" s="87">
        <v>2</v>
      </c>
      <c r="N207" s="87" t="s">
        <v>210</v>
      </c>
      <c r="O207" s="87">
        <v>-1</v>
      </c>
      <c r="P207" s="87" t="s">
        <v>210</v>
      </c>
      <c r="Q207" s="87" t="s">
        <v>210</v>
      </c>
      <c r="R207" s="87" t="s">
        <v>210</v>
      </c>
      <c r="S207" s="87" t="s">
        <v>210</v>
      </c>
      <c r="T207" s="87">
        <v>-2</v>
      </c>
      <c r="U207" s="87" t="s">
        <v>210</v>
      </c>
      <c r="V207" s="87" t="s">
        <v>210</v>
      </c>
      <c r="W207" s="87">
        <v>1</v>
      </c>
      <c r="X207" s="87" t="s">
        <v>210</v>
      </c>
      <c r="Y207" s="87" t="s">
        <v>210</v>
      </c>
      <c r="Z207" s="87" t="s">
        <v>210</v>
      </c>
      <c r="AA207" s="87" t="s">
        <v>210</v>
      </c>
      <c r="AB207" s="87">
        <v>-2</v>
      </c>
      <c r="AC207" s="87" t="s">
        <v>210</v>
      </c>
      <c r="AD207" s="87" t="s">
        <v>210</v>
      </c>
      <c r="BA207" s="95"/>
    </row>
    <row r="208" spans="1:53" s="87" customFormat="1">
      <c r="A208" s="90" t="str">
        <f t="shared" si="28"/>
        <v/>
      </c>
      <c r="B208" s="89">
        <v>15</v>
      </c>
      <c r="C208" s="87" t="s">
        <v>210</v>
      </c>
      <c r="D208" s="87">
        <v>2</v>
      </c>
      <c r="E208" s="87" t="s">
        <v>210</v>
      </c>
      <c r="F208" s="87" t="s">
        <v>210</v>
      </c>
      <c r="G208" s="87" t="s">
        <v>210</v>
      </c>
      <c r="H208" s="87">
        <v>-1</v>
      </c>
      <c r="I208" s="87" t="s">
        <v>210</v>
      </c>
      <c r="J208" s="87" t="s">
        <v>210</v>
      </c>
      <c r="K208" s="87" t="s">
        <v>210</v>
      </c>
      <c r="L208" s="87" t="s">
        <v>210</v>
      </c>
      <c r="M208" s="87">
        <v>-2</v>
      </c>
      <c r="N208" s="87" t="s">
        <v>210</v>
      </c>
      <c r="O208" s="87" t="s">
        <v>210</v>
      </c>
      <c r="P208" s="87" t="s">
        <v>210</v>
      </c>
      <c r="Q208" s="87" t="s">
        <v>210</v>
      </c>
      <c r="R208" s="87">
        <v>1</v>
      </c>
      <c r="S208" s="87" t="s">
        <v>210</v>
      </c>
      <c r="T208" s="87" t="s">
        <v>210</v>
      </c>
      <c r="U208" s="87" t="s">
        <v>210</v>
      </c>
      <c r="V208" s="87">
        <v>2</v>
      </c>
      <c r="W208" s="87" t="s">
        <v>210</v>
      </c>
      <c r="X208" s="87" t="s">
        <v>210</v>
      </c>
      <c r="Y208" s="87">
        <v>-1</v>
      </c>
      <c r="Z208" s="87" t="s">
        <v>210</v>
      </c>
      <c r="AA208" s="87">
        <v>-2</v>
      </c>
      <c r="AB208" s="87" t="s">
        <v>210</v>
      </c>
      <c r="AC208" s="87" t="s">
        <v>210</v>
      </c>
      <c r="AD208" s="87" t="s">
        <v>210</v>
      </c>
      <c r="BA208" s="95"/>
    </row>
    <row r="209" spans="1:53" s="87" customFormat="1">
      <c r="A209" s="90" t="str">
        <f t="shared" si="28"/>
        <v/>
      </c>
      <c r="B209" s="89">
        <v>16</v>
      </c>
      <c r="C209" s="87" t="s">
        <v>210</v>
      </c>
      <c r="D209" s="87" t="s">
        <v>210</v>
      </c>
      <c r="E209" s="87" t="s">
        <v>210</v>
      </c>
      <c r="F209" s="87">
        <v>-2</v>
      </c>
      <c r="G209" s="87" t="s">
        <v>210</v>
      </c>
      <c r="H209" s="87" t="s">
        <v>210</v>
      </c>
      <c r="I209" s="87">
        <v>-1</v>
      </c>
      <c r="J209" s="87" t="s">
        <v>210</v>
      </c>
      <c r="K209" s="87" t="s">
        <v>210</v>
      </c>
      <c r="L209" s="87" t="s">
        <v>210</v>
      </c>
      <c r="M209" s="87" t="s">
        <v>210</v>
      </c>
      <c r="N209" s="87">
        <v>2</v>
      </c>
      <c r="O209" s="87" t="s">
        <v>210</v>
      </c>
      <c r="P209" s="87">
        <v>-1</v>
      </c>
      <c r="Q209" s="87" t="s">
        <v>210</v>
      </c>
      <c r="R209" s="87" t="s">
        <v>210</v>
      </c>
      <c r="S209" s="87">
        <v>-2</v>
      </c>
      <c r="T209" s="87" t="s">
        <v>210</v>
      </c>
      <c r="U209" s="87" t="s">
        <v>210</v>
      </c>
      <c r="V209" s="87" t="s">
        <v>210</v>
      </c>
      <c r="W209" s="87" t="s">
        <v>210</v>
      </c>
      <c r="X209" s="87">
        <v>1</v>
      </c>
      <c r="Y209" s="87" t="s">
        <v>210</v>
      </c>
      <c r="Z209" s="87" t="s">
        <v>210</v>
      </c>
      <c r="AA209" s="87">
        <v>2</v>
      </c>
      <c r="AB209" s="87" t="s">
        <v>210</v>
      </c>
      <c r="AC209" s="87" t="s">
        <v>210</v>
      </c>
      <c r="AD209" s="87" t="s">
        <v>210</v>
      </c>
      <c r="BA209" s="95"/>
    </row>
    <row r="210" spans="1:53" s="87" customFormat="1">
      <c r="A210" s="90" t="str">
        <f t="shared" si="28"/>
        <v/>
      </c>
      <c r="B210" s="319" t="s">
        <v>1077</v>
      </c>
      <c r="BA210" s="95"/>
    </row>
    <row r="211" spans="1:53" s="87" customFormat="1">
      <c r="A211" s="90">
        <f t="shared" si="28"/>
        <v>211</v>
      </c>
      <c r="B211" s="319" t="s">
        <v>1220</v>
      </c>
      <c r="BA211" s="95"/>
    </row>
    <row r="212" spans="1:53" s="87" customFormat="1">
      <c r="A212" s="90" t="str">
        <f t="shared" si="28"/>
        <v/>
      </c>
      <c r="B212" s="89">
        <v>1</v>
      </c>
      <c r="C212" s="87" t="s">
        <v>210</v>
      </c>
      <c r="D212" s="87">
        <v>-1</v>
      </c>
      <c r="E212" s="87" t="s">
        <v>210</v>
      </c>
      <c r="F212" s="87">
        <v>1</v>
      </c>
      <c r="G212" s="87" t="s">
        <v>210</v>
      </c>
      <c r="H212" s="87" t="s">
        <v>210</v>
      </c>
      <c r="I212" s="87" t="s">
        <v>210</v>
      </c>
      <c r="J212" s="87" t="s">
        <v>210</v>
      </c>
      <c r="K212" s="87" t="s">
        <v>210</v>
      </c>
      <c r="L212" s="87" t="s">
        <v>210</v>
      </c>
      <c r="M212" s="87" t="s">
        <v>210</v>
      </c>
      <c r="N212" s="87" t="s">
        <v>210</v>
      </c>
      <c r="O212" s="87">
        <v>-2</v>
      </c>
      <c r="P212" s="87" t="s">
        <v>210</v>
      </c>
      <c r="Q212" s="87" t="s">
        <v>210</v>
      </c>
      <c r="R212" s="87" t="s">
        <v>210</v>
      </c>
      <c r="S212" s="87" t="s">
        <v>210</v>
      </c>
      <c r="T212" s="87">
        <v>2</v>
      </c>
      <c r="U212" s="87" t="s">
        <v>210</v>
      </c>
      <c r="V212" s="87" t="s">
        <v>210</v>
      </c>
      <c r="W212" s="87" t="s">
        <v>210</v>
      </c>
      <c r="X212" s="87" t="s">
        <v>210</v>
      </c>
      <c r="Y212" s="87">
        <v>1</v>
      </c>
      <c r="BA212" s="95"/>
    </row>
    <row r="213" spans="1:53" s="87" customFormat="1">
      <c r="A213" s="90" t="str">
        <f t="shared" si="28"/>
        <v/>
      </c>
      <c r="B213" s="89">
        <v>2</v>
      </c>
      <c r="C213" s="87" t="s">
        <v>210</v>
      </c>
      <c r="D213" s="87" t="s">
        <v>210</v>
      </c>
      <c r="E213" s="87" t="s">
        <v>210</v>
      </c>
      <c r="F213" s="87">
        <v>-2</v>
      </c>
      <c r="G213" s="87" t="s">
        <v>210</v>
      </c>
      <c r="H213" s="87" t="s">
        <v>210</v>
      </c>
      <c r="I213" s="87" t="s">
        <v>210</v>
      </c>
      <c r="J213" s="87" t="s">
        <v>210</v>
      </c>
      <c r="K213" s="87" t="s">
        <v>210</v>
      </c>
      <c r="L213" s="87">
        <v>1</v>
      </c>
      <c r="M213" s="87" t="s">
        <v>210</v>
      </c>
      <c r="N213" s="87" t="s">
        <v>210</v>
      </c>
      <c r="O213" s="87" t="s">
        <v>210</v>
      </c>
      <c r="P213" s="87" t="s">
        <v>210</v>
      </c>
      <c r="Q213" s="87">
        <v>-2</v>
      </c>
      <c r="R213" s="87" t="s">
        <v>210</v>
      </c>
      <c r="S213" s="87">
        <v>2</v>
      </c>
      <c r="T213" s="87" t="s">
        <v>210</v>
      </c>
      <c r="U213" s="87" t="s">
        <v>210</v>
      </c>
      <c r="V213" s="87" t="s">
        <v>210</v>
      </c>
      <c r="W213" s="87" t="s">
        <v>210</v>
      </c>
      <c r="X213" s="87" t="s">
        <v>210</v>
      </c>
      <c r="Y213" s="87">
        <v>-1</v>
      </c>
      <c r="BA213" s="95"/>
    </row>
    <row r="214" spans="1:53" s="87" customFormat="1">
      <c r="A214" s="90" t="str">
        <f t="shared" si="28"/>
        <v/>
      </c>
      <c r="B214" s="89">
        <v>3</v>
      </c>
      <c r="C214" s="87" t="s">
        <v>210</v>
      </c>
      <c r="D214" s="87" t="s">
        <v>210</v>
      </c>
      <c r="E214" s="87" t="s">
        <v>210</v>
      </c>
      <c r="F214" s="87">
        <v>-1</v>
      </c>
      <c r="G214" s="87" t="s">
        <v>210</v>
      </c>
      <c r="H214" s="87" t="s">
        <v>210</v>
      </c>
      <c r="I214" s="87" t="s">
        <v>210</v>
      </c>
      <c r="J214" s="87" t="s">
        <v>210</v>
      </c>
      <c r="K214" s="87" t="s">
        <v>210</v>
      </c>
      <c r="L214" s="87" t="s">
        <v>210</v>
      </c>
      <c r="M214" s="87">
        <v>-2</v>
      </c>
      <c r="N214" s="87" t="s">
        <v>210</v>
      </c>
      <c r="O214" s="87" t="s">
        <v>210</v>
      </c>
      <c r="P214" s="87" t="s">
        <v>210</v>
      </c>
      <c r="Q214" s="87">
        <v>2</v>
      </c>
      <c r="R214" s="87" t="s">
        <v>210</v>
      </c>
      <c r="S214" s="87" t="s">
        <v>210</v>
      </c>
      <c r="T214" s="87">
        <v>1</v>
      </c>
      <c r="U214" s="87" t="s">
        <v>210</v>
      </c>
      <c r="V214" s="87" t="s">
        <v>210</v>
      </c>
      <c r="W214" s="87">
        <v>-1</v>
      </c>
      <c r="X214" s="87" t="s">
        <v>210</v>
      </c>
      <c r="Y214" s="87" t="s">
        <v>210</v>
      </c>
      <c r="BA214" s="95"/>
    </row>
    <row r="215" spans="1:53" s="87" customFormat="1">
      <c r="A215" s="90" t="str">
        <f t="shared" si="28"/>
        <v/>
      </c>
      <c r="B215" s="89">
        <v>4</v>
      </c>
      <c r="C215" s="87">
        <v>-1</v>
      </c>
      <c r="D215" s="87" t="s">
        <v>210</v>
      </c>
      <c r="E215" s="87" t="s">
        <v>210</v>
      </c>
      <c r="F215" s="87">
        <v>2</v>
      </c>
      <c r="G215" s="87" t="s">
        <v>210</v>
      </c>
      <c r="H215" s="87" t="s">
        <v>210</v>
      </c>
      <c r="I215" s="87" t="s">
        <v>210</v>
      </c>
      <c r="J215" s="87" t="s">
        <v>210</v>
      </c>
      <c r="K215" s="87" t="s">
        <v>210</v>
      </c>
      <c r="L215" s="87" t="s">
        <v>210</v>
      </c>
      <c r="M215" s="87" t="s">
        <v>210</v>
      </c>
      <c r="N215" s="87" t="s">
        <v>210</v>
      </c>
      <c r="O215" s="87" t="s">
        <v>210</v>
      </c>
      <c r="P215" s="87" t="s">
        <v>210</v>
      </c>
      <c r="Q215" s="87">
        <v>1</v>
      </c>
      <c r="R215" s="87" t="s">
        <v>210</v>
      </c>
      <c r="S215" s="87" t="s">
        <v>210</v>
      </c>
      <c r="T215" s="87">
        <v>-2</v>
      </c>
      <c r="U215" s="87" t="s">
        <v>210</v>
      </c>
      <c r="V215" s="87" t="s">
        <v>210</v>
      </c>
      <c r="W215" s="87">
        <v>1</v>
      </c>
      <c r="X215" s="87" t="s">
        <v>210</v>
      </c>
      <c r="Y215" s="87" t="s">
        <v>210</v>
      </c>
      <c r="BA215" s="95"/>
    </row>
    <row r="216" spans="1:53" s="87" customFormat="1">
      <c r="A216" s="90" t="str">
        <f t="shared" si="28"/>
        <v/>
      </c>
      <c r="B216" s="89">
        <v>5</v>
      </c>
      <c r="C216" s="87">
        <v>1</v>
      </c>
      <c r="D216" s="87" t="s">
        <v>210</v>
      </c>
      <c r="E216" s="87" t="s">
        <v>210</v>
      </c>
      <c r="F216" s="87" t="s">
        <v>210</v>
      </c>
      <c r="G216" s="87" t="s">
        <v>210</v>
      </c>
      <c r="H216" s="87" t="s">
        <v>210</v>
      </c>
      <c r="I216" s="87" t="s">
        <v>210</v>
      </c>
      <c r="J216" s="87" t="s">
        <v>210</v>
      </c>
      <c r="K216" s="87" t="s">
        <v>210</v>
      </c>
      <c r="L216" s="87">
        <v>-1</v>
      </c>
      <c r="M216" s="87" t="s">
        <v>210</v>
      </c>
      <c r="N216" s="87" t="s">
        <v>210</v>
      </c>
      <c r="O216" s="87">
        <v>2</v>
      </c>
      <c r="P216" s="87" t="s">
        <v>210</v>
      </c>
      <c r="Q216" s="87" t="s">
        <v>210</v>
      </c>
      <c r="R216" s="87" t="s">
        <v>210</v>
      </c>
      <c r="S216" s="87" t="s">
        <v>210</v>
      </c>
      <c r="T216" s="87">
        <v>-1</v>
      </c>
      <c r="U216" s="87" t="s">
        <v>210</v>
      </c>
      <c r="V216" s="87">
        <v>-2</v>
      </c>
      <c r="W216" s="87" t="s">
        <v>210</v>
      </c>
      <c r="X216" s="87" t="s">
        <v>210</v>
      </c>
      <c r="Y216" s="87" t="s">
        <v>210</v>
      </c>
      <c r="BA216" s="95"/>
    </row>
    <row r="217" spans="1:53" s="87" customFormat="1">
      <c r="A217" s="90" t="str">
        <f t="shared" si="28"/>
        <v/>
      </c>
      <c r="B217" s="99">
        <v>6</v>
      </c>
      <c r="C217" s="233" t="s">
        <v>210</v>
      </c>
      <c r="D217" s="233">
        <v>1</v>
      </c>
      <c r="E217" s="233" t="s">
        <v>210</v>
      </c>
      <c r="F217" s="233" t="s">
        <v>210</v>
      </c>
      <c r="G217" s="233" t="s">
        <v>210</v>
      </c>
      <c r="H217" s="233" t="s">
        <v>210</v>
      </c>
      <c r="I217" s="233" t="s">
        <v>210</v>
      </c>
      <c r="J217" s="233" t="s">
        <v>210</v>
      </c>
      <c r="K217" s="233" t="s">
        <v>210</v>
      </c>
      <c r="L217" s="233" t="s">
        <v>210</v>
      </c>
      <c r="M217" s="233">
        <v>2</v>
      </c>
      <c r="N217" s="233" t="s">
        <v>210</v>
      </c>
      <c r="O217" s="233" t="s">
        <v>210</v>
      </c>
      <c r="P217" s="233" t="s">
        <v>210</v>
      </c>
      <c r="Q217" s="233">
        <v>-1</v>
      </c>
      <c r="R217" s="233" t="s">
        <v>210</v>
      </c>
      <c r="S217" s="233">
        <v>-2</v>
      </c>
      <c r="T217" s="233" t="s">
        <v>210</v>
      </c>
      <c r="U217" s="233" t="s">
        <v>210</v>
      </c>
      <c r="V217" s="233">
        <v>2</v>
      </c>
      <c r="W217" s="233" t="s">
        <v>210</v>
      </c>
      <c r="X217" s="233" t="s">
        <v>210</v>
      </c>
      <c r="Y217" s="233" t="s">
        <v>210</v>
      </c>
      <c r="BA217" s="95"/>
    </row>
    <row r="218" spans="1:53" s="87" customFormat="1">
      <c r="A218" s="90" t="str">
        <f t="shared" si="28"/>
        <v/>
      </c>
      <c r="B218" s="89">
        <v>7</v>
      </c>
      <c r="C218" s="87" t="s">
        <v>210</v>
      </c>
      <c r="D218" s="87">
        <v>2</v>
      </c>
      <c r="E218" s="87" t="s">
        <v>210</v>
      </c>
      <c r="F218" s="87" t="s">
        <v>210</v>
      </c>
      <c r="G218" s="87" t="s">
        <v>210</v>
      </c>
      <c r="H218" s="87">
        <v>1</v>
      </c>
      <c r="I218" s="87" t="s">
        <v>210</v>
      </c>
      <c r="J218" s="87" t="s">
        <v>210</v>
      </c>
      <c r="K218" s="87" t="s">
        <v>210</v>
      </c>
      <c r="L218" s="87" t="s">
        <v>210</v>
      </c>
      <c r="M218" s="87" t="s">
        <v>210</v>
      </c>
      <c r="N218" s="87">
        <v>-2</v>
      </c>
      <c r="O218" s="87" t="s">
        <v>210</v>
      </c>
      <c r="P218" s="87" t="s">
        <v>210</v>
      </c>
      <c r="Q218" s="87" t="s">
        <v>210</v>
      </c>
      <c r="R218" s="87" t="s">
        <v>210</v>
      </c>
      <c r="S218" s="87" t="s">
        <v>210</v>
      </c>
      <c r="T218" s="87" t="s">
        <v>210</v>
      </c>
      <c r="U218" s="87">
        <v>-1</v>
      </c>
      <c r="V218" s="87" t="s">
        <v>210</v>
      </c>
      <c r="W218" s="87" t="s">
        <v>210</v>
      </c>
      <c r="X218" s="87" t="s">
        <v>210</v>
      </c>
      <c r="Y218" s="87">
        <v>-2</v>
      </c>
      <c r="BA218" s="95"/>
    </row>
    <row r="219" spans="1:53" s="87" customFormat="1">
      <c r="A219" s="90" t="str">
        <f t="shared" si="28"/>
        <v/>
      </c>
      <c r="B219" s="89">
        <v>8</v>
      </c>
      <c r="C219" s="87">
        <v>-2</v>
      </c>
      <c r="D219" s="87" t="s">
        <v>210</v>
      </c>
      <c r="E219" s="87" t="s">
        <v>210</v>
      </c>
      <c r="F219" s="87" t="s">
        <v>210</v>
      </c>
      <c r="G219" s="87" t="s">
        <v>210</v>
      </c>
      <c r="H219" s="87">
        <v>2</v>
      </c>
      <c r="I219" s="87" t="s">
        <v>210</v>
      </c>
      <c r="J219" s="87">
        <v>-1</v>
      </c>
      <c r="K219" s="87" t="s">
        <v>210</v>
      </c>
      <c r="L219" s="87" t="s">
        <v>210</v>
      </c>
      <c r="M219" s="87" t="s">
        <v>210</v>
      </c>
      <c r="N219" s="87" t="s">
        <v>210</v>
      </c>
      <c r="O219" s="87" t="s">
        <v>210</v>
      </c>
      <c r="P219" s="87" t="s">
        <v>210</v>
      </c>
      <c r="Q219" s="87" t="s">
        <v>210</v>
      </c>
      <c r="R219" s="87" t="s">
        <v>210</v>
      </c>
      <c r="S219" s="87">
        <v>1</v>
      </c>
      <c r="T219" s="87" t="s">
        <v>210</v>
      </c>
      <c r="U219" s="87" t="s">
        <v>210</v>
      </c>
      <c r="V219" s="87" t="s">
        <v>210</v>
      </c>
      <c r="W219" s="87" t="s">
        <v>210</v>
      </c>
      <c r="X219" s="87" t="s">
        <v>210</v>
      </c>
      <c r="Y219" s="87">
        <v>2</v>
      </c>
      <c r="BA219" s="95"/>
    </row>
    <row r="220" spans="1:53" s="87" customFormat="1">
      <c r="A220" s="90" t="str">
        <f t="shared" si="28"/>
        <v/>
      </c>
      <c r="B220" s="89">
        <v>9</v>
      </c>
      <c r="C220" s="87">
        <v>2</v>
      </c>
      <c r="D220" s="87" t="s">
        <v>210</v>
      </c>
      <c r="E220" s="87" t="s">
        <v>210</v>
      </c>
      <c r="F220" s="87" t="s">
        <v>210</v>
      </c>
      <c r="G220" s="87" t="s">
        <v>210</v>
      </c>
      <c r="H220" s="87">
        <v>-1</v>
      </c>
      <c r="I220" s="87" t="s">
        <v>210</v>
      </c>
      <c r="J220" s="87" t="s">
        <v>210</v>
      </c>
      <c r="K220" s="87" t="s">
        <v>210</v>
      </c>
      <c r="L220" s="87" t="s">
        <v>210</v>
      </c>
      <c r="M220" s="87" t="s">
        <v>210</v>
      </c>
      <c r="N220" s="87">
        <v>1</v>
      </c>
      <c r="O220" s="87" t="s">
        <v>210</v>
      </c>
      <c r="P220" s="87" t="s">
        <v>210</v>
      </c>
      <c r="Q220" s="87" t="s">
        <v>210</v>
      </c>
      <c r="R220" s="87" t="s">
        <v>210</v>
      </c>
      <c r="S220" s="87" t="s">
        <v>210</v>
      </c>
      <c r="T220" s="87" t="s">
        <v>210</v>
      </c>
      <c r="U220" s="87">
        <v>-2</v>
      </c>
      <c r="V220" s="87" t="s">
        <v>210</v>
      </c>
      <c r="W220" s="87" t="s">
        <v>210</v>
      </c>
      <c r="X220" s="87">
        <v>-1</v>
      </c>
      <c r="Y220" s="87" t="s">
        <v>210</v>
      </c>
      <c r="BA220" s="95"/>
    </row>
    <row r="221" spans="1:53" s="87" customFormat="1">
      <c r="A221" s="90" t="str">
        <f t="shared" si="28"/>
        <v/>
      </c>
      <c r="B221" s="89">
        <v>10</v>
      </c>
      <c r="C221" s="87" t="s">
        <v>210</v>
      </c>
      <c r="D221" s="87" t="s">
        <v>210</v>
      </c>
      <c r="E221" s="87" t="s">
        <v>210</v>
      </c>
      <c r="F221" s="87" t="s">
        <v>210</v>
      </c>
      <c r="G221" s="87">
        <v>1</v>
      </c>
      <c r="H221" s="87" t="s">
        <v>210</v>
      </c>
      <c r="I221" s="87" t="s">
        <v>210</v>
      </c>
      <c r="J221" s="87" t="s">
        <v>210</v>
      </c>
      <c r="K221" s="87" t="s">
        <v>210</v>
      </c>
      <c r="L221" s="87">
        <v>-2</v>
      </c>
      <c r="M221" s="87" t="s">
        <v>210</v>
      </c>
      <c r="N221" s="87">
        <v>2</v>
      </c>
      <c r="O221" s="87" t="s">
        <v>210</v>
      </c>
      <c r="P221" s="87" t="s">
        <v>210</v>
      </c>
      <c r="Q221" s="87" t="s">
        <v>210</v>
      </c>
      <c r="R221" s="87" t="s">
        <v>210</v>
      </c>
      <c r="S221" s="87">
        <v>-1</v>
      </c>
      <c r="T221" s="87" t="s">
        <v>210</v>
      </c>
      <c r="U221" s="87" t="s">
        <v>210</v>
      </c>
      <c r="V221" s="87" t="s">
        <v>210</v>
      </c>
      <c r="W221" s="87" t="s">
        <v>210</v>
      </c>
      <c r="X221" s="87">
        <v>1</v>
      </c>
      <c r="Y221" s="87" t="s">
        <v>210</v>
      </c>
      <c r="BA221" s="95"/>
    </row>
    <row r="222" spans="1:53" s="87" customFormat="1">
      <c r="A222" s="90" t="str">
        <f t="shared" si="28"/>
        <v/>
      </c>
      <c r="B222" s="89">
        <v>11</v>
      </c>
      <c r="C222" s="87" t="s">
        <v>210</v>
      </c>
      <c r="D222" s="87" t="s">
        <v>210</v>
      </c>
      <c r="E222" s="87" t="s">
        <v>210</v>
      </c>
      <c r="F222" s="87" t="s">
        <v>210</v>
      </c>
      <c r="G222" s="87" t="s">
        <v>210</v>
      </c>
      <c r="H222" s="87">
        <v>-2</v>
      </c>
      <c r="I222" s="87" t="s">
        <v>210</v>
      </c>
      <c r="J222" s="87" t="s">
        <v>210</v>
      </c>
      <c r="K222" s="87" t="s">
        <v>210</v>
      </c>
      <c r="L222" s="87">
        <v>2</v>
      </c>
      <c r="M222" s="87" t="s">
        <v>210</v>
      </c>
      <c r="N222" s="87">
        <v>-1</v>
      </c>
      <c r="O222" s="87" t="s">
        <v>210</v>
      </c>
      <c r="P222" s="87" t="s">
        <v>210</v>
      </c>
      <c r="Q222" s="87" t="s">
        <v>210</v>
      </c>
      <c r="R222" s="87" t="s">
        <v>210</v>
      </c>
      <c r="S222" s="87" t="s">
        <v>210</v>
      </c>
      <c r="T222" s="87" t="s">
        <v>210</v>
      </c>
      <c r="U222" s="87">
        <v>1</v>
      </c>
      <c r="V222" s="87" t="s">
        <v>210</v>
      </c>
      <c r="W222" s="87">
        <v>2</v>
      </c>
      <c r="X222" s="87" t="s">
        <v>210</v>
      </c>
      <c r="Y222" s="87" t="s">
        <v>210</v>
      </c>
      <c r="BA222" s="95"/>
    </row>
    <row r="223" spans="1:53" s="87" customFormat="1">
      <c r="A223" s="90" t="str">
        <f t="shared" si="28"/>
        <v/>
      </c>
      <c r="B223" s="99">
        <v>12</v>
      </c>
      <c r="C223" s="233" t="s">
        <v>210</v>
      </c>
      <c r="D223" s="233">
        <v>-2</v>
      </c>
      <c r="E223" s="233" t="s">
        <v>210</v>
      </c>
      <c r="F223" s="233" t="s">
        <v>210</v>
      </c>
      <c r="G223" s="233">
        <v>-1</v>
      </c>
      <c r="H223" s="233" t="s">
        <v>210</v>
      </c>
      <c r="I223" s="233" t="s">
        <v>210</v>
      </c>
      <c r="J223" s="233">
        <v>1</v>
      </c>
      <c r="K223" s="233" t="s">
        <v>210</v>
      </c>
      <c r="L223" s="233" t="s">
        <v>210</v>
      </c>
      <c r="M223" s="233" t="s">
        <v>210</v>
      </c>
      <c r="N223" s="233" t="s">
        <v>210</v>
      </c>
      <c r="O223" s="233" t="s">
        <v>210</v>
      </c>
      <c r="P223" s="233" t="s">
        <v>210</v>
      </c>
      <c r="Q223" s="233" t="s">
        <v>210</v>
      </c>
      <c r="R223" s="233" t="s">
        <v>210</v>
      </c>
      <c r="S223" s="233" t="s">
        <v>210</v>
      </c>
      <c r="T223" s="233" t="s">
        <v>210</v>
      </c>
      <c r="U223" s="233">
        <v>2</v>
      </c>
      <c r="V223" s="233" t="s">
        <v>210</v>
      </c>
      <c r="W223" s="233">
        <v>-2</v>
      </c>
      <c r="X223" s="233" t="s">
        <v>210</v>
      </c>
      <c r="Y223" s="233" t="s">
        <v>210</v>
      </c>
      <c r="BA223" s="95"/>
    </row>
    <row r="224" spans="1:53" s="87" customFormat="1">
      <c r="A224" s="90" t="str">
        <f t="shared" si="28"/>
        <v/>
      </c>
      <c r="B224" s="89">
        <v>13</v>
      </c>
      <c r="C224" s="87" t="s">
        <v>210</v>
      </c>
      <c r="D224" s="87" t="s">
        <v>210</v>
      </c>
      <c r="E224" s="87" t="s">
        <v>210</v>
      </c>
      <c r="F224" s="87" t="s">
        <v>210</v>
      </c>
      <c r="G224" s="87" t="s">
        <v>210</v>
      </c>
      <c r="H224" s="87" t="s">
        <v>210</v>
      </c>
      <c r="I224" s="87">
        <v>2</v>
      </c>
      <c r="J224" s="87" t="s">
        <v>210</v>
      </c>
      <c r="K224" s="87" t="s">
        <v>210</v>
      </c>
      <c r="L224" s="87" t="s">
        <v>210</v>
      </c>
      <c r="M224" s="87">
        <v>-1</v>
      </c>
      <c r="N224" s="87" t="s">
        <v>210</v>
      </c>
      <c r="O224" s="87">
        <v>1</v>
      </c>
      <c r="P224" s="87" t="s">
        <v>210</v>
      </c>
      <c r="Q224" s="87" t="s">
        <v>210</v>
      </c>
      <c r="R224" s="87">
        <v>2</v>
      </c>
      <c r="S224" s="87" t="s">
        <v>210</v>
      </c>
      <c r="T224" s="87" t="s">
        <v>210</v>
      </c>
      <c r="U224" s="87" t="s">
        <v>210</v>
      </c>
      <c r="V224" s="87" t="s">
        <v>210</v>
      </c>
      <c r="W224" s="87" t="s">
        <v>210</v>
      </c>
      <c r="X224" s="87">
        <v>-2</v>
      </c>
      <c r="Y224" s="87" t="s">
        <v>210</v>
      </c>
      <c r="BA224" s="95"/>
    </row>
    <row r="225" spans="1:53" s="87" customFormat="1">
      <c r="A225" s="90" t="str">
        <f t="shared" si="28"/>
        <v/>
      </c>
      <c r="B225" s="89">
        <v>14</v>
      </c>
      <c r="C225" s="87" t="s">
        <v>210</v>
      </c>
      <c r="D225" s="87" t="s">
        <v>210</v>
      </c>
      <c r="E225" s="87" t="s">
        <v>210</v>
      </c>
      <c r="F225" s="87" t="s">
        <v>210</v>
      </c>
      <c r="G225" s="87" t="s">
        <v>210</v>
      </c>
      <c r="H225" s="87" t="s">
        <v>210</v>
      </c>
      <c r="I225" s="87">
        <v>1</v>
      </c>
      <c r="J225" s="87" t="s">
        <v>210</v>
      </c>
      <c r="K225" s="87">
        <v>-1</v>
      </c>
      <c r="L225" s="87" t="s">
        <v>210</v>
      </c>
      <c r="M225" s="87" t="s">
        <v>210</v>
      </c>
      <c r="N225" s="87" t="s">
        <v>210</v>
      </c>
      <c r="O225" s="87" t="s">
        <v>210</v>
      </c>
      <c r="P225" s="87">
        <v>-2</v>
      </c>
      <c r="Q225" s="87" t="s">
        <v>210</v>
      </c>
      <c r="R225" s="87">
        <v>1</v>
      </c>
      <c r="S225" s="87" t="s">
        <v>210</v>
      </c>
      <c r="T225" s="87" t="s">
        <v>210</v>
      </c>
      <c r="U225" s="87" t="s">
        <v>210</v>
      </c>
      <c r="V225" s="87" t="s">
        <v>210</v>
      </c>
      <c r="W225" s="87" t="s">
        <v>210</v>
      </c>
      <c r="X225" s="87">
        <v>2</v>
      </c>
      <c r="Y225" s="87" t="s">
        <v>210</v>
      </c>
      <c r="BA225" s="95"/>
    </row>
    <row r="226" spans="1:53" s="87" customFormat="1">
      <c r="A226" s="90" t="str">
        <f t="shared" si="28"/>
        <v/>
      </c>
      <c r="B226" s="89">
        <v>15</v>
      </c>
      <c r="C226" s="87" t="s">
        <v>210</v>
      </c>
      <c r="D226" s="87" t="s">
        <v>210</v>
      </c>
      <c r="E226" s="87">
        <v>1</v>
      </c>
      <c r="F226" s="87" t="s">
        <v>210</v>
      </c>
      <c r="G226" s="87">
        <v>-2</v>
      </c>
      <c r="H226" s="87" t="s">
        <v>210</v>
      </c>
      <c r="I226" s="87" t="s">
        <v>210</v>
      </c>
      <c r="J226" s="87" t="s">
        <v>210</v>
      </c>
      <c r="K226" s="87" t="s">
        <v>210</v>
      </c>
      <c r="L226" s="87" t="s">
        <v>210</v>
      </c>
      <c r="M226" s="87">
        <v>1</v>
      </c>
      <c r="N226" s="87" t="s">
        <v>210</v>
      </c>
      <c r="O226" s="87" t="s">
        <v>210</v>
      </c>
      <c r="P226" s="87">
        <v>2</v>
      </c>
      <c r="Q226" s="87" t="s">
        <v>210</v>
      </c>
      <c r="R226" s="87" t="s">
        <v>210</v>
      </c>
      <c r="S226" s="87" t="s">
        <v>210</v>
      </c>
      <c r="T226" s="87" t="s">
        <v>210</v>
      </c>
      <c r="U226" s="87" t="s">
        <v>210</v>
      </c>
      <c r="V226" s="87">
        <v>-1</v>
      </c>
      <c r="W226" s="87" t="s">
        <v>210</v>
      </c>
      <c r="X226" s="87" t="s">
        <v>210</v>
      </c>
      <c r="Y226" s="87" t="s">
        <v>210</v>
      </c>
      <c r="BA226" s="95"/>
    </row>
    <row r="227" spans="1:53" s="87" customFormat="1">
      <c r="A227" s="90" t="str">
        <f t="shared" si="28"/>
        <v/>
      </c>
      <c r="B227" s="89">
        <v>16</v>
      </c>
      <c r="C227" s="87" t="s">
        <v>210</v>
      </c>
      <c r="D227" s="87" t="s">
        <v>210</v>
      </c>
      <c r="E227" s="87">
        <v>2</v>
      </c>
      <c r="F227" s="87" t="s">
        <v>210</v>
      </c>
      <c r="G227" s="87" t="s">
        <v>210</v>
      </c>
      <c r="H227" s="87" t="s">
        <v>210</v>
      </c>
      <c r="I227" s="87">
        <v>-1</v>
      </c>
      <c r="J227" s="87" t="s">
        <v>210</v>
      </c>
      <c r="K227" s="87">
        <v>-2</v>
      </c>
      <c r="L227" s="87" t="s">
        <v>210</v>
      </c>
      <c r="M227" s="87" t="s">
        <v>210</v>
      </c>
      <c r="N227" s="87" t="s">
        <v>210</v>
      </c>
      <c r="O227" s="87">
        <v>-1</v>
      </c>
      <c r="P227" s="87" t="s">
        <v>210</v>
      </c>
      <c r="Q227" s="87" t="s">
        <v>210</v>
      </c>
      <c r="R227" s="87" t="s">
        <v>210</v>
      </c>
      <c r="S227" s="87" t="s">
        <v>210</v>
      </c>
      <c r="T227" s="87" t="s">
        <v>210</v>
      </c>
      <c r="U227" s="87" t="s">
        <v>210</v>
      </c>
      <c r="V227" s="87">
        <v>1</v>
      </c>
      <c r="W227" s="87" t="s">
        <v>210</v>
      </c>
      <c r="X227" s="87" t="s">
        <v>210</v>
      </c>
      <c r="Y227" s="87" t="s">
        <v>210</v>
      </c>
      <c r="BA227" s="95"/>
    </row>
    <row r="228" spans="1:53" s="87" customFormat="1">
      <c r="A228" s="90" t="str">
        <f t="shared" si="28"/>
        <v/>
      </c>
      <c r="B228" s="89">
        <v>17</v>
      </c>
      <c r="C228" s="87" t="s">
        <v>210</v>
      </c>
      <c r="D228" s="87" t="s">
        <v>210</v>
      </c>
      <c r="E228" s="87">
        <v>-2</v>
      </c>
      <c r="F228" s="87" t="s">
        <v>210</v>
      </c>
      <c r="G228" s="87">
        <v>2</v>
      </c>
      <c r="H228" s="87" t="s">
        <v>210</v>
      </c>
      <c r="I228" s="87" t="s">
        <v>210</v>
      </c>
      <c r="J228" s="87" t="s">
        <v>210</v>
      </c>
      <c r="K228" s="87">
        <v>1</v>
      </c>
      <c r="L228" s="87" t="s">
        <v>210</v>
      </c>
      <c r="M228" s="87" t="s">
        <v>210</v>
      </c>
      <c r="N228" s="87" t="s">
        <v>210</v>
      </c>
      <c r="O228" s="87" t="s">
        <v>210</v>
      </c>
      <c r="P228" s="87">
        <v>-1</v>
      </c>
      <c r="Q228" s="87" t="s">
        <v>210</v>
      </c>
      <c r="R228" s="87">
        <v>-2</v>
      </c>
      <c r="S228" s="87" t="s">
        <v>210</v>
      </c>
      <c r="T228" s="87" t="s">
        <v>210</v>
      </c>
      <c r="U228" s="87" t="s">
        <v>210</v>
      </c>
      <c r="V228" s="87" t="s">
        <v>210</v>
      </c>
      <c r="W228" s="87" t="s">
        <v>210</v>
      </c>
      <c r="X228" s="87" t="s">
        <v>210</v>
      </c>
      <c r="Y228" s="87" t="s">
        <v>210</v>
      </c>
      <c r="BA228" s="95"/>
    </row>
    <row r="229" spans="1:53" s="87" customFormat="1">
      <c r="A229" s="90" t="str">
        <f t="shared" si="28"/>
        <v/>
      </c>
      <c r="B229" s="89">
        <v>18</v>
      </c>
      <c r="C229" s="87" t="s">
        <v>210</v>
      </c>
      <c r="D229" s="87" t="s">
        <v>210</v>
      </c>
      <c r="E229" s="87">
        <v>-1</v>
      </c>
      <c r="F229" s="87" t="s">
        <v>210</v>
      </c>
      <c r="G229" s="87" t="s">
        <v>210</v>
      </c>
      <c r="H229" s="87" t="s">
        <v>210</v>
      </c>
      <c r="I229" s="87">
        <v>-2</v>
      </c>
      <c r="J229" s="87" t="s">
        <v>210</v>
      </c>
      <c r="K229" s="87">
        <v>2</v>
      </c>
      <c r="L229" s="87" t="s">
        <v>210</v>
      </c>
      <c r="M229" s="87" t="s">
        <v>210</v>
      </c>
      <c r="N229" s="87" t="s">
        <v>210</v>
      </c>
      <c r="O229" s="87" t="s">
        <v>210</v>
      </c>
      <c r="P229" s="87">
        <v>1</v>
      </c>
      <c r="Q229" s="87" t="s">
        <v>210</v>
      </c>
      <c r="R229" s="87">
        <v>-1</v>
      </c>
      <c r="S229" s="87" t="s">
        <v>210</v>
      </c>
      <c r="T229" s="87" t="s">
        <v>210</v>
      </c>
      <c r="U229" s="87" t="s">
        <v>210</v>
      </c>
      <c r="V229" s="87" t="s">
        <v>210</v>
      </c>
      <c r="W229" s="87" t="s">
        <v>210</v>
      </c>
      <c r="X229" s="87" t="s">
        <v>210</v>
      </c>
      <c r="Y229" s="87" t="s">
        <v>210</v>
      </c>
      <c r="BA229" s="95"/>
    </row>
    <row r="230" spans="1:53" s="87" customFormat="1">
      <c r="A230" s="90" t="str">
        <f t="shared" si="28"/>
        <v/>
      </c>
      <c r="B230" s="319" t="s">
        <v>1081</v>
      </c>
      <c r="BA230" s="95"/>
    </row>
    <row r="231" spans="1:53" s="87" customFormat="1">
      <c r="A231" s="90">
        <f t="shared" si="28"/>
        <v>231</v>
      </c>
      <c r="B231" s="319" t="s">
        <v>1217</v>
      </c>
      <c r="BA231" s="95"/>
    </row>
    <row r="232" spans="1:53" s="87" customFormat="1">
      <c r="A232" s="90" t="str">
        <f t="shared" si="28"/>
        <v/>
      </c>
      <c r="B232" s="89">
        <v>1</v>
      </c>
      <c r="C232" s="87">
        <v>-2</v>
      </c>
      <c r="D232" s="87" t="s">
        <v>210</v>
      </c>
      <c r="E232" s="87" t="s">
        <v>210</v>
      </c>
      <c r="F232" s="87" t="s">
        <v>210</v>
      </c>
      <c r="G232" s="87">
        <v>2</v>
      </c>
      <c r="H232" s="87" t="s">
        <v>210</v>
      </c>
      <c r="I232" s="87">
        <v>-1</v>
      </c>
      <c r="J232" s="87" t="s">
        <v>210</v>
      </c>
      <c r="K232" s="87" t="s">
        <v>210</v>
      </c>
      <c r="L232" s="87" t="s">
        <v>210</v>
      </c>
      <c r="M232" s="87" t="s">
        <v>210</v>
      </c>
      <c r="N232" s="87" t="s">
        <v>210</v>
      </c>
      <c r="O232" s="87" t="s">
        <v>210</v>
      </c>
      <c r="P232" s="87" t="s">
        <v>210</v>
      </c>
      <c r="Q232" s="87">
        <v>1</v>
      </c>
      <c r="BA232" s="95"/>
    </row>
    <row r="233" spans="1:53" s="87" customFormat="1">
      <c r="A233" s="90" t="str">
        <f t="shared" si="28"/>
        <v/>
      </c>
      <c r="B233" s="89">
        <v>2</v>
      </c>
      <c r="C233" s="87" t="s">
        <v>210</v>
      </c>
      <c r="D233" s="87" t="s">
        <v>210</v>
      </c>
      <c r="E233" s="87" t="s">
        <v>210</v>
      </c>
      <c r="F233" s="87" t="s">
        <v>210</v>
      </c>
      <c r="G233" s="87">
        <v>1</v>
      </c>
      <c r="H233" s="87" t="s">
        <v>210</v>
      </c>
      <c r="I233" s="87">
        <v>-2</v>
      </c>
      <c r="J233" s="87" t="s">
        <v>210</v>
      </c>
      <c r="K233" s="87" t="s">
        <v>210</v>
      </c>
      <c r="L233" s="87" t="s">
        <v>210</v>
      </c>
      <c r="M233" s="87" t="s">
        <v>210</v>
      </c>
      <c r="N233" s="87">
        <v>2</v>
      </c>
      <c r="O233" s="87" t="s">
        <v>210</v>
      </c>
      <c r="P233" s="87" t="s">
        <v>210</v>
      </c>
      <c r="Q233" s="87">
        <v>-1</v>
      </c>
      <c r="BA233" s="95"/>
    </row>
    <row r="234" spans="1:53" s="87" customFormat="1">
      <c r="A234" s="90" t="str">
        <f t="shared" si="28"/>
        <v/>
      </c>
      <c r="B234" s="89">
        <v>3</v>
      </c>
      <c r="C234" s="87">
        <v>-1</v>
      </c>
      <c r="D234" s="87" t="s">
        <v>210</v>
      </c>
      <c r="E234" s="87" t="s">
        <v>210</v>
      </c>
      <c r="F234" s="87" t="s">
        <v>210</v>
      </c>
      <c r="G234" s="87" t="s">
        <v>210</v>
      </c>
      <c r="H234" s="87" t="s">
        <v>210</v>
      </c>
      <c r="I234" s="87">
        <v>1</v>
      </c>
      <c r="J234" s="87" t="s">
        <v>210</v>
      </c>
      <c r="K234" s="87" t="s">
        <v>210</v>
      </c>
      <c r="L234" s="87" t="s">
        <v>210</v>
      </c>
      <c r="M234" s="87" t="s">
        <v>210</v>
      </c>
      <c r="N234" s="87">
        <v>-2</v>
      </c>
      <c r="O234" s="87" t="s">
        <v>210</v>
      </c>
      <c r="P234" s="87">
        <v>2</v>
      </c>
      <c r="Q234" s="87" t="s">
        <v>210</v>
      </c>
      <c r="BA234" s="95"/>
    </row>
    <row r="235" spans="1:53" s="87" customFormat="1">
      <c r="A235" s="90" t="str">
        <f t="shared" si="28"/>
        <v/>
      </c>
      <c r="B235" s="89">
        <v>4</v>
      </c>
      <c r="C235" s="87">
        <v>2</v>
      </c>
      <c r="D235" s="87" t="s">
        <v>210</v>
      </c>
      <c r="E235" s="87" t="s">
        <v>210</v>
      </c>
      <c r="F235" s="87" t="s">
        <v>210</v>
      </c>
      <c r="G235" s="87">
        <v>-1</v>
      </c>
      <c r="H235" s="87" t="s">
        <v>210</v>
      </c>
      <c r="I235" s="87" t="s">
        <v>210</v>
      </c>
      <c r="J235" s="87" t="s">
        <v>210</v>
      </c>
      <c r="K235" s="87" t="s">
        <v>210</v>
      </c>
      <c r="L235" s="87" t="s">
        <v>210</v>
      </c>
      <c r="M235" s="87" t="s">
        <v>210</v>
      </c>
      <c r="N235" s="87">
        <v>1</v>
      </c>
      <c r="O235" s="87" t="s">
        <v>210</v>
      </c>
      <c r="P235" s="87">
        <v>-2</v>
      </c>
      <c r="Q235" s="87" t="s">
        <v>210</v>
      </c>
      <c r="BA235" s="95"/>
    </row>
    <row r="236" spans="1:53" s="87" customFormat="1">
      <c r="A236" s="90" t="str">
        <f t="shared" si="28"/>
        <v/>
      </c>
      <c r="B236" s="89">
        <v>5</v>
      </c>
      <c r="C236" s="87">
        <v>1</v>
      </c>
      <c r="D236" s="87" t="s">
        <v>210</v>
      </c>
      <c r="E236" s="87" t="s">
        <v>210</v>
      </c>
      <c r="F236" s="87" t="s">
        <v>210</v>
      </c>
      <c r="G236" s="87">
        <v>-2</v>
      </c>
      <c r="H236" s="87" t="s">
        <v>210</v>
      </c>
      <c r="I236" s="87">
        <v>2</v>
      </c>
      <c r="J236" s="87" t="s">
        <v>210</v>
      </c>
      <c r="K236" s="87" t="s">
        <v>210</v>
      </c>
      <c r="L236" s="87" t="s">
        <v>210</v>
      </c>
      <c r="M236" s="87" t="s">
        <v>210</v>
      </c>
      <c r="N236" s="87">
        <v>-1</v>
      </c>
      <c r="O236" s="87" t="s">
        <v>210</v>
      </c>
      <c r="P236" s="87" t="s">
        <v>210</v>
      </c>
      <c r="Q236" s="87" t="s">
        <v>210</v>
      </c>
      <c r="BA236" s="95"/>
    </row>
    <row r="237" spans="1:53" s="87" customFormat="1">
      <c r="A237" s="90" t="str">
        <f t="shared" si="28"/>
        <v/>
      </c>
      <c r="B237" s="89">
        <v>6</v>
      </c>
      <c r="C237" s="87" t="s">
        <v>210</v>
      </c>
      <c r="D237" s="87">
        <v>1</v>
      </c>
      <c r="E237" s="87" t="s">
        <v>210</v>
      </c>
      <c r="F237" s="87">
        <v>-2</v>
      </c>
      <c r="G237" s="87" t="s">
        <v>210</v>
      </c>
      <c r="H237" s="87" t="s">
        <v>210</v>
      </c>
      <c r="I237" s="87" t="s">
        <v>210</v>
      </c>
      <c r="J237" s="87" t="s">
        <v>210</v>
      </c>
      <c r="K237" s="87" t="s">
        <v>210</v>
      </c>
      <c r="L237" s="87" t="s">
        <v>210</v>
      </c>
      <c r="M237" s="87">
        <v>-1</v>
      </c>
      <c r="N237" s="87" t="s">
        <v>210</v>
      </c>
      <c r="O237" s="87" t="s">
        <v>210</v>
      </c>
      <c r="P237" s="87" t="s">
        <v>210</v>
      </c>
      <c r="Q237" s="87">
        <v>2</v>
      </c>
      <c r="BA237" s="95"/>
    </row>
    <row r="238" spans="1:53" s="87" customFormat="1">
      <c r="A238" s="90" t="str">
        <f t="shared" si="28"/>
        <v/>
      </c>
      <c r="B238" s="89">
        <v>7</v>
      </c>
      <c r="C238" s="87" t="s">
        <v>210</v>
      </c>
      <c r="D238" s="87">
        <v>2</v>
      </c>
      <c r="E238" s="87" t="s">
        <v>210</v>
      </c>
      <c r="F238" s="87">
        <v>-1</v>
      </c>
      <c r="G238" s="87" t="s">
        <v>210</v>
      </c>
      <c r="H238" s="87" t="s">
        <v>210</v>
      </c>
      <c r="I238" s="87" t="s">
        <v>210</v>
      </c>
      <c r="J238" s="87" t="s">
        <v>210</v>
      </c>
      <c r="K238" s="87">
        <v>1</v>
      </c>
      <c r="L238" s="87" t="s">
        <v>210</v>
      </c>
      <c r="M238" s="87" t="s">
        <v>210</v>
      </c>
      <c r="N238" s="87" t="s">
        <v>210</v>
      </c>
      <c r="O238" s="87" t="s">
        <v>210</v>
      </c>
      <c r="P238" s="87" t="s">
        <v>210</v>
      </c>
      <c r="Q238" s="87">
        <v>-2</v>
      </c>
      <c r="BA238" s="95"/>
    </row>
    <row r="239" spans="1:53" s="87" customFormat="1">
      <c r="A239" s="90" t="str">
        <f t="shared" si="28"/>
        <v/>
      </c>
      <c r="B239" s="89">
        <v>8</v>
      </c>
      <c r="C239" s="87" t="s">
        <v>210</v>
      </c>
      <c r="D239" s="87" t="s">
        <v>210</v>
      </c>
      <c r="E239" s="87" t="s">
        <v>210</v>
      </c>
      <c r="F239" s="87">
        <v>2</v>
      </c>
      <c r="G239" s="87" t="s">
        <v>210</v>
      </c>
      <c r="H239" s="87" t="s">
        <v>210</v>
      </c>
      <c r="I239" s="87" t="s">
        <v>210</v>
      </c>
      <c r="J239" s="87" t="s">
        <v>210</v>
      </c>
      <c r="K239" s="87">
        <v>-1</v>
      </c>
      <c r="L239" s="87" t="s">
        <v>210</v>
      </c>
      <c r="M239" s="87">
        <v>-2</v>
      </c>
      <c r="N239" s="87" t="s">
        <v>210</v>
      </c>
      <c r="O239" s="87">
        <v>1</v>
      </c>
      <c r="P239" s="87" t="s">
        <v>210</v>
      </c>
      <c r="Q239" s="87" t="s">
        <v>210</v>
      </c>
      <c r="BA239" s="95"/>
    </row>
    <row r="240" spans="1:53" s="87" customFormat="1">
      <c r="A240" s="90" t="str">
        <f t="shared" si="28"/>
        <v/>
      </c>
      <c r="B240" s="89">
        <v>9</v>
      </c>
      <c r="C240" s="87" t="s">
        <v>210</v>
      </c>
      <c r="D240" s="87">
        <v>-2</v>
      </c>
      <c r="E240" s="87" t="s">
        <v>210</v>
      </c>
      <c r="F240" s="87" t="s">
        <v>210</v>
      </c>
      <c r="G240" s="87" t="s">
        <v>210</v>
      </c>
      <c r="H240" s="87" t="s">
        <v>210</v>
      </c>
      <c r="I240" s="87" t="s">
        <v>210</v>
      </c>
      <c r="J240" s="87" t="s">
        <v>210</v>
      </c>
      <c r="K240" s="87">
        <v>2</v>
      </c>
      <c r="L240" s="87" t="s">
        <v>210</v>
      </c>
      <c r="M240" s="87">
        <v>1</v>
      </c>
      <c r="N240" s="87" t="s">
        <v>210</v>
      </c>
      <c r="O240" s="87">
        <v>-1</v>
      </c>
      <c r="P240" s="87" t="s">
        <v>210</v>
      </c>
      <c r="Q240" s="87" t="s">
        <v>210</v>
      </c>
      <c r="BA240" s="95"/>
    </row>
    <row r="241" spans="1:53" s="87" customFormat="1">
      <c r="A241" s="90" t="str">
        <f t="shared" si="28"/>
        <v/>
      </c>
      <c r="B241" s="89">
        <v>10</v>
      </c>
      <c r="C241" s="87" t="s">
        <v>210</v>
      </c>
      <c r="D241" s="87">
        <v>-1</v>
      </c>
      <c r="E241" s="87" t="s">
        <v>210</v>
      </c>
      <c r="F241" s="87">
        <v>1</v>
      </c>
      <c r="G241" s="87" t="s">
        <v>210</v>
      </c>
      <c r="H241" s="87" t="s">
        <v>210</v>
      </c>
      <c r="I241" s="87" t="s">
        <v>210</v>
      </c>
      <c r="J241" s="87" t="s">
        <v>210</v>
      </c>
      <c r="K241" s="87">
        <v>-2</v>
      </c>
      <c r="L241" s="87" t="s">
        <v>210</v>
      </c>
      <c r="M241" s="87">
        <v>2</v>
      </c>
      <c r="N241" s="87" t="s">
        <v>210</v>
      </c>
      <c r="O241" s="87" t="s">
        <v>210</v>
      </c>
      <c r="P241" s="87" t="s">
        <v>210</v>
      </c>
      <c r="Q241" s="87" t="s">
        <v>210</v>
      </c>
      <c r="BA241" s="95"/>
    </row>
    <row r="242" spans="1:53" s="87" customFormat="1">
      <c r="A242" s="90" t="str">
        <f t="shared" si="28"/>
        <v/>
      </c>
      <c r="B242" s="89">
        <v>11</v>
      </c>
      <c r="C242" s="87" t="s">
        <v>210</v>
      </c>
      <c r="D242" s="87" t="s">
        <v>210</v>
      </c>
      <c r="E242" s="87">
        <v>-2</v>
      </c>
      <c r="F242" s="87" t="s">
        <v>210</v>
      </c>
      <c r="G242" s="87" t="s">
        <v>210</v>
      </c>
      <c r="H242" s="87" t="s">
        <v>210</v>
      </c>
      <c r="I242" s="87" t="s">
        <v>210</v>
      </c>
      <c r="J242" s="87">
        <v>2</v>
      </c>
      <c r="K242" s="87" t="s">
        <v>210</v>
      </c>
      <c r="L242" s="87">
        <v>-1</v>
      </c>
      <c r="M242" s="87" t="s">
        <v>210</v>
      </c>
      <c r="N242" s="87" t="s">
        <v>210</v>
      </c>
      <c r="O242" s="87" t="s">
        <v>210</v>
      </c>
      <c r="P242" s="87">
        <v>1</v>
      </c>
      <c r="Q242" s="87" t="s">
        <v>210</v>
      </c>
      <c r="BA242" s="95"/>
    </row>
    <row r="243" spans="1:53" s="87" customFormat="1">
      <c r="A243" s="90" t="str">
        <f t="shared" si="28"/>
        <v/>
      </c>
      <c r="B243" s="89">
        <v>12</v>
      </c>
      <c r="C243" s="87" t="s">
        <v>210</v>
      </c>
      <c r="D243" s="87" t="s">
        <v>210</v>
      </c>
      <c r="E243" s="87">
        <v>1</v>
      </c>
      <c r="F243" s="87" t="s">
        <v>210</v>
      </c>
      <c r="G243" s="87" t="s">
        <v>210</v>
      </c>
      <c r="H243" s="87">
        <v>-2</v>
      </c>
      <c r="I243" s="87" t="s">
        <v>210</v>
      </c>
      <c r="J243" s="87" t="s">
        <v>210</v>
      </c>
      <c r="K243" s="87" t="s">
        <v>210</v>
      </c>
      <c r="L243" s="87">
        <v>2</v>
      </c>
      <c r="M243" s="87" t="s">
        <v>210</v>
      </c>
      <c r="N243" s="87" t="s">
        <v>210</v>
      </c>
      <c r="O243" s="87" t="s">
        <v>210</v>
      </c>
      <c r="P243" s="87">
        <v>-1</v>
      </c>
      <c r="Q243" s="87" t="s">
        <v>210</v>
      </c>
      <c r="BA243" s="95"/>
    </row>
    <row r="244" spans="1:53" s="87" customFormat="1">
      <c r="A244" s="90" t="str">
        <f t="shared" si="28"/>
        <v/>
      </c>
      <c r="B244" s="89">
        <v>13</v>
      </c>
      <c r="C244" s="87" t="s">
        <v>210</v>
      </c>
      <c r="D244" s="87" t="s">
        <v>210</v>
      </c>
      <c r="E244" s="87">
        <v>-1</v>
      </c>
      <c r="F244" s="87" t="s">
        <v>210</v>
      </c>
      <c r="G244" s="87" t="s">
        <v>210</v>
      </c>
      <c r="H244" s="87">
        <v>1</v>
      </c>
      <c r="I244" s="87" t="s">
        <v>210</v>
      </c>
      <c r="J244" s="87">
        <v>-2</v>
      </c>
      <c r="K244" s="87" t="s">
        <v>210</v>
      </c>
      <c r="L244" s="87" t="s">
        <v>210</v>
      </c>
      <c r="M244" s="87" t="s">
        <v>210</v>
      </c>
      <c r="N244" s="87" t="s">
        <v>210</v>
      </c>
      <c r="O244" s="87">
        <v>2</v>
      </c>
      <c r="P244" s="87" t="s">
        <v>210</v>
      </c>
      <c r="Q244" s="87" t="s">
        <v>210</v>
      </c>
      <c r="BA244" s="95"/>
    </row>
    <row r="245" spans="1:53" s="87" customFormat="1">
      <c r="A245" s="90" t="str">
        <f t="shared" si="28"/>
        <v/>
      </c>
      <c r="B245" s="89">
        <v>14</v>
      </c>
      <c r="C245" s="87" t="s">
        <v>210</v>
      </c>
      <c r="D245" s="87" t="s">
        <v>210</v>
      </c>
      <c r="E245" s="87" t="s">
        <v>210</v>
      </c>
      <c r="F245" s="87" t="s">
        <v>210</v>
      </c>
      <c r="G245" s="87" t="s">
        <v>210</v>
      </c>
      <c r="H245" s="87">
        <v>2</v>
      </c>
      <c r="I245" s="87" t="s">
        <v>210</v>
      </c>
      <c r="J245" s="87">
        <v>-1</v>
      </c>
      <c r="K245" s="87" t="s">
        <v>210</v>
      </c>
      <c r="L245" s="87">
        <v>1</v>
      </c>
      <c r="M245" s="87" t="s">
        <v>210</v>
      </c>
      <c r="N245" s="87" t="s">
        <v>210</v>
      </c>
      <c r="O245" s="87">
        <v>-2</v>
      </c>
      <c r="P245" s="87" t="s">
        <v>210</v>
      </c>
      <c r="Q245" s="87" t="s">
        <v>210</v>
      </c>
      <c r="BA245" s="95"/>
    </row>
    <row r="246" spans="1:53" s="87" customFormat="1">
      <c r="A246" s="90" t="str">
        <f t="shared" si="28"/>
        <v/>
      </c>
      <c r="B246" s="89">
        <v>15</v>
      </c>
      <c r="C246" s="87" t="s">
        <v>210</v>
      </c>
      <c r="D246" s="87" t="s">
        <v>210</v>
      </c>
      <c r="E246" s="87">
        <v>2</v>
      </c>
      <c r="F246" s="87" t="s">
        <v>210</v>
      </c>
      <c r="G246" s="87" t="s">
        <v>210</v>
      </c>
      <c r="H246" s="87">
        <v>-1</v>
      </c>
      <c r="I246" s="87" t="s">
        <v>210</v>
      </c>
      <c r="J246" s="87">
        <v>1</v>
      </c>
      <c r="K246" s="87" t="s">
        <v>210</v>
      </c>
      <c r="L246" s="87">
        <v>-2</v>
      </c>
      <c r="M246" s="87" t="s">
        <v>210</v>
      </c>
      <c r="N246" s="87" t="s">
        <v>210</v>
      </c>
      <c r="O246" s="87" t="s">
        <v>210</v>
      </c>
      <c r="P246" s="87" t="s">
        <v>210</v>
      </c>
      <c r="Q246" s="87" t="s">
        <v>210</v>
      </c>
      <c r="BA246" s="95"/>
    </row>
    <row r="247" spans="1:53" s="87" customFormat="1">
      <c r="A247" s="90" t="str">
        <f t="shared" si="28"/>
        <v/>
      </c>
      <c r="B247" s="319" t="s">
        <v>1082</v>
      </c>
      <c r="BA247" s="95"/>
    </row>
    <row r="248" spans="1:53" s="87" customFormat="1">
      <c r="A248" s="90">
        <f t="shared" si="28"/>
        <v>248</v>
      </c>
      <c r="B248" s="89" t="s">
        <v>1084</v>
      </c>
      <c r="BA248" s="95"/>
    </row>
    <row r="249" spans="1:53" s="87" customFormat="1">
      <c r="A249" s="90" t="str">
        <f t="shared" si="28"/>
        <v/>
      </c>
      <c r="B249" s="89">
        <v>1</v>
      </c>
      <c r="C249" s="87" t="s">
        <v>210</v>
      </c>
      <c r="D249" s="87">
        <v>-1</v>
      </c>
      <c r="E249" s="87" t="s">
        <v>210</v>
      </c>
      <c r="F249" s="87" t="s">
        <v>210</v>
      </c>
      <c r="G249" s="87" t="s">
        <v>210</v>
      </c>
      <c r="H249" s="87">
        <v>1</v>
      </c>
      <c r="I249" s="87" t="s">
        <v>210</v>
      </c>
      <c r="J249" s="87">
        <v>-2</v>
      </c>
      <c r="K249" s="87" t="s">
        <v>210</v>
      </c>
      <c r="L249" s="87" t="s">
        <v>210</v>
      </c>
      <c r="M249" s="87">
        <v>1</v>
      </c>
      <c r="N249" s="87" t="s">
        <v>210</v>
      </c>
      <c r="O249" s="87" t="s">
        <v>210</v>
      </c>
      <c r="P249" s="87" t="s">
        <v>210</v>
      </c>
      <c r="Q249" s="87">
        <v>-2</v>
      </c>
      <c r="R249" s="87" t="s">
        <v>210</v>
      </c>
      <c r="S249" s="87" t="s">
        <v>210</v>
      </c>
      <c r="T249" s="87">
        <v>2</v>
      </c>
      <c r="BA249" s="95"/>
    </row>
    <row r="250" spans="1:53" s="87" customFormat="1">
      <c r="A250" s="90" t="str">
        <f t="shared" si="28"/>
        <v/>
      </c>
      <c r="B250" s="89">
        <v>2</v>
      </c>
      <c r="C250" s="87">
        <v>1</v>
      </c>
      <c r="D250" s="87" t="s">
        <v>210</v>
      </c>
      <c r="E250" s="87" t="s">
        <v>210</v>
      </c>
      <c r="F250" s="87">
        <v>-1</v>
      </c>
      <c r="G250" s="87" t="s">
        <v>210</v>
      </c>
      <c r="H250" s="87" t="s">
        <v>210</v>
      </c>
      <c r="I250" s="87" t="s">
        <v>210</v>
      </c>
      <c r="J250" s="87" t="s">
        <v>210</v>
      </c>
      <c r="K250" s="87">
        <v>-2</v>
      </c>
      <c r="L250" s="87" t="s">
        <v>210</v>
      </c>
      <c r="M250" s="87" t="s">
        <v>210</v>
      </c>
      <c r="N250" s="87">
        <v>2</v>
      </c>
      <c r="O250" s="87" t="s">
        <v>210</v>
      </c>
      <c r="P250" s="87" t="s">
        <v>210</v>
      </c>
      <c r="Q250" s="87">
        <v>1</v>
      </c>
      <c r="R250" s="87" t="s">
        <v>210</v>
      </c>
      <c r="S250" s="87" t="s">
        <v>210</v>
      </c>
      <c r="T250" s="87">
        <v>-2</v>
      </c>
      <c r="BA250" s="95"/>
    </row>
    <row r="251" spans="1:53" s="87" customFormat="1">
      <c r="A251" s="90" t="str">
        <f t="shared" si="28"/>
        <v/>
      </c>
      <c r="B251" s="89">
        <v>3</v>
      </c>
      <c r="C251" s="87">
        <v>2</v>
      </c>
      <c r="D251" s="87" t="s">
        <v>210</v>
      </c>
      <c r="E251" s="87" t="s">
        <v>210</v>
      </c>
      <c r="F251" s="87">
        <v>-2</v>
      </c>
      <c r="G251" s="87" t="s">
        <v>210</v>
      </c>
      <c r="H251" s="87">
        <v>-1</v>
      </c>
      <c r="I251" s="87" t="s">
        <v>210</v>
      </c>
      <c r="J251" s="87" t="s">
        <v>210</v>
      </c>
      <c r="K251" s="87" t="s">
        <v>210</v>
      </c>
      <c r="L251" s="87" t="s">
        <v>210</v>
      </c>
      <c r="M251" s="87">
        <v>2</v>
      </c>
      <c r="N251" s="87" t="s">
        <v>210</v>
      </c>
      <c r="O251" s="87" t="s">
        <v>210</v>
      </c>
      <c r="P251" s="87" t="s">
        <v>210</v>
      </c>
      <c r="Q251" s="87">
        <v>-1</v>
      </c>
      <c r="R251" s="87" t="s">
        <v>210</v>
      </c>
      <c r="S251" s="87">
        <v>1</v>
      </c>
      <c r="T251" s="87" t="s">
        <v>210</v>
      </c>
      <c r="BA251" s="95"/>
    </row>
    <row r="252" spans="1:53" s="87" customFormat="1">
      <c r="A252" s="90" t="str">
        <f t="shared" si="28"/>
        <v/>
      </c>
      <c r="B252" s="89">
        <v>4</v>
      </c>
      <c r="C252" s="87" t="s">
        <v>210</v>
      </c>
      <c r="D252" s="87">
        <v>2</v>
      </c>
      <c r="E252" s="87" t="s">
        <v>210</v>
      </c>
      <c r="F252" s="87">
        <v>1</v>
      </c>
      <c r="G252" s="87" t="s">
        <v>210</v>
      </c>
      <c r="H252" s="87">
        <v>-2</v>
      </c>
      <c r="I252" s="87" t="s">
        <v>210</v>
      </c>
      <c r="J252" s="87">
        <v>2</v>
      </c>
      <c r="K252" s="87" t="s">
        <v>210</v>
      </c>
      <c r="L252" s="87" t="s">
        <v>210</v>
      </c>
      <c r="M252" s="87" t="s">
        <v>210</v>
      </c>
      <c r="N252" s="87" t="s">
        <v>210</v>
      </c>
      <c r="O252" s="87">
        <v>1</v>
      </c>
      <c r="P252" s="87" t="s">
        <v>210</v>
      </c>
      <c r="Q252" s="87" t="s">
        <v>210</v>
      </c>
      <c r="R252" s="87" t="s">
        <v>210</v>
      </c>
      <c r="S252" s="87">
        <v>-1</v>
      </c>
      <c r="T252" s="87" t="s">
        <v>210</v>
      </c>
      <c r="BA252" s="95"/>
    </row>
    <row r="253" spans="1:53" s="87" customFormat="1">
      <c r="A253" s="90" t="str">
        <f t="shared" si="28"/>
        <v/>
      </c>
      <c r="B253" s="89">
        <v>5</v>
      </c>
      <c r="C253" s="87" t="s">
        <v>210</v>
      </c>
      <c r="D253" s="87">
        <v>1</v>
      </c>
      <c r="E253" s="87" t="s">
        <v>210</v>
      </c>
      <c r="F253" s="87" t="s">
        <v>210</v>
      </c>
      <c r="G253" s="87">
        <v>-1</v>
      </c>
      <c r="H253" s="87" t="s">
        <v>210</v>
      </c>
      <c r="I253" s="87" t="s">
        <v>210</v>
      </c>
      <c r="J253" s="87" t="s">
        <v>210</v>
      </c>
      <c r="K253" s="87">
        <v>2</v>
      </c>
      <c r="L253" s="87" t="s">
        <v>210</v>
      </c>
      <c r="M253" s="87">
        <v>-2</v>
      </c>
      <c r="N253" s="87" t="s">
        <v>210</v>
      </c>
      <c r="O253" s="87">
        <v>-1</v>
      </c>
      <c r="P253" s="87" t="s">
        <v>210</v>
      </c>
      <c r="Q253" s="87" t="s">
        <v>210</v>
      </c>
      <c r="R253" s="87">
        <v>-2</v>
      </c>
      <c r="S253" s="87" t="s">
        <v>210</v>
      </c>
      <c r="T253" s="87" t="s">
        <v>210</v>
      </c>
      <c r="BA253" s="95"/>
    </row>
    <row r="254" spans="1:53" s="87" customFormat="1">
      <c r="A254" s="90" t="str">
        <f t="shared" si="28"/>
        <v/>
      </c>
      <c r="B254" s="89">
        <v>6</v>
      </c>
      <c r="C254" s="87">
        <v>-1</v>
      </c>
      <c r="D254" s="87">
        <v>-2</v>
      </c>
      <c r="E254" s="87" t="s">
        <v>210</v>
      </c>
      <c r="F254" s="87">
        <v>2</v>
      </c>
      <c r="G254" s="87" t="s">
        <v>210</v>
      </c>
      <c r="H254" s="87" t="s">
        <v>210</v>
      </c>
      <c r="I254" s="87" t="s">
        <v>210</v>
      </c>
      <c r="J254" s="87" t="s">
        <v>210</v>
      </c>
      <c r="K254" s="87">
        <v>1</v>
      </c>
      <c r="L254" s="87" t="s">
        <v>210</v>
      </c>
      <c r="M254" s="87">
        <v>-1</v>
      </c>
      <c r="N254" s="87" t="s">
        <v>210</v>
      </c>
      <c r="O254" s="87" t="s">
        <v>210</v>
      </c>
      <c r="P254" s="87" t="s">
        <v>210</v>
      </c>
      <c r="Q254" s="87" t="s">
        <v>210</v>
      </c>
      <c r="R254" s="87">
        <v>2</v>
      </c>
      <c r="S254" s="87" t="s">
        <v>210</v>
      </c>
      <c r="T254" s="87" t="s">
        <v>210</v>
      </c>
      <c r="BA254" s="95"/>
    </row>
    <row r="255" spans="1:53" s="87" customFormat="1">
      <c r="A255" s="90" t="str">
        <f t="shared" si="28"/>
        <v/>
      </c>
      <c r="B255" s="99">
        <v>7</v>
      </c>
      <c r="C255" s="233">
        <v>-2</v>
      </c>
      <c r="D255" s="233" t="s">
        <v>210</v>
      </c>
      <c r="E255" s="233" t="s">
        <v>210</v>
      </c>
      <c r="F255" s="233" t="s">
        <v>210</v>
      </c>
      <c r="G255" s="233">
        <v>1</v>
      </c>
      <c r="H255" s="233">
        <v>2</v>
      </c>
      <c r="I255" s="233" t="s">
        <v>210</v>
      </c>
      <c r="J255" s="233" t="s">
        <v>210</v>
      </c>
      <c r="K255" s="233">
        <v>-1</v>
      </c>
      <c r="L255" s="233" t="s">
        <v>210</v>
      </c>
      <c r="M255" s="233" t="s">
        <v>210</v>
      </c>
      <c r="N255" s="233">
        <v>-2</v>
      </c>
      <c r="O255" s="233" t="s">
        <v>210</v>
      </c>
      <c r="P255" s="233" t="s">
        <v>210</v>
      </c>
      <c r="Q255" s="233">
        <v>2</v>
      </c>
      <c r="R255" s="233" t="s">
        <v>210</v>
      </c>
      <c r="S255" s="233" t="s">
        <v>210</v>
      </c>
      <c r="T255" s="233" t="s">
        <v>210</v>
      </c>
      <c r="BA255" s="95"/>
    </row>
    <row r="256" spans="1:53" s="87" customFormat="1">
      <c r="A256" s="90" t="str">
        <f t="shared" si="28"/>
        <v/>
      </c>
      <c r="B256" s="89">
        <v>8</v>
      </c>
      <c r="C256" s="87" t="s">
        <v>210</v>
      </c>
      <c r="D256" s="87" t="s">
        <v>210</v>
      </c>
      <c r="E256" s="87" t="s">
        <v>210</v>
      </c>
      <c r="F256" s="87" t="s">
        <v>210</v>
      </c>
      <c r="G256" s="87">
        <v>-2</v>
      </c>
      <c r="H256" s="87" t="s">
        <v>210</v>
      </c>
      <c r="I256" s="87">
        <v>1</v>
      </c>
      <c r="J256" s="87" t="s">
        <v>210</v>
      </c>
      <c r="K256" s="87" t="s">
        <v>210</v>
      </c>
      <c r="L256" s="87" t="s">
        <v>210</v>
      </c>
      <c r="M256" s="87" t="s">
        <v>210</v>
      </c>
      <c r="N256" s="87">
        <v>-1</v>
      </c>
      <c r="O256" s="87" t="s">
        <v>210</v>
      </c>
      <c r="P256" s="87">
        <v>2</v>
      </c>
      <c r="Q256" s="87" t="s">
        <v>210</v>
      </c>
      <c r="R256" s="87" t="s">
        <v>210</v>
      </c>
      <c r="S256" s="87" t="s">
        <v>210</v>
      </c>
      <c r="T256" s="87">
        <v>1</v>
      </c>
      <c r="BA256" s="95"/>
    </row>
    <row r="257" spans="1:53" s="87" customFormat="1">
      <c r="A257" s="90" t="str">
        <f t="shared" si="28"/>
        <v/>
      </c>
      <c r="B257" s="89">
        <v>9</v>
      </c>
      <c r="C257" s="87" t="s">
        <v>210</v>
      </c>
      <c r="D257" s="87" t="s">
        <v>210</v>
      </c>
      <c r="E257" s="87">
        <v>-1</v>
      </c>
      <c r="F257" s="87" t="s">
        <v>210</v>
      </c>
      <c r="G257" s="87" t="s">
        <v>210</v>
      </c>
      <c r="H257" s="87" t="s">
        <v>210</v>
      </c>
      <c r="I257" s="87" t="s">
        <v>210</v>
      </c>
      <c r="J257" s="87">
        <v>1</v>
      </c>
      <c r="K257" s="87" t="s">
        <v>210</v>
      </c>
      <c r="L257" s="87">
        <v>-2</v>
      </c>
      <c r="M257" s="87" t="s">
        <v>210</v>
      </c>
      <c r="N257" s="87" t="s">
        <v>210</v>
      </c>
      <c r="O257" s="87">
        <v>2</v>
      </c>
      <c r="P257" s="87" t="s">
        <v>210</v>
      </c>
      <c r="Q257" s="87" t="s">
        <v>210</v>
      </c>
      <c r="R257" s="87" t="s">
        <v>210</v>
      </c>
      <c r="S257" s="87" t="s">
        <v>210</v>
      </c>
      <c r="T257" s="87">
        <v>-1</v>
      </c>
      <c r="BA257" s="95"/>
    </row>
    <row r="258" spans="1:53" s="87" customFormat="1">
      <c r="A258" s="90" t="str">
        <f t="shared" si="28"/>
        <v/>
      </c>
      <c r="B258" s="89">
        <v>10</v>
      </c>
      <c r="C258" s="87" t="s">
        <v>210</v>
      </c>
      <c r="D258" s="87" t="s">
        <v>210</v>
      </c>
      <c r="E258" s="87">
        <v>2</v>
      </c>
      <c r="F258" s="87" t="s">
        <v>210</v>
      </c>
      <c r="G258" s="87" t="s">
        <v>210</v>
      </c>
      <c r="H258" s="87" t="s">
        <v>210</v>
      </c>
      <c r="I258" s="87" t="s">
        <v>210</v>
      </c>
      <c r="J258" s="87">
        <v>-1</v>
      </c>
      <c r="K258" s="87" t="s">
        <v>210</v>
      </c>
      <c r="L258" s="87">
        <v>1</v>
      </c>
      <c r="M258" s="87" t="s">
        <v>210</v>
      </c>
      <c r="N258" s="87" t="s">
        <v>210</v>
      </c>
      <c r="O258" s="87" t="s">
        <v>210</v>
      </c>
      <c r="P258" s="87">
        <v>-2</v>
      </c>
      <c r="Q258" s="87" t="s">
        <v>210</v>
      </c>
      <c r="R258" s="87" t="s">
        <v>210</v>
      </c>
      <c r="S258" s="87">
        <v>2</v>
      </c>
      <c r="T258" s="87" t="s">
        <v>210</v>
      </c>
      <c r="BA258" s="95"/>
    </row>
    <row r="259" spans="1:53" s="87" customFormat="1">
      <c r="A259" s="90" t="str">
        <f t="shared" si="28"/>
        <v/>
      </c>
      <c r="B259" s="89">
        <v>11</v>
      </c>
      <c r="C259" s="87" t="s">
        <v>210</v>
      </c>
      <c r="D259" s="87" t="s">
        <v>210</v>
      </c>
      <c r="E259" s="87">
        <v>1</v>
      </c>
      <c r="F259" s="87" t="s">
        <v>210</v>
      </c>
      <c r="G259" s="87" t="s">
        <v>210</v>
      </c>
      <c r="H259" s="87" t="s">
        <v>210</v>
      </c>
      <c r="I259" s="87">
        <v>2</v>
      </c>
      <c r="J259" s="87" t="s">
        <v>210</v>
      </c>
      <c r="K259" s="87" t="s">
        <v>210</v>
      </c>
      <c r="L259" s="87" t="s">
        <v>210</v>
      </c>
      <c r="M259" s="87" t="s">
        <v>210</v>
      </c>
      <c r="N259" s="87">
        <v>1</v>
      </c>
      <c r="O259" s="87" t="s">
        <v>210</v>
      </c>
      <c r="P259" s="87">
        <v>-1</v>
      </c>
      <c r="Q259" s="87" t="s">
        <v>210</v>
      </c>
      <c r="R259" s="87" t="s">
        <v>210</v>
      </c>
      <c r="S259" s="87">
        <v>-2</v>
      </c>
      <c r="T259" s="87" t="s">
        <v>210</v>
      </c>
      <c r="BA259" s="95"/>
    </row>
    <row r="260" spans="1:53" s="87" customFormat="1">
      <c r="A260" s="90" t="str">
        <f t="shared" si="28"/>
        <v/>
      </c>
      <c r="B260" s="89">
        <v>12</v>
      </c>
      <c r="C260" s="87" t="s">
        <v>210</v>
      </c>
      <c r="D260" s="87" t="s">
        <v>210</v>
      </c>
      <c r="E260" s="87" t="s">
        <v>210</v>
      </c>
      <c r="F260" s="87" t="s">
        <v>210</v>
      </c>
      <c r="G260" s="87">
        <v>2</v>
      </c>
      <c r="H260" s="87" t="s">
        <v>210</v>
      </c>
      <c r="I260" s="87">
        <v>-2</v>
      </c>
      <c r="J260" s="87" t="s">
        <v>210</v>
      </c>
      <c r="K260" s="87" t="s">
        <v>210</v>
      </c>
      <c r="L260" s="87">
        <v>-1</v>
      </c>
      <c r="M260" s="87" t="s">
        <v>210</v>
      </c>
      <c r="N260" s="87" t="s">
        <v>210</v>
      </c>
      <c r="O260" s="87">
        <v>-2</v>
      </c>
      <c r="P260" s="87" t="s">
        <v>210</v>
      </c>
      <c r="Q260" s="87" t="s">
        <v>210</v>
      </c>
      <c r="R260" s="87">
        <v>1</v>
      </c>
      <c r="S260" s="87" t="s">
        <v>210</v>
      </c>
      <c r="T260" s="87" t="s">
        <v>210</v>
      </c>
      <c r="BA260" s="95"/>
    </row>
    <row r="261" spans="1:53" s="87" customFormat="1">
      <c r="A261" s="90" t="str">
        <f t="shared" si="28"/>
        <v/>
      </c>
      <c r="B261" s="89">
        <v>13</v>
      </c>
      <c r="C261" s="87" t="s">
        <v>210</v>
      </c>
      <c r="D261" s="87" t="s">
        <v>210</v>
      </c>
      <c r="E261" s="87">
        <v>-2</v>
      </c>
      <c r="F261" s="87" t="s">
        <v>210</v>
      </c>
      <c r="G261" s="87" t="s">
        <v>210</v>
      </c>
      <c r="H261" s="87" t="s">
        <v>210</v>
      </c>
      <c r="I261" s="87">
        <v>-1</v>
      </c>
      <c r="J261" s="87" t="s">
        <v>210</v>
      </c>
      <c r="K261" s="87" t="s">
        <v>210</v>
      </c>
      <c r="L261" s="87">
        <v>2</v>
      </c>
      <c r="M261" s="87" t="s">
        <v>210</v>
      </c>
      <c r="N261" s="87" t="s">
        <v>210</v>
      </c>
      <c r="O261" s="87" t="s">
        <v>210</v>
      </c>
      <c r="P261" s="87">
        <v>1</v>
      </c>
      <c r="Q261" s="87" t="s">
        <v>210</v>
      </c>
      <c r="R261" s="87">
        <v>-1</v>
      </c>
      <c r="S261" s="87" t="s">
        <v>210</v>
      </c>
      <c r="T261" s="87" t="s">
        <v>210</v>
      </c>
      <c r="BA261" s="95"/>
    </row>
    <row r="262" spans="1:53" s="87" customFormat="1">
      <c r="A262" s="90" t="str">
        <f t="shared" si="28"/>
        <v/>
      </c>
      <c r="B262" s="319" t="s">
        <v>1085</v>
      </c>
      <c r="BA262" s="95"/>
    </row>
    <row r="263" spans="1:53" s="87" customFormat="1">
      <c r="A263" s="90">
        <f t="shared" si="28"/>
        <v>263</v>
      </c>
      <c r="B263" s="319" t="s">
        <v>1214</v>
      </c>
      <c r="BA263" s="95"/>
    </row>
    <row r="264" spans="1:53" s="87" customFormat="1">
      <c r="A264" s="90" t="str">
        <f t="shared" si="28"/>
        <v/>
      </c>
      <c r="B264" s="89">
        <v>1</v>
      </c>
      <c r="C264" s="87" t="s">
        <v>210</v>
      </c>
      <c r="D264" s="87">
        <v>-2</v>
      </c>
      <c r="E264" s="87" t="s">
        <v>210</v>
      </c>
      <c r="F264" s="87" t="s">
        <v>210</v>
      </c>
      <c r="G264" s="87" t="s">
        <v>210</v>
      </c>
      <c r="H264" s="87" t="s">
        <v>210</v>
      </c>
      <c r="I264" s="87" t="s">
        <v>210</v>
      </c>
      <c r="J264" s="87">
        <v>-1</v>
      </c>
      <c r="K264" s="87" t="s">
        <v>210</v>
      </c>
      <c r="L264" s="87" t="s">
        <v>210</v>
      </c>
      <c r="M264" s="87">
        <v>2</v>
      </c>
      <c r="N264" s="87" t="s">
        <v>210</v>
      </c>
      <c r="O264" s="87" t="s">
        <v>210</v>
      </c>
      <c r="P264" s="87">
        <v>-1</v>
      </c>
      <c r="Q264" s="87" t="s">
        <v>210</v>
      </c>
      <c r="R264" s="87" t="s">
        <v>210</v>
      </c>
      <c r="S264" s="87">
        <v>2</v>
      </c>
      <c r="T264" s="87" t="s">
        <v>210</v>
      </c>
      <c r="U264" s="87" t="s">
        <v>210</v>
      </c>
      <c r="V264" s="87">
        <v>1</v>
      </c>
      <c r="BA264" s="95"/>
    </row>
    <row r="265" spans="1:53" s="87" customFormat="1">
      <c r="A265" s="90" t="str">
        <f t="shared" si="28"/>
        <v/>
      </c>
      <c r="B265" s="89">
        <v>2</v>
      </c>
      <c r="C265" s="87">
        <v>2</v>
      </c>
      <c r="D265" s="87" t="s">
        <v>210</v>
      </c>
      <c r="E265" s="87" t="s">
        <v>210</v>
      </c>
      <c r="F265" s="87" t="s">
        <v>210</v>
      </c>
      <c r="G265" s="87" t="s">
        <v>210</v>
      </c>
      <c r="H265" s="87">
        <v>-1</v>
      </c>
      <c r="I265" s="87" t="s">
        <v>210</v>
      </c>
      <c r="J265" s="87" t="s">
        <v>210</v>
      </c>
      <c r="K265" s="87" t="s">
        <v>210</v>
      </c>
      <c r="L265" s="87">
        <v>2</v>
      </c>
      <c r="M265" s="87" t="s">
        <v>210</v>
      </c>
      <c r="N265" s="87" t="s">
        <v>210</v>
      </c>
      <c r="O265" s="87" t="s">
        <v>210</v>
      </c>
      <c r="P265" s="87" t="s">
        <v>210</v>
      </c>
      <c r="Q265" s="87">
        <v>-2</v>
      </c>
      <c r="R265" s="87" t="s">
        <v>210</v>
      </c>
      <c r="S265" s="87">
        <v>1</v>
      </c>
      <c r="T265" s="87" t="s">
        <v>210</v>
      </c>
      <c r="U265" s="87" t="s">
        <v>210</v>
      </c>
      <c r="V265" s="87">
        <v>-1</v>
      </c>
      <c r="BA265" s="95"/>
    </row>
    <row r="266" spans="1:53" s="87" customFormat="1">
      <c r="A266" s="90" t="str">
        <f t="shared" si="28"/>
        <v/>
      </c>
      <c r="B266" s="89">
        <v>3</v>
      </c>
      <c r="C266" s="87" t="s">
        <v>210</v>
      </c>
      <c r="D266" s="87">
        <v>2</v>
      </c>
      <c r="E266" s="87" t="s">
        <v>210</v>
      </c>
      <c r="F266" s="87">
        <v>-1</v>
      </c>
      <c r="G266" s="87" t="s">
        <v>210</v>
      </c>
      <c r="H266" s="87" t="s">
        <v>210</v>
      </c>
      <c r="I266" s="87">
        <v>1</v>
      </c>
      <c r="J266" s="87" t="s">
        <v>210</v>
      </c>
      <c r="K266" s="87" t="s">
        <v>210</v>
      </c>
      <c r="L266" s="87" t="s">
        <v>210</v>
      </c>
      <c r="M266" s="87" t="s">
        <v>210</v>
      </c>
      <c r="N266" s="87" t="s">
        <v>210</v>
      </c>
      <c r="O266" s="87">
        <v>-2</v>
      </c>
      <c r="P266" s="87" t="s">
        <v>210</v>
      </c>
      <c r="Q266" s="87" t="s">
        <v>210</v>
      </c>
      <c r="R266" s="87" t="s">
        <v>210</v>
      </c>
      <c r="S266" s="87">
        <v>-1</v>
      </c>
      <c r="T266" s="87" t="s">
        <v>210</v>
      </c>
      <c r="U266" s="87" t="s">
        <v>210</v>
      </c>
      <c r="V266" s="87">
        <v>2</v>
      </c>
      <c r="BA266" s="95"/>
    </row>
    <row r="267" spans="1:53" s="87" customFormat="1">
      <c r="A267" s="90" t="str">
        <f t="shared" si="28"/>
        <v/>
      </c>
      <c r="B267" s="89">
        <v>4</v>
      </c>
      <c r="C267" s="87" t="s">
        <v>210</v>
      </c>
      <c r="D267" s="87">
        <v>-1</v>
      </c>
      <c r="E267" s="87" t="s">
        <v>210</v>
      </c>
      <c r="F267" s="87" t="s">
        <v>210</v>
      </c>
      <c r="G267" s="87" t="s">
        <v>210</v>
      </c>
      <c r="H267" s="87">
        <v>1</v>
      </c>
      <c r="I267" s="87" t="s">
        <v>210</v>
      </c>
      <c r="J267" s="87">
        <v>2</v>
      </c>
      <c r="K267" s="87" t="s">
        <v>210</v>
      </c>
      <c r="L267" s="87" t="s">
        <v>210</v>
      </c>
      <c r="M267" s="87">
        <v>-2</v>
      </c>
      <c r="N267" s="87" t="s">
        <v>210</v>
      </c>
      <c r="O267" s="87" t="s">
        <v>210</v>
      </c>
      <c r="P267" s="87" t="s">
        <v>210</v>
      </c>
      <c r="Q267" s="87">
        <v>1</v>
      </c>
      <c r="R267" s="87" t="s">
        <v>210</v>
      </c>
      <c r="S267" s="87" t="s">
        <v>210</v>
      </c>
      <c r="T267" s="87" t="s">
        <v>210</v>
      </c>
      <c r="U267" s="87" t="s">
        <v>210</v>
      </c>
      <c r="V267" s="87">
        <v>-2</v>
      </c>
      <c r="BA267" s="95"/>
    </row>
    <row r="268" spans="1:53" s="87" customFormat="1">
      <c r="A268" s="90" t="str">
        <f t="shared" ref="A268:A331" si="29">IF(MID(B268,3,2)="02",ROW(),"")</f>
        <v/>
      </c>
      <c r="B268" s="89">
        <v>5</v>
      </c>
      <c r="C268" s="87" t="s">
        <v>210</v>
      </c>
      <c r="D268" s="87" t="s">
        <v>210</v>
      </c>
      <c r="E268" s="87" t="s">
        <v>210</v>
      </c>
      <c r="F268" s="87">
        <v>2</v>
      </c>
      <c r="G268" s="87" t="s">
        <v>210</v>
      </c>
      <c r="H268" s="87" t="s">
        <v>210</v>
      </c>
      <c r="I268" s="87" t="s">
        <v>210</v>
      </c>
      <c r="J268" s="87">
        <v>1</v>
      </c>
      <c r="K268" s="87" t="s">
        <v>210</v>
      </c>
      <c r="L268" s="87">
        <v>-2</v>
      </c>
      <c r="M268" s="87" t="s">
        <v>210</v>
      </c>
      <c r="N268" s="87" t="s">
        <v>210</v>
      </c>
      <c r="O268" s="87">
        <v>2</v>
      </c>
      <c r="P268" s="87" t="s">
        <v>210</v>
      </c>
      <c r="Q268" s="87">
        <v>-1</v>
      </c>
      <c r="R268" s="87" t="s">
        <v>210</v>
      </c>
      <c r="S268" s="87" t="s">
        <v>210</v>
      </c>
      <c r="T268" s="87" t="s">
        <v>210</v>
      </c>
      <c r="U268" s="87">
        <v>-2</v>
      </c>
      <c r="V268" s="87" t="s">
        <v>210</v>
      </c>
      <c r="BA268" s="95"/>
    </row>
    <row r="269" spans="1:53" s="87" customFormat="1">
      <c r="A269" s="90" t="str">
        <f t="shared" si="29"/>
        <v/>
      </c>
      <c r="B269" s="89">
        <v>6</v>
      </c>
      <c r="C269" s="87">
        <v>-2</v>
      </c>
      <c r="D269" s="87" t="s">
        <v>210</v>
      </c>
      <c r="E269" s="87" t="s">
        <v>210</v>
      </c>
      <c r="F269" s="87">
        <v>1</v>
      </c>
      <c r="G269" s="87" t="s">
        <v>210</v>
      </c>
      <c r="H269" s="87" t="s">
        <v>210</v>
      </c>
      <c r="I269" s="87" t="s">
        <v>210</v>
      </c>
      <c r="J269" s="87">
        <v>-2</v>
      </c>
      <c r="K269" s="87" t="s">
        <v>210</v>
      </c>
      <c r="L269" s="87" t="s">
        <v>210</v>
      </c>
      <c r="M269" s="87">
        <v>-1</v>
      </c>
      <c r="N269" s="87" t="s">
        <v>210</v>
      </c>
      <c r="O269" s="87" t="s">
        <v>210</v>
      </c>
      <c r="P269" s="87">
        <v>1</v>
      </c>
      <c r="Q269" s="87" t="s">
        <v>210</v>
      </c>
      <c r="R269" s="87" t="s">
        <v>210</v>
      </c>
      <c r="S269" s="87" t="s">
        <v>210</v>
      </c>
      <c r="T269" s="87" t="s">
        <v>210</v>
      </c>
      <c r="U269" s="87">
        <v>2</v>
      </c>
      <c r="V269" s="87" t="s">
        <v>210</v>
      </c>
      <c r="BA269" s="95"/>
    </row>
    <row r="270" spans="1:53" s="87" customFormat="1">
      <c r="A270" s="90" t="str">
        <f t="shared" si="29"/>
        <v/>
      </c>
      <c r="B270" s="99">
        <v>7</v>
      </c>
      <c r="C270" s="233" t="s">
        <v>210</v>
      </c>
      <c r="D270" s="233">
        <v>1</v>
      </c>
      <c r="E270" s="233" t="s">
        <v>210</v>
      </c>
      <c r="F270" s="233">
        <v>-2</v>
      </c>
      <c r="G270" s="233" t="s">
        <v>210</v>
      </c>
      <c r="H270" s="233" t="s">
        <v>210</v>
      </c>
      <c r="I270" s="233">
        <v>-1</v>
      </c>
      <c r="J270" s="233" t="s">
        <v>210</v>
      </c>
      <c r="K270" s="233" t="s">
        <v>210</v>
      </c>
      <c r="L270" s="233" t="s">
        <v>210</v>
      </c>
      <c r="M270" s="233">
        <v>1</v>
      </c>
      <c r="N270" s="233" t="s">
        <v>210</v>
      </c>
      <c r="O270" s="233" t="s">
        <v>210</v>
      </c>
      <c r="P270" s="233" t="s">
        <v>210</v>
      </c>
      <c r="Q270" s="233">
        <v>2</v>
      </c>
      <c r="R270" s="233" t="s">
        <v>210</v>
      </c>
      <c r="S270" s="233">
        <v>-2</v>
      </c>
      <c r="T270" s="233" t="s">
        <v>210</v>
      </c>
      <c r="U270" s="233" t="s">
        <v>210</v>
      </c>
      <c r="V270" s="233" t="s">
        <v>210</v>
      </c>
      <c r="BA270" s="95"/>
    </row>
    <row r="271" spans="1:53" s="87" customFormat="1">
      <c r="A271" s="90" t="str">
        <f t="shared" si="29"/>
        <v/>
      </c>
      <c r="B271" s="89">
        <v>8</v>
      </c>
      <c r="C271" s="87">
        <v>1</v>
      </c>
      <c r="D271" s="87" t="s">
        <v>210</v>
      </c>
      <c r="E271" s="87" t="s">
        <v>210</v>
      </c>
      <c r="F271" s="87" t="s">
        <v>210</v>
      </c>
      <c r="G271" s="87" t="s">
        <v>210</v>
      </c>
      <c r="H271" s="87">
        <v>-2</v>
      </c>
      <c r="I271" s="87" t="s">
        <v>210</v>
      </c>
      <c r="J271" s="87" t="s">
        <v>210</v>
      </c>
      <c r="K271" s="87" t="s">
        <v>210</v>
      </c>
      <c r="L271" s="87">
        <v>-1</v>
      </c>
      <c r="M271" s="87" t="s">
        <v>210</v>
      </c>
      <c r="N271" s="87">
        <v>2</v>
      </c>
      <c r="O271" s="87" t="s">
        <v>210</v>
      </c>
      <c r="P271" s="87" t="s">
        <v>210</v>
      </c>
      <c r="Q271" s="87" t="s">
        <v>210</v>
      </c>
      <c r="R271" s="87">
        <v>1</v>
      </c>
      <c r="S271" s="87" t="s">
        <v>210</v>
      </c>
      <c r="T271" s="87" t="s">
        <v>210</v>
      </c>
      <c r="U271" s="87">
        <v>-1</v>
      </c>
      <c r="V271" s="87" t="s">
        <v>210</v>
      </c>
      <c r="BA271" s="95"/>
    </row>
    <row r="272" spans="1:53" s="87" customFormat="1">
      <c r="A272" s="90" t="str">
        <f t="shared" si="29"/>
        <v/>
      </c>
      <c r="B272" s="89">
        <v>9</v>
      </c>
      <c r="C272" s="87">
        <v>-1</v>
      </c>
      <c r="D272" s="87" t="s">
        <v>210</v>
      </c>
      <c r="E272" s="87" t="s">
        <v>210</v>
      </c>
      <c r="F272" s="87" t="s">
        <v>210</v>
      </c>
      <c r="G272" s="87">
        <v>2</v>
      </c>
      <c r="H272" s="87" t="s">
        <v>210</v>
      </c>
      <c r="I272" s="87">
        <v>-2</v>
      </c>
      <c r="J272" s="87" t="s">
        <v>210</v>
      </c>
      <c r="K272" s="87" t="s">
        <v>210</v>
      </c>
      <c r="L272" s="87" t="s">
        <v>210</v>
      </c>
      <c r="M272" s="87" t="s">
        <v>210</v>
      </c>
      <c r="N272" s="87">
        <v>1</v>
      </c>
      <c r="O272" s="87" t="s">
        <v>210</v>
      </c>
      <c r="P272" s="87">
        <v>-2</v>
      </c>
      <c r="Q272" s="87" t="s">
        <v>210</v>
      </c>
      <c r="R272" s="87" t="s">
        <v>210</v>
      </c>
      <c r="S272" s="87" t="s">
        <v>210</v>
      </c>
      <c r="T272" s="87" t="s">
        <v>210</v>
      </c>
      <c r="U272" s="87">
        <v>1</v>
      </c>
      <c r="V272" s="87" t="s">
        <v>210</v>
      </c>
      <c r="BA272" s="95"/>
    </row>
    <row r="273" spans="1:53" s="87" customFormat="1">
      <c r="A273" s="90" t="str">
        <f t="shared" si="29"/>
        <v/>
      </c>
      <c r="B273" s="89">
        <v>10</v>
      </c>
      <c r="C273" s="87" t="s">
        <v>210</v>
      </c>
      <c r="D273" s="87" t="s">
        <v>210</v>
      </c>
      <c r="E273" s="87">
        <v>1</v>
      </c>
      <c r="F273" s="87" t="s">
        <v>210</v>
      </c>
      <c r="G273" s="87">
        <v>-1</v>
      </c>
      <c r="H273" s="87" t="s">
        <v>210</v>
      </c>
      <c r="I273" s="87">
        <v>2</v>
      </c>
      <c r="J273" s="87" t="s">
        <v>210</v>
      </c>
      <c r="K273" s="87" t="s">
        <v>210</v>
      </c>
      <c r="L273" s="87" t="s">
        <v>210</v>
      </c>
      <c r="M273" s="87" t="s">
        <v>210</v>
      </c>
      <c r="N273" s="87" t="s">
        <v>210</v>
      </c>
      <c r="O273" s="87">
        <v>1</v>
      </c>
      <c r="P273" s="87" t="s">
        <v>210</v>
      </c>
      <c r="Q273" s="87" t="s">
        <v>210</v>
      </c>
      <c r="R273" s="87">
        <v>-1</v>
      </c>
      <c r="S273" s="87" t="s">
        <v>210</v>
      </c>
      <c r="T273" s="87">
        <v>-2</v>
      </c>
      <c r="U273" s="87" t="s">
        <v>210</v>
      </c>
      <c r="V273" s="87" t="s">
        <v>210</v>
      </c>
      <c r="BA273" s="95"/>
    </row>
    <row r="274" spans="1:53" s="87" customFormat="1">
      <c r="A274" s="90" t="str">
        <f t="shared" si="29"/>
        <v/>
      </c>
      <c r="B274" s="89">
        <v>11</v>
      </c>
      <c r="C274" s="87" t="s">
        <v>210</v>
      </c>
      <c r="D274" s="87" t="s">
        <v>210</v>
      </c>
      <c r="E274" s="87">
        <v>-1</v>
      </c>
      <c r="F274" s="87" t="s">
        <v>210</v>
      </c>
      <c r="G274" s="87" t="s">
        <v>210</v>
      </c>
      <c r="H274" s="87">
        <v>2</v>
      </c>
      <c r="I274" s="87" t="s">
        <v>210</v>
      </c>
      <c r="J274" s="87" t="s">
        <v>210</v>
      </c>
      <c r="K274" s="87">
        <v>1</v>
      </c>
      <c r="L274" s="87" t="s">
        <v>210</v>
      </c>
      <c r="M274" s="87" t="s">
        <v>210</v>
      </c>
      <c r="N274" s="87">
        <v>-1</v>
      </c>
      <c r="O274" s="87" t="s">
        <v>210</v>
      </c>
      <c r="P274" s="87" t="s">
        <v>210</v>
      </c>
      <c r="Q274" s="87" t="s">
        <v>210</v>
      </c>
      <c r="R274" s="87">
        <v>-2</v>
      </c>
      <c r="S274" s="87" t="s">
        <v>210</v>
      </c>
      <c r="T274" s="87">
        <v>2</v>
      </c>
      <c r="U274" s="87" t="s">
        <v>210</v>
      </c>
      <c r="V274" s="87" t="s">
        <v>210</v>
      </c>
      <c r="BA274" s="95"/>
    </row>
    <row r="275" spans="1:53" s="87" customFormat="1">
      <c r="A275" s="90" t="str">
        <f t="shared" si="29"/>
        <v/>
      </c>
      <c r="B275" s="89">
        <v>12</v>
      </c>
      <c r="C275" s="87" t="s">
        <v>210</v>
      </c>
      <c r="D275" s="87" t="s">
        <v>210</v>
      </c>
      <c r="E275" s="87">
        <v>2</v>
      </c>
      <c r="F275" s="87" t="s">
        <v>210</v>
      </c>
      <c r="G275" s="87">
        <v>-2</v>
      </c>
      <c r="H275" s="87" t="s">
        <v>210</v>
      </c>
      <c r="I275" s="87" t="s">
        <v>210</v>
      </c>
      <c r="J275" s="87" t="s">
        <v>210</v>
      </c>
      <c r="K275" s="87" t="s">
        <v>210</v>
      </c>
      <c r="L275" s="87">
        <v>1</v>
      </c>
      <c r="M275" s="87" t="s">
        <v>210</v>
      </c>
      <c r="N275" s="87" t="s">
        <v>210</v>
      </c>
      <c r="O275" s="87">
        <v>-1</v>
      </c>
      <c r="P275" s="87" t="s">
        <v>210</v>
      </c>
      <c r="Q275" s="87" t="s">
        <v>210</v>
      </c>
      <c r="R275" s="87">
        <v>2</v>
      </c>
      <c r="S275" s="87" t="s">
        <v>210</v>
      </c>
      <c r="T275" s="87">
        <v>-1</v>
      </c>
      <c r="U275" s="87" t="s">
        <v>210</v>
      </c>
      <c r="V275" s="87" t="s">
        <v>210</v>
      </c>
      <c r="BA275" s="95"/>
    </row>
    <row r="276" spans="1:53" s="87" customFormat="1">
      <c r="A276" s="90" t="str">
        <f t="shared" si="29"/>
        <v/>
      </c>
      <c r="B276" s="89">
        <v>13</v>
      </c>
      <c r="C276" s="87" t="s">
        <v>210</v>
      </c>
      <c r="D276" s="87" t="s">
        <v>210</v>
      </c>
      <c r="E276" s="87">
        <v>-2</v>
      </c>
      <c r="F276" s="87" t="s">
        <v>210</v>
      </c>
      <c r="G276" s="87">
        <v>1</v>
      </c>
      <c r="H276" s="87" t="s">
        <v>210</v>
      </c>
      <c r="I276" s="87" t="s">
        <v>210</v>
      </c>
      <c r="J276" s="87" t="s">
        <v>210</v>
      </c>
      <c r="K276" s="87">
        <v>-1</v>
      </c>
      <c r="L276" s="87" t="s">
        <v>210</v>
      </c>
      <c r="M276" s="87" t="s">
        <v>210</v>
      </c>
      <c r="N276" s="87">
        <v>-2</v>
      </c>
      <c r="O276" s="87" t="s">
        <v>210</v>
      </c>
      <c r="P276" s="87">
        <v>2</v>
      </c>
      <c r="Q276" s="87" t="s">
        <v>210</v>
      </c>
      <c r="R276" s="87" t="s">
        <v>210</v>
      </c>
      <c r="S276" s="87" t="s">
        <v>210</v>
      </c>
      <c r="T276" s="87">
        <v>1</v>
      </c>
      <c r="U276" s="87" t="s">
        <v>210</v>
      </c>
      <c r="V276" s="87" t="s">
        <v>210</v>
      </c>
      <c r="BA276" s="95"/>
    </row>
    <row r="277" spans="1:53" s="87" customFormat="1">
      <c r="A277" s="90" t="str">
        <f t="shared" si="29"/>
        <v/>
      </c>
      <c r="B277" s="319" t="s">
        <v>1086</v>
      </c>
      <c r="BA277" s="95"/>
    </row>
    <row r="278" spans="1:53" s="87" customFormat="1">
      <c r="A278" s="90">
        <f t="shared" si="29"/>
        <v>278</v>
      </c>
      <c r="B278" s="319" t="s">
        <v>1219</v>
      </c>
      <c r="BA278" s="95"/>
    </row>
    <row r="279" spans="1:53" s="87" customFormat="1">
      <c r="A279" s="90" t="str">
        <f t="shared" si="29"/>
        <v/>
      </c>
      <c r="B279" s="89">
        <v>1</v>
      </c>
      <c r="C279" s="87" t="s">
        <v>210</v>
      </c>
      <c r="D279" s="87">
        <v>1</v>
      </c>
      <c r="E279" s="87" t="s">
        <v>210</v>
      </c>
      <c r="F279" s="87" t="s">
        <v>210</v>
      </c>
      <c r="G279" s="87" t="s">
        <v>210</v>
      </c>
      <c r="H279" s="87" t="s">
        <v>210</v>
      </c>
      <c r="I279" s="87">
        <v>2</v>
      </c>
      <c r="J279" s="87" t="s">
        <v>210</v>
      </c>
      <c r="K279" s="87" t="s">
        <v>210</v>
      </c>
      <c r="L279" s="87">
        <v>-2</v>
      </c>
      <c r="M279" s="87" t="s">
        <v>210</v>
      </c>
      <c r="N279" s="87" t="s">
        <v>210</v>
      </c>
      <c r="O279" s="87" t="s">
        <v>210</v>
      </c>
      <c r="P279" s="87" t="s">
        <v>210</v>
      </c>
      <c r="Q279" s="87">
        <v>-1</v>
      </c>
      <c r="R279" s="87" t="s">
        <v>210</v>
      </c>
      <c r="S279" s="87" t="s">
        <v>210</v>
      </c>
      <c r="T279" s="87" t="s">
        <v>210</v>
      </c>
      <c r="U279" s="87" t="s">
        <v>210</v>
      </c>
      <c r="V279" s="87">
        <v>1</v>
      </c>
      <c r="BA279" s="95"/>
    </row>
    <row r="280" spans="1:53" s="87" customFormat="1">
      <c r="A280" s="90" t="str">
        <f t="shared" si="29"/>
        <v/>
      </c>
      <c r="B280" s="89">
        <v>2</v>
      </c>
      <c r="C280" s="87" t="s">
        <v>210</v>
      </c>
      <c r="D280" s="87">
        <v>-2</v>
      </c>
      <c r="E280" s="87" t="s">
        <v>210</v>
      </c>
      <c r="F280" s="87" t="s">
        <v>210</v>
      </c>
      <c r="G280" s="87">
        <v>-1</v>
      </c>
      <c r="H280" s="87" t="s">
        <v>210</v>
      </c>
      <c r="I280" s="87" t="s">
        <v>210</v>
      </c>
      <c r="J280" s="87" t="s">
        <v>210</v>
      </c>
      <c r="K280" s="87" t="s">
        <v>210</v>
      </c>
      <c r="L280" s="87" t="s">
        <v>210</v>
      </c>
      <c r="M280" s="87" t="s">
        <v>210</v>
      </c>
      <c r="N280" s="87">
        <v>1</v>
      </c>
      <c r="O280" s="87" t="s">
        <v>210</v>
      </c>
      <c r="P280" s="87" t="s">
        <v>210</v>
      </c>
      <c r="Q280" s="87">
        <v>2</v>
      </c>
      <c r="R280" s="87" t="s">
        <v>210</v>
      </c>
      <c r="S280" s="87" t="s">
        <v>210</v>
      </c>
      <c r="T280" s="87" t="s">
        <v>210</v>
      </c>
      <c r="U280" s="87" t="s">
        <v>210</v>
      </c>
      <c r="V280" s="87">
        <v>-1</v>
      </c>
      <c r="BA280" s="95"/>
    </row>
    <row r="281" spans="1:53" s="87" customFormat="1">
      <c r="A281" s="90" t="str">
        <f t="shared" si="29"/>
        <v/>
      </c>
      <c r="B281" s="89">
        <v>3</v>
      </c>
      <c r="C281" s="87" t="s">
        <v>210</v>
      </c>
      <c r="D281" s="87" t="s">
        <v>210</v>
      </c>
      <c r="E281" s="87" t="s">
        <v>210</v>
      </c>
      <c r="F281" s="87">
        <v>1</v>
      </c>
      <c r="G281" s="87" t="s">
        <v>210</v>
      </c>
      <c r="H281" s="87" t="s">
        <v>210</v>
      </c>
      <c r="I281" s="87">
        <v>-2</v>
      </c>
      <c r="J281" s="87" t="s">
        <v>210</v>
      </c>
      <c r="K281" s="87" t="s">
        <v>210</v>
      </c>
      <c r="L281" s="87" t="s">
        <v>210</v>
      </c>
      <c r="M281" s="87" t="s">
        <v>210</v>
      </c>
      <c r="N281" s="87">
        <v>-1</v>
      </c>
      <c r="O281" s="87" t="s">
        <v>210</v>
      </c>
      <c r="P281" s="87">
        <v>2</v>
      </c>
      <c r="Q281" s="87" t="s">
        <v>210</v>
      </c>
      <c r="R281" s="87" t="s">
        <v>210</v>
      </c>
      <c r="S281" s="87">
        <v>-2</v>
      </c>
      <c r="T281" s="87" t="s">
        <v>210</v>
      </c>
      <c r="U281" s="87" t="s">
        <v>210</v>
      </c>
      <c r="V281" s="87" t="s">
        <v>210</v>
      </c>
      <c r="BA281" s="95"/>
    </row>
    <row r="282" spans="1:53" s="87" customFormat="1">
      <c r="A282" s="90" t="str">
        <f t="shared" si="29"/>
        <v/>
      </c>
      <c r="B282" s="89">
        <v>4</v>
      </c>
      <c r="C282" s="87" t="s">
        <v>210</v>
      </c>
      <c r="D282" s="87">
        <v>2</v>
      </c>
      <c r="E282" s="87" t="s">
        <v>210</v>
      </c>
      <c r="F282" s="87" t="s">
        <v>210</v>
      </c>
      <c r="G282" s="87" t="s">
        <v>210</v>
      </c>
      <c r="H282" s="87">
        <v>-1</v>
      </c>
      <c r="I282" s="87" t="s">
        <v>210</v>
      </c>
      <c r="J282" s="87" t="s">
        <v>210</v>
      </c>
      <c r="K282" s="87" t="s">
        <v>210</v>
      </c>
      <c r="L282" s="87" t="s">
        <v>210</v>
      </c>
      <c r="M282" s="87" t="s">
        <v>210</v>
      </c>
      <c r="N282" s="87">
        <v>-2</v>
      </c>
      <c r="O282" s="87" t="s">
        <v>210</v>
      </c>
      <c r="P282" s="87" t="s">
        <v>210</v>
      </c>
      <c r="Q282" s="87">
        <v>1</v>
      </c>
      <c r="R282" s="87" t="s">
        <v>210</v>
      </c>
      <c r="S282" s="87">
        <v>2</v>
      </c>
      <c r="T282" s="87" t="s">
        <v>210</v>
      </c>
      <c r="U282" s="87" t="s">
        <v>210</v>
      </c>
      <c r="V282" s="87" t="s">
        <v>210</v>
      </c>
      <c r="BA282" s="95"/>
    </row>
    <row r="283" spans="1:53" s="87" customFormat="1">
      <c r="A283" s="90" t="str">
        <f t="shared" si="29"/>
        <v/>
      </c>
      <c r="B283" s="89">
        <v>5</v>
      </c>
      <c r="C283" s="87" t="s">
        <v>210</v>
      </c>
      <c r="D283" s="87">
        <v>-1</v>
      </c>
      <c r="E283" s="87" t="s">
        <v>210</v>
      </c>
      <c r="F283" s="87" t="s">
        <v>210</v>
      </c>
      <c r="G283" s="87">
        <v>1</v>
      </c>
      <c r="H283" s="87" t="s">
        <v>210</v>
      </c>
      <c r="I283" s="87" t="s">
        <v>210</v>
      </c>
      <c r="J283" s="87" t="s">
        <v>210</v>
      </c>
      <c r="K283" s="87" t="s">
        <v>210</v>
      </c>
      <c r="L283" s="87" t="s">
        <v>210</v>
      </c>
      <c r="M283" s="87" t="s">
        <v>210</v>
      </c>
      <c r="N283" s="87">
        <v>2</v>
      </c>
      <c r="O283" s="87" t="s">
        <v>210</v>
      </c>
      <c r="P283" s="87">
        <v>-2</v>
      </c>
      <c r="Q283" s="87" t="s">
        <v>210</v>
      </c>
      <c r="R283" s="87" t="s">
        <v>210</v>
      </c>
      <c r="S283" s="87">
        <v>-1</v>
      </c>
      <c r="T283" s="87" t="s">
        <v>210</v>
      </c>
      <c r="U283" s="87" t="s">
        <v>210</v>
      </c>
      <c r="V283" s="87" t="s">
        <v>210</v>
      </c>
      <c r="BA283" s="95"/>
    </row>
    <row r="284" spans="1:53" s="87" customFormat="1">
      <c r="A284" s="90" t="str">
        <f t="shared" si="29"/>
        <v/>
      </c>
      <c r="B284" s="99">
        <v>6</v>
      </c>
      <c r="C284" s="233" t="s">
        <v>210</v>
      </c>
      <c r="D284" s="233" t="s">
        <v>210</v>
      </c>
      <c r="E284" s="233" t="s">
        <v>210</v>
      </c>
      <c r="F284" s="233">
        <v>-1</v>
      </c>
      <c r="G284" s="233" t="s">
        <v>210</v>
      </c>
      <c r="H284" s="233">
        <v>1</v>
      </c>
      <c r="I284" s="233" t="s">
        <v>210</v>
      </c>
      <c r="J284" s="233" t="s">
        <v>210</v>
      </c>
      <c r="K284" s="233" t="s">
        <v>210</v>
      </c>
      <c r="L284" s="233">
        <v>2</v>
      </c>
      <c r="M284" s="233" t="s">
        <v>210</v>
      </c>
      <c r="N284" s="233" t="s">
        <v>210</v>
      </c>
      <c r="O284" s="233" t="s">
        <v>210</v>
      </c>
      <c r="P284" s="233" t="s">
        <v>210</v>
      </c>
      <c r="Q284" s="233">
        <v>-2</v>
      </c>
      <c r="R284" s="233" t="s">
        <v>210</v>
      </c>
      <c r="S284" s="233">
        <v>1</v>
      </c>
      <c r="T284" s="233" t="s">
        <v>210</v>
      </c>
      <c r="U284" s="233" t="s">
        <v>210</v>
      </c>
      <c r="V284" s="233" t="s">
        <v>210</v>
      </c>
      <c r="BA284" s="95"/>
    </row>
    <row r="285" spans="1:53" s="87" customFormat="1">
      <c r="A285" s="90" t="str">
        <f t="shared" si="29"/>
        <v/>
      </c>
      <c r="B285" s="89">
        <v>7</v>
      </c>
      <c r="C285" s="87" t="s">
        <v>210</v>
      </c>
      <c r="D285" s="87" t="s">
        <v>210</v>
      </c>
      <c r="E285" s="87">
        <v>2</v>
      </c>
      <c r="F285" s="87" t="s">
        <v>210</v>
      </c>
      <c r="G285" s="87" t="s">
        <v>210</v>
      </c>
      <c r="H285" s="87" t="s">
        <v>210</v>
      </c>
      <c r="I285" s="87" t="s">
        <v>210</v>
      </c>
      <c r="J285" s="87">
        <v>1</v>
      </c>
      <c r="K285" s="87" t="s">
        <v>210</v>
      </c>
      <c r="L285" s="87">
        <v>-1</v>
      </c>
      <c r="M285" s="87" t="s">
        <v>210</v>
      </c>
      <c r="N285" s="87" t="s">
        <v>210</v>
      </c>
      <c r="O285" s="87">
        <v>-2</v>
      </c>
      <c r="P285" s="87" t="s">
        <v>210</v>
      </c>
      <c r="Q285" s="87" t="s">
        <v>210</v>
      </c>
      <c r="R285" s="87" t="s">
        <v>210</v>
      </c>
      <c r="S285" s="87" t="s">
        <v>210</v>
      </c>
      <c r="T285" s="87" t="s">
        <v>210</v>
      </c>
      <c r="U285" s="87" t="s">
        <v>210</v>
      </c>
      <c r="V285" s="87">
        <v>2</v>
      </c>
      <c r="BA285" s="95"/>
    </row>
    <row r="286" spans="1:53" s="87" customFormat="1">
      <c r="A286" s="90" t="str">
        <f t="shared" si="29"/>
        <v/>
      </c>
      <c r="B286" s="89">
        <v>8</v>
      </c>
      <c r="C286" s="87" t="s">
        <v>210</v>
      </c>
      <c r="D286" s="87" t="s">
        <v>210</v>
      </c>
      <c r="E286" s="87">
        <v>-1</v>
      </c>
      <c r="F286" s="87" t="s">
        <v>210</v>
      </c>
      <c r="G286" s="87">
        <v>-2</v>
      </c>
      <c r="H286" s="87" t="s">
        <v>210</v>
      </c>
      <c r="I286" s="87" t="s">
        <v>210</v>
      </c>
      <c r="J286" s="87" t="s">
        <v>210</v>
      </c>
      <c r="K286" s="87" t="s">
        <v>210</v>
      </c>
      <c r="L286" s="87" t="s">
        <v>210</v>
      </c>
      <c r="M286" s="87">
        <v>2</v>
      </c>
      <c r="N286" s="87" t="s">
        <v>210</v>
      </c>
      <c r="O286" s="87">
        <v>1</v>
      </c>
      <c r="P286" s="87" t="s">
        <v>210</v>
      </c>
      <c r="Q286" s="87" t="s">
        <v>210</v>
      </c>
      <c r="R286" s="87" t="s">
        <v>210</v>
      </c>
      <c r="S286" s="87" t="s">
        <v>210</v>
      </c>
      <c r="T286" s="87" t="s">
        <v>210</v>
      </c>
      <c r="U286" s="87" t="s">
        <v>210</v>
      </c>
      <c r="V286" s="87">
        <v>-2</v>
      </c>
      <c r="BA286" s="95"/>
    </row>
    <row r="287" spans="1:53" s="87" customFormat="1">
      <c r="A287" s="90" t="str">
        <f t="shared" si="29"/>
        <v/>
      </c>
      <c r="B287" s="89">
        <v>9</v>
      </c>
      <c r="C287" s="87">
        <v>2</v>
      </c>
      <c r="D287" s="87" t="s">
        <v>210</v>
      </c>
      <c r="E287" s="87" t="s">
        <v>210</v>
      </c>
      <c r="F287" s="87" t="s">
        <v>210</v>
      </c>
      <c r="G287" s="87" t="s">
        <v>210</v>
      </c>
      <c r="H287" s="87" t="s">
        <v>210</v>
      </c>
      <c r="I287" s="87" t="s">
        <v>210</v>
      </c>
      <c r="J287" s="87">
        <v>-1</v>
      </c>
      <c r="K287" s="87" t="s">
        <v>210</v>
      </c>
      <c r="L287" s="87" t="s">
        <v>210</v>
      </c>
      <c r="M287" s="87">
        <v>-2</v>
      </c>
      <c r="N287" s="87" t="s">
        <v>210</v>
      </c>
      <c r="O287" s="87" t="s">
        <v>210</v>
      </c>
      <c r="P287" s="87">
        <v>1</v>
      </c>
      <c r="Q287" s="87" t="s">
        <v>210</v>
      </c>
      <c r="R287" s="87" t="s">
        <v>210</v>
      </c>
      <c r="S287" s="87" t="s">
        <v>210</v>
      </c>
      <c r="T287" s="87">
        <v>-1</v>
      </c>
      <c r="U287" s="87" t="s">
        <v>210</v>
      </c>
      <c r="V287" s="87" t="s">
        <v>210</v>
      </c>
      <c r="BA287" s="95"/>
    </row>
    <row r="288" spans="1:53" s="87" customFormat="1">
      <c r="A288" s="90" t="str">
        <f t="shared" si="29"/>
        <v/>
      </c>
      <c r="B288" s="89">
        <v>10</v>
      </c>
      <c r="C288" s="87" t="s">
        <v>210</v>
      </c>
      <c r="D288" s="87" t="s">
        <v>210</v>
      </c>
      <c r="E288" s="87">
        <v>1</v>
      </c>
      <c r="F288" s="87" t="s">
        <v>210</v>
      </c>
      <c r="G288" s="87" t="s">
        <v>210</v>
      </c>
      <c r="H288" s="87" t="s">
        <v>210</v>
      </c>
      <c r="I288" s="87" t="s">
        <v>210</v>
      </c>
      <c r="J288" s="87">
        <v>-2</v>
      </c>
      <c r="K288" s="87" t="s">
        <v>210</v>
      </c>
      <c r="L288" s="87" t="s">
        <v>210</v>
      </c>
      <c r="M288" s="87">
        <v>-1</v>
      </c>
      <c r="N288" s="87" t="s">
        <v>210</v>
      </c>
      <c r="O288" s="87">
        <v>2</v>
      </c>
      <c r="P288" s="87" t="s">
        <v>210</v>
      </c>
      <c r="Q288" s="87" t="s">
        <v>210</v>
      </c>
      <c r="R288" s="87" t="s">
        <v>210</v>
      </c>
      <c r="S288" s="87" t="s">
        <v>210</v>
      </c>
      <c r="T288" s="87">
        <v>1</v>
      </c>
      <c r="U288" s="87" t="s">
        <v>210</v>
      </c>
      <c r="V288" s="87" t="s">
        <v>210</v>
      </c>
      <c r="BA288" s="95"/>
    </row>
    <row r="289" spans="1:53" s="87" customFormat="1">
      <c r="A289" s="90" t="str">
        <f t="shared" si="29"/>
        <v/>
      </c>
      <c r="B289" s="89">
        <v>11</v>
      </c>
      <c r="C289" s="87" t="s">
        <v>210</v>
      </c>
      <c r="D289" s="87" t="s">
        <v>210</v>
      </c>
      <c r="E289" s="87">
        <v>-2</v>
      </c>
      <c r="F289" s="87" t="s">
        <v>210</v>
      </c>
      <c r="G289" s="87">
        <v>2</v>
      </c>
      <c r="H289" s="87" t="s">
        <v>210</v>
      </c>
      <c r="I289" s="87" t="s">
        <v>210</v>
      </c>
      <c r="J289" s="87" t="s">
        <v>210</v>
      </c>
      <c r="K289" s="87" t="s">
        <v>210</v>
      </c>
      <c r="L289" s="87" t="s">
        <v>210</v>
      </c>
      <c r="M289" s="87">
        <v>1</v>
      </c>
      <c r="N289" s="87" t="s">
        <v>210</v>
      </c>
      <c r="O289" s="87" t="s">
        <v>210</v>
      </c>
      <c r="P289" s="87">
        <v>-1</v>
      </c>
      <c r="Q289" s="87" t="s">
        <v>210</v>
      </c>
      <c r="R289" s="87" t="s">
        <v>210</v>
      </c>
      <c r="S289" s="87" t="s">
        <v>210</v>
      </c>
      <c r="T289" s="87">
        <v>-2</v>
      </c>
      <c r="U289" s="87" t="s">
        <v>210</v>
      </c>
      <c r="V289" s="87" t="s">
        <v>210</v>
      </c>
      <c r="BA289" s="95"/>
    </row>
    <row r="290" spans="1:53" s="87" customFormat="1">
      <c r="A290" s="90" t="str">
        <f t="shared" si="29"/>
        <v/>
      </c>
      <c r="B290" s="99">
        <v>12</v>
      </c>
      <c r="C290" s="233">
        <v>-2</v>
      </c>
      <c r="D290" s="233" t="s">
        <v>210</v>
      </c>
      <c r="E290" s="233" t="s">
        <v>210</v>
      </c>
      <c r="F290" s="233" t="s">
        <v>210</v>
      </c>
      <c r="G290" s="233" t="s">
        <v>210</v>
      </c>
      <c r="H290" s="233" t="s">
        <v>210</v>
      </c>
      <c r="I290" s="233" t="s">
        <v>210</v>
      </c>
      <c r="J290" s="233">
        <v>2</v>
      </c>
      <c r="K290" s="233" t="s">
        <v>210</v>
      </c>
      <c r="L290" s="233">
        <v>1</v>
      </c>
      <c r="M290" s="233" t="s">
        <v>210</v>
      </c>
      <c r="N290" s="233" t="s">
        <v>210</v>
      </c>
      <c r="O290" s="233">
        <v>-1</v>
      </c>
      <c r="P290" s="233" t="s">
        <v>210</v>
      </c>
      <c r="Q290" s="233" t="s">
        <v>210</v>
      </c>
      <c r="R290" s="233" t="s">
        <v>210</v>
      </c>
      <c r="S290" s="233" t="s">
        <v>210</v>
      </c>
      <c r="T290" s="233">
        <v>2</v>
      </c>
      <c r="U290" s="233" t="s">
        <v>210</v>
      </c>
      <c r="V290" s="233" t="s">
        <v>210</v>
      </c>
      <c r="BA290" s="95"/>
    </row>
    <row r="291" spans="1:53" s="87" customFormat="1">
      <c r="A291" s="90" t="str">
        <f t="shared" si="29"/>
        <v/>
      </c>
      <c r="B291" s="89">
        <v>13</v>
      </c>
      <c r="C291" s="87" t="s">
        <v>210</v>
      </c>
      <c r="D291" s="87" t="s">
        <v>210</v>
      </c>
      <c r="E291" s="87" t="s">
        <v>210</v>
      </c>
      <c r="F291" s="87">
        <v>-2</v>
      </c>
      <c r="G291" s="87" t="s">
        <v>210</v>
      </c>
      <c r="H291" s="87" t="s">
        <v>210</v>
      </c>
      <c r="I291" s="87" t="s">
        <v>210</v>
      </c>
      <c r="J291" s="87" t="s">
        <v>210</v>
      </c>
      <c r="K291" s="87">
        <v>2</v>
      </c>
      <c r="L291" s="87" t="s">
        <v>210</v>
      </c>
      <c r="M291" s="87" t="s">
        <v>210</v>
      </c>
      <c r="N291" s="87" t="s">
        <v>210</v>
      </c>
      <c r="O291" s="87" t="s">
        <v>210</v>
      </c>
      <c r="P291" s="87" t="s">
        <v>210</v>
      </c>
      <c r="Q291" s="87" t="s">
        <v>210</v>
      </c>
      <c r="R291" s="87">
        <v>-1</v>
      </c>
      <c r="S291" s="87" t="s">
        <v>210</v>
      </c>
      <c r="T291" s="87" t="s">
        <v>210</v>
      </c>
      <c r="U291" s="87">
        <v>1</v>
      </c>
      <c r="V291" s="87" t="s">
        <v>210</v>
      </c>
      <c r="BA291" s="95"/>
    </row>
    <row r="292" spans="1:53" s="87" customFormat="1">
      <c r="A292" s="90" t="str">
        <f t="shared" si="29"/>
        <v/>
      </c>
      <c r="B292" s="89">
        <v>14</v>
      </c>
      <c r="C292" s="87">
        <v>1</v>
      </c>
      <c r="D292" s="87" t="s">
        <v>210</v>
      </c>
      <c r="E292" s="87" t="s">
        <v>210</v>
      </c>
      <c r="F292" s="87" t="s">
        <v>210</v>
      </c>
      <c r="G292" s="87" t="s">
        <v>210</v>
      </c>
      <c r="H292" s="87">
        <v>-2</v>
      </c>
      <c r="I292" s="87" t="s">
        <v>210</v>
      </c>
      <c r="J292" s="87" t="s">
        <v>210</v>
      </c>
      <c r="K292" s="87" t="s">
        <v>210</v>
      </c>
      <c r="L292" s="87" t="s">
        <v>210</v>
      </c>
      <c r="M292" s="87" t="s">
        <v>210</v>
      </c>
      <c r="N292" s="87" t="s">
        <v>210</v>
      </c>
      <c r="O292" s="87" t="s">
        <v>210</v>
      </c>
      <c r="P292" s="87" t="s">
        <v>210</v>
      </c>
      <c r="Q292" s="87" t="s">
        <v>210</v>
      </c>
      <c r="R292" s="87">
        <v>2</v>
      </c>
      <c r="S292" s="87" t="s">
        <v>210</v>
      </c>
      <c r="T292" s="87" t="s">
        <v>210</v>
      </c>
      <c r="U292" s="87">
        <v>-1</v>
      </c>
      <c r="V292" s="87" t="s">
        <v>210</v>
      </c>
      <c r="BA292" s="95"/>
    </row>
    <row r="293" spans="1:53" s="87" customFormat="1">
      <c r="A293" s="90" t="str">
        <f t="shared" si="29"/>
        <v/>
      </c>
      <c r="B293" s="89">
        <v>15</v>
      </c>
      <c r="C293" s="87" t="s">
        <v>210</v>
      </c>
      <c r="D293" s="87" t="s">
        <v>210</v>
      </c>
      <c r="E293" s="87" t="s">
        <v>210</v>
      </c>
      <c r="F293" s="87" t="s">
        <v>210</v>
      </c>
      <c r="G293" s="87" t="s">
        <v>210</v>
      </c>
      <c r="H293" s="87">
        <v>2</v>
      </c>
      <c r="I293" s="87" t="s">
        <v>210</v>
      </c>
      <c r="J293" s="87" t="s">
        <v>210</v>
      </c>
      <c r="K293" s="87">
        <v>-1</v>
      </c>
      <c r="L293" s="87" t="s">
        <v>210</v>
      </c>
      <c r="M293" s="87" t="s">
        <v>210</v>
      </c>
      <c r="N293" s="87" t="s">
        <v>210</v>
      </c>
      <c r="O293" s="87" t="s">
        <v>210</v>
      </c>
      <c r="P293" s="87" t="s">
        <v>210</v>
      </c>
      <c r="Q293" s="87" t="s">
        <v>210</v>
      </c>
      <c r="R293" s="87">
        <v>1</v>
      </c>
      <c r="S293" s="87" t="s">
        <v>210</v>
      </c>
      <c r="T293" s="87" t="s">
        <v>210</v>
      </c>
      <c r="U293" s="87">
        <v>-2</v>
      </c>
      <c r="V293" s="87" t="s">
        <v>210</v>
      </c>
      <c r="BA293" s="95"/>
    </row>
    <row r="294" spans="1:53" s="87" customFormat="1">
      <c r="A294" s="90" t="str">
        <f t="shared" si="29"/>
        <v/>
      </c>
      <c r="B294" s="89">
        <v>16</v>
      </c>
      <c r="C294" s="87">
        <v>-1</v>
      </c>
      <c r="D294" s="87" t="s">
        <v>210</v>
      </c>
      <c r="E294" s="87" t="s">
        <v>210</v>
      </c>
      <c r="F294" s="87" t="s">
        <v>210</v>
      </c>
      <c r="G294" s="87" t="s">
        <v>210</v>
      </c>
      <c r="H294" s="87" t="s">
        <v>210</v>
      </c>
      <c r="I294" s="87">
        <v>1</v>
      </c>
      <c r="J294" s="87" t="s">
        <v>210</v>
      </c>
      <c r="K294" s="87">
        <v>-2</v>
      </c>
      <c r="L294" s="87" t="s">
        <v>210</v>
      </c>
      <c r="M294" s="87" t="s">
        <v>210</v>
      </c>
      <c r="N294" s="87" t="s">
        <v>210</v>
      </c>
      <c r="O294" s="87" t="s">
        <v>210</v>
      </c>
      <c r="P294" s="87" t="s">
        <v>210</v>
      </c>
      <c r="Q294" s="87" t="s">
        <v>210</v>
      </c>
      <c r="R294" s="87" t="s">
        <v>210</v>
      </c>
      <c r="S294" s="87" t="s">
        <v>210</v>
      </c>
      <c r="T294" s="87" t="s">
        <v>210</v>
      </c>
      <c r="U294" s="87">
        <v>2</v>
      </c>
      <c r="V294" s="87" t="s">
        <v>210</v>
      </c>
      <c r="BA294" s="95"/>
    </row>
    <row r="295" spans="1:53" s="87" customFormat="1">
      <c r="A295" s="90" t="str">
        <f t="shared" si="29"/>
        <v/>
      </c>
      <c r="B295" s="89">
        <v>17</v>
      </c>
      <c r="C295" s="87" t="s">
        <v>210</v>
      </c>
      <c r="D295" s="87" t="s">
        <v>210</v>
      </c>
      <c r="E295" s="87" t="s">
        <v>210</v>
      </c>
      <c r="F295" s="87">
        <v>2</v>
      </c>
      <c r="G295" s="87" t="s">
        <v>210</v>
      </c>
      <c r="H295" s="87" t="s">
        <v>210</v>
      </c>
      <c r="I295" s="87">
        <v>-1</v>
      </c>
      <c r="J295" s="87" t="s">
        <v>210</v>
      </c>
      <c r="K295" s="87">
        <v>1</v>
      </c>
      <c r="L295" s="87" t="s">
        <v>210</v>
      </c>
      <c r="M295" s="87" t="s">
        <v>210</v>
      </c>
      <c r="N295" s="87" t="s">
        <v>210</v>
      </c>
      <c r="O295" s="87" t="s">
        <v>210</v>
      </c>
      <c r="P295" s="87" t="s">
        <v>210</v>
      </c>
      <c r="Q295" s="87" t="s">
        <v>210</v>
      </c>
      <c r="R295" s="87">
        <v>-2</v>
      </c>
      <c r="S295" s="87" t="s">
        <v>210</v>
      </c>
      <c r="T295" s="87" t="s">
        <v>210</v>
      </c>
      <c r="U295" s="87" t="s">
        <v>210</v>
      </c>
      <c r="V295" s="87" t="s">
        <v>210</v>
      </c>
      <c r="BA295" s="95"/>
    </row>
    <row r="296" spans="1:53" s="87" customFormat="1">
      <c r="A296" s="90" t="str">
        <f t="shared" si="29"/>
        <v/>
      </c>
      <c r="B296" s="319" t="s">
        <v>1087</v>
      </c>
      <c r="BA296" s="95"/>
    </row>
    <row r="297" spans="1:53" s="87" customFormat="1">
      <c r="A297" s="90">
        <f t="shared" si="29"/>
        <v>297</v>
      </c>
      <c r="B297" s="319" t="s">
        <v>1260</v>
      </c>
      <c r="BA297" s="95"/>
    </row>
    <row r="298" spans="1:53" s="87" customFormat="1">
      <c r="A298" s="90" t="str">
        <f t="shared" si="29"/>
        <v/>
      </c>
      <c r="B298" s="89">
        <v>1</v>
      </c>
      <c r="C298" s="87">
        <v>-2</v>
      </c>
      <c r="D298" s="87" t="s">
        <v>210</v>
      </c>
      <c r="E298" s="87">
        <v>1</v>
      </c>
      <c r="F298" s="87" t="s">
        <v>210</v>
      </c>
      <c r="G298" s="87">
        <v>2</v>
      </c>
      <c r="H298" s="87" t="s">
        <v>210</v>
      </c>
      <c r="I298" s="87" t="s">
        <v>210</v>
      </c>
      <c r="J298" s="87" t="s">
        <v>210</v>
      </c>
      <c r="K298" s="87" t="s">
        <v>210</v>
      </c>
      <c r="L298" s="87">
        <v>-1</v>
      </c>
      <c r="M298" s="87" t="s">
        <v>210</v>
      </c>
      <c r="N298" s="87" t="s">
        <v>210</v>
      </c>
      <c r="O298" s="87" t="s">
        <v>210</v>
      </c>
      <c r="P298" s="87" t="s">
        <v>210</v>
      </c>
      <c r="Q298" s="87" t="s">
        <v>210</v>
      </c>
      <c r="R298" s="87">
        <v>2</v>
      </c>
      <c r="S298" s="87" t="s">
        <v>210</v>
      </c>
      <c r="T298" s="87" t="s">
        <v>210</v>
      </c>
      <c r="U298" s="87">
        <v>-2</v>
      </c>
      <c r="V298" s="87" t="s">
        <v>210</v>
      </c>
      <c r="BA298" s="95"/>
    </row>
    <row r="299" spans="1:53" s="87" customFormat="1">
      <c r="A299" s="90" t="str">
        <f t="shared" si="29"/>
        <v/>
      </c>
      <c r="B299" s="89">
        <v>2</v>
      </c>
      <c r="C299" s="87">
        <v>-1</v>
      </c>
      <c r="D299" s="87" t="s">
        <v>210</v>
      </c>
      <c r="E299" s="87" t="s">
        <v>210</v>
      </c>
      <c r="F299" s="87">
        <v>2</v>
      </c>
      <c r="G299" s="87" t="s">
        <v>210</v>
      </c>
      <c r="H299" s="87">
        <v>-2</v>
      </c>
      <c r="I299" s="87" t="s">
        <v>210</v>
      </c>
      <c r="J299" s="87" t="s">
        <v>210</v>
      </c>
      <c r="K299" s="87">
        <v>1</v>
      </c>
      <c r="L299" s="87" t="s">
        <v>210</v>
      </c>
      <c r="M299" s="87" t="s">
        <v>210</v>
      </c>
      <c r="N299" s="87" t="s">
        <v>210</v>
      </c>
      <c r="O299" s="87" t="s">
        <v>210</v>
      </c>
      <c r="P299" s="87">
        <v>-1</v>
      </c>
      <c r="Q299" s="87" t="s">
        <v>210</v>
      </c>
      <c r="R299" s="87" t="s">
        <v>210</v>
      </c>
      <c r="S299" s="87" t="s">
        <v>210</v>
      </c>
      <c r="T299" s="87" t="s">
        <v>210</v>
      </c>
      <c r="U299" s="87">
        <v>2</v>
      </c>
      <c r="V299" s="87" t="s">
        <v>210</v>
      </c>
      <c r="BA299" s="95"/>
    </row>
    <row r="300" spans="1:53" s="87" customFormat="1">
      <c r="A300" s="90" t="str">
        <f t="shared" si="29"/>
        <v/>
      </c>
      <c r="B300" s="89">
        <v>3</v>
      </c>
      <c r="C300" s="87" t="s">
        <v>210</v>
      </c>
      <c r="D300" s="87" t="s">
        <v>210</v>
      </c>
      <c r="E300" s="87">
        <v>-2</v>
      </c>
      <c r="F300" s="87" t="s">
        <v>210</v>
      </c>
      <c r="G300" s="87" t="s">
        <v>210</v>
      </c>
      <c r="H300" s="87">
        <v>2</v>
      </c>
      <c r="I300" s="87" t="s">
        <v>210</v>
      </c>
      <c r="J300" s="87">
        <v>-1</v>
      </c>
      <c r="K300" s="87" t="s">
        <v>210</v>
      </c>
      <c r="L300" s="87">
        <v>1</v>
      </c>
      <c r="M300" s="87" t="s">
        <v>210</v>
      </c>
      <c r="N300" s="87" t="s">
        <v>210</v>
      </c>
      <c r="O300" s="87">
        <v>-2</v>
      </c>
      <c r="P300" s="87" t="s">
        <v>210</v>
      </c>
      <c r="Q300" s="87" t="s">
        <v>210</v>
      </c>
      <c r="R300" s="87" t="s">
        <v>210</v>
      </c>
      <c r="S300" s="87" t="s">
        <v>210</v>
      </c>
      <c r="T300" s="87" t="s">
        <v>210</v>
      </c>
      <c r="U300" s="87">
        <v>1</v>
      </c>
      <c r="V300" s="87" t="s">
        <v>210</v>
      </c>
      <c r="BA300" s="95"/>
    </row>
    <row r="301" spans="1:53" s="87" customFormat="1">
      <c r="A301" s="90" t="str">
        <f t="shared" si="29"/>
        <v/>
      </c>
      <c r="B301" s="89">
        <v>4</v>
      </c>
      <c r="C301" s="87" t="s">
        <v>210</v>
      </c>
      <c r="D301" s="87" t="s">
        <v>210</v>
      </c>
      <c r="E301" s="87">
        <v>-1</v>
      </c>
      <c r="F301" s="87" t="s">
        <v>210</v>
      </c>
      <c r="G301" s="87" t="s">
        <v>210</v>
      </c>
      <c r="H301" s="87">
        <v>1</v>
      </c>
      <c r="I301" s="87" t="s">
        <v>210</v>
      </c>
      <c r="J301" s="87" t="s">
        <v>210</v>
      </c>
      <c r="K301" s="87">
        <v>-1</v>
      </c>
      <c r="L301" s="87" t="s">
        <v>210</v>
      </c>
      <c r="M301" s="87" t="s">
        <v>210</v>
      </c>
      <c r="N301" s="87">
        <v>-2</v>
      </c>
      <c r="O301" s="87" t="s">
        <v>210</v>
      </c>
      <c r="P301" s="87">
        <v>2</v>
      </c>
      <c r="Q301" s="87" t="s">
        <v>210</v>
      </c>
      <c r="R301" s="87" t="s">
        <v>210</v>
      </c>
      <c r="S301" s="87" t="s">
        <v>210</v>
      </c>
      <c r="T301" s="87" t="s">
        <v>210</v>
      </c>
      <c r="U301" s="87">
        <v>-1</v>
      </c>
      <c r="V301" s="87" t="s">
        <v>210</v>
      </c>
      <c r="BA301" s="95"/>
    </row>
    <row r="302" spans="1:53" s="87" customFormat="1">
      <c r="A302" s="90" t="str">
        <f t="shared" si="29"/>
        <v/>
      </c>
      <c r="B302" s="89">
        <v>5</v>
      </c>
      <c r="C302" s="87" t="s">
        <v>210</v>
      </c>
      <c r="D302" s="87" t="s">
        <v>210</v>
      </c>
      <c r="E302" s="87">
        <v>2</v>
      </c>
      <c r="F302" s="87" t="s">
        <v>210</v>
      </c>
      <c r="G302" s="87">
        <v>-2</v>
      </c>
      <c r="H302" s="87" t="s">
        <v>210</v>
      </c>
      <c r="I302" s="87" t="s">
        <v>210</v>
      </c>
      <c r="J302" s="87" t="s">
        <v>210</v>
      </c>
      <c r="K302" s="87" t="s">
        <v>210</v>
      </c>
      <c r="L302" s="87" t="s">
        <v>210</v>
      </c>
      <c r="M302" s="87" t="s">
        <v>210</v>
      </c>
      <c r="N302" s="87">
        <v>2</v>
      </c>
      <c r="O302" s="87" t="s">
        <v>210</v>
      </c>
      <c r="P302" s="87">
        <v>1</v>
      </c>
      <c r="Q302" s="87" t="s">
        <v>210</v>
      </c>
      <c r="R302" s="87" t="s">
        <v>210</v>
      </c>
      <c r="S302" s="87">
        <v>-2</v>
      </c>
      <c r="T302" s="87" t="s">
        <v>210</v>
      </c>
      <c r="U302" s="87" t="s">
        <v>210</v>
      </c>
      <c r="V302" s="87">
        <v>1</v>
      </c>
      <c r="BA302" s="95"/>
    </row>
    <row r="303" spans="1:53" s="87" customFormat="1">
      <c r="A303" s="90" t="str">
        <f t="shared" si="29"/>
        <v/>
      </c>
      <c r="B303" s="89">
        <v>6</v>
      </c>
      <c r="C303" s="87">
        <v>1</v>
      </c>
      <c r="D303" s="87" t="s">
        <v>210</v>
      </c>
      <c r="E303" s="87" t="s">
        <v>210</v>
      </c>
      <c r="F303" s="87" t="s">
        <v>210</v>
      </c>
      <c r="G303" s="87" t="s">
        <v>210</v>
      </c>
      <c r="H303" s="87">
        <v>-1</v>
      </c>
      <c r="I303" s="87" t="s">
        <v>210</v>
      </c>
      <c r="J303" s="87" t="s">
        <v>210</v>
      </c>
      <c r="K303" s="87" t="s">
        <v>210</v>
      </c>
      <c r="L303" s="87" t="s">
        <v>210</v>
      </c>
      <c r="M303" s="87">
        <v>1</v>
      </c>
      <c r="N303" s="87" t="s">
        <v>210</v>
      </c>
      <c r="O303" s="87">
        <v>2</v>
      </c>
      <c r="P303" s="87" t="s">
        <v>210</v>
      </c>
      <c r="Q303" s="87" t="s">
        <v>210</v>
      </c>
      <c r="R303" s="87">
        <v>-2</v>
      </c>
      <c r="S303" s="87" t="s">
        <v>210</v>
      </c>
      <c r="T303" s="87" t="s">
        <v>210</v>
      </c>
      <c r="U303" s="87" t="s">
        <v>210</v>
      </c>
      <c r="V303" s="87">
        <v>-1</v>
      </c>
      <c r="BA303" s="95"/>
    </row>
    <row r="304" spans="1:53" s="87" customFormat="1">
      <c r="A304" s="90" t="str">
        <f t="shared" si="29"/>
        <v/>
      </c>
      <c r="B304" s="99">
        <v>7</v>
      </c>
      <c r="C304" s="233">
        <v>2</v>
      </c>
      <c r="D304" s="233" t="s">
        <v>210</v>
      </c>
      <c r="E304" s="233" t="s">
        <v>210</v>
      </c>
      <c r="F304" s="233">
        <v>-2</v>
      </c>
      <c r="G304" s="233" t="s">
        <v>210</v>
      </c>
      <c r="H304" s="233" t="s">
        <v>210</v>
      </c>
      <c r="I304" s="233" t="s">
        <v>210</v>
      </c>
      <c r="J304" s="233">
        <v>1</v>
      </c>
      <c r="K304" s="233" t="s">
        <v>210</v>
      </c>
      <c r="L304" s="233" t="s">
        <v>210</v>
      </c>
      <c r="M304" s="233">
        <v>-1</v>
      </c>
      <c r="N304" s="233" t="s">
        <v>210</v>
      </c>
      <c r="O304" s="233" t="s">
        <v>210</v>
      </c>
      <c r="P304" s="233">
        <v>-2</v>
      </c>
      <c r="Q304" s="233" t="s">
        <v>210</v>
      </c>
      <c r="R304" s="233" t="s">
        <v>210</v>
      </c>
      <c r="S304" s="233">
        <v>2</v>
      </c>
      <c r="T304" s="233" t="s">
        <v>210</v>
      </c>
      <c r="U304" s="233" t="s">
        <v>210</v>
      </c>
      <c r="V304" s="233" t="s">
        <v>210</v>
      </c>
      <c r="BA304" s="95"/>
    </row>
    <row r="305" spans="1:53" s="87" customFormat="1">
      <c r="A305" s="90" t="str">
        <f t="shared" si="29"/>
        <v/>
      </c>
      <c r="B305" s="89">
        <v>8</v>
      </c>
      <c r="C305" s="87" t="s">
        <v>210</v>
      </c>
      <c r="D305" s="87" t="s">
        <v>210</v>
      </c>
      <c r="E305" s="87" t="s">
        <v>210</v>
      </c>
      <c r="F305" s="87">
        <v>-1</v>
      </c>
      <c r="G305" s="87" t="s">
        <v>210</v>
      </c>
      <c r="H305" s="87" t="s">
        <v>210</v>
      </c>
      <c r="I305" s="87">
        <v>1</v>
      </c>
      <c r="J305" s="87" t="s">
        <v>210</v>
      </c>
      <c r="K305" s="87" t="s">
        <v>210</v>
      </c>
      <c r="L305" s="87">
        <v>-2</v>
      </c>
      <c r="M305" s="87" t="s">
        <v>210</v>
      </c>
      <c r="N305" s="87" t="s">
        <v>210</v>
      </c>
      <c r="O305" s="87">
        <v>-1</v>
      </c>
      <c r="P305" s="87" t="s">
        <v>210</v>
      </c>
      <c r="Q305" s="87">
        <v>2</v>
      </c>
      <c r="R305" s="87" t="s">
        <v>210</v>
      </c>
      <c r="S305" s="87" t="s">
        <v>210</v>
      </c>
      <c r="T305" s="87">
        <v>-2</v>
      </c>
      <c r="U305" s="87" t="s">
        <v>210</v>
      </c>
      <c r="V305" s="87" t="s">
        <v>210</v>
      </c>
      <c r="BA305" s="95"/>
    </row>
    <row r="306" spans="1:53" s="87" customFormat="1">
      <c r="A306" s="90" t="str">
        <f t="shared" si="29"/>
        <v/>
      </c>
      <c r="B306" s="89">
        <v>9</v>
      </c>
      <c r="C306" s="87" t="s">
        <v>210</v>
      </c>
      <c r="D306" s="87" t="s">
        <v>210</v>
      </c>
      <c r="E306" s="87" t="s">
        <v>210</v>
      </c>
      <c r="F306" s="87">
        <v>1</v>
      </c>
      <c r="G306" s="87" t="s">
        <v>210</v>
      </c>
      <c r="H306" s="87" t="s">
        <v>210</v>
      </c>
      <c r="I306" s="87">
        <v>2</v>
      </c>
      <c r="J306" s="87" t="s">
        <v>210</v>
      </c>
      <c r="K306" s="87">
        <v>-2</v>
      </c>
      <c r="L306" s="87" t="s">
        <v>210</v>
      </c>
      <c r="M306" s="87" t="s">
        <v>210</v>
      </c>
      <c r="N306" s="87">
        <v>-1</v>
      </c>
      <c r="O306" s="87" t="s">
        <v>210</v>
      </c>
      <c r="P306" s="87" t="s">
        <v>210</v>
      </c>
      <c r="Q306" s="87">
        <v>1</v>
      </c>
      <c r="R306" s="87" t="s">
        <v>210</v>
      </c>
      <c r="S306" s="87" t="s">
        <v>210</v>
      </c>
      <c r="T306" s="87">
        <v>2</v>
      </c>
      <c r="U306" s="87" t="s">
        <v>210</v>
      </c>
      <c r="V306" s="87" t="s">
        <v>210</v>
      </c>
      <c r="BA306" s="95"/>
    </row>
    <row r="307" spans="1:53" s="87" customFormat="1">
      <c r="A307" s="90" t="str">
        <f t="shared" si="29"/>
        <v/>
      </c>
      <c r="B307" s="89">
        <v>10</v>
      </c>
      <c r="C307" s="87" t="s">
        <v>210</v>
      </c>
      <c r="D307" s="87">
        <v>1</v>
      </c>
      <c r="E307" s="87" t="s">
        <v>210</v>
      </c>
      <c r="F307" s="87" t="s">
        <v>210</v>
      </c>
      <c r="G307" s="87" t="s">
        <v>210</v>
      </c>
      <c r="H307" s="87" t="s">
        <v>210</v>
      </c>
      <c r="I307" s="87" t="s">
        <v>210</v>
      </c>
      <c r="J307" s="87">
        <v>-2</v>
      </c>
      <c r="K307" s="87" t="s">
        <v>210</v>
      </c>
      <c r="L307" s="87" t="s">
        <v>210</v>
      </c>
      <c r="M307" s="87">
        <v>2</v>
      </c>
      <c r="N307" s="87" t="s">
        <v>210</v>
      </c>
      <c r="O307" s="87">
        <v>1</v>
      </c>
      <c r="P307" s="87" t="s">
        <v>210</v>
      </c>
      <c r="Q307" s="87">
        <v>-1</v>
      </c>
      <c r="R307" s="87" t="s">
        <v>210</v>
      </c>
      <c r="S307" s="87" t="s">
        <v>210</v>
      </c>
      <c r="T307" s="87" t="s">
        <v>210</v>
      </c>
      <c r="U307" s="87" t="s">
        <v>210</v>
      </c>
      <c r="V307" s="87">
        <v>-2</v>
      </c>
      <c r="BA307" s="95"/>
    </row>
    <row r="308" spans="1:53" s="87" customFormat="1">
      <c r="A308" s="90" t="str">
        <f t="shared" si="29"/>
        <v/>
      </c>
      <c r="B308" s="89">
        <v>11</v>
      </c>
      <c r="C308" s="87" t="s">
        <v>210</v>
      </c>
      <c r="D308" s="87">
        <v>-1</v>
      </c>
      <c r="E308" s="87" t="s">
        <v>210</v>
      </c>
      <c r="F308" s="87" t="s">
        <v>210</v>
      </c>
      <c r="G308" s="87">
        <v>1</v>
      </c>
      <c r="H308" s="87" t="s">
        <v>210</v>
      </c>
      <c r="I308" s="87">
        <v>-2</v>
      </c>
      <c r="J308" s="87" t="s">
        <v>210</v>
      </c>
      <c r="K308" s="87" t="s">
        <v>210</v>
      </c>
      <c r="L308" s="87">
        <v>2</v>
      </c>
      <c r="M308" s="87" t="s">
        <v>210</v>
      </c>
      <c r="N308" s="87" t="s">
        <v>210</v>
      </c>
      <c r="O308" s="87" t="s">
        <v>210</v>
      </c>
      <c r="P308" s="87" t="s">
        <v>210</v>
      </c>
      <c r="Q308" s="87" t="s">
        <v>210</v>
      </c>
      <c r="R308" s="87">
        <v>-1</v>
      </c>
      <c r="S308" s="87" t="s">
        <v>210</v>
      </c>
      <c r="T308" s="87" t="s">
        <v>210</v>
      </c>
      <c r="U308" s="87" t="s">
        <v>210</v>
      </c>
      <c r="V308" s="87">
        <v>2</v>
      </c>
      <c r="BA308" s="95"/>
    </row>
    <row r="309" spans="1:53" s="87" customFormat="1">
      <c r="A309" s="90" t="str">
        <f t="shared" si="29"/>
        <v/>
      </c>
      <c r="B309" s="89">
        <v>12</v>
      </c>
      <c r="C309" s="87" t="s">
        <v>210</v>
      </c>
      <c r="D309" s="87">
        <v>-2</v>
      </c>
      <c r="E309" s="87" t="s">
        <v>210</v>
      </c>
      <c r="F309" s="87" t="s">
        <v>210</v>
      </c>
      <c r="G309" s="87">
        <v>-1</v>
      </c>
      <c r="H309" s="87" t="s">
        <v>210</v>
      </c>
      <c r="I309" s="87" t="s">
        <v>210</v>
      </c>
      <c r="J309" s="87">
        <v>2</v>
      </c>
      <c r="K309" s="87" t="s">
        <v>210</v>
      </c>
      <c r="L309" s="87" t="s">
        <v>210</v>
      </c>
      <c r="M309" s="87" t="s">
        <v>210</v>
      </c>
      <c r="N309" s="87">
        <v>1</v>
      </c>
      <c r="O309" s="87" t="s">
        <v>210</v>
      </c>
      <c r="P309" s="87" t="s">
        <v>210</v>
      </c>
      <c r="Q309" s="87">
        <v>-2</v>
      </c>
      <c r="R309" s="87" t="s">
        <v>210</v>
      </c>
      <c r="S309" s="87" t="s">
        <v>210</v>
      </c>
      <c r="T309" s="87">
        <v>1</v>
      </c>
      <c r="U309" s="87" t="s">
        <v>210</v>
      </c>
      <c r="V309" s="87" t="s">
        <v>210</v>
      </c>
      <c r="BA309" s="95"/>
    </row>
    <row r="310" spans="1:53" s="87" customFormat="1">
      <c r="A310" s="90" t="str">
        <f t="shared" si="29"/>
        <v/>
      </c>
      <c r="B310" s="89">
        <v>13</v>
      </c>
      <c r="C310" s="87" t="s">
        <v>210</v>
      </c>
      <c r="D310" s="87">
        <v>2</v>
      </c>
      <c r="E310" s="87" t="s">
        <v>210</v>
      </c>
      <c r="F310" s="87" t="s">
        <v>210</v>
      </c>
      <c r="G310" s="87" t="s">
        <v>210</v>
      </c>
      <c r="H310" s="87" t="s">
        <v>210</v>
      </c>
      <c r="I310" s="87">
        <v>-1</v>
      </c>
      <c r="J310" s="87" t="s">
        <v>210</v>
      </c>
      <c r="K310" s="87">
        <v>2</v>
      </c>
      <c r="L310" s="87" t="s">
        <v>210</v>
      </c>
      <c r="M310" s="87">
        <v>-2</v>
      </c>
      <c r="N310" s="87" t="s">
        <v>210</v>
      </c>
      <c r="O310" s="87" t="s">
        <v>210</v>
      </c>
      <c r="P310" s="87" t="s">
        <v>210</v>
      </c>
      <c r="Q310" s="87" t="s">
        <v>210</v>
      </c>
      <c r="R310" s="87">
        <v>1</v>
      </c>
      <c r="S310" s="87" t="s">
        <v>210</v>
      </c>
      <c r="T310" s="87">
        <v>-1</v>
      </c>
      <c r="U310" s="87" t="s">
        <v>210</v>
      </c>
      <c r="V310" s="87" t="s">
        <v>210</v>
      </c>
      <c r="BA310" s="95"/>
    </row>
    <row r="311" spans="1:53" s="87" customFormat="1">
      <c r="A311" s="90" t="str">
        <f t="shared" si="29"/>
        <v/>
      </c>
      <c r="B311" s="319" t="s">
        <v>1086</v>
      </c>
      <c r="BA311" s="95"/>
    </row>
    <row r="312" spans="1:53" s="87" customFormat="1">
      <c r="A312" s="90">
        <f t="shared" si="29"/>
        <v>312</v>
      </c>
      <c r="B312" s="89" t="s">
        <v>1261</v>
      </c>
      <c r="BA312" s="95"/>
    </row>
    <row r="313" spans="1:53" s="87" customFormat="1">
      <c r="A313" s="90" t="str">
        <f t="shared" si="29"/>
        <v/>
      </c>
      <c r="B313" s="89">
        <v>1</v>
      </c>
      <c r="C313" s="87" t="s">
        <v>210</v>
      </c>
      <c r="D313" s="87">
        <v>-1</v>
      </c>
      <c r="E313" s="87" t="s">
        <v>210</v>
      </c>
      <c r="F313" s="87" t="s">
        <v>210</v>
      </c>
      <c r="G313" s="87">
        <v>2</v>
      </c>
      <c r="H313" s="87" t="s">
        <v>210</v>
      </c>
      <c r="I313" s="87" t="s">
        <v>210</v>
      </c>
      <c r="J313" s="87">
        <v>-2</v>
      </c>
      <c r="K313" s="87" t="s">
        <v>210</v>
      </c>
      <c r="L313" s="87">
        <v>1</v>
      </c>
      <c r="M313" s="87" t="s">
        <v>210</v>
      </c>
      <c r="N313" s="87" t="s">
        <v>210</v>
      </c>
      <c r="O313" s="87">
        <v>2</v>
      </c>
      <c r="P313" s="87" t="s">
        <v>210</v>
      </c>
      <c r="Q313" s="87" t="s">
        <v>210</v>
      </c>
      <c r="R313" s="87" t="s">
        <v>210</v>
      </c>
      <c r="S313" s="87" t="s">
        <v>210</v>
      </c>
      <c r="T313" s="87" t="s">
        <v>210</v>
      </c>
      <c r="U313" s="87">
        <v>-1</v>
      </c>
      <c r="V313" s="87" t="s">
        <v>210</v>
      </c>
      <c r="W313" s="87" t="s">
        <v>210</v>
      </c>
      <c r="X313" s="87" t="s">
        <v>210</v>
      </c>
      <c r="Y313" s="87" t="s">
        <v>210</v>
      </c>
      <c r="Z313" s="87">
        <v>1</v>
      </c>
      <c r="AA313" s="87" t="s">
        <v>210</v>
      </c>
      <c r="BA313" s="95"/>
    </row>
    <row r="314" spans="1:53" s="87" customFormat="1">
      <c r="A314" s="90" t="str">
        <f t="shared" si="29"/>
        <v/>
      </c>
      <c r="B314" s="89">
        <v>2</v>
      </c>
      <c r="C314" s="87" t="s">
        <v>210</v>
      </c>
      <c r="D314" s="87" t="s">
        <v>210</v>
      </c>
      <c r="E314" s="87">
        <v>1</v>
      </c>
      <c r="F314" s="87" t="s">
        <v>210</v>
      </c>
      <c r="G314" s="87">
        <v>-2</v>
      </c>
      <c r="H314" s="87" t="s">
        <v>210</v>
      </c>
      <c r="I314" s="87" t="s">
        <v>210</v>
      </c>
      <c r="J314" s="87">
        <v>-1</v>
      </c>
      <c r="K314" s="87" t="s">
        <v>210</v>
      </c>
      <c r="L314" s="87">
        <v>2</v>
      </c>
      <c r="M314" s="87" t="s">
        <v>210</v>
      </c>
      <c r="N314" s="87" t="s">
        <v>210</v>
      </c>
      <c r="O314" s="87" t="s">
        <v>210</v>
      </c>
      <c r="P314" s="87" t="s">
        <v>210</v>
      </c>
      <c r="Q314" s="87">
        <v>-1</v>
      </c>
      <c r="R314" s="87" t="s">
        <v>210</v>
      </c>
      <c r="S314" s="87">
        <v>-2</v>
      </c>
      <c r="T314" s="87" t="s">
        <v>210</v>
      </c>
      <c r="U314" s="87" t="s">
        <v>210</v>
      </c>
      <c r="V314" s="87" t="s">
        <v>210</v>
      </c>
      <c r="W314" s="87" t="s">
        <v>210</v>
      </c>
      <c r="X314" s="87" t="s">
        <v>210</v>
      </c>
      <c r="Y314" s="87" t="s">
        <v>210</v>
      </c>
      <c r="Z314" s="87">
        <v>2</v>
      </c>
      <c r="AA314" s="87" t="s">
        <v>210</v>
      </c>
      <c r="BA314" s="95"/>
    </row>
    <row r="315" spans="1:53" s="87" customFormat="1">
      <c r="A315" s="90" t="str">
        <f t="shared" si="29"/>
        <v/>
      </c>
      <c r="B315" s="89">
        <v>3</v>
      </c>
      <c r="C315" s="87">
        <v>1</v>
      </c>
      <c r="D315" s="87" t="s">
        <v>210</v>
      </c>
      <c r="E315" s="87" t="s">
        <v>210</v>
      </c>
      <c r="F315" s="87" t="s">
        <v>210</v>
      </c>
      <c r="G315" s="87" t="s">
        <v>210</v>
      </c>
      <c r="H315" s="87">
        <v>2</v>
      </c>
      <c r="I315" s="87" t="s">
        <v>210</v>
      </c>
      <c r="J315" s="87" t="s">
        <v>210</v>
      </c>
      <c r="K315" s="87" t="s">
        <v>210</v>
      </c>
      <c r="L315" s="87">
        <v>-2</v>
      </c>
      <c r="M315" s="87" t="s">
        <v>210</v>
      </c>
      <c r="N315" s="87" t="s">
        <v>210</v>
      </c>
      <c r="O315" s="87">
        <v>1</v>
      </c>
      <c r="P315" s="87" t="s">
        <v>210</v>
      </c>
      <c r="Q315" s="87" t="s">
        <v>210</v>
      </c>
      <c r="R315" s="87">
        <v>-1</v>
      </c>
      <c r="S315" s="87" t="s">
        <v>210</v>
      </c>
      <c r="T315" s="87" t="s">
        <v>210</v>
      </c>
      <c r="U315" s="87">
        <v>1</v>
      </c>
      <c r="V315" s="87" t="s">
        <v>210</v>
      </c>
      <c r="W315" s="87" t="s">
        <v>210</v>
      </c>
      <c r="X315" s="87" t="s">
        <v>210</v>
      </c>
      <c r="Y315" s="87">
        <v>-2</v>
      </c>
      <c r="Z315" s="87" t="s">
        <v>210</v>
      </c>
      <c r="AA315" s="87" t="s">
        <v>210</v>
      </c>
      <c r="BA315" s="95"/>
    </row>
    <row r="316" spans="1:53" s="87" customFormat="1">
      <c r="A316" s="90" t="str">
        <f t="shared" si="29"/>
        <v/>
      </c>
      <c r="B316" s="89">
        <v>4</v>
      </c>
      <c r="C316" s="87" t="s">
        <v>210</v>
      </c>
      <c r="D316" s="87" t="s">
        <v>210</v>
      </c>
      <c r="E316" s="87">
        <v>-1</v>
      </c>
      <c r="F316" s="87" t="s">
        <v>210</v>
      </c>
      <c r="G316" s="87" t="s">
        <v>210</v>
      </c>
      <c r="H316" s="87" t="s">
        <v>210</v>
      </c>
      <c r="I316" s="87" t="s">
        <v>210</v>
      </c>
      <c r="J316" s="87">
        <v>2</v>
      </c>
      <c r="K316" s="87" t="s">
        <v>210</v>
      </c>
      <c r="L316" s="87" t="s">
        <v>210</v>
      </c>
      <c r="M316" s="87">
        <v>-2</v>
      </c>
      <c r="N316" s="87" t="s">
        <v>210</v>
      </c>
      <c r="O316" s="87">
        <v>-1</v>
      </c>
      <c r="P316" s="87" t="s">
        <v>210</v>
      </c>
      <c r="Q316" s="87" t="s">
        <v>210</v>
      </c>
      <c r="R316" s="87">
        <v>2</v>
      </c>
      <c r="S316" s="87" t="s">
        <v>210</v>
      </c>
      <c r="T316" s="87">
        <v>-2</v>
      </c>
      <c r="U316" s="87" t="s">
        <v>210</v>
      </c>
      <c r="V316" s="87" t="s">
        <v>210</v>
      </c>
      <c r="W316" s="87">
        <v>1</v>
      </c>
      <c r="X316" s="87" t="s">
        <v>210</v>
      </c>
      <c r="Y316" s="87" t="s">
        <v>210</v>
      </c>
      <c r="Z316" s="87" t="s">
        <v>210</v>
      </c>
      <c r="AA316" s="87" t="s">
        <v>210</v>
      </c>
      <c r="BA316" s="95"/>
    </row>
    <row r="317" spans="1:53" s="87" customFormat="1">
      <c r="A317" s="90" t="str">
        <f t="shared" si="29"/>
        <v/>
      </c>
      <c r="B317" s="89">
        <v>5</v>
      </c>
      <c r="C317" s="87" t="s">
        <v>210</v>
      </c>
      <c r="D317" s="87" t="s">
        <v>210</v>
      </c>
      <c r="E317" s="87">
        <v>2</v>
      </c>
      <c r="F317" s="87" t="s">
        <v>210</v>
      </c>
      <c r="G317" s="87" t="s">
        <v>210</v>
      </c>
      <c r="H317" s="87">
        <v>-2</v>
      </c>
      <c r="I317" s="87" t="s">
        <v>210</v>
      </c>
      <c r="J317" s="87" t="s">
        <v>210</v>
      </c>
      <c r="K317" s="87">
        <v>-1</v>
      </c>
      <c r="L317" s="87" t="s">
        <v>210</v>
      </c>
      <c r="M317" s="87" t="s">
        <v>210</v>
      </c>
      <c r="N317" s="87" t="s">
        <v>210</v>
      </c>
      <c r="O317" s="87" t="s">
        <v>210</v>
      </c>
      <c r="P317" s="87" t="s">
        <v>210</v>
      </c>
      <c r="Q317" s="87">
        <v>1</v>
      </c>
      <c r="R317" s="87" t="s">
        <v>210</v>
      </c>
      <c r="S317" s="87" t="s">
        <v>210</v>
      </c>
      <c r="T317" s="87">
        <v>2</v>
      </c>
      <c r="U317" s="87" t="s">
        <v>210</v>
      </c>
      <c r="V317" s="87" t="s">
        <v>210</v>
      </c>
      <c r="W317" s="87">
        <v>-2</v>
      </c>
      <c r="X317" s="87" t="s">
        <v>210</v>
      </c>
      <c r="Y317" s="87" t="s">
        <v>210</v>
      </c>
      <c r="Z317" s="87">
        <v>-1</v>
      </c>
      <c r="AA317" s="87" t="s">
        <v>210</v>
      </c>
      <c r="BA317" s="95"/>
    </row>
    <row r="318" spans="1:53" s="87" customFormat="1">
      <c r="A318" s="90" t="str">
        <f t="shared" si="29"/>
        <v/>
      </c>
      <c r="B318" s="89">
        <v>6</v>
      </c>
      <c r="C318" s="87" t="s">
        <v>210</v>
      </c>
      <c r="D318" s="87">
        <v>1</v>
      </c>
      <c r="E318" s="87" t="s">
        <v>210</v>
      </c>
      <c r="F318" s="87" t="s">
        <v>210</v>
      </c>
      <c r="G318" s="87">
        <v>-1</v>
      </c>
      <c r="H318" s="87" t="s">
        <v>210</v>
      </c>
      <c r="I318" s="87" t="s">
        <v>210</v>
      </c>
      <c r="J318" s="87" t="s">
        <v>210</v>
      </c>
      <c r="K318" s="87" t="s">
        <v>210</v>
      </c>
      <c r="L318" s="87" t="s">
        <v>210</v>
      </c>
      <c r="M318" s="87">
        <v>2</v>
      </c>
      <c r="N318" s="87" t="s">
        <v>210</v>
      </c>
      <c r="O318" s="87" t="s">
        <v>210</v>
      </c>
      <c r="P318" s="87" t="s">
        <v>210</v>
      </c>
      <c r="Q318" s="87" t="s">
        <v>210</v>
      </c>
      <c r="R318" s="87">
        <v>1</v>
      </c>
      <c r="S318" s="87" t="s">
        <v>210</v>
      </c>
      <c r="T318" s="87">
        <v>-1</v>
      </c>
      <c r="U318" s="87" t="s">
        <v>210</v>
      </c>
      <c r="V318" s="87" t="s">
        <v>210</v>
      </c>
      <c r="W318" s="87">
        <v>2</v>
      </c>
      <c r="X318" s="87" t="s">
        <v>210</v>
      </c>
      <c r="Y318" s="87" t="s">
        <v>210</v>
      </c>
      <c r="Z318" s="87">
        <v>-2</v>
      </c>
      <c r="AA318" s="87" t="s">
        <v>210</v>
      </c>
      <c r="BA318" s="95"/>
    </row>
    <row r="319" spans="1:53" s="87" customFormat="1">
      <c r="A319" s="90" t="str">
        <f t="shared" si="29"/>
        <v/>
      </c>
      <c r="B319" s="99">
        <v>7</v>
      </c>
      <c r="C319" s="233" t="s">
        <v>210</v>
      </c>
      <c r="D319" s="233" t="s">
        <v>210</v>
      </c>
      <c r="E319" s="233">
        <v>-2</v>
      </c>
      <c r="F319" s="233" t="s">
        <v>210</v>
      </c>
      <c r="G319" s="233" t="s">
        <v>210</v>
      </c>
      <c r="H319" s="233" t="s">
        <v>210</v>
      </c>
      <c r="I319" s="233" t="s">
        <v>210</v>
      </c>
      <c r="J319" s="233">
        <v>1</v>
      </c>
      <c r="K319" s="233" t="s">
        <v>210</v>
      </c>
      <c r="L319" s="233">
        <v>-1</v>
      </c>
      <c r="M319" s="233" t="s">
        <v>210</v>
      </c>
      <c r="N319" s="233" t="s">
        <v>210</v>
      </c>
      <c r="O319" s="233" t="s">
        <v>210</v>
      </c>
      <c r="P319" s="233" t="s">
        <v>210</v>
      </c>
      <c r="Q319" s="233" t="s">
        <v>210</v>
      </c>
      <c r="R319" s="233">
        <v>-2</v>
      </c>
      <c r="S319" s="233" t="s">
        <v>210</v>
      </c>
      <c r="T319" s="233">
        <v>1</v>
      </c>
      <c r="U319" s="233" t="s">
        <v>210</v>
      </c>
      <c r="V319" s="233" t="s">
        <v>210</v>
      </c>
      <c r="W319" s="233" t="s">
        <v>210</v>
      </c>
      <c r="X319" s="233" t="s">
        <v>210</v>
      </c>
      <c r="Y319" s="233">
        <v>2</v>
      </c>
      <c r="Z319" s="233" t="s">
        <v>210</v>
      </c>
      <c r="AA319" s="233">
        <v>-1</v>
      </c>
      <c r="BA319" s="95"/>
    </row>
    <row r="320" spans="1:53" s="87" customFormat="1">
      <c r="A320" s="90" t="str">
        <f t="shared" si="29"/>
        <v/>
      </c>
      <c r="B320" s="89">
        <v>8</v>
      </c>
      <c r="C320" s="87" t="s">
        <v>210</v>
      </c>
      <c r="D320" s="87">
        <v>2</v>
      </c>
      <c r="E320" s="87" t="s">
        <v>210</v>
      </c>
      <c r="F320" s="87" t="s">
        <v>210</v>
      </c>
      <c r="G320" s="87" t="s">
        <v>210</v>
      </c>
      <c r="H320" s="87" t="s">
        <v>210</v>
      </c>
      <c r="I320" s="87">
        <v>1</v>
      </c>
      <c r="J320" s="87" t="s">
        <v>210</v>
      </c>
      <c r="K320" s="87" t="s">
        <v>210</v>
      </c>
      <c r="L320" s="87" t="s">
        <v>210</v>
      </c>
      <c r="M320" s="87">
        <v>-1</v>
      </c>
      <c r="N320" s="87" t="s">
        <v>210</v>
      </c>
      <c r="O320" s="87">
        <v>-2</v>
      </c>
      <c r="P320" s="87" t="s">
        <v>210</v>
      </c>
      <c r="Q320" s="87" t="s">
        <v>210</v>
      </c>
      <c r="R320" s="87" t="s">
        <v>210</v>
      </c>
      <c r="S320" s="87" t="s">
        <v>210</v>
      </c>
      <c r="T320" s="87" t="s">
        <v>210</v>
      </c>
      <c r="U320" s="87" t="s">
        <v>210</v>
      </c>
      <c r="V320" s="87">
        <v>-1</v>
      </c>
      <c r="W320" s="87" t="s">
        <v>210</v>
      </c>
      <c r="X320" s="87">
        <v>1</v>
      </c>
      <c r="Y320" s="87" t="s">
        <v>210</v>
      </c>
      <c r="Z320" s="87" t="s">
        <v>210</v>
      </c>
      <c r="AA320" s="87">
        <v>2</v>
      </c>
      <c r="BA320" s="95"/>
    </row>
    <row r="321" spans="1:53" s="87" customFormat="1">
      <c r="A321" s="90" t="str">
        <f t="shared" si="29"/>
        <v/>
      </c>
      <c r="B321" s="89">
        <v>9</v>
      </c>
      <c r="C321" s="87" t="s">
        <v>210</v>
      </c>
      <c r="D321" s="87" t="s">
        <v>210</v>
      </c>
      <c r="E321" s="87" t="s">
        <v>210</v>
      </c>
      <c r="F321" s="87">
        <v>-1</v>
      </c>
      <c r="G321" s="87" t="s">
        <v>210</v>
      </c>
      <c r="H321" s="87" t="s">
        <v>210</v>
      </c>
      <c r="I321" s="87">
        <v>2</v>
      </c>
      <c r="J321" s="87" t="s">
        <v>210</v>
      </c>
      <c r="K321" s="87" t="s">
        <v>210</v>
      </c>
      <c r="L321" s="87" t="s">
        <v>210</v>
      </c>
      <c r="M321" s="87" t="s">
        <v>210</v>
      </c>
      <c r="N321" s="87">
        <v>1</v>
      </c>
      <c r="O321" s="87" t="s">
        <v>210</v>
      </c>
      <c r="P321" s="87">
        <v>-2</v>
      </c>
      <c r="Q321" s="87" t="s">
        <v>210</v>
      </c>
      <c r="R321" s="87" t="s">
        <v>210</v>
      </c>
      <c r="S321" s="87">
        <v>2</v>
      </c>
      <c r="T321" s="87" t="s">
        <v>210</v>
      </c>
      <c r="U321" s="87" t="s">
        <v>210</v>
      </c>
      <c r="V321" s="87" t="s">
        <v>210</v>
      </c>
      <c r="W321" s="87" t="s">
        <v>210</v>
      </c>
      <c r="X321" s="87" t="s">
        <v>210</v>
      </c>
      <c r="Y321" s="87">
        <v>-1</v>
      </c>
      <c r="Z321" s="87" t="s">
        <v>210</v>
      </c>
      <c r="AA321" s="87">
        <v>-2</v>
      </c>
      <c r="BA321" s="95"/>
    </row>
    <row r="322" spans="1:53" s="87" customFormat="1">
      <c r="A322" s="90" t="str">
        <f t="shared" si="29"/>
        <v/>
      </c>
      <c r="B322" s="89">
        <v>10</v>
      </c>
      <c r="C322" s="87">
        <v>-1</v>
      </c>
      <c r="D322" s="87" t="s">
        <v>210</v>
      </c>
      <c r="E322" s="87" t="s">
        <v>210</v>
      </c>
      <c r="F322" s="87" t="s">
        <v>210</v>
      </c>
      <c r="G322" s="87" t="s">
        <v>210</v>
      </c>
      <c r="H322" s="87">
        <v>1</v>
      </c>
      <c r="I322" s="87" t="s">
        <v>210</v>
      </c>
      <c r="J322" s="87" t="s">
        <v>210</v>
      </c>
      <c r="K322" s="87">
        <v>-2</v>
      </c>
      <c r="L322" s="87" t="s">
        <v>210</v>
      </c>
      <c r="M322" s="87" t="s">
        <v>210</v>
      </c>
      <c r="N322" s="87">
        <v>-1</v>
      </c>
      <c r="O322" s="87" t="s">
        <v>210</v>
      </c>
      <c r="P322" s="87" t="s">
        <v>210</v>
      </c>
      <c r="Q322" s="87">
        <v>2</v>
      </c>
      <c r="R322" s="87" t="s">
        <v>210</v>
      </c>
      <c r="S322" s="87" t="s">
        <v>210</v>
      </c>
      <c r="T322" s="87" t="s">
        <v>210</v>
      </c>
      <c r="U322" s="87" t="s">
        <v>210</v>
      </c>
      <c r="V322" s="87">
        <v>1</v>
      </c>
      <c r="W322" s="87" t="s">
        <v>210</v>
      </c>
      <c r="X322" s="87">
        <v>-2</v>
      </c>
      <c r="Y322" s="87" t="s">
        <v>210</v>
      </c>
      <c r="Z322" s="87" t="s">
        <v>210</v>
      </c>
      <c r="AA322" s="87" t="s">
        <v>210</v>
      </c>
      <c r="BA322" s="95"/>
    </row>
    <row r="323" spans="1:53" s="87" customFormat="1">
      <c r="A323" s="90" t="str">
        <f t="shared" si="29"/>
        <v/>
      </c>
      <c r="B323" s="89">
        <v>11</v>
      </c>
      <c r="C323" s="87" t="s">
        <v>210</v>
      </c>
      <c r="D323" s="87" t="s">
        <v>210</v>
      </c>
      <c r="E323" s="87" t="s">
        <v>210</v>
      </c>
      <c r="F323" s="87">
        <v>1</v>
      </c>
      <c r="G323" s="87" t="s">
        <v>210</v>
      </c>
      <c r="H323" s="87" t="s">
        <v>210</v>
      </c>
      <c r="I323" s="87">
        <v>-1</v>
      </c>
      <c r="J323" s="87" t="s">
        <v>210</v>
      </c>
      <c r="K323" s="87">
        <v>2</v>
      </c>
      <c r="L323" s="87" t="s">
        <v>210</v>
      </c>
      <c r="M323" s="87" t="s">
        <v>210</v>
      </c>
      <c r="N323" s="87">
        <v>-2</v>
      </c>
      <c r="O323" s="87" t="s">
        <v>210</v>
      </c>
      <c r="P323" s="87">
        <v>1</v>
      </c>
      <c r="Q323" s="87" t="s">
        <v>210</v>
      </c>
      <c r="R323" s="87" t="s">
        <v>210</v>
      </c>
      <c r="S323" s="87" t="s">
        <v>210</v>
      </c>
      <c r="T323" s="87" t="s">
        <v>210</v>
      </c>
      <c r="U323" s="87">
        <v>2</v>
      </c>
      <c r="V323" s="87" t="s">
        <v>210</v>
      </c>
      <c r="W323" s="87">
        <v>-1</v>
      </c>
      <c r="X323" s="87" t="s">
        <v>210</v>
      </c>
      <c r="Y323" s="87" t="s">
        <v>210</v>
      </c>
      <c r="Z323" s="87" t="s">
        <v>210</v>
      </c>
      <c r="AA323" s="87" t="s">
        <v>210</v>
      </c>
      <c r="BA323" s="95"/>
    </row>
    <row r="324" spans="1:53" s="87" customFormat="1">
      <c r="A324" s="90" t="str">
        <f t="shared" si="29"/>
        <v/>
      </c>
      <c r="B324" s="89">
        <v>12</v>
      </c>
      <c r="C324" s="87" t="s">
        <v>210</v>
      </c>
      <c r="D324" s="87" t="s">
        <v>210</v>
      </c>
      <c r="E324" s="87" t="s">
        <v>210</v>
      </c>
      <c r="F324" s="87">
        <v>-2</v>
      </c>
      <c r="G324" s="87" t="s">
        <v>210</v>
      </c>
      <c r="H324" s="87">
        <v>-1</v>
      </c>
      <c r="I324" s="87" t="s">
        <v>210</v>
      </c>
      <c r="J324" s="87" t="s">
        <v>210</v>
      </c>
      <c r="K324" s="87">
        <v>1</v>
      </c>
      <c r="L324" s="87" t="s">
        <v>210</v>
      </c>
      <c r="M324" s="87" t="s">
        <v>210</v>
      </c>
      <c r="N324" s="87" t="s">
        <v>210</v>
      </c>
      <c r="O324" s="87" t="s">
        <v>210</v>
      </c>
      <c r="P324" s="87">
        <v>2</v>
      </c>
      <c r="Q324" s="87" t="s">
        <v>210</v>
      </c>
      <c r="R324" s="87" t="s">
        <v>210</v>
      </c>
      <c r="S324" s="87">
        <v>1</v>
      </c>
      <c r="T324" s="87" t="s">
        <v>210</v>
      </c>
      <c r="U324" s="87">
        <v>-2</v>
      </c>
      <c r="V324" s="87" t="s">
        <v>210</v>
      </c>
      <c r="W324" s="87" t="s">
        <v>210</v>
      </c>
      <c r="X324" s="87">
        <v>-1</v>
      </c>
      <c r="Y324" s="87" t="s">
        <v>210</v>
      </c>
      <c r="Z324" s="87" t="s">
        <v>210</v>
      </c>
      <c r="AA324" s="87" t="s">
        <v>210</v>
      </c>
      <c r="BA324" s="95"/>
    </row>
    <row r="325" spans="1:53" s="87" customFormat="1">
      <c r="A325" s="90" t="str">
        <f t="shared" si="29"/>
        <v/>
      </c>
      <c r="B325" s="89">
        <v>13</v>
      </c>
      <c r="C325" s="87" t="s">
        <v>210</v>
      </c>
      <c r="D325" s="87">
        <v>-2</v>
      </c>
      <c r="E325" s="87" t="s">
        <v>210</v>
      </c>
      <c r="F325" s="87" t="s">
        <v>210</v>
      </c>
      <c r="G325" s="87">
        <v>1</v>
      </c>
      <c r="H325" s="87" t="s">
        <v>210</v>
      </c>
      <c r="I325" s="87" t="s">
        <v>210</v>
      </c>
      <c r="J325" s="87" t="s">
        <v>210</v>
      </c>
      <c r="K325" s="87" t="s">
        <v>210</v>
      </c>
      <c r="L325" s="87" t="s">
        <v>210</v>
      </c>
      <c r="M325" s="87" t="s">
        <v>210</v>
      </c>
      <c r="N325" s="87">
        <v>2</v>
      </c>
      <c r="O325" s="87" t="s">
        <v>210</v>
      </c>
      <c r="P325" s="87" t="s">
        <v>210</v>
      </c>
      <c r="Q325" s="87">
        <v>-2</v>
      </c>
      <c r="R325" s="87" t="s">
        <v>210</v>
      </c>
      <c r="S325" s="87">
        <v>-1</v>
      </c>
      <c r="T325" s="87" t="s">
        <v>210</v>
      </c>
      <c r="U325" s="87" t="s">
        <v>210</v>
      </c>
      <c r="V325" s="87">
        <v>2</v>
      </c>
      <c r="W325" s="87" t="s">
        <v>210</v>
      </c>
      <c r="X325" s="87" t="s">
        <v>210</v>
      </c>
      <c r="Y325" s="87">
        <v>1</v>
      </c>
      <c r="Z325" s="87" t="s">
        <v>210</v>
      </c>
      <c r="AA325" s="87" t="s">
        <v>210</v>
      </c>
      <c r="BA325" s="95"/>
    </row>
    <row r="326" spans="1:53" s="87" customFormat="1">
      <c r="A326" s="90" t="str">
        <f t="shared" si="29"/>
        <v/>
      </c>
      <c r="B326" s="89">
        <v>14</v>
      </c>
      <c r="C326" s="87" t="s">
        <v>210</v>
      </c>
      <c r="D326" s="87" t="s">
        <v>210</v>
      </c>
      <c r="E326" s="87" t="s">
        <v>210</v>
      </c>
      <c r="F326" s="87">
        <v>2</v>
      </c>
      <c r="G326" s="87" t="s">
        <v>210</v>
      </c>
      <c r="H326" s="87" t="s">
        <v>210</v>
      </c>
      <c r="I326" s="87">
        <v>-2</v>
      </c>
      <c r="J326" s="87" t="s">
        <v>210</v>
      </c>
      <c r="K326" s="87" t="s">
        <v>210</v>
      </c>
      <c r="L326" s="87" t="s">
        <v>210</v>
      </c>
      <c r="M326" s="87">
        <v>1</v>
      </c>
      <c r="N326" s="87" t="s">
        <v>210</v>
      </c>
      <c r="O326" s="87" t="s">
        <v>210</v>
      </c>
      <c r="P326" s="87">
        <v>-1</v>
      </c>
      <c r="Q326" s="87" t="s">
        <v>210</v>
      </c>
      <c r="R326" s="87" t="s">
        <v>210</v>
      </c>
      <c r="S326" s="87" t="s">
        <v>210</v>
      </c>
      <c r="T326" s="87" t="s">
        <v>210</v>
      </c>
      <c r="U326" s="87" t="s">
        <v>210</v>
      </c>
      <c r="V326" s="87">
        <v>-2</v>
      </c>
      <c r="W326" s="87" t="s">
        <v>210</v>
      </c>
      <c r="X326" s="87">
        <v>2</v>
      </c>
      <c r="Y326" s="87" t="s">
        <v>210</v>
      </c>
      <c r="Z326" s="87" t="s">
        <v>210</v>
      </c>
      <c r="AA326" s="87">
        <v>1</v>
      </c>
      <c r="BA326" s="95"/>
    </row>
    <row r="327" spans="1:53" s="87" customFormat="1">
      <c r="A327" s="90" t="str">
        <f t="shared" si="29"/>
        <v/>
      </c>
      <c r="B327" s="319" t="s">
        <v>1076</v>
      </c>
      <c r="BA327" s="95"/>
    </row>
    <row r="328" spans="1:53" s="87" customFormat="1">
      <c r="A328" s="90" t="str">
        <f t="shared" si="29"/>
        <v/>
      </c>
      <c r="B328" s="89"/>
      <c r="BA328" s="95"/>
    </row>
    <row r="329" spans="1:53" s="87" customFormat="1">
      <c r="A329" s="90" t="str">
        <f t="shared" si="29"/>
        <v/>
      </c>
      <c r="B329" s="89"/>
      <c r="BA329" s="95"/>
    </row>
    <row r="330" spans="1:53" s="87" customFormat="1">
      <c r="A330" s="90" t="str">
        <f t="shared" si="29"/>
        <v/>
      </c>
      <c r="B330" s="89"/>
      <c r="BA330" s="95"/>
    </row>
    <row r="331" spans="1:53" s="87" customFormat="1">
      <c r="A331" s="90" t="str">
        <f t="shared" si="29"/>
        <v/>
      </c>
      <c r="B331" s="89"/>
      <c r="BA331" s="95"/>
    </row>
    <row r="332" spans="1:53" s="87" customFormat="1">
      <c r="A332" s="90" t="str">
        <f t="shared" ref="A332:A395" si="30">IF(MID(B332,3,2)="02",ROW(),"")</f>
        <v/>
      </c>
      <c r="B332" s="89"/>
      <c r="BA332" s="95"/>
    </row>
    <row r="333" spans="1:53" s="87" customFormat="1">
      <c r="A333" s="90" t="str">
        <f t="shared" si="30"/>
        <v/>
      </c>
      <c r="B333" s="89"/>
      <c r="BA333" s="95"/>
    </row>
    <row r="334" spans="1:53" s="87" customFormat="1">
      <c r="A334" s="90" t="str">
        <f t="shared" si="30"/>
        <v/>
      </c>
      <c r="B334" s="89"/>
      <c r="BA334" s="95"/>
    </row>
    <row r="335" spans="1:53" s="87" customFormat="1">
      <c r="A335" s="90" t="str">
        <f t="shared" si="30"/>
        <v/>
      </c>
      <c r="B335" s="89"/>
      <c r="BA335" s="95"/>
    </row>
    <row r="336" spans="1:53" s="87" customFormat="1">
      <c r="A336" s="90" t="str">
        <f t="shared" si="30"/>
        <v/>
      </c>
      <c r="B336" s="89"/>
      <c r="BA336" s="95"/>
    </row>
    <row r="337" spans="1:53" s="87" customFormat="1">
      <c r="A337" s="90" t="str">
        <f t="shared" si="30"/>
        <v/>
      </c>
      <c r="B337" s="89"/>
      <c r="BA337" s="95"/>
    </row>
    <row r="338" spans="1:53" s="87" customFormat="1">
      <c r="A338" s="90" t="str">
        <f t="shared" si="30"/>
        <v/>
      </c>
      <c r="B338" s="89"/>
      <c r="BA338" s="95"/>
    </row>
    <row r="339" spans="1:53" s="87" customFormat="1">
      <c r="A339" s="90" t="str">
        <f t="shared" si="30"/>
        <v/>
      </c>
      <c r="B339" s="89"/>
      <c r="BA339" s="95"/>
    </row>
    <row r="340" spans="1:53" s="87" customFormat="1">
      <c r="A340" s="90" t="str">
        <f t="shared" si="30"/>
        <v/>
      </c>
      <c r="B340" s="89"/>
      <c r="BA340" s="95"/>
    </row>
    <row r="341" spans="1:53" s="87" customFormat="1">
      <c r="A341" s="90" t="str">
        <f t="shared" si="30"/>
        <v/>
      </c>
      <c r="B341" s="89"/>
      <c r="BA341" s="95"/>
    </row>
    <row r="342" spans="1:53" s="87" customFormat="1">
      <c r="A342" s="90" t="str">
        <f t="shared" si="30"/>
        <v/>
      </c>
      <c r="B342" s="89"/>
      <c r="BA342" s="95"/>
    </row>
    <row r="343" spans="1:53" s="87" customFormat="1">
      <c r="A343" s="90" t="str">
        <f t="shared" si="30"/>
        <v/>
      </c>
      <c r="B343" s="89"/>
      <c r="BA343" s="95"/>
    </row>
    <row r="344" spans="1:53" s="87" customFormat="1">
      <c r="A344" s="90" t="str">
        <f t="shared" si="30"/>
        <v/>
      </c>
      <c r="B344" s="89"/>
      <c r="BA344" s="95"/>
    </row>
    <row r="345" spans="1:53" s="87" customFormat="1">
      <c r="A345" s="90" t="str">
        <f t="shared" si="30"/>
        <v/>
      </c>
      <c r="B345" s="89"/>
      <c r="BA345" s="95"/>
    </row>
    <row r="346" spans="1:53" s="87" customFormat="1">
      <c r="A346" s="90" t="str">
        <f t="shared" si="30"/>
        <v/>
      </c>
      <c r="B346" s="89"/>
      <c r="BA346" s="95"/>
    </row>
    <row r="347" spans="1:53" s="87" customFormat="1">
      <c r="A347" s="90" t="str">
        <f t="shared" si="30"/>
        <v/>
      </c>
      <c r="B347" s="89"/>
      <c r="BA347" s="95"/>
    </row>
    <row r="348" spans="1:53" s="87" customFormat="1">
      <c r="A348" s="90" t="str">
        <f t="shared" si="30"/>
        <v/>
      </c>
      <c r="B348" s="89"/>
      <c r="BA348" s="95"/>
    </row>
    <row r="349" spans="1:53" s="87" customFormat="1">
      <c r="A349" s="90" t="str">
        <f t="shared" si="30"/>
        <v/>
      </c>
      <c r="B349" s="89"/>
      <c r="BA349" s="95"/>
    </row>
    <row r="350" spans="1:53" s="87" customFormat="1">
      <c r="A350" s="90" t="str">
        <f t="shared" si="30"/>
        <v/>
      </c>
      <c r="B350" s="89"/>
      <c r="BA350" s="95"/>
    </row>
    <row r="351" spans="1:53" s="87" customFormat="1">
      <c r="A351" s="90" t="str">
        <f t="shared" si="30"/>
        <v/>
      </c>
      <c r="B351" s="89"/>
      <c r="BA351" s="95"/>
    </row>
    <row r="352" spans="1:53" s="87" customFormat="1">
      <c r="A352" s="90" t="str">
        <f t="shared" si="30"/>
        <v/>
      </c>
      <c r="B352" s="89"/>
      <c r="BA352" s="95"/>
    </row>
    <row r="353" spans="1:53" s="87" customFormat="1">
      <c r="A353" s="90" t="str">
        <f t="shared" si="30"/>
        <v/>
      </c>
      <c r="B353" s="89"/>
      <c r="BA353" s="95"/>
    </row>
    <row r="354" spans="1:53" s="87" customFormat="1">
      <c r="A354" s="90" t="str">
        <f t="shared" si="30"/>
        <v/>
      </c>
      <c r="B354" s="89"/>
      <c r="BA354" s="95"/>
    </row>
    <row r="355" spans="1:53" s="87" customFormat="1">
      <c r="A355" s="90" t="str">
        <f t="shared" si="30"/>
        <v/>
      </c>
      <c r="B355" s="89"/>
      <c r="BA355" s="95"/>
    </row>
    <row r="356" spans="1:53" s="87" customFormat="1">
      <c r="A356" s="90" t="str">
        <f t="shared" si="30"/>
        <v/>
      </c>
      <c r="B356" s="89"/>
      <c r="BA356" s="95"/>
    </row>
    <row r="357" spans="1:53" s="87" customFormat="1">
      <c r="A357" s="90" t="str">
        <f t="shared" si="30"/>
        <v/>
      </c>
      <c r="B357" s="89"/>
      <c r="BA357" s="95"/>
    </row>
    <row r="358" spans="1:53" s="87" customFormat="1">
      <c r="A358" s="90" t="str">
        <f t="shared" si="30"/>
        <v/>
      </c>
      <c r="B358" s="89"/>
      <c r="BA358" s="95"/>
    </row>
    <row r="359" spans="1:53" s="87" customFormat="1">
      <c r="A359" s="90" t="str">
        <f t="shared" si="30"/>
        <v/>
      </c>
      <c r="B359" s="89"/>
      <c r="BA359" s="95"/>
    </row>
    <row r="360" spans="1:53" s="87" customFormat="1">
      <c r="A360" s="90" t="str">
        <f t="shared" si="30"/>
        <v/>
      </c>
      <c r="B360" s="89"/>
      <c r="BA360" s="95"/>
    </row>
    <row r="361" spans="1:53" s="87" customFormat="1">
      <c r="A361" s="90" t="str">
        <f t="shared" si="30"/>
        <v/>
      </c>
      <c r="B361" s="89"/>
      <c r="BA361" s="95"/>
    </row>
    <row r="362" spans="1:53" s="87" customFormat="1">
      <c r="A362" s="90" t="str">
        <f t="shared" si="30"/>
        <v/>
      </c>
      <c r="B362" s="89"/>
      <c r="BA362" s="95"/>
    </row>
    <row r="363" spans="1:53" s="87" customFormat="1">
      <c r="A363" s="90" t="str">
        <f t="shared" si="30"/>
        <v/>
      </c>
      <c r="B363" s="89"/>
      <c r="BA363" s="95"/>
    </row>
    <row r="364" spans="1:53" s="87" customFormat="1">
      <c r="A364" s="90" t="str">
        <f t="shared" si="30"/>
        <v/>
      </c>
      <c r="B364" s="89"/>
      <c r="BA364" s="95"/>
    </row>
    <row r="365" spans="1:53" s="87" customFormat="1">
      <c r="A365" s="90" t="str">
        <f t="shared" si="30"/>
        <v/>
      </c>
      <c r="B365" s="89"/>
      <c r="BA365" s="95"/>
    </row>
    <row r="366" spans="1:53" s="87" customFormat="1">
      <c r="A366" s="90" t="str">
        <f t="shared" si="30"/>
        <v/>
      </c>
      <c r="B366" s="89"/>
      <c r="BA366" s="95"/>
    </row>
    <row r="367" spans="1:53" s="87" customFormat="1">
      <c r="A367" s="90" t="str">
        <f t="shared" si="30"/>
        <v/>
      </c>
      <c r="B367" s="89"/>
      <c r="BA367" s="95"/>
    </row>
    <row r="368" spans="1:53" s="87" customFormat="1">
      <c r="A368" s="90" t="str">
        <f t="shared" si="30"/>
        <v/>
      </c>
      <c r="B368" s="89"/>
      <c r="BA368" s="95"/>
    </row>
    <row r="369" spans="1:53" s="87" customFormat="1">
      <c r="A369" s="90" t="str">
        <f t="shared" si="30"/>
        <v/>
      </c>
      <c r="B369" s="89"/>
      <c r="BA369" s="95"/>
    </row>
    <row r="370" spans="1:53" s="87" customFormat="1">
      <c r="A370" s="90" t="str">
        <f t="shared" si="30"/>
        <v/>
      </c>
      <c r="B370" s="89"/>
      <c r="BA370" s="95"/>
    </row>
    <row r="371" spans="1:53" s="87" customFormat="1">
      <c r="A371" s="90" t="str">
        <f t="shared" si="30"/>
        <v/>
      </c>
      <c r="B371" s="89"/>
      <c r="BA371" s="95"/>
    </row>
    <row r="372" spans="1:53" s="87" customFormat="1">
      <c r="A372" s="90" t="str">
        <f t="shared" si="30"/>
        <v/>
      </c>
      <c r="B372" s="89"/>
      <c r="BA372" s="95"/>
    </row>
    <row r="373" spans="1:53" s="87" customFormat="1">
      <c r="A373" s="90" t="str">
        <f t="shared" si="30"/>
        <v/>
      </c>
      <c r="B373" s="89"/>
      <c r="BA373" s="95"/>
    </row>
    <row r="374" spans="1:53" s="87" customFormat="1">
      <c r="A374" s="90" t="str">
        <f t="shared" si="30"/>
        <v/>
      </c>
      <c r="B374" s="89"/>
      <c r="BA374" s="95"/>
    </row>
    <row r="375" spans="1:53" s="87" customFormat="1">
      <c r="A375" s="90" t="str">
        <f t="shared" si="30"/>
        <v/>
      </c>
      <c r="B375" s="89"/>
      <c r="BA375" s="95"/>
    </row>
    <row r="376" spans="1:53" s="87" customFormat="1">
      <c r="A376" s="90" t="str">
        <f t="shared" si="30"/>
        <v/>
      </c>
      <c r="B376" s="89"/>
      <c r="BA376" s="95"/>
    </row>
    <row r="377" spans="1:53" s="87" customFormat="1">
      <c r="A377" s="90" t="str">
        <f t="shared" si="30"/>
        <v/>
      </c>
      <c r="B377" s="89"/>
      <c r="BA377" s="95"/>
    </row>
    <row r="378" spans="1:53" s="87" customFormat="1">
      <c r="A378" s="90" t="str">
        <f t="shared" si="30"/>
        <v/>
      </c>
      <c r="B378" s="89"/>
      <c r="BA378" s="95"/>
    </row>
    <row r="379" spans="1:53" s="87" customFormat="1">
      <c r="A379" s="90" t="str">
        <f t="shared" si="30"/>
        <v/>
      </c>
      <c r="B379" s="89"/>
      <c r="BA379" s="95"/>
    </row>
    <row r="380" spans="1:53" s="87" customFormat="1">
      <c r="A380" s="90" t="str">
        <f t="shared" si="30"/>
        <v/>
      </c>
      <c r="B380" s="89"/>
      <c r="BA380" s="95"/>
    </row>
    <row r="381" spans="1:53" s="87" customFormat="1">
      <c r="A381" s="90" t="str">
        <f t="shared" si="30"/>
        <v/>
      </c>
      <c r="B381" s="89"/>
      <c r="BA381" s="95"/>
    </row>
    <row r="382" spans="1:53" s="87" customFormat="1">
      <c r="A382" s="90" t="str">
        <f t="shared" si="30"/>
        <v/>
      </c>
      <c r="B382" s="89"/>
      <c r="BA382" s="95"/>
    </row>
    <row r="383" spans="1:53" s="87" customFormat="1">
      <c r="A383" s="90" t="str">
        <f t="shared" si="30"/>
        <v/>
      </c>
      <c r="B383" s="89"/>
      <c r="BA383" s="95"/>
    </row>
    <row r="384" spans="1:53" s="87" customFormat="1">
      <c r="A384" s="90" t="str">
        <f t="shared" si="30"/>
        <v/>
      </c>
      <c r="B384" s="89"/>
      <c r="BA384" s="95"/>
    </row>
    <row r="385" spans="1:53" s="87" customFormat="1">
      <c r="A385" s="90" t="str">
        <f t="shared" si="30"/>
        <v/>
      </c>
      <c r="B385" s="89"/>
      <c r="BA385" s="95"/>
    </row>
    <row r="386" spans="1:53" s="87" customFormat="1">
      <c r="A386" s="90" t="str">
        <f t="shared" si="30"/>
        <v/>
      </c>
      <c r="B386" s="89"/>
      <c r="BA386" s="95"/>
    </row>
    <row r="387" spans="1:53" s="87" customFormat="1">
      <c r="A387" s="90" t="str">
        <f t="shared" si="30"/>
        <v/>
      </c>
      <c r="B387" s="89"/>
      <c r="BA387" s="95"/>
    </row>
    <row r="388" spans="1:53" s="87" customFormat="1">
      <c r="A388" s="90" t="str">
        <f t="shared" si="30"/>
        <v/>
      </c>
      <c r="B388" s="89"/>
      <c r="BA388" s="95"/>
    </row>
    <row r="389" spans="1:53" s="87" customFormat="1">
      <c r="A389" s="90" t="str">
        <f t="shared" si="30"/>
        <v/>
      </c>
      <c r="B389" s="89"/>
      <c r="BA389" s="95"/>
    </row>
    <row r="390" spans="1:53" s="87" customFormat="1">
      <c r="A390" s="90" t="str">
        <f t="shared" si="30"/>
        <v/>
      </c>
      <c r="B390" s="89"/>
      <c r="BA390" s="95"/>
    </row>
    <row r="391" spans="1:53" s="87" customFormat="1">
      <c r="A391" s="90" t="str">
        <f t="shared" si="30"/>
        <v/>
      </c>
      <c r="B391" s="89"/>
      <c r="BA391" s="95"/>
    </row>
    <row r="392" spans="1:53" s="87" customFormat="1">
      <c r="A392" s="90" t="str">
        <f t="shared" si="30"/>
        <v/>
      </c>
      <c r="B392" s="89"/>
      <c r="BA392" s="95"/>
    </row>
    <row r="393" spans="1:53" s="87" customFormat="1">
      <c r="A393" s="90" t="str">
        <f t="shared" si="30"/>
        <v/>
      </c>
      <c r="B393" s="89"/>
      <c r="BA393" s="95"/>
    </row>
    <row r="394" spans="1:53" s="87" customFormat="1">
      <c r="A394" s="90" t="str">
        <f t="shared" si="30"/>
        <v/>
      </c>
      <c r="B394" s="89"/>
      <c r="BA394" s="95"/>
    </row>
    <row r="395" spans="1:53" s="87" customFormat="1">
      <c r="A395" s="90" t="str">
        <f t="shared" si="30"/>
        <v/>
      </c>
      <c r="B395" s="89"/>
      <c r="BA395" s="95"/>
    </row>
    <row r="396" spans="1:53" s="87" customFormat="1">
      <c r="A396" s="90" t="str">
        <f t="shared" ref="A396:A459" si="31">IF(MID(B396,3,2)="02",ROW(),"")</f>
        <v/>
      </c>
      <c r="B396" s="89"/>
      <c r="BA396" s="95"/>
    </row>
    <row r="397" spans="1:53" s="87" customFormat="1">
      <c r="A397" s="90" t="str">
        <f t="shared" si="31"/>
        <v/>
      </c>
      <c r="B397" s="89"/>
      <c r="BA397" s="95"/>
    </row>
    <row r="398" spans="1:53" s="87" customFormat="1">
      <c r="A398" s="90" t="str">
        <f t="shared" si="31"/>
        <v/>
      </c>
      <c r="B398" s="89"/>
      <c r="BA398" s="95"/>
    </row>
    <row r="399" spans="1:53" s="87" customFormat="1">
      <c r="A399" s="90" t="str">
        <f t="shared" si="31"/>
        <v/>
      </c>
      <c r="B399" s="89"/>
      <c r="BA399" s="95"/>
    </row>
    <row r="400" spans="1:53" s="87" customFormat="1">
      <c r="A400" s="90" t="str">
        <f t="shared" si="31"/>
        <v/>
      </c>
      <c r="B400" s="89"/>
      <c r="BA400" s="95"/>
    </row>
    <row r="401" spans="1:53" s="87" customFormat="1">
      <c r="A401" s="90" t="str">
        <f t="shared" si="31"/>
        <v/>
      </c>
      <c r="B401" s="89"/>
      <c r="BA401" s="95"/>
    </row>
    <row r="402" spans="1:53" s="87" customFormat="1">
      <c r="A402" s="90" t="str">
        <f t="shared" si="31"/>
        <v/>
      </c>
      <c r="B402" s="89"/>
      <c r="BA402" s="95"/>
    </row>
    <row r="403" spans="1:53" s="87" customFormat="1">
      <c r="A403" s="90" t="str">
        <f t="shared" si="31"/>
        <v/>
      </c>
      <c r="B403" s="89"/>
      <c r="BA403" s="95"/>
    </row>
    <row r="404" spans="1:53" s="87" customFormat="1">
      <c r="A404" s="90" t="str">
        <f t="shared" si="31"/>
        <v/>
      </c>
      <c r="B404" s="89"/>
      <c r="BA404" s="95"/>
    </row>
    <row r="405" spans="1:53" s="87" customFormat="1">
      <c r="A405" s="90" t="str">
        <f t="shared" si="31"/>
        <v/>
      </c>
      <c r="B405" s="89"/>
      <c r="BA405" s="95"/>
    </row>
    <row r="406" spans="1:53" s="87" customFormat="1">
      <c r="A406" s="90" t="str">
        <f t="shared" si="31"/>
        <v/>
      </c>
      <c r="B406" s="89"/>
      <c r="BA406" s="95"/>
    </row>
    <row r="407" spans="1:53" s="87" customFormat="1">
      <c r="A407" s="90" t="str">
        <f t="shared" si="31"/>
        <v/>
      </c>
      <c r="B407" s="89"/>
      <c r="BA407" s="95"/>
    </row>
    <row r="408" spans="1:53" s="87" customFormat="1">
      <c r="A408" s="90" t="str">
        <f t="shared" si="31"/>
        <v/>
      </c>
      <c r="B408" s="89"/>
      <c r="BA408" s="95"/>
    </row>
    <row r="409" spans="1:53" s="87" customFormat="1">
      <c r="A409" s="90" t="str">
        <f t="shared" si="31"/>
        <v/>
      </c>
      <c r="B409" s="89"/>
      <c r="BA409" s="95"/>
    </row>
    <row r="410" spans="1:53" s="87" customFormat="1">
      <c r="A410" s="90" t="str">
        <f t="shared" si="31"/>
        <v/>
      </c>
      <c r="B410" s="89"/>
      <c r="BA410" s="95"/>
    </row>
    <row r="411" spans="1:53" s="87" customFormat="1">
      <c r="A411" s="90" t="str">
        <f t="shared" si="31"/>
        <v/>
      </c>
      <c r="B411" s="89"/>
      <c r="BA411" s="95"/>
    </row>
    <row r="412" spans="1:53" s="87" customFormat="1">
      <c r="A412" s="90" t="str">
        <f t="shared" si="31"/>
        <v/>
      </c>
      <c r="B412" s="89"/>
      <c r="BA412" s="95"/>
    </row>
    <row r="413" spans="1:53" s="87" customFormat="1">
      <c r="A413" s="90" t="str">
        <f t="shared" si="31"/>
        <v/>
      </c>
      <c r="B413" s="89"/>
      <c r="BA413" s="95"/>
    </row>
    <row r="414" spans="1:53" s="87" customFormat="1">
      <c r="A414" s="90" t="str">
        <f t="shared" si="31"/>
        <v/>
      </c>
      <c r="B414" s="89"/>
      <c r="BA414" s="95"/>
    </row>
    <row r="415" spans="1:53" s="87" customFormat="1">
      <c r="A415" s="90" t="str">
        <f t="shared" si="31"/>
        <v/>
      </c>
      <c r="B415" s="89"/>
      <c r="BA415" s="95"/>
    </row>
    <row r="416" spans="1:53" s="87" customFormat="1">
      <c r="A416" s="90" t="str">
        <f t="shared" si="31"/>
        <v/>
      </c>
      <c r="B416" s="89"/>
      <c r="BA416" s="95"/>
    </row>
    <row r="417" spans="1:53" s="87" customFormat="1">
      <c r="A417" s="90" t="str">
        <f t="shared" si="31"/>
        <v/>
      </c>
      <c r="B417" s="89"/>
      <c r="BA417" s="95"/>
    </row>
    <row r="418" spans="1:53" s="87" customFormat="1">
      <c r="A418" s="90" t="str">
        <f t="shared" si="31"/>
        <v/>
      </c>
      <c r="B418" s="89"/>
      <c r="BA418" s="95"/>
    </row>
    <row r="419" spans="1:53" s="87" customFormat="1">
      <c r="A419" s="90" t="str">
        <f t="shared" si="31"/>
        <v/>
      </c>
      <c r="B419" s="89"/>
      <c r="BA419" s="95"/>
    </row>
    <row r="420" spans="1:53" s="87" customFormat="1">
      <c r="A420" s="90" t="str">
        <f t="shared" si="31"/>
        <v/>
      </c>
      <c r="B420" s="89"/>
      <c r="BA420" s="95"/>
    </row>
    <row r="421" spans="1:53" s="87" customFormat="1">
      <c r="A421" s="90" t="str">
        <f t="shared" si="31"/>
        <v/>
      </c>
      <c r="B421" s="89"/>
      <c r="BA421" s="95"/>
    </row>
    <row r="422" spans="1:53" s="87" customFormat="1">
      <c r="A422" s="90" t="str">
        <f t="shared" si="31"/>
        <v/>
      </c>
      <c r="B422" s="89"/>
      <c r="BA422" s="95"/>
    </row>
    <row r="423" spans="1:53" s="87" customFormat="1">
      <c r="A423" s="90" t="str">
        <f t="shared" si="31"/>
        <v/>
      </c>
      <c r="B423" s="89"/>
      <c r="BA423" s="95"/>
    </row>
    <row r="424" spans="1:53" s="87" customFormat="1">
      <c r="A424" s="90" t="str">
        <f t="shared" si="31"/>
        <v/>
      </c>
      <c r="B424" s="89"/>
      <c r="BA424" s="95"/>
    </row>
    <row r="425" spans="1:53" s="87" customFormat="1">
      <c r="A425" s="90" t="str">
        <f t="shared" si="31"/>
        <v/>
      </c>
      <c r="B425" s="89"/>
      <c r="BA425" s="95"/>
    </row>
    <row r="426" spans="1:53" s="87" customFormat="1">
      <c r="A426" s="90" t="str">
        <f t="shared" si="31"/>
        <v/>
      </c>
      <c r="B426" s="89"/>
      <c r="BA426" s="95"/>
    </row>
    <row r="427" spans="1:53" s="87" customFormat="1">
      <c r="A427" s="90" t="str">
        <f t="shared" si="31"/>
        <v/>
      </c>
      <c r="B427" s="89"/>
      <c r="BA427" s="95"/>
    </row>
    <row r="428" spans="1:53" s="87" customFormat="1">
      <c r="A428" s="90" t="str">
        <f t="shared" si="31"/>
        <v/>
      </c>
      <c r="B428" s="89"/>
      <c r="BA428" s="95"/>
    </row>
    <row r="429" spans="1:53" s="87" customFormat="1">
      <c r="A429" s="90" t="str">
        <f t="shared" si="31"/>
        <v/>
      </c>
      <c r="B429" s="89"/>
      <c r="BA429" s="95"/>
    </row>
    <row r="430" spans="1:53" s="87" customFormat="1">
      <c r="A430" s="90" t="str">
        <f t="shared" si="31"/>
        <v/>
      </c>
      <c r="B430" s="89"/>
      <c r="BA430" s="95"/>
    </row>
    <row r="431" spans="1:53" s="87" customFormat="1">
      <c r="A431" s="90" t="str">
        <f t="shared" si="31"/>
        <v/>
      </c>
      <c r="B431" s="89"/>
      <c r="BA431" s="95"/>
    </row>
    <row r="432" spans="1:53" s="87" customFormat="1">
      <c r="A432" s="90" t="str">
        <f t="shared" si="31"/>
        <v/>
      </c>
      <c r="B432" s="89"/>
      <c r="BA432" s="95"/>
    </row>
    <row r="433" spans="1:53" s="87" customFormat="1">
      <c r="A433" s="90" t="str">
        <f t="shared" si="31"/>
        <v/>
      </c>
      <c r="B433" s="89"/>
      <c r="BA433" s="95"/>
    </row>
    <row r="434" spans="1:53" s="87" customFormat="1">
      <c r="A434" s="90" t="str">
        <f t="shared" si="31"/>
        <v/>
      </c>
      <c r="B434" s="89"/>
      <c r="BA434" s="95"/>
    </row>
    <row r="435" spans="1:53" s="87" customFormat="1">
      <c r="A435" s="90" t="str">
        <f t="shared" si="31"/>
        <v/>
      </c>
      <c r="B435" s="89"/>
      <c r="BA435" s="95"/>
    </row>
    <row r="436" spans="1:53" s="87" customFormat="1">
      <c r="A436" s="90" t="str">
        <f t="shared" si="31"/>
        <v/>
      </c>
      <c r="B436" s="89"/>
      <c r="BA436" s="95"/>
    </row>
    <row r="437" spans="1:53" s="87" customFormat="1">
      <c r="A437" s="90" t="str">
        <f t="shared" si="31"/>
        <v/>
      </c>
      <c r="B437" s="89"/>
      <c r="BA437" s="95"/>
    </row>
    <row r="438" spans="1:53" s="87" customFormat="1">
      <c r="A438" s="90" t="str">
        <f t="shared" si="31"/>
        <v/>
      </c>
      <c r="B438" s="89"/>
      <c r="BA438" s="95"/>
    </row>
    <row r="439" spans="1:53" s="87" customFormat="1">
      <c r="A439" s="90" t="str">
        <f t="shared" si="31"/>
        <v/>
      </c>
      <c r="B439" s="89"/>
      <c r="BA439" s="95"/>
    </row>
    <row r="440" spans="1:53" s="87" customFormat="1">
      <c r="A440" s="90" t="str">
        <f t="shared" si="31"/>
        <v/>
      </c>
      <c r="B440" s="89"/>
      <c r="BA440" s="95"/>
    </row>
    <row r="441" spans="1:53" s="87" customFormat="1">
      <c r="A441" s="90" t="str">
        <f t="shared" si="31"/>
        <v/>
      </c>
      <c r="B441" s="89"/>
      <c r="BA441" s="95"/>
    </row>
    <row r="442" spans="1:53" s="87" customFormat="1">
      <c r="A442" s="90" t="str">
        <f t="shared" si="31"/>
        <v/>
      </c>
      <c r="B442" s="89"/>
      <c r="BA442" s="95"/>
    </row>
    <row r="443" spans="1:53" s="87" customFormat="1">
      <c r="A443" s="90" t="str">
        <f t="shared" si="31"/>
        <v/>
      </c>
      <c r="B443" s="89"/>
      <c r="BA443" s="95"/>
    </row>
    <row r="444" spans="1:53" s="87" customFormat="1">
      <c r="A444" s="90" t="str">
        <f t="shared" si="31"/>
        <v/>
      </c>
      <c r="B444" s="89"/>
      <c r="BA444" s="95"/>
    </row>
    <row r="445" spans="1:53" s="87" customFormat="1">
      <c r="A445" s="90" t="str">
        <f t="shared" si="31"/>
        <v/>
      </c>
      <c r="B445" s="89"/>
      <c r="BA445" s="95"/>
    </row>
    <row r="446" spans="1:53" s="87" customFormat="1">
      <c r="A446" s="90" t="str">
        <f t="shared" si="31"/>
        <v/>
      </c>
      <c r="B446" s="89"/>
      <c r="BA446" s="95"/>
    </row>
    <row r="447" spans="1:53" s="87" customFormat="1">
      <c r="A447" s="90" t="str">
        <f t="shared" si="31"/>
        <v/>
      </c>
      <c r="B447" s="89"/>
      <c r="BA447" s="95"/>
    </row>
    <row r="448" spans="1:53" s="87" customFormat="1">
      <c r="A448" s="90" t="str">
        <f t="shared" si="31"/>
        <v/>
      </c>
      <c r="B448" s="89"/>
      <c r="BA448" s="95"/>
    </row>
    <row r="449" spans="1:53" s="87" customFormat="1">
      <c r="A449" s="90" t="str">
        <f t="shared" si="31"/>
        <v/>
      </c>
      <c r="B449" s="89"/>
      <c r="BA449" s="95"/>
    </row>
    <row r="450" spans="1:53" s="87" customFormat="1">
      <c r="A450" s="90" t="str">
        <f t="shared" si="31"/>
        <v/>
      </c>
      <c r="B450" s="89"/>
      <c r="BA450" s="95"/>
    </row>
    <row r="451" spans="1:53" s="87" customFormat="1">
      <c r="A451" s="90" t="str">
        <f t="shared" si="31"/>
        <v/>
      </c>
      <c r="B451" s="89"/>
      <c r="BA451" s="95"/>
    </row>
    <row r="452" spans="1:53" s="87" customFormat="1">
      <c r="A452" s="90" t="str">
        <f t="shared" si="31"/>
        <v/>
      </c>
      <c r="B452" s="89"/>
      <c r="BA452" s="95"/>
    </row>
    <row r="453" spans="1:53" s="87" customFormat="1">
      <c r="A453" s="90" t="str">
        <f t="shared" si="31"/>
        <v/>
      </c>
      <c r="B453" s="89"/>
      <c r="BA453" s="95"/>
    </row>
    <row r="454" spans="1:53" s="87" customFormat="1">
      <c r="A454" s="90" t="str">
        <f t="shared" si="31"/>
        <v/>
      </c>
      <c r="B454" s="89"/>
      <c r="BA454" s="95"/>
    </row>
    <row r="455" spans="1:53" s="87" customFormat="1">
      <c r="A455" s="90" t="str">
        <f t="shared" si="31"/>
        <v/>
      </c>
      <c r="B455" s="89"/>
      <c r="BA455" s="95"/>
    </row>
    <row r="456" spans="1:53" s="87" customFormat="1">
      <c r="A456" s="90" t="str">
        <f t="shared" si="31"/>
        <v/>
      </c>
      <c r="B456" s="89"/>
      <c r="BA456" s="95"/>
    </row>
    <row r="457" spans="1:53" s="87" customFormat="1">
      <c r="A457" s="90" t="str">
        <f t="shared" si="31"/>
        <v/>
      </c>
      <c r="B457" s="89"/>
      <c r="BA457" s="95"/>
    </row>
    <row r="458" spans="1:53" s="87" customFormat="1">
      <c r="A458" s="90" t="str">
        <f t="shared" si="31"/>
        <v/>
      </c>
      <c r="B458" s="89"/>
      <c r="BA458" s="95"/>
    </row>
    <row r="459" spans="1:53" s="87" customFormat="1">
      <c r="A459" s="90" t="str">
        <f t="shared" si="31"/>
        <v/>
      </c>
      <c r="B459" s="89"/>
      <c r="BA459" s="95"/>
    </row>
    <row r="460" spans="1:53" s="87" customFormat="1">
      <c r="A460" s="90" t="str">
        <f t="shared" ref="A460:A523" si="32">IF(MID(B460,3,2)="02",ROW(),"")</f>
        <v/>
      </c>
      <c r="B460" s="89"/>
      <c r="BA460" s="95"/>
    </row>
    <row r="461" spans="1:53" s="87" customFormat="1">
      <c r="A461" s="90" t="str">
        <f t="shared" si="32"/>
        <v/>
      </c>
      <c r="B461" s="89"/>
      <c r="BA461" s="95"/>
    </row>
    <row r="462" spans="1:53" s="87" customFormat="1">
      <c r="A462" s="90" t="str">
        <f t="shared" si="32"/>
        <v/>
      </c>
      <c r="B462" s="89"/>
      <c r="BA462" s="95"/>
    </row>
    <row r="463" spans="1:53" s="87" customFormat="1">
      <c r="A463" s="90" t="str">
        <f t="shared" si="32"/>
        <v/>
      </c>
      <c r="B463" s="89"/>
      <c r="BA463" s="95"/>
    </row>
    <row r="464" spans="1:53" s="87" customFormat="1">
      <c r="A464" s="90" t="str">
        <f t="shared" si="32"/>
        <v/>
      </c>
      <c r="B464" s="89"/>
      <c r="BA464" s="95"/>
    </row>
    <row r="465" spans="1:53" s="87" customFormat="1">
      <c r="A465" s="90" t="str">
        <f t="shared" si="32"/>
        <v/>
      </c>
      <c r="B465" s="89"/>
      <c r="BA465" s="95"/>
    </row>
    <row r="466" spans="1:53" s="87" customFormat="1">
      <c r="A466" s="90" t="str">
        <f t="shared" si="32"/>
        <v/>
      </c>
      <c r="B466" s="89"/>
      <c r="BA466" s="95"/>
    </row>
    <row r="467" spans="1:53" s="87" customFormat="1">
      <c r="A467" s="90" t="str">
        <f t="shared" si="32"/>
        <v/>
      </c>
      <c r="B467" s="89"/>
      <c r="BA467" s="95"/>
    </row>
    <row r="468" spans="1:53" s="87" customFormat="1">
      <c r="A468" s="90" t="str">
        <f t="shared" si="32"/>
        <v/>
      </c>
      <c r="B468" s="89"/>
      <c r="BA468" s="95"/>
    </row>
    <row r="469" spans="1:53" s="87" customFormat="1">
      <c r="A469" s="90" t="str">
        <f t="shared" si="32"/>
        <v/>
      </c>
      <c r="B469" s="89"/>
      <c r="BA469" s="95"/>
    </row>
    <row r="470" spans="1:53" s="87" customFormat="1">
      <c r="A470" s="90" t="str">
        <f t="shared" si="32"/>
        <v/>
      </c>
      <c r="B470" s="89"/>
      <c r="BA470" s="95"/>
    </row>
    <row r="471" spans="1:53" s="87" customFormat="1">
      <c r="A471" s="90" t="str">
        <f t="shared" si="32"/>
        <v/>
      </c>
      <c r="B471" s="89"/>
      <c r="BA471" s="95"/>
    </row>
    <row r="472" spans="1:53" s="87" customFormat="1">
      <c r="A472" s="90" t="str">
        <f t="shared" si="32"/>
        <v/>
      </c>
      <c r="B472" s="89"/>
      <c r="BA472" s="95"/>
    </row>
    <row r="473" spans="1:53" s="87" customFormat="1">
      <c r="A473" s="90" t="str">
        <f t="shared" si="32"/>
        <v/>
      </c>
      <c r="B473" s="89"/>
      <c r="BA473" s="95"/>
    </row>
    <row r="474" spans="1:53" s="87" customFormat="1">
      <c r="A474" s="90" t="str">
        <f t="shared" si="32"/>
        <v/>
      </c>
      <c r="B474" s="89"/>
      <c r="BA474" s="95"/>
    </row>
    <row r="475" spans="1:53" s="87" customFormat="1">
      <c r="A475" s="90" t="str">
        <f t="shared" si="32"/>
        <v/>
      </c>
      <c r="B475" s="89"/>
      <c r="BA475" s="95"/>
    </row>
    <row r="476" spans="1:53" s="87" customFormat="1">
      <c r="A476" s="90" t="str">
        <f t="shared" si="32"/>
        <v/>
      </c>
      <c r="B476" s="89"/>
      <c r="BA476" s="95"/>
    </row>
    <row r="477" spans="1:53" s="87" customFormat="1">
      <c r="A477" s="90" t="str">
        <f t="shared" si="32"/>
        <v/>
      </c>
      <c r="B477" s="89"/>
      <c r="BA477" s="95"/>
    </row>
    <row r="478" spans="1:53" s="87" customFormat="1">
      <c r="A478" s="90" t="str">
        <f t="shared" si="32"/>
        <v/>
      </c>
      <c r="B478" s="89"/>
      <c r="BA478" s="95"/>
    </row>
    <row r="479" spans="1:53" s="87" customFormat="1">
      <c r="A479" s="90" t="str">
        <f t="shared" si="32"/>
        <v/>
      </c>
      <c r="B479" s="89"/>
      <c r="BA479" s="95"/>
    </row>
    <row r="480" spans="1:53" s="87" customFormat="1">
      <c r="A480" s="90" t="str">
        <f t="shared" si="32"/>
        <v/>
      </c>
      <c r="B480" s="89"/>
      <c r="BA480" s="95"/>
    </row>
    <row r="481" spans="1:53" s="87" customFormat="1">
      <c r="A481" s="90" t="str">
        <f t="shared" si="32"/>
        <v/>
      </c>
      <c r="B481" s="89"/>
      <c r="BA481" s="95"/>
    </row>
    <row r="482" spans="1:53" s="87" customFormat="1">
      <c r="A482" s="90" t="str">
        <f t="shared" si="32"/>
        <v/>
      </c>
      <c r="B482" s="89"/>
      <c r="BA482" s="95"/>
    </row>
    <row r="483" spans="1:53" s="87" customFormat="1">
      <c r="A483" s="90" t="str">
        <f t="shared" si="32"/>
        <v/>
      </c>
      <c r="B483" s="89"/>
      <c r="BA483" s="95"/>
    </row>
    <row r="484" spans="1:53" s="87" customFormat="1">
      <c r="A484" s="90" t="str">
        <f t="shared" si="32"/>
        <v/>
      </c>
      <c r="B484" s="89"/>
      <c r="BA484" s="95"/>
    </row>
    <row r="485" spans="1:53" s="87" customFormat="1">
      <c r="A485" s="90" t="str">
        <f t="shared" si="32"/>
        <v/>
      </c>
      <c r="B485" s="89"/>
      <c r="BA485" s="95"/>
    </row>
    <row r="486" spans="1:53" s="87" customFormat="1">
      <c r="A486" s="90" t="str">
        <f t="shared" si="32"/>
        <v/>
      </c>
      <c r="B486" s="89"/>
      <c r="BA486" s="95"/>
    </row>
    <row r="487" spans="1:53" s="87" customFormat="1">
      <c r="A487" s="90" t="str">
        <f t="shared" si="32"/>
        <v/>
      </c>
      <c r="B487" s="89"/>
      <c r="BA487" s="95"/>
    </row>
    <row r="488" spans="1:53" s="87" customFormat="1">
      <c r="A488" s="90" t="str">
        <f t="shared" si="32"/>
        <v/>
      </c>
      <c r="B488" s="89"/>
      <c r="BA488" s="95"/>
    </row>
    <row r="489" spans="1:53" s="87" customFormat="1">
      <c r="A489" s="90" t="str">
        <f t="shared" si="32"/>
        <v/>
      </c>
      <c r="B489" s="89"/>
      <c r="BA489" s="95"/>
    </row>
    <row r="490" spans="1:53" s="87" customFormat="1">
      <c r="A490" s="90" t="str">
        <f t="shared" si="32"/>
        <v/>
      </c>
      <c r="B490" s="89"/>
      <c r="BA490" s="95"/>
    </row>
    <row r="491" spans="1:53" s="87" customFormat="1">
      <c r="A491" s="90" t="str">
        <f t="shared" si="32"/>
        <v/>
      </c>
      <c r="B491" s="89"/>
      <c r="BA491" s="95"/>
    </row>
    <row r="492" spans="1:53" s="87" customFormat="1">
      <c r="A492" s="90" t="str">
        <f t="shared" si="32"/>
        <v/>
      </c>
      <c r="B492" s="89"/>
      <c r="BA492" s="95"/>
    </row>
    <row r="493" spans="1:53" s="87" customFormat="1">
      <c r="A493" s="90" t="str">
        <f t="shared" si="32"/>
        <v/>
      </c>
      <c r="B493" s="89"/>
      <c r="BA493" s="95"/>
    </row>
    <row r="494" spans="1:53" s="87" customFormat="1">
      <c r="A494" s="90" t="str">
        <f t="shared" si="32"/>
        <v/>
      </c>
      <c r="B494" s="89"/>
      <c r="BA494" s="95"/>
    </row>
    <row r="495" spans="1:53" s="87" customFormat="1">
      <c r="A495" s="90" t="str">
        <f t="shared" si="32"/>
        <v/>
      </c>
      <c r="B495" s="89"/>
      <c r="BA495" s="95"/>
    </row>
    <row r="496" spans="1:53" s="87" customFormat="1">
      <c r="A496" s="90" t="str">
        <f t="shared" si="32"/>
        <v/>
      </c>
      <c r="B496" s="89"/>
      <c r="BA496" s="95"/>
    </row>
    <row r="497" spans="1:53" s="87" customFormat="1">
      <c r="A497" s="90" t="str">
        <f t="shared" si="32"/>
        <v/>
      </c>
      <c r="B497" s="89"/>
      <c r="BA497" s="95"/>
    </row>
    <row r="498" spans="1:53" s="87" customFormat="1">
      <c r="A498" s="90" t="str">
        <f t="shared" si="32"/>
        <v/>
      </c>
      <c r="B498" s="89"/>
      <c r="BA498" s="95"/>
    </row>
    <row r="499" spans="1:53" s="87" customFormat="1">
      <c r="A499" s="90" t="str">
        <f t="shared" si="32"/>
        <v/>
      </c>
      <c r="B499" s="89"/>
      <c r="BA499" s="95"/>
    </row>
    <row r="500" spans="1:53" s="87" customFormat="1">
      <c r="A500" s="90" t="str">
        <f t="shared" si="32"/>
        <v/>
      </c>
      <c r="B500" s="89"/>
      <c r="BA500" s="95"/>
    </row>
    <row r="501" spans="1:53" s="87" customFormat="1">
      <c r="A501" s="90" t="str">
        <f t="shared" si="32"/>
        <v/>
      </c>
      <c r="B501" s="89"/>
      <c r="BA501" s="95"/>
    </row>
    <row r="502" spans="1:53" s="87" customFormat="1">
      <c r="A502" s="90" t="str">
        <f t="shared" si="32"/>
        <v/>
      </c>
      <c r="B502" s="89"/>
      <c r="BA502" s="95"/>
    </row>
    <row r="503" spans="1:53" s="87" customFormat="1">
      <c r="A503" s="90" t="str">
        <f t="shared" si="32"/>
        <v/>
      </c>
      <c r="B503" s="89"/>
      <c r="BA503" s="95"/>
    </row>
    <row r="504" spans="1:53" s="87" customFormat="1">
      <c r="A504" s="90" t="str">
        <f t="shared" si="32"/>
        <v/>
      </c>
      <c r="B504" s="89"/>
      <c r="BA504" s="95"/>
    </row>
    <row r="505" spans="1:53" s="87" customFormat="1">
      <c r="A505" s="90" t="str">
        <f t="shared" si="32"/>
        <v/>
      </c>
      <c r="B505" s="89"/>
      <c r="BA505" s="95"/>
    </row>
    <row r="506" spans="1:53" s="87" customFormat="1">
      <c r="A506" s="90" t="str">
        <f t="shared" si="32"/>
        <v/>
      </c>
      <c r="B506" s="89"/>
      <c r="BA506" s="95"/>
    </row>
    <row r="507" spans="1:53" s="87" customFormat="1">
      <c r="A507" s="90" t="str">
        <f t="shared" si="32"/>
        <v/>
      </c>
      <c r="B507" s="89"/>
      <c r="BA507" s="95"/>
    </row>
    <row r="508" spans="1:53" s="87" customFormat="1">
      <c r="A508" s="90" t="str">
        <f t="shared" si="32"/>
        <v/>
      </c>
      <c r="B508" s="89"/>
      <c r="BA508" s="95"/>
    </row>
    <row r="509" spans="1:53" s="87" customFormat="1">
      <c r="A509" s="90" t="str">
        <f t="shared" si="32"/>
        <v/>
      </c>
      <c r="B509" s="89"/>
      <c r="BA509" s="95"/>
    </row>
    <row r="510" spans="1:53" s="87" customFormat="1">
      <c r="A510" s="90" t="str">
        <f t="shared" si="32"/>
        <v/>
      </c>
      <c r="B510" s="89"/>
      <c r="BA510" s="95"/>
    </row>
    <row r="511" spans="1:53" s="87" customFormat="1">
      <c r="A511" s="90" t="str">
        <f t="shared" si="32"/>
        <v/>
      </c>
      <c r="B511" s="89"/>
      <c r="BA511" s="95"/>
    </row>
    <row r="512" spans="1:53" s="87" customFormat="1">
      <c r="A512" s="90" t="str">
        <f t="shared" si="32"/>
        <v/>
      </c>
      <c r="B512" s="89"/>
      <c r="BA512" s="95"/>
    </row>
    <row r="513" spans="1:53" s="87" customFormat="1">
      <c r="A513" s="90" t="str">
        <f t="shared" si="32"/>
        <v/>
      </c>
      <c r="B513" s="89"/>
      <c r="BA513" s="95"/>
    </row>
    <row r="514" spans="1:53" s="87" customFormat="1">
      <c r="A514" s="90" t="str">
        <f t="shared" si="32"/>
        <v/>
      </c>
      <c r="B514" s="89"/>
      <c r="BA514" s="95"/>
    </row>
    <row r="515" spans="1:53" s="87" customFormat="1">
      <c r="A515" s="90" t="str">
        <f t="shared" si="32"/>
        <v/>
      </c>
      <c r="B515" s="89"/>
      <c r="BA515" s="95"/>
    </row>
    <row r="516" spans="1:53" s="87" customFormat="1">
      <c r="A516" s="90" t="str">
        <f t="shared" si="32"/>
        <v/>
      </c>
      <c r="B516" s="89"/>
      <c r="BA516" s="95"/>
    </row>
    <row r="517" spans="1:53" s="87" customFormat="1">
      <c r="A517" s="90" t="str">
        <f t="shared" si="32"/>
        <v/>
      </c>
      <c r="B517" s="89"/>
      <c r="BA517" s="95"/>
    </row>
    <row r="518" spans="1:53" s="87" customFormat="1">
      <c r="A518" s="90" t="str">
        <f t="shared" si="32"/>
        <v/>
      </c>
      <c r="B518" s="89"/>
      <c r="BA518" s="95"/>
    </row>
    <row r="519" spans="1:53" s="87" customFormat="1">
      <c r="A519" s="90" t="str">
        <f t="shared" si="32"/>
        <v/>
      </c>
      <c r="B519" s="89"/>
      <c r="BA519" s="95"/>
    </row>
    <row r="520" spans="1:53" s="87" customFormat="1">
      <c r="A520" s="90" t="str">
        <f t="shared" si="32"/>
        <v/>
      </c>
      <c r="B520" s="89"/>
      <c r="BA520" s="95"/>
    </row>
    <row r="521" spans="1:53" s="87" customFormat="1">
      <c r="A521" s="90" t="str">
        <f t="shared" si="32"/>
        <v/>
      </c>
      <c r="B521" s="89"/>
      <c r="BA521" s="95"/>
    </row>
    <row r="522" spans="1:53" s="87" customFormat="1">
      <c r="A522" s="90" t="str">
        <f t="shared" si="32"/>
        <v/>
      </c>
      <c r="B522" s="89"/>
      <c r="BA522" s="95"/>
    </row>
    <row r="523" spans="1:53" s="87" customFormat="1">
      <c r="A523" s="90" t="str">
        <f t="shared" si="32"/>
        <v/>
      </c>
      <c r="B523" s="89"/>
      <c r="BA523" s="95"/>
    </row>
    <row r="524" spans="1:53" s="87" customFormat="1">
      <c r="A524" s="90" t="str">
        <f t="shared" ref="A524:A587" si="33">IF(MID(B524,3,2)="02",ROW(),"")</f>
        <v/>
      </c>
      <c r="B524" s="89"/>
      <c r="BA524" s="95"/>
    </row>
    <row r="525" spans="1:53" s="87" customFormat="1">
      <c r="A525" s="90" t="str">
        <f t="shared" si="33"/>
        <v/>
      </c>
      <c r="B525" s="89"/>
      <c r="BA525" s="95"/>
    </row>
    <row r="526" spans="1:53" s="87" customFormat="1">
      <c r="A526" s="90" t="str">
        <f t="shared" si="33"/>
        <v/>
      </c>
      <c r="B526" s="89"/>
      <c r="BA526" s="95"/>
    </row>
    <row r="527" spans="1:53" s="87" customFormat="1">
      <c r="A527" s="90" t="str">
        <f t="shared" si="33"/>
        <v/>
      </c>
      <c r="B527" s="89"/>
      <c r="BA527" s="95"/>
    </row>
    <row r="528" spans="1:53" s="87" customFormat="1">
      <c r="A528" s="90" t="str">
        <f t="shared" si="33"/>
        <v/>
      </c>
      <c r="B528" s="89"/>
      <c r="BA528" s="95"/>
    </row>
    <row r="529" spans="1:53" s="87" customFormat="1">
      <c r="A529" s="90" t="str">
        <f t="shared" si="33"/>
        <v/>
      </c>
      <c r="B529" s="89"/>
      <c r="BA529" s="95"/>
    </row>
    <row r="530" spans="1:53" s="87" customFormat="1">
      <c r="A530" s="90" t="str">
        <f t="shared" si="33"/>
        <v/>
      </c>
      <c r="B530" s="89"/>
      <c r="BA530" s="95"/>
    </row>
    <row r="531" spans="1:53" s="87" customFormat="1">
      <c r="A531" s="90" t="str">
        <f t="shared" si="33"/>
        <v/>
      </c>
      <c r="B531" s="89"/>
      <c r="BA531" s="95"/>
    </row>
    <row r="532" spans="1:53" s="87" customFormat="1">
      <c r="A532" s="90" t="str">
        <f t="shared" si="33"/>
        <v/>
      </c>
      <c r="B532" s="89"/>
      <c r="BA532" s="95"/>
    </row>
    <row r="533" spans="1:53" s="87" customFormat="1">
      <c r="A533" s="90" t="str">
        <f t="shared" si="33"/>
        <v/>
      </c>
      <c r="B533" s="89"/>
      <c r="BA533" s="95"/>
    </row>
    <row r="534" spans="1:53" s="87" customFormat="1">
      <c r="A534" s="90" t="str">
        <f t="shared" si="33"/>
        <v/>
      </c>
      <c r="B534" s="89"/>
      <c r="BA534" s="95"/>
    </row>
    <row r="535" spans="1:53" s="87" customFormat="1">
      <c r="A535" s="90" t="str">
        <f t="shared" si="33"/>
        <v/>
      </c>
      <c r="B535" s="89"/>
      <c r="BA535" s="95"/>
    </row>
    <row r="536" spans="1:53" s="87" customFormat="1">
      <c r="A536" s="90" t="str">
        <f t="shared" si="33"/>
        <v/>
      </c>
      <c r="B536" s="89"/>
      <c r="BA536" s="95"/>
    </row>
    <row r="537" spans="1:53" s="87" customFormat="1">
      <c r="A537" s="90" t="str">
        <f t="shared" si="33"/>
        <v/>
      </c>
      <c r="B537" s="89"/>
      <c r="BA537" s="95"/>
    </row>
    <row r="538" spans="1:53" s="87" customFormat="1">
      <c r="A538" s="90" t="str">
        <f t="shared" si="33"/>
        <v/>
      </c>
      <c r="B538" s="89"/>
      <c r="BA538" s="95"/>
    </row>
    <row r="539" spans="1:53" s="87" customFormat="1">
      <c r="A539" s="90" t="str">
        <f t="shared" si="33"/>
        <v/>
      </c>
      <c r="B539" s="89"/>
      <c r="BA539" s="95"/>
    </row>
    <row r="540" spans="1:53" s="87" customFormat="1">
      <c r="A540" s="90" t="str">
        <f t="shared" si="33"/>
        <v/>
      </c>
      <c r="B540" s="89"/>
      <c r="BA540" s="95"/>
    </row>
    <row r="541" spans="1:53" s="87" customFormat="1">
      <c r="A541" s="90" t="str">
        <f t="shared" si="33"/>
        <v/>
      </c>
      <c r="B541" s="89"/>
      <c r="BA541" s="95"/>
    </row>
    <row r="542" spans="1:53" s="87" customFormat="1">
      <c r="A542" s="90" t="str">
        <f t="shared" si="33"/>
        <v/>
      </c>
      <c r="B542" s="89"/>
      <c r="BA542" s="95"/>
    </row>
    <row r="543" spans="1:53" s="87" customFormat="1">
      <c r="A543" s="90" t="str">
        <f t="shared" si="33"/>
        <v/>
      </c>
      <c r="B543" s="89"/>
      <c r="BA543" s="95"/>
    </row>
    <row r="544" spans="1:53" s="87" customFormat="1">
      <c r="A544" s="90" t="str">
        <f t="shared" si="33"/>
        <v/>
      </c>
      <c r="B544" s="89"/>
      <c r="BA544" s="95"/>
    </row>
    <row r="545" spans="1:53" s="87" customFormat="1">
      <c r="A545" s="90" t="str">
        <f t="shared" si="33"/>
        <v/>
      </c>
      <c r="B545" s="89"/>
      <c r="BA545" s="95"/>
    </row>
    <row r="546" spans="1:53" s="87" customFormat="1">
      <c r="A546" s="90" t="str">
        <f t="shared" si="33"/>
        <v/>
      </c>
      <c r="B546" s="89"/>
      <c r="BA546" s="95"/>
    </row>
    <row r="547" spans="1:53" s="87" customFormat="1">
      <c r="A547" s="90" t="str">
        <f t="shared" si="33"/>
        <v/>
      </c>
      <c r="B547" s="89"/>
      <c r="BA547" s="95"/>
    </row>
    <row r="548" spans="1:53" s="87" customFormat="1">
      <c r="A548" s="90" t="str">
        <f t="shared" si="33"/>
        <v/>
      </c>
      <c r="B548" s="89"/>
      <c r="BA548" s="95"/>
    </row>
    <row r="549" spans="1:53" s="87" customFormat="1">
      <c r="A549" s="90" t="str">
        <f t="shared" si="33"/>
        <v/>
      </c>
      <c r="B549" s="89"/>
      <c r="BA549" s="95"/>
    </row>
    <row r="550" spans="1:53" s="87" customFormat="1">
      <c r="A550" s="90" t="str">
        <f t="shared" si="33"/>
        <v/>
      </c>
      <c r="B550" s="89"/>
      <c r="BA550" s="95"/>
    </row>
    <row r="551" spans="1:53" s="87" customFormat="1">
      <c r="A551" s="90" t="str">
        <f t="shared" si="33"/>
        <v/>
      </c>
      <c r="B551" s="89"/>
      <c r="BA551" s="95"/>
    </row>
    <row r="552" spans="1:53" s="87" customFormat="1">
      <c r="A552" s="90" t="str">
        <f t="shared" si="33"/>
        <v/>
      </c>
      <c r="B552" s="89"/>
      <c r="BA552" s="95"/>
    </row>
    <row r="553" spans="1:53" s="87" customFormat="1">
      <c r="A553" s="90" t="str">
        <f t="shared" si="33"/>
        <v/>
      </c>
      <c r="B553" s="89"/>
      <c r="BA553" s="95"/>
    </row>
    <row r="554" spans="1:53" s="87" customFormat="1">
      <c r="A554" s="90" t="str">
        <f t="shared" si="33"/>
        <v/>
      </c>
      <c r="B554" s="89"/>
      <c r="BA554" s="95"/>
    </row>
    <row r="555" spans="1:53" s="87" customFormat="1">
      <c r="A555" s="90" t="str">
        <f t="shared" si="33"/>
        <v/>
      </c>
      <c r="B555" s="89"/>
      <c r="BA555" s="95"/>
    </row>
    <row r="556" spans="1:53" s="87" customFormat="1">
      <c r="A556" s="90" t="str">
        <f t="shared" si="33"/>
        <v/>
      </c>
      <c r="B556" s="89"/>
      <c r="BA556" s="95"/>
    </row>
    <row r="557" spans="1:53" s="87" customFormat="1">
      <c r="A557" s="90" t="str">
        <f t="shared" si="33"/>
        <v/>
      </c>
      <c r="B557" s="89"/>
      <c r="BA557" s="95"/>
    </row>
    <row r="558" spans="1:53" s="87" customFormat="1">
      <c r="A558" s="90" t="str">
        <f t="shared" si="33"/>
        <v/>
      </c>
      <c r="B558" s="89"/>
      <c r="BA558" s="95"/>
    </row>
    <row r="559" spans="1:53" s="87" customFormat="1">
      <c r="A559" s="90" t="str">
        <f t="shared" si="33"/>
        <v/>
      </c>
      <c r="B559" s="89"/>
      <c r="BA559" s="95"/>
    </row>
    <row r="560" spans="1:53" s="87" customFormat="1">
      <c r="A560" s="90" t="str">
        <f t="shared" si="33"/>
        <v/>
      </c>
      <c r="B560" s="89"/>
      <c r="BA560" s="95"/>
    </row>
    <row r="561" spans="1:53" s="87" customFormat="1">
      <c r="A561" s="90" t="str">
        <f t="shared" si="33"/>
        <v/>
      </c>
      <c r="B561" s="89"/>
      <c r="BA561" s="95"/>
    </row>
    <row r="562" spans="1:53" s="87" customFormat="1">
      <c r="A562" s="90" t="str">
        <f t="shared" si="33"/>
        <v/>
      </c>
      <c r="B562" s="89"/>
      <c r="BA562" s="95"/>
    </row>
    <row r="563" spans="1:53" s="87" customFormat="1">
      <c r="A563" s="90" t="str">
        <f t="shared" si="33"/>
        <v/>
      </c>
      <c r="B563" s="89"/>
      <c r="BA563" s="95"/>
    </row>
    <row r="564" spans="1:53" s="87" customFormat="1">
      <c r="A564" s="90" t="str">
        <f t="shared" si="33"/>
        <v/>
      </c>
      <c r="B564" s="89"/>
      <c r="BA564" s="95"/>
    </row>
    <row r="565" spans="1:53" s="87" customFormat="1">
      <c r="A565" s="90" t="str">
        <f t="shared" si="33"/>
        <v/>
      </c>
      <c r="B565" s="89"/>
      <c r="BA565" s="95"/>
    </row>
    <row r="566" spans="1:53" s="87" customFormat="1">
      <c r="A566" s="90" t="str">
        <f t="shared" si="33"/>
        <v/>
      </c>
      <c r="B566" s="89"/>
      <c r="BA566" s="95"/>
    </row>
    <row r="567" spans="1:53" s="87" customFormat="1">
      <c r="A567" s="90" t="str">
        <f t="shared" si="33"/>
        <v/>
      </c>
      <c r="B567" s="89"/>
      <c r="BA567" s="95"/>
    </row>
    <row r="568" spans="1:53" s="87" customFormat="1">
      <c r="A568" s="90" t="str">
        <f t="shared" si="33"/>
        <v/>
      </c>
      <c r="B568" s="89"/>
      <c r="BA568" s="95"/>
    </row>
    <row r="569" spans="1:53" s="87" customFormat="1">
      <c r="A569" s="90" t="str">
        <f t="shared" si="33"/>
        <v/>
      </c>
      <c r="B569" s="89"/>
      <c r="BA569" s="95"/>
    </row>
    <row r="570" spans="1:53" s="87" customFormat="1">
      <c r="A570" s="90" t="str">
        <f t="shared" si="33"/>
        <v/>
      </c>
      <c r="B570" s="89"/>
      <c r="BA570" s="95"/>
    </row>
    <row r="571" spans="1:53" s="87" customFormat="1">
      <c r="A571" s="90" t="str">
        <f t="shared" si="33"/>
        <v/>
      </c>
      <c r="B571" s="89"/>
      <c r="BA571" s="95"/>
    </row>
    <row r="572" spans="1:53" s="87" customFormat="1">
      <c r="A572" s="90" t="str">
        <f t="shared" si="33"/>
        <v/>
      </c>
      <c r="B572" s="89"/>
      <c r="BA572" s="95"/>
    </row>
    <row r="573" spans="1:53" s="87" customFormat="1">
      <c r="A573" s="90" t="str">
        <f t="shared" si="33"/>
        <v/>
      </c>
      <c r="B573" s="89"/>
      <c r="BA573" s="95"/>
    </row>
    <row r="574" spans="1:53" s="87" customFormat="1">
      <c r="A574" s="90" t="str">
        <f t="shared" si="33"/>
        <v/>
      </c>
      <c r="B574" s="89"/>
      <c r="BA574" s="95"/>
    </row>
    <row r="575" spans="1:53" s="87" customFormat="1">
      <c r="A575" s="90" t="str">
        <f t="shared" si="33"/>
        <v/>
      </c>
      <c r="B575" s="89"/>
      <c r="BA575" s="95"/>
    </row>
    <row r="576" spans="1:53" s="87" customFormat="1">
      <c r="A576" s="90" t="str">
        <f t="shared" si="33"/>
        <v/>
      </c>
      <c r="B576" s="89"/>
      <c r="BA576" s="95"/>
    </row>
    <row r="577" spans="1:53" s="87" customFormat="1">
      <c r="A577" s="90" t="str">
        <f t="shared" si="33"/>
        <v/>
      </c>
      <c r="B577" s="89"/>
      <c r="BA577" s="95"/>
    </row>
    <row r="578" spans="1:53" s="87" customFormat="1">
      <c r="A578" s="90" t="str">
        <f t="shared" si="33"/>
        <v/>
      </c>
      <c r="B578" s="89"/>
      <c r="BA578" s="95"/>
    </row>
    <row r="579" spans="1:53" s="87" customFormat="1">
      <c r="A579" s="90" t="str">
        <f t="shared" si="33"/>
        <v/>
      </c>
      <c r="B579" s="89"/>
      <c r="BA579" s="95"/>
    </row>
    <row r="580" spans="1:53" s="87" customFormat="1">
      <c r="A580" s="90" t="str">
        <f t="shared" si="33"/>
        <v/>
      </c>
      <c r="B580" s="89"/>
      <c r="BA580" s="95"/>
    </row>
    <row r="581" spans="1:53" s="87" customFormat="1">
      <c r="A581" s="90" t="str">
        <f t="shared" si="33"/>
        <v/>
      </c>
      <c r="B581" s="89"/>
      <c r="BA581" s="95"/>
    </row>
    <row r="582" spans="1:53" s="87" customFormat="1">
      <c r="A582" s="90" t="str">
        <f t="shared" si="33"/>
        <v/>
      </c>
      <c r="B582" s="89"/>
      <c r="BA582" s="95"/>
    </row>
    <row r="583" spans="1:53" s="87" customFormat="1">
      <c r="A583" s="90" t="str">
        <f t="shared" si="33"/>
        <v/>
      </c>
      <c r="B583" s="89"/>
      <c r="BA583" s="95"/>
    </row>
    <row r="584" spans="1:53" s="87" customFormat="1">
      <c r="A584" s="90" t="str">
        <f t="shared" si="33"/>
        <v/>
      </c>
      <c r="B584" s="89"/>
      <c r="BA584" s="95"/>
    </row>
    <row r="585" spans="1:53" s="87" customFormat="1">
      <c r="A585" s="90" t="str">
        <f t="shared" si="33"/>
        <v/>
      </c>
      <c r="B585" s="89"/>
      <c r="BA585" s="95"/>
    </row>
    <row r="586" spans="1:53" s="87" customFormat="1">
      <c r="A586" s="90" t="str">
        <f t="shared" si="33"/>
        <v/>
      </c>
      <c r="B586" s="89"/>
      <c r="BA586" s="95"/>
    </row>
    <row r="587" spans="1:53" s="87" customFormat="1">
      <c r="A587" s="90" t="str">
        <f t="shared" si="33"/>
        <v/>
      </c>
      <c r="B587" s="89"/>
      <c r="BA587" s="95"/>
    </row>
    <row r="588" spans="1:53" s="87" customFormat="1">
      <c r="A588" s="90" t="str">
        <f t="shared" ref="A588:A651" si="34">IF(MID(B588,3,2)="02",ROW(),"")</f>
        <v/>
      </c>
      <c r="B588" s="89"/>
      <c r="BA588" s="95"/>
    </row>
    <row r="589" spans="1:53" s="87" customFormat="1">
      <c r="A589" s="90" t="str">
        <f t="shared" si="34"/>
        <v/>
      </c>
      <c r="B589" s="89"/>
      <c r="BA589" s="95"/>
    </row>
    <row r="590" spans="1:53" s="87" customFormat="1">
      <c r="A590" s="90" t="str">
        <f t="shared" si="34"/>
        <v/>
      </c>
      <c r="B590" s="89"/>
      <c r="BA590" s="95"/>
    </row>
    <row r="591" spans="1:53" s="87" customFormat="1">
      <c r="A591" s="90" t="str">
        <f t="shared" si="34"/>
        <v/>
      </c>
      <c r="B591" s="89"/>
      <c r="BA591" s="95"/>
    </row>
    <row r="592" spans="1:53" s="87" customFormat="1">
      <c r="A592" s="90" t="str">
        <f t="shared" si="34"/>
        <v/>
      </c>
      <c r="B592" s="89"/>
      <c r="BA592" s="95"/>
    </row>
    <row r="593" spans="1:53" s="87" customFormat="1">
      <c r="A593" s="90" t="str">
        <f t="shared" si="34"/>
        <v/>
      </c>
      <c r="B593" s="89"/>
      <c r="BA593" s="95"/>
    </row>
    <row r="594" spans="1:53" s="87" customFormat="1">
      <c r="A594" s="90" t="str">
        <f t="shared" si="34"/>
        <v/>
      </c>
      <c r="B594" s="89"/>
      <c r="BA594" s="95"/>
    </row>
    <row r="595" spans="1:53" s="87" customFormat="1">
      <c r="A595" s="90" t="str">
        <f t="shared" si="34"/>
        <v/>
      </c>
      <c r="B595" s="89"/>
      <c r="BA595" s="95"/>
    </row>
    <row r="596" spans="1:53" s="87" customFormat="1">
      <c r="A596" s="90" t="str">
        <f t="shared" si="34"/>
        <v/>
      </c>
      <c r="B596" s="89"/>
      <c r="BA596" s="95"/>
    </row>
    <row r="597" spans="1:53" s="87" customFormat="1">
      <c r="A597" s="90" t="str">
        <f t="shared" si="34"/>
        <v/>
      </c>
      <c r="B597" s="89"/>
      <c r="BA597" s="95"/>
    </row>
    <row r="598" spans="1:53" s="87" customFormat="1">
      <c r="A598" s="90" t="str">
        <f t="shared" si="34"/>
        <v/>
      </c>
      <c r="B598" s="89"/>
      <c r="BA598" s="95"/>
    </row>
    <row r="599" spans="1:53" s="87" customFormat="1">
      <c r="A599" s="90" t="str">
        <f t="shared" si="34"/>
        <v/>
      </c>
      <c r="B599" s="89"/>
      <c r="BA599" s="95"/>
    </row>
    <row r="600" spans="1:53" s="87" customFormat="1">
      <c r="A600" s="90" t="str">
        <f t="shared" si="34"/>
        <v/>
      </c>
      <c r="B600" s="89"/>
      <c r="BA600" s="95"/>
    </row>
    <row r="601" spans="1:53" s="87" customFormat="1">
      <c r="A601" s="90" t="str">
        <f t="shared" si="34"/>
        <v/>
      </c>
      <c r="B601" s="89"/>
      <c r="BA601" s="95"/>
    </row>
    <row r="602" spans="1:53" s="87" customFormat="1">
      <c r="A602" s="90" t="str">
        <f t="shared" si="34"/>
        <v/>
      </c>
      <c r="B602" s="89"/>
      <c r="BA602" s="95"/>
    </row>
    <row r="603" spans="1:53" s="87" customFormat="1">
      <c r="A603" s="90" t="str">
        <f t="shared" si="34"/>
        <v/>
      </c>
      <c r="B603" s="89"/>
      <c r="BA603" s="95"/>
    </row>
    <row r="604" spans="1:53" s="87" customFormat="1">
      <c r="A604" s="90" t="str">
        <f t="shared" si="34"/>
        <v/>
      </c>
      <c r="B604" s="89"/>
      <c r="BA604" s="95"/>
    </row>
    <row r="605" spans="1:53" s="87" customFormat="1">
      <c r="A605" s="90" t="str">
        <f t="shared" si="34"/>
        <v/>
      </c>
      <c r="B605" s="89"/>
      <c r="BA605" s="95"/>
    </row>
    <row r="606" spans="1:53" s="87" customFormat="1">
      <c r="A606" s="90" t="str">
        <f t="shared" si="34"/>
        <v/>
      </c>
      <c r="B606" s="89"/>
      <c r="BA606" s="95"/>
    </row>
    <row r="607" spans="1:53" s="87" customFormat="1">
      <c r="A607" s="90" t="str">
        <f t="shared" si="34"/>
        <v/>
      </c>
      <c r="B607" s="89"/>
      <c r="BA607" s="95"/>
    </row>
    <row r="608" spans="1:53" s="87" customFormat="1">
      <c r="A608" s="90" t="str">
        <f t="shared" si="34"/>
        <v/>
      </c>
      <c r="B608" s="89"/>
      <c r="BA608" s="95"/>
    </row>
    <row r="609" spans="1:53" s="87" customFormat="1">
      <c r="A609" s="90" t="str">
        <f t="shared" si="34"/>
        <v/>
      </c>
      <c r="B609" s="89"/>
      <c r="BA609" s="95"/>
    </row>
    <row r="610" spans="1:53" s="87" customFormat="1">
      <c r="A610" s="90" t="str">
        <f t="shared" si="34"/>
        <v/>
      </c>
      <c r="B610" s="89"/>
      <c r="BA610" s="95"/>
    </row>
    <row r="611" spans="1:53" s="87" customFormat="1">
      <c r="A611" s="90" t="str">
        <f t="shared" si="34"/>
        <v/>
      </c>
      <c r="B611" s="89"/>
      <c r="BA611" s="95"/>
    </row>
    <row r="612" spans="1:53" s="87" customFormat="1">
      <c r="A612" s="90" t="str">
        <f t="shared" si="34"/>
        <v/>
      </c>
      <c r="B612" s="89"/>
      <c r="BA612" s="95"/>
    </row>
    <row r="613" spans="1:53" s="87" customFormat="1">
      <c r="A613" s="90" t="str">
        <f t="shared" si="34"/>
        <v/>
      </c>
      <c r="B613" s="89"/>
      <c r="BA613" s="95"/>
    </row>
    <row r="614" spans="1:53" s="87" customFormat="1">
      <c r="A614" s="90" t="str">
        <f t="shared" si="34"/>
        <v/>
      </c>
      <c r="B614" s="89"/>
      <c r="BA614" s="95"/>
    </row>
    <row r="615" spans="1:53" s="87" customFormat="1">
      <c r="A615" s="90" t="str">
        <f t="shared" si="34"/>
        <v/>
      </c>
      <c r="B615" s="89"/>
      <c r="BA615" s="95"/>
    </row>
    <row r="616" spans="1:53" s="87" customFormat="1">
      <c r="A616" s="90" t="str">
        <f t="shared" si="34"/>
        <v/>
      </c>
      <c r="B616" s="89"/>
      <c r="BA616" s="95"/>
    </row>
    <row r="617" spans="1:53" s="87" customFormat="1">
      <c r="A617" s="90" t="str">
        <f t="shared" si="34"/>
        <v/>
      </c>
      <c r="B617" s="89"/>
      <c r="BA617" s="95"/>
    </row>
    <row r="618" spans="1:53" s="87" customFormat="1">
      <c r="A618" s="90" t="str">
        <f t="shared" si="34"/>
        <v/>
      </c>
      <c r="B618" s="89"/>
      <c r="BA618" s="95"/>
    </row>
    <row r="619" spans="1:53" s="87" customFormat="1">
      <c r="A619" s="90" t="str">
        <f t="shared" si="34"/>
        <v/>
      </c>
      <c r="B619" s="89"/>
      <c r="BA619" s="95"/>
    </row>
    <row r="620" spans="1:53" s="87" customFormat="1">
      <c r="A620" s="90" t="str">
        <f t="shared" si="34"/>
        <v/>
      </c>
      <c r="B620" s="89"/>
      <c r="BA620" s="95"/>
    </row>
    <row r="621" spans="1:53" s="87" customFormat="1">
      <c r="A621" s="90" t="str">
        <f t="shared" si="34"/>
        <v/>
      </c>
      <c r="B621" s="89"/>
      <c r="BA621" s="95"/>
    </row>
    <row r="622" spans="1:53" s="87" customFormat="1">
      <c r="A622" s="90" t="str">
        <f t="shared" si="34"/>
        <v/>
      </c>
      <c r="B622" s="89"/>
      <c r="BA622" s="95"/>
    </row>
    <row r="623" spans="1:53" s="87" customFormat="1">
      <c r="A623" s="90" t="str">
        <f t="shared" si="34"/>
        <v/>
      </c>
      <c r="B623" s="89"/>
      <c r="BA623" s="95"/>
    </row>
    <row r="624" spans="1:53" s="87" customFormat="1">
      <c r="A624" s="90" t="str">
        <f t="shared" si="34"/>
        <v/>
      </c>
      <c r="B624" s="89"/>
      <c r="BA624" s="95"/>
    </row>
    <row r="625" spans="1:53" s="87" customFormat="1">
      <c r="A625" s="90" t="str">
        <f t="shared" si="34"/>
        <v/>
      </c>
      <c r="B625" s="89"/>
      <c r="BA625" s="95"/>
    </row>
    <row r="626" spans="1:53" s="87" customFormat="1">
      <c r="A626" s="90" t="str">
        <f t="shared" si="34"/>
        <v/>
      </c>
      <c r="B626" s="89"/>
      <c r="BA626" s="95"/>
    </row>
    <row r="627" spans="1:53" s="87" customFormat="1">
      <c r="A627" s="90" t="str">
        <f t="shared" si="34"/>
        <v/>
      </c>
      <c r="B627" s="89"/>
      <c r="BA627" s="95"/>
    </row>
    <row r="628" spans="1:53" s="87" customFormat="1">
      <c r="A628" s="90" t="str">
        <f t="shared" si="34"/>
        <v/>
      </c>
      <c r="B628" s="89"/>
      <c r="BA628" s="95"/>
    </row>
    <row r="629" spans="1:53" s="87" customFormat="1">
      <c r="A629" s="90" t="str">
        <f t="shared" si="34"/>
        <v/>
      </c>
      <c r="B629" s="89"/>
      <c r="BA629" s="95"/>
    </row>
    <row r="630" spans="1:53" s="87" customFormat="1">
      <c r="A630" s="90" t="str">
        <f t="shared" si="34"/>
        <v/>
      </c>
      <c r="B630" s="89"/>
      <c r="BA630" s="95"/>
    </row>
    <row r="631" spans="1:53" s="87" customFormat="1">
      <c r="A631" s="90" t="str">
        <f t="shared" si="34"/>
        <v/>
      </c>
      <c r="B631" s="89"/>
      <c r="BA631" s="95"/>
    </row>
    <row r="632" spans="1:53" s="87" customFormat="1">
      <c r="A632" s="90" t="str">
        <f t="shared" si="34"/>
        <v/>
      </c>
      <c r="B632" s="89"/>
      <c r="BA632" s="95"/>
    </row>
    <row r="633" spans="1:53" s="87" customFormat="1">
      <c r="A633" s="90" t="str">
        <f t="shared" si="34"/>
        <v/>
      </c>
      <c r="B633" s="89"/>
      <c r="BA633" s="95"/>
    </row>
    <row r="634" spans="1:53" s="87" customFormat="1">
      <c r="A634" s="90" t="str">
        <f t="shared" si="34"/>
        <v/>
      </c>
      <c r="B634" s="89"/>
      <c r="BA634" s="95"/>
    </row>
    <row r="635" spans="1:53" s="87" customFormat="1">
      <c r="A635" s="90" t="str">
        <f t="shared" si="34"/>
        <v/>
      </c>
      <c r="B635" s="89"/>
      <c r="BA635" s="95"/>
    </row>
    <row r="636" spans="1:53" s="87" customFormat="1">
      <c r="A636" s="90" t="str">
        <f t="shared" si="34"/>
        <v/>
      </c>
      <c r="B636" s="89"/>
      <c r="BA636" s="95"/>
    </row>
    <row r="637" spans="1:53" s="87" customFormat="1">
      <c r="A637" s="90" t="str">
        <f t="shared" si="34"/>
        <v/>
      </c>
      <c r="B637" s="89"/>
      <c r="BA637" s="95"/>
    </row>
    <row r="638" spans="1:53" s="87" customFormat="1">
      <c r="A638" s="90" t="str">
        <f t="shared" si="34"/>
        <v/>
      </c>
      <c r="B638" s="89"/>
      <c r="BA638" s="95"/>
    </row>
    <row r="639" spans="1:53" s="87" customFormat="1">
      <c r="A639" s="90" t="str">
        <f t="shared" si="34"/>
        <v/>
      </c>
      <c r="B639" s="89"/>
      <c r="BA639" s="95"/>
    </row>
    <row r="640" spans="1:53" s="87" customFormat="1">
      <c r="A640" s="90" t="str">
        <f t="shared" si="34"/>
        <v/>
      </c>
      <c r="B640" s="89"/>
      <c r="BA640" s="95"/>
    </row>
    <row r="641" spans="1:53" s="87" customFormat="1">
      <c r="A641" s="90" t="str">
        <f t="shared" si="34"/>
        <v/>
      </c>
      <c r="B641" s="89"/>
      <c r="BA641" s="95"/>
    </row>
    <row r="642" spans="1:53" s="87" customFormat="1">
      <c r="A642" s="90" t="str">
        <f t="shared" si="34"/>
        <v/>
      </c>
      <c r="B642" s="89"/>
      <c r="BA642" s="95"/>
    </row>
    <row r="643" spans="1:53" s="87" customFormat="1">
      <c r="A643" s="90" t="str">
        <f t="shared" si="34"/>
        <v/>
      </c>
      <c r="B643" s="89"/>
      <c r="BA643" s="95"/>
    </row>
    <row r="644" spans="1:53" s="87" customFormat="1">
      <c r="A644" s="90" t="str">
        <f t="shared" si="34"/>
        <v/>
      </c>
      <c r="B644" s="89"/>
      <c r="BA644" s="95"/>
    </row>
    <row r="645" spans="1:53" s="87" customFormat="1">
      <c r="A645" s="90" t="str">
        <f t="shared" si="34"/>
        <v/>
      </c>
      <c r="B645" s="89"/>
      <c r="BA645" s="95"/>
    </row>
    <row r="646" spans="1:53" s="87" customFormat="1">
      <c r="A646" s="90" t="str">
        <f t="shared" si="34"/>
        <v/>
      </c>
      <c r="B646" s="89"/>
      <c r="BA646" s="95"/>
    </row>
    <row r="647" spans="1:53" s="87" customFormat="1">
      <c r="A647" s="90" t="str">
        <f t="shared" si="34"/>
        <v/>
      </c>
      <c r="B647" s="89"/>
      <c r="BA647" s="95"/>
    </row>
    <row r="648" spans="1:53" s="87" customFormat="1">
      <c r="A648" s="90" t="str">
        <f t="shared" si="34"/>
        <v/>
      </c>
      <c r="B648" s="89"/>
      <c r="BA648" s="95"/>
    </row>
    <row r="649" spans="1:53" s="87" customFormat="1">
      <c r="A649" s="90" t="str">
        <f t="shared" si="34"/>
        <v/>
      </c>
      <c r="B649" s="89"/>
      <c r="BA649" s="95"/>
    </row>
    <row r="650" spans="1:53" s="87" customFormat="1">
      <c r="A650" s="90" t="str">
        <f t="shared" si="34"/>
        <v/>
      </c>
      <c r="B650" s="89"/>
      <c r="BA650" s="95"/>
    </row>
    <row r="651" spans="1:53" s="87" customFormat="1">
      <c r="A651" s="90" t="str">
        <f t="shared" si="34"/>
        <v/>
      </c>
      <c r="B651" s="89"/>
      <c r="BA651" s="95"/>
    </row>
    <row r="652" spans="1:53" s="87" customFormat="1">
      <c r="A652" s="90" t="str">
        <f t="shared" ref="A652:A715" si="35">IF(MID(B652,3,2)="02",ROW(),"")</f>
        <v/>
      </c>
      <c r="B652" s="89"/>
      <c r="BA652" s="95"/>
    </row>
    <row r="653" spans="1:53" s="87" customFormat="1">
      <c r="A653" s="90" t="str">
        <f t="shared" si="35"/>
        <v/>
      </c>
      <c r="B653" s="89"/>
      <c r="BA653" s="95"/>
    </row>
    <row r="654" spans="1:53" s="87" customFormat="1">
      <c r="A654" s="90" t="str">
        <f t="shared" si="35"/>
        <v/>
      </c>
      <c r="B654" s="89"/>
      <c r="BA654" s="95"/>
    </row>
    <row r="655" spans="1:53" s="87" customFormat="1">
      <c r="A655" s="90" t="str">
        <f t="shared" si="35"/>
        <v/>
      </c>
      <c r="B655" s="89"/>
      <c r="BA655" s="95"/>
    </row>
    <row r="656" spans="1:53" s="87" customFormat="1">
      <c r="A656" s="90" t="str">
        <f t="shared" si="35"/>
        <v/>
      </c>
      <c r="B656" s="89"/>
      <c r="BA656" s="95"/>
    </row>
    <row r="657" spans="1:53" s="87" customFormat="1">
      <c r="A657" s="90" t="str">
        <f t="shared" si="35"/>
        <v/>
      </c>
      <c r="B657" s="89"/>
      <c r="BA657" s="95"/>
    </row>
    <row r="658" spans="1:53" s="87" customFormat="1">
      <c r="A658" s="90" t="str">
        <f t="shared" si="35"/>
        <v/>
      </c>
      <c r="B658" s="89"/>
      <c r="BA658" s="95"/>
    </row>
    <row r="659" spans="1:53" s="87" customFormat="1">
      <c r="A659" s="90" t="str">
        <f t="shared" si="35"/>
        <v/>
      </c>
      <c r="B659" s="89"/>
      <c r="BA659" s="95"/>
    </row>
    <row r="660" spans="1:53" s="87" customFormat="1">
      <c r="A660" s="90" t="str">
        <f t="shared" si="35"/>
        <v/>
      </c>
      <c r="B660" s="89"/>
      <c r="BA660" s="95"/>
    </row>
    <row r="661" spans="1:53" s="87" customFormat="1">
      <c r="A661" s="90" t="str">
        <f t="shared" si="35"/>
        <v/>
      </c>
      <c r="B661" s="89"/>
      <c r="BA661" s="95"/>
    </row>
    <row r="662" spans="1:53" s="87" customFormat="1">
      <c r="A662" s="90" t="str">
        <f t="shared" si="35"/>
        <v/>
      </c>
      <c r="B662" s="89"/>
      <c r="BA662" s="95"/>
    </row>
    <row r="663" spans="1:53" s="87" customFormat="1">
      <c r="A663" s="90" t="str">
        <f t="shared" si="35"/>
        <v/>
      </c>
      <c r="B663" s="89"/>
      <c r="BA663" s="95"/>
    </row>
    <row r="664" spans="1:53" s="87" customFormat="1">
      <c r="A664" s="90" t="str">
        <f t="shared" si="35"/>
        <v/>
      </c>
      <c r="B664" s="89"/>
      <c r="BA664" s="95"/>
    </row>
    <row r="665" spans="1:53" s="87" customFormat="1">
      <c r="A665" s="90" t="str">
        <f t="shared" si="35"/>
        <v/>
      </c>
      <c r="B665" s="89"/>
      <c r="BA665" s="95"/>
    </row>
    <row r="666" spans="1:53" s="87" customFormat="1">
      <c r="A666" s="90" t="str">
        <f t="shared" si="35"/>
        <v/>
      </c>
      <c r="B666" s="89"/>
      <c r="BA666" s="95"/>
    </row>
    <row r="667" spans="1:53" s="87" customFormat="1">
      <c r="A667" s="90" t="str">
        <f t="shared" si="35"/>
        <v/>
      </c>
      <c r="B667" s="89"/>
      <c r="BA667" s="95"/>
    </row>
    <row r="668" spans="1:53" s="87" customFormat="1">
      <c r="A668" s="90" t="str">
        <f t="shared" si="35"/>
        <v/>
      </c>
      <c r="B668" s="89"/>
      <c r="BA668" s="95"/>
    </row>
    <row r="669" spans="1:53" s="87" customFormat="1">
      <c r="A669" s="90" t="str">
        <f t="shared" si="35"/>
        <v/>
      </c>
      <c r="B669" s="89"/>
      <c r="BA669" s="95"/>
    </row>
    <row r="670" spans="1:53" s="87" customFormat="1">
      <c r="A670" s="90" t="str">
        <f t="shared" si="35"/>
        <v/>
      </c>
      <c r="B670" s="89"/>
      <c r="BA670" s="95"/>
    </row>
    <row r="671" spans="1:53" s="87" customFormat="1">
      <c r="A671" s="90" t="str">
        <f t="shared" si="35"/>
        <v/>
      </c>
      <c r="B671" s="89"/>
      <c r="BA671" s="95"/>
    </row>
    <row r="672" spans="1:53" s="87" customFormat="1">
      <c r="A672" s="90" t="str">
        <f t="shared" si="35"/>
        <v/>
      </c>
      <c r="B672" s="89"/>
      <c r="BA672" s="95"/>
    </row>
    <row r="673" spans="1:53" s="87" customFormat="1">
      <c r="A673" s="90" t="str">
        <f t="shared" si="35"/>
        <v/>
      </c>
      <c r="B673" s="89"/>
      <c r="BA673" s="95"/>
    </row>
    <row r="674" spans="1:53" s="87" customFormat="1">
      <c r="A674" s="90" t="str">
        <f t="shared" si="35"/>
        <v/>
      </c>
      <c r="B674" s="89"/>
      <c r="BA674" s="95"/>
    </row>
    <row r="675" spans="1:53" s="87" customFormat="1">
      <c r="A675" s="90" t="str">
        <f t="shared" si="35"/>
        <v/>
      </c>
      <c r="B675" s="89"/>
      <c r="BA675" s="95"/>
    </row>
    <row r="676" spans="1:53" s="87" customFormat="1">
      <c r="A676" s="90" t="str">
        <f t="shared" si="35"/>
        <v/>
      </c>
      <c r="B676" s="89"/>
      <c r="BA676" s="95"/>
    </row>
    <row r="677" spans="1:53" s="87" customFormat="1">
      <c r="A677" s="90" t="str">
        <f t="shared" si="35"/>
        <v/>
      </c>
      <c r="B677" s="89"/>
      <c r="BA677" s="95"/>
    </row>
    <row r="678" spans="1:53" s="87" customFormat="1">
      <c r="A678" s="90" t="str">
        <f t="shared" si="35"/>
        <v/>
      </c>
      <c r="B678" s="89"/>
      <c r="BA678" s="95"/>
    </row>
    <row r="679" spans="1:53" s="87" customFormat="1">
      <c r="A679" s="90" t="str">
        <f t="shared" si="35"/>
        <v/>
      </c>
      <c r="B679" s="89"/>
      <c r="BA679" s="95"/>
    </row>
    <row r="680" spans="1:53" s="87" customFormat="1">
      <c r="A680" s="90" t="str">
        <f t="shared" si="35"/>
        <v/>
      </c>
      <c r="B680" s="89"/>
      <c r="BA680" s="95"/>
    </row>
    <row r="681" spans="1:53" s="87" customFormat="1">
      <c r="A681" s="90" t="str">
        <f t="shared" si="35"/>
        <v/>
      </c>
      <c r="B681" s="89"/>
      <c r="BA681" s="95"/>
    </row>
    <row r="682" spans="1:53" s="87" customFormat="1">
      <c r="A682" s="90" t="str">
        <f t="shared" si="35"/>
        <v/>
      </c>
      <c r="B682" s="89"/>
      <c r="BA682" s="95"/>
    </row>
    <row r="683" spans="1:53" s="87" customFormat="1">
      <c r="A683" s="90" t="str">
        <f t="shared" si="35"/>
        <v/>
      </c>
      <c r="B683" s="89"/>
      <c r="BA683" s="95"/>
    </row>
    <row r="684" spans="1:53" s="87" customFormat="1">
      <c r="A684" s="90" t="str">
        <f t="shared" si="35"/>
        <v/>
      </c>
      <c r="B684" s="89"/>
      <c r="BA684" s="95"/>
    </row>
    <row r="685" spans="1:53" s="87" customFormat="1">
      <c r="A685" s="90" t="str">
        <f t="shared" si="35"/>
        <v/>
      </c>
      <c r="B685" s="89"/>
      <c r="BA685" s="95"/>
    </row>
    <row r="686" spans="1:53" s="87" customFormat="1">
      <c r="A686" s="90" t="str">
        <f t="shared" si="35"/>
        <v/>
      </c>
      <c r="B686" s="89"/>
      <c r="BA686" s="95"/>
    </row>
    <row r="687" spans="1:53" s="87" customFormat="1">
      <c r="A687" s="90" t="str">
        <f t="shared" si="35"/>
        <v/>
      </c>
      <c r="B687" s="89"/>
      <c r="BA687" s="95"/>
    </row>
    <row r="688" spans="1:53" s="87" customFormat="1">
      <c r="A688" s="90" t="str">
        <f t="shared" si="35"/>
        <v/>
      </c>
      <c r="B688" s="89"/>
      <c r="BA688" s="95"/>
    </row>
    <row r="689" spans="1:53" s="87" customFormat="1">
      <c r="A689" s="90" t="str">
        <f t="shared" si="35"/>
        <v/>
      </c>
      <c r="B689" s="89"/>
      <c r="BA689" s="95"/>
    </row>
    <row r="690" spans="1:53" s="87" customFormat="1">
      <c r="A690" s="90" t="str">
        <f t="shared" si="35"/>
        <v/>
      </c>
      <c r="B690" s="89"/>
      <c r="BA690" s="95"/>
    </row>
    <row r="691" spans="1:53" s="87" customFormat="1">
      <c r="A691" s="90" t="str">
        <f t="shared" si="35"/>
        <v/>
      </c>
      <c r="B691" s="89"/>
      <c r="BA691" s="95"/>
    </row>
    <row r="692" spans="1:53" s="87" customFormat="1">
      <c r="A692" s="90" t="str">
        <f t="shared" si="35"/>
        <v/>
      </c>
      <c r="B692" s="89"/>
      <c r="BA692" s="95"/>
    </row>
    <row r="693" spans="1:53" s="87" customFormat="1">
      <c r="A693" s="90" t="str">
        <f t="shared" si="35"/>
        <v/>
      </c>
      <c r="B693" s="89"/>
      <c r="BA693" s="95"/>
    </row>
    <row r="694" spans="1:53" s="87" customFormat="1">
      <c r="A694" s="90" t="str">
        <f t="shared" si="35"/>
        <v/>
      </c>
      <c r="B694" s="89"/>
      <c r="BA694" s="95"/>
    </row>
    <row r="695" spans="1:53" s="87" customFormat="1">
      <c r="A695" s="90" t="str">
        <f t="shared" si="35"/>
        <v/>
      </c>
      <c r="B695" s="89"/>
      <c r="BA695" s="95"/>
    </row>
    <row r="696" spans="1:53" s="87" customFormat="1">
      <c r="A696" s="90" t="str">
        <f t="shared" si="35"/>
        <v/>
      </c>
      <c r="B696" s="89"/>
      <c r="BA696" s="95"/>
    </row>
    <row r="697" spans="1:53" s="87" customFormat="1">
      <c r="A697" s="90" t="str">
        <f t="shared" si="35"/>
        <v/>
      </c>
      <c r="B697" s="89"/>
      <c r="BA697" s="95"/>
    </row>
    <row r="698" spans="1:53" s="87" customFormat="1">
      <c r="A698" s="90" t="str">
        <f t="shared" si="35"/>
        <v/>
      </c>
      <c r="B698" s="89"/>
      <c r="BA698" s="95"/>
    </row>
    <row r="699" spans="1:53" s="87" customFormat="1">
      <c r="A699" s="90" t="str">
        <f t="shared" si="35"/>
        <v/>
      </c>
      <c r="B699" s="89"/>
      <c r="BA699" s="95"/>
    </row>
    <row r="700" spans="1:53" s="87" customFormat="1">
      <c r="A700" s="90" t="str">
        <f t="shared" si="35"/>
        <v/>
      </c>
      <c r="B700" s="89"/>
      <c r="BA700" s="95"/>
    </row>
    <row r="701" spans="1:53" s="87" customFormat="1">
      <c r="A701" s="90" t="str">
        <f t="shared" si="35"/>
        <v/>
      </c>
      <c r="B701" s="89"/>
      <c r="BA701" s="95"/>
    </row>
    <row r="702" spans="1:53" s="87" customFormat="1">
      <c r="A702" s="90" t="str">
        <f t="shared" si="35"/>
        <v/>
      </c>
      <c r="B702" s="89"/>
      <c r="BA702" s="95"/>
    </row>
    <row r="703" spans="1:53" s="87" customFormat="1">
      <c r="A703" s="90" t="str">
        <f t="shared" si="35"/>
        <v/>
      </c>
      <c r="B703" s="89"/>
      <c r="BA703" s="95"/>
    </row>
    <row r="704" spans="1:53" s="87" customFormat="1">
      <c r="A704" s="90" t="str">
        <f t="shared" si="35"/>
        <v/>
      </c>
      <c r="B704" s="89"/>
      <c r="BA704" s="95"/>
    </row>
    <row r="705" spans="1:53" s="87" customFormat="1">
      <c r="A705" s="90" t="str">
        <f t="shared" si="35"/>
        <v/>
      </c>
      <c r="B705" s="89"/>
      <c r="BA705" s="95"/>
    </row>
    <row r="706" spans="1:53" s="87" customFormat="1">
      <c r="A706" s="90" t="str">
        <f t="shared" si="35"/>
        <v/>
      </c>
      <c r="B706" s="89"/>
      <c r="BA706" s="95"/>
    </row>
    <row r="707" spans="1:53" s="87" customFormat="1">
      <c r="A707" s="90" t="str">
        <f t="shared" si="35"/>
        <v/>
      </c>
      <c r="B707" s="89"/>
      <c r="BA707" s="95"/>
    </row>
    <row r="708" spans="1:53" s="87" customFormat="1">
      <c r="A708" s="90" t="str">
        <f t="shared" si="35"/>
        <v/>
      </c>
      <c r="B708" s="89"/>
      <c r="BA708" s="95"/>
    </row>
    <row r="709" spans="1:53" s="87" customFormat="1">
      <c r="A709" s="90" t="str">
        <f t="shared" si="35"/>
        <v/>
      </c>
      <c r="B709" s="89"/>
      <c r="BA709" s="95"/>
    </row>
    <row r="710" spans="1:53" s="87" customFormat="1">
      <c r="A710" s="90" t="str">
        <f t="shared" si="35"/>
        <v/>
      </c>
      <c r="B710" s="89"/>
      <c r="BA710" s="95"/>
    </row>
    <row r="711" spans="1:53" s="87" customFormat="1">
      <c r="A711" s="90" t="str">
        <f t="shared" si="35"/>
        <v/>
      </c>
      <c r="B711" s="89"/>
      <c r="BA711" s="95"/>
    </row>
    <row r="712" spans="1:53" s="87" customFormat="1">
      <c r="A712" s="90" t="str">
        <f t="shared" si="35"/>
        <v/>
      </c>
      <c r="B712" s="89"/>
      <c r="BA712" s="95"/>
    </row>
    <row r="713" spans="1:53" s="87" customFormat="1">
      <c r="A713" s="90" t="str">
        <f t="shared" si="35"/>
        <v/>
      </c>
      <c r="B713" s="89"/>
      <c r="BA713" s="95"/>
    </row>
    <row r="714" spans="1:53" s="87" customFormat="1">
      <c r="A714" s="90" t="str">
        <f t="shared" si="35"/>
        <v/>
      </c>
      <c r="B714" s="89"/>
      <c r="BA714" s="95"/>
    </row>
    <row r="715" spans="1:53" s="87" customFormat="1">
      <c r="A715" s="90" t="str">
        <f t="shared" si="35"/>
        <v/>
      </c>
      <c r="B715" s="89"/>
      <c r="BA715" s="95"/>
    </row>
    <row r="716" spans="1:53" s="87" customFormat="1">
      <c r="A716" s="90" t="str">
        <f t="shared" ref="A716:A779" si="36">IF(MID(B716,3,2)="02",ROW(),"")</f>
        <v/>
      </c>
      <c r="B716" s="89"/>
      <c r="BA716" s="95"/>
    </row>
    <row r="717" spans="1:53" s="87" customFormat="1">
      <c r="A717" s="90" t="str">
        <f t="shared" si="36"/>
        <v/>
      </c>
      <c r="B717" s="89"/>
      <c r="BA717" s="95"/>
    </row>
    <row r="718" spans="1:53" s="87" customFormat="1">
      <c r="A718" s="90" t="str">
        <f t="shared" si="36"/>
        <v/>
      </c>
      <c r="B718" s="89"/>
      <c r="BA718" s="95"/>
    </row>
    <row r="719" spans="1:53" s="87" customFormat="1">
      <c r="A719" s="90" t="str">
        <f t="shared" si="36"/>
        <v/>
      </c>
      <c r="B719" s="89"/>
      <c r="BA719" s="95"/>
    </row>
    <row r="720" spans="1:53" s="87" customFormat="1">
      <c r="A720" s="90" t="str">
        <f t="shared" si="36"/>
        <v/>
      </c>
      <c r="B720" s="89"/>
      <c r="BA720" s="95"/>
    </row>
    <row r="721" spans="1:53" s="87" customFormat="1">
      <c r="A721" s="90" t="str">
        <f t="shared" si="36"/>
        <v/>
      </c>
      <c r="B721" s="89"/>
      <c r="BA721" s="95"/>
    </row>
    <row r="722" spans="1:53" s="87" customFormat="1">
      <c r="A722" s="90" t="str">
        <f t="shared" si="36"/>
        <v/>
      </c>
      <c r="B722" s="89"/>
      <c r="BA722" s="95"/>
    </row>
    <row r="723" spans="1:53" s="87" customFormat="1">
      <c r="A723" s="90" t="str">
        <f t="shared" si="36"/>
        <v/>
      </c>
      <c r="B723" s="89"/>
      <c r="BA723" s="95"/>
    </row>
    <row r="724" spans="1:53" s="87" customFormat="1">
      <c r="A724" s="90" t="str">
        <f t="shared" si="36"/>
        <v/>
      </c>
      <c r="B724" s="89"/>
      <c r="BA724" s="95"/>
    </row>
    <row r="725" spans="1:53" s="87" customFormat="1">
      <c r="A725" s="90" t="str">
        <f t="shared" si="36"/>
        <v/>
      </c>
      <c r="B725" s="89"/>
      <c r="BA725" s="95"/>
    </row>
    <row r="726" spans="1:53" s="87" customFormat="1">
      <c r="A726" s="90" t="str">
        <f t="shared" si="36"/>
        <v/>
      </c>
      <c r="B726" s="89"/>
      <c r="BA726" s="95"/>
    </row>
    <row r="727" spans="1:53" s="87" customFormat="1">
      <c r="A727" s="90" t="str">
        <f t="shared" si="36"/>
        <v/>
      </c>
      <c r="B727" s="89"/>
      <c r="BA727" s="95"/>
    </row>
    <row r="728" spans="1:53" s="87" customFormat="1">
      <c r="A728" s="90" t="str">
        <f t="shared" si="36"/>
        <v/>
      </c>
      <c r="B728" s="89"/>
      <c r="BA728" s="95"/>
    </row>
    <row r="729" spans="1:53" s="87" customFormat="1">
      <c r="A729" s="90" t="str">
        <f t="shared" si="36"/>
        <v/>
      </c>
      <c r="B729" s="89"/>
      <c r="BA729" s="95"/>
    </row>
    <row r="730" spans="1:53" s="87" customFormat="1">
      <c r="A730" s="90" t="str">
        <f t="shared" si="36"/>
        <v/>
      </c>
      <c r="B730" s="89"/>
      <c r="BA730" s="95"/>
    </row>
    <row r="731" spans="1:53" s="87" customFormat="1">
      <c r="A731" s="90" t="str">
        <f t="shared" si="36"/>
        <v/>
      </c>
      <c r="B731" s="89"/>
      <c r="BA731" s="95"/>
    </row>
    <row r="732" spans="1:53" s="87" customFormat="1">
      <c r="A732" s="90" t="str">
        <f t="shared" si="36"/>
        <v/>
      </c>
      <c r="B732" s="89"/>
      <c r="BA732" s="95"/>
    </row>
    <row r="733" spans="1:53" s="87" customFormat="1">
      <c r="A733" s="90" t="str">
        <f t="shared" si="36"/>
        <v/>
      </c>
      <c r="B733" s="89"/>
      <c r="BA733" s="95"/>
    </row>
    <row r="734" spans="1:53" s="87" customFormat="1">
      <c r="A734" s="90" t="str">
        <f t="shared" si="36"/>
        <v/>
      </c>
      <c r="B734" s="89"/>
      <c r="BA734" s="95"/>
    </row>
    <row r="735" spans="1:53" s="87" customFormat="1">
      <c r="A735" s="90" t="str">
        <f t="shared" si="36"/>
        <v/>
      </c>
      <c r="B735" s="89"/>
      <c r="BA735" s="95"/>
    </row>
    <row r="736" spans="1:53" s="87" customFormat="1">
      <c r="A736" s="90" t="str">
        <f t="shared" si="36"/>
        <v/>
      </c>
      <c r="B736" s="89"/>
      <c r="BA736" s="95"/>
    </row>
    <row r="737" spans="1:53" s="87" customFormat="1">
      <c r="A737" s="90" t="str">
        <f t="shared" si="36"/>
        <v/>
      </c>
      <c r="B737" s="89"/>
      <c r="BA737" s="95"/>
    </row>
    <row r="738" spans="1:53" s="87" customFormat="1">
      <c r="A738" s="90" t="str">
        <f t="shared" si="36"/>
        <v/>
      </c>
      <c r="B738" s="89"/>
      <c r="BA738" s="95"/>
    </row>
    <row r="739" spans="1:53" s="87" customFormat="1">
      <c r="A739" s="90" t="str">
        <f t="shared" si="36"/>
        <v/>
      </c>
      <c r="B739" s="89"/>
      <c r="BA739" s="95"/>
    </row>
    <row r="740" spans="1:53" s="87" customFormat="1">
      <c r="A740" s="90" t="str">
        <f t="shared" si="36"/>
        <v/>
      </c>
      <c r="B740" s="89"/>
      <c r="BA740" s="95"/>
    </row>
    <row r="741" spans="1:53" s="87" customFormat="1">
      <c r="A741" s="90" t="str">
        <f t="shared" si="36"/>
        <v/>
      </c>
      <c r="B741" s="89"/>
      <c r="BA741" s="95"/>
    </row>
    <row r="742" spans="1:53" s="87" customFormat="1">
      <c r="A742" s="90" t="str">
        <f t="shared" si="36"/>
        <v/>
      </c>
      <c r="B742" s="89"/>
      <c r="BA742" s="95"/>
    </row>
    <row r="743" spans="1:53" s="87" customFormat="1">
      <c r="A743" s="90" t="str">
        <f t="shared" si="36"/>
        <v/>
      </c>
      <c r="B743" s="89"/>
      <c r="BA743" s="95"/>
    </row>
    <row r="744" spans="1:53" s="87" customFormat="1">
      <c r="A744" s="90" t="str">
        <f t="shared" si="36"/>
        <v/>
      </c>
      <c r="B744" s="89"/>
      <c r="BA744" s="95"/>
    </row>
    <row r="745" spans="1:53" s="87" customFormat="1">
      <c r="A745" s="90" t="str">
        <f t="shared" si="36"/>
        <v/>
      </c>
      <c r="B745" s="89"/>
      <c r="BA745" s="95"/>
    </row>
    <row r="746" spans="1:53" s="87" customFormat="1">
      <c r="A746" s="90" t="str">
        <f t="shared" si="36"/>
        <v/>
      </c>
      <c r="B746" s="89"/>
      <c r="BA746" s="95"/>
    </row>
    <row r="747" spans="1:53" s="87" customFormat="1">
      <c r="A747" s="90" t="str">
        <f t="shared" si="36"/>
        <v/>
      </c>
      <c r="B747" s="89"/>
      <c r="BA747" s="95"/>
    </row>
    <row r="748" spans="1:53" s="87" customFormat="1">
      <c r="A748" s="90" t="str">
        <f t="shared" si="36"/>
        <v/>
      </c>
      <c r="B748" s="89"/>
      <c r="BA748" s="95"/>
    </row>
    <row r="749" spans="1:53" s="87" customFormat="1">
      <c r="A749" s="90" t="str">
        <f t="shared" si="36"/>
        <v/>
      </c>
      <c r="B749" s="89"/>
      <c r="BA749" s="95"/>
    </row>
    <row r="750" spans="1:53" s="87" customFormat="1">
      <c r="A750" s="90" t="str">
        <f t="shared" si="36"/>
        <v/>
      </c>
      <c r="B750" s="89"/>
      <c r="BA750" s="95"/>
    </row>
    <row r="751" spans="1:53" s="87" customFormat="1">
      <c r="A751" s="90" t="str">
        <f t="shared" si="36"/>
        <v/>
      </c>
      <c r="B751" s="89"/>
      <c r="BA751" s="95"/>
    </row>
    <row r="752" spans="1:53" s="87" customFormat="1">
      <c r="A752" s="90" t="str">
        <f t="shared" si="36"/>
        <v/>
      </c>
      <c r="B752" s="89"/>
      <c r="BA752" s="95"/>
    </row>
    <row r="753" spans="1:53" s="87" customFormat="1">
      <c r="A753" s="90" t="str">
        <f t="shared" si="36"/>
        <v/>
      </c>
      <c r="B753" s="89"/>
      <c r="BA753" s="95"/>
    </row>
    <row r="754" spans="1:53" s="87" customFormat="1">
      <c r="A754" s="90" t="str">
        <f t="shared" si="36"/>
        <v/>
      </c>
      <c r="B754" s="89"/>
      <c r="BA754" s="95"/>
    </row>
    <row r="755" spans="1:53" s="87" customFormat="1">
      <c r="A755" s="90" t="str">
        <f t="shared" si="36"/>
        <v/>
      </c>
      <c r="B755" s="89"/>
      <c r="BA755" s="95"/>
    </row>
    <row r="756" spans="1:53" s="87" customFormat="1">
      <c r="A756" s="90" t="str">
        <f t="shared" si="36"/>
        <v/>
      </c>
      <c r="B756" s="89"/>
      <c r="BA756" s="95"/>
    </row>
    <row r="757" spans="1:53" s="87" customFormat="1">
      <c r="A757" s="90" t="str">
        <f t="shared" si="36"/>
        <v/>
      </c>
      <c r="B757" s="89"/>
      <c r="BA757" s="95"/>
    </row>
    <row r="758" spans="1:53" s="87" customFormat="1">
      <c r="A758" s="90" t="str">
        <f t="shared" si="36"/>
        <v/>
      </c>
      <c r="B758" s="89"/>
      <c r="BA758" s="95"/>
    </row>
    <row r="759" spans="1:53" s="87" customFormat="1">
      <c r="A759" s="90" t="str">
        <f t="shared" si="36"/>
        <v/>
      </c>
      <c r="B759" s="89"/>
      <c r="BA759" s="95"/>
    </row>
    <row r="760" spans="1:53" s="87" customFormat="1">
      <c r="A760" s="90" t="str">
        <f t="shared" si="36"/>
        <v/>
      </c>
      <c r="B760" s="89"/>
      <c r="BA760" s="95"/>
    </row>
    <row r="761" spans="1:53" s="87" customFormat="1">
      <c r="A761" s="90" t="str">
        <f t="shared" si="36"/>
        <v/>
      </c>
      <c r="B761" s="89"/>
      <c r="BA761" s="95"/>
    </row>
    <row r="762" spans="1:53" s="87" customFormat="1">
      <c r="A762" s="90" t="str">
        <f t="shared" si="36"/>
        <v/>
      </c>
      <c r="B762" s="89"/>
      <c r="BA762" s="95"/>
    </row>
    <row r="763" spans="1:53" s="87" customFormat="1">
      <c r="A763" s="90" t="str">
        <f t="shared" si="36"/>
        <v/>
      </c>
      <c r="B763" s="89"/>
      <c r="BA763" s="95"/>
    </row>
    <row r="764" spans="1:53" s="87" customFormat="1">
      <c r="A764" s="90" t="str">
        <f t="shared" si="36"/>
        <v/>
      </c>
      <c r="B764" s="89"/>
      <c r="BA764" s="95"/>
    </row>
    <row r="765" spans="1:53" s="87" customFormat="1">
      <c r="A765" s="90" t="str">
        <f t="shared" si="36"/>
        <v/>
      </c>
      <c r="B765" s="89"/>
      <c r="BA765" s="95"/>
    </row>
    <row r="766" spans="1:53" s="87" customFormat="1">
      <c r="A766" s="90" t="str">
        <f t="shared" si="36"/>
        <v/>
      </c>
      <c r="B766" s="89"/>
      <c r="BA766" s="95"/>
    </row>
    <row r="767" spans="1:53" s="87" customFormat="1">
      <c r="A767" s="90" t="str">
        <f t="shared" si="36"/>
        <v/>
      </c>
      <c r="B767" s="89"/>
      <c r="BA767" s="95"/>
    </row>
    <row r="768" spans="1:53" s="87" customFormat="1">
      <c r="A768" s="90" t="str">
        <f t="shared" si="36"/>
        <v/>
      </c>
      <c r="B768" s="89"/>
      <c r="BA768" s="95"/>
    </row>
    <row r="769" spans="1:53" s="87" customFormat="1">
      <c r="A769" s="90" t="str">
        <f t="shared" si="36"/>
        <v/>
      </c>
      <c r="B769" s="89"/>
      <c r="BA769" s="95"/>
    </row>
    <row r="770" spans="1:53" s="87" customFormat="1">
      <c r="A770" s="90" t="str">
        <f t="shared" si="36"/>
        <v/>
      </c>
      <c r="B770" s="89"/>
      <c r="BA770" s="95"/>
    </row>
    <row r="771" spans="1:53" s="87" customFormat="1">
      <c r="A771" s="90" t="str">
        <f t="shared" si="36"/>
        <v/>
      </c>
      <c r="B771" s="89"/>
      <c r="BA771" s="95"/>
    </row>
    <row r="772" spans="1:53" s="87" customFormat="1">
      <c r="A772" s="90" t="str">
        <f t="shared" si="36"/>
        <v/>
      </c>
      <c r="B772" s="89"/>
      <c r="BA772" s="95"/>
    </row>
    <row r="773" spans="1:53" s="87" customFormat="1">
      <c r="A773" s="90" t="str">
        <f t="shared" si="36"/>
        <v/>
      </c>
      <c r="B773" s="89"/>
      <c r="BA773" s="95"/>
    </row>
    <row r="774" spans="1:53" s="87" customFormat="1">
      <c r="A774" s="90" t="str">
        <f t="shared" si="36"/>
        <v/>
      </c>
      <c r="B774" s="89"/>
      <c r="BA774" s="95"/>
    </row>
    <row r="775" spans="1:53" s="87" customFormat="1">
      <c r="A775" s="90" t="str">
        <f t="shared" si="36"/>
        <v/>
      </c>
      <c r="B775" s="89"/>
      <c r="BA775" s="95"/>
    </row>
    <row r="776" spans="1:53" s="87" customFormat="1">
      <c r="A776" s="90" t="str">
        <f t="shared" si="36"/>
        <v/>
      </c>
      <c r="B776" s="89"/>
      <c r="BA776" s="95"/>
    </row>
    <row r="777" spans="1:53" s="87" customFormat="1">
      <c r="A777" s="90" t="str">
        <f t="shared" si="36"/>
        <v/>
      </c>
      <c r="B777" s="89"/>
      <c r="BA777" s="95"/>
    </row>
    <row r="778" spans="1:53" s="87" customFormat="1">
      <c r="A778" s="90" t="str">
        <f t="shared" si="36"/>
        <v/>
      </c>
      <c r="B778" s="89"/>
      <c r="BA778" s="95"/>
    </row>
    <row r="779" spans="1:53" s="87" customFormat="1">
      <c r="A779" s="90" t="str">
        <f t="shared" si="36"/>
        <v/>
      </c>
      <c r="B779" s="89"/>
      <c r="BA779" s="95"/>
    </row>
    <row r="780" spans="1:53" s="87" customFormat="1">
      <c r="A780" s="90" t="str">
        <f t="shared" ref="A780:A843" si="37">IF(MID(B780,3,2)="02",ROW(),"")</f>
        <v/>
      </c>
      <c r="B780" s="89"/>
      <c r="BA780" s="95"/>
    </row>
    <row r="781" spans="1:53" s="87" customFormat="1">
      <c r="A781" s="90" t="str">
        <f t="shared" si="37"/>
        <v/>
      </c>
      <c r="B781" s="89"/>
      <c r="BA781" s="95"/>
    </row>
    <row r="782" spans="1:53" s="87" customFormat="1">
      <c r="A782" s="90" t="str">
        <f t="shared" si="37"/>
        <v/>
      </c>
      <c r="B782" s="89"/>
      <c r="BA782" s="95"/>
    </row>
    <row r="783" spans="1:53" s="87" customFormat="1">
      <c r="A783" s="90" t="str">
        <f t="shared" si="37"/>
        <v/>
      </c>
      <c r="B783" s="89"/>
      <c r="BA783" s="95"/>
    </row>
    <row r="784" spans="1:53" s="87" customFormat="1">
      <c r="A784" s="90" t="str">
        <f t="shared" si="37"/>
        <v/>
      </c>
      <c r="B784" s="89"/>
      <c r="BA784" s="95"/>
    </row>
    <row r="785" spans="1:53" s="87" customFormat="1">
      <c r="A785" s="90" t="str">
        <f t="shared" si="37"/>
        <v/>
      </c>
      <c r="B785" s="89"/>
      <c r="BA785" s="95"/>
    </row>
    <row r="786" spans="1:53" s="87" customFormat="1">
      <c r="A786" s="90" t="str">
        <f t="shared" si="37"/>
        <v/>
      </c>
      <c r="B786" s="89"/>
      <c r="BA786" s="95"/>
    </row>
    <row r="787" spans="1:53" s="87" customFormat="1">
      <c r="A787" s="90" t="str">
        <f t="shared" si="37"/>
        <v/>
      </c>
      <c r="B787" s="89"/>
      <c r="BA787" s="95"/>
    </row>
    <row r="788" spans="1:53" s="87" customFormat="1">
      <c r="A788" s="90" t="str">
        <f t="shared" si="37"/>
        <v/>
      </c>
      <c r="B788" s="89"/>
      <c r="BA788" s="95"/>
    </row>
    <row r="789" spans="1:53" s="87" customFormat="1">
      <c r="A789" s="90" t="str">
        <f t="shared" si="37"/>
        <v/>
      </c>
      <c r="B789" s="89"/>
      <c r="BA789" s="95"/>
    </row>
    <row r="790" spans="1:53" s="87" customFormat="1">
      <c r="A790" s="90" t="str">
        <f t="shared" si="37"/>
        <v/>
      </c>
      <c r="B790" s="89"/>
      <c r="BA790" s="95"/>
    </row>
    <row r="791" spans="1:53" s="87" customFormat="1">
      <c r="A791" s="90" t="str">
        <f t="shared" si="37"/>
        <v/>
      </c>
      <c r="B791" s="89"/>
      <c r="BA791" s="95"/>
    </row>
    <row r="792" spans="1:53" s="87" customFormat="1">
      <c r="A792" s="90" t="str">
        <f t="shared" si="37"/>
        <v/>
      </c>
      <c r="B792" s="89"/>
      <c r="BA792" s="95"/>
    </row>
    <row r="793" spans="1:53" s="87" customFormat="1">
      <c r="A793" s="90" t="str">
        <f t="shared" si="37"/>
        <v/>
      </c>
      <c r="B793" s="89"/>
      <c r="BA793" s="95"/>
    </row>
    <row r="794" spans="1:53" s="87" customFormat="1">
      <c r="A794" s="90" t="str">
        <f t="shared" si="37"/>
        <v/>
      </c>
      <c r="B794" s="89"/>
      <c r="BA794" s="95"/>
    </row>
    <row r="795" spans="1:53" s="87" customFormat="1">
      <c r="A795" s="90" t="str">
        <f t="shared" si="37"/>
        <v/>
      </c>
      <c r="B795" s="89"/>
      <c r="BA795" s="95"/>
    </row>
    <row r="796" spans="1:53" s="87" customFormat="1">
      <c r="A796" s="90" t="str">
        <f t="shared" si="37"/>
        <v/>
      </c>
      <c r="B796" s="89"/>
      <c r="BA796" s="95"/>
    </row>
    <row r="797" spans="1:53" s="87" customFormat="1">
      <c r="A797" s="90" t="str">
        <f t="shared" si="37"/>
        <v/>
      </c>
      <c r="B797" s="89"/>
      <c r="BA797" s="95"/>
    </row>
    <row r="798" spans="1:53" s="87" customFormat="1">
      <c r="A798" s="90" t="str">
        <f t="shared" si="37"/>
        <v/>
      </c>
      <c r="B798" s="89"/>
      <c r="BA798" s="95"/>
    </row>
    <row r="799" spans="1:53" s="87" customFormat="1">
      <c r="A799" s="90" t="str">
        <f t="shared" si="37"/>
        <v/>
      </c>
      <c r="B799" s="89"/>
      <c r="BA799" s="95"/>
    </row>
    <row r="800" spans="1:53" s="87" customFormat="1">
      <c r="A800" s="90" t="str">
        <f t="shared" si="37"/>
        <v/>
      </c>
      <c r="B800" s="89"/>
      <c r="BA800" s="95"/>
    </row>
    <row r="801" spans="1:53" s="87" customFormat="1">
      <c r="A801" s="90" t="str">
        <f t="shared" si="37"/>
        <v/>
      </c>
      <c r="B801" s="89"/>
      <c r="BA801" s="95"/>
    </row>
    <row r="802" spans="1:53" s="87" customFormat="1">
      <c r="A802" s="90" t="str">
        <f t="shared" si="37"/>
        <v/>
      </c>
      <c r="B802" s="89"/>
      <c r="BA802" s="95"/>
    </row>
    <row r="803" spans="1:53" s="87" customFormat="1">
      <c r="A803" s="90" t="str">
        <f t="shared" si="37"/>
        <v/>
      </c>
      <c r="B803" s="89"/>
      <c r="BA803" s="95"/>
    </row>
    <row r="804" spans="1:53" s="87" customFormat="1">
      <c r="A804" s="90" t="str">
        <f t="shared" si="37"/>
        <v/>
      </c>
      <c r="B804" s="89"/>
      <c r="BA804" s="95"/>
    </row>
    <row r="805" spans="1:53" s="87" customFormat="1">
      <c r="A805" s="90" t="str">
        <f t="shared" si="37"/>
        <v/>
      </c>
      <c r="B805" s="89"/>
      <c r="BA805" s="95"/>
    </row>
    <row r="806" spans="1:53" s="87" customFormat="1">
      <c r="A806" s="90" t="str">
        <f t="shared" si="37"/>
        <v/>
      </c>
      <c r="B806" s="89"/>
      <c r="BA806" s="95"/>
    </row>
    <row r="807" spans="1:53" s="87" customFormat="1">
      <c r="A807" s="90" t="str">
        <f t="shared" si="37"/>
        <v/>
      </c>
      <c r="B807" s="89"/>
      <c r="BA807" s="95"/>
    </row>
    <row r="808" spans="1:53" s="87" customFormat="1">
      <c r="A808" s="90" t="str">
        <f t="shared" si="37"/>
        <v/>
      </c>
      <c r="B808" s="89"/>
      <c r="BA808" s="95"/>
    </row>
    <row r="809" spans="1:53" s="87" customFormat="1">
      <c r="A809" s="90" t="str">
        <f t="shared" si="37"/>
        <v/>
      </c>
      <c r="B809" s="89"/>
      <c r="BA809" s="95"/>
    </row>
    <row r="810" spans="1:53" s="87" customFormat="1">
      <c r="A810" s="90" t="str">
        <f t="shared" si="37"/>
        <v/>
      </c>
      <c r="B810" s="89"/>
      <c r="BA810" s="95"/>
    </row>
    <row r="811" spans="1:53" s="87" customFormat="1">
      <c r="A811" s="90" t="str">
        <f t="shared" si="37"/>
        <v/>
      </c>
      <c r="B811" s="89"/>
      <c r="BA811" s="95"/>
    </row>
    <row r="812" spans="1:53" s="87" customFormat="1">
      <c r="A812" s="90" t="str">
        <f t="shared" si="37"/>
        <v/>
      </c>
      <c r="B812" s="89"/>
      <c r="BA812" s="95"/>
    </row>
    <row r="813" spans="1:53" s="87" customFormat="1">
      <c r="A813" s="90" t="str">
        <f t="shared" si="37"/>
        <v/>
      </c>
      <c r="B813" s="89"/>
      <c r="BA813" s="95"/>
    </row>
    <row r="814" spans="1:53" s="87" customFormat="1">
      <c r="A814" s="90" t="str">
        <f t="shared" si="37"/>
        <v/>
      </c>
      <c r="B814" s="89"/>
      <c r="BA814" s="95"/>
    </row>
    <row r="815" spans="1:53" s="87" customFormat="1">
      <c r="A815" s="90" t="str">
        <f t="shared" si="37"/>
        <v/>
      </c>
      <c r="B815" s="89"/>
      <c r="BA815" s="95"/>
    </row>
    <row r="816" spans="1:53" s="87" customFormat="1">
      <c r="A816" s="90" t="str">
        <f t="shared" si="37"/>
        <v/>
      </c>
      <c r="B816" s="89"/>
      <c r="BA816" s="95"/>
    </row>
    <row r="817" spans="1:53" s="87" customFormat="1">
      <c r="A817" s="90" t="str">
        <f t="shared" si="37"/>
        <v/>
      </c>
      <c r="B817" s="89"/>
      <c r="BA817" s="95"/>
    </row>
    <row r="818" spans="1:53" s="87" customFormat="1">
      <c r="A818" s="90" t="str">
        <f t="shared" si="37"/>
        <v/>
      </c>
      <c r="B818" s="89"/>
      <c r="BA818" s="95"/>
    </row>
    <row r="819" spans="1:53" s="87" customFormat="1">
      <c r="A819" s="90" t="str">
        <f t="shared" si="37"/>
        <v/>
      </c>
      <c r="B819" s="89"/>
      <c r="BA819" s="95"/>
    </row>
    <row r="820" spans="1:53" s="87" customFormat="1">
      <c r="A820" s="90" t="str">
        <f t="shared" si="37"/>
        <v/>
      </c>
      <c r="B820" s="89"/>
      <c r="BA820" s="95"/>
    </row>
    <row r="821" spans="1:53" s="87" customFormat="1">
      <c r="A821" s="90" t="str">
        <f t="shared" si="37"/>
        <v/>
      </c>
      <c r="B821" s="89"/>
      <c r="BA821" s="95"/>
    </row>
    <row r="822" spans="1:53" s="87" customFormat="1">
      <c r="A822" s="90" t="str">
        <f t="shared" si="37"/>
        <v/>
      </c>
      <c r="B822" s="89"/>
      <c r="BA822" s="95"/>
    </row>
    <row r="823" spans="1:53" s="87" customFormat="1">
      <c r="A823" s="90" t="str">
        <f t="shared" si="37"/>
        <v/>
      </c>
      <c r="B823" s="89"/>
      <c r="BA823" s="95"/>
    </row>
    <row r="824" spans="1:53" s="87" customFormat="1">
      <c r="A824" s="90" t="str">
        <f t="shared" si="37"/>
        <v/>
      </c>
      <c r="B824" s="89"/>
      <c r="BA824" s="95"/>
    </row>
    <row r="825" spans="1:53" s="87" customFormat="1">
      <c r="A825" s="90" t="str">
        <f t="shared" si="37"/>
        <v/>
      </c>
      <c r="B825" s="89"/>
      <c r="BA825" s="95"/>
    </row>
    <row r="826" spans="1:53" s="87" customFormat="1">
      <c r="A826" s="90" t="str">
        <f t="shared" si="37"/>
        <v/>
      </c>
      <c r="B826" s="89"/>
      <c r="BA826" s="95"/>
    </row>
    <row r="827" spans="1:53" s="87" customFormat="1">
      <c r="A827" s="90" t="str">
        <f t="shared" si="37"/>
        <v/>
      </c>
      <c r="B827" s="89"/>
      <c r="BA827" s="95"/>
    </row>
    <row r="828" spans="1:53" s="87" customFormat="1">
      <c r="A828" s="90" t="str">
        <f t="shared" si="37"/>
        <v/>
      </c>
      <c r="B828" s="89"/>
      <c r="BA828" s="95"/>
    </row>
    <row r="829" spans="1:53" s="87" customFormat="1">
      <c r="A829" s="90" t="str">
        <f t="shared" si="37"/>
        <v/>
      </c>
      <c r="B829" s="89"/>
      <c r="BA829" s="95"/>
    </row>
    <row r="830" spans="1:53" s="87" customFormat="1">
      <c r="A830" s="90" t="str">
        <f t="shared" si="37"/>
        <v/>
      </c>
      <c r="B830" s="89"/>
      <c r="BA830" s="95"/>
    </row>
    <row r="831" spans="1:53" s="87" customFormat="1">
      <c r="A831" s="90" t="str">
        <f t="shared" si="37"/>
        <v/>
      </c>
      <c r="B831" s="89"/>
      <c r="BA831" s="95"/>
    </row>
    <row r="832" spans="1:53" s="87" customFormat="1">
      <c r="A832" s="90" t="str">
        <f t="shared" si="37"/>
        <v/>
      </c>
      <c r="B832" s="89"/>
      <c r="BA832" s="95"/>
    </row>
    <row r="833" spans="1:53" s="87" customFormat="1">
      <c r="A833" s="90" t="str">
        <f t="shared" si="37"/>
        <v/>
      </c>
      <c r="B833" s="89"/>
      <c r="BA833" s="95"/>
    </row>
    <row r="834" spans="1:53" s="87" customFormat="1">
      <c r="A834" s="90" t="str">
        <f t="shared" si="37"/>
        <v/>
      </c>
      <c r="B834" s="89"/>
      <c r="BA834" s="95"/>
    </row>
    <row r="835" spans="1:53" s="87" customFormat="1">
      <c r="A835" s="90" t="str">
        <f t="shared" si="37"/>
        <v/>
      </c>
      <c r="B835" s="89"/>
      <c r="BA835" s="95"/>
    </row>
    <row r="836" spans="1:53" s="87" customFormat="1">
      <c r="A836" s="90" t="str">
        <f t="shared" si="37"/>
        <v/>
      </c>
      <c r="B836" s="89"/>
      <c r="BA836" s="95"/>
    </row>
    <row r="837" spans="1:53" s="87" customFormat="1">
      <c r="A837" s="90" t="str">
        <f t="shared" si="37"/>
        <v/>
      </c>
      <c r="B837" s="89"/>
      <c r="BA837" s="95"/>
    </row>
    <row r="838" spans="1:53" s="87" customFormat="1">
      <c r="A838" s="90" t="str">
        <f t="shared" si="37"/>
        <v/>
      </c>
      <c r="B838" s="89"/>
      <c r="BA838" s="95"/>
    </row>
    <row r="839" spans="1:53" s="87" customFormat="1">
      <c r="A839" s="90" t="str">
        <f t="shared" si="37"/>
        <v/>
      </c>
      <c r="B839" s="89"/>
      <c r="BA839" s="95"/>
    </row>
    <row r="840" spans="1:53" s="87" customFormat="1">
      <c r="A840" s="90" t="str">
        <f t="shared" si="37"/>
        <v/>
      </c>
      <c r="B840" s="89"/>
      <c r="BA840" s="95"/>
    </row>
    <row r="841" spans="1:53" s="87" customFormat="1">
      <c r="A841" s="90" t="str">
        <f t="shared" si="37"/>
        <v/>
      </c>
      <c r="B841" s="89"/>
      <c r="BA841" s="95"/>
    </row>
    <row r="842" spans="1:53" s="87" customFormat="1">
      <c r="A842" s="90" t="str">
        <f t="shared" si="37"/>
        <v/>
      </c>
      <c r="B842" s="89"/>
      <c r="BA842" s="95"/>
    </row>
    <row r="843" spans="1:53" s="87" customFormat="1">
      <c r="A843" s="90" t="str">
        <f t="shared" si="37"/>
        <v/>
      </c>
      <c r="B843" s="89"/>
      <c r="BA843" s="95"/>
    </row>
    <row r="844" spans="1:53" s="87" customFormat="1">
      <c r="A844" s="90" t="str">
        <f t="shared" ref="A844:A907" si="38">IF(MID(B844,3,2)="02",ROW(),"")</f>
        <v/>
      </c>
      <c r="B844" s="89"/>
      <c r="BA844" s="95"/>
    </row>
    <row r="845" spans="1:53" s="87" customFormat="1">
      <c r="A845" s="90" t="str">
        <f t="shared" si="38"/>
        <v/>
      </c>
      <c r="B845" s="89"/>
      <c r="BA845" s="95"/>
    </row>
    <row r="846" spans="1:53" s="87" customFormat="1">
      <c r="A846" s="90" t="str">
        <f t="shared" si="38"/>
        <v/>
      </c>
      <c r="B846" s="89"/>
      <c r="BA846" s="95"/>
    </row>
    <row r="847" spans="1:53" s="87" customFormat="1">
      <c r="A847" s="90" t="str">
        <f t="shared" si="38"/>
        <v/>
      </c>
      <c r="B847" s="89"/>
      <c r="BA847" s="95"/>
    </row>
    <row r="848" spans="1:53" s="87" customFormat="1">
      <c r="A848" s="90" t="str">
        <f t="shared" si="38"/>
        <v/>
      </c>
      <c r="B848" s="89"/>
      <c r="BA848" s="95"/>
    </row>
    <row r="849" spans="1:53" s="87" customFormat="1">
      <c r="A849" s="90" t="str">
        <f t="shared" si="38"/>
        <v/>
      </c>
      <c r="B849" s="89"/>
      <c r="BA849" s="95"/>
    </row>
    <row r="850" spans="1:53" s="87" customFormat="1">
      <c r="A850" s="90" t="str">
        <f t="shared" si="38"/>
        <v/>
      </c>
      <c r="B850" s="89"/>
      <c r="BA850" s="95"/>
    </row>
    <row r="851" spans="1:53" s="87" customFormat="1">
      <c r="A851" s="90" t="str">
        <f t="shared" si="38"/>
        <v/>
      </c>
      <c r="B851" s="89"/>
      <c r="BA851" s="95"/>
    </row>
    <row r="852" spans="1:53" s="87" customFormat="1">
      <c r="A852" s="90" t="str">
        <f t="shared" si="38"/>
        <v/>
      </c>
      <c r="B852" s="89"/>
      <c r="BA852" s="95"/>
    </row>
    <row r="853" spans="1:53" s="87" customFormat="1">
      <c r="A853" s="90" t="str">
        <f t="shared" si="38"/>
        <v/>
      </c>
      <c r="B853" s="89"/>
      <c r="BA853" s="95"/>
    </row>
    <row r="854" spans="1:53" s="87" customFormat="1">
      <c r="A854" s="90" t="str">
        <f t="shared" si="38"/>
        <v/>
      </c>
      <c r="B854" s="89"/>
      <c r="BA854" s="95"/>
    </row>
    <row r="855" spans="1:53" s="87" customFormat="1">
      <c r="A855" s="90" t="str">
        <f t="shared" si="38"/>
        <v/>
      </c>
      <c r="B855" s="89"/>
      <c r="BA855" s="95"/>
    </row>
    <row r="856" spans="1:53" s="87" customFormat="1">
      <c r="A856" s="90" t="str">
        <f t="shared" si="38"/>
        <v/>
      </c>
      <c r="B856" s="89"/>
      <c r="BA856" s="95"/>
    </row>
    <row r="857" spans="1:53" s="87" customFormat="1">
      <c r="A857" s="90" t="str">
        <f t="shared" si="38"/>
        <v/>
      </c>
      <c r="B857" s="89"/>
      <c r="BA857" s="95"/>
    </row>
    <row r="858" spans="1:53" s="87" customFormat="1">
      <c r="A858" s="90" t="str">
        <f t="shared" si="38"/>
        <v/>
      </c>
      <c r="B858" s="89"/>
      <c r="BA858" s="95"/>
    </row>
    <row r="859" spans="1:53" s="87" customFormat="1">
      <c r="A859" s="90" t="str">
        <f t="shared" si="38"/>
        <v/>
      </c>
      <c r="B859" s="89"/>
      <c r="BA859" s="95"/>
    </row>
    <row r="860" spans="1:53" s="87" customFormat="1">
      <c r="A860" s="90" t="str">
        <f t="shared" si="38"/>
        <v/>
      </c>
      <c r="B860" s="89"/>
      <c r="BA860" s="95"/>
    </row>
    <row r="861" spans="1:53" s="87" customFormat="1">
      <c r="A861" s="90" t="str">
        <f t="shared" si="38"/>
        <v/>
      </c>
      <c r="B861" s="89"/>
      <c r="BA861" s="95"/>
    </row>
    <row r="862" spans="1:53" s="87" customFormat="1">
      <c r="A862" s="90" t="str">
        <f t="shared" si="38"/>
        <v/>
      </c>
      <c r="B862" s="89"/>
      <c r="BA862" s="95"/>
    </row>
    <row r="863" spans="1:53" s="87" customFormat="1">
      <c r="A863" s="90" t="str">
        <f t="shared" si="38"/>
        <v/>
      </c>
      <c r="B863" s="89"/>
      <c r="BA863" s="95"/>
    </row>
    <row r="864" spans="1:53" s="87" customFormat="1">
      <c r="A864" s="90" t="str">
        <f t="shared" si="38"/>
        <v/>
      </c>
      <c r="B864" s="89"/>
      <c r="BA864" s="95"/>
    </row>
    <row r="865" spans="1:53" s="87" customFormat="1">
      <c r="A865" s="90" t="str">
        <f t="shared" si="38"/>
        <v/>
      </c>
      <c r="B865" s="89"/>
      <c r="BA865" s="95"/>
    </row>
    <row r="866" spans="1:53" s="87" customFormat="1">
      <c r="A866" s="90" t="str">
        <f t="shared" si="38"/>
        <v/>
      </c>
      <c r="B866" s="89"/>
      <c r="BA866" s="95"/>
    </row>
    <row r="867" spans="1:53" s="87" customFormat="1">
      <c r="A867" s="90" t="str">
        <f t="shared" si="38"/>
        <v/>
      </c>
      <c r="B867" s="89"/>
      <c r="BA867" s="95"/>
    </row>
    <row r="868" spans="1:53" s="87" customFormat="1">
      <c r="A868" s="90" t="str">
        <f t="shared" si="38"/>
        <v/>
      </c>
      <c r="B868" s="89"/>
      <c r="BA868" s="95"/>
    </row>
    <row r="869" spans="1:53" s="87" customFormat="1">
      <c r="A869" s="90" t="str">
        <f t="shared" si="38"/>
        <v/>
      </c>
      <c r="B869" s="89"/>
      <c r="BA869" s="95"/>
    </row>
    <row r="870" spans="1:53" s="87" customFormat="1">
      <c r="A870" s="90" t="str">
        <f t="shared" si="38"/>
        <v/>
      </c>
      <c r="B870" s="89"/>
      <c r="BA870" s="95"/>
    </row>
    <row r="871" spans="1:53" s="87" customFormat="1">
      <c r="A871" s="90" t="str">
        <f t="shared" si="38"/>
        <v/>
      </c>
      <c r="B871" s="89"/>
      <c r="BA871" s="95"/>
    </row>
    <row r="872" spans="1:53" s="87" customFormat="1">
      <c r="A872" s="90" t="str">
        <f t="shared" si="38"/>
        <v/>
      </c>
      <c r="B872" s="89"/>
      <c r="BA872" s="95"/>
    </row>
    <row r="873" spans="1:53" s="87" customFormat="1">
      <c r="A873" s="90" t="str">
        <f t="shared" si="38"/>
        <v/>
      </c>
      <c r="B873" s="89"/>
      <c r="BA873" s="95"/>
    </row>
    <row r="874" spans="1:53" s="87" customFormat="1">
      <c r="A874" s="90" t="str">
        <f t="shared" si="38"/>
        <v/>
      </c>
      <c r="B874" s="89"/>
      <c r="BA874" s="95"/>
    </row>
    <row r="875" spans="1:53" s="87" customFormat="1">
      <c r="A875" s="90" t="str">
        <f t="shared" si="38"/>
        <v/>
      </c>
      <c r="B875" s="89"/>
      <c r="BA875" s="95"/>
    </row>
    <row r="876" spans="1:53" s="87" customFormat="1">
      <c r="A876" s="90" t="str">
        <f t="shared" si="38"/>
        <v/>
      </c>
      <c r="B876" s="89"/>
      <c r="BA876" s="95"/>
    </row>
    <row r="877" spans="1:53" s="87" customFormat="1">
      <c r="A877" s="90" t="str">
        <f t="shared" si="38"/>
        <v/>
      </c>
      <c r="B877" s="89"/>
      <c r="BA877" s="95"/>
    </row>
    <row r="878" spans="1:53" s="87" customFormat="1">
      <c r="A878" s="90" t="str">
        <f t="shared" si="38"/>
        <v/>
      </c>
      <c r="B878" s="89"/>
      <c r="BA878" s="95"/>
    </row>
    <row r="879" spans="1:53" s="87" customFormat="1">
      <c r="A879" s="90" t="str">
        <f t="shared" si="38"/>
        <v/>
      </c>
      <c r="B879" s="89"/>
      <c r="BA879" s="95"/>
    </row>
    <row r="880" spans="1:53" s="87" customFormat="1">
      <c r="A880" s="90" t="str">
        <f t="shared" si="38"/>
        <v/>
      </c>
      <c r="B880" s="89"/>
      <c r="BA880" s="95"/>
    </row>
    <row r="881" spans="1:53" s="87" customFormat="1">
      <c r="A881" s="90" t="str">
        <f t="shared" si="38"/>
        <v/>
      </c>
      <c r="B881" s="89"/>
      <c r="BA881" s="95"/>
    </row>
    <row r="882" spans="1:53" s="87" customFormat="1">
      <c r="A882" s="90" t="str">
        <f t="shared" si="38"/>
        <v/>
      </c>
      <c r="B882" s="89"/>
      <c r="BA882" s="95"/>
    </row>
    <row r="883" spans="1:53" s="87" customFormat="1">
      <c r="A883" s="90" t="str">
        <f t="shared" si="38"/>
        <v/>
      </c>
      <c r="B883" s="89"/>
      <c r="BA883" s="95"/>
    </row>
    <row r="884" spans="1:53" s="87" customFormat="1">
      <c r="A884" s="90" t="str">
        <f t="shared" si="38"/>
        <v/>
      </c>
      <c r="B884" s="89"/>
      <c r="BA884" s="95"/>
    </row>
    <row r="885" spans="1:53" s="87" customFormat="1">
      <c r="A885" s="90" t="str">
        <f t="shared" si="38"/>
        <v/>
      </c>
      <c r="B885" s="89"/>
      <c r="BA885" s="95"/>
    </row>
    <row r="886" spans="1:53" s="87" customFormat="1">
      <c r="A886" s="90" t="str">
        <f t="shared" si="38"/>
        <v/>
      </c>
      <c r="B886" s="89"/>
      <c r="BA886" s="95"/>
    </row>
    <row r="887" spans="1:53" s="87" customFormat="1">
      <c r="A887" s="90" t="str">
        <f t="shared" si="38"/>
        <v/>
      </c>
      <c r="B887" s="89"/>
      <c r="BA887" s="95"/>
    </row>
    <row r="888" spans="1:53" s="87" customFormat="1">
      <c r="A888" s="90" t="str">
        <f t="shared" si="38"/>
        <v/>
      </c>
      <c r="B888" s="89"/>
      <c r="BA888" s="95"/>
    </row>
    <row r="889" spans="1:53" s="87" customFormat="1">
      <c r="A889" s="90" t="str">
        <f t="shared" si="38"/>
        <v/>
      </c>
      <c r="B889" s="89"/>
      <c r="BA889" s="95"/>
    </row>
    <row r="890" spans="1:53" s="87" customFormat="1">
      <c r="A890" s="90" t="str">
        <f t="shared" si="38"/>
        <v/>
      </c>
      <c r="B890" s="89"/>
      <c r="BA890" s="95"/>
    </row>
    <row r="891" spans="1:53" s="87" customFormat="1">
      <c r="A891" s="90" t="str">
        <f t="shared" si="38"/>
        <v/>
      </c>
      <c r="B891" s="89"/>
      <c r="BA891" s="95"/>
    </row>
    <row r="892" spans="1:53" s="87" customFormat="1">
      <c r="A892" s="90" t="str">
        <f t="shared" si="38"/>
        <v/>
      </c>
      <c r="B892" s="89"/>
      <c r="BA892" s="95"/>
    </row>
    <row r="893" spans="1:53" s="87" customFormat="1">
      <c r="A893" s="90" t="str">
        <f t="shared" si="38"/>
        <v/>
      </c>
      <c r="B893" s="89"/>
      <c r="BA893" s="95"/>
    </row>
    <row r="894" spans="1:53" s="87" customFormat="1">
      <c r="A894" s="90" t="str">
        <f t="shared" si="38"/>
        <v/>
      </c>
      <c r="B894" s="89"/>
      <c r="BA894" s="95"/>
    </row>
    <row r="895" spans="1:53" s="87" customFormat="1">
      <c r="A895" s="90" t="str">
        <f t="shared" si="38"/>
        <v/>
      </c>
      <c r="B895" s="89"/>
      <c r="BA895" s="95"/>
    </row>
    <row r="896" spans="1:53" s="87" customFormat="1">
      <c r="A896" s="90" t="str">
        <f t="shared" si="38"/>
        <v/>
      </c>
      <c r="B896" s="89"/>
      <c r="BA896" s="95"/>
    </row>
    <row r="897" spans="1:53" s="87" customFormat="1">
      <c r="A897" s="90" t="str">
        <f t="shared" si="38"/>
        <v/>
      </c>
      <c r="B897" s="89"/>
      <c r="BA897" s="95"/>
    </row>
    <row r="898" spans="1:53" s="87" customFormat="1">
      <c r="A898" s="90" t="str">
        <f t="shared" si="38"/>
        <v/>
      </c>
      <c r="B898" s="89"/>
      <c r="BA898" s="95"/>
    </row>
    <row r="899" spans="1:53" s="87" customFormat="1">
      <c r="A899" s="90" t="str">
        <f t="shared" si="38"/>
        <v/>
      </c>
      <c r="B899" s="89"/>
      <c r="BA899" s="95"/>
    </row>
    <row r="900" spans="1:53" s="87" customFormat="1">
      <c r="A900" s="90" t="str">
        <f t="shared" si="38"/>
        <v/>
      </c>
      <c r="B900" s="89"/>
      <c r="BA900" s="95"/>
    </row>
    <row r="901" spans="1:53" s="87" customFormat="1">
      <c r="A901" s="90" t="str">
        <f t="shared" si="38"/>
        <v/>
      </c>
      <c r="B901" s="89"/>
      <c r="BA901" s="95"/>
    </row>
    <row r="902" spans="1:53" s="87" customFormat="1">
      <c r="A902" s="90" t="str">
        <f t="shared" si="38"/>
        <v/>
      </c>
      <c r="B902" s="89"/>
      <c r="BA902" s="95"/>
    </row>
    <row r="903" spans="1:53" s="87" customFormat="1">
      <c r="A903" s="90" t="str">
        <f t="shared" si="38"/>
        <v/>
      </c>
      <c r="B903" s="89"/>
      <c r="BA903" s="95"/>
    </row>
    <row r="904" spans="1:53" s="87" customFormat="1">
      <c r="A904" s="90" t="str">
        <f t="shared" si="38"/>
        <v/>
      </c>
      <c r="B904" s="89"/>
      <c r="BA904" s="95"/>
    </row>
    <row r="905" spans="1:53" s="87" customFormat="1">
      <c r="A905" s="90" t="str">
        <f t="shared" si="38"/>
        <v/>
      </c>
      <c r="B905" s="89"/>
      <c r="BA905" s="95"/>
    </row>
    <row r="906" spans="1:53" s="87" customFormat="1">
      <c r="A906" s="90" t="str">
        <f t="shared" si="38"/>
        <v/>
      </c>
      <c r="B906" s="89"/>
      <c r="BA906" s="95"/>
    </row>
    <row r="907" spans="1:53" s="87" customFormat="1">
      <c r="A907" s="90" t="str">
        <f t="shared" si="38"/>
        <v/>
      </c>
      <c r="B907" s="89"/>
      <c r="BA907" s="95"/>
    </row>
    <row r="908" spans="1:53" s="87" customFormat="1">
      <c r="A908" s="90" t="str">
        <f t="shared" ref="A908:A971" si="39">IF(MID(B908,3,2)="02",ROW(),"")</f>
        <v/>
      </c>
      <c r="B908" s="89"/>
      <c r="BA908" s="95"/>
    </row>
    <row r="909" spans="1:53" s="87" customFormat="1">
      <c r="A909" s="90" t="str">
        <f t="shared" si="39"/>
        <v/>
      </c>
      <c r="B909" s="89"/>
      <c r="BA909" s="95"/>
    </row>
    <row r="910" spans="1:53" s="87" customFormat="1">
      <c r="A910" s="90" t="str">
        <f t="shared" si="39"/>
        <v/>
      </c>
      <c r="B910" s="89"/>
      <c r="BA910" s="95"/>
    </row>
    <row r="911" spans="1:53" s="87" customFormat="1">
      <c r="A911" s="90" t="str">
        <f t="shared" si="39"/>
        <v/>
      </c>
      <c r="B911" s="89"/>
      <c r="BA911" s="95"/>
    </row>
    <row r="912" spans="1:53" s="87" customFormat="1">
      <c r="A912" s="90" t="str">
        <f t="shared" si="39"/>
        <v/>
      </c>
      <c r="B912" s="89"/>
      <c r="BA912" s="95"/>
    </row>
    <row r="913" spans="1:53" s="87" customFormat="1">
      <c r="A913" s="90" t="str">
        <f t="shared" si="39"/>
        <v/>
      </c>
      <c r="B913" s="89"/>
      <c r="BA913" s="95"/>
    </row>
    <row r="914" spans="1:53" s="87" customFormat="1">
      <c r="A914" s="90" t="str">
        <f t="shared" si="39"/>
        <v/>
      </c>
      <c r="B914" s="89"/>
      <c r="BA914" s="95"/>
    </row>
    <row r="915" spans="1:53" s="87" customFormat="1">
      <c r="A915" s="90" t="str">
        <f t="shared" si="39"/>
        <v/>
      </c>
      <c r="B915" s="89"/>
      <c r="BA915" s="95"/>
    </row>
    <row r="916" spans="1:53" s="87" customFormat="1">
      <c r="A916" s="90" t="str">
        <f t="shared" si="39"/>
        <v/>
      </c>
      <c r="B916" s="89"/>
      <c r="BA916" s="95"/>
    </row>
    <row r="917" spans="1:53" s="87" customFormat="1">
      <c r="A917" s="90" t="str">
        <f t="shared" si="39"/>
        <v/>
      </c>
      <c r="B917" s="89"/>
      <c r="BA917" s="95"/>
    </row>
    <row r="918" spans="1:53" s="87" customFormat="1">
      <c r="A918" s="90" t="str">
        <f t="shared" si="39"/>
        <v/>
      </c>
      <c r="B918" s="89"/>
      <c r="BA918" s="95"/>
    </row>
    <row r="919" spans="1:53" s="87" customFormat="1">
      <c r="A919" s="90" t="str">
        <f t="shared" si="39"/>
        <v/>
      </c>
      <c r="B919" s="89"/>
      <c r="BA919" s="95"/>
    </row>
    <row r="920" spans="1:53" s="87" customFormat="1">
      <c r="A920" s="90" t="str">
        <f t="shared" si="39"/>
        <v/>
      </c>
      <c r="B920" s="89"/>
      <c r="BA920" s="95"/>
    </row>
    <row r="921" spans="1:53" s="87" customFormat="1">
      <c r="A921" s="90" t="str">
        <f t="shared" si="39"/>
        <v/>
      </c>
      <c r="B921" s="89"/>
      <c r="BA921" s="95"/>
    </row>
    <row r="922" spans="1:53" s="87" customFormat="1">
      <c r="A922" s="90" t="str">
        <f t="shared" si="39"/>
        <v/>
      </c>
      <c r="B922" s="89"/>
      <c r="BA922" s="95"/>
    </row>
    <row r="923" spans="1:53" s="87" customFormat="1">
      <c r="A923" s="90" t="str">
        <f t="shared" si="39"/>
        <v/>
      </c>
      <c r="B923" s="89"/>
      <c r="BA923" s="95"/>
    </row>
    <row r="924" spans="1:53" s="87" customFormat="1">
      <c r="A924" s="90" t="str">
        <f t="shared" si="39"/>
        <v/>
      </c>
      <c r="B924" s="89"/>
      <c r="BA924" s="95"/>
    </row>
    <row r="925" spans="1:53" s="87" customFormat="1">
      <c r="A925" s="90" t="str">
        <f t="shared" si="39"/>
        <v/>
      </c>
      <c r="B925" s="89"/>
      <c r="BA925" s="95"/>
    </row>
    <row r="926" spans="1:53" s="87" customFormat="1">
      <c r="A926" s="90" t="str">
        <f t="shared" si="39"/>
        <v/>
      </c>
      <c r="B926" s="89"/>
      <c r="BA926" s="95"/>
    </row>
    <row r="927" spans="1:53" s="87" customFormat="1">
      <c r="A927" s="90" t="str">
        <f t="shared" si="39"/>
        <v/>
      </c>
      <c r="B927" s="89"/>
      <c r="BA927" s="95"/>
    </row>
    <row r="928" spans="1:53" s="87" customFormat="1">
      <c r="A928" s="90" t="str">
        <f t="shared" si="39"/>
        <v/>
      </c>
      <c r="B928" s="89"/>
      <c r="BA928" s="95"/>
    </row>
    <row r="929" spans="1:53" s="87" customFormat="1">
      <c r="A929" s="90" t="str">
        <f t="shared" si="39"/>
        <v/>
      </c>
      <c r="B929" s="89"/>
      <c r="BA929" s="95"/>
    </row>
    <row r="930" spans="1:53" s="87" customFormat="1">
      <c r="A930" s="90" t="str">
        <f t="shared" si="39"/>
        <v/>
      </c>
      <c r="B930" s="89"/>
      <c r="BA930" s="95"/>
    </row>
    <row r="931" spans="1:53" s="87" customFormat="1">
      <c r="A931" s="90" t="str">
        <f t="shared" si="39"/>
        <v/>
      </c>
      <c r="B931" s="89"/>
      <c r="BA931" s="95"/>
    </row>
    <row r="932" spans="1:53" s="87" customFormat="1">
      <c r="A932" s="90" t="str">
        <f t="shared" si="39"/>
        <v/>
      </c>
      <c r="B932" s="89"/>
      <c r="BA932" s="95"/>
    </row>
    <row r="933" spans="1:53" s="87" customFormat="1">
      <c r="A933" s="90" t="str">
        <f t="shared" si="39"/>
        <v/>
      </c>
      <c r="B933" s="89"/>
      <c r="BA933" s="95"/>
    </row>
    <row r="934" spans="1:53" s="87" customFormat="1">
      <c r="A934" s="90" t="str">
        <f t="shared" si="39"/>
        <v/>
      </c>
      <c r="B934" s="89"/>
      <c r="BA934" s="95"/>
    </row>
    <row r="935" spans="1:53" s="87" customFormat="1">
      <c r="A935" s="90" t="str">
        <f t="shared" si="39"/>
        <v/>
      </c>
      <c r="B935" s="89"/>
      <c r="BA935" s="95"/>
    </row>
    <row r="936" spans="1:53" s="87" customFormat="1">
      <c r="A936" s="90" t="str">
        <f t="shared" si="39"/>
        <v/>
      </c>
      <c r="B936" s="89"/>
      <c r="BA936" s="95"/>
    </row>
    <row r="937" spans="1:53" s="87" customFormat="1">
      <c r="A937" s="90" t="str">
        <f t="shared" si="39"/>
        <v/>
      </c>
      <c r="B937" s="89"/>
      <c r="BA937" s="95"/>
    </row>
    <row r="938" spans="1:53" s="87" customFormat="1">
      <c r="A938" s="90" t="str">
        <f t="shared" si="39"/>
        <v/>
      </c>
      <c r="B938" s="89"/>
      <c r="BA938" s="95"/>
    </row>
    <row r="939" spans="1:53" s="87" customFormat="1">
      <c r="A939" s="90" t="str">
        <f t="shared" si="39"/>
        <v/>
      </c>
      <c r="B939" s="89"/>
      <c r="BA939" s="95"/>
    </row>
    <row r="940" spans="1:53" s="87" customFormat="1">
      <c r="A940" s="90" t="str">
        <f t="shared" si="39"/>
        <v/>
      </c>
      <c r="B940" s="89"/>
      <c r="BA940" s="95"/>
    </row>
    <row r="941" spans="1:53" s="87" customFormat="1">
      <c r="A941" s="90" t="str">
        <f t="shared" si="39"/>
        <v/>
      </c>
      <c r="B941" s="89"/>
      <c r="BA941" s="95"/>
    </row>
    <row r="942" spans="1:53" s="87" customFormat="1">
      <c r="A942" s="90" t="str">
        <f t="shared" si="39"/>
        <v/>
      </c>
      <c r="B942" s="89"/>
      <c r="BA942" s="95"/>
    </row>
    <row r="943" spans="1:53" s="87" customFormat="1">
      <c r="A943" s="90" t="str">
        <f t="shared" si="39"/>
        <v/>
      </c>
      <c r="B943" s="89"/>
      <c r="BA943" s="95"/>
    </row>
    <row r="944" spans="1:53" s="87" customFormat="1">
      <c r="A944" s="90" t="str">
        <f t="shared" si="39"/>
        <v/>
      </c>
      <c r="B944" s="89"/>
      <c r="BA944" s="95"/>
    </row>
    <row r="945" spans="1:53" s="87" customFormat="1">
      <c r="A945" s="90" t="str">
        <f t="shared" si="39"/>
        <v/>
      </c>
      <c r="B945" s="89"/>
      <c r="BA945" s="95"/>
    </row>
    <row r="946" spans="1:53" s="87" customFormat="1">
      <c r="A946" s="90" t="str">
        <f t="shared" si="39"/>
        <v/>
      </c>
      <c r="B946" s="89"/>
      <c r="BA946" s="95"/>
    </row>
    <row r="947" spans="1:53" s="87" customFormat="1">
      <c r="A947" s="90" t="str">
        <f t="shared" si="39"/>
        <v/>
      </c>
      <c r="B947" s="89"/>
      <c r="BA947" s="95"/>
    </row>
    <row r="948" spans="1:53" s="87" customFormat="1">
      <c r="A948" s="90" t="str">
        <f t="shared" si="39"/>
        <v/>
      </c>
      <c r="B948" s="89"/>
      <c r="BA948" s="95"/>
    </row>
    <row r="949" spans="1:53" s="87" customFormat="1">
      <c r="A949" s="90" t="str">
        <f t="shared" si="39"/>
        <v/>
      </c>
      <c r="B949" s="89"/>
      <c r="BA949" s="95"/>
    </row>
    <row r="950" spans="1:53" s="87" customFormat="1">
      <c r="A950" s="90" t="str">
        <f t="shared" si="39"/>
        <v/>
      </c>
      <c r="B950" s="89"/>
      <c r="BA950" s="95"/>
    </row>
    <row r="951" spans="1:53" s="87" customFormat="1">
      <c r="A951" s="90" t="str">
        <f t="shared" si="39"/>
        <v/>
      </c>
      <c r="B951" s="89"/>
      <c r="BA951" s="95"/>
    </row>
    <row r="952" spans="1:53" s="87" customFormat="1">
      <c r="A952" s="90" t="str">
        <f t="shared" si="39"/>
        <v/>
      </c>
      <c r="B952" s="89"/>
      <c r="BA952" s="95"/>
    </row>
    <row r="953" spans="1:53" s="87" customFormat="1">
      <c r="A953" s="90" t="str">
        <f t="shared" si="39"/>
        <v/>
      </c>
      <c r="B953" s="89"/>
      <c r="BA953" s="95"/>
    </row>
    <row r="954" spans="1:53" s="87" customFormat="1">
      <c r="A954" s="90" t="str">
        <f t="shared" si="39"/>
        <v/>
      </c>
      <c r="B954" s="89"/>
      <c r="BA954" s="95"/>
    </row>
    <row r="955" spans="1:53" s="87" customFormat="1">
      <c r="A955" s="90" t="str">
        <f t="shared" si="39"/>
        <v/>
      </c>
      <c r="B955" s="89"/>
      <c r="BA955" s="95"/>
    </row>
    <row r="956" spans="1:53" s="87" customFormat="1">
      <c r="A956" s="90" t="str">
        <f t="shared" si="39"/>
        <v/>
      </c>
      <c r="B956" s="89"/>
      <c r="BA956" s="95"/>
    </row>
    <row r="957" spans="1:53" s="87" customFormat="1">
      <c r="A957" s="90" t="str">
        <f t="shared" si="39"/>
        <v/>
      </c>
      <c r="B957" s="89"/>
      <c r="BA957" s="95"/>
    </row>
    <row r="958" spans="1:53" s="87" customFormat="1">
      <c r="A958" s="90" t="str">
        <f t="shared" si="39"/>
        <v/>
      </c>
      <c r="B958" s="89"/>
      <c r="BA958" s="95"/>
    </row>
    <row r="959" spans="1:53" s="87" customFormat="1">
      <c r="A959" s="90" t="str">
        <f t="shared" si="39"/>
        <v/>
      </c>
      <c r="B959" s="89"/>
      <c r="BA959" s="95"/>
    </row>
    <row r="960" spans="1:53" s="87" customFormat="1">
      <c r="A960" s="90" t="str">
        <f t="shared" si="39"/>
        <v/>
      </c>
      <c r="B960" s="89"/>
      <c r="BA960" s="95"/>
    </row>
    <row r="961" spans="1:53" s="87" customFormat="1">
      <c r="A961" s="90" t="str">
        <f t="shared" si="39"/>
        <v/>
      </c>
      <c r="B961" s="89"/>
      <c r="BA961" s="95"/>
    </row>
    <row r="962" spans="1:53" s="87" customFormat="1">
      <c r="A962" s="90" t="str">
        <f t="shared" si="39"/>
        <v/>
      </c>
      <c r="B962" s="89"/>
      <c r="BA962" s="95"/>
    </row>
    <row r="963" spans="1:53" s="87" customFormat="1">
      <c r="A963" s="90" t="str">
        <f t="shared" si="39"/>
        <v/>
      </c>
      <c r="B963" s="89"/>
      <c r="BA963" s="95"/>
    </row>
    <row r="964" spans="1:53" s="87" customFormat="1">
      <c r="A964" s="90" t="str">
        <f t="shared" si="39"/>
        <v/>
      </c>
      <c r="B964" s="89"/>
      <c r="BA964" s="95"/>
    </row>
    <row r="965" spans="1:53" s="87" customFormat="1">
      <c r="A965" s="90" t="str">
        <f t="shared" si="39"/>
        <v/>
      </c>
      <c r="B965" s="89"/>
      <c r="BA965" s="95"/>
    </row>
    <row r="966" spans="1:53" s="87" customFormat="1">
      <c r="A966" s="90" t="str">
        <f t="shared" si="39"/>
        <v/>
      </c>
      <c r="B966" s="89"/>
      <c r="BA966" s="95"/>
    </row>
    <row r="967" spans="1:53" s="87" customFormat="1">
      <c r="A967" s="90" t="str">
        <f t="shared" si="39"/>
        <v/>
      </c>
      <c r="B967" s="89"/>
      <c r="BA967" s="95"/>
    </row>
    <row r="968" spans="1:53" s="87" customFormat="1">
      <c r="A968" s="90" t="str">
        <f t="shared" si="39"/>
        <v/>
      </c>
      <c r="B968" s="89"/>
      <c r="BA968" s="95"/>
    </row>
    <row r="969" spans="1:53" s="87" customFormat="1">
      <c r="A969" s="90" t="str">
        <f t="shared" si="39"/>
        <v/>
      </c>
      <c r="B969" s="89"/>
      <c r="BA969" s="95"/>
    </row>
    <row r="970" spans="1:53" s="87" customFormat="1">
      <c r="A970" s="90" t="str">
        <f t="shared" si="39"/>
        <v/>
      </c>
      <c r="B970" s="89"/>
      <c r="BA970" s="95"/>
    </row>
    <row r="971" spans="1:53" s="87" customFormat="1">
      <c r="A971" s="90" t="str">
        <f t="shared" si="39"/>
        <v/>
      </c>
      <c r="B971" s="89"/>
      <c r="BA971" s="95"/>
    </row>
    <row r="972" spans="1:53" s="87" customFormat="1">
      <c r="A972" s="90" t="str">
        <f t="shared" ref="A972:A1035" si="40">IF(MID(B972,3,2)="02",ROW(),"")</f>
        <v/>
      </c>
      <c r="B972" s="89"/>
      <c r="BA972" s="95"/>
    </row>
    <row r="973" spans="1:53" s="87" customFormat="1">
      <c r="A973" s="90" t="str">
        <f t="shared" si="40"/>
        <v/>
      </c>
      <c r="B973" s="89"/>
      <c r="BA973" s="95"/>
    </row>
    <row r="974" spans="1:53" s="87" customFormat="1">
      <c r="A974" s="90" t="str">
        <f t="shared" si="40"/>
        <v/>
      </c>
      <c r="B974" s="89"/>
      <c r="BA974" s="95"/>
    </row>
    <row r="975" spans="1:53" s="87" customFormat="1">
      <c r="A975" s="90" t="str">
        <f t="shared" si="40"/>
        <v/>
      </c>
      <c r="B975" s="89"/>
      <c r="BA975" s="95"/>
    </row>
    <row r="976" spans="1:53" s="87" customFormat="1">
      <c r="A976" s="90" t="str">
        <f t="shared" si="40"/>
        <v/>
      </c>
      <c r="B976" s="89"/>
      <c r="BA976" s="95"/>
    </row>
    <row r="977" spans="1:53" s="87" customFormat="1">
      <c r="A977" s="90" t="str">
        <f t="shared" si="40"/>
        <v/>
      </c>
      <c r="B977" s="89"/>
      <c r="BA977" s="95"/>
    </row>
    <row r="978" spans="1:53" s="87" customFormat="1">
      <c r="A978" s="90" t="str">
        <f t="shared" si="40"/>
        <v/>
      </c>
      <c r="B978" s="89"/>
      <c r="BA978" s="95"/>
    </row>
    <row r="979" spans="1:53" s="87" customFormat="1">
      <c r="A979" s="90" t="str">
        <f t="shared" si="40"/>
        <v/>
      </c>
      <c r="B979" s="89"/>
      <c r="BA979" s="95"/>
    </row>
    <row r="980" spans="1:53" s="87" customFormat="1">
      <c r="A980" s="90" t="str">
        <f t="shared" si="40"/>
        <v/>
      </c>
      <c r="B980" s="89"/>
      <c r="BA980" s="95"/>
    </row>
    <row r="981" spans="1:53" s="87" customFormat="1">
      <c r="A981" s="90" t="str">
        <f t="shared" si="40"/>
        <v/>
      </c>
      <c r="B981" s="89"/>
      <c r="BA981" s="95"/>
    </row>
    <row r="982" spans="1:53" s="87" customFormat="1">
      <c r="A982" s="90" t="str">
        <f t="shared" si="40"/>
        <v/>
      </c>
      <c r="B982" s="89"/>
      <c r="BA982" s="95"/>
    </row>
    <row r="983" spans="1:53" s="87" customFormat="1">
      <c r="A983" s="90" t="str">
        <f t="shared" si="40"/>
        <v/>
      </c>
      <c r="B983" s="89"/>
      <c r="BA983" s="95"/>
    </row>
    <row r="984" spans="1:53" s="87" customFormat="1">
      <c r="A984" s="90" t="str">
        <f t="shared" si="40"/>
        <v/>
      </c>
      <c r="B984" s="89"/>
      <c r="BA984" s="95"/>
    </row>
    <row r="985" spans="1:53" s="87" customFormat="1">
      <c r="A985" s="90" t="str">
        <f t="shared" si="40"/>
        <v/>
      </c>
      <c r="B985" s="89"/>
      <c r="BA985" s="95"/>
    </row>
    <row r="986" spans="1:53" s="87" customFormat="1">
      <c r="A986" s="90" t="str">
        <f t="shared" si="40"/>
        <v/>
      </c>
      <c r="B986" s="89"/>
      <c r="BA986" s="95"/>
    </row>
    <row r="987" spans="1:53" s="87" customFormat="1">
      <c r="A987" s="90" t="str">
        <f t="shared" si="40"/>
        <v/>
      </c>
      <c r="B987" s="89"/>
      <c r="BA987" s="95"/>
    </row>
    <row r="988" spans="1:53" s="87" customFormat="1">
      <c r="A988" s="90" t="str">
        <f t="shared" si="40"/>
        <v/>
      </c>
      <c r="B988" s="89"/>
      <c r="BA988" s="95"/>
    </row>
    <row r="989" spans="1:53" s="87" customFormat="1">
      <c r="A989" s="90" t="str">
        <f t="shared" si="40"/>
        <v/>
      </c>
      <c r="B989" s="89"/>
      <c r="BA989" s="95"/>
    </row>
    <row r="990" spans="1:53" s="87" customFormat="1">
      <c r="A990" s="90" t="str">
        <f t="shared" si="40"/>
        <v/>
      </c>
      <c r="B990" s="89"/>
      <c r="BA990" s="95"/>
    </row>
    <row r="991" spans="1:53" s="87" customFormat="1">
      <c r="A991" s="90" t="str">
        <f t="shared" si="40"/>
        <v/>
      </c>
      <c r="B991" s="89"/>
      <c r="BA991" s="95"/>
    </row>
    <row r="992" spans="1:53" s="87" customFormat="1">
      <c r="A992" s="90" t="str">
        <f t="shared" si="40"/>
        <v/>
      </c>
      <c r="B992" s="89"/>
      <c r="BA992" s="95"/>
    </row>
    <row r="993" spans="1:53" s="87" customFormat="1">
      <c r="A993" s="90" t="str">
        <f t="shared" si="40"/>
        <v/>
      </c>
      <c r="B993" s="89"/>
      <c r="BA993" s="95"/>
    </row>
    <row r="994" spans="1:53" s="87" customFormat="1">
      <c r="A994" s="90" t="str">
        <f t="shared" si="40"/>
        <v/>
      </c>
      <c r="B994" s="89"/>
      <c r="BA994" s="95"/>
    </row>
    <row r="995" spans="1:53" s="87" customFormat="1">
      <c r="A995" s="90" t="str">
        <f t="shared" si="40"/>
        <v/>
      </c>
      <c r="B995" s="89"/>
      <c r="BA995" s="95"/>
    </row>
    <row r="996" spans="1:53" s="87" customFormat="1">
      <c r="A996" s="90" t="str">
        <f t="shared" si="40"/>
        <v/>
      </c>
      <c r="B996" s="89"/>
      <c r="BA996" s="95"/>
    </row>
    <row r="997" spans="1:53" s="87" customFormat="1">
      <c r="A997" s="90" t="str">
        <f t="shared" si="40"/>
        <v/>
      </c>
      <c r="B997" s="89"/>
      <c r="BA997" s="95"/>
    </row>
    <row r="998" spans="1:53" s="87" customFormat="1">
      <c r="A998" s="90" t="str">
        <f t="shared" si="40"/>
        <v/>
      </c>
      <c r="B998" s="89"/>
      <c r="BA998" s="95"/>
    </row>
    <row r="999" spans="1:53" s="87" customFormat="1">
      <c r="A999" s="90" t="str">
        <f t="shared" si="40"/>
        <v/>
      </c>
      <c r="B999" s="89"/>
      <c r="BA999" s="95"/>
    </row>
    <row r="1000" spans="1:53" s="87" customFormat="1">
      <c r="A1000" s="90" t="str">
        <f t="shared" si="40"/>
        <v/>
      </c>
      <c r="B1000" s="89"/>
      <c r="BA1000" s="95"/>
    </row>
    <row r="1001" spans="1:53" s="87" customFormat="1">
      <c r="A1001" s="90" t="str">
        <f t="shared" si="40"/>
        <v/>
      </c>
      <c r="B1001" s="89"/>
      <c r="BA1001" s="95"/>
    </row>
    <row r="1002" spans="1:53" s="87" customFormat="1">
      <c r="A1002" s="90" t="str">
        <f t="shared" si="40"/>
        <v/>
      </c>
      <c r="B1002" s="89"/>
      <c r="BA1002" s="95"/>
    </row>
    <row r="1003" spans="1:53" s="87" customFormat="1">
      <c r="A1003" s="90" t="str">
        <f t="shared" si="40"/>
        <v/>
      </c>
      <c r="B1003" s="89"/>
      <c r="BA1003" s="95"/>
    </row>
    <row r="1004" spans="1:53" s="87" customFormat="1">
      <c r="A1004" s="90" t="str">
        <f t="shared" si="40"/>
        <v/>
      </c>
      <c r="B1004" s="89"/>
      <c r="BA1004" s="95"/>
    </row>
    <row r="1005" spans="1:53" s="87" customFormat="1">
      <c r="A1005" s="90" t="str">
        <f t="shared" si="40"/>
        <v/>
      </c>
      <c r="B1005" s="89"/>
      <c r="BA1005" s="95"/>
    </row>
    <row r="1006" spans="1:53" s="87" customFormat="1">
      <c r="A1006" s="90" t="str">
        <f t="shared" si="40"/>
        <v/>
      </c>
      <c r="B1006" s="89"/>
      <c r="BA1006" s="95"/>
    </row>
    <row r="1007" spans="1:53" s="87" customFormat="1">
      <c r="A1007" s="90" t="str">
        <f t="shared" si="40"/>
        <v/>
      </c>
      <c r="B1007" s="89"/>
      <c r="BA1007" s="95"/>
    </row>
    <row r="1008" spans="1:53" s="87" customFormat="1">
      <c r="A1008" s="90" t="str">
        <f t="shared" si="40"/>
        <v/>
      </c>
      <c r="B1008" s="89"/>
      <c r="BA1008" s="95"/>
    </row>
    <row r="1009" spans="1:53" s="87" customFormat="1">
      <c r="A1009" s="90" t="str">
        <f t="shared" si="40"/>
        <v/>
      </c>
      <c r="B1009" s="89"/>
      <c r="BA1009" s="95"/>
    </row>
    <row r="1010" spans="1:53" s="87" customFormat="1">
      <c r="A1010" s="90" t="str">
        <f t="shared" si="40"/>
        <v/>
      </c>
      <c r="B1010" s="89"/>
      <c r="BA1010" s="95"/>
    </row>
    <row r="1011" spans="1:53" s="87" customFormat="1">
      <c r="A1011" s="90" t="str">
        <f t="shared" si="40"/>
        <v/>
      </c>
      <c r="B1011" s="89"/>
      <c r="BA1011" s="95"/>
    </row>
    <row r="1012" spans="1:53" s="87" customFormat="1">
      <c r="A1012" s="90" t="str">
        <f t="shared" si="40"/>
        <v/>
      </c>
      <c r="B1012" s="89"/>
      <c r="BA1012" s="95"/>
    </row>
    <row r="1013" spans="1:53" s="87" customFormat="1">
      <c r="A1013" s="90" t="str">
        <f t="shared" si="40"/>
        <v/>
      </c>
      <c r="B1013" s="89"/>
      <c r="BA1013" s="95"/>
    </row>
    <row r="1014" spans="1:53" s="87" customFormat="1">
      <c r="A1014" s="90" t="str">
        <f t="shared" si="40"/>
        <v/>
      </c>
      <c r="B1014" s="89"/>
      <c r="BA1014" s="95"/>
    </row>
    <row r="1015" spans="1:53" s="87" customFormat="1">
      <c r="A1015" s="90" t="str">
        <f t="shared" si="40"/>
        <v/>
      </c>
      <c r="B1015" s="89"/>
      <c r="BA1015" s="95"/>
    </row>
    <row r="1016" spans="1:53" s="87" customFormat="1">
      <c r="A1016" s="90" t="str">
        <f t="shared" si="40"/>
        <v/>
      </c>
      <c r="B1016" s="89"/>
      <c r="BA1016" s="95"/>
    </row>
    <row r="1017" spans="1:53" s="87" customFormat="1">
      <c r="A1017" s="90" t="str">
        <f t="shared" si="40"/>
        <v/>
      </c>
      <c r="B1017" s="89"/>
      <c r="BA1017" s="95"/>
    </row>
    <row r="1018" spans="1:53" s="87" customFormat="1">
      <c r="A1018" s="90" t="str">
        <f t="shared" si="40"/>
        <v/>
      </c>
      <c r="B1018" s="89"/>
      <c r="BA1018" s="95"/>
    </row>
    <row r="1019" spans="1:53" s="87" customFormat="1">
      <c r="A1019" s="90" t="str">
        <f t="shared" si="40"/>
        <v/>
      </c>
      <c r="B1019" s="89"/>
      <c r="BA1019" s="95"/>
    </row>
    <row r="1020" spans="1:53" s="87" customFormat="1">
      <c r="A1020" s="90" t="str">
        <f t="shared" si="40"/>
        <v/>
      </c>
      <c r="B1020" s="89"/>
      <c r="BA1020" s="95"/>
    </row>
    <row r="1021" spans="1:53" s="87" customFormat="1">
      <c r="A1021" s="90" t="str">
        <f t="shared" si="40"/>
        <v/>
      </c>
      <c r="B1021" s="89"/>
      <c r="BA1021" s="95"/>
    </row>
    <row r="1022" spans="1:53" s="87" customFormat="1">
      <c r="A1022" s="90" t="str">
        <f t="shared" si="40"/>
        <v/>
      </c>
      <c r="B1022" s="89"/>
      <c r="BA1022" s="95"/>
    </row>
    <row r="1023" spans="1:53" s="87" customFormat="1">
      <c r="A1023" s="90" t="str">
        <f t="shared" si="40"/>
        <v/>
      </c>
      <c r="B1023" s="89"/>
      <c r="BA1023" s="95"/>
    </row>
    <row r="1024" spans="1:53" s="87" customFormat="1">
      <c r="A1024" s="90" t="str">
        <f t="shared" si="40"/>
        <v/>
      </c>
      <c r="B1024" s="89"/>
      <c r="BA1024" s="95"/>
    </row>
    <row r="1025" spans="1:53" s="87" customFormat="1">
      <c r="A1025" s="90" t="str">
        <f t="shared" si="40"/>
        <v/>
      </c>
      <c r="B1025" s="89"/>
      <c r="BA1025" s="95"/>
    </row>
    <row r="1026" spans="1:53" s="87" customFormat="1">
      <c r="A1026" s="90" t="str">
        <f t="shared" si="40"/>
        <v/>
      </c>
      <c r="B1026" s="89"/>
      <c r="BA1026" s="95"/>
    </row>
    <row r="1027" spans="1:53" s="87" customFormat="1">
      <c r="A1027" s="90" t="str">
        <f t="shared" si="40"/>
        <v/>
      </c>
      <c r="B1027" s="89"/>
      <c r="BA1027" s="95"/>
    </row>
    <row r="1028" spans="1:53" s="87" customFormat="1">
      <c r="A1028" s="90" t="str">
        <f t="shared" si="40"/>
        <v/>
      </c>
      <c r="B1028" s="89"/>
      <c r="BA1028" s="95"/>
    </row>
    <row r="1029" spans="1:53" s="87" customFormat="1">
      <c r="A1029" s="90" t="str">
        <f t="shared" si="40"/>
        <v/>
      </c>
      <c r="B1029" s="89"/>
      <c r="BA1029" s="95"/>
    </row>
    <row r="1030" spans="1:53" s="87" customFormat="1">
      <c r="A1030" s="90" t="str">
        <f t="shared" si="40"/>
        <v/>
      </c>
      <c r="B1030" s="89"/>
      <c r="BA1030" s="95"/>
    </row>
    <row r="1031" spans="1:53" s="87" customFormat="1">
      <c r="A1031" s="90" t="str">
        <f t="shared" si="40"/>
        <v/>
      </c>
      <c r="B1031" s="89"/>
      <c r="BA1031" s="95"/>
    </row>
    <row r="1032" spans="1:53" s="87" customFormat="1">
      <c r="A1032" s="90" t="str">
        <f t="shared" si="40"/>
        <v/>
      </c>
      <c r="B1032" s="89"/>
      <c r="BA1032" s="95"/>
    </row>
    <row r="1033" spans="1:53" s="87" customFormat="1">
      <c r="A1033" s="90" t="str">
        <f t="shared" si="40"/>
        <v/>
      </c>
      <c r="B1033" s="89"/>
      <c r="BA1033" s="95"/>
    </row>
    <row r="1034" spans="1:53" s="87" customFormat="1">
      <c r="A1034" s="90" t="str">
        <f t="shared" si="40"/>
        <v/>
      </c>
      <c r="B1034" s="89"/>
      <c r="BA1034" s="95"/>
    </row>
    <row r="1035" spans="1:53" s="87" customFormat="1">
      <c r="A1035" s="90" t="str">
        <f t="shared" si="40"/>
        <v/>
      </c>
      <c r="B1035" s="89"/>
      <c r="BA1035" s="95"/>
    </row>
    <row r="1036" spans="1:53" s="87" customFormat="1">
      <c r="A1036" s="90" t="str">
        <f t="shared" ref="A1036:A1099" si="41">IF(MID(B1036,3,2)="02",ROW(),"")</f>
        <v/>
      </c>
      <c r="B1036" s="89"/>
      <c r="BA1036" s="95"/>
    </row>
    <row r="1037" spans="1:53" s="87" customFormat="1">
      <c r="A1037" s="90" t="str">
        <f t="shared" si="41"/>
        <v/>
      </c>
      <c r="B1037" s="89"/>
      <c r="BA1037" s="95"/>
    </row>
    <row r="1038" spans="1:53" s="87" customFormat="1">
      <c r="A1038" s="90" t="str">
        <f t="shared" si="41"/>
        <v/>
      </c>
      <c r="B1038" s="89"/>
      <c r="BA1038" s="95"/>
    </row>
    <row r="1039" spans="1:53" s="87" customFormat="1">
      <c r="A1039" s="90" t="str">
        <f t="shared" si="41"/>
        <v/>
      </c>
      <c r="B1039" s="89"/>
      <c r="BA1039" s="95"/>
    </row>
    <row r="1040" spans="1:53" s="87" customFormat="1">
      <c r="A1040" s="90" t="str">
        <f t="shared" si="41"/>
        <v/>
      </c>
      <c r="B1040" s="89"/>
      <c r="BA1040" s="95"/>
    </row>
    <row r="1041" spans="1:53" s="87" customFormat="1">
      <c r="A1041" s="90" t="str">
        <f t="shared" si="41"/>
        <v/>
      </c>
      <c r="B1041" s="89"/>
      <c r="BA1041" s="95"/>
    </row>
    <row r="1042" spans="1:53" s="87" customFormat="1">
      <c r="A1042" s="90" t="str">
        <f t="shared" si="41"/>
        <v/>
      </c>
      <c r="B1042" s="89"/>
      <c r="BA1042" s="95"/>
    </row>
    <row r="1043" spans="1:53" s="87" customFormat="1">
      <c r="A1043" s="90" t="str">
        <f t="shared" si="41"/>
        <v/>
      </c>
      <c r="B1043" s="89"/>
      <c r="BA1043" s="95"/>
    </row>
    <row r="1044" spans="1:53" s="87" customFormat="1">
      <c r="A1044" s="90" t="str">
        <f t="shared" si="41"/>
        <v/>
      </c>
      <c r="B1044" s="89"/>
      <c r="BA1044" s="95"/>
    </row>
    <row r="1045" spans="1:53" s="87" customFormat="1">
      <c r="A1045" s="90" t="str">
        <f t="shared" si="41"/>
        <v/>
      </c>
      <c r="B1045" s="89"/>
      <c r="BA1045" s="95"/>
    </row>
    <row r="1046" spans="1:53" s="87" customFormat="1">
      <c r="A1046" s="90" t="str">
        <f t="shared" si="41"/>
        <v/>
      </c>
      <c r="B1046" s="89"/>
      <c r="BA1046" s="95"/>
    </row>
    <row r="1047" spans="1:53" s="87" customFormat="1">
      <c r="A1047" s="90" t="str">
        <f t="shared" si="41"/>
        <v/>
      </c>
      <c r="B1047" s="89"/>
      <c r="BA1047" s="95"/>
    </row>
    <row r="1048" spans="1:53" s="87" customFormat="1">
      <c r="A1048" s="90" t="str">
        <f t="shared" si="41"/>
        <v/>
      </c>
      <c r="B1048" s="89"/>
      <c r="BA1048" s="95"/>
    </row>
    <row r="1049" spans="1:53" s="87" customFormat="1">
      <c r="A1049" s="90" t="str">
        <f t="shared" si="41"/>
        <v/>
      </c>
      <c r="B1049" s="89"/>
      <c r="BA1049" s="95"/>
    </row>
    <row r="1050" spans="1:53" s="87" customFormat="1">
      <c r="A1050" s="90" t="str">
        <f t="shared" si="41"/>
        <v/>
      </c>
      <c r="B1050" s="89"/>
      <c r="BA1050" s="95"/>
    </row>
    <row r="1051" spans="1:53" s="87" customFormat="1">
      <c r="A1051" s="90" t="str">
        <f t="shared" si="41"/>
        <v/>
      </c>
      <c r="B1051" s="89"/>
      <c r="BA1051" s="95"/>
    </row>
    <row r="1052" spans="1:53" s="87" customFormat="1">
      <c r="A1052" s="90" t="str">
        <f t="shared" si="41"/>
        <v/>
      </c>
      <c r="B1052" s="89"/>
      <c r="BA1052" s="95"/>
    </row>
    <row r="1053" spans="1:53" s="87" customFormat="1">
      <c r="A1053" s="90" t="str">
        <f t="shared" si="41"/>
        <v/>
      </c>
      <c r="B1053" s="89"/>
      <c r="BA1053" s="95"/>
    </row>
    <row r="1054" spans="1:53" s="87" customFormat="1">
      <c r="A1054" s="90" t="str">
        <f t="shared" si="41"/>
        <v/>
      </c>
      <c r="B1054" s="89"/>
      <c r="BA1054" s="95"/>
    </row>
    <row r="1055" spans="1:53" s="87" customFormat="1">
      <c r="A1055" s="90" t="str">
        <f t="shared" si="41"/>
        <v/>
      </c>
      <c r="B1055" s="89"/>
      <c r="BA1055" s="95"/>
    </row>
    <row r="1056" spans="1:53" s="87" customFormat="1">
      <c r="A1056" s="90" t="str">
        <f t="shared" si="41"/>
        <v/>
      </c>
      <c r="B1056" s="89"/>
      <c r="BA1056" s="95"/>
    </row>
    <row r="1057" spans="1:53" s="87" customFormat="1">
      <c r="A1057" s="90" t="str">
        <f t="shared" si="41"/>
        <v/>
      </c>
      <c r="B1057" s="89"/>
      <c r="BA1057" s="95"/>
    </row>
    <row r="1058" spans="1:53" s="87" customFormat="1">
      <c r="A1058" s="90" t="str">
        <f t="shared" si="41"/>
        <v/>
      </c>
      <c r="B1058" s="89"/>
      <c r="BA1058" s="95"/>
    </row>
    <row r="1059" spans="1:53" s="87" customFormat="1">
      <c r="A1059" s="90" t="str">
        <f t="shared" si="41"/>
        <v/>
      </c>
      <c r="B1059" s="89"/>
      <c r="BA1059" s="95"/>
    </row>
    <row r="1060" spans="1:53" s="87" customFormat="1">
      <c r="A1060" s="90" t="str">
        <f t="shared" si="41"/>
        <v/>
      </c>
      <c r="B1060" s="89"/>
      <c r="BA1060" s="95"/>
    </row>
    <row r="1061" spans="1:53" s="87" customFormat="1">
      <c r="A1061" s="90" t="str">
        <f t="shared" si="41"/>
        <v/>
      </c>
      <c r="B1061" s="89"/>
      <c r="BA1061" s="95"/>
    </row>
    <row r="1062" spans="1:53" s="87" customFormat="1">
      <c r="A1062" s="90" t="str">
        <f t="shared" si="41"/>
        <v/>
      </c>
      <c r="B1062" s="89"/>
      <c r="BA1062" s="95"/>
    </row>
    <row r="1063" spans="1:53" s="87" customFormat="1">
      <c r="A1063" s="90" t="str">
        <f t="shared" si="41"/>
        <v/>
      </c>
      <c r="B1063" s="89"/>
      <c r="BA1063" s="95"/>
    </row>
    <row r="1064" spans="1:53" s="87" customFormat="1">
      <c r="A1064" s="90" t="str">
        <f t="shared" si="41"/>
        <v/>
      </c>
      <c r="B1064" s="89"/>
      <c r="BA1064" s="95"/>
    </row>
    <row r="1065" spans="1:53" s="87" customFormat="1">
      <c r="A1065" s="90" t="str">
        <f t="shared" si="41"/>
        <v/>
      </c>
      <c r="B1065" s="89"/>
      <c r="BA1065" s="95"/>
    </row>
    <row r="1066" spans="1:53" s="87" customFormat="1">
      <c r="A1066" s="90" t="str">
        <f t="shared" si="41"/>
        <v/>
      </c>
      <c r="B1066" s="89"/>
      <c r="BA1066" s="95"/>
    </row>
    <row r="1067" spans="1:53" s="87" customFormat="1">
      <c r="A1067" s="90" t="str">
        <f t="shared" si="41"/>
        <v/>
      </c>
      <c r="B1067" s="89"/>
      <c r="BA1067" s="95"/>
    </row>
    <row r="1068" spans="1:53" s="87" customFormat="1">
      <c r="A1068" s="90" t="str">
        <f t="shared" si="41"/>
        <v/>
      </c>
      <c r="B1068" s="89"/>
      <c r="BA1068" s="95"/>
    </row>
    <row r="1069" spans="1:53" s="87" customFormat="1">
      <c r="A1069" s="90" t="str">
        <f t="shared" si="41"/>
        <v/>
      </c>
      <c r="B1069" s="89"/>
      <c r="BA1069" s="95"/>
    </row>
    <row r="1070" spans="1:53" s="87" customFormat="1">
      <c r="A1070" s="90" t="str">
        <f t="shared" si="41"/>
        <v/>
      </c>
      <c r="B1070" s="89"/>
      <c r="BA1070" s="95"/>
    </row>
    <row r="1071" spans="1:53" s="87" customFormat="1">
      <c r="A1071" s="90" t="str">
        <f t="shared" si="41"/>
        <v/>
      </c>
      <c r="B1071" s="89"/>
      <c r="BA1071" s="95"/>
    </row>
    <row r="1072" spans="1:53" s="87" customFormat="1">
      <c r="A1072" s="90" t="str">
        <f t="shared" si="41"/>
        <v/>
      </c>
      <c r="B1072" s="89"/>
      <c r="BA1072" s="95"/>
    </row>
    <row r="1073" spans="1:53" s="87" customFormat="1">
      <c r="A1073" s="90" t="str">
        <f t="shared" si="41"/>
        <v/>
      </c>
      <c r="B1073" s="89"/>
      <c r="BA1073" s="95"/>
    </row>
    <row r="1074" spans="1:53" s="87" customFormat="1">
      <c r="A1074" s="90" t="str">
        <f t="shared" si="41"/>
        <v/>
      </c>
      <c r="B1074" s="89"/>
      <c r="BA1074" s="95"/>
    </row>
    <row r="1075" spans="1:53" s="87" customFormat="1">
      <c r="A1075" s="90" t="str">
        <f t="shared" si="41"/>
        <v/>
      </c>
      <c r="B1075" s="89"/>
      <c r="BA1075" s="95"/>
    </row>
    <row r="1076" spans="1:53" s="87" customFormat="1">
      <c r="A1076" s="90" t="str">
        <f t="shared" si="41"/>
        <v/>
      </c>
      <c r="B1076" s="89"/>
      <c r="BA1076" s="95"/>
    </row>
    <row r="1077" spans="1:53" s="87" customFormat="1">
      <c r="A1077" s="90" t="str">
        <f t="shared" si="41"/>
        <v/>
      </c>
      <c r="B1077" s="89"/>
      <c r="BA1077" s="95"/>
    </row>
    <row r="1078" spans="1:53" s="87" customFormat="1">
      <c r="A1078" s="90" t="str">
        <f t="shared" si="41"/>
        <v/>
      </c>
      <c r="B1078" s="89"/>
      <c r="BA1078" s="95"/>
    </row>
    <row r="1079" spans="1:53" s="87" customFormat="1">
      <c r="A1079" s="90" t="str">
        <f t="shared" si="41"/>
        <v/>
      </c>
      <c r="B1079" s="89"/>
      <c r="BA1079" s="95"/>
    </row>
    <row r="1080" spans="1:53" s="87" customFormat="1">
      <c r="A1080" s="90" t="str">
        <f t="shared" si="41"/>
        <v/>
      </c>
      <c r="B1080" s="89"/>
      <c r="BA1080" s="95"/>
    </row>
    <row r="1081" spans="1:53" s="87" customFormat="1">
      <c r="A1081" s="90" t="str">
        <f t="shared" si="41"/>
        <v/>
      </c>
      <c r="B1081" s="89"/>
      <c r="BA1081" s="95"/>
    </row>
    <row r="1082" spans="1:53" s="87" customFormat="1">
      <c r="A1082" s="90" t="str">
        <f t="shared" si="41"/>
        <v/>
      </c>
      <c r="B1082" s="89"/>
      <c r="BA1082" s="95"/>
    </row>
    <row r="1083" spans="1:53" s="87" customFormat="1">
      <c r="A1083" s="90" t="str">
        <f t="shared" si="41"/>
        <v/>
      </c>
      <c r="B1083" s="89"/>
      <c r="BA1083" s="95"/>
    </row>
    <row r="1084" spans="1:53" s="87" customFormat="1">
      <c r="A1084" s="90" t="str">
        <f t="shared" si="41"/>
        <v/>
      </c>
      <c r="B1084" s="89"/>
      <c r="BA1084" s="95"/>
    </row>
    <row r="1085" spans="1:53" s="87" customFormat="1">
      <c r="A1085" s="90" t="str">
        <f t="shared" si="41"/>
        <v/>
      </c>
      <c r="B1085" s="89"/>
      <c r="BA1085" s="95"/>
    </row>
    <row r="1086" spans="1:53" s="87" customFormat="1">
      <c r="A1086" s="90" t="str">
        <f t="shared" si="41"/>
        <v/>
      </c>
      <c r="B1086" s="89"/>
      <c r="BA1086" s="95"/>
    </row>
    <row r="1087" spans="1:53" s="87" customFormat="1">
      <c r="A1087" s="90" t="str">
        <f t="shared" si="41"/>
        <v/>
      </c>
      <c r="B1087" s="89"/>
      <c r="BA1087" s="95"/>
    </row>
    <row r="1088" spans="1:53" s="87" customFormat="1">
      <c r="A1088" s="90" t="str">
        <f t="shared" si="41"/>
        <v/>
      </c>
      <c r="B1088" s="89"/>
      <c r="BA1088" s="95"/>
    </row>
    <row r="1089" spans="1:53" s="87" customFormat="1">
      <c r="A1089" s="90" t="str">
        <f t="shared" si="41"/>
        <v/>
      </c>
      <c r="B1089" s="89"/>
      <c r="BA1089" s="95"/>
    </row>
    <row r="1090" spans="1:53" s="87" customFormat="1">
      <c r="A1090" s="90" t="str">
        <f t="shared" si="41"/>
        <v/>
      </c>
      <c r="B1090" s="89"/>
      <c r="BA1090" s="95"/>
    </row>
    <row r="1091" spans="1:53" s="87" customFormat="1">
      <c r="A1091" s="90" t="str">
        <f t="shared" si="41"/>
        <v/>
      </c>
      <c r="B1091" s="89"/>
      <c r="BA1091" s="95"/>
    </row>
    <row r="1092" spans="1:53" s="87" customFormat="1">
      <c r="A1092" s="90" t="str">
        <f t="shared" si="41"/>
        <v/>
      </c>
      <c r="B1092" s="89"/>
      <c r="BA1092" s="95"/>
    </row>
    <row r="1093" spans="1:53" s="87" customFormat="1">
      <c r="A1093" s="90" t="str">
        <f t="shared" si="41"/>
        <v/>
      </c>
      <c r="B1093" s="89"/>
      <c r="BA1093" s="95"/>
    </row>
    <row r="1094" spans="1:53" s="87" customFormat="1">
      <c r="A1094" s="90" t="str">
        <f t="shared" si="41"/>
        <v/>
      </c>
      <c r="B1094" s="89"/>
      <c r="BA1094" s="95"/>
    </row>
    <row r="1095" spans="1:53" s="87" customFormat="1">
      <c r="A1095" s="90" t="str">
        <f t="shared" si="41"/>
        <v/>
      </c>
      <c r="B1095" s="89"/>
      <c r="BA1095" s="95"/>
    </row>
    <row r="1096" spans="1:53" s="87" customFormat="1">
      <c r="A1096" s="90" t="str">
        <f t="shared" si="41"/>
        <v/>
      </c>
      <c r="B1096" s="89"/>
      <c r="BA1096" s="95"/>
    </row>
    <row r="1097" spans="1:53" s="87" customFormat="1">
      <c r="A1097" s="90" t="str">
        <f t="shared" si="41"/>
        <v/>
      </c>
      <c r="B1097" s="89"/>
      <c r="BA1097" s="95"/>
    </row>
    <row r="1098" spans="1:53" s="87" customFormat="1">
      <c r="A1098" s="90" t="str">
        <f t="shared" si="41"/>
        <v/>
      </c>
      <c r="B1098" s="89"/>
      <c r="BA1098" s="95"/>
    </row>
    <row r="1099" spans="1:53" s="87" customFormat="1">
      <c r="A1099" s="90" t="str">
        <f t="shared" si="41"/>
        <v/>
      </c>
      <c r="B1099" s="89"/>
      <c r="BA1099" s="95"/>
    </row>
    <row r="1100" spans="1:53" s="87" customFormat="1">
      <c r="A1100" s="90" t="str">
        <f t="shared" ref="A1100:A1163" si="42">IF(MID(B1100,3,2)="02",ROW(),"")</f>
        <v/>
      </c>
      <c r="B1100" s="89"/>
      <c r="BA1100" s="95"/>
    </row>
    <row r="1101" spans="1:53" s="87" customFormat="1">
      <c r="A1101" s="90" t="str">
        <f t="shared" si="42"/>
        <v/>
      </c>
      <c r="B1101" s="89"/>
      <c r="BA1101" s="95"/>
    </row>
    <row r="1102" spans="1:53" s="87" customFormat="1">
      <c r="A1102" s="90" t="str">
        <f t="shared" si="42"/>
        <v/>
      </c>
      <c r="B1102" s="89"/>
      <c r="BA1102" s="95"/>
    </row>
    <row r="1103" spans="1:53" s="87" customFormat="1">
      <c r="A1103" s="90" t="str">
        <f t="shared" si="42"/>
        <v/>
      </c>
      <c r="B1103" s="89"/>
      <c r="BA1103" s="95"/>
    </row>
    <row r="1104" spans="1:53" s="87" customFormat="1">
      <c r="A1104" s="90" t="str">
        <f t="shared" si="42"/>
        <v/>
      </c>
      <c r="B1104" s="89"/>
      <c r="BA1104" s="95"/>
    </row>
    <row r="1105" spans="1:53" s="87" customFormat="1">
      <c r="A1105" s="90" t="str">
        <f t="shared" si="42"/>
        <v/>
      </c>
      <c r="B1105" s="89"/>
      <c r="BA1105" s="95"/>
    </row>
    <row r="1106" spans="1:53" s="87" customFormat="1">
      <c r="A1106" s="90" t="str">
        <f t="shared" si="42"/>
        <v/>
      </c>
      <c r="B1106" s="89"/>
      <c r="BA1106" s="95"/>
    </row>
    <row r="1107" spans="1:53" s="87" customFormat="1">
      <c r="A1107" s="90" t="str">
        <f t="shared" si="42"/>
        <v/>
      </c>
      <c r="B1107" s="89"/>
      <c r="BA1107" s="95"/>
    </row>
    <row r="1108" spans="1:53" s="87" customFormat="1">
      <c r="A1108" s="90" t="str">
        <f t="shared" si="42"/>
        <v/>
      </c>
      <c r="B1108" s="89"/>
      <c r="BA1108" s="95"/>
    </row>
    <row r="1109" spans="1:53" s="87" customFormat="1">
      <c r="A1109" s="90" t="str">
        <f t="shared" si="42"/>
        <v/>
      </c>
      <c r="B1109" s="89"/>
      <c r="BA1109" s="95"/>
    </row>
    <row r="1110" spans="1:53" s="87" customFormat="1">
      <c r="A1110" s="90" t="str">
        <f t="shared" si="42"/>
        <v/>
      </c>
      <c r="B1110" s="89"/>
      <c r="BA1110" s="95"/>
    </row>
    <row r="1111" spans="1:53" s="87" customFormat="1">
      <c r="A1111" s="90" t="str">
        <f t="shared" si="42"/>
        <v/>
      </c>
      <c r="B1111" s="89"/>
      <c r="BA1111" s="95"/>
    </row>
    <row r="1112" spans="1:53" s="87" customFormat="1">
      <c r="A1112" s="90" t="str">
        <f t="shared" si="42"/>
        <v/>
      </c>
      <c r="B1112" s="89"/>
      <c r="BA1112" s="95"/>
    </row>
    <row r="1113" spans="1:53" s="87" customFormat="1">
      <c r="A1113" s="90" t="str">
        <f t="shared" si="42"/>
        <v/>
      </c>
      <c r="B1113" s="89"/>
      <c r="BA1113" s="95"/>
    </row>
    <row r="1114" spans="1:53" s="87" customFormat="1">
      <c r="A1114" s="90" t="str">
        <f t="shared" si="42"/>
        <v/>
      </c>
      <c r="B1114" s="89"/>
      <c r="BA1114" s="95"/>
    </row>
    <row r="1115" spans="1:53" s="87" customFormat="1">
      <c r="A1115" s="90" t="str">
        <f t="shared" si="42"/>
        <v/>
      </c>
      <c r="B1115" s="89"/>
      <c r="BA1115" s="95"/>
    </row>
    <row r="1116" spans="1:53" s="87" customFormat="1">
      <c r="A1116" s="90" t="str">
        <f t="shared" si="42"/>
        <v/>
      </c>
      <c r="B1116" s="89"/>
      <c r="BA1116" s="95"/>
    </row>
    <row r="1117" spans="1:53" s="87" customFormat="1">
      <c r="A1117" s="90" t="str">
        <f t="shared" si="42"/>
        <v/>
      </c>
      <c r="B1117" s="89"/>
      <c r="BA1117" s="95"/>
    </row>
    <row r="1118" spans="1:53" s="87" customFormat="1">
      <c r="A1118" s="90" t="str">
        <f t="shared" si="42"/>
        <v/>
      </c>
      <c r="B1118" s="89"/>
      <c r="BA1118" s="95"/>
    </row>
    <row r="1119" spans="1:53" s="87" customFormat="1">
      <c r="A1119" s="90" t="str">
        <f t="shared" si="42"/>
        <v/>
      </c>
      <c r="B1119" s="89"/>
      <c r="BA1119" s="95"/>
    </row>
    <row r="1120" spans="1:53" s="87" customFormat="1">
      <c r="A1120" s="90" t="str">
        <f t="shared" si="42"/>
        <v/>
      </c>
      <c r="B1120" s="89"/>
      <c r="BA1120" s="95"/>
    </row>
    <row r="1121" spans="1:53" s="87" customFormat="1">
      <c r="A1121" s="90" t="str">
        <f t="shared" si="42"/>
        <v/>
      </c>
      <c r="B1121" s="89"/>
      <c r="BA1121" s="95"/>
    </row>
    <row r="1122" spans="1:53" s="87" customFormat="1">
      <c r="A1122" s="90" t="str">
        <f t="shared" si="42"/>
        <v/>
      </c>
      <c r="B1122" s="89"/>
      <c r="BA1122" s="95"/>
    </row>
    <row r="1123" spans="1:53" s="87" customFormat="1">
      <c r="A1123" s="90" t="str">
        <f t="shared" si="42"/>
        <v/>
      </c>
      <c r="B1123" s="89"/>
      <c r="BA1123" s="95"/>
    </row>
    <row r="1124" spans="1:53" s="87" customFormat="1">
      <c r="A1124" s="90" t="str">
        <f t="shared" si="42"/>
        <v/>
      </c>
      <c r="B1124" s="89"/>
      <c r="BA1124" s="95"/>
    </row>
    <row r="1125" spans="1:53" s="87" customFormat="1">
      <c r="A1125" s="90" t="str">
        <f t="shared" si="42"/>
        <v/>
      </c>
      <c r="B1125" s="89"/>
      <c r="BA1125" s="95"/>
    </row>
    <row r="1126" spans="1:53" s="87" customFormat="1">
      <c r="A1126" s="90" t="str">
        <f t="shared" si="42"/>
        <v/>
      </c>
      <c r="B1126" s="89"/>
      <c r="BA1126" s="95"/>
    </row>
    <row r="1127" spans="1:53" s="87" customFormat="1">
      <c r="A1127" s="90" t="str">
        <f t="shared" si="42"/>
        <v/>
      </c>
      <c r="B1127" s="89"/>
      <c r="BA1127" s="95"/>
    </row>
    <row r="1128" spans="1:53" s="87" customFormat="1">
      <c r="A1128" s="90" t="str">
        <f t="shared" si="42"/>
        <v/>
      </c>
      <c r="B1128" s="89"/>
      <c r="BA1128" s="95"/>
    </row>
    <row r="1129" spans="1:53" s="87" customFormat="1">
      <c r="A1129" s="90" t="str">
        <f t="shared" si="42"/>
        <v/>
      </c>
      <c r="B1129" s="89"/>
      <c r="BA1129" s="95"/>
    </row>
    <row r="1130" spans="1:53" s="87" customFormat="1">
      <c r="A1130" s="90" t="str">
        <f t="shared" si="42"/>
        <v/>
      </c>
      <c r="B1130" s="89"/>
      <c r="BA1130" s="95"/>
    </row>
    <row r="1131" spans="1:53" s="87" customFormat="1">
      <c r="A1131" s="90" t="str">
        <f t="shared" si="42"/>
        <v/>
      </c>
      <c r="B1131" s="89"/>
      <c r="BA1131" s="95"/>
    </row>
    <row r="1132" spans="1:53" s="87" customFormat="1">
      <c r="A1132" s="90" t="str">
        <f t="shared" si="42"/>
        <v/>
      </c>
      <c r="B1132" s="89"/>
      <c r="BA1132" s="95"/>
    </row>
    <row r="1133" spans="1:53" s="87" customFormat="1">
      <c r="A1133" s="90" t="str">
        <f t="shared" si="42"/>
        <v/>
      </c>
      <c r="B1133" s="89"/>
      <c r="BA1133" s="95"/>
    </row>
    <row r="1134" spans="1:53" s="87" customFormat="1">
      <c r="A1134" s="90" t="str">
        <f t="shared" si="42"/>
        <v/>
      </c>
      <c r="B1134" s="89"/>
      <c r="BA1134" s="95"/>
    </row>
    <row r="1135" spans="1:53" s="87" customFormat="1">
      <c r="A1135" s="90" t="str">
        <f t="shared" si="42"/>
        <v/>
      </c>
      <c r="B1135" s="89"/>
      <c r="BA1135" s="95"/>
    </row>
    <row r="1136" spans="1:53" s="87" customFormat="1">
      <c r="A1136" s="90" t="str">
        <f t="shared" si="42"/>
        <v/>
      </c>
      <c r="B1136" s="89"/>
      <c r="BA1136" s="95"/>
    </row>
    <row r="1137" spans="1:53" s="87" customFormat="1">
      <c r="A1137" s="90" t="str">
        <f t="shared" si="42"/>
        <v/>
      </c>
      <c r="B1137" s="89"/>
      <c r="BA1137" s="95"/>
    </row>
    <row r="1138" spans="1:53" s="87" customFormat="1">
      <c r="A1138" s="90" t="str">
        <f t="shared" si="42"/>
        <v/>
      </c>
      <c r="B1138" s="89"/>
      <c r="BA1138" s="95"/>
    </row>
    <row r="1139" spans="1:53" s="87" customFormat="1">
      <c r="A1139" s="90" t="str">
        <f t="shared" si="42"/>
        <v/>
      </c>
      <c r="B1139" s="89"/>
      <c r="BA1139" s="95"/>
    </row>
    <row r="1140" spans="1:53" s="87" customFormat="1">
      <c r="A1140" s="90" t="str">
        <f t="shared" si="42"/>
        <v/>
      </c>
      <c r="B1140" s="89"/>
      <c r="BA1140" s="95"/>
    </row>
    <row r="1141" spans="1:53" s="87" customFormat="1">
      <c r="A1141" s="90" t="str">
        <f t="shared" si="42"/>
        <v/>
      </c>
      <c r="B1141" s="89"/>
      <c r="BA1141" s="95"/>
    </row>
    <row r="1142" spans="1:53" s="87" customFormat="1">
      <c r="A1142" s="90" t="str">
        <f t="shared" si="42"/>
        <v/>
      </c>
      <c r="B1142" s="89"/>
      <c r="BA1142" s="95"/>
    </row>
    <row r="1143" spans="1:53" s="87" customFormat="1">
      <c r="A1143" s="90" t="str">
        <f t="shared" si="42"/>
        <v/>
      </c>
      <c r="B1143" s="89"/>
      <c r="BA1143" s="95"/>
    </row>
    <row r="1144" spans="1:53" s="87" customFormat="1">
      <c r="A1144" s="90" t="str">
        <f t="shared" si="42"/>
        <v/>
      </c>
      <c r="B1144" s="89"/>
      <c r="BA1144" s="95"/>
    </row>
    <row r="1145" spans="1:53" s="87" customFormat="1">
      <c r="A1145" s="90" t="str">
        <f t="shared" si="42"/>
        <v/>
      </c>
      <c r="B1145" s="89"/>
      <c r="BA1145" s="95"/>
    </row>
    <row r="1146" spans="1:53" s="87" customFormat="1">
      <c r="A1146" s="90" t="str">
        <f t="shared" si="42"/>
        <v/>
      </c>
      <c r="B1146" s="89"/>
      <c r="BA1146" s="95"/>
    </row>
    <row r="1147" spans="1:53" s="87" customFormat="1">
      <c r="A1147" s="90" t="str">
        <f t="shared" si="42"/>
        <v/>
      </c>
      <c r="B1147" s="89"/>
      <c r="BA1147" s="95"/>
    </row>
    <row r="1148" spans="1:53" s="87" customFormat="1">
      <c r="A1148" s="90" t="str">
        <f t="shared" si="42"/>
        <v/>
      </c>
      <c r="B1148" s="89"/>
      <c r="BA1148" s="95"/>
    </row>
    <row r="1149" spans="1:53" s="87" customFormat="1">
      <c r="A1149" s="90" t="str">
        <f t="shared" si="42"/>
        <v/>
      </c>
      <c r="B1149" s="89"/>
      <c r="BA1149" s="95"/>
    </row>
    <row r="1150" spans="1:53" s="87" customFormat="1">
      <c r="A1150" s="90" t="str">
        <f t="shared" si="42"/>
        <v/>
      </c>
      <c r="B1150" s="89"/>
      <c r="BA1150" s="95"/>
    </row>
    <row r="1151" spans="1:53" s="87" customFormat="1">
      <c r="A1151" s="90" t="str">
        <f t="shared" si="42"/>
        <v/>
      </c>
      <c r="B1151" s="89"/>
      <c r="BA1151" s="95"/>
    </row>
    <row r="1152" spans="1:53" s="87" customFormat="1">
      <c r="A1152" s="90" t="str">
        <f t="shared" si="42"/>
        <v/>
      </c>
      <c r="B1152" s="89"/>
      <c r="BA1152" s="95"/>
    </row>
    <row r="1153" spans="1:53" s="87" customFormat="1">
      <c r="A1153" s="90" t="str">
        <f t="shared" si="42"/>
        <v/>
      </c>
      <c r="B1153" s="89"/>
      <c r="BA1153" s="95"/>
    </row>
    <row r="1154" spans="1:53" s="87" customFormat="1">
      <c r="A1154" s="90" t="str">
        <f t="shared" si="42"/>
        <v/>
      </c>
      <c r="B1154" s="89"/>
      <c r="BA1154" s="95"/>
    </row>
    <row r="1155" spans="1:53" s="87" customFormat="1">
      <c r="A1155" s="90" t="str">
        <f t="shared" si="42"/>
        <v/>
      </c>
      <c r="B1155" s="89"/>
      <c r="BA1155" s="95"/>
    </row>
    <row r="1156" spans="1:53" s="87" customFormat="1">
      <c r="A1156" s="90" t="str">
        <f t="shared" si="42"/>
        <v/>
      </c>
      <c r="B1156" s="89"/>
      <c r="BA1156" s="95"/>
    </row>
    <row r="1157" spans="1:53" s="87" customFormat="1">
      <c r="A1157" s="90" t="str">
        <f t="shared" si="42"/>
        <v/>
      </c>
      <c r="B1157" s="89"/>
      <c r="BA1157" s="95"/>
    </row>
    <row r="1158" spans="1:53" s="87" customFormat="1">
      <c r="A1158" s="90" t="str">
        <f t="shared" si="42"/>
        <v/>
      </c>
      <c r="B1158" s="89"/>
      <c r="BA1158" s="95"/>
    </row>
    <row r="1159" spans="1:53" s="87" customFormat="1">
      <c r="A1159" s="90" t="str">
        <f t="shared" si="42"/>
        <v/>
      </c>
      <c r="B1159" s="89"/>
      <c r="BA1159" s="95"/>
    </row>
    <row r="1160" spans="1:53" s="87" customFormat="1">
      <c r="A1160" s="90" t="str">
        <f t="shared" si="42"/>
        <v/>
      </c>
      <c r="B1160" s="89"/>
      <c r="BA1160" s="95"/>
    </row>
    <row r="1161" spans="1:53" s="87" customFormat="1">
      <c r="A1161" s="90" t="str">
        <f t="shared" si="42"/>
        <v/>
      </c>
      <c r="B1161" s="89"/>
      <c r="BA1161" s="95"/>
    </row>
    <row r="1162" spans="1:53" s="87" customFormat="1">
      <c r="A1162" s="90" t="str">
        <f t="shared" si="42"/>
        <v/>
      </c>
      <c r="B1162" s="89"/>
      <c r="BA1162" s="95"/>
    </row>
    <row r="1163" spans="1:53" s="87" customFormat="1">
      <c r="A1163" s="90" t="str">
        <f t="shared" si="42"/>
        <v/>
      </c>
      <c r="B1163" s="89"/>
      <c r="BA1163" s="95"/>
    </row>
    <row r="1164" spans="1:53" s="87" customFormat="1">
      <c r="A1164" s="90" t="str">
        <f t="shared" ref="A1164:A1200" si="43">IF(MID(B1164,3,2)="02",ROW(),"")</f>
        <v/>
      </c>
      <c r="B1164" s="89"/>
      <c r="BA1164" s="95"/>
    </row>
    <row r="1165" spans="1:53" s="87" customFormat="1">
      <c r="A1165" s="90" t="str">
        <f t="shared" si="43"/>
        <v/>
      </c>
      <c r="B1165" s="89"/>
      <c r="BA1165" s="95"/>
    </row>
    <row r="1166" spans="1:53" s="87" customFormat="1">
      <c r="A1166" s="90" t="str">
        <f t="shared" si="43"/>
        <v/>
      </c>
      <c r="B1166" s="89"/>
      <c r="BA1166" s="95"/>
    </row>
    <row r="1167" spans="1:53" s="87" customFormat="1">
      <c r="A1167" s="90" t="str">
        <f t="shared" si="43"/>
        <v/>
      </c>
      <c r="B1167" s="89"/>
      <c r="BA1167" s="95"/>
    </row>
    <row r="1168" spans="1:53" s="87" customFormat="1">
      <c r="A1168" s="90" t="str">
        <f t="shared" si="43"/>
        <v/>
      </c>
      <c r="B1168" s="89"/>
      <c r="BA1168" s="95"/>
    </row>
    <row r="1169" spans="1:53" s="87" customFormat="1">
      <c r="A1169" s="90" t="str">
        <f t="shared" si="43"/>
        <v/>
      </c>
      <c r="B1169" s="89"/>
      <c r="BA1169" s="95"/>
    </row>
    <row r="1170" spans="1:53" s="87" customFormat="1">
      <c r="A1170" s="90" t="str">
        <f t="shared" si="43"/>
        <v/>
      </c>
      <c r="B1170" s="89"/>
      <c r="BA1170" s="95"/>
    </row>
    <row r="1171" spans="1:53" s="87" customFormat="1">
      <c r="A1171" s="90" t="str">
        <f t="shared" si="43"/>
        <v/>
      </c>
      <c r="B1171" s="89"/>
      <c r="BA1171" s="95"/>
    </row>
    <row r="1172" spans="1:53" s="87" customFormat="1">
      <c r="A1172" s="90" t="str">
        <f t="shared" si="43"/>
        <v/>
      </c>
      <c r="B1172" s="89"/>
      <c r="BA1172" s="95"/>
    </row>
    <row r="1173" spans="1:53" s="87" customFormat="1">
      <c r="A1173" s="90" t="str">
        <f t="shared" si="43"/>
        <v/>
      </c>
      <c r="B1173" s="89"/>
      <c r="BA1173" s="95"/>
    </row>
    <row r="1174" spans="1:53" s="87" customFormat="1">
      <c r="A1174" s="90" t="str">
        <f t="shared" si="43"/>
        <v/>
      </c>
      <c r="B1174" s="89"/>
      <c r="BA1174" s="95"/>
    </row>
    <row r="1175" spans="1:53" s="87" customFormat="1">
      <c r="A1175" s="90" t="str">
        <f t="shared" si="43"/>
        <v/>
      </c>
      <c r="B1175" s="89"/>
      <c r="BA1175" s="95"/>
    </row>
    <row r="1176" spans="1:53" s="87" customFormat="1">
      <c r="A1176" s="90" t="str">
        <f t="shared" si="43"/>
        <v/>
      </c>
      <c r="B1176" s="89"/>
      <c r="BA1176" s="95"/>
    </row>
    <row r="1177" spans="1:53" s="87" customFormat="1">
      <c r="A1177" s="90" t="str">
        <f t="shared" si="43"/>
        <v/>
      </c>
      <c r="B1177" s="89"/>
      <c r="BA1177" s="95"/>
    </row>
    <row r="1178" spans="1:53" s="87" customFormat="1">
      <c r="A1178" s="90" t="str">
        <f t="shared" si="43"/>
        <v/>
      </c>
      <c r="B1178" s="89"/>
      <c r="BA1178" s="95"/>
    </row>
    <row r="1179" spans="1:53" s="87" customFormat="1">
      <c r="A1179" s="90" t="str">
        <f t="shared" si="43"/>
        <v/>
      </c>
      <c r="B1179" s="89"/>
      <c r="BA1179" s="95"/>
    </row>
    <row r="1180" spans="1:53" s="87" customFormat="1">
      <c r="A1180" s="90" t="str">
        <f t="shared" si="43"/>
        <v/>
      </c>
      <c r="B1180" s="89"/>
      <c r="BA1180" s="95"/>
    </row>
    <row r="1181" spans="1:53" s="87" customFormat="1">
      <c r="A1181" s="90" t="str">
        <f t="shared" si="43"/>
        <v/>
      </c>
      <c r="B1181" s="89"/>
      <c r="BA1181" s="95"/>
    </row>
    <row r="1182" spans="1:53" s="87" customFormat="1">
      <c r="A1182" s="90" t="str">
        <f t="shared" si="43"/>
        <v/>
      </c>
      <c r="B1182" s="89"/>
      <c r="BA1182" s="95"/>
    </row>
    <row r="1183" spans="1:53" s="87" customFormat="1">
      <c r="A1183" s="90" t="str">
        <f t="shared" si="43"/>
        <v/>
      </c>
      <c r="B1183" s="89"/>
      <c r="BA1183" s="95"/>
    </row>
    <row r="1184" spans="1:53" s="87" customFormat="1">
      <c r="A1184" s="90" t="str">
        <f t="shared" si="43"/>
        <v/>
      </c>
      <c r="B1184" s="89"/>
      <c r="BA1184" s="95"/>
    </row>
    <row r="1185" spans="1:53" s="87" customFormat="1">
      <c r="A1185" s="90" t="str">
        <f t="shared" si="43"/>
        <v/>
      </c>
      <c r="B1185" s="89"/>
      <c r="BA1185" s="95"/>
    </row>
    <row r="1186" spans="1:53" s="87" customFormat="1">
      <c r="A1186" s="90" t="str">
        <f t="shared" si="43"/>
        <v/>
      </c>
      <c r="B1186" s="89"/>
      <c r="BA1186" s="95"/>
    </row>
    <row r="1187" spans="1:53" s="87" customFormat="1">
      <c r="A1187" s="90" t="str">
        <f t="shared" si="43"/>
        <v/>
      </c>
      <c r="B1187" s="89"/>
      <c r="BA1187" s="95"/>
    </row>
    <row r="1188" spans="1:53" s="87" customFormat="1">
      <c r="A1188" s="90" t="str">
        <f t="shared" si="43"/>
        <v/>
      </c>
      <c r="B1188" s="89"/>
      <c r="BA1188" s="95"/>
    </row>
    <row r="1189" spans="1:53" s="87" customFormat="1">
      <c r="A1189" s="90" t="str">
        <f t="shared" si="43"/>
        <v/>
      </c>
      <c r="B1189" s="89"/>
      <c r="BA1189" s="95"/>
    </row>
    <row r="1190" spans="1:53" s="87" customFormat="1">
      <c r="A1190" s="90" t="str">
        <f t="shared" si="43"/>
        <v/>
      </c>
      <c r="B1190" s="89"/>
      <c r="BA1190" s="95"/>
    </row>
    <row r="1191" spans="1:53" s="87" customFormat="1">
      <c r="A1191" s="90" t="str">
        <f t="shared" si="43"/>
        <v/>
      </c>
      <c r="B1191" s="89"/>
      <c r="BA1191" s="95"/>
    </row>
    <row r="1192" spans="1:53" s="87" customFormat="1">
      <c r="A1192" s="90" t="str">
        <f t="shared" si="43"/>
        <v/>
      </c>
      <c r="B1192" s="89"/>
      <c r="BA1192" s="95"/>
    </row>
    <row r="1193" spans="1:53" s="87" customFormat="1">
      <c r="A1193" s="90" t="str">
        <f t="shared" si="43"/>
        <v/>
      </c>
      <c r="B1193" s="89"/>
      <c r="BA1193" s="95"/>
    </row>
    <row r="1194" spans="1:53" s="87" customFormat="1">
      <c r="A1194" s="90" t="str">
        <f t="shared" si="43"/>
        <v/>
      </c>
      <c r="B1194" s="89"/>
      <c r="BA1194" s="95"/>
    </row>
    <row r="1195" spans="1:53" s="87" customFormat="1">
      <c r="A1195" s="90" t="str">
        <f t="shared" si="43"/>
        <v/>
      </c>
      <c r="B1195" s="89"/>
      <c r="BA1195" s="95"/>
    </row>
    <row r="1196" spans="1:53" s="87" customFormat="1">
      <c r="A1196" s="90" t="str">
        <f t="shared" si="43"/>
        <v/>
      </c>
      <c r="B1196" s="89"/>
      <c r="BA1196" s="95"/>
    </row>
    <row r="1197" spans="1:53" s="87" customFormat="1">
      <c r="A1197" s="90" t="str">
        <f t="shared" si="43"/>
        <v/>
      </c>
      <c r="B1197" s="89"/>
      <c r="BA1197" s="95"/>
    </row>
    <row r="1198" spans="1:53" s="87" customFormat="1">
      <c r="A1198" s="90" t="str">
        <f t="shared" si="43"/>
        <v/>
      </c>
      <c r="B1198" s="89"/>
      <c r="BA1198" s="95"/>
    </row>
    <row r="1199" spans="1:53" s="87" customFormat="1">
      <c r="A1199" s="90" t="str">
        <f t="shared" si="43"/>
        <v/>
      </c>
      <c r="B1199" s="89"/>
      <c r="BA1199" s="95"/>
    </row>
    <row r="1200" spans="1:53" s="87" customFormat="1">
      <c r="A1200" s="90" t="str">
        <f t="shared" si="43"/>
        <v/>
      </c>
      <c r="B1200" s="89"/>
      <c r="BA1200" s="95"/>
    </row>
    <row r="1201" spans="2:53" s="87" customFormat="1">
      <c r="B1201" s="89"/>
      <c r="BA1201" s="95"/>
    </row>
    <row r="1202" spans="2:53" s="87" customFormat="1">
      <c r="B1202" s="89"/>
      <c r="BA1202" s="95"/>
    </row>
    <row r="1203" spans="2:53" s="87" customFormat="1">
      <c r="B1203" s="89"/>
      <c r="BA1203" s="95"/>
    </row>
    <row r="1204" spans="2:53" s="87" customFormat="1">
      <c r="B1204" s="89"/>
      <c r="BA1204" s="95"/>
    </row>
    <row r="1205" spans="2:53" s="87" customFormat="1">
      <c r="B1205" s="89"/>
      <c r="BA1205" s="95"/>
    </row>
    <row r="1206" spans="2:53" s="87" customFormat="1">
      <c r="B1206" s="89"/>
      <c r="BA1206" s="95"/>
    </row>
    <row r="1207" spans="2:53" s="87" customFormat="1">
      <c r="B1207" s="89"/>
      <c r="BA1207" s="95"/>
    </row>
  </sheetData>
  <sheetProtection password="FFF0" sheet="1" objects="1" scenarios="1"/>
  <conditionalFormatting sqref="BD11:BD70">
    <cfRule type="expression" dxfId="64" priority="2">
      <formula>BD11=$BD$7</formula>
    </cfRule>
  </conditionalFormatting>
  <conditionalFormatting sqref="A11:A1200">
    <cfRule type="expression" dxfId="63" priority="1">
      <formula>A11=$BA$7</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207"/>
  <sheetViews>
    <sheetView workbookViewId="0">
      <selection activeCell="BB1" sqref="BB1"/>
    </sheetView>
  </sheetViews>
  <sheetFormatPr baseColWidth="10" defaultRowHeight="12" x14ac:dyDescent="0"/>
  <cols>
    <col min="1" max="1" width="5.140625" style="87" customWidth="1"/>
    <col min="2" max="52" width="2.5703125" style="87" customWidth="1"/>
    <col min="53" max="53" width="4.140625" style="87" customWidth="1"/>
    <col min="54" max="54" width="10.28515625" style="87" customWidth="1"/>
    <col min="55" max="55" width="5.140625" style="87" customWidth="1"/>
    <col min="56" max="56" width="3.140625" style="87" customWidth="1"/>
    <col min="57" max="57" width="7.140625" style="89" customWidth="1"/>
    <col min="58" max="58" width="10.28515625" style="89" customWidth="1"/>
    <col min="59" max="60" width="3.140625" style="87" customWidth="1"/>
    <col min="61" max="61" width="5.140625" style="87" customWidth="1"/>
    <col min="62" max="65" width="3.140625" style="87" customWidth="1"/>
    <col min="66" max="66" width="10.7109375" style="87"/>
    <col min="67" max="74" width="3.140625" style="87" customWidth="1"/>
    <col min="75" max="75" width="10.28515625" style="87" customWidth="1"/>
    <col min="76" max="79" width="5.140625" style="87" customWidth="1"/>
    <col min="80" max="16384" width="10.7109375" style="87"/>
  </cols>
  <sheetData>
    <row r="1" spans="1:76">
      <c r="B1" s="88">
        <f>COLUMN()</f>
        <v>2</v>
      </c>
      <c r="C1" s="88">
        <f>COLUMN()</f>
        <v>3</v>
      </c>
      <c r="D1" s="88">
        <f>COLUMN()</f>
        <v>4</v>
      </c>
      <c r="E1" s="88">
        <f>COLUMN()</f>
        <v>5</v>
      </c>
      <c r="F1" s="88">
        <f>COLUMN()</f>
        <v>6</v>
      </c>
      <c r="G1" s="88">
        <f>COLUMN()</f>
        <v>7</v>
      </c>
      <c r="H1" s="88">
        <f>COLUMN()</f>
        <v>8</v>
      </c>
      <c r="I1" s="88">
        <f>COLUMN()</f>
        <v>9</v>
      </c>
      <c r="J1" s="88">
        <f>COLUMN()</f>
        <v>10</v>
      </c>
      <c r="K1" s="88">
        <f>COLUMN()</f>
        <v>11</v>
      </c>
      <c r="L1" s="88">
        <f>COLUMN()</f>
        <v>12</v>
      </c>
      <c r="M1" s="88">
        <f>COLUMN()</f>
        <v>13</v>
      </c>
      <c r="N1" s="88">
        <f>COLUMN()</f>
        <v>14</v>
      </c>
      <c r="O1" s="88">
        <f>COLUMN()</f>
        <v>15</v>
      </c>
      <c r="P1" s="88">
        <f>COLUMN()</f>
        <v>16</v>
      </c>
      <c r="Q1" s="88">
        <f>COLUMN()</f>
        <v>17</v>
      </c>
      <c r="R1" s="88">
        <f>COLUMN()</f>
        <v>18</v>
      </c>
      <c r="S1" s="88">
        <f>COLUMN()</f>
        <v>19</v>
      </c>
      <c r="T1" s="88">
        <f>COLUMN()</f>
        <v>20</v>
      </c>
      <c r="U1" s="88">
        <f>COLUMN()</f>
        <v>21</v>
      </c>
      <c r="V1" s="88">
        <f>COLUMN()</f>
        <v>22</v>
      </c>
      <c r="W1" s="88">
        <f>COLUMN()</f>
        <v>23</v>
      </c>
      <c r="X1" s="88">
        <f>COLUMN()</f>
        <v>24</v>
      </c>
      <c r="Y1" s="88">
        <f>COLUMN()</f>
        <v>25</v>
      </c>
      <c r="Z1" s="88">
        <f>COLUMN()</f>
        <v>26</v>
      </c>
      <c r="AA1" s="88">
        <f>COLUMN()</f>
        <v>27</v>
      </c>
      <c r="AB1" s="88">
        <f>COLUMN()</f>
        <v>28</v>
      </c>
      <c r="AC1" s="88">
        <f>COLUMN()</f>
        <v>29</v>
      </c>
      <c r="AD1" s="88">
        <f>COLUMN()</f>
        <v>30</v>
      </c>
      <c r="AE1" s="88">
        <f>COLUMN()</f>
        <v>31</v>
      </c>
      <c r="AF1" s="88">
        <f>COLUMN()</f>
        <v>32</v>
      </c>
      <c r="AG1" s="88">
        <f>COLUMN()</f>
        <v>33</v>
      </c>
      <c r="AH1" s="88">
        <f>COLUMN()</f>
        <v>34</v>
      </c>
      <c r="AI1" s="88">
        <f>COLUMN()</f>
        <v>35</v>
      </c>
      <c r="AJ1" s="88">
        <f>COLUMN()</f>
        <v>36</v>
      </c>
      <c r="AK1" s="88">
        <f>COLUMN()</f>
        <v>37</v>
      </c>
      <c r="AL1" s="88">
        <f>COLUMN()</f>
        <v>38</v>
      </c>
      <c r="AM1" s="88">
        <f>COLUMN()</f>
        <v>39</v>
      </c>
      <c r="AN1" s="88">
        <f>COLUMN()</f>
        <v>40</v>
      </c>
      <c r="AO1" s="88">
        <f>COLUMN()</f>
        <v>41</v>
      </c>
      <c r="AP1" s="88">
        <f>COLUMN()</f>
        <v>42</v>
      </c>
      <c r="AQ1" s="88">
        <f>COLUMN()</f>
        <v>43</v>
      </c>
      <c r="AR1" s="88">
        <f>COLUMN()</f>
        <v>44</v>
      </c>
      <c r="AS1" s="88">
        <f>COLUMN()</f>
        <v>45</v>
      </c>
      <c r="AT1" s="88">
        <f>COLUMN()</f>
        <v>46</v>
      </c>
      <c r="AU1" s="88">
        <f>COLUMN()</f>
        <v>47</v>
      </c>
      <c r="AV1" s="88">
        <f>COLUMN()</f>
        <v>48</v>
      </c>
      <c r="AW1" s="88">
        <f>COLUMN()</f>
        <v>49</v>
      </c>
      <c r="AX1" s="88">
        <f>COLUMN()</f>
        <v>50</v>
      </c>
      <c r="AY1" s="88">
        <f>COLUMN()</f>
        <v>51</v>
      </c>
      <c r="AZ1" s="88">
        <f>COLUMN()</f>
        <v>52</v>
      </c>
      <c r="BB1" s="88" t="str">
        <f>Intro!D46</f>
        <v/>
      </c>
    </row>
    <row r="2" spans="1:76">
      <c r="B2" s="88" t="str">
        <f>CHAR(B1+64)</f>
        <v>B</v>
      </c>
      <c r="C2" s="88" t="str">
        <f t="shared" ref="C2:Z2" si="0">CHAR(C1+64)</f>
        <v>C</v>
      </c>
      <c r="D2" s="88" t="str">
        <f t="shared" si="0"/>
        <v>D</v>
      </c>
      <c r="E2" s="88" t="str">
        <f t="shared" si="0"/>
        <v>E</v>
      </c>
      <c r="F2" s="88" t="str">
        <f t="shared" si="0"/>
        <v>F</v>
      </c>
      <c r="G2" s="88" t="str">
        <f t="shared" si="0"/>
        <v>G</v>
      </c>
      <c r="H2" s="88" t="str">
        <f t="shared" si="0"/>
        <v>H</v>
      </c>
      <c r="I2" s="88" t="str">
        <f t="shared" si="0"/>
        <v>I</v>
      </c>
      <c r="J2" s="88" t="str">
        <f t="shared" si="0"/>
        <v>J</v>
      </c>
      <c r="K2" s="88" t="str">
        <f t="shared" si="0"/>
        <v>K</v>
      </c>
      <c r="L2" s="88" t="str">
        <f t="shared" si="0"/>
        <v>L</v>
      </c>
      <c r="M2" s="88" t="str">
        <f t="shared" si="0"/>
        <v>M</v>
      </c>
      <c r="N2" s="88" t="str">
        <f t="shared" si="0"/>
        <v>N</v>
      </c>
      <c r="O2" s="88" t="str">
        <f t="shared" si="0"/>
        <v>O</v>
      </c>
      <c r="P2" s="88" t="str">
        <f t="shared" si="0"/>
        <v>P</v>
      </c>
      <c r="Q2" s="88" t="str">
        <f t="shared" si="0"/>
        <v>Q</v>
      </c>
      <c r="R2" s="88" t="str">
        <f t="shared" si="0"/>
        <v>R</v>
      </c>
      <c r="S2" s="88" t="str">
        <f t="shared" si="0"/>
        <v>S</v>
      </c>
      <c r="T2" s="88" t="str">
        <f t="shared" si="0"/>
        <v>T</v>
      </c>
      <c r="U2" s="88" t="str">
        <f t="shared" si="0"/>
        <v>U</v>
      </c>
      <c r="V2" s="88" t="str">
        <f t="shared" si="0"/>
        <v>V</v>
      </c>
      <c r="W2" s="88" t="str">
        <f t="shared" si="0"/>
        <v>W</v>
      </c>
      <c r="X2" s="88" t="str">
        <f t="shared" si="0"/>
        <v>X</v>
      </c>
      <c r="Y2" s="88" t="str">
        <f t="shared" si="0"/>
        <v>Y</v>
      </c>
      <c r="Z2" s="88" t="str">
        <f t="shared" si="0"/>
        <v>Z</v>
      </c>
      <c r="AA2" s="88" t="str">
        <f>CONCATENATE("A",CHAR(AA1+38))</f>
        <v>AA</v>
      </c>
      <c r="AB2" s="88" t="str">
        <f t="shared" ref="AB2:AZ2" si="1">CONCATENATE("A",CHAR(AB1+38))</f>
        <v>AB</v>
      </c>
      <c r="AC2" s="88" t="str">
        <f t="shared" si="1"/>
        <v>AC</v>
      </c>
      <c r="AD2" s="88" t="str">
        <f t="shared" si="1"/>
        <v>AD</v>
      </c>
      <c r="AE2" s="88" t="str">
        <f t="shared" si="1"/>
        <v>AE</v>
      </c>
      <c r="AF2" s="88" t="str">
        <f t="shared" si="1"/>
        <v>AF</v>
      </c>
      <c r="AG2" s="88" t="str">
        <f t="shared" si="1"/>
        <v>AG</v>
      </c>
      <c r="AH2" s="88" t="str">
        <f t="shared" si="1"/>
        <v>AH</v>
      </c>
      <c r="AI2" s="88" t="str">
        <f t="shared" si="1"/>
        <v>AI</v>
      </c>
      <c r="AJ2" s="88" t="str">
        <f t="shared" si="1"/>
        <v>AJ</v>
      </c>
      <c r="AK2" s="88" t="str">
        <f t="shared" si="1"/>
        <v>AK</v>
      </c>
      <c r="AL2" s="88" t="str">
        <f t="shared" si="1"/>
        <v>AL</v>
      </c>
      <c r="AM2" s="88" t="str">
        <f t="shared" si="1"/>
        <v>AM</v>
      </c>
      <c r="AN2" s="88" t="str">
        <f t="shared" si="1"/>
        <v>AN</v>
      </c>
      <c r="AO2" s="88" t="str">
        <f t="shared" si="1"/>
        <v>AO</v>
      </c>
      <c r="AP2" s="88" t="str">
        <f t="shared" si="1"/>
        <v>AP</v>
      </c>
      <c r="AQ2" s="88" t="str">
        <f t="shared" si="1"/>
        <v>AQ</v>
      </c>
      <c r="AR2" s="88" t="str">
        <f t="shared" si="1"/>
        <v>AR</v>
      </c>
      <c r="AS2" s="88" t="str">
        <f t="shared" si="1"/>
        <v>AS</v>
      </c>
      <c r="AT2" s="88" t="str">
        <f t="shared" si="1"/>
        <v>AT</v>
      </c>
      <c r="AU2" s="88" t="str">
        <f t="shared" si="1"/>
        <v>AU</v>
      </c>
      <c r="AV2" s="88" t="str">
        <f t="shared" si="1"/>
        <v>AV</v>
      </c>
      <c r="AW2" s="88" t="str">
        <f t="shared" si="1"/>
        <v>AW</v>
      </c>
      <c r="AX2" s="88" t="str">
        <f t="shared" si="1"/>
        <v>AX</v>
      </c>
      <c r="AY2" s="88" t="str">
        <f t="shared" si="1"/>
        <v>AY</v>
      </c>
      <c r="AZ2" s="88" t="str">
        <f t="shared" si="1"/>
        <v>AZ</v>
      </c>
    </row>
    <row r="6" spans="1:76">
      <c r="BD6" s="470"/>
    </row>
    <row r="7" spans="1:76">
      <c r="BA7" s="88">
        <f ca="1">VALUE(INDIRECT(CONCATENATE("BA",BE7+10)))</f>
        <v>435</v>
      </c>
      <c r="BD7" s="473">
        <f ca="1">IF(BD6&gt;0,BD6,DrawFinder!H10)</f>
        <v>25</v>
      </c>
      <c r="BE7" s="88">
        <f ca="1">MATCH(BD7,BD11:BD70,0)</f>
        <v>31</v>
      </c>
    </row>
    <row r="8" spans="1:76">
      <c r="BD8" s="87" t="s">
        <v>190</v>
      </c>
    </row>
    <row r="9" spans="1:76">
      <c r="BD9" s="89">
        <f ca="1">LARGE(BD11:BD70,1)</f>
        <v>35</v>
      </c>
    </row>
    <row r="10" spans="1:76">
      <c r="BA10" s="88">
        <v>1</v>
      </c>
      <c r="BB10" s="88">
        <v>1200</v>
      </c>
      <c r="BD10" s="87" t="s">
        <v>191</v>
      </c>
      <c r="BG10" s="87" t="s">
        <v>192</v>
      </c>
      <c r="BH10" s="87" t="s">
        <v>193</v>
      </c>
      <c r="BJ10" s="87" t="s">
        <v>194</v>
      </c>
      <c r="BK10" s="89" t="s">
        <v>195</v>
      </c>
      <c r="BL10" s="89" t="s">
        <v>196</v>
      </c>
      <c r="BM10" s="87" t="s">
        <v>197</v>
      </c>
      <c r="BN10" s="87" t="s">
        <v>198</v>
      </c>
      <c r="BO10" s="96" t="s">
        <v>199</v>
      </c>
      <c r="BP10" s="96" t="s">
        <v>200</v>
      </c>
      <c r="BQ10" s="96" t="s">
        <v>201</v>
      </c>
      <c r="BR10" s="97" t="s">
        <v>202</v>
      </c>
      <c r="BS10" s="96" t="s">
        <v>203</v>
      </c>
      <c r="BT10" s="96" t="s">
        <v>90</v>
      </c>
      <c r="BU10" s="96" t="s">
        <v>14</v>
      </c>
      <c r="BV10" s="87" t="s">
        <v>204</v>
      </c>
      <c r="BX10" s="285" t="s">
        <v>843</v>
      </c>
    </row>
    <row r="11" spans="1:76">
      <c r="A11" s="90">
        <f>IF(MID(B11,3,2)="03",ROW(),"")</f>
        <v>11</v>
      </c>
      <c r="B11" s="98" t="s">
        <v>232</v>
      </c>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1">
        <f ca="1">IF(BA10=0,0,MIN(INDIRECT(BB11)))</f>
        <v>11</v>
      </c>
      <c r="BB11" s="88" t="str">
        <f>IF(BA10=0,"",CONCATENATE("A",BA10+1,":A",BB$10))</f>
        <v>A2:A1200</v>
      </c>
      <c r="BC11" s="89" t="str">
        <f ca="1">IF(BA11=0,0,CONCATENATE("B",BA11))</f>
        <v>B11</v>
      </c>
      <c r="BD11" s="89">
        <f ca="1">IF(BC11=0,0,RANK(BF11,$BF$11:$BF$70,0)+(COUNTIF($BF11:$BF$70,BF11)-1))</f>
        <v>35</v>
      </c>
      <c r="BE11" s="89" t="str">
        <f ca="1">IF(BC11=0,0,LEFT(INDIRECT(BC11),6))</f>
        <v>060301</v>
      </c>
      <c r="BF11" s="89">
        <f ca="1">VALUE(BW11)</f>
        <v>6030105</v>
      </c>
      <c r="BG11" s="89">
        <f ca="1">IF(BA11=0,0,VALUE(LEFT(BE11,2)))</f>
        <v>6</v>
      </c>
      <c r="BH11" s="89">
        <f ca="1">IF(BA11=0,0,VALUE(MID(BE11,5,2)))</f>
        <v>1</v>
      </c>
      <c r="BI11" s="89" t="str">
        <f ca="1">IF(BA11=0,0,CONCATENATE("B",BA11+BG11+1))</f>
        <v>B18</v>
      </c>
      <c r="BJ11" s="89">
        <f ca="1">IF(BA11=0,0,VALUE(MID(INDIRECT(BI11),4,2)))</f>
        <v>5</v>
      </c>
      <c r="BK11" s="89">
        <f ca="1">IF(BA11=0,0,VALUE(MID(INDIRECT(BI11),9,2)))</f>
        <v>5</v>
      </c>
      <c r="BL11" s="89">
        <f ca="1">IF(BA11=0,0,VALUE(MID(INDIRECT(BI11),14,3)))</f>
        <v>15</v>
      </c>
      <c r="BM11" s="89">
        <f ca="1">IF(BA11=0,0,2+BK11)</f>
        <v>7</v>
      </c>
      <c r="BN11" s="89" t="str">
        <f ca="1">IF(BA11=0,0,CONCATENATE("S3!B",BA11+1,":",HLOOKUP(BM11,$B$1:$AZ$2,2,FALSE),BA11+BG11))</f>
        <v>S3!B12:G17</v>
      </c>
      <c r="BO11" s="89" t="str">
        <f ca="1">IF(BA11=0,0,IF(BV11="c","c",IF(ISERROR(FIND("s",INDIRECT($BC11))),IF(ISERROR(FIND("e",INDIRECT($BC11))),"L","e"),"s")))</f>
        <v>s</v>
      </c>
      <c r="BP11" s="89" t="str">
        <f ca="1">IF(BA11=0,0,IF(ISERROR(FIND("b",INDIRECT($BC11))),IF(ISERROR(FIND("w",INDIRECT($BC11))),"","w"),"b"))</f>
        <v/>
      </c>
      <c r="BQ11" s="89" t="str">
        <f ca="1">IF(BA11=0,0,IF(ISERROR(FIND("w",INDIRECT($BC11))),"","w"))</f>
        <v/>
      </c>
      <c r="BR11" s="87" t="str">
        <f ca="1">IF(BA11=0,0,IF(ISERROR(FIND("x",INDIRECT($BC11))),IF(ISERROR(FIND("E",INDIRECT($BC11))),"","E"),"x"))</f>
        <v/>
      </c>
      <c r="BS11" s="89" t="str">
        <f ca="1">IF(BA11=0,0,IF(ISERROR(FIND("a",INDIRECT($BC11))),"","a"))</f>
        <v/>
      </c>
      <c r="BT11" s="89" t="str">
        <f ca="1">IF(BA11=0,0,IF(ISERROR(FIND("E",INDIRECT($BC11))),"","E"))</f>
        <v/>
      </c>
      <c r="BU11" s="89" t="str">
        <f ca="1">IF(BA11=0,0,IF(ISERROR(FIND("X",INDIRECT($BC11))),"","X"))</f>
        <v/>
      </c>
      <c r="BV11" s="87" t="str">
        <f ca="1">IF(BA11=0,0,IF(ISERROR(FIND("c",INDIRECT($BC11))),"","c"))</f>
        <v/>
      </c>
      <c r="BW11" s="87" t="str">
        <f ca="1">CONCATENATE(BE11,IF(BK11&lt;10,"0",""),BK11)</f>
        <v>06030105</v>
      </c>
      <c r="BX11" s="89">
        <f ca="1">IF(BV11="c",RIGHT(INDIRECT(BC11),2),0)</f>
        <v>0</v>
      </c>
    </row>
    <row r="12" spans="1:76">
      <c r="A12" s="90" t="str">
        <f t="shared" ref="A12:A75" si="2">IF(MID(B12,3,2)="03",ROW(),"")</f>
        <v/>
      </c>
      <c r="B12" s="98">
        <v>1</v>
      </c>
      <c r="C12" s="94">
        <v>1</v>
      </c>
      <c r="D12" s="94">
        <v>2</v>
      </c>
      <c r="E12" s="94">
        <v>-1</v>
      </c>
      <c r="F12" s="94">
        <v>3</v>
      </c>
      <c r="G12" s="94">
        <v>-2</v>
      </c>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1">
        <f t="shared" ref="BA12:BA70" ca="1" si="3">IF(BA11=0,0,MIN(INDIRECT(BB12)))</f>
        <v>19</v>
      </c>
      <c r="BB12" s="88" t="str">
        <f t="shared" ref="BB12:BB70" ca="1" si="4">IF(BA11=0,"",CONCATENATE("A",BA11+1,":A",BB$10))</f>
        <v>A12:A1200</v>
      </c>
      <c r="BC12" s="89" t="str">
        <f t="shared" ref="BC12:BC70" ca="1" si="5">IF(BA12=0,0,CONCATENATE("B",BA12))</f>
        <v>B19</v>
      </c>
      <c r="BD12" s="89">
        <f ca="1">IF(BC12=0,0,RANK(BF12,$BF$11:$BF$70,0)+(COUNTIF($BF12:$BF$70,BF12)-1))</f>
        <v>34</v>
      </c>
      <c r="BE12" s="89" t="str">
        <f t="shared" ref="BE12:BE70" ca="1" si="6">IF(BC12=0,0,LEFT(INDIRECT(BC12),6))</f>
        <v>070301</v>
      </c>
      <c r="BF12" s="89">
        <f t="shared" ref="BF12:BF70" ca="1" si="7">VALUE(BW12)</f>
        <v>7030107</v>
      </c>
      <c r="BG12" s="89">
        <f t="shared" ref="BG12:BG70" ca="1" si="8">IF(BA12=0,0,VALUE(LEFT(BE12,2)))</f>
        <v>7</v>
      </c>
      <c r="BH12" s="89">
        <f t="shared" ref="BH12:BH70" ca="1" si="9">IF(BA12=0,0,VALUE(MID(BE12,5,2)))</f>
        <v>1</v>
      </c>
      <c r="BI12" s="89" t="str">
        <f t="shared" ref="BI12:BI70" ca="1" si="10">IF(BA12=0,0,CONCATENATE("B",BA12+BG12+1))</f>
        <v>B27</v>
      </c>
      <c r="BJ12" s="89">
        <f t="shared" ref="BJ12:BJ70" ca="1" si="11">IF(BA12=0,0,VALUE(MID(INDIRECT(BI12),4,2)))</f>
        <v>6</v>
      </c>
      <c r="BK12" s="89">
        <f t="shared" ref="BK12:BK70" ca="1" si="12">IF(BA12=0,0,VALUE(MID(INDIRECT(BI12),9,2)))</f>
        <v>7</v>
      </c>
      <c r="BL12" s="89">
        <f t="shared" ref="BL12:BL70" ca="1" si="13">IF(BA12=0,0,VALUE(MID(INDIRECT(BI12),14,3)))</f>
        <v>21</v>
      </c>
      <c r="BM12" s="89">
        <f t="shared" ref="BM12:BM70" ca="1" si="14">IF(BA12=0,0,2+BK12)</f>
        <v>9</v>
      </c>
      <c r="BN12" s="89" t="str">
        <f t="shared" ref="BN12:BN70" ca="1" si="15">IF(BA12=0,0,CONCATENATE("S3!B",BA12+1,":",HLOOKUP(BM12,$B$1:$AZ$2,2,FALSE),BA12+BG12))</f>
        <v>S3!B20:I26</v>
      </c>
      <c r="BO12" s="89" t="str">
        <f t="shared" ref="BO12:BO70" ca="1" si="16">IF(BA12=0,0,IF(BV12="c","c",IF(ISERROR(FIND("s",INDIRECT($BC12))),IF(ISERROR(FIND("e",INDIRECT($BC12))),"L","e"),"s")))</f>
        <v>s</v>
      </c>
      <c r="BP12" s="89" t="str">
        <f t="shared" ref="BP12:BP70" ca="1" si="17">IF(BA12=0,0,IF(ISERROR(FIND("b",INDIRECT($BC12))),IF(ISERROR(FIND("w",INDIRECT($BC12))),"","w"),"b"))</f>
        <v>b</v>
      </c>
      <c r="BQ12" s="89" t="str">
        <f t="shared" ref="BQ12:BQ70" ca="1" si="18">IF(BA12=0,0,IF(ISERROR(FIND("w",INDIRECT($BC12))),"","w"))</f>
        <v/>
      </c>
      <c r="BR12" s="87" t="str">
        <f t="shared" ref="BR12:BR70" ca="1" si="19">IF(BA12=0,0,IF(ISERROR(FIND("x",INDIRECT($BC12))),IF(ISERROR(FIND("E",INDIRECT($BC12))),"","E"),"x"))</f>
        <v/>
      </c>
      <c r="BS12" s="89" t="str">
        <f t="shared" ref="BS12:BS70" ca="1" si="20">IF(BA12=0,0,IF(ISERROR(FIND("a",INDIRECT($BC12))),"","a"))</f>
        <v/>
      </c>
      <c r="BT12" s="89" t="str">
        <f t="shared" ref="BT12:BT70" ca="1" si="21">IF(BA12=0,0,IF(ISERROR(FIND("E",INDIRECT($BC12))),"","E"))</f>
        <v/>
      </c>
      <c r="BU12" s="89" t="str">
        <f t="shared" ref="BU12:BU70" ca="1" si="22">IF(BA12=0,0,IF(ISERROR(FIND("X",INDIRECT($BC12))),"","X"))</f>
        <v/>
      </c>
      <c r="BV12" s="87" t="str">
        <f t="shared" ref="BV12:BV70" ca="1" si="23">IF(BA12=0,0,IF(ISERROR(FIND("c",INDIRECT($BC12))),"","c"))</f>
        <v/>
      </c>
      <c r="BW12" s="87" t="str">
        <f t="shared" ref="BW12:BW70" ca="1" si="24">CONCATENATE(BE12,IF(BK12&lt;10,"0",""),BK12)</f>
        <v>07030107</v>
      </c>
      <c r="BX12" s="89">
        <f t="shared" ref="BX12:BX70" ca="1" si="25">IF(BV12="c",RIGHT(INDIRECT(BC12),2),0)</f>
        <v>0</v>
      </c>
    </row>
    <row r="13" spans="1:76">
      <c r="A13" s="90" t="str">
        <f t="shared" si="2"/>
        <v/>
      </c>
      <c r="B13" s="98">
        <v>2</v>
      </c>
      <c r="C13" s="94">
        <v>-2</v>
      </c>
      <c r="D13" s="94">
        <v>1</v>
      </c>
      <c r="E13" s="94">
        <v>-3</v>
      </c>
      <c r="F13" s="94">
        <v>-1</v>
      </c>
      <c r="G13" s="94">
        <v>2</v>
      </c>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1">
        <f t="shared" ca="1" si="3"/>
        <v>28</v>
      </c>
      <c r="BB13" s="88" t="str">
        <f t="shared" ca="1" si="4"/>
        <v>A20:A1200</v>
      </c>
      <c r="BC13" s="89" t="str">
        <f t="shared" ca="1" si="5"/>
        <v>B28</v>
      </c>
      <c r="BD13" s="89">
        <f ca="1">IF(BC13=0,0,RANK(BF13,$BF$11:$BF$70,0)+(COUNTIF($BF13:$BF$70,BF13)-1))</f>
        <v>32</v>
      </c>
      <c r="BE13" s="89" t="str">
        <f t="shared" ca="1" si="6"/>
        <v>080301</v>
      </c>
      <c r="BF13" s="89">
        <f t="shared" ca="1" si="7"/>
        <v>8030114</v>
      </c>
      <c r="BG13" s="89">
        <f t="shared" ca="1" si="8"/>
        <v>8</v>
      </c>
      <c r="BH13" s="89">
        <f t="shared" ca="1" si="9"/>
        <v>1</v>
      </c>
      <c r="BI13" s="89" t="str">
        <f t="shared" ca="1" si="10"/>
        <v>B37</v>
      </c>
      <c r="BJ13" s="89">
        <f t="shared" ca="1" si="11"/>
        <v>7</v>
      </c>
      <c r="BK13" s="89">
        <f t="shared" ca="1" si="12"/>
        <v>14</v>
      </c>
      <c r="BL13" s="89">
        <f t="shared" ca="1" si="13"/>
        <v>28</v>
      </c>
      <c r="BM13" s="89">
        <f t="shared" ca="1" si="14"/>
        <v>16</v>
      </c>
      <c r="BN13" s="89" t="str">
        <f t="shared" ca="1" si="15"/>
        <v>S3!B29:P36</v>
      </c>
      <c r="BO13" s="89" t="str">
        <f t="shared" ca="1" si="16"/>
        <v>e</v>
      </c>
      <c r="BP13" s="89" t="str">
        <f t="shared" ca="1" si="17"/>
        <v/>
      </c>
      <c r="BQ13" s="89" t="str">
        <f t="shared" ca="1" si="18"/>
        <v/>
      </c>
      <c r="BR13" s="87" t="str">
        <f t="shared" ca="1" si="19"/>
        <v/>
      </c>
      <c r="BS13" s="89" t="str">
        <f t="shared" ca="1" si="20"/>
        <v/>
      </c>
      <c r="BT13" s="89" t="str">
        <f t="shared" ca="1" si="21"/>
        <v/>
      </c>
      <c r="BU13" s="89" t="str">
        <f t="shared" ca="1" si="22"/>
        <v/>
      </c>
      <c r="BV13" s="87" t="str">
        <f t="shared" ca="1" si="23"/>
        <v/>
      </c>
      <c r="BW13" s="87" t="str">
        <f t="shared" ca="1" si="24"/>
        <v>08030114</v>
      </c>
      <c r="BX13" s="89">
        <f t="shared" ca="1" si="25"/>
        <v>0</v>
      </c>
    </row>
    <row r="14" spans="1:76">
      <c r="A14" s="90" t="str">
        <f t="shared" si="2"/>
        <v/>
      </c>
      <c r="B14" s="98">
        <v>3</v>
      </c>
      <c r="C14" s="94">
        <v>3</v>
      </c>
      <c r="D14" s="94">
        <v>-1</v>
      </c>
      <c r="E14" s="94">
        <v>-2</v>
      </c>
      <c r="F14" s="94">
        <v>-3</v>
      </c>
      <c r="G14" s="94">
        <v>1</v>
      </c>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1">
        <f t="shared" ca="1" si="3"/>
        <v>38</v>
      </c>
      <c r="BB14" s="88" t="str">
        <f t="shared" ca="1" si="4"/>
        <v>A29:A1200</v>
      </c>
      <c r="BC14" s="89" t="str">
        <f t="shared" ca="1" si="5"/>
        <v>B38</v>
      </c>
      <c r="BD14" s="89">
        <f ca="1">IF(BC14=0,0,RANK(BF14,$BF$11:$BF$70,0)+(COUNTIF($BF14:$BF$70,BF14)-1))</f>
        <v>29</v>
      </c>
      <c r="BE14" s="89" t="str">
        <f t="shared" ca="1" si="6"/>
        <v>090301</v>
      </c>
      <c r="BF14" s="89">
        <f t="shared" ca="1" si="7"/>
        <v>9030118</v>
      </c>
      <c r="BG14" s="89">
        <f t="shared" ca="1" si="8"/>
        <v>9</v>
      </c>
      <c r="BH14" s="89">
        <f t="shared" ca="1" si="9"/>
        <v>1</v>
      </c>
      <c r="BI14" s="89" t="str">
        <f t="shared" ca="1" si="10"/>
        <v>B48</v>
      </c>
      <c r="BJ14" s="89">
        <f t="shared" ca="1" si="11"/>
        <v>8</v>
      </c>
      <c r="BK14" s="89">
        <f t="shared" ca="1" si="12"/>
        <v>18</v>
      </c>
      <c r="BL14" s="89">
        <f t="shared" ca="1" si="13"/>
        <v>36</v>
      </c>
      <c r="BM14" s="89">
        <f t="shared" ca="1" si="14"/>
        <v>20</v>
      </c>
      <c r="BN14" s="89" t="str">
        <f t="shared" ca="1" si="15"/>
        <v>S3!B39:T47</v>
      </c>
      <c r="BO14" s="89" t="str">
        <f t="shared" ca="1" si="16"/>
        <v>e</v>
      </c>
      <c r="BP14" s="89" t="str">
        <f t="shared" ca="1" si="17"/>
        <v>b</v>
      </c>
      <c r="BQ14" s="89" t="str">
        <f t="shared" ca="1" si="18"/>
        <v/>
      </c>
      <c r="BR14" s="87" t="str">
        <f t="shared" ca="1" si="19"/>
        <v/>
      </c>
      <c r="BS14" s="89" t="str">
        <f t="shared" ca="1" si="20"/>
        <v/>
      </c>
      <c r="BT14" s="89" t="str">
        <f t="shared" ca="1" si="21"/>
        <v/>
      </c>
      <c r="BU14" s="89" t="str">
        <f t="shared" ca="1" si="22"/>
        <v/>
      </c>
      <c r="BV14" s="87" t="str">
        <f t="shared" ca="1" si="23"/>
        <v/>
      </c>
      <c r="BW14" s="87" t="str">
        <f t="shared" ca="1" si="24"/>
        <v>09030118</v>
      </c>
      <c r="BX14" s="89">
        <f t="shared" ca="1" si="25"/>
        <v>0</v>
      </c>
    </row>
    <row r="15" spans="1:76">
      <c r="A15" s="90" t="str">
        <f t="shared" si="2"/>
        <v/>
      </c>
      <c r="B15" s="98">
        <v>4</v>
      </c>
      <c r="C15" s="94">
        <v>2</v>
      </c>
      <c r="D15" s="94">
        <v>3</v>
      </c>
      <c r="E15" s="94">
        <v>1</v>
      </c>
      <c r="F15" s="94">
        <v>-2</v>
      </c>
      <c r="G15" s="94">
        <v>-1</v>
      </c>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1">
        <f t="shared" ca="1" si="3"/>
        <v>49</v>
      </c>
      <c r="BB15" s="88" t="str">
        <f t="shared" ca="1" si="4"/>
        <v>A39:A1200</v>
      </c>
      <c r="BC15" s="89" t="str">
        <f t="shared" ca="1" si="5"/>
        <v>B49</v>
      </c>
      <c r="BD15" s="89">
        <f ca="1">IF(BC15=0,0,RANK(BF15,$BF$11:$BF$70,0)+(COUNTIF($BF15:$BF$70,BF15)-1))</f>
        <v>28</v>
      </c>
      <c r="BE15" s="89" t="str">
        <f t="shared" ca="1" si="6"/>
        <v>100301</v>
      </c>
      <c r="BF15" s="89">
        <f t="shared" ca="1" si="7"/>
        <v>10030118</v>
      </c>
      <c r="BG15" s="89">
        <f t="shared" ca="1" si="8"/>
        <v>10</v>
      </c>
      <c r="BH15" s="89">
        <f t="shared" ca="1" si="9"/>
        <v>1</v>
      </c>
      <c r="BI15" s="89" t="str">
        <f t="shared" ca="1" si="10"/>
        <v>B60</v>
      </c>
      <c r="BJ15" s="89">
        <f t="shared" ca="1" si="11"/>
        <v>9</v>
      </c>
      <c r="BK15" s="89">
        <f t="shared" ca="1" si="12"/>
        <v>18</v>
      </c>
      <c r="BL15" s="89">
        <f t="shared" ca="1" si="13"/>
        <v>45</v>
      </c>
      <c r="BM15" s="89">
        <f t="shared" ca="1" si="14"/>
        <v>20</v>
      </c>
      <c r="BN15" s="89" t="str">
        <f t="shared" ca="1" si="15"/>
        <v>S3!B50:T59</v>
      </c>
      <c r="BO15" s="89" t="str">
        <f t="shared" ca="1" si="16"/>
        <v>e</v>
      </c>
      <c r="BP15" s="89" t="str">
        <f t="shared" ca="1" si="17"/>
        <v/>
      </c>
      <c r="BQ15" s="89" t="str">
        <f t="shared" ca="1" si="18"/>
        <v/>
      </c>
      <c r="BR15" s="87" t="str">
        <f t="shared" ca="1" si="19"/>
        <v/>
      </c>
      <c r="BS15" s="89" t="str">
        <f t="shared" ca="1" si="20"/>
        <v/>
      </c>
      <c r="BT15" s="89" t="str">
        <f t="shared" ca="1" si="21"/>
        <v/>
      </c>
      <c r="BU15" s="89" t="str">
        <f t="shared" ca="1" si="22"/>
        <v/>
      </c>
      <c r="BV15" s="87" t="str">
        <f t="shared" ca="1" si="23"/>
        <v/>
      </c>
      <c r="BW15" s="87" t="str">
        <f t="shared" ca="1" si="24"/>
        <v>10030118</v>
      </c>
      <c r="BX15" s="89">
        <f t="shared" ca="1" si="25"/>
        <v>0</v>
      </c>
    </row>
    <row r="16" spans="1:76">
      <c r="A16" s="90" t="str">
        <f t="shared" si="2"/>
        <v/>
      </c>
      <c r="B16" s="98">
        <v>5</v>
      </c>
      <c r="C16" s="94">
        <v>-3</v>
      </c>
      <c r="D16" s="94">
        <v>-2</v>
      </c>
      <c r="E16" s="94">
        <v>3</v>
      </c>
      <c r="F16" s="94">
        <v>2</v>
      </c>
      <c r="G16" s="94">
        <v>-3</v>
      </c>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1">
        <f t="shared" ca="1" si="3"/>
        <v>61</v>
      </c>
      <c r="BB16" s="88" t="str">
        <f t="shared" ca="1" si="4"/>
        <v>A50:A1200</v>
      </c>
      <c r="BC16" s="89" t="str">
        <f t="shared" ca="1" si="5"/>
        <v>B61</v>
      </c>
      <c r="BD16" s="89">
        <f ca="1">IF(BC16=0,0,RANK(BF16,$BF$11:$BF$70,0)+(COUNTIF($BF16:$BF$70,BF16)-1))</f>
        <v>26</v>
      </c>
      <c r="BE16" s="89" t="str">
        <f t="shared" ca="1" si="6"/>
        <v>100302</v>
      </c>
      <c r="BF16" s="89">
        <f t="shared" ca="1" si="7"/>
        <v>10030210</v>
      </c>
      <c r="BG16" s="89">
        <f t="shared" ca="1" si="8"/>
        <v>10</v>
      </c>
      <c r="BH16" s="89">
        <f t="shared" ca="1" si="9"/>
        <v>2</v>
      </c>
      <c r="BI16" s="89" t="str">
        <f t="shared" ca="1" si="10"/>
        <v>B72</v>
      </c>
      <c r="BJ16" s="89">
        <f t="shared" ca="1" si="11"/>
        <v>5</v>
      </c>
      <c r="BK16" s="89">
        <f t="shared" ca="1" si="12"/>
        <v>10</v>
      </c>
      <c r="BL16" s="89">
        <f t="shared" ca="1" si="13"/>
        <v>25</v>
      </c>
      <c r="BM16" s="89">
        <f t="shared" ca="1" si="14"/>
        <v>12</v>
      </c>
      <c r="BN16" s="89" t="str">
        <f t="shared" ca="1" si="15"/>
        <v>S3!B62:L71</v>
      </c>
      <c r="BO16" s="89" t="str">
        <f t="shared" ca="1" si="16"/>
        <v>e</v>
      </c>
      <c r="BP16" s="89" t="str">
        <f t="shared" ca="1" si="17"/>
        <v/>
      </c>
      <c r="BQ16" s="89" t="str">
        <f t="shared" ca="1" si="18"/>
        <v/>
      </c>
      <c r="BR16" s="87" t="str">
        <f t="shared" ca="1" si="19"/>
        <v>x</v>
      </c>
      <c r="BS16" s="89" t="str">
        <f t="shared" ca="1" si="20"/>
        <v/>
      </c>
      <c r="BT16" s="89" t="str">
        <f t="shared" ca="1" si="21"/>
        <v/>
      </c>
      <c r="BU16" s="89" t="str">
        <f t="shared" ca="1" si="22"/>
        <v/>
      </c>
      <c r="BV16" s="87" t="str">
        <f t="shared" ca="1" si="23"/>
        <v/>
      </c>
      <c r="BW16" s="87" t="str">
        <f t="shared" ca="1" si="24"/>
        <v>10030210</v>
      </c>
      <c r="BX16" s="89">
        <f t="shared" ca="1" si="25"/>
        <v>0</v>
      </c>
    </row>
    <row r="17" spans="1:76">
      <c r="A17" s="90" t="str">
        <f t="shared" si="2"/>
        <v/>
      </c>
      <c r="B17" s="98">
        <v>6</v>
      </c>
      <c r="C17" s="94">
        <v>-1</v>
      </c>
      <c r="D17" s="94">
        <v>-3</v>
      </c>
      <c r="E17" s="94">
        <v>2</v>
      </c>
      <c r="F17" s="94">
        <v>1</v>
      </c>
      <c r="G17" s="94">
        <v>3</v>
      </c>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1">
        <f t="shared" ca="1" si="3"/>
        <v>73</v>
      </c>
      <c r="BB17" s="88" t="str">
        <f t="shared" ca="1" si="4"/>
        <v>A62:A1200</v>
      </c>
      <c r="BC17" s="89" t="str">
        <f t="shared" ca="1" si="5"/>
        <v>B73</v>
      </c>
      <c r="BD17" s="89">
        <f ca="1">IF(BC17=0,0,RANK(BF17,$BF$11:$BF$70,0)+(COUNTIF($BF17:$BF$70,BF17)-1))</f>
        <v>24</v>
      </c>
      <c r="BE17" s="89" t="str">
        <f t="shared" ca="1" si="6"/>
        <v>110301</v>
      </c>
      <c r="BF17" s="89">
        <f t="shared" ca="1" si="7"/>
        <v>11030122</v>
      </c>
      <c r="BG17" s="89">
        <f t="shared" ca="1" si="8"/>
        <v>11</v>
      </c>
      <c r="BH17" s="89">
        <f t="shared" ca="1" si="9"/>
        <v>1</v>
      </c>
      <c r="BI17" s="89" t="str">
        <f t="shared" ca="1" si="10"/>
        <v>B85</v>
      </c>
      <c r="BJ17" s="89">
        <f t="shared" ca="1" si="11"/>
        <v>10</v>
      </c>
      <c r="BK17" s="89">
        <f t="shared" ca="1" si="12"/>
        <v>22</v>
      </c>
      <c r="BL17" s="89">
        <f t="shared" ca="1" si="13"/>
        <v>55</v>
      </c>
      <c r="BM17" s="89">
        <f t="shared" ca="1" si="14"/>
        <v>24</v>
      </c>
      <c r="BN17" s="89" t="str">
        <f t="shared" ca="1" si="15"/>
        <v>S3!B74:X84</v>
      </c>
      <c r="BO17" s="89" t="str">
        <f t="shared" ca="1" si="16"/>
        <v>e</v>
      </c>
      <c r="BP17" s="89" t="str">
        <f t="shared" ca="1" si="17"/>
        <v>b</v>
      </c>
      <c r="BQ17" s="89" t="str">
        <f t="shared" ca="1" si="18"/>
        <v/>
      </c>
      <c r="BR17" s="87" t="str">
        <f t="shared" ca="1" si="19"/>
        <v/>
      </c>
      <c r="BS17" s="89" t="str">
        <f t="shared" ca="1" si="20"/>
        <v/>
      </c>
      <c r="BT17" s="89" t="str">
        <f t="shared" ca="1" si="21"/>
        <v/>
      </c>
      <c r="BU17" s="89" t="str">
        <f t="shared" ca="1" si="22"/>
        <v/>
      </c>
      <c r="BV17" s="87" t="str">
        <f t="shared" ca="1" si="23"/>
        <v/>
      </c>
      <c r="BW17" s="87" t="str">
        <f t="shared" ca="1" si="24"/>
        <v>11030122</v>
      </c>
      <c r="BX17" s="89">
        <f t="shared" ca="1" si="25"/>
        <v>0</v>
      </c>
    </row>
    <row r="18" spans="1:76">
      <c r="A18" s="90" t="str">
        <f t="shared" si="2"/>
        <v/>
      </c>
      <c r="B18" s="98" t="s">
        <v>233</v>
      </c>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1">
        <f t="shared" ca="1" si="3"/>
        <v>86</v>
      </c>
      <c r="BB18" s="88" t="str">
        <f t="shared" ca="1" si="4"/>
        <v>A74:A1200</v>
      </c>
      <c r="BC18" s="89" t="str">
        <f t="shared" ca="1" si="5"/>
        <v>B86</v>
      </c>
      <c r="BD18" s="89">
        <f ca="1">IF(BC18=0,0,RANK(BF18,$BF$11:$BF$70,0)+(COUNTIF($BF18:$BF$70,BF18)-1))</f>
        <v>23</v>
      </c>
      <c r="BE18" s="89" t="str">
        <f t="shared" ca="1" si="6"/>
        <v>110302</v>
      </c>
      <c r="BF18" s="89">
        <f t="shared" ca="1" si="7"/>
        <v>11030210</v>
      </c>
      <c r="BG18" s="89">
        <f t="shared" ca="1" si="8"/>
        <v>11</v>
      </c>
      <c r="BH18" s="89">
        <f t="shared" ca="1" si="9"/>
        <v>2</v>
      </c>
      <c r="BI18" s="89" t="str">
        <f t="shared" ca="1" si="10"/>
        <v>B98</v>
      </c>
      <c r="BJ18" s="89">
        <f t="shared" ca="1" si="11"/>
        <v>5</v>
      </c>
      <c r="BK18" s="89">
        <f t="shared" ca="1" si="12"/>
        <v>10</v>
      </c>
      <c r="BL18" s="89">
        <f t="shared" ca="1" si="13"/>
        <v>25</v>
      </c>
      <c r="BM18" s="89">
        <f t="shared" ca="1" si="14"/>
        <v>12</v>
      </c>
      <c r="BN18" s="89" t="str">
        <f t="shared" ca="1" si="15"/>
        <v>S3!B87:L97</v>
      </c>
      <c r="BO18" s="89" t="str">
        <f t="shared" ca="1" si="16"/>
        <v>e</v>
      </c>
      <c r="BP18" s="89" t="str">
        <f t="shared" ca="1" si="17"/>
        <v>w</v>
      </c>
      <c r="BQ18" s="89" t="str">
        <f t="shared" ca="1" si="18"/>
        <v>w</v>
      </c>
      <c r="BR18" s="87" t="str">
        <f t="shared" ca="1" si="19"/>
        <v/>
      </c>
      <c r="BS18" s="89" t="str">
        <f t="shared" ca="1" si="20"/>
        <v/>
      </c>
      <c r="BT18" s="89" t="str">
        <f t="shared" ca="1" si="21"/>
        <v/>
      </c>
      <c r="BU18" s="89" t="str">
        <f t="shared" ca="1" si="22"/>
        <v/>
      </c>
      <c r="BV18" s="87" t="str">
        <f t="shared" ca="1" si="23"/>
        <v/>
      </c>
      <c r="BW18" s="87" t="str">
        <f t="shared" ca="1" si="24"/>
        <v>11030210</v>
      </c>
      <c r="BX18" s="89">
        <f t="shared" ca="1" si="25"/>
        <v>0</v>
      </c>
    </row>
    <row r="19" spans="1:76">
      <c r="A19" s="90">
        <f t="shared" si="2"/>
        <v>19</v>
      </c>
      <c r="B19" s="98" t="s">
        <v>234</v>
      </c>
      <c r="C19" s="94"/>
      <c r="D19" s="94"/>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1">
        <f t="shared" ca="1" si="3"/>
        <v>99</v>
      </c>
      <c r="BB19" s="88" t="str">
        <f t="shared" ca="1" si="4"/>
        <v>A87:A1200</v>
      </c>
      <c r="BC19" s="89" t="str">
        <f t="shared" ca="1" si="5"/>
        <v>B99</v>
      </c>
      <c r="BD19" s="89">
        <f ca="1">IF(BC19=0,0,RANK(BF19,$BF$11:$BF$70,0)+(COUNTIF($BF19:$BF$70,BF19)-1))</f>
        <v>22</v>
      </c>
      <c r="BE19" s="89" t="str">
        <f t="shared" ca="1" si="6"/>
        <v>120301</v>
      </c>
      <c r="BF19" s="89">
        <f t="shared" ca="1" si="7"/>
        <v>12030122</v>
      </c>
      <c r="BG19" s="89">
        <f t="shared" ca="1" si="8"/>
        <v>12</v>
      </c>
      <c r="BH19" s="89">
        <f t="shared" ca="1" si="9"/>
        <v>1</v>
      </c>
      <c r="BI19" s="89" t="str">
        <f t="shared" ca="1" si="10"/>
        <v>B112</v>
      </c>
      <c r="BJ19" s="89">
        <f t="shared" ca="1" si="11"/>
        <v>11</v>
      </c>
      <c r="BK19" s="89">
        <f t="shared" ca="1" si="12"/>
        <v>22</v>
      </c>
      <c r="BL19" s="89">
        <f t="shared" ca="1" si="13"/>
        <v>66</v>
      </c>
      <c r="BM19" s="89">
        <f t="shared" ca="1" si="14"/>
        <v>24</v>
      </c>
      <c r="BN19" s="89" t="str">
        <f t="shared" ca="1" si="15"/>
        <v>S3!B100:X111</v>
      </c>
      <c r="BO19" s="89" t="str">
        <f t="shared" ca="1" si="16"/>
        <v>e</v>
      </c>
      <c r="BP19" s="89" t="str">
        <f t="shared" ca="1" si="17"/>
        <v/>
      </c>
      <c r="BQ19" s="89" t="str">
        <f t="shared" ca="1" si="18"/>
        <v/>
      </c>
      <c r="BR19" s="87" t="str">
        <f t="shared" ca="1" si="19"/>
        <v/>
      </c>
      <c r="BS19" s="89" t="str">
        <f t="shared" ca="1" si="20"/>
        <v/>
      </c>
      <c r="BT19" s="89" t="str">
        <f t="shared" ca="1" si="21"/>
        <v/>
      </c>
      <c r="BU19" s="89" t="str">
        <f t="shared" ca="1" si="22"/>
        <v/>
      </c>
      <c r="BV19" s="87" t="str">
        <f t="shared" ca="1" si="23"/>
        <v/>
      </c>
      <c r="BW19" s="87" t="str">
        <f t="shared" ca="1" si="24"/>
        <v>12030122</v>
      </c>
      <c r="BX19" s="89">
        <f t="shared" ca="1" si="25"/>
        <v>0</v>
      </c>
    </row>
    <row r="20" spans="1:76">
      <c r="A20" s="90" t="str">
        <f t="shared" si="2"/>
        <v/>
      </c>
      <c r="B20" s="98">
        <v>1</v>
      </c>
      <c r="C20" s="94" t="s">
        <v>202</v>
      </c>
      <c r="D20" s="94">
        <v>3</v>
      </c>
      <c r="E20" s="94">
        <v>-2</v>
      </c>
      <c r="F20" s="94">
        <v>-1</v>
      </c>
      <c r="G20" s="94">
        <v>-3</v>
      </c>
      <c r="H20" s="94">
        <v>1</v>
      </c>
      <c r="I20" s="94">
        <v>2</v>
      </c>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1">
        <f t="shared" ca="1" si="3"/>
        <v>113</v>
      </c>
      <c r="BB20" s="88" t="str">
        <f t="shared" ca="1" si="4"/>
        <v>A100:A1200</v>
      </c>
      <c r="BC20" s="89" t="str">
        <f t="shared" ca="1" si="5"/>
        <v>B113</v>
      </c>
      <c r="BD20" s="89">
        <f ca="1">IF(BC20=0,0,RANK(BF20,$BF$11:$BF$70,0)+(COUNTIF($BF20:$BF$70,BF20)-1))</f>
        <v>21</v>
      </c>
      <c r="BE20" s="89" t="str">
        <f t="shared" ca="1" si="6"/>
        <v>120302</v>
      </c>
      <c r="BF20" s="89">
        <f t="shared" ca="1" si="7"/>
        <v>12030210</v>
      </c>
      <c r="BG20" s="89">
        <f t="shared" ca="1" si="8"/>
        <v>12</v>
      </c>
      <c r="BH20" s="89">
        <f t="shared" ca="1" si="9"/>
        <v>2</v>
      </c>
      <c r="BI20" s="89" t="str">
        <f t="shared" ca="1" si="10"/>
        <v>B126</v>
      </c>
      <c r="BJ20" s="89">
        <f t="shared" ca="1" si="11"/>
        <v>5</v>
      </c>
      <c r="BK20" s="89">
        <f t="shared" ca="1" si="12"/>
        <v>10</v>
      </c>
      <c r="BL20" s="89">
        <f t="shared" ca="1" si="13"/>
        <v>30</v>
      </c>
      <c r="BM20" s="89">
        <f t="shared" ca="1" si="14"/>
        <v>12</v>
      </c>
      <c r="BN20" s="89" t="str">
        <f t="shared" ca="1" si="15"/>
        <v>S3!B114:L125</v>
      </c>
      <c r="BO20" s="89" t="str">
        <f t="shared" ca="1" si="16"/>
        <v>e</v>
      </c>
      <c r="BP20" s="89" t="str">
        <f t="shared" ca="1" si="17"/>
        <v/>
      </c>
      <c r="BQ20" s="89" t="str">
        <f t="shared" ca="1" si="18"/>
        <v/>
      </c>
      <c r="BR20" s="87" t="str">
        <f t="shared" ca="1" si="19"/>
        <v/>
      </c>
      <c r="BS20" s="89" t="str">
        <f t="shared" ca="1" si="20"/>
        <v/>
      </c>
      <c r="BT20" s="89" t="str">
        <f t="shared" ca="1" si="21"/>
        <v/>
      </c>
      <c r="BU20" s="89" t="str">
        <f t="shared" ca="1" si="22"/>
        <v/>
      </c>
      <c r="BV20" s="87" t="str">
        <f t="shared" ca="1" si="23"/>
        <v/>
      </c>
      <c r="BW20" s="87" t="str">
        <f t="shared" ca="1" si="24"/>
        <v>12030210</v>
      </c>
      <c r="BX20" s="89">
        <f t="shared" ca="1" si="25"/>
        <v>0</v>
      </c>
    </row>
    <row r="21" spans="1:76">
      <c r="A21" s="90" t="str">
        <f t="shared" si="2"/>
        <v/>
      </c>
      <c r="B21" s="98">
        <v>2</v>
      </c>
      <c r="C21" s="94">
        <v>2</v>
      </c>
      <c r="D21" s="94" t="s">
        <v>202</v>
      </c>
      <c r="E21" s="94">
        <v>1</v>
      </c>
      <c r="F21" s="94">
        <v>3</v>
      </c>
      <c r="G21" s="94">
        <v>-1</v>
      </c>
      <c r="H21" s="94">
        <v>-3</v>
      </c>
      <c r="I21" s="94">
        <v>-2</v>
      </c>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1">
        <f t="shared" ca="1" si="3"/>
        <v>127</v>
      </c>
      <c r="BB21" s="88" t="str">
        <f t="shared" ca="1" si="4"/>
        <v>A114:A1200</v>
      </c>
      <c r="BC21" s="89" t="str">
        <f t="shared" ca="1" si="5"/>
        <v>B127</v>
      </c>
      <c r="BD21" s="89">
        <f ca="1">IF(BC21=0,0,RANK(BF21,$BF$11:$BF$70,0)+(COUNTIF($BF21:$BF$70,BF21)-1))</f>
        <v>20</v>
      </c>
      <c r="BE21" s="89" t="str">
        <f t="shared" ca="1" si="6"/>
        <v>120303</v>
      </c>
      <c r="BF21" s="89">
        <f t="shared" ca="1" si="7"/>
        <v>12030306</v>
      </c>
      <c r="BG21" s="89">
        <f t="shared" ca="1" si="8"/>
        <v>12</v>
      </c>
      <c r="BH21" s="89">
        <f t="shared" ca="1" si="9"/>
        <v>3</v>
      </c>
      <c r="BI21" s="89" t="str">
        <f t="shared" ca="1" si="10"/>
        <v>B140</v>
      </c>
      <c r="BJ21" s="89">
        <f t="shared" ca="1" si="11"/>
        <v>3</v>
      </c>
      <c r="BK21" s="89">
        <f t="shared" ca="1" si="12"/>
        <v>6</v>
      </c>
      <c r="BL21" s="89">
        <f t="shared" ca="1" si="13"/>
        <v>18</v>
      </c>
      <c r="BM21" s="89">
        <f t="shared" ca="1" si="14"/>
        <v>8</v>
      </c>
      <c r="BN21" s="89" t="str">
        <f t="shared" ca="1" si="15"/>
        <v>S3!B128:H139</v>
      </c>
      <c r="BO21" s="89" t="str">
        <f t="shared" ca="1" si="16"/>
        <v>e</v>
      </c>
      <c r="BP21" s="89" t="str">
        <f t="shared" ca="1" si="17"/>
        <v/>
      </c>
      <c r="BQ21" s="89" t="str">
        <f t="shared" ca="1" si="18"/>
        <v/>
      </c>
      <c r="BR21" s="87" t="str">
        <f t="shared" ca="1" si="19"/>
        <v/>
      </c>
      <c r="BS21" s="89" t="str">
        <f t="shared" ca="1" si="20"/>
        <v/>
      </c>
      <c r="BT21" s="89" t="str">
        <f t="shared" ca="1" si="21"/>
        <v/>
      </c>
      <c r="BU21" s="89" t="str">
        <f t="shared" ca="1" si="22"/>
        <v/>
      </c>
      <c r="BV21" s="87" t="str">
        <f t="shared" ca="1" si="23"/>
        <v/>
      </c>
      <c r="BW21" s="87" t="str">
        <f t="shared" ca="1" si="24"/>
        <v>12030306</v>
      </c>
      <c r="BX21" s="89">
        <f t="shared" ca="1" si="25"/>
        <v>0</v>
      </c>
    </row>
    <row r="22" spans="1:76">
      <c r="A22" s="90" t="str">
        <f t="shared" si="2"/>
        <v/>
      </c>
      <c r="B22" s="98">
        <v>3</v>
      </c>
      <c r="C22" s="94">
        <v>-3</v>
      </c>
      <c r="D22" s="94">
        <v>2</v>
      </c>
      <c r="E22" s="94">
        <v>-1</v>
      </c>
      <c r="F22" s="94" t="s">
        <v>202</v>
      </c>
      <c r="G22" s="94">
        <v>3</v>
      </c>
      <c r="H22" s="94">
        <v>-2</v>
      </c>
      <c r="I22" s="94">
        <v>3</v>
      </c>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1">
        <f t="shared" ca="1" si="3"/>
        <v>141</v>
      </c>
      <c r="BB22" s="88" t="str">
        <f t="shared" ca="1" si="4"/>
        <v>A128:A1200</v>
      </c>
      <c r="BC22" s="89" t="str">
        <f t="shared" ca="1" si="5"/>
        <v>B141</v>
      </c>
      <c r="BD22" s="89">
        <f ca="1">IF(BC22=0,0,RANK(BF22,$BF$11:$BF$70,0)+(COUNTIF($BF22:$BF$70,BF22)-1))</f>
        <v>16</v>
      </c>
      <c r="BE22" s="89" t="str">
        <f t="shared" ca="1" si="6"/>
        <v>130302</v>
      </c>
      <c r="BF22" s="89">
        <f t="shared" ca="1" si="7"/>
        <v>13030213</v>
      </c>
      <c r="BG22" s="89">
        <f t="shared" ca="1" si="8"/>
        <v>13</v>
      </c>
      <c r="BH22" s="89">
        <f t="shared" ca="1" si="9"/>
        <v>2</v>
      </c>
      <c r="BI22" s="89" t="str">
        <f t="shared" ca="1" si="10"/>
        <v>B155</v>
      </c>
      <c r="BJ22" s="89">
        <f t="shared" ca="1" si="11"/>
        <v>6</v>
      </c>
      <c r="BK22" s="89">
        <f t="shared" ca="1" si="12"/>
        <v>13</v>
      </c>
      <c r="BL22" s="89">
        <f t="shared" ca="1" si="13"/>
        <v>39</v>
      </c>
      <c r="BM22" s="89">
        <f t="shared" ca="1" si="14"/>
        <v>15</v>
      </c>
      <c r="BN22" s="89" t="str">
        <f t="shared" ca="1" si="15"/>
        <v>S3!B142:O154</v>
      </c>
      <c r="BO22" s="89" t="str">
        <f t="shared" ca="1" si="16"/>
        <v>e</v>
      </c>
      <c r="BP22" s="89" t="str">
        <f t="shared" ca="1" si="17"/>
        <v>b</v>
      </c>
      <c r="BQ22" s="89" t="str">
        <f t="shared" ca="1" si="18"/>
        <v/>
      </c>
      <c r="BR22" s="87" t="str">
        <f t="shared" ca="1" si="19"/>
        <v/>
      </c>
      <c r="BS22" s="89" t="str">
        <f t="shared" ca="1" si="20"/>
        <v>a</v>
      </c>
      <c r="BT22" s="89" t="str">
        <f t="shared" ca="1" si="21"/>
        <v/>
      </c>
      <c r="BU22" s="89" t="str">
        <f t="shared" ca="1" si="22"/>
        <v/>
      </c>
      <c r="BV22" s="87" t="str">
        <f t="shared" ca="1" si="23"/>
        <v/>
      </c>
      <c r="BW22" s="87" t="str">
        <f t="shared" ca="1" si="24"/>
        <v>13030213</v>
      </c>
      <c r="BX22" s="89">
        <f t="shared" ca="1" si="25"/>
        <v>0</v>
      </c>
    </row>
    <row r="23" spans="1:76">
      <c r="A23" s="90" t="str">
        <f t="shared" si="2"/>
        <v/>
      </c>
      <c r="B23" s="98">
        <v>4</v>
      </c>
      <c r="C23" s="94">
        <v>-2</v>
      </c>
      <c r="D23" s="94">
        <v>1</v>
      </c>
      <c r="E23" s="94">
        <v>3</v>
      </c>
      <c r="F23" s="94">
        <v>2</v>
      </c>
      <c r="G23" s="94" t="s">
        <v>202</v>
      </c>
      <c r="H23" s="94">
        <v>-1</v>
      </c>
      <c r="I23" s="94">
        <v>-3</v>
      </c>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1">
        <f t="shared" ca="1" si="3"/>
        <v>156</v>
      </c>
      <c r="BB23" s="88" t="str">
        <f t="shared" ca="1" si="4"/>
        <v>A142:A1200</v>
      </c>
      <c r="BC23" s="89" t="str">
        <f t="shared" ca="1" si="5"/>
        <v>B156</v>
      </c>
      <c r="BD23" s="89">
        <f ca="1">IF(BC23=0,0,RANK(BF23,$BF$11:$BF$70,0)+(COUNTIF($BF23:$BF$70,BF23)-1))</f>
        <v>15</v>
      </c>
      <c r="BE23" s="89" t="str">
        <f t="shared" ca="1" si="6"/>
        <v>130303</v>
      </c>
      <c r="BF23" s="89">
        <f t="shared" ca="1" si="7"/>
        <v>13030309</v>
      </c>
      <c r="BG23" s="89">
        <f t="shared" ca="1" si="8"/>
        <v>13</v>
      </c>
      <c r="BH23" s="89">
        <f t="shared" ca="1" si="9"/>
        <v>3</v>
      </c>
      <c r="BI23" s="89" t="str">
        <f t="shared" ca="1" si="10"/>
        <v>B170</v>
      </c>
      <c r="BJ23" s="89">
        <f t="shared" ca="1" si="11"/>
        <v>4</v>
      </c>
      <c r="BK23" s="89">
        <f t="shared" ca="1" si="12"/>
        <v>9</v>
      </c>
      <c r="BL23" s="89">
        <f t="shared" ca="1" si="13"/>
        <v>26</v>
      </c>
      <c r="BM23" s="89">
        <f t="shared" ca="1" si="14"/>
        <v>11</v>
      </c>
      <c r="BN23" s="89" t="str">
        <f t="shared" ca="1" si="15"/>
        <v>S3!B157:K169</v>
      </c>
      <c r="BO23" s="89" t="str">
        <f t="shared" ca="1" si="16"/>
        <v>e</v>
      </c>
      <c r="BP23" s="89" t="str">
        <f t="shared" ca="1" si="17"/>
        <v>b</v>
      </c>
      <c r="BQ23" s="89" t="str">
        <f t="shared" ca="1" si="18"/>
        <v/>
      </c>
      <c r="BR23" s="87" t="str">
        <f t="shared" ca="1" si="19"/>
        <v/>
      </c>
      <c r="BS23" s="89" t="str">
        <f t="shared" ca="1" si="20"/>
        <v>a</v>
      </c>
      <c r="BT23" s="89" t="str">
        <f t="shared" ca="1" si="21"/>
        <v/>
      </c>
      <c r="BU23" s="89" t="str">
        <f t="shared" ca="1" si="22"/>
        <v/>
      </c>
      <c r="BV23" s="87" t="str">
        <f t="shared" ca="1" si="23"/>
        <v/>
      </c>
      <c r="BW23" s="87" t="str">
        <f t="shared" ca="1" si="24"/>
        <v>13030309</v>
      </c>
      <c r="BX23" s="89">
        <f t="shared" ca="1" si="25"/>
        <v>0</v>
      </c>
    </row>
    <row r="24" spans="1:76">
      <c r="A24" s="90" t="str">
        <f t="shared" si="2"/>
        <v/>
      </c>
      <c r="B24" s="98">
        <v>5</v>
      </c>
      <c r="C24" s="94">
        <v>1</v>
      </c>
      <c r="D24" s="94">
        <v>-3</v>
      </c>
      <c r="E24" s="94" t="s">
        <v>202</v>
      </c>
      <c r="F24" s="94">
        <v>-2</v>
      </c>
      <c r="G24" s="94">
        <v>1</v>
      </c>
      <c r="H24" s="94">
        <v>2</v>
      </c>
      <c r="I24" s="94">
        <v>-1</v>
      </c>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1">
        <f t="shared" ca="1" si="3"/>
        <v>171</v>
      </c>
      <c r="BB24" s="88" t="str">
        <f t="shared" ca="1" si="4"/>
        <v>A157:A1200</v>
      </c>
      <c r="BC24" s="89" t="str">
        <f t="shared" ca="1" si="5"/>
        <v>B171</v>
      </c>
      <c r="BD24" s="89">
        <f ca="1">IF(BC24=0,0,RANK(BF24,$BF$11:$BF$70,0)+(COUNTIF($BF24:$BF$70,BF24)-1))</f>
        <v>14</v>
      </c>
      <c r="BE24" s="89" t="str">
        <f t="shared" ca="1" si="6"/>
        <v>140302</v>
      </c>
      <c r="BF24" s="89">
        <f t="shared" ca="1" si="7"/>
        <v>14030214</v>
      </c>
      <c r="BG24" s="89">
        <f t="shared" ca="1" si="8"/>
        <v>14</v>
      </c>
      <c r="BH24" s="89">
        <f t="shared" ca="1" si="9"/>
        <v>2</v>
      </c>
      <c r="BI24" s="89" t="str">
        <f t="shared" ca="1" si="10"/>
        <v>B186</v>
      </c>
      <c r="BJ24" s="89">
        <f t="shared" ca="1" si="11"/>
        <v>6</v>
      </c>
      <c r="BK24" s="89">
        <f t="shared" ca="1" si="12"/>
        <v>14</v>
      </c>
      <c r="BL24" s="89">
        <f t="shared" ca="1" si="13"/>
        <v>42</v>
      </c>
      <c r="BM24" s="89">
        <f t="shared" ca="1" si="14"/>
        <v>16</v>
      </c>
      <c r="BN24" s="89" t="str">
        <f t="shared" ca="1" si="15"/>
        <v>S3!B172:P185</v>
      </c>
      <c r="BO24" s="89" t="str">
        <f t="shared" ca="1" si="16"/>
        <v>e</v>
      </c>
      <c r="BP24" s="89" t="str">
        <f t="shared" ca="1" si="17"/>
        <v>b</v>
      </c>
      <c r="BQ24" s="89" t="str">
        <f t="shared" ca="1" si="18"/>
        <v/>
      </c>
      <c r="BR24" s="87" t="str">
        <f t="shared" ca="1" si="19"/>
        <v/>
      </c>
      <c r="BS24" s="89" t="str">
        <f t="shared" ca="1" si="20"/>
        <v/>
      </c>
      <c r="BT24" s="89" t="str">
        <f t="shared" ca="1" si="21"/>
        <v/>
      </c>
      <c r="BU24" s="89" t="str">
        <f t="shared" ca="1" si="22"/>
        <v/>
      </c>
      <c r="BV24" s="87" t="str">
        <f t="shared" ca="1" si="23"/>
        <v/>
      </c>
      <c r="BW24" s="87" t="str">
        <f t="shared" ca="1" si="24"/>
        <v>14030214</v>
      </c>
      <c r="BX24" s="89">
        <f t="shared" ca="1" si="25"/>
        <v>0</v>
      </c>
    </row>
    <row r="25" spans="1:76">
      <c r="A25" s="90" t="str">
        <f t="shared" si="2"/>
        <v/>
      </c>
      <c r="B25" s="98">
        <v>6</v>
      </c>
      <c r="C25" s="94">
        <v>3</v>
      </c>
      <c r="D25" s="94">
        <v>-1</v>
      </c>
      <c r="E25" s="94">
        <v>2</v>
      </c>
      <c r="F25" s="94">
        <v>-3</v>
      </c>
      <c r="G25" s="94">
        <v>-2</v>
      </c>
      <c r="H25" s="94" t="s">
        <v>202</v>
      </c>
      <c r="I25" s="94">
        <v>1</v>
      </c>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1">
        <f t="shared" ca="1" si="3"/>
        <v>187</v>
      </c>
      <c r="BB25" s="88" t="str">
        <f t="shared" ca="1" si="4"/>
        <v>A172:A1200</v>
      </c>
      <c r="BC25" s="89" t="str">
        <f t="shared" ca="1" si="5"/>
        <v>B187</v>
      </c>
      <c r="BD25" s="89">
        <f ca="1">IF(BC25=0,0,RANK(BF25,$BF$11:$BF$70,0)+(COUNTIF($BF25:$BF$70,BF25)-1))</f>
        <v>13</v>
      </c>
      <c r="BE25" s="89" t="str">
        <f t="shared" ca="1" si="6"/>
        <v>140303</v>
      </c>
      <c r="BF25" s="89">
        <f t="shared" ca="1" si="7"/>
        <v>14030310</v>
      </c>
      <c r="BG25" s="89">
        <f t="shared" ca="1" si="8"/>
        <v>14</v>
      </c>
      <c r="BH25" s="89">
        <f t="shared" ca="1" si="9"/>
        <v>3</v>
      </c>
      <c r="BI25" s="89" t="str">
        <f t="shared" ca="1" si="10"/>
        <v>B202</v>
      </c>
      <c r="BJ25" s="89">
        <f t="shared" ca="1" si="11"/>
        <v>4</v>
      </c>
      <c r="BK25" s="89">
        <f t="shared" ca="1" si="12"/>
        <v>10</v>
      </c>
      <c r="BL25" s="89">
        <f t="shared" ca="1" si="13"/>
        <v>28</v>
      </c>
      <c r="BM25" s="89">
        <f t="shared" ca="1" si="14"/>
        <v>12</v>
      </c>
      <c r="BN25" s="89" t="str">
        <f t="shared" ca="1" si="15"/>
        <v>S3!B188:L201</v>
      </c>
      <c r="BO25" s="89" t="str">
        <f t="shared" ca="1" si="16"/>
        <v>e</v>
      </c>
      <c r="BP25" s="89" t="str">
        <f t="shared" ca="1" si="17"/>
        <v>b</v>
      </c>
      <c r="BQ25" s="89" t="str">
        <f t="shared" ca="1" si="18"/>
        <v/>
      </c>
      <c r="BR25" s="87" t="str">
        <f t="shared" ca="1" si="19"/>
        <v/>
      </c>
      <c r="BS25" s="89" t="str">
        <f t="shared" ca="1" si="20"/>
        <v>a</v>
      </c>
      <c r="BT25" s="89" t="str">
        <f t="shared" ca="1" si="21"/>
        <v/>
      </c>
      <c r="BU25" s="89" t="str">
        <f t="shared" ca="1" si="22"/>
        <v/>
      </c>
      <c r="BV25" s="87" t="str">
        <f t="shared" ca="1" si="23"/>
        <v/>
      </c>
      <c r="BW25" s="87" t="str">
        <f t="shared" ca="1" si="24"/>
        <v>14030310</v>
      </c>
      <c r="BX25" s="89">
        <f t="shared" ca="1" si="25"/>
        <v>0</v>
      </c>
    </row>
    <row r="26" spans="1:76">
      <c r="A26" s="90" t="str">
        <f t="shared" si="2"/>
        <v/>
      </c>
      <c r="B26" s="98">
        <v>7</v>
      </c>
      <c r="C26" s="94">
        <v>-1</v>
      </c>
      <c r="D26" s="94">
        <v>-2</v>
      </c>
      <c r="E26" s="94">
        <v>-3</v>
      </c>
      <c r="F26" s="94">
        <v>1</v>
      </c>
      <c r="G26" s="94">
        <v>2</v>
      </c>
      <c r="H26" s="94">
        <v>3</v>
      </c>
      <c r="I26" s="94" t="s">
        <v>202</v>
      </c>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1">
        <f t="shared" ca="1" si="3"/>
        <v>203</v>
      </c>
      <c r="BB26" s="88" t="str">
        <f t="shared" ca="1" si="4"/>
        <v>A188:A1200</v>
      </c>
      <c r="BC26" s="89" t="str">
        <f t="shared" ca="1" si="5"/>
        <v>B203</v>
      </c>
      <c r="BD26" s="89">
        <f ca="1">IF(BC26=0,0,RANK(BF26,$BF$11:$BF$70,0)+(COUNTIF($BF26:$BF$70,BF26)-1))</f>
        <v>10</v>
      </c>
      <c r="BE26" s="89" t="str">
        <f t="shared" ca="1" si="6"/>
        <v>150303</v>
      </c>
      <c r="BF26" s="89">
        <f t="shared" ca="1" si="7"/>
        <v>15030310</v>
      </c>
      <c r="BG26" s="89">
        <f t="shared" ca="1" si="8"/>
        <v>15</v>
      </c>
      <c r="BH26" s="89">
        <f t="shared" ca="1" si="9"/>
        <v>3</v>
      </c>
      <c r="BI26" s="89" t="str">
        <f t="shared" ca="1" si="10"/>
        <v>B219</v>
      </c>
      <c r="BJ26" s="89">
        <f t="shared" ca="1" si="11"/>
        <v>4</v>
      </c>
      <c r="BK26" s="89">
        <f t="shared" ca="1" si="12"/>
        <v>10</v>
      </c>
      <c r="BL26" s="89">
        <f t="shared" ca="1" si="13"/>
        <v>30</v>
      </c>
      <c r="BM26" s="89">
        <f t="shared" ca="1" si="14"/>
        <v>12</v>
      </c>
      <c r="BN26" s="89" t="str">
        <f t="shared" ca="1" si="15"/>
        <v>S3!B204:L218</v>
      </c>
      <c r="BO26" s="89" t="str">
        <f t="shared" ca="1" si="16"/>
        <v>e</v>
      </c>
      <c r="BP26" s="89" t="str">
        <f t="shared" ca="1" si="17"/>
        <v>b</v>
      </c>
      <c r="BQ26" s="89" t="str">
        <f t="shared" ca="1" si="18"/>
        <v/>
      </c>
      <c r="BR26" s="87" t="str">
        <f t="shared" ca="1" si="19"/>
        <v/>
      </c>
      <c r="BS26" s="89" t="str">
        <f t="shared" ca="1" si="20"/>
        <v/>
      </c>
      <c r="BT26" s="89" t="str">
        <f t="shared" ca="1" si="21"/>
        <v/>
      </c>
      <c r="BU26" s="89" t="str">
        <f t="shared" ca="1" si="22"/>
        <v/>
      </c>
      <c r="BV26" s="87" t="str">
        <f t="shared" ca="1" si="23"/>
        <v/>
      </c>
      <c r="BW26" s="87" t="str">
        <f t="shared" ca="1" si="24"/>
        <v>15030310</v>
      </c>
      <c r="BX26" s="89">
        <f t="shared" ca="1" si="25"/>
        <v>0</v>
      </c>
    </row>
    <row r="27" spans="1:76">
      <c r="A27" s="90" t="str">
        <f t="shared" si="2"/>
        <v/>
      </c>
      <c r="B27" s="98" t="s">
        <v>235</v>
      </c>
      <c r="C27" s="94"/>
      <c r="D27" s="94"/>
      <c r="E27" s="94"/>
      <c r="F27" s="94"/>
      <c r="G27" s="94"/>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1">
        <f t="shared" ca="1" si="3"/>
        <v>220</v>
      </c>
      <c r="BB27" s="88" t="str">
        <f t="shared" ca="1" si="4"/>
        <v>A204:A1200</v>
      </c>
      <c r="BC27" s="89" t="str">
        <f t="shared" ca="1" si="5"/>
        <v>B220</v>
      </c>
      <c r="BD27" s="89">
        <f ca="1">IF(BC27=0,0,RANK(BF27,$BF$11:$BF$70,0)+(COUNTIF($BF27:$BF$70,BF27)-1))</f>
        <v>19</v>
      </c>
      <c r="BE27" s="89" t="str">
        <f t="shared" ca="1" si="6"/>
        <v>120303</v>
      </c>
      <c r="BF27" s="89">
        <f t="shared" ca="1" si="7"/>
        <v>12030306</v>
      </c>
      <c r="BG27" s="89">
        <f t="shared" ca="1" si="8"/>
        <v>12</v>
      </c>
      <c r="BH27" s="89">
        <f t="shared" ca="1" si="9"/>
        <v>3</v>
      </c>
      <c r="BI27" s="89" t="str">
        <f t="shared" ca="1" si="10"/>
        <v>B233</v>
      </c>
      <c r="BJ27" s="89">
        <f t="shared" ca="1" si="11"/>
        <v>3</v>
      </c>
      <c r="BK27" s="89">
        <f t="shared" ca="1" si="12"/>
        <v>6</v>
      </c>
      <c r="BL27" s="89">
        <f t="shared" ca="1" si="13"/>
        <v>18</v>
      </c>
      <c r="BM27" s="89">
        <f t="shared" ca="1" si="14"/>
        <v>8</v>
      </c>
      <c r="BN27" s="89" t="str">
        <f t="shared" ca="1" si="15"/>
        <v>S3!B221:H232</v>
      </c>
      <c r="BO27" s="89" t="str">
        <f t="shared" ca="1" si="16"/>
        <v>c</v>
      </c>
      <c r="BP27" s="89" t="str">
        <f t="shared" ca="1" si="17"/>
        <v/>
      </c>
      <c r="BQ27" s="89" t="str">
        <f t="shared" ca="1" si="18"/>
        <v/>
      </c>
      <c r="BR27" s="87" t="str">
        <f t="shared" ca="1" si="19"/>
        <v/>
      </c>
      <c r="BS27" s="89" t="str">
        <f t="shared" ca="1" si="20"/>
        <v/>
      </c>
      <c r="BT27" s="89" t="str">
        <f t="shared" ca="1" si="21"/>
        <v/>
      </c>
      <c r="BU27" s="89" t="str">
        <f t="shared" ca="1" si="22"/>
        <v/>
      </c>
      <c r="BV27" s="87" t="str">
        <f t="shared" ca="1" si="23"/>
        <v>c</v>
      </c>
      <c r="BW27" s="87" t="str">
        <f t="shared" ca="1" si="24"/>
        <v>12030306</v>
      </c>
      <c r="BX27" s="89" t="str">
        <f t="shared" ca="1" si="25"/>
        <v>33</v>
      </c>
    </row>
    <row r="28" spans="1:76">
      <c r="A28" s="90">
        <f t="shared" si="2"/>
        <v>28</v>
      </c>
      <c r="B28" s="98" t="s">
        <v>236</v>
      </c>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1">
        <f t="shared" ca="1" si="3"/>
        <v>234</v>
      </c>
      <c r="BB28" s="88" t="str">
        <f t="shared" ca="1" si="4"/>
        <v>A221:A1200</v>
      </c>
      <c r="BC28" s="89" t="str">
        <f t="shared" ca="1" si="5"/>
        <v>B234</v>
      </c>
      <c r="BD28" s="89">
        <f ca="1">IF(BC28=0,0,RANK(BF28,$BF$11:$BF$70,0)+(COUNTIF($BF28:$BF$70,BF28)-1))</f>
        <v>9</v>
      </c>
      <c r="BE28" s="89" t="str">
        <f t="shared" ca="1" si="6"/>
        <v>150303</v>
      </c>
      <c r="BF28" s="89">
        <f t="shared" ca="1" si="7"/>
        <v>15030310</v>
      </c>
      <c r="BG28" s="89">
        <f t="shared" ca="1" si="8"/>
        <v>15</v>
      </c>
      <c r="BH28" s="89">
        <f t="shared" ca="1" si="9"/>
        <v>3</v>
      </c>
      <c r="BI28" s="89" t="str">
        <f t="shared" ca="1" si="10"/>
        <v>B250</v>
      </c>
      <c r="BJ28" s="89">
        <f t="shared" ca="1" si="11"/>
        <v>4</v>
      </c>
      <c r="BK28" s="89">
        <f t="shared" ca="1" si="12"/>
        <v>10</v>
      </c>
      <c r="BL28" s="89">
        <f t="shared" ca="1" si="13"/>
        <v>30</v>
      </c>
      <c r="BM28" s="89">
        <f t="shared" ca="1" si="14"/>
        <v>12</v>
      </c>
      <c r="BN28" s="89" t="str">
        <f t="shared" ca="1" si="15"/>
        <v>S3!B235:L249</v>
      </c>
      <c r="BO28" s="89" t="str">
        <f t="shared" ca="1" si="16"/>
        <v>c</v>
      </c>
      <c r="BP28" s="89" t="str">
        <f t="shared" ca="1" si="17"/>
        <v/>
      </c>
      <c r="BQ28" s="89" t="str">
        <f t="shared" ca="1" si="18"/>
        <v/>
      </c>
      <c r="BR28" s="87" t="str">
        <f t="shared" ca="1" si="19"/>
        <v/>
      </c>
      <c r="BS28" s="89" t="str">
        <f t="shared" ca="1" si="20"/>
        <v/>
      </c>
      <c r="BT28" s="89" t="str">
        <f t="shared" ca="1" si="21"/>
        <v/>
      </c>
      <c r="BU28" s="89" t="str">
        <f t="shared" ca="1" si="22"/>
        <v/>
      </c>
      <c r="BV28" s="87" t="str">
        <f t="shared" ca="1" si="23"/>
        <v>c</v>
      </c>
      <c r="BW28" s="87" t="str">
        <f t="shared" ca="1" si="24"/>
        <v>15030310</v>
      </c>
      <c r="BX28" s="89" t="str">
        <f t="shared" ca="1" si="25"/>
        <v>44</v>
      </c>
    </row>
    <row r="29" spans="1:76">
      <c r="A29" s="90" t="str">
        <f t="shared" si="2"/>
        <v/>
      </c>
      <c r="B29" s="98">
        <v>1</v>
      </c>
      <c r="C29" s="94">
        <v>-3</v>
      </c>
      <c r="D29" s="94" t="s">
        <v>210</v>
      </c>
      <c r="E29" s="94">
        <v>2</v>
      </c>
      <c r="F29" s="94" t="s">
        <v>210</v>
      </c>
      <c r="G29" s="94">
        <v>-1</v>
      </c>
      <c r="H29" s="94" t="s">
        <v>210</v>
      </c>
      <c r="I29" s="94">
        <v>3</v>
      </c>
      <c r="J29" s="94" t="s">
        <v>210</v>
      </c>
      <c r="K29" s="94" t="s">
        <v>210</v>
      </c>
      <c r="L29" s="94">
        <v>-2</v>
      </c>
      <c r="M29" s="94">
        <v>-3</v>
      </c>
      <c r="N29" s="94" t="s">
        <v>210</v>
      </c>
      <c r="O29" s="94">
        <v>2</v>
      </c>
      <c r="P29" s="94" t="s">
        <v>210</v>
      </c>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1">
        <f t="shared" ca="1" si="3"/>
        <v>251</v>
      </c>
      <c r="BB29" s="88" t="str">
        <f t="shared" ca="1" si="4"/>
        <v>A235:A1200</v>
      </c>
      <c r="BC29" s="89" t="str">
        <f t="shared" ca="1" si="5"/>
        <v>B251</v>
      </c>
      <c r="BD29" s="89">
        <f ca="1">IF(BC29=0,0,RANK(BF29,$BF$11:$BF$70,0)+(COUNTIF($BF29:$BF$70,BF29)-1))</f>
        <v>1</v>
      </c>
      <c r="BE29" s="89" t="str">
        <f t="shared" ca="1" si="6"/>
        <v>180303</v>
      </c>
      <c r="BF29" s="89">
        <f t="shared" ca="1" si="7"/>
        <v>18030315</v>
      </c>
      <c r="BG29" s="89">
        <f t="shared" ca="1" si="8"/>
        <v>18</v>
      </c>
      <c r="BH29" s="89">
        <f t="shared" ca="1" si="9"/>
        <v>3</v>
      </c>
      <c r="BI29" s="89" t="str">
        <f t="shared" ca="1" si="10"/>
        <v>B270</v>
      </c>
      <c r="BJ29" s="89">
        <f t="shared" ca="1" si="11"/>
        <v>5</v>
      </c>
      <c r="BK29" s="89">
        <f t="shared" ca="1" si="12"/>
        <v>15</v>
      </c>
      <c r="BL29" s="89">
        <f t="shared" ca="1" si="13"/>
        <v>45</v>
      </c>
      <c r="BM29" s="89">
        <f t="shared" ca="1" si="14"/>
        <v>17</v>
      </c>
      <c r="BN29" s="89" t="str">
        <f t="shared" ca="1" si="15"/>
        <v>S3!B252:Q269</v>
      </c>
      <c r="BO29" s="89" t="str">
        <f t="shared" ca="1" si="16"/>
        <v>c</v>
      </c>
      <c r="BP29" s="89" t="str">
        <f t="shared" ca="1" si="17"/>
        <v/>
      </c>
      <c r="BQ29" s="89" t="str">
        <f t="shared" ca="1" si="18"/>
        <v/>
      </c>
      <c r="BR29" s="87" t="str">
        <f t="shared" ca="1" si="19"/>
        <v/>
      </c>
      <c r="BS29" s="89" t="str">
        <f t="shared" ca="1" si="20"/>
        <v/>
      </c>
      <c r="BT29" s="89" t="str">
        <f t="shared" ca="1" si="21"/>
        <v/>
      </c>
      <c r="BU29" s="89" t="str">
        <f t="shared" ca="1" si="22"/>
        <v/>
      </c>
      <c r="BV29" s="87" t="str">
        <f t="shared" ca="1" si="23"/>
        <v>c</v>
      </c>
      <c r="BW29" s="87" t="str">
        <f t="shared" ca="1" si="24"/>
        <v>18030315</v>
      </c>
      <c r="BX29" s="89" t="str">
        <f t="shared" ca="1" si="25"/>
        <v>44</v>
      </c>
    </row>
    <row r="30" spans="1:76">
      <c r="A30" s="90" t="str">
        <f t="shared" si="2"/>
        <v/>
      </c>
      <c r="B30" s="98">
        <v>2</v>
      </c>
      <c r="C30" s="94">
        <v>-1</v>
      </c>
      <c r="D30" s="94" t="s">
        <v>210</v>
      </c>
      <c r="E30" s="94">
        <v>-3</v>
      </c>
      <c r="F30" s="94" t="s">
        <v>210</v>
      </c>
      <c r="G30" s="94" t="s">
        <v>210</v>
      </c>
      <c r="H30" s="94">
        <v>-2</v>
      </c>
      <c r="I30" s="94">
        <v>2</v>
      </c>
      <c r="J30" s="94" t="s">
        <v>210</v>
      </c>
      <c r="K30" s="94">
        <v>3</v>
      </c>
      <c r="L30" s="94" t="s">
        <v>210</v>
      </c>
      <c r="M30" s="94">
        <v>1</v>
      </c>
      <c r="N30" s="94" t="s">
        <v>210</v>
      </c>
      <c r="O30" s="94">
        <v>-2</v>
      </c>
      <c r="P30" s="94" t="s">
        <v>210</v>
      </c>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1">
        <f t="shared" ca="1" si="3"/>
        <v>271</v>
      </c>
      <c r="BB30" s="88" t="str">
        <f t="shared" ca="1" si="4"/>
        <v>A252:A1200</v>
      </c>
      <c r="BC30" s="89" t="str">
        <f t="shared" ca="1" si="5"/>
        <v>B271</v>
      </c>
      <c r="BD30" s="89">
        <f ca="1">IF(BC30=0,0,RANK(BF30,$BF$11:$BF$70,0)+(COUNTIF($BF30:$BF$70,BF30)-1))</f>
        <v>27</v>
      </c>
      <c r="BE30" s="89" t="str">
        <f t="shared" ca="1" si="6"/>
        <v>100302</v>
      </c>
      <c r="BF30" s="89">
        <f t="shared" ca="1" si="7"/>
        <v>10030207</v>
      </c>
      <c r="BG30" s="89">
        <f t="shared" ca="1" si="8"/>
        <v>10</v>
      </c>
      <c r="BH30" s="89">
        <f t="shared" ca="1" si="9"/>
        <v>2</v>
      </c>
      <c r="BI30" s="89" t="str">
        <f t="shared" ca="1" si="10"/>
        <v>B282</v>
      </c>
      <c r="BJ30" s="89">
        <f t="shared" ca="1" si="11"/>
        <v>4</v>
      </c>
      <c r="BK30" s="89">
        <f t="shared" ca="1" si="12"/>
        <v>7</v>
      </c>
      <c r="BL30" s="89">
        <f t="shared" ca="1" si="13"/>
        <v>20</v>
      </c>
      <c r="BM30" s="89">
        <f t="shared" ca="1" si="14"/>
        <v>9</v>
      </c>
      <c r="BN30" s="89" t="str">
        <f t="shared" ca="1" si="15"/>
        <v>S3!B272:I281</v>
      </c>
      <c r="BO30" s="89" t="str">
        <f t="shared" ca="1" si="16"/>
        <v>c</v>
      </c>
      <c r="BP30" s="89" t="str">
        <f t="shared" ca="1" si="17"/>
        <v/>
      </c>
      <c r="BQ30" s="89" t="str">
        <f t="shared" ca="1" si="18"/>
        <v/>
      </c>
      <c r="BR30" s="87" t="str">
        <f t="shared" ca="1" si="19"/>
        <v/>
      </c>
      <c r="BS30" s="89" t="str">
        <f t="shared" ca="1" si="20"/>
        <v/>
      </c>
      <c r="BT30" s="89" t="str">
        <f t="shared" ca="1" si="21"/>
        <v/>
      </c>
      <c r="BU30" s="89" t="str">
        <f t="shared" ca="1" si="22"/>
        <v/>
      </c>
      <c r="BV30" s="87" t="str">
        <f t="shared" ca="1" si="23"/>
        <v>c</v>
      </c>
      <c r="BW30" s="87" t="str">
        <f t="shared" ca="1" si="24"/>
        <v>10030207</v>
      </c>
      <c r="BX30" s="89" t="str">
        <f t="shared" ca="1" si="25"/>
        <v>33</v>
      </c>
    </row>
    <row r="31" spans="1:76">
      <c r="A31" s="90" t="str">
        <f t="shared" si="2"/>
        <v/>
      </c>
      <c r="B31" s="98">
        <v>3</v>
      </c>
      <c r="C31" s="94" t="s">
        <v>210</v>
      </c>
      <c r="D31" s="94">
        <v>2</v>
      </c>
      <c r="E31" s="94">
        <v>-2</v>
      </c>
      <c r="F31" s="94" t="s">
        <v>210</v>
      </c>
      <c r="G31" s="94">
        <v>3</v>
      </c>
      <c r="H31" s="94" t="s">
        <v>210</v>
      </c>
      <c r="I31" s="94" t="s">
        <v>210</v>
      </c>
      <c r="J31" s="94">
        <v>-2</v>
      </c>
      <c r="K31" s="94">
        <v>2</v>
      </c>
      <c r="L31" s="94" t="s">
        <v>210</v>
      </c>
      <c r="M31" s="94">
        <v>-1</v>
      </c>
      <c r="N31" s="94" t="s">
        <v>210</v>
      </c>
      <c r="O31" s="94">
        <v>-3</v>
      </c>
      <c r="P31" s="94" t="s">
        <v>210</v>
      </c>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1">
        <f t="shared" ca="1" si="3"/>
        <v>283</v>
      </c>
      <c r="BB31" s="88" t="str">
        <f t="shared" ca="1" si="4"/>
        <v>A272:A1200</v>
      </c>
      <c r="BC31" s="89" t="str">
        <f t="shared" ca="1" si="5"/>
        <v>B283</v>
      </c>
      <c r="BD31" s="89">
        <f ca="1">IF(BC31=0,0,RANK(BF31,$BF$11:$BF$70,0)+(COUNTIF($BF31:$BF$70,BF31)-1))</f>
        <v>18</v>
      </c>
      <c r="BE31" s="89" t="str">
        <f t="shared" ca="1" si="6"/>
        <v>130301</v>
      </c>
      <c r="BF31" s="89">
        <f t="shared" ca="1" si="7"/>
        <v>13030126</v>
      </c>
      <c r="BG31" s="89">
        <f t="shared" ca="1" si="8"/>
        <v>13</v>
      </c>
      <c r="BH31" s="89">
        <f t="shared" ca="1" si="9"/>
        <v>1</v>
      </c>
      <c r="BI31" s="89" t="str">
        <f t="shared" ca="1" si="10"/>
        <v>B297</v>
      </c>
      <c r="BJ31" s="89">
        <f t="shared" ca="1" si="11"/>
        <v>12</v>
      </c>
      <c r="BK31" s="89">
        <f t="shared" ca="1" si="12"/>
        <v>26</v>
      </c>
      <c r="BL31" s="89">
        <f t="shared" ca="1" si="13"/>
        <v>78</v>
      </c>
      <c r="BM31" s="89">
        <f t="shared" ca="1" si="14"/>
        <v>28</v>
      </c>
      <c r="BN31" s="89" t="str">
        <f t="shared" ca="1" si="15"/>
        <v>S3!B284:AB296</v>
      </c>
      <c r="BO31" s="89" t="str">
        <f t="shared" ca="1" si="16"/>
        <v>e</v>
      </c>
      <c r="BP31" s="89" t="str">
        <f t="shared" ca="1" si="17"/>
        <v>b</v>
      </c>
      <c r="BQ31" s="89" t="str">
        <f t="shared" ca="1" si="18"/>
        <v/>
      </c>
      <c r="BR31" s="87" t="str">
        <f t="shared" ca="1" si="19"/>
        <v/>
      </c>
      <c r="BS31" s="89" t="str">
        <f t="shared" ca="1" si="20"/>
        <v/>
      </c>
      <c r="BT31" s="89" t="str">
        <f t="shared" ca="1" si="21"/>
        <v/>
      </c>
      <c r="BU31" s="89" t="str">
        <f t="shared" ca="1" si="22"/>
        <v/>
      </c>
      <c r="BV31" s="87" t="str">
        <f t="shared" ca="1" si="23"/>
        <v/>
      </c>
      <c r="BW31" s="87" t="str">
        <f t="shared" ca="1" si="24"/>
        <v>13030126</v>
      </c>
      <c r="BX31" s="89">
        <f t="shared" ca="1" si="25"/>
        <v>0</v>
      </c>
    </row>
    <row r="32" spans="1:76">
      <c r="A32" s="90" t="str">
        <f t="shared" si="2"/>
        <v/>
      </c>
      <c r="B32" s="98">
        <v>4</v>
      </c>
      <c r="C32" s="94">
        <v>2</v>
      </c>
      <c r="D32" s="94" t="s">
        <v>210</v>
      </c>
      <c r="E32" s="94" t="s">
        <v>210</v>
      </c>
      <c r="F32" s="94">
        <v>-2</v>
      </c>
      <c r="G32" s="94">
        <v>1</v>
      </c>
      <c r="H32" s="94" t="s">
        <v>210</v>
      </c>
      <c r="I32" s="94">
        <v>-2</v>
      </c>
      <c r="J32" s="94" t="s">
        <v>210</v>
      </c>
      <c r="K32" s="94">
        <v>-1</v>
      </c>
      <c r="L32" s="94" t="s">
        <v>210</v>
      </c>
      <c r="M32" s="94" t="s">
        <v>210</v>
      </c>
      <c r="N32" s="94">
        <v>2</v>
      </c>
      <c r="O32" s="94">
        <v>3</v>
      </c>
      <c r="P32" s="94" t="s">
        <v>210</v>
      </c>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1">
        <f t="shared" ca="1" si="3"/>
        <v>298</v>
      </c>
      <c r="BB32" s="88" t="str">
        <f t="shared" ca="1" si="4"/>
        <v>A284:A1200</v>
      </c>
      <c r="BC32" s="89" t="str">
        <f t="shared" ca="1" si="5"/>
        <v>B298</v>
      </c>
      <c r="BD32" s="89">
        <f ca="1">IF(BC32=0,0,RANK(BF32,$BF$11:$BF$70,0)+(COUNTIF($BF32:$BF$70,BF32)-1))</f>
        <v>17</v>
      </c>
      <c r="BE32" s="89" t="str">
        <f t="shared" ca="1" si="6"/>
        <v>130301</v>
      </c>
      <c r="BF32" s="89">
        <f t="shared" ca="1" si="7"/>
        <v>13030126</v>
      </c>
      <c r="BG32" s="89">
        <f t="shared" ca="1" si="8"/>
        <v>13</v>
      </c>
      <c r="BH32" s="89">
        <f t="shared" ca="1" si="9"/>
        <v>1</v>
      </c>
      <c r="BI32" s="89" t="str">
        <f t="shared" ca="1" si="10"/>
        <v>B312</v>
      </c>
      <c r="BJ32" s="89">
        <f t="shared" ca="1" si="11"/>
        <v>12</v>
      </c>
      <c r="BK32" s="89">
        <f t="shared" ca="1" si="12"/>
        <v>26</v>
      </c>
      <c r="BL32" s="89">
        <f t="shared" ca="1" si="13"/>
        <v>78</v>
      </c>
      <c r="BM32" s="89">
        <f t="shared" ca="1" si="14"/>
        <v>28</v>
      </c>
      <c r="BN32" s="89" t="str">
        <f t="shared" ca="1" si="15"/>
        <v>S3!B299:AB311</v>
      </c>
      <c r="BO32" s="89" t="str">
        <f t="shared" ca="1" si="16"/>
        <v>c</v>
      </c>
      <c r="BP32" s="89" t="str">
        <f t="shared" ca="1" si="17"/>
        <v/>
      </c>
      <c r="BQ32" s="89" t="str">
        <f t="shared" ca="1" si="18"/>
        <v/>
      </c>
      <c r="BR32" s="87" t="str">
        <f t="shared" ca="1" si="19"/>
        <v/>
      </c>
      <c r="BS32" s="89" t="str">
        <f t="shared" ca="1" si="20"/>
        <v/>
      </c>
      <c r="BT32" s="89" t="str">
        <f t="shared" ca="1" si="21"/>
        <v/>
      </c>
      <c r="BU32" s="89" t="str">
        <f t="shared" ca="1" si="22"/>
        <v/>
      </c>
      <c r="BV32" s="87" t="str">
        <f t="shared" ca="1" si="23"/>
        <v>c</v>
      </c>
      <c r="BW32" s="87" t="str">
        <f t="shared" ca="1" si="24"/>
        <v>13030126</v>
      </c>
      <c r="BX32" s="89" t="str">
        <f t="shared" ca="1" si="25"/>
        <v>44</v>
      </c>
    </row>
    <row r="33" spans="1:76">
      <c r="A33" s="90" t="str">
        <f t="shared" si="2"/>
        <v/>
      </c>
      <c r="B33" s="98">
        <v>5</v>
      </c>
      <c r="C33" s="94">
        <v>1</v>
      </c>
      <c r="D33" s="94" t="s">
        <v>210</v>
      </c>
      <c r="E33" s="94" t="s">
        <v>210</v>
      </c>
      <c r="F33" s="94">
        <v>2</v>
      </c>
      <c r="G33" s="94">
        <v>-3</v>
      </c>
      <c r="H33" s="94" t="s">
        <v>210</v>
      </c>
      <c r="I33" s="94">
        <v>-1</v>
      </c>
      <c r="J33" s="94" t="s">
        <v>210</v>
      </c>
      <c r="K33" s="94" t="s">
        <v>210</v>
      </c>
      <c r="L33" s="94">
        <v>2</v>
      </c>
      <c r="M33" s="94">
        <v>-2</v>
      </c>
      <c r="N33" s="94" t="s">
        <v>210</v>
      </c>
      <c r="O33" s="94">
        <v>1</v>
      </c>
      <c r="P33" s="94" t="s">
        <v>210</v>
      </c>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1">
        <f t="shared" ca="1" si="3"/>
        <v>313</v>
      </c>
      <c r="BB33" s="88" t="str">
        <f t="shared" ca="1" si="4"/>
        <v>A299:A1200</v>
      </c>
      <c r="BC33" s="89" t="str">
        <f t="shared" ca="1" si="5"/>
        <v>B313</v>
      </c>
      <c r="BD33" s="89">
        <f ca="1">IF(BC33=0,0,RANK(BF33,$BF$11:$BF$70,0)+(COUNTIF($BF33:$BF$70,BF33)-1))</f>
        <v>3</v>
      </c>
      <c r="BE33" s="89" t="str">
        <f t="shared" ca="1" si="6"/>
        <v>170303</v>
      </c>
      <c r="BF33" s="89">
        <f t="shared" ca="1" si="7"/>
        <v>17030314</v>
      </c>
      <c r="BG33" s="89">
        <f t="shared" ca="1" si="8"/>
        <v>17</v>
      </c>
      <c r="BH33" s="89">
        <f t="shared" ca="1" si="9"/>
        <v>3</v>
      </c>
      <c r="BI33" s="89" t="str">
        <f t="shared" ca="1" si="10"/>
        <v>B331</v>
      </c>
      <c r="BJ33" s="89">
        <f t="shared" ca="1" si="11"/>
        <v>5</v>
      </c>
      <c r="BK33" s="89">
        <f t="shared" ca="1" si="12"/>
        <v>14</v>
      </c>
      <c r="BL33" s="89">
        <f t="shared" ca="1" si="13"/>
        <v>40</v>
      </c>
      <c r="BM33" s="89">
        <f t="shared" ca="1" si="14"/>
        <v>16</v>
      </c>
      <c r="BN33" s="89" t="str">
        <f t="shared" ca="1" si="15"/>
        <v>S3!B314:P330</v>
      </c>
      <c r="BO33" s="89" t="str">
        <f t="shared" ca="1" si="16"/>
        <v>c</v>
      </c>
      <c r="BP33" s="89" t="str">
        <f t="shared" ca="1" si="17"/>
        <v/>
      </c>
      <c r="BQ33" s="89" t="str">
        <f t="shared" ca="1" si="18"/>
        <v/>
      </c>
      <c r="BR33" s="87" t="str">
        <f t="shared" ca="1" si="19"/>
        <v/>
      </c>
      <c r="BS33" s="89" t="str">
        <f t="shared" ca="1" si="20"/>
        <v/>
      </c>
      <c r="BT33" s="89" t="str">
        <f t="shared" ca="1" si="21"/>
        <v/>
      </c>
      <c r="BU33" s="89" t="str">
        <f t="shared" ca="1" si="22"/>
        <v/>
      </c>
      <c r="BV33" s="87" t="str">
        <f t="shared" ca="1" si="23"/>
        <v>c</v>
      </c>
      <c r="BW33" s="87" t="str">
        <f t="shared" ca="1" si="24"/>
        <v>17030314</v>
      </c>
      <c r="BX33" s="89" t="str">
        <f t="shared" ca="1" si="25"/>
        <v>23</v>
      </c>
    </row>
    <row r="34" spans="1:76">
      <c r="A34" s="90" t="str">
        <f t="shared" si="2"/>
        <v/>
      </c>
      <c r="B34" s="98">
        <v>6</v>
      </c>
      <c r="C34" s="94">
        <v>3</v>
      </c>
      <c r="D34" s="94" t="s">
        <v>210</v>
      </c>
      <c r="E34" s="94">
        <v>1</v>
      </c>
      <c r="F34" s="94" t="s">
        <v>210</v>
      </c>
      <c r="G34" s="94">
        <v>-2</v>
      </c>
      <c r="H34" s="94" t="s">
        <v>210</v>
      </c>
      <c r="I34" s="94" t="s">
        <v>210</v>
      </c>
      <c r="J34" s="94">
        <v>2</v>
      </c>
      <c r="K34" s="94">
        <v>-3</v>
      </c>
      <c r="L34" s="94" t="s">
        <v>210</v>
      </c>
      <c r="M34" s="94" t="s">
        <v>210</v>
      </c>
      <c r="N34" s="94">
        <v>-2</v>
      </c>
      <c r="O34" s="94">
        <v>-1</v>
      </c>
      <c r="P34" s="94" t="s">
        <v>210</v>
      </c>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1">
        <f t="shared" ca="1" si="3"/>
        <v>332</v>
      </c>
      <c r="BB34" s="88" t="str">
        <f t="shared" ca="1" si="4"/>
        <v>A314:A1200</v>
      </c>
      <c r="BC34" s="89" t="str">
        <f t="shared" ca="1" si="5"/>
        <v>B332</v>
      </c>
      <c r="BD34" s="89">
        <f ca="1">IF(BC34=0,0,RANK(BF34,$BF$11:$BF$70,0)+(COUNTIF($BF34:$BF$70,BF34)-1))</f>
        <v>12</v>
      </c>
      <c r="BE34" s="89" t="str">
        <f t="shared" ca="1" si="6"/>
        <v>150302</v>
      </c>
      <c r="BF34" s="89">
        <f t="shared" ca="1" si="7"/>
        <v>15030217</v>
      </c>
      <c r="BG34" s="89">
        <f t="shared" ca="1" si="8"/>
        <v>15</v>
      </c>
      <c r="BH34" s="89">
        <f t="shared" ca="1" si="9"/>
        <v>2</v>
      </c>
      <c r="BI34" s="89" t="str">
        <f t="shared" ca="1" si="10"/>
        <v>B348</v>
      </c>
      <c r="BJ34" s="89">
        <f t="shared" ca="1" si="11"/>
        <v>7</v>
      </c>
      <c r="BK34" s="89">
        <f t="shared" ca="1" si="12"/>
        <v>17</v>
      </c>
      <c r="BL34" s="89">
        <f t="shared" ca="1" si="13"/>
        <v>49</v>
      </c>
      <c r="BM34" s="89">
        <f t="shared" ca="1" si="14"/>
        <v>19</v>
      </c>
      <c r="BN34" s="89" t="str">
        <f t="shared" ca="1" si="15"/>
        <v>S3!B333:S347</v>
      </c>
      <c r="BO34" s="89" t="str">
        <f t="shared" ca="1" si="16"/>
        <v>c</v>
      </c>
      <c r="BP34" s="89" t="str">
        <f t="shared" ca="1" si="17"/>
        <v/>
      </c>
      <c r="BQ34" s="89" t="str">
        <f t="shared" ca="1" si="18"/>
        <v/>
      </c>
      <c r="BR34" s="87" t="str">
        <f t="shared" ca="1" si="19"/>
        <v/>
      </c>
      <c r="BS34" s="89" t="str">
        <f t="shared" ca="1" si="20"/>
        <v/>
      </c>
      <c r="BT34" s="89" t="str">
        <f t="shared" ca="1" si="21"/>
        <v/>
      </c>
      <c r="BU34" s="89" t="str">
        <f t="shared" ca="1" si="22"/>
        <v/>
      </c>
      <c r="BV34" s="87" t="str">
        <f t="shared" ca="1" si="23"/>
        <v>c</v>
      </c>
      <c r="BW34" s="87" t="str">
        <f t="shared" ca="1" si="24"/>
        <v>15030217</v>
      </c>
      <c r="BX34" s="89" t="str">
        <f t="shared" ca="1" si="25"/>
        <v>23</v>
      </c>
    </row>
    <row r="35" spans="1:76">
      <c r="A35" s="90" t="str">
        <f t="shared" si="2"/>
        <v/>
      </c>
      <c r="B35" s="98">
        <v>7</v>
      </c>
      <c r="C35" s="94">
        <v>-2</v>
      </c>
      <c r="D35" s="94" t="s">
        <v>210</v>
      </c>
      <c r="E35" s="94">
        <v>-1</v>
      </c>
      <c r="F35" s="94" t="s">
        <v>210</v>
      </c>
      <c r="G35" s="94" t="s">
        <v>210</v>
      </c>
      <c r="H35" s="94">
        <v>2</v>
      </c>
      <c r="I35" s="94">
        <v>1</v>
      </c>
      <c r="J35" s="94" t="s">
        <v>210</v>
      </c>
      <c r="K35" s="94">
        <v>-2</v>
      </c>
      <c r="L35" s="94" t="s">
        <v>210</v>
      </c>
      <c r="M35" s="94">
        <v>3</v>
      </c>
      <c r="N35" s="94" t="s">
        <v>210</v>
      </c>
      <c r="O35" s="94" t="s">
        <v>210</v>
      </c>
      <c r="P35" s="94">
        <v>2</v>
      </c>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1">
        <f t="shared" ca="1" si="3"/>
        <v>349</v>
      </c>
      <c r="BB35" s="88" t="str">
        <f t="shared" ca="1" si="4"/>
        <v>A333:A1200</v>
      </c>
      <c r="BC35" s="89" t="str">
        <f t="shared" ca="1" si="5"/>
        <v>B349</v>
      </c>
      <c r="BD35" s="89">
        <f ca="1">IF(BC35=0,0,RANK(BF35,$BF$11:$BF$70,0)+(COUNTIF($BF35:$BF$70,BF35)-1))</f>
        <v>8</v>
      </c>
      <c r="BE35" s="89" t="str">
        <f t="shared" ca="1" si="6"/>
        <v>160302</v>
      </c>
      <c r="BF35" s="89">
        <f t="shared" ca="1" si="7"/>
        <v>16030219</v>
      </c>
      <c r="BG35" s="89">
        <f t="shared" ca="1" si="8"/>
        <v>16</v>
      </c>
      <c r="BH35" s="89">
        <f t="shared" ca="1" si="9"/>
        <v>2</v>
      </c>
      <c r="BI35" s="89" t="str">
        <f t="shared" ca="1" si="10"/>
        <v>B366</v>
      </c>
      <c r="BJ35" s="89">
        <f t="shared" ca="1" si="11"/>
        <v>7</v>
      </c>
      <c r="BK35" s="89">
        <f t="shared" ca="1" si="12"/>
        <v>19</v>
      </c>
      <c r="BL35" s="89">
        <f t="shared" ca="1" si="13"/>
        <v>56</v>
      </c>
      <c r="BM35" s="89">
        <f t="shared" ca="1" si="14"/>
        <v>21</v>
      </c>
      <c r="BN35" s="89" t="str">
        <f t="shared" ca="1" si="15"/>
        <v>S3!B350:U365</v>
      </c>
      <c r="BO35" s="89" t="str">
        <f t="shared" ca="1" si="16"/>
        <v>c</v>
      </c>
      <c r="BP35" s="89" t="str">
        <f t="shared" ca="1" si="17"/>
        <v/>
      </c>
      <c r="BQ35" s="89" t="str">
        <f t="shared" ca="1" si="18"/>
        <v/>
      </c>
      <c r="BR35" s="87" t="str">
        <f t="shared" ca="1" si="19"/>
        <v/>
      </c>
      <c r="BS35" s="89" t="str">
        <f t="shared" ca="1" si="20"/>
        <v/>
      </c>
      <c r="BT35" s="89" t="str">
        <f t="shared" ca="1" si="21"/>
        <v/>
      </c>
      <c r="BU35" s="89" t="str">
        <f t="shared" ca="1" si="22"/>
        <v/>
      </c>
      <c r="BV35" s="87" t="str">
        <f t="shared" ca="1" si="23"/>
        <v>c</v>
      </c>
      <c r="BW35" s="87" t="str">
        <f t="shared" ca="1" si="24"/>
        <v>16030219</v>
      </c>
      <c r="BX35" s="89" t="str">
        <f t="shared" ca="1" si="25"/>
        <v>34</v>
      </c>
    </row>
    <row r="36" spans="1:76">
      <c r="A36" s="90" t="str">
        <f t="shared" si="2"/>
        <v/>
      </c>
      <c r="B36" s="98">
        <v>8</v>
      </c>
      <c r="C36" s="94" t="s">
        <v>210</v>
      </c>
      <c r="D36" s="94">
        <v>-2</v>
      </c>
      <c r="E36" s="94">
        <v>3</v>
      </c>
      <c r="F36" s="94" t="s">
        <v>210</v>
      </c>
      <c r="G36" s="94">
        <v>2</v>
      </c>
      <c r="H36" s="94" t="s">
        <v>210</v>
      </c>
      <c r="I36" s="94">
        <v>-3</v>
      </c>
      <c r="J36" s="94" t="s">
        <v>210</v>
      </c>
      <c r="K36" s="94">
        <v>1</v>
      </c>
      <c r="L36" s="94" t="s">
        <v>210</v>
      </c>
      <c r="M36" s="94">
        <v>2</v>
      </c>
      <c r="N36" s="94" t="s">
        <v>210</v>
      </c>
      <c r="O36" s="94" t="s">
        <v>210</v>
      </c>
      <c r="P36" s="94">
        <v>-2</v>
      </c>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1">
        <f t="shared" ca="1" si="3"/>
        <v>367</v>
      </c>
      <c r="BB36" s="88" t="str">
        <f t="shared" ca="1" si="4"/>
        <v>A350:A1200</v>
      </c>
      <c r="BC36" s="89" t="str">
        <f t="shared" ca="1" si="5"/>
        <v>B367</v>
      </c>
      <c r="BD36" s="89">
        <f ca="1">IF(BC36=0,0,RANK(BF36,$BF$11:$BF$70,0)+(COUNTIF($BF36:$BF$70,BF36)-1))</f>
        <v>6</v>
      </c>
      <c r="BE36" s="89" t="str">
        <f t="shared" ca="1" si="6"/>
        <v>160303</v>
      </c>
      <c r="BF36" s="89">
        <f t="shared" ca="1" si="7"/>
        <v>16030312</v>
      </c>
      <c r="BG36" s="89">
        <f t="shared" ca="1" si="8"/>
        <v>16</v>
      </c>
      <c r="BH36" s="89">
        <f t="shared" ca="1" si="9"/>
        <v>3</v>
      </c>
      <c r="BI36" s="89" t="str">
        <f t="shared" ca="1" si="10"/>
        <v>B384</v>
      </c>
      <c r="BJ36" s="89">
        <f t="shared" ca="1" si="11"/>
        <v>5</v>
      </c>
      <c r="BK36" s="89">
        <f t="shared" ca="1" si="12"/>
        <v>12</v>
      </c>
      <c r="BL36" s="89">
        <f t="shared" ca="1" si="13"/>
        <v>35</v>
      </c>
      <c r="BM36" s="89">
        <f t="shared" ca="1" si="14"/>
        <v>14</v>
      </c>
      <c r="BN36" s="89" t="str">
        <f t="shared" ca="1" si="15"/>
        <v>S3!B368:N383</v>
      </c>
      <c r="BO36" s="89" t="str">
        <f t="shared" ca="1" si="16"/>
        <v>c</v>
      </c>
      <c r="BP36" s="89" t="str">
        <f t="shared" ca="1" si="17"/>
        <v/>
      </c>
      <c r="BQ36" s="89" t="str">
        <f t="shared" ca="1" si="18"/>
        <v/>
      </c>
      <c r="BR36" s="87" t="str">
        <f t="shared" ca="1" si="19"/>
        <v/>
      </c>
      <c r="BS36" s="89" t="str">
        <f t="shared" ca="1" si="20"/>
        <v/>
      </c>
      <c r="BT36" s="89" t="str">
        <f t="shared" ca="1" si="21"/>
        <v/>
      </c>
      <c r="BU36" s="89" t="str">
        <f t="shared" ca="1" si="22"/>
        <v/>
      </c>
      <c r="BV36" s="87" t="str">
        <f t="shared" ca="1" si="23"/>
        <v>c</v>
      </c>
      <c r="BW36" s="87" t="str">
        <f t="shared" ca="1" si="24"/>
        <v>16030312</v>
      </c>
      <c r="BX36" s="89" t="str">
        <f t="shared" ca="1" si="25"/>
        <v>33</v>
      </c>
    </row>
    <row r="37" spans="1:76">
      <c r="A37" s="90" t="str">
        <f t="shared" si="2"/>
        <v/>
      </c>
      <c r="B37" s="98" t="s">
        <v>215</v>
      </c>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1">
        <f t="shared" ca="1" si="3"/>
        <v>385</v>
      </c>
      <c r="BB37" s="88" t="str">
        <f t="shared" ca="1" si="4"/>
        <v>A368:A1200</v>
      </c>
      <c r="BC37" s="89" t="str">
        <f t="shared" ca="1" si="5"/>
        <v>B385</v>
      </c>
      <c r="BD37" s="89">
        <f ca="1">IF(BC37=0,0,RANK(BF37,$BF$11:$BF$70,0)+(COUNTIF($BF37:$BF$70,BF37)-1))</f>
        <v>5</v>
      </c>
      <c r="BE37" s="89" t="str">
        <f t="shared" ca="1" si="6"/>
        <v>160303</v>
      </c>
      <c r="BF37" s="89">
        <f t="shared" ca="1" si="7"/>
        <v>16030314</v>
      </c>
      <c r="BG37" s="89">
        <f t="shared" ca="1" si="8"/>
        <v>16</v>
      </c>
      <c r="BH37" s="89">
        <f t="shared" ca="1" si="9"/>
        <v>3</v>
      </c>
      <c r="BI37" s="89" t="str">
        <f t="shared" ca="1" si="10"/>
        <v>B402</v>
      </c>
      <c r="BJ37" s="89">
        <f t="shared" ca="1" si="11"/>
        <v>5</v>
      </c>
      <c r="BK37" s="89">
        <f t="shared" ca="1" si="12"/>
        <v>14</v>
      </c>
      <c r="BL37" s="89">
        <f t="shared" ca="1" si="13"/>
        <v>40</v>
      </c>
      <c r="BM37" s="89">
        <f t="shared" ca="1" si="14"/>
        <v>16</v>
      </c>
      <c r="BN37" s="89" t="str">
        <f t="shared" ca="1" si="15"/>
        <v>S3!B386:P401</v>
      </c>
      <c r="BO37" s="89" t="str">
        <f t="shared" ca="1" si="16"/>
        <v>c</v>
      </c>
      <c r="BP37" s="89" t="str">
        <f t="shared" ca="1" si="17"/>
        <v/>
      </c>
      <c r="BQ37" s="89" t="str">
        <f t="shared" ca="1" si="18"/>
        <v/>
      </c>
      <c r="BR37" s="87" t="str">
        <f t="shared" ca="1" si="19"/>
        <v>x</v>
      </c>
      <c r="BS37" s="89" t="str">
        <f t="shared" ca="1" si="20"/>
        <v/>
      </c>
      <c r="BT37" s="89" t="str">
        <f t="shared" ca="1" si="21"/>
        <v/>
      </c>
      <c r="BU37" s="89" t="str">
        <f t="shared" ca="1" si="22"/>
        <v/>
      </c>
      <c r="BV37" s="87" t="str">
        <f t="shared" ca="1" si="23"/>
        <v>c</v>
      </c>
      <c r="BW37" s="87" t="str">
        <f t="shared" ca="1" si="24"/>
        <v>16030314</v>
      </c>
      <c r="BX37" s="89" t="str">
        <f t="shared" ca="1" si="25"/>
        <v>23</v>
      </c>
    </row>
    <row r="38" spans="1:76">
      <c r="A38" s="90">
        <f t="shared" si="2"/>
        <v>38</v>
      </c>
      <c r="B38" s="98" t="s">
        <v>237</v>
      </c>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c r="BA38" s="91">
        <f t="shared" ca="1" si="3"/>
        <v>403</v>
      </c>
      <c r="BB38" s="88" t="str">
        <f t="shared" ca="1" si="4"/>
        <v>A386:A1200</v>
      </c>
      <c r="BC38" s="89" t="str">
        <f t="shared" ca="1" si="5"/>
        <v>B403</v>
      </c>
      <c r="BD38" s="89">
        <f ca="1">IF(BC38=0,0,RANK(BF38,$BF$11:$BF$70,0)+(COUNTIF($BF38:$BF$70,BF38)-1))</f>
        <v>33</v>
      </c>
      <c r="BE38" s="89" t="str">
        <f t="shared" ca="1" si="6"/>
        <v>080301</v>
      </c>
      <c r="BF38" s="89">
        <f t="shared" ca="1" si="7"/>
        <v>8030111</v>
      </c>
      <c r="BG38" s="89">
        <f t="shared" ca="1" si="8"/>
        <v>8</v>
      </c>
      <c r="BH38" s="89">
        <f t="shared" ca="1" si="9"/>
        <v>1</v>
      </c>
      <c r="BI38" s="89" t="str">
        <f t="shared" ca="1" si="10"/>
        <v>B412</v>
      </c>
      <c r="BJ38" s="89">
        <f t="shared" ca="1" si="11"/>
        <v>7</v>
      </c>
      <c r="BK38" s="89">
        <f t="shared" ca="1" si="12"/>
        <v>11</v>
      </c>
      <c r="BL38" s="89">
        <f t="shared" ca="1" si="13"/>
        <v>28</v>
      </c>
      <c r="BM38" s="89">
        <f t="shared" ca="1" si="14"/>
        <v>13</v>
      </c>
      <c r="BN38" s="89" t="str">
        <f t="shared" ca="1" si="15"/>
        <v>S3!B404:M411</v>
      </c>
      <c r="BO38" s="89" t="str">
        <f t="shared" ca="1" si="16"/>
        <v>c</v>
      </c>
      <c r="BP38" s="89" t="str">
        <f t="shared" ca="1" si="17"/>
        <v/>
      </c>
      <c r="BQ38" s="89" t="str">
        <f t="shared" ca="1" si="18"/>
        <v/>
      </c>
      <c r="BR38" s="87" t="str">
        <f t="shared" ca="1" si="19"/>
        <v/>
      </c>
      <c r="BS38" s="89" t="str">
        <f t="shared" ca="1" si="20"/>
        <v/>
      </c>
      <c r="BT38" s="89" t="str">
        <f t="shared" ca="1" si="21"/>
        <v/>
      </c>
      <c r="BU38" s="89" t="str">
        <f t="shared" ca="1" si="22"/>
        <v/>
      </c>
      <c r="BV38" s="87" t="str">
        <f t="shared" ca="1" si="23"/>
        <v>c</v>
      </c>
      <c r="BW38" s="87" t="str">
        <f t="shared" ca="1" si="24"/>
        <v>08030111</v>
      </c>
      <c r="BX38" s="89" t="str">
        <f t="shared" ca="1" si="25"/>
        <v>23</v>
      </c>
    </row>
    <row r="39" spans="1:76">
      <c r="A39" s="90" t="str">
        <f t="shared" si="2"/>
        <v/>
      </c>
      <c r="B39" s="98">
        <v>1</v>
      </c>
      <c r="C39" s="94" t="s">
        <v>210</v>
      </c>
      <c r="D39" s="94">
        <v>2</v>
      </c>
      <c r="E39" s="94">
        <v>3</v>
      </c>
      <c r="F39" s="94" t="s">
        <v>210</v>
      </c>
      <c r="G39" s="94">
        <v>-2</v>
      </c>
      <c r="H39" s="94" t="s">
        <v>210</v>
      </c>
      <c r="I39" s="94">
        <v>1</v>
      </c>
      <c r="J39" s="94" t="s">
        <v>210</v>
      </c>
      <c r="K39" s="94" t="s">
        <v>210</v>
      </c>
      <c r="L39" s="94">
        <v>-2</v>
      </c>
      <c r="M39" s="94">
        <v>-3</v>
      </c>
      <c r="N39" s="94" t="s">
        <v>210</v>
      </c>
      <c r="O39" s="94" t="s">
        <v>202</v>
      </c>
      <c r="P39" s="94" t="s">
        <v>210</v>
      </c>
      <c r="Q39" s="94">
        <v>-1</v>
      </c>
      <c r="R39" s="94" t="s">
        <v>210</v>
      </c>
      <c r="S39" s="94">
        <v>2</v>
      </c>
      <c r="T39" s="94" t="s">
        <v>210</v>
      </c>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1">
        <f t="shared" ca="1" si="3"/>
        <v>413</v>
      </c>
      <c r="BB39" s="88" t="str">
        <f t="shared" ca="1" si="4"/>
        <v>A404:A1200</v>
      </c>
      <c r="BC39" s="89" t="str">
        <f t="shared" ca="1" si="5"/>
        <v>B413</v>
      </c>
      <c r="BD39" s="89">
        <f ca="1">IF(BC39=0,0,RANK(BF39,$BF$11:$BF$70,0)+(COUNTIF($BF39:$BF$70,BF39)-1))</f>
        <v>31</v>
      </c>
      <c r="BE39" s="89" t="str">
        <f t="shared" ca="1" si="6"/>
        <v>090301</v>
      </c>
      <c r="BF39" s="89">
        <f t="shared" ca="1" si="7"/>
        <v>9030112</v>
      </c>
      <c r="BG39" s="89">
        <f t="shared" ca="1" si="8"/>
        <v>9</v>
      </c>
      <c r="BH39" s="89">
        <f t="shared" ca="1" si="9"/>
        <v>1</v>
      </c>
      <c r="BI39" s="89" t="str">
        <f t="shared" ca="1" si="10"/>
        <v>B423</v>
      </c>
      <c r="BJ39" s="89">
        <f t="shared" ca="1" si="11"/>
        <v>8</v>
      </c>
      <c r="BK39" s="89">
        <f t="shared" ca="1" si="12"/>
        <v>12</v>
      </c>
      <c r="BL39" s="89">
        <f t="shared" ca="1" si="13"/>
        <v>36</v>
      </c>
      <c r="BM39" s="89">
        <f t="shared" ca="1" si="14"/>
        <v>14</v>
      </c>
      <c r="BN39" s="89" t="str">
        <f t="shared" ca="1" si="15"/>
        <v>S3!B414:N422</v>
      </c>
      <c r="BO39" s="89" t="str">
        <f t="shared" ca="1" si="16"/>
        <v>c</v>
      </c>
      <c r="BP39" s="89" t="str">
        <f t="shared" ca="1" si="17"/>
        <v/>
      </c>
      <c r="BQ39" s="89" t="str">
        <f t="shared" ca="1" si="18"/>
        <v/>
      </c>
      <c r="BR39" s="87" t="str">
        <f t="shared" ca="1" si="19"/>
        <v/>
      </c>
      <c r="BS39" s="89" t="str">
        <f t="shared" ca="1" si="20"/>
        <v/>
      </c>
      <c r="BT39" s="89" t="str">
        <f t="shared" ca="1" si="21"/>
        <v/>
      </c>
      <c r="BU39" s="89" t="str">
        <f t="shared" ca="1" si="22"/>
        <v/>
      </c>
      <c r="BV39" s="87" t="str">
        <f t="shared" ca="1" si="23"/>
        <v>c</v>
      </c>
      <c r="BW39" s="87" t="str">
        <f t="shared" ca="1" si="24"/>
        <v>09030112</v>
      </c>
      <c r="BX39" s="89" t="str">
        <f t="shared" ca="1" si="25"/>
        <v>33</v>
      </c>
    </row>
    <row r="40" spans="1:76">
      <c r="A40" s="90" t="str">
        <f t="shared" si="2"/>
        <v/>
      </c>
      <c r="B40" s="98">
        <v>2</v>
      </c>
      <c r="C40" s="94">
        <v>3</v>
      </c>
      <c r="D40" s="94" t="s">
        <v>210</v>
      </c>
      <c r="E40" s="94" t="s">
        <v>210</v>
      </c>
      <c r="F40" s="94">
        <v>2</v>
      </c>
      <c r="G40" s="94">
        <v>3</v>
      </c>
      <c r="H40" s="94" t="s">
        <v>210</v>
      </c>
      <c r="I40" s="94" t="s">
        <v>202</v>
      </c>
      <c r="J40" s="94" t="s">
        <v>210</v>
      </c>
      <c r="K40" s="94">
        <v>-2</v>
      </c>
      <c r="L40" s="94" t="s">
        <v>210</v>
      </c>
      <c r="M40" s="94" t="s">
        <v>210</v>
      </c>
      <c r="N40" s="94">
        <v>2</v>
      </c>
      <c r="O40" s="94">
        <v>-1</v>
      </c>
      <c r="P40" s="94" t="s">
        <v>210</v>
      </c>
      <c r="Q40" s="94">
        <v>-3</v>
      </c>
      <c r="R40" s="94" t="s">
        <v>210</v>
      </c>
      <c r="S40" s="94">
        <v>-2</v>
      </c>
      <c r="T40" s="94" t="s">
        <v>210</v>
      </c>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1">
        <f t="shared" ca="1" si="3"/>
        <v>424</v>
      </c>
      <c r="BB40" s="88" t="str">
        <f t="shared" ca="1" si="4"/>
        <v>A414:A1200</v>
      </c>
      <c r="BC40" s="89" t="str">
        <f t="shared" ca="1" si="5"/>
        <v>B424</v>
      </c>
      <c r="BD40" s="89">
        <f ca="1">IF(BC40=0,0,RANK(BF40,$BF$11:$BF$70,0)+(COUNTIF($BF40:$BF$70,BF40)-1))</f>
        <v>30</v>
      </c>
      <c r="BE40" s="89" t="str">
        <f t="shared" ca="1" si="6"/>
        <v>090301</v>
      </c>
      <c r="BF40" s="89">
        <f t="shared" ca="1" si="7"/>
        <v>9030112</v>
      </c>
      <c r="BG40" s="89">
        <f t="shared" ca="1" si="8"/>
        <v>9</v>
      </c>
      <c r="BH40" s="89">
        <f t="shared" ca="1" si="9"/>
        <v>1</v>
      </c>
      <c r="BI40" s="89" t="str">
        <f t="shared" ca="1" si="10"/>
        <v>B434</v>
      </c>
      <c r="BJ40" s="89">
        <f t="shared" ca="1" si="11"/>
        <v>8</v>
      </c>
      <c r="BK40" s="89">
        <f t="shared" ca="1" si="12"/>
        <v>12</v>
      </c>
      <c r="BL40" s="89">
        <f t="shared" ca="1" si="13"/>
        <v>36</v>
      </c>
      <c r="BM40" s="89">
        <f t="shared" ca="1" si="14"/>
        <v>14</v>
      </c>
      <c r="BN40" s="89" t="str">
        <f t="shared" ca="1" si="15"/>
        <v>S3!B425:N433</v>
      </c>
      <c r="BO40" s="89" t="str">
        <f t="shared" ca="1" si="16"/>
        <v>c</v>
      </c>
      <c r="BP40" s="89" t="str">
        <f t="shared" ca="1" si="17"/>
        <v/>
      </c>
      <c r="BQ40" s="89" t="str">
        <f t="shared" ca="1" si="18"/>
        <v/>
      </c>
      <c r="BR40" s="87" t="str">
        <f t="shared" ca="1" si="19"/>
        <v/>
      </c>
      <c r="BS40" s="89" t="str">
        <f t="shared" ca="1" si="20"/>
        <v/>
      </c>
      <c r="BT40" s="89" t="str">
        <f t="shared" ca="1" si="21"/>
        <v/>
      </c>
      <c r="BU40" s="89" t="str">
        <f t="shared" ca="1" si="22"/>
        <v/>
      </c>
      <c r="BV40" s="87" t="str">
        <f t="shared" ca="1" si="23"/>
        <v>c</v>
      </c>
      <c r="BW40" s="87" t="str">
        <f t="shared" ca="1" si="24"/>
        <v>09030112</v>
      </c>
      <c r="BX40" s="89" t="str">
        <f t="shared" ca="1" si="25"/>
        <v>23</v>
      </c>
    </row>
    <row r="41" spans="1:76">
      <c r="A41" s="90" t="str">
        <f t="shared" si="2"/>
        <v/>
      </c>
      <c r="B41" s="98">
        <v>3</v>
      </c>
      <c r="C41" s="94" t="s">
        <v>202</v>
      </c>
      <c r="D41" s="94" t="s">
        <v>210</v>
      </c>
      <c r="E41" s="94">
        <v>-2</v>
      </c>
      <c r="F41" s="94" t="s">
        <v>210</v>
      </c>
      <c r="G41" s="94">
        <v>-1</v>
      </c>
      <c r="H41" s="94" t="s">
        <v>210</v>
      </c>
      <c r="I41" s="94">
        <v>-3</v>
      </c>
      <c r="J41" s="94" t="s">
        <v>210</v>
      </c>
      <c r="K41" s="94" t="s">
        <v>210</v>
      </c>
      <c r="L41" s="94">
        <v>2</v>
      </c>
      <c r="M41" s="94">
        <v>1</v>
      </c>
      <c r="N41" s="94" t="s">
        <v>210</v>
      </c>
      <c r="O41" s="94">
        <v>-2</v>
      </c>
      <c r="P41" s="94" t="s">
        <v>210</v>
      </c>
      <c r="Q41" s="94">
        <v>3</v>
      </c>
      <c r="R41" s="94" t="s">
        <v>210</v>
      </c>
      <c r="S41" s="94" t="s">
        <v>210</v>
      </c>
      <c r="T41" s="94">
        <v>2</v>
      </c>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1">
        <f t="shared" ca="1" si="3"/>
        <v>435</v>
      </c>
      <c r="BB41" s="88" t="str">
        <f t="shared" ca="1" si="4"/>
        <v>A425:A1200</v>
      </c>
      <c r="BC41" s="89" t="str">
        <f t="shared" ca="1" si="5"/>
        <v>B435</v>
      </c>
      <c r="BD41" s="89">
        <f ca="1">IF(BC41=0,0,RANK(BF41,$BF$11:$BF$70,0)+(COUNTIF($BF41:$BF$70,BF41)-1))</f>
        <v>25</v>
      </c>
      <c r="BE41" s="89" t="str">
        <f t="shared" ca="1" si="6"/>
        <v>110301</v>
      </c>
      <c r="BF41" s="89">
        <f t="shared" ca="1" si="7"/>
        <v>11030119</v>
      </c>
      <c r="BG41" s="89">
        <f t="shared" ca="1" si="8"/>
        <v>11</v>
      </c>
      <c r="BH41" s="89">
        <f t="shared" ca="1" si="9"/>
        <v>1</v>
      </c>
      <c r="BI41" s="89" t="str">
        <f t="shared" ca="1" si="10"/>
        <v>B447</v>
      </c>
      <c r="BJ41" s="89">
        <f t="shared" ca="1" si="11"/>
        <v>10</v>
      </c>
      <c r="BK41" s="89">
        <f t="shared" ca="1" si="12"/>
        <v>19</v>
      </c>
      <c r="BL41" s="89">
        <f t="shared" ca="1" si="13"/>
        <v>55</v>
      </c>
      <c r="BM41" s="89">
        <f t="shared" ca="1" si="14"/>
        <v>21</v>
      </c>
      <c r="BN41" s="89" t="str">
        <f t="shared" ca="1" si="15"/>
        <v>S3!B436:U446</v>
      </c>
      <c r="BO41" s="89" t="str">
        <f t="shared" ca="1" si="16"/>
        <v>c</v>
      </c>
      <c r="BP41" s="89" t="str">
        <f t="shared" ca="1" si="17"/>
        <v/>
      </c>
      <c r="BQ41" s="89" t="str">
        <f t="shared" ca="1" si="18"/>
        <v/>
      </c>
      <c r="BR41" s="87" t="str">
        <f t="shared" ca="1" si="19"/>
        <v/>
      </c>
      <c r="BS41" s="89" t="str">
        <f t="shared" ca="1" si="20"/>
        <v/>
      </c>
      <c r="BT41" s="89" t="str">
        <f t="shared" ca="1" si="21"/>
        <v/>
      </c>
      <c r="BU41" s="89" t="str">
        <f t="shared" ca="1" si="22"/>
        <v/>
      </c>
      <c r="BV41" s="87" t="str">
        <f t="shared" ca="1" si="23"/>
        <v>c</v>
      </c>
      <c r="BW41" s="87" t="str">
        <f t="shared" ca="1" si="24"/>
        <v>11030119</v>
      </c>
      <c r="BX41" s="89" t="str">
        <f t="shared" ca="1" si="25"/>
        <v>23</v>
      </c>
    </row>
    <row r="42" spans="1:76">
      <c r="A42" s="90" t="str">
        <f t="shared" si="2"/>
        <v/>
      </c>
      <c r="B42" s="98">
        <v>4</v>
      </c>
      <c r="C42" s="94">
        <v>2</v>
      </c>
      <c r="D42" s="94" t="s">
        <v>210</v>
      </c>
      <c r="E42" s="94" t="s">
        <v>202</v>
      </c>
      <c r="F42" s="94" t="s">
        <v>210</v>
      </c>
      <c r="G42" s="94">
        <v>-3</v>
      </c>
      <c r="H42" s="94" t="s">
        <v>210</v>
      </c>
      <c r="I42" s="94" t="s">
        <v>210</v>
      </c>
      <c r="J42" s="94">
        <v>2</v>
      </c>
      <c r="K42" s="94">
        <v>-3</v>
      </c>
      <c r="L42" s="94" t="s">
        <v>210</v>
      </c>
      <c r="M42" s="94">
        <v>-2</v>
      </c>
      <c r="N42" s="94" t="s">
        <v>210</v>
      </c>
      <c r="O42" s="94">
        <v>3</v>
      </c>
      <c r="P42" s="94" t="s">
        <v>210</v>
      </c>
      <c r="Q42" s="94">
        <v>1</v>
      </c>
      <c r="R42" s="94" t="s">
        <v>210</v>
      </c>
      <c r="S42" s="94" t="s">
        <v>210</v>
      </c>
      <c r="T42" s="94">
        <v>-2</v>
      </c>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1">
        <f t="shared" ca="1" si="3"/>
        <v>448</v>
      </c>
      <c r="BB42" s="88" t="str">
        <f t="shared" ca="1" si="4"/>
        <v>A436:A1200</v>
      </c>
      <c r="BC42" s="89" t="str">
        <f t="shared" ca="1" si="5"/>
        <v>B448</v>
      </c>
      <c r="BD42" s="89">
        <f ca="1">IF(BC42=0,0,RANK(BF42,$BF$11:$BF$70,0)+(COUNTIF($BF42:$BF$70,BF42)-1))</f>
        <v>7</v>
      </c>
      <c r="BE42" s="89" t="str">
        <f t="shared" ca="1" si="6"/>
        <v>160302</v>
      </c>
      <c r="BF42" s="89">
        <f t="shared" ca="1" si="7"/>
        <v>16030219</v>
      </c>
      <c r="BG42" s="89">
        <f t="shared" ca="1" si="8"/>
        <v>16</v>
      </c>
      <c r="BH42" s="89">
        <f t="shared" ca="1" si="9"/>
        <v>2</v>
      </c>
      <c r="BI42" s="89" t="str">
        <f t="shared" ca="1" si="10"/>
        <v>B465</v>
      </c>
      <c r="BJ42" s="89">
        <f t="shared" ca="1" si="11"/>
        <v>7</v>
      </c>
      <c r="BK42" s="89">
        <f t="shared" ca="1" si="12"/>
        <v>19</v>
      </c>
      <c r="BL42" s="89">
        <f t="shared" ca="1" si="13"/>
        <v>56</v>
      </c>
      <c r="BM42" s="89">
        <f t="shared" ca="1" si="14"/>
        <v>21</v>
      </c>
      <c r="BN42" s="89" t="str">
        <f t="shared" ca="1" si="15"/>
        <v>S3!B449:U464</v>
      </c>
      <c r="BO42" s="89" t="str">
        <f t="shared" ca="1" si="16"/>
        <v>e</v>
      </c>
      <c r="BP42" s="89" t="str">
        <f t="shared" ca="1" si="17"/>
        <v>b</v>
      </c>
      <c r="BQ42" s="89" t="str">
        <f t="shared" ca="1" si="18"/>
        <v/>
      </c>
      <c r="BR42" s="87" t="str">
        <f t="shared" ca="1" si="19"/>
        <v/>
      </c>
      <c r="BS42" s="89" t="str">
        <f t="shared" ca="1" si="20"/>
        <v/>
      </c>
      <c r="BT42" s="89" t="str">
        <f t="shared" ca="1" si="21"/>
        <v/>
      </c>
      <c r="BU42" s="89" t="str">
        <f t="shared" ca="1" si="22"/>
        <v/>
      </c>
      <c r="BV42" s="87" t="str">
        <f t="shared" ca="1" si="23"/>
        <v/>
      </c>
      <c r="BW42" s="87" t="str">
        <f t="shared" ca="1" si="24"/>
        <v>16030219</v>
      </c>
      <c r="BX42" s="89">
        <f t="shared" ca="1" si="25"/>
        <v>0</v>
      </c>
    </row>
    <row r="43" spans="1:76">
      <c r="A43" s="90" t="str">
        <f t="shared" si="2"/>
        <v/>
      </c>
      <c r="B43" s="98">
        <v>5</v>
      </c>
      <c r="C43" s="94">
        <v>1</v>
      </c>
      <c r="D43" s="94" t="s">
        <v>210</v>
      </c>
      <c r="E43" s="94" t="s">
        <v>210</v>
      </c>
      <c r="F43" s="94">
        <v>-2</v>
      </c>
      <c r="G43" s="94">
        <v>2</v>
      </c>
      <c r="H43" s="94" t="s">
        <v>210</v>
      </c>
      <c r="I43" s="94">
        <v>3</v>
      </c>
      <c r="J43" s="94" t="s">
        <v>210</v>
      </c>
      <c r="K43" s="94">
        <v>-1</v>
      </c>
      <c r="L43" s="94" t="s">
        <v>210</v>
      </c>
      <c r="M43" s="94">
        <v>2</v>
      </c>
      <c r="N43" s="94" t="s">
        <v>210</v>
      </c>
      <c r="O43" s="94" t="s">
        <v>210</v>
      </c>
      <c r="P43" s="94">
        <v>-2</v>
      </c>
      <c r="Q43" s="94" t="s">
        <v>202</v>
      </c>
      <c r="R43" s="94" t="s">
        <v>210</v>
      </c>
      <c r="S43" s="94">
        <v>-3</v>
      </c>
      <c r="T43" s="94" t="s">
        <v>210</v>
      </c>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1">
        <f t="shared" ca="1" si="3"/>
        <v>466</v>
      </c>
      <c r="BB43" s="88" t="str">
        <f t="shared" ca="1" si="4"/>
        <v>A449:A1200</v>
      </c>
      <c r="BC43" s="89" t="str">
        <f t="shared" ca="1" si="5"/>
        <v>B466</v>
      </c>
      <c r="BD43" s="89">
        <f ca="1">IF(BC43=0,0,RANK(BF43,$BF$11:$BF$70,0)+(COUNTIF($BF43:$BF$70,BF43)-1))</f>
        <v>4</v>
      </c>
      <c r="BE43" s="89" t="str">
        <f t="shared" ca="1" si="6"/>
        <v>170302</v>
      </c>
      <c r="BF43" s="89">
        <f t="shared" ca="1" si="7"/>
        <v>17030223</v>
      </c>
      <c r="BG43" s="89">
        <f t="shared" ca="1" si="8"/>
        <v>17</v>
      </c>
      <c r="BH43" s="89">
        <f t="shared" ca="1" si="9"/>
        <v>2</v>
      </c>
      <c r="BI43" s="89" t="str">
        <f t="shared" ca="1" si="10"/>
        <v>B484</v>
      </c>
      <c r="BJ43" s="89">
        <f t="shared" ca="1" si="11"/>
        <v>8</v>
      </c>
      <c r="BK43" s="89">
        <f t="shared" ca="1" si="12"/>
        <v>23</v>
      </c>
      <c r="BL43" s="89">
        <f t="shared" ca="1" si="13"/>
        <v>68</v>
      </c>
      <c r="BM43" s="89">
        <f t="shared" ca="1" si="14"/>
        <v>25</v>
      </c>
      <c r="BN43" s="89" t="str">
        <f t="shared" ca="1" si="15"/>
        <v>S3!B467:Y483</v>
      </c>
      <c r="BO43" s="89" t="str">
        <f t="shared" ca="1" si="16"/>
        <v>e</v>
      </c>
      <c r="BP43" s="89" t="str">
        <f t="shared" ca="1" si="17"/>
        <v>b</v>
      </c>
      <c r="BQ43" s="89" t="str">
        <f t="shared" ca="1" si="18"/>
        <v/>
      </c>
      <c r="BR43" s="87" t="str">
        <f t="shared" ca="1" si="19"/>
        <v>x</v>
      </c>
      <c r="BS43" s="89" t="str">
        <f t="shared" ca="1" si="20"/>
        <v>a</v>
      </c>
      <c r="BT43" s="89" t="str">
        <f t="shared" ca="1" si="21"/>
        <v/>
      </c>
      <c r="BU43" s="89" t="str">
        <f t="shared" ca="1" si="22"/>
        <v/>
      </c>
      <c r="BV43" s="87" t="str">
        <f t="shared" ca="1" si="23"/>
        <v/>
      </c>
      <c r="BW43" s="87" t="str">
        <f t="shared" ca="1" si="24"/>
        <v>17030223</v>
      </c>
      <c r="BX43" s="89">
        <f t="shared" ca="1" si="25"/>
        <v>0</v>
      </c>
    </row>
    <row r="44" spans="1:76">
      <c r="A44" s="90" t="str">
        <f t="shared" si="2"/>
        <v/>
      </c>
      <c r="B44" s="98">
        <v>6</v>
      </c>
      <c r="C44" s="94">
        <v>-2</v>
      </c>
      <c r="D44" s="94" t="s">
        <v>210</v>
      </c>
      <c r="E44" s="94">
        <v>-3</v>
      </c>
      <c r="F44" s="94" t="s">
        <v>210</v>
      </c>
      <c r="G44" s="94" t="s">
        <v>210</v>
      </c>
      <c r="H44" s="94">
        <v>2</v>
      </c>
      <c r="I44" s="94">
        <v>-2</v>
      </c>
      <c r="J44" s="94" t="s">
        <v>210</v>
      </c>
      <c r="K44" s="94" t="s">
        <v>202</v>
      </c>
      <c r="L44" s="94" t="s">
        <v>210</v>
      </c>
      <c r="M44" s="94">
        <v>-1</v>
      </c>
      <c r="N44" s="94" t="s">
        <v>210</v>
      </c>
      <c r="O44" s="94">
        <v>1</v>
      </c>
      <c r="P44" s="94" t="s">
        <v>210</v>
      </c>
      <c r="Q44" s="94" t="s">
        <v>210</v>
      </c>
      <c r="R44" s="94">
        <v>2</v>
      </c>
      <c r="S44" s="94">
        <v>3</v>
      </c>
      <c r="T44" s="94" t="s">
        <v>210</v>
      </c>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1">
        <f t="shared" ca="1" si="3"/>
        <v>485</v>
      </c>
      <c r="BB44" s="88" t="str">
        <f t="shared" ca="1" si="4"/>
        <v>A467:A1200</v>
      </c>
      <c r="BC44" s="89" t="str">
        <f t="shared" ca="1" si="5"/>
        <v>B485</v>
      </c>
      <c r="BD44" s="89">
        <f ca="1">IF(BC44=0,0,RANK(BF44,$BF$11:$BF$70,0)+(COUNTIF($BF44:$BF$70,BF44)-1))</f>
        <v>2</v>
      </c>
      <c r="BE44" s="89" t="str">
        <f t="shared" ca="1" si="6"/>
        <v>180302</v>
      </c>
      <c r="BF44" s="89">
        <f t="shared" ca="1" si="7"/>
        <v>18030224</v>
      </c>
      <c r="BG44" s="89">
        <f t="shared" ca="1" si="8"/>
        <v>18</v>
      </c>
      <c r="BH44" s="89">
        <f t="shared" ca="1" si="9"/>
        <v>2</v>
      </c>
      <c r="BI44" s="89" t="str">
        <f t="shared" ca="1" si="10"/>
        <v>B504</v>
      </c>
      <c r="BJ44" s="89">
        <f t="shared" ca="1" si="11"/>
        <v>8</v>
      </c>
      <c r="BK44" s="89">
        <f t="shared" ca="1" si="12"/>
        <v>24</v>
      </c>
      <c r="BL44" s="89">
        <f t="shared" ca="1" si="13"/>
        <v>72</v>
      </c>
      <c r="BM44" s="89">
        <f t="shared" ca="1" si="14"/>
        <v>26</v>
      </c>
      <c r="BN44" s="89" t="str">
        <f t="shared" ca="1" si="15"/>
        <v>S3!B486:Z503</v>
      </c>
      <c r="BO44" s="89" t="str">
        <f t="shared" ca="1" si="16"/>
        <v>e</v>
      </c>
      <c r="BP44" s="89" t="str">
        <f t="shared" ca="1" si="17"/>
        <v>b</v>
      </c>
      <c r="BQ44" s="89" t="str">
        <f t="shared" ca="1" si="18"/>
        <v/>
      </c>
      <c r="BR44" s="87" t="str">
        <f t="shared" ca="1" si="19"/>
        <v/>
      </c>
      <c r="BS44" s="89" t="str">
        <f t="shared" ca="1" si="20"/>
        <v/>
      </c>
      <c r="BT44" s="89" t="str">
        <f t="shared" ca="1" si="21"/>
        <v/>
      </c>
      <c r="BU44" s="89" t="str">
        <f t="shared" ca="1" si="22"/>
        <v/>
      </c>
      <c r="BV44" s="87" t="str">
        <f t="shared" ca="1" si="23"/>
        <v/>
      </c>
      <c r="BW44" s="87" t="str">
        <f t="shared" ca="1" si="24"/>
        <v>18030224</v>
      </c>
      <c r="BX44" s="89">
        <f t="shared" ca="1" si="25"/>
        <v>0</v>
      </c>
    </row>
    <row r="45" spans="1:76">
      <c r="A45" s="90" t="str">
        <f t="shared" si="2"/>
        <v/>
      </c>
      <c r="B45" s="98">
        <v>7</v>
      </c>
      <c r="C45" s="94">
        <v>-1</v>
      </c>
      <c r="D45" s="94" t="s">
        <v>210</v>
      </c>
      <c r="E45" s="94">
        <v>1</v>
      </c>
      <c r="F45" s="94" t="s">
        <v>210</v>
      </c>
      <c r="G45" s="94" t="s">
        <v>202</v>
      </c>
      <c r="H45" s="94" t="s">
        <v>210</v>
      </c>
      <c r="I45" s="94" t="s">
        <v>210</v>
      </c>
      <c r="J45" s="94">
        <v>-2</v>
      </c>
      <c r="K45" s="94">
        <v>2</v>
      </c>
      <c r="L45" s="94" t="s">
        <v>210</v>
      </c>
      <c r="M45" s="94">
        <v>3</v>
      </c>
      <c r="N45" s="94" t="s">
        <v>210</v>
      </c>
      <c r="O45" s="94">
        <v>2</v>
      </c>
      <c r="P45" s="94" t="s">
        <v>210</v>
      </c>
      <c r="Q45" s="94" t="s">
        <v>210</v>
      </c>
      <c r="R45" s="94">
        <v>-2</v>
      </c>
      <c r="S45" s="94">
        <v>-1</v>
      </c>
      <c r="T45" s="94" t="s">
        <v>210</v>
      </c>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1">
        <f t="shared" ca="1" si="3"/>
        <v>505</v>
      </c>
      <c r="BB45" s="88" t="str">
        <f t="shared" ca="1" si="4"/>
        <v>A486:A1200</v>
      </c>
      <c r="BC45" s="89" t="str">
        <f t="shared" ca="1" si="5"/>
        <v>B505</v>
      </c>
      <c r="BD45" s="89">
        <f ca="1">IF(BC45=0,0,RANK(BF45,$BF$11:$BF$70,0)+(COUNTIF($BF45:$BF$70,BF45)-1))</f>
        <v>11</v>
      </c>
      <c r="BE45" s="89" t="str">
        <f t="shared" ca="1" si="6"/>
        <v>150302</v>
      </c>
      <c r="BF45" s="89">
        <f t="shared" ca="1" si="7"/>
        <v>15030217</v>
      </c>
      <c r="BG45" s="89">
        <f t="shared" ca="1" si="8"/>
        <v>15</v>
      </c>
      <c r="BH45" s="89">
        <f t="shared" ca="1" si="9"/>
        <v>2</v>
      </c>
      <c r="BI45" s="89" t="str">
        <f t="shared" ca="1" si="10"/>
        <v>B521</v>
      </c>
      <c r="BJ45" s="89">
        <f t="shared" ca="1" si="11"/>
        <v>7</v>
      </c>
      <c r="BK45" s="89">
        <f t="shared" ca="1" si="12"/>
        <v>17</v>
      </c>
      <c r="BL45" s="89">
        <f t="shared" ca="1" si="13"/>
        <v>49</v>
      </c>
      <c r="BM45" s="89">
        <f t="shared" ca="1" si="14"/>
        <v>19</v>
      </c>
      <c r="BN45" s="89" t="str">
        <f t="shared" ca="1" si="15"/>
        <v>S3!B506:S520</v>
      </c>
      <c r="BO45" s="89" t="str">
        <f t="shared" ca="1" si="16"/>
        <v>e</v>
      </c>
      <c r="BP45" s="89" t="str">
        <f t="shared" ca="1" si="17"/>
        <v>b</v>
      </c>
      <c r="BQ45" s="89" t="str">
        <f t="shared" ca="1" si="18"/>
        <v>w</v>
      </c>
      <c r="BR45" s="87" t="str">
        <f t="shared" ca="1" si="19"/>
        <v/>
      </c>
      <c r="BS45" s="89" t="str">
        <f t="shared" ca="1" si="20"/>
        <v/>
      </c>
      <c r="BT45" s="89" t="str">
        <f t="shared" ca="1" si="21"/>
        <v/>
      </c>
      <c r="BU45" s="89" t="str">
        <f t="shared" ca="1" si="22"/>
        <v/>
      </c>
      <c r="BV45" s="87" t="str">
        <f t="shared" ca="1" si="23"/>
        <v/>
      </c>
      <c r="BW45" s="87" t="str">
        <f t="shared" ca="1" si="24"/>
        <v>15030217</v>
      </c>
      <c r="BX45" s="89">
        <f t="shared" ca="1" si="25"/>
        <v>0</v>
      </c>
    </row>
    <row r="46" spans="1:76">
      <c r="A46" s="90" t="str">
        <f t="shared" si="2"/>
        <v/>
      </c>
      <c r="B46" s="98">
        <v>8</v>
      </c>
      <c r="C46" s="94">
        <v>-3</v>
      </c>
      <c r="D46" s="94" t="s">
        <v>210</v>
      </c>
      <c r="E46" s="94">
        <v>2</v>
      </c>
      <c r="F46" s="94" t="s">
        <v>210</v>
      </c>
      <c r="G46" s="94" t="s">
        <v>210</v>
      </c>
      <c r="H46" s="94">
        <v>-2</v>
      </c>
      <c r="I46" s="94">
        <v>-1</v>
      </c>
      <c r="J46" s="94" t="s">
        <v>210</v>
      </c>
      <c r="K46" s="94">
        <v>3</v>
      </c>
      <c r="L46" s="94" t="s">
        <v>210</v>
      </c>
      <c r="M46" s="94" t="s">
        <v>202</v>
      </c>
      <c r="N46" s="94" t="s">
        <v>210</v>
      </c>
      <c r="O46" s="94" t="s">
        <v>210</v>
      </c>
      <c r="P46" s="94">
        <v>2</v>
      </c>
      <c r="Q46" s="94">
        <v>-2</v>
      </c>
      <c r="R46" s="94" t="s">
        <v>210</v>
      </c>
      <c r="S46" s="94">
        <v>1</v>
      </c>
      <c r="T46" s="94" t="s">
        <v>210</v>
      </c>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1">
        <f t="shared" ca="1" si="3"/>
        <v>0</v>
      </c>
      <c r="BB46" s="88" t="str">
        <f t="shared" ca="1" si="4"/>
        <v>A506:A1200</v>
      </c>
      <c r="BC46" s="89">
        <f t="shared" ca="1" si="5"/>
        <v>0</v>
      </c>
      <c r="BD46" s="89">
        <f ca="1">IF(BC46=0,0,RANK(BF46,$BF$11:$BF$70,0)+(COUNTIF($BF46:$BF$70,BF46)-1))</f>
        <v>0</v>
      </c>
      <c r="BE46" s="89">
        <f t="shared" ca="1" si="6"/>
        <v>0</v>
      </c>
      <c r="BF46" s="89">
        <f t="shared" ca="1" si="7"/>
        <v>0</v>
      </c>
      <c r="BG46" s="89">
        <f t="shared" ca="1" si="8"/>
        <v>0</v>
      </c>
      <c r="BH46" s="89">
        <f t="shared" ca="1" si="9"/>
        <v>0</v>
      </c>
      <c r="BI46" s="89">
        <f t="shared" ca="1" si="10"/>
        <v>0</v>
      </c>
      <c r="BJ46" s="89">
        <f t="shared" ca="1" si="11"/>
        <v>0</v>
      </c>
      <c r="BK46" s="89">
        <f t="shared" ca="1" si="12"/>
        <v>0</v>
      </c>
      <c r="BL46" s="89">
        <f t="shared" ca="1" si="13"/>
        <v>0</v>
      </c>
      <c r="BM46" s="89">
        <f t="shared" ca="1" si="14"/>
        <v>0</v>
      </c>
      <c r="BN46" s="89">
        <f t="shared" ca="1" si="15"/>
        <v>0</v>
      </c>
      <c r="BO46" s="89">
        <f t="shared" ca="1" si="16"/>
        <v>0</v>
      </c>
      <c r="BP46" s="89">
        <f t="shared" ca="1" si="17"/>
        <v>0</v>
      </c>
      <c r="BQ46" s="89">
        <f t="shared" ca="1" si="18"/>
        <v>0</v>
      </c>
      <c r="BR46" s="87">
        <f t="shared" ca="1" si="19"/>
        <v>0</v>
      </c>
      <c r="BS46" s="89">
        <f t="shared" ca="1" si="20"/>
        <v>0</v>
      </c>
      <c r="BT46" s="89">
        <f t="shared" ca="1" si="21"/>
        <v>0</v>
      </c>
      <c r="BU46" s="89">
        <f t="shared" ca="1" si="22"/>
        <v>0</v>
      </c>
      <c r="BV46" s="87">
        <f t="shared" ca="1" si="23"/>
        <v>0</v>
      </c>
      <c r="BW46" s="87" t="str">
        <f t="shared" ca="1" si="24"/>
        <v>000</v>
      </c>
      <c r="BX46" s="89">
        <f t="shared" ca="1" si="25"/>
        <v>0</v>
      </c>
    </row>
    <row r="47" spans="1:76">
      <c r="A47" s="90" t="str">
        <f t="shared" si="2"/>
        <v/>
      </c>
      <c r="B47" s="98">
        <v>9</v>
      </c>
      <c r="C47" s="94" t="s">
        <v>210</v>
      </c>
      <c r="D47" s="94">
        <v>-2</v>
      </c>
      <c r="E47" s="94">
        <v>-1</v>
      </c>
      <c r="F47" s="94" t="s">
        <v>210</v>
      </c>
      <c r="G47" s="94">
        <v>1</v>
      </c>
      <c r="H47" s="94" t="s">
        <v>210</v>
      </c>
      <c r="I47" s="94">
        <v>2</v>
      </c>
      <c r="J47" s="94" t="s">
        <v>210</v>
      </c>
      <c r="K47" s="94">
        <v>1</v>
      </c>
      <c r="L47" s="94" t="s">
        <v>210</v>
      </c>
      <c r="M47" s="94" t="s">
        <v>210</v>
      </c>
      <c r="N47" s="94">
        <v>-2</v>
      </c>
      <c r="O47" s="94">
        <v>-3</v>
      </c>
      <c r="P47" s="94" t="s">
        <v>210</v>
      </c>
      <c r="Q47" s="94">
        <v>2</v>
      </c>
      <c r="R47" s="94" t="s">
        <v>210</v>
      </c>
      <c r="S47" s="94" t="s">
        <v>202</v>
      </c>
      <c r="T47" s="94" t="s">
        <v>210</v>
      </c>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1">
        <f t="shared" ca="1" si="3"/>
        <v>0</v>
      </c>
      <c r="BB47" s="88" t="str">
        <f t="shared" ca="1" si="4"/>
        <v/>
      </c>
      <c r="BC47" s="89">
        <f t="shared" ca="1" si="5"/>
        <v>0</v>
      </c>
      <c r="BD47" s="89">
        <f ca="1">IF(BC47=0,0,RANK(BF47,$BF$11:$BF$70,0)+(COUNTIF($BF47:$BF$70,BF47)-1))</f>
        <v>0</v>
      </c>
      <c r="BE47" s="89">
        <f t="shared" ca="1" si="6"/>
        <v>0</v>
      </c>
      <c r="BF47" s="89">
        <f t="shared" ca="1" si="7"/>
        <v>0</v>
      </c>
      <c r="BG47" s="89">
        <f t="shared" ca="1" si="8"/>
        <v>0</v>
      </c>
      <c r="BH47" s="89">
        <f t="shared" ca="1" si="9"/>
        <v>0</v>
      </c>
      <c r="BI47" s="89">
        <f t="shared" ca="1" si="10"/>
        <v>0</v>
      </c>
      <c r="BJ47" s="89">
        <f t="shared" ca="1" si="11"/>
        <v>0</v>
      </c>
      <c r="BK47" s="89">
        <f t="shared" ca="1" si="12"/>
        <v>0</v>
      </c>
      <c r="BL47" s="89">
        <f t="shared" ca="1" si="13"/>
        <v>0</v>
      </c>
      <c r="BM47" s="89">
        <f t="shared" ca="1" si="14"/>
        <v>0</v>
      </c>
      <c r="BN47" s="89">
        <f t="shared" ca="1" si="15"/>
        <v>0</v>
      </c>
      <c r="BO47" s="89">
        <f t="shared" ca="1" si="16"/>
        <v>0</v>
      </c>
      <c r="BP47" s="89">
        <f t="shared" ca="1" si="17"/>
        <v>0</v>
      </c>
      <c r="BQ47" s="89">
        <f t="shared" ca="1" si="18"/>
        <v>0</v>
      </c>
      <c r="BR47" s="87">
        <f t="shared" ca="1" si="19"/>
        <v>0</v>
      </c>
      <c r="BS47" s="89">
        <f t="shared" ca="1" si="20"/>
        <v>0</v>
      </c>
      <c r="BT47" s="89">
        <f t="shared" ca="1" si="21"/>
        <v>0</v>
      </c>
      <c r="BU47" s="89">
        <f t="shared" ca="1" si="22"/>
        <v>0</v>
      </c>
      <c r="BV47" s="87">
        <f t="shared" ca="1" si="23"/>
        <v>0</v>
      </c>
      <c r="BW47" s="87" t="str">
        <f t="shared" ca="1" si="24"/>
        <v>000</v>
      </c>
      <c r="BX47" s="89">
        <f t="shared" ca="1" si="25"/>
        <v>0</v>
      </c>
    </row>
    <row r="48" spans="1:76">
      <c r="A48" s="90" t="str">
        <f t="shared" si="2"/>
        <v/>
      </c>
      <c r="B48" s="98" t="s">
        <v>219</v>
      </c>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c r="AZ48" s="94"/>
      <c r="BA48" s="91">
        <f t="shared" ca="1" si="3"/>
        <v>0</v>
      </c>
      <c r="BB48" s="88" t="str">
        <f t="shared" ca="1" si="4"/>
        <v/>
      </c>
      <c r="BC48" s="89">
        <f t="shared" ca="1" si="5"/>
        <v>0</v>
      </c>
      <c r="BD48" s="89">
        <f ca="1">IF(BC48=0,0,RANK(BF48,$BF$11:$BF$70,0)+(COUNTIF($BF48:$BF$70,BF48)-1))</f>
        <v>0</v>
      </c>
      <c r="BE48" s="89">
        <f t="shared" ca="1" si="6"/>
        <v>0</v>
      </c>
      <c r="BF48" s="89">
        <f t="shared" ca="1" si="7"/>
        <v>0</v>
      </c>
      <c r="BG48" s="89">
        <f t="shared" ca="1" si="8"/>
        <v>0</v>
      </c>
      <c r="BH48" s="89">
        <f t="shared" ca="1" si="9"/>
        <v>0</v>
      </c>
      <c r="BI48" s="89">
        <f t="shared" ca="1" si="10"/>
        <v>0</v>
      </c>
      <c r="BJ48" s="89">
        <f t="shared" ca="1" si="11"/>
        <v>0</v>
      </c>
      <c r="BK48" s="89">
        <f t="shared" ca="1" si="12"/>
        <v>0</v>
      </c>
      <c r="BL48" s="89">
        <f t="shared" ca="1" si="13"/>
        <v>0</v>
      </c>
      <c r="BM48" s="89">
        <f t="shared" ca="1" si="14"/>
        <v>0</v>
      </c>
      <c r="BN48" s="89">
        <f t="shared" ca="1" si="15"/>
        <v>0</v>
      </c>
      <c r="BO48" s="89">
        <f t="shared" ca="1" si="16"/>
        <v>0</v>
      </c>
      <c r="BP48" s="89">
        <f t="shared" ca="1" si="17"/>
        <v>0</v>
      </c>
      <c r="BQ48" s="89">
        <f t="shared" ca="1" si="18"/>
        <v>0</v>
      </c>
      <c r="BR48" s="87">
        <f t="shared" ca="1" si="19"/>
        <v>0</v>
      </c>
      <c r="BS48" s="89">
        <f t="shared" ca="1" si="20"/>
        <v>0</v>
      </c>
      <c r="BT48" s="89">
        <f t="shared" ca="1" si="21"/>
        <v>0</v>
      </c>
      <c r="BU48" s="89">
        <f t="shared" ca="1" si="22"/>
        <v>0</v>
      </c>
      <c r="BV48" s="87">
        <f t="shared" ca="1" si="23"/>
        <v>0</v>
      </c>
      <c r="BW48" s="87" t="str">
        <f t="shared" ca="1" si="24"/>
        <v>000</v>
      </c>
      <c r="BX48" s="89">
        <f t="shared" ca="1" si="25"/>
        <v>0</v>
      </c>
    </row>
    <row r="49" spans="1:76">
      <c r="A49" s="90">
        <f t="shared" si="2"/>
        <v>49</v>
      </c>
      <c r="B49" s="98" t="s">
        <v>238</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1">
        <f t="shared" ca="1" si="3"/>
        <v>0</v>
      </c>
      <c r="BB49" s="88" t="str">
        <f t="shared" ca="1" si="4"/>
        <v/>
      </c>
      <c r="BC49" s="89">
        <f t="shared" ca="1" si="5"/>
        <v>0</v>
      </c>
      <c r="BD49" s="89">
        <f ca="1">IF(BC49=0,0,RANK(BF49,$BF$11:$BF$70,0)+(COUNTIF($BF49:$BF$70,BF49)-1))</f>
        <v>0</v>
      </c>
      <c r="BE49" s="89">
        <f t="shared" ca="1" si="6"/>
        <v>0</v>
      </c>
      <c r="BF49" s="89">
        <f t="shared" ca="1" si="7"/>
        <v>0</v>
      </c>
      <c r="BG49" s="89">
        <f t="shared" ca="1" si="8"/>
        <v>0</v>
      </c>
      <c r="BH49" s="89">
        <f t="shared" ca="1" si="9"/>
        <v>0</v>
      </c>
      <c r="BI49" s="89">
        <f t="shared" ca="1" si="10"/>
        <v>0</v>
      </c>
      <c r="BJ49" s="89">
        <f t="shared" ca="1" si="11"/>
        <v>0</v>
      </c>
      <c r="BK49" s="89">
        <f t="shared" ca="1" si="12"/>
        <v>0</v>
      </c>
      <c r="BL49" s="89">
        <f t="shared" ca="1" si="13"/>
        <v>0</v>
      </c>
      <c r="BM49" s="89">
        <f t="shared" ca="1" si="14"/>
        <v>0</v>
      </c>
      <c r="BN49" s="89">
        <f t="shared" ca="1" si="15"/>
        <v>0</v>
      </c>
      <c r="BO49" s="89">
        <f t="shared" ca="1" si="16"/>
        <v>0</v>
      </c>
      <c r="BP49" s="89">
        <f t="shared" ca="1" si="17"/>
        <v>0</v>
      </c>
      <c r="BQ49" s="89">
        <f t="shared" ca="1" si="18"/>
        <v>0</v>
      </c>
      <c r="BR49" s="87">
        <f t="shared" ca="1" si="19"/>
        <v>0</v>
      </c>
      <c r="BS49" s="89">
        <f t="shared" ca="1" si="20"/>
        <v>0</v>
      </c>
      <c r="BT49" s="89">
        <f t="shared" ca="1" si="21"/>
        <v>0</v>
      </c>
      <c r="BU49" s="89">
        <f t="shared" ca="1" si="22"/>
        <v>0</v>
      </c>
      <c r="BV49" s="87">
        <f t="shared" ca="1" si="23"/>
        <v>0</v>
      </c>
      <c r="BW49" s="87" t="str">
        <f t="shared" ca="1" si="24"/>
        <v>000</v>
      </c>
      <c r="BX49" s="89">
        <f t="shared" ca="1" si="25"/>
        <v>0</v>
      </c>
    </row>
    <row r="50" spans="1:76">
      <c r="A50" s="90" t="str">
        <f t="shared" si="2"/>
        <v/>
      </c>
      <c r="B50" s="98">
        <v>1</v>
      </c>
      <c r="C50" s="94">
        <v>-3</v>
      </c>
      <c r="D50" s="94" t="s">
        <v>210</v>
      </c>
      <c r="E50" s="94" t="s">
        <v>210</v>
      </c>
      <c r="F50" s="94">
        <v>3</v>
      </c>
      <c r="G50" s="94">
        <v>-1</v>
      </c>
      <c r="H50" s="94" t="s">
        <v>210</v>
      </c>
      <c r="I50" s="94">
        <v>-2</v>
      </c>
      <c r="J50" s="94" t="s">
        <v>210</v>
      </c>
      <c r="K50" s="94" t="s">
        <v>210</v>
      </c>
      <c r="L50" s="94">
        <v>2</v>
      </c>
      <c r="M50" s="94">
        <v>-1</v>
      </c>
      <c r="N50" s="94" t="s">
        <v>210</v>
      </c>
      <c r="O50" s="94" t="s">
        <v>210</v>
      </c>
      <c r="P50" s="94">
        <v>1</v>
      </c>
      <c r="Q50" s="94">
        <v>3</v>
      </c>
      <c r="R50" s="94" t="s">
        <v>210</v>
      </c>
      <c r="S50" s="94">
        <v>-2</v>
      </c>
      <c r="T50" s="94" t="s">
        <v>210</v>
      </c>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1">
        <f t="shared" ca="1" si="3"/>
        <v>0</v>
      </c>
      <c r="BB50" s="88" t="str">
        <f t="shared" ca="1" si="4"/>
        <v/>
      </c>
      <c r="BC50" s="89">
        <f t="shared" ca="1" si="5"/>
        <v>0</v>
      </c>
      <c r="BD50" s="89">
        <f ca="1">IF(BC50=0,0,RANK(BF50,$BF$11:$BF$70,0)+(COUNTIF($BF50:$BF$70,BF50)-1))</f>
        <v>0</v>
      </c>
      <c r="BE50" s="89">
        <f t="shared" ca="1" si="6"/>
        <v>0</v>
      </c>
      <c r="BF50" s="89">
        <f t="shared" ca="1" si="7"/>
        <v>0</v>
      </c>
      <c r="BG50" s="89">
        <f t="shared" ca="1" si="8"/>
        <v>0</v>
      </c>
      <c r="BH50" s="89">
        <f t="shared" ca="1" si="9"/>
        <v>0</v>
      </c>
      <c r="BI50" s="89">
        <f t="shared" ca="1" si="10"/>
        <v>0</v>
      </c>
      <c r="BJ50" s="89">
        <f t="shared" ca="1" si="11"/>
        <v>0</v>
      </c>
      <c r="BK50" s="89">
        <f t="shared" ca="1" si="12"/>
        <v>0</v>
      </c>
      <c r="BL50" s="89">
        <f t="shared" ca="1" si="13"/>
        <v>0</v>
      </c>
      <c r="BM50" s="89">
        <f t="shared" ca="1" si="14"/>
        <v>0</v>
      </c>
      <c r="BN50" s="89">
        <f t="shared" ca="1" si="15"/>
        <v>0</v>
      </c>
      <c r="BO50" s="89">
        <f t="shared" ca="1" si="16"/>
        <v>0</v>
      </c>
      <c r="BP50" s="89">
        <f t="shared" ca="1" si="17"/>
        <v>0</v>
      </c>
      <c r="BQ50" s="89">
        <f t="shared" ca="1" si="18"/>
        <v>0</v>
      </c>
      <c r="BR50" s="87">
        <f t="shared" ca="1" si="19"/>
        <v>0</v>
      </c>
      <c r="BS50" s="89">
        <f t="shared" ca="1" si="20"/>
        <v>0</v>
      </c>
      <c r="BT50" s="89">
        <f t="shared" ca="1" si="21"/>
        <v>0</v>
      </c>
      <c r="BU50" s="89">
        <f t="shared" ca="1" si="22"/>
        <v>0</v>
      </c>
      <c r="BV50" s="87">
        <f t="shared" ca="1" si="23"/>
        <v>0</v>
      </c>
      <c r="BW50" s="87" t="str">
        <f t="shared" ca="1" si="24"/>
        <v>000</v>
      </c>
      <c r="BX50" s="89">
        <f t="shared" ca="1" si="25"/>
        <v>0</v>
      </c>
    </row>
    <row r="51" spans="1:76">
      <c r="A51" s="90" t="str">
        <f t="shared" si="2"/>
        <v/>
      </c>
      <c r="B51" s="98">
        <v>2</v>
      </c>
      <c r="C51" s="94">
        <v>2</v>
      </c>
      <c r="D51" s="94" t="s">
        <v>210</v>
      </c>
      <c r="E51" s="94" t="s">
        <v>210</v>
      </c>
      <c r="F51" s="94">
        <v>1</v>
      </c>
      <c r="G51" s="94">
        <v>-3</v>
      </c>
      <c r="H51" s="94" t="s">
        <v>210</v>
      </c>
      <c r="I51" s="94">
        <v>-1</v>
      </c>
      <c r="J51" s="94" t="s">
        <v>210</v>
      </c>
      <c r="K51" s="94">
        <v>3</v>
      </c>
      <c r="L51" s="94" t="s">
        <v>210</v>
      </c>
      <c r="M51" s="94" t="s">
        <v>210</v>
      </c>
      <c r="N51" s="94">
        <v>-2</v>
      </c>
      <c r="O51" s="94">
        <v>1</v>
      </c>
      <c r="P51" s="94" t="s">
        <v>210</v>
      </c>
      <c r="Q51" s="94" t="s">
        <v>210</v>
      </c>
      <c r="R51" s="94">
        <v>-3</v>
      </c>
      <c r="S51" s="94">
        <v>2</v>
      </c>
      <c r="T51" s="94" t="s">
        <v>210</v>
      </c>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1">
        <f t="shared" ca="1" si="3"/>
        <v>0</v>
      </c>
      <c r="BB51" s="88" t="str">
        <f t="shared" ca="1" si="4"/>
        <v/>
      </c>
      <c r="BC51" s="89">
        <f t="shared" ca="1" si="5"/>
        <v>0</v>
      </c>
      <c r="BD51" s="89">
        <f ca="1">IF(BC51=0,0,RANK(BF51,$BF$11:$BF$70,0)+(COUNTIF($BF51:$BF$70,BF51)-1))</f>
        <v>0</v>
      </c>
      <c r="BE51" s="89">
        <f t="shared" ca="1" si="6"/>
        <v>0</v>
      </c>
      <c r="BF51" s="89">
        <f t="shared" ca="1" si="7"/>
        <v>0</v>
      </c>
      <c r="BG51" s="89">
        <f t="shared" ca="1" si="8"/>
        <v>0</v>
      </c>
      <c r="BH51" s="89">
        <f t="shared" ca="1" si="9"/>
        <v>0</v>
      </c>
      <c r="BI51" s="89">
        <f t="shared" ca="1" si="10"/>
        <v>0</v>
      </c>
      <c r="BJ51" s="89">
        <f t="shared" ca="1" si="11"/>
        <v>0</v>
      </c>
      <c r="BK51" s="89">
        <f t="shared" ca="1" si="12"/>
        <v>0</v>
      </c>
      <c r="BL51" s="89">
        <f t="shared" ca="1" si="13"/>
        <v>0</v>
      </c>
      <c r="BM51" s="89">
        <f t="shared" ca="1" si="14"/>
        <v>0</v>
      </c>
      <c r="BN51" s="89">
        <f t="shared" ca="1" si="15"/>
        <v>0</v>
      </c>
      <c r="BO51" s="89">
        <f t="shared" ca="1" si="16"/>
        <v>0</v>
      </c>
      <c r="BP51" s="89">
        <f t="shared" ca="1" si="17"/>
        <v>0</v>
      </c>
      <c r="BQ51" s="89">
        <f t="shared" ca="1" si="18"/>
        <v>0</v>
      </c>
      <c r="BR51" s="87">
        <f t="shared" ca="1" si="19"/>
        <v>0</v>
      </c>
      <c r="BS51" s="89">
        <f t="shared" ca="1" si="20"/>
        <v>0</v>
      </c>
      <c r="BT51" s="89">
        <f t="shared" ca="1" si="21"/>
        <v>0</v>
      </c>
      <c r="BU51" s="89">
        <f t="shared" ca="1" si="22"/>
        <v>0</v>
      </c>
      <c r="BV51" s="87">
        <f t="shared" ca="1" si="23"/>
        <v>0</v>
      </c>
      <c r="BW51" s="87" t="str">
        <f t="shared" ca="1" si="24"/>
        <v>000</v>
      </c>
      <c r="BX51" s="89">
        <f t="shared" ca="1" si="25"/>
        <v>0</v>
      </c>
    </row>
    <row r="52" spans="1:76">
      <c r="A52" s="90" t="str">
        <f t="shared" si="2"/>
        <v/>
      </c>
      <c r="B52" s="98">
        <v>3</v>
      </c>
      <c r="C52" s="94">
        <v>-1</v>
      </c>
      <c r="D52" s="94" t="s">
        <v>210</v>
      </c>
      <c r="E52" s="94">
        <v>-3</v>
      </c>
      <c r="F52" s="94" t="s">
        <v>210</v>
      </c>
      <c r="G52" s="94" t="s">
        <v>210</v>
      </c>
      <c r="H52" s="94">
        <v>2</v>
      </c>
      <c r="I52" s="94">
        <v>2</v>
      </c>
      <c r="J52" s="94" t="s">
        <v>210</v>
      </c>
      <c r="K52" s="94" t="s">
        <v>210</v>
      </c>
      <c r="L52" s="94">
        <v>-1</v>
      </c>
      <c r="M52" s="94">
        <v>3</v>
      </c>
      <c r="N52" s="94" t="s">
        <v>210</v>
      </c>
      <c r="O52" s="94">
        <v>-2</v>
      </c>
      <c r="P52" s="94" t="s">
        <v>210</v>
      </c>
      <c r="Q52" s="94" t="s">
        <v>210</v>
      </c>
      <c r="R52" s="94">
        <v>3</v>
      </c>
      <c r="S52" s="94">
        <v>1</v>
      </c>
      <c r="T52" s="94" t="s">
        <v>210</v>
      </c>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1">
        <f t="shared" ca="1" si="3"/>
        <v>0</v>
      </c>
      <c r="BB52" s="88" t="str">
        <f t="shared" ca="1" si="4"/>
        <v/>
      </c>
      <c r="BC52" s="89">
        <f t="shared" ca="1" si="5"/>
        <v>0</v>
      </c>
      <c r="BD52" s="89">
        <f ca="1">IF(BC52=0,0,RANK(BF52,$BF$11:$BF$70,0)+(COUNTIF($BF52:$BF$70,BF52)-1))</f>
        <v>0</v>
      </c>
      <c r="BE52" s="89">
        <f t="shared" ca="1" si="6"/>
        <v>0</v>
      </c>
      <c r="BF52" s="89">
        <f t="shared" ca="1" si="7"/>
        <v>0</v>
      </c>
      <c r="BG52" s="89">
        <f t="shared" ca="1" si="8"/>
        <v>0</v>
      </c>
      <c r="BH52" s="89">
        <f t="shared" ca="1" si="9"/>
        <v>0</v>
      </c>
      <c r="BI52" s="89">
        <f t="shared" ca="1" si="10"/>
        <v>0</v>
      </c>
      <c r="BJ52" s="89">
        <f t="shared" ca="1" si="11"/>
        <v>0</v>
      </c>
      <c r="BK52" s="89">
        <f t="shared" ca="1" si="12"/>
        <v>0</v>
      </c>
      <c r="BL52" s="89">
        <f t="shared" ca="1" si="13"/>
        <v>0</v>
      </c>
      <c r="BM52" s="89">
        <f t="shared" ca="1" si="14"/>
        <v>0</v>
      </c>
      <c r="BN52" s="89">
        <f t="shared" ca="1" si="15"/>
        <v>0</v>
      </c>
      <c r="BO52" s="89">
        <f t="shared" ca="1" si="16"/>
        <v>0</v>
      </c>
      <c r="BP52" s="89">
        <f t="shared" ca="1" si="17"/>
        <v>0</v>
      </c>
      <c r="BQ52" s="89">
        <f t="shared" ca="1" si="18"/>
        <v>0</v>
      </c>
      <c r="BR52" s="87">
        <f t="shared" ca="1" si="19"/>
        <v>0</v>
      </c>
      <c r="BS52" s="89">
        <f t="shared" ca="1" si="20"/>
        <v>0</v>
      </c>
      <c r="BT52" s="89">
        <f t="shared" ca="1" si="21"/>
        <v>0</v>
      </c>
      <c r="BU52" s="89">
        <f t="shared" ca="1" si="22"/>
        <v>0</v>
      </c>
      <c r="BV52" s="87">
        <f t="shared" ca="1" si="23"/>
        <v>0</v>
      </c>
      <c r="BW52" s="87" t="str">
        <f t="shared" ca="1" si="24"/>
        <v>000</v>
      </c>
      <c r="BX52" s="89">
        <f t="shared" ca="1" si="25"/>
        <v>0</v>
      </c>
    </row>
    <row r="53" spans="1:76">
      <c r="A53" s="90" t="str">
        <f t="shared" si="2"/>
        <v/>
      </c>
      <c r="B53" s="98">
        <v>4</v>
      </c>
      <c r="C53" s="94" t="s">
        <v>210</v>
      </c>
      <c r="D53" s="94">
        <v>3</v>
      </c>
      <c r="E53" s="94">
        <v>-2</v>
      </c>
      <c r="F53" s="94" t="s">
        <v>210</v>
      </c>
      <c r="G53" s="94" t="s">
        <v>210</v>
      </c>
      <c r="H53" s="94">
        <v>-3</v>
      </c>
      <c r="I53" s="94">
        <v>1</v>
      </c>
      <c r="J53" s="94" t="s">
        <v>210</v>
      </c>
      <c r="K53" s="94" t="s">
        <v>210</v>
      </c>
      <c r="L53" s="94">
        <v>-2</v>
      </c>
      <c r="M53" s="94">
        <v>2</v>
      </c>
      <c r="N53" s="94" t="s">
        <v>210</v>
      </c>
      <c r="O53" s="94">
        <v>-3</v>
      </c>
      <c r="P53" s="94" t="s">
        <v>210</v>
      </c>
      <c r="Q53" s="94" t="s">
        <v>210</v>
      </c>
      <c r="R53" s="94">
        <v>1</v>
      </c>
      <c r="S53" s="94">
        <v>-1</v>
      </c>
      <c r="T53" s="94" t="s">
        <v>210</v>
      </c>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1">
        <f t="shared" ca="1" si="3"/>
        <v>0</v>
      </c>
      <c r="BB53" s="88" t="str">
        <f t="shared" ca="1" si="4"/>
        <v/>
      </c>
      <c r="BC53" s="89">
        <f t="shared" ca="1" si="5"/>
        <v>0</v>
      </c>
      <c r="BD53" s="89">
        <f ca="1">IF(BC53=0,0,RANK(BF53,$BF$11:$BF$70,0)+(COUNTIF($BF53:$BF$70,BF53)-1))</f>
        <v>0</v>
      </c>
      <c r="BE53" s="89">
        <f t="shared" ca="1" si="6"/>
        <v>0</v>
      </c>
      <c r="BF53" s="89">
        <f t="shared" ca="1" si="7"/>
        <v>0</v>
      </c>
      <c r="BG53" s="89">
        <f t="shared" ca="1" si="8"/>
        <v>0</v>
      </c>
      <c r="BH53" s="89">
        <f t="shared" ca="1" si="9"/>
        <v>0</v>
      </c>
      <c r="BI53" s="89">
        <f t="shared" ca="1" si="10"/>
        <v>0</v>
      </c>
      <c r="BJ53" s="89">
        <f t="shared" ca="1" si="11"/>
        <v>0</v>
      </c>
      <c r="BK53" s="89">
        <f t="shared" ca="1" si="12"/>
        <v>0</v>
      </c>
      <c r="BL53" s="89">
        <f t="shared" ca="1" si="13"/>
        <v>0</v>
      </c>
      <c r="BM53" s="89">
        <f t="shared" ca="1" si="14"/>
        <v>0</v>
      </c>
      <c r="BN53" s="89">
        <f t="shared" ca="1" si="15"/>
        <v>0</v>
      </c>
      <c r="BO53" s="89">
        <f t="shared" ca="1" si="16"/>
        <v>0</v>
      </c>
      <c r="BP53" s="89">
        <f t="shared" ca="1" si="17"/>
        <v>0</v>
      </c>
      <c r="BQ53" s="89">
        <f t="shared" ca="1" si="18"/>
        <v>0</v>
      </c>
      <c r="BR53" s="87">
        <f t="shared" ca="1" si="19"/>
        <v>0</v>
      </c>
      <c r="BS53" s="89">
        <f t="shared" ca="1" si="20"/>
        <v>0</v>
      </c>
      <c r="BT53" s="89">
        <f t="shared" ca="1" si="21"/>
        <v>0</v>
      </c>
      <c r="BU53" s="89">
        <f t="shared" ca="1" si="22"/>
        <v>0</v>
      </c>
      <c r="BV53" s="87">
        <f t="shared" ca="1" si="23"/>
        <v>0</v>
      </c>
      <c r="BW53" s="87" t="str">
        <f t="shared" ca="1" si="24"/>
        <v>000</v>
      </c>
      <c r="BX53" s="89">
        <f t="shared" ca="1" si="25"/>
        <v>0</v>
      </c>
    </row>
    <row r="54" spans="1:76">
      <c r="A54" s="90" t="str">
        <f t="shared" si="2"/>
        <v/>
      </c>
      <c r="B54" s="98">
        <v>5</v>
      </c>
      <c r="C54" s="94">
        <v>-2</v>
      </c>
      <c r="D54" s="94" t="s">
        <v>210</v>
      </c>
      <c r="E54" s="94">
        <v>-1</v>
      </c>
      <c r="F54" s="94" t="s">
        <v>210</v>
      </c>
      <c r="G54" s="94" t="s">
        <v>210</v>
      </c>
      <c r="H54" s="94">
        <v>3</v>
      </c>
      <c r="I54" s="94">
        <v>-3</v>
      </c>
      <c r="J54" s="94" t="s">
        <v>210</v>
      </c>
      <c r="K54" s="94" t="s">
        <v>210</v>
      </c>
      <c r="L54" s="94">
        <v>1</v>
      </c>
      <c r="M54" s="94">
        <v>1</v>
      </c>
      <c r="N54" s="94" t="s">
        <v>210</v>
      </c>
      <c r="O54" s="94" t="s">
        <v>210</v>
      </c>
      <c r="P54" s="94">
        <v>-2</v>
      </c>
      <c r="Q54" s="94">
        <v>2</v>
      </c>
      <c r="R54" s="94" t="s">
        <v>210</v>
      </c>
      <c r="S54" s="94">
        <v>-3</v>
      </c>
      <c r="T54" s="94" t="s">
        <v>210</v>
      </c>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1">
        <f t="shared" ca="1" si="3"/>
        <v>0</v>
      </c>
      <c r="BB54" s="88" t="str">
        <f t="shared" ca="1" si="4"/>
        <v/>
      </c>
      <c r="BC54" s="89">
        <f t="shared" ca="1" si="5"/>
        <v>0</v>
      </c>
      <c r="BD54" s="89">
        <f ca="1">IF(BC54=0,0,RANK(BF54,$BF$11:$BF$70,0)+(COUNTIF($BF54:$BF$70,BF54)-1))</f>
        <v>0</v>
      </c>
      <c r="BE54" s="89">
        <f t="shared" ca="1" si="6"/>
        <v>0</v>
      </c>
      <c r="BF54" s="89">
        <f t="shared" ca="1" si="7"/>
        <v>0</v>
      </c>
      <c r="BG54" s="89">
        <f t="shared" ca="1" si="8"/>
        <v>0</v>
      </c>
      <c r="BH54" s="89">
        <f t="shared" ca="1" si="9"/>
        <v>0</v>
      </c>
      <c r="BI54" s="89">
        <f t="shared" ca="1" si="10"/>
        <v>0</v>
      </c>
      <c r="BJ54" s="89">
        <f t="shared" ca="1" si="11"/>
        <v>0</v>
      </c>
      <c r="BK54" s="89">
        <f t="shared" ca="1" si="12"/>
        <v>0</v>
      </c>
      <c r="BL54" s="89">
        <f t="shared" ca="1" si="13"/>
        <v>0</v>
      </c>
      <c r="BM54" s="89">
        <f t="shared" ca="1" si="14"/>
        <v>0</v>
      </c>
      <c r="BN54" s="89">
        <f t="shared" ca="1" si="15"/>
        <v>0</v>
      </c>
      <c r="BO54" s="89">
        <f t="shared" ca="1" si="16"/>
        <v>0</v>
      </c>
      <c r="BP54" s="89">
        <f t="shared" ca="1" si="17"/>
        <v>0</v>
      </c>
      <c r="BQ54" s="89">
        <f t="shared" ca="1" si="18"/>
        <v>0</v>
      </c>
      <c r="BR54" s="87">
        <f t="shared" ca="1" si="19"/>
        <v>0</v>
      </c>
      <c r="BS54" s="89">
        <f t="shared" ca="1" si="20"/>
        <v>0</v>
      </c>
      <c r="BT54" s="89">
        <f t="shared" ca="1" si="21"/>
        <v>0</v>
      </c>
      <c r="BU54" s="89">
        <f t="shared" ca="1" si="22"/>
        <v>0</v>
      </c>
      <c r="BV54" s="87">
        <f t="shared" ca="1" si="23"/>
        <v>0</v>
      </c>
      <c r="BW54" s="87" t="str">
        <f t="shared" ca="1" si="24"/>
        <v>000</v>
      </c>
      <c r="BX54" s="89">
        <f t="shared" ca="1" si="25"/>
        <v>0</v>
      </c>
    </row>
    <row r="55" spans="1:76">
      <c r="A55" s="90" t="str">
        <f t="shared" si="2"/>
        <v/>
      </c>
      <c r="B55" s="98">
        <v>6</v>
      </c>
      <c r="C55" s="94">
        <v>3</v>
      </c>
      <c r="D55" s="94" t="s">
        <v>210</v>
      </c>
      <c r="E55" s="94" t="s">
        <v>210</v>
      </c>
      <c r="F55" s="94">
        <v>-1</v>
      </c>
      <c r="G55" s="94">
        <v>-2</v>
      </c>
      <c r="H55" s="94" t="s">
        <v>210</v>
      </c>
      <c r="I55" s="94" t="s">
        <v>210</v>
      </c>
      <c r="J55" s="94">
        <v>2</v>
      </c>
      <c r="K55" s="94">
        <v>1</v>
      </c>
      <c r="L55" s="94" t="s">
        <v>210</v>
      </c>
      <c r="M55" s="94" t="s">
        <v>210</v>
      </c>
      <c r="N55" s="94">
        <v>-3</v>
      </c>
      <c r="O55" s="94">
        <v>2</v>
      </c>
      <c r="P55" s="94" t="s">
        <v>210</v>
      </c>
      <c r="Q55" s="94" t="s">
        <v>210</v>
      </c>
      <c r="R55" s="94">
        <v>-1</v>
      </c>
      <c r="S55" s="94">
        <v>3</v>
      </c>
      <c r="T55" s="94" t="s">
        <v>210</v>
      </c>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1">
        <f t="shared" ca="1" si="3"/>
        <v>0</v>
      </c>
      <c r="BB55" s="88" t="str">
        <f t="shared" ca="1" si="4"/>
        <v/>
      </c>
      <c r="BC55" s="89">
        <f t="shared" ca="1" si="5"/>
        <v>0</v>
      </c>
      <c r="BD55" s="89">
        <f ca="1">IF(BC55=0,0,RANK(BF55,$BF$11:$BF$70,0)+(COUNTIF($BF55:$BF$70,BF55)-1))</f>
        <v>0</v>
      </c>
      <c r="BE55" s="89">
        <f t="shared" ca="1" si="6"/>
        <v>0</v>
      </c>
      <c r="BF55" s="89">
        <f t="shared" ca="1" si="7"/>
        <v>0</v>
      </c>
      <c r="BG55" s="89">
        <f t="shared" ca="1" si="8"/>
        <v>0</v>
      </c>
      <c r="BH55" s="89">
        <f t="shared" ca="1" si="9"/>
        <v>0</v>
      </c>
      <c r="BI55" s="89">
        <f t="shared" ca="1" si="10"/>
        <v>0</v>
      </c>
      <c r="BJ55" s="89">
        <f t="shared" ca="1" si="11"/>
        <v>0</v>
      </c>
      <c r="BK55" s="89">
        <f t="shared" ca="1" si="12"/>
        <v>0</v>
      </c>
      <c r="BL55" s="89">
        <f t="shared" ca="1" si="13"/>
        <v>0</v>
      </c>
      <c r="BM55" s="89">
        <f t="shared" ca="1" si="14"/>
        <v>0</v>
      </c>
      <c r="BN55" s="89">
        <f t="shared" ca="1" si="15"/>
        <v>0</v>
      </c>
      <c r="BO55" s="89">
        <f t="shared" ca="1" si="16"/>
        <v>0</v>
      </c>
      <c r="BP55" s="89">
        <f t="shared" ca="1" si="17"/>
        <v>0</v>
      </c>
      <c r="BQ55" s="89">
        <f t="shared" ca="1" si="18"/>
        <v>0</v>
      </c>
      <c r="BR55" s="87">
        <f t="shared" ca="1" si="19"/>
        <v>0</v>
      </c>
      <c r="BS55" s="89">
        <f t="shared" ca="1" si="20"/>
        <v>0</v>
      </c>
      <c r="BT55" s="89">
        <f t="shared" ca="1" si="21"/>
        <v>0</v>
      </c>
      <c r="BU55" s="89">
        <f t="shared" ca="1" si="22"/>
        <v>0</v>
      </c>
      <c r="BV55" s="87">
        <f t="shared" ca="1" si="23"/>
        <v>0</v>
      </c>
      <c r="BW55" s="87" t="str">
        <f t="shared" ca="1" si="24"/>
        <v>000</v>
      </c>
      <c r="BX55" s="89">
        <f t="shared" ca="1" si="25"/>
        <v>0</v>
      </c>
    </row>
    <row r="56" spans="1:76">
      <c r="A56" s="90" t="str">
        <f t="shared" si="2"/>
        <v/>
      </c>
      <c r="B56" s="98">
        <v>7</v>
      </c>
      <c r="C56" s="94" t="s">
        <v>210</v>
      </c>
      <c r="D56" s="94">
        <v>-1</v>
      </c>
      <c r="E56" s="94">
        <v>3</v>
      </c>
      <c r="F56" s="94" t="s">
        <v>210</v>
      </c>
      <c r="G56" s="94">
        <v>1</v>
      </c>
      <c r="H56" s="94" t="s">
        <v>210</v>
      </c>
      <c r="I56" s="94" t="s">
        <v>210</v>
      </c>
      <c r="J56" s="94">
        <v>-3</v>
      </c>
      <c r="K56" s="94">
        <v>-1</v>
      </c>
      <c r="L56" s="94" t="s">
        <v>210</v>
      </c>
      <c r="M56" s="94" t="s">
        <v>210</v>
      </c>
      <c r="N56" s="94">
        <v>2</v>
      </c>
      <c r="O56" s="94">
        <v>3</v>
      </c>
      <c r="P56" s="94" t="s">
        <v>210</v>
      </c>
      <c r="Q56" s="94">
        <v>-2</v>
      </c>
      <c r="R56" s="94" t="s">
        <v>210</v>
      </c>
      <c r="S56" s="94" t="s">
        <v>210</v>
      </c>
      <c r="T56" s="94">
        <v>2</v>
      </c>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1">
        <f t="shared" ca="1" si="3"/>
        <v>0</v>
      </c>
      <c r="BB56" s="88" t="str">
        <f t="shared" ca="1" si="4"/>
        <v/>
      </c>
      <c r="BC56" s="89">
        <f t="shared" ca="1" si="5"/>
        <v>0</v>
      </c>
      <c r="BD56" s="89">
        <f ca="1">IF(BC56=0,0,RANK(BF56,$BF$11:$BF$70,0)+(COUNTIF($BF56:$BF$70,BF56)-1))</f>
        <v>0</v>
      </c>
      <c r="BE56" s="89">
        <f t="shared" ca="1" si="6"/>
        <v>0</v>
      </c>
      <c r="BF56" s="89">
        <f t="shared" ca="1" si="7"/>
        <v>0</v>
      </c>
      <c r="BG56" s="89">
        <f t="shared" ca="1" si="8"/>
        <v>0</v>
      </c>
      <c r="BH56" s="89">
        <f t="shared" ca="1" si="9"/>
        <v>0</v>
      </c>
      <c r="BI56" s="89">
        <f t="shared" ca="1" si="10"/>
        <v>0</v>
      </c>
      <c r="BJ56" s="89">
        <f t="shared" ca="1" si="11"/>
        <v>0</v>
      </c>
      <c r="BK56" s="89">
        <f t="shared" ca="1" si="12"/>
        <v>0</v>
      </c>
      <c r="BL56" s="89">
        <f t="shared" ca="1" si="13"/>
        <v>0</v>
      </c>
      <c r="BM56" s="89">
        <f t="shared" ca="1" si="14"/>
        <v>0</v>
      </c>
      <c r="BN56" s="89">
        <f t="shared" ca="1" si="15"/>
        <v>0</v>
      </c>
      <c r="BO56" s="89">
        <f t="shared" ca="1" si="16"/>
        <v>0</v>
      </c>
      <c r="BP56" s="89">
        <f t="shared" ca="1" si="17"/>
        <v>0</v>
      </c>
      <c r="BQ56" s="89">
        <f t="shared" ca="1" si="18"/>
        <v>0</v>
      </c>
      <c r="BR56" s="87">
        <f t="shared" ca="1" si="19"/>
        <v>0</v>
      </c>
      <c r="BS56" s="89">
        <f t="shared" ca="1" si="20"/>
        <v>0</v>
      </c>
      <c r="BT56" s="89">
        <f t="shared" ca="1" si="21"/>
        <v>0</v>
      </c>
      <c r="BU56" s="89">
        <f t="shared" ca="1" si="22"/>
        <v>0</v>
      </c>
      <c r="BV56" s="87">
        <f t="shared" ca="1" si="23"/>
        <v>0</v>
      </c>
      <c r="BW56" s="87" t="str">
        <f t="shared" ca="1" si="24"/>
        <v>000</v>
      </c>
      <c r="BX56" s="89">
        <f t="shared" ca="1" si="25"/>
        <v>0</v>
      </c>
    </row>
    <row r="57" spans="1:76">
      <c r="A57" s="90" t="str">
        <f t="shared" si="2"/>
        <v/>
      </c>
      <c r="B57" s="98">
        <v>8</v>
      </c>
      <c r="C57" s="94" t="s">
        <v>210</v>
      </c>
      <c r="D57" s="94">
        <v>-3</v>
      </c>
      <c r="E57" s="94">
        <v>1</v>
      </c>
      <c r="F57" s="94" t="s">
        <v>210</v>
      </c>
      <c r="G57" s="94">
        <v>3</v>
      </c>
      <c r="H57" s="94" t="s">
        <v>210</v>
      </c>
      <c r="I57" s="94" t="s">
        <v>210</v>
      </c>
      <c r="J57" s="94">
        <v>-2</v>
      </c>
      <c r="K57" s="94">
        <v>2</v>
      </c>
      <c r="L57" s="94" t="s">
        <v>210</v>
      </c>
      <c r="M57" s="94">
        <v>-3</v>
      </c>
      <c r="N57" s="94" t="s">
        <v>210</v>
      </c>
      <c r="O57" s="94" t="s">
        <v>210</v>
      </c>
      <c r="P57" s="94">
        <v>-1</v>
      </c>
      <c r="Q57" s="94">
        <v>1</v>
      </c>
      <c r="R57" s="94" t="s">
        <v>210</v>
      </c>
      <c r="S57" s="94" t="s">
        <v>210</v>
      </c>
      <c r="T57" s="94">
        <v>-2</v>
      </c>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1">
        <f t="shared" ca="1" si="3"/>
        <v>0</v>
      </c>
      <c r="BB57" s="88" t="str">
        <f t="shared" ca="1" si="4"/>
        <v/>
      </c>
      <c r="BC57" s="89">
        <f t="shared" ca="1" si="5"/>
        <v>0</v>
      </c>
      <c r="BD57" s="89">
        <f ca="1">IF(BC57=0,0,RANK(BF57,$BF$11:$BF$70,0)+(COUNTIF($BF57:$BF$70,BF57)-1))</f>
        <v>0</v>
      </c>
      <c r="BE57" s="89">
        <f t="shared" ca="1" si="6"/>
        <v>0</v>
      </c>
      <c r="BF57" s="89">
        <f t="shared" ca="1" si="7"/>
        <v>0</v>
      </c>
      <c r="BG57" s="89">
        <f t="shared" ca="1" si="8"/>
        <v>0</v>
      </c>
      <c r="BH57" s="89">
        <f t="shared" ca="1" si="9"/>
        <v>0</v>
      </c>
      <c r="BI57" s="89">
        <f t="shared" ca="1" si="10"/>
        <v>0</v>
      </c>
      <c r="BJ57" s="89">
        <f t="shared" ca="1" si="11"/>
        <v>0</v>
      </c>
      <c r="BK57" s="89">
        <f t="shared" ca="1" si="12"/>
        <v>0</v>
      </c>
      <c r="BL57" s="89">
        <f t="shared" ca="1" si="13"/>
        <v>0</v>
      </c>
      <c r="BM57" s="89">
        <f t="shared" ca="1" si="14"/>
        <v>0</v>
      </c>
      <c r="BN57" s="89">
        <f t="shared" ca="1" si="15"/>
        <v>0</v>
      </c>
      <c r="BO57" s="89">
        <f t="shared" ca="1" si="16"/>
        <v>0</v>
      </c>
      <c r="BP57" s="89">
        <f t="shared" ca="1" si="17"/>
        <v>0</v>
      </c>
      <c r="BQ57" s="89">
        <f t="shared" ca="1" si="18"/>
        <v>0</v>
      </c>
      <c r="BR57" s="87">
        <f t="shared" ca="1" si="19"/>
        <v>0</v>
      </c>
      <c r="BS57" s="89">
        <f t="shared" ca="1" si="20"/>
        <v>0</v>
      </c>
      <c r="BT57" s="89">
        <f t="shared" ca="1" si="21"/>
        <v>0</v>
      </c>
      <c r="BU57" s="89">
        <f t="shared" ca="1" si="22"/>
        <v>0</v>
      </c>
      <c r="BV57" s="87">
        <f t="shared" ca="1" si="23"/>
        <v>0</v>
      </c>
      <c r="BW57" s="87" t="str">
        <f t="shared" ca="1" si="24"/>
        <v>000</v>
      </c>
      <c r="BX57" s="89">
        <f t="shared" ca="1" si="25"/>
        <v>0</v>
      </c>
    </row>
    <row r="58" spans="1:76">
      <c r="A58" s="90" t="str">
        <f t="shared" si="2"/>
        <v/>
      </c>
      <c r="B58" s="98">
        <v>9</v>
      </c>
      <c r="C58" s="94" t="s">
        <v>210</v>
      </c>
      <c r="D58" s="94">
        <v>1</v>
      </c>
      <c r="E58" s="94">
        <v>2</v>
      </c>
      <c r="F58" s="94" t="s">
        <v>210</v>
      </c>
      <c r="G58" s="94" t="s">
        <v>210</v>
      </c>
      <c r="H58" s="94">
        <v>-2</v>
      </c>
      <c r="I58" s="94">
        <v>3</v>
      </c>
      <c r="J58" s="94" t="s">
        <v>210</v>
      </c>
      <c r="K58" s="94">
        <v>-2</v>
      </c>
      <c r="L58" s="94" t="s">
        <v>210</v>
      </c>
      <c r="M58" s="94" t="s">
        <v>210</v>
      </c>
      <c r="N58" s="94">
        <v>3</v>
      </c>
      <c r="O58" s="94">
        <v>-1</v>
      </c>
      <c r="P58" s="94" t="s">
        <v>210</v>
      </c>
      <c r="Q58" s="94">
        <v>-3</v>
      </c>
      <c r="R58" s="94" t="s">
        <v>210</v>
      </c>
      <c r="S58" s="94" t="s">
        <v>210</v>
      </c>
      <c r="T58" s="94">
        <v>-1</v>
      </c>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c r="AZ58" s="94"/>
      <c r="BA58" s="91">
        <f t="shared" ca="1" si="3"/>
        <v>0</v>
      </c>
      <c r="BB58" s="88" t="str">
        <f t="shared" ca="1" si="4"/>
        <v/>
      </c>
      <c r="BC58" s="89">
        <f t="shared" ca="1" si="5"/>
        <v>0</v>
      </c>
      <c r="BD58" s="89">
        <f ca="1">IF(BC58=0,0,RANK(BF58,$BF$11:$BF$70,0)+(COUNTIF($BF58:$BF$70,BF58)-1))</f>
        <v>0</v>
      </c>
      <c r="BE58" s="89">
        <f t="shared" ca="1" si="6"/>
        <v>0</v>
      </c>
      <c r="BF58" s="89">
        <f t="shared" ca="1" si="7"/>
        <v>0</v>
      </c>
      <c r="BG58" s="89">
        <f t="shared" ca="1" si="8"/>
        <v>0</v>
      </c>
      <c r="BH58" s="89">
        <f t="shared" ca="1" si="9"/>
        <v>0</v>
      </c>
      <c r="BI58" s="89">
        <f t="shared" ca="1" si="10"/>
        <v>0</v>
      </c>
      <c r="BJ58" s="89">
        <f t="shared" ca="1" si="11"/>
        <v>0</v>
      </c>
      <c r="BK58" s="89">
        <f t="shared" ca="1" si="12"/>
        <v>0</v>
      </c>
      <c r="BL58" s="89">
        <f t="shared" ca="1" si="13"/>
        <v>0</v>
      </c>
      <c r="BM58" s="89">
        <f t="shared" ca="1" si="14"/>
        <v>0</v>
      </c>
      <c r="BN58" s="89">
        <f t="shared" ca="1" si="15"/>
        <v>0</v>
      </c>
      <c r="BO58" s="89">
        <f t="shared" ca="1" si="16"/>
        <v>0</v>
      </c>
      <c r="BP58" s="89">
        <f t="shared" ca="1" si="17"/>
        <v>0</v>
      </c>
      <c r="BQ58" s="89">
        <f t="shared" ca="1" si="18"/>
        <v>0</v>
      </c>
      <c r="BR58" s="87">
        <f t="shared" ca="1" si="19"/>
        <v>0</v>
      </c>
      <c r="BS58" s="89">
        <f t="shared" ca="1" si="20"/>
        <v>0</v>
      </c>
      <c r="BT58" s="89">
        <f t="shared" ca="1" si="21"/>
        <v>0</v>
      </c>
      <c r="BU58" s="89">
        <f t="shared" ca="1" si="22"/>
        <v>0</v>
      </c>
      <c r="BV58" s="87">
        <f t="shared" ca="1" si="23"/>
        <v>0</v>
      </c>
      <c r="BW58" s="87" t="str">
        <f t="shared" ca="1" si="24"/>
        <v>000</v>
      </c>
      <c r="BX58" s="89">
        <f t="shared" ca="1" si="25"/>
        <v>0</v>
      </c>
    </row>
    <row r="59" spans="1:76">
      <c r="A59" s="90" t="str">
        <f t="shared" si="2"/>
        <v/>
      </c>
      <c r="B59" s="98">
        <v>10</v>
      </c>
      <c r="C59" s="94">
        <v>1</v>
      </c>
      <c r="D59" s="94" t="s">
        <v>210</v>
      </c>
      <c r="E59" s="94" t="s">
        <v>210</v>
      </c>
      <c r="F59" s="94">
        <v>-3</v>
      </c>
      <c r="G59" s="94">
        <v>2</v>
      </c>
      <c r="H59" s="94" t="s">
        <v>210</v>
      </c>
      <c r="I59" s="94" t="s">
        <v>210</v>
      </c>
      <c r="J59" s="94">
        <v>3</v>
      </c>
      <c r="K59" s="94">
        <v>-3</v>
      </c>
      <c r="L59" s="94" t="s">
        <v>210</v>
      </c>
      <c r="M59" s="94">
        <v>-2</v>
      </c>
      <c r="N59" s="94" t="s">
        <v>210</v>
      </c>
      <c r="O59" s="94" t="s">
        <v>210</v>
      </c>
      <c r="P59" s="94">
        <v>2</v>
      </c>
      <c r="Q59" s="94">
        <v>-1</v>
      </c>
      <c r="R59" s="94" t="s">
        <v>210</v>
      </c>
      <c r="S59" s="94" t="s">
        <v>210</v>
      </c>
      <c r="T59" s="94">
        <v>1</v>
      </c>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1">
        <f t="shared" ca="1" si="3"/>
        <v>0</v>
      </c>
      <c r="BB59" s="88" t="str">
        <f t="shared" ca="1" si="4"/>
        <v/>
      </c>
      <c r="BC59" s="89">
        <f t="shared" ca="1" si="5"/>
        <v>0</v>
      </c>
      <c r="BD59" s="89">
        <f ca="1">IF(BC59=0,0,RANK(BF59,$BF$11:$BF$70,0)+(COUNTIF($BF59:$BF$70,BF59)-1))</f>
        <v>0</v>
      </c>
      <c r="BE59" s="89">
        <f t="shared" ca="1" si="6"/>
        <v>0</v>
      </c>
      <c r="BF59" s="89">
        <f t="shared" ca="1" si="7"/>
        <v>0</v>
      </c>
      <c r="BG59" s="89">
        <f t="shared" ca="1" si="8"/>
        <v>0</v>
      </c>
      <c r="BH59" s="89">
        <f t="shared" ca="1" si="9"/>
        <v>0</v>
      </c>
      <c r="BI59" s="89">
        <f t="shared" ca="1" si="10"/>
        <v>0</v>
      </c>
      <c r="BJ59" s="89">
        <f t="shared" ca="1" si="11"/>
        <v>0</v>
      </c>
      <c r="BK59" s="89">
        <f t="shared" ca="1" si="12"/>
        <v>0</v>
      </c>
      <c r="BL59" s="89">
        <f t="shared" ca="1" si="13"/>
        <v>0</v>
      </c>
      <c r="BM59" s="89">
        <f t="shared" ca="1" si="14"/>
        <v>0</v>
      </c>
      <c r="BN59" s="89">
        <f t="shared" ca="1" si="15"/>
        <v>0</v>
      </c>
      <c r="BO59" s="89">
        <f t="shared" ca="1" si="16"/>
        <v>0</v>
      </c>
      <c r="BP59" s="89">
        <f t="shared" ca="1" si="17"/>
        <v>0</v>
      </c>
      <c r="BQ59" s="89">
        <f t="shared" ca="1" si="18"/>
        <v>0</v>
      </c>
      <c r="BR59" s="87">
        <f t="shared" ca="1" si="19"/>
        <v>0</v>
      </c>
      <c r="BS59" s="89">
        <f t="shared" ca="1" si="20"/>
        <v>0</v>
      </c>
      <c r="BT59" s="89">
        <f t="shared" ca="1" si="21"/>
        <v>0</v>
      </c>
      <c r="BU59" s="89">
        <f t="shared" ca="1" si="22"/>
        <v>0</v>
      </c>
      <c r="BV59" s="87">
        <f t="shared" ca="1" si="23"/>
        <v>0</v>
      </c>
      <c r="BW59" s="87" t="str">
        <f t="shared" ca="1" si="24"/>
        <v>000</v>
      </c>
      <c r="BX59" s="89">
        <f t="shared" ca="1" si="25"/>
        <v>0</v>
      </c>
    </row>
    <row r="60" spans="1:76">
      <c r="A60" s="90" t="str">
        <f t="shared" si="2"/>
        <v/>
      </c>
      <c r="B60" s="98" t="s">
        <v>239</v>
      </c>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1">
        <f t="shared" ca="1" si="3"/>
        <v>0</v>
      </c>
      <c r="BB60" s="88" t="str">
        <f t="shared" ca="1" si="4"/>
        <v/>
      </c>
      <c r="BC60" s="89">
        <f t="shared" ca="1" si="5"/>
        <v>0</v>
      </c>
      <c r="BD60" s="89">
        <f ca="1">IF(BC60=0,0,RANK(BF60,$BF$11:$BF$70,0)+(COUNTIF($BF60:$BF$70,BF60)-1))</f>
        <v>0</v>
      </c>
      <c r="BE60" s="89">
        <f t="shared" ca="1" si="6"/>
        <v>0</v>
      </c>
      <c r="BF60" s="89">
        <f t="shared" ca="1" si="7"/>
        <v>0</v>
      </c>
      <c r="BG60" s="89">
        <f t="shared" ca="1" si="8"/>
        <v>0</v>
      </c>
      <c r="BH60" s="89">
        <f t="shared" ca="1" si="9"/>
        <v>0</v>
      </c>
      <c r="BI60" s="89">
        <f t="shared" ca="1" si="10"/>
        <v>0</v>
      </c>
      <c r="BJ60" s="89">
        <f t="shared" ca="1" si="11"/>
        <v>0</v>
      </c>
      <c r="BK60" s="89">
        <f t="shared" ca="1" si="12"/>
        <v>0</v>
      </c>
      <c r="BL60" s="89">
        <f t="shared" ca="1" si="13"/>
        <v>0</v>
      </c>
      <c r="BM60" s="89">
        <f t="shared" ca="1" si="14"/>
        <v>0</v>
      </c>
      <c r="BN60" s="89">
        <f t="shared" ca="1" si="15"/>
        <v>0</v>
      </c>
      <c r="BO60" s="89">
        <f t="shared" ca="1" si="16"/>
        <v>0</v>
      </c>
      <c r="BP60" s="89">
        <f t="shared" ca="1" si="17"/>
        <v>0</v>
      </c>
      <c r="BQ60" s="89">
        <f t="shared" ca="1" si="18"/>
        <v>0</v>
      </c>
      <c r="BR60" s="87">
        <f t="shared" ca="1" si="19"/>
        <v>0</v>
      </c>
      <c r="BS60" s="89">
        <f t="shared" ca="1" si="20"/>
        <v>0</v>
      </c>
      <c r="BT60" s="89">
        <f t="shared" ca="1" si="21"/>
        <v>0</v>
      </c>
      <c r="BU60" s="89">
        <f t="shared" ca="1" si="22"/>
        <v>0</v>
      </c>
      <c r="BV60" s="87">
        <f t="shared" ca="1" si="23"/>
        <v>0</v>
      </c>
      <c r="BW60" s="87" t="str">
        <f t="shared" ca="1" si="24"/>
        <v>000</v>
      </c>
      <c r="BX60" s="89">
        <f t="shared" ca="1" si="25"/>
        <v>0</v>
      </c>
    </row>
    <row r="61" spans="1:76">
      <c r="A61" s="90">
        <f t="shared" si="2"/>
        <v>61</v>
      </c>
      <c r="B61" s="98" t="s">
        <v>240</v>
      </c>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AZ61" s="94"/>
      <c r="BA61" s="91">
        <f t="shared" ca="1" si="3"/>
        <v>0</v>
      </c>
      <c r="BB61" s="88" t="str">
        <f t="shared" ca="1" si="4"/>
        <v/>
      </c>
      <c r="BC61" s="89">
        <f t="shared" ca="1" si="5"/>
        <v>0</v>
      </c>
      <c r="BD61" s="89">
        <f ca="1">IF(BC61=0,0,RANK(BF61,$BF$11:$BF$70,0)+(COUNTIF($BF61:$BF$70,BF61)-1))</f>
        <v>0</v>
      </c>
      <c r="BE61" s="89">
        <f t="shared" ca="1" si="6"/>
        <v>0</v>
      </c>
      <c r="BF61" s="89">
        <f t="shared" ca="1" si="7"/>
        <v>0</v>
      </c>
      <c r="BG61" s="89">
        <f t="shared" ca="1" si="8"/>
        <v>0</v>
      </c>
      <c r="BH61" s="89">
        <f t="shared" ca="1" si="9"/>
        <v>0</v>
      </c>
      <c r="BI61" s="89">
        <f t="shared" ca="1" si="10"/>
        <v>0</v>
      </c>
      <c r="BJ61" s="89">
        <f t="shared" ca="1" si="11"/>
        <v>0</v>
      </c>
      <c r="BK61" s="89">
        <f t="shared" ca="1" si="12"/>
        <v>0</v>
      </c>
      <c r="BL61" s="89">
        <f t="shared" ca="1" si="13"/>
        <v>0</v>
      </c>
      <c r="BM61" s="89">
        <f t="shared" ca="1" si="14"/>
        <v>0</v>
      </c>
      <c r="BN61" s="89">
        <f t="shared" ca="1" si="15"/>
        <v>0</v>
      </c>
      <c r="BO61" s="89">
        <f t="shared" ca="1" si="16"/>
        <v>0</v>
      </c>
      <c r="BP61" s="89">
        <f t="shared" ca="1" si="17"/>
        <v>0</v>
      </c>
      <c r="BQ61" s="89">
        <f t="shared" ca="1" si="18"/>
        <v>0</v>
      </c>
      <c r="BR61" s="87">
        <f t="shared" ca="1" si="19"/>
        <v>0</v>
      </c>
      <c r="BS61" s="89">
        <f t="shared" ca="1" si="20"/>
        <v>0</v>
      </c>
      <c r="BT61" s="89">
        <f t="shared" ca="1" si="21"/>
        <v>0</v>
      </c>
      <c r="BU61" s="89">
        <f t="shared" ca="1" si="22"/>
        <v>0</v>
      </c>
      <c r="BV61" s="87">
        <f t="shared" ca="1" si="23"/>
        <v>0</v>
      </c>
      <c r="BW61" s="87" t="str">
        <f t="shared" ca="1" si="24"/>
        <v>000</v>
      </c>
      <c r="BX61" s="89">
        <f t="shared" ca="1" si="25"/>
        <v>0</v>
      </c>
    </row>
    <row r="62" spans="1:76">
      <c r="A62" s="90" t="str">
        <f t="shared" si="2"/>
        <v/>
      </c>
      <c r="B62" s="98">
        <v>1</v>
      </c>
      <c r="C62" s="94" t="s">
        <v>210</v>
      </c>
      <c r="D62" s="94">
        <v>-3</v>
      </c>
      <c r="E62" s="94">
        <v>1</v>
      </c>
      <c r="F62" s="94" t="s">
        <v>210</v>
      </c>
      <c r="G62" s="94">
        <v>-2</v>
      </c>
      <c r="H62" s="94" t="s">
        <v>210</v>
      </c>
      <c r="I62" s="94" t="s">
        <v>210</v>
      </c>
      <c r="J62" s="94">
        <v>3</v>
      </c>
      <c r="K62" s="94">
        <v>2</v>
      </c>
      <c r="L62" s="94" t="s">
        <v>210</v>
      </c>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1">
        <f t="shared" ca="1" si="3"/>
        <v>0</v>
      </c>
      <c r="BB62" s="88" t="str">
        <f t="shared" ca="1" si="4"/>
        <v/>
      </c>
      <c r="BC62" s="89">
        <f t="shared" ca="1" si="5"/>
        <v>0</v>
      </c>
      <c r="BD62" s="89">
        <f ca="1">IF(BC62=0,0,RANK(BF62,$BF$11:$BF$70,0)+(COUNTIF($BF62:$BF$70,BF62)-1))</f>
        <v>0</v>
      </c>
      <c r="BE62" s="89">
        <f t="shared" ca="1" si="6"/>
        <v>0</v>
      </c>
      <c r="BF62" s="89">
        <f t="shared" ca="1" si="7"/>
        <v>0</v>
      </c>
      <c r="BG62" s="89">
        <f t="shared" ca="1" si="8"/>
        <v>0</v>
      </c>
      <c r="BH62" s="89">
        <f t="shared" ca="1" si="9"/>
        <v>0</v>
      </c>
      <c r="BI62" s="89">
        <f t="shared" ca="1" si="10"/>
        <v>0</v>
      </c>
      <c r="BJ62" s="89">
        <f t="shared" ca="1" si="11"/>
        <v>0</v>
      </c>
      <c r="BK62" s="89">
        <f t="shared" ca="1" si="12"/>
        <v>0</v>
      </c>
      <c r="BL62" s="89">
        <f t="shared" ca="1" si="13"/>
        <v>0</v>
      </c>
      <c r="BM62" s="89">
        <f t="shared" ca="1" si="14"/>
        <v>0</v>
      </c>
      <c r="BN62" s="89">
        <f t="shared" ca="1" si="15"/>
        <v>0</v>
      </c>
      <c r="BO62" s="89">
        <f t="shared" ca="1" si="16"/>
        <v>0</v>
      </c>
      <c r="BP62" s="89">
        <f t="shared" ca="1" si="17"/>
        <v>0</v>
      </c>
      <c r="BQ62" s="89">
        <f t="shared" ca="1" si="18"/>
        <v>0</v>
      </c>
      <c r="BR62" s="87">
        <f t="shared" ca="1" si="19"/>
        <v>0</v>
      </c>
      <c r="BS62" s="89">
        <f t="shared" ca="1" si="20"/>
        <v>0</v>
      </c>
      <c r="BT62" s="89">
        <f t="shared" ca="1" si="21"/>
        <v>0</v>
      </c>
      <c r="BU62" s="89">
        <f t="shared" ca="1" si="22"/>
        <v>0</v>
      </c>
      <c r="BV62" s="87">
        <f t="shared" ca="1" si="23"/>
        <v>0</v>
      </c>
      <c r="BW62" s="87" t="str">
        <f t="shared" ca="1" si="24"/>
        <v>000</v>
      </c>
      <c r="BX62" s="89">
        <f t="shared" ca="1" si="25"/>
        <v>0</v>
      </c>
    </row>
    <row r="63" spans="1:76">
      <c r="A63" s="90" t="str">
        <f t="shared" si="2"/>
        <v/>
      </c>
      <c r="B63" s="98">
        <v>2</v>
      </c>
      <c r="C63" s="94">
        <v>-2</v>
      </c>
      <c r="D63" s="94" t="s">
        <v>210</v>
      </c>
      <c r="E63" s="94" t="s">
        <v>210</v>
      </c>
      <c r="F63" s="94">
        <v>2</v>
      </c>
      <c r="G63" s="94">
        <v>-3</v>
      </c>
      <c r="H63" s="94" t="s">
        <v>210</v>
      </c>
      <c r="I63" s="94" t="s">
        <v>210</v>
      </c>
      <c r="J63" s="94">
        <v>1</v>
      </c>
      <c r="K63" s="94">
        <v>-2</v>
      </c>
      <c r="L63" s="94" t="s">
        <v>210</v>
      </c>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1">
        <f t="shared" ca="1" si="3"/>
        <v>0</v>
      </c>
      <c r="BB63" s="88" t="str">
        <f t="shared" ca="1" si="4"/>
        <v/>
      </c>
      <c r="BC63" s="89">
        <f t="shared" ca="1" si="5"/>
        <v>0</v>
      </c>
      <c r="BD63" s="89">
        <f ca="1">IF(BC63=0,0,RANK(BF63,$BF$11:$BF$70,0)+(COUNTIF($BF63:$BF$70,BF63)-1))</f>
        <v>0</v>
      </c>
      <c r="BE63" s="89">
        <f t="shared" ca="1" si="6"/>
        <v>0</v>
      </c>
      <c r="BF63" s="89">
        <f t="shared" ca="1" si="7"/>
        <v>0</v>
      </c>
      <c r="BG63" s="89">
        <f t="shared" ca="1" si="8"/>
        <v>0</v>
      </c>
      <c r="BH63" s="89">
        <f t="shared" ca="1" si="9"/>
        <v>0</v>
      </c>
      <c r="BI63" s="89">
        <f t="shared" ca="1" si="10"/>
        <v>0</v>
      </c>
      <c r="BJ63" s="89">
        <f t="shared" ca="1" si="11"/>
        <v>0</v>
      </c>
      <c r="BK63" s="89">
        <f t="shared" ca="1" si="12"/>
        <v>0</v>
      </c>
      <c r="BL63" s="89">
        <f t="shared" ca="1" si="13"/>
        <v>0</v>
      </c>
      <c r="BM63" s="89">
        <f t="shared" ca="1" si="14"/>
        <v>0</v>
      </c>
      <c r="BN63" s="89">
        <f t="shared" ca="1" si="15"/>
        <v>0</v>
      </c>
      <c r="BO63" s="89">
        <f t="shared" ca="1" si="16"/>
        <v>0</v>
      </c>
      <c r="BP63" s="89">
        <f t="shared" ca="1" si="17"/>
        <v>0</v>
      </c>
      <c r="BQ63" s="89">
        <f t="shared" ca="1" si="18"/>
        <v>0</v>
      </c>
      <c r="BR63" s="87">
        <f t="shared" ca="1" si="19"/>
        <v>0</v>
      </c>
      <c r="BS63" s="89">
        <f t="shared" ca="1" si="20"/>
        <v>0</v>
      </c>
      <c r="BT63" s="89">
        <f t="shared" ca="1" si="21"/>
        <v>0</v>
      </c>
      <c r="BU63" s="89">
        <f t="shared" ca="1" si="22"/>
        <v>0</v>
      </c>
      <c r="BV63" s="87">
        <f t="shared" ca="1" si="23"/>
        <v>0</v>
      </c>
      <c r="BW63" s="87" t="str">
        <f t="shared" ca="1" si="24"/>
        <v>000</v>
      </c>
      <c r="BX63" s="89">
        <f t="shared" ca="1" si="25"/>
        <v>0</v>
      </c>
    </row>
    <row r="64" spans="1:76">
      <c r="A64" s="90" t="str">
        <f t="shared" si="2"/>
        <v/>
      </c>
      <c r="B64" s="98">
        <v>3</v>
      </c>
      <c r="C64" s="94">
        <v>1</v>
      </c>
      <c r="D64" s="94" t="s">
        <v>210</v>
      </c>
      <c r="E64" s="94" t="s">
        <v>210</v>
      </c>
      <c r="F64" s="94">
        <v>-3</v>
      </c>
      <c r="G64" s="94">
        <v>2</v>
      </c>
      <c r="H64" s="94" t="s">
        <v>210</v>
      </c>
      <c r="I64" s="94" t="s">
        <v>210</v>
      </c>
      <c r="J64" s="94">
        <v>-1</v>
      </c>
      <c r="K64" s="94">
        <v>3</v>
      </c>
      <c r="L64" s="94" t="s">
        <v>210</v>
      </c>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1">
        <f t="shared" ca="1" si="3"/>
        <v>0</v>
      </c>
      <c r="BB64" s="88" t="str">
        <f t="shared" ca="1" si="4"/>
        <v/>
      </c>
      <c r="BC64" s="89">
        <f t="shared" ca="1" si="5"/>
        <v>0</v>
      </c>
      <c r="BD64" s="89">
        <f ca="1">IF(BC64=0,0,RANK(BF64,$BF$11:$BF$70,0)+(COUNTIF($BF64:$BF$70,BF64)-1))</f>
        <v>0</v>
      </c>
      <c r="BE64" s="89">
        <f t="shared" ca="1" si="6"/>
        <v>0</v>
      </c>
      <c r="BF64" s="89">
        <f t="shared" ca="1" si="7"/>
        <v>0</v>
      </c>
      <c r="BG64" s="89">
        <f t="shared" ca="1" si="8"/>
        <v>0</v>
      </c>
      <c r="BH64" s="89">
        <f t="shared" ca="1" si="9"/>
        <v>0</v>
      </c>
      <c r="BI64" s="89">
        <f t="shared" ca="1" si="10"/>
        <v>0</v>
      </c>
      <c r="BJ64" s="89">
        <f t="shared" ca="1" si="11"/>
        <v>0</v>
      </c>
      <c r="BK64" s="89">
        <f t="shared" ca="1" si="12"/>
        <v>0</v>
      </c>
      <c r="BL64" s="89">
        <f t="shared" ca="1" si="13"/>
        <v>0</v>
      </c>
      <c r="BM64" s="89">
        <f t="shared" ca="1" si="14"/>
        <v>0</v>
      </c>
      <c r="BN64" s="89">
        <f t="shared" ca="1" si="15"/>
        <v>0</v>
      </c>
      <c r="BO64" s="89">
        <f t="shared" ca="1" si="16"/>
        <v>0</v>
      </c>
      <c r="BP64" s="89">
        <f t="shared" ca="1" si="17"/>
        <v>0</v>
      </c>
      <c r="BQ64" s="89">
        <f t="shared" ca="1" si="18"/>
        <v>0</v>
      </c>
      <c r="BR64" s="87">
        <f t="shared" ca="1" si="19"/>
        <v>0</v>
      </c>
      <c r="BS64" s="89">
        <f t="shared" ca="1" si="20"/>
        <v>0</v>
      </c>
      <c r="BT64" s="89">
        <f t="shared" ca="1" si="21"/>
        <v>0</v>
      </c>
      <c r="BU64" s="89">
        <f t="shared" ca="1" si="22"/>
        <v>0</v>
      </c>
      <c r="BV64" s="87">
        <f t="shared" ca="1" si="23"/>
        <v>0</v>
      </c>
      <c r="BW64" s="87" t="str">
        <f t="shared" ca="1" si="24"/>
        <v>000</v>
      </c>
      <c r="BX64" s="89">
        <f t="shared" ca="1" si="25"/>
        <v>0</v>
      </c>
    </row>
    <row r="65" spans="1:76">
      <c r="A65" s="90" t="str">
        <f t="shared" si="2"/>
        <v/>
      </c>
      <c r="B65" s="98">
        <v>4</v>
      </c>
      <c r="C65" s="94" t="s">
        <v>210</v>
      </c>
      <c r="D65" s="94">
        <v>3</v>
      </c>
      <c r="E65" s="94" t="s">
        <v>210</v>
      </c>
      <c r="F65" s="94">
        <v>-2</v>
      </c>
      <c r="G65" s="94">
        <v>1</v>
      </c>
      <c r="H65" s="94" t="s">
        <v>210</v>
      </c>
      <c r="I65" s="94">
        <v>2</v>
      </c>
      <c r="J65" s="94" t="s">
        <v>210</v>
      </c>
      <c r="K65" s="94">
        <v>-3</v>
      </c>
      <c r="L65" s="94" t="s">
        <v>210</v>
      </c>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1">
        <f t="shared" ca="1" si="3"/>
        <v>0</v>
      </c>
      <c r="BB65" s="88" t="str">
        <f ca="1">IF(BA64=0,"",CONCATENATE("A",BA64+1,":A",BB$10))</f>
        <v/>
      </c>
      <c r="BC65" s="89">
        <f t="shared" ca="1" si="5"/>
        <v>0</v>
      </c>
      <c r="BD65" s="89">
        <f ca="1">IF(BC65=0,0,RANK(BF65,$BF$11:$BF$70,0)+(COUNTIF($BF65:$BF$70,BF65)-1))</f>
        <v>0</v>
      </c>
      <c r="BE65" s="89">
        <f t="shared" ca="1" si="6"/>
        <v>0</v>
      </c>
      <c r="BF65" s="89">
        <f t="shared" ca="1" si="7"/>
        <v>0</v>
      </c>
      <c r="BG65" s="89">
        <f t="shared" ca="1" si="8"/>
        <v>0</v>
      </c>
      <c r="BH65" s="89">
        <f t="shared" ca="1" si="9"/>
        <v>0</v>
      </c>
      <c r="BI65" s="89">
        <f t="shared" ca="1" si="10"/>
        <v>0</v>
      </c>
      <c r="BJ65" s="89">
        <f t="shared" ca="1" si="11"/>
        <v>0</v>
      </c>
      <c r="BK65" s="89">
        <f t="shared" ca="1" si="12"/>
        <v>0</v>
      </c>
      <c r="BL65" s="89">
        <f t="shared" ca="1" si="13"/>
        <v>0</v>
      </c>
      <c r="BM65" s="89">
        <f t="shared" ca="1" si="14"/>
        <v>0</v>
      </c>
      <c r="BN65" s="89">
        <f t="shared" ca="1" si="15"/>
        <v>0</v>
      </c>
      <c r="BO65" s="89">
        <f t="shared" ca="1" si="16"/>
        <v>0</v>
      </c>
      <c r="BP65" s="89">
        <f t="shared" ca="1" si="17"/>
        <v>0</v>
      </c>
      <c r="BQ65" s="89">
        <f t="shared" ca="1" si="18"/>
        <v>0</v>
      </c>
      <c r="BR65" s="87">
        <f t="shared" ca="1" si="19"/>
        <v>0</v>
      </c>
      <c r="BS65" s="89">
        <f t="shared" ca="1" si="20"/>
        <v>0</v>
      </c>
      <c r="BT65" s="89">
        <f t="shared" ca="1" si="21"/>
        <v>0</v>
      </c>
      <c r="BU65" s="89">
        <f t="shared" ca="1" si="22"/>
        <v>0</v>
      </c>
      <c r="BV65" s="87">
        <f t="shared" ca="1" si="23"/>
        <v>0</v>
      </c>
      <c r="BW65" s="87" t="str">
        <f t="shared" ca="1" si="24"/>
        <v>000</v>
      </c>
      <c r="BX65" s="89">
        <f t="shared" ca="1" si="25"/>
        <v>0</v>
      </c>
    </row>
    <row r="66" spans="1:76">
      <c r="A66" s="90" t="str">
        <f t="shared" si="2"/>
        <v/>
      </c>
      <c r="B66" s="99">
        <v>5</v>
      </c>
      <c r="C66" s="92">
        <v>2</v>
      </c>
      <c r="D66" s="92" t="s">
        <v>210</v>
      </c>
      <c r="E66" s="92" t="s">
        <v>210</v>
      </c>
      <c r="F66" s="92">
        <v>3</v>
      </c>
      <c r="G66" s="92">
        <v>-1</v>
      </c>
      <c r="H66" s="92" t="s">
        <v>210</v>
      </c>
      <c r="I66" s="92" t="s">
        <v>210</v>
      </c>
      <c r="J66" s="92">
        <v>-3</v>
      </c>
      <c r="K66" s="92">
        <v>1</v>
      </c>
      <c r="L66" s="92" t="s">
        <v>210</v>
      </c>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1">
        <f t="shared" ca="1" si="3"/>
        <v>0</v>
      </c>
      <c r="BB66" s="88" t="str">
        <f t="shared" ca="1" si="4"/>
        <v/>
      </c>
      <c r="BC66" s="89">
        <f t="shared" ca="1" si="5"/>
        <v>0</v>
      </c>
      <c r="BD66" s="89">
        <f ca="1">IF(BC66=0,0,RANK(BF66,$BF$11:$BF$70,0)+(COUNTIF($BF66:$BF$70,BF66)-1))</f>
        <v>0</v>
      </c>
      <c r="BE66" s="89">
        <f t="shared" ca="1" si="6"/>
        <v>0</v>
      </c>
      <c r="BF66" s="89">
        <f t="shared" ca="1" si="7"/>
        <v>0</v>
      </c>
      <c r="BG66" s="89">
        <f t="shared" ca="1" si="8"/>
        <v>0</v>
      </c>
      <c r="BH66" s="89">
        <f t="shared" ca="1" si="9"/>
        <v>0</v>
      </c>
      <c r="BI66" s="89">
        <f t="shared" ca="1" si="10"/>
        <v>0</v>
      </c>
      <c r="BJ66" s="89">
        <f t="shared" ca="1" si="11"/>
        <v>0</v>
      </c>
      <c r="BK66" s="89">
        <f t="shared" ca="1" si="12"/>
        <v>0</v>
      </c>
      <c r="BL66" s="89">
        <f t="shared" ca="1" si="13"/>
        <v>0</v>
      </c>
      <c r="BM66" s="89">
        <f t="shared" ca="1" si="14"/>
        <v>0</v>
      </c>
      <c r="BN66" s="89">
        <f t="shared" ca="1" si="15"/>
        <v>0</v>
      </c>
      <c r="BO66" s="89">
        <f t="shared" ca="1" si="16"/>
        <v>0</v>
      </c>
      <c r="BP66" s="89">
        <f t="shared" ca="1" si="17"/>
        <v>0</v>
      </c>
      <c r="BQ66" s="89">
        <f t="shared" ca="1" si="18"/>
        <v>0</v>
      </c>
      <c r="BR66" s="87">
        <f t="shared" ca="1" si="19"/>
        <v>0</v>
      </c>
      <c r="BS66" s="89">
        <f t="shared" ca="1" si="20"/>
        <v>0</v>
      </c>
      <c r="BT66" s="89">
        <f t="shared" ca="1" si="21"/>
        <v>0</v>
      </c>
      <c r="BU66" s="89">
        <f t="shared" ca="1" si="22"/>
        <v>0</v>
      </c>
      <c r="BV66" s="87">
        <f t="shared" ca="1" si="23"/>
        <v>0</v>
      </c>
      <c r="BW66" s="87" t="str">
        <f t="shared" ca="1" si="24"/>
        <v>000</v>
      </c>
      <c r="BX66" s="89">
        <f t="shared" ca="1" si="25"/>
        <v>0</v>
      </c>
    </row>
    <row r="67" spans="1:76">
      <c r="A67" s="90" t="str">
        <f t="shared" si="2"/>
        <v/>
      </c>
      <c r="B67" s="98">
        <v>6</v>
      </c>
      <c r="C67" s="94">
        <v>3</v>
      </c>
      <c r="D67" s="94" t="s">
        <v>210</v>
      </c>
      <c r="E67" s="94">
        <v>-1</v>
      </c>
      <c r="F67" s="94" t="s">
        <v>210</v>
      </c>
      <c r="G67" s="94" t="s">
        <v>210</v>
      </c>
      <c r="H67" s="94">
        <v>2</v>
      </c>
      <c r="I67" s="94">
        <v>-3</v>
      </c>
      <c r="J67" s="94" t="s">
        <v>210</v>
      </c>
      <c r="K67" s="94" t="s">
        <v>210</v>
      </c>
      <c r="L67" s="94">
        <v>-2</v>
      </c>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1">
        <f t="shared" ca="1" si="3"/>
        <v>0</v>
      </c>
      <c r="BB67" s="88" t="str">
        <f t="shared" ca="1" si="4"/>
        <v/>
      </c>
      <c r="BC67" s="89">
        <f t="shared" ca="1" si="5"/>
        <v>0</v>
      </c>
      <c r="BD67" s="89">
        <f ca="1">IF(BC67=0,0,RANK(BF67,$BF$11:$BF$70,0)+(COUNTIF($BF67:$BF$70,BF67)-1))</f>
        <v>0</v>
      </c>
      <c r="BE67" s="89">
        <f t="shared" ca="1" si="6"/>
        <v>0</v>
      </c>
      <c r="BF67" s="89">
        <f t="shared" ca="1" si="7"/>
        <v>0</v>
      </c>
      <c r="BG67" s="89">
        <f t="shared" ca="1" si="8"/>
        <v>0</v>
      </c>
      <c r="BH67" s="89">
        <f t="shared" ca="1" si="9"/>
        <v>0</v>
      </c>
      <c r="BI67" s="89">
        <f t="shared" ca="1" si="10"/>
        <v>0</v>
      </c>
      <c r="BJ67" s="89">
        <f t="shared" ca="1" si="11"/>
        <v>0</v>
      </c>
      <c r="BK67" s="89">
        <f t="shared" ca="1" si="12"/>
        <v>0</v>
      </c>
      <c r="BL67" s="89">
        <f t="shared" ca="1" si="13"/>
        <v>0</v>
      </c>
      <c r="BM67" s="89">
        <f t="shared" ca="1" si="14"/>
        <v>0</v>
      </c>
      <c r="BN67" s="89">
        <f t="shared" ca="1" si="15"/>
        <v>0</v>
      </c>
      <c r="BO67" s="89">
        <f t="shared" ca="1" si="16"/>
        <v>0</v>
      </c>
      <c r="BP67" s="89">
        <f t="shared" ca="1" si="17"/>
        <v>0</v>
      </c>
      <c r="BQ67" s="89">
        <f t="shared" ca="1" si="18"/>
        <v>0</v>
      </c>
      <c r="BR67" s="87">
        <f t="shared" ca="1" si="19"/>
        <v>0</v>
      </c>
      <c r="BS67" s="89">
        <f t="shared" ca="1" si="20"/>
        <v>0</v>
      </c>
      <c r="BT67" s="89">
        <f t="shared" ca="1" si="21"/>
        <v>0</v>
      </c>
      <c r="BU67" s="89">
        <f t="shared" ca="1" si="22"/>
        <v>0</v>
      </c>
      <c r="BV67" s="87">
        <f t="shared" ca="1" si="23"/>
        <v>0</v>
      </c>
      <c r="BW67" s="87" t="str">
        <f t="shared" ca="1" si="24"/>
        <v>000</v>
      </c>
      <c r="BX67" s="89">
        <f t="shared" ca="1" si="25"/>
        <v>0</v>
      </c>
    </row>
    <row r="68" spans="1:76">
      <c r="A68" s="90" t="str">
        <f t="shared" si="2"/>
        <v/>
      </c>
      <c r="B68" s="98">
        <v>7</v>
      </c>
      <c r="C68" s="94" t="s">
        <v>210</v>
      </c>
      <c r="D68" s="94">
        <v>2</v>
      </c>
      <c r="E68" s="94">
        <v>-2</v>
      </c>
      <c r="F68" s="94" t="s">
        <v>210</v>
      </c>
      <c r="G68" s="94">
        <v>3</v>
      </c>
      <c r="H68" s="94" t="s">
        <v>210</v>
      </c>
      <c r="I68" s="94">
        <v>-1</v>
      </c>
      <c r="J68" s="94" t="s">
        <v>210</v>
      </c>
      <c r="K68" s="94" t="s">
        <v>210</v>
      </c>
      <c r="L68" s="94">
        <v>2</v>
      </c>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1">
        <f t="shared" ca="1" si="3"/>
        <v>0</v>
      </c>
      <c r="BB68" s="88" t="str">
        <f t="shared" ca="1" si="4"/>
        <v/>
      </c>
      <c r="BC68" s="89">
        <f t="shared" ca="1" si="5"/>
        <v>0</v>
      </c>
      <c r="BD68" s="89">
        <f ca="1">IF(BC68=0,0,RANK(BF68,$BF$11:$BF$70,0)+(COUNTIF($BF68:$BF$70,BF68)-1))</f>
        <v>0</v>
      </c>
      <c r="BE68" s="89">
        <f t="shared" ca="1" si="6"/>
        <v>0</v>
      </c>
      <c r="BF68" s="89">
        <f t="shared" ca="1" si="7"/>
        <v>0</v>
      </c>
      <c r="BG68" s="89">
        <f t="shared" ca="1" si="8"/>
        <v>0</v>
      </c>
      <c r="BH68" s="89">
        <f t="shared" ca="1" si="9"/>
        <v>0</v>
      </c>
      <c r="BI68" s="89">
        <f t="shared" ca="1" si="10"/>
        <v>0</v>
      </c>
      <c r="BJ68" s="89">
        <f t="shared" ca="1" si="11"/>
        <v>0</v>
      </c>
      <c r="BK68" s="89">
        <f t="shared" ca="1" si="12"/>
        <v>0</v>
      </c>
      <c r="BL68" s="89">
        <f t="shared" ca="1" si="13"/>
        <v>0</v>
      </c>
      <c r="BM68" s="89">
        <f t="shared" ca="1" si="14"/>
        <v>0</v>
      </c>
      <c r="BN68" s="89">
        <f t="shared" ca="1" si="15"/>
        <v>0</v>
      </c>
      <c r="BO68" s="89">
        <f t="shared" ca="1" si="16"/>
        <v>0</v>
      </c>
      <c r="BP68" s="89">
        <f t="shared" ca="1" si="17"/>
        <v>0</v>
      </c>
      <c r="BQ68" s="89">
        <f t="shared" ca="1" si="18"/>
        <v>0</v>
      </c>
      <c r="BR68" s="87">
        <f t="shared" ca="1" si="19"/>
        <v>0</v>
      </c>
      <c r="BS68" s="89">
        <f t="shared" ca="1" si="20"/>
        <v>0</v>
      </c>
      <c r="BT68" s="89">
        <f t="shared" ca="1" si="21"/>
        <v>0</v>
      </c>
      <c r="BU68" s="89">
        <f t="shared" ca="1" si="22"/>
        <v>0</v>
      </c>
      <c r="BV68" s="87">
        <f t="shared" ca="1" si="23"/>
        <v>0</v>
      </c>
      <c r="BW68" s="87" t="str">
        <f t="shared" ca="1" si="24"/>
        <v>000</v>
      </c>
      <c r="BX68" s="89">
        <f t="shared" ca="1" si="25"/>
        <v>0</v>
      </c>
    </row>
    <row r="69" spans="1:76">
      <c r="A69" s="90" t="str">
        <f t="shared" si="2"/>
        <v/>
      </c>
      <c r="B69" s="98">
        <v>8</v>
      </c>
      <c r="C69" s="94">
        <v>-1</v>
      </c>
      <c r="D69" s="94" t="s">
        <v>210</v>
      </c>
      <c r="E69" s="94">
        <v>3</v>
      </c>
      <c r="F69" s="94" t="s">
        <v>210</v>
      </c>
      <c r="G69" s="94" t="s">
        <v>210</v>
      </c>
      <c r="H69" s="94">
        <v>-2</v>
      </c>
      <c r="I69" s="94">
        <v>1</v>
      </c>
      <c r="J69" s="94" t="s">
        <v>210</v>
      </c>
      <c r="K69" s="94" t="s">
        <v>210</v>
      </c>
      <c r="L69" s="94">
        <v>-3</v>
      </c>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1">
        <f t="shared" ca="1" si="3"/>
        <v>0</v>
      </c>
      <c r="BB69" s="88" t="str">
        <f t="shared" ca="1" si="4"/>
        <v/>
      </c>
      <c r="BC69" s="89">
        <f t="shared" ca="1" si="5"/>
        <v>0</v>
      </c>
      <c r="BD69" s="89">
        <f ca="1">IF(BC69=0,0,RANK(BF69,$BF$11:$BF$70,0)+(COUNTIF($BF69:$BF$70,BF69)-1))</f>
        <v>0</v>
      </c>
      <c r="BE69" s="89">
        <f t="shared" ca="1" si="6"/>
        <v>0</v>
      </c>
      <c r="BF69" s="89">
        <f t="shared" ca="1" si="7"/>
        <v>0</v>
      </c>
      <c r="BG69" s="89">
        <f t="shared" ca="1" si="8"/>
        <v>0</v>
      </c>
      <c r="BH69" s="89">
        <f t="shared" ca="1" si="9"/>
        <v>0</v>
      </c>
      <c r="BI69" s="89">
        <f t="shared" ca="1" si="10"/>
        <v>0</v>
      </c>
      <c r="BJ69" s="89">
        <f t="shared" ca="1" si="11"/>
        <v>0</v>
      </c>
      <c r="BK69" s="89">
        <f t="shared" ca="1" si="12"/>
        <v>0</v>
      </c>
      <c r="BL69" s="89">
        <f t="shared" ca="1" si="13"/>
        <v>0</v>
      </c>
      <c r="BM69" s="89">
        <f t="shared" ca="1" si="14"/>
        <v>0</v>
      </c>
      <c r="BN69" s="89">
        <f t="shared" ca="1" si="15"/>
        <v>0</v>
      </c>
      <c r="BO69" s="89">
        <f t="shared" ca="1" si="16"/>
        <v>0</v>
      </c>
      <c r="BP69" s="89">
        <f t="shared" ca="1" si="17"/>
        <v>0</v>
      </c>
      <c r="BQ69" s="89">
        <f t="shared" ca="1" si="18"/>
        <v>0</v>
      </c>
      <c r="BR69" s="87">
        <f t="shared" ca="1" si="19"/>
        <v>0</v>
      </c>
      <c r="BS69" s="89">
        <f t="shared" ca="1" si="20"/>
        <v>0</v>
      </c>
      <c r="BT69" s="89">
        <f t="shared" ca="1" si="21"/>
        <v>0</v>
      </c>
      <c r="BU69" s="89">
        <f t="shared" ca="1" si="22"/>
        <v>0</v>
      </c>
      <c r="BV69" s="87">
        <f t="shared" ca="1" si="23"/>
        <v>0</v>
      </c>
      <c r="BW69" s="87" t="str">
        <f t="shared" ca="1" si="24"/>
        <v>000</v>
      </c>
      <c r="BX69" s="89">
        <f t="shared" ca="1" si="25"/>
        <v>0</v>
      </c>
    </row>
    <row r="70" spans="1:76">
      <c r="A70" s="90" t="str">
        <f t="shared" si="2"/>
        <v/>
      </c>
      <c r="B70" s="98">
        <v>9</v>
      </c>
      <c r="C70" s="94">
        <v>-3</v>
      </c>
      <c r="D70" s="94" t="s">
        <v>210</v>
      </c>
      <c r="E70" s="94">
        <v>2</v>
      </c>
      <c r="F70" s="94" t="s">
        <v>210</v>
      </c>
      <c r="G70" s="94" t="s">
        <v>210</v>
      </c>
      <c r="H70" s="94">
        <v>-1</v>
      </c>
      <c r="I70" s="94">
        <v>-2</v>
      </c>
      <c r="J70" s="94" t="s">
        <v>210</v>
      </c>
      <c r="K70" s="94" t="s">
        <v>210</v>
      </c>
      <c r="L70" s="94">
        <v>3</v>
      </c>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1">
        <f t="shared" ca="1" si="3"/>
        <v>0</v>
      </c>
      <c r="BB70" s="88" t="str">
        <f t="shared" ca="1" si="4"/>
        <v/>
      </c>
      <c r="BC70" s="89">
        <f t="shared" ca="1" si="5"/>
        <v>0</v>
      </c>
      <c r="BD70" s="89">
        <f ca="1">IF(BC70=0,0,RANK(BF70,$BF$11:$BF$70,0)+(COUNTIF($BF70:$BF$70,BF70)-1))</f>
        <v>0</v>
      </c>
      <c r="BE70" s="89">
        <f t="shared" ca="1" si="6"/>
        <v>0</v>
      </c>
      <c r="BF70" s="89">
        <f t="shared" ca="1" si="7"/>
        <v>0</v>
      </c>
      <c r="BG70" s="89">
        <f t="shared" ca="1" si="8"/>
        <v>0</v>
      </c>
      <c r="BH70" s="89">
        <f t="shared" ca="1" si="9"/>
        <v>0</v>
      </c>
      <c r="BI70" s="89">
        <f t="shared" ca="1" si="10"/>
        <v>0</v>
      </c>
      <c r="BJ70" s="89">
        <f t="shared" ca="1" si="11"/>
        <v>0</v>
      </c>
      <c r="BK70" s="89">
        <f t="shared" ca="1" si="12"/>
        <v>0</v>
      </c>
      <c r="BL70" s="89">
        <f t="shared" ca="1" si="13"/>
        <v>0</v>
      </c>
      <c r="BM70" s="89">
        <f t="shared" ca="1" si="14"/>
        <v>0</v>
      </c>
      <c r="BN70" s="89">
        <f t="shared" ca="1" si="15"/>
        <v>0</v>
      </c>
      <c r="BO70" s="89">
        <f t="shared" ca="1" si="16"/>
        <v>0</v>
      </c>
      <c r="BP70" s="89">
        <f t="shared" ca="1" si="17"/>
        <v>0</v>
      </c>
      <c r="BQ70" s="89">
        <f t="shared" ca="1" si="18"/>
        <v>0</v>
      </c>
      <c r="BR70" s="87">
        <f t="shared" ca="1" si="19"/>
        <v>0</v>
      </c>
      <c r="BS70" s="89">
        <f t="shared" ca="1" si="20"/>
        <v>0</v>
      </c>
      <c r="BT70" s="89">
        <f t="shared" ca="1" si="21"/>
        <v>0</v>
      </c>
      <c r="BU70" s="89">
        <f t="shared" ca="1" si="22"/>
        <v>0</v>
      </c>
      <c r="BV70" s="87">
        <f t="shared" ca="1" si="23"/>
        <v>0</v>
      </c>
      <c r="BW70" s="87" t="str">
        <f t="shared" ca="1" si="24"/>
        <v>000</v>
      </c>
      <c r="BX70" s="89">
        <f t="shared" ca="1" si="25"/>
        <v>0</v>
      </c>
    </row>
    <row r="71" spans="1:76">
      <c r="A71" s="90" t="str">
        <f t="shared" si="2"/>
        <v/>
      </c>
      <c r="B71" s="98">
        <v>10</v>
      </c>
      <c r="C71" s="94" t="s">
        <v>210</v>
      </c>
      <c r="D71" s="94">
        <v>-2</v>
      </c>
      <c r="E71" s="94">
        <v>-3</v>
      </c>
      <c r="F71" s="94" t="s">
        <v>210</v>
      </c>
      <c r="G71" s="94" t="s">
        <v>210</v>
      </c>
      <c r="H71" s="94">
        <v>1</v>
      </c>
      <c r="I71" s="94">
        <v>3</v>
      </c>
      <c r="J71" s="94" t="s">
        <v>210</v>
      </c>
      <c r="K71" s="94">
        <v>-1</v>
      </c>
      <c r="L71" s="94" t="s">
        <v>210</v>
      </c>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3"/>
      <c r="BB71" s="88"/>
    </row>
    <row r="72" spans="1:76">
      <c r="A72" s="90" t="str">
        <f t="shared" si="2"/>
        <v/>
      </c>
      <c r="B72" s="317" t="s">
        <v>1016</v>
      </c>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3"/>
      <c r="BB72" s="88"/>
    </row>
    <row r="73" spans="1:76">
      <c r="A73" s="90">
        <f t="shared" si="2"/>
        <v>73</v>
      </c>
      <c r="B73" s="98" t="s">
        <v>242</v>
      </c>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5"/>
    </row>
    <row r="74" spans="1:76">
      <c r="A74" s="90" t="str">
        <f t="shared" si="2"/>
        <v/>
      </c>
      <c r="B74" s="98">
        <v>1</v>
      </c>
      <c r="C74" s="94" t="s">
        <v>202</v>
      </c>
      <c r="D74" s="94" t="s">
        <v>210</v>
      </c>
      <c r="E74" s="94" t="s">
        <v>210</v>
      </c>
      <c r="F74" s="94">
        <v>2</v>
      </c>
      <c r="G74" s="94">
        <v>1</v>
      </c>
      <c r="H74" s="94" t="s">
        <v>210</v>
      </c>
      <c r="I74" s="94" t="s">
        <v>210</v>
      </c>
      <c r="J74" s="94">
        <v>-3</v>
      </c>
      <c r="K74" s="94">
        <v>2</v>
      </c>
      <c r="L74" s="94" t="s">
        <v>210</v>
      </c>
      <c r="M74" s="94" t="s">
        <v>210</v>
      </c>
      <c r="N74" s="94">
        <v>-2</v>
      </c>
      <c r="O74" s="94" t="s">
        <v>210</v>
      </c>
      <c r="P74" s="94">
        <v>-1</v>
      </c>
      <c r="Q74" s="94">
        <v>1</v>
      </c>
      <c r="R74" s="94" t="s">
        <v>210</v>
      </c>
      <c r="S74" s="94">
        <v>-3</v>
      </c>
      <c r="T74" s="94" t="s">
        <v>210</v>
      </c>
      <c r="U74" s="94">
        <v>3</v>
      </c>
      <c r="V74" s="94" t="s">
        <v>210</v>
      </c>
      <c r="W74" s="94">
        <v>-2</v>
      </c>
      <c r="X74" s="94" t="s">
        <v>210</v>
      </c>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5"/>
    </row>
    <row r="75" spans="1:76">
      <c r="A75" s="90" t="str">
        <f t="shared" si="2"/>
        <v/>
      </c>
      <c r="B75" s="98">
        <v>2</v>
      </c>
      <c r="C75" s="94" t="s">
        <v>210</v>
      </c>
      <c r="D75" s="94">
        <v>2</v>
      </c>
      <c r="E75" s="94" t="s">
        <v>202</v>
      </c>
      <c r="F75" s="94" t="s">
        <v>210</v>
      </c>
      <c r="G75" s="94">
        <v>-3</v>
      </c>
      <c r="H75" s="94" t="s">
        <v>210</v>
      </c>
      <c r="I75" s="94" t="s">
        <v>210</v>
      </c>
      <c r="J75" s="94">
        <v>-2</v>
      </c>
      <c r="K75" s="94" t="s">
        <v>210</v>
      </c>
      <c r="L75" s="94">
        <v>1</v>
      </c>
      <c r="M75" s="94">
        <v>-3</v>
      </c>
      <c r="N75" s="94" t="s">
        <v>210</v>
      </c>
      <c r="O75" s="94" t="s">
        <v>210</v>
      </c>
      <c r="P75" s="94">
        <v>-2</v>
      </c>
      <c r="Q75" s="94">
        <v>3</v>
      </c>
      <c r="R75" s="94" t="s">
        <v>210</v>
      </c>
      <c r="S75" s="94">
        <v>1</v>
      </c>
      <c r="T75" s="94" t="s">
        <v>210</v>
      </c>
      <c r="U75" s="94">
        <v>-1</v>
      </c>
      <c r="V75" s="94" t="s">
        <v>210</v>
      </c>
      <c r="W75" s="94">
        <v>2</v>
      </c>
      <c r="X75" s="94" t="s">
        <v>210</v>
      </c>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5"/>
    </row>
    <row r="76" spans="1:76">
      <c r="A76" s="90" t="str">
        <f t="shared" ref="A76:A139" si="26">IF(MID(B76,3,2)="03",ROW(),"")</f>
        <v/>
      </c>
      <c r="B76" s="98">
        <v>3</v>
      </c>
      <c r="C76" s="94">
        <v>-2</v>
      </c>
      <c r="D76" s="94" t="s">
        <v>210</v>
      </c>
      <c r="E76" s="94" t="s">
        <v>210</v>
      </c>
      <c r="F76" s="94">
        <v>-1</v>
      </c>
      <c r="G76" s="94" t="s">
        <v>210</v>
      </c>
      <c r="H76" s="94">
        <v>2</v>
      </c>
      <c r="I76" s="94">
        <v>-2</v>
      </c>
      <c r="J76" s="94" t="s">
        <v>210</v>
      </c>
      <c r="K76" s="94" t="s">
        <v>202</v>
      </c>
      <c r="L76" s="94" t="s">
        <v>210</v>
      </c>
      <c r="M76" s="94" t="s">
        <v>210</v>
      </c>
      <c r="N76" s="94">
        <v>3</v>
      </c>
      <c r="O76" s="94">
        <v>1</v>
      </c>
      <c r="P76" s="94" t="s">
        <v>210</v>
      </c>
      <c r="Q76" s="94" t="s">
        <v>210</v>
      </c>
      <c r="R76" s="94">
        <v>-3</v>
      </c>
      <c r="S76" s="94">
        <v>3</v>
      </c>
      <c r="T76" s="94" t="s">
        <v>210</v>
      </c>
      <c r="U76" s="94">
        <v>1</v>
      </c>
      <c r="V76" s="94" t="s">
        <v>210</v>
      </c>
      <c r="W76" s="94">
        <v>-3</v>
      </c>
      <c r="X76" s="94" t="s">
        <v>210</v>
      </c>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5"/>
    </row>
    <row r="77" spans="1:76">
      <c r="A77" s="90" t="str">
        <f t="shared" si="26"/>
        <v/>
      </c>
      <c r="B77" s="98">
        <v>4</v>
      </c>
      <c r="C77" s="94">
        <v>1</v>
      </c>
      <c r="D77" s="94" t="s">
        <v>210</v>
      </c>
      <c r="E77" s="94" t="s">
        <v>210</v>
      </c>
      <c r="F77" s="94">
        <v>-2</v>
      </c>
      <c r="G77" s="94" t="s">
        <v>210</v>
      </c>
      <c r="H77" s="94">
        <v>3</v>
      </c>
      <c r="I77" s="94">
        <v>-1</v>
      </c>
      <c r="J77" s="94" t="s">
        <v>210</v>
      </c>
      <c r="K77" s="94">
        <v>-3</v>
      </c>
      <c r="L77" s="94" t="s">
        <v>210</v>
      </c>
      <c r="M77" s="94">
        <v>2</v>
      </c>
      <c r="N77" s="94" t="s">
        <v>210</v>
      </c>
      <c r="O77" s="94" t="s">
        <v>202</v>
      </c>
      <c r="P77" s="94" t="s">
        <v>210</v>
      </c>
      <c r="Q77" s="94" t="s">
        <v>210</v>
      </c>
      <c r="R77" s="94">
        <v>2</v>
      </c>
      <c r="S77" s="94">
        <v>-1</v>
      </c>
      <c r="T77" s="94" t="s">
        <v>210</v>
      </c>
      <c r="U77" s="94" t="s">
        <v>210</v>
      </c>
      <c r="V77" s="94">
        <v>-2</v>
      </c>
      <c r="W77" s="94">
        <v>3</v>
      </c>
      <c r="X77" s="94" t="s">
        <v>210</v>
      </c>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5"/>
    </row>
    <row r="78" spans="1:76">
      <c r="A78" s="90" t="str">
        <f t="shared" si="26"/>
        <v/>
      </c>
      <c r="B78" s="98">
        <v>5</v>
      </c>
      <c r="C78" s="94" t="s">
        <v>210</v>
      </c>
      <c r="D78" s="94">
        <v>1</v>
      </c>
      <c r="E78" s="94">
        <v>-3</v>
      </c>
      <c r="F78" s="94" t="s">
        <v>210</v>
      </c>
      <c r="G78" s="94" t="s">
        <v>202</v>
      </c>
      <c r="H78" s="94" t="s">
        <v>210</v>
      </c>
      <c r="I78" s="94" t="s">
        <v>210</v>
      </c>
      <c r="J78" s="94">
        <v>3</v>
      </c>
      <c r="K78" s="94" t="s">
        <v>210</v>
      </c>
      <c r="L78" s="94">
        <v>-2</v>
      </c>
      <c r="M78" s="94">
        <v>1</v>
      </c>
      <c r="N78" s="94" t="s">
        <v>210</v>
      </c>
      <c r="O78" s="94">
        <v>-1</v>
      </c>
      <c r="P78" s="94" t="s">
        <v>210</v>
      </c>
      <c r="Q78" s="94">
        <v>-3</v>
      </c>
      <c r="R78" s="94" t="s">
        <v>210</v>
      </c>
      <c r="S78" s="94">
        <v>2</v>
      </c>
      <c r="T78" s="94" t="s">
        <v>210</v>
      </c>
      <c r="U78" s="94" t="s">
        <v>210</v>
      </c>
      <c r="V78" s="94">
        <v>2</v>
      </c>
      <c r="W78" s="94">
        <v>-1</v>
      </c>
      <c r="X78" s="94" t="s">
        <v>210</v>
      </c>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5"/>
    </row>
    <row r="79" spans="1:76">
      <c r="A79" s="90" t="str">
        <f t="shared" si="26"/>
        <v/>
      </c>
      <c r="B79" s="98">
        <v>6</v>
      </c>
      <c r="C79" s="94">
        <v>-1</v>
      </c>
      <c r="D79" s="94" t="s">
        <v>210</v>
      </c>
      <c r="E79" s="94">
        <v>-2</v>
      </c>
      <c r="F79" s="94" t="s">
        <v>210</v>
      </c>
      <c r="G79" s="94">
        <v>2</v>
      </c>
      <c r="H79" s="94" t="s">
        <v>210</v>
      </c>
      <c r="I79" s="94">
        <v>3</v>
      </c>
      <c r="J79" s="94" t="s">
        <v>210</v>
      </c>
      <c r="K79" s="94" t="s">
        <v>210</v>
      </c>
      <c r="L79" s="94">
        <v>-1</v>
      </c>
      <c r="M79" s="94" t="s">
        <v>210</v>
      </c>
      <c r="N79" s="94">
        <v>2</v>
      </c>
      <c r="O79" s="94">
        <v>-2</v>
      </c>
      <c r="P79" s="94" t="s">
        <v>210</v>
      </c>
      <c r="Q79" s="94" t="s">
        <v>210</v>
      </c>
      <c r="R79" s="94">
        <v>3</v>
      </c>
      <c r="S79" s="94" t="s">
        <v>202</v>
      </c>
      <c r="T79" s="94" t="s">
        <v>210</v>
      </c>
      <c r="U79" s="94" t="s">
        <v>210</v>
      </c>
      <c r="V79" s="94">
        <v>-3</v>
      </c>
      <c r="W79" s="94">
        <v>1</v>
      </c>
      <c r="X79" s="94" t="s">
        <v>210</v>
      </c>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5"/>
    </row>
    <row r="80" spans="1:76">
      <c r="A80" s="90" t="str">
        <f t="shared" si="26"/>
        <v/>
      </c>
      <c r="B80" s="98">
        <v>7</v>
      </c>
      <c r="C80" s="94">
        <v>2</v>
      </c>
      <c r="D80" s="94" t="s">
        <v>210</v>
      </c>
      <c r="E80" s="94">
        <v>-1</v>
      </c>
      <c r="F80" s="94" t="s">
        <v>210</v>
      </c>
      <c r="G80" s="94">
        <v>3</v>
      </c>
      <c r="H80" s="94" t="s">
        <v>210</v>
      </c>
      <c r="I80" s="94">
        <v>-3</v>
      </c>
      <c r="J80" s="94" t="s">
        <v>210</v>
      </c>
      <c r="K80" s="94" t="s">
        <v>210</v>
      </c>
      <c r="L80" s="94">
        <v>2</v>
      </c>
      <c r="M80" s="94">
        <v>-2</v>
      </c>
      <c r="N80" s="94" t="s">
        <v>210</v>
      </c>
      <c r="O80" s="94" t="s">
        <v>210</v>
      </c>
      <c r="P80" s="94">
        <v>1</v>
      </c>
      <c r="Q80" s="94">
        <v>-2</v>
      </c>
      <c r="R80" s="94" t="s">
        <v>210</v>
      </c>
      <c r="S80" s="94" t="s">
        <v>210</v>
      </c>
      <c r="T80" s="94">
        <v>3</v>
      </c>
      <c r="U80" s="94" t="s">
        <v>202</v>
      </c>
      <c r="V80" s="94" t="s">
        <v>210</v>
      </c>
      <c r="W80" s="94" t="s">
        <v>210</v>
      </c>
      <c r="X80" s="94">
        <v>-1</v>
      </c>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5"/>
    </row>
    <row r="81" spans="1:53" s="87" customFormat="1">
      <c r="A81" s="90" t="str">
        <f t="shared" si="26"/>
        <v/>
      </c>
      <c r="B81" s="98">
        <v>8</v>
      </c>
      <c r="C81" s="94" t="s">
        <v>210</v>
      </c>
      <c r="D81" s="94">
        <v>-1</v>
      </c>
      <c r="E81" s="94">
        <v>2</v>
      </c>
      <c r="F81" s="94" t="s">
        <v>210</v>
      </c>
      <c r="G81" s="94" t="s">
        <v>210</v>
      </c>
      <c r="H81" s="94">
        <v>-3</v>
      </c>
      <c r="I81" s="94">
        <v>2</v>
      </c>
      <c r="J81" s="94" t="s">
        <v>210</v>
      </c>
      <c r="K81" s="94">
        <v>-2</v>
      </c>
      <c r="L81" s="94" t="s">
        <v>210</v>
      </c>
      <c r="M81" s="94">
        <v>3</v>
      </c>
      <c r="N81" s="94" t="s">
        <v>210</v>
      </c>
      <c r="O81" s="94">
        <v>-3</v>
      </c>
      <c r="P81" s="94" t="s">
        <v>210</v>
      </c>
      <c r="Q81" s="94" t="s">
        <v>202</v>
      </c>
      <c r="R81" s="94" t="s">
        <v>210</v>
      </c>
      <c r="S81" s="94" t="s">
        <v>210</v>
      </c>
      <c r="T81" s="94">
        <v>1</v>
      </c>
      <c r="U81" s="94">
        <v>-2</v>
      </c>
      <c r="V81" s="94" t="s">
        <v>210</v>
      </c>
      <c r="W81" s="94" t="s">
        <v>210</v>
      </c>
      <c r="X81" s="94">
        <v>1</v>
      </c>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5"/>
    </row>
    <row r="82" spans="1:53" s="87" customFormat="1">
      <c r="A82" s="90" t="str">
        <f t="shared" si="26"/>
        <v/>
      </c>
      <c r="B82" s="98">
        <v>9</v>
      </c>
      <c r="C82" s="94">
        <v>3</v>
      </c>
      <c r="D82" s="94" t="s">
        <v>210</v>
      </c>
      <c r="E82" s="94" t="s">
        <v>210</v>
      </c>
      <c r="F82" s="94">
        <v>1</v>
      </c>
      <c r="G82" s="94">
        <v>-2</v>
      </c>
      <c r="H82" s="94" t="s">
        <v>210</v>
      </c>
      <c r="I82" s="94" t="s">
        <v>202</v>
      </c>
      <c r="J82" s="94" t="s">
        <v>210</v>
      </c>
      <c r="K82" s="94">
        <v>3</v>
      </c>
      <c r="L82" s="94" t="s">
        <v>210</v>
      </c>
      <c r="M82" s="94">
        <v>-1</v>
      </c>
      <c r="N82" s="94" t="s">
        <v>210</v>
      </c>
      <c r="O82" s="94" t="s">
        <v>210</v>
      </c>
      <c r="P82" s="94">
        <v>2</v>
      </c>
      <c r="Q82" s="94">
        <v>-1</v>
      </c>
      <c r="R82" s="94" t="s">
        <v>210</v>
      </c>
      <c r="S82" s="94" t="s">
        <v>210</v>
      </c>
      <c r="T82" s="94">
        <v>-3</v>
      </c>
      <c r="U82" s="94">
        <v>2</v>
      </c>
      <c r="V82" s="94" t="s">
        <v>210</v>
      </c>
      <c r="W82" s="94" t="s">
        <v>210</v>
      </c>
      <c r="X82" s="94">
        <v>-3</v>
      </c>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5"/>
    </row>
    <row r="83" spans="1:53" s="87" customFormat="1">
      <c r="A83" s="90" t="str">
        <f t="shared" si="26"/>
        <v/>
      </c>
      <c r="B83" s="98">
        <v>10</v>
      </c>
      <c r="C83" s="94" t="s">
        <v>210</v>
      </c>
      <c r="D83" s="94">
        <v>-2</v>
      </c>
      <c r="E83" s="94">
        <v>3</v>
      </c>
      <c r="F83" s="94" t="s">
        <v>210</v>
      </c>
      <c r="G83" s="94" t="s">
        <v>210</v>
      </c>
      <c r="H83" s="94">
        <v>-2</v>
      </c>
      <c r="I83" s="94">
        <v>1</v>
      </c>
      <c r="J83" s="94" t="s">
        <v>210</v>
      </c>
      <c r="K83" s="94">
        <v>-1</v>
      </c>
      <c r="L83" s="94" t="s">
        <v>210</v>
      </c>
      <c r="M83" s="94" t="s">
        <v>202</v>
      </c>
      <c r="N83" s="94" t="s">
        <v>210</v>
      </c>
      <c r="O83" s="94">
        <v>2</v>
      </c>
      <c r="P83" s="94" t="s">
        <v>210</v>
      </c>
      <c r="Q83" s="94">
        <v>2</v>
      </c>
      <c r="R83" s="94" t="s">
        <v>210</v>
      </c>
      <c r="S83" s="94" t="s">
        <v>210</v>
      </c>
      <c r="T83" s="94">
        <v>-1</v>
      </c>
      <c r="U83" s="94">
        <v>-3</v>
      </c>
      <c r="V83" s="94" t="s">
        <v>210</v>
      </c>
      <c r="W83" s="94" t="s">
        <v>210</v>
      </c>
      <c r="X83" s="94">
        <v>3</v>
      </c>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5"/>
    </row>
    <row r="84" spans="1:53" s="87" customFormat="1">
      <c r="A84" s="90" t="str">
        <f t="shared" si="26"/>
        <v/>
      </c>
      <c r="B84" s="98">
        <v>11</v>
      </c>
      <c r="C84" s="94">
        <v>-3</v>
      </c>
      <c r="D84" s="94" t="s">
        <v>210</v>
      </c>
      <c r="E84" s="94">
        <v>1</v>
      </c>
      <c r="F84" s="94" t="s">
        <v>210</v>
      </c>
      <c r="G84" s="94">
        <v>-1</v>
      </c>
      <c r="H84" s="94" t="s">
        <v>210</v>
      </c>
      <c r="I84" s="94" t="s">
        <v>210</v>
      </c>
      <c r="J84" s="94">
        <v>2</v>
      </c>
      <c r="K84" s="94">
        <v>1</v>
      </c>
      <c r="L84" s="94" t="s">
        <v>210</v>
      </c>
      <c r="M84" s="94" t="s">
        <v>210</v>
      </c>
      <c r="N84" s="94">
        <v>-3</v>
      </c>
      <c r="O84" s="94">
        <v>3</v>
      </c>
      <c r="P84" s="94" t="s">
        <v>210</v>
      </c>
      <c r="Q84" s="94" t="s">
        <v>210</v>
      </c>
      <c r="R84" s="94">
        <v>-2</v>
      </c>
      <c r="S84" s="94">
        <v>-2</v>
      </c>
      <c r="T84" s="94" t="s">
        <v>210</v>
      </c>
      <c r="U84" s="94" t="s">
        <v>210</v>
      </c>
      <c r="V84" s="94">
        <v>3</v>
      </c>
      <c r="W84" s="94" t="s">
        <v>202</v>
      </c>
      <c r="X84" s="94" t="s">
        <v>210</v>
      </c>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5"/>
    </row>
    <row r="85" spans="1:53" s="87" customFormat="1">
      <c r="A85" s="90" t="str">
        <f t="shared" si="26"/>
        <v/>
      </c>
      <c r="B85" s="98" t="s">
        <v>243</v>
      </c>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5"/>
    </row>
    <row r="86" spans="1:53" s="87" customFormat="1">
      <c r="A86" s="90">
        <f t="shared" si="26"/>
        <v>86</v>
      </c>
      <c r="B86" s="98" t="s">
        <v>244</v>
      </c>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5"/>
    </row>
    <row r="87" spans="1:53" s="87" customFormat="1">
      <c r="A87" s="90" t="str">
        <f t="shared" si="26"/>
        <v/>
      </c>
      <c r="B87" s="98">
        <v>1</v>
      </c>
      <c r="C87" s="94" t="s">
        <v>210</v>
      </c>
      <c r="D87" s="94">
        <v>-2</v>
      </c>
      <c r="E87" s="94">
        <v>1</v>
      </c>
      <c r="F87" s="94" t="s">
        <v>210</v>
      </c>
      <c r="G87" s="94">
        <v>3</v>
      </c>
      <c r="H87" s="94" t="s">
        <v>210</v>
      </c>
      <c r="I87" s="94" t="s">
        <v>210</v>
      </c>
      <c r="J87" s="94">
        <v>-1</v>
      </c>
      <c r="K87" s="94">
        <v>2</v>
      </c>
      <c r="L87" s="94" t="s">
        <v>210</v>
      </c>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5"/>
    </row>
    <row r="88" spans="1:53" s="87" customFormat="1">
      <c r="A88" s="90" t="str">
        <f t="shared" si="26"/>
        <v/>
      </c>
      <c r="B88" s="98">
        <v>2</v>
      </c>
      <c r="C88" s="94" t="s">
        <v>210</v>
      </c>
      <c r="D88" s="94">
        <v>-3</v>
      </c>
      <c r="E88" s="94" t="s">
        <v>210</v>
      </c>
      <c r="F88" s="94">
        <v>-1</v>
      </c>
      <c r="G88" s="94">
        <v>2</v>
      </c>
      <c r="H88" s="94" t="s">
        <v>210</v>
      </c>
      <c r="I88" s="94">
        <v>3</v>
      </c>
      <c r="J88" s="94" t="s">
        <v>210</v>
      </c>
      <c r="K88" s="94">
        <v>-2</v>
      </c>
      <c r="L88" s="94" t="s">
        <v>210</v>
      </c>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5"/>
    </row>
    <row r="89" spans="1:53" s="87" customFormat="1">
      <c r="A89" s="90" t="str">
        <f t="shared" si="26"/>
        <v/>
      </c>
      <c r="B89" s="98">
        <v>3</v>
      </c>
      <c r="C89" s="94">
        <v>-2</v>
      </c>
      <c r="D89" s="94" t="s">
        <v>210</v>
      </c>
      <c r="E89" s="94" t="s">
        <v>210</v>
      </c>
      <c r="F89" s="94">
        <v>1</v>
      </c>
      <c r="G89" s="94">
        <v>-3</v>
      </c>
      <c r="H89" s="94" t="s">
        <v>210</v>
      </c>
      <c r="I89" s="94" t="s">
        <v>210</v>
      </c>
      <c r="J89" s="94">
        <v>2</v>
      </c>
      <c r="K89" s="94">
        <v>-1</v>
      </c>
      <c r="L89" s="94" t="s">
        <v>210</v>
      </c>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5"/>
    </row>
    <row r="90" spans="1:53" s="87" customFormat="1">
      <c r="A90" s="90" t="str">
        <f t="shared" si="26"/>
        <v/>
      </c>
      <c r="B90" s="98">
        <v>4</v>
      </c>
      <c r="C90" s="94" t="s">
        <v>210</v>
      </c>
      <c r="D90" s="94">
        <v>2</v>
      </c>
      <c r="E90" s="94" t="s">
        <v>210</v>
      </c>
      <c r="F90" s="94">
        <v>3</v>
      </c>
      <c r="G90" s="94">
        <v>-1</v>
      </c>
      <c r="H90" s="94" t="s">
        <v>210</v>
      </c>
      <c r="I90" s="94">
        <v>-3</v>
      </c>
      <c r="J90" s="94" t="s">
        <v>210</v>
      </c>
      <c r="K90" s="94">
        <v>1</v>
      </c>
      <c r="L90" s="94" t="s">
        <v>210</v>
      </c>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5"/>
    </row>
    <row r="91" spans="1:53" s="87" customFormat="1">
      <c r="A91" s="90" t="str">
        <f t="shared" si="26"/>
        <v/>
      </c>
      <c r="B91" s="98">
        <v>5</v>
      </c>
      <c r="C91" s="94">
        <v>2</v>
      </c>
      <c r="D91" s="94" t="s">
        <v>210</v>
      </c>
      <c r="E91" s="94" t="s">
        <v>210</v>
      </c>
      <c r="F91" s="94">
        <v>-3</v>
      </c>
      <c r="G91" s="94">
        <v>-2</v>
      </c>
      <c r="H91" s="94" t="s">
        <v>210</v>
      </c>
      <c r="I91" s="94" t="s">
        <v>210</v>
      </c>
      <c r="J91" s="94">
        <v>1</v>
      </c>
      <c r="K91" s="94">
        <v>3</v>
      </c>
      <c r="L91" s="94" t="s">
        <v>210</v>
      </c>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5"/>
    </row>
    <row r="92" spans="1:53" s="87" customFormat="1">
      <c r="A92" s="90" t="str">
        <f t="shared" si="26"/>
        <v/>
      </c>
      <c r="B92" s="99">
        <v>6</v>
      </c>
      <c r="C92" s="92" t="s">
        <v>210</v>
      </c>
      <c r="D92" s="92">
        <v>3</v>
      </c>
      <c r="E92" s="92">
        <v>-1</v>
      </c>
      <c r="F92" s="92" t="s">
        <v>210</v>
      </c>
      <c r="G92" s="92">
        <v>1</v>
      </c>
      <c r="H92" s="92" t="s">
        <v>210</v>
      </c>
      <c r="I92" s="92" t="s">
        <v>210</v>
      </c>
      <c r="J92" s="92">
        <v>-2</v>
      </c>
      <c r="K92" s="92">
        <v>-3</v>
      </c>
      <c r="L92" s="92" t="s">
        <v>210</v>
      </c>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5"/>
    </row>
    <row r="93" spans="1:53" s="87" customFormat="1">
      <c r="A93" s="90" t="str">
        <f t="shared" si="26"/>
        <v/>
      </c>
      <c r="B93" s="98">
        <v>7</v>
      </c>
      <c r="C93" s="94">
        <v>1</v>
      </c>
      <c r="D93" s="94" t="s">
        <v>210</v>
      </c>
      <c r="E93" s="94">
        <v>2</v>
      </c>
      <c r="F93" s="94" t="s">
        <v>210</v>
      </c>
      <c r="G93" s="94" t="s">
        <v>210</v>
      </c>
      <c r="H93" s="94">
        <v>-1</v>
      </c>
      <c r="I93" s="94" t="s">
        <v>202</v>
      </c>
      <c r="J93" s="94" t="s">
        <v>210</v>
      </c>
      <c r="K93" s="94" t="s">
        <v>210</v>
      </c>
      <c r="L93" s="94">
        <v>-3</v>
      </c>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5"/>
    </row>
    <row r="94" spans="1:53" s="87" customFormat="1">
      <c r="A94" s="90" t="str">
        <f t="shared" si="26"/>
        <v/>
      </c>
      <c r="B94" s="98">
        <v>8</v>
      </c>
      <c r="C94" s="94">
        <v>-3</v>
      </c>
      <c r="D94" s="94" t="s">
        <v>210</v>
      </c>
      <c r="E94" s="94" t="s">
        <v>202</v>
      </c>
      <c r="F94" s="94" t="s">
        <v>210</v>
      </c>
      <c r="G94" s="94" t="s">
        <v>210</v>
      </c>
      <c r="H94" s="94">
        <v>-2</v>
      </c>
      <c r="I94" s="94">
        <v>2</v>
      </c>
      <c r="J94" s="94" t="s">
        <v>210</v>
      </c>
      <c r="K94" s="94" t="s">
        <v>210</v>
      </c>
      <c r="L94" s="94">
        <v>3</v>
      </c>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5"/>
    </row>
    <row r="95" spans="1:53" s="87" customFormat="1">
      <c r="A95" s="90" t="str">
        <f t="shared" si="26"/>
        <v/>
      </c>
      <c r="B95" s="98">
        <v>9</v>
      </c>
      <c r="C95" s="94" t="s">
        <v>202</v>
      </c>
      <c r="D95" s="94" t="s">
        <v>210</v>
      </c>
      <c r="E95" s="94">
        <v>3</v>
      </c>
      <c r="F95" s="94" t="s">
        <v>210</v>
      </c>
      <c r="G95" s="94" t="s">
        <v>210</v>
      </c>
      <c r="H95" s="94">
        <v>1</v>
      </c>
      <c r="I95" s="94">
        <v>-2</v>
      </c>
      <c r="J95" s="94" t="s">
        <v>210</v>
      </c>
      <c r="K95" s="94" t="s">
        <v>210</v>
      </c>
      <c r="L95" s="94">
        <v>-1</v>
      </c>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5"/>
    </row>
    <row r="96" spans="1:53" s="87" customFormat="1">
      <c r="A96" s="90" t="str">
        <f t="shared" si="26"/>
        <v/>
      </c>
      <c r="B96" s="98">
        <v>10</v>
      </c>
      <c r="C96" s="94">
        <v>3</v>
      </c>
      <c r="D96" s="94" t="s">
        <v>210</v>
      </c>
      <c r="E96" s="94">
        <v>-2</v>
      </c>
      <c r="F96" s="94" t="s">
        <v>210</v>
      </c>
      <c r="G96" s="94" t="s">
        <v>202</v>
      </c>
      <c r="H96" s="94" t="s">
        <v>210</v>
      </c>
      <c r="I96" s="94">
        <v>-1</v>
      </c>
      <c r="J96" s="94" t="s">
        <v>210</v>
      </c>
      <c r="K96" s="94" t="s">
        <v>210</v>
      </c>
      <c r="L96" s="94">
        <v>1</v>
      </c>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5"/>
    </row>
    <row r="97" spans="1:53" s="87" customFormat="1">
      <c r="A97" s="90" t="str">
        <f t="shared" si="26"/>
        <v/>
      </c>
      <c r="B97" s="98">
        <v>11</v>
      </c>
      <c r="C97" s="94">
        <v>-1</v>
      </c>
      <c r="D97" s="94" t="s">
        <v>210</v>
      </c>
      <c r="E97" s="94">
        <v>-3</v>
      </c>
      <c r="F97" s="94" t="s">
        <v>210</v>
      </c>
      <c r="G97" s="94" t="s">
        <v>210</v>
      </c>
      <c r="H97" s="94">
        <v>2</v>
      </c>
      <c r="I97" s="94">
        <v>1</v>
      </c>
      <c r="J97" s="94" t="s">
        <v>210</v>
      </c>
      <c r="K97" s="94" t="s">
        <v>202</v>
      </c>
      <c r="L97" s="94" t="s">
        <v>210</v>
      </c>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5"/>
    </row>
    <row r="98" spans="1:53" s="87" customFormat="1">
      <c r="A98" s="90" t="str">
        <f t="shared" si="26"/>
        <v/>
      </c>
      <c r="B98" s="98" t="s">
        <v>245</v>
      </c>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5"/>
    </row>
    <row r="99" spans="1:53" s="87" customFormat="1">
      <c r="A99" s="90">
        <f t="shared" si="26"/>
        <v>99</v>
      </c>
      <c r="B99" s="317" t="s">
        <v>1017</v>
      </c>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5"/>
    </row>
    <row r="100" spans="1:53" s="87" customFormat="1">
      <c r="A100" s="90" t="str">
        <f t="shared" si="26"/>
        <v/>
      </c>
      <c r="B100" s="98">
        <v>1</v>
      </c>
      <c r="C100" s="94" t="s">
        <v>210</v>
      </c>
      <c r="D100" s="94">
        <v>-1</v>
      </c>
      <c r="E100" s="94">
        <v>-3</v>
      </c>
      <c r="F100" s="94" t="s">
        <v>210</v>
      </c>
      <c r="G100" s="94" t="s">
        <v>210</v>
      </c>
      <c r="H100" s="94">
        <v>1</v>
      </c>
      <c r="I100" s="94">
        <v>-2</v>
      </c>
      <c r="J100" s="94" t="s">
        <v>210</v>
      </c>
      <c r="K100" s="94">
        <v>3</v>
      </c>
      <c r="L100" s="94" t="s">
        <v>210</v>
      </c>
      <c r="M100" s="94" t="s">
        <v>210</v>
      </c>
      <c r="N100" s="94">
        <v>-3</v>
      </c>
      <c r="O100" s="94" t="s">
        <v>210</v>
      </c>
      <c r="P100" s="94">
        <v>-2</v>
      </c>
      <c r="Q100" s="94">
        <v>2</v>
      </c>
      <c r="R100" s="94" t="s">
        <v>210</v>
      </c>
      <c r="S100" s="94">
        <v>-1</v>
      </c>
      <c r="T100" s="94" t="s">
        <v>210</v>
      </c>
      <c r="U100" s="94" t="s">
        <v>210</v>
      </c>
      <c r="V100" s="94">
        <v>3</v>
      </c>
      <c r="W100" s="94">
        <v>2</v>
      </c>
      <c r="X100" s="94" t="s">
        <v>210</v>
      </c>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5"/>
    </row>
    <row r="101" spans="1:53" s="87" customFormat="1">
      <c r="A101" s="90" t="str">
        <f t="shared" si="26"/>
        <v/>
      </c>
      <c r="B101" s="98">
        <v>2</v>
      </c>
      <c r="C101" s="94">
        <v>-2</v>
      </c>
      <c r="D101" s="94" t="s">
        <v>210</v>
      </c>
      <c r="E101" s="94" t="s">
        <v>210</v>
      </c>
      <c r="F101" s="94">
        <v>1</v>
      </c>
      <c r="G101" s="94" t="s">
        <v>210</v>
      </c>
      <c r="H101" s="94">
        <v>3</v>
      </c>
      <c r="I101" s="94">
        <v>-3</v>
      </c>
      <c r="J101" s="94" t="s">
        <v>210</v>
      </c>
      <c r="K101" s="94" t="s">
        <v>210</v>
      </c>
      <c r="L101" s="94">
        <v>-1</v>
      </c>
      <c r="M101" s="94">
        <v>1</v>
      </c>
      <c r="N101" s="94" t="s">
        <v>210</v>
      </c>
      <c r="O101" s="94">
        <v>-3</v>
      </c>
      <c r="P101" s="94" t="s">
        <v>210</v>
      </c>
      <c r="Q101" s="94" t="s">
        <v>210</v>
      </c>
      <c r="R101" s="94">
        <v>2</v>
      </c>
      <c r="S101" s="94">
        <v>3</v>
      </c>
      <c r="T101" s="94" t="s">
        <v>210</v>
      </c>
      <c r="U101" s="94" t="s">
        <v>210</v>
      </c>
      <c r="V101" s="94">
        <v>-1</v>
      </c>
      <c r="W101" s="94">
        <v>-2</v>
      </c>
      <c r="X101" s="94" t="s">
        <v>210</v>
      </c>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5"/>
    </row>
    <row r="102" spans="1:53" s="87" customFormat="1">
      <c r="A102" s="90" t="str">
        <f t="shared" si="26"/>
        <v/>
      </c>
      <c r="B102" s="98">
        <v>3</v>
      </c>
      <c r="C102" s="94">
        <v>-3</v>
      </c>
      <c r="D102" s="94" t="s">
        <v>210</v>
      </c>
      <c r="E102" s="94" t="s">
        <v>210</v>
      </c>
      <c r="F102" s="94">
        <v>-2</v>
      </c>
      <c r="G102" s="94">
        <v>2</v>
      </c>
      <c r="H102" s="94" t="s">
        <v>210</v>
      </c>
      <c r="I102" s="94" t="s">
        <v>210</v>
      </c>
      <c r="J102" s="94">
        <v>3</v>
      </c>
      <c r="K102" s="94">
        <v>-1</v>
      </c>
      <c r="L102" s="94" t="s">
        <v>210</v>
      </c>
      <c r="M102" s="94" t="s">
        <v>210</v>
      </c>
      <c r="N102" s="94">
        <v>2</v>
      </c>
      <c r="O102" s="94">
        <v>3</v>
      </c>
      <c r="P102" s="94" t="s">
        <v>210</v>
      </c>
      <c r="Q102" s="94" t="s">
        <v>210</v>
      </c>
      <c r="R102" s="94">
        <v>-3</v>
      </c>
      <c r="S102" s="94">
        <v>1</v>
      </c>
      <c r="T102" s="94" t="s">
        <v>210</v>
      </c>
      <c r="U102" s="94" t="s">
        <v>210</v>
      </c>
      <c r="V102" s="94">
        <v>-2</v>
      </c>
      <c r="W102" s="94">
        <v>-1</v>
      </c>
      <c r="X102" s="94" t="s">
        <v>210</v>
      </c>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5"/>
    </row>
    <row r="103" spans="1:53" s="87" customFormat="1">
      <c r="A103" s="90" t="str">
        <f t="shared" si="26"/>
        <v/>
      </c>
      <c r="B103" s="98">
        <v>4</v>
      </c>
      <c r="C103" s="94" t="s">
        <v>210</v>
      </c>
      <c r="D103" s="94">
        <v>-2</v>
      </c>
      <c r="E103" s="94" t="s">
        <v>210</v>
      </c>
      <c r="F103" s="94">
        <v>-1</v>
      </c>
      <c r="G103" s="94">
        <v>3</v>
      </c>
      <c r="H103" s="94" t="s">
        <v>210</v>
      </c>
      <c r="I103" s="94">
        <v>1</v>
      </c>
      <c r="J103" s="94" t="s">
        <v>210</v>
      </c>
      <c r="K103" s="94" t="s">
        <v>210</v>
      </c>
      <c r="L103" s="94">
        <v>-2</v>
      </c>
      <c r="M103" s="94">
        <v>2</v>
      </c>
      <c r="N103" s="94" t="s">
        <v>210</v>
      </c>
      <c r="O103" s="94" t="s">
        <v>210</v>
      </c>
      <c r="P103" s="94">
        <v>-3</v>
      </c>
      <c r="Q103" s="94" t="s">
        <v>210</v>
      </c>
      <c r="R103" s="94">
        <v>-1</v>
      </c>
      <c r="S103" s="94">
        <v>2</v>
      </c>
      <c r="T103" s="94" t="s">
        <v>210</v>
      </c>
      <c r="U103" s="94" t="s">
        <v>210</v>
      </c>
      <c r="V103" s="94">
        <v>-3</v>
      </c>
      <c r="W103" s="94">
        <v>1</v>
      </c>
      <c r="X103" s="94" t="s">
        <v>210</v>
      </c>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5"/>
    </row>
    <row r="104" spans="1:53" s="87" customFormat="1">
      <c r="A104" s="90" t="str">
        <f t="shared" si="26"/>
        <v/>
      </c>
      <c r="B104" s="98">
        <v>5</v>
      </c>
      <c r="C104" s="94">
        <v>-1</v>
      </c>
      <c r="D104" s="94" t="s">
        <v>210</v>
      </c>
      <c r="E104" s="94" t="s">
        <v>210</v>
      </c>
      <c r="F104" s="94">
        <v>-3</v>
      </c>
      <c r="G104" s="94">
        <v>1</v>
      </c>
      <c r="H104" s="94" t="s">
        <v>210</v>
      </c>
      <c r="I104" s="94" t="s">
        <v>210</v>
      </c>
      <c r="J104" s="94">
        <v>2</v>
      </c>
      <c r="K104" s="94">
        <v>-2</v>
      </c>
      <c r="L104" s="94" t="s">
        <v>210</v>
      </c>
      <c r="M104" s="94" t="s">
        <v>210</v>
      </c>
      <c r="N104" s="94">
        <v>3</v>
      </c>
      <c r="O104" s="94">
        <v>-1</v>
      </c>
      <c r="P104" s="94" t="s">
        <v>210</v>
      </c>
      <c r="Q104" s="94" t="s">
        <v>210</v>
      </c>
      <c r="R104" s="94">
        <v>1</v>
      </c>
      <c r="S104" s="94">
        <v>-3</v>
      </c>
      <c r="T104" s="94" t="s">
        <v>210</v>
      </c>
      <c r="U104" s="94" t="s">
        <v>210</v>
      </c>
      <c r="V104" s="94">
        <v>2</v>
      </c>
      <c r="W104" s="94">
        <v>3</v>
      </c>
      <c r="X104" s="94" t="s">
        <v>210</v>
      </c>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5"/>
    </row>
    <row r="105" spans="1:53" s="87" customFormat="1">
      <c r="A105" s="90" t="str">
        <f t="shared" si="26"/>
        <v/>
      </c>
      <c r="B105" s="98">
        <v>6</v>
      </c>
      <c r="C105" s="94" t="s">
        <v>210</v>
      </c>
      <c r="D105" s="94">
        <v>3</v>
      </c>
      <c r="E105" s="94">
        <v>-2</v>
      </c>
      <c r="F105" s="94" t="s">
        <v>210</v>
      </c>
      <c r="G105" s="94" t="s">
        <v>210</v>
      </c>
      <c r="H105" s="94">
        <v>2</v>
      </c>
      <c r="I105" s="94" t="s">
        <v>210</v>
      </c>
      <c r="J105" s="94">
        <v>1</v>
      </c>
      <c r="K105" s="94">
        <v>-3</v>
      </c>
      <c r="L105" s="94" t="s">
        <v>210</v>
      </c>
      <c r="M105" s="94" t="s">
        <v>210</v>
      </c>
      <c r="N105" s="94">
        <v>-1</v>
      </c>
      <c r="O105" s="94">
        <v>2</v>
      </c>
      <c r="P105" s="94" t="s">
        <v>210</v>
      </c>
      <c r="Q105" s="94" t="s">
        <v>210</v>
      </c>
      <c r="R105" s="94">
        <v>3</v>
      </c>
      <c r="S105" s="94">
        <v>-2</v>
      </c>
      <c r="T105" s="94" t="s">
        <v>210</v>
      </c>
      <c r="U105" s="94" t="s">
        <v>210</v>
      </c>
      <c r="V105" s="94">
        <v>1</v>
      </c>
      <c r="W105" s="94">
        <v>-3</v>
      </c>
      <c r="X105" s="94" t="s">
        <v>210</v>
      </c>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5"/>
    </row>
    <row r="106" spans="1:53" s="87" customFormat="1">
      <c r="A106" s="90" t="str">
        <f t="shared" si="26"/>
        <v/>
      </c>
      <c r="B106" s="98">
        <v>7</v>
      </c>
      <c r="C106" s="94">
        <v>3</v>
      </c>
      <c r="D106" s="94" t="s">
        <v>210</v>
      </c>
      <c r="E106" s="94">
        <v>-1</v>
      </c>
      <c r="F106" s="94" t="s">
        <v>210</v>
      </c>
      <c r="G106" s="94">
        <v>-3</v>
      </c>
      <c r="H106" s="94" t="s">
        <v>210</v>
      </c>
      <c r="I106" s="94">
        <v>2</v>
      </c>
      <c r="J106" s="94" t="s">
        <v>210</v>
      </c>
      <c r="K106" s="94" t="s">
        <v>210</v>
      </c>
      <c r="L106" s="94">
        <v>-3</v>
      </c>
      <c r="M106" s="94" t="s">
        <v>210</v>
      </c>
      <c r="N106" s="94">
        <v>1</v>
      </c>
      <c r="O106" s="94">
        <v>1</v>
      </c>
      <c r="P106" s="94" t="s">
        <v>210</v>
      </c>
      <c r="Q106" s="94" t="s">
        <v>210</v>
      </c>
      <c r="R106" s="94">
        <v>-2</v>
      </c>
      <c r="S106" s="94" t="s">
        <v>210</v>
      </c>
      <c r="T106" s="94">
        <v>2</v>
      </c>
      <c r="U106" s="94">
        <v>-1</v>
      </c>
      <c r="V106" s="94" t="s">
        <v>210</v>
      </c>
      <c r="W106" s="94" t="s">
        <v>210</v>
      </c>
      <c r="X106" s="94">
        <v>-2</v>
      </c>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5"/>
    </row>
    <row r="107" spans="1:53" s="87" customFormat="1">
      <c r="A107" s="90" t="str">
        <f t="shared" si="26"/>
        <v/>
      </c>
      <c r="B107" s="98">
        <v>8</v>
      </c>
      <c r="C107" s="94" t="s">
        <v>210</v>
      </c>
      <c r="D107" s="94">
        <v>2</v>
      </c>
      <c r="E107" s="94">
        <v>3</v>
      </c>
      <c r="F107" s="94" t="s">
        <v>210</v>
      </c>
      <c r="G107" s="94" t="s">
        <v>210</v>
      </c>
      <c r="H107" s="94">
        <v>-3</v>
      </c>
      <c r="I107" s="94" t="s">
        <v>210</v>
      </c>
      <c r="J107" s="94">
        <v>-2</v>
      </c>
      <c r="K107" s="94">
        <v>1</v>
      </c>
      <c r="L107" s="94" t="s">
        <v>210</v>
      </c>
      <c r="M107" s="94">
        <v>3</v>
      </c>
      <c r="N107" s="94" t="s">
        <v>210</v>
      </c>
      <c r="O107" s="94">
        <v>-2</v>
      </c>
      <c r="P107" s="94" t="s">
        <v>210</v>
      </c>
      <c r="Q107" s="94">
        <v>-1</v>
      </c>
      <c r="R107" s="94" t="s">
        <v>210</v>
      </c>
      <c r="S107" s="94" t="s">
        <v>210</v>
      </c>
      <c r="T107" s="94">
        <v>1</v>
      </c>
      <c r="U107" s="94">
        <v>-3</v>
      </c>
      <c r="V107" s="94" t="s">
        <v>210</v>
      </c>
      <c r="W107" s="94" t="s">
        <v>210</v>
      </c>
      <c r="X107" s="94">
        <v>2</v>
      </c>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5"/>
    </row>
    <row r="108" spans="1:53" s="87" customFormat="1">
      <c r="A108" s="90" t="str">
        <f t="shared" si="26"/>
        <v/>
      </c>
      <c r="B108" s="98">
        <v>9</v>
      </c>
      <c r="C108" s="94">
        <v>2</v>
      </c>
      <c r="D108" s="94" t="s">
        <v>210</v>
      </c>
      <c r="E108" s="94" t="s">
        <v>210</v>
      </c>
      <c r="F108" s="94">
        <v>3</v>
      </c>
      <c r="G108" s="94">
        <v>-2</v>
      </c>
      <c r="H108" s="94" t="s">
        <v>210</v>
      </c>
      <c r="I108" s="94" t="s">
        <v>210</v>
      </c>
      <c r="J108" s="94">
        <v>-1</v>
      </c>
      <c r="K108" s="94" t="s">
        <v>210</v>
      </c>
      <c r="L108" s="94">
        <v>2</v>
      </c>
      <c r="M108" s="94">
        <v>-3</v>
      </c>
      <c r="N108" s="94" t="s">
        <v>210</v>
      </c>
      <c r="O108" s="94" t="s">
        <v>210</v>
      </c>
      <c r="P108" s="94">
        <v>1</v>
      </c>
      <c r="Q108" s="94">
        <v>-2</v>
      </c>
      <c r="R108" s="94" t="s">
        <v>210</v>
      </c>
      <c r="S108" s="94" t="s">
        <v>210</v>
      </c>
      <c r="T108" s="94">
        <v>3</v>
      </c>
      <c r="U108" s="94">
        <v>1</v>
      </c>
      <c r="V108" s="94" t="s">
        <v>210</v>
      </c>
      <c r="W108" s="94" t="s">
        <v>210</v>
      </c>
      <c r="X108" s="94">
        <v>-1</v>
      </c>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5"/>
    </row>
    <row r="109" spans="1:53" s="87" customFormat="1">
      <c r="A109" s="90" t="str">
        <f t="shared" si="26"/>
        <v/>
      </c>
      <c r="B109" s="98">
        <v>10</v>
      </c>
      <c r="C109" s="94" t="s">
        <v>210</v>
      </c>
      <c r="D109" s="94">
        <v>-3</v>
      </c>
      <c r="E109" s="94">
        <v>1</v>
      </c>
      <c r="F109" s="94" t="s">
        <v>210</v>
      </c>
      <c r="G109" s="94" t="s">
        <v>210</v>
      </c>
      <c r="H109" s="94">
        <v>-1</v>
      </c>
      <c r="I109" s="94">
        <v>3</v>
      </c>
      <c r="J109" s="94" t="s">
        <v>210</v>
      </c>
      <c r="K109" s="94">
        <v>2</v>
      </c>
      <c r="L109" s="94" t="s">
        <v>210</v>
      </c>
      <c r="M109" s="94" t="s">
        <v>210</v>
      </c>
      <c r="N109" s="94">
        <v>-2</v>
      </c>
      <c r="O109" s="94" t="s">
        <v>210</v>
      </c>
      <c r="P109" s="94">
        <v>3</v>
      </c>
      <c r="Q109" s="94">
        <v>-3</v>
      </c>
      <c r="R109" s="94" t="s">
        <v>210</v>
      </c>
      <c r="S109" s="94" t="s">
        <v>210</v>
      </c>
      <c r="T109" s="94">
        <v>-1</v>
      </c>
      <c r="U109" s="94">
        <v>2</v>
      </c>
      <c r="V109" s="94" t="s">
        <v>210</v>
      </c>
      <c r="W109" s="94" t="s">
        <v>210</v>
      </c>
      <c r="X109" s="94">
        <v>1</v>
      </c>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5"/>
    </row>
    <row r="110" spans="1:53" s="87" customFormat="1">
      <c r="A110" s="90" t="str">
        <f t="shared" si="26"/>
        <v/>
      </c>
      <c r="B110" s="98">
        <v>11</v>
      </c>
      <c r="C110" s="94" t="s">
        <v>210</v>
      </c>
      <c r="D110" s="94">
        <v>1</v>
      </c>
      <c r="E110" s="94">
        <v>2</v>
      </c>
      <c r="F110" s="94" t="s">
        <v>210</v>
      </c>
      <c r="G110" s="94">
        <v>-1</v>
      </c>
      <c r="H110" s="94" t="s">
        <v>210</v>
      </c>
      <c r="I110" s="94" t="s">
        <v>210</v>
      </c>
      <c r="J110" s="94">
        <v>-3</v>
      </c>
      <c r="K110" s="94" t="s">
        <v>210</v>
      </c>
      <c r="L110" s="94">
        <v>1</v>
      </c>
      <c r="M110" s="94">
        <v>-2</v>
      </c>
      <c r="N110" s="94" t="s">
        <v>210</v>
      </c>
      <c r="O110" s="94" t="s">
        <v>210</v>
      </c>
      <c r="P110" s="94">
        <v>-1</v>
      </c>
      <c r="Q110" s="94">
        <v>3</v>
      </c>
      <c r="R110" s="94" t="s">
        <v>210</v>
      </c>
      <c r="S110" s="94" t="s">
        <v>210</v>
      </c>
      <c r="T110" s="94">
        <v>-2</v>
      </c>
      <c r="U110" s="94">
        <v>3</v>
      </c>
      <c r="V110" s="94" t="s">
        <v>210</v>
      </c>
      <c r="W110" s="94" t="s">
        <v>210</v>
      </c>
      <c r="X110" s="94">
        <v>-3</v>
      </c>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5"/>
    </row>
    <row r="111" spans="1:53" s="87" customFormat="1">
      <c r="A111" s="90" t="str">
        <f t="shared" si="26"/>
        <v/>
      </c>
      <c r="B111" s="98">
        <v>12</v>
      </c>
      <c r="C111" s="94">
        <v>1</v>
      </c>
      <c r="D111" s="94" t="s">
        <v>210</v>
      </c>
      <c r="E111" s="94" t="s">
        <v>210</v>
      </c>
      <c r="F111" s="94">
        <v>2</v>
      </c>
      <c r="G111" s="94" t="s">
        <v>210</v>
      </c>
      <c r="H111" s="94">
        <v>-2</v>
      </c>
      <c r="I111" s="94">
        <v>-1</v>
      </c>
      <c r="J111" s="94" t="s">
        <v>210</v>
      </c>
      <c r="K111" s="94" t="s">
        <v>210</v>
      </c>
      <c r="L111" s="94">
        <v>3</v>
      </c>
      <c r="M111" s="94">
        <v>-1</v>
      </c>
      <c r="N111" s="94" t="s">
        <v>210</v>
      </c>
      <c r="O111" s="94" t="s">
        <v>210</v>
      </c>
      <c r="P111" s="94">
        <v>2</v>
      </c>
      <c r="Q111" s="94">
        <v>1</v>
      </c>
      <c r="R111" s="94" t="s">
        <v>210</v>
      </c>
      <c r="S111" s="94" t="s">
        <v>210</v>
      </c>
      <c r="T111" s="94">
        <v>-3</v>
      </c>
      <c r="U111" s="94">
        <v>-2</v>
      </c>
      <c r="V111" s="94" t="s">
        <v>210</v>
      </c>
      <c r="W111" s="94" t="s">
        <v>210</v>
      </c>
      <c r="X111" s="94">
        <v>3</v>
      </c>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5"/>
    </row>
    <row r="112" spans="1:53" s="87" customFormat="1">
      <c r="A112" s="90" t="str">
        <f t="shared" si="26"/>
        <v/>
      </c>
      <c r="B112" s="317" t="s">
        <v>270</v>
      </c>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5"/>
    </row>
    <row r="113" spans="1:53" s="87" customFormat="1">
      <c r="A113" s="90">
        <f t="shared" si="26"/>
        <v>113</v>
      </c>
      <c r="B113" s="98" t="s">
        <v>246</v>
      </c>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5"/>
    </row>
    <row r="114" spans="1:53" s="87" customFormat="1">
      <c r="A114" s="90" t="str">
        <f t="shared" si="26"/>
        <v/>
      </c>
      <c r="B114" s="98">
        <v>1</v>
      </c>
      <c r="C114" s="94">
        <v>1</v>
      </c>
      <c r="D114" s="94" t="s">
        <v>210</v>
      </c>
      <c r="E114" s="94" t="s">
        <v>210</v>
      </c>
      <c r="F114" s="94">
        <v>2</v>
      </c>
      <c r="G114" s="94">
        <v>-1</v>
      </c>
      <c r="H114" s="94" t="s">
        <v>210</v>
      </c>
      <c r="I114" s="94" t="s">
        <v>210</v>
      </c>
      <c r="J114" s="94">
        <v>3</v>
      </c>
      <c r="K114" s="94">
        <v>-2</v>
      </c>
      <c r="L114" s="94" t="s">
        <v>210</v>
      </c>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5"/>
    </row>
    <row r="115" spans="1:53" s="87" customFormat="1">
      <c r="A115" s="90" t="str">
        <f t="shared" si="26"/>
        <v/>
      </c>
      <c r="B115" s="98">
        <v>2</v>
      </c>
      <c r="C115" s="94">
        <v>-2</v>
      </c>
      <c r="D115" s="94" t="s">
        <v>210</v>
      </c>
      <c r="E115" s="94" t="s">
        <v>210</v>
      </c>
      <c r="F115" s="94">
        <v>1</v>
      </c>
      <c r="G115" s="94">
        <v>-3</v>
      </c>
      <c r="H115" s="94" t="s">
        <v>210</v>
      </c>
      <c r="I115" s="94" t="s">
        <v>210</v>
      </c>
      <c r="J115" s="94">
        <v>-1</v>
      </c>
      <c r="K115" s="94">
        <v>2</v>
      </c>
      <c r="L115" s="94" t="s">
        <v>210</v>
      </c>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5"/>
    </row>
    <row r="116" spans="1:53" s="87" customFormat="1">
      <c r="A116" s="90" t="str">
        <f t="shared" si="26"/>
        <v/>
      </c>
      <c r="B116" s="98">
        <v>3</v>
      </c>
      <c r="C116" s="94">
        <v>3</v>
      </c>
      <c r="D116" s="94" t="s">
        <v>210</v>
      </c>
      <c r="E116" s="94" t="s">
        <v>210</v>
      </c>
      <c r="F116" s="94">
        <v>-1</v>
      </c>
      <c r="G116" s="94">
        <v>-2</v>
      </c>
      <c r="H116" s="94" t="s">
        <v>210</v>
      </c>
      <c r="I116" s="94" t="s">
        <v>210</v>
      </c>
      <c r="J116" s="94">
        <v>-3</v>
      </c>
      <c r="K116" s="94">
        <v>1</v>
      </c>
      <c r="L116" s="94" t="s">
        <v>210</v>
      </c>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5"/>
    </row>
    <row r="117" spans="1:53" s="87" customFormat="1">
      <c r="A117" s="90" t="str">
        <f t="shared" si="26"/>
        <v/>
      </c>
      <c r="B117" s="98">
        <v>4</v>
      </c>
      <c r="C117" s="94">
        <v>2</v>
      </c>
      <c r="D117" s="94" t="s">
        <v>210</v>
      </c>
      <c r="E117" s="94" t="s">
        <v>210</v>
      </c>
      <c r="F117" s="94">
        <v>3</v>
      </c>
      <c r="G117" s="94">
        <v>1</v>
      </c>
      <c r="H117" s="94" t="s">
        <v>210</v>
      </c>
      <c r="I117" s="94" t="s">
        <v>210</v>
      </c>
      <c r="J117" s="94">
        <v>-2</v>
      </c>
      <c r="K117" s="94">
        <v>-1</v>
      </c>
      <c r="L117" s="94" t="s">
        <v>210</v>
      </c>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5"/>
    </row>
    <row r="118" spans="1:53" s="87" customFormat="1">
      <c r="A118" s="90" t="str">
        <f t="shared" si="26"/>
        <v/>
      </c>
      <c r="B118" s="98">
        <v>5</v>
      </c>
      <c r="C118" s="94">
        <v>-3</v>
      </c>
      <c r="D118" s="94" t="s">
        <v>210</v>
      </c>
      <c r="E118" s="94" t="s">
        <v>210</v>
      </c>
      <c r="F118" s="94">
        <v>-2</v>
      </c>
      <c r="G118" s="94">
        <v>3</v>
      </c>
      <c r="H118" s="94" t="s">
        <v>210</v>
      </c>
      <c r="I118" s="94" t="s">
        <v>210</v>
      </c>
      <c r="J118" s="94">
        <v>2</v>
      </c>
      <c r="K118" s="94">
        <v>-3</v>
      </c>
      <c r="L118" s="94" t="s">
        <v>210</v>
      </c>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5"/>
    </row>
    <row r="119" spans="1:53" s="87" customFormat="1">
      <c r="A119" s="90" t="str">
        <f t="shared" si="26"/>
        <v/>
      </c>
      <c r="B119" s="99">
        <v>6</v>
      </c>
      <c r="C119" s="92">
        <v>-1</v>
      </c>
      <c r="D119" s="92" t="s">
        <v>210</v>
      </c>
      <c r="E119" s="92" t="s">
        <v>210</v>
      </c>
      <c r="F119" s="92">
        <v>-3</v>
      </c>
      <c r="G119" s="92">
        <v>2</v>
      </c>
      <c r="H119" s="92" t="s">
        <v>210</v>
      </c>
      <c r="I119" s="92" t="s">
        <v>210</v>
      </c>
      <c r="J119" s="92">
        <v>1</v>
      </c>
      <c r="K119" s="92">
        <v>3</v>
      </c>
      <c r="L119" s="92" t="s">
        <v>210</v>
      </c>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5"/>
    </row>
    <row r="120" spans="1:53" s="87" customFormat="1">
      <c r="A120" s="90" t="str">
        <f t="shared" si="26"/>
        <v/>
      </c>
      <c r="B120" s="98">
        <v>7</v>
      </c>
      <c r="C120" s="94" t="s">
        <v>210</v>
      </c>
      <c r="D120" s="94">
        <v>1</v>
      </c>
      <c r="E120" s="94">
        <v>2</v>
      </c>
      <c r="F120" s="94" t="s">
        <v>210</v>
      </c>
      <c r="G120" s="94" t="s">
        <v>210</v>
      </c>
      <c r="H120" s="94">
        <v>-1</v>
      </c>
      <c r="I120" s="94">
        <v>3</v>
      </c>
      <c r="J120" s="94" t="s">
        <v>210</v>
      </c>
      <c r="K120" s="94" t="s">
        <v>210</v>
      </c>
      <c r="L120" s="94">
        <v>-2</v>
      </c>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5"/>
    </row>
    <row r="121" spans="1:53" s="87" customFormat="1">
      <c r="A121" s="90" t="str">
        <f t="shared" si="26"/>
        <v/>
      </c>
      <c r="B121" s="98">
        <v>8</v>
      </c>
      <c r="C121" s="94" t="s">
        <v>210</v>
      </c>
      <c r="D121" s="94">
        <v>-2</v>
      </c>
      <c r="E121" s="94">
        <v>1</v>
      </c>
      <c r="F121" s="94" t="s">
        <v>210</v>
      </c>
      <c r="G121" s="94" t="s">
        <v>210</v>
      </c>
      <c r="H121" s="94">
        <v>-3</v>
      </c>
      <c r="I121" s="94">
        <v>-1</v>
      </c>
      <c r="J121" s="94" t="s">
        <v>210</v>
      </c>
      <c r="K121" s="94" t="s">
        <v>210</v>
      </c>
      <c r="L121" s="94">
        <v>2</v>
      </c>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5"/>
    </row>
    <row r="122" spans="1:53" s="87" customFormat="1">
      <c r="A122" s="90" t="str">
        <f t="shared" si="26"/>
        <v/>
      </c>
      <c r="B122" s="98">
        <v>9</v>
      </c>
      <c r="C122" s="94" t="s">
        <v>210</v>
      </c>
      <c r="D122" s="94">
        <v>3</v>
      </c>
      <c r="E122" s="94">
        <v>-1</v>
      </c>
      <c r="F122" s="94" t="s">
        <v>210</v>
      </c>
      <c r="G122" s="94" t="s">
        <v>210</v>
      </c>
      <c r="H122" s="94">
        <v>-2</v>
      </c>
      <c r="I122" s="94">
        <v>-3</v>
      </c>
      <c r="J122" s="94" t="s">
        <v>210</v>
      </c>
      <c r="K122" s="94" t="s">
        <v>210</v>
      </c>
      <c r="L122" s="94">
        <v>1</v>
      </c>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5"/>
    </row>
    <row r="123" spans="1:53" s="87" customFormat="1">
      <c r="A123" s="90" t="str">
        <f t="shared" si="26"/>
        <v/>
      </c>
      <c r="B123" s="98">
        <v>10</v>
      </c>
      <c r="C123" s="94" t="s">
        <v>210</v>
      </c>
      <c r="D123" s="94">
        <v>2</v>
      </c>
      <c r="E123" s="94">
        <v>3</v>
      </c>
      <c r="F123" s="94" t="s">
        <v>210</v>
      </c>
      <c r="G123" s="94" t="s">
        <v>210</v>
      </c>
      <c r="H123" s="94">
        <v>1</v>
      </c>
      <c r="I123" s="94">
        <v>-2</v>
      </c>
      <c r="J123" s="94" t="s">
        <v>210</v>
      </c>
      <c r="K123" s="94" t="s">
        <v>210</v>
      </c>
      <c r="L123" s="94">
        <v>-1</v>
      </c>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5"/>
    </row>
    <row r="124" spans="1:53" s="87" customFormat="1">
      <c r="A124" s="90" t="str">
        <f t="shared" si="26"/>
        <v/>
      </c>
      <c r="B124" s="98">
        <v>11</v>
      </c>
      <c r="C124" s="94" t="s">
        <v>210</v>
      </c>
      <c r="D124" s="94">
        <v>-3</v>
      </c>
      <c r="E124" s="94">
        <v>-2</v>
      </c>
      <c r="F124" s="94" t="s">
        <v>210</v>
      </c>
      <c r="G124" s="94" t="s">
        <v>210</v>
      </c>
      <c r="H124" s="94">
        <v>3</v>
      </c>
      <c r="I124" s="94">
        <v>2</v>
      </c>
      <c r="J124" s="94" t="s">
        <v>210</v>
      </c>
      <c r="K124" s="94" t="s">
        <v>210</v>
      </c>
      <c r="L124" s="94">
        <v>-3</v>
      </c>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5"/>
    </row>
    <row r="125" spans="1:53" s="87" customFormat="1">
      <c r="A125" s="90" t="str">
        <f t="shared" si="26"/>
        <v/>
      </c>
      <c r="B125" s="98">
        <v>12</v>
      </c>
      <c r="C125" s="94" t="s">
        <v>210</v>
      </c>
      <c r="D125" s="94">
        <v>-1</v>
      </c>
      <c r="E125" s="94">
        <v>-3</v>
      </c>
      <c r="F125" s="94" t="s">
        <v>210</v>
      </c>
      <c r="G125" s="94" t="s">
        <v>210</v>
      </c>
      <c r="H125" s="94">
        <v>2</v>
      </c>
      <c r="I125" s="94">
        <v>1</v>
      </c>
      <c r="J125" s="94" t="s">
        <v>210</v>
      </c>
      <c r="K125" s="94" t="s">
        <v>210</v>
      </c>
      <c r="L125" s="94">
        <v>3</v>
      </c>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5"/>
    </row>
    <row r="126" spans="1:53" s="87" customFormat="1">
      <c r="A126" s="90" t="str">
        <f t="shared" si="26"/>
        <v/>
      </c>
      <c r="B126" s="98" t="s">
        <v>241</v>
      </c>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c r="AW126" s="94"/>
      <c r="AX126" s="94"/>
      <c r="AY126" s="94"/>
      <c r="AZ126" s="94"/>
      <c r="BA126" s="95"/>
    </row>
    <row r="127" spans="1:53" s="87" customFormat="1">
      <c r="A127" s="90">
        <f t="shared" si="26"/>
        <v>127</v>
      </c>
      <c r="B127" s="98" t="s">
        <v>247</v>
      </c>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AZ127" s="94"/>
      <c r="BA127" s="95"/>
    </row>
    <row r="128" spans="1:53" s="87" customFormat="1">
      <c r="A128" s="90" t="str">
        <f t="shared" si="26"/>
        <v/>
      </c>
      <c r="B128" s="98">
        <v>1</v>
      </c>
      <c r="C128" s="94">
        <v>1</v>
      </c>
      <c r="D128" s="94" t="s">
        <v>210</v>
      </c>
      <c r="E128" s="94">
        <v>-3</v>
      </c>
      <c r="F128" s="94" t="s">
        <v>210</v>
      </c>
      <c r="G128" s="94">
        <v>2</v>
      </c>
      <c r="H128" s="94" t="s">
        <v>210</v>
      </c>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5"/>
    </row>
    <row r="129" spans="1:53" s="87" customFormat="1">
      <c r="A129" s="90" t="str">
        <f t="shared" si="26"/>
        <v/>
      </c>
      <c r="B129" s="98">
        <v>2</v>
      </c>
      <c r="C129" s="94" t="s">
        <v>210</v>
      </c>
      <c r="D129" s="94">
        <v>1</v>
      </c>
      <c r="E129" s="94" t="s">
        <v>210</v>
      </c>
      <c r="F129" s="94">
        <v>3</v>
      </c>
      <c r="G129" s="94">
        <v>-2</v>
      </c>
      <c r="H129" s="94" t="s">
        <v>210</v>
      </c>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5"/>
    </row>
    <row r="130" spans="1:53" s="87" customFormat="1">
      <c r="A130" s="90" t="str">
        <f t="shared" si="26"/>
        <v/>
      </c>
      <c r="B130" s="98">
        <v>3</v>
      </c>
      <c r="C130" s="94">
        <v>-1</v>
      </c>
      <c r="D130" s="94" t="s">
        <v>210</v>
      </c>
      <c r="E130" s="94" t="s">
        <v>210</v>
      </c>
      <c r="F130" s="94">
        <v>-3</v>
      </c>
      <c r="G130" s="94" t="s">
        <v>210</v>
      </c>
      <c r="H130" s="94">
        <v>2</v>
      </c>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5"/>
    </row>
    <row r="131" spans="1:53" s="87" customFormat="1">
      <c r="A131" s="90" t="str">
        <f t="shared" si="26"/>
        <v/>
      </c>
      <c r="B131" s="99">
        <v>4</v>
      </c>
      <c r="C131" s="92" t="s">
        <v>210</v>
      </c>
      <c r="D131" s="92">
        <v>-1</v>
      </c>
      <c r="E131" s="92">
        <v>3</v>
      </c>
      <c r="F131" s="92" t="s">
        <v>210</v>
      </c>
      <c r="G131" s="92" t="s">
        <v>210</v>
      </c>
      <c r="H131" s="92">
        <v>-2</v>
      </c>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5"/>
    </row>
    <row r="132" spans="1:53" s="87" customFormat="1">
      <c r="A132" s="90" t="str">
        <f t="shared" si="26"/>
        <v/>
      </c>
      <c r="B132" s="98">
        <v>5</v>
      </c>
      <c r="C132" s="94">
        <v>-2</v>
      </c>
      <c r="D132" s="94" t="s">
        <v>210</v>
      </c>
      <c r="E132" s="94" t="s">
        <v>210</v>
      </c>
      <c r="F132" s="94">
        <v>2</v>
      </c>
      <c r="G132" s="94">
        <v>1</v>
      </c>
      <c r="H132" s="94" t="s">
        <v>210</v>
      </c>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5"/>
    </row>
    <row r="133" spans="1:53" s="87" customFormat="1">
      <c r="A133" s="90" t="str">
        <f t="shared" si="26"/>
        <v/>
      </c>
      <c r="B133" s="98">
        <v>6</v>
      </c>
      <c r="C133" s="94">
        <v>3</v>
      </c>
      <c r="D133" s="94" t="s">
        <v>210</v>
      </c>
      <c r="E133" s="94" t="s">
        <v>210</v>
      </c>
      <c r="F133" s="94">
        <v>1</v>
      </c>
      <c r="G133" s="94">
        <v>-1</v>
      </c>
      <c r="H133" s="94" t="s">
        <v>210</v>
      </c>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c r="AW133" s="94"/>
      <c r="AX133" s="94"/>
      <c r="AY133" s="94"/>
      <c r="AZ133" s="94"/>
      <c r="BA133" s="95"/>
    </row>
    <row r="134" spans="1:53" s="87" customFormat="1">
      <c r="A134" s="90" t="str">
        <f t="shared" si="26"/>
        <v/>
      </c>
      <c r="B134" s="98">
        <v>7</v>
      </c>
      <c r="C134" s="94">
        <v>-3</v>
      </c>
      <c r="D134" s="94" t="s">
        <v>210</v>
      </c>
      <c r="E134" s="94" t="s">
        <v>210</v>
      </c>
      <c r="F134" s="94">
        <v>-2</v>
      </c>
      <c r="G134" s="94">
        <v>3</v>
      </c>
      <c r="H134" s="94" t="s">
        <v>210</v>
      </c>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c r="AZ134" s="94"/>
      <c r="BA134" s="95"/>
    </row>
    <row r="135" spans="1:53" s="87" customFormat="1">
      <c r="A135" s="90" t="str">
        <f t="shared" si="26"/>
        <v/>
      </c>
      <c r="B135" s="99">
        <v>8</v>
      </c>
      <c r="C135" s="92">
        <v>2</v>
      </c>
      <c r="D135" s="92" t="s">
        <v>210</v>
      </c>
      <c r="E135" s="92" t="s">
        <v>210</v>
      </c>
      <c r="F135" s="92">
        <v>-1</v>
      </c>
      <c r="G135" s="92">
        <v>-3</v>
      </c>
      <c r="H135" s="92" t="s">
        <v>210</v>
      </c>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5"/>
    </row>
    <row r="136" spans="1:53" s="87" customFormat="1">
      <c r="A136" s="90" t="str">
        <f t="shared" si="26"/>
        <v/>
      </c>
      <c r="B136" s="98">
        <v>9</v>
      </c>
      <c r="C136" s="94" t="s">
        <v>210</v>
      </c>
      <c r="D136" s="94">
        <v>-2</v>
      </c>
      <c r="E136" s="94">
        <v>2</v>
      </c>
      <c r="F136" s="94" t="s">
        <v>210</v>
      </c>
      <c r="G136" s="94" t="s">
        <v>210</v>
      </c>
      <c r="H136" s="94">
        <v>1</v>
      </c>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5"/>
    </row>
    <row r="137" spans="1:53" s="87" customFormat="1">
      <c r="A137" s="90" t="str">
        <f t="shared" si="26"/>
        <v/>
      </c>
      <c r="B137" s="98">
        <v>10</v>
      </c>
      <c r="C137" s="94" t="s">
        <v>210</v>
      </c>
      <c r="D137" s="94">
        <v>3</v>
      </c>
      <c r="E137" s="94">
        <v>1</v>
      </c>
      <c r="F137" s="94" t="s">
        <v>210</v>
      </c>
      <c r="G137" s="94" t="s">
        <v>210</v>
      </c>
      <c r="H137" s="94">
        <v>-1</v>
      </c>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5"/>
    </row>
    <row r="138" spans="1:53" s="87" customFormat="1">
      <c r="A138" s="90" t="str">
        <f t="shared" si="26"/>
        <v/>
      </c>
      <c r="B138" s="98">
        <v>11</v>
      </c>
      <c r="C138" s="94" t="s">
        <v>210</v>
      </c>
      <c r="D138" s="94">
        <v>-3</v>
      </c>
      <c r="E138" s="94">
        <v>-2</v>
      </c>
      <c r="F138" s="94" t="s">
        <v>210</v>
      </c>
      <c r="G138" s="94" t="s">
        <v>210</v>
      </c>
      <c r="H138" s="94">
        <v>3</v>
      </c>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5"/>
    </row>
    <row r="139" spans="1:53" s="87" customFormat="1">
      <c r="A139" s="90" t="str">
        <f t="shared" si="26"/>
        <v/>
      </c>
      <c r="B139" s="98">
        <v>12</v>
      </c>
      <c r="C139" s="94" t="s">
        <v>210</v>
      </c>
      <c r="D139" s="94">
        <v>2</v>
      </c>
      <c r="E139" s="94">
        <v>-1</v>
      </c>
      <c r="F139" s="94" t="s">
        <v>210</v>
      </c>
      <c r="G139" s="94" t="s">
        <v>210</v>
      </c>
      <c r="H139" s="94">
        <v>-3</v>
      </c>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5"/>
    </row>
    <row r="140" spans="1:53" s="87" customFormat="1">
      <c r="A140" s="90" t="str">
        <f t="shared" ref="A140:A203" si="27">IF(MID(B140,3,2)="03",ROW(),"")</f>
        <v/>
      </c>
      <c r="B140" s="98" t="s">
        <v>248</v>
      </c>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c r="AZ140" s="94"/>
      <c r="BA140" s="95"/>
    </row>
    <row r="141" spans="1:53" s="87" customFormat="1">
      <c r="A141" s="90">
        <f t="shared" si="27"/>
        <v>141</v>
      </c>
      <c r="B141" s="98" t="s">
        <v>249</v>
      </c>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5"/>
    </row>
    <row r="142" spans="1:53" s="87" customFormat="1">
      <c r="A142" s="90" t="str">
        <f t="shared" si="27"/>
        <v/>
      </c>
      <c r="B142" s="98">
        <v>1</v>
      </c>
      <c r="C142" s="94">
        <v>1</v>
      </c>
      <c r="D142" s="94" t="s">
        <v>210</v>
      </c>
      <c r="E142" s="94" t="s">
        <v>210</v>
      </c>
      <c r="F142" s="94" t="s">
        <v>210</v>
      </c>
      <c r="G142" s="94">
        <v>-1</v>
      </c>
      <c r="H142" s="94" t="s">
        <v>210</v>
      </c>
      <c r="I142" s="94" t="s">
        <v>210</v>
      </c>
      <c r="J142" s="94">
        <v>-3</v>
      </c>
      <c r="K142" s="94">
        <v>2</v>
      </c>
      <c r="L142" s="94" t="s">
        <v>210</v>
      </c>
      <c r="M142" s="94" t="s">
        <v>210</v>
      </c>
      <c r="N142" s="94">
        <v>3</v>
      </c>
      <c r="O142" s="94">
        <v>-2</v>
      </c>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5"/>
    </row>
    <row r="143" spans="1:53" s="87" customFormat="1">
      <c r="A143" s="90" t="str">
        <f t="shared" si="27"/>
        <v/>
      </c>
      <c r="B143" s="98">
        <v>2</v>
      </c>
      <c r="C143" s="94" t="s">
        <v>210</v>
      </c>
      <c r="D143" s="94" t="s">
        <v>210</v>
      </c>
      <c r="E143" s="94" t="s">
        <v>210</v>
      </c>
      <c r="F143" s="94">
        <v>-3</v>
      </c>
      <c r="G143" s="94">
        <v>-2</v>
      </c>
      <c r="H143" s="94" t="s">
        <v>210</v>
      </c>
      <c r="I143" s="94" t="s">
        <v>210</v>
      </c>
      <c r="J143" s="94">
        <v>-1</v>
      </c>
      <c r="K143" s="94">
        <v>3</v>
      </c>
      <c r="L143" s="94" t="s">
        <v>210</v>
      </c>
      <c r="M143" s="94" t="s">
        <v>210</v>
      </c>
      <c r="N143" s="94">
        <v>1</v>
      </c>
      <c r="O143" s="94">
        <v>2</v>
      </c>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5"/>
    </row>
    <row r="144" spans="1:53" s="87" customFormat="1">
      <c r="A144" s="90" t="str">
        <f t="shared" si="27"/>
        <v/>
      </c>
      <c r="B144" s="98">
        <v>3</v>
      </c>
      <c r="C144" s="94">
        <v>-1</v>
      </c>
      <c r="D144" s="94" t="s">
        <v>210</v>
      </c>
      <c r="E144" s="94" t="s">
        <v>210</v>
      </c>
      <c r="F144" s="94">
        <v>-2</v>
      </c>
      <c r="G144" s="94">
        <v>3</v>
      </c>
      <c r="H144" s="94" t="s">
        <v>210</v>
      </c>
      <c r="I144" s="94" t="s">
        <v>210</v>
      </c>
      <c r="J144" s="94" t="s">
        <v>210</v>
      </c>
      <c r="K144" s="94">
        <v>-3</v>
      </c>
      <c r="L144" s="94" t="s">
        <v>210</v>
      </c>
      <c r="M144" s="94" t="s">
        <v>210</v>
      </c>
      <c r="N144" s="94">
        <v>2</v>
      </c>
      <c r="O144" s="94">
        <v>1</v>
      </c>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5"/>
    </row>
    <row r="145" spans="1:53" s="87" customFormat="1">
      <c r="A145" s="90" t="str">
        <f t="shared" si="27"/>
        <v/>
      </c>
      <c r="B145" s="98">
        <v>4</v>
      </c>
      <c r="C145" s="94">
        <v>-2</v>
      </c>
      <c r="D145" s="94" t="s">
        <v>210</v>
      </c>
      <c r="E145" s="94" t="s">
        <v>210</v>
      </c>
      <c r="F145" s="94">
        <v>3</v>
      </c>
      <c r="G145" s="94" t="s">
        <v>210</v>
      </c>
      <c r="H145" s="94" t="s">
        <v>210</v>
      </c>
      <c r="I145" s="94" t="s">
        <v>210</v>
      </c>
      <c r="J145" s="94">
        <v>2</v>
      </c>
      <c r="K145" s="94">
        <v>1</v>
      </c>
      <c r="L145" s="94" t="s">
        <v>210</v>
      </c>
      <c r="M145" s="94" t="s">
        <v>210</v>
      </c>
      <c r="N145" s="94">
        <v>-3</v>
      </c>
      <c r="O145" s="94">
        <v>-1</v>
      </c>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5"/>
    </row>
    <row r="146" spans="1:53" s="87" customFormat="1">
      <c r="A146" s="90" t="str">
        <f t="shared" si="27"/>
        <v/>
      </c>
      <c r="B146" s="98">
        <v>5</v>
      </c>
      <c r="C146" s="94">
        <v>2</v>
      </c>
      <c r="D146" s="94" t="s">
        <v>210</v>
      </c>
      <c r="E146" s="94" t="s">
        <v>210</v>
      </c>
      <c r="F146" s="94">
        <v>-1</v>
      </c>
      <c r="G146" s="94">
        <v>-3</v>
      </c>
      <c r="H146" s="94" t="s">
        <v>210</v>
      </c>
      <c r="I146" s="94" t="s">
        <v>210</v>
      </c>
      <c r="J146" s="94">
        <v>1</v>
      </c>
      <c r="K146" s="94">
        <v>-2</v>
      </c>
      <c r="L146" s="94" t="s">
        <v>210</v>
      </c>
      <c r="M146" s="94" t="s">
        <v>210</v>
      </c>
      <c r="N146" s="94" t="s">
        <v>210</v>
      </c>
      <c r="O146" s="94">
        <v>3</v>
      </c>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5"/>
    </row>
    <row r="147" spans="1:53" s="87" customFormat="1">
      <c r="A147" s="90" t="str">
        <f t="shared" si="27"/>
        <v/>
      </c>
      <c r="B147" s="98">
        <v>6</v>
      </c>
      <c r="C147" s="94">
        <v>3</v>
      </c>
      <c r="D147" s="94" t="s">
        <v>210</v>
      </c>
      <c r="E147" s="94" t="s">
        <v>210</v>
      </c>
      <c r="F147" s="94">
        <v>2</v>
      </c>
      <c r="G147" s="94">
        <v>1</v>
      </c>
      <c r="H147" s="94" t="s">
        <v>210</v>
      </c>
      <c r="I147" s="94" t="s">
        <v>210</v>
      </c>
      <c r="J147" s="94">
        <v>-2</v>
      </c>
      <c r="K147" s="94" t="s">
        <v>210</v>
      </c>
      <c r="L147" s="94" t="s">
        <v>210</v>
      </c>
      <c r="M147" s="94" t="s">
        <v>210</v>
      </c>
      <c r="N147" s="94">
        <v>-1</v>
      </c>
      <c r="O147" s="94">
        <v>-3</v>
      </c>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5"/>
    </row>
    <row r="148" spans="1:53" s="87" customFormat="1">
      <c r="A148" s="90" t="str">
        <f t="shared" si="27"/>
        <v/>
      </c>
      <c r="B148" s="99">
        <v>7</v>
      </c>
      <c r="C148" s="92">
        <v>-3</v>
      </c>
      <c r="D148" s="92" t="s">
        <v>210</v>
      </c>
      <c r="E148" s="92" t="s">
        <v>210</v>
      </c>
      <c r="F148" s="92">
        <v>1</v>
      </c>
      <c r="G148" s="92">
        <v>2</v>
      </c>
      <c r="H148" s="92" t="s">
        <v>210</v>
      </c>
      <c r="I148" s="92" t="s">
        <v>210</v>
      </c>
      <c r="J148" s="92">
        <v>3</v>
      </c>
      <c r="K148" s="92">
        <v>-1</v>
      </c>
      <c r="L148" s="92" t="s">
        <v>210</v>
      </c>
      <c r="M148" s="92" t="s">
        <v>210</v>
      </c>
      <c r="N148" s="92">
        <v>-2</v>
      </c>
      <c r="O148" s="92" t="s">
        <v>210</v>
      </c>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5"/>
    </row>
    <row r="149" spans="1:53" s="87" customFormat="1">
      <c r="A149" s="90" t="str">
        <f t="shared" si="27"/>
        <v/>
      </c>
      <c r="B149" s="98">
        <v>8</v>
      </c>
      <c r="C149" s="94" t="s">
        <v>210</v>
      </c>
      <c r="D149" s="94">
        <v>-2</v>
      </c>
      <c r="E149" s="94">
        <v>3</v>
      </c>
      <c r="F149" s="94" t="s">
        <v>210</v>
      </c>
      <c r="G149" s="94" t="s">
        <v>210</v>
      </c>
      <c r="H149" s="94">
        <v>1</v>
      </c>
      <c r="I149" s="94">
        <v>2</v>
      </c>
      <c r="J149" s="94" t="s">
        <v>210</v>
      </c>
      <c r="K149" s="94" t="s">
        <v>210</v>
      </c>
      <c r="L149" s="94">
        <v>-3</v>
      </c>
      <c r="M149" s="94">
        <v>-2</v>
      </c>
      <c r="N149" s="94" t="s">
        <v>210</v>
      </c>
      <c r="O149" s="94" t="s">
        <v>210</v>
      </c>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5"/>
    </row>
    <row r="150" spans="1:53" s="87" customFormat="1">
      <c r="A150" s="90" t="str">
        <f t="shared" si="27"/>
        <v/>
      </c>
      <c r="B150" s="98">
        <v>9</v>
      </c>
      <c r="C150" s="94" t="s">
        <v>210</v>
      </c>
      <c r="D150" s="94">
        <v>-3</v>
      </c>
      <c r="E150" s="94">
        <v>-1</v>
      </c>
      <c r="F150" s="94" t="s">
        <v>210</v>
      </c>
      <c r="G150" s="94" t="s">
        <v>210</v>
      </c>
      <c r="H150" s="94">
        <v>-2</v>
      </c>
      <c r="I150" s="94">
        <v>3</v>
      </c>
      <c r="J150" s="94" t="s">
        <v>210</v>
      </c>
      <c r="K150" s="94" t="s">
        <v>210</v>
      </c>
      <c r="L150" s="94">
        <v>1</v>
      </c>
      <c r="M150" s="94">
        <v>2</v>
      </c>
      <c r="N150" s="94" t="s">
        <v>210</v>
      </c>
      <c r="O150" s="94" t="s">
        <v>210</v>
      </c>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c r="AW150" s="94"/>
      <c r="AX150" s="94"/>
      <c r="AY150" s="94"/>
      <c r="AZ150" s="94"/>
      <c r="BA150" s="95"/>
    </row>
    <row r="151" spans="1:53" s="87" customFormat="1">
      <c r="A151" s="90" t="str">
        <f t="shared" si="27"/>
        <v/>
      </c>
      <c r="B151" s="98">
        <v>10</v>
      </c>
      <c r="C151" s="94" t="s">
        <v>210</v>
      </c>
      <c r="D151" s="94">
        <v>-1</v>
      </c>
      <c r="E151" s="94">
        <v>-3</v>
      </c>
      <c r="F151" s="94" t="s">
        <v>210</v>
      </c>
      <c r="G151" s="94" t="s">
        <v>210</v>
      </c>
      <c r="H151" s="94">
        <v>2</v>
      </c>
      <c r="I151" s="94">
        <v>1</v>
      </c>
      <c r="J151" s="94" t="s">
        <v>210</v>
      </c>
      <c r="K151" s="94" t="s">
        <v>210</v>
      </c>
      <c r="L151" s="94">
        <v>-2</v>
      </c>
      <c r="M151" s="94">
        <v>3</v>
      </c>
      <c r="N151" s="94" t="s">
        <v>210</v>
      </c>
      <c r="O151" s="94" t="s">
        <v>210</v>
      </c>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5"/>
    </row>
    <row r="152" spans="1:53" s="87" customFormat="1">
      <c r="A152" s="90" t="str">
        <f t="shared" si="27"/>
        <v/>
      </c>
      <c r="B152" s="98">
        <v>11</v>
      </c>
      <c r="C152" s="94" t="s">
        <v>210</v>
      </c>
      <c r="D152" s="94">
        <v>3</v>
      </c>
      <c r="E152" s="94">
        <v>2</v>
      </c>
      <c r="F152" s="94" t="s">
        <v>210</v>
      </c>
      <c r="G152" s="94" t="s">
        <v>210</v>
      </c>
      <c r="H152" s="94">
        <v>3</v>
      </c>
      <c r="I152" s="94">
        <v>-2</v>
      </c>
      <c r="J152" s="94" t="s">
        <v>210</v>
      </c>
      <c r="K152" s="94" t="s">
        <v>210</v>
      </c>
      <c r="L152" s="94">
        <v>-1</v>
      </c>
      <c r="M152" s="94">
        <v>-3</v>
      </c>
      <c r="N152" s="94" t="s">
        <v>210</v>
      </c>
      <c r="O152" s="94" t="s">
        <v>210</v>
      </c>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5"/>
    </row>
    <row r="153" spans="1:53" s="87" customFormat="1">
      <c r="A153" s="90" t="str">
        <f t="shared" si="27"/>
        <v/>
      </c>
      <c r="B153" s="98">
        <v>12</v>
      </c>
      <c r="C153" s="94" t="s">
        <v>210</v>
      </c>
      <c r="D153" s="94">
        <v>1</v>
      </c>
      <c r="E153" s="94">
        <v>-2</v>
      </c>
      <c r="F153" s="94" t="s">
        <v>210</v>
      </c>
      <c r="G153" s="94" t="s">
        <v>210</v>
      </c>
      <c r="H153" s="94">
        <v>-1</v>
      </c>
      <c r="I153" s="94">
        <v>-3</v>
      </c>
      <c r="J153" s="94" t="s">
        <v>210</v>
      </c>
      <c r="K153" s="94" t="s">
        <v>210</v>
      </c>
      <c r="L153" s="94">
        <v>2</v>
      </c>
      <c r="M153" s="94">
        <v>1</v>
      </c>
      <c r="N153" s="94" t="s">
        <v>210</v>
      </c>
      <c r="O153" s="94" t="s">
        <v>210</v>
      </c>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5"/>
    </row>
    <row r="154" spans="1:53" s="87" customFormat="1">
      <c r="A154" s="90" t="str">
        <f t="shared" si="27"/>
        <v/>
      </c>
      <c r="B154" s="98">
        <v>13</v>
      </c>
      <c r="C154" s="94" t="s">
        <v>210</v>
      </c>
      <c r="D154" s="94">
        <v>2</v>
      </c>
      <c r="E154" s="94">
        <v>1</v>
      </c>
      <c r="F154" s="94" t="s">
        <v>210</v>
      </c>
      <c r="G154" s="94" t="s">
        <v>210</v>
      </c>
      <c r="H154" s="94">
        <v>-3</v>
      </c>
      <c r="I154" s="94">
        <v>-1</v>
      </c>
      <c r="J154" s="94" t="s">
        <v>210</v>
      </c>
      <c r="K154" s="94" t="s">
        <v>210</v>
      </c>
      <c r="L154" s="94">
        <v>3</v>
      </c>
      <c r="M154" s="94">
        <v>-1</v>
      </c>
      <c r="N154" s="94" t="s">
        <v>210</v>
      </c>
      <c r="O154" s="94" t="s">
        <v>210</v>
      </c>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5"/>
    </row>
    <row r="155" spans="1:53" s="87" customFormat="1">
      <c r="A155" s="90" t="str">
        <f t="shared" si="27"/>
        <v/>
      </c>
      <c r="B155" s="317" t="s">
        <v>1006</v>
      </c>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5"/>
    </row>
    <row r="156" spans="1:53" s="87" customFormat="1">
      <c r="A156" s="90">
        <f t="shared" si="27"/>
        <v>156</v>
      </c>
      <c r="B156" s="98" t="s">
        <v>251</v>
      </c>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5"/>
    </row>
    <row r="157" spans="1:53" s="87" customFormat="1">
      <c r="A157" s="90" t="str">
        <f t="shared" si="27"/>
        <v/>
      </c>
      <c r="B157" s="98">
        <v>1</v>
      </c>
      <c r="C157" s="94" t="s">
        <v>210</v>
      </c>
      <c r="D157" s="94" t="s">
        <v>210</v>
      </c>
      <c r="E157" s="94">
        <v>2</v>
      </c>
      <c r="F157" s="94" t="s">
        <v>210</v>
      </c>
      <c r="G157" s="94" t="s">
        <v>210</v>
      </c>
      <c r="H157" s="94">
        <v>-1</v>
      </c>
      <c r="I157" s="94">
        <v>-2</v>
      </c>
      <c r="J157" s="94" t="s">
        <v>210</v>
      </c>
      <c r="K157" s="94">
        <v>3</v>
      </c>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c r="AW157" s="94"/>
      <c r="AX157" s="94"/>
      <c r="AY157" s="94"/>
      <c r="AZ157" s="94"/>
      <c r="BA157" s="95"/>
    </row>
    <row r="158" spans="1:53" s="87" customFormat="1">
      <c r="A158" s="90" t="str">
        <f t="shared" si="27"/>
        <v/>
      </c>
      <c r="B158" s="98">
        <v>2</v>
      </c>
      <c r="C158" s="94" t="s">
        <v>210</v>
      </c>
      <c r="D158" s="94">
        <v>-1</v>
      </c>
      <c r="E158" s="94" t="s">
        <v>210</v>
      </c>
      <c r="F158" s="94" t="s">
        <v>210</v>
      </c>
      <c r="G158" s="94" t="s">
        <v>210</v>
      </c>
      <c r="H158" s="94">
        <v>-3</v>
      </c>
      <c r="I158" s="94">
        <v>2</v>
      </c>
      <c r="J158" s="94" t="s">
        <v>210</v>
      </c>
      <c r="K158" s="94">
        <v>1</v>
      </c>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5"/>
    </row>
    <row r="159" spans="1:53" s="87" customFormat="1">
      <c r="A159" s="90" t="str">
        <f t="shared" si="27"/>
        <v/>
      </c>
      <c r="B159" s="98">
        <v>3</v>
      </c>
      <c r="C159" s="94">
        <v>-3</v>
      </c>
      <c r="D159" s="94" t="s">
        <v>210</v>
      </c>
      <c r="E159" s="94">
        <v>-2</v>
      </c>
      <c r="F159" s="94" t="s">
        <v>210</v>
      </c>
      <c r="G159" s="94" t="s">
        <v>210</v>
      </c>
      <c r="H159" s="94">
        <v>3</v>
      </c>
      <c r="I159" s="94">
        <v>1</v>
      </c>
      <c r="J159" s="94" t="s">
        <v>210</v>
      </c>
      <c r="K159" s="94" t="s">
        <v>210</v>
      </c>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5"/>
    </row>
    <row r="160" spans="1:53" s="87" customFormat="1">
      <c r="A160" s="90" t="str">
        <f t="shared" si="27"/>
        <v/>
      </c>
      <c r="B160" s="98">
        <v>4</v>
      </c>
      <c r="C160" s="94" t="s">
        <v>210</v>
      </c>
      <c r="D160" s="94">
        <v>1</v>
      </c>
      <c r="E160" s="94" t="s">
        <v>210</v>
      </c>
      <c r="F160" s="94">
        <v>2</v>
      </c>
      <c r="G160" s="94" t="s">
        <v>210</v>
      </c>
      <c r="H160" s="94" t="s">
        <v>210</v>
      </c>
      <c r="I160" s="94">
        <v>-1</v>
      </c>
      <c r="J160" s="94" t="s">
        <v>210</v>
      </c>
      <c r="K160" s="94">
        <v>-3</v>
      </c>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5"/>
    </row>
    <row r="161" spans="1:53" s="87" customFormat="1">
      <c r="A161" s="90" t="str">
        <f t="shared" si="27"/>
        <v/>
      </c>
      <c r="B161" s="99">
        <v>5</v>
      </c>
      <c r="C161" s="92">
        <v>3</v>
      </c>
      <c r="D161" s="92" t="s">
        <v>210</v>
      </c>
      <c r="E161" s="92" t="s">
        <v>210</v>
      </c>
      <c r="F161" s="92">
        <v>-2</v>
      </c>
      <c r="G161" s="92" t="s">
        <v>210</v>
      </c>
      <c r="H161" s="92">
        <v>1</v>
      </c>
      <c r="I161" s="92" t="s">
        <v>210</v>
      </c>
      <c r="J161" s="92" t="s">
        <v>210</v>
      </c>
      <c r="K161" s="92">
        <v>-1</v>
      </c>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5"/>
    </row>
    <row r="162" spans="1:53" s="87" customFormat="1">
      <c r="A162" s="90" t="str">
        <f t="shared" si="27"/>
        <v/>
      </c>
      <c r="B162" s="98">
        <v>6</v>
      </c>
      <c r="C162" s="94" t="s">
        <v>210</v>
      </c>
      <c r="D162" s="94">
        <v>-2</v>
      </c>
      <c r="E162" s="94" t="s">
        <v>210</v>
      </c>
      <c r="F162" s="94">
        <v>-1</v>
      </c>
      <c r="G162" s="94">
        <v>2</v>
      </c>
      <c r="H162" s="94" t="s">
        <v>210</v>
      </c>
      <c r="I162" s="94">
        <v>3</v>
      </c>
      <c r="J162" s="94" t="s">
        <v>210</v>
      </c>
      <c r="K162" s="94" t="s">
        <v>210</v>
      </c>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5"/>
    </row>
    <row r="163" spans="1:53" s="87" customFormat="1">
      <c r="A163" s="90" t="str">
        <f t="shared" si="27"/>
        <v/>
      </c>
      <c r="B163" s="98">
        <v>7</v>
      </c>
      <c r="C163" s="94" t="s">
        <v>210</v>
      </c>
      <c r="D163" s="94">
        <v>3</v>
      </c>
      <c r="E163" s="94">
        <v>-1</v>
      </c>
      <c r="F163" s="94" t="s">
        <v>210</v>
      </c>
      <c r="G163" s="94" t="s">
        <v>210</v>
      </c>
      <c r="H163" s="94">
        <v>2</v>
      </c>
      <c r="I163" s="94">
        <v>-3</v>
      </c>
      <c r="J163" s="94" t="s">
        <v>210</v>
      </c>
      <c r="K163" s="94" t="s">
        <v>210</v>
      </c>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5"/>
    </row>
    <row r="164" spans="1:53" s="87" customFormat="1">
      <c r="A164" s="90" t="str">
        <f t="shared" si="27"/>
        <v/>
      </c>
      <c r="B164" s="98">
        <v>8</v>
      </c>
      <c r="C164" s="94">
        <v>2</v>
      </c>
      <c r="D164" s="94" t="s">
        <v>210</v>
      </c>
      <c r="E164" s="94">
        <v>3</v>
      </c>
      <c r="F164" s="94" t="s">
        <v>210</v>
      </c>
      <c r="G164" s="94" t="s">
        <v>210</v>
      </c>
      <c r="H164" s="94">
        <v>-2</v>
      </c>
      <c r="I164" s="94" t="s">
        <v>210</v>
      </c>
      <c r="J164" s="94">
        <v>-1</v>
      </c>
      <c r="K164" s="94" t="s">
        <v>210</v>
      </c>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5"/>
    </row>
    <row r="165" spans="1:53" s="87" customFormat="1">
      <c r="A165" s="90" t="str">
        <f t="shared" si="27"/>
        <v/>
      </c>
      <c r="B165" s="99">
        <v>9</v>
      </c>
      <c r="C165" s="92">
        <v>-1</v>
      </c>
      <c r="D165" s="92" t="s">
        <v>210</v>
      </c>
      <c r="E165" s="92" t="s">
        <v>210</v>
      </c>
      <c r="F165" s="92">
        <v>3</v>
      </c>
      <c r="G165" s="92">
        <v>-2</v>
      </c>
      <c r="H165" s="92" t="s">
        <v>210</v>
      </c>
      <c r="I165" s="92" t="s">
        <v>210</v>
      </c>
      <c r="J165" s="92">
        <v>1</v>
      </c>
      <c r="K165" s="92" t="s">
        <v>210</v>
      </c>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5"/>
    </row>
    <row r="166" spans="1:53" s="87" customFormat="1">
      <c r="A166" s="90" t="str">
        <f t="shared" si="27"/>
        <v/>
      </c>
      <c r="B166" s="98">
        <v>10</v>
      </c>
      <c r="C166" s="94" t="s">
        <v>210</v>
      </c>
      <c r="D166" s="94">
        <v>2</v>
      </c>
      <c r="E166" s="94">
        <v>1</v>
      </c>
      <c r="F166" s="94" t="s">
        <v>210</v>
      </c>
      <c r="G166" s="94">
        <v>-3</v>
      </c>
      <c r="H166" s="94" t="s">
        <v>210</v>
      </c>
      <c r="I166" s="94" t="s">
        <v>210</v>
      </c>
      <c r="J166" s="94">
        <v>-2</v>
      </c>
      <c r="K166" s="94" t="s">
        <v>210</v>
      </c>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c r="AW166" s="94"/>
      <c r="AX166" s="94"/>
      <c r="AY166" s="94"/>
      <c r="AZ166" s="94"/>
      <c r="BA166" s="95"/>
    </row>
    <row r="167" spans="1:53" s="87" customFormat="1">
      <c r="A167" s="90" t="str">
        <f t="shared" si="27"/>
        <v/>
      </c>
      <c r="B167" s="98">
        <v>11</v>
      </c>
      <c r="C167" s="94" t="s">
        <v>210</v>
      </c>
      <c r="D167" s="94">
        <v>-3</v>
      </c>
      <c r="E167" s="94" t="s">
        <v>210</v>
      </c>
      <c r="F167" s="94">
        <v>1</v>
      </c>
      <c r="G167" s="94">
        <v>3</v>
      </c>
      <c r="H167" s="94" t="s">
        <v>210</v>
      </c>
      <c r="I167" s="94" t="s">
        <v>210</v>
      </c>
      <c r="J167" s="94" t="s">
        <v>210</v>
      </c>
      <c r="K167" s="94">
        <v>-2</v>
      </c>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5"/>
    </row>
    <row r="168" spans="1:53" s="87" customFormat="1">
      <c r="A168" s="90" t="str">
        <f t="shared" si="27"/>
        <v/>
      </c>
      <c r="B168" s="98">
        <v>12</v>
      </c>
      <c r="C168" s="94">
        <v>-2</v>
      </c>
      <c r="D168" s="94" t="s">
        <v>210</v>
      </c>
      <c r="E168" s="94" t="s">
        <v>210</v>
      </c>
      <c r="F168" s="94">
        <v>-3</v>
      </c>
      <c r="G168" s="94">
        <v>1</v>
      </c>
      <c r="H168" s="94" t="s">
        <v>210</v>
      </c>
      <c r="I168" s="94" t="s">
        <v>210</v>
      </c>
      <c r="J168" s="94" t="s">
        <v>210</v>
      </c>
      <c r="K168" s="94">
        <v>2</v>
      </c>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5"/>
    </row>
    <row r="169" spans="1:53" s="87" customFormat="1">
      <c r="A169" s="90" t="str">
        <f t="shared" si="27"/>
        <v/>
      </c>
      <c r="B169" s="98">
        <v>13</v>
      </c>
      <c r="C169" s="94">
        <v>1</v>
      </c>
      <c r="D169" s="94" t="s">
        <v>210</v>
      </c>
      <c r="E169" s="94">
        <v>-3</v>
      </c>
      <c r="F169" s="94" t="s">
        <v>210</v>
      </c>
      <c r="G169" s="94">
        <v>-1</v>
      </c>
      <c r="H169" s="94" t="s">
        <v>210</v>
      </c>
      <c r="I169" s="94" t="s">
        <v>210</v>
      </c>
      <c r="J169" s="94">
        <v>2</v>
      </c>
      <c r="K169" s="94" t="s">
        <v>210</v>
      </c>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5"/>
    </row>
    <row r="170" spans="1:53" s="87" customFormat="1">
      <c r="A170" s="90" t="str">
        <f t="shared" si="27"/>
        <v/>
      </c>
      <c r="B170" s="317" t="s">
        <v>252</v>
      </c>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5"/>
    </row>
    <row r="171" spans="1:53" s="87" customFormat="1">
      <c r="A171" s="90">
        <f t="shared" si="27"/>
        <v>171</v>
      </c>
      <c r="B171" s="98" t="s">
        <v>253</v>
      </c>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5"/>
    </row>
    <row r="172" spans="1:53" s="87" customFormat="1">
      <c r="A172" s="90" t="str">
        <f t="shared" si="27"/>
        <v/>
      </c>
      <c r="B172" s="98">
        <v>1</v>
      </c>
      <c r="C172" s="94">
        <v>-2</v>
      </c>
      <c r="D172" s="94" t="s">
        <v>210</v>
      </c>
      <c r="E172" s="363" t="s">
        <v>210</v>
      </c>
      <c r="F172" s="94" t="s">
        <v>202</v>
      </c>
      <c r="G172" s="94">
        <v>-1</v>
      </c>
      <c r="H172" s="94" t="s">
        <v>210</v>
      </c>
      <c r="I172" s="94" t="s">
        <v>210</v>
      </c>
      <c r="J172" s="94">
        <v>-3</v>
      </c>
      <c r="K172" s="94">
        <v>1</v>
      </c>
      <c r="L172" s="94" t="s">
        <v>210</v>
      </c>
      <c r="M172" s="94" t="s">
        <v>210</v>
      </c>
      <c r="N172" s="94">
        <v>3</v>
      </c>
      <c r="O172" s="94">
        <v>2</v>
      </c>
      <c r="P172" s="94" t="s">
        <v>210</v>
      </c>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5"/>
    </row>
    <row r="173" spans="1:53" s="87" customFormat="1">
      <c r="A173" s="90" t="str">
        <f t="shared" si="27"/>
        <v/>
      </c>
      <c r="B173" s="98">
        <v>2</v>
      </c>
      <c r="C173" s="94">
        <v>-3</v>
      </c>
      <c r="D173" s="94" t="s">
        <v>210</v>
      </c>
      <c r="E173" s="94" t="s">
        <v>210</v>
      </c>
      <c r="F173" s="94">
        <v>1</v>
      </c>
      <c r="G173" s="94">
        <v>3</v>
      </c>
      <c r="H173" s="94" t="s">
        <v>210</v>
      </c>
      <c r="I173" s="94" t="s">
        <v>210</v>
      </c>
      <c r="J173" s="94">
        <v>2</v>
      </c>
      <c r="K173" s="94" t="s">
        <v>202</v>
      </c>
      <c r="L173" s="363" t="s">
        <v>210</v>
      </c>
      <c r="M173" s="94" t="s">
        <v>210</v>
      </c>
      <c r="N173" s="94">
        <v>-1</v>
      </c>
      <c r="O173" s="94">
        <v>-2</v>
      </c>
      <c r="P173" s="94" t="s">
        <v>210</v>
      </c>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5"/>
    </row>
    <row r="174" spans="1:53" s="87" customFormat="1">
      <c r="A174" s="90" t="str">
        <f t="shared" si="27"/>
        <v/>
      </c>
      <c r="B174" s="98">
        <v>3</v>
      </c>
      <c r="C174" s="94">
        <v>3</v>
      </c>
      <c r="D174" s="94" t="s">
        <v>210</v>
      </c>
      <c r="E174" s="94" t="s">
        <v>210</v>
      </c>
      <c r="F174" s="94">
        <v>-2</v>
      </c>
      <c r="G174" s="94" t="s">
        <v>202</v>
      </c>
      <c r="H174" s="363" t="s">
        <v>210</v>
      </c>
      <c r="I174" s="94" t="s">
        <v>210</v>
      </c>
      <c r="J174" s="94">
        <v>-1</v>
      </c>
      <c r="K174" s="94">
        <v>2</v>
      </c>
      <c r="L174" s="94" t="s">
        <v>210</v>
      </c>
      <c r="M174" s="94" t="s">
        <v>210</v>
      </c>
      <c r="N174" s="94">
        <v>-3</v>
      </c>
      <c r="O174" s="94">
        <v>1</v>
      </c>
      <c r="P174" s="94" t="s">
        <v>210</v>
      </c>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5"/>
    </row>
    <row r="175" spans="1:53" s="87" customFormat="1">
      <c r="A175" s="90" t="str">
        <f t="shared" si="27"/>
        <v/>
      </c>
      <c r="B175" s="98">
        <v>4</v>
      </c>
      <c r="C175" s="94" t="s">
        <v>202</v>
      </c>
      <c r="D175" s="363" t="s">
        <v>210</v>
      </c>
      <c r="E175" s="94" t="s">
        <v>210</v>
      </c>
      <c r="F175" s="94">
        <v>3</v>
      </c>
      <c r="G175" s="94">
        <v>1</v>
      </c>
      <c r="H175" s="94" t="s">
        <v>210</v>
      </c>
      <c r="I175" s="94" t="s">
        <v>210</v>
      </c>
      <c r="J175" s="94">
        <v>-2</v>
      </c>
      <c r="K175" s="94">
        <v>-3</v>
      </c>
      <c r="L175" s="94" t="s">
        <v>210</v>
      </c>
      <c r="M175" s="94" t="s">
        <v>210</v>
      </c>
      <c r="N175" s="94">
        <v>2</v>
      </c>
      <c r="O175" s="94">
        <v>-1</v>
      </c>
      <c r="P175" s="94" t="s">
        <v>210</v>
      </c>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5"/>
    </row>
    <row r="176" spans="1:53" s="87" customFormat="1">
      <c r="A176" s="90" t="str">
        <f t="shared" si="27"/>
        <v/>
      </c>
      <c r="B176" s="98">
        <v>5</v>
      </c>
      <c r="C176" s="94">
        <v>1</v>
      </c>
      <c r="D176" s="94" t="s">
        <v>210</v>
      </c>
      <c r="E176" s="94" t="s">
        <v>210</v>
      </c>
      <c r="F176" s="94">
        <v>2</v>
      </c>
      <c r="G176" s="94">
        <v>-3</v>
      </c>
      <c r="H176" s="94" t="s">
        <v>210</v>
      </c>
      <c r="I176" s="363" t="s">
        <v>210</v>
      </c>
      <c r="J176" s="94" t="s">
        <v>202</v>
      </c>
      <c r="K176" s="94">
        <v>-1</v>
      </c>
      <c r="L176" s="94" t="s">
        <v>210</v>
      </c>
      <c r="M176" s="94" t="s">
        <v>210</v>
      </c>
      <c r="N176" s="94">
        <v>-2</v>
      </c>
      <c r="O176" s="94" t="s">
        <v>210</v>
      </c>
      <c r="P176" s="94">
        <v>3</v>
      </c>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5"/>
    </row>
    <row r="177" spans="1:53" s="87" customFormat="1">
      <c r="A177" s="90" t="str">
        <f t="shared" si="27"/>
        <v/>
      </c>
      <c r="B177" s="98">
        <v>6</v>
      </c>
      <c r="C177" s="94">
        <v>2</v>
      </c>
      <c r="D177" s="94" t="s">
        <v>210</v>
      </c>
      <c r="E177" s="94" t="s">
        <v>210</v>
      </c>
      <c r="F177" s="94">
        <v>-1</v>
      </c>
      <c r="G177" s="94">
        <v>-2</v>
      </c>
      <c r="H177" s="94" t="s">
        <v>210</v>
      </c>
      <c r="I177" s="94" t="s">
        <v>210</v>
      </c>
      <c r="J177" s="94">
        <v>1</v>
      </c>
      <c r="K177" s="94">
        <v>3</v>
      </c>
      <c r="L177" s="94" t="s">
        <v>210</v>
      </c>
      <c r="M177" s="363" t="s">
        <v>210</v>
      </c>
      <c r="N177" s="94" t="s">
        <v>202</v>
      </c>
      <c r="O177" s="94" t="s">
        <v>210</v>
      </c>
      <c r="P177" s="94">
        <v>-3</v>
      </c>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c r="AZ177" s="94"/>
      <c r="BA177" s="95"/>
    </row>
    <row r="178" spans="1:53" s="87" customFormat="1">
      <c r="A178" s="90" t="str">
        <f t="shared" si="27"/>
        <v/>
      </c>
      <c r="B178" s="99">
        <v>7</v>
      </c>
      <c r="C178" s="92">
        <v>-1</v>
      </c>
      <c r="D178" s="92" t="s">
        <v>210</v>
      </c>
      <c r="E178" s="92" t="s">
        <v>210</v>
      </c>
      <c r="F178" s="92">
        <v>-3</v>
      </c>
      <c r="G178" s="92">
        <v>2</v>
      </c>
      <c r="H178" s="92" t="s">
        <v>210</v>
      </c>
      <c r="I178" s="92" t="s">
        <v>210</v>
      </c>
      <c r="J178" s="92">
        <v>3</v>
      </c>
      <c r="K178" s="92">
        <v>-2</v>
      </c>
      <c r="L178" s="92" t="s">
        <v>210</v>
      </c>
      <c r="M178" s="92" t="s">
        <v>210</v>
      </c>
      <c r="N178" s="92">
        <v>1</v>
      </c>
      <c r="O178" s="364" t="s">
        <v>202</v>
      </c>
      <c r="P178" s="364" t="s">
        <v>210</v>
      </c>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5"/>
    </row>
    <row r="179" spans="1:53" s="87" customFormat="1">
      <c r="A179" s="90" t="str">
        <f t="shared" si="27"/>
        <v/>
      </c>
      <c r="B179" s="98">
        <v>8</v>
      </c>
      <c r="C179" s="94" t="s">
        <v>210</v>
      </c>
      <c r="D179" s="94">
        <v>2</v>
      </c>
      <c r="E179" s="94">
        <v>-1</v>
      </c>
      <c r="F179" s="94" t="s">
        <v>210</v>
      </c>
      <c r="G179" s="94" t="s">
        <v>210</v>
      </c>
      <c r="H179" s="94">
        <v>-2</v>
      </c>
      <c r="I179" s="94">
        <v>1</v>
      </c>
      <c r="J179" s="94" t="s">
        <v>210</v>
      </c>
      <c r="K179" s="94" t="s">
        <v>210</v>
      </c>
      <c r="L179" s="94">
        <v>3</v>
      </c>
      <c r="M179" s="94" t="s">
        <v>202</v>
      </c>
      <c r="N179" s="363" t="s">
        <v>210</v>
      </c>
      <c r="O179" s="94">
        <v>-3</v>
      </c>
      <c r="P179" s="94" t="s">
        <v>210</v>
      </c>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5"/>
    </row>
    <row r="180" spans="1:53" s="87" customFormat="1">
      <c r="A180" s="90" t="str">
        <f t="shared" si="27"/>
        <v/>
      </c>
      <c r="B180" s="98">
        <v>9</v>
      </c>
      <c r="C180" s="94" t="s">
        <v>210</v>
      </c>
      <c r="D180" s="94">
        <v>1</v>
      </c>
      <c r="E180" s="94">
        <v>2</v>
      </c>
      <c r="F180" s="94" t="s">
        <v>210</v>
      </c>
      <c r="G180" s="94" t="s">
        <v>210</v>
      </c>
      <c r="H180" s="94">
        <v>-3</v>
      </c>
      <c r="I180" s="94" t="s">
        <v>202</v>
      </c>
      <c r="J180" s="363" t="s">
        <v>210</v>
      </c>
      <c r="K180" s="94" t="s">
        <v>210</v>
      </c>
      <c r="L180" s="94">
        <v>-1</v>
      </c>
      <c r="M180" s="94">
        <v>-2</v>
      </c>
      <c r="N180" s="94" t="s">
        <v>210</v>
      </c>
      <c r="O180" s="94">
        <v>3</v>
      </c>
      <c r="P180" s="94" t="s">
        <v>210</v>
      </c>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5"/>
    </row>
    <row r="181" spans="1:53" s="87" customFormat="1">
      <c r="A181" s="90" t="str">
        <f t="shared" si="27"/>
        <v/>
      </c>
      <c r="B181" s="98">
        <v>10</v>
      </c>
      <c r="C181" s="94" t="s">
        <v>210</v>
      </c>
      <c r="D181" s="94">
        <v>3</v>
      </c>
      <c r="E181" s="94">
        <v>-2</v>
      </c>
      <c r="F181" s="94" t="s">
        <v>210</v>
      </c>
      <c r="G181" s="363" t="s">
        <v>210</v>
      </c>
      <c r="H181" s="94" t="s">
        <v>202</v>
      </c>
      <c r="I181" s="94">
        <v>-1</v>
      </c>
      <c r="J181" s="94" t="s">
        <v>210</v>
      </c>
      <c r="K181" s="94" t="s">
        <v>210</v>
      </c>
      <c r="L181" s="94">
        <v>2</v>
      </c>
      <c r="M181" s="94">
        <v>-3</v>
      </c>
      <c r="N181" s="94" t="s">
        <v>210</v>
      </c>
      <c r="O181" s="94" t="s">
        <v>210</v>
      </c>
      <c r="P181" s="94">
        <v>1</v>
      </c>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94"/>
      <c r="AW181" s="94"/>
      <c r="AX181" s="94"/>
      <c r="AY181" s="94"/>
      <c r="AZ181" s="94"/>
      <c r="BA181" s="95"/>
    </row>
    <row r="182" spans="1:53" s="87" customFormat="1">
      <c r="A182" s="90" t="str">
        <f t="shared" si="27"/>
        <v/>
      </c>
      <c r="B182" s="98">
        <v>11</v>
      </c>
      <c r="C182" s="363" t="s">
        <v>210</v>
      </c>
      <c r="D182" s="94" t="s">
        <v>202</v>
      </c>
      <c r="E182" s="94">
        <v>3</v>
      </c>
      <c r="F182" s="94" t="s">
        <v>210</v>
      </c>
      <c r="G182" s="94" t="s">
        <v>210</v>
      </c>
      <c r="H182" s="94">
        <v>1</v>
      </c>
      <c r="I182" s="94">
        <v>-2</v>
      </c>
      <c r="J182" s="94" t="s">
        <v>210</v>
      </c>
      <c r="K182" s="94" t="s">
        <v>210</v>
      </c>
      <c r="L182" s="94">
        <v>-3</v>
      </c>
      <c r="M182" s="94">
        <v>2</v>
      </c>
      <c r="N182" s="94" t="s">
        <v>210</v>
      </c>
      <c r="O182" s="94" t="s">
        <v>210</v>
      </c>
      <c r="P182" s="94">
        <v>-1</v>
      </c>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5"/>
    </row>
    <row r="183" spans="1:53" s="87" customFormat="1">
      <c r="A183" s="90" t="str">
        <f t="shared" si="27"/>
        <v/>
      </c>
      <c r="B183" s="98">
        <v>12</v>
      </c>
      <c r="C183" s="94" t="s">
        <v>210</v>
      </c>
      <c r="D183" s="94">
        <v>-3</v>
      </c>
      <c r="E183" s="94">
        <v>1</v>
      </c>
      <c r="F183" s="94" t="s">
        <v>210</v>
      </c>
      <c r="G183" s="94" t="s">
        <v>210</v>
      </c>
      <c r="H183" s="94">
        <v>3</v>
      </c>
      <c r="I183" s="94">
        <v>2</v>
      </c>
      <c r="J183" s="94" t="s">
        <v>210</v>
      </c>
      <c r="K183" s="363" t="s">
        <v>210</v>
      </c>
      <c r="L183" s="94" t="s">
        <v>202</v>
      </c>
      <c r="M183" s="94">
        <v>-1</v>
      </c>
      <c r="N183" s="94" t="s">
        <v>210</v>
      </c>
      <c r="O183" s="94" t="s">
        <v>210</v>
      </c>
      <c r="P183" s="94">
        <v>-2</v>
      </c>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c r="AZ183" s="94"/>
      <c r="BA183" s="95"/>
    </row>
    <row r="184" spans="1:53" s="87" customFormat="1">
      <c r="A184" s="90" t="str">
        <f t="shared" si="27"/>
        <v/>
      </c>
      <c r="B184" s="98">
        <v>13</v>
      </c>
      <c r="C184" s="94" t="s">
        <v>210</v>
      </c>
      <c r="D184" s="94">
        <v>-2</v>
      </c>
      <c r="E184" s="94" t="s">
        <v>202</v>
      </c>
      <c r="F184" s="363" t="s">
        <v>210</v>
      </c>
      <c r="G184" s="94" t="s">
        <v>210</v>
      </c>
      <c r="H184" s="94">
        <v>-1</v>
      </c>
      <c r="I184" s="94">
        <v>-3</v>
      </c>
      <c r="J184" s="94" t="s">
        <v>210</v>
      </c>
      <c r="K184" s="94" t="s">
        <v>210</v>
      </c>
      <c r="L184" s="94">
        <v>1</v>
      </c>
      <c r="M184" s="94">
        <v>3</v>
      </c>
      <c r="N184" s="94" t="s">
        <v>210</v>
      </c>
      <c r="O184" s="94" t="s">
        <v>210</v>
      </c>
      <c r="P184" s="94">
        <v>2</v>
      </c>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5"/>
    </row>
    <row r="185" spans="1:53" s="87" customFormat="1">
      <c r="A185" s="90" t="str">
        <f t="shared" si="27"/>
        <v/>
      </c>
      <c r="B185" s="98">
        <v>14</v>
      </c>
      <c r="C185" s="94" t="s">
        <v>210</v>
      </c>
      <c r="D185" s="94">
        <v>-1</v>
      </c>
      <c r="E185" s="94">
        <v>-3</v>
      </c>
      <c r="F185" s="94" t="s">
        <v>210</v>
      </c>
      <c r="G185" s="94" t="s">
        <v>210</v>
      </c>
      <c r="H185" s="94">
        <v>2</v>
      </c>
      <c r="I185" s="94">
        <v>3</v>
      </c>
      <c r="J185" s="94" t="s">
        <v>210</v>
      </c>
      <c r="K185" s="94" t="s">
        <v>210</v>
      </c>
      <c r="L185" s="94">
        <v>-2</v>
      </c>
      <c r="M185" s="94">
        <v>1</v>
      </c>
      <c r="N185" s="94" t="s">
        <v>210</v>
      </c>
      <c r="O185" s="363" t="s">
        <v>202</v>
      </c>
      <c r="P185" s="363" t="s">
        <v>210</v>
      </c>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c r="AW185" s="94"/>
      <c r="AX185" s="94"/>
      <c r="AY185" s="94"/>
      <c r="AZ185" s="94"/>
      <c r="BA185" s="95"/>
    </row>
    <row r="186" spans="1:53" s="87" customFormat="1">
      <c r="A186" s="90" t="str">
        <f t="shared" si="27"/>
        <v/>
      </c>
      <c r="B186" s="98" t="s">
        <v>254</v>
      </c>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c r="AW186" s="94"/>
      <c r="AX186" s="94"/>
      <c r="AY186" s="94"/>
      <c r="AZ186" s="94"/>
      <c r="BA186" s="95"/>
    </row>
    <row r="187" spans="1:53" s="87" customFormat="1">
      <c r="A187" s="90">
        <f t="shared" si="27"/>
        <v>187</v>
      </c>
      <c r="B187" s="98" t="s">
        <v>255</v>
      </c>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5"/>
    </row>
    <row r="188" spans="1:53" s="87" customFormat="1">
      <c r="A188" s="90" t="str">
        <f t="shared" si="27"/>
        <v/>
      </c>
      <c r="B188" s="98">
        <v>1</v>
      </c>
      <c r="C188" s="94" t="s">
        <v>210</v>
      </c>
      <c r="D188" s="94">
        <v>-1</v>
      </c>
      <c r="E188" s="94" t="s">
        <v>210</v>
      </c>
      <c r="F188" s="94">
        <v>-2</v>
      </c>
      <c r="G188" s="94">
        <v>1</v>
      </c>
      <c r="H188" s="94" t="s">
        <v>210</v>
      </c>
      <c r="I188" s="94" t="s">
        <v>202</v>
      </c>
      <c r="J188" s="94" t="s">
        <v>210</v>
      </c>
      <c r="K188" s="94">
        <v>2</v>
      </c>
      <c r="L188" s="94" t="s">
        <v>210</v>
      </c>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5"/>
    </row>
    <row r="189" spans="1:53" s="87" customFormat="1">
      <c r="A189" s="90" t="str">
        <f t="shared" si="27"/>
        <v/>
      </c>
      <c r="B189" s="98">
        <v>2</v>
      </c>
      <c r="C189" s="94">
        <v>3</v>
      </c>
      <c r="D189" s="94" t="s">
        <v>210</v>
      </c>
      <c r="E189" s="94" t="s">
        <v>210</v>
      </c>
      <c r="F189" s="94">
        <v>-3</v>
      </c>
      <c r="G189" s="94" t="s">
        <v>202</v>
      </c>
      <c r="H189" s="94" t="s">
        <v>210</v>
      </c>
      <c r="I189" s="94" t="s">
        <v>210</v>
      </c>
      <c r="J189" s="94">
        <v>1</v>
      </c>
      <c r="K189" s="94">
        <v>-2</v>
      </c>
      <c r="L189" s="94" t="s">
        <v>210</v>
      </c>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c r="AZ189" s="94"/>
      <c r="BA189" s="95"/>
    </row>
    <row r="190" spans="1:53" s="87" customFormat="1">
      <c r="A190" s="90" t="str">
        <f t="shared" si="27"/>
        <v/>
      </c>
      <c r="B190" s="98">
        <v>3</v>
      </c>
      <c r="C190" s="94" t="s">
        <v>202</v>
      </c>
      <c r="D190" s="94" t="s">
        <v>210</v>
      </c>
      <c r="E190" s="94" t="s">
        <v>210</v>
      </c>
      <c r="F190" s="94">
        <v>3</v>
      </c>
      <c r="G190" s="94">
        <v>-1</v>
      </c>
      <c r="H190" s="94" t="s">
        <v>210</v>
      </c>
      <c r="I190" s="94" t="s">
        <v>210</v>
      </c>
      <c r="J190" s="94">
        <v>2</v>
      </c>
      <c r="K190" s="94">
        <v>-3</v>
      </c>
      <c r="L190" s="94" t="s">
        <v>210</v>
      </c>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5"/>
    </row>
    <row r="191" spans="1:53" s="87" customFormat="1">
      <c r="A191" s="90" t="str">
        <f t="shared" si="27"/>
        <v/>
      </c>
      <c r="B191" s="98">
        <v>4</v>
      </c>
      <c r="C191" s="94" t="s">
        <v>210</v>
      </c>
      <c r="D191" s="94">
        <v>1</v>
      </c>
      <c r="E191" s="94" t="s">
        <v>202</v>
      </c>
      <c r="F191" s="94" t="s">
        <v>210</v>
      </c>
      <c r="G191" s="94">
        <v>-3</v>
      </c>
      <c r="H191" s="94" t="s">
        <v>210</v>
      </c>
      <c r="I191" s="94" t="s">
        <v>210</v>
      </c>
      <c r="J191" s="94">
        <v>-1</v>
      </c>
      <c r="K191" s="94">
        <v>3</v>
      </c>
      <c r="L191" s="94" t="s">
        <v>210</v>
      </c>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5"/>
    </row>
    <row r="192" spans="1:53" s="87" customFormat="1">
      <c r="A192" s="90" t="str">
        <f t="shared" si="27"/>
        <v/>
      </c>
      <c r="B192" s="99">
        <v>5</v>
      </c>
      <c r="C192" s="92">
        <v>-3</v>
      </c>
      <c r="D192" s="92" t="s">
        <v>210</v>
      </c>
      <c r="E192" s="92" t="s">
        <v>210</v>
      </c>
      <c r="F192" s="92">
        <v>2</v>
      </c>
      <c r="G192" s="92">
        <v>3</v>
      </c>
      <c r="H192" s="92" t="s">
        <v>210</v>
      </c>
      <c r="I192" s="92" t="s">
        <v>210</v>
      </c>
      <c r="J192" s="92">
        <v>-2</v>
      </c>
      <c r="K192" s="92" t="s">
        <v>202</v>
      </c>
      <c r="L192" s="92" t="s">
        <v>210</v>
      </c>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5"/>
    </row>
    <row r="193" spans="1:53" s="87" customFormat="1">
      <c r="A193" s="90" t="str">
        <f t="shared" si="27"/>
        <v/>
      </c>
      <c r="B193" s="98">
        <v>6</v>
      </c>
      <c r="C193" s="94" t="s">
        <v>210</v>
      </c>
      <c r="D193" s="94">
        <v>2</v>
      </c>
      <c r="E193" s="94">
        <v>-2</v>
      </c>
      <c r="F193" s="94" t="s">
        <v>210</v>
      </c>
      <c r="G193" s="94" t="s">
        <v>202</v>
      </c>
      <c r="H193" s="94" t="s">
        <v>210</v>
      </c>
      <c r="I193" s="94">
        <v>1</v>
      </c>
      <c r="J193" s="94" t="s">
        <v>210</v>
      </c>
      <c r="K193" s="94" t="s">
        <v>210</v>
      </c>
      <c r="L193" s="94">
        <v>-3</v>
      </c>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5"/>
    </row>
    <row r="194" spans="1:53" s="87" customFormat="1">
      <c r="A194" s="90" t="str">
        <f t="shared" si="27"/>
        <v/>
      </c>
      <c r="B194" s="98">
        <v>7</v>
      </c>
      <c r="C194" s="94">
        <v>1</v>
      </c>
      <c r="D194" s="94" t="s">
        <v>210</v>
      </c>
      <c r="E194" s="94" t="s">
        <v>202</v>
      </c>
      <c r="F194" s="94" t="s">
        <v>210</v>
      </c>
      <c r="G194" s="94" t="s">
        <v>210</v>
      </c>
      <c r="H194" s="94">
        <v>-3</v>
      </c>
      <c r="I194" s="94">
        <v>-2</v>
      </c>
      <c r="J194" s="94" t="s">
        <v>210</v>
      </c>
      <c r="K194" s="94" t="s">
        <v>210</v>
      </c>
      <c r="L194" s="94">
        <v>3</v>
      </c>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5"/>
    </row>
    <row r="195" spans="1:53" s="87" customFormat="1">
      <c r="A195" s="90" t="str">
        <f t="shared" si="27"/>
        <v/>
      </c>
      <c r="B195" s="98">
        <v>9</v>
      </c>
      <c r="C195" s="94" t="s">
        <v>202</v>
      </c>
      <c r="D195" s="94" t="s">
        <v>210</v>
      </c>
      <c r="E195" s="94">
        <v>-3</v>
      </c>
      <c r="F195" s="94" t="s">
        <v>210</v>
      </c>
      <c r="G195" s="94" t="s">
        <v>210</v>
      </c>
      <c r="H195" s="94">
        <v>3</v>
      </c>
      <c r="I195" s="94">
        <v>-1</v>
      </c>
      <c r="J195" s="94" t="s">
        <v>210</v>
      </c>
      <c r="K195" s="94" t="s">
        <v>210</v>
      </c>
      <c r="L195" s="94">
        <v>2</v>
      </c>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5"/>
    </row>
    <row r="196" spans="1:53" s="87" customFormat="1">
      <c r="A196" s="90" t="str">
        <f t="shared" si="27"/>
        <v/>
      </c>
      <c r="B196" s="98">
        <v>8</v>
      </c>
      <c r="C196" s="94">
        <v>-1</v>
      </c>
      <c r="D196" s="94" t="s">
        <v>210</v>
      </c>
      <c r="E196" s="94">
        <v>2</v>
      </c>
      <c r="F196" s="94" t="s">
        <v>210</v>
      </c>
      <c r="G196" s="94" t="s">
        <v>210</v>
      </c>
      <c r="H196" s="94">
        <v>1</v>
      </c>
      <c r="I196" s="94" t="s">
        <v>202</v>
      </c>
      <c r="J196" s="94" t="s">
        <v>210</v>
      </c>
      <c r="K196" s="94" t="s">
        <v>210</v>
      </c>
      <c r="L196" s="94">
        <v>-2</v>
      </c>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c r="AW196" s="94"/>
      <c r="AX196" s="94"/>
      <c r="AY196" s="94"/>
      <c r="AZ196" s="94"/>
      <c r="BA196" s="95"/>
    </row>
    <row r="197" spans="1:53" s="87" customFormat="1">
      <c r="A197" s="90" t="str">
        <f t="shared" si="27"/>
        <v/>
      </c>
      <c r="B197" s="99">
        <v>10</v>
      </c>
      <c r="C197" s="92" t="s">
        <v>210</v>
      </c>
      <c r="D197" s="92">
        <v>-2</v>
      </c>
      <c r="E197" s="92">
        <v>3</v>
      </c>
      <c r="F197" s="92" t="s">
        <v>210</v>
      </c>
      <c r="G197" s="92" t="s">
        <v>210</v>
      </c>
      <c r="H197" s="92">
        <v>-1</v>
      </c>
      <c r="I197" s="92">
        <v>2</v>
      </c>
      <c r="J197" s="92" t="s">
        <v>210</v>
      </c>
      <c r="K197" s="92" t="s">
        <v>202</v>
      </c>
      <c r="L197" s="92" t="s">
        <v>210</v>
      </c>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5"/>
    </row>
    <row r="198" spans="1:53" s="87" customFormat="1">
      <c r="A198" s="90" t="str">
        <f t="shared" si="27"/>
        <v/>
      </c>
      <c r="B198" s="98">
        <v>11</v>
      </c>
      <c r="C198" s="94">
        <v>2</v>
      </c>
      <c r="D198" s="94" t="s">
        <v>210</v>
      </c>
      <c r="E198" s="94" t="s">
        <v>210</v>
      </c>
      <c r="F198" s="94" t="s">
        <v>210</v>
      </c>
      <c r="G198" s="94">
        <v>-2</v>
      </c>
      <c r="H198" s="94" t="s">
        <v>210</v>
      </c>
      <c r="I198" s="94">
        <v>-3</v>
      </c>
      <c r="J198" s="94" t="s">
        <v>210</v>
      </c>
      <c r="K198" s="94">
        <v>1</v>
      </c>
      <c r="L198" s="94" t="s">
        <v>210</v>
      </c>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5"/>
    </row>
    <row r="199" spans="1:53" s="87" customFormat="1">
      <c r="A199" s="90" t="str">
        <f t="shared" si="27"/>
        <v/>
      </c>
      <c r="B199" s="98">
        <v>12</v>
      </c>
      <c r="C199" s="94" t="s">
        <v>210</v>
      </c>
      <c r="D199" s="94" t="s">
        <v>210</v>
      </c>
      <c r="E199" s="94">
        <v>1</v>
      </c>
      <c r="F199" s="94" t="s">
        <v>210</v>
      </c>
      <c r="G199" s="94" t="s">
        <v>210</v>
      </c>
      <c r="H199" s="94">
        <v>-2</v>
      </c>
      <c r="I199" s="94" t="s">
        <v>210</v>
      </c>
      <c r="J199" s="94">
        <v>3</v>
      </c>
      <c r="K199" s="94">
        <v>-1</v>
      </c>
      <c r="L199" s="94" t="s">
        <v>210</v>
      </c>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5"/>
    </row>
    <row r="200" spans="1:53" s="87" customFormat="1">
      <c r="A200" s="90" t="str">
        <f t="shared" si="27"/>
        <v/>
      </c>
      <c r="B200" s="98">
        <v>13</v>
      </c>
      <c r="C200" s="94">
        <v>-2</v>
      </c>
      <c r="D200" s="94" t="s">
        <v>210</v>
      </c>
      <c r="E200" s="94" t="s">
        <v>210</v>
      </c>
      <c r="F200" s="94" t="s">
        <v>210</v>
      </c>
      <c r="G200" s="94" t="s">
        <v>210</v>
      </c>
      <c r="H200" s="94">
        <v>2</v>
      </c>
      <c r="I200" s="94">
        <v>3</v>
      </c>
      <c r="J200" s="94" t="s">
        <v>210</v>
      </c>
      <c r="K200" s="94" t="s">
        <v>210</v>
      </c>
      <c r="L200" s="94">
        <v>-1</v>
      </c>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5"/>
    </row>
    <row r="201" spans="1:53" s="87" customFormat="1">
      <c r="A201" s="90" t="str">
        <f t="shared" si="27"/>
        <v/>
      </c>
      <c r="B201" s="98">
        <v>14</v>
      </c>
      <c r="C201" s="94" t="s">
        <v>210</v>
      </c>
      <c r="D201" s="94" t="s">
        <v>210</v>
      </c>
      <c r="E201" s="94">
        <v>-1</v>
      </c>
      <c r="F201" s="94" t="s">
        <v>210</v>
      </c>
      <c r="G201" s="94">
        <v>2</v>
      </c>
      <c r="H201" s="94" t="s">
        <v>210</v>
      </c>
      <c r="I201" s="94" t="s">
        <v>210</v>
      </c>
      <c r="J201" s="94">
        <v>-3</v>
      </c>
      <c r="K201" s="94" t="s">
        <v>210</v>
      </c>
      <c r="L201" s="94">
        <v>1</v>
      </c>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5"/>
    </row>
    <row r="202" spans="1:53" s="87" customFormat="1">
      <c r="A202" s="90" t="str">
        <f t="shared" si="27"/>
        <v/>
      </c>
      <c r="B202" s="98" t="s">
        <v>256</v>
      </c>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5"/>
    </row>
    <row r="203" spans="1:53" s="87" customFormat="1">
      <c r="A203" s="90">
        <f t="shared" si="27"/>
        <v>203</v>
      </c>
      <c r="B203" s="98" t="s">
        <v>257</v>
      </c>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5"/>
    </row>
    <row r="204" spans="1:53" s="87" customFormat="1">
      <c r="A204" s="90" t="str">
        <f t="shared" ref="A204:A267" si="28">IF(MID(B204,3,2)="03",ROW(),"")</f>
        <v/>
      </c>
      <c r="B204" s="98">
        <v>1</v>
      </c>
      <c r="C204" s="94">
        <v>2</v>
      </c>
      <c r="D204" s="94" t="s">
        <v>210</v>
      </c>
      <c r="E204" s="94" t="s">
        <v>210</v>
      </c>
      <c r="F204" s="94">
        <v>-1</v>
      </c>
      <c r="G204" s="94" t="s">
        <v>202</v>
      </c>
      <c r="H204" s="94" t="s">
        <v>210</v>
      </c>
      <c r="I204" s="94" t="s">
        <v>210</v>
      </c>
      <c r="J204" s="94">
        <v>1</v>
      </c>
      <c r="K204" s="94">
        <v>-2</v>
      </c>
      <c r="L204" s="94" t="s">
        <v>210</v>
      </c>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5"/>
    </row>
    <row r="205" spans="1:53" s="87" customFormat="1">
      <c r="A205" s="90" t="str">
        <f t="shared" si="28"/>
        <v/>
      </c>
      <c r="B205" s="98">
        <v>2</v>
      </c>
      <c r="C205" s="94">
        <v>3</v>
      </c>
      <c r="D205" s="94" t="s">
        <v>210</v>
      </c>
      <c r="E205" s="94" t="s">
        <v>210</v>
      </c>
      <c r="F205" s="94">
        <v>-2</v>
      </c>
      <c r="G205" s="94" t="s">
        <v>210</v>
      </c>
      <c r="H205" s="94">
        <v>-1</v>
      </c>
      <c r="I205" s="94" t="s">
        <v>210</v>
      </c>
      <c r="J205" s="94" t="s">
        <v>202</v>
      </c>
      <c r="K205" s="94">
        <v>2</v>
      </c>
      <c r="L205" s="94" t="s">
        <v>210</v>
      </c>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5"/>
    </row>
    <row r="206" spans="1:53" s="87" customFormat="1">
      <c r="A206" s="90" t="str">
        <f t="shared" si="28"/>
        <v/>
      </c>
      <c r="B206" s="98">
        <v>3</v>
      </c>
      <c r="C206" s="94" t="s">
        <v>202</v>
      </c>
      <c r="D206" s="94" t="s">
        <v>210</v>
      </c>
      <c r="E206" s="94" t="s">
        <v>210</v>
      </c>
      <c r="F206" s="94">
        <v>2</v>
      </c>
      <c r="G206" s="94">
        <v>-3</v>
      </c>
      <c r="H206" s="94" t="s">
        <v>210</v>
      </c>
      <c r="I206" s="94" t="s">
        <v>210</v>
      </c>
      <c r="J206" s="94">
        <v>-1</v>
      </c>
      <c r="K206" s="94">
        <v>3</v>
      </c>
      <c r="L206" s="94" t="s">
        <v>210</v>
      </c>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c r="AZ206" s="94"/>
      <c r="BA206" s="95"/>
    </row>
    <row r="207" spans="1:53" s="87" customFormat="1">
      <c r="A207" s="90" t="str">
        <f t="shared" si="28"/>
        <v/>
      </c>
      <c r="B207" s="98">
        <v>4</v>
      </c>
      <c r="C207" s="94">
        <v>-2</v>
      </c>
      <c r="D207" s="94" t="s">
        <v>210</v>
      </c>
      <c r="E207" s="94" t="s">
        <v>210</v>
      </c>
      <c r="F207" s="94" t="s">
        <v>202</v>
      </c>
      <c r="G207" s="94" t="s">
        <v>210</v>
      </c>
      <c r="H207" s="94">
        <v>1</v>
      </c>
      <c r="I207" s="94" t="s">
        <v>210</v>
      </c>
      <c r="J207" s="94">
        <v>2</v>
      </c>
      <c r="K207" s="94">
        <v>-3</v>
      </c>
      <c r="L207" s="94" t="s">
        <v>210</v>
      </c>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5"/>
    </row>
    <row r="208" spans="1:53" s="87" customFormat="1">
      <c r="A208" s="90" t="str">
        <f t="shared" si="28"/>
        <v/>
      </c>
      <c r="B208" s="99">
        <v>5</v>
      </c>
      <c r="C208" s="92">
        <v>-3</v>
      </c>
      <c r="D208" s="92" t="s">
        <v>210</v>
      </c>
      <c r="E208" s="92" t="s">
        <v>210</v>
      </c>
      <c r="F208" s="92">
        <v>1</v>
      </c>
      <c r="G208" s="92">
        <v>3</v>
      </c>
      <c r="H208" s="92" t="s">
        <v>210</v>
      </c>
      <c r="I208" s="92" t="s">
        <v>210</v>
      </c>
      <c r="J208" s="92">
        <v>-2</v>
      </c>
      <c r="K208" s="92" t="s">
        <v>202</v>
      </c>
      <c r="L208" s="92" t="s">
        <v>210</v>
      </c>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5"/>
    </row>
    <row r="209" spans="1:53" s="87" customFormat="1">
      <c r="A209" s="90" t="str">
        <f t="shared" si="28"/>
        <v/>
      </c>
      <c r="B209" s="98">
        <v>6</v>
      </c>
      <c r="C209" s="94" t="s">
        <v>210</v>
      </c>
      <c r="D209" s="94">
        <v>2</v>
      </c>
      <c r="E209" s="94">
        <v>-1</v>
      </c>
      <c r="F209" s="94" t="s">
        <v>210</v>
      </c>
      <c r="G209" s="94" t="s">
        <v>210</v>
      </c>
      <c r="H209" s="94" t="s">
        <v>202</v>
      </c>
      <c r="I209" s="94">
        <v>1</v>
      </c>
      <c r="J209" s="94" t="s">
        <v>210</v>
      </c>
      <c r="K209" s="94" t="s">
        <v>210</v>
      </c>
      <c r="L209" s="94">
        <v>-2</v>
      </c>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5"/>
    </row>
    <row r="210" spans="1:53" s="87" customFormat="1">
      <c r="A210" s="90" t="str">
        <f t="shared" si="28"/>
        <v/>
      </c>
      <c r="B210" s="98">
        <v>7</v>
      </c>
      <c r="C210" s="94" t="s">
        <v>210</v>
      </c>
      <c r="D210" s="94">
        <v>3</v>
      </c>
      <c r="E210" s="94">
        <v>-2</v>
      </c>
      <c r="F210" s="94" t="s">
        <v>210</v>
      </c>
      <c r="G210" s="94">
        <v>-1</v>
      </c>
      <c r="H210" s="94" t="s">
        <v>210</v>
      </c>
      <c r="I210" s="94" t="s">
        <v>202</v>
      </c>
      <c r="J210" s="94" t="s">
        <v>210</v>
      </c>
      <c r="K210" s="94" t="s">
        <v>210</v>
      </c>
      <c r="L210" s="94">
        <v>2</v>
      </c>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5"/>
    </row>
    <row r="211" spans="1:53" s="87" customFormat="1">
      <c r="A211" s="90" t="str">
        <f t="shared" si="28"/>
        <v/>
      </c>
      <c r="B211" s="98">
        <v>8</v>
      </c>
      <c r="C211" s="94" t="s">
        <v>210</v>
      </c>
      <c r="D211" s="94" t="s">
        <v>202</v>
      </c>
      <c r="E211" s="94">
        <v>2</v>
      </c>
      <c r="F211" s="94" t="s">
        <v>210</v>
      </c>
      <c r="G211" s="94" t="s">
        <v>210</v>
      </c>
      <c r="H211" s="94">
        <v>-3</v>
      </c>
      <c r="I211" s="94">
        <v>-1</v>
      </c>
      <c r="J211" s="94" t="s">
        <v>210</v>
      </c>
      <c r="K211" s="94" t="s">
        <v>210</v>
      </c>
      <c r="L211" s="94">
        <v>3</v>
      </c>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c r="AW211" s="94"/>
      <c r="AX211" s="94"/>
      <c r="AY211" s="94"/>
      <c r="AZ211" s="94"/>
      <c r="BA211" s="95"/>
    </row>
    <row r="212" spans="1:53" s="87" customFormat="1">
      <c r="A212" s="90" t="str">
        <f t="shared" si="28"/>
        <v/>
      </c>
      <c r="B212" s="98">
        <v>9</v>
      </c>
      <c r="C212" s="94" t="s">
        <v>210</v>
      </c>
      <c r="D212" s="94">
        <v>-2</v>
      </c>
      <c r="E212" s="94" t="s">
        <v>202</v>
      </c>
      <c r="F212" s="94" t="s">
        <v>210</v>
      </c>
      <c r="G212" s="94">
        <v>1</v>
      </c>
      <c r="H212" s="94" t="s">
        <v>210</v>
      </c>
      <c r="I212" s="94">
        <v>2</v>
      </c>
      <c r="J212" s="94" t="s">
        <v>210</v>
      </c>
      <c r="K212" s="94" t="s">
        <v>210</v>
      </c>
      <c r="L212" s="94">
        <v>-3</v>
      </c>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5"/>
    </row>
    <row r="213" spans="1:53" s="87" customFormat="1">
      <c r="A213" s="90" t="str">
        <f t="shared" si="28"/>
        <v/>
      </c>
      <c r="B213" s="99">
        <v>10</v>
      </c>
      <c r="C213" s="92" t="s">
        <v>210</v>
      </c>
      <c r="D213" s="92">
        <v>-3</v>
      </c>
      <c r="E213" s="92">
        <v>1</v>
      </c>
      <c r="F213" s="92" t="s">
        <v>210</v>
      </c>
      <c r="G213" s="92" t="s">
        <v>210</v>
      </c>
      <c r="H213" s="92">
        <v>3</v>
      </c>
      <c r="I213" s="92">
        <v>-2</v>
      </c>
      <c r="J213" s="92" t="s">
        <v>210</v>
      </c>
      <c r="K213" s="92" t="s">
        <v>210</v>
      </c>
      <c r="L213" s="92" t="s">
        <v>202</v>
      </c>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5"/>
    </row>
    <row r="214" spans="1:53" s="87" customFormat="1">
      <c r="A214" s="90" t="str">
        <f t="shared" si="28"/>
        <v/>
      </c>
      <c r="B214" s="98">
        <v>11</v>
      </c>
      <c r="C214" s="94">
        <v>1</v>
      </c>
      <c r="D214" s="94" t="s">
        <v>210</v>
      </c>
      <c r="E214" s="94">
        <v>3</v>
      </c>
      <c r="F214" s="94" t="s">
        <v>210</v>
      </c>
      <c r="G214" s="94" t="s">
        <v>210</v>
      </c>
      <c r="H214" s="94">
        <v>-2</v>
      </c>
      <c r="I214" s="94" t="s">
        <v>202</v>
      </c>
      <c r="J214" s="94" t="s">
        <v>210</v>
      </c>
      <c r="K214" s="94" t="s">
        <v>210</v>
      </c>
      <c r="L214" s="94">
        <v>-1</v>
      </c>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5"/>
    </row>
    <row r="215" spans="1:53" s="87" customFormat="1">
      <c r="A215" s="90" t="str">
        <f t="shared" si="28"/>
        <v/>
      </c>
      <c r="B215" s="98">
        <v>12</v>
      </c>
      <c r="C215" s="94" t="s">
        <v>202</v>
      </c>
      <c r="D215" s="94" t="s">
        <v>210</v>
      </c>
      <c r="E215" s="94" t="s">
        <v>210</v>
      </c>
      <c r="F215" s="94">
        <v>-3</v>
      </c>
      <c r="G215" s="94">
        <v>-2</v>
      </c>
      <c r="H215" s="94" t="s">
        <v>210</v>
      </c>
      <c r="I215" s="94">
        <v>3</v>
      </c>
      <c r="J215" s="94" t="s">
        <v>210</v>
      </c>
      <c r="K215" s="94" t="s">
        <v>210</v>
      </c>
      <c r="L215" s="94">
        <v>1</v>
      </c>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94"/>
      <c r="AW215" s="94"/>
      <c r="AX215" s="94"/>
      <c r="AY215" s="94"/>
      <c r="AZ215" s="94"/>
      <c r="BA215" s="95"/>
    </row>
    <row r="216" spans="1:53" s="87" customFormat="1">
      <c r="A216" s="90" t="str">
        <f t="shared" si="28"/>
        <v/>
      </c>
      <c r="B216" s="98">
        <v>13</v>
      </c>
      <c r="C216" s="94" t="s">
        <v>210</v>
      </c>
      <c r="D216" s="94">
        <v>-1</v>
      </c>
      <c r="E216" s="94" t="s">
        <v>202</v>
      </c>
      <c r="F216" s="94" t="s">
        <v>210</v>
      </c>
      <c r="G216" s="94" t="s">
        <v>210</v>
      </c>
      <c r="H216" s="94">
        <v>2</v>
      </c>
      <c r="I216" s="94">
        <v>-3</v>
      </c>
      <c r="J216" s="94" t="s">
        <v>210</v>
      </c>
      <c r="K216" s="94">
        <v>-1</v>
      </c>
      <c r="L216" s="94" t="s">
        <v>210</v>
      </c>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5"/>
    </row>
    <row r="217" spans="1:53" s="87" customFormat="1">
      <c r="A217" s="90" t="str">
        <f t="shared" si="28"/>
        <v/>
      </c>
      <c r="B217" s="98">
        <v>14</v>
      </c>
      <c r="C217" s="94">
        <v>-1</v>
      </c>
      <c r="D217" s="94" t="s">
        <v>210</v>
      </c>
      <c r="E217" s="94" t="s">
        <v>210</v>
      </c>
      <c r="F217" s="94">
        <v>3</v>
      </c>
      <c r="G217" s="94" t="s">
        <v>202</v>
      </c>
      <c r="H217" s="94" t="s">
        <v>210</v>
      </c>
      <c r="I217" s="94" t="s">
        <v>210</v>
      </c>
      <c r="J217" s="94">
        <v>-3</v>
      </c>
      <c r="K217" s="94">
        <v>1</v>
      </c>
      <c r="L217" s="94" t="s">
        <v>210</v>
      </c>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c r="AZ217" s="94"/>
      <c r="BA217" s="95"/>
    </row>
    <row r="218" spans="1:53" s="87" customFormat="1">
      <c r="A218" s="90" t="str">
        <f t="shared" si="28"/>
        <v/>
      </c>
      <c r="B218" s="98">
        <v>15</v>
      </c>
      <c r="C218" s="94" t="s">
        <v>210</v>
      </c>
      <c r="D218" s="94">
        <v>1</v>
      </c>
      <c r="E218" s="94">
        <v>-3</v>
      </c>
      <c r="F218" s="94" t="s">
        <v>210</v>
      </c>
      <c r="G218" s="94">
        <v>2</v>
      </c>
      <c r="H218" s="94" t="s">
        <v>210</v>
      </c>
      <c r="I218" s="94" t="s">
        <v>210</v>
      </c>
      <c r="J218" s="94">
        <v>3</v>
      </c>
      <c r="K218" s="94" t="s">
        <v>202</v>
      </c>
      <c r="L218" s="94" t="s">
        <v>210</v>
      </c>
      <c r="M218" s="94"/>
      <c r="N218" s="94"/>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5"/>
    </row>
    <row r="219" spans="1:53" s="87" customFormat="1">
      <c r="A219" s="90" t="str">
        <f t="shared" si="28"/>
        <v/>
      </c>
      <c r="B219" s="98" t="s">
        <v>258</v>
      </c>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94"/>
      <c r="AW219" s="94"/>
      <c r="AX219" s="94"/>
      <c r="AY219" s="94"/>
      <c r="AZ219" s="94"/>
      <c r="BA219" s="95"/>
    </row>
    <row r="220" spans="1:53" s="87" customFormat="1">
      <c r="A220" s="90">
        <f t="shared" si="28"/>
        <v>220</v>
      </c>
      <c r="B220" s="317" t="s">
        <v>1226</v>
      </c>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5"/>
    </row>
    <row r="221" spans="1:53" s="87" customFormat="1">
      <c r="A221" s="90" t="str">
        <f t="shared" si="28"/>
        <v/>
      </c>
      <c r="B221" s="98">
        <v>1</v>
      </c>
      <c r="C221" s="94">
        <v>1</v>
      </c>
      <c r="D221" s="94">
        <v>-3</v>
      </c>
      <c r="E221" s="94" t="s">
        <v>210</v>
      </c>
      <c r="F221" s="94" t="s">
        <v>210</v>
      </c>
      <c r="G221" s="94" t="s">
        <v>210</v>
      </c>
      <c r="H221" s="94">
        <v>2</v>
      </c>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5"/>
    </row>
    <row r="222" spans="1:53" s="87" customFormat="1">
      <c r="A222" s="90" t="str">
        <f t="shared" si="28"/>
        <v/>
      </c>
      <c r="B222" s="98">
        <v>2</v>
      </c>
      <c r="C222" s="94" t="s">
        <v>210</v>
      </c>
      <c r="D222" s="94" t="s">
        <v>210</v>
      </c>
      <c r="E222" s="94">
        <v>-3</v>
      </c>
      <c r="F222" s="94">
        <v>1</v>
      </c>
      <c r="G222" s="94" t="s">
        <v>210</v>
      </c>
      <c r="H222" s="94">
        <v>-2</v>
      </c>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5"/>
    </row>
    <row r="223" spans="1:53" s="87" customFormat="1">
      <c r="A223" s="90" t="str">
        <f t="shared" si="28"/>
        <v/>
      </c>
      <c r="B223" s="98">
        <v>3</v>
      </c>
      <c r="C223" s="94" t="s">
        <v>210</v>
      </c>
      <c r="D223" s="94">
        <v>3</v>
      </c>
      <c r="E223" s="94" t="s">
        <v>210</v>
      </c>
      <c r="F223" s="94">
        <v>-1</v>
      </c>
      <c r="G223" s="94">
        <v>2</v>
      </c>
      <c r="H223" s="94" t="s">
        <v>210</v>
      </c>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c r="AI223" s="94"/>
      <c r="AJ223" s="94"/>
      <c r="AK223" s="94"/>
      <c r="AL223" s="94"/>
      <c r="AM223" s="94"/>
      <c r="AN223" s="94"/>
      <c r="AO223" s="94"/>
      <c r="AP223" s="94"/>
      <c r="AQ223" s="94"/>
      <c r="AR223" s="94"/>
      <c r="AS223" s="94"/>
      <c r="AT223" s="94"/>
      <c r="AU223" s="94"/>
      <c r="AV223" s="94"/>
      <c r="AW223" s="94"/>
      <c r="AX223" s="94"/>
      <c r="AY223" s="94"/>
      <c r="AZ223" s="94"/>
      <c r="BA223" s="95"/>
    </row>
    <row r="224" spans="1:53" s="87" customFormat="1">
      <c r="A224" s="90" t="str">
        <f t="shared" si="28"/>
        <v/>
      </c>
      <c r="B224" s="99">
        <v>4</v>
      </c>
      <c r="C224" s="92">
        <v>-1</v>
      </c>
      <c r="D224" s="92" t="s">
        <v>210</v>
      </c>
      <c r="E224" s="92">
        <v>3</v>
      </c>
      <c r="F224" s="92" t="s">
        <v>210</v>
      </c>
      <c r="G224" s="92">
        <v>-2</v>
      </c>
      <c r="H224" s="92" t="s">
        <v>210</v>
      </c>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5"/>
    </row>
    <row r="225" spans="1:53" s="87" customFormat="1">
      <c r="A225" s="90" t="str">
        <f t="shared" si="28"/>
        <v/>
      </c>
      <c r="B225" s="98">
        <v>5</v>
      </c>
      <c r="C225" s="94">
        <v>3</v>
      </c>
      <c r="D225" s="94">
        <v>-2</v>
      </c>
      <c r="E225" s="94" t="s">
        <v>210</v>
      </c>
      <c r="F225" s="94" t="s">
        <v>210</v>
      </c>
      <c r="G225" s="94" t="s">
        <v>210</v>
      </c>
      <c r="H225" s="94">
        <v>1</v>
      </c>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c r="AI225" s="94"/>
      <c r="AJ225" s="94"/>
      <c r="AK225" s="94"/>
      <c r="AL225" s="94"/>
      <c r="AM225" s="94"/>
      <c r="AN225" s="94"/>
      <c r="AO225" s="94"/>
      <c r="AP225" s="94"/>
      <c r="AQ225" s="94"/>
      <c r="AR225" s="94"/>
      <c r="AS225" s="94"/>
      <c r="AT225" s="94"/>
      <c r="AU225" s="94"/>
      <c r="AV225" s="94"/>
      <c r="AW225" s="94"/>
      <c r="AX225" s="94"/>
      <c r="AY225" s="94"/>
      <c r="AZ225" s="94"/>
      <c r="BA225" s="95"/>
    </row>
    <row r="226" spans="1:53" s="87" customFormat="1">
      <c r="A226" s="90" t="str">
        <f t="shared" si="28"/>
        <v/>
      </c>
      <c r="B226" s="98">
        <v>6</v>
      </c>
      <c r="C226" s="94" t="s">
        <v>210</v>
      </c>
      <c r="D226" s="94" t="s">
        <v>210</v>
      </c>
      <c r="E226" s="94">
        <v>-2</v>
      </c>
      <c r="F226" s="94">
        <v>3</v>
      </c>
      <c r="G226" s="94" t="s">
        <v>210</v>
      </c>
      <c r="H226" s="94">
        <v>-1</v>
      </c>
      <c r="I226" s="94"/>
      <c r="J226" s="94"/>
      <c r="K226" s="94"/>
      <c r="L226" s="94"/>
      <c r="M226" s="94"/>
      <c r="N226" s="94"/>
      <c r="O226" s="94"/>
      <c r="P226" s="94"/>
      <c r="Q226" s="94"/>
      <c r="R226" s="94"/>
      <c r="S226" s="94"/>
      <c r="T226" s="94"/>
      <c r="U226" s="94"/>
      <c r="V226" s="94"/>
      <c r="W226" s="94"/>
      <c r="X226" s="94"/>
      <c r="Y226" s="94"/>
      <c r="Z226" s="94"/>
      <c r="AA226" s="94"/>
      <c r="AB226" s="94"/>
      <c r="AC226" s="94"/>
      <c r="AD226" s="94"/>
      <c r="AE226" s="94"/>
      <c r="AF226" s="94"/>
      <c r="AG226" s="94"/>
      <c r="AH226" s="94"/>
      <c r="AI226" s="94"/>
      <c r="AJ226" s="94"/>
      <c r="AK226" s="94"/>
      <c r="AL226" s="94"/>
      <c r="AM226" s="94"/>
      <c r="AN226" s="94"/>
      <c r="AO226" s="94"/>
      <c r="AP226" s="94"/>
      <c r="AQ226" s="94"/>
      <c r="AR226" s="94"/>
      <c r="AS226" s="94"/>
      <c r="AT226" s="94"/>
      <c r="AU226" s="94"/>
      <c r="AV226" s="94"/>
      <c r="AW226" s="94"/>
      <c r="AX226" s="94"/>
      <c r="AY226" s="94"/>
      <c r="AZ226" s="94"/>
      <c r="BA226" s="95"/>
    </row>
    <row r="227" spans="1:53" s="87" customFormat="1">
      <c r="A227" s="90" t="str">
        <f t="shared" si="28"/>
        <v/>
      </c>
      <c r="B227" s="98">
        <v>7</v>
      </c>
      <c r="C227" s="94" t="s">
        <v>210</v>
      </c>
      <c r="D227" s="94">
        <v>2</v>
      </c>
      <c r="E227" s="94" t="s">
        <v>210</v>
      </c>
      <c r="F227" s="94">
        <v>-3</v>
      </c>
      <c r="G227" s="94">
        <v>1</v>
      </c>
      <c r="H227" s="94" t="s">
        <v>210</v>
      </c>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5"/>
    </row>
    <row r="228" spans="1:53" s="87" customFormat="1">
      <c r="A228" s="90" t="str">
        <f t="shared" si="28"/>
        <v/>
      </c>
      <c r="B228" s="99">
        <v>8</v>
      </c>
      <c r="C228" s="92">
        <v>-3</v>
      </c>
      <c r="D228" s="92" t="s">
        <v>210</v>
      </c>
      <c r="E228" s="92">
        <v>2</v>
      </c>
      <c r="F228" s="92" t="s">
        <v>210</v>
      </c>
      <c r="G228" s="92">
        <v>-1</v>
      </c>
      <c r="H228" s="92" t="s">
        <v>210</v>
      </c>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5"/>
    </row>
    <row r="229" spans="1:53" s="87" customFormat="1">
      <c r="A229" s="90" t="str">
        <f t="shared" si="28"/>
        <v/>
      </c>
      <c r="B229" s="98">
        <v>9</v>
      </c>
      <c r="C229" s="94">
        <v>2</v>
      </c>
      <c r="D229" s="94">
        <v>-1</v>
      </c>
      <c r="E229" s="94" t="s">
        <v>210</v>
      </c>
      <c r="F229" s="94" t="s">
        <v>210</v>
      </c>
      <c r="G229" s="94" t="s">
        <v>210</v>
      </c>
      <c r="H229" s="94">
        <v>3</v>
      </c>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5"/>
    </row>
    <row r="230" spans="1:53" s="87" customFormat="1">
      <c r="A230" s="90" t="str">
        <f t="shared" si="28"/>
        <v/>
      </c>
      <c r="B230" s="98">
        <v>10</v>
      </c>
      <c r="C230" s="94" t="s">
        <v>210</v>
      </c>
      <c r="D230" s="94" t="s">
        <v>210</v>
      </c>
      <c r="E230" s="94">
        <v>-1</v>
      </c>
      <c r="F230" s="94">
        <v>2</v>
      </c>
      <c r="G230" s="94" t="s">
        <v>210</v>
      </c>
      <c r="H230" s="94">
        <v>-3</v>
      </c>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c r="AW230" s="94"/>
      <c r="AX230" s="94"/>
      <c r="AY230" s="94"/>
      <c r="AZ230" s="94"/>
      <c r="BA230" s="95"/>
    </row>
    <row r="231" spans="1:53" s="87" customFormat="1">
      <c r="A231" s="90" t="str">
        <f t="shared" si="28"/>
        <v/>
      </c>
      <c r="B231" s="98">
        <v>11</v>
      </c>
      <c r="C231" s="94" t="s">
        <v>210</v>
      </c>
      <c r="D231" s="94">
        <v>1</v>
      </c>
      <c r="E231" s="94" t="s">
        <v>210</v>
      </c>
      <c r="F231" s="94">
        <v>-2</v>
      </c>
      <c r="G231" s="94">
        <v>3</v>
      </c>
      <c r="H231" s="94" t="s">
        <v>210</v>
      </c>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5"/>
    </row>
    <row r="232" spans="1:53" s="87" customFormat="1">
      <c r="A232" s="90" t="str">
        <f t="shared" si="28"/>
        <v/>
      </c>
      <c r="B232" s="98">
        <v>12</v>
      </c>
      <c r="C232" s="94">
        <v>-2</v>
      </c>
      <c r="D232" s="94" t="s">
        <v>210</v>
      </c>
      <c r="E232" s="94">
        <v>1</v>
      </c>
      <c r="F232" s="94" t="s">
        <v>210</v>
      </c>
      <c r="G232" s="94">
        <v>-3</v>
      </c>
      <c r="H232" s="94" t="s">
        <v>210</v>
      </c>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c r="AG232" s="94"/>
      <c r="AH232" s="94"/>
      <c r="AI232" s="94"/>
      <c r="AJ232" s="94"/>
      <c r="AK232" s="94"/>
      <c r="AL232" s="94"/>
      <c r="AM232" s="94"/>
      <c r="AN232" s="94"/>
      <c r="AO232" s="94"/>
      <c r="AP232" s="94"/>
      <c r="AQ232" s="94"/>
      <c r="AR232" s="94"/>
      <c r="AS232" s="94"/>
      <c r="AT232" s="94"/>
      <c r="AU232" s="94"/>
      <c r="AV232" s="94"/>
      <c r="AW232" s="94"/>
      <c r="AX232" s="94"/>
      <c r="AY232" s="94"/>
      <c r="AZ232" s="94"/>
      <c r="BA232" s="95"/>
    </row>
    <row r="233" spans="1:53" s="87" customFormat="1">
      <c r="A233" s="90" t="str">
        <f t="shared" si="28"/>
        <v/>
      </c>
      <c r="B233" s="98" t="s">
        <v>248</v>
      </c>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5"/>
    </row>
    <row r="234" spans="1:53" s="87" customFormat="1">
      <c r="A234" s="90">
        <f t="shared" si="28"/>
        <v>234</v>
      </c>
      <c r="B234" s="317" t="s">
        <v>1229</v>
      </c>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5"/>
    </row>
    <row r="235" spans="1:53" s="87" customFormat="1">
      <c r="A235" s="90" t="str">
        <f t="shared" si="28"/>
        <v/>
      </c>
      <c r="B235" s="295">
        <v>1</v>
      </c>
      <c r="C235" s="94">
        <v>1</v>
      </c>
      <c r="D235" s="94" t="s">
        <v>210</v>
      </c>
      <c r="E235" s="94">
        <v>-3</v>
      </c>
      <c r="F235" s="94" t="s">
        <v>210</v>
      </c>
      <c r="G235" s="94" t="s">
        <v>210</v>
      </c>
      <c r="H235" s="94">
        <v>-2</v>
      </c>
      <c r="I235" s="94" t="s">
        <v>210</v>
      </c>
      <c r="J235" s="94" t="s">
        <v>210</v>
      </c>
      <c r="K235" s="94">
        <v>3</v>
      </c>
      <c r="L235" s="94" t="s">
        <v>210</v>
      </c>
      <c r="M235" s="94"/>
      <c r="N235" s="94"/>
      <c r="O235" s="94"/>
      <c r="P235" s="94"/>
      <c r="Q235" s="94"/>
      <c r="R235" s="94"/>
      <c r="S235" s="94"/>
      <c r="T235" s="94"/>
      <c r="U235" s="94"/>
      <c r="V235" s="94"/>
      <c r="W235" s="94"/>
      <c r="X235" s="94"/>
      <c r="Y235" s="94"/>
      <c r="Z235" s="94"/>
      <c r="AA235" s="94"/>
      <c r="AB235" s="94"/>
      <c r="AC235" s="94"/>
      <c r="AD235" s="94"/>
      <c r="AE235" s="94"/>
      <c r="AF235" s="94"/>
      <c r="AG235" s="94"/>
      <c r="AH235" s="94"/>
      <c r="AI235" s="94"/>
      <c r="AJ235" s="94"/>
      <c r="AK235" s="94"/>
      <c r="AL235" s="94"/>
      <c r="AM235" s="94"/>
      <c r="AN235" s="94"/>
      <c r="AO235" s="94"/>
      <c r="AP235" s="94"/>
      <c r="AQ235" s="94"/>
      <c r="AR235" s="94"/>
      <c r="AS235" s="94"/>
      <c r="AT235" s="94"/>
      <c r="AU235" s="94"/>
      <c r="AV235" s="94"/>
      <c r="AW235" s="94"/>
      <c r="AX235" s="94"/>
      <c r="AY235" s="94"/>
      <c r="AZ235" s="94"/>
      <c r="BA235" s="95"/>
    </row>
    <row r="236" spans="1:53" s="87" customFormat="1">
      <c r="A236" s="90" t="str">
        <f t="shared" si="28"/>
        <v/>
      </c>
      <c r="B236" s="98">
        <v>2</v>
      </c>
      <c r="C236" s="94">
        <v>-1</v>
      </c>
      <c r="D236" s="94" t="s">
        <v>210</v>
      </c>
      <c r="E236" s="94" t="s">
        <v>210</v>
      </c>
      <c r="F236" s="94">
        <v>3</v>
      </c>
      <c r="G236" s="94" t="s">
        <v>210</v>
      </c>
      <c r="H236" s="94" t="s">
        <v>210</v>
      </c>
      <c r="I236" s="94">
        <v>1</v>
      </c>
      <c r="J236" s="94" t="s">
        <v>210</v>
      </c>
      <c r="K236" s="94" t="s">
        <v>210</v>
      </c>
      <c r="L236" s="94">
        <v>-2</v>
      </c>
      <c r="M236" s="94"/>
      <c r="N236" s="94"/>
      <c r="O236" s="94"/>
      <c r="P236" s="94"/>
      <c r="Q236" s="94"/>
      <c r="R236" s="94"/>
      <c r="S236" s="94"/>
      <c r="T236" s="94"/>
      <c r="U236" s="94"/>
      <c r="V236" s="94"/>
      <c r="W236" s="94"/>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5"/>
    </row>
    <row r="237" spans="1:53" s="87" customFormat="1">
      <c r="A237" s="90" t="str">
        <f t="shared" si="28"/>
        <v/>
      </c>
      <c r="B237" s="98">
        <v>3</v>
      </c>
      <c r="C237" s="94" t="s">
        <v>210</v>
      </c>
      <c r="D237" s="94">
        <v>-1</v>
      </c>
      <c r="E237" s="94" t="s">
        <v>210</v>
      </c>
      <c r="F237" s="94">
        <v>-3</v>
      </c>
      <c r="G237" s="94" t="s">
        <v>210</v>
      </c>
      <c r="H237" s="94">
        <v>2</v>
      </c>
      <c r="I237" s="94" t="s">
        <v>210</v>
      </c>
      <c r="J237" s="94">
        <v>1</v>
      </c>
      <c r="K237" s="94" t="s">
        <v>210</v>
      </c>
      <c r="L237" s="94" t="s">
        <v>210</v>
      </c>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5"/>
    </row>
    <row r="238" spans="1:53" s="87" customFormat="1">
      <c r="A238" s="90" t="str">
        <f t="shared" si="28"/>
        <v/>
      </c>
      <c r="B238" s="98">
        <v>4</v>
      </c>
      <c r="C238" s="94" t="s">
        <v>210</v>
      </c>
      <c r="D238" s="94">
        <v>1</v>
      </c>
      <c r="E238" s="94" t="s">
        <v>210</v>
      </c>
      <c r="F238" s="94" t="s">
        <v>210</v>
      </c>
      <c r="G238" s="94">
        <v>2</v>
      </c>
      <c r="H238" s="94" t="s">
        <v>210</v>
      </c>
      <c r="I238" s="94">
        <v>-1</v>
      </c>
      <c r="J238" s="94" t="s">
        <v>210</v>
      </c>
      <c r="K238" s="94">
        <v>-3</v>
      </c>
      <c r="L238" s="94" t="s">
        <v>210</v>
      </c>
      <c r="M238" s="94"/>
      <c r="N238" s="94"/>
      <c r="O238" s="94"/>
      <c r="P238" s="94"/>
      <c r="Q238" s="94"/>
      <c r="R238" s="94"/>
      <c r="S238" s="94"/>
      <c r="T238" s="94"/>
      <c r="U238" s="94"/>
      <c r="V238" s="94"/>
      <c r="W238" s="94"/>
      <c r="X238" s="94"/>
      <c r="Y238" s="94"/>
      <c r="Z238" s="94"/>
      <c r="AA238" s="94"/>
      <c r="AB238" s="94"/>
      <c r="AC238" s="94"/>
      <c r="AD238" s="94"/>
      <c r="AE238" s="94"/>
      <c r="AF238" s="94"/>
      <c r="AG238" s="94"/>
      <c r="AH238" s="94"/>
      <c r="AI238" s="94"/>
      <c r="AJ238" s="94"/>
      <c r="AK238" s="94"/>
      <c r="AL238" s="94"/>
      <c r="AM238" s="94"/>
      <c r="AN238" s="94"/>
      <c r="AO238" s="94"/>
      <c r="AP238" s="94"/>
      <c r="AQ238" s="94"/>
      <c r="AR238" s="94"/>
      <c r="AS238" s="94"/>
      <c r="AT238" s="94"/>
      <c r="AU238" s="94"/>
      <c r="AV238" s="94"/>
      <c r="AW238" s="94"/>
      <c r="AX238" s="94"/>
      <c r="AY238" s="94"/>
      <c r="AZ238" s="94"/>
      <c r="BA238" s="95"/>
    </row>
    <row r="239" spans="1:53" s="87" customFormat="1">
      <c r="A239" s="90" t="str">
        <f t="shared" si="28"/>
        <v/>
      </c>
      <c r="B239" s="99">
        <v>5</v>
      </c>
      <c r="C239" s="92" t="s">
        <v>210</v>
      </c>
      <c r="D239" s="92" t="s">
        <v>210</v>
      </c>
      <c r="E239" s="92">
        <v>3</v>
      </c>
      <c r="F239" s="92" t="s">
        <v>210</v>
      </c>
      <c r="G239" s="92">
        <v>-2</v>
      </c>
      <c r="H239" s="92" t="s">
        <v>210</v>
      </c>
      <c r="I239" s="92" t="s">
        <v>210</v>
      </c>
      <c r="J239" s="92">
        <v>-1</v>
      </c>
      <c r="K239" s="92" t="s">
        <v>210</v>
      </c>
      <c r="L239" s="92">
        <v>2</v>
      </c>
      <c r="M239" s="94"/>
      <c r="N239" s="94"/>
      <c r="O239" s="94"/>
      <c r="P239" s="94"/>
      <c r="Q239" s="94"/>
      <c r="R239" s="94"/>
      <c r="S239" s="94"/>
      <c r="T239" s="94"/>
      <c r="U239" s="94"/>
      <c r="V239" s="94"/>
      <c r="W239" s="94"/>
      <c r="X239" s="94"/>
      <c r="Y239" s="94"/>
      <c r="Z239" s="94"/>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c r="AZ239" s="94"/>
      <c r="BA239" s="95"/>
    </row>
    <row r="240" spans="1:53" s="87" customFormat="1">
      <c r="A240" s="90" t="str">
        <f t="shared" si="28"/>
        <v/>
      </c>
      <c r="B240" s="98">
        <v>6</v>
      </c>
      <c r="C240" s="94">
        <v>3</v>
      </c>
      <c r="D240" s="94" t="s">
        <v>210</v>
      </c>
      <c r="E240" s="94">
        <v>-2</v>
      </c>
      <c r="F240" s="94" t="s">
        <v>210</v>
      </c>
      <c r="G240" s="94" t="s">
        <v>210</v>
      </c>
      <c r="H240" s="94">
        <v>-1</v>
      </c>
      <c r="I240" s="94" t="s">
        <v>210</v>
      </c>
      <c r="J240" s="94" t="s">
        <v>210</v>
      </c>
      <c r="K240" s="94">
        <v>2</v>
      </c>
      <c r="L240" s="94" t="s">
        <v>210</v>
      </c>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5"/>
    </row>
    <row r="241" spans="1:53" s="87" customFormat="1">
      <c r="A241" s="90" t="str">
        <f t="shared" si="28"/>
        <v/>
      </c>
      <c r="B241" s="98">
        <v>7</v>
      </c>
      <c r="C241" s="94">
        <v>-3</v>
      </c>
      <c r="D241" s="94" t="s">
        <v>210</v>
      </c>
      <c r="E241" s="94" t="s">
        <v>210</v>
      </c>
      <c r="F241" s="94">
        <v>2</v>
      </c>
      <c r="G241" s="94" t="s">
        <v>210</v>
      </c>
      <c r="H241" s="94" t="s">
        <v>210</v>
      </c>
      <c r="I241" s="94">
        <v>3</v>
      </c>
      <c r="J241" s="94" t="s">
        <v>210</v>
      </c>
      <c r="K241" s="94" t="s">
        <v>210</v>
      </c>
      <c r="L241" s="94">
        <v>-1</v>
      </c>
      <c r="M241" s="94"/>
      <c r="N241" s="94"/>
      <c r="O241" s="94"/>
      <c r="P241" s="94"/>
      <c r="Q241" s="94"/>
      <c r="R241" s="94"/>
      <c r="S241" s="94"/>
      <c r="T241" s="94"/>
      <c r="U241" s="94"/>
      <c r="V241" s="94"/>
      <c r="W241" s="94"/>
      <c r="X241" s="94"/>
      <c r="Y241" s="94"/>
      <c r="Z241" s="94"/>
      <c r="AA241" s="94"/>
      <c r="AB241" s="94"/>
      <c r="AC241" s="94"/>
      <c r="AD241" s="94"/>
      <c r="AE241" s="94"/>
      <c r="AF241" s="94"/>
      <c r="AG241" s="94"/>
      <c r="AH241" s="94"/>
      <c r="AI241" s="94"/>
      <c r="AJ241" s="94"/>
      <c r="AK241" s="94"/>
      <c r="AL241" s="94"/>
      <c r="AM241" s="94"/>
      <c r="AN241" s="94"/>
      <c r="AO241" s="94"/>
      <c r="AP241" s="94"/>
      <c r="AQ241" s="94"/>
      <c r="AR241" s="94"/>
      <c r="AS241" s="94"/>
      <c r="AT241" s="94"/>
      <c r="AU241" s="94"/>
      <c r="AV241" s="94"/>
      <c r="AW241" s="94"/>
      <c r="AX241" s="94"/>
      <c r="AY241" s="94"/>
      <c r="AZ241" s="94"/>
      <c r="BA241" s="95"/>
    </row>
    <row r="242" spans="1:53" s="87" customFormat="1">
      <c r="A242" s="90" t="str">
        <f t="shared" si="28"/>
        <v/>
      </c>
      <c r="B242" s="98">
        <v>8</v>
      </c>
      <c r="C242" s="94" t="s">
        <v>210</v>
      </c>
      <c r="D242" s="94">
        <v>-3</v>
      </c>
      <c r="E242" s="94" t="s">
        <v>210</v>
      </c>
      <c r="F242" s="94">
        <v>-2</v>
      </c>
      <c r="G242" s="94" t="s">
        <v>210</v>
      </c>
      <c r="H242" s="94">
        <v>1</v>
      </c>
      <c r="I242" s="94" t="s">
        <v>210</v>
      </c>
      <c r="J242" s="94">
        <v>3</v>
      </c>
      <c r="K242" s="94" t="s">
        <v>210</v>
      </c>
      <c r="L242" s="94" t="s">
        <v>210</v>
      </c>
      <c r="M242" s="94"/>
      <c r="N242" s="94"/>
      <c r="O242" s="94"/>
      <c r="P242" s="94"/>
      <c r="Q242" s="94"/>
      <c r="R242" s="94"/>
      <c r="S242" s="94"/>
      <c r="T242" s="94"/>
      <c r="U242" s="94"/>
      <c r="V242" s="94"/>
      <c r="W242" s="94"/>
      <c r="X242" s="94"/>
      <c r="Y242" s="94"/>
      <c r="Z242" s="94"/>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5"/>
    </row>
    <row r="243" spans="1:53" s="87" customFormat="1">
      <c r="A243" s="90" t="str">
        <f t="shared" si="28"/>
        <v/>
      </c>
      <c r="B243" s="98">
        <v>9</v>
      </c>
      <c r="C243" s="94" t="s">
        <v>210</v>
      </c>
      <c r="D243" s="94">
        <v>3</v>
      </c>
      <c r="E243" s="94" t="s">
        <v>210</v>
      </c>
      <c r="F243" s="94" t="s">
        <v>210</v>
      </c>
      <c r="G243" s="94">
        <v>1</v>
      </c>
      <c r="H243" s="94" t="s">
        <v>210</v>
      </c>
      <c r="I243" s="94">
        <v>-3</v>
      </c>
      <c r="J243" s="94" t="s">
        <v>210</v>
      </c>
      <c r="K243" s="94">
        <v>-2</v>
      </c>
      <c r="L243" s="94" t="s">
        <v>210</v>
      </c>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5"/>
    </row>
    <row r="244" spans="1:53" s="87" customFormat="1">
      <c r="A244" s="90" t="str">
        <f t="shared" si="28"/>
        <v/>
      </c>
      <c r="B244" s="99">
        <v>10</v>
      </c>
      <c r="C244" s="92" t="s">
        <v>210</v>
      </c>
      <c r="D244" s="92" t="s">
        <v>210</v>
      </c>
      <c r="E244" s="92">
        <v>2</v>
      </c>
      <c r="F244" s="92" t="s">
        <v>210</v>
      </c>
      <c r="G244" s="92">
        <v>-1</v>
      </c>
      <c r="H244" s="92" t="s">
        <v>210</v>
      </c>
      <c r="I244" s="92" t="s">
        <v>210</v>
      </c>
      <c r="J244" s="92">
        <v>-3</v>
      </c>
      <c r="K244" s="92" t="s">
        <v>210</v>
      </c>
      <c r="L244" s="92">
        <v>1</v>
      </c>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5"/>
    </row>
    <row r="245" spans="1:53" s="87" customFormat="1">
      <c r="A245" s="90" t="str">
        <f t="shared" si="28"/>
        <v/>
      </c>
      <c r="B245" s="98">
        <v>11</v>
      </c>
      <c r="C245" s="94">
        <v>2</v>
      </c>
      <c r="D245" s="94" t="s">
        <v>210</v>
      </c>
      <c r="E245" s="94">
        <v>-1</v>
      </c>
      <c r="F245" s="94" t="s">
        <v>210</v>
      </c>
      <c r="G245" s="94" t="s">
        <v>210</v>
      </c>
      <c r="H245" s="94">
        <v>-3</v>
      </c>
      <c r="I245" s="94" t="s">
        <v>210</v>
      </c>
      <c r="J245" s="94" t="s">
        <v>210</v>
      </c>
      <c r="K245" s="94">
        <v>1</v>
      </c>
      <c r="L245" s="94" t="s">
        <v>210</v>
      </c>
      <c r="M245" s="94"/>
      <c r="N245" s="94"/>
      <c r="O245" s="94"/>
      <c r="P245" s="94"/>
      <c r="Q245" s="94"/>
      <c r="R245" s="94"/>
      <c r="S245" s="94"/>
      <c r="T245" s="94"/>
      <c r="U245" s="94"/>
      <c r="V245" s="94"/>
      <c r="W245" s="94"/>
      <c r="X245" s="94"/>
      <c r="Y245" s="94"/>
      <c r="Z245" s="94"/>
      <c r="AA245" s="94"/>
      <c r="AB245" s="94"/>
      <c r="AC245" s="94"/>
      <c r="AD245" s="94"/>
      <c r="AE245" s="94"/>
      <c r="AF245" s="94"/>
      <c r="AG245" s="94"/>
      <c r="AH245" s="94"/>
      <c r="AI245" s="94"/>
      <c r="AJ245" s="94"/>
      <c r="AK245" s="94"/>
      <c r="AL245" s="94"/>
      <c r="AM245" s="94"/>
      <c r="AN245" s="94"/>
      <c r="AO245" s="94"/>
      <c r="AP245" s="94"/>
      <c r="AQ245" s="94"/>
      <c r="AR245" s="94"/>
      <c r="AS245" s="94"/>
      <c r="AT245" s="94"/>
      <c r="AU245" s="94"/>
      <c r="AV245" s="94"/>
      <c r="AW245" s="94"/>
      <c r="AX245" s="94"/>
      <c r="AY245" s="94"/>
      <c r="AZ245" s="94"/>
      <c r="BA245" s="95"/>
    </row>
    <row r="246" spans="1:53" s="87" customFormat="1">
      <c r="A246" s="90" t="str">
        <f t="shared" si="28"/>
        <v/>
      </c>
      <c r="B246" s="98">
        <v>12</v>
      </c>
      <c r="C246" s="94">
        <v>-2</v>
      </c>
      <c r="D246" s="94" t="s">
        <v>210</v>
      </c>
      <c r="E246" s="94" t="s">
        <v>210</v>
      </c>
      <c r="F246" s="94">
        <v>1</v>
      </c>
      <c r="G246" s="94" t="s">
        <v>210</v>
      </c>
      <c r="H246" s="94" t="s">
        <v>210</v>
      </c>
      <c r="I246" s="94">
        <v>2</v>
      </c>
      <c r="J246" s="94" t="s">
        <v>210</v>
      </c>
      <c r="K246" s="94" t="s">
        <v>210</v>
      </c>
      <c r="L246" s="94">
        <v>-3</v>
      </c>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5"/>
    </row>
    <row r="247" spans="1:53" s="87" customFormat="1">
      <c r="A247" s="90" t="str">
        <f t="shared" si="28"/>
        <v/>
      </c>
      <c r="B247" s="98">
        <v>13</v>
      </c>
      <c r="C247" s="94" t="s">
        <v>210</v>
      </c>
      <c r="D247" s="94">
        <v>-2</v>
      </c>
      <c r="E247" s="94" t="s">
        <v>210</v>
      </c>
      <c r="F247" s="94">
        <v>-1</v>
      </c>
      <c r="G247" s="94" t="s">
        <v>210</v>
      </c>
      <c r="H247" s="94">
        <v>3</v>
      </c>
      <c r="I247" s="94" t="s">
        <v>210</v>
      </c>
      <c r="J247" s="94">
        <v>2</v>
      </c>
      <c r="K247" s="94" t="s">
        <v>210</v>
      </c>
      <c r="L247" s="94" t="s">
        <v>210</v>
      </c>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5"/>
    </row>
    <row r="248" spans="1:53" s="87" customFormat="1">
      <c r="A248" s="90" t="str">
        <f t="shared" si="28"/>
        <v/>
      </c>
      <c r="B248" s="98">
        <v>14</v>
      </c>
      <c r="C248" s="94" t="s">
        <v>210</v>
      </c>
      <c r="D248" s="94">
        <v>2</v>
      </c>
      <c r="E248" s="94" t="s">
        <v>210</v>
      </c>
      <c r="F248" s="94" t="s">
        <v>210</v>
      </c>
      <c r="G248" s="94">
        <v>3</v>
      </c>
      <c r="H248" s="94" t="s">
        <v>210</v>
      </c>
      <c r="I248" s="94">
        <v>-2</v>
      </c>
      <c r="J248" s="94" t="s">
        <v>210</v>
      </c>
      <c r="K248" s="94">
        <v>-1</v>
      </c>
      <c r="L248" s="94" t="s">
        <v>210</v>
      </c>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5"/>
    </row>
    <row r="249" spans="1:53" s="87" customFormat="1">
      <c r="A249" s="90" t="str">
        <f t="shared" si="28"/>
        <v/>
      </c>
      <c r="B249" s="98">
        <v>15</v>
      </c>
      <c r="C249" s="94" t="s">
        <v>210</v>
      </c>
      <c r="D249" s="94" t="s">
        <v>210</v>
      </c>
      <c r="E249" s="94">
        <v>1</v>
      </c>
      <c r="F249" s="94" t="s">
        <v>210</v>
      </c>
      <c r="G249" s="94">
        <v>-3</v>
      </c>
      <c r="H249" s="94" t="s">
        <v>210</v>
      </c>
      <c r="I249" s="94" t="s">
        <v>210</v>
      </c>
      <c r="J249" s="94">
        <v>-2</v>
      </c>
      <c r="K249" s="94" t="s">
        <v>210</v>
      </c>
      <c r="L249" s="94">
        <v>3</v>
      </c>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5"/>
    </row>
    <row r="250" spans="1:53" s="87" customFormat="1">
      <c r="A250" s="90" t="str">
        <f t="shared" si="28"/>
        <v/>
      </c>
      <c r="B250" s="295" t="s">
        <v>258</v>
      </c>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5"/>
    </row>
    <row r="251" spans="1:53" s="87" customFormat="1">
      <c r="A251" s="90">
        <f t="shared" si="28"/>
        <v>251</v>
      </c>
      <c r="B251" s="317" t="s">
        <v>1234</v>
      </c>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5"/>
    </row>
    <row r="252" spans="1:53" s="87" customFormat="1">
      <c r="A252" s="90" t="str">
        <f t="shared" si="28"/>
        <v/>
      </c>
      <c r="B252" s="98">
        <v>1</v>
      </c>
      <c r="C252" s="94">
        <v>1</v>
      </c>
      <c r="D252" s="94" t="s">
        <v>210</v>
      </c>
      <c r="E252" s="94" t="s">
        <v>210</v>
      </c>
      <c r="F252" s="94">
        <v>2</v>
      </c>
      <c r="G252" s="94" t="s">
        <v>210</v>
      </c>
      <c r="H252" s="94" t="s">
        <v>210</v>
      </c>
      <c r="I252" s="94">
        <v>-1</v>
      </c>
      <c r="J252" s="94" t="s">
        <v>210</v>
      </c>
      <c r="K252" s="94" t="s">
        <v>210</v>
      </c>
      <c r="L252" s="94">
        <v>3</v>
      </c>
      <c r="M252" s="94" t="s">
        <v>210</v>
      </c>
      <c r="N252" s="94" t="s">
        <v>210</v>
      </c>
      <c r="O252" s="94">
        <v>-2</v>
      </c>
      <c r="P252" s="94" t="s">
        <v>210</v>
      </c>
      <c r="Q252" s="94" t="s">
        <v>210</v>
      </c>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5"/>
    </row>
    <row r="253" spans="1:53" s="87" customFormat="1">
      <c r="A253" s="90" t="str">
        <f t="shared" si="28"/>
        <v/>
      </c>
      <c r="B253" s="98">
        <v>2</v>
      </c>
      <c r="C253" s="94">
        <v>-2</v>
      </c>
      <c r="D253" s="94" t="s">
        <v>210</v>
      </c>
      <c r="E253" s="94" t="s">
        <v>210</v>
      </c>
      <c r="F253" s="94">
        <v>1</v>
      </c>
      <c r="G253" s="94" t="s">
        <v>210</v>
      </c>
      <c r="H253" s="94" t="s">
        <v>210</v>
      </c>
      <c r="I253" s="94">
        <v>-3</v>
      </c>
      <c r="J253" s="94" t="s">
        <v>210</v>
      </c>
      <c r="K253" s="94" t="s">
        <v>210</v>
      </c>
      <c r="L253" s="94">
        <v>-1</v>
      </c>
      <c r="M253" s="94" t="s">
        <v>210</v>
      </c>
      <c r="N253" s="94" t="s">
        <v>210</v>
      </c>
      <c r="O253" s="94">
        <v>2</v>
      </c>
      <c r="P253" s="94" t="s">
        <v>210</v>
      </c>
      <c r="Q253" s="94" t="s">
        <v>210</v>
      </c>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5"/>
    </row>
    <row r="254" spans="1:53" s="87" customFormat="1">
      <c r="A254" s="90" t="str">
        <f t="shared" si="28"/>
        <v/>
      </c>
      <c r="B254" s="98">
        <v>3</v>
      </c>
      <c r="C254" s="94">
        <v>3</v>
      </c>
      <c r="D254" s="94" t="s">
        <v>210</v>
      </c>
      <c r="E254" s="94" t="s">
        <v>210</v>
      </c>
      <c r="F254" s="94">
        <v>-1</v>
      </c>
      <c r="G254" s="94" t="s">
        <v>210</v>
      </c>
      <c r="H254" s="94" t="s">
        <v>210</v>
      </c>
      <c r="I254" s="94">
        <v>-2</v>
      </c>
      <c r="J254" s="94" t="s">
        <v>210</v>
      </c>
      <c r="K254" s="94" t="s">
        <v>210</v>
      </c>
      <c r="L254" s="94">
        <v>-3</v>
      </c>
      <c r="M254" s="94" t="s">
        <v>210</v>
      </c>
      <c r="N254" s="94" t="s">
        <v>210</v>
      </c>
      <c r="O254" s="94">
        <v>1</v>
      </c>
      <c r="P254" s="94" t="s">
        <v>210</v>
      </c>
      <c r="Q254" s="94" t="s">
        <v>210</v>
      </c>
      <c r="R254" s="94"/>
      <c r="S254" s="94"/>
      <c r="T254" s="94"/>
      <c r="U254" s="94"/>
      <c r="V254" s="94"/>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5"/>
    </row>
    <row r="255" spans="1:53" s="87" customFormat="1">
      <c r="A255" s="90" t="str">
        <f t="shared" si="28"/>
        <v/>
      </c>
      <c r="B255" s="98">
        <v>4</v>
      </c>
      <c r="C255" s="94">
        <v>2</v>
      </c>
      <c r="D255" s="94" t="s">
        <v>210</v>
      </c>
      <c r="E255" s="94" t="s">
        <v>210</v>
      </c>
      <c r="F255" s="94">
        <v>3</v>
      </c>
      <c r="G255" s="94" t="s">
        <v>210</v>
      </c>
      <c r="H255" s="94" t="s">
        <v>210</v>
      </c>
      <c r="I255" s="94">
        <v>1</v>
      </c>
      <c r="J255" s="94" t="s">
        <v>210</v>
      </c>
      <c r="K255" s="94" t="s">
        <v>210</v>
      </c>
      <c r="L255" s="94">
        <v>-2</v>
      </c>
      <c r="M255" s="94" t="s">
        <v>210</v>
      </c>
      <c r="N255" s="94" t="s">
        <v>210</v>
      </c>
      <c r="O255" s="94">
        <v>-1</v>
      </c>
      <c r="P255" s="94" t="s">
        <v>210</v>
      </c>
      <c r="Q255" s="94" t="s">
        <v>210</v>
      </c>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5"/>
    </row>
    <row r="256" spans="1:53" s="87" customFormat="1">
      <c r="A256" s="90" t="str">
        <f t="shared" si="28"/>
        <v/>
      </c>
      <c r="B256" s="98">
        <v>5</v>
      </c>
      <c r="C256" s="94">
        <v>-3</v>
      </c>
      <c r="D256" s="94" t="s">
        <v>210</v>
      </c>
      <c r="E256" s="94" t="s">
        <v>210</v>
      </c>
      <c r="F256" s="94">
        <v>-2</v>
      </c>
      <c r="G256" s="94" t="s">
        <v>210</v>
      </c>
      <c r="H256" s="94" t="s">
        <v>210</v>
      </c>
      <c r="I256" s="94">
        <v>3</v>
      </c>
      <c r="J256" s="94" t="s">
        <v>210</v>
      </c>
      <c r="K256" s="94" t="s">
        <v>210</v>
      </c>
      <c r="L256" s="94">
        <v>2</v>
      </c>
      <c r="M256" s="94" t="s">
        <v>210</v>
      </c>
      <c r="N256" s="94" t="s">
        <v>210</v>
      </c>
      <c r="O256" s="94">
        <v>-3</v>
      </c>
      <c r="P256" s="94" t="s">
        <v>210</v>
      </c>
      <c r="Q256" s="94" t="s">
        <v>210</v>
      </c>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5"/>
    </row>
    <row r="257" spans="1:53" s="87" customFormat="1">
      <c r="A257" s="90" t="str">
        <f t="shared" si="28"/>
        <v/>
      </c>
      <c r="B257" s="99">
        <v>6</v>
      </c>
      <c r="C257" s="92">
        <v>-1</v>
      </c>
      <c r="D257" s="92" t="s">
        <v>210</v>
      </c>
      <c r="E257" s="92" t="s">
        <v>210</v>
      </c>
      <c r="F257" s="92">
        <v>-3</v>
      </c>
      <c r="G257" s="92" t="s">
        <v>210</v>
      </c>
      <c r="H257" s="92" t="s">
        <v>210</v>
      </c>
      <c r="I257" s="92">
        <v>2</v>
      </c>
      <c r="J257" s="92" t="s">
        <v>210</v>
      </c>
      <c r="K257" s="92" t="s">
        <v>210</v>
      </c>
      <c r="L257" s="92">
        <v>1</v>
      </c>
      <c r="M257" s="92" t="s">
        <v>210</v>
      </c>
      <c r="N257" s="92" t="s">
        <v>210</v>
      </c>
      <c r="O257" s="92">
        <v>3</v>
      </c>
      <c r="P257" s="92" t="s">
        <v>210</v>
      </c>
      <c r="Q257" s="92" t="s">
        <v>210</v>
      </c>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5"/>
    </row>
    <row r="258" spans="1:53" s="87" customFormat="1">
      <c r="A258" s="90" t="str">
        <f t="shared" si="28"/>
        <v/>
      </c>
      <c r="B258" s="98">
        <v>7</v>
      </c>
      <c r="C258" s="94" t="s">
        <v>210</v>
      </c>
      <c r="D258" s="94">
        <v>1</v>
      </c>
      <c r="E258" s="94" t="s">
        <v>210</v>
      </c>
      <c r="F258" s="94" t="s">
        <v>210</v>
      </c>
      <c r="G258" s="94">
        <v>2</v>
      </c>
      <c r="H258" s="94" t="s">
        <v>210</v>
      </c>
      <c r="I258" s="94" t="s">
        <v>210</v>
      </c>
      <c r="J258" s="94">
        <v>-1</v>
      </c>
      <c r="K258" s="94" t="s">
        <v>210</v>
      </c>
      <c r="L258" s="94" t="s">
        <v>210</v>
      </c>
      <c r="M258" s="94">
        <v>3</v>
      </c>
      <c r="N258" s="94" t="s">
        <v>210</v>
      </c>
      <c r="O258" s="94" t="s">
        <v>210</v>
      </c>
      <c r="P258" s="94">
        <v>-2</v>
      </c>
      <c r="Q258" s="94" t="s">
        <v>210</v>
      </c>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5"/>
    </row>
    <row r="259" spans="1:53" s="87" customFormat="1">
      <c r="A259" s="90" t="str">
        <f t="shared" si="28"/>
        <v/>
      </c>
      <c r="B259" s="98">
        <v>8</v>
      </c>
      <c r="C259" s="94" t="s">
        <v>210</v>
      </c>
      <c r="D259" s="94">
        <v>-2</v>
      </c>
      <c r="E259" s="94" t="s">
        <v>210</v>
      </c>
      <c r="F259" s="94" t="s">
        <v>210</v>
      </c>
      <c r="G259" s="94">
        <v>1</v>
      </c>
      <c r="H259" s="94" t="s">
        <v>210</v>
      </c>
      <c r="I259" s="94" t="s">
        <v>210</v>
      </c>
      <c r="J259" s="94">
        <v>-3</v>
      </c>
      <c r="K259" s="94" t="s">
        <v>210</v>
      </c>
      <c r="L259" s="94" t="s">
        <v>210</v>
      </c>
      <c r="M259" s="94">
        <v>-1</v>
      </c>
      <c r="N259" s="94" t="s">
        <v>210</v>
      </c>
      <c r="O259" s="94" t="s">
        <v>210</v>
      </c>
      <c r="P259" s="94">
        <v>2</v>
      </c>
      <c r="Q259" s="94" t="s">
        <v>210</v>
      </c>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5"/>
    </row>
    <row r="260" spans="1:53" s="87" customFormat="1">
      <c r="A260" s="90" t="str">
        <f t="shared" si="28"/>
        <v/>
      </c>
      <c r="B260" s="98">
        <v>9</v>
      </c>
      <c r="C260" s="94" t="s">
        <v>210</v>
      </c>
      <c r="D260" s="94">
        <v>3</v>
      </c>
      <c r="E260" s="94" t="s">
        <v>210</v>
      </c>
      <c r="F260" s="94" t="s">
        <v>210</v>
      </c>
      <c r="G260" s="94">
        <v>-1</v>
      </c>
      <c r="H260" s="94" t="s">
        <v>210</v>
      </c>
      <c r="I260" s="94" t="s">
        <v>210</v>
      </c>
      <c r="J260" s="94">
        <v>-2</v>
      </c>
      <c r="K260" s="94" t="s">
        <v>210</v>
      </c>
      <c r="L260" s="94" t="s">
        <v>210</v>
      </c>
      <c r="M260" s="94">
        <v>-3</v>
      </c>
      <c r="N260" s="94" t="s">
        <v>210</v>
      </c>
      <c r="O260" s="94" t="s">
        <v>210</v>
      </c>
      <c r="P260" s="94">
        <v>1</v>
      </c>
      <c r="Q260" s="94" t="s">
        <v>210</v>
      </c>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5"/>
    </row>
    <row r="261" spans="1:53" s="87" customFormat="1">
      <c r="A261" s="90" t="str">
        <f t="shared" si="28"/>
        <v/>
      </c>
      <c r="B261" s="98">
        <v>10</v>
      </c>
      <c r="C261" s="94" t="s">
        <v>210</v>
      </c>
      <c r="D261" s="94">
        <v>2</v>
      </c>
      <c r="E261" s="94" t="s">
        <v>210</v>
      </c>
      <c r="F261" s="94" t="s">
        <v>210</v>
      </c>
      <c r="G261" s="94">
        <v>3</v>
      </c>
      <c r="H261" s="94" t="s">
        <v>210</v>
      </c>
      <c r="I261" s="94" t="s">
        <v>210</v>
      </c>
      <c r="J261" s="94">
        <v>1</v>
      </c>
      <c r="K261" s="94" t="s">
        <v>210</v>
      </c>
      <c r="L261" s="94" t="s">
        <v>210</v>
      </c>
      <c r="M261" s="94">
        <v>-2</v>
      </c>
      <c r="N261" s="94" t="s">
        <v>210</v>
      </c>
      <c r="O261" s="94" t="s">
        <v>210</v>
      </c>
      <c r="P261" s="94">
        <v>-1</v>
      </c>
      <c r="Q261" s="94" t="s">
        <v>210</v>
      </c>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5"/>
    </row>
    <row r="262" spans="1:53" s="87" customFormat="1">
      <c r="A262" s="90" t="str">
        <f t="shared" si="28"/>
        <v/>
      </c>
      <c r="B262" s="98">
        <v>11</v>
      </c>
      <c r="C262" s="94" t="s">
        <v>210</v>
      </c>
      <c r="D262" s="94">
        <v>-3</v>
      </c>
      <c r="E262" s="94" t="s">
        <v>210</v>
      </c>
      <c r="F262" s="94" t="s">
        <v>210</v>
      </c>
      <c r="G262" s="94">
        <v>-2</v>
      </c>
      <c r="H262" s="94" t="s">
        <v>210</v>
      </c>
      <c r="I262" s="94" t="s">
        <v>210</v>
      </c>
      <c r="J262" s="94">
        <v>3</v>
      </c>
      <c r="K262" s="94" t="s">
        <v>210</v>
      </c>
      <c r="L262" s="94" t="s">
        <v>210</v>
      </c>
      <c r="M262" s="94">
        <v>2</v>
      </c>
      <c r="N262" s="94" t="s">
        <v>210</v>
      </c>
      <c r="O262" s="94" t="s">
        <v>210</v>
      </c>
      <c r="P262" s="94">
        <v>-3</v>
      </c>
      <c r="Q262" s="94" t="s">
        <v>210</v>
      </c>
      <c r="R262" s="94"/>
      <c r="S262" s="94"/>
      <c r="T262" s="94"/>
      <c r="U262" s="94"/>
      <c r="V262" s="94"/>
      <c r="W262" s="94"/>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5"/>
    </row>
    <row r="263" spans="1:53" s="87" customFormat="1">
      <c r="A263" s="90" t="str">
        <f t="shared" si="28"/>
        <v/>
      </c>
      <c r="B263" s="99">
        <v>12</v>
      </c>
      <c r="C263" s="92" t="s">
        <v>210</v>
      </c>
      <c r="D263" s="92">
        <v>-1</v>
      </c>
      <c r="E263" s="92" t="s">
        <v>210</v>
      </c>
      <c r="F263" s="92" t="s">
        <v>210</v>
      </c>
      <c r="G263" s="92">
        <v>-3</v>
      </c>
      <c r="H263" s="92" t="s">
        <v>210</v>
      </c>
      <c r="I263" s="92" t="s">
        <v>210</v>
      </c>
      <c r="J263" s="92">
        <v>2</v>
      </c>
      <c r="K263" s="92" t="s">
        <v>210</v>
      </c>
      <c r="L263" s="92" t="s">
        <v>210</v>
      </c>
      <c r="M263" s="92">
        <v>1</v>
      </c>
      <c r="N263" s="92" t="s">
        <v>210</v>
      </c>
      <c r="O263" s="92" t="s">
        <v>210</v>
      </c>
      <c r="P263" s="92">
        <v>3</v>
      </c>
      <c r="Q263" s="92" t="s">
        <v>210</v>
      </c>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5"/>
    </row>
    <row r="264" spans="1:53" s="87" customFormat="1">
      <c r="A264" s="90" t="str">
        <f t="shared" si="28"/>
        <v/>
      </c>
      <c r="B264" s="98">
        <v>13</v>
      </c>
      <c r="C264" s="94" t="s">
        <v>210</v>
      </c>
      <c r="D264" s="94" t="s">
        <v>210</v>
      </c>
      <c r="E264" s="94">
        <v>1</v>
      </c>
      <c r="F264" s="94" t="s">
        <v>210</v>
      </c>
      <c r="G264" s="94" t="s">
        <v>210</v>
      </c>
      <c r="H264" s="94">
        <v>2</v>
      </c>
      <c r="I264" s="94" t="s">
        <v>210</v>
      </c>
      <c r="J264" s="94" t="s">
        <v>210</v>
      </c>
      <c r="K264" s="94">
        <v>-1</v>
      </c>
      <c r="L264" s="94" t="s">
        <v>210</v>
      </c>
      <c r="M264" s="94" t="s">
        <v>210</v>
      </c>
      <c r="N264" s="94">
        <v>3</v>
      </c>
      <c r="O264" s="94" t="s">
        <v>210</v>
      </c>
      <c r="P264" s="94" t="s">
        <v>210</v>
      </c>
      <c r="Q264" s="94">
        <v>-2</v>
      </c>
      <c r="R264" s="94"/>
      <c r="S264" s="94"/>
      <c r="T264" s="94"/>
      <c r="U264" s="94"/>
      <c r="V264" s="94"/>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5"/>
    </row>
    <row r="265" spans="1:53" s="87" customFormat="1">
      <c r="A265" s="90" t="str">
        <f t="shared" si="28"/>
        <v/>
      </c>
      <c r="B265" s="98">
        <v>14</v>
      </c>
      <c r="C265" s="94" t="s">
        <v>210</v>
      </c>
      <c r="D265" s="94" t="s">
        <v>210</v>
      </c>
      <c r="E265" s="94">
        <v>-2</v>
      </c>
      <c r="F265" s="94" t="s">
        <v>210</v>
      </c>
      <c r="G265" s="94" t="s">
        <v>210</v>
      </c>
      <c r="H265" s="94">
        <v>1</v>
      </c>
      <c r="I265" s="94" t="s">
        <v>210</v>
      </c>
      <c r="J265" s="94" t="s">
        <v>210</v>
      </c>
      <c r="K265" s="94">
        <v>-3</v>
      </c>
      <c r="L265" s="94" t="s">
        <v>210</v>
      </c>
      <c r="M265" s="94" t="s">
        <v>210</v>
      </c>
      <c r="N265" s="94">
        <v>-1</v>
      </c>
      <c r="O265" s="94" t="s">
        <v>210</v>
      </c>
      <c r="P265" s="94" t="s">
        <v>210</v>
      </c>
      <c r="Q265" s="94">
        <v>2</v>
      </c>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5"/>
    </row>
    <row r="266" spans="1:53" s="87" customFormat="1">
      <c r="A266" s="90" t="str">
        <f t="shared" si="28"/>
        <v/>
      </c>
      <c r="B266" s="98">
        <v>15</v>
      </c>
      <c r="C266" s="94" t="s">
        <v>210</v>
      </c>
      <c r="D266" s="94" t="s">
        <v>210</v>
      </c>
      <c r="E266" s="94">
        <v>3</v>
      </c>
      <c r="F266" s="94" t="s">
        <v>210</v>
      </c>
      <c r="G266" s="94" t="s">
        <v>210</v>
      </c>
      <c r="H266" s="94">
        <v>-1</v>
      </c>
      <c r="I266" s="94" t="s">
        <v>210</v>
      </c>
      <c r="J266" s="94" t="s">
        <v>210</v>
      </c>
      <c r="K266" s="94">
        <v>-2</v>
      </c>
      <c r="L266" s="94" t="s">
        <v>210</v>
      </c>
      <c r="M266" s="94" t="s">
        <v>210</v>
      </c>
      <c r="N266" s="94">
        <v>-3</v>
      </c>
      <c r="O266" s="94" t="s">
        <v>210</v>
      </c>
      <c r="P266" s="94" t="s">
        <v>210</v>
      </c>
      <c r="Q266" s="94">
        <v>1</v>
      </c>
      <c r="R266" s="94"/>
      <c r="S266" s="94"/>
      <c r="T266" s="94"/>
      <c r="U266" s="94"/>
      <c r="V266" s="94"/>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5"/>
    </row>
    <row r="267" spans="1:53" s="87" customFormat="1">
      <c r="A267" s="90" t="str">
        <f t="shared" si="28"/>
        <v/>
      </c>
      <c r="B267" s="98">
        <v>16</v>
      </c>
      <c r="C267" s="94" t="s">
        <v>210</v>
      </c>
      <c r="D267" s="94" t="s">
        <v>210</v>
      </c>
      <c r="E267" s="94">
        <v>2</v>
      </c>
      <c r="F267" s="94" t="s">
        <v>210</v>
      </c>
      <c r="G267" s="94" t="s">
        <v>210</v>
      </c>
      <c r="H267" s="94">
        <v>3</v>
      </c>
      <c r="I267" s="94" t="s">
        <v>210</v>
      </c>
      <c r="J267" s="94" t="s">
        <v>210</v>
      </c>
      <c r="K267" s="94">
        <v>1</v>
      </c>
      <c r="L267" s="94" t="s">
        <v>210</v>
      </c>
      <c r="M267" s="94" t="s">
        <v>210</v>
      </c>
      <c r="N267" s="94">
        <v>-2</v>
      </c>
      <c r="O267" s="94" t="s">
        <v>210</v>
      </c>
      <c r="P267" s="94" t="s">
        <v>210</v>
      </c>
      <c r="Q267" s="94">
        <v>-1</v>
      </c>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5"/>
    </row>
    <row r="268" spans="1:53" s="87" customFormat="1">
      <c r="A268" s="90" t="str">
        <f t="shared" ref="A268:A331" si="29">IF(MID(B268,3,2)="03",ROW(),"")</f>
        <v/>
      </c>
      <c r="B268" s="98">
        <v>17</v>
      </c>
      <c r="C268" s="94" t="s">
        <v>210</v>
      </c>
      <c r="D268" s="94" t="s">
        <v>210</v>
      </c>
      <c r="E268" s="94">
        <v>-3</v>
      </c>
      <c r="F268" s="94" t="s">
        <v>210</v>
      </c>
      <c r="G268" s="94" t="s">
        <v>210</v>
      </c>
      <c r="H268" s="94">
        <v>-2</v>
      </c>
      <c r="I268" s="94" t="s">
        <v>210</v>
      </c>
      <c r="J268" s="94" t="s">
        <v>210</v>
      </c>
      <c r="K268" s="94">
        <v>3</v>
      </c>
      <c r="L268" s="94" t="s">
        <v>210</v>
      </c>
      <c r="M268" s="94" t="s">
        <v>210</v>
      </c>
      <c r="N268" s="94">
        <v>2</v>
      </c>
      <c r="O268" s="94" t="s">
        <v>210</v>
      </c>
      <c r="P268" s="94" t="s">
        <v>210</v>
      </c>
      <c r="Q268" s="94">
        <v>-3</v>
      </c>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5"/>
    </row>
    <row r="269" spans="1:53" s="87" customFormat="1">
      <c r="A269" s="90" t="str">
        <f t="shared" si="29"/>
        <v/>
      </c>
      <c r="B269" s="98">
        <v>18</v>
      </c>
      <c r="C269" s="94" t="s">
        <v>210</v>
      </c>
      <c r="D269" s="94" t="s">
        <v>210</v>
      </c>
      <c r="E269" s="94">
        <v>-1</v>
      </c>
      <c r="F269" s="94" t="s">
        <v>210</v>
      </c>
      <c r="G269" s="94" t="s">
        <v>210</v>
      </c>
      <c r="H269" s="94">
        <v>-3</v>
      </c>
      <c r="I269" s="94" t="s">
        <v>210</v>
      </c>
      <c r="J269" s="94" t="s">
        <v>210</v>
      </c>
      <c r="K269" s="94">
        <v>2</v>
      </c>
      <c r="L269" s="94" t="s">
        <v>210</v>
      </c>
      <c r="M269" s="94" t="s">
        <v>210</v>
      </c>
      <c r="N269" s="94">
        <v>1</v>
      </c>
      <c r="O269" s="94" t="s">
        <v>210</v>
      </c>
      <c r="P269" s="94" t="s">
        <v>210</v>
      </c>
      <c r="Q269" s="94">
        <v>3</v>
      </c>
      <c r="R269" s="94"/>
      <c r="S269" s="94"/>
      <c r="T269" s="94"/>
      <c r="U269" s="94"/>
      <c r="V269" s="94"/>
      <c r="W269" s="94"/>
      <c r="X269" s="94"/>
      <c r="Y269" s="94"/>
      <c r="Z269" s="94"/>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5"/>
    </row>
    <row r="270" spans="1:53" s="87" customFormat="1">
      <c r="A270" s="90" t="str">
        <f t="shared" si="29"/>
        <v/>
      </c>
      <c r="B270" s="295" t="s">
        <v>854</v>
      </c>
      <c r="C270" s="94"/>
      <c r="D270" s="94"/>
      <c r="E270" s="94"/>
      <c r="F270" s="94"/>
      <c r="G270" s="94"/>
      <c r="H270" s="94"/>
      <c r="I270" s="94"/>
      <c r="J270" s="94"/>
      <c r="K270" s="94"/>
      <c r="L270" s="94"/>
      <c r="M270" s="94"/>
      <c r="N270" s="94"/>
      <c r="O270" s="94"/>
      <c r="P270" s="94"/>
      <c r="Q270" s="94"/>
      <c r="R270" s="94"/>
      <c r="S270" s="94"/>
      <c r="T270" s="94"/>
      <c r="U270" s="94"/>
      <c r="V270" s="94"/>
      <c r="W270" s="94"/>
      <c r="X270" s="94"/>
      <c r="Y270" s="94"/>
      <c r="Z270" s="94"/>
      <c r="AA270" s="94"/>
      <c r="AB270" s="94"/>
      <c r="AC270" s="94"/>
      <c r="AD270" s="94"/>
      <c r="AE270" s="94"/>
      <c r="AF270" s="94"/>
      <c r="AG270" s="94"/>
      <c r="AH270" s="94"/>
      <c r="AI270" s="94"/>
      <c r="AJ270" s="94"/>
      <c r="AK270" s="94"/>
      <c r="AL270" s="94"/>
      <c r="AM270" s="94"/>
      <c r="AN270" s="94"/>
      <c r="AO270" s="94"/>
      <c r="AP270" s="94"/>
      <c r="AQ270" s="94"/>
      <c r="AR270" s="94"/>
      <c r="AS270" s="94"/>
      <c r="AT270" s="94"/>
      <c r="AU270" s="94"/>
      <c r="AV270" s="94"/>
      <c r="AW270" s="94"/>
      <c r="AX270" s="94"/>
      <c r="AY270" s="94"/>
      <c r="AZ270" s="94"/>
      <c r="BA270" s="95"/>
    </row>
    <row r="271" spans="1:53" s="87" customFormat="1">
      <c r="A271" s="90">
        <f t="shared" si="29"/>
        <v>271</v>
      </c>
      <c r="B271" s="317" t="s">
        <v>1224</v>
      </c>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5"/>
    </row>
    <row r="272" spans="1:53" s="87" customFormat="1">
      <c r="A272" s="90" t="str">
        <f t="shared" si="29"/>
        <v/>
      </c>
      <c r="B272" s="98">
        <v>1</v>
      </c>
      <c r="C272" s="94">
        <v>-1</v>
      </c>
      <c r="D272" s="94">
        <v>-3</v>
      </c>
      <c r="E272" s="94" t="s">
        <v>210</v>
      </c>
      <c r="F272" s="94">
        <v>1</v>
      </c>
      <c r="G272" s="94" t="s">
        <v>210</v>
      </c>
      <c r="H272" s="94">
        <v>2</v>
      </c>
      <c r="I272" s="94" t="s">
        <v>210</v>
      </c>
      <c r="J272" s="94"/>
      <c r="K272" s="94"/>
      <c r="L272" s="94"/>
      <c r="M272" s="94"/>
      <c r="N272" s="94"/>
      <c r="O272" s="94"/>
      <c r="P272" s="94"/>
      <c r="Q272" s="94"/>
      <c r="R272" s="94"/>
      <c r="S272" s="94"/>
      <c r="T272" s="94"/>
      <c r="U272" s="94"/>
      <c r="V272" s="94"/>
      <c r="W272" s="94"/>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5"/>
    </row>
    <row r="273" spans="1:53" s="87" customFormat="1">
      <c r="A273" s="90" t="str">
        <f t="shared" si="29"/>
        <v/>
      </c>
      <c r="B273" s="98">
        <v>2</v>
      </c>
      <c r="C273" s="94">
        <v>1</v>
      </c>
      <c r="D273" s="94" t="s">
        <v>210</v>
      </c>
      <c r="E273" s="94">
        <v>-2</v>
      </c>
      <c r="F273" s="94" t="s">
        <v>210</v>
      </c>
      <c r="G273" s="94">
        <v>3</v>
      </c>
      <c r="H273" s="94" t="s">
        <v>210</v>
      </c>
      <c r="I273" s="94">
        <v>-1</v>
      </c>
      <c r="J273" s="94"/>
      <c r="K273" s="94"/>
      <c r="L273" s="94"/>
      <c r="M273" s="94"/>
      <c r="N273" s="94"/>
      <c r="O273" s="94"/>
      <c r="P273" s="94"/>
      <c r="Q273" s="94"/>
      <c r="R273" s="94"/>
      <c r="S273" s="94"/>
      <c r="T273" s="94"/>
      <c r="U273" s="94"/>
      <c r="V273" s="94"/>
      <c r="W273" s="94"/>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5"/>
    </row>
    <row r="274" spans="1:53" s="87" customFormat="1">
      <c r="A274" s="90" t="str">
        <f t="shared" si="29"/>
        <v/>
      </c>
      <c r="B274" s="98">
        <v>3</v>
      </c>
      <c r="C274" s="94">
        <v>-3</v>
      </c>
      <c r="D274" s="94" t="s">
        <v>210</v>
      </c>
      <c r="E274" s="94">
        <v>2</v>
      </c>
      <c r="F274" s="94">
        <v>-1</v>
      </c>
      <c r="G274" s="94" t="s">
        <v>210</v>
      </c>
      <c r="H274" s="94">
        <v>3</v>
      </c>
      <c r="I274" s="94" t="s">
        <v>210</v>
      </c>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5"/>
    </row>
    <row r="275" spans="1:53" s="87" customFormat="1">
      <c r="A275" s="90" t="str">
        <f t="shared" si="29"/>
        <v/>
      </c>
      <c r="B275" s="98">
        <v>4</v>
      </c>
      <c r="C275" s="94">
        <v>3</v>
      </c>
      <c r="D275" s="94" t="s">
        <v>210</v>
      </c>
      <c r="E275" s="94">
        <v>1</v>
      </c>
      <c r="F275" s="94" t="s">
        <v>210</v>
      </c>
      <c r="G275" s="94">
        <v>-3</v>
      </c>
      <c r="H275" s="94">
        <v>-2</v>
      </c>
      <c r="I275" s="94" t="s">
        <v>210</v>
      </c>
      <c r="J275" s="94"/>
      <c r="K275" s="94"/>
      <c r="L275" s="94"/>
      <c r="M275" s="94"/>
      <c r="N275" s="94"/>
      <c r="O275" s="94"/>
      <c r="P275" s="94"/>
      <c r="Q275" s="94"/>
      <c r="R275" s="94"/>
      <c r="S275" s="94"/>
      <c r="T275" s="94"/>
      <c r="U275" s="94"/>
      <c r="V275" s="94"/>
      <c r="W275" s="94"/>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5"/>
    </row>
    <row r="276" spans="1:53" s="87" customFormat="1">
      <c r="A276" s="90" t="str">
        <f t="shared" si="29"/>
        <v/>
      </c>
      <c r="B276" s="99">
        <v>5</v>
      </c>
      <c r="C276" s="92" t="s">
        <v>210</v>
      </c>
      <c r="D276" s="92">
        <v>3</v>
      </c>
      <c r="E276" s="92">
        <v>-1</v>
      </c>
      <c r="F276" s="92" t="s">
        <v>210</v>
      </c>
      <c r="G276" s="92" t="s">
        <v>210</v>
      </c>
      <c r="H276" s="92">
        <v>-3</v>
      </c>
      <c r="I276" s="92">
        <v>1</v>
      </c>
      <c r="J276" s="94"/>
      <c r="K276" s="94"/>
      <c r="L276" s="94"/>
      <c r="M276" s="94"/>
      <c r="N276" s="94"/>
      <c r="O276" s="94"/>
      <c r="P276" s="94"/>
      <c r="Q276" s="94"/>
      <c r="R276" s="94"/>
      <c r="S276" s="94"/>
      <c r="T276" s="94"/>
      <c r="U276" s="94"/>
      <c r="V276" s="94"/>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5"/>
    </row>
    <row r="277" spans="1:53" s="87" customFormat="1">
      <c r="A277" s="90" t="str">
        <f t="shared" ref="A277:A283" si="30">IF(MID(B277,3,2)="03",ROW(),"")</f>
        <v/>
      </c>
      <c r="B277" s="98">
        <v>6</v>
      </c>
      <c r="C277" s="94">
        <v>2</v>
      </c>
      <c r="D277" s="94">
        <v>1</v>
      </c>
      <c r="E277" s="94" t="s">
        <v>210</v>
      </c>
      <c r="F277" s="94" t="s">
        <v>210</v>
      </c>
      <c r="G277" s="94">
        <v>-2</v>
      </c>
      <c r="H277" s="94" t="s">
        <v>210</v>
      </c>
      <c r="I277" s="94">
        <v>-3</v>
      </c>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5"/>
    </row>
    <row r="278" spans="1:53" s="87" customFormat="1">
      <c r="A278" s="90" t="str">
        <f t="shared" si="30"/>
        <v/>
      </c>
      <c r="B278" s="98">
        <v>7</v>
      </c>
      <c r="C278" s="94">
        <v>-2</v>
      </c>
      <c r="D278" s="94" t="s">
        <v>210</v>
      </c>
      <c r="E278" s="94">
        <v>-3</v>
      </c>
      <c r="F278" s="94" t="s">
        <v>210</v>
      </c>
      <c r="G278" s="94">
        <v>1</v>
      </c>
      <c r="H278" s="94" t="s">
        <v>210</v>
      </c>
      <c r="I278" s="94">
        <v>2</v>
      </c>
      <c r="J278" s="94"/>
      <c r="K278" s="94"/>
      <c r="L278" s="94"/>
      <c r="M278" s="94"/>
      <c r="N278" s="94"/>
      <c r="O278" s="94"/>
      <c r="P278" s="94"/>
      <c r="Q278" s="94"/>
      <c r="R278" s="94"/>
      <c r="S278" s="94"/>
      <c r="T278" s="94"/>
      <c r="U278" s="94"/>
      <c r="V278" s="94"/>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5"/>
    </row>
    <row r="279" spans="1:53" s="87" customFormat="1">
      <c r="A279" s="90" t="str">
        <f t="shared" si="30"/>
        <v/>
      </c>
      <c r="B279" s="98">
        <v>8</v>
      </c>
      <c r="C279" s="94" t="s">
        <v>210</v>
      </c>
      <c r="D279" s="94">
        <v>-2</v>
      </c>
      <c r="E279" s="94">
        <v>3</v>
      </c>
      <c r="F279" s="94" t="s">
        <v>210</v>
      </c>
      <c r="G279" s="94">
        <v>2</v>
      </c>
      <c r="H279" s="94">
        <v>-1</v>
      </c>
      <c r="I279" s="94" t="s">
        <v>210</v>
      </c>
      <c r="J279" s="94"/>
      <c r="K279" s="94"/>
      <c r="L279" s="94"/>
      <c r="M279" s="94"/>
      <c r="N279" s="94"/>
      <c r="O279" s="94"/>
      <c r="P279" s="94"/>
      <c r="Q279" s="94"/>
      <c r="R279" s="94"/>
      <c r="S279" s="94"/>
      <c r="T279" s="94"/>
      <c r="U279" s="94"/>
      <c r="V279" s="94"/>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5"/>
    </row>
    <row r="280" spans="1:53" s="87" customFormat="1">
      <c r="A280" s="90" t="str">
        <f t="shared" si="30"/>
        <v/>
      </c>
      <c r="B280" s="98">
        <v>9</v>
      </c>
      <c r="C280" s="94" t="s">
        <v>210</v>
      </c>
      <c r="D280" s="94">
        <v>2</v>
      </c>
      <c r="E280" s="94" t="s">
        <v>210</v>
      </c>
      <c r="F280" s="94">
        <v>-3</v>
      </c>
      <c r="G280" s="94">
        <v>-1</v>
      </c>
      <c r="H280" s="94" t="s">
        <v>210</v>
      </c>
      <c r="I280" s="94">
        <v>3</v>
      </c>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5"/>
    </row>
    <row r="281" spans="1:53" s="87" customFormat="1">
      <c r="A281" s="90" t="str">
        <f t="shared" si="30"/>
        <v/>
      </c>
      <c r="B281" s="98">
        <v>10</v>
      </c>
      <c r="C281" s="94" t="s">
        <v>210</v>
      </c>
      <c r="D281" s="94">
        <v>-1</v>
      </c>
      <c r="E281" s="94" t="s">
        <v>210</v>
      </c>
      <c r="F281" s="94">
        <v>3</v>
      </c>
      <c r="G281" s="94" t="s">
        <v>210</v>
      </c>
      <c r="H281" s="94">
        <v>1</v>
      </c>
      <c r="I281" s="94">
        <v>-2</v>
      </c>
      <c r="J281" s="94"/>
      <c r="K281" s="94"/>
      <c r="L281" s="94"/>
      <c r="M281" s="94"/>
      <c r="N281" s="94"/>
      <c r="O281" s="94"/>
      <c r="P281" s="94"/>
      <c r="Q281" s="94"/>
      <c r="R281" s="94"/>
      <c r="S281" s="94"/>
      <c r="T281" s="94"/>
      <c r="U281" s="94"/>
      <c r="V281" s="94"/>
      <c r="W281" s="94"/>
      <c r="X281" s="94"/>
      <c r="Y281" s="94"/>
      <c r="Z281" s="94"/>
      <c r="AA281" s="94"/>
      <c r="AB281" s="94"/>
      <c r="AC281" s="94"/>
      <c r="AD281" s="94"/>
      <c r="AE281" s="94"/>
      <c r="AF281" s="94"/>
      <c r="AG281" s="94"/>
      <c r="AH281" s="94"/>
      <c r="AI281" s="94"/>
      <c r="AJ281" s="94"/>
      <c r="AK281" s="94"/>
      <c r="AL281" s="94"/>
      <c r="AM281" s="94"/>
      <c r="AN281" s="94"/>
      <c r="AO281" s="94"/>
      <c r="AP281" s="94"/>
      <c r="AQ281" s="94"/>
      <c r="AR281" s="94"/>
      <c r="AS281" s="94"/>
      <c r="AT281" s="94"/>
      <c r="AU281" s="94"/>
      <c r="AV281" s="94"/>
      <c r="AW281" s="94"/>
      <c r="AX281" s="94"/>
      <c r="AY281" s="94"/>
      <c r="AZ281" s="94"/>
      <c r="BA281" s="95"/>
    </row>
    <row r="282" spans="1:53" s="87" customFormat="1">
      <c r="A282" s="90" t="str">
        <f t="shared" si="30"/>
        <v/>
      </c>
      <c r="B282" s="296" t="s">
        <v>855</v>
      </c>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5"/>
    </row>
    <row r="283" spans="1:53" s="87" customFormat="1">
      <c r="A283" s="90">
        <f t="shared" si="30"/>
        <v>283</v>
      </c>
      <c r="B283" s="296" t="s">
        <v>1004</v>
      </c>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5"/>
    </row>
    <row r="284" spans="1:53" s="87" customFormat="1">
      <c r="A284" s="90" t="str">
        <f t="shared" si="29"/>
        <v/>
      </c>
      <c r="B284" s="98">
        <v>1</v>
      </c>
      <c r="C284" s="94" t="s">
        <v>202</v>
      </c>
      <c r="D284" s="94" t="s">
        <v>210</v>
      </c>
      <c r="E284" s="94" t="s">
        <v>210</v>
      </c>
      <c r="F284" s="94">
        <v>1</v>
      </c>
      <c r="G284" s="94">
        <v>-1</v>
      </c>
      <c r="H284" s="94" t="s">
        <v>210</v>
      </c>
      <c r="I284" s="94">
        <v>-2</v>
      </c>
      <c r="J284" s="94" t="s">
        <v>210</v>
      </c>
      <c r="K284" s="94" t="s">
        <v>210</v>
      </c>
      <c r="L284" s="94">
        <v>-3</v>
      </c>
      <c r="M284" s="94" t="s">
        <v>210</v>
      </c>
      <c r="N284" s="94">
        <v>1</v>
      </c>
      <c r="O284" s="94">
        <v>3</v>
      </c>
      <c r="P284" s="94" t="s">
        <v>210</v>
      </c>
      <c r="Q284" s="94" t="s">
        <v>210</v>
      </c>
      <c r="R284" s="94">
        <v>2</v>
      </c>
      <c r="S284" s="94">
        <v>-1</v>
      </c>
      <c r="T284" s="94" t="s">
        <v>210</v>
      </c>
      <c r="U284" s="94" t="s">
        <v>210</v>
      </c>
      <c r="V284" s="94">
        <v>-2</v>
      </c>
      <c r="W284" s="94">
        <v>-3</v>
      </c>
      <c r="X284" s="94" t="s">
        <v>210</v>
      </c>
      <c r="Y284" s="94" t="s">
        <v>210</v>
      </c>
      <c r="Z284" s="94">
        <v>3</v>
      </c>
      <c r="AA284" s="94">
        <v>2</v>
      </c>
      <c r="AB284" s="94" t="s">
        <v>210</v>
      </c>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5"/>
    </row>
    <row r="285" spans="1:53" s="87" customFormat="1">
      <c r="A285" s="90" t="str">
        <f t="shared" si="29"/>
        <v/>
      </c>
      <c r="B285" s="98">
        <v>2</v>
      </c>
      <c r="C285" s="94">
        <v>-1</v>
      </c>
      <c r="D285" s="94" t="s">
        <v>210</v>
      </c>
      <c r="E285" s="94" t="s">
        <v>210</v>
      </c>
      <c r="F285" s="94">
        <v>2</v>
      </c>
      <c r="G285" s="94" t="s">
        <v>210</v>
      </c>
      <c r="H285" s="94">
        <v>3</v>
      </c>
      <c r="I285" s="94" t="s">
        <v>202</v>
      </c>
      <c r="J285" s="94" t="s">
        <v>210</v>
      </c>
      <c r="K285" s="94">
        <v>-2</v>
      </c>
      <c r="L285" s="94" t="s">
        <v>210</v>
      </c>
      <c r="M285" s="94" t="s">
        <v>210</v>
      </c>
      <c r="N285" s="94">
        <v>-3</v>
      </c>
      <c r="O285" s="94">
        <v>2</v>
      </c>
      <c r="P285" s="94" t="s">
        <v>210</v>
      </c>
      <c r="Q285" s="94" t="s">
        <v>210</v>
      </c>
      <c r="R285" s="94">
        <v>3</v>
      </c>
      <c r="S285" s="94" t="s">
        <v>210</v>
      </c>
      <c r="T285" s="94">
        <v>1</v>
      </c>
      <c r="U285" s="94">
        <v>-3</v>
      </c>
      <c r="V285" s="94" t="s">
        <v>210</v>
      </c>
      <c r="W285" s="94">
        <v>-1</v>
      </c>
      <c r="X285" s="94" t="s">
        <v>210</v>
      </c>
      <c r="Y285" s="94" t="s">
        <v>210</v>
      </c>
      <c r="Z285" s="94">
        <v>1</v>
      </c>
      <c r="AA285" s="94">
        <v>-2</v>
      </c>
      <c r="AB285" s="94" t="s">
        <v>210</v>
      </c>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5"/>
    </row>
    <row r="286" spans="1:53" s="87" customFormat="1">
      <c r="A286" s="90" t="str">
        <f t="shared" si="29"/>
        <v/>
      </c>
      <c r="B286" s="98">
        <v>3</v>
      </c>
      <c r="C286" s="94" t="s">
        <v>210</v>
      </c>
      <c r="D286" s="94">
        <v>-2</v>
      </c>
      <c r="E286" s="94" t="s">
        <v>210</v>
      </c>
      <c r="F286" s="94">
        <v>-3</v>
      </c>
      <c r="G286" s="94">
        <v>1</v>
      </c>
      <c r="H286" s="94" t="s">
        <v>210</v>
      </c>
      <c r="I286" s="94">
        <v>3</v>
      </c>
      <c r="J286" s="94" t="s">
        <v>210</v>
      </c>
      <c r="K286" s="94" t="s">
        <v>202</v>
      </c>
      <c r="L286" s="94" t="s">
        <v>210</v>
      </c>
      <c r="M286" s="94">
        <v>2</v>
      </c>
      <c r="N286" s="94" t="s">
        <v>210</v>
      </c>
      <c r="O286" s="94" t="s">
        <v>210</v>
      </c>
      <c r="P286" s="94">
        <v>-2</v>
      </c>
      <c r="Q286" s="94">
        <v>-1</v>
      </c>
      <c r="R286" s="94" t="s">
        <v>210</v>
      </c>
      <c r="S286" s="94" t="s">
        <v>210</v>
      </c>
      <c r="T286" s="94">
        <v>-3</v>
      </c>
      <c r="U286" s="94" t="s">
        <v>210</v>
      </c>
      <c r="V286" s="94">
        <v>1</v>
      </c>
      <c r="W286" s="94">
        <v>2</v>
      </c>
      <c r="X286" s="94" t="s">
        <v>210</v>
      </c>
      <c r="Y286" s="94" t="s">
        <v>210</v>
      </c>
      <c r="Z286" s="94">
        <v>-1</v>
      </c>
      <c r="AA286" s="94">
        <v>3</v>
      </c>
      <c r="AB286" s="94" t="s">
        <v>210</v>
      </c>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5"/>
    </row>
    <row r="287" spans="1:53" s="87" customFormat="1">
      <c r="A287" s="90" t="str">
        <f t="shared" si="29"/>
        <v/>
      </c>
      <c r="B287" s="98">
        <v>4</v>
      </c>
      <c r="C287" s="94">
        <v>2</v>
      </c>
      <c r="D287" s="94" t="s">
        <v>210</v>
      </c>
      <c r="E287" s="94" t="s">
        <v>202</v>
      </c>
      <c r="F287" s="94" t="s">
        <v>210</v>
      </c>
      <c r="G287" s="94" t="s">
        <v>210</v>
      </c>
      <c r="H287" s="94">
        <v>-2</v>
      </c>
      <c r="I287" s="94">
        <v>1</v>
      </c>
      <c r="J287" s="94" t="s">
        <v>210</v>
      </c>
      <c r="K287" s="94">
        <v>3</v>
      </c>
      <c r="L287" s="94" t="s">
        <v>210</v>
      </c>
      <c r="M287" s="94" t="s">
        <v>210</v>
      </c>
      <c r="N287" s="94">
        <v>-1</v>
      </c>
      <c r="O287" s="94" t="s">
        <v>210</v>
      </c>
      <c r="P287" s="94">
        <v>3</v>
      </c>
      <c r="Q287" s="94">
        <v>2</v>
      </c>
      <c r="R287" s="94" t="s">
        <v>210</v>
      </c>
      <c r="S287" s="94" t="s">
        <v>210</v>
      </c>
      <c r="T287" s="94">
        <v>-1</v>
      </c>
      <c r="U287" s="94">
        <v>1</v>
      </c>
      <c r="V287" s="94" t="s">
        <v>210</v>
      </c>
      <c r="W287" s="94" t="s">
        <v>210</v>
      </c>
      <c r="X287" s="94">
        <v>-3</v>
      </c>
      <c r="Y287" s="94" t="s">
        <v>210</v>
      </c>
      <c r="Z287" s="94">
        <v>-2</v>
      </c>
      <c r="AA287" s="94">
        <v>-3</v>
      </c>
      <c r="AB287" s="94" t="s">
        <v>210</v>
      </c>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5"/>
    </row>
    <row r="288" spans="1:53" s="87" customFormat="1">
      <c r="A288" s="90" t="str">
        <f t="shared" si="29"/>
        <v/>
      </c>
      <c r="B288" s="98">
        <v>5</v>
      </c>
      <c r="C288" s="94">
        <v>-3</v>
      </c>
      <c r="D288" s="94" t="s">
        <v>210</v>
      </c>
      <c r="E288" s="94" t="s">
        <v>210</v>
      </c>
      <c r="F288" s="94">
        <v>-2</v>
      </c>
      <c r="G288" s="94">
        <v>2</v>
      </c>
      <c r="H288" s="94" t="s">
        <v>210</v>
      </c>
      <c r="I288" s="94" t="s">
        <v>210</v>
      </c>
      <c r="J288" s="94">
        <v>1</v>
      </c>
      <c r="K288" s="94" t="s">
        <v>210</v>
      </c>
      <c r="L288" s="94">
        <v>3</v>
      </c>
      <c r="M288" s="94">
        <v>-1</v>
      </c>
      <c r="N288" s="94" t="s">
        <v>210</v>
      </c>
      <c r="O288" s="94" t="s">
        <v>210</v>
      </c>
      <c r="P288" s="94">
        <v>1</v>
      </c>
      <c r="Q288" s="94" t="s">
        <v>202</v>
      </c>
      <c r="R288" s="94" t="s">
        <v>210</v>
      </c>
      <c r="S288" s="94">
        <v>-3</v>
      </c>
      <c r="T288" s="94" t="s">
        <v>210</v>
      </c>
      <c r="U288" s="94" t="s">
        <v>210</v>
      </c>
      <c r="V288" s="94">
        <v>3</v>
      </c>
      <c r="W288" s="94">
        <v>-2</v>
      </c>
      <c r="X288" s="94" t="s">
        <v>210</v>
      </c>
      <c r="Y288" s="94" t="s">
        <v>210</v>
      </c>
      <c r="Z288" s="94">
        <v>2</v>
      </c>
      <c r="AA288" s="94">
        <v>-1</v>
      </c>
      <c r="AB288" s="94" t="s">
        <v>210</v>
      </c>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5"/>
    </row>
    <row r="289" spans="1:53" s="87" customFormat="1">
      <c r="A289" s="90" t="str">
        <f t="shared" si="29"/>
        <v/>
      </c>
      <c r="B289" s="98">
        <v>6</v>
      </c>
      <c r="C289" s="94" t="s">
        <v>210</v>
      </c>
      <c r="D289" s="94">
        <v>-1</v>
      </c>
      <c r="E289" s="94">
        <v>-3</v>
      </c>
      <c r="F289" s="94" t="s">
        <v>210</v>
      </c>
      <c r="G289" s="94" t="s">
        <v>210</v>
      </c>
      <c r="H289" s="94">
        <v>2</v>
      </c>
      <c r="I289" s="94" t="s">
        <v>210</v>
      </c>
      <c r="J289" s="94">
        <v>-3</v>
      </c>
      <c r="K289" s="94">
        <v>2</v>
      </c>
      <c r="L289" s="94" t="s">
        <v>210</v>
      </c>
      <c r="M289" s="94" t="s">
        <v>202</v>
      </c>
      <c r="N289" s="94" t="s">
        <v>210</v>
      </c>
      <c r="O289" s="94">
        <v>1</v>
      </c>
      <c r="P289" s="94" t="s">
        <v>210</v>
      </c>
      <c r="Q289" s="94" t="s">
        <v>210</v>
      </c>
      <c r="R289" s="94">
        <v>-2</v>
      </c>
      <c r="S289" s="94" t="s">
        <v>210</v>
      </c>
      <c r="T289" s="94">
        <v>3</v>
      </c>
      <c r="U289" s="94">
        <v>-2</v>
      </c>
      <c r="V289" s="94" t="s">
        <v>210</v>
      </c>
      <c r="W289" s="94" t="s">
        <v>210</v>
      </c>
      <c r="X289" s="94">
        <v>-1</v>
      </c>
      <c r="Y289" s="94">
        <v>3</v>
      </c>
      <c r="Z289" s="94" t="s">
        <v>210</v>
      </c>
      <c r="AA289" s="94">
        <v>1</v>
      </c>
      <c r="AB289" s="94" t="s">
        <v>210</v>
      </c>
      <c r="AC289" s="94"/>
      <c r="AD289" s="94"/>
      <c r="AE289" s="94"/>
      <c r="AF289" s="94"/>
      <c r="AG289" s="94"/>
      <c r="AH289" s="94"/>
      <c r="AI289" s="94"/>
      <c r="AJ289" s="94"/>
      <c r="AK289" s="94"/>
      <c r="AL289" s="94"/>
      <c r="AM289" s="94"/>
      <c r="AN289" s="94"/>
      <c r="AO289" s="94"/>
      <c r="AP289" s="94"/>
      <c r="AQ289" s="94"/>
      <c r="AR289" s="94"/>
      <c r="AS289" s="94"/>
      <c r="AT289" s="94"/>
      <c r="AU289" s="94"/>
      <c r="AV289" s="94"/>
      <c r="AW289" s="94"/>
      <c r="AX289" s="94"/>
      <c r="AY289" s="94"/>
      <c r="AZ289" s="94"/>
      <c r="BA289" s="95"/>
    </row>
    <row r="290" spans="1:53" s="87" customFormat="1">
      <c r="A290" s="90" t="str">
        <f t="shared" si="29"/>
        <v/>
      </c>
      <c r="B290" s="98">
        <v>7</v>
      </c>
      <c r="C290" s="94">
        <v>3</v>
      </c>
      <c r="D290" s="94" t="s">
        <v>210</v>
      </c>
      <c r="E290" s="94">
        <v>-2</v>
      </c>
      <c r="F290" s="94" t="s">
        <v>210</v>
      </c>
      <c r="G290" s="94" t="s">
        <v>210</v>
      </c>
      <c r="H290" s="94">
        <v>-1</v>
      </c>
      <c r="I290" s="94">
        <v>-3</v>
      </c>
      <c r="J290" s="94" t="s">
        <v>210</v>
      </c>
      <c r="K290" s="94" t="s">
        <v>210</v>
      </c>
      <c r="L290" s="94">
        <v>1</v>
      </c>
      <c r="M290" s="94" t="s">
        <v>210</v>
      </c>
      <c r="N290" s="94">
        <v>2</v>
      </c>
      <c r="O290" s="94">
        <v>-2</v>
      </c>
      <c r="P290" s="94" t="s">
        <v>210</v>
      </c>
      <c r="Q290" s="94" t="s">
        <v>210</v>
      </c>
      <c r="R290" s="94">
        <v>-1</v>
      </c>
      <c r="S290" s="94">
        <v>1</v>
      </c>
      <c r="T290" s="94" t="s">
        <v>210</v>
      </c>
      <c r="U290" s="94" t="s">
        <v>202</v>
      </c>
      <c r="V290" s="94" t="s">
        <v>210</v>
      </c>
      <c r="W290" s="94" t="s">
        <v>210</v>
      </c>
      <c r="X290" s="94">
        <v>3</v>
      </c>
      <c r="Y290" s="94">
        <v>-3</v>
      </c>
      <c r="Z290" s="94" t="s">
        <v>210</v>
      </c>
      <c r="AA290" s="94" t="s">
        <v>210</v>
      </c>
      <c r="AB290" s="94">
        <v>2</v>
      </c>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c r="AZ290" s="94"/>
      <c r="BA290" s="95"/>
    </row>
    <row r="291" spans="1:53" s="87" customFormat="1">
      <c r="A291" s="90" t="str">
        <f t="shared" si="29"/>
        <v/>
      </c>
      <c r="B291" s="98">
        <v>8</v>
      </c>
      <c r="C291" s="94" t="s">
        <v>210</v>
      </c>
      <c r="D291" s="94">
        <v>-3</v>
      </c>
      <c r="E291" s="94" t="s">
        <v>210</v>
      </c>
      <c r="F291" s="94">
        <v>3</v>
      </c>
      <c r="G291" s="94" t="s">
        <v>202</v>
      </c>
      <c r="H291" s="94" t="s">
        <v>210</v>
      </c>
      <c r="I291" s="94">
        <v>2</v>
      </c>
      <c r="J291" s="94" t="s">
        <v>210</v>
      </c>
      <c r="K291" s="94">
        <v>1</v>
      </c>
      <c r="L291" s="94" t="s">
        <v>210</v>
      </c>
      <c r="M291" s="94">
        <v>-3</v>
      </c>
      <c r="N291" s="94" t="s">
        <v>210</v>
      </c>
      <c r="O291" s="94" t="s">
        <v>210</v>
      </c>
      <c r="P291" s="94">
        <v>-1</v>
      </c>
      <c r="Q291" s="94">
        <v>-2</v>
      </c>
      <c r="R291" s="94" t="s">
        <v>210</v>
      </c>
      <c r="S291" s="94" t="s">
        <v>210</v>
      </c>
      <c r="T291" s="94">
        <v>2</v>
      </c>
      <c r="U291" s="94">
        <v>3</v>
      </c>
      <c r="V291" s="94" t="s">
        <v>210</v>
      </c>
      <c r="W291" s="94" t="s">
        <v>210</v>
      </c>
      <c r="X291" s="94">
        <v>1</v>
      </c>
      <c r="Y291" s="94">
        <v>-1</v>
      </c>
      <c r="Z291" s="94" t="s">
        <v>210</v>
      </c>
      <c r="AA291" s="94" t="s">
        <v>210</v>
      </c>
      <c r="AB291" s="94">
        <v>-2</v>
      </c>
      <c r="AC291" s="94"/>
      <c r="AD291" s="94"/>
      <c r="AE291" s="94"/>
      <c r="AF291" s="94"/>
      <c r="AG291" s="94"/>
      <c r="AH291" s="94"/>
      <c r="AI291" s="94"/>
      <c r="AJ291" s="94"/>
      <c r="AK291" s="94"/>
      <c r="AL291" s="94"/>
      <c r="AM291" s="94"/>
      <c r="AN291" s="94"/>
      <c r="AO291" s="94"/>
      <c r="AP291" s="94"/>
      <c r="AQ291" s="94"/>
      <c r="AR291" s="94"/>
      <c r="AS291" s="94"/>
      <c r="AT291" s="94"/>
      <c r="AU291" s="94"/>
      <c r="AV291" s="94"/>
      <c r="AW291" s="94"/>
      <c r="AX291" s="94"/>
      <c r="AY291" s="94"/>
      <c r="AZ291" s="94"/>
      <c r="BA291" s="95"/>
    </row>
    <row r="292" spans="1:53" s="87" customFormat="1">
      <c r="A292" s="90" t="str">
        <f t="shared" si="29"/>
        <v/>
      </c>
      <c r="B292" s="98">
        <v>9</v>
      </c>
      <c r="C292" s="94">
        <v>1</v>
      </c>
      <c r="D292" s="94" t="s">
        <v>210</v>
      </c>
      <c r="E292" s="94" t="s">
        <v>210</v>
      </c>
      <c r="F292" s="94">
        <v>-1</v>
      </c>
      <c r="G292" s="94">
        <v>-2</v>
      </c>
      <c r="H292" s="94" t="s">
        <v>210</v>
      </c>
      <c r="I292" s="94" t="s">
        <v>210</v>
      </c>
      <c r="J292" s="94">
        <v>3</v>
      </c>
      <c r="K292" s="94">
        <v>-3</v>
      </c>
      <c r="L292" s="94" t="s">
        <v>210</v>
      </c>
      <c r="M292" s="94" t="s">
        <v>210</v>
      </c>
      <c r="N292" s="94">
        <v>-2</v>
      </c>
      <c r="O292" s="94" t="s">
        <v>202</v>
      </c>
      <c r="P292" s="94" t="s">
        <v>210</v>
      </c>
      <c r="Q292" s="94">
        <v>-3</v>
      </c>
      <c r="R292" s="94" t="s">
        <v>210</v>
      </c>
      <c r="S292" s="94">
        <v>2</v>
      </c>
      <c r="T292" s="94" t="s">
        <v>210</v>
      </c>
      <c r="U292" s="94" t="s">
        <v>210</v>
      </c>
      <c r="V292" s="94">
        <v>-1</v>
      </c>
      <c r="W292" s="94" t="s">
        <v>210</v>
      </c>
      <c r="X292" s="94">
        <v>2</v>
      </c>
      <c r="Y292" s="94">
        <v>1</v>
      </c>
      <c r="Z292" s="94" t="s">
        <v>210</v>
      </c>
      <c r="AA292" s="94" t="s">
        <v>210</v>
      </c>
      <c r="AB292" s="94">
        <v>3</v>
      </c>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5"/>
    </row>
    <row r="293" spans="1:53" s="87" customFormat="1">
      <c r="A293" s="90" t="str">
        <f t="shared" si="29"/>
        <v/>
      </c>
      <c r="B293" s="98">
        <v>10</v>
      </c>
      <c r="C293" s="94" t="s">
        <v>210</v>
      </c>
      <c r="D293" s="94">
        <v>3</v>
      </c>
      <c r="E293" s="94">
        <v>1</v>
      </c>
      <c r="F293" s="94" t="s">
        <v>210</v>
      </c>
      <c r="G293" s="94" t="s">
        <v>210</v>
      </c>
      <c r="H293" s="94">
        <v>-3</v>
      </c>
      <c r="I293" s="94">
        <v>-1</v>
      </c>
      <c r="J293" s="94" t="s">
        <v>210</v>
      </c>
      <c r="K293" s="94" t="s">
        <v>210</v>
      </c>
      <c r="L293" s="94">
        <v>2</v>
      </c>
      <c r="M293" s="94">
        <v>-2</v>
      </c>
      <c r="N293" s="94" t="s">
        <v>210</v>
      </c>
      <c r="O293" s="94">
        <v>-1</v>
      </c>
      <c r="P293" s="94" t="s">
        <v>210</v>
      </c>
      <c r="Q293" s="94" t="s">
        <v>210</v>
      </c>
      <c r="R293" s="94">
        <v>1</v>
      </c>
      <c r="S293" s="94">
        <v>3</v>
      </c>
      <c r="T293" s="94" t="s">
        <v>210</v>
      </c>
      <c r="U293" s="94" t="s">
        <v>210</v>
      </c>
      <c r="V293" s="94">
        <v>2</v>
      </c>
      <c r="W293" s="94" t="s">
        <v>202</v>
      </c>
      <c r="X293" s="94" t="s">
        <v>210</v>
      </c>
      <c r="Y293" s="94">
        <v>-2</v>
      </c>
      <c r="Z293" s="94" t="s">
        <v>210</v>
      </c>
      <c r="AA293" s="94" t="s">
        <v>210</v>
      </c>
      <c r="AB293" s="94">
        <v>-3</v>
      </c>
      <c r="AC293" s="94"/>
      <c r="AD293" s="94"/>
      <c r="AE293" s="94"/>
      <c r="AF293" s="94"/>
      <c r="AG293" s="94"/>
      <c r="AH293" s="94"/>
      <c r="AI293" s="94"/>
      <c r="AJ293" s="94"/>
      <c r="AK293" s="94"/>
      <c r="AL293" s="94"/>
      <c r="AM293" s="94"/>
      <c r="AN293" s="94"/>
      <c r="AO293" s="94"/>
      <c r="AP293" s="94"/>
      <c r="AQ293" s="94"/>
      <c r="AR293" s="94"/>
      <c r="AS293" s="94"/>
      <c r="AT293" s="94"/>
      <c r="AU293" s="94"/>
      <c r="AV293" s="94"/>
      <c r="AW293" s="94"/>
      <c r="AX293" s="94"/>
      <c r="AY293" s="94"/>
      <c r="AZ293" s="94"/>
      <c r="BA293" s="95"/>
    </row>
    <row r="294" spans="1:53" s="87" customFormat="1">
      <c r="A294" s="90" t="str">
        <f t="shared" si="29"/>
        <v/>
      </c>
      <c r="B294" s="98">
        <v>11</v>
      </c>
      <c r="C294" s="94">
        <v>-2</v>
      </c>
      <c r="D294" s="94" t="s">
        <v>210</v>
      </c>
      <c r="E294" s="94">
        <v>3</v>
      </c>
      <c r="F294" s="94" t="s">
        <v>210</v>
      </c>
      <c r="G294" s="94" t="s">
        <v>210</v>
      </c>
      <c r="H294" s="94">
        <v>1</v>
      </c>
      <c r="I294" s="94" t="s">
        <v>210</v>
      </c>
      <c r="J294" s="94">
        <v>2</v>
      </c>
      <c r="K294" s="94">
        <v>-1</v>
      </c>
      <c r="L294" s="94" t="s">
        <v>210</v>
      </c>
      <c r="M294" s="94" t="s">
        <v>210</v>
      </c>
      <c r="N294" s="94">
        <v>3</v>
      </c>
      <c r="O294" s="94">
        <v>-3</v>
      </c>
      <c r="P294" s="94" t="s">
        <v>210</v>
      </c>
      <c r="Q294" s="94">
        <v>1</v>
      </c>
      <c r="R294" s="94" t="s">
        <v>210</v>
      </c>
      <c r="S294" s="94" t="s">
        <v>202</v>
      </c>
      <c r="T294" s="94" t="s">
        <v>210</v>
      </c>
      <c r="U294" s="94" t="s">
        <v>210</v>
      </c>
      <c r="V294" s="94">
        <v>-3</v>
      </c>
      <c r="W294" s="94" t="s">
        <v>210</v>
      </c>
      <c r="X294" s="94">
        <v>-2</v>
      </c>
      <c r="Y294" s="94">
        <v>2</v>
      </c>
      <c r="Z294" s="94" t="s">
        <v>210</v>
      </c>
      <c r="AA294" s="94" t="s">
        <v>210</v>
      </c>
      <c r="AB294" s="94">
        <v>-1</v>
      </c>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5"/>
    </row>
    <row r="295" spans="1:53" s="87" customFormat="1">
      <c r="A295" s="90" t="str">
        <f t="shared" si="29"/>
        <v/>
      </c>
      <c r="B295" s="98">
        <v>12</v>
      </c>
      <c r="C295" s="94" t="s">
        <v>210</v>
      </c>
      <c r="D295" s="94">
        <v>1</v>
      </c>
      <c r="E295" s="94">
        <v>2</v>
      </c>
      <c r="F295" s="94" t="s">
        <v>210</v>
      </c>
      <c r="G295" s="94">
        <v>-3</v>
      </c>
      <c r="H295" s="94" t="s">
        <v>210</v>
      </c>
      <c r="I295" s="94" t="s">
        <v>210</v>
      </c>
      <c r="J295" s="94">
        <v>-1</v>
      </c>
      <c r="K295" s="94" t="s">
        <v>210</v>
      </c>
      <c r="L295" s="94">
        <v>-2</v>
      </c>
      <c r="M295" s="94">
        <v>3</v>
      </c>
      <c r="N295" s="94" t="s">
        <v>210</v>
      </c>
      <c r="O295" s="94" t="s">
        <v>210</v>
      </c>
      <c r="P295" s="94">
        <v>2</v>
      </c>
      <c r="Q295" s="94" t="s">
        <v>210</v>
      </c>
      <c r="R295" s="94">
        <v>-3</v>
      </c>
      <c r="S295" s="94">
        <v>-2</v>
      </c>
      <c r="T295" s="94" t="s">
        <v>210</v>
      </c>
      <c r="U295" s="94">
        <v>-1</v>
      </c>
      <c r="V295" s="94" t="s">
        <v>210</v>
      </c>
      <c r="W295" s="94">
        <v>3</v>
      </c>
      <c r="X295" s="94" t="s">
        <v>210</v>
      </c>
      <c r="Y295" s="94" t="s">
        <v>202</v>
      </c>
      <c r="Z295" s="94" t="s">
        <v>210</v>
      </c>
      <c r="AA295" s="94" t="s">
        <v>210</v>
      </c>
      <c r="AB295" s="94">
        <v>1</v>
      </c>
      <c r="AC295" s="94"/>
      <c r="AD295" s="94"/>
      <c r="AE295" s="94"/>
      <c r="AF295" s="94"/>
      <c r="AG295" s="94"/>
      <c r="AH295" s="94"/>
      <c r="AI295" s="94"/>
      <c r="AJ295" s="94"/>
      <c r="AK295" s="94"/>
      <c r="AL295" s="94"/>
      <c r="AM295" s="94"/>
      <c r="AN295" s="94"/>
      <c r="AO295" s="94"/>
      <c r="AP295" s="94"/>
      <c r="AQ295" s="94"/>
      <c r="AR295" s="94"/>
      <c r="AS295" s="94"/>
      <c r="AT295" s="94"/>
      <c r="AU295" s="94"/>
      <c r="AV295" s="94"/>
      <c r="AW295" s="94"/>
      <c r="AX295" s="94"/>
      <c r="AY295" s="94"/>
      <c r="AZ295" s="94"/>
      <c r="BA295" s="95"/>
    </row>
    <row r="296" spans="1:53" s="87" customFormat="1">
      <c r="A296" s="90" t="str">
        <f t="shared" si="29"/>
        <v/>
      </c>
      <c r="B296" s="98">
        <v>13</v>
      </c>
      <c r="C296" s="94" t="s">
        <v>210</v>
      </c>
      <c r="D296" s="94">
        <v>2</v>
      </c>
      <c r="E296" s="94">
        <v>-1</v>
      </c>
      <c r="F296" s="94" t="s">
        <v>210</v>
      </c>
      <c r="G296" s="94">
        <v>3</v>
      </c>
      <c r="H296" s="94" t="s">
        <v>210</v>
      </c>
      <c r="I296" s="94" t="s">
        <v>210</v>
      </c>
      <c r="J296" s="94">
        <v>-2</v>
      </c>
      <c r="K296" s="94" t="s">
        <v>210</v>
      </c>
      <c r="L296" s="94">
        <v>-1</v>
      </c>
      <c r="M296" s="94">
        <v>1</v>
      </c>
      <c r="N296" s="94" t="s">
        <v>210</v>
      </c>
      <c r="O296" s="94" t="s">
        <v>210</v>
      </c>
      <c r="P296" s="94">
        <v>-3</v>
      </c>
      <c r="Q296" s="94">
        <v>3</v>
      </c>
      <c r="R296" s="94" t="s">
        <v>210</v>
      </c>
      <c r="S296" s="94" t="s">
        <v>210</v>
      </c>
      <c r="T296" s="94">
        <v>-2</v>
      </c>
      <c r="U296" s="94">
        <v>2</v>
      </c>
      <c r="V296" s="94" t="s">
        <v>210</v>
      </c>
      <c r="W296" s="94">
        <v>1</v>
      </c>
      <c r="X296" s="94" t="s">
        <v>210</v>
      </c>
      <c r="Y296" s="94" t="s">
        <v>210</v>
      </c>
      <c r="Z296" s="94">
        <v>-3</v>
      </c>
      <c r="AA296" s="94" t="s">
        <v>202</v>
      </c>
      <c r="AB296" s="94" t="s">
        <v>210</v>
      </c>
      <c r="AC296" s="9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c r="AZ296" s="94"/>
      <c r="BA296" s="95"/>
    </row>
    <row r="297" spans="1:53" s="87" customFormat="1">
      <c r="A297" s="90" t="str">
        <f t="shared" si="29"/>
        <v/>
      </c>
      <c r="B297" s="317" t="s">
        <v>1023</v>
      </c>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c r="AZ297" s="94"/>
      <c r="BA297" s="95"/>
    </row>
    <row r="298" spans="1:53" s="87" customFormat="1">
      <c r="A298" s="90">
        <f t="shared" si="29"/>
        <v>298</v>
      </c>
      <c r="B298" s="317" t="s">
        <v>1227</v>
      </c>
      <c r="C298" s="94"/>
      <c r="D298" s="94"/>
      <c r="E298" s="94"/>
      <c r="F298" s="94"/>
      <c r="G298" s="94"/>
      <c r="H298" s="94"/>
      <c r="I298" s="94"/>
      <c r="J298" s="94"/>
      <c r="K298" s="94"/>
      <c r="L298" s="94"/>
      <c r="M298" s="94"/>
      <c r="N298" s="94"/>
      <c r="O298" s="94"/>
      <c r="P298" s="94"/>
      <c r="Q298" s="94"/>
      <c r="R298" s="94"/>
      <c r="S298" s="94"/>
      <c r="T298" s="94"/>
      <c r="U298" s="94"/>
      <c r="V298" s="94"/>
      <c r="W298" s="94"/>
      <c r="X298" s="94"/>
      <c r="Y298" s="94"/>
      <c r="Z298" s="94"/>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c r="AZ298" s="94"/>
      <c r="BA298" s="95"/>
    </row>
    <row r="299" spans="1:53" s="87" customFormat="1">
      <c r="A299" s="90" t="str">
        <f t="shared" si="29"/>
        <v/>
      </c>
      <c r="B299" s="98">
        <v>1</v>
      </c>
      <c r="C299" s="94" t="s">
        <v>210</v>
      </c>
      <c r="D299" s="94">
        <v>2</v>
      </c>
      <c r="E299" s="94">
        <v>1</v>
      </c>
      <c r="F299" s="94" t="s">
        <v>210</v>
      </c>
      <c r="G299" s="94">
        <v>-3</v>
      </c>
      <c r="H299" s="94" t="s">
        <v>210</v>
      </c>
      <c r="I299" s="94" t="s">
        <v>210</v>
      </c>
      <c r="J299" s="94">
        <v>2</v>
      </c>
      <c r="K299" s="94" t="s">
        <v>210</v>
      </c>
      <c r="L299" s="94">
        <v>-1</v>
      </c>
      <c r="M299" s="94" t="s">
        <v>210</v>
      </c>
      <c r="N299" s="94" t="s">
        <v>210</v>
      </c>
      <c r="O299" s="94" t="s">
        <v>210</v>
      </c>
      <c r="P299" s="94">
        <v>-2</v>
      </c>
      <c r="Q299" s="94">
        <v>-3</v>
      </c>
      <c r="R299" s="94" t="s">
        <v>210</v>
      </c>
      <c r="S299" s="94">
        <v>2</v>
      </c>
      <c r="T299" s="94" t="s">
        <v>210</v>
      </c>
      <c r="U299" s="94" t="s">
        <v>210</v>
      </c>
      <c r="V299" s="94">
        <v>3</v>
      </c>
      <c r="W299" s="94" t="s">
        <v>210</v>
      </c>
      <c r="X299" s="94">
        <v>-2</v>
      </c>
      <c r="Y299" s="94">
        <v>-1</v>
      </c>
      <c r="Z299" s="94" t="s">
        <v>210</v>
      </c>
      <c r="AA299" s="94">
        <v>3</v>
      </c>
      <c r="AB299" s="94" t="s">
        <v>210</v>
      </c>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5"/>
    </row>
    <row r="300" spans="1:53" s="87" customFormat="1">
      <c r="A300" s="90" t="str">
        <f t="shared" si="29"/>
        <v/>
      </c>
      <c r="B300" s="98">
        <v>2</v>
      </c>
      <c r="C300" s="94" t="s">
        <v>210</v>
      </c>
      <c r="D300" s="94">
        <v>-2</v>
      </c>
      <c r="E300" s="94">
        <v>-3</v>
      </c>
      <c r="F300" s="94" t="s">
        <v>210</v>
      </c>
      <c r="G300" s="94">
        <v>1</v>
      </c>
      <c r="H300" s="94" t="s">
        <v>210</v>
      </c>
      <c r="I300" s="94" t="s">
        <v>210</v>
      </c>
      <c r="J300" s="94" t="s">
        <v>210</v>
      </c>
      <c r="K300" s="94" t="s">
        <v>210</v>
      </c>
      <c r="L300" s="94">
        <v>2</v>
      </c>
      <c r="M300" s="94" t="s">
        <v>210</v>
      </c>
      <c r="N300" s="94">
        <v>-1</v>
      </c>
      <c r="O300" s="94">
        <v>3</v>
      </c>
      <c r="P300" s="94" t="s">
        <v>210</v>
      </c>
      <c r="Q300" s="94">
        <v>2</v>
      </c>
      <c r="R300" s="94" t="s">
        <v>210</v>
      </c>
      <c r="S300" s="94" t="s">
        <v>210</v>
      </c>
      <c r="T300" s="94">
        <v>1</v>
      </c>
      <c r="U300" s="94">
        <v>-2</v>
      </c>
      <c r="V300" s="94" t="s">
        <v>210</v>
      </c>
      <c r="W300" s="94">
        <v>3</v>
      </c>
      <c r="X300" s="94" t="s">
        <v>210</v>
      </c>
      <c r="Y300" s="94">
        <v>-2</v>
      </c>
      <c r="Z300" s="94" t="s">
        <v>210</v>
      </c>
      <c r="AA300" s="94" t="s">
        <v>210</v>
      </c>
      <c r="AB300" s="94">
        <v>-1</v>
      </c>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5"/>
    </row>
    <row r="301" spans="1:53" s="87" customFormat="1">
      <c r="A301" s="90" t="str">
        <f t="shared" si="29"/>
        <v/>
      </c>
      <c r="B301" s="98">
        <v>3</v>
      </c>
      <c r="C301" s="94" t="s">
        <v>210</v>
      </c>
      <c r="D301" s="94">
        <v>3</v>
      </c>
      <c r="E301" s="94" t="s">
        <v>210</v>
      </c>
      <c r="F301" s="94" t="s">
        <v>210</v>
      </c>
      <c r="G301" s="94">
        <v>-1</v>
      </c>
      <c r="H301" s="94" t="s">
        <v>210</v>
      </c>
      <c r="I301" s="94" t="s">
        <v>210</v>
      </c>
      <c r="J301" s="94">
        <v>-2</v>
      </c>
      <c r="K301" s="94" t="s">
        <v>210</v>
      </c>
      <c r="L301" s="94">
        <v>3</v>
      </c>
      <c r="M301" s="94" t="s">
        <v>210</v>
      </c>
      <c r="N301" s="94">
        <v>2</v>
      </c>
      <c r="O301" s="94" t="s">
        <v>210</v>
      </c>
      <c r="P301" s="94">
        <v>-3</v>
      </c>
      <c r="Q301" s="94">
        <v>1</v>
      </c>
      <c r="R301" s="94" t="s">
        <v>210</v>
      </c>
      <c r="S301" s="94">
        <v>-3</v>
      </c>
      <c r="T301" s="94" t="s">
        <v>210</v>
      </c>
      <c r="U301" s="94" t="s">
        <v>210</v>
      </c>
      <c r="V301" s="94">
        <v>2</v>
      </c>
      <c r="W301" s="94">
        <v>1</v>
      </c>
      <c r="X301" s="94" t="s">
        <v>210</v>
      </c>
      <c r="Y301" s="94" t="s">
        <v>210</v>
      </c>
      <c r="Z301" s="94">
        <v>-3</v>
      </c>
      <c r="AA301" s="94" t="s">
        <v>210</v>
      </c>
      <c r="AB301" s="94">
        <v>-2</v>
      </c>
      <c r="AC301" s="94"/>
      <c r="AD301" s="94"/>
      <c r="AE301" s="94"/>
      <c r="AF301" s="94"/>
      <c r="AG301" s="94"/>
      <c r="AH301" s="94"/>
      <c r="AI301" s="94"/>
      <c r="AJ301" s="94"/>
      <c r="AK301" s="94"/>
      <c r="AL301" s="94"/>
      <c r="AM301" s="94"/>
      <c r="AN301" s="94"/>
      <c r="AO301" s="94"/>
      <c r="AP301" s="94"/>
      <c r="AQ301" s="94"/>
      <c r="AR301" s="94"/>
      <c r="AS301" s="94"/>
      <c r="AT301" s="94"/>
      <c r="AU301" s="94"/>
      <c r="AV301" s="94"/>
      <c r="AW301" s="94"/>
      <c r="AX301" s="94"/>
      <c r="AY301" s="94"/>
      <c r="AZ301" s="94"/>
      <c r="BA301" s="95"/>
    </row>
    <row r="302" spans="1:53" s="87" customFormat="1">
      <c r="A302" s="90" t="str">
        <f t="shared" si="29"/>
        <v/>
      </c>
      <c r="B302" s="98">
        <v>4</v>
      </c>
      <c r="C302" s="94" t="s">
        <v>210</v>
      </c>
      <c r="D302" s="94">
        <v>-3</v>
      </c>
      <c r="E302" s="94">
        <v>-1</v>
      </c>
      <c r="F302" s="94" t="s">
        <v>210</v>
      </c>
      <c r="G302" s="94">
        <v>2</v>
      </c>
      <c r="H302" s="94" t="s">
        <v>210</v>
      </c>
      <c r="I302" s="94" t="s">
        <v>210</v>
      </c>
      <c r="J302" s="94">
        <v>1</v>
      </c>
      <c r="K302" s="94" t="s">
        <v>210</v>
      </c>
      <c r="L302" s="94">
        <v>-2</v>
      </c>
      <c r="M302" s="94">
        <v>-3</v>
      </c>
      <c r="N302" s="94" t="s">
        <v>210</v>
      </c>
      <c r="O302" s="94">
        <v>-1</v>
      </c>
      <c r="P302" s="94" t="s">
        <v>210</v>
      </c>
      <c r="Q302" s="94" t="s">
        <v>210</v>
      </c>
      <c r="R302" s="94" t="s">
        <v>210</v>
      </c>
      <c r="S302" s="94" t="s">
        <v>210</v>
      </c>
      <c r="T302" s="94">
        <v>2</v>
      </c>
      <c r="U302" s="94" t="s">
        <v>210</v>
      </c>
      <c r="V302" s="94">
        <v>1</v>
      </c>
      <c r="W302" s="94" t="s">
        <v>210</v>
      </c>
      <c r="X302" s="94">
        <v>3</v>
      </c>
      <c r="Y302" s="94" t="s">
        <v>210</v>
      </c>
      <c r="Z302" s="94">
        <v>-2</v>
      </c>
      <c r="AA302" s="94">
        <v>1</v>
      </c>
      <c r="AB302" s="94" t="s">
        <v>210</v>
      </c>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5"/>
    </row>
    <row r="303" spans="1:53" s="87" customFormat="1">
      <c r="A303" s="90" t="str">
        <f t="shared" si="29"/>
        <v/>
      </c>
      <c r="B303" s="98">
        <v>5</v>
      </c>
      <c r="C303" s="94" t="s">
        <v>210</v>
      </c>
      <c r="D303" s="94">
        <v>-1</v>
      </c>
      <c r="E303" s="94">
        <v>3</v>
      </c>
      <c r="F303" s="94" t="s">
        <v>210</v>
      </c>
      <c r="G303" s="94">
        <v>-2</v>
      </c>
      <c r="H303" s="94" t="s">
        <v>210</v>
      </c>
      <c r="I303" s="94" t="s">
        <v>210</v>
      </c>
      <c r="J303" s="94">
        <v>-3</v>
      </c>
      <c r="K303" s="94" t="s">
        <v>210</v>
      </c>
      <c r="L303" s="94">
        <v>1</v>
      </c>
      <c r="M303" s="94">
        <v>2</v>
      </c>
      <c r="N303" s="94" t="s">
        <v>210</v>
      </c>
      <c r="O303" s="94" t="s">
        <v>210</v>
      </c>
      <c r="P303" s="94">
        <v>3</v>
      </c>
      <c r="Q303" s="94" t="s">
        <v>210</v>
      </c>
      <c r="R303" s="94">
        <v>-2</v>
      </c>
      <c r="S303" s="94">
        <v>-1</v>
      </c>
      <c r="T303" s="94" t="s">
        <v>210</v>
      </c>
      <c r="U303" s="94">
        <v>-3</v>
      </c>
      <c r="V303" s="94" t="s">
        <v>210</v>
      </c>
      <c r="W303" s="94" t="s">
        <v>210</v>
      </c>
      <c r="X303" s="94">
        <v>1</v>
      </c>
      <c r="Y303" s="94" t="s">
        <v>210</v>
      </c>
      <c r="Z303" s="94" t="s">
        <v>210</v>
      </c>
      <c r="AA303" s="94">
        <v>2</v>
      </c>
      <c r="AB303" s="94" t="s">
        <v>210</v>
      </c>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5"/>
    </row>
    <row r="304" spans="1:53" s="87" customFormat="1">
      <c r="A304" s="90" t="str">
        <f t="shared" si="29"/>
        <v/>
      </c>
      <c r="B304" s="98">
        <v>6</v>
      </c>
      <c r="C304" s="94" t="s">
        <v>210</v>
      </c>
      <c r="D304" s="94">
        <v>1</v>
      </c>
      <c r="E304" s="94">
        <v>2</v>
      </c>
      <c r="F304" s="94" t="s">
        <v>210</v>
      </c>
      <c r="G304" s="94">
        <v>3</v>
      </c>
      <c r="H304" s="94" t="s">
        <v>210</v>
      </c>
      <c r="I304" s="94" t="s">
        <v>210</v>
      </c>
      <c r="J304" s="94">
        <v>-1</v>
      </c>
      <c r="K304" s="94" t="s">
        <v>210</v>
      </c>
      <c r="L304" s="94">
        <v>-3</v>
      </c>
      <c r="M304" s="94" t="s">
        <v>210</v>
      </c>
      <c r="N304" s="94">
        <v>1</v>
      </c>
      <c r="O304" s="94">
        <v>-2</v>
      </c>
      <c r="P304" s="94" t="s">
        <v>210</v>
      </c>
      <c r="Q304" s="94" t="s">
        <v>210</v>
      </c>
      <c r="R304" s="94">
        <v>1</v>
      </c>
      <c r="S304" s="94" t="s">
        <v>210</v>
      </c>
      <c r="T304" s="94">
        <v>-3</v>
      </c>
      <c r="U304" s="94" t="s">
        <v>210</v>
      </c>
      <c r="V304" s="94" t="s">
        <v>210</v>
      </c>
      <c r="W304" s="94">
        <v>-2</v>
      </c>
      <c r="X304" s="94" t="s">
        <v>210</v>
      </c>
      <c r="Y304" s="94" t="s">
        <v>210</v>
      </c>
      <c r="Z304" s="94">
        <v>-1</v>
      </c>
      <c r="AA304" s="94" t="s">
        <v>210</v>
      </c>
      <c r="AB304" s="94">
        <v>3</v>
      </c>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5"/>
    </row>
    <row r="305" spans="1:53" s="87" customFormat="1">
      <c r="A305" s="90" t="str">
        <f t="shared" si="29"/>
        <v/>
      </c>
      <c r="B305" s="98">
        <v>7</v>
      </c>
      <c r="C305" s="94">
        <v>1</v>
      </c>
      <c r="D305" s="94" t="s">
        <v>210</v>
      </c>
      <c r="E305" s="94" t="s">
        <v>210</v>
      </c>
      <c r="F305" s="94">
        <v>-2</v>
      </c>
      <c r="G305" s="94" t="s">
        <v>210</v>
      </c>
      <c r="H305" s="94">
        <v>-3</v>
      </c>
      <c r="I305" s="94">
        <v>-2</v>
      </c>
      <c r="J305" s="94" t="s">
        <v>210</v>
      </c>
      <c r="K305" s="94">
        <v>1</v>
      </c>
      <c r="L305" s="94" t="s">
        <v>210</v>
      </c>
      <c r="M305" s="94">
        <v>3</v>
      </c>
      <c r="N305" s="94" t="s">
        <v>210</v>
      </c>
      <c r="O305" s="94" t="s">
        <v>210</v>
      </c>
      <c r="P305" s="94">
        <v>2</v>
      </c>
      <c r="Q305" s="94" t="s">
        <v>210</v>
      </c>
      <c r="R305" s="94">
        <v>-1</v>
      </c>
      <c r="S305" s="94">
        <v>3</v>
      </c>
      <c r="T305" s="94" t="s">
        <v>210</v>
      </c>
      <c r="U305" s="94">
        <v>2</v>
      </c>
      <c r="V305" s="94" t="s">
        <v>210</v>
      </c>
      <c r="W305" s="94" t="s">
        <v>210</v>
      </c>
      <c r="X305" s="94">
        <v>-1</v>
      </c>
      <c r="Y305" s="94">
        <v>-3</v>
      </c>
      <c r="Z305" s="94" t="s">
        <v>210</v>
      </c>
      <c r="AA305" s="94" t="s">
        <v>210</v>
      </c>
      <c r="AB305" s="94" t="s">
        <v>210</v>
      </c>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5"/>
    </row>
    <row r="306" spans="1:53" s="87" customFormat="1">
      <c r="A306" s="90" t="str">
        <f t="shared" si="29"/>
        <v/>
      </c>
      <c r="B306" s="98">
        <v>8</v>
      </c>
      <c r="C306" s="94">
        <v>-1</v>
      </c>
      <c r="D306" s="94" t="s">
        <v>210</v>
      </c>
      <c r="E306" s="94" t="s">
        <v>210</v>
      </c>
      <c r="F306" s="94">
        <v>3</v>
      </c>
      <c r="G306" s="94" t="s">
        <v>210</v>
      </c>
      <c r="H306" s="94">
        <v>2</v>
      </c>
      <c r="I306" s="94" t="s">
        <v>210</v>
      </c>
      <c r="J306" s="94">
        <v>3</v>
      </c>
      <c r="K306" s="94">
        <v>-2</v>
      </c>
      <c r="L306" s="94" t="s">
        <v>210</v>
      </c>
      <c r="M306" s="94">
        <v>1</v>
      </c>
      <c r="N306" s="94" t="s">
        <v>210</v>
      </c>
      <c r="O306" s="94">
        <v>-3</v>
      </c>
      <c r="P306" s="94" t="s">
        <v>210</v>
      </c>
      <c r="Q306" s="94">
        <v>-1</v>
      </c>
      <c r="R306" s="94" t="s">
        <v>210</v>
      </c>
      <c r="S306" s="94">
        <v>-2</v>
      </c>
      <c r="T306" s="94" t="s">
        <v>210</v>
      </c>
      <c r="U306" s="94">
        <v>1</v>
      </c>
      <c r="V306" s="94" t="s">
        <v>210</v>
      </c>
      <c r="W306" s="94" t="s">
        <v>210</v>
      </c>
      <c r="X306" s="94" t="s">
        <v>210</v>
      </c>
      <c r="Y306" s="94" t="s">
        <v>210</v>
      </c>
      <c r="Z306" s="94">
        <v>2</v>
      </c>
      <c r="AA306" s="94" t="s">
        <v>210</v>
      </c>
      <c r="AB306" s="94">
        <v>-3</v>
      </c>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5"/>
    </row>
    <row r="307" spans="1:53" s="87" customFormat="1">
      <c r="A307" s="90" t="str">
        <f t="shared" si="29"/>
        <v/>
      </c>
      <c r="B307" s="98">
        <v>9</v>
      </c>
      <c r="C307" s="94">
        <v>-3</v>
      </c>
      <c r="D307" s="94" t="s">
        <v>210</v>
      </c>
      <c r="E307" s="94">
        <v>-2</v>
      </c>
      <c r="F307" s="94" t="s">
        <v>210</v>
      </c>
      <c r="G307" s="94" t="s">
        <v>210</v>
      </c>
      <c r="H307" s="94">
        <v>-1</v>
      </c>
      <c r="I307" s="94">
        <v>2</v>
      </c>
      <c r="J307" s="94" t="s">
        <v>210</v>
      </c>
      <c r="K307" s="94">
        <v>3</v>
      </c>
      <c r="L307" s="94" t="s">
        <v>210</v>
      </c>
      <c r="M307" s="94">
        <v>-2</v>
      </c>
      <c r="N307" s="94" t="s">
        <v>210</v>
      </c>
      <c r="O307" s="94">
        <v>1</v>
      </c>
      <c r="P307" s="94" t="s">
        <v>210</v>
      </c>
      <c r="Q307" s="94" t="s">
        <v>210</v>
      </c>
      <c r="R307" s="94">
        <v>-3</v>
      </c>
      <c r="S307" s="94" t="s">
        <v>210</v>
      </c>
      <c r="T307" s="94" t="s">
        <v>210</v>
      </c>
      <c r="U307" s="94">
        <v>-1</v>
      </c>
      <c r="V307" s="94" t="s">
        <v>210</v>
      </c>
      <c r="W307" s="94" t="s">
        <v>210</v>
      </c>
      <c r="X307" s="94">
        <v>2</v>
      </c>
      <c r="Y307" s="94" t="s">
        <v>210</v>
      </c>
      <c r="Z307" s="94">
        <v>3</v>
      </c>
      <c r="AA307" s="94" t="s">
        <v>210</v>
      </c>
      <c r="AB307" s="94">
        <v>1</v>
      </c>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5"/>
    </row>
    <row r="308" spans="1:53" s="87" customFormat="1">
      <c r="A308" s="90" t="str">
        <f t="shared" si="29"/>
        <v/>
      </c>
      <c r="B308" s="98">
        <v>10</v>
      </c>
      <c r="C308" s="94">
        <v>3</v>
      </c>
      <c r="D308" s="94" t="s">
        <v>210</v>
      </c>
      <c r="E308" s="94" t="s">
        <v>210</v>
      </c>
      <c r="F308" s="94">
        <v>2</v>
      </c>
      <c r="G308" s="94" t="s">
        <v>210</v>
      </c>
      <c r="H308" s="94" t="s">
        <v>210</v>
      </c>
      <c r="I308" s="94">
        <v>-1</v>
      </c>
      <c r="J308" s="94" t="s">
        <v>210</v>
      </c>
      <c r="K308" s="94">
        <v>2</v>
      </c>
      <c r="L308" s="94" t="s">
        <v>210</v>
      </c>
      <c r="M308" s="94" t="s">
        <v>210</v>
      </c>
      <c r="N308" s="94">
        <v>-3</v>
      </c>
      <c r="O308" s="94" t="s">
        <v>210</v>
      </c>
      <c r="P308" s="94">
        <v>1</v>
      </c>
      <c r="Q308" s="94">
        <v>3</v>
      </c>
      <c r="R308" s="94" t="s">
        <v>210</v>
      </c>
      <c r="S308" s="94" t="s">
        <v>210</v>
      </c>
      <c r="T308" s="94">
        <v>-1</v>
      </c>
      <c r="U308" s="94" t="s">
        <v>210</v>
      </c>
      <c r="V308" s="94">
        <v>-2</v>
      </c>
      <c r="W308" s="94" t="s">
        <v>210</v>
      </c>
      <c r="X308" s="94">
        <v>-3</v>
      </c>
      <c r="Y308" s="94" t="s">
        <v>210</v>
      </c>
      <c r="Z308" s="94">
        <v>1</v>
      </c>
      <c r="AA308" s="94">
        <v>-2</v>
      </c>
      <c r="AB308" s="94" t="s">
        <v>210</v>
      </c>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5"/>
    </row>
    <row r="309" spans="1:53" s="87" customFormat="1">
      <c r="A309" s="90" t="str">
        <f t="shared" si="29"/>
        <v/>
      </c>
      <c r="B309" s="98">
        <v>11</v>
      </c>
      <c r="C309" s="94">
        <v>2</v>
      </c>
      <c r="D309" s="94" t="s">
        <v>210</v>
      </c>
      <c r="E309" s="94" t="s">
        <v>210</v>
      </c>
      <c r="F309" s="94">
        <v>-3</v>
      </c>
      <c r="G309" s="94" t="s">
        <v>210</v>
      </c>
      <c r="H309" s="94">
        <v>1</v>
      </c>
      <c r="I309" s="94">
        <v>3</v>
      </c>
      <c r="J309" s="94" t="s">
        <v>210</v>
      </c>
      <c r="K309" s="94" t="s">
        <v>210</v>
      </c>
      <c r="L309" s="94" t="s">
        <v>210</v>
      </c>
      <c r="M309" s="94" t="s">
        <v>210</v>
      </c>
      <c r="N309" s="94">
        <v>-2</v>
      </c>
      <c r="O309" s="94" t="s">
        <v>210</v>
      </c>
      <c r="P309" s="94">
        <v>-1</v>
      </c>
      <c r="Q309" s="94">
        <v>-2</v>
      </c>
      <c r="R309" s="94" t="s">
        <v>210</v>
      </c>
      <c r="S309" s="94">
        <v>1</v>
      </c>
      <c r="T309" s="94" t="s">
        <v>210</v>
      </c>
      <c r="U309" s="94" t="s">
        <v>210</v>
      </c>
      <c r="V309" s="94">
        <v>-3</v>
      </c>
      <c r="W309" s="94">
        <v>2</v>
      </c>
      <c r="X309" s="94" t="s">
        <v>210</v>
      </c>
      <c r="Y309" s="94">
        <v>3</v>
      </c>
      <c r="Z309" s="94" t="s">
        <v>210</v>
      </c>
      <c r="AA309" s="94">
        <v>-1</v>
      </c>
      <c r="AB309" s="94" t="s">
        <v>210</v>
      </c>
      <c r="AC309" s="94"/>
      <c r="AD309" s="94"/>
      <c r="AE309" s="94"/>
      <c r="AF309" s="94"/>
      <c r="AG309" s="94"/>
      <c r="AH309" s="94"/>
      <c r="AI309" s="94"/>
      <c r="AJ309" s="94"/>
      <c r="AK309" s="94"/>
      <c r="AL309" s="94"/>
      <c r="AM309" s="94"/>
      <c r="AN309" s="94"/>
      <c r="AO309" s="94"/>
      <c r="AP309" s="94"/>
      <c r="AQ309" s="94"/>
      <c r="AR309" s="94"/>
      <c r="AS309" s="94"/>
      <c r="AT309" s="94"/>
      <c r="AU309" s="94"/>
      <c r="AV309" s="94"/>
      <c r="AW309" s="94"/>
      <c r="AX309" s="94"/>
      <c r="AY309" s="94"/>
      <c r="AZ309" s="94"/>
      <c r="BA309" s="95"/>
    </row>
    <row r="310" spans="1:53" s="87" customFormat="1">
      <c r="A310" s="90" t="str">
        <f t="shared" si="29"/>
        <v/>
      </c>
      <c r="B310" s="98">
        <v>12</v>
      </c>
      <c r="C310" s="94">
        <v>-2</v>
      </c>
      <c r="D310" s="94" t="s">
        <v>210</v>
      </c>
      <c r="E310" s="94" t="s">
        <v>210</v>
      </c>
      <c r="F310" s="94">
        <v>-1</v>
      </c>
      <c r="G310" s="94" t="s">
        <v>210</v>
      </c>
      <c r="H310" s="94">
        <v>3</v>
      </c>
      <c r="I310" s="94">
        <v>1</v>
      </c>
      <c r="J310" s="94" t="s">
        <v>210</v>
      </c>
      <c r="K310" s="94">
        <v>-3</v>
      </c>
      <c r="L310" s="94" t="s">
        <v>210</v>
      </c>
      <c r="M310" s="94">
        <v>-1</v>
      </c>
      <c r="N310" s="94" t="s">
        <v>210</v>
      </c>
      <c r="O310" s="94" t="s">
        <v>210</v>
      </c>
      <c r="P310" s="94" t="s">
        <v>210</v>
      </c>
      <c r="Q310" s="94" t="s">
        <v>210</v>
      </c>
      <c r="R310" s="94">
        <v>2</v>
      </c>
      <c r="S310" s="94" t="s">
        <v>210</v>
      </c>
      <c r="T310" s="94">
        <v>3</v>
      </c>
      <c r="U310" s="94" t="s">
        <v>210</v>
      </c>
      <c r="V310" s="94">
        <v>-1</v>
      </c>
      <c r="W310" s="94">
        <v>-3</v>
      </c>
      <c r="X310" s="94" t="s">
        <v>210</v>
      </c>
      <c r="Y310" s="94">
        <v>1</v>
      </c>
      <c r="Z310" s="94" t="s">
        <v>210</v>
      </c>
      <c r="AA310" s="94" t="s">
        <v>210</v>
      </c>
      <c r="AB310" s="94">
        <v>2</v>
      </c>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5"/>
    </row>
    <row r="311" spans="1:53" s="87" customFormat="1">
      <c r="A311" s="90" t="str">
        <f t="shared" si="29"/>
        <v/>
      </c>
      <c r="B311" s="98">
        <v>13</v>
      </c>
      <c r="C311" s="94" t="s">
        <v>210</v>
      </c>
      <c r="D311" s="94" t="s">
        <v>210</v>
      </c>
      <c r="E311" s="94" t="s">
        <v>210</v>
      </c>
      <c r="F311" s="94">
        <v>1</v>
      </c>
      <c r="G311" s="94" t="s">
        <v>210</v>
      </c>
      <c r="H311" s="94">
        <v>-2</v>
      </c>
      <c r="I311" s="94">
        <v>-3</v>
      </c>
      <c r="J311" s="94" t="s">
        <v>210</v>
      </c>
      <c r="K311" s="94">
        <v>-1</v>
      </c>
      <c r="L311" s="94" t="s">
        <v>210</v>
      </c>
      <c r="M311" s="94" t="s">
        <v>210</v>
      </c>
      <c r="N311" s="94">
        <v>3</v>
      </c>
      <c r="O311" s="94">
        <v>2</v>
      </c>
      <c r="P311" s="94" t="s">
        <v>210</v>
      </c>
      <c r="Q311" s="94" t="s">
        <v>210</v>
      </c>
      <c r="R311" s="94">
        <v>3</v>
      </c>
      <c r="S311" s="94" t="s">
        <v>210</v>
      </c>
      <c r="T311" s="94">
        <v>-2</v>
      </c>
      <c r="U311" s="94">
        <v>3</v>
      </c>
      <c r="V311" s="94" t="s">
        <v>210</v>
      </c>
      <c r="W311" s="94">
        <v>-1</v>
      </c>
      <c r="X311" s="94" t="s">
        <v>210</v>
      </c>
      <c r="Y311" s="94">
        <v>2</v>
      </c>
      <c r="Z311" s="94" t="s">
        <v>210</v>
      </c>
      <c r="AA311" s="94">
        <v>-3</v>
      </c>
      <c r="AB311" s="94" t="s">
        <v>210</v>
      </c>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5"/>
    </row>
    <row r="312" spans="1:53" s="87" customFormat="1">
      <c r="A312" s="90" t="str">
        <f t="shared" si="29"/>
        <v/>
      </c>
      <c r="B312" s="317" t="s">
        <v>1023</v>
      </c>
      <c r="C312" s="94"/>
      <c r="D312" s="94"/>
      <c r="E312" s="94"/>
      <c r="F312" s="94"/>
      <c r="G312" s="94"/>
      <c r="H312" s="94"/>
      <c r="I312" s="94"/>
      <c r="J312" s="94"/>
      <c r="K312" s="94"/>
      <c r="L312" s="94"/>
      <c r="M312" s="94"/>
      <c r="N312" s="94"/>
      <c r="O312" s="94"/>
      <c r="P312" s="94"/>
      <c r="Q312" s="94"/>
      <c r="R312" s="94"/>
      <c r="S312" s="94"/>
      <c r="T312" s="94"/>
      <c r="U312" s="94"/>
      <c r="V312" s="94"/>
      <c r="W312" s="94"/>
      <c r="X312" s="94"/>
      <c r="Y312" s="94"/>
      <c r="Z312" s="94"/>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5"/>
    </row>
    <row r="313" spans="1:53" s="87" customFormat="1">
      <c r="A313" s="90">
        <f t="shared" si="29"/>
        <v>313</v>
      </c>
      <c r="B313" s="317" t="s">
        <v>1233</v>
      </c>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5"/>
    </row>
    <row r="314" spans="1:53" s="87" customFormat="1">
      <c r="A314" s="90" t="str">
        <f t="shared" si="29"/>
        <v/>
      </c>
      <c r="B314" s="98">
        <v>1</v>
      </c>
      <c r="C314" s="94">
        <v>-1</v>
      </c>
      <c r="D314" s="94" t="s">
        <v>210</v>
      </c>
      <c r="E314" s="94" t="s">
        <v>210</v>
      </c>
      <c r="F314" s="94" t="s">
        <v>210</v>
      </c>
      <c r="G314" s="94">
        <v>2</v>
      </c>
      <c r="H314" s="94" t="s">
        <v>210</v>
      </c>
      <c r="I314" s="94" t="s">
        <v>210</v>
      </c>
      <c r="J314" s="94">
        <v>1</v>
      </c>
      <c r="K314" s="94" t="s">
        <v>210</v>
      </c>
      <c r="L314" s="94">
        <v>-3</v>
      </c>
      <c r="M314" s="94" t="s">
        <v>210</v>
      </c>
      <c r="N314" s="94" t="s">
        <v>210</v>
      </c>
      <c r="O314" s="94" t="s">
        <v>210</v>
      </c>
      <c r="P314" s="94">
        <v>-2</v>
      </c>
      <c r="Q314" s="94"/>
      <c r="R314" s="94"/>
      <c r="S314" s="94"/>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5"/>
    </row>
    <row r="315" spans="1:53" s="87" customFormat="1">
      <c r="A315" s="90" t="str">
        <f t="shared" si="29"/>
        <v/>
      </c>
      <c r="B315" s="98">
        <v>2</v>
      </c>
      <c r="C315" s="94">
        <v>-2</v>
      </c>
      <c r="D315" s="94" t="s">
        <v>210</v>
      </c>
      <c r="E315" s="94">
        <v>-1</v>
      </c>
      <c r="F315" s="94" t="s">
        <v>210</v>
      </c>
      <c r="G315" s="94" t="s">
        <v>210</v>
      </c>
      <c r="H315" s="94" t="s">
        <v>210</v>
      </c>
      <c r="I315" s="94">
        <v>3</v>
      </c>
      <c r="J315" s="94" t="s">
        <v>210</v>
      </c>
      <c r="K315" s="94" t="s">
        <v>210</v>
      </c>
      <c r="L315" s="94">
        <v>1</v>
      </c>
      <c r="M315" s="94" t="s">
        <v>210</v>
      </c>
      <c r="N315" s="94" t="s">
        <v>210</v>
      </c>
      <c r="O315" s="94" t="s">
        <v>210</v>
      </c>
      <c r="P315" s="94">
        <v>2</v>
      </c>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5"/>
    </row>
    <row r="316" spans="1:53" s="87" customFormat="1">
      <c r="A316" s="90" t="str">
        <f t="shared" si="29"/>
        <v/>
      </c>
      <c r="B316" s="98">
        <v>3</v>
      </c>
      <c r="C316" s="94">
        <v>1</v>
      </c>
      <c r="D316" s="94" t="s">
        <v>210</v>
      </c>
      <c r="E316" s="94">
        <v>-3</v>
      </c>
      <c r="F316" s="94" t="s">
        <v>210</v>
      </c>
      <c r="G316" s="94" t="s">
        <v>210</v>
      </c>
      <c r="H316" s="94" t="s">
        <v>210</v>
      </c>
      <c r="I316" s="94" t="s">
        <v>210</v>
      </c>
      <c r="J316" s="94">
        <v>-2</v>
      </c>
      <c r="K316" s="94" t="s">
        <v>210</v>
      </c>
      <c r="L316" s="94">
        <v>-1</v>
      </c>
      <c r="M316" s="94" t="s">
        <v>210</v>
      </c>
      <c r="N316" s="94">
        <v>3</v>
      </c>
      <c r="O316" s="94" t="s">
        <v>210</v>
      </c>
      <c r="P316" s="94" t="s">
        <v>210</v>
      </c>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5"/>
    </row>
    <row r="317" spans="1:53" s="87" customFormat="1">
      <c r="A317" s="90" t="str">
        <f t="shared" si="29"/>
        <v/>
      </c>
      <c r="B317" s="98">
        <v>4</v>
      </c>
      <c r="C317" s="94">
        <v>3</v>
      </c>
      <c r="D317" s="94" t="s">
        <v>210</v>
      </c>
      <c r="E317" s="94" t="s">
        <v>210</v>
      </c>
      <c r="F317" s="94" t="s">
        <v>210</v>
      </c>
      <c r="G317" s="94">
        <v>-2</v>
      </c>
      <c r="H317" s="94" t="s">
        <v>210</v>
      </c>
      <c r="I317" s="94">
        <v>-3</v>
      </c>
      <c r="J317" s="94" t="s">
        <v>210</v>
      </c>
      <c r="K317" s="94" t="s">
        <v>210</v>
      </c>
      <c r="L317" s="94">
        <v>2</v>
      </c>
      <c r="M317" s="94" t="s">
        <v>210</v>
      </c>
      <c r="N317" s="94">
        <v>-3</v>
      </c>
      <c r="O317" s="94" t="s">
        <v>210</v>
      </c>
      <c r="P317" s="94" t="s">
        <v>210</v>
      </c>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5"/>
    </row>
    <row r="318" spans="1:53" s="87" customFormat="1">
      <c r="A318" s="90" t="str">
        <f t="shared" si="29"/>
        <v/>
      </c>
      <c r="B318" s="98">
        <v>5</v>
      </c>
      <c r="C318" s="94">
        <v>2</v>
      </c>
      <c r="D318" s="94" t="s">
        <v>210</v>
      </c>
      <c r="E318" s="94">
        <v>3</v>
      </c>
      <c r="F318" s="94" t="s">
        <v>210</v>
      </c>
      <c r="G318" s="94" t="s">
        <v>210</v>
      </c>
      <c r="H318" s="94" t="s">
        <v>210</v>
      </c>
      <c r="I318" s="94" t="s">
        <v>210</v>
      </c>
      <c r="J318" s="94">
        <v>-1</v>
      </c>
      <c r="K318" s="94" t="s">
        <v>210</v>
      </c>
      <c r="L318" s="94">
        <v>-2</v>
      </c>
      <c r="M318" s="94" t="s">
        <v>210</v>
      </c>
      <c r="N318" s="94">
        <v>1</v>
      </c>
      <c r="O318" s="94" t="s">
        <v>210</v>
      </c>
      <c r="P318" s="94" t="s">
        <v>210</v>
      </c>
      <c r="Q318" s="94"/>
      <c r="R318" s="94"/>
      <c r="S318" s="94"/>
      <c r="T318" s="94"/>
      <c r="U318" s="94"/>
      <c r="V318" s="94"/>
      <c r="W318" s="94"/>
      <c r="X318" s="94"/>
      <c r="Y318" s="94"/>
      <c r="Z318" s="94"/>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c r="AZ318" s="94"/>
      <c r="BA318" s="95"/>
    </row>
    <row r="319" spans="1:53" s="87" customFormat="1">
      <c r="A319" s="90" t="str">
        <f t="shared" si="29"/>
        <v/>
      </c>
      <c r="B319" s="99">
        <v>6</v>
      </c>
      <c r="C319" s="92">
        <v>-3</v>
      </c>
      <c r="D319" s="92" t="s">
        <v>210</v>
      </c>
      <c r="E319" s="92">
        <v>1</v>
      </c>
      <c r="F319" s="92" t="s">
        <v>210</v>
      </c>
      <c r="G319" s="92" t="s">
        <v>210</v>
      </c>
      <c r="H319" s="92" t="s">
        <v>210</v>
      </c>
      <c r="I319" s="92" t="s">
        <v>210</v>
      </c>
      <c r="J319" s="92">
        <v>2</v>
      </c>
      <c r="K319" s="92" t="s">
        <v>210</v>
      </c>
      <c r="L319" s="92">
        <v>3</v>
      </c>
      <c r="M319" s="92" t="s">
        <v>210</v>
      </c>
      <c r="N319" s="92">
        <v>-1</v>
      </c>
      <c r="O319" s="92" t="s">
        <v>210</v>
      </c>
      <c r="P319" s="92" t="s">
        <v>210</v>
      </c>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5"/>
    </row>
    <row r="320" spans="1:53" s="87" customFormat="1">
      <c r="A320" s="90" t="str">
        <f t="shared" si="29"/>
        <v/>
      </c>
      <c r="B320" s="98">
        <v>7</v>
      </c>
      <c r="C320" s="94" t="s">
        <v>210</v>
      </c>
      <c r="D320" s="94">
        <v>-3</v>
      </c>
      <c r="E320" s="94" t="s">
        <v>210</v>
      </c>
      <c r="F320" s="94">
        <v>1</v>
      </c>
      <c r="G320" s="94" t="s">
        <v>210</v>
      </c>
      <c r="H320" s="94" t="s">
        <v>210</v>
      </c>
      <c r="I320" s="94">
        <v>2</v>
      </c>
      <c r="J320" s="94" t="s">
        <v>210</v>
      </c>
      <c r="K320" s="94" t="s">
        <v>210</v>
      </c>
      <c r="L320" s="94" t="s">
        <v>210</v>
      </c>
      <c r="M320" s="94">
        <v>3</v>
      </c>
      <c r="N320" s="94" t="s">
        <v>210</v>
      </c>
      <c r="O320" s="94" t="s">
        <v>210</v>
      </c>
      <c r="P320" s="94">
        <v>-1</v>
      </c>
      <c r="Q320" s="94"/>
      <c r="R320" s="94"/>
      <c r="S320" s="94"/>
      <c r="T320" s="94"/>
      <c r="U320" s="94"/>
      <c r="V320" s="94"/>
      <c r="W320" s="94"/>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5"/>
    </row>
    <row r="321" spans="1:53" s="87" customFormat="1">
      <c r="A321" s="90" t="str">
        <f t="shared" si="29"/>
        <v/>
      </c>
      <c r="B321" s="98">
        <v>8</v>
      </c>
      <c r="C321" s="94" t="s">
        <v>210</v>
      </c>
      <c r="D321" s="94">
        <v>2</v>
      </c>
      <c r="E321" s="94" t="s">
        <v>210</v>
      </c>
      <c r="F321" s="94" t="s">
        <v>210</v>
      </c>
      <c r="G321" s="94">
        <v>3</v>
      </c>
      <c r="H321" s="94" t="s">
        <v>210</v>
      </c>
      <c r="I321" s="94">
        <v>-1</v>
      </c>
      <c r="J321" s="94" t="s">
        <v>210</v>
      </c>
      <c r="K321" s="94" t="s">
        <v>210</v>
      </c>
      <c r="L321" s="94" t="s">
        <v>210</v>
      </c>
      <c r="M321" s="94" t="s">
        <v>210</v>
      </c>
      <c r="N321" s="94">
        <v>-2</v>
      </c>
      <c r="O321" s="94" t="s">
        <v>210</v>
      </c>
      <c r="P321" s="94">
        <v>1</v>
      </c>
      <c r="Q321" s="94"/>
      <c r="R321" s="94"/>
      <c r="S321" s="94"/>
      <c r="T321" s="94"/>
      <c r="U321" s="94"/>
      <c r="V321" s="94"/>
      <c r="W321" s="94"/>
      <c r="X321" s="94"/>
      <c r="Y321" s="94"/>
      <c r="Z321" s="94"/>
      <c r="AA321" s="94"/>
      <c r="AB321" s="94"/>
      <c r="AC321" s="94"/>
      <c r="AD321" s="94"/>
      <c r="AE321" s="94"/>
      <c r="AF321" s="94"/>
      <c r="AG321" s="94"/>
      <c r="AH321" s="94"/>
      <c r="AI321" s="94"/>
      <c r="AJ321" s="94"/>
      <c r="AK321" s="94"/>
      <c r="AL321" s="94"/>
      <c r="AM321" s="94"/>
      <c r="AN321" s="94"/>
      <c r="AO321" s="94"/>
      <c r="AP321" s="94"/>
      <c r="AQ321" s="94"/>
      <c r="AR321" s="94"/>
      <c r="AS321" s="94"/>
      <c r="AT321" s="94"/>
      <c r="AU321" s="94"/>
      <c r="AV321" s="94"/>
      <c r="AW321" s="94"/>
      <c r="AX321" s="94"/>
      <c r="AY321" s="94"/>
      <c r="AZ321" s="94"/>
      <c r="BA321" s="95"/>
    </row>
    <row r="322" spans="1:53" s="87" customFormat="1">
      <c r="A322" s="90" t="str">
        <f t="shared" si="29"/>
        <v/>
      </c>
      <c r="B322" s="98">
        <v>9</v>
      </c>
      <c r="C322" s="94" t="s">
        <v>210</v>
      </c>
      <c r="D322" s="94">
        <v>1</v>
      </c>
      <c r="E322" s="94" t="s">
        <v>210</v>
      </c>
      <c r="F322" s="94" t="s">
        <v>210</v>
      </c>
      <c r="G322" s="94">
        <v>-3</v>
      </c>
      <c r="H322" s="94" t="s">
        <v>210</v>
      </c>
      <c r="I322" s="94">
        <v>-2</v>
      </c>
      <c r="J322" s="94" t="s">
        <v>210</v>
      </c>
      <c r="K322" s="94">
        <v>-1</v>
      </c>
      <c r="L322" s="94" t="s">
        <v>210</v>
      </c>
      <c r="M322" s="94" t="s">
        <v>210</v>
      </c>
      <c r="N322" s="94" t="s">
        <v>210</v>
      </c>
      <c r="O322" s="94" t="s">
        <v>210</v>
      </c>
      <c r="P322" s="94">
        <v>3</v>
      </c>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5"/>
    </row>
    <row r="323" spans="1:53" s="87" customFormat="1">
      <c r="A323" s="90" t="str">
        <f t="shared" si="29"/>
        <v/>
      </c>
      <c r="B323" s="98">
        <v>10</v>
      </c>
      <c r="C323" s="94" t="s">
        <v>210</v>
      </c>
      <c r="D323" s="94">
        <v>3</v>
      </c>
      <c r="E323" s="94" t="s">
        <v>210</v>
      </c>
      <c r="F323" s="94">
        <v>-2</v>
      </c>
      <c r="G323" s="94" t="s">
        <v>210</v>
      </c>
      <c r="H323" s="94">
        <v>-3</v>
      </c>
      <c r="I323" s="94" t="s">
        <v>210</v>
      </c>
      <c r="J323" s="94" t="s">
        <v>210</v>
      </c>
      <c r="K323" s="94" t="s">
        <v>210</v>
      </c>
      <c r="L323" s="94" t="s">
        <v>210</v>
      </c>
      <c r="M323" s="94" t="s">
        <v>210</v>
      </c>
      <c r="N323" s="94">
        <v>2</v>
      </c>
      <c r="O323" s="94" t="s">
        <v>210</v>
      </c>
      <c r="P323" s="94">
        <v>-3</v>
      </c>
      <c r="Q323" s="94"/>
      <c r="R323" s="94"/>
      <c r="S323" s="94"/>
      <c r="T323" s="94"/>
      <c r="U323" s="94"/>
      <c r="V323" s="94"/>
      <c r="W323" s="94"/>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c r="AZ323" s="94"/>
      <c r="BA323" s="95"/>
    </row>
    <row r="324" spans="1:53" s="87" customFormat="1">
      <c r="A324" s="90" t="str">
        <f t="shared" si="29"/>
        <v/>
      </c>
      <c r="B324" s="98">
        <v>11</v>
      </c>
      <c r="C324" s="94" t="s">
        <v>210</v>
      </c>
      <c r="D324" s="94">
        <v>-1</v>
      </c>
      <c r="E324" s="94" t="s">
        <v>210</v>
      </c>
      <c r="F324" s="94">
        <v>2</v>
      </c>
      <c r="G324" s="94" t="s">
        <v>210</v>
      </c>
      <c r="H324" s="94" t="s">
        <v>210</v>
      </c>
      <c r="I324" s="94">
        <v>1</v>
      </c>
      <c r="J324" s="94" t="s">
        <v>210</v>
      </c>
      <c r="K324" s="94" t="s">
        <v>210</v>
      </c>
      <c r="L324" s="94" t="s">
        <v>210</v>
      </c>
      <c r="M324" s="94">
        <v>-3</v>
      </c>
      <c r="N324" s="94" t="s">
        <v>210</v>
      </c>
      <c r="O324" s="94">
        <v>-2</v>
      </c>
      <c r="P324" s="94" t="s">
        <v>210</v>
      </c>
      <c r="Q324" s="94"/>
      <c r="R324" s="94"/>
      <c r="S324" s="94"/>
      <c r="T324" s="94"/>
      <c r="U324" s="94"/>
      <c r="V324" s="94"/>
      <c r="W324" s="94"/>
      <c r="X324" s="94"/>
      <c r="Y324" s="94"/>
      <c r="Z324" s="94"/>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5"/>
    </row>
    <row r="325" spans="1:53" s="87" customFormat="1">
      <c r="A325" s="90" t="str">
        <f t="shared" si="29"/>
        <v/>
      </c>
      <c r="B325" s="99">
        <v>12</v>
      </c>
      <c r="C325" s="92" t="s">
        <v>210</v>
      </c>
      <c r="D325" s="92">
        <v>-2</v>
      </c>
      <c r="E325" s="92" t="s">
        <v>210</v>
      </c>
      <c r="F325" s="92">
        <v>-1</v>
      </c>
      <c r="G325" s="92" t="s">
        <v>210</v>
      </c>
      <c r="H325" s="92">
        <v>3</v>
      </c>
      <c r="I325" s="92" t="s">
        <v>210</v>
      </c>
      <c r="J325" s="92" t="s">
        <v>210</v>
      </c>
      <c r="K325" s="92">
        <v>1</v>
      </c>
      <c r="L325" s="92" t="s">
        <v>210</v>
      </c>
      <c r="M325" s="92" t="s">
        <v>210</v>
      </c>
      <c r="N325" s="92" t="s">
        <v>210</v>
      </c>
      <c r="O325" s="92">
        <v>2</v>
      </c>
      <c r="P325" s="92" t="s">
        <v>210</v>
      </c>
      <c r="Q325" s="94"/>
      <c r="R325" s="94"/>
      <c r="S325" s="94"/>
      <c r="T325" s="94"/>
      <c r="U325" s="94"/>
      <c r="V325" s="94"/>
      <c r="W325" s="94"/>
      <c r="X325" s="94"/>
      <c r="Y325" s="94"/>
      <c r="Z325" s="94"/>
      <c r="AA325" s="94"/>
      <c r="AB325" s="94"/>
      <c r="AC325" s="94"/>
      <c r="AD325" s="94"/>
      <c r="AE325" s="94"/>
      <c r="AF325" s="94"/>
      <c r="AG325" s="94"/>
      <c r="AH325" s="94"/>
      <c r="AI325" s="94"/>
      <c r="AJ325" s="94"/>
      <c r="AK325" s="94"/>
      <c r="AL325" s="94"/>
      <c r="AM325" s="94"/>
      <c r="AN325" s="94"/>
      <c r="AO325" s="94"/>
      <c r="AP325" s="94"/>
      <c r="AQ325" s="94"/>
      <c r="AR325" s="94"/>
      <c r="AS325" s="94"/>
      <c r="AT325" s="94"/>
      <c r="AU325" s="94"/>
      <c r="AV325" s="94"/>
      <c r="AW325" s="94"/>
      <c r="AX325" s="94"/>
      <c r="AY325" s="94"/>
      <c r="AZ325" s="94"/>
      <c r="BA325" s="95"/>
    </row>
    <row r="326" spans="1:53" s="87" customFormat="1">
      <c r="A326" s="90" t="str">
        <f t="shared" si="29"/>
        <v/>
      </c>
      <c r="B326" s="98">
        <v>13</v>
      </c>
      <c r="C326" s="94" t="s">
        <v>210</v>
      </c>
      <c r="D326" s="94" t="s">
        <v>210</v>
      </c>
      <c r="E326" s="94" t="s">
        <v>210</v>
      </c>
      <c r="F326" s="94" t="s">
        <v>210</v>
      </c>
      <c r="G326" s="94">
        <v>1</v>
      </c>
      <c r="H326" s="94" t="s">
        <v>210</v>
      </c>
      <c r="I326" s="94" t="s">
        <v>210</v>
      </c>
      <c r="J326" s="94">
        <v>-3</v>
      </c>
      <c r="K326" s="94" t="s">
        <v>210</v>
      </c>
      <c r="L326" s="94" t="s">
        <v>210</v>
      </c>
      <c r="M326" s="94">
        <v>-2</v>
      </c>
      <c r="N326" s="94" t="s">
        <v>210</v>
      </c>
      <c r="O326" s="94">
        <v>3</v>
      </c>
      <c r="P326" s="94" t="s">
        <v>210</v>
      </c>
      <c r="Q326" s="94"/>
      <c r="R326" s="94"/>
      <c r="S326" s="94"/>
      <c r="T326" s="94"/>
      <c r="U326" s="94"/>
      <c r="V326" s="94"/>
      <c r="W326" s="94"/>
      <c r="X326" s="94"/>
      <c r="Y326" s="94"/>
      <c r="Z326" s="94"/>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c r="AW326" s="94"/>
      <c r="AX326" s="94"/>
      <c r="AY326" s="94"/>
      <c r="AZ326" s="94"/>
      <c r="BA326" s="95"/>
    </row>
    <row r="327" spans="1:53" s="87" customFormat="1">
      <c r="A327" s="90" t="str">
        <f t="shared" si="29"/>
        <v/>
      </c>
      <c r="B327" s="98">
        <v>14</v>
      </c>
      <c r="C327" s="94" t="s">
        <v>210</v>
      </c>
      <c r="D327" s="94" t="s">
        <v>210</v>
      </c>
      <c r="E327" s="94" t="s">
        <v>210</v>
      </c>
      <c r="F327" s="94">
        <v>3</v>
      </c>
      <c r="G327" s="94" t="s">
        <v>210</v>
      </c>
      <c r="H327" s="94" t="s">
        <v>210</v>
      </c>
      <c r="I327" s="94" t="s">
        <v>210</v>
      </c>
      <c r="J327" s="94" t="s">
        <v>210</v>
      </c>
      <c r="K327" s="94">
        <v>2</v>
      </c>
      <c r="L327" s="94" t="s">
        <v>210</v>
      </c>
      <c r="M327" s="94">
        <v>-1</v>
      </c>
      <c r="N327" s="94" t="s">
        <v>210</v>
      </c>
      <c r="O327" s="94">
        <v>-3</v>
      </c>
      <c r="P327" s="94" t="s">
        <v>210</v>
      </c>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5"/>
    </row>
    <row r="328" spans="1:53" s="87" customFormat="1">
      <c r="A328" s="90" t="str">
        <f t="shared" si="29"/>
        <v/>
      </c>
      <c r="B328" s="98">
        <v>15</v>
      </c>
      <c r="C328" s="94" t="s">
        <v>210</v>
      </c>
      <c r="D328" s="94" t="s">
        <v>210</v>
      </c>
      <c r="E328" s="94" t="s">
        <v>210</v>
      </c>
      <c r="F328" s="94">
        <v>-3</v>
      </c>
      <c r="G328" s="94" t="s">
        <v>210</v>
      </c>
      <c r="H328" s="94">
        <v>1</v>
      </c>
      <c r="I328" s="94" t="s">
        <v>210</v>
      </c>
      <c r="J328" s="94" t="s">
        <v>210</v>
      </c>
      <c r="K328" s="94" t="s">
        <v>210</v>
      </c>
      <c r="L328" s="94" t="s">
        <v>210</v>
      </c>
      <c r="M328" s="94">
        <v>2</v>
      </c>
      <c r="N328" s="94" t="s">
        <v>210</v>
      </c>
      <c r="O328" s="94">
        <v>-1</v>
      </c>
      <c r="P328" s="94" t="s">
        <v>210</v>
      </c>
      <c r="Q328" s="94"/>
      <c r="R328" s="94"/>
      <c r="S328" s="94"/>
      <c r="T328" s="94"/>
      <c r="U328" s="94"/>
      <c r="V328" s="94"/>
      <c r="W328" s="94"/>
      <c r="X328" s="94"/>
      <c r="Y328" s="94"/>
      <c r="Z328" s="94"/>
      <c r="AA328" s="94"/>
      <c r="AB328" s="94"/>
      <c r="AC328" s="94"/>
      <c r="AD328" s="94"/>
      <c r="AE328" s="94"/>
      <c r="AF328" s="94"/>
      <c r="AG328" s="94"/>
      <c r="AH328" s="94"/>
      <c r="AI328" s="94"/>
      <c r="AJ328" s="94"/>
      <c r="AK328" s="94"/>
      <c r="AL328" s="94"/>
      <c r="AM328" s="94"/>
      <c r="AN328" s="94"/>
      <c r="AO328" s="94"/>
      <c r="AP328" s="94"/>
      <c r="AQ328" s="94"/>
      <c r="AR328" s="94"/>
      <c r="AS328" s="94"/>
      <c r="AT328" s="94"/>
      <c r="AU328" s="94"/>
      <c r="AV328" s="94"/>
      <c r="AW328" s="94"/>
      <c r="AX328" s="94"/>
      <c r="AY328" s="94"/>
      <c r="AZ328" s="94"/>
      <c r="BA328" s="95"/>
    </row>
    <row r="329" spans="1:53" s="87" customFormat="1">
      <c r="A329" s="90" t="str">
        <f t="shared" si="29"/>
        <v/>
      </c>
      <c r="B329" s="317">
        <v>16</v>
      </c>
      <c r="C329" s="94" t="s">
        <v>210</v>
      </c>
      <c r="D329" s="94" t="s">
        <v>210</v>
      </c>
      <c r="E329" s="94">
        <v>2</v>
      </c>
      <c r="F329" s="94" t="s">
        <v>210</v>
      </c>
      <c r="G329" s="94">
        <v>-1</v>
      </c>
      <c r="H329" s="94" t="s">
        <v>210</v>
      </c>
      <c r="I329" s="94" t="s">
        <v>210</v>
      </c>
      <c r="J329" s="94" t="s">
        <v>210</v>
      </c>
      <c r="K329" s="94">
        <v>-2</v>
      </c>
      <c r="L329" s="94" t="s">
        <v>210</v>
      </c>
      <c r="M329" s="94" t="s">
        <v>210</v>
      </c>
      <c r="N329" s="94" t="s">
        <v>210</v>
      </c>
      <c r="O329" s="94">
        <v>1</v>
      </c>
      <c r="P329" s="94" t="s">
        <v>210</v>
      </c>
      <c r="Q329" s="94"/>
      <c r="R329" s="94"/>
      <c r="S329" s="94"/>
      <c r="T329" s="94"/>
      <c r="U329" s="94"/>
      <c r="V329" s="94"/>
      <c r="W329" s="94"/>
      <c r="X329" s="94"/>
      <c r="Y329" s="94"/>
      <c r="Z329" s="94"/>
      <c r="AA329" s="94"/>
      <c r="AB329" s="94"/>
      <c r="AC329" s="94"/>
      <c r="AD329" s="94"/>
      <c r="AE329" s="94"/>
      <c r="AF329" s="94"/>
      <c r="AG329" s="94"/>
      <c r="AH329" s="94"/>
      <c r="AI329" s="94"/>
      <c r="AJ329" s="94"/>
      <c r="AK329" s="94"/>
      <c r="AL329" s="94"/>
      <c r="AM329" s="94"/>
      <c r="AN329" s="94"/>
      <c r="AO329" s="94"/>
      <c r="AP329" s="94"/>
      <c r="AQ329" s="94"/>
      <c r="AR329" s="94"/>
      <c r="AS329" s="94"/>
      <c r="AT329" s="94"/>
      <c r="AU329" s="94"/>
      <c r="AV329" s="94"/>
      <c r="AW329" s="94"/>
      <c r="AX329" s="94"/>
      <c r="AY329" s="94"/>
      <c r="AZ329" s="94"/>
      <c r="BA329" s="95"/>
    </row>
    <row r="330" spans="1:53" s="87" customFormat="1">
      <c r="A330" s="90" t="str">
        <f t="shared" si="29"/>
        <v/>
      </c>
      <c r="B330" s="98">
        <v>17</v>
      </c>
      <c r="C330" s="94" t="s">
        <v>210</v>
      </c>
      <c r="D330" s="94" t="s">
        <v>210</v>
      </c>
      <c r="E330" s="94">
        <v>-2</v>
      </c>
      <c r="F330" s="94" t="s">
        <v>210</v>
      </c>
      <c r="G330" s="94" t="s">
        <v>210</v>
      </c>
      <c r="H330" s="94">
        <v>-1</v>
      </c>
      <c r="I330" s="94" t="s">
        <v>210</v>
      </c>
      <c r="J330" s="94">
        <v>3</v>
      </c>
      <c r="K330" s="94" t="s">
        <v>210</v>
      </c>
      <c r="L330" s="94" t="s">
        <v>210</v>
      </c>
      <c r="M330" s="94">
        <v>1</v>
      </c>
      <c r="N330" s="94" t="s">
        <v>210</v>
      </c>
      <c r="O330" s="94" t="s">
        <v>210</v>
      </c>
      <c r="P330" s="94" t="s">
        <v>210</v>
      </c>
      <c r="Q330" s="94"/>
      <c r="R330" s="94"/>
      <c r="S330" s="94"/>
      <c r="T330" s="94"/>
      <c r="U330" s="94"/>
      <c r="V330" s="94"/>
      <c r="W330" s="94"/>
      <c r="X330" s="94"/>
      <c r="Y330" s="94"/>
      <c r="Z330" s="94"/>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c r="AW330" s="94"/>
      <c r="AX330" s="94"/>
      <c r="AY330" s="94"/>
      <c r="AZ330" s="94"/>
      <c r="BA330" s="95"/>
    </row>
    <row r="331" spans="1:53" s="87" customFormat="1">
      <c r="A331" s="90" t="str">
        <f t="shared" si="29"/>
        <v/>
      </c>
      <c r="B331" s="317" t="s">
        <v>1088</v>
      </c>
      <c r="C331" s="94"/>
      <c r="D331" s="94"/>
      <c r="E331" s="94"/>
      <c r="F331" s="94"/>
      <c r="G331" s="94"/>
      <c r="H331" s="94"/>
      <c r="I331" s="94"/>
      <c r="J331" s="94"/>
      <c r="K331" s="94"/>
      <c r="L331" s="94"/>
      <c r="M331" s="94"/>
      <c r="N331" s="94"/>
      <c r="O331" s="94"/>
      <c r="P331" s="94"/>
      <c r="Q331" s="94"/>
      <c r="R331" s="94"/>
      <c r="S331" s="94"/>
      <c r="T331" s="94"/>
      <c r="U331" s="94"/>
      <c r="V331" s="94"/>
      <c r="W331" s="94"/>
      <c r="X331" s="94"/>
      <c r="Y331" s="94"/>
      <c r="Z331" s="94"/>
      <c r="AA331" s="94"/>
      <c r="AB331" s="94"/>
      <c r="AC331" s="94"/>
      <c r="AD331" s="94"/>
      <c r="AE331" s="94"/>
      <c r="AF331" s="94"/>
      <c r="AG331" s="94"/>
      <c r="AH331" s="94"/>
      <c r="AI331" s="94"/>
      <c r="AJ331" s="94"/>
      <c r="AK331" s="94"/>
      <c r="AL331" s="94"/>
      <c r="AM331" s="94"/>
      <c r="AN331" s="94"/>
      <c r="AO331" s="94"/>
      <c r="AP331" s="94"/>
      <c r="AQ331" s="94"/>
      <c r="AR331" s="94"/>
      <c r="AS331" s="94"/>
      <c r="AT331" s="94"/>
      <c r="AU331" s="94"/>
      <c r="AV331" s="94"/>
      <c r="AW331" s="94"/>
      <c r="AX331" s="94"/>
      <c r="AY331" s="94"/>
      <c r="AZ331" s="94"/>
      <c r="BA331" s="95"/>
    </row>
    <row r="332" spans="1:53" s="87" customFormat="1">
      <c r="A332" s="90">
        <f t="shared" ref="A332:A395" si="31">IF(MID(B332,3,2)="03",ROW(),"")</f>
        <v>332</v>
      </c>
      <c r="B332" s="317" t="s">
        <v>1228</v>
      </c>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5"/>
    </row>
    <row r="333" spans="1:53" s="87" customFormat="1">
      <c r="A333" s="90" t="str">
        <f t="shared" si="31"/>
        <v/>
      </c>
      <c r="B333" s="98">
        <v>1</v>
      </c>
      <c r="C333" s="94">
        <v>-3</v>
      </c>
      <c r="D333" s="94" t="s">
        <v>210</v>
      </c>
      <c r="E333" s="94">
        <v>-1</v>
      </c>
      <c r="F333" s="94" t="s">
        <v>210</v>
      </c>
      <c r="G333" s="94">
        <v>2</v>
      </c>
      <c r="H333" s="94" t="s">
        <v>210</v>
      </c>
      <c r="I333" s="94" t="s">
        <v>210</v>
      </c>
      <c r="J333" s="94">
        <v>-3</v>
      </c>
      <c r="K333" s="94" t="s">
        <v>210</v>
      </c>
      <c r="L333" s="94" t="s">
        <v>210</v>
      </c>
      <c r="M333" s="94">
        <v>1</v>
      </c>
      <c r="N333" s="94" t="s">
        <v>210</v>
      </c>
      <c r="O333" s="94" t="s">
        <v>210</v>
      </c>
      <c r="P333" s="94" t="s">
        <v>210</v>
      </c>
      <c r="Q333" s="94">
        <v>3</v>
      </c>
      <c r="R333" s="94" t="s">
        <v>210</v>
      </c>
      <c r="S333" s="94">
        <v>-2</v>
      </c>
      <c r="T333" s="94"/>
      <c r="U333" s="94"/>
      <c r="V333" s="94"/>
      <c r="W333" s="94"/>
      <c r="X333" s="94"/>
      <c r="Y333" s="94"/>
      <c r="Z333" s="94"/>
      <c r="AA333" s="94"/>
      <c r="AB333" s="94"/>
      <c r="AC333" s="94"/>
      <c r="AD333" s="94"/>
      <c r="AE333" s="94"/>
      <c r="AF333" s="94"/>
      <c r="AG333" s="94"/>
      <c r="AH333" s="94"/>
      <c r="AI333" s="94"/>
      <c r="AJ333" s="94"/>
      <c r="AK333" s="94"/>
      <c r="AL333" s="94"/>
      <c r="AM333" s="94"/>
      <c r="AN333" s="94"/>
      <c r="AO333" s="94"/>
      <c r="AP333" s="94"/>
      <c r="AQ333" s="94"/>
      <c r="AR333" s="94"/>
      <c r="AS333" s="94"/>
      <c r="AT333" s="94"/>
      <c r="AU333" s="94"/>
      <c r="AV333" s="94"/>
      <c r="AW333" s="94"/>
      <c r="AX333" s="94"/>
      <c r="AY333" s="94"/>
      <c r="AZ333" s="94"/>
      <c r="BA333" s="95"/>
    </row>
    <row r="334" spans="1:53" s="87" customFormat="1">
      <c r="A334" s="90" t="str">
        <f t="shared" si="31"/>
        <v/>
      </c>
      <c r="B334" s="98">
        <v>2</v>
      </c>
      <c r="C334" s="94" t="s">
        <v>210</v>
      </c>
      <c r="D334" s="94">
        <v>-2</v>
      </c>
      <c r="E334" s="94" t="s">
        <v>210</v>
      </c>
      <c r="F334" s="94">
        <v>1</v>
      </c>
      <c r="G334" s="94" t="s">
        <v>210</v>
      </c>
      <c r="H334" s="94">
        <v>3</v>
      </c>
      <c r="I334" s="94" t="s">
        <v>210</v>
      </c>
      <c r="J334" s="94" t="s">
        <v>210</v>
      </c>
      <c r="K334" s="94">
        <v>-1</v>
      </c>
      <c r="L334" s="94" t="s">
        <v>210</v>
      </c>
      <c r="M334" s="94">
        <v>-3</v>
      </c>
      <c r="N334" s="94" t="s">
        <v>210</v>
      </c>
      <c r="O334" s="94" t="s">
        <v>210</v>
      </c>
      <c r="P334" s="94" t="s">
        <v>210</v>
      </c>
      <c r="Q334" s="94">
        <v>-1</v>
      </c>
      <c r="R334" s="94" t="s">
        <v>210</v>
      </c>
      <c r="S334" s="94">
        <v>2</v>
      </c>
      <c r="T334" s="94"/>
      <c r="U334" s="94"/>
      <c r="V334" s="94"/>
      <c r="W334" s="94"/>
      <c r="X334" s="94"/>
      <c r="Y334" s="94"/>
      <c r="Z334" s="94"/>
      <c r="AA334" s="94"/>
      <c r="AB334" s="94"/>
      <c r="AC334" s="94"/>
      <c r="AD334" s="94"/>
      <c r="AE334" s="94"/>
      <c r="AF334" s="94"/>
      <c r="AG334" s="94"/>
      <c r="AH334" s="94"/>
      <c r="AI334" s="94"/>
      <c r="AJ334" s="94"/>
      <c r="AK334" s="94"/>
      <c r="AL334" s="94"/>
      <c r="AM334" s="94"/>
      <c r="AN334" s="94"/>
      <c r="AO334" s="94"/>
      <c r="AP334" s="94"/>
      <c r="AQ334" s="94"/>
      <c r="AR334" s="94"/>
      <c r="AS334" s="94"/>
      <c r="AT334" s="94"/>
      <c r="AU334" s="94"/>
      <c r="AV334" s="94"/>
      <c r="AW334" s="94"/>
      <c r="AX334" s="94"/>
      <c r="AY334" s="94"/>
      <c r="AZ334" s="94"/>
      <c r="BA334" s="95"/>
    </row>
    <row r="335" spans="1:53" s="87" customFormat="1">
      <c r="A335" s="90" t="str">
        <f t="shared" si="31"/>
        <v/>
      </c>
      <c r="B335" s="98">
        <v>3</v>
      </c>
      <c r="C335" s="94">
        <v>1</v>
      </c>
      <c r="D335" s="94" t="s">
        <v>210</v>
      </c>
      <c r="E335" s="94" t="s">
        <v>210</v>
      </c>
      <c r="F335" s="94">
        <v>3</v>
      </c>
      <c r="G335" s="94" t="s">
        <v>210</v>
      </c>
      <c r="H335" s="94" t="s">
        <v>210</v>
      </c>
      <c r="I335" s="94">
        <v>-2</v>
      </c>
      <c r="J335" s="94" t="s">
        <v>210</v>
      </c>
      <c r="K335" s="94">
        <v>1</v>
      </c>
      <c r="L335" s="94" t="s">
        <v>210</v>
      </c>
      <c r="M335" s="94" t="s">
        <v>210</v>
      </c>
      <c r="N335" s="94" t="s">
        <v>210</v>
      </c>
      <c r="O335" s="94">
        <v>2</v>
      </c>
      <c r="P335" s="94" t="s">
        <v>210</v>
      </c>
      <c r="Q335" s="94">
        <v>-3</v>
      </c>
      <c r="R335" s="94" t="s">
        <v>210</v>
      </c>
      <c r="S335" s="94">
        <v>-1</v>
      </c>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5"/>
    </row>
    <row r="336" spans="1:53" s="87" customFormat="1">
      <c r="A336" s="90" t="str">
        <f t="shared" si="31"/>
        <v/>
      </c>
      <c r="B336" s="98">
        <v>4</v>
      </c>
      <c r="C336" s="94">
        <v>-2</v>
      </c>
      <c r="D336" s="94" t="s">
        <v>210</v>
      </c>
      <c r="E336" s="94">
        <v>1</v>
      </c>
      <c r="F336" s="94" t="s">
        <v>210</v>
      </c>
      <c r="G336" s="94" t="s">
        <v>210</v>
      </c>
      <c r="H336" s="94">
        <v>-3</v>
      </c>
      <c r="I336" s="94" t="s">
        <v>210</v>
      </c>
      <c r="J336" s="94">
        <v>-1</v>
      </c>
      <c r="K336" s="94" t="s">
        <v>210</v>
      </c>
      <c r="L336" s="94" t="s">
        <v>210</v>
      </c>
      <c r="M336" s="94">
        <v>2</v>
      </c>
      <c r="N336" s="94" t="s">
        <v>210</v>
      </c>
      <c r="O336" s="94">
        <v>3</v>
      </c>
      <c r="P336" s="94" t="s">
        <v>210</v>
      </c>
      <c r="Q336" s="94" t="s">
        <v>210</v>
      </c>
      <c r="R336" s="94" t="s">
        <v>210</v>
      </c>
      <c r="S336" s="94">
        <v>1</v>
      </c>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5"/>
    </row>
    <row r="337" spans="1:53" s="87" customFormat="1">
      <c r="A337" s="90" t="str">
        <f t="shared" si="31"/>
        <v/>
      </c>
      <c r="B337" s="98">
        <v>5</v>
      </c>
      <c r="C337" s="94">
        <v>2</v>
      </c>
      <c r="D337" s="94" t="s">
        <v>210</v>
      </c>
      <c r="E337" s="94">
        <v>3</v>
      </c>
      <c r="F337" s="94" t="s">
        <v>210</v>
      </c>
      <c r="G337" s="94" t="s">
        <v>210</v>
      </c>
      <c r="H337" s="94">
        <v>-1</v>
      </c>
      <c r="I337" s="94" t="s">
        <v>210</v>
      </c>
      <c r="J337" s="94">
        <v>3</v>
      </c>
      <c r="K337" s="94" t="s">
        <v>210</v>
      </c>
      <c r="L337" s="94" t="s">
        <v>210</v>
      </c>
      <c r="M337" s="94" t="s">
        <v>210</v>
      </c>
      <c r="N337" s="94" t="s">
        <v>210</v>
      </c>
      <c r="O337" s="94">
        <v>-2</v>
      </c>
      <c r="P337" s="94" t="s">
        <v>210</v>
      </c>
      <c r="Q337" s="94">
        <v>1</v>
      </c>
      <c r="R337" s="94" t="s">
        <v>210</v>
      </c>
      <c r="S337" s="94">
        <v>-3</v>
      </c>
      <c r="T337" s="94"/>
      <c r="U337" s="94"/>
      <c r="V337" s="94"/>
      <c r="W337" s="94"/>
      <c r="X337" s="94"/>
      <c r="Y337" s="94"/>
      <c r="Z337" s="94"/>
      <c r="AA337" s="94"/>
      <c r="AB337" s="94"/>
      <c r="AC337" s="94"/>
      <c r="AD337" s="94"/>
      <c r="AE337" s="94"/>
      <c r="AF337" s="94"/>
      <c r="AG337" s="94"/>
      <c r="AH337" s="94"/>
      <c r="AI337" s="94"/>
      <c r="AJ337" s="94"/>
      <c r="AK337" s="94"/>
      <c r="AL337" s="94"/>
      <c r="AM337" s="94"/>
      <c r="AN337" s="94"/>
      <c r="AO337" s="94"/>
      <c r="AP337" s="94"/>
      <c r="AQ337" s="94"/>
      <c r="AR337" s="94"/>
      <c r="AS337" s="94"/>
      <c r="AT337" s="94"/>
      <c r="AU337" s="94"/>
      <c r="AV337" s="94"/>
      <c r="AW337" s="94"/>
      <c r="AX337" s="94"/>
      <c r="AY337" s="94"/>
      <c r="AZ337" s="94"/>
      <c r="BA337" s="95"/>
    </row>
    <row r="338" spans="1:53" s="87" customFormat="1">
      <c r="A338" s="90" t="str">
        <f t="shared" si="31"/>
        <v/>
      </c>
      <c r="B338" s="98">
        <v>6</v>
      </c>
      <c r="C338" s="94">
        <v>3</v>
      </c>
      <c r="D338" s="94" t="s">
        <v>210</v>
      </c>
      <c r="E338" s="94" t="s">
        <v>210</v>
      </c>
      <c r="F338" s="94">
        <v>-1</v>
      </c>
      <c r="G338" s="94" t="s">
        <v>210</v>
      </c>
      <c r="H338" s="94" t="s">
        <v>210</v>
      </c>
      <c r="I338" s="94">
        <v>2</v>
      </c>
      <c r="J338" s="94" t="s">
        <v>210</v>
      </c>
      <c r="K338" s="94">
        <v>-3</v>
      </c>
      <c r="L338" s="94" t="s">
        <v>210</v>
      </c>
      <c r="M338" s="94">
        <v>-2</v>
      </c>
      <c r="N338" s="94" t="s">
        <v>210</v>
      </c>
      <c r="O338" s="94">
        <v>1</v>
      </c>
      <c r="P338" s="94" t="s">
        <v>210</v>
      </c>
      <c r="Q338" s="94" t="s">
        <v>210</v>
      </c>
      <c r="R338" s="94" t="s">
        <v>210</v>
      </c>
      <c r="S338" s="94">
        <v>3</v>
      </c>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5"/>
    </row>
    <row r="339" spans="1:53" s="87" customFormat="1">
      <c r="A339" s="90" t="str">
        <f t="shared" si="31"/>
        <v/>
      </c>
      <c r="B339" s="98">
        <v>7</v>
      </c>
      <c r="C339" s="94">
        <v>-1</v>
      </c>
      <c r="D339" s="94" t="s">
        <v>210</v>
      </c>
      <c r="E339" s="94">
        <v>-3</v>
      </c>
      <c r="F339" s="94" t="s">
        <v>210</v>
      </c>
      <c r="G339" s="94">
        <v>-2</v>
      </c>
      <c r="H339" s="94" t="s">
        <v>210</v>
      </c>
      <c r="I339" s="94" t="s">
        <v>210</v>
      </c>
      <c r="J339" s="94">
        <v>1</v>
      </c>
      <c r="K339" s="94" t="s">
        <v>210</v>
      </c>
      <c r="L339" s="94" t="s">
        <v>210</v>
      </c>
      <c r="M339" s="94">
        <v>3</v>
      </c>
      <c r="N339" s="94" t="s">
        <v>210</v>
      </c>
      <c r="O339" s="94">
        <v>-1</v>
      </c>
      <c r="P339" s="94" t="s">
        <v>210</v>
      </c>
      <c r="Q339" s="94">
        <v>2</v>
      </c>
      <c r="R339" s="94" t="s">
        <v>210</v>
      </c>
      <c r="S339" s="94" t="s">
        <v>210</v>
      </c>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5"/>
    </row>
    <row r="340" spans="1:53" s="87" customFormat="1">
      <c r="A340" s="90" t="str">
        <f t="shared" si="31"/>
        <v/>
      </c>
      <c r="B340" s="99">
        <v>8</v>
      </c>
      <c r="C340" s="92" t="s">
        <v>210</v>
      </c>
      <c r="D340" s="92">
        <v>2</v>
      </c>
      <c r="E340" s="92" t="s">
        <v>210</v>
      </c>
      <c r="F340" s="92">
        <v>-3</v>
      </c>
      <c r="G340" s="92" t="s">
        <v>210</v>
      </c>
      <c r="H340" s="92">
        <v>1</v>
      </c>
      <c r="I340" s="92" t="s">
        <v>210</v>
      </c>
      <c r="J340" s="92" t="s">
        <v>210</v>
      </c>
      <c r="K340" s="92">
        <v>3</v>
      </c>
      <c r="L340" s="92" t="s">
        <v>210</v>
      </c>
      <c r="M340" s="92">
        <v>-1</v>
      </c>
      <c r="N340" s="92" t="s">
        <v>210</v>
      </c>
      <c r="O340" s="92">
        <v>-3</v>
      </c>
      <c r="P340" s="92" t="s">
        <v>210</v>
      </c>
      <c r="Q340" s="92">
        <v>-2</v>
      </c>
      <c r="R340" s="92" t="s">
        <v>210</v>
      </c>
      <c r="S340" s="92" t="s">
        <v>210</v>
      </c>
      <c r="T340" s="94"/>
      <c r="U340" s="94"/>
      <c r="V340" s="94"/>
      <c r="W340" s="94"/>
      <c r="X340" s="94"/>
      <c r="Y340" s="94"/>
      <c r="Z340" s="94"/>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c r="AZ340" s="94"/>
      <c r="BA340" s="95"/>
    </row>
    <row r="341" spans="1:53" s="87" customFormat="1">
      <c r="A341" s="90" t="str">
        <f t="shared" si="31"/>
        <v/>
      </c>
      <c r="B341" s="98">
        <v>9</v>
      </c>
      <c r="C341" s="94" t="s">
        <v>210</v>
      </c>
      <c r="D341" s="94">
        <v>1</v>
      </c>
      <c r="E341" s="94" t="s">
        <v>210</v>
      </c>
      <c r="F341" s="94" t="s">
        <v>210</v>
      </c>
      <c r="G341" s="94">
        <v>3</v>
      </c>
      <c r="H341" s="94" t="s">
        <v>210</v>
      </c>
      <c r="I341" s="94" t="s">
        <v>210</v>
      </c>
      <c r="J341" s="94">
        <v>-2</v>
      </c>
      <c r="K341" s="94" t="s">
        <v>210</v>
      </c>
      <c r="L341" s="94">
        <v>-1</v>
      </c>
      <c r="M341" s="94" t="s">
        <v>210</v>
      </c>
      <c r="N341" s="94" t="s">
        <v>210</v>
      </c>
      <c r="O341" s="94" t="s">
        <v>210</v>
      </c>
      <c r="P341" s="94">
        <v>-3</v>
      </c>
      <c r="Q341" s="94" t="s">
        <v>210</v>
      </c>
      <c r="R341" s="94">
        <v>2</v>
      </c>
      <c r="S341" s="94" t="s">
        <v>210</v>
      </c>
      <c r="T341" s="94"/>
      <c r="U341" s="94"/>
      <c r="V341" s="94"/>
      <c r="W341" s="94"/>
      <c r="X341" s="94"/>
      <c r="Y341" s="94"/>
      <c r="Z341" s="94"/>
      <c r="AA341" s="94"/>
      <c r="AB341" s="94"/>
      <c r="AC341" s="94"/>
      <c r="AD341" s="94"/>
      <c r="AE341" s="94"/>
      <c r="AF341" s="94"/>
      <c r="AG341" s="94"/>
      <c r="AH341" s="94"/>
      <c r="AI341" s="94"/>
      <c r="AJ341" s="94"/>
      <c r="AK341" s="94"/>
      <c r="AL341" s="94"/>
      <c r="AM341" s="94"/>
      <c r="AN341" s="94"/>
      <c r="AO341" s="94"/>
      <c r="AP341" s="94"/>
      <c r="AQ341" s="94"/>
      <c r="AR341" s="94"/>
      <c r="AS341" s="94"/>
      <c r="AT341" s="94"/>
      <c r="AU341" s="94"/>
      <c r="AV341" s="94"/>
      <c r="AW341" s="94"/>
      <c r="AX341" s="94"/>
      <c r="AY341" s="94"/>
      <c r="AZ341" s="94"/>
      <c r="BA341" s="95"/>
    </row>
    <row r="342" spans="1:53" s="87" customFormat="1">
      <c r="A342" s="90" t="str">
        <f t="shared" si="31"/>
        <v/>
      </c>
      <c r="B342" s="98">
        <v>10</v>
      </c>
      <c r="C342" s="94" t="s">
        <v>210</v>
      </c>
      <c r="D342" s="94" t="s">
        <v>210</v>
      </c>
      <c r="E342" s="94">
        <v>2</v>
      </c>
      <c r="F342" s="94" t="s">
        <v>210</v>
      </c>
      <c r="G342" s="94">
        <v>-1</v>
      </c>
      <c r="H342" s="94" t="s">
        <v>210</v>
      </c>
      <c r="I342" s="94">
        <v>3</v>
      </c>
      <c r="J342" s="94" t="s">
        <v>210</v>
      </c>
      <c r="K342" s="94" t="s">
        <v>210</v>
      </c>
      <c r="L342" s="94" t="s">
        <v>210</v>
      </c>
      <c r="M342" s="94" t="s">
        <v>210</v>
      </c>
      <c r="N342" s="94">
        <v>-2</v>
      </c>
      <c r="O342" s="94" t="s">
        <v>210</v>
      </c>
      <c r="P342" s="94">
        <v>1</v>
      </c>
      <c r="Q342" s="94" t="s">
        <v>210</v>
      </c>
      <c r="R342" s="94">
        <v>-2</v>
      </c>
      <c r="S342" s="94" t="s">
        <v>210</v>
      </c>
      <c r="T342" s="94"/>
      <c r="U342" s="94"/>
      <c r="V342" s="94"/>
      <c r="W342" s="94"/>
      <c r="X342" s="94"/>
      <c r="Y342" s="94"/>
      <c r="Z342" s="94"/>
      <c r="AA342" s="94"/>
      <c r="AB342" s="94"/>
      <c r="AC342" s="94"/>
      <c r="AD342" s="94"/>
      <c r="AE342" s="94"/>
      <c r="AF342" s="94"/>
      <c r="AG342" s="94"/>
      <c r="AH342" s="94"/>
      <c r="AI342" s="94"/>
      <c r="AJ342" s="94"/>
      <c r="AK342" s="94"/>
      <c r="AL342" s="94"/>
      <c r="AM342" s="94"/>
      <c r="AN342" s="94"/>
      <c r="AO342" s="94"/>
      <c r="AP342" s="94"/>
      <c r="AQ342" s="94"/>
      <c r="AR342" s="94"/>
      <c r="AS342" s="94"/>
      <c r="AT342" s="94"/>
      <c r="AU342" s="94"/>
      <c r="AV342" s="94"/>
      <c r="AW342" s="94"/>
      <c r="AX342" s="94"/>
      <c r="AY342" s="94"/>
      <c r="AZ342" s="94"/>
      <c r="BA342" s="95"/>
    </row>
    <row r="343" spans="1:53" s="87" customFormat="1">
      <c r="A343" s="90" t="str">
        <f t="shared" si="31"/>
        <v/>
      </c>
      <c r="B343" s="98">
        <v>11</v>
      </c>
      <c r="C343" s="94" t="s">
        <v>210</v>
      </c>
      <c r="D343" s="94">
        <v>3</v>
      </c>
      <c r="E343" s="94" t="s">
        <v>210</v>
      </c>
      <c r="F343" s="94">
        <v>2</v>
      </c>
      <c r="G343" s="94" t="s">
        <v>210</v>
      </c>
      <c r="H343" s="94" t="s">
        <v>210</v>
      </c>
      <c r="I343" s="94" t="s">
        <v>210</v>
      </c>
      <c r="J343" s="94" t="s">
        <v>210</v>
      </c>
      <c r="K343" s="94" t="s">
        <v>210</v>
      </c>
      <c r="L343" s="94">
        <v>1</v>
      </c>
      <c r="M343" s="94" t="s">
        <v>210</v>
      </c>
      <c r="N343" s="94">
        <v>-3</v>
      </c>
      <c r="O343" s="94" t="s">
        <v>210</v>
      </c>
      <c r="P343" s="94">
        <v>-1</v>
      </c>
      <c r="Q343" s="94" t="s">
        <v>210</v>
      </c>
      <c r="R343" s="94">
        <v>-3</v>
      </c>
      <c r="S343" s="94" t="s">
        <v>210</v>
      </c>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5"/>
    </row>
    <row r="344" spans="1:53" s="87" customFormat="1">
      <c r="A344" s="90" t="str">
        <f t="shared" si="31"/>
        <v/>
      </c>
      <c r="B344" s="98">
        <v>12</v>
      </c>
      <c r="C344" s="94" t="s">
        <v>210</v>
      </c>
      <c r="D344" s="94" t="s">
        <v>210</v>
      </c>
      <c r="E344" s="94">
        <v>-2</v>
      </c>
      <c r="F344" s="94" t="s">
        <v>210</v>
      </c>
      <c r="G344" s="94">
        <v>-3</v>
      </c>
      <c r="H344" s="94" t="s">
        <v>210</v>
      </c>
      <c r="I344" s="94">
        <v>-1</v>
      </c>
      <c r="J344" s="94" t="s">
        <v>210</v>
      </c>
      <c r="K344" s="94" t="s">
        <v>210</v>
      </c>
      <c r="L344" s="94">
        <v>2</v>
      </c>
      <c r="M344" s="94" t="s">
        <v>210</v>
      </c>
      <c r="N344" s="94">
        <v>1</v>
      </c>
      <c r="O344" s="94" t="s">
        <v>210</v>
      </c>
      <c r="P344" s="94" t="s">
        <v>210</v>
      </c>
      <c r="Q344" s="94" t="s">
        <v>210</v>
      </c>
      <c r="R344" s="94">
        <v>3</v>
      </c>
      <c r="S344" s="94" t="s">
        <v>210</v>
      </c>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5"/>
    </row>
    <row r="345" spans="1:53" s="87" customFormat="1">
      <c r="A345" s="90" t="str">
        <f t="shared" si="31"/>
        <v/>
      </c>
      <c r="B345" s="98">
        <v>13</v>
      </c>
      <c r="C345" s="94" t="s">
        <v>210</v>
      </c>
      <c r="D345" s="94" t="s">
        <v>210</v>
      </c>
      <c r="E345" s="94" t="s">
        <v>210</v>
      </c>
      <c r="F345" s="94">
        <v>-2</v>
      </c>
      <c r="G345" s="94" t="s">
        <v>210</v>
      </c>
      <c r="H345" s="94" t="s">
        <v>210</v>
      </c>
      <c r="I345" s="94">
        <v>1</v>
      </c>
      <c r="J345" s="94" t="s">
        <v>210</v>
      </c>
      <c r="K345" s="94" t="s">
        <v>210</v>
      </c>
      <c r="L345" s="94">
        <v>-3</v>
      </c>
      <c r="M345" s="94" t="s">
        <v>210</v>
      </c>
      <c r="N345" s="94">
        <v>2</v>
      </c>
      <c r="O345" s="94" t="s">
        <v>210</v>
      </c>
      <c r="P345" s="94">
        <v>3</v>
      </c>
      <c r="Q345" s="94" t="s">
        <v>210</v>
      </c>
      <c r="R345" s="94">
        <v>-1</v>
      </c>
      <c r="S345" s="94" t="s">
        <v>210</v>
      </c>
      <c r="T345" s="94"/>
      <c r="U345" s="94"/>
      <c r="V345" s="94"/>
      <c r="W345" s="94"/>
      <c r="X345" s="94"/>
      <c r="Y345" s="94"/>
      <c r="Z345" s="94"/>
      <c r="AA345" s="94"/>
      <c r="AB345" s="94"/>
      <c r="AC345" s="94"/>
      <c r="AD345" s="94"/>
      <c r="AE345" s="94"/>
      <c r="AF345" s="94"/>
      <c r="AG345" s="94"/>
      <c r="AH345" s="94"/>
      <c r="AI345" s="94"/>
      <c r="AJ345" s="94"/>
      <c r="AK345" s="94"/>
      <c r="AL345" s="94"/>
      <c r="AM345" s="94"/>
      <c r="AN345" s="94"/>
      <c r="AO345" s="94"/>
      <c r="AP345" s="94"/>
      <c r="AQ345" s="94"/>
      <c r="AR345" s="94"/>
      <c r="AS345" s="94"/>
      <c r="AT345" s="94"/>
      <c r="AU345" s="94"/>
      <c r="AV345" s="94"/>
      <c r="AW345" s="94"/>
      <c r="AX345" s="94"/>
      <c r="AY345" s="94"/>
      <c r="AZ345" s="94"/>
      <c r="BA345" s="95"/>
    </row>
    <row r="346" spans="1:53" s="87" customFormat="1">
      <c r="A346" s="90" t="str">
        <f t="shared" si="31"/>
        <v/>
      </c>
      <c r="B346" s="98">
        <v>14</v>
      </c>
      <c r="C346" s="94" t="s">
        <v>210</v>
      </c>
      <c r="D346" s="94">
        <v>-1</v>
      </c>
      <c r="E346" s="94" t="s">
        <v>210</v>
      </c>
      <c r="F346" s="94" t="s">
        <v>210</v>
      </c>
      <c r="G346" s="94" t="s">
        <v>210</v>
      </c>
      <c r="H346" s="94" t="s">
        <v>210</v>
      </c>
      <c r="I346" s="94">
        <v>-3</v>
      </c>
      <c r="J346" s="94" t="s">
        <v>210</v>
      </c>
      <c r="K346" s="94" t="s">
        <v>210</v>
      </c>
      <c r="L346" s="94">
        <v>-2</v>
      </c>
      <c r="M346" s="94" t="s">
        <v>210</v>
      </c>
      <c r="N346" s="94">
        <v>3</v>
      </c>
      <c r="O346" s="94" t="s">
        <v>210</v>
      </c>
      <c r="P346" s="94">
        <v>2</v>
      </c>
      <c r="Q346" s="94" t="s">
        <v>210</v>
      </c>
      <c r="R346" s="94">
        <v>1</v>
      </c>
      <c r="S346" s="94" t="s">
        <v>210</v>
      </c>
      <c r="T346" s="94"/>
      <c r="U346" s="94"/>
      <c r="V346" s="94"/>
      <c r="W346" s="94"/>
      <c r="X346" s="94"/>
      <c r="Y346" s="94"/>
      <c r="Z346" s="94"/>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5"/>
    </row>
    <row r="347" spans="1:53" s="87" customFormat="1">
      <c r="A347" s="90" t="str">
        <f t="shared" si="31"/>
        <v/>
      </c>
      <c r="B347" s="98">
        <v>15</v>
      </c>
      <c r="C347" s="94" t="s">
        <v>210</v>
      </c>
      <c r="D347" s="94">
        <v>-3</v>
      </c>
      <c r="E347" s="94" t="s">
        <v>210</v>
      </c>
      <c r="F347" s="94" t="s">
        <v>210</v>
      </c>
      <c r="G347" s="94">
        <v>1</v>
      </c>
      <c r="H347" s="94" t="s">
        <v>210</v>
      </c>
      <c r="I347" s="94" t="s">
        <v>210</v>
      </c>
      <c r="J347" s="94">
        <v>2</v>
      </c>
      <c r="K347" s="94" t="s">
        <v>210</v>
      </c>
      <c r="L347" s="94">
        <v>3</v>
      </c>
      <c r="M347" s="94" t="s">
        <v>210</v>
      </c>
      <c r="N347" s="94">
        <v>-1</v>
      </c>
      <c r="O347" s="94" t="s">
        <v>210</v>
      </c>
      <c r="P347" s="94">
        <v>-2</v>
      </c>
      <c r="Q347" s="94" t="s">
        <v>210</v>
      </c>
      <c r="R347" s="94" t="s">
        <v>210</v>
      </c>
      <c r="S347" s="94" t="s">
        <v>210</v>
      </c>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5"/>
    </row>
    <row r="348" spans="1:53" s="87" customFormat="1">
      <c r="A348" s="90" t="str">
        <f t="shared" si="31"/>
        <v/>
      </c>
      <c r="B348" s="317" t="s">
        <v>1089</v>
      </c>
      <c r="C348" s="94"/>
      <c r="D348" s="94"/>
      <c r="E348" s="94"/>
      <c r="F348" s="94"/>
      <c r="G348" s="94"/>
      <c r="H348" s="94"/>
      <c r="I348" s="94"/>
      <c r="J348" s="94"/>
      <c r="K348" s="94"/>
      <c r="L348" s="94"/>
      <c r="M348" s="94"/>
      <c r="N348" s="94"/>
      <c r="O348" s="94"/>
      <c r="P348" s="94"/>
      <c r="Q348" s="94"/>
      <c r="R348" s="94"/>
      <c r="S348" s="94"/>
      <c r="T348" s="94"/>
      <c r="U348" s="94"/>
      <c r="V348" s="94"/>
      <c r="W348" s="94"/>
      <c r="X348" s="94"/>
      <c r="Y348" s="94"/>
      <c r="Z348" s="94"/>
      <c r="AA348" s="94"/>
      <c r="AB348" s="94"/>
      <c r="AC348" s="94"/>
      <c r="AD348" s="94"/>
      <c r="AE348" s="94"/>
      <c r="AF348" s="94"/>
      <c r="AG348" s="94"/>
      <c r="AH348" s="94"/>
      <c r="AI348" s="94"/>
      <c r="AJ348" s="94"/>
      <c r="AK348" s="94"/>
      <c r="AL348" s="94"/>
      <c r="AM348" s="94"/>
      <c r="AN348" s="94"/>
      <c r="AO348" s="94"/>
      <c r="AP348" s="94"/>
      <c r="AQ348" s="94"/>
      <c r="AR348" s="94"/>
      <c r="AS348" s="94"/>
      <c r="AT348" s="94"/>
      <c r="AU348" s="94"/>
      <c r="AV348" s="94"/>
      <c r="AW348" s="94"/>
      <c r="AX348" s="94"/>
      <c r="AY348" s="94"/>
      <c r="AZ348" s="94"/>
      <c r="BA348" s="95"/>
    </row>
    <row r="349" spans="1:53" s="87" customFormat="1">
      <c r="A349" s="90">
        <f t="shared" si="31"/>
        <v>349</v>
      </c>
      <c r="B349" s="317" t="s">
        <v>1230</v>
      </c>
      <c r="C349" s="94"/>
      <c r="D349" s="94"/>
      <c r="E349" s="94"/>
      <c r="F349" s="94"/>
      <c r="G349" s="94"/>
      <c r="H349" s="94"/>
      <c r="I349" s="94"/>
      <c r="J349" s="94"/>
      <c r="K349" s="94"/>
      <c r="L349" s="94"/>
      <c r="M349" s="94"/>
      <c r="N349" s="94"/>
      <c r="O349" s="94"/>
      <c r="P349" s="94"/>
      <c r="Q349" s="94"/>
      <c r="R349" s="94"/>
      <c r="S349" s="94"/>
      <c r="T349" s="94"/>
      <c r="U349" s="94"/>
      <c r="V349" s="94"/>
      <c r="W349" s="94"/>
      <c r="X349" s="94"/>
      <c r="Y349" s="94"/>
      <c r="Z349" s="94"/>
      <c r="AA349" s="94"/>
      <c r="AB349" s="94"/>
      <c r="AC349" s="94"/>
      <c r="AD349" s="94"/>
      <c r="AE349" s="94"/>
      <c r="AF349" s="94"/>
      <c r="AG349" s="94"/>
      <c r="AH349" s="94"/>
      <c r="AI349" s="94"/>
      <c r="AJ349" s="94"/>
      <c r="AK349" s="94"/>
      <c r="AL349" s="94"/>
      <c r="AM349" s="94"/>
      <c r="AN349" s="94"/>
      <c r="AO349" s="94"/>
      <c r="AP349" s="94"/>
      <c r="AQ349" s="94"/>
      <c r="AR349" s="94"/>
      <c r="AS349" s="94"/>
      <c r="AT349" s="94"/>
      <c r="AU349" s="94"/>
      <c r="AV349" s="94"/>
      <c r="AW349" s="94"/>
      <c r="AX349" s="94"/>
      <c r="AY349" s="94"/>
      <c r="AZ349" s="94"/>
      <c r="BA349" s="95"/>
    </row>
    <row r="350" spans="1:53" s="87" customFormat="1">
      <c r="A350" s="90" t="str">
        <f t="shared" si="31"/>
        <v/>
      </c>
      <c r="B350" s="98">
        <v>1</v>
      </c>
      <c r="C350" s="94">
        <v>3</v>
      </c>
      <c r="D350" s="94" t="s">
        <v>210</v>
      </c>
      <c r="E350" s="94">
        <v>-1</v>
      </c>
      <c r="F350" s="94" t="s">
        <v>210</v>
      </c>
      <c r="G350" s="94" t="s">
        <v>210</v>
      </c>
      <c r="H350" s="94">
        <v>-2</v>
      </c>
      <c r="I350" s="94" t="s">
        <v>210</v>
      </c>
      <c r="J350" s="94" t="s">
        <v>210</v>
      </c>
      <c r="K350" s="94">
        <v>-3</v>
      </c>
      <c r="L350" s="94" t="s">
        <v>210</v>
      </c>
      <c r="M350" s="94" t="s">
        <v>210</v>
      </c>
      <c r="N350" s="94" t="s">
        <v>210</v>
      </c>
      <c r="O350" s="94">
        <v>2</v>
      </c>
      <c r="P350" s="94" t="s">
        <v>210</v>
      </c>
      <c r="Q350" s="94">
        <v>1</v>
      </c>
      <c r="R350" s="94" t="s">
        <v>210</v>
      </c>
      <c r="S350" s="94" t="s">
        <v>210</v>
      </c>
      <c r="T350" s="94">
        <v>2</v>
      </c>
      <c r="U350" s="94" t="s">
        <v>210</v>
      </c>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5"/>
    </row>
    <row r="351" spans="1:53" s="87" customFormat="1">
      <c r="A351" s="90" t="str">
        <f t="shared" si="31"/>
        <v/>
      </c>
      <c r="B351" s="98">
        <v>2</v>
      </c>
      <c r="C351" s="94">
        <v>-2</v>
      </c>
      <c r="D351" s="94" t="s">
        <v>210</v>
      </c>
      <c r="E351" s="94" t="s">
        <v>210</v>
      </c>
      <c r="F351" s="94">
        <v>-1</v>
      </c>
      <c r="G351" s="94" t="s">
        <v>210</v>
      </c>
      <c r="H351" s="94" t="s">
        <v>210</v>
      </c>
      <c r="I351" s="94">
        <v>3</v>
      </c>
      <c r="J351" s="94" t="s">
        <v>210</v>
      </c>
      <c r="K351" s="94" t="s">
        <v>210</v>
      </c>
      <c r="L351" s="94">
        <v>1</v>
      </c>
      <c r="M351" s="94" t="s">
        <v>210</v>
      </c>
      <c r="N351" s="94">
        <v>2</v>
      </c>
      <c r="O351" s="94" t="s">
        <v>210</v>
      </c>
      <c r="P351" s="94" t="s">
        <v>210</v>
      </c>
      <c r="Q351" s="94">
        <v>-3</v>
      </c>
      <c r="R351" s="94" t="s">
        <v>210</v>
      </c>
      <c r="S351" s="94" t="s">
        <v>210</v>
      </c>
      <c r="T351" s="94">
        <v>-2</v>
      </c>
      <c r="U351" s="94" t="s">
        <v>210</v>
      </c>
      <c r="V351" s="94"/>
      <c r="W351" s="94"/>
      <c r="X351" s="94"/>
      <c r="Y351" s="94"/>
      <c r="Z351" s="94"/>
      <c r="AA351" s="94"/>
      <c r="AB351" s="94"/>
      <c r="AC351" s="94"/>
      <c r="AD351" s="94"/>
      <c r="AE351" s="94"/>
      <c r="AF351" s="94"/>
      <c r="AG351" s="94"/>
      <c r="AH351" s="94"/>
      <c r="AI351" s="94"/>
      <c r="AJ351" s="94"/>
      <c r="AK351" s="94"/>
      <c r="AL351" s="94"/>
      <c r="AM351" s="94"/>
      <c r="AN351" s="94"/>
      <c r="AO351" s="94"/>
      <c r="AP351" s="94"/>
      <c r="AQ351" s="94"/>
      <c r="AR351" s="94"/>
      <c r="AS351" s="94"/>
      <c r="AT351" s="94"/>
      <c r="AU351" s="94"/>
      <c r="AV351" s="94"/>
      <c r="AW351" s="94"/>
      <c r="AX351" s="94"/>
      <c r="AY351" s="94"/>
      <c r="AZ351" s="94"/>
      <c r="BA351" s="95"/>
    </row>
    <row r="352" spans="1:53" s="87" customFormat="1">
      <c r="A352" s="90" t="str">
        <f t="shared" si="31"/>
        <v/>
      </c>
      <c r="B352" s="98">
        <v>3</v>
      </c>
      <c r="C352" s="94">
        <v>-1</v>
      </c>
      <c r="D352" s="94" t="s">
        <v>210</v>
      </c>
      <c r="E352" s="94" t="s">
        <v>210</v>
      </c>
      <c r="F352" s="94">
        <v>2</v>
      </c>
      <c r="G352" s="94" t="s">
        <v>210</v>
      </c>
      <c r="H352" s="94">
        <v>-3</v>
      </c>
      <c r="I352" s="94" t="s">
        <v>210</v>
      </c>
      <c r="J352" s="94" t="s">
        <v>210</v>
      </c>
      <c r="K352" s="94" t="s">
        <v>210</v>
      </c>
      <c r="L352" s="94" t="s">
        <v>210</v>
      </c>
      <c r="M352" s="94">
        <v>1</v>
      </c>
      <c r="N352" s="94" t="s">
        <v>210</v>
      </c>
      <c r="O352" s="94">
        <v>-2</v>
      </c>
      <c r="P352" s="94" t="s">
        <v>210</v>
      </c>
      <c r="Q352" s="94">
        <v>3</v>
      </c>
      <c r="R352" s="94" t="s">
        <v>210</v>
      </c>
      <c r="S352" s="94">
        <v>2</v>
      </c>
      <c r="T352" s="94" t="s">
        <v>210</v>
      </c>
      <c r="U352" s="94" t="s">
        <v>210</v>
      </c>
      <c r="V352" s="94"/>
      <c r="W352" s="94"/>
      <c r="X352" s="94"/>
      <c r="Y352" s="94"/>
      <c r="Z352" s="94"/>
      <c r="AA352" s="94"/>
      <c r="AB352" s="94"/>
      <c r="AC352" s="94"/>
      <c r="AD352" s="94"/>
      <c r="AE352" s="94"/>
      <c r="AF352" s="94"/>
      <c r="AG352" s="94"/>
      <c r="AH352" s="94"/>
      <c r="AI352" s="94"/>
      <c r="AJ352" s="94"/>
      <c r="AK352" s="94"/>
      <c r="AL352" s="94"/>
      <c r="AM352" s="94"/>
      <c r="AN352" s="94"/>
      <c r="AO352" s="94"/>
      <c r="AP352" s="94"/>
      <c r="AQ352" s="94"/>
      <c r="AR352" s="94"/>
      <c r="AS352" s="94"/>
      <c r="AT352" s="94"/>
      <c r="AU352" s="94"/>
      <c r="AV352" s="94"/>
      <c r="AW352" s="94"/>
      <c r="AX352" s="94"/>
      <c r="AY352" s="94"/>
      <c r="AZ352" s="94"/>
      <c r="BA352" s="95"/>
    </row>
    <row r="353" spans="1:53" s="87" customFormat="1">
      <c r="A353" s="90" t="str">
        <f t="shared" si="31"/>
        <v/>
      </c>
      <c r="B353" s="98">
        <v>4</v>
      </c>
      <c r="C353" s="94" t="s">
        <v>210</v>
      </c>
      <c r="D353" s="94">
        <v>-1</v>
      </c>
      <c r="E353" s="94" t="s">
        <v>210</v>
      </c>
      <c r="F353" s="94">
        <v>-3</v>
      </c>
      <c r="G353" s="94" t="s">
        <v>210</v>
      </c>
      <c r="H353" s="94" t="s">
        <v>210</v>
      </c>
      <c r="I353" s="94">
        <v>2</v>
      </c>
      <c r="J353" s="94" t="s">
        <v>210</v>
      </c>
      <c r="K353" s="94">
        <v>3</v>
      </c>
      <c r="L353" s="94" t="s">
        <v>210</v>
      </c>
      <c r="M353" s="94" t="s">
        <v>210</v>
      </c>
      <c r="N353" s="94">
        <v>-2</v>
      </c>
      <c r="O353" s="94" t="s">
        <v>210</v>
      </c>
      <c r="P353" s="94">
        <v>1</v>
      </c>
      <c r="Q353" s="94" t="s">
        <v>210</v>
      </c>
      <c r="R353" s="94" t="s">
        <v>210</v>
      </c>
      <c r="S353" s="94">
        <v>-2</v>
      </c>
      <c r="T353" s="94" t="s">
        <v>210</v>
      </c>
      <c r="U353" s="94" t="s">
        <v>210</v>
      </c>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5"/>
    </row>
    <row r="354" spans="1:53" s="87" customFormat="1">
      <c r="A354" s="90" t="str">
        <f t="shared" si="31"/>
        <v/>
      </c>
      <c r="B354" s="98">
        <v>5</v>
      </c>
      <c r="C354" s="94">
        <v>2</v>
      </c>
      <c r="D354" s="94" t="s">
        <v>210</v>
      </c>
      <c r="E354" s="94">
        <v>1</v>
      </c>
      <c r="F354" s="94" t="s">
        <v>210</v>
      </c>
      <c r="G354" s="94" t="s">
        <v>210</v>
      </c>
      <c r="H354" s="94">
        <v>3</v>
      </c>
      <c r="I354" s="94" t="s">
        <v>210</v>
      </c>
      <c r="J354" s="94" t="s">
        <v>210</v>
      </c>
      <c r="K354" s="94">
        <v>-2</v>
      </c>
      <c r="L354" s="94" t="s">
        <v>210</v>
      </c>
      <c r="M354" s="94" t="s">
        <v>210</v>
      </c>
      <c r="N354" s="94">
        <v>-3</v>
      </c>
      <c r="O354" s="94" t="s">
        <v>210</v>
      </c>
      <c r="P354" s="94">
        <v>-1</v>
      </c>
      <c r="Q354" s="94" t="s">
        <v>210</v>
      </c>
      <c r="R354" s="94" t="s">
        <v>210</v>
      </c>
      <c r="S354" s="94" t="s">
        <v>210</v>
      </c>
      <c r="T354" s="94">
        <v>3</v>
      </c>
      <c r="U354" s="94" t="s">
        <v>210</v>
      </c>
      <c r="V354" s="94"/>
      <c r="W354" s="94"/>
      <c r="X354" s="94"/>
      <c r="Y354" s="94"/>
      <c r="Z354" s="94"/>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c r="AW354" s="94"/>
      <c r="AX354" s="94"/>
      <c r="AY354" s="94"/>
      <c r="AZ354" s="94"/>
      <c r="BA354" s="95"/>
    </row>
    <row r="355" spans="1:53" s="87" customFormat="1">
      <c r="A355" s="90" t="str">
        <f t="shared" si="31"/>
        <v/>
      </c>
      <c r="B355" s="98">
        <v>6</v>
      </c>
      <c r="C355" s="94">
        <v>-3</v>
      </c>
      <c r="D355" s="94" t="s">
        <v>210</v>
      </c>
      <c r="E355" s="94" t="s">
        <v>210</v>
      </c>
      <c r="F355" s="94">
        <v>1</v>
      </c>
      <c r="G355" s="94" t="s">
        <v>210</v>
      </c>
      <c r="H355" s="94" t="s">
        <v>210</v>
      </c>
      <c r="I355" s="94">
        <v>-2</v>
      </c>
      <c r="J355" s="94" t="s">
        <v>210</v>
      </c>
      <c r="K355" s="94" t="s">
        <v>210</v>
      </c>
      <c r="L355" s="94" t="s">
        <v>210</v>
      </c>
      <c r="M355" s="94">
        <v>-1</v>
      </c>
      <c r="N355" s="94" t="s">
        <v>210</v>
      </c>
      <c r="O355" s="94">
        <v>3</v>
      </c>
      <c r="P355" s="94" t="s">
        <v>210</v>
      </c>
      <c r="Q355" s="94">
        <v>2</v>
      </c>
      <c r="R355" s="94" t="s">
        <v>210</v>
      </c>
      <c r="S355" s="94" t="s">
        <v>210</v>
      </c>
      <c r="T355" s="94">
        <v>-3</v>
      </c>
      <c r="U355" s="94" t="s">
        <v>210</v>
      </c>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5"/>
    </row>
    <row r="356" spans="1:53" s="87" customFormat="1">
      <c r="A356" s="90" t="str">
        <f t="shared" si="31"/>
        <v/>
      </c>
      <c r="B356" s="98">
        <v>7</v>
      </c>
      <c r="C356" s="94">
        <v>1</v>
      </c>
      <c r="D356" s="94" t="s">
        <v>210</v>
      </c>
      <c r="E356" s="94" t="s">
        <v>210</v>
      </c>
      <c r="F356" s="94">
        <v>3</v>
      </c>
      <c r="G356" s="94" t="s">
        <v>210</v>
      </c>
      <c r="H356" s="94">
        <v>2</v>
      </c>
      <c r="I356" s="94" t="s">
        <v>210</v>
      </c>
      <c r="J356" s="94" t="s">
        <v>210</v>
      </c>
      <c r="K356" s="94" t="s">
        <v>210</v>
      </c>
      <c r="L356" s="94">
        <v>-1</v>
      </c>
      <c r="M356" s="94" t="s">
        <v>210</v>
      </c>
      <c r="N356" s="94">
        <v>3</v>
      </c>
      <c r="O356" s="94" t="s">
        <v>210</v>
      </c>
      <c r="P356" s="94" t="s">
        <v>210</v>
      </c>
      <c r="Q356" s="94">
        <v>-2</v>
      </c>
      <c r="R356" s="94" t="s">
        <v>210</v>
      </c>
      <c r="S356" s="94">
        <v>-3</v>
      </c>
      <c r="T356" s="94" t="s">
        <v>210</v>
      </c>
      <c r="U356" s="94" t="s">
        <v>210</v>
      </c>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5"/>
    </row>
    <row r="357" spans="1:53" s="87" customFormat="1">
      <c r="A357" s="90" t="str">
        <f t="shared" si="31"/>
        <v/>
      </c>
      <c r="B357" s="99">
        <v>8</v>
      </c>
      <c r="C357" s="92" t="s">
        <v>210</v>
      </c>
      <c r="D357" s="92">
        <v>1</v>
      </c>
      <c r="E357" s="92" t="s">
        <v>210</v>
      </c>
      <c r="F357" s="92">
        <v>-2</v>
      </c>
      <c r="G357" s="92" t="s">
        <v>210</v>
      </c>
      <c r="H357" s="92" t="s">
        <v>210</v>
      </c>
      <c r="I357" s="92">
        <v>-3</v>
      </c>
      <c r="J357" s="92" t="s">
        <v>210</v>
      </c>
      <c r="K357" s="92">
        <v>2</v>
      </c>
      <c r="L357" s="92" t="s">
        <v>210</v>
      </c>
      <c r="M357" s="92" t="s">
        <v>210</v>
      </c>
      <c r="N357" s="92" t="s">
        <v>210</v>
      </c>
      <c r="O357" s="92">
        <v>-3</v>
      </c>
      <c r="P357" s="92" t="s">
        <v>210</v>
      </c>
      <c r="Q357" s="92">
        <v>-1</v>
      </c>
      <c r="R357" s="92" t="s">
        <v>210</v>
      </c>
      <c r="S357" s="92">
        <v>3</v>
      </c>
      <c r="T357" s="92" t="s">
        <v>210</v>
      </c>
      <c r="U357" s="92" t="s">
        <v>210</v>
      </c>
      <c r="V357" s="94"/>
      <c r="W357" s="94"/>
      <c r="X357" s="94"/>
      <c r="Y357" s="94"/>
      <c r="Z357" s="94"/>
      <c r="AA357" s="94"/>
      <c r="AB357" s="94"/>
      <c r="AC357" s="94"/>
      <c r="AD357" s="94"/>
      <c r="AE357" s="94"/>
      <c r="AF357" s="94"/>
      <c r="AG357" s="94"/>
      <c r="AH357" s="94"/>
      <c r="AI357" s="94"/>
      <c r="AJ357" s="94"/>
      <c r="AK357" s="94"/>
      <c r="AL357" s="94"/>
      <c r="AM357" s="94"/>
      <c r="AN357" s="94"/>
      <c r="AO357" s="94"/>
      <c r="AP357" s="94"/>
      <c r="AQ357" s="94"/>
      <c r="AR357" s="94"/>
      <c r="AS357" s="94"/>
      <c r="AT357" s="94"/>
      <c r="AU357" s="94"/>
      <c r="AV357" s="94"/>
      <c r="AW357" s="94"/>
      <c r="AX357" s="94"/>
      <c r="AY357" s="94"/>
      <c r="AZ357" s="94"/>
      <c r="BA357" s="95"/>
    </row>
    <row r="358" spans="1:53" s="87" customFormat="1">
      <c r="A358" s="90" t="str">
        <f t="shared" si="31"/>
        <v/>
      </c>
      <c r="B358" s="98">
        <v>9</v>
      </c>
      <c r="C358" s="94" t="s">
        <v>210</v>
      </c>
      <c r="D358" s="94" t="s">
        <v>210</v>
      </c>
      <c r="E358" s="94">
        <v>3</v>
      </c>
      <c r="F358" s="94" t="s">
        <v>210</v>
      </c>
      <c r="G358" s="94">
        <v>-2</v>
      </c>
      <c r="H358" s="94" t="s">
        <v>210</v>
      </c>
      <c r="I358" s="94" t="s">
        <v>210</v>
      </c>
      <c r="J358" s="94" t="s">
        <v>210</v>
      </c>
      <c r="K358" s="94">
        <v>1</v>
      </c>
      <c r="L358" s="94" t="s">
        <v>210</v>
      </c>
      <c r="M358" s="94">
        <v>2</v>
      </c>
      <c r="N358" s="94" t="s">
        <v>210</v>
      </c>
      <c r="O358" s="94" t="s">
        <v>210</v>
      </c>
      <c r="P358" s="94">
        <v>-3</v>
      </c>
      <c r="Q358" s="94" t="s">
        <v>210</v>
      </c>
      <c r="R358" s="94">
        <v>-1</v>
      </c>
      <c r="S358" s="94" t="s">
        <v>210</v>
      </c>
      <c r="T358" s="94" t="s">
        <v>210</v>
      </c>
      <c r="U358" s="94">
        <v>-2</v>
      </c>
      <c r="V358" s="94"/>
      <c r="W358" s="94"/>
      <c r="X358" s="94"/>
      <c r="Y358" s="94"/>
      <c r="Z358" s="94"/>
      <c r="AA358" s="94"/>
      <c r="AB358" s="94"/>
      <c r="AC358" s="94"/>
      <c r="AD358" s="94"/>
      <c r="AE358" s="94"/>
      <c r="AF358" s="94"/>
      <c r="AG358" s="94"/>
      <c r="AH358" s="94"/>
      <c r="AI358" s="94"/>
      <c r="AJ358" s="94"/>
      <c r="AK358" s="94"/>
      <c r="AL358" s="94"/>
      <c r="AM358" s="94"/>
      <c r="AN358" s="94"/>
      <c r="AO358" s="94"/>
      <c r="AP358" s="94"/>
      <c r="AQ358" s="94"/>
      <c r="AR358" s="94"/>
      <c r="AS358" s="94"/>
      <c r="AT358" s="94"/>
      <c r="AU358" s="94"/>
      <c r="AV358" s="94"/>
      <c r="AW358" s="94"/>
      <c r="AX358" s="94"/>
      <c r="AY358" s="94"/>
      <c r="AZ358" s="94"/>
      <c r="BA358" s="95"/>
    </row>
    <row r="359" spans="1:53" s="87" customFormat="1">
      <c r="A359" s="90" t="str">
        <f t="shared" si="31"/>
        <v/>
      </c>
      <c r="B359" s="98">
        <v>10</v>
      </c>
      <c r="C359" s="94" t="s">
        <v>210</v>
      </c>
      <c r="D359" s="94">
        <v>3</v>
      </c>
      <c r="E359" s="94" t="s">
        <v>210</v>
      </c>
      <c r="F359" s="94" t="s">
        <v>210</v>
      </c>
      <c r="G359" s="94">
        <v>1</v>
      </c>
      <c r="H359" s="94" t="s">
        <v>210</v>
      </c>
      <c r="I359" s="94" t="s">
        <v>210</v>
      </c>
      <c r="J359" s="94">
        <v>2</v>
      </c>
      <c r="K359" s="94" t="s">
        <v>210</v>
      </c>
      <c r="L359" s="94" t="s">
        <v>210</v>
      </c>
      <c r="M359" s="94">
        <v>-3</v>
      </c>
      <c r="N359" s="94" t="s">
        <v>210</v>
      </c>
      <c r="O359" s="94" t="s">
        <v>210</v>
      </c>
      <c r="P359" s="94">
        <v>-2</v>
      </c>
      <c r="Q359" s="94" t="s">
        <v>210</v>
      </c>
      <c r="R359" s="94" t="s">
        <v>210</v>
      </c>
      <c r="S359" s="94">
        <v>-1</v>
      </c>
      <c r="T359" s="94" t="s">
        <v>210</v>
      </c>
      <c r="U359" s="94">
        <v>2</v>
      </c>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5"/>
    </row>
    <row r="360" spans="1:53" s="87" customFormat="1">
      <c r="A360" s="90" t="str">
        <f t="shared" si="31"/>
        <v/>
      </c>
      <c r="B360" s="98">
        <v>11</v>
      </c>
      <c r="C360" s="94" t="s">
        <v>210</v>
      </c>
      <c r="D360" s="94" t="s">
        <v>210</v>
      </c>
      <c r="E360" s="94">
        <v>-2</v>
      </c>
      <c r="F360" s="94" t="s">
        <v>210</v>
      </c>
      <c r="G360" s="94" t="s">
        <v>210</v>
      </c>
      <c r="H360" s="94">
        <v>-1</v>
      </c>
      <c r="I360" s="94" t="s">
        <v>210</v>
      </c>
      <c r="J360" s="94">
        <v>-3</v>
      </c>
      <c r="K360" s="94" t="s">
        <v>210</v>
      </c>
      <c r="L360" s="94">
        <v>2</v>
      </c>
      <c r="M360" s="94" t="s">
        <v>210</v>
      </c>
      <c r="N360" s="94" t="s">
        <v>210</v>
      </c>
      <c r="O360" s="94" t="s">
        <v>210</v>
      </c>
      <c r="P360" s="94">
        <v>3</v>
      </c>
      <c r="Q360" s="94" t="s">
        <v>210</v>
      </c>
      <c r="R360" s="94" t="s">
        <v>210</v>
      </c>
      <c r="S360" s="94">
        <v>1</v>
      </c>
      <c r="T360" s="94" t="s">
        <v>210</v>
      </c>
      <c r="U360" s="94">
        <v>-3</v>
      </c>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5"/>
    </row>
    <row r="361" spans="1:53" s="87" customFormat="1">
      <c r="A361" s="90" t="str">
        <f t="shared" si="31"/>
        <v/>
      </c>
      <c r="B361" s="98">
        <v>12</v>
      </c>
      <c r="C361" s="94" t="s">
        <v>210</v>
      </c>
      <c r="D361" s="94">
        <v>-2</v>
      </c>
      <c r="E361" s="94" t="s">
        <v>210</v>
      </c>
      <c r="F361" s="94" t="s">
        <v>210</v>
      </c>
      <c r="G361" s="94">
        <v>3</v>
      </c>
      <c r="H361" s="94" t="s">
        <v>210</v>
      </c>
      <c r="I361" s="94">
        <v>-1</v>
      </c>
      <c r="J361" s="94" t="s">
        <v>210</v>
      </c>
      <c r="K361" s="94" t="s">
        <v>210</v>
      </c>
      <c r="L361" s="94">
        <v>-3</v>
      </c>
      <c r="M361" s="94" t="s">
        <v>210</v>
      </c>
      <c r="N361" s="94" t="s">
        <v>210</v>
      </c>
      <c r="O361" s="94" t="s">
        <v>210</v>
      </c>
      <c r="P361" s="94">
        <v>2</v>
      </c>
      <c r="Q361" s="94" t="s">
        <v>210</v>
      </c>
      <c r="R361" s="94">
        <v>1</v>
      </c>
      <c r="S361" s="94" t="s">
        <v>210</v>
      </c>
      <c r="T361" s="94" t="s">
        <v>210</v>
      </c>
      <c r="U361" s="94">
        <v>3</v>
      </c>
      <c r="V361" s="94"/>
      <c r="W361" s="94"/>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c r="AZ361" s="94"/>
      <c r="BA361" s="95"/>
    </row>
    <row r="362" spans="1:53" s="87" customFormat="1">
      <c r="A362" s="90" t="str">
        <f t="shared" si="31"/>
        <v/>
      </c>
      <c r="B362" s="98">
        <v>13</v>
      </c>
      <c r="C362" s="94" t="s">
        <v>210</v>
      </c>
      <c r="D362" s="94" t="s">
        <v>210</v>
      </c>
      <c r="E362" s="94">
        <v>2</v>
      </c>
      <c r="F362" s="94" t="s">
        <v>210</v>
      </c>
      <c r="G362" s="94">
        <v>-3</v>
      </c>
      <c r="H362" s="94" t="s">
        <v>210</v>
      </c>
      <c r="I362" s="94" t="s">
        <v>210</v>
      </c>
      <c r="J362" s="94" t="s">
        <v>210</v>
      </c>
      <c r="K362" s="94">
        <v>-1</v>
      </c>
      <c r="L362" s="94" t="s">
        <v>210</v>
      </c>
      <c r="M362" s="94">
        <v>3</v>
      </c>
      <c r="N362" s="94" t="s">
        <v>210</v>
      </c>
      <c r="O362" s="94">
        <v>-1</v>
      </c>
      <c r="P362" s="94" t="s">
        <v>210</v>
      </c>
      <c r="Q362" s="94" t="s">
        <v>210</v>
      </c>
      <c r="R362" s="94">
        <v>-2</v>
      </c>
      <c r="S362" s="94" t="s">
        <v>210</v>
      </c>
      <c r="T362" s="94">
        <v>1</v>
      </c>
      <c r="U362" s="94" t="s">
        <v>210</v>
      </c>
      <c r="V362" s="94"/>
      <c r="W362" s="94"/>
      <c r="X362" s="94"/>
      <c r="Y362" s="94"/>
      <c r="Z362" s="94"/>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5"/>
    </row>
    <row r="363" spans="1:53" s="87" customFormat="1">
      <c r="A363" s="90" t="str">
        <f t="shared" si="31"/>
        <v/>
      </c>
      <c r="B363" s="98">
        <v>14</v>
      </c>
      <c r="C363" s="94" t="s">
        <v>210</v>
      </c>
      <c r="D363" s="94">
        <v>-3</v>
      </c>
      <c r="E363" s="94" t="s">
        <v>210</v>
      </c>
      <c r="F363" s="94" t="s">
        <v>210</v>
      </c>
      <c r="G363" s="94">
        <v>2</v>
      </c>
      <c r="H363" s="94" t="s">
        <v>210</v>
      </c>
      <c r="I363" s="94">
        <v>1</v>
      </c>
      <c r="J363" s="94" t="s">
        <v>210</v>
      </c>
      <c r="K363" s="94" t="s">
        <v>210</v>
      </c>
      <c r="L363" s="94">
        <v>-2</v>
      </c>
      <c r="M363" s="94" t="s">
        <v>210</v>
      </c>
      <c r="N363" s="94">
        <v>1</v>
      </c>
      <c r="O363" s="94" t="s">
        <v>210</v>
      </c>
      <c r="P363" s="94" t="s">
        <v>210</v>
      </c>
      <c r="Q363" s="94" t="s">
        <v>210</v>
      </c>
      <c r="R363" s="94">
        <v>3</v>
      </c>
      <c r="S363" s="94" t="s">
        <v>210</v>
      </c>
      <c r="T363" s="94">
        <v>-1</v>
      </c>
      <c r="U363" s="94" t="s">
        <v>210</v>
      </c>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5"/>
    </row>
    <row r="364" spans="1:53" s="87" customFormat="1">
      <c r="A364" s="90" t="str">
        <f t="shared" si="31"/>
        <v/>
      </c>
      <c r="B364" s="98">
        <v>15</v>
      </c>
      <c r="C364" s="94" t="s">
        <v>210</v>
      </c>
      <c r="D364" s="94">
        <v>2</v>
      </c>
      <c r="E364" s="94" t="s">
        <v>210</v>
      </c>
      <c r="F364" s="94" t="s">
        <v>210</v>
      </c>
      <c r="G364" s="94">
        <v>-1</v>
      </c>
      <c r="H364" s="94" t="s">
        <v>210</v>
      </c>
      <c r="I364" s="94" t="s">
        <v>210</v>
      </c>
      <c r="J364" s="94">
        <v>3</v>
      </c>
      <c r="K364" s="94" t="s">
        <v>210</v>
      </c>
      <c r="L364" s="94" t="s">
        <v>210</v>
      </c>
      <c r="M364" s="94">
        <v>-2</v>
      </c>
      <c r="N364" s="94" t="s">
        <v>210</v>
      </c>
      <c r="O364" s="94">
        <v>1</v>
      </c>
      <c r="P364" s="94" t="s">
        <v>210</v>
      </c>
      <c r="Q364" s="94" t="s">
        <v>210</v>
      </c>
      <c r="R364" s="94">
        <v>-3</v>
      </c>
      <c r="S364" s="94" t="s">
        <v>210</v>
      </c>
      <c r="T364" s="94" t="s">
        <v>210</v>
      </c>
      <c r="U364" s="94">
        <v>1</v>
      </c>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5"/>
    </row>
    <row r="365" spans="1:53" s="87" customFormat="1">
      <c r="A365" s="90" t="str">
        <f t="shared" si="31"/>
        <v/>
      </c>
      <c r="B365" s="98">
        <v>16</v>
      </c>
      <c r="C365" s="94" t="s">
        <v>210</v>
      </c>
      <c r="D365" s="94" t="s">
        <v>210</v>
      </c>
      <c r="E365" s="94">
        <v>-3</v>
      </c>
      <c r="F365" s="94" t="s">
        <v>210</v>
      </c>
      <c r="G365" s="94" t="s">
        <v>210</v>
      </c>
      <c r="H365" s="94">
        <v>1</v>
      </c>
      <c r="I365" s="94" t="s">
        <v>210</v>
      </c>
      <c r="J365" s="94">
        <v>-2</v>
      </c>
      <c r="K365" s="94" t="s">
        <v>210</v>
      </c>
      <c r="L365" s="94">
        <v>3</v>
      </c>
      <c r="M365" s="94" t="s">
        <v>210</v>
      </c>
      <c r="N365" s="94">
        <v>-1</v>
      </c>
      <c r="O365" s="94" t="s">
        <v>210</v>
      </c>
      <c r="P365" s="94" t="s">
        <v>210</v>
      </c>
      <c r="Q365" s="94" t="s">
        <v>210</v>
      </c>
      <c r="R365" s="94">
        <v>2</v>
      </c>
      <c r="S365" s="94" t="s">
        <v>210</v>
      </c>
      <c r="T365" s="94" t="s">
        <v>210</v>
      </c>
      <c r="U365" s="94">
        <v>-1</v>
      </c>
      <c r="V365" s="94"/>
      <c r="W365" s="94"/>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c r="AW365" s="94"/>
      <c r="AX365" s="94"/>
      <c r="AY365" s="94"/>
      <c r="AZ365" s="94"/>
      <c r="BA365" s="95"/>
    </row>
    <row r="366" spans="1:53" s="87" customFormat="1">
      <c r="A366" s="90" t="str">
        <f t="shared" si="31"/>
        <v/>
      </c>
      <c r="B366" s="317" t="s">
        <v>1090</v>
      </c>
      <c r="C366" s="94"/>
      <c r="D366" s="94"/>
      <c r="E366" s="94"/>
      <c r="F366" s="94"/>
      <c r="G366" s="94"/>
      <c r="H366" s="94"/>
      <c r="I366" s="94"/>
      <c r="J366" s="94"/>
      <c r="K366" s="94"/>
      <c r="L366" s="94"/>
      <c r="M366" s="94"/>
      <c r="N366" s="94"/>
      <c r="O366" s="94"/>
      <c r="P366" s="94"/>
      <c r="Q366" s="94"/>
      <c r="R366" s="94"/>
      <c r="S366" s="94"/>
      <c r="T366" s="94"/>
      <c r="U366" s="94"/>
      <c r="V366" s="94"/>
      <c r="W366" s="94"/>
      <c r="X366" s="94"/>
      <c r="Y366" s="94"/>
      <c r="Z366" s="94"/>
      <c r="AA366" s="94"/>
      <c r="AB366" s="94"/>
      <c r="AC366" s="94"/>
      <c r="AD366" s="94"/>
      <c r="AE366" s="94"/>
      <c r="AF366" s="94"/>
      <c r="AG366" s="94"/>
      <c r="AH366" s="94"/>
      <c r="AI366" s="94"/>
      <c r="AJ366" s="94"/>
      <c r="AK366" s="94"/>
      <c r="AL366" s="94"/>
      <c r="AM366" s="94"/>
      <c r="AN366" s="94"/>
      <c r="AO366" s="94"/>
      <c r="AP366" s="94"/>
      <c r="AQ366" s="94"/>
      <c r="AR366" s="94"/>
      <c r="AS366" s="94"/>
      <c r="AT366" s="94"/>
      <c r="AU366" s="94"/>
      <c r="AV366" s="94"/>
      <c r="AW366" s="94"/>
      <c r="AX366" s="94"/>
      <c r="AY366" s="94"/>
      <c r="AZ366" s="94"/>
      <c r="BA366" s="95"/>
    </row>
    <row r="367" spans="1:53" s="87" customFormat="1">
      <c r="A367" s="90">
        <f t="shared" si="31"/>
        <v>367</v>
      </c>
      <c r="B367" s="317" t="s">
        <v>1231</v>
      </c>
      <c r="C367" s="94"/>
      <c r="D367" s="94"/>
      <c r="E367" s="94"/>
      <c r="F367" s="94"/>
      <c r="G367" s="94"/>
      <c r="H367" s="94"/>
      <c r="I367" s="94"/>
      <c r="J367" s="94"/>
      <c r="K367" s="94"/>
      <c r="L367" s="94"/>
      <c r="M367" s="94"/>
      <c r="N367" s="94"/>
      <c r="O367" s="94"/>
      <c r="P367" s="94"/>
      <c r="Q367" s="94"/>
      <c r="R367" s="94"/>
      <c r="S367" s="94"/>
      <c r="T367" s="94"/>
      <c r="U367" s="94"/>
      <c r="V367" s="94"/>
      <c r="W367" s="94"/>
      <c r="X367" s="94"/>
      <c r="Y367" s="94"/>
      <c r="Z367" s="94"/>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c r="AZ367" s="94"/>
      <c r="BA367" s="95"/>
    </row>
    <row r="368" spans="1:53" s="87" customFormat="1">
      <c r="A368" s="90" t="str">
        <f t="shared" si="31"/>
        <v/>
      </c>
      <c r="B368" s="98">
        <v>1</v>
      </c>
      <c r="C368" s="94" t="s">
        <v>210</v>
      </c>
      <c r="D368" s="94">
        <v>-3</v>
      </c>
      <c r="E368" s="94" t="s">
        <v>210</v>
      </c>
      <c r="F368" s="94" t="s">
        <v>210</v>
      </c>
      <c r="G368" s="94">
        <v>-2</v>
      </c>
      <c r="H368" s="94" t="s">
        <v>210</v>
      </c>
      <c r="I368" s="94">
        <v>1</v>
      </c>
      <c r="J368" s="94" t="s">
        <v>210</v>
      </c>
      <c r="K368" s="94">
        <v>3</v>
      </c>
      <c r="L368" s="94" t="s">
        <v>210</v>
      </c>
      <c r="M368" s="94" t="s">
        <v>210</v>
      </c>
      <c r="N368" s="94">
        <v>2</v>
      </c>
      <c r="O368" s="94"/>
      <c r="P368" s="94"/>
      <c r="Q368" s="94"/>
      <c r="R368" s="94"/>
      <c r="S368" s="94"/>
      <c r="T368" s="94"/>
      <c r="U368" s="94"/>
      <c r="V368" s="94"/>
      <c r="W368" s="94"/>
      <c r="X368" s="94"/>
      <c r="Y368" s="94"/>
      <c r="Z368" s="94"/>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5"/>
    </row>
    <row r="369" spans="1:53" s="87" customFormat="1">
      <c r="A369" s="90" t="str">
        <f t="shared" si="31"/>
        <v/>
      </c>
      <c r="B369" s="98">
        <v>2</v>
      </c>
      <c r="C369" s="94" t="s">
        <v>210</v>
      </c>
      <c r="D369" s="94" t="s">
        <v>210</v>
      </c>
      <c r="E369" s="94">
        <v>-2</v>
      </c>
      <c r="F369" s="94" t="s">
        <v>210</v>
      </c>
      <c r="G369" s="94">
        <v>1</v>
      </c>
      <c r="H369" s="94" t="s">
        <v>210</v>
      </c>
      <c r="I369" s="94">
        <v>2</v>
      </c>
      <c r="J369" s="94" t="s">
        <v>210</v>
      </c>
      <c r="K369" s="94" t="s">
        <v>210</v>
      </c>
      <c r="L369" s="94">
        <v>-1</v>
      </c>
      <c r="M369" s="94" t="s">
        <v>210</v>
      </c>
      <c r="N369" s="94">
        <v>-2</v>
      </c>
      <c r="O369" s="94"/>
      <c r="P369" s="94"/>
      <c r="Q369" s="94"/>
      <c r="R369" s="94"/>
      <c r="S369" s="94"/>
      <c r="T369" s="94"/>
      <c r="U369" s="94"/>
      <c r="V369" s="94"/>
      <c r="W369" s="94"/>
      <c r="X369" s="94"/>
      <c r="Y369" s="94"/>
      <c r="Z369" s="94"/>
      <c r="AA369" s="94"/>
      <c r="AB369" s="94"/>
      <c r="AC369" s="94"/>
      <c r="AD369" s="94"/>
      <c r="AE369" s="94"/>
      <c r="AF369" s="94"/>
      <c r="AG369" s="94"/>
      <c r="AH369" s="94"/>
      <c r="AI369" s="94"/>
      <c r="AJ369" s="94"/>
      <c r="AK369" s="94"/>
      <c r="AL369" s="94"/>
      <c r="AM369" s="94"/>
      <c r="AN369" s="94"/>
      <c r="AO369" s="94"/>
      <c r="AP369" s="94"/>
      <c r="AQ369" s="94"/>
      <c r="AR369" s="94"/>
      <c r="AS369" s="94"/>
      <c r="AT369" s="94"/>
      <c r="AU369" s="94"/>
      <c r="AV369" s="94"/>
      <c r="AW369" s="94"/>
      <c r="AX369" s="94"/>
      <c r="AY369" s="94"/>
      <c r="AZ369" s="94"/>
      <c r="BA369" s="95"/>
    </row>
    <row r="370" spans="1:53" s="87" customFormat="1">
      <c r="A370" s="90" t="str">
        <f t="shared" si="31"/>
        <v/>
      </c>
      <c r="B370" s="98">
        <v>3</v>
      </c>
      <c r="C370" s="94" t="s">
        <v>210</v>
      </c>
      <c r="D370" s="94">
        <v>-1</v>
      </c>
      <c r="E370" s="94" t="s">
        <v>210</v>
      </c>
      <c r="F370" s="94" t="s">
        <v>210</v>
      </c>
      <c r="G370" s="94">
        <v>2</v>
      </c>
      <c r="H370" s="94" t="s">
        <v>210</v>
      </c>
      <c r="I370" s="94">
        <v>3</v>
      </c>
      <c r="J370" s="94" t="s">
        <v>210</v>
      </c>
      <c r="K370" s="94" t="s">
        <v>210</v>
      </c>
      <c r="L370" s="94">
        <v>1</v>
      </c>
      <c r="M370" s="94" t="s">
        <v>210</v>
      </c>
      <c r="N370" s="94">
        <v>-3</v>
      </c>
      <c r="O370" s="94"/>
      <c r="P370" s="94"/>
      <c r="Q370" s="94"/>
      <c r="R370" s="94"/>
      <c r="S370" s="94"/>
      <c r="T370" s="94"/>
      <c r="U370" s="94"/>
      <c r="V370" s="94"/>
      <c r="W370" s="94"/>
      <c r="X370" s="94"/>
      <c r="Y370" s="94"/>
      <c r="Z370" s="94"/>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5"/>
    </row>
    <row r="371" spans="1:53" s="87" customFormat="1">
      <c r="A371" s="90" t="str">
        <f t="shared" si="31"/>
        <v/>
      </c>
      <c r="B371" s="98">
        <v>4</v>
      </c>
      <c r="C371" s="94" t="s">
        <v>210</v>
      </c>
      <c r="D371" s="94" t="s">
        <v>210</v>
      </c>
      <c r="E371" s="94">
        <v>2</v>
      </c>
      <c r="F371" s="94" t="s">
        <v>210</v>
      </c>
      <c r="G371" s="94">
        <v>-3</v>
      </c>
      <c r="H371" s="94" t="s">
        <v>210</v>
      </c>
      <c r="I371" s="94">
        <v>-1</v>
      </c>
      <c r="J371" s="94" t="s">
        <v>210</v>
      </c>
      <c r="K371" s="94">
        <v>-2</v>
      </c>
      <c r="L371" s="94" t="s">
        <v>210</v>
      </c>
      <c r="M371" s="94" t="s">
        <v>210</v>
      </c>
      <c r="N371" s="94">
        <v>3</v>
      </c>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5"/>
    </row>
    <row r="372" spans="1:53" s="87" customFormat="1">
      <c r="A372" s="90" t="str">
        <f t="shared" si="31"/>
        <v/>
      </c>
      <c r="B372" s="98">
        <v>5</v>
      </c>
      <c r="C372" s="94" t="s">
        <v>210</v>
      </c>
      <c r="D372" s="94">
        <v>1</v>
      </c>
      <c r="E372" s="94" t="s">
        <v>210</v>
      </c>
      <c r="F372" s="94" t="s">
        <v>210</v>
      </c>
      <c r="G372" s="94">
        <v>3</v>
      </c>
      <c r="H372" s="94" t="s">
        <v>210</v>
      </c>
      <c r="I372" s="94">
        <v>-2</v>
      </c>
      <c r="J372" s="94" t="s">
        <v>210</v>
      </c>
      <c r="K372" s="94">
        <v>-3</v>
      </c>
      <c r="L372" s="94" t="s">
        <v>210</v>
      </c>
      <c r="M372" s="94">
        <v>-1</v>
      </c>
      <c r="N372" s="94" t="s">
        <v>210</v>
      </c>
      <c r="O372" s="94"/>
      <c r="P372" s="94"/>
      <c r="Q372" s="94"/>
      <c r="R372" s="94"/>
      <c r="S372" s="94"/>
      <c r="T372" s="94"/>
      <c r="U372" s="94"/>
      <c r="V372" s="94"/>
      <c r="W372" s="94"/>
      <c r="X372" s="94"/>
      <c r="Y372" s="94"/>
      <c r="Z372" s="94"/>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5"/>
    </row>
    <row r="373" spans="1:53" s="87" customFormat="1">
      <c r="A373" s="90" t="str">
        <f t="shared" si="31"/>
        <v/>
      </c>
      <c r="B373" s="99">
        <v>6</v>
      </c>
      <c r="C373" s="92" t="s">
        <v>210</v>
      </c>
      <c r="D373" s="92">
        <v>3</v>
      </c>
      <c r="E373" s="92" t="s">
        <v>210</v>
      </c>
      <c r="F373" s="92" t="s">
        <v>210</v>
      </c>
      <c r="G373" s="92">
        <v>-1</v>
      </c>
      <c r="H373" s="92" t="s">
        <v>210</v>
      </c>
      <c r="I373" s="92">
        <v>-3</v>
      </c>
      <c r="J373" s="92" t="s">
        <v>210</v>
      </c>
      <c r="K373" s="92">
        <v>2</v>
      </c>
      <c r="L373" s="92" t="s">
        <v>210</v>
      </c>
      <c r="M373" s="92">
        <v>1</v>
      </c>
      <c r="N373" s="92" t="s">
        <v>210</v>
      </c>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5"/>
    </row>
    <row r="374" spans="1:53" s="87" customFormat="1">
      <c r="A374" s="90" t="str">
        <f t="shared" si="31"/>
        <v/>
      </c>
      <c r="B374" s="98">
        <v>7</v>
      </c>
      <c r="C374" s="94">
        <v>-2</v>
      </c>
      <c r="D374" s="94" t="s">
        <v>210</v>
      </c>
      <c r="E374" s="94" t="s">
        <v>210</v>
      </c>
      <c r="F374" s="94" t="s">
        <v>210</v>
      </c>
      <c r="G374" s="94" t="s">
        <v>210</v>
      </c>
      <c r="H374" s="94">
        <v>-1</v>
      </c>
      <c r="I374" s="94" t="s">
        <v>210</v>
      </c>
      <c r="J374" s="94">
        <v>2</v>
      </c>
      <c r="K374" s="94" t="s">
        <v>210</v>
      </c>
      <c r="L374" s="94" t="s">
        <v>210</v>
      </c>
      <c r="M374" s="94" t="s">
        <v>210</v>
      </c>
      <c r="N374" s="94">
        <v>1</v>
      </c>
      <c r="O374" s="94"/>
      <c r="P374" s="94"/>
      <c r="Q374" s="94"/>
      <c r="R374" s="94"/>
      <c r="S374" s="94"/>
      <c r="T374" s="94"/>
      <c r="U374" s="94"/>
      <c r="V374" s="94"/>
      <c r="W374" s="94"/>
      <c r="X374" s="94"/>
      <c r="Y374" s="94"/>
      <c r="Z374" s="94"/>
      <c r="AA374" s="94"/>
      <c r="AB374" s="94"/>
      <c r="AC374" s="94"/>
      <c r="AD374" s="94"/>
      <c r="AE374" s="94"/>
      <c r="AF374" s="94"/>
      <c r="AG374" s="94"/>
      <c r="AH374" s="94"/>
      <c r="AI374" s="94"/>
      <c r="AJ374" s="94"/>
      <c r="AK374" s="94"/>
      <c r="AL374" s="94"/>
      <c r="AM374" s="94"/>
      <c r="AN374" s="94"/>
      <c r="AO374" s="94"/>
      <c r="AP374" s="94"/>
      <c r="AQ374" s="94"/>
      <c r="AR374" s="94"/>
      <c r="AS374" s="94"/>
      <c r="AT374" s="94"/>
      <c r="AU374" s="94"/>
      <c r="AV374" s="94"/>
      <c r="AW374" s="94"/>
      <c r="AX374" s="94"/>
      <c r="AY374" s="94"/>
      <c r="AZ374" s="94"/>
      <c r="BA374" s="95"/>
    </row>
    <row r="375" spans="1:53" s="87" customFormat="1">
      <c r="A375" s="90" t="str">
        <f t="shared" si="31"/>
        <v/>
      </c>
      <c r="B375" s="98">
        <v>8</v>
      </c>
      <c r="C375" s="94" t="s">
        <v>210</v>
      </c>
      <c r="D375" s="94" t="s">
        <v>210</v>
      </c>
      <c r="E375" s="94" t="s">
        <v>210</v>
      </c>
      <c r="F375" s="94">
        <v>3</v>
      </c>
      <c r="G375" s="94" t="s">
        <v>210</v>
      </c>
      <c r="H375" s="94" t="s">
        <v>210</v>
      </c>
      <c r="I375" s="94" t="s">
        <v>210</v>
      </c>
      <c r="J375" s="94">
        <v>1</v>
      </c>
      <c r="K375" s="94" t="s">
        <v>210</v>
      </c>
      <c r="L375" s="94">
        <v>-3</v>
      </c>
      <c r="M375" s="94" t="s">
        <v>210</v>
      </c>
      <c r="N375" s="94">
        <v>-1</v>
      </c>
      <c r="O375" s="94"/>
      <c r="P375" s="94"/>
      <c r="Q375" s="94"/>
      <c r="R375" s="94"/>
      <c r="S375" s="94"/>
      <c r="T375" s="94"/>
      <c r="U375" s="94"/>
      <c r="V375" s="94"/>
      <c r="W375" s="94"/>
      <c r="X375" s="94"/>
      <c r="Y375" s="94"/>
      <c r="Z375" s="94"/>
      <c r="AA375" s="94"/>
      <c r="AB375" s="94"/>
      <c r="AC375" s="94"/>
      <c r="AD375" s="94"/>
      <c r="AE375" s="94"/>
      <c r="AF375" s="94"/>
      <c r="AG375" s="94"/>
      <c r="AH375" s="94"/>
      <c r="AI375" s="94"/>
      <c r="AJ375" s="94"/>
      <c r="AK375" s="94"/>
      <c r="AL375" s="94"/>
      <c r="AM375" s="94"/>
      <c r="AN375" s="94"/>
      <c r="AO375" s="94"/>
      <c r="AP375" s="94"/>
      <c r="AQ375" s="94"/>
      <c r="AR375" s="94"/>
      <c r="AS375" s="94"/>
      <c r="AT375" s="94"/>
      <c r="AU375" s="94"/>
      <c r="AV375" s="94"/>
      <c r="AW375" s="94"/>
      <c r="AX375" s="94"/>
      <c r="AY375" s="94"/>
      <c r="AZ375" s="94"/>
      <c r="BA375" s="95"/>
    </row>
    <row r="376" spans="1:53" s="87" customFormat="1">
      <c r="A376" s="90" t="str">
        <f t="shared" si="31"/>
        <v/>
      </c>
      <c r="B376" s="98">
        <v>9</v>
      </c>
      <c r="C376" s="94">
        <v>2</v>
      </c>
      <c r="D376" s="94" t="s">
        <v>210</v>
      </c>
      <c r="E376" s="94">
        <v>3</v>
      </c>
      <c r="F376" s="94" t="s">
        <v>210</v>
      </c>
      <c r="G376" s="94" t="s">
        <v>210</v>
      </c>
      <c r="H376" s="94" t="s">
        <v>210</v>
      </c>
      <c r="I376" s="94" t="s">
        <v>210</v>
      </c>
      <c r="J376" s="94">
        <v>-1</v>
      </c>
      <c r="K376" s="94" t="s">
        <v>210</v>
      </c>
      <c r="L376" s="94" t="s">
        <v>210</v>
      </c>
      <c r="M376" s="94">
        <v>-3</v>
      </c>
      <c r="N376" s="94" t="s">
        <v>210</v>
      </c>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5"/>
    </row>
    <row r="377" spans="1:53" s="87" customFormat="1">
      <c r="A377" s="90" t="str">
        <f t="shared" si="31"/>
        <v/>
      </c>
      <c r="B377" s="98">
        <v>10</v>
      </c>
      <c r="C377" s="94">
        <v>1</v>
      </c>
      <c r="D377" s="94" t="s">
        <v>210</v>
      </c>
      <c r="E377" s="94" t="s">
        <v>210</v>
      </c>
      <c r="F377" s="94">
        <v>-3</v>
      </c>
      <c r="G377" s="94" t="s">
        <v>210</v>
      </c>
      <c r="H377" s="94" t="s">
        <v>210</v>
      </c>
      <c r="I377" s="94" t="s">
        <v>210</v>
      </c>
      <c r="J377" s="94">
        <v>-2</v>
      </c>
      <c r="K377" s="94" t="s">
        <v>210</v>
      </c>
      <c r="L377" s="94" t="s">
        <v>210</v>
      </c>
      <c r="M377" s="94">
        <v>3</v>
      </c>
      <c r="N377" s="94" t="s">
        <v>210</v>
      </c>
      <c r="O377" s="94"/>
      <c r="P377" s="94"/>
      <c r="Q377" s="94"/>
      <c r="R377" s="94"/>
      <c r="S377" s="94"/>
      <c r="T377" s="94"/>
      <c r="U377" s="94"/>
      <c r="V377" s="94"/>
      <c r="W377" s="94"/>
      <c r="X377" s="94"/>
      <c r="Y377" s="94"/>
      <c r="Z377" s="94"/>
      <c r="AA377" s="94"/>
      <c r="AB377" s="94"/>
      <c r="AC377" s="94"/>
      <c r="AD377" s="94"/>
      <c r="AE377" s="94"/>
      <c r="AF377" s="94"/>
      <c r="AG377" s="94"/>
      <c r="AH377" s="94"/>
      <c r="AI377" s="94"/>
      <c r="AJ377" s="94"/>
      <c r="AK377" s="94"/>
      <c r="AL377" s="94"/>
      <c r="AM377" s="94"/>
      <c r="AN377" s="94"/>
      <c r="AO377" s="94"/>
      <c r="AP377" s="94"/>
      <c r="AQ377" s="94"/>
      <c r="AR377" s="94"/>
      <c r="AS377" s="94"/>
      <c r="AT377" s="94"/>
      <c r="AU377" s="94"/>
      <c r="AV377" s="94"/>
      <c r="AW377" s="94"/>
      <c r="AX377" s="94"/>
      <c r="AY377" s="94"/>
      <c r="AZ377" s="94"/>
      <c r="BA377" s="95"/>
    </row>
    <row r="378" spans="1:53" s="87" customFormat="1">
      <c r="A378" s="90" t="str">
        <f t="shared" si="31"/>
        <v/>
      </c>
      <c r="B378" s="99">
        <v>11</v>
      </c>
      <c r="C378" s="92">
        <v>-1</v>
      </c>
      <c r="D378" s="92" t="s">
        <v>210</v>
      </c>
      <c r="E378" s="92">
        <v>-3</v>
      </c>
      <c r="F378" s="92" t="s">
        <v>210</v>
      </c>
      <c r="G378" s="92" t="s">
        <v>210</v>
      </c>
      <c r="H378" s="92">
        <v>1</v>
      </c>
      <c r="I378" s="92" t="s">
        <v>210</v>
      </c>
      <c r="J378" s="92" t="s">
        <v>210</v>
      </c>
      <c r="K378" s="92" t="s">
        <v>210</v>
      </c>
      <c r="L378" s="92">
        <v>3</v>
      </c>
      <c r="M378" s="92" t="s">
        <v>210</v>
      </c>
      <c r="N378" s="92" t="s">
        <v>210</v>
      </c>
      <c r="O378" s="94"/>
      <c r="P378" s="94"/>
      <c r="Q378" s="94"/>
      <c r="R378" s="94"/>
      <c r="S378" s="94"/>
      <c r="T378" s="94"/>
      <c r="U378" s="94"/>
      <c r="V378" s="94"/>
      <c r="W378" s="94"/>
      <c r="X378" s="94"/>
      <c r="Y378" s="94"/>
      <c r="Z378" s="94"/>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c r="AW378" s="94"/>
      <c r="AX378" s="94"/>
      <c r="AY378" s="94"/>
      <c r="AZ378" s="94"/>
      <c r="BA378" s="95"/>
    </row>
    <row r="379" spans="1:53" s="87" customFormat="1">
      <c r="A379" s="90" t="str">
        <f t="shared" si="31"/>
        <v/>
      </c>
      <c r="B379" s="98">
        <v>12</v>
      </c>
      <c r="C379" s="94" t="s">
        <v>210</v>
      </c>
      <c r="D379" s="94">
        <v>2</v>
      </c>
      <c r="E379" s="94" t="s">
        <v>210</v>
      </c>
      <c r="F379" s="94" t="s">
        <v>210</v>
      </c>
      <c r="G379" s="94" t="s">
        <v>210</v>
      </c>
      <c r="H379" s="94">
        <v>3</v>
      </c>
      <c r="I379" s="94" t="s">
        <v>210</v>
      </c>
      <c r="J379" s="94" t="s">
        <v>210</v>
      </c>
      <c r="K379" s="94">
        <v>-1</v>
      </c>
      <c r="L379" s="94" t="s">
        <v>210</v>
      </c>
      <c r="M379" s="94">
        <v>-2</v>
      </c>
      <c r="N379" s="94" t="s">
        <v>210</v>
      </c>
      <c r="O379" s="94"/>
      <c r="P379" s="94"/>
      <c r="Q379" s="94"/>
      <c r="R379" s="94"/>
      <c r="S379" s="94"/>
      <c r="T379" s="94"/>
      <c r="U379" s="94"/>
      <c r="V379" s="94"/>
      <c r="W379" s="94"/>
      <c r="X379" s="94"/>
      <c r="Y379" s="94"/>
      <c r="Z379" s="94"/>
      <c r="AA379" s="94"/>
      <c r="AB379" s="94"/>
      <c r="AC379" s="94"/>
      <c r="AD379" s="94"/>
      <c r="AE379" s="94"/>
      <c r="AF379" s="94"/>
      <c r="AG379" s="94"/>
      <c r="AH379" s="94"/>
      <c r="AI379" s="94"/>
      <c r="AJ379" s="94"/>
      <c r="AK379" s="94"/>
      <c r="AL379" s="94"/>
      <c r="AM379" s="94"/>
      <c r="AN379" s="94"/>
      <c r="AO379" s="94"/>
      <c r="AP379" s="94"/>
      <c r="AQ379" s="94"/>
      <c r="AR379" s="94"/>
      <c r="AS379" s="94"/>
      <c r="AT379" s="94"/>
      <c r="AU379" s="94"/>
      <c r="AV379" s="94"/>
      <c r="AW379" s="94"/>
      <c r="AX379" s="94"/>
      <c r="AY379" s="94"/>
      <c r="AZ379" s="94"/>
      <c r="BA379" s="95"/>
    </row>
    <row r="380" spans="1:53" s="87" customFormat="1">
      <c r="A380" s="90" t="str">
        <f t="shared" si="31"/>
        <v/>
      </c>
      <c r="B380" s="98">
        <v>13</v>
      </c>
      <c r="C380" s="94" t="s">
        <v>210</v>
      </c>
      <c r="D380" s="94" t="s">
        <v>210</v>
      </c>
      <c r="E380" s="94">
        <v>-1</v>
      </c>
      <c r="F380" s="94" t="s">
        <v>210</v>
      </c>
      <c r="G380" s="94" t="s">
        <v>210</v>
      </c>
      <c r="H380" s="94">
        <v>-2</v>
      </c>
      <c r="I380" s="94" t="s">
        <v>210</v>
      </c>
      <c r="J380" s="94">
        <v>3</v>
      </c>
      <c r="K380" s="94" t="s">
        <v>210</v>
      </c>
      <c r="L380" s="94" t="s">
        <v>210</v>
      </c>
      <c r="M380" s="94">
        <v>2</v>
      </c>
      <c r="N380" s="94" t="s">
        <v>210</v>
      </c>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5"/>
    </row>
    <row r="381" spans="1:53" s="87" customFormat="1">
      <c r="A381" s="90" t="str">
        <f t="shared" si="31"/>
        <v/>
      </c>
      <c r="B381" s="98">
        <v>14</v>
      </c>
      <c r="C381" s="94" t="s">
        <v>210</v>
      </c>
      <c r="D381" s="94">
        <v>-2</v>
      </c>
      <c r="E381" s="94" t="s">
        <v>210</v>
      </c>
      <c r="F381" s="94">
        <v>1</v>
      </c>
      <c r="G381" s="94" t="s">
        <v>210</v>
      </c>
      <c r="H381" s="94" t="s">
        <v>210</v>
      </c>
      <c r="I381" s="94" t="s">
        <v>210</v>
      </c>
      <c r="J381" s="94">
        <v>-3</v>
      </c>
      <c r="K381" s="94" t="s">
        <v>210</v>
      </c>
      <c r="L381" s="94">
        <v>2</v>
      </c>
      <c r="M381" s="94" t="s">
        <v>210</v>
      </c>
      <c r="N381" s="94" t="s">
        <v>210</v>
      </c>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5"/>
    </row>
    <row r="382" spans="1:53" s="87" customFormat="1">
      <c r="A382" s="90" t="str">
        <f t="shared" si="31"/>
        <v/>
      </c>
      <c r="B382" s="98">
        <v>15</v>
      </c>
      <c r="C382" s="94">
        <v>3</v>
      </c>
      <c r="D382" s="94" t="s">
        <v>210</v>
      </c>
      <c r="E382" s="94">
        <v>1</v>
      </c>
      <c r="F382" s="94" t="s">
        <v>210</v>
      </c>
      <c r="G382" s="94" t="s">
        <v>210</v>
      </c>
      <c r="H382" s="94">
        <v>-3</v>
      </c>
      <c r="I382" s="94" t="s">
        <v>210</v>
      </c>
      <c r="J382" s="94" t="s">
        <v>210</v>
      </c>
      <c r="K382" s="94" t="s">
        <v>210</v>
      </c>
      <c r="L382" s="94">
        <v>-2</v>
      </c>
      <c r="M382" s="94" t="s">
        <v>210</v>
      </c>
      <c r="N382" s="94" t="s">
        <v>210</v>
      </c>
      <c r="O382" s="94"/>
      <c r="P382" s="94"/>
      <c r="Q382" s="94"/>
      <c r="R382" s="94"/>
      <c r="S382" s="94"/>
      <c r="T382" s="94"/>
      <c r="U382" s="94"/>
      <c r="V382" s="94"/>
      <c r="W382" s="94"/>
      <c r="X382" s="94"/>
      <c r="Y382" s="94"/>
      <c r="Z382" s="94"/>
      <c r="AA382" s="94"/>
      <c r="AB382" s="94"/>
      <c r="AC382" s="94"/>
      <c r="AD382" s="94"/>
      <c r="AE382" s="94"/>
      <c r="AF382" s="94"/>
      <c r="AG382" s="94"/>
      <c r="AH382" s="94"/>
      <c r="AI382" s="94"/>
      <c r="AJ382" s="94"/>
      <c r="AK382" s="94"/>
      <c r="AL382" s="94"/>
      <c r="AM382" s="94"/>
      <c r="AN382" s="94"/>
      <c r="AO382" s="94"/>
      <c r="AP382" s="94"/>
      <c r="AQ382" s="94"/>
      <c r="AR382" s="94"/>
      <c r="AS382" s="94"/>
      <c r="AT382" s="94"/>
      <c r="AU382" s="94"/>
      <c r="AV382" s="94"/>
      <c r="AW382" s="94"/>
      <c r="AX382" s="94"/>
      <c r="AY382" s="94"/>
      <c r="AZ382" s="94"/>
      <c r="BA382" s="95"/>
    </row>
    <row r="383" spans="1:53" s="87" customFormat="1">
      <c r="A383" s="90" t="str">
        <f t="shared" si="31"/>
        <v/>
      </c>
      <c r="B383" s="98">
        <v>16</v>
      </c>
      <c r="C383" s="94">
        <v>-3</v>
      </c>
      <c r="D383" s="94" t="s">
        <v>210</v>
      </c>
      <c r="E383" s="94" t="s">
        <v>210</v>
      </c>
      <c r="F383" s="94">
        <v>-1</v>
      </c>
      <c r="G383" s="94" t="s">
        <v>210</v>
      </c>
      <c r="H383" s="94">
        <v>2</v>
      </c>
      <c r="I383" s="94" t="s">
        <v>210</v>
      </c>
      <c r="J383" s="94" t="s">
        <v>210</v>
      </c>
      <c r="K383" s="94">
        <v>1</v>
      </c>
      <c r="L383" s="94" t="s">
        <v>210</v>
      </c>
      <c r="M383" s="94" t="s">
        <v>210</v>
      </c>
      <c r="N383" s="94" t="s">
        <v>210</v>
      </c>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5"/>
    </row>
    <row r="384" spans="1:53" s="87" customFormat="1">
      <c r="A384" s="90" t="str">
        <f t="shared" si="31"/>
        <v/>
      </c>
      <c r="B384" s="317" t="s">
        <v>1091</v>
      </c>
      <c r="C384" s="94"/>
      <c r="D384" s="94"/>
      <c r="E384" s="94"/>
      <c r="F384" s="94"/>
      <c r="G384" s="94"/>
      <c r="H384" s="94"/>
      <c r="I384" s="94"/>
      <c r="J384" s="94"/>
      <c r="K384" s="94"/>
      <c r="L384" s="94"/>
      <c r="M384" s="94"/>
      <c r="N384" s="94"/>
      <c r="O384" s="94"/>
      <c r="P384" s="94"/>
      <c r="Q384" s="94"/>
      <c r="R384" s="94"/>
      <c r="S384" s="94"/>
      <c r="T384" s="94"/>
      <c r="U384" s="94"/>
      <c r="V384" s="94"/>
      <c r="W384" s="94"/>
      <c r="X384" s="94"/>
      <c r="Y384" s="94"/>
      <c r="Z384" s="94"/>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AZ384" s="94"/>
      <c r="BA384" s="95"/>
    </row>
    <row r="385" spans="1:53" s="87" customFormat="1">
      <c r="A385" s="90">
        <f t="shared" si="31"/>
        <v>385</v>
      </c>
      <c r="B385" s="317" t="s">
        <v>1232</v>
      </c>
      <c r="C385" s="94"/>
      <c r="D385" s="94"/>
      <c r="E385" s="94"/>
      <c r="F385" s="94"/>
      <c r="G385" s="94"/>
      <c r="H385" s="94"/>
      <c r="I385" s="94"/>
      <c r="J385" s="94"/>
      <c r="K385" s="94"/>
      <c r="L385" s="94"/>
      <c r="M385" s="94"/>
      <c r="N385" s="94"/>
      <c r="O385" s="94"/>
      <c r="P385" s="94"/>
      <c r="Q385" s="94"/>
      <c r="R385" s="94"/>
      <c r="S385" s="94"/>
      <c r="T385" s="94"/>
      <c r="U385" s="94"/>
      <c r="V385" s="94"/>
      <c r="W385" s="94"/>
      <c r="X385" s="94"/>
      <c r="Y385" s="94"/>
      <c r="Z385" s="94"/>
      <c r="AA385" s="94"/>
      <c r="AB385" s="94"/>
      <c r="AC385" s="94"/>
      <c r="AD385" s="94"/>
      <c r="AE385" s="94"/>
      <c r="AF385" s="94"/>
      <c r="AG385" s="94"/>
      <c r="AH385" s="94"/>
      <c r="AI385" s="94"/>
      <c r="AJ385" s="94"/>
      <c r="AK385" s="94"/>
      <c r="AL385" s="94"/>
      <c r="AM385" s="94"/>
      <c r="AN385" s="94"/>
      <c r="AO385" s="94"/>
      <c r="AP385" s="94"/>
      <c r="AQ385" s="94"/>
      <c r="AR385" s="94"/>
      <c r="AS385" s="94"/>
      <c r="AT385" s="94"/>
      <c r="AU385" s="94"/>
      <c r="AV385" s="94"/>
      <c r="AW385" s="94"/>
      <c r="AX385" s="94"/>
      <c r="AY385" s="94"/>
      <c r="AZ385" s="94"/>
      <c r="BA385" s="95"/>
    </row>
    <row r="386" spans="1:53" s="87" customFormat="1">
      <c r="A386" s="90" t="str">
        <f t="shared" si="31"/>
        <v/>
      </c>
      <c r="B386" s="98">
        <v>1</v>
      </c>
      <c r="C386" s="94" t="s">
        <v>210</v>
      </c>
      <c r="D386" s="94" t="s">
        <v>210</v>
      </c>
      <c r="E386" s="94">
        <v>1</v>
      </c>
      <c r="F386" s="94" t="s">
        <v>210</v>
      </c>
      <c r="G386" s="94">
        <v>2</v>
      </c>
      <c r="H386" s="94" t="s">
        <v>210</v>
      </c>
      <c r="I386" s="94" t="s">
        <v>210</v>
      </c>
      <c r="J386" s="94">
        <v>-1</v>
      </c>
      <c r="K386" s="94" t="s">
        <v>210</v>
      </c>
      <c r="L386" s="94" t="s">
        <v>210</v>
      </c>
      <c r="M386" s="94">
        <v>-3</v>
      </c>
      <c r="N386" s="94" t="s">
        <v>210</v>
      </c>
      <c r="O386" s="94">
        <v>-2</v>
      </c>
      <c r="P386" s="94" t="s">
        <v>210</v>
      </c>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5"/>
    </row>
    <row r="387" spans="1:53" s="87" customFormat="1">
      <c r="A387" s="90" t="str">
        <f t="shared" si="31"/>
        <v/>
      </c>
      <c r="B387" s="98">
        <v>2</v>
      </c>
      <c r="C387" s="94" t="s">
        <v>210</v>
      </c>
      <c r="D387" s="94" t="s">
        <v>210</v>
      </c>
      <c r="E387" s="94">
        <v>-2</v>
      </c>
      <c r="F387" s="94" t="s">
        <v>210</v>
      </c>
      <c r="G387" s="94">
        <v>1</v>
      </c>
      <c r="H387" s="94" t="s">
        <v>210</v>
      </c>
      <c r="I387" s="94" t="s">
        <v>210</v>
      </c>
      <c r="J387" s="94">
        <v>-3</v>
      </c>
      <c r="K387" s="94" t="s">
        <v>210</v>
      </c>
      <c r="L387" s="94">
        <v>-1</v>
      </c>
      <c r="M387" s="94" t="s">
        <v>210</v>
      </c>
      <c r="N387" s="94" t="s">
        <v>210</v>
      </c>
      <c r="O387" s="94">
        <v>2</v>
      </c>
      <c r="P387" s="94" t="s">
        <v>210</v>
      </c>
      <c r="Q387" s="94"/>
      <c r="R387" s="94"/>
      <c r="S387" s="94"/>
      <c r="T387" s="94"/>
      <c r="U387" s="94"/>
      <c r="V387" s="94"/>
      <c r="W387" s="94"/>
      <c r="X387" s="94"/>
      <c r="Y387" s="94"/>
      <c r="Z387" s="94"/>
      <c r="AA387" s="94"/>
      <c r="AB387" s="94"/>
      <c r="AC387" s="94"/>
      <c r="AD387" s="94"/>
      <c r="AE387" s="94"/>
      <c r="AF387" s="94"/>
      <c r="AG387" s="94"/>
      <c r="AH387" s="94"/>
      <c r="AI387" s="94"/>
      <c r="AJ387" s="94"/>
      <c r="AK387" s="94"/>
      <c r="AL387" s="94"/>
      <c r="AM387" s="94"/>
      <c r="AN387" s="94"/>
      <c r="AO387" s="94"/>
      <c r="AP387" s="94"/>
      <c r="AQ387" s="94"/>
      <c r="AR387" s="94"/>
      <c r="AS387" s="94"/>
      <c r="AT387" s="94"/>
      <c r="AU387" s="94"/>
      <c r="AV387" s="94"/>
      <c r="AW387" s="94"/>
      <c r="AX387" s="94"/>
      <c r="AY387" s="94"/>
      <c r="AZ387" s="94"/>
      <c r="BA387" s="95"/>
    </row>
    <row r="388" spans="1:53" s="87" customFormat="1">
      <c r="A388" s="90" t="str">
        <f t="shared" si="31"/>
        <v/>
      </c>
      <c r="B388" s="98">
        <v>3</v>
      </c>
      <c r="C388" s="94">
        <v>-3</v>
      </c>
      <c r="D388" s="94" t="s">
        <v>210</v>
      </c>
      <c r="E388" s="94" t="s">
        <v>210</v>
      </c>
      <c r="F388" s="94" t="s">
        <v>210</v>
      </c>
      <c r="G388" s="94">
        <v>-1</v>
      </c>
      <c r="H388" s="94" t="s">
        <v>210</v>
      </c>
      <c r="I388" s="94" t="s">
        <v>210</v>
      </c>
      <c r="J388" s="94">
        <v>-2</v>
      </c>
      <c r="K388" s="94" t="s">
        <v>210</v>
      </c>
      <c r="L388" s="94" t="s">
        <v>210</v>
      </c>
      <c r="M388" s="94">
        <v>3</v>
      </c>
      <c r="N388" s="94" t="s">
        <v>210</v>
      </c>
      <c r="O388" s="94">
        <v>1</v>
      </c>
      <c r="P388" s="94" t="s">
        <v>210</v>
      </c>
      <c r="Q388" s="94"/>
      <c r="R388" s="94"/>
      <c r="S388" s="94"/>
      <c r="T388" s="94"/>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5"/>
    </row>
    <row r="389" spans="1:53" s="87" customFormat="1">
      <c r="A389" s="90" t="str">
        <f t="shared" si="31"/>
        <v/>
      </c>
      <c r="B389" s="98">
        <v>4</v>
      </c>
      <c r="C389" s="94" t="s">
        <v>210</v>
      </c>
      <c r="D389" s="94" t="s">
        <v>210</v>
      </c>
      <c r="E389" s="94">
        <v>2</v>
      </c>
      <c r="F389" s="94" t="s">
        <v>210</v>
      </c>
      <c r="G389" s="94" t="s">
        <v>210</v>
      </c>
      <c r="H389" s="94">
        <v>3</v>
      </c>
      <c r="I389" s="94" t="s">
        <v>210</v>
      </c>
      <c r="J389" s="94">
        <v>1</v>
      </c>
      <c r="K389" s="94" t="s">
        <v>210</v>
      </c>
      <c r="L389" s="94" t="s">
        <v>210</v>
      </c>
      <c r="M389" s="94">
        <v>-2</v>
      </c>
      <c r="N389" s="94" t="s">
        <v>210</v>
      </c>
      <c r="O389" s="94">
        <v>-1</v>
      </c>
      <c r="P389" s="94" t="s">
        <v>210</v>
      </c>
      <c r="Q389" s="94"/>
      <c r="R389" s="94"/>
      <c r="S389" s="94"/>
      <c r="T389" s="94"/>
      <c r="U389" s="94"/>
      <c r="V389" s="94"/>
      <c r="W389" s="94"/>
      <c r="X389" s="94"/>
      <c r="Y389" s="94"/>
      <c r="Z389" s="94"/>
      <c r="AA389" s="94"/>
      <c r="AB389" s="94"/>
      <c r="AC389" s="94"/>
      <c r="AD389" s="94"/>
      <c r="AE389" s="94"/>
      <c r="AF389" s="94"/>
      <c r="AG389" s="94"/>
      <c r="AH389" s="94"/>
      <c r="AI389" s="94"/>
      <c r="AJ389" s="94"/>
      <c r="AK389" s="94"/>
      <c r="AL389" s="94"/>
      <c r="AM389" s="94"/>
      <c r="AN389" s="94"/>
      <c r="AO389" s="94"/>
      <c r="AP389" s="94"/>
      <c r="AQ389" s="94"/>
      <c r="AR389" s="94"/>
      <c r="AS389" s="94"/>
      <c r="AT389" s="94"/>
      <c r="AU389" s="94"/>
      <c r="AV389" s="94"/>
      <c r="AW389" s="94"/>
      <c r="AX389" s="94"/>
      <c r="AY389" s="94"/>
      <c r="AZ389" s="94"/>
      <c r="BA389" s="95"/>
    </row>
    <row r="390" spans="1:53" s="87" customFormat="1">
      <c r="A390" s="90" t="str">
        <f t="shared" si="31"/>
        <v/>
      </c>
      <c r="B390" s="98">
        <v>5</v>
      </c>
      <c r="C390" s="94" t="s">
        <v>210</v>
      </c>
      <c r="D390" s="94" t="s">
        <v>210</v>
      </c>
      <c r="E390" s="94">
        <v>-1</v>
      </c>
      <c r="F390" s="94" t="s">
        <v>210</v>
      </c>
      <c r="G390" s="94" t="s">
        <v>210</v>
      </c>
      <c r="H390" s="94">
        <v>-3</v>
      </c>
      <c r="I390" s="94" t="s">
        <v>210</v>
      </c>
      <c r="J390" s="94">
        <v>2</v>
      </c>
      <c r="K390" s="94" t="s">
        <v>210</v>
      </c>
      <c r="L390" s="94">
        <v>1</v>
      </c>
      <c r="M390" s="94" t="s">
        <v>210</v>
      </c>
      <c r="N390" s="94" t="s">
        <v>210</v>
      </c>
      <c r="O390" s="94">
        <v>3</v>
      </c>
      <c r="P390" s="94" t="s">
        <v>210</v>
      </c>
      <c r="Q390" s="94"/>
      <c r="R390" s="94"/>
      <c r="S390" s="94"/>
      <c r="T390" s="94"/>
      <c r="U390" s="94"/>
      <c r="V390" s="94"/>
      <c r="W390" s="94"/>
      <c r="X390" s="94"/>
      <c r="Y390" s="94"/>
      <c r="Z390" s="94"/>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c r="AW390" s="94"/>
      <c r="AX390" s="94"/>
      <c r="AY390" s="94"/>
      <c r="AZ390" s="94"/>
      <c r="BA390" s="95"/>
    </row>
    <row r="391" spans="1:53" s="87" customFormat="1">
      <c r="A391" s="90" t="str">
        <f t="shared" si="31"/>
        <v/>
      </c>
      <c r="B391" s="99">
        <v>6</v>
      </c>
      <c r="C391" s="92">
        <v>3</v>
      </c>
      <c r="D391" s="92" t="s">
        <v>210</v>
      </c>
      <c r="E391" s="92" t="s">
        <v>210</v>
      </c>
      <c r="F391" s="92" t="s">
        <v>210</v>
      </c>
      <c r="G391" s="92">
        <v>-2</v>
      </c>
      <c r="H391" s="92" t="s">
        <v>210</v>
      </c>
      <c r="I391" s="92" t="s">
        <v>210</v>
      </c>
      <c r="J391" s="92">
        <v>3</v>
      </c>
      <c r="K391" s="92" t="s">
        <v>210</v>
      </c>
      <c r="L391" s="92" t="s">
        <v>210</v>
      </c>
      <c r="M391" s="92">
        <v>2</v>
      </c>
      <c r="N391" s="92" t="s">
        <v>210</v>
      </c>
      <c r="O391" s="92">
        <v>-3</v>
      </c>
      <c r="P391" s="92" t="s">
        <v>210</v>
      </c>
      <c r="Q391" s="94"/>
      <c r="R391" s="94"/>
      <c r="S391" s="94"/>
      <c r="T391" s="94"/>
      <c r="U391" s="94"/>
      <c r="V391" s="94"/>
      <c r="W391" s="94"/>
      <c r="X391" s="94"/>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c r="AW391" s="94"/>
      <c r="AX391" s="94"/>
      <c r="AY391" s="94"/>
      <c r="AZ391" s="94"/>
      <c r="BA391" s="95"/>
    </row>
    <row r="392" spans="1:53" s="87" customFormat="1">
      <c r="A392" s="90" t="str">
        <f t="shared" si="31"/>
        <v/>
      </c>
      <c r="B392" s="98">
        <v>7</v>
      </c>
      <c r="C392" s="94" t="s">
        <v>210</v>
      </c>
      <c r="D392" s="94">
        <v>2</v>
      </c>
      <c r="E392" s="94" t="s">
        <v>210</v>
      </c>
      <c r="F392" s="94">
        <v>1</v>
      </c>
      <c r="G392" s="94" t="s">
        <v>210</v>
      </c>
      <c r="H392" s="94" t="s">
        <v>210</v>
      </c>
      <c r="I392" s="94">
        <v>-3</v>
      </c>
      <c r="J392" s="94" t="s">
        <v>210</v>
      </c>
      <c r="K392" s="94" t="s">
        <v>210</v>
      </c>
      <c r="L392" s="94" t="s">
        <v>210</v>
      </c>
      <c r="M392" s="94">
        <v>-1</v>
      </c>
      <c r="N392" s="94" t="s">
        <v>210</v>
      </c>
      <c r="O392" s="94" t="s">
        <v>210</v>
      </c>
      <c r="P392" s="94">
        <v>-2</v>
      </c>
      <c r="Q392" s="94"/>
      <c r="R392" s="94"/>
      <c r="S392" s="94"/>
      <c r="T392" s="94"/>
      <c r="U392" s="94"/>
      <c r="V392" s="94"/>
      <c r="W392" s="94"/>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5"/>
    </row>
    <row r="393" spans="1:53" s="87" customFormat="1">
      <c r="A393" s="90" t="str">
        <f t="shared" si="31"/>
        <v/>
      </c>
      <c r="B393" s="98">
        <v>8</v>
      </c>
      <c r="C393" s="94">
        <v>1</v>
      </c>
      <c r="D393" s="94" t="s">
        <v>210</v>
      </c>
      <c r="E393" s="94">
        <v>3</v>
      </c>
      <c r="F393" s="94" t="s">
        <v>210</v>
      </c>
      <c r="G393" s="94" t="s">
        <v>210</v>
      </c>
      <c r="H393" s="94" t="s">
        <v>210</v>
      </c>
      <c r="I393" s="94">
        <v>-1</v>
      </c>
      <c r="J393" s="94" t="s">
        <v>210</v>
      </c>
      <c r="K393" s="94" t="s">
        <v>210</v>
      </c>
      <c r="L393" s="94" t="s">
        <v>210</v>
      </c>
      <c r="M393" s="94" t="s">
        <v>210</v>
      </c>
      <c r="N393" s="94">
        <v>-3</v>
      </c>
      <c r="O393" s="94" t="s">
        <v>210</v>
      </c>
      <c r="P393" s="94">
        <v>2</v>
      </c>
      <c r="Q393" s="94"/>
      <c r="R393" s="94"/>
      <c r="S393" s="94"/>
      <c r="T393" s="94"/>
      <c r="U393" s="94"/>
      <c r="V393" s="94"/>
      <c r="W393" s="94"/>
      <c r="X393" s="94"/>
      <c r="Y393" s="94"/>
      <c r="Z393" s="94"/>
      <c r="AA393" s="94"/>
      <c r="AB393" s="94"/>
      <c r="AC393" s="94"/>
      <c r="AD393" s="94"/>
      <c r="AE393" s="94"/>
      <c r="AF393" s="94"/>
      <c r="AG393" s="94"/>
      <c r="AH393" s="94"/>
      <c r="AI393" s="94"/>
      <c r="AJ393" s="94"/>
      <c r="AK393" s="94"/>
      <c r="AL393" s="94"/>
      <c r="AM393" s="94"/>
      <c r="AN393" s="94"/>
      <c r="AO393" s="94"/>
      <c r="AP393" s="94"/>
      <c r="AQ393" s="94"/>
      <c r="AR393" s="94"/>
      <c r="AS393" s="94"/>
      <c r="AT393" s="94"/>
      <c r="AU393" s="94"/>
      <c r="AV393" s="94"/>
      <c r="AW393" s="94"/>
      <c r="AX393" s="94"/>
      <c r="AY393" s="94"/>
      <c r="AZ393" s="94"/>
      <c r="BA393" s="95"/>
    </row>
    <row r="394" spans="1:53" s="87" customFormat="1">
      <c r="A394" s="90" t="str">
        <f t="shared" si="31"/>
        <v/>
      </c>
      <c r="B394" s="98">
        <v>9</v>
      </c>
      <c r="C394" s="94" t="s">
        <v>210</v>
      </c>
      <c r="D394" s="94">
        <v>-3</v>
      </c>
      <c r="E394" s="94" t="s">
        <v>210</v>
      </c>
      <c r="F394" s="94">
        <v>-1</v>
      </c>
      <c r="G394" s="94" t="s">
        <v>210</v>
      </c>
      <c r="H394" s="94" t="s">
        <v>210</v>
      </c>
      <c r="I394" s="94" t="s">
        <v>210</v>
      </c>
      <c r="J394" s="94" t="s">
        <v>210</v>
      </c>
      <c r="K394" s="94">
        <v>2</v>
      </c>
      <c r="L394" s="94" t="s">
        <v>210</v>
      </c>
      <c r="M394" s="94" t="s">
        <v>210</v>
      </c>
      <c r="N394" s="94">
        <v>3</v>
      </c>
      <c r="O394" s="94" t="s">
        <v>210</v>
      </c>
      <c r="P394" s="94">
        <v>1</v>
      </c>
      <c r="Q394" s="94"/>
      <c r="R394" s="94"/>
      <c r="S394" s="94"/>
      <c r="T394" s="94"/>
      <c r="U394" s="94"/>
      <c r="V394" s="94"/>
      <c r="W394" s="94"/>
      <c r="X394" s="94"/>
      <c r="Y394" s="94"/>
      <c r="Z394" s="94"/>
      <c r="AA394" s="94"/>
      <c r="AB394" s="94"/>
      <c r="AC394" s="94"/>
      <c r="AD394" s="94"/>
      <c r="AE394" s="94"/>
      <c r="AF394" s="94"/>
      <c r="AG394" s="94"/>
      <c r="AH394" s="94"/>
      <c r="AI394" s="94"/>
      <c r="AJ394" s="94"/>
      <c r="AK394" s="94"/>
      <c r="AL394" s="94"/>
      <c r="AM394" s="94"/>
      <c r="AN394" s="94"/>
      <c r="AO394" s="94"/>
      <c r="AP394" s="94"/>
      <c r="AQ394" s="94"/>
      <c r="AR394" s="94"/>
      <c r="AS394" s="94"/>
      <c r="AT394" s="94"/>
      <c r="AU394" s="94"/>
      <c r="AV394" s="94"/>
      <c r="AW394" s="94"/>
      <c r="AX394" s="94"/>
      <c r="AY394" s="94"/>
      <c r="AZ394" s="94"/>
      <c r="BA394" s="95"/>
    </row>
    <row r="395" spans="1:53" s="87" customFormat="1">
      <c r="A395" s="90" t="str">
        <f t="shared" si="31"/>
        <v/>
      </c>
      <c r="B395" s="98">
        <v>10</v>
      </c>
      <c r="C395" s="94" t="s">
        <v>210</v>
      </c>
      <c r="D395" s="94">
        <v>-2</v>
      </c>
      <c r="E395" s="94" t="s">
        <v>210</v>
      </c>
      <c r="F395" s="94" t="s">
        <v>210</v>
      </c>
      <c r="G395" s="94">
        <v>3</v>
      </c>
      <c r="H395" s="94" t="s">
        <v>210</v>
      </c>
      <c r="I395" s="94">
        <v>1</v>
      </c>
      <c r="J395" s="94" t="s">
        <v>210</v>
      </c>
      <c r="K395" s="94">
        <v>-3</v>
      </c>
      <c r="L395" s="94" t="s">
        <v>210</v>
      </c>
      <c r="M395" s="94" t="s">
        <v>210</v>
      </c>
      <c r="N395" s="94" t="s">
        <v>210</v>
      </c>
      <c r="O395" s="94" t="s">
        <v>210</v>
      </c>
      <c r="P395" s="94">
        <v>-1</v>
      </c>
      <c r="Q395" s="94"/>
      <c r="R395" s="94"/>
      <c r="S395" s="94"/>
      <c r="T395" s="94"/>
      <c r="U395" s="94"/>
      <c r="V395" s="94"/>
      <c r="W395" s="94"/>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c r="AW395" s="94"/>
      <c r="AX395" s="94"/>
      <c r="AY395" s="94"/>
      <c r="AZ395" s="94"/>
      <c r="BA395" s="95"/>
    </row>
    <row r="396" spans="1:53" s="87" customFormat="1">
      <c r="A396" s="90" t="str">
        <f t="shared" ref="A396:A459" si="32">IF(MID(B396,3,2)="03",ROW(),"")</f>
        <v/>
      </c>
      <c r="B396" s="99">
        <v>11</v>
      </c>
      <c r="C396" s="92">
        <v>-1</v>
      </c>
      <c r="D396" s="92" t="s">
        <v>210</v>
      </c>
      <c r="E396" s="92" t="s">
        <v>210</v>
      </c>
      <c r="F396" s="92" t="s">
        <v>210</v>
      </c>
      <c r="G396" s="92">
        <v>-3</v>
      </c>
      <c r="H396" s="92" t="s">
        <v>210</v>
      </c>
      <c r="I396" s="92" t="s">
        <v>210</v>
      </c>
      <c r="J396" s="92" t="s">
        <v>210</v>
      </c>
      <c r="K396" s="92">
        <v>-2</v>
      </c>
      <c r="L396" s="92" t="s">
        <v>210</v>
      </c>
      <c r="M396" s="92">
        <v>1</v>
      </c>
      <c r="N396" s="92" t="s">
        <v>210</v>
      </c>
      <c r="O396" s="92" t="s">
        <v>210</v>
      </c>
      <c r="P396" s="92">
        <v>3</v>
      </c>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5"/>
    </row>
    <row r="397" spans="1:53" s="87" customFormat="1">
      <c r="A397" s="90" t="str">
        <f t="shared" si="32"/>
        <v/>
      </c>
      <c r="B397" s="98">
        <v>12</v>
      </c>
      <c r="C397" s="94" t="s">
        <v>210</v>
      </c>
      <c r="D397" s="94">
        <v>1</v>
      </c>
      <c r="E397" s="94" t="s">
        <v>210</v>
      </c>
      <c r="F397" s="94">
        <v>2</v>
      </c>
      <c r="G397" s="94" t="s">
        <v>210</v>
      </c>
      <c r="H397" s="94" t="s">
        <v>210</v>
      </c>
      <c r="I397" s="94">
        <v>3</v>
      </c>
      <c r="J397" s="94" t="s">
        <v>210</v>
      </c>
      <c r="K397" s="94" t="s">
        <v>210</v>
      </c>
      <c r="L397" s="94">
        <v>-2</v>
      </c>
      <c r="M397" s="94" t="s">
        <v>210</v>
      </c>
      <c r="N397" s="94">
        <v>-1</v>
      </c>
      <c r="O397" s="94" t="s">
        <v>210</v>
      </c>
      <c r="P397" s="94" t="s">
        <v>210</v>
      </c>
      <c r="Q397" s="94"/>
      <c r="R397" s="94"/>
      <c r="S397" s="94"/>
      <c r="T397" s="94"/>
      <c r="U397" s="94"/>
      <c r="V397" s="94"/>
      <c r="W397" s="94"/>
      <c r="X397" s="94"/>
      <c r="Y397" s="94"/>
      <c r="Z397" s="94"/>
      <c r="AA397" s="94"/>
      <c r="AB397" s="94"/>
      <c r="AC397" s="94"/>
      <c r="AD397" s="94"/>
      <c r="AE397" s="94"/>
      <c r="AF397" s="94"/>
      <c r="AG397" s="94"/>
      <c r="AH397" s="94"/>
      <c r="AI397" s="94"/>
      <c r="AJ397" s="94"/>
      <c r="AK397" s="94"/>
      <c r="AL397" s="94"/>
      <c r="AM397" s="94"/>
      <c r="AN397" s="94"/>
      <c r="AO397" s="94"/>
      <c r="AP397" s="94"/>
      <c r="AQ397" s="94"/>
      <c r="AR397" s="94"/>
      <c r="AS397" s="94"/>
      <c r="AT397" s="94"/>
      <c r="AU397" s="94"/>
      <c r="AV397" s="94"/>
      <c r="AW397" s="94"/>
      <c r="AX397" s="94"/>
      <c r="AY397" s="94"/>
      <c r="AZ397" s="94"/>
      <c r="BA397" s="95"/>
    </row>
    <row r="398" spans="1:53" s="87" customFormat="1">
      <c r="A398" s="90" t="str">
        <f t="shared" si="32"/>
        <v/>
      </c>
      <c r="B398" s="98">
        <v>13</v>
      </c>
      <c r="C398" s="94">
        <v>2</v>
      </c>
      <c r="D398" s="94" t="s">
        <v>210</v>
      </c>
      <c r="E398" s="94">
        <v>-3</v>
      </c>
      <c r="F398" s="94" t="s">
        <v>210</v>
      </c>
      <c r="G398" s="94" t="s">
        <v>210</v>
      </c>
      <c r="H398" s="94" t="s">
        <v>210</v>
      </c>
      <c r="I398" s="94">
        <v>-2</v>
      </c>
      <c r="J398" s="94" t="s">
        <v>210</v>
      </c>
      <c r="K398" s="94" t="s">
        <v>210</v>
      </c>
      <c r="L398" s="94">
        <v>3</v>
      </c>
      <c r="M398" s="94" t="s">
        <v>210</v>
      </c>
      <c r="N398" s="94">
        <v>1</v>
      </c>
      <c r="O398" s="94" t="s">
        <v>210</v>
      </c>
      <c r="P398" s="94" t="s">
        <v>210</v>
      </c>
      <c r="Q398" s="94"/>
      <c r="R398" s="94"/>
      <c r="S398" s="94"/>
      <c r="T398" s="94"/>
      <c r="U398" s="94"/>
      <c r="V398" s="94"/>
      <c r="W398" s="94"/>
      <c r="X398" s="94"/>
      <c r="Y398" s="94"/>
      <c r="Z398" s="94"/>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5"/>
    </row>
    <row r="399" spans="1:53" s="87" customFormat="1">
      <c r="A399" s="90" t="str">
        <f t="shared" si="32"/>
        <v/>
      </c>
      <c r="B399" s="98">
        <v>14</v>
      </c>
      <c r="C399" s="94" t="s">
        <v>210</v>
      </c>
      <c r="D399" s="94">
        <v>3</v>
      </c>
      <c r="E399" s="94" t="s">
        <v>210</v>
      </c>
      <c r="F399" s="94">
        <v>-2</v>
      </c>
      <c r="G399" s="94" t="s">
        <v>210</v>
      </c>
      <c r="H399" s="94">
        <v>1</v>
      </c>
      <c r="I399" s="94" t="s">
        <v>210</v>
      </c>
      <c r="J399" s="94" t="s">
        <v>210</v>
      </c>
      <c r="K399" s="94" t="s">
        <v>210</v>
      </c>
      <c r="L399" s="94">
        <v>-3</v>
      </c>
      <c r="M399" s="94" t="s">
        <v>210</v>
      </c>
      <c r="N399" s="94">
        <v>2</v>
      </c>
      <c r="O399" s="94" t="s">
        <v>210</v>
      </c>
      <c r="P399" s="94" t="s">
        <v>210</v>
      </c>
      <c r="Q399" s="94"/>
      <c r="R399" s="94"/>
      <c r="S399" s="94"/>
      <c r="T399" s="94"/>
      <c r="U399" s="94"/>
      <c r="V399" s="94"/>
      <c r="W399" s="94"/>
      <c r="X399" s="94"/>
      <c r="Y399" s="94"/>
      <c r="Z399" s="94"/>
      <c r="AA399" s="94"/>
      <c r="AB399" s="94"/>
      <c r="AC399" s="94"/>
      <c r="AD399" s="94"/>
      <c r="AE399" s="94"/>
      <c r="AF399" s="94"/>
      <c r="AG399" s="94"/>
      <c r="AH399" s="94"/>
      <c r="AI399" s="94"/>
      <c r="AJ399" s="94"/>
      <c r="AK399" s="94"/>
      <c r="AL399" s="94"/>
      <c r="AM399" s="94"/>
      <c r="AN399" s="94"/>
      <c r="AO399" s="94"/>
      <c r="AP399" s="94"/>
      <c r="AQ399" s="94"/>
      <c r="AR399" s="94"/>
      <c r="AS399" s="94"/>
      <c r="AT399" s="94"/>
      <c r="AU399" s="94"/>
      <c r="AV399" s="94"/>
      <c r="AW399" s="94"/>
      <c r="AX399" s="94"/>
      <c r="AY399" s="94"/>
      <c r="AZ399" s="94"/>
      <c r="BA399" s="95"/>
    </row>
    <row r="400" spans="1:53" s="87" customFormat="1">
      <c r="A400" s="90" t="str">
        <f t="shared" si="32"/>
        <v/>
      </c>
      <c r="B400" s="98">
        <v>15</v>
      </c>
      <c r="C400" s="94" t="s">
        <v>210</v>
      </c>
      <c r="D400" s="94">
        <v>-1</v>
      </c>
      <c r="E400" s="94" t="s">
        <v>210</v>
      </c>
      <c r="F400" s="94">
        <v>-3</v>
      </c>
      <c r="G400" s="94" t="s">
        <v>210</v>
      </c>
      <c r="H400" s="94" t="s">
        <v>210</v>
      </c>
      <c r="I400" s="94">
        <v>2</v>
      </c>
      <c r="J400" s="94" t="s">
        <v>210</v>
      </c>
      <c r="K400" s="94">
        <v>3</v>
      </c>
      <c r="L400" s="94" t="s">
        <v>210</v>
      </c>
      <c r="M400" s="94" t="s">
        <v>210</v>
      </c>
      <c r="N400" s="94">
        <v>-2</v>
      </c>
      <c r="O400" s="94" t="s">
        <v>210</v>
      </c>
      <c r="P400" s="94" t="s">
        <v>210</v>
      </c>
      <c r="Q400" s="94"/>
      <c r="R400" s="94"/>
      <c r="S400" s="94"/>
      <c r="T400" s="94"/>
      <c r="U400" s="94"/>
      <c r="V400" s="94"/>
      <c r="W400" s="94"/>
      <c r="X400" s="94"/>
      <c r="Y400" s="94"/>
      <c r="Z400" s="94"/>
      <c r="AA400" s="94"/>
      <c r="AB400" s="94"/>
      <c r="AC400" s="94"/>
      <c r="AD400" s="94"/>
      <c r="AE400" s="94"/>
      <c r="AF400" s="94"/>
      <c r="AG400" s="94"/>
      <c r="AH400" s="94"/>
      <c r="AI400" s="94"/>
      <c r="AJ400" s="94"/>
      <c r="AK400" s="94"/>
      <c r="AL400" s="94"/>
      <c r="AM400" s="94"/>
      <c r="AN400" s="94"/>
      <c r="AO400" s="94"/>
      <c r="AP400" s="94"/>
      <c r="AQ400" s="94"/>
      <c r="AR400" s="94"/>
      <c r="AS400" s="94"/>
      <c r="AT400" s="94"/>
      <c r="AU400" s="94"/>
      <c r="AV400" s="94"/>
      <c r="AW400" s="94"/>
      <c r="AX400" s="94"/>
      <c r="AY400" s="94"/>
      <c r="AZ400" s="94"/>
      <c r="BA400" s="95"/>
    </row>
    <row r="401" spans="1:53" s="87" customFormat="1">
      <c r="A401" s="90" t="str">
        <f t="shared" si="32"/>
        <v/>
      </c>
      <c r="B401" s="98">
        <v>16</v>
      </c>
      <c r="C401" s="94">
        <v>-2</v>
      </c>
      <c r="D401" s="94" t="s">
        <v>210</v>
      </c>
      <c r="E401" s="94" t="s">
        <v>210</v>
      </c>
      <c r="F401" s="94">
        <v>3</v>
      </c>
      <c r="G401" s="94" t="s">
        <v>210</v>
      </c>
      <c r="H401" s="94">
        <v>-1</v>
      </c>
      <c r="I401" s="94" t="s">
        <v>210</v>
      </c>
      <c r="J401" s="94" t="s">
        <v>210</v>
      </c>
      <c r="K401" s="94" t="s">
        <v>210</v>
      </c>
      <c r="L401" s="94">
        <v>2</v>
      </c>
      <c r="M401" s="94" t="s">
        <v>210</v>
      </c>
      <c r="N401" s="94" t="s">
        <v>210</v>
      </c>
      <c r="O401" s="94" t="s">
        <v>210</v>
      </c>
      <c r="P401" s="94">
        <v>-3</v>
      </c>
      <c r="Q401" s="94"/>
      <c r="R401" s="94"/>
      <c r="S401" s="94"/>
      <c r="T401" s="94"/>
      <c r="U401" s="94"/>
      <c r="V401" s="94"/>
      <c r="W401" s="94"/>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AZ401" s="94"/>
      <c r="BA401" s="95"/>
    </row>
    <row r="402" spans="1:53" s="87" customFormat="1">
      <c r="A402" s="90" t="str">
        <f t="shared" si="32"/>
        <v/>
      </c>
      <c r="B402" s="317" t="s">
        <v>1092</v>
      </c>
      <c r="C402" s="94"/>
      <c r="D402" s="94"/>
      <c r="E402" s="94"/>
      <c r="F402" s="94"/>
      <c r="G402" s="94"/>
      <c r="H402" s="94"/>
      <c r="I402" s="94"/>
      <c r="J402" s="94"/>
      <c r="K402" s="94"/>
      <c r="L402" s="94"/>
      <c r="M402" s="94"/>
      <c r="N402" s="94"/>
      <c r="O402" s="94"/>
      <c r="P402" s="94"/>
      <c r="Q402" s="94"/>
      <c r="R402" s="94"/>
      <c r="S402" s="94"/>
      <c r="T402" s="94"/>
      <c r="U402" s="94"/>
      <c r="V402" s="94"/>
      <c r="W402" s="94"/>
      <c r="X402" s="94"/>
      <c r="Y402" s="94"/>
      <c r="Z402" s="94"/>
      <c r="AA402" s="94"/>
      <c r="AB402" s="94"/>
      <c r="AC402" s="94"/>
      <c r="AD402" s="94"/>
      <c r="AE402" s="94"/>
      <c r="AF402" s="94"/>
      <c r="AG402" s="94"/>
      <c r="AH402" s="94"/>
      <c r="AI402" s="94"/>
      <c r="AJ402" s="94"/>
      <c r="AK402" s="94"/>
      <c r="AL402" s="94"/>
      <c r="AM402" s="94"/>
      <c r="AN402" s="94"/>
      <c r="AO402" s="94"/>
      <c r="AP402" s="94"/>
      <c r="AQ402" s="94"/>
      <c r="AR402" s="94"/>
      <c r="AS402" s="94"/>
      <c r="AT402" s="94"/>
      <c r="AU402" s="94"/>
      <c r="AV402" s="94"/>
      <c r="AW402" s="94"/>
      <c r="AX402" s="94"/>
      <c r="AY402" s="94"/>
      <c r="AZ402" s="94"/>
      <c r="BA402" s="95"/>
    </row>
    <row r="403" spans="1:53" s="87" customFormat="1">
      <c r="A403" s="90">
        <f t="shared" si="32"/>
        <v>403</v>
      </c>
      <c r="B403" s="317" t="s">
        <v>1221</v>
      </c>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c r="AZ403" s="94"/>
      <c r="BA403" s="95"/>
    </row>
    <row r="404" spans="1:53" s="87" customFormat="1">
      <c r="A404" s="90" t="str">
        <f t="shared" si="32"/>
        <v/>
      </c>
      <c r="B404" s="98">
        <v>1</v>
      </c>
      <c r="C404" s="94" t="s">
        <v>210</v>
      </c>
      <c r="D404" s="94">
        <v>1</v>
      </c>
      <c r="E404" s="94">
        <v>-2</v>
      </c>
      <c r="F404" s="94" t="s">
        <v>210</v>
      </c>
      <c r="G404" s="94">
        <v>3</v>
      </c>
      <c r="H404" s="94" t="s">
        <v>210</v>
      </c>
      <c r="I404" s="94">
        <v>-1</v>
      </c>
      <c r="J404" s="94">
        <v>2</v>
      </c>
      <c r="K404" s="94" t="s">
        <v>210</v>
      </c>
      <c r="L404" s="94">
        <v>-1</v>
      </c>
      <c r="M404" s="94">
        <v>2</v>
      </c>
      <c r="N404" s="94"/>
      <c r="O404" s="94"/>
      <c r="P404" s="94"/>
      <c r="Q404" s="94"/>
      <c r="R404" s="94"/>
      <c r="S404" s="94"/>
      <c r="T404" s="94"/>
      <c r="U404" s="94"/>
      <c r="V404" s="94"/>
      <c r="W404" s="94"/>
      <c r="X404" s="94"/>
      <c r="Y404" s="94"/>
      <c r="Z404" s="94"/>
      <c r="AA404" s="94"/>
      <c r="AB404" s="94"/>
      <c r="AC404" s="94"/>
      <c r="AD404" s="94"/>
      <c r="AE404" s="94"/>
      <c r="AF404" s="94"/>
      <c r="AG404" s="94"/>
      <c r="AH404" s="94"/>
      <c r="AI404" s="94"/>
      <c r="AJ404" s="94"/>
      <c r="AK404" s="94"/>
      <c r="AL404" s="94"/>
      <c r="AM404" s="94"/>
      <c r="AN404" s="94"/>
      <c r="AO404" s="94"/>
      <c r="AP404" s="94"/>
      <c r="AQ404" s="94"/>
      <c r="AR404" s="94"/>
      <c r="AS404" s="94"/>
      <c r="AT404" s="94"/>
      <c r="AU404" s="94"/>
      <c r="AV404" s="94"/>
      <c r="AW404" s="94"/>
      <c r="AX404" s="94"/>
      <c r="AY404" s="94"/>
      <c r="AZ404" s="94"/>
      <c r="BA404" s="95"/>
    </row>
    <row r="405" spans="1:53" s="87" customFormat="1">
      <c r="A405" s="90" t="str">
        <f t="shared" si="32"/>
        <v/>
      </c>
      <c r="B405" s="98">
        <v>2</v>
      </c>
      <c r="C405" s="94" t="s">
        <v>210</v>
      </c>
      <c r="D405" s="94">
        <v>-2</v>
      </c>
      <c r="E405" s="94">
        <v>3</v>
      </c>
      <c r="F405" s="94" t="s">
        <v>210</v>
      </c>
      <c r="G405" s="94">
        <v>-1</v>
      </c>
      <c r="H405" s="94" t="s">
        <v>210</v>
      </c>
      <c r="I405" s="94">
        <v>2</v>
      </c>
      <c r="J405" s="94">
        <v>-3</v>
      </c>
      <c r="K405" s="94" t="s">
        <v>210</v>
      </c>
      <c r="L405" s="94">
        <v>1</v>
      </c>
      <c r="M405" s="94">
        <v>3</v>
      </c>
      <c r="N405" s="94"/>
      <c r="O405" s="94"/>
      <c r="P405" s="94"/>
      <c r="Q405" s="94"/>
      <c r="R405" s="94"/>
      <c r="S405" s="94"/>
      <c r="T405" s="94"/>
      <c r="U405" s="94"/>
      <c r="V405" s="94"/>
      <c r="W405" s="94"/>
      <c r="X405" s="94"/>
      <c r="Y405" s="94"/>
      <c r="Z405" s="94"/>
      <c r="AA405" s="94"/>
      <c r="AB405" s="94"/>
      <c r="AC405" s="94"/>
      <c r="AD405" s="94"/>
      <c r="AE405" s="94"/>
      <c r="AF405" s="94"/>
      <c r="AG405" s="94"/>
      <c r="AH405" s="94"/>
      <c r="AI405" s="94"/>
      <c r="AJ405" s="94"/>
      <c r="AK405" s="94"/>
      <c r="AL405" s="94"/>
      <c r="AM405" s="94"/>
      <c r="AN405" s="94"/>
      <c r="AO405" s="94"/>
      <c r="AP405" s="94"/>
      <c r="AQ405" s="94"/>
      <c r="AR405" s="94"/>
      <c r="AS405" s="94"/>
      <c r="AT405" s="94"/>
      <c r="AU405" s="94"/>
      <c r="AV405" s="94"/>
      <c r="AW405" s="94"/>
      <c r="AX405" s="94"/>
      <c r="AY405" s="94"/>
      <c r="AZ405" s="94"/>
      <c r="BA405" s="95"/>
    </row>
    <row r="406" spans="1:53" s="87" customFormat="1">
      <c r="A406" s="90" t="str">
        <f t="shared" si="32"/>
        <v/>
      </c>
      <c r="B406" s="98">
        <v>3</v>
      </c>
      <c r="C406" s="94">
        <v>-1</v>
      </c>
      <c r="D406" s="94" t="s">
        <v>210</v>
      </c>
      <c r="E406" s="94">
        <v>2</v>
      </c>
      <c r="F406" s="94">
        <v>-3</v>
      </c>
      <c r="G406" s="94" t="s">
        <v>210</v>
      </c>
      <c r="H406" s="94" t="s">
        <v>210</v>
      </c>
      <c r="I406" s="94">
        <v>-2</v>
      </c>
      <c r="J406" s="94">
        <v>1</v>
      </c>
      <c r="K406" s="94" t="s">
        <v>210</v>
      </c>
      <c r="L406" s="94">
        <v>-2</v>
      </c>
      <c r="M406" s="94">
        <v>1</v>
      </c>
      <c r="N406" s="94"/>
      <c r="O406" s="94"/>
      <c r="P406" s="94"/>
      <c r="Q406" s="94"/>
      <c r="R406" s="94"/>
      <c r="S406" s="94"/>
      <c r="T406" s="94"/>
      <c r="U406" s="94"/>
      <c r="V406" s="94"/>
      <c r="W406" s="94"/>
      <c r="X406" s="94"/>
      <c r="Y406" s="94"/>
      <c r="Z406" s="94"/>
      <c r="AA406" s="94"/>
      <c r="AB406" s="94"/>
      <c r="AC406" s="94"/>
      <c r="AD406" s="94"/>
      <c r="AE406" s="94"/>
      <c r="AF406" s="94"/>
      <c r="AG406" s="94"/>
      <c r="AH406" s="94"/>
      <c r="AI406" s="94"/>
      <c r="AJ406" s="94"/>
      <c r="AK406" s="94"/>
      <c r="AL406" s="94"/>
      <c r="AM406" s="94"/>
      <c r="AN406" s="94"/>
      <c r="AO406" s="94"/>
      <c r="AP406" s="94"/>
      <c r="AQ406" s="94"/>
      <c r="AR406" s="94"/>
      <c r="AS406" s="94"/>
      <c r="AT406" s="94"/>
      <c r="AU406" s="94"/>
      <c r="AV406" s="94"/>
      <c r="AW406" s="94"/>
      <c r="AX406" s="94"/>
      <c r="AY406" s="94"/>
      <c r="AZ406" s="94"/>
      <c r="BA406" s="95"/>
    </row>
    <row r="407" spans="1:53" s="87" customFormat="1">
      <c r="A407" s="90" t="str">
        <f t="shared" si="32"/>
        <v/>
      </c>
      <c r="B407" s="98">
        <v>4</v>
      </c>
      <c r="C407" s="94">
        <v>2</v>
      </c>
      <c r="D407" s="94" t="s">
        <v>210</v>
      </c>
      <c r="E407" s="94">
        <v>-3</v>
      </c>
      <c r="F407" s="94">
        <v>1</v>
      </c>
      <c r="G407" s="94" t="s">
        <v>210</v>
      </c>
      <c r="H407" s="94" t="s">
        <v>210</v>
      </c>
      <c r="I407" s="94">
        <v>3</v>
      </c>
      <c r="J407" s="94">
        <v>-2</v>
      </c>
      <c r="K407" s="94" t="s">
        <v>210</v>
      </c>
      <c r="L407" s="94">
        <v>3</v>
      </c>
      <c r="M407" s="94">
        <v>-1</v>
      </c>
      <c r="N407" s="94"/>
      <c r="O407" s="94"/>
      <c r="P407" s="94"/>
      <c r="Q407" s="94"/>
      <c r="R407" s="94"/>
      <c r="S407" s="94"/>
      <c r="T407" s="94"/>
      <c r="U407" s="94"/>
      <c r="V407" s="94"/>
      <c r="W407" s="94"/>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5"/>
    </row>
    <row r="408" spans="1:53" s="87" customFormat="1">
      <c r="A408" s="90" t="str">
        <f t="shared" si="32"/>
        <v/>
      </c>
      <c r="B408" s="98">
        <v>5</v>
      </c>
      <c r="C408" s="94">
        <v>1</v>
      </c>
      <c r="D408" s="94">
        <v>-3</v>
      </c>
      <c r="E408" s="94" t="s">
        <v>210</v>
      </c>
      <c r="F408" s="94">
        <v>-1</v>
      </c>
      <c r="G408" s="94">
        <v>2</v>
      </c>
      <c r="H408" s="94" t="s">
        <v>210</v>
      </c>
      <c r="I408" s="94" t="s">
        <v>210</v>
      </c>
      <c r="J408" s="94">
        <v>3</v>
      </c>
      <c r="K408" s="94">
        <v>-1</v>
      </c>
      <c r="L408" s="94" t="s">
        <v>210</v>
      </c>
      <c r="M408" s="94">
        <v>-2</v>
      </c>
      <c r="N408" s="94"/>
      <c r="O408" s="94"/>
      <c r="P408" s="94"/>
      <c r="Q408" s="94"/>
      <c r="R408" s="94"/>
      <c r="S408" s="94"/>
      <c r="T408" s="94"/>
      <c r="U408" s="94"/>
      <c r="V408" s="94"/>
      <c r="W408" s="94"/>
      <c r="X408" s="94"/>
      <c r="Y408" s="94"/>
      <c r="Z408" s="94"/>
      <c r="AA408" s="94"/>
      <c r="AB408" s="94"/>
      <c r="AC408" s="94"/>
      <c r="AD408" s="94"/>
      <c r="AE408" s="94"/>
      <c r="AF408" s="94"/>
      <c r="AG408" s="94"/>
      <c r="AH408" s="94"/>
      <c r="AI408" s="94"/>
      <c r="AJ408" s="94"/>
      <c r="AK408" s="94"/>
      <c r="AL408" s="94"/>
      <c r="AM408" s="94"/>
      <c r="AN408" s="94"/>
      <c r="AO408" s="94"/>
      <c r="AP408" s="94"/>
      <c r="AQ408" s="94"/>
      <c r="AR408" s="94"/>
      <c r="AS408" s="94"/>
      <c r="AT408" s="94"/>
      <c r="AU408" s="94"/>
      <c r="AV408" s="94"/>
      <c r="AW408" s="94"/>
      <c r="AX408" s="94"/>
      <c r="AY408" s="94"/>
      <c r="AZ408" s="94"/>
      <c r="BA408" s="95"/>
    </row>
    <row r="409" spans="1:53" s="87" customFormat="1">
      <c r="A409" s="90" t="str">
        <f t="shared" si="32"/>
        <v/>
      </c>
      <c r="B409" s="98">
        <v>6</v>
      </c>
      <c r="C409" s="94">
        <v>-2</v>
      </c>
      <c r="D409" s="94">
        <v>3</v>
      </c>
      <c r="E409" s="94" t="s">
        <v>210</v>
      </c>
      <c r="F409" s="94">
        <v>2</v>
      </c>
      <c r="G409" s="94">
        <v>-3</v>
      </c>
      <c r="H409" s="94" t="s">
        <v>210</v>
      </c>
      <c r="I409" s="94" t="s">
        <v>210</v>
      </c>
      <c r="J409" s="94">
        <v>-1</v>
      </c>
      <c r="K409" s="94">
        <v>2</v>
      </c>
      <c r="L409" s="94" t="s">
        <v>210</v>
      </c>
      <c r="M409" s="94">
        <v>-3</v>
      </c>
      <c r="N409" s="94"/>
      <c r="O409" s="94"/>
      <c r="P409" s="94"/>
      <c r="Q409" s="94"/>
      <c r="R409" s="94"/>
      <c r="S409" s="94"/>
      <c r="T409" s="94"/>
      <c r="U409" s="94"/>
      <c r="V409" s="94"/>
      <c r="W409" s="94"/>
      <c r="X409" s="94"/>
      <c r="Y409" s="94"/>
      <c r="Z409" s="94"/>
      <c r="AA409" s="94"/>
      <c r="AB409" s="94"/>
      <c r="AC409" s="94"/>
      <c r="AD409" s="94"/>
      <c r="AE409" s="94"/>
      <c r="AF409" s="94"/>
      <c r="AG409" s="94"/>
      <c r="AH409" s="94"/>
      <c r="AI409" s="94"/>
      <c r="AJ409" s="94"/>
      <c r="AK409" s="94"/>
      <c r="AL409" s="94"/>
      <c r="AM409" s="94"/>
      <c r="AN409" s="94"/>
      <c r="AO409" s="94"/>
      <c r="AP409" s="94"/>
      <c r="AQ409" s="94"/>
      <c r="AR409" s="94"/>
      <c r="AS409" s="94"/>
      <c r="AT409" s="94"/>
      <c r="AU409" s="94"/>
      <c r="AV409" s="94"/>
      <c r="AW409" s="94"/>
      <c r="AX409" s="94"/>
      <c r="AY409" s="94"/>
      <c r="AZ409" s="94"/>
      <c r="BA409" s="95"/>
    </row>
    <row r="410" spans="1:53" s="87" customFormat="1">
      <c r="A410" s="90" t="str">
        <f t="shared" si="32"/>
        <v/>
      </c>
      <c r="B410" s="98">
        <v>7</v>
      </c>
      <c r="C410" s="94">
        <v>3</v>
      </c>
      <c r="D410" s="94">
        <v>-1</v>
      </c>
      <c r="E410" s="94" t="s">
        <v>210</v>
      </c>
      <c r="F410" s="94">
        <v>-2</v>
      </c>
      <c r="G410" s="94">
        <v>1</v>
      </c>
      <c r="H410" s="94" t="s">
        <v>210</v>
      </c>
      <c r="I410" s="94">
        <v>-3</v>
      </c>
      <c r="J410" s="94" t="s">
        <v>210</v>
      </c>
      <c r="K410" s="94">
        <v>1</v>
      </c>
      <c r="L410" s="94">
        <v>2</v>
      </c>
      <c r="M410" s="94" t="s">
        <v>210</v>
      </c>
      <c r="N410" s="94"/>
      <c r="O410" s="94"/>
      <c r="P410" s="94"/>
      <c r="Q410" s="94"/>
      <c r="R410" s="94"/>
      <c r="S410" s="94"/>
      <c r="T410" s="94"/>
      <c r="U410" s="94"/>
      <c r="V410" s="94"/>
      <c r="W410" s="94"/>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5"/>
    </row>
    <row r="411" spans="1:53" s="87" customFormat="1">
      <c r="A411" s="90" t="str">
        <f t="shared" si="32"/>
        <v/>
      </c>
      <c r="B411" s="98">
        <v>8</v>
      </c>
      <c r="C411" s="94">
        <v>-3</v>
      </c>
      <c r="D411" s="94">
        <v>2</v>
      </c>
      <c r="E411" s="94" t="s">
        <v>210</v>
      </c>
      <c r="F411" s="94">
        <v>3</v>
      </c>
      <c r="G411" s="94">
        <v>-2</v>
      </c>
      <c r="H411" s="94" t="s">
        <v>210</v>
      </c>
      <c r="I411" s="94">
        <v>1</v>
      </c>
      <c r="J411" s="94" t="s">
        <v>210</v>
      </c>
      <c r="K411" s="94">
        <v>-2</v>
      </c>
      <c r="L411" s="94">
        <v>-3</v>
      </c>
      <c r="M411" s="94" t="s">
        <v>210</v>
      </c>
      <c r="N411" s="94"/>
      <c r="O411" s="94"/>
      <c r="P411" s="94"/>
      <c r="Q411" s="94"/>
      <c r="R411" s="94"/>
      <c r="S411" s="94"/>
      <c r="T411" s="94"/>
      <c r="U411" s="94"/>
      <c r="V411" s="94"/>
      <c r="W411" s="94"/>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AZ411" s="94"/>
      <c r="BA411" s="95"/>
    </row>
    <row r="412" spans="1:53" s="87" customFormat="1">
      <c r="A412" s="90" t="str">
        <f t="shared" si="32"/>
        <v/>
      </c>
      <c r="B412" s="317" t="s">
        <v>1098</v>
      </c>
      <c r="C412" s="94"/>
      <c r="D412" s="94"/>
      <c r="E412" s="94"/>
      <c r="F412" s="94"/>
      <c r="G412" s="94"/>
      <c r="H412" s="94"/>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5"/>
    </row>
    <row r="413" spans="1:53" s="87" customFormat="1">
      <c r="A413" s="90">
        <f t="shared" si="32"/>
        <v>413</v>
      </c>
      <c r="B413" s="317" t="s">
        <v>1222</v>
      </c>
      <c r="C413" s="94"/>
      <c r="D413" s="94"/>
      <c r="E413" s="94"/>
      <c r="F413" s="94"/>
      <c r="G413" s="94"/>
      <c r="H413" s="94"/>
      <c r="I413" s="94"/>
      <c r="J413" s="94"/>
      <c r="K413" s="94"/>
      <c r="L413" s="94"/>
      <c r="M413" s="94"/>
      <c r="N413" s="94"/>
      <c r="O413" s="94"/>
      <c r="P413" s="94"/>
      <c r="Q413" s="94"/>
      <c r="R413" s="94"/>
      <c r="S413" s="94"/>
      <c r="T413" s="94"/>
      <c r="U413" s="94"/>
      <c r="V413" s="94"/>
      <c r="W413" s="94"/>
      <c r="X413" s="94"/>
      <c r="Y413" s="94"/>
      <c r="Z413" s="94"/>
      <c r="AA413" s="94"/>
      <c r="AB413" s="94"/>
      <c r="AC413" s="94"/>
      <c r="AD413" s="94"/>
      <c r="AE413" s="94"/>
      <c r="AF413" s="94"/>
      <c r="AG413" s="94"/>
      <c r="AH413" s="94"/>
      <c r="AI413" s="94"/>
      <c r="AJ413" s="94"/>
      <c r="AK413" s="94"/>
      <c r="AL413" s="94"/>
      <c r="AM413" s="94"/>
      <c r="AN413" s="94"/>
      <c r="AO413" s="94"/>
      <c r="AP413" s="94"/>
      <c r="AQ413" s="94"/>
      <c r="AR413" s="94"/>
      <c r="AS413" s="94"/>
      <c r="AT413" s="94"/>
      <c r="AU413" s="94"/>
      <c r="AV413" s="94"/>
      <c r="AW413" s="94"/>
      <c r="AX413" s="94"/>
      <c r="AY413" s="94"/>
      <c r="AZ413" s="94"/>
      <c r="BA413" s="95"/>
    </row>
    <row r="414" spans="1:53" s="87" customFormat="1">
      <c r="A414" s="90" t="str">
        <f t="shared" si="32"/>
        <v/>
      </c>
      <c r="B414" s="98">
        <v>1</v>
      </c>
      <c r="C414" s="94">
        <v>-1</v>
      </c>
      <c r="D414" s="94">
        <v>-3</v>
      </c>
      <c r="E414" s="94" t="s">
        <v>210</v>
      </c>
      <c r="F414" s="94" t="s">
        <v>210</v>
      </c>
      <c r="G414" s="94">
        <v>2</v>
      </c>
      <c r="H414" s="94">
        <v>3</v>
      </c>
      <c r="I414" s="94">
        <v>-1</v>
      </c>
      <c r="J414" s="94" t="s">
        <v>210</v>
      </c>
      <c r="K414" s="94">
        <v>-2</v>
      </c>
      <c r="L414" s="94">
        <v>3</v>
      </c>
      <c r="M414" s="94" t="s">
        <v>210</v>
      </c>
      <c r="N414" s="94">
        <v>1</v>
      </c>
      <c r="O414" s="94"/>
      <c r="P414" s="94"/>
      <c r="Q414" s="94"/>
      <c r="R414" s="94"/>
      <c r="S414" s="94"/>
      <c r="T414" s="94"/>
      <c r="U414" s="94"/>
      <c r="V414" s="94"/>
      <c r="W414" s="94"/>
      <c r="X414" s="94"/>
      <c r="Y414" s="94"/>
      <c r="Z414" s="94"/>
      <c r="AA414" s="94"/>
      <c r="AB414" s="94"/>
      <c r="AC414" s="94"/>
      <c r="AD414" s="94"/>
      <c r="AE414" s="94"/>
      <c r="AF414" s="94"/>
      <c r="AG414" s="94"/>
      <c r="AH414" s="94"/>
      <c r="AI414" s="94"/>
      <c r="AJ414" s="94"/>
      <c r="AK414" s="94"/>
      <c r="AL414" s="94"/>
      <c r="AM414" s="94"/>
      <c r="AN414" s="94"/>
      <c r="AO414" s="94"/>
      <c r="AP414" s="94"/>
      <c r="AQ414" s="94"/>
      <c r="AR414" s="94"/>
      <c r="AS414" s="94"/>
      <c r="AT414" s="94"/>
      <c r="AU414" s="94"/>
      <c r="AV414" s="94"/>
      <c r="AW414" s="94"/>
      <c r="AX414" s="94"/>
      <c r="AY414" s="94"/>
      <c r="AZ414" s="94"/>
      <c r="BA414" s="95"/>
    </row>
    <row r="415" spans="1:53" s="87" customFormat="1">
      <c r="A415" s="90" t="str">
        <f t="shared" si="32"/>
        <v/>
      </c>
      <c r="B415" s="98">
        <v>2</v>
      </c>
      <c r="C415" s="94">
        <v>1</v>
      </c>
      <c r="D415" s="94">
        <v>-2</v>
      </c>
      <c r="E415" s="94" t="s">
        <v>210</v>
      </c>
      <c r="F415" s="94" t="s">
        <v>210</v>
      </c>
      <c r="G415" s="94">
        <v>-3</v>
      </c>
      <c r="H415" s="94">
        <v>1</v>
      </c>
      <c r="I415" s="94">
        <v>2</v>
      </c>
      <c r="J415" s="94" t="s">
        <v>210</v>
      </c>
      <c r="K415" s="94">
        <v>-1</v>
      </c>
      <c r="L415" s="94" t="s">
        <v>210</v>
      </c>
      <c r="M415" s="94">
        <v>-2</v>
      </c>
      <c r="N415" s="94">
        <v>3</v>
      </c>
      <c r="O415" s="94"/>
      <c r="P415" s="94"/>
      <c r="Q415" s="94"/>
      <c r="R415" s="94"/>
      <c r="S415" s="94"/>
      <c r="T415" s="94"/>
      <c r="U415" s="94"/>
      <c r="V415" s="94"/>
      <c r="W415" s="94"/>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5"/>
    </row>
    <row r="416" spans="1:53" s="87" customFormat="1">
      <c r="A416" s="90" t="str">
        <f t="shared" si="32"/>
        <v/>
      </c>
      <c r="B416" s="98">
        <v>3</v>
      </c>
      <c r="C416" s="94">
        <v>-2</v>
      </c>
      <c r="D416" s="94">
        <v>3</v>
      </c>
      <c r="E416" s="94" t="s">
        <v>210</v>
      </c>
      <c r="F416" s="94" t="s">
        <v>210</v>
      </c>
      <c r="G416" s="94">
        <v>-1</v>
      </c>
      <c r="H416" s="94">
        <v>2</v>
      </c>
      <c r="I416" s="94">
        <v>-3</v>
      </c>
      <c r="J416" s="94" t="s">
        <v>210</v>
      </c>
      <c r="K416" s="94">
        <v>1</v>
      </c>
      <c r="L416" s="94" t="s">
        <v>210</v>
      </c>
      <c r="M416" s="94">
        <v>3</v>
      </c>
      <c r="N416" s="94">
        <v>-2</v>
      </c>
      <c r="O416" s="94"/>
      <c r="P416" s="94"/>
      <c r="Q416" s="94"/>
      <c r="R416" s="94"/>
      <c r="S416" s="94"/>
      <c r="T416" s="94"/>
      <c r="U416" s="94"/>
      <c r="V416" s="94"/>
      <c r="W416" s="94"/>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5"/>
    </row>
    <row r="417" spans="1:53" s="87" customFormat="1">
      <c r="A417" s="90" t="str">
        <f t="shared" si="32"/>
        <v/>
      </c>
      <c r="B417" s="98">
        <v>4</v>
      </c>
      <c r="C417" s="94">
        <v>2</v>
      </c>
      <c r="D417" s="94" t="s">
        <v>210</v>
      </c>
      <c r="E417" s="94">
        <v>3</v>
      </c>
      <c r="F417" s="94">
        <v>-1</v>
      </c>
      <c r="G417" s="94">
        <v>-2</v>
      </c>
      <c r="H417" s="94" t="s">
        <v>210</v>
      </c>
      <c r="I417" s="94" t="s">
        <v>210</v>
      </c>
      <c r="J417" s="94">
        <v>1</v>
      </c>
      <c r="K417" s="94">
        <v>3</v>
      </c>
      <c r="L417" s="94">
        <v>-2</v>
      </c>
      <c r="M417" s="94" t="s">
        <v>210</v>
      </c>
      <c r="N417" s="94">
        <v>-3</v>
      </c>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5"/>
    </row>
    <row r="418" spans="1:53" s="87" customFormat="1">
      <c r="A418" s="90" t="str">
        <f t="shared" si="32"/>
        <v/>
      </c>
      <c r="B418" s="98">
        <v>5</v>
      </c>
      <c r="C418" s="94">
        <v>-3</v>
      </c>
      <c r="D418" s="94" t="s">
        <v>210</v>
      </c>
      <c r="E418" s="94">
        <v>1</v>
      </c>
      <c r="F418" s="94">
        <v>-2</v>
      </c>
      <c r="G418" s="94">
        <v>3</v>
      </c>
      <c r="H418" s="94" t="s">
        <v>210</v>
      </c>
      <c r="I418" s="94" t="s">
        <v>210</v>
      </c>
      <c r="J418" s="94">
        <v>-1</v>
      </c>
      <c r="K418" s="94">
        <v>2</v>
      </c>
      <c r="L418" s="94">
        <v>-1</v>
      </c>
      <c r="M418" s="94" t="s">
        <v>210</v>
      </c>
      <c r="N418" s="94">
        <v>2</v>
      </c>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5"/>
    </row>
    <row r="419" spans="1:53" s="87" customFormat="1">
      <c r="A419" s="90" t="str">
        <f t="shared" si="32"/>
        <v/>
      </c>
      <c r="B419" s="98">
        <v>6</v>
      </c>
      <c r="C419" s="94">
        <v>3</v>
      </c>
      <c r="D419" s="94" t="s">
        <v>210</v>
      </c>
      <c r="E419" s="94">
        <v>-2</v>
      </c>
      <c r="F419" s="94">
        <v>-3</v>
      </c>
      <c r="G419" s="94">
        <v>1</v>
      </c>
      <c r="H419" s="94" t="s">
        <v>210</v>
      </c>
      <c r="I419" s="94" t="s">
        <v>210</v>
      </c>
      <c r="J419" s="94">
        <v>2</v>
      </c>
      <c r="K419" s="94">
        <v>-3</v>
      </c>
      <c r="L419" s="94" t="s">
        <v>210</v>
      </c>
      <c r="M419" s="94">
        <v>2</v>
      </c>
      <c r="N419" s="94">
        <v>-1</v>
      </c>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5"/>
    </row>
    <row r="420" spans="1:53" s="87" customFormat="1">
      <c r="A420" s="90" t="str">
        <f t="shared" si="32"/>
        <v/>
      </c>
      <c r="B420" s="98">
        <v>7</v>
      </c>
      <c r="C420" s="94" t="s">
        <v>210</v>
      </c>
      <c r="D420" s="94">
        <v>2</v>
      </c>
      <c r="E420" s="94">
        <v>-1</v>
      </c>
      <c r="F420" s="94">
        <v>3</v>
      </c>
      <c r="G420" s="94" t="s">
        <v>210</v>
      </c>
      <c r="H420" s="94">
        <v>-2</v>
      </c>
      <c r="I420" s="94">
        <v>1</v>
      </c>
      <c r="J420" s="94">
        <v>-3</v>
      </c>
      <c r="K420" s="94" t="s">
        <v>210</v>
      </c>
      <c r="L420" s="94">
        <v>2</v>
      </c>
      <c r="M420" s="94">
        <v>-1</v>
      </c>
      <c r="N420" s="94" t="s">
        <v>210</v>
      </c>
      <c r="O420" s="94"/>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5"/>
    </row>
    <row r="421" spans="1:53" s="87" customFormat="1">
      <c r="A421" s="90" t="str">
        <f t="shared" si="32"/>
        <v/>
      </c>
      <c r="B421" s="98">
        <v>8</v>
      </c>
      <c r="C421" s="94" t="s">
        <v>210</v>
      </c>
      <c r="D421" s="94">
        <v>1</v>
      </c>
      <c r="E421" s="94">
        <v>-3</v>
      </c>
      <c r="F421" s="94">
        <v>2</v>
      </c>
      <c r="G421" s="94" t="s">
        <v>210</v>
      </c>
      <c r="H421" s="94">
        <v>-1</v>
      </c>
      <c r="I421" s="94">
        <v>3</v>
      </c>
      <c r="J421" s="94">
        <v>-2</v>
      </c>
      <c r="K421" s="94" t="s">
        <v>210</v>
      </c>
      <c r="L421" s="94">
        <v>-3</v>
      </c>
      <c r="M421" s="94">
        <v>1</v>
      </c>
      <c r="N421" s="94" t="s">
        <v>210</v>
      </c>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5"/>
    </row>
    <row r="422" spans="1:53" s="87" customFormat="1">
      <c r="A422" s="90" t="str">
        <f t="shared" si="32"/>
        <v/>
      </c>
      <c r="B422" s="98">
        <v>9</v>
      </c>
      <c r="C422" s="94" t="s">
        <v>210</v>
      </c>
      <c r="D422" s="94">
        <v>-1</v>
      </c>
      <c r="E422" s="94">
        <v>2</v>
      </c>
      <c r="F422" s="94">
        <v>1</v>
      </c>
      <c r="G422" s="94" t="s">
        <v>210</v>
      </c>
      <c r="H422" s="94">
        <v>-3</v>
      </c>
      <c r="I422" s="94">
        <v>-2</v>
      </c>
      <c r="J422" s="94">
        <v>3</v>
      </c>
      <c r="K422" s="94" t="s">
        <v>210</v>
      </c>
      <c r="L422" s="94">
        <v>1</v>
      </c>
      <c r="M422" s="94">
        <v>-3</v>
      </c>
      <c r="N422" s="94" t="s">
        <v>210</v>
      </c>
      <c r="O422" s="94"/>
      <c r="P422" s="94"/>
      <c r="Q422" s="94"/>
      <c r="R422" s="94"/>
      <c r="S422" s="94"/>
      <c r="T422" s="94"/>
      <c r="U422" s="94"/>
      <c r="V422" s="94"/>
      <c r="W422" s="94"/>
      <c r="X422" s="94"/>
      <c r="Y422" s="94"/>
      <c r="Z422" s="94"/>
      <c r="AA422" s="94"/>
      <c r="AB422" s="94"/>
      <c r="AC422" s="94"/>
      <c r="AD422" s="94"/>
      <c r="AE422" s="94"/>
      <c r="AF422" s="94"/>
      <c r="AG422" s="94"/>
      <c r="AH422" s="94"/>
      <c r="AI422" s="94"/>
      <c r="AJ422" s="94"/>
      <c r="AK422" s="94"/>
      <c r="AL422" s="94"/>
      <c r="AM422" s="94"/>
      <c r="AN422" s="94"/>
      <c r="AO422" s="94"/>
      <c r="AP422" s="94"/>
      <c r="AQ422" s="94"/>
      <c r="AR422" s="94"/>
      <c r="AS422" s="94"/>
      <c r="AT422" s="94"/>
      <c r="AU422" s="94"/>
      <c r="AV422" s="94"/>
      <c r="AW422" s="94"/>
      <c r="AX422" s="94"/>
      <c r="AY422" s="94"/>
      <c r="AZ422" s="94"/>
      <c r="BA422" s="95"/>
    </row>
    <row r="423" spans="1:53" s="87" customFormat="1">
      <c r="A423" s="90" t="str">
        <f t="shared" si="32"/>
        <v/>
      </c>
      <c r="B423" s="317" t="s">
        <v>1099</v>
      </c>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5"/>
    </row>
    <row r="424" spans="1:53" s="87" customFormat="1">
      <c r="A424" s="90">
        <f t="shared" si="32"/>
        <v>424</v>
      </c>
      <c r="B424" s="317" t="s">
        <v>1223</v>
      </c>
      <c r="C424" s="94"/>
      <c r="D424" s="94"/>
      <c r="E424" s="94"/>
      <c r="F424" s="94"/>
      <c r="G424" s="94"/>
      <c r="H424" s="94"/>
      <c r="I424" s="94"/>
      <c r="J424" s="94"/>
      <c r="K424" s="94"/>
      <c r="L424" s="94"/>
      <c r="M424" s="94"/>
      <c r="N424" s="94"/>
      <c r="O424" s="94"/>
      <c r="P424" s="94"/>
      <c r="Q424" s="94"/>
      <c r="R424" s="94"/>
      <c r="S424" s="94"/>
      <c r="T424" s="94"/>
      <c r="U424" s="94"/>
      <c r="V424" s="94"/>
      <c r="W424" s="94"/>
      <c r="X424" s="94"/>
      <c r="Y424" s="94"/>
      <c r="Z424" s="94"/>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5"/>
    </row>
    <row r="425" spans="1:53" s="87" customFormat="1">
      <c r="A425" s="90" t="str">
        <f t="shared" si="32"/>
        <v/>
      </c>
      <c r="B425" s="98">
        <v>1</v>
      </c>
      <c r="C425" s="94">
        <v>-1</v>
      </c>
      <c r="D425" s="94" t="s">
        <v>210</v>
      </c>
      <c r="E425" s="94" t="s">
        <v>210</v>
      </c>
      <c r="F425" s="94">
        <v>-2</v>
      </c>
      <c r="G425" s="94">
        <v>-1</v>
      </c>
      <c r="H425" s="94">
        <v>3</v>
      </c>
      <c r="I425" s="94" t="s">
        <v>210</v>
      </c>
      <c r="J425" s="94">
        <v>2</v>
      </c>
      <c r="K425" s="94">
        <v>-3</v>
      </c>
      <c r="L425" s="94">
        <v>1</v>
      </c>
      <c r="M425" s="94" t="s">
        <v>210</v>
      </c>
      <c r="N425" s="94">
        <v>2</v>
      </c>
      <c r="O425" s="94"/>
      <c r="P425" s="94"/>
      <c r="Q425" s="94"/>
      <c r="R425" s="94"/>
      <c r="S425" s="94"/>
      <c r="T425" s="94"/>
      <c r="U425" s="94"/>
      <c r="V425" s="94"/>
      <c r="W425" s="94"/>
      <c r="X425" s="94"/>
      <c r="Y425" s="94"/>
      <c r="Z425" s="94"/>
      <c r="AA425" s="94"/>
      <c r="AB425" s="94"/>
      <c r="AC425" s="94"/>
      <c r="AD425" s="94"/>
      <c r="AE425" s="94"/>
      <c r="AF425" s="94"/>
      <c r="AG425" s="94"/>
      <c r="AH425" s="94"/>
      <c r="AI425" s="94"/>
      <c r="AJ425" s="94"/>
      <c r="AK425" s="94"/>
      <c r="AL425" s="94"/>
      <c r="AM425" s="94"/>
      <c r="AN425" s="94"/>
      <c r="AO425" s="94"/>
      <c r="AP425" s="94"/>
      <c r="AQ425" s="94"/>
      <c r="AR425" s="94"/>
      <c r="AS425" s="94"/>
      <c r="AT425" s="94"/>
      <c r="AU425" s="94"/>
      <c r="AV425" s="94"/>
      <c r="AW425" s="94"/>
      <c r="AX425" s="94"/>
      <c r="AY425" s="94"/>
      <c r="AZ425" s="94"/>
      <c r="BA425" s="95"/>
    </row>
    <row r="426" spans="1:53" s="87" customFormat="1">
      <c r="A426" s="90" t="str">
        <f t="shared" si="32"/>
        <v/>
      </c>
      <c r="B426" s="98">
        <v>2</v>
      </c>
      <c r="C426" s="94">
        <v>-2</v>
      </c>
      <c r="D426" s="94" t="s">
        <v>210</v>
      </c>
      <c r="E426" s="94">
        <v>3</v>
      </c>
      <c r="F426" s="94">
        <v>1</v>
      </c>
      <c r="G426" s="94" t="s">
        <v>210</v>
      </c>
      <c r="H426" s="94" t="s">
        <v>210</v>
      </c>
      <c r="I426" s="94">
        <v>3</v>
      </c>
      <c r="J426" s="94">
        <v>-2</v>
      </c>
      <c r="K426" s="94">
        <v>-1</v>
      </c>
      <c r="L426" s="94" t="s">
        <v>210</v>
      </c>
      <c r="M426" s="94">
        <v>2</v>
      </c>
      <c r="N426" s="94">
        <v>-3</v>
      </c>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5"/>
    </row>
    <row r="427" spans="1:53" s="87" customFormat="1">
      <c r="A427" s="90" t="str">
        <f t="shared" si="32"/>
        <v/>
      </c>
      <c r="B427" s="98">
        <v>3</v>
      </c>
      <c r="C427" s="94">
        <v>-3</v>
      </c>
      <c r="D427" s="94" t="s">
        <v>210</v>
      </c>
      <c r="E427" s="94">
        <v>1</v>
      </c>
      <c r="F427" s="94">
        <v>3</v>
      </c>
      <c r="G427" s="94" t="s">
        <v>210</v>
      </c>
      <c r="H427" s="94" t="s">
        <v>210</v>
      </c>
      <c r="I427" s="94">
        <v>2</v>
      </c>
      <c r="J427" s="94">
        <v>-1</v>
      </c>
      <c r="K427" s="94">
        <v>3</v>
      </c>
      <c r="L427" s="94" t="s">
        <v>210</v>
      </c>
      <c r="M427" s="94">
        <v>-2</v>
      </c>
      <c r="N427" s="94">
        <v>-1</v>
      </c>
      <c r="O427" s="94"/>
      <c r="P427" s="94"/>
      <c r="Q427" s="94"/>
      <c r="R427" s="94"/>
      <c r="S427" s="94"/>
      <c r="T427" s="94"/>
      <c r="U427" s="94"/>
      <c r="V427" s="94"/>
      <c r="W427" s="94"/>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5"/>
    </row>
    <row r="428" spans="1:53" s="87" customFormat="1">
      <c r="A428" s="90" t="str">
        <f t="shared" si="32"/>
        <v/>
      </c>
      <c r="B428" s="98">
        <v>4</v>
      </c>
      <c r="C428" s="94">
        <v>3</v>
      </c>
      <c r="D428" s="94">
        <v>-1</v>
      </c>
      <c r="E428" s="94">
        <v>-2</v>
      </c>
      <c r="F428" s="94" t="s">
        <v>210</v>
      </c>
      <c r="G428" s="94">
        <v>1</v>
      </c>
      <c r="H428" s="94">
        <v>2</v>
      </c>
      <c r="I428" s="94">
        <v>-3</v>
      </c>
      <c r="J428" s="94" t="s">
        <v>210</v>
      </c>
      <c r="K428" s="94" t="s">
        <v>210</v>
      </c>
      <c r="L428" s="94">
        <v>2</v>
      </c>
      <c r="M428" s="94">
        <v>-1</v>
      </c>
      <c r="N428" s="94" t="s">
        <v>210</v>
      </c>
      <c r="O428" s="94"/>
      <c r="P428" s="94"/>
      <c r="Q428" s="94"/>
      <c r="R428" s="94"/>
      <c r="S428" s="94"/>
      <c r="T428" s="94"/>
      <c r="U428" s="94"/>
      <c r="V428" s="94"/>
      <c r="W428" s="94"/>
      <c r="X428" s="94"/>
      <c r="Y428" s="94"/>
      <c r="Z428" s="94"/>
      <c r="AA428" s="94"/>
      <c r="AB428" s="94"/>
      <c r="AC428" s="94"/>
      <c r="AD428" s="94"/>
      <c r="AE428" s="94"/>
      <c r="AF428" s="94"/>
      <c r="AG428" s="94"/>
      <c r="AH428" s="94"/>
      <c r="AI428" s="94"/>
      <c r="AJ428" s="94"/>
      <c r="AK428" s="94"/>
      <c r="AL428" s="94"/>
      <c r="AM428" s="94"/>
      <c r="AN428" s="94"/>
      <c r="AO428" s="94"/>
      <c r="AP428" s="94"/>
      <c r="AQ428" s="94"/>
      <c r="AR428" s="94"/>
      <c r="AS428" s="94"/>
      <c r="AT428" s="94"/>
      <c r="AU428" s="94"/>
      <c r="AV428" s="94"/>
      <c r="AW428" s="94"/>
      <c r="AX428" s="94"/>
      <c r="AY428" s="94"/>
      <c r="AZ428" s="94"/>
      <c r="BA428" s="95"/>
    </row>
    <row r="429" spans="1:53" s="87" customFormat="1">
      <c r="A429" s="90" t="str">
        <f t="shared" si="32"/>
        <v/>
      </c>
      <c r="B429" s="98">
        <v>5</v>
      </c>
      <c r="C429" s="94">
        <v>2</v>
      </c>
      <c r="D429" s="94">
        <v>3</v>
      </c>
      <c r="E429" s="94">
        <v>-1</v>
      </c>
      <c r="F429" s="94" t="s">
        <v>210</v>
      </c>
      <c r="G429" s="94">
        <v>-2</v>
      </c>
      <c r="H429" s="94">
        <v>-3</v>
      </c>
      <c r="I429" s="94">
        <v>1</v>
      </c>
      <c r="J429" s="94" t="s">
        <v>210</v>
      </c>
      <c r="K429" s="94" t="s">
        <v>210</v>
      </c>
      <c r="L429" s="94">
        <v>-3</v>
      </c>
      <c r="M429" s="94">
        <v>1</v>
      </c>
      <c r="N429" s="94" t="s">
        <v>210</v>
      </c>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5"/>
    </row>
    <row r="430" spans="1:53" s="87" customFormat="1">
      <c r="A430" s="90" t="str">
        <f t="shared" si="32"/>
        <v/>
      </c>
      <c r="B430" s="98">
        <v>6</v>
      </c>
      <c r="C430" s="94">
        <v>1</v>
      </c>
      <c r="D430" s="94">
        <v>-3</v>
      </c>
      <c r="E430" s="94">
        <v>2</v>
      </c>
      <c r="F430" s="94" t="s">
        <v>210</v>
      </c>
      <c r="G430" s="94">
        <v>3</v>
      </c>
      <c r="H430" s="94">
        <v>-1</v>
      </c>
      <c r="I430" s="94">
        <v>-2</v>
      </c>
      <c r="J430" s="94" t="s">
        <v>210</v>
      </c>
      <c r="K430" s="94">
        <v>1</v>
      </c>
      <c r="L430" s="94" t="s">
        <v>210</v>
      </c>
      <c r="M430" s="94">
        <v>-3</v>
      </c>
      <c r="N430" s="94" t="s">
        <v>210</v>
      </c>
      <c r="O430" s="94"/>
      <c r="P430" s="94"/>
      <c r="Q430" s="94"/>
      <c r="R430" s="94"/>
      <c r="S430" s="94"/>
      <c r="T430" s="94"/>
      <c r="U430" s="94"/>
      <c r="V430" s="94"/>
      <c r="W430" s="94"/>
      <c r="X430" s="94"/>
      <c r="Y430" s="94"/>
      <c r="Z430" s="94"/>
      <c r="AA430" s="94"/>
      <c r="AB430" s="94"/>
      <c r="AC430" s="94"/>
      <c r="AD430" s="94"/>
      <c r="AE430" s="94"/>
      <c r="AF430" s="94"/>
      <c r="AG430" s="94"/>
      <c r="AH430" s="94"/>
      <c r="AI430" s="94"/>
      <c r="AJ430" s="94"/>
      <c r="AK430" s="94"/>
      <c r="AL430" s="94"/>
      <c r="AM430" s="94"/>
      <c r="AN430" s="94"/>
      <c r="AO430" s="94"/>
      <c r="AP430" s="94"/>
      <c r="AQ430" s="94"/>
      <c r="AR430" s="94"/>
      <c r="AS430" s="94"/>
      <c r="AT430" s="94"/>
      <c r="AU430" s="94"/>
      <c r="AV430" s="94"/>
      <c r="AW430" s="94"/>
      <c r="AX430" s="94"/>
      <c r="AY430" s="94"/>
      <c r="AZ430" s="94"/>
      <c r="BA430" s="95"/>
    </row>
    <row r="431" spans="1:53" s="87" customFormat="1">
      <c r="A431" s="90" t="str">
        <f t="shared" si="32"/>
        <v/>
      </c>
      <c r="B431" s="98">
        <v>7</v>
      </c>
      <c r="C431" s="94" t="s">
        <v>210</v>
      </c>
      <c r="D431" s="94">
        <v>-2</v>
      </c>
      <c r="E431" s="94">
        <v>-3</v>
      </c>
      <c r="F431" s="94">
        <v>2</v>
      </c>
      <c r="G431" s="94" t="s">
        <v>210</v>
      </c>
      <c r="H431" s="94" t="s">
        <v>210</v>
      </c>
      <c r="I431" s="94">
        <v>-1</v>
      </c>
      <c r="J431" s="94">
        <v>3</v>
      </c>
      <c r="K431" s="94" t="s">
        <v>210</v>
      </c>
      <c r="L431" s="94">
        <v>-2</v>
      </c>
      <c r="M431" s="94">
        <v>3</v>
      </c>
      <c r="N431" s="94">
        <v>1</v>
      </c>
      <c r="O431" s="94"/>
      <c r="P431" s="94"/>
      <c r="Q431" s="94"/>
      <c r="R431" s="94"/>
      <c r="S431" s="94"/>
      <c r="T431" s="94"/>
      <c r="U431" s="94"/>
      <c r="V431" s="94"/>
      <c r="W431" s="94"/>
      <c r="X431" s="94"/>
      <c r="Y431" s="94"/>
      <c r="Z431" s="94"/>
      <c r="AA431" s="94"/>
      <c r="AB431" s="94"/>
      <c r="AC431" s="94"/>
      <c r="AD431" s="94"/>
      <c r="AE431" s="94"/>
      <c r="AF431" s="94"/>
      <c r="AG431" s="94"/>
      <c r="AH431" s="94"/>
      <c r="AI431" s="94"/>
      <c r="AJ431" s="94"/>
      <c r="AK431" s="94"/>
      <c r="AL431" s="94"/>
      <c r="AM431" s="94"/>
      <c r="AN431" s="94"/>
      <c r="AO431" s="94"/>
      <c r="AP431" s="94"/>
      <c r="AQ431" s="94"/>
      <c r="AR431" s="94"/>
      <c r="AS431" s="94"/>
      <c r="AT431" s="94"/>
      <c r="AU431" s="94"/>
      <c r="AV431" s="94"/>
      <c r="AW431" s="94"/>
      <c r="AX431" s="94"/>
      <c r="AY431" s="94"/>
      <c r="AZ431" s="94"/>
      <c r="BA431" s="95"/>
    </row>
    <row r="432" spans="1:53" s="87" customFormat="1">
      <c r="A432" s="90" t="str">
        <f t="shared" si="32"/>
        <v/>
      </c>
      <c r="B432" s="98">
        <v>8</v>
      </c>
      <c r="C432" s="94" t="s">
        <v>210</v>
      </c>
      <c r="D432" s="94">
        <v>2</v>
      </c>
      <c r="E432" s="94" t="s">
        <v>210</v>
      </c>
      <c r="F432" s="94">
        <v>-1</v>
      </c>
      <c r="G432" s="94">
        <v>-3</v>
      </c>
      <c r="H432" s="94">
        <v>-2</v>
      </c>
      <c r="I432" s="94" t="s">
        <v>210</v>
      </c>
      <c r="J432" s="94">
        <v>1</v>
      </c>
      <c r="K432" s="94">
        <v>2</v>
      </c>
      <c r="L432" s="94">
        <v>3</v>
      </c>
      <c r="M432" s="94" t="s">
        <v>210</v>
      </c>
      <c r="N432" s="94">
        <v>-2</v>
      </c>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5"/>
    </row>
    <row r="433" spans="1:53" s="87" customFormat="1">
      <c r="A433" s="90" t="str">
        <f t="shared" si="32"/>
        <v/>
      </c>
      <c r="B433" s="98">
        <v>9</v>
      </c>
      <c r="C433" s="94" t="s">
        <v>210</v>
      </c>
      <c r="D433" s="94">
        <v>1</v>
      </c>
      <c r="E433" s="94" t="s">
        <v>210</v>
      </c>
      <c r="F433" s="94">
        <v>-3</v>
      </c>
      <c r="G433" s="94">
        <v>2</v>
      </c>
      <c r="H433" s="94">
        <v>1</v>
      </c>
      <c r="I433" s="94" t="s">
        <v>210</v>
      </c>
      <c r="J433" s="94">
        <v>-3</v>
      </c>
      <c r="K433" s="94">
        <v>-2</v>
      </c>
      <c r="L433" s="94">
        <v>-1</v>
      </c>
      <c r="M433" s="94" t="s">
        <v>210</v>
      </c>
      <c r="N433" s="94">
        <v>3</v>
      </c>
      <c r="O433" s="94"/>
      <c r="P433" s="94"/>
      <c r="Q433" s="94"/>
      <c r="R433" s="94"/>
      <c r="S433" s="94"/>
      <c r="T433" s="94"/>
      <c r="U433" s="94"/>
      <c r="V433" s="94"/>
      <c r="W433" s="94"/>
      <c r="X433" s="94"/>
      <c r="Y433" s="94"/>
      <c r="Z433" s="94"/>
      <c r="AA433" s="94"/>
      <c r="AB433" s="94"/>
      <c r="AC433" s="94"/>
      <c r="AD433" s="94"/>
      <c r="AE433" s="94"/>
      <c r="AF433" s="94"/>
      <c r="AG433" s="94"/>
      <c r="AH433" s="94"/>
      <c r="AI433" s="94"/>
      <c r="AJ433" s="94"/>
      <c r="AK433" s="94"/>
      <c r="AL433" s="94"/>
      <c r="AM433" s="94"/>
      <c r="AN433" s="94"/>
      <c r="AO433" s="94"/>
      <c r="AP433" s="94"/>
      <c r="AQ433" s="94"/>
      <c r="AR433" s="94"/>
      <c r="AS433" s="94"/>
      <c r="AT433" s="94"/>
      <c r="AU433" s="94"/>
      <c r="AV433" s="94"/>
      <c r="AW433" s="94"/>
      <c r="AX433" s="94"/>
      <c r="AY433" s="94"/>
      <c r="AZ433" s="94"/>
      <c r="BA433" s="95"/>
    </row>
    <row r="434" spans="1:53" s="87" customFormat="1">
      <c r="A434" s="90" t="str">
        <f t="shared" si="32"/>
        <v/>
      </c>
      <c r="B434" s="317" t="s">
        <v>1099</v>
      </c>
      <c r="C434" s="94"/>
      <c r="D434" s="94"/>
      <c r="E434" s="94"/>
      <c r="F434" s="94"/>
      <c r="G434" s="94"/>
      <c r="H434" s="94"/>
      <c r="I434" s="94"/>
      <c r="J434" s="94"/>
      <c r="K434" s="94"/>
      <c r="L434" s="94"/>
      <c r="M434" s="94"/>
      <c r="N434" s="94"/>
      <c r="O434" s="94"/>
      <c r="P434" s="94"/>
      <c r="Q434" s="94"/>
      <c r="R434" s="94"/>
      <c r="S434" s="94"/>
      <c r="T434" s="94"/>
      <c r="U434" s="94"/>
      <c r="V434" s="94"/>
      <c r="W434" s="94"/>
      <c r="X434" s="94"/>
      <c r="Y434" s="94"/>
      <c r="Z434" s="94"/>
      <c r="AA434" s="94"/>
      <c r="AB434" s="94"/>
      <c r="AC434" s="94"/>
      <c r="AD434" s="94"/>
      <c r="AE434" s="94"/>
      <c r="AF434" s="94"/>
      <c r="AG434" s="94"/>
      <c r="AH434" s="94"/>
      <c r="AI434" s="94"/>
      <c r="AJ434" s="94"/>
      <c r="AK434" s="94"/>
      <c r="AL434" s="94"/>
      <c r="AM434" s="94"/>
      <c r="AN434" s="94"/>
      <c r="AO434" s="94"/>
      <c r="AP434" s="94"/>
      <c r="AQ434" s="94"/>
      <c r="AR434" s="94"/>
      <c r="AS434" s="94"/>
      <c r="AT434" s="94"/>
      <c r="AU434" s="94"/>
      <c r="AV434" s="94"/>
      <c r="AW434" s="94"/>
      <c r="AX434" s="94"/>
      <c r="AY434" s="94"/>
      <c r="AZ434" s="94"/>
      <c r="BA434" s="95"/>
    </row>
    <row r="435" spans="1:53" s="87" customFormat="1">
      <c r="A435" s="90">
        <f t="shared" si="32"/>
        <v>435</v>
      </c>
      <c r="B435" s="317" t="s">
        <v>1225</v>
      </c>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5"/>
    </row>
    <row r="436" spans="1:53" s="87" customFormat="1">
      <c r="A436" s="90" t="str">
        <f t="shared" si="32"/>
        <v/>
      </c>
      <c r="B436" s="98">
        <v>1</v>
      </c>
      <c r="C436" s="94">
        <v>-1</v>
      </c>
      <c r="D436" s="94">
        <v>-3</v>
      </c>
      <c r="E436" s="94" t="s">
        <v>210</v>
      </c>
      <c r="F436" s="94">
        <v>2</v>
      </c>
      <c r="G436" s="94" t="s">
        <v>210</v>
      </c>
      <c r="H436" s="94">
        <v>-1</v>
      </c>
      <c r="I436" s="94">
        <v>-2</v>
      </c>
      <c r="J436" s="94" t="s">
        <v>210</v>
      </c>
      <c r="K436" s="94" t="s">
        <v>210</v>
      </c>
      <c r="L436" s="94" t="s">
        <v>210</v>
      </c>
      <c r="M436" s="94">
        <v>3</v>
      </c>
      <c r="N436" s="94">
        <v>-2</v>
      </c>
      <c r="O436" s="94" t="s">
        <v>210</v>
      </c>
      <c r="P436" s="94">
        <v>1</v>
      </c>
      <c r="Q436" s="94" t="s">
        <v>210</v>
      </c>
      <c r="R436" s="94">
        <v>3</v>
      </c>
      <c r="S436" s="94" t="s">
        <v>210</v>
      </c>
      <c r="T436" s="94">
        <v>2</v>
      </c>
      <c r="U436" s="94" t="s">
        <v>210</v>
      </c>
      <c r="V436" s="94"/>
      <c r="W436" s="94"/>
      <c r="X436" s="94"/>
      <c r="Y436" s="94"/>
      <c r="Z436" s="94"/>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c r="AW436" s="94"/>
      <c r="AX436" s="94"/>
      <c r="AY436" s="94"/>
      <c r="AZ436" s="94"/>
      <c r="BA436" s="95"/>
    </row>
    <row r="437" spans="1:53" s="87" customFormat="1">
      <c r="A437" s="90" t="str">
        <f t="shared" si="32"/>
        <v/>
      </c>
      <c r="B437" s="98">
        <v>2</v>
      </c>
      <c r="C437" s="94">
        <v>3</v>
      </c>
      <c r="D437" s="94" t="s">
        <v>210</v>
      </c>
      <c r="E437" s="94">
        <v>1</v>
      </c>
      <c r="F437" s="94">
        <v>-2</v>
      </c>
      <c r="G437" s="94" t="s">
        <v>210</v>
      </c>
      <c r="H437" s="94">
        <v>-3</v>
      </c>
      <c r="I437" s="94" t="s">
        <v>210</v>
      </c>
      <c r="J437" s="94">
        <v>1</v>
      </c>
      <c r="K437" s="94" t="s">
        <v>210</v>
      </c>
      <c r="L437" s="94">
        <v>2</v>
      </c>
      <c r="M437" s="94" t="s">
        <v>210</v>
      </c>
      <c r="N437" s="94">
        <v>3</v>
      </c>
      <c r="O437" s="94" t="s">
        <v>210</v>
      </c>
      <c r="P437" s="94">
        <v>-2</v>
      </c>
      <c r="Q437" s="94" t="s">
        <v>210</v>
      </c>
      <c r="R437" s="94">
        <v>-1</v>
      </c>
      <c r="S437" s="94">
        <v>-3</v>
      </c>
      <c r="T437" s="94" t="s">
        <v>210</v>
      </c>
      <c r="U437" s="94" t="s">
        <v>210</v>
      </c>
      <c r="V437" s="94"/>
      <c r="W437" s="94"/>
      <c r="X437" s="94"/>
      <c r="Y437" s="94"/>
      <c r="Z437" s="94"/>
      <c r="AA437" s="94"/>
      <c r="AB437" s="94"/>
      <c r="AC437" s="94"/>
      <c r="AD437" s="94"/>
      <c r="AE437" s="94"/>
      <c r="AF437" s="94"/>
      <c r="AG437" s="94"/>
      <c r="AH437" s="94"/>
      <c r="AI437" s="94"/>
      <c r="AJ437" s="94"/>
      <c r="AK437" s="94"/>
      <c r="AL437" s="94"/>
      <c r="AM437" s="94"/>
      <c r="AN437" s="94"/>
      <c r="AO437" s="94"/>
      <c r="AP437" s="94"/>
      <c r="AQ437" s="94"/>
      <c r="AR437" s="94"/>
      <c r="AS437" s="94"/>
      <c r="AT437" s="94"/>
      <c r="AU437" s="94"/>
      <c r="AV437" s="94"/>
      <c r="AW437" s="94"/>
      <c r="AX437" s="94"/>
      <c r="AY437" s="94"/>
      <c r="AZ437" s="94"/>
      <c r="BA437" s="95"/>
    </row>
    <row r="438" spans="1:53" s="87" customFormat="1">
      <c r="A438" s="90" t="str">
        <f t="shared" si="32"/>
        <v/>
      </c>
      <c r="B438" s="98">
        <v>3</v>
      </c>
      <c r="C438" s="94">
        <v>2</v>
      </c>
      <c r="D438" s="94" t="s">
        <v>210</v>
      </c>
      <c r="E438" s="94">
        <v>-1</v>
      </c>
      <c r="F438" s="94" t="s">
        <v>210</v>
      </c>
      <c r="G438" s="94">
        <v>3</v>
      </c>
      <c r="H438" s="94">
        <v>-2</v>
      </c>
      <c r="I438" s="94" t="s">
        <v>210</v>
      </c>
      <c r="J438" s="94">
        <v>-3</v>
      </c>
      <c r="K438" s="94" t="s">
        <v>210</v>
      </c>
      <c r="L438" s="94">
        <v>1</v>
      </c>
      <c r="M438" s="94" t="s">
        <v>210</v>
      </c>
      <c r="N438" s="94">
        <v>2</v>
      </c>
      <c r="O438" s="94" t="s">
        <v>210</v>
      </c>
      <c r="P438" s="94">
        <v>3</v>
      </c>
      <c r="Q438" s="94" t="s">
        <v>210</v>
      </c>
      <c r="R438" s="94">
        <v>-2</v>
      </c>
      <c r="S438" s="94" t="s">
        <v>210</v>
      </c>
      <c r="T438" s="94" t="s">
        <v>210</v>
      </c>
      <c r="U438" s="94">
        <v>-3</v>
      </c>
      <c r="V438" s="94"/>
      <c r="W438" s="94"/>
      <c r="X438" s="94"/>
      <c r="Y438" s="94"/>
      <c r="Z438" s="94"/>
      <c r="AA438" s="94"/>
      <c r="AB438" s="94"/>
      <c r="AC438" s="94"/>
      <c r="AD438" s="94"/>
      <c r="AE438" s="94"/>
      <c r="AF438" s="94"/>
      <c r="AG438" s="94"/>
      <c r="AH438" s="94"/>
      <c r="AI438" s="94"/>
      <c r="AJ438" s="94"/>
      <c r="AK438" s="94"/>
      <c r="AL438" s="94"/>
      <c r="AM438" s="94"/>
      <c r="AN438" s="94"/>
      <c r="AO438" s="94"/>
      <c r="AP438" s="94"/>
      <c r="AQ438" s="94"/>
      <c r="AR438" s="94"/>
      <c r="AS438" s="94"/>
      <c r="AT438" s="94"/>
      <c r="AU438" s="94"/>
      <c r="AV438" s="94"/>
      <c r="AW438" s="94"/>
      <c r="AX438" s="94"/>
      <c r="AY438" s="94"/>
      <c r="AZ438" s="94"/>
      <c r="BA438" s="95"/>
    </row>
    <row r="439" spans="1:53" s="87" customFormat="1">
      <c r="A439" s="90" t="str">
        <f t="shared" si="32"/>
        <v/>
      </c>
      <c r="B439" s="98">
        <v>4</v>
      </c>
      <c r="C439" s="94" t="s">
        <v>210</v>
      </c>
      <c r="D439" s="94">
        <v>1</v>
      </c>
      <c r="E439" s="94">
        <v>-2</v>
      </c>
      <c r="F439" s="94" t="s">
        <v>210</v>
      </c>
      <c r="G439" s="94">
        <v>-3</v>
      </c>
      <c r="H439" s="94" t="s">
        <v>210</v>
      </c>
      <c r="I439" s="94">
        <v>1</v>
      </c>
      <c r="J439" s="94">
        <v>-2</v>
      </c>
      <c r="K439" s="94" t="s">
        <v>210</v>
      </c>
      <c r="L439" s="94">
        <v>3</v>
      </c>
      <c r="M439" s="94" t="s">
        <v>210</v>
      </c>
      <c r="N439" s="94">
        <v>-1</v>
      </c>
      <c r="O439" s="94" t="s">
        <v>210</v>
      </c>
      <c r="P439" s="94">
        <v>2</v>
      </c>
      <c r="Q439" s="94" t="s">
        <v>210</v>
      </c>
      <c r="R439" s="94">
        <v>-3</v>
      </c>
      <c r="S439" s="94" t="s">
        <v>210</v>
      </c>
      <c r="T439" s="94" t="s">
        <v>210</v>
      </c>
      <c r="U439" s="94">
        <v>2</v>
      </c>
      <c r="V439" s="94"/>
      <c r="W439" s="94"/>
      <c r="X439" s="94"/>
      <c r="Y439" s="94"/>
      <c r="Z439" s="94"/>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AZ439" s="94"/>
      <c r="BA439" s="95"/>
    </row>
    <row r="440" spans="1:53" s="87" customFormat="1">
      <c r="A440" s="90" t="str">
        <f t="shared" si="32"/>
        <v/>
      </c>
      <c r="B440" s="98">
        <v>5</v>
      </c>
      <c r="C440" s="94" t="s">
        <v>210</v>
      </c>
      <c r="D440" s="94">
        <v>2</v>
      </c>
      <c r="E440" s="94">
        <v>3</v>
      </c>
      <c r="F440" s="94" t="s">
        <v>210</v>
      </c>
      <c r="G440" s="94">
        <v>-1</v>
      </c>
      <c r="H440" s="94" t="s">
        <v>210</v>
      </c>
      <c r="I440" s="94">
        <v>2</v>
      </c>
      <c r="J440" s="94" t="s">
        <v>210</v>
      </c>
      <c r="K440" s="94">
        <v>3</v>
      </c>
      <c r="L440" s="94">
        <v>-2</v>
      </c>
      <c r="M440" s="94" t="s">
        <v>210</v>
      </c>
      <c r="N440" s="94">
        <v>1</v>
      </c>
      <c r="O440" s="94" t="s">
        <v>210</v>
      </c>
      <c r="P440" s="94">
        <v>-3</v>
      </c>
      <c r="Q440" s="94" t="s">
        <v>210</v>
      </c>
      <c r="R440" s="94" t="s">
        <v>210</v>
      </c>
      <c r="S440" s="94">
        <v>-2</v>
      </c>
      <c r="T440" s="94" t="s">
        <v>210</v>
      </c>
      <c r="U440" s="94">
        <v>-1</v>
      </c>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5"/>
    </row>
    <row r="441" spans="1:53" s="87" customFormat="1">
      <c r="A441" s="90" t="str">
        <f t="shared" si="32"/>
        <v/>
      </c>
      <c r="B441" s="98">
        <v>6</v>
      </c>
      <c r="C441" s="94">
        <v>1</v>
      </c>
      <c r="D441" s="94" t="s">
        <v>210</v>
      </c>
      <c r="E441" s="94">
        <v>-3</v>
      </c>
      <c r="F441" s="94" t="s">
        <v>210</v>
      </c>
      <c r="G441" s="94">
        <v>-2</v>
      </c>
      <c r="H441" s="94" t="s">
        <v>210</v>
      </c>
      <c r="I441" s="94">
        <v>3</v>
      </c>
      <c r="J441" s="94" t="s">
        <v>210</v>
      </c>
      <c r="K441" s="94">
        <v>2</v>
      </c>
      <c r="L441" s="94">
        <v>-1</v>
      </c>
      <c r="M441" s="94" t="s">
        <v>210</v>
      </c>
      <c r="N441" s="94">
        <v>-3</v>
      </c>
      <c r="O441" s="94">
        <v>2</v>
      </c>
      <c r="P441" s="94" t="s">
        <v>210</v>
      </c>
      <c r="Q441" s="94" t="s">
        <v>210</v>
      </c>
      <c r="R441" s="94" t="s">
        <v>210</v>
      </c>
      <c r="S441" s="94">
        <v>1</v>
      </c>
      <c r="T441" s="94" t="s">
        <v>210</v>
      </c>
      <c r="U441" s="94">
        <v>-2</v>
      </c>
      <c r="V441" s="94"/>
      <c r="W441" s="94"/>
      <c r="X441" s="94"/>
      <c r="Y441" s="94"/>
      <c r="Z441" s="94"/>
      <c r="AA441" s="94"/>
      <c r="AB441" s="94"/>
      <c r="AC441" s="94"/>
      <c r="AD441" s="94"/>
      <c r="AE441" s="94"/>
      <c r="AF441" s="94"/>
      <c r="AG441" s="94"/>
      <c r="AH441" s="94"/>
      <c r="AI441" s="94"/>
      <c r="AJ441" s="94"/>
      <c r="AK441" s="94"/>
      <c r="AL441" s="94"/>
      <c r="AM441" s="94"/>
      <c r="AN441" s="94"/>
      <c r="AO441" s="94"/>
      <c r="AP441" s="94"/>
      <c r="AQ441" s="94"/>
      <c r="AR441" s="94"/>
      <c r="AS441" s="94"/>
      <c r="AT441" s="94"/>
      <c r="AU441" s="94"/>
      <c r="AV441" s="94"/>
      <c r="AW441" s="94"/>
      <c r="AX441" s="94"/>
      <c r="AY441" s="94"/>
      <c r="AZ441" s="94"/>
      <c r="BA441" s="95"/>
    </row>
    <row r="442" spans="1:53" s="87" customFormat="1">
      <c r="A442" s="90" t="str">
        <f t="shared" si="32"/>
        <v/>
      </c>
      <c r="B442" s="98">
        <v>7</v>
      </c>
      <c r="C442" s="94">
        <v>-3</v>
      </c>
      <c r="D442" s="94" t="s">
        <v>210</v>
      </c>
      <c r="E442" s="94">
        <v>2</v>
      </c>
      <c r="F442" s="94" t="s">
        <v>210</v>
      </c>
      <c r="G442" s="94">
        <v>1</v>
      </c>
      <c r="H442" s="94" t="s">
        <v>210</v>
      </c>
      <c r="I442" s="94">
        <v>-3</v>
      </c>
      <c r="J442" s="94" t="s">
        <v>210</v>
      </c>
      <c r="K442" s="94">
        <v>1</v>
      </c>
      <c r="L442" s="94" t="s">
        <v>210</v>
      </c>
      <c r="M442" s="94">
        <v>-2</v>
      </c>
      <c r="N442" s="94" t="s">
        <v>210</v>
      </c>
      <c r="O442" s="94">
        <v>3</v>
      </c>
      <c r="P442" s="94">
        <v>-1</v>
      </c>
      <c r="Q442" s="94" t="s">
        <v>210</v>
      </c>
      <c r="R442" s="94">
        <v>2</v>
      </c>
      <c r="S442" s="94" t="s">
        <v>210</v>
      </c>
      <c r="T442" s="94">
        <v>-1</v>
      </c>
      <c r="U442" s="94" t="s">
        <v>210</v>
      </c>
      <c r="V442" s="94"/>
      <c r="W442" s="94"/>
      <c r="X442" s="94"/>
      <c r="Y442" s="94"/>
      <c r="Z442" s="94"/>
      <c r="AA442" s="94"/>
      <c r="AB442" s="94"/>
      <c r="AC442" s="94"/>
      <c r="AD442" s="94"/>
      <c r="AE442" s="94"/>
      <c r="AF442" s="94"/>
      <c r="AG442" s="94"/>
      <c r="AH442" s="94"/>
      <c r="AI442" s="94"/>
      <c r="AJ442" s="94"/>
      <c r="AK442" s="94"/>
      <c r="AL442" s="94"/>
      <c r="AM442" s="94"/>
      <c r="AN442" s="94"/>
      <c r="AO442" s="94"/>
      <c r="AP442" s="94"/>
      <c r="AQ442" s="94"/>
      <c r="AR442" s="94"/>
      <c r="AS442" s="94"/>
      <c r="AT442" s="94"/>
      <c r="AU442" s="94"/>
      <c r="AV442" s="94"/>
      <c r="AW442" s="94"/>
      <c r="AX442" s="94"/>
      <c r="AY442" s="94"/>
      <c r="AZ442" s="94"/>
      <c r="BA442" s="95"/>
    </row>
    <row r="443" spans="1:53" s="87" customFormat="1">
      <c r="A443" s="90" t="str">
        <f t="shared" si="32"/>
        <v/>
      </c>
      <c r="B443" s="98">
        <v>8</v>
      </c>
      <c r="C443" s="94">
        <v>-2</v>
      </c>
      <c r="D443" s="94" t="s">
        <v>210</v>
      </c>
      <c r="E443" s="94" t="s">
        <v>210</v>
      </c>
      <c r="F443" s="94">
        <v>3</v>
      </c>
      <c r="G443" s="94">
        <v>2</v>
      </c>
      <c r="H443" s="94" t="s">
        <v>210</v>
      </c>
      <c r="I443" s="94">
        <v>-1</v>
      </c>
      <c r="J443" s="94" t="s">
        <v>210</v>
      </c>
      <c r="K443" s="94">
        <v>-3</v>
      </c>
      <c r="L443" s="94" t="s">
        <v>210</v>
      </c>
      <c r="M443" s="94">
        <v>2</v>
      </c>
      <c r="N443" s="94" t="s">
        <v>210</v>
      </c>
      <c r="O443" s="94">
        <v>-1</v>
      </c>
      <c r="P443" s="94" t="s">
        <v>210</v>
      </c>
      <c r="Q443" s="94">
        <v>3</v>
      </c>
      <c r="R443" s="94">
        <v>1</v>
      </c>
      <c r="S443" s="94" t="s">
        <v>210</v>
      </c>
      <c r="T443" s="94">
        <v>-2</v>
      </c>
      <c r="U443" s="94" t="s">
        <v>210</v>
      </c>
      <c r="V443" s="94"/>
      <c r="W443" s="94"/>
      <c r="X443" s="94"/>
      <c r="Y443" s="94"/>
      <c r="Z443" s="94"/>
      <c r="AA443" s="94"/>
      <c r="AB443" s="94"/>
      <c r="AC443" s="94"/>
      <c r="AD443" s="94"/>
      <c r="AE443" s="94"/>
      <c r="AF443" s="94"/>
      <c r="AG443" s="94"/>
      <c r="AH443" s="94"/>
      <c r="AI443" s="94"/>
      <c r="AJ443" s="94"/>
      <c r="AK443" s="94"/>
      <c r="AL443" s="94"/>
      <c r="AM443" s="94"/>
      <c r="AN443" s="94"/>
      <c r="AO443" s="94"/>
      <c r="AP443" s="94"/>
      <c r="AQ443" s="94"/>
      <c r="AR443" s="94"/>
      <c r="AS443" s="94"/>
      <c r="AT443" s="94"/>
      <c r="AU443" s="94"/>
      <c r="AV443" s="94"/>
      <c r="AW443" s="94"/>
      <c r="AX443" s="94"/>
      <c r="AY443" s="94"/>
      <c r="AZ443" s="94"/>
      <c r="BA443" s="95"/>
    </row>
    <row r="444" spans="1:53" s="87" customFormat="1">
      <c r="A444" s="90" t="str">
        <f t="shared" si="32"/>
        <v/>
      </c>
      <c r="B444" s="98">
        <v>9</v>
      </c>
      <c r="C444" s="94" t="s">
        <v>210</v>
      </c>
      <c r="D444" s="94">
        <v>-2</v>
      </c>
      <c r="E444" s="94" t="s">
        <v>210</v>
      </c>
      <c r="F444" s="94">
        <v>1</v>
      </c>
      <c r="G444" s="94" t="s">
        <v>210</v>
      </c>
      <c r="H444" s="94">
        <v>3</v>
      </c>
      <c r="I444" s="94" t="s">
        <v>210</v>
      </c>
      <c r="J444" s="94">
        <v>2</v>
      </c>
      <c r="K444" s="94">
        <v>-1</v>
      </c>
      <c r="L444" s="94" t="s">
        <v>210</v>
      </c>
      <c r="M444" s="94">
        <v>-3</v>
      </c>
      <c r="N444" s="94" t="s">
        <v>210</v>
      </c>
      <c r="O444" s="94">
        <v>1</v>
      </c>
      <c r="P444" s="94" t="s">
        <v>210</v>
      </c>
      <c r="Q444" s="94">
        <v>-2</v>
      </c>
      <c r="R444" s="94" t="s">
        <v>210</v>
      </c>
      <c r="S444" s="94">
        <v>-1</v>
      </c>
      <c r="T444" s="94" t="s">
        <v>210</v>
      </c>
      <c r="U444" s="94">
        <v>3</v>
      </c>
      <c r="V444" s="94"/>
      <c r="W444" s="94"/>
      <c r="X444" s="94"/>
      <c r="Y444" s="94"/>
      <c r="Z444" s="94"/>
      <c r="AA444" s="94"/>
      <c r="AB444" s="94"/>
      <c r="AC444" s="94"/>
      <c r="AD444" s="94"/>
      <c r="AE444" s="94"/>
      <c r="AF444" s="94"/>
      <c r="AG444" s="94"/>
      <c r="AH444" s="94"/>
      <c r="AI444" s="94"/>
      <c r="AJ444" s="94"/>
      <c r="AK444" s="94"/>
      <c r="AL444" s="94"/>
      <c r="AM444" s="94"/>
      <c r="AN444" s="94"/>
      <c r="AO444" s="94"/>
      <c r="AP444" s="94"/>
      <c r="AQ444" s="94"/>
      <c r="AR444" s="94"/>
      <c r="AS444" s="94"/>
      <c r="AT444" s="94"/>
      <c r="AU444" s="94"/>
      <c r="AV444" s="94"/>
      <c r="AW444" s="94"/>
      <c r="AX444" s="94"/>
      <c r="AY444" s="94"/>
      <c r="AZ444" s="94"/>
      <c r="BA444" s="95"/>
    </row>
    <row r="445" spans="1:53" s="87" customFormat="1">
      <c r="A445" s="90" t="str">
        <f t="shared" si="32"/>
        <v/>
      </c>
      <c r="B445" s="98">
        <v>10</v>
      </c>
      <c r="C445" s="94" t="s">
        <v>210</v>
      </c>
      <c r="D445" s="94">
        <v>-1</v>
      </c>
      <c r="E445" s="94" t="s">
        <v>210</v>
      </c>
      <c r="F445" s="94">
        <v>-3</v>
      </c>
      <c r="G445" s="94" t="s">
        <v>210</v>
      </c>
      <c r="H445" s="94">
        <v>1</v>
      </c>
      <c r="I445" s="94" t="s">
        <v>210</v>
      </c>
      <c r="J445" s="94">
        <v>3</v>
      </c>
      <c r="K445" s="94">
        <v>-2</v>
      </c>
      <c r="L445" s="94" t="s">
        <v>210</v>
      </c>
      <c r="M445" s="94">
        <v>-1</v>
      </c>
      <c r="N445" s="94" t="s">
        <v>210</v>
      </c>
      <c r="O445" s="94">
        <v>-3</v>
      </c>
      <c r="P445" s="94" t="s">
        <v>210</v>
      </c>
      <c r="Q445" s="94">
        <v>2</v>
      </c>
      <c r="R445" s="94" t="s">
        <v>210</v>
      </c>
      <c r="S445" s="94">
        <v>3</v>
      </c>
      <c r="T445" s="94" t="s">
        <v>210</v>
      </c>
      <c r="U445" s="94">
        <v>1</v>
      </c>
      <c r="V445" s="94"/>
      <c r="W445" s="94"/>
      <c r="X445" s="94"/>
      <c r="Y445" s="94"/>
      <c r="Z445" s="94"/>
      <c r="AA445" s="94"/>
      <c r="AB445" s="94"/>
      <c r="AC445" s="94"/>
      <c r="AD445" s="94"/>
      <c r="AE445" s="94"/>
      <c r="AF445" s="94"/>
      <c r="AG445" s="94"/>
      <c r="AH445" s="94"/>
      <c r="AI445" s="94"/>
      <c r="AJ445" s="94"/>
      <c r="AK445" s="94"/>
      <c r="AL445" s="94"/>
      <c r="AM445" s="94"/>
      <c r="AN445" s="94"/>
      <c r="AO445" s="94"/>
      <c r="AP445" s="94"/>
      <c r="AQ445" s="94"/>
      <c r="AR445" s="94"/>
      <c r="AS445" s="94"/>
      <c r="AT445" s="94"/>
      <c r="AU445" s="94"/>
      <c r="AV445" s="94"/>
      <c r="AW445" s="94"/>
      <c r="AX445" s="94"/>
      <c r="AY445" s="94"/>
      <c r="AZ445" s="94"/>
      <c r="BA445" s="95"/>
    </row>
    <row r="446" spans="1:53" s="87" customFormat="1">
      <c r="A446" s="90" t="str">
        <f t="shared" si="32"/>
        <v/>
      </c>
      <c r="B446" s="98">
        <v>11</v>
      </c>
      <c r="C446" s="94" t="s">
        <v>210</v>
      </c>
      <c r="D446" s="94">
        <v>3</v>
      </c>
      <c r="E446" s="94" t="s">
        <v>210</v>
      </c>
      <c r="F446" s="94">
        <v>-1</v>
      </c>
      <c r="G446" s="94" t="s">
        <v>210</v>
      </c>
      <c r="H446" s="94">
        <v>2</v>
      </c>
      <c r="I446" s="94" t="s">
        <v>210</v>
      </c>
      <c r="J446" s="94">
        <v>-1</v>
      </c>
      <c r="K446" s="94" t="s">
        <v>210</v>
      </c>
      <c r="L446" s="94">
        <v>-3</v>
      </c>
      <c r="M446" s="94">
        <v>1</v>
      </c>
      <c r="N446" s="94" t="s">
        <v>210</v>
      </c>
      <c r="O446" s="94">
        <v>-2</v>
      </c>
      <c r="P446" s="94" t="s">
        <v>210</v>
      </c>
      <c r="Q446" s="94">
        <v>-3</v>
      </c>
      <c r="R446" s="94" t="s">
        <v>210</v>
      </c>
      <c r="S446" s="94">
        <v>2</v>
      </c>
      <c r="T446" s="94">
        <v>1</v>
      </c>
      <c r="U446" s="94" t="s">
        <v>210</v>
      </c>
      <c r="V446" s="94"/>
      <c r="W446" s="94"/>
      <c r="X446" s="94"/>
      <c r="Y446" s="94"/>
      <c r="Z446" s="94"/>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AZ446" s="94"/>
      <c r="BA446" s="95"/>
    </row>
    <row r="447" spans="1:53" s="87" customFormat="1">
      <c r="A447" s="90" t="str">
        <f t="shared" si="32"/>
        <v/>
      </c>
      <c r="B447" s="317" t="s">
        <v>1100</v>
      </c>
      <c r="C447" s="94"/>
      <c r="D447" s="94"/>
      <c r="E447" s="94"/>
      <c r="F447" s="94"/>
      <c r="G447" s="94"/>
      <c r="H447" s="94"/>
      <c r="I447" s="94"/>
      <c r="J447" s="94"/>
      <c r="K447" s="94"/>
      <c r="L447" s="94"/>
      <c r="M447" s="94"/>
      <c r="N447" s="94"/>
      <c r="O447" s="94"/>
      <c r="P447" s="94"/>
      <c r="Q447" s="94"/>
      <c r="R447" s="94"/>
      <c r="S447" s="94"/>
      <c r="T447" s="94"/>
      <c r="U447" s="94"/>
      <c r="V447" s="94"/>
      <c r="W447" s="94"/>
      <c r="X447" s="94"/>
      <c r="Y447" s="94"/>
      <c r="Z447" s="94"/>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5"/>
    </row>
    <row r="448" spans="1:53" s="87" customFormat="1">
      <c r="A448" s="90">
        <f t="shared" si="32"/>
        <v>448</v>
      </c>
      <c r="B448" s="98" t="s">
        <v>1104</v>
      </c>
      <c r="C448" s="94"/>
      <c r="D448" s="94"/>
      <c r="E448" s="94"/>
      <c r="F448" s="94"/>
      <c r="G448" s="94"/>
      <c r="H448" s="94"/>
      <c r="I448" s="94"/>
      <c r="J448" s="94"/>
      <c r="K448" s="94"/>
      <c r="L448" s="94"/>
      <c r="M448" s="94"/>
      <c r="N448" s="94"/>
      <c r="O448" s="94"/>
      <c r="P448" s="94"/>
      <c r="Q448" s="94"/>
      <c r="R448" s="94"/>
      <c r="S448" s="94"/>
      <c r="T448" s="94"/>
      <c r="U448" s="94"/>
      <c r="V448" s="94"/>
      <c r="W448" s="94"/>
      <c r="X448" s="94"/>
      <c r="Y448" s="94"/>
      <c r="Z448" s="94"/>
      <c r="AA448" s="94"/>
      <c r="AB448" s="94"/>
      <c r="AC448" s="94"/>
      <c r="AD448" s="94"/>
      <c r="AE448" s="94"/>
      <c r="AF448" s="94"/>
      <c r="AG448" s="94"/>
      <c r="AH448" s="94"/>
      <c r="AI448" s="94"/>
      <c r="AJ448" s="94"/>
      <c r="AK448" s="94"/>
      <c r="AL448" s="94"/>
      <c r="AM448" s="94"/>
      <c r="AN448" s="94"/>
      <c r="AO448" s="94"/>
      <c r="AP448" s="94"/>
      <c r="AQ448" s="94"/>
      <c r="AR448" s="94"/>
      <c r="AS448" s="94"/>
      <c r="AT448" s="94"/>
      <c r="AU448" s="94"/>
      <c r="AV448" s="94"/>
      <c r="AW448" s="94"/>
      <c r="AX448" s="94"/>
      <c r="AY448" s="94"/>
      <c r="AZ448" s="94"/>
      <c r="BA448" s="95"/>
    </row>
    <row r="449" spans="1:53" s="87" customFormat="1">
      <c r="A449" s="90" t="str">
        <f t="shared" si="32"/>
        <v/>
      </c>
      <c r="B449" s="98">
        <v>1</v>
      </c>
      <c r="C449" s="94">
        <v>-3</v>
      </c>
      <c r="D449" s="94" t="s">
        <v>210</v>
      </c>
      <c r="E449" s="94" t="s">
        <v>210</v>
      </c>
      <c r="F449" s="94">
        <v>2</v>
      </c>
      <c r="G449" s="94">
        <v>1</v>
      </c>
      <c r="H449" s="94" t="s">
        <v>210</v>
      </c>
      <c r="I449" s="94" t="s">
        <v>210</v>
      </c>
      <c r="J449" s="94">
        <v>3</v>
      </c>
      <c r="K449" s="94" t="s">
        <v>202</v>
      </c>
      <c r="L449" s="94" t="s">
        <v>202</v>
      </c>
      <c r="M449" s="94" t="s">
        <v>210</v>
      </c>
      <c r="N449" s="94">
        <v>-2</v>
      </c>
      <c r="O449" s="94">
        <v>-1</v>
      </c>
      <c r="P449" s="94" t="s">
        <v>210</v>
      </c>
      <c r="Q449" s="94" t="s">
        <v>202</v>
      </c>
      <c r="R449" s="94" t="s">
        <v>202</v>
      </c>
      <c r="S449" s="94">
        <v>-2</v>
      </c>
      <c r="T449" s="94" t="s">
        <v>210</v>
      </c>
      <c r="U449" s="94" t="s">
        <v>210</v>
      </c>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5"/>
    </row>
    <row r="450" spans="1:53" s="87" customFormat="1">
      <c r="A450" s="90" t="str">
        <f t="shared" si="32"/>
        <v/>
      </c>
      <c r="B450" s="98">
        <v>2</v>
      </c>
      <c r="C450" s="94" t="s">
        <v>202</v>
      </c>
      <c r="D450" s="94" t="s">
        <v>202</v>
      </c>
      <c r="E450" s="94" t="s">
        <v>210</v>
      </c>
      <c r="F450" s="94">
        <v>1</v>
      </c>
      <c r="G450" s="94">
        <v>2</v>
      </c>
      <c r="H450" s="94" t="s">
        <v>210</v>
      </c>
      <c r="I450" s="94" t="s">
        <v>202</v>
      </c>
      <c r="J450" s="94" t="s">
        <v>202</v>
      </c>
      <c r="K450" s="94">
        <v>3</v>
      </c>
      <c r="L450" s="94" t="s">
        <v>210</v>
      </c>
      <c r="M450" s="94" t="s">
        <v>210</v>
      </c>
      <c r="N450" s="94">
        <v>-1</v>
      </c>
      <c r="O450" s="94">
        <v>-2</v>
      </c>
      <c r="P450" s="94" t="s">
        <v>210</v>
      </c>
      <c r="Q450" s="94" t="s">
        <v>210</v>
      </c>
      <c r="R450" s="94">
        <v>-3</v>
      </c>
      <c r="S450" s="94">
        <v>2</v>
      </c>
      <c r="T450" s="94" t="s">
        <v>210</v>
      </c>
      <c r="U450" s="94" t="s">
        <v>210</v>
      </c>
      <c r="V450" s="94"/>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5"/>
    </row>
    <row r="451" spans="1:53" s="87" customFormat="1">
      <c r="A451" s="90" t="str">
        <f t="shared" si="32"/>
        <v/>
      </c>
      <c r="B451" s="98">
        <v>3</v>
      </c>
      <c r="C451" s="94">
        <v>2</v>
      </c>
      <c r="D451" s="94" t="s">
        <v>210</v>
      </c>
      <c r="E451" s="94" t="s">
        <v>210</v>
      </c>
      <c r="F451" s="94">
        <v>3</v>
      </c>
      <c r="G451" s="94">
        <v>-1</v>
      </c>
      <c r="H451" s="94" t="s">
        <v>210</v>
      </c>
      <c r="I451" s="94" t="s">
        <v>210</v>
      </c>
      <c r="J451" s="94">
        <v>-2</v>
      </c>
      <c r="K451" s="94" t="s">
        <v>202</v>
      </c>
      <c r="L451" s="94" t="s">
        <v>202</v>
      </c>
      <c r="M451" s="94" t="s">
        <v>210</v>
      </c>
      <c r="N451" s="94">
        <v>-3</v>
      </c>
      <c r="O451" s="94">
        <v>2</v>
      </c>
      <c r="P451" s="94" t="s">
        <v>210</v>
      </c>
      <c r="Q451" s="94" t="s">
        <v>202</v>
      </c>
      <c r="R451" s="94" t="s">
        <v>202</v>
      </c>
      <c r="S451" s="94">
        <v>1</v>
      </c>
      <c r="T451" s="94" t="s">
        <v>210</v>
      </c>
      <c r="U451" s="94" t="s">
        <v>210</v>
      </c>
      <c r="V451" s="94"/>
      <c r="W451" s="94"/>
      <c r="X451" s="94"/>
      <c r="Y451" s="94"/>
      <c r="Z451" s="94"/>
      <c r="AA451" s="94"/>
      <c r="AB451" s="94"/>
      <c r="AC451" s="94"/>
      <c r="AD451" s="94"/>
      <c r="AE451" s="94"/>
      <c r="AF451" s="94"/>
      <c r="AG451" s="94"/>
      <c r="AH451" s="94"/>
      <c r="AI451" s="94"/>
      <c r="AJ451" s="94"/>
      <c r="AK451" s="94"/>
      <c r="AL451" s="94"/>
      <c r="AM451" s="94"/>
      <c r="AN451" s="94"/>
      <c r="AO451" s="94"/>
      <c r="AP451" s="94"/>
      <c r="AQ451" s="94"/>
      <c r="AR451" s="94"/>
      <c r="AS451" s="94"/>
      <c r="AT451" s="94"/>
      <c r="AU451" s="94"/>
      <c r="AV451" s="94"/>
      <c r="AW451" s="94"/>
      <c r="AX451" s="94"/>
      <c r="AY451" s="94"/>
      <c r="AZ451" s="94"/>
      <c r="BA451" s="95"/>
    </row>
    <row r="452" spans="1:53" s="87" customFormat="1">
      <c r="A452" s="90" t="str">
        <f t="shared" si="32"/>
        <v/>
      </c>
      <c r="B452" s="98">
        <v>4</v>
      </c>
      <c r="C452" s="94" t="s">
        <v>202</v>
      </c>
      <c r="D452" s="94" t="s">
        <v>202</v>
      </c>
      <c r="E452" s="94" t="s">
        <v>210</v>
      </c>
      <c r="F452" s="94">
        <v>-2</v>
      </c>
      <c r="G452" s="94">
        <v>-3</v>
      </c>
      <c r="H452" s="94" t="s">
        <v>210</v>
      </c>
      <c r="I452" s="94" t="s">
        <v>202</v>
      </c>
      <c r="J452" s="94" t="s">
        <v>202</v>
      </c>
      <c r="K452" s="94">
        <v>2</v>
      </c>
      <c r="L452" s="94" t="s">
        <v>210</v>
      </c>
      <c r="M452" s="94" t="s">
        <v>210</v>
      </c>
      <c r="N452" s="94">
        <v>1</v>
      </c>
      <c r="O452" s="94">
        <v>3</v>
      </c>
      <c r="P452" s="94" t="s">
        <v>210</v>
      </c>
      <c r="Q452" s="94" t="s">
        <v>210</v>
      </c>
      <c r="R452" s="94">
        <v>-2</v>
      </c>
      <c r="S452" s="94">
        <v>-1</v>
      </c>
      <c r="T452" s="94" t="s">
        <v>210</v>
      </c>
      <c r="U452" s="94" t="s">
        <v>210</v>
      </c>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5"/>
    </row>
    <row r="453" spans="1:53" s="87" customFormat="1">
      <c r="A453" s="90" t="str">
        <f t="shared" si="32"/>
        <v/>
      </c>
      <c r="B453" s="98">
        <v>5</v>
      </c>
      <c r="C453" s="94">
        <v>1</v>
      </c>
      <c r="D453" s="94" t="s">
        <v>210</v>
      </c>
      <c r="E453" s="94" t="s">
        <v>202</v>
      </c>
      <c r="F453" s="94" t="s">
        <v>202</v>
      </c>
      <c r="G453" s="94">
        <v>-2</v>
      </c>
      <c r="H453" s="94" t="s">
        <v>210</v>
      </c>
      <c r="I453" s="94" t="s">
        <v>210</v>
      </c>
      <c r="J453" s="94">
        <v>-3</v>
      </c>
      <c r="K453" s="94">
        <v>-1</v>
      </c>
      <c r="L453" s="94" t="s">
        <v>210</v>
      </c>
      <c r="M453" s="94" t="s">
        <v>210</v>
      </c>
      <c r="N453" s="94">
        <v>3</v>
      </c>
      <c r="O453" s="94" t="s">
        <v>202</v>
      </c>
      <c r="P453" s="94" t="s">
        <v>202</v>
      </c>
      <c r="Q453" s="94" t="s">
        <v>210</v>
      </c>
      <c r="R453" s="94">
        <v>2</v>
      </c>
      <c r="S453" s="94">
        <v>-3</v>
      </c>
      <c r="T453" s="94" t="s">
        <v>210</v>
      </c>
      <c r="U453" s="94" t="s">
        <v>210</v>
      </c>
      <c r="V453" s="94"/>
      <c r="W453" s="94"/>
      <c r="X453" s="94"/>
      <c r="Y453" s="94"/>
      <c r="Z453" s="94"/>
      <c r="AA453" s="94"/>
      <c r="AB453" s="94"/>
      <c r="AC453" s="94"/>
      <c r="AD453" s="94"/>
      <c r="AE453" s="94"/>
      <c r="AF453" s="94"/>
      <c r="AG453" s="94"/>
      <c r="AH453" s="94"/>
      <c r="AI453" s="94"/>
      <c r="AJ453" s="94"/>
      <c r="AK453" s="94"/>
      <c r="AL453" s="94"/>
      <c r="AM453" s="94"/>
      <c r="AN453" s="94"/>
      <c r="AO453" s="94"/>
      <c r="AP453" s="94"/>
      <c r="AQ453" s="94"/>
      <c r="AR453" s="94"/>
      <c r="AS453" s="94"/>
      <c r="AT453" s="94"/>
      <c r="AU453" s="94"/>
      <c r="AV453" s="94"/>
      <c r="AW453" s="94"/>
      <c r="AX453" s="94"/>
      <c r="AY453" s="94"/>
      <c r="AZ453" s="94"/>
      <c r="BA453" s="95"/>
    </row>
    <row r="454" spans="1:53" s="87" customFormat="1">
      <c r="A454" s="90" t="str">
        <f t="shared" si="32"/>
        <v/>
      </c>
      <c r="B454" s="98">
        <v>6</v>
      </c>
      <c r="C454" s="94">
        <v>-2</v>
      </c>
      <c r="D454" s="94" t="s">
        <v>210</v>
      </c>
      <c r="E454" s="94" t="s">
        <v>202</v>
      </c>
      <c r="F454" s="94" t="s">
        <v>202</v>
      </c>
      <c r="G454" s="94">
        <v>3</v>
      </c>
      <c r="H454" s="94" t="s">
        <v>210</v>
      </c>
      <c r="I454" s="94" t="s">
        <v>210</v>
      </c>
      <c r="J454" s="94">
        <v>-1</v>
      </c>
      <c r="K454" s="94">
        <v>-3</v>
      </c>
      <c r="L454" s="94" t="s">
        <v>210</v>
      </c>
      <c r="M454" s="94" t="s">
        <v>210</v>
      </c>
      <c r="N454" s="94">
        <v>2</v>
      </c>
      <c r="O454" s="94" t="s">
        <v>202</v>
      </c>
      <c r="P454" s="94" t="s">
        <v>202</v>
      </c>
      <c r="Q454" s="94" t="s">
        <v>210</v>
      </c>
      <c r="R454" s="94">
        <v>1</v>
      </c>
      <c r="S454" s="94">
        <v>3</v>
      </c>
      <c r="T454" s="94" t="s">
        <v>210</v>
      </c>
      <c r="U454" s="94" t="s">
        <v>210</v>
      </c>
      <c r="V454" s="94"/>
      <c r="W454" s="94"/>
      <c r="X454" s="94"/>
      <c r="Y454" s="94"/>
      <c r="Z454" s="94"/>
      <c r="AA454" s="94"/>
      <c r="AB454" s="94"/>
      <c r="AC454" s="94"/>
      <c r="AD454" s="94"/>
      <c r="AE454" s="94"/>
      <c r="AF454" s="94"/>
      <c r="AG454" s="94"/>
      <c r="AH454" s="94"/>
      <c r="AI454" s="94"/>
      <c r="AJ454" s="94"/>
      <c r="AK454" s="94"/>
      <c r="AL454" s="94"/>
      <c r="AM454" s="94"/>
      <c r="AN454" s="94"/>
      <c r="AO454" s="94"/>
      <c r="AP454" s="94"/>
      <c r="AQ454" s="94"/>
      <c r="AR454" s="94"/>
      <c r="AS454" s="94"/>
      <c r="AT454" s="94"/>
      <c r="AU454" s="94"/>
      <c r="AV454" s="94"/>
      <c r="AW454" s="94"/>
      <c r="AX454" s="94"/>
      <c r="AY454" s="94"/>
      <c r="AZ454" s="94"/>
      <c r="BA454" s="95"/>
    </row>
    <row r="455" spans="1:53" s="87" customFormat="1">
      <c r="A455" s="90" t="str">
        <f t="shared" si="32"/>
        <v/>
      </c>
      <c r="B455" s="98">
        <v>7</v>
      </c>
      <c r="C455" s="94">
        <v>-1</v>
      </c>
      <c r="D455" s="94" t="s">
        <v>210</v>
      </c>
      <c r="E455" s="94" t="s">
        <v>210</v>
      </c>
      <c r="F455" s="94">
        <v>-3</v>
      </c>
      <c r="G455" s="94" t="s">
        <v>202</v>
      </c>
      <c r="H455" s="94" t="s">
        <v>202</v>
      </c>
      <c r="I455" s="94" t="s">
        <v>210</v>
      </c>
      <c r="J455" s="94">
        <v>1</v>
      </c>
      <c r="K455" s="94">
        <v>-2</v>
      </c>
      <c r="L455" s="94" t="s">
        <v>210</v>
      </c>
      <c r="M455" s="94" t="s">
        <v>202</v>
      </c>
      <c r="N455" s="94" t="s">
        <v>202</v>
      </c>
      <c r="O455" s="94">
        <v>1</v>
      </c>
      <c r="P455" s="94" t="s">
        <v>210</v>
      </c>
      <c r="Q455" s="94" t="s">
        <v>210</v>
      </c>
      <c r="R455" s="94">
        <v>3</v>
      </c>
      <c r="S455" s="94" t="s">
        <v>202</v>
      </c>
      <c r="T455" s="94" t="s">
        <v>202</v>
      </c>
      <c r="U455" s="94">
        <v>2</v>
      </c>
      <c r="V455" s="94"/>
      <c r="W455" s="94"/>
      <c r="X455" s="94"/>
      <c r="Y455" s="94"/>
      <c r="Z455" s="94"/>
      <c r="AA455" s="94"/>
      <c r="AB455" s="94"/>
      <c r="AC455" s="94"/>
      <c r="AD455" s="94"/>
      <c r="AE455" s="94"/>
      <c r="AF455" s="94"/>
      <c r="AG455" s="94"/>
      <c r="AH455" s="94"/>
      <c r="AI455" s="94"/>
      <c r="AJ455" s="94"/>
      <c r="AK455" s="94"/>
      <c r="AL455" s="94"/>
      <c r="AM455" s="94"/>
      <c r="AN455" s="94"/>
      <c r="AO455" s="94"/>
      <c r="AP455" s="94"/>
      <c r="AQ455" s="94"/>
      <c r="AR455" s="94"/>
      <c r="AS455" s="94"/>
      <c r="AT455" s="94"/>
      <c r="AU455" s="94"/>
      <c r="AV455" s="94"/>
      <c r="AW455" s="94"/>
      <c r="AX455" s="94"/>
      <c r="AY455" s="94"/>
      <c r="AZ455" s="94"/>
      <c r="BA455" s="95"/>
    </row>
    <row r="456" spans="1:53" s="87" customFormat="1">
      <c r="A456" s="90" t="str">
        <f t="shared" si="32"/>
        <v/>
      </c>
      <c r="B456" s="98">
        <v>8</v>
      </c>
      <c r="C456" s="92">
        <v>3</v>
      </c>
      <c r="D456" s="92" t="s">
        <v>210</v>
      </c>
      <c r="E456" s="92" t="s">
        <v>210</v>
      </c>
      <c r="F456" s="92">
        <v>-1</v>
      </c>
      <c r="G456" s="92" t="s">
        <v>202</v>
      </c>
      <c r="H456" s="92" t="s">
        <v>202</v>
      </c>
      <c r="I456" s="92" t="s">
        <v>210</v>
      </c>
      <c r="J456" s="92">
        <v>2</v>
      </c>
      <c r="K456" s="92">
        <v>1</v>
      </c>
      <c r="L456" s="92" t="s">
        <v>210</v>
      </c>
      <c r="M456" s="92" t="s">
        <v>202</v>
      </c>
      <c r="N456" s="92" t="s">
        <v>202</v>
      </c>
      <c r="O456" s="92">
        <v>-3</v>
      </c>
      <c r="P456" s="92" t="s">
        <v>210</v>
      </c>
      <c r="Q456" s="92" t="s">
        <v>210</v>
      </c>
      <c r="R456" s="92">
        <v>-1</v>
      </c>
      <c r="S456" s="92" t="s">
        <v>202</v>
      </c>
      <c r="T456" s="92" t="s">
        <v>202</v>
      </c>
      <c r="U456" s="92">
        <v>-2</v>
      </c>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5"/>
    </row>
    <row r="457" spans="1:53" s="87" customFormat="1">
      <c r="A457" s="90" t="str">
        <f t="shared" si="32"/>
        <v/>
      </c>
      <c r="B457" s="98">
        <v>9</v>
      </c>
      <c r="C457" s="94" t="s">
        <v>210</v>
      </c>
      <c r="D457" s="94">
        <v>2</v>
      </c>
      <c r="E457" s="94">
        <v>3</v>
      </c>
      <c r="F457" s="94" t="s">
        <v>210</v>
      </c>
      <c r="G457" s="94" t="s">
        <v>202</v>
      </c>
      <c r="H457" s="94" t="s">
        <v>202</v>
      </c>
      <c r="I457" s="94">
        <v>-2</v>
      </c>
      <c r="J457" s="94" t="s">
        <v>210</v>
      </c>
      <c r="K457" s="94" t="s">
        <v>210</v>
      </c>
      <c r="L457" s="94">
        <v>1</v>
      </c>
      <c r="M457" s="94" t="s">
        <v>202</v>
      </c>
      <c r="N457" s="94" t="s">
        <v>202</v>
      </c>
      <c r="O457" s="94" t="s">
        <v>210</v>
      </c>
      <c r="P457" s="94">
        <v>-2</v>
      </c>
      <c r="Q457" s="94">
        <v>-3</v>
      </c>
      <c r="R457" s="94" t="s">
        <v>210</v>
      </c>
      <c r="S457" s="94" t="s">
        <v>202</v>
      </c>
      <c r="T457" s="94" t="s">
        <v>202</v>
      </c>
      <c r="U457" s="94">
        <v>-1</v>
      </c>
      <c r="V457" s="94"/>
      <c r="W457" s="94"/>
      <c r="X457" s="94"/>
      <c r="Y457" s="94"/>
      <c r="Z457" s="94"/>
      <c r="AA457" s="94"/>
      <c r="AB457" s="94"/>
      <c r="AC457" s="94"/>
      <c r="AD457" s="94"/>
      <c r="AE457" s="94"/>
      <c r="AF457" s="94"/>
      <c r="AG457" s="94"/>
      <c r="AH457" s="94"/>
      <c r="AI457" s="94"/>
      <c r="AJ457" s="94"/>
      <c r="AK457" s="94"/>
      <c r="AL457" s="94"/>
      <c r="AM457" s="94"/>
      <c r="AN457" s="94"/>
      <c r="AO457" s="94"/>
      <c r="AP457" s="94"/>
      <c r="AQ457" s="94"/>
      <c r="AR457" s="94"/>
      <c r="AS457" s="94"/>
      <c r="AT457" s="94"/>
      <c r="AU457" s="94"/>
      <c r="AV457" s="94"/>
      <c r="AW457" s="94"/>
      <c r="AX457" s="94"/>
      <c r="AY457" s="94"/>
      <c r="AZ457" s="94"/>
      <c r="BA457" s="95"/>
    </row>
    <row r="458" spans="1:53" s="87" customFormat="1">
      <c r="A458" s="90" t="str">
        <f t="shared" si="32"/>
        <v/>
      </c>
      <c r="B458" s="98">
        <v>10</v>
      </c>
      <c r="C458" s="94" t="s">
        <v>210</v>
      </c>
      <c r="D458" s="94">
        <v>-3</v>
      </c>
      <c r="E458" s="94">
        <v>2</v>
      </c>
      <c r="F458" s="94" t="s">
        <v>210</v>
      </c>
      <c r="G458" s="94" t="s">
        <v>202</v>
      </c>
      <c r="H458" s="94" t="s">
        <v>202</v>
      </c>
      <c r="I458" s="94">
        <v>-1</v>
      </c>
      <c r="J458" s="94" t="s">
        <v>210</v>
      </c>
      <c r="K458" s="94" t="s">
        <v>210</v>
      </c>
      <c r="L458" s="94">
        <v>-2</v>
      </c>
      <c r="M458" s="94" t="s">
        <v>202</v>
      </c>
      <c r="N458" s="94" t="s">
        <v>202</v>
      </c>
      <c r="O458" s="94" t="s">
        <v>210</v>
      </c>
      <c r="P458" s="94">
        <v>3</v>
      </c>
      <c r="Q458" s="94">
        <v>2</v>
      </c>
      <c r="R458" s="94" t="s">
        <v>210</v>
      </c>
      <c r="S458" s="94" t="s">
        <v>202</v>
      </c>
      <c r="T458" s="94" t="s">
        <v>202</v>
      </c>
      <c r="U458" s="94">
        <v>1</v>
      </c>
      <c r="V458" s="94"/>
      <c r="W458" s="94"/>
      <c r="X458" s="94"/>
      <c r="Y458" s="94"/>
      <c r="Z458" s="94"/>
      <c r="AA458" s="94"/>
      <c r="AB458" s="94"/>
      <c r="AC458" s="94"/>
      <c r="AD458" s="94"/>
      <c r="AE458" s="94"/>
      <c r="AF458" s="94"/>
      <c r="AG458" s="94"/>
      <c r="AH458" s="94"/>
      <c r="AI458" s="94"/>
      <c r="AJ458" s="94"/>
      <c r="AK458" s="94"/>
      <c r="AL458" s="94"/>
      <c r="AM458" s="94"/>
      <c r="AN458" s="94"/>
      <c r="AO458" s="94"/>
      <c r="AP458" s="94"/>
      <c r="AQ458" s="94"/>
      <c r="AR458" s="94"/>
      <c r="AS458" s="94"/>
      <c r="AT458" s="94"/>
      <c r="AU458" s="94"/>
      <c r="AV458" s="94"/>
      <c r="AW458" s="94"/>
      <c r="AX458" s="94"/>
      <c r="AY458" s="94"/>
      <c r="AZ458" s="94"/>
      <c r="BA458" s="95"/>
    </row>
    <row r="459" spans="1:53" s="87" customFormat="1">
      <c r="A459" s="90" t="str">
        <f t="shared" si="32"/>
        <v/>
      </c>
      <c r="B459" s="98">
        <v>11</v>
      </c>
      <c r="C459" s="94" t="s">
        <v>210</v>
      </c>
      <c r="D459" s="94">
        <v>-2</v>
      </c>
      <c r="E459" s="94" t="s">
        <v>202</v>
      </c>
      <c r="F459" s="94" t="s">
        <v>202</v>
      </c>
      <c r="G459" s="94" t="s">
        <v>210</v>
      </c>
      <c r="H459" s="94">
        <v>1</v>
      </c>
      <c r="I459" s="94">
        <v>3</v>
      </c>
      <c r="J459" s="94" t="s">
        <v>210</v>
      </c>
      <c r="K459" s="94" t="s">
        <v>210</v>
      </c>
      <c r="L459" s="94">
        <v>2</v>
      </c>
      <c r="M459" s="94">
        <v>-3</v>
      </c>
      <c r="N459" s="94" t="s">
        <v>210</v>
      </c>
      <c r="O459" s="94" t="s">
        <v>202</v>
      </c>
      <c r="P459" s="94" t="s">
        <v>202</v>
      </c>
      <c r="Q459" s="94">
        <v>-1</v>
      </c>
      <c r="R459" s="94" t="s">
        <v>210</v>
      </c>
      <c r="S459" s="94" t="s">
        <v>202</v>
      </c>
      <c r="T459" s="94" t="s">
        <v>202</v>
      </c>
      <c r="U459" s="94">
        <v>3</v>
      </c>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c r="AW459" s="94"/>
      <c r="AX459" s="94"/>
      <c r="AY459" s="94"/>
      <c r="AZ459" s="94"/>
      <c r="BA459" s="95"/>
    </row>
    <row r="460" spans="1:53" s="87" customFormat="1">
      <c r="A460" s="90" t="str">
        <f t="shared" ref="A460:A523" si="33">IF(MID(B460,3,2)="03",ROW(),"")</f>
        <v/>
      </c>
      <c r="B460" s="98">
        <v>12</v>
      </c>
      <c r="C460" s="94" t="s">
        <v>210</v>
      </c>
      <c r="D460" s="94">
        <v>1</v>
      </c>
      <c r="E460" s="94" t="s">
        <v>202</v>
      </c>
      <c r="F460" s="94" t="s">
        <v>202</v>
      </c>
      <c r="G460" s="94" t="s">
        <v>210</v>
      </c>
      <c r="H460" s="94">
        <v>-3</v>
      </c>
      <c r="I460" s="94">
        <v>2</v>
      </c>
      <c r="J460" s="94" t="s">
        <v>210</v>
      </c>
      <c r="K460" s="94" t="s">
        <v>210</v>
      </c>
      <c r="L460" s="94">
        <v>3</v>
      </c>
      <c r="M460" s="94">
        <v>-1</v>
      </c>
      <c r="N460" s="94" t="s">
        <v>210</v>
      </c>
      <c r="O460" s="94" t="s">
        <v>202</v>
      </c>
      <c r="P460" s="94" t="s">
        <v>202</v>
      </c>
      <c r="Q460" s="94">
        <v>-2</v>
      </c>
      <c r="R460" s="94" t="s">
        <v>210</v>
      </c>
      <c r="S460" s="94" t="s">
        <v>202</v>
      </c>
      <c r="T460" s="94" t="s">
        <v>202</v>
      </c>
      <c r="U460" s="94">
        <v>-3</v>
      </c>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5"/>
    </row>
    <row r="461" spans="1:53" s="87" customFormat="1">
      <c r="A461" s="90" t="str">
        <f t="shared" si="33"/>
        <v/>
      </c>
      <c r="B461" s="98">
        <v>13</v>
      </c>
      <c r="C461" s="94" t="s">
        <v>210</v>
      </c>
      <c r="D461" s="94">
        <v>-1</v>
      </c>
      <c r="E461" s="94">
        <v>-3</v>
      </c>
      <c r="F461" s="94" t="s">
        <v>210</v>
      </c>
      <c r="G461" s="94" t="s">
        <v>210</v>
      </c>
      <c r="H461" s="94">
        <v>2</v>
      </c>
      <c r="I461" s="94">
        <v>1</v>
      </c>
      <c r="J461" s="94" t="s">
        <v>210</v>
      </c>
      <c r="K461" s="94" t="s">
        <v>202</v>
      </c>
      <c r="L461" s="94" t="s">
        <v>202</v>
      </c>
      <c r="M461" s="94">
        <v>3</v>
      </c>
      <c r="N461" s="94" t="s">
        <v>210</v>
      </c>
      <c r="O461" s="94" t="s">
        <v>210</v>
      </c>
      <c r="P461" s="94">
        <v>-1</v>
      </c>
      <c r="Q461" s="94" t="s">
        <v>202</v>
      </c>
      <c r="R461" s="94" t="s">
        <v>202</v>
      </c>
      <c r="S461" s="94" t="s">
        <v>210</v>
      </c>
      <c r="T461" s="94">
        <v>-2</v>
      </c>
      <c r="U461" s="94" t="s">
        <v>210</v>
      </c>
      <c r="V461" s="94"/>
      <c r="W461" s="94"/>
      <c r="X461" s="94"/>
      <c r="Y461" s="94"/>
      <c r="Z461" s="94"/>
      <c r="AA461" s="94"/>
      <c r="AB461" s="94"/>
      <c r="AC461" s="94"/>
      <c r="AD461" s="94"/>
      <c r="AE461" s="94"/>
      <c r="AF461" s="94"/>
      <c r="AG461" s="94"/>
      <c r="AH461" s="94"/>
      <c r="AI461" s="94"/>
      <c r="AJ461" s="94"/>
      <c r="AK461" s="94"/>
      <c r="AL461" s="94"/>
      <c r="AM461" s="94"/>
      <c r="AN461" s="94"/>
      <c r="AO461" s="94"/>
      <c r="AP461" s="94"/>
      <c r="AQ461" s="94"/>
      <c r="AR461" s="94"/>
      <c r="AS461" s="94"/>
      <c r="AT461" s="94"/>
      <c r="AU461" s="94"/>
      <c r="AV461" s="94"/>
      <c r="AW461" s="94"/>
      <c r="AX461" s="94"/>
      <c r="AY461" s="94"/>
      <c r="AZ461" s="94"/>
      <c r="BA461" s="95"/>
    </row>
    <row r="462" spans="1:53" s="87" customFormat="1">
      <c r="A462" s="90" t="str">
        <f t="shared" si="33"/>
        <v/>
      </c>
      <c r="B462" s="98">
        <v>14</v>
      </c>
      <c r="C462" s="94" t="s">
        <v>202</v>
      </c>
      <c r="D462" s="94" t="s">
        <v>202</v>
      </c>
      <c r="E462" s="94">
        <v>1</v>
      </c>
      <c r="F462" s="94" t="s">
        <v>210</v>
      </c>
      <c r="G462" s="94" t="s">
        <v>210</v>
      </c>
      <c r="H462" s="94">
        <v>3</v>
      </c>
      <c r="I462" s="94" t="s">
        <v>202</v>
      </c>
      <c r="J462" s="94" t="s">
        <v>202</v>
      </c>
      <c r="K462" s="94" t="s">
        <v>210</v>
      </c>
      <c r="L462" s="94">
        <v>-1</v>
      </c>
      <c r="M462" s="94">
        <v>-2</v>
      </c>
      <c r="N462" s="94" t="s">
        <v>210</v>
      </c>
      <c r="O462" s="94" t="s">
        <v>210</v>
      </c>
      <c r="P462" s="94">
        <v>-3</v>
      </c>
      <c r="Q462" s="94">
        <v>1</v>
      </c>
      <c r="R462" s="94" t="s">
        <v>210</v>
      </c>
      <c r="S462" s="94" t="s">
        <v>210</v>
      </c>
      <c r="T462" s="94">
        <v>2</v>
      </c>
      <c r="U462" s="94" t="s">
        <v>210</v>
      </c>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5"/>
    </row>
    <row r="463" spans="1:53" s="87" customFormat="1">
      <c r="A463" s="90" t="str">
        <f t="shared" si="33"/>
        <v/>
      </c>
      <c r="B463" s="98">
        <v>15</v>
      </c>
      <c r="C463" s="94" t="s">
        <v>210</v>
      </c>
      <c r="D463" s="94">
        <v>3</v>
      </c>
      <c r="E463" s="94">
        <v>-1</v>
      </c>
      <c r="F463" s="94" t="s">
        <v>210</v>
      </c>
      <c r="G463" s="94" t="s">
        <v>210</v>
      </c>
      <c r="H463" s="94">
        <v>-2</v>
      </c>
      <c r="I463" s="94">
        <v>-3</v>
      </c>
      <c r="J463" s="94" t="s">
        <v>210</v>
      </c>
      <c r="K463" s="94" t="s">
        <v>202</v>
      </c>
      <c r="L463" s="94" t="s">
        <v>202</v>
      </c>
      <c r="M463" s="94">
        <v>1</v>
      </c>
      <c r="N463" s="94" t="s">
        <v>210</v>
      </c>
      <c r="O463" s="94" t="s">
        <v>210</v>
      </c>
      <c r="P463" s="94">
        <v>2</v>
      </c>
      <c r="Q463" s="94" t="s">
        <v>202</v>
      </c>
      <c r="R463" s="94" t="s">
        <v>202</v>
      </c>
      <c r="S463" s="94" t="s">
        <v>210</v>
      </c>
      <c r="T463" s="94">
        <v>1</v>
      </c>
      <c r="U463" s="94" t="s">
        <v>210</v>
      </c>
      <c r="V463" s="94"/>
      <c r="W463" s="94"/>
      <c r="X463" s="94"/>
      <c r="Y463" s="94"/>
      <c r="Z463" s="94"/>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c r="AW463" s="94"/>
      <c r="AX463" s="94"/>
      <c r="AY463" s="94"/>
      <c r="AZ463" s="94"/>
      <c r="BA463" s="95"/>
    </row>
    <row r="464" spans="1:53" s="87" customFormat="1">
      <c r="A464" s="90" t="str">
        <f t="shared" si="33"/>
        <v/>
      </c>
      <c r="B464" s="98">
        <v>16</v>
      </c>
      <c r="C464" s="94" t="s">
        <v>202</v>
      </c>
      <c r="D464" s="94" t="s">
        <v>202</v>
      </c>
      <c r="E464" s="94">
        <v>-2</v>
      </c>
      <c r="F464" s="94" t="s">
        <v>210</v>
      </c>
      <c r="G464" s="94" t="s">
        <v>210</v>
      </c>
      <c r="H464" s="94">
        <v>-1</v>
      </c>
      <c r="I464" s="94" t="s">
        <v>202</v>
      </c>
      <c r="J464" s="94" t="s">
        <v>202</v>
      </c>
      <c r="K464" s="94" t="s">
        <v>210</v>
      </c>
      <c r="L464" s="94">
        <v>-3</v>
      </c>
      <c r="M464" s="94">
        <v>2</v>
      </c>
      <c r="N464" s="94" t="s">
        <v>210</v>
      </c>
      <c r="O464" s="94" t="s">
        <v>210</v>
      </c>
      <c r="P464" s="94">
        <v>1</v>
      </c>
      <c r="Q464" s="94">
        <v>3</v>
      </c>
      <c r="R464" s="94" t="s">
        <v>210</v>
      </c>
      <c r="S464" s="94" t="s">
        <v>210</v>
      </c>
      <c r="T464" s="94">
        <v>-1</v>
      </c>
      <c r="U464" s="94" t="s">
        <v>210</v>
      </c>
      <c r="V464" s="94"/>
      <c r="W464" s="94"/>
      <c r="X464" s="94"/>
      <c r="Y464" s="94"/>
      <c r="Z464" s="94"/>
      <c r="AA464" s="94"/>
      <c r="AB464" s="94"/>
      <c r="AC464" s="94"/>
      <c r="AD464" s="94"/>
      <c r="AE464" s="94"/>
      <c r="AF464" s="94"/>
      <c r="AG464" s="94"/>
      <c r="AH464" s="94"/>
      <c r="AI464" s="94"/>
      <c r="AJ464" s="94"/>
      <c r="AK464" s="94"/>
      <c r="AL464" s="94"/>
      <c r="AM464" s="94"/>
      <c r="AN464" s="94"/>
      <c r="AO464" s="94"/>
      <c r="AP464" s="94"/>
      <c r="AQ464" s="94"/>
      <c r="AR464" s="94"/>
      <c r="AS464" s="94"/>
      <c r="AT464" s="94"/>
      <c r="AU464" s="94"/>
      <c r="AV464" s="94"/>
      <c r="AW464" s="94"/>
      <c r="AX464" s="94"/>
      <c r="AY464" s="94"/>
      <c r="AZ464" s="94"/>
      <c r="BA464" s="95"/>
    </row>
    <row r="465" spans="1:53" s="87" customFormat="1">
      <c r="A465" s="90" t="str">
        <f t="shared" si="33"/>
        <v/>
      </c>
      <c r="B465" s="317" t="s">
        <v>1105</v>
      </c>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5"/>
    </row>
    <row r="466" spans="1:53" s="87" customFormat="1">
      <c r="A466" s="90">
        <f t="shared" si="33"/>
        <v>466</v>
      </c>
      <c r="B466" s="317" t="s">
        <v>1110</v>
      </c>
      <c r="C466" s="94"/>
      <c r="D466" s="94"/>
      <c r="E466" s="94"/>
      <c r="F466" s="94"/>
      <c r="G466" s="94"/>
      <c r="H466" s="94"/>
      <c r="I466" s="94"/>
      <c r="J466" s="94"/>
      <c r="K466" s="94"/>
      <c r="L466" s="94"/>
      <c r="M466" s="94"/>
      <c r="N466" s="94"/>
      <c r="O466" s="94"/>
      <c r="P466" s="94"/>
      <c r="Q466" s="94"/>
      <c r="R466" s="94"/>
      <c r="S466" s="94"/>
      <c r="T466" s="94"/>
      <c r="U466" s="94"/>
      <c r="V466" s="94"/>
      <c r="W466" s="94"/>
      <c r="X466" s="94"/>
      <c r="Y466" s="94"/>
      <c r="Z466" s="94"/>
      <c r="AA466" s="94"/>
      <c r="AB466" s="94"/>
      <c r="AC466" s="94"/>
      <c r="AD466" s="94"/>
      <c r="AE466" s="94"/>
      <c r="AF466" s="94"/>
      <c r="AG466" s="94"/>
      <c r="AH466" s="94"/>
      <c r="AI466" s="94"/>
      <c r="AJ466" s="94"/>
      <c r="AK466" s="94"/>
      <c r="AL466" s="94"/>
      <c r="AM466" s="94"/>
      <c r="AN466" s="94"/>
      <c r="AO466" s="94"/>
      <c r="AP466" s="94"/>
      <c r="AQ466" s="94"/>
      <c r="AR466" s="94"/>
      <c r="AS466" s="94"/>
      <c r="AT466" s="94"/>
      <c r="AU466" s="94"/>
      <c r="AV466" s="94"/>
      <c r="AW466" s="94"/>
      <c r="AX466" s="94"/>
      <c r="AY466" s="94"/>
      <c r="AZ466" s="94"/>
      <c r="BA466" s="95"/>
    </row>
    <row r="467" spans="1:53" s="87" customFormat="1">
      <c r="A467" s="90" t="str">
        <f t="shared" si="33"/>
        <v/>
      </c>
      <c r="B467" s="98">
        <v>1</v>
      </c>
      <c r="C467" s="94" t="s">
        <v>202</v>
      </c>
      <c r="D467" s="94" t="s">
        <v>202</v>
      </c>
      <c r="E467" s="94" t="s">
        <v>210</v>
      </c>
      <c r="F467" s="94">
        <v>2</v>
      </c>
      <c r="G467" s="94">
        <v>-3</v>
      </c>
      <c r="H467" s="94" t="s">
        <v>210</v>
      </c>
      <c r="I467" s="94" t="s">
        <v>202</v>
      </c>
      <c r="J467" s="94" t="s">
        <v>202</v>
      </c>
      <c r="K467" s="94">
        <v>1</v>
      </c>
      <c r="L467" s="94" t="s">
        <v>210</v>
      </c>
      <c r="M467" s="94" t="s">
        <v>210</v>
      </c>
      <c r="N467" s="94">
        <v>-2</v>
      </c>
      <c r="O467" s="94" t="s">
        <v>202</v>
      </c>
      <c r="P467" s="94" t="s">
        <v>202</v>
      </c>
      <c r="Q467" s="94" t="s">
        <v>210</v>
      </c>
      <c r="R467" s="94">
        <v>-1</v>
      </c>
      <c r="S467" s="94" t="s">
        <v>210</v>
      </c>
      <c r="T467" s="94">
        <v>3</v>
      </c>
      <c r="U467" s="94" t="s">
        <v>202</v>
      </c>
      <c r="V467" s="94" t="s">
        <v>202</v>
      </c>
      <c r="W467" s="94">
        <v>1</v>
      </c>
      <c r="X467" s="94" t="s">
        <v>210</v>
      </c>
      <c r="Y467" s="94">
        <v>-2</v>
      </c>
      <c r="Z467" s="94"/>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5"/>
    </row>
    <row r="468" spans="1:53" s="87" customFormat="1">
      <c r="A468" s="90" t="str">
        <f t="shared" si="33"/>
        <v/>
      </c>
      <c r="B468" s="98">
        <v>2</v>
      </c>
      <c r="C468" s="94" t="s">
        <v>202</v>
      </c>
      <c r="D468" s="94" t="s">
        <v>202</v>
      </c>
      <c r="E468" s="94" t="s">
        <v>210</v>
      </c>
      <c r="F468" s="94">
        <v>-1</v>
      </c>
      <c r="G468" s="94">
        <v>2</v>
      </c>
      <c r="H468" s="94" t="s">
        <v>210</v>
      </c>
      <c r="I468" s="94" t="s">
        <v>202</v>
      </c>
      <c r="J468" s="94" t="s">
        <v>202</v>
      </c>
      <c r="K468" s="94">
        <v>-3</v>
      </c>
      <c r="L468" s="94" t="s">
        <v>210</v>
      </c>
      <c r="M468" s="94" t="s">
        <v>210</v>
      </c>
      <c r="N468" s="94">
        <v>1</v>
      </c>
      <c r="O468" s="94" t="s">
        <v>202</v>
      </c>
      <c r="P468" s="94" t="s">
        <v>202</v>
      </c>
      <c r="Q468" s="94" t="s">
        <v>210</v>
      </c>
      <c r="R468" s="94">
        <v>3</v>
      </c>
      <c r="S468" s="94" t="s">
        <v>210</v>
      </c>
      <c r="T468" s="94">
        <v>-2</v>
      </c>
      <c r="U468" s="94" t="s">
        <v>202</v>
      </c>
      <c r="V468" s="94" t="s">
        <v>202</v>
      </c>
      <c r="W468" s="94">
        <v>-3</v>
      </c>
      <c r="X468" s="94" t="s">
        <v>210</v>
      </c>
      <c r="Y468" s="94">
        <v>2</v>
      </c>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5"/>
    </row>
    <row r="469" spans="1:53" s="87" customFormat="1">
      <c r="A469" s="90" t="str">
        <f t="shared" si="33"/>
        <v/>
      </c>
      <c r="B469" s="98">
        <v>3</v>
      </c>
      <c r="C469" s="94">
        <v>2</v>
      </c>
      <c r="D469" s="94" t="s">
        <v>210</v>
      </c>
      <c r="E469" s="94" t="s">
        <v>202</v>
      </c>
      <c r="F469" s="94" t="s">
        <v>202</v>
      </c>
      <c r="G469" s="94">
        <v>-1</v>
      </c>
      <c r="H469" s="94" t="s">
        <v>210</v>
      </c>
      <c r="I469" s="94" t="s">
        <v>210</v>
      </c>
      <c r="J469" s="94">
        <v>3</v>
      </c>
      <c r="K469" s="94" t="s">
        <v>202</v>
      </c>
      <c r="L469" s="94" t="s">
        <v>202</v>
      </c>
      <c r="M469" s="94" t="s">
        <v>210</v>
      </c>
      <c r="N469" s="94">
        <v>-1</v>
      </c>
      <c r="O469" s="94">
        <v>2</v>
      </c>
      <c r="P469" s="94" t="s">
        <v>210</v>
      </c>
      <c r="Q469" s="94" t="s">
        <v>202</v>
      </c>
      <c r="R469" s="94" t="s">
        <v>202</v>
      </c>
      <c r="S469" s="94" t="s">
        <v>210</v>
      </c>
      <c r="T469" s="94">
        <v>-3</v>
      </c>
      <c r="U469" s="94" t="s">
        <v>210</v>
      </c>
      <c r="V469" s="94">
        <v>-2</v>
      </c>
      <c r="W469" s="94" t="s">
        <v>202</v>
      </c>
      <c r="X469" s="94" t="s">
        <v>202</v>
      </c>
      <c r="Y469" s="94">
        <v>1</v>
      </c>
      <c r="Z469" s="94"/>
      <c r="AA469" s="94"/>
      <c r="AB469" s="94"/>
      <c r="AC469" s="94"/>
      <c r="AD469" s="94"/>
      <c r="AE469" s="94"/>
      <c r="AF469" s="94"/>
      <c r="AG469" s="94"/>
      <c r="AH469" s="94"/>
      <c r="AI469" s="94"/>
      <c r="AJ469" s="94"/>
      <c r="AK469" s="94"/>
      <c r="AL469" s="94"/>
      <c r="AM469" s="94"/>
      <c r="AN469" s="94"/>
      <c r="AO469" s="94"/>
      <c r="AP469" s="94"/>
      <c r="AQ469" s="94"/>
      <c r="AR469" s="94"/>
      <c r="AS469" s="94"/>
      <c r="AT469" s="94"/>
      <c r="AU469" s="94"/>
      <c r="AV469" s="94"/>
      <c r="AW469" s="94"/>
      <c r="AX469" s="94"/>
      <c r="AY469" s="94"/>
      <c r="AZ469" s="94"/>
      <c r="BA469" s="95"/>
    </row>
    <row r="470" spans="1:53" s="87" customFormat="1">
      <c r="A470" s="90" t="str">
        <f t="shared" si="33"/>
        <v/>
      </c>
      <c r="B470" s="98">
        <v>4</v>
      </c>
      <c r="C470" s="94" t="s">
        <v>202</v>
      </c>
      <c r="D470" s="94" t="s">
        <v>202</v>
      </c>
      <c r="E470" s="94" t="s">
        <v>210</v>
      </c>
      <c r="F470" s="94">
        <v>1</v>
      </c>
      <c r="G470" s="94">
        <v>3</v>
      </c>
      <c r="H470" s="94" t="s">
        <v>210</v>
      </c>
      <c r="I470" s="94" t="s">
        <v>202</v>
      </c>
      <c r="J470" s="94" t="s">
        <v>202</v>
      </c>
      <c r="K470" s="94">
        <v>-2</v>
      </c>
      <c r="L470" s="94" t="s">
        <v>210</v>
      </c>
      <c r="M470" s="94" t="s">
        <v>210</v>
      </c>
      <c r="N470" s="94">
        <v>-3</v>
      </c>
      <c r="O470" s="94" t="s">
        <v>202</v>
      </c>
      <c r="P470" s="94" t="s">
        <v>202</v>
      </c>
      <c r="Q470" s="94" t="s">
        <v>210</v>
      </c>
      <c r="R470" s="94">
        <v>2</v>
      </c>
      <c r="S470" s="94">
        <v>1</v>
      </c>
      <c r="T470" s="94" t="s">
        <v>210</v>
      </c>
      <c r="U470" s="94" t="s">
        <v>202</v>
      </c>
      <c r="V470" s="94" t="s">
        <v>202</v>
      </c>
      <c r="W470" s="94">
        <v>-2</v>
      </c>
      <c r="X470" s="94" t="s">
        <v>210</v>
      </c>
      <c r="Y470" s="94">
        <v>-1</v>
      </c>
      <c r="Z470" s="94"/>
      <c r="AA470" s="94"/>
      <c r="AB470" s="94"/>
      <c r="AC470" s="94"/>
      <c r="AD470" s="94"/>
      <c r="AE470" s="94"/>
      <c r="AF470" s="94"/>
      <c r="AG470" s="94"/>
      <c r="AH470" s="94"/>
      <c r="AI470" s="94"/>
      <c r="AJ470" s="94"/>
      <c r="AK470" s="94"/>
      <c r="AL470" s="94"/>
      <c r="AM470" s="94"/>
      <c r="AN470" s="94"/>
      <c r="AO470" s="94"/>
      <c r="AP470" s="94"/>
      <c r="AQ470" s="94"/>
      <c r="AR470" s="94"/>
      <c r="AS470" s="94"/>
      <c r="AT470" s="94"/>
      <c r="AU470" s="94"/>
      <c r="AV470" s="94"/>
      <c r="AW470" s="94"/>
      <c r="AX470" s="94"/>
      <c r="AY470" s="94"/>
      <c r="AZ470" s="94"/>
      <c r="BA470" s="95"/>
    </row>
    <row r="471" spans="1:53" s="87" customFormat="1">
      <c r="A471" s="90" t="str">
        <f t="shared" si="33"/>
        <v/>
      </c>
      <c r="B471" s="98">
        <v>5</v>
      </c>
      <c r="C471" s="94">
        <v>1</v>
      </c>
      <c r="D471" s="94" t="s">
        <v>210</v>
      </c>
      <c r="E471" s="94" t="s">
        <v>210</v>
      </c>
      <c r="F471" s="94">
        <v>-2</v>
      </c>
      <c r="G471" s="94" t="s">
        <v>202</v>
      </c>
      <c r="H471" s="94" t="s">
        <v>202</v>
      </c>
      <c r="I471" s="94" t="s">
        <v>210</v>
      </c>
      <c r="J471" s="94">
        <v>-3</v>
      </c>
      <c r="K471" s="94">
        <v>2</v>
      </c>
      <c r="L471" s="94" t="s">
        <v>210</v>
      </c>
      <c r="M471" s="94" t="s">
        <v>202</v>
      </c>
      <c r="N471" s="94" t="s">
        <v>202</v>
      </c>
      <c r="O471" s="94">
        <v>1</v>
      </c>
      <c r="P471" s="94" t="s">
        <v>210</v>
      </c>
      <c r="Q471" s="94" t="s">
        <v>210</v>
      </c>
      <c r="R471" s="94">
        <v>-3</v>
      </c>
      <c r="S471" s="94" t="s">
        <v>202</v>
      </c>
      <c r="T471" s="94" t="s">
        <v>202</v>
      </c>
      <c r="U471" s="94" t="s">
        <v>210</v>
      </c>
      <c r="V471" s="94">
        <v>-1</v>
      </c>
      <c r="W471" s="94" t="s">
        <v>202</v>
      </c>
      <c r="X471" s="94" t="s">
        <v>202</v>
      </c>
      <c r="Y471" s="94">
        <v>3</v>
      </c>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5"/>
    </row>
    <row r="472" spans="1:53" s="87" customFormat="1">
      <c r="A472" s="90" t="str">
        <f t="shared" si="33"/>
        <v/>
      </c>
      <c r="B472" s="98">
        <v>6</v>
      </c>
      <c r="C472" s="92">
        <v>3</v>
      </c>
      <c r="D472" s="92" t="s">
        <v>210</v>
      </c>
      <c r="E472" s="92" t="s">
        <v>202</v>
      </c>
      <c r="F472" s="92" t="s">
        <v>202</v>
      </c>
      <c r="G472" s="92">
        <v>-2</v>
      </c>
      <c r="H472" s="92" t="s">
        <v>210</v>
      </c>
      <c r="I472" s="92" t="s">
        <v>210</v>
      </c>
      <c r="J472" s="92">
        <v>1</v>
      </c>
      <c r="K472" s="92" t="s">
        <v>202</v>
      </c>
      <c r="L472" s="92" t="s">
        <v>202</v>
      </c>
      <c r="M472" s="92" t="s">
        <v>210</v>
      </c>
      <c r="N472" s="92">
        <v>2</v>
      </c>
      <c r="O472" s="92">
        <v>-3</v>
      </c>
      <c r="P472" s="92" t="s">
        <v>210</v>
      </c>
      <c r="Q472" s="92" t="s">
        <v>202</v>
      </c>
      <c r="R472" s="92" t="s">
        <v>202</v>
      </c>
      <c r="S472" s="92">
        <v>-1</v>
      </c>
      <c r="T472" s="92" t="s">
        <v>210</v>
      </c>
      <c r="U472" s="92" t="s">
        <v>210</v>
      </c>
      <c r="V472" s="92">
        <v>2</v>
      </c>
      <c r="W472" s="92" t="s">
        <v>202</v>
      </c>
      <c r="X472" s="92" t="s">
        <v>202</v>
      </c>
      <c r="Y472" s="92">
        <v>-3</v>
      </c>
      <c r="Z472" s="94"/>
      <c r="AA472" s="94"/>
      <c r="AB472" s="94"/>
      <c r="AC472" s="94"/>
      <c r="AD472" s="94"/>
      <c r="AE472" s="94"/>
      <c r="AF472" s="94"/>
      <c r="AG472" s="94"/>
      <c r="AH472" s="94"/>
      <c r="AI472" s="94"/>
      <c r="AJ472" s="94"/>
      <c r="AK472" s="94"/>
      <c r="AL472" s="94"/>
      <c r="AM472" s="94"/>
      <c r="AN472" s="94"/>
      <c r="AO472" s="94"/>
      <c r="AP472" s="94"/>
      <c r="AQ472" s="94"/>
      <c r="AR472" s="94"/>
      <c r="AS472" s="94"/>
      <c r="AT472" s="94"/>
      <c r="AU472" s="94"/>
      <c r="AV472" s="94"/>
      <c r="AW472" s="94"/>
      <c r="AX472" s="94"/>
      <c r="AY472" s="94"/>
      <c r="AZ472" s="94"/>
      <c r="BA472" s="95"/>
    </row>
    <row r="473" spans="1:53" s="87" customFormat="1">
      <c r="A473" s="90" t="str">
        <f t="shared" si="33"/>
        <v/>
      </c>
      <c r="B473" s="98">
        <v>7</v>
      </c>
      <c r="C473" s="94">
        <v>-3</v>
      </c>
      <c r="D473" s="94" t="s">
        <v>210</v>
      </c>
      <c r="E473" s="94" t="s">
        <v>202</v>
      </c>
      <c r="F473" s="94" t="s">
        <v>202</v>
      </c>
      <c r="G473" s="94">
        <v>1</v>
      </c>
      <c r="H473" s="94" t="s">
        <v>210</v>
      </c>
      <c r="I473" s="94" t="s">
        <v>210</v>
      </c>
      <c r="J473" s="94">
        <v>-2</v>
      </c>
      <c r="K473" s="94" t="s">
        <v>202</v>
      </c>
      <c r="L473" s="94" t="s">
        <v>202</v>
      </c>
      <c r="M473" s="94" t="s">
        <v>210</v>
      </c>
      <c r="N473" s="94">
        <v>3</v>
      </c>
      <c r="O473" s="94">
        <v>-1</v>
      </c>
      <c r="P473" s="94" t="s">
        <v>210</v>
      </c>
      <c r="Q473" s="94" t="s">
        <v>202</v>
      </c>
      <c r="R473" s="94" t="s">
        <v>202</v>
      </c>
      <c r="S473" s="94" t="s">
        <v>210</v>
      </c>
      <c r="T473" s="94">
        <v>2</v>
      </c>
      <c r="U473" s="94" t="s">
        <v>210</v>
      </c>
      <c r="V473" s="94">
        <v>3</v>
      </c>
      <c r="W473" s="94">
        <v>-1</v>
      </c>
      <c r="X473" s="94" t="s">
        <v>210</v>
      </c>
      <c r="Y473" s="94" t="s">
        <v>202</v>
      </c>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5"/>
    </row>
    <row r="474" spans="1:53" s="87" customFormat="1">
      <c r="A474" s="90" t="str">
        <f t="shared" si="33"/>
        <v/>
      </c>
      <c r="B474" s="98">
        <v>8</v>
      </c>
      <c r="C474" s="94">
        <v>-2</v>
      </c>
      <c r="D474" s="94" t="s">
        <v>210</v>
      </c>
      <c r="E474" s="94" t="s">
        <v>210</v>
      </c>
      <c r="F474" s="94">
        <v>-3</v>
      </c>
      <c r="G474" s="94" t="s">
        <v>202</v>
      </c>
      <c r="H474" s="94" t="s">
        <v>202</v>
      </c>
      <c r="I474" s="94" t="s">
        <v>210</v>
      </c>
      <c r="J474" s="94">
        <v>2</v>
      </c>
      <c r="K474" s="94">
        <v>-1</v>
      </c>
      <c r="L474" s="94" t="s">
        <v>210</v>
      </c>
      <c r="M474" s="94" t="s">
        <v>202</v>
      </c>
      <c r="N474" s="94" t="s">
        <v>202</v>
      </c>
      <c r="O474" s="94">
        <v>3</v>
      </c>
      <c r="P474" s="94" t="s">
        <v>210</v>
      </c>
      <c r="Q474" s="94" t="s">
        <v>210</v>
      </c>
      <c r="R474" s="94">
        <v>-2</v>
      </c>
      <c r="S474" s="94" t="s">
        <v>202</v>
      </c>
      <c r="T474" s="94" t="s">
        <v>202</v>
      </c>
      <c r="U474" s="94" t="s">
        <v>210</v>
      </c>
      <c r="V474" s="94">
        <v>1</v>
      </c>
      <c r="W474" s="94">
        <v>3</v>
      </c>
      <c r="X474" s="94" t="s">
        <v>210</v>
      </c>
      <c r="Y474" s="94" t="s">
        <v>202</v>
      </c>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5"/>
    </row>
    <row r="475" spans="1:53" s="87" customFormat="1">
      <c r="A475" s="90" t="str">
        <f t="shared" si="33"/>
        <v/>
      </c>
      <c r="B475" s="98">
        <v>9</v>
      </c>
      <c r="C475" s="94">
        <v>-1</v>
      </c>
      <c r="D475" s="94" t="s">
        <v>210</v>
      </c>
      <c r="E475" s="94" t="s">
        <v>210</v>
      </c>
      <c r="F475" s="94">
        <v>3</v>
      </c>
      <c r="G475" s="94" t="s">
        <v>202</v>
      </c>
      <c r="H475" s="94" t="s">
        <v>202</v>
      </c>
      <c r="I475" s="94" t="s">
        <v>210</v>
      </c>
      <c r="J475" s="94">
        <v>-1</v>
      </c>
      <c r="K475" s="94">
        <v>3</v>
      </c>
      <c r="L475" s="94" t="s">
        <v>210</v>
      </c>
      <c r="M475" s="94" t="s">
        <v>202</v>
      </c>
      <c r="N475" s="94" t="s">
        <v>202</v>
      </c>
      <c r="O475" s="94">
        <v>-2</v>
      </c>
      <c r="P475" s="94" t="s">
        <v>210</v>
      </c>
      <c r="Q475" s="94" t="s">
        <v>210</v>
      </c>
      <c r="R475" s="94">
        <v>1</v>
      </c>
      <c r="S475" s="94" t="s">
        <v>202</v>
      </c>
      <c r="T475" s="94" t="s">
        <v>202</v>
      </c>
      <c r="U475" s="94" t="s">
        <v>210</v>
      </c>
      <c r="V475" s="94">
        <v>-3</v>
      </c>
      <c r="W475" s="94">
        <v>2</v>
      </c>
      <c r="X475" s="94" t="s">
        <v>210</v>
      </c>
      <c r="Y475" s="94" t="s">
        <v>202</v>
      </c>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5"/>
    </row>
    <row r="476" spans="1:53" s="87" customFormat="1">
      <c r="A476" s="90" t="str">
        <f t="shared" si="33"/>
        <v/>
      </c>
      <c r="B476" s="98">
        <v>10</v>
      </c>
      <c r="C476" s="94" t="s">
        <v>210</v>
      </c>
      <c r="D476" s="94">
        <v>2</v>
      </c>
      <c r="E476" s="94">
        <v>3</v>
      </c>
      <c r="F476" s="94" t="s">
        <v>210</v>
      </c>
      <c r="G476" s="94" t="s">
        <v>210</v>
      </c>
      <c r="H476" s="94">
        <v>-1</v>
      </c>
      <c r="I476" s="94">
        <v>-3</v>
      </c>
      <c r="J476" s="94" t="s">
        <v>210</v>
      </c>
      <c r="K476" s="94" t="s">
        <v>202</v>
      </c>
      <c r="L476" s="94" t="s">
        <v>202</v>
      </c>
      <c r="M476" s="94">
        <v>1</v>
      </c>
      <c r="N476" s="94" t="s">
        <v>210</v>
      </c>
      <c r="O476" s="94" t="s">
        <v>210</v>
      </c>
      <c r="P476" s="94">
        <v>2</v>
      </c>
      <c r="Q476" s="94" t="s">
        <v>202</v>
      </c>
      <c r="R476" s="94" t="s">
        <v>202</v>
      </c>
      <c r="S476" s="94">
        <v>-3</v>
      </c>
      <c r="T476" s="94" t="s">
        <v>210</v>
      </c>
      <c r="U476" s="94" t="s">
        <v>202</v>
      </c>
      <c r="V476" s="94" t="s">
        <v>202</v>
      </c>
      <c r="W476" s="94" t="s">
        <v>210</v>
      </c>
      <c r="X476" s="94">
        <v>-2</v>
      </c>
      <c r="Y476" s="94" t="s">
        <v>210</v>
      </c>
      <c r="Z476" s="94"/>
      <c r="AA476" s="94"/>
      <c r="AB476" s="94"/>
      <c r="AC476" s="94"/>
      <c r="AD476" s="94"/>
      <c r="AE476" s="94"/>
      <c r="AF476" s="94"/>
      <c r="AG476" s="94"/>
      <c r="AH476" s="94"/>
      <c r="AI476" s="94"/>
      <c r="AJ476" s="94"/>
      <c r="AK476" s="94"/>
      <c r="AL476" s="94"/>
      <c r="AM476" s="94"/>
      <c r="AN476" s="94"/>
      <c r="AO476" s="94"/>
      <c r="AP476" s="94"/>
      <c r="AQ476" s="94"/>
      <c r="AR476" s="94"/>
      <c r="AS476" s="94"/>
      <c r="AT476" s="94"/>
      <c r="AU476" s="94"/>
      <c r="AV476" s="94"/>
      <c r="AW476" s="94"/>
      <c r="AX476" s="94"/>
      <c r="AY476" s="94"/>
      <c r="AZ476" s="94"/>
      <c r="BA476" s="95"/>
    </row>
    <row r="477" spans="1:53" s="87" customFormat="1">
      <c r="A477" s="90" t="str">
        <f t="shared" si="33"/>
        <v/>
      </c>
      <c r="B477" s="98">
        <v>11</v>
      </c>
      <c r="C477" s="94" t="s">
        <v>202</v>
      </c>
      <c r="D477" s="94" t="s">
        <v>202</v>
      </c>
      <c r="E477" s="94">
        <v>-2</v>
      </c>
      <c r="F477" s="94" t="s">
        <v>210</v>
      </c>
      <c r="G477" s="94" t="s">
        <v>210</v>
      </c>
      <c r="H477" s="94">
        <v>-3</v>
      </c>
      <c r="I477" s="94" t="s">
        <v>202</v>
      </c>
      <c r="J477" s="94" t="s">
        <v>202</v>
      </c>
      <c r="K477" s="94" t="s">
        <v>210</v>
      </c>
      <c r="L477" s="94">
        <v>1</v>
      </c>
      <c r="M477" s="94">
        <v>3</v>
      </c>
      <c r="N477" s="94" t="s">
        <v>210</v>
      </c>
      <c r="O477" s="94" t="s">
        <v>210</v>
      </c>
      <c r="P477" s="94">
        <v>-2</v>
      </c>
      <c r="Q477" s="94">
        <v>3</v>
      </c>
      <c r="R477" s="94" t="s">
        <v>210</v>
      </c>
      <c r="S477" s="94" t="s">
        <v>202</v>
      </c>
      <c r="T477" s="94" t="s">
        <v>202</v>
      </c>
      <c r="U477" s="94">
        <v>-1</v>
      </c>
      <c r="V477" s="94" t="s">
        <v>210</v>
      </c>
      <c r="W477" s="94" t="s">
        <v>210</v>
      </c>
      <c r="X477" s="94">
        <v>2</v>
      </c>
      <c r="Y477" s="94" t="s">
        <v>210</v>
      </c>
      <c r="Z477" s="94"/>
      <c r="AA477" s="94"/>
      <c r="AB477" s="94"/>
      <c r="AC477" s="94"/>
      <c r="AD477" s="94"/>
      <c r="AE477" s="94"/>
      <c r="AF477" s="94"/>
      <c r="AG477" s="94"/>
      <c r="AH477" s="94"/>
      <c r="AI477" s="94"/>
      <c r="AJ477" s="94"/>
      <c r="AK477" s="94"/>
      <c r="AL477" s="94"/>
      <c r="AM477" s="94"/>
      <c r="AN477" s="94"/>
      <c r="AO477" s="94"/>
      <c r="AP477" s="94"/>
      <c r="AQ477" s="94"/>
      <c r="AR477" s="94"/>
      <c r="AS477" s="94"/>
      <c r="AT477" s="94"/>
      <c r="AU477" s="94"/>
      <c r="AV477" s="94"/>
      <c r="AW477" s="94"/>
      <c r="AX477" s="94"/>
      <c r="AY477" s="94"/>
      <c r="AZ477" s="94"/>
      <c r="BA477" s="95"/>
    </row>
    <row r="478" spans="1:53" s="87" customFormat="1">
      <c r="A478" s="90" t="str">
        <f t="shared" si="33"/>
        <v/>
      </c>
      <c r="B478" s="98">
        <v>12</v>
      </c>
      <c r="C478" s="92" t="s">
        <v>210</v>
      </c>
      <c r="D478" s="92">
        <v>-2</v>
      </c>
      <c r="E478" s="92">
        <v>1</v>
      </c>
      <c r="F478" s="92" t="s">
        <v>210</v>
      </c>
      <c r="G478" s="92" t="s">
        <v>210</v>
      </c>
      <c r="H478" s="92">
        <v>3</v>
      </c>
      <c r="I478" s="92">
        <v>-1</v>
      </c>
      <c r="J478" s="92" t="s">
        <v>210</v>
      </c>
      <c r="K478" s="92" t="s">
        <v>202</v>
      </c>
      <c r="L478" s="92" t="s">
        <v>202</v>
      </c>
      <c r="M478" s="92">
        <v>-2</v>
      </c>
      <c r="N478" s="92" t="s">
        <v>210</v>
      </c>
      <c r="O478" s="92" t="s">
        <v>210</v>
      </c>
      <c r="P478" s="92">
        <v>1</v>
      </c>
      <c r="Q478" s="92" t="s">
        <v>202</v>
      </c>
      <c r="R478" s="92" t="s">
        <v>202</v>
      </c>
      <c r="S478" s="92">
        <v>2</v>
      </c>
      <c r="T478" s="92" t="s">
        <v>210</v>
      </c>
      <c r="U478" s="92" t="s">
        <v>202</v>
      </c>
      <c r="V478" s="92" t="s">
        <v>202</v>
      </c>
      <c r="W478" s="92" t="s">
        <v>210</v>
      </c>
      <c r="X478" s="92">
        <v>-3</v>
      </c>
      <c r="Y478" s="92" t="s">
        <v>210</v>
      </c>
      <c r="Z478" s="94"/>
      <c r="AA478" s="94"/>
      <c r="AB478" s="94"/>
      <c r="AC478" s="94"/>
      <c r="AD478" s="94"/>
      <c r="AE478" s="94"/>
      <c r="AF478" s="94"/>
      <c r="AG478" s="94"/>
      <c r="AH478" s="94"/>
      <c r="AI478" s="94"/>
      <c r="AJ478" s="94"/>
      <c r="AK478" s="94"/>
      <c r="AL478" s="94"/>
      <c r="AM478" s="94"/>
      <c r="AN478" s="94"/>
      <c r="AO478" s="94"/>
      <c r="AP478" s="94"/>
      <c r="AQ478" s="94"/>
      <c r="AR478" s="94"/>
      <c r="AS478" s="94"/>
      <c r="AT478" s="94"/>
      <c r="AU478" s="94"/>
      <c r="AV478" s="94"/>
      <c r="AW478" s="94"/>
      <c r="AX478" s="94"/>
      <c r="AY478" s="94"/>
      <c r="AZ478" s="94"/>
      <c r="BA478" s="95"/>
    </row>
    <row r="479" spans="1:53" s="87" customFormat="1">
      <c r="A479" s="90" t="str">
        <f t="shared" si="33"/>
        <v/>
      </c>
      <c r="B479" s="98">
        <v>13</v>
      </c>
      <c r="C479" s="94" t="s">
        <v>202</v>
      </c>
      <c r="D479" s="94" t="s">
        <v>202</v>
      </c>
      <c r="E479" s="94">
        <v>-1</v>
      </c>
      <c r="F479" s="94" t="s">
        <v>210</v>
      </c>
      <c r="G479" s="94" t="s">
        <v>210</v>
      </c>
      <c r="H479" s="94">
        <v>2</v>
      </c>
      <c r="I479" s="94" t="s">
        <v>202</v>
      </c>
      <c r="J479" s="94" t="s">
        <v>202</v>
      </c>
      <c r="K479" s="94" t="s">
        <v>210</v>
      </c>
      <c r="L479" s="94">
        <v>-3</v>
      </c>
      <c r="M479" s="94">
        <v>-1</v>
      </c>
      <c r="N479" s="94" t="s">
        <v>210</v>
      </c>
      <c r="O479" s="94" t="s">
        <v>210</v>
      </c>
      <c r="P479" s="94">
        <v>3</v>
      </c>
      <c r="Q479" s="94">
        <v>-2</v>
      </c>
      <c r="R479" s="94" t="s">
        <v>210</v>
      </c>
      <c r="S479" s="94" t="s">
        <v>202</v>
      </c>
      <c r="T479" s="94" t="s">
        <v>202</v>
      </c>
      <c r="U479" s="94">
        <v>1</v>
      </c>
      <c r="V479" s="94" t="s">
        <v>210</v>
      </c>
      <c r="W479" s="94" t="s">
        <v>210</v>
      </c>
      <c r="X479" s="94">
        <v>3</v>
      </c>
      <c r="Y479" s="94" t="s">
        <v>210</v>
      </c>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5"/>
    </row>
    <row r="480" spans="1:53" s="87" customFormat="1">
      <c r="A480" s="90" t="str">
        <f t="shared" si="33"/>
        <v/>
      </c>
      <c r="B480" s="98">
        <v>14</v>
      </c>
      <c r="C480" s="94" t="s">
        <v>210</v>
      </c>
      <c r="D480" s="94">
        <v>1</v>
      </c>
      <c r="E480" s="94">
        <v>-3</v>
      </c>
      <c r="F480" s="94" t="s">
        <v>210</v>
      </c>
      <c r="G480" s="94" t="s">
        <v>202</v>
      </c>
      <c r="H480" s="94" t="s">
        <v>202</v>
      </c>
      <c r="I480" s="94">
        <v>2</v>
      </c>
      <c r="J480" s="94" t="s">
        <v>210</v>
      </c>
      <c r="K480" s="94" t="s">
        <v>210</v>
      </c>
      <c r="L480" s="94">
        <v>-1</v>
      </c>
      <c r="M480" s="94" t="s">
        <v>202</v>
      </c>
      <c r="N480" s="94" t="s">
        <v>202</v>
      </c>
      <c r="O480" s="94" t="s">
        <v>210</v>
      </c>
      <c r="P480" s="94">
        <v>-3</v>
      </c>
      <c r="Q480" s="94">
        <v>1</v>
      </c>
      <c r="R480" s="94" t="s">
        <v>210</v>
      </c>
      <c r="S480" s="94">
        <v>-2</v>
      </c>
      <c r="T480" s="94" t="s">
        <v>210</v>
      </c>
      <c r="U480" s="94">
        <v>3</v>
      </c>
      <c r="V480" s="94" t="s">
        <v>210</v>
      </c>
      <c r="W480" s="94" t="s">
        <v>202</v>
      </c>
      <c r="X480" s="94" t="s">
        <v>202</v>
      </c>
      <c r="Y480" s="94" t="s">
        <v>210</v>
      </c>
      <c r="Z480" s="94"/>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5"/>
    </row>
    <row r="481" spans="1:53" s="87" customFormat="1">
      <c r="A481" s="90" t="str">
        <f t="shared" si="33"/>
        <v/>
      </c>
      <c r="B481" s="98">
        <v>15</v>
      </c>
      <c r="C481" s="94" t="s">
        <v>210</v>
      </c>
      <c r="D481" s="94">
        <v>-1</v>
      </c>
      <c r="E481" s="94">
        <v>2</v>
      </c>
      <c r="F481" s="94" t="s">
        <v>210</v>
      </c>
      <c r="G481" s="94" t="s">
        <v>202</v>
      </c>
      <c r="H481" s="94" t="s">
        <v>202</v>
      </c>
      <c r="I481" s="94">
        <v>3</v>
      </c>
      <c r="J481" s="94" t="s">
        <v>210</v>
      </c>
      <c r="K481" s="94" t="s">
        <v>210</v>
      </c>
      <c r="L481" s="94">
        <v>-2</v>
      </c>
      <c r="M481" s="94" t="s">
        <v>202</v>
      </c>
      <c r="N481" s="94" t="s">
        <v>202</v>
      </c>
      <c r="O481" s="94" t="s">
        <v>210</v>
      </c>
      <c r="P481" s="94">
        <v>-1</v>
      </c>
      <c r="Q481" s="94">
        <v>2</v>
      </c>
      <c r="R481" s="94" t="s">
        <v>210</v>
      </c>
      <c r="S481" s="94" t="s">
        <v>210</v>
      </c>
      <c r="T481" s="94">
        <v>1</v>
      </c>
      <c r="U481" s="94">
        <v>-3</v>
      </c>
      <c r="V481" s="94" t="s">
        <v>210</v>
      </c>
      <c r="W481" s="94" t="s">
        <v>202</v>
      </c>
      <c r="X481" s="94" t="s">
        <v>202</v>
      </c>
      <c r="Y481" s="94" t="s">
        <v>210</v>
      </c>
      <c r="Z481" s="94"/>
      <c r="AA481" s="94"/>
      <c r="AB481" s="94"/>
      <c r="AC481" s="94"/>
      <c r="AD481" s="94"/>
      <c r="AE481" s="94"/>
      <c r="AF481" s="94"/>
      <c r="AG481" s="94"/>
      <c r="AH481" s="94"/>
      <c r="AI481" s="94"/>
      <c r="AJ481" s="94"/>
      <c r="AK481" s="94"/>
      <c r="AL481" s="94"/>
      <c r="AM481" s="94"/>
      <c r="AN481" s="94"/>
      <c r="AO481" s="94"/>
      <c r="AP481" s="94"/>
      <c r="AQ481" s="94"/>
      <c r="AR481" s="94"/>
      <c r="AS481" s="94"/>
      <c r="AT481" s="94"/>
      <c r="AU481" s="94"/>
      <c r="AV481" s="94"/>
      <c r="AW481" s="94"/>
      <c r="AX481" s="94"/>
      <c r="AY481" s="94"/>
      <c r="AZ481" s="94"/>
      <c r="BA481" s="95"/>
    </row>
    <row r="482" spans="1:53" s="87" customFormat="1">
      <c r="A482" s="90" t="str">
        <f t="shared" si="33"/>
        <v/>
      </c>
      <c r="B482" s="98">
        <v>16</v>
      </c>
      <c r="C482" s="94" t="s">
        <v>210</v>
      </c>
      <c r="D482" s="94">
        <v>-3</v>
      </c>
      <c r="E482" s="94" t="s">
        <v>202</v>
      </c>
      <c r="F482" s="94" t="s">
        <v>202</v>
      </c>
      <c r="G482" s="94" t="s">
        <v>210</v>
      </c>
      <c r="H482" s="94">
        <v>1</v>
      </c>
      <c r="I482" s="94">
        <v>-2</v>
      </c>
      <c r="J482" s="94" t="s">
        <v>210</v>
      </c>
      <c r="K482" s="94" t="s">
        <v>210</v>
      </c>
      <c r="L482" s="94">
        <v>3</v>
      </c>
      <c r="M482" s="94">
        <v>2</v>
      </c>
      <c r="N482" s="94" t="s">
        <v>210</v>
      </c>
      <c r="O482" s="94" t="s">
        <v>202</v>
      </c>
      <c r="P482" s="94" t="s">
        <v>202</v>
      </c>
      <c r="Q482" s="94">
        <v>-3</v>
      </c>
      <c r="R482" s="94" t="s">
        <v>210</v>
      </c>
      <c r="S482" s="94" t="s">
        <v>210</v>
      </c>
      <c r="T482" s="94">
        <v>-1</v>
      </c>
      <c r="U482" s="94">
        <v>2</v>
      </c>
      <c r="V482" s="94" t="s">
        <v>210</v>
      </c>
      <c r="W482" s="94" t="s">
        <v>202</v>
      </c>
      <c r="X482" s="94" t="s">
        <v>202</v>
      </c>
      <c r="Y482" s="94" t="s">
        <v>210</v>
      </c>
      <c r="Z482" s="94"/>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5"/>
    </row>
    <row r="483" spans="1:53" s="87" customFormat="1">
      <c r="A483" s="90" t="str">
        <f t="shared" si="33"/>
        <v/>
      </c>
      <c r="B483" s="98">
        <v>17</v>
      </c>
      <c r="C483" s="94" t="s">
        <v>210</v>
      </c>
      <c r="D483" s="94">
        <v>3</v>
      </c>
      <c r="E483" s="94" t="s">
        <v>202</v>
      </c>
      <c r="F483" s="94" t="s">
        <v>202</v>
      </c>
      <c r="G483" s="94" t="s">
        <v>210</v>
      </c>
      <c r="H483" s="94">
        <v>-2</v>
      </c>
      <c r="I483" s="94">
        <v>1</v>
      </c>
      <c r="J483" s="94" t="s">
        <v>210</v>
      </c>
      <c r="K483" s="94" t="s">
        <v>210</v>
      </c>
      <c r="L483" s="94">
        <v>2</v>
      </c>
      <c r="M483" s="94">
        <v>-3</v>
      </c>
      <c r="N483" s="94" t="s">
        <v>210</v>
      </c>
      <c r="O483" s="94" t="s">
        <v>202</v>
      </c>
      <c r="P483" s="94" t="s">
        <v>202</v>
      </c>
      <c r="Q483" s="94">
        <v>-1</v>
      </c>
      <c r="R483" s="94" t="s">
        <v>210</v>
      </c>
      <c r="S483" s="94">
        <v>3</v>
      </c>
      <c r="T483" s="94" t="s">
        <v>210</v>
      </c>
      <c r="U483" s="94">
        <v>-2</v>
      </c>
      <c r="V483" s="94" t="s">
        <v>210</v>
      </c>
      <c r="W483" s="94" t="s">
        <v>202</v>
      </c>
      <c r="X483" s="94" t="s">
        <v>202</v>
      </c>
      <c r="Y483" s="94" t="s">
        <v>210</v>
      </c>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5"/>
    </row>
    <row r="484" spans="1:53" s="87" customFormat="1">
      <c r="A484" s="90" t="str">
        <f t="shared" si="33"/>
        <v/>
      </c>
      <c r="B484" s="317" t="s">
        <v>1106</v>
      </c>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5"/>
    </row>
    <row r="485" spans="1:53" s="87" customFormat="1">
      <c r="A485" s="90">
        <f t="shared" si="33"/>
        <v>485</v>
      </c>
      <c r="B485" s="98" t="s">
        <v>1107</v>
      </c>
      <c r="C485" s="94"/>
      <c r="D485" s="94"/>
      <c r="E485" s="94"/>
      <c r="F485" s="94"/>
      <c r="G485" s="94"/>
      <c r="H485" s="94"/>
      <c r="I485" s="94"/>
      <c r="J485" s="94"/>
      <c r="K485" s="94"/>
      <c r="L485" s="94"/>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5"/>
    </row>
    <row r="486" spans="1:53" s="87" customFormat="1">
      <c r="A486" s="90" t="str">
        <f t="shared" si="33"/>
        <v/>
      </c>
      <c r="B486" s="98">
        <v>1</v>
      </c>
      <c r="C486" s="94" t="s">
        <v>202</v>
      </c>
      <c r="D486" s="94" t="s">
        <v>202</v>
      </c>
      <c r="E486" s="94">
        <v>2</v>
      </c>
      <c r="F486" s="94" t="s">
        <v>210</v>
      </c>
      <c r="G486" s="94" t="s">
        <v>210</v>
      </c>
      <c r="H486" s="94">
        <v>-3</v>
      </c>
      <c r="I486" s="94" t="s">
        <v>202</v>
      </c>
      <c r="J486" s="94" t="s">
        <v>202</v>
      </c>
      <c r="K486" s="94" t="s">
        <v>210</v>
      </c>
      <c r="L486" s="94">
        <v>1</v>
      </c>
      <c r="M486" s="94">
        <v>-2</v>
      </c>
      <c r="N486" s="94" t="s">
        <v>210</v>
      </c>
      <c r="O486" s="94" t="s">
        <v>202</v>
      </c>
      <c r="P486" s="94" t="s">
        <v>202</v>
      </c>
      <c r="Q486" s="94">
        <v>-1</v>
      </c>
      <c r="R486" s="94" t="s">
        <v>210</v>
      </c>
      <c r="S486" s="94" t="s">
        <v>210</v>
      </c>
      <c r="T486" s="94">
        <v>3</v>
      </c>
      <c r="U486" s="94" t="s">
        <v>202</v>
      </c>
      <c r="V486" s="94" t="s">
        <v>202</v>
      </c>
      <c r="W486" s="94" t="s">
        <v>210</v>
      </c>
      <c r="X486" s="94">
        <v>1</v>
      </c>
      <c r="Y486" s="94">
        <v>-2</v>
      </c>
      <c r="Z486" s="94" t="s">
        <v>210</v>
      </c>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4"/>
      <c r="AY486" s="94"/>
      <c r="AZ486" s="94"/>
      <c r="BA486" s="95"/>
    </row>
    <row r="487" spans="1:53" s="87" customFormat="1">
      <c r="A487" s="90" t="str">
        <f t="shared" si="33"/>
        <v/>
      </c>
      <c r="B487" s="98">
        <v>2</v>
      </c>
      <c r="C487" s="94" t="s">
        <v>202</v>
      </c>
      <c r="D487" s="94" t="s">
        <v>202</v>
      </c>
      <c r="E487" s="94">
        <v>-1</v>
      </c>
      <c r="F487" s="94" t="s">
        <v>210</v>
      </c>
      <c r="G487" s="94" t="s">
        <v>210</v>
      </c>
      <c r="H487" s="94">
        <v>2</v>
      </c>
      <c r="I487" s="94" t="s">
        <v>202</v>
      </c>
      <c r="J487" s="94" t="s">
        <v>202</v>
      </c>
      <c r="K487" s="94" t="s">
        <v>210</v>
      </c>
      <c r="L487" s="94">
        <v>-3</v>
      </c>
      <c r="M487" s="94">
        <v>1</v>
      </c>
      <c r="N487" s="94" t="s">
        <v>210</v>
      </c>
      <c r="O487" s="94" t="s">
        <v>202</v>
      </c>
      <c r="P487" s="94" t="s">
        <v>202</v>
      </c>
      <c r="Q487" s="94">
        <v>3</v>
      </c>
      <c r="R487" s="94" t="s">
        <v>210</v>
      </c>
      <c r="S487" s="94" t="s">
        <v>210</v>
      </c>
      <c r="T487" s="94">
        <v>-2</v>
      </c>
      <c r="U487" s="94" t="s">
        <v>202</v>
      </c>
      <c r="V487" s="94" t="s">
        <v>202</v>
      </c>
      <c r="W487" s="94" t="s">
        <v>210</v>
      </c>
      <c r="X487" s="94">
        <v>-3</v>
      </c>
      <c r="Y487" s="94">
        <v>2</v>
      </c>
      <c r="Z487" s="94" t="s">
        <v>210</v>
      </c>
      <c r="AA487" s="94"/>
      <c r="AB487" s="94"/>
      <c r="AC487" s="94"/>
      <c r="AD487" s="94"/>
      <c r="AE487" s="94"/>
      <c r="AF487" s="94"/>
      <c r="AG487" s="94"/>
      <c r="AH487" s="94"/>
      <c r="AI487" s="94"/>
      <c r="AJ487" s="94"/>
      <c r="AK487" s="94"/>
      <c r="AL487" s="94"/>
      <c r="AM487" s="94"/>
      <c r="AN487" s="94"/>
      <c r="AO487" s="94"/>
      <c r="AP487" s="94"/>
      <c r="AQ487" s="94"/>
      <c r="AR487" s="94"/>
      <c r="AS487" s="94"/>
      <c r="AT487" s="94"/>
      <c r="AU487" s="94"/>
      <c r="AV487" s="94"/>
      <c r="AW487" s="94"/>
      <c r="AX487" s="94"/>
      <c r="AY487" s="94"/>
      <c r="AZ487" s="94"/>
      <c r="BA487" s="95"/>
    </row>
    <row r="488" spans="1:53" s="87" customFormat="1">
      <c r="A488" s="90" t="str">
        <f t="shared" si="33"/>
        <v/>
      </c>
      <c r="B488" s="98">
        <v>3</v>
      </c>
      <c r="C488" s="94" t="s">
        <v>210</v>
      </c>
      <c r="D488" s="94">
        <v>2</v>
      </c>
      <c r="E488" s="94" t="s">
        <v>202</v>
      </c>
      <c r="F488" s="94" t="s">
        <v>202</v>
      </c>
      <c r="G488" s="94" t="s">
        <v>210</v>
      </c>
      <c r="H488" s="94">
        <v>-1</v>
      </c>
      <c r="I488" s="94">
        <v>3</v>
      </c>
      <c r="J488" s="94" t="s">
        <v>210</v>
      </c>
      <c r="K488" s="94" t="s">
        <v>202</v>
      </c>
      <c r="L488" s="94" t="s">
        <v>202</v>
      </c>
      <c r="M488" s="94">
        <v>-1</v>
      </c>
      <c r="N488" s="94" t="s">
        <v>210</v>
      </c>
      <c r="O488" s="94" t="s">
        <v>210</v>
      </c>
      <c r="P488" s="94">
        <v>2</v>
      </c>
      <c r="Q488" s="94" t="s">
        <v>202</v>
      </c>
      <c r="R488" s="94" t="s">
        <v>202</v>
      </c>
      <c r="S488" s="94" t="s">
        <v>210</v>
      </c>
      <c r="T488" s="94">
        <v>-3</v>
      </c>
      <c r="U488" s="94">
        <v>-2</v>
      </c>
      <c r="V488" s="94" t="s">
        <v>210</v>
      </c>
      <c r="W488" s="94" t="s">
        <v>202</v>
      </c>
      <c r="X488" s="94" t="s">
        <v>202</v>
      </c>
      <c r="Y488" s="94">
        <v>1</v>
      </c>
      <c r="Z488" s="94" t="s">
        <v>210</v>
      </c>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5"/>
    </row>
    <row r="489" spans="1:53" s="87" customFormat="1">
      <c r="A489" s="90" t="str">
        <f t="shared" si="33"/>
        <v/>
      </c>
      <c r="B489" s="98">
        <v>4</v>
      </c>
      <c r="C489" s="94" t="s">
        <v>202</v>
      </c>
      <c r="D489" s="94" t="s">
        <v>202</v>
      </c>
      <c r="E489" s="94">
        <v>1</v>
      </c>
      <c r="F489" s="94" t="s">
        <v>210</v>
      </c>
      <c r="G489" s="94" t="s">
        <v>210</v>
      </c>
      <c r="H489" s="94">
        <v>3</v>
      </c>
      <c r="I489" s="94" t="s">
        <v>202</v>
      </c>
      <c r="J489" s="94" t="s">
        <v>202</v>
      </c>
      <c r="K489" s="94" t="s">
        <v>210</v>
      </c>
      <c r="L489" s="94">
        <v>-2</v>
      </c>
      <c r="M489" s="94">
        <v>-3</v>
      </c>
      <c r="N489" s="94" t="s">
        <v>210</v>
      </c>
      <c r="O489" s="94" t="s">
        <v>202</v>
      </c>
      <c r="P489" s="94" t="s">
        <v>202</v>
      </c>
      <c r="Q489" s="94">
        <v>2</v>
      </c>
      <c r="R489" s="94" t="s">
        <v>210</v>
      </c>
      <c r="S489" s="94" t="s">
        <v>210</v>
      </c>
      <c r="T489" s="94">
        <v>1</v>
      </c>
      <c r="U489" s="94" t="s">
        <v>202</v>
      </c>
      <c r="V489" s="94" t="s">
        <v>202</v>
      </c>
      <c r="W489" s="94" t="s">
        <v>210</v>
      </c>
      <c r="X489" s="94">
        <v>-2</v>
      </c>
      <c r="Y489" s="94">
        <v>-1</v>
      </c>
      <c r="Z489" s="94" t="s">
        <v>210</v>
      </c>
      <c r="AA489" s="94"/>
      <c r="AB489" s="94"/>
      <c r="AC489" s="94"/>
      <c r="AD489" s="94"/>
      <c r="AE489" s="94"/>
      <c r="AF489" s="94"/>
      <c r="AG489" s="94"/>
      <c r="AH489" s="94"/>
      <c r="AI489" s="94"/>
      <c r="AJ489" s="94"/>
      <c r="AK489" s="94"/>
      <c r="AL489" s="94"/>
      <c r="AM489" s="94"/>
      <c r="AN489" s="94"/>
      <c r="AO489" s="94"/>
      <c r="AP489" s="94"/>
      <c r="AQ489" s="94"/>
      <c r="AR489" s="94"/>
      <c r="AS489" s="94"/>
      <c r="AT489" s="94"/>
      <c r="AU489" s="94"/>
      <c r="AV489" s="94"/>
      <c r="AW489" s="94"/>
      <c r="AX489" s="94"/>
      <c r="AY489" s="94"/>
      <c r="AZ489" s="94"/>
      <c r="BA489" s="95"/>
    </row>
    <row r="490" spans="1:53" s="87" customFormat="1">
      <c r="A490" s="90" t="str">
        <f t="shared" si="33"/>
        <v/>
      </c>
      <c r="B490" s="98">
        <v>5</v>
      </c>
      <c r="C490" s="94">
        <v>3</v>
      </c>
      <c r="D490" s="94" t="s">
        <v>210</v>
      </c>
      <c r="E490" s="94" t="s">
        <v>202</v>
      </c>
      <c r="F490" s="94" t="s">
        <v>202</v>
      </c>
      <c r="G490" s="94" t="s">
        <v>210</v>
      </c>
      <c r="H490" s="94">
        <v>-2</v>
      </c>
      <c r="I490" s="94">
        <v>1</v>
      </c>
      <c r="J490" s="94" t="s">
        <v>210</v>
      </c>
      <c r="K490" s="94" t="s">
        <v>202</v>
      </c>
      <c r="L490" s="94" t="s">
        <v>202</v>
      </c>
      <c r="M490" s="94">
        <v>2</v>
      </c>
      <c r="N490" s="94" t="s">
        <v>210</v>
      </c>
      <c r="O490" s="94" t="s">
        <v>210</v>
      </c>
      <c r="P490" s="94">
        <v>-3</v>
      </c>
      <c r="Q490" s="94" t="s">
        <v>202</v>
      </c>
      <c r="R490" s="94" t="s">
        <v>202</v>
      </c>
      <c r="S490" s="94" t="s">
        <v>210</v>
      </c>
      <c r="T490" s="94">
        <v>-1</v>
      </c>
      <c r="U490" s="94">
        <v>2</v>
      </c>
      <c r="V490" s="94" t="s">
        <v>210</v>
      </c>
      <c r="W490" s="94" t="s">
        <v>202</v>
      </c>
      <c r="X490" s="94" t="s">
        <v>202</v>
      </c>
      <c r="Y490" s="94" t="s">
        <v>210</v>
      </c>
      <c r="Z490" s="94">
        <v>-3</v>
      </c>
      <c r="AA490" s="94"/>
      <c r="AB490" s="94"/>
      <c r="AC490" s="94"/>
      <c r="AD490" s="94"/>
      <c r="AE490" s="94"/>
      <c r="AF490" s="94"/>
      <c r="AG490" s="94"/>
      <c r="AH490" s="94"/>
      <c r="AI490" s="94"/>
      <c r="AJ490" s="94"/>
      <c r="AK490" s="94"/>
      <c r="AL490" s="94"/>
      <c r="AM490" s="94"/>
      <c r="AN490" s="94"/>
      <c r="AO490" s="94"/>
      <c r="AP490" s="94"/>
      <c r="AQ490" s="94"/>
      <c r="AR490" s="94"/>
      <c r="AS490" s="94"/>
      <c r="AT490" s="94"/>
      <c r="AU490" s="94"/>
      <c r="AV490" s="94"/>
      <c r="AW490" s="94"/>
      <c r="AX490" s="94"/>
      <c r="AY490" s="94"/>
      <c r="AZ490" s="94"/>
      <c r="BA490" s="95"/>
    </row>
    <row r="491" spans="1:53" s="87" customFormat="1">
      <c r="A491" s="90" t="str">
        <f t="shared" si="33"/>
        <v/>
      </c>
      <c r="B491" s="98">
        <v>6</v>
      </c>
      <c r="C491" s="92" t="s">
        <v>210</v>
      </c>
      <c r="D491" s="92">
        <v>1</v>
      </c>
      <c r="E491" s="92">
        <v>-2</v>
      </c>
      <c r="F491" s="92" t="s">
        <v>210</v>
      </c>
      <c r="G491" s="92" t="s">
        <v>202</v>
      </c>
      <c r="H491" s="92" t="s">
        <v>202</v>
      </c>
      <c r="I491" s="92">
        <v>-3</v>
      </c>
      <c r="J491" s="92" t="s">
        <v>210</v>
      </c>
      <c r="K491" s="92" t="s">
        <v>210</v>
      </c>
      <c r="L491" s="92">
        <v>2</v>
      </c>
      <c r="M491" s="92" t="s">
        <v>202</v>
      </c>
      <c r="N491" s="92" t="s">
        <v>202</v>
      </c>
      <c r="O491" s="92" t="s">
        <v>210</v>
      </c>
      <c r="P491" s="92">
        <v>1</v>
      </c>
      <c r="Q491" s="92">
        <v>-3</v>
      </c>
      <c r="R491" s="92" t="s">
        <v>210</v>
      </c>
      <c r="S491" s="92" t="s">
        <v>202</v>
      </c>
      <c r="T491" s="92" t="s">
        <v>202</v>
      </c>
      <c r="U491" s="92">
        <v>-1</v>
      </c>
      <c r="V491" s="92" t="s">
        <v>210</v>
      </c>
      <c r="W491" s="92" t="s">
        <v>202</v>
      </c>
      <c r="X491" s="92" t="s">
        <v>202</v>
      </c>
      <c r="Y491" s="92" t="s">
        <v>210</v>
      </c>
      <c r="Z491" s="92">
        <v>3</v>
      </c>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AZ491" s="94"/>
      <c r="BA491" s="95"/>
    </row>
    <row r="492" spans="1:53" s="87" customFormat="1">
      <c r="A492" s="90" t="str">
        <f t="shared" si="33"/>
        <v/>
      </c>
      <c r="B492" s="98">
        <v>7</v>
      </c>
      <c r="C492" s="94" t="s">
        <v>210</v>
      </c>
      <c r="D492" s="94">
        <v>-2</v>
      </c>
      <c r="E492" s="94">
        <v>-3</v>
      </c>
      <c r="F492" s="94" t="s">
        <v>210</v>
      </c>
      <c r="G492" s="94" t="s">
        <v>202</v>
      </c>
      <c r="H492" s="94" t="s">
        <v>202</v>
      </c>
      <c r="I492" s="94">
        <v>2</v>
      </c>
      <c r="J492" s="94" t="s">
        <v>210</v>
      </c>
      <c r="K492" s="94" t="s">
        <v>210</v>
      </c>
      <c r="L492" s="94">
        <v>-1</v>
      </c>
      <c r="M492" s="94" t="s">
        <v>202</v>
      </c>
      <c r="N492" s="94" t="s">
        <v>202</v>
      </c>
      <c r="O492" s="94" t="s">
        <v>210</v>
      </c>
      <c r="P492" s="94">
        <v>3</v>
      </c>
      <c r="Q492" s="94">
        <v>-2</v>
      </c>
      <c r="R492" s="94" t="s">
        <v>210</v>
      </c>
      <c r="S492" s="94" t="s">
        <v>202</v>
      </c>
      <c r="T492" s="94" t="s">
        <v>202</v>
      </c>
      <c r="U492" s="94">
        <v>1</v>
      </c>
      <c r="V492" s="94" t="s">
        <v>210</v>
      </c>
      <c r="W492" s="94" t="s">
        <v>210</v>
      </c>
      <c r="X492" s="94">
        <v>3</v>
      </c>
      <c r="Y492" s="94" t="s">
        <v>202</v>
      </c>
      <c r="Z492" s="94" t="s">
        <v>202</v>
      </c>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5"/>
    </row>
    <row r="493" spans="1:53" s="87" customFormat="1">
      <c r="A493" s="90" t="str">
        <f t="shared" si="33"/>
        <v/>
      </c>
      <c r="B493" s="98">
        <v>8</v>
      </c>
      <c r="C493" s="94">
        <v>-3</v>
      </c>
      <c r="D493" s="94" t="s">
        <v>210</v>
      </c>
      <c r="E493" s="94" t="s">
        <v>202</v>
      </c>
      <c r="F493" s="94" t="s">
        <v>202</v>
      </c>
      <c r="G493" s="94" t="s">
        <v>210</v>
      </c>
      <c r="H493" s="94">
        <v>1</v>
      </c>
      <c r="I493" s="94">
        <v>-2</v>
      </c>
      <c r="J493" s="94" t="s">
        <v>210</v>
      </c>
      <c r="K493" s="94" t="s">
        <v>202</v>
      </c>
      <c r="L493" s="94" t="s">
        <v>202</v>
      </c>
      <c r="M493" s="94">
        <v>3</v>
      </c>
      <c r="N493" s="94" t="s">
        <v>210</v>
      </c>
      <c r="O493" s="94" t="s">
        <v>210</v>
      </c>
      <c r="P493" s="94">
        <v>-1</v>
      </c>
      <c r="Q493" s="94" t="s">
        <v>202</v>
      </c>
      <c r="R493" s="94" t="s">
        <v>202</v>
      </c>
      <c r="S493" s="94" t="s">
        <v>210</v>
      </c>
      <c r="T493" s="94">
        <v>2</v>
      </c>
      <c r="U493" s="94">
        <v>3</v>
      </c>
      <c r="V493" s="94" t="s">
        <v>210</v>
      </c>
      <c r="W493" s="94" t="s">
        <v>210</v>
      </c>
      <c r="X493" s="94">
        <v>-1</v>
      </c>
      <c r="Y493" s="94" t="s">
        <v>202</v>
      </c>
      <c r="Z493" s="94" t="s">
        <v>202</v>
      </c>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c r="AW493" s="94"/>
      <c r="AX493" s="94"/>
      <c r="AY493" s="94"/>
      <c r="AZ493" s="94"/>
      <c r="BA493" s="95"/>
    </row>
    <row r="494" spans="1:53" s="87" customFormat="1">
      <c r="A494" s="90" t="str">
        <f t="shared" si="33"/>
        <v/>
      </c>
      <c r="B494" s="98">
        <v>9</v>
      </c>
      <c r="C494" s="94" t="s">
        <v>210</v>
      </c>
      <c r="D494" s="94">
        <v>-1</v>
      </c>
      <c r="E494" s="94">
        <v>3</v>
      </c>
      <c r="F494" s="94" t="s">
        <v>210</v>
      </c>
      <c r="G494" s="94" t="s">
        <v>202</v>
      </c>
      <c r="H494" s="94" t="s">
        <v>202</v>
      </c>
      <c r="I494" s="94">
        <v>-1</v>
      </c>
      <c r="J494" s="94" t="s">
        <v>210</v>
      </c>
      <c r="K494" s="94" t="s">
        <v>210</v>
      </c>
      <c r="L494" s="94">
        <v>3</v>
      </c>
      <c r="M494" s="94" t="s">
        <v>202</v>
      </c>
      <c r="N494" s="94" t="s">
        <v>202</v>
      </c>
      <c r="O494" s="94" t="s">
        <v>210</v>
      </c>
      <c r="P494" s="94">
        <v>-2</v>
      </c>
      <c r="Q494" s="94">
        <v>1</v>
      </c>
      <c r="R494" s="94" t="s">
        <v>210</v>
      </c>
      <c r="S494" s="94" t="s">
        <v>202</v>
      </c>
      <c r="T494" s="94" t="s">
        <v>202</v>
      </c>
      <c r="U494" s="94">
        <v>-3</v>
      </c>
      <c r="V494" s="94" t="s">
        <v>210</v>
      </c>
      <c r="W494" s="94" t="s">
        <v>210</v>
      </c>
      <c r="X494" s="94">
        <v>2</v>
      </c>
      <c r="Y494" s="94" t="s">
        <v>202</v>
      </c>
      <c r="Z494" s="94" t="s">
        <v>202</v>
      </c>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c r="AW494" s="94"/>
      <c r="AX494" s="94"/>
      <c r="AY494" s="94"/>
      <c r="AZ494" s="94"/>
      <c r="BA494" s="95"/>
    </row>
    <row r="495" spans="1:53" s="87" customFormat="1">
      <c r="A495" s="90" t="str">
        <f t="shared" si="33"/>
        <v/>
      </c>
      <c r="B495" s="98">
        <v>10</v>
      </c>
      <c r="C495" s="94" t="s">
        <v>210</v>
      </c>
      <c r="D495" s="94">
        <v>3</v>
      </c>
      <c r="E495" s="94" t="s">
        <v>202</v>
      </c>
      <c r="F495" s="94" t="s">
        <v>202</v>
      </c>
      <c r="G495" s="94">
        <v>-2</v>
      </c>
      <c r="H495" s="94" t="s">
        <v>210</v>
      </c>
      <c r="I495" s="94" t="s">
        <v>210</v>
      </c>
      <c r="J495" s="94">
        <v>1</v>
      </c>
      <c r="K495" s="94" t="s">
        <v>202</v>
      </c>
      <c r="L495" s="94" t="s">
        <v>202</v>
      </c>
      <c r="M495" s="94" t="s">
        <v>210</v>
      </c>
      <c r="N495" s="94">
        <v>2</v>
      </c>
      <c r="O495" s="94">
        <v>-3</v>
      </c>
      <c r="P495" s="94" t="s">
        <v>210</v>
      </c>
      <c r="Q495" s="94" t="s">
        <v>202</v>
      </c>
      <c r="R495" s="94" t="s">
        <v>202</v>
      </c>
      <c r="S495" s="94">
        <v>-1</v>
      </c>
      <c r="T495" s="94" t="s">
        <v>210</v>
      </c>
      <c r="U495" s="94" t="s">
        <v>210</v>
      </c>
      <c r="V495" s="94">
        <v>2</v>
      </c>
      <c r="W495" s="94" t="s">
        <v>202</v>
      </c>
      <c r="X495" s="94" t="s">
        <v>202</v>
      </c>
      <c r="Y495" s="94">
        <v>-3</v>
      </c>
      <c r="Z495" s="94" t="s">
        <v>210</v>
      </c>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5"/>
    </row>
    <row r="496" spans="1:53" s="87" customFormat="1">
      <c r="A496" s="90" t="str">
        <f t="shared" si="33"/>
        <v/>
      </c>
      <c r="B496" s="98">
        <v>11</v>
      </c>
      <c r="C496" s="94">
        <v>1</v>
      </c>
      <c r="D496" s="94" t="s">
        <v>210</v>
      </c>
      <c r="E496" s="94" t="s">
        <v>210</v>
      </c>
      <c r="F496" s="94">
        <v>-2</v>
      </c>
      <c r="G496" s="94" t="s">
        <v>202</v>
      </c>
      <c r="H496" s="94" t="s">
        <v>202</v>
      </c>
      <c r="I496" s="94" t="s">
        <v>210</v>
      </c>
      <c r="J496" s="94">
        <v>-3</v>
      </c>
      <c r="K496" s="94">
        <v>2</v>
      </c>
      <c r="L496" s="94" t="s">
        <v>210</v>
      </c>
      <c r="M496" s="94" t="s">
        <v>202</v>
      </c>
      <c r="N496" s="94" t="s">
        <v>202</v>
      </c>
      <c r="O496" s="94">
        <v>1</v>
      </c>
      <c r="P496" s="94" t="s">
        <v>210</v>
      </c>
      <c r="Q496" s="94" t="s">
        <v>210</v>
      </c>
      <c r="R496" s="94">
        <v>-3</v>
      </c>
      <c r="S496" s="94" t="s">
        <v>202</v>
      </c>
      <c r="T496" s="94" t="s">
        <v>202</v>
      </c>
      <c r="U496" s="94" t="s">
        <v>210</v>
      </c>
      <c r="V496" s="94">
        <v>-1</v>
      </c>
      <c r="W496" s="94" t="s">
        <v>202</v>
      </c>
      <c r="X496" s="94" t="s">
        <v>202</v>
      </c>
      <c r="Y496" s="94">
        <v>3</v>
      </c>
      <c r="Z496" s="94" t="s">
        <v>210</v>
      </c>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c r="AW496" s="94"/>
      <c r="AX496" s="94"/>
      <c r="AY496" s="94"/>
      <c r="AZ496" s="94"/>
      <c r="BA496" s="95"/>
    </row>
    <row r="497" spans="1:53" s="87" customFormat="1">
      <c r="A497" s="90" t="str">
        <f t="shared" si="33"/>
        <v/>
      </c>
      <c r="B497" s="98">
        <v>12</v>
      </c>
      <c r="C497" s="92" t="s">
        <v>202</v>
      </c>
      <c r="D497" s="92" t="s">
        <v>202</v>
      </c>
      <c r="E497" s="92" t="s">
        <v>210</v>
      </c>
      <c r="F497" s="92">
        <v>2</v>
      </c>
      <c r="G497" s="92">
        <v>-3</v>
      </c>
      <c r="H497" s="92" t="s">
        <v>210</v>
      </c>
      <c r="I497" s="92" t="s">
        <v>202</v>
      </c>
      <c r="J497" s="92" t="s">
        <v>202</v>
      </c>
      <c r="K497" s="92">
        <v>1</v>
      </c>
      <c r="L497" s="92" t="s">
        <v>210</v>
      </c>
      <c r="M497" s="92" t="s">
        <v>210</v>
      </c>
      <c r="N497" s="92">
        <v>-2</v>
      </c>
      <c r="O497" s="92" t="s">
        <v>202</v>
      </c>
      <c r="P497" s="92" t="s">
        <v>202</v>
      </c>
      <c r="Q497" s="92" t="s">
        <v>210</v>
      </c>
      <c r="R497" s="92">
        <v>-1</v>
      </c>
      <c r="S497" s="92">
        <v>3</v>
      </c>
      <c r="T497" s="92" t="s">
        <v>210</v>
      </c>
      <c r="U497" s="92" t="s">
        <v>202</v>
      </c>
      <c r="V497" s="92" t="s">
        <v>202</v>
      </c>
      <c r="W497" s="92">
        <v>1</v>
      </c>
      <c r="X497" s="92" t="s">
        <v>210</v>
      </c>
      <c r="Y497" s="92" t="s">
        <v>210</v>
      </c>
      <c r="Z497" s="92">
        <v>-2</v>
      </c>
      <c r="AA497" s="94"/>
      <c r="AB497" s="94"/>
      <c r="AC497" s="94"/>
      <c r="AD497" s="94"/>
      <c r="AE497" s="94"/>
      <c r="AF497" s="94"/>
      <c r="AG497" s="94"/>
      <c r="AH497" s="94"/>
      <c r="AI497" s="94"/>
      <c r="AJ497" s="94"/>
      <c r="AK497" s="94"/>
      <c r="AL497" s="94"/>
      <c r="AM497" s="94"/>
      <c r="AN497" s="94"/>
      <c r="AO497" s="94"/>
      <c r="AP497" s="94"/>
      <c r="AQ497" s="94"/>
      <c r="AR497" s="94"/>
      <c r="AS497" s="94"/>
      <c r="AT497" s="94"/>
      <c r="AU497" s="94"/>
      <c r="AV497" s="94"/>
      <c r="AW497" s="94"/>
      <c r="AX497" s="94"/>
      <c r="AY497" s="94"/>
      <c r="AZ497" s="94"/>
      <c r="BA497" s="95"/>
    </row>
    <row r="498" spans="1:53" s="87" customFormat="1">
      <c r="A498" s="90" t="str">
        <f t="shared" si="33"/>
        <v/>
      </c>
      <c r="B498" s="98">
        <v>13</v>
      </c>
      <c r="C498" s="94" t="s">
        <v>202</v>
      </c>
      <c r="D498" s="94" t="s">
        <v>202</v>
      </c>
      <c r="E498" s="94" t="s">
        <v>210</v>
      </c>
      <c r="F498" s="94">
        <v>-1</v>
      </c>
      <c r="G498" s="94">
        <v>2</v>
      </c>
      <c r="H498" s="94" t="s">
        <v>210</v>
      </c>
      <c r="I498" s="94" t="s">
        <v>202</v>
      </c>
      <c r="J498" s="94" t="s">
        <v>202</v>
      </c>
      <c r="K498" s="94">
        <v>-3</v>
      </c>
      <c r="L498" s="94" t="s">
        <v>210</v>
      </c>
      <c r="M498" s="94" t="s">
        <v>210</v>
      </c>
      <c r="N498" s="94">
        <v>1</v>
      </c>
      <c r="O498" s="94" t="s">
        <v>202</v>
      </c>
      <c r="P498" s="94" t="s">
        <v>202</v>
      </c>
      <c r="Q498" s="94" t="s">
        <v>210</v>
      </c>
      <c r="R498" s="94">
        <v>3</v>
      </c>
      <c r="S498" s="94">
        <v>-2</v>
      </c>
      <c r="T498" s="94" t="s">
        <v>210</v>
      </c>
      <c r="U498" s="94" t="s">
        <v>202</v>
      </c>
      <c r="V498" s="94" t="s">
        <v>202</v>
      </c>
      <c r="W498" s="94">
        <v>-3</v>
      </c>
      <c r="X498" s="94" t="s">
        <v>210</v>
      </c>
      <c r="Y498" s="94" t="s">
        <v>210</v>
      </c>
      <c r="Z498" s="94">
        <v>2</v>
      </c>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5"/>
    </row>
    <row r="499" spans="1:53" s="87" customFormat="1">
      <c r="A499" s="90" t="str">
        <f t="shared" si="33"/>
        <v/>
      </c>
      <c r="B499" s="98">
        <v>14</v>
      </c>
      <c r="C499" s="94">
        <v>2</v>
      </c>
      <c r="D499" s="94" t="s">
        <v>210</v>
      </c>
      <c r="E499" s="94" t="s">
        <v>202</v>
      </c>
      <c r="F499" s="94" t="s">
        <v>202</v>
      </c>
      <c r="G499" s="94">
        <v>-1</v>
      </c>
      <c r="H499" s="94" t="s">
        <v>210</v>
      </c>
      <c r="I499" s="94" t="s">
        <v>210</v>
      </c>
      <c r="J499" s="94">
        <v>3</v>
      </c>
      <c r="K499" s="94" t="s">
        <v>202</v>
      </c>
      <c r="L499" s="94" t="s">
        <v>202</v>
      </c>
      <c r="M499" s="94" t="s">
        <v>210</v>
      </c>
      <c r="N499" s="94">
        <v>-1</v>
      </c>
      <c r="O499" s="94">
        <v>2</v>
      </c>
      <c r="P499" s="94" t="s">
        <v>210</v>
      </c>
      <c r="Q499" s="94" t="s">
        <v>202</v>
      </c>
      <c r="R499" s="94" t="s">
        <v>202</v>
      </c>
      <c r="S499" s="94">
        <v>-3</v>
      </c>
      <c r="T499" s="94" t="s">
        <v>210</v>
      </c>
      <c r="U499" s="94" t="s">
        <v>210</v>
      </c>
      <c r="V499" s="94">
        <v>-2</v>
      </c>
      <c r="W499" s="94" t="s">
        <v>202</v>
      </c>
      <c r="X499" s="94" t="s">
        <v>202</v>
      </c>
      <c r="Y499" s="94" t="s">
        <v>210</v>
      </c>
      <c r="Z499" s="94">
        <v>1</v>
      </c>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5"/>
    </row>
    <row r="500" spans="1:53" s="87" customFormat="1">
      <c r="A500" s="90" t="str">
        <f t="shared" si="33"/>
        <v/>
      </c>
      <c r="B500" s="98">
        <v>15</v>
      </c>
      <c r="C500" s="94" t="s">
        <v>202</v>
      </c>
      <c r="D500" s="94" t="s">
        <v>202</v>
      </c>
      <c r="E500" s="94" t="s">
        <v>210</v>
      </c>
      <c r="F500" s="94">
        <v>1</v>
      </c>
      <c r="G500" s="94">
        <v>3</v>
      </c>
      <c r="H500" s="94" t="s">
        <v>210</v>
      </c>
      <c r="I500" s="94" t="s">
        <v>202</v>
      </c>
      <c r="J500" s="94" t="s">
        <v>202</v>
      </c>
      <c r="K500" s="94">
        <v>-2</v>
      </c>
      <c r="L500" s="94" t="s">
        <v>210</v>
      </c>
      <c r="M500" s="94" t="s">
        <v>210</v>
      </c>
      <c r="N500" s="94">
        <v>-3</v>
      </c>
      <c r="O500" s="94" t="s">
        <v>202</v>
      </c>
      <c r="P500" s="94" t="s">
        <v>202</v>
      </c>
      <c r="Q500" s="94" t="s">
        <v>210</v>
      </c>
      <c r="R500" s="94">
        <v>2</v>
      </c>
      <c r="S500" s="94">
        <v>1</v>
      </c>
      <c r="T500" s="94" t="s">
        <v>210</v>
      </c>
      <c r="U500" s="94" t="s">
        <v>202</v>
      </c>
      <c r="V500" s="94" t="s">
        <v>202</v>
      </c>
      <c r="W500" s="94">
        <v>-2</v>
      </c>
      <c r="X500" s="94" t="s">
        <v>210</v>
      </c>
      <c r="Y500" s="94" t="s">
        <v>210</v>
      </c>
      <c r="Z500" s="94">
        <v>-1</v>
      </c>
      <c r="AA500" s="94"/>
      <c r="AB500" s="94"/>
      <c r="AC500" s="94"/>
      <c r="AD500" s="94"/>
      <c r="AE500" s="94"/>
      <c r="AF500" s="94"/>
      <c r="AG500" s="94"/>
      <c r="AH500" s="94"/>
      <c r="AI500" s="94"/>
      <c r="AJ500" s="94"/>
      <c r="AK500" s="94"/>
      <c r="AL500" s="94"/>
      <c r="AM500" s="94"/>
      <c r="AN500" s="94"/>
      <c r="AO500" s="94"/>
      <c r="AP500" s="94"/>
      <c r="AQ500" s="94"/>
      <c r="AR500" s="94"/>
      <c r="AS500" s="94"/>
      <c r="AT500" s="94"/>
      <c r="AU500" s="94"/>
      <c r="AV500" s="94"/>
      <c r="AW500" s="94"/>
      <c r="AX500" s="94"/>
      <c r="AY500" s="94"/>
      <c r="AZ500" s="94"/>
      <c r="BA500" s="95"/>
    </row>
    <row r="501" spans="1:53" s="87" customFormat="1">
      <c r="A501" s="90" t="str">
        <f t="shared" si="33"/>
        <v/>
      </c>
      <c r="B501" s="98">
        <v>16</v>
      </c>
      <c r="C501" s="94">
        <v>-2</v>
      </c>
      <c r="D501" s="94" t="s">
        <v>210</v>
      </c>
      <c r="E501" s="94" t="s">
        <v>210</v>
      </c>
      <c r="F501" s="94">
        <v>-3</v>
      </c>
      <c r="G501" s="94" t="s">
        <v>202</v>
      </c>
      <c r="H501" s="94" t="s">
        <v>202</v>
      </c>
      <c r="I501" s="94" t="s">
        <v>210</v>
      </c>
      <c r="J501" s="94">
        <v>2</v>
      </c>
      <c r="K501" s="94">
        <v>-1</v>
      </c>
      <c r="L501" s="94" t="s">
        <v>210</v>
      </c>
      <c r="M501" s="94" t="s">
        <v>202</v>
      </c>
      <c r="N501" s="94" t="s">
        <v>202</v>
      </c>
      <c r="O501" s="94">
        <v>3</v>
      </c>
      <c r="P501" s="94" t="s">
        <v>210</v>
      </c>
      <c r="Q501" s="94" t="s">
        <v>210</v>
      </c>
      <c r="R501" s="94">
        <v>-2</v>
      </c>
      <c r="S501" s="94" t="s">
        <v>202</v>
      </c>
      <c r="T501" s="94" t="s">
        <v>202</v>
      </c>
      <c r="U501" s="94" t="s">
        <v>210</v>
      </c>
      <c r="V501" s="94">
        <v>1</v>
      </c>
      <c r="W501" s="94">
        <v>3</v>
      </c>
      <c r="X501" s="94" t="s">
        <v>210</v>
      </c>
      <c r="Y501" s="94" t="s">
        <v>202</v>
      </c>
      <c r="Z501" s="94" t="s">
        <v>202</v>
      </c>
      <c r="AA501" s="94"/>
      <c r="AB501" s="94"/>
      <c r="AC501" s="94"/>
      <c r="AD501" s="94"/>
      <c r="AE501" s="94"/>
      <c r="AF501" s="94"/>
      <c r="AG501" s="94"/>
      <c r="AH501" s="94"/>
      <c r="AI501" s="94"/>
      <c r="AJ501" s="94"/>
      <c r="AK501" s="94"/>
      <c r="AL501" s="94"/>
      <c r="AM501" s="94"/>
      <c r="AN501" s="94"/>
      <c r="AO501" s="94"/>
      <c r="AP501" s="94"/>
      <c r="AQ501" s="94"/>
      <c r="AR501" s="94"/>
      <c r="AS501" s="94"/>
      <c r="AT501" s="94"/>
      <c r="AU501" s="94"/>
      <c r="AV501" s="94"/>
      <c r="AW501" s="94"/>
      <c r="AX501" s="94"/>
      <c r="AY501" s="94"/>
      <c r="AZ501" s="94"/>
      <c r="BA501" s="95"/>
    </row>
    <row r="502" spans="1:53" s="87" customFormat="1">
      <c r="A502" s="90" t="str">
        <f t="shared" si="33"/>
        <v/>
      </c>
      <c r="B502" s="98">
        <v>17</v>
      </c>
      <c r="C502" s="94" t="s">
        <v>210</v>
      </c>
      <c r="D502" s="94">
        <v>-3</v>
      </c>
      <c r="E502" s="94" t="s">
        <v>202</v>
      </c>
      <c r="F502" s="94" t="s">
        <v>202</v>
      </c>
      <c r="G502" s="94">
        <v>1</v>
      </c>
      <c r="H502" s="94" t="s">
        <v>210</v>
      </c>
      <c r="I502" s="94" t="s">
        <v>210</v>
      </c>
      <c r="J502" s="94">
        <v>-2</v>
      </c>
      <c r="K502" s="94" t="s">
        <v>202</v>
      </c>
      <c r="L502" s="94" t="s">
        <v>202</v>
      </c>
      <c r="M502" s="94" t="s">
        <v>210</v>
      </c>
      <c r="N502" s="94">
        <v>3</v>
      </c>
      <c r="O502" s="94">
        <v>-1</v>
      </c>
      <c r="P502" s="94" t="s">
        <v>210</v>
      </c>
      <c r="Q502" s="94" t="s">
        <v>202</v>
      </c>
      <c r="R502" s="94" t="s">
        <v>202</v>
      </c>
      <c r="S502" s="94">
        <v>2</v>
      </c>
      <c r="T502" s="94" t="s">
        <v>210</v>
      </c>
      <c r="U502" s="94" t="s">
        <v>210</v>
      </c>
      <c r="V502" s="94">
        <v>3</v>
      </c>
      <c r="W502" s="94">
        <v>-1</v>
      </c>
      <c r="X502" s="94" t="s">
        <v>210</v>
      </c>
      <c r="Y502" s="94" t="s">
        <v>202</v>
      </c>
      <c r="Z502" s="94" t="s">
        <v>202</v>
      </c>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5"/>
    </row>
    <row r="503" spans="1:53" s="87" customFormat="1">
      <c r="A503" s="90" t="str">
        <f t="shared" si="33"/>
        <v/>
      </c>
      <c r="B503" s="98">
        <v>18</v>
      </c>
      <c r="C503" s="94">
        <v>-1</v>
      </c>
      <c r="D503" s="94" t="s">
        <v>210</v>
      </c>
      <c r="E503" s="94" t="s">
        <v>210</v>
      </c>
      <c r="F503" s="94">
        <v>3</v>
      </c>
      <c r="G503" s="94" t="s">
        <v>202</v>
      </c>
      <c r="H503" s="94" t="s">
        <v>202</v>
      </c>
      <c r="I503" s="94" t="s">
        <v>210</v>
      </c>
      <c r="J503" s="94">
        <v>-1</v>
      </c>
      <c r="K503" s="94">
        <v>3</v>
      </c>
      <c r="L503" s="94" t="s">
        <v>210</v>
      </c>
      <c r="M503" s="94" t="s">
        <v>202</v>
      </c>
      <c r="N503" s="94" t="s">
        <v>202</v>
      </c>
      <c r="O503" s="94">
        <v>-2</v>
      </c>
      <c r="P503" s="94" t="s">
        <v>210</v>
      </c>
      <c r="Q503" s="94" t="s">
        <v>210</v>
      </c>
      <c r="R503" s="94">
        <v>1</v>
      </c>
      <c r="S503" s="94" t="s">
        <v>202</v>
      </c>
      <c r="T503" s="94" t="s">
        <v>202</v>
      </c>
      <c r="U503" s="94" t="s">
        <v>210</v>
      </c>
      <c r="V503" s="94">
        <v>-3</v>
      </c>
      <c r="W503" s="94">
        <v>2</v>
      </c>
      <c r="X503" s="94" t="s">
        <v>210</v>
      </c>
      <c r="Y503" s="94" t="s">
        <v>202</v>
      </c>
      <c r="Z503" s="94" t="s">
        <v>202</v>
      </c>
      <c r="AA503" s="94"/>
      <c r="AB503" s="94"/>
      <c r="AC503" s="94"/>
      <c r="AD503" s="94"/>
      <c r="AE503" s="94"/>
      <c r="AF503" s="94"/>
      <c r="AG503" s="94"/>
      <c r="AH503" s="94"/>
      <c r="AI503" s="94"/>
      <c r="AJ503" s="94"/>
      <c r="AK503" s="94"/>
      <c r="AL503" s="94"/>
      <c r="AM503" s="94"/>
      <c r="AN503" s="94"/>
      <c r="AO503" s="94"/>
      <c r="AP503" s="94"/>
      <c r="AQ503" s="94"/>
      <c r="AR503" s="94"/>
      <c r="AS503" s="94"/>
      <c r="AT503" s="94"/>
      <c r="AU503" s="94"/>
      <c r="AV503" s="94"/>
      <c r="AW503" s="94"/>
      <c r="AX503" s="94"/>
      <c r="AY503" s="94"/>
      <c r="AZ503" s="94"/>
      <c r="BA503" s="95"/>
    </row>
    <row r="504" spans="1:53" s="87" customFormat="1">
      <c r="A504" s="90" t="str">
        <f t="shared" si="33"/>
        <v/>
      </c>
      <c r="B504" s="317" t="s">
        <v>1108</v>
      </c>
      <c r="C504" s="94"/>
      <c r="D504" s="94"/>
      <c r="E504" s="94"/>
      <c r="F504" s="94"/>
      <c r="G504" s="94"/>
      <c r="H504" s="94"/>
      <c r="I504" s="94"/>
      <c r="J504" s="94"/>
      <c r="K504" s="94"/>
      <c r="L504" s="94"/>
      <c r="M504" s="94"/>
      <c r="N504" s="94"/>
      <c r="O504" s="94"/>
      <c r="P504" s="94"/>
      <c r="Q504" s="94"/>
      <c r="R504" s="94"/>
      <c r="S504" s="94"/>
      <c r="T504" s="94"/>
      <c r="U504" s="94"/>
      <c r="V504" s="94"/>
      <c r="W504" s="94"/>
      <c r="X504" s="94"/>
      <c r="Y504" s="94"/>
      <c r="Z504" s="94"/>
      <c r="AA504" s="94"/>
      <c r="AB504" s="94"/>
      <c r="AC504" s="94"/>
      <c r="AD504" s="94"/>
      <c r="AE504" s="94"/>
      <c r="AF504" s="94"/>
      <c r="AG504" s="94"/>
      <c r="AH504" s="94"/>
      <c r="AI504" s="94"/>
      <c r="AJ504" s="94"/>
      <c r="AK504" s="94"/>
      <c r="AL504" s="94"/>
      <c r="AM504" s="94"/>
      <c r="AN504" s="94"/>
      <c r="AO504" s="94"/>
      <c r="AP504" s="94"/>
      <c r="AQ504" s="94"/>
      <c r="AR504" s="94"/>
      <c r="AS504" s="94"/>
      <c r="AT504" s="94"/>
      <c r="AU504" s="94"/>
      <c r="AV504" s="94"/>
      <c r="AW504" s="94"/>
      <c r="AX504" s="94"/>
      <c r="AY504" s="94"/>
      <c r="AZ504" s="94"/>
      <c r="BA504" s="95"/>
    </row>
    <row r="505" spans="1:53" s="87" customFormat="1">
      <c r="A505" s="90">
        <f t="shared" si="33"/>
        <v>505</v>
      </c>
      <c r="B505" s="98" t="s">
        <v>1111</v>
      </c>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5"/>
    </row>
    <row r="506" spans="1:53" s="87" customFormat="1">
      <c r="A506" s="90" t="str">
        <f t="shared" si="33"/>
        <v/>
      </c>
      <c r="B506" s="98">
        <v>1</v>
      </c>
      <c r="C506" s="94" t="s">
        <v>202</v>
      </c>
      <c r="D506" s="94" t="s">
        <v>202</v>
      </c>
      <c r="E506" s="94">
        <v>2</v>
      </c>
      <c r="F506" s="94" t="s">
        <v>210</v>
      </c>
      <c r="G506" s="94">
        <v>-1</v>
      </c>
      <c r="H506" s="94" t="s">
        <v>210</v>
      </c>
      <c r="I506" s="94" t="s">
        <v>210</v>
      </c>
      <c r="J506" s="94">
        <v>-2</v>
      </c>
      <c r="K506" s="94" t="s">
        <v>202</v>
      </c>
      <c r="L506" s="94" t="s">
        <v>202</v>
      </c>
      <c r="M506" s="94" t="s">
        <v>210</v>
      </c>
      <c r="N506" s="94">
        <v>-3</v>
      </c>
      <c r="O506" s="94">
        <v>1</v>
      </c>
      <c r="P506" s="94" t="s">
        <v>210</v>
      </c>
      <c r="Q506" s="94" t="s">
        <v>210</v>
      </c>
      <c r="R506" s="94">
        <v>3</v>
      </c>
      <c r="S506" s="94">
        <v>2</v>
      </c>
      <c r="T506" s="94"/>
      <c r="U506" s="94"/>
      <c r="V506" s="94"/>
      <c r="W506" s="94"/>
      <c r="X506" s="94"/>
      <c r="Y506" s="94"/>
      <c r="Z506" s="94"/>
      <c r="AA506" s="94"/>
      <c r="AB506" s="94"/>
      <c r="AC506" s="94"/>
      <c r="AD506" s="94"/>
      <c r="AE506" s="94"/>
      <c r="AF506" s="94"/>
      <c r="AG506" s="94"/>
      <c r="AH506" s="94"/>
      <c r="AI506" s="94"/>
      <c r="AJ506" s="94"/>
      <c r="AK506" s="94"/>
      <c r="AL506" s="94"/>
      <c r="AM506" s="94"/>
      <c r="AN506" s="94"/>
      <c r="AO506" s="94"/>
      <c r="AP506" s="94"/>
      <c r="AQ506" s="94"/>
      <c r="AR506" s="94"/>
      <c r="AS506" s="94"/>
      <c r="AT506" s="94"/>
      <c r="AU506" s="94"/>
      <c r="AV506" s="94"/>
      <c r="AW506" s="94"/>
      <c r="AX506" s="94"/>
      <c r="AY506" s="94"/>
      <c r="AZ506" s="94"/>
      <c r="BA506" s="95"/>
    </row>
    <row r="507" spans="1:53" s="87" customFormat="1">
      <c r="A507" s="90" t="str">
        <f t="shared" si="33"/>
        <v/>
      </c>
      <c r="B507" s="98">
        <v>2</v>
      </c>
      <c r="C507" s="94">
        <v>-2</v>
      </c>
      <c r="D507" s="94" t="s">
        <v>210</v>
      </c>
      <c r="E507" s="94" t="s">
        <v>210</v>
      </c>
      <c r="F507" s="94">
        <v>1</v>
      </c>
      <c r="G507" s="94" t="s">
        <v>202</v>
      </c>
      <c r="H507" s="94" t="s">
        <v>202</v>
      </c>
      <c r="I507" s="94" t="s">
        <v>210</v>
      </c>
      <c r="J507" s="94">
        <v>3</v>
      </c>
      <c r="K507" s="94">
        <v>2</v>
      </c>
      <c r="L507" s="94" t="s">
        <v>210</v>
      </c>
      <c r="M507" s="94" t="s">
        <v>210</v>
      </c>
      <c r="N507" s="94">
        <v>-1</v>
      </c>
      <c r="O507" s="94">
        <v>-3</v>
      </c>
      <c r="P507" s="94" t="s">
        <v>210</v>
      </c>
      <c r="Q507" s="94" t="s">
        <v>202</v>
      </c>
      <c r="R507" s="94" t="s">
        <v>202</v>
      </c>
      <c r="S507" s="94">
        <v>-2</v>
      </c>
      <c r="T507" s="94"/>
      <c r="U507" s="94"/>
      <c r="V507" s="94"/>
      <c r="W507" s="94"/>
      <c r="X507" s="94"/>
      <c r="Y507" s="94"/>
      <c r="Z507" s="94"/>
      <c r="AA507" s="94"/>
      <c r="AB507" s="94"/>
      <c r="AC507" s="94"/>
      <c r="AD507" s="94"/>
      <c r="AE507" s="94"/>
      <c r="AF507" s="94"/>
      <c r="AG507" s="94"/>
      <c r="AH507" s="94"/>
      <c r="AI507" s="94"/>
      <c r="AJ507" s="94"/>
      <c r="AK507" s="94"/>
      <c r="AL507" s="94"/>
      <c r="AM507" s="94"/>
      <c r="AN507" s="94"/>
      <c r="AO507" s="94"/>
      <c r="AP507" s="94"/>
      <c r="AQ507" s="94"/>
      <c r="AR507" s="94"/>
      <c r="AS507" s="94"/>
      <c r="AT507" s="94"/>
      <c r="AU507" s="94"/>
      <c r="AV507" s="94"/>
      <c r="AW507" s="94"/>
      <c r="AX507" s="94"/>
      <c r="AY507" s="94"/>
      <c r="AZ507" s="94"/>
      <c r="BA507" s="95"/>
    </row>
    <row r="508" spans="1:53" s="87" customFormat="1">
      <c r="A508" s="90" t="str">
        <f t="shared" si="33"/>
        <v/>
      </c>
      <c r="B508" s="98">
        <v>3</v>
      </c>
      <c r="C508" s="94">
        <v>2</v>
      </c>
      <c r="D508" s="94" t="s">
        <v>210</v>
      </c>
      <c r="E508" s="94" t="s">
        <v>210</v>
      </c>
      <c r="F508" s="94">
        <v>3</v>
      </c>
      <c r="G508" s="94">
        <v>2</v>
      </c>
      <c r="H508" s="94" t="s">
        <v>210</v>
      </c>
      <c r="I508" s="94" t="s">
        <v>202</v>
      </c>
      <c r="J508" s="94" t="s">
        <v>202</v>
      </c>
      <c r="K508" s="94">
        <v>-1</v>
      </c>
      <c r="L508" s="94" t="s">
        <v>210</v>
      </c>
      <c r="M508" s="94" t="s">
        <v>210</v>
      </c>
      <c r="N508" s="94">
        <v>-2</v>
      </c>
      <c r="O508" s="94" t="s">
        <v>202</v>
      </c>
      <c r="P508" s="94" t="s">
        <v>202</v>
      </c>
      <c r="Q508" s="94" t="s">
        <v>210</v>
      </c>
      <c r="R508" s="94">
        <v>-3</v>
      </c>
      <c r="S508" s="94">
        <v>1</v>
      </c>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5"/>
    </row>
    <row r="509" spans="1:53" s="87" customFormat="1">
      <c r="A509" s="90" t="str">
        <f t="shared" si="33"/>
        <v/>
      </c>
      <c r="B509" s="98">
        <v>4</v>
      </c>
      <c r="C509" s="94">
        <v>1</v>
      </c>
      <c r="D509" s="94" t="s">
        <v>210</v>
      </c>
      <c r="E509" s="94" t="s">
        <v>210</v>
      </c>
      <c r="F509" s="94">
        <v>2</v>
      </c>
      <c r="G509" s="94">
        <v>-3</v>
      </c>
      <c r="H509" s="94" t="s">
        <v>210</v>
      </c>
      <c r="I509" s="94" t="s">
        <v>202</v>
      </c>
      <c r="J509" s="94" t="s">
        <v>202</v>
      </c>
      <c r="K509" s="94">
        <v>-2</v>
      </c>
      <c r="L509" s="94" t="s">
        <v>210</v>
      </c>
      <c r="M509" s="94" t="s">
        <v>210</v>
      </c>
      <c r="N509" s="94">
        <v>3</v>
      </c>
      <c r="O509" s="94" t="s">
        <v>202</v>
      </c>
      <c r="P509" s="94" t="s">
        <v>202</v>
      </c>
      <c r="Q509" s="94" t="s">
        <v>210</v>
      </c>
      <c r="R509" s="94">
        <v>-2</v>
      </c>
      <c r="S509" s="94">
        <v>-1</v>
      </c>
      <c r="T509" s="94"/>
      <c r="U509" s="94"/>
      <c r="V509" s="94"/>
      <c r="W509" s="94"/>
      <c r="X509" s="94"/>
      <c r="Y509" s="94"/>
      <c r="Z509" s="94"/>
      <c r="AA509" s="94"/>
      <c r="AB509" s="94"/>
      <c r="AC509" s="94"/>
      <c r="AD509" s="94"/>
      <c r="AE509" s="94"/>
      <c r="AF509" s="94"/>
      <c r="AG509" s="94"/>
      <c r="AH509" s="94"/>
      <c r="AI509" s="94"/>
      <c r="AJ509" s="94"/>
      <c r="AK509" s="94"/>
      <c r="AL509" s="94"/>
      <c r="AM509" s="94"/>
      <c r="AN509" s="94"/>
      <c r="AO509" s="94"/>
      <c r="AP509" s="94"/>
      <c r="AQ509" s="94"/>
      <c r="AR509" s="94"/>
      <c r="AS509" s="94"/>
      <c r="AT509" s="94"/>
      <c r="AU509" s="94"/>
      <c r="AV509" s="94"/>
      <c r="AW509" s="94"/>
      <c r="AX509" s="94"/>
      <c r="AY509" s="94"/>
      <c r="AZ509" s="94"/>
      <c r="BA509" s="95"/>
    </row>
    <row r="510" spans="1:53" s="87" customFormat="1">
      <c r="A510" s="90" t="str">
        <f t="shared" si="33"/>
        <v/>
      </c>
      <c r="B510" s="98">
        <v>5</v>
      </c>
      <c r="C510" s="94">
        <v>-1</v>
      </c>
      <c r="D510" s="94" t="s">
        <v>210</v>
      </c>
      <c r="E510" s="94" t="s">
        <v>210</v>
      </c>
      <c r="F510" s="94">
        <v>-3</v>
      </c>
      <c r="G510" s="94" t="s">
        <v>202</v>
      </c>
      <c r="H510" s="94" t="s">
        <v>202</v>
      </c>
      <c r="I510" s="94" t="s">
        <v>210</v>
      </c>
      <c r="J510" s="94">
        <v>2</v>
      </c>
      <c r="K510" s="94">
        <v>-3</v>
      </c>
      <c r="L510" s="94" t="s">
        <v>210</v>
      </c>
      <c r="M510" s="94" t="s">
        <v>210</v>
      </c>
      <c r="N510" s="94">
        <v>1</v>
      </c>
      <c r="O510" s="94">
        <v>-2</v>
      </c>
      <c r="P510" s="94" t="s">
        <v>210</v>
      </c>
      <c r="Q510" s="94" t="s">
        <v>202</v>
      </c>
      <c r="R510" s="94" t="s">
        <v>202</v>
      </c>
      <c r="S510" s="94">
        <v>3</v>
      </c>
      <c r="T510" s="94"/>
      <c r="U510" s="94"/>
      <c r="V510" s="94"/>
      <c r="W510" s="94"/>
      <c r="X510" s="94"/>
      <c r="Y510" s="94"/>
      <c r="Z510" s="94"/>
      <c r="AA510" s="94"/>
      <c r="AB510" s="94"/>
      <c r="AC510" s="94"/>
      <c r="AD510" s="94"/>
      <c r="AE510" s="94"/>
      <c r="AF510" s="94"/>
      <c r="AG510" s="94"/>
      <c r="AH510" s="94"/>
      <c r="AI510" s="94"/>
      <c r="AJ510" s="94"/>
      <c r="AK510" s="94"/>
      <c r="AL510" s="94"/>
      <c r="AM510" s="94"/>
      <c r="AN510" s="94"/>
      <c r="AO510" s="94"/>
      <c r="AP510" s="94"/>
      <c r="AQ510" s="94"/>
      <c r="AR510" s="94"/>
      <c r="AS510" s="94"/>
      <c r="AT510" s="94"/>
      <c r="AU510" s="94"/>
      <c r="AV510" s="94"/>
      <c r="AW510" s="94"/>
      <c r="AX510" s="94"/>
      <c r="AY510" s="94"/>
      <c r="AZ510" s="94"/>
      <c r="BA510" s="95"/>
    </row>
    <row r="511" spans="1:53" s="87" customFormat="1">
      <c r="A511" s="90" t="str">
        <f t="shared" si="33"/>
        <v/>
      </c>
      <c r="B511" s="98">
        <v>6</v>
      </c>
      <c r="C511" s="94" t="s">
        <v>202</v>
      </c>
      <c r="D511" s="94" t="s">
        <v>202</v>
      </c>
      <c r="E511" s="94">
        <v>-2</v>
      </c>
      <c r="F511" s="94" t="s">
        <v>210</v>
      </c>
      <c r="G511" s="94">
        <v>3</v>
      </c>
      <c r="H511" s="94" t="s">
        <v>210</v>
      </c>
      <c r="I511" s="94" t="s">
        <v>210</v>
      </c>
      <c r="J511" s="94">
        <v>-1</v>
      </c>
      <c r="K511" s="94" t="s">
        <v>202</v>
      </c>
      <c r="L511" s="94" t="s">
        <v>202</v>
      </c>
      <c r="M511" s="94" t="s">
        <v>210</v>
      </c>
      <c r="N511" s="94">
        <v>2</v>
      </c>
      <c r="O511" s="94">
        <v>3</v>
      </c>
      <c r="P511" s="94" t="s">
        <v>210</v>
      </c>
      <c r="Q511" s="94" t="s">
        <v>210</v>
      </c>
      <c r="R511" s="94">
        <v>1</v>
      </c>
      <c r="S511" s="94">
        <v>-3</v>
      </c>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5"/>
    </row>
    <row r="512" spans="1:53" s="87" customFormat="1">
      <c r="A512" s="90" t="str">
        <f t="shared" si="33"/>
        <v/>
      </c>
      <c r="B512" s="98">
        <v>7</v>
      </c>
      <c r="C512" s="94">
        <v>-3</v>
      </c>
      <c r="D512" s="94" t="s">
        <v>210</v>
      </c>
      <c r="E512" s="94" t="s">
        <v>210</v>
      </c>
      <c r="F512" s="94">
        <v>-1</v>
      </c>
      <c r="G512" s="94">
        <v>-2</v>
      </c>
      <c r="H512" s="94" t="s">
        <v>210</v>
      </c>
      <c r="I512" s="94" t="s">
        <v>210</v>
      </c>
      <c r="J512" s="94">
        <v>1</v>
      </c>
      <c r="K512" s="94">
        <v>3</v>
      </c>
      <c r="L512" s="94" t="s">
        <v>210</v>
      </c>
      <c r="M512" s="94" t="s">
        <v>202</v>
      </c>
      <c r="N512" s="94" t="s">
        <v>202</v>
      </c>
      <c r="O512" s="94">
        <v>-1</v>
      </c>
      <c r="P512" s="94" t="s">
        <v>210</v>
      </c>
      <c r="Q512" s="94" t="s">
        <v>210</v>
      </c>
      <c r="R512" s="94">
        <v>2</v>
      </c>
      <c r="S512" s="94" t="s">
        <v>202</v>
      </c>
      <c r="T512" s="94"/>
      <c r="U512" s="94"/>
      <c r="V512" s="94"/>
      <c r="W512" s="94"/>
      <c r="X512" s="94"/>
      <c r="Y512" s="94"/>
      <c r="Z512" s="94"/>
      <c r="AA512" s="94"/>
      <c r="AB512" s="94"/>
      <c r="AC512" s="94"/>
      <c r="AD512" s="94"/>
      <c r="AE512" s="94"/>
      <c r="AF512" s="94"/>
      <c r="AG512" s="94"/>
      <c r="AH512" s="94"/>
      <c r="AI512" s="94"/>
      <c r="AJ512" s="94"/>
      <c r="AK512" s="94"/>
      <c r="AL512" s="94"/>
      <c r="AM512" s="94"/>
      <c r="AN512" s="94"/>
      <c r="AO512" s="94"/>
      <c r="AP512" s="94"/>
      <c r="AQ512" s="94"/>
      <c r="AR512" s="94"/>
      <c r="AS512" s="94"/>
      <c r="AT512" s="94"/>
      <c r="AU512" s="94"/>
      <c r="AV512" s="94"/>
      <c r="AW512" s="94"/>
      <c r="AX512" s="94"/>
      <c r="AY512" s="94"/>
      <c r="AZ512" s="94"/>
      <c r="BA512" s="95"/>
    </row>
    <row r="513" spans="1:53" s="87" customFormat="1">
      <c r="A513" s="90" t="str">
        <f t="shared" si="33"/>
        <v/>
      </c>
      <c r="B513" s="98">
        <v>8</v>
      </c>
      <c r="C513" s="92">
        <v>3</v>
      </c>
      <c r="D513" s="92" t="s">
        <v>210</v>
      </c>
      <c r="E513" s="92" t="s">
        <v>210</v>
      </c>
      <c r="F513" s="92">
        <v>-2</v>
      </c>
      <c r="G513" s="92">
        <v>1</v>
      </c>
      <c r="H513" s="92" t="s">
        <v>210</v>
      </c>
      <c r="I513" s="92" t="s">
        <v>210</v>
      </c>
      <c r="J513" s="92">
        <v>-3</v>
      </c>
      <c r="K513" s="92">
        <v>1</v>
      </c>
      <c r="L513" s="92" t="s">
        <v>210</v>
      </c>
      <c r="M513" s="92" t="s">
        <v>202</v>
      </c>
      <c r="N513" s="92" t="s">
        <v>202</v>
      </c>
      <c r="O513" s="92">
        <v>2</v>
      </c>
      <c r="P513" s="92" t="s">
        <v>210</v>
      </c>
      <c r="Q513" s="92" t="s">
        <v>210</v>
      </c>
      <c r="R513" s="92">
        <v>-1</v>
      </c>
      <c r="S513" s="92" t="s">
        <v>202</v>
      </c>
      <c r="T513" s="94"/>
      <c r="U513" s="94"/>
      <c r="V513" s="94"/>
      <c r="W513" s="94"/>
      <c r="X513" s="94"/>
      <c r="Y513" s="94"/>
      <c r="Z513" s="94"/>
      <c r="AA513" s="94"/>
      <c r="AB513" s="94"/>
      <c r="AC513" s="94"/>
      <c r="AD513" s="94"/>
      <c r="AE513" s="94"/>
      <c r="AF513" s="94"/>
      <c r="AG513" s="94"/>
      <c r="AH513" s="94"/>
      <c r="AI513" s="94"/>
      <c r="AJ513" s="94"/>
      <c r="AK513" s="94"/>
      <c r="AL513" s="94"/>
      <c r="AM513" s="94"/>
      <c r="AN513" s="94"/>
      <c r="AO513" s="94"/>
      <c r="AP513" s="94"/>
      <c r="AQ513" s="94"/>
      <c r="AR513" s="94"/>
      <c r="AS513" s="94"/>
      <c r="AT513" s="94"/>
      <c r="AU513" s="94"/>
      <c r="AV513" s="94"/>
      <c r="AW513" s="94"/>
      <c r="AX513" s="94"/>
      <c r="AY513" s="94"/>
      <c r="AZ513" s="94"/>
      <c r="BA513" s="95"/>
    </row>
    <row r="514" spans="1:53" s="87" customFormat="1">
      <c r="A514" s="90" t="str">
        <f t="shared" si="33"/>
        <v/>
      </c>
      <c r="B514" s="98">
        <v>9</v>
      </c>
      <c r="C514" s="94" t="s">
        <v>202</v>
      </c>
      <c r="D514" s="94" t="s">
        <v>202</v>
      </c>
      <c r="E514" s="94">
        <v>3</v>
      </c>
      <c r="F514" s="94" t="s">
        <v>210</v>
      </c>
      <c r="G514" s="94" t="s">
        <v>210</v>
      </c>
      <c r="H514" s="94">
        <v>1</v>
      </c>
      <c r="I514" s="94">
        <v>2</v>
      </c>
      <c r="J514" s="94" t="s">
        <v>210</v>
      </c>
      <c r="K514" s="94" t="s">
        <v>210</v>
      </c>
      <c r="L514" s="94">
        <v>-1</v>
      </c>
      <c r="M514" s="94" t="s">
        <v>202</v>
      </c>
      <c r="N514" s="94" t="s">
        <v>202</v>
      </c>
      <c r="O514" s="94" t="s">
        <v>210</v>
      </c>
      <c r="P514" s="94">
        <v>-3</v>
      </c>
      <c r="Q514" s="94">
        <v>-2</v>
      </c>
      <c r="R514" s="94" t="s">
        <v>210</v>
      </c>
      <c r="S514" s="94" t="s">
        <v>210</v>
      </c>
      <c r="T514" s="94"/>
      <c r="U514" s="94"/>
      <c r="V514" s="94"/>
      <c r="W514" s="94"/>
      <c r="X514" s="94"/>
      <c r="Y514" s="94"/>
      <c r="Z514" s="94"/>
      <c r="AA514" s="94"/>
      <c r="AB514" s="94"/>
      <c r="AC514" s="94"/>
      <c r="AD514" s="94"/>
      <c r="AE514" s="94"/>
      <c r="AF514" s="94"/>
      <c r="AG514" s="94"/>
      <c r="AH514" s="94"/>
      <c r="AI514" s="94"/>
      <c r="AJ514" s="94"/>
      <c r="AK514" s="94"/>
      <c r="AL514" s="94"/>
      <c r="AM514" s="94"/>
      <c r="AN514" s="94"/>
      <c r="AO514" s="94"/>
      <c r="AP514" s="94"/>
      <c r="AQ514" s="94"/>
      <c r="AR514" s="94"/>
      <c r="AS514" s="94"/>
      <c r="AT514" s="94"/>
      <c r="AU514" s="94"/>
      <c r="AV514" s="94"/>
      <c r="AW514" s="94"/>
      <c r="AX514" s="94"/>
      <c r="AY514" s="94"/>
      <c r="AZ514" s="94"/>
      <c r="BA514" s="95"/>
    </row>
    <row r="515" spans="1:53" s="87" customFormat="1">
      <c r="A515" s="90" t="str">
        <f t="shared" si="33"/>
        <v/>
      </c>
      <c r="B515" s="98">
        <v>10</v>
      </c>
      <c r="C515" s="94" t="s">
        <v>202</v>
      </c>
      <c r="D515" s="94" t="s">
        <v>202</v>
      </c>
      <c r="E515" s="94">
        <v>1</v>
      </c>
      <c r="F515" s="94" t="s">
        <v>210</v>
      </c>
      <c r="G515" s="94" t="s">
        <v>210</v>
      </c>
      <c r="H515" s="94">
        <v>3</v>
      </c>
      <c r="I515" s="94" t="s">
        <v>202</v>
      </c>
      <c r="J515" s="94" t="s">
        <v>202</v>
      </c>
      <c r="K515" s="94" t="s">
        <v>210</v>
      </c>
      <c r="L515" s="94">
        <v>-2</v>
      </c>
      <c r="M515" s="94">
        <v>-3</v>
      </c>
      <c r="N515" s="94" t="s">
        <v>210</v>
      </c>
      <c r="O515" s="94" t="s">
        <v>210</v>
      </c>
      <c r="P515" s="94">
        <v>-1</v>
      </c>
      <c r="Q515" s="94">
        <v>2</v>
      </c>
      <c r="R515" s="94" t="s">
        <v>210</v>
      </c>
      <c r="S515" s="94" t="s">
        <v>210</v>
      </c>
      <c r="T515" s="94"/>
      <c r="U515" s="94"/>
      <c r="V515" s="94"/>
      <c r="W515" s="94"/>
      <c r="X515" s="94"/>
      <c r="Y515" s="94"/>
      <c r="Z515" s="94"/>
      <c r="AA515" s="94"/>
      <c r="AB515" s="94"/>
      <c r="AC515" s="94"/>
      <c r="AD515" s="94"/>
      <c r="AE515" s="94"/>
      <c r="AF515" s="94"/>
      <c r="AG515" s="94"/>
      <c r="AH515" s="94"/>
      <c r="AI515" s="94"/>
      <c r="AJ515" s="94"/>
      <c r="AK515" s="94"/>
      <c r="AL515" s="94"/>
      <c r="AM515" s="94"/>
      <c r="AN515" s="94"/>
      <c r="AO515" s="94"/>
      <c r="AP515" s="94"/>
      <c r="AQ515" s="94"/>
      <c r="AR515" s="94"/>
      <c r="AS515" s="94"/>
      <c r="AT515" s="94"/>
      <c r="AU515" s="94"/>
      <c r="AV515" s="94"/>
      <c r="AW515" s="94"/>
      <c r="AX515" s="94"/>
      <c r="AY515" s="94"/>
      <c r="AZ515" s="94"/>
      <c r="BA515" s="95"/>
    </row>
    <row r="516" spans="1:53" s="87" customFormat="1">
      <c r="A516" s="90" t="str">
        <f t="shared" si="33"/>
        <v/>
      </c>
      <c r="B516" s="98">
        <v>11</v>
      </c>
      <c r="C516" s="94" t="s">
        <v>210</v>
      </c>
      <c r="D516" s="94">
        <v>2</v>
      </c>
      <c r="E516" s="94" t="s">
        <v>202</v>
      </c>
      <c r="F516" s="94" t="s">
        <v>202</v>
      </c>
      <c r="G516" s="94" t="s">
        <v>210</v>
      </c>
      <c r="H516" s="94">
        <v>-3</v>
      </c>
      <c r="I516" s="94">
        <v>-2</v>
      </c>
      <c r="J516" s="94" t="s">
        <v>210</v>
      </c>
      <c r="K516" s="94" t="s">
        <v>210</v>
      </c>
      <c r="L516" s="94">
        <v>3</v>
      </c>
      <c r="M516" s="94">
        <v>-1</v>
      </c>
      <c r="N516" s="94" t="s">
        <v>210</v>
      </c>
      <c r="O516" s="94" t="s">
        <v>202</v>
      </c>
      <c r="P516" s="94" t="s">
        <v>202</v>
      </c>
      <c r="Q516" s="94">
        <v>1</v>
      </c>
      <c r="R516" s="94" t="s">
        <v>210</v>
      </c>
      <c r="S516" s="94" t="s">
        <v>210</v>
      </c>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5"/>
    </row>
    <row r="517" spans="1:53" s="87" customFormat="1">
      <c r="A517" s="90" t="str">
        <f t="shared" si="33"/>
        <v/>
      </c>
      <c r="B517" s="98">
        <v>12</v>
      </c>
      <c r="C517" s="94" t="s">
        <v>202</v>
      </c>
      <c r="D517" s="94" t="s">
        <v>202</v>
      </c>
      <c r="E517" s="94" t="s">
        <v>202</v>
      </c>
      <c r="F517" s="94" t="s">
        <v>202</v>
      </c>
      <c r="G517" s="94" t="s">
        <v>210</v>
      </c>
      <c r="H517" s="94">
        <v>-2</v>
      </c>
      <c r="I517" s="94">
        <v>-3</v>
      </c>
      <c r="J517" s="94" t="s">
        <v>210</v>
      </c>
      <c r="K517" s="94" t="s">
        <v>210</v>
      </c>
      <c r="L517" s="94">
        <v>1</v>
      </c>
      <c r="M517" s="94">
        <v>3</v>
      </c>
      <c r="N517" s="94" t="s">
        <v>210</v>
      </c>
      <c r="O517" s="94" t="s">
        <v>210</v>
      </c>
      <c r="P517" s="94">
        <v>2</v>
      </c>
      <c r="Q517" s="94">
        <v>-1</v>
      </c>
      <c r="R517" s="94" t="s">
        <v>210</v>
      </c>
      <c r="S517" s="94" t="s">
        <v>210</v>
      </c>
      <c r="T517" s="94"/>
      <c r="U517" s="94"/>
      <c r="V517" s="94"/>
      <c r="W517" s="94"/>
      <c r="X517" s="94"/>
      <c r="Y517" s="94"/>
      <c r="Z517" s="94"/>
      <c r="AA517" s="94"/>
      <c r="AB517" s="94"/>
      <c r="AC517" s="94"/>
      <c r="AD517" s="94"/>
      <c r="AE517" s="94"/>
      <c r="AF517" s="94"/>
      <c r="AG517" s="94"/>
      <c r="AH517" s="94"/>
      <c r="AI517" s="94"/>
      <c r="AJ517" s="94"/>
      <c r="AK517" s="94"/>
      <c r="AL517" s="94"/>
      <c r="AM517" s="94"/>
      <c r="AN517" s="94"/>
      <c r="AO517" s="94"/>
      <c r="AP517" s="94"/>
      <c r="AQ517" s="94"/>
      <c r="AR517" s="94"/>
      <c r="AS517" s="94"/>
      <c r="AT517" s="94"/>
      <c r="AU517" s="94"/>
      <c r="AV517" s="94"/>
      <c r="AW517" s="94"/>
      <c r="AX517" s="94"/>
      <c r="AY517" s="94"/>
      <c r="AZ517" s="94"/>
      <c r="BA517" s="95"/>
    </row>
    <row r="518" spans="1:53" s="87" customFormat="1">
      <c r="A518" s="90" t="str">
        <f t="shared" si="33"/>
        <v/>
      </c>
      <c r="B518" s="98">
        <v>13</v>
      </c>
      <c r="C518" s="94" t="s">
        <v>210</v>
      </c>
      <c r="D518" s="94">
        <v>-2</v>
      </c>
      <c r="E518" s="94" t="s">
        <v>202</v>
      </c>
      <c r="F518" s="94" t="s">
        <v>202</v>
      </c>
      <c r="G518" s="94" t="s">
        <v>210</v>
      </c>
      <c r="H518" s="94">
        <v>-1</v>
      </c>
      <c r="I518" s="94">
        <v>3</v>
      </c>
      <c r="J518" s="94" t="s">
        <v>210</v>
      </c>
      <c r="K518" s="94" t="s">
        <v>202</v>
      </c>
      <c r="L518" s="94" t="s">
        <v>202</v>
      </c>
      <c r="M518" s="94">
        <v>2</v>
      </c>
      <c r="N518" s="94" t="s">
        <v>210</v>
      </c>
      <c r="O518" s="94" t="s">
        <v>210</v>
      </c>
      <c r="P518" s="94">
        <v>1</v>
      </c>
      <c r="Q518" s="94">
        <v>-3</v>
      </c>
      <c r="R518" s="94" t="s">
        <v>210</v>
      </c>
      <c r="S518" s="94" t="s">
        <v>210</v>
      </c>
      <c r="T518" s="94"/>
      <c r="U518" s="94"/>
      <c r="V518" s="94"/>
      <c r="W518" s="94"/>
      <c r="X518" s="94"/>
      <c r="Y518" s="94"/>
      <c r="Z518" s="94"/>
      <c r="AA518" s="94"/>
      <c r="AB518" s="94"/>
      <c r="AC518" s="94"/>
      <c r="AD518" s="94"/>
      <c r="AE518" s="94"/>
      <c r="AF518" s="94"/>
      <c r="AG518" s="94"/>
      <c r="AH518" s="94"/>
      <c r="AI518" s="94"/>
      <c r="AJ518" s="94"/>
      <c r="AK518" s="94"/>
      <c r="AL518" s="94"/>
      <c r="AM518" s="94"/>
      <c r="AN518" s="94"/>
      <c r="AO518" s="94"/>
      <c r="AP518" s="94"/>
      <c r="AQ518" s="94"/>
      <c r="AR518" s="94"/>
      <c r="AS518" s="94"/>
      <c r="AT518" s="94"/>
      <c r="AU518" s="94"/>
      <c r="AV518" s="94"/>
      <c r="AW518" s="94"/>
      <c r="AX518" s="94"/>
      <c r="AY518" s="94"/>
      <c r="AZ518" s="94"/>
      <c r="BA518" s="95"/>
    </row>
    <row r="519" spans="1:53" s="87" customFormat="1">
      <c r="A519" s="90" t="str">
        <f t="shared" si="33"/>
        <v/>
      </c>
      <c r="B519" s="98">
        <v>14</v>
      </c>
      <c r="C519" s="94" t="s">
        <v>202</v>
      </c>
      <c r="D519" s="94" t="s">
        <v>202</v>
      </c>
      <c r="E519" s="94">
        <v>-3</v>
      </c>
      <c r="F519" s="94" t="s">
        <v>210</v>
      </c>
      <c r="G519" s="94" t="s">
        <v>202</v>
      </c>
      <c r="H519" s="94" t="s">
        <v>202</v>
      </c>
      <c r="I519" s="94">
        <v>-1</v>
      </c>
      <c r="J519" s="94" t="s">
        <v>210</v>
      </c>
      <c r="K519" s="94" t="s">
        <v>210</v>
      </c>
      <c r="L519" s="94">
        <v>2</v>
      </c>
      <c r="M519" s="94">
        <v>1</v>
      </c>
      <c r="N519" s="94" t="s">
        <v>210</v>
      </c>
      <c r="O519" s="94" t="s">
        <v>210</v>
      </c>
      <c r="P519" s="94">
        <v>-2</v>
      </c>
      <c r="Q519" s="94">
        <v>3</v>
      </c>
      <c r="R519" s="94" t="s">
        <v>210</v>
      </c>
      <c r="S519" s="94" t="s">
        <v>210</v>
      </c>
      <c r="T519" s="94"/>
      <c r="U519" s="94"/>
      <c r="V519" s="94"/>
      <c r="W519" s="94"/>
      <c r="X519" s="94"/>
      <c r="Y519" s="94"/>
      <c r="Z519" s="94"/>
      <c r="AA519" s="94"/>
      <c r="AB519" s="94"/>
      <c r="AC519" s="94"/>
      <c r="AD519" s="94"/>
      <c r="AE519" s="94"/>
      <c r="AF519" s="94"/>
      <c r="AG519" s="94"/>
      <c r="AH519" s="94"/>
      <c r="AI519" s="94"/>
      <c r="AJ519" s="94"/>
      <c r="AK519" s="94"/>
      <c r="AL519" s="94"/>
      <c r="AM519" s="94"/>
      <c r="AN519" s="94"/>
      <c r="AO519" s="94"/>
      <c r="AP519" s="94"/>
      <c r="AQ519" s="94"/>
      <c r="AR519" s="94"/>
      <c r="AS519" s="94"/>
      <c r="AT519" s="94"/>
      <c r="AU519" s="94"/>
      <c r="AV519" s="94"/>
      <c r="AW519" s="94"/>
      <c r="AX519" s="94"/>
      <c r="AY519" s="94"/>
      <c r="AZ519" s="94"/>
      <c r="BA519" s="95"/>
    </row>
    <row r="520" spans="1:53" s="87" customFormat="1">
      <c r="A520" s="90" t="str">
        <f t="shared" si="33"/>
        <v/>
      </c>
      <c r="B520" s="98">
        <v>15</v>
      </c>
      <c r="C520" s="94" t="s">
        <v>202</v>
      </c>
      <c r="D520" s="94" t="s">
        <v>202</v>
      </c>
      <c r="E520" s="94">
        <v>-1</v>
      </c>
      <c r="F520" s="94" t="s">
        <v>210</v>
      </c>
      <c r="G520" s="94" t="s">
        <v>210</v>
      </c>
      <c r="H520" s="94">
        <v>2</v>
      </c>
      <c r="I520" s="94">
        <v>1</v>
      </c>
      <c r="J520" s="94" t="s">
        <v>210</v>
      </c>
      <c r="K520" s="94" t="s">
        <v>210</v>
      </c>
      <c r="L520" s="94">
        <v>-3</v>
      </c>
      <c r="M520" s="94">
        <v>-2</v>
      </c>
      <c r="N520" s="94" t="s">
        <v>210</v>
      </c>
      <c r="O520" s="94" t="s">
        <v>210</v>
      </c>
      <c r="P520" s="94">
        <v>3</v>
      </c>
      <c r="Q520" s="94" t="s">
        <v>202</v>
      </c>
      <c r="R520" s="94" t="s">
        <v>202</v>
      </c>
      <c r="S520" s="94" t="s">
        <v>210</v>
      </c>
      <c r="T520" s="94"/>
      <c r="U520" s="94"/>
      <c r="V520" s="94"/>
      <c r="W520" s="94"/>
      <c r="X520" s="94"/>
      <c r="Y520" s="94"/>
      <c r="Z520" s="94"/>
      <c r="AA520" s="94"/>
      <c r="AB520" s="94"/>
      <c r="AC520" s="94"/>
      <c r="AD520" s="94"/>
      <c r="AE520" s="94"/>
      <c r="AF520" s="94"/>
      <c r="AG520" s="94"/>
      <c r="AH520" s="94"/>
      <c r="AI520" s="94"/>
      <c r="AJ520" s="94"/>
      <c r="AK520" s="94"/>
      <c r="AL520" s="94"/>
      <c r="AM520" s="94"/>
      <c r="AN520" s="94"/>
      <c r="AO520" s="94"/>
      <c r="AP520" s="94"/>
      <c r="AQ520" s="94"/>
      <c r="AR520" s="94"/>
      <c r="AS520" s="94"/>
      <c r="AT520" s="94"/>
      <c r="AU520" s="94"/>
      <c r="AV520" s="94"/>
      <c r="AW520" s="94"/>
      <c r="AX520" s="94"/>
      <c r="AY520" s="94"/>
      <c r="AZ520" s="94"/>
      <c r="BA520" s="95"/>
    </row>
    <row r="521" spans="1:53" s="87" customFormat="1">
      <c r="A521" s="90" t="str">
        <f t="shared" si="33"/>
        <v/>
      </c>
      <c r="B521" s="317" t="s">
        <v>1112</v>
      </c>
      <c r="C521" s="94"/>
      <c r="D521" s="94"/>
      <c r="E521" s="94"/>
      <c r="F521" s="94"/>
      <c r="G521" s="94"/>
      <c r="H521" s="94"/>
      <c r="I521" s="94"/>
      <c r="J521" s="94"/>
      <c r="K521" s="94"/>
      <c r="L521" s="94"/>
      <c r="M521" s="94"/>
      <c r="N521" s="94"/>
      <c r="O521" s="94"/>
      <c r="P521" s="94"/>
      <c r="Q521" s="94"/>
      <c r="R521" s="94"/>
      <c r="S521" s="94"/>
      <c r="T521" s="94"/>
      <c r="U521" s="94"/>
      <c r="V521" s="94"/>
      <c r="W521" s="94"/>
      <c r="X521" s="94"/>
      <c r="Y521" s="94"/>
      <c r="Z521" s="94"/>
      <c r="AA521" s="94"/>
      <c r="AB521" s="94"/>
      <c r="AC521" s="94"/>
      <c r="AD521" s="94"/>
      <c r="AE521" s="94"/>
      <c r="AF521" s="94"/>
      <c r="AG521" s="94"/>
      <c r="AH521" s="94"/>
      <c r="AI521" s="94"/>
      <c r="AJ521" s="94"/>
      <c r="AK521" s="94"/>
      <c r="AL521" s="94"/>
      <c r="AM521" s="94"/>
      <c r="AN521" s="94"/>
      <c r="AO521" s="94"/>
      <c r="AP521" s="94"/>
      <c r="AQ521" s="94"/>
      <c r="AR521" s="94"/>
      <c r="AS521" s="94"/>
      <c r="AT521" s="94"/>
      <c r="AU521" s="94"/>
      <c r="AV521" s="94"/>
      <c r="AW521" s="94"/>
      <c r="AX521" s="94"/>
      <c r="AY521" s="94"/>
      <c r="AZ521" s="94"/>
      <c r="BA521" s="95"/>
    </row>
    <row r="522" spans="1:53" s="87" customFormat="1">
      <c r="A522" s="90" t="str">
        <f t="shared" si="33"/>
        <v/>
      </c>
      <c r="B522" s="98"/>
      <c r="C522" s="94"/>
      <c r="D522" s="94"/>
      <c r="E522" s="94"/>
      <c r="F522" s="94"/>
      <c r="G522" s="94"/>
      <c r="H522" s="94"/>
      <c r="I522" s="94"/>
      <c r="J522" s="94"/>
      <c r="K522" s="94"/>
      <c r="L522" s="94"/>
      <c r="M522" s="94"/>
      <c r="N522" s="94"/>
      <c r="O522" s="94"/>
      <c r="P522" s="94"/>
      <c r="Q522" s="94"/>
      <c r="R522" s="94"/>
      <c r="S522" s="94"/>
      <c r="T522" s="94"/>
      <c r="U522" s="94"/>
      <c r="V522" s="94"/>
      <c r="W522" s="94"/>
      <c r="X522" s="94"/>
      <c r="Y522" s="94"/>
      <c r="Z522" s="94"/>
      <c r="AA522" s="94"/>
      <c r="AB522" s="94"/>
      <c r="AC522" s="94"/>
      <c r="AD522" s="94"/>
      <c r="AE522" s="94"/>
      <c r="AF522" s="94"/>
      <c r="AG522" s="94"/>
      <c r="AH522" s="94"/>
      <c r="AI522" s="94"/>
      <c r="AJ522" s="94"/>
      <c r="AK522" s="94"/>
      <c r="AL522" s="94"/>
      <c r="AM522" s="94"/>
      <c r="AN522" s="94"/>
      <c r="AO522" s="94"/>
      <c r="AP522" s="94"/>
      <c r="AQ522" s="94"/>
      <c r="AR522" s="94"/>
      <c r="AS522" s="94"/>
      <c r="AT522" s="94"/>
      <c r="AU522" s="94"/>
      <c r="AV522" s="94"/>
      <c r="AW522" s="94"/>
      <c r="AX522" s="94"/>
      <c r="AY522" s="94"/>
      <c r="AZ522" s="94"/>
      <c r="BA522" s="95"/>
    </row>
    <row r="523" spans="1:53" s="87" customFormat="1">
      <c r="A523" s="90" t="str">
        <f t="shared" si="33"/>
        <v/>
      </c>
      <c r="B523" s="98"/>
      <c r="C523" s="94"/>
      <c r="D523" s="94"/>
      <c r="E523" s="94"/>
      <c r="F523" s="94"/>
      <c r="G523" s="94"/>
      <c r="H523" s="94"/>
      <c r="I523" s="94"/>
      <c r="J523" s="94"/>
      <c r="K523" s="94"/>
      <c r="L523" s="94"/>
      <c r="M523" s="94"/>
      <c r="N523" s="94"/>
      <c r="O523" s="94"/>
      <c r="P523" s="94"/>
      <c r="Q523" s="94"/>
      <c r="R523" s="94"/>
      <c r="S523" s="94"/>
      <c r="T523" s="94"/>
      <c r="U523" s="94"/>
      <c r="V523" s="94"/>
      <c r="W523" s="94"/>
      <c r="X523" s="94"/>
      <c r="Y523" s="94"/>
      <c r="Z523" s="94"/>
      <c r="AA523" s="94"/>
      <c r="AB523" s="94"/>
      <c r="AC523" s="94"/>
      <c r="AD523" s="94"/>
      <c r="AE523" s="94"/>
      <c r="AF523" s="94"/>
      <c r="AG523" s="94"/>
      <c r="AH523" s="94"/>
      <c r="AI523" s="94"/>
      <c r="AJ523" s="94"/>
      <c r="AK523" s="94"/>
      <c r="AL523" s="94"/>
      <c r="AM523" s="94"/>
      <c r="AN523" s="94"/>
      <c r="AO523" s="94"/>
      <c r="AP523" s="94"/>
      <c r="AQ523" s="94"/>
      <c r="AR523" s="94"/>
      <c r="AS523" s="94"/>
      <c r="AT523" s="94"/>
      <c r="AU523" s="94"/>
      <c r="AV523" s="94"/>
      <c r="AW523" s="94"/>
      <c r="AX523" s="94"/>
      <c r="AY523" s="94"/>
      <c r="AZ523" s="94"/>
      <c r="BA523" s="95"/>
    </row>
    <row r="524" spans="1:53" s="87" customFormat="1">
      <c r="A524" s="90" t="str">
        <f t="shared" ref="A524:A587" si="34">IF(MID(B524,3,2)="03",ROW(),"")</f>
        <v/>
      </c>
      <c r="B524" s="98"/>
      <c r="C524" s="94"/>
      <c r="D524" s="94"/>
      <c r="E524" s="94"/>
      <c r="F524" s="94"/>
      <c r="G524" s="94"/>
      <c r="H524" s="94"/>
      <c r="I524" s="94"/>
      <c r="J524" s="94"/>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AZ524" s="94"/>
      <c r="BA524" s="95"/>
    </row>
    <row r="525" spans="1:53" s="87" customFormat="1">
      <c r="A525" s="90" t="str">
        <f t="shared" si="34"/>
        <v/>
      </c>
      <c r="B525" s="98"/>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5"/>
    </row>
    <row r="526" spans="1:53" s="87" customFormat="1">
      <c r="A526" s="90" t="str">
        <f t="shared" si="34"/>
        <v/>
      </c>
      <c r="B526" s="98"/>
      <c r="C526" s="94"/>
      <c r="D526" s="94"/>
      <c r="E526" s="94"/>
      <c r="F526" s="94"/>
      <c r="G526" s="94"/>
      <c r="H526" s="94"/>
      <c r="I526" s="94"/>
      <c r="J526" s="94"/>
      <c r="K526" s="94"/>
      <c r="L526" s="94"/>
      <c r="M526" s="94"/>
      <c r="N526" s="94"/>
      <c r="O526" s="94"/>
      <c r="P526" s="94"/>
      <c r="Q526" s="94"/>
      <c r="R526" s="94"/>
      <c r="S526" s="94"/>
      <c r="T526" s="94"/>
      <c r="U526" s="94"/>
      <c r="V526" s="94"/>
      <c r="W526" s="94"/>
      <c r="X526" s="94"/>
      <c r="Y526" s="94"/>
      <c r="Z526" s="94"/>
      <c r="AA526" s="94"/>
      <c r="AB526" s="94"/>
      <c r="AC526" s="94"/>
      <c r="AD526" s="94"/>
      <c r="AE526" s="94"/>
      <c r="AF526" s="94"/>
      <c r="AG526" s="94"/>
      <c r="AH526" s="94"/>
      <c r="AI526" s="94"/>
      <c r="AJ526" s="94"/>
      <c r="AK526" s="94"/>
      <c r="AL526" s="94"/>
      <c r="AM526" s="94"/>
      <c r="AN526" s="94"/>
      <c r="AO526" s="94"/>
      <c r="AP526" s="94"/>
      <c r="AQ526" s="94"/>
      <c r="AR526" s="94"/>
      <c r="AS526" s="94"/>
      <c r="AT526" s="94"/>
      <c r="AU526" s="94"/>
      <c r="AV526" s="94"/>
      <c r="AW526" s="94"/>
      <c r="AX526" s="94"/>
      <c r="AY526" s="94"/>
      <c r="AZ526" s="94"/>
      <c r="BA526" s="95"/>
    </row>
    <row r="527" spans="1:53" s="87" customFormat="1">
      <c r="A527" s="90" t="str">
        <f t="shared" si="34"/>
        <v/>
      </c>
      <c r="B527" s="98"/>
      <c r="C527" s="94"/>
      <c r="D527" s="94"/>
      <c r="E527" s="94"/>
      <c r="F527" s="94"/>
      <c r="G527" s="94"/>
      <c r="H527" s="94"/>
      <c r="I527" s="94"/>
      <c r="J527" s="94"/>
      <c r="K527" s="94"/>
      <c r="L527" s="94"/>
      <c r="M527" s="94"/>
      <c r="N527" s="94"/>
      <c r="O527" s="94"/>
      <c r="P527" s="94"/>
      <c r="Q527" s="94"/>
      <c r="R527" s="94"/>
      <c r="S527" s="94"/>
      <c r="T527" s="94"/>
      <c r="U527" s="94"/>
      <c r="V527" s="94"/>
      <c r="W527" s="94"/>
      <c r="X527" s="94"/>
      <c r="Y527" s="94"/>
      <c r="Z527" s="94"/>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AZ527" s="94"/>
      <c r="BA527" s="95"/>
    </row>
    <row r="528" spans="1:53" s="87" customFormat="1">
      <c r="A528" s="90" t="str">
        <f t="shared" si="34"/>
        <v/>
      </c>
      <c r="B528" s="98"/>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5"/>
    </row>
    <row r="529" spans="1:53" s="87" customFormat="1">
      <c r="A529" s="90" t="str">
        <f t="shared" si="34"/>
        <v/>
      </c>
      <c r="B529" s="98"/>
      <c r="C529" s="94"/>
      <c r="D529" s="94"/>
      <c r="E529" s="94"/>
      <c r="F529" s="94"/>
      <c r="G529" s="94"/>
      <c r="H529" s="94"/>
      <c r="I529" s="94"/>
      <c r="J529" s="94"/>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5"/>
    </row>
    <row r="530" spans="1:53" s="87" customFormat="1">
      <c r="A530" s="90" t="str">
        <f t="shared" si="34"/>
        <v/>
      </c>
      <c r="B530" s="98"/>
      <c r="C530" s="94"/>
      <c r="D530" s="94"/>
      <c r="E530" s="94"/>
      <c r="F530" s="94"/>
      <c r="G530" s="94"/>
      <c r="H530" s="94"/>
      <c r="I530" s="94"/>
      <c r="J530" s="94"/>
      <c r="K530" s="94"/>
      <c r="L530" s="94"/>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AZ530" s="94"/>
      <c r="BA530" s="95"/>
    </row>
    <row r="531" spans="1:53" s="87" customFormat="1">
      <c r="A531" s="90" t="str">
        <f t="shared" si="34"/>
        <v/>
      </c>
      <c r="B531" s="98"/>
      <c r="C531" s="94"/>
      <c r="D531" s="94"/>
      <c r="E531" s="94"/>
      <c r="F531" s="94"/>
      <c r="G531" s="94"/>
      <c r="H531" s="94"/>
      <c r="I531" s="94"/>
      <c r="J531" s="94"/>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AZ531" s="94"/>
      <c r="BA531" s="95"/>
    </row>
    <row r="532" spans="1:53" s="87" customFormat="1">
      <c r="A532" s="90" t="str">
        <f t="shared" si="34"/>
        <v/>
      </c>
      <c r="B532" s="98"/>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5"/>
    </row>
    <row r="533" spans="1:53" s="87" customFormat="1">
      <c r="A533" s="90" t="str">
        <f t="shared" si="34"/>
        <v/>
      </c>
      <c r="B533" s="98"/>
      <c r="C533" s="94"/>
      <c r="D533" s="94"/>
      <c r="E533" s="94"/>
      <c r="F533" s="94"/>
      <c r="G533" s="94"/>
      <c r="H533" s="94"/>
      <c r="I533" s="94"/>
      <c r="J533" s="94"/>
      <c r="K533" s="94"/>
      <c r="L533" s="94"/>
      <c r="M533" s="94"/>
      <c r="N533" s="94"/>
      <c r="O533" s="94"/>
      <c r="P533" s="94"/>
      <c r="Q533" s="94"/>
      <c r="R533" s="94"/>
      <c r="S533" s="94"/>
      <c r="T533" s="94"/>
      <c r="U533" s="94"/>
      <c r="V533" s="94"/>
      <c r="W533" s="94"/>
      <c r="X533" s="94"/>
      <c r="Y533" s="94"/>
      <c r="Z533" s="94"/>
      <c r="AA533" s="94"/>
      <c r="AB533" s="94"/>
      <c r="AC533" s="94"/>
      <c r="AD533" s="94"/>
      <c r="AE533" s="94"/>
      <c r="AF533" s="94"/>
      <c r="AG533" s="94"/>
      <c r="AH533" s="94"/>
      <c r="AI533" s="94"/>
      <c r="AJ533" s="94"/>
      <c r="AK533" s="94"/>
      <c r="AL533" s="94"/>
      <c r="AM533" s="94"/>
      <c r="AN533" s="94"/>
      <c r="AO533" s="94"/>
      <c r="AP533" s="94"/>
      <c r="AQ533" s="94"/>
      <c r="AR533" s="94"/>
      <c r="AS533" s="94"/>
      <c r="AT533" s="94"/>
      <c r="AU533" s="94"/>
      <c r="AV533" s="94"/>
      <c r="AW533" s="94"/>
      <c r="AX533" s="94"/>
      <c r="AY533" s="94"/>
      <c r="AZ533" s="94"/>
      <c r="BA533" s="95"/>
    </row>
    <row r="534" spans="1:53" s="87" customFormat="1">
      <c r="A534" s="90" t="str">
        <f t="shared" si="34"/>
        <v/>
      </c>
      <c r="B534" s="98"/>
      <c r="C534" s="94"/>
      <c r="D534" s="94"/>
      <c r="E534" s="94"/>
      <c r="F534" s="94"/>
      <c r="G534" s="94"/>
      <c r="H534" s="94"/>
      <c r="I534" s="94"/>
      <c r="J534" s="94"/>
      <c r="K534" s="94"/>
      <c r="L534" s="94"/>
      <c r="M534" s="94"/>
      <c r="N534" s="94"/>
      <c r="O534" s="94"/>
      <c r="P534" s="94"/>
      <c r="Q534" s="94"/>
      <c r="R534" s="94"/>
      <c r="S534" s="94"/>
      <c r="T534" s="94"/>
      <c r="U534" s="94"/>
      <c r="V534" s="94"/>
      <c r="W534" s="94"/>
      <c r="X534" s="94"/>
      <c r="Y534" s="94"/>
      <c r="Z534" s="94"/>
      <c r="AA534" s="94"/>
      <c r="AB534" s="94"/>
      <c r="AC534" s="94"/>
      <c r="AD534" s="94"/>
      <c r="AE534" s="94"/>
      <c r="AF534" s="94"/>
      <c r="AG534" s="94"/>
      <c r="AH534" s="94"/>
      <c r="AI534" s="94"/>
      <c r="AJ534" s="94"/>
      <c r="AK534" s="94"/>
      <c r="AL534" s="94"/>
      <c r="AM534" s="94"/>
      <c r="AN534" s="94"/>
      <c r="AO534" s="94"/>
      <c r="AP534" s="94"/>
      <c r="AQ534" s="94"/>
      <c r="AR534" s="94"/>
      <c r="AS534" s="94"/>
      <c r="AT534" s="94"/>
      <c r="AU534" s="94"/>
      <c r="AV534" s="94"/>
      <c r="AW534" s="94"/>
      <c r="AX534" s="94"/>
      <c r="AY534" s="94"/>
      <c r="AZ534" s="94"/>
      <c r="BA534" s="95"/>
    </row>
    <row r="535" spans="1:53" s="87" customFormat="1">
      <c r="A535" s="90" t="str">
        <f t="shared" si="34"/>
        <v/>
      </c>
      <c r="B535" s="98"/>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5"/>
    </row>
    <row r="536" spans="1:53" s="87" customFormat="1">
      <c r="A536" s="90" t="str">
        <f t="shared" si="34"/>
        <v/>
      </c>
      <c r="B536" s="98"/>
      <c r="C536" s="94"/>
      <c r="D536" s="94"/>
      <c r="E536" s="94"/>
      <c r="F536" s="94"/>
      <c r="G536" s="94"/>
      <c r="H536" s="94"/>
      <c r="I536" s="94"/>
      <c r="J536" s="94"/>
      <c r="K536" s="94"/>
      <c r="L536" s="94"/>
      <c r="M536" s="94"/>
      <c r="N536" s="94"/>
      <c r="O536" s="94"/>
      <c r="P536" s="94"/>
      <c r="Q536" s="94"/>
      <c r="R536" s="94"/>
      <c r="S536" s="94"/>
      <c r="T536" s="94"/>
      <c r="U536" s="94"/>
      <c r="V536" s="94"/>
      <c r="W536" s="94"/>
      <c r="X536" s="94"/>
      <c r="Y536" s="94"/>
      <c r="Z536" s="94"/>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5"/>
    </row>
    <row r="537" spans="1:53" s="87" customFormat="1">
      <c r="A537" s="90" t="str">
        <f t="shared" si="34"/>
        <v/>
      </c>
      <c r="B537" s="98"/>
      <c r="C537" s="94"/>
      <c r="D537" s="94"/>
      <c r="E537" s="94"/>
      <c r="F537" s="94"/>
      <c r="G537" s="94"/>
      <c r="H537" s="94"/>
      <c r="I537" s="94"/>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5"/>
    </row>
    <row r="538" spans="1:53" s="87" customFormat="1">
      <c r="A538" s="90" t="str">
        <f t="shared" si="34"/>
        <v/>
      </c>
      <c r="B538" s="98"/>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5"/>
    </row>
    <row r="539" spans="1:53" s="87" customFormat="1">
      <c r="A539" s="90" t="str">
        <f t="shared" si="34"/>
        <v/>
      </c>
      <c r="B539" s="98"/>
      <c r="C539" s="94"/>
      <c r="D539" s="94"/>
      <c r="E539" s="94"/>
      <c r="F539" s="94"/>
      <c r="G539" s="94"/>
      <c r="H539" s="94"/>
      <c r="I539" s="94"/>
      <c r="J539" s="94"/>
      <c r="K539" s="94"/>
      <c r="L539" s="94"/>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5"/>
    </row>
    <row r="540" spans="1:53" s="87" customFormat="1">
      <c r="A540" s="90" t="str">
        <f t="shared" si="34"/>
        <v/>
      </c>
      <c r="B540" s="98"/>
      <c r="C540" s="94"/>
      <c r="D540" s="94"/>
      <c r="E540" s="94"/>
      <c r="F540" s="94"/>
      <c r="G540" s="94"/>
      <c r="H540" s="94"/>
      <c r="I540" s="94"/>
      <c r="J540" s="94"/>
      <c r="K540" s="94"/>
      <c r="L540" s="94"/>
      <c r="M540" s="94"/>
      <c r="N540" s="94"/>
      <c r="O540" s="94"/>
      <c r="P540" s="94"/>
      <c r="Q540" s="94"/>
      <c r="R540" s="94"/>
      <c r="S540" s="94"/>
      <c r="T540" s="94"/>
      <c r="U540" s="94"/>
      <c r="V540" s="94"/>
      <c r="W540" s="94"/>
      <c r="X540" s="94"/>
      <c r="Y540" s="94"/>
      <c r="Z540" s="94"/>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c r="AW540" s="94"/>
      <c r="AX540" s="94"/>
      <c r="AY540" s="94"/>
      <c r="AZ540" s="94"/>
      <c r="BA540" s="95"/>
    </row>
    <row r="541" spans="1:53" s="87" customFormat="1">
      <c r="A541" s="90" t="str">
        <f t="shared" si="34"/>
        <v/>
      </c>
      <c r="B541" s="98"/>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5"/>
    </row>
    <row r="542" spans="1:53" s="87" customFormat="1">
      <c r="A542" s="90" t="str">
        <f t="shared" si="34"/>
        <v/>
      </c>
      <c r="B542" s="98"/>
      <c r="C542" s="94"/>
      <c r="D542" s="94"/>
      <c r="E542" s="94"/>
      <c r="F542" s="94"/>
      <c r="G542" s="94"/>
      <c r="H542" s="94"/>
      <c r="I542" s="94"/>
      <c r="J542" s="94"/>
      <c r="K542" s="94"/>
      <c r="L542" s="94"/>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5"/>
    </row>
    <row r="543" spans="1:53" s="87" customFormat="1">
      <c r="A543" s="90" t="str">
        <f t="shared" si="34"/>
        <v/>
      </c>
      <c r="B543" s="98"/>
      <c r="C543" s="94"/>
      <c r="D543" s="94"/>
      <c r="E543" s="94"/>
      <c r="F543" s="94"/>
      <c r="G543" s="94"/>
      <c r="H543" s="94"/>
      <c r="I543" s="94"/>
      <c r="J543" s="94"/>
      <c r="K543" s="94"/>
      <c r="L543" s="94"/>
      <c r="M543" s="94"/>
      <c r="N543" s="94"/>
      <c r="O543" s="94"/>
      <c r="P543" s="94"/>
      <c r="Q543" s="94"/>
      <c r="R543" s="94"/>
      <c r="S543" s="94"/>
      <c r="T543" s="94"/>
      <c r="U543" s="94"/>
      <c r="V543" s="94"/>
      <c r="W543" s="94"/>
      <c r="X543" s="94"/>
      <c r="Y543" s="94"/>
      <c r="Z543" s="94"/>
      <c r="AA543" s="94"/>
      <c r="AB543" s="94"/>
      <c r="AC543" s="94"/>
      <c r="AD543" s="94"/>
      <c r="AE543" s="94"/>
      <c r="AF543" s="94"/>
      <c r="AG543" s="94"/>
      <c r="AH543" s="94"/>
      <c r="AI543" s="94"/>
      <c r="AJ543" s="94"/>
      <c r="AK543" s="94"/>
      <c r="AL543" s="94"/>
      <c r="AM543" s="94"/>
      <c r="AN543" s="94"/>
      <c r="AO543" s="94"/>
      <c r="AP543" s="94"/>
      <c r="AQ543" s="94"/>
      <c r="AR543" s="94"/>
      <c r="AS543" s="94"/>
      <c r="AT543" s="94"/>
      <c r="AU543" s="94"/>
      <c r="AV543" s="94"/>
      <c r="AW543" s="94"/>
      <c r="AX543" s="94"/>
      <c r="AY543" s="94"/>
      <c r="AZ543" s="94"/>
      <c r="BA543" s="95"/>
    </row>
    <row r="544" spans="1:53" s="87" customFormat="1">
      <c r="A544" s="90" t="str">
        <f t="shared" si="34"/>
        <v/>
      </c>
      <c r="B544" s="98"/>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5"/>
    </row>
    <row r="545" spans="1:53" s="87" customFormat="1">
      <c r="A545" s="90" t="str">
        <f t="shared" si="34"/>
        <v/>
      </c>
      <c r="B545" s="98"/>
      <c r="C545" s="94"/>
      <c r="D545" s="94"/>
      <c r="E545" s="94"/>
      <c r="F545" s="94"/>
      <c r="G545" s="94"/>
      <c r="H545" s="94"/>
      <c r="I545" s="94"/>
      <c r="J545" s="94"/>
      <c r="K545" s="94"/>
      <c r="L545" s="94"/>
      <c r="M545" s="94"/>
      <c r="N545" s="94"/>
      <c r="O545" s="94"/>
      <c r="P545" s="94"/>
      <c r="Q545" s="94"/>
      <c r="R545" s="94"/>
      <c r="S545" s="94"/>
      <c r="T545" s="94"/>
      <c r="U545" s="94"/>
      <c r="V545" s="94"/>
      <c r="W545" s="94"/>
      <c r="X545" s="94"/>
      <c r="Y545" s="94"/>
      <c r="Z545" s="94"/>
      <c r="AA545" s="94"/>
      <c r="AB545" s="94"/>
      <c r="AC545" s="94"/>
      <c r="AD545" s="94"/>
      <c r="AE545" s="94"/>
      <c r="AF545" s="94"/>
      <c r="AG545" s="94"/>
      <c r="AH545" s="94"/>
      <c r="AI545" s="94"/>
      <c r="AJ545" s="94"/>
      <c r="AK545" s="94"/>
      <c r="AL545" s="94"/>
      <c r="AM545" s="94"/>
      <c r="AN545" s="94"/>
      <c r="AO545" s="94"/>
      <c r="AP545" s="94"/>
      <c r="AQ545" s="94"/>
      <c r="AR545" s="94"/>
      <c r="AS545" s="94"/>
      <c r="AT545" s="94"/>
      <c r="AU545" s="94"/>
      <c r="AV545" s="94"/>
      <c r="AW545" s="94"/>
      <c r="AX545" s="94"/>
      <c r="AY545" s="94"/>
      <c r="AZ545" s="94"/>
      <c r="BA545" s="95"/>
    </row>
    <row r="546" spans="1:53" s="87" customFormat="1">
      <c r="A546" s="90" t="str">
        <f t="shared" si="34"/>
        <v/>
      </c>
      <c r="B546" s="98"/>
      <c r="C546" s="94"/>
      <c r="D546" s="94"/>
      <c r="E546" s="94"/>
      <c r="F546" s="94"/>
      <c r="G546" s="94"/>
      <c r="H546" s="94"/>
      <c r="I546" s="94"/>
      <c r="J546" s="94"/>
      <c r="K546" s="94"/>
      <c r="L546" s="94"/>
      <c r="M546" s="94"/>
      <c r="N546" s="94"/>
      <c r="O546" s="94"/>
      <c r="P546" s="94"/>
      <c r="Q546" s="94"/>
      <c r="R546" s="94"/>
      <c r="S546" s="94"/>
      <c r="T546" s="94"/>
      <c r="U546" s="94"/>
      <c r="V546" s="94"/>
      <c r="W546" s="94"/>
      <c r="X546" s="94"/>
      <c r="Y546" s="94"/>
      <c r="Z546" s="94"/>
      <c r="AA546" s="94"/>
      <c r="AB546" s="94"/>
      <c r="AC546" s="94"/>
      <c r="AD546" s="94"/>
      <c r="AE546" s="94"/>
      <c r="AF546" s="94"/>
      <c r="AG546" s="94"/>
      <c r="AH546" s="94"/>
      <c r="AI546" s="94"/>
      <c r="AJ546" s="94"/>
      <c r="AK546" s="94"/>
      <c r="AL546" s="94"/>
      <c r="AM546" s="94"/>
      <c r="AN546" s="94"/>
      <c r="AO546" s="94"/>
      <c r="AP546" s="94"/>
      <c r="AQ546" s="94"/>
      <c r="AR546" s="94"/>
      <c r="AS546" s="94"/>
      <c r="AT546" s="94"/>
      <c r="AU546" s="94"/>
      <c r="AV546" s="94"/>
      <c r="AW546" s="94"/>
      <c r="AX546" s="94"/>
      <c r="AY546" s="94"/>
      <c r="AZ546" s="94"/>
      <c r="BA546" s="95"/>
    </row>
    <row r="547" spans="1:53" s="87" customFormat="1">
      <c r="A547" s="90" t="str">
        <f t="shared" si="34"/>
        <v/>
      </c>
      <c r="B547" s="98"/>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5"/>
    </row>
    <row r="548" spans="1:53" s="87" customFormat="1">
      <c r="A548" s="90" t="str">
        <f t="shared" si="34"/>
        <v/>
      </c>
      <c r="B548" s="98"/>
      <c r="C548" s="94"/>
      <c r="D548" s="94"/>
      <c r="E548" s="94"/>
      <c r="F548" s="94"/>
      <c r="G548" s="94"/>
      <c r="H548" s="94"/>
      <c r="I548" s="94"/>
      <c r="J548" s="94"/>
      <c r="K548" s="94"/>
      <c r="L548" s="94"/>
      <c r="M548" s="94"/>
      <c r="N548" s="94"/>
      <c r="O548" s="94"/>
      <c r="P548" s="94"/>
      <c r="Q548" s="94"/>
      <c r="R548" s="94"/>
      <c r="S548" s="94"/>
      <c r="T548" s="94"/>
      <c r="U548" s="94"/>
      <c r="V548" s="94"/>
      <c r="W548" s="94"/>
      <c r="X548" s="94"/>
      <c r="Y548" s="94"/>
      <c r="Z548" s="94"/>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5"/>
    </row>
    <row r="549" spans="1:53" s="87" customFormat="1">
      <c r="A549" s="90" t="str">
        <f t="shared" si="34"/>
        <v/>
      </c>
      <c r="B549" s="98"/>
      <c r="C549" s="94"/>
      <c r="D549" s="94"/>
      <c r="E549" s="94"/>
      <c r="F549" s="94"/>
      <c r="G549" s="94"/>
      <c r="H549" s="94"/>
      <c r="I549" s="94"/>
      <c r="J549" s="94"/>
      <c r="K549" s="94"/>
      <c r="L549" s="94"/>
      <c r="M549" s="94"/>
      <c r="N549" s="94"/>
      <c r="O549" s="94"/>
      <c r="P549" s="94"/>
      <c r="Q549" s="94"/>
      <c r="R549" s="94"/>
      <c r="S549" s="94"/>
      <c r="T549" s="94"/>
      <c r="U549" s="94"/>
      <c r="V549" s="94"/>
      <c r="W549" s="94"/>
      <c r="X549" s="94"/>
      <c r="Y549" s="94"/>
      <c r="Z549" s="94"/>
      <c r="AA549" s="94"/>
      <c r="AB549" s="94"/>
      <c r="AC549" s="94"/>
      <c r="AD549" s="94"/>
      <c r="AE549" s="94"/>
      <c r="AF549" s="94"/>
      <c r="AG549" s="94"/>
      <c r="AH549" s="94"/>
      <c r="AI549" s="94"/>
      <c r="AJ549" s="94"/>
      <c r="AK549" s="94"/>
      <c r="AL549" s="94"/>
      <c r="AM549" s="94"/>
      <c r="AN549" s="94"/>
      <c r="AO549" s="94"/>
      <c r="AP549" s="94"/>
      <c r="AQ549" s="94"/>
      <c r="AR549" s="94"/>
      <c r="AS549" s="94"/>
      <c r="AT549" s="94"/>
      <c r="AU549" s="94"/>
      <c r="AV549" s="94"/>
      <c r="AW549" s="94"/>
      <c r="AX549" s="94"/>
      <c r="AY549" s="94"/>
      <c r="AZ549" s="94"/>
      <c r="BA549" s="95"/>
    </row>
    <row r="550" spans="1:53" s="87" customFormat="1">
      <c r="A550" s="90" t="str">
        <f t="shared" si="34"/>
        <v/>
      </c>
      <c r="B550" s="98"/>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AZ550" s="94"/>
      <c r="BA550" s="95"/>
    </row>
    <row r="551" spans="1:53" s="87" customFormat="1">
      <c r="A551" s="90" t="str">
        <f t="shared" si="34"/>
        <v/>
      </c>
      <c r="B551" s="98"/>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5"/>
    </row>
    <row r="552" spans="1:53" s="87" customFormat="1">
      <c r="A552" s="90" t="str">
        <f t="shared" si="34"/>
        <v/>
      </c>
      <c r="B552" s="98"/>
      <c r="C552" s="94"/>
      <c r="D552" s="94"/>
      <c r="E552" s="94"/>
      <c r="F552" s="94"/>
      <c r="G552" s="94"/>
      <c r="H552" s="94"/>
      <c r="I552" s="94"/>
      <c r="J552" s="94"/>
      <c r="K552" s="94"/>
      <c r="L552" s="94"/>
      <c r="M552" s="94"/>
      <c r="N552" s="94"/>
      <c r="O552" s="94"/>
      <c r="P552" s="94"/>
      <c r="Q552" s="94"/>
      <c r="R552" s="94"/>
      <c r="S552" s="94"/>
      <c r="T552" s="94"/>
      <c r="U552" s="94"/>
      <c r="V552" s="94"/>
      <c r="W552" s="94"/>
      <c r="X552" s="94"/>
      <c r="Y552" s="94"/>
      <c r="Z552" s="94"/>
      <c r="AA552" s="94"/>
      <c r="AB552" s="94"/>
      <c r="AC552" s="94"/>
      <c r="AD552" s="94"/>
      <c r="AE552" s="94"/>
      <c r="AF552" s="94"/>
      <c r="AG552" s="94"/>
      <c r="AH552" s="94"/>
      <c r="AI552" s="94"/>
      <c r="AJ552" s="94"/>
      <c r="AK552" s="94"/>
      <c r="AL552" s="94"/>
      <c r="AM552" s="94"/>
      <c r="AN552" s="94"/>
      <c r="AO552" s="94"/>
      <c r="AP552" s="94"/>
      <c r="AQ552" s="94"/>
      <c r="AR552" s="94"/>
      <c r="AS552" s="94"/>
      <c r="AT552" s="94"/>
      <c r="AU552" s="94"/>
      <c r="AV552" s="94"/>
      <c r="AW552" s="94"/>
      <c r="AX552" s="94"/>
      <c r="AY552" s="94"/>
      <c r="AZ552" s="94"/>
      <c r="BA552" s="95"/>
    </row>
    <row r="553" spans="1:53" s="87" customFormat="1">
      <c r="A553" s="90" t="str">
        <f t="shared" si="34"/>
        <v/>
      </c>
      <c r="B553" s="98"/>
      <c r="C553" s="94"/>
      <c r="D553" s="94"/>
      <c r="E553" s="94"/>
      <c r="F553" s="94"/>
      <c r="G553" s="94"/>
      <c r="H553" s="94"/>
      <c r="I553" s="94"/>
      <c r="J553" s="94"/>
      <c r="K553" s="94"/>
      <c r="L553" s="94"/>
      <c r="M553" s="94"/>
      <c r="N553" s="94"/>
      <c r="O553" s="94"/>
      <c r="P553" s="94"/>
      <c r="Q553" s="94"/>
      <c r="R553" s="94"/>
      <c r="S553" s="94"/>
      <c r="T553" s="94"/>
      <c r="U553" s="94"/>
      <c r="V553" s="94"/>
      <c r="W553" s="94"/>
      <c r="X553" s="94"/>
      <c r="Y553" s="94"/>
      <c r="Z553" s="94"/>
      <c r="AA553" s="94"/>
      <c r="AB553" s="94"/>
      <c r="AC553" s="94"/>
      <c r="AD553" s="94"/>
      <c r="AE553" s="94"/>
      <c r="AF553" s="94"/>
      <c r="AG553" s="94"/>
      <c r="AH553" s="94"/>
      <c r="AI553" s="94"/>
      <c r="AJ553" s="94"/>
      <c r="AK553" s="94"/>
      <c r="AL553" s="94"/>
      <c r="AM553" s="94"/>
      <c r="AN553" s="94"/>
      <c r="AO553" s="94"/>
      <c r="AP553" s="94"/>
      <c r="AQ553" s="94"/>
      <c r="AR553" s="94"/>
      <c r="AS553" s="94"/>
      <c r="AT553" s="94"/>
      <c r="AU553" s="94"/>
      <c r="AV553" s="94"/>
      <c r="AW553" s="94"/>
      <c r="AX553" s="94"/>
      <c r="AY553" s="94"/>
      <c r="AZ553" s="94"/>
      <c r="BA553" s="95"/>
    </row>
    <row r="554" spans="1:53" s="87" customFormat="1">
      <c r="A554" s="90" t="str">
        <f t="shared" si="34"/>
        <v/>
      </c>
      <c r="B554" s="98"/>
      <c r="C554" s="94"/>
      <c r="D554" s="94"/>
      <c r="E554" s="94"/>
      <c r="F554" s="94"/>
      <c r="G554" s="94"/>
      <c r="H554" s="94"/>
      <c r="I554" s="94"/>
      <c r="J554" s="94"/>
      <c r="K554" s="94"/>
      <c r="L554" s="94"/>
      <c r="M554" s="94"/>
      <c r="N554" s="94"/>
      <c r="O554" s="94"/>
      <c r="P554" s="94"/>
      <c r="Q554" s="94"/>
      <c r="R554" s="94"/>
      <c r="S554" s="94"/>
      <c r="T554" s="94"/>
      <c r="U554" s="94"/>
      <c r="V554" s="94"/>
      <c r="W554" s="94"/>
      <c r="X554" s="94"/>
      <c r="Y554" s="94"/>
      <c r="Z554" s="94"/>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c r="AW554" s="94"/>
      <c r="AX554" s="94"/>
      <c r="AY554" s="94"/>
      <c r="AZ554" s="94"/>
      <c r="BA554" s="95"/>
    </row>
    <row r="555" spans="1:53" s="87" customFormat="1">
      <c r="A555" s="90" t="str">
        <f t="shared" si="34"/>
        <v/>
      </c>
      <c r="B555" s="98"/>
      <c r="C555" s="94"/>
      <c r="D555" s="94"/>
      <c r="E555" s="94"/>
      <c r="F555" s="94"/>
      <c r="G555" s="94"/>
      <c r="H555" s="94"/>
      <c r="I555" s="94"/>
      <c r="J555" s="94"/>
      <c r="K555" s="94"/>
      <c r="L555" s="94"/>
      <c r="M555" s="94"/>
      <c r="N555" s="94"/>
      <c r="O555" s="94"/>
      <c r="P555" s="94"/>
      <c r="Q555" s="94"/>
      <c r="R555" s="94"/>
      <c r="S555" s="94"/>
      <c r="T555" s="94"/>
      <c r="U555" s="94"/>
      <c r="V555" s="94"/>
      <c r="W555" s="94"/>
      <c r="X555" s="94"/>
      <c r="Y555" s="94"/>
      <c r="Z555" s="94"/>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AZ555" s="94"/>
      <c r="BA555" s="95"/>
    </row>
    <row r="556" spans="1:53" s="87" customFormat="1">
      <c r="A556" s="90" t="str">
        <f t="shared" si="34"/>
        <v/>
      </c>
      <c r="B556" s="98"/>
      <c r="C556" s="94"/>
      <c r="D556" s="94"/>
      <c r="E556" s="94"/>
      <c r="F556" s="94"/>
      <c r="G556" s="94"/>
      <c r="H556" s="94"/>
      <c r="I556" s="94"/>
      <c r="J556" s="94"/>
      <c r="K556" s="94"/>
      <c r="L556" s="94"/>
      <c r="M556" s="94"/>
      <c r="N556" s="94"/>
      <c r="O556" s="94"/>
      <c r="P556" s="94"/>
      <c r="Q556" s="94"/>
      <c r="R556" s="94"/>
      <c r="S556" s="94"/>
      <c r="T556" s="94"/>
      <c r="U556" s="94"/>
      <c r="V556" s="94"/>
      <c r="W556" s="94"/>
      <c r="X556" s="94"/>
      <c r="Y556" s="94"/>
      <c r="Z556" s="94"/>
      <c r="AA556" s="94"/>
      <c r="AB556" s="94"/>
      <c r="AC556" s="94"/>
      <c r="AD556" s="94"/>
      <c r="AE556" s="94"/>
      <c r="AF556" s="94"/>
      <c r="AG556" s="94"/>
      <c r="AH556" s="94"/>
      <c r="AI556" s="94"/>
      <c r="AJ556" s="94"/>
      <c r="AK556" s="94"/>
      <c r="AL556" s="94"/>
      <c r="AM556" s="94"/>
      <c r="AN556" s="94"/>
      <c r="AO556" s="94"/>
      <c r="AP556" s="94"/>
      <c r="AQ556" s="94"/>
      <c r="AR556" s="94"/>
      <c r="AS556" s="94"/>
      <c r="AT556" s="94"/>
      <c r="AU556" s="94"/>
      <c r="AV556" s="94"/>
      <c r="AW556" s="94"/>
      <c r="AX556" s="94"/>
      <c r="AY556" s="94"/>
      <c r="AZ556" s="94"/>
      <c r="BA556" s="95"/>
    </row>
    <row r="557" spans="1:53" s="87" customFormat="1">
      <c r="A557" s="90" t="str">
        <f t="shared" si="34"/>
        <v/>
      </c>
      <c r="B557" s="98"/>
      <c r="C557" s="94"/>
      <c r="D557" s="94"/>
      <c r="E557" s="94"/>
      <c r="F557" s="94"/>
      <c r="G557" s="94"/>
      <c r="H557" s="94"/>
      <c r="I557" s="94"/>
      <c r="J557" s="94"/>
      <c r="K557" s="94"/>
      <c r="L557" s="94"/>
      <c r="M557" s="94"/>
      <c r="N557" s="94"/>
      <c r="O557" s="94"/>
      <c r="P557" s="94"/>
      <c r="Q557" s="94"/>
      <c r="R557" s="94"/>
      <c r="S557" s="94"/>
      <c r="T557" s="94"/>
      <c r="U557" s="94"/>
      <c r="V557" s="94"/>
      <c r="W557" s="94"/>
      <c r="X557" s="94"/>
      <c r="Y557" s="94"/>
      <c r="Z557" s="94"/>
      <c r="AA557" s="94"/>
      <c r="AB557" s="94"/>
      <c r="AC557" s="94"/>
      <c r="AD557" s="94"/>
      <c r="AE557" s="94"/>
      <c r="AF557" s="94"/>
      <c r="AG557" s="94"/>
      <c r="AH557" s="94"/>
      <c r="AI557" s="94"/>
      <c r="AJ557" s="94"/>
      <c r="AK557" s="94"/>
      <c r="AL557" s="94"/>
      <c r="AM557" s="94"/>
      <c r="AN557" s="94"/>
      <c r="AO557" s="94"/>
      <c r="AP557" s="94"/>
      <c r="AQ557" s="94"/>
      <c r="AR557" s="94"/>
      <c r="AS557" s="94"/>
      <c r="AT557" s="94"/>
      <c r="AU557" s="94"/>
      <c r="AV557" s="94"/>
      <c r="AW557" s="94"/>
      <c r="AX557" s="94"/>
      <c r="AY557" s="94"/>
      <c r="AZ557" s="94"/>
      <c r="BA557" s="95"/>
    </row>
    <row r="558" spans="1:53" s="87" customFormat="1">
      <c r="A558" s="90" t="str">
        <f t="shared" si="34"/>
        <v/>
      </c>
      <c r="B558" s="98"/>
      <c r="C558" s="94"/>
      <c r="D558" s="94"/>
      <c r="E558" s="94"/>
      <c r="F558" s="94"/>
      <c r="G558" s="94"/>
      <c r="H558" s="94"/>
      <c r="I558" s="94"/>
      <c r="J558" s="94"/>
      <c r="K558" s="94"/>
      <c r="L558" s="94"/>
      <c r="M558" s="94"/>
      <c r="N558" s="94"/>
      <c r="O558" s="94"/>
      <c r="P558" s="94"/>
      <c r="Q558" s="94"/>
      <c r="R558" s="94"/>
      <c r="S558" s="94"/>
      <c r="T558" s="94"/>
      <c r="U558" s="94"/>
      <c r="V558" s="94"/>
      <c r="W558" s="94"/>
      <c r="X558" s="94"/>
      <c r="Y558" s="94"/>
      <c r="Z558" s="94"/>
      <c r="AA558" s="94"/>
      <c r="AB558" s="94"/>
      <c r="AC558" s="94"/>
      <c r="AD558" s="94"/>
      <c r="AE558" s="94"/>
      <c r="AF558" s="94"/>
      <c r="AG558" s="94"/>
      <c r="AH558" s="94"/>
      <c r="AI558" s="94"/>
      <c r="AJ558" s="94"/>
      <c r="AK558" s="94"/>
      <c r="AL558" s="94"/>
      <c r="AM558" s="94"/>
      <c r="AN558" s="94"/>
      <c r="AO558" s="94"/>
      <c r="AP558" s="94"/>
      <c r="AQ558" s="94"/>
      <c r="AR558" s="94"/>
      <c r="AS558" s="94"/>
      <c r="AT558" s="94"/>
      <c r="AU558" s="94"/>
      <c r="AV558" s="94"/>
      <c r="AW558" s="94"/>
      <c r="AX558" s="94"/>
      <c r="AY558" s="94"/>
      <c r="AZ558" s="94"/>
      <c r="BA558" s="95"/>
    </row>
    <row r="559" spans="1:53" s="87" customFormat="1">
      <c r="A559" s="90" t="str">
        <f t="shared" si="34"/>
        <v/>
      </c>
      <c r="B559" s="98"/>
      <c r="C559" s="94"/>
      <c r="D559" s="94"/>
      <c r="E559" s="94"/>
      <c r="F559" s="94"/>
      <c r="G559" s="94"/>
      <c r="H559" s="94"/>
      <c r="I559" s="94"/>
      <c r="J559" s="94"/>
      <c r="K559" s="94"/>
      <c r="L559" s="94"/>
      <c r="M559" s="94"/>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94"/>
      <c r="AT559" s="94"/>
      <c r="AU559" s="94"/>
      <c r="AV559" s="94"/>
      <c r="AW559" s="94"/>
      <c r="AX559" s="94"/>
      <c r="AY559" s="94"/>
      <c r="AZ559" s="94"/>
      <c r="BA559" s="95"/>
    </row>
    <row r="560" spans="1:53" s="87" customFormat="1">
      <c r="A560" s="90" t="str">
        <f t="shared" si="34"/>
        <v/>
      </c>
      <c r="B560" s="98"/>
      <c r="C560" s="94"/>
      <c r="D560" s="94"/>
      <c r="E560" s="94"/>
      <c r="F560" s="94"/>
      <c r="G560" s="94"/>
      <c r="H560" s="94"/>
      <c r="I560" s="94"/>
      <c r="J560" s="94"/>
      <c r="K560" s="94"/>
      <c r="L560" s="94"/>
      <c r="M560" s="94"/>
      <c r="N560" s="94"/>
      <c r="O560" s="94"/>
      <c r="P560" s="94"/>
      <c r="Q560" s="94"/>
      <c r="R560" s="94"/>
      <c r="S560" s="94"/>
      <c r="T560" s="94"/>
      <c r="U560" s="94"/>
      <c r="V560" s="94"/>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94"/>
      <c r="AT560" s="94"/>
      <c r="AU560" s="94"/>
      <c r="AV560" s="94"/>
      <c r="AW560" s="94"/>
      <c r="AX560" s="94"/>
      <c r="AY560" s="94"/>
      <c r="AZ560" s="94"/>
      <c r="BA560" s="95"/>
    </row>
    <row r="561" spans="1:53" s="87" customFormat="1">
      <c r="A561" s="90" t="str">
        <f t="shared" si="34"/>
        <v/>
      </c>
      <c r="B561" s="98"/>
      <c r="C561" s="94"/>
      <c r="D561" s="94"/>
      <c r="E561" s="94"/>
      <c r="F561" s="94"/>
      <c r="G561" s="94"/>
      <c r="H561" s="94"/>
      <c r="I561" s="94"/>
      <c r="J561" s="94"/>
      <c r="K561" s="94"/>
      <c r="L561" s="94"/>
      <c r="M561" s="94"/>
      <c r="N561" s="94"/>
      <c r="O561" s="94"/>
      <c r="P561" s="94"/>
      <c r="Q561" s="94"/>
      <c r="R561" s="94"/>
      <c r="S561" s="94"/>
      <c r="T561" s="94"/>
      <c r="U561" s="94"/>
      <c r="V561" s="94"/>
      <c r="W561" s="94"/>
      <c r="X561" s="94"/>
      <c r="Y561" s="94"/>
      <c r="Z561" s="94"/>
      <c r="AA561" s="94"/>
      <c r="AB561" s="94"/>
      <c r="AC561" s="94"/>
      <c r="AD561" s="94"/>
      <c r="AE561" s="94"/>
      <c r="AF561" s="94"/>
      <c r="AG561" s="94"/>
      <c r="AH561" s="94"/>
      <c r="AI561" s="94"/>
      <c r="AJ561" s="94"/>
      <c r="AK561" s="94"/>
      <c r="AL561" s="94"/>
      <c r="AM561" s="94"/>
      <c r="AN561" s="94"/>
      <c r="AO561" s="94"/>
      <c r="AP561" s="94"/>
      <c r="AQ561" s="94"/>
      <c r="AR561" s="94"/>
      <c r="AS561" s="94"/>
      <c r="AT561" s="94"/>
      <c r="AU561" s="94"/>
      <c r="AV561" s="94"/>
      <c r="AW561" s="94"/>
      <c r="AX561" s="94"/>
      <c r="AY561" s="94"/>
      <c r="AZ561" s="94"/>
      <c r="BA561" s="95"/>
    </row>
    <row r="562" spans="1:53" s="87" customFormat="1">
      <c r="A562" s="90" t="str">
        <f t="shared" si="34"/>
        <v/>
      </c>
      <c r="B562" s="98"/>
      <c r="C562" s="94"/>
      <c r="D562" s="94"/>
      <c r="E562" s="94"/>
      <c r="F562" s="94"/>
      <c r="G562" s="94"/>
      <c r="H562" s="94"/>
      <c r="I562" s="94"/>
      <c r="J562" s="94"/>
      <c r="K562" s="94"/>
      <c r="L562" s="94"/>
      <c r="M562" s="94"/>
      <c r="N562" s="94"/>
      <c r="O562" s="94"/>
      <c r="P562" s="94"/>
      <c r="Q562" s="94"/>
      <c r="R562" s="94"/>
      <c r="S562" s="94"/>
      <c r="T562" s="94"/>
      <c r="U562" s="94"/>
      <c r="V562" s="94"/>
      <c r="W562" s="94"/>
      <c r="X562" s="94"/>
      <c r="Y562" s="94"/>
      <c r="Z562" s="94"/>
      <c r="AA562" s="94"/>
      <c r="AB562" s="94"/>
      <c r="AC562" s="94"/>
      <c r="AD562" s="94"/>
      <c r="AE562" s="94"/>
      <c r="AF562" s="94"/>
      <c r="AG562" s="94"/>
      <c r="AH562" s="94"/>
      <c r="AI562" s="94"/>
      <c r="AJ562" s="94"/>
      <c r="AK562" s="94"/>
      <c r="AL562" s="94"/>
      <c r="AM562" s="94"/>
      <c r="AN562" s="94"/>
      <c r="AO562" s="94"/>
      <c r="AP562" s="94"/>
      <c r="AQ562" s="94"/>
      <c r="AR562" s="94"/>
      <c r="AS562" s="94"/>
      <c r="AT562" s="94"/>
      <c r="AU562" s="94"/>
      <c r="AV562" s="94"/>
      <c r="AW562" s="94"/>
      <c r="AX562" s="94"/>
      <c r="AY562" s="94"/>
      <c r="AZ562" s="94"/>
      <c r="BA562" s="95"/>
    </row>
    <row r="563" spans="1:53" s="87" customFormat="1">
      <c r="A563" s="90" t="str">
        <f t="shared" si="34"/>
        <v/>
      </c>
      <c r="B563" s="98"/>
      <c r="C563" s="94"/>
      <c r="D563" s="94"/>
      <c r="E563" s="94"/>
      <c r="F563" s="94"/>
      <c r="G563" s="94"/>
      <c r="H563" s="94"/>
      <c r="I563" s="94"/>
      <c r="J563" s="94"/>
      <c r="K563" s="94"/>
      <c r="L563" s="94"/>
      <c r="M563" s="94"/>
      <c r="N563" s="94"/>
      <c r="O563" s="94"/>
      <c r="P563" s="94"/>
      <c r="Q563" s="94"/>
      <c r="R563" s="94"/>
      <c r="S563" s="94"/>
      <c r="T563" s="94"/>
      <c r="U563" s="94"/>
      <c r="V563" s="94"/>
      <c r="W563" s="94"/>
      <c r="X563" s="94"/>
      <c r="Y563" s="94"/>
      <c r="Z563" s="94"/>
      <c r="AA563" s="94"/>
      <c r="AB563" s="94"/>
      <c r="AC563" s="94"/>
      <c r="AD563" s="94"/>
      <c r="AE563" s="94"/>
      <c r="AF563" s="94"/>
      <c r="AG563" s="94"/>
      <c r="AH563" s="94"/>
      <c r="AI563" s="94"/>
      <c r="AJ563" s="94"/>
      <c r="AK563" s="94"/>
      <c r="AL563" s="94"/>
      <c r="AM563" s="94"/>
      <c r="AN563" s="94"/>
      <c r="AO563" s="94"/>
      <c r="AP563" s="94"/>
      <c r="AQ563" s="94"/>
      <c r="AR563" s="94"/>
      <c r="AS563" s="94"/>
      <c r="AT563" s="94"/>
      <c r="AU563" s="94"/>
      <c r="AV563" s="94"/>
      <c r="AW563" s="94"/>
      <c r="AX563" s="94"/>
      <c r="AY563" s="94"/>
      <c r="AZ563" s="94"/>
      <c r="BA563" s="95"/>
    </row>
    <row r="564" spans="1:53" s="87" customFormat="1">
      <c r="A564" s="90" t="str">
        <f t="shared" si="34"/>
        <v/>
      </c>
      <c r="B564" s="98"/>
      <c r="C564" s="94"/>
      <c r="D564" s="94"/>
      <c r="E564" s="94"/>
      <c r="F564" s="94"/>
      <c r="G564" s="94"/>
      <c r="H564" s="94"/>
      <c r="I564" s="94"/>
      <c r="J564" s="94"/>
      <c r="K564" s="94"/>
      <c r="L564" s="94"/>
      <c r="M564" s="94"/>
      <c r="N564" s="94"/>
      <c r="O564" s="94"/>
      <c r="P564" s="94"/>
      <c r="Q564" s="94"/>
      <c r="R564" s="94"/>
      <c r="S564" s="94"/>
      <c r="T564" s="94"/>
      <c r="U564" s="94"/>
      <c r="V564" s="94"/>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c r="AW564" s="94"/>
      <c r="AX564" s="94"/>
      <c r="AY564" s="94"/>
      <c r="AZ564" s="94"/>
      <c r="BA564" s="95"/>
    </row>
    <row r="565" spans="1:53" s="87" customFormat="1">
      <c r="A565" s="90" t="str">
        <f t="shared" si="34"/>
        <v/>
      </c>
      <c r="B565" s="98"/>
      <c r="C565" s="94"/>
      <c r="D565" s="94"/>
      <c r="E565" s="94"/>
      <c r="F565" s="94"/>
      <c r="G565" s="94"/>
      <c r="H565" s="94"/>
      <c r="I565" s="94"/>
      <c r="J565" s="94"/>
      <c r="K565" s="94"/>
      <c r="L565" s="94"/>
      <c r="M565" s="94"/>
      <c r="N565" s="94"/>
      <c r="O565" s="94"/>
      <c r="P565" s="94"/>
      <c r="Q565" s="94"/>
      <c r="R565" s="94"/>
      <c r="S565" s="94"/>
      <c r="T565" s="94"/>
      <c r="U565" s="94"/>
      <c r="V565" s="94"/>
      <c r="W565" s="94"/>
      <c r="X565" s="94"/>
      <c r="Y565" s="94"/>
      <c r="Z565" s="94"/>
      <c r="AA565" s="94"/>
      <c r="AB565" s="94"/>
      <c r="AC565" s="94"/>
      <c r="AD565" s="94"/>
      <c r="AE565" s="94"/>
      <c r="AF565" s="94"/>
      <c r="AG565" s="94"/>
      <c r="AH565" s="94"/>
      <c r="AI565" s="94"/>
      <c r="AJ565" s="94"/>
      <c r="AK565" s="94"/>
      <c r="AL565" s="94"/>
      <c r="AM565" s="94"/>
      <c r="AN565" s="94"/>
      <c r="AO565" s="94"/>
      <c r="AP565" s="94"/>
      <c r="AQ565" s="94"/>
      <c r="AR565" s="94"/>
      <c r="AS565" s="94"/>
      <c r="AT565" s="94"/>
      <c r="AU565" s="94"/>
      <c r="AV565" s="94"/>
      <c r="AW565" s="94"/>
      <c r="AX565" s="94"/>
      <c r="AY565" s="94"/>
      <c r="AZ565" s="94"/>
      <c r="BA565" s="95"/>
    </row>
    <row r="566" spans="1:53" s="87" customFormat="1">
      <c r="A566" s="90" t="str">
        <f t="shared" si="34"/>
        <v/>
      </c>
      <c r="B566" s="98"/>
      <c r="C566" s="94"/>
      <c r="D566" s="94"/>
      <c r="E566" s="94"/>
      <c r="F566" s="94"/>
      <c r="G566" s="94"/>
      <c r="H566" s="94"/>
      <c r="I566" s="94"/>
      <c r="J566" s="94"/>
      <c r="K566" s="94"/>
      <c r="L566" s="94"/>
      <c r="M566" s="94"/>
      <c r="N566" s="94"/>
      <c r="O566" s="94"/>
      <c r="P566" s="94"/>
      <c r="Q566" s="94"/>
      <c r="R566" s="94"/>
      <c r="S566" s="94"/>
      <c r="T566" s="94"/>
      <c r="U566" s="94"/>
      <c r="V566" s="94"/>
      <c r="W566" s="94"/>
      <c r="X566" s="94"/>
      <c r="Y566" s="94"/>
      <c r="Z566" s="94"/>
      <c r="AA566" s="94"/>
      <c r="AB566" s="94"/>
      <c r="AC566" s="94"/>
      <c r="AD566" s="94"/>
      <c r="AE566" s="94"/>
      <c r="AF566" s="94"/>
      <c r="AG566" s="94"/>
      <c r="AH566" s="94"/>
      <c r="AI566" s="94"/>
      <c r="AJ566" s="94"/>
      <c r="AK566" s="94"/>
      <c r="AL566" s="94"/>
      <c r="AM566" s="94"/>
      <c r="AN566" s="94"/>
      <c r="AO566" s="94"/>
      <c r="AP566" s="94"/>
      <c r="AQ566" s="94"/>
      <c r="AR566" s="94"/>
      <c r="AS566" s="94"/>
      <c r="AT566" s="94"/>
      <c r="AU566" s="94"/>
      <c r="AV566" s="94"/>
      <c r="AW566" s="94"/>
      <c r="AX566" s="94"/>
      <c r="AY566" s="94"/>
      <c r="AZ566" s="94"/>
      <c r="BA566" s="95"/>
    </row>
    <row r="567" spans="1:53" s="87" customFormat="1">
      <c r="A567" s="90" t="str">
        <f t="shared" si="34"/>
        <v/>
      </c>
      <c r="B567" s="98"/>
      <c r="C567" s="94"/>
      <c r="D567" s="94"/>
      <c r="E567" s="94"/>
      <c r="F567" s="94"/>
      <c r="G567" s="94"/>
      <c r="H567" s="94"/>
      <c r="I567" s="94"/>
      <c r="J567" s="94"/>
      <c r="K567" s="94"/>
      <c r="L567" s="94"/>
      <c r="M567" s="94"/>
      <c r="N567" s="94"/>
      <c r="O567" s="94"/>
      <c r="P567" s="94"/>
      <c r="Q567" s="94"/>
      <c r="R567" s="94"/>
      <c r="S567" s="94"/>
      <c r="T567" s="94"/>
      <c r="U567" s="94"/>
      <c r="V567" s="94"/>
      <c r="W567" s="94"/>
      <c r="X567" s="94"/>
      <c r="Y567" s="94"/>
      <c r="Z567" s="94"/>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c r="AW567" s="94"/>
      <c r="AX567" s="94"/>
      <c r="AY567" s="94"/>
      <c r="AZ567" s="94"/>
      <c r="BA567" s="95"/>
    </row>
    <row r="568" spans="1:53" s="87" customFormat="1">
      <c r="A568" s="90" t="str">
        <f t="shared" si="34"/>
        <v/>
      </c>
      <c r="B568" s="98"/>
      <c r="C568" s="94"/>
      <c r="D568" s="94"/>
      <c r="E568" s="94"/>
      <c r="F568" s="94"/>
      <c r="G568" s="94"/>
      <c r="H568" s="94"/>
      <c r="I568" s="94"/>
      <c r="J568" s="94"/>
      <c r="K568" s="94"/>
      <c r="L568" s="94"/>
      <c r="M568" s="94"/>
      <c r="N568" s="94"/>
      <c r="O568" s="94"/>
      <c r="P568" s="94"/>
      <c r="Q568" s="94"/>
      <c r="R568" s="94"/>
      <c r="S568" s="94"/>
      <c r="T568" s="94"/>
      <c r="U568" s="94"/>
      <c r="V568" s="94"/>
      <c r="W568" s="94"/>
      <c r="X568" s="94"/>
      <c r="Y568" s="94"/>
      <c r="Z568" s="94"/>
      <c r="AA568" s="94"/>
      <c r="AB568" s="94"/>
      <c r="AC568" s="94"/>
      <c r="AD568" s="94"/>
      <c r="AE568" s="94"/>
      <c r="AF568" s="94"/>
      <c r="AG568" s="94"/>
      <c r="AH568" s="94"/>
      <c r="AI568" s="94"/>
      <c r="AJ568" s="94"/>
      <c r="AK568" s="94"/>
      <c r="AL568" s="94"/>
      <c r="AM568" s="94"/>
      <c r="AN568" s="94"/>
      <c r="AO568" s="94"/>
      <c r="AP568" s="94"/>
      <c r="AQ568" s="94"/>
      <c r="AR568" s="94"/>
      <c r="AS568" s="94"/>
      <c r="AT568" s="94"/>
      <c r="AU568" s="94"/>
      <c r="AV568" s="94"/>
      <c r="AW568" s="94"/>
      <c r="AX568" s="94"/>
      <c r="AY568" s="94"/>
      <c r="AZ568" s="94"/>
      <c r="BA568" s="95"/>
    </row>
    <row r="569" spans="1:53" s="87" customFormat="1">
      <c r="A569" s="90" t="str">
        <f t="shared" si="34"/>
        <v/>
      </c>
      <c r="B569" s="98"/>
      <c r="C569" s="94"/>
      <c r="D569" s="94"/>
      <c r="E569" s="94"/>
      <c r="F569" s="94"/>
      <c r="G569" s="94"/>
      <c r="H569" s="94"/>
      <c r="I569" s="94"/>
      <c r="J569" s="94"/>
      <c r="K569" s="94"/>
      <c r="L569" s="94"/>
      <c r="M569" s="94"/>
      <c r="N569" s="94"/>
      <c r="O569" s="94"/>
      <c r="P569" s="94"/>
      <c r="Q569" s="94"/>
      <c r="R569" s="94"/>
      <c r="S569" s="94"/>
      <c r="T569" s="94"/>
      <c r="U569" s="94"/>
      <c r="V569" s="94"/>
      <c r="W569" s="94"/>
      <c r="X569" s="94"/>
      <c r="Y569" s="94"/>
      <c r="Z569" s="94"/>
      <c r="AA569" s="94"/>
      <c r="AB569" s="94"/>
      <c r="AC569" s="94"/>
      <c r="AD569" s="94"/>
      <c r="AE569" s="94"/>
      <c r="AF569" s="94"/>
      <c r="AG569" s="94"/>
      <c r="AH569" s="94"/>
      <c r="AI569" s="94"/>
      <c r="AJ569" s="94"/>
      <c r="AK569" s="94"/>
      <c r="AL569" s="94"/>
      <c r="AM569" s="94"/>
      <c r="AN569" s="94"/>
      <c r="AO569" s="94"/>
      <c r="AP569" s="94"/>
      <c r="AQ569" s="94"/>
      <c r="AR569" s="94"/>
      <c r="AS569" s="94"/>
      <c r="AT569" s="94"/>
      <c r="AU569" s="94"/>
      <c r="AV569" s="94"/>
      <c r="AW569" s="94"/>
      <c r="AX569" s="94"/>
      <c r="AY569" s="94"/>
      <c r="AZ569" s="94"/>
      <c r="BA569" s="95"/>
    </row>
    <row r="570" spans="1:53" s="87" customFormat="1">
      <c r="A570" s="90" t="str">
        <f t="shared" si="34"/>
        <v/>
      </c>
      <c r="B570" s="98"/>
      <c r="C570" s="94"/>
      <c r="D570" s="94"/>
      <c r="E570" s="94"/>
      <c r="F570" s="94"/>
      <c r="G570" s="94"/>
      <c r="H570" s="94"/>
      <c r="I570" s="94"/>
      <c r="J570" s="94"/>
      <c r="K570" s="94"/>
      <c r="L570" s="94"/>
      <c r="M570" s="94"/>
      <c r="N570" s="94"/>
      <c r="O570" s="94"/>
      <c r="P570" s="94"/>
      <c r="Q570" s="94"/>
      <c r="R570" s="94"/>
      <c r="S570" s="94"/>
      <c r="T570" s="94"/>
      <c r="U570" s="94"/>
      <c r="V570" s="94"/>
      <c r="W570" s="94"/>
      <c r="X570" s="94"/>
      <c r="Y570" s="94"/>
      <c r="Z570" s="94"/>
      <c r="AA570" s="94"/>
      <c r="AB570" s="94"/>
      <c r="AC570" s="94"/>
      <c r="AD570" s="94"/>
      <c r="AE570" s="94"/>
      <c r="AF570" s="94"/>
      <c r="AG570" s="94"/>
      <c r="AH570" s="94"/>
      <c r="AI570" s="94"/>
      <c r="AJ570" s="94"/>
      <c r="AK570" s="94"/>
      <c r="AL570" s="94"/>
      <c r="AM570" s="94"/>
      <c r="AN570" s="94"/>
      <c r="AO570" s="94"/>
      <c r="AP570" s="94"/>
      <c r="AQ570" s="94"/>
      <c r="AR570" s="94"/>
      <c r="AS570" s="94"/>
      <c r="AT570" s="94"/>
      <c r="AU570" s="94"/>
      <c r="AV570" s="94"/>
      <c r="AW570" s="94"/>
      <c r="AX570" s="94"/>
      <c r="AY570" s="94"/>
      <c r="AZ570" s="94"/>
      <c r="BA570" s="95"/>
    </row>
    <row r="571" spans="1:53" s="87" customFormat="1">
      <c r="A571" s="90" t="str">
        <f t="shared" si="34"/>
        <v/>
      </c>
      <c r="B571" s="98"/>
      <c r="C571" s="94"/>
      <c r="D571" s="94"/>
      <c r="E571" s="94"/>
      <c r="F571" s="94"/>
      <c r="G571" s="94"/>
      <c r="H571" s="94"/>
      <c r="I571" s="94"/>
      <c r="J571" s="94"/>
      <c r="K571" s="94"/>
      <c r="L571" s="94"/>
      <c r="M571" s="94"/>
      <c r="N571" s="94"/>
      <c r="O571" s="94"/>
      <c r="P571" s="94"/>
      <c r="Q571" s="94"/>
      <c r="R571" s="94"/>
      <c r="S571" s="94"/>
      <c r="T571" s="94"/>
      <c r="U571" s="94"/>
      <c r="V571" s="94"/>
      <c r="W571" s="94"/>
      <c r="X571" s="94"/>
      <c r="Y571" s="94"/>
      <c r="Z571" s="94"/>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c r="AW571" s="94"/>
      <c r="AX571" s="94"/>
      <c r="AY571" s="94"/>
      <c r="AZ571" s="94"/>
      <c r="BA571" s="95"/>
    </row>
    <row r="572" spans="1:53" s="87" customFormat="1">
      <c r="A572" s="90" t="str">
        <f t="shared" si="34"/>
        <v/>
      </c>
      <c r="B572" s="98"/>
      <c r="C572" s="94"/>
      <c r="D572" s="94"/>
      <c r="E572" s="94"/>
      <c r="F572" s="94"/>
      <c r="G572" s="94"/>
      <c r="H572" s="94"/>
      <c r="I572" s="94"/>
      <c r="J572" s="94"/>
      <c r="K572" s="94"/>
      <c r="L572" s="94"/>
      <c r="M572" s="94"/>
      <c r="N572" s="94"/>
      <c r="O572" s="94"/>
      <c r="P572" s="94"/>
      <c r="Q572" s="94"/>
      <c r="R572" s="94"/>
      <c r="S572" s="94"/>
      <c r="T572" s="94"/>
      <c r="U572" s="94"/>
      <c r="V572" s="94"/>
      <c r="W572" s="94"/>
      <c r="X572" s="94"/>
      <c r="Y572" s="94"/>
      <c r="Z572" s="94"/>
      <c r="AA572" s="94"/>
      <c r="AB572" s="94"/>
      <c r="AC572" s="94"/>
      <c r="AD572" s="94"/>
      <c r="AE572" s="94"/>
      <c r="AF572" s="94"/>
      <c r="AG572" s="94"/>
      <c r="AH572" s="94"/>
      <c r="AI572" s="94"/>
      <c r="AJ572" s="94"/>
      <c r="AK572" s="94"/>
      <c r="AL572" s="94"/>
      <c r="AM572" s="94"/>
      <c r="AN572" s="94"/>
      <c r="AO572" s="94"/>
      <c r="AP572" s="94"/>
      <c r="AQ572" s="94"/>
      <c r="AR572" s="94"/>
      <c r="AS572" s="94"/>
      <c r="AT572" s="94"/>
      <c r="AU572" s="94"/>
      <c r="AV572" s="94"/>
      <c r="AW572" s="94"/>
      <c r="AX572" s="94"/>
      <c r="AY572" s="94"/>
      <c r="AZ572" s="94"/>
      <c r="BA572" s="95"/>
    </row>
    <row r="573" spans="1:53" s="87" customFormat="1">
      <c r="A573" s="90" t="str">
        <f t="shared" si="34"/>
        <v/>
      </c>
      <c r="B573" s="98"/>
      <c r="C573" s="94"/>
      <c r="D573" s="94"/>
      <c r="E573" s="94"/>
      <c r="F573" s="94"/>
      <c r="G573" s="94"/>
      <c r="H573" s="94"/>
      <c r="I573" s="94"/>
      <c r="J573" s="94"/>
      <c r="K573" s="94"/>
      <c r="L573" s="94"/>
      <c r="M573" s="94"/>
      <c r="N573" s="94"/>
      <c r="O573" s="94"/>
      <c r="P573" s="94"/>
      <c r="Q573" s="94"/>
      <c r="R573" s="94"/>
      <c r="S573" s="94"/>
      <c r="T573" s="94"/>
      <c r="U573" s="94"/>
      <c r="V573" s="94"/>
      <c r="W573" s="94"/>
      <c r="X573" s="94"/>
      <c r="Y573" s="94"/>
      <c r="Z573" s="94"/>
      <c r="AA573" s="94"/>
      <c r="AB573" s="94"/>
      <c r="AC573" s="94"/>
      <c r="AD573" s="94"/>
      <c r="AE573" s="94"/>
      <c r="AF573" s="94"/>
      <c r="AG573" s="94"/>
      <c r="AH573" s="94"/>
      <c r="AI573" s="94"/>
      <c r="AJ573" s="94"/>
      <c r="AK573" s="94"/>
      <c r="AL573" s="94"/>
      <c r="AM573" s="94"/>
      <c r="AN573" s="94"/>
      <c r="AO573" s="94"/>
      <c r="AP573" s="94"/>
      <c r="AQ573" s="94"/>
      <c r="AR573" s="94"/>
      <c r="AS573" s="94"/>
      <c r="AT573" s="94"/>
      <c r="AU573" s="94"/>
      <c r="AV573" s="94"/>
      <c r="AW573" s="94"/>
      <c r="AX573" s="94"/>
      <c r="AY573" s="94"/>
      <c r="AZ573" s="94"/>
      <c r="BA573" s="95"/>
    </row>
    <row r="574" spans="1:53" s="87" customFormat="1">
      <c r="A574" s="90" t="str">
        <f t="shared" si="34"/>
        <v/>
      </c>
      <c r="B574" s="98"/>
      <c r="C574" s="94"/>
      <c r="D574" s="94"/>
      <c r="E574" s="94"/>
      <c r="F574" s="94"/>
      <c r="G574" s="94"/>
      <c r="H574" s="94"/>
      <c r="I574" s="94"/>
      <c r="J574" s="94"/>
      <c r="K574" s="94"/>
      <c r="L574" s="94"/>
      <c r="M574" s="94"/>
      <c r="N574" s="94"/>
      <c r="O574" s="94"/>
      <c r="P574" s="94"/>
      <c r="Q574" s="94"/>
      <c r="R574" s="94"/>
      <c r="S574" s="94"/>
      <c r="T574" s="94"/>
      <c r="U574" s="94"/>
      <c r="V574" s="94"/>
      <c r="W574" s="94"/>
      <c r="X574" s="94"/>
      <c r="Y574" s="94"/>
      <c r="Z574" s="94"/>
      <c r="AA574" s="94"/>
      <c r="AB574" s="94"/>
      <c r="AC574" s="94"/>
      <c r="AD574" s="94"/>
      <c r="AE574" s="94"/>
      <c r="AF574" s="94"/>
      <c r="AG574" s="94"/>
      <c r="AH574" s="94"/>
      <c r="AI574" s="94"/>
      <c r="AJ574" s="94"/>
      <c r="AK574" s="94"/>
      <c r="AL574" s="94"/>
      <c r="AM574" s="94"/>
      <c r="AN574" s="94"/>
      <c r="AO574" s="94"/>
      <c r="AP574" s="94"/>
      <c r="AQ574" s="94"/>
      <c r="AR574" s="94"/>
      <c r="AS574" s="94"/>
      <c r="AT574" s="94"/>
      <c r="AU574" s="94"/>
      <c r="AV574" s="94"/>
      <c r="AW574" s="94"/>
      <c r="AX574" s="94"/>
      <c r="AY574" s="94"/>
      <c r="AZ574" s="94"/>
      <c r="BA574" s="95"/>
    </row>
    <row r="575" spans="1:53" s="87" customFormat="1">
      <c r="A575" s="90" t="str">
        <f t="shared" si="34"/>
        <v/>
      </c>
      <c r="B575" s="98"/>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5"/>
    </row>
    <row r="576" spans="1:53" s="87" customFormat="1">
      <c r="A576" s="90" t="str">
        <f t="shared" si="34"/>
        <v/>
      </c>
      <c r="B576" s="98"/>
      <c r="C576" s="94"/>
      <c r="D576" s="94"/>
      <c r="E576" s="94"/>
      <c r="F576" s="94"/>
      <c r="G576" s="94"/>
      <c r="H576" s="94"/>
      <c r="I576" s="94"/>
      <c r="J576" s="94"/>
      <c r="K576" s="94"/>
      <c r="L576" s="94"/>
      <c r="M576" s="94"/>
      <c r="N576" s="94"/>
      <c r="O576" s="94"/>
      <c r="P576" s="94"/>
      <c r="Q576" s="94"/>
      <c r="R576" s="94"/>
      <c r="S576" s="94"/>
      <c r="T576" s="94"/>
      <c r="U576" s="94"/>
      <c r="V576" s="94"/>
      <c r="W576" s="94"/>
      <c r="X576" s="94"/>
      <c r="Y576" s="94"/>
      <c r="Z576" s="94"/>
      <c r="AA576" s="94"/>
      <c r="AB576" s="94"/>
      <c r="AC576" s="94"/>
      <c r="AD576" s="94"/>
      <c r="AE576" s="94"/>
      <c r="AF576" s="94"/>
      <c r="AG576" s="94"/>
      <c r="AH576" s="94"/>
      <c r="AI576" s="94"/>
      <c r="AJ576" s="94"/>
      <c r="AK576" s="94"/>
      <c r="AL576" s="94"/>
      <c r="AM576" s="94"/>
      <c r="AN576" s="94"/>
      <c r="AO576" s="94"/>
      <c r="AP576" s="94"/>
      <c r="AQ576" s="94"/>
      <c r="AR576" s="94"/>
      <c r="AS576" s="94"/>
      <c r="AT576" s="94"/>
      <c r="AU576" s="94"/>
      <c r="AV576" s="94"/>
      <c r="AW576" s="94"/>
      <c r="AX576" s="94"/>
      <c r="AY576" s="94"/>
      <c r="AZ576" s="94"/>
      <c r="BA576" s="95"/>
    </row>
    <row r="577" spans="1:53" s="87" customFormat="1">
      <c r="A577" s="90" t="str">
        <f t="shared" si="34"/>
        <v/>
      </c>
      <c r="B577" s="98"/>
      <c r="C577" s="94"/>
      <c r="D577" s="94"/>
      <c r="E577" s="94"/>
      <c r="F577" s="94"/>
      <c r="G577" s="94"/>
      <c r="H577" s="94"/>
      <c r="I577" s="94"/>
      <c r="J577" s="94"/>
      <c r="K577" s="94"/>
      <c r="L577" s="94"/>
      <c r="M577" s="94"/>
      <c r="N577" s="94"/>
      <c r="O577" s="94"/>
      <c r="P577" s="94"/>
      <c r="Q577" s="94"/>
      <c r="R577" s="94"/>
      <c r="S577" s="94"/>
      <c r="T577" s="94"/>
      <c r="U577" s="94"/>
      <c r="V577" s="94"/>
      <c r="W577" s="94"/>
      <c r="X577" s="94"/>
      <c r="Y577" s="94"/>
      <c r="Z577" s="94"/>
      <c r="AA577" s="94"/>
      <c r="AB577" s="94"/>
      <c r="AC577" s="94"/>
      <c r="AD577" s="94"/>
      <c r="AE577" s="94"/>
      <c r="AF577" s="94"/>
      <c r="AG577" s="94"/>
      <c r="AH577" s="94"/>
      <c r="AI577" s="94"/>
      <c r="AJ577" s="94"/>
      <c r="AK577" s="94"/>
      <c r="AL577" s="94"/>
      <c r="AM577" s="94"/>
      <c r="AN577" s="94"/>
      <c r="AO577" s="94"/>
      <c r="AP577" s="94"/>
      <c r="AQ577" s="94"/>
      <c r="AR577" s="94"/>
      <c r="AS577" s="94"/>
      <c r="AT577" s="94"/>
      <c r="AU577" s="94"/>
      <c r="AV577" s="94"/>
      <c r="AW577" s="94"/>
      <c r="AX577" s="94"/>
      <c r="AY577" s="94"/>
      <c r="AZ577" s="94"/>
      <c r="BA577" s="95"/>
    </row>
    <row r="578" spans="1:53" s="87" customFormat="1">
      <c r="A578" s="90" t="str">
        <f t="shared" si="34"/>
        <v/>
      </c>
      <c r="B578" s="98"/>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5"/>
    </row>
    <row r="579" spans="1:53" s="87" customFormat="1">
      <c r="A579" s="90" t="str">
        <f t="shared" si="34"/>
        <v/>
      </c>
      <c r="B579" s="98"/>
      <c r="C579" s="94"/>
      <c r="D579" s="94"/>
      <c r="E579" s="94"/>
      <c r="F579" s="94"/>
      <c r="G579" s="94"/>
      <c r="H579" s="94"/>
      <c r="I579" s="94"/>
      <c r="J579" s="94"/>
      <c r="K579" s="94"/>
      <c r="L579" s="94"/>
      <c r="M579" s="94"/>
      <c r="N579" s="94"/>
      <c r="O579" s="94"/>
      <c r="P579" s="94"/>
      <c r="Q579" s="94"/>
      <c r="R579" s="94"/>
      <c r="S579" s="94"/>
      <c r="T579" s="94"/>
      <c r="U579" s="94"/>
      <c r="V579" s="94"/>
      <c r="W579" s="94"/>
      <c r="X579" s="94"/>
      <c r="Y579" s="94"/>
      <c r="Z579" s="94"/>
      <c r="AA579" s="94"/>
      <c r="AB579" s="94"/>
      <c r="AC579" s="94"/>
      <c r="AD579" s="94"/>
      <c r="AE579" s="94"/>
      <c r="AF579" s="94"/>
      <c r="AG579" s="94"/>
      <c r="AH579" s="94"/>
      <c r="AI579" s="94"/>
      <c r="AJ579" s="94"/>
      <c r="AK579" s="94"/>
      <c r="AL579" s="94"/>
      <c r="AM579" s="94"/>
      <c r="AN579" s="94"/>
      <c r="AO579" s="94"/>
      <c r="AP579" s="94"/>
      <c r="AQ579" s="94"/>
      <c r="AR579" s="94"/>
      <c r="AS579" s="94"/>
      <c r="AT579" s="94"/>
      <c r="AU579" s="94"/>
      <c r="AV579" s="94"/>
      <c r="AW579" s="94"/>
      <c r="AX579" s="94"/>
      <c r="AY579" s="94"/>
      <c r="AZ579" s="94"/>
      <c r="BA579" s="95"/>
    </row>
    <row r="580" spans="1:53" s="87" customFormat="1">
      <c r="A580" s="90" t="str">
        <f t="shared" si="34"/>
        <v/>
      </c>
      <c r="B580" s="98"/>
      <c r="C580" s="94"/>
      <c r="D580" s="94"/>
      <c r="E580" s="94"/>
      <c r="F580" s="94"/>
      <c r="G580" s="94"/>
      <c r="H580" s="94"/>
      <c r="I580" s="94"/>
      <c r="J580" s="94"/>
      <c r="K580" s="94"/>
      <c r="L580" s="94"/>
      <c r="M580" s="94"/>
      <c r="N580" s="94"/>
      <c r="O580" s="94"/>
      <c r="P580" s="94"/>
      <c r="Q580" s="94"/>
      <c r="R580" s="94"/>
      <c r="S580" s="94"/>
      <c r="T580" s="94"/>
      <c r="U580" s="94"/>
      <c r="V580" s="94"/>
      <c r="W580" s="94"/>
      <c r="X580" s="94"/>
      <c r="Y580" s="94"/>
      <c r="Z580" s="94"/>
      <c r="AA580" s="94"/>
      <c r="AB580" s="94"/>
      <c r="AC580" s="94"/>
      <c r="AD580" s="94"/>
      <c r="AE580" s="94"/>
      <c r="AF580" s="94"/>
      <c r="AG580" s="94"/>
      <c r="AH580" s="94"/>
      <c r="AI580" s="94"/>
      <c r="AJ580" s="94"/>
      <c r="AK580" s="94"/>
      <c r="AL580" s="94"/>
      <c r="AM580" s="94"/>
      <c r="AN580" s="94"/>
      <c r="AO580" s="94"/>
      <c r="AP580" s="94"/>
      <c r="AQ580" s="94"/>
      <c r="AR580" s="94"/>
      <c r="AS580" s="94"/>
      <c r="AT580" s="94"/>
      <c r="AU580" s="94"/>
      <c r="AV580" s="94"/>
      <c r="AW580" s="94"/>
      <c r="AX580" s="94"/>
      <c r="AY580" s="94"/>
      <c r="AZ580" s="94"/>
      <c r="BA580" s="95"/>
    </row>
    <row r="581" spans="1:53" s="87" customFormat="1">
      <c r="A581" s="90" t="str">
        <f t="shared" si="34"/>
        <v/>
      </c>
      <c r="B581" s="98"/>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5"/>
    </row>
    <row r="582" spans="1:53" s="87" customFormat="1">
      <c r="A582" s="90" t="str">
        <f t="shared" si="34"/>
        <v/>
      </c>
      <c r="B582" s="98"/>
      <c r="C582" s="94"/>
      <c r="D582" s="94"/>
      <c r="E582" s="94"/>
      <c r="F582" s="94"/>
      <c r="G582" s="94"/>
      <c r="H582" s="94"/>
      <c r="I582" s="94"/>
      <c r="J582" s="94"/>
      <c r="K582" s="94"/>
      <c r="L582" s="94"/>
      <c r="M582" s="94"/>
      <c r="N582" s="94"/>
      <c r="O582" s="94"/>
      <c r="P582" s="94"/>
      <c r="Q582" s="94"/>
      <c r="R582" s="94"/>
      <c r="S582" s="94"/>
      <c r="T582" s="94"/>
      <c r="U582" s="94"/>
      <c r="V582" s="94"/>
      <c r="W582" s="94"/>
      <c r="X582" s="94"/>
      <c r="Y582" s="94"/>
      <c r="Z582" s="94"/>
      <c r="AA582" s="94"/>
      <c r="AB582" s="94"/>
      <c r="AC582" s="94"/>
      <c r="AD582" s="94"/>
      <c r="AE582" s="94"/>
      <c r="AF582" s="94"/>
      <c r="AG582" s="94"/>
      <c r="AH582" s="94"/>
      <c r="AI582" s="94"/>
      <c r="AJ582" s="94"/>
      <c r="AK582" s="94"/>
      <c r="AL582" s="94"/>
      <c r="AM582" s="94"/>
      <c r="AN582" s="94"/>
      <c r="AO582" s="94"/>
      <c r="AP582" s="94"/>
      <c r="AQ582" s="94"/>
      <c r="AR582" s="94"/>
      <c r="AS582" s="94"/>
      <c r="AT582" s="94"/>
      <c r="AU582" s="94"/>
      <c r="AV582" s="94"/>
      <c r="AW582" s="94"/>
      <c r="AX582" s="94"/>
      <c r="AY582" s="94"/>
      <c r="AZ582" s="94"/>
      <c r="BA582" s="95"/>
    </row>
    <row r="583" spans="1:53" s="87" customFormat="1">
      <c r="A583" s="90" t="str">
        <f t="shared" si="34"/>
        <v/>
      </c>
      <c r="B583" s="98"/>
      <c r="C583" s="94"/>
      <c r="D583" s="94"/>
      <c r="E583" s="94"/>
      <c r="F583" s="94"/>
      <c r="G583" s="94"/>
      <c r="H583" s="94"/>
      <c r="I583" s="94"/>
      <c r="J583" s="94"/>
      <c r="K583" s="94"/>
      <c r="L583" s="94"/>
      <c r="M583" s="94"/>
      <c r="N583" s="94"/>
      <c r="O583" s="94"/>
      <c r="P583" s="94"/>
      <c r="Q583" s="94"/>
      <c r="R583" s="94"/>
      <c r="S583" s="94"/>
      <c r="T583" s="94"/>
      <c r="U583" s="94"/>
      <c r="V583" s="94"/>
      <c r="W583" s="94"/>
      <c r="X583" s="94"/>
      <c r="Y583" s="94"/>
      <c r="Z583" s="94"/>
      <c r="AA583" s="94"/>
      <c r="AB583" s="94"/>
      <c r="AC583" s="94"/>
      <c r="AD583" s="94"/>
      <c r="AE583" s="94"/>
      <c r="AF583" s="94"/>
      <c r="AG583" s="94"/>
      <c r="AH583" s="94"/>
      <c r="AI583" s="94"/>
      <c r="AJ583" s="94"/>
      <c r="AK583" s="94"/>
      <c r="AL583" s="94"/>
      <c r="AM583" s="94"/>
      <c r="AN583" s="94"/>
      <c r="AO583" s="94"/>
      <c r="AP583" s="94"/>
      <c r="AQ583" s="94"/>
      <c r="AR583" s="94"/>
      <c r="AS583" s="94"/>
      <c r="AT583" s="94"/>
      <c r="AU583" s="94"/>
      <c r="AV583" s="94"/>
      <c r="AW583" s="94"/>
      <c r="AX583" s="94"/>
      <c r="AY583" s="94"/>
      <c r="AZ583" s="94"/>
      <c r="BA583" s="95"/>
    </row>
    <row r="584" spans="1:53" s="87" customFormat="1">
      <c r="A584" s="90" t="str">
        <f t="shared" si="34"/>
        <v/>
      </c>
      <c r="B584" s="98"/>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5"/>
    </row>
    <row r="585" spans="1:53" s="87" customFormat="1">
      <c r="A585" s="90" t="str">
        <f t="shared" si="34"/>
        <v/>
      </c>
      <c r="B585" s="98"/>
      <c r="C585" s="94"/>
      <c r="D585" s="94"/>
      <c r="E585" s="94"/>
      <c r="F585" s="94"/>
      <c r="G585" s="94"/>
      <c r="H585" s="94"/>
      <c r="I585" s="94"/>
      <c r="J585" s="94"/>
      <c r="K585" s="94"/>
      <c r="L585" s="94"/>
      <c r="M585" s="94"/>
      <c r="N585" s="94"/>
      <c r="O585" s="94"/>
      <c r="P585" s="94"/>
      <c r="Q585" s="94"/>
      <c r="R585" s="94"/>
      <c r="S585" s="94"/>
      <c r="T585" s="94"/>
      <c r="U585" s="94"/>
      <c r="V585" s="94"/>
      <c r="W585" s="94"/>
      <c r="X585" s="94"/>
      <c r="Y585" s="94"/>
      <c r="Z585" s="94"/>
      <c r="AA585" s="94"/>
      <c r="AB585" s="94"/>
      <c r="AC585" s="94"/>
      <c r="AD585" s="94"/>
      <c r="AE585" s="94"/>
      <c r="AF585" s="94"/>
      <c r="AG585" s="94"/>
      <c r="AH585" s="94"/>
      <c r="AI585" s="94"/>
      <c r="AJ585" s="94"/>
      <c r="AK585" s="94"/>
      <c r="AL585" s="94"/>
      <c r="AM585" s="94"/>
      <c r="AN585" s="94"/>
      <c r="AO585" s="94"/>
      <c r="AP585" s="94"/>
      <c r="AQ585" s="94"/>
      <c r="AR585" s="94"/>
      <c r="AS585" s="94"/>
      <c r="AT585" s="94"/>
      <c r="AU585" s="94"/>
      <c r="AV585" s="94"/>
      <c r="AW585" s="94"/>
      <c r="AX585" s="94"/>
      <c r="AY585" s="94"/>
      <c r="AZ585" s="94"/>
      <c r="BA585" s="95"/>
    </row>
    <row r="586" spans="1:53" s="87" customFormat="1">
      <c r="A586" s="90" t="str">
        <f t="shared" si="34"/>
        <v/>
      </c>
      <c r="B586" s="98"/>
      <c r="C586" s="94"/>
      <c r="D586" s="94"/>
      <c r="E586" s="94"/>
      <c r="F586" s="94"/>
      <c r="G586" s="94"/>
      <c r="H586" s="94"/>
      <c r="I586" s="94"/>
      <c r="J586" s="94"/>
      <c r="K586" s="94"/>
      <c r="L586" s="94"/>
      <c r="M586" s="94"/>
      <c r="N586" s="94"/>
      <c r="O586" s="94"/>
      <c r="P586" s="94"/>
      <c r="Q586" s="94"/>
      <c r="R586" s="94"/>
      <c r="S586" s="94"/>
      <c r="T586" s="94"/>
      <c r="U586" s="94"/>
      <c r="V586" s="94"/>
      <c r="W586" s="94"/>
      <c r="X586" s="94"/>
      <c r="Y586" s="94"/>
      <c r="Z586" s="94"/>
      <c r="AA586" s="94"/>
      <c r="AB586" s="94"/>
      <c r="AC586" s="94"/>
      <c r="AD586" s="94"/>
      <c r="AE586" s="94"/>
      <c r="AF586" s="94"/>
      <c r="AG586" s="94"/>
      <c r="AH586" s="94"/>
      <c r="AI586" s="94"/>
      <c r="AJ586" s="94"/>
      <c r="AK586" s="94"/>
      <c r="AL586" s="94"/>
      <c r="AM586" s="94"/>
      <c r="AN586" s="94"/>
      <c r="AO586" s="94"/>
      <c r="AP586" s="94"/>
      <c r="AQ586" s="94"/>
      <c r="AR586" s="94"/>
      <c r="AS586" s="94"/>
      <c r="AT586" s="94"/>
      <c r="AU586" s="94"/>
      <c r="AV586" s="94"/>
      <c r="AW586" s="94"/>
      <c r="AX586" s="94"/>
      <c r="AY586" s="94"/>
      <c r="AZ586" s="94"/>
      <c r="BA586" s="95"/>
    </row>
    <row r="587" spans="1:53" s="87" customFormat="1">
      <c r="A587" s="90" t="str">
        <f t="shared" si="34"/>
        <v/>
      </c>
      <c r="B587" s="98"/>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5"/>
    </row>
    <row r="588" spans="1:53" s="87" customFormat="1">
      <c r="A588" s="90" t="str">
        <f t="shared" ref="A588:A651" si="35">IF(MID(B588,3,2)="03",ROW(),"")</f>
        <v/>
      </c>
      <c r="B588" s="98"/>
      <c r="C588" s="94"/>
      <c r="D588" s="94"/>
      <c r="E588" s="94"/>
      <c r="F588" s="94"/>
      <c r="G588" s="94"/>
      <c r="H588" s="94"/>
      <c r="I588" s="94"/>
      <c r="J588" s="94"/>
      <c r="K588" s="94"/>
      <c r="L588" s="94"/>
      <c r="M588" s="94"/>
      <c r="N588" s="94"/>
      <c r="O588" s="94"/>
      <c r="P588" s="94"/>
      <c r="Q588" s="94"/>
      <c r="R588" s="94"/>
      <c r="S588" s="94"/>
      <c r="T588" s="94"/>
      <c r="U588" s="94"/>
      <c r="V588" s="94"/>
      <c r="W588" s="94"/>
      <c r="X588" s="94"/>
      <c r="Y588" s="94"/>
      <c r="Z588" s="94"/>
      <c r="AA588" s="94"/>
      <c r="AB588" s="94"/>
      <c r="AC588" s="94"/>
      <c r="AD588" s="94"/>
      <c r="AE588" s="94"/>
      <c r="AF588" s="94"/>
      <c r="AG588" s="94"/>
      <c r="AH588" s="94"/>
      <c r="AI588" s="94"/>
      <c r="AJ588" s="94"/>
      <c r="AK588" s="94"/>
      <c r="AL588" s="94"/>
      <c r="AM588" s="94"/>
      <c r="AN588" s="94"/>
      <c r="AO588" s="94"/>
      <c r="AP588" s="94"/>
      <c r="AQ588" s="94"/>
      <c r="AR588" s="94"/>
      <c r="AS588" s="94"/>
      <c r="AT588" s="94"/>
      <c r="AU588" s="94"/>
      <c r="AV588" s="94"/>
      <c r="AW588" s="94"/>
      <c r="AX588" s="94"/>
      <c r="AY588" s="94"/>
      <c r="AZ588" s="94"/>
      <c r="BA588" s="95"/>
    </row>
    <row r="589" spans="1:53" s="87" customFormat="1">
      <c r="A589" s="90" t="str">
        <f t="shared" si="35"/>
        <v/>
      </c>
      <c r="B589" s="98"/>
      <c r="C589" s="94"/>
      <c r="D589" s="94"/>
      <c r="E589" s="94"/>
      <c r="F589" s="94"/>
      <c r="G589" s="94"/>
      <c r="H589" s="94"/>
      <c r="I589" s="94"/>
      <c r="J589" s="94"/>
      <c r="K589" s="94"/>
      <c r="L589" s="94"/>
      <c r="M589" s="94"/>
      <c r="N589" s="94"/>
      <c r="O589" s="94"/>
      <c r="P589" s="94"/>
      <c r="Q589" s="94"/>
      <c r="R589" s="94"/>
      <c r="S589" s="94"/>
      <c r="T589" s="94"/>
      <c r="U589" s="94"/>
      <c r="V589" s="94"/>
      <c r="W589" s="94"/>
      <c r="X589" s="94"/>
      <c r="Y589" s="94"/>
      <c r="Z589" s="94"/>
      <c r="AA589" s="94"/>
      <c r="AB589" s="94"/>
      <c r="AC589" s="94"/>
      <c r="AD589" s="94"/>
      <c r="AE589" s="94"/>
      <c r="AF589" s="94"/>
      <c r="AG589" s="94"/>
      <c r="AH589" s="94"/>
      <c r="AI589" s="94"/>
      <c r="AJ589" s="94"/>
      <c r="AK589" s="94"/>
      <c r="AL589" s="94"/>
      <c r="AM589" s="94"/>
      <c r="AN589" s="94"/>
      <c r="AO589" s="94"/>
      <c r="AP589" s="94"/>
      <c r="AQ589" s="94"/>
      <c r="AR589" s="94"/>
      <c r="AS589" s="94"/>
      <c r="AT589" s="94"/>
      <c r="AU589" s="94"/>
      <c r="AV589" s="94"/>
      <c r="AW589" s="94"/>
      <c r="AX589" s="94"/>
      <c r="AY589" s="94"/>
      <c r="AZ589" s="94"/>
      <c r="BA589" s="95"/>
    </row>
    <row r="590" spans="1:53" s="87" customFormat="1">
      <c r="A590" s="90" t="str">
        <f t="shared" si="35"/>
        <v/>
      </c>
      <c r="B590" s="98"/>
      <c r="C590" s="94"/>
      <c r="D590" s="94"/>
      <c r="E590" s="94"/>
      <c r="F590" s="94"/>
      <c r="G590" s="94"/>
      <c r="H590" s="94"/>
      <c r="I590" s="94"/>
      <c r="J590" s="94"/>
      <c r="K590" s="94"/>
      <c r="L590" s="94"/>
      <c r="M590" s="94"/>
      <c r="N590" s="94"/>
      <c r="O590" s="94"/>
      <c r="P590" s="94"/>
      <c r="Q590" s="94"/>
      <c r="R590" s="94"/>
      <c r="S590" s="94"/>
      <c r="T590" s="94"/>
      <c r="U590" s="94"/>
      <c r="V590" s="94"/>
      <c r="W590" s="94"/>
      <c r="X590" s="94"/>
      <c r="Y590" s="94"/>
      <c r="Z590" s="94"/>
      <c r="AA590" s="94"/>
      <c r="AB590" s="94"/>
      <c r="AC590" s="94"/>
      <c r="AD590" s="94"/>
      <c r="AE590" s="94"/>
      <c r="AF590" s="94"/>
      <c r="AG590" s="94"/>
      <c r="AH590" s="94"/>
      <c r="AI590" s="94"/>
      <c r="AJ590" s="94"/>
      <c r="AK590" s="94"/>
      <c r="AL590" s="94"/>
      <c r="AM590" s="94"/>
      <c r="AN590" s="94"/>
      <c r="AO590" s="94"/>
      <c r="AP590" s="94"/>
      <c r="AQ590" s="94"/>
      <c r="AR590" s="94"/>
      <c r="AS590" s="94"/>
      <c r="AT590" s="94"/>
      <c r="AU590" s="94"/>
      <c r="AV590" s="94"/>
      <c r="AW590" s="94"/>
      <c r="AX590" s="94"/>
      <c r="AY590" s="94"/>
      <c r="AZ590" s="94"/>
      <c r="BA590" s="95"/>
    </row>
    <row r="591" spans="1:53" s="87" customFormat="1">
      <c r="A591" s="90" t="str">
        <f t="shared" si="35"/>
        <v/>
      </c>
      <c r="B591" s="98"/>
      <c r="C591" s="94"/>
      <c r="D591" s="94"/>
      <c r="E591" s="94"/>
      <c r="F591" s="94"/>
      <c r="G591" s="94"/>
      <c r="H591" s="94"/>
      <c r="I591" s="94"/>
      <c r="J591" s="94"/>
      <c r="K591" s="94"/>
      <c r="L591" s="94"/>
      <c r="M591" s="94"/>
      <c r="N591" s="94"/>
      <c r="O591" s="94"/>
      <c r="P591" s="94"/>
      <c r="Q591" s="94"/>
      <c r="R591" s="94"/>
      <c r="S591" s="94"/>
      <c r="T591" s="94"/>
      <c r="U591" s="94"/>
      <c r="V591" s="94"/>
      <c r="W591" s="94"/>
      <c r="X591" s="94"/>
      <c r="Y591" s="94"/>
      <c r="Z591" s="94"/>
      <c r="AA591" s="94"/>
      <c r="AB591" s="94"/>
      <c r="AC591" s="94"/>
      <c r="AD591" s="94"/>
      <c r="AE591" s="94"/>
      <c r="AF591" s="94"/>
      <c r="AG591" s="94"/>
      <c r="AH591" s="94"/>
      <c r="AI591" s="94"/>
      <c r="AJ591" s="94"/>
      <c r="AK591" s="94"/>
      <c r="AL591" s="94"/>
      <c r="AM591" s="94"/>
      <c r="AN591" s="94"/>
      <c r="AO591" s="94"/>
      <c r="AP591" s="94"/>
      <c r="AQ591" s="94"/>
      <c r="AR591" s="94"/>
      <c r="AS591" s="94"/>
      <c r="AT591" s="94"/>
      <c r="AU591" s="94"/>
      <c r="AV591" s="94"/>
      <c r="AW591" s="94"/>
      <c r="AX591" s="94"/>
      <c r="AY591" s="94"/>
      <c r="AZ591" s="94"/>
      <c r="BA591" s="95"/>
    </row>
    <row r="592" spans="1:53" s="87" customFormat="1">
      <c r="A592" s="90" t="str">
        <f t="shared" si="35"/>
        <v/>
      </c>
      <c r="B592" s="98"/>
      <c r="C592" s="94"/>
      <c r="D592" s="94"/>
      <c r="E592" s="94"/>
      <c r="F592" s="94"/>
      <c r="G592" s="94"/>
      <c r="H592" s="94"/>
      <c r="I592" s="94"/>
      <c r="J592" s="94"/>
      <c r="K592" s="94"/>
      <c r="L592" s="94"/>
      <c r="M592" s="94"/>
      <c r="N592" s="94"/>
      <c r="O592" s="94"/>
      <c r="P592" s="94"/>
      <c r="Q592" s="94"/>
      <c r="R592" s="94"/>
      <c r="S592" s="94"/>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4"/>
      <c r="AY592" s="94"/>
      <c r="AZ592" s="94"/>
      <c r="BA592" s="95"/>
    </row>
    <row r="593" spans="1:53" s="87" customFormat="1">
      <c r="A593" s="90" t="str">
        <f t="shared" si="35"/>
        <v/>
      </c>
      <c r="B593" s="98"/>
      <c r="C593" s="94"/>
      <c r="D593" s="94"/>
      <c r="E593" s="94"/>
      <c r="F593" s="94"/>
      <c r="G593" s="94"/>
      <c r="H593" s="94"/>
      <c r="I593" s="94"/>
      <c r="J593" s="94"/>
      <c r="K593" s="94"/>
      <c r="L593" s="94"/>
      <c r="M593" s="94"/>
      <c r="N593" s="94"/>
      <c r="O593" s="94"/>
      <c r="P593" s="94"/>
      <c r="Q593" s="94"/>
      <c r="R593" s="94"/>
      <c r="S593" s="94"/>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c r="AW593" s="94"/>
      <c r="AX593" s="94"/>
      <c r="AY593" s="94"/>
      <c r="AZ593" s="94"/>
      <c r="BA593" s="95"/>
    </row>
    <row r="594" spans="1:53" s="87" customFormat="1">
      <c r="A594" s="90" t="str">
        <f t="shared" si="35"/>
        <v/>
      </c>
      <c r="B594" s="98"/>
      <c r="C594" s="94"/>
      <c r="D594" s="94"/>
      <c r="E594" s="94"/>
      <c r="F594" s="94"/>
      <c r="G594" s="94"/>
      <c r="H594" s="94"/>
      <c r="I594" s="94"/>
      <c r="J594" s="94"/>
      <c r="K594" s="94"/>
      <c r="L594" s="94"/>
      <c r="M594" s="94"/>
      <c r="N594" s="94"/>
      <c r="O594" s="94"/>
      <c r="P594" s="94"/>
      <c r="Q594" s="94"/>
      <c r="R594" s="94"/>
      <c r="S594" s="94"/>
      <c r="T594" s="94"/>
      <c r="U594" s="94"/>
      <c r="V594" s="94"/>
      <c r="W594" s="94"/>
      <c r="X594" s="94"/>
      <c r="Y594" s="94"/>
      <c r="Z594" s="94"/>
      <c r="AA594" s="94"/>
      <c r="AB594" s="94"/>
      <c r="AC594" s="94"/>
      <c r="AD594" s="94"/>
      <c r="AE594" s="94"/>
      <c r="AF594" s="94"/>
      <c r="AG594" s="94"/>
      <c r="AH594" s="94"/>
      <c r="AI594" s="94"/>
      <c r="AJ594" s="94"/>
      <c r="AK594" s="94"/>
      <c r="AL594" s="94"/>
      <c r="AM594" s="94"/>
      <c r="AN594" s="94"/>
      <c r="AO594" s="94"/>
      <c r="AP594" s="94"/>
      <c r="AQ594" s="94"/>
      <c r="AR594" s="94"/>
      <c r="AS594" s="94"/>
      <c r="AT594" s="94"/>
      <c r="AU594" s="94"/>
      <c r="AV594" s="94"/>
      <c r="AW594" s="94"/>
      <c r="AX594" s="94"/>
      <c r="AY594" s="94"/>
      <c r="AZ594" s="94"/>
      <c r="BA594" s="95"/>
    </row>
    <row r="595" spans="1:53" s="87" customFormat="1">
      <c r="A595" s="90" t="str">
        <f t="shared" si="35"/>
        <v/>
      </c>
      <c r="B595" s="98"/>
      <c r="C595" s="94"/>
      <c r="D595" s="94"/>
      <c r="E595" s="94"/>
      <c r="F595" s="94"/>
      <c r="G595" s="94"/>
      <c r="H595" s="94"/>
      <c r="I595" s="94"/>
      <c r="J595" s="94"/>
      <c r="K595" s="94"/>
      <c r="L595" s="94"/>
      <c r="M595" s="94"/>
      <c r="N595" s="94"/>
      <c r="O595" s="94"/>
      <c r="P595" s="94"/>
      <c r="Q595" s="94"/>
      <c r="R595" s="94"/>
      <c r="S595" s="94"/>
      <c r="T595" s="94"/>
      <c r="U595" s="94"/>
      <c r="V595" s="94"/>
      <c r="W595" s="94"/>
      <c r="X595" s="94"/>
      <c r="Y595" s="94"/>
      <c r="Z595" s="94"/>
      <c r="AA595" s="94"/>
      <c r="AB595" s="94"/>
      <c r="AC595" s="94"/>
      <c r="AD595" s="94"/>
      <c r="AE595" s="94"/>
      <c r="AF595" s="94"/>
      <c r="AG595" s="94"/>
      <c r="AH595" s="94"/>
      <c r="AI595" s="94"/>
      <c r="AJ595" s="94"/>
      <c r="AK595" s="94"/>
      <c r="AL595" s="94"/>
      <c r="AM595" s="94"/>
      <c r="AN595" s="94"/>
      <c r="AO595" s="94"/>
      <c r="AP595" s="94"/>
      <c r="AQ595" s="94"/>
      <c r="AR595" s="94"/>
      <c r="AS595" s="94"/>
      <c r="AT595" s="94"/>
      <c r="AU595" s="94"/>
      <c r="AV595" s="94"/>
      <c r="AW595" s="94"/>
      <c r="AX595" s="94"/>
      <c r="AY595" s="94"/>
      <c r="AZ595" s="94"/>
      <c r="BA595" s="95"/>
    </row>
    <row r="596" spans="1:53" s="87" customFormat="1">
      <c r="A596" s="90" t="str">
        <f t="shared" si="35"/>
        <v/>
      </c>
      <c r="B596" s="98"/>
      <c r="C596" s="94"/>
      <c r="D596" s="94"/>
      <c r="E596" s="94"/>
      <c r="F596" s="94"/>
      <c r="G596" s="94"/>
      <c r="H596" s="94"/>
      <c r="I596" s="94"/>
      <c r="J596" s="94"/>
      <c r="K596" s="94"/>
      <c r="L596" s="94"/>
      <c r="M596" s="94"/>
      <c r="N596" s="94"/>
      <c r="O596" s="94"/>
      <c r="P596" s="94"/>
      <c r="Q596" s="94"/>
      <c r="R596" s="94"/>
      <c r="S596" s="94"/>
      <c r="T596" s="94"/>
      <c r="U596" s="94"/>
      <c r="V596" s="94"/>
      <c r="W596" s="94"/>
      <c r="X596" s="94"/>
      <c r="Y596" s="94"/>
      <c r="Z596" s="94"/>
      <c r="AA596" s="94"/>
      <c r="AB596" s="94"/>
      <c r="AC596" s="94"/>
      <c r="AD596" s="94"/>
      <c r="AE596" s="94"/>
      <c r="AF596" s="94"/>
      <c r="AG596" s="94"/>
      <c r="AH596" s="94"/>
      <c r="AI596" s="94"/>
      <c r="AJ596" s="94"/>
      <c r="AK596" s="94"/>
      <c r="AL596" s="94"/>
      <c r="AM596" s="94"/>
      <c r="AN596" s="94"/>
      <c r="AO596" s="94"/>
      <c r="AP596" s="94"/>
      <c r="AQ596" s="94"/>
      <c r="AR596" s="94"/>
      <c r="AS596" s="94"/>
      <c r="AT596" s="94"/>
      <c r="AU596" s="94"/>
      <c r="AV596" s="94"/>
      <c r="AW596" s="94"/>
      <c r="AX596" s="94"/>
      <c r="AY596" s="94"/>
      <c r="AZ596" s="94"/>
      <c r="BA596" s="95"/>
    </row>
    <row r="597" spans="1:53" s="87" customFormat="1">
      <c r="A597" s="90" t="str">
        <f t="shared" si="35"/>
        <v/>
      </c>
      <c r="B597" s="98"/>
      <c r="C597" s="94"/>
      <c r="D597" s="94"/>
      <c r="E597" s="94"/>
      <c r="F597" s="94"/>
      <c r="G597" s="94"/>
      <c r="H597" s="94"/>
      <c r="I597" s="94"/>
      <c r="J597" s="94"/>
      <c r="K597" s="94"/>
      <c r="L597" s="94"/>
      <c r="M597" s="94"/>
      <c r="N597" s="94"/>
      <c r="O597" s="94"/>
      <c r="P597" s="94"/>
      <c r="Q597" s="94"/>
      <c r="R597" s="94"/>
      <c r="S597" s="94"/>
      <c r="T597" s="94"/>
      <c r="U597" s="94"/>
      <c r="V597" s="94"/>
      <c r="W597" s="94"/>
      <c r="X597" s="94"/>
      <c r="Y597" s="94"/>
      <c r="Z597" s="94"/>
      <c r="AA597" s="94"/>
      <c r="AB597" s="94"/>
      <c r="AC597" s="94"/>
      <c r="AD597" s="94"/>
      <c r="AE597" s="94"/>
      <c r="AF597" s="94"/>
      <c r="AG597" s="94"/>
      <c r="AH597" s="94"/>
      <c r="AI597" s="94"/>
      <c r="AJ597" s="94"/>
      <c r="AK597" s="94"/>
      <c r="AL597" s="94"/>
      <c r="AM597" s="94"/>
      <c r="AN597" s="94"/>
      <c r="AO597" s="94"/>
      <c r="AP597" s="94"/>
      <c r="AQ597" s="94"/>
      <c r="AR597" s="94"/>
      <c r="AS597" s="94"/>
      <c r="AT597" s="94"/>
      <c r="AU597" s="94"/>
      <c r="AV597" s="94"/>
      <c r="AW597" s="94"/>
      <c r="AX597" s="94"/>
      <c r="AY597" s="94"/>
      <c r="AZ597" s="94"/>
      <c r="BA597" s="95"/>
    </row>
    <row r="598" spans="1:53" s="87" customFormat="1">
      <c r="A598" s="90" t="str">
        <f t="shared" si="35"/>
        <v/>
      </c>
      <c r="B598" s="98"/>
      <c r="C598" s="94"/>
      <c r="D598" s="94"/>
      <c r="E598" s="94"/>
      <c r="F598" s="94"/>
      <c r="G598" s="94"/>
      <c r="H598" s="94"/>
      <c r="I598" s="94"/>
      <c r="J598" s="94"/>
      <c r="K598" s="94"/>
      <c r="L598" s="94"/>
      <c r="M598" s="94"/>
      <c r="N598" s="94"/>
      <c r="O598" s="94"/>
      <c r="P598" s="94"/>
      <c r="Q598" s="94"/>
      <c r="R598" s="94"/>
      <c r="S598" s="94"/>
      <c r="T598" s="94"/>
      <c r="U598" s="94"/>
      <c r="V598" s="94"/>
      <c r="W598" s="94"/>
      <c r="X598" s="94"/>
      <c r="Y598" s="94"/>
      <c r="Z598" s="94"/>
      <c r="AA598" s="94"/>
      <c r="AB598" s="94"/>
      <c r="AC598" s="94"/>
      <c r="AD598" s="94"/>
      <c r="AE598" s="94"/>
      <c r="AF598" s="94"/>
      <c r="AG598" s="94"/>
      <c r="AH598" s="94"/>
      <c r="AI598" s="94"/>
      <c r="AJ598" s="94"/>
      <c r="AK598" s="94"/>
      <c r="AL598" s="94"/>
      <c r="AM598" s="94"/>
      <c r="AN598" s="94"/>
      <c r="AO598" s="94"/>
      <c r="AP598" s="94"/>
      <c r="AQ598" s="94"/>
      <c r="AR598" s="94"/>
      <c r="AS598" s="94"/>
      <c r="AT598" s="94"/>
      <c r="AU598" s="94"/>
      <c r="AV598" s="94"/>
      <c r="AW598" s="94"/>
      <c r="AX598" s="94"/>
      <c r="AY598" s="94"/>
      <c r="AZ598" s="94"/>
      <c r="BA598" s="95"/>
    </row>
    <row r="599" spans="1:53" s="87" customFormat="1">
      <c r="A599" s="90" t="str">
        <f t="shared" si="35"/>
        <v/>
      </c>
      <c r="B599" s="98"/>
      <c r="C599" s="94"/>
      <c r="D599" s="94"/>
      <c r="E599" s="94"/>
      <c r="F599" s="94"/>
      <c r="G599" s="94"/>
      <c r="H599" s="94"/>
      <c r="I599" s="94"/>
      <c r="J599" s="94"/>
      <c r="K599" s="94"/>
      <c r="L599" s="94"/>
      <c r="M599" s="94"/>
      <c r="N599" s="94"/>
      <c r="O599" s="94"/>
      <c r="P599" s="94"/>
      <c r="Q599" s="94"/>
      <c r="R599" s="94"/>
      <c r="S599" s="94"/>
      <c r="T599" s="94"/>
      <c r="U599" s="94"/>
      <c r="V599" s="94"/>
      <c r="W599" s="94"/>
      <c r="X599" s="94"/>
      <c r="Y599" s="94"/>
      <c r="Z599" s="94"/>
      <c r="AA599" s="94"/>
      <c r="AB599" s="94"/>
      <c r="AC599" s="94"/>
      <c r="AD599" s="94"/>
      <c r="AE599" s="94"/>
      <c r="AF599" s="94"/>
      <c r="AG599" s="94"/>
      <c r="AH599" s="94"/>
      <c r="AI599" s="94"/>
      <c r="AJ599" s="94"/>
      <c r="AK599" s="94"/>
      <c r="AL599" s="94"/>
      <c r="AM599" s="94"/>
      <c r="AN599" s="94"/>
      <c r="AO599" s="94"/>
      <c r="AP599" s="94"/>
      <c r="AQ599" s="94"/>
      <c r="AR599" s="94"/>
      <c r="AS599" s="94"/>
      <c r="AT599" s="94"/>
      <c r="AU599" s="94"/>
      <c r="AV599" s="94"/>
      <c r="AW599" s="94"/>
      <c r="AX599" s="94"/>
      <c r="AY599" s="94"/>
      <c r="AZ599" s="94"/>
      <c r="BA599" s="95"/>
    </row>
    <row r="600" spans="1:53" s="87" customFormat="1">
      <c r="A600" s="90" t="str">
        <f t="shared" si="35"/>
        <v/>
      </c>
      <c r="B600" s="98"/>
      <c r="C600" s="94"/>
      <c r="D600" s="94"/>
      <c r="E600" s="94"/>
      <c r="F600" s="94"/>
      <c r="G600" s="94"/>
      <c r="H600" s="94"/>
      <c r="I600" s="94"/>
      <c r="J600" s="94"/>
      <c r="K600" s="94"/>
      <c r="L600" s="94"/>
      <c r="M600" s="94"/>
      <c r="N600" s="94"/>
      <c r="O600" s="94"/>
      <c r="P600" s="94"/>
      <c r="Q600" s="94"/>
      <c r="R600" s="94"/>
      <c r="S600" s="94"/>
      <c r="T600" s="94"/>
      <c r="U600" s="94"/>
      <c r="V600" s="94"/>
      <c r="W600" s="94"/>
      <c r="X600" s="94"/>
      <c r="Y600" s="94"/>
      <c r="Z600" s="94"/>
      <c r="AA600" s="94"/>
      <c r="AB600" s="94"/>
      <c r="AC600" s="94"/>
      <c r="AD600" s="94"/>
      <c r="AE600" s="94"/>
      <c r="AF600" s="94"/>
      <c r="AG600" s="94"/>
      <c r="AH600" s="94"/>
      <c r="AI600" s="94"/>
      <c r="AJ600" s="94"/>
      <c r="AK600" s="94"/>
      <c r="AL600" s="94"/>
      <c r="AM600" s="94"/>
      <c r="AN600" s="94"/>
      <c r="AO600" s="94"/>
      <c r="AP600" s="94"/>
      <c r="AQ600" s="94"/>
      <c r="AR600" s="94"/>
      <c r="AS600" s="94"/>
      <c r="AT600" s="94"/>
      <c r="AU600" s="94"/>
      <c r="AV600" s="94"/>
      <c r="AW600" s="94"/>
      <c r="AX600" s="94"/>
      <c r="AY600" s="94"/>
      <c r="AZ600" s="94"/>
      <c r="BA600" s="95"/>
    </row>
    <row r="601" spans="1:53" s="87" customFormat="1">
      <c r="A601" s="90" t="str">
        <f t="shared" si="35"/>
        <v/>
      </c>
      <c r="B601" s="98"/>
      <c r="C601" s="94"/>
      <c r="D601" s="94"/>
      <c r="E601" s="94"/>
      <c r="F601" s="94"/>
      <c r="G601" s="94"/>
      <c r="H601" s="94"/>
      <c r="I601" s="94"/>
      <c r="J601" s="94"/>
      <c r="K601" s="94"/>
      <c r="L601" s="94"/>
      <c r="M601" s="94"/>
      <c r="N601" s="94"/>
      <c r="O601" s="94"/>
      <c r="P601" s="94"/>
      <c r="Q601" s="94"/>
      <c r="R601" s="94"/>
      <c r="S601" s="94"/>
      <c r="T601" s="94"/>
      <c r="U601" s="94"/>
      <c r="V601" s="94"/>
      <c r="W601" s="94"/>
      <c r="X601" s="94"/>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AZ601" s="94"/>
      <c r="BA601" s="95"/>
    </row>
    <row r="602" spans="1:53" s="87" customFormat="1">
      <c r="A602" s="90" t="str">
        <f t="shared" si="35"/>
        <v/>
      </c>
      <c r="B602" s="98"/>
      <c r="C602" s="94"/>
      <c r="D602" s="94"/>
      <c r="E602" s="94"/>
      <c r="F602" s="94"/>
      <c r="G602" s="94"/>
      <c r="H602" s="94"/>
      <c r="I602" s="94"/>
      <c r="J602" s="94"/>
      <c r="K602" s="94"/>
      <c r="L602" s="94"/>
      <c r="M602" s="94"/>
      <c r="N602" s="94"/>
      <c r="O602" s="94"/>
      <c r="P602" s="94"/>
      <c r="Q602" s="94"/>
      <c r="R602" s="94"/>
      <c r="S602" s="94"/>
      <c r="T602" s="94"/>
      <c r="U602" s="94"/>
      <c r="V602" s="94"/>
      <c r="W602" s="94"/>
      <c r="X602" s="94"/>
      <c r="Y602" s="94"/>
      <c r="Z602" s="94"/>
      <c r="AA602" s="94"/>
      <c r="AB602" s="94"/>
      <c r="AC602" s="94"/>
      <c r="AD602" s="94"/>
      <c r="AE602" s="94"/>
      <c r="AF602" s="94"/>
      <c r="AG602" s="94"/>
      <c r="AH602" s="94"/>
      <c r="AI602" s="94"/>
      <c r="AJ602" s="94"/>
      <c r="AK602" s="94"/>
      <c r="AL602" s="94"/>
      <c r="AM602" s="94"/>
      <c r="AN602" s="94"/>
      <c r="AO602" s="94"/>
      <c r="AP602" s="94"/>
      <c r="AQ602" s="94"/>
      <c r="AR602" s="94"/>
      <c r="AS602" s="94"/>
      <c r="AT602" s="94"/>
      <c r="AU602" s="94"/>
      <c r="AV602" s="94"/>
      <c r="AW602" s="94"/>
      <c r="AX602" s="94"/>
      <c r="AY602" s="94"/>
      <c r="AZ602" s="94"/>
      <c r="BA602" s="95"/>
    </row>
    <row r="603" spans="1:53" s="87" customFormat="1">
      <c r="A603" s="90" t="str">
        <f t="shared" si="35"/>
        <v/>
      </c>
      <c r="B603" s="98"/>
      <c r="C603" s="94"/>
      <c r="D603" s="94"/>
      <c r="E603" s="94"/>
      <c r="F603" s="94"/>
      <c r="G603" s="94"/>
      <c r="H603" s="94"/>
      <c r="I603" s="94"/>
      <c r="J603" s="94"/>
      <c r="K603" s="94"/>
      <c r="L603" s="94"/>
      <c r="M603" s="94"/>
      <c r="N603" s="94"/>
      <c r="O603" s="94"/>
      <c r="P603" s="94"/>
      <c r="Q603" s="94"/>
      <c r="R603" s="94"/>
      <c r="S603" s="94"/>
      <c r="T603" s="94"/>
      <c r="U603" s="94"/>
      <c r="V603" s="94"/>
      <c r="W603" s="94"/>
      <c r="X603" s="94"/>
      <c r="Y603" s="94"/>
      <c r="Z603" s="94"/>
      <c r="AA603" s="94"/>
      <c r="AB603" s="94"/>
      <c r="AC603" s="94"/>
      <c r="AD603" s="94"/>
      <c r="AE603" s="94"/>
      <c r="AF603" s="94"/>
      <c r="AG603" s="94"/>
      <c r="AH603" s="94"/>
      <c r="AI603" s="94"/>
      <c r="AJ603" s="94"/>
      <c r="AK603" s="94"/>
      <c r="AL603" s="94"/>
      <c r="AM603" s="94"/>
      <c r="AN603" s="94"/>
      <c r="AO603" s="94"/>
      <c r="AP603" s="94"/>
      <c r="AQ603" s="94"/>
      <c r="AR603" s="94"/>
      <c r="AS603" s="94"/>
      <c r="AT603" s="94"/>
      <c r="AU603" s="94"/>
      <c r="AV603" s="94"/>
      <c r="AW603" s="94"/>
      <c r="AX603" s="94"/>
      <c r="AY603" s="94"/>
      <c r="AZ603" s="94"/>
      <c r="BA603" s="95"/>
    </row>
    <row r="604" spans="1:53" s="87" customFormat="1">
      <c r="A604" s="90" t="str">
        <f t="shared" si="35"/>
        <v/>
      </c>
      <c r="B604" s="98"/>
      <c r="C604" s="94"/>
      <c r="D604" s="94"/>
      <c r="E604" s="94"/>
      <c r="F604" s="94"/>
      <c r="G604" s="94"/>
      <c r="H604" s="94"/>
      <c r="I604" s="94"/>
      <c r="J604" s="94"/>
      <c r="K604" s="94"/>
      <c r="L604" s="94"/>
      <c r="M604" s="94"/>
      <c r="N604" s="94"/>
      <c r="O604" s="94"/>
      <c r="P604" s="94"/>
      <c r="Q604" s="94"/>
      <c r="R604" s="94"/>
      <c r="S604" s="94"/>
      <c r="T604" s="94"/>
      <c r="U604" s="94"/>
      <c r="V604" s="94"/>
      <c r="W604" s="94"/>
      <c r="X604" s="94"/>
      <c r="Y604" s="94"/>
      <c r="Z604" s="94"/>
      <c r="AA604" s="94"/>
      <c r="AB604" s="94"/>
      <c r="AC604" s="94"/>
      <c r="AD604" s="94"/>
      <c r="AE604" s="94"/>
      <c r="AF604" s="94"/>
      <c r="AG604" s="94"/>
      <c r="AH604" s="94"/>
      <c r="AI604" s="94"/>
      <c r="AJ604" s="94"/>
      <c r="AK604" s="94"/>
      <c r="AL604" s="94"/>
      <c r="AM604" s="94"/>
      <c r="AN604" s="94"/>
      <c r="AO604" s="94"/>
      <c r="AP604" s="94"/>
      <c r="AQ604" s="94"/>
      <c r="AR604" s="94"/>
      <c r="AS604" s="94"/>
      <c r="AT604" s="94"/>
      <c r="AU604" s="94"/>
      <c r="AV604" s="94"/>
      <c r="AW604" s="94"/>
      <c r="AX604" s="94"/>
      <c r="AY604" s="94"/>
      <c r="AZ604" s="94"/>
      <c r="BA604" s="95"/>
    </row>
    <row r="605" spans="1:53" s="87" customFormat="1">
      <c r="A605" s="90" t="str">
        <f t="shared" si="35"/>
        <v/>
      </c>
      <c r="B605" s="98"/>
      <c r="C605" s="94"/>
      <c r="D605" s="94"/>
      <c r="E605" s="94"/>
      <c r="F605" s="94"/>
      <c r="G605" s="94"/>
      <c r="H605" s="94"/>
      <c r="I605" s="94"/>
      <c r="J605" s="94"/>
      <c r="K605" s="94"/>
      <c r="L605" s="94"/>
      <c r="M605" s="94"/>
      <c r="N605" s="94"/>
      <c r="O605" s="94"/>
      <c r="P605" s="94"/>
      <c r="Q605" s="94"/>
      <c r="R605" s="94"/>
      <c r="S605" s="94"/>
      <c r="T605" s="94"/>
      <c r="U605" s="94"/>
      <c r="V605" s="94"/>
      <c r="W605" s="94"/>
      <c r="X605" s="94"/>
      <c r="Y605" s="94"/>
      <c r="Z605" s="94"/>
      <c r="AA605" s="94"/>
      <c r="AB605" s="94"/>
      <c r="AC605" s="94"/>
      <c r="AD605" s="94"/>
      <c r="AE605" s="94"/>
      <c r="AF605" s="94"/>
      <c r="AG605" s="94"/>
      <c r="AH605" s="94"/>
      <c r="AI605" s="94"/>
      <c r="AJ605" s="94"/>
      <c r="AK605" s="94"/>
      <c r="AL605" s="94"/>
      <c r="AM605" s="94"/>
      <c r="AN605" s="94"/>
      <c r="AO605" s="94"/>
      <c r="AP605" s="94"/>
      <c r="AQ605" s="94"/>
      <c r="AR605" s="94"/>
      <c r="AS605" s="94"/>
      <c r="AT605" s="94"/>
      <c r="AU605" s="94"/>
      <c r="AV605" s="94"/>
      <c r="AW605" s="94"/>
      <c r="AX605" s="94"/>
      <c r="AY605" s="94"/>
      <c r="AZ605" s="94"/>
      <c r="BA605" s="95"/>
    </row>
    <row r="606" spans="1:53" s="87" customFormat="1">
      <c r="A606" s="90" t="str">
        <f t="shared" si="35"/>
        <v/>
      </c>
      <c r="B606" s="98"/>
      <c r="C606" s="94"/>
      <c r="D606" s="94"/>
      <c r="E606" s="94"/>
      <c r="F606" s="94"/>
      <c r="G606" s="94"/>
      <c r="H606" s="94"/>
      <c r="I606" s="94"/>
      <c r="J606" s="94"/>
      <c r="K606" s="94"/>
      <c r="L606" s="94"/>
      <c r="M606" s="94"/>
      <c r="N606" s="94"/>
      <c r="O606" s="94"/>
      <c r="P606" s="94"/>
      <c r="Q606" s="94"/>
      <c r="R606" s="94"/>
      <c r="S606" s="94"/>
      <c r="T606" s="94"/>
      <c r="U606" s="94"/>
      <c r="V606" s="94"/>
      <c r="W606" s="94"/>
      <c r="X606" s="94"/>
      <c r="Y606" s="94"/>
      <c r="Z606" s="94"/>
      <c r="AA606" s="94"/>
      <c r="AB606" s="94"/>
      <c r="AC606" s="94"/>
      <c r="AD606" s="94"/>
      <c r="AE606" s="94"/>
      <c r="AF606" s="94"/>
      <c r="AG606" s="94"/>
      <c r="AH606" s="94"/>
      <c r="AI606" s="94"/>
      <c r="AJ606" s="94"/>
      <c r="AK606" s="94"/>
      <c r="AL606" s="94"/>
      <c r="AM606" s="94"/>
      <c r="AN606" s="94"/>
      <c r="AO606" s="94"/>
      <c r="AP606" s="94"/>
      <c r="AQ606" s="94"/>
      <c r="AR606" s="94"/>
      <c r="AS606" s="94"/>
      <c r="AT606" s="94"/>
      <c r="AU606" s="94"/>
      <c r="AV606" s="94"/>
      <c r="AW606" s="94"/>
      <c r="AX606" s="94"/>
      <c r="AY606" s="94"/>
      <c r="AZ606" s="94"/>
      <c r="BA606" s="95"/>
    </row>
    <row r="607" spans="1:53" s="87" customFormat="1">
      <c r="A607" s="90" t="str">
        <f t="shared" si="35"/>
        <v/>
      </c>
      <c r="B607" s="98"/>
      <c r="C607" s="94"/>
      <c r="D607" s="94"/>
      <c r="E607" s="94"/>
      <c r="F607" s="94"/>
      <c r="G607" s="94"/>
      <c r="H607" s="94"/>
      <c r="I607" s="94"/>
      <c r="J607" s="94"/>
      <c r="K607" s="94"/>
      <c r="L607" s="94"/>
      <c r="M607" s="94"/>
      <c r="N607" s="94"/>
      <c r="O607" s="94"/>
      <c r="P607" s="94"/>
      <c r="Q607" s="94"/>
      <c r="R607" s="94"/>
      <c r="S607" s="94"/>
      <c r="T607" s="94"/>
      <c r="U607" s="94"/>
      <c r="V607" s="94"/>
      <c r="W607" s="94"/>
      <c r="X607" s="94"/>
      <c r="Y607" s="94"/>
      <c r="Z607" s="94"/>
      <c r="AA607" s="94"/>
      <c r="AB607" s="94"/>
      <c r="AC607" s="94"/>
      <c r="AD607" s="94"/>
      <c r="AE607" s="94"/>
      <c r="AF607" s="94"/>
      <c r="AG607" s="94"/>
      <c r="AH607" s="94"/>
      <c r="AI607" s="94"/>
      <c r="AJ607" s="94"/>
      <c r="AK607" s="94"/>
      <c r="AL607" s="94"/>
      <c r="AM607" s="94"/>
      <c r="AN607" s="94"/>
      <c r="AO607" s="94"/>
      <c r="AP607" s="94"/>
      <c r="AQ607" s="94"/>
      <c r="AR607" s="94"/>
      <c r="AS607" s="94"/>
      <c r="AT607" s="94"/>
      <c r="AU607" s="94"/>
      <c r="AV607" s="94"/>
      <c r="AW607" s="94"/>
      <c r="AX607" s="94"/>
      <c r="AY607" s="94"/>
      <c r="AZ607" s="94"/>
      <c r="BA607" s="95"/>
    </row>
    <row r="608" spans="1:53" s="87" customFormat="1">
      <c r="A608" s="90" t="str">
        <f t="shared" si="35"/>
        <v/>
      </c>
      <c r="B608" s="98"/>
      <c r="C608" s="94"/>
      <c r="D608" s="94"/>
      <c r="E608" s="94"/>
      <c r="F608" s="94"/>
      <c r="G608" s="94"/>
      <c r="H608" s="94"/>
      <c r="I608" s="94"/>
      <c r="J608" s="94"/>
      <c r="K608" s="94"/>
      <c r="L608" s="94"/>
      <c r="M608" s="94"/>
      <c r="N608" s="94"/>
      <c r="O608" s="94"/>
      <c r="P608" s="94"/>
      <c r="Q608" s="94"/>
      <c r="R608" s="94"/>
      <c r="S608" s="94"/>
      <c r="T608" s="94"/>
      <c r="U608" s="94"/>
      <c r="V608" s="94"/>
      <c r="W608" s="94"/>
      <c r="X608" s="94"/>
      <c r="Y608" s="94"/>
      <c r="Z608" s="94"/>
      <c r="AA608" s="94"/>
      <c r="AB608" s="94"/>
      <c r="AC608" s="94"/>
      <c r="AD608" s="94"/>
      <c r="AE608" s="94"/>
      <c r="AF608" s="94"/>
      <c r="AG608" s="94"/>
      <c r="AH608" s="94"/>
      <c r="AI608" s="94"/>
      <c r="AJ608" s="94"/>
      <c r="AK608" s="94"/>
      <c r="AL608" s="94"/>
      <c r="AM608" s="94"/>
      <c r="AN608" s="94"/>
      <c r="AO608" s="94"/>
      <c r="AP608" s="94"/>
      <c r="AQ608" s="94"/>
      <c r="AR608" s="94"/>
      <c r="AS608" s="94"/>
      <c r="AT608" s="94"/>
      <c r="AU608" s="94"/>
      <c r="AV608" s="94"/>
      <c r="AW608" s="94"/>
      <c r="AX608" s="94"/>
      <c r="AY608" s="94"/>
      <c r="AZ608" s="94"/>
      <c r="BA608" s="95"/>
    </row>
    <row r="609" spans="1:53" s="87" customFormat="1">
      <c r="A609" s="90" t="str">
        <f t="shared" si="35"/>
        <v/>
      </c>
      <c r="B609" s="98"/>
      <c r="C609" s="94"/>
      <c r="D609" s="94"/>
      <c r="E609" s="94"/>
      <c r="F609" s="94"/>
      <c r="G609" s="94"/>
      <c r="H609" s="94"/>
      <c r="I609" s="94"/>
      <c r="J609" s="94"/>
      <c r="K609" s="94"/>
      <c r="L609" s="94"/>
      <c r="M609" s="94"/>
      <c r="N609" s="94"/>
      <c r="O609" s="94"/>
      <c r="P609" s="94"/>
      <c r="Q609" s="94"/>
      <c r="R609" s="94"/>
      <c r="S609" s="94"/>
      <c r="T609" s="94"/>
      <c r="U609" s="94"/>
      <c r="V609" s="94"/>
      <c r="W609" s="94"/>
      <c r="X609" s="94"/>
      <c r="Y609" s="94"/>
      <c r="Z609" s="94"/>
      <c r="AA609" s="94"/>
      <c r="AB609" s="94"/>
      <c r="AC609" s="94"/>
      <c r="AD609" s="94"/>
      <c r="AE609" s="94"/>
      <c r="AF609" s="94"/>
      <c r="AG609" s="94"/>
      <c r="AH609" s="94"/>
      <c r="AI609" s="94"/>
      <c r="AJ609" s="94"/>
      <c r="AK609" s="94"/>
      <c r="AL609" s="94"/>
      <c r="AM609" s="94"/>
      <c r="AN609" s="94"/>
      <c r="AO609" s="94"/>
      <c r="AP609" s="94"/>
      <c r="AQ609" s="94"/>
      <c r="AR609" s="94"/>
      <c r="AS609" s="94"/>
      <c r="AT609" s="94"/>
      <c r="AU609" s="94"/>
      <c r="AV609" s="94"/>
      <c r="AW609" s="94"/>
      <c r="AX609" s="94"/>
      <c r="AY609" s="94"/>
      <c r="AZ609" s="94"/>
      <c r="BA609" s="95"/>
    </row>
    <row r="610" spans="1:53" s="87" customFormat="1">
      <c r="A610" s="90" t="str">
        <f t="shared" si="35"/>
        <v/>
      </c>
      <c r="B610" s="98"/>
      <c r="C610" s="94"/>
      <c r="D610" s="94"/>
      <c r="E610" s="94"/>
      <c r="F610" s="94"/>
      <c r="G610" s="94"/>
      <c r="H610" s="94"/>
      <c r="I610" s="94"/>
      <c r="J610" s="94"/>
      <c r="K610" s="94"/>
      <c r="L610" s="94"/>
      <c r="M610" s="94"/>
      <c r="N610" s="94"/>
      <c r="O610" s="94"/>
      <c r="P610" s="94"/>
      <c r="Q610" s="94"/>
      <c r="R610" s="94"/>
      <c r="S610" s="94"/>
      <c r="T610" s="94"/>
      <c r="U610" s="94"/>
      <c r="V610" s="94"/>
      <c r="W610" s="94"/>
      <c r="X610" s="94"/>
      <c r="Y610" s="94"/>
      <c r="Z610" s="94"/>
      <c r="AA610" s="94"/>
      <c r="AB610" s="94"/>
      <c r="AC610" s="94"/>
      <c r="AD610" s="94"/>
      <c r="AE610" s="94"/>
      <c r="AF610" s="94"/>
      <c r="AG610" s="94"/>
      <c r="AH610" s="94"/>
      <c r="AI610" s="94"/>
      <c r="AJ610" s="94"/>
      <c r="AK610" s="94"/>
      <c r="AL610" s="94"/>
      <c r="AM610" s="94"/>
      <c r="AN610" s="94"/>
      <c r="AO610" s="94"/>
      <c r="AP610" s="94"/>
      <c r="AQ610" s="94"/>
      <c r="AR610" s="94"/>
      <c r="AS610" s="94"/>
      <c r="AT610" s="94"/>
      <c r="AU610" s="94"/>
      <c r="AV610" s="94"/>
      <c r="AW610" s="94"/>
      <c r="AX610" s="94"/>
      <c r="AY610" s="94"/>
      <c r="AZ610" s="94"/>
      <c r="BA610" s="95"/>
    </row>
    <row r="611" spans="1:53" s="87" customFormat="1">
      <c r="A611" s="90" t="str">
        <f t="shared" si="35"/>
        <v/>
      </c>
      <c r="B611" s="98"/>
      <c r="C611" s="94"/>
      <c r="D611" s="94"/>
      <c r="E611" s="94"/>
      <c r="F611" s="94"/>
      <c r="G611" s="94"/>
      <c r="H611" s="94"/>
      <c r="I611" s="94"/>
      <c r="J611" s="94"/>
      <c r="K611" s="94"/>
      <c r="L611" s="94"/>
      <c r="M611" s="94"/>
      <c r="N611" s="94"/>
      <c r="O611" s="94"/>
      <c r="P611" s="94"/>
      <c r="Q611" s="94"/>
      <c r="R611" s="94"/>
      <c r="S611" s="94"/>
      <c r="T611" s="94"/>
      <c r="U611" s="94"/>
      <c r="V611" s="94"/>
      <c r="W611" s="94"/>
      <c r="X611" s="94"/>
      <c r="Y611" s="94"/>
      <c r="Z611" s="94"/>
      <c r="AA611" s="94"/>
      <c r="AB611" s="94"/>
      <c r="AC611" s="94"/>
      <c r="AD611" s="94"/>
      <c r="AE611" s="94"/>
      <c r="AF611" s="94"/>
      <c r="AG611" s="94"/>
      <c r="AH611" s="94"/>
      <c r="AI611" s="94"/>
      <c r="AJ611" s="94"/>
      <c r="AK611" s="94"/>
      <c r="AL611" s="94"/>
      <c r="AM611" s="94"/>
      <c r="AN611" s="94"/>
      <c r="AO611" s="94"/>
      <c r="AP611" s="94"/>
      <c r="AQ611" s="94"/>
      <c r="AR611" s="94"/>
      <c r="AS611" s="94"/>
      <c r="AT611" s="94"/>
      <c r="AU611" s="94"/>
      <c r="AV611" s="94"/>
      <c r="AW611" s="94"/>
      <c r="AX611" s="94"/>
      <c r="AY611" s="94"/>
      <c r="AZ611" s="94"/>
      <c r="BA611" s="95"/>
    </row>
    <row r="612" spans="1:53" s="87" customFormat="1">
      <c r="A612" s="90" t="str">
        <f t="shared" si="35"/>
        <v/>
      </c>
      <c r="B612" s="98"/>
      <c r="C612" s="94"/>
      <c r="D612" s="94"/>
      <c r="E612" s="94"/>
      <c r="F612" s="94"/>
      <c r="G612" s="94"/>
      <c r="H612" s="94"/>
      <c r="I612" s="94"/>
      <c r="J612" s="94"/>
      <c r="K612" s="94"/>
      <c r="L612" s="94"/>
      <c r="M612" s="94"/>
      <c r="N612" s="94"/>
      <c r="O612" s="94"/>
      <c r="P612" s="94"/>
      <c r="Q612" s="94"/>
      <c r="R612" s="94"/>
      <c r="S612" s="94"/>
      <c r="T612" s="94"/>
      <c r="U612" s="94"/>
      <c r="V612" s="94"/>
      <c r="W612" s="94"/>
      <c r="X612" s="94"/>
      <c r="Y612" s="94"/>
      <c r="Z612" s="94"/>
      <c r="AA612" s="94"/>
      <c r="AB612" s="94"/>
      <c r="AC612" s="94"/>
      <c r="AD612" s="94"/>
      <c r="AE612" s="94"/>
      <c r="AF612" s="94"/>
      <c r="AG612" s="94"/>
      <c r="AH612" s="94"/>
      <c r="AI612" s="94"/>
      <c r="AJ612" s="94"/>
      <c r="AK612" s="94"/>
      <c r="AL612" s="94"/>
      <c r="AM612" s="94"/>
      <c r="AN612" s="94"/>
      <c r="AO612" s="94"/>
      <c r="AP612" s="94"/>
      <c r="AQ612" s="94"/>
      <c r="AR612" s="94"/>
      <c r="AS612" s="94"/>
      <c r="AT612" s="94"/>
      <c r="AU612" s="94"/>
      <c r="AV612" s="94"/>
      <c r="AW612" s="94"/>
      <c r="AX612" s="94"/>
      <c r="AY612" s="94"/>
      <c r="AZ612" s="94"/>
      <c r="BA612" s="95"/>
    </row>
    <row r="613" spans="1:53" s="87" customFormat="1">
      <c r="A613" s="90" t="str">
        <f t="shared" si="35"/>
        <v/>
      </c>
      <c r="B613" s="98"/>
      <c r="C613" s="94"/>
      <c r="D613" s="94"/>
      <c r="E613" s="94"/>
      <c r="F613" s="94"/>
      <c r="G613" s="94"/>
      <c r="H613" s="94"/>
      <c r="I613" s="94"/>
      <c r="J613" s="94"/>
      <c r="K613" s="94"/>
      <c r="L613" s="94"/>
      <c r="M613" s="94"/>
      <c r="N613" s="94"/>
      <c r="O613" s="94"/>
      <c r="P613" s="94"/>
      <c r="Q613" s="94"/>
      <c r="R613" s="94"/>
      <c r="S613" s="94"/>
      <c r="T613" s="94"/>
      <c r="U613" s="94"/>
      <c r="V613" s="94"/>
      <c r="W613" s="94"/>
      <c r="X613" s="94"/>
      <c r="Y613" s="94"/>
      <c r="Z613" s="94"/>
      <c r="AA613" s="94"/>
      <c r="AB613" s="94"/>
      <c r="AC613" s="94"/>
      <c r="AD613" s="94"/>
      <c r="AE613" s="94"/>
      <c r="AF613" s="94"/>
      <c r="AG613" s="94"/>
      <c r="AH613" s="94"/>
      <c r="AI613" s="94"/>
      <c r="AJ613" s="94"/>
      <c r="AK613" s="94"/>
      <c r="AL613" s="94"/>
      <c r="AM613" s="94"/>
      <c r="AN613" s="94"/>
      <c r="AO613" s="94"/>
      <c r="AP613" s="94"/>
      <c r="AQ613" s="94"/>
      <c r="AR613" s="94"/>
      <c r="AS613" s="94"/>
      <c r="AT613" s="94"/>
      <c r="AU613" s="94"/>
      <c r="AV613" s="94"/>
      <c r="AW613" s="94"/>
      <c r="AX613" s="94"/>
      <c r="AY613" s="94"/>
      <c r="AZ613" s="94"/>
      <c r="BA613" s="95"/>
    </row>
    <row r="614" spans="1:53" s="87" customFormat="1">
      <c r="A614" s="90" t="str">
        <f t="shared" si="35"/>
        <v/>
      </c>
      <c r="B614" s="98"/>
      <c r="C614" s="94"/>
      <c r="D614" s="94"/>
      <c r="E614" s="94"/>
      <c r="F614" s="94"/>
      <c r="G614" s="94"/>
      <c r="H614" s="94"/>
      <c r="I614" s="94"/>
      <c r="J614" s="94"/>
      <c r="K614" s="94"/>
      <c r="L614" s="94"/>
      <c r="M614" s="94"/>
      <c r="N614" s="94"/>
      <c r="O614" s="94"/>
      <c r="P614" s="94"/>
      <c r="Q614" s="94"/>
      <c r="R614" s="94"/>
      <c r="S614" s="94"/>
      <c r="T614" s="94"/>
      <c r="U614" s="94"/>
      <c r="V614" s="94"/>
      <c r="W614" s="94"/>
      <c r="X614" s="94"/>
      <c r="Y614" s="94"/>
      <c r="Z614" s="94"/>
      <c r="AA614" s="94"/>
      <c r="AB614" s="94"/>
      <c r="AC614" s="94"/>
      <c r="AD614" s="94"/>
      <c r="AE614" s="94"/>
      <c r="AF614" s="94"/>
      <c r="AG614" s="94"/>
      <c r="AH614" s="94"/>
      <c r="AI614" s="94"/>
      <c r="AJ614" s="94"/>
      <c r="AK614" s="94"/>
      <c r="AL614" s="94"/>
      <c r="AM614" s="94"/>
      <c r="AN614" s="94"/>
      <c r="AO614" s="94"/>
      <c r="AP614" s="94"/>
      <c r="AQ614" s="94"/>
      <c r="AR614" s="94"/>
      <c r="AS614" s="94"/>
      <c r="AT614" s="94"/>
      <c r="AU614" s="94"/>
      <c r="AV614" s="94"/>
      <c r="AW614" s="94"/>
      <c r="AX614" s="94"/>
      <c r="AY614" s="94"/>
      <c r="AZ614" s="94"/>
      <c r="BA614" s="95"/>
    </row>
    <row r="615" spans="1:53" s="87" customFormat="1">
      <c r="A615" s="90" t="str">
        <f t="shared" si="35"/>
        <v/>
      </c>
      <c r="B615" s="98"/>
      <c r="C615" s="94"/>
      <c r="D615" s="94"/>
      <c r="E615" s="94"/>
      <c r="F615" s="94"/>
      <c r="G615" s="94"/>
      <c r="H615" s="94"/>
      <c r="I615" s="94"/>
      <c r="J615" s="94"/>
      <c r="K615" s="94"/>
      <c r="L615" s="94"/>
      <c r="M615" s="94"/>
      <c r="N615" s="94"/>
      <c r="O615" s="94"/>
      <c r="P615" s="94"/>
      <c r="Q615" s="94"/>
      <c r="R615" s="94"/>
      <c r="S615" s="94"/>
      <c r="T615" s="94"/>
      <c r="U615" s="94"/>
      <c r="V615" s="94"/>
      <c r="W615" s="94"/>
      <c r="X615" s="94"/>
      <c r="Y615" s="94"/>
      <c r="Z615" s="94"/>
      <c r="AA615" s="94"/>
      <c r="AB615" s="94"/>
      <c r="AC615" s="94"/>
      <c r="AD615" s="94"/>
      <c r="AE615" s="94"/>
      <c r="AF615" s="94"/>
      <c r="AG615" s="94"/>
      <c r="AH615" s="94"/>
      <c r="AI615" s="94"/>
      <c r="AJ615" s="94"/>
      <c r="AK615" s="94"/>
      <c r="AL615" s="94"/>
      <c r="AM615" s="94"/>
      <c r="AN615" s="94"/>
      <c r="AO615" s="94"/>
      <c r="AP615" s="94"/>
      <c r="AQ615" s="94"/>
      <c r="AR615" s="94"/>
      <c r="AS615" s="94"/>
      <c r="AT615" s="94"/>
      <c r="AU615" s="94"/>
      <c r="AV615" s="94"/>
      <c r="AW615" s="94"/>
      <c r="AX615" s="94"/>
      <c r="AY615" s="94"/>
      <c r="AZ615" s="94"/>
      <c r="BA615" s="95"/>
    </row>
    <row r="616" spans="1:53" s="87" customFormat="1">
      <c r="A616" s="90" t="str">
        <f t="shared" si="35"/>
        <v/>
      </c>
      <c r="B616" s="98"/>
      <c r="C616" s="94"/>
      <c r="D616" s="94"/>
      <c r="E616" s="94"/>
      <c r="F616" s="94"/>
      <c r="G616" s="94"/>
      <c r="H616" s="94"/>
      <c r="I616" s="94"/>
      <c r="J616" s="94"/>
      <c r="K616" s="94"/>
      <c r="L616" s="94"/>
      <c r="M616" s="94"/>
      <c r="N616" s="94"/>
      <c r="O616" s="94"/>
      <c r="P616" s="94"/>
      <c r="Q616" s="94"/>
      <c r="R616" s="94"/>
      <c r="S616" s="94"/>
      <c r="T616" s="94"/>
      <c r="U616" s="94"/>
      <c r="V616" s="94"/>
      <c r="W616" s="94"/>
      <c r="X616" s="94"/>
      <c r="Y616" s="94"/>
      <c r="Z616" s="94"/>
      <c r="AA616" s="94"/>
      <c r="AB616" s="94"/>
      <c r="AC616" s="94"/>
      <c r="AD616" s="94"/>
      <c r="AE616" s="94"/>
      <c r="AF616" s="94"/>
      <c r="AG616" s="94"/>
      <c r="AH616" s="94"/>
      <c r="AI616" s="94"/>
      <c r="AJ616" s="94"/>
      <c r="AK616" s="94"/>
      <c r="AL616" s="94"/>
      <c r="AM616" s="94"/>
      <c r="AN616" s="94"/>
      <c r="AO616" s="94"/>
      <c r="AP616" s="94"/>
      <c r="AQ616" s="94"/>
      <c r="AR616" s="94"/>
      <c r="AS616" s="94"/>
      <c r="AT616" s="94"/>
      <c r="AU616" s="94"/>
      <c r="AV616" s="94"/>
      <c r="AW616" s="94"/>
      <c r="AX616" s="94"/>
      <c r="AY616" s="94"/>
      <c r="AZ616" s="94"/>
      <c r="BA616" s="95"/>
    </row>
    <row r="617" spans="1:53" s="87" customFormat="1">
      <c r="A617" s="90" t="str">
        <f t="shared" si="35"/>
        <v/>
      </c>
      <c r="B617" s="98"/>
      <c r="C617" s="94"/>
      <c r="D617" s="94"/>
      <c r="E617" s="94"/>
      <c r="F617" s="94"/>
      <c r="G617" s="94"/>
      <c r="H617" s="94"/>
      <c r="I617" s="94"/>
      <c r="J617" s="94"/>
      <c r="K617" s="94"/>
      <c r="L617" s="94"/>
      <c r="M617" s="94"/>
      <c r="N617" s="94"/>
      <c r="O617" s="94"/>
      <c r="P617" s="94"/>
      <c r="Q617" s="94"/>
      <c r="R617" s="94"/>
      <c r="S617" s="94"/>
      <c r="T617" s="94"/>
      <c r="U617" s="94"/>
      <c r="V617" s="94"/>
      <c r="W617" s="94"/>
      <c r="X617" s="94"/>
      <c r="Y617" s="94"/>
      <c r="Z617" s="94"/>
      <c r="AA617" s="94"/>
      <c r="AB617" s="94"/>
      <c r="AC617" s="94"/>
      <c r="AD617" s="94"/>
      <c r="AE617" s="94"/>
      <c r="AF617" s="94"/>
      <c r="AG617" s="94"/>
      <c r="AH617" s="94"/>
      <c r="AI617" s="94"/>
      <c r="AJ617" s="94"/>
      <c r="AK617" s="94"/>
      <c r="AL617" s="94"/>
      <c r="AM617" s="94"/>
      <c r="AN617" s="94"/>
      <c r="AO617" s="94"/>
      <c r="AP617" s="94"/>
      <c r="AQ617" s="94"/>
      <c r="AR617" s="94"/>
      <c r="AS617" s="94"/>
      <c r="AT617" s="94"/>
      <c r="AU617" s="94"/>
      <c r="AV617" s="94"/>
      <c r="AW617" s="94"/>
      <c r="AX617" s="94"/>
      <c r="AY617" s="94"/>
      <c r="AZ617" s="94"/>
      <c r="BA617" s="95"/>
    </row>
    <row r="618" spans="1:53" s="87" customFormat="1">
      <c r="A618" s="90" t="str">
        <f t="shared" si="35"/>
        <v/>
      </c>
      <c r="B618" s="98"/>
      <c r="C618" s="94"/>
      <c r="D618" s="94"/>
      <c r="E618" s="94"/>
      <c r="F618" s="94"/>
      <c r="G618" s="94"/>
      <c r="H618" s="94"/>
      <c r="I618" s="94"/>
      <c r="J618" s="94"/>
      <c r="K618" s="94"/>
      <c r="L618" s="94"/>
      <c r="M618" s="94"/>
      <c r="N618" s="94"/>
      <c r="O618" s="94"/>
      <c r="P618" s="94"/>
      <c r="Q618" s="94"/>
      <c r="R618" s="94"/>
      <c r="S618" s="94"/>
      <c r="T618" s="94"/>
      <c r="U618" s="94"/>
      <c r="V618" s="94"/>
      <c r="W618" s="94"/>
      <c r="X618" s="94"/>
      <c r="Y618" s="94"/>
      <c r="Z618" s="94"/>
      <c r="AA618" s="94"/>
      <c r="AB618" s="94"/>
      <c r="AC618" s="94"/>
      <c r="AD618" s="94"/>
      <c r="AE618" s="94"/>
      <c r="AF618" s="94"/>
      <c r="AG618" s="94"/>
      <c r="AH618" s="94"/>
      <c r="AI618" s="94"/>
      <c r="AJ618" s="94"/>
      <c r="AK618" s="94"/>
      <c r="AL618" s="94"/>
      <c r="AM618" s="94"/>
      <c r="AN618" s="94"/>
      <c r="AO618" s="94"/>
      <c r="AP618" s="94"/>
      <c r="AQ618" s="94"/>
      <c r="AR618" s="94"/>
      <c r="AS618" s="94"/>
      <c r="AT618" s="94"/>
      <c r="AU618" s="94"/>
      <c r="AV618" s="94"/>
      <c r="AW618" s="94"/>
      <c r="AX618" s="94"/>
      <c r="AY618" s="94"/>
      <c r="AZ618" s="94"/>
      <c r="BA618" s="95"/>
    </row>
    <row r="619" spans="1:53" s="87" customFormat="1">
      <c r="A619" s="90" t="str">
        <f t="shared" si="35"/>
        <v/>
      </c>
      <c r="B619" s="98"/>
      <c r="C619" s="94"/>
      <c r="D619" s="94"/>
      <c r="E619" s="94"/>
      <c r="F619" s="94"/>
      <c r="G619" s="94"/>
      <c r="H619" s="94"/>
      <c r="I619" s="94"/>
      <c r="J619" s="94"/>
      <c r="K619" s="94"/>
      <c r="L619" s="94"/>
      <c r="M619" s="94"/>
      <c r="N619" s="94"/>
      <c r="O619" s="94"/>
      <c r="P619" s="94"/>
      <c r="Q619" s="94"/>
      <c r="R619" s="94"/>
      <c r="S619" s="94"/>
      <c r="T619" s="94"/>
      <c r="U619" s="94"/>
      <c r="V619" s="94"/>
      <c r="W619" s="94"/>
      <c r="X619" s="94"/>
      <c r="Y619" s="94"/>
      <c r="Z619" s="94"/>
      <c r="AA619" s="94"/>
      <c r="AB619" s="94"/>
      <c r="AC619" s="94"/>
      <c r="AD619" s="94"/>
      <c r="AE619" s="94"/>
      <c r="AF619" s="94"/>
      <c r="AG619" s="94"/>
      <c r="AH619" s="94"/>
      <c r="AI619" s="94"/>
      <c r="AJ619" s="94"/>
      <c r="AK619" s="94"/>
      <c r="AL619" s="94"/>
      <c r="AM619" s="94"/>
      <c r="AN619" s="94"/>
      <c r="AO619" s="94"/>
      <c r="AP619" s="94"/>
      <c r="AQ619" s="94"/>
      <c r="AR619" s="94"/>
      <c r="AS619" s="94"/>
      <c r="AT619" s="94"/>
      <c r="AU619" s="94"/>
      <c r="AV619" s="94"/>
      <c r="AW619" s="94"/>
      <c r="AX619" s="94"/>
      <c r="AY619" s="94"/>
      <c r="AZ619" s="94"/>
      <c r="BA619" s="95"/>
    </row>
    <row r="620" spans="1:53" s="87" customFormat="1">
      <c r="A620" s="90" t="str">
        <f t="shared" si="35"/>
        <v/>
      </c>
      <c r="B620" s="98"/>
      <c r="C620" s="94"/>
      <c r="D620" s="94"/>
      <c r="E620" s="94"/>
      <c r="F620" s="94"/>
      <c r="G620" s="94"/>
      <c r="H620" s="94"/>
      <c r="I620" s="94"/>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5"/>
    </row>
    <row r="621" spans="1:53" s="87" customFormat="1">
      <c r="A621" s="90" t="str">
        <f t="shared" si="35"/>
        <v/>
      </c>
      <c r="B621" s="98"/>
      <c r="C621" s="94"/>
      <c r="D621" s="94"/>
      <c r="E621" s="94"/>
      <c r="F621" s="94"/>
      <c r="G621" s="94"/>
      <c r="H621" s="94"/>
      <c r="I621" s="94"/>
      <c r="J621" s="94"/>
      <c r="K621" s="94"/>
      <c r="L621" s="94"/>
      <c r="M621" s="94"/>
      <c r="N621" s="94"/>
      <c r="O621" s="94"/>
      <c r="P621" s="94"/>
      <c r="Q621" s="94"/>
      <c r="R621" s="94"/>
      <c r="S621" s="94"/>
      <c r="T621" s="94"/>
      <c r="U621" s="94"/>
      <c r="V621" s="94"/>
      <c r="W621" s="94"/>
      <c r="X621" s="94"/>
      <c r="Y621" s="94"/>
      <c r="Z621" s="94"/>
      <c r="AA621" s="94"/>
      <c r="AB621" s="94"/>
      <c r="AC621" s="94"/>
      <c r="AD621" s="94"/>
      <c r="AE621" s="94"/>
      <c r="AF621" s="94"/>
      <c r="AG621" s="94"/>
      <c r="AH621" s="94"/>
      <c r="AI621" s="94"/>
      <c r="AJ621" s="94"/>
      <c r="AK621" s="94"/>
      <c r="AL621" s="94"/>
      <c r="AM621" s="94"/>
      <c r="AN621" s="94"/>
      <c r="AO621" s="94"/>
      <c r="AP621" s="94"/>
      <c r="AQ621" s="94"/>
      <c r="AR621" s="94"/>
      <c r="AS621" s="94"/>
      <c r="AT621" s="94"/>
      <c r="AU621" s="94"/>
      <c r="AV621" s="94"/>
      <c r="AW621" s="94"/>
      <c r="AX621" s="94"/>
      <c r="AY621" s="94"/>
      <c r="AZ621" s="94"/>
      <c r="BA621" s="95"/>
    </row>
    <row r="622" spans="1:53" s="87" customFormat="1">
      <c r="A622" s="90" t="str">
        <f t="shared" si="35"/>
        <v/>
      </c>
      <c r="B622" s="98"/>
      <c r="C622" s="94"/>
      <c r="D622" s="94"/>
      <c r="E622" s="94"/>
      <c r="F622" s="94"/>
      <c r="G622" s="94"/>
      <c r="H622" s="94"/>
      <c r="I622" s="94"/>
      <c r="J622" s="94"/>
      <c r="K622" s="94"/>
      <c r="L622" s="94"/>
      <c r="M622" s="94"/>
      <c r="N622" s="94"/>
      <c r="O622" s="94"/>
      <c r="P622" s="94"/>
      <c r="Q622" s="94"/>
      <c r="R622" s="94"/>
      <c r="S622" s="94"/>
      <c r="T622" s="94"/>
      <c r="U622" s="94"/>
      <c r="V622" s="94"/>
      <c r="W622" s="94"/>
      <c r="X622" s="94"/>
      <c r="Y622" s="94"/>
      <c r="Z622" s="94"/>
      <c r="AA622" s="94"/>
      <c r="AB622" s="94"/>
      <c r="AC622" s="94"/>
      <c r="AD622" s="94"/>
      <c r="AE622" s="94"/>
      <c r="AF622" s="94"/>
      <c r="AG622" s="94"/>
      <c r="AH622" s="94"/>
      <c r="AI622" s="94"/>
      <c r="AJ622" s="94"/>
      <c r="AK622" s="94"/>
      <c r="AL622" s="94"/>
      <c r="AM622" s="94"/>
      <c r="AN622" s="94"/>
      <c r="AO622" s="94"/>
      <c r="AP622" s="94"/>
      <c r="AQ622" s="94"/>
      <c r="AR622" s="94"/>
      <c r="AS622" s="94"/>
      <c r="AT622" s="94"/>
      <c r="AU622" s="94"/>
      <c r="AV622" s="94"/>
      <c r="AW622" s="94"/>
      <c r="AX622" s="94"/>
      <c r="AY622" s="94"/>
      <c r="AZ622" s="94"/>
      <c r="BA622" s="95"/>
    </row>
    <row r="623" spans="1:53" s="87" customFormat="1">
      <c r="A623" s="90" t="str">
        <f t="shared" si="35"/>
        <v/>
      </c>
      <c r="B623" s="98"/>
      <c r="C623" s="94"/>
      <c r="D623" s="94"/>
      <c r="E623" s="94"/>
      <c r="F623" s="94"/>
      <c r="G623" s="94"/>
      <c r="H623" s="94"/>
      <c r="I623" s="94"/>
      <c r="J623" s="94"/>
      <c r="K623" s="94"/>
      <c r="L623" s="94"/>
      <c r="M623" s="94"/>
      <c r="N623" s="94"/>
      <c r="O623" s="94"/>
      <c r="P623" s="94"/>
      <c r="Q623" s="94"/>
      <c r="R623" s="94"/>
      <c r="S623" s="94"/>
      <c r="T623" s="94"/>
      <c r="U623" s="94"/>
      <c r="V623" s="94"/>
      <c r="W623" s="94"/>
      <c r="X623" s="94"/>
      <c r="Y623" s="94"/>
      <c r="Z623" s="94"/>
      <c r="AA623" s="94"/>
      <c r="AB623" s="94"/>
      <c r="AC623" s="94"/>
      <c r="AD623" s="94"/>
      <c r="AE623" s="94"/>
      <c r="AF623" s="94"/>
      <c r="AG623" s="94"/>
      <c r="AH623" s="94"/>
      <c r="AI623" s="94"/>
      <c r="AJ623" s="94"/>
      <c r="AK623" s="94"/>
      <c r="AL623" s="94"/>
      <c r="AM623" s="94"/>
      <c r="AN623" s="94"/>
      <c r="AO623" s="94"/>
      <c r="AP623" s="94"/>
      <c r="AQ623" s="94"/>
      <c r="AR623" s="94"/>
      <c r="AS623" s="94"/>
      <c r="AT623" s="94"/>
      <c r="AU623" s="94"/>
      <c r="AV623" s="94"/>
      <c r="AW623" s="94"/>
      <c r="AX623" s="94"/>
      <c r="AY623" s="94"/>
      <c r="AZ623" s="94"/>
      <c r="BA623" s="95"/>
    </row>
    <row r="624" spans="1:53" s="87" customFormat="1">
      <c r="A624" s="90" t="str">
        <f t="shared" si="35"/>
        <v/>
      </c>
      <c r="B624" s="98"/>
      <c r="C624" s="94"/>
      <c r="D624" s="94"/>
      <c r="E624" s="94"/>
      <c r="F624" s="94"/>
      <c r="G624" s="94"/>
      <c r="H624" s="94"/>
      <c r="I624" s="94"/>
      <c r="J624" s="94"/>
      <c r="K624" s="94"/>
      <c r="L624" s="94"/>
      <c r="M624" s="94"/>
      <c r="N624" s="94"/>
      <c r="O624" s="94"/>
      <c r="P624" s="94"/>
      <c r="Q624" s="94"/>
      <c r="R624" s="94"/>
      <c r="S624" s="94"/>
      <c r="T624" s="94"/>
      <c r="U624" s="94"/>
      <c r="V624" s="94"/>
      <c r="W624" s="94"/>
      <c r="X624" s="94"/>
      <c r="Y624" s="94"/>
      <c r="Z624" s="94"/>
      <c r="AA624" s="94"/>
      <c r="AB624" s="94"/>
      <c r="AC624" s="94"/>
      <c r="AD624" s="94"/>
      <c r="AE624" s="94"/>
      <c r="AF624" s="94"/>
      <c r="AG624" s="94"/>
      <c r="AH624" s="94"/>
      <c r="AI624" s="94"/>
      <c r="AJ624" s="94"/>
      <c r="AK624" s="94"/>
      <c r="AL624" s="94"/>
      <c r="AM624" s="94"/>
      <c r="AN624" s="94"/>
      <c r="AO624" s="94"/>
      <c r="AP624" s="94"/>
      <c r="AQ624" s="94"/>
      <c r="AR624" s="94"/>
      <c r="AS624" s="94"/>
      <c r="AT624" s="94"/>
      <c r="AU624" s="94"/>
      <c r="AV624" s="94"/>
      <c r="AW624" s="94"/>
      <c r="AX624" s="94"/>
      <c r="AY624" s="94"/>
      <c r="AZ624" s="94"/>
      <c r="BA624" s="95"/>
    </row>
    <row r="625" spans="1:53" s="87" customFormat="1">
      <c r="A625" s="90" t="str">
        <f t="shared" si="35"/>
        <v/>
      </c>
      <c r="B625" s="98"/>
      <c r="C625" s="94"/>
      <c r="D625" s="94"/>
      <c r="E625" s="94"/>
      <c r="F625" s="94"/>
      <c r="G625" s="94"/>
      <c r="H625" s="94"/>
      <c r="I625" s="94"/>
      <c r="J625" s="94"/>
      <c r="K625" s="94"/>
      <c r="L625" s="94"/>
      <c r="M625" s="94"/>
      <c r="N625" s="94"/>
      <c r="O625" s="94"/>
      <c r="P625" s="94"/>
      <c r="Q625" s="94"/>
      <c r="R625" s="94"/>
      <c r="S625" s="94"/>
      <c r="T625" s="94"/>
      <c r="U625" s="94"/>
      <c r="V625" s="94"/>
      <c r="W625" s="94"/>
      <c r="X625" s="94"/>
      <c r="Y625" s="94"/>
      <c r="Z625" s="94"/>
      <c r="AA625" s="94"/>
      <c r="AB625" s="94"/>
      <c r="AC625" s="94"/>
      <c r="AD625" s="94"/>
      <c r="AE625" s="94"/>
      <c r="AF625" s="94"/>
      <c r="AG625" s="94"/>
      <c r="AH625" s="94"/>
      <c r="AI625" s="94"/>
      <c r="AJ625" s="94"/>
      <c r="AK625" s="94"/>
      <c r="AL625" s="94"/>
      <c r="AM625" s="94"/>
      <c r="AN625" s="94"/>
      <c r="AO625" s="94"/>
      <c r="AP625" s="94"/>
      <c r="AQ625" s="94"/>
      <c r="AR625" s="94"/>
      <c r="AS625" s="94"/>
      <c r="AT625" s="94"/>
      <c r="AU625" s="94"/>
      <c r="AV625" s="94"/>
      <c r="AW625" s="94"/>
      <c r="AX625" s="94"/>
      <c r="AY625" s="94"/>
      <c r="AZ625" s="94"/>
      <c r="BA625" s="95"/>
    </row>
    <row r="626" spans="1:53" s="87" customFormat="1">
      <c r="A626" s="90" t="str">
        <f t="shared" si="35"/>
        <v/>
      </c>
      <c r="B626" s="98"/>
      <c r="C626" s="94"/>
      <c r="D626" s="94"/>
      <c r="E626" s="94"/>
      <c r="F626" s="94"/>
      <c r="G626" s="94"/>
      <c r="H626" s="94"/>
      <c r="I626" s="94"/>
      <c r="J626" s="94"/>
      <c r="K626" s="94"/>
      <c r="L626" s="94"/>
      <c r="M626" s="94"/>
      <c r="N626" s="94"/>
      <c r="O626" s="94"/>
      <c r="P626" s="94"/>
      <c r="Q626" s="94"/>
      <c r="R626" s="94"/>
      <c r="S626" s="94"/>
      <c r="T626" s="94"/>
      <c r="U626" s="94"/>
      <c r="V626" s="94"/>
      <c r="W626" s="94"/>
      <c r="X626" s="94"/>
      <c r="Y626" s="94"/>
      <c r="Z626" s="94"/>
      <c r="AA626" s="94"/>
      <c r="AB626" s="94"/>
      <c r="AC626" s="94"/>
      <c r="AD626" s="94"/>
      <c r="AE626" s="94"/>
      <c r="AF626" s="94"/>
      <c r="AG626" s="94"/>
      <c r="AH626" s="94"/>
      <c r="AI626" s="94"/>
      <c r="AJ626" s="94"/>
      <c r="AK626" s="94"/>
      <c r="AL626" s="94"/>
      <c r="AM626" s="94"/>
      <c r="AN626" s="94"/>
      <c r="AO626" s="94"/>
      <c r="AP626" s="94"/>
      <c r="AQ626" s="94"/>
      <c r="AR626" s="94"/>
      <c r="AS626" s="94"/>
      <c r="AT626" s="94"/>
      <c r="AU626" s="94"/>
      <c r="AV626" s="94"/>
      <c r="AW626" s="94"/>
      <c r="AX626" s="94"/>
      <c r="AY626" s="94"/>
      <c r="AZ626" s="94"/>
      <c r="BA626" s="95"/>
    </row>
    <row r="627" spans="1:53" s="87" customFormat="1">
      <c r="A627" s="90" t="str">
        <f t="shared" si="35"/>
        <v/>
      </c>
      <c r="B627" s="98"/>
      <c r="C627" s="94"/>
      <c r="D627" s="94"/>
      <c r="E627" s="94"/>
      <c r="F627" s="94"/>
      <c r="G627" s="94"/>
      <c r="H627" s="94"/>
      <c r="I627" s="94"/>
      <c r="J627" s="94"/>
      <c r="K627" s="94"/>
      <c r="L627" s="94"/>
      <c r="M627" s="94"/>
      <c r="N627" s="94"/>
      <c r="O627" s="94"/>
      <c r="P627" s="94"/>
      <c r="Q627" s="94"/>
      <c r="R627" s="94"/>
      <c r="S627" s="94"/>
      <c r="T627" s="94"/>
      <c r="U627" s="94"/>
      <c r="V627" s="94"/>
      <c r="W627" s="94"/>
      <c r="X627" s="94"/>
      <c r="Y627" s="94"/>
      <c r="Z627" s="94"/>
      <c r="AA627" s="94"/>
      <c r="AB627" s="94"/>
      <c r="AC627" s="94"/>
      <c r="AD627" s="94"/>
      <c r="AE627" s="94"/>
      <c r="AF627" s="94"/>
      <c r="AG627" s="94"/>
      <c r="AH627" s="94"/>
      <c r="AI627" s="94"/>
      <c r="AJ627" s="94"/>
      <c r="AK627" s="94"/>
      <c r="AL627" s="94"/>
      <c r="AM627" s="94"/>
      <c r="AN627" s="94"/>
      <c r="AO627" s="94"/>
      <c r="AP627" s="94"/>
      <c r="AQ627" s="94"/>
      <c r="AR627" s="94"/>
      <c r="AS627" s="94"/>
      <c r="AT627" s="94"/>
      <c r="AU627" s="94"/>
      <c r="AV627" s="94"/>
      <c r="AW627" s="94"/>
      <c r="AX627" s="94"/>
      <c r="AY627" s="94"/>
      <c r="AZ627" s="94"/>
      <c r="BA627" s="95"/>
    </row>
    <row r="628" spans="1:53" s="87" customFormat="1">
      <c r="A628" s="90" t="str">
        <f t="shared" si="35"/>
        <v/>
      </c>
      <c r="B628" s="98"/>
      <c r="C628" s="94"/>
      <c r="D628" s="94"/>
      <c r="E628" s="94"/>
      <c r="F628" s="94"/>
      <c r="G628" s="94"/>
      <c r="H628" s="94"/>
      <c r="I628" s="94"/>
      <c r="J628" s="94"/>
      <c r="K628" s="94"/>
      <c r="L628" s="94"/>
      <c r="M628" s="94"/>
      <c r="N628" s="94"/>
      <c r="O628" s="94"/>
      <c r="P628" s="94"/>
      <c r="Q628" s="94"/>
      <c r="R628" s="94"/>
      <c r="S628" s="94"/>
      <c r="T628" s="94"/>
      <c r="U628" s="94"/>
      <c r="V628" s="94"/>
      <c r="W628" s="94"/>
      <c r="X628" s="94"/>
      <c r="Y628" s="94"/>
      <c r="Z628" s="94"/>
      <c r="AA628" s="94"/>
      <c r="AB628" s="94"/>
      <c r="AC628" s="94"/>
      <c r="AD628" s="94"/>
      <c r="AE628" s="94"/>
      <c r="AF628" s="94"/>
      <c r="AG628" s="94"/>
      <c r="AH628" s="94"/>
      <c r="AI628" s="94"/>
      <c r="AJ628" s="94"/>
      <c r="AK628" s="94"/>
      <c r="AL628" s="94"/>
      <c r="AM628" s="94"/>
      <c r="AN628" s="94"/>
      <c r="AO628" s="94"/>
      <c r="AP628" s="94"/>
      <c r="AQ628" s="94"/>
      <c r="AR628" s="94"/>
      <c r="AS628" s="94"/>
      <c r="AT628" s="94"/>
      <c r="AU628" s="94"/>
      <c r="AV628" s="94"/>
      <c r="AW628" s="94"/>
      <c r="AX628" s="94"/>
      <c r="AY628" s="94"/>
      <c r="AZ628" s="94"/>
      <c r="BA628" s="95"/>
    </row>
    <row r="629" spans="1:53" s="87" customFormat="1">
      <c r="A629" s="90" t="str">
        <f t="shared" si="35"/>
        <v/>
      </c>
      <c r="B629" s="98"/>
      <c r="C629" s="94"/>
      <c r="D629" s="94"/>
      <c r="E629" s="94"/>
      <c r="F629" s="94"/>
      <c r="G629" s="94"/>
      <c r="H629" s="94"/>
      <c r="I629" s="94"/>
      <c r="J629" s="94"/>
      <c r="K629" s="94"/>
      <c r="L629" s="94"/>
      <c r="M629" s="94"/>
      <c r="N629" s="94"/>
      <c r="O629" s="94"/>
      <c r="P629" s="94"/>
      <c r="Q629" s="94"/>
      <c r="R629" s="94"/>
      <c r="S629" s="94"/>
      <c r="T629" s="94"/>
      <c r="U629" s="94"/>
      <c r="V629" s="94"/>
      <c r="W629" s="94"/>
      <c r="X629" s="94"/>
      <c r="Y629" s="94"/>
      <c r="Z629" s="94"/>
      <c r="AA629" s="94"/>
      <c r="AB629" s="94"/>
      <c r="AC629" s="94"/>
      <c r="AD629" s="94"/>
      <c r="AE629" s="94"/>
      <c r="AF629" s="94"/>
      <c r="AG629" s="94"/>
      <c r="AH629" s="94"/>
      <c r="AI629" s="94"/>
      <c r="AJ629" s="94"/>
      <c r="AK629" s="94"/>
      <c r="AL629" s="94"/>
      <c r="AM629" s="94"/>
      <c r="AN629" s="94"/>
      <c r="AO629" s="94"/>
      <c r="AP629" s="94"/>
      <c r="AQ629" s="94"/>
      <c r="AR629" s="94"/>
      <c r="AS629" s="94"/>
      <c r="AT629" s="94"/>
      <c r="AU629" s="94"/>
      <c r="AV629" s="94"/>
      <c r="AW629" s="94"/>
      <c r="AX629" s="94"/>
      <c r="AY629" s="94"/>
      <c r="AZ629" s="94"/>
      <c r="BA629" s="95"/>
    </row>
    <row r="630" spans="1:53" s="87" customFormat="1">
      <c r="A630" s="90" t="str">
        <f t="shared" si="35"/>
        <v/>
      </c>
      <c r="B630" s="98"/>
      <c r="C630" s="94"/>
      <c r="D630" s="94"/>
      <c r="E630" s="94"/>
      <c r="F630" s="94"/>
      <c r="G630" s="94"/>
      <c r="H630" s="94"/>
      <c r="I630" s="94"/>
      <c r="J630" s="94"/>
      <c r="K630" s="94"/>
      <c r="L630" s="94"/>
      <c r="M630" s="94"/>
      <c r="N630" s="94"/>
      <c r="O630" s="94"/>
      <c r="P630" s="94"/>
      <c r="Q630" s="94"/>
      <c r="R630" s="94"/>
      <c r="S630" s="94"/>
      <c r="T630" s="94"/>
      <c r="U630" s="94"/>
      <c r="V630" s="94"/>
      <c r="W630" s="94"/>
      <c r="X630" s="94"/>
      <c r="Y630" s="94"/>
      <c r="Z630" s="94"/>
      <c r="AA630" s="94"/>
      <c r="AB630" s="94"/>
      <c r="AC630" s="94"/>
      <c r="AD630" s="94"/>
      <c r="AE630" s="94"/>
      <c r="AF630" s="94"/>
      <c r="AG630" s="94"/>
      <c r="AH630" s="94"/>
      <c r="AI630" s="94"/>
      <c r="AJ630" s="94"/>
      <c r="AK630" s="94"/>
      <c r="AL630" s="94"/>
      <c r="AM630" s="94"/>
      <c r="AN630" s="94"/>
      <c r="AO630" s="94"/>
      <c r="AP630" s="94"/>
      <c r="AQ630" s="94"/>
      <c r="AR630" s="94"/>
      <c r="AS630" s="94"/>
      <c r="AT630" s="94"/>
      <c r="AU630" s="94"/>
      <c r="AV630" s="94"/>
      <c r="AW630" s="94"/>
      <c r="AX630" s="94"/>
      <c r="AY630" s="94"/>
      <c r="AZ630" s="94"/>
      <c r="BA630" s="95"/>
    </row>
    <row r="631" spans="1:53" s="87" customFormat="1">
      <c r="A631" s="90" t="str">
        <f t="shared" si="35"/>
        <v/>
      </c>
      <c r="B631" s="98"/>
      <c r="C631" s="94"/>
      <c r="D631" s="94"/>
      <c r="E631" s="94"/>
      <c r="F631" s="94"/>
      <c r="G631" s="94"/>
      <c r="H631" s="94"/>
      <c r="I631" s="94"/>
      <c r="J631" s="94"/>
      <c r="K631" s="94"/>
      <c r="L631" s="94"/>
      <c r="M631" s="94"/>
      <c r="N631" s="94"/>
      <c r="O631" s="94"/>
      <c r="P631" s="94"/>
      <c r="Q631" s="94"/>
      <c r="R631" s="94"/>
      <c r="S631" s="94"/>
      <c r="T631" s="94"/>
      <c r="U631" s="94"/>
      <c r="V631" s="94"/>
      <c r="W631" s="94"/>
      <c r="X631" s="94"/>
      <c r="Y631" s="94"/>
      <c r="Z631" s="94"/>
      <c r="AA631" s="94"/>
      <c r="AB631" s="94"/>
      <c r="AC631" s="94"/>
      <c r="AD631" s="94"/>
      <c r="AE631" s="94"/>
      <c r="AF631" s="94"/>
      <c r="AG631" s="94"/>
      <c r="AH631" s="94"/>
      <c r="AI631" s="94"/>
      <c r="AJ631" s="94"/>
      <c r="AK631" s="94"/>
      <c r="AL631" s="94"/>
      <c r="AM631" s="94"/>
      <c r="AN631" s="94"/>
      <c r="AO631" s="94"/>
      <c r="AP631" s="94"/>
      <c r="AQ631" s="94"/>
      <c r="AR631" s="94"/>
      <c r="AS631" s="94"/>
      <c r="AT631" s="94"/>
      <c r="AU631" s="94"/>
      <c r="AV631" s="94"/>
      <c r="AW631" s="94"/>
      <c r="AX631" s="94"/>
      <c r="AY631" s="94"/>
      <c r="AZ631" s="94"/>
      <c r="BA631" s="95"/>
    </row>
    <row r="632" spans="1:53" s="87" customFormat="1">
      <c r="A632" s="90" t="str">
        <f t="shared" si="35"/>
        <v/>
      </c>
      <c r="B632" s="98"/>
      <c r="C632" s="94"/>
      <c r="D632" s="94"/>
      <c r="E632" s="94"/>
      <c r="F632" s="94"/>
      <c r="G632" s="94"/>
      <c r="H632" s="94"/>
      <c r="I632" s="94"/>
      <c r="J632" s="94"/>
      <c r="K632" s="94"/>
      <c r="L632" s="94"/>
      <c r="M632" s="94"/>
      <c r="N632" s="94"/>
      <c r="O632" s="94"/>
      <c r="P632" s="94"/>
      <c r="Q632" s="94"/>
      <c r="R632" s="94"/>
      <c r="S632" s="94"/>
      <c r="T632" s="94"/>
      <c r="U632" s="94"/>
      <c r="V632" s="94"/>
      <c r="W632" s="94"/>
      <c r="X632" s="94"/>
      <c r="Y632" s="94"/>
      <c r="Z632" s="94"/>
      <c r="AA632" s="94"/>
      <c r="AB632" s="94"/>
      <c r="AC632" s="94"/>
      <c r="AD632" s="94"/>
      <c r="AE632" s="94"/>
      <c r="AF632" s="94"/>
      <c r="AG632" s="94"/>
      <c r="AH632" s="94"/>
      <c r="AI632" s="94"/>
      <c r="AJ632" s="94"/>
      <c r="AK632" s="94"/>
      <c r="AL632" s="94"/>
      <c r="AM632" s="94"/>
      <c r="AN632" s="94"/>
      <c r="AO632" s="94"/>
      <c r="AP632" s="94"/>
      <c r="AQ632" s="94"/>
      <c r="AR632" s="94"/>
      <c r="AS632" s="94"/>
      <c r="AT632" s="94"/>
      <c r="AU632" s="94"/>
      <c r="AV632" s="94"/>
      <c r="AW632" s="94"/>
      <c r="AX632" s="94"/>
      <c r="AY632" s="94"/>
      <c r="AZ632" s="94"/>
      <c r="BA632" s="95"/>
    </row>
    <row r="633" spans="1:53" s="87" customFormat="1">
      <c r="A633" s="90" t="str">
        <f t="shared" si="35"/>
        <v/>
      </c>
      <c r="B633" s="98"/>
      <c r="C633" s="94"/>
      <c r="D633" s="94"/>
      <c r="E633" s="94"/>
      <c r="F633" s="94"/>
      <c r="G633" s="94"/>
      <c r="H633" s="94"/>
      <c r="I633" s="94"/>
      <c r="J633" s="94"/>
      <c r="K633" s="94"/>
      <c r="L633" s="94"/>
      <c r="M633" s="94"/>
      <c r="N633" s="94"/>
      <c r="O633" s="94"/>
      <c r="P633" s="94"/>
      <c r="Q633" s="94"/>
      <c r="R633" s="94"/>
      <c r="S633" s="94"/>
      <c r="T633" s="94"/>
      <c r="U633" s="94"/>
      <c r="V633" s="94"/>
      <c r="W633" s="94"/>
      <c r="X633" s="94"/>
      <c r="Y633" s="94"/>
      <c r="Z633" s="94"/>
      <c r="AA633" s="94"/>
      <c r="AB633" s="94"/>
      <c r="AC633" s="94"/>
      <c r="AD633" s="94"/>
      <c r="AE633" s="94"/>
      <c r="AF633" s="94"/>
      <c r="AG633" s="94"/>
      <c r="AH633" s="94"/>
      <c r="AI633" s="94"/>
      <c r="AJ633" s="94"/>
      <c r="AK633" s="94"/>
      <c r="AL633" s="94"/>
      <c r="AM633" s="94"/>
      <c r="AN633" s="94"/>
      <c r="AO633" s="94"/>
      <c r="AP633" s="94"/>
      <c r="AQ633" s="94"/>
      <c r="AR633" s="94"/>
      <c r="AS633" s="94"/>
      <c r="AT633" s="94"/>
      <c r="AU633" s="94"/>
      <c r="AV633" s="94"/>
      <c r="AW633" s="94"/>
      <c r="AX633" s="94"/>
      <c r="AY633" s="94"/>
      <c r="AZ633" s="94"/>
      <c r="BA633" s="95"/>
    </row>
    <row r="634" spans="1:53" s="87" customFormat="1">
      <c r="A634" s="90" t="str">
        <f t="shared" si="35"/>
        <v/>
      </c>
      <c r="B634" s="98"/>
      <c r="C634" s="94"/>
      <c r="D634" s="94"/>
      <c r="E634" s="94"/>
      <c r="F634" s="94"/>
      <c r="G634" s="94"/>
      <c r="H634" s="94"/>
      <c r="I634" s="94"/>
      <c r="J634" s="94"/>
      <c r="K634" s="94"/>
      <c r="L634" s="94"/>
      <c r="M634" s="94"/>
      <c r="N634" s="94"/>
      <c r="O634" s="94"/>
      <c r="P634" s="94"/>
      <c r="Q634" s="94"/>
      <c r="R634" s="94"/>
      <c r="S634" s="94"/>
      <c r="T634" s="94"/>
      <c r="U634" s="94"/>
      <c r="V634" s="94"/>
      <c r="W634" s="94"/>
      <c r="X634" s="94"/>
      <c r="Y634" s="94"/>
      <c r="Z634" s="94"/>
      <c r="AA634" s="94"/>
      <c r="AB634" s="94"/>
      <c r="AC634" s="94"/>
      <c r="AD634" s="94"/>
      <c r="AE634" s="94"/>
      <c r="AF634" s="94"/>
      <c r="AG634" s="94"/>
      <c r="AH634" s="94"/>
      <c r="AI634" s="94"/>
      <c r="AJ634" s="94"/>
      <c r="AK634" s="94"/>
      <c r="AL634" s="94"/>
      <c r="AM634" s="94"/>
      <c r="AN634" s="94"/>
      <c r="AO634" s="94"/>
      <c r="AP634" s="94"/>
      <c r="AQ634" s="94"/>
      <c r="AR634" s="94"/>
      <c r="AS634" s="94"/>
      <c r="AT634" s="94"/>
      <c r="AU634" s="94"/>
      <c r="AV634" s="94"/>
      <c r="AW634" s="94"/>
      <c r="AX634" s="94"/>
      <c r="AY634" s="94"/>
      <c r="AZ634" s="94"/>
      <c r="BA634" s="95"/>
    </row>
    <row r="635" spans="1:53" s="87" customFormat="1">
      <c r="A635" s="90" t="str">
        <f t="shared" si="35"/>
        <v/>
      </c>
      <c r="B635" s="98"/>
      <c r="C635" s="94"/>
      <c r="D635" s="94"/>
      <c r="E635" s="94"/>
      <c r="F635" s="94"/>
      <c r="G635" s="94"/>
      <c r="H635" s="94"/>
      <c r="I635" s="94"/>
      <c r="J635" s="94"/>
      <c r="K635" s="94"/>
      <c r="L635" s="94"/>
      <c r="M635" s="94"/>
      <c r="N635" s="94"/>
      <c r="O635" s="94"/>
      <c r="P635" s="94"/>
      <c r="Q635" s="94"/>
      <c r="R635" s="94"/>
      <c r="S635" s="94"/>
      <c r="T635" s="94"/>
      <c r="U635" s="94"/>
      <c r="V635" s="94"/>
      <c r="W635" s="94"/>
      <c r="X635" s="94"/>
      <c r="Y635" s="94"/>
      <c r="Z635" s="94"/>
      <c r="AA635" s="94"/>
      <c r="AB635" s="94"/>
      <c r="AC635" s="94"/>
      <c r="AD635" s="94"/>
      <c r="AE635" s="94"/>
      <c r="AF635" s="94"/>
      <c r="AG635" s="94"/>
      <c r="AH635" s="94"/>
      <c r="AI635" s="94"/>
      <c r="AJ635" s="94"/>
      <c r="AK635" s="94"/>
      <c r="AL635" s="94"/>
      <c r="AM635" s="94"/>
      <c r="AN635" s="94"/>
      <c r="AO635" s="94"/>
      <c r="AP635" s="94"/>
      <c r="AQ635" s="94"/>
      <c r="AR635" s="94"/>
      <c r="AS635" s="94"/>
      <c r="AT635" s="94"/>
      <c r="AU635" s="94"/>
      <c r="AV635" s="94"/>
      <c r="AW635" s="94"/>
      <c r="AX635" s="94"/>
      <c r="AY635" s="94"/>
      <c r="AZ635" s="94"/>
      <c r="BA635" s="95"/>
    </row>
    <row r="636" spans="1:53" s="87" customFormat="1">
      <c r="A636" s="90" t="str">
        <f t="shared" si="35"/>
        <v/>
      </c>
      <c r="B636" s="98"/>
      <c r="C636" s="94"/>
      <c r="D636" s="94"/>
      <c r="E636" s="94"/>
      <c r="F636" s="94"/>
      <c r="G636" s="94"/>
      <c r="H636" s="94"/>
      <c r="I636" s="94"/>
      <c r="J636" s="94"/>
      <c r="K636" s="94"/>
      <c r="L636" s="94"/>
      <c r="M636" s="94"/>
      <c r="N636" s="94"/>
      <c r="O636" s="94"/>
      <c r="P636" s="94"/>
      <c r="Q636" s="94"/>
      <c r="R636" s="94"/>
      <c r="S636" s="94"/>
      <c r="T636" s="94"/>
      <c r="U636" s="94"/>
      <c r="V636" s="94"/>
      <c r="W636" s="94"/>
      <c r="X636" s="94"/>
      <c r="Y636" s="94"/>
      <c r="Z636" s="94"/>
      <c r="AA636" s="94"/>
      <c r="AB636" s="94"/>
      <c r="AC636" s="94"/>
      <c r="AD636" s="94"/>
      <c r="AE636" s="94"/>
      <c r="AF636" s="94"/>
      <c r="AG636" s="94"/>
      <c r="AH636" s="94"/>
      <c r="AI636" s="94"/>
      <c r="AJ636" s="94"/>
      <c r="AK636" s="94"/>
      <c r="AL636" s="94"/>
      <c r="AM636" s="94"/>
      <c r="AN636" s="94"/>
      <c r="AO636" s="94"/>
      <c r="AP636" s="94"/>
      <c r="AQ636" s="94"/>
      <c r="AR636" s="94"/>
      <c r="AS636" s="94"/>
      <c r="AT636" s="94"/>
      <c r="AU636" s="94"/>
      <c r="AV636" s="94"/>
      <c r="AW636" s="94"/>
      <c r="AX636" s="94"/>
      <c r="AY636" s="94"/>
      <c r="AZ636" s="94"/>
      <c r="BA636" s="95"/>
    </row>
    <row r="637" spans="1:53" s="87" customFormat="1">
      <c r="A637" s="90" t="str">
        <f t="shared" si="35"/>
        <v/>
      </c>
      <c r="B637" s="98"/>
      <c r="C637" s="94"/>
      <c r="D637" s="94"/>
      <c r="E637" s="94"/>
      <c r="F637" s="94"/>
      <c r="G637" s="94"/>
      <c r="H637" s="94"/>
      <c r="I637" s="94"/>
      <c r="J637" s="94"/>
      <c r="K637" s="94"/>
      <c r="L637" s="94"/>
      <c r="M637" s="94"/>
      <c r="N637" s="94"/>
      <c r="O637" s="94"/>
      <c r="P637" s="94"/>
      <c r="Q637" s="94"/>
      <c r="R637" s="94"/>
      <c r="S637" s="94"/>
      <c r="T637" s="94"/>
      <c r="U637" s="94"/>
      <c r="V637" s="94"/>
      <c r="W637" s="94"/>
      <c r="X637" s="94"/>
      <c r="Y637" s="94"/>
      <c r="Z637" s="94"/>
      <c r="AA637" s="94"/>
      <c r="AB637" s="94"/>
      <c r="AC637" s="94"/>
      <c r="AD637" s="94"/>
      <c r="AE637" s="94"/>
      <c r="AF637" s="94"/>
      <c r="AG637" s="94"/>
      <c r="AH637" s="94"/>
      <c r="AI637" s="94"/>
      <c r="AJ637" s="94"/>
      <c r="AK637" s="94"/>
      <c r="AL637" s="94"/>
      <c r="AM637" s="94"/>
      <c r="AN637" s="94"/>
      <c r="AO637" s="94"/>
      <c r="AP637" s="94"/>
      <c r="AQ637" s="94"/>
      <c r="AR637" s="94"/>
      <c r="AS637" s="94"/>
      <c r="AT637" s="94"/>
      <c r="AU637" s="94"/>
      <c r="AV637" s="94"/>
      <c r="AW637" s="94"/>
      <c r="AX637" s="94"/>
      <c r="AY637" s="94"/>
      <c r="AZ637" s="94"/>
      <c r="BA637" s="95"/>
    </row>
    <row r="638" spans="1:53" s="87" customFormat="1">
      <c r="A638" s="90" t="str">
        <f t="shared" si="35"/>
        <v/>
      </c>
      <c r="B638" s="98"/>
      <c r="C638" s="94"/>
      <c r="D638" s="94"/>
      <c r="E638" s="94"/>
      <c r="F638" s="94"/>
      <c r="G638" s="94"/>
      <c r="H638" s="94"/>
      <c r="I638" s="94"/>
      <c r="J638" s="94"/>
      <c r="K638" s="94"/>
      <c r="L638" s="94"/>
      <c r="M638" s="94"/>
      <c r="N638" s="94"/>
      <c r="O638" s="94"/>
      <c r="P638" s="94"/>
      <c r="Q638" s="94"/>
      <c r="R638" s="94"/>
      <c r="S638" s="94"/>
      <c r="T638" s="94"/>
      <c r="U638" s="94"/>
      <c r="V638" s="94"/>
      <c r="W638" s="94"/>
      <c r="X638" s="94"/>
      <c r="Y638" s="94"/>
      <c r="Z638" s="94"/>
      <c r="AA638" s="94"/>
      <c r="AB638" s="94"/>
      <c r="AC638" s="94"/>
      <c r="AD638" s="94"/>
      <c r="AE638" s="94"/>
      <c r="AF638" s="94"/>
      <c r="AG638" s="94"/>
      <c r="AH638" s="94"/>
      <c r="AI638" s="94"/>
      <c r="AJ638" s="94"/>
      <c r="AK638" s="94"/>
      <c r="AL638" s="94"/>
      <c r="AM638" s="94"/>
      <c r="AN638" s="94"/>
      <c r="AO638" s="94"/>
      <c r="AP638" s="94"/>
      <c r="AQ638" s="94"/>
      <c r="AR638" s="94"/>
      <c r="AS638" s="94"/>
      <c r="AT638" s="94"/>
      <c r="AU638" s="94"/>
      <c r="AV638" s="94"/>
      <c r="AW638" s="94"/>
      <c r="AX638" s="94"/>
      <c r="AY638" s="94"/>
      <c r="AZ638" s="94"/>
      <c r="BA638" s="95"/>
    </row>
    <row r="639" spans="1:53" s="87" customFormat="1">
      <c r="A639" s="90" t="str">
        <f t="shared" si="35"/>
        <v/>
      </c>
      <c r="B639" s="98"/>
      <c r="C639" s="94"/>
      <c r="D639" s="94"/>
      <c r="E639" s="94"/>
      <c r="F639" s="94"/>
      <c r="G639" s="94"/>
      <c r="H639" s="94"/>
      <c r="I639" s="94"/>
      <c r="J639" s="94"/>
      <c r="K639" s="94"/>
      <c r="L639" s="94"/>
      <c r="M639" s="94"/>
      <c r="N639" s="94"/>
      <c r="O639" s="94"/>
      <c r="P639" s="94"/>
      <c r="Q639" s="94"/>
      <c r="R639" s="94"/>
      <c r="S639" s="94"/>
      <c r="T639" s="94"/>
      <c r="U639" s="94"/>
      <c r="V639" s="94"/>
      <c r="W639" s="94"/>
      <c r="X639" s="94"/>
      <c r="Y639" s="94"/>
      <c r="Z639" s="94"/>
      <c r="AA639" s="94"/>
      <c r="AB639" s="94"/>
      <c r="AC639" s="94"/>
      <c r="AD639" s="94"/>
      <c r="AE639" s="94"/>
      <c r="AF639" s="94"/>
      <c r="AG639" s="94"/>
      <c r="AH639" s="94"/>
      <c r="AI639" s="94"/>
      <c r="AJ639" s="94"/>
      <c r="AK639" s="94"/>
      <c r="AL639" s="94"/>
      <c r="AM639" s="94"/>
      <c r="AN639" s="94"/>
      <c r="AO639" s="94"/>
      <c r="AP639" s="94"/>
      <c r="AQ639" s="94"/>
      <c r="AR639" s="94"/>
      <c r="AS639" s="94"/>
      <c r="AT639" s="94"/>
      <c r="AU639" s="94"/>
      <c r="AV639" s="94"/>
      <c r="AW639" s="94"/>
      <c r="AX639" s="94"/>
      <c r="AY639" s="94"/>
      <c r="AZ639" s="94"/>
      <c r="BA639" s="95"/>
    </row>
    <row r="640" spans="1:53" s="87" customFormat="1">
      <c r="A640" s="90" t="str">
        <f t="shared" si="35"/>
        <v/>
      </c>
      <c r="B640" s="98"/>
      <c r="C640" s="94"/>
      <c r="D640" s="94"/>
      <c r="E640" s="94"/>
      <c r="F640" s="94"/>
      <c r="G640" s="94"/>
      <c r="H640" s="94"/>
      <c r="I640" s="94"/>
      <c r="J640" s="94"/>
      <c r="K640" s="94"/>
      <c r="L640" s="94"/>
      <c r="M640" s="94"/>
      <c r="N640" s="94"/>
      <c r="O640" s="94"/>
      <c r="P640" s="94"/>
      <c r="Q640" s="94"/>
      <c r="R640" s="94"/>
      <c r="S640" s="94"/>
      <c r="T640" s="94"/>
      <c r="U640" s="94"/>
      <c r="V640" s="94"/>
      <c r="W640" s="94"/>
      <c r="X640" s="94"/>
      <c r="Y640" s="94"/>
      <c r="Z640" s="94"/>
      <c r="AA640" s="94"/>
      <c r="AB640" s="94"/>
      <c r="AC640" s="94"/>
      <c r="AD640" s="94"/>
      <c r="AE640" s="94"/>
      <c r="AF640" s="94"/>
      <c r="AG640" s="94"/>
      <c r="AH640" s="94"/>
      <c r="AI640" s="94"/>
      <c r="AJ640" s="94"/>
      <c r="AK640" s="94"/>
      <c r="AL640" s="94"/>
      <c r="AM640" s="94"/>
      <c r="AN640" s="94"/>
      <c r="AO640" s="94"/>
      <c r="AP640" s="94"/>
      <c r="AQ640" s="94"/>
      <c r="AR640" s="94"/>
      <c r="AS640" s="94"/>
      <c r="AT640" s="94"/>
      <c r="AU640" s="94"/>
      <c r="AV640" s="94"/>
      <c r="AW640" s="94"/>
      <c r="AX640" s="94"/>
      <c r="AY640" s="94"/>
      <c r="AZ640" s="94"/>
      <c r="BA640" s="95"/>
    </row>
    <row r="641" spans="1:53" s="87" customFormat="1">
      <c r="A641" s="90" t="str">
        <f t="shared" si="35"/>
        <v/>
      </c>
      <c r="B641" s="98"/>
      <c r="C641" s="94"/>
      <c r="D641" s="94"/>
      <c r="E641" s="94"/>
      <c r="F641" s="94"/>
      <c r="G641" s="94"/>
      <c r="H641" s="94"/>
      <c r="I641" s="94"/>
      <c r="J641" s="94"/>
      <c r="K641" s="94"/>
      <c r="L641" s="94"/>
      <c r="M641" s="94"/>
      <c r="N641" s="94"/>
      <c r="O641" s="94"/>
      <c r="P641" s="94"/>
      <c r="Q641" s="94"/>
      <c r="R641" s="94"/>
      <c r="S641" s="94"/>
      <c r="T641" s="94"/>
      <c r="U641" s="94"/>
      <c r="V641" s="94"/>
      <c r="W641" s="94"/>
      <c r="X641" s="94"/>
      <c r="Y641" s="94"/>
      <c r="Z641" s="94"/>
      <c r="AA641" s="94"/>
      <c r="AB641" s="94"/>
      <c r="AC641" s="94"/>
      <c r="AD641" s="94"/>
      <c r="AE641" s="94"/>
      <c r="AF641" s="94"/>
      <c r="AG641" s="94"/>
      <c r="AH641" s="94"/>
      <c r="AI641" s="94"/>
      <c r="AJ641" s="94"/>
      <c r="AK641" s="94"/>
      <c r="AL641" s="94"/>
      <c r="AM641" s="94"/>
      <c r="AN641" s="94"/>
      <c r="AO641" s="94"/>
      <c r="AP641" s="94"/>
      <c r="AQ641" s="94"/>
      <c r="AR641" s="94"/>
      <c r="AS641" s="94"/>
      <c r="AT641" s="94"/>
      <c r="AU641" s="94"/>
      <c r="AV641" s="94"/>
      <c r="AW641" s="94"/>
      <c r="AX641" s="94"/>
      <c r="AY641" s="94"/>
      <c r="AZ641" s="94"/>
      <c r="BA641" s="95"/>
    </row>
    <row r="642" spans="1:53" s="87" customFormat="1">
      <c r="A642" s="90" t="str">
        <f t="shared" si="35"/>
        <v/>
      </c>
      <c r="B642" s="98"/>
      <c r="C642" s="94"/>
      <c r="D642" s="94"/>
      <c r="E642" s="94"/>
      <c r="F642" s="94"/>
      <c r="G642" s="94"/>
      <c r="H642" s="94"/>
      <c r="I642" s="94"/>
      <c r="J642" s="94"/>
      <c r="K642" s="94"/>
      <c r="L642" s="94"/>
      <c r="M642" s="94"/>
      <c r="N642" s="94"/>
      <c r="O642" s="94"/>
      <c r="P642" s="94"/>
      <c r="Q642" s="94"/>
      <c r="R642" s="94"/>
      <c r="S642" s="94"/>
      <c r="T642" s="94"/>
      <c r="U642" s="94"/>
      <c r="V642" s="94"/>
      <c r="W642" s="94"/>
      <c r="X642" s="94"/>
      <c r="Y642" s="94"/>
      <c r="Z642" s="94"/>
      <c r="AA642" s="94"/>
      <c r="AB642" s="94"/>
      <c r="AC642" s="94"/>
      <c r="AD642" s="94"/>
      <c r="AE642" s="94"/>
      <c r="AF642" s="94"/>
      <c r="AG642" s="94"/>
      <c r="AH642" s="94"/>
      <c r="AI642" s="94"/>
      <c r="AJ642" s="94"/>
      <c r="AK642" s="94"/>
      <c r="AL642" s="94"/>
      <c r="AM642" s="94"/>
      <c r="AN642" s="94"/>
      <c r="AO642" s="94"/>
      <c r="AP642" s="94"/>
      <c r="AQ642" s="94"/>
      <c r="AR642" s="94"/>
      <c r="AS642" s="94"/>
      <c r="AT642" s="94"/>
      <c r="AU642" s="94"/>
      <c r="AV642" s="94"/>
      <c r="AW642" s="94"/>
      <c r="AX642" s="94"/>
      <c r="AY642" s="94"/>
      <c r="AZ642" s="94"/>
      <c r="BA642" s="95"/>
    </row>
    <row r="643" spans="1:53" s="87" customFormat="1">
      <c r="A643" s="90" t="str">
        <f t="shared" si="35"/>
        <v/>
      </c>
      <c r="B643" s="98"/>
      <c r="C643" s="94"/>
      <c r="D643" s="94"/>
      <c r="E643" s="94"/>
      <c r="F643" s="94"/>
      <c r="G643" s="94"/>
      <c r="H643" s="94"/>
      <c r="I643" s="94"/>
      <c r="J643" s="94"/>
      <c r="K643" s="94"/>
      <c r="L643" s="94"/>
      <c r="M643" s="94"/>
      <c r="N643" s="94"/>
      <c r="O643" s="94"/>
      <c r="P643" s="94"/>
      <c r="Q643" s="94"/>
      <c r="R643" s="94"/>
      <c r="S643" s="94"/>
      <c r="T643" s="94"/>
      <c r="U643" s="94"/>
      <c r="V643" s="94"/>
      <c r="W643" s="94"/>
      <c r="X643" s="94"/>
      <c r="Y643" s="94"/>
      <c r="Z643" s="94"/>
      <c r="AA643" s="94"/>
      <c r="AB643" s="94"/>
      <c r="AC643" s="94"/>
      <c r="AD643" s="94"/>
      <c r="AE643" s="94"/>
      <c r="AF643" s="94"/>
      <c r="AG643" s="94"/>
      <c r="AH643" s="94"/>
      <c r="AI643" s="94"/>
      <c r="AJ643" s="94"/>
      <c r="AK643" s="94"/>
      <c r="AL643" s="94"/>
      <c r="AM643" s="94"/>
      <c r="AN643" s="94"/>
      <c r="AO643" s="94"/>
      <c r="AP643" s="94"/>
      <c r="AQ643" s="94"/>
      <c r="AR643" s="94"/>
      <c r="AS643" s="94"/>
      <c r="AT643" s="94"/>
      <c r="AU643" s="94"/>
      <c r="AV643" s="94"/>
      <c r="AW643" s="94"/>
      <c r="AX643" s="94"/>
      <c r="AY643" s="94"/>
      <c r="AZ643" s="94"/>
      <c r="BA643" s="95"/>
    </row>
    <row r="644" spans="1:53" s="87" customFormat="1">
      <c r="A644" s="90" t="str">
        <f t="shared" si="35"/>
        <v/>
      </c>
      <c r="B644" s="98"/>
      <c r="C644" s="94"/>
      <c r="D644" s="94"/>
      <c r="E644" s="94"/>
      <c r="F644" s="94"/>
      <c r="G644" s="94"/>
      <c r="H644" s="94"/>
      <c r="I644" s="94"/>
      <c r="J644" s="94"/>
      <c r="K644" s="94"/>
      <c r="L644" s="94"/>
      <c r="M644" s="94"/>
      <c r="N644" s="94"/>
      <c r="O644" s="94"/>
      <c r="P644" s="94"/>
      <c r="Q644" s="94"/>
      <c r="R644" s="94"/>
      <c r="S644" s="94"/>
      <c r="T644" s="94"/>
      <c r="U644" s="94"/>
      <c r="V644" s="94"/>
      <c r="W644" s="94"/>
      <c r="X644" s="94"/>
      <c r="Y644" s="94"/>
      <c r="Z644" s="94"/>
      <c r="AA644" s="94"/>
      <c r="AB644" s="94"/>
      <c r="AC644" s="94"/>
      <c r="AD644" s="94"/>
      <c r="AE644" s="94"/>
      <c r="AF644" s="94"/>
      <c r="AG644" s="94"/>
      <c r="AH644" s="94"/>
      <c r="AI644" s="94"/>
      <c r="AJ644" s="94"/>
      <c r="AK644" s="94"/>
      <c r="AL644" s="94"/>
      <c r="AM644" s="94"/>
      <c r="AN644" s="94"/>
      <c r="AO644" s="94"/>
      <c r="AP644" s="94"/>
      <c r="AQ644" s="94"/>
      <c r="AR644" s="94"/>
      <c r="AS644" s="94"/>
      <c r="AT644" s="94"/>
      <c r="AU644" s="94"/>
      <c r="AV644" s="94"/>
      <c r="AW644" s="94"/>
      <c r="AX644" s="94"/>
      <c r="AY644" s="94"/>
      <c r="AZ644" s="94"/>
      <c r="BA644" s="95"/>
    </row>
    <row r="645" spans="1:53" s="87" customFormat="1">
      <c r="A645" s="90" t="str">
        <f t="shared" si="35"/>
        <v/>
      </c>
      <c r="B645" s="98"/>
      <c r="C645" s="94"/>
      <c r="D645" s="94"/>
      <c r="E645" s="94"/>
      <c r="F645" s="94"/>
      <c r="G645" s="94"/>
      <c r="H645" s="94"/>
      <c r="I645" s="94"/>
      <c r="J645" s="94"/>
      <c r="K645" s="94"/>
      <c r="L645" s="94"/>
      <c r="M645" s="94"/>
      <c r="N645" s="94"/>
      <c r="O645" s="94"/>
      <c r="P645" s="94"/>
      <c r="Q645" s="94"/>
      <c r="R645" s="94"/>
      <c r="S645" s="94"/>
      <c r="T645" s="94"/>
      <c r="U645" s="94"/>
      <c r="V645" s="94"/>
      <c r="W645" s="94"/>
      <c r="X645" s="94"/>
      <c r="Y645" s="94"/>
      <c r="Z645" s="94"/>
      <c r="AA645" s="94"/>
      <c r="AB645" s="94"/>
      <c r="AC645" s="94"/>
      <c r="AD645" s="94"/>
      <c r="AE645" s="94"/>
      <c r="AF645" s="94"/>
      <c r="AG645" s="94"/>
      <c r="AH645" s="94"/>
      <c r="AI645" s="94"/>
      <c r="AJ645" s="94"/>
      <c r="AK645" s="94"/>
      <c r="AL645" s="94"/>
      <c r="AM645" s="94"/>
      <c r="AN645" s="94"/>
      <c r="AO645" s="94"/>
      <c r="AP645" s="94"/>
      <c r="AQ645" s="94"/>
      <c r="AR645" s="94"/>
      <c r="AS645" s="94"/>
      <c r="AT645" s="94"/>
      <c r="AU645" s="94"/>
      <c r="AV645" s="94"/>
      <c r="AW645" s="94"/>
      <c r="AX645" s="94"/>
      <c r="AY645" s="94"/>
      <c r="AZ645" s="94"/>
      <c r="BA645" s="95"/>
    </row>
    <row r="646" spans="1:53" s="87" customFormat="1">
      <c r="A646" s="90" t="str">
        <f t="shared" si="35"/>
        <v/>
      </c>
      <c r="B646" s="98"/>
      <c r="C646" s="94"/>
      <c r="D646" s="94"/>
      <c r="E646" s="94"/>
      <c r="F646" s="94"/>
      <c r="G646" s="94"/>
      <c r="H646" s="94"/>
      <c r="I646" s="94"/>
      <c r="J646" s="94"/>
      <c r="K646" s="94"/>
      <c r="L646" s="94"/>
      <c r="M646" s="94"/>
      <c r="N646" s="94"/>
      <c r="O646" s="94"/>
      <c r="P646" s="94"/>
      <c r="Q646" s="94"/>
      <c r="R646" s="94"/>
      <c r="S646" s="94"/>
      <c r="T646" s="94"/>
      <c r="U646" s="94"/>
      <c r="V646" s="94"/>
      <c r="W646" s="94"/>
      <c r="X646" s="94"/>
      <c r="Y646" s="94"/>
      <c r="Z646" s="94"/>
      <c r="AA646" s="94"/>
      <c r="AB646" s="94"/>
      <c r="AC646" s="94"/>
      <c r="AD646" s="94"/>
      <c r="AE646" s="94"/>
      <c r="AF646" s="94"/>
      <c r="AG646" s="94"/>
      <c r="AH646" s="94"/>
      <c r="AI646" s="94"/>
      <c r="AJ646" s="94"/>
      <c r="AK646" s="94"/>
      <c r="AL646" s="94"/>
      <c r="AM646" s="94"/>
      <c r="AN646" s="94"/>
      <c r="AO646" s="94"/>
      <c r="AP646" s="94"/>
      <c r="AQ646" s="94"/>
      <c r="AR646" s="94"/>
      <c r="AS646" s="94"/>
      <c r="AT646" s="94"/>
      <c r="AU646" s="94"/>
      <c r="AV646" s="94"/>
      <c r="AW646" s="94"/>
      <c r="AX646" s="94"/>
      <c r="AY646" s="94"/>
      <c r="AZ646" s="94"/>
      <c r="BA646" s="95"/>
    </row>
    <row r="647" spans="1:53" s="87" customFormat="1">
      <c r="A647" s="90" t="str">
        <f t="shared" si="35"/>
        <v/>
      </c>
      <c r="B647" s="98"/>
      <c r="C647" s="94"/>
      <c r="D647" s="94"/>
      <c r="E647" s="94"/>
      <c r="F647" s="94"/>
      <c r="G647" s="94"/>
      <c r="H647" s="94"/>
      <c r="I647" s="94"/>
      <c r="J647" s="94"/>
      <c r="K647" s="94"/>
      <c r="L647" s="94"/>
      <c r="M647" s="94"/>
      <c r="N647" s="94"/>
      <c r="O647" s="94"/>
      <c r="P647" s="94"/>
      <c r="Q647" s="94"/>
      <c r="R647" s="94"/>
      <c r="S647" s="94"/>
      <c r="T647" s="94"/>
      <c r="U647" s="94"/>
      <c r="V647" s="94"/>
      <c r="W647" s="94"/>
      <c r="X647" s="94"/>
      <c r="Y647" s="94"/>
      <c r="Z647" s="94"/>
      <c r="AA647" s="94"/>
      <c r="AB647" s="94"/>
      <c r="AC647" s="94"/>
      <c r="AD647" s="94"/>
      <c r="AE647" s="94"/>
      <c r="AF647" s="94"/>
      <c r="AG647" s="94"/>
      <c r="AH647" s="94"/>
      <c r="AI647" s="94"/>
      <c r="AJ647" s="94"/>
      <c r="AK647" s="94"/>
      <c r="AL647" s="94"/>
      <c r="AM647" s="94"/>
      <c r="AN647" s="94"/>
      <c r="AO647" s="94"/>
      <c r="AP647" s="94"/>
      <c r="AQ647" s="94"/>
      <c r="AR647" s="94"/>
      <c r="AS647" s="94"/>
      <c r="AT647" s="94"/>
      <c r="AU647" s="94"/>
      <c r="AV647" s="94"/>
      <c r="AW647" s="94"/>
      <c r="AX647" s="94"/>
      <c r="AY647" s="94"/>
      <c r="AZ647" s="94"/>
      <c r="BA647" s="95"/>
    </row>
    <row r="648" spans="1:53" s="87" customFormat="1">
      <c r="A648" s="90" t="str">
        <f t="shared" si="35"/>
        <v/>
      </c>
      <c r="B648" s="98"/>
      <c r="C648" s="94"/>
      <c r="D648" s="94"/>
      <c r="E648" s="94"/>
      <c r="F648" s="94"/>
      <c r="G648" s="94"/>
      <c r="H648" s="94"/>
      <c r="I648" s="94"/>
      <c r="J648" s="94"/>
      <c r="K648" s="94"/>
      <c r="L648" s="94"/>
      <c r="M648" s="94"/>
      <c r="N648" s="94"/>
      <c r="O648" s="94"/>
      <c r="P648" s="94"/>
      <c r="Q648" s="94"/>
      <c r="R648" s="94"/>
      <c r="S648" s="94"/>
      <c r="T648" s="94"/>
      <c r="U648" s="94"/>
      <c r="V648" s="94"/>
      <c r="W648" s="94"/>
      <c r="X648" s="94"/>
      <c r="Y648" s="94"/>
      <c r="Z648" s="94"/>
      <c r="AA648" s="94"/>
      <c r="AB648" s="94"/>
      <c r="AC648" s="94"/>
      <c r="AD648" s="94"/>
      <c r="AE648" s="94"/>
      <c r="AF648" s="94"/>
      <c r="AG648" s="94"/>
      <c r="AH648" s="94"/>
      <c r="AI648" s="94"/>
      <c r="AJ648" s="94"/>
      <c r="AK648" s="94"/>
      <c r="AL648" s="94"/>
      <c r="AM648" s="94"/>
      <c r="AN648" s="94"/>
      <c r="AO648" s="94"/>
      <c r="AP648" s="94"/>
      <c r="AQ648" s="94"/>
      <c r="AR648" s="94"/>
      <c r="AS648" s="94"/>
      <c r="AT648" s="94"/>
      <c r="AU648" s="94"/>
      <c r="AV648" s="94"/>
      <c r="AW648" s="94"/>
      <c r="AX648" s="94"/>
      <c r="AY648" s="94"/>
      <c r="AZ648" s="94"/>
      <c r="BA648" s="95"/>
    </row>
    <row r="649" spans="1:53" s="87" customFormat="1">
      <c r="A649" s="90" t="str">
        <f t="shared" si="35"/>
        <v/>
      </c>
      <c r="B649" s="98"/>
      <c r="C649" s="94"/>
      <c r="D649" s="94"/>
      <c r="E649" s="94"/>
      <c r="F649" s="94"/>
      <c r="G649" s="94"/>
      <c r="H649" s="94"/>
      <c r="I649" s="94"/>
      <c r="J649" s="94"/>
      <c r="K649" s="94"/>
      <c r="L649" s="94"/>
      <c r="M649" s="94"/>
      <c r="N649" s="94"/>
      <c r="O649" s="94"/>
      <c r="P649" s="94"/>
      <c r="Q649" s="94"/>
      <c r="R649" s="94"/>
      <c r="S649" s="94"/>
      <c r="T649" s="94"/>
      <c r="U649" s="94"/>
      <c r="V649" s="94"/>
      <c r="W649" s="94"/>
      <c r="X649" s="94"/>
      <c r="Y649" s="94"/>
      <c r="Z649" s="94"/>
      <c r="AA649" s="94"/>
      <c r="AB649" s="94"/>
      <c r="AC649" s="94"/>
      <c r="AD649" s="94"/>
      <c r="AE649" s="94"/>
      <c r="AF649" s="94"/>
      <c r="AG649" s="94"/>
      <c r="AH649" s="94"/>
      <c r="AI649" s="94"/>
      <c r="AJ649" s="94"/>
      <c r="AK649" s="94"/>
      <c r="AL649" s="94"/>
      <c r="AM649" s="94"/>
      <c r="AN649" s="94"/>
      <c r="AO649" s="94"/>
      <c r="AP649" s="94"/>
      <c r="AQ649" s="94"/>
      <c r="AR649" s="94"/>
      <c r="AS649" s="94"/>
      <c r="AT649" s="94"/>
      <c r="AU649" s="94"/>
      <c r="AV649" s="94"/>
      <c r="AW649" s="94"/>
      <c r="AX649" s="94"/>
      <c r="AY649" s="94"/>
      <c r="AZ649" s="94"/>
      <c r="BA649" s="95"/>
    </row>
    <row r="650" spans="1:53" s="87" customFormat="1">
      <c r="A650" s="90" t="str">
        <f t="shared" si="35"/>
        <v/>
      </c>
      <c r="B650" s="98"/>
      <c r="C650" s="94"/>
      <c r="D650" s="94"/>
      <c r="E650" s="94"/>
      <c r="F650" s="94"/>
      <c r="G650" s="94"/>
      <c r="H650" s="94"/>
      <c r="I650" s="94"/>
      <c r="J650" s="94"/>
      <c r="K650" s="94"/>
      <c r="L650" s="94"/>
      <c r="M650" s="94"/>
      <c r="N650" s="94"/>
      <c r="O650" s="94"/>
      <c r="P650" s="94"/>
      <c r="Q650" s="94"/>
      <c r="R650" s="94"/>
      <c r="S650" s="94"/>
      <c r="T650" s="94"/>
      <c r="U650" s="94"/>
      <c r="V650" s="94"/>
      <c r="W650" s="94"/>
      <c r="X650" s="94"/>
      <c r="Y650" s="94"/>
      <c r="Z650" s="94"/>
      <c r="AA650" s="94"/>
      <c r="AB650" s="94"/>
      <c r="AC650" s="94"/>
      <c r="AD650" s="94"/>
      <c r="AE650" s="94"/>
      <c r="AF650" s="94"/>
      <c r="AG650" s="94"/>
      <c r="AH650" s="94"/>
      <c r="AI650" s="94"/>
      <c r="AJ650" s="94"/>
      <c r="AK650" s="94"/>
      <c r="AL650" s="94"/>
      <c r="AM650" s="94"/>
      <c r="AN650" s="94"/>
      <c r="AO650" s="94"/>
      <c r="AP650" s="94"/>
      <c r="AQ650" s="94"/>
      <c r="AR650" s="94"/>
      <c r="AS650" s="94"/>
      <c r="AT650" s="94"/>
      <c r="AU650" s="94"/>
      <c r="AV650" s="94"/>
      <c r="AW650" s="94"/>
      <c r="AX650" s="94"/>
      <c r="AY650" s="94"/>
      <c r="AZ650" s="94"/>
      <c r="BA650" s="95"/>
    </row>
    <row r="651" spans="1:53" s="87" customFormat="1">
      <c r="A651" s="90" t="str">
        <f t="shared" si="35"/>
        <v/>
      </c>
      <c r="B651" s="98"/>
      <c r="C651" s="94"/>
      <c r="D651" s="94"/>
      <c r="E651" s="94"/>
      <c r="F651" s="94"/>
      <c r="G651" s="94"/>
      <c r="H651" s="94"/>
      <c r="I651" s="94"/>
      <c r="J651" s="94"/>
      <c r="K651" s="94"/>
      <c r="L651" s="94"/>
      <c r="M651" s="94"/>
      <c r="N651" s="94"/>
      <c r="O651" s="94"/>
      <c r="P651" s="94"/>
      <c r="Q651" s="94"/>
      <c r="R651" s="94"/>
      <c r="S651" s="94"/>
      <c r="T651" s="94"/>
      <c r="U651" s="94"/>
      <c r="V651" s="94"/>
      <c r="W651" s="94"/>
      <c r="X651" s="94"/>
      <c r="Y651" s="94"/>
      <c r="Z651" s="94"/>
      <c r="AA651" s="94"/>
      <c r="AB651" s="94"/>
      <c r="AC651" s="94"/>
      <c r="AD651" s="94"/>
      <c r="AE651" s="94"/>
      <c r="AF651" s="94"/>
      <c r="AG651" s="94"/>
      <c r="AH651" s="94"/>
      <c r="AI651" s="94"/>
      <c r="AJ651" s="94"/>
      <c r="AK651" s="94"/>
      <c r="AL651" s="94"/>
      <c r="AM651" s="94"/>
      <c r="AN651" s="94"/>
      <c r="AO651" s="94"/>
      <c r="AP651" s="94"/>
      <c r="AQ651" s="94"/>
      <c r="AR651" s="94"/>
      <c r="AS651" s="94"/>
      <c r="AT651" s="94"/>
      <c r="AU651" s="94"/>
      <c r="AV651" s="94"/>
      <c r="AW651" s="94"/>
      <c r="AX651" s="94"/>
      <c r="AY651" s="94"/>
      <c r="AZ651" s="94"/>
      <c r="BA651" s="95"/>
    </row>
    <row r="652" spans="1:53" s="87" customFormat="1">
      <c r="A652" s="90" t="str">
        <f t="shared" ref="A652:A715" si="36">IF(MID(B652,3,2)="03",ROW(),"")</f>
        <v/>
      </c>
      <c r="B652" s="98"/>
      <c r="C652" s="94"/>
      <c r="D652" s="94"/>
      <c r="E652" s="94"/>
      <c r="F652" s="94"/>
      <c r="G652" s="94"/>
      <c r="H652" s="94"/>
      <c r="I652" s="94"/>
      <c r="J652" s="94"/>
      <c r="K652" s="94"/>
      <c r="L652" s="94"/>
      <c r="M652" s="94"/>
      <c r="N652" s="94"/>
      <c r="O652" s="94"/>
      <c r="P652" s="94"/>
      <c r="Q652" s="94"/>
      <c r="R652" s="94"/>
      <c r="S652" s="94"/>
      <c r="T652" s="94"/>
      <c r="U652" s="94"/>
      <c r="V652" s="94"/>
      <c r="W652" s="94"/>
      <c r="X652" s="94"/>
      <c r="Y652" s="94"/>
      <c r="Z652" s="94"/>
      <c r="AA652" s="94"/>
      <c r="AB652" s="94"/>
      <c r="AC652" s="94"/>
      <c r="AD652" s="94"/>
      <c r="AE652" s="94"/>
      <c r="AF652" s="94"/>
      <c r="AG652" s="94"/>
      <c r="AH652" s="94"/>
      <c r="AI652" s="94"/>
      <c r="AJ652" s="94"/>
      <c r="AK652" s="94"/>
      <c r="AL652" s="94"/>
      <c r="AM652" s="94"/>
      <c r="AN652" s="94"/>
      <c r="AO652" s="94"/>
      <c r="AP652" s="94"/>
      <c r="AQ652" s="94"/>
      <c r="AR652" s="94"/>
      <c r="AS652" s="94"/>
      <c r="AT652" s="94"/>
      <c r="AU652" s="94"/>
      <c r="AV652" s="94"/>
      <c r="AW652" s="94"/>
      <c r="AX652" s="94"/>
      <c r="AY652" s="94"/>
      <c r="AZ652" s="94"/>
      <c r="BA652" s="95"/>
    </row>
    <row r="653" spans="1:53" s="87" customFormat="1">
      <c r="A653" s="90" t="str">
        <f t="shared" si="36"/>
        <v/>
      </c>
      <c r="B653" s="98"/>
      <c r="C653" s="94"/>
      <c r="D653" s="94"/>
      <c r="E653" s="94"/>
      <c r="F653" s="94"/>
      <c r="G653" s="94"/>
      <c r="H653" s="94"/>
      <c r="I653" s="94"/>
      <c r="J653" s="94"/>
      <c r="K653" s="94"/>
      <c r="L653" s="94"/>
      <c r="M653" s="94"/>
      <c r="N653" s="94"/>
      <c r="O653" s="94"/>
      <c r="P653" s="94"/>
      <c r="Q653" s="94"/>
      <c r="R653" s="94"/>
      <c r="S653" s="94"/>
      <c r="T653" s="94"/>
      <c r="U653" s="94"/>
      <c r="V653" s="94"/>
      <c r="W653" s="94"/>
      <c r="X653" s="94"/>
      <c r="Y653" s="94"/>
      <c r="Z653" s="94"/>
      <c r="AA653" s="94"/>
      <c r="AB653" s="94"/>
      <c r="AC653" s="94"/>
      <c r="AD653" s="94"/>
      <c r="AE653" s="94"/>
      <c r="AF653" s="94"/>
      <c r="AG653" s="94"/>
      <c r="AH653" s="94"/>
      <c r="AI653" s="94"/>
      <c r="AJ653" s="94"/>
      <c r="AK653" s="94"/>
      <c r="AL653" s="94"/>
      <c r="AM653" s="94"/>
      <c r="AN653" s="94"/>
      <c r="AO653" s="94"/>
      <c r="AP653" s="94"/>
      <c r="AQ653" s="94"/>
      <c r="AR653" s="94"/>
      <c r="AS653" s="94"/>
      <c r="AT653" s="94"/>
      <c r="AU653" s="94"/>
      <c r="AV653" s="94"/>
      <c r="AW653" s="94"/>
      <c r="AX653" s="94"/>
      <c r="AY653" s="94"/>
      <c r="AZ653" s="94"/>
      <c r="BA653" s="95"/>
    </row>
    <row r="654" spans="1:53" s="87" customFormat="1">
      <c r="A654" s="90" t="str">
        <f t="shared" si="36"/>
        <v/>
      </c>
      <c r="B654" s="98"/>
      <c r="C654" s="94"/>
      <c r="D654" s="94"/>
      <c r="E654" s="94"/>
      <c r="F654" s="94"/>
      <c r="G654" s="94"/>
      <c r="H654" s="94"/>
      <c r="I654" s="94"/>
      <c r="J654" s="94"/>
      <c r="K654" s="94"/>
      <c r="L654" s="94"/>
      <c r="M654" s="94"/>
      <c r="N654" s="94"/>
      <c r="O654" s="94"/>
      <c r="P654" s="94"/>
      <c r="Q654" s="94"/>
      <c r="R654" s="94"/>
      <c r="S654" s="94"/>
      <c r="T654" s="94"/>
      <c r="U654" s="94"/>
      <c r="V654" s="94"/>
      <c r="W654" s="94"/>
      <c r="X654" s="94"/>
      <c r="Y654" s="94"/>
      <c r="Z654" s="94"/>
      <c r="AA654" s="94"/>
      <c r="AB654" s="94"/>
      <c r="AC654" s="94"/>
      <c r="AD654" s="94"/>
      <c r="AE654" s="94"/>
      <c r="AF654" s="94"/>
      <c r="AG654" s="94"/>
      <c r="AH654" s="94"/>
      <c r="AI654" s="94"/>
      <c r="AJ654" s="94"/>
      <c r="AK654" s="94"/>
      <c r="AL654" s="94"/>
      <c r="AM654" s="94"/>
      <c r="AN654" s="94"/>
      <c r="AO654" s="94"/>
      <c r="AP654" s="94"/>
      <c r="AQ654" s="94"/>
      <c r="AR654" s="94"/>
      <c r="AS654" s="94"/>
      <c r="AT654" s="94"/>
      <c r="AU654" s="94"/>
      <c r="AV654" s="94"/>
      <c r="AW654" s="94"/>
      <c r="AX654" s="94"/>
      <c r="AY654" s="94"/>
      <c r="AZ654" s="94"/>
      <c r="BA654" s="95"/>
    </row>
    <row r="655" spans="1:53" s="87" customFormat="1">
      <c r="A655" s="90" t="str">
        <f t="shared" si="36"/>
        <v/>
      </c>
      <c r="B655" s="98"/>
      <c r="C655" s="94"/>
      <c r="D655" s="94"/>
      <c r="E655" s="94"/>
      <c r="F655" s="94"/>
      <c r="G655" s="94"/>
      <c r="H655" s="94"/>
      <c r="I655" s="94"/>
      <c r="J655" s="94"/>
      <c r="K655" s="94"/>
      <c r="L655" s="94"/>
      <c r="M655" s="94"/>
      <c r="N655" s="94"/>
      <c r="O655" s="94"/>
      <c r="P655" s="94"/>
      <c r="Q655" s="94"/>
      <c r="R655" s="94"/>
      <c r="S655" s="94"/>
      <c r="T655" s="94"/>
      <c r="U655" s="94"/>
      <c r="V655" s="94"/>
      <c r="W655" s="94"/>
      <c r="X655" s="94"/>
      <c r="Y655" s="94"/>
      <c r="Z655" s="94"/>
      <c r="AA655" s="94"/>
      <c r="AB655" s="94"/>
      <c r="AC655" s="94"/>
      <c r="AD655" s="94"/>
      <c r="AE655" s="94"/>
      <c r="AF655" s="94"/>
      <c r="AG655" s="94"/>
      <c r="AH655" s="94"/>
      <c r="AI655" s="94"/>
      <c r="AJ655" s="94"/>
      <c r="AK655" s="94"/>
      <c r="AL655" s="94"/>
      <c r="AM655" s="94"/>
      <c r="AN655" s="94"/>
      <c r="AO655" s="94"/>
      <c r="AP655" s="94"/>
      <c r="AQ655" s="94"/>
      <c r="AR655" s="94"/>
      <c r="AS655" s="94"/>
      <c r="AT655" s="94"/>
      <c r="AU655" s="94"/>
      <c r="AV655" s="94"/>
      <c r="AW655" s="94"/>
      <c r="AX655" s="94"/>
      <c r="AY655" s="94"/>
      <c r="AZ655" s="94"/>
      <c r="BA655" s="95"/>
    </row>
    <row r="656" spans="1:53" s="87" customFormat="1">
      <c r="A656" s="90" t="str">
        <f t="shared" si="36"/>
        <v/>
      </c>
      <c r="B656" s="98"/>
      <c r="C656" s="94"/>
      <c r="D656" s="94"/>
      <c r="E656" s="94"/>
      <c r="F656" s="94"/>
      <c r="G656" s="94"/>
      <c r="H656" s="94"/>
      <c r="I656" s="94"/>
      <c r="J656" s="94"/>
      <c r="K656" s="94"/>
      <c r="L656" s="94"/>
      <c r="M656" s="94"/>
      <c r="N656" s="94"/>
      <c r="O656" s="94"/>
      <c r="P656" s="94"/>
      <c r="Q656" s="94"/>
      <c r="R656" s="94"/>
      <c r="S656" s="94"/>
      <c r="T656" s="94"/>
      <c r="U656" s="94"/>
      <c r="V656" s="94"/>
      <c r="W656" s="94"/>
      <c r="X656" s="94"/>
      <c r="Y656" s="94"/>
      <c r="Z656" s="94"/>
      <c r="AA656" s="94"/>
      <c r="AB656" s="94"/>
      <c r="AC656" s="94"/>
      <c r="AD656" s="94"/>
      <c r="AE656" s="94"/>
      <c r="AF656" s="94"/>
      <c r="AG656" s="94"/>
      <c r="AH656" s="94"/>
      <c r="AI656" s="94"/>
      <c r="AJ656" s="94"/>
      <c r="AK656" s="94"/>
      <c r="AL656" s="94"/>
      <c r="AM656" s="94"/>
      <c r="AN656" s="94"/>
      <c r="AO656" s="94"/>
      <c r="AP656" s="94"/>
      <c r="AQ656" s="94"/>
      <c r="AR656" s="94"/>
      <c r="AS656" s="94"/>
      <c r="AT656" s="94"/>
      <c r="AU656" s="94"/>
      <c r="AV656" s="94"/>
      <c r="AW656" s="94"/>
      <c r="AX656" s="94"/>
      <c r="AY656" s="94"/>
      <c r="AZ656" s="94"/>
      <c r="BA656" s="95"/>
    </row>
    <row r="657" spans="1:53" s="87" customFormat="1">
      <c r="A657" s="90" t="str">
        <f t="shared" si="36"/>
        <v/>
      </c>
      <c r="B657" s="98"/>
      <c r="C657" s="94"/>
      <c r="D657" s="94"/>
      <c r="E657" s="94"/>
      <c r="F657" s="94"/>
      <c r="G657" s="94"/>
      <c r="H657" s="94"/>
      <c r="I657" s="94"/>
      <c r="J657" s="94"/>
      <c r="K657" s="94"/>
      <c r="L657" s="94"/>
      <c r="M657" s="94"/>
      <c r="N657" s="94"/>
      <c r="O657" s="94"/>
      <c r="P657" s="94"/>
      <c r="Q657" s="94"/>
      <c r="R657" s="94"/>
      <c r="S657" s="94"/>
      <c r="T657" s="94"/>
      <c r="U657" s="94"/>
      <c r="V657" s="94"/>
      <c r="W657" s="94"/>
      <c r="X657" s="94"/>
      <c r="Y657" s="94"/>
      <c r="Z657" s="94"/>
      <c r="AA657" s="94"/>
      <c r="AB657" s="94"/>
      <c r="AC657" s="94"/>
      <c r="AD657" s="94"/>
      <c r="AE657" s="94"/>
      <c r="AF657" s="94"/>
      <c r="AG657" s="94"/>
      <c r="AH657" s="94"/>
      <c r="AI657" s="94"/>
      <c r="AJ657" s="94"/>
      <c r="AK657" s="94"/>
      <c r="AL657" s="94"/>
      <c r="AM657" s="94"/>
      <c r="AN657" s="94"/>
      <c r="AO657" s="94"/>
      <c r="AP657" s="94"/>
      <c r="AQ657" s="94"/>
      <c r="AR657" s="94"/>
      <c r="AS657" s="94"/>
      <c r="AT657" s="94"/>
      <c r="AU657" s="94"/>
      <c r="AV657" s="94"/>
      <c r="AW657" s="94"/>
      <c r="AX657" s="94"/>
      <c r="AY657" s="94"/>
      <c r="AZ657" s="94"/>
      <c r="BA657" s="95"/>
    </row>
    <row r="658" spans="1:53" s="87" customFormat="1">
      <c r="A658" s="90" t="str">
        <f t="shared" si="36"/>
        <v/>
      </c>
      <c r="B658" s="98"/>
      <c r="C658" s="94"/>
      <c r="D658" s="94"/>
      <c r="E658" s="94"/>
      <c r="F658" s="94"/>
      <c r="G658" s="94"/>
      <c r="H658" s="94"/>
      <c r="I658" s="94"/>
      <c r="J658" s="94"/>
      <c r="K658" s="94"/>
      <c r="L658" s="94"/>
      <c r="M658" s="94"/>
      <c r="N658" s="94"/>
      <c r="O658" s="94"/>
      <c r="P658" s="94"/>
      <c r="Q658" s="94"/>
      <c r="R658" s="94"/>
      <c r="S658" s="94"/>
      <c r="T658" s="94"/>
      <c r="U658" s="94"/>
      <c r="V658" s="94"/>
      <c r="W658" s="94"/>
      <c r="X658" s="94"/>
      <c r="Y658" s="94"/>
      <c r="Z658" s="94"/>
      <c r="AA658" s="94"/>
      <c r="AB658" s="94"/>
      <c r="AC658" s="94"/>
      <c r="AD658" s="94"/>
      <c r="AE658" s="94"/>
      <c r="AF658" s="94"/>
      <c r="AG658" s="94"/>
      <c r="AH658" s="94"/>
      <c r="AI658" s="94"/>
      <c r="AJ658" s="94"/>
      <c r="AK658" s="94"/>
      <c r="AL658" s="94"/>
      <c r="AM658" s="94"/>
      <c r="AN658" s="94"/>
      <c r="AO658" s="94"/>
      <c r="AP658" s="94"/>
      <c r="AQ658" s="94"/>
      <c r="AR658" s="94"/>
      <c r="AS658" s="94"/>
      <c r="AT658" s="94"/>
      <c r="AU658" s="94"/>
      <c r="AV658" s="94"/>
      <c r="AW658" s="94"/>
      <c r="AX658" s="94"/>
      <c r="AY658" s="94"/>
      <c r="AZ658" s="94"/>
      <c r="BA658" s="95"/>
    </row>
    <row r="659" spans="1:53" s="87" customFormat="1">
      <c r="A659" s="90" t="str">
        <f t="shared" si="36"/>
        <v/>
      </c>
      <c r="B659" s="98"/>
      <c r="C659" s="94"/>
      <c r="D659" s="94"/>
      <c r="E659" s="94"/>
      <c r="F659" s="94"/>
      <c r="G659" s="94"/>
      <c r="H659" s="94"/>
      <c r="I659" s="94"/>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5"/>
    </row>
    <row r="660" spans="1:53" s="87" customFormat="1">
      <c r="A660" s="90" t="str">
        <f t="shared" si="36"/>
        <v/>
      </c>
      <c r="B660" s="98"/>
      <c r="C660" s="94"/>
      <c r="D660" s="94"/>
      <c r="E660" s="94"/>
      <c r="F660" s="94"/>
      <c r="G660" s="94"/>
      <c r="H660" s="94"/>
      <c r="I660" s="94"/>
      <c r="J660" s="94"/>
      <c r="K660" s="94"/>
      <c r="L660" s="94"/>
      <c r="M660" s="94"/>
      <c r="N660" s="94"/>
      <c r="O660" s="94"/>
      <c r="P660" s="94"/>
      <c r="Q660" s="94"/>
      <c r="R660" s="94"/>
      <c r="S660" s="94"/>
      <c r="T660" s="94"/>
      <c r="U660" s="94"/>
      <c r="V660" s="94"/>
      <c r="W660" s="94"/>
      <c r="X660" s="94"/>
      <c r="Y660" s="94"/>
      <c r="Z660" s="94"/>
      <c r="AA660" s="94"/>
      <c r="AB660" s="94"/>
      <c r="AC660" s="94"/>
      <c r="AD660" s="94"/>
      <c r="AE660" s="94"/>
      <c r="AF660" s="94"/>
      <c r="AG660" s="94"/>
      <c r="AH660" s="94"/>
      <c r="AI660" s="94"/>
      <c r="AJ660" s="94"/>
      <c r="AK660" s="94"/>
      <c r="AL660" s="94"/>
      <c r="AM660" s="94"/>
      <c r="AN660" s="94"/>
      <c r="AO660" s="94"/>
      <c r="AP660" s="94"/>
      <c r="AQ660" s="94"/>
      <c r="AR660" s="94"/>
      <c r="AS660" s="94"/>
      <c r="AT660" s="94"/>
      <c r="AU660" s="94"/>
      <c r="AV660" s="94"/>
      <c r="AW660" s="94"/>
      <c r="AX660" s="94"/>
      <c r="AY660" s="94"/>
      <c r="AZ660" s="94"/>
      <c r="BA660" s="95"/>
    </row>
    <row r="661" spans="1:53" s="87" customFormat="1">
      <c r="A661" s="90" t="str">
        <f t="shared" si="36"/>
        <v/>
      </c>
      <c r="B661" s="98"/>
      <c r="C661" s="94"/>
      <c r="D661" s="94"/>
      <c r="E661" s="94"/>
      <c r="F661" s="94"/>
      <c r="G661" s="94"/>
      <c r="H661" s="94"/>
      <c r="I661" s="94"/>
      <c r="J661" s="94"/>
      <c r="K661" s="94"/>
      <c r="L661" s="94"/>
      <c r="M661" s="94"/>
      <c r="N661" s="94"/>
      <c r="O661" s="94"/>
      <c r="P661" s="94"/>
      <c r="Q661" s="94"/>
      <c r="R661" s="94"/>
      <c r="S661" s="94"/>
      <c r="T661" s="94"/>
      <c r="U661" s="94"/>
      <c r="V661" s="94"/>
      <c r="W661" s="94"/>
      <c r="X661" s="94"/>
      <c r="Y661" s="94"/>
      <c r="Z661" s="94"/>
      <c r="AA661" s="94"/>
      <c r="AB661" s="94"/>
      <c r="AC661" s="94"/>
      <c r="AD661" s="94"/>
      <c r="AE661" s="94"/>
      <c r="AF661" s="94"/>
      <c r="AG661" s="94"/>
      <c r="AH661" s="94"/>
      <c r="AI661" s="94"/>
      <c r="AJ661" s="94"/>
      <c r="AK661" s="94"/>
      <c r="AL661" s="94"/>
      <c r="AM661" s="94"/>
      <c r="AN661" s="94"/>
      <c r="AO661" s="94"/>
      <c r="AP661" s="94"/>
      <c r="AQ661" s="94"/>
      <c r="AR661" s="94"/>
      <c r="AS661" s="94"/>
      <c r="AT661" s="94"/>
      <c r="AU661" s="94"/>
      <c r="AV661" s="94"/>
      <c r="AW661" s="94"/>
      <c r="AX661" s="94"/>
      <c r="AY661" s="94"/>
      <c r="AZ661" s="94"/>
      <c r="BA661" s="95"/>
    </row>
    <row r="662" spans="1:53" s="87" customFormat="1">
      <c r="A662" s="90" t="str">
        <f t="shared" si="36"/>
        <v/>
      </c>
      <c r="B662" s="98"/>
      <c r="C662" s="94"/>
      <c r="D662" s="94"/>
      <c r="E662" s="94"/>
      <c r="F662" s="94"/>
      <c r="G662" s="94"/>
      <c r="H662" s="94"/>
      <c r="I662" s="94"/>
      <c r="J662" s="94"/>
      <c r="K662" s="94"/>
      <c r="L662" s="94"/>
      <c r="M662" s="94"/>
      <c r="N662" s="94"/>
      <c r="O662" s="94"/>
      <c r="P662" s="94"/>
      <c r="Q662" s="94"/>
      <c r="R662" s="94"/>
      <c r="S662" s="94"/>
      <c r="T662" s="94"/>
      <c r="U662" s="94"/>
      <c r="V662" s="94"/>
      <c r="W662" s="94"/>
      <c r="X662" s="94"/>
      <c r="Y662" s="94"/>
      <c r="Z662" s="94"/>
      <c r="AA662" s="94"/>
      <c r="AB662" s="94"/>
      <c r="AC662" s="94"/>
      <c r="AD662" s="94"/>
      <c r="AE662" s="94"/>
      <c r="AF662" s="94"/>
      <c r="AG662" s="94"/>
      <c r="AH662" s="94"/>
      <c r="AI662" s="94"/>
      <c r="AJ662" s="94"/>
      <c r="AK662" s="94"/>
      <c r="AL662" s="94"/>
      <c r="AM662" s="94"/>
      <c r="AN662" s="94"/>
      <c r="AO662" s="94"/>
      <c r="AP662" s="94"/>
      <c r="AQ662" s="94"/>
      <c r="AR662" s="94"/>
      <c r="AS662" s="94"/>
      <c r="AT662" s="94"/>
      <c r="AU662" s="94"/>
      <c r="AV662" s="94"/>
      <c r="AW662" s="94"/>
      <c r="AX662" s="94"/>
      <c r="AY662" s="94"/>
      <c r="AZ662" s="94"/>
      <c r="BA662" s="95"/>
    </row>
    <row r="663" spans="1:53" s="87" customFormat="1">
      <c r="A663" s="90" t="str">
        <f t="shared" si="36"/>
        <v/>
      </c>
      <c r="B663" s="98"/>
      <c r="C663" s="94"/>
      <c r="D663" s="94"/>
      <c r="E663" s="94"/>
      <c r="F663" s="94"/>
      <c r="G663" s="94"/>
      <c r="H663" s="94"/>
      <c r="I663" s="94"/>
      <c r="J663" s="94"/>
      <c r="K663" s="94"/>
      <c r="L663" s="94"/>
      <c r="M663" s="94"/>
      <c r="N663" s="94"/>
      <c r="O663" s="94"/>
      <c r="P663" s="94"/>
      <c r="Q663" s="94"/>
      <c r="R663" s="94"/>
      <c r="S663" s="94"/>
      <c r="T663" s="94"/>
      <c r="U663" s="94"/>
      <c r="V663" s="94"/>
      <c r="W663" s="94"/>
      <c r="X663" s="94"/>
      <c r="Y663" s="94"/>
      <c r="Z663" s="94"/>
      <c r="AA663" s="94"/>
      <c r="AB663" s="94"/>
      <c r="AC663" s="94"/>
      <c r="AD663" s="94"/>
      <c r="AE663" s="94"/>
      <c r="AF663" s="94"/>
      <c r="AG663" s="94"/>
      <c r="AH663" s="94"/>
      <c r="AI663" s="94"/>
      <c r="AJ663" s="94"/>
      <c r="AK663" s="94"/>
      <c r="AL663" s="94"/>
      <c r="AM663" s="94"/>
      <c r="AN663" s="94"/>
      <c r="AO663" s="94"/>
      <c r="AP663" s="94"/>
      <c r="AQ663" s="94"/>
      <c r="AR663" s="94"/>
      <c r="AS663" s="94"/>
      <c r="AT663" s="94"/>
      <c r="AU663" s="94"/>
      <c r="AV663" s="94"/>
      <c r="AW663" s="94"/>
      <c r="AX663" s="94"/>
      <c r="AY663" s="94"/>
      <c r="AZ663" s="94"/>
      <c r="BA663" s="95"/>
    </row>
    <row r="664" spans="1:53" s="87" customFormat="1">
      <c r="A664" s="90" t="str">
        <f t="shared" si="36"/>
        <v/>
      </c>
      <c r="B664" s="98"/>
      <c r="C664" s="94"/>
      <c r="D664" s="94"/>
      <c r="E664" s="94"/>
      <c r="F664" s="94"/>
      <c r="G664" s="94"/>
      <c r="H664" s="94"/>
      <c r="I664" s="94"/>
      <c r="J664" s="94"/>
      <c r="K664" s="94"/>
      <c r="L664" s="94"/>
      <c r="M664" s="94"/>
      <c r="N664" s="94"/>
      <c r="O664" s="94"/>
      <c r="P664" s="94"/>
      <c r="Q664" s="94"/>
      <c r="R664" s="94"/>
      <c r="S664" s="94"/>
      <c r="T664" s="94"/>
      <c r="U664" s="94"/>
      <c r="V664" s="94"/>
      <c r="W664" s="94"/>
      <c r="X664" s="94"/>
      <c r="Y664" s="94"/>
      <c r="Z664" s="94"/>
      <c r="AA664" s="94"/>
      <c r="AB664" s="94"/>
      <c r="AC664" s="94"/>
      <c r="AD664" s="94"/>
      <c r="AE664" s="94"/>
      <c r="AF664" s="94"/>
      <c r="AG664" s="94"/>
      <c r="AH664" s="94"/>
      <c r="AI664" s="94"/>
      <c r="AJ664" s="94"/>
      <c r="AK664" s="94"/>
      <c r="AL664" s="94"/>
      <c r="AM664" s="94"/>
      <c r="AN664" s="94"/>
      <c r="AO664" s="94"/>
      <c r="AP664" s="94"/>
      <c r="AQ664" s="94"/>
      <c r="AR664" s="94"/>
      <c r="AS664" s="94"/>
      <c r="AT664" s="94"/>
      <c r="AU664" s="94"/>
      <c r="AV664" s="94"/>
      <c r="AW664" s="94"/>
      <c r="AX664" s="94"/>
      <c r="AY664" s="94"/>
      <c r="AZ664" s="94"/>
      <c r="BA664" s="95"/>
    </row>
    <row r="665" spans="1:53" s="87" customFormat="1">
      <c r="A665" s="90" t="str">
        <f t="shared" si="36"/>
        <v/>
      </c>
      <c r="B665" s="98"/>
      <c r="C665" s="94"/>
      <c r="D665" s="94"/>
      <c r="E665" s="94"/>
      <c r="F665" s="94"/>
      <c r="G665" s="94"/>
      <c r="H665" s="94"/>
      <c r="I665" s="94"/>
      <c r="J665" s="94"/>
      <c r="K665" s="94"/>
      <c r="L665" s="94"/>
      <c r="M665" s="94"/>
      <c r="N665" s="94"/>
      <c r="O665" s="94"/>
      <c r="P665" s="94"/>
      <c r="Q665" s="94"/>
      <c r="R665" s="94"/>
      <c r="S665" s="94"/>
      <c r="T665" s="94"/>
      <c r="U665" s="94"/>
      <c r="V665" s="94"/>
      <c r="W665" s="94"/>
      <c r="X665" s="94"/>
      <c r="Y665" s="94"/>
      <c r="Z665" s="94"/>
      <c r="AA665" s="94"/>
      <c r="AB665" s="94"/>
      <c r="AC665" s="94"/>
      <c r="AD665" s="94"/>
      <c r="AE665" s="94"/>
      <c r="AF665" s="94"/>
      <c r="AG665" s="94"/>
      <c r="AH665" s="94"/>
      <c r="AI665" s="94"/>
      <c r="AJ665" s="94"/>
      <c r="AK665" s="94"/>
      <c r="AL665" s="94"/>
      <c r="AM665" s="94"/>
      <c r="AN665" s="94"/>
      <c r="AO665" s="94"/>
      <c r="AP665" s="94"/>
      <c r="AQ665" s="94"/>
      <c r="AR665" s="94"/>
      <c r="AS665" s="94"/>
      <c r="AT665" s="94"/>
      <c r="AU665" s="94"/>
      <c r="AV665" s="94"/>
      <c r="AW665" s="94"/>
      <c r="AX665" s="94"/>
      <c r="AY665" s="94"/>
      <c r="AZ665" s="94"/>
      <c r="BA665" s="95"/>
    </row>
    <row r="666" spans="1:53" s="87" customFormat="1">
      <c r="A666" s="90" t="str">
        <f t="shared" si="36"/>
        <v/>
      </c>
      <c r="B666" s="98"/>
      <c r="C666" s="94"/>
      <c r="D666" s="94"/>
      <c r="E666" s="94"/>
      <c r="F666" s="94"/>
      <c r="G666" s="94"/>
      <c r="H666" s="94"/>
      <c r="I666" s="94"/>
      <c r="J666" s="94"/>
      <c r="K666" s="94"/>
      <c r="L666" s="94"/>
      <c r="M666" s="94"/>
      <c r="N666" s="94"/>
      <c r="O666" s="94"/>
      <c r="P666" s="94"/>
      <c r="Q666" s="94"/>
      <c r="R666" s="94"/>
      <c r="S666" s="94"/>
      <c r="T666" s="94"/>
      <c r="U666" s="94"/>
      <c r="V666" s="94"/>
      <c r="W666" s="94"/>
      <c r="X666" s="94"/>
      <c r="Y666" s="94"/>
      <c r="Z666" s="94"/>
      <c r="AA666" s="94"/>
      <c r="AB666" s="94"/>
      <c r="AC666" s="94"/>
      <c r="AD666" s="94"/>
      <c r="AE666" s="94"/>
      <c r="AF666" s="94"/>
      <c r="AG666" s="94"/>
      <c r="AH666" s="94"/>
      <c r="AI666" s="94"/>
      <c r="AJ666" s="94"/>
      <c r="AK666" s="94"/>
      <c r="AL666" s="94"/>
      <c r="AM666" s="94"/>
      <c r="AN666" s="94"/>
      <c r="AO666" s="94"/>
      <c r="AP666" s="94"/>
      <c r="AQ666" s="94"/>
      <c r="AR666" s="94"/>
      <c r="AS666" s="94"/>
      <c r="AT666" s="94"/>
      <c r="AU666" s="94"/>
      <c r="AV666" s="94"/>
      <c r="AW666" s="94"/>
      <c r="AX666" s="94"/>
      <c r="AY666" s="94"/>
      <c r="AZ666" s="94"/>
      <c r="BA666" s="95"/>
    </row>
    <row r="667" spans="1:53" s="87" customFormat="1">
      <c r="A667" s="90" t="str">
        <f t="shared" si="36"/>
        <v/>
      </c>
      <c r="B667" s="98"/>
      <c r="C667" s="94"/>
      <c r="D667" s="94"/>
      <c r="E667" s="94"/>
      <c r="F667" s="94"/>
      <c r="G667" s="94"/>
      <c r="H667" s="94"/>
      <c r="I667" s="94"/>
      <c r="J667" s="94"/>
      <c r="K667" s="94"/>
      <c r="L667" s="94"/>
      <c r="M667" s="94"/>
      <c r="N667" s="94"/>
      <c r="O667" s="94"/>
      <c r="P667" s="94"/>
      <c r="Q667" s="94"/>
      <c r="R667" s="94"/>
      <c r="S667" s="94"/>
      <c r="T667" s="94"/>
      <c r="U667" s="94"/>
      <c r="V667" s="94"/>
      <c r="W667" s="94"/>
      <c r="X667" s="94"/>
      <c r="Y667" s="94"/>
      <c r="Z667" s="94"/>
      <c r="AA667" s="94"/>
      <c r="AB667" s="94"/>
      <c r="AC667" s="94"/>
      <c r="AD667" s="94"/>
      <c r="AE667" s="94"/>
      <c r="AF667" s="94"/>
      <c r="AG667" s="94"/>
      <c r="AH667" s="94"/>
      <c r="AI667" s="94"/>
      <c r="AJ667" s="94"/>
      <c r="AK667" s="94"/>
      <c r="AL667" s="94"/>
      <c r="AM667" s="94"/>
      <c r="AN667" s="94"/>
      <c r="AO667" s="94"/>
      <c r="AP667" s="94"/>
      <c r="AQ667" s="94"/>
      <c r="AR667" s="94"/>
      <c r="AS667" s="94"/>
      <c r="AT667" s="94"/>
      <c r="AU667" s="94"/>
      <c r="AV667" s="94"/>
      <c r="AW667" s="94"/>
      <c r="AX667" s="94"/>
      <c r="AY667" s="94"/>
      <c r="AZ667" s="94"/>
      <c r="BA667" s="95"/>
    </row>
    <row r="668" spans="1:53" s="87" customFormat="1">
      <c r="A668" s="90" t="str">
        <f t="shared" si="36"/>
        <v/>
      </c>
      <c r="B668" s="98"/>
      <c r="C668" s="94"/>
      <c r="D668" s="94"/>
      <c r="E668" s="94"/>
      <c r="F668" s="94"/>
      <c r="G668" s="94"/>
      <c r="H668" s="94"/>
      <c r="I668" s="94"/>
      <c r="J668" s="94"/>
      <c r="K668" s="94"/>
      <c r="L668" s="94"/>
      <c r="M668" s="94"/>
      <c r="N668" s="94"/>
      <c r="O668" s="94"/>
      <c r="P668" s="94"/>
      <c r="Q668" s="94"/>
      <c r="R668" s="94"/>
      <c r="S668" s="94"/>
      <c r="T668" s="94"/>
      <c r="U668" s="94"/>
      <c r="V668" s="94"/>
      <c r="W668" s="94"/>
      <c r="X668" s="94"/>
      <c r="Y668" s="94"/>
      <c r="Z668" s="94"/>
      <c r="AA668" s="94"/>
      <c r="AB668" s="94"/>
      <c r="AC668" s="94"/>
      <c r="AD668" s="94"/>
      <c r="AE668" s="94"/>
      <c r="AF668" s="94"/>
      <c r="AG668" s="94"/>
      <c r="AH668" s="94"/>
      <c r="AI668" s="94"/>
      <c r="AJ668" s="94"/>
      <c r="AK668" s="94"/>
      <c r="AL668" s="94"/>
      <c r="AM668" s="94"/>
      <c r="AN668" s="94"/>
      <c r="AO668" s="94"/>
      <c r="AP668" s="94"/>
      <c r="AQ668" s="94"/>
      <c r="AR668" s="94"/>
      <c r="AS668" s="94"/>
      <c r="AT668" s="94"/>
      <c r="AU668" s="94"/>
      <c r="AV668" s="94"/>
      <c r="AW668" s="94"/>
      <c r="AX668" s="94"/>
      <c r="AY668" s="94"/>
      <c r="AZ668" s="94"/>
      <c r="BA668" s="95"/>
    </row>
    <row r="669" spans="1:53" s="87" customFormat="1">
      <c r="A669" s="90" t="str">
        <f t="shared" si="36"/>
        <v/>
      </c>
      <c r="B669" s="98"/>
      <c r="C669" s="94"/>
      <c r="D669" s="94"/>
      <c r="E669" s="94"/>
      <c r="F669" s="94"/>
      <c r="G669" s="94"/>
      <c r="H669" s="94"/>
      <c r="I669" s="94"/>
      <c r="J669" s="94"/>
      <c r="K669" s="94"/>
      <c r="L669" s="94"/>
      <c r="M669" s="94"/>
      <c r="N669" s="94"/>
      <c r="O669" s="94"/>
      <c r="P669" s="94"/>
      <c r="Q669" s="94"/>
      <c r="R669" s="94"/>
      <c r="S669" s="94"/>
      <c r="T669" s="94"/>
      <c r="U669" s="94"/>
      <c r="V669" s="94"/>
      <c r="W669" s="94"/>
      <c r="X669" s="94"/>
      <c r="Y669" s="94"/>
      <c r="Z669" s="94"/>
      <c r="AA669" s="94"/>
      <c r="AB669" s="94"/>
      <c r="AC669" s="94"/>
      <c r="AD669" s="94"/>
      <c r="AE669" s="94"/>
      <c r="AF669" s="94"/>
      <c r="AG669" s="94"/>
      <c r="AH669" s="94"/>
      <c r="AI669" s="94"/>
      <c r="AJ669" s="94"/>
      <c r="AK669" s="94"/>
      <c r="AL669" s="94"/>
      <c r="AM669" s="94"/>
      <c r="AN669" s="94"/>
      <c r="AO669" s="94"/>
      <c r="AP669" s="94"/>
      <c r="AQ669" s="94"/>
      <c r="AR669" s="94"/>
      <c r="AS669" s="94"/>
      <c r="AT669" s="94"/>
      <c r="AU669" s="94"/>
      <c r="AV669" s="94"/>
      <c r="AW669" s="94"/>
      <c r="AX669" s="94"/>
      <c r="AY669" s="94"/>
      <c r="AZ669" s="94"/>
      <c r="BA669" s="95"/>
    </row>
    <row r="670" spans="1:53" s="87" customFormat="1">
      <c r="A670" s="90" t="str">
        <f t="shared" si="36"/>
        <v/>
      </c>
      <c r="B670" s="98"/>
      <c r="C670" s="94"/>
      <c r="D670" s="94"/>
      <c r="E670" s="94"/>
      <c r="F670" s="94"/>
      <c r="G670" s="94"/>
      <c r="H670" s="94"/>
      <c r="I670" s="94"/>
      <c r="J670" s="94"/>
      <c r="K670" s="94"/>
      <c r="L670" s="94"/>
      <c r="M670" s="94"/>
      <c r="N670" s="94"/>
      <c r="O670" s="94"/>
      <c r="P670" s="94"/>
      <c r="Q670" s="94"/>
      <c r="R670" s="94"/>
      <c r="S670" s="94"/>
      <c r="T670" s="94"/>
      <c r="U670" s="94"/>
      <c r="V670" s="94"/>
      <c r="W670" s="94"/>
      <c r="X670" s="94"/>
      <c r="Y670" s="94"/>
      <c r="Z670" s="94"/>
      <c r="AA670" s="94"/>
      <c r="AB670" s="94"/>
      <c r="AC670" s="94"/>
      <c r="AD670" s="94"/>
      <c r="AE670" s="94"/>
      <c r="AF670" s="94"/>
      <c r="AG670" s="94"/>
      <c r="AH670" s="94"/>
      <c r="AI670" s="94"/>
      <c r="AJ670" s="94"/>
      <c r="AK670" s="94"/>
      <c r="AL670" s="94"/>
      <c r="AM670" s="94"/>
      <c r="AN670" s="94"/>
      <c r="AO670" s="94"/>
      <c r="AP670" s="94"/>
      <c r="AQ670" s="94"/>
      <c r="AR670" s="94"/>
      <c r="AS670" s="94"/>
      <c r="AT670" s="94"/>
      <c r="AU670" s="94"/>
      <c r="AV670" s="94"/>
      <c r="AW670" s="94"/>
      <c r="AX670" s="94"/>
      <c r="AY670" s="94"/>
      <c r="AZ670" s="94"/>
      <c r="BA670" s="95"/>
    </row>
    <row r="671" spans="1:53" s="87" customFormat="1">
      <c r="A671" s="90" t="str">
        <f t="shared" si="36"/>
        <v/>
      </c>
      <c r="B671" s="98"/>
      <c r="C671" s="94"/>
      <c r="D671" s="94"/>
      <c r="E671" s="94"/>
      <c r="F671" s="94"/>
      <c r="G671" s="94"/>
      <c r="H671" s="94"/>
      <c r="I671" s="94"/>
      <c r="J671" s="94"/>
      <c r="K671" s="94"/>
      <c r="L671" s="94"/>
      <c r="M671" s="94"/>
      <c r="N671" s="94"/>
      <c r="O671" s="94"/>
      <c r="P671" s="94"/>
      <c r="Q671" s="94"/>
      <c r="R671" s="94"/>
      <c r="S671" s="94"/>
      <c r="T671" s="94"/>
      <c r="U671" s="94"/>
      <c r="V671" s="94"/>
      <c r="W671" s="94"/>
      <c r="X671" s="94"/>
      <c r="Y671" s="94"/>
      <c r="Z671" s="94"/>
      <c r="AA671" s="94"/>
      <c r="AB671" s="94"/>
      <c r="AC671" s="94"/>
      <c r="AD671" s="94"/>
      <c r="AE671" s="94"/>
      <c r="AF671" s="94"/>
      <c r="AG671" s="94"/>
      <c r="AH671" s="94"/>
      <c r="AI671" s="94"/>
      <c r="AJ671" s="94"/>
      <c r="AK671" s="94"/>
      <c r="AL671" s="94"/>
      <c r="AM671" s="94"/>
      <c r="AN671" s="94"/>
      <c r="AO671" s="94"/>
      <c r="AP671" s="94"/>
      <c r="AQ671" s="94"/>
      <c r="AR671" s="94"/>
      <c r="AS671" s="94"/>
      <c r="AT671" s="94"/>
      <c r="AU671" s="94"/>
      <c r="AV671" s="94"/>
      <c r="AW671" s="94"/>
      <c r="AX671" s="94"/>
      <c r="AY671" s="94"/>
      <c r="AZ671" s="94"/>
      <c r="BA671" s="95"/>
    </row>
    <row r="672" spans="1:53" s="87" customFormat="1">
      <c r="A672" s="90" t="str">
        <f t="shared" si="36"/>
        <v/>
      </c>
      <c r="B672" s="98"/>
      <c r="C672" s="94"/>
      <c r="D672" s="94"/>
      <c r="E672" s="94"/>
      <c r="F672" s="94"/>
      <c r="G672" s="94"/>
      <c r="H672" s="94"/>
      <c r="I672" s="94"/>
      <c r="J672" s="94"/>
      <c r="K672" s="94"/>
      <c r="L672" s="94"/>
      <c r="M672" s="94"/>
      <c r="N672" s="94"/>
      <c r="O672" s="94"/>
      <c r="P672" s="94"/>
      <c r="Q672" s="94"/>
      <c r="R672" s="94"/>
      <c r="S672" s="94"/>
      <c r="T672" s="94"/>
      <c r="U672" s="94"/>
      <c r="V672" s="94"/>
      <c r="W672" s="94"/>
      <c r="X672" s="94"/>
      <c r="Y672" s="94"/>
      <c r="Z672" s="94"/>
      <c r="AA672" s="94"/>
      <c r="AB672" s="94"/>
      <c r="AC672" s="94"/>
      <c r="AD672" s="94"/>
      <c r="AE672" s="94"/>
      <c r="AF672" s="94"/>
      <c r="AG672" s="94"/>
      <c r="AH672" s="94"/>
      <c r="AI672" s="94"/>
      <c r="AJ672" s="94"/>
      <c r="AK672" s="94"/>
      <c r="AL672" s="94"/>
      <c r="AM672" s="94"/>
      <c r="AN672" s="94"/>
      <c r="AO672" s="94"/>
      <c r="AP672" s="94"/>
      <c r="AQ672" s="94"/>
      <c r="AR672" s="94"/>
      <c r="AS672" s="94"/>
      <c r="AT672" s="94"/>
      <c r="AU672" s="94"/>
      <c r="AV672" s="94"/>
      <c r="AW672" s="94"/>
      <c r="AX672" s="94"/>
      <c r="AY672" s="94"/>
      <c r="AZ672" s="94"/>
      <c r="BA672" s="95"/>
    </row>
    <row r="673" spans="1:53" s="87" customFormat="1">
      <c r="A673" s="90" t="str">
        <f t="shared" si="36"/>
        <v/>
      </c>
      <c r="B673" s="98"/>
      <c r="C673" s="94"/>
      <c r="D673" s="94"/>
      <c r="E673" s="94"/>
      <c r="F673" s="94"/>
      <c r="G673" s="94"/>
      <c r="H673" s="94"/>
      <c r="I673" s="94"/>
      <c r="J673" s="94"/>
      <c r="K673" s="94"/>
      <c r="L673" s="94"/>
      <c r="M673" s="94"/>
      <c r="N673" s="94"/>
      <c r="O673" s="94"/>
      <c r="P673" s="94"/>
      <c r="Q673" s="94"/>
      <c r="R673" s="94"/>
      <c r="S673" s="94"/>
      <c r="T673" s="94"/>
      <c r="U673" s="94"/>
      <c r="V673" s="94"/>
      <c r="W673" s="94"/>
      <c r="X673" s="94"/>
      <c r="Y673" s="94"/>
      <c r="Z673" s="94"/>
      <c r="AA673" s="94"/>
      <c r="AB673" s="94"/>
      <c r="AC673" s="94"/>
      <c r="AD673" s="94"/>
      <c r="AE673" s="94"/>
      <c r="AF673" s="94"/>
      <c r="AG673" s="94"/>
      <c r="AH673" s="94"/>
      <c r="AI673" s="94"/>
      <c r="AJ673" s="94"/>
      <c r="AK673" s="94"/>
      <c r="AL673" s="94"/>
      <c r="AM673" s="94"/>
      <c r="AN673" s="94"/>
      <c r="AO673" s="94"/>
      <c r="AP673" s="94"/>
      <c r="AQ673" s="94"/>
      <c r="AR673" s="94"/>
      <c r="AS673" s="94"/>
      <c r="AT673" s="94"/>
      <c r="AU673" s="94"/>
      <c r="AV673" s="94"/>
      <c r="AW673" s="94"/>
      <c r="AX673" s="94"/>
      <c r="AY673" s="94"/>
      <c r="AZ673" s="94"/>
      <c r="BA673" s="95"/>
    </row>
    <row r="674" spans="1:53" s="87" customFormat="1">
      <c r="A674" s="90" t="str">
        <f t="shared" si="36"/>
        <v/>
      </c>
      <c r="B674" s="98"/>
      <c r="C674" s="94"/>
      <c r="D674" s="94"/>
      <c r="E674" s="94"/>
      <c r="F674" s="94"/>
      <c r="G674" s="94"/>
      <c r="H674" s="94"/>
      <c r="I674" s="94"/>
      <c r="J674" s="94"/>
      <c r="K674" s="94"/>
      <c r="L674" s="94"/>
      <c r="M674" s="94"/>
      <c r="N674" s="94"/>
      <c r="O674" s="94"/>
      <c r="P674" s="94"/>
      <c r="Q674" s="94"/>
      <c r="R674" s="94"/>
      <c r="S674" s="94"/>
      <c r="T674" s="94"/>
      <c r="U674" s="94"/>
      <c r="V674" s="94"/>
      <c r="W674" s="94"/>
      <c r="X674" s="94"/>
      <c r="Y674" s="94"/>
      <c r="Z674" s="94"/>
      <c r="AA674" s="94"/>
      <c r="AB674" s="94"/>
      <c r="AC674" s="94"/>
      <c r="AD674" s="94"/>
      <c r="AE674" s="94"/>
      <c r="AF674" s="94"/>
      <c r="AG674" s="94"/>
      <c r="AH674" s="94"/>
      <c r="AI674" s="94"/>
      <c r="AJ674" s="94"/>
      <c r="AK674" s="94"/>
      <c r="AL674" s="94"/>
      <c r="AM674" s="94"/>
      <c r="AN674" s="94"/>
      <c r="AO674" s="94"/>
      <c r="AP674" s="94"/>
      <c r="AQ674" s="94"/>
      <c r="AR674" s="94"/>
      <c r="AS674" s="94"/>
      <c r="AT674" s="94"/>
      <c r="AU674" s="94"/>
      <c r="AV674" s="94"/>
      <c r="AW674" s="94"/>
      <c r="AX674" s="94"/>
      <c r="AY674" s="94"/>
      <c r="AZ674" s="94"/>
      <c r="BA674" s="95"/>
    </row>
    <row r="675" spans="1:53" s="87" customFormat="1">
      <c r="A675" s="90" t="str">
        <f t="shared" si="36"/>
        <v/>
      </c>
      <c r="B675" s="98"/>
      <c r="C675" s="94"/>
      <c r="D675" s="94"/>
      <c r="E675" s="94"/>
      <c r="F675" s="94"/>
      <c r="G675" s="94"/>
      <c r="H675" s="94"/>
      <c r="I675" s="94"/>
      <c r="J675" s="94"/>
      <c r="K675" s="94"/>
      <c r="L675" s="94"/>
      <c r="M675" s="94"/>
      <c r="N675" s="94"/>
      <c r="O675" s="94"/>
      <c r="P675" s="94"/>
      <c r="Q675" s="94"/>
      <c r="R675" s="94"/>
      <c r="S675" s="94"/>
      <c r="T675" s="94"/>
      <c r="U675" s="94"/>
      <c r="V675" s="94"/>
      <c r="W675" s="94"/>
      <c r="X675" s="94"/>
      <c r="Y675" s="94"/>
      <c r="Z675" s="94"/>
      <c r="AA675" s="94"/>
      <c r="AB675" s="94"/>
      <c r="AC675" s="94"/>
      <c r="AD675" s="94"/>
      <c r="AE675" s="94"/>
      <c r="AF675" s="94"/>
      <c r="AG675" s="94"/>
      <c r="AH675" s="94"/>
      <c r="AI675" s="94"/>
      <c r="AJ675" s="94"/>
      <c r="AK675" s="94"/>
      <c r="AL675" s="94"/>
      <c r="AM675" s="94"/>
      <c r="AN675" s="94"/>
      <c r="AO675" s="94"/>
      <c r="AP675" s="94"/>
      <c r="AQ675" s="94"/>
      <c r="AR675" s="94"/>
      <c r="AS675" s="94"/>
      <c r="AT675" s="94"/>
      <c r="AU675" s="94"/>
      <c r="AV675" s="94"/>
      <c r="AW675" s="94"/>
      <c r="AX675" s="94"/>
      <c r="AY675" s="94"/>
      <c r="AZ675" s="94"/>
      <c r="BA675" s="95"/>
    </row>
    <row r="676" spans="1:53" s="87" customFormat="1">
      <c r="A676" s="90" t="str">
        <f t="shared" si="36"/>
        <v/>
      </c>
      <c r="B676" s="98"/>
      <c r="C676" s="94"/>
      <c r="D676" s="94"/>
      <c r="E676" s="94"/>
      <c r="F676" s="94"/>
      <c r="G676" s="94"/>
      <c r="H676" s="94"/>
      <c r="I676" s="94"/>
      <c r="J676" s="94"/>
      <c r="K676" s="94"/>
      <c r="L676" s="94"/>
      <c r="M676" s="94"/>
      <c r="N676" s="94"/>
      <c r="O676" s="94"/>
      <c r="P676" s="94"/>
      <c r="Q676" s="94"/>
      <c r="R676" s="94"/>
      <c r="S676" s="94"/>
      <c r="T676" s="94"/>
      <c r="U676" s="94"/>
      <c r="V676" s="94"/>
      <c r="W676" s="94"/>
      <c r="X676" s="94"/>
      <c r="Y676" s="94"/>
      <c r="Z676" s="94"/>
      <c r="AA676" s="94"/>
      <c r="AB676" s="94"/>
      <c r="AC676" s="94"/>
      <c r="AD676" s="94"/>
      <c r="AE676" s="94"/>
      <c r="AF676" s="94"/>
      <c r="AG676" s="94"/>
      <c r="AH676" s="94"/>
      <c r="AI676" s="94"/>
      <c r="AJ676" s="94"/>
      <c r="AK676" s="94"/>
      <c r="AL676" s="94"/>
      <c r="AM676" s="94"/>
      <c r="AN676" s="94"/>
      <c r="AO676" s="94"/>
      <c r="AP676" s="94"/>
      <c r="AQ676" s="94"/>
      <c r="AR676" s="94"/>
      <c r="AS676" s="94"/>
      <c r="AT676" s="94"/>
      <c r="AU676" s="94"/>
      <c r="AV676" s="94"/>
      <c r="AW676" s="94"/>
      <c r="AX676" s="94"/>
      <c r="AY676" s="94"/>
      <c r="AZ676" s="94"/>
      <c r="BA676" s="95"/>
    </row>
    <row r="677" spans="1:53" s="87" customFormat="1">
      <c r="A677" s="90" t="str">
        <f t="shared" si="36"/>
        <v/>
      </c>
      <c r="B677" s="98"/>
      <c r="C677" s="94"/>
      <c r="D677" s="94"/>
      <c r="E677" s="94"/>
      <c r="F677" s="94"/>
      <c r="G677" s="94"/>
      <c r="H677" s="94"/>
      <c r="I677" s="94"/>
      <c r="J677" s="94"/>
      <c r="K677" s="94"/>
      <c r="L677" s="94"/>
      <c r="M677" s="94"/>
      <c r="N677" s="94"/>
      <c r="O677" s="94"/>
      <c r="P677" s="94"/>
      <c r="Q677" s="94"/>
      <c r="R677" s="94"/>
      <c r="S677" s="94"/>
      <c r="T677" s="94"/>
      <c r="U677" s="94"/>
      <c r="V677" s="94"/>
      <c r="W677" s="94"/>
      <c r="X677" s="94"/>
      <c r="Y677" s="94"/>
      <c r="Z677" s="94"/>
      <c r="AA677" s="94"/>
      <c r="AB677" s="94"/>
      <c r="AC677" s="94"/>
      <c r="AD677" s="94"/>
      <c r="AE677" s="94"/>
      <c r="AF677" s="94"/>
      <c r="AG677" s="94"/>
      <c r="AH677" s="94"/>
      <c r="AI677" s="94"/>
      <c r="AJ677" s="94"/>
      <c r="AK677" s="94"/>
      <c r="AL677" s="94"/>
      <c r="AM677" s="94"/>
      <c r="AN677" s="94"/>
      <c r="AO677" s="94"/>
      <c r="AP677" s="94"/>
      <c r="AQ677" s="94"/>
      <c r="AR677" s="94"/>
      <c r="AS677" s="94"/>
      <c r="AT677" s="94"/>
      <c r="AU677" s="94"/>
      <c r="AV677" s="94"/>
      <c r="AW677" s="94"/>
      <c r="AX677" s="94"/>
      <c r="AY677" s="94"/>
      <c r="AZ677" s="94"/>
      <c r="BA677" s="95"/>
    </row>
    <row r="678" spans="1:53" s="87" customFormat="1">
      <c r="A678" s="90" t="str">
        <f t="shared" si="36"/>
        <v/>
      </c>
      <c r="B678" s="98"/>
      <c r="C678" s="94"/>
      <c r="D678" s="94"/>
      <c r="E678" s="94"/>
      <c r="F678" s="94"/>
      <c r="G678" s="94"/>
      <c r="H678" s="94"/>
      <c r="I678" s="94"/>
      <c r="J678" s="94"/>
      <c r="K678" s="94"/>
      <c r="L678" s="94"/>
      <c r="M678" s="94"/>
      <c r="N678" s="94"/>
      <c r="O678" s="94"/>
      <c r="P678" s="94"/>
      <c r="Q678" s="94"/>
      <c r="R678" s="94"/>
      <c r="S678" s="94"/>
      <c r="T678" s="94"/>
      <c r="U678" s="94"/>
      <c r="V678" s="94"/>
      <c r="W678" s="94"/>
      <c r="X678" s="94"/>
      <c r="Y678" s="94"/>
      <c r="Z678" s="94"/>
      <c r="AA678" s="94"/>
      <c r="AB678" s="94"/>
      <c r="AC678" s="94"/>
      <c r="AD678" s="94"/>
      <c r="AE678" s="94"/>
      <c r="AF678" s="94"/>
      <c r="AG678" s="94"/>
      <c r="AH678" s="94"/>
      <c r="AI678" s="94"/>
      <c r="AJ678" s="94"/>
      <c r="AK678" s="94"/>
      <c r="AL678" s="94"/>
      <c r="AM678" s="94"/>
      <c r="AN678" s="94"/>
      <c r="AO678" s="94"/>
      <c r="AP678" s="94"/>
      <c r="AQ678" s="94"/>
      <c r="AR678" s="94"/>
      <c r="AS678" s="94"/>
      <c r="AT678" s="94"/>
      <c r="AU678" s="94"/>
      <c r="AV678" s="94"/>
      <c r="AW678" s="94"/>
      <c r="AX678" s="94"/>
      <c r="AY678" s="94"/>
      <c r="AZ678" s="94"/>
      <c r="BA678" s="95"/>
    </row>
    <row r="679" spans="1:53" s="87" customFormat="1">
      <c r="A679" s="90" t="str">
        <f t="shared" si="36"/>
        <v/>
      </c>
      <c r="B679" s="98"/>
      <c r="C679" s="94"/>
      <c r="D679" s="94"/>
      <c r="E679" s="94"/>
      <c r="F679" s="94"/>
      <c r="G679" s="94"/>
      <c r="H679" s="94"/>
      <c r="I679" s="94"/>
      <c r="J679" s="94"/>
      <c r="K679" s="94"/>
      <c r="L679" s="94"/>
      <c r="M679" s="94"/>
      <c r="N679" s="94"/>
      <c r="O679" s="94"/>
      <c r="P679" s="94"/>
      <c r="Q679" s="94"/>
      <c r="R679" s="94"/>
      <c r="S679" s="94"/>
      <c r="T679" s="94"/>
      <c r="U679" s="94"/>
      <c r="V679" s="94"/>
      <c r="W679" s="94"/>
      <c r="X679" s="94"/>
      <c r="Y679" s="94"/>
      <c r="Z679" s="94"/>
      <c r="AA679" s="94"/>
      <c r="AB679" s="94"/>
      <c r="AC679" s="94"/>
      <c r="AD679" s="94"/>
      <c r="AE679" s="94"/>
      <c r="AF679" s="94"/>
      <c r="AG679" s="94"/>
      <c r="AH679" s="94"/>
      <c r="AI679" s="94"/>
      <c r="AJ679" s="94"/>
      <c r="AK679" s="94"/>
      <c r="AL679" s="94"/>
      <c r="AM679" s="94"/>
      <c r="AN679" s="94"/>
      <c r="AO679" s="94"/>
      <c r="AP679" s="94"/>
      <c r="AQ679" s="94"/>
      <c r="AR679" s="94"/>
      <c r="AS679" s="94"/>
      <c r="AT679" s="94"/>
      <c r="AU679" s="94"/>
      <c r="AV679" s="94"/>
      <c r="AW679" s="94"/>
      <c r="AX679" s="94"/>
      <c r="AY679" s="94"/>
      <c r="AZ679" s="94"/>
      <c r="BA679" s="95"/>
    </row>
    <row r="680" spans="1:53" s="87" customFormat="1">
      <c r="A680" s="90" t="str">
        <f t="shared" si="36"/>
        <v/>
      </c>
      <c r="B680" s="98"/>
      <c r="C680" s="94"/>
      <c r="D680" s="94"/>
      <c r="E680" s="94"/>
      <c r="F680" s="94"/>
      <c r="G680" s="94"/>
      <c r="H680" s="94"/>
      <c r="I680" s="94"/>
      <c r="J680" s="94"/>
      <c r="K680" s="94"/>
      <c r="L680" s="94"/>
      <c r="M680" s="94"/>
      <c r="N680" s="94"/>
      <c r="O680" s="94"/>
      <c r="P680" s="94"/>
      <c r="Q680" s="94"/>
      <c r="R680" s="94"/>
      <c r="S680" s="94"/>
      <c r="T680" s="94"/>
      <c r="U680" s="94"/>
      <c r="V680" s="94"/>
      <c r="W680" s="94"/>
      <c r="X680" s="94"/>
      <c r="Y680" s="94"/>
      <c r="Z680" s="94"/>
      <c r="AA680" s="94"/>
      <c r="AB680" s="94"/>
      <c r="AC680" s="94"/>
      <c r="AD680" s="94"/>
      <c r="AE680" s="94"/>
      <c r="AF680" s="94"/>
      <c r="AG680" s="94"/>
      <c r="AH680" s="94"/>
      <c r="AI680" s="94"/>
      <c r="AJ680" s="94"/>
      <c r="AK680" s="94"/>
      <c r="AL680" s="94"/>
      <c r="AM680" s="94"/>
      <c r="AN680" s="94"/>
      <c r="AO680" s="94"/>
      <c r="AP680" s="94"/>
      <c r="AQ680" s="94"/>
      <c r="AR680" s="94"/>
      <c r="AS680" s="94"/>
      <c r="AT680" s="94"/>
      <c r="AU680" s="94"/>
      <c r="AV680" s="94"/>
      <c r="AW680" s="94"/>
      <c r="AX680" s="94"/>
      <c r="AY680" s="94"/>
      <c r="AZ680" s="94"/>
      <c r="BA680" s="95"/>
    </row>
    <row r="681" spans="1:53" s="87" customFormat="1">
      <c r="A681" s="90" t="str">
        <f t="shared" si="36"/>
        <v/>
      </c>
      <c r="B681" s="98"/>
      <c r="C681" s="94"/>
      <c r="D681" s="94"/>
      <c r="E681" s="94"/>
      <c r="F681" s="94"/>
      <c r="G681" s="94"/>
      <c r="H681" s="94"/>
      <c r="I681" s="94"/>
      <c r="J681" s="94"/>
      <c r="K681" s="94"/>
      <c r="L681" s="94"/>
      <c r="M681" s="94"/>
      <c r="N681" s="94"/>
      <c r="O681" s="94"/>
      <c r="P681" s="94"/>
      <c r="Q681" s="94"/>
      <c r="R681" s="94"/>
      <c r="S681" s="94"/>
      <c r="T681" s="94"/>
      <c r="U681" s="94"/>
      <c r="V681" s="94"/>
      <c r="W681" s="94"/>
      <c r="X681" s="94"/>
      <c r="Y681" s="94"/>
      <c r="Z681" s="94"/>
      <c r="AA681" s="94"/>
      <c r="AB681" s="94"/>
      <c r="AC681" s="94"/>
      <c r="AD681" s="94"/>
      <c r="AE681" s="94"/>
      <c r="AF681" s="94"/>
      <c r="AG681" s="94"/>
      <c r="AH681" s="94"/>
      <c r="AI681" s="94"/>
      <c r="AJ681" s="94"/>
      <c r="AK681" s="94"/>
      <c r="AL681" s="94"/>
      <c r="AM681" s="94"/>
      <c r="AN681" s="94"/>
      <c r="AO681" s="94"/>
      <c r="AP681" s="94"/>
      <c r="AQ681" s="94"/>
      <c r="AR681" s="94"/>
      <c r="AS681" s="94"/>
      <c r="AT681" s="94"/>
      <c r="AU681" s="94"/>
      <c r="AV681" s="94"/>
      <c r="AW681" s="94"/>
      <c r="AX681" s="94"/>
      <c r="AY681" s="94"/>
      <c r="AZ681" s="94"/>
      <c r="BA681" s="95"/>
    </row>
    <row r="682" spans="1:53" s="87" customFormat="1">
      <c r="A682" s="90" t="str">
        <f t="shared" si="36"/>
        <v/>
      </c>
      <c r="B682" s="98"/>
      <c r="C682" s="94"/>
      <c r="D682" s="94"/>
      <c r="E682" s="94"/>
      <c r="F682" s="94"/>
      <c r="G682" s="94"/>
      <c r="H682" s="94"/>
      <c r="I682" s="94"/>
      <c r="J682" s="94"/>
      <c r="K682" s="94"/>
      <c r="L682" s="94"/>
      <c r="M682" s="94"/>
      <c r="N682" s="94"/>
      <c r="O682" s="94"/>
      <c r="P682" s="94"/>
      <c r="Q682" s="94"/>
      <c r="R682" s="94"/>
      <c r="S682" s="94"/>
      <c r="T682" s="94"/>
      <c r="U682" s="94"/>
      <c r="V682" s="94"/>
      <c r="W682" s="94"/>
      <c r="X682" s="94"/>
      <c r="Y682" s="94"/>
      <c r="Z682" s="94"/>
      <c r="AA682" s="94"/>
      <c r="AB682" s="94"/>
      <c r="AC682" s="94"/>
      <c r="AD682" s="94"/>
      <c r="AE682" s="94"/>
      <c r="AF682" s="94"/>
      <c r="AG682" s="94"/>
      <c r="AH682" s="94"/>
      <c r="AI682" s="94"/>
      <c r="AJ682" s="94"/>
      <c r="AK682" s="94"/>
      <c r="AL682" s="94"/>
      <c r="AM682" s="94"/>
      <c r="AN682" s="94"/>
      <c r="AO682" s="94"/>
      <c r="AP682" s="94"/>
      <c r="AQ682" s="94"/>
      <c r="AR682" s="94"/>
      <c r="AS682" s="94"/>
      <c r="AT682" s="94"/>
      <c r="AU682" s="94"/>
      <c r="AV682" s="94"/>
      <c r="AW682" s="94"/>
      <c r="AX682" s="94"/>
      <c r="AY682" s="94"/>
      <c r="AZ682" s="94"/>
      <c r="BA682" s="95"/>
    </row>
    <row r="683" spans="1:53" s="87" customFormat="1">
      <c r="A683" s="90" t="str">
        <f t="shared" si="36"/>
        <v/>
      </c>
      <c r="B683" s="98"/>
      <c r="C683" s="94"/>
      <c r="D683" s="94"/>
      <c r="E683" s="94"/>
      <c r="F683" s="94"/>
      <c r="G683" s="94"/>
      <c r="H683" s="94"/>
      <c r="I683" s="94"/>
      <c r="J683" s="94"/>
      <c r="K683" s="94"/>
      <c r="L683" s="94"/>
      <c r="M683" s="94"/>
      <c r="N683" s="94"/>
      <c r="O683" s="94"/>
      <c r="P683" s="94"/>
      <c r="Q683" s="94"/>
      <c r="R683" s="94"/>
      <c r="S683" s="94"/>
      <c r="T683" s="94"/>
      <c r="U683" s="94"/>
      <c r="V683" s="94"/>
      <c r="W683" s="94"/>
      <c r="X683" s="94"/>
      <c r="Y683" s="94"/>
      <c r="Z683" s="94"/>
      <c r="AA683" s="94"/>
      <c r="AB683" s="94"/>
      <c r="AC683" s="94"/>
      <c r="AD683" s="94"/>
      <c r="AE683" s="94"/>
      <c r="AF683" s="94"/>
      <c r="AG683" s="94"/>
      <c r="AH683" s="94"/>
      <c r="AI683" s="94"/>
      <c r="AJ683" s="94"/>
      <c r="AK683" s="94"/>
      <c r="AL683" s="94"/>
      <c r="AM683" s="94"/>
      <c r="AN683" s="94"/>
      <c r="AO683" s="94"/>
      <c r="AP683" s="94"/>
      <c r="AQ683" s="94"/>
      <c r="AR683" s="94"/>
      <c r="AS683" s="94"/>
      <c r="AT683" s="94"/>
      <c r="AU683" s="94"/>
      <c r="AV683" s="94"/>
      <c r="AW683" s="94"/>
      <c r="AX683" s="94"/>
      <c r="AY683" s="94"/>
      <c r="AZ683" s="94"/>
      <c r="BA683" s="95"/>
    </row>
    <row r="684" spans="1:53" s="87" customFormat="1">
      <c r="A684" s="90" t="str">
        <f t="shared" si="36"/>
        <v/>
      </c>
      <c r="B684" s="98"/>
      <c r="C684" s="94"/>
      <c r="D684" s="94"/>
      <c r="E684" s="94"/>
      <c r="F684" s="94"/>
      <c r="G684" s="94"/>
      <c r="H684" s="94"/>
      <c r="I684" s="94"/>
      <c r="J684" s="94"/>
      <c r="K684" s="94"/>
      <c r="L684" s="94"/>
      <c r="M684" s="94"/>
      <c r="N684" s="94"/>
      <c r="O684" s="94"/>
      <c r="P684" s="94"/>
      <c r="Q684" s="94"/>
      <c r="R684" s="94"/>
      <c r="S684" s="94"/>
      <c r="T684" s="94"/>
      <c r="U684" s="94"/>
      <c r="V684" s="94"/>
      <c r="W684" s="94"/>
      <c r="X684" s="94"/>
      <c r="Y684" s="94"/>
      <c r="Z684" s="94"/>
      <c r="AA684" s="94"/>
      <c r="AB684" s="94"/>
      <c r="AC684" s="94"/>
      <c r="AD684" s="94"/>
      <c r="AE684" s="94"/>
      <c r="AF684" s="94"/>
      <c r="AG684" s="94"/>
      <c r="AH684" s="94"/>
      <c r="AI684" s="94"/>
      <c r="AJ684" s="94"/>
      <c r="AK684" s="94"/>
      <c r="AL684" s="94"/>
      <c r="AM684" s="94"/>
      <c r="AN684" s="94"/>
      <c r="AO684" s="94"/>
      <c r="AP684" s="94"/>
      <c r="AQ684" s="94"/>
      <c r="AR684" s="94"/>
      <c r="AS684" s="94"/>
      <c r="AT684" s="94"/>
      <c r="AU684" s="94"/>
      <c r="AV684" s="94"/>
      <c r="AW684" s="94"/>
      <c r="AX684" s="94"/>
      <c r="AY684" s="94"/>
      <c r="AZ684" s="94"/>
      <c r="BA684" s="95"/>
    </row>
    <row r="685" spans="1:53" s="87" customFormat="1">
      <c r="A685" s="90" t="str">
        <f t="shared" si="36"/>
        <v/>
      </c>
      <c r="B685" s="98"/>
      <c r="C685" s="94"/>
      <c r="D685" s="94"/>
      <c r="E685" s="94"/>
      <c r="F685" s="94"/>
      <c r="G685" s="94"/>
      <c r="H685" s="94"/>
      <c r="I685" s="94"/>
      <c r="J685" s="94"/>
      <c r="K685" s="94"/>
      <c r="L685" s="94"/>
      <c r="M685" s="94"/>
      <c r="N685" s="94"/>
      <c r="O685" s="94"/>
      <c r="P685" s="94"/>
      <c r="Q685" s="94"/>
      <c r="R685" s="94"/>
      <c r="S685" s="94"/>
      <c r="T685" s="94"/>
      <c r="U685" s="94"/>
      <c r="V685" s="94"/>
      <c r="W685" s="94"/>
      <c r="X685" s="94"/>
      <c r="Y685" s="94"/>
      <c r="Z685" s="94"/>
      <c r="AA685" s="94"/>
      <c r="AB685" s="94"/>
      <c r="AC685" s="94"/>
      <c r="AD685" s="94"/>
      <c r="AE685" s="94"/>
      <c r="AF685" s="94"/>
      <c r="AG685" s="94"/>
      <c r="AH685" s="94"/>
      <c r="AI685" s="94"/>
      <c r="AJ685" s="94"/>
      <c r="AK685" s="94"/>
      <c r="AL685" s="94"/>
      <c r="AM685" s="94"/>
      <c r="AN685" s="94"/>
      <c r="AO685" s="94"/>
      <c r="AP685" s="94"/>
      <c r="AQ685" s="94"/>
      <c r="AR685" s="94"/>
      <c r="AS685" s="94"/>
      <c r="AT685" s="94"/>
      <c r="AU685" s="94"/>
      <c r="AV685" s="94"/>
      <c r="AW685" s="94"/>
      <c r="AX685" s="94"/>
      <c r="AY685" s="94"/>
      <c r="AZ685" s="94"/>
      <c r="BA685" s="95"/>
    </row>
    <row r="686" spans="1:53" s="87" customFormat="1">
      <c r="A686" s="90" t="str">
        <f t="shared" si="36"/>
        <v/>
      </c>
      <c r="B686" s="98"/>
      <c r="C686" s="94"/>
      <c r="D686" s="94"/>
      <c r="E686" s="94"/>
      <c r="F686" s="94"/>
      <c r="G686" s="94"/>
      <c r="H686" s="94"/>
      <c r="I686" s="94"/>
      <c r="J686" s="94"/>
      <c r="K686" s="94"/>
      <c r="L686" s="94"/>
      <c r="M686" s="94"/>
      <c r="N686" s="94"/>
      <c r="O686" s="94"/>
      <c r="P686" s="94"/>
      <c r="Q686" s="94"/>
      <c r="R686" s="94"/>
      <c r="S686" s="94"/>
      <c r="T686" s="94"/>
      <c r="U686" s="94"/>
      <c r="V686" s="94"/>
      <c r="W686" s="94"/>
      <c r="X686" s="94"/>
      <c r="Y686" s="94"/>
      <c r="Z686" s="94"/>
      <c r="AA686" s="94"/>
      <c r="AB686" s="94"/>
      <c r="AC686" s="94"/>
      <c r="AD686" s="94"/>
      <c r="AE686" s="94"/>
      <c r="AF686" s="94"/>
      <c r="AG686" s="94"/>
      <c r="AH686" s="94"/>
      <c r="AI686" s="94"/>
      <c r="AJ686" s="94"/>
      <c r="AK686" s="94"/>
      <c r="AL686" s="94"/>
      <c r="AM686" s="94"/>
      <c r="AN686" s="94"/>
      <c r="AO686" s="94"/>
      <c r="AP686" s="94"/>
      <c r="AQ686" s="94"/>
      <c r="AR686" s="94"/>
      <c r="AS686" s="94"/>
      <c r="AT686" s="94"/>
      <c r="AU686" s="94"/>
      <c r="AV686" s="94"/>
      <c r="AW686" s="94"/>
      <c r="AX686" s="94"/>
      <c r="AY686" s="94"/>
      <c r="AZ686" s="94"/>
      <c r="BA686" s="95"/>
    </row>
    <row r="687" spans="1:53" s="87" customFormat="1">
      <c r="A687" s="90" t="str">
        <f t="shared" si="36"/>
        <v/>
      </c>
      <c r="B687" s="98"/>
      <c r="C687" s="94"/>
      <c r="D687" s="94"/>
      <c r="E687" s="94"/>
      <c r="F687" s="94"/>
      <c r="G687" s="94"/>
      <c r="H687" s="94"/>
      <c r="I687" s="94"/>
      <c r="J687" s="94"/>
      <c r="K687" s="94"/>
      <c r="L687" s="94"/>
      <c r="M687" s="94"/>
      <c r="N687" s="94"/>
      <c r="O687" s="94"/>
      <c r="P687" s="94"/>
      <c r="Q687" s="94"/>
      <c r="R687" s="94"/>
      <c r="S687" s="94"/>
      <c r="T687" s="94"/>
      <c r="U687" s="94"/>
      <c r="V687" s="94"/>
      <c r="W687" s="94"/>
      <c r="X687" s="94"/>
      <c r="Y687" s="94"/>
      <c r="Z687" s="94"/>
      <c r="AA687" s="94"/>
      <c r="AB687" s="94"/>
      <c r="AC687" s="94"/>
      <c r="AD687" s="94"/>
      <c r="AE687" s="94"/>
      <c r="AF687" s="94"/>
      <c r="AG687" s="94"/>
      <c r="AH687" s="94"/>
      <c r="AI687" s="94"/>
      <c r="AJ687" s="94"/>
      <c r="AK687" s="94"/>
      <c r="AL687" s="94"/>
      <c r="AM687" s="94"/>
      <c r="AN687" s="94"/>
      <c r="AO687" s="94"/>
      <c r="AP687" s="94"/>
      <c r="AQ687" s="94"/>
      <c r="AR687" s="94"/>
      <c r="AS687" s="94"/>
      <c r="AT687" s="94"/>
      <c r="AU687" s="94"/>
      <c r="AV687" s="94"/>
      <c r="AW687" s="94"/>
      <c r="AX687" s="94"/>
      <c r="AY687" s="94"/>
      <c r="AZ687" s="94"/>
      <c r="BA687" s="95"/>
    </row>
    <row r="688" spans="1:53" s="87" customFormat="1">
      <c r="A688" s="90" t="str">
        <f t="shared" si="36"/>
        <v/>
      </c>
      <c r="B688" s="98"/>
      <c r="C688" s="94"/>
      <c r="D688" s="94"/>
      <c r="E688" s="94"/>
      <c r="F688" s="94"/>
      <c r="G688" s="94"/>
      <c r="H688" s="94"/>
      <c r="I688" s="94"/>
      <c r="J688" s="94"/>
      <c r="K688" s="94"/>
      <c r="L688" s="94"/>
      <c r="M688" s="94"/>
      <c r="N688" s="94"/>
      <c r="O688" s="94"/>
      <c r="P688" s="94"/>
      <c r="Q688" s="94"/>
      <c r="R688" s="94"/>
      <c r="S688" s="94"/>
      <c r="T688" s="94"/>
      <c r="U688" s="94"/>
      <c r="V688" s="94"/>
      <c r="W688" s="94"/>
      <c r="X688" s="94"/>
      <c r="Y688" s="94"/>
      <c r="Z688" s="94"/>
      <c r="AA688" s="94"/>
      <c r="AB688" s="94"/>
      <c r="AC688" s="94"/>
      <c r="AD688" s="94"/>
      <c r="AE688" s="94"/>
      <c r="AF688" s="94"/>
      <c r="AG688" s="94"/>
      <c r="AH688" s="94"/>
      <c r="AI688" s="94"/>
      <c r="AJ688" s="94"/>
      <c r="AK688" s="94"/>
      <c r="AL688" s="94"/>
      <c r="AM688" s="94"/>
      <c r="AN688" s="94"/>
      <c r="AO688" s="94"/>
      <c r="AP688" s="94"/>
      <c r="AQ688" s="94"/>
      <c r="AR688" s="94"/>
      <c r="AS688" s="94"/>
      <c r="AT688" s="94"/>
      <c r="AU688" s="94"/>
      <c r="AV688" s="94"/>
      <c r="AW688" s="94"/>
      <c r="AX688" s="94"/>
      <c r="AY688" s="94"/>
      <c r="AZ688" s="94"/>
      <c r="BA688" s="95"/>
    </row>
    <row r="689" spans="1:53" s="87" customFormat="1">
      <c r="A689" s="90" t="str">
        <f t="shared" si="36"/>
        <v/>
      </c>
      <c r="B689" s="98"/>
      <c r="C689" s="94"/>
      <c r="D689" s="94"/>
      <c r="E689" s="94"/>
      <c r="F689" s="94"/>
      <c r="G689" s="94"/>
      <c r="H689" s="94"/>
      <c r="I689" s="94"/>
      <c r="J689" s="94"/>
      <c r="K689" s="94"/>
      <c r="L689" s="94"/>
      <c r="M689" s="94"/>
      <c r="N689" s="94"/>
      <c r="O689" s="94"/>
      <c r="P689" s="94"/>
      <c r="Q689" s="94"/>
      <c r="R689" s="94"/>
      <c r="S689" s="94"/>
      <c r="T689" s="94"/>
      <c r="U689" s="94"/>
      <c r="V689" s="94"/>
      <c r="W689" s="94"/>
      <c r="X689" s="94"/>
      <c r="Y689" s="94"/>
      <c r="Z689" s="94"/>
      <c r="AA689" s="94"/>
      <c r="AB689" s="94"/>
      <c r="AC689" s="94"/>
      <c r="AD689" s="94"/>
      <c r="AE689" s="94"/>
      <c r="AF689" s="94"/>
      <c r="AG689" s="94"/>
      <c r="AH689" s="94"/>
      <c r="AI689" s="94"/>
      <c r="AJ689" s="94"/>
      <c r="AK689" s="94"/>
      <c r="AL689" s="94"/>
      <c r="AM689" s="94"/>
      <c r="AN689" s="94"/>
      <c r="AO689" s="94"/>
      <c r="AP689" s="94"/>
      <c r="AQ689" s="94"/>
      <c r="AR689" s="94"/>
      <c r="AS689" s="94"/>
      <c r="AT689" s="94"/>
      <c r="AU689" s="94"/>
      <c r="AV689" s="94"/>
      <c r="AW689" s="94"/>
      <c r="AX689" s="94"/>
      <c r="AY689" s="94"/>
      <c r="AZ689" s="94"/>
      <c r="BA689" s="95"/>
    </row>
    <row r="690" spans="1:53" s="87" customFormat="1">
      <c r="A690" s="90" t="str">
        <f t="shared" si="36"/>
        <v/>
      </c>
      <c r="B690" s="98"/>
      <c r="C690" s="94"/>
      <c r="D690" s="94"/>
      <c r="E690" s="94"/>
      <c r="F690" s="94"/>
      <c r="G690" s="94"/>
      <c r="H690" s="94"/>
      <c r="I690" s="94"/>
      <c r="J690" s="94"/>
      <c r="K690" s="94"/>
      <c r="L690" s="94"/>
      <c r="M690" s="94"/>
      <c r="N690" s="94"/>
      <c r="O690" s="94"/>
      <c r="P690" s="94"/>
      <c r="Q690" s="94"/>
      <c r="R690" s="94"/>
      <c r="S690" s="94"/>
      <c r="T690" s="94"/>
      <c r="U690" s="94"/>
      <c r="V690" s="94"/>
      <c r="W690" s="94"/>
      <c r="X690" s="94"/>
      <c r="Y690" s="94"/>
      <c r="Z690" s="94"/>
      <c r="AA690" s="94"/>
      <c r="AB690" s="94"/>
      <c r="AC690" s="94"/>
      <c r="AD690" s="94"/>
      <c r="AE690" s="94"/>
      <c r="AF690" s="94"/>
      <c r="AG690" s="94"/>
      <c r="AH690" s="94"/>
      <c r="AI690" s="94"/>
      <c r="AJ690" s="94"/>
      <c r="AK690" s="94"/>
      <c r="AL690" s="94"/>
      <c r="AM690" s="94"/>
      <c r="AN690" s="94"/>
      <c r="AO690" s="94"/>
      <c r="AP690" s="94"/>
      <c r="AQ690" s="94"/>
      <c r="AR690" s="94"/>
      <c r="AS690" s="94"/>
      <c r="AT690" s="94"/>
      <c r="AU690" s="94"/>
      <c r="AV690" s="94"/>
      <c r="AW690" s="94"/>
      <c r="AX690" s="94"/>
      <c r="AY690" s="94"/>
      <c r="AZ690" s="94"/>
      <c r="BA690" s="95"/>
    </row>
    <row r="691" spans="1:53" s="87" customFormat="1">
      <c r="A691" s="90" t="str">
        <f t="shared" si="36"/>
        <v/>
      </c>
      <c r="B691" s="98"/>
      <c r="C691" s="94"/>
      <c r="D691" s="94"/>
      <c r="E691" s="94"/>
      <c r="F691" s="94"/>
      <c r="G691" s="94"/>
      <c r="H691" s="94"/>
      <c r="I691" s="94"/>
      <c r="J691" s="94"/>
      <c r="K691" s="94"/>
      <c r="L691" s="94"/>
      <c r="M691" s="94"/>
      <c r="N691" s="94"/>
      <c r="O691" s="94"/>
      <c r="P691" s="94"/>
      <c r="Q691" s="94"/>
      <c r="R691" s="94"/>
      <c r="S691" s="94"/>
      <c r="T691" s="94"/>
      <c r="U691" s="94"/>
      <c r="V691" s="94"/>
      <c r="W691" s="94"/>
      <c r="X691" s="94"/>
      <c r="Y691" s="94"/>
      <c r="Z691" s="94"/>
      <c r="AA691" s="94"/>
      <c r="AB691" s="94"/>
      <c r="AC691" s="94"/>
      <c r="AD691" s="94"/>
      <c r="AE691" s="94"/>
      <c r="AF691" s="94"/>
      <c r="AG691" s="94"/>
      <c r="AH691" s="94"/>
      <c r="AI691" s="94"/>
      <c r="AJ691" s="94"/>
      <c r="AK691" s="94"/>
      <c r="AL691" s="94"/>
      <c r="AM691" s="94"/>
      <c r="AN691" s="94"/>
      <c r="AO691" s="94"/>
      <c r="AP691" s="94"/>
      <c r="AQ691" s="94"/>
      <c r="AR691" s="94"/>
      <c r="AS691" s="94"/>
      <c r="AT691" s="94"/>
      <c r="AU691" s="94"/>
      <c r="AV691" s="94"/>
      <c r="AW691" s="94"/>
      <c r="AX691" s="94"/>
      <c r="AY691" s="94"/>
      <c r="AZ691" s="94"/>
      <c r="BA691" s="95"/>
    </row>
    <row r="692" spans="1:53" s="87" customFormat="1">
      <c r="A692" s="90" t="str">
        <f t="shared" si="36"/>
        <v/>
      </c>
      <c r="B692" s="98"/>
      <c r="C692" s="94"/>
      <c r="D692" s="94"/>
      <c r="E692" s="94"/>
      <c r="F692" s="94"/>
      <c r="G692" s="94"/>
      <c r="H692" s="94"/>
      <c r="I692" s="94"/>
      <c r="J692" s="94"/>
      <c r="K692" s="94"/>
      <c r="L692" s="94"/>
      <c r="M692" s="94"/>
      <c r="N692" s="94"/>
      <c r="O692" s="94"/>
      <c r="P692" s="94"/>
      <c r="Q692" s="94"/>
      <c r="R692" s="94"/>
      <c r="S692" s="94"/>
      <c r="T692" s="94"/>
      <c r="U692" s="94"/>
      <c r="V692" s="94"/>
      <c r="W692" s="94"/>
      <c r="X692" s="94"/>
      <c r="Y692" s="94"/>
      <c r="Z692" s="94"/>
      <c r="AA692" s="94"/>
      <c r="AB692" s="94"/>
      <c r="AC692" s="94"/>
      <c r="AD692" s="94"/>
      <c r="AE692" s="94"/>
      <c r="AF692" s="94"/>
      <c r="AG692" s="94"/>
      <c r="AH692" s="94"/>
      <c r="AI692" s="94"/>
      <c r="AJ692" s="94"/>
      <c r="AK692" s="94"/>
      <c r="AL692" s="94"/>
      <c r="AM692" s="94"/>
      <c r="AN692" s="94"/>
      <c r="AO692" s="94"/>
      <c r="AP692" s="94"/>
      <c r="AQ692" s="94"/>
      <c r="AR692" s="94"/>
      <c r="AS692" s="94"/>
      <c r="AT692" s="94"/>
      <c r="AU692" s="94"/>
      <c r="AV692" s="94"/>
      <c r="AW692" s="94"/>
      <c r="AX692" s="94"/>
      <c r="AY692" s="94"/>
      <c r="AZ692" s="94"/>
      <c r="BA692" s="95"/>
    </row>
    <row r="693" spans="1:53" s="87" customFormat="1">
      <c r="A693" s="90" t="str">
        <f t="shared" si="36"/>
        <v/>
      </c>
      <c r="B693" s="98"/>
      <c r="C693" s="94"/>
      <c r="D693" s="94"/>
      <c r="E693" s="94"/>
      <c r="F693" s="94"/>
      <c r="G693" s="94"/>
      <c r="H693" s="94"/>
      <c r="I693" s="94"/>
      <c r="J693" s="94"/>
      <c r="K693" s="94"/>
      <c r="L693" s="94"/>
      <c r="M693" s="94"/>
      <c r="N693" s="94"/>
      <c r="O693" s="94"/>
      <c r="P693" s="94"/>
      <c r="Q693" s="94"/>
      <c r="R693" s="94"/>
      <c r="S693" s="94"/>
      <c r="T693" s="94"/>
      <c r="U693" s="94"/>
      <c r="V693" s="94"/>
      <c r="W693" s="94"/>
      <c r="X693" s="94"/>
      <c r="Y693" s="94"/>
      <c r="Z693" s="94"/>
      <c r="AA693" s="94"/>
      <c r="AB693" s="94"/>
      <c r="AC693" s="94"/>
      <c r="AD693" s="94"/>
      <c r="AE693" s="94"/>
      <c r="AF693" s="94"/>
      <c r="AG693" s="94"/>
      <c r="AH693" s="94"/>
      <c r="AI693" s="94"/>
      <c r="AJ693" s="94"/>
      <c r="AK693" s="94"/>
      <c r="AL693" s="94"/>
      <c r="AM693" s="94"/>
      <c r="AN693" s="94"/>
      <c r="AO693" s="94"/>
      <c r="AP693" s="94"/>
      <c r="AQ693" s="94"/>
      <c r="AR693" s="94"/>
      <c r="AS693" s="94"/>
      <c r="AT693" s="94"/>
      <c r="AU693" s="94"/>
      <c r="AV693" s="94"/>
      <c r="AW693" s="94"/>
      <c r="AX693" s="94"/>
      <c r="AY693" s="94"/>
      <c r="AZ693" s="94"/>
      <c r="BA693" s="95"/>
    </row>
    <row r="694" spans="1:53" s="87" customFormat="1">
      <c r="A694" s="90" t="str">
        <f t="shared" si="36"/>
        <v/>
      </c>
      <c r="B694" s="98"/>
      <c r="C694" s="94"/>
      <c r="D694" s="94"/>
      <c r="E694" s="94"/>
      <c r="F694" s="94"/>
      <c r="G694" s="94"/>
      <c r="H694" s="94"/>
      <c r="I694" s="94"/>
      <c r="J694" s="94"/>
      <c r="K694" s="94"/>
      <c r="L694" s="94"/>
      <c r="M694" s="94"/>
      <c r="N694" s="94"/>
      <c r="O694" s="94"/>
      <c r="P694" s="94"/>
      <c r="Q694" s="94"/>
      <c r="R694" s="94"/>
      <c r="S694" s="94"/>
      <c r="T694" s="94"/>
      <c r="U694" s="94"/>
      <c r="V694" s="94"/>
      <c r="W694" s="94"/>
      <c r="X694" s="94"/>
      <c r="Y694" s="94"/>
      <c r="Z694" s="94"/>
      <c r="AA694" s="94"/>
      <c r="AB694" s="94"/>
      <c r="AC694" s="94"/>
      <c r="AD694" s="94"/>
      <c r="AE694" s="94"/>
      <c r="AF694" s="94"/>
      <c r="AG694" s="94"/>
      <c r="AH694" s="94"/>
      <c r="AI694" s="94"/>
      <c r="AJ694" s="94"/>
      <c r="AK694" s="94"/>
      <c r="AL694" s="94"/>
      <c r="AM694" s="94"/>
      <c r="AN694" s="94"/>
      <c r="AO694" s="94"/>
      <c r="AP694" s="94"/>
      <c r="AQ694" s="94"/>
      <c r="AR694" s="94"/>
      <c r="AS694" s="94"/>
      <c r="AT694" s="94"/>
      <c r="AU694" s="94"/>
      <c r="AV694" s="94"/>
      <c r="AW694" s="94"/>
      <c r="AX694" s="94"/>
      <c r="AY694" s="94"/>
      <c r="AZ694" s="94"/>
      <c r="BA694" s="95"/>
    </row>
    <row r="695" spans="1:53" s="87" customFormat="1">
      <c r="A695" s="90" t="str">
        <f t="shared" si="36"/>
        <v/>
      </c>
      <c r="B695" s="98"/>
      <c r="C695" s="94"/>
      <c r="D695" s="94"/>
      <c r="E695" s="94"/>
      <c r="F695" s="94"/>
      <c r="G695" s="94"/>
      <c r="H695" s="94"/>
      <c r="I695" s="94"/>
      <c r="J695" s="94"/>
      <c r="K695" s="94"/>
      <c r="L695" s="94"/>
      <c r="M695" s="94"/>
      <c r="N695" s="94"/>
      <c r="O695" s="94"/>
      <c r="P695" s="94"/>
      <c r="Q695" s="94"/>
      <c r="R695" s="94"/>
      <c r="S695" s="94"/>
      <c r="T695" s="94"/>
      <c r="U695" s="94"/>
      <c r="V695" s="94"/>
      <c r="W695" s="94"/>
      <c r="X695" s="94"/>
      <c r="Y695" s="94"/>
      <c r="Z695" s="94"/>
      <c r="AA695" s="94"/>
      <c r="AB695" s="94"/>
      <c r="AC695" s="94"/>
      <c r="AD695" s="94"/>
      <c r="AE695" s="94"/>
      <c r="AF695" s="94"/>
      <c r="AG695" s="94"/>
      <c r="AH695" s="94"/>
      <c r="AI695" s="94"/>
      <c r="AJ695" s="94"/>
      <c r="AK695" s="94"/>
      <c r="AL695" s="94"/>
      <c r="AM695" s="94"/>
      <c r="AN695" s="94"/>
      <c r="AO695" s="94"/>
      <c r="AP695" s="94"/>
      <c r="AQ695" s="94"/>
      <c r="AR695" s="94"/>
      <c r="AS695" s="94"/>
      <c r="AT695" s="94"/>
      <c r="AU695" s="94"/>
      <c r="AV695" s="94"/>
      <c r="AW695" s="94"/>
      <c r="AX695" s="94"/>
      <c r="AY695" s="94"/>
      <c r="AZ695" s="94"/>
      <c r="BA695" s="95"/>
    </row>
    <row r="696" spans="1:53" s="87" customFormat="1">
      <c r="A696" s="90" t="str">
        <f t="shared" si="36"/>
        <v/>
      </c>
      <c r="B696" s="98"/>
      <c r="C696" s="94"/>
      <c r="D696" s="94"/>
      <c r="E696" s="94"/>
      <c r="F696" s="94"/>
      <c r="G696" s="94"/>
      <c r="H696" s="94"/>
      <c r="I696" s="94"/>
      <c r="J696" s="94"/>
      <c r="K696" s="94"/>
      <c r="L696" s="94"/>
      <c r="M696" s="94"/>
      <c r="N696" s="94"/>
      <c r="O696" s="94"/>
      <c r="P696" s="94"/>
      <c r="Q696" s="94"/>
      <c r="R696" s="94"/>
      <c r="S696" s="94"/>
      <c r="T696" s="94"/>
      <c r="U696" s="94"/>
      <c r="V696" s="94"/>
      <c r="W696" s="94"/>
      <c r="X696" s="94"/>
      <c r="Y696" s="94"/>
      <c r="Z696" s="94"/>
      <c r="AA696" s="94"/>
      <c r="AB696" s="94"/>
      <c r="AC696" s="94"/>
      <c r="AD696" s="94"/>
      <c r="AE696" s="94"/>
      <c r="AF696" s="94"/>
      <c r="AG696" s="94"/>
      <c r="AH696" s="94"/>
      <c r="AI696" s="94"/>
      <c r="AJ696" s="94"/>
      <c r="AK696" s="94"/>
      <c r="AL696" s="94"/>
      <c r="AM696" s="94"/>
      <c r="AN696" s="94"/>
      <c r="AO696" s="94"/>
      <c r="AP696" s="94"/>
      <c r="AQ696" s="94"/>
      <c r="AR696" s="94"/>
      <c r="AS696" s="94"/>
      <c r="AT696" s="94"/>
      <c r="AU696" s="94"/>
      <c r="AV696" s="94"/>
      <c r="AW696" s="94"/>
      <c r="AX696" s="94"/>
      <c r="AY696" s="94"/>
      <c r="AZ696" s="94"/>
      <c r="BA696" s="95"/>
    </row>
    <row r="697" spans="1:53" s="87" customFormat="1">
      <c r="A697" s="90" t="str">
        <f t="shared" si="36"/>
        <v/>
      </c>
      <c r="B697" s="98"/>
      <c r="C697" s="94"/>
      <c r="D697" s="94"/>
      <c r="E697" s="94"/>
      <c r="F697" s="94"/>
      <c r="G697" s="94"/>
      <c r="H697" s="94"/>
      <c r="I697" s="94"/>
      <c r="J697" s="94"/>
      <c r="K697" s="94"/>
      <c r="L697" s="94"/>
      <c r="M697" s="94"/>
      <c r="N697" s="94"/>
      <c r="O697" s="94"/>
      <c r="P697" s="94"/>
      <c r="Q697" s="94"/>
      <c r="R697" s="94"/>
      <c r="S697" s="94"/>
      <c r="T697" s="94"/>
      <c r="U697" s="94"/>
      <c r="V697" s="94"/>
      <c r="W697" s="94"/>
      <c r="X697" s="94"/>
      <c r="Y697" s="94"/>
      <c r="Z697" s="94"/>
      <c r="AA697" s="94"/>
      <c r="AB697" s="94"/>
      <c r="AC697" s="94"/>
      <c r="AD697" s="94"/>
      <c r="AE697" s="94"/>
      <c r="AF697" s="94"/>
      <c r="AG697" s="94"/>
      <c r="AH697" s="94"/>
      <c r="AI697" s="94"/>
      <c r="AJ697" s="94"/>
      <c r="AK697" s="94"/>
      <c r="AL697" s="94"/>
      <c r="AM697" s="94"/>
      <c r="AN697" s="94"/>
      <c r="AO697" s="94"/>
      <c r="AP697" s="94"/>
      <c r="AQ697" s="94"/>
      <c r="AR697" s="94"/>
      <c r="AS697" s="94"/>
      <c r="AT697" s="94"/>
      <c r="AU697" s="94"/>
      <c r="AV697" s="94"/>
      <c r="AW697" s="94"/>
      <c r="AX697" s="94"/>
      <c r="AY697" s="94"/>
      <c r="AZ697" s="94"/>
      <c r="BA697" s="95"/>
    </row>
    <row r="698" spans="1:53" s="87" customFormat="1">
      <c r="A698" s="90" t="str">
        <f t="shared" si="36"/>
        <v/>
      </c>
      <c r="B698" s="98"/>
      <c r="C698" s="94"/>
      <c r="D698" s="94"/>
      <c r="E698" s="94"/>
      <c r="F698" s="94"/>
      <c r="G698" s="94"/>
      <c r="H698" s="94"/>
      <c r="I698" s="94"/>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5"/>
    </row>
    <row r="699" spans="1:53" s="87" customFormat="1">
      <c r="A699" s="90" t="str">
        <f t="shared" si="36"/>
        <v/>
      </c>
      <c r="B699" s="98"/>
      <c r="C699" s="94"/>
      <c r="D699" s="94"/>
      <c r="E699" s="94"/>
      <c r="F699" s="94"/>
      <c r="G699" s="94"/>
      <c r="H699" s="94"/>
      <c r="I699" s="94"/>
      <c r="J699" s="94"/>
      <c r="K699" s="94"/>
      <c r="L699" s="94"/>
      <c r="M699" s="94"/>
      <c r="N699" s="94"/>
      <c r="O699" s="94"/>
      <c r="P699" s="94"/>
      <c r="Q699" s="94"/>
      <c r="R699" s="94"/>
      <c r="S699" s="94"/>
      <c r="T699" s="94"/>
      <c r="U699" s="94"/>
      <c r="V699" s="94"/>
      <c r="W699" s="94"/>
      <c r="X699" s="94"/>
      <c r="Y699" s="94"/>
      <c r="Z699" s="94"/>
      <c r="AA699" s="94"/>
      <c r="AB699" s="94"/>
      <c r="AC699" s="94"/>
      <c r="AD699" s="94"/>
      <c r="AE699" s="94"/>
      <c r="AF699" s="94"/>
      <c r="AG699" s="94"/>
      <c r="AH699" s="94"/>
      <c r="AI699" s="94"/>
      <c r="AJ699" s="94"/>
      <c r="AK699" s="94"/>
      <c r="AL699" s="94"/>
      <c r="AM699" s="94"/>
      <c r="AN699" s="94"/>
      <c r="AO699" s="94"/>
      <c r="AP699" s="94"/>
      <c r="AQ699" s="94"/>
      <c r="AR699" s="94"/>
      <c r="AS699" s="94"/>
      <c r="AT699" s="94"/>
      <c r="AU699" s="94"/>
      <c r="AV699" s="94"/>
      <c r="AW699" s="94"/>
      <c r="AX699" s="94"/>
      <c r="AY699" s="94"/>
      <c r="AZ699" s="94"/>
      <c r="BA699" s="95"/>
    </row>
    <row r="700" spans="1:53" s="87" customFormat="1">
      <c r="A700" s="90" t="str">
        <f t="shared" si="36"/>
        <v/>
      </c>
      <c r="B700" s="98"/>
      <c r="C700" s="94"/>
      <c r="D700" s="94"/>
      <c r="E700" s="94"/>
      <c r="F700" s="94"/>
      <c r="G700" s="94"/>
      <c r="H700" s="94"/>
      <c r="I700" s="94"/>
      <c r="J700" s="94"/>
      <c r="K700" s="94"/>
      <c r="L700" s="94"/>
      <c r="M700" s="94"/>
      <c r="N700" s="94"/>
      <c r="O700" s="94"/>
      <c r="P700" s="94"/>
      <c r="Q700" s="94"/>
      <c r="R700" s="94"/>
      <c r="S700" s="94"/>
      <c r="T700" s="94"/>
      <c r="U700" s="94"/>
      <c r="V700" s="94"/>
      <c r="W700" s="94"/>
      <c r="X700" s="94"/>
      <c r="Y700" s="94"/>
      <c r="Z700" s="94"/>
      <c r="AA700" s="94"/>
      <c r="AB700" s="94"/>
      <c r="AC700" s="94"/>
      <c r="AD700" s="94"/>
      <c r="AE700" s="94"/>
      <c r="AF700" s="94"/>
      <c r="AG700" s="94"/>
      <c r="AH700" s="94"/>
      <c r="AI700" s="94"/>
      <c r="AJ700" s="94"/>
      <c r="AK700" s="94"/>
      <c r="AL700" s="94"/>
      <c r="AM700" s="94"/>
      <c r="AN700" s="94"/>
      <c r="AO700" s="94"/>
      <c r="AP700" s="94"/>
      <c r="AQ700" s="94"/>
      <c r="AR700" s="94"/>
      <c r="AS700" s="94"/>
      <c r="AT700" s="94"/>
      <c r="AU700" s="94"/>
      <c r="AV700" s="94"/>
      <c r="AW700" s="94"/>
      <c r="AX700" s="94"/>
      <c r="AY700" s="94"/>
      <c r="AZ700" s="94"/>
      <c r="BA700" s="95"/>
    </row>
    <row r="701" spans="1:53" s="87" customFormat="1">
      <c r="A701" s="90" t="str">
        <f t="shared" si="36"/>
        <v/>
      </c>
      <c r="B701" s="98"/>
      <c r="C701" s="94"/>
      <c r="D701" s="94"/>
      <c r="E701" s="94"/>
      <c r="F701" s="94"/>
      <c r="G701" s="94"/>
      <c r="H701" s="94"/>
      <c r="I701" s="94"/>
      <c r="J701" s="94"/>
      <c r="K701" s="94"/>
      <c r="L701" s="94"/>
      <c r="M701" s="94"/>
      <c r="N701" s="94"/>
      <c r="O701" s="94"/>
      <c r="P701" s="94"/>
      <c r="Q701" s="94"/>
      <c r="R701" s="94"/>
      <c r="S701" s="94"/>
      <c r="T701" s="94"/>
      <c r="U701" s="94"/>
      <c r="V701" s="94"/>
      <c r="W701" s="94"/>
      <c r="X701" s="94"/>
      <c r="Y701" s="94"/>
      <c r="Z701" s="94"/>
      <c r="AA701" s="94"/>
      <c r="AB701" s="94"/>
      <c r="AC701" s="94"/>
      <c r="AD701" s="94"/>
      <c r="AE701" s="94"/>
      <c r="AF701" s="94"/>
      <c r="AG701" s="94"/>
      <c r="AH701" s="94"/>
      <c r="AI701" s="94"/>
      <c r="AJ701" s="94"/>
      <c r="AK701" s="94"/>
      <c r="AL701" s="94"/>
      <c r="AM701" s="94"/>
      <c r="AN701" s="94"/>
      <c r="AO701" s="94"/>
      <c r="AP701" s="94"/>
      <c r="AQ701" s="94"/>
      <c r="AR701" s="94"/>
      <c r="AS701" s="94"/>
      <c r="AT701" s="94"/>
      <c r="AU701" s="94"/>
      <c r="AV701" s="94"/>
      <c r="AW701" s="94"/>
      <c r="AX701" s="94"/>
      <c r="AY701" s="94"/>
      <c r="AZ701" s="94"/>
      <c r="BA701" s="95"/>
    </row>
    <row r="702" spans="1:53" s="87" customFormat="1">
      <c r="A702" s="90" t="str">
        <f t="shared" si="36"/>
        <v/>
      </c>
      <c r="B702" s="98"/>
      <c r="C702" s="94"/>
      <c r="D702" s="94"/>
      <c r="E702" s="94"/>
      <c r="F702" s="94"/>
      <c r="G702" s="94"/>
      <c r="H702" s="94"/>
      <c r="I702" s="94"/>
      <c r="J702" s="94"/>
      <c r="K702" s="94"/>
      <c r="L702" s="94"/>
      <c r="M702" s="94"/>
      <c r="N702" s="94"/>
      <c r="O702" s="94"/>
      <c r="P702" s="94"/>
      <c r="Q702" s="94"/>
      <c r="R702" s="94"/>
      <c r="S702" s="94"/>
      <c r="T702" s="94"/>
      <c r="U702" s="94"/>
      <c r="V702" s="94"/>
      <c r="W702" s="94"/>
      <c r="X702" s="94"/>
      <c r="Y702" s="94"/>
      <c r="Z702" s="94"/>
      <c r="AA702" s="94"/>
      <c r="AB702" s="94"/>
      <c r="AC702" s="94"/>
      <c r="AD702" s="94"/>
      <c r="AE702" s="94"/>
      <c r="AF702" s="94"/>
      <c r="AG702" s="94"/>
      <c r="AH702" s="94"/>
      <c r="AI702" s="94"/>
      <c r="AJ702" s="94"/>
      <c r="AK702" s="94"/>
      <c r="AL702" s="94"/>
      <c r="AM702" s="94"/>
      <c r="AN702" s="94"/>
      <c r="AO702" s="94"/>
      <c r="AP702" s="94"/>
      <c r="AQ702" s="94"/>
      <c r="AR702" s="94"/>
      <c r="AS702" s="94"/>
      <c r="AT702" s="94"/>
      <c r="AU702" s="94"/>
      <c r="AV702" s="94"/>
      <c r="AW702" s="94"/>
      <c r="AX702" s="94"/>
      <c r="AY702" s="94"/>
      <c r="AZ702" s="94"/>
      <c r="BA702" s="95"/>
    </row>
    <row r="703" spans="1:53" s="87" customFormat="1">
      <c r="A703" s="90" t="str">
        <f t="shared" si="36"/>
        <v/>
      </c>
      <c r="B703" s="98"/>
      <c r="C703" s="94"/>
      <c r="D703" s="94"/>
      <c r="E703" s="94"/>
      <c r="F703" s="94"/>
      <c r="G703" s="94"/>
      <c r="H703" s="94"/>
      <c r="I703" s="94"/>
      <c r="J703" s="94"/>
      <c r="K703" s="94"/>
      <c r="L703" s="94"/>
      <c r="M703" s="94"/>
      <c r="N703" s="94"/>
      <c r="O703" s="94"/>
      <c r="P703" s="94"/>
      <c r="Q703" s="94"/>
      <c r="R703" s="94"/>
      <c r="S703" s="94"/>
      <c r="T703" s="94"/>
      <c r="U703" s="94"/>
      <c r="V703" s="94"/>
      <c r="W703" s="94"/>
      <c r="X703" s="94"/>
      <c r="Y703" s="94"/>
      <c r="Z703" s="94"/>
      <c r="AA703" s="94"/>
      <c r="AB703" s="94"/>
      <c r="AC703" s="94"/>
      <c r="AD703" s="94"/>
      <c r="AE703" s="94"/>
      <c r="AF703" s="94"/>
      <c r="AG703" s="94"/>
      <c r="AH703" s="94"/>
      <c r="AI703" s="94"/>
      <c r="AJ703" s="94"/>
      <c r="AK703" s="94"/>
      <c r="AL703" s="94"/>
      <c r="AM703" s="94"/>
      <c r="AN703" s="94"/>
      <c r="AO703" s="94"/>
      <c r="AP703" s="94"/>
      <c r="AQ703" s="94"/>
      <c r="AR703" s="94"/>
      <c r="AS703" s="94"/>
      <c r="AT703" s="94"/>
      <c r="AU703" s="94"/>
      <c r="AV703" s="94"/>
      <c r="AW703" s="94"/>
      <c r="AX703" s="94"/>
      <c r="AY703" s="94"/>
      <c r="AZ703" s="94"/>
      <c r="BA703" s="95"/>
    </row>
    <row r="704" spans="1:53" s="87" customFormat="1">
      <c r="A704" s="90" t="str">
        <f t="shared" si="36"/>
        <v/>
      </c>
      <c r="B704" s="98"/>
      <c r="C704" s="94"/>
      <c r="D704" s="94"/>
      <c r="E704" s="94"/>
      <c r="F704" s="94"/>
      <c r="G704" s="94"/>
      <c r="H704" s="94"/>
      <c r="I704" s="94"/>
      <c r="J704" s="94"/>
      <c r="K704" s="94"/>
      <c r="L704" s="94"/>
      <c r="M704" s="94"/>
      <c r="N704" s="94"/>
      <c r="O704" s="94"/>
      <c r="P704" s="94"/>
      <c r="Q704" s="94"/>
      <c r="R704" s="94"/>
      <c r="S704" s="94"/>
      <c r="T704" s="94"/>
      <c r="U704" s="94"/>
      <c r="V704" s="94"/>
      <c r="W704" s="94"/>
      <c r="X704" s="94"/>
      <c r="Y704" s="94"/>
      <c r="Z704" s="94"/>
      <c r="AA704" s="94"/>
      <c r="AB704" s="94"/>
      <c r="AC704" s="94"/>
      <c r="AD704" s="94"/>
      <c r="AE704" s="94"/>
      <c r="AF704" s="94"/>
      <c r="AG704" s="94"/>
      <c r="AH704" s="94"/>
      <c r="AI704" s="94"/>
      <c r="AJ704" s="94"/>
      <c r="AK704" s="94"/>
      <c r="AL704" s="94"/>
      <c r="AM704" s="94"/>
      <c r="AN704" s="94"/>
      <c r="AO704" s="94"/>
      <c r="AP704" s="94"/>
      <c r="AQ704" s="94"/>
      <c r="AR704" s="94"/>
      <c r="AS704" s="94"/>
      <c r="AT704" s="94"/>
      <c r="AU704" s="94"/>
      <c r="AV704" s="94"/>
      <c r="AW704" s="94"/>
      <c r="AX704" s="94"/>
      <c r="AY704" s="94"/>
      <c r="AZ704" s="94"/>
      <c r="BA704" s="95"/>
    </row>
    <row r="705" spans="1:53" s="87" customFormat="1">
      <c r="A705" s="90" t="str">
        <f t="shared" si="36"/>
        <v/>
      </c>
      <c r="B705" s="98"/>
      <c r="C705" s="94"/>
      <c r="D705" s="94"/>
      <c r="E705" s="94"/>
      <c r="F705" s="94"/>
      <c r="G705" s="94"/>
      <c r="H705" s="94"/>
      <c r="I705" s="94"/>
      <c r="J705" s="94"/>
      <c r="K705" s="94"/>
      <c r="L705" s="94"/>
      <c r="M705" s="94"/>
      <c r="N705" s="94"/>
      <c r="O705" s="94"/>
      <c r="P705" s="94"/>
      <c r="Q705" s="94"/>
      <c r="R705" s="94"/>
      <c r="S705" s="94"/>
      <c r="T705" s="94"/>
      <c r="U705" s="94"/>
      <c r="V705" s="94"/>
      <c r="W705" s="94"/>
      <c r="X705" s="94"/>
      <c r="Y705" s="94"/>
      <c r="Z705" s="94"/>
      <c r="AA705" s="94"/>
      <c r="AB705" s="94"/>
      <c r="AC705" s="94"/>
      <c r="AD705" s="94"/>
      <c r="AE705" s="94"/>
      <c r="AF705" s="94"/>
      <c r="AG705" s="94"/>
      <c r="AH705" s="94"/>
      <c r="AI705" s="94"/>
      <c r="AJ705" s="94"/>
      <c r="AK705" s="94"/>
      <c r="AL705" s="94"/>
      <c r="AM705" s="94"/>
      <c r="AN705" s="94"/>
      <c r="AO705" s="94"/>
      <c r="AP705" s="94"/>
      <c r="AQ705" s="94"/>
      <c r="AR705" s="94"/>
      <c r="AS705" s="94"/>
      <c r="AT705" s="94"/>
      <c r="AU705" s="94"/>
      <c r="AV705" s="94"/>
      <c r="AW705" s="94"/>
      <c r="AX705" s="94"/>
      <c r="AY705" s="94"/>
      <c r="AZ705" s="94"/>
      <c r="BA705" s="95"/>
    </row>
    <row r="706" spans="1:53" s="87" customFormat="1">
      <c r="A706" s="90" t="str">
        <f t="shared" si="36"/>
        <v/>
      </c>
      <c r="B706" s="98"/>
      <c r="C706" s="94"/>
      <c r="D706" s="94"/>
      <c r="E706" s="94"/>
      <c r="F706" s="94"/>
      <c r="G706" s="94"/>
      <c r="H706" s="94"/>
      <c r="I706" s="94"/>
      <c r="J706" s="94"/>
      <c r="K706" s="94"/>
      <c r="L706" s="94"/>
      <c r="M706" s="94"/>
      <c r="N706" s="94"/>
      <c r="O706" s="94"/>
      <c r="P706" s="94"/>
      <c r="Q706" s="94"/>
      <c r="R706" s="94"/>
      <c r="S706" s="94"/>
      <c r="T706" s="94"/>
      <c r="U706" s="94"/>
      <c r="V706" s="94"/>
      <c r="W706" s="94"/>
      <c r="X706" s="94"/>
      <c r="Y706" s="94"/>
      <c r="Z706" s="94"/>
      <c r="AA706" s="94"/>
      <c r="AB706" s="94"/>
      <c r="AC706" s="94"/>
      <c r="AD706" s="94"/>
      <c r="AE706" s="94"/>
      <c r="AF706" s="94"/>
      <c r="AG706" s="94"/>
      <c r="AH706" s="94"/>
      <c r="AI706" s="94"/>
      <c r="AJ706" s="94"/>
      <c r="AK706" s="94"/>
      <c r="AL706" s="94"/>
      <c r="AM706" s="94"/>
      <c r="AN706" s="94"/>
      <c r="AO706" s="94"/>
      <c r="AP706" s="94"/>
      <c r="AQ706" s="94"/>
      <c r="AR706" s="94"/>
      <c r="AS706" s="94"/>
      <c r="AT706" s="94"/>
      <c r="AU706" s="94"/>
      <c r="AV706" s="94"/>
      <c r="AW706" s="94"/>
      <c r="AX706" s="94"/>
      <c r="AY706" s="94"/>
      <c r="AZ706" s="94"/>
      <c r="BA706" s="95"/>
    </row>
    <row r="707" spans="1:53" s="87" customFormat="1">
      <c r="A707" s="90" t="str">
        <f t="shared" si="36"/>
        <v/>
      </c>
      <c r="B707" s="98"/>
      <c r="C707" s="94"/>
      <c r="D707" s="94"/>
      <c r="E707" s="94"/>
      <c r="F707" s="94"/>
      <c r="G707" s="94"/>
      <c r="H707" s="94"/>
      <c r="I707" s="94"/>
      <c r="J707" s="94"/>
      <c r="K707" s="94"/>
      <c r="L707" s="94"/>
      <c r="M707" s="94"/>
      <c r="N707" s="94"/>
      <c r="O707" s="94"/>
      <c r="P707" s="94"/>
      <c r="Q707" s="94"/>
      <c r="R707" s="94"/>
      <c r="S707" s="94"/>
      <c r="T707" s="94"/>
      <c r="U707" s="94"/>
      <c r="V707" s="94"/>
      <c r="W707" s="94"/>
      <c r="X707" s="94"/>
      <c r="Y707" s="94"/>
      <c r="Z707" s="94"/>
      <c r="AA707" s="94"/>
      <c r="AB707" s="94"/>
      <c r="AC707" s="94"/>
      <c r="AD707" s="94"/>
      <c r="AE707" s="94"/>
      <c r="AF707" s="94"/>
      <c r="AG707" s="94"/>
      <c r="AH707" s="94"/>
      <c r="AI707" s="94"/>
      <c r="AJ707" s="94"/>
      <c r="AK707" s="94"/>
      <c r="AL707" s="94"/>
      <c r="AM707" s="94"/>
      <c r="AN707" s="94"/>
      <c r="AO707" s="94"/>
      <c r="AP707" s="94"/>
      <c r="AQ707" s="94"/>
      <c r="AR707" s="94"/>
      <c r="AS707" s="94"/>
      <c r="AT707" s="94"/>
      <c r="AU707" s="94"/>
      <c r="AV707" s="94"/>
      <c r="AW707" s="94"/>
      <c r="AX707" s="94"/>
      <c r="AY707" s="94"/>
      <c r="AZ707" s="94"/>
      <c r="BA707" s="95"/>
    </row>
    <row r="708" spans="1:53" s="87" customFormat="1">
      <c r="A708" s="90" t="str">
        <f t="shared" si="36"/>
        <v/>
      </c>
      <c r="B708" s="98"/>
      <c r="C708" s="94"/>
      <c r="D708" s="94"/>
      <c r="E708" s="94"/>
      <c r="F708" s="94"/>
      <c r="G708" s="94"/>
      <c r="H708" s="94"/>
      <c r="I708" s="94"/>
      <c r="J708" s="94"/>
      <c r="K708" s="94"/>
      <c r="L708" s="94"/>
      <c r="M708" s="94"/>
      <c r="N708" s="94"/>
      <c r="O708" s="94"/>
      <c r="P708" s="94"/>
      <c r="Q708" s="94"/>
      <c r="R708" s="94"/>
      <c r="S708" s="94"/>
      <c r="T708" s="94"/>
      <c r="U708" s="94"/>
      <c r="V708" s="94"/>
      <c r="W708" s="94"/>
      <c r="X708" s="94"/>
      <c r="Y708" s="94"/>
      <c r="Z708" s="94"/>
      <c r="AA708" s="94"/>
      <c r="AB708" s="94"/>
      <c r="AC708" s="94"/>
      <c r="AD708" s="94"/>
      <c r="AE708" s="94"/>
      <c r="AF708" s="94"/>
      <c r="AG708" s="94"/>
      <c r="AH708" s="94"/>
      <c r="AI708" s="94"/>
      <c r="AJ708" s="94"/>
      <c r="AK708" s="94"/>
      <c r="AL708" s="94"/>
      <c r="AM708" s="94"/>
      <c r="AN708" s="94"/>
      <c r="AO708" s="94"/>
      <c r="AP708" s="94"/>
      <c r="AQ708" s="94"/>
      <c r="AR708" s="94"/>
      <c r="AS708" s="94"/>
      <c r="AT708" s="94"/>
      <c r="AU708" s="94"/>
      <c r="AV708" s="94"/>
      <c r="AW708" s="94"/>
      <c r="AX708" s="94"/>
      <c r="AY708" s="94"/>
      <c r="AZ708" s="94"/>
      <c r="BA708" s="95"/>
    </row>
    <row r="709" spans="1:53" s="87" customFormat="1">
      <c r="A709" s="90" t="str">
        <f t="shared" si="36"/>
        <v/>
      </c>
      <c r="B709" s="98"/>
      <c r="C709" s="94"/>
      <c r="D709" s="94"/>
      <c r="E709" s="94"/>
      <c r="F709" s="94"/>
      <c r="G709" s="94"/>
      <c r="H709" s="94"/>
      <c r="I709" s="94"/>
      <c r="J709" s="94"/>
      <c r="K709" s="94"/>
      <c r="L709" s="94"/>
      <c r="M709" s="94"/>
      <c r="N709" s="94"/>
      <c r="O709" s="94"/>
      <c r="P709" s="94"/>
      <c r="Q709" s="94"/>
      <c r="R709" s="94"/>
      <c r="S709" s="94"/>
      <c r="T709" s="94"/>
      <c r="U709" s="94"/>
      <c r="V709" s="94"/>
      <c r="W709" s="94"/>
      <c r="X709" s="94"/>
      <c r="Y709" s="94"/>
      <c r="Z709" s="94"/>
      <c r="AA709" s="94"/>
      <c r="AB709" s="94"/>
      <c r="AC709" s="94"/>
      <c r="AD709" s="94"/>
      <c r="AE709" s="94"/>
      <c r="AF709" s="94"/>
      <c r="AG709" s="94"/>
      <c r="AH709" s="94"/>
      <c r="AI709" s="94"/>
      <c r="AJ709" s="94"/>
      <c r="AK709" s="94"/>
      <c r="AL709" s="94"/>
      <c r="AM709" s="94"/>
      <c r="AN709" s="94"/>
      <c r="AO709" s="94"/>
      <c r="AP709" s="94"/>
      <c r="AQ709" s="94"/>
      <c r="AR709" s="94"/>
      <c r="AS709" s="94"/>
      <c r="AT709" s="94"/>
      <c r="AU709" s="94"/>
      <c r="AV709" s="94"/>
      <c r="AW709" s="94"/>
      <c r="AX709" s="94"/>
      <c r="AY709" s="94"/>
      <c r="AZ709" s="94"/>
      <c r="BA709" s="95"/>
    </row>
    <row r="710" spans="1:53" s="87" customFormat="1">
      <c r="A710" s="90" t="str">
        <f t="shared" si="36"/>
        <v/>
      </c>
      <c r="B710" s="98"/>
      <c r="C710" s="94"/>
      <c r="D710" s="94"/>
      <c r="E710" s="94"/>
      <c r="F710" s="94"/>
      <c r="G710" s="94"/>
      <c r="H710" s="94"/>
      <c r="I710" s="94"/>
      <c r="J710" s="94"/>
      <c r="K710" s="94"/>
      <c r="L710" s="94"/>
      <c r="M710" s="94"/>
      <c r="N710" s="94"/>
      <c r="O710" s="94"/>
      <c r="P710" s="94"/>
      <c r="Q710" s="94"/>
      <c r="R710" s="94"/>
      <c r="S710" s="94"/>
      <c r="T710" s="94"/>
      <c r="U710" s="94"/>
      <c r="V710" s="94"/>
      <c r="W710" s="94"/>
      <c r="X710" s="94"/>
      <c r="Y710" s="94"/>
      <c r="Z710" s="94"/>
      <c r="AA710" s="94"/>
      <c r="AB710" s="94"/>
      <c r="AC710" s="94"/>
      <c r="AD710" s="94"/>
      <c r="AE710" s="94"/>
      <c r="AF710" s="94"/>
      <c r="AG710" s="94"/>
      <c r="AH710" s="94"/>
      <c r="AI710" s="94"/>
      <c r="AJ710" s="94"/>
      <c r="AK710" s="94"/>
      <c r="AL710" s="94"/>
      <c r="AM710" s="94"/>
      <c r="AN710" s="94"/>
      <c r="AO710" s="94"/>
      <c r="AP710" s="94"/>
      <c r="AQ710" s="94"/>
      <c r="AR710" s="94"/>
      <c r="AS710" s="94"/>
      <c r="AT710" s="94"/>
      <c r="AU710" s="94"/>
      <c r="AV710" s="94"/>
      <c r="AW710" s="94"/>
      <c r="AX710" s="94"/>
      <c r="AY710" s="94"/>
      <c r="AZ710" s="94"/>
      <c r="BA710" s="95"/>
    </row>
    <row r="711" spans="1:53" s="87" customFormat="1">
      <c r="A711" s="90" t="str">
        <f t="shared" si="36"/>
        <v/>
      </c>
      <c r="B711" s="98"/>
      <c r="C711" s="94"/>
      <c r="D711" s="94"/>
      <c r="E711" s="94"/>
      <c r="F711" s="94"/>
      <c r="G711" s="94"/>
      <c r="H711" s="94"/>
      <c r="I711" s="94"/>
      <c r="J711" s="94"/>
      <c r="K711" s="94"/>
      <c r="L711" s="94"/>
      <c r="M711" s="94"/>
      <c r="N711" s="94"/>
      <c r="O711" s="94"/>
      <c r="P711" s="94"/>
      <c r="Q711" s="94"/>
      <c r="R711" s="94"/>
      <c r="S711" s="94"/>
      <c r="T711" s="94"/>
      <c r="U711" s="94"/>
      <c r="V711" s="94"/>
      <c r="W711" s="94"/>
      <c r="X711" s="94"/>
      <c r="Y711" s="94"/>
      <c r="Z711" s="94"/>
      <c r="AA711" s="94"/>
      <c r="AB711" s="94"/>
      <c r="AC711" s="94"/>
      <c r="AD711" s="94"/>
      <c r="AE711" s="94"/>
      <c r="AF711" s="94"/>
      <c r="AG711" s="94"/>
      <c r="AH711" s="94"/>
      <c r="AI711" s="94"/>
      <c r="AJ711" s="94"/>
      <c r="AK711" s="94"/>
      <c r="AL711" s="94"/>
      <c r="AM711" s="94"/>
      <c r="AN711" s="94"/>
      <c r="AO711" s="94"/>
      <c r="AP711" s="94"/>
      <c r="AQ711" s="94"/>
      <c r="AR711" s="94"/>
      <c r="AS711" s="94"/>
      <c r="AT711" s="94"/>
      <c r="AU711" s="94"/>
      <c r="AV711" s="94"/>
      <c r="AW711" s="94"/>
      <c r="AX711" s="94"/>
      <c r="AY711" s="94"/>
      <c r="AZ711" s="94"/>
      <c r="BA711" s="95"/>
    </row>
    <row r="712" spans="1:53" s="87" customFormat="1">
      <c r="A712" s="90" t="str">
        <f t="shared" si="36"/>
        <v/>
      </c>
      <c r="B712" s="98"/>
      <c r="C712" s="94"/>
      <c r="D712" s="94"/>
      <c r="E712" s="94"/>
      <c r="F712" s="94"/>
      <c r="G712" s="94"/>
      <c r="H712" s="94"/>
      <c r="I712" s="94"/>
      <c r="J712" s="94"/>
      <c r="K712" s="94"/>
      <c r="L712" s="94"/>
      <c r="M712" s="94"/>
      <c r="N712" s="94"/>
      <c r="O712" s="94"/>
      <c r="P712" s="94"/>
      <c r="Q712" s="94"/>
      <c r="R712" s="94"/>
      <c r="S712" s="94"/>
      <c r="T712" s="94"/>
      <c r="U712" s="94"/>
      <c r="V712" s="94"/>
      <c r="W712" s="94"/>
      <c r="X712" s="94"/>
      <c r="Y712" s="94"/>
      <c r="Z712" s="94"/>
      <c r="AA712" s="94"/>
      <c r="AB712" s="94"/>
      <c r="AC712" s="94"/>
      <c r="AD712" s="94"/>
      <c r="AE712" s="94"/>
      <c r="AF712" s="94"/>
      <c r="AG712" s="94"/>
      <c r="AH712" s="94"/>
      <c r="AI712" s="94"/>
      <c r="AJ712" s="94"/>
      <c r="AK712" s="94"/>
      <c r="AL712" s="94"/>
      <c r="AM712" s="94"/>
      <c r="AN712" s="94"/>
      <c r="AO712" s="94"/>
      <c r="AP712" s="94"/>
      <c r="AQ712" s="94"/>
      <c r="AR712" s="94"/>
      <c r="AS712" s="94"/>
      <c r="AT712" s="94"/>
      <c r="AU712" s="94"/>
      <c r="AV712" s="94"/>
      <c r="AW712" s="94"/>
      <c r="AX712" s="94"/>
      <c r="AY712" s="94"/>
      <c r="AZ712" s="94"/>
      <c r="BA712" s="95"/>
    </row>
    <row r="713" spans="1:53" s="87" customFormat="1">
      <c r="A713" s="90" t="str">
        <f t="shared" si="36"/>
        <v/>
      </c>
      <c r="B713" s="98"/>
      <c r="C713" s="94"/>
      <c r="D713" s="94"/>
      <c r="E713" s="94"/>
      <c r="F713" s="94"/>
      <c r="G713" s="94"/>
      <c r="H713" s="94"/>
      <c r="I713" s="94"/>
      <c r="J713" s="94"/>
      <c r="K713" s="94"/>
      <c r="L713" s="94"/>
      <c r="M713" s="94"/>
      <c r="N713" s="94"/>
      <c r="O713" s="94"/>
      <c r="P713" s="94"/>
      <c r="Q713" s="94"/>
      <c r="R713" s="94"/>
      <c r="S713" s="94"/>
      <c r="T713" s="94"/>
      <c r="U713" s="94"/>
      <c r="V713" s="94"/>
      <c r="W713" s="94"/>
      <c r="X713" s="94"/>
      <c r="Y713" s="94"/>
      <c r="Z713" s="94"/>
      <c r="AA713" s="94"/>
      <c r="AB713" s="94"/>
      <c r="AC713" s="94"/>
      <c r="AD713" s="94"/>
      <c r="AE713" s="94"/>
      <c r="AF713" s="94"/>
      <c r="AG713" s="94"/>
      <c r="AH713" s="94"/>
      <c r="AI713" s="94"/>
      <c r="AJ713" s="94"/>
      <c r="AK713" s="94"/>
      <c r="AL713" s="94"/>
      <c r="AM713" s="94"/>
      <c r="AN713" s="94"/>
      <c r="AO713" s="94"/>
      <c r="AP713" s="94"/>
      <c r="AQ713" s="94"/>
      <c r="AR713" s="94"/>
      <c r="AS713" s="94"/>
      <c r="AT713" s="94"/>
      <c r="AU713" s="94"/>
      <c r="AV713" s="94"/>
      <c r="AW713" s="94"/>
      <c r="AX713" s="94"/>
      <c r="AY713" s="94"/>
      <c r="AZ713" s="94"/>
      <c r="BA713" s="95"/>
    </row>
    <row r="714" spans="1:53" s="87" customFormat="1">
      <c r="A714" s="90" t="str">
        <f t="shared" si="36"/>
        <v/>
      </c>
      <c r="B714" s="98"/>
      <c r="C714" s="94"/>
      <c r="D714" s="94"/>
      <c r="E714" s="94"/>
      <c r="F714" s="94"/>
      <c r="G714" s="94"/>
      <c r="H714" s="94"/>
      <c r="I714" s="94"/>
      <c r="J714" s="94"/>
      <c r="K714" s="94"/>
      <c r="L714" s="94"/>
      <c r="M714" s="94"/>
      <c r="N714" s="94"/>
      <c r="O714" s="94"/>
      <c r="P714" s="94"/>
      <c r="Q714" s="94"/>
      <c r="R714" s="94"/>
      <c r="S714" s="94"/>
      <c r="T714" s="94"/>
      <c r="U714" s="94"/>
      <c r="V714" s="94"/>
      <c r="W714" s="94"/>
      <c r="X714" s="94"/>
      <c r="Y714" s="94"/>
      <c r="Z714" s="94"/>
      <c r="AA714" s="94"/>
      <c r="AB714" s="94"/>
      <c r="AC714" s="94"/>
      <c r="AD714" s="94"/>
      <c r="AE714" s="94"/>
      <c r="AF714" s="94"/>
      <c r="AG714" s="94"/>
      <c r="AH714" s="94"/>
      <c r="AI714" s="94"/>
      <c r="AJ714" s="94"/>
      <c r="AK714" s="94"/>
      <c r="AL714" s="94"/>
      <c r="AM714" s="94"/>
      <c r="AN714" s="94"/>
      <c r="AO714" s="94"/>
      <c r="AP714" s="94"/>
      <c r="AQ714" s="94"/>
      <c r="AR714" s="94"/>
      <c r="AS714" s="94"/>
      <c r="AT714" s="94"/>
      <c r="AU714" s="94"/>
      <c r="AV714" s="94"/>
      <c r="AW714" s="94"/>
      <c r="AX714" s="94"/>
      <c r="AY714" s="94"/>
      <c r="AZ714" s="94"/>
      <c r="BA714" s="95"/>
    </row>
    <row r="715" spans="1:53" s="87" customFormat="1">
      <c r="A715" s="90" t="str">
        <f t="shared" si="36"/>
        <v/>
      </c>
      <c r="B715" s="98"/>
      <c r="C715" s="94"/>
      <c r="D715" s="94"/>
      <c r="E715" s="94"/>
      <c r="F715" s="94"/>
      <c r="G715" s="94"/>
      <c r="H715" s="94"/>
      <c r="I715" s="94"/>
      <c r="J715" s="94"/>
      <c r="K715" s="94"/>
      <c r="L715" s="94"/>
      <c r="M715" s="94"/>
      <c r="N715" s="94"/>
      <c r="O715" s="94"/>
      <c r="P715" s="94"/>
      <c r="Q715" s="94"/>
      <c r="R715" s="94"/>
      <c r="S715" s="94"/>
      <c r="T715" s="94"/>
      <c r="U715" s="94"/>
      <c r="V715" s="94"/>
      <c r="W715" s="94"/>
      <c r="X715" s="94"/>
      <c r="Y715" s="94"/>
      <c r="Z715" s="94"/>
      <c r="AA715" s="94"/>
      <c r="AB715" s="94"/>
      <c r="AC715" s="94"/>
      <c r="AD715" s="94"/>
      <c r="AE715" s="94"/>
      <c r="AF715" s="94"/>
      <c r="AG715" s="94"/>
      <c r="AH715" s="94"/>
      <c r="AI715" s="94"/>
      <c r="AJ715" s="94"/>
      <c r="AK715" s="94"/>
      <c r="AL715" s="94"/>
      <c r="AM715" s="94"/>
      <c r="AN715" s="94"/>
      <c r="AO715" s="94"/>
      <c r="AP715" s="94"/>
      <c r="AQ715" s="94"/>
      <c r="AR715" s="94"/>
      <c r="AS715" s="94"/>
      <c r="AT715" s="94"/>
      <c r="AU715" s="94"/>
      <c r="AV715" s="94"/>
      <c r="AW715" s="94"/>
      <c r="AX715" s="94"/>
      <c r="AY715" s="94"/>
      <c r="AZ715" s="94"/>
      <c r="BA715" s="95"/>
    </row>
    <row r="716" spans="1:53" s="87" customFormat="1">
      <c r="A716" s="90" t="str">
        <f t="shared" ref="A716:A779" si="37">IF(MID(B716,3,2)="03",ROW(),"")</f>
        <v/>
      </c>
      <c r="B716" s="98"/>
      <c r="C716" s="94"/>
      <c r="D716" s="94"/>
      <c r="E716" s="94"/>
      <c r="F716" s="94"/>
      <c r="G716" s="94"/>
      <c r="H716" s="94"/>
      <c r="I716" s="94"/>
      <c r="J716" s="94"/>
      <c r="K716" s="94"/>
      <c r="L716" s="94"/>
      <c r="M716" s="94"/>
      <c r="N716" s="94"/>
      <c r="O716" s="94"/>
      <c r="P716" s="94"/>
      <c r="Q716" s="94"/>
      <c r="R716" s="94"/>
      <c r="S716" s="94"/>
      <c r="T716" s="94"/>
      <c r="U716" s="94"/>
      <c r="V716" s="94"/>
      <c r="W716" s="94"/>
      <c r="X716" s="94"/>
      <c r="Y716" s="94"/>
      <c r="Z716" s="94"/>
      <c r="AA716" s="94"/>
      <c r="AB716" s="94"/>
      <c r="AC716" s="94"/>
      <c r="AD716" s="94"/>
      <c r="AE716" s="94"/>
      <c r="AF716" s="94"/>
      <c r="AG716" s="94"/>
      <c r="AH716" s="94"/>
      <c r="AI716" s="94"/>
      <c r="AJ716" s="94"/>
      <c r="AK716" s="94"/>
      <c r="AL716" s="94"/>
      <c r="AM716" s="94"/>
      <c r="AN716" s="94"/>
      <c r="AO716" s="94"/>
      <c r="AP716" s="94"/>
      <c r="AQ716" s="94"/>
      <c r="AR716" s="94"/>
      <c r="AS716" s="94"/>
      <c r="AT716" s="94"/>
      <c r="AU716" s="94"/>
      <c r="AV716" s="94"/>
      <c r="AW716" s="94"/>
      <c r="AX716" s="94"/>
      <c r="AY716" s="94"/>
      <c r="AZ716" s="94"/>
      <c r="BA716" s="95"/>
    </row>
    <row r="717" spans="1:53" s="87" customFormat="1">
      <c r="A717" s="90" t="str">
        <f t="shared" si="37"/>
        <v/>
      </c>
      <c r="B717" s="98"/>
      <c r="C717" s="94"/>
      <c r="D717" s="94"/>
      <c r="E717" s="94"/>
      <c r="F717" s="94"/>
      <c r="G717" s="94"/>
      <c r="H717" s="94"/>
      <c r="I717" s="94"/>
      <c r="J717" s="94"/>
      <c r="K717" s="94"/>
      <c r="L717" s="94"/>
      <c r="M717" s="94"/>
      <c r="N717" s="94"/>
      <c r="O717" s="94"/>
      <c r="P717" s="94"/>
      <c r="Q717" s="94"/>
      <c r="R717" s="94"/>
      <c r="S717" s="94"/>
      <c r="T717" s="94"/>
      <c r="U717" s="94"/>
      <c r="V717" s="94"/>
      <c r="W717" s="94"/>
      <c r="X717" s="94"/>
      <c r="Y717" s="94"/>
      <c r="Z717" s="94"/>
      <c r="AA717" s="94"/>
      <c r="AB717" s="94"/>
      <c r="AC717" s="94"/>
      <c r="AD717" s="94"/>
      <c r="AE717" s="94"/>
      <c r="AF717" s="94"/>
      <c r="AG717" s="94"/>
      <c r="AH717" s="94"/>
      <c r="AI717" s="94"/>
      <c r="AJ717" s="94"/>
      <c r="AK717" s="94"/>
      <c r="AL717" s="94"/>
      <c r="AM717" s="94"/>
      <c r="AN717" s="94"/>
      <c r="AO717" s="94"/>
      <c r="AP717" s="94"/>
      <c r="AQ717" s="94"/>
      <c r="AR717" s="94"/>
      <c r="AS717" s="94"/>
      <c r="AT717" s="94"/>
      <c r="AU717" s="94"/>
      <c r="AV717" s="94"/>
      <c r="AW717" s="94"/>
      <c r="AX717" s="94"/>
      <c r="AY717" s="94"/>
      <c r="AZ717" s="94"/>
      <c r="BA717" s="95"/>
    </row>
    <row r="718" spans="1:53" s="87" customFormat="1">
      <c r="A718" s="90" t="str">
        <f t="shared" si="37"/>
        <v/>
      </c>
      <c r="B718" s="98"/>
      <c r="C718" s="94"/>
      <c r="D718" s="94"/>
      <c r="E718" s="94"/>
      <c r="F718" s="94"/>
      <c r="G718" s="94"/>
      <c r="H718" s="94"/>
      <c r="I718" s="94"/>
      <c r="J718" s="94"/>
      <c r="K718" s="94"/>
      <c r="L718" s="94"/>
      <c r="M718" s="94"/>
      <c r="N718" s="94"/>
      <c r="O718" s="94"/>
      <c r="P718" s="94"/>
      <c r="Q718" s="94"/>
      <c r="R718" s="94"/>
      <c r="S718" s="94"/>
      <c r="T718" s="94"/>
      <c r="U718" s="94"/>
      <c r="V718" s="94"/>
      <c r="W718" s="94"/>
      <c r="X718" s="94"/>
      <c r="Y718" s="94"/>
      <c r="Z718" s="94"/>
      <c r="AA718" s="94"/>
      <c r="AB718" s="94"/>
      <c r="AC718" s="94"/>
      <c r="AD718" s="94"/>
      <c r="AE718" s="94"/>
      <c r="AF718" s="94"/>
      <c r="AG718" s="94"/>
      <c r="AH718" s="94"/>
      <c r="AI718" s="94"/>
      <c r="AJ718" s="94"/>
      <c r="AK718" s="94"/>
      <c r="AL718" s="94"/>
      <c r="AM718" s="94"/>
      <c r="AN718" s="94"/>
      <c r="AO718" s="94"/>
      <c r="AP718" s="94"/>
      <c r="AQ718" s="94"/>
      <c r="AR718" s="94"/>
      <c r="AS718" s="94"/>
      <c r="AT718" s="94"/>
      <c r="AU718" s="94"/>
      <c r="AV718" s="94"/>
      <c r="AW718" s="94"/>
      <c r="AX718" s="94"/>
      <c r="AY718" s="94"/>
      <c r="AZ718" s="94"/>
      <c r="BA718" s="95"/>
    </row>
    <row r="719" spans="1:53" s="87" customFormat="1">
      <c r="A719" s="90" t="str">
        <f t="shared" si="37"/>
        <v/>
      </c>
      <c r="B719" s="98"/>
      <c r="C719" s="94"/>
      <c r="D719" s="94"/>
      <c r="E719" s="94"/>
      <c r="F719" s="94"/>
      <c r="G719" s="94"/>
      <c r="H719" s="94"/>
      <c r="I719" s="94"/>
      <c r="J719" s="94"/>
      <c r="K719" s="94"/>
      <c r="L719" s="94"/>
      <c r="M719" s="94"/>
      <c r="N719" s="94"/>
      <c r="O719" s="94"/>
      <c r="P719" s="94"/>
      <c r="Q719" s="94"/>
      <c r="R719" s="94"/>
      <c r="S719" s="94"/>
      <c r="T719" s="94"/>
      <c r="U719" s="94"/>
      <c r="V719" s="94"/>
      <c r="W719" s="94"/>
      <c r="X719" s="94"/>
      <c r="Y719" s="94"/>
      <c r="Z719" s="94"/>
      <c r="AA719" s="94"/>
      <c r="AB719" s="94"/>
      <c r="AC719" s="94"/>
      <c r="AD719" s="94"/>
      <c r="AE719" s="94"/>
      <c r="AF719" s="94"/>
      <c r="AG719" s="94"/>
      <c r="AH719" s="94"/>
      <c r="AI719" s="94"/>
      <c r="AJ719" s="94"/>
      <c r="AK719" s="94"/>
      <c r="AL719" s="94"/>
      <c r="AM719" s="94"/>
      <c r="AN719" s="94"/>
      <c r="AO719" s="94"/>
      <c r="AP719" s="94"/>
      <c r="AQ719" s="94"/>
      <c r="AR719" s="94"/>
      <c r="AS719" s="94"/>
      <c r="AT719" s="94"/>
      <c r="AU719" s="94"/>
      <c r="AV719" s="94"/>
      <c r="AW719" s="94"/>
      <c r="AX719" s="94"/>
      <c r="AY719" s="94"/>
      <c r="AZ719" s="94"/>
      <c r="BA719" s="95"/>
    </row>
    <row r="720" spans="1:53" s="87" customFormat="1">
      <c r="A720" s="90" t="str">
        <f t="shared" si="37"/>
        <v/>
      </c>
      <c r="B720" s="98"/>
      <c r="C720" s="94"/>
      <c r="D720" s="94"/>
      <c r="E720" s="94"/>
      <c r="F720" s="94"/>
      <c r="G720" s="94"/>
      <c r="H720" s="94"/>
      <c r="I720" s="94"/>
      <c r="J720" s="94"/>
      <c r="K720" s="94"/>
      <c r="L720" s="94"/>
      <c r="M720" s="94"/>
      <c r="N720" s="94"/>
      <c r="O720" s="94"/>
      <c r="P720" s="94"/>
      <c r="Q720" s="94"/>
      <c r="R720" s="94"/>
      <c r="S720" s="94"/>
      <c r="T720" s="94"/>
      <c r="U720" s="94"/>
      <c r="V720" s="94"/>
      <c r="W720" s="94"/>
      <c r="X720" s="94"/>
      <c r="Y720" s="94"/>
      <c r="Z720" s="94"/>
      <c r="AA720" s="94"/>
      <c r="AB720" s="94"/>
      <c r="AC720" s="94"/>
      <c r="AD720" s="94"/>
      <c r="AE720" s="94"/>
      <c r="AF720" s="94"/>
      <c r="AG720" s="94"/>
      <c r="AH720" s="94"/>
      <c r="AI720" s="94"/>
      <c r="AJ720" s="94"/>
      <c r="AK720" s="94"/>
      <c r="AL720" s="94"/>
      <c r="AM720" s="94"/>
      <c r="AN720" s="94"/>
      <c r="AO720" s="94"/>
      <c r="AP720" s="94"/>
      <c r="AQ720" s="94"/>
      <c r="AR720" s="94"/>
      <c r="AS720" s="94"/>
      <c r="AT720" s="94"/>
      <c r="AU720" s="94"/>
      <c r="AV720" s="94"/>
      <c r="AW720" s="94"/>
      <c r="AX720" s="94"/>
      <c r="AY720" s="94"/>
      <c r="AZ720" s="94"/>
      <c r="BA720" s="95"/>
    </row>
    <row r="721" spans="1:53" s="87" customFormat="1">
      <c r="A721" s="90" t="str">
        <f t="shared" si="37"/>
        <v/>
      </c>
      <c r="B721" s="98"/>
      <c r="C721" s="94"/>
      <c r="D721" s="94"/>
      <c r="E721" s="94"/>
      <c r="F721" s="94"/>
      <c r="G721" s="94"/>
      <c r="H721" s="94"/>
      <c r="I721" s="94"/>
      <c r="J721" s="94"/>
      <c r="K721" s="94"/>
      <c r="L721" s="94"/>
      <c r="M721" s="94"/>
      <c r="N721" s="94"/>
      <c r="O721" s="94"/>
      <c r="P721" s="94"/>
      <c r="Q721" s="94"/>
      <c r="R721" s="94"/>
      <c r="S721" s="94"/>
      <c r="T721" s="94"/>
      <c r="U721" s="94"/>
      <c r="V721" s="94"/>
      <c r="W721" s="94"/>
      <c r="X721" s="94"/>
      <c r="Y721" s="94"/>
      <c r="Z721" s="94"/>
      <c r="AA721" s="94"/>
      <c r="AB721" s="94"/>
      <c r="AC721" s="94"/>
      <c r="AD721" s="94"/>
      <c r="AE721" s="94"/>
      <c r="AF721" s="94"/>
      <c r="AG721" s="94"/>
      <c r="AH721" s="94"/>
      <c r="AI721" s="94"/>
      <c r="AJ721" s="94"/>
      <c r="AK721" s="94"/>
      <c r="AL721" s="94"/>
      <c r="AM721" s="94"/>
      <c r="AN721" s="94"/>
      <c r="AO721" s="94"/>
      <c r="AP721" s="94"/>
      <c r="AQ721" s="94"/>
      <c r="AR721" s="94"/>
      <c r="AS721" s="94"/>
      <c r="AT721" s="94"/>
      <c r="AU721" s="94"/>
      <c r="AV721" s="94"/>
      <c r="AW721" s="94"/>
      <c r="AX721" s="94"/>
      <c r="AY721" s="94"/>
      <c r="AZ721" s="94"/>
      <c r="BA721" s="95"/>
    </row>
    <row r="722" spans="1:53" s="87" customFormat="1">
      <c r="A722" s="90" t="str">
        <f t="shared" si="37"/>
        <v/>
      </c>
      <c r="B722" s="98"/>
      <c r="C722" s="94"/>
      <c r="D722" s="94"/>
      <c r="E722" s="94"/>
      <c r="F722" s="94"/>
      <c r="G722" s="94"/>
      <c r="H722" s="94"/>
      <c r="I722" s="94"/>
      <c r="J722" s="94"/>
      <c r="K722" s="94"/>
      <c r="L722" s="94"/>
      <c r="M722" s="94"/>
      <c r="N722" s="94"/>
      <c r="O722" s="94"/>
      <c r="P722" s="94"/>
      <c r="Q722" s="94"/>
      <c r="R722" s="94"/>
      <c r="S722" s="94"/>
      <c r="T722" s="94"/>
      <c r="U722" s="94"/>
      <c r="V722" s="94"/>
      <c r="W722" s="94"/>
      <c r="X722" s="94"/>
      <c r="Y722" s="94"/>
      <c r="Z722" s="94"/>
      <c r="AA722" s="94"/>
      <c r="AB722" s="94"/>
      <c r="AC722" s="94"/>
      <c r="AD722" s="94"/>
      <c r="AE722" s="94"/>
      <c r="AF722" s="94"/>
      <c r="AG722" s="94"/>
      <c r="AH722" s="94"/>
      <c r="AI722" s="94"/>
      <c r="AJ722" s="94"/>
      <c r="AK722" s="94"/>
      <c r="AL722" s="94"/>
      <c r="AM722" s="94"/>
      <c r="AN722" s="94"/>
      <c r="AO722" s="94"/>
      <c r="AP722" s="94"/>
      <c r="AQ722" s="94"/>
      <c r="AR722" s="94"/>
      <c r="AS722" s="94"/>
      <c r="AT722" s="94"/>
      <c r="AU722" s="94"/>
      <c r="AV722" s="94"/>
      <c r="AW722" s="94"/>
      <c r="AX722" s="94"/>
      <c r="AY722" s="94"/>
      <c r="AZ722" s="94"/>
      <c r="BA722" s="95"/>
    </row>
    <row r="723" spans="1:53" s="87" customFormat="1">
      <c r="A723" s="90" t="str">
        <f t="shared" si="37"/>
        <v/>
      </c>
      <c r="B723" s="98"/>
      <c r="C723" s="94"/>
      <c r="D723" s="94"/>
      <c r="E723" s="94"/>
      <c r="F723" s="94"/>
      <c r="G723" s="94"/>
      <c r="H723" s="94"/>
      <c r="I723" s="94"/>
      <c r="J723" s="94"/>
      <c r="K723" s="94"/>
      <c r="L723" s="94"/>
      <c r="M723" s="94"/>
      <c r="N723" s="94"/>
      <c r="O723" s="94"/>
      <c r="P723" s="94"/>
      <c r="Q723" s="94"/>
      <c r="R723" s="94"/>
      <c r="S723" s="94"/>
      <c r="T723" s="94"/>
      <c r="U723" s="94"/>
      <c r="V723" s="94"/>
      <c r="W723" s="94"/>
      <c r="X723" s="94"/>
      <c r="Y723" s="94"/>
      <c r="Z723" s="94"/>
      <c r="AA723" s="94"/>
      <c r="AB723" s="94"/>
      <c r="AC723" s="94"/>
      <c r="AD723" s="94"/>
      <c r="AE723" s="94"/>
      <c r="AF723" s="94"/>
      <c r="AG723" s="94"/>
      <c r="AH723" s="94"/>
      <c r="AI723" s="94"/>
      <c r="AJ723" s="94"/>
      <c r="AK723" s="94"/>
      <c r="AL723" s="94"/>
      <c r="AM723" s="94"/>
      <c r="AN723" s="94"/>
      <c r="AO723" s="94"/>
      <c r="AP723" s="94"/>
      <c r="AQ723" s="94"/>
      <c r="AR723" s="94"/>
      <c r="AS723" s="94"/>
      <c r="AT723" s="94"/>
      <c r="AU723" s="94"/>
      <c r="AV723" s="94"/>
      <c r="AW723" s="94"/>
      <c r="AX723" s="94"/>
      <c r="AY723" s="94"/>
      <c r="AZ723" s="94"/>
      <c r="BA723" s="95"/>
    </row>
    <row r="724" spans="1:53" s="87" customFormat="1">
      <c r="A724" s="90" t="str">
        <f t="shared" si="37"/>
        <v/>
      </c>
      <c r="B724" s="98"/>
      <c r="C724" s="94"/>
      <c r="D724" s="94"/>
      <c r="E724" s="94"/>
      <c r="F724" s="94"/>
      <c r="G724" s="94"/>
      <c r="H724" s="94"/>
      <c r="I724" s="94"/>
      <c r="J724" s="94"/>
      <c r="K724" s="94"/>
      <c r="L724" s="94"/>
      <c r="M724" s="94"/>
      <c r="N724" s="94"/>
      <c r="O724" s="94"/>
      <c r="P724" s="94"/>
      <c r="Q724" s="94"/>
      <c r="R724" s="94"/>
      <c r="S724" s="94"/>
      <c r="T724" s="94"/>
      <c r="U724" s="94"/>
      <c r="V724" s="94"/>
      <c r="W724" s="94"/>
      <c r="X724" s="94"/>
      <c r="Y724" s="94"/>
      <c r="Z724" s="94"/>
      <c r="AA724" s="94"/>
      <c r="AB724" s="94"/>
      <c r="AC724" s="94"/>
      <c r="AD724" s="94"/>
      <c r="AE724" s="94"/>
      <c r="AF724" s="94"/>
      <c r="AG724" s="94"/>
      <c r="AH724" s="94"/>
      <c r="AI724" s="94"/>
      <c r="AJ724" s="94"/>
      <c r="AK724" s="94"/>
      <c r="AL724" s="94"/>
      <c r="AM724" s="94"/>
      <c r="AN724" s="94"/>
      <c r="AO724" s="94"/>
      <c r="AP724" s="94"/>
      <c r="AQ724" s="94"/>
      <c r="AR724" s="94"/>
      <c r="AS724" s="94"/>
      <c r="AT724" s="94"/>
      <c r="AU724" s="94"/>
      <c r="AV724" s="94"/>
      <c r="AW724" s="94"/>
      <c r="AX724" s="94"/>
      <c r="AY724" s="94"/>
      <c r="AZ724" s="94"/>
      <c r="BA724" s="95"/>
    </row>
    <row r="725" spans="1:53" s="87" customFormat="1">
      <c r="A725" s="90" t="str">
        <f t="shared" si="37"/>
        <v/>
      </c>
      <c r="B725" s="98"/>
      <c r="C725" s="94"/>
      <c r="D725" s="94"/>
      <c r="E725" s="94"/>
      <c r="F725" s="94"/>
      <c r="G725" s="94"/>
      <c r="H725" s="94"/>
      <c r="I725" s="94"/>
      <c r="J725" s="94"/>
      <c r="K725" s="94"/>
      <c r="L725" s="94"/>
      <c r="M725" s="94"/>
      <c r="N725" s="94"/>
      <c r="O725" s="94"/>
      <c r="P725" s="94"/>
      <c r="Q725" s="94"/>
      <c r="R725" s="94"/>
      <c r="S725" s="94"/>
      <c r="T725" s="94"/>
      <c r="U725" s="94"/>
      <c r="V725" s="94"/>
      <c r="W725" s="94"/>
      <c r="X725" s="94"/>
      <c r="Y725" s="94"/>
      <c r="Z725" s="94"/>
      <c r="AA725" s="94"/>
      <c r="AB725" s="94"/>
      <c r="AC725" s="94"/>
      <c r="AD725" s="94"/>
      <c r="AE725" s="94"/>
      <c r="AF725" s="94"/>
      <c r="AG725" s="94"/>
      <c r="AH725" s="94"/>
      <c r="AI725" s="94"/>
      <c r="AJ725" s="94"/>
      <c r="AK725" s="94"/>
      <c r="AL725" s="94"/>
      <c r="AM725" s="94"/>
      <c r="AN725" s="94"/>
      <c r="AO725" s="94"/>
      <c r="AP725" s="94"/>
      <c r="AQ725" s="94"/>
      <c r="AR725" s="94"/>
      <c r="AS725" s="94"/>
      <c r="AT725" s="94"/>
      <c r="AU725" s="94"/>
      <c r="AV725" s="94"/>
      <c r="AW725" s="94"/>
      <c r="AX725" s="94"/>
      <c r="AY725" s="94"/>
      <c r="AZ725" s="94"/>
      <c r="BA725" s="95"/>
    </row>
    <row r="726" spans="1:53" s="87" customFormat="1">
      <c r="A726" s="90" t="str">
        <f t="shared" si="37"/>
        <v/>
      </c>
      <c r="B726" s="98"/>
      <c r="C726" s="94"/>
      <c r="D726" s="94"/>
      <c r="E726" s="94"/>
      <c r="F726" s="94"/>
      <c r="G726" s="94"/>
      <c r="H726" s="94"/>
      <c r="I726" s="94"/>
      <c r="J726" s="94"/>
      <c r="K726" s="94"/>
      <c r="L726" s="94"/>
      <c r="M726" s="94"/>
      <c r="N726" s="94"/>
      <c r="O726" s="94"/>
      <c r="P726" s="94"/>
      <c r="Q726" s="94"/>
      <c r="R726" s="94"/>
      <c r="S726" s="94"/>
      <c r="T726" s="94"/>
      <c r="U726" s="94"/>
      <c r="V726" s="94"/>
      <c r="W726" s="94"/>
      <c r="X726" s="94"/>
      <c r="Y726" s="94"/>
      <c r="Z726" s="94"/>
      <c r="AA726" s="94"/>
      <c r="AB726" s="94"/>
      <c r="AC726" s="94"/>
      <c r="AD726" s="94"/>
      <c r="AE726" s="94"/>
      <c r="AF726" s="94"/>
      <c r="AG726" s="94"/>
      <c r="AH726" s="94"/>
      <c r="AI726" s="94"/>
      <c r="AJ726" s="94"/>
      <c r="AK726" s="94"/>
      <c r="AL726" s="94"/>
      <c r="AM726" s="94"/>
      <c r="AN726" s="94"/>
      <c r="AO726" s="94"/>
      <c r="AP726" s="94"/>
      <c r="AQ726" s="94"/>
      <c r="AR726" s="94"/>
      <c r="AS726" s="94"/>
      <c r="AT726" s="94"/>
      <c r="AU726" s="94"/>
      <c r="AV726" s="94"/>
      <c r="AW726" s="94"/>
      <c r="AX726" s="94"/>
      <c r="AY726" s="94"/>
      <c r="AZ726" s="94"/>
      <c r="BA726" s="95"/>
    </row>
    <row r="727" spans="1:53" s="87" customFormat="1">
      <c r="A727" s="90" t="str">
        <f t="shared" si="37"/>
        <v/>
      </c>
      <c r="B727" s="98"/>
      <c r="C727" s="94"/>
      <c r="D727" s="94"/>
      <c r="E727" s="94"/>
      <c r="F727" s="94"/>
      <c r="G727" s="94"/>
      <c r="H727" s="94"/>
      <c r="I727" s="94"/>
      <c r="J727" s="94"/>
      <c r="K727" s="94"/>
      <c r="L727" s="94"/>
      <c r="M727" s="94"/>
      <c r="N727" s="94"/>
      <c r="O727" s="94"/>
      <c r="P727" s="94"/>
      <c r="Q727" s="94"/>
      <c r="R727" s="94"/>
      <c r="S727" s="94"/>
      <c r="T727" s="94"/>
      <c r="U727" s="94"/>
      <c r="V727" s="94"/>
      <c r="W727" s="94"/>
      <c r="X727" s="94"/>
      <c r="Y727" s="94"/>
      <c r="Z727" s="94"/>
      <c r="AA727" s="94"/>
      <c r="AB727" s="94"/>
      <c r="AC727" s="94"/>
      <c r="AD727" s="94"/>
      <c r="AE727" s="94"/>
      <c r="AF727" s="94"/>
      <c r="AG727" s="94"/>
      <c r="AH727" s="94"/>
      <c r="AI727" s="94"/>
      <c r="AJ727" s="94"/>
      <c r="AK727" s="94"/>
      <c r="AL727" s="94"/>
      <c r="AM727" s="94"/>
      <c r="AN727" s="94"/>
      <c r="AO727" s="94"/>
      <c r="AP727" s="94"/>
      <c r="AQ727" s="94"/>
      <c r="AR727" s="94"/>
      <c r="AS727" s="94"/>
      <c r="AT727" s="94"/>
      <c r="AU727" s="94"/>
      <c r="AV727" s="94"/>
      <c r="AW727" s="94"/>
      <c r="AX727" s="94"/>
      <c r="AY727" s="94"/>
      <c r="AZ727" s="94"/>
      <c r="BA727" s="95"/>
    </row>
    <row r="728" spans="1:53" s="87" customFormat="1">
      <c r="A728" s="90" t="str">
        <f t="shared" si="37"/>
        <v/>
      </c>
      <c r="B728" s="98"/>
      <c r="C728" s="94"/>
      <c r="D728" s="94"/>
      <c r="E728" s="94"/>
      <c r="F728" s="94"/>
      <c r="G728" s="94"/>
      <c r="H728" s="94"/>
      <c r="I728" s="94"/>
      <c r="J728" s="94"/>
      <c r="K728" s="94"/>
      <c r="L728" s="94"/>
      <c r="M728" s="94"/>
      <c r="N728" s="94"/>
      <c r="O728" s="94"/>
      <c r="P728" s="94"/>
      <c r="Q728" s="94"/>
      <c r="R728" s="94"/>
      <c r="S728" s="94"/>
      <c r="T728" s="94"/>
      <c r="U728" s="94"/>
      <c r="V728" s="94"/>
      <c r="W728" s="94"/>
      <c r="X728" s="94"/>
      <c r="Y728" s="94"/>
      <c r="Z728" s="94"/>
      <c r="AA728" s="94"/>
      <c r="AB728" s="94"/>
      <c r="AC728" s="94"/>
      <c r="AD728" s="94"/>
      <c r="AE728" s="94"/>
      <c r="AF728" s="94"/>
      <c r="AG728" s="94"/>
      <c r="AH728" s="94"/>
      <c r="AI728" s="94"/>
      <c r="AJ728" s="94"/>
      <c r="AK728" s="94"/>
      <c r="AL728" s="94"/>
      <c r="AM728" s="94"/>
      <c r="AN728" s="94"/>
      <c r="AO728" s="94"/>
      <c r="AP728" s="94"/>
      <c r="AQ728" s="94"/>
      <c r="AR728" s="94"/>
      <c r="AS728" s="94"/>
      <c r="AT728" s="94"/>
      <c r="AU728" s="94"/>
      <c r="AV728" s="94"/>
      <c r="AW728" s="94"/>
      <c r="AX728" s="94"/>
      <c r="AY728" s="94"/>
      <c r="AZ728" s="94"/>
      <c r="BA728" s="95"/>
    </row>
    <row r="729" spans="1:53" s="87" customFormat="1">
      <c r="A729" s="90" t="str">
        <f t="shared" si="37"/>
        <v/>
      </c>
      <c r="B729" s="98"/>
      <c r="C729" s="94"/>
      <c r="D729" s="94"/>
      <c r="E729" s="94"/>
      <c r="F729" s="94"/>
      <c r="G729" s="94"/>
      <c r="H729" s="94"/>
      <c r="I729" s="94"/>
      <c r="J729" s="94"/>
      <c r="K729" s="94"/>
      <c r="L729" s="94"/>
      <c r="M729" s="94"/>
      <c r="N729" s="94"/>
      <c r="O729" s="94"/>
      <c r="P729" s="94"/>
      <c r="Q729" s="94"/>
      <c r="R729" s="94"/>
      <c r="S729" s="94"/>
      <c r="T729" s="94"/>
      <c r="U729" s="94"/>
      <c r="V729" s="94"/>
      <c r="W729" s="94"/>
      <c r="X729" s="94"/>
      <c r="Y729" s="94"/>
      <c r="Z729" s="94"/>
      <c r="AA729" s="94"/>
      <c r="AB729" s="94"/>
      <c r="AC729" s="94"/>
      <c r="AD729" s="94"/>
      <c r="AE729" s="94"/>
      <c r="AF729" s="94"/>
      <c r="AG729" s="94"/>
      <c r="AH729" s="94"/>
      <c r="AI729" s="94"/>
      <c r="AJ729" s="94"/>
      <c r="AK729" s="94"/>
      <c r="AL729" s="94"/>
      <c r="AM729" s="94"/>
      <c r="AN729" s="94"/>
      <c r="AO729" s="94"/>
      <c r="AP729" s="94"/>
      <c r="AQ729" s="94"/>
      <c r="AR729" s="94"/>
      <c r="AS729" s="94"/>
      <c r="AT729" s="94"/>
      <c r="AU729" s="94"/>
      <c r="AV729" s="94"/>
      <c r="AW729" s="94"/>
      <c r="AX729" s="94"/>
      <c r="AY729" s="94"/>
      <c r="AZ729" s="94"/>
      <c r="BA729" s="95"/>
    </row>
    <row r="730" spans="1:53" s="87" customFormat="1">
      <c r="A730" s="90" t="str">
        <f t="shared" si="37"/>
        <v/>
      </c>
      <c r="B730" s="98"/>
      <c r="C730" s="94"/>
      <c r="D730" s="94"/>
      <c r="E730" s="94"/>
      <c r="F730" s="94"/>
      <c r="G730" s="94"/>
      <c r="H730" s="94"/>
      <c r="I730" s="94"/>
      <c r="J730" s="94"/>
      <c r="K730" s="94"/>
      <c r="L730" s="94"/>
      <c r="M730" s="94"/>
      <c r="N730" s="94"/>
      <c r="O730" s="94"/>
      <c r="P730" s="94"/>
      <c r="Q730" s="94"/>
      <c r="R730" s="94"/>
      <c r="S730" s="94"/>
      <c r="T730" s="94"/>
      <c r="U730" s="94"/>
      <c r="V730" s="94"/>
      <c r="W730" s="94"/>
      <c r="X730" s="94"/>
      <c r="Y730" s="94"/>
      <c r="Z730" s="94"/>
      <c r="AA730" s="94"/>
      <c r="AB730" s="94"/>
      <c r="AC730" s="94"/>
      <c r="AD730" s="94"/>
      <c r="AE730" s="94"/>
      <c r="AF730" s="94"/>
      <c r="AG730" s="94"/>
      <c r="AH730" s="94"/>
      <c r="AI730" s="94"/>
      <c r="AJ730" s="94"/>
      <c r="AK730" s="94"/>
      <c r="AL730" s="94"/>
      <c r="AM730" s="94"/>
      <c r="AN730" s="94"/>
      <c r="AO730" s="94"/>
      <c r="AP730" s="94"/>
      <c r="AQ730" s="94"/>
      <c r="AR730" s="94"/>
      <c r="AS730" s="94"/>
      <c r="AT730" s="94"/>
      <c r="AU730" s="94"/>
      <c r="AV730" s="94"/>
      <c r="AW730" s="94"/>
      <c r="AX730" s="94"/>
      <c r="AY730" s="94"/>
      <c r="AZ730" s="94"/>
      <c r="BA730" s="95"/>
    </row>
    <row r="731" spans="1:53" s="87" customFormat="1">
      <c r="A731" s="90" t="str">
        <f t="shared" si="37"/>
        <v/>
      </c>
      <c r="B731" s="98"/>
      <c r="C731" s="94"/>
      <c r="D731" s="94"/>
      <c r="E731" s="94"/>
      <c r="F731" s="94"/>
      <c r="G731" s="94"/>
      <c r="H731" s="94"/>
      <c r="I731" s="94"/>
      <c r="J731" s="94"/>
      <c r="K731" s="94"/>
      <c r="L731" s="94"/>
      <c r="M731" s="94"/>
      <c r="N731" s="94"/>
      <c r="O731" s="94"/>
      <c r="P731" s="94"/>
      <c r="Q731" s="94"/>
      <c r="R731" s="94"/>
      <c r="S731" s="94"/>
      <c r="T731" s="94"/>
      <c r="U731" s="94"/>
      <c r="V731" s="94"/>
      <c r="W731" s="94"/>
      <c r="X731" s="94"/>
      <c r="Y731" s="94"/>
      <c r="Z731" s="94"/>
      <c r="AA731" s="94"/>
      <c r="AB731" s="94"/>
      <c r="AC731" s="94"/>
      <c r="AD731" s="94"/>
      <c r="AE731" s="94"/>
      <c r="AF731" s="94"/>
      <c r="AG731" s="94"/>
      <c r="AH731" s="94"/>
      <c r="AI731" s="94"/>
      <c r="AJ731" s="94"/>
      <c r="AK731" s="94"/>
      <c r="AL731" s="94"/>
      <c r="AM731" s="94"/>
      <c r="AN731" s="94"/>
      <c r="AO731" s="94"/>
      <c r="AP731" s="94"/>
      <c r="AQ731" s="94"/>
      <c r="AR731" s="94"/>
      <c r="AS731" s="94"/>
      <c r="AT731" s="94"/>
      <c r="AU731" s="94"/>
      <c r="AV731" s="94"/>
      <c r="AW731" s="94"/>
      <c r="AX731" s="94"/>
      <c r="AY731" s="94"/>
      <c r="AZ731" s="94"/>
      <c r="BA731" s="95"/>
    </row>
    <row r="732" spans="1:53" s="87" customFormat="1">
      <c r="A732" s="90" t="str">
        <f t="shared" si="37"/>
        <v/>
      </c>
      <c r="B732" s="98"/>
      <c r="C732" s="94"/>
      <c r="D732" s="94"/>
      <c r="E732" s="94"/>
      <c r="F732" s="94"/>
      <c r="G732" s="94"/>
      <c r="H732" s="94"/>
      <c r="I732" s="94"/>
      <c r="J732" s="94"/>
      <c r="K732" s="94"/>
      <c r="L732" s="94"/>
      <c r="M732" s="94"/>
      <c r="N732" s="94"/>
      <c r="O732" s="94"/>
      <c r="P732" s="94"/>
      <c r="Q732" s="94"/>
      <c r="R732" s="94"/>
      <c r="S732" s="94"/>
      <c r="T732" s="94"/>
      <c r="U732" s="94"/>
      <c r="V732" s="94"/>
      <c r="W732" s="94"/>
      <c r="X732" s="94"/>
      <c r="Y732" s="94"/>
      <c r="Z732" s="94"/>
      <c r="AA732" s="94"/>
      <c r="AB732" s="94"/>
      <c r="AC732" s="94"/>
      <c r="AD732" s="94"/>
      <c r="AE732" s="94"/>
      <c r="AF732" s="94"/>
      <c r="AG732" s="94"/>
      <c r="AH732" s="94"/>
      <c r="AI732" s="94"/>
      <c r="AJ732" s="94"/>
      <c r="AK732" s="94"/>
      <c r="AL732" s="94"/>
      <c r="AM732" s="94"/>
      <c r="AN732" s="94"/>
      <c r="AO732" s="94"/>
      <c r="AP732" s="94"/>
      <c r="AQ732" s="94"/>
      <c r="AR732" s="94"/>
      <c r="AS732" s="94"/>
      <c r="AT732" s="94"/>
      <c r="AU732" s="94"/>
      <c r="AV732" s="94"/>
      <c r="AW732" s="94"/>
      <c r="AX732" s="94"/>
      <c r="AY732" s="94"/>
      <c r="AZ732" s="94"/>
      <c r="BA732" s="95"/>
    </row>
    <row r="733" spans="1:53" s="87" customFormat="1">
      <c r="A733" s="90" t="str">
        <f t="shared" si="37"/>
        <v/>
      </c>
      <c r="B733" s="98"/>
      <c r="C733" s="94"/>
      <c r="D733" s="94"/>
      <c r="E733" s="94"/>
      <c r="F733" s="94"/>
      <c r="G733" s="94"/>
      <c r="H733" s="94"/>
      <c r="I733" s="94"/>
      <c r="J733" s="94"/>
      <c r="K733" s="94"/>
      <c r="L733" s="94"/>
      <c r="M733" s="94"/>
      <c r="N733" s="94"/>
      <c r="O733" s="94"/>
      <c r="P733" s="94"/>
      <c r="Q733" s="94"/>
      <c r="R733" s="94"/>
      <c r="S733" s="94"/>
      <c r="T733" s="94"/>
      <c r="U733" s="94"/>
      <c r="V733" s="94"/>
      <c r="W733" s="94"/>
      <c r="X733" s="94"/>
      <c r="Y733" s="94"/>
      <c r="Z733" s="94"/>
      <c r="AA733" s="94"/>
      <c r="AB733" s="94"/>
      <c r="AC733" s="94"/>
      <c r="AD733" s="94"/>
      <c r="AE733" s="94"/>
      <c r="AF733" s="94"/>
      <c r="AG733" s="94"/>
      <c r="AH733" s="94"/>
      <c r="AI733" s="94"/>
      <c r="AJ733" s="94"/>
      <c r="AK733" s="94"/>
      <c r="AL733" s="94"/>
      <c r="AM733" s="94"/>
      <c r="AN733" s="94"/>
      <c r="AO733" s="94"/>
      <c r="AP733" s="94"/>
      <c r="AQ733" s="94"/>
      <c r="AR733" s="94"/>
      <c r="AS733" s="94"/>
      <c r="AT733" s="94"/>
      <c r="AU733" s="94"/>
      <c r="AV733" s="94"/>
      <c r="AW733" s="94"/>
      <c r="AX733" s="94"/>
      <c r="AY733" s="94"/>
      <c r="AZ733" s="94"/>
      <c r="BA733" s="95"/>
    </row>
    <row r="734" spans="1:53" s="87" customFormat="1">
      <c r="A734" s="90" t="str">
        <f t="shared" si="37"/>
        <v/>
      </c>
      <c r="B734" s="98"/>
      <c r="C734" s="94"/>
      <c r="D734" s="94"/>
      <c r="E734" s="94"/>
      <c r="F734" s="94"/>
      <c r="G734" s="94"/>
      <c r="H734" s="94"/>
      <c r="I734" s="94"/>
      <c r="J734" s="94"/>
      <c r="K734" s="94"/>
      <c r="L734" s="94"/>
      <c r="M734" s="94"/>
      <c r="N734" s="94"/>
      <c r="O734" s="94"/>
      <c r="P734" s="94"/>
      <c r="Q734" s="94"/>
      <c r="R734" s="94"/>
      <c r="S734" s="94"/>
      <c r="T734" s="94"/>
      <c r="U734" s="94"/>
      <c r="V734" s="94"/>
      <c r="W734" s="94"/>
      <c r="X734" s="94"/>
      <c r="Y734" s="94"/>
      <c r="Z734" s="94"/>
      <c r="AA734" s="94"/>
      <c r="AB734" s="94"/>
      <c r="AC734" s="94"/>
      <c r="AD734" s="94"/>
      <c r="AE734" s="94"/>
      <c r="AF734" s="94"/>
      <c r="AG734" s="94"/>
      <c r="AH734" s="94"/>
      <c r="AI734" s="94"/>
      <c r="AJ734" s="94"/>
      <c r="AK734" s="94"/>
      <c r="AL734" s="94"/>
      <c r="AM734" s="94"/>
      <c r="AN734" s="94"/>
      <c r="AO734" s="94"/>
      <c r="AP734" s="94"/>
      <c r="AQ734" s="94"/>
      <c r="AR734" s="94"/>
      <c r="AS734" s="94"/>
      <c r="AT734" s="94"/>
      <c r="AU734" s="94"/>
      <c r="AV734" s="94"/>
      <c r="AW734" s="94"/>
      <c r="AX734" s="94"/>
      <c r="AY734" s="94"/>
      <c r="AZ734" s="94"/>
      <c r="BA734" s="95"/>
    </row>
    <row r="735" spans="1:53" s="87" customFormat="1">
      <c r="A735" s="90" t="str">
        <f t="shared" si="37"/>
        <v/>
      </c>
      <c r="B735" s="98"/>
      <c r="C735" s="94"/>
      <c r="D735" s="94"/>
      <c r="E735" s="94"/>
      <c r="F735" s="94"/>
      <c r="G735" s="94"/>
      <c r="H735" s="94"/>
      <c r="I735" s="94"/>
      <c r="J735" s="94"/>
      <c r="K735" s="94"/>
      <c r="L735" s="94"/>
      <c r="M735" s="94"/>
      <c r="N735" s="94"/>
      <c r="O735" s="94"/>
      <c r="P735" s="94"/>
      <c r="Q735" s="94"/>
      <c r="R735" s="94"/>
      <c r="S735" s="94"/>
      <c r="T735" s="94"/>
      <c r="U735" s="94"/>
      <c r="V735" s="94"/>
      <c r="W735" s="94"/>
      <c r="X735" s="94"/>
      <c r="Y735" s="94"/>
      <c r="Z735" s="94"/>
      <c r="AA735" s="94"/>
      <c r="AB735" s="94"/>
      <c r="AC735" s="94"/>
      <c r="AD735" s="94"/>
      <c r="AE735" s="94"/>
      <c r="AF735" s="94"/>
      <c r="AG735" s="94"/>
      <c r="AH735" s="94"/>
      <c r="AI735" s="94"/>
      <c r="AJ735" s="94"/>
      <c r="AK735" s="94"/>
      <c r="AL735" s="94"/>
      <c r="AM735" s="94"/>
      <c r="AN735" s="94"/>
      <c r="AO735" s="94"/>
      <c r="AP735" s="94"/>
      <c r="AQ735" s="94"/>
      <c r="AR735" s="94"/>
      <c r="AS735" s="94"/>
      <c r="AT735" s="94"/>
      <c r="AU735" s="94"/>
      <c r="AV735" s="94"/>
      <c r="AW735" s="94"/>
      <c r="AX735" s="94"/>
      <c r="AY735" s="94"/>
      <c r="AZ735" s="94"/>
      <c r="BA735" s="95"/>
    </row>
    <row r="736" spans="1:53" s="87" customFormat="1">
      <c r="A736" s="90" t="str">
        <f t="shared" si="37"/>
        <v/>
      </c>
      <c r="B736" s="98"/>
      <c r="C736" s="94"/>
      <c r="D736" s="94"/>
      <c r="E736" s="94"/>
      <c r="F736" s="94"/>
      <c r="G736" s="94"/>
      <c r="H736" s="94"/>
      <c r="I736" s="94"/>
      <c r="J736" s="94"/>
      <c r="K736" s="94"/>
      <c r="L736" s="94"/>
      <c r="M736" s="94"/>
      <c r="N736" s="94"/>
      <c r="O736" s="94"/>
      <c r="P736" s="94"/>
      <c r="Q736" s="94"/>
      <c r="R736" s="94"/>
      <c r="S736" s="94"/>
      <c r="T736" s="94"/>
      <c r="U736" s="94"/>
      <c r="V736" s="94"/>
      <c r="W736" s="94"/>
      <c r="X736" s="94"/>
      <c r="Y736" s="94"/>
      <c r="Z736" s="94"/>
      <c r="AA736" s="94"/>
      <c r="AB736" s="94"/>
      <c r="AC736" s="94"/>
      <c r="AD736" s="94"/>
      <c r="AE736" s="94"/>
      <c r="AF736" s="94"/>
      <c r="AG736" s="94"/>
      <c r="AH736" s="94"/>
      <c r="AI736" s="94"/>
      <c r="AJ736" s="94"/>
      <c r="AK736" s="94"/>
      <c r="AL736" s="94"/>
      <c r="AM736" s="94"/>
      <c r="AN736" s="94"/>
      <c r="AO736" s="94"/>
      <c r="AP736" s="94"/>
      <c r="AQ736" s="94"/>
      <c r="AR736" s="94"/>
      <c r="AS736" s="94"/>
      <c r="AT736" s="94"/>
      <c r="AU736" s="94"/>
      <c r="AV736" s="94"/>
      <c r="AW736" s="94"/>
      <c r="AX736" s="94"/>
      <c r="AY736" s="94"/>
      <c r="AZ736" s="94"/>
      <c r="BA736" s="95"/>
    </row>
    <row r="737" spans="1:53" s="87" customFormat="1">
      <c r="A737" s="90" t="str">
        <f t="shared" si="37"/>
        <v/>
      </c>
      <c r="B737" s="98"/>
      <c r="C737" s="94"/>
      <c r="D737" s="94"/>
      <c r="E737" s="94"/>
      <c r="F737" s="94"/>
      <c r="G737" s="94"/>
      <c r="H737" s="94"/>
      <c r="I737" s="94"/>
      <c r="J737" s="94"/>
      <c r="K737" s="94"/>
      <c r="L737" s="94"/>
      <c r="M737" s="94"/>
      <c r="N737" s="94"/>
      <c r="O737" s="94"/>
      <c r="P737" s="94"/>
      <c r="Q737" s="94"/>
      <c r="R737" s="94"/>
      <c r="S737" s="94"/>
      <c r="T737" s="94"/>
      <c r="U737" s="94"/>
      <c r="V737" s="94"/>
      <c r="W737" s="94"/>
      <c r="X737" s="94"/>
      <c r="Y737" s="94"/>
      <c r="Z737" s="94"/>
      <c r="AA737" s="94"/>
      <c r="AB737" s="94"/>
      <c r="AC737" s="94"/>
      <c r="AD737" s="94"/>
      <c r="AE737" s="94"/>
      <c r="AF737" s="94"/>
      <c r="AG737" s="94"/>
      <c r="AH737" s="94"/>
      <c r="AI737" s="94"/>
      <c r="AJ737" s="94"/>
      <c r="AK737" s="94"/>
      <c r="AL737" s="94"/>
      <c r="AM737" s="94"/>
      <c r="AN737" s="94"/>
      <c r="AO737" s="94"/>
      <c r="AP737" s="94"/>
      <c r="AQ737" s="94"/>
      <c r="AR737" s="94"/>
      <c r="AS737" s="94"/>
      <c r="AT737" s="94"/>
      <c r="AU737" s="94"/>
      <c r="AV737" s="94"/>
      <c r="AW737" s="94"/>
      <c r="AX737" s="94"/>
      <c r="AY737" s="94"/>
      <c r="AZ737" s="94"/>
      <c r="BA737" s="95"/>
    </row>
    <row r="738" spans="1:53" s="87" customFormat="1">
      <c r="A738" s="90" t="str">
        <f t="shared" si="37"/>
        <v/>
      </c>
      <c r="B738" s="98"/>
      <c r="C738" s="94"/>
      <c r="D738" s="94"/>
      <c r="E738" s="94"/>
      <c r="F738" s="94"/>
      <c r="G738" s="94"/>
      <c r="H738" s="94"/>
      <c r="I738" s="94"/>
      <c r="J738" s="94"/>
      <c r="K738" s="94"/>
      <c r="L738" s="94"/>
      <c r="M738" s="94"/>
      <c r="N738" s="94"/>
      <c r="O738" s="94"/>
      <c r="P738" s="94"/>
      <c r="Q738" s="94"/>
      <c r="R738" s="94"/>
      <c r="S738" s="94"/>
      <c r="T738" s="94"/>
      <c r="U738" s="94"/>
      <c r="V738" s="94"/>
      <c r="W738" s="94"/>
      <c r="X738" s="94"/>
      <c r="Y738" s="94"/>
      <c r="Z738" s="94"/>
      <c r="AA738" s="94"/>
      <c r="AB738" s="94"/>
      <c r="AC738" s="94"/>
      <c r="AD738" s="94"/>
      <c r="AE738" s="94"/>
      <c r="AF738" s="94"/>
      <c r="AG738" s="94"/>
      <c r="AH738" s="94"/>
      <c r="AI738" s="94"/>
      <c r="AJ738" s="94"/>
      <c r="AK738" s="94"/>
      <c r="AL738" s="94"/>
      <c r="AM738" s="94"/>
      <c r="AN738" s="94"/>
      <c r="AO738" s="94"/>
      <c r="AP738" s="94"/>
      <c r="AQ738" s="94"/>
      <c r="AR738" s="94"/>
      <c r="AS738" s="94"/>
      <c r="AT738" s="94"/>
      <c r="AU738" s="94"/>
      <c r="AV738" s="94"/>
      <c r="AW738" s="94"/>
      <c r="AX738" s="94"/>
      <c r="AY738" s="94"/>
      <c r="AZ738" s="94"/>
      <c r="BA738" s="95"/>
    </row>
    <row r="739" spans="1:53" s="87" customFormat="1">
      <c r="A739" s="90" t="str">
        <f t="shared" si="37"/>
        <v/>
      </c>
      <c r="B739" s="98"/>
      <c r="C739" s="94"/>
      <c r="D739" s="94"/>
      <c r="E739" s="94"/>
      <c r="F739" s="94"/>
      <c r="G739" s="94"/>
      <c r="H739" s="94"/>
      <c r="I739" s="94"/>
      <c r="J739" s="94"/>
      <c r="K739" s="94"/>
      <c r="L739" s="94"/>
      <c r="M739" s="94"/>
      <c r="N739" s="94"/>
      <c r="O739" s="94"/>
      <c r="P739" s="94"/>
      <c r="Q739" s="94"/>
      <c r="R739" s="94"/>
      <c r="S739" s="94"/>
      <c r="T739" s="94"/>
      <c r="U739" s="94"/>
      <c r="V739" s="94"/>
      <c r="W739" s="94"/>
      <c r="X739" s="94"/>
      <c r="Y739" s="94"/>
      <c r="Z739" s="94"/>
      <c r="AA739" s="94"/>
      <c r="AB739" s="94"/>
      <c r="AC739" s="94"/>
      <c r="AD739" s="94"/>
      <c r="AE739" s="94"/>
      <c r="AF739" s="94"/>
      <c r="AG739" s="94"/>
      <c r="AH739" s="94"/>
      <c r="AI739" s="94"/>
      <c r="AJ739" s="94"/>
      <c r="AK739" s="94"/>
      <c r="AL739" s="94"/>
      <c r="AM739" s="94"/>
      <c r="AN739" s="94"/>
      <c r="AO739" s="94"/>
      <c r="AP739" s="94"/>
      <c r="AQ739" s="94"/>
      <c r="AR739" s="94"/>
      <c r="AS739" s="94"/>
      <c r="AT739" s="94"/>
      <c r="AU739" s="94"/>
      <c r="AV739" s="94"/>
      <c r="AW739" s="94"/>
      <c r="AX739" s="94"/>
      <c r="AY739" s="94"/>
      <c r="AZ739" s="94"/>
      <c r="BA739" s="95"/>
    </row>
    <row r="740" spans="1:53" s="87" customFormat="1">
      <c r="A740" s="90" t="str">
        <f t="shared" si="37"/>
        <v/>
      </c>
      <c r="B740" s="98"/>
      <c r="C740" s="94"/>
      <c r="D740" s="94"/>
      <c r="E740" s="94"/>
      <c r="F740" s="94"/>
      <c r="G740" s="94"/>
      <c r="H740" s="94"/>
      <c r="I740" s="94"/>
      <c r="J740" s="94"/>
      <c r="K740" s="94"/>
      <c r="L740" s="94"/>
      <c r="M740" s="94"/>
      <c r="N740" s="94"/>
      <c r="O740" s="94"/>
      <c r="P740" s="94"/>
      <c r="Q740" s="94"/>
      <c r="R740" s="94"/>
      <c r="S740" s="94"/>
      <c r="T740" s="94"/>
      <c r="U740" s="94"/>
      <c r="V740" s="94"/>
      <c r="W740" s="94"/>
      <c r="X740" s="94"/>
      <c r="Y740" s="94"/>
      <c r="Z740" s="94"/>
      <c r="AA740" s="94"/>
      <c r="AB740" s="94"/>
      <c r="AC740" s="94"/>
      <c r="AD740" s="94"/>
      <c r="AE740" s="94"/>
      <c r="AF740" s="94"/>
      <c r="AG740" s="94"/>
      <c r="AH740" s="94"/>
      <c r="AI740" s="94"/>
      <c r="AJ740" s="94"/>
      <c r="AK740" s="94"/>
      <c r="AL740" s="94"/>
      <c r="AM740" s="94"/>
      <c r="AN740" s="94"/>
      <c r="AO740" s="94"/>
      <c r="AP740" s="94"/>
      <c r="AQ740" s="94"/>
      <c r="AR740" s="94"/>
      <c r="AS740" s="94"/>
      <c r="AT740" s="94"/>
      <c r="AU740" s="94"/>
      <c r="AV740" s="94"/>
      <c r="AW740" s="94"/>
      <c r="AX740" s="94"/>
      <c r="AY740" s="94"/>
      <c r="AZ740" s="94"/>
      <c r="BA740" s="95"/>
    </row>
    <row r="741" spans="1:53" s="87" customFormat="1">
      <c r="A741" s="90" t="str">
        <f t="shared" si="37"/>
        <v/>
      </c>
      <c r="B741" s="98"/>
      <c r="C741" s="94"/>
      <c r="D741" s="94"/>
      <c r="E741" s="94"/>
      <c r="F741" s="94"/>
      <c r="G741" s="94"/>
      <c r="H741" s="94"/>
      <c r="I741" s="94"/>
      <c r="J741" s="94"/>
      <c r="K741" s="94"/>
      <c r="L741" s="94"/>
      <c r="M741" s="94"/>
      <c r="N741" s="94"/>
      <c r="O741" s="94"/>
      <c r="P741" s="94"/>
      <c r="Q741" s="94"/>
      <c r="R741" s="94"/>
      <c r="S741" s="94"/>
      <c r="T741" s="94"/>
      <c r="U741" s="94"/>
      <c r="V741" s="94"/>
      <c r="W741" s="94"/>
      <c r="X741" s="94"/>
      <c r="Y741" s="94"/>
      <c r="Z741" s="94"/>
      <c r="AA741" s="94"/>
      <c r="AB741" s="94"/>
      <c r="AC741" s="94"/>
      <c r="AD741" s="94"/>
      <c r="AE741" s="94"/>
      <c r="AF741" s="94"/>
      <c r="AG741" s="94"/>
      <c r="AH741" s="94"/>
      <c r="AI741" s="94"/>
      <c r="AJ741" s="94"/>
      <c r="AK741" s="94"/>
      <c r="AL741" s="94"/>
      <c r="AM741" s="94"/>
      <c r="AN741" s="94"/>
      <c r="AO741" s="94"/>
      <c r="AP741" s="94"/>
      <c r="AQ741" s="94"/>
      <c r="AR741" s="94"/>
      <c r="AS741" s="94"/>
      <c r="AT741" s="94"/>
      <c r="AU741" s="94"/>
      <c r="AV741" s="94"/>
      <c r="AW741" s="94"/>
      <c r="AX741" s="94"/>
      <c r="AY741" s="94"/>
      <c r="AZ741" s="94"/>
      <c r="BA741" s="95"/>
    </row>
    <row r="742" spans="1:53" s="87" customFormat="1">
      <c r="A742" s="90" t="str">
        <f t="shared" si="37"/>
        <v/>
      </c>
      <c r="B742" s="98"/>
      <c r="C742" s="94"/>
      <c r="D742" s="94"/>
      <c r="E742" s="94"/>
      <c r="F742" s="94"/>
      <c r="G742" s="94"/>
      <c r="H742" s="94"/>
      <c r="I742" s="94"/>
      <c r="J742" s="94"/>
      <c r="K742" s="94"/>
      <c r="L742" s="94"/>
      <c r="M742" s="94"/>
      <c r="N742" s="94"/>
      <c r="O742" s="94"/>
      <c r="P742" s="94"/>
      <c r="Q742" s="94"/>
      <c r="R742" s="94"/>
      <c r="S742" s="94"/>
      <c r="T742" s="94"/>
      <c r="U742" s="94"/>
      <c r="V742" s="94"/>
      <c r="W742" s="94"/>
      <c r="X742" s="94"/>
      <c r="Y742" s="94"/>
      <c r="Z742" s="94"/>
      <c r="AA742" s="94"/>
      <c r="AB742" s="94"/>
      <c r="AC742" s="94"/>
      <c r="AD742" s="94"/>
      <c r="AE742" s="94"/>
      <c r="AF742" s="94"/>
      <c r="AG742" s="94"/>
      <c r="AH742" s="94"/>
      <c r="AI742" s="94"/>
      <c r="AJ742" s="94"/>
      <c r="AK742" s="94"/>
      <c r="AL742" s="94"/>
      <c r="AM742" s="94"/>
      <c r="AN742" s="94"/>
      <c r="AO742" s="94"/>
      <c r="AP742" s="94"/>
      <c r="AQ742" s="94"/>
      <c r="AR742" s="94"/>
      <c r="AS742" s="94"/>
      <c r="AT742" s="94"/>
      <c r="AU742" s="94"/>
      <c r="AV742" s="94"/>
      <c r="AW742" s="94"/>
      <c r="AX742" s="94"/>
      <c r="AY742" s="94"/>
      <c r="AZ742" s="94"/>
      <c r="BA742" s="95"/>
    </row>
    <row r="743" spans="1:53" s="87" customFormat="1">
      <c r="A743" s="90" t="str">
        <f t="shared" si="37"/>
        <v/>
      </c>
      <c r="B743" s="98"/>
      <c r="C743" s="94"/>
      <c r="D743" s="94"/>
      <c r="E743" s="94"/>
      <c r="F743" s="94"/>
      <c r="G743" s="94"/>
      <c r="H743" s="94"/>
      <c r="I743" s="94"/>
      <c r="J743" s="94"/>
      <c r="K743" s="94"/>
      <c r="L743" s="94"/>
      <c r="M743" s="94"/>
      <c r="N743" s="94"/>
      <c r="O743" s="94"/>
      <c r="P743" s="94"/>
      <c r="Q743" s="94"/>
      <c r="R743" s="94"/>
      <c r="S743" s="94"/>
      <c r="T743" s="94"/>
      <c r="U743" s="94"/>
      <c r="V743" s="94"/>
      <c r="W743" s="94"/>
      <c r="X743" s="94"/>
      <c r="Y743" s="94"/>
      <c r="Z743" s="94"/>
      <c r="AA743" s="94"/>
      <c r="AB743" s="94"/>
      <c r="AC743" s="94"/>
      <c r="AD743" s="94"/>
      <c r="AE743" s="94"/>
      <c r="AF743" s="94"/>
      <c r="AG743" s="94"/>
      <c r="AH743" s="94"/>
      <c r="AI743" s="94"/>
      <c r="AJ743" s="94"/>
      <c r="AK743" s="94"/>
      <c r="AL743" s="94"/>
      <c r="AM743" s="94"/>
      <c r="AN743" s="94"/>
      <c r="AO743" s="94"/>
      <c r="AP743" s="94"/>
      <c r="AQ743" s="94"/>
      <c r="AR743" s="94"/>
      <c r="AS743" s="94"/>
      <c r="AT743" s="94"/>
      <c r="AU743" s="94"/>
      <c r="AV743" s="94"/>
      <c r="AW743" s="94"/>
      <c r="AX743" s="94"/>
      <c r="AY743" s="94"/>
      <c r="AZ743" s="94"/>
      <c r="BA743" s="95"/>
    </row>
    <row r="744" spans="1:53" s="87" customFormat="1">
      <c r="A744" s="90" t="str">
        <f t="shared" si="37"/>
        <v/>
      </c>
      <c r="B744" s="98"/>
      <c r="C744" s="94"/>
      <c r="D744" s="94"/>
      <c r="E744" s="94"/>
      <c r="F744" s="94"/>
      <c r="G744" s="94"/>
      <c r="H744" s="94"/>
      <c r="I744" s="94"/>
      <c r="J744" s="94"/>
      <c r="K744" s="94"/>
      <c r="L744" s="94"/>
      <c r="M744" s="94"/>
      <c r="N744" s="94"/>
      <c r="O744" s="94"/>
      <c r="P744" s="94"/>
      <c r="Q744" s="94"/>
      <c r="R744" s="94"/>
      <c r="S744" s="94"/>
      <c r="T744" s="94"/>
      <c r="U744" s="94"/>
      <c r="V744" s="94"/>
      <c r="W744" s="94"/>
      <c r="X744" s="94"/>
      <c r="Y744" s="94"/>
      <c r="Z744" s="94"/>
      <c r="AA744" s="94"/>
      <c r="AB744" s="94"/>
      <c r="AC744" s="94"/>
      <c r="AD744" s="94"/>
      <c r="AE744" s="94"/>
      <c r="AF744" s="94"/>
      <c r="AG744" s="94"/>
      <c r="AH744" s="94"/>
      <c r="AI744" s="94"/>
      <c r="AJ744" s="94"/>
      <c r="AK744" s="94"/>
      <c r="AL744" s="94"/>
      <c r="AM744" s="94"/>
      <c r="AN744" s="94"/>
      <c r="AO744" s="94"/>
      <c r="AP744" s="94"/>
      <c r="AQ744" s="94"/>
      <c r="AR744" s="94"/>
      <c r="AS744" s="94"/>
      <c r="AT744" s="94"/>
      <c r="AU744" s="94"/>
      <c r="AV744" s="94"/>
      <c r="AW744" s="94"/>
      <c r="AX744" s="94"/>
      <c r="AY744" s="94"/>
      <c r="AZ744" s="94"/>
      <c r="BA744" s="95"/>
    </row>
    <row r="745" spans="1:53" s="87" customFormat="1">
      <c r="A745" s="90" t="str">
        <f t="shared" si="37"/>
        <v/>
      </c>
      <c r="B745" s="98"/>
      <c r="C745" s="94"/>
      <c r="D745" s="94"/>
      <c r="E745" s="94"/>
      <c r="F745" s="94"/>
      <c r="G745" s="94"/>
      <c r="H745" s="94"/>
      <c r="I745" s="94"/>
      <c r="J745" s="94"/>
      <c r="K745" s="94"/>
      <c r="L745" s="94"/>
      <c r="M745" s="94"/>
      <c r="N745" s="94"/>
      <c r="O745" s="94"/>
      <c r="P745" s="94"/>
      <c r="Q745" s="94"/>
      <c r="R745" s="94"/>
      <c r="S745" s="94"/>
      <c r="T745" s="94"/>
      <c r="U745" s="94"/>
      <c r="V745" s="94"/>
      <c r="W745" s="94"/>
      <c r="X745" s="94"/>
      <c r="Y745" s="94"/>
      <c r="Z745" s="94"/>
      <c r="AA745" s="94"/>
      <c r="AB745" s="94"/>
      <c r="AC745" s="94"/>
      <c r="AD745" s="94"/>
      <c r="AE745" s="94"/>
      <c r="AF745" s="94"/>
      <c r="AG745" s="94"/>
      <c r="AH745" s="94"/>
      <c r="AI745" s="94"/>
      <c r="AJ745" s="94"/>
      <c r="AK745" s="94"/>
      <c r="AL745" s="94"/>
      <c r="AM745" s="94"/>
      <c r="AN745" s="94"/>
      <c r="AO745" s="94"/>
      <c r="AP745" s="94"/>
      <c r="AQ745" s="94"/>
      <c r="AR745" s="94"/>
      <c r="AS745" s="94"/>
      <c r="AT745" s="94"/>
      <c r="AU745" s="94"/>
      <c r="AV745" s="94"/>
      <c r="AW745" s="94"/>
      <c r="AX745" s="94"/>
      <c r="AY745" s="94"/>
      <c r="AZ745" s="94"/>
      <c r="BA745" s="95"/>
    </row>
    <row r="746" spans="1:53" s="87" customFormat="1">
      <c r="A746" s="90" t="str">
        <f t="shared" si="37"/>
        <v/>
      </c>
      <c r="B746" s="98"/>
      <c r="C746" s="94"/>
      <c r="D746" s="94"/>
      <c r="E746" s="94"/>
      <c r="F746" s="94"/>
      <c r="G746" s="94"/>
      <c r="H746" s="94"/>
      <c r="I746" s="94"/>
      <c r="J746" s="94"/>
      <c r="K746" s="94"/>
      <c r="L746" s="94"/>
      <c r="M746" s="94"/>
      <c r="N746" s="94"/>
      <c r="O746" s="94"/>
      <c r="P746" s="94"/>
      <c r="Q746" s="94"/>
      <c r="R746" s="94"/>
      <c r="S746" s="94"/>
      <c r="T746" s="94"/>
      <c r="U746" s="94"/>
      <c r="V746" s="94"/>
      <c r="W746" s="94"/>
      <c r="X746" s="94"/>
      <c r="Y746" s="94"/>
      <c r="Z746" s="94"/>
      <c r="AA746" s="94"/>
      <c r="AB746" s="94"/>
      <c r="AC746" s="94"/>
      <c r="AD746" s="94"/>
      <c r="AE746" s="94"/>
      <c r="AF746" s="94"/>
      <c r="AG746" s="94"/>
      <c r="AH746" s="94"/>
      <c r="AI746" s="94"/>
      <c r="AJ746" s="94"/>
      <c r="AK746" s="94"/>
      <c r="AL746" s="94"/>
      <c r="AM746" s="94"/>
      <c r="AN746" s="94"/>
      <c r="AO746" s="94"/>
      <c r="AP746" s="94"/>
      <c r="AQ746" s="94"/>
      <c r="AR746" s="94"/>
      <c r="AS746" s="94"/>
      <c r="AT746" s="94"/>
      <c r="AU746" s="94"/>
      <c r="AV746" s="94"/>
      <c r="AW746" s="94"/>
      <c r="AX746" s="94"/>
      <c r="AY746" s="94"/>
      <c r="AZ746" s="94"/>
      <c r="BA746" s="95"/>
    </row>
    <row r="747" spans="1:53" s="87" customFormat="1">
      <c r="A747" s="90" t="str">
        <f t="shared" si="37"/>
        <v/>
      </c>
      <c r="B747" s="98"/>
      <c r="C747" s="94"/>
      <c r="D747" s="94"/>
      <c r="E747" s="94"/>
      <c r="F747" s="94"/>
      <c r="G747" s="94"/>
      <c r="H747" s="94"/>
      <c r="I747" s="94"/>
      <c r="J747" s="94"/>
      <c r="K747" s="94"/>
      <c r="L747" s="94"/>
      <c r="M747" s="94"/>
      <c r="N747" s="94"/>
      <c r="O747" s="94"/>
      <c r="P747" s="94"/>
      <c r="Q747" s="94"/>
      <c r="R747" s="94"/>
      <c r="S747" s="94"/>
      <c r="T747" s="94"/>
      <c r="U747" s="94"/>
      <c r="V747" s="94"/>
      <c r="W747" s="94"/>
      <c r="X747" s="94"/>
      <c r="Y747" s="94"/>
      <c r="Z747" s="94"/>
      <c r="AA747" s="94"/>
      <c r="AB747" s="94"/>
      <c r="AC747" s="94"/>
      <c r="AD747" s="94"/>
      <c r="AE747" s="94"/>
      <c r="AF747" s="94"/>
      <c r="AG747" s="94"/>
      <c r="AH747" s="94"/>
      <c r="AI747" s="94"/>
      <c r="AJ747" s="94"/>
      <c r="AK747" s="94"/>
      <c r="AL747" s="94"/>
      <c r="AM747" s="94"/>
      <c r="AN747" s="94"/>
      <c r="AO747" s="94"/>
      <c r="AP747" s="94"/>
      <c r="AQ747" s="94"/>
      <c r="AR747" s="94"/>
      <c r="AS747" s="94"/>
      <c r="AT747" s="94"/>
      <c r="AU747" s="94"/>
      <c r="AV747" s="94"/>
      <c r="AW747" s="94"/>
      <c r="AX747" s="94"/>
      <c r="AY747" s="94"/>
      <c r="AZ747" s="94"/>
      <c r="BA747" s="95"/>
    </row>
    <row r="748" spans="1:53" s="87" customFormat="1">
      <c r="A748" s="90" t="str">
        <f t="shared" si="37"/>
        <v/>
      </c>
      <c r="B748" s="98"/>
      <c r="C748" s="94"/>
      <c r="D748" s="94"/>
      <c r="E748" s="94"/>
      <c r="F748" s="94"/>
      <c r="G748" s="94"/>
      <c r="H748" s="94"/>
      <c r="I748" s="94"/>
      <c r="J748" s="94"/>
      <c r="K748" s="94"/>
      <c r="L748" s="94"/>
      <c r="M748" s="94"/>
      <c r="N748" s="94"/>
      <c r="O748" s="94"/>
      <c r="P748" s="94"/>
      <c r="Q748" s="94"/>
      <c r="R748" s="94"/>
      <c r="S748" s="94"/>
      <c r="T748" s="94"/>
      <c r="U748" s="94"/>
      <c r="V748" s="94"/>
      <c r="W748" s="94"/>
      <c r="X748" s="94"/>
      <c r="Y748" s="94"/>
      <c r="Z748" s="94"/>
      <c r="AA748" s="94"/>
      <c r="AB748" s="94"/>
      <c r="AC748" s="94"/>
      <c r="AD748" s="94"/>
      <c r="AE748" s="94"/>
      <c r="AF748" s="94"/>
      <c r="AG748" s="94"/>
      <c r="AH748" s="94"/>
      <c r="AI748" s="94"/>
      <c r="AJ748" s="94"/>
      <c r="AK748" s="94"/>
      <c r="AL748" s="94"/>
      <c r="AM748" s="94"/>
      <c r="AN748" s="94"/>
      <c r="AO748" s="94"/>
      <c r="AP748" s="94"/>
      <c r="AQ748" s="94"/>
      <c r="AR748" s="94"/>
      <c r="AS748" s="94"/>
      <c r="AT748" s="94"/>
      <c r="AU748" s="94"/>
      <c r="AV748" s="94"/>
      <c r="AW748" s="94"/>
      <c r="AX748" s="94"/>
      <c r="AY748" s="94"/>
      <c r="AZ748" s="94"/>
      <c r="BA748" s="95"/>
    </row>
    <row r="749" spans="1:53" s="87" customFormat="1">
      <c r="A749" s="90" t="str">
        <f t="shared" si="37"/>
        <v/>
      </c>
      <c r="B749" s="98"/>
      <c r="C749" s="94"/>
      <c r="D749" s="94"/>
      <c r="E749" s="94"/>
      <c r="F749" s="94"/>
      <c r="G749" s="94"/>
      <c r="H749" s="94"/>
      <c r="I749" s="94"/>
      <c r="J749" s="94"/>
      <c r="K749" s="94"/>
      <c r="L749" s="94"/>
      <c r="M749" s="94"/>
      <c r="N749" s="94"/>
      <c r="O749" s="94"/>
      <c r="P749" s="94"/>
      <c r="Q749" s="94"/>
      <c r="R749" s="94"/>
      <c r="S749" s="94"/>
      <c r="T749" s="94"/>
      <c r="U749" s="94"/>
      <c r="V749" s="94"/>
      <c r="W749" s="94"/>
      <c r="X749" s="94"/>
      <c r="Y749" s="94"/>
      <c r="Z749" s="94"/>
      <c r="AA749" s="94"/>
      <c r="AB749" s="94"/>
      <c r="AC749" s="94"/>
      <c r="AD749" s="94"/>
      <c r="AE749" s="94"/>
      <c r="AF749" s="94"/>
      <c r="AG749" s="94"/>
      <c r="AH749" s="94"/>
      <c r="AI749" s="94"/>
      <c r="AJ749" s="94"/>
      <c r="AK749" s="94"/>
      <c r="AL749" s="94"/>
      <c r="AM749" s="94"/>
      <c r="AN749" s="94"/>
      <c r="AO749" s="94"/>
      <c r="AP749" s="94"/>
      <c r="AQ749" s="94"/>
      <c r="AR749" s="94"/>
      <c r="AS749" s="94"/>
      <c r="AT749" s="94"/>
      <c r="AU749" s="94"/>
      <c r="AV749" s="94"/>
      <c r="AW749" s="94"/>
      <c r="AX749" s="94"/>
      <c r="AY749" s="94"/>
      <c r="AZ749" s="94"/>
      <c r="BA749" s="95"/>
    </row>
    <row r="750" spans="1:53" s="87" customFormat="1">
      <c r="A750" s="90" t="str">
        <f t="shared" si="37"/>
        <v/>
      </c>
      <c r="B750" s="98"/>
      <c r="C750" s="94"/>
      <c r="D750" s="94"/>
      <c r="E750" s="94"/>
      <c r="F750" s="94"/>
      <c r="G750" s="94"/>
      <c r="H750" s="94"/>
      <c r="I750" s="94"/>
      <c r="J750" s="94"/>
      <c r="K750" s="94"/>
      <c r="L750" s="94"/>
      <c r="M750" s="94"/>
      <c r="N750" s="94"/>
      <c r="O750" s="94"/>
      <c r="P750" s="94"/>
      <c r="Q750" s="94"/>
      <c r="R750" s="94"/>
      <c r="S750" s="94"/>
      <c r="T750" s="94"/>
      <c r="U750" s="94"/>
      <c r="V750" s="94"/>
      <c r="W750" s="94"/>
      <c r="X750" s="94"/>
      <c r="Y750" s="94"/>
      <c r="Z750" s="94"/>
      <c r="AA750" s="94"/>
      <c r="AB750" s="94"/>
      <c r="AC750" s="94"/>
      <c r="AD750" s="94"/>
      <c r="AE750" s="94"/>
      <c r="AF750" s="94"/>
      <c r="AG750" s="94"/>
      <c r="AH750" s="94"/>
      <c r="AI750" s="94"/>
      <c r="AJ750" s="94"/>
      <c r="AK750" s="94"/>
      <c r="AL750" s="94"/>
      <c r="AM750" s="94"/>
      <c r="AN750" s="94"/>
      <c r="AO750" s="94"/>
      <c r="AP750" s="94"/>
      <c r="AQ750" s="94"/>
      <c r="AR750" s="94"/>
      <c r="AS750" s="94"/>
      <c r="AT750" s="94"/>
      <c r="AU750" s="94"/>
      <c r="AV750" s="94"/>
      <c r="AW750" s="94"/>
      <c r="AX750" s="94"/>
      <c r="AY750" s="94"/>
      <c r="AZ750" s="94"/>
      <c r="BA750" s="95"/>
    </row>
    <row r="751" spans="1:53" s="87" customFormat="1">
      <c r="A751" s="90" t="str">
        <f t="shared" si="37"/>
        <v/>
      </c>
      <c r="B751" s="98"/>
      <c r="C751" s="94"/>
      <c r="D751" s="94"/>
      <c r="E751" s="94"/>
      <c r="F751" s="94"/>
      <c r="G751" s="94"/>
      <c r="H751" s="94"/>
      <c r="I751" s="94"/>
      <c r="J751" s="94"/>
      <c r="K751" s="94"/>
      <c r="L751" s="94"/>
      <c r="M751" s="94"/>
      <c r="N751" s="94"/>
      <c r="O751" s="94"/>
      <c r="P751" s="94"/>
      <c r="Q751" s="94"/>
      <c r="R751" s="94"/>
      <c r="S751" s="94"/>
      <c r="T751" s="94"/>
      <c r="U751" s="94"/>
      <c r="V751" s="94"/>
      <c r="W751" s="94"/>
      <c r="X751" s="94"/>
      <c r="Y751" s="94"/>
      <c r="Z751" s="94"/>
      <c r="AA751" s="94"/>
      <c r="AB751" s="94"/>
      <c r="AC751" s="94"/>
      <c r="AD751" s="94"/>
      <c r="AE751" s="94"/>
      <c r="AF751" s="94"/>
      <c r="AG751" s="94"/>
      <c r="AH751" s="94"/>
      <c r="AI751" s="94"/>
      <c r="AJ751" s="94"/>
      <c r="AK751" s="94"/>
      <c r="AL751" s="94"/>
      <c r="AM751" s="94"/>
      <c r="AN751" s="94"/>
      <c r="AO751" s="94"/>
      <c r="AP751" s="94"/>
      <c r="AQ751" s="94"/>
      <c r="AR751" s="94"/>
      <c r="AS751" s="94"/>
      <c r="AT751" s="94"/>
      <c r="AU751" s="94"/>
      <c r="AV751" s="94"/>
      <c r="AW751" s="94"/>
      <c r="AX751" s="94"/>
      <c r="AY751" s="94"/>
      <c r="AZ751" s="94"/>
      <c r="BA751" s="95"/>
    </row>
    <row r="752" spans="1:53" s="87" customFormat="1">
      <c r="A752" s="90" t="str">
        <f t="shared" si="37"/>
        <v/>
      </c>
      <c r="B752" s="98"/>
      <c r="C752" s="94"/>
      <c r="D752" s="94"/>
      <c r="E752" s="94"/>
      <c r="F752" s="94"/>
      <c r="G752" s="94"/>
      <c r="H752" s="94"/>
      <c r="I752" s="94"/>
      <c r="J752" s="94"/>
      <c r="K752" s="94"/>
      <c r="L752" s="94"/>
      <c r="M752" s="94"/>
      <c r="N752" s="94"/>
      <c r="O752" s="94"/>
      <c r="P752" s="94"/>
      <c r="Q752" s="94"/>
      <c r="R752" s="94"/>
      <c r="S752" s="94"/>
      <c r="T752" s="94"/>
      <c r="U752" s="94"/>
      <c r="V752" s="94"/>
      <c r="W752" s="94"/>
      <c r="X752" s="94"/>
      <c r="Y752" s="94"/>
      <c r="Z752" s="94"/>
      <c r="AA752" s="94"/>
      <c r="AB752" s="94"/>
      <c r="AC752" s="94"/>
      <c r="AD752" s="94"/>
      <c r="AE752" s="94"/>
      <c r="AF752" s="94"/>
      <c r="AG752" s="94"/>
      <c r="AH752" s="94"/>
      <c r="AI752" s="94"/>
      <c r="AJ752" s="94"/>
      <c r="AK752" s="94"/>
      <c r="AL752" s="94"/>
      <c r="AM752" s="94"/>
      <c r="AN752" s="94"/>
      <c r="AO752" s="94"/>
      <c r="AP752" s="94"/>
      <c r="AQ752" s="94"/>
      <c r="AR752" s="94"/>
      <c r="AS752" s="94"/>
      <c r="AT752" s="94"/>
      <c r="AU752" s="94"/>
      <c r="AV752" s="94"/>
      <c r="AW752" s="94"/>
      <c r="AX752" s="94"/>
      <c r="AY752" s="94"/>
      <c r="AZ752" s="94"/>
      <c r="BA752" s="95"/>
    </row>
    <row r="753" spans="1:53" s="87" customFormat="1">
      <c r="A753" s="90" t="str">
        <f t="shared" si="37"/>
        <v/>
      </c>
      <c r="B753" s="98"/>
      <c r="C753" s="94"/>
      <c r="D753" s="94"/>
      <c r="E753" s="94"/>
      <c r="F753" s="94"/>
      <c r="G753" s="94"/>
      <c r="H753" s="94"/>
      <c r="I753" s="94"/>
      <c r="J753" s="94"/>
      <c r="K753" s="94"/>
      <c r="L753" s="94"/>
      <c r="M753" s="94"/>
      <c r="N753" s="94"/>
      <c r="O753" s="94"/>
      <c r="P753" s="94"/>
      <c r="Q753" s="94"/>
      <c r="R753" s="94"/>
      <c r="S753" s="94"/>
      <c r="T753" s="94"/>
      <c r="U753" s="94"/>
      <c r="V753" s="94"/>
      <c r="W753" s="94"/>
      <c r="X753" s="94"/>
      <c r="Y753" s="94"/>
      <c r="Z753" s="94"/>
      <c r="AA753" s="94"/>
      <c r="AB753" s="94"/>
      <c r="AC753" s="94"/>
      <c r="AD753" s="94"/>
      <c r="AE753" s="94"/>
      <c r="AF753" s="94"/>
      <c r="AG753" s="94"/>
      <c r="AH753" s="94"/>
      <c r="AI753" s="94"/>
      <c r="AJ753" s="94"/>
      <c r="AK753" s="94"/>
      <c r="AL753" s="94"/>
      <c r="AM753" s="94"/>
      <c r="AN753" s="94"/>
      <c r="AO753" s="94"/>
      <c r="AP753" s="94"/>
      <c r="AQ753" s="94"/>
      <c r="AR753" s="94"/>
      <c r="AS753" s="94"/>
      <c r="AT753" s="94"/>
      <c r="AU753" s="94"/>
      <c r="AV753" s="94"/>
      <c r="AW753" s="94"/>
      <c r="AX753" s="94"/>
      <c r="AY753" s="94"/>
      <c r="AZ753" s="94"/>
      <c r="BA753" s="95"/>
    </row>
    <row r="754" spans="1:53" s="87" customFormat="1">
      <c r="A754" s="90" t="str">
        <f t="shared" si="37"/>
        <v/>
      </c>
      <c r="B754" s="98"/>
      <c r="C754" s="94"/>
      <c r="D754" s="94"/>
      <c r="E754" s="94"/>
      <c r="F754" s="94"/>
      <c r="G754" s="94"/>
      <c r="H754" s="94"/>
      <c r="I754" s="94"/>
      <c r="J754" s="94"/>
      <c r="K754" s="94"/>
      <c r="L754" s="94"/>
      <c r="M754" s="94"/>
      <c r="N754" s="94"/>
      <c r="O754" s="94"/>
      <c r="P754" s="94"/>
      <c r="Q754" s="94"/>
      <c r="R754" s="94"/>
      <c r="S754" s="94"/>
      <c r="T754" s="94"/>
      <c r="U754" s="94"/>
      <c r="V754" s="94"/>
      <c r="W754" s="94"/>
      <c r="X754" s="94"/>
      <c r="Y754" s="94"/>
      <c r="Z754" s="94"/>
      <c r="AA754" s="94"/>
      <c r="AB754" s="94"/>
      <c r="AC754" s="94"/>
      <c r="AD754" s="94"/>
      <c r="AE754" s="94"/>
      <c r="AF754" s="94"/>
      <c r="AG754" s="94"/>
      <c r="AH754" s="94"/>
      <c r="AI754" s="94"/>
      <c r="AJ754" s="94"/>
      <c r="AK754" s="94"/>
      <c r="AL754" s="94"/>
      <c r="AM754" s="94"/>
      <c r="AN754" s="94"/>
      <c r="AO754" s="94"/>
      <c r="AP754" s="94"/>
      <c r="AQ754" s="94"/>
      <c r="AR754" s="94"/>
      <c r="AS754" s="94"/>
      <c r="AT754" s="94"/>
      <c r="AU754" s="94"/>
      <c r="AV754" s="94"/>
      <c r="AW754" s="94"/>
      <c r="AX754" s="94"/>
      <c r="AY754" s="94"/>
      <c r="AZ754" s="94"/>
      <c r="BA754" s="95"/>
    </row>
    <row r="755" spans="1:53" s="87" customFormat="1">
      <c r="A755" s="90" t="str">
        <f t="shared" si="37"/>
        <v/>
      </c>
      <c r="B755" s="98"/>
      <c r="C755" s="94"/>
      <c r="D755" s="94"/>
      <c r="E755" s="94"/>
      <c r="F755" s="94"/>
      <c r="G755" s="94"/>
      <c r="H755" s="94"/>
      <c r="I755" s="94"/>
      <c r="J755" s="94"/>
      <c r="K755" s="94"/>
      <c r="L755" s="94"/>
      <c r="M755" s="94"/>
      <c r="N755" s="94"/>
      <c r="O755" s="94"/>
      <c r="P755" s="94"/>
      <c r="Q755" s="94"/>
      <c r="R755" s="94"/>
      <c r="S755" s="94"/>
      <c r="T755" s="94"/>
      <c r="U755" s="94"/>
      <c r="V755" s="94"/>
      <c r="W755" s="94"/>
      <c r="X755" s="94"/>
      <c r="Y755" s="94"/>
      <c r="Z755" s="94"/>
      <c r="AA755" s="94"/>
      <c r="AB755" s="94"/>
      <c r="AC755" s="94"/>
      <c r="AD755" s="94"/>
      <c r="AE755" s="94"/>
      <c r="AF755" s="94"/>
      <c r="AG755" s="94"/>
      <c r="AH755" s="94"/>
      <c r="AI755" s="94"/>
      <c r="AJ755" s="94"/>
      <c r="AK755" s="94"/>
      <c r="AL755" s="94"/>
      <c r="AM755" s="94"/>
      <c r="AN755" s="94"/>
      <c r="AO755" s="94"/>
      <c r="AP755" s="94"/>
      <c r="AQ755" s="94"/>
      <c r="AR755" s="94"/>
      <c r="AS755" s="94"/>
      <c r="AT755" s="94"/>
      <c r="AU755" s="94"/>
      <c r="AV755" s="94"/>
      <c r="AW755" s="94"/>
      <c r="AX755" s="94"/>
      <c r="AY755" s="94"/>
      <c r="AZ755" s="94"/>
      <c r="BA755" s="95"/>
    </row>
    <row r="756" spans="1:53" s="87" customFormat="1">
      <c r="A756" s="90" t="str">
        <f t="shared" si="37"/>
        <v/>
      </c>
      <c r="B756" s="98"/>
      <c r="C756" s="94"/>
      <c r="D756" s="94"/>
      <c r="E756" s="94"/>
      <c r="F756" s="94"/>
      <c r="G756" s="94"/>
      <c r="H756" s="94"/>
      <c r="I756" s="94"/>
      <c r="J756" s="94"/>
      <c r="K756" s="94"/>
      <c r="L756" s="94"/>
      <c r="M756" s="94"/>
      <c r="N756" s="94"/>
      <c r="O756" s="94"/>
      <c r="P756" s="94"/>
      <c r="Q756" s="94"/>
      <c r="R756" s="94"/>
      <c r="S756" s="94"/>
      <c r="T756" s="94"/>
      <c r="U756" s="94"/>
      <c r="V756" s="94"/>
      <c r="W756" s="94"/>
      <c r="X756" s="94"/>
      <c r="Y756" s="94"/>
      <c r="Z756" s="94"/>
      <c r="AA756" s="94"/>
      <c r="AB756" s="94"/>
      <c r="AC756" s="94"/>
      <c r="AD756" s="94"/>
      <c r="AE756" s="94"/>
      <c r="AF756" s="94"/>
      <c r="AG756" s="94"/>
      <c r="AH756" s="94"/>
      <c r="AI756" s="94"/>
      <c r="AJ756" s="94"/>
      <c r="AK756" s="94"/>
      <c r="AL756" s="94"/>
      <c r="AM756" s="94"/>
      <c r="AN756" s="94"/>
      <c r="AO756" s="94"/>
      <c r="AP756" s="94"/>
      <c r="AQ756" s="94"/>
      <c r="AR756" s="94"/>
      <c r="AS756" s="94"/>
      <c r="AT756" s="94"/>
      <c r="AU756" s="94"/>
      <c r="AV756" s="94"/>
      <c r="AW756" s="94"/>
      <c r="AX756" s="94"/>
      <c r="AY756" s="94"/>
      <c r="AZ756" s="94"/>
      <c r="BA756" s="95"/>
    </row>
    <row r="757" spans="1:53" s="87" customFormat="1">
      <c r="A757" s="90" t="str">
        <f t="shared" si="37"/>
        <v/>
      </c>
      <c r="B757" s="98"/>
      <c r="C757" s="94"/>
      <c r="D757" s="94"/>
      <c r="E757" s="94"/>
      <c r="F757" s="94"/>
      <c r="G757" s="94"/>
      <c r="H757" s="94"/>
      <c r="I757" s="94"/>
      <c r="J757" s="94"/>
      <c r="K757" s="94"/>
      <c r="L757" s="94"/>
      <c r="M757" s="94"/>
      <c r="N757" s="94"/>
      <c r="O757" s="94"/>
      <c r="P757" s="94"/>
      <c r="Q757" s="94"/>
      <c r="R757" s="94"/>
      <c r="S757" s="94"/>
      <c r="T757" s="94"/>
      <c r="U757" s="94"/>
      <c r="V757" s="94"/>
      <c r="W757" s="94"/>
      <c r="X757" s="94"/>
      <c r="Y757" s="94"/>
      <c r="Z757" s="94"/>
      <c r="AA757" s="94"/>
      <c r="AB757" s="94"/>
      <c r="AC757" s="94"/>
      <c r="AD757" s="94"/>
      <c r="AE757" s="94"/>
      <c r="AF757" s="94"/>
      <c r="AG757" s="94"/>
      <c r="AH757" s="94"/>
      <c r="AI757" s="94"/>
      <c r="AJ757" s="94"/>
      <c r="AK757" s="94"/>
      <c r="AL757" s="94"/>
      <c r="AM757" s="94"/>
      <c r="AN757" s="94"/>
      <c r="AO757" s="94"/>
      <c r="AP757" s="94"/>
      <c r="AQ757" s="94"/>
      <c r="AR757" s="94"/>
      <c r="AS757" s="94"/>
      <c r="AT757" s="94"/>
      <c r="AU757" s="94"/>
      <c r="AV757" s="94"/>
      <c r="AW757" s="94"/>
      <c r="AX757" s="94"/>
      <c r="AY757" s="94"/>
      <c r="AZ757" s="94"/>
      <c r="BA757" s="95"/>
    </row>
    <row r="758" spans="1:53" s="87" customFormat="1">
      <c r="A758" s="90" t="str">
        <f t="shared" si="37"/>
        <v/>
      </c>
      <c r="B758" s="98"/>
      <c r="C758" s="94"/>
      <c r="D758" s="94"/>
      <c r="E758" s="94"/>
      <c r="F758" s="94"/>
      <c r="G758" s="94"/>
      <c r="H758" s="94"/>
      <c r="I758" s="94"/>
      <c r="J758" s="94"/>
      <c r="K758" s="94"/>
      <c r="L758" s="94"/>
      <c r="M758" s="94"/>
      <c r="N758" s="94"/>
      <c r="O758" s="94"/>
      <c r="P758" s="94"/>
      <c r="Q758" s="94"/>
      <c r="R758" s="94"/>
      <c r="S758" s="94"/>
      <c r="T758" s="94"/>
      <c r="U758" s="94"/>
      <c r="V758" s="94"/>
      <c r="W758" s="94"/>
      <c r="X758" s="94"/>
      <c r="Y758" s="94"/>
      <c r="Z758" s="94"/>
      <c r="AA758" s="94"/>
      <c r="AB758" s="94"/>
      <c r="AC758" s="94"/>
      <c r="AD758" s="94"/>
      <c r="AE758" s="94"/>
      <c r="AF758" s="94"/>
      <c r="AG758" s="94"/>
      <c r="AH758" s="94"/>
      <c r="AI758" s="94"/>
      <c r="AJ758" s="94"/>
      <c r="AK758" s="94"/>
      <c r="AL758" s="94"/>
      <c r="AM758" s="94"/>
      <c r="AN758" s="94"/>
      <c r="AO758" s="94"/>
      <c r="AP758" s="94"/>
      <c r="AQ758" s="94"/>
      <c r="AR758" s="94"/>
      <c r="AS758" s="94"/>
      <c r="AT758" s="94"/>
      <c r="AU758" s="94"/>
      <c r="AV758" s="94"/>
      <c r="AW758" s="94"/>
      <c r="AX758" s="94"/>
      <c r="AY758" s="94"/>
      <c r="AZ758" s="94"/>
      <c r="BA758" s="95"/>
    </row>
    <row r="759" spans="1:53" s="87" customFormat="1">
      <c r="A759" s="90" t="str">
        <f t="shared" si="37"/>
        <v/>
      </c>
      <c r="B759" s="98"/>
      <c r="C759" s="94"/>
      <c r="D759" s="94"/>
      <c r="E759" s="94"/>
      <c r="F759" s="94"/>
      <c r="G759" s="94"/>
      <c r="H759" s="94"/>
      <c r="I759" s="94"/>
      <c r="J759" s="94"/>
      <c r="K759" s="94"/>
      <c r="L759" s="94"/>
      <c r="M759" s="94"/>
      <c r="N759" s="94"/>
      <c r="O759" s="94"/>
      <c r="P759" s="94"/>
      <c r="Q759" s="94"/>
      <c r="R759" s="94"/>
      <c r="S759" s="94"/>
      <c r="T759" s="94"/>
      <c r="U759" s="94"/>
      <c r="V759" s="94"/>
      <c r="W759" s="94"/>
      <c r="X759" s="94"/>
      <c r="Y759" s="94"/>
      <c r="Z759" s="94"/>
      <c r="AA759" s="94"/>
      <c r="AB759" s="94"/>
      <c r="AC759" s="94"/>
      <c r="AD759" s="94"/>
      <c r="AE759" s="94"/>
      <c r="AF759" s="94"/>
      <c r="AG759" s="94"/>
      <c r="AH759" s="94"/>
      <c r="AI759" s="94"/>
      <c r="AJ759" s="94"/>
      <c r="AK759" s="94"/>
      <c r="AL759" s="94"/>
      <c r="AM759" s="94"/>
      <c r="AN759" s="94"/>
      <c r="AO759" s="94"/>
      <c r="AP759" s="94"/>
      <c r="AQ759" s="94"/>
      <c r="AR759" s="94"/>
      <c r="AS759" s="94"/>
      <c r="AT759" s="94"/>
      <c r="AU759" s="94"/>
      <c r="AV759" s="94"/>
      <c r="AW759" s="94"/>
      <c r="AX759" s="94"/>
      <c r="AY759" s="94"/>
      <c r="AZ759" s="94"/>
      <c r="BA759" s="95"/>
    </row>
    <row r="760" spans="1:53" s="87" customFormat="1">
      <c r="A760" s="90" t="str">
        <f t="shared" si="37"/>
        <v/>
      </c>
      <c r="B760" s="98"/>
      <c r="C760" s="94"/>
      <c r="D760" s="94"/>
      <c r="E760" s="94"/>
      <c r="F760" s="94"/>
      <c r="G760" s="94"/>
      <c r="H760" s="94"/>
      <c r="I760" s="94"/>
      <c r="J760" s="94"/>
      <c r="K760" s="94"/>
      <c r="L760" s="94"/>
      <c r="M760" s="94"/>
      <c r="N760" s="94"/>
      <c r="O760" s="94"/>
      <c r="P760" s="94"/>
      <c r="Q760" s="94"/>
      <c r="R760" s="94"/>
      <c r="S760" s="94"/>
      <c r="T760" s="94"/>
      <c r="U760" s="94"/>
      <c r="V760" s="94"/>
      <c r="W760" s="94"/>
      <c r="X760" s="94"/>
      <c r="Y760" s="94"/>
      <c r="Z760" s="94"/>
      <c r="AA760" s="94"/>
      <c r="AB760" s="94"/>
      <c r="AC760" s="94"/>
      <c r="AD760" s="94"/>
      <c r="AE760" s="94"/>
      <c r="AF760" s="94"/>
      <c r="AG760" s="94"/>
      <c r="AH760" s="94"/>
      <c r="AI760" s="94"/>
      <c r="AJ760" s="94"/>
      <c r="AK760" s="94"/>
      <c r="AL760" s="94"/>
      <c r="AM760" s="94"/>
      <c r="AN760" s="94"/>
      <c r="AO760" s="94"/>
      <c r="AP760" s="94"/>
      <c r="AQ760" s="94"/>
      <c r="AR760" s="94"/>
      <c r="AS760" s="94"/>
      <c r="AT760" s="94"/>
      <c r="AU760" s="94"/>
      <c r="AV760" s="94"/>
      <c r="AW760" s="94"/>
      <c r="AX760" s="94"/>
      <c r="AY760" s="94"/>
      <c r="AZ760" s="94"/>
      <c r="BA760" s="95"/>
    </row>
    <row r="761" spans="1:53" s="87" customFormat="1">
      <c r="A761" s="90" t="str">
        <f t="shared" si="37"/>
        <v/>
      </c>
      <c r="B761" s="98"/>
      <c r="C761" s="94"/>
      <c r="D761" s="94"/>
      <c r="E761" s="94"/>
      <c r="F761" s="94"/>
      <c r="G761" s="94"/>
      <c r="H761" s="94"/>
      <c r="I761" s="94"/>
      <c r="J761" s="94"/>
      <c r="K761" s="94"/>
      <c r="L761" s="94"/>
      <c r="M761" s="94"/>
      <c r="N761" s="94"/>
      <c r="O761" s="94"/>
      <c r="P761" s="94"/>
      <c r="Q761" s="94"/>
      <c r="R761" s="94"/>
      <c r="S761" s="94"/>
      <c r="T761" s="94"/>
      <c r="U761" s="94"/>
      <c r="V761" s="94"/>
      <c r="W761" s="94"/>
      <c r="X761" s="94"/>
      <c r="Y761" s="94"/>
      <c r="Z761" s="94"/>
      <c r="AA761" s="94"/>
      <c r="AB761" s="94"/>
      <c r="AC761" s="94"/>
      <c r="AD761" s="94"/>
      <c r="AE761" s="94"/>
      <c r="AF761" s="94"/>
      <c r="AG761" s="94"/>
      <c r="AH761" s="94"/>
      <c r="AI761" s="94"/>
      <c r="AJ761" s="94"/>
      <c r="AK761" s="94"/>
      <c r="AL761" s="94"/>
      <c r="AM761" s="94"/>
      <c r="AN761" s="94"/>
      <c r="AO761" s="94"/>
      <c r="AP761" s="94"/>
      <c r="AQ761" s="94"/>
      <c r="AR761" s="94"/>
      <c r="AS761" s="94"/>
      <c r="AT761" s="94"/>
      <c r="AU761" s="94"/>
      <c r="AV761" s="94"/>
      <c r="AW761" s="94"/>
      <c r="AX761" s="94"/>
      <c r="AY761" s="94"/>
      <c r="AZ761" s="94"/>
      <c r="BA761" s="95"/>
    </row>
    <row r="762" spans="1:53" s="87" customFormat="1">
      <c r="A762" s="90" t="str">
        <f t="shared" si="37"/>
        <v/>
      </c>
      <c r="B762" s="98"/>
      <c r="C762" s="94"/>
      <c r="D762" s="94"/>
      <c r="E762" s="94"/>
      <c r="F762" s="94"/>
      <c r="G762" s="94"/>
      <c r="H762" s="94"/>
      <c r="I762" s="94"/>
      <c r="J762" s="94"/>
      <c r="K762" s="94"/>
      <c r="L762" s="94"/>
      <c r="M762" s="94"/>
      <c r="N762" s="94"/>
      <c r="O762" s="94"/>
      <c r="P762" s="94"/>
      <c r="Q762" s="94"/>
      <c r="R762" s="94"/>
      <c r="S762" s="94"/>
      <c r="T762" s="94"/>
      <c r="U762" s="94"/>
      <c r="V762" s="94"/>
      <c r="W762" s="94"/>
      <c r="X762" s="94"/>
      <c r="Y762" s="94"/>
      <c r="Z762" s="94"/>
      <c r="AA762" s="94"/>
      <c r="AB762" s="94"/>
      <c r="AC762" s="94"/>
      <c r="AD762" s="94"/>
      <c r="AE762" s="94"/>
      <c r="AF762" s="94"/>
      <c r="AG762" s="94"/>
      <c r="AH762" s="94"/>
      <c r="AI762" s="94"/>
      <c r="AJ762" s="94"/>
      <c r="AK762" s="94"/>
      <c r="AL762" s="94"/>
      <c r="AM762" s="94"/>
      <c r="AN762" s="94"/>
      <c r="AO762" s="94"/>
      <c r="AP762" s="94"/>
      <c r="AQ762" s="94"/>
      <c r="AR762" s="94"/>
      <c r="AS762" s="94"/>
      <c r="AT762" s="94"/>
      <c r="AU762" s="94"/>
      <c r="AV762" s="94"/>
      <c r="AW762" s="94"/>
      <c r="AX762" s="94"/>
      <c r="AY762" s="94"/>
      <c r="AZ762" s="94"/>
      <c r="BA762" s="95"/>
    </row>
    <row r="763" spans="1:53" s="87" customFormat="1">
      <c r="A763" s="90" t="str">
        <f t="shared" si="37"/>
        <v/>
      </c>
      <c r="B763" s="98"/>
      <c r="C763" s="94"/>
      <c r="D763" s="94"/>
      <c r="E763" s="94"/>
      <c r="F763" s="94"/>
      <c r="G763" s="94"/>
      <c r="H763" s="94"/>
      <c r="I763" s="94"/>
      <c r="J763" s="94"/>
      <c r="K763" s="94"/>
      <c r="L763" s="94"/>
      <c r="M763" s="94"/>
      <c r="N763" s="94"/>
      <c r="O763" s="94"/>
      <c r="P763" s="94"/>
      <c r="Q763" s="94"/>
      <c r="R763" s="94"/>
      <c r="S763" s="94"/>
      <c r="T763" s="94"/>
      <c r="U763" s="94"/>
      <c r="V763" s="94"/>
      <c r="W763" s="94"/>
      <c r="X763" s="94"/>
      <c r="Y763" s="94"/>
      <c r="Z763" s="94"/>
      <c r="AA763" s="94"/>
      <c r="AB763" s="94"/>
      <c r="AC763" s="94"/>
      <c r="AD763" s="94"/>
      <c r="AE763" s="94"/>
      <c r="AF763" s="94"/>
      <c r="AG763" s="94"/>
      <c r="AH763" s="94"/>
      <c r="AI763" s="94"/>
      <c r="AJ763" s="94"/>
      <c r="AK763" s="94"/>
      <c r="AL763" s="94"/>
      <c r="AM763" s="94"/>
      <c r="AN763" s="94"/>
      <c r="AO763" s="94"/>
      <c r="AP763" s="94"/>
      <c r="AQ763" s="94"/>
      <c r="AR763" s="94"/>
      <c r="AS763" s="94"/>
      <c r="AT763" s="94"/>
      <c r="AU763" s="94"/>
      <c r="AV763" s="94"/>
      <c r="AW763" s="94"/>
      <c r="AX763" s="94"/>
      <c r="AY763" s="94"/>
      <c r="AZ763" s="94"/>
      <c r="BA763" s="95"/>
    </row>
    <row r="764" spans="1:53" s="87" customFormat="1">
      <c r="A764" s="90" t="str">
        <f t="shared" si="37"/>
        <v/>
      </c>
      <c r="B764" s="98"/>
      <c r="C764" s="94"/>
      <c r="D764" s="94"/>
      <c r="E764" s="94"/>
      <c r="F764" s="94"/>
      <c r="G764" s="94"/>
      <c r="H764" s="94"/>
      <c r="I764" s="94"/>
      <c r="J764" s="94"/>
      <c r="K764" s="94"/>
      <c r="L764" s="94"/>
      <c r="M764" s="94"/>
      <c r="N764" s="94"/>
      <c r="O764" s="94"/>
      <c r="P764" s="94"/>
      <c r="Q764" s="94"/>
      <c r="R764" s="94"/>
      <c r="S764" s="94"/>
      <c r="T764" s="94"/>
      <c r="U764" s="94"/>
      <c r="V764" s="94"/>
      <c r="W764" s="94"/>
      <c r="X764" s="94"/>
      <c r="Y764" s="94"/>
      <c r="Z764" s="94"/>
      <c r="AA764" s="94"/>
      <c r="AB764" s="94"/>
      <c r="AC764" s="94"/>
      <c r="AD764" s="94"/>
      <c r="AE764" s="94"/>
      <c r="AF764" s="94"/>
      <c r="AG764" s="94"/>
      <c r="AH764" s="94"/>
      <c r="AI764" s="94"/>
      <c r="AJ764" s="94"/>
      <c r="AK764" s="94"/>
      <c r="AL764" s="94"/>
      <c r="AM764" s="94"/>
      <c r="AN764" s="94"/>
      <c r="AO764" s="94"/>
      <c r="AP764" s="94"/>
      <c r="AQ764" s="94"/>
      <c r="AR764" s="94"/>
      <c r="AS764" s="94"/>
      <c r="AT764" s="94"/>
      <c r="AU764" s="94"/>
      <c r="AV764" s="94"/>
      <c r="AW764" s="94"/>
      <c r="AX764" s="94"/>
      <c r="AY764" s="94"/>
      <c r="AZ764" s="94"/>
      <c r="BA764" s="95"/>
    </row>
    <row r="765" spans="1:53" s="87" customFormat="1">
      <c r="A765" s="90" t="str">
        <f t="shared" si="37"/>
        <v/>
      </c>
      <c r="B765" s="98"/>
      <c r="C765" s="94"/>
      <c r="D765" s="94"/>
      <c r="E765" s="94"/>
      <c r="F765" s="94"/>
      <c r="G765" s="94"/>
      <c r="H765" s="94"/>
      <c r="I765" s="94"/>
      <c r="J765" s="94"/>
      <c r="K765" s="94"/>
      <c r="L765" s="94"/>
      <c r="M765" s="94"/>
      <c r="N765" s="94"/>
      <c r="O765" s="94"/>
      <c r="P765" s="94"/>
      <c r="Q765" s="94"/>
      <c r="R765" s="94"/>
      <c r="S765" s="94"/>
      <c r="T765" s="94"/>
      <c r="U765" s="94"/>
      <c r="V765" s="94"/>
      <c r="W765" s="94"/>
      <c r="X765" s="94"/>
      <c r="Y765" s="94"/>
      <c r="Z765" s="94"/>
      <c r="AA765" s="94"/>
      <c r="AB765" s="94"/>
      <c r="AC765" s="94"/>
      <c r="AD765" s="94"/>
      <c r="AE765" s="94"/>
      <c r="AF765" s="94"/>
      <c r="AG765" s="94"/>
      <c r="AH765" s="94"/>
      <c r="AI765" s="94"/>
      <c r="AJ765" s="94"/>
      <c r="AK765" s="94"/>
      <c r="AL765" s="94"/>
      <c r="AM765" s="94"/>
      <c r="AN765" s="94"/>
      <c r="AO765" s="94"/>
      <c r="AP765" s="94"/>
      <c r="AQ765" s="94"/>
      <c r="AR765" s="94"/>
      <c r="AS765" s="94"/>
      <c r="AT765" s="94"/>
      <c r="AU765" s="94"/>
      <c r="AV765" s="94"/>
      <c r="AW765" s="94"/>
      <c r="AX765" s="94"/>
      <c r="AY765" s="94"/>
      <c r="AZ765" s="94"/>
      <c r="BA765" s="95"/>
    </row>
    <row r="766" spans="1:53" s="87" customFormat="1">
      <c r="A766" s="90" t="str">
        <f t="shared" si="37"/>
        <v/>
      </c>
      <c r="B766" s="98"/>
      <c r="C766" s="94"/>
      <c r="D766" s="94"/>
      <c r="E766" s="94"/>
      <c r="F766" s="94"/>
      <c r="G766" s="94"/>
      <c r="H766" s="94"/>
      <c r="I766" s="94"/>
      <c r="J766" s="94"/>
      <c r="K766" s="94"/>
      <c r="L766" s="94"/>
      <c r="M766" s="94"/>
      <c r="N766" s="94"/>
      <c r="O766" s="94"/>
      <c r="P766" s="94"/>
      <c r="Q766" s="94"/>
      <c r="R766" s="94"/>
      <c r="S766" s="94"/>
      <c r="T766" s="94"/>
      <c r="U766" s="94"/>
      <c r="V766" s="94"/>
      <c r="W766" s="94"/>
      <c r="X766" s="94"/>
      <c r="Y766" s="94"/>
      <c r="Z766" s="94"/>
      <c r="AA766" s="94"/>
      <c r="AB766" s="94"/>
      <c r="AC766" s="94"/>
      <c r="AD766" s="94"/>
      <c r="AE766" s="94"/>
      <c r="AF766" s="94"/>
      <c r="AG766" s="94"/>
      <c r="AH766" s="94"/>
      <c r="AI766" s="94"/>
      <c r="AJ766" s="94"/>
      <c r="AK766" s="94"/>
      <c r="AL766" s="94"/>
      <c r="AM766" s="94"/>
      <c r="AN766" s="94"/>
      <c r="AO766" s="94"/>
      <c r="AP766" s="94"/>
      <c r="AQ766" s="94"/>
      <c r="AR766" s="94"/>
      <c r="AS766" s="94"/>
      <c r="AT766" s="94"/>
      <c r="AU766" s="94"/>
      <c r="AV766" s="94"/>
      <c r="AW766" s="94"/>
      <c r="AX766" s="94"/>
      <c r="AY766" s="94"/>
      <c r="AZ766" s="94"/>
      <c r="BA766" s="95"/>
    </row>
    <row r="767" spans="1:53" s="87" customFormat="1">
      <c r="A767" s="90" t="str">
        <f t="shared" si="37"/>
        <v/>
      </c>
      <c r="B767" s="98"/>
      <c r="C767" s="94"/>
      <c r="D767" s="94"/>
      <c r="E767" s="94"/>
      <c r="F767" s="94"/>
      <c r="G767" s="94"/>
      <c r="H767" s="94"/>
      <c r="I767" s="94"/>
      <c r="J767" s="94"/>
      <c r="K767" s="94"/>
      <c r="L767" s="94"/>
      <c r="M767" s="94"/>
      <c r="N767" s="94"/>
      <c r="O767" s="94"/>
      <c r="P767" s="94"/>
      <c r="Q767" s="94"/>
      <c r="R767" s="94"/>
      <c r="S767" s="94"/>
      <c r="T767" s="94"/>
      <c r="U767" s="94"/>
      <c r="V767" s="94"/>
      <c r="W767" s="94"/>
      <c r="X767" s="94"/>
      <c r="Y767" s="94"/>
      <c r="Z767" s="94"/>
      <c r="AA767" s="94"/>
      <c r="AB767" s="94"/>
      <c r="AC767" s="94"/>
      <c r="AD767" s="94"/>
      <c r="AE767" s="94"/>
      <c r="AF767" s="94"/>
      <c r="AG767" s="94"/>
      <c r="AH767" s="94"/>
      <c r="AI767" s="94"/>
      <c r="AJ767" s="94"/>
      <c r="AK767" s="94"/>
      <c r="AL767" s="94"/>
      <c r="AM767" s="94"/>
      <c r="AN767" s="94"/>
      <c r="AO767" s="94"/>
      <c r="AP767" s="94"/>
      <c r="AQ767" s="94"/>
      <c r="AR767" s="94"/>
      <c r="AS767" s="94"/>
      <c r="AT767" s="94"/>
      <c r="AU767" s="94"/>
      <c r="AV767" s="94"/>
      <c r="AW767" s="94"/>
      <c r="AX767" s="94"/>
      <c r="AY767" s="94"/>
      <c r="AZ767" s="94"/>
      <c r="BA767" s="95"/>
    </row>
    <row r="768" spans="1:53" s="87" customFormat="1">
      <c r="A768" s="90" t="str">
        <f t="shared" si="37"/>
        <v/>
      </c>
      <c r="B768" s="98"/>
      <c r="C768" s="94"/>
      <c r="D768" s="94"/>
      <c r="E768" s="94"/>
      <c r="F768" s="94"/>
      <c r="G768" s="94"/>
      <c r="H768" s="94"/>
      <c r="I768" s="94"/>
      <c r="J768" s="94"/>
      <c r="K768" s="94"/>
      <c r="L768" s="94"/>
      <c r="M768" s="94"/>
      <c r="N768" s="94"/>
      <c r="O768" s="94"/>
      <c r="P768" s="94"/>
      <c r="Q768" s="94"/>
      <c r="R768" s="94"/>
      <c r="S768" s="94"/>
      <c r="T768" s="94"/>
      <c r="U768" s="94"/>
      <c r="V768" s="94"/>
      <c r="W768" s="94"/>
      <c r="X768" s="94"/>
      <c r="Y768" s="94"/>
      <c r="Z768" s="94"/>
      <c r="AA768" s="94"/>
      <c r="AB768" s="94"/>
      <c r="AC768" s="94"/>
      <c r="AD768" s="94"/>
      <c r="AE768" s="94"/>
      <c r="AF768" s="94"/>
      <c r="AG768" s="94"/>
      <c r="AH768" s="94"/>
      <c r="AI768" s="94"/>
      <c r="AJ768" s="94"/>
      <c r="AK768" s="94"/>
      <c r="AL768" s="94"/>
      <c r="AM768" s="94"/>
      <c r="AN768" s="94"/>
      <c r="AO768" s="94"/>
      <c r="AP768" s="94"/>
      <c r="AQ768" s="94"/>
      <c r="AR768" s="94"/>
      <c r="AS768" s="94"/>
      <c r="AT768" s="94"/>
      <c r="AU768" s="94"/>
      <c r="AV768" s="94"/>
      <c r="AW768" s="94"/>
      <c r="AX768" s="94"/>
      <c r="AY768" s="94"/>
      <c r="AZ768" s="94"/>
      <c r="BA768" s="95"/>
    </row>
    <row r="769" spans="1:53" s="87" customFormat="1">
      <c r="A769" s="90" t="str">
        <f t="shared" si="37"/>
        <v/>
      </c>
      <c r="B769" s="98"/>
      <c r="C769" s="94"/>
      <c r="D769" s="94"/>
      <c r="E769" s="94"/>
      <c r="F769" s="94"/>
      <c r="G769" s="94"/>
      <c r="H769" s="94"/>
      <c r="I769" s="94"/>
      <c r="J769" s="94"/>
      <c r="K769" s="94"/>
      <c r="L769" s="94"/>
      <c r="M769" s="94"/>
      <c r="N769" s="94"/>
      <c r="O769" s="94"/>
      <c r="P769" s="94"/>
      <c r="Q769" s="94"/>
      <c r="R769" s="94"/>
      <c r="S769" s="94"/>
      <c r="T769" s="94"/>
      <c r="U769" s="94"/>
      <c r="V769" s="94"/>
      <c r="W769" s="94"/>
      <c r="X769" s="94"/>
      <c r="Y769" s="94"/>
      <c r="Z769" s="94"/>
      <c r="AA769" s="94"/>
      <c r="AB769" s="94"/>
      <c r="AC769" s="94"/>
      <c r="AD769" s="94"/>
      <c r="AE769" s="94"/>
      <c r="AF769" s="94"/>
      <c r="AG769" s="94"/>
      <c r="AH769" s="94"/>
      <c r="AI769" s="94"/>
      <c r="AJ769" s="94"/>
      <c r="AK769" s="94"/>
      <c r="AL769" s="94"/>
      <c r="AM769" s="94"/>
      <c r="AN769" s="94"/>
      <c r="AO769" s="94"/>
      <c r="AP769" s="94"/>
      <c r="AQ769" s="94"/>
      <c r="AR769" s="94"/>
      <c r="AS769" s="94"/>
      <c r="AT769" s="94"/>
      <c r="AU769" s="94"/>
      <c r="AV769" s="94"/>
      <c r="AW769" s="94"/>
      <c r="AX769" s="94"/>
      <c r="AY769" s="94"/>
      <c r="AZ769" s="94"/>
      <c r="BA769" s="95"/>
    </row>
    <row r="770" spans="1:53" s="87" customFormat="1">
      <c r="A770" s="90" t="str">
        <f t="shared" si="37"/>
        <v/>
      </c>
      <c r="B770" s="98"/>
      <c r="C770" s="94"/>
      <c r="D770" s="94"/>
      <c r="E770" s="94"/>
      <c r="F770" s="94"/>
      <c r="G770" s="94"/>
      <c r="H770" s="94"/>
      <c r="I770" s="94"/>
      <c r="J770" s="94"/>
      <c r="K770" s="94"/>
      <c r="L770" s="94"/>
      <c r="M770" s="94"/>
      <c r="N770" s="94"/>
      <c r="O770" s="94"/>
      <c r="P770" s="94"/>
      <c r="Q770" s="94"/>
      <c r="R770" s="94"/>
      <c r="S770" s="94"/>
      <c r="T770" s="94"/>
      <c r="U770" s="94"/>
      <c r="V770" s="94"/>
      <c r="W770" s="94"/>
      <c r="X770" s="94"/>
      <c r="Y770" s="94"/>
      <c r="Z770" s="94"/>
      <c r="AA770" s="94"/>
      <c r="AB770" s="94"/>
      <c r="AC770" s="94"/>
      <c r="AD770" s="94"/>
      <c r="AE770" s="94"/>
      <c r="AF770" s="94"/>
      <c r="AG770" s="94"/>
      <c r="AH770" s="94"/>
      <c r="AI770" s="94"/>
      <c r="AJ770" s="94"/>
      <c r="AK770" s="94"/>
      <c r="AL770" s="94"/>
      <c r="AM770" s="94"/>
      <c r="AN770" s="94"/>
      <c r="AO770" s="94"/>
      <c r="AP770" s="94"/>
      <c r="AQ770" s="94"/>
      <c r="AR770" s="94"/>
      <c r="AS770" s="94"/>
      <c r="AT770" s="94"/>
      <c r="AU770" s="94"/>
      <c r="AV770" s="94"/>
      <c r="AW770" s="94"/>
      <c r="AX770" s="94"/>
      <c r="AY770" s="94"/>
      <c r="AZ770" s="94"/>
      <c r="BA770" s="95"/>
    </row>
    <row r="771" spans="1:53" s="87" customFormat="1">
      <c r="A771" s="90" t="str">
        <f t="shared" si="37"/>
        <v/>
      </c>
      <c r="B771" s="98"/>
      <c r="C771" s="94"/>
      <c r="D771" s="94"/>
      <c r="E771" s="94"/>
      <c r="F771" s="94"/>
      <c r="G771" s="94"/>
      <c r="H771" s="94"/>
      <c r="I771" s="94"/>
      <c r="J771" s="94"/>
      <c r="K771" s="94"/>
      <c r="L771" s="94"/>
      <c r="M771" s="94"/>
      <c r="N771" s="94"/>
      <c r="O771" s="94"/>
      <c r="P771" s="94"/>
      <c r="Q771" s="94"/>
      <c r="R771" s="94"/>
      <c r="S771" s="94"/>
      <c r="T771" s="94"/>
      <c r="U771" s="94"/>
      <c r="V771" s="94"/>
      <c r="W771" s="94"/>
      <c r="X771" s="94"/>
      <c r="Y771" s="94"/>
      <c r="Z771" s="94"/>
      <c r="AA771" s="94"/>
      <c r="AB771" s="94"/>
      <c r="AC771" s="94"/>
      <c r="AD771" s="94"/>
      <c r="AE771" s="94"/>
      <c r="AF771" s="94"/>
      <c r="AG771" s="94"/>
      <c r="AH771" s="94"/>
      <c r="AI771" s="94"/>
      <c r="AJ771" s="94"/>
      <c r="AK771" s="94"/>
      <c r="AL771" s="94"/>
      <c r="AM771" s="94"/>
      <c r="AN771" s="94"/>
      <c r="AO771" s="94"/>
      <c r="AP771" s="94"/>
      <c r="AQ771" s="94"/>
      <c r="AR771" s="94"/>
      <c r="AS771" s="94"/>
      <c r="AT771" s="94"/>
      <c r="AU771" s="94"/>
      <c r="AV771" s="94"/>
      <c r="AW771" s="94"/>
      <c r="AX771" s="94"/>
      <c r="AY771" s="94"/>
      <c r="AZ771" s="94"/>
      <c r="BA771" s="95"/>
    </row>
    <row r="772" spans="1:53" s="87" customFormat="1">
      <c r="A772" s="90" t="str">
        <f t="shared" si="37"/>
        <v/>
      </c>
      <c r="B772" s="98"/>
      <c r="C772" s="94"/>
      <c r="D772" s="94"/>
      <c r="E772" s="94"/>
      <c r="F772" s="94"/>
      <c r="G772" s="94"/>
      <c r="H772" s="94"/>
      <c r="I772" s="94"/>
      <c r="J772" s="94"/>
      <c r="K772" s="94"/>
      <c r="L772" s="94"/>
      <c r="M772" s="94"/>
      <c r="N772" s="94"/>
      <c r="O772" s="94"/>
      <c r="P772" s="94"/>
      <c r="Q772" s="94"/>
      <c r="R772" s="94"/>
      <c r="S772" s="94"/>
      <c r="T772" s="94"/>
      <c r="U772" s="94"/>
      <c r="V772" s="94"/>
      <c r="W772" s="94"/>
      <c r="X772" s="94"/>
      <c r="Y772" s="94"/>
      <c r="Z772" s="94"/>
      <c r="AA772" s="94"/>
      <c r="AB772" s="94"/>
      <c r="AC772" s="94"/>
      <c r="AD772" s="94"/>
      <c r="AE772" s="94"/>
      <c r="AF772" s="94"/>
      <c r="AG772" s="94"/>
      <c r="AH772" s="94"/>
      <c r="AI772" s="94"/>
      <c r="AJ772" s="94"/>
      <c r="AK772" s="94"/>
      <c r="AL772" s="94"/>
      <c r="AM772" s="94"/>
      <c r="AN772" s="94"/>
      <c r="AO772" s="94"/>
      <c r="AP772" s="94"/>
      <c r="AQ772" s="94"/>
      <c r="AR772" s="94"/>
      <c r="AS772" s="94"/>
      <c r="AT772" s="94"/>
      <c r="AU772" s="94"/>
      <c r="AV772" s="94"/>
      <c r="AW772" s="94"/>
      <c r="AX772" s="94"/>
      <c r="AY772" s="94"/>
      <c r="AZ772" s="94"/>
      <c r="BA772" s="95"/>
    </row>
    <row r="773" spans="1:53" s="87" customFormat="1">
      <c r="A773" s="90" t="str">
        <f t="shared" si="37"/>
        <v/>
      </c>
      <c r="B773" s="98"/>
      <c r="C773" s="94"/>
      <c r="D773" s="94"/>
      <c r="E773" s="94"/>
      <c r="F773" s="94"/>
      <c r="G773" s="94"/>
      <c r="H773" s="94"/>
      <c r="I773" s="94"/>
      <c r="J773" s="94"/>
      <c r="K773" s="94"/>
      <c r="L773" s="94"/>
      <c r="M773" s="94"/>
      <c r="N773" s="94"/>
      <c r="O773" s="94"/>
      <c r="P773" s="94"/>
      <c r="Q773" s="94"/>
      <c r="R773" s="94"/>
      <c r="S773" s="94"/>
      <c r="T773" s="94"/>
      <c r="U773" s="94"/>
      <c r="V773" s="94"/>
      <c r="W773" s="94"/>
      <c r="X773" s="94"/>
      <c r="Y773" s="94"/>
      <c r="Z773" s="94"/>
      <c r="AA773" s="94"/>
      <c r="AB773" s="94"/>
      <c r="AC773" s="94"/>
      <c r="AD773" s="94"/>
      <c r="AE773" s="94"/>
      <c r="AF773" s="94"/>
      <c r="AG773" s="94"/>
      <c r="AH773" s="94"/>
      <c r="AI773" s="94"/>
      <c r="AJ773" s="94"/>
      <c r="AK773" s="94"/>
      <c r="AL773" s="94"/>
      <c r="AM773" s="94"/>
      <c r="AN773" s="94"/>
      <c r="AO773" s="94"/>
      <c r="AP773" s="94"/>
      <c r="AQ773" s="94"/>
      <c r="AR773" s="94"/>
      <c r="AS773" s="94"/>
      <c r="AT773" s="94"/>
      <c r="AU773" s="94"/>
      <c r="AV773" s="94"/>
      <c r="AW773" s="94"/>
      <c r="AX773" s="94"/>
      <c r="AY773" s="94"/>
      <c r="AZ773" s="94"/>
      <c r="BA773" s="95"/>
    </row>
    <row r="774" spans="1:53" s="87" customFormat="1">
      <c r="A774" s="90" t="str">
        <f t="shared" si="37"/>
        <v/>
      </c>
      <c r="B774" s="98"/>
      <c r="C774" s="94"/>
      <c r="D774" s="94"/>
      <c r="E774" s="94"/>
      <c r="F774" s="94"/>
      <c r="G774" s="94"/>
      <c r="H774" s="94"/>
      <c r="I774" s="94"/>
      <c r="J774" s="94"/>
      <c r="K774" s="94"/>
      <c r="L774" s="94"/>
      <c r="M774" s="94"/>
      <c r="N774" s="94"/>
      <c r="O774" s="94"/>
      <c r="P774" s="94"/>
      <c r="Q774" s="94"/>
      <c r="R774" s="94"/>
      <c r="S774" s="94"/>
      <c r="T774" s="94"/>
      <c r="U774" s="94"/>
      <c r="V774" s="94"/>
      <c r="W774" s="94"/>
      <c r="X774" s="94"/>
      <c r="Y774" s="94"/>
      <c r="Z774" s="94"/>
      <c r="AA774" s="94"/>
      <c r="AB774" s="94"/>
      <c r="AC774" s="94"/>
      <c r="AD774" s="94"/>
      <c r="AE774" s="94"/>
      <c r="AF774" s="94"/>
      <c r="AG774" s="94"/>
      <c r="AH774" s="94"/>
      <c r="AI774" s="94"/>
      <c r="AJ774" s="94"/>
      <c r="AK774" s="94"/>
      <c r="AL774" s="94"/>
      <c r="AM774" s="94"/>
      <c r="AN774" s="94"/>
      <c r="AO774" s="94"/>
      <c r="AP774" s="94"/>
      <c r="AQ774" s="94"/>
      <c r="AR774" s="94"/>
      <c r="AS774" s="94"/>
      <c r="AT774" s="94"/>
      <c r="AU774" s="94"/>
      <c r="AV774" s="94"/>
      <c r="AW774" s="94"/>
      <c r="AX774" s="94"/>
      <c r="AY774" s="94"/>
      <c r="AZ774" s="94"/>
      <c r="BA774" s="95"/>
    </row>
    <row r="775" spans="1:53" s="87" customFormat="1">
      <c r="A775" s="90" t="str">
        <f t="shared" si="37"/>
        <v/>
      </c>
      <c r="B775" s="98"/>
      <c r="C775" s="94"/>
      <c r="D775" s="94"/>
      <c r="E775" s="94"/>
      <c r="F775" s="94"/>
      <c r="G775" s="94"/>
      <c r="H775" s="94"/>
      <c r="I775" s="94"/>
      <c r="J775" s="94"/>
      <c r="K775" s="94"/>
      <c r="L775" s="94"/>
      <c r="M775" s="94"/>
      <c r="N775" s="94"/>
      <c r="O775" s="94"/>
      <c r="P775" s="94"/>
      <c r="Q775" s="94"/>
      <c r="R775" s="94"/>
      <c r="S775" s="94"/>
      <c r="T775" s="94"/>
      <c r="U775" s="94"/>
      <c r="V775" s="94"/>
      <c r="W775" s="94"/>
      <c r="X775" s="94"/>
      <c r="Y775" s="94"/>
      <c r="Z775" s="94"/>
      <c r="AA775" s="94"/>
      <c r="AB775" s="94"/>
      <c r="AC775" s="94"/>
      <c r="AD775" s="94"/>
      <c r="AE775" s="94"/>
      <c r="AF775" s="94"/>
      <c r="AG775" s="94"/>
      <c r="AH775" s="94"/>
      <c r="AI775" s="94"/>
      <c r="AJ775" s="94"/>
      <c r="AK775" s="94"/>
      <c r="AL775" s="94"/>
      <c r="AM775" s="94"/>
      <c r="AN775" s="94"/>
      <c r="AO775" s="94"/>
      <c r="AP775" s="94"/>
      <c r="AQ775" s="94"/>
      <c r="AR775" s="94"/>
      <c r="AS775" s="94"/>
      <c r="AT775" s="94"/>
      <c r="AU775" s="94"/>
      <c r="AV775" s="94"/>
      <c r="AW775" s="94"/>
      <c r="AX775" s="94"/>
      <c r="AY775" s="94"/>
      <c r="AZ775" s="94"/>
      <c r="BA775" s="95"/>
    </row>
    <row r="776" spans="1:53" s="87" customFormat="1">
      <c r="A776" s="90" t="str">
        <f t="shared" si="37"/>
        <v/>
      </c>
      <c r="B776" s="98"/>
      <c r="C776" s="94"/>
      <c r="D776" s="94"/>
      <c r="E776" s="94"/>
      <c r="F776" s="94"/>
      <c r="G776" s="94"/>
      <c r="H776" s="94"/>
      <c r="I776" s="94"/>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5"/>
    </row>
    <row r="777" spans="1:53" s="87" customFormat="1">
      <c r="A777" s="90" t="str">
        <f t="shared" si="37"/>
        <v/>
      </c>
      <c r="B777" s="98"/>
      <c r="C777" s="94"/>
      <c r="D777" s="94"/>
      <c r="E777" s="94"/>
      <c r="F777" s="94"/>
      <c r="G777" s="94"/>
      <c r="H777" s="94"/>
      <c r="I777" s="94"/>
      <c r="J777" s="94"/>
      <c r="K777" s="94"/>
      <c r="L777" s="94"/>
      <c r="M777" s="94"/>
      <c r="N777" s="94"/>
      <c r="O777" s="94"/>
      <c r="P777" s="94"/>
      <c r="Q777" s="94"/>
      <c r="R777" s="94"/>
      <c r="S777" s="94"/>
      <c r="T777" s="94"/>
      <c r="U777" s="94"/>
      <c r="V777" s="94"/>
      <c r="W777" s="94"/>
      <c r="X777" s="94"/>
      <c r="Y777" s="94"/>
      <c r="Z777" s="94"/>
      <c r="AA777" s="94"/>
      <c r="AB777" s="94"/>
      <c r="AC777" s="94"/>
      <c r="AD777" s="94"/>
      <c r="AE777" s="94"/>
      <c r="AF777" s="94"/>
      <c r="AG777" s="94"/>
      <c r="AH777" s="94"/>
      <c r="AI777" s="94"/>
      <c r="AJ777" s="94"/>
      <c r="AK777" s="94"/>
      <c r="AL777" s="94"/>
      <c r="AM777" s="94"/>
      <c r="AN777" s="94"/>
      <c r="AO777" s="94"/>
      <c r="AP777" s="94"/>
      <c r="AQ777" s="94"/>
      <c r="AR777" s="94"/>
      <c r="AS777" s="94"/>
      <c r="AT777" s="94"/>
      <c r="AU777" s="94"/>
      <c r="AV777" s="94"/>
      <c r="AW777" s="94"/>
      <c r="AX777" s="94"/>
      <c r="AY777" s="94"/>
      <c r="AZ777" s="94"/>
      <c r="BA777" s="95"/>
    </row>
    <row r="778" spans="1:53" s="87" customFormat="1">
      <c r="A778" s="90" t="str">
        <f t="shared" si="37"/>
        <v/>
      </c>
      <c r="B778" s="98"/>
      <c r="C778" s="94"/>
      <c r="D778" s="94"/>
      <c r="E778" s="94"/>
      <c r="F778" s="94"/>
      <c r="G778" s="94"/>
      <c r="H778" s="94"/>
      <c r="I778" s="94"/>
      <c r="J778" s="94"/>
      <c r="K778" s="94"/>
      <c r="L778" s="94"/>
      <c r="M778" s="94"/>
      <c r="N778" s="94"/>
      <c r="O778" s="94"/>
      <c r="P778" s="94"/>
      <c r="Q778" s="94"/>
      <c r="R778" s="94"/>
      <c r="S778" s="94"/>
      <c r="T778" s="94"/>
      <c r="U778" s="94"/>
      <c r="V778" s="94"/>
      <c r="W778" s="94"/>
      <c r="X778" s="94"/>
      <c r="Y778" s="94"/>
      <c r="Z778" s="94"/>
      <c r="AA778" s="94"/>
      <c r="AB778" s="94"/>
      <c r="AC778" s="94"/>
      <c r="AD778" s="94"/>
      <c r="AE778" s="94"/>
      <c r="AF778" s="94"/>
      <c r="AG778" s="94"/>
      <c r="AH778" s="94"/>
      <c r="AI778" s="94"/>
      <c r="AJ778" s="94"/>
      <c r="AK778" s="94"/>
      <c r="AL778" s="94"/>
      <c r="AM778" s="94"/>
      <c r="AN778" s="94"/>
      <c r="AO778" s="94"/>
      <c r="AP778" s="94"/>
      <c r="AQ778" s="94"/>
      <c r="AR778" s="94"/>
      <c r="AS778" s="94"/>
      <c r="AT778" s="94"/>
      <c r="AU778" s="94"/>
      <c r="AV778" s="94"/>
      <c r="AW778" s="94"/>
      <c r="AX778" s="94"/>
      <c r="AY778" s="94"/>
      <c r="AZ778" s="94"/>
      <c r="BA778" s="95"/>
    </row>
    <row r="779" spans="1:53" s="87" customFormat="1">
      <c r="A779" s="90" t="str">
        <f t="shared" si="37"/>
        <v/>
      </c>
      <c r="B779" s="98"/>
      <c r="C779" s="94"/>
      <c r="D779" s="94"/>
      <c r="E779" s="94"/>
      <c r="F779" s="94"/>
      <c r="G779" s="94"/>
      <c r="H779" s="94"/>
      <c r="I779" s="94"/>
      <c r="J779" s="94"/>
      <c r="K779" s="94"/>
      <c r="L779" s="94"/>
      <c r="M779" s="94"/>
      <c r="N779" s="94"/>
      <c r="O779" s="94"/>
      <c r="P779" s="94"/>
      <c r="Q779" s="94"/>
      <c r="R779" s="94"/>
      <c r="S779" s="94"/>
      <c r="T779" s="94"/>
      <c r="U779" s="94"/>
      <c r="V779" s="94"/>
      <c r="W779" s="94"/>
      <c r="X779" s="94"/>
      <c r="Y779" s="94"/>
      <c r="Z779" s="94"/>
      <c r="AA779" s="94"/>
      <c r="AB779" s="94"/>
      <c r="AC779" s="94"/>
      <c r="AD779" s="94"/>
      <c r="AE779" s="94"/>
      <c r="AF779" s="94"/>
      <c r="AG779" s="94"/>
      <c r="AH779" s="94"/>
      <c r="AI779" s="94"/>
      <c r="AJ779" s="94"/>
      <c r="AK779" s="94"/>
      <c r="AL779" s="94"/>
      <c r="AM779" s="94"/>
      <c r="AN779" s="94"/>
      <c r="AO779" s="94"/>
      <c r="AP779" s="94"/>
      <c r="AQ779" s="94"/>
      <c r="AR779" s="94"/>
      <c r="AS779" s="94"/>
      <c r="AT779" s="94"/>
      <c r="AU779" s="94"/>
      <c r="AV779" s="94"/>
      <c r="AW779" s="94"/>
      <c r="AX779" s="94"/>
      <c r="AY779" s="94"/>
      <c r="AZ779" s="94"/>
      <c r="BA779" s="95"/>
    </row>
    <row r="780" spans="1:53" s="87" customFormat="1">
      <c r="A780" s="90" t="str">
        <f t="shared" ref="A780:A843" si="38">IF(MID(B780,3,2)="03",ROW(),"")</f>
        <v/>
      </c>
      <c r="B780" s="98"/>
      <c r="C780" s="94"/>
      <c r="D780" s="94"/>
      <c r="E780" s="94"/>
      <c r="F780" s="94"/>
      <c r="G780" s="94"/>
      <c r="H780" s="94"/>
      <c r="I780" s="94"/>
      <c r="J780" s="94"/>
      <c r="K780" s="94"/>
      <c r="L780" s="94"/>
      <c r="M780" s="94"/>
      <c r="N780" s="94"/>
      <c r="O780" s="94"/>
      <c r="P780" s="94"/>
      <c r="Q780" s="94"/>
      <c r="R780" s="94"/>
      <c r="S780" s="94"/>
      <c r="T780" s="94"/>
      <c r="U780" s="94"/>
      <c r="V780" s="94"/>
      <c r="W780" s="94"/>
      <c r="X780" s="94"/>
      <c r="Y780" s="94"/>
      <c r="Z780" s="94"/>
      <c r="AA780" s="94"/>
      <c r="AB780" s="94"/>
      <c r="AC780" s="94"/>
      <c r="AD780" s="94"/>
      <c r="AE780" s="94"/>
      <c r="AF780" s="94"/>
      <c r="AG780" s="94"/>
      <c r="AH780" s="94"/>
      <c r="AI780" s="94"/>
      <c r="AJ780" s="94"/>
      <c r="AK780" s="94"/>
      <c r="AL780" s="94"/>
      <c r="AM780" s="94"/>
      <c r="AN780" s="94"/>
      <c r="AO780" s="94"/>
      <c r="AP780" s="94"/>
      <c r="AQ780" s="94"/>
      <c r="AR780" s="94"/>
      <c r="AS780" s="94"/>
      <c r="AT780" s="94"/>
      <c r="AU780" s="94"/>
      <c r="AV780" s="94"/>
      <c r="AW780" s="94"/>
      <c r="AX780" s="94"/>
      <c r="AY780" s="94"/>
      <c r="AZ780" s="94"/>
      <c r="BA780" s="95"/>
    </row>
    <row r="781" spans="1:53" s="87" customFormat="1">
      <c r="A781" s="90" t="str">
        <f t="shared" si="38"/>
        <v/>
      </c>
      <c r="B781" s="98"/>
      <c r="C781" s="94"/>
      <c r="D781" s="94"/>
      <c r="E781" s="94"/>
      <c r="F781" s="94"/>
      <c r="G781" s="94"/>
      <c r="H781" s="94"/>
      <c r="I781" s="94"/>
      <c r="J781" s="94"/>
      <c r="K781" s="94"/>
      <c r="L781" s="94"/>
      <c r="M781" s="94"/>
      <c r="N781" s="94"/>
      <c r="O781" s="94"/>
      <c r="P781" s="94"/>
      <c r="Q781" s="94"/>
      <c r="R781" s="94"/>
      <c r="S781" s="94"/>
      <c r="T781" s="94"/>
      <c r="U781" s="94"/>
      <c r="V781" s="94"/>
      <c r="W781" s="94"/>
      <c r="X781" s="94"/>
      <c r="Y781" s="94"/>
      <c r="Z781" s="94"/>
      <c r="AA781" s="94"/>
      <c r="AB781" s="94"/>
      <c r="AC781" s="94"/>
      <c r="AD781" s="94"/>
      <c r="AE781" s="94"/>
      <c r="AF781" s="94"/>
      <c r="AG781" s="94"/>
      <c r="AH781" s="94"/>
      <c r="AI781" s="94"/>
      <c r="AJ781" s="94"/>
      <c r="AK781" s="94"/>
      <c r="AL781" s="94"/>
      <c r="AM781" s="94"/>
      <c r="AN781" s="94"/>
      <c r="AO781" s="94"/>
      <c r="AP781" s="94"/>
      <c r="AQ781" s="94"/>
      <c r="AR781" s="94"/>
      <c r="AS781" s="94"/>
      <c r="AT781" s="94"/>
      <c r="AU781" s="94"/>
      <c r="AV781" s="94"/>
      <c r="AW781" s="94"/>
      <c r="AX781" s="94"/>
      <c r="AY781" s="94"/>
      <c r="AZ781" s="94"/>
      <c r="BA781" s="95"/>
    </row>
    <row r="782" spans="1:53" s="87" customFormat="1">
      <c r="A782" s="90" t="str">
        <f t="shared" si="38"/>
        <v/>
      </c>
      <c r="B782" s="98"/>
      <c r="C782" s="94"/>
      <c r="D782" s="94"/>
      <c r="E782" s="94"/>
      <c r="F782" s="94"/>
      <c r="G782" s="94"/>
      <c r="H782" s="94"/>
      <c r="I782" s="94"/>
      <c r="J782" s="94"/>
      <c r="K782" s="94"/>
      <c r="L782" s="94"/>
      <c r="M782" s="94"/>
      <c r="N782" s="94"/>
      <c r="O782" s="94"/>
      <c r="P782" s="94"/>
      <c r="Q782" s="94"/>
      <c r="R782" s="94"/>
      <c r="S782" s="94"/>
      <c r="T782" s="94"/>
      <c r="U782" s="94"/>
      <c r="V782" s="94"/>
      <c r="W782" s="94"/>
      <c r="X782" s="94"/>
      <c r="Y782" s="94"/>
      <c r="Z782" s="94"/>
      <c r="AA782" s="94"/>
      <c r="AB782" s="94"/>
      <c r="AC782" s="94"/>
      <c r="AD782" s="94"/>
      <c r="AE782" s="94"/>
      <c r="AF782" s="94"/>
      <c r="AG782" s="94"/>
      <c r="AH782" s="94"/>
      <c r="AI782" s="94"/>
      <c r="AJ782" s="94"/>
      <c r="AK782" s="94"/>
      <c r="AL782" s="94"/>
      <c r="AM782" s="94"/>
      <c r="AN782" s="94"/>
      <c r="AO782" s="94"/>
      <c r="AP782" s="94"/>
      <c r="AQ782" s="94"/>
      <c r="AR782" s="94"/>
      <c r="AS782" s="94"/>
      <c r="AT782" s="94"/>
      <c r="AU782" s="94"/>
      <c r="AV782" s="94"/>
      <c r="AW782" s="94"/>
      <c r="AX782" s="94"/>
      <c r="AY782" s="94"/>
      <c r="AZ782" s="94"/>
      <c r="BA782" s="95"/>
    </row>
    <row r="783" spans="1:53" s="87" customFormat="1">
      <c r="A783" s="90" t="str">
        <f t="shared" si="38"/>
        <v/>
      </c>
      <c r="B783" s="98"/>
      <c r="C783" s="94"/>
      <c r="D783" s="94"/>
      <c r="E783" s="94"/>
      <c r="F783" s="94"/>
      <c r="G783" s="94"/>
      <c r="H783" s="94"/>
      <c r="I783" s="94"/>
      <c r="J783" s="94"/>
      <c r="K783" s="94"/>
      <c r="L783" s="94"/>
      <c r="M783" s="94"/>
      <c r="N783" s="94"/>
      <c r="O783" s="94"/>
      <c r="P783" s="94"/>
      <c r="Q783" s="94"/>
      <c r="R783" s="94"/>
      <c r="S783" s="94"/>
      <c r="T783" s="94"/>
      <c r="U783" s="94"/>
      <c r="V783" s="94"/>
      <c r="W783" s="94"/>
      <c r="X783" s="94"/>
      <c r="Y783" s="94"/>
      <c r="Z783" s="94"/>
      <c r="AA783" s="94"/>
      <c r="AB783" s="94"/>
      <c r="AC783" s="94"/>
      <c r="AD783" s="94"/>
      <c r="AE783" s="94"/>
      <c r="AF783" s="94"/>
      <c r="AG783" s="94"/>
      <c r="AH783" s="94"/>
      <c r="AI783" s="94"/>
      <c r="AJ783" s="94"/>
      <c r="AK783" s="94"/>
      <c r="AL783" s="94"/>
      <c r="AM783" s="94"/>
      <c r="AN783" s="94"/>
      <c r="AO783" s="94"/>
      <c r="AP783" s="94"/>
      <c r="AQ783" s="94"/>
      <c r="AR783" s="94"/>
      <c r="AS783" s="94"/>
      <c r="AT783" s="94"/>
      <c r="AU783" s="94"/>
      <c r="AV783" s="94"/>
      <c r="AW783" s="94"/>
      <c r="AX783" s="94"/>
      <c r="AY783" s="94"/>
      <c r="AZ783" s="94"/>
      <c r="BA783" s="95"/>
    </row>
    <row r="784" spans="1:53" s="87" customFormat="1">
      <c r="A784" s="90" t="str">
        <f t="shared" si="38"/>
        <v/>
      </c>
      <c r="B784" s="98"/>
      <c r="C784" s="94"/>
      <c r="D784" s="94"/>
      <c r="E784" s="94"/>
      <c r="F784" s="94"/>
      <c r="G784" s="94"/>
      <c r="H784" s="94"/>
      <c r="I784" s="94"/>
      <c r="J784" s="94"/>
      <c r="K784" s="94"/>
      <c r="L784" s="94"/>
      <c r="M784" s="94"/>
      <c r="N784" s="94"/>
      <c r="O784" s="94"/>
      <c r="P784" s="94"/>
      <c r="Q784" s="94"/>
      <c r="R784" s="94"/>
      <c r="S784" s="94"/>
      <c r="T784" s="94"/>
      <c r="U784" s="94"/>
      <c r="V784" s="94"/>
      <c r="W784" s="94"/>
      <c r="X784" s="94"/>
      <c r="Y784" s="94"/>
      <c r="Z784" s="94"/>
      <c r="AA784" s="94"/>
      <c r="AB784" s="94"/>
      <c r="AC784" s="94"/>
      <c r="AD784" s="94"/>
      <c r="AE784" s="94"/>
      <c r="AF784" s="94"/>
      <c r="AG784" s="94"/>
      <c r="AH784" s="94"/>
      <c r="AI784" s="94"/>
      <c r="AJ784" s="94"/>
      <c r="AK784" s="94"/>
      <c r="AL784" s="94"/>
      <c r="AM784" s="94"/>
      <c r="AN784" s="94"/>
      <c r="AO784" s="94"/>
      <c r="AP784" s="94"/>
      <c r="AQ784" s="94"/>
      <c r="AR784" s="94"/>
      <c r="AS784" s="94"/>
      <c r="AT784" s="94"/>
      <c r="AU784" s="94"/>
      <c r="AV784" s="94"/>
      <c r="AW784" s="94"/>
      <c r="AX784" s="94"/>
      <c r="AY784" s="94"/>
      <c r="AZ784" s="94"/>
      <c r="BA784" s="95"/>
    </row>
    <row r="785" spans="1:53" s="87" customFormat="1">
      <c r="A785" s="90" t="str">
        <f t="shared" si="38"/>
        <v/>
      </c>
      <c r="B785" s="98"/>
      <c r="C785" s="94"/>
      <c r="D785" s="94"/>
      <c r="E785" s="94"/>
      <c r="F785" s="94"/>
      <c r="G785" s="94"/>
      <c r="H785" s="94"/>
      <c r="I785" s="94"/>
      <c r="J785" s="94"/>
      <c r="K785" s="94"/>
      <c r="L785" s="94"/>
      <c r="M785" s="94"/>
      <c r="N785" s="94"/>
      <c r="O785" s="94"/>
      <c r="P785" s="94"/>
      <c r="Q785" s="94"/>
      <c r="R785" s="94"/>
      <c r="S785" s="94"/>
      <c r="T785" s="94"/>
      <c r="U785" s="94"/>
      <c r="V785" s="94"/>
      <c r="W785" s="94"/>
      <c r="X785" s="94"/>
      <c r="Y785" s="94"/>
      <c r="Z785" s="94"/>
      <c r="AA785" s="94"/>
      <c r="AB785" s="94"/>
      <c r="AC785" s="94"/>
      <c r="AD785" s="94"/>
      <c r="AE785" s="94"/>
      <c r="AF785" s="94"/>
      <c r="AG785" s="94"/>
      <c r="AH785" s="94"/>
      <c r="AI785" s="94"/>
      <c r="AJ785" s="94"/>
      <c r="AK785" s="94"/>
      <c r="AL785" s="94"/>
      <c r="AM785" s="94"/>
      <c r="AN785" s="94"/>
      <c r="AO785" s="94"/>
      <c r="AP785" s="94"/>
      <c r="AQ785" s="94"/>
      <c r="AR785" s="94"/>
      <c r="AS785" s="94"/>
      <c r="AT785" s="94"/>
      <c r="AU785" s="94"/>
      <c r="AV785" s="94"/>
      <c r="AW785" s="94"/>
      <c r="AX785" s="94"/>
      <c r="AY785" s="94"/>
      <c r="AZ785" s="94"/>
      <c r="BA785" s="95"/>
    </row>
    <row r="786" spans="1:53" s="87" customFormat="1">
      <c r="A786" s="90" t="str">
        <f t="shared" si="38"/>
        <v/>
      </c>
      <c r="B786" s="98"/>
      <c r="C786" s="94"/>
      <c r="D786" s="94"/>
      <c r="E786" s="94"/>
      <c r="F786" s="94"/>
      <c r="G786" s="94"/>
      <c r="H786" s="94"/>
      <c r="I786" s="94"/>
      <c r="J786" s="94"/>
      <c r="K786" s="94"/>
      <c r="L786" s="94"/>
      <c r="M786" s="94"/>
      <c r="N786" s="94"/>
      <c r="O786" s="94"/>
      <c r="P786" s="94"/>
      <c r="Q786" s="94"/>
      <c r="R786" s="94"/>
      <c r="S786" s="94"/>
      <c r="T786" s="94"/>
      <c r="U786" s="94"/>
      <c r="V786" s="94"/>
      <c r="W786" s="94"/>
      <c r="X786" s="94"/>
      <c r="Y786" s="94"/>
      <c r="Z786" s="94"/>
      <c r="AA786" s="94"/>
      <c r="AB786" s="94"/>
      <c r="AC786" s="94"/>
      <c r="AD786" s="94"/>
      <c r="AE786" s="94"/>
      <c r="AF786" s="94"/>
      <c r="AG786" s="94"/>
      <c r="AH786" s="94"/>
      <c r="AI786" s="94"/>
      <c r="AJ786" s="94"/>
      <c r="AK786" s="94"/>
      <c r="AL786" s="94"/>
      <c r="AM786" s="94"/>
      <c r="AN786" s="94"/>
      <c r="AO786" s="94"/>
      <c r="AP786" s="94"/>
      <c r="AQ786" s="94"/>
      <c r="AR786" s="94"/>
      <c r="AS786" s="94"/>
      <c r="AT786" s="94"/>
      <c r="AU786" s="94"/>
      <c r="AV786" s="94"/>
      <c r="AW786" s="94"/>
      <c r="AX786" s="94"/>
      <c r="AY786" s="94"/>
      <c r="AZ786" s="94"/>
      <c r="BA786" s="95"/>
    </row>
    <row r="787" spans="1:53" s="87" customFormat="1">
      <c r="A787" s="90" t="str">
        <f t="shared" si="38"/>
        <v/>
      </c>
      <c r="B787" s="98"/>
      <c r="C787" s="94"/>
      <c r="D787" s="94"/>
      <c r="E787" s="94"/>
      <c r="F787" s="94"/>
      <c r="G787" s="94"/>
      <c r="H787" s="94"/>
      <c r="I787" s="94"/>
      <c r="J787" s="94"/>
      <c r="K787" s="94"/>
      <c r="L787" s="94"/>
      <c r="M787" s="94"/>
      <c r="N787" s="94"/>
      <c r="O787" s="94"/>
      <c r="P787" s="94"/>
      <c r="Q787" s="94"/>
      <c r="R787" s="94"/>
      <c r="S787" s="94"/>
      <c r="T787" s="94"/>
      <c r="U787" s="94"/>
      <c r="V787" s="94"/>
      <c r="W787" s="94"/>
      <c r="X787" s="94"/>
      <c r="Y787" s="94"/>
      <c r="Z787" s="94"/>
      <c r="AA787" s="94"/>
      <c r="AB787" s="94"/>
      <c r="AC787" s="94"/>
      <c r="AD787" s="94"/>
      <c r="AE787" s="94"/>
      <c r="AF787" s="94"/>
      <c r="AG787" s="94"/>
      <c r="AH787" s="94"/>
      <c r="AI787" s="94"/>
      <c r="AJ787" s="94"/>
      <c r="AK787" s="94"/>
      <c r="AL787" s="94"/>
      <c r="AM787" s="94"/>
      <c r="AN787" s="94"/>
      <c r="AO787" s="94"/>
      <c r="AP787" s="94"/>
      <c r="AQ787" s="94"/>
      <c r="AR787" s="94"/>
      <c r="AS787" s="94"/>
      <c r="AT787" s="94"/>
      <c r="AU787" s="94"/>
      <c r="AV787" s="94"/>
      <c r="AW787" s="94"/>
      <c r="AX787" s="94"/>
      <c r="AY787" s="94"/>
      <c r="AZ787" s="94"/>
      <c r="BA787" s="95"/>
    </row>
    <row r="788" spans="1:53" s="87" customFormat="1">
      <c r="A788" s="90" t="str">
        <f t="shared" si="38"/>
        <v/>
      </c>
      <c r="B788" s="98"/>
      <c r="C788" s="94"/>
      <c r="D788" s="94"/>
      <c r="E788" s="94"/>
      <c r="F788" s="94"/>
      <c r="G788" s="94"/>
      <c r="H788" s="94"/>
      <c r="I788" s="94"/>
      <c r="J788" s="94"/>
      <c r="K788" s="94"/>
      <c r="L788" s="94"/>
      <c r="M788" s="94"/>
      <c r="N788" s="94"/>
      <c r="O788" s="94"/>
      <c r="P788" s="94"/>
      <c r="Q788" s="94"/>
      <c r="R788" s="94"/>
      <c r="S788" s="94"/>
      <c r="T788" s="94"/>
      <c r="U788" s="94"/>
      <c r="V788" s="94"/>
      <c r="W788" s="94"/>
      <c r="X788" s="94"/>
      <c r="Y788" s="94"/>
      <c r="Z788" s="94"/>
      <c r="AA788" s="94"/>
      <c r="AB788" s="94"/>
      <c r="AC788" s="94"/>
      <c r="AD788" s="94"/>
      <c r="AE788" s="94"/>
      <c r="AF788" s="94"/>
      <c r="AG788" s="94"/>
      <c r="AH788" s="94"/>
      <c r="AI788" s="94"/>
      <c r="AJ788" s="94"/>
      <c r="AK788" s="94"/>
      <c r="AL788" s="94"/>
      <c r="AM788" s="94"/>
      <c r="AN788" s="94"/>
      <c r="AO788" s="94"/>
      <c r="AP788" s="94"/>
      <c r="AQ788" s="94"/>
      <c r="AR788" s="94"/>
      <c r="AS788" s="94"/>
      <c r="AT788" s="94"/>
      <c r="AU788" s="94"/>
      <c r="AV788" s="94"/>
      <c r="AW788" s="94"/>
      <c r="AX788" s="94"/>
      <c r="AY788" s="94"/>
      <c r="AZ788" s="94"/>
      <c r="BA788" s="95"/>
    </row>
    <row r="789" spans="1:53" s="87" customFormat="1">
      <c r="A789" s="90" t="str">
        <f t="shared" si="38"/>
        <v/>
      </c>
      <c r="B789" s="98"/>
      <c r="C789" s="94"/>
      <c r="D789" s="94"/>
      <c r="E789" s="94"/>
      <c r="F789" s="94"/>
      <c r="G789" s="94"/>
      <c r="H789" s="94"/>
      <c r="I789" s="94"/>
      <c r="J789" s="94"/>
      <c r="K789" s="94"/>
      <c r="L789" s="94"/>
      <c r="M789" s="94"/>
      <c r="N789" s="94"/>
      <c r="O789" s="94"/>
      <c r="P789" s="94"/>
      <c r="Q789" s="94"/>
      <c r="R789" s="94"/>
      <c r="S789" s="94"/>
      <c r="T789" s="94"/>
      <c r="U789" s="94"/>
      <c r="V789" s="94"/>
      <c r="W789" s="94"/>
      <c r="X789" s="94"/>
      <c r="Y789" s="94"/>
      <c r="Z789" s="94"/>
      <c r="AA789" s="94"/>
      <c r="AB789" s="94"/>
      <c r="AC789" s="94"/>
      <c r="AD789" s="94"/>
      <c r="AE789" s="94"/>
      <c r="AF789" s="94"/>
      <c r="AG789" s="94"/>
      <c r="AH789" s="94"/>
      <c r="AI789" s="94"/>
      <c r="AJ789" s="94"/>
      <c r="AK789" s="94"/>
      <c r="AL789" s="94"/>
      <c r="AM789" s="94"/>
      <c r="AN789" s="94"/>
      <c r="AO789" s="94"/>
      <c r="AP789" s="94"/>
      <c r="AQ789" s="94"/>
      <c r="AR789" s="94"/>
      <c r="AS789" s="94"/>
      <c r="AT789" s="94"/>
      <c r="AU789" s="94"/>
      <c r="AV789" s="94"/>
      <c r="AW789" s="94"/>
      <c r="AX789" s="94"/>
      <c r="AY789" s="94"/>
      <c r="AZ789" s="94"/>
      <c r="BA789" s="95"/>
    </row>
    <row r="790" spans="1:53" s="87" customFormat="1">
      <c r="A790" s="90" t="str">
        <f t="shared" si="38"/>
        <v/>
      </c>
      <c r="B790" s="98"/>
      <c r="C790" s="94"/>
      <c r="D790" s="94"/>
      <c r="E790" s="94"/>
      <c r="F790" s="94"/>
      <c r="G790" s="94"/>
      <c r="H790" s="94"/>
      <c r="I790" s="94"/>
      <c r="J790" s="94"/>
      <c r="K790" s="94"/>
      <c r="L790" s="94"/>
      <c r="M790" s="94"/>
      <c r="N790" s="94"/>
      <c r="O790" s="94"/>
      <c r="P790" s="94"/>
      <c r="Q790" s="94"/>
      <c r="R790" s="94"/>
      <c r="S790" s="94"/>
      <c r="T790" s="94"/>
      <c r="U790" s="94"/>
      <c r="V790" s="94"/>
      <c r="W790" s="94"/>
      <c r="X790" s="94"/>
      <c r="Y790" s="94"/>
      <c r="Z790" s="94"/>
      <c r="AA790" s="94"/>
      <c r="AB790" s="94"/>
      <c r="AC790" s="94"/>
      <c r="AD790" s="94"/>
      <c r="AE790" s="94"/>
      <c r="AF790" s="94"/>
      <c r="AG790" s="94"/>
      <c r="AH790" s="94"/>
      <c r="AI790" s="94"/>
      <c r="AJ790" s="94"/>
      <c r="AK790" s="94"/>
      <c r="AL790" s="94"/>
      <c r="AM790" s="94"/>
      <c r="AN790" s="94"/>
      <c r="AO790" s="94"/>
      <c r="AP790" s="94"/>
      <c r="AQ790" s="94"/>
      <c r="AR790" s="94"/>
      <c r="AS790" s="94"/>
      <c r="AT790" s="94"/>
      <c r="AU790" s="94"/>
      <c r="AV790" s="94"/>
      <c r="AW790" s="94"/>
      <c r="AX790" s="94"/>
      <c r="AY790" s="94"/>
      <c r="AZ790" s="94"/>
      <c r="BA790" s="95"/>
    </row>
    <row r="791" spans="1:53" s="87" customFormat="1">
      <c r="A791" s="90" t="str">
        <f t="shared" si="38"/>
        <v/>
      </c>
      <c r="B791" s="98"/>
      <c r="C791" s="94"/>
      <c r="D791" s="94"/>
      <c r="E791" s="94"/>
      <c r="F791" s="94"/>
      <c r="G791" s="94"/>
      <c r="H791" s="94"/>
      <c r="I791" s="94"/>
      <c r="J791" s="94"/>
      <c r="K791" s="94"/>
      <c r="L791" s="94"/>
      <c r="M791" s="94"/>
      <c r="N791" s="94"/>
      <c r="O791" s="94"/>
      <c r="P791" s="94"/>
      <c r="Q791" s="94"/>
      <c r="R791" s="94"/>
      <c r="S791" s="94"/>
      <c r="T791" s="94"/>
      <c r="U791" s="94"/>
      <c r="V791" s="94"/>
      <c r="W791" s="94"/>
      <c r="X791" s="94"/>
      <c r="Y791" s="94"/>
      <c r="Z791" s="94"/>
      <c r="AA791" s="94"/>
      <c r="AB791" s="94"/>
      <c r="AC791" s="94"/>
      <c r="AD791" s="94"/>
      <c r="AE791" s="94"/>
      <c r="AF791" s="94"/>
      <c r="AG791" s="94"/>
      <c r="AH791" s="94"/>
      <c r="AI791" s="94"/>
      <c r="AJ791" s="94"/>
      <c r="AK791" s="94"/>
      <c r="AL791" s="94"/>
      <c r="AM791" s="94"/>
      <c r="AN791" s="94"/>
      <c r="AO791" s="94"/>
      <c r="AP791" s="94"/>
      <c r="AQ791" s="94"/>
      <c r="AR791" s="94"/>
      <c r="AS791" s="94"/>
      <c r="AT791" s="94"/>
      <c r="AU791" s="94"/>
      <c r="AV791" s="94"/>
      <c r="AW791" s="94"/>
      <c r="AX791" s="94"/>
      <c r="AY791" s="94"/>
      <c r="AZ791" s="94"/>
      <c r="BA791" s="95"/>
    </row>
    <row r="792" spans="1:53" s="87" customFormat="1">
      <c r="A792" s="90" t="str">
        <f t="shared" si="38"/>
        <v/>
      </c>
      <c r="B792" s="98"/>
      <c r="C792" s="94"/>
      <c r="D792" s="94"/>
      <c r="E792" s="94"/>
      <c r="F792" s="94"/>
      <c r="G792" s="94"/>
      <c r="H792" s="94"/>
      <c r="I792" s="94"/>
      <c r="J792" s="94"/>
      <c r="K792" s="94"/>
      <c r="L792" s="94"/>
      <c r="M792" s="94"/>
      <c r="N792" s="94"/>
      <c r="O792" s="94"/>
      <c r="P792" s="94"/>
      <c r="Q792" s="94"/>
      <c r="R792" s="94"/>
      <c r="S792" s="94"/>
      <c r="T792" s="94"/>
      <c r="U792" s="94"/>
      <c r="V792" s="94"/>
      <c r="W792" s="94"/>
      <c r="X792" s="94"/>
      <c r="Y792" s="94"/>
      <c r="Z792" s="94"/>
      <c r="AA792" s="94"/>
      <c r="AB792" s="94"/>
      <c r="AC792" s="94"/>
      <c r="AD792" s="94"/>
      <c r="AE792" s="94"/>
      <c r="AF792" s="94"/>
      <c r="AG792" s="94"/>
      <c r="AH792" s="94"/>
      <c r="AI792" s="94"/>
      <c r="AJ792" s="94"/>
      <c r="AK792" s="94"/>
      <c r="AL792" s="94"/>
      <c r="AM792" s="94"/>
      <c r="AN792" s="94"/>
      <c r="AO792" s="94"/>
      <c r="AP792" s="94"/>
      <c r="AQ792" s="94"/>
      <c r="AR792" s="94"/>
      <c r="AS792" s="94"/>
      <c r="AT792" s="94"/>
      <c r="AU792" s="94"/>
      <c r="AV792" s="94"/>
      <c r="AW792" s="94"/>
      <c r="AX792" s="94"/>
      <c r="AY792" s="94"/>
      <c r="AZ792" s="94"/>
      <c r="BA792" s="95"/>
    </row>
    <row r="793" spans="1:53" s="87" customFormat="1">
      <c r="A793" s="90" t="str">
        <f t="shared" si="38"/>
        <v/>
      </c>
      <c r="B793" s="98"/>
      <c r="C793" s="94"/>
      <c r="D793" s="94"/>
      <c r="E793" s="94"/>
      <c r="F793" s="94"/>
      <c r="G793" s="94"/>
      <c r="H793" s="94"/>
      <c r="I793" s="94"/>
      <c r="J793" s="94"/>
      <c r="K793" s="94"/>
      <c r="L793" s="94"/>
      <c r="M793" s="94"/>
      <c r="N793" s="94"/>
      <c r="O793" s="94"/>
      <c r="P793" s="94"/>
      <c r="Q793" s="94"/>
      <c r="R793" s="94"/>
      <c r="S793" s="94"/>
      <c r="T793" s="94"/>
      <c r="U793" s="94"/>
      <c r="V793" s="94"/>
      <c r="W793" s="94"/>
      <c r="X793" s="94"/>
      <c r="Y793" s="94"/>
      <c r="Z793" s="94"/>
      <c r="AA793" s="94"/>
      <c r="AB793" s="94"/>
      <c r="AC793" s="94"/>
      <c r="AD793" s="94"/>
      <c r="AE793" s="94"/>
      <c r="AF793" s="94"/>
      <c r="AG793" s="94"/>
      <c r="AH793" s="94"/>
      <c r="AI793" s="94"/>
      <c r="AJ793" s="94"/>
      <c r="AK793" s="94"/>
      <c r="AL793" s="94"/>
      <c r="AM793" s="94"/>
      <c r="AN793" s="94"/>
      <c r="AO793" s="94"/>
      <c r="AP793" s="94"/>
      <c r="AQ793" s="94"/>
      <c r="AR793" s="94"/>
      <c r="AS793" s="94"/>
      <c r="AT793" s="94"/>
      <c r="AU793" s="94"/>
      <c r="AV793" s="94"/>
      <c r="AW793" s="94"/>
      <c r="AX793" s="94"/>
      <c r="AY793" s="94"/>
      <c r="AZ793" s="94"/>
      <c r="BA793" s="95"/>
    </row>
    <row r="794" spans="1:53" s="87" customFormat="1">
      <c r="A794" s="90" t="str">
        <f t="shared" si="38"/>
        <v/>
      </c>
      <c r="B794" s="98"/>
      <c r="C794" s="94"/>
      <c r="D794" s="94"/>
      <c r="E794" s="94"/>
      <c r="F794" s="94"/>
      <c r="G794" s="94"/>
      <c r="H794" s="94"/>
      <c r="I794" s="94"/>
      <c r="J794" s="94"/>
      <c r="K794" s="94"/>
      <c r="L794" s="94"/>
      <c r="M794" s="94"/>
      <c r="N794" s="94"/>
      <c r="O794" s="94"/>
      <c r="P794" s="94"/>
      <c r="Q794" s="94"/>
      <c r="R794" s="94"/>
      <c r="S794" s="94"/>
      <c r="T794" s="94"/>
      <c r="U794" s="94"/>
      <c r="V794" s="94"/>
      <c r="W794" s="94"/>
      <c r="X794" s="94"/>
      <c r="Y794" s="94"/>
      <c r="Z794" s="94"/>
      <c r="AA794" s="94"/>
      <c r="AB794" s="94"/>
      <c r="AC794" s="94"/>
      <c r="AD794" s="94"/>
      <c r="AE794" s="94"/>
      <c r="AF794" s="94"/>
      <c r="AG794" s="94"/>
      <c r="AH794" s="94"/>
      <c r="AI794" s="94"/>
      <c r="AJ794" s="94"/>
      <c r="AK794" s="94"/>
      <c r="AL794" s="94"/>
      <c r="AM794" s="94"/>
      <c r="AN794" s="94"/>
      <c r="AO794" s="94"/>
      <c r="AP794" s="94"/>
      <c r="AQ794" s="94"/>
      <c r="AR794" s="94"/>
      <c r="AS794" s="94"/>
      <c r="AT794" s="94"/>
      <c r="AU794" s="94"/>
      <c r="AV794" s="94"/>
      <c r="AW794" s="94"/>
      <c r="AX794" s="94"/>
      <c r="AY794" s="94"/>
      <c r="AZ794" s="94"/>
      <c r="BA794" s="95"/>
    </row>
    <row r="795" spans="1:53" s="87" customFormat="1">
      <c r="A795" s="90" t="str">
        <f t="shared" si="38"/>
        <v/>
      </c>
      <c r="B795" s="98"/>
      <c r="C795" s="94"/>
      <c r="D795" s="94"/>
      <c r="E795" s="94"/>
      <c r="F795" s="94"/>
      <c r="G795" s="94"/>
      <c r="H795" s="94"/>
      <c r="I795" s="94"/>
      <c r="J795" s="94"/>
      <c r="K795" s="94"/>
      <c r="L795" s="94"/>
      <c r="M795" s="94"/>
      <c r="N795" s="94"/>
      <c r="O795" s="94"/>
      <c r="P795" s="94"/>
      <c r="Q795" s="94"/>
      <c r="R795" s="94"/>
      <c r="S795" s="94"/>
      <c r="T795" s="94"/>
      <c r="U795" s="94"/>
      <c r="V795" s="94"/>
      <c r="W795" s="94"/>
      <c r="X795" s="94"/>
      <c r="Y795" s="94"/>
      <c r="Z795" s="94"/>
      <c r="AA795" s="94"/>
      <c r="AB795" s="94"/>
      <c r="AC795" s="94"/>
      <c r="AD795" s="94"/>
      <c r="AE795" s="94"/>
      <c r="AF795" s="94"/>
      <c r="AG795" s="94"/>
      <c r="AH795" s="94"/>
      <c r="AI795" s="94"/>
      <c r="AJ795" s="94"/>
      <c r="AK795" s="94"/>
      <c r="AL795" s="94"/>
      <c r="AM795" s="94"/>
      <c r="AN795" s="94"/>
      <c r="AO795" s="94"/>
      <c r="AP795" s="94"/>
      <c r="AQ795" s="94"/>
      <c r="AR795" s="94"/>
      <c r="AS795" s="94"/>
      <c r="AT795" s="94"/>
      <c r="AU795" s="94"/>
      <c r="AV795" s="94"/>
      <c r="AW795" s="94"/>
      <c r="AX795" s="94"/>
      <c r="AY795" s="94"/>
      <c r="AZ795" s="94"/>
      <c r="BA795" s="95"/>
    </row>
    <row r="796" spans="1:53" s="87" customFormat="1">
      <c r="A796" s="90" t="str">
        <f t="shared" si="38"/>
        <v/>
      </c>
      <c r="B796" s="98"/>
      <c r="C796" s="94"/>
      <c r="D796" s="94"/>
      <c r="E796" s="94"/>
      <c r="F796" s="94"/>
      <c r="G796" s="94"/>
      <c r="H796" s="94"/>
      <c r="I796" s="94"/>
      <c r="J796" s="94"/>
      <c r="K796" s="94"/>
      <c r="L796" s="94"/>
      <c r="M796" s="94"/>
      <c r="N796" s="94"/>
      <c r="O796" s="94"/>
      <c r="P796" s="94"/>
      <c r="Q796" s="94"/>
      <c r="R796" s="94"/>
      <c r="S796" s="94"/>
      <c r="T796" s="94"/>
      <c r="U796" s="94"/>
      <c r="V796" s="94"/>
      <c r="W796" s="94"/>
      <c r="X796" s="94"/>
      <c r="Y796" s="94"/>
      <c r="Z796" s="94"/>
      <c r="AA796" s="94"/>
      <c r="AB796" s="94"/>
      <c r="AC796" s="94"/>
      <c r="AD796" s="94"/>
      <c r="AE796" s="94"/>
      <c r="AF796" s="94"/>
      <c r="AG796" s="94"/>
      <c r="AH796" s="94"/>
      <c r="AI796" s="94"/>
      <c r="AJ796" s="94"/>
      <c r="AK796" s="94"/>
      <c r="AL796" s="94"/>
      <c r="AM796" s="94"/>
      <c r="AN796" s="94"/>
      <c r="AO796" s="94"/>
      <c r="AP796" s="94"/>
      <c r="AQ796" s="94"/>
      <c r="AR796" s="94"/>
      <c r="AS796" s="94"/>
      <c r="AT796" s="94"/>
      <c r="AU796" s="94"/>
      <c r="AV796" s="94"/>
      <c r="AW796" s="94"/>
      <c r="AX796" s="94"/>
      <c r="AY796" s="94"/>
      <c r="AZ796" s="94"/>
      <c r="BA796" s="95"/>
    </row>
    <row r="797" spans="1:53" s="87" customFormat="1">
      <c r="A797" s="90" t="str">
        <f t="shared" si="38"/>
        <v/>
      </c>
      <c r="B797" s="98"/>
      <c r="C797" s="94"/>
      <c r="D797" s="94"/>
      <c r="E797" s="94"/>
      <c r="F797" s="94"/>
      <c r="G797" s="94"/>
      <c r="H797" s="94"/>
      <c r="I797" s="94"/>
      <c r="J797" s="94"/>
      <c r="K797" s="94"/>
      <c r="L797" s="94"/>
      <c r="M797" s="94"/>
      <c r="N797" s="94"/>
      <c r="O797" s="94"/>
      <c r="P797" s="94"/>
      <c r="Q797" s="94"/>
      <c r="R797" s="94"/>
      <c r="S797" s="94"/>
      <c r="T797" s="94"/>
      <c r="U797" s="94"/>
      <c r="V797" s="94"/>
      <c r="W797" s="94"/>
      <c r="X797" s="94"/>
      <c r="Y797" s="94"/>
      <c r="Z797" s="94"/>
      <c r="AA797" s="94"/>
      <c r="AB797" s="94"/>
      <c r="AC797" s="94"/>
      <c r="AD797" s="94"/>
      <c r="AE797" s="94"/>
      <c r="AF797" s="94"/>
      <c r="AG797" s="94"/>
      <c r="AH797" s="94"/>
      <c r="AI797" s="94"/>
      <c r="AJ797" s="94"/>
      <c r="AK797" s="94"/>
      <c r="AL797" s="94"/>
      <c r="AM797" s="94"/>
      <c r="AN797" s="94"/>
      <c r="AO797" s="94"/>
      <c r="AP797" s="94"/>
      <c r="AQ797" s="94"/>
      <c r="AR797" s="94"/>
      <c r="AS797" s="94"/>
      <c r="AT797" s="94"/>
      <c r="AU797" s="94"/>
      <c r="AV797" s="94"/>
      <c r="AW797" s="94"/>
      <c r="AX797" s="94"/>
      <c r="AY797" s="94"/>
      <c r="AZ797" s="94"/>
      <c r="BA797" s="95"/>
    </row>
    <row r="798" spans="1:53" s="87" customFormat="1">
      <c r="A798" s="90" t="str">
        <f t="shared" si="38"/>
        <v/>
      </c>
      <c r="B798" s="98"/>
      <c r="C798" s="94"/>
      <c r="D798" s="94"/>
      <c r="E798" s="94"/>
      <c r="F798" s="94"/>
      <c r="G798" s="94"/>
      <c r="H798" s="94"/>
      <c r="I798" s="94"/>
      <c r="J798" s="94"/>
      <c r="K798" s="94"/>
      <c r="L798" s="94"/>
      <c r="M798" s="94"/>
      <c r="N798" s="94"/>
      <c r="O798" s="94"/>
      <c r="P798" s="94"/>
      <c r="Q798" s="94"/>
      <c r="R798" s="94"/>
      <c r="S798" s="94"/>
      <c r="T798" s="94"/>
      <c r="U798" s="94"/>
      <c r="V798" s="94"/>
      <c r="W798" s="94"/>
      <c r="X798" s="94"/>
      <c r="Y798" s="94"/>
      <c r="Z798" s="94"/>
      <c r="AA798" s="94"/>
      <c r="AB798" s="94"/>
      <c r="AC798" s="94"/>
      <c r="AD798" s="94"/>
      <c r="AE798" s="94"/>
      <c r="AF798" s="94"/>
      <c r="AG798" s="94"/>
      <c r="AH798" s="94"/>
      <c r="AI798" s="94"/>
      <c r="AJ798" s="94"/>
      <c r="AK798" s="94"/>
      <c r="AL798" s="94"/>
      <c r="AM798" s="94"/>
      <c r="AN798" s="94"/>
      <c r="AO798" s="94"/>
      <c r="AP798" s="94"/>
      <c r="AQ798" s="94"/>
      <c r="AR798" s="94"/>
      <c r="AS798" s="94"/>
      <c r="AT798" s="94"/>
      <c r="AU798" s="94"/>
      <c r="AV798" s="94"/>
      <c r="AW798" s="94"/>
      <c r="AX798" s="94"/>
      <c r="AY798" s="94"/>
      <c r="AZ798" s="94"/>
      <c r="BA798" s="95"/>
    </row>
    <row r="799" spans="1:53" s="87" customFormat="1">
      <c r="A799" s="90" t="str">
        <f t="shared" si="38"/>
        <v/>
      </c>
      <c r="B799" s="98"/>
      <c r="C799" s="94"/>
      <c r="D799" s="94"/>
      <c r="E799" s="94"/>
      <c r="F799" s="94"/>
      <c r="G799" s="94"/>
      <c r="H799" s="94"/>
      <c r="I799" s="94"/>
      <c r="J799" s="94"/>
      <c r="K799" s="94"/>
      <c r="L799" s="94"/>
      <c r="M799" s="94"/>
      <c r="N799" s="94"/>
      <c r="O799" s="94"/>
      <c r="P799" s="94"/>
      <c r="Q799" s="94"/>
      <c r="R799" s="94"/>
      <c r="S799" s="94"/>
      <c r="T799" s="94"/>
      <c r="U799" s="94"/>
      <c r="V799" s="94"/>
      <c r="W799" s="94"/>
      <c r="X799" s="94"/>
      <c r="Y799" s="94"/>
      <c r="Z799" s="94"/>
      <c r="AA799" s="94"/>
      <c r="AB799" s="94"/>
      <c r="AC799" s="94"/>
      <c r="AD799" s="94"/>
      <c r="AE799" s="94"/>
      <c r="AF799" s="94"/>
      <c r="AG799" s="94"/>
      <c r="AH799" s="94"/>
      <c r="AI799" s="94"/>
      <c r="AJ799" s="94"/>
      <c r="AK799" s="94"/>
      <c r="AL799" s="94"/>
      <c r="AM799" s="94"/>
      <c r="AN799" s="94"/>
      <c r="AO799" s="94"/>
      <c r="AP799" s="94"/>
      <c r="AQ799" s="94"/>
      <c r="AR799" s="94"/>
      <c r="AS799" s="94"/>
      <c r="AT799" s="94"/>
      <c r="AU799" s="94"/>
      <c r="AV799" s="94"/>
      <c r="AW799" s="94"/>
      <c r="AX799" s="94"/>
      <c r="AY799" s="94"/>
      <c r="AZ799" s="94"/>
      <c r="BA799" s="95"/>
    </row>
    <row r="800" spans="1:53" s="87" customFormat="1">
      <c r="A800" s="90" t="str">
        <f t="shared" si="38"/>
        <v/>
      </c>
      <c r="B800" s="98"/>
      <c r="C800" s="94"/>
      <c r="D800" s="94"/>
      <c r="E800" s="94"/>
      <c r="F800" s="94"/>
      <c r="G800" s="94"/>
      <c r="H800" s="94"/>
      <c r="I800" s="94"/>
      <c r="J800" s="94"/>
      <c r="K800" s="94"/>
      <c r="L800" s="94"/>
      <c r="M800" s="94"/>
      <c r="N800" s="94"/>
      <c r="O800" s="94"/>
      <c r="P800" s="94"/>
      <c r="Q800" s="94"/>
      <c r="R800" s="94"/>
      <c r="S800" s="94"/>
      <c r="T800" s="94"/>
      <c r="U800" s="94"/>
      <c r="V800" s="94"/>
      <c r="W800" s="94"/>
      <c r="X800" s="94"/>
      <c r="Y800" s="94"/>
      <c r="Z800" s="94"/>
      <c r="AA800" s="94"/>
      <c r="AB800" s="94"/>
      <c r="AC800" s="94"/>
      <c r="AD800" s="94"/>
      <c r="AE800" s="94"/>
      <c r="AF800" s="94"/>
      <c r="AG800" s="94"/>
      <c r="AH800" s="94"/>
      <c r="AI800" s="94"/>
      <c r="AJ800" s="94"/>
      <c r="AK800" s="94"/>
      <c r="AL800" s="94"/>
      <c r="AM800" s="94"/>
      <c r="AN800" s="94"/>
      <c r="AO800" s="94"/>
      <c r="AP800" s="94"/>
      <c r="AQ800" s="94"/>
      <c r="AR800" s="94"/>
      <c r="AS800" s="94"/>
      <c r="AT800" s="94"/>
      <c r="AU800" s="94"/>
      <c r="AV800" s="94"/>
      <c r="AW800" s="94"/>
      <c r="AX800" s="94"/>
      <c r="AY800" s="94"/>
      <c r="AZ800" s="94"/>
      <c r="BA800" s="95"/>
    </row>
    <row r="801" spans="1:53" s="87" customFormat="1">
      <c r="A801" s="90" t="str">
        <f t="shared" si="38"/>
        <v/>
      </c>
      <c r="B801" s="98"/>
      <c r="C801" s="94"/>
      <c r="D801" s="94"/>
      <c r="E801" s="94"/>
      <c r="F801" s="94"/>
      <c r="G801" s="94"/>
      <c r="H801" s="94"/>
      <c r="I801" s="94"/>
      <c r="J801" s="94"/>
      <c r="K801" s="94"/>
      <c r="L801" s="94"/>
      <c r="M801" s="94"/>
      <c r="N801" s="94"/>
      <c r="O801" s="94"/>
      <c r="P801" s="94"/>
      <c r="Q801" s="94"/>
      <c r="R801" s="94"/>
      <c r="S801" s="94"/>
      <c r="T801" s="94"/>
      <c r="U801" s="94"/>
      <c r="V801" s="94"/>
      <c r="W801" s="94"/>
      <c r="X801" s="94"/>
      <c r="Y801" s="94"/>
      <c r="Z801" s="94"/>
      <c r="AA801" s="94"/>
      <c r="AB801" s="94"/>
      <c r="AC801" s="94"/>
      <c r="AD801" s="94"/>
      <c r="AE801" s="94"/>
      <c r="AF801" s="94"/>
      <c r="AG801" s="94"/>
      <c r="AH801" s="94"/>
      <c r="AI801" s="94"/>
      <c r="AJ801" s="94"/>
      <c r="AK801" s="94"/>
      <c r="AL801" s="94"/>
      <c r="AM801" s="94"/>
      <c r="AN801" s="94"/>
      <c r="AO801" s="94"/>
      <c r="AP801" s="94"/>
      <c r="AQ801" s="94"/>
      <c r="AR801" s="94"/>
      <c r="AS801" s="94"/>
      <c r="AT801" s="94"/>
      <c r="AU801" s="94"/>
      <c r="AV801" s="94"/>
      <c r="AW801" s="94"/>
      <c r="AX801" s="94"/>
      <c r="AY801" s="94"/>
      <c r="AZ801" s="94"/>
      <c r="BA801" s="95"/>
    </row>
    <row r="802" spans="1:53" s="87" customFormat="1">
      <c r="A802" s="90" t="str">
        <f t="shared" si="38"/>
        <v/>
      </c>
      <c r="B802" s="98"/>
      <c r="C802" s="94"/>
      <c r="D802" s="94"/>
      <c r="E802" s="94"/>
      <c r="F802" s="94"/>
      <c r="G802" s="94"/>
      <c r="H802" s="94"/>
      <c r="I802" s="94"/>
      <c r="J802" s="94"/>
      <c r="K802" s="94"/>
      <c r="L802" s="94"/>
      <c r="M802" s="94"/>
      <c r="N802" s="94"/>
      <c r="O802" s="94"/>
      <c r="P802" s="94"/>
      <c r="Q802" s="94"/>
      <c r="R802" s="94"/>
      <c r="S802" s="94"/>
      <c r="T802" s="94"/>
      <c r="U802" s="94"/>
      <c r="V802" s="94"/>
      <c r="W802" s="94"/>
      <c r="X802" s="94"/>
      <c r="Y802" s="94"/>
      <c r="Z802" s="94"/>
      <c r="AA802" s="94"/>
      <c r="AB802" s="94"/>
      <c r="AC802" s="94"/>
      <c r="AD802" s="94"/>
      <c r="AE802" s="94"/>
      <c r="AF802" s="94"/>
      <c r="AG802" s="94"/>
      <c r="AH802" s="94"/>
      <c r="AI802" s="94"/>
      <c r="AJ802" s="94"/>
      <c r="AK802" s="94"/>
      <c r="AL802" s="94"/>
      <c r="AM802" s="94"/>
      <c r="AN802" s="94"/>
      <c r="AO802" s="94"/>
      <c r="AP802" s="94"/>
      <c r="AQ802" s="94"/>
      <c r="AR802" s="94"/>
      <c r="AS802" s="94"/>
      <c r="AT802" s="94"/>
      <c r="AU802" s="94"/>
      <c r="AV802" s="94"/>
      <c r="AW802" s="94"/>
      <c r="AX802" s="94"/>
      <c r="AY802" s="94"/>
      <c r="AZ802" s="94"/>
      <c r="BA802" s="95"/>
    </row>
    <row r="803" spans="1:53" s="87" customFormat="1">
      <c r="A803" s="90" t="str">
        <f t="shared" si="38"/>
        <v/>
      </c>
      <c r="B803" s="98"/>
      <c r="C803" s="94"/>
      <c r="D803" s="94"/>
      <c r="E803" s="94"/>
      <c r="F803" s="94"/>
      <c r="G803" s="94"/>
      <c r="H803" s="94"/>
      <c r="I803" s="94"/>
      <c r="J803" s="94"/>
      <c r="K803" s="94"/>
      <c r="L803" s="94"/>
      <c r="M803" s="94"/>
      <c r="N803" s="94"/>
      <c r="O803" s="94"/>
      <c r="P803" s="94"/>
      <c r="Q803" s="94"/>
      <c r="R803" s="94"/>
      <c r="S803" s="94"/>
      <c r="T803" s="94"/>
      <c r="U803" s="94"/>
      <c r="V803" s="94"/>
      <c r="W803" s="94"/>
      <c r="X803" s="94"/>
      <c r="Y803" s="94"/>
      <c r="Z803" s="94"/>
      <c r="AA803" s="94"/>
      <c r="AB803" s="94"/>
      <c r="AC803" s="94"/>
      <c r="AD803" s="94"/>
      <c r="AE803" s="94"/>
      <c r="AF803" s="94"/>
      <c r="AG803" s="94"/>
      <c r="AH803" s="94"/>
      <c r="AI803" s="94"/>
      <c r="AJ803" s="94"/>
      <c r="AK803" s="94"/>
      <c r="AL803" s="94"/>
      <c r="AM803" s="94"/>
      <c r="AN803" s="94"/>
      <c r="AO803" s="94"/>
      <c r="AP803" s="94"/>
      <c r="AQ803" s="94"/>
      <c r="AR803" s="94"/>
      <c r="AS803" s="94"/>
      <c r="AT803" s="94"/>
      <c r="AU803" s="94"/>
      <c r="AV803" s="94"/>
      <c r="AW803" s="94"/>
      <c r="AX803" s="94"/>
      <c r="AY803" s="94"/>
      <c r="AZ803" s="94"/>
      <c r="BA803" s="95"/>
    </row>
    <row r="804" spans="1:53" s="87" customFormat="1">
      <c r="A804" s="90" t="str">
        <f t="shared" si="38"/>
        <v/>
      </c>
      <c r="B804" s="98"/>
      <c r="C804" s="94"/>
      <c r="D804" s="94"/>
      <c r="E804" s="94"/>
      <c r="F804" s="94"/>
      <c r="G804" s="94"/>
      <c r="H804" s="94"/>
      <c r="I804" s="94"/>
      <c r="J804" s="94"/>
      <c r="K804" s="94"/>
      <c r="L804" s="94"/>
      <c r="M804" s="94"/>
      <c r="N804" s="94"/>
      <c r="O804" s="94"/>
      <c r="P804" s="94"/>
      <c r="Q804" s="94"/>
      <c r="R804" s="94"/>
      <c r="S804" s="94"/>
      <c r="T804" s="94"/>
      <c r="U804" s="94"/>
      <c r="V804" s="94"/>
      <c r="W804" s="94"/>
      <c r="X804" s="94"/>
      <c r="Y804" s="94"/>
      <c r="Z804" s="94"/>
      <c r="AA804" s="94"/>
      <c r="AB804" s="94"/>
      <c r="AC804" s="94"/>
      <c r="AD804" s="94"/>
      <c r="AE804" s="94"/>
      <c r="AF804" s="94"/>
      <c r="AG804" s="94"/>
      <c r="AH804" s="94"/>
      <c r="AI804" s="94"/>
      <c r="AJ804" s="94"/>
      <c r="AK804" s="94"/>
      <c r="AL804" s="94"/>
      <c r="AM804" s="94"/>
      <c r="AN804" s="94"/>
      <c r="AO804" s="94"/>
      <c r="AP804" s="94"/>
      <c r="AQ804" s="94"/>
      <c r="AR804" s="94"/>
      <c r="AS804" s="94"/>
      <c r="AT804" s="94"/>
      <c r="AU804" s="94"/>
      <c r="AV804" s="94"/>
      <c r="AW804" s="94"/>
      <c r="AX804" s="94"/>
      <c r="AY804" s="94"/>
      <c r="AZ804" s="94"/>
      <c r="BA804" s="95"/>
    </row>
    <row r="805" spans="1:53" s="87" customFormat="1">
      <c r="A805" s="90" t="str">
        <f t="shared" si="38"/>
        <v/>
      </c>
      <c r="B805" s="98"/>
      <c r="C805" s="94"/>
      <c r="D805" s="94"/>
      <c r="E805" s="94"/>
      <c r="F805" s="94"/>
      <c r="G805" s="94"/>
      <c r="H805" s="94"/>
      <c r="I805" s="94"/>
      <c r="J805" s="94"/>
      <c r="K805" s="94"/>
      <c r="L805" s="94"/>
      <c r="M805" s="94"/>
      <c r="N805" s="94"/>
      <c r="O805" s="94"/>
      <c r="P805" s="94"/>
      <c r="Q805" s="94"/>
      <c r="R805" s="94"/>
      <c r="S805" s="94"/>
      <c r="T805" s="94"/>
      <c r="U805" s="94"/>
      <c r="V805" s="94"/>
      <c r="W805" s="94"/>
      <c r="X805" s="94"/>
      <c r="Y805" s="94"/>
      <c r="Z805" s="94"/>
      <c r="AA805" s="94"/>
      <c r="AB805" s="94"/>
      <c r="AC805" s="94"/>
      <c r="AD805" s="94"/>
      <c r="AE805" s="94"/>
      <c r="AF805" s="94"/>
      <c r="AG805" s="94"/>
      <c r="AH805" s="94"/>
      <c r="AI805" s="94"/>
      <c r="AJ805" s="94"/>
      <c r="AK805" s="94"/>
      <c r="AL805" s="94"/>
      <c r="AM805" s="94"/>
      <c r="AN805" s="94"/>
      <c r="AO805" s="94"/>
      <c r="AP805" s="94"/>
      <c r="AQ805" s="94"/>
      <c r="AR805" s="94"/>
      <c r="AS805" s="94"/>
      <c r="AT805" s="94"/>
      <c r="AU805" s="94"/>
      <c r="AV805" s="94"/>
      <c r="AW805" s="94"/>
      <c r="AX805" s="94"/>
      <c r="AY805" s="94"/>
      <c r="AZ805" s="94"/>
      <c r="BA805" s="95"/>
    </row>
    <row r="806" spans="1:53" s="87" customFormat="1">
      <c r="A806" s="90" t="str">
        <f t="shared" si="38"/>
        <v/>
      </c>
      <c r="B806" s="98"/>
      <c r="C806" s="94"/>
      <c r="D806" s="94"/>
      <c r="E806" s="94"/>
      <c r="F806" s="94"/>
      <c r="G806" s="94"/>
      <c r="H806" s="94"/>
      <c r="I806" s="94"/>
      <c r="J806" s="94"/>
      <c r="K806" s="94"/>
      <c r="L806" s="94"/>
      <c r="M806" s="94"/>
      <c r="N806" s="94"/>
      <c r="O806" s="94"/>
      <c r="P806" s="94"/>
      <c r="Q806" s="94"/>
      <c r="R806" s="94"/>
      <c r="S806" s="94"/>
      <c r="T806" s="94"/>
      <c r="U806" s="94"/>
      <c r="V806" s="94"/>
      <c r="W806" s="94"/>
      <c r="X806" s="94"/>
      <c r="Y806" s="94"/>
      <c r="Z806" s="94"/>
      <c r="AA806" s="94"/>
      <c r="AB806" s="94"/>
      <c r="AC806" s="94"/>
      <c r="AD806" s="94"/>
      <c r="AE806" s="94"/>
      <c r="AF806" s="94"/>
      <c r="AG806" s="94"/>
      <c r="AH806" s="94"/>
      <c r="AI806" s="94"/>
      <c r="AJ806" s="94"/>
      <c r="AK806" s="94"/>
      <c r="AL806" s="94"/>
      <c r="AM806" s="94"/>
      <c r="AN806" s="94"/>
      <c r="AO806" s="94"/>
      <c r="AP806" s="94"/>
      <c r="AQ806" s="94"/>
      <c r="AR806" s="94"/>
      <c r="AS806" s="94"/>
      <c r="AT806" s="94"/>
      <c r="AU806" s="94"/>
      <c r="AV806" s="94"/>
      <c r="AW806" s="94"/>
      <c r="AX806" s="94"/>
      <c r="AY806" s="94"/>
      <c r="AZ806" s="94"/>
      <c r="BA806" s="95"/>
    </row>
    <row r="807" spans="1:53" s="87" customFormat="1">
      <c r="A807" s="90" t="str">
        <f t="shared" si="38"/>
        <v/>
      </c>
      <c r="B807" s="98"/>
      <c r="C807" s="94"/>
      <c r="D807" s="94"/>
      <c r="E807" s="94"/>
      <c r="F807" s="94"/>
      <c r="G807" s="94"/>
      <c r="H807" s="94"/>
      <c r="I807" s="94"/>
      <c r="J807" s="94"/>
      <c r="K807" s="94"/>
      <c r="L807" s="94"/>
      <c r="M807" s="94"/>
      <c r="N807" s="94"/>
      <c r="O807" s="94"/>
      <c r="P807" s="94"/>
      <c r="Q807" s="94"/>
      <c r="R807" s="94"/>
      <c r="S807" s="94"/>
      <c r="T807" s="94"/>
      <c r="U807" s="94"/>
      <c r="V807" s="94"/>
      <c r="W807" s="94"/>
      <c r="X807" s="94"/>
      <c r="Y807" s="94"/>
      <c r="Z807" s="94"/>
      <c r="AA807" s="94"/>
      <c r="AB807" s="94"/>
      <c r="AC807" s="94"/>
      <c r="AD807" s="94"/>
      <c r="AE807" s="94"/>
      <c r="AF807" s="94"/>
      <c r="AG807" s="94"/>
      <c r="AH807" s="94"/>
      <c r="AI807" s="94"/>
      <c r="AJ807" s="94"/>
      <c r="AK807" s="94"/>
      <c r="AL807" s="94"/>
      <c r="AM807" s="94"/>
      <c r="AN807" s="94"/>
      <c r="AO807" s="94"/>
      <c r="AP807" s="94"/>
      <c r="AQ807" s="94"/>
      <c r="AR807" s="94"/>
      <c r="AS807" s="94"/>
      <c r="AT807" s="94"/>
      <c r="AU807" s="94"/>
      <c r="AV807" s="94"/>
      <c r="AW807" s="94"/>
      <c r="AX807" s="94"/>
      <c r="AY807" s="94"/>
      <c r="AZ807" s="94"/>
      <c r="BA807" s="95"/>
    </row>
    <row r="808" spans="1:53" s="87" customFormat="1">
      <c r="A808" s="90" t="str">
        <f t="shared" si="38"/>
        <v/>
      </c>
      <c r="B808" s="98"/>
      <c r="C808" s="94"/>
      <c r="D808" s="94"/>
      <c r="E808" s="94"/>
      <c r="F808" s="94"/>
      <c r="G808" s="94"/>
      <c r="H808" s="94"/>
      <c r="I808" s="94"/>
      <c r="J808" s="94"/>
      <c r="K808" s="94"/>
      <c r="L808" s="94"/>
      <c r="M808" s="94"/>
      <c r="N808" s="94"/>
      <c r="O808" s="94"/>
      <c r="P808" s="94"/>
      <c r="Q808" s="94"/>
      <c r="R808" s="94"/>
      <c r="S808" s="94"/>
      <c r="T808" s="94"/>
      <c r="U808" s="94"/>
      <c r="V808" s="94"/>
      <c r="W808" s="94"/>
      <c r="X808" s="94"/>
      <c r="Y808" s="94"/>
      <c r="Z808" s="94"/>
      <c r="AA808" s="94"/>
      <c r="AB808" s="94"/>
      <c r="AC808" s="94"/>
      <c r="AD808" s="94"/>
      <c r="AE808" s="94"/>
      <c r="AF808" s="94"/>
      <c r="AG808" s="94"/>
      <c r="AH808" s="94"/>
      <c r="AI808" s="94"/>
      <c r="AJ808" s="94"/>
      <c r="AK808" s="94"/>
      <c r="AL808" s="94"/>
      <c r="AM808" s="94"/>
      <c r="AN808" s="94"/>
      <c r="AO808" s="94"/>
      <c r="AP808" s="94"/>
      <c r="AQ808" s="94"/>
      <c r="AR808" s="94"/>
      <c r="AS808" s="94"/>
      <c r="AT808" s="94"/>
      <c r="AU808" s="94"/>
      <c r="AV808" s="94"/>
      <c r="AW808" s="94"/>
      <c r="AX808" s="94"/>
      <c r="AY808" s="94"/>
      <c r="AZ808" s="94"/>
      <c r="BA808" s="95"/>
    </row>
    <row r="809" spans="1:53" s="87" customFormat="1">
      <c r="A809" s="90" t="str">
        <f t="shared" si="38"/>
        <v/>
      </c>
      <c r="B809" s="98"/>
      <c r="C809" s="94"/>
      <c r="D809" s="94"/>
      <c r="E809" s="94"/>
      <c r="F809" s="94"/>
      <c r="G809" s="94"/>
      <c r="H809" s="94"/>
      <c r="I809" s="94"/>
      <c r="J809" s="94"/>
      <c r="K809" s="94"/>
      <c r="L809" s="94"/>
      <c r="M809" s="94"/>
      <c r="N809" s="94"/>
      <c r="O809" s="94"/>
      <c r="P809" s="94"/>
      <c r="Q809" s="94"/>
      <c r="R809" s="94"/>
      <c r="S809" s="94"/>
      <c r="T809" s="94"/>
      <c r="U809" s="94"/>
      <c r="V809" s="94"/>
      <c r="W809" s="94"/>
      <c r="X809" s="94"/>
      <c r="Y809" s="94"/>
      <c r="Z809" s="94"/>
      <c r="AA809" s="94"/>
      <c r="AB809" s="94"/>
      <c r="AC809" s="94"/>
      <c r="AD809" s="94"/>
      <c r="AE809" s="94"/>
      <c r="AF809" s="94"/>
      <c r="AG809" s="94"/>
      <c r="AH809" s="94"/>
      <c r="AI809" s="94"/>
      <c r="AJ809" s="94"/>
      <c r="AK809" s="94"/>
      <c r="AL809" s="94"/>
      <c r="AM809" s="94"/>
      <c r="AN809" s="94"/>
      <c r="AO809" s="94"/>
      <c r="AP809" s="94"/>
      <c r="AQ809" s="94"/>
      <c r="AR809" s="94"/>
      <c r="AS809" s="94"/>
      <c r="AT809" s="94"/>
      <c r="AU809" s="94"/>
      <c r="AV809" s="94"/>
      <c r="AW809" s="94"/>
      <c r="AX809" s="94"/>
      <c r="AY809" s="94"/>
      <c r="AZ809" s="94"/>
      <c r="BA809" s="95"/>
    </row>
    <row r="810" spans="1:53" s="87" customFormat="1">
      <c r="A810" s="90" t="str">
        <f t="shared" si="38"/>
        <v/>
      </c>
      <c r="B810" s="98"/>
      <c r="C810" s="94"/>
      <c r="D810" s="94"/>
      <c r="E810" s="94"/>
      <c r="F810" s="94"/>
      <c r="G810" s="94"/>
      <c r="H810" s="94"/>
      <c r="I810" s="94"/>
      <c r="J810" s="94"/>
      <c r="K810" s="94"/>
      <c r="L810" s="94"/>
      <c r="M810" s="94"/>
      <c r="N810" s="94"/>
      <c r="O810" s="94"/>
      <c r="P810" s="94"/>
      <c r="Q810" s="94"/>
      <c r="R810" s="94"/>
      <c r="S810" s="94"/>
      <c r="T810" s="94"/>
      <c r="U810" s="94"/>
      <c r="V810" s="94"/>
      <c r="W810" s="94"/>
      <c r="X810" s="94"/>
      <c r="Y810" s="94"/>
      <c r="Z810" s="94"/>
      <c r="AA810" s="94"/>
      <c r="AB810" s="94"/>
      <c r="AC810" s="94"/>
      <c r="AD810" s="94"/>
      <c r="AE810" s="94"/>
      <c r="AF810" s="94"/>
      <c r="AG810" s="94"/>
      <c r="AH810" s="94"/>
      <c r="AI810" s="94"/>
      <c r="AJ810" s="94"/>
      <c r="AK810" s="94"/>
      <c r="AL810" s="94"/>
      <c r="AM810" s="94"/>
      <c r="AN810" s="94"/>
      <c r="AO810" s="94"/>
      <c r="AP810" s="94"/>
      <c r="AQ810" s="94"/>
      <c r="AR810" s="94"/>
      <c r="AS810" s="94"/>
      <c r="AT810" s="94"/>
      <c r="AU810" s="94"/>
      <c r="AV810" s="94"/>
      <c r="AW810" s="94"/>
      <c r="AX810" s="94"/>
      <c r="AY810" s="94"/>
      <c r="AZ810" s="94"/>
      <c r="BA810" s="95"/>
    </row>
    <row r="811" spans="1:53" s="87" customFormat="1">
      <c r="A811" s="90" t="str">
        <f t="shared" si="38"/>
        <v/>
      </c>
      <c r="B811" s="98"/>
      <c r="C811" s="94"/>
      <c r="D811" s="94"/>
      <c r="E811" s="94"/>
      <c r="F811" s="94"/>
      <c r="G811" s="94"/>
      <c r="H811" s="94"/>
      <c r="I811" s="94"/>
      <c r="J811" s="94"/>
      <c r="K811" s="94"/>
      <c r="L811" s="94"/>
      <c r="M811" s="94"/>
      <c r="N811" s="94"/>
      <c r="O811" s="94"/>
      <c r="P811" s="94"/>
      <c r="Q811" s="94"/>
      <c r="R811" s="94"/>
      <c r="S811" s="94"/>
      <c r="T811" s="94"/>
      <c r="U811" s="94"/>
      <c r="V811" s="94"/>
      <c r="W811" s="94"/>
      <c r="X811" s="94"/>
      <c r="Y811" s="94"/>
      <c r="Z811" s="94"/>
      <c r="AA811" s="94"/>
      <c r="AB811" s="94"/>
      <c r="AC811" s="94"/>
      <c r="AD811" s="94"/>
      <c r="AE811" s="94"/>
      <c r="AF811" s="94"/>
      <c r="AG811" s="94"/>
      <c r="AH811" s="94"/>
      <c r="AI811" s="94"/>
      <c r="AJ811" s="94"/>
      <c r="AK811" s="94"/>
      <c r="AL811" s="94"/>
      <c r="AM811" s="94"/>
      <c r="AN811" s="94"/>
      <c r="AO811" s="94"/>
      <c r="AP811" s="94"/>
      <c r="AQ811" s="94"/>
      <c r="AR811" s="94"/>
      <c r="AS811" s="94"/>
      <c r="AT811" s="94"/>
      <c r="AU811" s="94"/>
      <c r="AV811" s="94"/>
      <c r="AW811" s="94"/>
      <c r="AX811" s="94"/>
      <c r="AY811" s="94"/>
      <c r="AZ811" s="94"/>
      <c r="BA811" s="95"/>
    </row>
    <row r="812" spans="1:53" s="87" customFormat="1">
      <c r="A812" s="90" t="str">
        <f t="shared" si="38"/>
        <v/>
      </c>
      <c r="B812" s="98"/>
      <c r="C812" s="94"/>
      <c r="D812" s="94"/>
      <c r="E812" s="94"/>
      <c r="F812" s="94"/>
      <c r="G812" s="94"/>
      <c r="H812" s="94"/>
      <c r="I812" s="94"/>
      <c r="J812" s="94"/>
      <c r="K812" s="94"/>
      <c r="L812" s="94"/>
      <c r="M812" s="94"/>
      <c r="N812" s="94"/>
      <c r="O812" s="94"/>
      <c r="P812" s="94"/>
      <c r="Q812" s="94"/>
      <c r="R812" s="94"/>
      <c r="S812" s="94"/>
      <c r="T812" s="94"/>
      <c r="U812" s="94"/>
      <c r="V812" s="94"/>
      <c r="W812" s="94"/>
      <c r="X812" s="94"/>
      <c r="Y812" s="94"/>
      <c r="Z812" s="94"/>
      <c r="AA812" s="94"/>
      <c r="AB812" s="94"/>
      <c r="AC812" s="94"/>
      <c r="AD812" s="94"/>
      <c r="AE812" s="94"/>
      <c r="AF812" s="94"/>
      <c r="AG812" s="94"/>
      <c r="AH812" s="94"/>
      <c r="AI812" s="94"/>
      <c r="AJ812" s="94"/>
      <c r="AK812" s="94"/>
      <c r="AL812" s="94"/>
      <c r="AM812" s="94"/>
      <c r="AN812" s="94"/>
      <c r="AO812" s="94"/>
      <c r="AP812" s="94"/>
      <c r="AQ812" s="94"/>
      <c r="AR812" s="94"/>
      <c r="AS812" s="94"/>
      <c r="AT812" s="94"/>
      <c r="AU812" s="94"/>
      <c r="AV812" s="94"/>
      <c r="AW812" s="94"/>
      <c r="AX812" s="94"/>
      <c r="AY812" s="94"/>
      <c r="AZ812" s="94"/>
      <c r="BA812" s="95"/>
    </row>
    <row r="813" spans="1:53" s="87" customFormat="1">
      <c r="A813" s="90" t="str">
        <f t="shared" si="38"/>
        <v/>
      </c>
      <c r="B813" s="98"/>
      <c r="C813" s="94"/>
      <c r="D813" s="94"/>
      <c r="E813" s="94"/>
      <c r="F813" s="94"/>
      <c r="G813" s="94"/>
      <c r="H813" s="94"/>
      <c r="I813" s="94"/>
      <c r="J813" s="94"/>
      <c r="K813" s="94"/>
      <c r="L813" s="94"/>
      <c r="M813" s="94"/>
      <c r="N813" s="94"/>
      <c r="O813" s="94"/>
      <c r="P813" s="94"/>
      <c r="Q813" s="94"/>
      <c r="R813" s="94"/>
      <c r="S813" s="94"/>
      <c r="T813" s="94"/>
      <c r="U813" s="94"/>
      <c r="V813" s="94"/>
      <c r="W813" s="94"/>
      <c r="X813" s="94"/>
      <c r="Y813" s="94"/>
      <c r="Z813" s="94"/>
      <c r="AA813" s="94"/>
      <c r="AB813" s="94"/>
      <c r="AC813" s="94"/>
      <c r="AD813" s="94"/>
      <c r="AE813" s="94"/>
      <c r="AF813" s="94"/>
      <c r="AG813" s="94"/>
      <c r="AH813" s="94"/>
      <c r="AI813" s="94"/>
      <c r="AJ813" s="94"/>
      <c r="AK813" s="94"/>
      <c r="AL813" s="94"/>
      <c r="AM813" s="94"/>
      <c r="AN813" s="94"/>
      <c r="AO813" s="94"/>
      <c r="AP813" s="94"/>
      <c r="AQ813" s="94"/>
      <c r="AR813" s="94"/>
      <c r="AS813" s="94"/>
      <c r="AT813" s="94"/>
      <c r="AU813" s="94"/>
      <c r="AV813" s="94"/>
      <c r="AW813" s="94"/>
      <c r="AX813" s="94"/>
      <c r="AY813" s="94"/>
      <c r="AZ813" s="94"/>
      <c r="BA813" s="95"/>
    </row>
    <row r="814" spans="1:53" s="87" customFormat="1">
      <c r="A814" s="90" t="str">
        <f t="shared" si="38"/>
        <v/>
      </c>
      <c r="B814" s="98"/>
      <c r="C814" s="94"/>
      <c r="D814" s="94"/>
      <c r="E814" s="94"/>
      <c r="F814" s="94"/>
      <c r="G814" s="94"/>
      <c r="H814" s="94"/>
      <c r="I814" s="94"/>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5"/>
    </row>
    <row r="815" spans="1:53" s="87" customFormat="1">
      <c r="A815" s="90" t="str">
        <f t="shared" si="38"/>
        <v/>
      </c>
      <c r="B815" s="98"/>
      <c r="C815" s="94"/>
      <c r="D815" s="94"/>
      <c r="E815" s="94"/>
      <c r="F815" s="94"/>
      <c r="G815" s="94"/>
      <c r="H815" s="94"/>
      <c r="I815" s="94"/>
      <c r="J815" s="94"/>
      <c r="K815" s="94"/>
      <c r="L815" s="94"/>
      <c r="M815" s="94"/>
      <c r="N815" s="94"/>
      <c r="O815" s="94"/>
      <c r="P815" s="94"/>
      <c r="Q815" s="94"/>
      <c r="R815" s="94"/>
      <c r="S815" s="94"/>
      <c r="T815" s="94"/>
      <c r="U815" s="94"/>
      <c r="V815" s="94"/>
      <c r="W815" s="94"/>
      <c r="X815" s="94"/>
      <c r="Y815" s="94"/>
      <c r="Z815" s="94"/>
      <c r="AA815" s="94"/>
      <c r="AB815" s="94"/>
      <c r="AC815" s="94"/>
      <c r="AD815" s="94"/>
      <c r="AE815" s="94"/>
      <c r="AF815" s="94"/>
      <c r="AG815" s="94"/>
      <c r="AH815" s="94"/>
      <c r="AI815" s="94"/>
      <c r="AJ815" s="94"/>
      <c r="AK815" s="94"/>
      <c r="AL815" s="94"/>
      <c r="AM815" s="94"/>
      <c r="AN815" s="94"/>
      <c r="AO815" s="94"/>
      <c r="AP815" s="94"/>
      <c r="AQ815" s="94"/>
      <c r="AR815" s="94"/>
      <c r="AS815" s="94"/>
      <c r="AT815" s="94"/>
      <c r="AU815" s="94"/>
      <c r="AV815" s="94"/>
      <c r="AW815" s="94"/>
      <c r="AX815" s="94"/>
      <c r="AY815" s="94"/>
      <c r="AZ815" s="94"/>
      <c r="BA815" s="95"/>
    </row>
    <row r="816" spans="1:53" s="87" customFormat="1">
      <c r="A816" s="90" t="str">
        <f t="shared" si="38"/>
        <v/>
      </c>
      <c r="B816" s="98"/>
      <c r="C816" s="94"/>
      <c r="D816" s="94"/>
      <c r="E816" s="94"/>
      <c r="F816" s="94"/>
      <c r="G816" s="94"/>
      <c r="H816" s="94"/>
      <c r="I816" s="94"/>
      <c r="J816" s="94"/>
      <c r="K816" s="94"/>
      <c r="L816" s="94"/>
      <c r="M816" s="94"/>
      <c r="N816" s="94"/>
      <c r="O816" s="94"/>
      <c r="P816" s="94"/>
      <c r="Q816" s="94"/>
      <c r="R816" s="94"/>
      <c r="S816" s="94"/>
      <c r="T816" s="94"/>
      <c r="U816" s="94"/>
      <c r="V816" s="94"/>
      <c r="W816" s="94"/>
      <c r="X816" s="94"/>
      <c r="Y816" s="94"/>
      <c r="Z816" s="94"/>
      <c r="AA816" s="94"/>
      <c r="AB816" s="94"/>
      <c r="AC816" s="94"/>
      <c r="AD816" s="94"/>
      <c r="AE816" s="94"/>
      <c r="AF816" s="94"/>
      <c r="AG816" s="94"/>
      <c r="AH816" s="94"/>
      <c r="AI816" s="94"/>
      <c r="AJ816" s="94"/>
      <c r="AK816" s="94"/>
      <c r="AL816" s="94"/>
      <c r="AM816" s="94"/>
      <c r="AN816" s="94"/>
      <c r="AO816" s="94"/>
      <c r="AP816" s="94"/>
      <c r="AQ816" s="94"/>
      <c r="AR816" s="94"/>
      <c r="AS816" s="94"/>
      <c r="AT816" s="94"/>
      <c r="AU816" s="94"/>
      <c r="AV816" s="94"/>
      <c r="AW816" s="94"/>
      <c r="AX816" s="94"/>
      <c r="AY816" s="94"/>
      <c r="AZ816" s="94"/>
      <c r="BA816" s="95"/>
    </row>
    <row r="817" spans="1:53" s="87" customFormat="1">
      <c r="A817" s="90" t="str">
        <f t="shared" si="38"/>
        <v/>
      </c>
      <c r="B817" s="98"/>
      <c r="C817" s="94"/>
      <c r="D817" s="94"/>
      <c r="E817" s="94"/>
      <c r="F817" s="94"/>
      <c r="G817" s="94"/>
      <c r="H817" s="94"/>
      <c r="I817" s="94"/>
      <c r="J817" s="94"/>
      <c r="K817" s="94"/>
      <c r="L817" s="94"/>
      <c r="M817" s="94"/>
      <c r="N817" s="94"/>
      <c r="O817" s="94"/>
      <c r="P817" s="94"/>
      <c r="Q817" s="94"/>
      <c r="R817" s="94"/>
      <c r="S817" s="94"/>
      <c r="T817" s="94"/>
      <c r="U817" s="94"/>
      <c r="V817" s="94"/>
      <c r="W817" s="94"/>
      <c r="X817" s="94"/>
      <c r="Y817" s="94"/>
      <c r="Z817" s="94"/>
      <c r="AA817" s="94"/>
      <c r="AB817" s="94"/>
      <c r="AC817" s="94"/>
      <c r="AD817" s="94"/>
      <c r="AE817" s="94"/>
      <c r="AF817" s="94"/>
      <c r="AG817" s="94"/>
      <c r="AH817" s="94"/>
      <c r="AI817" s="94"/>
      <c r="AJ817" s="94"/>
      <c r="AK817" s="94"/>
      <c r="AL817" s="94"/>
      <c r="AM817" s="94"/>
      <c r="AN817" s="94"/>
      <c r="AO817" s="94"/>
      <c r="AP817" s="94"/>
      <c r="AQ817" s="94"/>
      <c r="AR817" s="94"/>
      <c r="AS817" s="94"/>
      <c r="AT817" s="94"/>
      <c r="AU817" s="94"/>
      <c r="AV817" s="94"/>
      <c r="AW817" s="94"/>
      <c r="AX817" s="94"/>
      <c r="AY817" s="94"/>
      <c r="AZ817" s="94"/>
      <c r="BA817" s="95"/>
    </row>
    <row r="818" spans="1:53" s="87" customFormat="1">
      <c r="A818" s="90" t="str">
        <f t="shared" si="38"/>
        <v/>
      </c>
      <c r="B818" s="98"/>
      <c r="C818" s="94"/>
      <c r="D818" s="94"/>
      <c r="E818" s="94"/>
      <c r="F818" s="94"/>
      <c r="G818" s="94"/>
      <c r="H818" s="94"/>
      <c r="I818" s="94"/>
      <c r="J818" s="94"/>
      <c r="K818" s="94"/>
      <c r="L818" s="94"/>
      <c r="M818" s="94"/>
      <c r="N818" s="94"/>
      <c r="O818" s="94"/>
      <c r="P818" s="94"/>
      <c r="Q818" s="94"/>
      <c r="R818" s="94"/>
      <c r="S818" s="94"/>
      <c r="T818" s="94"/>
      <c r="U818" s="94"/>
      <c r="V818" s="94"/>
      <c r="W818" s="94"/>
      <c r="X818" s="94"/>
      <c r="Y818" s="94"/>
      <c r="Z818" s="94"/>
      <c r="AA818" s="94"/>
      <c r="AB818" s="94"/>
      <c r="AC818" s="94"/>
      <c r="AD818" s="94"/>
      <c r="AE818" s="94"/>
      <c r="AF818" s="94"/>
      <c r="AG818" s="94"/>
      <c r="AH818" s="94"/>
      <c r="AI818" s="94"/>
      <c r="AJ818" s="94"/>
      <c r="AK818" s="94"/>
      <c r="AL818" s="94"/>
      <c r="AM818" s="94"/>
      <c r="AN818" s="94"/>
      <c r="AO818" s="94"/>
      <c r="AP818" s="94"/>
      <c r="AQ818" s="94"/>
      <c r="AR818" s="94"/>
      <c r="AS818" s="94"/>
      <c r="AT818" s="94"/>
      <c r="AU818" s="94"/>
      <c r="AV818" s="94"/>
      <c r="AW818" s="94"/>
      <c r="AX818" s="94"/>
      <c r="AY818" s="94"/>
      <c r="AZ818" s="94"/>
      <c r="BA818" s="95"/>
    </row>
    <row r="819" spans="1:53" s="87" customFormat="1">
      <c r="A819" s="90" t="str">
        <f t="shared" si="38"/>
        <v/>
      </c>
      <c r="B819" s="98"/>
      <c r="C819" s="94"/>
      <c r="D819" s="94"/>
      <c r="E819" s="94"/>
      <c r="F819" s="94"/>
      <c r="G819" s="94"/>
      <c r="H819" s="94"/>
      <c r="I819" s="94"/>
      <c r="J819" s="94"/>
      <c r="K819" s="94"/>
      <c r="L819" s="94"/>
      <c r="M819" s="94"/>
      <c r="N819" s="94"/>
      <c r="O819" s="94"/>
      <c r="P819" s="94"/>
      <c r="Q819" s="94"/>
      <c r="R819" s="94"/>
      <c r="S819" s="94"/>
      <c r="T819" s="94"/>
      <c r="U819" s="94"/>
      <c r="V819" s="94"/>
      <c r="W819" s="94"/>
      <c r="X819" s="94"/>
      <c r="Y819" s="94"/>
      <c r="Z819" s="94"/>
      <c r="AA819" s="94"/>
      <c r="AB819" s="94"/>
      <c r="AC819" s="94"/>
      <c r="AD819" s="94"/>
      <c r="AE819" s="94"/>
      <c r="AF819" s="94"/>
      <c r="AG819" s="94"/>
      <c r="AH819" s="94"/>
      <c r="AI819" s="94"/>
      <c r="AJ819" s="94"/>
      <c r="AK819" s="94"/>
      <c r="AL819" s="94"/>
      <c r="AM819" s="94"/>
      <c r="AN819" s="94"/>
      <c r="AO819" s="94"/>
      <c r="AP819" s="94"/>
      <c r="AQ819" s="94"/>
      <c r="AR819" s="94"/>
      <c r="AS819" s="94"/>
      <c r="AT819" s="94"/>
      <c r="AU819" s="94"/>
      <c r="AV819" s="94"/>
      <c r="AW819" s="94"/>
      <c r="AX819" s="94"/>
      <c r="AY819" s="94"/>
      <c r="AZ819" s="94"/>
      <c r="BA819" s="95"/>
    </row>
    <row r="820" spans="1:53" s="87" customFormat="1">
      <c r="A820" s="90" t="str">
        <f t="shared" si="38"/>
        <v/>
      </c>
      <c r="B820" s="98"/>
      <c r="C820" s="94"/>
      <c r="D820" s="94"/>
      <c r="E820" s="94"/>
      <c r="F820" s="94"/>
      <c r="G820" s="94"/>
      <c r="H820" s="94"/>
      <c r="I820" s="94"/>
      <c r="J820" s="94"/>
      <c r="K820" s="94"/>
      <c r="L820" s="94"/>
      <c r="M820" s="94"/>
      <c r="N820" s="94"/>
      <c r="O820" s="94"/>
      <c r="P820" s="94"/>
      <c r="Q820" s="94"/>
      <c r="R820" s="94"/>
      <c r="S820" s="94"/>
      <c r="T820" s="94"/>
      <c r="U820" s="94"/>
      <c r="V820" s="94"/>
      <c r="W820" s="94"/>
      <c r="X820" s="94"/>
      <c r="Y820" s="94"/>
      <c r="Z820" s="94"/>
      <c r="AA820" s="94"/>
      <c r="AB820" s="94"/>
      <c r="AC820" s="94"/>
      <c r="AD820" s="94"/>
      <c r="AE820" s="94"/>
      <c r="AF820" s="94"/>
      <c r="AG820" s="94"/>
      <c r="AH820" s="94"/>
      <c r="AI820" s="94"/>
      <c r="AJ820" s="94"/>
      <c r="AK820" s="94"/>
      <c r="AL820" s="94"/>
      <c r="AM820" s="94"/>
      <c r="AN820" s="94"/>
      <c r="AO820" s="94"/>
      <c r="AP820" s="94"/>
      <c r="AQ820" s="94"/>
      <c r="AR820" s="94"/>
      <c r="AS820" s="94"/>
      <c r="AT820" s="94"/>
      <c r="AU820" s="94"/>
      <c r="AV820" s="94"/>
      <c r="AW820" s="94"/>
      <c r="AX820" s="94"/>
      <c r="AY820" s="94"/>
      <c r="AZ820" s="94"/>
      <c r="BA820" s="95"/>
    </row>
    <row r="821" spans="1:53" s="87" customFormat="1">
      <c r="A821" s="90" t="str">
        <f t="shared" si="38"/>
        <v/>
      </c>
      <c r="B821" s="98"/>
      <c r="C821" s="94"/>
      <c r="D821" s="94"/>
      <c r="E821" s="94"/>
      <c r="F821" s="94"/>
      <c r="G821" s="94"/>
      <c r="H821" s="94"/>
      <c r="I821" s="94"/>
      <c r="J821" s="94"/>
      <c r="K821" s="94"/>
      <c r="L821" s="94"/>
      <c r="M821" s="94"/>
      <c r="N821" s="94"/>
      <c r="O821" s="94"/>
      <c r="P821" s="94"/>
      <c r="Q821" s="94"/>
      <c r="R821" s="94"/>
      <c r="S821" s="94"/>
      <c r="T821" s="94"/>
      <c r="U821" s="94"/>
      <c r="V821" s="94"/>
      <c r="W821" s="94"/>
      <c r="X821" s="94"/>
      <c r="Y821" s="94"/>
      <c r="Z821" s="94"/>
      <c r="AA821" s="94"/>
      <c r="AB821" s="94"/>
      <c r="AC821" s="94"/>
      <c r="AD821" s="94"/>
      <c r="AE821" s="94"/>
      <c r="AF821" s="94"/>
      <c r="AG821" s="94"/>
      <c r="AH821" s="94"/>
      <c r="AI821" s="94"/>
      <c r="AJ821" s="94"/>
      <c r="AK821" s="94"/>
      <c r="AL821" s="94"/>
      <c r="AM821" s="94"/>
      <c r="AN821" s="94"/>
      <c r="AO821" s="94"/>
      <c r="AP821" s="94"/>
      <c r="AQ821" s="94"/>
      <c r="AR821" s="94"/>
      <c r="AS821" s="94"/>
      <c r="AT821" s="94"/>
      <c r="AU821" s="94"/>
      <c r="AV821" s="94"/>
      <c r="AW821" s="94"/>
      <c r="AX821" s="94"/>
      <c r="AY821" s="94"/>
      <c r="AZ821" s="94"/>
      <c r="BA821" s="95"/>
    </row>
    <row r="822" spans="1:53" s="87" customFormat="1">
      <c r="A822" s="90" t="str">
        <f t="shared" si="38"/>
        <v/>
      </c>
      <c r="B822" s="98"/>
      <c r="C822" s="94"/>
      <c r="D822" s="94"/>
      <c r="E822" s="94"/>
      <c r="F822" s="94"/>
      <c r="G822" s="94"/>
      <c r="H822" s="94"/>
      <c r="I822" s="94"/>
      <c r="J822" s="94"/>
      <c r="K822" s="94"/>
      <c r="L822" s="94"/>
      <c r="M822" s="94"/>
      <c r="N822" s="94"/>
      <c r="O822" s="94"/>
      <c r="P822" s="94"/>
      <c r="Q822" s="94"/>
      <c r="R822" s="94"/>
      <c r="S822" s="94"/>
      <c r="T822" s="94"/>
      <c r="U822" s="94"/>
      <c r="V822" s="94"/>
      <c r="W822" s="94"/>
      <c r="X822" s="94"/>
      <c r="Y822" s="94"/>
      <c r="Z822" s="94"/>
      <c r="AA822" s="94"/>
      <c r="AB822" s="94"/>
      <c r="AC822" s="94"/>
      <c r="AD822" s="94"/>
      <c r="AE822" s="94"/>
      <c r="AF822" s="94"/>
      <c r="AG822" s="94"/>
      <c r="AH822" s="94"/>
      <c r="AI822" s="94"/>
      <c r="AJ822" s="94"/>
      <c r="AK822" s="94"/>
      <c r="AL822" s="94"/>
      <c r="AM822" s="94"/>
      <c r="AN822" s="94"/>
      <c r="AO822" s="94"/>
      <c r="AP822" s="94"/>
      <c r="AQ822" s="94"/>
      <c r="AR822" s="94"/>
      <c r="AS822" s="94"/>
      <c r="AT822" s="94"/>
      <c r="AU822" s="94"/>
      <c r="AV822" s="94"/>
      <c r="AW822" s="94"/>
      <c r="AX822" s="94"/>
      <c r="AY822" s="94"/>
      <c r="AZ822" s="94"/>
      <c r="BA822" s="95"/>
    </row>
    <row r="823" spans="1:53" s="87" customFormat="1">
      <c r="A823" s="90" t="str">
        <f t="shared" si="38"/>
        <v/>
      </c>
      <c r="B823" s="98"/>
      <c r="C823" s="94"/>
      <c r="D823" s="94"/>
      <c r="E823" s="94"/>
      <c r="F823" s="94"/>
      <c r="G823" s="94"/>
      <c r="H823" s="94"/>
      <c r="I823" s="94"/>
      <c r="J823" s="94"/>
      <c r="K823" s="94"/>
      <c r="L823" s="94"/>
      <c r="M823" s="94"/>
      <c r="N823" s="94"/>
      <c r="O823" s="94"/>
      <c r="P823" s="94"/>
      <c r="Q823" s="94"/>
      <c r="R823" s="94"/>
      <c r="S823" s="94"/>
      <c r="T823" s="94"/>
      <c r="U823" s="94"/>
      <c r="V823" s="94"/>
      <c r="W823" s="94"/>
      <c r="X823" s="94"/>
      <c r="Y823" s="94"/>
      <c r="Z823" s="94"/>
      <c r="AA823" s="94"/>
      <c r="AB823" s="94"/>
      <c r="AC823" s="94"/>
      <c r="AD823" s="94"/>
      <c r="AE823" s="94"/>
      <c r="AF823" s="94"/>
      <c r="AG823" s="94"/>
      <c r="AH823" s="94"/>
      <c r="AI823" s="94"/>
      <c r="AJ823" s="94"/>
      <c r="AK823" s="94"/>
      <c r="AL823" s="94"/>
      <c r="AM823" s="94"/>
      <c r="AN823" s="94"/>
      <c r="AO823" s="94"/>
      <c r="AP823" s="94"/>
      <c r="AQ823" s="94"/>
      <c r="AR823" s="94"/>
      <c r="AS823" s="94"/>
      <c r="AT823" s="94"/>
      <c r="AU823" s="94"/>
      <c r="AV823" s="94"/>
      <c r="AW823" s="94"/>
      <c r="AX823" s="94"/>
      <c r="AY823" s="94"/>
      <c r="AZ823" s="94"/>
      <c r="BA823" s="95"/>
    </row>
    <row r="824" spans="1:53" s="87" customFormat="1">
      <c r="A824" s="90" t="str">
        <f t="shared" si="38"/>
        <v/>
      </c>
      <c r="B824" s="98"/>
      <c r="C824" s="94"/>
      <c r="D824" s="94"/>
      <c r="E824" s="94"/>
      <c r="F824" s="94"/>
      <c r="G824" s="94"/>
      <c r="H824" s="94"/>
      <c r="I824" s="94"/>
      <c r="J824" s="94"/>
      <c r="K824" s="94"/>
      <c r="L824" s="94"/>
      <c r="M824" s="94"/>
      <c r="N824" s="94"/>
      <c r="O824" s="94"/>
      <c r="P824" s="94"/>
      <c r="Q824" s="94"/>
      <c r="R824" s="94"/>
      <c r="S824" s="94"/>
      <c r="T824" s="94"/>
      <c r="U824" s="94"/>
      <c r="V824" s="94"/>
      <c r="W824" s="94"/>
      <c r="X824" s="94"/>
      <c r="Y824" s="94"/>
      <c r="Z824" s="94"/>
      <c r="AA824" s="94"/>
      <c r="AB824" s="94"/>
      <c r="AC824" s="94"/>
      <c r="AD824" s="94"/>
      <c r="AE824" s="94"/>
      <c r="AF824" s="94"/>
      <c r="AG824" s="94"/>
      <c r="AH824" s="94"/>
      <c r="AI824" s="94"/>
      <c r="AJ824" s="94"/>
      <c r="AK824" s="94"/>
      <c r="AL824" s="94"/>
      <c r="AM824" s="94"/>
      <c r="AN824" s="94"/>
      <c r="AO824" s="94"/>
      <c r="AP824" s="94"/>
      <c r="AQ824" s="94"/>
      <c r="AR824" s="94"/>
      <c r="AS824" s="94"/>
      <c r="AT824" s="94"/>
      <c r="AU824" s="94"/>
      <c r="AV824" s="94"/>
      <c r="AW824" s="94"/>
      <c r="AX824" s="94"/>
      <c r="AY824" s="94"/>
      <c r="AZ824" s="94"/>
      <c r="BA824" s="95"/>
    </row>
    <row r="825" spans="1:53" s="87" customFormat="1">
      <c r="A825" s="90" t="str">
        <f t="shared" si="38"/>
        <v/>
      </c>
      <c r="B825" s="98"/>
      <c r="C825" s="94"/>
      <c r="D825" s="94"/>
      <c r="E825" s="94"/>
      <c r="F825" s="94"/>
      <c r="G825" s="94"/>
      <c r="H825" s="94"/>
      <c r="I825" s="94"/>
      <c r="J825" s="94"/>
      <c r="K825" s="94"/>
      <c r="L825" s="94"/>
      <c r="M825" s="94"/>
      <c r="N825" s="94"/>
      <c r="O825" s="94"/>
      <c r="P825" s="94"/>
      <c r="Q825" s="94"/>
      <c r="R825" s="94"/>
      <c r="S825" s="94"/>
      <c r="T825" s="94"/>
      <c r="U825" s="94"/>
      <c r="V825" s="94"/>
      <c r="W825" s="94"/>
      <c r="X825" s="94"/>
      <c r="Y825" s="94"/>
      <c r="Z825" s="94"/>
      <c r="AA825" s="94"/>
      <c r="AB825" s="94"/>
      <c r="AC825" s="94"/>
      <c r="AD825" s="94"/>
      <c r="AE825" s="94"/>
      <c r="AF825" s="94"/>
      <c r="AG825" s="94"/>
      <c r="AH825" s="94"/>
      <c r="AI825" s="94"/>
      <c r="AJ825" s="94"/>
      <c r="AK825" s="94"/>
      <c r="AL825" s="94"/>
      <c r="AM825" s="94"/>
      <c r="AN825" s="94"/>
      <c r="AO825" s="94"/>
      <c r="AP825" s="94"/>
      <c r="AQ825" s="94"/>
      <c r="AR825" s="94"/>
      <c r="AS825" s="94"/>
      <c r="AT825" s="94"/>
      <c r="AU825" s="94"/>
      <c r="AV825" s="94"/>
      <c r="AW825" s="94"/>
      <c r="AX825" s="94"/>
      <c r="AY825" s="94"/>
      <c r="AZ825" s="94"/>
      <c r="BA825" s="95"/>
    </row>
    <row r="826" spans="1:53" s="87" customFormat="1">
      <c r="A826" s="90" t="str">
        <f t="shared" si="38"/>
        <v/>
      </c>
      <c r="B826" s="98"/>
      <c r="C826" s="94"/>
      <c r="D826" s="94"/>
      <c r="E826" s="94"/>
      <c r="F826" s="94"/>
      <c r="G826" s="94"/>
      <c r="H826" s="94"/>
      <c r="I826" s="94"/>
      <c r="J826" s="94"/>
      <c r="K826" s="94"/>
      <c r="L826" s="94"/>
      <c r="M826" s="94"/>
      <c r="N826" s="94"/>
      <c r="O826" s="94"/>
      <c r="P826" s="94"/>
      <c r="Q826" s="94"/>
      <c r="R826" s="94"/>
      <c r="S826" s="94"/>
      <c r="T826" s="94"/>
      <c r="U826" s="94"/>
      <c r="V826" s="94"/>
      <c r="W826" s="94"/>
      <c r="X826" s="94"/>
      <c r="Y826" s="94"/>
      <c r="Z826" s="94"/>
      <c r="AA826" s="94"/>
      <c r="AB826" s="94"/>
      <c r="AC826" s="94"/>
      <c r="AD826" s="94"/>
      <c r="AE826" s="94"/>
      <c r="AF826" s="94"/>
      <c r="AG826" s="94"/>
      <c r="AH826" s="94"/>
      <c r="AI826" s="94"/>
      <c r="AJ826" s="94"/>
      <c r="AK826" s="94"/>
      <c r="AL826" s="94"/>
      <c r="AM826" s="94"/>
      <c r="AN826" s="94"/>
      <c r="AO826" s="94"/>
      <c r="AP826" s="94"/>
      <c r="AQ826" s="94"/>
      <c r="AR826" s="94"/>
      <c r="AS826" s="94"/>
      <c r="AT826" s="94"/>
      <c r="AU826" s="94"/>
      <c r="AV826" s="94"/>
      <c r="AW826" s="94"/>
      <c r="AX826" s="94"/>
      <c r="AY826" s="94"/>
      <c r="AZ826" s="94"/>
      <c r="BA826" s="95"/>
    </row>
    <row r="827" spans="1:53" s="87" customFormat="1">
      <c r="A827" s="90" t="str">
        <f t="shared" si="38"/>
        <v/>
      </c>
      <c r="B827" s="98"/>
      <c r="C827" s="94"/>
      <c r="D827" s="94"/>
      <c r="E827" s="94"/>
      <c r="F827" s="94"/>
      <c r="G827" s="94"/>
      <c r="H827" s="94"/>
      <c r="I827" s="94"/>
      <c r="J827" s="94"/>
      <c r="K827" s="94"/>
      <c r="L827" s="94"/>
      <c r="M827" s="94"/>
      <c r="N827" s="94"/>
      <c r="O827" s="94"/>
      <c r="P827" s="94"/>
      <c r="Q827" s="94"/>
      <c r="R827" s="94"/>
      <c r="S827" s="94"/>
      <c r="T827" s="94"/>
      <c r="U827" s="94"/>
      <c r="V827" s="94"/>
      <c r="W827" s="94"/>
      <c r="X827" s="94"/>
      <c r="Y827" s="94"/>
      <c r="Z827" s="94"/>
      <c r="AA827" s="94"/>
      <c r="AB827" s="94"/>
      <c r="AC827" s="94"/>
      <c r="AD827" s="94"/>
      <c r="AE827" s="94"/>
      <c r="AF827" s="94"/>
      <c r="AG827" s="94"/>
      <c r="AH827" s="94"/>
      <c r="AI827" s="94"/>
      <c r="AJ827" s="94"/>
      <c r="AK827" s="94"/>
      <c r="AL827" s="94"/>
      <c r="AM827" s="94"/>
      <c r="AN827" s="94"/>
      <c r="AO827" s="94"/>
      <c r="AP827" s="94"/>
      <c r="AQ827" s="94"/>
      <c r="AR827" s="94"/>
      <c r="AS827" s="94"/>
      <c r="AT827" s="94"/>
      <c r="AU827" s="94"/>
      <c r="AV827" s="94"/>
      <c r="AW827" s="94"/>
      <c r="AX827" s="94"/>
      <c r="AY827" s="94"/>
      <c r="AZ827" s="94"/>
      <c r="BA827" s="95"/>
    </row>
    <row r="828" spans="1:53" s="87" customFormat="1">
      <c r="A828" s="90" t="str">
        <f t="shared" si="38"/>
        <v/>
      </c>
      <c r="B828" s="98"/>
      <c r="C828" s="94"/>
      <c r="D828" s="94"/>
      <c r="E828" s="94"/>
      <c r="F828" s="94"/>
      <c r="G828" s="94"/>
      <c r="H828" s="94"/>
      <c r="I828" s="94"/>
      <c r="J828" s="94"/>
      <c r="K828" s="94"/>
      <c r="L828" s="94"/>
      <c r="M828" s="94"/>
      <c r="N828" s="94"/>
      <c r="O828" s="94"/>
      <c r="P828" s="94"/>
      <c r="Q828" s="94"/>
      <c r="R828" s="94"/>
      <c r="S828" s="94"/>
      <c r="T828" s="94"/>
      <c r="U828" s="94"/>
      <c r="V828" s="94"/>
      <c r="W828" s="94"/>
      <c r="X828" s="94"/>
      <c r="Y828" s="94"/>
      <c r="Z828" s="94"/>
      <c r="AA828" s="94"/>
      <c r="AB828" s="94"/>
      <c r="AC828" s="94"/>
      <c r="AD828" s="94"/>
      <c r="AE828" s="94"/>
      <c r="AF828" s="94"/>
      <c r="AG828" s="94"/>
      <c r="AH828" s="94"/>
      <c r="AI828" s="94"/>
      <c r="AJ828" s="94"/>
      <c r="AK828" s="94"/>
      <c r="AL828" s="94"/>
      <c r="AM828" s="94"/>
      <c r="AN828" s="94"/>
      <c r="AO828" s="94"/>
      <c r="AP828" s="94"/>
      <c r="AQ828" s="94"/>
      <c r="AR828" s="94"/>
      <c r="AS828" s="94"/>
      <c r="AT828" s="94"/>
      <c r="AU828" s="94"/>
      <c r="AV828" s="94"/>
      <c r="AW828" s="94"/>
      <c r="AX828" s="94"/>
      <c r="AY828" s="94"/>
      <c r="AZ828" s="94"/>
      <c r="BA828" s="95"/>
    </row>
    <row r="829" spans="1:53" s="87" customFormat="1">
      <c r="A829" s="90" t="str">
        <f t="shared" si="38"/>
        <v/>
      </c>
      <c r="B829" s="98"/>
      <c r="C829" s="94"/>
      <c r="D829" s="94"/>
      <c r="E829" s="94"/>
      <c r="F829" s="94"/>
      <c r="G829" s="94"/>
      <c r="H829" s="94"/>
      <c r="I829" s="94"/>
      <c r="J829" s="94"/>
      <c r="K829" s="94"/>
      <c r="L829" s="94"/>
      <c r="M829" s="94"/>
      <c r="N829" s="94"/>
      <c r="O829" s="94"/>
      <c r="P829" s="94"/>
      <c r="Q829" s="94"/>
      <c r="R829" s="94"/>
      <c r="S829" s="94"/>
      <c r="T829" s="94"/>
      <c r="U829" s="94"/>
      <c r="V829" s="94"/>
      <c r="W829" s="94"/>
      <c r="X829" s="94"/>
      <c r="Y829" s="94"/>
      <c r="Z829" s="94"/>
      <c r="AA829" s="94"/>
      <c r="AB829" s="94"/>
      <c r="AC829" s="94"/>
      <c r="AD829" s="94"/>
      <c r="AE829" s="94"/>
      <c r="AF829" s="94"/>
      <c r="AG829" s="94"/>
      <c r="AH829" s="94"/>
      <c r="AI829" s="94"/>
      <c r="AJ829" s="94"/>
      <c r="AK829" s="94"/>
      <c r="AL829" s="94"/>
      <c r="AM829" s="94"/>
      <c r="AN829" s="94"/>
      <c r="AO829" s="94"/>
      <c r="AP829" s="94"/>
      <c r="AQ829" s="94"/>
      <c r="AR829" s="94"/>
      <c r="AS829" s="94"/>
      <c r="AT829" s="94"/>
      <c r="AU829" s="94"/>
      <c r="AV829" s="94"/>
      <c r="AW829" s="94"/>
      <c r="AX829" s="94"/>
      <c r="AY829" s="94"/>
      <c r="AZ829" s="94"/>
      <c r="BA829" s="95"/>
    </row>
    <row r="830" spans="1:53" s="87" customFormat="1">
      <c r="A830" s="90" t="str">
        <f t="shared" si="38"/>
        <v/>
      </c>
      <c r="B830" s="98"/>
      <c r="C830" s="94"/>
      <c r="D830" s="94"/>
      <c r="E830" s="94"/>
      <c r="F830" s="94"/>
      <c r="G830" s="94"/>
      <c r="H830" s="94"/>
      <c r="I830" s="94"/>
      <c r="J830" s="94"/>
      <c r="K830" s="94"/>
      <c r="L830" s="94"/>
      <c r="M830" s="94"/>
      <c r="N830" s="94"/>
      <c r="O830" s="94"/>
      <c r="P830" s="94"/>
      <c r="Q830" s="94"/>
      <c r="R830" s="94"/>
      <c r="S830" s="94"/>
      <c r="T830" s="94"/>
      <c r="U830" s="94"/>
      <c r="V830" s="94"/>
      <c r="W830" s="94"/>
      <c r="X830" s="94"/>
      <c r="Y830" s="94"/>
      <c r="Z830" s="94"/>
      <c r="AA830" s="94"/>
      <c r="AB830" s="94"/>
      <c r="AC830" s="94"/>
      <c r="AD830" s="94"/>
      <c r="AE830" s="94"/>
      <c r="AF830" s="94"/>
      <c r="AG830" s="94"/>
      <c r="AH830" s="94"/>
      <c r="AI830" s="94"/>
      <c r="AJ830" s="94"/>
      <c r="AK830" s="94"/>
      <c r="AL830" s="94"/>
      <c r="AM830" s="94"/>
      <c r="AN830" s="94"/>
      <c r="AO830" s="94"/>
      <c r="AP830" s="94"/>
      <c r="AQ830" s="94"/>
      <c r="AR830" s="94"/>
      <c r="AS830" s="94"/>
      <c r="AT830" s="94"/>
      <c r="AU830" s="94"/>
      <c r="AV830" s="94"/>
      <c r="AW830" s="94"/>
      <c r="AX830" s="94"/>
      <c r="AY830" s="94"/>
      <c r="AZ830" s="94"/>
      <c r="BA830" s="95"/>
    </row>
    <row r="831" spans="1:53" s="87" customFormat="1">
      <c r="A831" s="90" t="str">
        <f t="shared" si="38"/>
        <v/>
      </c>
      <c r="B831" s="98"/>
      <c r="C831" s="94"/>
      <c r="D831" s="94"/>
      <c r="E831" s="94"/>
      <c r="F831" s="94"/>
      <c r="G831" s="94"/>
      <c r="H831" s="94"/>
      <c r="I831" s="94"/>
      <c r="J831" s="94"/>
      <c r="K831" s="94"/>
      <c r="L831" s="94"/>
      <c r="M831" s="94"/>
      <c r="N831" s="94"/>
      <c r="O831" s="94"/>
      <c r="P831" s="94"/>
      <c r="Q831" s="94"/>
      <c r="R831" s="94"/>
      <c r="S831" s="94"/>
      <c r="T831" s="94"/>
      <c r="U831" s="94"/>
      <c r="V831" s="94"/>
      <c r="W831" s="94"/>
      <c r="X831" s="94"/>
      <c r="Y831" s="94"/>
      <c r="Z831" s="94"/>
      <c r="AA831" s="94"/>
      <c r="AB831" s="94"/>
      <c r="AC831" s="94"/>
      <c r="AD831" s="94"/>
      <c r="AE831" s="94"/>
      <c r="AF831" s="94"/>
      <c r="AG831" s="94"/>
      <c r="AH831" s="94"/>
      <c r="AI831" s="94"/>
      <c r="AJ831" s="94"/>
      <c r="AK831" s="94"/>
      <c r="AL831" s="94"/>
      <c r="AM831" s="94"/>
      <c r="AN831" s="94"/>
      <c r="AO831" s="94"/>
      <c r="AP831" s="94"/>
      <c r="AQ831" s="94"/>
      <c r="AR831" s="94"/>
      <c r="AS831" s="94"/>
      <c r="AT831" s="94"/>
      <c r="AU831" s="94"/>
      <c r="AV831" s="94"/>
      <c r="AW831" s="94"/>
      <c r="AX831" s="94"/>
      <c r="AY831" s="94"/>
      <c r="AZ831" s="94"/>
      <c r="BA831" s="95"/>
    </row>
    <row r="832" spans="1:53" s="87" customFormat="1">
      <c r="A832" s="90" t="str">
        <f t="shared" si="38"/>
        <v/>
      </c>
      <c r="B832" s="98"/>
      <c r="C832" s="94"/>
      <c r="D832" s="94"/>
      <c r="E832" s="94"/>
      <c r="F832" s="94"/>
      <c r="G832" s="94"/>
      <c r="H832" s="94"/>
      <c r="I832" s="94"/>
      <c r="J832" s="94"/>
      <c r="K832" s="94"/>
      <c r="L832" s="94"/>
      <c r="M832" s="94"/>
      <c r="N832" s="94"/>
      <c r="O832" s="94"/>
      <c r="P832" s="94"/>
      <c r="Q832" s="94"/>
      <c r="R832" s="94"/>
      <c r="S832" s="94"/>
      <c r="T832" s="94"/>
      <c r="U832" s="94"/>
      <c r="V832" s="94"/>
      <c r="W832" s="94"/>
      <c r="X832" s="94"/>
      <c r="Y832" s="94"/>
      <c r="Z832" s="94"/>
      <c r="AA832" s="94"/>
      <c r="AB832" s="94"/>
      <c r="AC832" s="94"/>
      <c r="AD832" s="94"/>
      <c r="AE832" s="94"/>
      <c r="AF832" s="94"/>
      <c r="AG832" s="94"/>
      <c r="AH832" s="94"/>
      <c r="AI832" s="94"/>
      <c r="AJ832" s="94"/>
      <c r="AK832" s="94"/>
      <c r="AL832" s="94"/>
      <c r="AM832" s="94"/>
      <c r="AN832" s="94"/>
      <c r="AO832" s="94"/>
      <c r="AP832" s="94"/>
      <c r="AQ832" s="94"/>
      <c r="AR832" s="94"/>
      <c r="AS832" s="94"/>
      <c r="AT832" s="94"/>
      <c r="AU832" s="94"/>
      <c r="AV832" s="94"/>
      <c r="AW832" s="94"/>
      <c r="AX832" s="94"/>
      <c r="AY832" s="94"/>
      <c r="AZ832" s="94"/>
      <c r="BA832" s="95"/>
    </row>
    <row r="833" spans="1:53" s="87" customFormat="1">
      <c r="A833" s="90" t="str">
        <f t="shared" si="38"/>
        <v/>
      </c>
      <c r="B833" s="98"/>
      <c r="C833" s="94"/>
      <c r="D833" s="94"/>
      <c r="E833" s="94"/>
      <c r="F833" s="94"/>
      <c r="G833" s="94"/>
      <c r="H833" s="94"/>
      <c r="I833" s="94"/>
      <c r="J833" s="94"/>
      <c r="K833" s="94"/>
      <c r="L833" s="94"/>
      <c r="M833" s="94"/>
      <c r="N833" s="94"/>
      <c r="O833" s="94"/>
      <c r="P833" s="94"/>
      <c r="Q833" s="94"/>
      <c r="R833" s="94"/>
      <c r="S833" s="94"/>
      <c r="T833" s="94"/>
      <c r="U833" s="94"/>
      <c r="V833" s="94"/>
      <c r="W833" s="94"/>
      <c r="X833" s="94"/>
      <c r="Y833" s="94"/>
      <c r="Z833" s="94"/>
      <c r="AA833" s="94"/>
      <c r="AB833" s="94"/>
      <c r="AC833" s="94"/>
      <c r="AD833" s="94"/>
      <c r="AE833" s="94"/>
      <c r="AF833" s="94"/>
      <c r="AG833" s="94"/>
      <c r="AH833" s="94"/>
      <c r="AI833" s="94"/>
      <c r="AJ833" s="94"/>
      <c r="AK833" s="94"/>
      <c r="AL833" s="94"/>
      <c r="AM833" s="94"/>
      <c r="AN833" s="94"/>
      <c r="AO833" s="94"/>
      <c r="AP833" s="94"/>
      <c r="AQ833" s="94"/>
      <c r="AR833" s="94"/>
      <c r="AS833" s="94"/>
      <c r="AT833" s="94"/>
      <c r="AU833" s="94"/>
      <c r="AV833" s="94"/>
      <c r="AW833" s="94"/>
      <c r="AX833" s="94"/>
      <c r="AY833" s="94"/>
      <c r="AZ833" s="94"/>
      <c r="BA833" s="95"/>
    </row>
    <row r="834" spans="1:53" s="87" customFormat="1">
      <c r="A834" s="90" t="str">
        <f t="shared" si="38"/>
        <v/>
      </c>
      <c r="B834" s="98"/>
      <c r="C834" s="94"/>
      <c r="D834" s="94"/>
      <c r="E834" s="94"/>
      <c r="F834" s="94"/>
      <c r="G834" s="94"/>
      <c r="H834" s="94"/>
      <c r="I834" s="94"/>
      <c r="J834" s="94"/>
      <c r="K834" s="94"/>
      <c r="L834" s="94"/>
      <c r="M834" s="94"/>
      <c r="N834" s="94"/>
      <c r="O834" s="94"/>
      <c r="P834" s="94"/>
      <c r="Q834" s="94"/>
      <c r="R834" s="94"/>
      <c r="S834" s="94"/>
      <c r="T834" s="94"/>
      <c r="U834" s="94"/>
      <c r="V834" s="94"/>
      <c r="W834" s="94"/>
      <c r="X834" s="94"/>
      <c r="Y834" s="94"/>
      <c r="Z834" s="94"/>
      <c r="AA834" s="94"/>
      <c r="AB834" s="94"/>
      <c r="AC834" s="94"/>
      <c r="AD834" s="94"/>
      <c r="AE834" s="94"/>
      <c r="AF834" s="94"/>
      <c r="AG834" s="94"/>
      <c r="AH834" s="94"/>
      <c r="AI834" s="94"/>
      <c r="AJ834" s="94"/>
      <c r="AK834" s="94"/>
      <c r="AL834" s="94"/>
      <c r="AM834" s="94"/>
      <c r="AN834" s="94"/>
      <c r="AO834" s="94"/>
      <c r="AP834" s="94"/>
      <c r="AQ834" s="94"/>
      <c r="AR834" s="94"/>
      <c r="AS834" s="94"/>
      <c r="AT834" s="94"/>
      <c r="AU834" s="94"/>
      <c r="AV834" s="94"/>
      <c r="AW834" s="94"/>
      <c r="AX834" s="94"/>
      <c r="AY834" s="94"/>
      <c r="AZ834" s="94"/>
      <c r="BA834" s="95"/>
    </row>
    <row r="835" spans="1:53" s="87" customFormat="1">
      <c r="A835" s="90" t="str">
        <f t="shared" si="38"/>
        <v/>
      </c>
      <c r="B835" s="98"/>
      <c r="C835" s="94"/>
      <c r="D835" s="94"/>
      <c r="E835" s="94"/>
      <c r="F835" s="94"/>
      <c r="G835" s="94"/>
      <c r="H835" s="94"/>
      <c r="I835" s="94"/>
      <c r="J835" s="94"/>
      <c r="K835" s="94"/>
      <c r="L835" s="94"/>
      <c r="M835" s="94"/>
      <c r="N835" s="94"/>
      <c r="O835" s="94"/>
      <c r="P835" s="94"/>
      <c r="Q835" s="94"/>
      <c r="R835" s="94"/>
      <c r="S835" s="94"/>
      <c r="T835" s="94"/>
      <c r="U835" s="94"/>
      <c r="V835" s="94"/>
      <c r="W835" s="94"/>
      <c r="X835" s="94"/>
      <c r="Y835" s="94"/>
      <c r="Z835" s="94"/>
      <c r="AA835" s="94"/>
      <c r="AB835" s="94"/>
      <c r="AC835" s="94"/>
      <c r="AD835" s="94"/>
      <c r="AE835" s="94"/>
      <c r="AF835" s="94"/>
      <c r="AG835" s="94"/>
      <c r="AH835" s="94"/>
      <c r="AI835" s="94"/>
      <c r="AJ835" s="94"/>
      <c r="AK835" s="94"/>
      <c r="AL835" s="94"/>
      <c r="AM835" s="94"/>
      <c r="AN835" s="94"/>
      <c r="AO835" s="94"/>
      <c r="AP835" s="94"/>
      <c r="AQ835" s="94"/>
      <c r="AR835" s="94"/>
      <c r="AS835" s="94"/>
      <c r="AT835" s="94"/>
      <c r="AU835" s="94"/>
      <c r="AV835" s="94"/>
      <c r="AW835" s="94"/>
      <c r="AX835" s="94"/>
      <c r="AY835" s="94"/>
      <c r="AZ835" s="94"/>
      <c r="BA835" s="95"/>
    </row>
    <row r="836" spans="1:53" s="87" customFormat="1">
      <c r="A836" s="90" t="str">
        <f t="shared" si="38"/>
        <v/>
      </c>
      <c r="B836" s="98"/>
      <c r="C836" s="94"/>
      <c r="D836" s="94"/>
      <c r="E836" s="94"/>
      <c r="F836" s="94"/>
      <c r="G836" s="94"/>
      <c r="H836" s="94"/>
      <c r="I836" s="94"/>
      <c r="J836" s="94"/>
      <c r="K836" s="94"/>
      <c r="L836" s="94"/>
      <c r="M836" s="94"/>
      <c r="N836" s="94"/>
      <c r="O836" s="94"/>
      <c r="P836" s="94"/>
      <c r="Q836" s="94"/>
      <c r="R836" s="94"/>
      <c r="S836" s="94"/>
      <c r="T836" s="94"/>
      <c r="U836" s="94"/>
      <c r="V836" s="94"/>
      <c r="W836" s="94"/>
      <c r="X836" s="94"/>
      <c r="Y836" s="94"/>
      <c r="Z836" s="94"/>
      <c r="AA836" s="94"/>
      <c r="AB836" s="94"/>
      <c r="AC836" s="94"/>
      <c r="AD836" s="94"/>
      <c r="AE836" s="94"/>
      <c r="AF836" s="94"/>
      <c r="AG836" s="94"/>
      <c r="AH836" s="94"/>
      <c r="AI836" s="94"/>
      <c r="AJ836" s="94"/>
      <c r="AK836" s="94"/>
      <c r="AL836" s="94"/>
      <c r="AM836" s="94"/>
      <c r="AN836" s="94"/>
      <c r="AO836" s="94"/>
      <c r="AP836" s="94"/>
      <c r="AQ836" s="94"/>
      <c r="AR836" s="94"/>
      <c r="AS836" s="94"/>
      <c r="AT836" s="94"/>
      <c r="AU836" s="94"/>
      <c r="AV836" s="94"/>
      <c r="AW836" s="94"/>
      <c r="AX836" s="94"/>
      <c r="AY836" s="94"/>
      <c r="AZ836" s="94"/>
      <c r="BA836" s="95"/>
    </row>
    <row r="837" spans="1:53" s="87" customFormat="1">
      <c r="A837" s="90" t="str">
        <f t="shared" si="38"/>
        <v/>
      </c>
      <c r="B837" s="98"/>
      <c r="C837" s="94"/>
      <c r="D837" s="94"/>
      <c r="E837" s="94"/>
      <c r="F837" s="94"/>
      <c r="G837" s="94"/>
      <c r="H837" s="94"/>
      <c r="I837" s="94"/>
      <c r="J837" s="94"/>
      <c r="K837" s="94"/>
      <c r="L837" s="94"/>
      <c r="M837" s="94"/>
      <c r="N837" s="94"/>
      <c r="O837" s="94"/>
      <c r="P837" s="94"/>
      <c r="Q837" s="94"/>
      <c r="R837" s="94"/>
      <c r="S837" s="94"/>
      <c r="T837" s="94"/>
      <c r="U837" s="94"/>
      <c r="V837" s="94"/>
      <c r="W837" s="94"/>
      <c r="X837" s="94"/>
      <c r="Y837" s="94"/>
      <c r="Z837" s="94"/>
      <c r="AA837" s="94"/>
      <c r="AB837" s="94"/>
      <c r="AC837" s="94"/>
      <c r="AD837" s="94"/>
      <c r="AE837" s="94"/>
      <c r="AF837" s="94"/>
      <c r="AG837" s="94"/>
      <c r="AH837" s="94"/>
      <c r="AI837" s="94"/>
      <c r="AJ837" s="94"/>
      <c r="AK837" s="94"/>
      <c r="AL837" s="94"/>
      <c r="AM837" s="94"/>
      <c r="AN837" s="94"/>
      <c r="AO837" s="94"/>
      <c r="AP837" s="94"/>
      <c r="AQ837" s="94"/>
      <c r="AR837" s="94"/>
      <c r="AS837" s="94"/>
      <c r="AT837" s="94"/>
      <c r="AU837" s="94"/>
      <c r="AV837" s="94"/>
      <c r="AW837" s="94"/>
      <c r="AX837" s="94"/>
      <c r="AY837" s="94"/>
      <c r="AZ837" s="94"/>
      <c r="BA837" s="95"/>
    </row>
    <row r="838" spans="1:53" s="87" customFormat="1">
      <c r="A838" s="90" t="str">
        <f t="shared" si="38"/>
        <v/>
      </c>
      <c r="B838" s="98"/>
      <c r="C838" s="94"/>
      <c r="D838" s="94"/>
      <c r="E838" s="94"/>
      <c r="F838" s="94"/>
      <c r="G838" s="94"/>
      <c r="H838" s="94"/>
      <c r="I838" s="94"/>
      <c r="J838" s="94"/>
      <c r="K838" s="94"/>
      <c r="L838" s="94"/>
      <c r="M838" s="94"/>
      <c r="N838" s="94"/>
      <c r="O838" s="94"/>
      <c r="P838" s="94"/>
      <c r="Q838" s="94"/>
      <c r="R838" s="94"/>
      <c r="S838" s="94"/>
      <c r="T838" s="94"/>
      <c r="U838" s="94"/>
      <c r="V838" s="94"/>
      <c r="W838" s="94"/>
      <c r="X838" s="94"/>
      <c r="Y838" s="94"/>
      <c r="Z838" s="94"/>
      <c r="AA838" s="94"/>
      <c r="AB838" s="94"/>
      <c r="AC838" s="94"/>
      <c r="AD838" s="94"/>
      <c r="AE838" s="94"/>
      <c r="AF838" s="94"/>
      <c r="AG838" s="94"/>
      <c r="AH838" s="94"/>
      <c r="AI838" s="94"/>
      <c r="AJ838" s="94"/>
      <c r="AK838" s="94"/>
      <c r="AL838" s="94"/>
      <c r="AM838" s="94"/>
      <c r="AN838" s="94"/>
      <c r="AO838" s="94"/>
      <c r="AP838" s="94"/>
      <c r="AQ838" s="94"/>
      <c r="AR838" s="94"/>
      <c r="AS838" s="94"/>
      <c r="AT838" s="94"/>
      <c r="AU838" s="94"/>
      <c r="AV838" s="94"/>
      <c r="AW838" s="94"/>
      <c r="AX838" s="94"/>
      <c r="AY838" s="94"/>
      <c r="AZ838" s="94"/>
      <c r="BA838" s="95"/>
    </row>
    <row r="839" spans="1:53" s="87" customFormat="1">
      <c r="A839" s="90" t="str">
        <f t="shared" si="38"/>
        <v/>
      </c>
      <c r="B839" s="98"/>
      <c r="C839" s="94"/>
      <c r="D839" s="94"/>
      <c r="E839" s="94"/>
      <c r="F839" s="94"/>
      <c r="G839" s="94"/>
      <c r="H839" s="94"/>
      <c r="I839" s="94"/>
      <c r="J839" s="94"/>
      <c r="K839" s="94"/>
      <c r="L839" s="94"/>
      <c r="M839" s="94"/>
      <c r="N839" s="94"/>
      <c r="O839" s="94"/>
      <c r="P839" s="94"/>
      <c r="Q839" s="94"/>
      <c r="R839" s="94"/>
      <c r="S839" s="94"/>
      <c r="T839" s="94"/>
      <c r="U839" s="94"/>
      <c r="V839" s="94"/>
      <c r="W839" s="94"/>
      <c r="X839" s="94"/>
      <c r="Y839" s="94"/>
      <c r="Z839" s="94"/>
      <c r="AA839" s="94"/>
      <c r="AB839" s="94"/>
      <c r="AC839" s="94"/>
      <c r="AD839" s="94"/>
      <c r="AE839" s="94"/>
      <c r="AF839" s="94"/>
      <c r="AG839" s="94"/>
      <c r="AH839" s="94"/>
      <c r="AI839" s="94"/>
      <c r="AJ839" s="94"/>
      <c r="AK839" s="94"/>
      <c r="AL839" s="94"/>
      <c r="AM839" s="94"/>
      <c r="AN839" s="94"/>
      <c r="AO839" s="94"/>
      <c r="AP839" s="94"/>
      <c r="AQ839" s="94"/>
      <c r="AR839" s="94"/>
      <c r="AS839" s="94"/>
      <c r="AT839" s="94"/>
      <c r="AU839" s="94"/>
      <c r="AV839" s="94"/>
      <c r="AW839" s="94"/>
      <c r="AX839" s="94"/>
      <c r="AY839" s="94"/>
      <c r="AZ839" s="94"/>
      <c r="BA839" s="95"/>
    </row>
    <row r="840" spans="1:53" s="87" customFormat="1">
      <c r="A840" s="90" t="str">
        <f t="shared" si="38"/>
        <v/>
      </c>
      <c r="B840" s="98"/>
      <c r="C840" s="94"/>
      <c r="D840" s="94"/>
      <c r="E840" s="94"/>
      <c r="F840" s="94"/>
      <c r="G840" s="94"/>
      <c r="H840" s="94"/>
      <c r="I840" s="94"/>
      <c r="J840" s="94"/>
      <c r="K840" s="94"/>
      <c r="L840" s="94"/>
      <c r="M840" s="94"/>
      <c r="N840" s="94"/>
      <c r="O840" s="94"/>
      <c r="P840" s="94"/>
      <c r="Q840" s="94"/>
      <c r="R840" s="94"/>
      <c r="S840" s="94"/>
      <c r="T840" s="94"/>
      <c r="U840" s="94"/>
      <c r="V840" s="94"/>
      <c r="W840" s="94"/>
      <c r="X840" s="94"/>
      <c r="Y840" s="94"/>
      <c r="Z840" s="94"/>
      <c r="AA840" s="94"/>
      <c r="AB840" s="94"/>
      <c r="AC840" s="94"/>
      <c r="AD840" s="94"/>
      <c r="AE840" s="94"/>
      <c r="AF840" s="94"/>
      <c r="AG840" s="94"/>
      <c r="AH840" s="94"/>
      <c r="AI840" s="94"/>
      <c r="AJ840" s="94"/>
      <c r="AK840" s="94"/>
      <c r="AL840" s="94"/>
      <c r="AM840" s="94"/>
      <c r="AN840" s="94"/>
      <c r="AO840" s="94"/>
      <c r="AP840" s="94"/>
      <c r="AQ840" s="94"/>
      <c r="AR840" s="94"/>
      <c r="AS840" s="94"/>
      <c r="AT840" s="94"/>
      <c r="AU840" s="94"/>
      <c r="AV840" s="94"/>
      <c r="AW840" s="94"/>
      <c r="AX840" s="94"/>
      <c r="AY840" s="94"/>
      <c r="AZ840" s="94"/>
      <c r="BA840" s="95"/>
    </row>
    <row r="841" spans="1:53" s="87" customFormat="1">
      <c r="A841" s="90" t="str">
        <f t="shared" si="38"/>
        <v/>
      </c>
      <c r="B841" s="98"/>
      <c r="C841" s="94"/>
      <c r="D841" s="94"/>
      <c r="E841" s="94"/>
      <c r="F841" s="94"/>
      <c r="G841" s="94"/>
      <c r="H841" s="94"/>
      <c r="I841" s="94"/>
      <c r="J841" s="94"/>
      <c r="K841" s="94"/>
      <c r="L841" s="94"/>
      <c r="M841" s="94"/>
      <c r="N841" s="94"/>
      <c r="O841" s="94"/>
      <c r="P841" s="94"/>
      <c r="Q841" s="94"/>
      <c r="R841" s="94"/>
      <c r="S841" s="94"/>
      <c r="T841" s="94"/>
      <c r="U841" s="94"/>
      <c r="V841" s="94"/>
      <c r="W841" s="94"/>
      <c r="X841" s="94"/>
      <c r="Y841" s="94"/>
      <c r="Z841" s="94"/>
      <c r="AA841" s="94"/>
      <c r="AB841" s="94"/>
      <c r="AC841" s="94"/>
      <c r="AD841" s="94"/>
      <c r="AE841" s="94"/>
      <c r="AF841" s="94"/>
      <c r="AG841" s="94"/>
      <c r="AH841" s="94"/>
      <c r="AI841" s="94"/>
      <c r="AJ841" s="94"/>
      <c r="AK841" s="94"/>
      <c r="AL841" s="94"/>
      <c r="AM841" s="94"/>
      <c r="AN841" s="94"/>
      <c r="AO841" s="94"/>
      <c r="AP841" s="94"/>
      <c r="AQ841" s="94"/>
      <c r="AR841" s="94"/>
      <c r="AS841" s="94"/>
      <c r="AT841" s="94"/>
      <c r="AU841" s="94"/>
      <c r="AV841" s="94"/>
      <c r="AW841" s="94"/>
      <c r="AX841" s="94"/>
      <c r="AY841" s="94"/>
      <c r="AZ841" s="94"/>
      <c r="BA841" s="95"/>
    </row>
    <row r="842" spans="1:53" s="87" customFormat="1">
      <c r="A842" s="90" t="str">
        <f t="shared" si="38"/>
        <v/>
      </c>
      <c r="B842" s="98"/>
      <c r="C842" s="94"/>
      <c r="D842" s="94"/>
      <c r="E842" s="94"/>
      <c r="F842" s="94"/>
      <c r="G842" s="94"/>
      <c r="H842" s="94"/>
      <c r="I842" s="94"/>
      <c r="J842" s="94"/>
      <c r="K842" s="94"/>
      <c r="L842" s="94"/>
      <c r="M842" s="94"/>
      <c r="N842" s="94"/>
      <c r="O842" s="94"/>
      <c r="P842" s="94"/>
      <c r="Q842" s="94"/>
      <c r="R842" s="94"/>
      <c r="S842" s="94"/>
      <c r="T842" s="94"/>
      <c r="U842" s="94"/>
      <c r="V842" s="94"/>
      <c r="W842" s="94"/>
      <c r="X842" s="94"/>
      <c r="Y842" s="94"/>
      <c r="Z842" s="94"/>
      <c r="AA842" s="94"/>
      <c r="AB842" s="94"/>
      <c r="AC842" s="94"/>
      <c r="AD842" s="94"/>
      <c r="AE842" s="94"/>
      <c r="AF842" s="94"/>
      <c r="AG842" s="94"/>
      <c r="AH842" s="94"/>
      <c r="AI842" s="94"/>
      <c r="AJ842" s="94"/>
      <c r="AK842" s="94"/>
      <c r="AL842" s="94"/>
      <c r="AM842" s="94"/>
      <c r="AN842" s="94"/>
      <c r="AO842" s="94"/>
      <c r="AP842" s="94"/>
      <c r="AQ842" s="94"/>
      <c r="AR842" s="94"/>
      <c r="AS842" s="94"/>
      <c r="AT842" s="94"/>
      <c r="AU842" s="94"/>
      <c r="AV842" s="94"/>
      <c r="AW842" s="94"/>
      <c r="AX842" s="94"/>
      <c r="AY842" s="94"/>
      <c r="AZ842" s="94"/>
      <c r="BA842" s="95"/>
    </row>
    <row r="843" spans="1:53" s="87" customFormat="1">
      <c r="A843" s="90" t="str">
        <f t="shared" si="38"/>
        <v/>
      </c>
      <c r="B843" s="98"/>
      <c r="C843" s="94"/>
      <c r="D843" s="94"/>
      <c r="E843" s="94"/>
      <c r="F843" s="94"/>
      <c r="G843" s="94"/>
      <c r="H843" s="94"/>
      <c r="I843" s="94"/>
      <c r="J843" s="94"/>
      <c r="K843" s="94"/>
      <c r="L843" s="94"/>
      <c r="M843" s="94"/>
      <c r="N843" s="94"/>
      <c r="O843" s="94"/>
      <c r="P843" s="94"/>
      <c r="Q843" s="94"/>
      <c r="R843" s="94"/>
      <c r="S843" s="94"/>
      <c r="T843" s="94"/>
      <c r="U843" s="94"/>
      <c r="V843" s="94"/>
      <c r="W843" s="94"/>
      <c r="X843" s="94"/>
      <c r="Y843" s="94"/>
      <c r="Z843" s="94"/>
      <c r="AA843" s="94"/>
      <c r="AB843" s="94"/>
      <c r="AC843" s="94"/>
      <c r="AD843" s="94"/>
      <c r="AE843" s="94"/>
      <c r="AF843" s="94"/>
      <c r="AG843" s="94"/>
      <c r="AH843" s="94"/>
      <c r="AI843" s="94"/>
      <c r="AJ843" s="94"/>
      <c r="AK843" s="94"/>
      <c r="AL843" s="94"/>
      <c r="AM843" s="94"/>
      <c r="AN843" s="94"/>
      <c r="AO843" s="94"/>
      <c r="AP843" s="94"/>
      <c r="AQ843" s="94"/>
      <c r="AR843" s="94"/>
      <c r="AS843" s="94"/>
      <c r="AT843" s="94"/>
      <c r="AU843" s="94"/>
      <c r="AV843" s="94"/>
      <c r="AW843" s="94"/>
      <c r="AX843" s="94"/>
      <c r="AY843" s="94"/>
      <c r="AZ843" s="94"/>
      <c r="BA843" s="95"/>
    </row>
    <row r="844" spans="1:53" s="87" customFormat="1">
      <c r="A844" s="90" t="str">
        <f t="shared" ref="A844:A907" si="39">IF(MID(B844,3,2)="03",ROW(),"")</f>
        <v/>
      </c>
      <c r="B844" s="98"/>
      <c r="C844" s="94"/>
      <c r="D844" s="94"/>
      <c r="E844" s="94"/>
      <c r="F844" s="94"/>
      <c r="G844" s="94"/>
      <c r="H844" s="94"/>
      <c r="I844" s="94"/>
      <c r="J844" s="94"/>
      <c r="K844" s="94"/>
      <c r="L844" s="94"/>
      <c r="M844" s="94"/>
      <c r="N844" s="94"/>
      <c r="O844" s="94"/>
      <c r="P844" s="94"/>
      <c r="Q844" s="94"/>
      <c r="R844" s="94"/>
      <c r="S844" s="94"/>
      <c r="T844" s="94"/>
      <c r="U844" s="94"/>
      <c r="V844" s="94"/>
      <c r="W844" s="94"/>
      <c r="X844" s="94"/>
      <c r="Y844" s="94"/>
      <c r="Z844" s="94"/>
      <c r="AA844" s="94"/>
      <c r="AB844" s="94"/>
      <c r="AC844" s="94"/>
      <c r="AD844" s="94"/>
      <c r="AE844" s="94"/>
      <c r="AF844" s="94"/>
      <c r="AG844" s="94"/>
      <c r="AH844" s="94"/>
      <c r="AI844" s="94"/>
      <c r="AJ844" s="94"/>
      <c r="AK844" s="94"/>
      <c r="AL844" s="94"/>
      <c r="AM844" s="94"/>
      <c r="AN844" s="94"/>
      <c r="AO844" s="94"/>
      <c r="AP844" s="94"/>
      <c r="AQ844" s="94"/>
      <c r="AR844" s="94"/>
      <c r="AS844" s="94"/>
      <c r="AT844" s="94"/>
      <c r="AU844" s="94"/>
      <c r="AV844" s="94"/>
      <c r="AW844" s="94"/>
      <c r="AX844" s="94"/>
      <c r="AY844" s="94"/>
      <c r="AZ844" s="94"/>
      <c r="BA844" s="95"/>
    </row>
    <row r="845" spans="1:53" s="87" customFormat="1">
      <c r="A845" s="90" t="str">
        <f t="shared" si="39"/>
        <v/>
      </c>
      <c r="B845" s="98"/>
      <c r="C845" s="94"/>
      <c r="D845" s="94"/>
      <c r="E845" s="94"/>
      <c r="F845" s="94"/>
      <c r="G845" s="94"/>
      <c r="H845" s="94"/>
      <c r="I845" s="94"/>
      <c r="J845" s="94"/>
      <c r="K845" s="94"/>
      <c r="L845" s="94"/>
      <c r="M845" s="94"/>
      <c r="N845" s="94"/>
      <c r="O845" s="94"/>
      <c r="P845" s="94"/>
      <c r="Q845" s="94"/>
      <c r="R845" s="94"/>
      <c r="S845" s="94"/>
      <c r="T845" s="94"/>
      <c r="U845" s="94"/>
      <c r="V845" s="94"/>
      <c r="W845" s="94"/>
      <c r="X845" s="94"/>
      <c r="Y845" s="94"/>
      <c r="Z845" s="94"/>
      <c r="AA845" s="94"/>
      <c r="AB845" s="94"/>
      <c r="AC845" s="94"/>
      <c r="AD845" s="94"/>
      <c r="AE845" s="94"/>
      <c r="AF845" s="94"/>
      <c r="AG845" s="94"/>
      <c r="AH845" s="94"/>
      <c r="AI845" s="94"/>
      <c r="AJ845" s="94"/>
      <c r="AK845" s="94"/>
      <c r="AL845" s="94"/>
      <c r="AM845" s="94"/>
      <c r="AN845" s="94"/>
      <c r="AO845" s="94"/>
      <c r="AP845" s="94"/>
      <c r="AQ845" s="94"/>
      <c r="AR845" s="94"/>
      <c r="AS845" s="94"/>
      <c r="AT845" s="94"/>
      <c r="AU845" s="94"/>
      <c r="AV845" s="94"/>
      <c r="AW845" s="94"/>
      <c r="AX845" s="94"/>
      <c r="AY845" s="94"/>
      <c r="AZ845" s="94"/>
      <c r="BA845" s="95"/>
    </row>
    <row r="846" spans="1:53" s="87" customFormat="1">
      <c r="A846" s="90" t="str">
        <f t="shared" si="39"/>
        <v/>
      </c>
      <c r="B846" s="98"/>
      <c r="C846" s="94"/>
      <c r="D846" s="94"/>
      <c r="E846" s="94"/>
      <c r="F846" s="94"/>
      <c r="G846" s="94"/>
      <c r="H846" s="94"/>
      <c r="I846" s="94"/>
      <c r="J846" s="94"/>
      <c r="K846" s="94"/>
      <c r="L846" s="94"/>
      <c r="M846" s="94"/>
      <c r="N846" s="94"/>
      <c r="O846" s="94"/>
      <c r="P846" s="94"/>
      <c r="Q846" s="94"/>
      <c r="R846" s="94"/>
      <c r="S846" s="94"/>
      <c r="T846" s="94"/>
      <c r="U846" s="94"/>
      <c r="V846" s="94"/>
      <c r="W846" s="94"/>
      <c r="X846" s="94"/>
      <c r="Y846" s="94"/>
      <c r="Z846" s="94"/>
      <c r="AA846" s="94"/>
      <c r="AB846" s="94"/>
      <c r="AC846" s="94"/>
      <c r="AD846" s="94"/>
      <c r="AE846" s="94"/>
      <c r="AF846" s="94"/>
      <c r="AG846" s="94"/>
      <c r="AH846" s="94"/>
      <c r="AI846" s="94"/>
      <c r="AJ846" s="94"/>
      <c r="AK846" s="94"/>
      <c r="AL846" s="94"/>
      <c r="AM846" s="94"/>
      <c r="AN846" s="94"/>
      <c r="AO846" s="94"/>
      <c r="AP846" s="94"/>
      <c r="AQ846" s="94"/>
      <c r="AR846" s="94"/>
      <c r="AS846" s="94"/>
      <c r="AT846" s="94"/>
      <c r="AU846" s="94"/>
      <c r="AV846" s="94"/>
      <c r="AW846" s="94"/>
      <c r="AX846" s="94"/>
      <c r="AY846" s="94"/>
      <c r="AZ846" s="94"/>
      <c r="BA846" s="95"/>
    </row>
    <row r="847" spans="1:53" s="87" customFormat="1">
      <c r="A847" s="90" t="str">
        <f t="shared" si="39"/>
        <v/>
      </c>
      <c r="B847" s="98"/>
      <c r="C847" s="94"/>
      <c r="D847" s="94"/>
      <c r="E847" s="94"/>
      <c r="F847" s="94"/>
      <c r="G847" s="94"/>
      <c r="H847" s="94"/>
      <c r="I847" s="94"/>
      <c r="J847" s="94"/>
      <c r="K847" s="94"/>
      <c r="L847" s="94"/>
      <c r="M847" s="94"/>
      <c r="N847" s="94"/>
      <c r="O847" s="94"/>
      <c r="P847" s="94"/>
      <c r="Q847" s="94"/>
      <c r="R847" s="94"/>
      <c r="S847" s="94"/>
      <c r="T847" s="94"/>
      <c r="U847" s="94"/>
      <c r="V847" s="94"/>
      <c r="W847" s="94"/>
      <c r="X847" s="94"/>
      <c r="Y847" s="94"/>
      <c r="Z847" s="94"/>
      <c r="AA847" s="94"/>
      <c r="AB847" s="94"/>
      <c r="AC847" s="94"/>
      <c r="AD847" s="94"/>
      <c r="AE847" s="94"/>
      <c r="AF847" s="94"/>
      <c r="AG847" s="94"/>
      <c r="AH847" s="94"/>
      <c r="AI847" s="94"/>
      <c r="AJ847" s="94"/>
      <c r="AK847" s="94"/>
      <c r="AL847" s="94"/>
      <c r="AM847" s="94"/>
      <c r="AN847" s="94"/>
      <c r="AO847" s="94"/>
      <c r="AP847" s="94"/>
      <c r="AQ847" s="94"/>
      <c r="AR847" s="94"/>
      <c r="AS847" s="94"/>
      <c r="AT847" s="94"/>
      <c r="AU847" s="94"/>
      <c r="AV847" s="94"/>
      <c r="AW847" s="94"/>
      <c r="AX847" s="94"/>
      <c r="AY847" s="94"/>
      <c r="AZ847" s="94"/>
      <c r="BA847" s="95"/>
    </row>
    <row r="848" spans="1:53" s="87" customFormat="1">
      <c r="A848" s="90" t="str">
        <f t="shared" si="39"/>
        <v/>
      </c>
      <c r="B848" s="98"/>
      <c r="C848" s="94"/>
      <c r="D848" s="94"/>
      <c r="E848" s="94"/>
      <c r="F848" s="94"/>
      <c r="G848" s="94"/>
      <c r="H848" s="94"/>
      <c r="I848" s="94"/>
      <c r="J848" s="94"/>
      <c r="K848" s="94"/>
      <c r="L848" s="94"/>
      <c r="M848" s="94"/>
      <c r="N848" s="94"/>
      <c r="O848" s="94"/>
      <c r="P848" s="94"/>
      <c r="Q848" s="94"/>
      <c r="R848" s="94"/>
      <c r="S848" s="94"/>
      <c r="T848" s="94"/>
      <c r="U848" s="94"/>
      <c r="V848" s="94"/>
      <c r="W848" s="94"/>
      <c r="X848" s="94"/>
      <c r="Y848" s="94"/>
      <c r="Z848" s="94"/>
      <c r="AA848" s="94"/>
      <c r="AB848" s="94"/>
      <c r="AC848" s="94"/>
      <c r="AD848" s="94"/>
      <c r="AE848" s="94"/>
      <c r="AF848" s="94"/>
      <c r="AG848" s="94"/>
      <c r="AH848" s="94"/>
      <c r="AI848" s="94"/>
      <c r="AJ848" s="94"/>
      <c r="AK848" s="94"/>
      <c r="AL848" s="94"/>
      <c r="AM848" s="94"/>
      <c r="AN848" s="94"/>
      <c r="AO848" s="94"/>
      <c r="AP848" s="94"/>
      <c r="AQ848" s="94"/>
      <c r="AR848" s="94"/>
      <c r="AS848" s="94"/>
      <c r="AT848" s="94"/>
      <c r="AU848" s="94"/>
      <c r="AV848" s="94"/>
      <c r="AW848" s="94"/>
      <c r="AX848" s="94"/>
      <c r="AY848" s="94"/>
      <c r="AZ848" s="94"/>
      <c r="BA848" s="95"/>
    </row>
    <row r="849" spans="1:53" s="87" customFormat="1">
      <c r="A849" s="90" t="str">
        <f t="shared" si="39"/>
        <v/>
      </c>
      <c r="B849" s="98"/>
      <c r="C849" s="94"/>
      <c r="D849" s="94"/>
      <c r="E849" s="94"/>
      <c r="F849" s="94"/>
      <c r="G849" s="94"/>
      <c r="H849" s="94"/>
      <c r="I849" s="94"/>
      <c r="J849" s="94"/>
      <c r="K849" s="94"/>
      <c r="L849" s="94"/>
      <c r="M849" s="94"/>
      <c r="N849" s="94"/>
      <c r="O849" s="94"/>
      <c r="P849" s="94"/>
      <c r="Q849" s="94"/>
      <c r="R849" s="94"/>
      <c r="S849" s="94"/>
      <c r="T849" s="94"/>
      <c r="U849" s="94"/>
      <c r="V849" s="94"/>
      <c r="W849" s="94"/>
      <c r="X849" s="94"/>
      <c r="Y849" s="94"/>
      <c r="Z849" s="94"/>
      <c r="AA849" s="94"/>
      <c r="AB849" s="94"/>
      <c r="AC849" s="94"/>
      <c r="AD849" s="94"/>
      <c r="AE849" s="94"/>
      <c r="AF849" s="94"/>
      <c r="AG849" s="94"/>
      <c r="AH849" s="94"/>
      <c r="AI849" s="94"/>
      <c r="AJ849" s="94"/>
      <c r="AK849" s="94"/>
      <c r="AL849" s="94"/>
      <c r="AM849" s="94"/>
      <c r="AN849" s="94"/>
      <c r="AO849" s="94"/>
      <c r="AP849" s="94"/>
      <c r="AQ849" s="94"/>
      <c r="AR849" s="94"/>
      <c r="AS849" s="94"/>
      <c r="AT849" s="94"/>
      <c r="AU849" s="94"/>
      <c r="AV849" s="94"/>
      <c r="AW849" s="94"/>
      <c r="AX849" s="94"/>
      <c r="AY849" s="94"/>
      <c r="AZ849" s="94"/>
      <c r="BA849" s="95"/>
    </row>
    <row r="850" spans="1:53" s="87" customFormat="1">
      <c r="A850" s="90" t="str">
        <f t="shared" si="39"/>
        <v/>
      </c>
      <c r="B850" s="98"/>
      <c r="C850" s="94"/>
      <c r="D850" s="94"/>
      <c r="E850" s="94"/>
      <c r="F850" s="94"/>
      <c r="G850" s="94"/>
      <c r="H850" s="94"/>
      <c r="I850" s="94"/>
      <c r="J850" s="94"/>
      <c r="K850" s="94"/>
      <c r="L850" s="94"/>
      <c r="M850" s="94"/>
      <c r="N850" s="94"/>
      <c r="O850" s="94"/>
      <c r="P850" s="94"/>
      <c r="Q850" s="94"/>
      <c r="R850" s="94"/>
      <c r="S850" s="94"/>
      <c r="T850" s="94"/>
      <c r="U850" s="94"/>
      <c r="V850" s="94"/>
      <c r="W850" s="94"/>
      <c r="X850" s="94"/>
      <c r="Y850" s="94"/>
      <c r="Z850" s="94"/>
      <c r="AA850" s="94"/>
      <c r="AB850" s="94"/>
      <c r="AC850" s="94"/>
      <c r="AD850" s="94"/>
      <c r="AE850" s="94"/>
      <c r="AF850" s="94"/>
      <c r="AG850" s="94"/>
      <c r="AH850" s="94"/>
      <c r="AI850" s="94"/>
      <c r="AJ850" s="94"/>
      <c r="AK850" s="94"/>
      <c r="AL850" s="94"/>
      <c r="AM850" s="94"/>
      <c r="AN850" s="94"/>
      <c r="AO850" s="94"/>
      <c r="AP850" s="94"/>
      <c r="AQ850" s="94"/>
      <c r="AR850" s="94"/>
      <c r="AS850" s="94"/>
      <c r="AT850" s="94"/>
      <c r="AU850" s="94"/>
      <c r="AV850" s="94"/>
      <c r="AW850" s="94"/>
      <c r="AX850" s="94"/>
      <c r="AY850" s="94"/>
      <c r="AZ850" s="94"/>
      <c r="BA850" s="95"/>
    </row>
    <row r="851" spans="1:53" s="87" customFormat="1">
      <c r="A851" s="90" t="str">
        <f t="shared" si="39"/>
        <v/>
      </c>
      <c r="B851" s="98"/>
      <c r="C851" s="94"/>
      <c r="D851" s="94"/>
      <c r="E851" s="94"/>
      <c r="F851" s="94"/>
      <c r="G851" s="94"/>
      <c r="H851" s="94"/>
      <c r="I851" s="94"/>
      <c r="J851" s="94"/>
      <c r="K851" s="94"/>
      <c r="L851" s="94"/>
      <c r="M851" s="94"/>
      <c r="N851" s="94"/>
      <c r="O851" s="94"/>
      <c r="P851" s="94"/>
      <c r="Q851" s="94"/>
      <c r="R851" s="94"/>
      <c r="S851" s="94"/>
      <c r="T851" s="94"/>
      <c r="U851" s="94"/>
      <c r="V851" s="94"/>
      <c r="W851" s="94"/>
      <c r="X851" s="94"/>
      <c r="Y851" s="94"/>
      <c r="Z851" s="94"/>
      <c r="AA851" s="94"/>
      <c r="AB851" s="94"/>
      <c r="AC851" s="94"/>
      <c r="AD851" s="94"/>
      <c r="AE851" s="94"/>
      <c r="AF851" s="94"/>
      <c r="AG851" s="94"/>
      <c r="AH851" s="94"/>
      <c r="AI851" s="94"/>
      <c r="AJ851" s="94"/>
      <c r="AK851" s="94"/>
      <c r="AL851" s="94"/>
      <c r="AM851" s="94"/>
      <c r="AN851" s="94"/>
      <c r="AO851" s="94"/>
      <c r="AP851" s="94"/>
      <c r="AQ851" s="94"/>
      <c r="AR851" s="94"/>
      <c r="AS851" s="94"/>
      <c r="AT851" s="94"/>
      <c r="AU851" s="94"/>
      <c r="AV851" s="94"/>
      <c r="AW851" s="94"/>
      <c r="AX851" s="94"/>
      <c r="AY851" s="94"/>
      <c r="AZ851" s="94"/>
      <c r="BA851" s="95"/>
    </row>
    <row r="852" spans="1:53" s="87" customFormat="1">
      <c r="A852" s="90" t="str">
        <f t="shared" si="39"/>
        <v/>
      </c>
      <c r="B852" s="98"/>
      <c r="C852" s="94"/>
      <c r="D852" s="94"/>
      <c r="E852" s="94"/>
      <c r="F852" s="94"/>
      <c r="G852" s="94"/>
      <c r="H852" s="94"/>
      <c r="I852" s="94"/>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5"/>
    </row>
    <row r="853" spans="1:53" s="87" customFormat="1">
      <c r="A853" s="90" t="str">
        <f t="shared" si="39"/>
        <v/>
      </c>
      <c r="B853" s="98"/>
      <c r="C853" s="94"/>
      <c r="D853" s="94"/>
      <c r="E853" s="94"/>
      <c r="F853" s="94"/>
      <c r="G853" s="94"/>
      <c r="H853" s="94"/>
      <c r="I853" s="94"/>
      <c r="J853" s="94"/>
      <c r="K853" s="94"/>
      <c r="L853" s="94"/>
      <c r="M853" s="94"/>
      <c r="N853" s="94"/>
      <c r="O853" s="94"/>
      <c r="P853" s="94"/>
      <c r="Q853" s="94"/>
      <c r="R853" s="94"/>
      <c r="S853" s="94"/>
      <c r="T853" s="94"/>
      <c r="U853" s="94"/>
      <c r="V853" s="94"/>
      <c r="W853" s="94"/>
      <c r="X853" s="94"/>
      <c r="Y853" s="94"/>
      <c r="Z853" s="94"/>
      <c r="AA853" s="94"/>
      <c r="AB853" s="94"/>
      <c r="AC853" s="94"/>
      <c r="AD853" s="94"/>
      <c r="AE853" s="94"/>
      <c r="AF853" s="94"/>
      <c r="AG853" s="94"/>
      <c r="AH853" s="94"/>
      <c r="AI853" s="94"/>
      <c r="AJ853" s="94"/>
      <c r="AK853" s="94"/>
      <c r="AL853" s="94"/>
      <c r="AM853" s="94"/>
      <c r="AN853" s="94"/>
      <c r="AO853" s="94"/>
      <c r="AP853" s="94"/>
      <c r="AQ853" s="94"/>
      <c r="AR853" s="94"/>
      <c r="AS853" s="94"/>
      <c r="AT853" s="94"/>
      <c r="AU853" s="94"/>
      <c r="AV853" s="94"/>
      <c r="AW853" s="94"/>
      <c r="AX853" s="94"/>
      <c r="AY853" s="94"/>
      <c r="AZ853" s="94"/>
      <c r="BA853" s="95"/>
    </row>
    <row r="854" spans="1:53" s="87" customFormat="1">
      <c r="A854" s="90" t="str">
        <f t="shared" si="39"/>
        <v/>
      </c>
      <c r="B854" s="98"/>
      <c r="C854" s="94"/>
      <c r="D854" s="94"/>
      <c r="E854" s="94"/>
      <c r="F854" s="94"/>
      <c r="G854" s="94"/>
      <c r="H854" s="94"/>
      <c r="I854" s="94"/>
      <c r="J854" s="94"/>
      <c r="K854" s="94"/>
      <c r="L854" s="94"/>
      <c r="M854" s="94"/>
      <c r="N854" s="94"/>
      <c r="O854" s="94"/>
      <c r="P854" s="94"/>
      <c r="Q854" s="94"/>
      <c r="R854" s="94"/>
      <c r="S854" s="94"/>
      <c r="T854" s="94"/>
      <c r="U854" s="94"/>
      <c r="V854" s="94"/>
      <c r="W854" s="94"/>
      <c r="X854" s="94"/>
      <c r="Y854" s="94"/>
      <c r="Z854" s="94"/>
      <c r="AA854" s="94"/>
      <c r="AB854" s="94"/>
      <c r="AC854" s="94"/>
      <c r="AD854" s="94"/>
      <c r="AE854" s="94"/>
      <c r="AF854" s="94"/>
      <c r="AG854" s="94"/>
      <c r="AH854" s="94"/>
      <c r="AI854" s="94"/>
      <c r="AJ854" s="94"/>
      <c r="AK854" s="94"/>
      <c r="AL854" s="94"/>
      <c r="AM854" s="94"/>
      <c r="AN854" s="94"/>
      <c r="AO854" s="94"/>
      <c r="AP854" s="94"/>
      <c r="AQ854" s="94"/>
      <c r="AR854" s="94"/>
      <c r="AS854" s="94"/>
      <c r="AT854" s="94"/>
      <c r="AU854" s="94"/>
      <c r="AV854" s="94"/>
      <c r="AW854" s="94"/>
      <c r="AX854" s="94"/>
      <c r="AY854" s="94"/>
      <c r="AZ854" s="94"/>
      <c r="BA854" s="95"/>
    </row>
    <row r="855" spans="1:53" s="87" customFormat="1">
      <c r="A855" s="90" t="str">
        <f t="shared" si="39"/>
        <v/>
      </c>
      <c r="B855" s="98"/>
      <c r="C855" s="94"/>
      <c r="D855" s="94"/>
      <c r="E855" s="94"/>
      <c r="F855" s="94"/>
      <c r="G855" s="94"/>
      <c r="H855" s="94"/>
      <c r="I855" s="94"/>
      <c r="J855" s="94"/>
      <c r="K855" s="94"/>
      <c r="L855" s="94"/>
      <c r="M855" s="94"/>
      <c r="N855" s="94"/>
      <c r="O855" s="94"/>
      <c r="P855" s="94"/>
      <c r="Q855" s="94"/>
      <c r="R855" s="94"/>
      <c r="S855" s="94"/>
      <c r="T855" s="94"/>
      <c r="U855" s="94"/>
      <c r="V855" s="94"/>
      <c r="W855" s="94"/>
      <c r="X855" s="94"/>
      <c r="Y855" s="94"/>
      <c r="Z855" s="94"/>
      <c r="AA855" s="94"/>
      <c r="AB855" s="94"/>
      <c r="AC855" s="94"/>
      <c r="AD855" s="94"/>
      <c r="AE855" s="94"/>
      <c r="AF855" s="94"/>
      <c r="AG855" s="94"/>
      <c r="AH855" s="94"/>
      <c r="AI855" s="94"/>
      <c r="AJ855" s="94"/>
      <c r="AK855" s="94"/>
      <c r="AL855" s="94"/>
      <c r="AM855" s="94"/>
      <c r="AN855" s="94"/>
      <c r="AO855" s="94"/>
      <c r="AP855" s="94"/>
      <c r="AQ855" s="94"/>
      <c r="AR855" s="94"/>
      <c r="AS855" s="94"/>
      <c r="AT855" s="94"/>
      <c r="AU855" s="94"/>
      <c r="AV855" s="94"/>
      <c r="AW855" s="94"/>
      <c r="AX855" s="94"/>
      <c r="AY855" s="94"/>
      <c r="AZ855" s="94"/>
      <c r="BA855" s="95"/>
    </row>
    <row r="856" spans="1:53" s="87" customFormat="1">
      <c r="A856" s="90" t="str">
        <f t="shared" si="39"/>
        <v/>
      </c>
      <c r="B856" s="98"/>
      <c r="C856" s="94"/>
      <c r="D856" s="94"/>
      <c r="E856" s="94"/>
      <c r="F856" s="94"/>
      <c r="G856" s="94"/>
      <c r="H856" s="94"/>
      <c r="I856" s="94"/>
      <c r="J856" s="94"/>
      <c r="K856" s="94"/>
      <c r="L856" s="94"/>
      <c r="M856" s="94"/>
      <c r="N856" s="94"/>
      <c r="O856" s="94"/>
      <c r="P856" s="94"/>
      <c r="Q856" s="94"/>
      <c r="R856" s="94"/>
      <c r="S856" s="94"/>
      <c r="T856" s="94"/>
      <c r="U856" s="94"/>
      <c r="V856" s="94"/>
      <c r="W856" s="94"/>
      <c r="X856" s="94"/>
      <c r="Y856" s="94"/>
      <c r="Z856" s="94"/>
      <c r="AA856" s="94"/>
      <c r="AB856" s="94"/>
      <c r="AC856" s="94"/>
      <c r="AD856" s="94"/>
      <c r="AE856" s="94"/>
      <c r="AF856" s="94"/>
      <c r="AG856" s="94"/>
      <c r="AH856" s="94"/>
      <c r="AI856" s="94"/>
      <c r="AJ856" s="94"/>
      <c r="AK856" s="94"/>
      <c r="AL856" s="94"/>
      <c r="AM856" s="94"/>
      <c r="AN856" s="94"/>
      <c r="AO856" s="94"/>
      <c r="AP856" s="94"/>
      <c r="AQ856" s="94"/>
      <c r="AR856" s="94"/>
      <c r="AS856" s="94"/>
      <c r="AT856" s="94"/>
      <c r="AU856" s="94"/>
      <c r="AV856" s="94"/>
      <c r="AW856" s="94"/>
      <c r="AX856" s="94"/>
      <c r="AY856" s="94"/>
      <c r="AZ856" s="94"/>
      <c r="BA856" s="95"/>
    </row>
    <row r="857" spans="1:53" s="87" customFormat="1">
      <c r="A857" s="90" t="str">
        <f t="shared" si="39"/>
        <v/>
      </c>
      <c r="B857" s="98"/>
      <c r="C857" s="94"/>
      <c r="D857" s="94"/>
      <c r="E857" s="94"/>
      <c r="F857" s="94"/>
      <c r="G857" s="94"/>
      <c r="H857" s="94"/>
      <c r="I857" s="94"/>
      <c r="J857" s="94"/>
      <c r="K857" s="94"/>
      <c r="L857" s="94"/>
      <c r="M857" s="94"/>
      <c r="N857" s="94"/>
      <c r="O857" s="94"/>
      <c r="P857" s="94"/>
      <c r="Q857" s="94"/>
      <c r="R857" s="94"/>
      <c r="S857" s="94"/>
      <c r="T857" s="94"/>
      <c r="U857" s="94"/>
      <c r="V857" s="94"/>
      <c r="W857" s="94"/>
      <c r="X857" s="94"/>
      <c r="Y857" s="94"/>
      <c r="Z857" s="94"/>
      <c r="AA857" s="94"/>
      <c r="AB857" s="94"/>
      <c r="AC857" s="94"/>
      <c r="AD857" s="94"/>
      <c r="AE857" s="94"/>
      <c r="AF857" s="94"/>
      <c r="AG857" s="94"/>
      <c r="AH857" s="94"/>
      <c r="AI857" s="94"/>
      <c r="AJ857" s="94"/>
      <c r="AK857" s="94"/>
      <c r="AL857" s="94"/>
      <c r="AM857" s="94"/>
      <c r="AN857" s="94"/>
      <c r="AO857" s="94"/>
      <c r="AP857" s="94"/>
      <c r="AQ857" s="94"/>
      <c r="AR857" s="94"/>
      <c r="AS857" s="94"/>
      <c r="AT857" s="94"/>
      <c r="AU857" s="94"/>
      <c r="AV857" s="94"/>
      <c r="AW857" s="94"/>
      <c r="AX857" s="94"/>
      <c r="AY857" s="94"/>
      <c r="AZ857" s="94"/>
      <c r="BA857" s="95"/>
    </row>
    <row r="858" spans="1:53" s="87" customFormat="1">
      <c r="A858" s="90" t="str">
        <f t="shared" si="39"/>
        <v/>
      </c>
      <c r="B858" s="98"/>
      <c r="C858" s="94"/>
      <c r="D858" s="94"/>
      <c r="E858" s="94"/>
      <c r="F858" s="94"/>
      <c r="G858" s="94"/>
      <c r="H858" s="94"/>
      <c r="I858" s="94"/>
      <c r="J858" s="94"/>
      <c r="K858" s="94"/>
      <c r="L858" s="94"/>
      <c r="M858" s="94"/>
      <c r="N858" s="94"/>
      <c r="O858" s="94"/>
      <c r="P858" s="94"/>
      <c r="Q858" s="94"/>
      <c r="R858" s="94"/>
      <c r="S858" s="94"/>
      <c r="T858" s="94"/>
      <c r="U858" s="94"/>
      <c r="V858" s="94"/>
      <c r="W858" s="94"/>
      <c r="X858" s="94"/>
      <c r="Y858" s="94"/>
      <c r="Z858" s="94"/>
      <c r="AA858" s="94"/>
      <c r="AB858" s="94"/>
      <c r="AC858" s="94"/>
      <c r="AD858" s="94"/>
      <c r="AE858" s="94"/>
      <c r="AF858" s="94"/>
      <c r="AG858" s="94"/>
      <c r="AH858" s="94"/>
      <c r="AI858" s="94"/>
      <c r="AJ858" s="94"/>
      <c r="AK858" s="94"/>
      <c r="AL858" s="94"/>
      <c r="AM858" s="94"/>
      <c r="AN858" s="94"/>
      <c r="AO858" s="94"/>
      <c r="AP858" s="94"/>
      <c r="AQ858" s="94"/>
      <c r="AR858" s="94"/>
      <c r="AS858" s="94"/>
      <c r="AT858" s="94"/>
      <c r="AU858" s="94"/>
      <c r="AV858" s="94"/>
      <c r="AW858" s="94"/>
      <c r="AX858" s="94"/>
      <c r="AY858" s="94"/>
      <c r="AZ858" s="94"/>
      <c r="BA858" s="95"/>
    </row>
    <row r="859" spans="1:53" s="87" customFormat="1">
      <c r="A859" s="90" t="str">
        <f t="shared" si="39"/>
        <v/>
      </c>
      <c r="B859" s="98"/>
      <c r="C859" s="94"/>
      <c r="D859" s="94"/>
      <c r="E859" s="94"/>
      <c r="F859" s="94"/>
      <c r="G859" s="94"/>
      <c r="H859" s="94"/>
      <c r="I859" s="94"/>
      <c r="J859" s="94"/>
      <c r="K859" s="94"/>
      <c r="L859" s="94"/>
      <c r="M859" s="94"/>
      <c r="N859" s="94"/>
      <c r="O859" s="94"/>
      <c r="P859" s="94"/>
      <c r="Q859" s="94"/>
      <c r="R859" s="94"/>
      <c r="S859" s="94"/>
      <c r="T859" s="94"/>
      <c r="U859" s="94"/>
      <c r="V859" s="94"/>
      <c r="W859" s="94"/>
      <c r="X859" s="94"/>
      <c r="Y859" s="94"/>
      <c r="Z859" s="94"/>
      <c r="AA859" s="94"/>
      <c r="AB859" s="94"/>
      <c r="AC859" s="94"/>
      <c r="AD859" s="94"/>
      <c r="AE859" s="94"/>
      <c r="AF859" s="94"/>
      <c r="AG859" s="94"/>
      <c r="AH859" s="94"/>
      <c r="AI859" s="94"/>
      <c r="AJ859" s="94"/>
      <c r="AK859" s="94"/>
      <c r="AL859" s="94"/>
      <c r="AM859" s="94"/>
      <c r="AN859" s="94"/>
      <c r="AO859" s="94"/>
      <c r="AP859" s="94"/>
      <c r="AQ859" s="94"/>
      <c r="AR859" s="94"/>
      <c r="AS859" s="94"/>
      <c r="AT859" s="94"/>
      <c r="AU859" s="94"/>
      <c r="AV859" s="94"/>
      <c r="AW859" s="94"/>
      <c r="AX859" s="94"/>
      <c r="AY859" s="94"/>
      <c r="AZ859" s="94"/>
      <c r="BA859" s="95"/>
    </row>
    <row r="860" spans="1:53" s="87" customFormat="1">
      <c r="A860" s="90" t="str">
        <f t="shared" si="39"/>
        <v/>
      </c>
      <c r="B860" s="98"/>
      <c r="C860" s="94"/>
      <c r="D860" s="94"/>
      <c r="E860" s="94"/>
      <c r="F860" s="94"/>
      <c r="G860" s="94"/>
      <c r="H860" s="94"/>
      <c r="I860" s="94"/>
      <c r="J860" s="94"/>
      <c r="K860" s="94"/>
      <c r="L860" s="94"/>
      <c r="M860" s="94"/>
      <c r="N860" s="94"/>
      <c r="O860" s="94"/>
      <c r="P860" s="94"/>
      <c r="Q860" s="94"/>
      <c r="R860" s="94"/>
      <c r="S860" s="94"/>
      <c r="T860" s="94"/>
      <c r="U860" s="94"/>
      <c r="V860" s="94"/>
      <c r="W860" s="94"/>
      <c r="X860" s="94"/>
      <c r="Y860" s="94"/>
      <c r="Z860" s="94"/>
      <c r="AA860" s="94"/>
      <c r="AB860" s="94"/>
      <c r="AC860" s="94"/>
      <c r="AD860" s="94"/>
      <c r="AE860" s="94"/>
      <c r="AF860" s="94"/>
      <c r="AG860" s="94"/>
      <c r="AH860" s="94"/>
      <c r="AI860" s="94"/>
      <c r="AJ860" s="94"/>
      <c r="AK860" s="94"/>
      <c r="AL860" s="94"/>
      <c r="AM860" s="94"/>
      <c r="AN860" s="94"/>
      <c r="AO860" s="94"/>
      <c r="AP860" s="94"/>
      <c r="AQ860" s="94"/>
      <c r="AR860" s="94"/>
      <c r="AS860" s="94"/>
      <c r="AT860" s="94"/>
      <c r="AU860" s="94"/>
      <c r="AV860" s="94"/>
      <c r="AW860" s="94"/>
      <c r="AX860" s="94"/>
      <c r="AY860" s="94"/>
      <c r="AZ860" s="94"/>
      <c r="BA860" s="95"/>
    </row>
    <row r="861" spans="1:53" s="87" customFormat="1">
      <c r="A861" s="90" t="str">
        <f t="shared" si="39"/>
        <v/>
      </c>
      <c r="B861" s="98"/>
      <c r="C861" s="94"/>
      <c r="D861" s="94"/>
      <c r="E861" s="94"/>
      <c r="F861" s="94"/>
      <c r="G861" s="94"/>
      <c r="H861" s="94"/>
      <c r="I861" s="94"/>
      <c r="J861" s="94"/>
      <c r="K861" s="94"/>
      <c r="L861" s="94"/>
      <c r="M861" s="94"/>
      <c r="N861" s="94"/>
      <c r="O861" s="94"/>
      <c r="P861" s="94"/>
      <c r="Q861" s="94"/>
      <c r="R861" s="94"/>
      <c r="S861" s="94"/>
      <c r="T861" s="94"/>
      <c r="U861" s="94"/>
      <c r="V861" s="94"/>
      <c r="W861" s="94"/>
      <c r="X861" s="94"/>
      <c r="Y861" s="94"/>
      <c r="Z861" s="94"/>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c r="AW861" s="94"/>
      <c r="AX861" s="94"/>
      <c r="AY861" s="94"/>
      <c r="AZ861" s="94"/>
      <c r="BA861" s="95"/>
    </row>
    <row r="862" spans="1:53" s="87" customFormat="1">
      <c r="A862" s="90" t="str">
        <f t="shared" si="39"/>
        <v/>
      </c>
      <c r="B862" s="98"/>
      <c r="C862" s="94"/>
      <c r="D862" s="94"/>
      <c r="E862" s="94"/>
      <c r="F862" s="94"/>
      <c r="G862" s="94"/>
      <c r="H862" s="94"/>
      <c r="I862" s="94"/>
      <c r="J862" s="94"/>
      <c r="K862" s="94"/>
      <c r="L862" s="94"/>
      <c r="M862" s="94"/>
      <c r="N862" s="94"/>
      <c r="O862" s="94"/>
      <c r="P862" s="94"/>
      <c r="Q862" s="94"/>
      <c r="R862" s="94"/>
      <c r="S862" s="94"/>
      <c r="T862" s="94"/>
      <c r="U862" s="94"/>
      <c r="V862" s="94"/>
      <c r="W862" s="94"/>
      <c r="X862" s="94"/>
      <c r="Y862" s="94"/>
      <c r="Z862" s="94"/>
      <c r="AA862" s="94"/>
      <c r="AB862" s="94"/>
      <c r="AC862" s="94"/>
      <c r="AD862" s="94"/>
      <c r="AE862" s="94"/>
      <c r="AF862" s="94"/>
      <c r="AG862" s="94"/>
      <c r="AH862" s="94"/>
      <c r="AI862" s="94"/>
      <c r="AJ862" s="94"/>
      <c r="AK862" s="94"/>
      <c r="AL862" s="94"/>
      <c r="AM862" s="94"/>
      <c r="AN862" s="94"/>
      <c r="AO862" s="94"/>
      <c r="AP862" s="94"/>
      <c r="AQ862" s="94"/>
      <c r="AR862" s="94"/>
      <c r="AS862" s="94"/>
      <c r="AT862" s="94"/>
      <c r="AU862" s="94"/>
      <c r="AV862" s="94"/>
      <c r="AW862" s="94"/>
      <c r="AX862" s="94"/>
      <c r="AY862" s="94"/>
      <c r="AZ862" s="94"/>
      <c r="BA862" s="95"/>
    </row>
    <row r="863" spans="1:53" s="87" customFormat="1">
      <c r="A863" s="90" t="str">
        <f t="shared" si="39"/>
        <v/>
      </c>
      <c r="B863" s="98"/>
      <c r="C863" s="94"/>
      <c r="D863" s="94"/>
      <c r="E863" s="94"/>
      <c r="F863" s="94"/>
      <c r="G863" s="94"/>
      <c r="H863" s="94"/>
      <c r="I863" s="94"/>
      <c r="J863" s="94"/>
      <c r="K863" s="94"/>
      <c r="L863" s="94"/>
      <c r="M863" s="94"/>
      <c r="N863" s="94"/>
      <c r="O863" s="94"/>
      <c r="P863" s="94"/>
      <c r="Q863" s="94"/>
      <c r="R863" s="94"/>
      <c r="S863" s="94"/>
      <c r="T863" s="94"/>
      <c r="U863" s="94"/>
      <c r="V863" s="94"/>
      <c r="W863" s="94"/>
      <c r="X863" s="94"/>
      <c r="Y863" s="94"/>
      <c r="Z863" s="94"/>
      <c r="AA863" s="94"/>
      <c r="AB863" s="94"/>
      <c r="AC863" s="94"/>
      <c r="AD863" s="94"/>
      <c r="AE863" s="94"/>
      <c r="AF863" s="94"/>
      <c r="AG863" s="94"/>
      <c r="AH863" s="94"/>
      <c r="AI863" s="94"/>
      <c r="AJ863" s="94"/>
      <c r="AK863" s="94"/>
      <c r="AL863" s="94"/>
      <c r="AM863" s="94"/>
      <c r="AN863" s="94"/>
      <c r="AO863" s="94"/>
      <c r="AP863" s="94"/>
      <c r="AQ863" s="94"/>
      <c r="AR863" s="94"/>
      <c r="AS863" s="94"/>
      <c r="AT863" s="94"/>
      <c r="AU863" s="94"/>
      <c r="AV863" s="94"/>
      <c r="AW863" s="94"/>
      <c r="AX863" s="94"/>
      <c r="AY863" s="94"/>
      <c r="AZ863" s="94"/>
      <c r="BA863" s="95"/>
    </row>
    <row r="864" spans="1:53" s="87" customFormat="1">
      <c r="A864" s="90" t="str">
        <f t="shared" si="39"/>
        <v/>
      </c>
      <c r="B864" s="98"/>
      <c r="C864" s="94"/>
      <c r="D864" s="94"/>
      <c r="E864" s="94"/>
      <c r="F864" s="94"/>
      <c r="G864" s="94"/>
      <c r="H864" s="94"/>
      <c r="I864" s="94"/>
      <c r="J864" s="94"/>
      <c r="K864" s="94"/>
      <c r="L864" s="94"/>
      <c r="M864" s="94"/>
      <c r="N864" s="94"/>
      <c r="O864" s="94"/>
      <c r="P864" s="94"/>
      <c r="Q864" s="94"/>
      <c r="R864" s="94"/>
      <c r="S864" s="94"/>
      <c r="T864" s="94"/>
      <c r="U864" s="94"/>
      <c r="V864" s="94"/>
      <c r="W864" s="94"/>
      <c r="X864" s="94"/>
      <c r="Y864" s="94"/>
      <c r="Z864" s="94"/>
      <c r="AA864" s="94"/>
      <c r="AB864" s="94"/>
      <c r="AC864" s="94"/>
      <c r="AD864" s="94"/>
      <c r="AE864" s="94"/>
      <c r="AF864" s="94"/>
      <c r="AG864" s="94"/>
      <c r="AH864" s="94"/>
      <c r="AI864" s="94"/>
      <c r="AJ864" s="94"/>
      <c r="AK864" s="94"/>
      <c r="AL864" s="94"/>
      <c r="AM864" s="94"/>
      <c r="AN864" s="94"/>
      <c r="AO864" s="94"/>
      <c r="AP864" s="94"/>
      <c r="AQ864" s="94"/>
      <c r="AR864" s="94"/>
      <c r="AS864" s="94"/>
      <c r="AT864" s="94"/>
      <c r="AU864" s="94"/>
      <c r="AV864" s="94"/>
      <c r="AW864" s="94"/>
      <c r="AX864" s="94"/>
      <c r="AY864" s="94"/>
      <c r="AZ864" s="94"/>
      <c r="BA864" s="95"/>
    </row>
    <row r="865" spans="1:53" s="87" customFormat="1">
      <c r="A865" s="90" t="str">
        <f t="shared" si="39"/>
        <v/>
      </c>
      <c r="B865" s="98"/>
      <c r="C865" s="94"/>
      <c r="D865" s="94"/>
      <c r="E865" s="94"/>
      <c r="F865" s="94"/>
      <c r="G865" s="94"/>
      <c r="H865" s="94"/>
      <c r="I865" s="94"/>
      <c r="J865" s="94"/>
      <c r="K865" s="94"/>
      <c r="L865" s="94"/>
      <c r="M865" s="94"/>
      <c r="N865" s="94"/>
      <c r="O865" s="94"/>
      <c r="P865" s="94"/>
      <c r="Q865" s="94"/>
      <c r="R865" s="94"/>
      <c r="S865" s="94"/>
      <c r="T865" s="94"/>
      <c r="U865" s="94"/>
      <c r="V865" s="94"/>
      <c r="W865" s="94"/>
      <c r="X865" s="94"/>
      <c r="Y865" s="94"/>
      <c r="Z865" s="94"/>
      <c r="AA865" s="94"/>
      <c r="AB865" s="94"/>
      <c r="AC865" s="94"/>
      <c r="AD865" s="94"/>
      <c r="AE865" s="94"/>
      <c r="AF865" s="94"/>
      <c r="AG865" s="94"/>
      <c r="AH865" s="94"/>
      <c r="AI865" s="94"/>
      <c r="AJ865" s="94"/>
      <c r="AK865" s="94"/>
      <c r="AL865" s="94"/>
      <c r="AM865" s="94"/>
      <c r="AN865" s="94"/>
      <c r="AO865" s="94"/>
      <c r="AP865" s="94"/>
      <c r="AQ865" s="94"/>
      <c r="AR865" s="94"/>
      <c r="AS865" s="94"/>
      <c r="AT865" s="94"/>
      <c r="AU865" s="94"/>
      <c r="AV865" s="94"/>
      <c r="AW865" s="94"/>
      <c r="AX865" s="94"/>
      <c r="AY865" s="94"/>
      <c r="AZ865" s="94"/>
      <c r="BA865" s="95"/>
    </row>
    <row r="866" spans="1:53" s="87" customFormat="1">
      <c r="A866" s="90" t="str">
        <f t="shared" si="39"/>
        <v/>
      </c>
      <c r="B866" s="98"/>
      <c r="C866" s="94"/>
      <c r="D866" s="94"/>
      <c r="E866" s="94"/>
      <c r="F866" s="94"/>
      <c r="G866" s="94"/>
      <c r="H866" s="94"/>
      <c r="I866" s="94"/>
      <c r="J866" s="94"/>
      <c r="K866" s="94"/>
      <c r="L866" s="94"/>
      <c r="M866" s="94"/>
      <c r="N866" s="94"/>
      <c r="O866" s="94"/>
      <c r="P866" s="94"/>
      <c r="Q866" s="94"/>
      <c r="R866" s="94"/>
      <c r="S866" s="94"/>
      <c r="T866" s="94"/>
      <c r="U866" s="94"/>
      <c r="V866" s="94"/>
      <c r="W866" s="94"/>
      <c r="X866" s="94"/>
      <c r="Y866" s="94"/>
      <c r="Z866" s="94"/>
      <c r="AA866" s="94"/>
      <c r="AB866" s="94"/>
      <c r="AC866" s="94"/>
      <c r="AD866" s="94"/>
      <c r="AE866" s="94"/>
      <c r="AF866" s="94"/>
      <c r="AG866" s="94"/>
      <c r="AH866" s="94"/>
      <c r="AI866" s="94"/>
      <c r="AJ866" s="94"/>
      <c r="AK866" s="94"/>
      <c r="AL866" s="94"/>
      <c r="AM866" s="94"/>
      <c r="AN866" s="94"/>
      <c r="AO866" s="94"/>
      <c r="AP866" s="94"/>
      <c r="AQ866" s="94"/>
      <c r="AR866" s="94"/>
      <c r="AS866" s="94"/>
      <c r="AT866" s="94"/>
      <c r="AU866" s="94"/>
      <c r="AV866" s="94"/>
      <c r="AW866" s="94"/>
      <c r="AX866" s="94"/>
      <c r="AY866" s="94"/>
      <c r="AZ866" s="94"/>
      <c r="BA866" s="95"/>
    </row>
    <row r="867" spans="1:53" s="87" customFormat="1">
      <c r="A867" s="90" t="str">
        <f t="shared" si="39"/>
        <v/>
      </c>
      <c r="B867" s="98"/>
      <c r="C867" s="94"/>
      <c r="D867" s="94"/>
      <c r="E867" s="94"/>
      <c r="F867" s="94"/>
      <c r="G867" s="94"/>
      <c r="H867" s="94"/>
      <c r="I867" s="94"/>
      <c r="J867" s="94"/>
      <c r="K867" s="94"/>
      <c r="L867" s="94"/>
      <c r="M867" s="94"/>
      <c r="N867" s="94"/>
      <c r="O867" s="94"/>
      <c r="P867" s="94"/>
      <c r="Q867" s="94"/>
      <c r="R867" s="94"/>
      <c r="S867" s="94"/>
      <c r="T867" s="94"/>
      <c r="U867" s="94"/>
      <c r="V867" s="94"/>
      <c r="W867" s="94"/>
      <c r="X867" s="94"/>
      <c r="Y867" s="94"/>
      <c r="Z867" s="94"/>
      <c r="AA867" s="94"/>
      <c r="AB867" s="94"/>
      <c r="AC867" s="94"/>
      <c r="AD867" s="94"/>
      <c r="AE867" s="94"/>
      <c r="AF867" s="94"/>
      <c r="AG867" s="94"/>
      <c r="AH867" s="94"/>
      <c r="AI867" s="94"/>
      <c r="AJ867" s="94"/>
      <c r="AK867" s="94"/>
      <c r="AL867" s="94"/>
      <c r="AM867" s="94"/>
      <c r="AN867" s="94"/>
      <c r="AO867" s="94"/>
      <c r="AP867" s="94"/>
      <c r="AQ867" s="94"/>
      <c r="AR867" s="94"/>
      <c r="AS867" s="94"/>
      <c r="AT867" s="94"/>
      <c r="AU867" s="94"/>
      <c r="AV867" s="94"/>
      <c r="AW867" s="94"/>
      <c r="AX867" s="94"/>
      <c r="AY867" s="94"/>
      <c r="AZ867" s="94"/>
      <c r="BA867" s="95"/>
    </row>
    <row r="868" spans="1:53" s="87" customFormat="1">
      <c r="A868" s="90" t="str">
        <f t="shared" si="39"/>
        <v/>
      </c>
      <c r="B868" s="98"/>
      <c r="C868" s="94"/>
      <c r="D868" s="94"/>
      <c r="E868" s="94"/>
      <c r="F868" s="94"/>
      <c r="G868" s="94"/>
      <c r="H868" s="94"/>
      <c r="I868" s="94"/>
      <c r="J868" s="94"/>
      <c r="K868" s="94"/>
      <c r="L868" s="94"/>
      <c r="M868" s="94"/>
      <c r="N868" s="94"/>
      <c r="O868" s="94"/>
      <c r="P868" s="94"/>
      <c r="Q868" s="94"/>
      <c r="R868" s="94"/>
      <c r="S868" s="94"/>
      <c r="T868" s="94"/>
      <c r="U868" s="94"/>
      <c r="V868" s="94"/>
      <c r="W868" s="94"/>
      <c r="X868" s="94"/>
      <c r="Y868" s="94"/>
      <c r="Z868" s="94"/>
      <c r="AA868" s="94"/>
      <c r="AB868" s="94"/>
      <c r="AC868" s="94"/>
      <c r="AD868" s="94"/>
      <c r="AE868" s="94"/>
      <c r="AF868" s="94"/>
      <c r="AG868" s="94"/>
      <c r="AH868" s="94"/>
      <c r="AI868" s="94"/>
      <c r="AJ868" s="94"/>
      <c r="AK868" s="94"/>
      <c r="AL868" s="94"/>
      <c r="AM868" s="94"/>
      <c r="AN868" s="94"/>
      <c r="AO868" s="94"/>
      <c r="AP868" s="94"/>
      <c r="AQ868" s="94"/>
      <c r="AR868" s="94"/>
      <c r="AS868" s="94"/>
      <c r="AT868" s="94"/>
      <c r="AU868" s="94"/>
      <c r="AV868" s="94"/>
      <c r="AW868" s="94"/>
      <c r="AX868" s="94"/>
      <c r="AY868" s="94"/>
      <c r="AZ868" s="94"/>
      <c r="BA868" s="95"/>
    </row>
    <row r="869" spans="1:53" s="87" customFormat="1">
      <c r="A869" s="90" t="str">
        <f t="shared" si="39"/>
        <v/>
      </c>
      <c r="B869" s="98"/>
      <c r="C869" s="94"/>
      <c r="D869" s="94"/>
      <c r="E869" s="94"/>
      <c r="F869" s="94"/>
      <c r="G869" s="94"/>
      <c r="H869" s="94"/>
      <c r="I869" s="94"/>
      <c r="J869" s="94"/>
      <c r="K869" s="94"/>
      <c r="L869" s="94"/>
      <c r="M869" s="94"/>
      <c r="N869" s="94"/>
      <c r="O869" s="94"/>
      <c r="P869" s="94"/>
      <c r="Q869" s="94"/>
      <c r="R869" s="94"/>
      <c r="S869" s="94"/>
      <c r="T869" s="94"/>
      <c r="U869" s="94"/>
      <c r="V869" s="94"/>
      <c r="W869" s="94"/>
      <c r="X869" s="94"/>
      <c r="Y869" s="94"/>
      <c r="Z869" s="94"/>
      <c r="AA869" s="94"/>
      <c r="AB869" s="94"/>
      <c r="AC869" s="94"/>
      <c r="AD869" s="94"/>
      <c r="AE869" s="94"/>
      <c r="AF869" s="94"/>
      <c r="AG869" s="94"/>
      <c r="AH869" s="94"/>
      <c r="AI869" s="94"/>
      <c r="AJ869" s="94"/>
      <c r="AK869" s="94"/>
      <c r="AL869" s="94"/>
      <c r="AM869" s="94"/>
      <c r="AN869" s="94"/>
      <c r="AO869" s="94"/>
      <c r="AP869" s="94"/>
      <c r="AQ869" s="94"/>
      <c r="AR869" s="94"/>
      <c r="AS869" s="94"/>
      <c r="AT869" s="94"/>
      <c r="AU869" s="94"/>
      <c r="AV869" s="94"/>
      <c r="AW869" s="94"/>
      <c r="AX869" s="94"/>
      <c r="AY869" s="94"/>
      <c r="AZ869" s="94"/>
      <c r="BA869" s="95"/>
    </row>
    <row r="870" spans="1:53" s="87" customFormat="1">
      <c r="A870" s="90" t="str">
        <f t="shared" si="39"/>
        <v/>
      </c>
      <c r="B870" s="98"/>
      <c r="C870" s="94"/>
      <c r="D870" s="94"/>
      <c r="E870" s="94"/>
      <c r="F870" s="94"/>
      <c r="G870" s="94"/>
      <c r="H870" s="94"/>
      <c r="I870" s="94"/>
      <c r="J870" s="94"/>
      <c r="K870" s="94"/>
      <c r="L870" s="94"/>
      <c r="M870" s="94"/>
      <c r="N870" s="94"/>
      <c r="O870" s="94"/>
      <c r="P870" s="94"/>
      <c r="Q870" s="94"/>
      <c r="R870" s="94"/>
      <c r="S870" s="94"/>
      <c r="T870" s="94"/>
      <c r="U870" s="94"/>
      <c r="V870" s="94"/>
      <c r="W870" s="94"/>
      <c r="X870" s="94"/>
      <c r="Y870" s="94"/>
      <c r="Z870" s="94"/>
      <c r="AA870" s="94"/>
      <c r="AB870" s="94"/>
      <c r="AC870" s="94"/>
      <c r="AD870" s="94"/>
      <c r="AE870" s="94"/>
      <c r="AF870" s="94"/>
      <c r="AG870" s="94"/>
      <c r="AH870" s="94"/>
      <c r="AI870" s="94"/>
      <c r="AJ870" s="94"/>
      <c r="AK870" s="94"/>
      <c r="AL870" s="94"/>
      <c r="AM870" s="94"/>
      <c r="AN870" s="94"/>
      <c r="AO870" s="94"/>
      <c r="AP870" s="94"/>
      <c r="AQ870" s="94"/>
      <c r="AR870" s="94"/>
      <c r="AS870" s="94"/>
      <c r="AT870" s="94"/>
      <c r="AU870" s="94"/>
      <c r="AV870" s="94"/>
      <c r="AW870" s="94"/>
      <c r="AX870" s="94"/>
      <c r="AY870" s="94"/>
      <c r="AZ870" s="94"/>
      <c r="BA870" s="95"/>
    </row>
    <row r="871" spans="1:53" s="87" customFormat="1">
      <c r="A871" s="90" t="str">
        <f t="shared" si="39"/>
        <v/>
      </c>
      <c r="B871" s="98"/>
      <c r="C871" s="94"/>
      <c r="D871" s="94"/>
      <c r="E871" s="94"/>
      <c r="F871" s="94"/>
      <c r="G871" s="94"/>
      <c r="H871" s="94"/>
      <c r="I871" s="94"/>
      <c r="J871" s="94"/>
      <c r="K871" s="94"/>
      <c r="L871" s="94"/>
      <c r="M871" s="94"/>
      <c r="N871" s="94"/>
      <c r="O871" s="94"/>
      <c r="P871" s="94"/>
      <c r="Q871" s="94"/>
      <c r="R871" s="94"/>
      <c r="S871" s="94"/>
      <c r="T871" s="94"/>
      <c r="U871" s="94"/>
      <c r="V871" s="94"/>
      <c r="W871" s="94"/>
      <c r="X871" s="94"/>
      <c r="Y871" s="94"/>
      <c r="Z871" s="94"/>
      <c r="AA871" s="94"/>
      <c r="AB871" s="94"/>
      <c r="AC871" s="94"/>
      <c r="AD871" s="94"/>
      <c r="AE871" s="94"/>
      <c r="AF871" s="94"/>
      <c r="AG871" s="94"/>
      <c r="AH871" s="94"/>
      <c r="AI871" s="94"/>
      <c r="AJ871" s="94"/>
      <c r="AK871" s="94"/>
      <c r="AL871" s="94"/>
      <c r="AM871" s="94"/>
      <c r="AN871" s="94"/>
      <c r="AO871" s="94"/>
      <c r="AP871" s="94"/>
      <c r="AQ871" s="94"/>
      <c r="AR871" s="94"/>
      <c r="AS871" s="94"/>
      <c r="AT871" s="94"/>
      <c r="AU871" s="94"/>
      <c r="AV871" s="94"/>
      <c r="AW871" s="94"/>
      <c r="AX871" s="94"/>
      <c r="AY871" s="94"/>
      <c r="AZ871" s="94"/>
      <c r="BA871" s="95"/>
    </row>
    <row r="872" spans="1:53" s="87" customFormat="1">
      <c r="A872" s="90" t="str">
        <f t="shared" si="39"/>
        <v/>
      </c>
      <c r="B872" s="98"/>
      <c r="C872" s="94"/>
      <c r="D872" s="94"/>
      <c r="E872" s="94"/>
      <c r="F872" s="94"/>
      <c r="G872" s="94"/>
      <c r="H872" s="94"/>
      <c r="I872" s="94"/>
      <c r="J872" s="94"/>
      <c r="K872" s="94"/>
      <c r="L872" s="94"/>
      <c r="M872" s="94"/>
      <c r="N872" s="94"/>
      <c r="O872" s="94"/>
      <c r="P872" s="94"/>
      <c r="Q872" s="94"/>
      <c r="R872" s="94"/>
      <c r="S872" s="94"/>
      <c r="T872" s="94"/>
      <c r="U872" s="94"/>
      <c r="V872" s="94"/>
      <c r="W872" s="94"/>
      <c r="X872" s="94"/>
      <c r="Y872" s="94"/>
      <c r="Z872" s="94"/>
      <c r="AA872" s="94"/>
      <c r="AB872" s="94"/>
      <c r="AC872" s="94"/>
      <c r="AD872" s="94"/>
      <c r="AE872" s="94"/>
      <c r="AF872" s="94"/>
      <c r="AG872" s="94"/>
      <c r="AH872" s="94"/>
      <c r="AI872" s="94"/>
      <c r="AJ872" s="94"/>
      <c r="AK872" s="94"/>
      <c r="AL872" s="94"/>
      <c r="AM872" s="94"/>
      <c r="AN872" s="94"/>
      <c r="AO872" s="94"/>
      <c r="AP872" s="94"/>
      <c r="AQ872" s="94"/>
      <c r="AR872" s="94"/>
      <c r="AS872" s="94"/>
      <c r="AT872" s="94"/>
      <c r="AU872" s="94"/>
      <c r="AV872" s="94"/>
      <c r="AW872" s="94"/>
      <c r="AX872" s="94"/>
      <c r="AY872" s="94"/>
      <c r="AZ872" s="94"/>
      <c r="BA872" s="95"/>
    </row>
    <row r="873" spans="1:53" s="87" customFormat="1">
      <c r="A873" s="90" t="str">
        <f t="shared" si="39"/>
        <v/>
      </c>
      <c r="B873" s="98"/>
      <c r="C873" s="94"/>
      <c r="D873" s="94"/>
      <c r="E873" s="94"/>
      <c r="F873" s="94"/>
      <c r="G873" s="94"/>
      <c r="H873" s="94"/>
      <c r="I873" s="94"/>
      <c r="J873" s="94"/>
      <c r="K873" s="94"/>
      <c r="L873" s="94"/>
      <c r="M873" s="94"/>
      <c r="N873" s="94"/>
      <c r="O873" s="94"/>
      <c r="P873" s="94"/>
      <c r="Q873" s="94"/>
      <c r="R873" s="94"/>
      <c r="S873" s="94"/>
      <c r="T873" s="94"/>
      <c r="U873" s="94"/>
      <c r="V873" s="94"/>
      <c r="W873" s="94"/>
      <c r="X873" s="94"/>
      <c r="Y873" s="94"/>
      <c r="Z873" s="94"/>
      <c r="AA873" s="94"/>
      <c r="AB873" s="94"/>
      <c r="AC873" s="94"/>
      <c r="AD873" s="94"/>
      <c r="AE873" s="94"/>
      <c r="AF873" s="94"/>
      <c r="AG873" s="94"/>
      <c r="AH873" s="94"/>
      <c r="AI873" s="94"/>
      <c r="AJ873" s="94"/>
      <c r="AK873" s="94"/>
      <c r="AL873" s="94"/>
      <c r="AM873" s="94"/>
      <c r="AN873" s="94"/>
      <c r="AO873" s="94"/>
      <c r="AP873" s="94"/>
      <c r="AQ873" s="94"/>
      <c r="AR873" s="94"/>
      <c r="AS873" s="94"/>
      <c r="AT873" s="94"/>
      <c r="AU873" s="94"/>
      <c r="AV873" s="94"/>
      <c r="AW873" s="94"/>
      <c r="AX873" s="94"/>
      <c r="AY873" s="94"/>
      <c r="AZ873" s="94"/>
      <c r="BA873" s="95"/>
    </row>
    <row r="874" spans="1:53" s="87" customFormat="1">
      <c r="A874" s="90" t="str">
        <f t="shared" si="39"/>
        <v/>
      </c>
      <c r="B874" s="98"/>
      <c r="C874" s="94"/>
      <c r="D874" s="94"/>
      <c r="E874" s="94"/>
      <c r="F874" s="94"/>
      <c r="G874" s="94"/>
      <c r="H874" s="94"/>
      <c r="I874" s="94"/>
      <c r="J874" s="94"/>
      <c r="K874" s="94"/>
      <c r="L874" s="94"/>
      <c r="M874" s="94"/>
      <c r="N874" s="94"/>
      <c r="O874" s="94"/>
      <c r="P874" s="94"/>
      <c r="Q874" s="94"/>
      <c r="R874" s="94"/>
      <c r="S874" s="94"/>
      <c r="T874" s="94"/>
      <c r="U874" s="94"/>
      <c r="V874" s="94"/>
      <c r="W874" s="94"/>
      <c r="X874" s="94"/>
      <c r="Y874" s="94"/>
      <c r="Z874" s="94"/>
      <c r="AA874" s="94"/>
      <c r="AB874" s="94"/>
      <c r="AC874" s="94"/>
      <c r="AD874" s="94"/>
      <c r="AE874" s="94"/>
      <c r="AF874" s="94"/>
      <c r="AG874" s="94"/>
      <c r="AH874" s="94"/>
      <c r="AI874" s="94"/>
      <c r="AJ874" s="94"/>
      <c r="AK874" s="94"/>
      <c r="AL874" s="94"/>
      <c r="AM874" s="94"/>
      <c r="AN874" s="94"/>
      <c r="AO874" s="94"/>
      <c r="AP874" s="94"/>
      <c r="AQ874" s="94"/>
      <c r="AR874" s="94"/>
      <c r="AS874" s="94"/>
      <c r="AT874" s="94"/>
      <c r="AU874" s="94"/>
      <c r="AV874" s="94"/>
      <c r="AW874" s="94"/>
      <c r="AX874" s="94"/>
      <c r="AY874" s="94"/>
      <c r="AZ874" s="94"/>
      <c r="BA874" s="95"/>
    </row>
    <row r="875" spans="1:53" s="87" customFormat="1">
      <c r="A875" s="90" t="str">
        <f t="shared" si="39"/>
        <v/>
      </c>
      <c r="B875" s="98"/>
      <c r="C875" s="94"/>
      <c r="D875" s="94"/>
      <c r="E875" s="94"/>
      <c r="F875" s="94"/>
      <c r="G875" s="94"/>
      <c r="H875" s="94"/>
      <c r="I875" s="94"/>
      <c r="J875" s="94"/>
      <c r="K875" s="94"/>
      <c r="L875" s="94"/>
      <c r="M875" s="94"/>
      <c r="N875" s="94"/>
      <c r="O875" s="94"/>
      <c r="P875" s="94"/>
      <c r="Q875" s="94"/>
      <c r="R875" s="94"/>
      <c r="S875" s="94"/>
      <c r="T875" s="94"/>
      <c r="U875" s="94"/>
      <c r="V875" s="94"/>
      <c r="W875" s="94"/>
      <c r="X875" s="94"/>
      <c r="Y875" s="94"/>
      <c r="Z875" s="94"/>
      <c r="AA875" s="94"/>
      <c r="AB875" s="94"/>
      <c r="AC875" s="94"/>
      <c r="AD875" s="94"/>
      <c r="AE875" s="94"/>
      <c r="AF875" s="94"/>
      <c r="AG875" s="94"/>
      <c r="AH875" s="94"/>
      <c r="AI875" s="94"/>
      <c r="AJ875" s="94"/>
      <c r="AK875" s="94"/>
      <c r="AL875" s="94"/>
      <c r="AM875" s="94"/>
      <c r="AN875" s="94"/>
      <c r="AO875" s="94"/>
      <c r="AP875" s="94"/>
      <c r="AQ875" s="94"/>
      <c r="AR875" s="94"/>
      <c r="AS875" s="94"/>
      <c r="AT875" s="94"/>
      <c r="AU875" s="94"/>
      <c r="AV875" s="94"/>
      <c r="AW875" s="94"/>
      <c r="AX875" s="94"/>
      <c r="AY875" s="94"/>
      <c r="AZ875" s="94"/>
      <c r="BA875" s="95"/>
    </row>
    <row r="876" spans="1:53" s="87" customFormat="1">
      <c r="A876" s="90" t="str">
        <f t="shared" si="39"/>
        <v/>
      </c>
      <c r="B876" s="98"/>
      <c r="C876" s="94"/>
      <c r="D876" s="94"/>
      <c r="E876" s="94"/>
      <c r="F876" s="94"/>
      <c r="G876" s="94"/>
      <c r="H876" s="94"/>
      <c r="I876" s="94"/>
      <c r="J876" s="94"/>
      <c r="K876" s="94"/>
      <c r="L876" s="94"/>
      <c r="M876" s="94"/>
      <c r="N876" s="94"/>
      <c r="O876" s="94"/>
      <c r="P876" s="94"/>
      <c r="Q876" s="94"/>
      <c r="R876" s="94"/>
      <c r="S876" s="94"/>
      <c r="T876" s="94"/>
      <c r="U876" s="94"/>
      <c r="V876" s="94"/>
      <c r="W876" s="94"/>
      <c r="X876" s="94"/>
      <c r="Y876" s="94"/>
      <c r="Z876" s="94"/>
      <c r="AA876" s="94"/>
      <c r="AB876" s="94"/>
      <c r="AC876" s="94"/>
      <c r="AD876" s="94"/>
      <c r="AE876" s="94"/>
      <c r="AF876" s="94"/>
      <c r="AG876" s="94"/>
      <c r="AH876" s="94"/>
      <c r="AI876" s="94"/>
      <c r="AJ876" s="94"/>
      <c r="AK876" s="94"/>
      <c r="AL876" s="94"/>
      <c r="AM876" s="94"/>
      <c r="AN876" s="94"/>
      <c r="AO876" s="94"/>
      <c r="AP876" s="94"/>
      <c r="AQ876" s="94"/>
      <c r="AR876" s="94"/>
      <c r="AS876" s="94"/>
      <c r="AT876" s="94"/>
      <c r="AU876" s="94"/>
      <c r="AV876" s="94"/>
      <c r="AW876" s="94"/>
      <c r="AX876" s="94"/>
      <c r="AY876" s="94"/>
      <c r="AZ876" s="94"/>
      <c r="BA876" s="95"/>
    </row>
    <row r="877" spans="1:53" s="87" customFormat="1">
      <c r="A877" s="90" t="str">
        <f t="shared" si="39"/>
        <v/>
      </c>
      <c r="B877" s="98"/>
      <c r="C877" s="94"/>
      <c r="D877" s="94"/>
      <c r="E877" s="94"/>
      <c r="F877" s="94"/>
      <c r="G877" s="94"/>
      <c r="H877" s="94"/>
      <c r="I877" s="94"/>
      <c r="J877" s="94"/>
      <c r="K877" s="94"/>
      <c r="L877" s="94"/>
      <c r="M877" s="94"/>
      <c r="N877" s="94"/>
      <c r="O877" s="94"/>
      <c r="P877" s="94"/>
      <c r="Q877" s="94"/>
      <c r="R877" s="94"/>
      <c r="S877" s="94"/>
      <c r="T877" s="94"/>
      <c r="U877" s="94"/>
      <c r="V877" s="94"/>
      <c r="W877" s="94"/>
      <c r="X877" s="94"/>
      <c r="Y877" s="94"/>
      <c r="Z877" s="94"/>
      <c r="AA877" s="94"/>
      <c r="AB877" s="94"/>
      <c r="AC877" s="94"/>
      <c r="AD877" s="94"/>
      <c r="AE877" s="94"/>
      <c r="AF877" s="94"/>
      <c r="AG877" s="94"/>
      <c r="AH877" s="94"/>
      <c r="AI877" s="94"/>
      <c r="AJ877" s="94"/>
      <c r="AK877" s="94"/>
      <c r="AL877" s="94"/>
      <c r="AM877" s="94"/>
      <c r="AN877" s="94"/>
      <c r="AO877" s="94"/>
      <c r="AP877" s="94"/>
      <c r="AQ877" s="94"/>
      <c r="AR877" s="94"/>
      <c r="AS877" s="94"/>
      <c r="AT877" s="94"/>
      <c r="AU877" s="94"/>
      <c r="AV877" s="94"/>
      <c r="AW877" s="94"/>
      <c r="AX877" s="94"/>
      <c r="AY877" s="94"/>
      <c r="AZ877" s="94"/>
      <c r="BA877" s="95"/>
    </row>
    <row r="878" spans="1:53" s="87" customFormat="1">
      <c r="A878" s="90" t="str">
        <f t="shared" si="39"/>
        <v/>
      </c>
      <c r="B878" s="98"/>
      <c r="C878" s="94"/>
      <c r="D878" s="94"/>
      <c r="E878" s="94"/>
      <c r="F878" s="94"/>
      <c r="G878" s="94"/>
      <c r="H878" s="94"/>
      <c r="I878" s="94"/>
      <c r="J878" s="94"/>
      <c r="K878" s="94"/>
      <c r="L878" s="94"/>
      <c r="M878" s="94"/>
      <c r="N878" s="94"/>
      <c r="O878" s="94"/>
      <c r="P878" s="94"/>
      <c r="Q878" s="94"/>
      <c r="R878" s="94"/>
      <c r="S878" s="94"/>
      <c r="T878" s="94"/>
      <c r="U878" s="94"/>
      <c r="V878" s="94"/>
      <c r="W878" s="94"/>
      <c r="X878" s="94"/>
      <c r="Y878" s="94"/>
      <c r="Z878" s="94"/>
      <c r="AA878" s="94"/>
      <c r="AB878" s="94"/>
      <c r="AC878" s="94"/>
      <c r="AD878" s="94"/>
      <c r="AE878" s="94"/>
      <c r="AF878" s="94"/>
      <c r="AG878" s="94"/>
      <c r="AH878" s="94"/>
      <c r="AI878" s="94"/>
      <c r="AJ878" s="94"/>
      <c r="AK878" s="94"/>
      <c r="AL878" s="94"/>
      <c r="AM878" s="94"/>
      <c r="AN878" s="94"/>
      <c r="AO878" s="94"/>
      <c r="AP878" s="94"/>
      <c r="AQ878" s="94"/>
      <c r="AR878" s="94"/>
      <c r="AS878" s="94"/>
      <c r="AT878" s="94"/>
      <c r="AU878" s="94"/>
      <c r="AV878" s="94"/>
      <c r="AW878" s="94"/>
      <c r="AX878" s="94"/>
      <c r="AY878" s="94"/>
      <c r="AZ878" s="94"/>
      <c r="BA878" s="95"/>
    </row>
    <row r="879" spans="1:53" s="87" customFormat="1">
      <c r="A879" s="90" t="str">
        <f t="shared" si="39"/>
        <v/>
      </c>
      <c r="B879" s="98"/>
      <c r="C879" s="94"/>
      <c r="D879" s="94"/>
      <c r="E879" s="94"/>
      <c r="F879" s="94"/>
      <c r="G879" s="94"/>
      <c r="H879" s="94"/>
      <c r="I879" s="94"/>
      <c r="J879" s="94"/>
      <c r="K879" s="94"/>
      <c r="L879" s="94"/>
      <c r="M879" s="94"/>
      <c r="N879" s="94"/>
      <c r="O879" s="94"/>
      <c r="P879" s="94"/>
      <c r="Q879" s="94"/>
      <c r="R879" s="94"/>
      <c r="S879" s="94"/>
      <c r="T879" s="94"/>
      <c r="U879" s="94"/>
      <c r="V879" s="94"/>
      <c r="W879" s="94"/>
      <c r="X879" s="94"/>
      <c r="Y879" s="94"/>
      <c r="Z879" s="94"/>
      <c r="AA879" s="94"/>
      <c r="AB879" s="94"/>
      <c r="AC879" s="94"/>
      <c r="AD879" s="94"/>
      <c r="AE879" s="94"/>
      <c r="AF879" s="94"/>
      <c r="AG879" s="94"/>
      <c r="AH879" s="94"/>
      <c r="AI879" s="94"/>
      <c r="AJ879" s="94"/>
      <c r="AK879" s="94"/>
      <c r="AL879" s="94"/>
      <c r="AM879" s="94"/>
      <c r="AN879" s="94"/>
      <c r="AO879" s="94"/>
      <c r="AP879" s="94"/>
      <c r="AQ879" s="94"/>
      <c r="AR879" s="94"/>
      <c r="AS879" s="94"/>
      <c r="AT879" s="94"/>
      <c r="AU879" s="94"/>
      <c r="AV879" s="94"/>
      <c r="AW879" s="94"/>
      <c r="AX879" s="94"/>
      <c r="AY879" s="94"/>
      <c r="AZ879" s="94"/>
      <c r="BA879" s="95"/>
    </row>
    <row r="880" spans="1:53" s="87" customFormat="1">
      <c r="A880" s="90" t="str">
        <f t="shared" si="39"/>
        <v/>
      </c>
      <c r="B880" s="98"/>
      <c r="C880" s="94"/>
      <c r="D880" s="94"/>
      <c r="E880" s="94"/>
      <c r="F880" s="94"/>
      <c r="G880" s="94"/>
      <c r="H880" s="94"/>
      <c r="I880" s="94"/>
      <c r="J880" s="94"/>
      <c r="K880" s="94"/>
      <c r="L880" s="94"/>
      <c r="M880" s="94"/>
      <c r="N880" s="94"/>
      <c r="O880" s="94"/>
      <c r="P880" s="94"/>
      <c r="Q880" s="94"/>
      <c r="R880" s="94"/>
      <c r="S880" s="94"/>
      <c r="T880" s="94"/>
      <c r="U880" s="94"/>
      <c r="V880" s="94"/>
      <c r="W880" s="94"/>
      <c r="X880" s="94"/>
      <c r="Y880" s="94"/>
      <c r="Z880" s="94"/>
      <c r="AA880" s="94"/>
      <c r="AB880" s="94"/>
      <c r="AC880" s="94"/>
      <c r="AD880" s="94"/>
      <c r="AE880" s="94"/>
      <c r="AF880" s="94"/>
      <c r="AG880" s="94"/>
      <c r="AH880" s="94"/>
      <c r="AI880" s="94"/>
      <c r="AJ880" s="94"/>
      <c r="AK880" s="94"/>
      <c r="AL880" s="94"/>
      <c r="AM880" s="94"/>
      <c r="AN880" s="94"/>
      <c r="AO880" s="94"/>
      <c r="AP880" s="94"/>
      <c r="AQ880" s="94"/>
      <c r="AR880" s="94"/>
      <c r="AS880" s="94"/>
      <c r="AT880" s="94"/>
      <c r="AU880" s="94"/>
      <c r="AV880" s="94"/>
      <c r="AW880" s="94"/>
      <c r="AX880" s="94"/>
      <c r="AY880" s="94"/>
      <c r="AZ880" s="94"/>
      <c r="BA880" s="95"/>
    </row>
    <row r="881" spans="1:53" s="87" customFormat="1">
      <c r="A881" s="90" t="str">
        <f t="shared" si="39"/>
        <v/>
      </c>
      <c r="B881" s="98"/>
      <c r="C881" s="94"/>
      <c r="D881" s="94"/>
      <c r="E881" s="94"/>
      <c r="F881" s="94"/>
      <c r="G881" s="94"/>
      <c r="H881" s="94"/>
      <c r="I881" s="94"/>
      <c r="J881" s="94"/>
      <c r="K881" s="94"/>
      <c r="L881" s="94"/>
      <c r="M881" s="94"/>
      <c r="N881" s="94"/>
      <c r="O881" s="94"/>
      <c r="P881" s="94"/>
      <c r="Q881" s="94"/>
      <c r="R881" s="94"/>
      <c r="S881" s="94"/>
      <c r="T881" s="94"/>
      <c r="U881" s="94"/>
      <c r="V881" s="94"/>
      <c r="W881" s="94"/>
      <c r="X881" s="94"/>
      <c r="Y881" s="94"/>
      <c r="Z881" s="94"/>
      <c r="AA881" s="94"/>
      <c r="AB881" s="94"/>
      <c r="AC881" s="94"/>
      <c r="AD881" s="94"/>
      <c r="AE881" s="94"/>
      <c r="AF881" s="94"/>
      <c r="AG881" s="94"/>
      <c r="AH881" s="94"/>
      <c r="AI881" s="94"/>
      <c r="AJ881" s="94"/>
      <c r="AK881" s="94"/>
      <c r="AL881" s="94"/>
      <c r="AM881" s="94"/>
      <c r="AN881" s="94"/>
      <c r="AO881" s="94"/>
      <c r="AP881" s="94"/>
      <c r="AQ881" s="94"/>
      <c r="AR881" s="94"/>
      <c r="AS881" s="94"/>
      <c r="AT881" s="94"/>
      <c r="AU881" s="94"/>
      <c r="AV881" s="94"/>
      <c r="AW881" s="94"/>
      <c r="AX881" s="94"/>
      <c r="AY881" s="94"/>
      <c r="AZ881" s="94"/>
      <c r="BA881" s="95"/>
    </row>
    <row r="882" spans="1:53" s="87" customFormat="1">
      <c r="A882" s="90" t="str">
        <f t="shared" si="39"/>
        <v/>
      </c>
      <c r="B882" s="98"/>
      <c r="C882" s="94"/>
      <c r="D882" s="94"/>
      <c r="E882" s="94"/>
      <c r="F882" s="94"/>
      <c r="G882" s="94"/>
      <c r="H882" s="94"/>
      <c r="I882" s="94"/>
      <c r="J882" s="94"/>
      <c r="K882" s="94"/>
      <c r="L882" s="94"/>
      <c r="M882" s="94"/>
      <c r="N882" s="94"/>
      <c r="O882" s="94"/>
      <c r="P882" s="94"/>
      <c r="Q882" s="94"/>
      <c r="R882" s="94"/>
      <c r="S882" s="94"/>
      <c r="T882" s="94"/>
      <c r="U882" s="94"/>
      <c r="V882" s="94"/>
      <c r="W882" s="94"/>
      <c r="X882" s="94"/>
      <c r="Y882" s="94"/>
      <c r="Z882" s="94"/>
      <c r="AA882" s="94"/>
      <c r="AB882" s="94"/>
      <c r="AC882" s="94"/>
      <c r="AD882" s="94"/>
      <c r="AE882" s="94"/>
      <c r="AF882" s="94"/>
      <c r="AG882" s="94"/>
      <c r="AH882" s="94"/>
      <c r="AI882" s="94"/>
      <c r="AJ882" s="94"/>
      <c r="AK882" s="94"/>
      <c r="AL882" s="94"/>
      <c r="AM882" s="94"/>
      <c r="AN882" s="94"/>
      <c r="AO882" s="94"/>
      <c r="AP882" s="94"/>
      <c r="AQ882" s="94"/>
      <c r="AR882" s="94"/>
      <c r="AS882" s="94"/>
      <c r="AT882" s="94"/>
      <c r="AU882" s="94"/>
      <c r="AV882" s="94"/>
      <c r="AW882" s="94"/>
      <c r="AX882" s="94"/>
      <c r="AY882" s="94"/>
      <c r="AZ882" s="94"/>
      <c r="BA882" s="95"/>
    </row>
    <row r="883" spans="1:53" s="87" customFormat="1">
      <c r="A883" s="90" t="str">
        <f t="shared" si="39"/>
        <v/>
      </c>
      <c r="B883" s="98"/>
      <c r="C883" s="94"/>
      <c r="D883" s="94"/>
      <c r="E883" s="94"/>
      <c r="F883" s="94"/>
      <c r="G883" s="94"/>
      <c r="H883" s="94"/>
      <c r="I883" s="94"/>
      <c r="J883" s="94"/>
      <c r="K883" s="94"/>
      <c r="L883" s="94"/>
      <c r="M883" s="94"/>
      <c r="N883" s="94"/>
      <c r="O883" s="94"/>
      <c r="P883" s="94"/>
      <c r="Q883" s="94"/>
      <c r="R883" s="94"/>
      <c r="S883" s="94"/>
      <c r="T883" s="94"/>
      <c r="U883" s="94"/>
      <c r="V883" s="94"/>
      <c r="W883" s="94"/>
      <c r="X883" s="94"/>
      <c r="Y883" s="94"/>
      <c r="Z883" s="94"/>
      <c r="AA883" s="94"/>
      <c r="AB883" s="94"/>
      <c r="AC883" s="94"/>
      <c r="AD883" s="94"/>
      <c r="AE883" s="94"/>
      <c r="AF883" s="94"/>
      <c r="AG883" s="94"/>
      <c r="AH883" s="94"/>
      <c r="AI883" s="94"/>
      <c r="AJ883" s="94"/>
      <c r="AK883" s="94"/>
      <c r="AL883" s="94"/>
      <c r="AM883" s="94"/>
      <c r="AN883" s="94"/>
      <c r="AO883" s="94"/>
      <c r="AP883" s="94"/>
      <c r="AQ883" s="94"/>
      <c r="AR883" s="94"/>
      <c r="AS883" s="94"/>
      <c r="AT883" s="94"/>
      <c r="AU883" s="94"/>
      <c r="AV883" s="94"/>
      <c r="AW883" s="94"/>
      <c r="AX883" s="94"/>
      <c r="AY883" s="94"/>
      <c r="AZ883" s="94"/>
      <c r="BA883" s="95"/>
    </row>
    <row r="884" spans="1:53" s="87" customFormat="1">
      <c r="A884" s="90" t="str">
        <f t="shared" si="39"/>
        <v/>
      </c>
      <c r="B884" s="98"/>
      <c r="C884" s="94"/>
      <c r="D884" s="94"/>
      <c r="E884" s="94"/>
      <c r="F884" s="94"/>
      <c r="G884" s="94"/>
      <c r="H884" s="94"/>
      <c r="I884" s="94"/>
      <c r="J884" s="94"/>
      <c r="K884" s="94"/>
      <c r="L884" s="94"/>
      <c r="M884" s="94"/>
      <c r="N884" s="94"/>
      <c r="O884" s="94"/>
      <c r="P884" s="94"/>
      <c r="Q884" s="94"/>
      <c r="R884" s="94"/>
      <c r="S884" s="94"/>
      <c r="T884" s="94"/>
      <c r="U884" s="94"/>
      <c r="V884" s="94"/>
      <c r="W884" s="94"/>
      <c r="X884" s="94"/>
      <c r="Y884" s="94"/>
      <c r="Z884" s="94"/>
      <c r="AA884" s="94"/>
      <c r="AB884" s="94"/>
      <c r="AC884" s="94"/>
      <c r="AD884" s="94"/>
      <c r="AE884" s="94"/>
      <c r="AF884" s="94"/>
      <c r="AG884" s="94"/>
      <c r="AH884" s="94"/>
      <c r="AI884" s="94"/>
      <c r="AJ884" s="94"/>
      <c r="AK884" s="94"/>
      <c r="AL884" s="94"/>
      <c r="AM884" s="94"/>
      <c r="AN884" s="94"/>
      <c r="AO884" s="94"/>
      <c r="AP884" s="94"/>
      <c r="AQ884" s="94"/>
      <c r="AR884" s="94"/>
      <c r="AS884" s="94"/>
      <c r="AT884" s="94"/>
      <c r="AU884" s="94"/>
      <c r="AV884" s="94"/>
      <c r="AW884" s="94"/>
      <c r="AX884" s="94"/>
      <c r="AY884" s="94"/>
      <c r="AZ884" s="94"/>
      <c r="BA884" s="95"/>
    </row>
    <row r="885" spans="1:53" s="87" customFormat="1">
      <c r="A885" s="90" t="str">
        <f t="shared" si="39"/>
        <v/>
      </c>
      <c r="B885" s="98"/>
      <c r="C885" s="94"/>
      <c r="D885" s="94"/>
      <c r="E885" s="94"/>
      <c r="F885" s="94"/>
      <c r="G885" s="94"/>
      <c r="H885" s="94"/>
      <c r="I885" s="94"/>
      <c r="J885" s="94"/>
      <c r="K885" s="94"/>
      <c r="L885" s="94"/>
      <c r="M885" s="94"/>
      <c r="N885" s="94"/>
      <c r="O885" s="94"/>
      <c r="P885" s="94"/>
      <c r="Q885" s="94"/>
      <c r="R885" s="94"/>
      <c r="S885" s="94"/>
      <c r="T885" s="94"/>
      <c r="U885" s="94"/>
      <c r="V885" s="94"/>
      <c r="W885" s="94"/>
      <c r="X885" s="94"/>
      <c r="Y885" s="94"/>
      <c r="Z885" s="94"/>
      <c r="AA885" s="94"/>
      <c r="AB885" s="94"/>
      <c r="AC885" s="94"/>
      <c r="AD885" s="94"/>
      <c r="AE885" s="94"/>
      <c r="AF885" s="94"/>
      <c r="AG885" s="94"/>
      <c r="AH885" s="94"/>
      <c r="AI885" s="94"/>
      <c r="AJ885" s="94"/>
      <c r="AK885" s="94"/>
      <c r="AL885" s="94"/>
      <c r="AM885" s="94"/>
      <c r="AN885" s="94"/>
      <c r="AO885" s="94"/>
      <c r="AP885" s="94"/>
      <c r="AQ885" s="94"/>
      <c r="AR885" s="94"/>
      <c r="AS885" s="94"/>
      <c r="AT885" s="94"/>
      <c r="AU885" s="94"/>
      <c r="AV885" s="94"/>
      <c r="AW885" s="94"/>
      <c r="AX885" s="94"/>
      <c r="AY885" s="94"/>
      <c r="AZ885" s="94"/>
      <c r="BA885" s="95"/>
    </row>
    <row r="886" spans="1:53" s="87" customFormat="1">
      <c r="A886" s="90" t="str">
        <f t="shared" si="39"/>
        <v/>
      </c>
      <c r="B886" s="98"/>
      <c r="C886" s="94"/>
      <c r="D886" s="94"/>
      <c r="E886" s="94"/>
      <c r="F886" s="94"/>
      <c r="G886" s="94"/>
      <c r="H886" s="94"/>
      <c r="I886" s="94"/>
      <c r="J886" s="94"/>
      <c r="K886" s="94"/>
      <c r="L886" s="94"/>
      <c r="M886" s="94"/>
      <c r="N886" s="94"/>
      <c r="O886" s="94"/>
      <c r="P886" s="94"/>
      <c r="Q886" s="94"/>
      <c r="R886" s="94"/>
      <c r="S886" s="94"/>
      <c r="T886" s="94"/>
      <c r="U886" s="94"/>
      <c r="V886" s="94"/>
      <c r="W886" s="94"/>
      <c r="X886" s="94"/>
      <c r="Y886" s="94"/>
      <c r="Z886" s="94"/>
      <c r="AA886" s="94"/>
      <c r="AB886" s="94"/>
      <c r="AC886" s="94"/>
      <c r="AD886" s="94"/>
      <c r="AE886" s="94"/>
      <c r="AF886" s="94"/>
      <c r="AG886" s="94"/>
      <c r="AH886" s="94"/>
      <c r="AI886" s="94"/>
      <c r="AJ886" s="94"/>
      <c r="AK886" s="94"/>
      <c r="AL886" s="94"/>
      <c r="AM886" s="94"/>
      <c r="AN886" s="94"/>
      <c r="AO886" s="94"/>
      <c r="AP886" s="94"/>
      <c r="AQ886" s="94"/>
      <c r="AR886" s="94"/>
      <c r="AS886" s="94"/>
      <c r="AT886" s="94"/>
      <c r="AU886" s="94"/>
      <c r="AV886" s="94"/>
      <c r="AW886" s="94"/>
      <c r="AX886" s="94"/>
      <c r="AY886" s="94"/>
      <c r="AZ886" s="94"/>
      <c r="BA886" s="95"/>
    </row>
    <row r="887" spans="1:53" s="87" customFormat="1">
      <c r="A887" s="90" t="str">
        <f t="shared" si="39"/>
        <v/>
      </c>
      <c r="B887" s="98"/>
      <c r="C887" s="94"/>
      <c r="D887" s="94"/>
      <c r="E887" s="94"/>
      <c r="F887" s="94"/>
      <c r="G887" s="94"/>
      <c r="H887" s="94"/>
      <c r="I887" s="94"/>
      <c r="J887" s="94"/>
      <c r="K887" s="94"/>
      <c r="L887" s="94"/>
      <c r="M887" s="94"/>
      <c r="N887" s="94"/>
      <c r="O887" s="94"/>
      <c r="P887" s="94"/>
      <c r="Q887" s="94"/>
      <c r="R887" s="94"/>
      <c r="S887" s="94"/>
      <c r="T887" s="94"/>
      <c r="U887" s="94"/>
      <c r="V887" s="94"/>
      <c r="W887" s="94"/>
      <c r="X887" s="94"/>
      <c r="Y887" s="94"/>
      <c r="Z887" s="94"/>
      <c r="AA887" s="94"/>
      <c r="AB887" s="94"/>
      <c r="AC887" s="94"/>
      <c r="AD887" s="94"/>
      <c r="AE887" s="94"/>
      <c r="AF887" s="94"/>
      <c r="AG887" s="94"/>
      <c r="AH887" s="94"/>
      <c r="AI887" s="94"/>
      <c r="AJ887" s="94"/>
      <c r="AK887" s="94"/>
      <c r="AL887" s="94"/>
      <c r="AM887" s="94"/>
      <c r="AN887" s="94"/>
      <c r="AO887" s="94"/>
      <c r="AP887" s="94"/>
      <c r="AQ887" s="94"/>
      <c r="AR887" s="94"/>
      <c r="AS887" s="94"/>
      <c r="AT887" s="94"/>
      <c r="AU887" s="94"/>
      <c r="AV887" s="94"/>
      <c r="AW887" s="94"/>
      <c r="AX887" s="94"/>
      <c r="AY887" s="94"/>
      <c r="AZ887" s="94"/>
      <c r="BA887" s="95"/>
    </row>
    <row r="888" spans="1:53" s="87" customFormat="1">
      <c r="A888" s="90" t="str">
        <f t="shared" si="39"/>
        <v/>
      </c>
      <c r="B888" s="98"/>
      <c r="C888" s="94"/>
      <c r="D888" s="94"/>
      <c r="E888" s="94"/>
      <c r="F888" s="94"/>
      <c r="G888" s="94"/>
      <c r="H888" s="94"/>
      <c r="I888" s="94"/>
      <c r="J888" s="94"/>
      <c r="K888" s="94"/>
      <c r="L888" s="94"/>
      <c r="M888" s="94"/>
      <c r="N888" s="94"/>
      <c r="O888" s="94"/>
      <c r="P888" s="94"/>
      <c r="Q888" s="94"/>
      <c r="R888" s="94"/>
      <c r="S888" s="94"/>
      <c r="T888" s="94"/>
      <c r="U888" s="94"/>
      <c r="V888" s="94"/>
      <c r="W888" s="94"/>
      <c r="X888" s="94"/>
      <c r="Y888" s="94"/>
      <c r="Z888" s="94"/>
      <c r="AA888" s="94"/>
      <c r="AB888" s="94"/>
      <c r="AC888" s="94"/>
      <c r="AD888" s="94"/>
      <c r="AE888" s="94"/>
      <c r="AF888" s="94"/>
      <c r="AG888" s="94"/>
      <c r="AH888" s="94"/>
      <c r="AI888" s="94"/>
      <c r="AJ888" s="94"/>
      <c r="AK888" s="94"/>
      <c r="AL888" s="94"/>
      <c r="AM888" s="94"/>
      <c r="AN888" s="94"/>
      <c r="AO888" s="94"/>
      <c r="AP888" s="94"/>
      <c r="AQ888" s="94"/>
      <c r="AR888" s="94"/>
      <c r="AS888" s="94"/>
      <c r="AT888" s="94"/>
      <c r="AU888" s="94"/>
      <c r="AV888" s="94"/>
      <c r="AW888" s="94"/>
      <c r="AX888" s="94"/>
      <c r="AY888" s="94"/>
      <c r="AZ888" s="94"/>
      <c r="BA888" s="95"/>
    </row>
    <row r="889" spans="1:53" s="87" customFormat="1">
      <c r="A889" s="90" t="str">
        <f t="shared" si="39"/>
        <v/>
      </c>
      <c r="B889" s="98"/>
      <c r="C889" s="94"/>
      <c r="D889" s="94"/>
      <c r="E889" s="94"/>
      <c r="F889" s="94"/>
      <c r="G889" s="94"/>
      <c r="H889" s="94"/>
      <c r="I889" s="94"/>
      <c r="J889" s="94"/>
      <c r="K889" s="94"/>
      <c r="L889" s="94"/>
      <c r="M889" s="94"/>
      <c r="N889" s="94"/>
      <c r="O889" s="94"/>
      <c r="P889" s="94"/>
      <c r="Q889" s="94"/>
      <c r="R889" s="94"/>
      <c r="S889" s="94"/>
      <c r="T889" s="94"/>
      <c r="U889" s="94"/>
      <c r="V889" s="94"/>
      <c r="W889" s="94"/>
      <c r="X889" s="94"/>
      <c r="Y889" s="94"/>
      <c r="Z889" s="94"/>
      <c r="AA889" s="94"/>
      <c r="AB889" s="94"/>
      <c r="AC889" s="94"/>
      <c r="AD889" s="94"/>
      <c r="AE889" s="94"/>
      <c r="AF889" s="94"/>
      <c r="AG889" s="94"/>
      <c r="AH889" s="94"/>
      <c r="AI889" s="94"/>
      <c r="AJ889" s="94"/>
      <c r="AK889" s="94"/>
      <c r="AL889" s="94"/>
      <c r="AM889" s="94"/>
      <c r="AN889" s="94"/>
      <c r="AO889" s="94"/>
      <c r="AP889" s="94"/>
      <c r="AQ889" s="94"/>
      <c r="AR889" s="94"/>
      <c r="AS889" s="94"/>
      <c r="AT889" s="94"/>
      <c r="AU889" s="94"/>
      <c r="AV889" s="94"/>
      <c r="AW889" s="94"/>
      <c r="AX889" s="94"/>
      <c r="AY889" s="94"/>
      <c r="AZ889" s="94"/>
      <c r="BA889" s="95"/>
    </row>
    <row r="890" spans="1:53" s="87" customFormat="1">
      <c r="A890" s="90" t="str">
        <f t="shared" si="39"/>
        <v/>
      </c>
      <c r="B890" s="98"/>
      <c r="C890" s="94"/>
      <c r="D890" s="94"/>
      <c r="E890" s="94"/>
      <c r="F890" s="94"/>
      <c r="G890" s="94"/>
      <c r="H890" s="94"/>
      <c r="I890" s="94"/>
      <c r="J890" s="94"/>
      <c r="K890" s="94"/>
      <c r="L890" s="94"/>
      <c r="M890" s="94"/>
      <c r="N890" s="94"/>
      <c r="O890" s="94"/>
      <c r="P890" s="94"/>
      <c r="Q890" s="94"/>
      <c r="R890" s="94"/>
      <c r="S890" s="94"/>
      <c r="T890" s="94"/>
      <c r="U890" s="94"/>
      <c r="V890" s="94"/>
      <c r="W890" s="94"/>
      <c r="X890" s="94"/>
      <c r="Y890" s="94"/>
      <c r="Z890" s="94"/>
      <c r="AA890" s="94"/>
      <c r="AB890" s="94"/>
      <c r="AC890" s="94"/>
      <c r="AD890" s="94"/>
      <c r="AE890" s="94"/>
      <c r="AF890" s="94"/>
      <c r="AG890" s="94"/>
      <c r="AH890" s="94"/>
      <c r="AI890" s="94"/>
      <c r="AJ890" s="94"/>
      <c r="AK890" s="94"/>
      <c r="AL890" s="94"/>
      <c r="AM890" s="94"/>
      <c r="AN890" s="94"/>
      <c r="AO890" s="94"/>
      <c r="AP890" s="94"/>
      <c r="AQ890" s="94"/>
      <c r="AR890" s="94"/>
      <c r="AS890" s="94"/>
      <c r="AT890" s="94"/>
      <c r="AU890" s="94"/>
      <c r="AV890" s="94"/>
      <c r="AW890" s="94"/>
      <c r="AX890" s="94"/>
      <c r="AY890" s="94"/>
      <c r="AZ890" s="94"/>
      <c r="BA890" s="95"/>
    </row>
    <row r="891" spans="1:53" s="87" customFormat="1">
      <c r="A891" s="90" t="str">
        <f t="shared" si="39"/>
        <v/>
      </c>
      <c r="B891" s="98"/>
      <c r="C891" s="94"/>
      <c r="D891" s="94"/>
      <c r="E891" s="94"/>
      <c r="F891" s="94"/>
      <c r="G891" s="94"/>
      <c r="H891" s="94"/>
      <c r="I891" s="94"/>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5"/>
    </row>
    <row r="892" spans="1:53" s="87" customFormat="1">
      <c r="A892" s="90" t="str">
        <f t="shared" si="39"/>
        <v/>
      </c>
      <c r="B892" s="98"/>
      <c r="C892" s="94"/>
      <c r="D892" s="94"/>
      <c r="E892" s="94"/>
      <c r="F892" s="94"/>
      <c r="G892" s="94"/>
      <c r="H892" s="94"/>
      <c r="I892" s="94"/>
      <c r="J892" s="94"/>
      <c r="K892" s="94"/>
      <c r="L892" s="94"/>
      <c r="M892" s="94"/>
      <c r="N892" s="94"/>
      <c r="O892" s="94"/>
      <c r="P892" s="94"/>
      <c r="Q892" s="94"/>
      <c r="R892" s="94"/>
      <c r="S892" s="94"/>
      <c r="T892" s="94"/>
      <c r="U892" s="94"/>
      <c r="V892" s="94"/>
      <c r="W892" s="94"/>
      <c r="X892" s="94"/>
      <c r="Y892" s="94"/>
      <c r="Z892" s="94"/>
      <c r="AA892" s="94"/>
      <c r="AB892" s="94"/>
      <c r="AC892" s="94"/>
      <c r="AD892" s="94"/>
      <c r="AE892" s="94"/>
      <c r="AF892" s="94"/>
      <c r="AG892" s="94"/>
      <c r="AH892" s="94"/>
      <c r="AI892" s="94"/>
      <c r="AJ892" s="94"/>
      <c r="AK892" s="94"/>
      <c r="AL892" s="94"/>
      <c r="AM892" s="94"/>
      <c r="AN892" s="94"/>
      <c r="AO892" s="94"/>
      <c r="AP892" s="94"/>
      <c r="AQ892" s="94"/>
      <c r="AR892" s="94"/>
      <c r="AS892" s="94"/>
      <c r="AT892" s="94"/>
      <c r="AU892" s="94"/>
      <c r="AV892" s="94"/>
      <c r="AW892" s="94"/>
      <c r="AX892" s="94"/>
      <c r="AY892" s="94"/>
      <c r="AZ892" s="94"/>
      <c r="BA892" s="95"/>
    </row>
    <row r="893" spans="1:53" s="87" customFormat="1">
      <c r="A893" s="90" t="str">
        <f t="shared" si="39"/>
        <v/>
      </c>
      <c r="B893" s="98"/>
      <c r="C893" s="94"/>
      <c r="D893" s="94"/>
      <c r="E893" s="94"/>
      <c r="F893" s="94"/>
      <c r="G893" s="94"/>
      <c r="H893" s="94"/>
      <c r="I893" s="94"/>
      <c r="J893" s="94"/>
      <c r="K893" s="94"/>
      <c r="L893" s="94"/>
      <c r="M893" s="94"/>
      <c r="N893" s="94"/>
      <c r="O893" s="94"/>
      <c r="P893" s="94"/>
      <c r="Q893" s="94"/>
      <c r="R893" s="94"/>
      <c r="S893" s="94"/>
      <c r="T893" s="94"/>
      <c r="U893" s="94"/>
      <c r="V893" s="94"/>
      <c r="W893" s="94"/>
      <c r="X893" s="94"/>
      <c r="Y893" s="94"/>
      <c r="Z893" s="94"/>
      <c r="AA893" s="94"/>
      <c r="AB893" s="94"/>
      <c r="AC893" s="94"/>
      <c r="AD893" s="94"/>
      <c r="AE893" s="94"/>
      <c r="AF893" s="94"/>
      <c r="AG893" s="94"/>
      <c r="AH893" s="94"/>
      <c r="AI893" s="94"/>
      <c r="AJ893" s="94"/>
      <c r="AK893" s="94"/>
      <c r="AL893" s="94"/>
      <c r="AM893" s="94"/>
      <c r="AN893" s="94"/>
      <c r="AO893" s="94"/>
      <c r="AP893" s="94"/>
      <c r="AQ893" s="94"/>
      <c r="AR893" s="94"/>
      <c r="AS893" s="94"/>
      <c r="AT893" s="94"/>
      <c r="AU893" s="94"/>
      <c r="AV893" s="94"/>
      <c r="AW893" s="94"/>
      <c r="AX893" s="94"/>
      <c r="AY893" s="94"/>
      <c r="AZ893" s="94"/>
      <c r="BA893" s="95"/>
    </row>
    <row r="894" spans="1:53" s="87" customFormat="1">
      <c r="A894" s="90" t="str">
        <f t="shared" si="39"/>
        <v/>
      </c>
      <c r="B894" s="98"/>
      <c r="C894" s="94"/>
      <c r="D894" s="94"/>
      <c r="E894" s="94"/>
      <c r="F894" s="94"/>
      <c r="G894" s="94"/>
      <c r="H894" s="94"/>
      <c r="I894" s="94"/>
      <c r="J894" s="94"/>
      <c r="K894" s="94"/>
      <c r="L894" s="94"/>
      <c r="M894" s="94"/>
      <c r="N894" s="94"/>
      <c r="O894" s="94"/>
      <c r="P894" s="94"/>
      <c r="Q894" s="94"/>
      <c r="R894" s="94"/>
      <c r="S894" s="94"/>
      <c r="T894" s="94"/>
      <c r="U894" s="94"/>
      <c r="V894" s="94"/>
      <c r="W894" s="94"/>
      <c r="X894" s="94"/>
      <c r="Y894" s="94"/>
      <c r="Z894" s="94"/>
      <c r="AA894" s="94"/>
      <c r="AB894" s="94"/>
      <c r="AC894" s="94"/>
      <c r="AD894" s="94"/>
      <c r="AE894" s="94"/>
      <c r="AF894" s="94"/>
      <c r="AG894" s="94"/>
      <c r="AH894" s="94"/>
      <c r="AI894" s="94"/>
      <c r="AJ894" s="94"/>
      <c r="AK894" s="94"/>
      <c r="AL894" s="94"/>
      <c r="AM894" s="94"/>
      <c r="AN894" s="94"/>
      <c r="AO894" s="94"/>
      <c r="AP894" s="94"/>
      <c r="AQ894" s="94"/>
      <c r="AR894" s="94"/>
      <c r="AS894" s="94"/>
      <c r="AT894" s="94"/>
      <c r="AU894" s="94"/>
      <c r="AV894" s="94"/>
      <c r="AW894" s="94"/>
      <c r="AX894" s="94"/>
      <c r="AY894" s="94"/>
      <c r="AZ894" s="94"/>
      <c r="BA894" s="95"/>
    </row>
    <row r="895" spans="1:53" s="87" customFormat="1">
      <c r="A895" s="90" t="str">
        <f t="shared" si="39"/>
        <v/>
      </c>
      <c r="B895" s="98"/>
      <c r="C895" s="94"/>
      <c r="D895" s="94"/>
      <c r="E895" s="94"/>
      <c r="F895" s="94"/>
      <c r="G895" s="94"/>
      <c r="H895" s="94"/>
      <c r="I895" s="94"/>
      <c r="J895" s="94"/>
      <c r="K895" s="94"/>
      <c r="L895" s="94"/>
      <c r="M895" s="94"/>
      <c r="N895" s="94"/>
      <c r="O895" s="94"/>
      <c r="P895" s="94"/>
      <c r="Q895" s="94"/>
      <c r="R895" s="94"/>
      <c r="S895" s="94"/>
      <c r="T895" s="94"/>
      <c r="U895" s="94"/>
      <c r="V895" s="94"/>
      <c r="W895" s="94"/>
      <c r="X895" s="94"/>
      <c r="Y895" s="94"/>
      <c r="Z895" s="94"/>
      <c r="AA895" s="94"/>
      <c r="AB895" s="94"/>
      <c r="AC895" s="94"/>
      <c r="AD895" s="94"/>
      <c r="AE895" s="94"/>
      <c r="AF895" s="94"/>
      <c r="AG895" s="94"/>
      <c r="AH895" s="94"/>
      <c r="AI895" s="94"/>
      <c r="AJ895" s="94"/>
      <c r="AK895" s="94"/>
      <c r="AL895" s="94"/>
      <c r="AM895" s="94"/>
      <c r="AN895" s="94"/>
      <c r="AO895" s="94"/>
      <c r="AP895" s="94"/>
      <c r="AQ895" s="94"/>
      <c r="AR895" s="94"/>
      <c r="AS895" s="94"/>
      <c r="AT895" s="94"/>
      <c r="AU895" s="94"/>
      <c r="AV895" s="94"/>
      <c r="AW895" s="94"/>
      <c r="AX895" s="94"/>
      <c r="AY895" s="94"/>
      <c r="AZ895" s="94"/>
      <c r="BA895" s="95"/>
    </row>
    <row r="896" spans="1:53" s="87" customFormat="1">
      <c r="A896" s="90" t="str">
        <f t="shared" si="39"/>
        <v/>
      </c>
      <c r="B896" s="98"/>
      <c r="C896" s="94"/>
      <c r="D896" s="94"/>
      <c r="E896" s="94"/>
      <c r="F896" s="94"/>
      <c r="G896" s="94"/>
      <c r="H896" s="94"/>
      <c r="I896" s="94"/>
      <c r="J896" s="94"/>
      <c r="K896" s="94"/>
      <c r="L896" s="94"/>
      <c r="M896" s="94"/>
      <c r="N896" s="94"/>
      <c r="O896" s="94"/>
      <c r="P896" s="94"/>
      <c r="Q896" s="94"/>
      <c r="R896" s="94"/>
      <c r="S896" s="94"/>
      <c r="T896" s="94"/>
      <c r="U896" s="94"/>
      <c r="V896" s="94"/>
      <c r="W896" s="94"/>
      <c r="X896" s="94"/>
      <c r="Y896" s="94"/>
      <c r="Z896" s="94"/>
      <c r="AA896" s="94"/>
      <c r="AB896" s="94"/>
      <c r="AC896" s="94"/>
      <c r="AD896" s="94"/>
      <c r="AE896" s="94"/>
      <c r="AF896" s="94"/>
      <c r="AG896" s="94"/>
      <c r="AH896" s="94"/>
      <c r="AI896" s="94"/>
      <c r="AJ896" s="94"/>
      <c r="AK896" s="94"/>
      <c r="AL896" s="94"/>
      <c r="AM896" s="94"/>
      <c r="AN896" s="94"/>
      <c r="AO896" s="94"/>
      <c r="AP896" s="94"/>
      <c r="AQ896" s="94"/>
      <c r="AR896" s="94"/>
      <c r="AS896" s="94"/>
      <c r="AT896" s="94"/>
      <c r="AU896" s="94"/>
      <c r="AV896" s="94"/>
      <c r="AW896" s="94"/>
      <c r="AX896" s="94"/>
      <c r="AY896" s="94"/>
      <c r="AZ896" s="94"/>
      <c r="BA896" s="95"/>
    </row>
    <row r="897" spans="1:53" s="87" customFormat="1">
      <c r="A897" s="90" t="str">
        <f t="shared" si="39"/>
        <v/>
      </c>
      <c r="B897" s="98"/>
      <c r="C897" s="94"/>
      <c r="D897" s="94"/>
      <c r="E897" s="94"/>
      <c r="F897" s="94"/>
      <c r="G897" s="94"/>
      <c r="H897" s="94"/>
      <c r="I897" s="94"/>
      <c r="J897" s="94"/>
      <c r="K897" s="94"/>
      <c r="L897" s="94"/>
      <c r="M897" s="94"/>
      <c r="N897" s="94"/>
      <c r="O897" s="94"/>
      <c r="P897" s="94"/>
      <c r="Q897" s="94"/>
      <c r="R897" s="94"/>
      <c r="S897" s="94"/>
      <c r="T897" s="94"/>
      <c r="U897" s="94"/>
      <c r="V897" s="94"/>
      <c r="W897" s="94"/>
      <c r="X897" s="94"/>
      <c r="Y897" s="94"/>
      <c r="Z897" s="94"/>
      <c r="AA897" s="94"/>
      <c r="AB897" s="94"/>
      <c r="AC897" s="94"/>
      <c r="AD897" s="94"/>
      <c r="AE897" s="94"/>
      <c r="AF897" s="94"/>
      <c r="AG897" s="94"/>
      <c r="AH897" s="94"/>
      <c r="AI897" s="94"/>
      <c r="AJ897" s="94"/>
      <c r="AK897" s="94"/>
      <c r="AL897" s="94"/>
      <c r="AM897" s="94"/>
      <c r="AN897" s="94"/>
      <c r="AO897" s="94"/>
      <c r="AP897" s="94"/>
      <c r="AQ897" s="94"/>
      <c r="AR897" s="94"/>
      <c r="AS897" s="94"/>
      <c r="AT897" s="94"/>
      <c r="AU897" s="94"/>
      <c r="AV897" s="94"/>
      <c r="AW897" s="94"/>
      <c r="AX897" s="94"/>
      <c r="AY897" s="94"/>
      <c r="AZ897" s="94"/>
      <c r="BA897" s="95"/>
    </row>
    <row r="898" spans="1:53" s="87" customFormat="1">
      <c r="A898" s="90" t="str">
        <f t="shared" si="39"/>
        <v/>
      </c>
      <c r="B898" s="98"/>
      <c r="C898" s="94"/>
      <c r="D898" s="94"/>
      <c r="E898" s="94"/>
      <c r="F898" s="94"/>
      <c r="G898" s="94"/>
      <c r="H898" s="94"/>
      <c r="I898" s="94"/>
      <c r="J898" s="94"/>
      <c r="K898" s="94"/>
      <c r="L898" s="94"/>
      <c r="M898" s="94"/>
      <c r="N898" s="94"/>
      <c r="O898" s="94"/>
      <c r="P898" s="94"/>
      <c r="Q898" s="94"/>
      <c r="R898" s="94"/>
      <c r="S898" s="94"/>
      <c r="T898" s="94"/>
      <c r="U898" s="94"/>
      <c r="V898" s="94"/>
      <c r="W898" s="94"/>
      <c r="X898" s="94"/>
      <c r="Y898" s="94"/>
      <c r="Z898" s="94"/>
      <c r="AA898" s="94"/>
      <c r="AB898" s="94"/>
      <c r="AC898" s="94"/>
      <c r="AD898" s="94"/>
      <c r="AE898" s="94"/>
      <c r="AF898" s="94"/>
      <c r="AG898" s="94"/>
      <c r="AH898" s="94"/>
      <c r="AI898" s="94"/>
      <c r="AJ898" s="94"/>
      <c r="AK898" s="94"/>
      <c r="AL898" s="94"/>
      <c r="AM898" s="94"/>
      <c r="AN898" s="94"/>
      <c r="AO898" s="94"/>
      <c r="AP898" s="94"/>
      <c r="AQ898" s="94"/>
      <c r="AR898" s="94"/>
      <c r="AS898" s="94"/>
      <c r="AT898" s="94"/>
      <c r="AU898" s="94"/>
      <c r="AV898" s="94"/>
      <c r="AW898" s="94"/>
      <c r="AX898" s="94"/>
      <c r="AY898" s="94"/>
      <c r="AZ898" s="94"/>
      <c r="BA898" s="95"/>
    </row>
    <row r="899" spans="1:53" s="87" customFormat="1">
      <c r="A899" s="90" t="str">
        <f t="shared" si="39"/>
        <v/>
      </c>
      <c r="B899" s="98"/>
      <c r="C899" s="94"/>
      <c r="D899" s="94"/>
      <c r="E899" s="94"/>
      <c r="F899" s="94"/>
      <c r="G899" s="94"/>
      <c r="H899" s="94"/>
      <c r="I899" s="94"/>
      <c r="J899" s="94"/>
      <c r="K899" s="94"/>
      <c r="L899" s="94"/>
      <c r="M899" s="94"/>
      <c r="N899" s="94"/>
      <c r="O899" s="94"/>
      <c r="P899" s="94"/>
      <c r="Q899" s="94"/>
      <c r="R899" s="94"/>
      <c r="S899" s="94"/>
      <c r="T899" s="94"/>
      <c r="U899" s="94"/>
      <c r="V899" s="94"/>
      <c r="W899" s="94"/>
      <c r="X899" s="94"/>
      <c r="Y899" s="94"/>
      <c r="Z899" s="94"/>
      <c r="AA899" s="94"/>
      <c r="AB899" s="94"/>
      <c r="AC899" s="94"/>
      <c r="AD899" s="94"/>
      <c r="AE899" s="94"/>
      <c r="AF899" s="94"/>
      <c r="AG899" s="94"/>
      <c r="AH899" s="94"/>
      <c r="AI899" s="94"/>
      <c r="AJ899" s="94"/>
      <c r="AK899" s="94"/>
      <c r="AL899" s="94"/>
      <c r="AM899" s="94"/>
      <c r="AN899" s="94"/>
      <c r="AO899" s="94"/>
      <c r="AP899" s="94"/>
      <c r="AQ899" s="94"/>
      <c r="AR899" s="94"/>
      <c r="AS899" s="94"/>
      <c r="AT899" s="94"/>
      <c r="AU899" s="94"/>
      <c r="AV899" s="94"/>
      <c r="AW899" s="94"/>
      <c r="AX899" s="94"/>
      <c r="AY899" s="94"/>
      <c r="AZ899" s="94"/>
      <c r="BA899" s="95"/>
    </row>
    <row r="900" spans="1:53" s="87" customFormat="1">
      <c r="A900" s="90" t="str">
        <f t="shared" si="39"/>
        <v/>
      </c>
      <c r="B900" s="98"/>
      <c r="C900" s="94"/>
      <c r="D900" s="94"/>
      <c r="E900" s="94"/>
      <c r="F900" s="94"/>
      <c r="G900" s="94"/>
      <c r="H900" s="94"/>
      <c r="I900" s="94"/>
      <c r="J900" s="94"/>
      <c r="K900" s="94"/>
      <c r="L900" s="94"/>
      <c r="M900" s="94"/>
      <c r="N900" s="94"/>
      <c r="O900" s="94"/>
      <c r="P900" s="94"/>
      <c r="Q900" s="94"/>
      <c r="R900" s="94"/>
      <c r="S900" s="94"/>
      <c r="T900" s="94"/>
      <c r="U900" s="94"/>
      <c r="V900" s="94"/>
      <c r="W900" s="94"/>
      <c r="X900" s="94"/>
      <c r="Y900" s="94"/>
      <c r="Z900" s="94"/>
      <c r="AA900" s="94"/>
      <c r="AB900" s="94"/>
      <c r="AC900" s="94"/>
      <c r="AD900" s="94"/>
      <c r="AE900" s="94"/>
      <c r="AF900" s="94"/>
      <c r="AG900" s="94"/>
      <c r="AH900" s="94"/>
      <c r="AI900" s="94"/>
      <c r="AJ900" s="94"/>
      <c r="AK900" s="94"/>
      <c r="AL900" s="94"/>
      <c r="AM900" s="94"/>
      <c r="AN900" s="94"/>
      <c r="AO900" s="94"/>
      <c r="AP900" s="94"/>
      <c r="AQ900" s="94"/>
      <c r="AR900" s="94"/>
      <c r="AS900" s="94"/>
      <c r="AT900" s="94"/>
      <c r="AU900" s="94"/>
      <c r="AV900" s="94"/>
      <c r="AW900" s="94"/>
      <c r="AX900" s="94"/>
      <c r="AY900" s="94"/>
      <c r="AZ900" s="94"/>
      <c r="BA900" s="95"/>
    </row>
    <row r="901" spans="1:53" s="87" customFormat="1">
      <c r="A901" s="90" t="str">
        <f t="shared" si="39"/>
        <v/>
      </c>
      <c r="B901" s="98"/>
      <c r="C901" s="94"/>
      <c r="D901" s="94"/>
      <c r="E901" s="94"/>
      <c r="F901" s="94"/>
      <c r="G901" s="94"/>
      <c r="H901" s="94"/>
      <c r="I901" s="94"/>
      <c r="J901" s="94"/>
      <c r="K901" s="94"/>
      <c r="L901" s="94"/>
      <c r="M901" s="94"/>
      <c r="N901" s="94"/>
      <c r="O901" s="94"/>
      <c r="P901" s="94"/>
      <c r="Q901" s="94"/>
      <c r="R901" s="94"/>
      <c r="S901" s="94"/>
      <c r="T901" s="94"/>
      <c r="U901" s="94"/>
      <c r="V901" s="94"/>
      <c r="W901" s="94"/>
      <c r="X901" s="94"/>
      <c r="Y901" s="94"/>
      <c r="Z901" s="94"/>
      <c r="AA901" s="94"/>
      <c r="AB901" s="94"/>
      <c r="AC901" s="94"/>
      <c r="AD901" s="94"/>
      <c r="AE901" s="94"/>
      <c r="AF901" s="94"/>
      <c r="AG901" s="94"/>
      <c r="AH901" s="94"/>
      <c r="AI901" s="94"/>
      <c r="AJ901" s="94"/>
      <c r="AK901" s="94"/>
      <c r="AL901" s="94"/>
      <c r="AM901" s="94"/>
      <c r="AN901" s="94"/>
      <c r="AO901" s="94"/>
      <c r="AP901" s="94"/>
      <c r="AQ901" s="94"/>
      <c r="AR901" s="94"/>
      <c r="AS901" s="94"/>
      <c r="AT901" s="94"/>
      <c r="AU901" s="94"/>
      <c r="AV901" s="94"/>
      <c r="AW901" s="94"/>
      <c r="AX901" s="94"/>
      <c r="AY901" s="94"/>
      <c r="AZ901" s="94"/>
      <c r="BA901" s="95"/>
    </row>
    <row r="902" spans="1:53" s="87" customFormat="1">
      <c r="A902" s="90" t="str">
        <f t="shared" si="39"/>
        <v/>
      </c>
      <c r="B902" s="98"/>
      <c r="C902" s="94"/>
      <c r="D902" s="94"/>
      <c r="E902" s="94"/>
      <c r="F902" s="94"/>
      <c r="G902" s="94"/>
      <c r="H902" s="94"/>
      <c r="I902" s="94"/>
      <c r="J902" s="94"/>
      <c r="K902" s="94"/>
      <c r="L902" s="94"/>
      <c r="M902" s="94"/>
      <c r="N902" s="94"/>
      <c r="O902" s="94"/>
      <c r="P902" s="94"/>
      <c r="Q902" s="94"/>
      <c r="R902" s="94"/>
      <c r="S902" s="94"/>
      <c r="T902" s="94"/>
      <c r="U902" s="94"/>
      <c r="V902" s="94"/>
      <c r="W902" s="94"/>
      <c r="X902" s="94"/>
      <c r="Y902" s="94"/>
      <c r="Z902" s="94"/>
      <c r="AA902" s="94"/>
      <c r="AB902" s="94"/>
      <c r="AC902" s="94"/>
      <c r="AD902" s="94"/>
      <c r="AE902" s="94"/>
      <c r="AF902" s="94"/>
      <c r="AG902" s="94"/>
      <c r="AH902" s="94"/>
      <c r="AI902" s="94"/>
      <c r="AJ902" s="94"/>
      <c r="AK902" s="94"/>
      <c r="AL902" s="94"/>
      <c r="AM902" s="94"/>
      <c r="AN902" s="94"/>
      <c r="AO902" s="94"/>
      <c r="AP902" s="94"/>
      <c r="AQ902" s="94"/>
      <c r="AR902" s="94"/>
      <c r="AS902" s="94"/>
      <c r="AT902" s="94"/>
      <c r="AU902" s="94"/>
      <c r="AV902" s="94"/>
      <c r="AW902" s="94"/>
      <c r="AX902" s="94"/>
      <c r="AY902" s="94"/>
      <c r="AZ902" s="94"/>
      <c r="BA902" s="95"/>
    </row>
    <row r="903" spans="1:53" s="87" customFormat="1">
      <c r="A903" s="90" t="str">
        <f t="shared" si="39"/>
        <v/>
      </c>
      <c r="B903" s="98"/>
      <c r="C903" s="94"/>
      <c r="D903" s="94"/>
      <c r="E903" s="94"/>
      <c r="F903" s="94"/>
      <c r="G903" s="94"/>
      <c r="H903" s="94"/>
      <c r="I903" s="94"/>
      <c r="J903" s="94"/>
      <c r="K903" s="94"/>
      <c r="L903" s="94"/>
      <c r="M903" s="94"/>
      <c r="N903" s="94"/>
      <c r="O903" s="94"/>
      <c r="P903" s="94"/>
      <c r="Q903" s="94"/>
      <c r="R903" s="94"/>
      <c r="S903" s="94"/>
      <c r="T903" s="94"/>
      <c r="U903" s="94"/>
      <c r="V903" s="94"/>
      <c r="W903" s="94"/>
      <c r="X903" s="94"/>
      <c r="Y903" s="94"/>
      <c r="Z903" s="94"/>
      <c r="AA903" s="94"/>
      <c r="AB903" s="94"/>
      <c r="AC903" s="94"/>
      <c r="AD903" s="94"/>
      <c r="AE903" s="94"/>
      <c r="AF903" s="94"/>
      <c r="AG903" s="94"/>
      <c r="AH903" s="94"/>
      <c r="AI903" s="94"/>
      <c r="AJ903" s="94"/>
      <c r="AK903" s="94"/>
      <c r="AL903" s="94"/>
      <c r="AM903" s="94"/>
      <c r="AN903" s="94"/>
      <c r="AO903" s="94"/>
      <c r="AP903" s="94"/>
      <c r="AQ903" s="94"/>
      <c r="AR903" s="94"/>
      <c r="AS903" s="94"/>
      <c r="AT903" s="94"/>
      <c r="AU903" s="94"/>
      <c r="AV903" s="94"/>
      <c r="AW903" s="94"/>
      <c r="AX903" s="94"/>
      <c r="AY903" s="94"/>
      <c r="AZ903" s="94"/>
      <c r="BA903" s="95"/>
    </row>
    <row r="904" spans="1:53" s="87" customFormat="1">
      <c r="A904" s="90" t="str">
        <f t="shared" si="39"/>
        <v/>
      </c>
      <c r="B904" s="98"/>
      <c r="C904" s="94"/>
      <c r="D904" s="94"/>
      <c r="E904" s="94"/>
      <c r="F904" s="94"/>
      <c r="G904" s="94"/>
      <c r="H904" s="94"/>
      <c r="I904" s="94"/>
      <c r="J904" s="94"/>
      <c r="K904" s="94"/>
      <c r="L904" s="94"/>
      <c r="M904" s="94"/>
      <c r="N904" s="94"/>
      <c r="O904" s="94"/>
      <c r="P904" s="94"/>
      <c r="Q904" s="94"/>
      <c r="R904" s="94"/>
      <c r="S904" s="94"/>
      <c r="T904" s="94"/>
      <c r="U904" s="94"/>
      <c r="V904" s="94"/>
      <c r="W904" s="94"/>
      <c r="X904" s="94"/>
      <c r="Y904" s="94"/>
      <c r="Z904" s="94"/>
      <c r="AA904" s="94"/>
      <c r="AB904" s="94"/>
      <c r="AC904" s="94"/>
      <c r="AD904" s="94"/>
      <c r="AE904" s="94"/>
      <c r="AF904" s="94"/>
      <c r="AG904" s="94"/>
      <c r="AH904" s="94"/>
      <c r="AI904" s="94"/>
      <c r="AJ904" s="94"/>
      <c r="AK904" s="94"/>
      <c r="AL904" s="94"/>
      <c r="AM904" s="94"/>
      <c r="AN904" s="94"/>
      <c r="AO904" s="94"/>
      <c r="AP904" s="94"/>
      <c r="AQ904" s="94"/>
      <c r="AR904" s="94"/>
      <c r="AS904" s="94"/>
      <c r="AT904" s="94"/>
      <c r="AU904" s="94"/>
      <c r="AV904" s="94"/>
      <c r="AW904" s="94"/>
      <c r="AX904" s="94"/>
      <c r="AY904" s="94"/>
      <c r="AZ904" s="94"/>
      <c r="BA904" s="95"/>
    </row>
    <row r="905" spans="1:53" s="87" customFormat="1">
      <c r="A905" s="90" t="str">
        <f t="shared" si="39"/>
        <v/>
      </c>
      <c r="B905" s="98"/>
      <c r="C905" s="94"/>
      <c r="D905" s="94"/>
      <c r="E905" s="94"/>
      <c r="F905" s="94"/>
      <c r="G905" s="94"/>
      <c r="H905" s="94"/>
      <c r="I905" s="94"/>
      <c r="J905" s="94"/>
      <c r="K905" s="94"/>
      <c r="L905" s="94"/>
      <c r="M905" s="94"/>
      <c r="N905" s="94"/>
      <c r="O905" s="94"/>
      <c r="P905" s="94"/>
      <c r="Q905" s="94"/>
      <c r="R905" s="94"/>
      <c r="S905" s="94"/>
      <c r="T905" s="94"/>
      <c r="U905" s="94"/>
      <c r="V905" s="94"/>
      <c r="W905" s="94"/>
      <c r="X905" s="94"/>
      <c r="Y905" s="94"/>
      <c r="Z905" s="94"/>
      <c r="AA905" s="94"/>
      <c r="AB905" s="94"/>
      <c r="AC905" s="94"/>
      <c r="AD905" s="94"/>
      <c r="AE905" s="94"/>
      <c r="AF905" s="94"/>
      <c r="AG905" s="94"/>
      <c r="AH905" s="94"/>
      <c r="AI905" s="94"/>
      <c r="AJ905" s="94"/>
      <c r="AK905" s="94"/>
      <c r="AL905" s="94"/>
      <c r="AM905" s="94"/>
      <c r="AN905" s="94"/>
      <c r="AO905" s="94"/>
      <c r="AP905" s="94"/>
      <c r="AQ905" s="94"/>
      <c r="AR905" s="94"/>
      <c r="AS905" s="94"/>
      <c r="AT905" s="94"/>
      <c r="AU905" s="94"/>
      <c r="AV905" s="94"/>
      <c r="AW905" s="94"/>
      <c r="AX905" s="94"/>
      <c r="AY905" s="94"/>
      <c r="AZ905" s="94"/>
      <c r="BA905" s="95"/>
    </row>
    <row r="906" spans="1:53" s="87" customFormat="1">
      <c r="A906" s="90" t="str">
        <f t="shared" si="39"/>
        <v/>
      </c>
      <c r="B906" s="98"/>
      <c r="C906" s="94"/>
      <c r="D906" s="94"/>
      <c r="E906" s="94"/>
      <c r="F906" s="94"/>
      <c r="G906" s="94"/>
      <c r="H906" s="94"/>
      <c r="I906" s="94"/>
      <c r="J906" s="94"/>
      <c r="K906" s="94"/>
      <c r="L906" s="94"/>
      <c r="M906" s="94"/>
      <c r="N906" s="94"/>
      <c r="O906" s="94"/>
      <c r="P906" s="94"/>
      <c r="Q906" s="94"/>
      <c r="R906" s="94"/>
      <c r="S906" s="94"/>
      <c r="T906" s="94"/>
      <c r="U906" s="94"/>
      <c r="V906" s="94"/>
      <c r="W906" s="94"/>
      <c r="X906" s="94"/>
      <c r="Y906" s="94"/>
      <c r="Z906" s="94"/>
      <c r="AA906" s="94"/>
      <c r="AB906" s="94"/>
      <c r="AC906" s="94"/>
      <c r="AD906" s="94"/>
      <c r="AE906" s="94"/>
      <c r="AF906" s="94"/>
      <c r="AG906" s="94"/>
      <c r="AH906" s="94"/>
      <c r="AI906" s="94"/>
      <c r="AJ906" s="94"/>
      <c r="AK906" s="94"/>
      <c r="AL906" s="94"/>
      <c r="AM906" s="94"/>
      <c r="AN906" s="94"/>
      <c r="AO906" s="94"/>
      <c r="AP906" s="94"/>
      <c r="AQ906" s="94"/>
      <c r="AR906" s="94"/>
      <c r="AS906" s="94"/>
      <c r="AT906" s="94"/>
      <c r="AU906" s="94"/>
      <c r="AV906" s="94"/>
      <c r="AW906" s="94"/>
      <c r="AX906" s="94"/>
      <c r="AY906" s="94"/>
      <c r="AZ906" s="94"/>
      <c r="BA906" s="95"/>
    </row>
    <row r="907" spans="1:53" s="87" customFormat="1">
      <c r="A907" s="90" t="str">
        <f t="shared" si="39"/>
        <v/>
      </c>
      <c r="B907" s="98"/>
      <c r="C907" s="94"/>
      <c r="D907" s="94"/>
      <c r="E907" s="94"/>
      <c r="F907" s="94"/>
      <c r="G907" s="94"/>
      <c r="H907" s="94"/>
      <c r="I907" s="94"/>
      <c r="J907" s="94"/>
      <c r="K907" s="94"/>
      <c r="L907" s="94"/>
      <c r="M907" s="94"/>
      <c r="N907" s="94"/>
      <c r="O907" s="94"/>
      <c r="P907" s="94"/>
      <c r="Q907" s="94"/>
      <c r="R907" s="94"/>
      <c r="S907" s="94"/>
      <c r="T907" s="94"/>
      <c r="U907" s="94"/>
      <c r="V907" s="94"/>
      <c r="W907" s="94"/>
      <c r="X907" s="94"/>
      <c r="Y907" s="94"/>
      <c r="Z907" s="94"/>
      <c r="AA907" s="94"/>
      <c r="AB907" s="94"/>
      <c r="AC907" s="94"/>
      <c r="AD907" s="94"/>
      <c r="AE907" s="94"/>
      <c r="AF907" s="94"/>
      <c r="AG907" s="94"/>
      <c r="AH907" s="94"/>
      <c r="AI907" s="94"/>
      <c r="AJ907" s="94"/>
      <c r="AK907" s="94"/>
      <c r="AL907" s="94"/>
      <c r="AM907" s="94"/>
      <c r="AN907" s="94"/>
      <c r="AO907" s="94"/>
      <c r="AP907" s="94"/>
      <c r="AQ907" s="94"/>
      <c r="AR907" s="94"/>
      <c r="AS907" s="94"/>
      <c r="AT907" s="94"/>
      <c r="AU907" s="94"/>
      <c r="AV907" s="94"/>
      <c r="AW907" s="94"/>
      <c r="AX907" s="94"/>
      <c r="AY907" s="94"/>
      <c r="AZ907" s="94"/>
      <c r="BA907" s="95"/>
    </row>
    <row r="908" spans="1:53" s="87" customFormat="1">
      <c r="A908" s="90" t="str">
        <f t="shared" ref="A908:A971" si="40">IF(MID(B908,3,2)="03",ROW(),"")</f>
        <v/>
      </c>
      <c r="B908" s="98"/>
      <c r="C908" s="94"/>
      <c r="D908" s="94"/>
      <c r="E908" s="94"/>
      <c r="F908" s="94"/>
      <c r="G908" s="94"/>
      <c r="H908" s="94"/>
      <c r="I908" s="94"/>
      <c r="J908" s="94"/>
      <c r="K908" s="94"/>
      <c r="L908" s="94"/>
      <c r="M908" s="94"/>
      <c r="N908" s="94"/>
      <c r="O908" s="94"/>
      <c r="P908" s="94"/>
      <c r="Q908" s="94"/>
      <c r="R908" s="94"/>
      <c r="S908" s="94"/>
      <c r="T908" s="94"/>
      <c r="U908" s="94"/>
      <c r="V908" s="94"/>
      <c r="W908" s="94"/>
      <c r="X908" s="94"/>
      <c r="Y908" s="94"/>
      <c r="Z908" s="94"/>
      <c r="AA908" s="94"/>
      <c r="AB908" s="94"/>
      <c r="AC908" s="94"/>
      <c r="AD908" s="94"/>
      <c r="AE908" s="94"/>
      <c r="AF908" s="94"/>
      <c r="AG908" s="94"/>
      <c r="AH908" s="94"/>
      <c r="AI908" s="94"/>
      <c r="AJ908" s="94"/>
      <c r="AK908" s="94"/>
      <c r="AL908" s="94"/>
      <c r="AM908" s="94"/>
      <c r="AN908" s="94"/>
      <c r="AO908" s="94"/>
      <c r="AP908" s="94"/>
      <c r="AQ908" s="94"/>
      <c r="AR908" s="94"/>
      <c r="AS908" s="94"/>
      <c r="AT908" s="94"/>
      <c r="AU908" s="94"/>
      <c r="AV908" s="94"/>
      <c r="AW908" s="94"/>
      <c r="AX908" s="94"/>
      <c r="AY908" s="94"/>
      <c r="AZ908" s="94"/>
      <c r="BA908" s="95"/>
    </row>
    <row r="909" spans="1:53" s="87" customFormat="1">
      <c r="A909" s="90" t="str">
        <f t="shared" si="40"/>
        <v/>
      </c>
      <c r="B909" s="98"/>
      <c r="C909" s="94"/>
      <c r="D909" s="94"/>
      <c r="E909" s="94"/>
      <c r="F909" s="94"/>
      <c r="G909" s="94"/>
      <c r="H909" s="94"/>
      <c r="I909" s="94"/>
      <c r="J909" s="94"/>
      <c r="K909" s="94"/>
      <c r="L909" s="94"/>
      <c r="M909" s="94"/>
      <c r="N909" s="94"/>
      <c r="O909" s="94"/>
      <c r="P909" s="94"/>
      <c r="Q909" s="94"/>
      <c r="R909" s="94"/>
      <c r="S909" s="94"/>
      <c r="T909" s="94"/>
      <c r="U909" s="94"/>
      <c r="V909" s="94"/>
      <c r="W909" s="94"/>
      <c r="X909" s="94"/>
      <c r="Y909" s="94"/>
      <c r="Z909" s="94"/>
      <c r="AA909" s="94"/>
      <c r="AB909" s="94"/>
      <c r="AC909" s="94"/>
      <c r="AD909" s="94"/>
      <c r="AE909" s="94"/>
      <c r="AF909" s="94"/>
      <c r="AG909" s="94"/>
      <c r="AH909" s="94"/>
      <c r="AI909" s="94"/>
      <c r="AJ909" s="94"/>
      <c r="AK909" s="94"/>
      <c r="AL909" s="94"/>
      <c r="AM909" s="94"/>
      <c r="AN909" s="94"/>
      <c r="AO909" s="94"/>
      <c r="AP909" s="94"/>
      <c r="AQ909" s="94"/>
      <c r="AR909" s="94"/>
      <c r="AS909" s="94"/>
      <c r="AT909" s="94"/>
      <c r="AU909" s="94"/>
      <c r="AV909" s="94"/>
      <c r="AW909" s="94"/>
      <c r="AX909" s="94"/>
      <c r="AY909" s="94"/>
      <c r="AZ909" s="94"/>
      <c r="BA909" s="95"/>
    </row>
    <row r="910" spans="1:53" s="87" customFormat="1">
      <c r="A910" s="90" t="str">
        <f t="shared" si="40"/>
        <v/>
      </c>
      <c r="B910" s="98"/>
      <c r="C910" s="94"/>
      <c r="D910" s="94"/>
      <c r="E910" s="94"/>
      <c r="F910" s="94"/>
      <c r="G910" s="94"/>
      <c r="H910" s="94"/>
      <c r="I910" s="94"/>
      <c r="J910" s="94"/>
      <c r="K910" s="94"/>
      <c r="L910" s="94"/>
      <c r="M910" s="94"/>
      <c r="N910" s="94"/>
      <c r="O910" s="94"/>
      <c r="P910" s="94"/>
      <c r="Q910" s="94"/>
      <c r="R910" s="94"/>
      <c r="S910" s="94"/>
      <c r="T910" s="94"/>
      <c r="U910" s="94"/>
      <c r="V910" s="94"/>
      <c r="W910" s="94"/>
      <c r="X910" s="94"/>
      <c r="Y910" s="94"/>
      <c r="Z910" s="94"/>
      <c r="AA910" s="94"/>
      <c r="AB910" s="94"/>
      <c r="AC910" s="94"/>
      <c r="AD910" s="94"/>
      <c r="AE910" s="94"/>
      <c r="AF910" s="94"/>
      <c r="AG910" s="94"/>
      <c r="AH910" s="94"/>
      <c r="AI910" s="94"/>
      <c r="AJ910" s="94"/>
      <c r="AK910" s="94"/>
      <c r="AL910" s="94"/>
      <c r="AM910" s="94"/>
      <c r="AN910" s="94"/>
      <c r="AO910" s="94"/>
      <c r="AP910" s="94"/>
      <c r="AQ910" s="94"/>
      <c r="AR910" s="94"/>
      <c r="AS910" s="94"/>
      <c r="AT910" s="94"/>
      <c r="AU910" s="94"/>
      <c r="AV910" s="94"/>
      <c r="AW910" s="94"/>
      <c r="AX910" s="94"/>
      <c r="AY910" s="94"/>
      <c r="AZ910" s="94"/>
      <c r="BA910" s="95"/>
    </row>
    <row r="911" spans="1:53" s="87" customFormat="1">
      <c r="A911" s="90" t="str">
        <f t="shared" si="40"/>
        <v/>
      </c>
      <c r="B911" s="98"/>
      <c r="C911" s="94"/>
      <c r="D911" s="94"/>
      <c r="E911" s="94"/>
      <c r="F911" s="94"/>
      <c r="G911" s="94"/>
      <c r="H911" s="94"/>
      <c r="I911" s="94"/>
      <c r="J911" s="94"/>
      <c r="K911" s="94"/>
      <c r="L911" s="94"/>
      <c r="M911" s="94"/>
      <c r="N911" s="94"/>
      <c r="O911" s="94"/>
      <c r="P911" s="94"/>
      <c r="Q911" s="94"/>
      <c r="R911" s="94"/>
      <c r="S911" s="94"/>
      <c r="T911" s="94"/>
      <c r="U911" s="94"/>
      <c r="V911" s="94"/>
      <c r="W911" s="94"/>
      <c r="X911" s="94"/>
      <c r="Y911" s="94"/>
      <c r="Z911" s="94"/>
      <c r="AA911" s="94"/>
      <c r="AB911" s="94"/>
      <c r="AC911" s="94"/>
      <c r="AD911" s="94"/>
      <c r="AE911" s="94"/>
      <c r="AF911" s="94"/>
      <c r="AG911" s="94"/>
      <c r="AH911" s="94"/>
      <c r="AI911" s="94"/>
      <c r="AJ911" s="94"/>
      <c r="AK911" s="94"/>
      <c r="AL911" s="94"/>
      <c r="AM911" s="94"/>
      <c r="AN911" s="94"/>
      <c r="AO911" s="94"/>
      <c r="AP911" s="94"/>
      <c r="AQ911" s="94"/>
      <c r="AR911" s="94"/>
      <c r="AS911" s="94"/>
      <c r="AT911" s="94"/>
      <c r="AU911" s="94"/>
      <c r="AV911" s="94"/>
      <c r="AW911" s="94"/>
      <c r="AX911" s="94"/>
      <c r="AY911" s="94"/>
      <c r="AZ911" s="94"/>
      <c r="BA911" s="95"/>
    </row>
    <row r="912" spans="1:53" s="87" customFormat="1">
      <c r="A912" s="90" t="str">
        <f t="shared" si="40"/>
        <v/>
      </c>
      <c r="B912" s="98"/>
      <c r="C912" s="94"/>
      <c r="D912" s="94"/>
      <c r="E912" s="94"/>
      <c r="F912" s="94"/>
      <c r="G912" s="94"/>
      <c r="H912" s="94"/>
      <c r="I912" s="94"/>
      <c r="J912" s="94"/>
      <c r="K912" s="94"/>
      <c r="L912" s="94"/>
      <c r="M912" s="94"/>
      <c r="N912" s="94"/>
      <c r="O912" s="94"/>
      <c r="P912" s="94"/>
      <c r="Q912" s="94"/>
      <c r="R912" s="94"/>
      <c r="S912" s="94"/>
      <c r="T912" s="94"/>
      <c r="U912" s="94"/>
      <c r="V912" s="94"/>
      <c r="W912" s="94"/>
      <c r="X912" s="94"/>
      <c r="Y912" s="94"/>
      <c r="Z912" s="94"/>
      <c r="AA912" s="94"/>
      <c r="AB912" s="94"/>
      <c r="AC912" s="94"/>
      <c r="AD912" s="94"/>
      <c r="AE912" s="94"/>
      <c r="AF912" s="94"/>
      <c r="AG912" s="94"/>
      <c r="AH912" s="94"/>
      <c r="AI912" s="94"/>
      <c r="AJ912" s="94"/>
      <c r="AK912" s="94"/>
      <c r="AL912" s="94"/>
      <c r="AM912" s="94"/>
      <c r="AN912" s="94"/>
      <c r="AO912" s="94"/>
      <c r="AP912" s="94"/>
      <c r="AQ912" s="94"/>
      <c r="AR912" s="94"/>
      <c r="AS912" s="94"/>
      <c r="AT912" s="94"/>
      <c r="AU912" s="94"/>
      <c r="AV912" s="94"/>
      <c r="AW912" s="94"/>
      <c r="AX912" s="94"/>
      <c r="AY912" s="94"/>
      <c r="AZ912" s="94"/>
      <c r="BA912" s="95"/>
    </row>
    <row r="913" spans="1:53" s="87" customFormat="1">
      <c r="A913" s="90" t="str">
        <f t="shared" si="40"/>
        <v/>
      </c>
      <c r="B913" s="98"/>
      <c r="C913" s="94"/>
      <c r="D913" s="94"/>
      <c r="E913" s="94"/>
      <c r="F913" s="94"/>
      <c r="G913" s="94"/>
      <c r="H913" s="94"/>
      <c r="I913" s="94"/>
      <c r="J913" s="94"/>
      <c r="K913" s="94"/>
      <c r="L913" s="94"/>
      <c r="M913" s="94"/>
      <c r="N913" s="94"/>
      <c r="O913" s="94"/>
      <c r="P913" s="94"/>
      <c r="Q913" s="94"/>
      <c r="R913" s="94"/>
      <c r="S913" s="94"/>
      <c r="T913" s="94"/>
      <c r="U913" s="94"/>
      <c r="V913" s="94"/>
      <c r="W913" s="94"/>
      <c r="X913" s="94"/>
      <c r="Y913" s="94"/>
      <c r="Z913" s="94"/>
      <c r="AA913" s="94"/>
      <c r="AB913" s="94"/>
      <c r="AC913" s="94"/>
      <c r="AD913" s="94"/>
      <c r="AE913" s="94"/>
      <c r="AF913" s="94"/>
      <c r="AG913" s="94"/>
      <c r="AH913" s="94"/>
      <c r="AI913" s="94"/>
      <c r="AJ913" s="94"/>
      <c r="AK913" s="94"/>
      <c r="AL913" s="94"/>
      <c r="AM913" s="94"/>
      <c r="AN913" s="94"/>
      <c r="AO913" s="94"/>
      <c r="AP913" s="94"/>
      <c r="AQ913" s="94"/>
      <c r="AR913" s="94"/>
      <c r="AS913" s="94"/>
      <c r="AT913" s="94"/>
      <c r="AU913" s="94"/>
      <c r="AV913" s="94"/>
      <c r="AW913" s="94"/>
      <c r="AX913" s="94"/>
      <c r="AY913" s="94"/>
      <c r="AZ913" s="94"/>
      <c r="BA913" s="95"/>
    </row>
    <row r="914" spans="1:53" s="87" customFormat="1">
      <c r="A914" s="90" t="str">
        <f t="shared" si="40"/>
        <v/>
      </c>
      <c r="B914" s="98"/>
      <c r="C914" s="94"/>
      <c r="D914" s="94"/>
      <c r="E914" s="94"/>
      <c r="F914" s="94"/>
      <c r="G914" s="94"/>
      <c r="H914" s="94"/>
      <c r="I914" s="94"/>
      <c r="J914" s="94"/>
      <c r="K914" s="94"/>
      <c r="L914" s="94"/>
      <c r="M914" s="94"/>
      <c r="N914" s="94"/>
      <c r="O914" s="94"/>
      <c r="P914" s="94"/>
      <c r="Q914" s="94"/>
      <c r="R914" s="94"/>
      <c r="S914" s="94"/>
      <c r="T914" s="94"/>
      <c r="U914" s="94"/>
      <c r="V914" s="94"/>
      <c r="W914" s="94"/>
      <c r="X914" s="94"/>
      <c r="Y914" s="94"/>
      <c r="Z914" s="94"/>
      <c r="AA914" s="94"/>
      <c r="AB914" s="94"/>
      <c r="AC914" s="94"/>
      <c r="AD914" s="94"/>
      <c r="AE914" s="94"/>
      <c r="AF914" s="94"/>
      <c r="AG914" s="94"/>
      <c r="AH914" s="94"/>
      <c r="AI914" s="94"/>
      <c r="AJ914" s="94"/>
      <c r="AK914" s="94"/>
      <c r="AL914" s="94"/>
      <c r="AM914" s="94"/>
      <c r="AN914" s="94"/>
      <c r="AO914" s="94"/>
      <c r="AP914" s="94"/>
      <c r="AQ914" s="94"/>
      <c r="AR914" s="94"/>
      <c r="AS914" s="94"/>
      <c r="AT914" s="94"/>
      <c r="AU914" s="94"/>
      <c r="AV914" s="94"/>
      <c r="AW914" s="94"/>
      <c r="AX914" s="94"/>
      <c r="AY914" s="94"/>
      <c r="AZ914" s="94"/>
      <c r="BA914" s="95"/>
    </row>
    <row r="915" spans="1:53" s="87" customFormat="1">
      <c r="A915" s="90" t="str">
        <f t="shared" si="40"/>
        <v/>
      </c>
      <c r="B915" s="98"/>
      <c r="C915" s="94"/>
      <c r="D915" s="94"/>
      <c r="E915" s="94"/>
      <c r="F915" s="94"/>
      <c r="G915" s="94"/>
      <c r="H915" s="94"/>
      <c r="I915" s="94"/>
      <c r="J915" s="94"/>
      <c r="K915" s="94"/>
      <c r="L915" s="94"/>
      <c r="M915" s="94"/>
      <c r="N915" s="94"/>
      <c r="O915" s="94"/>
      <c r="P915" s="94"/>
      <c r="Q915" s="94"/>
      <c r="R915" s="94"/>
      <c r="S915" s="94"/>
      <c r="T915" s="94"/>
      <c r="U915" s="94"/>
      <c r="V915" s="94"/>
      <c r="W915" s="94"/>
      <c r="X915" s="94"/>
      <c r="Y915" s="94"/>
      <c r="Z915" s="94"/>
      <c r="AA915" s="94"/>
      <c r="AB915" s="94"/>
      <c r="AC915" s="94"/>
      <c r="AD915" s="94"/>
      <c r="AE915" s="94"/>
      <c r="AF915" s="94"/>
      <c r="AG915" s="94"/>
      <c r="AH915" s="94"/>
      <c r="AI915" s="94"/>
      <c r="AJ915" s="94"/>
      <c r="AK915" s="94"/>
      <c r="AL915" s="94"/>
      <c r="AM915" s="94"/>
      <c r="AN915" s="94"/>
      <c r="AO915" s="94"/>
      <c r="AP915" s="94"/>
      <c r="AQ915" s="94"/>
      <c r="AR915" s="94"/>
      <c r="AS915" s="94"/>
      <c r="AT915" s="94"/>
      <c r="AU915" s="94"/>
      <c r="AV915" s="94"/>
      <c r="AW915" s="94"/>
      <c r="AX915" s="94"/>
      <c r="AY915" s="94"/>
      <c r="AZ915" s="94"/>
      <c r="BA915" s="95"/>
    </row>
    <row r="916" spans="1:53" s="87" customFormat="1">
      <c r="A916" s="90" t="str">
        <f t="shared" si="40"/>
        <v/>
      </c>
      <c r="B916" s="98"/>
      <c r="C916" s="94"/>
      <c r="D916" s="94"/>
      <c r="E916" s="94"/>
      <c r="F916" s="94"/>
      <c r="G916" s="94"/>
      <c r="H916" s="94"/>
      <c r="I916" s="94"/>
      <c r="J916" s="94"/>
      <c r="K916" s="94"/>
      <c r="L916" s="94"/>
      <c r="M916" s="94"/>
      <c r="N916" s="94"/>
      <c r="O916" s="94"/>
      <c r="P916" s="94"/>
      <c r="Q916" s="94"/>
      <c r="R916" s="94"/>
      <c r="S916" s="94"/>
      <c r="T916" s="94"/>
      <c r="U916" s="94"/>
      <c r="V916" s="94"/>
      <c r="W916" s="94"/>
      <c r="X916" s="94"/>
      <c r="Y916" s="94"/>
      <c r="Z916" s="94"/>
      <c r="AA916" s="94"/>
      <c r="AB916" s="94"/>
      <c r="AC916" s="94"/>
      <c r="AD916" s="94"/>
      <c r="AE916" s="94"/>
      <c r="AF916" s="94"/>
      <c r="AG916" s="94"/>
      <c r="AH916" s="94"/>
      <c r="AI916" s="94"/>
      <c r="AJ916" s="94"/>
      <c r="AK916" s="94"/>
      <c r="AL916" s="94"/>
      <c r="AM916" s="94"/>
      <c r="AN916" s="94"/>
      <c r="AO916" s="94"/>
      <c r="AP916" s="94"/>
      <c r="AQ916" s="94"/>
      <c r="AR916" s="94"/>
      <c r="AS916" s="94"/>
      <c r="AT916" s="94"/>
      <c r="AU916" s="94"/>
      <c r="AV916" s="94"/>
      <c r="AW916" s="94"/>
      <c r="AX916" s="94"/>
      <c r="AY916" s="94"/>
      <c r="AZ916" s="94"/>
      <c r="BA916" s="95"/>
    </row>
    <row r="917" spans="1:53" s="87" customFormat="1">
      <c r="A917" s="90" t="str">
        <f t="shared" si="40"/>
        <v/>
      </c>
      <c r="B917" s="98"/>
      <c r="C917" s="94"/>
      <c r="D917" s="94"/>
      <c r="E917" s="94"/>
      <c r="F917" s="94"/>
      <c r="G917" s="94"/>
      <c r="H917" s="94"/>
      <c r="I917" s="94"/>
      <c r="J917" s="94"/>
      <c r="K917" s="94"/>
      <c r="L917" s="94"/>
      <c r="M917" s="94"/>
      <c r="N917" s="94"/>
      <c r="O917" s="94"/>
      <c r="P917" s="94"/>
      <c r="Q917" s="94"/>
      <c r="R917" s="94"/>
      <c r="S917" s="94"/>
      <c r="T917" s="94"/>
      <c r="U917" s="94"/>
      <c r="V917" s="94"/>
      <c r="W917" s="94"/>
      <c r="X917" s="94"/>
      <c r="Y917" s="94"/>
      <c r="Z917" s="94"/>
      <c r="AA917" s="94"/>
      <c r="AB917" s="94"/>
      <c r="AC917" s="94"/>
      <c r="AD917" s="94"/>
      <c r="AE917" s="94"/>
      <c r="AF917" s="94"/>
      <c r="AG917" s="94"/>
      <c r="AH917" s="94"/>
      <c r="AI917" s="94"/>
      <c r="AJ917" s="94"/>
      <c r="AK917" s="94"/>
      <c r="AL917" s="94"/>
      <c r="AM917" s="94"/>
      <c r="AN917" s="94"/>
      <c r="AO917" s="94"/>
      <c r="AP917" s="94"/>
      <c r="AQ917" s="94"/>
      <c r="AR917" s="94"/>
      <c r="AS917" s="94"/>
      <c r="AT917" s="94"/>
      <c r="AU917" s="94"/>
      <c r="AV917" s="94"/>
      <c r="AW917" s="94"/>
      <c r="AX917" s="94"/>
      <c r="AY917" s="94"/>
      <c r="AZ917" s="94"/>
      <c r="BA917" s="95"/>
    </row>
    <row r="918" spans="1:53" s="87" customFormat="1">
      <c r="A918" s="90" t="str">
        <f t="shared" si="40"/>
        <v/>
      </c>
      <c r="B918" s="98"/>
      <c r="C918" s="94"/>
      <c r="D918" s="94"/>
      <c r="E918" s="94"/>
      <c r="F918" s="94"/>
      <c r="G918" s="94"/>
      <c r="H918" s="94"/>
      <c r="I918" s="94"/>
      <c r="J918" s="94"/>
      <c r="K918" s="94"/>
      <c r="L918" s="94"/>
      <c r="M918" s="94"/>
      <c r="N918" s="94"/>
      <c r="O918" s="94"/>
      <c r="P918" s="94"/>
      <c r="Q918" s="94"/>
      <c r="R918" s="94"/>
      <c r="S918" s="94"/>
      <c r="T918" s="94"/>
      <c r="U918" s="94"/>
      <c r="V918" s="94"/>
      <c r="W918" s="94"/>
      <c r="X918" s="94"/>
      <c r="Y918" s="94"/>
      <c r="Z918" s="94"/>
      <c r="AA918" s="94"/>
      <c r="AB918" s="94"/>
      <c r="AC918" s="94"/>
      <c r="AD918" s="94"/>
      <c r="AE918" s="94"/>
      <c r="AF918" s="94"/>
      <c r="AG918" s="94"/>
      <c r="AH918" s="94"/>
      <c r="AI918" s="94"/>
      <c r="AJ918" s="94"/>
      <c r="AK918" s="94"/>
      <c r="AL918" s="94"/>
      <c r="AM918" s="94"/>
      <c r="AN918" s="94"/>
      <c r="AO918" s="94"/>
      <c r="AP918" s="94"/>
      <c r="AQ918" s="94"/>
      <c r="AR918" s="94"/>
      <c r="AS918" s="94"/>
      <c r="AT918" s="94"/>
      <c r="AU918" s="94"/>
      <c r="AV918" s="94"/>
      <c r="AW918" s="94"/>
      <c r="AX918" s="94"/>
      <c r="AY918" s="94"/>
      <c r="AZ918" s="94"/>
      <c r="BA918" s="95"/>
    </row>
    <row r="919" spans="1:53" s="87" customFormat="1">
      <c r="A919" s="90" t="str">
        <f t="shared" si="40"/>
        <v/>
      </c>
      <c r="B919" s="98"/>
      <c r="C919" s="94"/>
      <c r="D919" s="94"/>
      <c r="E919" s="94"/>
      <c r="F919" s="94"/>
      <c r="G919" s="94"/>
      <c r="H919" s="94"/>
      <c r="I919" s="94"/>
      <c r="J919" s="94"/>
      <c r="K919" s="94"/>
      <c r="L919" s="94"/>
      <c r="M919" s="94"/>
      <c r="N919" s="94"/>
      <c r="O919" s="94"/>
      <c r="P919" s="94"/>
      <c r="Q919" s="94"/>
      <c r="R919" s="94"/>
      <c r="S919" s="94"/>
      <c r="T919" s="94"/>
      <c r="U919" s="94"/>
      <c r="V919" s="94"/>
      <c r="W919" s="94"/>
      <c r="X919" s="94"/>
      <c r="Y919" s="94"/>
      <c r="Z919" s="94"/>
      <c r="AA919" s="94"/>
      <c r="AB919" s="94"/>
      <c r="AC919" s="94"/>
      <c r="AD919" s="94"/>
      <c r="AE919" s="94"/>
      <c r="AF919" s="94"/>
      <c r="AG919" s="94"/>
      <c r="AH919" s="94"/>
      <c r="AI919" s="94"/>
      <c r="AJ919" s="94"/>
      <c r="AK919" s="94"/>
      <c r="AL919" s="94"/>
      <c r="AM919" s="94"/>
      <c r="AN919" s="94"/>
      <c r="AO919" s="94"/>
      <c r="AP919" s="94"/>
      <c r="AQ919" s="94"/>
      <c r="AR919" s="94"/>
      <c r="AS919" s="94"/>
      <c r="AT919" s="94"/>
      <c r="AU919" s="94"/>
      <c r="AV919" s="94"/>
      <c r="AW919" s="94"/>
      <c r="AX919" s="94"/>
      <c r="AY919" s="94"/>
      <c r="AZ919" s="94"/>
      <c r="BA919" s="95"/>
    </row>
    <row r="920" spans="1:53" s="87" customFormat="1">
      <c r="A920" s="90" t="str">
        <f t="shared" si="40"/>
        <v/>
      </c>
      <c r="B920" s="98"/>
      <c r="C920" s="94"/>
      <c r="D920" s="94"/>
      <c r="E920" s="94"/>
      <c r="F920" s="94"/>
      <c r="G920" s="94"/>
      <c r="H920" s="94"/>
      <c r="I920" s="94"/>
      <c r="J920" s="94"/>
      <c r="K920" s="94"/>
      <c r="L920" s="94"/>
      <c r="M920" s="94"/>
      <c r="N920" s="94"/>
      <c r="O920" s="94"/>
      <c r="P920" s="94"/>
      <c r="Q920" s="94"/>
      <c r="R920" s="94"/>
      <c r="S920" s="94"/>
      <c r="T920" s="94"/>
      <c r="U920" s="94"/>
      <c r="V920" s="94"/>
      <c r="W920" s="94"/>
      <c r="X920" s="94"/>
      <c r="Y920" s="94"/>
      <c r="Z920" s="94"/>
      <c r="AA920" s="94"/>
      <c r="AB920" s="94"/>
      <c r="AC920" s="94"/>
      <c r="AD920" s="94"/>
      <c r="AE920" s="94"/>
      <c r="AF920" s="94"/>
      <c r="AG920" s="94"/>
      <c r="AH920" s="94"/>
      <c r="AI920" s="94"/>
      <c r="AJ920" s="94"/>
      <c r="AK920" s="94"/>
      <c r="AL920" s="94"/>
      <c r="AM920" s="94"/>
      <c r="AN920" s="94"/>
      <c r="AO920" s="94"/>
      <c r="AP920" s="94"/>
      <c r="AQ920" s="94"/>
      <c r="AR920" s="94"/>
      <c r="AS920" s="94"/>
      <c r="AT920" s="94"/>
      <c r="AU920" s="94"/>
      <c r="AV920" s="94"/>
      <c r="AW920" s="94"/>
      <c r="AX920" s="94"/>
      <c r="AY920" s="94"/>
      <c r="AZ920" s="94"/>
      <c r="BA920" s="95"/>
    </row>
    <row r="921" spans="1:53" s="87" customFormat="1">
      <c r="A921" s="90" t="str">
        <f t="shared" si="40"/>
        <v/>
      </c>
      <c r="B921" s="98"/>
      <c r="C921" s="94"/>
      <c r="D921" s="94"/>
      <c r="E921" s="94"/>
      <c r="F921" s="94"/>
      <c r="G921" s="94"/>
      <c r="H921" s="94"/>
      <c r="I921" s="94"/>
      <c r="J921" s="94"/>
      <c r="K921" s="94"/>
      <c r="L921" s="94"/>
      <c r="M921" s="94"/>
      <c r="N921" s="94"/>
      <c r="O921" s="94"/>
      <c r="P921" s="94"/>
      <c r="Q921" s="94"/>
      <c r="R921" s="94"/>
      <c r="S921" s="94"/>
      <c r="T921" s="94"/>
      <c r="U921" s="94"/>
      <c r="V921" s="94"/>
      <c r="W921" s="94"/>
      <c r="X921" s="94"/>
      <c r="Y921" s="94"/>
      <c r="Z921" s="94"/>
      <c r="AA921" s="94"/>
      <c r="AB921" s="94"/>
      <c r="AC921" s="94"/>
      <c r="AD921" s="94"/>
      <c r="AE921" s="94"/>
      <c r="AF921" s="94"/>
      <c r="AG921" s="94"/>
      <c r="AH921" s="94"/>
      <c r="AI921" s="94"/>
      <c r="AJ921" s="94"/>
      <c r="AK921" s="94"/>
      <c r="AL921" s="94"/>
      <c r="AM921" s="94"/>
      <c r="AN921" s="94"/>
      <c r="AO921" s="94"/>
      <c r="AP921" s="94"/>
      <c r="AQ921" s="94"/>
      <c r="AR921" s="94"/>
      <c r="AS921" s="94"/>
      <c r="AT921" s="94"/>
      <c r="AU921" s="94"/>
      <c r="AV921" s="94"/>
      <c r="AW921" s="94"/>
      <c r="AX921" s="94"/>
      <c r="AY921" s="94"/>
      <c r="AZ921" s="94"/>
      <c r="BA921" s="95"/>
    </row>
    <row r="922" spans="1:53" s="87" customFormat="1">
      <c r="A922" s="90" t="str">
        <f t="shared" si="40"/>
        <v/>
      </c>
      <c r="B922" s="98"/>
      <c r="C922" s="94"/>
      <c r="D922" s="94"/>
      <c r="E922" s="94"/>
      <c r="F922" s="94"/>
      <c r="G922" s="94"/>
      <c r="H922" s="94"/>
      <c r="I922" s="94"/>
      <c r="J922" s="94"/>
      <c r="K922" s="94"/>
      <c r="L922" s="94"/>
      <c r="M922" s="94"/>
      <c r="N922" s="94"/>
      <c r="O922" s="94"/>
      <c r="P922" s="94"/>
      <c r="Q922" s="94"/>
      <c r="R922" s="94"/>
      <c r="S922" s="94"/>
      <c r="T922" s="94"/>
      <c r="U922" s="94"/>
      <c r="V922" s="94"/>
      <c r="W922" s="94"/>
      <c r="X922" s="94"/>
      <c r="Y922" s="94"/>
      <c r="Z922" s="94"/>
      <c r="AA922" s="94"/>
      <c r="AB922" s="94"/>
      <c r="AC922" s="94"/>
      <c r="AD922" s="94"/>
      <c r="AE922" s="94"/>
      <c r="AF922" s="94"/>
      <c r="AG922" s="94"/>
      <c r="AH922" s="94"/>
      <c r="AI922" s="94"/>
      <c r="AJ922" s="94"/>
      <c r="AK922" s="94"/>
      <c r="AL922" s="94"/>
      <c r="AM922" s="94"/>
      <c r="AN922" s="94"/>
      <c r="AO922" s="94"/>
      <c r="AP922" s="94"/>
      <c r="AQ922" s="94"/>
      <c r="AR922" s="94"/>
      <c r="AS922" s="94"/>
      <c r="AT922" s="94"/>
      <c r="AU922" s="94"/>
      <c r="AV922" s="94"/>
      <c r="AW922" s="94"/>
      <c r="AX922" s="94"/>
      <c r="AY922" s="94"/>
      <c r="AZ922" s="94"/>
      <c r="BA922" s="95"/>
    </row>
    <row r="923" spans="1:53" s="87" customFormat="1">
      <c r="A923" s="90" t="str">
        <f t="shared" si="40"/>
        <v/>
      </c>
      <c r="B923" s="98"/>
      <c r="C923" s="94"/>
      <c r="D923" s="94"/>
      <c r="E923" s="94"/>
      <c r="F923" s="94"/>
      <c r="G923" s="94"/>
      <c r="H923" s="94"/>
      <c r="I923" s="94"/>
      <c r="J923" s="94"/>
      <c r="K923" s="94"/>
      <c r="L923" s="94"/>
      <c r="M923" s="94"/>
      <c r="N923" s="94"/>
      <c r="O923" s="94"/>
      <c r="P923" s="94"/>
      <c r="Q923" s="94"/>
      <c r="R923" s="94"/>
      <c r="S923" s="94"/>
      <c r="T923" s="94"/>
      <c r="U923" s="94"/>
      <c r="V923" s="94"/>
      <c r="W923" s="94"/>
      <c r="X923" s="94"/>
      <c r="Y923" s="94"/>
      <c r="Z923" s="94"/>
      <c r="AA923" s="94"/>
      <c r="AB923" s="94"/>
      <c r="AC923" s="94"/>
      <c r="AD923" s="94"/>
      <c r="AE923" s="94"/>
      <c r="AF923" s="94"/>
      <c r="AG923" s="94"/>
      <c r="AH923" s="94"/>
      <c r="AI923" s="94"/>
      <c r="AJ923" s="94"/>
      <c r="AK923" s="94"/>
      <c r="AL923" s="94"/>
      <c r="AM923" s="94"/>
      <c r="AN923" s="94"/>
      <c r="AO923" s="94"/>
      <c r="AP923" s="94"/>
      <c r="AQ923" s="94"/>
      <c r="AR923" s="94"/>
      <c r="AS923" s="94"/>
      <c r="AT923" s="94"/>
      <c r="AU923" s="94"/>
      <c r="AV923" s="94"/>
      <c r="AW923" s="94"/>
      <c r="AX923" s="94"/>
      <c r="AY923" s="94"/>
      <c r="AZ923" s="94"/>
      <c r="BA923" s="95"/>
    </row>
    <row r="924" spans="1:53" s="87" customFormat="1">
      <c r="A924" s="90" t="str">
        <f t="shared" si="40"/>
        <v/>
      </c>
      <c r="B924" s="98"/>
      <c r="C924" s="94"/>
      <c r="D924" s="94"/>
      <c r="E924" s="94"/>
      <c r="F924" s="94"/>
      <c r="G924" s="94"/>
      <c r="H924" s="94"/>
      <c r="I924" s="94"/>
      <c r="J924" s="94"/>
      <c r="K924" s="94"/>
      <c r="L924" s="94"/>
      <c r="M924" s="94"/>
      <c r="N924" s="94"/>
      <c r="O924" s="94"/>
      <c r="P924" s="94"/>
      <c r="Q924" s="94"/>
      <c r="R924" s="94"/>
      <c r="S924" s="94"/>
      <c r="T924" s="94"/>
      <c r="U924" s="94"/>
      <c r="V924" s="94"/>
      <c r="W924" s="94"/>
      <c r="X924" s="94"/>
      <c r="Y924" s="94"/>
      <c r="Z924" s="94"/>
      <c r="AA924" s="94"/>
      <c r="AB924" s="94"/>
      <c r="AC924" s="94"/>
      <c r="AD924" s="94"/>
      <c r="AE924" s="94"/>
      <c r="AF924" s="94"/>
      <c r="AG924" s="94"/>
      <c r="AH924" s="94"/>
      <c r="AI924" s="94"/>
      <c r="AJ924" s="94"/>
      <c r="AK924" s="94"/>
      <c r="AL924" s="94"/>
      <c r="AM924" s="94"/>
      <c r="AN924" s="94"/>
      <c r="AO924" s="94"/>
      <c r="AP924" s="94"/>
      <c r="AQ924" s="94"/>
      <c r="AR924" s="94"/>
      <c r="AS924" s="94"/>
      <c r="AT924" s="94"/>
      <c r="AU924" s="94"/>
      <c r="AV924" s="94"/>
      <c r="AW924" s="94"/>
      <c r="AX924" s="94"/>
      <c r="AY924" s="94"/>
      <c r="AZ924" s="94"/>
      <c r="BA924" s="95"/>
    </row>
    <row r="925" spans="1:53" s="87" customFormat="1">
      <c r="A925" s="90" t="str">
        <f t="shared" si="40"/>
        <v/>
      </c>
      <c r="B925" s="98"/>
      <c r="C925" s="94"/>
      <c r="D925" s="94"/>
      <c r="E925" s="94"/>
      <c r="F925" s="94"/>
      <c r="G925" s="94"/>
      <c r="H925" s="94"/>
      <c r="I925" s="94"/>
      <c r="J925" s="94"/>
      <c r="K925" s="94"/>
      <c r="L925" s="94"/>
      <c r="M925" s="94"/>
      <c r="N925" s="94"/>
      <c r="O925" s="94"/>
      <c r="P925" s="94"/>
      <c r="Q925" s="94"/>
      <c r="R925" s="94"/>
      <c r="S925" s="94"/>
      <c r="T925" s="94"/>
      <c r="U925" s="94"/>
      <c r="V925" s="94"/>
      <c r="W925" s="94"/>
      <c r="X925" s="94"/>
      <c r="Y925" s="94"/>
      <c r="Z925" s="94"/>
      <c r="AA925" s="94"/>
      <c r="AB925" s="94"/>
      <c r="AC925" s="94"/>
      <c r="AD925" s="94"/>
      <c r="AE925" s="94"/>
      <c r="AF925" s="94"/>
      <c r="AG925" s="94"/>
      <c r="AH925" s="94"/>
      <c r="AI925" s="94"/>
      <c r="AJ925" s="94"/>
      <c r="AK925" s="94"/>
      <c r="AL925" s="94"/>
      <c r="AM925" s="94"/>
      <c r="AN925" s="94"/>
      <c r="AO925" s="94"/>
      <c r="AP925" s="94"/>
      <c r="AQ925" s="94"/>
      <c r="AR925" s="94"/>
      <c r="AS925" s="94"/>
      <c r="AT925" s="94"/>
      <c r="AU925" s="94"/>
      <c r="AV925" s="94"/>
      <c r="AW925" s="94"/>
      <c r="AX925" s="94"/>
      <c r="AY925" s="94"/>
      <c r="AZ925" s="94"/>
      <c r="BA925" s="95"/>
    </row>
    <row r="926" spans="1:53" s="87" customFormat="1">
      <c r="A926" s="90" t="str">
        <f t="shared" si="40"/>
        <v/>
      </c>
      <c r="B926" s="98"/>
      <c r="C926" s="94"/>
      <c r="D926" s="94"/>
      <c r="E926" s="94"/>
      <c r="F926" s="94"/>
      <c r="G926" s="94"/>
      <c r="H926" s="94"/>
      <c r="I926" s="94"/>
      <c r="J926" s="94"/>
      <c r="K926" s="94"/>
      <c r="L926" s="94"/>
      <c r="M926" s="94"/>
      <c r="N926" s="94"/>
      <c r="O926" s="94"/>
      <c r="P926" s="94"/>
      <c r="Q926" s="94"/>
      <c r="R926" s="94"/>
      <c r="S926" s="94"/>
      <c r="T926" s="94"/>
      <c r="U926" s="94"/>
      <c r="V926" s="94"/>
      <c r="W926" s="94"/>
      <c r="X926" s="94"/>
      <c r="Y926" s="94"/>
      <c r="Z926" s="94"/>
      <c r="AA926" s="94"/>
      <c r="AB926" s="94"/>
      <c r="AC926" s="94"/>
      <c r="AD926" s="94"/>
      <c r="AE926" s="94"/>
      <c r="AF926" s="94"/>
      <c r="AG926" s="94"/>
      <c r="AH926" s="94"/>
      <c r="AI926" s="94"/>
      <c r="AJ926" s="94"/>
      <c r="AK926" s="94"/>
      <c r="AL926" s="94"/>
      <c r="AM926" s="94"/>
      <c r="AN926" s="94"/>
      <c r="AO926" s="94"/>
      <c r="AP926" s="94"/>
      <c r="AQ926" s="94"/>
      <c r="AR926" s="94"/>
      <c r="AS926" s="94"/>
      <c r="AT926" s="94"/>
      <c r="AU926" s="94"/>
      <c r="AV926" s="94"/>
      <c r="AW926" s="94"/>
      <c r="AX926" s="94"/>
      <c r="AY926" s="94"/>
      <c r="AZ926" s="94"/>
      <c r="BA926" s="95"/>
    </row>
    <row r="927" spans="1:53" s="87" customFormat="1">
      <c r="A927" s="90" t="str">
        <f t="shared" si="40"/>
        <v/>
      </c>
      <c r="B927" s="98"/>
      <c r="C927" s="94"/>
      <c r="D927" s="94"/>
      <c r="E927" s="94"/>
      <c r="F927" s="94"/>
      <c r="G927" s="94"/>
      <c r="H927" s="94"/>
      <c r="I927" s="94"/>
      <c r="J927" s="94"/>
      <c r="K927" s="94"/>
      <c r="L927" s="94"/>
      <c r="M927" s="94"/>
      <c r="N927" s="94"/>
      <c r="O927" s="94"/>
      <c r="P927" s="94"/>
      <c r="Q927" s="94"/>
      <c r="R927" s="94"/>
      <c r="S927" s="94"/>
      <c r="T927" s="94"/>
      <c r="U927" s="94"/>
      <c r="V927" s="94"/>
      <c r="W927" s="94"/>
      <c r="X927" s="94"/>
      <c r="Y927" s="94"/>
      <c r="Z927" s="94"/>
      <c r="AA927" s="94"/>
      <c r="AB927" s="94"/>
      <c r="AC927" s="94"/>
      <c r="AD927" s="94"/>
      <c r="AE927" s="94"/>
      <c r="AF927" s="94"/>
      <c r="AG927" s="94"/>
      <c r="AH927" s="94"/>
      <c r="AI927" s="94"/>
      <c r="AJ927" s="94"/>
      <c r="AK927" s="94"/>
      <c r="AL927" s="94"/>
      <c r="AM927" s="94"/>
      <c r="AN927" s="94"/>
      <c r="AO927" s="94"/>
      <c r="AP927" s="94"/>
      <c r="AQ927" s="94"/>
      <c r="AR927" s="94"/>
      <c r="AS927" s="94"/>
      <c r="AT927" s="94"/>
      <c r="AU927" s="94"/>
      <c r="AV927" s="94"/>
      <c r="AW927" s="94"/>
      <c r="AX927" s="94"/>
      <c r="AY927" s="94"/>
      <c r="AZ927" s="94"/>
      <c r="BA927" s="95"/>
    </row>
    <row r="928" spans="1:53" s="87" customFormat="1">
      <c r="A928" s="90" t="str">
        <f t="shared" si="40"/>
        <v/>
      </c>
      <c r="B928" s="98"/>
      <c r="C928" s="94"/>
      <c r="D928" s="94"/>
      <c r="E928" s="94"/>
      <c r="F928" s="94"/>
      <c r="G928" s="94"/>
      <c r="H928" s="94"/>
      <c r="I928" s="94"/>
      <c r="J928" s="94"/>
      <c r="K928" s="94"/>
      <c r="L928" s="94"/>
      <c r="M928" s="94"/>
      <c r="N928" s="94"/>
      <c r="O928" s="94"/>
      <c r="P928" s="94"/>
      <c r="Q928" s="94"/>
      <c r="R928" s="94"/>
      <c r="S928" s="94"/>
      <c r="T928" s="94"/>
      <c r="U928" s="94"/>
      <c r="V928" s="94"/>
      <c r="W928" s="94"/>
      <c r="X928" s="94"/>
      <c r="Y928" s="94"/>
      <c r="Z928" s="94"/>
      <c r="AA928" s="94"/>
      <c r="AB928" s="94"/>
      <c r="AC928" s="94"/>
      <c r="AD928" s="94"/>
      <c r="AE928" s="94"/>
      <c r="AF928" s="94"/>
      <c r="AG928" s="94"/>
      <c r="AH928" s="94"/>
      <c r="AI928" s="94"/>
      <c r="AJ928" s="94"/>
      <c r="AK928" s="94"/>
      <c r="AL928" s="94"/>
      <c r="AM928" s="94"/>
      <c r="AN928" s="94"/>
      <c r="AO928" s="94"/>
      <c r="AP928" s="94"/>
      <c r="AQ928" s="94"/>
      <c r="AR928" s="94"/>
      <c r="AS928" s="94"/>
      <c r="AT928" s="94"/>
      <c r="AU928" s="94"/>
      <c r="AV928" s="94"/>
      <c r="AW928" s="94"/>
      <c r="AX928" s="94"/>
      <c r="AY928" s="94"/>
      <c r="AZ928" s="94"/>
      <c r="BA928" s="95"/>
    </row>
    <row r="929" spans="1:53" s="87" customFormat="1">
      <c r="A929" s="90" t="str">
        <f t="shared" si="40"/>
        <v/>
      </c>
      <c r="B929" s="98"/>
      <c r="C929" s="94"/>
      <c r="D929" s="94"/>
      <c r="E929" s="94"/>
      <c r="F929" s="94"/>
      <c r="G929" s="94"/>
      <c r="H929" s="94"/>
      <c r="I929" s="94"/>
      <c r="J929" s="94"/>
      <c r="K929" s="94"/>
      <c r="L929" s="94"/>
      <c r="M929" s="94"/>
      <c r="N929" s="94"/>
      <c r="O929" s="94"/>
      <c r="P929" s="94"/>
      <c r="Q929" s="94"/>
      <c r="R929" s="94"/>
      <c r="S929" s="94"/>
      <c r="T929" s="94"/>
      <c r="U929" s="94"/>
      <c r="V929" s="94"/>
      <c r="W929" s="94"/>
      <c r="X929" s="94"/>
      <c r="Y929" s="94"/>
      <c r="Z929" s="94"/>
      <c r="AA929" s="94"/>
      <c r="AB929" s="94"/>
      <c r="AC929" s="94"/>
      <c r="AD929" s="94"/>
      <c r="AE929" s="94"/>
      <c r="AF929" s="94"/>
      <c r="AG929" s="94"/>
      <c r="AH929" s="94"/>
      <c r="AI929" s="94"/>
      <c r="AJ929" s="94"/>
      <c r="AK929" s="94"/>
      <c r="AL929" s="94"/>
      <c r="AM929" s="94"/>
      <c r="AN929" s="94"/>
      <c r="AO929" s="94"/>
      <c r="AP929" s="94"/>
      <c r="AQ929" s="94"/>
      <c r="AR929" s="94"/>
      <c r="AS929" s="94"/>
      <c r="AT929" s="94"/>
      <c r="AU929" s="94"/>
      <c r="AV929" s="94"/>
      <c r="AW929" s="94"/>
      <c r="AX929" s="94"/>
      <c r="AY929" s="94"/>
      <c r="AZ929" s="94"/>
      <c r="BA929" s="95"/>
    </row>
    <row r="930" spans="1:53" s="87" customFormat="1">
      <c r="A930" s="90" t="str">
        <f t="shared" si="40"/>
        <v/>
      </c>
      <c r="B930" s="98"/>
      <c r="C930" s="94"/>
      <c r="D930" s="94"/>
      <c r="E930" s="94"/>
      <c r="F930" s="94"/>
      <c r="G930" s="94"/>
      <c r="H930" s="94"/>
      <c r="I930" s="94"/>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5"/>
    </row>
    <row r="931" spans="1:53" s="87" customFormat="1">
      <c r="A931" s="90" t="str">
        <f t="shared" si="40"/>
        <v/>
      </c>
      <c r="B931" s="98"/>
      <c r="C931" s="94"/>
      <c r="D931" s="94"/>
      <c r="E931" s="94"/>
      <c r="F931" s="94"/>
      <c r="G931" s="94"/>
      <c r="H931" s="94"/>
      <c r="I931" s="94"/>
      <c r="J931" s="94"/>
      <c r="K931" s="94"/>
      <c r="L931" s="94"/>
      <c r="M931" s="94"/>
      <c r="N931" s="94"/>
      <c r="O931" s="94"/>
      <c r="P931" s="94"/>
      <c r="Q931" s="94"/>
      <c r="R931" s="94"/>
      <c r="S931" s="94"/>
      <c r="T931" s="94"/>
      <c r="U931" s="94"/>
      <c r="V931" s="94"/>
      <c r="W931" s="94"/>
      <c r="X931" s="94"/>
      <c r="Y931" s="94"/>
      <c r="Z931" s="94"/>
      <c r="AA931" s="94"/>
      <c r="AB931" s="94"/>
      <c r="AC931" s="94"/>
      <c r="AD931" s="94"/>
      <c r="AE931" s="94"/>
      <c r="AF931" s="94"/>
      <c r="AG931" s="94"/>
      <c r="AH931" s="94"/>
      <c r="AI931" s="94"/>
      <c r="AJ931" s="94"/>
      <c r="AK931" s="94"/>
      <c r="AL931" s="94"/>
      <c r="AM931" s="94"/>
      <c r="AN931" s="94"/>
      <c r="AO931" s="94"/>
      <c r="AP931" s="94"/>
      <c r="AQ931" s="94"/>
      <c r="AR931" s="94"/>
      <c r="AS931" s="94"/>
      <c r="AT931" s="94"/>
      <c r="AU931" s="94"/>
      <c r="AV931" s="94"/>
      <c r="AW931" s="94"/>
      <c r="AX931" s="94"/>
      <c r="AY931" s="94"/>
      <c r="AZ931" s="94"/>
      <c r="BA931" s="95"/>
    </row>
    <row r="932" spans="1:53" s="87" customFormat="1">
      <c r="A932" s="90" t="str">
        <f t="shared" si="40"/>
        <v/>
      </c>
      <c r="B932" s="98"/>
      <c r="C932" s="94"/>
      <c r="D932" s="94"/>
      <c r="E932" s="94"/>
      <c r="F932" s="94"/>
      <c r="G932" s="94"/>
      <c r="H932" s="94"/>
      <c r="I932" s="94"/>
      <c r="J932" s="94"/>
      <c r="K932" s="94"/>
      <c r="L932" s="94"/>
      <c r="M932" s="94"/>
      <c r="N932" s="94"/>
      <c r="O932" s="94"/>
      <c r="P932" s="94"/>
      <c r="Q932" s="94"/>
      <c r="R932" s="94"/>
      <c r="S932" s="94"/>
      <c r="T932" s="94"/>
      <c r="U932" s="94"/>
      <c r="V932" s="94"/>
      <c r="W932" s="94"/>
      <c r="X932" s="94"/>
      <c r="Y932" s="94"/>
      <c r="Z932" s="94"/>
      <c r="AA932" s="94"/>
      <c r="AB932" s="94"/>
      <c r="AC932" s="94"/>
      <c r="AD932" s="94"/>
      <c r="AE932" s="94"/>
      <c r="AF932" s="94"/>
      <c r="AG932" s="94"/>
      <c r="AH932" s="94"/>
      <c r="AI932" s="94"/>
      <c r="AJ932" s="94"/>
      <c r="AK932" s="94"/>
      <c r="AL932" s="94"/>
      <c r="AM932" s="94"/>
      <c r="AN932" s="94"/>
      <c r="AO932" s="94"/>
      <c r="AP932" s="94"/>
      <c r="AQ932" s="94"/>
      <c r="AR932" s="94"/>
      <c r="AS932" s="94"/>
      <c r="AT932" s="94"/>
      <c r="AU932" s="94"/>
      <c r="AV932" s="94"/>
      <c r="AW932" s="94"/>
      <c r="AX932" s="94"/>
      <c r="AY932" s="94"/>
      <c r="AZ932" s="94"/>
      <c r="BA932" s="95"/>
    </row>
    <row r="933" spans="1:53" s="87" customFormat="1">
      <c r="A933" s="90" t="str">
        <f t="shared" si="40"/>
        <v/>
      </c>
      <c r="B933" s="98"/>
      <c r="C933" s="94"/>
      <c r="D933" s="94"/>
      <c r="E933" s="94"/>
      <c r="F933" s="94"/>
      <c r="G933" s="94"/>
      <c r="H933" s="94"/>
      <c r="I933" s="94"/>
      <c r="J933" s="94"/>
      <c r="K933" s="94"/>
      <c r="L933" s="94"/>
      <c r="M933" s="94"/>
      <c r="N933" s="94"/>
      <c r="O933" s="94"/>
      <c r="P933" s="94"/>
      <c r="Q933" s="94"/>
      <c r="R933" s="94"/>
      <c r="S933" s="94"/>
      <c r="T933" s="94"/>
      <c r="U933" s="94"/>
      <c r="V933" s="94"/>
      <c r="W933" s="94"/>
      <c r="X933" s="94"/>
      <c r="Y933" s="94"/>
      <c r="Z933" s="94"/>
      <c r="AA933" s="94"/>
      <c r="AB933" s="94"/>
      <c r="AC933" s="94"/>
      <c r="AD933" s="94"/>
      <c r="AE933" s="94"/>
      <c r="AF933" s="94"/>
      <c r="AG933" s="94"/>
      <c r="AH933" s="94"/>
      <c r="AI933" s="94"/>
      <c r="AJ933" s="94"/>
      <c r="AK933" s="94"/>
      <c r="AL933" s="94"/>
      <c r="AM933" s="94"/>
      <c r="AN933" s="94"/>
      <c r="AO933" s="94"/>
      <c r="AP933" s="94"/>
      <c r="AQ933" s="94"/>
      <c r="AR933" s="94"/>
      <c r="AS933" s="94"/>
      <c r="AT933" s="94"/>
      <c r="AU933" s="94"/>
      <c r="AV933" s="94"/>
      <c r="AW933" s="94"/>
      <c r="AX933" s="94"/>
      <c r="AY933" s="94"/>
      <c r="AZ933" s="94"/>
      <c r="BA933" s="95"/>
    </row>
    <row r="934" spans="1:53" s="87" customFormat="1">
      <c r="A934" s="90" t="str">
        <f t="shared" si="40"/>
        <v/>
      </c>
      <c r="B934" s="98"/>
      <c r="C934" s="94"/>
      <c r="D934" s="94"/>
      <c r="E934" s="94"/>
      <c r="F934" s="94"/>
      <c r="G934" s="94"/>
      <c r="H934" s="94"/>
      <c r="I934" s="94"/>
      <c r="J934" s="94"/>
      <c r="K934" s="94"/>
      <c r="L934" s="94"/>
      <c r="M934" s="94"/>
      <c r="N934" s="94"/>
      <c r="O934" s="94"/>
      <c r="P934" s="94"/>
      <c r="Q934" s="94"/>
      <c r="R934" s="94"/>
      <c r="S934" s="94"/>
      <c r="T934" s="94"/>
      <c r="U934" s="94"/>
      <c r="V934" s="94"/>
      <c r="W934" s="94"/>
      <c r="X934" s="94"/>
      <c r="Y934" s="94"/>
      <c r="Z934" s="94"/>
      <c r="AA934" s="94"/>
      <c r="AB934" s="94"/>
      <c r="AC934" s="94"/>
      <c r="AD934" s="94"/>
      <c r="AE934" s="94"/>
      <c r="AF934" s="94"/>
      <c r="AG934" s="94"/>
      <c r="AH934" s="94"/>
      <c r="AI934" s="94"/>
      <c r="AJ934" s="94"/>
      <c r="AK934" s="94"/>
      <c r="AL934" s="94"/>
      <c r="AM934" s="94"/>
      <c r="AN934" s="94"/>
      <c r="AO934" s="94"/>
      <c r="AP934" s="94"/>
      <c r="AQ934" s="94"/>
      <c r="AR934" s="94"/>
      <c r="AS934" s="94"/>
      <c r="AT934" s="94"/>
      <c r="AU934" s="94"/>
      <c r="AV934" s="94"/>
      <c r="AW934" s="94"/>
      <c r="AX934" s="94"/>
      <c r="AY934" s="94"/>
      <c r="AZ934" s="94"/>
      <c r="BA934" s="95"/>
    </row>
    <row r="935" spans="1:53" s="87" customFormat="1">
      <c r="A935" s="90" t="str">
        <f t="shared" si="40"/>
        <v/>
      </c>
      <c r="B935" s="98"/>
      <c r="C935" s="94"/>
      <c r="D935" s="94"/>
      <c r="E935" s="94"/>
      <c r="F935" s="94"/>
      <c r="G935" s="94"/>
      <c r="H935" s="94"/>
      <c r="I935" s="94"/>
      <c r="J935" s="94"/>
      <c r="K935" s="94"/>
      <c r="L935" s="94"/>
      <c r="M935" s="94"/>
      <c r="N935" s="94"/>
      <c r="O935" s="94"/>
      <c r="P935" s="94"/>
      <c r="Q935" s="94"/>
      <c r="R935" s="94"/>
      <c r="S935" s="94"/>
      <c r="T935" s="94"/>
      <c r="U935" s="94"/>
      <c r="V935" s="94"/>
      <c r="W935" s="94"/>
      <c r="X935" s="94"/>
      <c r="Y935" s="94"/>
      <c r="Z935" s="94"/>
      <c r="AA935" s="94"/>
      <c r="AB935" s="94"/>
      <c r="AC935" s="94"/>
      <c r="AD935" s="94"/>
      <c r="AE935" s="94"/>
      <c r="AF935" s="94"/>
      <c r="AG935" s="94"/>
      <c r="AH935" s="94"/>
      <c r="AI935" s="94"/>
      <c r="AJ935" s="94"/>
      <c r="AK935" s="94"/>
      <c r="AL935" s="94"/>
      <c r="AM935" s="94"/>
      <c r="AN935" s="94"/>
      <c r="AO935" s="94"/>
      <c r="AP935" s="94"/>
      <c r="AQ935" s="94"/>
      <c r="AR935" s="94"/>
      <c r="AS935" s="94"/>
      <c r="AT935" s="94"/>
      <c r="AU935" s="94"/>
      <c r="AV935" s="94"/>
      <c r="AW935" s="94"/>
      <c r="AX935" s="94"/>
      <c r="AY935" s="94"/>
      <c r="AZ935" s="94"/>
      <c r="BA935" s="95"/>
    </row>
    <row r="936" spans="1:53" s="87" customFormat="1">
      <c r="A936" s="90" t="str">
        <f t="shared" si="40"/>
        <v/>
      </c>
      <c r="B936" s="98"/>
      <c r="C936" s="94"/>
      <c r="D936" s="94"/>
      <c r="E936" s="94"/>
      <c r="F936" s="94"/>
      <c r="G936" s="94"/>
      <c r="H936" s="94"/>
      <c r="I936" s="94"/>
      <c r="J936" s="94"/>
      <c r="K936" s="94"/>
      <c r="L936" s="94"/>
      <c r="M936" s="94"/>
      <c r="N936" s="94"/>
      <c r="O936" s="94"/>
      <c r="P936" s="94"/>
      <c r="Q936" s="94"/>
      <c r="R936" s="94"/>
      <c r="S936" s="94"/>
      <c r="T936" s="94"/>
      <c r="U936" s="94"/>
      <c r="V936" s="94"/>
      <c r="W936" s="94"/>
      <c r="X936" s="94"/>
      <c r="Y936" s="94"/>
      <c r="Z936" s="94"/>
      <c r="AA936" s="94"/>
      <c r="AB936" s="94"/>
      <c r="AC936" s="94"/>
      <c r="AD936" s="94"/>
      <c r="AE936" s="94"/>
      <c r="AF936" s="94"/>
      <c r="AG936" s="94"/>
      <c r="AH936" s="94"/>
      <c r="AI936" s="94"/>
      <c r="AJ936" s="94"/>
      <c r="AK936" s="94"/>
      <c r="AL936" s="94"/>
      <c r="AM936" s="94"/>
      <c r="AN936" s="94"/>
      <c r="AO936" s="94"/>
      <c r="AP936" s="94"/>
      <c r="AQ936" s="94"/>
      <c r="AR936" s="94"/>
      <c r="AS936" s="94"/>
      <c r="AT936" s="94"/>
      <c r="AU936" s="94"/>
      <c r="AV936" s="94"/>
      <c r="AW936" s="94"/>
      <c r="AX936" s="94"/>
      <c r="AY936" s="94"/>
      <c r="AZ936" s="94"/>
      <c r="BA936" s="95"/>
    </row>
    <row r="937" spans="1:53" s="87" customFormat="1">
      <c r="A937" s="90" t="str">
        <f t="shared" si="40"/>
        <v/>
      </c>
      <c r="B937" s="98"/>
      <c r="C937" s="94"/>
      <c r="D937" s="94"/>
      <c r="E937" s="94"/>
      <c r="F937" s="94"/>
      <c r="G937" s="94"/>
      <c r="H937" s="94"/>
      <c r="I937" s="94"/>
      <c r="J937" s="94"/>
      <c r="K937" s="94"/>
      <c r="L937" s="94"/>
      <c r="M937" s="94"/>
      <c r="N937" s="94"/>
      <c r="O937" s="94"/>
      <c r="P937" s="94"/>
      <c r="Q937" s="94"/>
      <c r="R937" s="94"/>
      <c r="S937" s="94"/>
      <c r="T937" s="94"/>
      <c r="U937" s="94"/>
      <c r="V937" s="94"/>
      <c r="W937" s="94"/>
      <c r="X937" s="94"/>
      <c r="Y937" s="94"/>
      <c r="Z937" s="94"/>
      <c r="AA937" s="94"/>
      <c r="AB937" s="94"/>
      <c r="AC937" s="94"/>
      <c r="AD937" s="94"/>
      <c r="AE937" s="94"/>
      <c r="AF937" s="94"/>
      <c r="AG937" s="94"/>
      <c r="AH937" s="94"/>
      <c r="AI937" s="94"/>
      <c r="AJ937" s="94"/>
      <c r="AK937" s="94"/>
      <c r="AL937" s="94"/>
      <c r="AM937" s="94"/>
      <c r="AN937" s="94"/>
      <c r="AO937" s="94"/>
      <c r="AP937" s="94"/>
      <c r="AQ937" s="94"/>
      <c r="AR937" s="94"/>
      <c r="AS937" s="94"/>
      <c r="AT937" s="94"/>
      <c r="AU937" s="94"/>
      <c r="AV937" s="94"/>
      <c r="AW937" s="94"/>
      <c r="AX937" s="94"/>
      <c r="AY937" s="94"/>
      <c r="AZ937" s="94"/>
      <c r="BA937" s="95"/>
    </row>
    <row r="938" spans="1:53" s="87" customFormat="1">
      <c r="A938" s="90" t="str">
        <f t="shared" si="40"/>
        <v/>
      </c>
      <c r="B938" s="98"/>
      <c r="C938" s="94"/>
      <c r="D938" s="94"/>
      <c r="E938" s="94"/>
      <c r="F938" s="94"/>
      <c r="G938" s="94"/>
      <c r="H938" s="94"/>
      <c r="I938" s="94"/>
      <c r="J938" s="94"/>
      <c r="K938" s="94"/>
      <c r="L938" s="94"/>
      <c r="M938" s="94"/>
      <c r="N938" s="94"/>
      <c r="O938" s="94"/>
      <c r="P938" s="94"/>
      <c r="Q938" s="94"/>
      <c r="R938" s="94"/>
      <c r="S938" s="94"/>
      <c r="T938" s="94"/>
      <c r="U938" s="94"/>
      <c r="V938" s="94"/>
      <c r="W938" s="94"/>
      <c r="X938" s="94"/>
      <c r="Y938" s="94"/>
      <c r="Z938" s="94"/>
      <c r="AA938" s="94"/>
      <c r="AB938" s="94"/>
      <c r="AC938" s="94"/>
      <c r="AD938" s="94"/>
      <c r="AE938" s="94"/>
      <c r="AF938" s="94"/>
      <c r="AG938" s="94"/>
      <c r="AH938" s="94"/>
      <c r="AI938" s="94"/>
      <c r="AJ938" s="94"/>
      <c r="AK938" s="94"/>
      <c r="AL938" s="94"/>
      <c r="AM938" s="94"/>
      <c r="AN938" s="94"/>
      <c r="AO938" s="94"/>
      <c r="AP938" s="94"/>
      <c r="AQ938" s="94"/>
      <c r="AR938" s="94"/>
      <c r="AS938" s="94"/>
      <c r="AT938" s="94"/>
      <c r="AU938" s="94"/>
      <c r="AV938" s="94"/>
      <c r="AW938" s="94"/>
      <c r="AX938" s="94"/>
      <c r="AY938" s="94"/>
      <c r="AZ938" s="94"/>
      <c r="BA938" s="95"/>
    </row>
    <row r="939" spans="1:53" s="87" customFormat="1">
      <c r="A939" s="90" t="str">
        <f t="shared" si="40"/>
        <v/>
      </c>
      <c r="B939" s="98"/>
      <c r="C939" s="94"/>
      <c r="D939" s="94"/>
      <c r="E939" s="94"/>
      <c r="F939" s="94"/>
      <c r="G939" s="94"/>
      <c r="H939" s="94"/>
      <c r="I939" s="94"/>
      <c r="J939" s="94"/>
      <c r="K939" s="94"/>
      <c r="L939" s="94"/>
      <c r="M939" s="94"/>
      <c r="N939" s="94"/>
      <c r="O939" s="94"/>
      <c r="P939" s="94"/>
      <c r="Q939" s="94"/>
      <c r="R939" s="94"/>
      <c r="S939" s="94"/>
      <c r="T939" s="94"/>
      <c r="U939" s="94"/>
      <c r="V939" s="94"/>
      <c r="W939" s="94"/>
      <c r="X939" s="94"/>
      <c r="Y939" s="94"/>
      <c r="Z939" s="94"/>
      <c r="AA939" s="94"/>
      <c r="AB939" s="94"/>
      <c r="AC939" s="94"/>
      <c r="AD939" s="94"/>
      <c r="AE939" s="94"/>
      <c r="AF939" s="94"/>
      <c r="AG939" s="94"/>
      <c r="AH939" s="94"/>
      <c r="AI939" s="94"/>
      <c r="AJ939" s="94"/>
      <c r="AK939" s="94"/>
      <c r="AL939" s="94"/>
      <c r="AM939" s="94"/>
      <c r="AN939" s="94"/>
      <c r="AO939" s="94"/>
      <c r="AP939" s="94"/>
      <c r="AQ939" s="94"/>
      <c r="AR939" s="94"/>
      <c r="AS939" s="94"/>
      <c r="AT939" s="94"/>
      <c r="AU939" s="94"/>
      <c r="AV939" s="94"/>
      <c r="AW939" s="94"/>
      <c r="AX939" s="94"/>
      <c r="AY939" s="94"/>
      <c r="AZ939" s="94"/>
      <c r="BA939" s="95"/>
    </row>
    <row r="940" spans="1:53" s="87" customFormat="1">
      <c r="A940" s="90" t="str">
        <f t="shared" si="40"/>
        <v/>
      </c>
      <c r="B940" s="98"/>
      <c r="C940" s="94"/>
      <c r="D940" s="94"/>
      <c r="E940" s="94"/>
      <c r="F940" s="94"/>
      <c r="G940" s="94"/>
      <c r="H940" s="94"/>
      <c r="I940" s="94"/>
      <c r="J940" s="94"/>
      <c r="K940" s="94"/>
      <c r="L940" s="94"/>
      <c r="M940" s="94"/>
      <c r="N940" s="94"/>
      <c r="O940" s="94"/>
      <c r="P940" s="94"/>
      <c r="Q940" s="94"/>
      <c r="R940" s="94"/>
      <c r="S940" s="94"/>
      <c r="T940" s="94"/>
      <c r="U940" s="94"/>
      <c r="V940" s="94"/>
      <c r="W940" s="94"/>
      <c r="X940" s="94"/>
      <c r="Y940" s="94"/>
      <c r="Z940" s="94"/>
      <c r="AA940" s="94"/>
      <c r="AB940" s="94"/>
      <c r="AC940" s="94"/>
      <c r="AD940" s="94"/>
      <c r="AE940" s="94"/>
      <c r="AF940" s="94"/>
      <c r="AG940" s="94"/>
      <c r="AH940" s="94"/>
      <c r="AI940" s="94"/>
      <c r="AJ940" s="94"/>
      <c r="AK940" s="94"/>
      <c r="AL940" s="94"/>
      <c r="AM940" s="94"/>
      <c r="AN940" s="94"/>
      <c r="AO940" s="94"/>
      <c r="AP940" s="94"/>
      <c r="AQ940" s="94"/>
      <c r="AR940" s="94"/>
      <c r="AS940" s="94"/>
      <c r="AT940" s="94"/>
      <c r="AU940" s="94"/>
      <c r="AV940" s="94"/>
      <c r="AW940" s="94"/>
      <c r="AX940" s="94"/>
      <c r="AY940" s="94"/>
      <c r="AZ940" s="94"/>
      <c r="BA940" s="95"/>
    </row>
    <row r="941" spans="1:53" s="87" customFormat="1">
      <c r="A941" s="90" t="str">
        <f t="shared" si="40"/>
        <v/>
      </c>
      <c r="B941" s="98"/>
      <c r="C941" s="94"/>
      <c r="D941" s="94"/>
      <c r="E941" s="94"/>
      <c r="F941" s="94"/>
      <c r="G941" s="94"/>
      <c r="H941" s="94"/>
      <c r="I941" s="94"/>
      <c r="J941" s="94"/>
      <c r="K941" s="94"/>
      <c r="L941" s="94"/>
      <c r="M941" s="94"/>
      <c r="N941" s="94"/>
      <c r="O941" s="94"/>
      <c r="P941" s="94"/>
      <c r="Q941" s="94"/>
      <c r="R941" s="94"/>
      <c r="S941" s="94"/>
      <c r="T941" s="94"/>
      <c r="U941" s="94"/>
      <c r="V941" s="94"/>
      <c r="W941" s="94"/>
      <c r="X941" s="94"/>
      <c r="Y941" s="94"/>
      <c r="Z941" s="94"/>
      <c r="AA941" s="94"/>
      <c r="AB941" s="94"/>
      <c r="AC941" s="94"/>
      <c r="AD941" s="94"/>
      <c r="AE941" s="94"/>
      <c r="AF941" s="94"/>
      <c r="AG941" s="94"/>
      <c r="AH941" s="94"/>
      <c r="AI941" s="94"/>
      <c r="AJ941" s="94"/>
      <c r="AK941" s="94"/>
      <c r="AL941" s="94"/>
      <c r="AM941" s="94"/>
      <c r="AN941" s="94"/>
      <c r="AO941" s="94"/>
      <c r="AP941" s="94"/>
      <c r="AQ941" s="94"/>
      <c r="AR941" s="94"/>
      <c r="AS941" s="94"/>
      <c r="AT941" s="94"/>
      <c r="AU941" s="94"/>
      <c r="AV941" s="94"/>
      <c r="AW941" s="94"/>
      <c r="AX941" s="94"/>
      <c r="AY941" s="94"/>
      <c r="AZ941" s="94"/>
      <c r="BA941" s="95"/>
    </row>
    <row r="942" spans="1:53" s="87" customFormat="1">
      <c r="A942" s="90" t="str">
        <f t="shared" si="40"/>
        <v/>
      </c>
      <c r="B942" s="98"/>
      <c r="C942" s="94"/>
      <c r="D942" s="94"/>
      <c r="E942" s="94"/>
      <c r="F942" s="94"/>
      <c r="G942" s="94"/>
      <c r="H942" s="94"/>
      <c r="I942" s="94"/>
      <c r="J942" s="94"/>
      <c r="K942" s="94"/>
      <c r="L942" s="94"/>
      <c r="M942" s="94"/>
      <c r="N942" s="94"/>
      <c r="O942" s="94"/>
      <c r="P942" s="94"/>
      <c r="Q942" s="94"/>
      <c r="R942" s="94"/>
      <c r="S942" s="94"/>
      <c r="T942" s="94"/>
      <c r="U942" s="94"/>
      <c r="V942" s="94"/>
      <c r="W942" s="94"/>
      <c r="X942" s="94"/>
      <c r="Y942" s="94"/>
      <c r="Z942" s="94"/>
      <c r="AA942" s="94"/>
      <c r="AB942" s="94"/>
      <c r="AC942" s="94"/>
      <c r="AD942" s="94"/>
      <c r="AE942" s="94"/>
      <c r="AF942" s="94"/>
      <c r="AG942" s="94"/>
      <c r="AH942" s="94"/>
      <c r="AI942" s="94"/>
      <c r="AJ942" s="94"/>
      <c r="AK942" s="94"/>
      <c r="AL942" s="94"/>
      <c r="AM942" s="94"/>
      <c r="AN942" s="94"/>
      <c r="AO942" s="94"/>
      <c r="AP942" s="94"/>
      <c r="AQ942" s="94"/>
      <c r="AR942" s="94"/>
      <c r="AS942" s="94"/>
      <c r="AT942" s="94"/>
      <c r="AU942" s="94"/>
      <c r="AV942" s="94"/>
      <c r="AW942" s="94"/>
      <c r="AX942" s="94"/>
      <c r="AY942" s="94"/>
      <c r="AZ942" s="94"/>
      <c r="BA942" s="95"/>
    </row>
    <row r="943" spans="1:53" s="87" customFormat="1">
      <c r="A943" s="90" t="str">
        <f t="shared" si="40"/>
        <v/>
      </c>
      <c r="B943" s="98"/>
      <c r="C943" s="94"/>
      <c r="D943" s="94"/>
      <c r="E943" s="94"/>
      <c r="F943" s="94"/>
      <c r="G943" s="94"/>
      <c r="H943" s="94"/>
      <c r="I943" s="94"/>
      <c r="J943" s="94"/>
      <c r="K943" s="94"/>
      <c r="L943" s="94"/>
      <c r="M943" s="94"/>
      <c r="N943" s="94"/>
      <c r="O943" s="94"/>
      <c r="P943" s="94"/>
      <c r="Q943" s="94"/>
      <c r="R943" s="94"/>
      <c r="S943" s="94"/>
      <c r="T943" s="94"/>
      <c r="U943" s="94"/>
      <c r="V943" s="94"/>
      <c r="W943" s="94"/>
      <c r="X943" s="94"/>
      <c r="Y943" s="94"/>
      <c r="Z943" s="94"/>
      <c r="AA943" s="94"/>
      <c r="AB943" s="94"/>
      <c r="AC943" s="94"/>
      <c r="AD943" s="94"/>
      <c r="AE943" s="94"/>
      <c r="AF943" s="94"/>
      <c r="AG943" s="94"/>
      <c r="AH943" s="94"/>
      <c r="AI943" s="94"/>
      <c r="AJ943" s="94"/>
      <c r="AK943" s="94"/>
      <c r="AL943" s="94"/>
      <c r="AM943" s="94"/>
      <c r="AN943" s="94"/>
      <c r="AO943" s="94"/>
      <c r="AP943" s="94"/>
      <c r="AQ943" s="94"/>
      <c r="AR943" s="94"/>
      <c r="AS943" s="94"/>
      <c r="AT943" s="94"/>
      <c r="AU943" s="94"/>
      <c r="AV943" s="94"/>
      <c r="AW943" s="94"/>
      <c r="AX943" s="94"/>
      <c r="AY943" s="94"/>
      <c r="AZ943" s="94"/>
      <c r="BA943" s="95"/>
    </row>
    <row r="944" spans="1:53" s="87" customFormat="1">
      <c r="A944" s="90" t="str">
        <f t="shared" si="40"/>
        <v/>
      </c>
      <c r="B944" s="98"/>
      <c r="C944" s="94"/>
      <c r="D944" s="94"/>
      <c r="E944" s="94"/>
      <c r="F944" s="94"/>
      <c r="G944" s="94"/>
      <c r="H944" s="94"/>
      <c r="I944" s="94"/>
      <c r="J944" s="94"/>
      <c r="K944" s="94"/>
      <c r="L944" s="94"/>
      <c r="M944" s="94"/>
      <c r="N944" s="94"/>
      <c r="O944" s="94"/>
      <c r="P944" s="94"/>
      <c r="Q944" s="94"/>
      <c r="R944" s="94"/>
      <c r="S944" s="94"/>
      <c r="T944" s="94"/>
      <c r="U944" s="94"/>
      <c r="V944" s="94"/>
      <c r="W944" s="94"/>
      <c r="X944" s="94"/>
      <c r="Y944" s="94"/>
      <c r="Z944" s="94"/>
      <c r="AA944" s="94"/>
      <c r="AB944" s="94"/>
      <c r="AC944" s="94"/>
      <c r="AD944" s="94"/>
      <c r="AE944" s="94"/>
      <c r="AF944" s="94"/>
      <c r="AG944" s="94"/>
      <c r="AH944" s="94"/>
      <c r="AI944" s="94"/>
      <c r="AJ944" s="94"/>
      <c r="AK944" s="94"/>
      <c r="AL944" s="94"/>
      <c r="AM944" s="94"/>
      <c r="AN944" s="94"/>
      <c r="AO944" s="94"/>
      <c r="AP944" s="94"/>
      <c r="AQ944" s="94"/>
      <c r="AR944" s="94"/>
      <c r="AS944" s="94"/>
      <c r="AT944" s="94"/>
      <c r="AU944" s="94"/>
      <c r="AV944" s="94"/>
      <c r="AW944" s="94"/>
      <c r="AX944" s="94"/>
      <c r="AY944" s="94"/>
      <c r="AZ944" s="94"/>
      <c r="BA944" s="95"/>
    </row>
    <row r="945" spans="1:53" s="87" customFormat="1">
      <c r="A945" s="90" t="str">
        <f t="shared" si="40"/>
        <v/>
      </c>
      <c r="B945" s="98"/>
      <c r="C945" s="94"/>
      <c r="D945" s="94"/>
      <c r="E945" s="94"/>
      <c r="F945" s="94"/>
      <c r="G945" s="94"/>
      <c r="H945" s="94"/>
      <c r="I945" s="94"/>
      <c r="J945" s="94"/>
      <c r="K945" s="94"/>
      <c r="L945" s="94"/>
      <c r="M945" s="94"/>
      <c r="N945" s="94"/>
      <c r="O945" s="94"/>
      <c r="P945" s="94"/>
      <c r="Q945" s="94"/>
      <c r="R945" s="94"/>
      <c r="S945" s="94"/>
      <c r="T945" s="94"/>
      <c r="U945" s="94"/>
      <c r="V945" s="94"/>
      <c r="W945" s="94"/>
      <c r="X945" s="94"/>
      <c r="Y945" s="94"/>
      <c r="Z945" s="94"/>
      <c r="AA945" s="94"/>
      <c r="AB945" s="94"/>
      <c r="AC945" s="94"/>
      <c r="AD945" s="94"/>
      <c r="AE945" s="94"/>
      <c r="AF945" s="94"/>
      <c r="AG945" s="94"/>
      <c r="AH945" s="94"/>
      <c r="AI945" s="94"/>
      <c r="AJ945" s="94"/>
      <c r="AK945" s="94"/>
      <c r="AL945" s="94"/>
      <c r="AM945" s="94"/>
      <c r="AN945" s="94"/>
      <c r="AO945" s="94"/>
      <c r="AP945" s="94"/>
      <c r="AQ945" s="94"/>
      <c r="AR945" s="94"/>
      <c r="AS945" s="94"/>
      <c r="AT945" s="94"/>
      <c r="AU945" s="94"/>
      <c r="AV945" s="94"/>
      <c r="AW945" s="94"/>
      <c r="AX945" s="94"/>
      <c r="AY945" s="94"/>
      <c r="AZ945" s="94"/>
      <c r="BA945" s="95"/>
    </row>
    <row r="946" spans="1:53" s="87" customFormat="1">
      <c r="A946" s="90" t="str">
        <f t="shared" si="40"/>
        <v/>
      </c>
      <c r="B946" s="98"/>
      <c r="C946" s="94"/>
      <c r="D946" s="94"/>
      <c r="E946" s="94"/>
      <c r="F946" s="94"/>
      <c r="G946" s="94"/>
      <c r="H946" s="94"/>
      <c r="I946" s="94"/>
      <c r="J946" s="94"/>
      <c r="K946" s="94"/>
      <c r="L946" s="94"/>
      <c r="M946" s="94"/>
      <c r="N946" s="94"/>
      <c r="O946" s="94"/>
      <c r="P946" s="94"/>
      <c r="Q946" s="94"/>
      <c r="R946" s="94"/>
      <c r="S946" s="94"/>
      <c r="T946" s="94"/>
      <c r="U946" s="94"/>
      <c r="V946" s="94"/>
      <c r="W946" s="94"/>
      <c r="X946" s="94"/>
      <c r="Y946" s="94"/>
      <c r="Z946" s="94"/>
      <c r="AA946" s="94"/>
      <c r="AB946" s="94"/>
      <c r="AC946" s="94"/>
      <c r="AD946" s="94"/>
      <c r="AE946" s="94"/>
      <c r="AF946" s="94"/>
      <c r="AG946" s="94"/>
      <c r="AH946" s="94"/>
      <c r="AI946" s="94"/>
      <c r="AJ946" s="94"/>
      <c r="AK946" s="94"/>
      <c r="AL946" s="94"/>
      <c r="AM946" s="94"/>
      <c r="AN946" s="94"/>
      <c r="AO946" s="94"/>
      <c r="AP946" s="94"/>
      <c r="AQ946" s="94"/>
      <c r="AR946" s="94"/>
      <c r="AS946" s="94"/>
      <c r="AT946" s="94"/>
      <c r="AU946" s="94"/>
      <c r="AV946" s="94"/>
      <c r="AW946" s="94"/>
      <c r="AX946" s="94"/>
      <c r="AY946" s="94"/>
      <c r="AZ946" s="94"/>
      <c r="BA946" s="95"/>
    </row>
    <row r="947" spans="1:53" s="87" customFormat="1">
      <c r="A947" s="90" t="str">
        <f t="shared" si="40"/>
        <v/>
      </c>
      <c r="B947" s="98"/>
      <c r="C947" s="94"/>
      <c r="D947" s="94"/>
      <c r="E947" s="94"/>
      <c r="F947" s="94"/>
      <c r="G947" s="94"/>
      <c r="H947" s="94"/>
      <c r="I947" s="94"/>
      <c r="J947" s="94"/>
      <c r="K947" s="94"/>
      <c r="L947" s="94"/>
      <c r="M947" s="94"/>
      <c r="N947" s="94"/>
      <c r="O947" s="94"/>
      <c r="P947" s="94"/>
      <c r="Q947" s="94"/>
      <c r="R947" s="94"/>
      <c r="S947" s="94"/>
      <c r="T947" s="94"/>
      <c r="U947" s="94"/>
      <c r="V947" s="94"/>
      <c r="W947" s="94"/>
      <c r="X947" s="94"/>
      <c r="Y947" s="94"/>
      <c r="Z947" s="94"/>
      <c r="AA947" s="94"/>
      <c r="AB947" s="94"/>
      <c r="AC947" s="94"/>
      <c r="AD947" s="94"/>
      <c r="AE947" s="94"/>
      <c r="AF947" s="94"/>
      <c r="AG947" s="94"/>
      <c r="AH947" s="94"/>
      <c r="AI947" s="94"/>
      <c r="AJ947" s="94"/>
      <c r="AK947" s="94"/>
      <c r="AL947" s="94"/>
      <c r="AM947" s="94"/>
      <c r="AN947" s="94"/>
      <c r="AO947" s="94"/>
      <c r="AP947" s="94"/>
      <c r="AQ947" s="94"/>
      <c r="AR947" s="94"/>
      <c r="AS947" s="94"/>
      <c r="AT947" s="94"/>
      <c r="AU947" s="94"/>
      <c r="AV947" s="94"/>
      <c r="AW947" s="94"/>
      <c r="AX947" s="94"/>
      <c r="AY947" s="94"/>
      <c r="AZ947" s="94"/>
      <c r="BA947" s="95"/>
    </row>
    <row r="948" spans="1:53" s="87" customFormat="1">
      <c r="A948" s="90" t="str">
        <f t="shared" si="40"/>
        <v/>
      </c>
      <c r="B948" s="98"/>
      <c r="C948" s="94"/>
      <c r="D948" s="94"/>
      <c r="E948" s="94"/>
      <c r="F948" s="94"/>
      <c r="G948" s="94"/>
      <c r="H948" s="94"/>
      <c r="I948" s="94"/>
      <c r="J948" s="94"/>
      <c r="K948" s="94"/>
      <c r="L948" s="94"/>
      <c r="M948" s="94"/>
      <c r="N948" s="94"/>
      <c r="O948" s="94"/>
      <c r="P948" s="94"/>
      <c r="Q948" s="94"/>
      <c r="R948" s="94"/>
      <c r="S948" s="94"/>
      <c r="T948" s="94"/>
      <c r="U948" s="94"/>
      <c r="V948" s="94"/>
      <c r="W948" s="94"/>
      <c r="X948" s="94"/>
      <c r="Y948" s="94"/>
      <c r="Z948" s="94"/>
      <c r="AA948" s="94"/>
      <c r="AB948" s="94"/>
      <c r="AC948" s="94"/>
      <c r="AD948" s="94"/>
      <c r="AE948" s="94"/>
      <c r="AF948" s="94"/>
      <c r="AG948" s="94"/>
      <c r="AH948" s="94"/>
      <c r="AI948" s="94"/>
      <c r="AJ948" s="94"/>
      <c r="AK948" s="94"/>
      <c r="AL948" s="94"/>
      <c r="AM948" s="94"/>
      <c r="AN948" s="94"/>
      <c r="AO948" s="94"/>
      <c r="AP948" s="94"/>
      <c r="AQ948" s="94"/>
      <c r="AR948" s="94"/>
      <c r="AS948" s="94"/>
      <c r="AT948" s="94"/>
      <c r="AU948" s="94"/>
      <c r="AV948" s="94"/>
      <c r="AW948" s="94"/>
      <c r="AX948" s="94"/>
      <c r="AY948" s="94"/>
      <c r="AZ948" s="94"/>
      <c r="BA948" s="95"/>
    </row>
    <row r="949" spans="1:53" s="87" customFormat="1">
      <c r="A949" s="90" t="str">
        <f t="shared" si="40"/>
        <v/>
      </c>
      <c r="B949" s="98"/>
      <c r="C949" s="94"/>
      <c r="D949" s="94"/>
      <c r="E949" s="94"/>
      <c r="F949" s="94"/>
      <c r="G949" s="94"/>
      <c r="H949" s="94"/>
      <c r="I949" s="94"/>
      <c r="J949" s="94"/>
      <c r="K949" s="94"/>
      <c r="L949" s="94"/>
      <c r="M949" s="94"/>
      <c r="N949" s="94"/>
      <c r="O949" s="94"/>
      <c r="P949" s="94"/>
      <c r="Q949" s="94"/>
      <c r="R949" s="94"/>
      <c r="S949" s="94"/>
      <c r="T949" s="94"/>
      <c r="U949" s="94"/>
      <c r="V949" s="94"/>
      <c r="W949" s="94"/>
      <c r="X949" s="94"/>
      <c r="Y949" s="94"/>
      <c r="Z949" s="94"/>
      <c r="AA949" s="94"/>
      <c r="AB949" s="94"/>
      <c r="AC949" s="94"/>
      <c r="AD949" s="94"/>
      <c r="AE949" s="94"/>
      <c r="AF949" s="94"/>
      <c r="AG949" s="94"/>
      <c r="AH949" s="94"/>
      <c r="AI949" s="94"/>
      <c r="AJ949" s="94"/>
      <c r="AK949" s="94"/>
      <c r="AL949" s="94"/>
      <c r="AM949" s="94"/>
      <c r="AN949" s="94"/>
      <c r="AO949" s="94"/>
      <c r="AP949" s="94"/>
      <c r="AQ949" s="94"/>
      <c r="AR949" s="94"/>
      <c r="AS949" s="94"/>
      <c r="AT949" s="94"/>
      <c r="AU949" s="94"/>
      <c r="AV949" s="94"/>
      <c r="AW949" s="94"/>
      <c r="AX949" s="94"/>
      <c r="AY949" s="94"/>
      <c r="AZ949" s="94"/>
      <c r="BA949" s="95"/>
    </row>
    <row r="950" spans="1:53" s="87" customFormat="1">
      <c r="A950" s="90" t="str">
        <f t="shared" si="40"/>
        <v/>
      </c>
      <c r="B950" s="98"/>
      <c r="C950" s="94"/>
      <c r="D950" s="94"/>
      <c r="E950" s="94"/>
      <c r="F950" s="94"/>
      <c r="G950" s="94"/>
      <c r="H950" s="94"/>
      <c r="I950" s="94"/>
      <c r="J950" s="94"/>
      <c r="K950" s="94"/>
      <c r="L950" s="94"/>
      <c r="M950" s="94"/>
      <c r="N950" s="94"/>
      <c r="O950" s="94"/>
      <c r="P950" s="94"/>
      <c r="Q950" s="94"/>
      <c r="R950" s="94"/>
      <c r="S950" s="94"/>
      <c r="T950" s="94"/>
      <c r="U950" s="94"/>
      <c r="V950" s="94"/>
      <c r="W950" s="94"/>
      <c r="X950" s="94"/>
      <c r="Y950" s="94"/>
      <c r="Z950" s="94"/>
      <c r="AA950" s="94"/>
      <c r="AB950" s="94"/>
      <c r="AC950" s="94"/>
      <c r="AD950" s="94"/>
      <c r="AE950" s="94"/>
      <c r="AF950" s="94"/>
      <c r="AG950" s="94"/>
      <c r="AH950" s="94"/>
      <c r="AI950" s="94"/>
      <c r="AJ950" s="94"/>
      <c r="AK950" s="94"/>
      <c r="AL950" s="94"/>
      <c r="AM950" s="94"/>
      <c r="AN950" s="94"/>
      <c r="AO950" s="94"/>
      <c r="AP950" s="94"/>
      <c r="AQ950" s="94"/>
      <c r="AR950" s="94"/>
      <c r="AS950" s="94"/>
      <c r="AT950" s="94"/>
      <c r="AU950" s="94"/>
      <c r="AV950" s="94"/>
      <c r="AW950" s="94"/>
      <c r="AX950" s="94"/>
      <c r="AY950" s="94"/>
      <c r="AZ950" s="94"/>
      <c r="BA950" s="95"/>
    </row>
    <row r="951" spans="1:53" s="87" customFormat="1">
      <c r="A951" s="90" t="str">
        <f t="shared" si="40"/>
        <v/>
      </c>
      <c r="B951" s="98"/>
      <c r="C951" s="94"/>
      <c r="D951" s="94"/>
      <c r="E951" s="94"/>
      <c r="F951" s="94"/>
      <c r="G951" s="94"/>
      <c r="H951" s="94"/>
      <c r="I951" s="94"/>
      <c r="J951" s="94"/>
      <c r="K951" s="94"/>
      <c r="L951" s="94"/>
      <c r="M951" s="94"/>
      <c r="N951" s="94"/>
      <c r="O951" s="94"/>
      <c r="P951" s="94"/>
      <c r="Q951" s="94"/>
      <c r="R951" s="94"/>
      <c r="S951" s="94"/>
      <c r="T951" s="94"/>
      <c r="U951" s="94"/>
      <c r="V951" s="94"/>
      <c r="W951" s="94"/>
      <c r="X951" s="94"/>
      <c r="Y951" s="94"/>
      <c r="Z951" s="94"/>
      <c r="AA951" s="94"/>
      <c r="AB951" s="94"/>
      <c r="AC951" s="94"/>
      <c r="AD951" s="94"/>
      <c r="AE951" s="94"/>
      <c r="AF951" s="94"/>
      <c r="AG951" s="94"/>
      <c r="AH951" s="94"/>
      <c r="AI951" s="94"/>
      <c r="AJ951" s="94"/>
      <c r="AK951" s="94"/>
      <c r="AL951" s="94"/>
      <c r="AM951" s="94"/>
      <c r="AN951" s="94"/>
      <c r="AO951" s="94"/>
      <c r="AP951" s="94"/>
      <c r="AQ951" s="94"/>
      <c r="AR951" s="94"/>
      <c r="AS951" s="94"/>
      <c r="AT951" s="94"/>
      <c r="AU951" s="94"/>
      <c r="AV951" s="94"/>
      <c r="AW951" s="94"/>
      <c r="AX951" s="94"/>
      <c r="AY951" s="94"/>
      <c r="AZ951" s="94"/>
      <c r="BA951" s="95"/>
    </row>
    <row r="952" spans="1:53" s="87" customFormat="1">
      <c r="A952" s="90" t="str">
        <f t="shared" si="40"/>
        <v/>
      </c>
      <c r="B952" s="98"/>
      <c r="C952" s="94"/>
      <c r="D952" s="94"/>
      <c r="E952" s="94"/>
      <c r="F952" s="94"/>
      <c r="G952" s="94"/>
      <c r="H952" s="94"/>
      <c r="I952" s="94"/>
      <c r="J952" s="94"/>
      <c r="K952" s="94"/>
      <c r="L952" s="94"/>
      <c r="M952" s="94"/>
      <c r="N952" s="94"/>
      <c r="O952" s="94"/>
      <c r="P952" s="94"/>
      <c r="Q952" s="94"/>
      <c r="R952" s="94"/>
      <c r="S952" s="94"/>
      <c r="T952" s="94"/>
      <c r="U952" s="94"/>
      <c r="V952" s="94"/>
      <c r="W952" s="94"/>
      <c r="X952" s="94"/>
      <c r="Y952" s="94"/>
      <c r="Z952" s="94"/>
      <c r="AA952" s="94"/>
      <c r="AB952" s="94"/>
      <c r="AC952" s="94"/>
      <c r="AD952" s="94"/>
      <c r="AE952" s="94"/>
      <c r="AF952" s="94"/>
      <c r="AG952" s="94"/>
      <c r="AH952" s="94"/>
      <c r="AI952" s="94"/>
      <c r="AJ952" s="94"/>
      <c r="AK952" s="94"/>
      <c r="AL952" s="94"/>
      <c r="AM952" s="94"/>
      <c r="AN952" s="94"/>
      <c r="AO952" s="94"/>
      <c r="AP952" s="94"/>
      <c r="AQ952" s="94"/>
      <c r="AR952" s="94"/>
      <c r="AS952" s="94"/>
      <c r="AT952" s="94"/>
      <c r="AU952" s="94"/>
      <c r="AV952" s="94"/>
      <c r="AW952" s="94"/>
      <c r="AX952" s="94"/>
      <c r="AY952" s="94"/>
      <c r="AZ952" s="94"/>
      <c r="BA952" s="95"/>
    </row>
    <row r="953" spans="1:53" s="87" customFormat="1">
      <c r="A953" s="90" t="str">
        <f t="shared" si="40"/>
        <v/>
      </c>
      <c r="B953" s="98"/>
      <c r="C953" s="94"/>
      <c r="D953" s="94"/>
      <c r="E953" s="94"/>
      <c r="F953" s="94"/>
      <c r="G953" s="94"/>
      <c r="H953" s="94"/>
      <c r="I953" s="94"/>
      <c r="J953" s="94"/>
      <c r="K953" s="94"/>
      <c r="L953" s="94"/>
      <c r="M953" s="94"/>
      <c r="N953" s="94"/>
      <c r="O953" s="94"/>
      <c r="P953" s="94"/>
      <c r="Q953" s="94"/>
      <c r="R953" s="94"/>
      <c r="S953" s="94"/>
      <c r="T953" s="94"/>
      <c r="U953" s="94"/>
      <c r="V953" s="94"/>
      <c r="W953" s="94"/>
      <c r="X953" s="94"/>
      <c r="Y953" s="94"/>
      <c r="Z953" s="94"/>
      <c r="AA953" s="94"/>
      <c r="AB953" s="94"/>
      <c r="AC953" s="94"/>
      <c r="AD953" s="94"/>
      <c r="AE953" s="94"/>
      <c r="AF953" s="94"/>
      <c r="AG953" s="94"/>
      <c r="AH953" s="94"/>
      <c r="AI953" s="94"/>
      <c r="AJ953" s="94"/>
      <c r="AK953" s="94"/>
      <c r="AL953" s="94"/>
      <c r="AM953" s="94"/>
      <c r="AN953" s="94"/>
      <c r="AO953" s="94"/>
      <c r="AP953" s="94"/>
      <c r="AQ953" s="94"/>
      <c r="AR953" s="94"/>
      <c r="AS953" s="94"/>
      <c r="AT953" s="94"/>
      <c r="AU953" s="94"/>
      <c r="AV953" s="94"/>
      <c r="AW953" s="94"/>
      <c r="AX953" s="94"/>
      <c r="AY953" s="94"/>
      <c r="AZ953" s="94"/>
      <c r="BA953" s="95"/>
    </row>
    <row r="954" spans="1:53" s="87" customFormat="1">
      <c r="A954" s="90" t="str">
        <f t="shared" si="40"/>
        <v/>
      </c>
      <c r="B954" s="98"/>
      <c r="C954" s="94"/>
      <c r="D954" s="94"/>
      <c r="E954" s="94"/>
      <c r="F954" s="94"/>
      <c r="G954" s="94"/>
      <c r="H954" s="94"/>
      <c r="I954" s="94"/>
      <c r="J954" s="94"/>
      <c r="K954" s="94"/>
      <c r="L954" s="94"/>
      <c r="M954" s="94"/>
      <c r="N954" s="94"/>
      <c r="O954" s="94"/>
      <c r="P954" s="94"/>
      <c r="Q954" s="94"/>
      <c r="R954" s="94"/>
      <c r="S954" s="94"/>
      <c r="T954" s="94"/>
      <c r="U954" s="94"/>
      <c r="V954" s="94"/>
      <c r="W954" s="94"/>
      <c r="X954" s="94"/>
      <c r="Y954" s="94"/>
      <c r="Z954" s="94"/>
      <c r="AA954" s="94"/>
      <c r="AB954" s="94"/>
      <c r="AC954" s="94"/>
      <c r="AD954" s="94"/>
      <c r="AE954" s="94"/>
      <c r="AF954" s="94"/>
      <c r="AG954" s="94"/>
      <c r="AH954" s="94"/>
      <c r="AI954" s="94"/>
      <c r="AJ954" s="94"/>
      <c r="AK954" s="94"/>
      <c r="AL954" s="94"/>
      <c r="AM954" s="94"/>
      <c r="AN954" s="94"/>
      <c r="AO954" s="94"/>
      <c r="AP954" s="94"/>
      <c r="AQ954" s="94"/>
      <c r="AR954" s="94"/>
      <c r="AS954" s="94"/>
      <c r="AT954" s="94"/>
      <c r="AU954" s="94"/>
      <c r="AV954" s="94"/>
      <c r="AW954" s="94"/>
      <c r="AX954" s="94"/>
      <c r="AY954" s="94"/>
      <c r="AZ954" s="94"/>
      <c r="BA954" s="95"/>
    </row>
    <row r="955" spans="1:53" s="87" customFormat="1">
      <c r="A955" s="90" t="str">
        <f t="shared" si="40"/>
        <v/>
      </c>
      <c r="B955" s="98"/>
      <c r="C955" s="94"/>
      <c r="D955" s="94"/>
      <c r="E955" s="94"/>
      <c r="F955" s="94"/>
      <c r="G955" s="94"/>
      <c r="H955" s="94"/>
      <c r="I955" s="94"/>
      <c r="J955" s="94"/>
      <c r="K955" s="94"/>
      <c r="L955" s="94"/>
      <c r="M955" s="94"/>
      <c r="N955" s="94"/>
      <c r="O955" s="94"/>
      <c r="P955" s="94"/>
      <c r="Q955" s="94"/>
      <c r="R955" s="94"/>
      <c r="S955" s="94"/>
      <c r="T955" s="94"/>
      <c r="U955" s="94"/>
      <c r="V955" s="94"/>
      <c r="W955" s="94"/>
      <c r="X955" s="94"/>
      <c r="Y955" s="94"/>
      <c r="Z955" s="94"/>
      <c r="AA955" s="94"/>
      <c r="AB955" s="94"/>
      <c r="AC955" s="94"/>
      <c r="AD955" s="94"/>
      <c r="AE955" s="94"/>
      <c r="AF955" s="94"/>
      <c r="AG955" s="94"/>
      <c r="AH955" s="94"/>
      <c r="AI955" s="94"/>
      <c r="AJ955" s="94"/>
      <c r="AK955" s="94"/>
      <c r="AL955" s="94"/>
      <c r="AM955" s="94"/>
      <c r="AN955" s="94"/>
      <c r="AO955" s="94"/>
      <c r="AP955" s="94"/>
      <c r="AQ955" s="94"/>
      <c r="AR955" s="94"/>
      <c r="AS955" s="94"/>
      <c r="AT955" s="94"/>
      <c r="AU955" s="94"/>
      <c r="AV955" s="94"/>
      <c r="AW955" s="94"/>
      <c r="AX955" s="94"/>
      <c r="AY955" s="94"/>
      <c r="AZ955" s="94"/>
      <c r="BA955" s="95"/>
    </row>
    <row r="956" spans="1:53" s="87" customFormat="1">
      <c r="A956" s="90" t="str">
        <f t="shared" si="40"/>
        <v/>
      </c>
      <c r="B956" s="98"/>
      <c r="C956" s="94"/>
      <c r="D956" s="94"/>
      <c r="E956" s="94"/>
      <c r="F956" s="94"/>
      <c r="G956" s="94"/>
      <c r="H956" s="94"/>
      <c r="I956" s="94"/>
      <c r="J956" s="94"/>
      <c r="K956" s="94"/>
      <c r="L956" s="94"/>
      <c r="M956" s="94"/>
      <c r="N956" s="94"/>
      <c r="O956" s="94"/>
      <c r="P956" s="94"/>
      <c r="Q956" s="94"/>
      <c r="R956" s="94"/>
      <c r="S956" s="94"/>
      <c r="T956" s="94"/>
      <c r="U956" s="94"/>
      <c r="V956" s="94"/>
      <c r="W956" s="94"/>
      <c r="X956" s="94"/>
      <c r="Y956" s="94"/>
      <c r="Z956" s="94"/>
      <c r="AA956" s="94"/>
      <c r="AB956" s="94"/>
      <c r="AC956" s="94"/>
      <c r="AD956" s="94"/>
      <c r="AE956" s="94"/>
      <c r="AF956" s="94"/>
      <c r="AG956" s="94"/>
      <c r="AH956" s="94"/>
      <c r="AI956" s="94"/>
      <c r="AJ956" s="94"/>
      <c r="AK956" s="94"/>
      <c r="AL956" s="94"/>
      <c r="AM956" s="94"/>
      <c r="AN956" s="94"/>
      <c r="AO956" s="94"/>
      <c r="AP956" s="94"/>
      <c r="AQ956" s="94"/>
      <c r="AR956" s="94"/>
      <c r="AS956" s="94"/>
      <c r="AT956" s="94"/>
      <c r="AU956" s="94"/>
      <c r="AV956" s="94"/>
      <c r="AW956" s="94"/>
      <c r="AX956" s="94"/>
      <c r="AY956" s="94"/>
      <c r="AZ956" s="94"/>
      <c r="BA956" s="95"/>
    </row>
    <row r="957" spans="1:53" s="87" customFormat="1">
      <c r="A957" s="90" t="str">
        <f t="shared" si="40"/>
        <v/>
      </c>
      <c r="B957" s="98"/>
      <c r="C957" s="94"/>
      <c r="D957" s="94"/>
      <c r="E957" s="94"/>
      <c r="F957" s="94"/>
      <c r="G957" s="94"/>
      <c r="H957" s="94"/>
      <c r="I957" s="94"/>
      <c r="J957" s="94"/>
      <c r="K957" s="94"/>
      <c r="L957" s="94"/>
      <c r="M957" s="94"/>
      <c r="N957" s="94"/>
      <c r="O957" s="94"/>
      <c r="P957" s="94"/>
      <c r="Q957" s="94"/>
      <c r="R957" s="94"/>
      <c r="S957" s="94"/>
      <c r="T957" s="94"/>
      <c r="U957" s="94"/>
      <c r="V957" s="94"/>
      <c r="W957" s="94"/>
      <c r="X957" s="94"/>
      <c r="Y957" s="94"/>
      <c r="Z957" s="94"/>
      <c r="AA957" s="94"/>
      <c r="AB957" s="94"/>
      <c r="AC957" s="94"/>
      <c r="AD957" s="94"/>
      <c r="AE957" s="94"/>
      <c r="AF957" s="94"/>
      <c r="AG957" s="94"/>
      <c r="AH957" s="94"/>
      <c r="AI957" s="94"/>
      <c r="AJ957" s="94"/>
      <c r="AK957" s="94"/>
      <c r="AL957" s="94"/>
      <c r="AM957" s="94"/>
      <c r="AN957" s="94"/>
      <c r="AO957" s="94"/>
      <c r="AP957" s="94"/>
      <c r="AQ957" s="94"/>
      <c r="AR957" s="94"/>
      <c r="AS957" s="94"/>
      <c r="AT957" s="94"/>
      <c r="AU957" s="94"/>
      <c r="AV957" s="94"/>
      <c r="AW957" s="94"/>
      <c r="AX957" s="94"/>
      <c r="AY957" s="94"/>
      <c r="AZ957" s="94"/>
      <c r="BA957" s="95"/>
    </row>
    <row r="958" spans="1:53" s="87" customFormat="1">
      <c r="A958" s="90" t="str">
        <f t="shared" si="40"/>
        <v/>
      </c>
      <c r="B958" s="98"/>
      <c r="C958" s="94"/>
      <c r="D958" s="94"/>
      <c r="E958" s="94"/>
      <c r="F958" s="94"/>
      <c r="G958" s="94"/>
      <c r="H958" s="94"/>
      <c r="I958" s="94"/>
      <c r="J958" s="94"/>
      <c r="K958" s="94"/>
      <c r="L958" s="94"/>
      <c r="M958" s="94"/>
      <c r="N958" s="94"/>
      <c r="O958" s="94"/>
      <c r="P958" s="94"/>
      <c r="Q958" s="94"/>
      <c r="R958" s="94"/>
      <c r="S958" s="94"/>
      <c r="T958" s="94"/>
      <c r="U958" s="94"/>
      <c r="V958" s="94"/>
      <c r="W958" s="94"/>
      <c r="X958" s="94"/>
      <c r="Y958" s="94"/>
      <c r="Z958" s="94"/>
      <c r="AA958" s="94"/>
      <c r="AB958" s="94"/>
      <c r="AC958" s="94"/>
      <c r="AD958" s="94"/>
      <c r="AE958" s="94"/>
      <c r="AF958" s="94"/>
      <c r="AG958" s="94"/>
      <c r="AH958" s="94"/>
      <c r="AI958" s="94"/>
      <c r="AJ958" s="94"/>
      <c r="AK958" s="94"/>
      <c r="AL958" s="94"/>
      <c r="AM958" s="94"/>
      <c r="AN958" s="94"/>
      <c r="AO958" s="94"/>
      <c r="AP958" s="94"/>
      <c r="AQ958" s="94"/>
      <c r="AR958" s="94"/>
      <c r="AS958" s="94"/>
      <c r="AT958" s="94"/>
      <c r="AU958" s="94"/>
      <c r="AV958" s="94"/>
      <c r="AW958" s="94"/>
      <c r="AX958" s="94"/>
      <c r="AY958" s="94"/>
      <c r="AZ958" s="94"/>
      <c r="BA958" s="95"/>
    </row>
    <row r="959" spans="1:53" s="87" customFormat="1">
      <c r="A959" s="90" t="str">
        <f t="shared" si="40"/>
        <v/>
      </c>
      <c r="B959" s="98"/>
      <c r="C959" s="94"/>
      <c r="D959" s="94"/>
      <c r="E959" s="94"/>
      <c r="F959" s="94"/>
      <c r="G959" s="94"/>
      <c r="H959" s="94"/>
      <c r="I959" s="94"/>
      <c r="J959" s="94"/>
      <c r="K959" s="94"/>
      <c r="L959" s="94"/>
      <c r="M959" s="94"/>
      <c r="N959" s="94"/>
      <c r="O959" s="94"/>
      <c r="P959" s="94"/>
      <c r="Q959" s="94"/>
      <c r="R959" s="94"/>
      <c r="S959" s="94"/>
      <c r="T959" s="94"/>
      <c r="U959" s="94"/>
      <c r="V959" s="94"/>
      <c r="W959" s="94"/>
      <c r="X959" s="94"/>
      <c r="Y959" s="94"/>
      <c r="Z959" s="94"/>
      <c r="AA959" s="94"/>
      <c r="AB959" s="94"/>
      <c r="AC959" s="94"/>
      <c r="AD959" s="94"/>
      <c r="AE959" s="94"/>
      <c r="AF959" s="94"/>
      <c r="AG959" s="94"/>
      <c r="AH959" s="94"/>
      <c r="AI959" s="94"/>
      <c r="AJ959" s="94"/>
      <c r="AK959" s="94"/>
      <c r="AL959" s="94"/>
      <c r="AM959" s="94"/>
      <c r="AN959" s="94"/>
      <c r="AO959" s="94"/>
      <c r="AP959" s="94"/>
      <c r="AQ959" s="94"/>
      <c r="AR959" s="94"/>
      <c r="AS959" s="94"/>
      <c r="AT959" s="94"/>
      <c r="AU959" s="94"/>
      <c r="AV959" s="94"/>
      <c r="AW959" s="94"/>
      <c r="AX959" s="94"/>
      <c r="AY959" s="94"/>
      <c r="AZ959" s="94"/>
      <c r="BA959" s="95"/>
    </row>
    <row r="960" spans="1:53" s="87" customFormat="1">
      <c r="A960" s="90" t="str">
        <f t="shared" si="40"/>
        <v/>
      </c>
      <c r="B960" s="98"/>
      <c r="C960" s="94"/>
      <c r="D960" s="94"/>
      <c r="E960" s="94"/>
      <c r="F960" s="94"/>
      <c r="G960" s="94"/>
      <c r="H960" s="94"/>
      <c r="I960" s="94"/>
      <c r="J960" s="94"/>
      <c r="K960" s="94"/>
      <c r="L960" s="94"/>
      <c r="M960" s="94"/>
      <c r="N960" s="94"/>
      <c r="O960" s="94"/>
      <c r="P960" s="94"/>
      <c r="Q960" s="94"/>
      <c r="R960" s="94"/>
      <c r="S960" s="94"/>
      <c r="T960" s="94"/>
      <c r="U960" s="94"/>
      <c r="V960" s="94"/>
      <c r="W960" s="94"/>
      <c r="X960" s="94"/>
      <c r="Y960" s="94"/>
      <c r="Z960" s="94"/>
      <c r="AA960" s="94"/>
      <c r="AB960" s="94"/>
      <c r="AC960" s="94"/>
      <c r="AD960" s="94"/>
      <c r="AE960" s="94"/>
      <c r="AF960" s="94"/>
      <c r="AG960" s="94"/>
      <c r="AH960" s="94"/>
      <c r="AI960" s="94"/>
      <c r="AJ960" s="94"/>
      <c r="AK960" s="94"/>
      <c r="AL960" s="94"/>
      <c r="AM960" s="94"/>
      <c r="AN960" s="94"/>
      <c r="AO960" s="94"/>
      <c r="AP960" s="94"/>
      <c r="AQ960" s="94"/>
      <c r="AR960" s="94"/>
      <c r="AS960" s="94"/>
      <c r="AT960" s="94"/>
      <c r="AU960" s="94"/>
      <c r="AV960" s="94"/>
      <c r="AW960" s="94"/>
      <c r="AX960" s="94"/>
      <c r="AY960" s="94"/>
      <c r="AZ960" s="94"/>
      <c r="BA960" s="95"/>
    </row>
    <row r="961" spans="1:53" s="87" customFormat="1">
      <c r="A961" s="90" t="str">
        <f t="shared" si="40"/>
        <v/>
      </c>
      <c r="B961" s="98"/>
      <c r="C961" s="94"/>
      <c r="D961" s="94"/>
      <c r="E961" s="94"/>
      <c r="F961" s="94"/>
      <c r="G961" s="94"/>
      <c r="H961" s="94"/>
      <c r="I961" s="94"/>
      <c r="J961" s="94"/>
      <c r="K961" s="94"/>
      <c r="L961" s="94"/>
      <c r="M961" s="94"/>
      <c r="N961" s="94"/>
      <c r="O961" s="94"/>
      <c r="P961" s="94"/>
      <c r="Q961" s="94"/>
      <c r="R961" s="94"/>
      <c r="S961" s="94"/>
      <c r="T961" s="94"/>
      <c r="U961" s="94"/>
      <c r="V961" s="94"/>
      <c r="W961" s="94"/>
      <c r="X961" s="94"/>
      <c r="Y961" s="94"/>
      <c r="Z961" s="94"/>
      <c r="AA961" s="94"/>
      <c r="AB961" s="94"/>
      <c r="AC961" s="94"/>
      <c r="AD961" s="94"/>
      <c r="AE961" s="94"/>
      <c r="AF961" s="94"/>
      <c r="AG961" s="94"/>
      <c r="AH961" s="94"/>
      <c r="AI961" s="94"/>
      <c r="AJ961" s="94"/>
      <c r="AK961" s="94"/>
      <c r="AL961" s="94"/>
      <c r="AM961" s="94"/>
      <c r="AN961" s="94"/>
      <c r="AO961" s="94"/>
      <c r="AP961" s="94"/>
      <c r="AQ961" s="94"/>
      <c r="AR961" s="94"/>
      <c r="AS961" s="94"/>
      <c r="AT961" s="94"/>
      <c r="AU961" s="94"/>
      <c r="AV961" s="94"/>
      <c r="AW961" s="94"/>
      <c r="AX961" s="94"/>
      <c r="AY961" s="94"/>
      <c r="AZ961" s="94"/>
      <c r="BA961" s="95"/>
    </row>
    <row r="962" spans="1:53" s="87" customFormat="1">
      <c r="A962" s="90" t="str">
        <f t="shared" si="40"/>
        <v/>
      </c>
      <c r="B962" s="98"/>
      <c r="C962" s="94"/>
      <c r="D962" s="94"/>
      <c r="E962" s="94"/>
      <c r="F962" s="94"/>
      <c r="G962" s="94"/>
      <c r="H962" s="94"/>
      <c r="I962" s="94"/>
      <c r="J962" s="94"/>
      <c r="K962" s="94"/>
      <c r="L962" s="94"/>
      <c r="M962" s="94"/>
      <c r="N962" s="94"/>
      <c r="O962" s="94"/>
      <c r="P962" s="94"/>
      <c r="Q962" s="94"/>
      <c r="R962" s="94"/>
      <c r="S962" s="94"/>
      <c r="T962" s="94"/>
      <c r="U962" s="94"/>
      <c r="V962" s="94"/>
      <c r="W962" s="94"/>
      <c r="X962" s="94"/>
      <c r="Y962" s="94"/>
      <c r="Z962" s="94"/>
      <c r="AA962" s="94"/>
      <c r="AB962" s="94"/>
      <c r="AC962" s="94"/>
      <c r="AD962" s="94"/>
      <c r="AE962" s="94"/>
      <c r="AF962" s="94"/>
      <c r="AG962" s="94"/>
      <c r="AH962" s="94"/>
      <c r="AI962" s="94"/>
      <c r="AJ962" s="94"/>
      <c r="AK962" s="94"/>
      <c r="AL962" s="94"/>
      <c r="AM962" s="94"/>
      <c r="AN962" s="94"/>
      <c r="AO962" s="94"/>
      <c r="AP962" s="94"/>
      <c r="AQ962" s="94"/>
      <c r="AR962" s="94"/>
      <c r="AS962" s="94"/>
      <c r="AT962" s="94"/>
      <c r="AU962" s="94"/>
      <c r="AV962" s="94"/>
      <c r="AW962" s="94"/>
      <c r="AX962" s="94"/>
      <c r="AY962" s="94"/>
      <c r="AZ962" s="94"/>
      <c r="BA962" s="95"/>
    </row>
    <row r="963" spans="1:53" s="87" customFormat="1">
      <c r="A963" s="90" t="str">
        <f t="shared" si="40"/>
        <v/>
      </c>
      <c r="B963" s="98"/>
      <c r="C963" s="94"/>
      <c r="D963" s="94"/>
      <c r="E963" s="94"/>
      <c r="F963" s="94"/>
      <c r="G963" s="94"/>
      <c r="H963" s="94"/>
      <c r="I963" s="94"/>
      <c r="J963" s="94"/>
      <c r="K963" s="94"/>
      <c r="L963" s="94"/>
      <c r="M963" s="94"/>
      <c r="N963" s="94"/>
      <c r="O963" s="94"/>
      <c r="P963" s="94"/>
      <c r="Q963" s="94"/>
      <c r="R963" s="94"/>
      <c r="S963" s="94"/>
      <c r="T963" s="94"/>
      <c r="U963" s="94"/>
      <c r="V963" s="94"/>
      <c r="W963" s="94"/>
      <c r="X963" s="94"/>
      <c r="Y963" s="94"/>
      <c r="Z963" s="94"/>
      <c r="AA963" s="94"/>
      <c r="AB963" s="94"/>
      <c r="AC963" s="94"/>
      <c r="AD963" s="94"/>
      <c r="AE963" s="94"/>
      <c r="AF963" s="94"/>
      <c r="AG963" s="94"/>
      <c r="AH963" s="94"/>
      <c r="AI963" s="94"/>
      <c r="AJ963" s="94"/>
      <c r="AK963" s="94"/>
      <c r="AL963" s="94"/>
      <c r="AM963" s="94"/>
      <c r="AN963" s="94"/>
      <c r="AO963" s="94"/>
      <c r="AP963" s="94"/>
      <c r="AQ963" s="94"/>
      <c r="AR963" s="94"/>
      <c r="AS963" s="94"/>
      <c r="AT963" s="94"/>
      <c r="AU963" s="94"/>
      <c r="AV963" s="94"/>
      <c r="AW963" s="94"/>
      <c r="AX963" s="94"/>
      <c r="AY963" s="94"/>
      <c r="AZ963" s="94"/>
      <c r="BA963" s="95"/>
    </row>
    <row r="964" spans="1:53" s="87" customFormat="1">
      <c r="A964" s="90" t="str">
        <f t="shared" si="40"/>
        <v/>
      </c>
      <c r="B964" s="98"/>
      <c r="C964" s="94"/>
      <c r="D964" s="94"/>
      <c r="E964" s="94"/>
      <c r="F964" s="94"/>
      <c r="G964" s="94"/>
      <c r="H964" s="94"/>
      <c r="I964" s="94"/>
      <c r="J964" s="94"/>
      <c r="K964" s="94"/>
      <c r="L964" s="94"/>
      <c r="M964" s="94"/>
      <c r="N964" s="94"/>
      <c r="O964" s="94"/>
      <c r="P964" s="94"/>
      <c r="Q964" s="94"/>
      <c r="R964" s="94"/>
      <c r="S964" s="94"/>
      <c r="T964" s="94"/>
      <c r="U964" s="94"/>
      <c r="V964" s="94"/>
      <c r="W964" s="94"/>
      <c r="X964" s="94"/>
      <c r="Y964" s="94"/>
      <c r="Z964" s="94"/>
      <c r="AA964" s="94"/>
      <c r="AB964" s="94"/>
      <c r="AC964" s="94"/>
      <c r="AD964" s="94"/>
      <c r="AE964" s="94"/>
      <c r="AF964" s="94"/>
      <c r="AG964" s="94"/>
      <c r="AH964" s="94"/>
      <c r="AI964" s="94"/>
      <c r="AJ964" s="94"/>
      <c r="AK964" s="94"/>
      <c r="AL964" s="94"/>
      <c r="AM964" s="94"/>
      <c r="AN964" s="94"/>
      <c r="AO964" s="94"/>
      <c r="AP964" s="94"/>
      <c r="AQ964" s="94"/>
      <c r="AR964" s="94"/>
      <c r="AS964" s="94"/>
      <c r="AT964" s="94"/>
      <c r="AU964" s="94"/>
      <c r="AV964" s="94"/>
      <c r="AW964" s="94"/>
      <c r="AX964" s="94"/>
      <c r="AY964" s="94"/>
      <c r="AZ964" s="94"/>
      <c r="BA964" s="95"/>
    </row>
    <row r="965" spans="1:53" s="87" customFormat="1">
      <c r="A965" s="90" t="str">
        <f t="shared" si="40"/>
        <v/>
      </c>
      <c r="B965" s="98"/>
      <c r="C965" s="94"/>
      <c r="D965" s="94"/>
      <c r="E965" s="94"/>
      <c r="F965" s="94"/>
      <c r="G965" s="94"/>
      <c r="H965" s="94"/>
      <c r="I965" s="94"/>
      <c r="J965" s="94"/>
      <c r="K965" s="94"/>
      <c r="L965" s="94"/>
      <c r="M965" s="94"/>
      <c r="N965" s="94"/>
      <c r="O965" s="94"/>
      <c r="P965" s="94"/>
      <c r="Q965" s="94"/>
      <c r="R965" s="94"/>
      <c r="S965" s="94"/>
      <c r="T965" s="94"/>
      <c r="U965" s="94"/>
      <c r="V965" s="94"/>
      <c r="W965" s="94"/>
      <c r="X965" s="94"/>
      <c r="Y965" s="94"/>
      <c r="Z965" s="94"/>
      <c r="AA965" s="94"/>
      <c r="AB965" s="94"/>
      <c r="AC965" s="94"/>
      <c r="AD965" s="94"/>
      <c r="AE965" s="94"/>
      <c r="AF965" s="94"/>
      <c r="AG965" s="94"/>
      <c r="AH965" s="94"/>
      <c r="AI965" s="94"/>
      <c r="AJ965" s="94"/>
      <c r="AK965" s="94"/>
      <c r="AL965" s="94"/>
      <c r="AM965" s="94"/>
      <c r="AN965" s="94"/>
      <c r="AO965" s="94"/>
      <c r="AP965" s="94"/>
      <c r="AQ965" s="94"/>
      <c r="AR965" s="94"/>
      <c r="AS965" s="94"/>
      <c r="AT965" s="94"/>
      <c r="AU965" s="94"/>
      <c r="AV965" s="94"/>
      <c r="AW965" s="94"/>
      <c r="AX965" s="94"/>
      <c r="AY965" s="94"/>
      <c r="AZ965" s="94"/>
      <c r="BA965" s="95"/>
    </row>
    <row r="966" spans="1:53" s="87" customFormat="1">
      <c r="A966" s="90" t="str">
        <f t="shared" si="40"/>
        <v/>
      </c>
      <c r="B966" s="98"/>
      <c r="C966" s="94"/>
      <c r="D966" s="94"/>
      <c r="E966" s="94"/>
      <c r="F966" s="94"/>
      <c r="G966" s="94"/>
      <c r="H966" s="94"/>
      <c r="I966" s="94"/>
      <c r="J966" s="94"/>
      <c r="K966" s="94"/>
      <c r="L966" s="94"/>
      <c r="M966" s="94"/>
      <c r="N966" s="94"/>
      <c r="O966" s="94"/>
      <c r="P966" s="94"/>
      <c r="Q966" s="94"/>
      <c r="R966" s="94"/>
      <c r="S966" s="94"/>
      <c r="T966" s="94"/>
      <c r="U966" s="94"/>
      <c r="V966" s="94"/>
      <c r="W966" s="94"/>
      <c r="X966" s="94"/>
      <c r="Y966" s="94"/>
      <c r="Z966" s="94"/>
      <c r="AA966" s="94"/>
      <c r="AB966" s="94"/>
      <c r="AC966" s="94"/>
      <c r="AD966" s="94"/>
      <c r="AE966" s="94"/>
      <c r="AF966" s="94"/>
      <c r="AG966" s="94"/>
      <c r="AH966" s="94"/>
      <c r="AI966" s="94"/>
      <c r="AJ966" s="94"/>
      <c r="AK966" s="94"/>
      <c r="AL966" s="94"/>
      <c r="AM966" s="94"/>
      <c r="AN966" s="94"/>
      <c r="AO966" s="94"/>
      <c r="AP966" s="94"/>
      <c r="AQ966" s="94"/>
      <c r="AR966" s="94"/>
      <c r="AS966" s="94"/>
      <c r="AT966" s="94"/>
      <c r="AU966" s="94"/>
      <c r="AV966" s="94"/>
      <c r="AW966" s="94"/>
      <c r="AX966" s="94"/>
      <c r="AY966" s="94"/>
      <c r="AZ966" s="94"/>
      <c r="BA966" s="95"/>
    </row>
    <row r="967" spans="1:53" s="87" customFormat="1">
      <c r="A967" s="90" t="str">
        <f t="shared" si="40"/>
        <v/>
      </c>
      <c r="B967" s="98"/>
      <c r="C967" s="94"/>
      <c r="D967" s="94"/>
      <c r="E967" s="94"/>
      <c r="F967" s="94"/>
      <c r="G967" s="94"/>
      <c r="H967" s="94"/>
      <c r="I967" s="94"/>
      <c r="J967" s="94"/>
      <c r="K967" s="94"/>
      <c r="L967" s="94"/>
      <c r="M967" s="94"/>
      <c r="N967" s="94"/>
      <c r="O967" s="94"/>
      <c r="P967" s="94"/>
      <c r="Q967" s="94"/>
      <c r="R967" s="94"/>
      <c r="S967" s="94"/>
      <c r="T967" s="94"/>
      <c r="U967" s="94"/>
      <c r="V967" s="94"/>
      <c r="W967" s="94"/>
      <c r="X967" s="94"/>
      <c r="Y967" s="94"/>
      <c r="Z967" s="94"/>
      <c r="AA967" s="94"/>
      <c r="AB967" s="94"/>
      <c r="AC967" s="94"/>
      <c r="AD967" s="94"/>
      <c r="AE967" s="94"/>
      <c r="AF967" s="94"/>
      <c r="AG967" s="94"/>
      <c r="AH967" s="94"/>
      <c r="AI967" s="94"/>
      <c r="AJ967" s="94"/>
      <c r="AK967" s="94"/>
      <c r="AL967" s="94"/>
      <c r="AM967" s="94"/>
      <c r="AN967" s="94"/>
      <c r="AO967" s="94"/>
      <c r="AP967" s="94"/>
      <c r="AQ967" s="94"/>
      <c r="AR967" s="94"/>
      <c r="AS967" s="94"/>
      <c r="AT967" s="94"/>
      <c r="AU967" s="94"/>
      <c r="AV967" s="94"/>
      <c r="AW967" s="94"/>
      <c r="AX967" s="94"/>
      <c r="AY967" s="94"/>
      <c r="AZ967" s="94"/>
      <c r="BA967" s="95"/>
    </row>
    <row r="968" spans="1:53" s="87" customFormat="1">
      <c r="A968" s="90" t="str">
        <f t="shared" si="40"/>
        <v/>
      </c>
      <c r="B968" s="98"/>
      <c r="C968" s="94"/>
      <c r="D968" s="94"/>
      <c r="E968" s="94"/>
      <c r="F968" s="94"/>
      <c r="G968" s="94"/>
      <c r="H968" s="94"/>
      <c r="I968" s="94"/>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5"/>
    </row>
    <row r="969" spans="1:53" s="87" customFormat="1">
      <c r="A969" s="90" t="str">
        <f t="shared" si="40"/>
        <v/>
      </c>
      <c r="B969" s="98"/>
      <c r="C969" s="94"/>
      <c r="D969" s="94"/>
      <c r="E969" s="94"/>
      <c r="F969" s="94"/>
      <c r="G969" s="94"/>
      <c r="H969" s="94"/>
      <c r="I969" s="94"/>
      <c r="J969" s="94"/>
      <c r="K969" s="94"/>
      <c r="L969" s="94"/>
      <c r="M969" s="94"/>
      <c r="N969" s="94"/>
      <c r="O969" s="94"/>
      <c r="P969" s="94"/>
      <c r="Q969" s="94"/>
      <c r="R969" s="94"/>
      <c r="S969" s="94"/>
      <c r="T969" s="94"/>
      <c r="U969" s="94"/>
      <c r="V969" s="94"/>
      <c r="W969" s="94"/>
      <c r="X969" s="94"/>
      <c r="Y969" s="94"/>
      <c r="Z969" s="94"/>
      <c r="AA969" s="94"/>
      <c r="AB969" s="94"/>
      <c r="AC969" s="94"/>
      <c r="AD969" s="94"/>
      <c r="AE969" s="94"/>
      <c r="AF969" s="94"/>
      <c r="AG969" s="94"/>
      <c r="AH969" s="94"/>
      <c r="AI969" s="94"/>
      <c r="AJ969" s="94"/>
      <c r="AK969" s="94"/>
      <c r="AL969" s="94"/>
      <c r="AM969" s="94"/>
      <c r="AN969" s="94"/>
      <c r="AO969" s="94"/>
      <c r="AP969" s="94"/>
      <c r="AQ969" s="94"/>
      <c r="AR969" s="94"/>
      <c r="AS969" s="94"/>
      <c r="AT969" s="94"/>
      <c r="AU969" s="94"/>
      <c r="AV969" s="94"/>
      <c r="AW969" s="94"/>
      <c r="AX969" s="94"/>
      <c r="AY969" s="94"/>
      <c r="AZ969" s="94"/>
      <c r="BA969" s="95"/>
    </row>
    <row r="970" spans="1:53" s="87" customFormat="1">
      <c r="A970" s="90" t="str">
        <f t="shared" si="40"/>
        <v/>
      </c>
      <c r="B970" s="98"/>
      <c r="C970" s="94"/>
      <c r="D970" s="94"/>
      <c r="E970" s="94"/>
      <c r="F970" s="94"/>
      <c r="G970" s="94"/>
      <c r="H970" s="94"/>
      <c r="I970" s="94"/>
      <c r="J970" s="94"/>
      <c r="K970" s="94"/>
      <c r="L970" s="94"/>
      <c r="M970" s="94"/>
      <c r="N970" s="94"/>
      <c r="O970" s="94"/>
      <c r="P970" s="94"/>
      <c r="Q970" s="94"/>
      <c r="R970" s="94"/>
      <c r="S970" s="94"/>
      <c r="T970" s="94"/>
      <c r="U970" s="94"/>
      <c r="V970" s="94"/>
      <c r="W970" s="94"/>
      <c r="X970" s="94"/>
      <c r="Y970" s="94"/>
      <c r="Z970" s="94"/>
      <c r="AA970" s="94"/>
      <c r="AB970" s="94"/>
      <c r="AC970" s="94"/>
      <c r="AD970" s="94"/>
      <c r="AE970" s="94"/>
      <c r="AF970" s="94"/>
      <c r="AG970" s="94"/>
      <c r="AH970" s="94"/>
      <c r="AI970" s="94"/>
      <c r="AJ970" s="94"/>
      <c r="AK970" s="94"/>
      <c r="AL970" s="94"/>
      <c r="AM970" s="94"/>
      <c r="AN970" s="94"/>
      <c r="AO970" s="94"/>
      <c r="AP970" s="94"/>
      <c r="AQ970" s="94"/>
      <c r="AR970" s="94"/>
      <c r="AS970" s="94"/>
      <c r="AT970" s="94"/>
      <c r="AU970" s="94"/>
      <c r="AV970" s="94"/>
      <c r="AW970" s="94"/>
      <c r="AX970" s="94"/>
      <c r="AY970" s="94"/>
      <c r="AZ970" s="94"/>
      <c r="BA970" s="95"/>
    </row>
    <row r="971" spans="1:53" s="87" customFormat="1">
      <c r="A971" s="90" t="str">
        <f t="shared" si="40"/>
        <v/>
      </c>
      <c r="B971" s="98"/>
      <c r="C971" s="94"/>
      <c r="D971" s="94"/>
      <c r="E971" s="94"/>
      <c r="F971" s="94"/>
      <c r="G971" s="94"/>
      <c r="H971" s="94"/>
      <c r="I971" s="94"/>
      <c r="J971" s="94"/>
      <c r="K971" s="94"/>
      <c r="L971" s="94"/>
      <c r="M971" s="94"/>
      <c r="N971" s="94"/>
      <c r="O971" s="94"/>
      <c r="P971" s="94"/>
      <c r="Q971" s="94"/>
      <c r="R971" s="94"/>
      <c r="S971" s="94"/>
      <c r="T971" s="94"/>
      <c r="U971" s="94"/>
      <c r="V971" s="94"/>
      <c r="W971" s="94"/>
      <c r="X971" s="94"/>
      <c r="Y971" s="94"/>
      <c r="Z971" s="94"/>
      <c r="AA971" s="94"/>
      <c r="AB971" s="94"/>
      <c r="AC971" s="94"/>
      <c r="AD971" s="94"/>
      <c r="AE971" s="94"/>
      <c r="AF971" s="94"/>
      <c r="AG971" s="94"/>
      <c r="AH971" s="94"/>
      <c r="AI971" s="94"/>
      <c r="AJ971" s="94"/>
      <c r="AK971" s="94"/>
      <c r="AL971" s="94"/>
      <c r="AM971" s="94"/>
      <c r="AN971" s="94"/>
      <c r="AO971" s="94"/>
      <c r="AP971" s="94"/>
      <c r="AQ971" s="94"/>
      <c r="AR971" s="94"/>
      <c r="AS971" s="94"/>
      <c r="AT971" s="94"/>
      <c r="AU971" s="94"/>
      <c r="AV971" s="94"/>
      <c r="AW971" s="94"/>
      <c r="AX971" s="94"/>
      <c r="AY971" s="94"/>
      <c r="AZ971" s="94"/>
      <c r="BA971" s="95"/>
    </row>
    <row r="972" spans="1:53" s="87" customFormat="1">
      <c r="A972" s="90" t="str">
        <f t="shared" ref="A972:A1035" si="41">IF(MID(B972,3,2)="03",ROW(),"")</f>
        <v/>
      </c>
      <c r="B972" s="98"/>
      <c r="C972" s="94"/>
      <c r="D972" s="94"/>
      <c r="E972" s="94"/>
      <c r="F972" s="94"/>
      <c r="G972" s="94"/>
      <c r="H972" s="94"/>
      <c r="I972" s="94"/>
      <c r="J972" s="94"/>
      <c r="K972" s="94"/>
      <c r="L972" s="94"/>
      <c r="M972" s="94"/>
      <c r="N972" s="94"/>
      <c r="O972" s="94"/>
      <c r="P972" s="94"/>
      <c r="Q972" s="94"/>
      <c r="R972" s="94"/>
      <c r="S972" s="94"/>
      <c r="T972" s="94"/>
      <c r="U972" s="94"/>
      <c r="V972" s="94"/>
      <c r="W972" s="94"/>
      <c r="X972" s="94"/>
      <c r="Y972" s="94"/>
      <c r="Z972" s="94"/>
      <c r="AA972" s="94"/>
      <c r="AB972" s="94"/>
      <c r="AC972" s="94"/>
      <c r="AD972" s="94"/>
      <c r="AE972" s="94"/>
      <c r="AF972" s="94"/>
      <c r="AG972" s="94"/>
      <c r="AH972" s="94"/>
      <c r="AI972" s="94"/>
      <c r="AJ972" s="94"/>
      <c r="AK972" s="94"/>
      <c r="AL972" s="94"/>
      <c r="AM972" s="94"/>
      <c r="AN972" s="94"/>
      <c r="AO972" s="94"/>
      <c r="AP972" s="94"/>
      <c r="AQ972" s="94"/>
      <c r="AR972" s="94"/>
      <c r="AS972" s="94"/>
      <c r="AT972" s="94"/>
      <c r="AU972" s="94"/>
      <c r="AV972" s="94"/>
      <c r="AW972" s="94"/>
      <c r="AX972" s="94"/>
      <c r="AY972" s="94"/>
      <c r="AZ972" s="94"/>
      <c r="BA972" s="95"/>
    </row>
    <row r="973" spans="1:53" s="87" customFormat="1">
      <c r="A973" s="90" t="str">
        <f t="shared" si="41"/>
        <v/>
      </c>
      <c r="B973" s="98"/>
      <c r="C973" s="94"/>
      <c r="D973" s="94"/>
      <c r="E973" s="94"/>
      <c r="F973" s="94"/>
      <c r="G973" s="94"/>
      <c r="H973" s="94"/>
      <c r="I973" s="94"/>
      <c r="J973" s="94"/>
      <c r="K973" s="94"/>
      <c r="L973" s="94"/>
      <c r="M973" s="94"/>
      <c r="N973" s="94"/>
      <c r="O973" s="94"/>
      <c r="P973" s="94"/>
      <c r="Q973" s="94"/>
      <c r="R973" s="94"/>
      <c r="S973" s="94"/>
      <c r="T973" s="94"/>
      <c r="U973" s="94"/>
      <c r="V973" s="94"/>
      <c r="W973" s="94"/>
      <c r="X973" s="94"/>
      <c r="Y973" s="94"/>
      <c r="Z973" s="94"/>
      <c r="AA973" s="94"/>
      <c r="AB973" s="94"/>
      <c r="AC973" s="94"/>
      <c r="AD973" s="94"/>
      <c r="AE973" s="94"/>
      <c r="AF973" s="94"/>
      <c r="AG973" s="94"/>
      <c r="AH973" s="94"/>
      <c r="AI973" s="94"/>
      <c r="AJ973" s="94"/>
      <c r="AK973" s="94"/>
      <c r="AL973" s="94"/>
      <c r="AM973" s="94"/>
      <c r="AN973" s="94"/>
      <c r="AO973" s="94"/>
      <c r="AP973" s="94"/>
      <c r="AQ973" s="94"/>
      <c r="AR973" s="94"/>
      <c r="AS973" s="94"/>
      <c r="AT973" s="94"/>
      <c r="AU973" s="94"/>
      <c r="AV973" s="94"/>
      <c r="AW973" s="94"/>
      <c r="AX973" s="94"/>
      <c r="AY973" s="94"/>
      <c r="AZ973" s="94"/>
      <c r="BA973" s="95"/>
    </row>
    <row r="974" spans="1:53" s="87" customFormat="1">
      <c r="A974" s="90" t="str">
        <f t="shared" si="41"/>
        <v/>
      </c>
      <c r="B974" s="98"/>
      <c r="C974" s="94"/>
      <c r="D974" s="94"/>
      <c r="E974" s="94"/>
      <c r="F974" s="94"/>
      <c r="G974" s="94"/>
      <c r="H974" s="94"/>
      <c r="I974" s="94"/>
      <c r="J974" s="94"/>
      <c r="K974" s="94"/>
      <c r="L974" s="94"/>
      <c r="M974" s="94"/>
      <c r="N974" s="94"/>
      <c r="O974" s="94"/>
      <c r="P974" s="94"/>
      <c r="Q974" s="94"/>
      <c r="R974" s="94"/>
      <c r="S974" s="94"/>
      <c r="T974" s="94"/>
      <c r="U974" s="94"/>
      <c r="V974" s="94"/>
      <c r="W974" s="94"/>
      <c r="X974" s="94"/>
      <c r="Y974" s="94"/>
      <c r="Z974" s="94"/>
      <c r="AA974" s="94"/>
      <c r="AB974" s="94"/>
      <c r="AC974" s="94"/>
      <c r="AD974" s="94"/>
      <c r="AE974" s="94"/>
      <c r="AF974" s="94"/>
      <c r="AG974" s="94"/>
      <c r="AH974" s="94"/>
      <c r="AI974" s="94"/>
      <c r="AJ974" s="94"/>
      <c r="AK974" s="94"/>
      <c r="AL974" s="94"/>
      <c r="AM974" s="94"/>
      <c r="AN974" s="94"/>
      <c r="AO974" s="94"/>
      <c r="AP974" s="94"/>
      <c r="AQ974" s="94"/>
      <c r="AR974" s="94"/>
      <c r="AS974" s="94"/>
      <c r="AT974" s="94"/>
      <c r="AU974" s="94"/>
      <c r="AV974" s="94"/>
      <c r="AW974" s="94"/>
      <c r="AX974" s="94"/>
      <c r="AY974" s="94"/>
      <c r="AZ974" s="94"/>
      <c r="BA974" s="95"/>
    </row>
    <row r="975" spans="1:53" s="87" customFormat="1">
      <c r="A975" s="90" t="str">
        <f t="shared" si="41"/>
        <v/>
      </c>
      <c r="B975" s="98"/>
      <c r="C975" s="94"/>
      <c r="D975" s="94"/>
      <c r="E975" s="94"/>
      <c r="F975" s="94"/>
      <c r="G975" s="94"/>
      <c r="H975" s="94"/>
      <c r="I975" s="94"/>
      <c r="J975" s="94"/>
      <c r="K975" s="94"/>
      <c r="L975" s="94"/>
      <c r="M975" s="94"/>
      <c r="N975" s="94"/>
      <c r="O975" s="94"/>
      <c r="P975" s="94"/>
      <c r="Q975" s="94"/>
      <c r="R975" s="94"/>
      <c r="S975" s="94"/>
      <c r="T975" s="94"/>
      <c r="U975" s="94"/>
      <c r="V975" s="94"/>
      <c r="W975" s="94"/>
      <c r="X975" s="94"/>
      <c r="Y975" s="94"/>
      <c r="Z975" s="94"/>
      <c r="AA975" s="94"/>
      <c r="AB975" s="94"/>
      <c r="AC975" s="94"/>
      <c r="AD975" s="94"/>
      <c r="AE975" s="94"/>
      <c r="AF975" s="94"/>
      <c r="AG975" s="94"/>
      <c r="AH975" s="94"/>
      <c r="AI975" s="94"/>
      <c r="AJ975" s="94"/>
      <c r="AK975" s="94"/>
      <c r="AL975" s="94"/>
      <c r="AM975" s="94"/>
      <c r="AN975" s="94"/>
      <c r="AO975" s="94"/>
      <c r="AP975" s="94"/>
      <c r="AQ975" s="94"/>
      <c r="AR975" s="94"/>
      <c r="AS975" s="94"/>
      <c r="AT975" s="94"/>
      <c r="AU975" s="94"/>
      <c r="AV975" s="94"/>
      <c r="AW975" s="94"/>
      <c r="AX975" s="94"/>
      <c r="AY975" s="94"/>
      <c r="AZ975" s="94"/>
      <c r="BA975" s="95"/>
    </row>
    <row r="976" spans="1:53" s="87" customFormat="1">
      <c r="A976" s="90" t="str">
        <f t="shared" si="41"/>
        <v/>
      </c>
      <c r="B976" s="98"/>
      <c r="C976" s="94"/>
      <c r="D976" s="94"/>
      <c r="E976" s="94"/>
      <c r="F976" s="94"/>
      <c r="G976" s="94"/>
      <c r="H976" s="94"/>
      <c r="I976" s="94"/>
      <c r="J976" s="94"/>
      <c r="K976" s="94"/>
      <c r="L976" s="94"/>
      <c r="M976" s="94"/>
      <c r="N976" s="94"/>
      <c r="O976" s="94"/>
      <c r="P976" s="94"/>
      <c r="Q976" s="94"/>
      <c r="R976" s="94"/>
      <c r="S976" s="94"/>
      <c r="T976" s="94"/>
      <c r="U976" s="94"/>
      <c r="V976" s="94"/>
      <c r="W976" s="94"/>
      <c r="X976" s="94"/>
      <c r="Y976" s="94"/>
      <c r="Z976" s="94"/>
      <c r="AA976" s="94"/>
      <c r="AB976" s="94"/>
      <c r="AC976" s="94"/>
      <c r="AD976" s="94"/>
      <c r="AE976" s="94"/>
      <c r="AF976" s="94"/>
      <c r="AG976" s="94"/>
      <c r="AH976" s="94"/>
      <c r="AI976" s="94"/>
      <c r="AJ976" s="94"/>
      <c r="AK976" s="94"/>
      <c r="AL976" s="94"/>
      <c r="AM976" s="94"/>
      <c r="AN976" s="94"/>
      <c r="AO976" s="94"/>
      <c r="AP976" s="94"/>
      <c r="AQ976" s="94"/>
      <c r="AR976" s="94"/>
      <c r="AS976" s="94"/>
      <c r="AT976" s="94"/>
      <c r="AU976" s="94"/>
      <c r="AV976" s="94"/>
      <c r="AW976" s="94"/>
      <c r="AX976" s="94"/>
      <c r="AY976" s="94"/>
      <c r="AZ976" s="94"/>
      <c r="BA976" s="95"/>
    </row>
    <row r="977" spans="1:53" s="87" customFormat="1">
      <c r="A977" s="90" t="str">
        <f t="shared" si="41"/>
        <v/>
      </c>
      <c r="B977" s="98"/>
      <c r="C977" s="94"/>
      <c r="D977" s="94"/>
      <c r="E977" s="94"/>
      <c r="F977" s="94"/>
      <c r="G977" s="94"/>
      <c r="H977" s="94"/>
      <c r="I977" s="94"/>
      <c r="J977" s="94"/>
      <c r="K977" s="94"/>
      <c r="L977" s="94"/>
      <c r="M977" s="94"/>
      <c r="N977" s="94"/>
      <c r="O977" s="94"/>
      <c r="P977" s="94"/>
      <c r="Q977" s="94"/>
      <c r="R977" s="94"/>
      <c r="S977" s="94"/>
      <c r="T977" s="94"/>
      <c r="U977" s="94"/>
      <c r="V977" s="94"/>
      <c r="W977" s="94"/>
      <c r="X977" s="94"/>
      <c r="Y977" s="94"/>
      <c r="Z977" s="94"/>
      <c r="AA977" s="94"/>
      <c r="AB977" s="94"/>
      <c r="AC977" s="94"/>
      <c r="AD977" s="94"/>
      <c r="AE977" s="94"/>
      <c r="AF977" s="94"/>
      <c r="AG977" s="94"/>
      <c r="AH977" s="94"/>
      <c r="AI977" s="94"/>
      <c r="AJ977" s="94"/>
      <c r="AK977" s="94"/>
      <c r="AL977" s="94"/>
      <c r="AM977" s="94"/>
      <c r="AN977" s="94"/>
      <c r="AO977" s="94"/>
      <c r="AP977" s="94"/>
      <c r="AQ977" s="94"/>
      <c r="AR977" s="94"/>
      <c r="AS977" s="94"/>
      <c r="AT977" s="94"/>
      <c r="AU977" s="94"/>
      <c r="AV977" s="94"/>
      <c r="AW977" s="94"/>
      <c r="AX977" s="94"/>
      <c r="AY977" s="94"/>
      <c r="AZ977" s="94"/>
      <c r="BA977" s="95"/>
    </row>
    <row r="978" spans="1:53" s="87" customFormat="1">
      <c r="A978" s="90" t="str">
        <f t="shared" si="41"/>
        <v/>
      </c>
      <c r="B978" s="98"/>
      <c r="C978" s="94"/>
      <c r="D978" s="94"/>
      <c r="E978" s="94"/>
      <c r="F978" s="94"/>
      <c r="G978" s="94"/>
      <c r="H978" s="94"/>
      <c r="I978" s="94"/>
      <c r="J978" s="94"/>
      <c r="K978" s="94"/>
      <c r="L978" s="94"/>
      <c r="M978" s="94"/>
      <c r="N978" s="94"/>
      <c r="O978" s="94"/>
      <c r="P978" s="94"/>
      <c r="Q978" s="94"/>
      <c r="R978" s="94"/>
      <c r="S978" s="94"/>
      <c r="T978" s="94"/>
      <c r="U978" s="94"/>
      <c r="V978" s="94"/>
      <c r="W978" s="94"/>
      <c r="X978" s="94"/>
      <c r="Y978" s="94"/>
      <c r="Z978" s="94"/>
      <c r="AA978" s="94"/>
      <c r="AB978" s="94"/>
      <c r="AC978" s="94"/>
      <c r="AD978" s="94"/>
      <c r="AE978" s="94"/>
      <c r="AF978" s="94"/>
      <c r="AG978" s="94"/>
      <c r="AH978" s="94"/>
      <c r="AI978" s="94"/>
      <c r="AJ978" s="94"/>
      <c r="AK978" s="94"/>
      <c r="AL978" s="94"/>
      <c r="AM978" s="94"/>
      <c r="AN978" s="94"/>
      <c r="AO978" s="94"/>
      <c r="AP978" s="94"/>
      <c r="AQ978" s="94"/>
      <c r="AR978" s="94"/>
      <c r="AS978" s="94"/>
      <c r="AT978" s="94"/>
      <c r="AU978" s="94"/>
      <c r="AV978" s="94"/>
      <c r="AW978" s="94"/>
      <c r="AX978" s="94"/>
      <c r="AY978" s="94"/>
      <c r="AZ978" s="94"/>
      <c r="BA978" s="95"/>
    </row>
    <row r="979" spans="1:53" s="87" customFormat="1">
      <c r="A979" s="90" t="str">
        <f t="shared" si="41"/>
        <v/>
      </c>
      <c r="B979" s="98"/>
      <c r="C979" s="94"/>
      <c r="D979" s="94"/>
      <c r="E979" s="94"/>
      <c r="F979" s="94"/>
      <c r="G979" s="94"/>
      <c r="H979" s="94"/>
      <c r="I979" s="94"/>
      <c r="J979" s="94"/>
      <c r="K979" s="94"/>
      <c r="L979" s="94"/>
      <c r="M979" s="94"/>
      <c r="N979" s="94"/>
      <c r="O979" s="94"/>
      <c r="P979" s="94"/>
      <c r="Q979" s="94"/>
      <c r="R979" s="94"/>
      <c r="S979" s="94"/>
      <c r="T979" s="94"/>
      <c r="U979" s="94"/>
      <c r="V979" s="94"/>
      <c r="W979" s="94"/>
      <c r="X979" s="94"/>
      <c r="Y979" s="94"/>
      <c r="Z979" s="94"/>
      <c r="AA979" s="94"/>
      <c r="AB979" s="94"/>
      <c r="AC979" s="94"/>
      <c r="AD979" s="94"/>
      <c r="AE979" s="94"/>
      <c r="AF979" s="94"/>
      <c r="AG979" s="94"/>
      <c r="AH979" s="94"/>
      <c r="AI979" s="94"/>
      <c r="AJ979" s="94"/>
      <c r="AK979" s="94"/>
      <c r="AL979" s="94"/>
      <c r="AM979" s="94"/>
      <c r="AN979" s="94"/>
      <c r="AO979" s="94"/>
      <c r="AP979" s="94"/>
      <c r="AQ979" s="94"/>
      <c r="AR979" s="94"/>
      <c r="AS979" s="94"/>
      <c r="AT979" s="94"/>
      <c r="AU979" s="94"/>
      <c r="AV979" s="94"/>
      <c r="AW979" s="94"/>
      <c r="AX979" s="94"/>
      <c r="AY979" s="94"/>
      <c r="AZ979" s="94"/>
      <c r="BA979" s="95"/>
    </row>
    <row r="980" spans="1:53" s="87" customFormat="1">
      <c r="A980" s="90" t="str">
        <f t="shared" si="41"/>
        <v/>
      </c>
      <c r="B980" s="98"/>
      <c r="C980" s="94"/>
      <c r="D980" s="94"/>
      <c r="E980" s="94"/>
      <c r="F980" s="94"/>
      <c r="G980" s="94"/>
      <c r="H980" s="94"/>
      <c r="I980" s="94"/>
      <c r="J980" s="94"/>
      <c r="K980" s="94"/>
      <c r="L980" s="94"/>
      <c r="M980" s="94"/>
      <c r="N980" s="94"/>
      <c r="O980" s="94"/>
      <c r="P980" s="94"/>
      <c r="Q980" s="94"/>
      <c r="R980" s="94"/>
      <c r="S980" s="94"/>
      <c r="T980" s="94"/>
      <c r="U980" s="94"/>
      <c r="V980" s="94"/>
      <c r="W980" s="94"/>
      <c r="X980" s="94"/>
      <c r="Y980" s="94"/>
      <c r="Z980" s="94"/>
      <c r="AA980" s="94"/>
      <c r="AB980" s="94"/>
      <c r="AC980" s="94"/>
      <c r="AD980" s="94"/>
      <c r="AE980" s="94"/>
      <c r="AF980" s="94"/>
      <c r="AG980" s="94"/>
      <c r="AH980" s="94"/>
      <c r="AI980" s="94"/>
      <c r="AJ980" s="94"/>
      <c r="AK980" s="94"/>
      <c r="AL980" s="94"/>
      <c r="AM980" s="94"/>
      <c r="AN980" s="94"/>
      <c r="AO980" s="94"/>
      <c r="AP980" s="94"/>
      <c r="AQ980" s="94"/>
      <c r="AR980" s="94"/>
      <c r="AS980" s="94"/>
      <c r="AT980" s="94"/>
      <c r="AU980" s="94"/>
      <c r="AV980" s="94"/>
      <c r="AW980" s="94"/>
      <c r="AX980" s="94"/>
      <c r="AY980" s="94"/>
      <c r="AZ980" s="94"/>
      <c r="BA980" s="95"/>
    </row>
    <row r="981" spans="1:53" s="87" customFormat="1">
      <c r="A981" s="90" t="str">
        <f t="shared" si="41"/>
        <v/>
      </c>
      <c r="B981" s="98"/>
      <c r="C981" s="94"/>
      <c r="D981" s="94"/>
      <c r="E981" s="94"/>
      <c r="F981" s="94"/>
      <c r="G981" s="94"/>
      <c r="H981" s="94"/>
      <c r="I981" s="94"/>
      <c r="J981" s="94"/>
      <c r="K981" s="94"/>
      <c r="L981" s="94"/>
      <c r="M981" s="94"/>
      <c r="N981" s="94"/>
      <c r="O981" s="94"/>
      <c r="P981" s="94"/>
      <c r="Q981" s="94"/>
      <c r="R981" s="94"/>
      <c r="S981" s="94"/>
      <c r="T981" s="94"/>
      <c r="U981" s="94"/>
      <c r="V981" s="94"/>
      <c r="W981" s="94"/>
      <c r="X981" s="94"/>
      <c r="Y981" s="94"/>
      <c r="Z981" s="94"/>
      <c r="AA981" s="94"/>
      <c r="AB981" s="94"/>
      <c r="AC981" s="94"/>
      <c r="AD981" s="94"/>
      <c r="AE981" s="94"/>
      <c r="AF981" s="94"/>
      <c r="AG981" s="94"/>
      <c r="AH981" s="94"/>
      <c r="AI981" s="94"/>
      <c r="AJ981" s="94"/>
      <c r="AK981" s="94"/>
      <c r="AL981" s="94"/>
      <c r="AM981" s="94"/>
      <c r="AN981" s="94"/>
      <c r="AO981" s="94"/>
      <c r="AP981" s="94"/>
      <c r="AQ981" s="94"/>
      <c r="AR981" s="94"/>
      <c r="AS981" s="94"/>
      <c r="AT981" s="94"/>
      <c r="AU981" s="94"/>
      <c r="AV981" s="94"/>
      <c r="AW981" s="94"/>
      <c r="AX981" s="94"/>
      <c r="AY981" s="94"/>
      <c r="AZ981" s="94"/>
      <c r="BA981" s="95"/>
    </row>
    <row r="982" spans="1:53" s="87" customFormat="1">
      <c r="A982" s="90" t="str">
        <f t="shared" si="41"/>
        <v/>
      </c>
      <c r="B982" s="98"/>
      <c r="C982" s="94"/>
      <c r="D982" s="94"/>
      <c r="E982" s="94"/>
      <c r="F982" s="94"/>
      <c r="G982" s="94"/>
      <c r="H982" s="94"/>
      <c r="I982" s="94"/>
      <c r="J982" s="94"/>
      <c r="K982" s="94"/>
      <c r="L982" s="94"/>
      <c r="M982" s="94"/>
      <c r="N982" s="94"/>
      <c r="O982" s="94"/>
      <c r="P982" s="94"/>
      <c r="Q982" s="94"/>
      <c r="R982" s="94"/>
      <c r="S982" s="94"/>
      <c r="T982" s="94"/>
      <c r="U982" s="94"/>
      <c r="V982" s="94"/>
      <c r="W982" s="94"/>
      <c r="X982" s="94"/>
      <c r="Y982" s="94"/>
      <c r="Z982" s="94"/>
      <c r="AA982" s="94"/>
      <c r="AB982" s="94"/>
      <c r="AC982" s="94"/>
      <c r="AD982" s="94"/>
      <c r="AE982" s="94"/>
      <c r="AF982" s="94"/>
      <c r="AG982" s="94"/>
      <c r="AH982" s="94"/>
      <c r="AI982" s="94"/>
      <c r="AJ982" s="94"/>
      <c r="AK982" s="94"/>
      <c r="AL982" s="94"/>
      <c r="AM982" s="94"/>
      <c r="AN982" s="94"/>
      <c r="AO982" s="94"/>
      <c r="AP982" s="94"/>
      <c r="AQ982" s="94"/>
      <c r="AR982" s="94"/>
      <c r="AS982" s="94"/>
      <c r="AT982" s="94"/>
      <c r="AU982" s="94"/>
      <c r="AV982" s="94"/>
      <c r="AW982" s="94"/>
      <c r="AX982" s="94"/>
      <c r="AY982" s="94"/>
      <c r="AZ982" s="94"/>
      <c r="BA982" s="95"/>
    </row>
    <row r="983" spans="1:53" s="87" customFormat="1">
      <c r="A983" s="90" t="str">
        <f t="shared" si="41"/>
        <v/>
      </c>
      <c r="B983" s="98"/>
      <c r="C983" s="94"/>
      <c r="D983" s="94"/>
      <c r="E983" s="94"/>
      <c r="F983" s="94"/>
      <c r="G983" s="94"/>
      <c r="H983" s="94"/>
      <c r="I983" s="94"/>
      <c r="J983" s="94"/>
      <c r="K983" s="94"/>
      <c r="L983" s="94"/>
      <c r="M983" s="94"/>
      <c r="N983" s="94"/>
      <c r="O983" s="94"/>
      <c r="P983" s="94"/>
      <c r="Q983" s="94"/>
      <c r="R983" s="94"/>
      <c r="S983" s="94"/>
      <c r="T983" s="94"/>
      <c r="U983" s="94"/>
      <c r="V983" s="94"/>
      <c r="W983" s="94"/>
      <c r="X983" s="94"/>
      <c r="Y983" s="94"/>
      <c r="Z983" s="94"/>
      <c r="AA983" s="94"/>
      <c r="AB983" s="94"/>
      <c r="AC983" s="94"/>
      <c r="AD983" s="94"/>
      <c r="AE983" s="94"/>
      <c r="AF983" s="94"/>
      <c r="AG983" s="94"/>
      <c r="AH983" s="94"/>
      <c r="AI983" s="94"/>
      <c r="AJ983" s="94"/>
      <c r="AK983" s="94"/>
      <c r="AL983" s="94"/>
      <c r="AM983" s="94"/>
      <c r="AN983" s="94"/>
      <c r="AO983" s="94"/>
      <c r="AP983" s="94"/>
      <c r="AQ983" s="94"/>
      <c r="AR983" s="94"/>
      <c r="AS983" s="94"/>
      <c r="AT983" s="94"/>
      <c r="AU983" s="94"/>
      <c r="AV983" s="94"/>
      <c r="AW983" s="94"/>
      <c r="AX983" s="94"/>
      <c r="AY983" s="94"/>
      <c r="AZ983" s="94"/>
      <c r="BA983" s="95"/>
    </row>
    <row r="984" spans="1:53" s="87" customFormat="1">
      <c r="A984" s="90" t="str">
        <f t="shared" si="41"/>
        <v/>
      </c>
      <c r="B984" s="98"/>
      <c r="C984" s="94"/>
      <c r="D984" s="94"/>
      <c r="E984" s="94"/>
      <c r="F984" s="94"/>
      <c r="G984" s="94"/>
      <c r="H984" s="94"/>
      <c r="I984" s="94"/>
      <c r="J984" s="94"/>
      <c r="K984" s="94"/>
      <c r="L984" s="94"/>
      <c r="M984" s="94"/>
      <c r="N984" s="94"/>
      <c r="O984" s="94"/>
      <c r="P984" s="94"/>
      <c r="Q984" s="94"/>
      <c r="R984" s="94"/>
      <c r="S984" s="94"/>
      <c r="T984" s="94"/>
      <c r="U984" s="94"/>
      <c r="V984" s="94"/>
      <c r="W984" s="94"/>
      <c r="X984" s="94"/>
      <c r="Y984" s="94"/>
      <c r="Z984" s="94"/>
      <c r="AA984" s="94"/>
      <c r="AB984" s="94"/>
      <c r="AC984" s="94"/>
      <c r="AD984" s="94"/>
      <c r="AE984" s="94"/>
      <c r="AF984" s="94"/>
      <c r="AG984" s="94"/>
      <c r="AH984" s="94"/>
      <c r="AI984" s="94"/>
      <c r="AJ984" s="94"/>
      <c r="AK984" s="94"/>
      <c r="AL984" s="94"/>
      <c r="AM984" s="94"/>
      <c r="AN984" s="94"/>
      <c r="AO984" s="94"/>
      <c r="AP984" s="94"/>
      <c r="AQ984" s="94"/>
      <c r="AR984" s="94"/>
      <c r="AS984" s="94"/>
      <c r="AT984" s="94"/>
      <c r="AU984" s="94"/>
      <c r="AV984" s="94"/>
      <c r="AW984" s="94"/>
      <c r="AX984" s="94"/>
      <c r="AY984" s="94"/>
      <c r="AZ984" s="94"/>
      <c r="BA984" s="95"/>
    </row>
    <row r="985" spans="1:53" s="87" customFormat="1">
      <c r="A985" s="90" t="str">
        <f t="shared" si="41"/>
        <v/>
      </c>
      <c r="B985" s="98"/>
      <c r="C985" s="94"/>
      <c r="D985" s="94"/>
      <c r="E985" s="94"/>
      <c r="F985" s="94"/>
      <c r="G985" s="94"/>
      <c r="H985" s="94"/>
      <c r="I985" s="94"/>
      <c r="J985" s="94"/>
      <c r="K985" s="94"/>
      <c r="L985" s="94"/>
      <c r="M985" s="94"/>
      <c r="N985" s="94"/>
      <c r="O985" s="94"/>
      <c r="P985" s="94"/>
      <c r="Q985" s="94"/>
      <c r="R985" s="94"/>
      <c r="S985" s="94"/>
      <c r="T985" s="94"/>
      <c r="U985" s="94"/>
      <c r="V985" s="94"/>
      <c r="W985" s="94"/>
      <c r="X985" s="94"/>
      <c r="Y985" s="94"/>
      <c r="Z985" s="94"/>
      <c r="AA985" s="94"/>
      <c r="AB985" s="94"/>
      <c r="AC985" s="94"/>
      <c r="AD985" s="94"/>
      <c r="AE985" s="94"/>
      <c r="AF985" s="94"/>
      <c r="AG985" s="94"/>
      <c r="AH985" s="94"/>
      <c r="AI985" s="94"/>
      <c r="AJ985" s="94"/>
      <c r="AK985" s="94"/>
      <c r="AL985" s="94"/>
      <c r="AM985" s="94"/>
      <c r="AN985" s="94"/>
      <c r="AO985" s="94"/>
      <c r="AP985" s="94"/>
      <c r="AQ985" s="94"/>
      <c r="AR985" s="94"/>
      <c r="AS985" s="94"/>
      <c r="AT985" s="94"/>
      <c r="AU985" s="94"/>
      <c r="AV985" s="94"/>
      <c r="AW985" s="94"/>
      <c r="AX985" s="94"/>
      <c r="AY985" s="94"/>
      <c r="AZ985" s="94"/>
      <c r="BA985" s="95"/>
    </row>
    <row r="986" spans="1:53" s="87" customFormat="1">
      <c r="A986" s="90" t="str">
        <f t="shared" si="41"/>
        <v/>
      </c>
      <c r="B986" s="98"/>
      <c r="C986" s="94"/>
      <c r="D986" s="94"/>
      <c r="E986" s="94"/>
      <c r="F986" s="94"/>
      <c r="G986" s="94"/>
      <c r="H986" s="94"/>
      <c r="I986" s="94"/>
      <c r="J986" s="94"/>
      <c r="K986" s="94"/>
      <c r="L986" s="94"/>
      <c r="M986" s="94"/>
      <c r="N986" s="94"/>
      <c r="O986" s="94"/>
      <c r="P986" s="94"/>
      <c r="Q986" s="94"/>
      <c r="R986" s="94"/>
      <c r="S986" s="94"/>
      <c r="T986" s="94"/>
      <c r="U986" s="94"/>
      <c r="V986" s="94"/>
      <c r="W986" s="94"/>
      <c r="X986" s="94"/>
      <c r="Y986" s="94"/>
      <c r="Z986" s="94"/>
      <c r="AA986" s="94"/>
      <c r="AB986" s="94"/>
      <c r="AC986" s="94"/>
      <c r="AD986" s="94"/>
      <c r="AE986" s="94"/>
      <c r="AF986" s="94"/>
      <c r="AG986" s="94"/>
      <c r="AH986" s="94"/>
      <c r="AI986" s="94"/>
      <c r="AJ986" s="94"/>
      <c r="AK986" s="94"/>
      <c r="AL986" s="94"/>
      <c r="AM986" s="94"/>
      <c r="AN986" s="94"/>
      <c r="AO986" s="94"/>
      <c r="AP986" s="94"/>
      <c r="AQ986" s="94"/>
      <c r="AR986" s="94"/>
      <c r="AS986" s="94"/>
      <c r="AT986" s="94"/>
      <c r="AU986" s="94"/>
      <c r="AV986" s="94"/>
      <c r="AW986" s="94"/>
      <c r="AX986" s="94"/>
      <c r="AY986" s="94"/>
      <c r="AZ986" s="94"/>
      <c r="BA986" s="95"/>
    </row>
    <row r="987" spans="1:53" s="87" customFormat="1">
      <c r="A987" s="90" t="str">
        <f t="shared" si="41"/>
        <v/>
      </c>
      <c r="B987" s="98"/>
      <c r="C987" s="94"/>
      <c r="D987" s="94"/>
      <c r="E987" s="94"/>
      <c r="F987" s="94"/>
      <c r="G987" s="94"/>
      <c r="H987" s="94"/>
      <c r="I987" s="94"/>
      <c r="J987" s="94"/>
      <c r="K987" s="94"/>
      <c r="L987" s="94"/>
      <c r="M987" s="94"/>
      <c r="N987" s="94"/>
      <c r="O987" s="94"/>
      <c r="P987" s="94"/>
      <c r="Q987" s="94"/>
      <c r="R987" s="94"/>
      <c r="S987" s="94"/>
      <c r="T987" s="94"/>
      <c r="U987" s="94"/>
      <c r="V987" s="94"/>
      <c r="W987" s="94"/>
      <c r="X987" s="94"/>
      <c r="Y987" s="94"/>
      <c r="Z987" s="94"/>
      <c r="AA987" s="94"/>
      <c r="AB987" s="94"/>
      <c r="AC987" s="94"/>
      <c r="AD987" s="94"/>
      <c r="AE987" s="94"/>
      <c r="AF987" s="94"/>
      <c r="AG987" s="94"/>
      <c r="AH987" s="94"/>
      <c r="AI987" s="94"/>
      <c r="AJ987" s="94"/>
      <c r="AK987" s="94"/>
      <c r="AL987" s="94"/>
      <c r="AM987" s="94"/>
      <c r="AN987" s="94"/>
      <c r="AO987" s="94"/>
      <c r="AP987" s="94"/>
      <c r="AQ987" s="94"/>
      <c r="AR987" s="94"/>
      <c r="AS987" s="94"/>
      <c r="AT987" s="94"/>
      <c r="AU987" s="94"/>
      <c r="AV987" s="94"/>
      <c r="AW987" s="94"/>
      <c r="AX987" s="94"/>
      <c r="AY987" s="94"/>
      <c r="AZ987" s="94"/>
      <c r="BA987" s="95"/>
    </row>
    <row r="988" spans="1:53" s="87" customFormat="1">
      <c r="A988" s="90" t="str">
        <f t="shared" si="41"/>
        <v/>
      </c>
      <c r="B988" s="98"/>
      <c r="C988" s="94"/>
      <c r="D988" s="94"/>
      <c r="E988" s="94"/>
      <c r="F988" s="94"/>
      <c r="G988" s="94"/>
      <c r="H988" s="94"/>
      <c r="I988" s="94"/>
      <c r="J988" s="94"/>
      <c r="K988" s="94"/>
      <c r="L988" s="94"/>
      <c r="M988" s="94"/>
      <c r="N988" s="94"/>
      <c r="O988" s="94"/>
      <c r="P988" s="94"/>
      <c r="Q988" s="94"/>
      <c r="R988" s="94"/>
      <c r="S988" s="94"/>
      <c r="T988" s="94"/>
      <c r="U988" s="94"/>
      <c r="V988" s="94"/>
      <c r="W988" s="94"/>
      <c r="X988" s="94"/>
      <c r="Y988" s="94"/>
      <c r="Z988" s="94"/>
      <c r="AA988" s="94"/>
      <c r="AB988" s="94"/>
      <c r="AC988" s="94"/>
      <c r="AD988" s="94"/>
      <c r="AE988" s="94"/>
      <c r="AF988" s="94"/>
      <c r="AG988" s="94"/>
      <c r="AH988" s="94"/>
      <c r="AI988" s="94"/>
      <c r="AJ988" s="94"/>
      <c r="AK988" s="94"/>
      <c r="AL988" s="94"/>
      <c r="AM988" s="94"/>
      <c r="AN988" s="94"/>
      <c r="AO988" s="94"/>
      <c r="AP988" s="94"/>
      <c r="AQ988" s="94"/>
      <c r="AR988" s="94"/>
      <c r="AS988" s="94"/>
      <c r="AT988" s="94"/>
      <c r="AU988" s="94"/>
      <c r="AV988" s="94"/>
      <c r="AW988" s="94"/>
      <c r="AX988" s="94"/>
      <c r="AY988" s="94"/>
      <c r="AZ988" s="94"/>
      <c r="BA988" s="95"/>
    </row>
    <row r="989" spans="1:53" s="87" customFormat="1">
      <c r="A989" s="90" t="str">
        <f t="shared" si="41"/>
        <v/>
      </c>
      <c r="B989" s="98"/>
      <c r="C989" s="94"/>
      <c r="D989" s="94"/>
      <c r="E989" s="94"/>
      <c r="F989" s="94"/>
      <c r="G989" s="94"/>
      <c r="H989" s="94"/>
      <c r="I989" s="94"/>
      <c r="J989" s="94"/>
      <c r="K989" s="94"/>
      <c r="L989" s="94"/>
      <c r="M989" s="94"/>
      <c r="N989" s="94"/>
      <c r="O989" s="94"/>
      <c r="P989" s="94"/>
      <c r="Q989" s="94"/>
      <c r="R989" s="94"/>
      <c r="S989" s="94"/>
      <c r="T989" s="94"/>
      <c r="U989" s="94"/>
      <c r="V989" s="94"/>
      <c r="W989" s="94"/>
      <c r="X989" s="94"/>
      <c r="Y989" s="94"/>
      <c r="Z989" s="94"/>
      <c r="AA989" s="94"/>
      <c r="AB989" s="94"/>
      <c r="AC989" s="94"/>
      <c r="AD989" s="94"/>
      <c r="AE989" s="94"/>
      <c r="AF989" s="94"/>
      <c r="AG989" s="94"/>
      <c r="AH989" s="94"/>
      <c r="AI989" s="94"/>
      <c r="AJ989" s="94"/>
      <c r="AK989" s="94"/>
      <c r="AL989" s="94"/>
      <c r="AM989" s="94"/>
      <c r="AN989" s="94"/>
      <c r="AO989" s="94"/>
      <c r="AP989" s="94"/>
      <c r="AQ989" s="94"/>
      <c r="AR989" s="94"/>
      <c r="AS989" s="94"/>
      <c r="AT989" s="94"/>
      <c r="AU989" s="94"/>
      <c r="AV989" s="94"/>
      <c r="AW989" s="94"/>
      <c r="AX989" s="94"/>
      <c r="AY989" s="94"/>
      <c r="AZ989" s="94"/>
      <c r="BA989" s="95"/>
    </row>
    <row r="990" spans="1:53" s="87" customFormat="1">
      <c r="A990" s="90" t="str">
        <f t="shared" si="41"/>
        <v/>
      </c>
      <c r="B990" s="98"/>
      <c r="C990" s="94"/>
      <c r="D990" s="94"/>
      <c r="E990" s="94"/>
      <c r="F990" s="94"/>
      <c r="G990" s="94"/>
      <c r="H990" s="94"/>
      <c r="I990" s="94"/>
      <c r="J990" s="94"/>
      <c r="K990" s="94"/>
      <c r="L990" s="94"/>
      <c r="M990" s="94"/>
      <c r="N990" s="94"/>
      <c r="O990" s="94"/>
      <c r="P990" s="94"/>
      <c r="Q990" s="94"/>
      <c r="R990" s="94"/>
      <c r="S990" s="94"/>
      <c r="T990" s="94"/>
      <c r="U990" s="94"/>
      <c r="V990" s="94"/>
      <c r="W990" s="94"/>
      <c r="X990" s="94"/>
      <c r="Y990" s="94"/>
      <c r="Z990" s="94"/>
      <c r="AA990" s="94"/>
      <c r="AB990" s="94"/>
      <c r="AC990" s="94"/>
      <c r="AD990" s="94"/>
      <c r="AE990" s="94"/>
      <c r="AF990" s="94"/>
      <c r="AG990" s="94"/>
      <c r="AH990" s="94"/>
      <c r="AI990" s="94"/>
      <c r="AJ990" s="94"/>
      <c r="AK990" s="94"/>
      <c r="AL990" s="94"/>
      <c r="AM990" s="94"/>
      <c r="AN990" s="94"/>
      <c r="AO990" s="94"/>
      <c r="AP990" s="94"/>
      <c r="AQ990" s="94"/>
      <c r="AR990" s="94"/>
      <c r="AS990" s="94"/>
      <c r="AT990" s="94"/>
      <c r="AU990" s="94"/>
      <c r="AV990" s="94"/>
      <c r="AW990" s="94"/>
      <c r="AX990" s="94"/>
      <c r="AY990" s="94"/>
      <c r="AZ990" s="94"/>
      <c r="BA990" s="95"/>
    </row>
    <row r="991" spans="1:53" s="87" customFormat="1">
      <c r="A991" s="90" t="str">
        <f t="shared" si="41"/>
        <v/>
      </c>
      <c r="B991" s="98"/>
      <c r="C991" s="94"/>
      <c r="D991" s="94"/>
      <c r="E991" s="94"/>
      <c r="F991" s="94"/>
      <c r="G991" s="94"/>
      <c r="H991" s="94"/>
      <c r="I991" s="94"/>
      <c r="J991" s="94"/>
      <c r="K991" s="94"/>
      <c r="L991" s="94"/>
      <c r="M991" s="94"/>
      <c r="N991" s="94"/>
      <c r="O991" s="94"/>
      <c r="P991" s="94"/>
      <c r="Q991" s="94"/>
      <c r="R991" s="94"/>
      <c r="S991" s="94"/>
      <c r="T991" s="94"/>
      <c r="U991" s="94"/>
      <c r="V991" s="94"/>
      <c r="W991" s="94"/>
      <c r="X991" s="94"/>
      <c r="Y991" s="94"/>
      <c r="Z991" s="94"/>
      <c r="AA991" s="94"/>
      <c r="AB991" s="94"/>
      <c r="AC991" s="94"/>
      <c r="AD991" s="94"/>
      <c r="AE991" s="94"/>
      <c r="AF991" s="94"/>
      <c r="AG991" s="94"/>
      <c r="AH991" s="94"/>
      <c r="AI991" s="94"/>
      <c r="AJ991" s="94"/>
      <c r="AK991" s="94"/>
      <c r="AL991" s="94"/>
      <c r="AM991" s="94"/>
      <c r="AN991" s="94"/>
      <c r="AO991" s="94"/>
      <c r="AP991" s="94"/>
      <c r="AQ991" s="94"/>
      <c r="AR991" s="94"/>
      <c r="AS991" s="94"/>
      <c r="AT991" s="94"/>
      <c r="AU991" s="94"/>
      <c r="AV991" s="94"/>
      <c r="AW991" s="94"/>
      <c r="AX991" s="94"/>
      <c r="AY991" s="94"/>
      <c r="AZ991" s="94"/>
      <c r="BA991" s="95"/>
    </row>
    <row r="992" spans="1:53" s="87" customFormat="1">
      <c r="A992" s="90" t="str">
        <f t="shared" si="41"/>
        <v/>
      </c>
      <c r="B992" s="98"/>
      <c r="C992" s="94"/>
      <c r="D992" s="94"/>
      <c r="E992" s="94"/>
      <c r="F992" s="94"/>
      <c r="G992" s="94"/>
      <c r="H992" s="94"/>
      <c r="I992" s="94"/>
      <c r="J992" s="94"/>
      <c r="K992" s="94"/>
      <c r="L992" s="94"/>
      <c r="M992" s="94"/>
      <c r="N992" s="94"/>
      <c r="O992" s="94"/>
      <c r="P992" s="94"/>
      <c r="Q992" s="94"/>
      <c r="R992" s="94"/>
      <c r="S992" s="94"/>
      <c r="T992" s="94"/>
      <c r="U992" s="94"/>
      <c r="V992" s="94"/>
      <c r="W992" s="94"/>
      <c r="X992" s="94"/>
      <c r="Y992" s="94"/>
      <c r="Z992" s="94"/>
      <c r="AA992" s="94"/>
      <c r="AB992" s="94"/>
      <c r="AC992" s="94"/>
      <c r="AD992" s="94"/>
      <c r="AE992" s="94"/>
      <c r="AF992" s="94"/>
      <c r="AG992" s="94"/>
      <c r="AH992" s="94"/>
      <c r="AI992" s="94"/>
      <c r="AJ992" s="94"/>
      <c r="AK992" s="94"/>
      <c r="AL992" s="94"/>
      <c r="AM992" s="94"/>
      <c r="AN992" s="94"/>
      <c r="AO992" s="94"/>
      <c r="AP992" s="94"/>
      <c r="AQ992" s="94"/>
      <c r="AR992" s="94"/>
      <c r="AS992" s="94"/>
      <c r="AT992" s="94"/>
      <c r="AU992" s="94"/>
      <c r="AV992" s="94"/>
      <c r="AW992" s="94"/>
      <c r="AX992" s="94"/>
      <c r="AY992" s="94"/>
      <c r="AZ992" s="94"/>
      <c r="BA992" s="95"/>
    </row>
    <row r="993" spans="1:53" s="87" customFormat="1">
      <c r="A993" s="90" t="str">
        <f t="shared" si="41"/>
        <v/>
      </c>
      <c r="B993" s="98"/>
      <c r="C993" s="94"/>
      <c r="D993" s="94"/>
      <c r="E993" s="94"/>
      <c r="F993" s="94"/>
      <c r="G993" s="94"/>
      <c r="H993" s="94"/>
      <c r="I993" s="94"/>
      <c r="J993" s="94"/>
      <c r="K993" s="94"/>
      <c r="L993" s="94"/>
      <c r="M993" s="94"/>
      <c r="N993" s="94"/>
      <c r="O993" s="94"/>
      <c r="P993" s="94"/>
      <c r="Q993" s="94"/>
      <c r="R993" s="94"/>
      <c r="S993" s="94"/>
      <c r="T993" s="94"/>
      <c r="U993" s="94"/>
      <c r="V993" s="94"/>
      <c r="W993" s="94"/>
      <c r="X993" s="94"/>
      <c r="Y993" s="94"/>
      <c r="Z993" s="94"/>
      <c r="AA993" s="94"/>
      <c r="AB993" s="94"/>
      <c r="AC993" s="94"/>
      <c r="AD993" s="94"/>
      <c r="AE993" s="94"/>
      <c r="AF993" s="94"/>
      <c r="AG993" s="94"/>
      <c r="AH993" s="94"/>
      <c r="AI993" s="94"/>
      <c r="AJ993" s="94"/>
      <c r="AK993" s="94"/>
      <c r="AL993" s="94"/>
      <c r="AM993" s="94"/>
      <c r="AN993" s="94"/>
      <c r="AO993" s="94"/>
      <c r="AP993" s="94"/>
      <c r="AQ993" s="94"/>
      <c r="AR993" s="94"/>
      <c r="AS993" s="94"/>
      <c r="AT993" s="94"/>
      <c r="AU993" s="94"/>
      <c r="AV993" s="94"/>
      <c r="AW993" s="94"/>
      <c r="AX993" s="94"/>
      <c r="AY993" s="94"/>
      <c r="AZ993" s="94"/>
      <c r="BA993" s="95"/>
    </row>
    <row r="994" spans="1:53" s="87" customFormat="1">
      <c r="A994" s="90" t="str">
        <f t="shared" si="41"/>
        <v/>
      </c>
      <c r="B994" s="98"/>
      <c r="C994" s="94"/>
      <c r="D994" s="94"/>
      <c r="E994" s="94"/>
      <c r="F994" s="94"/>
      <c r="G994" s="94"/>
      <c r="H994" s="94"/>
      <c r="I994" s="94"/>
      <c r="J994" s="94"/>
      <c r="K994" s="94"/>
      <c r="L994" s="94"/>
      <c r="M994" s="94"/>
      <c r="N994" s="94"/>
      <c r="O994" s="94"/>
      <c r="P994" s="94"/>
      <c r="Q994" s="94"/>
      <c r="R994" s="94"/>
      <c r="S994" s="94"/>
      <c r="T994" s="94"/>
      <c r="U994" s="94"/>
      <c r="V994" s="94"/>
      <c r="W994" s="94"/>
      <c r="X994" s="94"/>
      <c r="Y994" s="94"/>
      <c r="Z994" s="94"/>
      <c r="AA994" s="94"/>
      <c r="AB994" s="94"/>
      <c r="AC994" s="94"/>
      <c r="AD994" s="94"/>
      <c r="AE994" s="94"/>
      <c r="AF994" s="94"/>
      <c r="AG994" s="94"/>
      <c r="AH994" s="94"/>
      <c r="AI994" s="94"/>
      <c r="AJ994" s="94"/>
      <c r="AK994" s="94"/>
      <c r="AL994" s="94"/>
      <c r="AM994" s="94"/>
      <c r="AN994" s="94"/>
      <c r="AO994" s="94"/>
      <c r="AP994" s="94"/>
      <c r="AQ994" s="94"/>
      <c r="AR994" s="94"/>
      <c r="AS994" s="94"/>
      <c r="AT994" s="94"/>
      <c r="AU994" s="94"/>
      <c r="AV994" s="94"/>
      <c r="AW994" s="94"/>
      <c r="AX994" s="94"/>
      <c r="AY994" s="94"/>
      <c r="AZ994" s="94"/>
      <c r="BA994" s="95"/>
    </row>
    <row r="995" spans="1:53" s="87" customFormat="1">
      <c r="A995" s="90" t="str">
        <f t="shared" si="41"/>
        <v/>
      </c>
      <c r="B995" s="98"/>
      <c r="C995" s="94"/>
      <c r="D995" s="94"/>
      <c r="E995" s="94"/>
      <c r="F995" s="94"/>
      <c r="G995" s="94"/>
      <c r="H995" s="94"/>
      <c r="I995" s="94"/>
      <c r="J995" s="94"/>
      <c r="K995" s="94"/>
      <c r="L995" s="94"/>
      <c r="M995" s="94"/>
      <c r="N995" s="94"/>
      <c r="O995" s="94"/>
      <c r="P995" s="94"/>
      <c r="Q995" s="94"/>
      <c r="R995" s="94"/>
      <c r="S995" s="94"/>
      <c r="T995" s="94"/>
      <c r="U995" s="94"/>
      <c r="V995" s="94"/>
      <c r="W995" s="94"/>
      <c r="X995" s="94"/>
      <c r="Y995" s="94"/>
      <c r="Z995" s="94"/>
      <c r="AA995" s="94"/>
      <c r="AB995" s="94"/>
      <c r="AC995" s="94"/>
      <c r="AD995" s="94"/>
      <c r="AE995" s="94"/>
      <c r="AF995" s="94"/>
      <c r="AG995" s="94"/>
      <c r="AH995" s="94"/>
      <c r="AI995" s="94"/>
      <c r="AJ995" s="94"/>
      <c r="AK995" s="94"/>
      <c r="AL995" s="94"/>
      <c r="AM995" s="94"/>
      <c r="AN995" s="94"/>
      <c r="AO995" s="94"/>
      <c r="AP995" s="94"/>
      <c r="AQ995" s="94"/>
      <c r="AR995" s="94"/>
      <c r="AS995" s="94"/>
      <c r="AT995" s="94"/>
      <c r="AU995" s="94"/>
      <c r="AV995" s="94"/>
      <c r="AW995" s="94"/>
      <c r="AX995" s="94"/>
      <c r="AY995" s="94"/>
      <c r="AZ995" s="94"/>
      <c r="BA995" s="95"/>
    </row>
    <row r="996" spans="1:53" s="87" customFormat="1">
      <c r="A996" s="90" t="str">
        <f t="shared" si="41"/>
        <v/>
      </c>
      <c r="B996" s="98"/>
      <c r="C996" s="94"/>
      <c r="D996" s="94"/>
      <c r="E996" s="94"/>
      <c r="F996" s="94"/>
      <c r="G996" s="94"/>
      <c r="H996" s="94"/>
      <c r="I996" s="94"/>
      <c r="J996" s="94"/>
      <c r="K996" s="94"/>
      <c r="L996" s="94"/>
      <c r="M996" s="94"/>
      <c r="N996" s="94"/>
      <c r="O996" s="94"/>
      <c r="P996" s="94"/>
      <c r="Q996" s="94"/>
      <c r="R996" s="94"/>
      <c r="S996" s="94"/>
      <c r="T996" s="94"/>
      <c r="U996" s="94"/>
      <c r="V996" s="94"/>
      <c r="W996" s="94"/>
      <c r="X996" s="94"/>
      <c r="Y996" s="94"/>
      <c r="Z996" s="94"/>
      <c r="AA996" s="94"/>
      <c r="AB996" s="94"/>
      <c r="AC996" s="94"/>
      <c r="AD996" s="94"/>
      <c r="AE996" s="94"/>
      <c r="AF996" s="94"/>
      <c r="AG996" s="94"/>
      <c r="AH996" s="94"/>
      <c r="AI996" s="94"/>
      <c r="AJ996" s="94"/>
      <c r="AK996" s="94"/>
      <c r="AL996" s="94"/>
      <c r="AM996" s="94"/>
      <c r="AN996" s="94"/>
      <c r="AO996" s="94"/>
      <c r="AP996" s="94"/>
      <c r="AQ996" s="94"/>
      <c r="AR996" s="94"/>
      <c r="AS996" s="94"/>
      <c r="AT996" s="94"/>
      <c r="AU996" s="94"/>
      <c r="AV996" s="94"/>
      <c r="AW996" s="94"/>
      <c r="AX996" s="94"/>
      <c r="AY996" s="94"/>
      <c r="AZ996" s="94"/>
      <c r="BA996" s="95"/>
    </row>
    <row r="997" spans="1:53" s="87" customFormat="1">
      <c r="A997" s="90" t="str">
        <f t="shared" si="41"/>
        <v/>
      </c>
      <c r="B997" s="98"/>
      <c r="C997" s="94"/>
      <c r="D997" s="94"/>
      <c r="E997" s="94"/>
      <c r="F997" s="94"/>
      <c r="G997" s="94"/>
      <c r="H997" s="94"/>
      <c r="I997" s="94"/>
      <c r="J997" s="94"/>
      <c r="K997" s="94"/>
      <c r="L997" s="94"/>
      <c r="M997" s="94"/>
      <c r="N997" s="94"/>
      <c r="O997" s="94"/>
      <c r="P997" s="94"/>
      <c r="Q997" s="94"/>
      <c r="R997" s="94"/>
      <c r="S997" s="94"/>
      <c r="T997" s="94"/>
      <c r="U997" s="94"/>
      <c r="V997" s="94"/>
      <c r="W997" s="94"/>
      <c r="X997" s="94"/>
      <c r="Y997" s="94"/>
      <c r="Z997" s="94"/>
      <c r="AA997" s="94"/>
      <c r="AB997" s="94"/>
      <c r="AC997" s="94"/>
      <c r="AD997" s="94"/>
      <c r="AE997" s="94"/>
      <c r="AF997" s="94"/>
      <c r="AG997" s="94"/>
      <c r="AH997" s="94"/>
      <c r="AI997" s="94"/>
      <c r="AJ997" s="94"/>
      <c r="AK997" s="94"/>
      <c r="AL997" s="94"/>
      <c r="AM997" s="94"/>
      <c r="AN997" s="94"/>
      <c r="AO997" s="94"/>
      <c r="AP997" s="94"/>
      <c r="AQ997" s="94"/>
      <c r="AR997" s="94"/>
      <c r="AS997" s="94"/>
      <c r="AT997" s="94"/>
      <c r="AU997" s="94"/>
      <c r="AV997" s="94"/>
      <c r="AW997" s="94"/>
      <c r="AX997" s="94"/>
      <c r="AY997" s="94"/>
      <c r="AZ997" s="94"/>
      <c r="BA997" s="95"/>
    </row>
    <row r="998" spans="1:53" s="87" customFormat="1">
      <c r="A998" s="90" t="str">
        <f t="shared" si="41"/>
        <v/>
      </c>
      <c r="B998" s="98"/>
      <c r="C998" s="94"/>
      <c r="D998" s="94"/>
      <c r="E998" s="94"/>
      <c r="F998" s="94"/>
      <c r="G998" s="94"/>
      <c r="H998" s="94"/>
      <c r="I998" s="94"/>
      <c r="J998" s="94"/>
      <c r="K998" s="94"/>
      <c r="L998" s="94"/>
      <c r="M998" s="94"/>
      <c r="N998" s="94"/>
      <c r="O998" s="94"/>
      <c r="P998" s="94"/>
      <c r="Q998" s="94"/>
      <c r="R998" s="94"/>
      <c r="S998" s="94"/>
      <c r="T998" s="94"/>
      <c r="U998" s="94"/>
      <c r="V998" s="94"/>
      <c r="W998" s="94"/>
      <c r="X998" s="94"/>
      <c r="Y998" s="94"/>
      <c r="Z998" s="94"/>
      <c r="AA998" s="94"/>
      <c r="AB998" s="94"/>
      <c r="AC998" s="94"/>
      <c r="AD998" s="94"/>
      <c r="AE998" s="94"/>
      <c r="AF998" s="94"/>
      <c r="AG998" s="94"/>
      <c r="AH998" s="94"/>
      <c r="AI998" s="94"/>
      <c r="AJ998" s="94"/>
      <c r="AK998" s="94"/>
      <c r="AL998" s="94"/>
      <c r="AM998" s="94"/>
      <c r="AN998" s="94"/>
      <c r="AO998" s="94"/>
      <c r="AP998" s="94"/>
      <c r="AQ998" s="94"/>
      <c r="AR998" s="94"/>
      <c r="AS998" s="94"/>
      <c r="AT998" s="94"/>
      <c r="AU998" s="94"/>
      <c r="AV998" s="94"/>
      <c r="AW998" s="94"/>
      <c r="AX998" s="94"/>
      <c r="AY998" s="94"/>
      <c r="AZ998" s="94"/>
      <c r="BA998" s="95"/>
    </row>
    <row r="999" spans="1:53" s="87" customFormat="1">
      <c r="A999" s="90" t="str">
        <f t="shared" si="41"/>
        <v/>
      </c>
      <c r="B999" s="98"/>
      <c r="C999" s="94"/>
      <c r="D999" s="94"/>
      <c r="E999" s="94"/>
      <c r="F999" s="94"/>
      <c r="G999" s="94"/>
      <c r="H999" s="94"/>
      <c r="I999" s="94"/>
      <c r="J999" s="94"/>
      <c r="K999" s="94"/>
      <c r="L999" s="94"/>
      <c r="M999" s="94"/>
      <c r="N999" s="94"/>
      <c r="O999" s="94"/>
      <c r="P999" s="94"/>
      <c r="Q999" s="94"/>
      <c r="R999" s="94"/>
      <c r="S999" s="94"/>
      <c r="T999" s="94"/>
      <c r="U999" s="94"/>
      <c r="V999" s="94"/>
      <c r="W999" s="94"/>
      <c r="X999" s="94"/>
      <c r="Y999" s="94"/>
      <c r="Z999" s="94"/>
      <c r="AA999" s="94"/>
      <c r="AB999" s="94"/>
      <c r="AC999" s="94"/>
      <c r="AD999" s="94"/>
      <c r="AE999" s="94"/>
      <c r="AF999" s="94"/>
      <c r="AG999" s="94"/>
      <c r="AH999" s="94"/>
      <c r="AI999" s="94"/>
      <c r="AJ999" s="94"/>
      <c r="AK999" s="94"/>
      <c r="AL999" s="94"/>
      <c r="AM999" s="94"/>
      <c r="AN999" s="94"/>
      <c r="AO999" s="94"/>
      <c r="AP999" s="94"/>
      <c r="AQ999" s="94"/>
      <c r="AR999" s="94"/>
      <c r="AS999" s="94"/>
      <c r="AT999" s="94"/>
      <c r="AU999" s="94"/>
      <c r="AV999" s="94"/>
      <c r="AW999" s="94"/>
      <c r="AX999" s="94"/>
      <c r="AY999" s="94"/>
      <c r="AZ999" s="94"/>
      <c r="BA999" s="95"/>
    </row>
    <row r="1000" spans="1:53" s="87" customFormat="1">
      <c r="A1000" s="90" t="str">
        <f t="shared" si="41"/>
        <v/>
      </c>
      <c r="B1000" s="98"/>
      <c r="C1000" s="94"/>
      <c r="D1000" s="94"/>
      <c r="E1000" s="94"/>
      <c r="F1000" s="94"/>
      <c r="G1000" s="94"/>
      <c r="H1000" s="94"/>
      <c r="I1000" s="94"/>
      <c r="J1000" s="94"/>
      <c r="K1000" s="94"/>
      <c r="L1000" s="94"/>
      <c r="M1000" s="94"/>
      <c r="N1000" s="94"/>
      <c r="O1000" s="94"/>
      <c r="P1000" s="94"/>
      <c r="Q1000" s="94"/>
      <c r="R1000" s="94"/>
      <c r="S1000" s="94"/>
      <c r="T1000" s="94"/>
      <c r="U1000" s="94"/>
      <c r="V1000" s="94"/>
      <c r="W1000" s="94"/>
      <c r="X1000" s="94"/>
      <c r="Y1000" s="94"/>
      <c r="Z1000" s="94"/>
      <c r="AA1000" s="94"/>
      <c r="AB1000" s="94"/>
      <c r="AC1000" s="94"/>
      <c r="AD1000" s="94"/>
      <c r="AE1000" s="94"/>
      <c r="AF1000" s="94"/>
      <c r="AG1000" s="94"/>
      <c r="AH1000" s="94"/>
      <c r="AI1000" s="94"/>
      <c r="AJ1000" s="94"/>
      <c r="AK1000" s="94"/>
      <c r="AL1000" s="94"/>
      <c r="AM1000" s="94"/>
      <c r="AN1000" s="94"/>
      <c r="AO1000" s="94"/>
      <c r="AP1000" s="94"/>
      <c r="AQ1000" s="94"/>
      <c r="AR1000" s="94"/>
      <c r="AS1000" s="94"/>
      <c r="AT1000" s="94"/>
      <c r="AU1000" s="94"/>
      <c r="AV1000" s="94"/>
      <c r="AW1000" s="94"/>
      <c r="AX1000" s="94"/>
      <c r="AY1000" s="94"/>
      <c r="AZ1000" s="94"/>
      <c r="BA1000" s="95"/>
    </row>
    <row r="1001" spans="1:53" s="87" customFormat="1">
      <c r="A1001" s="90" t="str">
        <f t="shared" si="41"/>
        <v/>
      </c>
      <c r="B1001" s="98"/>
      <c r="C1001" s="94"/>
      <c r="D1001" s="94"/>
      <c r="E1001" s="94"/>
      <c r="F1001" s="94"/>
      <c r="G1001" s="94"/>
      <c r="H1001" s="94"/>
      <c r="I1001" s="94"/>
      <c r="J1001" s="94"/>
      <c r="K1001" s="94"/>
      <c r="L1001" s="94"/>
      <c r="M1001" s="94"/>
      <c r="N1001" s="94"/>
      <c r="O1001" s="94"/>
      <c r="P1001" s="94"/>
      <c r="Q1001" s="94"/>
      <c r="R1001" s="94"/>
      <c r="S1001" s="94"/>
      <c r="T1001" s="94"/>
      <c r="U1001" s="94"/>
      <c r="V1001" s="94"/>
      <c r="W1001" s="94"/>
      <c r="X1001" s="94"/>
      <c r="Y1001" s="94"/>
      <c r="Z1001" s="94"/>
      <c r="AA1001" s="94"/>
      <c r="AB1001" s="94"/>
      <c r="AC1001" s="94"/>
      <c r="AD1001" s="94"/>
      <c r="AE1001" s="94"/>
      <c r="AF1001" s="94"/>
      <c r="AG1001" s="94"/>
      <c r="AH1001" s="94"/>
      <c r="AI1001" s="94"/>
      <c r="AJ1001" s="94"/>
      <c r="AK1001" s="94"/>
      <c r="AL1001" s="94"/>
      <c r="AM1001" s="94"/>
      <c r="AN1001" s="94"/>
      <c r="AO1001" s="94"/>
      <c r="AP1001" s="94"/>
      <c r="AQ1001" s="94"/>
      <c r="AR1001" s="94"/>
      <c r="AS1001" s="94"/>
      <c r="AT1001" s="94"/>
      <c r="AU1001" s="94"/>
      <c r="AV1001" s="94"/>
      <c r="AW1001" s="94"/>
      <c r="AX1001" s="94"/>
      <c r="AY1001" s="94"/>
      <c r="AZ1001" s="94"/>
      <c r="BA1001" s="95"/>
    </row>
    <row r="1002" spans="1:53" s="87" customFormat="1">
      <c r="A1002" s="90" t="str">
        <f t="shared" si="41"/>
        <v/>
      </c>
      <c r="B1002" s="98"/>
      <c r="C1002" s="94"/>
      <c r="D1002" s="94"/>
      <c r="E1002" s="94"/>
      <c r="F1002" s="94"/>
      <c r="G1002" s="94"/>
      <c r="H1002" s="94"/>
      <c r="I1002" s="94"/>
      <c r="J1002" s="94"/>
      <c r="K1002" s="94"/>
      <c r="L1002" s="94"/>
      <c r="M1002" s="94"/>
      <c r="N1002" s="94"/>
      <c r="O1002" s="94"/>
      <c r="P1002" s="94"/>
      <c r="Q1002" s="94"/>
      <c r="R1002" s="94"/>
      <c r="S1002" s="94"/>
      <c r="T1002" s="94"/>
      <c r="U1002" s="94"/>
      <c r="V1002" s="94"/>
      <c r="W1002" s="94"/>
      <c r="X1002" s="94"/>
      <c r="Y1002" s="94"/>
      <c r="Z1002" s="94"/>
      <c r="AA1002" s="94"/>
      <c r="AB1002" s="94"/>
      <c r="AC1002" s="94"/>
      <c r="AD1002" s="94"/>
      <c r="AE1002" s="94"/>
      <c r="AF1002" s="94"/>
      <c r="AG1002" s="94"/>
      <c r="AH1002" s="94"/>
      <c r="AI1002" s="94"/>
      <c r="AJ1002" s="94"/>
      <c r="AK1002" s="94"/>
      <c r="AL1002" s="94"/>
      <c r="AM1002" s="94"/>
      <c r="AN1002" s="94"/>
      <c r="AO1002" s="94"/>
      <c r="AP1002" s="94"/>
      <c r="AQ1002" s="94"/>
      <c r="AR1002" s="94"/>
      <c r="AS1002" s="94"/>
      <c r="AT1002" s="94"/>
      <c r="AU1002" s="94"/>
      <c r="AV1002" s="94"/>
      <c r="AW1002" s="94"/>
      <c r="AX1002" s="94"/>
      <c r="AY1002" s="94"/>
      <c r="AZ1002" s="94"/>
      <c r="BA1002" s="95"/>
    </row>
    <row r="1003" spans="1:53" s="87" customFormat="1">
      <c r="A1003" s="90" t="str">
        <f t="shared" si="41"/>
        <v/>
      </c>
      <c r="B1003" s="98"/>
      <c r="C1003" s="94"/>
      <c r="D1003" s="94"/>
      <c r="E1003" s="94"/>
      <c r="F1003" s="94"/>
      <c r="G1003" s="94"/>
      <c r="H1003" s="94"/>
      <c r="I1003" s="94"/>
      <c r="J1003" s="94"/>
      <c r="K1003" s="94"/>
      <c r="L1003" s="94"/>
      <c r="M1003" s="94"/>
      <c r="N1003" s="94"/>
      <c r="O1003" s="94"/>
      <c r="P1003" s="94"/>
      <c r="Q1003" s="94"/>
      <c r="R1003" s="94"/>
      <c r="S1003" s="94"/>
      <c r="T1003" s="94"/>
      <c r="U1003" s="94"/>
      <c r="V1003" s="94"/>
      <c r="W1003" s="94"/>
      <c r="X1003" s="94"/>
      <c r="Y1003" s="94"/>
      <c r="Z1003" s="94"/>
      <c r="AA1003" s="94"/>
      <c r="AB1003" s="94"/>
      <c r="AC1003" s="94"/>
      <c r="AD1003" s="94"/>
      <c r="AE1003" s="94"/>
      <c r="AF1003" s="94"/>
      <c r="AG1003" s="94"/>
      <c r="AH1003" s="94"/>
      <c r="AI1003" s="94"/>
      <c r="AJ1003" s="94"/>
      <c r="AK1003" s="94"/>
      <c r="AL1003" s="94"/>
      <c r="AM1003" s="94"/>
      <c r="AN1003" s="94"/>
      <c r="AO1003" s="94"/>
      <c r="AP1003" s="94"/>
      <c r="AQ1003" s="94"/>
      <c r="AR1003" s="94"/>
      <c r="AS1003" s="94"/>
      <c r="AT1003" s="94"/>
      <c r="AU1003" s="94"/>
      <c r="AV1003" s="94"/>
      <c r="AW1003" s="94"/>
      <c r="AX1003" s="94"/>
      <c r="AY1003" s="94"/>
      <c r="AZ1003" s="94"/>
      <c r="BA1003" s="95"/>
    </row>
    <row r="1004" spans="1:53" s="87" customFormat="1">
      <c r="A1004" s="90" t="str">
        <f t="shared" si="41"/>
        <v/>
      </c>
      <c r="B1004" s="98"/>
      <c r="C1004" s="94"/>
      <c r="D1004" s="94"/>
      <c r="E1004" s="94"/>
      <c r="F1004" s="94"/>
      <c r="G1004" s="94"/>
      <c r="H1004" s="94"/>
      <c r="I1004" s="94"/>
      <c r="J1004" s="94"/>
      <c r="K1004" s="94"/>
      <c r="L1004" s="94"/>
      <c r="M1004" s="94"/>
      <c r="N1004" s="94"/>
      <c r="O1004" s="94"/>
      <c r="P1004" s="94"/>
      <c r="Q1004" s="94"/>
      <c r="R1004" s="94"/>
      <c r="S1004" s="94"/>
      <c r="T1004" s="94"/>
      <c r="U1004" s="94"/>
      <c r="V1004" s="94"/>
      <c r="W1004" s="94"/>
      <c r="X1004" s="94"/>
      <c r="Y1004" s="94"/>
      <c r="Z1004" s="94"/>
      <c r="AA1004" s="94"/>
      <c r="AB1004" s="94"/>
      <c r="AC1004" s="94"/>
      <c r="AD1004" s="94"/>
      <c r="AE1004" s="94"/>
      <c r="AF1004" s="94"/>
      <c r="AG1004" s="94"/>
      <c r="AH1004" s="94"/>
      <c r="AI1004" s="94"/>
      <c r="AJ1004" s="94"/>
      <c r="AK1004" s="94"/>
      <c r="AL1004" s="94"/>
      <c r="AM1004" s="94"/>
      <c r="AN1004" s="94"/>
      <c r="AO1004" s="94"/>
      <c r="AP1004" s="94"/>
      <c r="AQ1004" s="94"/>
      <c r="AR1004" s="94"/>
      <c r="AS1004" s="94"/>
      <c r="AT1004" s="94"/>
      <c r="AU1004" s="94"/>
      <c r="AV1004" s="94"/>
      <c r="AW1004" s="94"/>
      <c r="AX1004" s="94"/>
      <c r="AY1004" s="94"/>
      <c r="AZ1004" s="94"/>
      <c r="BA1004" s="95"/>
    </row>
    <row r="1005" spans="1:53" s="87" customFormat="1">
      <c r="A1005" s="90" t="str">
        <f t="shared" si="41"/>
        <v/>
      </c>
      <c r="B1005" s="98"/>
      <c r="C1005" s="94"/>
      <c r="D1005" s="94"/>
      <c r="E1005" s="94"/>
      <c r="F1005" s="94"/>
      <c r="G1005" s="94"/>
      <c r="H1005" s="94"/>
      <c r="I1005" s="94"/>
      <c r="J1005" s="94"/>
      <c r="K1005" s="94"/>
      <c r="L1005" s="94"/>
      <c r="M1005" s="94"/>
      <c r="N1005" s="94"/>
      <c r="O1005" s="94"/>
      <c r="P1005" s="94"/>
      <c r="Q1005" s="94"/>
      <c r="R1005" s="94"/>
      <c r="S1005" s="94"/>
      <c r="T1005" s="94"/>
      <c r="U1005" s="94"/>
      <c r="V1005" s="94"/>
      <c r="W1005" s="94"/>
      <c r="X1005" s="94"/>
      <c r="Y1005" s="94"/>
      <c r="Z1005" s="94"/>
      <c r="AA1005" s="94"/>
      <c r="AB1005" s="94"/>
      <c r="AC1005" s="94"/>
      <c r="AD1005" s="94"/>
      <c r="AE1005" s="94"/>
      <c r="AF1005" s="94"/>
      <c r="AG1005" s="94"/>
      <c r="AH1005" s="94"/>
      <c r="AI1005" s="94"/>
      <c r="AJ1005" s="94"/>
      <c r="AK1005" s="94"/>
      <c r="AL1005" s="94"/>
      <c r="AM1005" s="94"/>
      <c r="AN1005" s="94"/>
      <c r="AO1005" s="94"/>
      <c r="AP1005" s="94"/>
      <c r="AQ1005" s="94"/>
      <c r="AR1005" s="94"/>
      <c r="AS1005" s="94"/>
      <c r="AT1005" s="94"/>
      <c r="AU1005" s="94"/>
      <c r="AV1005" s="94"/>
      <c r="AW1005" s="94"/>
      <c r="AX1005" s="94"/>
      <c r="AY1005" s="94"/>
      <c r="AZ1005" s="94"/>
      <c r="BA1005" s="95"/>
    </row>
    <row r="1006" spans="1:53" s="87" customFormat="1">
      <c r="A1006" s="90" t="str">
        <f t="shared" si="41"/>
        <v/>
      </c>
      <c r="B1006" s="98"/>
      <c r="C1006" s="94"/>
      <c r="D1006" s="94"/>
      <c r="E1006" s="94"/>
      <c r="F1006" s="94"/>
      <c r="G1006" s="94"/>
      <c r="H1006" s="94"/>
      <c r="I1006" s="94"/>
      <c r="J1006" s="94"/>
      <c r="K1006" s="94"/>
      <c r="L1006" s="94"/>
      <c r="M1006" s="94"/>
      <c r="N1006" s="94"/>
      <c r="O1006" s="94"/>
      <c r="P1006" s="94"/>
      <c r="Q1006" s="94"/>
      <c r="R1006" s="94"/>
      <c r="S1006" s="94"/>
      <c r="T1006" s="94"/>
      <c r="U1006" s="94"/>
      <c r="V1006" s="94"/>
      <c r="W1006" s="94"/>
      <c r="X1006" s="94"/>
      <c r="Y1006" s="94"/>
      <c r="Z1006" s="94"/>
      <c r="AA1006" s="94"/>
      <c r="AB1006" s="94"/>
      <c r="AC1006" s="94"/>
      <c r="AD1006" s="94"/>
      <c r="AE1006" s="94"/>
      <c r="AF1006" s="94"/>
      <c r="AG1006" s="94"/>
      <c r="AH1006" s="94"/>
      <c r="AI1006" s="94"/>
      <c r="AJ1006" s="94"/>
      <c r="AK1006" s="94"/>
      <c r="AL1006" s="94"/>
      <c r="AM1006" s="94"/>
      <c r="AN1006" s="94"/>
      <c r="AO1006" s="94"/>
      <c r="AP1006" s="94"/>
      <c r="AQ1006" s="94"/>
      <c r="AR1006" s="94"/>
      <c r="AS1006" s="94"/>
      <c r="AT1006" s="94"/>
      <c r="AU1006" s="94"/>
      <c r="AV1006" s="94"/>
      <c r="AW1006" s="94"/>
      <c r="AX1006" s="94"/>
      <c r="AY1006" s="94"/>
      <c r="AZ1006" s="94"/>
      <c r="BA1006" s="95"/>
    </row>
    <row r="1007" spans="1:53" s="87" customFormat="1">
      <c r="A1007" s="90" t="str">
        <f t="shared" si="41"/>
        <v/>
      </c>
      <c r="B1007" s="98"/>
      <c r="C1007" s="94"/>
      <c r="D1007" s="94"/>
      <c r="E1007" s="94"/>
      <c r="F1007" s="94"/>
      <c r="G1007" s="94"/>
      <c r="H1007" s="94"/>
      <c r="I1007" s="94"/>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5"/>
    </row>
    <row r="1008" spans="1:53" s="87" customFormat="1">
      <c r="A1008" s="90" t="str">
        <f t="shared" si="41"/>
        <v/>
      </c>
      <c r="B1008" s="98"/>
      <c r="C1008" s="94"/>
      <c r="D1008" s="94"/>
      <c r="E1008" s="94"/>
      <c r="F1008" s="94"/>
      <c r="G1008" s="94"/>
      <c r="H1008" s="94"/>
      <c r="I1008" s="94"/>
      <c r="J1008" s="94"/>
      <c r="K1008" s="94"/>
      <c r="L1008" s="94"/>
      <c r="M1008" s="94"/>
      <c r="N1008" s="94"/>
      <c r="O1008" s="94"/>
      <c r="P1008" s="94"/>
      <c r="Q1008" s="94"/>
      <c r="R1008" s="94"/>
      <c r="S1008" s="94"/>
      <c r="T1008" s="94"/>
      <c r="U1008" s="94"/>
      <c r="V1008" s="94"/>
      <c r="W1008" s="94"/>
      <c r="X1008" s="94"/>
      <c r="Y1008" s="94"/>
      <c r="Z1008" s="94"/>
      <c r="AA1008" s="94"/>
      <c r="AB1008" s="94"/>
      <c r="AC1008" s="94"/>
      <c r="AD1008" s="94"/>
      <c r="AE1008" s="94"/>
      <c r="AF1008" s="94"/>
      <c r="AG1008" s="94"/>
      <c r="AH1008" s="94"/>
      <c r="AI1008" s="94"/>
      <c r="AJ1008" s="94"/>
      <c r="AK1008" s="94"/>
      <c r="AL1008" s="94"/>
      <c r="AM1008" s="94"/>
      <c r="AN1008" s="94"/>
      <c r="AO1008" s="94"/>
      <c r="AP1008" s="94"/>
      <c r="AQ1008" s="94"/>
      <c r="AR1008" s="94"/>
      <c r="AS1008" s="94"/>
      <c r="AT1008" s="94"/>
      <c r="AU1008" s="94"/>
      <c r="AV1008" s="94"/>
      <c r="AW1008" s="94"/>
      <c r="AX1008" s="94"/>
      <c r="AY1008" s="94"/>
      <c r="AZ1008" s="94"/>
      <c r="BA1008" s="95"/>
    </row>
    <row r="1009" spans="1:53" s="87" customFormat="1">
      <c r="A1009" s="90" t="str">
        <f t="shared" si="41"/>
        <v/>
      </c>
      <c r="B1009" s="98"/>
      <c r="C1009" s="94"/>
      <c r="D1009" s="94"/>
      <c r="E1009" s="94"/>
      <c r="F1009" s="94"/>
      <c r="G1009" s="94"/>
      <c r="H1009" s="94"/>
      <c r="I1009" s="94"/>
      <c r="J1009" s="94"/>
      <c r="K1009" s="94"/>
      <c r="L1009" s="94"/>
      <c r="M1009" s="94"/>
      <c r="N1009" s="94"/>
      <c r="O1009" s="94"/>
      <c r="P1009" s="94"/>
      <c r="Q1009" s="94"/>
      <c r="R1009" s="94"/>
      <c r="S1009" s="94"/>
      <c r="T1009" s="94"/>
      <c r="U1009" s="94"/>
      <c r="V1009" s="94"/>
      <c r="W1009" s="94"/>
      <c r="X1009" s="94"/>
      <c r="Y1009" s="94"/>
      <c r="Z1009" s="94"/>
      <c r="AA1009" s="94"/>
      <c r="AB1009" s="94"/>
      <c r="AC1009" s="94"/>
      <c r="AD1009" s="94"/>
      <c r="AE1009" s="94"/>
      <c r="AF1009" s="94"/>
      <c r="AG1009" s="94"/>
      <c r="AH1009" s="94"/>
      <c r="AI1009" s="94"/>
      <c r="AJ1009" s="94"/>
      <c r="AK1009" s="94"/>
      <c r="AL1009" s="94"/>
      <c r="AM1009" s="94"/>
      <c r="AN1009" s="94"/>
      <c r="AO1009" s="94"/>
      <c r="AP1009" s="94"/>
      <c r="AQ1009" s="94"/>
      <c r="AR1009" s="94"/>
      <c r="AS1009" s="94"/>
      <c r="AT1009" s="94"/>
      <c r="AU1009" s="94"/>
      <c r="AV1009" s="94"/>
      <c r="AW1009" s="94"/>
      <c r="AX1009" s="94"/>
      <c r="AY1009" s="94"/>
      <c r="AZ1009" s="94"/>
      <c r="BA1009" s="95"/>
    </row>
    <row r="1010" spans="1:53" s="87" customFormat="1">
      <c r="A1010" s="90" t="str">
        <f t="shared" si="41"/>
        <v/>
      </c>
      <c r="B1010" s="98"/>
      <c r="C1010" s="94"/>
      <c r="D1010" s="94"/>
      <c r="E1010" s="94"/>
      <c r="F1010" s="94"/>
      <c r="G1010" s="94"/>
      <c r="H1010" s="94"/>
      <c r="I1010" s="94"/>
      <c r="J1010" s="94"/>
      <c r="K1010" s="94"/>
      <c r="L1010" s="94"/>
      <c r="M1010" s="94"/>
      <c r="N1010" s="94"/>
      <c r="O1010" s="94"/>
      <c r="P1010" s="94"/>
      <c r="Q1010" s="94"/>
      <c r="R1010" s="94"/>
      <c r="S1010" s="94"/>
      <c r="T1010" s="94"/>
      <c r="U1010" s="94"/>
      <c r="V1010" s="94"/>
      <c r="W1010" s="94"/>
      <c r="X1010" s="94"/>
      <c r="Y1010" s="94"/>
      <c r="Z1010" s="94"/>
      <c r="AA1010" s="94"/>
      <c r="AB1010" s="94"/>
      <c r="AC1010" s="94"/>
      <c r="AD1010" s="94"/>
      <c r="AE1010" s="94"/>
      <c r="AF1010" s="94"/>
      <c r="AG1010" s="94"/>
      <c r="AH1010" s="94"/>
      <c r="AI1010" s="94"/>
      <c r="AJ1010" s="94"/>
      <c r="AK1010" s="94"/>
      <c r="AL1010" s="94"/>
      <c r="AM1010" s="94"/>
      <c r="AN1010" s="94"/>
      <c r="AO1010" s="94"/>
      <c r="AP1010" s="94"/>
      <c r="AQ1010" s="94"/>
      <c r="AR1010" s="94"/>
      <c r="AS1010" s="94"/>
      <c r="AT1010" s="94"/>
      <c r="AU1010" s="94"/>
      <c r="AV1010" s="94"/>
      <c r="AW1010" s="94"/>
      <c r="AX1010" s="94"/>
      <c r="AY1010" s="94"/>
      <c r="AZ1010" s="94"/>
      <c r="BA1010" s="95"/>
    </row>
    <row r="1011" spans="1:53" s="87" customFormat="1">
      <c r="A1011" s="90" t="str">
        <f t="shared" si="41"/>
        <v/>
      </c>
      <c r="B1011" s="98"/>
      <c r="C1011" s="94"/>
      <c r="D1011" s="94"/>
      <c r="E1011" s="94"/>
      <c r="F1011" s="94"/>
      <c r="G1011" s="94"/>
      <c r="H1011" s="94"/>
      <c r="I1011" s="94"/>
      <c r="J1011" s="94"/>
      <c r="K1011" s="94"/>
      <c r="L1011" s="94"/>
      <c r="M1011" s="94"/>
      <c r="N1011" s="94"/>
      <c r="O1011" s="94"/>
      <c r="P1011" s="94"/>
      <c r="Q1011" s="94"/>
      <c r="R1011" s="94"/>
      <c r="S1011" s="94"/>
      <c r="T1011" s="94"/>
      <c r="U1011" s="94"/>
      <c r="V1011" s="94"/>
      <c r="W1011" s="94"/>
      <c r="X1011" s="94"/>
      <c r="Y1011" s="94"/>
      <c r="Z1011" s="94"/>
      <c r="AA1011" s="94"/>
      <c r="AB1011" s="94"/>
      <c r="AC1011" s="94"/>
      <c r="AD1011" s="94"/>
      <c r="AE1011" s="94"/>
      <c r="AF1011" s="94"/>
      <c r="AG1011" s="94"/>
      <c r="AH1011" s="94"/>
      <c r="AI1011" s="94"/>
      <c r="AJ1011" s="94"/>
      <c r="AK1011" s="94"/>
      <c r="AL1011" s="94"/>
      <c r="AM1011" s="94"/>
      <c r="AN1011" s="94"/>
      <c r="AO1011" s="94"/>
      <c r="AP1011" s="94"/>
      <c r="AQ1011" s="94"/>
      <c r="AR1011" s="94"/>
      <c r="AS1011" s="94"/>
      <c r="AT1011" s="94"/>
      <c r="AU1011" s="94"/>
      <c r="AV1011" s="94"/>
      <c r="AW1011" s="94"/>
      <c r="AX1011" s="94"/>
      <c r="AY1011" s="94"/>
      <c r="AZ1011" s="94"/>
      <c r="BA1011" s="95"/>
    </row>
    <row r="1012" spans="1:53" s="87" customFormat="1">
      <c r="A1012" s="90" t="str">
        <f t="shared" si="41"/>
        <v/>
      </c>
      <c r="B1012" s="98"/>
      <c r="C1012" s="94"/>
      <c r="D1012" s="94"/>
      <c r="E1012" s="94"/>
      <c r="F1012" s="94"/>
      <c r="G1012" s="94"/>
      <c r="H1012" s="94"/>
      <c r="I1012" s="94"/>
      <c r="J1012" s="94"/>
      <c r="K1012" s="94"/>
      <c r="L1012" s="94"/>
      <c r="M1012" s="94"/>
      <c r="N1012" s="94"/>
      <c r="O1012" s="94"/>
      <c r="P1012" s="94"/>
      <c r="Q1012" s="94"/>
      <c r="R1012" s="94"/>
      <c r="S1012" s="94"/>
      <c r="T1012" s="94"/>
      <c r="U1012" s="94"/>
      <c r="V1012" s="94"/>
      <c r="W1012" s="94"/>
      <c r="X1012" s="94"/>
      <c r="Y1012" s="94"/>
      <c r="Z1012" s="94"/>
      <c r="AA1012" s="94"/>
      <c r="AB1012" s="94"/>
      <c r="AC1012" s="94"/>
      <c r="AD1012" s="94"/>
      <c r="AE1012" s="94"/>
      <c r="AF1012" s="94"/>
      <c r="AG1012" s="94"/>
      <c r="AH1012" s="94"/>
      <c r="AI1012" s="94"/>
      <c r="AJ1012" s="94"/>
      <c r="AK1012" s="94"/>
      <c r="AL1012" s="94"/>
      <c r="AM1012" s="94"/>
      <c r="AN1012" s="94"/>
      <c r="AO1012" s="94"/>
      <c r="AP1012" s="94"/>
      <c r="AQ1012" s="94"/>
      <c r="AR1012" s="94"/>
      <c r="AS1012" s="94"/>
      <c r="AT1012" s="94"/>
      <c r="AU1012" s="94"/>
      <c r="AV1012" s="94"/>
      <c r="AW1012" s="94"/>
      <c r="AX1012" s="94"/>
      <c r="AY1012" s="94"/>
      <c r="AZ1012" s="94"/>
      <c r="BA1012" s="95"/>
    </row>
    <row r="1013" spans="1:53" s="87" customFormat="1">
      <c r="A1013" s="90" t="str">
        <f t="shared" si="41"/>
        <v/>
      </c>
      <c r="B1013" s="98"/>
      <c r="C1013" s="94"/>
      <c r="D1013" s="94"/>
      <c r="E1013" s="94"/>
      <c r="F1013" s="94"/>
      <c r="G1013" s="94"/>
      <c r="H1013" s="94"/>
      <c r="I1013" s="94"/>
      <c r="J1013" s="94"/>
      <c r="K1013" s="94"/>
      <c r="L1013" s="94"/>
      <c r="M1013" s="94"/>
      <c r="N1013" s="94"/>
      <c r="O1013" s="94"/>
      <c r="P1013" s="94"/>
      <c r="Q1013" s="94"/>
      <c r="R1013" s="94"/>
      <c r="S1013" s="94"/>
      <c r="T1013" s="94"/>
      <c r="U1013" s="94"/>
      <c r="V1013" s="94"/>
      <c r="W1013" s="94"/>
      <c r="X1013" s="94"/>
      <c r="Y1013" s="94"/>
      <c r="Z1013" s="94"/>
      <c r="AA1013" s="94"/>
      <c r="AB1013" s="94"/>
      <c r="AC1013" s="94"/>
      <c r="AD1013" s="94"/>
      <c r="AE1013" s="94"/>
      <c r="AF1013" s="94"/>
      <c r="AG1013" s="94"/>
      <c r="AH1013" s="94"/>
      <c r="AI1013" s="94"/>
      <c r="AJ1013" s="94"/>
      <c r="AK1013" s="94"/>
      <c r="AL1013" s="94"/>
      <c r="AM1013" s="94"/>
      <c r="AN1013" s="94"/>
      <c r="AO1013" s="94"/>
      <c r="AP1013" s="94"/>
      <c r="AQ1013" s="94"/>
      <c r="AR1013" s="94"/>
      <c r="AS1013" s="94"/>
      <c r="AT1013" s="94"/>
      <c r="AU1013" s="94"/>
      <c r="AV1013" s="94"/>
      <c r="AW1013" s="94"/>
      <c r="AX1013" s="94"/>
      <c r="AY1013" s="94"/>
      <c r="AZ1013" s="94"/>
      <c r="BA1013" s="95"/>
    </row>
    <row r="1014" spans="1:53" s="87" customFormat="1">
      <c r="A1014" s="90" t="str">
        <f t="shared" si="41"/>
        <v/>
      </c>
      <c r="B1014" s="98"/>
      <c r="C1014" s="94"/>
      <c r="D1014" s="94"/>
      <c r="E1014" s="94"/>
      <c r="F1014" s="94"/>
      <c r="G1014" s="94"/>
      <c r="H1014" s="94"/>
      <c r="I1014" s="94"/>
      <c r="J1014" s="94"/>
      <c r="K1014" s="94"/>
      <c r="L1014" s="94"/>
      <c r="M1014" s="94"/>
      <c r="N1014" s="94"/>
      <c r="O1014" s="94"/>
      <c r="P1014" s="94"/>
      <c r="Q1014" s="94"/>
      <c r="R1014" s="94"/>
      <c r="S1014" s="94"/>
      <c r="T1014" s="94"/>
      <c r="U1014" s="94"/>
      <c r="V1014" s="94"/>
      <c r="W1014" s="94"/>
      <c r="X1014" s="94"/>
      <c r="Y1014" s="94"/>
      <c r="Z1014" s="94"/>
      <c r="AA1014" s="94"/>
      <c r="AB1014" s="94"/>
      <c r="AC1014" s="94"/>
      <c r="AD1014" s="94"/>
      <c r="AE1014" s="94"/>
      <c r="AF1014" s="94"/>
      <c r="AG1014" s="94"/>
      <c r="AH1014" s="94"/>
      <c r="AI1014" s="94"/>
      <c r="AJ1014" s="94"/>
      <c r="AK1014" s="94"/>
      <c r="AL1014" s="94"/>
      <c r="AM1014" s="94"/>
      <c r="AN1014" s="94"/>
      <c r="AO1014" s="94"/>
      <c r="AP1014" s="94"/>
      <c r="AQ1014" s="94"/>
      <c r="AR1014" s="94"/>
      <c r="AS1014" s="94"/>
      <c r="AT1014" s="94"/>
      <c r="AU1014" s="94"/>
      <c r="AV1014" s="94"/>
      <c r="AW1014" s="94"/>
      <c r="AX1014" s="94"/>
      <c r="AY1014" s="94"/>
      <c r="AZ1014" s="94"/>
      <c r="BA1014" s="95"/>
    </row>
    <row r="1015" spans="1:53" s="87" customFormat="1">
      <c r="A1015" s="90" t="str">
        <f t="shared" si="41"/>
        <v/>
      </c>
      <c r="B1015" s="98"/>
      <c r="C1015" s="94"/>
      <c r="D1015" s="94"/>
      <c r="E1015" s="94"/>
      <c r="F1015" s="94"/>
      <c r="G1015" s="94"/>
      <c r="H1015" s="94"/>
      <c r="I1015" s="94"/>
      <c r="J1015" s="94"/>
      <c r="K1015" s="94"/>
      <c r="L1015" s="94"/>
      <c r="M1015" s="94"/>
      <c r="N1015" s="94"/>
      <c r="O1015" s="94"/>
      <c r="P1015" s="94"/>
      <c r="Q1015" s="94"/>
      <c r="R1015" s="94"/>
      <c r="S1015" s="94"/>
      <c r="T1015" s="94"/>
      <c r="U1015" s="94"/>
      <c r="V1015" s="94"/>
      <c r="W1015" s="94"/>
      <c r="X1015" s="94"/>
      <c r="Y1015" s="94"/>
      <c r="Z1015" s="94"/>
      <c r="AA1015" s="94"/>
      <c r="AB1015" s="94"/>
      <c r="AC1015" s="94"/>
      <c r="AD1015" s="94"/>
      <c r="AE1015" s="94"/>
      <c r="AF1015" s="94"/>
      <c r="AG1015" s="94"/>
      <c r="AH1015" s="94"/>
      <c r="AI1015" s="94"/>
      <c r="AJ1015" s="94"/>
      <c r="AK1015" s="94"/>
      <c r="AL1015" s="94"/>
      <c r="AM1015" s="94"/>
      <c r="AN1015" s="94"/>
      <c r="AO1015" s="94"/>
      <c r="AP1015" s="94"/>
      <c r="AQ1015" s="94"/>
      <c r="AR1015" s="94"/>
      <c r="AS1015" s="94"/>
      <c r="AT1015" s="94"/>
      <c r="AU1015" s="94"/>
      <c r="AV1015" s="94"/>
      <c r="AW1015" s="94"/>
      <c r="AX1015" s="94"/>
      <c r="AY1015" s="94"/>
      <c r="AZ1015" s="94"/>
      <c r="BA1015" s="95"/>
    </row>
    <row r="1016" spans="1:53" s="87" customFormat="1">
      <c r="A1016" s="90" t="str">
        <f t="shared" si="41"/>
        <v/>
      </c>
      <c r="B1016" s="98"/>
      <c r="C1016" s="94"/>
      <c r="D1016" s="94"/>
      <c r="E1016" s="94"/>
      <c r="F1016" s="94"/>
      <c r="G1016" s="94"/>
      <c r="H1016" s="94"/>
      <c r="I1016" s="94"/>
      <c r="J1016" s="94"/>
      <c r="K1016" s="94"/>
      <c r="L1016" s="94"/>
      <c r="M1016" s="94"/>
      <c r="N1016" s="94"/>
      <c r="O1016" s="94"/>
      <c r="P1016" s="94"/>
      <c r="Q1016" s="94"/>
      <c r="R1016" s="94"/>
      <c r="S1016" s="94"/>
      <c r="T1016" s="94"/>
      <c r="U1016" s="94"/>
      <c r="V1016" s="94"/>
      <c r="W1016" s="94"/>
      <c r="X1016" s="94"/>
      <c r="Y1016" s="94"/>
      <c r="Z1016" s="94"/>
      <c r="AA1016" s="94"/>
      <c r="AB1016" s="94"/>
      <c r="AC1016" s="94"/>
      <c r="AD1016" s="94"/>
      <c r="AE1016" s="94"/>
      <c r="AF1016" s="94"/>
      <c r="AG1016" s="94"/>
      <c r="AH1016" s="94"/>
      <c r="AI1016" s="94"/>
      <c r="AJ1016" s="94"/>
      <c r="AK1016" s="94"/>
      <c r="AL1016" s="94"/>
      <c r="AM1016" s="94"/>
      <c r="AN1016" s="94"/>
      <c r="AO1016" s="94"/>
      <c r="AP1016" s="94"/>
      <c r="AQ1016" s="94"/>
      <c r="AR1016" s="94"/>
      <c r="AS1016" s="94"/>
      <c r="AT1016" s="94"/>
      <c r="AU1016" s="94"/>
      <c r="AV1016" s="94"/>
      <c r="AW1016" s="94"/>
      <c r="AX1016" s="94"/>
      <c r="AY1016" s="94"/>
      <c r="AZ1016" s="94"/>
      <c r="BA1016" s="95"/>
    </row>
    <row r="1017" spans="1:53" s="87" customFormat="1">
      <c r="A1017" s="90" t="str">
        <f t="shared" si="41"/>
        <v/>
      </c>
      <c r="B1017" s="98"/>
      <c r="C1017" s="94"/>
      <c r="D1017" s="94"/>
      <c r="E1017" s="94"/>
      <c r="F1017" s="94"/>
      <c r="G1017" s="94"/>
      <c r="H1017" s="94"/>
      <c r="I1017" s="94"/>
      <c r="J1017" s="94"/>
      <c r="K1017" s="94"/>
      <c r="L1017" s="94"/>
      <c r="M1017" s="94"/>
      <c r="N1017" s="94"/>
      <c r="O1017" s="94"/>
      <c r="P1017" s="94"/>
      <c r="Q1017" s="94"/>
      <c r="R1017" s="94"/>
      <c r="S1017" s="94"/>
      <c r="T1017" s="94"/>
      <c r="U1017" s="94"/>
      <c r="V1017" s="94"/>
      <c r="W1017" s="94"/>
      <c r="X1017" s="94"/>
      <c r="Y1017" s="94"/>
      <c r="Z1017" s="94"/>
      <c r="AA1017" s="94"/>
      <c r="AB1017" s="94"/>
      <c r="AC1017" s="94"/>
      <c r="AD1017" s="94"/>
      <c r="AE1017" s="94"/>
      <c r="AF1017" s="94"/>
      <c r="AG1017" s="94"/>
      <c r="AH1017" s="94"/>
      <c r="AI1017" s="94"/>
      <c r="AJ1017" s="94"/>
      <c r="AK1017" s="94"/>
      <c r="AL1017" s="94"/>
      <c r="AM1017" s="94"/>
      <c r="AN1017" s="94"/>
      <c r="AO1017" s="94"/>
      <c r="AP1017" s="94"/>
      <c r="AQ1017" s="94"/>
      <c r="AR1017" s="94"/>
      <c r="AS1017" s="94"/>
      <c r="AT1017" s="94"/>
      <c r="AU1017" s="94"/>
      <c r="AV1017" s="94"/>
      <c r="AW1017" s="94"/>
      <c r="AX1017" s="94"/>
      <c r="AY1017" s="94"/>
      <c r="AZ1017" s="94"/>
      <c r="BA1017" s="95"/>
    </row>
    <row r="1018" spans="1:53" s="87" customFormat="1">
      <c r="A1018" s="90" t="str">
        <f t="shared" si="41"/>
        <v/>
      </c>
      <c r="B1018" s="98"/>
      <c r="C1018" s="94"/>
      <c r="D1018" s="94"/>
      <c r="E1018" s="94"/>
      <c r="F1018" s="94"/>
      <c r="G1018" s="94"/>
      <c r="H1018" s="94"/>
      <c r="I1018" s="94"/>
      <c r="J1018" s="94"/>
      <c r="K1018" s="94"/>
      <c r="L1018" s="94"/>
      <c r="M1018" s="94"/>
      <c r="N1018" s="94"/>
      <c r="O1018" s="94"/>
      <c r="P1018" s="94"/>
      <c r="Q1018" s="94"/>
      <c r="R1018" s="94"/>
      <c r="S1018" s="94"/>
      <c r="T1018" s="94"/>
      <c r="U1018" s="94"/>
      <c r="V1018" s="94"/>
      <c r="W1018" s="94"/>
      <c r="X1018" s="94"/>
      <c r="Y1018" s="94"/>
      <c r="Z1018" s="94"/>
      <c r="AA1018" s="94"/>
      <c r="AB1018" s="94"/>
      <c r="AC1018" s="94"/>
      <c r="AD1018" s="94"/>
      <c r="AE1018" s="94"/>
      <c r="AF1018" s="94"/>
      <c r="AG1018" s="94"/>
      <c r="AH1018" s="94"/>
      <c r="AI1018" s="94"/>
      <c r="AJ1018" s="94"/>
      <c r="AK1018" s="94"/>
      <c r="AL1018" s="94"/>
      <c r="AM1018" s="94"/>
      <c r="AN1018" s="94"/>
      <c r="AO1018" s="94"/>
      <c r="AP1018" s="94"/>
      <c r="AQ1018" s="94"/>
      <c r="AR1018" s="94"/>
      <c r="AS1018" s="94"/>
      <c r="AT1018" s="94"/>
      <c r="AU1018" s="94"/>
      <c r="AV1018" s="94"/>
      <c r="AW1018" s="94"/>
      <c r="AX1018" s="94"/>
      <c r="AY1018" s="94"/>
      <c r="AZ1018" s="94"/>
      <c r="BA1018" s="95"/>
    </row>
    <row r="1019" spans="1:53" s="87" customFormat="1">
      <c r="A1019" s="90" t="str">
        <f t="shared" si="41"/>
        <v/>
      </c>
      <c r="B1019" s="98"/>
      <c r="C1019" s="94"/>
      <c r="D1019" s="94"/>
      <c r="E1019" s="94"/>
      <c r="F1019" s="94"/>
      <c r="G1019" s="94"/>
      <c r="H1019" s="94"/>
      <c r="I1019" s="94"/>
      <c r="J1019" s="94"/>
      <c r="K1019" s="94"/>
      <c r="L1019" s="94"/>
      <c r="M1019" s="94"/>
      <c r="N1019" s="94"/>
      <c r="O1019" s="94"/>
      <c r="P1019" s="94"/>
      <c r="Q1019" s="94"/>
      <c r="R1019" s="94"/>
      <c r="S1019" s="94"/>
      <c r="T1019" s="94"/>
      <c r="U1019" s="94"/>
      <c r="V1019" s="94"/>
      <c r="W1019" s="94"/>
      <c r="X1019" s="94"/>
      <c r="Y1019" s="94"/>
      <c r="Z1019" s="94"/>
      <c r="AA1019" s="94"/>
      <c r="AB1019" s="94"/>
      <c r="AC1019" s="94"/>
      <c r="AD1019" s="94"/>
      <c r="AE1019" s="94"/>
      <c r="AF1019" s="94"/>
      <c r="AG1019" s="94"/>
      <c r="AH1019" s="94"/>
      <c r="AI1019" s="94"/>
      <c r="AJ1019" s="94"/>
      <c r="AK1019" s="94"/>
      <c r="AL1019" s="94"/>
      <c r="AM1019" s="94"/>
      <c r="AN1019" s="94"/>
      <c r="AO1019" s="94"/>
      <c r="AP1019" s="94"/>
      <c r="AQ1019" s="94"/>
      <c r="AR1019" s="94"/>
      <c r="AS1019" s="94"/>
      <c r="AT1019" s="94"/>
      <c r="AU1019" s="94"/>
      <c r="AV1019" s="94"/>
      <c r="AW1019" s="94"/>
      <c r="AX1019" s="94"/>
      <c r="AY1019" s="94"/>
      <c r="AZ1019" s="94"/>
      <c r="BA1019" s="95"/>
    </row>
    <row r="1020" spans="1:53" s="87" customFormat="1">
      <c r="A1020" s="90" t="str">
        <f t="shared" si="41"/>
        <v/>
      </c>
      <c r="B1020" s="98"/>
      <c r="C1020" s="94"/>
      <c r="D1020" s="94"/>
      <c r="E1020" s="94"/>
      <c r="F1020" s="94"/>
      <c r="G1020" s="94"/>
      <c r="H1020" s="94"/>
      <c r="I1020" s="94"/>
      <c r="J1020" s="94"/>
      <c r="K1020" s="94"/>
      <c r="L1020" s="94"/>
      <c r="M1020" s="94"/>
      <c r="N1020" s="94"/>
      <c r="O1020" s="94"/>
      <c r="P1020" s="94"/>
      <c r="Q1020" s="94"/>
      <c r="R1020" s="94"/>
      <c r="S1020" s="94"/>
      <c r="T1020" s="94"/>
      <c r="U1020" s="94"/>
      <c r="V1020" s="94"/>
      <c r="W1020" s="94"/>
      <c r="X1020" s="94"/>
      <c r="Y1020" s="94"/>
      <c r="Z1020" s="94"/>
      <c r="AA1020" s="94"/>
      <c r="AB1020" s="94"/>
      <c r="AC1020" s="94"/>
      <c r="AD1020" s="94"/>
      <c r="AE1020" s="94"/>
      <c r="AF1020" s="94"/>
      <c r="AG1020" s="94"/>
      <c r="AH1020" s="94"/>
      <c r="AI1020" s="94"/>
      <c r="AJ1020" s="94"/>
      <c r="AK1020" s="94"/>
      <c r="AL1020" s="94"/>
      <c r="AM1020" s="94"/>
      <c r="AN1020" s="94"/>
      <c r="AO1020" s="94"/>
      <c r="AP1020" s="94"/>
      <c r="AQ1020" s="94"/>
      <c r="AR1020" s="94"/>
      <c r="AS1020" s="94"/>
      <c r="AT1020" s="94"/>
      <c r="AU1020" s="94"/>
      <c r="AV1020" s="94"/>
      <c r="AW1020" s="94"/>
      <c r="AX1020" s="94"/>
      <c r="AY1020" s="94"/>
      <c r="AZ1020" s="94"/>
      <c r="BA1020" s="95"/>
    </row>
    <row r="1021" spans="1:53" s="87" customFormat="1">
      <c r="A1021" s="90" t="str">
        <f t="shared" si="41"/>
        <v/>
      </c>
      <c r="B1021" s="98"/>
      <c r="C1021" s="94"/>
      <c r="D1021" s="94"/>
      <c r="E1021" s="94"/>
      <c r="F1021" s="94"/>
      <c r="G1021" s="94"/>
      <c r="H1021" s="94"/>
      <c r="I1021" s="94"/>
      <c r="J1021" s="94"/>
      <c r="K1021" s="94"/>
      <c r="L1021" s="94"/>
      <c r="M1021" s="94"/>
      <c r="N1021" s="94"/>
      <c r="O1021" s="94"/>
      <c r="P1021" s="94"/>
      <c r="Q1021" s="94"/>
      <c r="R1021" s="94"/>
      <c r="S1021" s="94"/>
      <c r="T1021" s="94"/>
      <c r="U1021" s="94"/>
      <c r="V1021" s="94"/>
      <c r="W1021" s="94"/>
      <c r="X1021" s="94"/>
      <c r="Y1021" s="94"/>
      <c r="Z1021" s="94"/>
      <c r="AA1021" s="94"/>
      <c r="AB1021" s="94"/>
      <c r="AC1021" s="94"/>
      <c r="AD1021" s="94"/>
      <c r="AE1021" s="94"/>
      <c r="AF1021" s="94"/>
      <c r="AG1021" s="94"/>
      <c r="AH1021" s="94"/>
      <c r="AI1021" s="94"/>
      <c r="AJ1021" s="94"/>
      <c r="AK1021" s="94"/>
      <c r="AL1021" s="94"/>
      <c r="AM1021" s="94"/>
      <c r="AN1021" s="94"/>
      <c r="AO1021" s="94"/>
      <c r="AP1021" s="94"/>
      <c r="AQ1021" s="94"/>
      <c r="AR1021" s="94"/>
      <c r="AS1021" s="94"/>
      <c r="AT1021" s="94"/>
      <c r="AU1021" s="94"/>
      <c r="AV1021" s="94"/>
      <c r="AW1021" s="94"/>
      <c r="AX1021" s="94"/>
      <c r="AY1021" s="94"/>
      <c r="AZ1021" s="94"/>
      <c r="BA1021" s="95"/>
    </row>
    <row r="1022" spans="1:53" s="87" customFormat="1">
      <c r="A1022" s="90" t="str">
        <f t="shared" si="41"/>
        <v/>
      </c>
      <c r="B1022" s="98"/>
      <c r="C1022" s="94"/>
      <c r="D1022" s="94"/>
      <c r="E1022" s="94"/>
      <c r="F1022" s="94"/>
      <c r="G1022" s="94"/>
      <c r="H1022" s="94"/>
      <c r="I1022" s="94"/>
      <c r="J1022" s="94"/>
      <c r="K1022" s="94"/>
      <c r="L1022" s="94"/>
      <c r="M1022" s="94"/>
      <c r="N1022" s="94"/>
      <c r="O1022" s="94"/>
      <c r="P1022" s="94"/>
      <c r="Q1022" s="94"/>
      <c r="R1022" s="94"/>
      <c r="S1022" s="94"/>
      <c r="T1022" s="94"/>
      <c r="U1022" s="94"/>
      <c r="V1022" s="94"/>
      <c r="W1022" s="94"/>
      <c r="X1022" s="94"/>
      <c r="Y1022" s="94"/>
      <c r="Z1022" s="94"/>
      <c r="AA1022" s="94"/>
      <c r="AB1022" s="94"/>
      <c r="AC1022" s="94"/>
      <c r="AD1022" s="94"/>
      <c r="AE1022" s="94"/>
      <c r="AF1022" s="94"/>
      <c r="AG1022" s="94"/>
      <c r="AH1022" s="94"/>
      <c r="AI1022" s="94"/>
      <c r="AJ1022" s="94"/>
      <c r="AK1022" s="94"/>
      <c r="AL1022" s="94"/>
      <c r="AM1022" s="94"/>
      <c r="AN1022" s="94"/>
      <c r="AO1022" s="94"/>
      <c r="AP1022" s="94"/>
      <c r="AQ1022" s="94"/>
      <c r="AR1022" s="94"/>
      <c r="AS1022" s="94"/>
      <c r="AT1022" s="94"/>
      <c r="AU1022" s="94"/>
      <c r="AV1022" s="94"/>
      <c r="AW1022" s="94"/>
      <c r="AX1022" s="94"/>
      <c r="AY1022" s="94"/>
      <c r="AZ1022" s="94"/>
      <c r="BA1022" s="95"/>
    </row>
    <row r="1023" spans="1:53" s="87" customFormat="1">
      <c r="A1023" s="90" t="str">
        <f t="shared" si="41"/>
        <v/>
      </c>
      <c r="B1023" s="98"/>
      <c r="C1023" s="94"/>
      <c r="D1023" s="94"/>
      <c r="E1023" s="94"/>
      <c r="F1023" s="94"/>
      <c r="G1023" s="94"/>
      <c r="H1023" s="94"/>
      <c r="I1023" s="94"/>
      <c r="J1023" s="94"/>
      <c r="K1023" s="94"/>
      <c r="L1023" s="94"/>
      <c r="M1023" s="94"/>
      <c r="N1023" s="94"/>
      <c r="O1023" s="94"/>
      <c r="P1023" s="94"/>
      <c r="Q1023" s="94"/>
      <c r="R1023" s="94"/>
      <c r="S1023" s="94"/>
      <c r="T1023" s="94"/>
      <c r="U1023" s="94"/>
      <c r="V1023" s="94"/>
      <c r="W1023" s="94"/>
      <c r="X1023" s="94"/>
      <c r="Y1023" s="94"/>
      <c r="Z1023" s="94"/>
      <c r="AA1023" s="94"/>
      <c r="AB1023" s="94"/>
      <c r="AC1023" s="94"/>
      <c r="AD1023" s="94"/>
      <c r="AE1023" s="94"/>
      <c r="AF1023" s="94"/>
      <c r="AG1023" s="94"/>
      <c r="AH1023" s="94"/>
      <c r="AI1023" s="94"/>
      <c r="AJ1023" s="94"/>
      <c r="AK1023" s="94"/>
      <c r="AL1023" s="94"/>
      <c r="AM1023" s="94"/>
      <c r="AN1023" s="94"/>
      <c r="AO1023" s="94"/>
      <c r="AP1023" s="94"/>
      <c r="AQ1023" s="94"/>
      <c r="AR1023" s="94"/>
      <c r="AS1023" s="94"/>
      <c r="AT1023" s="94"/>
      <c r="AU1023" s="94"/>
      <c r="AV1023" s="94"/>
      <c r="AW1023" s="94"/>
      <c r="AX1023" s="94"/>
      <c r="AY1023" s="94"/>
      <c r="AZ1023" s="94"/>
      <c r="BA1023" s="95"/>
    </row>
    <row r="1024" spans="1:53" s="87" customFormat="1">
      <c r="A1024" s="90" t="str">
        <f t="shared" si="41"/>
        <v/>
      </c>
      <c r="B1024" s="98"/>
      <c r="C1024" s="94"/>
      <c r="D1024" s="94"/>
      <c r="E1024" s="94"/>
      <c r="F1024" s="94"/>
      <c r="G1024" s="94"/>
      <c r="H1024" s="94"/>
      <c r="I1024" s="94"/>
      <c r="J1024" s="94"/>
      <c r="K1024" s="94"/>
      <c r="L1024" s="94"/>
      <c r="M1024" s="94"/>
      <c r="N1024" s="94"/>
      <c r="O1024" s="94"/>
      <c r="P1024" s="94"/>
      <c r="Q1024" s="94"/>
      <c r="R1024" s="94"/>
      <c r="S1024" s="94"/>
      <c r="T1024" s="94"/>
      <c r="U1024" s="94"/>
      <c r="V1024" s="94"/>
      <c r="W1024" s="94"/>
      <c r="X1024" s="94"/>
      <c r="Y1024" s="94"/>
      <c r="Z1024" s="94"/>
      <c r="AA1024" s="94"/>
      <c r="AB1024" s="94"/>
      <c r="AC1024" s="94"/>
      <c r="AD1024" s="94"/>
      <c r="AE1024" s="94"/>
      <c r="AF1024" s="94"/>
      <c r="AG1024" s="94"/>
      <c r="AH1024" s="94"/>
      <c r="AI1024" s="94"/>
      <c r="AJ1024" s="94"/>
      <c r="AK1024" s="94"/>
      <c r="AL1024" s="94"/>
      <c r="AM1024" s="94"/>
      <c r="AN1024" s="94"/>
      <c r="AO1024" s="94"/>
      <c r="AP1024" s="94"/>
      <c r="AQ1024" s="94"/>
      <c r="AR1024" s="94"/>
      <c r="AS1024" s="94"/>
      <c r="AT1024" s="94"/>
      <c r="AU1024" s="94"/>
      <c r="AV1024" s="94"/>
      <c r="AW1024" s="94"/>
      <c r="AX1024" s="94"/>
      <c r="AY1024" s="94"/>
      <c r="AZ1024" s="94"/>
      <c r="BA1024" s="95"/>
    </row>
    <row r="1025" spans="1:53" s="87" customFormat="1">
      <c r="A1025" s="90" t="str">
        <f t="shared" si="41"/>
        <v/>
      </c>
      <c r="B1025" s="98"/>
      <c r="C1025" s="94"/>
      <c r="D1025" s="94"/>
      <c r="E1025" s="94"/>
      <c r="F1025" s="94"/>
      <c r="G1025" s="94"/>
      <c r="H1025" s="94"/>
      <c r="I1025" s="94"/>
      <c r="J1025" s="94"/>
      <c r="K1025" s="94"/>
      <c r="L1025" s="94"/>
      <c r="M1025" s="94"/>
      <c r="N1025" s="94"/>
      <c r="O1025" s="94"/>
      <c r="P1025" s="94"/>
      <c r="Q1025" s="94"/>
      <c r="R1025" s="94"/>
      <c r="S1025" s="94"/>
      <c r="T1025" s="94"/>
      <c r="U1025" s="94"/>
      <c r="V1025" s="94"/>
      <c r="W1025" s="94"/>
      <c r="X1025" s="94"/>
      <c r="Y1025" s="94"/>
      <c r="Z1025" s="94"/>
      <c r="AA1025" s="94"/>
      <c r="AB1025" s="94"/>
      <c r="AC1025" s="94"/>
      <c r="AD1025" s="94"/>
      <c r="AE1025" s="94"/>
      <c r="AF1025" s="94"/>
      <c r="AG1025" s="94"/>
      <c r="AH1025" s="94"/>
      <c r="AI1025" s="94"/>
      <c r="AJ1025" s="94"/>
      <c r="AK1025" s="94"/>
      <c r="AL1025" s="94"/>
      <c r="AM1025" s="94"/>
      <c r="AN1025" s="94"/>
      <c r="AO1025" s="94"/>
      <c r="AP1025" s="94"/>
      <c r="AQ1025" s="94"/>
      <c r="AR1025" s="94"/>
      <c r="AS1025" s="94"/>
      <c r="AT1025" s="94"/>
      <c r="AU1025" s="94"/>
      <c r="AV1025" s="94"/>
      <c r="AW1025" s="94"/>
      <c r="AX1025" s="94"/>
      <c r="AY1025" s="94"/>
      <c r="AZ1025" s="94"/>
      <c r="BA1025" s="95"/>
    </row>
    <row r="1026" spans="1:53" s="87" customFormat="1">
      <c r="A1026" s="90" t="str">
        <f t="shared" si="41"/>
        <v/>
      </c>
      <c r="B1026" s="98"/>
      <c r="C1026" s="94"/>
      <c r="D1026" s="94"/>
      <c r="E1026" s="94"/>
      <c r="F1026" s="94"/>
      <c r="G1026" s="94"/>
      <c r="H1026" s="94"/>
      <c r="I1026" s="94"/>
      <c r="J1026" s="94"/>
      <c r="K1026" s="94"/>
      <c r="L1026" s="94"/>
      <c r="M1026" s="94"/>
      <c r="N1026" s="94"/>
      <c r="O1026" s="94"/>
      <c r="P1026" s="94"/>
      <c r="Q1026" s="94"/>
      <c r="R1026" s="94"/>
      <c r="S1026" s="94"/>
      <c r="T1026" s="94"/>
      <c r="U1026" s="94"/>
      <c r="V1026" s="94"/>
      <c r="W1026" s="94"/>
      <c r="X1026" s="94"/>
      <c r="Y1026" s="94"/>
      <c r="Z1026" s="94"/>
      <c r="AA1026" s="94"/>
      <c r="AB1026" s="94"/>
      <c r="AC1026" s="94"/>
      <c r="AD1026" s="94"/>
      <c r="AE1026" s="94"/>
      <c r="AF1026" s="94"/>
      <c r="AG1026" s="94"/>
      <c r="AH1026" s="94"/>
      <c r="AI1026" s="94"/>
      <c r="AJ1026" s="94"/>
      <c r="AK1026" s="94"/>
      <c r="AL1026" s="94"/>
      <c r="AM1026" s="94"/>
      <c r="AN1026" s="94"/>
      <c r="AO1026" s="94"/>
      <c r="AP1026" s="94"/>
      <c r="AQ1026" s="94"/>
      <c r="AR1026" s="94"/>
      <c r="AS1026" s="94"/>
      <c r="AT1026" s="94"/>
      <c r="AU1026" s="94"/>
      <c r="AV1026" s="94"/>
      <c r="AW1026" s="94"/>
      <c r="AX1026" s="94"/>
      <c r="AY1026" s="94"/>
      <c r="AZ1026" s="94"/>
      <c r="BA1026" s="95"/>
    </row>
    <row r="1027" spans="1:53" s="87" customFormat="1">
      <c r="A1027" s="90" t="str">
        <f t="shared" si="41"/>
        <v/>
      </c>
      <c r="B1027" s="98"/>
      <c r="C1027" s="94"/>
      <c r="D1027" s="94"/>
      <c r="E1027" s="94"/>
      <c r="F1027" s="94"/>
      <c r="G1027" s="94"/>
      <c r="H1027" s="94"/>
      <c r="I1027" s="94"/>
      <c r="J1027" s="94"/>
      <c r="K1027" s="94"/>
      <c r="L1027" s="94"/>
      <c r="M1027" s="94"/>
      <c r="N1027" s="94"/>
      <c r="O1027" s="94"/>
      <c r="P1027" s="94"/>
      <c r="Q1027" s="94"/>
      <c r="R1027" s="94"/>
      <c r="S1027" s="94"/>
      <c r="T1027" s="94"/>
      <c r="U1027" s="94"/>
      <c r="V1027" s="94"/>
      <c r="W1027" s="94"/>
      <c r="X1027" s="94"/>
      <c r="Y1027" s="94"/>
      <c r="Z1027" s="94"/>
      <c r="AA1027" s="94"/>
      <c r="AB1027" s="94"/>
      <c r="AC1027" s="94"/>
      <c r="AD1027" s="94"/>
      <c r="AE1027" s="94"/>
      <c r="AF1027" s="94"/>
      <c r="AG1027" s="94"/>
      <c r="AH1027" s="94"/>
      <c r="AI1027" s="94"/>
      <c r="AJ1027" s="94"/>
      <c r="AK1027" s="94"/>
      <c r="AL1027" s="94"/>
      <c r="AM1027" s="94"/>
      <c r="AN1027" s="94"/>
      <c r="AO1027" s="94"/>
      <c r="AP1027" s="94"/>
      <c r="AQ1027" s="94"/>
      <c r="AR1027" s="94"/>
      <c r="AS1027" s="94"/>
      <c r="AT1027" s="94"/>
      <c r="AU1027" s="94"/>
      <c r="AV1027" s="94"/>
      <c r="AW1027" s="94"/>
      <c r="AX1027" s="94"/>
      <c r="AY1027" s="94"/>
      <c r="AZ1027" s="94"/>
      <c r="BA1027" s="95"/>
    </row>
    <row r="1028" spans="1:53" s="87" customFormat="1">
      <c r="A1028" s="90" t="str">
        <f t="shared" si="41"/>
        <v/>
      </c>
      <c r="B1028" s="98"/>
      <c r="C1028" s="94"/>
      <c r="D1028" s="94"/>
      <c r="E1028" s="94"/>
      <c r="F1028" s="94"/>
      <c r="G1028" s="94"/>
      <c r="H1028" s="94"/>
      <c r="I1028" s="94"/>
      <c r="J1028" s="94"/>
      <c r="K1028" s="94"/>
      <c r="L1028" s="94"/>
      <c r="M1028" s="94"/>
      <c r="N1028" s="94"/>
      <c r="O1028" s="94"/>
      <c r="P1028" s="94"/>
      <c r="Q1028" s="94"/>
      <c r="R1028" s="94"/>
      <c r="S1028" s="94"/>
      <c r="T1028" s="94"/>
      <c r="U1028" s="94"/>
      <c r="V1028" s="94"/>
      <c r="W1028" s="94"/>
      <c r="X1028" s="94"/>
      <c r="Y1028" s="94"/>
      <c r="Z1028" s="94"/>
      <c r="AA1028" s="94"/>
      <c r="AB1028" s="94"/>
      <c r="AC1028" s="94"/>
      <c r="AD1028" s="94"/>
      <c r="AE1028" s="94"/>
      <c r="AF1028" s="94"/>
      <c r="AG1028" s="94"/>
      <c r="AH1028" s="94"/>
      <c r="AI1028" s="94"/>
      <c r="AJ1028" s="94"/>
      <c r="AK1028" s="94"/>
      <c r="AL1028" s="94"/>
      <c r="AM1028" s="94"/>
      <c r="AN1028" s="94"/>
      <c r="AO1028" s="94"/>
      <c r="AP1028" s="94"/>
      <c r="AQ1028" s="94"/>
      <c r="AR1028" s="94"/>
      <c r="AS1028" s="94"/>
      <c r="AT1028" s="94"/>
      <c r="AU1028" s="94"/>
      <c r="AV1028" s="94"/>
      <c r="AW1028" s="94"/>
      <c r="AX1028" s="94"/>
      <c r="AY1028" s="94"/>
      <c r="AZ1028" s="94"/>
      <c r="BA1028" s="95"/>
    </row>
    <row r="1029" spans="1:53" s="87" customFormat="1">
      <c r="A1029" s="90" t="str">
        <f t="shared" si="41"/>
        <v/>
      </c>
      <c r="B1029" s="98"/>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c r="AM1029" s="94"/>
      <c r="AN1029" s="94"/>
      <c r="AO1029" s="94"/>
      <c r="AP1029" s="94"/>
      <c r="AQ1029" s="94"/>
      <c r="AR1029" s="94"/>
      <c r="AS1029" s="94"/>
      <c r="AT1029" s="94"/>
      <c r="AU1029" s="94"/>
      <c r="AV1029" s="94"/>
      <c r="AW1029" s="94"/>
      <c r="AX1029" s="94"/>
      <c r="AY1029" s="94"/>
      <c r="AZ1029" s="94"/>
      <c r="BA1029" s="95"/>
    </row>
    <row r="1030" spans="1:53" s="87" customFormat="1">
      <c r="A1030" s="90" t="str">
        <f t="shared" si="41"/>
        <v/>
      </c>
      <c r="B1030" s="98"/>
      <c r="C1030" s="94"/>
      <c r="D1030" s="94"/>
      <c r="E1030" s="94"/>
      <c r="F1030" s="94"/>
      <c r="G1030" s="94"/>
      <c r="H1030" s="94"/>
      <c r="I1030" s="94"/>
      <c r="J1030" s="94"/>
      <c r="K1030" s="94"/>
      <c r="L1030" s="94"/>
      <c r="M1030" s="94"/>
      <c r="N1030" s="94"/>
      <c r="O1030" s="94"/>
      <c r="P1030" s="94"/>
      <c r="Q1030" s="94"/>
      <c r="R1030" s="94"/>
      <c r="S1030" s="94"/>
      <c r="T1030" s="94"/>
      <c r="U1030" s="94"/>
      <c r="V1030" s="94"/>
      <c r="W1030" s="94"/>
      <c r="X1030" s="94"/>
      <c r="Y1030" s="94"/>
      <c r="Z1030" s="94"/>
      <c r="AA1030" s="94"/>
      <c r="AB1030" s="94"/>
      <c r="AC1030" s="94"/>
      <c r="AD1030" s="94"/>
      <c r="AE1030" s="94"/>
      <c r="AF1030" s="94"/>
      <c r="AG1030" s="94"/>
      <c r="AH1030" s="94"/>
      <c r="AI1030" s="94"/>
      <c r="AJ1030" s="94"/>
      <c r="AK1030" s="94"/>
      <c r="AL1030" s="94"/>
      <c r="AM1030" s="94"/>
      <c r="AN1030" s="94"/>
      <c r="AO1030" s="94"/>
      <c r="AP1030" s="94"/>
      <c r="AQ1030" s="94"/>
      <c r="AR1030" s="94"/>
      <c r="AS1030" s="94"/>
      <c r="AT1030" s="94"/>
      <c r="AU1030" s="94"/>
      <c r="AV1030" s="94"/>
      <c r="AW1030" s="94"/>
      <c r="AX1030" s="94"/>
      <c r="AY1030" s="94"/>
      <c r="AZ1030" s="94"/>
      <c r="BA1030" s="95"/>
    </row>
    <row r="1031" spans="1:53" s="87" customFormat="1">
      <c r="A1031" s="90" t="str">
        <f t="shared" si="41"/>
        <v/>
      </c>
      <c r="B1031" s="98"/>
      <c r="C1031" s="94"/>
      <c r="D1031" s="94"/>
      <c r="E1031" s="94"/>
      <c r="F1031" s="94"/>
      <c r="G1031" s="94"/>
      <c r="H1031" s="94"/>
      <c r="I1031" s="94"/>
      <c r="J1031" s="94"/>
      <c r="K1031" s="94"/>
      <c r="L1031" s="94"/>
      <c r="M1031" s="94"/>
      <c r="N1031" s="94"/>
      <c r="O1031" s="94"/>
      <c r="P1031" s="94"/>
      <c r="Q1031" s="94"/>
      <c r="R1031" s="94"/>
      <c r="S1031" s="94"/>
      <c r="T1031" s="94"/>
      <c r="U1031" s="94"/>
      <c r="V1031" s="94"/>
      <c r="W1031" s="94"/>
      <c r="X1031" s="94"/>
      <c r="Y1031" s="94"/>
      <c r="Z1031" s="94"/>
      <c r="AA1031" s="94"/>
      <c r="AB1031" s="94"/>
      <c r="AC1031" s="94"/>
      <c r="AD1031" s="94"/>
      <c r="AE1031" s="94"/>
      <c r="AF1031" s="94"/>
      <c r="AG1031" s="94"/>
      <c r="AH1031" s="94"/>
      <c r="AI1031" s="94"/>
      <c r="AJ1031" s="94"/>
      <c r="AK1031" s="94"/>
      <c r="AL1031" s="94"/>
      <c r="AM1031" s="94"/>
      <c r="AN1031" s="94"/>
      <c r="AO1031" s="94"/>
      <c r="AP1031" s="94"/>
      <c r="AQ1031" s="94"/>
      <c r="AR1031" s="94"/>
      <c r="AS1031" s="94"/>
      <c r="AT1031" s="94"/>
      <c r="AU1031" s="94"/>
      <c r="AV1031" s="94"/>
      <c r="AW1031" s="94"/>
      <c r="AX1031" s="94"/>
      <c r="AY1031" s="94"/>
      <c r="AZ1031" s="94"/>
      <c r="BA1031" s="95"/>
    </row>
    <row r="1032" spans="1:53" s="87" customFormat="1">
      <c r="A1032" s="90" t="str">
        <f t="shared" si="41"/>
        <v/>
      </c>
      <c r="B1032" s="98"/>
      <c r="C1032" s="94"/>
      <c r="D1032" s="94"/>
      <c r="E1032" s="94"/>
      <c r="F1032" s="94"/>
      <c r="G1032" s="94"/>
      <c r="H1032" s="94"/>
      <c r="I1032" s="94"/>
      <c r="J1032" s="94"/>
      <c r="K1032" s="94"/>
      <c r="L1032" s="94"/>
      <c r="M1032" s="94"/>
      <c r="N1032" s="94"/>
      <c r="O1032" s="94"/>
      <c r="P1032" s="94"/>
      <c r="Q1032" s="94"/>
      <c r="R1032" s="94"/>
      <c r="S1032" s="94"/>
      <c r="T1032" s="94"/>
      <c r="U1032" s="94"/>
      <c r="V1032" s="94"/>
      <c r="W1032" s="94"/>
      <c r="X1032" s="94"/>
      <c r="Y1032" s="94"/>
      <c r="Z1032" s="94"/>
      <c r="AA1032" s="94"/>
      <c r="AB1032" s="94"/>
      <c r="AC1032" s="94"/>
      <c r="AD1032" s="94"/>
      <c r="AE1032" s="94"/>
      <c r="AF1032" s="94"/>
      <c r="AG1032" s="94"/>
      <c r="AH1032" s="94"/>
      <c r="AI1032" s="94"/>
      <c r="AJ1032" s="94"/>
      <c r="AK1032" s="94"/>
      <c r="AL1032" s="94"/>
      <c r="AM1032" s="94"/>
      <c r="AN1032" s="94"/>
      <c r="AO1032" s="94"/>
      <c r="AP1032" s="94"/>
      <c r="AQ1032" s="94"/>
      <c r="AR1032" s="94"/>
      <c r="AS1032" s="94"/>
      <c r="AT1032" s="94"/>
      <c r="AU1032" s="94"/>
      <c r="AV1032" s="94"/>
      <c r="AW1032" s="94"/>
      <c r="AX1032" s="94"/>
      <c r="AY1032" s="94"/>
      <c r="AZ1032" s="94"/>
      <c r="BA1032" s="95"/>
    </row>
    <row r="1033" spans="1:53" s="87" customFormat="1">
      <c r="A1033" s="90" t="str">
        <f t="shared" si="41"/>
        <v/>
      </c>
      <c r="B1033" s="98"/>
      <c r="C1033" s="94"/>
      <c r="D1033" s="94"/>
      <c r="E1033" s="94"/>
      <c r="F1033" s="94"/>
      <c r="G1033" s="94"/>
      <c r="H1033" s="94"/>
      <c r="I1033" s="94"/>
      <c r="J1033" s="94"/>
      <c r="K1033" s="94"/>
      <c r="L1033" s="94"/>
      <c r="M1033" s="94"/>
      <c r="N1033" s="94"/>
      <c r="O1033" s="94"/>
      <c r="P1033" s="94"/>
      <c r="Q1033" s="94"/>
      <c r="R1033" s="94"/>
      <c r="S1033" s="94"/>
      <c r="T1033" s="94"/>
      <c r="U1033" s="94"/>
      <c r="V1033" s="94"/>
      <c r="W1033" s="94"/>
      <c r="X1033" s="94"/>
      <c r="Y1033" s="94"/>
      <c r="Z1033" s="94"/>
      <c r="AA1033" s="94"/>
      <c r="AB1033" s="94"/>
      <c r="AC1033" s="94"/>
      <c r="AD1033" s="94"/>
      <c r="AE1033" s="94"/>
      <c r="AF1033" s="94"/>
      <c r="AG1033" s="94"/>
      <c r="AH1033" s="94"/>
      <c r="AI1033" s="94"/>
      <c r="AJ1033" s="94"/>
      <c r="AK1033" s="94"/>
      <c r="AL1033" s="94"/>
      <c r="AM1033" s="94"/>
      <c r="AN1033" s="94"/>
      <c r="AO1033" s="94"/>
      <c r="AP1033" s="94"/>
      <c r="AQ1033" s="94"/>
      <c r="AR1033" s="94"/>
      <c r="AS1033" s="94"/>
      <c r="AT1033" s="94"/>
      <c r="AU1033" s="94"/>
      <c r="AV1033" s="94"/>
      <c r="AW1033" s="94"/>
      <c r="AX1033" s="94"/>
      <c r="AY1033" s="94"/>
      <c r="AZ1033" s="94"/>
      <c r="BA1033" s="95"/>
    </row>
    <row r="1034" spans="1:53" s="87" customFormat="1">
      <c r="A1034" s="90" t="str">
        <f t="shared" si="41"/>
        <v/>
      </c>
      <c r="B1034" s="98"/>
      <c r="C1034" s="94"/>
      <c r="D1034" s="94"/>
      <c r="E1034" s="94"/>
      <c r="F1034" s="94"/>
      <c r="G1034" s="94"/>
      <c r="H1034" s="94"/>
      <c r="I1034" s="94"/>
      <c r="J1034" s="94"/>
      <c r="K1034" s="94"/>
      <c r="L1034" s="94"/>
      <c r="M1034" s="94"/>
      <c r="N1034" s="94"/>
      <c r="O1034" s="94"/>
      <c r="P1034" s="94"/>
      <c r="Q1034" s="94"/>
      <c r="R1034" s="94"/>
      <c r="S1034" s="94"/>
      <c r="T1034" s="94"/>
      <c r="U1034" s="94"/>
      <c r="V1034" s="94"/>
      <c r="W1034" s="94"/>
      <c r="X1034" s="94"/>
      <c r="Y1034" s="94"/>
      <c r="Z1034" s="94"/>
      <c r="AA1034" s="94"/>
      <c r="AB1034" s="94"/>
      <c r="AC1034" s="94"/>
      <c r="AD1034" s="94"/>
      <c r="AE1034" s="94"/>
      <c r="AF1034" s="94"/>
      <c r="AG1034" s="94"/>
      <c r="AH1034" s="94"/>
      <c r="AI1034" s="94"/>
      <c r="AJ1034" s="94"/>
      <c r="AK1034" s="94"/>
      <c r="AL1034" s="94"/>
      <c r="AM1034" s="94"/>
      <c r="AN1034" s="94"/>
      <c r="AO1034" s="94"/>
      <c r="AP1034" s="94"/>
      <c r="AQ1034" s="94"/>
      <c r="AR1034" s="94"/>
      <c r="AS1034" s="94"/>
      <c r="AT1034" s="94"/>
      <c r="AU1034" s="94"/>
      <c r="AV1034" s="94"/>
      <c r="AW1034" s="94"/>
      <c r="AX1034" s="94"/>
      <c r="AY1034" s="94"/>
      <c r="AZ1034" s="94"/>
      <c r="BA1034" s="95"/>
    </row>
    <row r="1035" spans="1:53" s="87" customFormat="1">
      <c r="A1035" s="90" t="str">
        <f t="shared" si="41"/>
        <v/>
      </c>
      <c r="B1035" s="98"/>
      <c r="C1035" s="94"/>
      <c r="D1035" s="94"/>
      <c r="E1035" s="94"/>
      <c r="F1035" s="94"/>
      <c r="G1035" s="94"/>
      <c r="H1035" s="94"/>
      <c r="I1035" s="94"/>
      <c r="J1035" s="94"/>
      <c r="K1035" s="94"/>
      <c r="L1035" s="94"/>
      <c r="M1035" s="94"/>
      <c r="N1035" s="94"/>
      <c r="O1035" s="94"/>
      <c r="P1035" s="94"/>
      <c r="Q1035" s="94"/>
      <c r="R1035" s="94"/>
      <c r="S1035" s="94"/>
      <c r="T1035" s="94"/>
      <c r="U1035" s="94"/>
      <c r="V1035" s="94"/>
      <c r="W1035" s="94"/>
      <c r="X1035" s="94"/>
      <c r="Y1035" s="94"/>
      <c r="Z1035" s="94"/>
      <c r="AA1035" s="94"/>
      <c r="AB1035" s="94"/>
      <c r="AC1035" s="94"/>
      <c r="AD1035" s="94"/>
      <c r="AE1035" s="94"/>
      <c r="AF1035" s="94"/>
      <c r="AG1035" s="94"/>
      <c r="AH1035" s="94"/>
      <c r="AI1035" s="94"/>
      <c r="AJ1035" s="94"/>
      <c r="AK1035" s="94"/>
      <c r="AL1035" s="94"/>
      <c r="AM1035" s="94"/>
      <c r="AN1035" s="94"/>
      <c r="AO1035" s="94"/>
      <c r="AP1035" s="94"/>
      <c r="AQ1035" s="94"/>
      <c r="AR1035" s="94"/>
      <c r="AS1035" s="94"/>
      <c r="AT1035" s="94"/>
      <c r="AU1035" s="94"/>
      <c r="AV1035" s="94"/>
      <c r="AW1035" s="94"/>
      <c r="AX1035" s="94"/>
      <c r="AY1035" s="94"/>
      <c r="AZ1035" s="94"/>
      <c r="BA1035" s="95"/>
    </row>
    <row r="1036" spans="1:53" s="87" customFormat="1">
      <c r="A1036" s="90" t="str">
        <f t="shared" ref="A1036:A1099" si="42">IF(MID(B1036,3,2)="03",ROW(),"")</f>
        <v/>
      </c>
      <c r="B1036" s="98"/>
      <c r="C1036" s="94"/>
      <c r="D1036" s="94"/>
      <c r="E1036" s="94"/>
      <c r="F1036" s="94"/>
      <c r="G1036" s="94"/>
      <c r="H1036" s="94"/>
      <c r="I1036" s="94"/>
      <c r="J1036" s="94"/>
      <c r="K1036" s="94"/>
      <c r="L1036" s="94"/>
      <c r="M1036" s="94"/>
      <c r="N1036" s="94"/>
      <c r="O1036" s="94"/>
      <c r="P1036" s="94"/>
      <c r="Q1036" s="94"/>
      <c r="R1036" s="94"/>
      <c r="S1036" s="94"/>
      <c r="T1036" s="94"/>
      <c r="U1036" s="94"/>
      <c r="V1036" s="94"/>
      <c r="W1036" s="94"/>
      <c r="X1036" s="94"/>
      <c r="Y1036" s="94"/>
      <c r="Z1036" s="94"/>
      <c r="AA1036" s="94"/>
      <c r="AB1036" s="94"/>
      <c r="AC1036" s="94"/>
      <c r="AD1036" s="94"/>
      <c r="AE1036" s="94"/>
      <c r="AF1036" s="94"/>
      <c r="AG1036" s="94"/>
      <c r="AH1036" s="94"/>
      <c r="AI1036" s="94"/>
      <c r="AJ1036" s="94"/>
      <c r="AK1036" s="94"/>
      <c r="AL1036" s="94"/>
      <c r="AM1036" s="94"/>
      <c r="AN1036" s="94"/>
      <c r="AO1036" s="94"/>
      <c r="AP1036" s="94"/>
      <c r="AQ1036" s="94"/>
      <c r="AR1036" s="94"/>
      <c r="AS1036" s="94"/>
      <c r="AT1036" s="94"/>
      <c r="AU1036" s="94"/>
      <c r="AV1036" s="94"/>
      <c r="AW1036" s="94"/>
      <c r="AX1036" s="94"/>
      <c r="AY1036" s="94"/>
      <c r="AZ1036" s="94"/>
      <c r="BA1036" s="95"/>
    </row>
    <row r="1037" spans="1:53" s="87" customFormat="1">
      <c r="A1037" s="90" t="str">
        <f t="shared" si="42"/>
        <v/>
      </c>
      <c r="B1037" s="98"/>
      <c r="C1037" s="94"/>
      <c r="D1037" s="94"/>
      <c r="E1037" s="94"/>
      <c r="F1037" s="94"/>
      <c r="G1037" s="94"/>
      <c r="H1037" s="94"/>
      <c r="I1037" s="94"/>
      <c r="J1037" s="94"/>
      <c r="K1037" s="94"/>
      <c r="L1037" s="94"/>
      <c r="M1037" s="94"/>
      <c r="N1037" s="94"/>
      <c r="O1037" s="94"/>
      <c r="P1037" s="94"/>
      <c r="Q1037" s="94"/>
      <c r="R1037" s="94"/>
      <c r="S1037" s="94"/>
      <c r="T1037" s="94"/>
      <c r="U1037" s="94"/>
      <c r="V1037" s="94"/>
      <c r="W1037" s="94"/>
      <c r="X1037" s="94"/>
      <c r="Y1037" s="94"/>
      <c r="Z1037" s="94"/>
      <c r="AA1037" s="94"/>
      <c r="AB1037" s="94"/>
      <c r="AC1037" s="94"/>
      <c r="AD1037" s="94"/>
      <c r="AE1037" s="94"/>
      <c r="AF1037" s="94"/>
      <c r="AG1037" s="94"/>
      <c r="AH1037" s="94"/>
      <c r="AI1037" s="94"/>
      <c r="AJ1037" s="94"/>
      <c r="AK1037" s="94"/>
      <c r="AL1037" s="94"/>
      <c r="AM1037" s="94"/>
      <c r="AN1037" s="94"/>
      <c r="AO1037" s="94"/>
      <c r="AP1037" s="94"/>
      <c r="AQ1037" s="94"/>
      <c r="AR1037" s="94"/>
      <c r="AS1037" s="94"/>
      <c r="AT1037" s="94"/>
      <c r="AU1037" s="94"/>
      <c r="AV1037" s="94"/>
      <c r="AW1037" s="94"/>
      <c r="AX1037" s="94"/>
      <c r="AY1037" s="94"/>
      <c r="AZ1037" s="94"/>
      <c r="BA1037" s="95"/>
    </row>
    <row r="1038" spans="1:53" s="87" customFormat="1">
      <c r="A1038" s="90" t="str">
        <f t="shared" si="42"/>
        <v/>
      </c>
      <c r="B1038" s="98"/>
      <c r="C1038" s="94"/>
      <c r="D1038" s="94"/>
      <c r="E1038" s="94"/>
      <c r="F1038" s="94"/>
      <c r="G1038" s="94"/>
      <c r="H1038" s="94"/>
      <c r="I1038" s="94"/>
      <c r="J1038" s="94"/>
      <c r="K1038" s="94"/>
      <c r="L1038" s="94"/>
      <c r="M1038" s="94"/>
      <c r="N1038" s="94"/>
      <c r="O1038" s="94"/>
      <c r="P1038" s="94"/>
      <c r="Q1038" s="94"/>
      <c r="R1038" s="94"/>
      <c r="S1038" s="94"/>
      <c r="T1038" s="94"/>
      <c r="U1038" s="94"/>
      <c r="V1038" s="94"/>
      <c r="W1038" s="94"/>
      <c r="X1038" s="94"/>
      <c r="Y1038" s="94"/>
      <c r="Z1038" s="94"/>
      <c r="AA1038" s="94"/>
      <c r="AB1038" s="94"/>
      <c r="AC1038" s="94"/>
      <c r="AD1038" s="94"/>
      <c r="AE1038" s="94"/>
      <c r="AF1038" s="94"/>
      <c r="AG1038" s="94"/>
      <c r="AH1038" s="94"/>
      <c r="AI1038" s="94"/>
      <c r="AJ1038" s="94"/>
      <c r="AK1038" s="94"/>
      <c r="AL1038" s="94"/>
      <c r="AM1038" s="94"/>
      <c r="AN1038" s="94"/>
      <c r="AO1038" s="94"/>
      <c r="AP1038" s="94"/>
      <c r="AQ1038" s="94"/>
      <c r="AR1038" s="94"/>
      <c r="AS1038" s="94"/>
      <c r="AT1038" s="94"/>
      <c r="AU1038" s="94"/>
      <c r="AV1038" s="94"/>
      <c r="AW1038" s="94"/>
      <c r="AX1038" s="94"/>
      <c r="AY1038" s="94"/>
      <c r="AZ1038" s="94"/>
      <c r="BA1038" s="95"/>
    </row>
    <row r="1039" spans="1:53" s="87" customFormat="1">
      <c r="A1039" s="90" t="str">
        <f t="shared" si="42"/>
        <v/>
      </c>
      <c r="B1039" s="98"/>
      <c r="C1039" s="94"/>
      <c r="D1039" s="94"/>
      <c r="E1039" s="94"/>
      <c r="F1039" s="94"/>
      <c r="G1039" s="94"/>
      <c r="H1039" s="94"/>
      <c r="I1039" s="94"/>
      <c r="J1039" s="94"/>
      <c r="K1039" s="94"/>
      <c r="L1039" s="94"/>
      <c r="M1039" s="94"/>
      <c r="N1039" s="94"/>
      <c r="O1039" s="94"/>
      <c r="P1039" s="94"/>
      <c r="Q1039" s="94"/>
      <c r="R1039" s="94"/>
      <c r="S1039" s="94"/>
      <c r="T1039" s="94"/>
      <c r="U1039" s="94"/>
      <c r="V1039" s="94"/>
      <c r="W1039" s="94"/>
      <c r="X1039" s="94"/>
      <c r="Y1039" s="94"/>
      <c r="Z1039" s="94"/>
      <c r="AA1039" s="94"/>
      <c r="AB1039" s="94"/>
      <c r="AC1039" s="94"/>
      <c r="AD1039" s="94"/>
      <c r="AE1039" s="94"/>
      <c r="AF1039" s="94"/>
      <c r="AG1039" s="94"/>
      <c r="AH1039" s="94"/>
      <c r="AI1039" s="94"/>
      <c r="AJ1039" s="94"/>
      <c r="AK1039" s="94"/>
      <c r="AL1039" s="94"/>
      <c r="AM1039" s="94"/>
      <c r="AN1039" s="94"/>
      <c r="AO1039" s="94"/>
      <c r="AP1039" s="94"/>
      <c r="AQ1039" s="94"/>
      <c r="AR1039" s="94"/>
      <c r="AS1039" s="94"/>
      <c r="AT1039" s="94"/>
      <c r="AU1039" s="94"/>
      <c r="AV1039" s="94"/>
      <c r="AW1039" s="94"/>
      <c r="AX1039" s="94"/>
      <c r="AY1039" s="94"/>
      <c r="AZ1039" s="94"/>
      <c r="BA1039" s="95"/>
    </row>
    <row r="1040" spans="1:53" s="87" customFormat="1">
      <c r="A1040" s="90" t="str">
        <f t="shared" si="42"/>
        <v/>
      </c>
      <c r="B1040" s="98"/>
      <c r="C1040" s="94"/>
      <c r="D1040" s="94"/>
      <c r="E1040" s="94"/>
      <c r="F1040" s="94"/>
      <c r="G1040" s="94"/>
      <c r="H1040" s="94"/>
      <c r="I1040" s="94"/>
      <c r="J1040" s="94"/>
      <c r="K1040" s="94"/>
      <c r="L1040" s="94"/>
      <c r="M1040" s="94"/>
      <c r="N1040" s="94"/>
      <c r="O1040" s="94"/>
      <c r="P1040" s="94"/>
      <c r="Q1040" s="94"/>
      <c r="R1040" s="94"/>
      <c r="S1040" s="94"/>
      <c r="T1040" s="94"/>
      <c r="U1040" s="94"/>
      <c r="V1040" s="94"/>
      <c r="W1040" s="94"/>
      <c r="X1040" s="94"/>
      <c r="Y1040" s="94"/>
      <c r="Z1040" s="94"/>
      <c r="AA1040" s="94"/>
      <c r="AB1040" s="94"/>
      <c r="AC1040" s="94"/>
      <c r="AD1040" s="94"/>
      <c r="AE1040" s="94"/>
      <c r="AF1040" s="94"/>
      <c r="AG1040" s="94"/>
      <c r="AH1040" s="94"/>
      <c r="AI1040" s="94"/>
      <c r="AJ1040" s="94"/>
      <c r="AK1040" s="94"/>
      <c r="AL1040" s="94"/>
      <c r="AM1040" s="94"/>
      <c r="AN1040" s="94"/>
      <c r="AO1040" s="94"/>
      <c r="AP1040" s="94"/>
      <c r="AQ1040" s="94"/>
      <c r="AR1040" s="94"/>
      <c r="AS1040" s="94"/>
      <c r="AT1040" s="94"/>
      <c r="AU1040" s="94"/>
      <c r="AV1040" s="94"/>
      <c r="AW1040" s="94"/>
      <c r="AX1040" s="94"/>
      <c r="AY1040" s="94"/>
      <c r="AZ1040" s="94"/>
      <c r="BA1040" s="95"/>
    </row>
    <row r="1041" spans="1:53" s="87" customFormat="1">
      <c r="A1041" s="90" t="str">
        <f t="shared" si="42"/>
        <v/>
      </c>
      <c r="B1041" s="98"/>
      <c r="C1041" s="94"/>
      <c r="D1041" s="94"/>
      <c r="E1041" s="94"/>
      <c r="F1041" s="94"/>
      <c r="G1041" s="94"/>
      <c r="H1041" s="94"/>
      <c r="I1041" s="94"/>
      <c r="J1041" s="94"/>
      <c r="K1041" s="94"/>
      <c r="L1041" s="94"/>
      <c r="M1041" s="94"/>
      <c r="N1041" s="94"/>
      <c r="O1041" s="94"/>
      <c r="P1041" s="94"/>
      <c r="Q1041" s="94"/>
      <c r="R1041" s="94"/>
      <c r="S1041" s="94"/>
      <c r="T1041" s="94"/>
      <c r="U1041" s="94"/>
      <c r="V1041" s="94"/>
      <c r="W1041" s="94"/>
      <c r="X1041" s="94"/>
      <c r="Y1041" s="94"/>
      <c r="Z1041" s="94"/>
      <c r="AA1041" s="94"/>
      <c r="AB1041" s="94"/>
      <c r="AC1041" s="94"/>
      <c r="AD1041" s="94"/>
      <c r="AE1041" s="94"/>
      <c r="AF1041" s="94"/>
      <c r="AG1041" s="94"/>
      <c r="AH1041" s="94"/>
      <c r="AI1041" s="94"/>
      <c r="AJ1041" s="94"/>
      <c r="AK1041" s="94"/>
      <c r="AL1041" s="94"/>
      <c r="AM1041" s="94"/>
      <c r="AN1041" s="94"/>
      <c r="AO1041" s="94"/>
      <c r="AP1041" s="94"/>
      <c r="AQ1041" s="94"/>
      <c r="AR1041" s="94"/>
      <c r="AS1041" s="94"/>
      <c r="AT1041" s="94"/>
      <c r="AU1041" s="94"/>
      <c r="AV1041" s="94"/>
      <c r="AW1041" s="94"/>
      <c r="AX1041" s="94"/>
      <c r="AY1041" s="94"/>
      <c r="AZ1041" s="94"/>
      <c r="BA1041" s="95"/>
    </row>
    <row r="1042" spans="1:53" s="87" customFormat="1">
      <c r="A1042" s="90" t="str">
        <f t="shared" si="42"/>
        <v/>
      </c>
      <c r="B1042" s="98"/>
      <c r="C1042" s="94"/>
      <c r="D1042" s="94"/>
      <c r="E1042" s="94"/>
      <c r="F1042" s="94"/>
      <c r="G1042" s="94"/>
      <c r="H1042" s="94"/>
      <c r="I1042" s="94"/>
      <c r="J1042" s="94"/>
      <c r="K1042" s="94"/>
      <c r="L1042" s="94"/>
      <c r="M1042" s="94"/>
      <c r="N1042" s="94"/>
      <c r="O1042" s="94"/>
      <c r="P1042" s="94"/>
      <c r="Q1042" s="94"/>
      <c r="R1042" s="94"/>
      <c r="S1042" s="94"/>
      <c r="T1042" s="94"/>
      <c r="U1042" s="94"/>
      <c r="V1042" s="94"/>
      <c r="W1042" s="94"/>
      <c r="X1042" s="94"/>
      <c r="Y1042" s="94"/>
      <c r="Z1042" s="94"/>
      <c r="AA1042" s="94"/>
      <c r="AB1042" s="94"/>
      <c r="AC1042" s="94"/>
      <c r="AD1042" s="94"/>
      <c r="AE1042" s="94"/>
      <c r="AF1042" s="94"/>
      <c r="AG1042" s="94"/>
      <c r="AH1042" s="94"/>
      <c r="AI1042" s="94"/>
      <c r="AJ1042" s="94"/>
      <c r="AK1042" s="94"/>
      <c r="AL1042" s="94"/>
      <c r="AM1042" s="94"/>
      <c r="AN1042" s="94"/>
      <c r="AO1042" s="94"/>
      <c r="AP1042" s="94"/>
      <c r="AQ1042" s="94"/>
      <c r="AR1042" s="94"/>
      <c r="AS1042" s="94"/>
      <c r="AT1042" s="94"/>
      <c r="AU1042" s="94"/>
      <c r="AV1042" s="94"/>
      <c r="AW1042" s="94"/>
      <c r="AX1042" s="94"/>
      <c r="AY1042" s="94"/>
      <c r="AZ1042" s="94"/>
      <c r="BA1042" s="95"/>
    </row>
    <row r="1043" spans="1:53" s="87" customFormat="1">
      <c r="A1043" s="90" t="str">
        <f t="shared" si="42"/>
        <v/>
      </c>
      <c r="B1043" s="98"/>
      <c r="C1043" s="94"/>
      <c r="D1043" s="94"/>
      <c r="E1043" s="94"/>
      <c r="F1043" s="94"/>
      <c r="G1043" s="94"/>
      <c r="H1043" s="94"/>
      <c r="I1043" s="94"/>
      <c r="J1043" s="94"/>
      <c r="K1043" s="94"/>
      <c r="L1043" s="94"/>
      <c r="M1043" s="94"/>
      <c r="N1043" s="94"/>
      <c r="O1043" s="94"/>
      <c r="P1043" s="94"/>
      <c r="Q1043" s="94"/>
      <c r="R1043" s="94"/>
      <c r="S1043" s="94"/>
      <c r="T1043" s="94"/>
      <c r="U1043" s="94"/>
      <c r="V1043" s="94"/>
      <c r="W1043" s="94"/>
      <c r="X1043" s="94"/>
      <c r="Y1043" s="94"/>
      <c r="Z1043" s="94"/>
      <c r="AA1043" s="94"/>
      <c r="AB1043" s="94"/>
      <c r="AC1043" s="94"/>
      <c r="AD1043" s="94"/>
      <c r="AE1043" s="94"/>
      <c r="AF1043" s="94"/>
      <c r="AG1043" s="94"/>
      <c r="AH1043" s="94"/>
      <c r="AI1043" s="94"/>
      <c r="AJ1043" s="94"/>
      <c r="AK1043" s="94"/>
      <c r="AL1043" s="94"/>
      <c r="AM1043" s="94"/>
      <c r="AN1043" s="94"/>
      <c r="AO1043" s="94"/>
      <c r="AP1043" s="94"/>
      <c r="AQ1043" s="94"/>
      <c r="AR1043" s="94"/>
      <c r="AS1043" s="94"/>
      <c r="AT1043" s="94"/>
      <c r="AU1043" s="94"/>
      <c r="AV1043" s="94"/>
      <c r="AW1043" s="94"/>
      <c r="AX1043" s="94"/>
      <c r="AY1043" s="94"/>
      <c r="AZ1043" s="94"/>
      <c r="BA1043" s="95"/>
    </row>
    <row r="1044" spans="1:53" s="87" customFormat="1">
      <c r="A1044" s="90" t="str">
        <f t="shared" si="42"/>
        <v/>
      </c>
      <c r="B1044" s="98"/>
      <c r="C1044" s="94"/>
      <c r="D1044" s="94"/>
      <c r="E1044" s="94"/>
      <c r="F1044" s="94"/>
      <c r="G1044" s="94"/>
      <c r="H1044" s="94"/>
      <c r="I1044" s="94"/>
      <c r="J1044" s="94"/>
      <c r="K1044" s="94"/>
      <c r="L1044" s="94"/>
      <c r="M1044" s="94"/>
      <c r="N1044" s="94"/>
      <c r="O1044" s="94"/>
      <c r="P1044" s="94"/>
      <c r="Q1044" s="94"/>
      <c r="R1044" s="94"/>
      <c r="S1044" s="94"/>
      <c r="T1044" s="94"/>
      <c r="U1044" s="94"/>
      <c r="V1044" s="94"/>
      <c r="W1044" s="94"/>
      <c r="X1044" s="94"/>
      <c r="Y1044" s="94"/>
      <c r="Z1044" s="94"/>
      <c r="AA1044" s="94"/>
      <c r="AB1044" s="94"/>
      <c r="AC1044" s="94"/>
      <c r="AD1044" s="94"/>
      <c r="AE1044" s="94"/>
      <c r="AF1044" s="94"/>
      <c r="AG1044" s="94"/>
      <c r="AH1044" s="94"/>
      <c r="AI1044" s="94"/>
      <c r="AJ1044" s="94"/>
      <c r="AK1044" s="94"/>
      <c r="AL1044" s="94"/>
      <c r="AM1044" s="94"/>
      <c r="AN1044" s="94"/>
      <c r="AO1044" s="94"/>
      <c r="AP1044" s="94"/>
      <c r="AQ1044" s="94"/>
      <c r="AR1044" s="94"/>
      <c r="AS1044" s="94"/>
      <c r="AT1044" s="94"/>
      <c r="AU1044" s="94"/>
      <c r="AV1044" s="94"/>
      <c r="AW1044" s="94"/>
      <c r="AX1044" s="94"/>
      <c r="AY1044" s="94"/>
      <c r="AZ1044" s="94"/>
      <c r="BA1044" s="95"/>
    </row>
    <row r="1045" spans="1:53" s="87" customFormat="1">
      <c r="A1045" s="90" t="str">
        <f t="shared" si="42"/>
        <v/>
      </c>
      <c r="B1045" s="98"/>
      <c r="C1045" s="94"/>
      <c r="D1045" s="94"/>
      <c r="E1045" s="94"/>
      <c r="F1045" s="94"/>
      <c r="G1045" s="94"/>
      <c r="H1045" s="94"/>
      <c r="I1045" s="94"/>
      <c r="J1045" s="94"/>
      <c r="K1045" s="94"/>
      <c r="L1045" s="94"/>
      <c r="M1045" s="94"/>
      <c r="N1045" s="94"/>
      <c r="O1045" s="94"/>
      <c r="P1045" s="94"/>
      <c r="Q1045" s="94"/>
      <c r="R1045" s="94"/>
      <c r="S1045" s="94"/>
      <c r="T1045" s="94"/>
      <c r="U1045" s="94"/>
      <c r="V1045" s="94"/>
      <c r="W1045" s="94"/>
      <c r="X1045" s="94"/>
      <c r="Y1045" s="94"/>
      <c r="Z1045" s="94"/>
      <c r="AA1045" s="94"/>
      <c r="AB1045" s="94"/>
      <c r="AC1045" s="94"/>
      <c r="AD1045" s="94"/>
      <c r="AE1045" s="94"/>
      <c r="AF1045" s="94"/>
      <c r="AG1045" s="94"/>
      <c r="AH1045" s="94"/>
      <c r="AI1045" s="94"/>
      <c r="AJ1045" s="94"/>
      <c r="AK1045" s="94"/>
      <c r="AL1045" s="94"/>
      <c r="AM1045" s="94"/>
      <c r="AN1045" s="94"/>
      <c r="AO1045" s="94"/>
      <c r="AP1045" s="94"/>
      <c r="AQ1045" s="94"/>
      <c r="AR1045" s="94"/>
      <c r="AS1045" s="94"/>
      <c r="AT1045" s="94"/>
      <c r="AU1045" s="94"/>
      <c r="AV1045" s="94"/>
      <c r="AW1045" s="94"/>
      <c r="AX1045" s="94"/>
      <c r="AY1045" s="94"/>
      <c r="AZ1045" s="94"/>
      <c r="BA1045" s="95"/>
    </row>
    <row r="1046" spans="1:53" s="87" customFormat="1">
      <c r="A1046" s="90" t="str">
        <f t="shared" si="42"/>
        <v/>
      </c>
      <c r="B1046" s="98"/>
      <c r="C1046" s="94"/>
      <c r="D1046" s="94"/>
      <c r="E1046" s="94"/>
      <c r="F1046" s="94"/>
      <c r="G1046" s="94"/>
      <c r="H1046" s="94"/>
      <c r="I1046" s="94"/>
      <c r="J1046" s="94"/>
      <c r="K1046" s="94"/>
      <c r="L1046" s="94"/>
      <c r="M1046" s="94"/>
      <c r="N1046" s="94"/>
      <c r="O1046" s="94"/>
      <c r="P1046" s="94"/>
      <c r="Q1046" s="94"/>
      <c r="R1046" s="94"/>
      <c r="S1046" s="94"/>
      <c r="T1046" s="94"/>
      <c r="U1046" s="94"/>
      <c r="V1046" s="94"/>
      <c r="W1046" s="94"/>
      <c r="X1046" s="94"/>
      <c r="Y1046" s="94"/>
      <c r="Z1046" s="94"/>
      <c r="AA1046" s="94"/>
      <c r="AB1046" s="94"/>
      <c r="AC1046" s="94"/>
      <c r="AD1046" s="94"/>
      <c r="AE1046" s="94"/>
      <c r="AF1046" s="94"/>
      <c r="AG1046" s="94"/>
      <c r="AH1046" s="94"/>
      <c r="AI1046" s="94"/>
      <c r="AJ1046" s="94"/>
      <c r="AK1046" s="94"/>
      <c r="AL1046" s="94"/>
      <c r="AM1046" s="94"/>
      <c r="AN1046" s="94"/>
      <c r="AO1046" s="94"/>
      <c r="AP1046" s="94"/>
      <c r="AQ1046" s="94"/>
      <c r="AR1046" s="94"/>
      <c r="AS1046" s="94"/>
      <c r="AT1046" s="94"/>
      <c r="AU1046" s="94"/>
      <c r="AV1046" s="94"/>
      <c r="AW1046" s="94"/>
      <c r="AX1046" s="94"/>
      <c r="AY1046" s="94"/>
      <c r="AZ1046" s="94"/>
      <c r="BA1046" s="95"/>
    </row>
    <row r="1047" spans="1:53" s="87" customFormat="1">
      <c r="A1047" s="90" t="str">
        <f t="shared" si="42"/>
        <v/>
      </c>
      <c r="B1047" s="98"/>
      <c r="C1047" s="94"/>
      <c r="D1047" s="94"/>
      <c r="E1047" s="94"/>
      <c r="F1047" s="94"/>
      <c r="G1047" s="94"/>
      <c r="H1047" s="94"/>
      <c r="I1047" s="94"/>
      <c r="J1047" s="94"/>
      <c r="K1047" s="94"/>
      <c r="L1047" s="94"/>
      <c r="M1047" s="94"/>
      <c r="N1047" s="94"/>
      <c r="O1047" s="94"/>
      <c r="P1047" s="94"/>
      <c r="Q1047" s="94"/>
      <c r="R1047" s="94"/>
      <c r="S1047" s="94"/>
      <c r="T1047" s="94"/>
      <c r="U1047" s="94"/>
      <c r="V1047" s="94"/>
      <c r="W1047" s="94"/>
      <c r="X1047" s="94"/>
      <c r="Y1047" s="94"/>
      <c r="Z1047" s="94"/>
      <c r="AA1047" s="94"/>
      <c r="AB1047" s="94"/>
      <c r="AC1047" s="94"/>
      <c r="AD1047" s="94"/>
      <c r="AE1047" s="94"/>
      <c r="AF1047" s="94"/>
      <c r="AG1047" s="94"/>
      <c r="AH1047" s="94"/>
      <c r="AI1047" s="94"/>
      <c r="AJ1047" s="94"/>
      <c r="AK1047" s="94"/>
      <c r="AL1047" s="94"/>
      <c r="AM1047" s="94"/>
      <c r="AN1047" s="94"/>
      <c r="AO1047" s="94"/>
      <c r="AP1047" s="94"/>
      <c r="AQ1047" s="94"/>
      <c r="AR1047" s="94"/>
      <c r="AS1047" s="94"/>
      <c r="AT1047" s="94"/>
      <c r="AU1047" s="94"/>
      <c r="AV1047" s="94"/>
      <c r="AW1047" s="94"/>
      <c r="AX1047" s="94"/>
      <c r="AY1047" s="94"/>
      <c r="AZ1047" s="94"/>
      <c r="BA1047" s="95"/>
    </row>
    <row r="1048" spans="1:53" s="87" customFormat="1">
      <c r="A1048" s="90" t="str">
        <f t="shared" si="42"/>
        <v/>
      </c>
      <c r="B1048" s="98"/>
      <c r="C1048" s="94"/>
      <c r="D1048" s="94"/>
      <c r="E1048" s="94"/>
      <c r="F1048" s="94"/>
      <c r="G1048" s="94"/>
      <c r="H1048" s="94"/>
      <c r="I1048" s="94"/>
      <c r="J1048" s="94"/>
      <c r="K1048" s="94"/>
      <c r="L1048" s="94"/>
      <c r="M1048" s="94"/>
      <c r="N1048" s="94"/>
      <c r="O1048" s="94"/>
      <c r="P1048" s="94"/>
      <c r="Q1048" s="94"/>
      <c r="R1048" s="94"/>
      <c r="S1048" s="94"/>
      <c r="T1048" s="94"/>
      <c r="U1048" s="94"/>
      <c r="V1048" s="94"/>
      <c r="W1048" s="94"/>
      <c r="X1048" s="94"/>
      <c r="Y1048" s="94"/>
      <c r="Z1048" s="94"/>
      <c r="AA1048" s="94"/>
      <c r="AB1048" s="94"/>
      <c r="AC1048" s="94"/>
      <c r="AD1048" s="94"/>
      <c r="AE1048" s="94"/>
      <c r="AF1048" s="94"/>
      <c r="AG1048" s="94"/>
      <c r="AH1048" s="94"/>
      <c r="AI1048" s="94"/>
      <c r="AJ1048" s="94"/>
      <c r="AK1048" s="94"/>
      <c r="AL1048" s="94"/>
      <c r="AM1048" s="94"/>
      <c r="AN1048" s="94"/>
      <c r="AO1048" s="94"/>
      <c r="AP1048" s="94"/>
      <c r="AQ1048" s="94"/>
      <c r="AR1048" s="94"/>
      <c r="AS1048" s="94"/>
      <c r="AT1048" s="94"/>
      <c r="AU1048" s="94"/>
      <c r="AV1048" s="94"/>
      <c r="AW1048" s="94"/>
      <c r="AX1048" s="94"/>
      <c r="AY1048" s="94"/>
      <c r="AZ1048" s="94"/>
      <c r="BA1048" s="95"/>
    </row>
    <row r="1049" spans="1:53" s="87" customFormat="1">
      <c r="A1049" s="90" t="str">
        <f t="shared" si="42"/>
        <v/>
      </c>
      <c r="B1049" s="98"/>
      <c r="C1049" s="94"/>
      <c r="D1049" s="94"/>
      <c r="E1049" s="94"/>
      <c r="F1049" s="94"/>
      <c r="G1049" s="94"/>
      <c r="H1049" s="94"/>
      <c r="I1049" s="94"/>
      <c r="J1049" s="94"/>
      <c r="K1049" s="94"/>
      <c r="L1049" s="94"/>
      <c r="M1049" s="94"/>
      <c r="N1049" s="94"/>
      <c r="O1049" s="94"/>
      <c r="P1049" s="94"/>
      <c r="Q1049" s="94"/>
      <c r="R1049" s="94"/>
      <c r="S1049" s="94"/>
      <c r="T1049" s="94"/>
      <c r="U1049" s="94"/>
      <c r="V1049" s="94"/>
      <c r="W1049" s="94"/>
      <c r="X1049" s="94"/>
      <c r="Y1049" s="94"/>
      <c r="Z1049" s="94"/>
      <c r="AA1049" s="94"/>
      <c r="AB1049" s="94"/>
      <c r="AC1049" s="94"/>
      <c r="AD1049" s="94"/>
      <c r="AE1049" s="94"/>
      <c r="AF1049" s="94"/>
      <c r="AG1049" s="94"/>
      <c r="AH1049" s="94"/>
      <c r="AI1049" s="94"/>
      <c r="AJ1049" s="94"/>
      <c r="AK1049" s="94"/>
      <c r="AL1049" s="94"/>
      <c r="AM1049" s="94"/>
      <c r="AN1049" s="94"/>
      <c r="AO1049" s="94"/>
      <c r="AP1049" s="94"/>
      <c r="AQ1049" s="94"/>
      <c r="AR1049" s="94"/>
      <c r="AS1049" s="94"/>
      <c r="AT1049" s="94"/>
      <c r="AU1049" s="94"/>
      <c r="AV1049" s="94"/>
      <c r="AW1049" s="94"/>
      <c r="AX1049" s="94"/>
      <c r="AY1049" s="94"/>
      <c r="AZ1049" s="94"/>
      <c r="BA1049" s="95"/>
    </row>
    <row r="1050" spans="1:53" s="87" customFormat="1">
      <c r="A1050" s="90" t="str">
        <f t="shared" si="42"/>
        <v/>
      </c>
      <c r="B1050" s="98"/>
      <c r="C1050" s="94"/>
      <c r="D1050" s="94"/>
      <c r="E1050" s="94"/>
      <c r="F1050" s="94"/>
      <c r="G1050" s="94"/>
      <c r="H1050" s="94"/>
      <c r="I1050" s="94"/>
      <c r="J1050" s="94"/>
      <c r="K1050" s="94"/>
      <c r="L1050" s="94"/>
      <c r="M1050" s="94"/>
      <c r="N1050" s="94"/>
      <c r="O1050" s="94"/>
      <c r="P1050" s="94"/>
      <c r="Q1050" s="94"/>
      <c r="R1050" s="94"/>
      <c r="S1050" s="94"/>
      <c r="T1050" s="94"/>
      <c r="U1050" s="94"/>
      <c r="V1050" s="94"/>
      <c r="W1050" s="94"/>
      <c r="X1050" s="94"/>
      <c r="Y1050" s="94"/>
      <c r="Z1050" s="94"/>
      <c r="AA1050" s="94"/>
      <c r="AB1050" s="94"/>
      <c r="AC1050" s="94"/>
      <c r="AD1050" s="94"/>
      <c r="AE1050" s="94"/>
      <c r="AF1050" s="94"/>
      <c r="AG1050" s="94"/>
      <c r="AH1050" s="94"/>
      <c r="AI1050" s="94"/>
      <c r="AJ1050" s="94"/>
      <c r="AK1050" s="94"/>
      <c r="AL1050" s="94"/>
      <c r="AM1050" s="94"/>
      <c r="AN1050" s="94"/>
      <c r="AO1050" s="94"/>
      <c r="AP1050" s="94"/>
      <c r="AQ1050" s="94"/>
      <c r="AR1050" s="94"/>
      <c r="AS1050" s="94"/>
      <c r="AT1050" s="94"/>
      <c r="AU1050" s="94"/>
      <c r="AV1050" s="94"/>
      <c r="AW1050" s="94"/>
      <c r="AX1050" s="94"/>
      <c r="AY1050" s="94"/>
      <c r="AZ1050" s="94"/>
      <c r="BA1050" s="95"/>
    </row>
    <row r="1051" spans="1:53" s="87" customFormat="1">
      <c r="A1051" s="90" t="str">
        <f t="shared" si="42"/>
        <v/>
      </c>
      <c r="B1051" s="98"/>
      <c r="C1051" s="94"/>
      <c r="D1051" s="94"/>
      <c r="E1051" s="94"/>
      <c r="F1051" s="94"/>
      <c r="G1051" s="94"/>
      <c r="H1051" s="94"/>
      <c r="I1051" s="94"/>
      <c r="J1051" s="94"/>
      <c r="K1051" s="94"/>
      <c r="L1051" s="94"/>
      <c r="M1051" s="94"/>
      <c r="N1051" s="94"/>
      <c r="O1051" s="94"/>
      <c r="P1051" s="94"/>
      <c r="Q1051" s="94"/>
      <c r="R1051" s="94"/>
      <c r="S1051" s="94"/>
      <c r="T1051" s="94"/>
      <c r="U1051" s="94"/>
      <c r="V1051" s="94"/>
      <c r="W1051" s="94"/>
      <c r="X1051" s="94"/>
      <c r="Y1051" s="94"/>
      <c r="Z1051" s="94"/>
      <c r="AA1051" s="94"/>
      <c r="AB1051" s="94"/>
      <c r="AC1051" s="94"/>
      <c r="AD1051" s="94"/>
      <c r="AE1051" s="94"/>
      <c r="AF1051" s="94"/>
      <c r="AG1051" s="94"/>
      <c r="AH1051" s="94"/>
      <c r="AI1051" s="94"/>
      <c r="AJ1051" s="94"/>
      <c r="AK1051" s="94"/>
      <c r="AL1051" s="94"/>
      <c r="AM1051" s="94"/>
      <c r="AN1051" s="94"/>
      <c r="AO1051" s="94"/>
      <c r="AP1051" s="94"/>
      <c r="AQ1051" s="94"/>
      <c r="AR1051" s="94"/>
      <c r="AS1051" s="94"/>
      <c r="AT1051" s="94"/>
      <c r="AU1051" s="94"/>
      <c r="AV1051" s="94"/>
      <c r="AW1051" s="94"/>
      <c r="AX1051" s="94"/>
      <c r="AY1051" s="94"/>
      <c r="AZ1051" s="94"/>
      <c r="BA1051" s="95"/>
    </row>
    <row r="1052" spans="1:53" s="87" customFormat="1">
      <c r="A1052" s="90" t="str">
        <f t="shared" si="42"/>
        <v/>
      </c>
      <c r="B1052" s="98"/>
      <c r="C1052" s="94"/>
      <c r="D1052" s="94"/>
      <c r="E1052" s="94"/>
      <c r="F1052" s="94"/>
      <c r="G1052" s="94"/>
      <c r="H1052" s="94"/>
      <c r="I1052" s="94"/>
      <c r="J1052" s="94"/>
      <c r="K1052" s="94"/>
      <c r="L1052" s="94"/>
      <c r="M1052" s="94"/>
      <c r="N1052" s="94"/>
      <c r="O1052" s="94"/>
      <c r="P1052" s="94"/>
      <c r="Q1052" s="94"/>
      <c r="R1052" s="94"/>
      <c r="S1052" s="94"/>
      <c r="T1052" s="94"/>
      <c r="U1052" s="94"/>
      <c r="V1052" s="94"/>
      <c r="W1052" s="94"/>
      <c r="X1052" s="94"/>
      <c r="Y1052" s="94"/>
      <c r="Z1052" s="94"/>
      <c r="AA1052" s="94"/>
      <c r="AB1052" s="94"/>
      <c r="AC1052" s="94"/>
      <c r="AD1052" s="94"/>
      <c r="AE1052" s="94"/>
      <c r="AF1052" s="94"/>
      <c r="AG1052" s="94"/>
      <c r="AH1052" s="94"/>
      <c r="AI1052" s="94"/>
      <c r="AJ1052" s="94"/>
      <c r="AK1052" s="94"/>
      <c r="AL1052" s="94"/>
      <c r="AM1052" s="94"/>
      <c r="AN1052" s="94"/>
      <c r="AO1052" s="94"/>
      <c r="AP1052" s="94"/>
      <c r="AQ1052" s="94"/>
      <c r="AR1052" s="94"/>
      <c r="AS1052" s="94"/>
      <c r="AT1052" s="94"/>
      <c r="AU1052" s="94"/>
      <c r="AV1052" s="94"/>
      <c r="AW1052" s="94"/>
      <c r="AX1052" s="94"/>
      <c r="AY1052" s="94"/>
      <c r="AZ1052" s="94"/>
      <c r="BA1052" s="95"/>
    </row>
    <row r="1053" spans="1:53" s="87" customFormat="1">
      <c r="A1053" s="90" t="str">
        <f t="shared" si="42"/>
        <v/>
      </c>
      <c r="B1053" s="98"/>
      <c r="C1053" s="94"/>
      <c r="D1053" s="94"/>
      <c r="E1053" s="94"/>
      <c r="F1053" s="94"/>
      <c r="G1053" s="94"/>
      <c r="H1053" s="94"/>
      <c r="I1053" s="94"/>
      <c r="J1053" s="94"/>
      <c r="K1053" s="94"/>
      <c r="L1053" s="94"/>
      <c r="M1053" s="94"/>
      <c r="N1053" s="94"/>
      <c r="O1053" s="94"/>
      <c r="P1053" s="94"/>
      <c r="Q1053" s="94"/>
      <c r="R1053" s="94"/>
      <c r="S1053" s="94"/>
      <c r="T1053" s="94"/>
      <c r="U1053" s="94"/>
      <c r="V1053" s="94"/>
      <c r="W1053" s="94"/>
      <c r="X1053" s="94"/>
      <c r="Y1053" s="94"/>
      <c r="Z1053" s="94"/>
      <c r="AA1053" s="94"/>
      <c r="AB1053" s="94"/>
      <c r="AC1053" s="94"/>
      <c r="AD1053" s="94"/>
      <c r="AE1053" s="94"/>
      <c r="AF1053" s="94"/>
      <c r="AG1053" s="94"/>
      <c r="AH1053" s="94"/>
      <c r="AI1053" s="94"/>
      <c r="AJ1053" s="94"/>
      <c r="AK1053" s="94"/>
      <c r="AL1053" s="94"/>
      <c r="AM1053" s="94"/>
      <c r="AN1053" s="94"/>
      <c r="AO1053" s="94"/>
      <c r="AP1053" s="94"/>
      <c r="AQ1053" s="94"/>
      <c r="AR1053" s="94"/>
      <c r="AS1053" s="94"/>
      <c r="AT1053" s="94"/>
      <c r="AU1053" s="94"/>
      <c r="AV1053" s="94"/>
      <c r="AW1053" s="94"/>
      <c r="AX1053" s="94"/>
      <c r="AY1053" s="94"/>
      <c r="AZ1053" s="94"/>
      <c r="BA1053" s="95"/>
    </row>
    <row r="1054" spans="1:53" s="87" customFormat="1">
      <c r="A1054" s="90" t="str">
        <f t="shared" si="42"/>
        <v/>
      </c>
      <c r="B1054" s="98"/>
      <c r="C1054" s="94"/>
      <c r="D1054" s="94"/>
      <c r="E1054" s="94"/>
      <c r="F1054" s="94"/>
      <c r="G1054" s="94"/>
      <c r="H1054" s="94"/>
      <c r="I1054" s="94"/>
      <c r="J1054" s="94"/>
      <c r="K1054" s="94"/>
      <c r="L1054" s="94"/>
      <c r="M1054" s="94"/>
      <c r="N1054" s="94"/>
      <c r="O1054" s="94"/>
      <c r="P1054" s="94"/>
      <c r="Q1054" s="94"/>
      <c r="R1054" s="94"/>
      <c r="S1054" s="94"/>
      <c r="T1054" s="94"/>
      <c r="U1054" s="94"/>
      <c r="V1054" s="94"/>
      <c r="W1054" s="94"/>
      <c r="X1054" s="94"/>
      <c r="Y1054" s="94"/>
      <c r="Z1054" s="94"/>
      <c r="AA1054" s="94"/>
      <c r="AB1054" s="94"/>
      <c r="AC1054" s="94"/>
      <c r="AD1054" s="94"/>
      <c r="AE1054" s="94"/>
      <c r="AF1054" s="94"/>
      <c r="AG1054" s="94"/>
      <c r="AH1054" s="94"/>
      <c r="AI1054" s="94"/>
      <c r="AJ1054" s="94"/>
      <c r="AK1054" s="94"/>
      <c r="AL1054" s="94"/>
      <c r="AM1054" s="94"/>
      <c r="AN1054" s="94"/>
      <c r="AO1054" s="94"/>
      <c r="AP1054" s="94"/>
      <c r="AQ1054" s="94"/>
      <c r="AR1054" s="94"/>
      <c r="AS1054" s="94"/>
      <c r="AT1054" s="94"/>
      <c r="AU1054" s="94"/>
      <c r="AV1054" s="94"/>
      <c r="AW1054" s="94"/>
      <c r="AX1054" s="94"/>
      <c r="AY1054" s="94"/>
      <c r="AZ1054" s="94"/>
      <c r="BA1054" s="95"/>
    </row>
    <row r="1055" spans="1:53" s="87" customFormat="1">
      <c r="A1055" s="90" t="str">
        <f t="shared" si="42"/>
        <v/>
      </c>
      <c r="B1055" s="98"/>
      <c r="C1055" s="94"/>
      <c r="D1055" s="94"/>
      <c r="E1055" s="94"/>
      <c r="F1055" s="94"/>
      <c r="G1055" s="94"/>
      <c r="H1055" s="94"/>
      <c r="I1055" s="94"/>
      <c r="J1055" s="94"/>
      <c r="K1055" s="94"/>
      <c r="L1055" s="94"/>
      <c r="M1055" s="94"/>
      <c r="N1055" s="94"/>
      <c r="O1055" s="94"/>
      <c r="P1055" s="94"/>
      <c r="Q1055" s="94"/>
      <c r="R1055" s="94"/>
      <c r="S1055" s="94"/>
      <c r="T1055" s="94"/>
      <c r="U1055" s="94"/>
      <c r="V1055" s="94"/>
      <c r="W1055" s="94"/>
      <c r="X1055" s="94"/>
      <c r="Y1055" s="94"/>
      <c r="Z1055" s="94"/>
      <c r="AA1055" s="94"/>
      <c r="AB1055" s="94"/>
      <c r="AC1055" s="94"/>
      <c r="AD1055" s="94"/>
      <c r="AE1055" s="94"/>
      <c r="AF1055" s="94"/>
      <c r="AG1055" s="94"/>
      <c r="AH1055" s="94"/>
      <c r="AI1055" s="94"/>
      <c r="AJ1055" s="94"/>
      <c r="AK1055" s="94"/>
      <c r="AL1055" s="94"/>
      <c r="AM1055" s="94"/>
      <c r="AN1055" s="94"/>
      <c r="AO1055" s="94"/>
      <c r="AP1055" s="94"/>
      <c r="AQ1055" s="94"/>
      <c r="AR1055" s="94"/>
      <c r="AS1055" s="94"/>
      <c r="AT1055" s="94"/>
      <c r="AU1055" s="94"/>
      <c r="AV1055" s="94"/>
      <c r="AW1055" s="94"/>
      <c r="AX1055" s="94"/>
      <c r="AY1055" s="94"/>
      <c r="AZ1055" s="94"/>
      <c r="BA1055" s="95"/>
    </row>
    <row r="1056" spans="1:53" s="87" customFormat="1">
      <c r="A1056" s="90" t="str">
        <f t="shared" si="42"/>
        <v/>
      </c>
      <c r="B1056" s="98"/>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c r="AM1056" s="94"/>
      <c r="AN1056" s="94"/>
      <c r="AO1056" s="94"/>
      <c r="AP1056" s="94"/>
      <c r="AQ1056" s="94"/>
      <c r="AR1056" s="94"/>
      <c r="AS1056" s="94"/>
      <c r="AT1056" s="94"/>
      <c r="AU1056" s="94"/>
      <c r="AV1056" s="94"/>
      <c r="AW1056" s="94"/>
      <c r="AX1056" s="94"/>
      <c r="AY1056" s="94"/>
      <c r="AZ1056" s="94"/>
      <c r="BA1056" s="95"/>
    </row>
    <row r="1057" spans="1:53" s="87" customFormat="1">
      <c r="A1057" s="90" t="str">
        <f t="shared" si="42"/>
        <v/>
      </c>
      <c r="B1057" s="98"/>
      <c r="C1057" s="94"/>
      <c r="D1057" s="94"/>
      <c r="E1057" s="94"/>
      <c r="F1057" s="94"/>
      <c r="G1057" s="94"/>
      <c r="H1057" s="94"/>
      <c r="I1057" s="94"/>
      <c r="J1057" s="94"/>
      <c r="K1057" s="94"/>
      <c r="L1057" s="94"/>
      <c r="M1057" s="94"/>
      <c r="N1057" s="94"/>
      <c r="O1057" s="94"/>
      <c r="P1057" s="94"/>
      <c r="Q1057" s="94"/>
      <c r="R1057" s="94"/>
      <c r="S1057" s="94"/>
      <c r="T1057" s="94"/>
      <c r="U1057" s="94"/>
      <c r="V1057" s="94"/>
      <c r="W1057" s="94"/>
      <c r="X1057" s="94"/>
      <c r="Y1057" s="94"/>
      <c r="Z1057" s="94"/>
      <c r="AA1057" s="94"/>
      <c r="AB1057" s="94"/>
      <c r="AC1057" s="94"/>
      <c r="AD1057" s="94"/>
      <c r="AE1057" s="94"/>
      <c r="AF1057" s="94"/>
      <c r="AG1057" s="94"/>
      <c r="AH1057" s="94"/>
      <c r="AI1057" s="94"/>
      <c r="AJ1057" s="94"/>
      <c r="AK1057" s="94"/>
      <c r="AL1057" s="94"/>
      <c r="AM1057" s="94"/>
      <c r="AN1057" s="94"/>
      <c r="AO1057" s="94"/>
      <c r="AP1057" s="94"/>
      <c r="AQ1057" s="94"/>
      <c r="AR1057" s="94"/>
      <c r="AS1057" s="94"/>
      <c r="AT1057" s="94"/>
      <c r="AU1057" s="94"/>
      <c r="AV1057" s="94"/>
      <c r="AW1057" s="94"/>
      <c r="AX1057" s="94"/>
      <c r="AY1057" s="94"/>
      <c r="AZ1057" s="94"/>
      <c r="BA1057" s="95"/>
    </row>
    <row r="1058" spans="1:53" s="87" customFormat="1">
      <c r="A1058" s="90" t="str">
        <f t="shared" si="42"/>
        <v/>
      </c>
      <c r="B1058" s="98"/>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5"/>
    </row>
    <row r="1059" spans="1:53" s="87" customFormat="1">
      <c r="A1059" s="90" t="str">
        <f t="shared" si="42"/>
        <v/>
      </c>
      <c r="B1059" s="98"/>
      <c r="C1059" s="94"/>
      <c r="D1059" s="94"/>
      <c r="E1059" s="94"/>
      <c r="F1059" s="94"/>
      <c r="G1059" s="94"/>
      <c r="H1059" s="94"/>
      <c r="I1059" s="94"/>
      <c r="J1059" s="94"/>
      <c r="K1059" s="94"/>
      <c r="L1059" s="94"/>
      <c r="M1059" s="94"/>
      <c r="N1059" s="94"/>
      <c r="O1059" s="94"/>
      <c r="P1059" s="94"/>
      <c r="Q1059" s="94"/>
      <c r="R1059" s="94"/>
      <c r="S1059" s="94"/>
      <c r="T1059" s="94"/>
      <c r="U1059" s="94"/>
      <c r="V1059" s="94"/>
      <c r="W1059" s="94"/>
      <c r="X1059" s="94"/>
      <c r="Y1059" s="94"/>
      <c r="Z1059" s="94"/>
      <c r="AA1059" s="94"/>
      <c r="AB1059" s="94"/>
      <c r="AC1059" s="94"/>
      <c r="AD1059" s="94"/>
      <c r="AE1059" s="94"/>
      <c r="AF1059" s="94"/>
      <c r="AG1059" s="94"/>
      <c r="AH1059" s="94"/>
      <c r="AI1059" s="94"/>
      <c r="AJ1059" s="94"/>
      <c r="AK1059" s="94"/>
      <c r="AL1059" s="94"/>
      <c r="AM1059" s="94"/>
      <c r="AN1059" s="94"/>
      <c r="AO1059" s="94"/>
      <c r="AP1059" s="94"/>
      <c r="AQ1059" s="94"/>
      <c r="AR1059" s="94"/>
      <c r="AS1059" s="94"/>
      <c r="AT1059" s="94"/>
      <c r="AU1059" s="94"/>
      <c r="AV1059" s="94"/>
      <c r="AW1059" s="94"/>
      <c r="AX1059" s="94"/>
      <c r="AY1059" s="94"/>
      <c r="AZ1059" s="94"/>
      <c r="BA1059" s="95"/>
    </row>
    <row r="1060" spans="1:53" s="87" customFormat="1">
      <c r="A1060" s="90" t="str">
        <f t="shared" si="42"/>
        <v/>
      </c>
      <c r="B1060" s="98"/>
      <c r="C1060" s="94"/>
      <c r="D1060" s="94"/>
      <c r="E1060" s="94"/>
      <c r="F1060" s="94"/>
      <c r="G1060" s="94"/>
      <c r="H1060" s="94"/>
      <c r="I1060" s="94"/>
      <c r="J1060" s="94"/>
      <c r="K1060" s="94"/>
      <c r="L1060" s="94"/>
      <c r="M1060" s="94"/>
      <c r="N1060" s="94"/>
      <c r="O1060" s="94"/>
      <c r="P1060" s="94"/>
      <c r="Q1060" s="94"/>
      <c r="R1060" s="94"/>
      <c r="S1060" s="94"/>
      <c r="T1060" s="94"/>
      <c r="U1060" s="94"/>
      <c r="V1060" s="94"/>
      <c r="W1060" s="94"/>
      <c r="X1060" s="94"/>
      <c r="Y1060" s="94"/>
      <c r="Z1060" s="94"/>
      <c r="AA1060" s="94"/>
      <c r="AB1060" s="94"/>
      <c r="AC1060" s="94"/>
      <c r="AD1060" s="94"/>
      <c r="AE1060" s="94"/>
      <c r="AF1060" s="94"/>
      <c r="AG1060" s="94"/>
      <c r="AH1060" s="94"/>
      <c r="AI1060" s="94"/>
      <c r="AJ1060" s="94"/>
      <c r="AK1060" s="94"/>
      <c r="AL1060" s="94"/>
      <c r="AM1060" s="94"/>
      <c r="AN1060" s="94"/>
      <c r="AO1060" s="94"/>
      <c r="AP1060" s="94"/>
      <c r="AQ1060" s="94"/>
      <c r="AR1060" s="94"/>
      <c r="AS1060" s="94"/>
      <c r="AT1060" s="94"/>
      <c r="AU1060" s="94"/>
      <c r="AV1060" s="94"/>
      <c r="AW1060" s="94"/>
      <c r="AX1060" s="94"/>
      <c r="AY1060" s="94"/>
      <c r="AZ1060" s="94"/>
      <c r="BA1060" s="95"/>
    </row>
    <row r="1061" spans="1:53" s="87" customFormat="1">
      <c r="A1061" s="90" t="str">
        <f t="shared" si="42"/>
        <v/>
      </c>
      <c r="B1061" s="98"/>
      <c r="C1061" s="94"/>
      <c r="D1061" s="94"/>
      <c r="E1061" s="94"/>
      <c r="F1061" s="94"/>
      <c r="G1061" s="94"/>
      <c r="H1061" s="94"/>
      <c r="I1061" s="94"/>
      <c r="J1061" s="94"/>
      <c r="K1061" s="94"/>
      <c r="L1061" s="94"/>
      <c r="M1061" s="94"/>
      <c r="N1061" s="94"/>
      <c r="O1061" s="94"/>
      <c r="P1061" s="94"/>
      <c r="Q1061" s="94"/>
      <c r="R1061" s="94"/>
      <c r="S1061" s="94"/>
      <c r="T1061" s="94"/>
      <c r="U1061" s="94"/>
      <c r="V1061" s="94"/>
      <c r="W1061" s="94"/>
      <c r="X1061" s="94"/>
      <c r="Y1061" s="94"/>
      <c r="Z1061" s="94"/>
      <c r="AA1061" s="94"/>
      <c r="AB1061" s="94"/>
      <c r="AC1061" s="94"/>
      <c r="AD1061" s="94"/>
      <c r="AE1061" s="94"/>
      <c r="AF1061" s="94"/>
      <c r="AG1061" s="94"/>
      <c r="AH1061" s="94"/>
      <c r="AI1061" s="94"/>
      <c r="AJ1061" s="94"/>
      <c r="AK1061" s="94"/>
      <c r="AL1061" s="94"/>
      <c r="AM1061" s="94"/>
      <c r="AN1061" s="94"/>
      <c r="AO1061" s="94"/>
      <c r="AP1061" s="94"/>
      <c r="AQ1061" s="94"/>
      <c r="AR1061" s="94"/>
      <c r="AS1061" s="94"/>
      <c r="AT1061" s="94"/>
      <c r="AU1061" s="94"/>
      <c r="AV1061" s="94"/>
      <c r="AW1061" s="94"/>
      <c r="AX1061" s="94"/>
      <c r="AY1061" s="94"/>
      <c r="AZ1061" s="94"/>
      <c r="BA1061" s="95"/>
    </row>
    <row r="1062" spans="1:53" s="87" customFormat="1">
      <c r="A1062" s="90" t="str">
        <f t="shared" si="42"/>
        <v/>
      </c>
      <c r="B1062" s="98"/>
      <c r="C1062" s="94"/>
      <c r="D1062" s="94"/>
      <c r="E1062" s="94"/>
      <c r="F1062" s="94"/>
      <c r="G1062" s="94"/>
      <c r="H1062" s="94"/>
      <c r="I1062" s="94"/>
      <c r="J1062" s="94"/>
      <c r="K1062" s="94"/>
      <c r="L1062" s="94"/>
      <c r="M1062" s="94"/>
      <c r="N1062" s="94"/>
      <c r="O1062" s="94"/>
      <c r="P1062" s="94"/>
      <c r="Q1062" s="94"/>
      <c r="R1062" s="94"/>
      <c r="S1062" s="94"/>
      <c r="T1062" s="94"/>
      <c r="U1062" s="94"/>
      <c r="V1062" s="94"/>
      <c r="W1062" s="94"/>
      <c r="X1062" s="94"/>
      <c r="Y1062" s="94"/>
      <c r="Z1062" s="94"/>
      <c r="AA1062" s="94"/>
      <c r="AB1062" s="94"/>
      <c r="AC1062" s="94"/>
      <c r="AD1062" s="94"/>
      <c r="AE1062" s="94"/>
      <c r="AF1062" s="94"/>
      <c r="AG1062" s="94"/>
      <c r="AH1062" s="94"/>
      <c r="AI1062" s="94"/>
      <c r="AJ1062" s="94"/>
      <c r="AK1062" s="94"/>
      <c r="AL1062" s="94"/>
      <c r="AM1062" s="94"/>
      <c r="AN1062" s="94"/>
      <c r="AO1062" s="94"/>
      <c r="AP1062" s="94"/>
      <c r="AQ1062" s="94"/>
      <c r="AR1062" s="94"/>
      <c r="AS1062" s="94"/>
      <c r="AT1062" s="94"/>
      <c r="AU1062" s="94"/>
      <c r="AV1062" s="94"/>
      <c r="AW1062" s="94"/>
      <c r="AX1062" s="94"/>
      <c r="AY1062" s="94"/>
      <c r="AZ1062" s="94"/>
      <c r="BA1062" s="95"/>
    </row>
    <row r="1063" spans="1:53" s="87" customFormat="1">
      <c r="A1063" s="90" t="str">
        <f t="shared" si="42"/>
        <v/>
      </c>
      <c r="B1063" s="98"/>
      <c r="C1063" s="94"/>
      <c r="D1063" s="94"/>
      <c r="E1063" s="94"/>
      <c r="F1063" s="94"/>
      <c r="G1063" s="94"/>
      <c r="H1063" s="94"/>
      <c r="I1063" s="94"/>
      <c r="J1063" s="94"/>
      <c r="K1063" s="94"/>
      <c r="L1063" s="94"/>
      <c r="M1063" s="94"/>
      <c r="N1063" s="94"/>
      <c r="O1063" s="94"/>
      <c r="P1063" s="94"/>
      <c r="Q1063" s="94"/>
      <c r="R1063" s="94"/>
      <c r="S1063" s="94"/>
      <c r="T1063" s="94"/>
      <c r="U1063" s="94"/>
      <c r="V1063" s="94"/>
      <c r="W1063" s="94"/>
      <c r="X1063" s="94"/>
      <c r="Y1063" s="94"/>
      <c r="Z1063" s="94"/>
      <c r="AA1063" s="94"/>
      <c r="AB1063" s="94"/>
      <c r="AC1063" s="94"/>
      <c r="AD1063" s="94"/>
      <c r="AE1063" s="94"/>
      <c r="AF1063" s="94"/>
      <c r="AG1063" s="94"/>
      <c r="AH1063" s="94"/>
      <c r="AI1063" s="94"/>
      <c r="AJ1063" s="94"/>
      <c r="AK1063" s="94"/>
      <c r="AL1063" s="94"/>
      <c r="AM1063" s="94"/>
      <c r="AN1063" s="94"/>
      <c r="AO1063" s="94"/>
      <c r="AP1063" s="94"/>
      <c r="AQ1063" s="94"/>
      <c r="AR1063" s="94"/>
      <c r="AS1063" s="94"/>
      <c r="AT1063" s="94"/>
      <c r="AU1063" s="94"/>
      <c r="AV1063" s="94"/>
      <c r="AW1063" s="94"/>
      <c r="AX1063" s="94"/>
      <c r="AY1063" s="94"/>
      <c r="AZ1063" s="94"/>
      <c r="BA1063" s="95"/>
    </row>
    <row r="1064" spans="1:53" s="87" customFormat="1">
      <c r="A1064" s="90" t="str">
        <f t="shared" si="42"/>
        <v/>
      </c>
      <c r="B1064" s="98"/>
      <c r="C1064" s="94"/>
      <c r="D1064" s="94"/>
      <c r="E1064" s="94"/>
      <c r="F1064" s="94"/>
      <c r="G1064" s="94"/>
      <c r="H1064" s="94"/>
      <c r="I1064" s="94"/>
      <c r="J1064" s="94"/>
      <c r="K1064" s="94"/>
      <c r="L1064" s="94"/>
      <c r="M1064" s="94"/>
      <c r="N1064" s="94"/>
      <c r="O1064" s="94"/>
      <c r="P1064" s="94"/>
      <c r="Q1064" s="94"/>
      <c r="R1064" s="94"/>
      <c r="S1064" s="94"/>
      <c r="T1064" s="94"/>
      <c r="U1064" s="94"/>
      <c r="V1064" s="94"/>
      <c r="W1064" s="94"/>
      <c r="X1064" s="94"/>
      <c r="Y1064" s="94"/>
      <c r="Z1064" s="94"/>
      <c r="AA1064" s="94"/>
      <c r="AB1064" s="94"/>
      <c r="AC1064" s="94"/>
      <c r="AD1064" s="94"/>
      <c r="AE1064" s="94"/>
      <c r="AF1064" s="94"/>
      <c r="AG1064" s="94"/>
      <c r="AH1064" s="94"/>
      <c r="AI1064" s="94"/>
      <c r="AJ1064" s="94"/>
      <c r="AK1064" s="94"/>
      <c r="AL1064" s="94"/>
      <c r="AM1064" s="94"/>
      <c r="AN1064" s="94"/>
      <c r="AO1064" s="94"/>
      <c r="AP1064" s="94"/>
      <c r="AQ1064" s="94"/>
      <c r="AR1064" s="94"/>
      <c r="AS1064" s="94"/>
      <c r="AT1064" s="94"/>
      <c r="AU1064" s="94"/>
      <c r="AV1064" s="94"/>
      <c r="AW1064" s="94"/>
      <c r="AX1064" s="94"/>
      <c r="AY1064" s="94"/>
      <c r="AZ1064" s="94"/>
      <c r="BA1064" s="95"/>
    </row>
    <row r="1065" spans="1:53" s="87" customFormat="1">
      <c r="A1065" s="90" t="str">
        <f t="shared" si="42"/>
        <v/>
      </c>
      <c r="B1065" s="98"/>
      <c r="C1065" s="94"/>
      <c r="D1065" s="94"/>
      <c r="E1065" s="94"/>
      <c r="F1065" s="94"/>
      <c r="G1065" s="94"/>
      <c r="H1065" s="94"/>
      <c r="I1065" s="94"/>
      <c r="J1065" s="94"/>
      <c r="K1065" s="94"/>
      <c r="L1065" s="94"/>
      <c r="M1065" s="94"/>
      <c r="N1065" s="94"/>
      <c r="O1065" s="94"/>
      <c r="P1065" s="94"/>
      <c r="Q1065" s="94"/>
      <c r="R1065" s="94"/>
      <c r="S1065" s="94"/>
      <c r="T1065" s="94"/>
      <c r="U1065" s="94"/>
      <c r="V1065" s="94"/>
      <c r="W1065" s="94"/>
      <c r="X1065" s="94"/>
      <c r="Y1065" s="94"/>
      <c r="Z1065" s="94"/>
      <c r="AA1065" s="94"/>
      <c r="AB1065" s="94"/>
      <c r="AC1065" s="94"/>
      <c r="AD1065" s="94"/>
      <c r="AE1065" s="94"/>
      <c r="AF1065" s="94"/>
      <c r="AG1065" s="94"/>
      <c r="AH1065" s="94"/>
      <c r="AI1065" s="94"/>
      <c r="AJ1065" s="94"/>
      <c r="AK1065" s="94"/>
      <c r="AL1065" s="94"/>
      <c r="AM1065" s="94"/>
      <c r="AN1065" s="94"/>
      <c r="AO1065" s="94"/>
      <c r="AP1065" s="94"/>
      <c r="AQ1065" s="94"/>
      <c r="AR1065" s="94"/>
      <c r="AS1065" s="94"/>
      <c r="AT1065" s="94"/>
      <c r="AU1065" s="94"/>
      <c r="AV1065" s="94"/>
      <c r="AW1065" s="94"/>
      <c r="AX1065" s="94"/>
      <c r="AY1065" s="94"/>
      <c r="AZ1065" s="94"/>
      <c r="BA1065" s="95"/>
    </row>
    <row r="1066" spans="1:53" s="87" customFormat="1">
      <c r="A1066" s="90" t="str">
        <f t="shared" si="42"/>
        <v/>
      </c>
      <c r="B1066" s="98"/>
      <c r="C1066" s="94"/>
      <c r="D1066" s="94"/>
      <c r="E1066" s="94"/>
      <c r="F1066" s="94"/>
      <c r="G1066" s="94"/>
      <c r="H1066" s="94"/>
      <c r="I1066" s="94"/>
      <c r="J1066" s="94"/>
      <c r="K1066" s="94"/>
      <c r="L1066" s="94"/>
      <c r="M1066" s="94"/>
      <c r="N1066" s="94"/>
      <c r="O1066" s="94"/>
      <c r="P1066" s="94"/>
      <c r="Q1066" s="94"/>
      <c r="R1066" s="94"/>
      <c r="S1066" s="94"/>
      <c r="T1066" s="94"/>
      <c r="U1066" s="94"/>
      <c r="V1066" s="94"/>
      <c r="W1066" s="94"/>
      <c r="X1066" s="94"/>
      <c r="Y1066" s="94"/>
      <c r="Z1066" s="94"/>
      <c r="AA1066" s="94"/>
      <c r="AB1066" s="94"/>
      <c r="AC1066" s="94"/>
      <c r="AD1066" s="94"/>
      <c r="AE1066" s="94"/>
      <c r="AF1066" s="94"/>
      <c r="AG1066" s="94"/>
      <c r="AH1066" s="94"/>
      <c r="AI1066" s="94"/>
      <c r="AJ1066" s="94"/>
      <c r="AK1066" s="94"/>
      <c r="AL1066" s="94"/>
      <c r="AM1066" s="94"/>
      <c r="AN1066" s="94"/>
      <c r="AO1066" s="94"/>
      <c r="AP1066" s="94"/>
      <c r="AQ1066" s="94"/>
      <c r="AR1066" s="94"/>
      <c r="AS1066" s="94"/>
      <c r="AT1066" s="94"/>
      <c r="AU1066" s="94"/>
      <c r="AV1066" s="94"/>
      <c r="AW1066" s="94"/>
      <c r="AX1066" s="94"/>
      <c r="AY1066" s="94"/>
      <c r="AZ1066" s="94"/>
      <c r="BA1066" s="95"/>
    </row>
    <row r="1067" spans="1:53" s="87" customFormat="1">
      <c r="A1067" s="90" t="str">
        <f t="shared" si="42"/>
        <v/>
      </c>
      <c r="B1067" s="98"/>
      <c r="C1067" s="94"/>
      <c r="D1067" s="94"/>
      <c r="E1067" s="94"/>
      <c r="F1067" s="94"/>
      <c r="G1067" s="94"/>
      <c r="H1067" s="94"/>
      <c r="I1067" s="94"/>
      <c r="J1067" s="94"/>
      <c r="K1067" s="94"/>
      <c r="L1067" s="94"/>
      <c r="M1067" s="94"/>
      <c r="N1067" s="94"/>
      <c r="O1067" s="94"/>
      <c r="P1067" s="94"/>
      <c r="Q1067" s="94"/>
      <c r="R1067" s="94"/>
      <c r="S1067" s="94"/>
      <c r="T1067" s="94"/>
      <c r="U1067" s="94"/>
      <c r="V1067" s="94"/>
      <c r="W1067" s="94"/>
      <c r="X1067" s="94"/>
      <c r="Y1067" s="94"/>
      <c r="Z1067" s="94"/>
      <c r="AA1067" s="94"/>
      <c r="AB1067" s="94"/>
      <c r="AC1067" s="94"/>
      <c r="AD1067" s="94"/>
      <c r="AE1067" s="94"/>
      <c r="AF1067" s="94"/>
      <c r="AG1067" s="94"/>
      <c r="AH1067" s="94"/>
      <c r="AI1067" s="94"/>
      <c r="AJ1067" s="94"/>
      <c r="AK1067" s="94"/>
      <c r="AL1067" s="94"/>
      <c r="AM1067" s="94"/>
      <c r="AN1067" s="94"/>
      <c r="AO1067" s="94"/>
      <c r="AP1067" s="94"/>
      <c r="AQ1067" s="94"/>
      <c r="AR1067" s="94"/>
      <c r="AS1067" s="94"/>
      <c r="AT1067" s="94"/>
      <c r="AU1067" s="94"/>
      <c r="AV1067" s="94"/>
      <c r="AW1067" s="94"/>
      <c r="AX1067" s="94"/>
      <c r="AY1067" s="94"/>
      <c r="AZ1067" s="94"/>
      <c r="BA1067" s="95"/>
    </row>
    <row r="1068" spans="1:53" s="87" customFormat="1">
      <c r="A1068" s="90" t="str">
        <f t="shared" si="42"/>
        <v/>
      </c>
      <c r="B1068" s="98"/>
      <c r="C1068" s="94"/>
      <c r="D1068" s="94"/>
      <c r="E1068" s="94"/>
      <c r="F1068" s="94"/>
      <c r="G1068" s="94"/>
      <c r="H1068" s="94"/>
      <c r="I1068" s="94"/>
      <c r="J1068" s="94"/>
      <c r="K1068" s="94"/>
      <c r="L1068" s="94"/>
      <c r="M1068" s="94"/>
      <c r="N1068" s="94"/>
      <c r="O1068" s="94"/>
      <c r="P1068" s="94"/>
      <c r="Q1068" s="94"/>
      <c r="R1068" s="94"/>
      <c r="S1068" s="94"/>
      <c r="T1068" s="94"/>
      <c r="U1068" s="94"/>
      <c r="V1068" s="94"/>
      <c r="W1068" s="94"/>
      <c r="X1068" s="94"/>
      <c r="Y1068" s="94"/>
      <c r="Z1068" s="94"/>
      <c r="AA1068" s="94"/>
      <c r="AB1068" s="94"/>
      <c r="AC1068" s="94"/>
      <c r="AD1068" s="94"/>
      <c r="AE1068" s="94"/>
      <c r="AF1068" s="94"/>
      <c r="AG1068" s="94"/>
      <c r="AH1068" s="94"/>
      <c r="AI1068" s="94"/>
      <c r="AJ1068" s="94"/>
      <c r="AK1068" s="94"/>
      <c r="AL1068" s="94"/>
      <c r="AM1068" s="94"/>
      <c r="AN1068" s="94"/>
      <c r="AO1068" s="94"/>
      <c r="AP1068" s="94"/>
      <c r="AQ1068" s="94"/>
      <c r="AR1068" s="94"/>
      <c r="AS1068" s="94"/>
      <c r="AT1068" s="94"/>
      <c r="AU1068" s="94"/>
      <c r="AV1068" s="94"/>
      <c r="AW1068" s="94"/>
      <c r="AX1068" s="94"/>
      <c r="AY1068" s="94"/>
      <c r="AZ1068" s="94"/>
      <c r="BA1068" s="95"/>
    </row>
    <row r="1069" spans="1:53" s="87" customFormat="1">
      <c r="A1069" s="90" t="str">
        <f t="shared" si="42"/>
        <v/>
      </c>
      <c r="B1069" s="98"/>
      <c r="C1069" s="94"/>
      <c r="D1069" s="94"/>
      <c r="E1069" s="94"/>
      <c r="F1069" s="94"/>
      <c r="G1069" s="94"/>
      <c r="H1069" s="94"/>
      <c r="I1069" s="94"/>
      <c r="J1069" s="94"/>
      <c r="K1069" s="94"/>
      <c r="L1069" s="94"/>
      <c r="M1069" s="94"/>
      <c r="N1069" s="94"/>
      <c r="O1069" s="94"/>
      <c r="P1069" s="94"/>
      <c r="Q1069" s="94"/>
      <c r="R1069" s="94"/>
      <c r="S1069" s="94"/>
      <c r="T1069" s="94"/>
      <c r="U1069" s="94"/>
      <c r="V1069" s="94"/>
      <c r="W1069" s="94"/>
      <c r="X1069" s="94"/>
      <c r="Y1069" s="94"/>
      <c r="Z1069" s="94"/>
      <c r="AA1069" s="94"/>
      <c r="AB1069" s="94"/>
      <c r="AC1069" s="94"/>
      <c r="AD1069" s="94"/>
      <c r="AE1069" s="94"/>
      <c r="AF1069" s="94"/>
      <c r="AG1069" s="94"/>
      <c r="AH1069" s="94"/>
      <c r="AI1069" s="94"/>
      <c r="AJ1069" s="94"/>
      <c r="AK1069" s="94"/>
      <c r="AL1069" s="94"/>
      <c r="AM1069" s="94"/>
      <c r="AN1069" s="94"/>
      <c r="AO1069" s="94"/>
      <c r="AP1069" s="94"/>
      <c r="AQ1069" s="94"/>
      <c r="AR1069" s="94"/>
      <c r="AS1069" s="94"/>
      <c r="AT1069" s="94"/>
      <c r="AU1069" s="94"/>
      <c r="AV1069" s="94"/>
      <c r="AW1069" s="94"/>
      <c r="AX1069" s="94"/>
      <c r="AY1069" s="94"/>
      <c r="AZ1069" s="94"/>
      <c r="BA1069" s="95"/>
    </row>
    <row r="1070" spans="1:53" s="87" customFormat="1">
      <c r="A1070" s="90" t="str">
        <f t="shared" si="42"/>
        <v/>
      </c>
      <c r="B1070" s="98"/>
      <c r="C1070" s="94"/>
      <c r="D1070" s="94"/>
      <c r="E1070" s="94"/>
      <c r="F1070" s="94"/>
      <c r="G1070" s="94"/>
      <c r="H1070" s="94"/>
      <c r="I1070" s="94"/>
      <c r="J1070" s="94"/>
      <c r="K1070" s="94"/>
      <c r="L1070" s="94"/>
      <c r="M1070" s="94"/>
      <c r="N1070" s="94"/>
      <c r="O1070" s="94"/>
      <c r="P1070" s="94"/>
      <c r="Q1070" s="94"/>
      <c r="R1070" s="94"/>
      <c r="S1070" s="94"/>
      <c r="T1070" s="94"/>
      <c r="U1070" s="94"/>
      <c r="V1070" s="94"/>
      <c r="W1070" s="94"/>
      <c r="X1070" s="94"/>
      <c r="Y1070" s="94"/>
      <c r="Z1070" s="94"/>
      <c r="AA1070" s="94"/>
      <c r="AB1070" s="94"/>
      <c r="AC1070" s="94"/>
      <c r="AD1070" s="94"/>
      <c r="AE1070" s="94"/>
      <c r="AF1070" s="94"/>
      <c r="AG1070" s="94"/>
      <c r="AH1070" s="94"/>
      <c r="AI1070" s="94"/>
      <c r="AJ1070" s="94"/>
      <c r="AK1070" s="94"/>
      <c r="AL1070" s="94"/>
      <c r="AM1070" s="94"/>
      <c r="AN1070" s="94"/>
      <c r="AO1070" s="94"/>
      <c r="AP1070" s="94"/>
      <c r="AQ1070" s="94"/>
      <c r="AR1070" s="94"/>
      <c r="AS1070" s="94"/>
      <c r="AT1070" s="94"/>
      <c r="AU1070" s="94"/>
      <c r="AV1070" s="94"/>
      <c r="AW1070" s="94"/>
      <c r="AX1070" s="94"/>
      <c r="AY1070" s="94"/>
      <c r="AZ1070" s="94"/>
      <c r="BA1070" s="95"/>
    </row>
    <row r="1071" spans="1:53" s="87" customFormat="1">
      <c r="A1071" s="90" t="str">
        <f t="shared" si="42"/>
        <v/>
      </c>
      <c r="B1071" s="98"/>
      <c r="C1071" s="94"/>
      <c r="D1071" s="94"/>
      <c r="E1071" s="94"/>
      <c r="F1071" s="94"/>
      <c r="G1071" s="94"/>
      <c r="H1071" s="94"/>
      <c r="I1071" s="94"/>
      <c r="J1071" s="94"/>
      <c r="K1071" s="94"/>
      <c r="L1071" s="94"/>
      <c r="M1071" s="94"/>
      <c r="N1071" s="94"/>
      <c r="O1071" s="94"/>
      <c r="P1071" s="94"/>
      <c r="Q1071" s="94"/>
      <c r="R1071" s="94"/>
      <c r="S1071" s="94"/>
      <c r="T1071" s="94"/>
      <c r="U1071" s="94"/>
      <c r="V1071" s="94"/>
      <c r="W1071" s="94"/>
      <c r="X1071" s="94"/>
      <c r="Y1071" s="94"/>
      <c r="Z1071" s="94"/>
      <c r="AA1071" s="94"/>
      <c r="AB1071" s="94"/>
      <c r="AC1071" s="94"/>
      <c r="AD1071" s="94"/>
      <c r="AE1071" s="94"/>
      <c r="AF1071" s="94"/>
      <c r="AG1071" s="94"/>
      <c r="AH1071" s="94"/>
      <c r="AI1071" s="94"/>
      <c r="AJ1071" s="94"/>
      <c r="AK1071" s="94"/>
      <c r="AL1071" s="94"/>
      <c r="AM1071" s="94"/>
      <c r="AN1071" s="94"/>
      <c r="AO1071" s="94"/>
      <c r="AP1071" s="94"/>
      <c r="AQ1071" s="94"/>
      <c r="AR1071" s="94"/>
      <c r="AS1071" s="94"/>
      <c r="AT1071" s="94"/>
      <c r="AU1071" s="94"/>
      <c r="AV1071" s="94"/>
      <c r="AW1071" s="94"/>
      <c r="AX1071" s="94"/>
      <c r="AY1071" s="94"/>
      <c r="AZ1071" s="94"/>
      <c r="BA1071" s="95"/>
    </row>
    <row r="1072" spans="1:53" s="87" customFormat="1">
      <c r="A1072" s="90" t="str">
        <f t="shared" si="42"/>
        <v/>
      </c>
      <c r="B1072" s="98"/>
      <c r="C1072" s="94"/>
      <c r="D1072" s="94"/>
      <c r="E1072" s="94"/>
      <c r="F1072" s="94"/>
      <c r="G1072" s="94"/>
      <c r="H1072" s="94"/>
      <c r="I1072" s="94"/>
      <c r="J1072" s="94"/>
      <c r="K1072" s="94"/>
      <c r="L1072" s="94"/>
      <c r="M1072" s="94"/>
      <c r="N1072" s="94"/>
      <c r="O1072" s="94"/>
      <c r="P1072" s="94"/>
      <c r="Q1072" s="94"/>
      <c r="R1072" s="94"/>
      <c r="S1072" s="94"/>
      <c r="T1072" s="94"/>
      <c r="U1072" s="94"/>
      <c r="V1072" s="94"/>
      <c r="W1072" s="94"/>
      <c r="X1072" s="94"/>
      <c r="Y1072" s="94"/>
      <c r="Z1072" s="94"/>
      <c r="AA1072" s="94"/>
      <c r="AB1072" s="94"/>
      <c r="AC1072" s="94"/>
      <c r="AD1072" s="94"/>
      <c r="AE1072" s="94"/>
      <c r="AF1072" s="94"/>
      <c r="AG1072" s="94"/>
      <c r="AH1072" s="94"/>
      <c r="AI1072" s="94"/>
      <c r="AJ1072" s="94"/>
      <c r="AK1072" s="94"/>
      <c r="AL1072" s="94"/>
      <c r="AM1072" s="94"/>
      <c r="AN1072" s="94"/>
      <c r="AO1072" s="94"/>
      <c r="AP1072" s="94"/>
      <c r="AQ1072" s="94"/>
      <c r="AR1072" s="94"/>
      <c r="AS1072" s="94"/>
      <c r="AT1072" s="94"/>
      <c r="AU1072" s="94"/>
      <c r="AV1072" s="94"/>
      <c r="AW1072" s="94"/>
      <c r="AX1072" s="94"/>
      <c r="AY1072" s="94"/>
      <c r="AZ1072" s="94"/>
      <c r="BA1072" s="95"/>
    </row>
    <row r="1073" spans="1:53" s="87" customFormat="1">
      <c r="A1073" s="90" t="str">
        <f t="shared" si="42"/>
        <v/>
      </c>
      <c r="B1073" s="98"/>
      <c r="C1073" s="94"/>
      <c r="D1073" s="94"/>
      <c r="E1073" s="94"/>
      <c r="F1073" s="94"/>
      <c r="G1073" s="94"/>
      <c r="H1073" s="94"/>
      <c r="I1073" s="94"/>
      <c r="J1073" s="94"/>
      <c r="K1073" s="94"/>
      <c r="L1073" s="94"/>
      <c r="M1073" s="94"/>
      <c r="N1073" s="94"/>
      <c r="O1073" s="94"/>
      <c r="P1073" s="94"/>
      <c r="Q1073" s="94"/>
      <c r="R1073" s="94"/>
      <c r="S1073" s="94"/>
      <c r="T1073" s="94"/>
      <c r="U1073" s="94"/>
      <c r="V1073" s="94"/>
      <c r="W1073" s="94"/>
      <c r="X1073" s="94"/>
      <c r="Y1073" s="94"/>
      <c r="Z1073" s="94"/>
      <c r="AA1073" s="94"/>
      <c r="AB1073" s="94"/>
      <c r="AC1073" s="94"/>
      <c r="AD1073" s="94"/>
      <c r="AE1073" s="94"/>
      <c r="AF1073" s="94"/>
      <c r="AG1073" s="94"/>
      <c r="AH1073" s="94"/>
      <c r="AI1073" s="94"/>
      <c r="AJ1073" s="94"/>
      <c r="AK1073" s="94"/>
      <c r="AL1073" s="94"/>
      <c r="AM1073" s="94"/>
      <c r="AN1073" s="94"/>
      <c r="AO1073" s="94"/>
      <c r="AP1073" s="94"/>
      <c r="AQ1073" s="94"/>
      <c r="AR1073" s="94"/>
      <c r="AS1073" s="94"/>
      <c r="AT1073" s="94"/>
      <c r="AU1073" s="94"/>
      <c r="AV1073" s="94"/>
      <c r="AW1073" s="94"/>
      <c r="AX1073" s="94"/>
      <c r="AY1073" s="94"/>
      <c r="AZ1073" s="94"/>
      <c r="BA1073" s="95"/>
    </row>
    <row r="1074" spans="1:53" s="87" customFormat="1">
      <c r="A1074" s="90" t="str">
        <f t="shared" si="42"/>
        <v/>
      </c>
      <c r="B1074" s="98"/>
      <c r="C1074" s="94"/>
      <c r="D1074" s="94"/>
      <c r="E1074" s="94"/>
      <c r="F1074" s="94"/>
      <c r="G1074" s="94"/>
      <c r="H1074" s="94"/>
      <c r="I1074" s="94"/>
      <c r="J1074" s="94"/>
      <c r="K1074" s="94"/>
      <c r="L1074" s="94"/>
      <c r="M1074" s="94"/>
      <c r="N1074" s="94"/>
      <c r="O1074" s="94"/>
      <c r="P1074" s="94"/>
      <c r="Q1074" s="94"/>
      <c r="R1074" s="94"/>
      <c r="S1074" s="94"/>
      <c r="T1074" s="94"/>
      <c r="U1074" s="94"/>
      <c r="V1074" s="94"/>
      <c r="W1074" s="94"/>
      <c r="X1074" s="94"/>
      <c r="Y1074" s="94"/>
      <c r="Z1074" s="94"/>
      <c r="AA1074" s="94"/>
      <c r="AB1074" s="94"/>
      <c r="AC1074" s="94"/>
      <c r="AD1074" s="94"/>
      <c r="AE1074" s="94"/>
      <c r="AF1074" s="94"/>
      <c r="AG1074" s="94"/>
      <c r="AH1074" s="94"/>
      <c r="AI1074" s="94"/>
      <c r="AJ1074" s="94"/>
      <c r="AK1074" s="94"/>
      <c r="AL1074" s="94"/>
      <c r="AM1074" s="94"/>
      <c r="AN1074" s="94"/>
      <c r="AO1074" s="94"/>
      <c r="AP1074" s="94"/>
      <c r="AQ1074" s="94"/>
      <c r="AR1074" s="94"/>
      <c r="AS1074" s="94"/>
      <c r="AT1074" s="94"/>
      <c r="AU1074" s="94"/>
      <c r="AV1074" s="94"/>
      <c r="AW1074" s="94"/>
      <c r="AX1074" s="94"/>
      <c r="AY1074" s="94"/>
      <c r="AZ1074" s="94"/>
      <c r="BA1074" s="95"/>
    </row>
    <row r="1075" spans="1:53" s="87" customFormat="1">
      <c r="A1075" s="90" t="str">
        <f t="shared" si="42"/>
        <v/>
      </c>
      <c r="B1075" s="98"/>
      <c r="C1075" s="94"/>
      <c r="D1075" s="94"/>
      <c r="E1075" s="94"/>
      <c r="F1075" s="94"/>
      <c r="G1075" s="94"/>
      <c r="H1075" s="94"/>
      <c r="I1075" s="94"/>
      <c r="J1075" s="94"/>
      <c r="K1075" s="94"/>
      <c r="L1075" s="94"/>
      <c r="M1075" s="94"/>
      <c r="N1075" s="94"/>
      <c r="O1075" s="94"/>
      <c r="P1075" s="94"/>
      <c r="Q1075" s="94"/>
      <c r="R1075" s="94"/>
      <c r="S1075" s="94"/>
      <c r="T1075" s="94"/>
      <c r="U1075" s="94"/>
      <c r="V1075" s="94"/>
      <c r="W1075" s="94"/>
      <c r="X1075" s="94"/>
      <c r="Y1075" s="94"/>
      <c r="Z1075" s="94"/>
      <c r="AA1075" s="94"/>
      <c r="AB1075" s="94"/>
      <c r="AC1075" s="94"/>
      <c r="AD1075" s="94"/>
      <c r="AE1075" s="94"/>
      <c r="AF1075" s="94"/>
      <c r="AG1075" s="94"/>
      <c r="AH1075" s="94"/>
      <c r="AI1075" s="94"/>
      <c r="AJ1075" s="94"/>
      <c r="AK1075" s="94"/>
      <c r="AL1075" s="94"/>
      <c r="AM1075" s="94"/>
      <c r="AN1075" s="94"/>
      <c r="AO1075" s="94"/>
      <c r="AP1075" s="94"/>
      <c r="AQ1075" s="94"/>
      <c r="AR1075" s="94"/>
      <c r="AS1075" s="94"/>
      <c r="AT1075" s="94"/>
      <c r="AU1075" s="94"/>
      <c r="AV1075" s="94"/>
      <c r="AW1075" s="94"/>
      <c r="AX1075" s="94"/>
      <c r="AY1075" s="94"/>
      <c r="AZ1075" s="94"/>
      <c r="BA1075" s="95"/>
    </row>
    <row r="1076" spans="1:53" s="87" customFormat="1">
      <c r="A1076" s="90" t="str">
        <f t="shared" si="42"/>
        <v/>
      </c>
      <c r="B1076" s="98"/>
      <c r="C1076" s="94"/>
      <c r="D1076" s="94"/>
      <c r="E1076" s="94"/>
      <c r="F1076" s="94"/>
      <c r="G1076" s="94"/>
      <c r="H1076" s="94"/>
      <c r="I1076" s="94"/>
      <c r="J1076" s="94"/>
      <c r="K1076" s="94"/>
      <c r="L1076" s="94"/>
      <c r="M1076" s="94"/>
      <c r="N1076" s="94"/>
      <c r="O1076" s="94"/>
      <c r="P1076" s="94"/>
      <c r="Q1076" s="94"/>
      <c r="R1076" s="94"/>
      <c r="S1076" s="94"/>
      <c r="T1076" s="94"/>
      <c r="U1076" s="94"/>
      <c r="V1076" s="94"/>
      <c r="W1076" s="94"/>
      <c r="X1076" s="94"/>
      <c r="Y1076" s="94"/>
      <c r="Z1076" s="94"/>
      <c r="AA1076" s="94"/>
      <c r="AB1076" s="94"/>
      <c r="AC1076" s="94"/>
      <c r="AD1076" s="94"/>
      <c r="AE1076" s="94"/>
      <c r="AF1076" s="94"/>
      <c r="AG1076" s="94"/>
      <c r="AH1076" s="94"/>
      <c r="AI1076" s="94"/>
      <c r="AJ1076" s="94"/>
      <c r="AK1076" s="94"/>
      <c r="AL1076" s="94"/>
      <c r="AM1076" s="94"/>
      <c r="AN1076" s="94"/>
      <c r="AO1076" s="94"/>
      <c r="AP1076" s="94"/>
      <c r="AQ1076" s="94"/>
      <c r="AR1076" s="94"/>
      <c r="AS1076" s="94"/>
      <c r="AT1076" s="94"/>
      <c r="AU1076" s="94"/>
      <c r="AV1076" s="94"/>
      <c r="AW1076" s="94"/>
      <c r="AX1076" s="94"/>
      <c r="AY1076" s="94"/>
      <c r="AZ1076" s="94"/>
      <c r="BA1076" s="95"/>
    </row>
    <row r="1077" spans="1:53" s="87" customFormat="1">
      <c r="A1077" s="90" t="str">
        <f t="shared" si="42"/>
        <v/>
      </c>
      <c r="B1077" s="98"/>
      <c r="C1077" s="94"/>
      <c r="D1077" s="94"/>
      <c r="E1077" s="94"/>
      <c r="F1077" s="94"/>
      <c r="G1077" s="94"/>
      <c r="H1077" s="94"/>
      <c r="I1077" s="94"/>
      <c r="J1077" s="94"/>
      <c r="K1077" s="94"/>
      <c r="L1077" s="94"/>
      <c r="M1077" s="94"/>
      <c r="N1077" s="94"/>
      <c r="O1077" s="94"/>
      <c r="P1077" s="94"/>
      <c r="Q1077" s="94"/>
      <c r="R1077" s="94"/>
      <c r="S1077" s="94"/>
      <c r="T1077" s="94"/>
      <c r="U1077" s="94"/>
      <c r="V1077" s="94"/>
      <c r="W1077" s="94"/>
      <c r="X1077" s="94"/>
      <c r="Y1077" s="94"/>
      <c r="Z1077" s="94"/>
      <c r="AA1077" s="94"/>
      <c r="AB1077" s="94"/>
      <c r="AC1077" s="94"/>
      <c r="AD1077" s="94"/>
      <c r="AE1077" s="94"/>
      <c r="AF1077" s="94"/>
      <c r="AG1077" s="94"/>
      <c r="AH1077" s="94"/>
      <c r="AI1077" s="94"/>
      <c r="AJ1077" s="94"/>
      <c r="AK1077" s="94"/>
      <c r="AL1077" s="94"/>
      <c r="AM1077" s="94"/>
      <c r="AN1077" s="94"/>
      <c r="AO1077" s="94"/>
      <c r="AP1077" s="94"/>
      <c r="AQ1077" s="94"/>
      <c r="AR1077" s="94"/>
      <c r="AS1077" s="94"/>
      <c r="AT1077" s="94"/>
      <c r="AU1077" s="94"/>
      <c r="AV1077" s="94"/>
      <c r="AW1077" s="94"/>
      <c r="AX1077" s="94"/>
      <c r="AY1077" s="94"/>
      <c r="AZ1077" s="94"/>
      <c r="BA1077" s="95"/>
    </row>
    <row r="1078" spans="1:53" s="87" customFormat="1">
      <c r="A1078" s="90" t="str">
        <f t="shared" si="42"/>
        <v/>
      </c>
      <c r="B1078" s="98"/>
      <c r="C1078" s="94"/>
      <c r="D1078" s="94"/>
      <c r="E1078" s="94"/>
      <c r="F1078" s="94"/>
      <c r="G1078" s="94"/>
      <c r="H1078" s="94"/>
      <c r="I1078" s="94"/>
      <c r="J1078" s="94"/>
      <c r="K1078" s="94"/>
      <c r="L1078" s="94"/>
      <c r="M1078" s="94"/>
      <c r="N1078" s="94"/>
      <c r="O1078" s="94"/>
      <c r="P1078" s="94"/>
      <c r="Q1078" s="94"/>
      <c r="R1078" s="94"/>
      <c r="S1078" s="94"/>
      <c r="T1078" s="94"/>
      <c r="U1078" s="94"/>
      <c r="V1078" s="94"/>
      <c r="W1078" s="94"/>
      <c r="X1078" s="94"/>
      <c r="Y1078" s="94"/>
      <c r="Z1078" s="94"/>
      <c r="AA1078" s="94"/>
      <c r="AB1078" s="94"/>
      <c r="AC1078" s="94"/>
      <c r="AD1078" s="94"/>
      <c r="AE1078" s="94"/>
      <c r="AF1078" s="94"/>
      <c r="AG1078" s="94"/>
      <c r="AH1078" s="94"/>
      <c r="AI1078" s="94"/>
      <c r="AJ1078" s="94"/>
      <c r="AK1078" s="94"/>
      <c r="AL1078" s="94"/>
      <c r="AM1078" s="94"/>
      <c r="AN1078" s="94"/>
      <c r="AO1078" s="94"/>
      <c r="AP1078" s="94"/>
      <c r="AQ1078" s="94"/>
      <c r="AR1078" s="94"/>
      <c r="AS1078" s="94"/>
      <c r="AT1078" s="94"/>
      <c r="AU1078" s="94"/>
      <c r="AV1078" s="94"/>
      <c r="AW1078" s="94"/>
      <c r="AX1078" s="94"/>
      <c r="AY1078" s="94"/>
      <c r="AZ1078" s="94"/>
      <c r="BA1078" s="95"/>
    </row>
    <row r="1079" spans="1:53" s="87" customFormat="1">
      <c r="A1079" s="90" t="str">
        <f t="shared" si="42"/>
        <v/>
      </c>
      <c r="B1079" s="98"/>
      <c r="C1079" s="94"/>
      <c r="D1079" s="94"/>
      <c r="E1079" s="94"/>
      <c r="F1079" s="94"/>
      <c r="G1079" s="94"/>
      <c r="H1079" s="94"/>
      <c r="I1079" s="94"/>
      <c r="J1079" s="94"/>
      <c r="K1079" s="94"/>
      <c r="L1079" s="94"/>
      <c r="M1079" s="94"/>
      <c r="N1079" s="94"/>
      <c r="O1079" s="94"/>
      <c r="P1079" s="94"/>
      <c r="Q1079" s="94"/>
      <c r="R1079" s="94"/>
      <c r="S1079" s="94"/>
      <c r="T1079" s="94"/>
      <c r="U1079" s="94"/>
      <c r="V1079" s="94"/>
      <c r="W1079" s="94"/>
      <c r="X1079" s="94"/>
      <c r="Y1079" s="94"/>
      <c r="Z1079" s="94"/>
      <c r="AA1079" s="94"/>
      <c r="AB1079" s="94"/>
      <c r="AC1079" s="94"/>
      <c r="AD1079" s="94"/>
      <c r="AE1079" s="94"/>
      <c r="AF1079" s="94"/>
      <c r="AG1079" s="94"/>
      <c r="AH1079" s="94"/>
      <c r="AI1079" s="94"/>
      <c r="AJ1079" s="94"/>
      <c r="AK1079" s="94"/>
      <c r="AL1079" s="94"/>
      <c r="AM1079" s="94"/>
      <c r="AN1079" s="94"/>
      <c r="AO1079" s="94"/>
      <c r="AP1079" s="94"/>
      <c r="AQ1079" s="94"/>
      <c r="AR1079" s="94"/>
      <c r="AS1079" s="94"/>
      <c r="AT1079" s="94"/>
      <c r="AU1079" s="94"/>
      <c r="AV1079" s="94"/>
      <c r="AW1079" s="94"/>
      <c r="AX1079" s="94"/>
      <c r="AY1079" s="94"/>
      <c r="AZ1079" s="94"/>
      <c r="BA1079" s="95"/>
    </row>
    <row r="1080" spans="1:53" s="87" customFormat="1">
      <c r="A1080" s="90" t="str">
        <f t="shared" si="42"/>
        <v/>
      </c>
      <c r="B1080" s="98"/>
      <c r="C1080" s="94"/>
      <c r="D1080" s="94"/>
      <c r="E1080" s="94"/>
      <c r="F1080" s="94"/>
      <c r="G1080" s="94"/>
      <c r="H1080" s="94"/>
      <c r="I1080" s="94"/>
      <c r="J1080" s="94"/>
      <c r="K1080" s="94"/>
      <c r="L1080" s="94"/>
      <c r="M1080" s="94"/>
      <c r="N1080" s="94"/>
      <c r="O1080" s="94"/>
      <c r="P1080" s="94"/>
      <c r="Q1080" s="94"/>
      <c r="R1080" s="94"/>
      <c r="S1080" s="94"/>
      <c r="T1080" s="94"/>
      <c r="U1080" s="94"/>
      <c r="V1080" s="94"/>
      <c r="W1080" s="94"/>
      <c r="X1080" s="94"/>
      <c r="Y1080" s="94"/>
      <c r="Z1080" s="94"/>
      <c r="AA1080" s="94"/>
      <c r="AB1080" s="94"/>
      <c r="AC1080" s="94"/>
      <c r="AD1080" s="94"/>
      <c r="AE1080" s="94"/>
      <c r="AF1080" s="94"/>
      <c r="AG1080" s="94"/>
      <c r="AH1080" s="94"/>
      <c r="AI1080" s="94"/>
      <c r="AJ1080" s="94"/>
      <c r="AK1080" s="94"/>
      <c r="AL1080" s="94"/>
      <c r="AM1080" s="94"/>
      <c r="AN1080" s="94"/>
      <c r="AO1080" s="94"/>
      <c r="AP1080" s="94"/>
      <c r="AQ1080" s="94"/>
      <c r="AR1080" s="94"/>
      <c r="AS1080" s="94"/>
      <c r="AT1080" s="94"/>
      <c r="AU1080" s="94"/>
      <c r="AV1080" s="94"/>
      <c r="AW1080" s="94"/>
      <c r="AX1080" s="94"/>
      <c r="AY1080" s="94"/>
      <c r="AZ1080" s="94"/>
      <c r="BA1080" s="95"/>
    </row>
    <row r="1081" spans="1:53" s="87" customFormat="1">
      <c r="A1081" s="90" t="str">
        <f t="shared" si="42"/>
        <v/>
      </c>
      <c r="B1081" s="98"/>
      <c r="C1081" s="94"/>
      <c r="D1081" s="94"/>
      <c r="E1081" s="94"/>
      <c r="F1081" s="94"/>
      <c r="G1081" s="94"/>
      <c r="H1081" s="94"/>
      <c r="I1081" s="94"/>
      <c r="J1081" s="94"/>
      <c r="K1081" s="94"/>
      <c r="L1081" s="94"/>
      <c r="M1081" s="94"/>
      <c r="N1081" s="94"/>
      <c r="O1081" s="94"/>
      <c r="P1081" s="94"/>
      <c r="Q1081" s="94"/>
      <c r="R1081" s="94"/>
      <c r="S1081" s="94"/>
      <c r="T1081" s="94"/>
      <c r="U1081" s="94"/>
      <c r="V1081" s="94"/>
      <c r="W1081" s="94"/>
      <c r="X1081" s="94"/>
      <c r="Y1081" s="94"/>
      <c r="Z1081" s="94"/>
      <c r="AA1081" s="94"/>
      <c r="AB1081" s="94"/>
      <c r="AC1081" s="94"/>
      <c r="AD1081" s="94"/>
      <c r="AE1081" s="94"/>
      <c r="AF1081" s="94"/>
      <c r="AG1081" s="94"/>
      <c r="AH1081" s="94"/>
      <c r="AI1081" s="94"/>
      <c r="AJ1081" s="94"/>
      <c r="AK1081" s="94"/>
      <c r="AL1081" s="94"/>
      <c r="AM1081" s="94"/>
      <c r="AN1081" s="94"/>
      <c r="AO1081" s="94"/>
      <c r="AP1081" s="94"/>
      <c r="AQ1081" s="94"/>
      <c r="AR1081" s="94"/>
      <c r="AS1081" s="94"/>
      <c r="AT1081" s="94"/>
      <c r="AU1081" s="94"/>
      <c r="AV1081" s="94"/>
      <c r="AW1081" s="94"/>
      <c r="AX1081" s="94"/>
      <c r="AY1081" s="94"/>
      <c r="AZ1081" s="94"/>
      <c r="BA1081" s="95"/>
    </row>
    <row r="1082" spans="1:53" s="87" customFormat="1">
      <c r="A1082" s="90" t="str">
        <f t="shared" si="42"/>
        <v/>
      </c>
      <c r="B1082" s="98"/>
      <c r="C1082" s="94"/>
      <c r="D1082" s="94"/>
      <c r="E1082" s="94"/>
      <c r="F1082" s="94"/>
      <c r="G1082" s="94"/>
      <c r="H1082" s="94"/>
      <c r="I1082" s="94"/>
      <c r="J1082" s="94"/>
      <c r="K1082" s="94"/>
      <c r="L1082" s="94"/>
      <c r="M1082" s="94"/>
      <c r="N1082" s="94"/>
      <c r="O1082" s="94"/>
      <c r="P1082" s="94"/>
      <c r="Q1082" s="94"/>
      <c r="R1082" s="94"/>
      <c r="S1082" s="94"/>
      <c r="T1082" s="94"/>
      <c r="U1082" s="94"/>
      <c r="V1082" s="94"/>
      <c r="W1082" s="94"/>
      <c r="X1082" s="94"/>
      <c r="Y1082" s="94"/>
      <c r="Z1082" s="94"/>
      <c r="AA1082" s="94"/>
      <c r="AB1082" s="94"/>
      <c r="AC1082" s="94"/>
      <c r="AD1082" s="94"/>
      <c r="AE1082" s="94"/>
      <c r="AF1082" s="94"/>
      <c r="AG1082" s="94"/>
      <c r="AH1082" s="94"/>
      <c r="AI1082" s="94"/>
      <c r="AJ1082" s="94"/>
      <c r="AK1082" s="94"/>
      <c r="AL1082" s="94"/>
      <c r="AM1082" s="94"/>
      <c r="AN1082" s="94"/>
      <c r="AO1082" s="94"/>
      <c r="AP1082" s="94"/>
      <c r="AQ1082" s="94"/>
      <c r="AR1082" s="94"/>
      <c r="AS1082" s="94"/>
      <c r="AT1082" s="94"/>
      <c r="AU1082" s="94"/>
      <c r="AV1082" s="94"/>
      <c r="AW1082" s="94"/>
      <c r="AX1082" s="94"/>
      <c r="AY1082" s="94"/>
      <c r="AZ1082" s="94"/>
      <c r="BA1082" s="95"/>
    </row>
    <row r="1083" spans="1:53" s="87" customFormat="1">
      <c r="A1083" s="90" t="str">
        <f t="shared" si="42"/>
        <v/>
      </c>
      <c r="B1083" s="98"/>
      <c r="C1083" s="94"/>
      <c r="D1083" s="94"/>
      <c r="E1083" s="94"/>
      <c r="F1083" s="94"/>
      <c r="G1083" s="94"/>
      <c r="H1083" s="94"/>
      <c r="I1083" s="94"/>
      <c r="J1083" s="94"/>
      <c r="K1083" s="94"/>
      <c r="L1083" s="94"/>
      <c r="M1083" s="94"/>
      <c r="N1083" s="94"/>
      <c r="O1083" s="94"/>
      <c r="P1083" s="94"/>
      <c r="Q1083" s="94"/>
      <c r="R1083" s="94"/>
      <c r="S1083" s="94"/>
      <c r="T1083" s="94"/>
      <c r="U1083" s="94"/>
      <c r="V1083" s="94"/>
      <c r="W1083" s="94"/>
      <c r="X1083" s="94"/>
      <c r="Y1083" s="94"/>
      <c r="Z1083" s="94"/>
      <c r="AA1083" s="94"/>
      <c r="AB1083" s="94"/>
      <c r="AC1083" s="94"/>
      <c r="AD1083" s="94"/>
      <c r="AE1083" s="94"/>
      <c r="AF1083" s="94"/>
      <c r="AG1083" s="94"/>
      <c r="AH1083" s="94"/>
      <c r="AI1083" s="94"/>
      <c r="AJ1083" s="94"/>
      <c r="AK1083" s="94"/>
      <c r="AL1083" s="94"/>
      <c r="AM1083" s="94"/>
      <c r="AN1083" s="94"/>
      <c r="AO1083" s="94"/>
      <c r="AP1083" s="94"/>
      <c r="AQ1083" s="94"/>
      <c r="AR1083" s="94"/>
      <c r="AS1083" s="94"/>
      <c r="AT1083" s="94"/>
      <c r="AU1083" s="94"/>
      <c r="AV1083" s="94"/>
      <c r="AW1083" s="94"/>
      <c r="AX1083" s="94"/>
      <c r="AY1083" s="94"/>
      <c r="AZ1083" s="94"/>
      <c r="BA1083" s="95"/>
    </row>
    <row r="1084" spans="1:53" s="87" customFormat="1">
      <c r="A1084" s="90" t="str">
        <f t="shared" si="42"/>
        <v/>
      </c>
      <c r="B1084" s="98"/>
      <c r="C1084" s="94"/>
      <c r="D1084" s="94"/>
      <c r="E1084" s="94"/>
      <c r="F1084" s="94"/>
      <c r="G1084" s="94"/>
      <c r="H1084" s="94"/>
      <c r="I1084" s="94"/>
      <c r="J1084" s="94"/>
      <c r="K1084" s="94"/>
      <c r="L1084" s="94"/>
      <c r="M1084" s="94"/>
      <c r="N1084" s="94"/>
      <c r="O1084" s="94"/>
      <c r="P1084" s="94"/>
      <c r="Q1084" s="94"/>
      <c r="R1084" s="94"/>
      <c r="S1084" s="94"/>
      <c r="T1084" s="94"/>
      <c r="U1084" s="94"/>
      <c r="V1084" s="94"/>
      <c r="W1084" s="94"/>
      <c r="X1084" s="94"/>
      <c r="Y1084" s="94"/>
      <c r="Z1084" s="94"/>
      <c r="AA1084" s="94"/>
      <c r="AB1084" s="94"/>
      <c r="AC1084" s="94"/>
      <c r="AD1084" s="94"/>
      <c r="AE1084" s="94"/>
      <c r="AF1084" s="94"/>
      <c r="AG1084" s="94"/>
      <c r="AH1084" s="94"/>
      <c r="AI1084" s="94"/>
      <c r="AJ1084" s="94"/>
      <c r="AK1084" s="94"/>
      <c r="AL1084" s="94"/>
      <c r="AM1084" s="94"/>
      <c r="AN1084" s="94"/>
      <c r="AO1084" s="94"/>
      <c r="AP1084" s="94"/>
      <c r="AQ1084" s="94"/>
      <c r="AR1084" s="94"/>
      <c r="AS1084" s="94"/>
      <c r="AT1084" s="94"/>
      <c r="AU1084" s="94"/>
      <c r="AV1084" s="94"/>
      <c r="AW1084" s="94"/>
      <c r="AX1084" s="94"/>
      <c r="AY1084" s="94"/>
      <c r="AZ1084" s="94"/>
      <c r="BA1084" s="95"/>
    </row>
    <row r="1085" spans="1:53" s="87" customFormat="1">
      <c r="A1085" s="90" t="str">
        <f t="shared" si="42"/>
        <v/>
      </c>
      <c r="B1085" s="98"/>
      <c r="C1085" s="94"/>
      <c r="D1085" s="94"/>
      <c r="E1085" s="94"/>
      <c r="F1085" s="94"/>
      <c r="G1085" s="94"/>
      <c r="H1085" s="94"/>
      <c r="I1085" s="94"/>
      <c r="J1085" s="94"/>
      <c r="K1085" s="94"/>
      <c r="L1085" s="94"/>
      <c r="M1085" s="94"/>
      <c r="N1085" s="94"/>
      <c r="O1085" s="94"/>
      <c r="P1085" s="94"/>
      <c r="Q1085" s="94"/>
      <c r="R1085" s="94"/>
      <c r="S1085" s="94"/>
      <c r="T1085" s="94"/>
      <c r="U1085" s="94"/>
      <c r="V1085" s="94"/>
      <c r="W1085" s="94"/>
      <c r="X1085" s="94"/>
      <c r="Y1085" s="94"/>
      <c r="Z1085" s="94"/>
      <c r="AA1085" s="94"/>
      <c r="AB1085" s="94"/>
      <c r="AC1085" s="94"/>
      <c r="AD1085" s="94"/>
      <c r="AE1085" s="94"/>
      <c r="AF1085" s="94"/>
      <c r="AG1085" s="94"/>
      <c r="AH1085" s="94"/>
      <c r="AI1085" s="94"/>
      <c r="AJ1085" s="94"/>
      <c r="AK1085" s="94"/>
      <c r="AL1085" s="94"/>
      <c r="AM1085" s="94"/>
      <c r="AN1085" s="94"/>
      <c r="AO1085" s="94"/>
      <c r="AP1085" s="94"/>
      <c r="AQ1085" s="94"/>
      <c r="AR1085" s="94"/>
      <c r="AS1085" s="94"/>
      <c r="AT1085" s="94"/>
      <c r="AU1085" s="94"/>
      <c r="AV1085" s="94"/>
      <c r="AW1085" s="94"/>
      <c r="AX1085" s="94"/>
      <c r="AY1085" s="94"/>
      <c r="AZ1085" s="94"/>
      <c r="BA1085" s="95"/>
    </row>
    <row r="1086" spans="1:53" s="87" customFormat="1">
      <c r="A1086" s="90" t="str">
        <f t="shared" si="42"/>
        <v/>
      </c>
      <c r="B1086" s="98"/>
      <c r="C1086" s="94"/>
      <c r="D1086" s="94"/>
      <c r="E1086" s="94"/>
      <c r="F1086" s="94"/>
      <c r="G1086" s="94"/>
      <c r="H1086" s="94"/>
      <c r="I1086" s="94"/>
      <c r="J1086" s="94"/>
      <c r="K1086" s="94"/>
      <c r="L1086" s="94"/>
      <c r="M1086" s="94"/>
      <c r="N1086" s="94"/>
      <c r="O1086" s="94"/>
      <c r="P1086" s="94"/>
      <c r="Q1086" s="94"/>
      <c r="R1086" s="94"/>
      <c r="S1086" s="94"/>
      <c r="T1086" s="94"/>
      <c r="U1086" s="94"/>
      <c r="V1086" s="94"/>
      <c r="W1086" s="94"/>
      <c r="X1086" s="94"/>
      <c r="Y1086" s="94"/>
      <c r="Z1086" s="94"/>
      <c r="AA1086" s="94"/>
      <c r="AB1086" s="94"/>
      <c r="AC1086" s="94"/>
      <c r="AD1086" s="94"/>
      <c r="AE1086" s="94"/>
      <c r="AF1086" s="94"/>
      <c r="AG1086" s="94"/>
      <c r="AH1086" s="94"/>
      <c r="AI1086" s="94"/>
      <c r="AJ1086" s="94"/>
      <c r="AK1086" s="94"/>
      <c r="AL1086" s="94"/>
      <c r="AM1086" s="94"/>
      <c r="AN1086" s="94"/>
      <c r="AO1086" s="94"/>
      <c r="AP1086" s="94"/>
      <c r="AQ1086" s="94"/>
      <c r="AR1086" s="94"/>
      <c r="AS1086" s="94"/>
      <c r="AT1086" s="94"/>
      <c r="AU1086" s="94"/>
      <c r="AV1086" s="94"/>
      <c r="AW1086" s="94"/>
      <c r="AX1086" s="94"/>
      <c r="AY1086" s="94"/>
      <c r="AZ1086" s="94"/>
      <c r="BA1086" s="95"/>
    </row>
    <row r="1087" spans="1:53" s="87" customFormat="1">
      <c r="A1087" s="90" t="str">
        <f t="shared" si="42"/>
        <v/>
      </c>
      <c r="B1087" s="98"/>
      <c r="C1087" s="94"/>
      <c r="D1087" s="94"/>
      <c r="E1087" s="94"/>
      <c r="F1087" s="94"/>
      <c r="G1087" s="94"/>
      <c r="H1087" s="94"/>
      <c r="I1087" s="94"/>
      <c r="J1087" s="94"/>
      <c r="K1087" s="94"/>
      <c r="L1087" s="94"/>
      <c r="M1087" s="94"/>
      <c r="N1087" s="94"/>
      <c r="O1087" s="94"/>
      <c r="P1087" s="94"/>
      <c r="Q1087" s="94"/>
      <c r="R1087" s="94"/>
      <c r="S1087" s="94"/>
      <c r="T1087" s="94"/>
      <c r="U1087" s="94"/>
      <c r="V1087" s="94"/>
      <c r="W1087" s="94"/>
      <c r="X1087" s="94"/>
      <c r="Y1087" s="94"/>
      <c r="Z1087" s="94"/>
      <c r="AA1087" s="94"/>
      <c r="AB1087" s="94"/>
      <c r="AC1087" s="94"/>
      <c r="AD1087" s="94"/>
      <c r="AE1087" s="94"/>
      <c r="AF1087" s="94"/>
      <c r="AG1087" s="94"/>
      <c r="AH1087" s="94"/>
      <c r="AI1087" s="94"/>
      <c r="AJ1087" s="94"/>
      <c r="AK1087" s="94"/>
      <c r="AL1087" s="94"/>
      <c r="AM1087" s="94"/>
      <c r="AN1087" s="94"/>
      <c r="AO1087" s="94"/>
      <c r="AP1087" s="94"/>
      <c r="AQ1087" s="94"/>
      <c r="AR1087" s="94"/>
      <c r="AS1087" s="94"/>
      <c r="AT1087" s="94"/>
      <c r="AU1087" s="94"/>
      <c r="AV1087" s="94"/>
      <c r="AW1087" s="94"/>
      <c r="AX1087" s="94"/>
      <c r="AY1087" s="94"/>
      <c r="AZ1087" s="94"/>
      <c r="BA1087" s="95"/>
    </row>
    <row r="1088" spans="1:53" s="87" customFormat="1">
      <c r="A1088" s="90" t="str">
        <f t="shared" si="42"/>
        <v/>
      </c>
      <c r="B1088" s="98"/>
      <c r="C1088" s="94"/>
      <c r="D1088" s="94"/>
      <c r="E1088" s="94"/>
      <c r="F1088" s="94"/>
      <c r="G1088" s="94"/>
      <c r="H1088" s="94"/>
      <c r="I1088" s="94"/>
      <c r="J1088" s="94"/>
      <c r="K1088" s="94"/>
      <c r="L1088" s="94"/>
      <c r="M1088" s="94"/>
      <c r="N1088" s="94"/>
      <c r="O1088" s="94"/>
      <c r="P1088" s="94"/>
      <c r="Q1088" s="94"/>
      <c r="R1088" s="94"/>
      <c r="S1088" s="94"/>
      <c r="T1088" s="94"/>
      <c r="U1088" s="94"/>
      <c r="V1088" s="94"/>
      <c r="W1088" s="94"/>
      <c r="X1088" s="94"/>
      <c r="Y1088" s="94"/>
      <c r="Z1088" s="94"/>
      <c r="AA1088" s="94"/>
      <c r="AB1088" s="94"/>
      <c r="AC1088" s="94"/>
      <c r="AD1088" s="94"/>
      <c r="AE1088" s="94"/>
      <c r="AF1088" s="94"/>
      <c r="AG1088" s="94"/>
      <c r="AH1088" s="94"/>
      <c r="AI1088" s="94"/>
      <c r="AJ1088" s="94"/>
      <c r="AK1088" s="94"/>
      <c r="AL1088" s="94"/>
      <c r="AM1088" s="94"/>
      <c r="AN1088" s="94"/>
      <c r="AO1088" s="94"/>
      <c r="AP1088" s="94"/>
      <c r="AQ1088" s="94"/>
      <c r="AR1088" s="94"/>
      <c r="AS1088" s="94"/>
      <c r="AT1088" s="94"/>
      <c r="AU1088" s="94"/>
      <c r="AV1088" s="94"/>
      <c r="AW1088" s="94"/>
      <c r="AX1088" s="94"/>
      <c r="AY1088" s="94"/>
      <c r="AZ1088" s="94"/>
      <c r="BA1088" s="95"/>
    </row>
    <row r="1089" spans="1:53" s="87" customFormat="1">
      <c r="A1089" s="90" t="str">
        <f t="shared" si="42"/>
        <v/>
      </c>
      <c r="B1089" s="98"/>
      <c r="C1089" s="94"/>
      <c r="D1089" s="94"/>
      <c r="E1089" s="94"/>
      <c r="F1089" s="94"/>
      <c r="G1089" s="94"/>
      <c r="H1089" s="94"/>
      <c r="I1089" s="94"/>
      <c r="J1089" s="94"/>
      <c r="K1089" s="94"/>
      <c r="L1089" s="94"/>
      <c r="M1089" s="94"/>
      <c r="N1089" s="94"/>
      <c r="O1089" s="94"/>
      <c r="P1089" s="94"/>
      <c r="Q1089" s="94"/>
      <c r="R1089" s="94"/>
      <c r="S1089" s="94"/>
      <c r="T1089" s="94"/>
      <c r="U1089" s="94"/>
      <c r="V1089" s="94"/>
      <c r="W1089" s="94"/>
      <c r="X1089" s="94"/>
      <c r="Y1089" s="94"/>
      <c r="Z1089" s="94"/>
      <c r="AA1089" s="94"/>
      <c r="AB1089" s="94"/>
      <c r="AC1089" s="94"/>
      <c r="AD1089" s="94"/>
      <c r="AE1089" s="94"/>
      <c r="AF1089" s="94"/>
      <c r="AG1089" s="94"/>
      <c r="AH1089" s="94"/>
      <c r="AI1089" s="94"/>
      <c r="AJ1089" s="94"/>
      <c r="AK1089" s="94"/>
      <c r="AL1089" s="94"/>
      <c r="AM1089" s="94"/>
      <c r="AN1089" s="94"/>
      <c r="AO1089" s="94"/>
      <c r="AP1089" s="94"/>
      <c r="AQ1089" s="94"/>
      <c r="AR1089" s="94"/>
      <c r="AS1089" s="94"/>
      <c r="AT1089" s="94"/>
      <c r="AU1089" s="94"/>
      <c r="AV1089" s="94"/>
      <c r="AW1089" s="94"/>
      <c r="AX1089" s="94"/>
      <c r="AY1089" s="94"/>
      <c r="AZ1089" s="94"/>
      <c r="BA1089" s="95"/>
    </row>
    <row r="1090" spans="1:53" s="87" customFormat="1">
      <c r="A1090" s="90" t="str">
        <f t="shared" si="42"/>
        <v/>
      </c>
      <c r="B1090" s="98"/>
      <c r="C1090" s="94"/>
      <c r="D1090" s="94"/>
      <c r="E1090" s="94"/>
      <c r="F1090" s="94"/>
      <c r="G1090" s="94"/>
      <c r="H1090" s="94"/>
      <c r="I1090" s="94"/>
      <c r="J1090" s="94"/>
      <c r="K1090" s="94"/>
      <c r="L1090" s="94"/>
      <c r="M1090" s="94"/>
      <c r="N1090" s="94"/>
      <c r="O1090" s="94"/>
      <c r="P1090" s="94"/>
      <c r="Q1090" s="94"/>
      <c r="R1090" s="94"/>
      <c r="S1090" s="94"/>
      <c r="T1090" s="94"/>
      <c r="U1090" s="94"/>
      <c r="V1090" s="94"/>
      <c r="W1090" s="94"/>
      <c r="X1090" s="94"/>
      <c r="Y1090" s="94"/>
      <c r="Z1090" s="94"/>
      <c r="AA1090" s="94"/>
      <c r="AB1090" s="94"/>
      <c r="AC1090" s="94"/>
      <c r="AD1090" s="94"/>
      <c r="AE1090" s="94"/>
      <c r="AF1090" s="94"/>
      <c r="AG1090" s="94"/>
      <c r="AH1090" s="94"/>
      <c r="AI1090" s="94"/>
      <c r="AJ1090" s="94"/>
      <c r="AK1090" s="94"/>
      <c r="AL1090" s="94"/>
      <c r="AM1090" s="94"/>
      <c r="AN1090" s="94"/>
      <c r="AO1090" s="94"/>
      <c r="AP1090" s="94"/>
      <c r="AQ1090" s="94"/>
      <c r="AR1090" s="94"/>
      <c r="AS1090" s="94"/>
      <c r="AT1090" s="94"/>
      <c r="AU1090" s="94"/>
      <c r="AV1090" s="94"/>
      <c r="AW1090" s="94"/>
      <c r="AX1090" s="94"/>
      <c r="AY1090" s="94"/>
      <c r="AZ1090" s="94"/>
      <c r="BA1090" s="95"/>
    </row>
    <row r="1091" spans="1:53" s="87" customFormat="1">
      <c r="A1091" s="90" t="str">
        <f t="shared" si="42"/>
        <v/>
      </c>
      <c r="B1091" s="98"/>
      <c r="C1091" s="94"/>
      <c r="D1091" s="94"/>
      <c r="E1091" s="94"/>
      <c r="F1091" s="94"/>
      <c r="G1091" s="94"/>
      <c r="H1091" s="94"/>
      <c r="I1091" s="94"/>
      <c r="J1091" s="94"/>
      <c r="K1091" s="94"/>
      <c r="L1091" s="94"/>
      <c r="M1091" s="94"/>
      <c r="N1091" s="94"/>
      <c r="O1091" s="94"/>
      <c r="P1091" s="94"/>
      <c r="Q1091" s="94"/>
      <c r="R1091" s="94"/>
      <c r="S1091" s="94"/>
      <c r="T1091" s="94"/>
      <c r="U1091" s="94"/>
      <c r="V1091" s="94"/>
      <c r="W1091" s="94"/>
      <c r="X1091" s="94"/>
      <c r="Y1091" s="94"/>
      <c r="Z1091" s="94"/>
      <c r="AA1091" s="94"/>
      <c r="AB1091" s="94"/>
      <c r="AC1091" s="94"/>
      <c r="AD1091" s="94"/>
      <c r="AE1091" s="94"/>
      <c r="AF1091" s="94"/>
      <c r="AG1091" s="94"/>
      <c r="AH1091" s="94"/>
      <c r="AI1091" s="94"/>
      <c r="AJ1091" s="94"/>
      <c r="AK1091" s="94"/>
      <c r="AL1091" s="94"/>
      <c r="AM1091" s="94"/>
      <c r="AN1091" s="94"/>
      <c r="AO1091" s="94"/>
      <c r="AP1091" s="94"/>
      <c r="AQ1091" s="94"/>
      <c r="AR1091" s="94"/>
      <c r="AS1091" s="94"/>
      <c r="AT1091" s="94"/>
      <c r="AU1091" s="94"/>
      <c r="AV1091" s="94"/>
      <c r="AW1091" s="94"/>
      <c r="AX1091" s="94"/>
      <c r="AY1091" s="94"/>
      <c r="AZ1091" s="94"/>
      <c r="BA1091" s="95"/>
    </row>
    <row r="1092" spans="1:53" s="87" customFormat="1">
      <c r="A1092" s="90" t="str">
        <f t="shared" si="42"/>
        <v/>
      </c>
      <c r="B1092" s="98"/>
      <c r="C1092" s="94"/>
      <c r="D1092" s="94"/>
      <c r="E1092" s="94"/>
      <c r="F1092" s="94"/>
      <c r="G1092" s="94"/>
      <c r="H1092" s="94"/>
      <c r="I1092" s="94"/>
      <c r="J1092" s="94"/>
      <c r="K1092" s="94"/>
      <c r="L1092" s="94"/>
      <c r="M1092" s="94"/>
      <c r="N1092" s="94"/>
      <c r="O1092" s="94"/>
      <c r="P1092" s="94"/>
      <c r="Q1092" s="94"/>
      <c r="R1092" s="94"/>
      <c r="S1092" s="94"/>
      <c r="T1092" s="94"/>
      <c r="U1092" s="94"/>
      <c r="V1092" s="94"/>
      <c r="W1092" s="94"/>
      <c r="X1092" s="94"/>
      <c r="Y1092" s="94"/>
      <c r="Z1092" s="94"/>
      <c r="AA1092" s="94"/>
      <c r="AB1092" s="94"/>
      <c r="AC1092" s="94"/>
      <c r="AD1092" s="94"/>
      <c r="AE1092" s="94"/>
      <c r="AF1092" s="94"/>
      <c r="AG1092" s="94"/>
      <c r="AH1092" s="94"/>
      <c r="AI1092" s="94"/>
      <c r="AJ1092" s="94"/>
      <c r="AK1092" s="94"/>
      <c r="AL1092" s="94"/>
      <c r="AM1092" s="94"/>
      <c r="AN1092" s="94"/>
      <c r="AO1092" s="94"/>
      <c r="AP1092" s="94"/>
      <c r="AQ1092" s="94"/>
      <c r="AR1092" s="94"/>
      <c r="AS1092" s="94"/>
      <c r="AT1092" s="94"/>
      <c r="AU1092" s="94"/>
      <c r="AV1092" s="94"/>
      <c r="AW1092" s="94"/>
      <c r="AX1092" s="94"/>
      <c r="AY1092" s="94"/>
      <c r="AZ1092" s="94"/>
      <c r="BA1092" s="95"/>
    </row>
    <row r="1093" spans="1:53" s="87" customFormat="1">
      <c r="A1093" s="90" t="str">
        <f t="shared" si="42"/>
        <v/>
      </c>
      <c r="B1093" s="98"/>
      <c r="C1093" s="94"/>
      <c r="D1093" s="94"/>
      <c r="E1093" s="94"/>
      <c r="F1093" s="94"/>
      <c r="G1093" s="94"/>
      <c r="H1093" s="94"/>
      <c r="I1093" s="94"/>
      <c r="J1093" s="94"/>
      <c r="K1093" s="94"/>
      <c r="L1093" s="94"/>
      <c r="M1093" s="94"/>
      <c r="N1093" s="94"/>
      <c r="O1093" s="94"/>
      <c r="P1093" s="94"/>
      <c r="Q1093" s="94"/>
      <c r="R1093" s="94"/>
      <c r="S1093" s="94"/>
      <c r="T1093" s="94"/>
      <c r="U1093" s="94"/>
      <c r="V1093" s="94"/>
      <c r="W1093" s="94"/>
      <c r="X1093" s="94"/>
      <c r="Y1093" s="94"/>
      <c r="Z1093" s="94"/>
      <c r="AA1093" s="94"/>
      <c r="AB1093" s="94"/>
      <c r="AC1093" s="94"/>
      <c r="AD1093" s="94"/>
      <c r="AE1093" s="94"/>
      <c r="AF1093" s="94"/>
      <c r="AG1093" s="94"/>
      <c r="AH1093" s="94"/>
      <c r="AI1093" s="94"/>
      <c r="AJ1093" s="94"/>
      <c r="AK1093" s="94"/>
      <c r="AL1093" s="94"/>
      <c r="AM1093" s="94"/>
      <c r="AN1093" s="94"/>
      <c r="AO1093" s="94"/>
      <c r="AP1093" s="94"/>
      <c r="AQ1093" s="94"/>
      <c r="AR1093" s="94"/>
      <c r="AS1093" s="94"/>
      <c r="AT1093" s="94"/>
      <c r="AU1093" s="94"/>
      <c r="AV1093" s="94"/>
      <c r="AW1093" s="94"/>
      <c r="AX1093" s="94"/>
      <c r="AY1093" s="94"/>
      <c r="AZ1093" s="94"/>
      <c r="BA1093" s="95"/>
    </row>
    <row r="1094" spans="1:53" s="87" customFormat="1">
      <c r="A1094" s="90" t="str">
        <f t="shared" si="42"/>
        <v/>
      </c>
      <c r="B1094" s="98"/>
      <c r="C1094" s="94"/>
      <c r="D1094" s="94"/>
      <c r="E1094" s="94"/>
      <c r="F1094" s="94"/>
      <c r="G1094" s="94"/>
      <c r="H1094" s="94"/>
      <c r="I1094" s="94"/>
      <c r="J1094" s="94"/>
      <c r="K1094" s="94"/>
      <c r="L1094" s="94"/>
      <c r="M1094" s="94"/>
      <c r="N1094" s="94"/>
      <c r="O1094" s="94"/>
      <c r="P1094" s="94"/>
      <c r="Q1094" s="94"/>
      <c r="R1094" s="94"/>
      <c r="S1094" s="94"/>
      <c r="T1094" s="94"/>
      <c r="U1094" s="94"/>
      <c r="V1094" s="94"/>
      <c r="W1094" s="94"/>
      <c r="X1094" s="94"/>
      <c r="Y1094" s="94"/>
      <c r="Z1094" s="94"/>
      <c r="AA1094" s="94"/>
      <c r="AB1094" s="94"/>
      <c r="AC1094" s="94"/>
      <c r="AD1094" s="94"/>
      <c r="AE1094" s="94"/>
      <c r="AF1094" s="94"/>
      <c r="AG1094" s="94"/>
      <c r="AH1094" s="94"/>
      <c r="AI1094" s="94"/>
      <c r="AJ1094" s="94"/>
      <c r="AK1094" s="94"/>
      <c r="AL1094" s="94"/>
      <c r="AM1094" s="94"/>
      <c r="AN1094" s="94"/>
      <c r="AO1094" s="94"/>
      <c r="AP1094" s="94"/>
      <c r="AQ1094" s="94"/>
      <c r="AR1094" s="94"/>
      <c r="AS1094" s="94"/>
      <c r="AT1094" s="94"/>
      <c r="AU1094" s="94"/>
      <c r="AV1094" s="94"/>
      <c r="AW1094" s="94"/>
      <c r="AX1094" s="94"/>
      <c r="AY1094" s="94"/>
      <c r="AZ1094" s="94"/>
      <c r="BA1094" s="95"/>
    </row>
    <row r="1095" spans="1:53" s="87" customFormat="1">
      <c r="A1095" s="90" t="str">
        <f t="shared" si="42"/>
        <v/>
      </c>
      <c r="B1095" s="98"/>
      <c r="C1095" s="94"/>
      <c r="D1095" s="94"/>
      <c r="E1095" s="94"/>
      <c r="F1095" s="94"/>
      <c r="G1095" s="94"/>
      <c r="H1095" s="94"/>
      <c r="I1095" s="94"/>
      <c r="J1095" s="94"/>
      <c r="K1095" s="94"/>
      <c r="L1095" s="94"/>
      <c r="M1095" s="94"/>
      <c r="N1095" s="94"/>
      <c r="O1095" s="94"/>
      <c r="P1095" s="94"/>
      <c r="Q1095" s="94"/>
      <c r="R1095" s="94"/>
      <c r="S1095" s="94"/>
      <c r="T1095" s="94"/>
      <c r="U1095" s="94"/>
      <c r="V1095" s="94"/>
      <c r="W1095" s="94"/>
      <c r="X1095" s="94"/>
      <c r="Y1095" s="94"/>
      <c r="Z1095" s="94"/>
      <c r="AA1095" s="94"/>
      <c r="AB1095" s="94"/>
      <c r="AC1095" s="94"/>
      <c r="AD1095" s="94"/>
      <c r="AE1095" s="94"/>
      <c r="AF1095" s="94"/>
      <c r="AG1095" s="94"/>
      <c r="AH1095" s="94"/>
      <c r="AI1095" s="94"/>
      <c r="AJ1095" s="94"/>
      <c r="AK1095" s="94"/>
      <c r="AL1095" s="94"/>
      <c r="AM1095" s="94"/>
      <c r="AN1095" s="94"/>
      <c r="AO1095" s="94"/>
      <c r="AP1095" s="94"/>
      <c r="AQ1095" s="94"/>
      <c r="AR1095" s="94"/>
      <c r="AS1095" s="94"/>
      <c r="AT1095" s="94"/>
      <c r="AU1095" s="94"/>
      <c r="AV1095" s="94"/>
      <c r="AW1095" s="94"/>
      <c r="AX1095" s="94"/>
      <c r="AY1095" s="94"/>
      <c r="AZ1095" s="94"/>
      <c r="BA1095" s="95"/>
    </row>
    <row r="1096" spans="1:53" s="87" customFormat="1">
      <c r="A1096" s="90" t="str">
        <f t="shared" si="42"/>
        <v/>
      </c>
      <c r="B1096" s="98"/>
      <c r="C1096" s="94"/>
      <c r="D1096" s="94"/>
      <c r="E1096" s="94"/>
      <c r="F1096" s="94"/>
      <c r="G1096" s="94"/>
      <c r="H1096" s="94"/>
      <c r="I1096" s="94"/>
      <c r="J1096" s="94"/>
      <c r="K1096" s="94"/>
      <c r="L1096" s="94"/>
      <c r="M1096" s="94"/>
      <c r="N1096" s="94"/>
      <c r="O1096" s="94"/>
      <c r="P1096" s="94"/>
      <c r="Q1096" s="94"/>
      <c r="R1096" s="94"/>
      <c r="S1096" s="94"/>
      <c r="T1096" s="94"/>
      <c r="U1096" s="94"/>
      <c r="V1096" s="94"/>
      <c r="W1096" s="94"/>
      <c r="X1096" s="94"/>
      <c r="Y1096" s="94"/>
      <c r="Z1096" s="94"/>
      <c r="AA1096" s="94"/>
      <c r="AB1096" s="94"/>
      <c r="AC1096" s="94"/>
      <c r="AD1096" s="94"/>
      <c r="AE1096" s="94"/>
      <c r="AF1096" s="94"/>
      <c r="AG1096" s="94"/>
      <c r="AH1096" s="94"/>
      <c r="AI1096" s="94"/>
      <c r="AJ1096" s="94"/>
      <c r="AK1096" s="94"/>
      <c r="AL1096" s="94"/>
      <c r="AM1096" s="94"/>
      <c r="AN1096" s="94"/>
      <c r="AO1096" s="94"/>
      <c r="AP1096" s="94"/>
      <c r="AQ1096" s="94"/>
      <c r="AR1096" s="94"/>
      <c r="AS1096" s="94"/>
      <c r="AT1096" s="94"/>
      <c r="AU1096" s="94"/>
      <c r="AV1096" s="94"/>
      <c r="AW1096" s="94"/>
      <c r="AX1096" s="94"/>
      <c r="AY1096" s="94"/>
      <c r="AZ1096" s="94"/>
      <c r="BA1096" s="95"/>
    </row>
    <row r="1097" spans="1:53" s="87" customFormat="1">
      <c r="A1097" s="90" t="str">
        <f t="shared" si="42"/>
        <v/>
      </c>
      <c r="B1097" s="98"/>
      <c r="C1097" s="94"/>
      <c r="D1097" s="94"/>
      <c r="E1097" s="94"/>
      <c r="F1097" s="94"/>
      <c r="G1097" s="94"/>
      <c r="H1097" s="94"/>
      <c r="I1097" s="94"/>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5"/>
    </row>
    <row r="1098" spans="1:53" s="87" customFormat="1">
      <c r="A1098" s="90" t="str">
        <f t="shared" si="42"/>
        <v/>
      </c>
      <c r="B1098" s="98"/>
      <c r="C1098" s="94"/>
      <c r="D1098" s="94"/>
      <c r="E1098" s="94"/>
      <c r="F1098" s="94"/>
      <c r="G1098" s="94"/>
      <c r="H1098" s="94"/>
      <c r="I1098" s="94"/>
      <c r="J1098" s="94"/>
      <c r="K1098" s="94"/>
      <c r="L1098" s="94"/>
      <c r="M1098" s="94"/>
      <c r="N1098" s="94"/>
      <c r="O1098" s="94"/>
      <c r="P1098" s="94"/>
      <c r="Q1098" s="94"/>
      <c r="R1098" s="94"/>
      <c r="S1098" s="94"/>
      <c r="T1098" s="94"/>
      <c r="U1098" s="94"/>
      <c r="V1098" s="94"/>
      <c r="W1098" s="94"/>
      <c r="X1098" s="94"/>
      <c r="Y1098" s="94"/>
      <c r="Z1098" s="94"/>
      <c r="AA1098" s="94"/>
      <c r="AB1098" s="94"/>
      <c r="AC1098" s="94"/>
      <c r="AD1098" s="94"/>
      <c r="AE1098" s="94"/>
      <c r="AF1098" s="94"/>
      <c r="AG1098" s="94"/>
      <c r="AH1098" s="94"/>
      <c r="AI1098" s="94"/>
      <c r="AJ1098" s="94"/>
      <c r="AK1098" s="94"/>
      <c r="AL1098" s="94"/>
      <c r="AM1098" s="94"/>
      <c r="AN1098" s="94"/>
      <c r="AO1098" s="94"/>
      <c r="AP1098" s="94"/>
      <c r="AQ1098" s="94"/>
      <c r="AR1098" s="94"/>
      <c r="AS1098" s="94"/>
      <c r="AT1098" s="94"/>
      <c r="AU1098" s="94"/>
      <c r="AV1098" s="94"/>
      <c r="AW1098" s="94"/>
      <c r="AX1098" s="94"/>
      <c r="AY1098" s="94"/>
      <c r="AZ1098" s="94"/>
      <c r="BA1098" s="95"/>
    </row>
    <row r="1099" spans="1:53" s="87" customFormat="1">
      <c r="A1099" s="90" t="str">
        <f t="shared" si="42"/>
        <v/>
      </c>
      <c r="B1099" s="98"/>
      <c r="C1099" s="94"/>
      <c r="D1099" s="94"/>
      <c r="E1099" s="94"/>
      <c r="F1099" s="94"/>
      <c r="G1099" s="94"/>
      <c r="H1099" s="94"/>
      <c r="I1099" s="94"/>
      <c r="J1099" s="94"/>
      <c r="K1099" s="94"/>
      <c r="L1099" s="94"/>
      <c r="M1099" s="94"/>
      <c r="N1099" s="94"/>
      <c r="O1099" s="94"/>
      <c r="P1099" s="94"/>
      <c r="Q1099" s="94"/>
      <c r="R1099" s="94"/>
      <c r="S1099" s="94"/>
      <c r="T1099" s="94"/>
      <c r="U1099" s="94"/>
      <c r="V1099" s="94"/>
      <c r="W1099" s="94"/>
      <c r="X1099" s="94"/>
      <c r="Y1099" s="94"/>
      <c r="Z1099" s="94"/>
      <c r="AA1099" s="94"/>
      <c r="AB1099" s="94"/>
      <c r="AC1099" s="94"/>
      <c r="AD1099" s="94"/>
      <c r="AE1099" s="94"/>
      <c r="AF1099" s="94"/>
      <c r="AG1099" s="94"/>
      <c r="AH1099" s="94"/>
      <c r="AI1099" s="94"/>
      <c r="AJ1099" s="94"/>
      <c r="AK1099" s="94"/>
      <c r="AL1099" s="94"/>
      <c r="AM1099" s="94"/>
      <c r="AN1099" s="94"/>
      <c r="AO1099" s="94"/>
      <c r="AP1099" s="94"/>
      <c r="AQ1099" s="94"/>
      <c r="AR1099" s="94"/>
      <c r="AS1099" s="94"/>
      <c r="AT1099" s="94"/>
      <c r="AU1099" s="94"/>
      <c r="AV1099" s="94"/>
      <c r="AW1099" s="94"/>
      <c r="AX1099" s="94"/>
      <c r="AY1099" s="94"/>
      <c r="AZ1099" s="94"/>
      <c r="BA1099" s="95"/>
    </row>
    <row r="1100" spans="1:53" s="87" customFormat="1">
      <c r="A1100" s="90" t="str">
        <f t="shared" ref="A1100:A1163" si="43">IF(MID(B1100,3,2)="03",ROW(),"")</f>
        <v/>
      </c>
      <c r="B1100" s="98"/>
      <c r="C1100" s="94"/>
      <c r="D1100" s="94"/>
      <c r="E1100" s="94"/>
      <c r="F1100" s="94"/>
      <c r="G1100" s="94"/>
      <c r="H1100" s="94"/>
      <c r="I1100" s="94"/>
      <c r="J1100" s="94"/>
      <c r="K1100" s="94"/>
      <c r="L1100" s="94"/>
      <c r="M1100" s="94"/>
      <c r="N1100" s="94"/>
      <c r="O1100" s="94"/>
      <c r="P1100" s="94"/>
      <c r="Q1100" s="94"/>
      <c r="R1100" s="94"/>
      <c r="S1100" s="94"/>
      <c r="T1100" s="94"/>
      <c r="U1100" s="94"/>
      <c r="V1100" s="94"/>
      <c r="W1100" s="94"/>
      <c r="X1100" s="94"/>
      <c r="Y1100" s="94"/>
      <c r="Z1100" s="94"/>
      <c r="AA1100" s="94"/>
      <c r="AB1100" s="94"/>
      <c r="AC1100" s="94"/>
      <c r="AD1100" s="94"/>
      <c r="AE1100" s="94"/>
      <c r="AF1100" s="94"/>
      <c r="AG1100" s="94"/>
      <c r="AH1100" s="94"/>
      <c r="AI1100" s="94"/>
      <c r="AJ1100" s="94"/>
      <c r="AK1100" s="94"/>
      <c r="AL1100" s="94"/>
      <c r="AM1100" s="94"/>
      <c r="AN1100" s="94"/>
      <c r="AO1100" s="94"/>
      <c r="AP1100" s="94"/>
      <c r="AQ1100" s="94"/>
      <c r="AR1100" s="94"/>
      <c r="AS1100" s="94"/>
      <c r="AT1100" s="94"/>
      <c r="AU1100" s="94"/>
      <c r="AV1100" s="94"/>
      <c r="AW1100" s="94"/>
      <c r="AX1100" s="94"/>
      <c r="AY1100" s="94"/>
      <c r="AZ1100" s="94"/>
      <c r="BA1100" s="95"/>
    </row>
    <row r="1101" spans="1:53" s="87" customFormat="1">
      <c r="A1101" s="90" t="str">
        <f t="shared" si="43"/>
        <v/>
      </c>
      <c r="B1101" s="98"/>
      <c r="C1101" s="94"/>
      <c r="D1101" s="94"/>
      <c r="E1101" s="94"/>
      <c r="F1101" s="94"/>
      <c r="G1101" s="94"/>
      <c r="H1101" s="94"/>
      <c r="I1101" s="94"/>
      <c r="J1101" s="94"/>
      <c r="K1101" s="94"/>
      <c r="L1101" s="94"/>
      <c r="M1101" s="94"/>
      <c r="N1101" s="94"/>
      <c r="O1101" s="94"/>
      <c r="P1101" s="94"/>
      <c r="Q1101" s="94"/>
      <c r="R1101" s="94"/>
      <c r="S1101" s="94"/>
      <c r="T1101" s="94"/>
      <c r="U1101" s="94"/>
      <c r="V1101" s="94"/>
      <c r="W1101" s="94"/>
      <c r="X1101" s="94"/>
      <c r="Y1101" s="94"/>
      <c r="Z1101" s="94"/>
      <c r="AA1101" s="94"/>
      <c r="AB1101" s="94"/>
      <c r="AC1101" s="94"/>
      <c r="AD1101" s="94"/>
      <c r="AE1101" s="94"/>
      <c r="AF1101" s="94"/>
      <c r="AG1101" s="94"/>
      <c r="AH1101" s="94"/>
      <c r="AI1101" s="94"/>
      <c r="AJ1101" s="94"/>
      <c r="AK1101" s="94"/>
      <c r="AL1101" s="94"/>
      <c r="AM1101" s="94"/>
      <c r="AN1101" s="94"/>
      <c r="AO1101" s="94"/>
      <c r="AP1101" s="94"/>
      <c r="AQ1101" s="94"/>
      <c r="AR1101" s="94"/>
      <c r="AS1101" s="94"/>
      <c r="AT1101" s="94"/>
      <c r="AU1101" s="94"/>
      <c r="AV1101" s="94"/>
      <c r="AW1101" s="94"/>
      <c r="AX1101" s="94"/>
      <c r="AY1101" s="94"/>
      <c r="AZ1101" s="94"/>
      <c r="BA1101" s="95"/>
    </row>
    <row r="1102" spans="1:53" s="87" customFormat="1">
      <c r="A1102" s="90" t="str">
        <f t="shared" si="43"/>
        <v/>
      </c>
      <c r="B1102" s="98"/>
      <c r="C1102" s="94"/>
      <c r="D1102" s="94"/>
      <c r="E1102" s="94"/>
      <c r="F1102" s="94"/>
      <c r="G1102" s="94"/>
      <c r="H1102" s="94"/>
      <c r="I1102" s="94"/>
      <c r="J1102" s="94"/>
      <c r="K1102" s="94"/>
      <c r="L1102" s="94"/>
      <c r="M1102" s="94"/>
      <c r="N1102" s="94"/>
      <c r="O1102" s="94"/>
      <c r="P1102" s="94"/>
      <c r="Q1102" s="94"/>
      <c r="R1102" s="94"/>
      <c r="S1102" s="94"/>
      <c r="T1102" s="94"/>
      <c r="U1102" s="94"/>
      <c r="V1102" s="94"/>
      <c r="W1102" s="94"/>
      <c r="X1102" s="94"/>
      <c r="Y1102" s="94"/>
      <c r="Z1102" s="94"/>
      <c r="AA1102" s="94"/>
      <c r="AB1102" s="94"/>
      <c r="AC1102" s="94"/>
      <c r="AD1102" s="94"/>
      <c r="AE1102" s="94"/>
      <c r="AF1102" s="94"/>
      <c r="AG1102" s="94"/>
      <c r="AH1102" s="94"/>
      <c r="AI1102" s="94"/>
      <c r="AJ1102" s="94"/>
      <c r="AK1102" s="94"/>
      <c r="AL1102" s="94"/>
      <c r="AM1102" s="94"/>
      <c r="AN1102" s="94"/>
      <c r="AO1102" s="94"/>
      <c r="AP1102" s="94"/>
      <c r="AQ1102" s="94"/>
      <c r="AR1102" s="94"/>
      <c r="AS1102" s="94"/>
      <c r="AT1102" s="94"/>
      <c r="AU1102" s="94"/>
      <c r="AV1102" s="94"/>
      <c r="AW1102" s="94"/>
      <c r="AX1102" s="94"/>
      <c r="AY1102" s="94"/>
      <c r="AZ1102" s="94"/>
      <c r="BA1102" s="95"/>
    </row>
    <row r="1103" spans="1:53" s="87" customFormat="1">
      <c r="A1103" s="90" t="str">
        <f t="shared" si="43"/>
        <v/>
      </c>
      <c r="B1103" s="98"/>
      <c r="C1103" s="94"/>
      <c r="D1103" s="94"/>
      <c r="E1103" s="94"/>
      <c r="F1103" s="94"/>
      <c r="G1103" s="94"/>
      <c r="H1103" s="94"/>
      <c r="I1103" s="94"/>
      <c r="J1103" s="94"/>
      <c r="K1103" s="94"/>
      <c r="L1103" s="94"/>
      <c r="M1103" s="94"/>
      <c r="N1103" s="94"/>
      <c r="O1103" s="94"/>
      <c r="P1103" s="94"/>
      <c r="Q1103" s="94"/>
      <c r="R1103" s="94"/>
      <c r="S1103" s="94"/>
      <c r="T1103" s="94"/>
      <c r="U1103" s="94"/>
      <c r="V1103" s="94"/>
      <c r="W1103" s="94"/>
      <c r="X1103" s="94"/>
      <c r="Y1103" s="94"/>
      <c r="Z1103" s="94"/>
      <c r="AA1103" s="94"/>
      <c r="AB1103" s="94"/>
      <c r="AC1103" s="94"/>
      <c r="AD1103" s="94"/>
      <c r="AE1103" s="94"/>
      <c r="AF1103" s="94"/>
      <c r="AG1103" s="94"/>
      <c r="AH1103" s="94"/>
      <c r="AI1103" s="94"/>
      <c r="AJ1103" s="94"/>
      <c r="AK1103" s="94"/>
      <c r="AL1103" s="94"/>
      <c r="AM1103" s="94"/>
      <c r="AN1103" s="94"/>
      <c r="AO1103" s="94"/>
      <c r="AP1103" s="94"/>
      <c r="AQ1103" s="94"/>
      <c r="AR1103" s="94"/>
      <c r="AS1103" s="94"/>
      <c r="AT1103" s="94"/>
      <c r="AU1103" s="94"/>
      <c r="AV1103" s="94"/>
      <c r="AW1103" s="94"/>
      <c r="AX1103" s="94"/>
      <c r="AY1103" s="94"/>
      <c r="AZ1103" s="94"/>
      <c r="BA1103" s="95"/>
    </row>
    <row r="1104" spans="1:53" s="87" customFormat="1">
      <c r="A1104" s="90" t="str">
        <f t="shared" si="43"/>
        <v/>
      </c>
      <c r="B1104" s="98"/>
      <c r="C1104" s="94"/>
      <c r="D1104" s="94"/>
      <c r="E1104" s="94"/>
      <c r="F1104" s="94"/>
      <c r="G1104" s="94"/>
      <c r="H1104" s="94"/>
      <c r="I1104" s="94"/>
      <c r="J1104" s="94"/>
      <c r="K1104" s="94"/>
      <c r="L1104" s="94"/>
      <c r="M1104" s="94"/>
      <c r="N1104" s="94"/>
      <c r="O1104" s="94"/>
      <c r="P1104" s="94"/>
      <c r="Q1104" s="94"/>
      <c r="R1104" s="94"/>
      <c r="S1104" s="94"/>
      <c r="T1104" s="94"/>
      <c r="U1104" s="94"/>
      <c r="V1104" s="94"/>
      <c r="W1104" s="94"/>
      <c r="X1104" s="94"/>
      <c r="Y1104" s="94"/>
      <c r="Z1104" s="94"/>
      <c r="AA1104" s="94"/>
      <c r="AB1104" s="94"/>
      <c r="AC1104" s="94"/>
      <c r="AD1104" s="94"/>
      <c r="AE1104" s="94"/>
      <c r="AF1104" s="94"/>
      <c r="AG1104" s="94"/>
      <c r="AH1104" s="94"/>
      <c r="AI1104" s="94"/>
      <c r="AJ1104" s="94"/>
      <c r="AK1104" s="94"/>
      <c r="AL1104" s="94"/>
      <c r="AM1104" s="94"/>
      <c r="AN1104" s="94"/>
      <c r="AO1104" s="94"/>
      <c r="AP1104" s="94"/>
      <c r="AQ1104" s="94"/>
      <c r="AR1104" s="94"/>
      <c r="AS1104" s="94"/>
      <c r="AT1104" s="94"/>
      <c r="AU1104" s="94"/>
      <c r="AV1104" s="94"/>
      <c r="AW1104" s="94"/>
      <c r="AX1104" s="94"/>
      <c r="AY1104" s="94"/>
      <c r="AZ1104" s="94"/>
      <c r="BA1104" s="95"/>
    </row>
    <row r="1105" spans="1:53" s="87" customFormat="1">
      <c r="A1105" s="90" t="str">
        <f t="shared" si="43"/>
        <v/>
      </c>
      <c r="B1105" s="98"/>
      <c r="C1105" s="94"/>
      <c r="D1105" s="94"/>
      <c r="E1105" s="94"/>
      <c r="F1105" s="94"/>
      <c r="G1105" s="94"/>
      <c r="H1105" s="94"/>
      <c r="I1105" s="94"/>
      <c r="J1105" s="94"/>
      <c r="K1105" s="94"/>
      <c r="L1105" s="94"/>
      <c r="M1105" s="94"/>
      <c r="N1105" s="94"/>
      <c r="O1105" s="94"/>
      <c r="P1105" s="94"/>
      <c r="Q1105" s="94"/>
      <c r="R1105" s="94"/>
      <c r="S1105" s="94"/>
      <c r="T1105" s="94"/>
      <c r="U1105" s="94"/>
      <c r="V1105" s="94"/>
      <c r="W1105" s="94"/>
      <c r="X1105" s="94"/>
      <c r="Y1105" s="94"/>
      <c r="Z1105" s="94"/>
      <c r="AA1105" s="94"/>
      <c r="AB1105" s="94"/>
      <c r="AC1105" s="94"/>
      <c r="AD1105" s="94"/>
      <c r="AE1105" s="94"/>
      <c r="AF1105" s="94"/>
      <c r="AG1105" s="94"/>
      <c r="AH1105" s="94"/>
      <c r="AI1105" s="94"/>
      <c r="AJ1105" s="94"/>
      <c r="AK1105" s="94"/>
      <c r="AL1105" s="94"/>
      <c r="AM1105" s="94"/>
      <c r="AN1105" s="94"/>
      <c r="AO1105" s="94"/>
      <c r="AP1105" s="94"/>
      <c r="AQ1105" s="94"/>
      <c r="AR1105" s="94"/>
      <c r="AS1105" s="94"/>
      <c r="AT1105" s="94"/>
      <c r="AU1105" s="94"/>
      <c r="AV1105" s="94"/>
      <c r="AW1105" s="94"/>
      <c r="AX1105" s="94"/>
      <c r="AY1105" s="94"/>
      <c r="AZ1105" s="94"/>
      <c r="BA1105" s="95"/>
    </row>
    <row r="1106" spans="1:53" s="87" customFormat="1">
      <c r="A1106" s="90" t="str">
        <f t="shared" si="43"/>
        <v/>
      </c>
      <c r="B1106" s="98"/>
      <c r="C1106" s="94"/>
      <c r="D1106" s="94"/>
      <c r="E1106" s="94"/>
      <c r="F1106" s="94"/>
      <c r="G1106" s="94"/>
      <c r="H1106" s="94"/>
      <c r="I1106" s="94"/>
      <c r="J1106" s="94"/>
      <c r="K1106" s="94"/>
      <c r="L1106" s="94"/>
      <c r="M1106" s="94"/>
      <c r="N1106" s="94"/>
      <c r="O1106" s="94"/>
      <c r="P1106" s="94"/>
      <c r="Q1106" s="94"/>
      <c r="R1106" s="94"/>
      <c r="S1106" s="94"/>
      <c r="T1106" s="94"/>
      <c r="U1106" s="94"/>
      <c r="V1106" s="94"/>
      <c r="W1106" s="94"/>
      <c r="X1106" s="94"/>
      <c r="Y1106" s="94"/>
      <c r="Z1106" s="94"/>
      <c r="AA1106" s="94"/>
      <c r="AB1106" s="94"/>
      <c r="AC1106" s="94"/>
      <c r="AD1106" s="94"/>
      <c r="AE1106" s="94"/>
      <c r="AF1106" s="94"/>
      <c r="AG1106" s="94"/>
      <c r="AH1106" s="94"/>
      <c r="AI1106" s="94"/>
      <c r="AJ1106" s="94"/>
      <c r="AK1106" s="94"/>
      <c r="AL1106" s="94"/>
      <c r="AM1106" s="94"/>
      <c r="AN1106" s="94"/>
      <c r="AO1106" s="94"/>
      <c r="AP1106" s="94"/>
      <c r="AQ1106" s="94"/>
      <c r="AR1106" s="94"/>
      <c r="AS1106" s="94"/>
      <c r="AT1106" s="94"/>
      <c r="AU1106" s="94"/>
      <c r="AV1106" s="94"/>
      <c r="AW1106" s="94"/>
      <c r="AX1106" s="94"/>
      <c r="AY1106" s="94"/>
      <c r="AZ1106" s="94"/>
      <c r="BA1106" s="95"/>
    </row>
    <row r="1107" spans="1:53" s="87" customFormat="1">
      <c r="A1107" s="90" t="str">
        <f t="shared" si="43"/>
        <v/>
      </c>
      <c r="B1107" s="98"/>
      <c r="C1107" s="94"/>
      <c r="D1107" s="94"/>
      <c r="E1107" s="94"/>
      <c r="F1107" s="94"/>
      <c r="G1107" s="94"/>
      <c r="H1107" s="94"/>
      <c r="I1107" s="94"/>
      <c r="J1107" s="94"/>
      <c r="K1107" s="94"/>
      <c r="L1107" s="94"/>
      <c r="M1107" s="94"/>
      <c r="N1107" s="94"/>
      <c r="O1107" s="94"/>
      <c r="P1107" s="94"/>
      <c r="Q1107" s="94"/>
      <c r="R1107" s="94"/>
      <c r="S1107" s="94"/>
      <c r="T1107" s="94"/>
      <c r="U1107" s="94"/>
      <c r="V1107" s="94"/>
      <c r="W1107" s="94"/>
      <c r="X1107" s="94"/>
      <c r="Y1107" s="94"/>
      <c r="Z1107" s="94"/>
      <c r="AA1107" s="94"/>
      <c r="AB1107" s="94"/>
      <c r="AC1107" s="94"/>
      <c r="AD1107" s="94"/>
      <c r="AE1107" s="94"/>
      <c r="AF1107" s="94"/>
      <c r="AG1107" s="94"/>
      <c r="AH1107" s="94"/>
      <c r="AI1107" s="94"/>
      <c r="AJ1107" s="94"/>
      <c r="AK1107" s="94"/>
      <c r="AL1107" s="94"/>
      <c r="AM1107" s="94"/>
      <c r="AN1107" s="94"/>
      <c r="AO1107" s="94"/>
      <c r="AP1107" s="94"/>
      <c r="AQ1107" s="94"/>
      <c r="AR1107" s="94"/>
      <c r="AS1107" s="94"/>
      <c r="AT1107" s="94"/>
      <c r="AU1107" s="94"/>
      <c r="AV1107" s="94"/>
      <c r="AW1107" s="94"/>
      <c r="AX1107" s="94"/>
      <c r="AY1107" s="94"/>
      <c r="AZ1107" s="94"/>
      <c r="BA1107" s="95"/>
    </row>
    <row r="1108" spans="1:53" s="87" customFormat="1">
      <c r="A1108" s="90" t="str">
        <f t="shared" si="43"/>
        <v/>
      </c>
      <c r="B1108" s="98"/>
      <c r="C1108" s="94"/>
      <c r="D1108" s="94"/>
      <c r="E1108" s="94"/>
      <c r="F1108" s="94"/>
      <c r="G1108" s="94"/>
      <c r="H1108" s="94"/>
      <c r="I1108" s="94"/>
      <c r="J1108" s="94"/>
      <c r="K1108" s="94"/>
      <c r="L1108" s="94"/>
      <c r="M1108" s="94"/>
      <c r="N1108" s="94"/>
      <c r="O1108" s="94"/>
      <c r="P1108" s="94"/>
      <c r="Q1108" s="94"/>
      <c r="R1108" s="94"/>
      <c r="S1108" s="94"/>
      <c r="T1108" s="94"/>
      <c r="U1108" s="94"/>
      <c r="V1108" s="94"/>
      <c r="W1108" s="94"/>
      <c r="X1108" s="94"/>
      <c r="Y1108" s="94"/>
      <c r="Z1108" s="94"/>
      <c r="AA1108" s="94"/>
      <c r="AB1108" s="94"/>
      <c r="AC1108" s="94"/>
      <c r="AD1108" s="94"/>
      <c r="AE1108" s="94"/>
      <c r="AF1108" s="94"/>
      <c r="AG1108" s="94"/>
      <c r="AH1108" s="94"/>
      <c r="AI1108" s="94"/>
      <c r="AJ1108" s="94"/>
      <c r="AK1108" s="94"/>
      <c r="AL1108" s="94"/>
      <c r="AM1108" s="94"/>
      <c r="AN1108" s="94"/>
      <c r="AO1108" s="94"/>
      <c r="AP1108" s="94"/>
      <c r="AQ1108" s="94"/>
      <c r="AR1108" s="94"/>
      <c r="AS1108" s="94"/>
      <c r="AT1108" s="94"/>
      <c r="AU1108" s="94"/>
      <c r="AV1108" s="94"/>
      <c r="AW1108" s="94"/>
      <c r="AX1108" s="94"/>
      <c r="AY1108" s="94"/>
      <c r="AZ1108" s="94"/>
      <c r="BA1108" s="95"/>
    </row>
    <row r="1109" spans="1:53" s="87" customFormat="1">
      <c r="A1109" s="90" t="str">
        <f t="shared" si="43"/>
        <v/>
      </c>
      <c r="B1109" s="98"/>
      <c r="C1109" s="94"/>
      <c r="D1109" s="94"/>
      <c r="E1109" s="94"/>
      <c r="F1109" s="94"/>
      <c r="G1109" s="94"/>
      <c r="H1109" s="94"/>
      <c r="I1109" s="94"/>
      <c r="J1109" s="94"/>
      <c r="K1109" s="94"/>
      <c r="L1109" s="94"/>
      <c r="M1109" s="94"/>
      <c r="N1109" s="94"/>
      <c r="O1109" s="94"/>
      <c r="P1109" s="94"/>
      <c r="Q1109" s="94"/>
      <c r="R1109" s="94"/>
      <c r="S1109" s="94"/>
      <c r="T1109" s="94"/>
      <c r="U1109" s="94"/>
      <c r="V1109" s="94"/>
      <c r="W1109" s="94"/>
      <c r="X1109" s="94"/>
      <c r="Y1109" s="94"/>
      <c r="Z1109" s="94"/>
      <c r="AA1109" s="94"/>
      <c r="AB1109" s="94"/>
      <c r="AC1109" s="94"/>
      <c r="AD1109" s="94"/>
      <c r="AE1109" s="94"/>
      <c r="AF1109" s="94"/>
      <c r="AG1109" s="94"/>
      <c r="AH1109" s="94"/>
      <c r="AI1109" s="94"/>
      <c r="AJ1109" s="94"/>
      <c r="AK1109" s="94"/>
      <c r="AL1109" s="94"/>
      <c r="AM1109" s="94"/>
      <c r="AN1109" s="94"/>
      <c r="AO1109" s="94"/>
      <c r="AP1109" s="94"/>
      <c r="AQ1109" s="94"/>
      <c r="AR1109" s="94"/>
      <c r="AS1109" s="94"/>
      <c r="AT1109" s="94"/>
      <c r="AU1109" s="94"/>
      <c r="AV1109" s="94"/>
      <c r="AW1109" s="94"/>
      <c r="AX1109" s="94"/>
      <c r="AY1109" s="94"/>
      <c r="AZ1109" s="94"/>
      <c r="BA1109" s="95"/>
    </row>
    <row r="1110" spans="1:53" s="87" customFormat="1">
      <c r="A1110" s="90" t="str">
        <f t="shared" si="43"/>
        <v/>
      </c>
      <c r="B1110" s="98"/>
      <c r="C1110" s="94"/>
      <c r="D1110" s="94"/>
      <c r="E1110" s="94"/>
      <c r="F1110" s="94"/>
      <c r="G1110" s="94"/>
      <c r="H1110" s="94"/>
      <c r="I1110" s="94"/>
      <c r="J1110" s="94"/>
      <c r="K1110" s="94"/>
      <c r="L1110" s="94"/>
      <c r="M1110" s="94"/>
      <c r="N1110" s="94"/>
      <c r="O1110" s="94"/>
      <c r="P1110" s="94"/>
      <c r="Q1110" s="94"/>
      <c r="R1110" s="94"/>
      <c r="S1110" s="94"/>
      <c r="T1110" s="94"/>
      <c r="U1110" s="94"/>
      <c r="V1110" s="94"/>
      <c r="W1110" s="94"/>
      <c r="X1110" s="94"/>
      <c r="Y1110" s="94"/>
      <c r="Z1110" s="94"/>
      <c r="AA1110" s="94"/>
      <c r="AB1110" s="94"/>
      <c r="AC1110" s="94"/>
      <c r="AD1110" s="94"/>
      <c r="AE1110" s="94"/>
      <c r="AF1110" s="94"/>
      <c r="AG1110" s="94"/>
      <c r="AH1110" s="94"/>
      <c r="AI1110" s="94"/>
      <c r="AJ1110" s="94"/>
      <c r="AK1110" s="94"/>
      <c r="AL1110" s="94"/>
      <c r="AM1110" s="94"/>
      <c r="AN1110" s="94"/>
      <c r="AO1110" s="94"/>
      <c r="AP1110" s="94"/>
      <c r="AQ1110" s="94"/>
      <c r="AR1110" s="94"/>
      <c r="AS1110" s="94"/>
      <c r="AT1110" s="94"/>
      <c r="AU1110" s="94"/>
      <c r="AV1110" s="94"/>
      <c r="AW1110" s="94"/>
      <c r="AX1110" s="94"/>
      <c r="AY1110" s="94"/>
      <c r="AZ1110" s="94"/>
      <c r="BA1110" s="95"/>
    </row>
    <row r="1111" spans="1:53" s="87" customFormat="1">
      <c r="A1111" s="90" t="str">
        <f t="shared" si="43"/>
        <v/>
      </c>
      <c r="B1111" s="98"/>
      <c r="C1111" s="94"/>
      <c r="D1111" s="94"/>
      <c r="E1111" s="94"/>
      <c r="F1111" s="94"/>
      <c r="G1111" s="94"/>
      <c r="H1111" s="94"/>
      <c r="I1111" s="94"/>
      <c r="J1111" s="94"/>
      <c r="K1111" s="94"/>
      <c r="L1111" s="94"/>
      <c r="M1111" s="94"/>
      <c r="N1111" s="94"/>
      <c r="O1111" s="94"/>
      <c r="P1111" s="94"/>
      <c r="Q1111" s="94"/>
      <c r="R1111" s="94"/>
      <c r="S1111" s="94"/>
      <c r="T1111" s="94"/>
      <c r="U1111" s="94"/>
      <c r="V1111" s="94"/>
      <c r="W1111" s="94"/>
      <c r="X1111" s="94"/>
      <c r="Y1111" s="94"/>
      <c r="Z1111" s="94"/>
      <c r="AA1111" s="94"/>
      <c r="AB1111" s="94"/>
      <c r="AC1111" s="94"/>
      <c r="AD1111" s="94"/>
      <c r="AE1111" s="94"/>
      <c r="AF1111" s="94"/>
      <c r="AG1111" s="94"/>
      <c r="AH1111" s="94"/>
      <c r="AI1111" s="94"/>
      <c r="AJ1111" s="94"/>
      <c r="AK1111" s="94"/>
      <c r="AL1111" s="94"/>
      <c r="AM1111" s="94"/>
      <c r="AN1111" s="94"/>
      <c r="AO1111" s="94"/>
      <c r="AP1111" s="94"/>
      <c r="AQ1111" s="94"/>
      <c r="AR1111" s="94"/>
      <c r="AS1111" s="94"/>
      <c r="AT1111" s="94"/>
      <c r="AU1111" s="94"/>
      <c r="AV1111" s="94"/>
      <c r="AW1111" s="94"/>
      <c r="AX1111" s="94"/>
      <c r="AY1111" s="94"/>
      <c r="AZ1111" s="94"/>
      <c r="BA1111" s="95"/>
    </row>
    <row r="1112" spans="1:53" s="87" customFormat="1">
      <c r="A1112" s="90" t="str">
        <f t="shared" si="43"/>
        <v/>
      </c>
      <c r="B1112" s="98"/>
      <c r="C1112" s="94"/>
      <c r="D1112" s="94"/>
      <c r="E1112" s="94"/>
      <c r="F1112" s="94"/>
      <c r="G1112" s="94"/>
      <c r="H1112" s="94"/>
      <c r="I1112" s="94"/>
      <c r="J1112" s="94"/>
      <c r="K1112" s="94"/>
      <c r="L1112" s="94"/>
      <c r="M1112" s="94"/>
      <c r="N1112" s="94"/>
      <c r="O1112" s="94"/>
      <c r="P1112" s="94"/>
      <c r="Q1112" s="94"/>
      <c r="R1112" s="94"/>
      <c r="S1112" s="94"/>
      <c r="T1112" s="94"/>
      <c r="U1112" s="94"/>
      <c r="V1112" s="94"/>
      <c r="W1112" s="94"/>
      <c r="X1112" s="94"/>
      <c r="Y1112" s="94"/>
      <c r="Z1112" s="94"/>
      <c r="AA1112" s="94"/>
      <c r="AB1112" s="94"/>
      <c r="AC1112" s="94"/>
      <c r="AD1112" s="94"/>
      <c r="AE1112" s="94"/>
      <c r="AF1112" s="94"/>
      <c r="AG1112" s="94"/>
      <c r="AH1112" s="94"/>
      <c r="AI1112" s="94"/>
      <c r="AJ1112" s="94"/>
      <c r="AK1112" s="94"/>
      <c r="AL1112" s="94"/>
      <c r="AM1112" s="94"/>
      <c r="AN1112" s="94"/>
      <c r="AO1112" s="94"/>
      <c r="AP1112" s="94"/>
      <c r="AQ1112" s="94"/>
      <c r="AR1112" s="94"/>
      <c r="AS1112" s="94"/>
      <c r="AT1112" s="94"/>
      <c r="AU1112" s="94"/>
      <c r="AV1112" s="94"/>
      <c r="AW1112" s="94"/>
      <c r="AX1112" s="94"/>
      <c r="AY1112" s="94"/>
      <c r="AZ1112" s="94"/>
      <c r="BA1112" s="95"/>
    </row>
    <row r="1113" spans="1:53" s="87" customFormat="1">
      <c r="A1113" s="90" t="str">
        <f t="shared" si="43"/>
        <v/>
      </c>
      <c r="B1113" s="98"/>
      <c r="C1113" s="94"/>
      <c r="D1113" s="94"/>
      <c r="E1113" s="94"/>
      <c r="F1113" s="94"/>
      <c r="G1113" s="94"/>
      <c r="H1113" s="94"/>
      <c r="I1113" s="94"/>
      <c r="J1113" s="94"/>
      <c r="K1113" s="94"/>
      <c r="L1113" s="94"/>
      <c r="M1113" s="94"/>
      <c r="N1113" s="94"/>
      <c r="O1113" s="94"/>
      <c r="P1113" s="94"/>
      <c r="Q1113" s="94"/>
      <c r="R1113" s="94"/>
      <c r="S1113" s="94"/>
      <c r="T1113" s="94"/>
      <c r="U1113" s="94"/>
      <c r="V1113" s="94"/>
      <c r="W1113" s="94"/>
      <c r="X1113" s="94"/>
      <c r="Y1113" s="94"/>
      <c r="Z1113" s="94"/>
      <c r="AA1113" s="94"/>
      <c r="AB1113" s="94"/>
      <c r="AC1113" s="94"/>
      <c r="AD1113" s="94"/>
      <c r="AE1113" s="94"/>
      <c r="AF1113" s="94"/>
      <c r="AG1113" s="94"/>
      <c r="AH1113" s="94"/>
      <c r="AI1113" s="94"/>
      <c r="AJ1113" s="94"/>
      <c r="AK1113" s="94"/>
      <c r="AL1113" s="94"/>
      <c r="AM1113" s="94"/>
      <c r="AN1113" s="94"/>
      <c r="AO1113" s="94"/>
      <c r="AP1113" s="94"/>
      <c r="AQ1113" s="94"/>
      <c r="AR1113" s="94"/>
      <c r="AS1113" s="94"/>
      <c r="AT1113" s="94"/>
      <c r="AU1113" s="94"/>
      <c r="AV1113" s="94"/>
      <c r="AW1113" s="94"/>
      <c r="AX1113" s="94"/>
      <c r="AY1113" s="94"/>
      <c r="AZ1113" s="94"/>
      <c r="BA1113" s="95"/>
    </row>
    <row r="1114" spans="1:53" s="87" customFormat="1">
      <c r="A1114" s="90" t="str">
        <f t="shared" si="43"/>
        <v/>
      </c>
      <c r="B1114" s="98"/>
      <c r="C1114" s="94"/>
      <c r="D1114" s="94"/>
      <c r="E1114" s="94"/>
      <c r="F1114" s="94"/>
      <c r="G1114" s="94"/>
      <c r="H1114" s="94"/>
      <c r="I1114" s="94"/>
      <c r="J1114" s="94"/>
      <c r="K1114" s="94"/>
      <c r="L1114" s="94"/>
      <c r="M1114" s="94"/>
      <c r="N1114" s="94"/>
      <c r="O1114" s="94"/>
      <c r="P1114" s="94"/>
      <c r="Q1114" s="94"/>
      <c r="R1114" s="94"/>
      <c r="S1114" s="94"/>
      <c r="T1114" s="94"/>
      <c r="U1114" s="94"/>
      <c r="V1114" s="94"/>
      <c r="W1114" s="94"/>
      <c r="X1114" s="94"/>
      <c r="Y1114" s="94"/>
      <c r="Z1114" s="94"/>
      <c r="AA1114" s="94"/>
      <c r="AB1114" s="94"/>
      <c r="AC1114" s="94"/>
      <c r="AD1114" s="94"/>
      <c r="AE1114" s="94"/>
      <c r="AF1114" s="94"/>
      <c r="AG1114" s="94"/>
      <c r="AH1114" s="94"/>
      <c r="AI1114" s="94"/>
      <c r="AJ1114" s="94"/>
      <c r="AK1114" s="94"/>
      <c r="AL1114" s="94"/>
      <c r="AM1114" s="94"/>
      <c r="AN1114" s="94"/>
      <c r="AO1114" s="94"/>
      <c r="AP1114" s="94"/>
      <c r="AQ1114" s="94"/>
      <c r="AR1114" s="94"/>
      <c r="AS1114" s="94"/>
      <c r="AT1114" s="94"/>
      <c r="AU1114" s="94"/>
      <c r="AV1114" s="94"/>
      <c r="AW1114" s="94"/>
      <c r="AX1114" s="94"/>
      <c r="AY1114" s="94"/>
      <c r="AZ1114" s="94"/>
      <c r="BA1114" s="95"/>
    </row>
    <row r="1115" spans="1:53" s="87" customFormat="1">
      <c r="A1115" s="90" t="str">
        <f t="shared" si="43"/>
        <v/>
      </c>
      <c r="B1115" s="98"/>
      <c r="C1115" s="94"/>
      <c r="D1115" s="94"/>
      <c r="E1115" s="94"/>
      <c r="F1115" s="94"/>
      <c r="G1115" s="94"/>
      <c r="H1115" s="94"/>
      <c r="I1115" s="94"/>
      <c r="J1115" s="94"/>
      <c r="K1115" s="94"/>
      <c r="L1115" s="94"/>
      <c r="M1115" s="94"/>
      <c r="N1115" s="94"/>
      <c r="O1115" s="94"/>
      <c r="P1115" s="94"/>
      <c r="Q1115" s="94"/>
      <c r="R1115" s="94"/>
      <c r="S1115" s="94"/>
      <c r="T1115" s="94"/>
      <c r="U1115" s="94"/>
      <c r="V1115" s="94"/>
      <c r="W1115" s="94"/>
      <c r="X1115" s="94"/>
      <c r="Y1115" s="94"/>
      <c r="Z1115" s="94"/>
      <c r="AA1115" s="94"/>
      <c r="AB1115" s="94"/>
      <c r="AC1115" s="94"/>
      <c r="AD1115" s="94"/>
      <c r="AE1115" s="94"/>
      <c r="AF1115" s="94"/>
      <c r="AG1115" s="94"/>
      <c r="AH1115" s="94"/>
      <c r="AI1115" s="94"/>
      <c r="AJ1115" s="94"/>
      <c r="AK1115" s="94"/>
      <c r="AL1115" s="94"/>
      <c r="AM1115" s="94"/>
      <c r="AN1115" s="94"/>
      <c r="AO1115" s="94"/>
      <c r="AP1115" s="94"/>
      <c r="AQ1115" s="94"/>
      <c r="AR1115" s="94"/>
      <c r="AS1115" s="94"/>
      <c r="AT1115" s="94"/>
      <c r="AU1115" s="94"/>
      <c r="AV1115" s="94"/>
      <c r="AW1115" s="94"/>
      <c r="AX1115" s="94"/>
      <c r="AY1115" s="94"/>
      <c r="AZ1115" s="94"/>
      <c r="BA1115" s="95"/>
    </row>
    <row r="1116" spans="1:53" s="87" customFormat="1">
      <c r="A1116" s="90" t="str">
        <f t="shared" si="43"/>
        <v/>
      </c>
      <c r="B1116" s="98"/>
      <c r="C1116" s="94"/>
      <c r="D1116" s="94"/>
      <c r="E1116" s="94"/>
      <c r="F1116" s="94"/>
      <c r="G1116" s="94"/>
      <c r="H1116" s="94"/>
      <c r="I1116" s="94"/>
      <c r="J1116" s="94"/>
      <c r="K1116" s="94"/>
      <c r="L1116" s="94"/>
      <c r="M1116" s="94"/>
      <c r="N1116" s="94"/>
      <c r="O1116" s="94"/>
      <c r="P1116" s="94"/>
      <c r="Q1116" s="94"/>
      <c r="R1116" s="94"/>
      <c r="S1116" s="94"/>
      <c r="T1116" s="94"/>
      <c r="U1116" s="94"/>
      <c r="V1116" s="94"/>
      <c r="W1116" s="94"/>
      <c r="X1116" s="94"/>
      <c r="Y1116" s="94"/>
      <c r="Z1116" s="94"/>
      <c r="AA1116" s="94"/>
      <c r="AB1116" s="94"/>
      <c r="AC1116" s="94"/>
      <c r="AD1116" s="94"/>
      <c r="AE1116" s="94"/>
      <c r="AF1116" s="94"/>
      <c r="AG1116" s="94"/>
      <c r="AH1116" s="94"/>
      <c r="AI1116" s="94"/>
      <c r="AJ1116" s="94"/>
      <c r="AK1116" s="94"/>
      <c r="AL1116" s="94"/>
      <c r="AM1116" s="94"/>
      <c r="AN1116" s="94"/>
      <c r="AO1116" s="94"/>
      <c r="AP1116" s="94"/>
      <c r="AQ1116" s="94"/>
      <c r="AR1116" s="94"/>
      <c r="AS1116" s="94"/>
      <c r="AT1116" s="94"/>
      <c r="AU1116" s="94"/>
      <c r="AV1116" s="94"/>
      <c r="AW1116" s="94"/>
      <c r="AX1116" s="94"/>
      <c r="AY1116" s="94"/>
      <c r="AZ1116" s="94"/>
      <c r="BA1116" s="95"/>
    </row>
    <row r="1117" spans="1:53" s="87" customFormat="1">
      <c r="A1117" s="90" t="str">
        <f t="shared" si="43"/>
        <v/>
      </c>
      <c r="B1117" s="98"/>
      <c r="C1117" s="94"/>
      <c r="D1117" s="94"/>
      <c r="E1117" s="94"/>
      <c r="F1117" s="94"/>
      <c r="G1117" s="94"/>
      <c r="H1117" s="94"/>
      <c r="I1117" s="94"/>
      <c r="J1117" s="94"/>
      <c r="K1117" s="94"/>
      <c r="L1117" s="94"/>
      <c r="M1117" s="94"/>
      <c r="N1117" s="94"/>
      <c r="O1117" s="94"/>
      <c r="P1117" s="94"/>
      <c r="Q1117" s="94"/>
      <c r="R1117" s="94"/>
      <c r="S1117" s="94"/>
      <c r="T1117" s="94"/>
      <c r="U1117" s="94"/>
      <c r="V1117" s="94"/>
      <c r="W1117" s="94"/>
      <c r="X1117" s="94"/>
      <c r="Y1117" s="94"/>
      <c r="Z1117" s="94"/>
      <c r="AA1117" s="94"/>
      <c r="AB1117" s="94"/>
      <c r="AC1117" s="94"/>
      <c r="AD1117" s="94"/>
      <c r="AE1117" s="94"/>
      <c r="AF1117" s="94"/>
      <c r="AG1117" s="94"/>
      <c r="AH1117" s="94"/>
      <c r="AI1117" s="94"/>
      <c r="AJ1117" s="94"/>
      <c r="AK1117" s="94"/>
      <c r="AL1117" s="94"/>
      <c r="AM1117" s="94"/>
      <c r="AN1117" s="94"/>
      <c r="AO1117" s="94"/>
      <c r="AP1117" s="94"/>
      <c r="AQ1117" s="94"/>
      <c r="AR1117" s="94"/>
      <c r="AS1117" s="94"/>
      <c r="AT1117" s="94"/>
      <c r="AU1117" s="94"/>
      <c r="AV1117" s="94"/>
      <c r="AW1117" s="94"/>
      <c r="AX1117" s="94"/>
      <c r="AY1117" s="94"/>
      <c r="AZ1117" s="94"/>
      <c r="BA1117" s="95"/>
    </row>
    <row r="1118" spans="1:53" s="87" customFormat="1">
      <c r="A1118" s="90" t="str">
        <f t="shared" si="43"/>
        <v/>
      </c>
      <c r="B1118" s="98"/>
      <c r="C1118" s="94"/>
      <c r="D1118" s="94"/>
      <c r="E1118" s="94"/>
      <c r="F1118" s="94"/>
      <c r="G1118" s="94"/>
      <c r="H1118" s="94"/>
      <c r="I1118" s="94"/>
      <c r="J1118" s="94"/>
      <c r="K1118" s="94"/>
      <c r="L1118" s="94"/>
      <c r="M1118" s="94"/>
      <c r="N1118" s="94"/>
      <c r="O1118" s="94"/>
      <c r="P1118" s="94"/>
      <c r="Q1118" s="94"/>
      <c r="R1118" s="94"/>
      <c r="S1118" s="94"/>
      <c r="T1118" s="94"/>
      <c r="U1118" s="94"/>
      <c r="V1118" s="94"/>
      <c r="W1118" s="94"/>
      <c r="X1118" s="94"/>
      <c r="Y1118" s="94"/>
      <c r="Z1118" s="94"/>
      <c r="AA1118" s="94"/>
      <c r="AB1118" s="94"/>
      <c r="AC1118" s="94"/>
      <c r="AD1118" s="94"/>
      <c r="AE1118" s="94"/>
      <c r="AF1118" s="94"/>
      <c r="AG1118" s="94"/>
      <c r="AH1118" s="94"/>
      <c r="AI1118" s="94"/>
      <c r="AJ1118" s="94"/>
      <c r="AK1118" s="94"/>
      <c r="AL1118" s="94"/>
      <c r="AM1118" s="94"/>
      <c r="AN1118" s="94"/>
      <c r="AO1118" s="94"/>
      <c r="AP1118" s="94"/>
      <c r="AQ1118" s="94"/>
      <c r="AR1118" s="94"/>
      <c r="AS1118" s="94"/>
      <c r="AT1118" s="94"/>
      <c r="AU1118" s="94"/>
      <c r="AV1118" s="94"/>
      <c r="AW1118" s="94"/>
      <c r="AX1118" s="94"/>
      <c r="AY1118" s="94"/>
      <c r="AZ1118" s="94"/>
      <c r="BA1118" s="95"/>
    </row>
    <row r="1119" spans="1:53" s="87" customFormat="1">
      <c r="A1119" s="90" t="str">
        <f t="shared" si="43"/>
        <v/>
      </c>
      <c r="B1119" s="98"/>
      <c r="C1119" s="94"/>
      <c r="D1119" s="94"/>
      <c r="E1119" s="94"/>
      <c r="F1119" s="94"/>
      <c r="G1119" s="94"/>
      <c r="H1119" s="94"/>
      <c r="I1119" s="94"/>
      <c r="J1119" s="94"/>
      <c r="K1119" s="94"/>
      <c r="L1119" s="94"/>
      <c r="M1119" s="94"/>
      <c r="N1119" s="94"/>
      <c r="O1119" s="94"/>
      <c r="P1119" s="94"/>
      <c r="Q1119" s="94"/>
      <c r="R1119" s="94"/>
      <c r="S1119" s="94"/>
      <c r="T1119" s="94"/>
      <c r="U1119" s="94"/>
      <c r="V1119" s="94"/>
      <c r="W1119" s="94"/>
      <c r="X1119" s="94"/>
      <c r="Y1119" s="94"/>
      <c r="Z1119" s="94"/>
      <c r="AA1119" s="94"/>
      <c r="AB1119" s="94"/>
      <c r="AC1119" s="94"/>
      <c r="AD1119" s="94"/>
      <c r="AE1119" s="94"/>
      <c r="AF1119" s="94"/>
      <c r="AG1119" s="94"/>
      <c r="AH1119" s="94"/>
      <c r="AI1119" s="94"/>
      <c r="AJ1119" s="94"/>
      <c r="AK1119" s="94"/>
      <c r="AL1119" s="94"/>
      <c r="AM1119" s="94"/>
      <c r="AN1119" s="94"/>
      <c r="AO1119" s="94"/>
      <c r="AP1119" s="94"/>
      <c r="AQ1119" s="94"/>
      <c r="AR1119" s="94"/>
      <c r="AS1119" s="94"/>
      <c r="AT1119" s="94"/>
      <c r="AU1119" s="94"/>
      <c r="AV1119" s="94"/>
      <c r="AW1119" s="94"/>
      <c r="AX1119" s="94"/>
      <c r="AY1119" s="94"/>
      <c r="AZ1119" s="94"/>
      <c r="BA1119" s="95"/>
    </row>
    <row r="1120" spans="1:53" s="87" customFormat="1">
      <c r="A1120" s="90" t="str">
        <f t="shared" si="43"/>
        <v/>
      </c>
      <c r="B1120" s="98"/>
      <c r="C1120" s="94"/>
      <c r="D1120" s="94"/>
      <c r="E1120" s="94"/>
      <c r="F1120" s="94"/>
      <c r="G1120" s="94"/>
      <c r="H1120" s="94"/>
      <c r="I1120" s="94"/>
      <c r="J1120" s="94"/>
      <c r="K1120" s="94"/>
      <c r="L1120" s="94"/>
      <c r="M1120" s="94"/>
      <c r="N1120" s="94"/>
      <c r="O1120" s="94"/>
      <c r="P1120" s="94"/>
      <c r="Q1120" s="94"/>
      <c r="R1120" s="94"/>
      <c r="S1120" s="94"/>
      <c r="T1120" s="94"/>
      <c r="U1120" s="94"/>
      <c r="V1120" s="94"/>
      <c r="W1120" s="94"/>
      <c r="X1120" s="94"/>
      <c r="Y1120" s="94"/>
      <c r="Z1120" s="94"/>
      <c r="AA1120" s="94"/>
      <c r="AB1120" s="94"/>
      <c r="AC1120" s="94"/>
      <c r="AD1120" s="94"/>
      <c r="AE1120" s="94"/>
      <c r="AF1120" s="94"/>
      <c r="AG1120" s="94"/>
      <c r="AH1120" s="94"/>
      <c r="AI1120" s="94"/>
      <c r="AJ1120" s="94"/>
      <c r="AK1120" s="94"/>
      <c r="AL1120" s="94"/>
      <c r="AM1120" s="94"/>
      <c r="AN1120" s="94"/>
      <c r="AO1120" s="94"/>
      <c r="AP1120" s="94"/>
      <c r="AQ1120" s="94"/>
      <c r="AR1120" s="94"/>
      <c r="AS1120" s="94"/>
      <c r="AT1120" s="94"/>
      <c r="AU1120" s="94"/>
      <c r="AV1120" s="94"/>
      <c r="AW1120" s="94"/>
      <c r="AX1120" s="94"/>
      <c r="AY1120" s="94"/>
      <c r="AZ1120" s="94"/>
      <c r="BA1120" s="95"/>
    </row>
    <row r="1121" spans="1:53" s="87" customFormat="1">
      <c r="A1121" s="90" t="str">
        <f t="shared" si="43"/>
        <v/>
      </c>
      <c r="B1121" s="98"/>
      <c r="C1121" s="94"/>
      <c r="D1121" s="94"/>
      <c r="E1121" s="94"/>
      <c r="F1121" s="94"/>
      <c r="G1121" s="94"/>
      <c r="H1121" s="94"/>
      <c r="I1121" s="94"/>
      <c r="J1121" s="94"/>
      <c r="K1121" s="94"/>
      <c r="L1121" s="94"/>
      <c r="M1121" s="94"/>
      <c r="N1121" s="94"/>
      <c r="O1121" s="94"/>
      <c r="P1121" s="94"/>
      <c r="Q1121" s="94"/>
      <c r="R1121" s="94"/>
      <c r="S1121" s="94"/>
      <c r="T1121" s="94"/>
      <c r="U1121" s="94"/>
      <c r="V1121" s="94"/>
      <c r="W1121" s="94"/>
      <c r="X1121" s="94"/>
      <c r="Y1121" s="94"/>
      <c r="Z1121" s="94"/>
      <c r="AA1121" s="94"/>
      <c r="AB1121" s="94"/>
      <c r="AC1121" s="94"/>
      <c r="AD1121" s="94"/>
      <c r="AE1121" s="94"/>
      <c r="AF1121" s="94"/>
      <c r="AG1121" s="94"/>
      <c r="AH1121" s="94"/>
      <c r="AI1121" s="94"/>
      <c r="AJ1121" s="94"/>
      <c r="AK1121" s="94"/>
      <c r="AL1121" s="94"/>
      <c r="AM1121" s="94"/>
      <c r="AN1121" s="94"/>
      <c r="AO1121" s="94"/>
      <c r="AP1121" s="94"/>
      <c r="AQ1121" s="94"/>
      <c r="AR1121" s="94"/>
      <c r="AS1121" s="94"/>
      <c r="AT1121" s="94"/>
      <c r="AU1121" s="94"/>
      <c r="AV1121" s="94"/>
      <c r="AW1121" s="94"/>
      <c r="AX1121" s="94"/>
      <c r="AY1121" s="94"/>
      <c r="AZ1121" s="94"/>
      <c r="BA1121" s="95"/>
    </row>
    <row r="1122" spans="1:53" s="87" customFormat="1">
      <c r="A1122" s="90" t="str">
        <f t="shared" si="43"/>
        <v/>
      </c>
      <c r="B1122" s="98"/>
      <c r="C1122" s="94"/>
      <c r="D1122" s="94"/>
      <c r="E1122" s="94"/>
      <c r="F1122" s="94"/>
      <c r="G1122" s="94"/>
      <c r="H1122" s="94"/>
      <c r="I1122" s="94"/>
      <c r="J1122" s="94"/>
      <c r="K1122" s="94"/>
      <c r="L1122" s="94"/>
      <c r="M1122" s="94"/>
      <c r="N1122" s="94"/>
      <c r="O1122" s="94"/>
      <c r="P1122" s="94"/>
      <c r="Q1122" s="94"/>
      <c r="R1122" s="94"/>
      <c r="S1122" s="94"/>
      <c r="T1122" s="94"/>
      <c r="U1122" s="94"/>
      <c r="V1122" s="94"/>
      <c r="W1122" s="94"/>
      <c r="X1122" s="94"/>
      <c r="Y1122" s="94"/>
      <c r="Z1122" s="94"/>
      <c r="AA1122" s="94"/>
      <c r="AB1122" s="94"/>
      <c r="AC1122" s="94"/>
      <c r="AD1122" s="94"/>
      <c r="AE1122" s="94"/>
      <c r="AF1122" s="94"/>
      <c r="AG1122" s="94"/>
      <c r="AH1122" s="94"/>
      <c r="AI1122" s="94"/>
      <c r="AJ1122" s="94"/>
      <c r="AK1122" s="94"/>
      <c r="AL1122" s="94"/>
      <c r="AM1122" s="94"/>
      <c r="AN1122" s="94"/>
      <c r="AO1122" s="94"/>
      <c r="AP1122" s="94"/>
      <c r="AQ1122" s="94"/>
      <c r="AR1122" s="94"/>
      <c r="AS1122" s="94"/>
      <c r="AT1122" s="94"/>
      <c r="AU1122" s="94"/>
      <c r="AV1122" s="94"/>
      <c r="AW1122" s="94"/>
      <c r="AX1122" s="94"/>
      <c r="AY1122" s="94"/>
      <c r="AZ1122" s="94"/>
      <c r="BA1122" s="95"/>
    </row>
    <row r="1123" spans="1:53" s="87" customFormat="1">
      <c r="A1123" s="90" t="str">
        <f t="shared" si="43"/>
        <v/>
      </c>
      <c r="B1123" s="98"/>
      <c r="C1123" s="94"/>
      <c r="D1123" s="94"/>
      <c r="E1123" s="94"/>
      <c r="F1123" s="94"/>
      <c r="G1123" s="94"/>
      <c r="H1123" s="94"/>
      <c r="I1123" s="94"/>
      <c r="J1123" s="94"/>
      <c r="K1123" s="94"/>
      <c r="L1123" s="94"/>
      <c r="M1123" s="94"/>
      <c r="N1123" s="94"/>
      <c r="O1123" s="94"/>
      <c r="P1123" s="94"/>
      <c r="Q1123" s="94"/>
      <c r="R1123" s="94"/>
      <c r="S1123" s="94"/>
      <c r="T1123" s="94"/>
      <c r="U1123" s="94"/>
      <c r="V1123" s="94"/>
      <c r="W1123" s="94"/>
      <c r="X1123" s="94"/>
      <c r="Y1123" s="94"/>
      <c r="Z1123" s="94"/>
      <c r="AA1123" s="94"/>
      <c r="AB1123" s="94"/>
      <c r="AC1123" s="94"/>
      <c r="AD1123" s="94"/>
      <c r="AE1123" s="94"/>
      <c r="AF1123" s="94"/>
      <c r="AG1123" s="94"/>
      <c r="AH1123" s="94"/>
      <c r="AI1123" s="94"/>
      <c r="AJ1123" s="94"/>
      <c r="AK1123" s="94"/>
      <c r="AL1123" s="94"/>
      <c r="AM1123" s="94"/>
      <c r="AN1123" s="94"/>
      <c r="AO1123" s="94"/>
      <c r="AP1123" s="94"/>
      <c r="AQ1123" s="94"/>
      <c r="AR1123" s="94"/>
      <c r="AS1123" s="94"/>
      <c r="AT1123" s="94"/>
      <c r="AU1123" s="94"/>
      <c r="AV1123" s="94"/>
      <c r="AW1123" s="94"/>
      <c r="AX1123" s="94"/>
      <c r="AY1123" s="94"/>
      <c r="AZ1123" s="94"/>
      <c r="BA1123" s="95"/>
    </row>
    <row r="1124" spans="1:53" s="87" customFormat="1">
      <c r="A1124" s="90" t="str">
        <f t="shared" si="43"/>
        <v/>
      </c>
      <c r="B1124" s="98"/>
      <c r="C1124" s="94"/>
      <c r="D1124" s="94"/>
      <c r="E1124" s="94"/>
      <c r="F1124" s="94"/>
      <c r="G1124" s="94"/>
      <c r="H1124" s="94"/>
      <c r="I1124" s="94"/>
      <c r="J1124" s="94"/>
      <c r="K1124" s="94"/>
      <c r="L1124" s="94"/>
      <c r="M1124" s="94"/>
      <c r="N1124" s="94"/>
      <c r="O1124" s="94"/>
      <c r="P1124" s="94"/>
      <c r="Q1124" s="94"/>
      <c r="R1124" s="94"/>
      <c r="S1124" s="94"/>
      <c r="T1124" s="94"/>
      <c r="U1124" s="94"/>
      <c r="V1124" s="94"/>
      <c r="W1124" s="94"/>
      <c r="X1124" s="94"/>
      <c r="Y1124" s="94"/>
      <c r="Z1124" s="94"/>
      <c r="AA1124" s="94"/>
      <c r="AB1124" s="94"/>
      <c r="AC1124" s="94"/>
      <c r="AD1124" s="94"/>
      <c r="AE1124" s="94"/>
      <c r="AF1124" s="94"/>
      <c r="AG1124" s="94"/>
      <c r="AH1124" s="94"/>
      <c r="AI1124" s="94"/>
      <c r="AJ1124" s="94"/>
      <c r="AK1124" s="94"/>
      <c r="AL1124" s="94"/>
      <c r="AM1124" s="94"/>
      <c r="AN1124" s="94"/>
      <c r="AO1124" s="94"/>
      <c r="AP1124" s="94"/>
      <c r="AQ1124" s="94"/>
      <c r="AR1124" s="94"/>
      <c r="AS1124" s="94"/>
      <c r="AT1124" s="94"/>
      <c r="AU1124" s="94"/>
      <c r="AV1124" s="94"/>
      <c r="AW1124" s="94"/>
      <c r="AX1124" s="94"/>
      <c r="AY1124" s="94"/>
      <c r="AZ1124" s="94"/>
      <c r="BA1124" s="95"/>
    </row>
    <row r="1125" spans="1:53" s="87" customFormat="1">
      <c r="A1125" s="90" t="str">
        <f t="shared" si="43"/>
        <v/>
      </c>
      <c r="B1125" s="98"/>
      <c r="C1125" s="94"/>
      <c r="D1125" s="94"/>
      <c r="E1125" s="94"/>
      <c r="F1125" s="94"/>
      <c r="G1125" s="94"/>
      <c r="H1125" s="94"/>
      <c r="I1125" s="94"/>
      <c r="J1125" s="94"/>
      <c r="K1125" s="94"/>
      <c r="L1125" s="94"/>
      <c r="M1125" s="94"/>
      <c r="N1125" s="94"/>
      <c r="O1125" s="94"/>
      <c r="P1125" s="94"/>
      <c r="Q1125" s="94"/>
      <c r="R1125" s="94"/>
      <c r="S1125" s="94"/>
      <c r="T1125" s="94"/>
      <c r="U1125" s="94"/>
      <c r="V1125" s="94"/>
      <c r="W1125" s="94"/>
      <c r="X1125" s="94"/>
      <c r="Y1125" s="94"/>
      <c r="Z1125" s="94"/>
      <c r="AA1125" s="94"/>
      <c r="AB1125" s="94"/>
      <c r="AC1125" s="94"/>
      <c r="AD1125" s="94"/>
      <c r="AE1125" s="94"/>
      <c r="AF1125" s="94"/>
      <c r="AG1125" s="94"/>
      <c r="AH1125" s="94"/>
      <c r="AI1125" s="94"/>
      <c r="AJ1125" s="94"/>
      <c r="AK1125" s="94"/>
      <c r="AL1125" s="94"/>
      <c r="AM1125" s="94"/>
      <c r="AN1125" s="94"/>
      <c r="AO1125" s="94"/>
      <c r="AP1125" s="94"/>
      <c r="AQ1125" s="94"/>
      <c r="AR1125" s="94"/>
      <c r="AS1125" s="94"/>
      <c r="AT1125" s="94"/>
      <c r="AU1125" s="94"/>
      <c r="AV1125" s="94"/>
      <c r="AW1125" s="94"/>
      <c r="AX1125" s="94"/>
      <c r="AY1125" s="94"/>
      <c r="AZ1125" s="94"/>
      <c r="BA1125" s="95"/>
    </row>
    <row r="1126" spans="1:53" s="87" customFormat="1">
      <c r="A1126" s="90" t="str">
        <f t="shared" si="43"/>
        <v/>
      </c>
      <c r="B1126" s="98"/>
      <c r="C1126" s="94"/>
      <c r="D1126" s="94"/>
      <c r="E1126" s="94"/>
      <c r="F1126" s="94"/>
      <c r="G1126" s="94"/>
      <c r="H1126" s="94"/>
      <c r="I1126" s="94"/>
      <c r="J1126" s="94"/>
      <c r="K1126" s="94"/>
      <c r="L1126" s="94"/>
      <c r="M1126" s="94"/>
      <c r="N1126" s="94"/>
      <c r="O1126" s="94"/>
      <c r="P1126" s="94"/>
      <c r="Q1126" s="94"/>
      <c r="R1126" s="94"/>
      <c r="S1126" s="94"/>
      <c r="T1126" s="94"/>
      <c r="U1126" s="94"/>
      <c r="V1126" s="94"/>
      <c r="W1126" s="94"/>
      <c r="X1126" s="94"/>
      <c r="Y1126" s="94"/>
      <c r="Z1126" s="94"/>
      <c r="AA1126" s="94"/>
      <c r="AB1126" s="94"/>
      <c r="AC1126" s="94"/>
      <c r="AD1126" s="94"/>
      <c r="AE1126" s="94"/>
      <c r="AF1126" s="94"/>
      <c r="AG1126" s="94"/>
      <c r="AH1126" s="94"/>
      <c r="AI1126" s="94"/>
      <c r="AJ1126" s="94"/>
      <c r="AK1126" s="94"/>
      <c r="AL1126" s="94"/>
      <c r="AM1126" s="94"/>
      <c r="AN1126" s="94"/>
      <c r="AO1126" s="94"/>
      <c r="AP1126" s="94"/>
      <c r="AQ1126" s="94"/>
      <c r="AR1126" s="94"/>
      <c r="AS1126" s="94"/>
      <c r="AT1126" s="94"/>
      <c r="AU1126" s="94"/>
      <c r="AV1126" s="94"/>
      <c r="AW1126" s="94"/>
      <c r="AX1126" s="94"/>
      <c r="AY1126" s="94"/>
      <c r="AZ1126" s="94"/>
      <c r="BA1126" s="95"/>
    </row>
    <row r="1127" spans="1:53" s="87" customFormat="1">
      <c r="A1127" s="90" t="str">
        <f t="shared" si="43"/>
        <v/>
      </c>
      <c r="B1127" s="98"/>
      <c r="C1127" s="94"/>
      <c r="D1127" s="94"/>
      <c r="E1127" s="94"/>
      <c r="F1127" s="94"/>
      <c r="G1127" s="94"/>
      <c r="H1127" s="94"/>
      <c r="I1127" s="94"/>
      <c r="J1127" s="94"/>
      <c r="K1127" s="94"/>
      <c r="L1127" s="94"/>
      <c r="M1127" s="94"/>
      <c r="N1127" s="94"/>
      <c r="O1127" s="94"/>
      <c r="P1127" s="94"/>
      <c r="Q1127" s="94"/>
      <c r="R1127" s="94"/>
      <c r="S1127" s="94"/>
      <c r="T1127" s="94"/>
      <c r="U1127" s="94"/>
      <c r="V1127" s="94"/>
      <c r="W1127" s="94"/>
      <c r="X1127" s="94"/>
      <c r="Y1127" s="94"/>
      <c r="Z1127" s="94"/>
      <c r="AA1127" s="94"/>
      <c r="AB1127" s="94"/>
      <c r="AC1127" s="94"/>
      <c r="AD1127" s="94"/>
      <c r="AE1127" s="94"/>
      <c r="AF1127" s="94"/>
      <c r="AG1127" s="94"/>
      <c r="AH1127" s="94"/>
      <c r="AI1127" s="94"/>
      <c r="AJ1127" s="94"/>
      <c r="AK1127" s="94"/>
      <c r="AL1127" s="94"/>
      <c r="AM1127" s="94"/>
      <c r="AN1127" s="94"/>
      <c r="AO1127" s="94"/>
      <c r="AP1127" s="94"/>
      <c r="AQ1127" s="94"/>
      <c r="AR1127" s="94"/>
      <c r="AS1127" s="94"/>
      <c r="AT1127" s="94"/>
      <c r="AU1127" s="94"/>
      <c r="AV1127" s="94"/>
      <c r="AW1127" s="94"/>
      <c r="AX1127" s="94"/>
      <c r="AY1127" s="94"/>
      <c r="AZ1127" s="94"/>
      <c r="BA1127" s="95"/>
    </row>
    <row r="1128" spans="1:53" s="87" customFormat="1">
      <c r="A1128" s="90" t="str">
        <f t="shared" si="43"/>
        <v/>
      </c>
      <c r="B1128" s="98"/>
      <c r="C1128" s="94"/>
      <c r="D1128" s="94"/>
      <c r="E1128" s="94"/>
      <c r="F1128" s="94"/>
      <c r="G1128" s="94"/>
      <c r="H1128" s="94"/>
      <c r="I1128" s="94"/>
      <c r="J1128" s="94"/>
      <c r="K1128" s="94"/>
      <c r="L1128" s="94"/>
      <c r="M1128" s="94"/>
      <c r="N1128" s="94"/>
      <c r="O1128" s="94"/>
      <c r="P1128" s="94"/>
      <c r="Q1128" s="94"/>
      <c r="R1128" s="94"/>
      <c r="S1128" s="94"/>
      <c r="T1128" s="94"/>
      <c r="U1128" s="94"/>
      <c r="V1128" s="94"/>
      <c r="W1128" s="94"/>
      <c r="X1128" s="94"/>
      <c r="Y1128" s="94"/>
      <c r="Z1128" s="94"/>
      <c r="AA1128" s="94"/>
      <c r="AB1128" s="94"/>
      <c r="AC1128" s="94"/>
      <c r="AD1128" s="94"/>
      <c r="AE1128" s="94"/>
      <c r="AF1128" s="94"/>
      <c r="AG1128" s="94"/>
      <c r="AH1128" s="94"/>
      <c r="AI1128" s="94"/>
      <c r="AJ1128" s="94"/>
      <c r="AK1128" s="94"/>
      <c r="AL1128" s="94"/>
      <c r="AM1128" s="94"/>
      <c r="AN1128" s="94"/>
      <c r="AO1128" s="94"/>
      <c r="AP1128" s="94"/>
      <c r="AQ1128" s="94"/>
      <c r="AR1128" s="94"/>
      <c r="AS1128" s="94"/>
      <c r="AT1128" s="94"/>
      <c r="AU1128" s="94"/>
      <c r="AV1128" s="94"/>
      <c r="AW1128" s="94"/>
      <c r="AX1128" s="94"/>
      <c r="AY1128" s="94"/>
      <c r="AZ1128" s="94"/>
      <c r="BA1128" s="95"/>
    </row>
    <row r="1129" spans="1:53" s="87" customFormat="1">
      <c r="A1129" s="90" t="str">
        <f t="shared" si="43"/>
        <v/>
      </c>
      <c r="B1129" s="98"/>
      <c r="C1129" s="94"/>
      <c r="D1129" s="94"/>
      <c r="E1129" s="94"/>
      <c r="F1129" s="94"/>
      <c r="G1129" s="94"/>
      <c r="H1129" s="94"/>
      <c r="I1129" s="94"/>
      <c r="J1129" s="94"/>
      <c r="K1129" s="94"/>
      <c r="L1129" s="94"/>
      <c r="M1129" s="94"/>
      <c r="N1129" s="94"/>
      <c r="O1129" s="94"/>
      <c r="P1129" s="94"/>
      <c r="Q1129" s="94"/>
      <c r="R1129" s="94"/>
      <c r="S1129" s="94"/>
      <c r="T1129" s="94"/>
      <c r="U1129" s="94"/>
      <c r="V1129" s="94"/>
      <c r="W1129" s="94"/>
      <c r="X1129" s="94"/>
      <c r="Y1129" s="94"/>
      <c r="Z1129" s="94"/>
      <c r="AA1129" s="94"/>
      <c r="AB1129" s="94"/>
      <c r="AC1129" s="94"/>
      <c r="AD1129" s="94"/>
      <c r="AE1129" s="94"/>
      <c r="AF1129" s="94"/>
      <c r="AG1129" s="94"/>
      <c r="AH1129" s="94"/>
      <c r="AI1129" s="94"/>
      <c r="AJ1129" s="94"/>
      <c r="AK1129" s="94"/>
      <c r="AL1129" s="94"/>
      <c r="AM1129" s="94"/>
      <c r="AN1129" s="94"/>
      <c r="AO1129" s="94"/>
      <c r="AP1129" s="94"/>
      <c r="AQ1129" s="94"/>
      <c r="AR1129" s="94"/>
      <c r="AS1129" s="94"/>
      <c r="AT1129" s="94"/>
      <c r="AU1129" s="94"/>
      <c r="AV1129" s="94"/>
      <c r="AW1129" s="94"/>
      <c r="AX1129" s="94"/>
      <c r="AY1129" s="94"/>
      <c r="AZ1129" s="94"/>
      <c r="BA1129" s="95"/>
    </row>
    <row r="1130" spans="1:53" s="87" customFormat="1">
      <c r="A1130" s="90" t="str">
        <f t="shared" si="43"/>
        <v/>
      </c>
      <c r="B1130" s="98"/>
      <c r="C1130" s="94"/>
      <c r="D1130" s="94"/>
      <c r="E1130" s="94"/>
      <c r="F1130" s="94"/>
      <c r="G1130" s="94"/>
      <c r="H1130" s="94"/>
      <c r="I1130" s="94"/>
      <c r="J1130" s="94"/>
      <c r="K1130" s="94"/>
      <c r="L1130" s="94"/>
      <c r="M1130" s="94"/>
      <c r="N1130" s="94"/>
      <c r="O1130" s="94"/>
      <c r="P1130" s="94"/>
      <c r="Q1130" s="94"/>
      <c r="R1130" s="94"/>
      <c r="S1130" s="94"/>
      <c r="T1130" s="94"/>
      <c r="U1130" s="94"/>
      <c r="V1130" s="94"/>
      <c r="W1130" s="94"/>
      <c r="X1130" s="94"/>
      <c r="Y1130" s="94"/>
      <c r="Z1130" s="94"/>
      <c r="AA1130" s="94"/>
      <c r="AB1130" s="94"/>
      <c r="AC1130" s="94"/>
      <c r="AD1130" s="94"/>
      <c r="AE1130" s="94"/>
      <c r="AF1130" s="94"/>
      <c r="AG1130" s="94"/>
      <c r="AH1130" s="94"/>
      <c r="AI1130" s="94"/>
      <c r="AJ1130" s="94"/>
      <c r="AK1130" s="94"/>
      <c r="AL1130" s="94"/>
      <c r="AM1130" s="94"/>
      <c r="AN1130" s="94"/>
      <c r="AO1130" s="94"/>
      <c r="AP1130" s="94"/>
      <c r="AQ1130" s="94"/>
      <c r="AR1130" s="94"/>
      <c r="AS1130" s="94"/>
      <c r="AT1130" s="94"/>
      <c r="AU1130" s="94"/>
      <c r="AV1130" s="94"/>
      <c r="AW1130" s="94"/>
      <c r="AX1130" s="94"/>
      <c r="AY1130" s="94"/>
      <c r="AZ1130" s="94"/>
      <c r="BA1130" s="95"/>
    </row>
    <row r="1131" spans="1:53" s="87" customFormat="1">
      <c r="A1131" s="90" t="str">
        <f t="shared" si="43"/>
        <v/>
      </c>
      <c r="B1131" s="98"/>
      <c r="C1131" s="94"/>
      <c r="D1131" s="94"/>
      <c r="E1131" s="94"/>
      <c r="F1131" s="94"/>
      <c r="G1131" s="94"/>
      <c r="H1131" s="94"/>
      <c r="I1131" s="94"/>
      <c r="J1131" s="94"/>
      <c r="K1131" s="94"/>
      <c r="L1131" s="94"/>
      <c r="M1131" s="94"/>
      <c r="N1131" s="94"/>
      <c r="O1131" s="94"/>
      <c r="P1131" s="94"/>
      <c r="Q1131" s="94"/>
      <c r="R1131" s="94"/>
      <c r="S1131" s="94"/>
      <c r="T1131" s="94"/>
      <c r="U1131" s="94"/>
      <c r="V1131" s="94"/>
      <c r="W1131" s="94"/>
      <c r="X1131" s="94"/>
      <c r="Y1131" s="94"/>
      <c r="Z1131" s="94"/>
      <c r="AA1131" s="94"/>
      <c r="AB1131" s="94"/>
      <c r="AC1131" s="94"/>
      <c r="AD1131" s="94"/>
      <c r="AE1131" s="94"/>
      <c r="AF1131" s="94"/>
      <c r="AG1131" s="94"/>
      <c r="AH1131" s="94"/>
      <c r="AI1131" s="94"/>
      <c r="AJ1131" s="94"/>
      <c r="AK1131" s="94"/>
      <c r="AL1131" s="94"/>
      <c r="AM1131" s="94"/>
      <c r="AN1131" s="94"/>
      <c r="AO1131" s="94"/>
      <c r="AP1131" s="94"/>
      <c r="AQ1131" s="94"/>
      <c r="AR1131" s="94"/>
      <c r="AS1131" s="94"/>
      <c r="AT1131" s="94"/>
      <c r="AU1131" s="94"/>
      <c r="AV1131" s="94"/>
      <c r="AW1131" s="94"/>
      <c r="AX1131" s="94"/>
      <c r="AY1131" s="94"/>
      <c r="AZ1131" s="94"/>
      <c r="BA1131" s="95"/>
    </row>
    <row r="1132" spans="1:53" s="87" customFormat="1">
      <c r="A1132" s="90" t="str">
        <f t="shared" si="43"/>
        <v/>
      </c>
      <c r="B1132" s="98"/>
      <c r="C1132" s="94"/>
      <c r="D1132" s="94"/>
      <c r="E1132" s="94"/>
      <c r="F1132" s="94"/>
      <c r="G1132" s="94"/>
      <c r="H1132" s="94"/>
      <c r="I1132" s="94"/>
      <c r="J1132" s="94"/>
      <c r="K1132" s="94"/>
      <c r="L1132" s="94"/>
      <c r="M1132" s="94"/>
      <c r="N1132" s="94"/>
      <c r="O1132" s="94"/>
      <c r="P1132" s="94"/>
      <c r="Q1132" s="94"/>
      <c r="R1132" s="94"/>
      <c r="S1132" s="94"/>
      <c r="T1132" s="94"/>
      <c r="U1132" s="94"/>
      <c r="V1132" s="94"/>
      <c r="W1132" s="94"/>
      <c r="X1132" s="94"/>
      <c r="Y1132" s="94"/>
      <c r="Z1132" s="94"/>
      <c r="AA1132" s="94"/>
      <c r="AB1132" s="94"/>
      <c r="AC1132" s="94"/>
      <c r="AD1132" s="94"/>
      <c r="AE1132" s="94"/>
      <c r="AF1132" s="94"/>
      <c r="AG1132" s="94"/>
      <c r="AH1132" s="94"/>
      <c r="AI1132" s="94"/>
      <c r="AJ1132" s="94"/>
      <c r="AK1132" s="94"/>
      <c r="AL1132" s="94"/>
      <c r="AM1132" s="94"/>
      <c r="AN1132" s="94"/>
      <c r="AO1132" s="94"/>
      <c r="AP1132" s="94"/>
      <c r="AQ1132" s="94"/>
      <c r="AR1132" s="94"/>
      <c r="AS1132" s="94"/>
      <c r="AT1132" s="94"/>
      <c r="AU1132" s="94"/>
      <c r="AV1132" s="94"/>
      <c r="AW1132" s="94"/>
      <c r="AX1132" s="94"/>
      <c r="AY1132" s="94"/>
      <c r="AZ1132" s="94"/>
      <c r="BA1132" s="95"/>
    </row>
    <row r="1133" spans="1:53" s="87" customFormat="1">
      <c r="A1133" s="90" t="str">
        <f t="shared" si="43"/>
        <v/>
      </c>
      <c r="B1133" s="98"/>
      <c r="C1133" s="94"/>
      <c r="D1133" s="94"/>
      <c r="E1133" s="94"/>
      <c r="F1133" s="94"/>
      <c r="G1133" s="94"/>
      <c r="H1133" s="94"/>
      <c r="I1133" s="94"/>
      <c r="J1133" s="94"/>
      <c r="K1133" s="94"/>
      <c r="L1133" s="94"/>
      <c r="M1133" s="94"/>
      <c r="N1133" s="94"/>
      <c r="O1133" s="94"/>
      <c r="P1133" s="94"/>
      <c r="Q1133" s="94"/>
      <c r="R1133" s="94"/>
      <c r="S1133" s="94"/>
      <c r="T1133" s="94"/>
      <c r="U1133" s="94"/>
      <c r="V1133" s="94"/>
      <c r="W1133" s="94"/>
      <c r="X1133" s="94"/>
      <c r="Y1133" s="94"/>
      <c r="Z1133" s="94"/>
      <c r="AA1133" s="94"/>
      <c r="AB1133" s="94"/>
      <c r="AC1133" s="94"/>
      <c r="AD1133" s="94"/>
      <c r="AE1133" s="94"/>
      <c r="AF1133" s="94"/>
      <c r="AG1133" s="94"/>
      <c r="AH1133" s="94"/>
      <c r="AI1133" s="94"/>
      <c r="AJ1133" s="94"/>
      <c r="AK1133" s="94"/>
      <c r="AL1133" s="94"/>
      <c r="AM1133" s="94"/>
      <c r="AN1133" s="94"/>
      <c r="AO1133" s="94"/>
      <c r="AP1133" s="94"/>
      <c r="AQ1133" s="94"/>
      <c r="AR1133" s="94"/>
      <c r="AS1133" s="94"/>
      <c r="AT1133" s="94"/>
      <c r="AU1133" s="94"/>
      <c r="AV1133" s="94"/>
      <c r="AW1133" s="94"/>
      <c r="AX1133" s="94"/>
      <c r="AY1133" s="94"/>
      <c r="AZ1133" s="94"/>
      <c r="BA1133" s="95"/>
    </row>
    <row r="1134" spans="1:53" s="87" customFormat="1">
      <c r="A1134" s="90" t="str">
        <f t="shared" si="43"/>
        <v/>
      </c>
      <c r="B1134" s="98"/>
      <c r="C1134" s="94"/>
      <c r="D1134" s="94"/>
      <c r="E1134" s="94"/>
      <c r="F1134" s="94"/>
      <c r="G1134" s="94"/>
      <c r="H1134" s="94"/>
      <c r="I1134" s="94"/>
      <c r="J1134" s="94"/>
      <c r="K1134" s="94"/>
      <c r="L1134" s="94"/>
      <c r="M1134" s="94"/>
      <c r="N1134" s="94"/>
      <c r="O1134" s="94"/>
      <c r="P1134" s="94"/>
      <c r="Q1134" s="94"/>
      <c r="R1134" s="94"/>
      <c r="S1134" s="94"/>
      <c r="T1134" s="94"/>
      <c r="U1134" s="94"/>
      <c r="V1134" s="94"/>
      <c r="W1134" s="94"/>
      <c r="X1134" s="94"/>
      <c r="Y1134" s="94"/>
      <c r="Z1134" s="94"/>
      <c r="AA1134" s="94"/>
      <c r="AB1134" s="94"/>
      <c r="AC1134" s="94"/>
      <c r="AD1134" s="94"/>
      <c r="AE1134" s="94"/>
      <c r="AF1134" s="94"/>
      <c r="AG1134" s="94"/>
      <c r="AH1134" s="94"/>
      <c r="AI1134" s="94"/>
      <c r="AJ1134" s="94"/>
      <c r="AK1134" s="94"/>
      <c r="AL1134" s="94"/>
      <c r="AM1134" s="94"/>
      <c r="AN1134" s="94"/>
      <c r="AO1134" s="94"/>
      <c r="AP1134" s="94"/>
      <c r="AQ1134" s="94"/>
      <c r="AR1134" s="94"/>
      <c r="AS1134" s="94"/>
      <c r="AT1134" s="94"/>
      <c r="AU1134" s="94"/>
      <c r="AV1134" s="94"/>
      <c r="AW1134" s="94"/>
      <c r="AX1134" s="94"/>
      <c r="AY1134" s="94"/>
      <c r="AZ1134" s="94"/>
      <c r="BA1134" s="95"/>
    </row>
    <row r="1135" spans="1:53" s="87" customFormat="1">
      <c r="A1135" s="90" t="str">
        <f t="shared" si="43"/>
        <v/>
      </c>
      <c r="B1135" s="98"/>
      <c r="C1135" s="94"/>
      <c r="D1135" s="94"/>
      <c r="E1135" s="94"/>
      <c r="F1135" s="94"/>
      <c r="G1135" s="94"/>
      <c r="H1135" s="94"/>
      <c r="I1135" s="94"/>
      <c r="J1135" s="94"/>
      <c r="K1135" s="94"/>
      <c r="L1135" s="94"/>
      <c r="M1135" s="94"/>
      <c r="N1135" s="94"/>
      <c r="O1135" s="94"/>
      <c r="P1135" s="94"/>
      <c r="Q1135" s="94"/>
      <c r="R1135" s="94"/>
      <c r="S1135" s="94"/>
      <c r="T1135" s="94"/>
      <c r="U1135" s="94"/>
      <c r="V1135" s="94"/>
      <c r="W1135" s="94"/>
      <c r="X1135" s="94"/>
      <c r="Y1135" s="94"/>
      <c r="Z1135" s="94"/>
      <c r="AA1135" s="94"/>
      <c r="AB1135" s="94"/>
      <c r="AC1135" s="94"/>
      <c r="AD1135" s="94"/>
      <c r="AE1135" s="94"/>
      <c r="AF1135" s="94"/>
      <c r="AG1135" s="94"/>
      <c r="AH1135" s="94"/>
      <c r="AI1135" s="94"/>
      <c r="AJ1135" s="94"/>
      <c r="AK1135" s="94"/>
      <c r="AL1135" s="94"/>
      <c r="AM1135" s="94"/>
      <c r="AN1135" s="94"/>
      <c r="AO1135" s="94"/>
      <c r="AP1135" s="94"/>
      <c r="AQ1135" s="94"/>
      <c r="AR1135" s="94"/>
      <c r="AS1135" s="94"/>
      <c r="AT1135" s="94"/>
      <c r="AU1135" s="94"/>
      <c r="AV1135" s="94"/>
      <c r="AW1135" s="94"/>
      <c r="AX1135" s="94"/>
      <c r="AY1135" s="94"/>
      <c r="AZ1135" s="94"/>
      <c r="BA1135" s="95"/>
    </row>
    <row r="1136" spans="1:53" s="87" customFormat="1">
      <c r="A1136" s="90" t="str">
        <f t="shared" si="43"/>
        <v/>
      </c>
      <c r="B1136" s="98"/>
      <c r="C1136" s="94"/>
      <c r="D1136" s="94"/>
      <c r="E1136" s="94"/>
      <c r="F1136" s="94"/>
      <c r="G1136" s="94"/>
      <c r="H1136" s="94"/>
      <c r="I1136" s="94"/>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5"/>
    </row>
    <row r="1137" spans="1:53" s="87" customFormat="1">
      <c r="A1137" s="90" t="str">
        <f t="shared" si="43"/>
        <v/>
      </c>
      <c r="B1137" s="98"/>
      <c r="C1137" s="94"/>
      <c r="D1137" s="94"/>
      <c r="E1137" s="94"/>
      <c r="F1137" s="94"/>
      <c r="G1137" s="94"/>
      <c r="H1137" s="94"/>
      <c r="I1137" s="94"/>
      <c r="J1137" s="94"/>
      <c r="K1137" s="94"/>
      <c r="L1137" s="94"/>
      <c r="M1137" s="94"/>
      <c r="N1137" s="94"/>
      <c r="O1137" s="94"/>
      <c r="P1137" s="94"/>
      <c r="Q1137" s="94"/>
      <c r="R1137" s="94"/>
      <c r="S1137" s="94"/>
      <c r="T1137" s="94"/>
      <c r="U1137" s="94"/>
      <c r="V1137" s="94"/>
      <c r="W1137" s="94"/>
      <c r="X1137" s="94"/>
      <c r="Y1137" s="94"/>
      <c r="Z1137" s="94"/>
      <c r="AA1137" s="94"/>
      <c r="AB1137" s="94"/>
      <c r="AC1137" s="94"/>
      <c r="AD1137" s="94"/>
      <c r="AE1137" s="94"/>
      <c r="AF1137" s="94"/>
      <c r="AG1137" s="94"/>
      <c r="AH1137" s="94"/>
      <c r="AI1137" s="94"/>
      <c r="AJ1137" s="94"/>
      <c r="AK1137" s="94"/>
      <c r="AL1137" s="94"/>
      <c r="AM1137" s="94"/>
      <c r="AN1137" s="94"/>
      <c r="AO1137" s="94"/>
      <c r="AP1137" s="94"/>
      <c r="AQ1137" s="94"/>
      <c r="AR1137" s="94"/>
      <c r="AS1137" s="94"/>
      <c r="AT1137" s="94"/>
      <c r="AU1137" s="94"/>
      <c r="AV1137" s="94"/>
      <c r="AW1137" s="94"/>
      <c r="AX1137" s="94"/>
      <c r="AY1137" s="94"/>
      <c r="AZ1137" s="94"/>
      <c r="BA1137" s="95"/>
    </row>
    <row r="1138" spans="1:53" s="87" customFormat="1">
      <c r="A1138" s="90" t="str">
        <f t="shared" si="43"/>
        <v/>
      </c>
      <c r="B1138" s="98"/>
      <c r="C1138" s="94"/>
      <c r="D1138" s="94"/>
      <c r="E1138" s="94"/>
      <c r="F1138" s="94"/>
      <c r="G1138" s="94"/>
      <c r="H1138" s="94"/>
      <c r="I1138" s="94"/>
      <c r="J1138" s="94"/>
      <c r="K1138" s="94"/>
      <c r="L1138" s="94"/>
      <c r="M1138" s="94"/>
      <c r="N1138" s="94"/>
      <c r="O1138" s="94"/>
      <c r="P1138" s="94"/>
      <c r="Q1138" s="94"/>
      <c r="R1138" s="94"/>
      <c r="S1138" s="94"/>
      <c r="T1138" s="94"/>
      <c r="U1138" s="94"/>
      <c r="V1138" s="94"/>
      <c r="W1138" s="94"/>
      <c r="X1138" s="94"/>
      <c r="Y1138" s="94"/>
      <c r="Z1138" s="94"/>
      <c r="AA1138" s="94"/>
      <c r="AB1138" s="94"/>
      <c r="AC1138" s="94"/>
      <c r="AD1138" s="94"/>
      <c r="AE1138" s="94"/>
      <c r="AF1138" s="94"/>
      <c r="AG1138" s="94"/>
      <c r="AH1138" s="94"/>
      <c r="AI1138" s="94"/>
      <c r="AJ1138" s="94"/>
      <c r="AK1138" s="94"/>
      <c r="AL1138" s="94"/>
      <c r="AM1138" s="94"/>
      <c r="AN1138" s="94"/>
      <c r="AO1138" s="94"/>
      <c r="AP1138" s="94"/>
      <c r="AQ1138" s="94"/>
      <c r="AR1138" s="94"/>
      <c r="AS1138" s="94"/>
      <c r="AT1138" s="94"/>
      <c r="AU1138" s="94"/>
      <c r="AV1138" s="94"/>
      <c r="AW1138" s="94"/>
      <c r="AX1138" s="94"/>
      <c r="AY1138" s="94"/>
      <c r="AZ1138" s="94"/>
      <c r="BA1138" s="95"/>
    </row>
    <row r="1139" spans="1:53" s="87" customFormat="1">
      <c r="A1139" s="90" t="str">
        <f t="shared" si="43"/>
        <v/>
      </c>
      <c r="B1139" s="98"/>
      <c r="C1139" s="94"/>
      <c r="D1139" s="94"/>
      <c r="E1139" s="94"/>
      <c r="F1139" s="94"/>
      <c r="G1139" s="94"/>
      <c r="H1139" s="94"/>
      <c r="I1139" s="94"/>
      <c r="J1139" s="94"/>
      <c r="K1139" s="94"/>
      <c r="L1139" s="94"/>
      <c r="M1139" s="94"/>
      <c r="N1139" s="94"/>
      <c r="O1139" s="94"/>
      <c r="P1139" s="94"/>
      <c r="Q1139" s="94"/>
      <c r="R1139" s="94"/>
      <c r="S1139" s="94"/>
      <c r="T1139" s="94"/>
      <c r="U1139" s="94"/>
      <c r="V1139" s="94"/>
      <c r="W1139" s="94"/>
      <c r="X1139" s="94"/>
      <c r="Y1139" s="94"/>
      <c r="Z1139" s="94"/>
      <c r="AA1139" s="94"/>
      <c r="AB1139" s="94"/>
      <c r="AC1139" s="94"/>
      <c r="AD1139" s="94"/>
      <c r="AE1139" s="94"/>
      <c r="AF1139" s="94"/>
      <c r="AG1139" s="94"/>
      <c r="AH1139" s="94"/>
      <c r="AI1139" s="94"/>
      <c r="AJ1139" s="94"/>
      <c r="AK1139" s="94"/>
      <c r="AL1139" s="94"/>
      <c r="AM1139" s="94"/>
      <c r="AN1139" s="94"/>
      <c r="AO1139" s="94"/>
      <c r="AP1139" s="94"/>
      <c r="AQ1139" s="94"/>
      <c r="AR1139" s="94"/>
      <c r="AS1139" s="94"/>
      <c r="AT1139" s="94"/>
      <c r="AU1139" s="94"/>
      <c r="AV1139" s="94"/>
      <c r="AW1139" s="94"/>
      <c r="AX1139" s="94"/>
      <c r="AY1139" s="94"/>
      <c r="AZ1139" s="94"/>
      <c r="BA1139" s="95"/>
    </row>
    <row r="1140" spans="1:53" s="87" customFormat="1">
      <c r="A1140" s="90" t="str">
        <f t="shared" si="43"/>
        <v/>
      </c>
      <c r="B1140" s="98"/>
      <c r="C1140" s="94"/>
      <c r="D1140" s="94"/>
      <c r="E1140" s="94"/>
      <c r="F1140" s="94"/>
      <c r="G1140" s="94"/>
      <c r="H1140" s="94"/>
      <c r="I1140" s="94"/>
      <c r="J1140" s="94"/>
      <c r="K1140" s="94"/>
      <c r="L1140" s="94"/>
      <c r="M1140" s="94"/>
      <c r="N1140" s="94"/>
      <c r="O1140" s="94"/>
      <c r="P1140" s="94"/>
      <c r="Q1140" s="94"/>
      <c r="R1140" s="94"/>
      <c r="S1140" s="94"/>
      <c r="T1140" s="94"/>
      <c r="U1140" s="94"/>
      <c r="V1140" s="94"/>
      <c r="W1140" s="94"/>
      <c r="X1140" s="94"/>
      <c r="Y1140" s="94"/>
      <c r="Z1140" s="94"/>
      <c r="AA1140" s="94"/>
      <c r="AB1140" s="94"/>
      <c r="AC1140" s="94"/>
      <c r="AD1140" s="94"/>
      <c r="AE1140" s="94"/>
      <c r="AF1140" s="94"/>
      <c r="AG1140" s="94"/>
      <c r="AH1140" s="94"/>
      <c r="AI1140" s="94"/>
      <c r="AJ1140" s="94"/>
      <c r="AK1140" s="94"/>
      <c r="AL1140" s="94"/>
      <c r="AM1140" s="94"/>
      <c r="AN1140" s="94"/>
      <c r="AO1140" s="94"/>
      <c r="AP1140" s="94"/>
      <c r="AQ1140" s="94"/>
      <c r="AR1140" s="94"/>
      <c r="AS1140" s="94"/>
      <c r="AT1140" s="94"/>
      <c r="AU1140" s="94"/>
      <c r="AV1140" s="94"/>
      <c r="AW1140" s="94"/>
      <c r="AX1140" s="94"/>
      <c r="AY1140" s="94"/>
      <c r="AZ1140" s="94"/>
      <c r="BA1140" s="95"/>
    </row>
    <row r="1141" spans="1:53" s="87" customFormat="1">
      <c r="A1141" s="90" t="str">
        <f t="shared" si="43"/>
        <v/>
      </c>
      <c r="B1141" s="98"/>
      <c r="C1141" s="94"/>
      <c r="D1141" s="94"/>
      <c r="E1141" s="94"/>
      <c r="F1141" s="94"/>
      <c r="G1141" s="94"/>
      <c r="H1141" s="94"/>
      <c r="I1141" s="94"/>
      <c r="J1141" s="94"/>
      <c r="K1141" s="94"/>
      <c r="L1141" s="94"/>
      <c r="M1141" s="94"/>
      <c r="N1141" s="94"/>
      <c r="O1141" s="94"/>
      <c r="P1141" s="94"/>
      <c r="Q1141" s="94"/>
      <c r="R1141" s="94"/>
      <c r="S1141" s="94"/>
      <c r="T1141" s="94"/>
      <c r="U1141" s="94"/>
      <c r="V1141" s="94"/>
      <c r="W1141" s="94"/>
      <c r="X1141" s="94"/>
      <c r="Y1141" s="94"/>
      <c r="Z1141" s="94"/>
      <c r="AA1141" s="94"/>
      <c r="AB1141" s="94"/>
      <c r="AC1141" s="94"/>
      <c r="AD1141" s="94"/>
      <c r="AE1141" s="94"/>
      <c r="AF1141" s="94"/>
      <c r="AG1141" s="94"/>
      <c r="AH1141" s="94"/>
      <c r="AI1141" s="94"/>
      <c r="AJ1141" s="94"/>
      <c r="AK1141" s="94"/>
      <c r="AL1141" s="94"/>
      <c r="AM1141" s="94"/>
      <c r="AN1141" s="94"/>
      <c r="AO1141" s="94"/>
      <c r="AP1141" s="94"/>
      <c r="AQ1141" s="94"/>
      <c r="AR1141" s="94"/>
      <c r="AS1141" s="94"/>
      <c r="AT1141" s="94"/>
      <c r="AU1141" s="94"/>
      <c r="AV1141" s="94"/>
      <c r="AW1141" s="94"/>
      <c r="AX1141" s="94"/>
      <c r="AY1141" s="94"/>
      <c r="AZ1141" s="94"/>
      <c r="BA1141" s="95"/>
    </row>
    <row r="1142" spans="1:53" s="87" customFormat="1">
      <c r="A1142" s="90" t="str">
        <f t="shared" si="43"/>
        <v/>
      </c>
      <c r="B1142" s="98"/>
      <c r="C1142" s="94"/>
      <c r="D1142" s="94"/>
      <c r="E1142" s="94"/>
      <c r="F1142" s="94"/>
      <c r="G1142" s="94"/>
      <c r="H1142" s="94"/>
      <c r="I1142" s="94"/>
      <c r="J1142" s="94"/>
      <c r="K1142" s="94"/>
      <c r="L1142" s="94"/>
      <c r="M1142" s="94"/>
      <c r="N1142" s="94"/>
      <c r="O1142" s="94"/>
      <c r="P1142" s="94"/>
      <c r="Q1142" s="94"/>
      <c r="R1142" s="94"/>
      <c r="S1142" s="94"/>
      <c r="T1142" s="94"/>
      <c r="U1142" s="94"/>
      <c r="V1142" s="94"/>
      <c r="W1142" s="94"/>
      <c r="X1142" s="94"/>
      <c r="Y1142" s="94"/>
      <c r="Z1142" s="94"/>
      <c r="AA1142" s="94"/>
      <c r="AB1142" s="94"/>
      <c r="AC1142" s="94"/>
      <c r="AD1142" s="94"/>
      <c r="AE1142" s="94"/>
      <c r="AF1142" s="94"/>
      <c r="AG1142" s="94"/>
      <c r="AH1142" s="94"/>
      <c r="AI1142" s="94"/>
      <c r="AJ1142" s="94"/>
      <c r="AK1142" s="94"/>
      <c r="AL1142" s="94"/>
      <c r="AM1142" s="94"/>
      <c r="AN1142" s="94"/>
      <c r="AO1142" s="94"/>
      <c r="AP1142" s="94"/>
      <c r="AQ1142" s="94"/>
      <c r="AR1142" s="94"/>
      <c r="AS1142" s="94"/>
      <c r="AT1142" s="94"/>
      <c r="AU1142" s="94"/>
      <c r="AV1142" s="94"/>
      <c r="AW1142" s="94"/>
      <c r="AX1142" s="94"/>
      <c r="AY1142" s="94"/>
      <c r="AZ1142" s="94"/>
      <c r="BA1142" s="95"/>
    </row>
    <row r="1143" spans="1:53" s="87" customFormat="1">
      <c r="A1143" s="90" t="str">
        <f t="shared" si="43"/>
        <v/>
      </c>
      <c r="B1143" s="98"/>
      <c r="C1143" s="94"/>
      <c r="D1143" s="94"/>
      <c r="E1143" s="94"/>
      <c r="F1143" s="94"/>
      <c r="G1143" s="94"/>
      <c r="H1143" s="94"/>
      <c r="I1143" s="94"/>
      <c r="J1143" s="94"/>
      <c r="K1143" s="94"/>
      <c r="L1143" s="94"/>
      <c r="M1143" s="94"/>
      <c r="N1143" s="94"/>
      <c r="O1143" s="94"/>
      <c r="P1143" s="94"/>
      <c r="Q1143" s="94"/>
      <c r="R1143" s="94"/>
      <c r="S1143" s="94"/>
      <c r="T1143" s="94"/>
      <c r="U1143" s="94"/>
      <c r="V1143" s="94"/>
      <c r="W1143" s="94"/>
      <c r="X1143" s="94"/>
      <c r="Y1143" s="94"/>
      <c r="Z1143" s="94"/>
      <c r="AA1143" s="94"/>
      <c r="AB1143" s="94"/>
      <c r="AC1143" s="94"/>
      <c r="AD1143" s="94"/>
      <c r="AE1143" s="94"/>
      <c r="AF1143" s="94"/>
      <c r="AG1143" s="94"/>
      <c r="AH1143" s="94"/>
      <c r="AI1143" s="94"/>
      <c r="AJ1143" s="94"/>
      <c r="AK1143" s="94"/>
      <c r="AL1143" s="94"/>
      <c r="AM1143" s="94"/>
      <c r="AN1143" s="94"/>
      <c r="AO1143" s="94"/>
      <c r="AP1143" s="94"/>
      <c r="AQ1143" s="94"/>
      <c r="AR1143" s="94"/>
      <c r="AS1143" s="94"/>
      <c r="AT1143" s="94"/>
      <c r="AU1143" s="94"/>
      <c r="AV1143" s="94"/>
      <c r="AW1143" s="94"/>
      <c r="AX1143" s="94"/>
      <c r="AY1143" s="94"/>
      <c r="AZ1143" s="94"/>
      <c r="BA1143" s="95"/>
    </row>
    <row r="1144" spans="1:53" s="87" customFormat="1">
      <c r="A1144" s="90" t="str">
        <f t="shared" si="43"/>
        <v/>
      </c>
      <c r="B1144" s="98"/>
      <c r="C1144" s="94"/>
      <c r="D1144" s="94"/>
      <c r="E1144" s="94"/>
      <c r="F1144" s="94"/>
      <c r="G1144" s="94"/>
      <c r="H1144" s="94"/>
      <c r="I1144" s="94"/>
      <c r="J1144" s="94"/>
      <c r="K1144" s="94"/>
      <c r="L1144" s="94"/>
      <c r="M1144" s="94"/>
      <c r="N1144" s="94"/>
      <c r="O1144" s="94"/>
      <c r="P1144" s="94"/>
      <c r="Q1144" s="94"/>
      <c r="R1144" s="94"/>
      <c r="S1144" s="94"/>
      <c r="T1144" s="94"/>
      <c r="U1144" s="94"/>
      <c r="V1144" s="94"/>
      <c r="W1144" s="94"/>
      <c r="X1144" s="94"/>
      <c r="Y1144" s="94"/>
      <c r="Z1144" s="94"/>
      <c r="AA1144" s="94"/>
      <c r="AB1144" s="94"/>
      <c r="AC1144" s="94"/>
      <c r="AD1144" s="94"/>
      <c r="AE1144" s="94"/>
      <c r="AF1144" s="94"/>
      <c r="AG1144" s="94"/>
      <c r="AH1144" s="94"/>
      <c r="AI1144" s="94"/>
      <c r="AJ1144" s="94"/>
      <c r="AK1144" s="94"/>
      <c r="AL1144" s="94"/>
      <c r="AM1144" s="94"/>
      <c r="AN1144" s="94"/>
      <c r="AO1144" s="94"/>
      <c r="AP1144" s="94"/>
      <c r="AQ1144" s="94"/>
      <c r="AR1144" s="94"/>
      <c r="AS1144" s="94"/>
      <c r="AT1144" s="94"/>
      <c r="AU1144" s="94"/>
      <c r="AV1144" s="94"/>
      <c r="AW1144" s="94"/>
      <c r="AX1144" s="94"/>
      <c r="AY1144" s="94"/>
      <c r="AZ1144" s="94"/>
      <c r="BA1144" s="95"/>
    </row>
    <row r="1145" spans="1:53" s="87" customFormat="1">
      <c r="A1145" s="90" t="str">
        <f t="shared" si="43"/>
        <v/>
      </c>
      <c r="B1145" s="98"/>
      <c r="C1145" s="94"/>
      <c r="D1145" s="94"/>
      <c r="E1145" s="94"/>
      <c r="F1145" s="94"/>
      <c r="G1145" s="94"/>
      <c r="H1145" s="94"/>
      <c r="I1145" s="94"/>
      <c r="J1145" s="94"/>
      <c r="K1145" s="94"/>
      <c r="L1145" s="94"/>
      <c r="M1145" s="94"/>
      <c r="N1145" s="94"/>
      <c r="O1145" s="94"/>
      <c r="P1145" s="94"/>
      <c r="Q1145" s="94"/>
      <c r="R1145" s="94"/>
      <c r="S1145" s="94"/>
      <c r="T1145" s="94"/>
      <c r="U1145" s="94"/>
      <c r="V1145" s="94"/>
      <c r="W1145" s="94"/>
      <c r="X1145" s="94"/>
      <c r="Y1145" s="94"/>
      <c r="Z1145" s="94"/>
      <c r="AA1145" s="94"/>
      <c r="AB1145" s="94"/>
      <c r="AC1145" s="94"/>
      <c r="AD1145" s="94"/>
      <c r="AE1145" s="94"/>
      <c r="AF1145" s="94"/>
      <c r="AG1145" s="94"/>
      <c r="AH1145" s="94"/>
      <c r="AI1145" s="94"/>
      <c r="AJ1145" s="94"/>
      <c r="AK1145" s="94"/>
      <c r="AL1145" s="94"/>
      <c r="AM1145" s="94"/>
      <c r="AN1145" s="94"/>
      <c r="AO1145" s="94"/>
      <c r="AP1145" s="94"/>
      <c r="AQ1145" s="94"/>
      <c r="AR1145" s="94"/>
      <c r="AS1145" s="94"/>
      <c r="AT1145" s="94"/>
      <c r="AU1145" s="94"/>
      <c r="AV1145" s="94"/>
      <c r="AW1145" s="94"/>
      <c r="AX1145" s="94"/>
      <c r="AY1145" s="94"/>
      <c r="AZ1145" s="94"/>
      <c r="BA1145" s="95"/>
    </row>
    <row r="1146" spans="1:53" s="87" customFormat="1">
      <c r="A1146" s="90" t="str">
        <f t="shared" si="43"/>
        <v/>
      </c>
      <c r="B1146" s="98"/>
      <c r="C1146" s="94"/>
      <c r="D1146" s="94"/>
      <c r="E1146" s="94"/>
      <c r="F1146" s="94"/>
      <c r="G1146" s="94"/>
      <c r="H1146" s="94"/>
      <c r="I1146" s="94"/>
      <c r="J1146" s="94"/>
      <c r="K1146" s="94"/>
      <c r="L1146" s="94"/>
      <c r="M1146" s="94"/>
      <c r="N1146" s="94"/>
      <c r="O1146" s="94"/>
      <c r="P1146" s="94"/>
      <c r="Q1146" s="94"/>
      <c r="R1146" s="94"/>
      <c r="S1146" s="94"/>
      <c r="T1146" s="94"/>
      <c r="U1146" s="94"/>
      <c r="V1146" s="94"/>
      <c r="W1146" s="94"/>
      <c r="X1146" s="94"/>
      <c r="Y1146" s="94"/>
      <c r="Z1146" s="94"/>
      <c r="AA1146" s="94"/>
      <c r="AB1146" s="94"/>
      <c r="AC1146" s="94"/>
      <c r="AD1146" s="94"/>
      <c r="AE1146" s="94"/>
      <c r="AF1146" s="94"/>
      <c r="AG1146" s="94"/>
      <c r="AH1146" s="94"/>
      <c r="AI1146" s="94"/>
      <c r="AJ1146" s="94"/>
      <c r="AK1146" s="94"/>
      <c r="AL1146" s="94"/>
      <c r="AM1146" s="94"/>
      <c r="AN1146" s="94"/>
      <c r="AO1146" s="94"/>
      <c r="AP1146" s="94"/>
      <c r="AQ1146" s="94"/>
      <c r="AR1146" s="94"/>
      <c r="AS1146" s="94"/>
      <c r="AT1146" s="94"/>
      <c r="AU1146" s="94"/>
      <c r="AV1146" s="94"/>
      <c r="AW1146" s="94"/>
      <c r="AX1146" s="94"/>
      <c r="AY1146" s="94"/>
      <c r="AZ1146" s="94"/>
      <c r="BA1146" s="95"/>
    </row>
    <row r="1147" spans="1:53" s="87" customFormat="1">
      <c r="A1147" s="90" t="str">
        <f t="shared" si="43"/>
        <v/>
      </c>
      <c r="B1147" s="98"/>
      <c r="C1147" s="94"/>
      <c r="D1147" s="94"/>
      <c r="E1147" s="94"/>
      <c r="F1147" s="94"/>
      <c r="G1147" s="94"/>
      <c r="H1147" s="94"/>
      <c r="I1147" s="94"/>
      <c r="J1147" s="94"/>
      <c r="K1147" s="94"/>
      <c r="L1147" s="94"/>
      <c r="M1147" s="94"/>
      <c r="N1147" s="94"/>
      <c r="O1147" s="94"/>
      <c r="P1147" s="94"/>
      <c r="Q1147" s="94"/>
      <c r="R1147" s="94"/>
      <c r="S1147" s="94"/>
      <c r="T1147" s="94"/>
      <c r="U1147" s="94"/>
      <c r="V1147" s="94"/>
      <c r="W1147" s="94"/>
      <c r="X1147" s="94"/>
      <c r="Y1147" s="94"/>
      <c r="Z1147" s="94"/>
      <c r="AA1147" s="94"/>
      <c r="AB1147" s="94"/>
      <c r="AC1147" s="94"/>
      <c r="AD1147" s="94"/>
      <c r="AE1147" s="94"/>
      <c r="AF1147" s="94"/>
      <c r="AG1147" s="94"/>
      <c r="AH1147" s="94"/>
      <c r="AI1147" s="94"/>
      <c r="AJ1147" s="94"/>
      <c r="AK1147" s="94"/>
      <c r="AL1147" s="94"/>
      <c r="AM1147" s="94"/>
      <c r="AN1147" s="94"/>
      <c r="AO1147" s="94"/>
      <c r="AP1147" s="94"/>
      <c r="AQ1147" s="94"/>
      <c r="AR1147" s="94"/>
      <c r="AS1147" s="94"/>
      <c r="AT1147" s="94"/>
      <c r="AU1147" s="94"/>
      <c r="AV1147" s="94"/>
      <c r="AW1147" s="94"/>
      <c r="AX1147" s="94"/>
      <c r="AY1147" s="94"/>
      <c r="AZ1147" s="94"/>
      <c r="BA1147" s="95"/>
    </row>
    <row r="1148" spans="1:53" s="87" customFormat="1">
      <c r="A1148" s="90" t="str">
        <f t="shared" si="43"/>
        <v/>
      </c>
      <c r="B1148" s="98"/>
      <c r="C1148" s="94"/>
      <c r="D1148" s="94"/>
      <c r="E1148" s="94"/>
      <c r="F1148" s="94"/>
      <c r="G1148" s="94"/>
      <c r="H1148" s="94"/>
      <c r="I1148" s="94"/>
      <c r="J1148" s="94"/>
      <c r="K1148" s="94"/>
      <c r="L1148" s="94"/>
      <c r="M1148" s="94"/>
      <c r="N1148" s="94"/>
      <c r="O1148" s="94"/>
      <c r="P1148" s="94"/>
      <c r="Q1148" s="94"/>
      <c r="R1148" s="94"/>
      <c r="S1148" s="94"/>
      <c r="T1148" s="94"/>
      <c r="U1148" s="94"/>
      <c r="V1148" s="94"/>
      <c r="W1148" s="94"/>
      <c r="X1148" s="94"/>
      <c r="Y1148" s="94"/>
      <c r="Z1148" s="94"/>
      <c r="AA1148" s="94"/>
      <c r="AB1148" s="94"/>
      <c r="AC1148" s="94"/>
      <c r="AD1148" s="94"/>
      <c r="AE1148" s="94"/>
      <c r="AF1148" s="94"/>
      <c r="AG1148" s="94"/>
      <c r="AH1148" s="94"/>
      <c r="AI1148" s="94"/>
      <c r="AJ1148" s="94"/>
      <c r="AK1148" s="94"/>
      <c r="AL1148" s="94"/>
      <c r="AM1148" s="94"/>
      <c r="AN1148" s="94"/>
      <c r="AO1148" s="94"/>
      <c r="AP1148" s="94"/>
      <c r="AQ1148" s="94"/>
      <c r="AR1148" s="94"/>
      <c r="AS1148" s="94"/>
      <c r="AT1148" s="94"/>
      <c r="AU1148" s="94"/>
      <c r="AV1148" s="94"/>
      <c r="AW1148" s="94"/>
      <c r="AX1148" s="94"/>
      <c r="AY1148" s="94"/>
      <c r="AZ1148" s="94"/>
      <c r="BA1148" s="95"/>
    </row>
    <row r="1149" spans="1:53" s="87" customFormat="1">
      <c r="A1149" s="90" t="str">
        <f t="shared" si="43"/>
        <v/>
      </c>
      <c r="B1149" s="98"/>
      <c r="C1149" s="94"/>
      <c r="D1149" s="94"/>
      <c r="E1149" s="94"/>
      <c r="F1149" s="94"/>
      <c r="G1149" s="94"/>
      <c r="H1149" s="94"/>
      <c r="I1149" s="94"/>
      <c r="J1149" s="94"/>
      <c r="K1149" s="94"/>
      <c r="L1149" s="94"/>
      <c r="M1149" s="94"/>
      <c r="N1149" s="94"/>
      <c r="O1149" s="94"/>
      <c r="P1149" s="94"/>
      <c r="Q1149" s="94"/>
      <c r="R1149" s="94"/>
      <c r="S1149" s="94"/>
      <c r="T1149" s="94"/>
      <c r="U1149" s="94"/>
      <c r="V1149" s="94"/>
      <c r="W1149" s="94"/>
      <c r="X1149" s="94"/>
      <c r="Y1149" s="94"/>
      <c r="Z1149" s="94"/>
      <c r="AA1149" s="94"/>
      <c r="AB1149" s="94"/>
      <c r="AC1149" s="94"/>
      <c r="AD1149" s="94"/>
      <c r="AE1149" s="94"/>
      <c r="AF1149" s="94"/>
      <c r="AG1149" s="94"/>
      <c r="AH1149" s="94"/>
      <c r="AI1149" s="94"/>
      <c r="AJ1149" s="94"/>
      <c r="AK1149" s="94"/>
      <c r="AL1149" s="94"/>
      <c r="AM1149" s="94"/>
      <c r="AN1149" s="94"/>
      <c r="AO1149" s="94"/>
      <c r="AP1149" s="94"/>
      <c r="AQ1149" s="94"/>
      <c r="AR1149" s="94"/>
      <c r="AS1149" s="94"/>
      <c r="AT1149" s="94"/>
      <c r="AU1149" s="94"/>
      <c r="AV1149" s="94"/>
      <c r="AW1149" s="94"/>
      <c r="AX1149" s="94"/>
      <c r="AY1149" s="94"/>
      <c r="AZ1149" s="94"/>
      <c r="BA1149" s="95"/>
    </row>
    <row r="1150" spans="1:53" s="87" customFormat="1">
      <c r="A1150" s="90" t="str">
        <f t="shared" si="43"/>
        <v/>
      </c>
      <c r="B1150" s="98"/>
      <c r="C1150" s="94"/>
      <c r="D1150" s="94"/>
      <c r="E1150" s="94"/>
      <c r="F1150" s="94"/>
      <c r="G1150" s="94"/>
      <c r="H1150" s="94"/>
      <c r="I1150" s="94"/>
      <c r="J1150" s="94"/>
      <c r="K1150" s="94"/>
      <c r="L1150" s="94"/>
      <c r="M1150" s="94"/>
      <c r="N1150" s="94"/>
      <c r="O1150" s="94"/>
      <c r="P1150" s="94"/>
      <c r="Q1150" s="94"/>
      <c r="R1150" s="94"/>
      <c r="S1150" s="94"/>
      <c r="T1150" s="94"/>
      <c r="U1150" s="94"/>
      <c r="V1150" s="94"/>
      <c r="W1150" s="94"/>
      <c r="X1150" s="94"/>
      <c r="Y1150" s="94"/>
      <c r="Z1150" s="94"/>
      <c r="AA1150" s="94"/>
      <c r="AB1150" s="94"/>
      <c r="AC1150" s="94"/>
      <c r="AD1150" s="94"/>
      <c r="AE1150" s="94"/>
      <c r="AF1150" s="94"/>
      <c r="AG1150" s="94"/>
      <c r="AH1150" s="94"/>
      <c r="AI1150" s="94"/>
      <c r="AJ1150" s="94"/>
      <c r="AK1150" s="94"/>
      <c r="AL1150" s="94"/>
      <c r="AM1150" s="94"/>
      <c r="AN1150" s="94"/>
      <c r="AO1150" s="94"/>
      <c r="AP1150" s="94"/>
      <c r="AQ1150" s="94"/>
      <c r="AR1150" s="94"/>
      <c r="AS1150" s="94"/>
      <c r="AT1150" s="94"/>
      <c r="AU1150" s="94"/>
      <c r="AV1150" s="94"/>
      <c r="AW1150" s="94"/>
      <c r="AX1150" s="94"/>
      <c r="AY1150" s="94"/>
      <c r="AZ1150" s="94"/>
      <c r="BA1150" s="95"/>
    </row>
    <row r="1151" spans="1:53" s="87" customFormat="1">
      <c r="A1151" s="90" t="str">
        <f t="shared" si="43"/>
        <v/>
      </c>
      <c r="B1151" s="98"/>
      <c r="C1151" s="94"/>
      <c r="D1151" s="94"/>
      <c r="E1151" s="94"/>
      <c r="F1151" s="94"/>
      <c r="G1151" s="94"/>
      <c r="H1151" s="94"/>
      <c r="I1151" s="94"/>
      <c r="J1151" s="94"/>
      <c r="K1151" s="94"/>
      <c r="L1151" s="94"/>
      <c r="M1151" s="94"/>
      <c r="N1151" s="94"/>
      <c r="O1151" s="94"/>
      <c r="P1151" s="94"/>
      <c r="Q1151" s="94"/>
      <c r="R1151" s="94"/>
      <c r="S1151" s="94"/>
      <c r="T1151" s="94"/>
      <c r="U1151" s="94"/>
      <c r="V1151" s="94"/>
      <c r="W1151" s="94"/>
      <c r="X1151" s="94"/>
      <c r="Y1151" s="94"/>
      <c r="Z1151" s="94"/>
      <c r="AA1151" s="94"/>
      <c r="AB1151" s="94"/>
      <c r="AC1151" s="94"/>
      <c r="AD1151" s="94"/>
      <c r="AE1151" s="94"/>
      <c r="AF1151" s="94"/>
      <c r="AG1151" s="94"/>
      <c r="AH1151" s="94"/>
      <c r="AI1151" s="94"/>
      <c r="AJ1151" s="94"/>
      <c r="AK1151" s="94"/>
      <c r="AL1151" s="94"/>
      <c r="AM1151" s="94"/>
      <c r="AN1151" s="94"/>
      <c r="AO1151" s="94"/>
      <c r="AP1151" s="94"/>
      <c r="AQ1151" s="94"/>
      <c r="AR1151" s="94"/>
      <c r="AS1151" s="94"/>
      <c r="AT1151" s="94"/>
      <c r="AU1151" s="94"/>
      <c r="AV1151" s="94"/>
      <c r="AW1151" s="94"/>
      <c r="AX1151" s="94"/>
      <c r="AY1151" s="94"/>
      <c r="AZ1151" s="94"/>
      <c r="BA1151" s="95"/>
    </row>
    <row r="1152" spans="1:53" s="87" customFormat="1">
      <c r="A1152" s="90" t="str">
        <f t="shared" si="43"/>
        <v/>
      </c>
      <c r="B1152" s="98"/>
      <c r="C1152" s="94"/>
      <c r="D1152" s="94"/>
      <c r="E1152" s="94"/>
      <c r="F1152" s="94"/>
      <c r="G1152" s="94"/>
      <c r="H1152" s="94"/>
      <c r="I1152" s="94"/>
      <c r="J1152" s="94"/>
      <c r="K1152" s="94"/>
      <c r="L1152" s="94"/>
      <c r="M1152" s="94"/>
      <c r="N1152" s="94"/>
      <c r="O1152" s="94"/>
      <c r="P1152" s="94"/>
      <c r="Q1152" s="94"/>
      <c r="R1152" s="94"/>
      <c r="S1152" s="94"/>
      <c r="T1152" s="94"/>
      <c r="U1152" s="94"/>
      <c r="V1152" s="94"/>
      <c r="W1152" s="94"/>
      <c r="X1152" s="94"/>
      <c r="Y1152" s="94"/>
      <c r="Z1152" s="94"/>
      <c r="AA1152" s="94"/>
      <c r="AB1152" s="94"/>
      <c r="AC1152" s="94"/>
      <c r="AD1152" s="94"/>
      <c r="AE1152" s="94"/>
      <c r="AF1152" s="94"/>
      <c r="AG1152" s="94"/>
      <c r="AH1152" s="94"/>
      <c r="AI1152" s="94"/>
      <c r="AJ1152" s="94"/>
      <c r="AK1152" s="94"/>
      <c r="AL1152" s="94"/>
      <c r="AM1152" s="94"/>
      <c r="AN1152" s="94"/>
      <c r="AO1152" s="94"/>
      <c r="AP1152" s="94"/>
      <c r="AQ1152" s="94"/>
      <c r="AR1152" s="94"/>
      <c r="AS1152" s="94"/>
      <c r="AT1152" s="94"/>
      <c r="AU1152" s="94"/>
      <c r="AV1152" s="94"/>
      <c r="AW1152" s="94"/>
      <c r="AX1152" s="94"/>
      <c r="AY1152" s="94"/>
      <c r="AZ1152" s="94"/>
      <c r="BA1152" s="95"/>
    </row>
    <row r="1153" spans="1:53" s="87" customFormat="1">
      <c r="A1153" s="90" t="str">
        <f t="shared" si="43"/>
        <v/>
      </c>
      <c r="B1153" s="98"/>
      <c r="C1153" s="94"/>
      <c r="D1153" s="94"/>
      <c r="E1153" s="94"/>
      <c r="F1153" s="94"/>
      <c r="G1153" s="94"/>
      <c r="H1153" s="94"/>
      <c r="I1153" s="94"/>
      <c r="J1153" s="94"/>
      <c r="K1153" s="94"/>
      <c r="L1153" s="94"/>
      <c r="M1153" s="94"/>
      <c r="N1153" s="94"/>
      <c r="O1153" s="94"/>
      <c r="P1153" s="94"/>
      <c r="Q1153" s="94"/>
      <c r="R1153" s="94"/>
      <c r="S1153" s="94"/>
      <c r="T1153" s="94"/>
      <c r="U1153" s="94"/>
      <c r="V1153" s="94"/>
      <c r="W1153" s="94"/>
      <c r="X1153" s="94"/>
      <c r="Y1153" s="94"/>
      <c r="Z1153" s="94"/>
      <c r="AA1153" s="94"/>
      <c r="AB1153" s="94"/>
      <c r="AC1153" s="94"/>
      <c r="AD1153" s="94"/>
      <c r="AE1153" s="94"/>
      <c r="AF1153" s="94"/>
      <c r="AG1153" s="94"/>
      <c r="AH1153" s="94"/>
      <c r="AI1153" s="94"/>
      <c r="AJ1153" s="94"/>
      <c r="AK1153" s="94"/>
      <c r="AL1153" s="94"/>
      <c r="AM1153" s="94"/>
      <c r="AN1153" s="94"/>
      <c r="AO1153" s="94"/>
      <c r="AP1153" s="94"/>
      <c r="AQ1153" s="94"/>
      <c r="AR1153" s="94"/>
      <c r="AS1153" s="94"/>
      <c r="AT1153" s="94"/>
      <c r="AU1153" s="94"/>
      <c r="AV1153" s="94"/>
      <c r="AW1153" s="94"/>
      <c r="AX1153" s="94"/>
      <c r="AY1153" s="94"/>
      <c r="AZ1153" s="94"/>
      <c r="BA1153" s="95"/>
    </row>
    <row r="1154" spans="1:53" s="87" customFormat="1">
      <c r="A1154" s="90" t="str">
        <f t="shared" si="43"/>
        <v/>
      </c>
      <c r="B1154" s="98"/>
      <c r="C1154" s="94"/>
      <c r="D1154" s="94"/>
      <c r="E1154" s="94"/>
      <c r="F1154" s="94"/>
      <c r="G1154" s="94"/>
      <c r="H1154" s="94"/>
      <c r="I1154" s="94"/>
      <c r="J1154" s="94"/>
      <c r="K1154" s="94"/>
      <c r="L1154" s="94"/>
      <c r="M1154" s="94"/>
      <c r="N1154" s="94"/>
      <c r="O1154" s="94"/>
      <c r="P1154" s="94"/>
      <c r="Q1154" s="94"/>
      <c r="R1154" s="94"/>
      <c r="S1154" s="94"/>
      <c r="T1154" s="94"/>
      <c r="U1154" s="94"/>
      <c r="V1154" s="94"/>
      <c r="W1154" s="94"/>
      <c r="X1154" s="94"/>
      <c r="Y1154" s="94"/>
      <c r="Z1154" s="94"/>
      <c r="AA1154" s="94"/>
      <c r="AB1154" s="94"/>
      <c r="AC1154" s="94"/>
      <c r="AD1154" s="94"/>
      <c r="AE1154" s="94"/>
      <c r="AF1154" s="94"/>
      <c r="AG1154" s="94"/>
      <c r="AH1154" s="94"/>
      <c r="AI1154" s="94"/>
      <c r="AJ1154" s="94"/>
      <c r="AK1154" s="94"/>
      <c r="AL1154" s="94"/>
      <c r="AM1154" s="94"/>
      <c r="AN1154" s="94"/>
      <c r="AO1154" s="94"/>
      <c r="AP1154" s="94"/>
      <c r="AQ1154" s="94"/>
      <c r="AR1154" s="94"/>
      <c r="AS1154" s="94"/>
      <c r="AT1154" s="94"/>
      <c r="AU1154" s="94"/>
      <c r="AV1154" s="94"/>
      <c r="AW1154" s="94"/>
      <c r="AX1154" s="94"/>
      <c r="AY1154" s="94"/>
      <c r="AZ1154" s="94"/>
      <c r="BA1154" s="95"/>
    </row>
    <row r="1155" spans="1:53" s="87" customFormat="1">
      <c r="A1155" s="90" t="str">
        <f t="shared" si="43"/>
        <v/>
      </c>
      <c r="B1155" s="98"/>
      <c r="C1155" s="94"/>
      <c r="D1155" s="94"/>
      <c r="E1155" s="94"/>
      <c r="F1155" s="94"/>
      <c r="G1155" s="94"/>
      <c r="H1155" s="94"/>
      <c r="I1155" s="94"/>
      <c r="J1155" s="94"/>
      <c r="K1155" s="94"/>
      <c r="L1155" s="94"/>
      <c r="M1155" s="94"/>
      <c r="N1155" s="94"/>
      <c r="O1155" s="94"/>
      <c r="P1155" s="94"/>
      <c r="Q1155" s="94"/>
      <c r="R1155" s="94"/>
      <c r="S1155" s="94"/>
      <c r="T1155" s="94"/>
      <c r="U1155" s="94"/>
      <c r="V1155" s="94"/>
      <c r="W1155" s="94"/>
      <c r="X1155" s="94"/>
      <c r="Y1155" s="94"/>
      <c r="Z1155" s="94"/>
      <c r="AA1155" s="94"/>
      <c r="AB1155" s="94"/>
      <c r="AC1155" s="94"/>
      <c r="AD1155" s="94"/>
      <c r="AE1155" s="94"/>
      <c r="AF1155" s="94"/>
      <c r="AG1155" s="94"/>
      <c r="AH1155" s="94"/>
      <c r="AI1155" s="94"/>
      <c r="AJ1155" s="94"/>
      <c r="AK1155" s="94"/>
      <c r="AL1155" s="94"/>
      <c r="AM1155" s="94"/>
      <c r="AN1155" s="94"/>
      <c r="AO1155" s="94"/>
      <c r="AP1155" s="94"/>
      <c r="AQ1155" s="94"/>
      <c r="AR1155" s="94"/>
      <c r="AS1155" s="94"/>
      <c r="AT1155" s="94"/>
      <c r="AU1155" s="94"/>
      <c r="AV1155" s="94"/>
      <c r="AW1155" s="94"/>
      <c r="AX1155" s="94"/>
      <c r="AY1155" s="94"/>
      <c r="AZ1155" s="94"/>
      <c r="BA1155" s="95"/>
    </row>
    <row r="1156" spans="1:53" s="87" customFormat="1">
      <c r="A1156" s="90" t="str">
        <f t="shared" si="43"/>
        <v/>
      </c>
      <c r="B1156" s="98"/>
      <c r="C1156" s="94"/>
      <c r="D1156" s="94"/>
      <c r="E1156" s="94"/>
      <c r="F1156" s="94"/>
      <c r="G1156" s="94"/>
      <c r="H1156" s="94"/>
      <c r="I1156" s="94"/>
      <c r="J1156" s="94"/>
      <c r="K1156" s="94"/>
      <c r="L1156" s="94"/>
      <c r="M1156" s="94"/>
      <c r="N1156" s="94"/>
      <c r="O1156" s="94"/>
      <c r="P1156" s="94"/>
      <c r="Q1156" s="94"/>
      <c r="R1156" s="94"/>
      <c r="S1156" s="94"/>
      <c r="T1156" s="94"/>
      <c r="U1156" s="94"/>
      <c r="V1156" s="94"/>
      <c r="W1156" s="94"/>
      <c r="X1156" s="94"/>
      <c r="Y1156" s="94"/>
      <c r="Z1156" s="94"/>
      <c r="AA1156" s="94"/>
      <c r="AB1156" s="94"/>
      <c r="AC1156" s="94"/>
      <c r="AD1156" s="94"/>
      <c r="AE1156" s="94"/>
      <c r="AF1156" s="94"/>
      <c r="AG1156" s="94"/>
      <c r="AH1156" s="94"/>
      <c r="AI1156" s="94"/>
      <c r="AJ1156" s="94"/>
      <c r="AK1156" s="94"/>
      <c r="AL1156" s="94"/>
      <c r="AM1156" s="94"/>
      <c r="AN1156" s="94"/>
      <c r="AO1156" s="94"/>
      <c r="AP1156" s="94"/>
      <c r="AQ1156" s="94"/>
      <c r="AR1156" s="94"/>
      <c r="AS1156" s="94"/>
      <c r="AT1156" s="94"/>
      <c r="AU1156" s="94"/>
      <c r="AV1156" s="94"/>
      <c r="AW1156" s="94"/>
      <c r="AX1156" s="94"/>
      <c r="AY1156" s="94"/>
      <c r="AZ1156" s="94"/>
      <c r="BA1156" s="95"/>
    </row>
    <row r="1157" spans="1:53" s="87" customFormat="1">
      <c r="A1157" s="90" t="str">
        <f t="shared" si="43"/>
        <v/>
      </c>
      <c r="B1157" s="98"/>
      <c r="C1157" s="94"/>
      <c r="D1157" s="94"/>
      <c r="E1157" s="94"/>
      <c r="F1157" s="94"/>
      <c r="G1157" s="94"/>
      <c r="H1157" s="94"/>
      <c r="I1157" s="94"/>
      <c r="J1157" s="94"/>
      <c r="K1157" s="94"/>
      <c r="L1157" s="94"/>
      <c r="M1157" s="94"/>
      <c r="N1157" s="94"/>
      <c r="O1157" s="94"/>
      <c r="P1157" s="94"/>
      <c r="Q1157" s="94"/>
      <c r="R1157" s="94"/>
      <c r="S1157" s="94"/>
      <c r="T1157" s="94"/>
      <c r="U1157" s="94"/>
      <c r="V1157" s="94"/>
      <c r="W1157" s="94"/>
      <c r="X1157" s="94"/>
      <c r="Y1157" s="94"/>
      <c r="Z1157" s="94"/>
      <c r="AA1157" s="94"/>
      <c r="AB1157" s="94"/>
      <c r="AC1157" s="94"/>
      <c r="AD1157" s="94"/>
      <c r="AE1157" s="94"/>
      <c r="AF1157" s="94"/>
      <c r="AG1157" s="94"/>
      <c r="AH1157" s="94"/>
      <c r="AI1157" s="94"/>
      <c r="AJ1157" s="94"/>
      <c r="AK1157" s="94"/>
      <c r="AL1157" s="94"/>
      <c r="AM1157" s="94"/>
      <c r="AN1157" s="94"/>
      <c r="AO1157" s="94"/>
      <c r="AP1157" s="94"/>
      <c r="AQ1157" s="94"/>
      <c r="AR1157" s="94"/>
      <c r="AS1157" s="94"/>
      <c r="AT1157" s="94"/>
      <c r="AU1157" s="94"/>
      <c r="AV1157" s="94"/>
      <c r="AW1157" s="94"/>
      <c r="AX1157" s="94"/>
      <c r="AY1157" s="94"/>
      <c r="AZ1157" s="94"/>
      <c r="BA1157" s="95"/>
    </row>
    <row r="1158" spans="1:53" s="87" customFormat="1">
      <c r="A1158" s="90" t="str">
        <f t="shared" si="43"/>
        <v/>
      </c>
      <c r="B1158" s="98"/>
      <c r="C1158" s="94"/>
      <c r="D1158" s="94"/>
      <c r="E1158" s="94"/>
      <c r="F1158" s="94"/>
      <c r="G1158" s="94"/>
      <c r="H1158" s="94"/>
      <c r="I1158" s="94"/>
      <c r="J1158" s="94"/>
      <c r="K1158" s="94"/>
      <c r="L1158" s="94"/>
      <c r="M1158" s="94"/>
      <c r="N1158" s="94"/>
      <c r="O1158" s="94"/>
      <c r="P1158" s="94"/>
      <c r="Q1158" s="94"/>
      <c r="R1158" s="94"/>
      <c r="S1158" s="94"/>
      <c r="T1158" s="94"/>
      <c r="U1158" s="94"/>
      <c r="V1158" s="94"/>
      <c r="W1158" s="94"/>
      <c r="X1158" s="94"/>
      <c r="Y1158" s="94"/>
      <c r="Z1158" s="94"/>
      <c r="AA1158" s="94"/>
      <c r="AB1158" s="94"/>
      <c r="AC1158" s="94"/>
      <c r="AD1158" s="94"/>
      <c r="AE1158" s="94"/>
      <c r="AF1158" s="94"/>
      <c r="AG1158" s="94"/>
      <c r="AH1158" s="94"/>
      <c r="AI1158" s="94"/>
      <c r="AJ1158" s="94"/>
      <c r="AK1158" s="94"/>
      <c r="AL1158" s="94"/>
      <c r="AM1158" s="94"/>
      <c r="AN1158" s="94"/>
      <c r="AO1158" s="94"/>
      <c r="AP1158" s="94"/>
      <c r="AQ1158" s="94"/>
      <c r="AR1158" s="94"/>
      <c r="AS1158" s="94"/>
      <c r="AT1158" s="94"/>
      <c r="AU1158" s="94"/>
      <c r="AV1158" s="94"/>
      <c r="AW1158" s="94"/>
      <c r="AX1158" s="94"/>
      <c r="AY1158" s="94"/>
      <c r="AZ1158" s="94"/>
      <c r="BA1158" s="95"/>
    </row>
    <row r="1159" spans="1:53" s="87" customFormat="1">
      <c r="A1159" s="90" t="str">
        <f t="shared" si="43"/>
        <v/>
      </c>
      <c r="B1159" s="98"/>
      <c r="C1159" s="94"/>
      <c r="D1159" s="94"/>
      <c r="E1159" s="94"/>
      <c r="F1159" s="94"/>
      <c r="G1159" s="94"/>
      <c r="H1159" s="94"/>
      <c r="I1159" s="94"/>
      <c r="J1159" s="94"/>
      <c r="K1159" s="94"/>
      <c r="L1159" s="94"/>
      <c r="M1159" s="94"/>
      <c r="N1159" s="94"/>
      <c r="O1159" s="94"/>
      <c r="P1159" s="94"/>
      <c r="Q1159" s="94"/>
      <c r="R1159" s="94"/>
      <c r="S1159" s="94"/>
      <c r="T1159" s="94"/>
      <c r="U1159" s="94"/>
      <c r="V1159" s="94"/>
      <c r="W1159" s="94"/>
      <c r="X1159" s="94"/>
      <c r="Y1159" s="94"/>
      <c r="Z1159" s="94"/>
      <c r="AA1159" s="94"/>
      <c r="AB1159" s="94"/>
      <c r="AC1159" s="94"/>
      <c r="AD1159" s="94"/>
      <c r="AE1159" s="94"/>
      <c r="AF1159" s="94"/>
      <c r="AG1159" s="94"/>
      <c r="AH1159" s="94"/>
      <c r="AI1159" s="94"/>
      <c r="AJ1159" s="94"/>
      <c r="AK1159" s="94"/>
      <c r="AL1159" s="94"/>
      <c r="AM1159" s="94"/>
      <c r="AN1159" s="94"/>
      <c r="AO1159" s="94"/>
      <c r="AP1159" s="94"/>
      <c r="AQ1159" s="94"/>
      <c r="AR1159" s="94"/>
      <c r="AS1159" s="94"/>
      <c r="AT1159" s="94"/>
      <c r="AU1159" s="94"/>
      <c r="AV1159" s="94"/>
      <c r="AW1159" s="94"/>
      <c r="AX1159" s="94"/>
      <c r="AY1159" s="94"/>
      <c r="AZ1159" s="94"/>
      <c r="BA1159" s="95"/>
    </row>
    <row r="1160" spans="1:53" s="87" customFormat="1">
      <c r="A1160" s="90" t="str">
        <f t="shared" si="43"/>
        <v/>
      </c>
      <c r="B1160" s="98"/>
      <c r="C1160" s="94"/>
      <c r="D1160" s="94"/>
      <c r="E1160" s="94"/>
      <c r="F1160" s="94"/>
      <c r="G1160" s="94"/>
      <c r="H1160" s="94"/>
      <c r="I1160" s="94"/>
      <c r="J1160" s="94"/>
      <c r="K1160" s="94"/>
      <c r="L1160" s="94"/>
      <c r="M1160" s="94"/>
      <c r="N1160" s="94"/>
      <c r="O1160" s="94"/>
      <c r="P1160" s="94"/>
      <c r="Q1160" s="94"/>
      <c r="R1160" s="94"/>
      <c r="S1160" s="94"/>
      <c r="T1160" s="94"/>
      <c r="U1160" s="94"/>
      <c r="V1160" s="94"/>
      <c r="W1160" s="94"/>
      <c r="X1160" s="94"/>
      <c r="Y1160" s="94"/>
      <c r="Z1160" s="94"/>
      <c r="AA1160" s="94"/>
      <c r="AB1160" s="94"/>
      <c r="AC1160" s="94"/>
      <c r="AD1160" s="94"/>
      <c r="AE1160" s="94"/>
      <c r="AF1160" s="94"/>
      <c r="AG1160" s="94"/>
      <c r="AH1160" s="94"/>
      <c r="AI1160" s="94"/>
      <c r="AJ1160" s="94"/>
      <c r="AK1160" s="94"/>
      <c r="AL1160" s="94"/>
      <c r="AM1160" s="94"/>
      <c r="AN1160" s="94"/>
      <c r="AO1160" s="94"/>
      <c r="AP1160" s="94"/>
      <c r="AQ1160" s="94"/>
      <c r="AR1160" s="94"/>
      <c r="AS1160" s="94"/>
      <c r="AT1160" s="94"/>
      <c r="AU1160" s="94"/>
      <c r="AV1160" s="94"/>
      <c r="AW1160" s="94"/>
      <c r="AX1160" s="94"/>
      <c r="AY1160" s="94"/>
      <c r="AZ1160" s="94"/>
      <c r="BA1160" s="95"/>
    </row>
    <row r="1161" spans="1:53" s="87" customFormat="1">
      <c r="A1161" s="90" t="str">
        <f t="shared" si="43"/>
        <v/>
      </c>
      <c r="B1161" s="98"/>
      <c r="C1161" s="94"/>
      <c r="D1161" s="94"/>
      <c r="E1161" s="94"/>
      <c r="F1161" s="94"/>
      <c r="G1161" s="94"/>
      <c r="H1161" s="94"/>
      <c r="I1161" s="94"/>
      <c r="J1161" s="94"/>
      <c r="K1161" s="94"/>
      <c r="L1161" s="94"/>
      <c r="M1161" s="94"/>
      <c r="N1161" s="94"/>
      <c r="O1161" s="94"/>
      <c r="P1161" s="94"/>
      <c r="Q1161" s="94"/>
      <c r="R1161" s="94"/>
      <c r="S1161" s="94"/>
      <c r="T1161" s="94"/>
      <c r="U1161" s="94"/>
      <c r="V1161" s="94"/>
      <c r="W1161" s="94"/>
      <c r="X1161" s="94"/>
      <c r="Y1161" s="94"/>
      <c r="Z1161" s="94"/>
      <c r="AA1161" s="94"/>
      <c r="AB1161" s="94"/>
      <c r="AC1161" s="94"/>
      <c r="AD1161" s="94"/>
      <c r="AE1161" s="94"/>
      <c r="AF1161" s="94"/>
      <c r="AG1161" s="94"/>
      <c r="AH1161" s="94"/>
      <c r="AI1161" s="94"/>
      <c r="AJ1161" s="94"/>
      <c r="AK1161" s="94"/>
      <c r="AL1161" s="94"/>
      <c r="AM1161" s="94"/>
      <c r="AN1161" s="94"/>
      <c r="AO1161" s="94"/>
      <c r="AP1161" s="94"/>
      <c r="AQ1161" s="94"/>
      <c r="AR1161" s="94"/>
      <c r="AS1161" s="94"/>
      <c r="AT1161" s="94"/>
      <c r="AU1161" s="94"/>
      <c r="AV1161" s="94"/>
      <c r="AW1161" s="94"/>
      <c r="AX1161" s="94"/>
      <c r="AY1161" s="94"/>
      <c r="AZ1161" s="94"/>
      <c r="BA1161" s="95"/>
    </row>
    <row r="1162" spans="1:53" s="87" customFormat="1">
      <c r="A1162" s="90" t="str">
        <f t="shared" si="43"/>
        <v/>
      </c>
      <c r="B1162" s="98"/>
      <c r="C1162" s="94"/>
      <c r="D1162" s="94"/>
      <c r="E1162" s="94"/>
      <c r="F1162" s="94"/>
      <c r="G1162" s="94"/>
      <c r="H1162" s="94"/>
      <c r="I1162" s="94"/>
      <c r="J1162" s="94"/>
      <c r="K1162" s="94"/>
      <c r="L1162" s="94"/>
      <c r="M1162" s="94"/>
      <c r="N1162" s="94"/>
      <c r="O1162" s="94"/>
      <c r="P1162" s="94"/>
      <c r="Q1162" s="94"/>
      <c r="R1162" s="94"/>
      <c r="S1162" s="94"/>
      <c r="T1162" s="94"/>
      <c r="U1162" s="94"/>
      <c r="V1162" s="94"/>
      <c r="W1162" s="94"/>
      <c r="X1162" s="94"/>
      <c r="Y1162" s="94"/>
      <c r="Z1162" s="94"/>
      <c r="AA1162" s="94"/>
      <c r="AB1162" s="94"/>
      <c r="AC1162" s="94"/>
      <c r="AD1162" s="94"/>
      <c r="AE1162" s="94"/>
      <c r="AF1162" s="94"/>
      <c r="AG1162" s="94"/>
      <c r="AH1162" s="94"/>
      <c r="AI1162" s="94"/>
      <c r="AJ1162" s="94"/>
      <c r="AK1162" s="94"/>
      <c r="AL1162" s="94"/>
      <c r="AM1162" s="94"/>
      <c r="AN1162" s="94"/>
      <c r="AO1162" s="94"/>
      <c r="AP1162" s="94"/>
      <c r="AQ1162" s="94"/>
      <c r="AR1162" s="94"/>
      <c r="AS1162" s="94"/>
      <c r="AT1162" s="94"/>
      <c r="AU1162" s="94"/>
      <c r="AV1162" s="94"/>
      <c r="AW1162" s="94"/>
      <c r="AX1162" s="94"/>
      <c r="AY1162" s="94"/>
      <c r="AZ1162" s="94"/>
      <c r="BA1162" s="95"/>
    </row>
    <row r="1163" spans="1:53" s="87" customFormat="1">
      <c r="A1163" s="90" t="str">
        <f t="shared" si="43"/>
        <v/>
      </c>
      <c r="B1163" s="98"/>
      <c r="C1163" s="94"/>
      <c r="D1163" s="94"/>
      <c r="E1163" s="94"/>
      <c r="F1163" s="94"/>
      <c r="G1163" s="94"/>
      <c r="H1163" s="94"/>
      <c r="I1163" s="94"/>
      <c r="J1163" s="94"/>
      <c r="K1163" s="94"/>
      <c r="L1163" s="94"/>
      <c r="M1163" s="94"/>
      <c r="N1163" s="94"/>
      <c r="O1163" s="94"/>
      <c r="P1163" s="94"/>
      <c r="Q1163" s="94"/>
      <c r="R1163" s="94"/>
      <c r="S1163" s="94"/>
      <c r="T1163" s="94"/>
      <c r="U1163" s="94"/>
      <c r="V1163" s="94"/>
      <c r="W1163" s="94"/>
      <c r="X1163" s="94"/>
      <c r="Y1163" s="94"/>
      <c r="Z1163" s="94"/>
      <c r="AA1163" s="94"/>
      <c r="AB1163" s="94"/>
      <c r="AC1163" s="94"/>
      <c r="AD1163" s="94"/>
      <c r="AE1163" s="94"/>
      <c r="AF1163" s="94"/>
      <c r="AG1163" s="94"/>
      <c r="AH1163" s="94"/>
      <c r="AI1163" s="94"/>
      <c r="AJ1163" s="94"/>
      <c r="AK1163" s="94"/>
      <c r="AL1163" s="94"/>
      <c r="AM1163" s="94"/>
      <c r="AN1163" s="94"/>
      <c r="AO1163" s="94"/>
      <c r="AP1163" s="94"/>
      <c r="AQ1163" s="94"/>
      <c r="AR1163" s="94"/>
      <c r="AS1163" s="94"/>
      <c r="AT1163" s="94"/>
      <c r="AU1163" s="94"/>
      <c r="AV1163" s="94"/>
      <c r="AW1163" s="94"/>
      <c r="AX1163" s="94"/>
      <c r="AY1163" s="94"/>
      <c r="AZ1163" s="94"/>
      <c r="BA1163" s="95"/>
    </row>
    <row r="1164" spans="1:53" s="87" customFormat="1">
      <c r="A1164" s="90" t="str">
        <f t="shared" ref="A1164:A1200" si="44">IF(MID(B1164,3,2)="03",ROW(),"")</f>
        <v/>
      </c>
      <c r="B1164" s="98"/>
      <c r="C1164" s="94"/>
      <c r="D1164" s="94"/>
      <c r="E1164" s="94"/>
      <c r="F1164" s="94"/>
      <c r="G1164" s="94"/>
      <c r="H1164" s="94"/>
      <c r="I1164" s="94"/>
      <c r="J1164" s="94"/>
      <c r="K1164" s="94"/>
      <c r="L1164" s="94"/>
      <c r="M1164" s="94"/>
      <c r="N1164" s="94"/>
      <c r="O1164" s="94"/>
      <c r="P1164" s="94"/>
      <c r="Q1164" s="94"/>
      <c r="R1164" s="94"/>
      <c r="S1164" s="94"/>
      <c r="T1164" s="94"/>
      <c r="U1164" s="94"/>
      <c r="V1164" s="94"/>
      <c r="W1164" s="94"/>
      <c r="X1164" s="94"/>
      <c r="Y1164" s="94"/>
      <c r="Z1164" s="94"/>
      <c r="AA1164" s="94"/>
      <c r="AB1164" s="94"/>
      <c r="AC1164" s="94"/>
      <c r="AD1164" s="94"/>
      <c r="AE1164" s="94"/>
      <c r="AF1164" s="94"/>
      <c r="AG1164" s="94"/>
      <c r="AH1164" s="94"/>
      <c r="AI1164" s="94"/>
      <c r="AJ1164" s="94"/>
      <c r="AK1164" s="94"/>
      <c r="AL1164" s="94"/>
      <c r="AM1164" s="94"/>
      <c r="AN1164" s="94"/>
      <c r="AO1164" s="94"/>
      <c r="AP1164" s="94"/>
      <c r="AQ1164" s="94"/>
      <c r="AR1164" s="94"/>
      <c r="AS1164" s="94"/>
      <c r="AT1164" s="94"/>
      <c r="AU1164" s="94"/>
      <c r="AV1164" s="94"/>
      <c r="AW1164" s="94"/>
      <c r="AX1164" s="94"/>
      <c r="AY1164" s="94"/>
      <c r="AZ1164" s="94"/>
      <c r="BA1164" s="95"/>
    </row>
    <row r="1165" spans="1:53" s="87" customFormat="1">
      <c r="A1165" s="90" t="str">
        <f t="shared" si="44"/>
        <v/>
      </c>
      <c r="B1165" s="98"/>
      <c r="C1165" s="94"/>
      <c r="D1165" s="94"/>
      <c r="E1165" s="94"/>
      <c r="F1165" s="94"/>
      <c r="G1165" s="94"/>
      <c r="H1165" s="94"/>
      <c r="I1165" s="94"/>
      <c r="J1165" s="94"/>
      <c r="K1165" s="94"/>
      <c r="L1165" s="94"/>
      <c r="M1165" s="94"/>
      <c r="N1165" s="94"/>
      <c r="O1165" s="94"/>
      <c r="P1165" s="94"/>
      <c r="Q1165" s="94"/>
      <c r="R1165" s="94"/>
      <c r="S1165" s="94"/>
      <c r="T1165" s="94"/>
      <c r="U1165" s="94"/>
      <c r="V1165" s="94"/>
      <c r="W1165" s="94"/>
      <c r="X1165" s="94"/>
      <c r="Y1165" s="94"/>
      <c r="Z1165" s="94"/>
      <c r="AA1165" s="94"/>
      <c r="AB1165" s="94"/>
      <c r="AC1165" s="94"/>
      <c r="AD1165" s="94"/>
      <c r="AE1165" s="94"/>
      <c r="AF1165" s="94"/>
      <c r="AG1165" s="94"/>
      <c r="AH1165" s="94"/>
      <c r="AI1165" s="94"/>
      <c r="AJ1165" s="94"/>
      <c r="AK1165" s="94"/>
      <c r="AL1165" s="94"/>
      <c r="AM1165" s="94"/>
      <c r="AN1165" s="94"/>
      <c r="AO1165" s="94"/>
      <c r="AP1165" s="94"/>
      <c r="AQ1165" s="94"/>
      <c r="AR1165" s="94"/>
      <c r="AS1165" s="94"/>
      <c r="AT1165" s="94"/>
      <c r="AU1165" s="94"/>
      <c r="AV1165" s="94"/>
      <c r="AW1165" s="94"/>
      <c r="AX1165" s="94"/>
      <c r="AY1165" s="94"/>
      <c r="AZ1165" s="94"/>
      <c r="BA1165" s="95"/>
    </row>
    <row r="1166" spans="1:53" s="87" customFormat="1">
      <c r="A1166" s="90" t="str">
        <f t="shared" si="44"/>
        <v/>
      </c>
      <c r="B1166" s="98"/>
      <c r="C1166" s="94"/>
      <c r="D1166" s="94"/>
      <c r="E1166" s="94"/>
      <c r="F1166" s="94"/>
      <c r="G1166" s="94"/>
      <c r="H1166" s="94"/>
      <c r="I1166" s="94"/>
      <c r="J1166" s="94"/>
      <c r="K1166" s="94"/>
      <c r="L1166" s="94"/>
      <c r="M1166" s="94"/>
      <c r="N1166" s="94"/>
      <c r="O1166" s="94"/>
      <c r="P1166" s="94"/>
      <c r="Q1166" s="94"/>
      <c r="R1166" s="94"/>
      <c r="S1166" s="94"/>
      <c r="T1166" s="94"/>
      <c r="U1166" s="94"/>
      <c r="V1166" s="94"/>
      <c r="W1166" s="94"/>
      <c r="X1166" s="94"/>
      <c r="Y1166" s="94"/>
      <c r="Z1166" s="94"/>
      <c r="AA1166" s="94"/>
      <c r="AB1166" s="94"/>
      <c r="AC1166" s="94"/>
      <c r="AD1166" s="94"/>
      <c r="AE1166" s="94"/>
      <c r="AF1166" s="94"/>
      <c r="AG1166" s="94"/>
      <c r="AH1166" s="94"/>
      <c r="AI1166" s="94"/>
      <c r="AJ1166" s="94"/>
      <c r="AK1166" s="94"/>
      <c r="AL1166" s="94"/>
      <c r="AM1166" s="94"/>
      <c r="AN1166" s="94"/>
      <c r="AO1166" s="94"/>
      <c r="AP1166" s="94"/>
      <c r="AQ1166" s="94"/>
      <c r="AR1166" s="94"/>
      <c r="AS1166" s="94"/>
      <c r="AT1166" s="94"/>
      <c r="AU1166" s="94"/>
      <c r="AV1166" s="94"/>
      <c r="AW1166" s="94"/>
      <c r="AX1166" s="94"/>
      <c r="AY1166" s="94"/>
      <c r="AZ1166" s="94"/>
      <c r="BA1166" s="95"/>
    </row>
    <row r="1167" spans="1:53" s="87" customFormat="1">
      <c r="A1167" s="90" t="str">
        <f t="shared" si="44"/>
        <v/>
      </c>
      <c r="B1167" s="98"/>
      <c r="C1167" s="94"/>
      <c r="D1167" s="94"/>
      <c r="E1167" s="94"/>
      <c r="F1167" s="94"/>
      <c r="G1167" s="94"/>
      <c r="H1167" s="94"/>
      <c r="I1167" s="94"/>
      <c r="J1167" s="94"/>
      <c r="K1167" s="94"/>
      <c r="L1167" s="94"/>
      <c r="M1167" s="94"/>
      <c r="N1167" s="94"/>
      <c r="O1167" s="94"/>
      <c r="P1167" s="94"/>
      <c r="Q1167" s="94"/>
      <c r="R1167" s="94"/>
      <c r="S1167" s="94"/>
      <c r="T1167" s="94"/>
      <c r="U1167" s="94"/>
      <c r="V1167" s="94"/>
      <c r="W1167" s="94"/>
      <c r="X1167" s="94"/>
      <c r="Y1167" s="94"/>
      <c r="Z1167" s="94"/>
      <c r="AA1167" s="94"/>
      <c r="AB1167" s="94"/>
      <c r="AC1167" s="94"/>
      <c r="AD1167" s="94"/>
      <c r="AE1167" s="94"/>
      <c r="AF1167" s="94"/>
      <c r="AG1167" s="94"/>
      <c r="AH1167" s="94"/>
      <c r="AI1167" s="94"/>
      <c r="AJ1167" s="94"/>
      <c r="AK1167" s="94"/>
      <c r="AL1167" s="94"/>
      <c r="AM1167" s="94"/>
      <c r="AN1167" s="94"/>
      <c r="AO1167" s="94"/>
      <c r="AP1167" s="94"/>
      <c r="AQ1167" s="94"/>
      <c r="AR1167" s="94"/>
      <c r="AS1167" s="94"/>
      <c r="AT1167" s="94"/>
      <c r="AU1167" s="94"/>
      <c r="AV1167" s="94"/>
      <c r="AW1167" s="94"/>
      <c r="AX1167" s="94"/>
      <c r="AY1167" s="94"/>
      <c r="AZ1167" s="94"/>
      <c r="BA1167" s="95"/>
    </row>
    <row r="1168" spans="1:53" s="87" customFormat="1">
      <c r="A1168" s="90" t="str">
        <f t="shared" si="44"/>
        <v/>
      </c>
      <c r="B1168" s="98"/>
      <c r="C1168" s="94"/>
      <c r="D1168" s="94"/>
      <c r="E1168" s="94"/>
      <c r="F1168" s="94"/>
      <c r="G1168" s="94"/>
      <c r="H1168" s="94"/>
      <c r="I1168" s="94"/>
      <c r="J1168" s="94"/>
      <c r="K1168" s="94"/>
      <c r="L1168" s="94"/>
      <c r="M1168" s="94"/>
      <c r="N1168" s="94"/>
      <c r="O1168" s="94"/>
      <c r="P1168" s="94"/>
      <c r="Q1168" s="94"/>
      <c r="R1168" s="94"/>
      <c r="S1168" s="94"/>
      <c r="T1168" s="94"/>
      <c r="U1168" s="94"/>
      <c r="V1168" s="94"/>
      <c r="W1168" s="94"/>
      <c r="X1168" s="94"/>
      <c r="Y1168" s="94"/>
      <c r="Z1168" s="94"/>
      <c r="AA1168" s="94"/>
      <c r="AB1168" s="94"/>
      <c r="AC1168" s="94"/>
      <c r="AD1168" s="94"/>
      <c r="AE1168" s="94"/>
      <c r="AF1168" s="94"/>
      <c r="AG1168" s="94"/>
      <c r="AH1168" s="94"/>
      <c r="AI1168" s="94"/>
      <c r="AJ1168" s="94"/>
      <c r="AK1168" s="94"/>
      <c r="AL1168" s="94"/>
      <c r="AM1168" s="94"/>
      <c r="AN1168" s="94"/>
      <c r="AO1168" s="94"/>
      <c r="AP1168" s="94"/>
      <c r="AQ1168" s="94"/>
      <c r="AR1168" s="94"/>
      <c r="AS1168" s="94"/>
      <c r="AT1168" s="94"/>
      <c r="AU1168" s="94"/>
      <c r="AV1168" s="94"/>
      <c r="AW1168" s="94"/>
      <c r="AX1168" s="94"/>
      <c r="AY1168" s="94"/>
      <c r="AZ1168" s="94"/>
      <c r="BA1168" s="95"/>
    </row>
    <row r="1169" spans="1:53" s="87" customFormat="1">
      <c r="A1169" s="90" t="str">
        <f t="shared" si="44"/>
        <v/>
      </c>
      <c r="B1169" s="98"/>
      <c r="C1169" s="94"/>
      <c r="D1169" s="94"/>
      <c r="E1169" s="94"/>
      <c r="F1169" s="94"/>
      <c r="G1169" s="94"/>
      <c r="H1169" s="94"/>
      <c r="I1169" s="94"/>
      <c r="J1169" s="94"/>
      <c r="K1169" s="94"/>
      <c r="L1169" s="94"/>
      <c r="M1169" s="94"/>
      <c r="N1169" s="94"/>
      <c r="O1169" s="94"/>
      <c r="P1169" s="94"/>
      <c r="Q1169" s="94"/>
      <c r="R1169" s="94"/>
      <c r="S1169" s="94"/>
      <c r="T1169" s="94"/>
      <c r="U1169" s="94"/>
      <c r="V1169" s="94"/>
      <c r="W1169" s="94"/>
      <c r="X1169" s="94"/>
      <c r="Y1169" s="94"/>
      <c r="Z1169" s="94"/>
      <c r="AA1169" s="94"/>
      <c r="AB1169" s="94"/>
      <c r="AC1169" s="94"/>
      <c r="AD1169" s="94"/>
      <c r="AE1169" s="94"/>
      <c r="AF1169" s="94"/>
      <c r="AG1169" s="94"/>
      <c r="AH1169" s="94"/>
      <c r="AI1169" s="94"/>
      <c r="AJ1169" s="94"/>
      <c r="AK1169" s="94"/>
      <c r="AL1169" s="94"/>
      <c r="AM1169" s="94"/>
      <c r="AN1169" s="94"/>
      <c r="AO1169" s="94"/>
      <c r="AP1169" s="94"/>
      <c r="AQ1169" s="94"/>
      <c r="AR1169" s="94"/>
      <c r="AS1169" s="94"/>
      <c r="AT1169" s="94"/>
      <c r="AU1169" s="94"/>
      <c r="AV1169" s="94"/>
      <c r="AW1169" s="94"/>
      <c r="AX1169" s="94"/>
      <c r="AY1169" s="94"/>
      <c r="AZ1169" s="94"/>
      <c r="BA1169" s="95"/>
    </row>
    <row r="1170" spans="1:53" s="87" customFormat="1">
      <c r="A1170" s="90" t="str">
        <f t="shared" si="44"/>
        <v/>
      </c>
      <c r="B1170" s="98"/>
      <c r="C1170" s="94"/>
      <c r="D1170" s="94"/>
      <c r="E1170" s="94"/>
      <c r="F1170" s="94"/>
      <c r="G1170" s="94"/>
      <c r="H1170" s="94"/>
      <c r="I1170" s="94"/>
      <c r="J1170" s="94"/>
      <c r="K1170" s="94"/>
      <c r="L1170" s="94"/>
      <c r="M1170" s="94"/>
      <c r="N1170" s="94"/>
      <c r="O1170" s="94"/>
      <c r="P1170" s="94"/>
      <c r="Q1170" s="94"/>
      <c r="R1170" s="94"/>
      <c r="S1170" s="94"/>
      <c r="T1170" s="94"/>
      <c r="U1170" s="94"/>
      <c r="V1170" s="94"/>
      <c r="W1170" s="94"/>
      <c r="X1170" s="94"/>
      <c r="Y1170" s="94"/>
      <c r="Z1170" s="94"/>
      <c r="AA1170" s="94"/>
      <c r="AB1170" s="94"/>
      <c r="AC1170" s="94"/>
      <c r="AD1170" s="94"/>
      <c r="AE1170" s="94"/>
      <c r="AF1170" s="94"/>
      <c r="AG1170" s="94"/>
      <c r="AH1170" s="94"/>
      <c r="AI1170" s="94"/>
      <c r="AJ1170" s="94"/>
      <c r="AK1170" s="94"/>
      <c r="AL1170" s="94"/>
      <c r="AM1170" s="94"/>
      <c r="AN1170" s="94"/>
      <c r="AO1170" s="94"/>
      <c r="AP1170" s="94"/>
      <c r="AQ1170" s="94"/>
      <c r="AR1170" s="94"/>
      <c r="AS1170" s="94"/>
      <c r="AT1170" s="94"/>
      <c r="AU1170" s="94"/>
      <c r="AV1170" s="94"/>
      <c r="AW1170" s="94"/>
      <c r="AX1170" s="94"/>
      <c r="AY1170" s="94"/>
      <c r="AZ1170" s="94"/>
      <c r="BA1170" s="95"/>
    </row>
    <row r="1171" spans="1:53" s="87" customFormat="1">
      <c r="A1171" s="90" t="str">
        <f t="shared" si="44"/>
        <v/>
      </c>
      <c r="B1171" s="98"/>
      <c r="C1171" s="94"/>
      <c r="D1171" s="94"/>
      <c r="E1171" s="94"/>
      <c r="F1171" s="94"/>
      <c r="G1171" s="94"/>
      <c r="H1171" s="94"/>
      <c r="I1171" s="94"/>
      <c r="J1171" s="94"/>
      <c r="K1171" s="94"/>
      <c r="L1171" s="94"/>
      <c r="M1171" s="94"/>
      <c r="N1171" s="94"/>
      <c r="O1171" s="94"/>
      <c r="P1171" s="94"/>
      <c r="Q1171" s="94"/>
      <c r="R1171" s="94"/>
      <c r="S1171" s="94"/>
      <c r="T1171" s="94"/>
      <c r="U1171" s="94"/>
      <c r="V1171" s="94"/>
      <c r="W1171" s="94"/>
      <c r="X1171" s="94"/>
      <c r="Y1171" s="94"/>
      <c r="Z1171" s="94"/>
      <c r="AA1171" s="94"/>
      <c r="AB1171" s="94"/>
      <c r="AC1171" s="94"/>
      <c r="AD1171" s="94"/>
      <c r="AE1171" s="94"/>
      <c r="AF1171" s="94"/>
      <c r="AG1171" s="94"/>
      <c r="AH1171" s="94"/>
      <c r="AI1171" s="94"/>
      <c r="AJ1171" s="94"/>
      <c r="AK1171" s="94"/>
      <c r="AL1171" s="94"/>
      <c r="AM1171" s="94"/>
      <c r="AN1171" s="94"/>
      <c r="AO1171" s="94"/>
      <c r="AP1171" s="94"/>
      <c r="AQ1171" s="94"/>
      <c r="AR1171" s="94"/>
      <c r="AS1171" s="94"/>
      <c r="AT1171" s="94"/>
      <c r="AU1171" s="94"/>
      <c r="AV1171" s="94"/>
      <c r="AW1171" s="94"/>
      <c r="AX1171" s="94"/>
      <c r="AY1171" s="94"/>
      <c r="AZ1171" s="94"/>
      <c r="BA1171" s="95"/>
    </row>
    <row r="1172" spans="1:53" s="87" customFormat="1">
      <c r="A1172" s="90" t="str">
        <f t="shared" si="44"/>
        <v/>
      </c>
      <c r="B1172" s="98"/>
      <c r="C1172" s="94"/>
      <c r="D1172" s="94"/>
      <c r="E1172" s="94"/>
      <c r="F1172" s="94"/>
      <c r="G1172" s="94"/>
      <c r="H1172" s="94"/>
      <c r="I1172" s="94"/>
      <c r="J1172" s="94"/>
      <c r="K1172" s="94"/>
      <c r="L1172" s="94"/>
      <c r="M1172" s="94"/>
      <c r="N1172" s="94"/>
      <c r="O1172" s="94"/>
      <c r="P1172" s="94"/>
      <c r="Q1172" s="94"/>
      <c r="R1172" s="94"/>
      <c r="S1172" s="94"/>
      <c r="T1172" s="94"/>
      <c r="U1172" s="94"/>
      <c r="V1172" s="94"/>
      <c r="W1172" s="94"/>
      <c r="X1172" s="94"/>
      <c r="Y1172" s="94"/>
      <c r="Z1172" s="94"/>
      <c r="AA1172" s="94"/>
      <c r="AB1172" s="94"/>
      <c r="AC1172" s="94"/>
      <c r="AD1172" s="94"/>
      <c r="AE1172" s="94"/>
      <c r="AF1172" s="94"/>
      <c r="AG1172" s="94"/>
      <c r="AH1172" s="94"/>
      <c r="AI1172" s="94"/>
      <c r="AJ1172" s="94"/>
      <c r="AK1172" s="94"/>
      <c r="AL1172" s="94"/>
      <c r="AM1172" s="94"/>
      <c r="AN1172" s="94"/>
      <c r="AO1172" s="94"/>
      <c r="AP1172" s="94"/>
      <c r="AQ1172" s="94"/>
      <c r="AR1172" s="94"/>
      <c r="AS1172" s="94"/>
      <c r="AT1172" s="94"/>
      <c r="AU1172" s="94"/>
      <c r="AV1172" s="94"/>
      <c r="AW1172" s="94"/>
      <c r="AX1172" s="94"/>
      <c r="AY1172" s="94"/>
      <c r="AZ1172" s="94"/>
      <c r="BA1172" s="95"/>
    </row>
    <row r="1173" spans="1:53" s="87" customFormat="1">
      <c r="A1173" s="90" t="str">
        <f t="shared" si="44"/>
        <v/>
      </c>
      <c r="B1173" s="98"/>
      <c r="C1173" s="94"/>
      <c r="D1173" s="94"/>
      <c r="E1173" s="94"/>
      <c r="F1173" s="94"/>
      <c r="G1173" s="94"/>
      <c r="H1173" s="94"/>
      <c r="I1173" s="94"/>
      <c r="J1173" s="94"/>
      <c r="K1173" s="94"/>
      <c r="L1173" s="94"/>
      <c r="M1173" s="94"/>
      <c r="N1173" s="94"/>
      <c r="O1173" s="94"/>
      <c r="P1173" s="94"/>
      <c r="Q1173" s="94"/>
      <c r="R1173" s="94"/>
      <c r="S1173" s="94"/>
      <c r="T1173" s="94"/>
      <c r="U1173" s="94"/>
      <c r="V1173" s="94"/>
      <c r="W1173" s="94"/>
      <c r="X1173" s="94"/>
      <c r="Y1173" s="94"/>
      <c r="Z1173" s="94"/>
      <c r="AA1173" s="94"/>
      <c r="AB1173" s="94"/>
      <c r="AC1173" s="94"/>
      <c r="AD1173" s="94"/>
      <c r="AE1173" s="94"/>
      <c r="AF1173" s="94"/>
      <c r="AG1173" s="94"/>
      <c r="AH1173" s="94"/>
      <c r="AI1173" s="94"/>
      <c r="AJ1173" s="94"/>
      <c r="AK1173" s="94"/>
      <c r="AL1173" s="94"/>
      <c r="AM1173" s="94"/>
      <c r="AN1173" s="94"/>
      <c r="AO1173" s="94"/>
      <c r="AP1173" s="94"/>
      <c r="AQ1173" s="94"/>
      <c r="AR1173" s="94"/>
      <c r="AS1173" s="94"/>
      <c r="AT1173" s="94"/>
      <c r="AU1173" s="94"/>
      <c r="AV1173" s="94"/>
      <c r="AW1173" s="94"/>
      <c r="AX1173" s="94"/>
      <c r="AY1173" s="94"/>
      <c r="AZ1173" s="94"/>
      <c r="BA1173" s="95"/>
    </row>
    <row r="1174" spans="1:53" s="87" customFormat="1">
      <c r="A1174" s="90" t="str">
        <f t="shared" si="44"/>
        <v/>
      </c>
      <c r="B1174" s="98"/>
      <c r="C1174" s="94"/>
      <c r="D1174" s="94"/>
      <c r="E1174" s="94"/>
      <c r="F1174" s="94"/>
      <c r="G1174" s="94"/>
      <c r="H1174" s="94"/>
      <c r="I1174" s="94"/>
      <c r="J1174" s="94"/>
      <c r="K1174" s="94"/>
      <c r="L1174" s="94"/>
      <c r="M1174" s="94"/>
      <c r="N1174" s="94"/>
      <c r="O1174" s="94"/>
      <c r="P1174" s="94"/>
      <c r="Q1174" s="94"/>
      <c r="R1174" s="94"/>
      <c r="S1174" s="94"/>
      <c r="T1174" s="94"/>
      <c r="U1174" s="94"/>
      <c r="V1174" s="94"/>
      <c r="W1174" s="94"/>
      <c r="X1174" s="94"/>
      <c r="Y1174" s="94"/>
      <c r="Z1174" s="94"/>
      <c r="AA1174" s="94"/>
      <c r="AB1174" s="94"/>
      <c r="AC1174" s="94"/>
      <c r="AD1174" s="94"/>
      <c r="AE1174" s="94"/>
      <c r="AF1174" s="94"/>
      <c r="AG1174" s="94"/>
      <c r="AH1174" s="94"/>
      <c r="AI1174" s="94"/>
      <c r="AJ1174" s="94"/>
      <c r="AK1174" s="94"/>
      <c r="AL1174" s="94"/>
      <c r="AM1174" s="94"/>
      <c r="AN1174" s="94"/>
      <c r="AO1174" s="94"/>
      <c r="AP1174" s="94"/>
      <c r="AQ1174" s="94"/>
      <c r="AR1174" s="94"/>
      <c r="AS1174" s="94"/>
      <c r="AT1174" s="94"/>
      <c r="AU1174" s="94"/>
      <c r="AV1174" s="94"/>
      <c r="AW1174" s="94"/>
      <c r="AX1174" s="94"/>
      <c r="AY1174" s="94"/>
      <c r="AZ1174" s="94"/>
      <c r="BA1174" s="95"/>
    </row>
    <row r="1175" spans="1:53" s="87" customFormat="1">
      <c r="A1175" s="90" t="str">
        <f t="shared" si="44"/>
        <v/>
      </c>
      <c r="B1175" s="98"/>
      <c r="C1175" s="94"/>
      <c r="D1175" s="94"/>
      <c r="E1175" s="94"/>
      <c r="F1175" s="94"/>
      <c r="G1175" s="94"/>
      <c r="H1175" s="94"/>
      <c r="I1175" s="94"/>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5"/>
    </row>
    <row r="1176" spans="1:53" s="87" customFormat="1">
      <c r="A1176" s="90" t="str">
        <f t="shared" si="44"/>
        <v/>
      </c>
      <c r="B1176" s="98"/>
      <c r="C1176" s="94"/>
      <c r="D1176" s="94"/>
      <c r="E1176" s="94"/>
      <c r="F1176" s="94"/>
      <c r="G1176" s="94"/>
      <c r="H1176" s="94"/>
      <c r="I1176" s="94"/>
      <c r="J1176" s="94"/>
      <c r="K1176" s="94"/>
      <c r="L1176" s="94"/>
      <c r="M1176" s="94"/>
      <c r="N1176" s="94"/>
      <c r="O1176" s="94"/>
      <c r="P1176" s="94"/>
      <c r="Q1176" s="94"/>
      <c r="R1176" s="94"/>
      <c r="S1176" s="94"/>
      <c r="T1176" s="94"/>
      <c r="U1176" s="94"/>
      <c r="V1176" s="94"/>
      <c r="W1176" s="94"/>
      <c r="X1176" s="94"/>
      <c r="Y1176" s="94"/>
      <c r="Z1176" s="94"/>
      <c r="AA1176" s="94"/>
      <c r="AB1176" s="94"/>
      <c r="AC1176" s="94"/>
      <c r="AD1176" s="94"/>
      <c r="AE1176" s="94"/>
      <c r="AF1176" s="94"/>
      <c r="AG1176" s="94"/>
      <c r="AH1176" s="94"/>
      <c r="AI1176" s="94"/>
      <c r="AJ1176" s="94"/>
      <c r="AK1176" s="94"/>
      <c r="AL1176" s="94"/>
      <c r="AM1176" s="94"/>
      <c r="AN1176" s="94"/>
      <c r="AO1176" s="94"/>
      <c r="AP1176" s="94"/>
      <c r="AQ1176" s="94"/>
      <c r="AR1176" s="94"/>
      <c r="AS1176" s="94"/>
      <c r="AT1176" s="94"/>
      <c r="AU1176" s="94"/>
      <c r="AV1176" s="94"/>
      <c r="AW1176" s="94"/>
      <c r="AX1176" s="94"/>
      <c r="AY1176" s="94"/>
      <c r="AZ1176" s="94"/>
      <c r="BA1176" s="95"/>
    </row>
    <row r="1177" spans="1:53" s="87" customFormat="1">
      <c r="A1177" s="90" t="str">
        <f t="shared" si="44"/>
        <v/>
      </c>
      <c r="B1177" s="98"/>
      <c r="C1177" s="94"/>
      <c r="D1177" s="94"/>
      <c r="E1177" s="94"/>
      <c r="F1177" s="94"/>
      <c r="G1177" s="94"/>
      <c r="H1177" s="94"/>
      <c r="I1177" s="94"/>
      <c r="J1177" s="94"/>
      <c r="K1177" s="94"/>
      <c r="L1177" s="94"/>
      <c r="M1177" s="94"/>
      <c r="N1177" s="94"/>
      <c r="O1177" s="94"/>
      <c r="P1177" s="94"/>
      <c r="Q1177" s="94"/>
      <c r="R1177" s="94"/>
      <c r="S1177" s="94"/>
      <c r="T1177" s="94"/>
      <c r="U1177" s="94"/>
      <c r="V1177" s="94"/>
      <c r="W1177" s="94"/>
      <c r="X1177" s="94"/>
      <c r="Y1177" s="94"/>
      <c r="Z1177" s="94"/>
      <c r="AA1177" s="94"/>
      <c r="AB1177" s="94"/>
      <c r="AC1177" s="94"/>
      <c r="AD1177" s="94"/>
      <c r="AE1177" s="94"/>
      <c r="AF1177" s="94"/>
      <c r="AG1177" s="94"/>
      <c r="AH1177" s="94"/>
      <c r="AI1177" s="94"/>
      <c r="AJ1177" s="94"/>
      <c r="AK1177" s="94"/>
      <c r="AL1177" s="94"/>
      <c r="AM1177" s="94"/>
      <c r="AN1177" s="94"/>
      <c r="AO1177" s="94"/>
      <c r="AP1177" s="94"/>
      <c r="AQ1177" s="94"/>
      <c r="AR1177" s="94"/>
      <c r="AS1177" s="94"/>
      <c r="AT1177" s="94"/>
      <c r="AU1177" s="94"/>
      <c r="AV1177" s="94"/>
      <c r="AW1177" s="94"/>
      <c r="AX1177" s="94"/>
      <c r="AY1177" s="94"/>
      <c r="AZ1177" s="94"/>
      <c r="BA1177" s="95"/>
    </row>
    <row r="1178" spans="1:53" s="87" customFormat="1">
      <c r="A1178" s="90" t="str">
        <f t="shared" si="44"/>
        <v/>
      </c>
      <c r="B1178" s="98"/>
      <c r="C1178" s="94"/>
      <c r="D1178" s="94"/>
      <c r="E1178" s="94"/>
      <c r="F1178" s="94"/>
      <c r="G1178" s="94"/>
      <c r="H1178" s="94"/>
      <c r="I1178" s="94"/>
      <c r="J1178" s="94"/>
      <c r="K1178" s="94"/>
      <c r="L1178" s="94"/>
      <c r="M1178" s="94"/>
      <c r="N1178" s="94"/>
      <c r="O1178" s="94"/>
      <c r="P1178" s="94"/>
      <c r="Q1178" s="94"/>
      <c r="R1178" s="94"/>
      <c r="S1178" s="94"/>
      <c r="T1178" s="94"/>
      <c r="U1178" s="94"/>
      <c r="V1178" s="94"/>
      <c r="W1178" s="94"/>
      <c r="X1178" s="94"/>
      <c r="Y1178" s="94"/>
      <c r="Z1178" s="94"/>
      <c r="AA1178" s="94"/>
      <c r="AB1178" s="94"/>
      <c r="AC1178" s="94"/>
      <c r="AD1178" s="94"/>
      <c r="AE1178" s="94"/>
      <c r="AF1178" s="94"/>
      <c r="AG1178" s="94"/>
      <c r="AH1178" s="94"/>
      <c r="AI1178" s="94"/>
      <c r="AJ1178" s="94"/>
      <c r="AK1178" s="94"/>
      <c r="AL1178" s="94"/>
      <c r="AM1178" s="94"/>
      <c r="AN1178" s="94"/>
      <c r="AO1178" s="94"/>
      <c r="AP1178" s="94"/>
      <c r="AQ1178" s="94"/>
      <c r="AR1178" s="94"/>
      <c r="AS1178" s="94"/>
      <c r="AT1178" s="94"/>
      <c r="AU1178" s="94"/>
      <c r="AV1178" s="94"/>
      <c r="AW1178" s="94"/>
      <c r="AX1178" s="94"/>
      <c r="AY1178" s="94"/>
      <c r="AZ1178" s="94"/>
      <c r="BA1178" s="95"/>
    </row>
    <row r="1179" spans="1:53" s="87" customFormat="1">
      <c r="A1179" s="90" t="str">
        <f t="shared" si="44"/>
        <v/>
      </c>
      <c r="B1179" s="98"/>
      <c r="C1179" s="94"/>
      <c r="D1179" s="94"/>
      <c r="E1179" s="94"/>
      <c r="F1179" s="94"/>
      <c r="G1179" s="94"/>
      <c r="H1179" s="94"/>
      <c r="I1179" s="94"/>
      <c r="J1179" s="94"/>
      <c r="K1179" s="94"/>
      <c r="L1179" s="94"/>
      <c r="M1179" s="94"/>
      <c r="N1179" s="94"/>
      <c r="O1179" s="94"/>
      <c r="P1179" s="94"/>
      <c r="Q1179" s="94"/>
      <c r="R1179" s="94"/>
      <c r="S1179" s="94"/>
      <c r="T1179" s="94"/>
      <c r="U1179" s="94"/>
      <c r="V1179" s="94"/>
      <c r="W1179" s="94"/>
      <c r="X1179" s="94"/>
      <c r="Y1179" s="94"/>
      <c r="Z1179" s="94"/>
      <c r="AA1179" s="94"/>
      <c r="AB1179" s="94"/>
      <c r="AC1179" s="94"/>
      <c r="AD1179" s="94"/>
      <c r="AE1179" s="94"/>
      <c r="AF1179" s="94"/>
      <c r="AG1179" s="94"/>
      <c r="AH1179" s="94"/>
      <c r="AI1179" s="94"/>
      <c r="AJ1179" s="94"/>
      <c r="AK1179" s="94"/>
      <c r="AL1179" s="94"/>
      <c r="AM1179" s="94"/>
      <c r="AN1179" s="94"/>
      <c r="AO1179" s="94"/>
      <c r="AP1179" s="94"/>
      <c r="AQ1179" s="94"/>
      <c r="AR1179" s="94"/>
      <c r="AS1179" s="94"/>
      <c r="AT1179" s="94"/>
      <c r="AU1179" s="94"/>
      <c r="AV1179" s="94"/>
      <c r="AW1179" s="94"/>
      <c r="AX1179" s="94"/>
      <c r="AY1179" s="94"/>
      <c r="AZ1179" s="94"/>
      <c r="BA1179" s="95"/>
    </row>
    <row r="1180" spans="1:53" s="87" customFormat="1">
      <c r="A1180" s="90" t="str">
        <f t="shared" si="44"/>
        <v/>
      </c>
      <c r="B1180" s="98"/>
      <c r="C1180" s="94"/>
      <c r="D1180" s="94"/>
      <c r="E1180" s="94"/>
      <c r="F1180" s="94"/>
      <c r="G1180" s="94"/>
      <c r="H1180" s="94"/>
      <c r="I1180" s="94"/>
      <c r="J1180" s="94"/>
      <c r="K1180" s="94"/>
      <c r="L1180" s="94"/>
      <c r="M1180" s="94"/>
      <c r="N1180" s="94"/>
      <c r="O1180" s="94"/>
      <c r="P1180" s="94"/>
      <c r="Q1180" s="94"/>
      <c r="R1180" s="94"/>
      <c r="S1180" s="94"/>
      <c r="T1180" s="94"/>
      <c r="U1180" s="94"/>
      <c r="V1180" s="94"/>
      <c r="W1180" s="94"/>
      <c r="X1180" s="94"/>
      <c r="Y1180" s="94"/>
      <c r="Z1180" s="94"/>
      <c r="AA1180" s="94"/>
      <c r="AB1180" s="94"/>
      <c r="AC1180" s="94"/>
      <c r="AD1180" s="94"/>
      <c r="AE1180" s="94"/>
      <c r="AF1180" s="94"/>
      <c r="AG1180" s="94"/>
      <c r="AH1180" s="94"/>
      <c r="AI1180" s="94"/>
      <c r="AJ1180" s="94"/>
      <c r="AK1180" s="94"/>
      <c r="AL1180" s="94"/>
      <c r="AM1180" s="94"/>
      <c r="AN1180" s="94"/>
      <c r="AO1180" s="94"/>
      <c r="AP1180" s="94"/>
      <c r="AQ1180" s="94"/>
      <c r="AR1180" s="94"/>
      <c r="AS1180" s="94"/>
      <c r="AT1180" s="94"/>
      <c r="AU1180" s="94"/>
      <c r="AV1180" s="94"/>
      <c r="AW1180" s="94"/>
      <c r="AX1180" s="94"/>
      <c r="AY1180" s="94"/>
      <c r="AZ1180" s="94"/>
      <c r="BA1180" s="95"/>
    </row>
    <row r="1181" spans="1:53" s="87" customFormat="1">
      <c r="A1181" s="90" t="str">
        <f t="shared" si="44"/>
        <v/>
      </c>
      <c r="B1181" s="98"/>
      <c r="C1181" s="94"/>
      <c r="D1181" s="94"/>
      <c r="E1181" s="94"/>
      <c r="F1181" s="94"/>
      <c r="G1181" s="94"/>
      <c r="H1181" s="94"/>
      <c r="I1181" s="94"/>
      <c r="J1181" s="94"/>
      <c r="K1181" s="94"/>
      <c r="L1181" s="94"/>
      <c r="M1181" s="94"/>
      <c r="N1181" s="94"/>
      <c r="O1181" s="94"/>
      <c r="P1181" s="94"/>
      <c r="Q1181" s="94"/>
      <c r="R1181" s="94"/>
      <c r="S1181" s="94"/>
      <c r="T1181" s="94"/>
      <c r="U1181" s="94"/>
      <c r="V1181" s="94"/>
      <c r="W1181" s="94"/>
      <c r="X1181" s="94"/>
      <c r="Y1181" s="94"/>
      <c r="Z1181" s="94"/>
      <c r="AA1181" s="94"/>
      <c r="AB1181" s="94"/>
      <c r="AC1181" s="94"/>
      <c r="AD1181" s="94"/>
      <c r="AE1181" s="94"/>
      <c r="AF1181" s="94"/>
      <c r="AG1181" s="94"/>
      <c r="AH1181" s="94"/>
      <c r="AI1181" s="94"/>
      <c r="AJ1181" s="94"/>
      <c r="AK1181" s="94"/>
      <c r="AL1181" s="94"/>
      <c r="AM1181" s="94"/>
      <c r="AN1181" s="94"/>
      <c r="AO1181" s="94"/>
      <c r="AP1181" s="94"/>
      <c r="AQ1181" s="94"/>
      <c r="AR1181" s="94"/>
      <c r="AS1181" s="94"/>
      <c r="AT1181" s="94"/>
      <c r="AU1181" s="94"/>
      <c r="AV1181" s="94"/>
      <c r="AW1181" s="94"/>
      <c r="AX1181" s="94"/>
      <c r="AY1181" s="94"/>
      <c r="AZ1181" s="94"/>
      <c r="BA1181" s="95"/>
    </row>
    <row r="1182" spans="1:53" s="87" customFormat="1">
      <c r="A1182" s="90" t="str">
        <f t="shared" si="44"/>
        <v/>
      </c>
      <c r="B1182" s="98"/>
      <c r="C1182" s="94"/>
      <c r="D1182" s="94"/>
      <c r="E1182" s="94"/>
      <c r="F1182" s="94"/>
      <c r="G1182" s="94"/>
      <c r="H1182" s="94"/>
      <c r="I1182" s="94"/>
      <c r="J1182" s="94"/>
      <c r="K1182" s="94"/>
      <c r="L1182" s="94"/>
      <c r="M1182" s="94"/>
      <c r="N1182" s="94"/>
      <c r="O1182" s="94"/>
      <c r="P1182" s="94"/>
      <c r="Q1182" s="94"/>
      <c r="R1182" s="94"/>
      <c r="S1182" s="94"/>
      <c r="T1182" s="94"/>
      <c r="U1182" s="94"/>
      <c r="V1182" s="94"/>
      <c r="W1182" s="94"/>
      <c r="X1182" s="94"/>
      <c r="Y1182" s="94"/>
      <c r="Z1182" s="94"/>
      <c r="AA1182" s="94"/>
      <c r="AB1182" s="94"/>
      <c r="AC1182" s="94"/>
      <c r="AD1182" s="94"/>
      <c r="AE1182" s="94"/>
      <c r="AF1182" s="94"/>
      <c r="AG1182" s="94"/>
      <c r="AH1182" s="94"/>
      <c r="AI1182" s="94"/>
      <c r="AJ1182" s="94"/>
      <c r="AK1182" s="94"/>
      <c r="AL1182" s="94"/>
      <c r="AM1182" s="94"/>
      <c r="AN1182" s="94"/>
      <c r="AO1182" s="94"/>
      <c r="AP1182" s="94"/>
      <c r="AQ1182" s="94"/>
      <c r="AR1182" s="94"/>
      <c r="AS1182" s="94"/>
      <c r="AT1182" s="94"/>
      <c r="AU1182" s="94"/>
      <c r="AV1182" s="94"/>
      <c r="AW1182" s="94"/>
      <c r="AX1182" s="94"/>
      <c r="AY1182" s="94"/>
      <c r="AZ1182" s="94"/>
      <c r="BA1182" s="95"/>
    </row>
    <row r="1183" spans="1:53" s="87" customFormat="1">
      <c r="A1183" s="90" t="str">
        <f t="shared" si="44"/>
        <v/>
      </c>
      <c r="B1183" s="98"/>
      <c r="C1183" s="94"/>
      <c r="D1183" s="94"/>
      <c r="E1183" s="94"/>
      <c r="F1183" s="94"/>
      <c r="G1183" s="94"/>
      <c r="H1183" s="94"/>
      <c r="I1183" s="94"/>
      <c r="J1183" s="94"/>
      <c r="K1183" s="94"/>
      <c r="L1183" s="94"/>
      <c r="M1183" s="94"/>
      <c r="N1183" s="94"/>
      <c r="O1183" s="94"/>
      <c r="P1183" s="94"/>
      <c r="Q1183" s="94"/>
      <c r="R1183" s="94"/>
      <c r="S1183" s="94"/>
      <c r="T1183" s="94"/>
      <c r="U1183" s="94"/>
      <c r="V1183" s="94"/>
      <c r="W1183" s="94"/>
      <c r="X1183" s="94"/>
      <c r="Y1183" s="94"/>
      <c r="Z1183" s="94"/>
      <c r="AA1183" s="94"/>
      <c r="AB1183" s="94"/>
      <c r="AC1183" s="94"/>
      <c r="AD1183" s="94"/>
      <c r="AE1183" s="94"/>
      <c r="AF1183" s="94"/>
      <c r="AG1183" s="94"/>
      <c r="AH1183" s="94"/>
      <c r="AI1183" s="94"/>
      <c r="AJ1183" s="94"/>
      <c r="AK1183" s="94"/>
      <c r="AL1183" s="94"/>
      <c r="AM1183" s="94"/>
      <c r="AN1183" s="94"/>
      <c r="AO1183" s="94"/>
      <c r="AP1183" s="94"/>
      <c r="AQ1183" s="94"/>
      <c r="AR1183" s="94"/>
      <c r="AS1183" s="94"/>
      <c r="AT1183" s="94"/>
      <c r="AU1183" s="94"/>
      <c r="AV1183" s="94"/>
      <c r="AW1183" s="94"/>
      <c r="AX1183" s="94"/>
      <c r="AY1183" s="94"/>
      <c r="AZ1183" s="94"/>
      <c r="BA1183" s="95"/>
    </row>
    <row r="1184" spans="1:53" s="87" customFormat="1">
      <c r="A1184" s="90" t="str">
        <f t="shared" si="44"/>
        <v/>
      </c>
      <c r="B1184" s="98"/>
      <c r="C1184" s="94"/>
      <c r="D1184" s="94"/>
      <c r="E1184" s="94"/>
      <c r="F1184" s="94"/>
      <c r="G1184" s="94"/>
      <c r="H1184" s="94"/>
      <c r="I1184" s="94"/>
      <c r="J1184" s="94"/>
      <c r="K1184" s="94"/>
      <c r="L1184" s="94"/>
      <c r="M1184" s="94"/>
      <c r="N1184" s="94"/>
      <c r="O1184" s="94"/>
      <c r="P1184" s="94"/>
      <c r="Q1184" s="94"/>
      <c r="R1184" s="94"/>
      <c r="S1184" s="94"/>
      <c r="T1184" s="94"/>
      <c r="U1184" s="94"/>
      <c r="V1184" s="94"/>
      <c r="W1184" s="94"/>
      <c r="X1184" s="94"/>
      <c r="Y1184" s="94"/>
      <c r="Z1184" s="94"/>
      <c r="AA1184" s="94"/>
      <c r="AB1184" s="94"/>
      <c r="AC1184" s="94"/>
      <c r="AD1184" s="94"/>
      <c r="AE1184" s="94"/>
      <c r="AF1184" s="94"/>
      <c r="AG1184" s="94"/>
      <c r="AH1184" s="94"/>
      <c r="AI1184" s="94"/>
      <c r="AJ1184" s="94"/>
      <c r="AK1184" s="94"/>
      <c r="AL1184" s="94"/>
      <c r="AM1184" s="94"/>
      <c r="AN1184" s="94"/>
      <c r="AO1184" s="94"/>
      <c r="AP1184" s="94"/>
      <c r="AQ1184" s="94"/>
      <c r="AR1184" s="94"/>
      <c r="AS1184" s="94"/>
      <c r="AT1184" s="94"/>
      <c r="AU1184" s="94"/>
      <c r="AV1184" s="94"/>
      <c r="AW1184" s="94"/>
      <c r="AX1184" s="94"/>
      <c r="AY1184" s="94"/>
      <c r="AZ1184" s="94"/>
      <c r="BA1184" s="95"/>
    </row>
    <row r="1185" spans="1:53" s="87" customFormat="1">
      <c r="A1185" s="90" t="str">
        <f t="shared" si="44"/>
        <v/>
      </c>
      <c r="B1185" s="98"/>
      <c r="C1185" s="94"/>
      <c r="D1185" s="94"/>
      <c r="E1185" s="94"/>
      <c r="F1185" s="94"/>
      <c r="G1185" s="94"/>
      <c r="H1185" s="94"/>
      <c r="I1185" s="94"/>
      <c r="J1185" s="94"/>
      <c r="K1185" s="94"/>
      <c r="L1185" s="94"/>
      <c r="M1185" s="94"/>
      <c r="N1185" s="94"/>
      <c r="O1185" s="94"/>
      <c r="P1185" s="94"/>
      <c r="Q1185" s="94"/>
      <c r="R1185" s="94"/>
      <c r="S1185" s="94"/>
      <c r="T1185" s="94"/>
      <c r="U1185" s="94"/>
      <c r="V1185" s="94"/>
      <c r="W1185" s="94"/>
      <c r="X1185" s="94"/>
      <c r="Y1185" s="94"/>
      <c r="Z1185" s="94"/>
      <c r="AA1185" s="94"/>
      <c r="AB1185" s="94"/>
      <c r="AC1185" s="94"/>
      <c r="AD1185" s="94"/>
      <c r="AE1185" s="94"/>
      <c r="AF1185" s="94"/>
      <c r="AG1185" s="94"/>
      <c r="AH1185" s="94"/>
      <c r="AI1185" s="94"/>
      <c r="AJ1185" s="94"/>
      <c r="AK1185" s="94"/>
      <c r="AL1185" s="94"/>
      <c r="AM1185" s="94"/>
      <c r="AN1185" s="94"/>
      <c r="AO1185" s="94"/>
      <c r="AP1185" s="94"/>
      <c r="AQ1185" s="94"/>
      <c r="AR1185" s="94"/>
      <c r="AS1185" s="94"/>
      <c r="AT1185" s="94"/>
      <c r="AU1185" s="94"/>
      <c r="AV1185" s="94"/>
      <c r="AW1185" s="94"/>
      <c r="AX1185" s="94"/>
      <c r="AY1185" s="94"/>
      <c r="AZ1185" s="94"/>
      <c r="BA1185" s="95"/>
    </row>
    <row r="1186" spans="1:53" s="87" customFormat="1">
      <c r="A1186" s="90" t="str">
        <f t="shared" si="44"/>
        <v/>
      </c>
      <c r="B1186" s="98"/>
      <c r="C1186" s="94"/>
      <c r="D1186" s="94"/>
      <c r="E1186" s="94"/>
      <c r="F1186" s="94"/>
      <c r="G1186" s="94"/>
      <c r="H1186" s="94"/>
      <c r="I1186" s="94"/>
      <c r="J1186" s="94"/>
      <c r="K1186" s="94"/>
      <c r="L1186" s="94"/>
      <c r="M1186" s="94"/>
      <c r="N1186" s="94"/>
      <c r="O1186" s="94"/>
      <c r="P1186" s="94"/>
      <c r="Q1186" s="94"/>
      <c r="R1186" s="94"/>
      <c r="S1186" s="94"/>
      <c r="T1186" s="94"/>
      <c r="U1186" s="94"/>
      <c r="V1186" s="94"/>
      <c r="W1186" s="94"/>
      <c r="X1186" s="94"/>
      <c r="Y1186" s="94"/>
      <c r="Z1186" s="94"/>
      <c r="AA1186" s="94"/>
      <c r="AB1186" s="94"/>
      <c r="AC1186" s="94"/>
      <c r="AD1186" s="94"/>
      <c r="AE1186" s="94"/>
      <c r="AF1186" s="94"/>
      <c r="AG1186" s="94"/>
      <c r="AH1186" s="94"/>
      <c r="AI1186" s="94"/>
      <c r="AJ1186" s="94"/>
      <c r="AK1186" s="94"/>
      <c r="AL1186" s="94"/>
      <c r="AM1186" s="94"/>
      <c r="AN1186" s="94"/>
      <c r="AO1186" s="94"/>
      <c r="AP1186" s="94"/>
      <c r="AQ1186" s="94"/>
      <c r="AR1186" s="94"/>
      <c r="AS1186" s="94"/>
      <c r="AT1186" s="94"/>
      <c r="AU1186" s="94"/>
      <c r="AV1186" s="94"/>
      <c r="AW1186" s="94"/>
      <c r="AX1186" s="94"/>
      <c r="AY1186" s="94"/>
      <c r="AZ1186" s="94"/>
      <c r="BA1186" s="95"/>
    </row>
    <row r="1187" spans="1:53" s="87" customFormat="1">
      <c r="A1187" s="90" t="str">
        <f t="shared" si="44"/>
        <v/>
      </c>
      <c r="B1187" s="98"/>
      <c r="C1187" s="94"/>
      <c r="D1187" s="94"/>
      <c r="E1187" s="94"/>
      <c r="F1187" s="94"/>
      <c r="G1187" s="94"/>
      <c r="H1187" s="94"/>
      <c r="I1187" s="94"/>
      <c r="J1187" s="94"/>
      <c r="K1187" s="94"/>
      <c r="L1187" s="94"/>
      <c r="M1187" s="94"/>
      <c r="N1187" s="94"/>
      <c r="O1187" s="94"/>
      <c r="P1187" s="94"/>
      <c r="Q1187" s="94"/>
      <c r="R1187" s="94"/>
      <c r="S1187" s="94"/>
      <c r="T1187" s="94"/>
      <c r="U1187" s="94"/>
      <c r="V1187" s="94"/>
      <c r="W1187" s="94"/>
      <c r="X1187" s="94"/>
      <c r="Y1187" s="94"/>
      <c r="Z1187" s="94"/>
      <c r="AA1187" s="94"/>
      <c r="AB1187" s="94"/>
      <c r="AC1187" s="94"/>
      <c r="AD1187" s="94"/>
      <c r="AE1187" s="94"/>
      <c r="AF1187" s="94"/>
      <c r="AG1187" s="94"/>
      <c r="AH1187" s="94"/>
      <c r="AI1187" s="94"/>
      <c r="AJ1187" s="94"/>
      <c r="AK1187" s="94"/>
      <c r="AL1187" s="94"/>
      <c r="AM1187" s="94"/>
      <c r="AN1187" s="94"/>
      <c r="AO1187" s="94"/>
      <c r="AP1187" s="94"/>
      <c r="AQ1187" s="94"/>
      <c r="AR1187" s="94"/>
      <c r="AS1187" s="94"/>
      <c r="AT1187" s="94"/>
      <c r="AU1187" s="94"/>
      <c r="AV1187" s="94"/>
      <c r="AW1187" s="94"/>
      <c r="AX1187" s="94"/>
      <c r="AY1187" s="94"/>
      <c r="AZ1187" s="94"/>
      <c r="BA1187" s="95"/>
    </row>
    <row r="1188" spans="1:53" s="87" customFormat="1">
      <c r="A1188" s="90" t="str">
        <f t="shared" si="44"/>
        <v/>
      </c>
      <c r="B1188" s="98"/>
      <c r="C1188" s="94"/>
      <c r="D1188" s="94"/>
      <c r="E1188" s="94"/>
      <c r="F1188" s="94"/>
      <c r="G1188" s="94"/>
      <c r="H1188" s="94"/>
      <c r="I1188" s="94"/>
      <c r="J1188" s="94"/>
      <c r="K1188" s="94"/>
      <c r="L1188" s="94"/>
      <c r="M1188" s="94"/>
      <c r="N1188" s="94"/>
      <c r="O1188" s="94"/>
      <c r="P1188" s="94"/>
      <c r="Q1188" s="94"/>
      <c r="R1188" s="94"/>
      <c r="S1188" s="94"/>
      <c r="T1188" s="94"/>
      <c r="U1188" s="94"/>
      <c r="V1188" s="94"/>
      <c r="W1188" s="94"/>
      <c r="X1188" s="94"/>
      <c r="Y1188" s="94"/>
      <c r="Z1188" s="94"/>
      <c r="AA1188" s="94"/>
      <c r="AB1188" s="94"/>
      <c r="AC1188" s="94"/>
      <c r="AD1188" s="94"/>
      <c r="AE1188" s="94"/>
      <c r="AF1188" s="94"/>
      <c r="AG1188" s="94"/>
      <c r="AH1188" s="94"/>
      <c r="AI1188" s="94"/>
      <c r="AJ1188" s="94"/>
      <c r="AK1188" s="94"/>
      <c r="AL1188" s="94"/>
      <c r="AM1188" s="94"/>
      <c r="AN1188" s="94"/>
      <c r="AO1188" s="94"/>
      <c r="AP1188" s="94"/>
      <c r="AQ1188" s="94"/>
      <c r="AR1188" s="94"/>
      <c r="AS1188" s="94"/>
      <c r="AT1188" s="94"/>
      <c r="AU1188" s="94"/>
      <c r="AV1188" s="94"/>
      <c r="AW1188" s="94"/>
      <c r="AX1188" s="94"/>
      <c r="AY1188" s="94"/>
      <c r="AZ1188" s="94"/>
      <c r="BA1188" s="95"/>
    </row>
    <row r="1189" spans="1:53" s="87" customFormat="1">
      <c r="A1189" s="90" t="str">
        <f t="shared" si="44"/>
        <v/>
      </c>
      <c r="B1189" s="98"/>
      <c r="C1189" s="94"/>
      <c r="D1189" s="94"/>
      <c r="E1189" s="94"/>
      <c r="F1189" s="94"/>
      <c r="G1189" s="94"/>
      <c r="H1189" s="94"/>
      <c r="I1189" s="94"/>
      <c r="J1189" s="94"/>
      <c r="K1189" s="94"/>
      <c r="L1189" s="94"/>
      <c r="M1189" s="94"/>
      <c r="N1189" s="94"/>
      <c r="O1189" s="94"/>
      <c r="P1189" s="94"/>
      <c r="Q1189" s="94"/>
      <c r="R1189" s="94"/>
      <c r="S1189" s="94"/>
      <c r="T1189" s="94"/>
      <c r="U1189" s="94"/>
      <c r="V1189" s="94"/>
      <c r="W1189" s="94"/>
      <c r="X1189" s="94"/>
      <c r="Y1189" s="94"/>
      <c r="Z1189" s="94"/>
      <c r="AA1189" s="94"/>
      <c r="AB1189" s="94"/>
      <c r="AC1189" s="94"/>
      <c r="AD1189" s="94"/>
      <c r="AE1189" s="94"/>
      <c r="AF1189" s="94"/>
      <c r="AG1189" s="94"/>
      <c r="AH1189" s="94"/>
      <c r="AI1189" s="94"/>
      <c r="AJ1189" s="94"/>
      <c r="AK1189" s="94"/>
      <c r="AL1189" s="94"/>
      <c r="AM1189" s="94"/>
      <c r="AN1189" s="94"/>
      <c r="AO1189" s="94"/>
      <c r="AP1189" s="94"/>
      <c r="AQ1189" s="94"/>
      <c r="AR1189" s="94"/>
      <c r="AS1189" s="94"/>
      <c r="AT1189" s="94"/>
      <c r="AU1189" s="94"/>
      <c r="AV1189" s="94"/>
      <c r="AW1189" s="94"/>
      <c r="AX1189" s="94"/>
      <c r="AY1189" s="94"/>
      <c r="AZ1189" s="94"/>
      <c r="BA1189" s="95"/>
    </row>
    <row r="1190" spans="1:53" s="87" customFormat="1">
      <c r="A1190" s="90" t="str">
        <f t="shared" si="44"/>
        <v/>
      </c>
      <c r="B1190" s="98"/>
      <c r="C1190" s="94"/>
      <c r="D1190" s="94"/>
      <c r="E1190" s="94"/>
      <c r="F1190" s="94"/>
      <c r="G1190" s="94"/>
      <c r="H1190" s="94"/>
      <c r="I1190" s="94"/>
      <c r="J1190" s="94"/>
      <c r="K1190" s="94"/>
      <c r="L1190" s="94"/>
      <c r="M1190" s="94"/>
      <c r="N1190" s="94"/>
      <c r="O1190" s="94"/>
      <c r="P1190" s="94"/>
      <c r="Q1190" s="94"/>
      <c r="R1190" s="94"/>
      <c r="S1190" s="94"/>
      <c r="T1190" s="94"/>
      <c r="U1190" s="94"/>
      <c r="V1190" s="94"/>
      <c r="W1190" s="94"/>
      <c r="X1190" s="94"/>
      <c r="Y1190" s="94"/>
      <c r="Z1190" s="94"/>
      <c r="AA1190" s="94"/>
      <c r="AB1190" s="94"/>
      <c r="AC1190" s="94"/>
      <c r="AD1190" s="94"/>
      <c r="AE1190" s="94"/>
      <c r="AF1190" s="94"/>
      <c r="AG1190" s="94"/>
      <c r="AH1190" s="94"/>
      <c r="AI1190" s="94"/>
      <c r="AJ1190" s="94"/>
      <c r="AK1190" s="94"/>
      <c r="AL1190" s="94"/>
      <c r="AM1190" s="94"/>
      <c r="AN1190" s="94"/>
      <c r="AO1190" s="94"/>
      <c r="AP1190" s="94"/>
      <c r="AQ1190" s="94"/>
      <c r="AR1190" s="94"/>
      <c r="AS1190" s="94"/>
      <c r="AT1190" s="94"/>
      <c r="AU1190" s="94"/>
      <c r="AV1190" s="94"/>
      <c r="AW1190" s="94"/>
      <c r="AX1190" s="94"/>
      <c r="AY1190" s="94"/>
      <c r="AZ1190" s="94"/>
      <c r="BA1190" s="95"/>
    </row>
    <row r="1191" spans="1:53" s="87" customFormat="1">
      <c r="A1191" s="90" t="str">
        <f t="shared" si="44"/>
        <v/>
      </c>
      <c r="B1191" s="98"/>
      <c r="C1191" s="94"/>
      <c r="D1191" s="94"/>
      <c r="E1191" s="94"/>
      <c r="F1191" s="94"/>
      <c r="G1191" s="94"/>
      <c r="H1191" s="94"/>
      <c r="I1191" s="94"/>
      <c r="J1191" s="94"/>
      <c r="K1191" s="94"/>
      <c r="L1191" s="94"/>
      <c r="M1191" s="94"/>
      <c r="N1191" s="94"/>
      <c r="O1191" s="94"/>
      <c r="P1191" s="94"/>
      <c r="Q1191" s="94"/>
      <c r="R1191" s="94"/>
      <c r="S1191" s="94"/>
      <c r="T1191" s="94"/>
      <c r="U1191" s="94"/>
      <c r="V1191" s="94"/>
      <c r="W1191" s="94"/>
      <c r="X1191" s="94"/>
      <c r="Y1191" s="94"/>
      <c r="Z1191" s="94"/>
      <c r="AA1191" s="94"/>
      <c r="AB1191" s="94"/>
      <c r="AC1191" s="94"/>
      <c r="AD1191" s="94"/>
      <c r="AE1191" s="94"/>
      <c r="AF1191" s="94"/>
      <c r="AG1191" s="94"/>
      <c r="AH1191" s="94"/>
      <c r="AI1191" s="94"/>
      <c r="AJ1191" s="94"/>
      <c r="AK1191" s="94"/>
      <c r="AL1191" s="94"/>
      <c r="AM1191" s="94"/>
      <c r="AN1191" s="94"/>
      <c r="AO1191" s="94"/>
      <c r="AP1191" s="94"/>
      <c r="AQ1191" s="94"/>
      <c r="AR1191" s="94"/>
      <c r="AS1191" s="94"/>
      <c r="AT1191" s="94"/>
      <c r="AU1191" s="94"/>
      <c r="AV1191" s="94"/>
      <c r="AW1191" s="94"/>
      <c r="AX1191" s="94"/>
      <c r="AY1191" s="94"/>
      <c r="AZ1191" s="94"/>
      <c r="BA1191" s="95"/>
    </row>
    <row r="1192" spans="1:53" s="87" customFormat="1">
      <c r="A1192" s="90" t="str">
        <f t="shared" si="44"/>
        <v/>
      </c>
      <c r="B1192" s="98"/>
      <c r="C1192" s="94"/>
      <c r="D1192" s="94"/>
      <c r="E1192" s="94"/>
      <c r="F1192" s="94"/>
      <c r="G1192" s="94"/>
      <c r="H1192" s="94"/>
      <c r="I1192" s="94"/>
      <c r="J1192" s="94"/>
      <c r="K1192" s="94"/>
      <c r="L1192" s="94"/>
      <c r="M1192" s="94"/>
      <c r="N1192" s="94"/>
      <c r="O1192" s="94"/>
      <c r="P1192" s="94"/>
      <c r="Q1192" s="94"/>
      <c r="R1192" s="94"/>
      <c r="S1192" s="94"/>
      <c r="T1192" s="94"/>
      <c r="U1192" s="94"/>
      <c r="V1192" s="94"/>
      <c r="W1192" s="94"/>
      <c r="X1192" s="94"/>
      <c r="Y1192" s="94"/>
      <c r="Z1192" s="94"/>
      <c r="AA1192" s="94"/>
      <c r="AB1192" s="94"/>
      <c r="AC1192" s="94"/>
      <c r="AD1192" s="94"/>
      <c r="AE1192" s="94"/>
      <c r="AF1192" s="94"/>
      <c r="AG1192" s="94"/>
      <c r="AH1192" s="94"/>
      <c r="AI1192" s="94"/>
      <c r="AJ1192" s="94"/>
      <c r="AK1192" s="94"/>
      <c r="AL1192" s="94"/>
      <c r="AM1192" s="94"/>
      <c r="AN1192" s="94"/>
      <c r="AO1192" s="94"/>
      <c r="AP1192" s="94"/>
      <c r="AQ1192" s="94"/>
      <c r="AR1192" s="94"/>
      <c r="AS1192" s="94"/>
      <c r="AT1192" s="94"/>
      <c r="AU1192" s="94"/>
      <c r="AV1192" s="94"/>
      <c r="AW1192" s="94"/>
      <c r="AX1192" s="94"/>
      <c r="AY1192" s="94"/>
      <c r="AZ1192" s="94"/>
      <c r="BA1192" s="95"/>
    </row>
    <row r="1193" spans="1:53" s="87" customFormat="1">
      <c r="A1193" s="90" t="str">
        <f t="shared" si="44"/>
        <v/>
      </c>
      <c r="B1193" s="98"/>
      <c r="C1193" s="94"/>
      <c r="D1193" s="94"/>
      <c r="E1193" s="94"/>
      <c r="F1193" s="94"/>
      <c r="G1193" s="94"/>
      <c r="H1193" s="94"/>
      <c r="I1193" s="94"/>
      <c r="J1193" s="94"/>
      <c r="K1193" s="94"/>
      <c r="L1193" s="94"/>
      <c r="M1193" s="94"/>
      <c r="N1193" s="94"/>
      <c r="O1193" s="94"/>
      <c r="P1193" s="94"/>
      <c r="Q1193" s="94"/>
      <c r="R1193" s="94"/>
      <c r="S1193" s="94"/>
      <c r="T1193" s="94"/>
      <c r="U1193" s="94"/>
      <c r="V1193" s="94"/>
      <c r="W1193" s="94"/>
      <c r="X1193" s="94"/>
      <c r="Y1193" s="94"/>
      <c r="Z1193" s="94"/>
      <c r="AA1193" s="94"/>
      <c r="AB1193" s="94"/>
      <c r="AC1193" s="94"/>
      <c r="AD1193" s="94"/>
      <c r="AE1193" s="94"/>
      <c r="AF1193" s="94"/>
      <c r="AG1193" s="94"/>
      <c r="AH1193" s="94"/>
      <c r="AI1193" s="94"/>
      <c r="AJ1193" s="94"/>
      <c r="AK1193" s="94"/>
      <c r="AL1193" s="94"/>
      <c r="AM1193" s="94"/>
      <c r="AN1193" s="94"/>
      <c r="AO1193" s="94"/>
      <c r="AP1193" s="94"/>
      <c r="AQ1193" s="94"/>
      <c r="AR1193" s="94"/>
      <c r="AS1193" s="94"/>
      <c r="AT1193" s="94"/>
      <c r="AU1193" s="94"/>
      <c r="AV1193" s="94"/>
      <c r="AW1193" s="94"/>
      <c r="AX1193" s="94"/>
      <c r="AY1193" s="94"/>
      <c r="AZ1193" s="94"/>
      <c r="BA1193" s="95"/>
    </row>
    <row r="1194" spans="1:53" s="87" customFormat="1">
      <c r="A1194" s="90" t="str">
        <f t="shared" si="44"/>
        <v/>
      </c>
      <c r="B1194" s="98"/>
      <c r="C1194" s="94"/>
      <c r="D1194" s="94"/>
      <c r="E1194" s="94"/>
      <c r="F1194" s="94"/>
      <c r="G1194" s="94"/>
      <c r="H1194" s="94"/>
      <c r="I1194" s="94"/>
      <c r="J1194" s="94"/>
      <c r="K1194" s="94"/>
      <c r="L1194" s="94"/>
      <c r="M1194" s="94"/>
      <c r="N1194" s="94"/>
      <c r="O1194" s="94"/>
      <c r="P1194" s="94"/>
      <c r="Q1194" s="94"/>
      <c r="R1194" s="94"/>
      <c r="S1194" s="94"/>
      <c r="T1194" s="94"/>
      <c r="U1194" s="94"/>
      <c r="V1194" s="94"/>
      <c r="W1194" s="94"/>
      <c r="X1194" s="94"/>
      <c r="Y1194" s="94"/>
      <c r="Z1194" s="94"/>
      <c r="AA1194" s="94"/>
      <c r="AB1194" s="94"/>
      <c r="AC1194" s="94"/>
      <c r="AD1194" s="94"/>
      <c r="AE1194" s="94"/>
      <c r="AF1194" s="94"/>
      <c r="AG1194" s="94"/>
      <c r="AH1194" s="94"/>
      <c r="AI1194" s="94"/>
      <c r="AJ1194" s="94"/>
      <c r="AK1194" s="94"/>
      <c r="AL1194" s="94"/>
      <c r="AM1194" s="94"/>
      <c r="AN1194" s="94"/>
      <c r="AO1194" s="94"/>
      <c r="AP1194" s="94"/>
      <c r="AQ1194" s="94"/>
      <c r="AR1194" s="94"/>
      <c r="AS1194" s="94"/>
      <c r="AT1194" s="94"/>
      <c r="AU1194" s="94"/>
      <c r="AV1194" s="94"/>
      <c r="AW1194" s="94"/>
      <c r="AX1194" s="94"/>
      <c r="AY1194" s="94"/>
      <c r="AZ1194" s="94"/>
      <c r="BA1194" s="95"/>
    </row>
    <row r="1195" spans="1:53" s="87" customFormat="1">
      <c r="A1195" s="90" t="str">
        <f t="shared" si="44"/>
        <v/>
      </c>
      <c r="B1195" s="98"/>
      <c r="C1195" s="94"/>
      <c r="D1195" s="94"/>
      <c r="E1195" s="94"/>
      <c r="F1195" s="94"/>
      <c r="G1195" s="94"/>
      <c r="H1195" s="94"/>
      <c r="I1195" s="94"/>
      <c r="J1195" s="94"/>
      <c r="K1195" s="94"/>
      <c r="L1195" s="94"/>
      <c r="M1195" s="94"/>
      <c r="N1195" s="94"/>
      <c r="O1195" s="94"/>
      <c r="P1195" s="94"/>
      <c r="Q1195" s="94"/>
      <c r="R1195" s="94"/>
      <c r="S1195" s="94"/>
      <c r="T1195" s="94"/>
      <c r="U1195" s="94"/>
      <c r="V1195" s="94"/>
      <c r="W1195" s="94"/>
      <c r="X1195" s="94"/>
      <c r="Y1195" s="94"/>
      <c r="Z1195" s="94"/>
      <c r="AA1195" s="94"/>
      <c r="AB1195" s="94"/>
      <c r="AC1195" s="94"/>
      <c r="AD1195" s="94"/>
      <c r="AE1195" s="94"/>
      <c r="AF1195" s="94"/>
      <c r="AG1195" s="94"/>
      <c r="AH1195" s="94"/>
      <c r="AI1195" s="94"/>
      <c r="AJ1195" s="94"/>
      <c r="AK1195" s="94"/>
      <c r="AL1195" s="94"/>
      <c r="AM1195" s="94"/>
      <c r="AN1195" s="94"/>
      <c r="AO1195" s="94"/>
      <c r="AP1195" s="94"/>
      <c r="AQ1195" s="94"/>
      <c r="AR1195" s="94"/>
      <c r="AS1195" s="94"/>
      <c r="AT1195" s="94"/>
      <c r="AU1195" s="94"/>
      <c r="AV1195" s="94"/>
      <c r="AW1195" s="94"/>
      <c r="AX1195" s="94"/>
      <c r="AY1195" s="94"/>
      <c r="AZ1195" s="94"/>
      <c r="BA1195" s="95"/>
    </row>
    <row r="1196" spans="1:53" s="87" customFormat="1">
      <c r="A1196" s="90" t="str">
        <f t="shared" si="44"/>
        <v/>
      </c>
      <c r="B1196" s="98"/>
      <c r="C1196" s="94"/>
      <c r="D1196" s="94"/>
      <c r="E1196" s="94"/>
      <c r="F1196" s="94"/>
      <c r="G1196" s="94"/>
      <c r="H1196" s="94"/>
      <c r="I1196" s="94"/>
      <c r="J1196" s="94"/>
      <c r="K1196" s="94"/>
      <c r="L1196" s="94"/>
      <c r="M1196" s="94"/>
      <c r="N1196" s="94"/>
      <c r="O1196" s="94"/>
      <c r="P1196" s="94"/>
      <c r="Q1196" s="94"/>
      <c r="R1196" s="94"/>
      <c r="S1196" s="94"/>
      <c r="T1196" s="94"/>
      <c r="U1196" s="94"/>
      <c r="V1196" s="94"/>
      <c r="W1196" s="94"/>
      <c r="X1196" s="94"/>
      <c r="Y1196" s="94"/>
      <c r="Z1196" s="94"/>
      <c r="AA1196" s="94"/>
      <c r="AB1196" s="94"/>
      <c r="AC1196" s="94"/>
      <c r="AD1196" s="94"/>
      <c r="AE1196" s="94"/>
      <c r="AF1196" s="94"/>
      <c r="AG1196" s="94"/>
      <c r="AH1196" s="94"/>
      <c r="AI1196" s="94"/>
      <c r="AJ1196" s="94"/>
      <c r="AK1196" s="94"/>
      <c r="AL1196" s="94"/>
      <c r="AM1196" s="94"/>
      <c r="AN1196" s="94"/>
      <c r="AO1196" s="94"/>
      <c r="AP1196" s="94"/>
      <c r="AQ1196" s="94"/>
      <c r="AR1196" s="94"/>
      <c r="AS1196" s="94"/>
      <c r="AT1196" s="94"/>
      <c r="AU1196" s="94"/>
      <c r="AV1196" s="94"/>
      <c r="AW1196" s="94"/>
      <c r="AX1196" s="94"/>
      <c r="AY1196" s="94"/>
      <c r="AZ1196" s="94"/>
      <c r="BA1196" s="95"/>
    </row>
    <row r="1197" spans="1:53" s="87" customFormat="1">
      <c r="A1197" s="90" t="str">
        <f t="shared" si="44"/>
        <v/>
      </c>
      <c r="B1197" s="98"/>
      <c r="C1197" s="94"/>
      <c r="D1197" s="94"/>
      <c r="E1197" s="94"/>
      <c r="F1197" s="94"/>
      <c r="G1197" s="94"/>
      <c r="H1197" s="94"/>
      <c r="I1197" s="94"/>
      <c r="J1197" s="94"/>
      <c r="K1197" s="94"/>
      <c r="L1197" s="94"/>
      <c r="M1197" s="94"/>
      <c r="N1197" s="94"/>
      <c r="O1197" s="94"/>
      <c r="P1197" s="94"/>
      <c r="Q1197" s="94"/>
      <c r="R1197" s="94"/>
      <c r="S1197" s="94"/>
      <c r="T1197" s="94"/>
      <c r="U1197" s="94"/>
      <c r="V1197" s="94"/>
      <c r="W1197" s="94"/>
      <c r="X1197" s="94"/>
      <c r="Y1197" s="94"/>
      <c r="Z1197" s="94"/>
      <c r="AA1197" s="94"/>
      <c r="AB1197" s="94"/>
      <c r="AC1197" s="94"/>
      <c r="AD1197" s="94"/>
      <c r="AE1197" s="94"/>
      <c r="AF1197" s="94"/>
      <c r="AG1197" s="94"/>
      <c r="AH1197" s="94"/>
      <c r="AI1197" s="94"/>
      <c r="AJ1197" s="94"/>
      <c r="AK1197" s="94"/>
      <c r="AL1197" s="94"/>
      <c r="AM1197" s="94"/>
      <c r="AN1197" s="94"/>
      <c r="AO1197" s="94"/>
      <c r="AP1197" s="94"/>
      <c r="AQ1197" s="94"/>
      <c r="AR1197" s="94"/>
      <c r="AS1197" s="94"/>
      <c r="AT1197" s="94"/>
      <c r="AU1197" s="94"/>
      <c r="AV1197" s="94"/>
      <c r="AW1197" s="94"/>
      <c r="AX1197" s="94"/>
      <c r="AY1197" s="94"/>
      <c r="AZ1197" s="94"/>
      <c r="BA1197" s="95"/>
    </row>
    <row r="1198" spans="1:53" s="87" customFormat="1">
      <c r="A1198" s="90" t="str">
        <f t="shared" si="44"/>
        <v/>
      </c>
      <c r="B1198" s="98"/>
      <c r="C1198" s="94"/>
      <c r="D1198" s="94"/>
      <c r="E1198" s="94"/>
      <c r="F1198" s="94"/>
      <c r="G1198" s="94"/>
      <c r="H1198" s="94"/>
      <c r="I1198" s="94"/>
      <c r="J1198" s="94"/>
      <c r="K1198" s="94"/>
      <c r="L1198" s="94"/>
      <c r="M1198" s="94"/>
      <c r="N1198" s="94"/>
      <c r="O1198" s="94"/>
      <c r="P1198" s="94"/>
      <c r="Q1198" s="94"/>
      <c r="R1198" s="94"/>
      <c r="S1198" s="94"/>
      <c r="T1198" s="94"/>
      <c r="U1198" s="94"/>
      <c r="V1198" s="94"/>
      <c r="W1198" s="94"/>
      <c r="X1198" s="94"/>
      <c r="Y1198" s="94"/>
      <c r="Z1198" s="94"/>
      <c r="AA1198" s="94"/>
      <c r="AB1198" s="94"/>
      <c r="AC1198" s="94"/>
      <c r="AD1198" s="94"/>
      <c r="AE1198" s="94"/>
      <c r="AF1198" s="94"/>
      <c r="AG1198" s="94"/>
      <c r="AH1198" s="94"/>
      <c r="AI1198" s="94"/>
      <c r="AJ1198" s="94"/>
      <c r="AK1198" s="94"/>
      <c r="AL1198" s="94"/>
      <c r="AM1198" s="94"/>
      <c r="AN1198" s="94"/>
      <c r="AO1198" s="94"/>
      <c r="AP1198" s="94"/>
      <c r="AQ1198" s="94"/>
      <c r="AR1198" s="94"/>
      <c r="AS1198" s="94"/>
      <c r="AT1198" s="94"/>
      <c r="AU1198" s="94"/>
      <c r="AV1198" s="94"/>
      <c r="AW1198" s="94"/>
      <c r="AX1198" s="94"/>
      <c r="AY1198" s="94"/>
      <c r="AZ1198" s="94"/>
      <c r="BA1198" s="95"/>
    </row>
    <row r="1199" spans="1:53" s="87" customFormat="1">
      <c r="A1199" s="90" t="str">
        <f t="shared" si="44"/>
        <v/>
      </c>
      <c r="B1199" s="98"/>
      <c r="C1199" s="94"/>
      <c r="D1199" s="94"/>
      <c r="E1199" s="94"/>
      <c r="F1199" s="94"/>
      <c r="G1199" s="94"/>
      <c r="H1199" s="94"/>
      <c r="I1199" s="94"/>
      <c r="J1199" s="94"/>
      <c r="K1199" s="94"/>
      <c r="L1199" s="94"/>
      <c r="M1199" s="94"/>
      <c r="N1199" s="94"/>
      <c r="O1199" s="94"/>
      <c r="P1199" s="94"/>
      <c r="Q1199" s="94"/>
      <c r="R1199" s="94"/>
      <c r="S1199" s="94"/>
      <c r="T1199" s="94"/>
      <c r="U1199" s="94"/>
      <c r="V1199" s="94"/>
      <c r="W1199" s="94"/>
      <c r="X1199" s="94"/>
      <c r="Y1199" s="94"/>
      <c r="Z1199" s="94"/>
      <c r="AA1199" s="94"/>
      <c r="AB1199" s="94"/>
      <c r="AC1199" s="94"/>
      <c r="AD1199" s="94"/>
      <c r="AE1199" s="94"/>
      <c r="AF1199" s="94"/>
      <c r="AG1199" s="94"/>
      <c r="AH1199" s="94"/>
      <c r="AI1199" s="94"/>
      <c r="AJ1199" s="94"/>
      <c r="AK1199" s="94"/>
      <c r="AL1199" s="94"/>
      <c r="AM1199" s="94"/>
      <c r="AN1199" s="94"/>
      <c r="AO1199" s="94"/>
      <c r="AP1199" s="94"/>
      <c r="AQ1199" s="94"/>
      <c r="AR1199" s="94"/>
      <c r="AS1199" s="94"/>
      <c r="AT1199" s="94"/>
      <c r="AU1199" s="94"/>
      <c r="AV1199" s="94"/>
      <c r="AW1199" s="94"/>
      <c r="AX1199" s="94"/>
      <c r="AY1199" s="94"/>
      <c r="AZ1199" s="94"/>
      <c r="BA1199" s="95"/>
    </row>
    <row r="1200" spans="1:53" s="87" customFormat="1">
      <c r="A1200" s="90" t="str">
        <f t="shared" si="44"/>
        <v/>
      </c>
      <c r="B1200" s="98"/>
      <c r="C1200" s="94"/>
      <c r="D1200" s="94"/>
      <c r="E1200" s="94"/>
      <c r="F1200" s="94"/>
      <c r="G1200" s="94"/>
      <c r="H1200" s="94"/>
      <c r="I1200" s="94"/>
      <c r="J1200" s="94"/>
      <c r="K1200" s="94"/>
      <c r="L1200" s="94"/>
      <c r="M1200" s="94"/>
      <c r="N1200" s="94"/>
      <c r="O1200" s="94"/>
      <c r="P1200" s="94"/>
      <c r="Q1200" s="94"/>
      <c r="R1200" s="94"/>
      <c r="S1200" s="94"/>
      <c r="T1200" s="94"/>
      <c r="U1200" s="94"/>
      <c r="V1200" s="94"/>
      <c r="W1200" s="94"/>
      <c r="X1200" s="94"/>
      <c r="Y1200" s="94"/>
      <c r="Z1200" s="94"/>
      <c r="AA1200" s="94"/>
      <c r="AB1200" s="94"/>
      <c r="AC1200" s="94"/>
      <c r="AD1200" s="94"/>
      <c r="AE1200" s="94"/>
      <c r="AF1200" s="94"/>
      <c r="AG1200" s="94"/>
      <c r="AH1200" s="94"/>
      <c r="AI1200" s="94"/>
      <c r="AJ1200" s="94"/>
      <c r="AK1200" s="94"/>
      <c r="AL1200" s="94"/>
      <c r="AM1200" s="94"/>
      <c r="AN1200" s="94"/>
      <c r="AO1200" s="94"/>
      <c r="AP1200" s="94"/>
      <c r="AQ1200" s="94"/>
      <c r="AR1200" s="94"/>
      <c r="AS1200" s="94"/>
      <c r="AT1200" s="94"/>
      <c r="AU1200" s="94"/>
      <c r="AV1200" s="94"/>
      <c r="AW1200" s="94"/>
      <c r="AX1200" s="94"/>
      <c r="AY1200" s="94"/>
      <c r="AZ1200" s="94"/>
      <c r="BA1200" s="95"/>
    </row>
    <row r="1201" spans="53:53" s="87" customFormat="1">
      <c r="BA1201" s="95"/>
    </row>
    <row r="1202" spans="53:53" s="87" customFormat="1">
      <c r="BA1202" s="95"/>
    </row>
    <row r="1203" spans="53:53" s="87" customFormat="1">
      <c r="BA1203" s="95"/>
    </row>
    <row r="1204" spans="53:53" s="87" customFormat="1">
      <c r="BA1204" s="95"/>
    </row>
    <row r="1205" spans="53:53" s="87" customFormat="1">
      <c r="BA1205" s="95"/>
    </row>
    <row r="1206" spans="53:53" s="87" customFormat="1">
      <c r="BA1206" s="95"/>
    </row>
    <row r="1207" spans="53:53" s="87" customFormat="1">
      <c r="BA1207" s="95"/>
    </row>
  </sheetData>
  <sheetProtection password="FFF0" sheet="1" objects="1" scenarios="1"/>
  <conditionalFormatting sqref="BD11:BD70">
    <cfRule type="expression" dxfId="62" priority="2">
      <formula>BD11=$BD$7</formula>
    </cfRule>
  </conditionalFormatting>
  <conditionalFormatting sqref="A11:A1200">
    <cfRule type="expression" dxfId="61" priority="1">
      <formula>A11=$BA$7</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207"/>
  <sheetViews>
    <sheetView workbookViewId="0">
      <selection activeCell="BB1" sqref="BB1"/>
    </sheetView>
  </sheetViews>
  <sheetFormatPr baseColWidth="10" defaultRowHeight="12" x14ac:dyDescent="0"/>
  <cols>
    <col min="1" max="1" width="5.140625" style="87" customWidth="1"/>
    <col min="2" max="52" width="2.5703125" style="87" customWidth="1"/>
    <col min="53" max="53" width="4.140625" style="87" customWidth="1"/>
    <col min="54" max="54" width="10.28515625" style="87" customWidth="1"/>
    <col min="55" max="55" width="5.140625" style="87" customWidth="1"/>
    <col min="56" max="56" width="3.140625" style="87" customWidth="1"/>
    <col min="57" max="57" width="7.140625" style="89" customWidth="1"/>
    <col min="58" max="58" width="10.28515625" style="89" customWidth="1"/>
    <col min="59" max="60" width="3.140625" style="87" customWidth="1"/>
    <col min="61" max="61" width="5.140625" style="87" customWidth="1"/>
    <col min="62" max="65" width="3.140625" style="87" customWidth="1"/>
    <col min="66" max="66" width="10.7109375" style="87"/>
    <col min="67" max="74" width="3.140625" style="87" customWidth="1"/>
    <col min="75" max="75" width="10.28515625" style="87" customWidth="1"/>
    <col min="76" max="79" width="5.140625" style="87" customWidth="1"/>
    <col min="80" max="16384" width="10.7109375" style="87"/>
  </cols>
  <sheetData>
    <row r="1" spans="1:76">
      <c r="B1" s="88">
        <f>COLUMN()</f>
        <v>2</v>
      </c>
      <c r="C1" s="88">
        <f>COLUMN()</f>
        <v>3</v>
      </c>
      <c r="D1" s="88">
        <f>COLUMN()</f>
        <v>4</v>
      </c>
      <c r="E1" s="88">
        <f>COLUMN()</f>
        <v>5</v>
      </c>
      <c r="F1" s="88">
        <f>COLUMN()</f>
        <v>6</v>
      </c>
      <c r="G1" s="88">
        <f>COLUMN()</f>
        <v>7</v>
      </c>
      <c r="H1" s="88">
        <f>COLUMN()</f>
        <v>8</v>
      </c>
      <c r="I1" s="88">
        <f>COLUMN()</f>
        <v>9</v>
      </c>
      <c r="J1" s="88">
        <f>COLUMN()</f>
        <v>10</v>
      </c>
      <c r="K1" s="88">
        <f>COLUMN()</f>
        <v>11</v>
      </c>
      <c r="L1" s="88">
        <f>COLUMN()</f>
        <v>12</v>
      </c>
      <c r="M1" s="88">
        <f>COLUMN()</f>
        <v>13</v>
      </c>
      <c r="N1" s="88">
        <f>COLUMN()</f>
        <v>14</v>
      </c>
      <c r="O1" s="88">
        <f>COLUMN()</f>
        <v>15</v>
      </c>
      <c r="P1" s="88">
        <f>COLUMN()</f>
        <v>16</v>
      </c>
      <c r="Q1" s="88">
        <f>COLUMN()</f>
        <v>17</v>
      </c>
      <c r="R1" s="88">
        <f>COLUMN()</f>
        <v>18</v>
      </c>
      <c r="S1" s="88">
        <f>COLUMN()</f>
        <v>19</v>
      </c>
      <c r="T1" s="88">
        <f>COLUMN()</f>
        <v>20</v>
      </c>
      <c r="U1" s="88">
        <f>COLUMN()</f>
        <v>21</v>
      </c>
      <c r="V1" s="88">
        <f>COLUMN()</f>
        <v>22</v>
      </c>
      <c r="W1" s="88">
        <f>COLUMN()</f>
        <v>23</v>
      </c>
      <c r="X1" s="88">
        <f>COLUMN()</f>
        <v>24</v>
      </c>
      <c r="Y1" s="88">
        <f>COLUMN()</f>
        <v>25</v>
      </c>
      <c r="Z1" s="88">
        <f>COLUMN()</f>
        <v>26</v>
      </c>
      <c r="AA1" s="88">
        <f>COLUMN()</f>
        <v>27</v>
      </c>
      <c r="AB1" s="88">
        <f>COLUMN()</f>
        <v>28</v>
      </c>
      <c r="AC1" s="88">
        <f>COLUMN()</f>
        <v>29</v>
      </c>
      <c r="AD1" s="88">
        <f>COLUMN()</f>
        <v>30</v>
      </c>
      <c r="AE1" s="88">
        <f>COLUMN()</f>
        <v>31</v>
      </c>
      <c r="AF1" s="88">
        <f>COLUMN()</f>
        <v>32</v>
      </c>
      <c r="AG1" s="88">
        <f>COLUMN()</f>
        <v>33</v>
      </c>
      <c r="AH1" s="88">
        <f>COLUMN()</f>
        <v>34</v>
      </c>
      <c r="AI1" s="88">
        <f>COLUMN()</f>
        <v>35</v>
      </c>
      <c r="AJ1" s="88">
        <f>COLUMN()</f>
        <v>36</v>
      </c>
      <c r="AK1" s="88">
        <f>COLUMN()</f>
        <v>37</v>
      </c>
      <c r="AL1" s="88">
        <f>COLUMN()</f>
        <v>38</v>
      </c>
      <c r="AM1" s="88">
        <f>COLUMN()</f>
        <v>39</v>
      </c>
      <c r="AN1" s="88">
        <f>COLUMN()</f>
        <v>40</v>
      </c>
      <c r="AO1" s="88">
        <f>COLUMN()</f>
        <v>41</v>
      </c>
      <c r="AP1" s="88">
        <f>COLUMN()</f>
        <v>42</v>
      </c>
      <c r="AQ1" s="88">
        <f>COLUMN()</f>
        <v>43</v>
      </c>
      <c r="AR1" s="88">
        <f>COLUMN()</f>
        <v>44</v>
      </c>
      <c r="AS1" s="88">
        <f>COLUMN()</f>
        <v>45</v>
      </c>
      <c r="AT1" s="88">
        <f>COLUMN()</f>
        <v>46</v>
      </c>
      <c r="AU1" s="88">
        <f>COLUMN()</f>
        <v>47</v>
      </c>
      <c r="AV1" s="88">
        <f>COLUMN()</f>
        <v>48</v>
      </c>
      <c r="AW1" s="88">
        <f>COLUMN()</f>
        <v>49</v>
      </c>
      <c r="AX1" s="88">
        <f>COLUMN()</f>
        <v>50</v>
      </c>
      <c r="AY1" s="88">
        <f>COLUMN()</f>
        <v>51</v>
      </c>
      <c r="AZ1" s="88">
        <f>COLUMN()</f>
        <v>52</v>
      </c>
      <c r="BB1" s="88" t="str">
        <f>Intro!D46</f>
        <v/>
      </c>
    </row>
    <row r="2" spans="1:76">
      <c r="B2" s="88" t="str">
        <f>CHAR(B1+64)</f>
        <v>B</v>
      </c>
      <c r="C2" s="88" t="str">
        <f t="shared" ref="C2:Z2" si="0">CHAR(C1+64)</f>
        <v>C</v>
      </c>
      <c r="D2" s="88" t="str">
        <f t="shared" si="0"/>
        <v>D</v>
      </c>
      <c r="E2" s="88" t="str">
        <f t="shared" si="0"/>
        <v>E</v>
      </c>
      <c r="F2" s="88" t="str">
        <f t="shared" si="0"/>
        <v>F</v>
      </c>
      <c r="G2" s="88" t="str">
        <f t="shared" si="0"/>
        <v>G</v>
      </c>
      <c r="H2" s="88" t="str">
        <f t="shared" si="0"/>
        <v>H</v>
      </c>
      <c r="I2" s="88" t="str">
        <f t="shared" si="0"/>
        <v>I</v>
      </c>
      <c r="J2" s="88" t="str">
        <f t="shared" si="0"/>
        <v>J</v>
      </c>
      <c r="K2" s="88" t="str">
        <f t="shared" si="0"/>
        <v>K</v>
      </c>
      <c r="L2" s="88" t="str">
        <f t="shared" si="0"/>
        <v>L</v>
      </c>
      <c r="M2" s="88" t="str">
        <f t="shared" si="0"/>
        <v>M</v>
      </c>
      <c r="N2" s="88" t="str">
        <f t="shared" si="0"/>
        <v>N</v>
      </c>
      <c r="O2" s="88" t="str">
        <f t="shared" si="0"/>
        <v>O</v>
      </c>
      <c r="P2" s="88" t="str">
        <f t="shared" si="0"/>
        <v>P</v>
      </c>
      <c r="Q2" s="88" t="str">
        <f t="shared" si="0"/>
        <v>Q</v>
      </c>
      <c r="R2" s="88" t="str">
        <f t="shared" si="0"/>
        <v>R</v>
      </c>
      <c r="S2" s="88" t="str">
        <f t="shared" si="0"/>
        <v>S</v>
      </c>
      <c r="T2" s="88" t="str">
        <f t="shared" si="0"/>
        <v>T</v>
      </c>
      <c r="U2" s="88" t="str">
        <f t="shared" si="0"/>
        <v>U</v>
      </c>
      <c r="V2" s="88" t="str">
        <f t="shared" si="0"/>
        <v>V</v>
      </c>
      <c r="W2" s="88" t="str">
        <f t="shared" si="0"/>
        <v>W</v>
      </c>
      <c r="X2" s="88" t="str">
        <f t="shared" si="0"/>
        <v>X</v>
      </c>
      <c r="Y2" s="88" t="str">
        <f t="shared" si="0"/>
        <v>Y</v>
      </c>
      <c r="Z2" s="88" t="str">
        <f t="shared" si="0"/>
        <v>Z</v>
      </c>
      <c r="AA2" s="88" t="str">
        <f>CONCATENATE("A",CHAR(AA1+38))</f>
        <v>AA</v>
      </c>
      <c r="AB2" s="88" t="str">
        <f t="shared" ref="AB2:AZ2" si="1">CONCATENATE("A",CHAR(AB1+38))</f>
        <v>AB</v>
      </c>
      <c r="AC2" s="88" t="str">
        <f t="shared" si="1"/>
        <v>AC</v>
      </c>
      <c r="AD2" s="88" t="str">
        <f t="shared" si="1"/>
        <v>AD</v>
      </c>
      <c r="AE2" s="88" t="str">
        <f t="shared" si="1"/>
        <v>AE</v>
      </c>
      <c r="AF2" s="88" t="str">
        <f t="shared" si="1"/>
        <v>AF</v>
      </c>
      <c r="AG2" s="88" t="str">
        <f t="shared" si="1"/>
        <v>AG</v>
      </c>
      <c r="AH2" s="88" t="str">
        <f t="shared" si="1"/>
        <v>AH</v>
      </c>
      <c r="AI2" s="88" t="str">
        <f t="shared" si="1"/>
        <v>AI</v>
      </c>
      <c r="AJ2" s="88" t="str">
        <f t="shared" si="1"/>
        <v>AJ</v>
      </c>
      <c r="AK2" s="88" t="str">
        <f t="shared" si="1"/>
        <v>AK</v>
      </c>
      <c r="AL2" s="88" t="str">
        <f t="shared" si="1"/>
        <v>AL</v>
      </c>
      <c r="AM2" s="88" t="str">
        <f t="shared" si="1"/>
        <v>AM</v>
      </c>
      <c r="AN2" s="88" t="str">
        <f t="shared" si="1"/>
        <v>AN</v>
      </c>
      <c r="AO2" s="88" t="str">
        <f t="shared" si="1"/>
        <v>AO</v>
      </c>
      <c r="AP2" s="88" t="str">
        <f t="shared" si="1"/>
        <v>AP</v>
      </c>
      <c r="AQ2" s="88" t="str">
        <f t="shared" si="1"/>
        <v>AQ</v>
      </c>
      <c r="AR2" s="88" t="str">
        <f t="shared" si="1"/>
        <v>AR</v>
      </c>
      <c r="AS2" s="88" t="str">
        <f t="shared" si="1"/>
        <v>AS</v>
      </c>
      <c r="AT2" s="88" t="str">
        <f t="shared" si="1"/>
        <v>AT</v>
      </c>
      <c r="AU2" s="88" t="str">
        <f t="shared" si="1"/>
        <v>AU</v>
      </c>
      <c r="AV2" s="88" t="str">
        <f t="shared" si="1"/>
        <v>AV</v>
      </c>
      <c r="AW2" s="88" t="str">
        <f t="shared" si="1"/>
        <v>AW</v>
      </c>
      <c r="AX2" s="88" t="str">
        <f t="shared" si="1"/>
        <v>AX</v>
      </c>
      <c r="AY2" s="88" t="str">
        <f t="shared" si="1"/>
        <v>AY</v>
      </c>
      <c r="AZ2" s="88" t="str">
        <f t="shared" si="1"/>
        <v>AZ</v>
      </c>
    </row>
    <row r="6" spans="1:76">
      <c r="BC6" s="476" t="s">
        <v>1259</v>
      </c>
      <c r="BD6" s="470"/>
    </row>
    <row r="7" spans="1:76">
      <c r="BA7" s="88">
        <f ca="1">VALUE(INDIRECT(CONCATENATE("BA",BE7+10)))</f>
        <v>161</v>
      </c>
      <c r="BD7" s="473">
        <f ca="1">IF(BD6&gt;0,BD6,DrawFinder!H10)</f>
        <v>25</v>
      </c>
      <c r="BE7" s="88">
        <f ca="1">MATCH(BD7,BD11:BD70,0)</f>
        <v>12</v>
      </c>
    </row>
    <row r="8" spans="1:76">
      <c r="BD8" s="87" t="s">
        <v>190</v>
      </c>
    </row>
    <row r="9" spans="1:76">
      <c r="BD9" s="89">
        <f ca="1">LARGE(BD11:BD70,1)</f>
        <v>58</v>
      </c>
    </row>
    <row r="10" spans="1:76">
      <c r="BA10" s="88">
        <v>1</v>
      </c>
      <c r="BB10" s="88">
        <v>1200</v>
      </c>
      <c r="BD10" s="87" t="s">
        <v>191</v>
      </c>
      <c r="BG10" s="87" t="s">
        <v>192</v>
      </c>
      <c r="BH10" s="87" t="s">
        <v>193</v>
      </c>
      <c r="BJ10" s="87" t="s">
        <v>194</v>
      </c>
      <c r="BK10" s="89" t="s">
        <v>195</v>
      </c>
      <c r="BL10" s="89" t="s">
        <v>196</v>
      </c>
      <c r="BM10" s="87" t="s">
        <v>197</v>
      </c>
      <c r="BN10" s="87" t="s">
        <v>198</v>
      </c>
      <c r="BO10" s="89" t="s">
        <v>199</v>
      </c>
      <c r="BP10" s="89" t="s">
        <v>200</v>
      </c>
      <c r="BQ10" s="89" t="s">
        <v>201</v>
      </c>
      <c r="BR10" s="87" t="s">
        <v>202</v>
      </c>
      <c r="BS10" s="89" t="s">
        <v>203</v>
      </c>
      <c r="BT10" s="89" t="s">
        <v>90</v>
      </c>
      <c r="BU10" s="89" t="s">
        <v>14</v>
      </c>
      <c r="BV10" s="87" t="s">
        <v>204</v>
      </c>
      <c r="BX10" s="282" t="s">
        <v>843</v>
      </c>
    </row>
    <row r="11" spans="1:76">
      <c r="A11" s="90">
        <f>IF(MID(B11,3,2)="04",ROW(),"")</f>
        <v>11</v>
      </c>
      <c r="B11" s="98" t="s">
        <v>259</v>
      </c>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1">
        <f ca="1">IF(BA10=0,0,MIN(INDIRECT(BB11)))</f>
        <v>11</v>
      </c>
      <c r="BB11" s="88" t="str">
        <f>IF(BA10=0,"",CONCATENATE("A",BA10+1,":A",BB$10))</f>
        <v>A2:A1200</v>
      </c>
      <c r="BC11" s="89" t="str">
        <f ca="1">IF(BA11=0,0,CONCATENATE("B",BA11))</f>
        <v>B11</v>
      </c>
      <c r="BD11" s="89">
        <f ca="1">IF(BC11=0,0,RANK(BF11,$BF$11:$BF$70,0)+(COUNTIF($BF11:$BF$70,BF11)-1))</f>
        <v>58</v>
      </c>
      <c r="BE11" s="89" t="str">
        <f ca="1">IF(BC11=0,0,LEFT(INDIRECT(BC11),6))</f>
        <v>080401</v>
      </c>
      <c r="BF11" s="89">
        <f ca="1">VALUE(BW11)</f>
        <v>8040107</v>
      </c>
      <c r="BG11" s="89">
        <f ca="1">IF(BA11=0,0,VALUE(LEFT(BE11,2)))</f>
        <v>8</v>
      </c>
      <c r="BH11" s="89">
        <f ca="1">IF(BA11=0,0,VALUE(MID(BE11,5,2)))</f>
        <v>1</v>
      </c>
      <c r="BI11" s="89" t="str">
        <f ca="1">IF(BA11=0,0,CONCATENATE("B",BA11+BG11+1))</f>
        <v>B20</v>
      </c>
      <c r="BJ11" s="89">
        <f ca="1">IF(BA11=0,0,VALUE(MID(INDIRECT(BI11),4,2)))</f>
        <v>7</v>
      </c>
      <c r="BK11" s="89">
        <f ca="1">IF(BA11=0,0,VALUE(MID(INDIRECT(BI11),9,2)))</f>
        <v>7</v>
      </c>
      <c r="BL11" s="89">
        <f ca="1">IF(BA11=0,0,VALUE(MID(INDIRECT(BI11),14,3)))</f>
        <v>28</v>
      </c>
      <c r="BM11" s="89">
        <f ca="1">IF(BA11=0,0,2+BK11)</f>
        <v>9</v>
      </c>
      <c r="BN11" s="89" t="str">
        <f ca="1">IF(BA11=0,0,CONCATENATE("S4!B",BA11+1,":",HLOOKUP(BM11,$B$1:$AZ$2,2,FALSE),BA11+BG11))</f>
        <v>S4!B12:I19</v>
      </c>
      <c r="BO11" s="89" t="str">
        <f ca="1">IF(BA11=0,0,IF(BV11="c","c",IF(ISERROR(FIND("s",INDIRECT($BC11))),IF(ISERROR(FIND("e",INDIRECT($BC11))),"L","e"),"s")))</f>
        <v>s</v>
      </c>
      <c r="BP11" s="89" t="str">
        <f ca="1">IF(BA11=0,0,IF(ISERROR(FIND("b",INDIRECT($BC11))),IF(ISERROR(FIND("w",INDIRECT($BC11))),"","w"),"b"))</f>
        <v/>
      </c>
      <c r="BQ11" s="89" t="str">
        <f ca="1">IF(BA11=0,0,IF(ISERROR(FIND("w",INDIRECT($BC11))),"","w"))</f>
        <v/>
      </c>
      <c r="BR11" s="87" t="str">
        <f ca="1">IF(BA11=0,0,IF(ISERROR(FIND("x",INDIRECT($BC11))),IF(ISERROR(FIND("E",INDIRECT($BC11))),"","E"),"x"))</f>
        <v/>
      </c>
      <c r="BS11" s="89" t="str">
        <f ca="1">IF(BA11=0,0,IF(ISERROR(FIND("a",INDIRECT($BC11))),"","a"))</f>
        <v/>
      </c>
      <c r="BT11" s="89" t="str">
        <f ca="1">IF(BA11=0,0,IF(ISERROR(FIND("E",INDIRECT($BC11))),"","E"))</f>
        <v/>
      </c>
      <c r="BU11" s="89" t="str">
        <f ca="1">IF(BA11=0,0,IF(ISERROR(FIND("X",INDIRECT($BC11))),"","X"))</f>
        <v/>
      </c>
      <c r="BV11" s="87" t="str">
        <f ca="1">IF(BA11=0,0,IF(ISERROR(FIND("c",INDIRECT($BC11))),"","c"))</f>
        <v/>
      </c>
      <c r="BW11" s="87" t="str">
        <f ca="1">CONCATENATE(BE11,IF(BK11&lt;10,"0",""),BK11)</f>
        <v>08040107</v>
      </c>
      <c r="BX11" s="89">
        <f ca="1">IF(BV11="c",RIGHT(INDIRECT(BC11),2),0)</f>
        <v>0</v>
      </c>
    </row>
    <row r="12" spans="1:76">
      <c r="A12" s="90" t="str">
        <f t="shared" ref="A12:A75" si="2">IF(MID(B12,3,2)="04",ROW(),"")</f>
        <v/>
      </c>
      <c r="B12" s="98">
        <v>1</v>
      </c>
      <c r="C12" s="94">
        <v>3</v>
      </c>
      <c r="D12" s="94">
        <v>-1</v>
      </c>
      <c r="E12" s="94">
        <v>4</v>
      </c>
      <c r="F12" s="94">
        <v>-2</v>
      </c>
      <c r="G12" s="94">
        <v>-3</v>
      </c>
      <c r="H12" s="94">
        <v>1</v>
      </c>
      <c r="I12" s="94">
        <v>2</v>
      </c>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1">
        <f t="shared" ref="BA12:BA70" ca="1" si="3">IF(BA11=0,0,MIN(INDIRECT(BB12)))</f>
        <v>21</v>
      </c>
      <c r="BB12" s="88" t="str">
        <f t="shared" ref="BB12:BB70" ca="1" si="4">IF(BA11=0,"",CONCATENATE("A",BA11+1,":A",BB$10))</f>
        <v>A12:A1200</v>
      </c>
      <c r="BC12" s="89" t="str">
        <f t="shared" ref="BC12:BC70" ca="1" si="5">IF(BA12=0,0,CONCATENATE("B",BA12))</f>
        <v>B21</v>
      </c>
      <c r="BD12" s="89">
        <f ca="1">IF(BC12=0,0,RANK(BF12,$BF$11:$BF$70,0)+(COUNTIF($BF12:$BF$70,BF12)-1))</f>
        <v>57</v>
      </c>
      <c r="BE12" s="89" t="str">
        <f t="shared" ref="BE12:BE70" ca="1" si="6">IF(BC12=0,0,LEFT(INDIRECT(BC12),6))</f>
        <v>080402</v>
      </c>
      <c r="BF12" s="89">
        <f t="shared" ref="BF12:BF70" ca="1" si="7">VALUE(BW12)</f>
        <v>8040203</v>
      </c>
      <c r="BG12" s="89">
        <f t="shared" ref="BG12:BG70" ca="1" si="8">IF(BA12=0,0,VALUE(LEFT(BE12,2)))</f>
        <v>8</v>
      </c>
      <c r="BH12" s="89">
        <f t="shared" ref="BH12:BH70" ca="1" si="9">IF(BA12=0,0,VALUE(MID(BE12,5,2)))</f>
        <v>2</v>
      </c>
      <c r="BI12" s="89" t="str">
        <f t="shared" ref="BI12:BI70" ca="1" si="10">IF(BA12=0,0,CONCATENATE("B",BA12+BG12+1))</f>
        <v>B30</v>
      </c>
      <c r="BJ12" s="89">
        <f t="shared" ref="BJ12:BJ70" ca="1" si="11">IF(BA12=0,0,VALUE(MID(INDIRECT(BI12),4,2)))</f>
        <v>3</v>
      </c>
      <c r="BK12" s="89">
        <f t="shared" ref="BK12:BK70" ca="1" si="12">IF(BA12=0,0,VALUE(MID(INDIRECT(BI12),9,2)))</f>
        <v>3</v>
      </c>
      <c r="BL12" s="89">
        <f t="shared" ref="BL12:BL70" ca="1" si="13">IF(BA12=0,0,VALUE(MID(INDIRECT(BI12),14,3)))</f>
        <v>12</v>
      </c>
      <c r="BM12" s="89">
        <f t="shared" ref="BM12:BM70" ca="1" si="14">IF(BA12=0,0,2+BK12)</f>
        <v>5</v>
      </c>
      <c r="BN12" s="89" t="str">
        <f t="shared" ref="BN12:BN70" ca="1" si="15">IF(BA12=0,0,CONCATENATE("S4!B",BA12+1,":",HLOOKUP(BM12,$B$1:$AZ$2,2,FALSE),BA12+BG12))</f>
        <v>S4!B22:E29</v>
      </c>
      <c r="BO12" s="89" t="str">
        <f t="shared" ref="BO12:BO70" ca="1" si="16">IF(BA12=0,0,IF(BV12="c","c",IF(ISERROR(FIND("s",INDIRECT($BC12))),IF(ISERROR(FIND("e",INDIRECT($BC12))),"L","e"),"s")))</f>
        <v>s</v>
      </c>
      <c r="BP12" s="89" t="str">
        <f t="shared" ref="BP12:BP70" ca="1" si="17">IF(BA12=0,0,IF(ISERROR(FIND("b",INDIRECT($BC12))),IF(ISERROR(FIND("w",INDIRECT($BC12))),"","w"),"b"))</f>
        <v/>
      </c>
      <c r="BQ12" s="89" t="str">
        <f t="shared" ref="BQ12:BQ70" ca="1" si="18">IF(BA12=0,0,IF(ISERROR(FIND("w",INDIRECT($BC12))),"","w"))</f>
        <v/>
      </c>
      <c r="BR12" s="87" t="str">
        <f t="shared" ref="BR12:BR70" ca="1" si="19">IF(BA12=0,0,IF(ISERROR(FIND("x",INDIRECT($BC12))),IF(ISERROR(FIND("E",INDIRECT($BC12))),"","E"),"x"))</f>
        <v/>
      </c>
      <c r="BS12" s="89" t="str">
        <f t="shared" ref="BS12:BS70" ca="1" si="20">IF(BA12=0,0,IF(ISERROR(FIND("a",INDIRECT($BC12))),"","a"))</f>
        <v/>
      </c>
      <c r="BT12" s="89" t="str">
        <f t="shared" ref="BT12:BT70" ca="1" si="21">IF(BA12=0,0,IF(ISERROR(FIND("E",INDIRECT($BC12))),"","E"))</f>
        <v/>
      </c>
      <c r="BU12" s="89" t="str">
        <f t="shared" ref="BU12:BU70" ca="1" si="22">IF(BA12=0,0,IF(ISERROR(FIND("X",INDIRECT($BC12))),"","X"))</f>
        <v/>
      </c>
      <c r="BV12" s="87" t="str">
        <f t="shared" ref="BV12:BV70" ca="1" si="23">IF(BA12=0,0,IF(ISERROR(FIND("c",INDIRECT($BC12))),"","c"))</f>
        <v/>
      </c>
      <c r="BW12" s="87" t="str">
        <f t="shared" ref="BW12:BW70" ca="1" si="24">CONCATENATE(BE12,IF(BK12&lt;10,"0",""),BK12)</f>
        <v>08040203</v>
      </c>
      <c r="BX12" s="89">
        <f t="shared" ref="BX12:BX70" ca="1" si="25">IF(BV12="c",RIGHT(INDIRECT(BC12),2),0)</f>
        <v>0</v>
      </c>
    </row>
    <row r="13" spans="1:76">
      <c r="A13" s="90" t="str">
        <f t="shared" si="2"/>
        <v/>
      </c>
      <c r="B13" s="98">
        <v>2</v>
      </c>
      <c r="C13" s="94">
        <v>4</v>
      </c>
      <c r="D13" s="94">
        <v>2</v>
      </c>
      <c r="E13" s="94">
        <v>-1</v>
      </c>
      <c r="F13" s="94">
        <v>3</v>
      </c>
      <c r="G13" s="94">
        <v>1</v>
      </c>
      <c r="H13" s="94">
        <v>-4</v>
      </c>
      <c r="I13" s="94">
        <v>-2</v>
      </c>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1">
        <f t="shared" ca="1" si="3"/>
        <v>31</v>
      </c>
      <c r="BB13" s="88" t="str">
        <f t="shared" ca="1" si="4"/>
        <v>A22:A1200</v>
      </c>
      <c r="BC13" s="89" t="str">
        <f t="shared" ca="1" si="5"/>
        <v>B31</v>
      </c>
      <c r="BD13" s="89">
        <f ca="1">IF(BC13=0,0,RANK(BF13,$BF$11:$BF$70,0)+(COUNTIF($BF13:$BF$70,BF13)-1))</f>
        <v>56</v>
      </c>
      <c r="BE13" s="89" t="str">
        <f t="shared" ca="1" si="6"/>
        <v>090401</v>
      </c>
      <c r="BF13" s="89">
        <f t="shared" ca="1" si="7"/>
        <v>9040109</v>
      </c>
      <c r="BG13" s="89">
        <f t="shared" ca="1" si="8"/>
        <v>9</v>
      </c>
      <c r="BH13" s="89">
        <f t="shared" ca="1" si="9"/>
        <v>1</v>
      </c>
      <c r="BI13" s="89" t="str">
        <f t="shared" ca="1" si="10"/>
        <v>B41</v>
      </c>
      <c r="BJ13" s="89">
        <f t="shared" ca="1" si="11"/>
        <v>8</v>
      </c>
      <c r="BK13" s="89">
        <f t="shared" ca="1" si="12"/>
        <v>9</v>
      </c>
      <c r="BL13" s="89">
        <f t="shared" ca="1" si="13"/>
        <v>36</v>
      </c>
      <c r="BM13" s="89">
        <f t="shared" ca="1" si="14"/>
        <v>11</v>
      </c>
      <c r="BN13" s="89" t="str">
        <f t="shared" ca="1" si="15"/>
        <v>S4!B32:K40</v>
      </c>
      <c r="BO13" s="89" t="str">
        <f t="shared" ca="1" si="16"/>
        <v>s</v>
      </c>
      <c r="BP13" s="89" t="str">
        <f t="shared" ca="1" si="17"/>
        <v>b</v>
      </c>
      <c r="BQ13" s="89" t="str">
        <f t="shared" ca="1" si="18"/>
        <v/>
      </c>
      <c r="BR13" s="87" t="str">
        <f t="shared" ca="1" si="19"/>
        <v/>
      </c>
      <c r="BS13" s="89" t="str">
        <f t="shared" ca="1" si="20"/>
        <v/>
      </c>
      <c r="BT13" s="89" t="str">
        <f t="shared" ca="1" si="21"/>
        <v/>
      </c>
      <c r="BU13" s="89" t="str">
        <f t="shared" ca="1" si="22"/>
        <v/>
      </c>
      <c r="BV13" s="87" t="str">
        <f t="shared" ca="1" si="23"/>
        <v/>
      </c>
      <c r="BW13" s="87" t="str">
        <f t="shared" ca="1" si="24"/>
        <v>09040109</v>
      </c>
      <c r="BX13" s="89">
        <f t="shared" ca="1" si="25"/>
        <v>0</v>
      </c>
    </row>
    <row r="14" spans="1:76">
      <c r="A14" s="90" t="str">
        <f t="shared" si="2"/>
        <v/>
      </c>
      <c r="B14" s="98">
        <v>3</v>
      </c>
      <c r="C14" s="94">
        <v>-2</v>
      </c>
      <c r="D14" s="94">
        <v>-4</v>
      </c>
      <c r="E14" s="94">
        <v>2</v>
      </c>
      <c r="F14" s="94">
        <v>-3</v>
      </c>
      <c r="G14" s="94">
        <v>4</v>
      </c>
      <c r="H14" s="94">
        <v>-1</v>
      </c>
      <c r="I14" s="94">
        <v>3</v>
      </c>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1">
        <f t="shared" ca="1" si="3"/>
        <v>42</v>
      </c>
      <c r="BB14" s="88" t="str">
        <f t="shared" ca="1" si="4"/>
        <v>A32:A1200</v>
      </c>
      <c r="BC14" s="89" t="str">
        <f t="shared" ca="1" si="5"/>
        <v>B42</v>
      </c>
      <c r="BD14" s="89">
        <f ca="1">IF(BC14=0,0,RANK(BF14,$BF$11:$BF$70,0)+(COUNTIF($BF14:$BF$70,BF14)-1))</f>
        <v>55</v>
      </c>
      <c r="BE14" s="89" t="str">
        <f t="shared" ca="1" si="6"/>
        <v>090402</v>
      </c>
      <c r="BF14" s="89">
        <f t="shared" ca="1" si="7"/>
        <v>9040205</v>
      </c>
      <c r="BG14" s="89">
        <f t="shared" ca="1" si="8"/>
        <v>9</v>
      </c>
      <c r="BH14" s="89">
        <f t="shared" ca="1" si="9"/>
        <v>2</v>
      </c>
      <c r="BI14" s="89" t="str">
        <f t="shared" ca="1" si="10"/>
        <v>B52</v>
      </c>
      <c r="BJ14" s="89">
        <f t="shared" ca="1" si="11"/>
        <v>4</v>
      </c>
      <c r="BK14" s="89">
        <f t="shared" ca="1" si="12"/>
        <v>5</v>
      </c>
      <c r="BL14" s="89">
        <f t="shared" ca="1" si="13"/>
        <v>18</v>
      </c>
      <c r="BM14" s="89">
        <f t="shared" ca="1" si="14"/>
        <v>7</v>
      </c>
      <c r="BN14" s="89" t="str">
        <f t="shared" ca="1" si="15"/>
        <v>S4!B43:G51</v>
      </c>
      <c r="BO14" s="89" t="str">
        <f t="shared" ca="1" si="16"/>
        <v>s</v>
      </c>
      <c r="BP14" s="89" t="str">
        <f t="shared" ca="1" si="17"/>
        <v>b</v>
      </c>
      <c r="BQ14" s="89" t="str">
        <f t="shared" ca="1" si="18"/>
        <v/>
      </c>
      <c r="BR14" s="87" t="str">
        <f t="shared" ca="1" si="19"/>
        <v/>
      </c>
      <c r="BS14" s="89" t="str">
        <f t="shared" ca="1" si="20"/>
        <v>a</v>
      </c>
      <c r="BT14" s="89" t="str">
        <f t="shared" ca="1" si="21"/>
        <v/>
      </c>
      <c r="BU14" s="89" t="str">
        <f t="shared" ca="1" si="22"/>
        <v/>
      </c>
      <c r="BV14" s="87" t="str">
        <f t="shared" ca="1" si="23"/>
        <v/>
      </c>
      <c r="BW14" s="87" t="str">
        <f t="shared" ca="1" si="24"/>
        <v>09040205</v>
      </c>
      <c r="BX14" s="89">
        <f t="shared" ca="1" si="25"/>
        <v>0</v>
      </c>
    </row>
    <row r="15" spans="1:76">
      <c r="A15" s="90" t="str">
        <f t="shared" si="2"/>
        <v/>
      </c>
      <c r="B15" s="98">
        <v>4</v>
      </c>
      <c r="C15" s="94">
        <v>-1</v>
      </c>
      <c r="D15" s="94">
        <v>3</v>
      </c>
      <c r="E15" s="94">
        <v>-4</v>
      </c>
      <c r="F15" s="94">
        <v>1</v>
      </c>
      <c r="G15" s="94">
        <v>-2</v>
      </c>
      <c r="H15" s="94">
        <v>4</v>
      </c>
      <c r="I15" s="94">
        <v>-3</v>
      </c>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1">
        <f t="shared" ca="1" si="3"/>
        <v>53</v>
      </c>
      <c r="BB15" s="88" t="str">
        <f t="shared" ca="1" si="4"/>
        <v>A43:A1200</v>
      </c>
      <c r="BC15" s="89" t="str">
        <f t="shared" ca="1" si="5"/>
        <v>B53</v>
      </c>
      <c r="BD15" s="89">
        <f ca="1">IF(BC15=0,0,RANK(BF15,$BF$11:$BF$70,0)+(COUNTIF($BF15:$BF$70,BF15)-1))</f>
        <v>52</v>
      </c>
      <c r="BE15" s="89" t="str">
        <f t="shared" ca="1" si="6"/>
        <v>100402</v>
      </c>
      <c r="BF15" s="89">
        <f t="shared" ca="1" si="7"/>
        <v>10040205</v>
      </c>
      <c r="BG15" s="89">
        <f t="shared" ca="1" si="8"/>
        <v>10</v>
      </c>
      <c r="BH15" s="89">
        <f t="shared" ca="1" si="9"/>
        <v>2</v>
      </c>
      <c r="BI15" s="89" t="str">
        <f t="shared" ca="1" si="10"/>
        <v>B64</v>
      </c>
      <c r="BJ15" s="89">
        <f t="shared" ca="1" si="11"/>
        <v>4</v>
      </c>
      <c r="BK15" s="89">
        <f t="shared" ca="1" si="12"/>
        <v>5</v>
      </c>
      <c r="BL15" s="89">
        <f t="shared" ca="1" si="13"/>
        <v>20</v>
      </c>
      <c r="BM15" s="89">
        <f t="shared" ca="1" si="14"/>
        <v>7</v>
      </c>
      <c r="BN15" s="89" t="str">
        <f t="shared" ca="1" si="15"/>
        <v>S4!B54:G63</v>
      </c>
      <c r="BO15" s="89" t="str">
        <f t="shared" ca="1" si="16"/>
        <v>s</v>
      </c>
      <c r="BP15" s="89" t="str">
        <f t="shared" ca="1" si="17"/>
        <v>b</v>
      </c>
      <c r="BQ15" s="89" t="str">
        <f t="shared" ca="1" si="18"/>
        <v/>
      </c>
      <c r="BR15" s="87" t="str">
        <f t="shared" ca="1" si="19"/>
        <v/>
      </c>
      <c r="BS15" s="89" t="str">
        <f t="shared" ca="1" si="20"/>
        <v/>
      </c>
      <c r="BT15" s="89" t="str">
        <f t="shared" ca="1" si="21"/>
        <v/>
      </c>
      <c r="BU15" s="89" t="str">
        <f t="shared" ca="1" si="22"/>
        <v/>
      </c>
      <c r="BV15" s="87" t="str">
        <f t="shared" ca="1" si="23"/>
        <v/>
      </c>
      <c r="BW15" s="87" t="str">
        <f t="shared" ca="1" si="24"/>
        <v>10040205</v>
      </c>
      <c r="BX15" s="89">
        <f t="shared" ca="1" si="25"/>
        <v>0</v>
      </c>
    </row>
    <row r="16" spans="1:76">
      <c r="A16" s="90" t="str">
        <f t="shared" si="2"/>
        <v/>
      </c>
      <c r="B16" s="98">
        <v>5</v>
      </c>
      <c r="C16" s="94">
        <v>-3</v>
      </c>
      <c r="D16" s="94">
        <v>-2</v>
      </c>
      <c r="E16" s="94">
        <v>3</v>
      </c>
      <c r="F16" s="94">
        <v>-1</v>
      </c>
      <c r="G16" s="94">
        <v>-4</v>
      </c>
      <c r="H16" s="94">
        <v>2</v>
      </c>
      <c r="I16" s="94">
        <v>1</v>
      </c>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1">
        <f t="shared" ca="1" si="3"/>
        <v>65</v>
      </c>
      <c r="BB16" s="88" t="str">
        <f t="shared" ca="1" si="4"/>
        <v>A54:A1200</v>
      </c>
      <c r="BC16" s="89" t="str">
        <f t="shared" ca="1" si="5"/>
        <v>B65</v>
      </c>
      <c r="BD16" s="89">
        <f ca="1">IF(BC16=0,0,RANK(BF16,$BF$11:$BF$70,0)+(COUNTIF($BF16:$BF$70,BF16)-1))</f>
        <v>47</v>
      </c>
      <c r="BE16" s="89" t="str">
        <f t="shared" ca="1" si="6"/>
        <v>120401</v>
      </c>
      <c r="BF16" s="89">
        <f t="shared" ca="1" si="7"/>
        <v>12040122</v>
      </c>
      <c r="BG16" s="89">
        <f t="shared" ca="1" si="8"/>
        <v>12</v>
      </c>
      <c r="BH16" s="89">
        <f t="shared" ca="1" si="9"/>
        <v>1</v>
      </c>
      <c r="BI16" s="89" t="str">
        <f t="shared" ca="1" si="10"/>
        <v>B78</v>
      </c>
      <c r="BJ16" s="89">
        <f t="shared" ca="1" si="11"/>
        <v>11</v>
      </c>
      <c r="BK16" s="89">
        <f t="shared" ca="1" si="12"/>
        <v>22</v>
      </c>
      <c r="BL16" s="89">
        <f t="shared" ca="1" si="13"/>
        <v>66</v>
      </c>
      <c r="BM16" s="89">
        <f t="shared" ca="1" si="14"/>
        <v>24</v>
      </c>
      <c r="BN16" s="89" t="str">
        <f t="shared" ca="1" si="15"/>
        <v>S4!B66:X77</v>
      </c>
      <c r="BO16" s="89" t="str">
        <f t="shared" ca="1" si="16"/>
        <v>e</v>
      </c>
      <c r="BP16" s="89" t="str">
        <f t="shared" ca="1" si="17"/>
        <v/>
      </c>
      <c r="BQ16" s="89" t="str">
        <f t="shared" ca="1" si="18"/>
        <v/>
      </c>
      <c r="BR16" s="87" t="str">
        <f t="shared" ca="1" si="19"/>
        <v/>
      </c>
      <c r="BS16" s="89" t="str">
        <f t="shared" ca="1" si="20"/>
        <v/>
      </c>
      <c r="BT16" s="89" t="str">
        <f t="shared" ca="1" si="21"/>
        <v/>
      </c>
      <c r="BU16" s="89" t="str">
        <f t="shared" ca="1" si="22"/>
        <v/>
      </c>
      <c r="BV16" s="87" t="str">
        <f t="shared" ca="1" si="23"/>
        <v/>
      </c>
      <c r="BW16" s="87" t="str">
        <f t="shared" ca="1" si="24"/>
        <v>12040122</v>
      </c>
      <c r="BX16" s="89">
        <f t="shared" ca="1" si="25"/>
        <v>0</v>
      </c>
    </row>
    <row r="17" spans="1:76">
      <c r="A17" s="90" t="str">
        <f t="shared" si="2"/>
        <v/>
      </c>
      <c r="B17" s="98">
        <v>6</v>
      </c>
      <c r="C17" s="94">
        <v>-4</v>
      </c>
      <c r="D17" s="94">
        <v>1</v>
      </c>
      <c r="E17" s="94">
        <v>-2</v>
      </c>
      <c r="F17" s="94">
        <v>4</v>
      </c>
      <c r="G17" s="94">
        <v>2</v>
      </c>
      <c r="H17" s="94">
        <v>-3</v>
      </c>
      <c r="I17" s="94">
        <v>-1</v>
      </c>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1">
        <f t="shared" ca="1" si="3"/>
        <v>79</v>
      </c>
      <c r="BB17" s="88" t="str">
        <f t="shared" ca="1" si="4"/>
        <v>A66:A1200</v>
      </c>
      <c r="BC17" s="89" t="str">
        <f t="shared" ca="1" si="5"/>
        <v>B79</v>
      </c>
      <c r="BD17" s="89">
        <f ca="1">IF(BC17=0,0,RANK(BF17,$BF$11:$BF$70,0)+(COUNTIF($BF17:$BF$70,BF17)-1))</f>
        <v>38</v>
      </c>
      <c r="BE17" s="89" t="str">
        <f t="shared" ca="1" si="6"/>
        <v>140401</v>
      </c>
      <c r="BF17" s="89">
        <f t="shared" ca="1" si="7"/>
        <v>14040126</v>
      </c>
      <c r="BG17" s="89">
        <f t="shared" ca="1" si="8"/>
        <v>14</v>
      </c>
      <c r="BH17" s="89">
        <f t="shared" ca="1" si="9"/>
        <v>1</v>
      </c>
      <c r="BI17" s="89" t="str">
        <f t="shared" ca="1" si="10"/>
        <v>B94</v>
      </c>
      <c r="BJ17" s="89">
        <f t="shared" ca="1" si="11"/>
        <v>13</v>
      </c>
      <c r="BK17" s="89">
        <f t="shared" ca="1" si="12"/>
        <v>26</v>
      </c>
      <c r="BL17" s="89">
        <f t="shared" ca="1" si="13"/>
        <v>91</v>
      </c>
      <c r="BM17" s="89">
        <f t="shared" ca="1" si="14"/>
        <v>28</v>
      </c>
      <c r="BN17" s="89" t="str">
        <f t="shared" ca="1" si="15"/>
        <v>S4!B80:AB93</v>
      </c>
      <c r="BO17" s="89" t="str">
        <f t="shared" ca="1" si="16"/>
        <v>e</v>
      </c>
      <c r="BP17" s="89" t="str">
        <f t="shared" ca="1" si="17"/>
        <v/>
      </c>
      <c r="BQ17" s="89" t="str">
        <f t="shared" ca="1" si="18"/>
        <v/>
      </c>
      <c r="BR17" s="87" t="str">
        <f t="shared" ca="1" si="19"/>
        <v/>
      </c>
      <c r="BS17" s="89" t="str">
        <f t="shared" ca="1" si="20"/>
        <v/>
      </c>
      <c r="BT17" s="89" t="str">
        <f t="shared" ca="1" si="21"/>
        <v/>
      </c>
      <c r="BU17" s="89" t="str">
        <f t="shared" ca="1" si="22"/>
        <v/>
      </c>
      <c r="BV17" s="87" t="str">
        <f t="shared" ca="1" si="23"/>
        <v/>
      </c>
      <c r="BW17" s="87" t="str">
        <f t="shared" ca="1" si="24"/>
        <v>14040126</v>
      </c>
      <c r="BX17" s="89">
        <f t="shared" ca="1" si="25"/>
        <v>0</v>
      </c>
    </row>
    <row r="18" spans="1:76">
      <c r="A18" s="90" t="str">
        <f t="shared" si="2"/>
        <v/>
      </c>
      <c r="B18" s="98">
        <v>7</v>
      </c>
      <c r="C18" s="94">
        <v>2</v>
      </c>
      <c r="D18" s="94">
        <v>-3</v>
      </c>
      <c r="E18" s="94">
        <v>1</v>
      </c>
      <c r="F18" s="94">
        <v>-4</v>
      </c>
      <c r="G18" s="94">
        <v>3</v>
      </c>
      <c r="H18" s="94">
        <v>-2</v>
      </c>
      <c r="I18" s="94">
        <v>4</v>
      </c>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1">
        <f t="shared" ca="1" si="3"/>
        <v>95</v>
      </c>
      <c r="BB18" s="88" t="str">
        <f t="shared" ca="1" si="4"/>
        <v>A80:A1200</v>
      </c>
      <c r="BC18" s="89" t="str">
        <f t="shared" ca="1" si="5"/>
        <v>B95</v>
      </c>
      <c r="BD18" s="89">
        <f ca="1">IF(BC18=0,0,RANK(BF18,$BF$11:$BF$70,0)+(COUNTIF($BF18:$BF$70,BF18)-1))</f>
        <v>34</v>
      </c>
      <c r="BE18" s="89" t="str">
        <f t="shared" ca="1" si="6"/>
        <v>140402</v>
      </c>
      <c r="BF18" s="89">
        <f t="shared" ca="1" si="7"/>
        <v>14040214</v>
      </c>
      <c r="BG18" s="89">
        <f t="shared" ca="1" si="8"/>
        <v>14</v>
      </c>
      <c r="BH18" s="89">
        <f t="shared" ca="1" si="9"/>
        <v>2</v>
      </c>
      <c r="BI18" s="89" t="str">
        <f t="shared" ca="1" si="10"/>
        <v>B110</v>
      </c>
      <c r="BJ18" s="89">
        <f t="shared" ca="1" si="11"/>
        <v>7</v>
      </c>
      <c r="BK18" s="89">
        <f t="shared" ca="1" si="12"/>
        <v>14</v>
      </c>
      <c r="BL18" s="89">
        <f t="shared" ca="1" si="13"/>
        <v>49</v>
      </c>
      <c r="BM18" s="89">
        <f t="shared" ca="1" si="14"/>
        <v>16</v>
      </c>
      <c r="BN18" s="89" t="str">
        <f t="shared" ca="1" si="15"/>
        <v>S4!B96:P109</v>
      </c>
      <c r="BO18" s="89" t="str">
        <f t="shared" ca="1" si="16"/>
        <v>e</v>
      </c>
      <c r="BP18" s="89" t="str">
        <f t="shared" ca="1" si="17"/>
        <v/>
      </c>
      <c r="BQ18" s="89" t="str">
        <f t="shared" ca="1" si="18"/>
        <v/>
      </c>
      <c r="BR18" s="87" t="str">
        <f t="shared" ca="1" si="19"/>
        <v>x</v>
      </c>
      <c r="BS18" s="89" t="str">
        <f t="shared" ca="1" si="20"/>
        <v/>
      </c>
      <c r="BT18" s="89" t="str">
        <f t="shared" ca="1" si="21"/>
        <v/>
      </c>
      <c r="BU18" s="89" t="str">
        <f t="shared" ca="1" si="22"/>
        <v/>
      </c>
      <c r="BV18" s="87" t="str">
        <f t="shared" ca="1" si="23"/>
        <v/>
      </c>
      <c r="BW18" s="87" t="str">
        <f t="shared" ca="1" si="24"/>
        <v>14040214</v>
      </c>
      <c r="BX18" s="89">
        <f t="shared" ca="1" si="25"/>
        <v>0</v>
      </c>
    </row>
    <row r="19" spans="1:76">
      <c r="A19" s="90" t="str">
        <f t="shared" si="2"/>
        <v/>
      </c>
      <c r="B19" s="98">
        <v>8</v>
      </c>
      <c r="C19" s="94">
        <v>1</v>
      </c>
      <c r="D19" s="94">
        <v>4</v>
      </c>
      <c r="E19" s="94">
        <v>-3</v>
      </c>
      <c r="F19" s="94">
        <v>2</v>
      </c>
      <c r="G19" s="94">
        <v>-1</v>
      </c>
      <c r="H19" s="94">
        <v>3</v>
      </c>
      <c r="I19" s="94">
        <v>-4</v>
      </c>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1">
        <f t="shared" ca="1" si="3"/>
        <v>111</v>
      </c>
      <c r="BB19" s="88" t="str">
        <f t="shared" ca="1" si="4"/>
        <v>A96:A1200</v>
      </c>
      <c r="BC19" s="89" t="str">
        <f t="shared" ca="1" si="5"/>
        <v>B111</v>
      </c>
      <c r="BD19" s="89">
        <f ca="1">IF(BC19=0,0,RANK(BF19,$BF$11:$BF$70,0)+(COUNTIF($BF19:$BF$70,BF19)-1))</f>
        <v>33</v>
      </c>
      <c r="BE19" s="89" t="str">
        <f t="shared" ca="1" si="6"/>
        <v>140403</v>
      </c>
      <c r="BF19" s="89">
        <f t="shared" ca="1" si="7"/>
        <v>14040310</v>
      </c>
      <c r="BG19" s="89">
        <f t="shared" ca="1" si="8"/>
        <v>14</v>
      </c>
      <c r="BH19" s="89">
        <f t="shared" ca="1" si="9"/>
        <v>3</v>
      </c>
      <c r="BI19" s="89" t="str">
        <f t="shared" ca="1" si="10"/>
        <v>B126</v>
      </c>
      <c r="BJ19" s="89">
        <f t="shared" ca="1" si="11"/>
        <v>5</v>
      </c>
      <c r="BK19" s="89">
        <f t="shared" ca="1" si="12"/>
        <v>10</v>
      </c>
      <c r="BL19" s="89">
        <f t="shared" ca="1" si="13"/>
        <v>35</v>
      </c>
      <c r="BM19" s="89">
        <f t="shared" ca="1" si="14"/>
        <v>12</v>
      </c>
      <c r="BN19" s="89" t="str">
        <f t="shared" ca="1" si="15"/>
        <v>S4!B112:L125</v>
      </c>
      <c r="BO19" s="89" t="str">
        <f t="shared" ca="1" si="16"/>
        <v>e</v>
      </c>
      <c r="BP19" s="89" t="str">
        <f t="shared" ca="1" si="17"/>
        <v/>
      </c>
      <c r="BQ19" s="89" t="str">
        <f t="shared" ca="1" si="18"/>
        <v/>
      </c>
      <c r="BR19" s="87" t="str">
        <f t="shared" ca="1" si="19"/>
        <v>x</v>
      </c>
      <c r="BS19" s="89" t="str">
        <f t="shared" ca="1" si="20"/>
        <v>a</v>
      </c>
      <c r="BT19" s="89" t="str">
        <f t="shared" ca="1" si="21"/>
        <v>E</v>
      </c>
      <c r="BU19" s="89" t="str">
        <f t="shared" ca="1" si="22"/>
        <v/>
      </c>
      <c r="BV19" s="87" t="str">
        <f t="shared" ca="1" si="23"/>
        <v/>
      </c>
      <c r="BW19" s="87" t="str">
        <f t="shared" ca="1" si="24"/>
        <v>14040310</v>
      </c>
      <c r="BX19" s="89">
        <f t="shared" ca="1" si="25"/>
        <v>0</v>
      </c>
    </row>
    <row r="20" spans="1:76">
      <c r="A20" s="90" t="str">
        <f t="shared" si="2"/>
        <v/>
      </c>
      <c r="B20" s="98" t="s">
        <v>260</v>
      </c>
      <c r="C20" s="94"/>
      <c r="D20" s="94"/>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1">
        <f t="shared" ca="1" si="3"/>
        <v>127</v>
      </c>
      <c r="BB20" s="88" t="str">
        <f t="shared" ca="1" si="4"/>
        <v>A112:A1200</v>
      </c>
      <c r="BC20" s="89" t="str">
        <f t="shared" ca="1" si="5"/>
        <v>B127</v>
      </c>
      <c r="BD20" s="89">
        <f ca="1">IF(BC20=0,0,RANK(BF20,$BF$11:$BF$70,0)+(COUNTIF($BF20:$BF$70,BF20)-1))</f>
        <v>31</v>
      </c>
      <c r="BE20" s="89" t="str">
        <f t="shared" ca="1" si="6"/>
        <v>150401</v>
      </c>
      <c r="BF20" s="89">
        <f t="shared" ca="1" si="7"/>
        <v>15040130</v>
      </c>
      <c r="BG20" s="89">
        <f t="shared" ca="1" si="8"/>
        <v>15</v>
      </c>
      <c r="BH20" s="89">
        <f t="shared" ca="1" si="9"/>
        <v>1</v>
      </c>
      <c r="BI20" s="89" t="str">
        <f t="shared" ca="1" si="10"/>
        <v>B143</v>
      </c>
      <c r="BJ20" s="89">
        <f t="shared" ca="1" si="11"/>
        <v>14</v>
      </c>
      <c r="BK20" s="89">
        <f t="shared" ca="1" si="12"/>
        <v>30</v>
      </c>
      <c r="BL20" s="89">
        <f t="shared" ca="1" si="13"/>
        <v>105</v>
      </c>
      <c r="BM20" s="89">
        <f t="shared" ca="1" si="14"/>
        <v>32</v>
      </c>
      <c r="BN20" s="89" t="str">
        <f t="shared" ca="1" si="15"/>
        <v>S4!B128:AF142</v>
      </c>
      <c r="BO20" s="89" t="str">
        <f t="shared" ca="1" si="16"/>
        <v>e</v>
      </c>
      <c r="BP20" s="89" t="str">
        <f t="shared" ca="1" si="17"/>
        <v>b</v>
      </c>
      <c r="BQ20" s="89" t="str">
        <f t="shared" ca="1" si="18"/>
        <v/>
      </c>
      <c r="BR20" s="87" t="str">
        <f t="shared" ca="1" si="19"/>
        <v/>
      </c>
      <c r="BS20" s="89" t="str">
        <f t="shared" ca="1" si="20"/>
        <v/>
      </c>
      <c r="BT20" s="89" t="str">
        <f t="shared" ca="1" si="21"/>
        <v/>
      </c>
      <c r="BU20" s="89" t="str">
        <f t="shared" ca="1" si="22"/>
        <v/>
      </c>
      <c r="BV20" s="87" t="str">
        <f t="shared" ca="1" si="23"/>
        <v/>
      </c>
      <c r="BW20" s="87" t="str">
        <f t="shared" ca="1" si="24"/>
        <v>15040130</v>
      </c>
      <c r="BX20" s="89">
        <f t="shared" ca="1" si="25"/>
        <v>0</v>
      </c>
    </row>
    <row r="21" spans="1:76">
      <c r="A21" s="90">
        <f t="shared" si="2"/>
        <v>21</v>
      </c>
      <c r="B21" s="98" t="s">
        <v>261</v>
      </c>
      <c r="C21" s="94"/>
      <c r="D21" s="94"/>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1">
        <f t="shared" ca="1" si="3"/>
        <v>144</v>
      </c>
      <c r="BB21" s="88" t="str">
        <f t="shared" ca="1" si="4"/>
        <v>A128:A1200</v>
      </c>
      <c r="BC21" s="89" t="str">
        <f t="shared" ca="1" si="5"/>
        <v>B144</v>
      </c>
      <c r="BD21" s="89">
        <f ca="1">IF(BC21=0,0,RANK(BF21,$BF$11:$BF$70,0)+(COUNTIF($BF21:$BF$70,BF21)-1))</f>
        <v>29</v>
      </c>
      <c r="BE21" s="89" t="str">
        <f t="shared" ca="1" si="6"/>
        <v>150402</v>
      </c>
      <c r="BF21" s="89">
        <f t="shared" ca="1" si="7"/>
        <v>15040214</v>
      </c>
      <c r="BG21" s="89">
        <f t="shared" ca="1" si="8"/>
        <v>15</v>
      </c>
      <c r="BH21" s="89">
        <f t="shared" ca="1" si="9"/>
        <v>2</v>
      </c>
      <c r="BI21" s="89" t="str">
        <f t="shared" ca="1" si="10"/>
        <v>B160</v>
      </c>
      <c r="BJ21" s="89">
        <f t="shared" ca="1" si="11"/>
        <v>7</v>
      </c>
      <c r="BK21" s="89">
        <f t="shared" ca="1" si="12"/>
        <v>14</v>
      </c>
      <c r="BL21" s="89">
        <f t="shared" ca="1" si="13"/>
        <v>49</v>
      </c>
      <c r="BM21" s="89">
        <f t="shared" ca="1" si="14"/>
        <v>16</v>
      </c>
      <c r="BN21" s="89" t="str">
        <f t="shared" ca="1" si="15"/>
        <v>S4!B145:P159</v>
      </c>
      <c r="BO21" s="89" t="str">
        <f t="shared" ca="1" si="16"/>
        <v>e</v>
      </c>
      <c r="BP21" s="89" t="str">
        <f t="shared" ca="1" si="17"/>
        <v>w</v>
      </c>
      <c r="BQ21" s="89" t="str">
        <f t="shared" ca="1" si="18"/>
        <v>w</v>
      </c>
      <c r="BR21" s="87" t="str">
        <f t="shared" ca="1" si="19"/>
        <v/>
      </c>
      <c r="BS21" s="89" t="str">
        <f t="shared" ca="1" si="20"/>
        <v/>
      </c>
      <c r="BT21" s="89" t="str">
        <f t="shared" ca="1" si="21"/>
        <v/>
      </c>
      <c r="BU21" s="89" t="str">
        <f t="shared" ca="1" si="22"/>
        <v/>
      </c>
      <c r="BV21" s="87" t="str">
        <f t="shared" ca="1" si="23"/>
        <v/>
      </c>
      <c r="BW21" s="87" t="str">
        <f t="shared" ca="1" si="24"/>
        <v>15040214</v>
      </c>
      <c r="BX21" s="89">
        <f t="shared" ca="1" si="25"/>
        <v>0</v>
      </c>
    </row>
    <row r="22" spans="1:76">
      <c r="A22" s="90" t="str">
        <f t="shared" si="2"/>
        <v/>
      </c>
      <c r="B22" s="98">
        <v>1</v>
      </c>
      <c r="C22" s="94">
        <v>-2</v>
      </c>
      <c r="D22" s="94">
        <v>-1</v>
      </c>
      <c r="E22" s="94">
        <v>2</v>
      </c>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1">
        <f t="shared" ca="1" si="3"/>
        <v>161</v>
      </c>
      <c r="BB22" s="88" t="str">
        <f t="shared" ca="1" si="4"/>
        <v>A145:A1200</v>
      </c>
      <c r="BC22" s="89" t="str">
        <f t="shared" ca="1" si="5"/>
        <v>B161</v>
      </c>
      <c r="BD22" s="89">
        <f ca="1">IF(BC22=0,0,RANK(BF22,$BF$11:$BF$70,0)+(COUNTIF($BF22:$BF$70,BF22)-1))</f>
        <v>25</v>
      </c>
      <c r="BE22" s="89" t="str">
        <f t="shared" ca="1" si="6"/>
        <v>150403</v>
      </c>
      <c r="BF22" s="89">
        <f t="shared" ca="1" si="7"/>
        <v>15040310</v>
      </c>
      <c r="BG22" s="89">
        <f t="shared" ca="1" si="8"/>
        <v>15</v>
      </c>
      <c r="BH22" s="89">
        <f t="shared" ca="1" si="9"/>
        <v>3</v>
      </c>
      <c r="BI22" s="89" t="str">
        <f t="shared" ca="1" si="10"/>
        <v>B177</v>
      </c>
      <c r="BJ22" s="89">
        <f t="shared" ca="1" si="11"/>
        <v>4</v>
      </c>
      <c r="BK22" s="89">
        <f t="shared" ca="1" si="12"/>
        <v>10</v>
      </c>
      <c r="BL22" s="89">
        <f t="shared" ca="1" si="13"/>
        <v>30</v>
      </c>
      <c r="BM22" s="89">
        <f t="shared" ca="1" si="14"/>
        <v>12</v>
      </c>
      <c r="BN22" s="89" t="str">
        <f t="shared" ca="1" si="15"/>
        <v>S4!B162:L176</v>
      </c>
      <c r="BO22" s="89" t="str">
        <f t="shared" ca="1" si="16"/>
        <v>e</v>
      </c>
      <c r="BP22" s="89" t="str">
        <f t="shared" ca="1" si="17"/>
        <v>b</v>
      </c>
      <c r="BQ22" s="89" t="str">
        <f t="shared" ca="1" si="18"/>
        <v/>
      </c>
      <c r="BR22" s="87" t="str">
        <f t="shared" ca="1" si="19"/>
        <v/>
      </c>
      <c r="BS22" s="89" t="str">
        <f t="shared" ca="1" si="20"/>
        <v/>
      </c>
      <c r="BT22" s="89" t="str">
        <f t="shared" ca="1" si="21"/>
        <v/>
      </c>
      <c r="BU22" s="89" t="str">
        <f t="shared" ca="1" si="22"/>
        <v/>
      </c>
      <c r="BV22" s="87" t="str">
        <f t="shared" ca="1" si="23"/>
        <v/>
      </c>
      <c r="BW22" s="87" t="str">
        <f t="shared" ca="1" si="24"/>
        <v>15040310</v>
      </c>
      <c r="BX22" s="89">
        <f t="shared" ca="1" si="25"/>
        <v>0</v>
      </c>
    </row>
    <row r="23" spans="1:76">
      <c r="A23" s="90" t="str">
        <f t="shared" si="2"/>
        <v/>
      </c>
      <c r="B23" s="98">
        <v>2</v>
      </c>
      <c r="C23" s="94">
        <v>3</v>
      </c>
      <c r="D23" s="94">
        <v>-4</v>
      </c>
      <c r="E23" s="94">
        <v>-2</v>
      </c>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1">
        <f t="shared" ca="1" si="3"/>
        <v>178</v>
      </c>
      <c r="BB23" s="88" t="str">
        <f t="shared" ca="1" si="4"/>
        <v>A162:A1200</v>
      </c>
      <c r="BC23" s="89" t="str">
        <f t="shared" ca="1" si="5"/>
        <v>B178</v>
      </c>
      <c r="BD23" s="89">
        <f ca="1">IF(BC23=0,0,RANK(BF23,$BF$11:$BF$70,0)+(COUNTIF($BF23:$BF$70,BF23)-1))</f>
        <v>24</v>
      </c>
      <c r="BE23" s="89" t="str">
        <f t="shared" ca="1" si="6"/>
        <v>160401</v>
      </c>
      <c r="BF23" s="89">
        <f t="shared" ca="1" si="7"/>
        <v>16040130</v>
      </c>
      <c r="BG23" s="89">
        <f t="shared" ca="1" si="8"/>
        <v>16</v>
      </c>
      <c r="BH23" s="89">
        <f t="shared" ca="1" si="9"/>
        <v>1</v>
      </c>
      <c r="BI23" s="89" t="str">
        <f t="shared" ca="1" si="10"/>
        <v>B195</v>
      </c>
      <c r="BJ23" s="89">
        <f t="shared" ca="1" si="11"/>
        <v>15</v>
      </c>
      <c r="BK23" s="89">
        <f t="shared" ca="1" si="12"/>
        <v>30</v>
      </c>
      <c r="BL23" s="89">
        <f t="shared" ca="1" si="13"/>
        <v>120</v>
      </c>
      <c r="BM23" s="89">
        <f t="shared" ca="1" si="14"/>
        <v>32</v>
      </c>
      <c r="BN23" s="89" t="str">
        <f t="shared" ca="1" si="15"/>
        <v>S4!B179:AF194</v>
      </c>
      <c r="BO23" s="89" t="str">
        <f t="shared" ca="1" si="16"/>
        <v>e</v>
      </c>
      <c r="BP23" s="89" t="str">
        <f t="shared" ca="1" si="17"/>
        <v/>
      </c>
      <c r="BQ23" s="89" t="str">
        <f t="shared" ca="1" si="18"/>
        <v/>
      </c>
      <c r="BR23" s="87" t="str">
        <f t="shared" ca="1" si="19"/>
        <v/>
      </c>
      <c r="BS23" s="89" t="str">
        <f t="shared" ca="1" si="20"/>
        <v/>
      </c>
      <c r="BT23" s="89" t="str">
        <f t="shared" ca="1" si="21"/>
        <v/>
      </c>
      <c r="BU23" s="89" t="str">
        <f t="shared" ca="1" si="22"/>
        <v/>
      </c>
      <c r="BV23" s="87" t="str">
        <f t="shared" ca="1" si="23"/>
        <v/>
      </c>
      <c r="BW23" s="87" t="str">
        <f t="shared" ca="1" si="24"/>
        <v>16040130</v>
      </c>
      <c r="BX23" s="89">
        <f t="shared" ca="1" si="25"/>
        <v>0</v>
      </c>
    </row>
    <row r="24" spans="1:76">
      <c r="A24" s="90" t="str">
        <f t="shared" si="2"/>
        <v/>
      </c>
      <c r="B24" s="98">
        <v>3</v>
      </c>
      <c r="C24" s="94">
        <v>-3</v>
      </c>
      <c r="D24" s="94">
        <v>1</v>
      </c>
      <c r="E24" s="94">
        <v>3</v>
      </c>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1">
        <f t="shared" ca="1" si="3"/>
        <v>196</v>
      </c>
      <c r="BB24" s="88" t="str">
        <f t="shared" ca="1" si="4"/>
        <v>A179:A1200</v>
      </c>
      <c r="BC24" s="89" t="str">
        <f t="shared" ca="1" si="5"/>
        <v>B196</v>
      </c>
      <c r="BD24" s="89">
        <f ca="1">IF(BC24=0,0,RANK(BF24,$BF$11:$BF$70,0)+(COUNTIF($BF24:$BF$70,BF24)-1))</f>
        <v>23</v>
      </c>
      <c r="BE24" s="89" t="str">
        <f t="shared" ca="1" si="6"/>
        <v>160402</v>
      </c>
      <c r="BF24" s="89">
        <f t="shared" ca="1" si="7"/>
        <v>16040214</v>
      </c>
      <c r="BG24" s="89">
        <f t="shared" ca="1" si="8"/>
        <v>16</v>
      </c>
      <c r="BH24" s="89">
        <f t="shared" ca="1" si="9"/>
        <v>2</v>
      </c>
      <c r="BI24" s="89" t="str">
        <f t="shared" ca="1" si="10"/>
        <v>B213</v>
      </c>
      <c r="BJ24" s="89">
        <f t="shared" ca="1" si="11"/>
        <v>7</v>
      </c>
      <c r="BK24" s="89">
        <f t="shared" ca="1" si="12"/>
        <v>14</v>
      </c>
      <c r="BL24" s="89">
        <f t="shared" ca="1" si="13"/>
        <v>56</v>
      </c>
      <c r="BM24" s="89">
        <f t="shared" ca="1" si="14"/>
        <v>16</v>
      </c>
      <c r="BN24" s="89" t="str">
        <f t="shared" ca="1" si="15"/>
        <v>S4!B197:P212</v>
      </c>
      <c r="BO24" s="89" t="str">
        <f t="shared" ca="1" si="16"/>
        <v>e</v>
      </c>
      <c r="BP24" s="89" t="str">
        <f t="shared" ca="1" si="17"/>
        <v/>
      </c>
      <c r="BQ24" s="89" t="str">
        <f t="shared" ca="1" si="18"/>
        <v/>
      </c>
      <c r="BR24" s="87" t="str">
        <f t="shared" ca="1" si="19"/>
        <v/>
      </c>
      <c r="BS24" s="89" t="str">
        <f t="shared" ca="1" si="20"/>
        <v/>
      </c>
      <c r="BT24" s="89" t="str">
        <f t="shared" ca="1" si="21"/>
        <v/>
      </c>
      <c r="BU24" s="89" t="str">
        <f t="shared" ca="1" si="22"/>
        <v/>
      </c>
      <c r="BV24" s="87" t="str">
        <f t="shared" ca="1" si="23"/>
        <v/>
      </c>
      <c r="BW24" s="87" t="str">
        <f t="shared" ca="1" si="24"/>
        <v>16040214</v>
      </c>
      <c r="BX24" s="89">
        <f t="shared" ca="1" si="25"/>
        <v>0</v>
      </c>
    </row>
    <row r="25" spans="1:76">
      <c r="A25" s="90" t="str">
        <f t="shared" si="2"/>
        <v/>
      </c>
      <c r="B25" s="99">
        <v>4</v>
      </c>
      <c r="C25" s="92">
        <v>2</v>
      </c>
      <c r="D25" s="92">
        <v>4</v>
      </c>
      <c r="E25" s="92">
        <v>-3</v>
      </c>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1">
        <f t="shared" ca="1" si="3"/>
        <v>214</v>
      </c>
      <c r="BB25" s="88" t="str">
        <f t="shared" ca="1" si="4"/>
        <v>A197:A1200</v>
      </c>
      <c r="BC25" s="89" t="str">
        <f t="shared" ca="1" si="5"/>
        <v>B214</v>
      </c>
      <c r="BD25" s="89">
        <f ca="1">IF(BC25=0,0,RANK(BF25,$BF$11:$BF$70,0)+(COUNTIF($BF25:$BF$70,BF25)-1))</f>
        <v>21</v>
      </c>
      <c r="BE25" s="89" t="str">
        <f t="shared" ca="1" si="6"/>
        <v>160403</v>
      </c>
      <c r="BF25" s="89">
        <f t="shared" ca="1" si="7"/>
        <v>16040310</v>
      </c>
      <c r="BG25" s="89">
        <f t="shared" ca="1" si="8"/>
        <v>16</v>
      </c>
      <c r="BH25" s="89">
        <f t="shared" ca="1" si="9"/>
        <v>3</v>
      </c>
      <c r="BI25" s="89" t="str">
        <f t="shared" ca="1" si="10"/>
        <v>B231</v>
      </c>
      <c r="BJ25" s="89">
        <f t="shared" ca="1" si="11"/>
        <v>5</v>
      </c>
      <c r="BK25" s="89">
        <f t="shared" ca="1" si="12"/>
        <v>10</v>
      </c>
      <c r="BL25" s="89">
        <f t="shared" ca="1" si="13"/>
        <v>40</v>
      </c>
      <c r="BM25" s="89">
        <f t="shared" ca="1" si="14"/>
        <v>12</v>
      </c>
      <c r="BN25" s="89" t="str">
        <f t="shared" ca="1" si="15"/>
        <v>S4!B215:L230</v>
      </c>
      <c r="BO25" s="89" t="str">
        <f t="shared" ca="1" si="16"/>
        <v>e</v>
      </c>
      <c r="BP25" s="89" t="str">
        <f t="shared" ca="1" si="17"/>
        <v/>
      </c>
      <c r="BQ25" s="89" t="str">
        <f t="shared" ca="1" si="18"/>
        <v/>
      </c>
      <c r="BR25" s="87" t="str">
        <f t="shared" ca="1" si="19"/>
        <v>x</v>
      </c>
      <c r="BS25" s="89" t="str">
        <f t="shared" ca="1" si="20"/>
        <v/>
      </c>
      <c r="BT25" s="89" t="str">
        <f t="shared" ca="1" si="21"/>
        <v/>
      </c>
      <c r="BU25" s="89" t="str">
        <f t="shared" ca="1" si="22"/>
        <v/>
      </c>
      <c r="BV25" s="87" t="str">
        <f t="shared" ca="1" si="23"/>
        <v/>
      </c>
      <c r="BW25" s="87" t="str">
        <f t="shared" ca="1" si="24"/>
        <v>16040310</v>
      </c>
      <c r="BX25" s="89">
        <f t="shared" ca="1" si="25"/>
        <v>0</v>
      </c>
    </row>
    <row r="26" spans="1:76">
      <c r="A26" s="90" t="str">
        <f t="shared" si="2"/>
        <v/>
      </c>
      <c r="B26" s="98">
        <v>5</v>
      </c>
      <c r="C26" s="94">
        <v>-1</v>
      </c>
      <c r="D26" s="94">
        <v>-2</v>
      </c>
      <c r="E26" s="94">
        <v>1</v>
      </c>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1">
        <f t="shared" ca="1" si="3"/>
        <v>232</v>
      </c>
      <c r="BB26" s="88" t="str">
        <f t="shared" ca="1" si="4"/>
        <v>A215:A1200</v>
      </c>
      <c r="BC26" s="89" t="str">
        <f t="shared" ca="1" si="5"/>
        <v>B232</v>
      </c>
      <c r="BD26" s="89">
        <f ca="1">IF(BC26=0,0,RANK(BF26,$BF$11:$BF$70,0)+(COUNTIF($BF26:$BF$70,BF26)-1))</f>
        <v>20</v>
      </c>
      <c r="BE26" s="89" t="str">
        <f t="shared" ca="1" si="6"/>
        <v>160404</v>
      </c>
      <c r="BF26" s="89">
        <f t="shared" ca="1" si="7"/>
        <v>16040406</v>
      </c>
      <c r="BG26" s="89">
        <f t="shared" ca="1" si="8"/>
        <v>16</v>
      </c>
      <c r="BH26" s="89">
        <f t="shared" ca="1" si="9"/>
        <v>4</v>
      </c>
      <c r="BI26" s="89" t="str">
        <f t="shared" ca="1" si="10"/>
        <v>B249</v>
      </c>
      <c r="BJ26" s="89">
        <f t="shared" ca="1" si="11"/>
        <v>3</v>
      </c>
      <c r="BK26" s="89">
        <f t="shared" ca="1" si="12"/>
        <v>6</v>
      </c>
      <c r="BL26" s="89">
        <f t="shared" ca="1" si="13"/>
        <v>24</v>
      </c>
      <c r="BM26" s="89">
        <f t="shared" ca="1" si="14"/>
        <v>8</v>
      </c>
      <c r="BN26" s="89" t="str">
        <f t="shared" ca="1" si="15"/>
        <v>S4!B233:H248</v>
      </c>
      <c r="BO26" s="89" t="str">
        <f t="shared" ca="1" si="16"/>
        <v>e</v>
      </c>
      <c r="BP26" s="89" t="str">
        <f t="shared" ca="1" si="17"/>
        <v/>
      </c>
      <c r="BQ26" s="89" t="str">
        <f t="shared" ca="1" si="18"/>
        <v/>
      </c>
      <c r="BR26" s="87" t="str">
        <f t="shared" ca="1" si="19"/>
        <v/>
      </c>
      <c r="BS26" s="89" t="str">
        <f t="shared" ca="1" si="20"/>
        <v/>
      </c>
      <c r="BT26" s="89" t="str">
        <f t="shared" ca="1" si="21"/>
        <v/>
      </c>
      <c r="BU26" s="89" t="str">
        <f t="shared" ca="1" si="22"/>
        <v/>
      </c>
      <c r="BV26" s="87" t="str">
        <f t="shared" ca="1" si="23"/>
        <v/>
      </c>
      <c r="BW26" s="87" t="str">
        <f t="shared" ca="1" si="24"/>
        <v>16040406</v>
      </c>
      <c r="BX26" s="89">
        <f t="shared" ca="1" si="25"/>
        <v>0</v>
      </c>
    </row>
    <row r="27" spans="1:76">
      <c r="A27" s="90" t="str">
        <f t="shared" si="2"/>
        <v/>
      </c>
      <c r="B27" s="98">
        <v>6</v>
      </c>
      <c r="C27" s="94">
        <v>4</v>
      </c>
      <c r="D27" s="94">
        <v>-3</v>
      </c>
      <c r="E27" s="94">
        <v>-1</v>
      </c>
      <c r="F27" s="94"/>
      <c r="G27" s="94"/>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1">
        <f t="shared" ca="1" si="3"/>
        <v>250</v>
      </c>
      <c r="BB27" s="88" t="str">
        <f t="shared" ca="1" si="4"/>
        <v>A233:A1200</v>
      </c>
      <c r="BC27" s="89" t="str">
        <f t="shared" ca="1" si="5"/>
        <v>B250</v>
      </c>
      <c r="BD27" s="89">
        <f ca="1">IF(BC27=0,0,RANK(BF27,$BF$11:$BF$70,0)+(COUNTIF($BF27:$BF$70,BF27)-1))</f>
        <v>18</v>
      </c>
      <c r="BE27" s="89" t="str">
        <f t="shared" ca="1" si="6"/>
        <v>170402</v>
      </c>
      <c r="BF27" s="89">
        <f t="shared" ca="1" si="7"/>
        <v>17040217</v>
      </c>
      <c r="BG27" s="89">
        <f t="shared" ca="1" si="8"/>
        <v>17</v>
      </c>
      <c r="BH27" s="89">
        <f t="shared" ca="1" si="9"/>
        <v>2</v>
      </c>
      <c r="BI27" s="89" t="str">
        <f t="shared" ca="1" si="10"/>
        <v>B268</v>
      </c>
      <c r="BJ27" s="89">
        <f t="shared" ca="1" si="11"/>
        <v>8</v>
      </c>
      <c r="BK27" s="89">
        <f t="shared" ca="1" si="12"/>
        <v>17</v>
      </c>
      <c r="BL27" s="89">
        <f t="shared" ca="1" si="13"/>
        <v>68</v>
      </c>
      <c r="BM27" s="89">
        <f t="shared" ca="1" si="14"/>
        <v>19</v>
      </c>
      <c r="BN27" s="89" t="str">
        <f t="shared" ca="1" si="15"/>
        <v>S4!B251:S267</v>
      </c>
      <c r="BO27" s="89" t="str">
        <f t="shared" ca="1" si="16"/>
        <v>e</v>
      </c>
      <c r="BP27" s="89" t="str">
        <f t="shared" ca="1" si="17"/>
        <v>b</v>
      </c>
      <c r="BQ27" s="89" t="str">
        <f t="shared" ca="1" si="18"/>
        <v/>
      </c>
      <c r="BR27" s="87" t="str">
        <f t="shared" ca="1" si="19"/>
        <v/>
      </c>
      <c r="BS27" s="89" t="str">
        <f t="shared" ca="1" si="20"/>
        <v>a</v>
      </c>
      <c r="BT27" s="89" t="str">
        <f t="shared" ca="1" si="21"/>
        <v/>
      </c>
      <c r="BU27" s="89" t="str">
        <f t="shared" ca="1" si="22"/>
        <v/>
      </c>
      <c r="BV27" s="87" t="str">
        <f t="shared" ca="1" si="23"/>
        <v/>
      </c>
      <c r="BW27" s="87" t="str">
        <f t="shared" ca="1" si="24"/>
        <v>17040217</v>
      </c>
      <c r="BX27" s="89">
        <f t="shared" ca="1" si="25"/>
        <v>0</v>
      </c>
    </row>
    <row r="28" spans="1:76">
      <c r="A28" s="90" t="str">
        <f t="shared" si="2"/>
        <v/>
      </c>
      <c r="B28" s="98">
        <v>7</v>
      </c>
      <c r="C28" s="94">
        <v>-4</v>
      </c>
      <c r="D28" s="94">
        <v>2</v>
      </c>
      <c r="E28" s="94">
        <v>4</v>
      </c>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1">
        <f t="shared" ca="1" si="3"/>
        <v>269</v>
      </c>
      <c r="BB28" s="88" t="str">
        <f t="shared" ca="1" si="4"/>
        <v>A251:A1200</v>
      </c>
      <c r="BC28" s="89" t="str">
        <f t="shared" ca="1" si="5"/>
        <v>B269</v>
      </c>
      <c r="BD28" s="89">
        <f ca="1">IF(BC28=0,0,RANK(BF28,$BF$11:$BF$70,0)+(COUNTIF($BF28:$BF$70,BF28)-1))</f>
        <v>17</v>
      </c>
      <c r="BE28" s="89" t="str">
        <f t="shared" ca="1" si="6"/>
        <v>170403</v>
      </c>
      <c r="BF28" s="89">
        <f t="shared" ca="1" si="7"/>
        <v>17040310</v>
      </c>
      <c r="BG28" s="89">
        <f t="shared" ca="1" si="8"/>
        <v>17</v>
      </c>
      <c r="BH28" s="89">
        <f t="shared" ca="1" si="9"/>
        <v>3</v>
      </c>
      <c r="BI28" s="89" t="str">
        <f t="shared" ca="1" si="10"/>
        <v>B287</v>
      </c>
      <c r="BJ28" s="89">
        <f t="shared" ca="1" si="11"/>
        <v>5</v>
      </c>
      <c r="BK28" s="89">
        <f t="shared" ca="1" si="12"/>
        <v>10</v>
      </c>
      <c r="BL28" s="89">
        <f t="shared" ca="1" si="13"/>
        <v>40</v>
      </c>
      <c r="BM28" s="89">
        <f t="shared" ca="1" si="14"/>
        <v>12</v>
      </c>
      <c r="BN28" s="89" t="str">
        <f t="shared" ca="1" si="15"/>
        <v>S4!B270:L286</v>
      </c>
      <c r="BO28" s="89" t="str">
        <f t="shared" ca="1" si="16"/>
        <v>e</v>
      </c>
      <c r="BP28" s="89" t="str">
        <f t="shared" ca="1" si="17"/>
        <v>w</v>
      </c>
      <c r="BQ28" s="89" t="str">
        <f t="shared" ca="1" si="18"/>
        <v>w</v>
      </c>
      <c r="BR28" s="87" t="str">
        <f t="shared" ca="1" si="19"/>
        <v/>
      </c>
      <c r="BS28" s="89" t="str">
        <f t="shared" ca="1" si="20"/>
        <v/>
      </c>
      <c r="BT28" s="89" t="str">
        <f t="shared" ca="1" si="21"/>
        <v/>
      </c>
      <c r="BU28" s="89" t="str">
        <f t="shared" ca="1" si="22"/>
        <v/>
      </c>
      <c r="BV28" s="87" t="str">
        <f t="shared" ca="1" si="23"/>
        <v/>
      </c>
      <c r="BW28" s="87" t="str">
        <f t="shared" ca="1" si="24"/>
        <v>17040310</v>
      </c>
      <c r="BX28" s="89">
        <f t="shared" ca="1" si="25"/>
        <v>0</v>
      </c>
    </row>
    <row r="29" spans="1:76">
      <c r="A29" s="90" t="str">
        <f t="shared" si="2"/>
        <v/>
      </c>
      <c r="B29" s="98">
        <v>8</v>
      </c>
      <c r="C29" s="94">
        <v>1</v>
      </c>
      <c r="D29" s="94">
        <v>3</v>
      </c>
      <c r="E29" s="94">
        <v>-4</v>
      </c>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1">
        <f t="shared" ca="1" si="3"/>
        <v>288</v>
      </c>
      <c r="BB29" s="88" t="str">
        <f t="shared" ca="1" si="4"/>
        <v>A270:A1200</v>
      </c>
      <c r="BC29" s="89" t="str">
        <f t="shared" ca="1" si="5"/>
        <v>B288</v>
      </c>
      <c r="BD29" s="89">
        <f ca="1">IF(BC29=0,0,RANK(BF29,$BF$11:$BF$70,0)+(COUNTIF($BF29:$BF$70,BF29)-1))</f>
        <v>16</v>
      </c>
      <c r="BE29" s="89" t="str">
        <f t="shared" ca="1" si="6"/>
        <v>170404</v>
      </c>
      <c r="BF29" s="89">
        <f t="shared" ca="1" si="7"/>
        <v>17040409</v>
      </c>
      <c r="BG29" s="89">
        <f t="shared" ca="1" si="8"/>
        <v>17</v>
      </c>
      <c r="BH29" s="89">
        <f t="shared" ca="1" si="9"/>
        <v>4</v>
      </c>
      <c r="BI29" s="89" t="str">
        <f t="shared" ca="1" si="10"/>
        <v>B306</v>
      </c>
      <c r="BJ29" s="89">
        <f t="shared" ca="1" si="11"/>
        <v>4</v>
      </c>
      <c r="BK29" s="89">
        <f t="shared" ca="1" si="12"/>
        <v>9</v>
      </c>
      <c r="BL29" s="89">
        <f t="shared" ca="1" si="13"/>
        <v>34</v>
      </c>
      <c r="BM29" s="89">
        <f t="shared" ca="1" si="14"/>
        <v>11</v>
      </c>
      <c r="BN29" s="89" t="str">
        <f t="shared" ca="1" si="15"/>
        <v>S4!B289:K305</v>
      </c>
      <c r="BO29" s="89" t="str">
        <f t="shared" ca="1" si="16"/>
        <v>e</v>
      </c>
      <c r="BP29" s="89" t="str">
        <f t="shared" ca="1" si="17"/>
        <v>b</v>
      </c>
      <c r="BQ29" s="89" t="str">
        <f t="shared" ca="1" si="18"/>
        <v/>
      </c>
      <c r="BR29" s="87" t="str">
        <f t="shared" ca="1" si="19"/>
        <v/>
      </c>
      <c r="BS29" s="89" t="str">
        <f t="shared" ca="1" si="20"/>
        <v>a</v>
      </c>
      <c r="BT29" s="89" t="str">
        <f t="shared" ca="1" si="21"/>
        <v/>
      </c>
      <c r="BU29" s="89" t="str">
        <f t="shared" ca="1" si="22"/>
        <v/>
      </c>
      <c r="BV29" s="87" t="str">
        <f t="shared" ca="1" si="23"/>
        <v/>
      </c>
      <c r="BW29" s="87" t="str">
        <f t="shared" ca="1" si="24"/>
        <v>17040409</v>
      </c>
      <c r="BX29" s="89">
        <f t="shared" ca="1" si="25"/>
        <v>0</v>
      </c>
    </row>
    <row r="30" spans="1:76">
      <c r="A30" s="90" t="str">
        <f t="shared" si="2"/>
        <v/>
      </c>
      <c r="B30" s="98" t="s">
        <v>262</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1">
        <f t="shared" ca="1" si="3"/>
        <v>307</v>
      </c>
      <c r="BB30" s="88" t="str">
        <f t="shared" ca="1" si="4"/>
        <v>A289:A1200</v>
      </c>
      <c r="BC30" s="89" t="str">
        <f t="shared" ca="1" si="5"/>
        <v>B307</v>
      </c>
      <c r="BD30" s="89">
        <f ca="1">IF(BC30=0,0,RANK(BF30,$BF$11:$BF$70,0)+(COUNTIF($BF30:$BF$70,BF30)-1))</f>
        <v>14</v>
      </c>
      <c r="BE30" s="89" t="str">
        <f t="shared" ca="1" si="6"/>
        <v>180402</v>
      </c>
      <c r="BF30" s="89">
        <f t="shared" ca="1" si="7"/>
        <v>18040218</v>
      </c>
      <c r="BG30" s="89">
        <f t="shared" ca="1" si="8"/>
        <v>18</v>
      </c>
      <c r="BH30" s="89">
        <f t="shared" ca="1" si="9"/>
        <v>2</v>
      </c>
      <c r="BI30" s="89" t="str">
        <f t="shared" ca="1" si="10"/>
        <v>B326</v>
      </c>
      <c r="BJ30" s="89">
        <f t="shared" ca="1" si="11"/>
        <v>8</v>
      </c>
      <c r="BK30" s="89">
        <f t="shared" ca="1" si="12"/>
        <v>18</v>
      </c>
      <c r="BL30" s="89">
        <f t="shared" ca="1" si="13"/>
        <v>72</v>
      </c>
      <c r="BM30" s="89">
        <f t="shared" ca="1" si="14"/>
        <v>20</v>
      </c>
      <c r="BN30" s="89" t="str">
        <f t="shared" ca="1" si="15"/>
        <v>S4!B308:T325</v>
      </c>
      <c r="BO30" s="89" t="str">
        <f t="shared" ca="1" si="16"/>
        <v>e</v>
      </c>
      <c r="BP30" s="89" t="str">
        <f t="shared" ca="1" si="17"/>
        <v>b</v>
      </c>
      <c r="BQ30" s="89" t="str">
        <f t="shared" ca="1" si="18"/>
        <v/>
      </c>
      <c r="BR30" s="87" t="str">
        <f t="shared" ca="1" si="19"/>
        <v/>
      </c>
      <c r="BS30" s="89" t="str">
        <f t="shared" ca="1" si="20"/>
        <v/>
      </c>
      <c r="BT30" s="89" t="str">
        <f t="shared" ca="1" si="21"/>
        <v/>
      </c>
      <c r="BU30" s="89" t="str">
        <f t="shared" ca="1" si="22"/>
        <v/>
      </c>
      <c r="BV30" s="87" t="str">
        <f t="shared" ca="1" si="23"/>
        <v/>
      </c>
      <c r="BW30" s="87" t="str">
        <f t="shared" ca="1" si="24"/>
        <v>18040218</v>
      </c>
      <c r="BX30" s="89">
        <f t="shared" ca="1" si="25"/>
        <v>0</v>
      </c>
    </row>
    <row r="31" spans="1:76">
      <c r="A31" s="90">
        <f t="shared" si="2"/>
        <v>31</v>
      </c>
      <c r="B31" s="98" t="s">
        <v>263</v>
      </c>
      <c r="C31" s="94"/>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1">
        <f t="shared" ca="1" si="3"/>
        <v>327</v>
      </c>
      <c r="BB31" s="88" t="str">
        <f t="shared" ca="1" si="4"/>
        <v>A308:A1200</v>
      </c>
      <c r="BC31" s="89" t="str">
        <f t="shared" ca="1" si="5"/>
        <v>B327</v>
      </c>
      <c r="BD31" s="89">
        <f ca="1">IF(BC31=0,0,RANK(BF31,$BF$11:$BF$70,0)+(COUNTIF($BF31:$BF$70,BF31)-1))</f>
        <v>9</v>
      </c>
      <c r="BE31" s="89" t="str">
        <f t="shared" ca="1" si="6"/>
        <v>180404</v>
      </c>
      <c r="BF31" s="89">
        <f t="shared" ca="1" si="7"/>
        <v>18040409</v>
      </c>
      <c r="BG31" s="89">
        <f t="shared" ca="1" si="8"/>
        <v>18</v>
      </c>
      <c r="BH31" s="89">
        <f t="shared" ca="1" si="9"/>
        <v>4</v>
      </c>
      <c r="BI31" s="89" t="str">
        <f t="shared" ca="1" si="10"/>
        <v>B346</v>
      </c>
      <c r="BJ31" s="89">
        <f t="shared" ca="1" si="11"/>
        <v>4</v>
      </c>
      <c r="BK31" s="89">
        <f t="shared" ca="1" si="12"/>
        <v>9</v>
      </c>
      <c r="BL31" s="89">
        <f t="shared" ca="1" si="13"/>
        <v>36</v>
      </c>
      <c r="BM31" s="89">
        <f t="shared" ca="1" si="14"/>
        <v>11</v>
      </c>
      <c r="BN31" s="89" t="str">
        <f t="shared" ca="1" si="15"/>
        <v>S4!B328:K345</v>
      </c>
      <c r="BO31" s="89" t="str">
        <f t="shared" ca="1" si="16"/>
        <v>e</v>
      </c>
      <c r="BP31" s="89" t="str">
        <f t="shared" ca="1" si="17"/>
        <v>b</v>
      </c>
      <c r="BQ31" s="89" t="str">
        <f t="shared" ca="1" si="18"/>
        <v/>
      </c>
      <c r="BR31" s="87" t="str">
        <f t="shared" ca="1" si="19"/>
        <v/>
      </c>
      <c r="BS31" s="89" t="str">
        <f t="shared" ca="1" si="20"/>
        <v>a</v>
      </c>
      <c r="BT31" s="89" t="str">
        <f t="shared" ca="1" si="21"/>
        <v/>
      </c>
      <c r="BU31" s="89" t="str">
        <f t="shared" ca="1" si="22"/>
        <v/>
      </c>
      <c r="BV31" s="87" t="str">
        <f t="shared" ca="1" si="23"/>
        <v/>
      </c>
      <c r="BW31" s="87" t="str">
        <f t="shared" ca="1" si="24"/>
        <v>18040409</v>
      </c>
      <c r="BX31" s="89">
        <f t="shared" ca="1" si="25"/>
        <v>0</v>
      </c>
    </row>
    <row r="32" spans="1:76">
      <c r="A32" s="90" t="str">
        <f t="shared" si="2"/>
        <v/>
      </c>
      <c r="B32" s="98">
        <v>1</v>
      </c>
      <c r="C32" s="94" t="s">
        <v>202</v>
      </c>
      <c r="D32" s="94">
        <v>-4</v>
      </c>
      <c r="E32" s="94">
        <v>-1</v>
      </c>
      <c r="F32" s="94">
        <v>3</v>
      </c>
      <c r="G32" s="94">
        <v>-2</v>
      </c>
      <c r="H32" s="94">
        <v>4</v>
      </c>
      <c r="I32" s="94">
        <v>1</v>
      </c>
      <c r="J32" s="94">
        <v>-3</v>
      </c>
      <c r="K32" s="94">
        <v>2</v>
      </c>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1">
        <f t="shared" ca="1" si="3"/>
        <v>347</v>
      </c>
      <c r="BB32" s="88" t="str">
        <f t="shared" ca="1" si="4"/>
        <v>A328:A1200</v>
      </c>
      <c r="BC32" s="89" t="str">
        <f t="shared" ca="1" si="5"/>
        <v>B347</v>
      </c>
      <c r="BD32" s="89">
        <f ca="1">IF(BC32=0,0,RANK(BF32,$BF$11:$BF$70,0)+(COUNTIF($BF32:$BF$70,BF32)-1))</f>
        <v>6</v>
      </c>
      <c r="BE32" s="89" t="str">
        <f t="shared" ca="1" si="6"/>
        <v>190404</v>
      </c>
      <c r="BF32" s="89">
        <f t="shared" ca="1" si="7"/>
        <v>19040410</v>
      </c>
      <c r="BG32" s="89">
        <f t="shared" ca="1" si="8"/>
        <v>19</v>
      </c>
      <c r="BH32" s="89">
        <f t="shared" ca="1" si="9"/>
        <v>4</v>
      </c>
      <c r="BI32" s="89" t="str">
        <f t="shared" ca="1" si="10"/>
        <v>B367</v>
      </c>
      <c r="BJ32" s="89">
        <f t="shared" ca="1" si="11"/>
        <v>4</v>
      </c>
      <c r="BK32" s="89">
        <f t="shared" ca="1" si="12"/>
        <v>10</v>
      </c>
      <c r="BL32" s="89">
        <f t="shared" ca="1" si="13"/>
        <v>38</v>
      </c>
      <c r="BM32" s="89">
        <f t="shared" ca="1" si="14"/>
        <v>12</v>
      </c>
      <c r="BN32" s="89" t="str">
        <f t="shared" ca="1" si="15"/>
        <v>S4!B348:L366</v>
      </c>
      <c r="BO32" s="89" t="str">
        <f t="shared" ca="1" si="16"/>
        <v>e</v>
      </c>
      <c r="BP32" s="89" t="str">
        <f t="shared" ca="1" si="17"/>
        <v>b</v>
      </c>
      <c r="BQ32" s="89" t="str">
        <f t="shared" ca="1" si="18"/>
        <v/>
      </c>
      <c r="BR32" s="87" t="str">
        <f t="shared" ca="1" si="19"/>
        <v/>
      </c>
      <c r="BS32" s="89" t="str">
        <f t="shared" ca="1" si="20"/>
        <v>a</v>
      </c>
      <c r="BT32" s="89" t="str">
        <f t="shared" ca="1" si="21"/>
        <v/>
      </c>
      <c r="BU32" s="89" t="str">
        <f t="shared" ca="1" si="22"/>
        <v/>
      </c>
      <c r="BV32" s="87" t="str">
        <f t="shared" ca="1" si="23"/>
        <v/>
      </c>
      <c r="BW32" s="87" t="str">
        <f t="shared" ca="1" si="24"/>
        <v>19040410</v>
      </c>
      <c r="BX32" s="89">
        <f t="shared" ca="1" si="25"/>
        <v>0</v>
      </c>
    </row>
    <row r="33" spans="1:76">
      <c r="A33" s="90" t="str">
        <f t="shared" si="2"/>
        <v/>
      </c>
      <c r="B33" s="98">
        <v>2</v>
      </c>
      <c r="C33" s="94">
        <v>2</v>
      </c>
      <c r="D33" s="94">
        <v>-1</v>
      </c>
      <c r="E33" s="94">
        <v>3</v>
      </c>
      <c r="F33" s="94">
        <v>-4</v>
      </c>
      <c r="G33" s="94" t="s">
        <v>202</v>
      </c>
      <c r="H33" s="94">
        <v>1</v>
      </c>
      <c r="I33" s="94">
        <v>-3</v>
      </c>
      <c r="J33" s="94">
        <v>4</v>
      </c>
      <c r="K33" s="94">
        <v>-2</v>
      </c>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1">
        <f t="shared" ca="1" si="3"/>
        <v>368</v>
      </c>
      <c r="BB33" s="88" t="str">
        <f t="shared" ca="1" si="4"/>
        <v>A348:A1200</v>
      </c>
      <c r="BC33" s="89" t="str">
        <f t="shared" ca="1" si="5"/>
        <v>B368</v>
      </c>
      <c r="BD33" s="89">
        <f ca="1">IF(BC33=0,0,RANK(BF33,$BF$11:$BF$70,0)+(COUNTIF($BF33:$BF$70,BF33)-1))</f>
        <v>3</v>
      </c>
      <c r="BE33" s="89" t="str">
        <f t="shared" ca="1" si="6"/>
        <v>200404</v>
      </c>
      <c r="BF33" s="89">
        <f t="shared" ca="1" si="7"/>
        <v>20040410</v>
      </c>
      <c r="BG33" s="89">
        <f t="shared" ca="1" si="8"/>
        <v>20</v>
      </c>
      <c r="BH33" s="89">
        <f t="shared" ca="1" si="9"/>
        <v>4</v>
      </c>
      <c r="BI33" s="89" t="str">
        <f t="shared" ca="1" si="10"/>
        <v>B389</v>
      </c>
      <c r="BJ33" s="89">
        <f t="shared" ca="1" si="11"/>
        <v>4</v>
      </c>
      <c r="BK33" s="89">
        <f t="shared" ca="1" si="12"/>
        <v>10</v>
      </c>
      <c r="BL33" s="89">
        <f t="shared" ca="1" si="13"/>
        <v>40</v>
      </c>
      <c r="BM33" s="89">
        <f t="shared" ca="1" si="14"/>
        <v>12</v>
      </c>
      <c r="BN33" s="89" t="str">
        <f t="shared" ca="1" si="15"/>
        <v>S4!B369:L388</v>
      </c>
      <c r="BO33" s="89" t="str">
        <f t="shared" ca="1" si="16"/>
        <v>e</v>
      </c>
      <c r="BP33" s="89" t="str">
        <f t="shared" ca="1" si="17"/>
        <v>b</v>
      </c>
      <c r="BQ33" s="89" t="str">
        <f t="shared" ca="1" si="18"/>
        <v/>
      </c>
      <c r="BR33" s="87" t="str">
        <f t="shared" ca="1" si="19"/>
        <v/>
      </c>
      <c r="BS33" s="89" t="str">
        <f t="shared" ca="1" si="20"/>
        <v/>
      </c>
      <c r="BT33" s="89" t="str">
        <f t="shared" ca="1" si="21"/>
        <v/>
      </c>
      <c r="BU33" s="89" t="str">
        <f t="shared" ca="1" si="22"/>
        <v/>
      </c>
      <c r="BV33" s="87" t="str">
        <f t="shared" ca="1" si="23"/>
        <v/>
      </c>
      <c r="BW33" s="87" t="str">
        <f t="shared" ca="1" si="24"/>
        <v>20040410</v>
      </c>
      <c r="BX33" s="89">
        <f t="shared" ca="1" si="25"/>
        <v>0</v>
      </c>
    </row>
    <row r="34" spans="1:76">
      <c r="A34" s="90" t="str">
        <f t="shared" si="2"/>
        <v/>
      </c>
      <c r="B34" s="98">
        <v>3</v>
      </c>
      <c r="C34" s="94">
        <v>-1</v>
      </c>
      <c r="D34" s="94">
        <v>4</v>
      </c>
      <c r="E34" s="94">
        <v>-2</v>
      </c>
      <c r="F34" s="94" t="s">
        <v>202</v>
      </c>
      <c r="G34" s="94">
        <v>1</v>
      </c>
      <c r="H34" s="94">
        <v>-3</v>
      </c>
      <c r="I34" s="94">
        <v>2</v>
      </c>
      <c r="J34" s="94">
        <v>-4</v>
      </c>
      <c r="K34" s="94">
        <v>3</v>
      </c>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1">
        <f t="shared" ca="1" si="3"/>
        <v>390</v>
      </c>
      <c r="BB34" s="88" t="str">
        <f t="shared" ca="1" si="4"/>
        <v>A369:A1200</v>
      </c>
      <c r="BC34" s="89" t="str">
        <f t="shared" ca="1" si="5"/>
        <v>B390</v>
      </c>
      <c r="BD34" s="89">
        <f ca="1">IF(BC34=0,0,RANK(BF34,$BF$11:$BF$70,0)+(COUNTIF($BF34:$BF$70,BF34)-1))</f>
        <v>49</v>
      </c>
      <c r="BE34" s="89" t="str">
        <f t="shared" ca="1" si="6"/>
        <v>120401</v>
      </c>
      <c r="BF34" s="89">
        <f t="shared" ca="1" si="7"/>
        <v>12040117</v>
      </c>
      <c r="BG34" s="89">
        <f t="shared" ca="1" si="8"/>
        <v>12</v>
      </c>
      <c r="BH34" s="89">
        <f t="shared" ca="1" si="9"/>
        <v>1</v>
      </c>
      <c r="BI34" s="89" t="str">
        <f t="shared" ca="1" si="10"/>
        <v>B403</v>
      </c>
      <c r="BJ34" s="89">
        <f t="shared" ca="1" si="11"/>
        <v>11</v>
      </c>
      <c r="BK34" s="89">
        <f t="shared" ca="1" si="12"/>
        <v>17</v>
      </c>
      <c r="BL34" s="89">
        <f t="shared" ca="1" si="13"/>
        <v>66</v>
      </c>
      <c r="BM34" s="89">
        <f t="shared" ca="1" si="14"/>
        <v>19</v>
      </c>
      <c r="BN34" s="89" t="str">
        <f t="shared" ca="1" si="15"/>
        <v>S4!B391:S402</v>
      </c>
      <c r="BO34" s="89" t="str">
        <f t="shared" ca="1" si="16"/>
        <v>c</v>
      </c>
      <c r="BP34" s="89" t="str">
        <f t="shared" ca="1" si="17"/>
        <v/>
      </c>
      <c r="BQ34" s="89" t="str">
        <f t="shared" ca="1" si="18"/>
        <v/>
      </c>
      <c r="BR34" s="87" t="str">
        <f t="shared" ca="1" si="19"/>
        <v/>
      </c>
      <c r="BS34" s="89" t="str">
        <f t="shared" ca="1" si="20"/>
        <v/>
      </c>
      <c r="BT34" s="89" t="str">
        <f t="shared" ca="1" si="21"/>
        <v/>
      </c>
      <c r="BU34" s="89" t="str">
        <f t="shared" ca="1" si="22"/>
        <v/>
      </c>
      <c r="BV34" s="87" t="str">
        <f t="shared" ca="1" si="23"/>
        <v>c</v>
      </c>
      <c r="BW34" s="87" t="str">
        <f t="shared" ca="1" si="24"/>
        <v>12040117</v>
      </c>
      <c r="BX34" s="89" t="str">
        <f t="shared" ca="1" si="25"/>
        <v>23</v>
      </c>
    </row>
    <row r="35" spans="1:76">
      <c r="A35" s="90" t="str">
        <f t="shared" si="2"/>
        <v/>
      </c>
      <c r="B35" s="98">
        <v>4</v>
      </c>
      <c r="C35" s="94">
        <v>-2</v>
      </c>
      <c r="D35" s="94">
        <v>3</v>
      </c>
      <c r="E35" s="94">
        <v>-4</v>
      </c>
      <c r="F35" s="94">
        <v>-1</v>
      </c>
      <c r="G35" s="94">
        <v>2</v>
      </c>
      <c r="H35" s="94" t="s">
        <v>202</v>
      </c>
      <c r="I35" s="94">
        <v>4</v>
      </c>
      <c r="J35" s="94">
        <v>1</v>
      </c>
      <c r="K35" s="94">
        <v>-3</v>
      </c>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1">
        <f t="shared" ca="1" si="3"/>
        <v>404</v>
      </c>
      <c r="BB35" s="88" t="str">
        <f t="shared" ca="1" si="4"/>
        <v>A391:A1200</v>
      </c>
      <c r="BC35" s="89" t="str">
        <f t="shared" ca="1" si="5"/>
        <v>B404</v>
      </c>
      <c r="BD35" s="89">
        <f ca="1">IF(BC35=0,0,RANK(BF35,$BF$11:$BF$70,0)+(COUNTIF($BF35:$BF$70,BF35)-1))</f>
        <v>43</v>
      </c>
      <c r="BE35" s="89" t="str">
        <f t="shared" ca="1" si="6"/>
        <v>130401</v>
      </c>
      <c r="BF35" s="89">
        <f t="shared" ca="1" si="7"/>
        <v>13040120</v>
      </c>
      <c r="BG35" s="89">
        <f t="shared" ca="1" si="8"/>
        <v>13</v>
      </c>
      <c r="BH35" s="89">
        <f t="shared" ca="1" si="9"/>
        <v>1</v>
      </c>
      <c r="BI35" s="89" t="str">
        <f t="shared" ca="1" si="10"/>
        <v>B418</v>
      </c>
      <c r="BJ35" s="89">
        <f t="shared" ca="1" si="11"/>
        <v>12</v>
      </c>
      <c r="BK35" s="89">
        <f t="shared" ca="1" si="12"/>
        <v>20</v>
      </c>
      <c r="BL35" s="89">
        <f t="shared" ca="1" si="13"/>
        <v>78</v>
      </c>
      <c r="BM35" s="89">
        <f t="shared" ca="1" si="14"/>
        <v>22</v>
      </c>
      <c r="BN35" s="89" t="str">
        <f t="shared" ca="1" si="15"/>
        <v>S4!B405:V417</v>
      </c>
      <c r="BO35" s="89" t="str">
        <f t="shared" ca="1" si="16"/>
        <v>c</v>
      </c>
      <c r="BP35" s="89" t="str">
        <f t="shared" ca="1" si="17"/>
        <v/>
      </c>
      <c r="BQ35" s="89" t="str">
        <f t="shared" ca="1" si="18"/>
        <v/>
      </c>
      <c r="BR35" s="87" t="str">
        <f t="shared" ca="1" si="19"/>
        <v/>
      </c>
      <c r="BS35" s="89" t="str">
        <f t="shared" ca="1" si="20"/>
        <v/>
      </c>
      <c r="BT35" s="89" t="str">
        <f t="shared" ca="1" si="21"/>
        <v/>
      </c>
      <c r="BU35" s="89" t="str">
        <f t="shared" ca="1" si="22"/>
        <v/>
      </c>
      <c r="BV35" s="87" t="str">
        <f t="shared" ca="1" si="23"/>
        <v>c</v>
      </c>
      <c r="BW35" s="87" t="str">
        <f t="shared" ca="1" si="24"/>
        <v>13040120</v>
      </c>
      <c r="BX35" s="89" t="str">
        <f t="shared" ca="1" si="25"/>
        <v>23</v>
      </c>
    </row>
    <row r="36" spans="1:76">
      <c r="A36" s="90" t="str">
        <f t="shared" si="2"/>
        <v/>
      </c>
      <c r="B36" s="98">
        <v>5</v>
      </c>
      <c r="C36" s="94">
        <v>1</v>
      </c>
      <c r="D36" s="94">
        <v>-2</v>
      </c>
      <c r="E36" s="94" t="s">
        <v>202</v>
      </c>
      <c r="F36" s="94">
        <v>4</v>
      </c>
      <c r="G36" s="94">
        <v>-3</v>
      </c>
      <c r="H36" s="94">
        <v>2</v>
      </c>
      <c r="I36" s="94">
        <v>-4</v>
      </c>
      <c r="J36" s="94">
        <v>3</v>
      </c>
      <c r="K36" s="94">
        <v>-1</v>
      </c>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1">
        <f t="shared" ca="1" si="3"/>
        <v>419</v>
      </c>
      <c r="BB36" s="88" t="str">
        <f t="shared" ca="1" si="4"/>
        <v>A405:A1200</v>
      </c>
      <c r="BC36" s="89" t="str">
        <f t="shared" ca="1" si="5"/>
        <v>B419</v>
      </c>
      <c r="BD36" s="89">
        <f ca="1">IF(BC36=0,0,RANK(BF36,$BF$11:$BF$70,0)+(COUNTIF($BF36:$BF$70,BF36)-1))</f>
        <v>37</v>
      </c>
      <c r="BE36" s="89" t="str">
        <f t="shared" ca="1" si="6"/>
        <v>140401</v>
      </c>
      <c r="BF36" s="89">
        <f t="shared" ca="1" si="7"/>
        <v>14040126</v>
      </c>
      <c r="BG36" s="89">
        <f t="shared" ca="1" si="8"/>
        <v>14</v>
      </c>
      <c r="BH36" s="89">
        <f t="shared" ca="1" si="9"/>
        <v>1</v>
      </c>
      <c r="BI36" s="89" t="str">
        <f t="shared" ca="1" si="10"/>
        <v>B434</v>
      </c>
      <c r="BJ36" s="89">
        <f t="shared" ca="1" si="11"/>
        <v>13</v>
      </c>
      <c r="BK36" s="89">
        <f t="shared" ca="1" si="12"/>
        <v>26</v>
      </c>
      <c r="BL36" s="89">
        <f t="shared" ca="1" si="13"/>
        <v>91</v>
      </c>
      <c r="BM36" s="89">
        <f t="shared" ca="1" si="14"/>
        <v>28</v>
      </c>
      <c r="BN36" s="89" t="str">
        <f t="shared" ca="1" si="15"/>
        <v>S4!B420:AB433</v>
      </c>
      <c r="BO36" s="89" t="str">
        <f t="shared" ca="1" si="16"/>
        <v>c</v>
      </c>
      <c r="BP36" s="89" t="str">
        <f t="shared" ca="1" si="17"/>
        <v/>
      </c>
      <c r="BQ36" s="89" t="str">
        <f t="shared" ca="1" si="18"/>
        <v/>
      </c>
      <c r="BR36" s="87" t="str">
        <f t="shared" ca="1" si="19"/>
        <v/>
      </c>
      <c r="BS36" s="89" t="str">
        <f t="shared" ca="1" si="20"/>
        <v/>
      </c>
      <c r="BT36" s="89" t="str">
        <f t="shared" ca="1" si="21"/>
        <v/>
      </c>
      <c r="BU36" s="89" t="str">
        <f t="shared" ca="1" si="22"/>
        <v/>
      </c>
      <c r="BV36" s="87" t="str">
        <f t="shared" ca="1" si="23"/>
        <v>c</v>
      </c>
      <c r="BW36" s="87" t="str">
        <f t="shared" ca="1" si="24"/>
        <v>14040126</v>
      </c>
      <c r="BX36" s="89" t="str">
        <f t="shared" ca="1" si="25"/>
        <v>24</v>
      </c>
    </row>
    <row r="37" spans="1:76">
      <c r="A37" s="90" t="str">
        <f t="shared" si="2"/>
        <v/>
      </c>
      <c r="B37" s="98">
        <v>6</v>
      </c>
      <c r="C37" s="94">
        <v>-3</v>
      </c>
      <c r="D37" s="94" t="s">
        <v>202</v>
      </c>
      <c r="E37" s="94">
        <v>4</v>
      </c>
      <c r="F37" s="94">
        <v>-2</v>
      </c>
      <c r="G37" s="94">
        <v>-1</v>
      </c>
      <c r="H37" s="94">
        <v>-4</v>
      </c>
      <c r="I37" s="94">
        <v>3</v>
      </c>
      <c r="J37" s="94">
        <v>2</v>
      </c>
      <c r="K37" s="94">
        <v>1</v>
      </c>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1">
        <f t="shared" ca="1" si="3"/>
        <v>435</v>
      </c>
      <c r="BB37" s="88" t="str">
        <f t="shared" ca="1" si="4"/>
        <v>A420:A1200</v>
      </c>
      <c r="BC37" s="89" t="str">
        <f t="shared" ca="1" si="5"/>
        <v>B435</v>
      </c>
      <c r="BD37" s="89">
        <f ca="1">IF(BC37=0,0,RANK(BF37,$BF$11:$BF$70,0)+(COUNTIF($BF37:$BF$70,BF37)-1))</f>
        <v>36</v>
      </c>
      <c r="BE37" s="89" t="str">
        <f t="shared" ca="1" si="6"/>
        <v>140402</v>
      </c>
      <c r="BF37" s="89">
        <f t="shared" ca="1" si="7"/>
        <v>14040211</v>
      </c>
      <c r="BG37" s="89">
        <f t="shared" ca="1" si="8"/>
        <v>14</v>
      </c>
      <c r="BH37" s="89">
        <f t="shared" ca="1" si="9"/>
        <v>2</v>
      </c>
      <c r="BI37" s="89" t="str">
        <f t="shared" ca="1" si="10"/>
        <v>B450</v>
      </c>
      <c r="BJ37" s="89">
        <f t="shared" ca="1" si="11"/>
        <v>6</v>
      </c>
      <c r="BK37" s="89">
        <f t="shared" ca="1" si="12"/>
        <v>11</v>
      </c>
      <c r="BL37" s="89">
        <f t="shared" ca="1" si="13"/>
        <v>42</v>
      </c>
      <c r="BM37" s="89">
        <f t="shared" ca="1" si="14"/>
        <v>13</v>
      </c>
      <c r="BN37" s="89" t="str">
        <f t="shared" ca="1" si="15"/>
        <v>S4!B436:M449</v>
      </c>
      <c r="BO37" s="89" t="str">
        <f t="shared" ca="1" si="16"/>
        <v>c</v>
      </c>
      <c r="BP37" s="89" t="str">
        <f t="shared" ca="1" si="17"/>
        <v/>
      </c>
      <c r="BQ37" s="89" t="str">
        <f t="shared" ca="1" si="18"/>
        <v/>
      </c>
      <c r="BR37" s="87" t="str">
        <f t="shared" ca="1" si="19"/>
        <v/>
      </c>
      <c r="BS37" s="89" t="str">
        <f t="shared" ca="1" si="20"/>
        <v/>
      </c>
      <c r="BT37" s="89" t="str">
        <f t="shared" ca="1" si="21"/>
        <v/>
      </c>
      <c r="BU37" s="89" t="str">
        <f t="shared" ca="1" si="22"/>
        <v/>
      </c>
      <c r="BV37" s="87" t="str">
        <f t="shared" ca="1" si="23"/>
        <v>c</v>
      </c>
      <c r="BW37" s="87" t="str">
        <f t="shared" ca="1" si="24"/>
        <v>14040211</v>
      </c>
      <c r="BX37" s="89" t="str">
        <f t="shared" ca="1" si="25"/>
        <v>23</v>
      </c>
    </row>
    <row r="38" spans="1:76">
      <c r="A38" s="90" t="str">
        <f t="shared" si="2"/>
        <v/>
      </c>
      <c r="B38" s="98">
        <v>7</v>
      </c>
      <c r="C38" s="94">
        <v>3</v>
      </c>
      <c r="D38" s="94">
        <v>1</v>
      </c>
      <c r="E38" s="94">
        <v>2</v>
      </c>
      <c r="F38" s="94">
        <v>-3</v>
      </c>
      <c r="G38" s="94">
        <v>4</v>
      </c>
      <c r="H38" s="94">
        <v>-2</v>
      </c>
      <c r="I38" s="94" t="s">
        <v>202</v>
      </c>
      <c r="J38" s="94">
        <v>-1</v>
      </c>
      <c r="K38" s="94">
        <v>-4</v>
      </c>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c r="BA38" s="91">
        <f t="shared" ca="1" si="3"/>
        <v>451</v>
      </c>
      <c r="BB38" s="88" t="str">
        <f t="shared" ca="1" si="4"/>
        <v>A436:A1200</v>
      </c>
      <c r="BC38" s="89" t="str">
        <f t="shared" ca="1" si="5"/>
        <v>B451</v>
      </c>
      <c r="BD38" s="89">
        <f ca="1">IF(BC38=0,0,RANK(BF38,$BF$11:$BF$70,0)+(COUNTIF($BF38:$BF$70,BF38)-1))</f>
        <v>5</v>
      </c>
      <c r="BE38" s="89" t="str">
        <f t="shared" ca="1" si="6"/>
        <v>200402</v>
      </c>
      <c r="BF38" s="89">
        <f t="shared" ca="1" si="7"/>
        <v>20040223</v>
      </c>
      <c r="BG38" s="89">
        <f t="shared" ca="1" si="8"/>
        <v>20</v>
      </c>
      <c r="BH38" s="89">
        <f t="shared" ca="1" si="9"/>
        <v>2</v>
      </c>
      <c r="BI38" s="89" t="str">
        <f t="shared" ca="1" si="10"/>
        <v>B472</v>
      </c>
      <c r="BJ38" s="89">
        <f t="shared" ca="1" si="11"/>
        <v>9</v>
      </c>
      <c r="BK38" s="89">
        <f t="shared" ca="1" si="12"/>
        <v>23</v>
      </c>
      <c r="BL38" s="89">
        <f t="shared" ca="1" si="13"/>
        <v>90</v>
      </c>
      <c r="BM38" s="89">
        <f t="shared" ca="1" si="14"/>
        <v>25</v>
      </c>
      <c r="BN38" s="89" t="str">
        <f t="shared" ca="1" si="15"/>
        <v>S4!B452:Y471</v>
      </c>
      <c r="BO38" s="89" t="str">
        <f t="shared" ca="1" si="16"/>
        <v>c</v>
      </c>
      <c r="BP38" s="89" t="str">
        <f t="shared" ca="1" si="17"/>
        <v/>
      </c>
      <c r="BQ38" s="89" t="str">
        <f t="shared" ca="1" si="18"/>
        <v/>
      </c>
      <c r="BR38" s="87" t="str">
        <f t="shared" ca="1" si="19"/>
        <v/>
      </c>
      <c r="BS38" s="89" t="str">
        <f t="shared" ca="1" si="20"/>
        <v/>
      </c>
      <c r="BT38" s="89" t="str">
        <f t="shared" ca="1" si="21"/>
        <v/>
      </c>
      <c r="BU38" s="89" t="str">
        <f t="shared" ca="1" si="22"/>
        <v/>
      </c>
      <c r="BV38" s="87" t="str">
        <f t="shared" ca="1" si="23"/>
        <v>c</v>
      </c>
      <c r="BW38" s="87" t="str">
        <f t="shared" ca="1" si="24"/>
        <v>20040223</v>
      </c>
      <c r="BX38" s="89" t="str">
        <f t="shared" ca="1" si="25"/>
        <v>23</v>
      </c>
    </row>
    <row r="39" spans="1:76">
      <c r="A39" s="90" t="str">
        <f t="shared" si="2"/>
        <v/>
      </c>
      <c r="B39" s="98">
        <v>8</v>
      </c>
      <c r="C39" s="94">
        <v>-4</v>
      </c>
      <c r="D39" s="94">
        <v>-3</v>
      </c>
      <c r="E39" s="94">
        <v>1</v>
      </c>
      <c r="F39" s="94">
        <v>2</v>
      </c>
      <c r="G39" s="94">
        <v>3</v>
      </c>
      <c r="H39" s="94">
        <v>-1</v>
      </c>
      <c r="I39" s="94">
        <v>-2</v>
      </c>
      <c r="J39" s="94" t="s">
        <v>202</v>
      </c>
      <c r="K39" s="94">
        <v>4</v>
      </c>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1">
        <f t="shared" ca="1" si="3"/>
        <v>473</v>
      </c>
      <c r="BB39" s="88" t="str">
        <f t="shared" ca="1" si="4"/>
        <v>A452:A1200</v>
      </c>
      <c r="BC39" s="89" t="str">
        <f t="shared" ca="1" si="5"/>
        <v>B473</v>
      </c>
      <c r="BD39" s="89">
        <f ca="1">IF(BC39=0,0,RANK(BF39,$BF$11:$BF$70,0)+(COUNTIF($BF39:$BF$70,BF39)-1))</f>
        <v>51</v>
      </c>
      <c r="BE39" s="89" t="str">
        <f t="shared" ca="1" si="6"/>
        <v>110401</v>
      </c>
      <c r="BF39" s="89">
        <f t="shared" ca="1" si="7"/>
        <v>11040115</v>
      </c>
      <c r="BG39" s="89">
        <f t="shared" ca="1" si="8"/>
        <v>11</v>
      </c>
      <c r="BH39" s="89">
        <f t="shared" ca="1" si="9"/>
        <v>1</v>
      </c>
      <c r="BI39" s="89" t="str">
        <f t="shared" ca="1" si="10"/>
        <v>B485</v>
      </c>
      <c r="BJ39" s="89">
        <f t="shared" ca="1" si="11"/>
        <v>10</v>
      </c>
      <c r="BK39" s="89">
        <f t="shared" ca="1" si="12"/>
        <v>15</v>
      </c>
      <c r="BL39" s="89">
        <f t="shared" ca="1" si="13"/>
        <v>55</v>
      </c>
      <c r="BM39" s="89">
        <f t="shared" ca="1" si="14"/>
        <v>17</v>
      </c>
      <c r="BN39" s="89" t="str">
        <f t="shared" ca="1" si="15"/>
        <v>S4!B474:Q484</v>
      </c>
      <c r="BO39" s="89" t="str">
        <f t="shared" ca="1" si="16"/>
        <v>c</v>
      </c>
      <c r="BP39" s="89" t="str">
        <f t="shared" ca="1" si="17"/>
        <v/>
      </c>
      <c r="BQ39" s="89" t="str">
        <f t="shared" ca="1" si="18"/>
        <v/>
      </c>
      <c r="BR39" s="87" t="str">
        <f t="shared" ca="1" si="19"/>
        <v/>
      </c>
      <c r="BS39" s="89" t="str">
        <f t="shared" ca="1" si="20"/>
        <v/>
      </c>
      <c r="BT39" s="89" t="str">
        <f t="shared" ca="1" si="21"/>
        <v/>
      </c>
      <c r="BU39" s="89" t="str">
        <f t="shared" ca="1" si="22"/>
        <v/>
      </c>
      <c r="BV39" s="87" t="str">
        <f t="shared" ca="1" si="23"/>
        <v>c</v>
      </c>
      <c r="BW39" s="87" t="str">
        <f t="shared" ca="1" si="24"/>
        <v>11040115</v>
      </c>
      <c r="BX39" s="89" t="str">
        <f t="shared" ca="1" si="25"/>
        <v>33</v>
      </c>
    </row>
    <row r="40" spans="1:76">
      <c r="A40" s="90" t="str">
        <f t="shared" si="2"/>
        <v/>
      </c>
      <c r="B40" s="98">
        <v>9</v>
      </c>
      <c r="C40" s="94">
        <v>4</v>
      </c>
      <c r="D40" s="94">
        <v>2</v>
      </c>
      <c r="E40" s="94">
        <v>-3</v>
      </c>
      <c r="F40" s="94">
        <v>1</v>
      </c>
      <c r="G40" s="94">
        <v>-4</v>
      </c>
      <c r="H40" s="94">
        <v>3</v>
      </c>
      <c r="I40" s="94">
        <v>-1</v>
      </c>
      <c r="J40" s="94">
        <v>-2</v>
      </c>
      <c r="K40" s="94" t="s">
        <v>202</v>
      </c>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1">
        <f t="shared" ca="1" si="3"/>
        <v>486</v>
      </c>
      <c r="BB40" s="88" t="str">
        <f t="shared" ca="1" si="4"/>
        <v>A474:A1200</v>
      </c>
      <c r="BC40" s="89" t="str">
        <f t="shared" ca="1" si="5"/>
        <v>B486</v>
      </c>
      <c r="BD40" s="89">
        <f ca="1">IF(BC40=0,0,RANK(BF40,$BF$11:$BF$70,0)+(COUNTIF($BF40:$BF$70,BF40)-1))</f>
        <v>28</v>
      </c>
      <c r="BE40" s="89" t="str">
        <f t="shared" ca="1" si="6"/>
        <v>150403</v>
      </c>
      <c r="BF40" s="89">
        <f t="shared" ca="1" si="7"/>
        <v>15040308</v>
      </c>
      <c r="BG40" s="89">
        <f t="shared" ca="1" si="8"/>
        <v>15</v>
      </c>
      <c r="BH40" s="89">
        <f t="shared" ca="1" si="9"/>
        <v>3</v>
      </c>
      <c r="BI40" s="89" t="str">
        <f t="shared" ca="1" si="10"/>
        <v>B502</v>
      </c>
      <c r="BJ40" s="89">
        <f t="shared" ca="1" si="11"/>
        <v>4</v>
      </c>
      <c r="BK40" s="89">
        <f t="shared" ca="1" si="12"/>
        <v>8</v>
      </c>
      <c r="BL40" s="89">
        <f t="shared" ca="1" si="13"/>
        <v>30</v>
      </c>
      <c r="BM40" s="89">
        <f t="shared" ca="1" si="14"/>
        <v>10</v>
      </c>
      <c r="BN40" s="89" t="str">
        <f t="shared" ca="1" si="15"/>
        <v>S4!B487:J501</v>
      </c>
      <c r="BO40" s="89" t="str">
        <f t="shared" ca="1" si="16"/>
        <v>c</v>
      </c>
      <c r="BP40" s="89" t="str">
        <f t="shared" ca="1" si="17"/>
        <v/>
      </c>
      <c r="BQ40" s="89" t="str">
        <f t="shared" ca="1" si="18"/>
        <v/>
      </c>
      <c r="BR40" s="87" t="str">
        <f t="shared" ca="1" si="19"/>
        <v/>
      </c>
      <c r="BS40" s="89" t="str">
        <f t="shared" ca="1" si="20"/>
        <v/>
      </c>
      <c r="BT40" s="89" t="str">
        <f t="shared" ca="1" si="21"/>
        <v/>
      </c>
      <c r="BU40" s="89" t="str">
        <f t="shared" ca="1" si="22"/>
        <v/>
      </c>
      <c r="BV40" s="87" t="str">
        <f t="shared" ca="1" si="23"/>
        <v>c</v>
      </c>
      <c r="BW40" s="87" t="str">
        <f t="shared" ca="1" si="24"/>
        <v>15040308</v>
      </c>
      <c r="BX40" s="89" t="str">
        <f t="shared" ca="1" si="25"/>
        <v>23</v>
      </c>
    </row>
    <row r="41" spans="1:76">
      <c r="A41" s="90" t="str">
        <f t="shared" si="2"/>
        <v/>
      </c>
      <c r="B41" s="98" t="s">
        <v>264</v>
      </c>
      <c r="C41" s="94"/>
      <c r="D41" s="94"/>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1">
        <f t="shared" ca="1" si="3"/>
        <v>503</v>
      </c>
      <c r="BB41" s="88" t="str">
        <f t="shared" ca="1" si="4"/>
        <v>A487:A1200</v>
      </c>
      <c r="BC41" s="89" t="str">
        <f t="shared" ca="1" si="5"/>
        <v>B503</v>
      </c>
      <c r="BD41" s="89">
        <f ca="1">IF(BC41=0,0,RANK(BF41,$BF$11:$BF$70,0)+(COUNTIF($BF41:$BF$70,BF41)-1))</f>
        <v>12</v>
      </c>
      <c r="BE41" s="89" t="str">
        <f t="shared" ca="1" si="6"/>
        <v>180403</v>
      </c>
      <c r="BF41" s="89">
        <f t="shared" ca="1" si="7"/>
        <v>18040312</v>
      </c>
      <c r="BG41" s="89">
        <f t="shared" ca="1" si="8"/>
        <v>18</v>
      </c>
      <c r="BH41" s="89">
        <f t="shared" ca="1" si="9"/>
        <v>3</v>
      </c>
      <c r="BI41" s="89" t="str">
        <f t="shared" ca="1" si="10"/>
        <v>B522</v>
      </c>
      <c r="BJ41" s="89">
        <f t="shared" ca="1" si="11"/>
        <v>5</v>
      </c>
      <c r="BK41" s="89">
        <f t="shared" ca="1" si="12"/>
        <v>12</v>
      </c>
      <c r="BL41" s="89">
        <f t="shared" ca="1" si="13"/>
        <v>45</v>
      </c>
      <c r="BM41" s="89">
        <f t="shared" ca="1" si="14"/>
        <v>14</v>
      </c>
      <c r="BN41" s="89" t="str">
        <f t="shared" ca="1" si="15"/>
        <v>S4!B504:N521</v>
      </c>
      <c r="BO41" s="89" t="str">
        <f t="shared" ca="1" si="16"/>
        <v>c</v>
      </c>
      <c r="BP41" s="89" t="str">
        <f t="shared" ca="1" si="17"/>
        <v/>
      </c>
      <c r="BQ41" s="89" t="str">
        <f t="shared" ca="1" si="18"/>
        <v/>
      </c>
      <c r="BR41" s="87" t="str">
        <f t="shared" ca="1" si="19"/>
        <v/>
      </c>
      <c r="BS41" s="89" t="str">
        <f t="shared" ca="1" si="20"/>
        <v/>
      </c>
      <c r="BT41" s="89" t="str">
        <f t="shared" ca="1" si="21"/>
        <v/>
      </c>
      <c r="BU41" s="89" t="str">
        <f t="shared" ca="1" si="22"/>
        <v/>
      </c>
      <c r="BV41" s="87" t="str">
        <f t="shared" ca="1" si="23"/>
        <v>c</v>
      </c>
      <c r="BW41" s="87" t="str">
        <f t="shared" ca="1" si="24"/>
        <v>18040312</v>
      </c>
      <c r="BX41" s="89" t="str">
        <f t="shared" ca="1" si="25"/>
        <v>44</v>
      </c>
    </row>
    <row r="42" spans="1:76">
      <c r="A42" s="90">
        <f t="shared" si="2"/>
        <v>42</v>
      </c>
      <c r="B42" s="98" t="s">
        <v>265</v>
      </c>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1">
        <f t="shared" ca="1" si="3"/>
        <v>523</v>
      </c>
      <c r="BB42" s="88" t="str">
        <f t="shared" ca="1" si="4"/>
        <v>A504:A1200</v>
      </c>
      <c r="BC42" s="89" t="str">
        <f t="shared" ca="1" si="5"/>
        <v>B523</v>
      </c>
      <c r="BD42" s="89">
        <f ca="1">IF(BC42=0,0,RANK(BF42,$BF$11:$BF$70,0)+(COUNTIF($BF42:$BF$70,BF42)-1))</f>
        <v>44</v>
      </c>
      <c r="BE42" s="89" t="str">
        <f t="shared" ca="1" si="6"/>
        <v>120403</v>
      </c>
      <c r="BF42" s="89">
        <f t="shared" ca="1" si="7"/>
        <v>12040305</v>
      </c>
      <c r="BG42" s="89">
        <f t="shared" ca="1" si="8"/>
        <v>12</v>
      </c>
      <c r="BH42" s="89">
        <f t="shared" ca="1" si="9"/>
        <v>3</v>
      </c>
      <c r="BI42" s="89" t="str">
        <f t="shared" ca="1" si="10"/>
        <v>B536</v>
      </c>
      <c r="BJ42" s="89">
        <f t="shared" ca="1" si="11"/>
        <v>3</v>
      </c>
      <c r="BK42" s="89">
        <f t="shared" ca="1" si="12"/>
        <v>5</v>
      </c>
      <c r="BL42" s="89">
        <f t="shared" ca="1" si="13"/>
        <v>18</v>
      </c>
      <c r="BM42" s="89">
        <f t="shared" ca="1" si="14"/>
        <v>7</v>
      </c>
      <c r="BN42" s="89" t="str">
        <f t="shared" ca="1" si="15"/>
        <v>S4!B524:G535</v>
      </c>
      <c r="BO42" s="89" t="str">
        <f t="shared" ca="1" si="16"/>
        <v>c</v>
      </c>
      <c r="BP42" s="89" t="str">
        <f t="shared" ca="1" si="17"/>
        <v/>
      </c>
      <c r="BQ42" s="89" t="str">
        <f t="shared" ca="1" si="18"/>
        <v/>
      </c>
      <c r="BR42" s="87" t="str">
        <f t="shared" ca="1" si="19"/>
        <v/>
      </c>
      <c r="BS42" s="89" t="str">
        <f t="shared" ca="1" si="20"/>
        <v/>
      </c>
      <c r="BT42" s="89" t="str">
        <f t="shared" ca="1" si="21"/>
        <v/>
      </c>
      <c r="BU42" s="89" t="str">
        <f t="shared" ca="1" si="22"/>
        <v/>
      </c>
      <c r="BV42" s="87" t="str">
        <f t="shared" ca="1" si="23"/>
        <v>c</v>
      </c>
      <c r="BW42" s="87" t="str">
        <f t="shared" ca="1" si="24"/>
        <v>12040305</v>
      </c>
      <c r="BX42" s="89" t="str">
        <f t="shared" ca="1" si="25"/>
        <v>23</v>
      </c>
    </row>
    <row r="43" spans="1:76">
      <c r="A43" s="90" t="str">
        <f t="shared" si="2"/>
        <v/>
      </c>
      <c r="B43" s="98">
        <v>1</v>
      </c>
      <c r="C43" s="94">
        <v>3</v>
      </c>
      <c r="D43" s="94" t="s">
        <v>202</v>
      </c>
      <c r="E43" s="94">
        <v>2</v>
      </c>
      <c r="F43" s="94">
        <v>-1</v>
      </c>
      <c r="G43" s="94">
        <v>-2</v>
      </c>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1">
        <f t="shared" ca="1" si="3"/>
        <v>537</v>
      </c>
      <c r="BB43" s="88" t="str">
        <f t="shared" ca="1" si="4"/>
        <v>A524:A1200</v>
      </c>
      <c r="BC43" s="89" t="str">
        <f t="shared" ca="1" si="5"/>
        <v>B537</v>
      </c>
      <c r="BD43" s="89">
        <f ca="1">IF(BC43=0,0,RANK(BF43,$BF$11:$BF$70,0)+(COUNTIF($BF43:$BF$70,BF43)-1))</f>
        <v>46</v>
      </c>
      <c r="BE43" s="89" t="str">
        <f t="shared" ca="1" si="6"/>
        <v>120402</v>
      </c>
      <c r="BF43" s="89">
        <f t="shared" ca="1" si="7"/>
        <v>12040208</v>
      </c>
      <c r="BG43" s="89">
        <f t="shared" ca="1" si="8"/>
        <v>12</v>
      </c>
      <c r="BH43" s="89">
        <f t="shared" ca="1" si="9"/>
        <v>2</v>
      </c>
      <c r="BI43" s="89" t="str">
        <f t="shared" ca="1" si="10"/>
        <v>B550</v>
      </c>
      <c r="BJ43" s="89">
        <f t="shared" ca="1" si="11"/>
        <v>5</v>
      </c>
      <c r="BK43" s="89">
        <f t="shared" ca="1" si="12"/>
        <v>8</v>
      </c>
      <c r="BL43" s="89">
        <f t="shared" ca="1" si="13"/>
        <v>30</v>
      </c>
      <c r="BM43" s="89">
        <f t="shared" ca="1" si="14"/>
        <v>10</v>
      </c>
      <c r="BN43" s="89" t="str">
        <f t="shared" ca="1" si="15"/>
        <v>S4!B538:J549</v>
      </c>
      <c r="BO43" s="89" t="str">
        <f t="shared" ca="1" si="16"/>
        <v>c</v>
      </c>
      <c r="BP43" s="89" t="str">
        <f t="shared" ca="1" si="17"/>
        <v/>
      </c>
      <c r="BQ43" s="89" t="str">
        <f t="shared" ca="1" si="18"/>
        <v/>
      </c>
      <c r="BR43" s="87" t="str">
        <f t="shared" ca="1" si="19"/>
        <v/>
      </c>
      <c r="BS43" s="89" t="str">
        <f t="shared" ca="1" si="20"/>
        <v/>
      </c>
      <c r="BT43" s="89" t="str">
        <f t="shared" ca="1" si="21"/>
        <v/>
      </c>
      <c r="BU43" s="89" t="str">
        <f t="shared" ca="1" si="22"/>
        <v/>
      </c>
      <c r="BV43" s="87" t="str">
        <f t="shared" ca="1" si="23"/>
        <v>c</v>
      </c>
      <c r="BW43" s="87" t="str">
        <f t="shared" ca="1" si="24"/>
        <v>12040208</v>
      </c>
      <c r="BX43" s="89" t="str">
        <f t="shared" ca="1" si="25"/>
        <v>23</v>
      </c>
    </row>
    <row r="44" spans="1:76">
      <c r="A44" s="90" t="str">
        <f t="shared" si="2"/>
        <v/>
      </c>
      <c r="B44" s="98">
        <v>2</v>
      </c>
      <c r="C44" s="94" t="s">
        <v>202</v>
      </c>
      <c r="D44" s="94">
        <v>-4</v>
      </c>
      <c r="E44" s="94">
        <v>-3</v>
      </c>
      <c r="F44" s="94">
        <v>4</v>
      </c>
      <c r="G44" s="94">
        <v>2</v>
      </c>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1">
        <f t="shared" ca="1" si="3"/>
        <v>551</v>
      </c>
      <c r="BB44" s="88" t="str">
        <f t="shared" ca="1" si="4"/>
        <v>A538:A1200</v>
      </c>
      <c r="BC44" s="89" t="str">
        <f t="shared" ca="1" si="5"/>
        <v>B551</v>
      </c>
      <c r="BD44" s="89">
        <f ca="1">IF(BC44=0,0,RANK(BF44,$BF$11:$BF$70,0)+(COUNTIF($BF44:$BF$70,BF44)-1))</f>
        <v>22</v>
      </c>
      <c r="BE44" s="89" t="str">
        <f t="shared" ca="1" si="6"/>
        <v>160402</v>
      </c>
      <c r="BF44" s="89">
        <f t="shared" ca="1" si="7"/>
        <v>16040214</v>
      </c>
      <c r="BG44" s="89">
        <f t="shared" ca="1" si="8"/>
        <v>16</v>
      </c>
      <c r="BH44" s="89">
        <f t="shared" ca="1" si="9"/>
        <v>2</v>
      </c>
      <c r="BI44" s="89" t="str">
        <f t="shared" ca="1" si="10"/>
        <v>B568</v>
      </c>
      <c r="BJ44" s="89">
        <f t="shared" ca="1" si="11"/>
        <v>7</v>
      </c>
      <c r="BK44" s="89">
        <f t="shared" ca="1" si="12"/>
        <v>14</v>
      </c>
      <c r="BL44" s="89">
        <f t="shared" ca="1" si="13"/>
        <v>56</v>
      </c>
      <c r="BM44" s="89">
        <f t="shared" ca="1" si="14"/>
        <v>16</v>
      </c>
      <c r="BN44" s="89" t="str">
        <f t="shared" ca="1" si="15"/>
        <v>S4!B552:P567</v>
      </c>
      <c r="BO44" s="89" t="str">
        <f t="shared" ca="1" si="16"/>
        <v>c</v>
      </c>
      <c r="BP44" s="89" t="str">
        <f t="shared" ca="1" si="17"/>
        <v/>
      </c>
      <c r="BQ44" s="89" t="str">
        <f t="shared" ca="1" si="18"/>
        <v/>
      </c>
      <c r="BR44" s="87" t="str">
        <f t="shared" ca="1" si="19"/>
        <v/>
      </c>
      <c r="BS44" s="89" t="str">
        <f t="shared" ca="1" si="20"/>
        <v/>
      </c>
      <c r="BT44" s="89" t="str">
        <f t="shared" ca="1" si="21"/>
        <v/>
      </c>
      <c r="BU44" s="89" t="str">
        <f t="shared" ca="1" si="22"/>
        <v/>
      </c>
      <c r="BV44" s="87" t="str">
        <f t="shared" ca="1" si="23"/>
        <v>c</v>
      </c>
      <c r="BW44" s="87" t="str">
        <f t="shared" ca="1" si="24"/>
        <v>16040214</v>
      </c>
      <c r="BX44" s="89" t="str">
        <f t="shared" ca="1" si="25"/>
        <v>44</v>
      </c>
    </row>
    <row r="45" spans="1:76">
      <c r="A45" s="90" t="str">
        <f t="shared" si="2"/>
        <v/>
      </c>
      <c r="B45" s="98">
        <v>3</v>
      </c>
      <c r="C45" s="94">
        <v>2</v>
      </c>
      <c r="D45" s="94">
        <v>4</v>
      </c>
      <c r="E45" s="94">
        <v>-2</v>
      </c>
      <c r="F45" s="94" t="s">
        <v>202</v>
      </c>
      <c r="G45" s="94">
        <v>-3</v>
      </c>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1">
        <f t="shared" ca="1" si="3"/>
        <v>569</v>
      </c>
      <c r="BB45" s="88" t="str">
        <f t="shared" ca="1" si="4"/>
        <v>A552:A1200</v>
      </c>
      <c r="BC45" s="89" t="str">
        <f t="shared" ca="1" si="5"/>
        <v>B569</v>
      </c>
      <c r="BD45" s="89">
        <f ca="1">IF(BC45=0,0,RANK(BF45,$BF$11:$BF$70,0)+(COUNTIF($BF45:$BF$70,BF45)-1))</f>
        <v>45</v>
      </c>
      <c r="BE45" s="89" t="str">
        <f t="shared" ca="1" si="6"/>
        <v>120402</v>
      </c>
      <c r="BF45" s="89">
        <f t="shared" ca="1" si="7"/>
        <v>12040210</v>
      </c>
      <c r="BG45" s="89">
        <f t="shared" ca="1" si="8"/>
        <v>12</v>
      </c>
      <c r="BH45" s="89">
        <f t="shared" ca="1" si="9"/>
        <v>2</v>
      </c>
      <c r="BI45" s="89" t="str">
        <f t="shared" ca="1" si="10"/>
        <v>B582</v>
      </c>
      <c r="BJ45" s="89">
        <f t="shared" ca="1" si="11"/>
        <v>5</v>
      </c>
      <c r="BK45" s="89">
        <f t="shared" ca="1" si="12"/>
        <v>10</v>
      </c>
      <c r="BL45" s="89">
        <f t="shared" ca="1" si="13"/>
        <v>30</v>
      </c>
      <c r="BM45" s="89">
        <f t="shared" ca="1" si="14"/>
        <v>12</v>
      </c>
      <c r="BN45" s="89" t="str">
        <f t="shared" ca="1" si="15"/>
        <v>S4!B570:L581</v>
      </c>
      <c r="BO45" s="89" t="str">
        <f t="shared" ca="1" si="16"/>
        <v>e</v>
      </c>
      <c r="BP45" s="89" t="str">
        <f t="shared" ca="1" si="17"/>
        <v/>
      </c>
      <c r="BQ45" s="89" t="str">
        <f t="shared" ca="1" si="18"/>
        <v/>
      </c>
      <c r="BR45" s="87" t="str">
        <f t="shared" ca="1" si="19"/>
        <v/>
      </c>
      <c r="BS45" s="89" t="str">
        <f t="shared" ca="1" si="20"/>
        <v/>
      </c>
      <c r="BT45" s="89" t="str">
        <f t="shared" ca="1" si="21"/>
        <v/>
      </c>
      <c r="BU45" s="89" t="str">
        <f t="shared" ca="1" si="22"/>
        <v/>
      </c>
      <c r="BV45" s="87" t="str">
        <f t="shared" ca="1" si="23"/>
        <v/>
      </c>
      <c r="BW45" s="87" t="str">
        <f t="shared" ca="1" si="24"/>
        <v>12040210</v>
      </c>
      <c r="BX45" s="89">
        <f t="shared" ca="1" si="25"/>
        <v>0</v>
      </c>
    </row>
    <row r="46" spans="1:76">
      <c r="A46" s="90" t="str">
        <f t="shared" si="2"/>
        <v/>
      </c>
      <c r="B46" s="98">
        <v>4</v>
      </c>
      <c r="C46" s="94">
        <v>-3</v>
      </c>
      <c r="D46" s="94">
        <v>1</v>
      </c>
      <c r="E46" s="94" t="s">
        <v>202</v>
      </c>
      <c r="F46" s="94">
        <v>-4</v>
      </c>
      <c r="G46" s="94">
        <v>3</v>
      </c>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1">
        <f t="shared" ca="1" si="3"/>
        <v>583</v>
      </c>
      <c r="BB46" s="88" t="str">
        <f t="shared" ca="1" si="4"/>
        <v>A570:A1200</v>
      </c>
      <c r="BC46" s="89" t="str">
        <f t="shared" ca="1" si="5"/>
        <v>B583</v>
      </c>
      <c r="BD46" s="89">
        <f ca="1">IF(BC46=0,0,RANK(BF46,$BF$11:$BF$70,0)+(COUNTIF($BF46:$BF$70,BF46)-1))</f>
        <v>4</v>
      </c>
      <c r="BE46" s="89" t="str">
        <f t="shared" ca="1" si="6"/>
        <v>200402</v>
      </c>
      <c r="BF46" s="89">
        <f t="shared" ca="1" si="7"/>
        <v>20040223</v>
      </c>
      <c r="BG46" s="89">
        <f t="shared" ca="1" si="8"/>
        <v>20</v>
      </c>
      <c r="BH46" s="89">
        <f t="shared" ca="1" si="9"/>
        <v>2</v>
      </c>
      <c r="BI46" s="89" t="str">
        <f t="shared" ca="1" si="10"/>
        <v>B604</v>
      </c>
      <c r="BJ46" s="89">
        <f t="shared" ca="1" si="11"/>
        <v>9</v>
      </c>
      <c r="BK46" s="89">
        <f t="shared" ca="1" si="12"/>
        <v>23</v>
      </c>
      <c r="BL46" s="89">
        <f t="shared" ca="1" si="13"/>
        <v>90</v>
      </c>
      <c r="BM46" s="89">
        <f t="shared" ca="1" si="14"/>
        <v>25</v>
      </c>
      <c r="BN46" s="89" t="str">
        <f t="shared" ca="1" si="15"/>
        <v>S4!B584:Y603</v>
      </c>
      <c r="BO46" s="89" t="str">
        <f t="shared" ca="1" si="16"/>
        <v>c</v>
      </c>
      <c r="BP46" s="89" t="str">
        <f t="shared" ca="1" si="17"/>
        <v/>
      </c>
      <c r="BQ46" s="89" t="str">
        <f t="shared" ca="1" si="18"/>
        <v/>
      </c>
      <c r="BR46" s="87" t="str">
        <f t="shared" ca="1" si="19"/>
        <v/>
      </c>
      <c r="BS46" s="89" t="str">
        <f t="shared" ca="1" si="20"/>
        <v/>
      </c>
      <c r="BT46" s="89" t="str">
        <f t="shared" ca="1" si="21"/>
        <v/>
      </c>
      <c r="BU46" s="89" t="str">
        <f t="shared" ca="1" si="22"/>
        <v/>
      </c>
      <c r="BV46" s="87" t="str">
        <f t="shared" ca="1" si="23"/>
        <v>c</v>
      </c>
      <c r="BW46" s="87" t="str">
        <f t="shared" ca="1" si="24"/>
        <v>20040223</v>
      </c>
      <c r="BX46" s="89" t="str">
        <f t="shared" ca="1" si="25"/>
        <v>34</v>
      </c>
    </row>
    <row r="47" spans="1:76">
      <c r="A47" s="90" t="str">
        <f t="shared" si="2"/>
        <v/>
      </c>
      <c r="B47" s="99">
        <v>5</v>
      </c>
      <c r="C47" s="92">
        <v>-2</v>
      </c>
      <c r="D47" s="92">
        <v>-1</v>
      </c>
      <c r="E47" s="92">
        <v>3</v>
      </c>
      <c r="F47" s="92">
        <v>1</v>
      </c>
      <c r="G47" s="92" t="s">
        <v>202</v>
      </c>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1">
        <f t="shared" ca="1" si="3"/>
        <v>605</v>
      </c>
      <c r="BB47" s="88" t="str">
        <f t="shared" ca="1" si="4"/>
        <v>A584:A1200</v>
      </c>
      <c r="BC47" s="89" t="str">
        <f t="shared" ca="1" si="5"/>
        <v>B605</v>
      </c>
      <c r="BD47" s="89">
        <f ca="1">IF(BC47=0,0,RANK(BF47,$BF$11:$BF$70,0)+(COUNTIF($BF47:$BF$70,BF47)-1))</f>
        <v>27</v>
      </c>
      <c r="BE47" s="89" t="str">
        <f t="shared" ca="1" si="6"/>
        <v>150403</v>
      </c>
      <c r="BF47" s="89">
        <f t="shared" ca="1" si="7"/>
        <v>15040308</v>
      </c>
      <c r="BG47" s="89">
        <f t="shared" ca="1" si="8"/>
        <v>15</v>
      </c>
      <c r="BH47" s="89">
        <f t="shared" ca="1" si="9"/>
        <v>3</v>
      </c>
      <c r="BI47" s="89" t="str">
        <f t="shared" ca="1" si="10"/>
        <v>B621</v>
      </c>
      <c r="BJ47" s="89">
        <f t="shared" ca="1" si="11"/>
        <v>4</v>
      </c>
      <c r="BK47" s="89">
        <f t="shared" ca="1" si="12"/>
        <v>8</v>
      </c>
      <c r="BL47" s="89">
        <f t="shared" ca="1" si="13"/>
        <v>30</v>
      </c>
      <c r="BM47" s="89">
        <f t="shared" ca="1" si="14"/>
        <v>10</v>
      </c>
      <c r="BN47" s="89" t="str">
        <f t="shared" ca="1" si="15"/>
        <v>S4!B606:J620</v>
      </c>
      <c r="BO47" s="89" t="str">
        <f t="shared" ca="1" si="16"/>
        <v>c</v>
      </c>
      <c r="BP47" s="89" t="str">
        <f t="shared" ca="1" si="17"/>
        <v/>
      </c>
      <c r="BQ47" s="89" t="str">
        <f t="shared" ca="1" si="18"/>
        <v/>
      </c>
      <c r="BR47" s="87" t="str">
        <f t="shared" ca="1" si="19"/>
        <v/>
      </c>
      <c r="BS47" s="89" t="str">
        <f t="shared" ca="1" si="20"/>
        <v/>
      </c>
      <c r="BT47" s="89" t="str">
        <f t="shared" ca="1" si="21"/>
        <v/>
      </c>
      <c r="BU47" s="89" t="str">
        <f t="shared" ca="1" si="22"/>
        <v/>
      </c>
      <c r="BV47" s="87" t="str">
        <f t="shared" ca="1" si="23"/>
        <v>c</v>
      </c>
      <c r="BW47" s="87" t="str">
        <f t="shared" ca="1" si="24"/>
        <v>15040308</v>
      </c>
      <c r="BX47" s="89" t="str">
        <f t="shared" ca="1" si="25"/>
        <v>44</v>
      </c>
    </row>
    <row r="48" spans="1:76">
      <c r="A48" s="90" t="str">
        <f t="shared" si="2"/>
        <v/>
      </c>
      <c r="B48" s="98">
        <v>6</v>
      </c>
      <c r="C48" s="94" t="s">
        <v>210</v>
      </c>
      <c r="D48" s="94">
        <v>2</v>
      </c>
      <c r="E48" s="94">
        <v>-1</v>
      </c>
      <c r="F48" s="94">
        <v>-3</v>
      </c>
      <c r="G48" s="94">
        <v>1</v>
      </c>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c r="AZ48" s="94"/>
      <c r="BA48" s="91">
        <f t="shared" ca="1" si="3"/>
        <v>622</v>
      </c>
      <c r="BB48" s="88" t="str">
        <f t="shared" ca="1" si="4"/>
        <v>A606:A1200</v>
      </c>
      <c r="BC48" s="89" t="str">
        <f t="shared" ca="1" si="5"/>
        <v>B622</v>
      </c>
      <c r="BD48" s="89">
        <f ca="1">IF(BC48=0,0,RANK(BF48,$BF$11:$BF$70,0)+(COUNTIF($BF48:$BF$70,BF48)-1))</f>
        <v>11</v>
      </c>
      <c r="BE48" s="89" t="str">
        <f t="shared" ca="1" si="6"/>
        <v>180403</v>
      </c>
      <c r="BF48" s="89">
        <f t="shared" ca="1" si="7"/>
        <v>18040312</v>
      </c>
      <c r="BG48" s="89">
        <f t="shared" ca="1" si="8"/>
        <v>18</v>
      </c>
      <c r="BH48" s="89">
        <f t="shared" ca="1" si="9"/>
        <v>3</v>
      </c>
      <c r="BI48" s="89" t="str">
        <f t="shared" ca="1" si="10"/>
        <v>B641</v>
      </c>
      <c r="BJ48" s="89">
        <f t="shared" ca="1" si="11"/>
        <v>5</v>
      </c>
      <c r="BK48" s="89">
        <f t="shared" ca="1" si="12"/>
        <v>12</v>
      </c>
      <c r="BL48" s="89">
        <f t="shared" ca="1" si="13"/>
        <v>45</v>
      </c>
      <c r="BM48" s="89">
        <f t="shared" ca="1" si="14"/>
        <v>14</v>
      </c>
      <c r="BN48" s="89" t="str">
        <f t="shared" ca="1" si="15"/>
        <v>S4!B623:N640</v>
      </c>
      <c r="BO48" s="89" t="str">
        <f t="shared" ca="1" si="16"/>
        <v>c</v>
      </c>
      <c r="BP48" s="89" t="str">
        <f t="shared" ca="1" si="17"/>
        <v/>
      </c>
      <c r="BQ48" s="89" t="str">
        <f t="shared" ca="1" si="18"/>
        <v/>
      </c>
      <c r="BR48" s="87" t="str">
        <f t="shared" ca="1" si="19"/>
        <v/>
      </c>
      <c r="BS48" s="89" t="str">
        <f t="shared" ca="1" si="20"/>
        <v/>
      </c>
      <c r="BT48" s="89" t="str">
        <f t="shared" ca="1" si="21"/>
        <v/>
      </c>
      <c r="BU48" s="89" t="str">
        <f t="shared" ca="1" si="22"/>
        <v/>
      </c>
      <c r="BV48" s="87" t="str">
        <f t="shared" ca="1" si="23"/>
        <v>c</v>
      </c>
      <c r="BW48" s="87" t="str">
        <f t="shared" ca="1" si="24"/>
        <v>18040312</v>
      </c>
      <c r="BX48" s="89" t="str">
        <f t="shared" ca="1" si="25"/>
        <v>33</v>
      </c>
    </row>
    <row r="49" spans="1:76">
      <c r="A49" s="90" t="str">
        <f t="shared" si="2"/>
        <v/>
      </c>
      <c r="B49" s="98">
        <v>7</v>
      </c>
      <c r="C49" s="94" t="s">
        <v>210</v>
      </c>
      <c r="D49" s="94">
        <v>-3</v>
      </c>
      <c r="E49" s="94">
        <v>4</v>
      </c>
      <c r="F49" s="94">
        <v>2</v>
      </c>
      <c r="G49" s="94">
        <v>-1</v>
      </c>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1">
        <f t="shared" ca="1" si="3"/>
        <v>642</v>
      </c>
      <c r="BB49" s="88" t="str">
        <f t="shared" ca="1" si="4"/>
        <v>A623:A1200</v>
      </c>
      <c r="BC49" s="89" t="str">
        <f t="shared" ca="1" si="5"/>
        <v>B642</v>
      </c>
      <c r="BD49" s="89">
        <f ca="1">IF(BC49=0,0,RANK(BF49,$BF$11:$BF$70,0)+(COUNTIF($BF49:$BF$70,BF49)-1))</f>
        <v>53</v>
      </c>
      <c r="BE49" s="89" t="str">
        <f t="shared" ca="1" si="6"/>
        <v>100401</v>
      </c>
      <c r="BF49" s="89">
        <f t="shared" ca="1" si="7"/>
        <v>10040114</v>
      </c>
      <c r="BG49" s="89">
        <f t="shared" ca="1" si="8"/>
        <v>10</v>
      </c>
      <c r="BH49" s="89">
        <f t="shared" ca="1" si="9"/>
        <v>1</v>
      </c>
      <c r="BI49" s="89" t="str">
        <f t="shared" ca="1" si="10"/>
        <v>B653</v>
      </c>
      <c r="BJ49" s="89">
        <f t="shared" ca="1" si="11"/>
        <v>9</v>
      </c>
      <c r="BK49" s="89">
        <f t="shared" ca="1" si="12"/>
        <v>14</v>
      </c>
      <c r="BL49" s="89">
        <f t="shared" ca="1" si="13"/>
        <v>45</v>
      </c>
      <c r="BM49" s="89">
        <f t="shared" ca="1" si="14"/>
        <v>16</v>
      </c>
      <c r="BN49" s="89" t="str">
        <f t="shared" ca="1" si="15"/>
        <v>S4!B643:P652</v>
      </c>
      <c r="BO49" s="89" t="str">
        <f t="shared" ca="1" si="16"/>
        <v>c</v>
      </c>
      <c r="BP49" s="89" t="str">
        <f t="shared" ca="1" si="17"/>
        <v/>
      </c>
      <c r="BQ49" s="89" t="str">
        <f t="shared" ca="1" si="18"/>
        <v/>
      </c>
      <c r="BR49" s="87" t="str">
        <f t="shared" ca="1" si="19"/>
        <v/>
      </c>
      <c r="BS49" s="89" t="str">
        <f t="shared" ca="1" si="20"/>
        <v/>
      </c>
      <c r="BT49" s="89" t="str">
        <f t="shared" ca="1" si="21"/>
        <v/>
      </c>
      <c r="BU49" s="89" t="str">
        <f t="shared" ca="1" si="22"/>
        <v/>
      </c>
      <c r="BV49" s="87" t="str">
        <f t="shared" ca="1" si="23"/>
        <v>c</v>
      </c>
      <c r="BW49" s="87" t="str">
        <f t="shared" ca="1" si="24"/>
        <v>10040114</v>
      </c>
      <c r="BX49" s="89" t="str">
        <f t="shared" ca="1" si="25"/>
        <v>33</v>
      </c>
    </row>
    <row r="50" spans="1:76">
      <c r="A50" s="90" t="str">
        <f t="shared" si="2"/>
        <v/>
      </c>
      <c r="B50" s="98">
        <v>8</v>
      </c>
      <c r="C50" s="94" t="s">
        <v>210</v>
      </c>
      <c r="D50" s="94">
        <v>-2</v>
      </c>
      <c r="E50" s="94">
        <v>-4</v>
      </c>
      <c r="F50" s="94">
        <v>3</v>
      </c>
      <c r="G50" s="94">
        <v>4</v>
      </c>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1">
        <f t="shared" ca="1" si="3"/>
        <v>654</v>
      </c>
      <c r="BB50" s="88" t="str">
        <f t="shared" ca="1" si="4"/>
        <v>A643:A1200</v>
      </c>
      <c r="BC50" s="89" t="str">
        <f t="shared" ca="1" si="5"/>
        <v>B654</v>
      </c>
      <c r="BD50" s="89">
        <f ca="1">IF(BC50=0,0,RANK(BF50,$BF$11:$BF$70,0)+(COUNTIF($BF50:$BF$70,BF50)-1))</f>
        <v>54</v>
      </c>
      <c r="BE50" s="89" t="str">
        <f t="shared" ca="1" si="6"/>
        <v>100401</v>
      </c>
      <c r="BF50" s="89">
        <f t="shared" ca="1" si="7"/>
        <v>10040112</v>
      </c>
      <c r="BG50" s="89">
        <f t="shared" ca="1" si="8"/>
        <v>10</v>
      </c>
      <c r="BH50" s="89">
        <f t="shared" ca="1" si="9"/>
        <v>1</v>
      </c>
      <c r="BI50" s="89" t="str">
        <f t="shared" ca="1" si="10"/>
        <v>B665</v>
      </c>
      <c r="BJ50" s="89">
        <f t="shared" ca="1" si="11"/>
        <v>9</v>
      </c>
      <c r="BK50" s="89">
        <f t="shared" ca="1" si="12"/>
        <v>12</v>
      </c>
      <c r="BL50" s="89">
        <f t="shared" ca="1" si="13"/>
        <v>45</v>
      </c>
      <c r="BM50" s="89">
        <f t="shared" ca="1" si="14"/>
        <v>14</v>
      </c>
      <c r="BN50" s="89" t="str">
        <f t="shared" ca="1" si="15"/>
        <v>S4!B655:N664</v>
      </c>
      <c r="BO50" s="89" t="str">
        <f t="shared" ca="1" si="16"/>
        <v>c</v>
      </c>
      <c r="BP50" s="89" t="str">
        <f t="shared" ca="1" si="17"/>
        <v/>
      </c>
      <c r="BQ50" s="89" t="str">
        <f t="shared" ca="1" si="18"/>
        <v/>
      </c>
      <c r="BR50" s="87" t="str">
        <f t="shared" ca="1" si="19"/>
        <v/>
      </c>
      <c r="BS50" s="89" t="str">
        <f t="shared" ca="1" si="20"/>
        <v/>
      </c>
      <c r="BT50" s="89" t="str">
        <f t="shared" ca="1" si="21"/>
        <v/>
      </c>
      <c r="BU50" s="89" t="str">
        <f t="shared" ca="1" si="22"/>
        <v/>
      </c>
      <c r="BV50" s="87" t="str">
        <f t="shared" ca="1" si="23"/>
        <v>c</v>
      </c>
      <c r="BW50" s="87" t="str">
        <f t="shared" ca="1" si="24"/>
        <v>10040112</v>
      </c>
      <c r="BX50" s="89" t="str">
        <f t="shared" ca="1" si="25"/>
        <v>22</v>
      </c>
    </row>
    <row r="51" spans="1:76">
      <c r="A51" s="90" t="str">
        <f t="shared" si="2"/>
        <v/>
      </c>
      <c r="B51" s="98">
        <v>9</v>
      </c>
      <c r="C51" s="94" t="s">
        <v>210</v>
      </c>
      <c r="D51" s="94">
        <v>3</v>
      </c>
      <c r="E51" s="94">
        <v>1</v>
      </c>
      <c r="F51" s="94">
        <v>-2</v>
      </c>
      <c r="G51" s="94">
        <v>-4</v>
      </c>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1">
        <f t="shared" ca="1" si="3"/>
        <v>666</v>
      </c>
      <c r="BB51" s="88" t="str">
        <f t="shared" ca="1" si="4"/>
        <v>A655:A1200</v>
      </c>
      <c r="BC51" s="89" t="str">
        <f t="shared" ca="1" si="5"/>
        <v>B666</v>
      </c>
      <c r="BD51" s="89">
        <f ca="1">IF(BC51=0,0,RANK(BF51,$BF$11:$BF$70,0)+(COUNTIF($BF51:$BF$70,BF51)-1))</f>
        <v>26</v>
      </c>
      <c r="BE51" s="89" t="str">
        <f t="shared" ca="1" si="6"/>
        <v>150403</v>
      </c>
      <c r="BF51" s="89">
        <f t="shared" ca="1" si="7"/>
        <v>15040309</v>
      </c>
      <c r="BG51" s="89">
        <f t="shared" ca="1" si="8"/>
        <v>15</v>
      </c>
      <c r="BH51" s="89">
        <f t="shared" ca="1" si="9"/>
        <v>3</v>
      </c>
      <c r="BI51" s="89" t="str">
        <f t="shared" ca="1" si="10"/>
        <v>B682</v>
      </c>
      <c r="BJ51" s="89">
        <f t="shared" ca="1" si="11"/>
        <v>4</v>
      </c>
      <c r="BK51" s="89">
        <f t="shared" ca="1" si="12"/>
        <v>9</v>
      </c>
      <c r="BL51" s="89">
        <f t="shared" ca="1" si="13"/>
        <v>30</v>
      </c>
      <c r="BM51" s="89">
        <f t="shared" ca="1" si="14"/>
        <v>11</v>
      </c>
      <c r="BN51" s="89" t="str">
        <f t="shared" ca="1" si="15"/>
        <v>S4!B667:K681</v>
      </c>
      <c r="BO51" s="89" t="str">
        <f t="shared" ca="1" si="16"/>
        <v>c</v>
      </c>
      <c r="BP51" s="89" t="str">
        <f t="shared" ca="1" si="17"/>
        <v/>
      </c>
      <c r="BQ51" s="89" t="str">
        <f t="shared" ca="1" si="18"/>
        <v/>
      </c>
      <c r="BR51" s="87" t="str">
        <f t="shared" ca="1" si="19"/>
        <v/>
      </c>
      <c r="BS51" s="89" t="str">
        <f t="shared" ca="1" si="20"/>
        <v/>
      </c>
      <c r="BT51" s="89" t="str">
        <f t="shared" ca="1" si="21"/>
        <v/>
      </c>
      <c r="BU51" s="89" t="str">
        <f t="shared" ca="1" si="22"/>
        <v/>
      </c>
      <c r="BV51" s="87" t="str">
        <f t="shared" ca="1" si="23"/>
        <v>c</v>
      </c>
      <c r="BW51" s="87" t="str">
        <f t="shared" ca="1" si="24"/>
        <v>15040309</v>
      </c>
      <c r="BX51" s="89" t="str">
        <f t="shared" ca="1" si="25"/>
        <v>33</v>
      </c>
    </row>
    <row r="52" spans="1:76">
      <c r="A52" s="90" t="str">
        <f t="shared" si="2"/>
        <v/>
      </c>
      <c r="B52" s="98" t="s">
        <v>266</v>
      </c>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1">
        <f t="shared" ca="1" si="3"/>
        <v>683</v>
      </c>
      <c r="BB52" s="88" t="str">
        <f t="shared" ca="1" si="4"/>
        <v>A667:A1200</v>
      </c>
      <c r="BC52" s="89" t="str">
        <f t="shared" ca="1" si="5"/>
        <v>B683</v>
      </c>
      <c r="BD52" s="89">
        <f ca="1">IF(BC52=0,0,RANK(BF52,$BF$11:$BF$70,0)+(COUNTIF($BF52:$BF$70,BF52)-1))</f>
        <v>48</v>
      </c>
      <c r="BE52" s="89" t="str">
        <f t="shared" ca="1" si="6"/>
        <v>120401</v>
      </c>
      <c r="BF52" s="89">
        <f t="shared" ca="1" si="7"/>
        <v>12040117</v>
      </c>
      <c r="BG52" s="89">
        <f t="shared" ca="1" si="8"/>
        <v>12</v>
      </c>
      <c r="BH52" s="89">
        <f t="shared" ca="1" si="9"/>
        <v>1</v>
      </c>
      <c r="BI52" s="89" t="str">
        <f t="shared" ca="1" si="10"/>
        <v>B696</v>
      </c>
      <c r="BJ52" s="89">
        <f t="shared" ca="1" si="11"/>
        <v>11</v>
      </c>
      <c r="BK52" s="89">
        <f t="shared" ca="1" si="12"/>
        <v>17</v>
      </c>
      <c r="BL52" s="89">
        <f t="shared" ca="1" si="13"/>
        <v>66</v>
      </c>
      <c r="BM52" s="89">
        <f t="shared" ca="1" si="14"/>
        <v>19</v>
      </c>
      <c r="BN52" s="89" t="str">
        <f t="shared" ca="1" si="15"/>
        <v>S4!B684:S695</v>
      </c>
      <c r="BO52" s="89" t="str">
        <f t="shared" ca="1" si="16"/>
        <v>c</v>
      </c>
      <c r="BP52" s="89" t="str">
        <f t="shared" ca="1" si="17"/>
        <v/>
      </c>
      <c r="BQ52" s="89" t="str">
        <f t="shared" ca="1" si="18"/>
        <v/>
      </c>
      <c r="BR52" s="87" t="str">
        <f t="shared" ca="1" si="19"/>
        <v/>
      </c>
      <c r="BS52" s="89" t="str">
        <f t="shared" ca="1" si="20"/>
        <v/>
      </c>
      <c r="BT52" s="89" t="str">
        <f t="shared" ca="1" si="21"/>
        <v/>
      </c>
      <c r="BU52" s="89" t="str">
        <f t="shared" ca="1" si="22"/>
        <v/>
      </c>
      <c r="BV52" s="87" t="str">
        <f t="shared" ca="1" si="23"/>
        <v>c</v>
      </c>
      <c r="BW52" s="87" t="str">
        <f t="shared" ca="1" si="24"/>
        <v>12040117</v>
      </c>
      <c r="BX52" s="89" t="str">
        <f t="shared" ca="1" si="25"/>
        <v>23</v>
      </c>
    </row>
    <row r="53" spans="1:76">
      <c r="A53" s="90">
        <f t="shared" si="2"/>
        <v>53</v>
      </c>
      <c r="B53" s="98" t="s">
        <v>267</v>
      </c>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1">
        <f t="shared" ca="1" si="3"/>
        <v>697</v>
      </c>
      <c r="BB53" s="88" t="str">
        <f t="shared" ca="1" si="4"/>
        <v>A684:A1200</v>
      </c>
      <c r="BC53" s="89" t="str">
        <f t="shared" ca="1" si="5"/>
        <v>B697</v>
      </c>
      <c r="BD53" s="89">
        <f ca="1">IF(BC53=0,0,RANK(BF53,$BF$11:$BF$70,0)+(COUNTIF($BF53:$BF$70,BF53)-1))</f>
        <v>32</v>
      </c>
      <c r="BE53" s="89" t="str">
        <f t="shared" ca="1" si="6"/>
        <v>150401</v>
      </c>
      <c r="BF53" s="89">
        <f t="shared" ca="1" si="7"/>
        <v>15040128</v>
      </c>
      <c r="BG53" s="89">
        <f t="shared" ca="1" si="8"/>
        <v>15</v>
      </c>
      <c r="BH53" s="89">
        <f t="shared" ca="1" si="9"/>
        <v>1</v>
      </c>
      <c r="BI53" s="89" t="str">
        <f t="shared" ca="1" si="10"/>
        <v>B713</v>
      </c>
      <c r="BJ53" s="89">
        <f t="shared" ca="1" si="11"/>
        <v>14</v>
      </c>
      <c r="BK53" s="89">
        <f t="shared" ca="1" si="12"/>
        <v>28</v>
      </c>
      <c r="BL53" s="89">
        <f t="shared" ca="1" si="13"/>
        <v>105</v>
      </c>
      <c r="BM53" s="89">
        <f t="shared" ca="1" si="14"/>
        <v>30</v>
      </c>
      <c r="BN53" s="89" t="str">
        <f t="shared" ca="1" si="15"/>
        <v>S4!B698:AD712</v>
      </c>
      <c r="BO53" s="89" t="str">
        <f t="shared" ca="1" si="16"/>
        <v>c</v>
      </c>
      <c r="BP53" s="89" t="str">
        <f t="shared" ca="1" si="17"/>
        <v/>
      </c>
      <c r="BQ53" s="89" t="str">
        <f t="shared" ca="1" si="18"/>
        <v/>
      </c>
      <c r="BR53" s="87" t="str">
        <f t="shared" ca="1" si="19"/>
        <v/>
      </c>
      <c r="BS53" s="89" t="str">
        <f t="shared" ca="1" si="20"/>
        <v/>
      </c>
      <c r="BT53" s="89" t="str">
        <f t="shared" ca="1" si="21"/>
        <v/>
      </c>
      <c r="BU53" s="89" t="str">
        <f t="shared" ca="1" si="22"/>
        <v/>
      </c>
      <c r="BV53" s="87" t="str">
        <f t="shared" ca="1" si="23"/>
        <v>c</v>
      </c>
      <c r="BW53" s="87" t="str">
        <f t="shared" ca="1" si="24"/>
        <v>15040128</v>
      </c>
      <c r="BX53" s="89" t="str">
        <f t="shared" ca="1" si="25"/>
        <v>44</v>
      </c>
    </row>
    <row r="54" spans="1:76">
      <c r="A54" s="90" t="str">
        <f t="shared" si="2"/>
        <v/>
      </c>
      <c r="B54" s="98">
        <v>1</v>
      </c>
      <c r="C54" s="94">
        <v>2</v>
      </c>
      <c r="D54" s="94">
        <v>-1</v>
      </c>
      <c r="E54" s="94" t="s">
        <v>202</v>
      </c>
      <c r="F54" s="94">
        <v>3</v>
      </c>
      <c r="G54" s="94">
        <v>-2</v>
      </c>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1">
        <f t="shared" ca="1" si="3"/>
        <v>714</v>
      </c>
      <c r="BB54" s="88" t="str">
        <f t="shared" ca="1" si="4"/>
        <v>A698:A1200</v>
      </c>
      <c r="BC54" s="89" t="str">
        <f t="shared" ca="1" si="5"/>
        <v>B714</v>
      </c>
      <c r="BD54" s="89">
        <f ca="1">IF(BC54=0,0,RANK(BF54,$BF$11:$BF$70,0)+(COUNTIF($BF54:$BF$70,BF54)-1))</f>
        <v>19</v>
      </c>
      <c r="BE54" s="89" t="str">
        <f t="shared" ca="1" si="6"/>
        <v>170401</v>
      </c>
      <c r="BF54" s="89">
        <f t="shared" ca="1" si="7"/>
        <v>17040134</v>
      </c>
      <c r="BG54" s="89">
        <f t="shared" ca="1" si="8"/>
        <v>17</v>
      </c>
      <c r="BH54" s="89">
        <f t="shared" ca="1" si="9"/>
        <v>1</v>
      </c>
      <c r="BI54" s="89" t="str">
        <f t="shared" ca="1" si="10"/>
        <v>B732</v>
      </c>
      <c r="BJ54" s="89">
        <f t="shared" ca="1" si="11"/>
        <v>16</v>
      </c>
      <c r="BK54" s="89">
        <f t="shared" ca="1" si="12"/>
        <v>34</v>
      </c>
      <c r="BL54" s="89">
        <f t="shared" ca="1" si="13"/>
        <v>136</v>
      </c>
      <c r="BM54" s="89">
        <f t="shared" ca="1" si="14"/>
        <v>36</v>
      </c>
      <c r="BN54" s="89" t="str">
        <f t="shared" ca="1" si="15"/>
        <v>S4!B715:AJ731</v>
      </c>
      <c r="BO54" s="89" t="str">
        <f t="shared" ca="1" si="16"/>
        <v>e</v>
      </c>
      <c r="BP54" s="89" t="str">
        <f t="shared" ca="1" si="17"/>
        <v/>
      </c>
      <c r="BQ54" s="89" t="str">
        <f t="shared" ca="1" si="18"/>
        <v/>
      </c>
      <c r="BR54" s="87" t="str">
        <f t="shared" ca="1" si="19"/>
        <v/>
      </c>
      <c r="BS54" s="89" t="str">
        <f t="shared" ca="1" si="20"/>
        <v/>
      </c>
      <c r="BT54" s="89" t="str">
        <f t="shared" ca="1" si="21"/>
        <v/>
      </c>
      <c r="BU54" s="89" t="str">
        <f t="shared" ca="1" si="22"/>
        <v/>
      </c>
      <c r="BV54" s="87" t="str">
        <f t="shared" ca="1" si="23"/>
        <v/>
      </c>
      <c r="BW54" s="87" t="str">
        <f t="shared" ca="1" si="24"/>
        <v>17040134</v>
      </c>
      <c r="BX54" s="89">
        <f t="shared" ca="1" si="25"/>
        <v>0</v>
      </c>
    </row>
    <row r="55" spans="1:76">
      <c r="A55" s="90" t="str">
        <f t="shared" si="2"/>
        <v/>
      </c>
      <c r="B55" s="98">
        <v>2</v>
      </c>
      <c r="C55" s="94">
        <v>-3</v>
      </c>
      <c r="D55" s="94" t="s">
        <v>202</v>
      </c>
      <c r="E55" s="94">
        <v>1</v>
      </c>
      <c r="F55" s="94">
        <v>-4</v>
      </c>
      <c r="G55" s="94">
        <v>2</v>
      </c>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1">
        <f t="shared" ca="1" si="3"/>
        <v>733</v>
      </c>
      <c r="BB55" s="88" t="str">
        <f t="shared" ca="1" si="4"/>
        <v>A715:A1200</v>
      </c>
      <c r="BC55" s="89" t="str">
        <f t="shared" ca="1" si="5"/>
        <v>B733</v>
      </c>
      <c r="BD55" s="89">
        <f ca="1">IF(BC55=0,0,RANK(BF55,$BF$11:$BF$70,0)+(COUNTIF($BF55:$BF$70,BF55)-1))</f>
        <v>2</v>
      </c>
      <c r="BE55" s="89" t="str">
        <f t="shared" ca="1" si="6"/>
        <v>200404</v>
      </c>
      <c r="BF55" s="89">
        <f t="shared" ca="1" si="7"/>
        <v>20040410</v>
      </c>
      <c r="BG55" s="89">
        <f t="shared" ca="1" si="8"/>
        <v>20</v>
      </c>
      <c r="BH55" s="89">
        <f t="shared" ca="1" si="9"/>
        <v>4</v>
      </c>
      <c r="BI55" s="89" t="str">
        <f t="shared" ca="1" si="10"/>
        <v>B754</v>
      </c>
      <c r="BJ55" s="89">
        <f t="shared" ca="1" si="11"/>
        <v>4</v>
      </c>
      <c r="BK55" s="89">
        <f t="shared" ca="1" si="12"/>
        <v>10</v>
      </c>
      <c r="BL55" s="89">
        <f t="shared" ca="1" si="13"/>
        <v>40</v>
      </c>
      <c r="BM55" s="89">
        <f t="shared" ca="1" si="14"/>
        <v>12</v>
      </c>
      <c r="BN55" s="89" t="str">
        <f t="shared" ca="1" si="15"/>
        <v>S4!B734:L753</v>
      </c>
      <c r="BO55" s="89" t="str">
        <f t="shared" ca="1" si="16"/>
        <v>c</v>
      </c>
      <c r="BP55" s="89" t="str">
        <f t="shared" ca="1" si="17"/>
        <v/>
      </c>
      <c r="BQ55" s="89" t="str">
        <f t="shared" ca="1" si="18"/>
        <v/>
      </c>
      <c r="BR55" s="87" t="str">
        <f t="shared" ca="1" si="19"/>
        <v/>
      </c>
      <c r="BS55" s="89" t="str">
        <f t="shared" ca="1" si="20"/>
        <v/>
      </c>
      <c r="BT55" s="89" t="str">
        <f t="shared" ca="1" si="21"/>
        <v/>
      </c>
      <c r="BU55" s="89" t="str">
        <f t="shared" ca="1" si="22"/>
        <v/>
      </c>
      <c r="BV55" s="87" t="str">
        <f t="shared" ca="1" si="23"/>
        <v>c</v>
      </c>
      <c r="BW55" s="87" t="str">
        <f t="shared" ca="1" si="24"/>
        <v>20040410</v>
      </c>
      <c r="BX55" s="89" t="str">
        <f t="shared" ca="1" si="25"/>
        <v>44</v>
      </c>
    </row>
    <row r="56" spans="1:76">
      <c r="A56" s="90" t="str">
        <f t="shared" si="2"/>
        <v/>
      </c>
      <c r="B56" s="98">
        <v>3</v>
      </c>
      <c r="C56" s="94">
        <v>-2</v>
      </c>
      <c r="D56" s="94">
        <v>4</v>
      </c>
      <c r="E56" s="94">
        <v>-1</v>
      </c>
      <c r="F56" s="94" t="s">
        <v>202</v>
      </c>
      <c r="G56" s="94">
        <v>3</v>
      </c>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1">
        <f t="shared" ca="1" si="3"/>
        <v>755</v>
      </c>
      <c r="BB56" s="88" t="str">
        <f t="shared" ca="1" si="4"/>
        <v>A734:A1200</v>
      </c>
      <c r="BC56" s="89" t="str">
        <f t="shared" ca="1" si="5"/>
        <v>B755</v>
      </c>
      <c r="BD56" s="89">
        <f ca="1">IF(BC56=0,0,RANK(BF56,$BF$11:$BF$70,0)+(COUNTIF($BF56:$BF$70,BF56)-1))</f>
        <v>40</v>
      </c>
      <c r="BE56" s="89" t="str">
        <f t="shared" ca="1" si="6"/>
        <v>130402</v>
      </c>
      <c r="BF56" s="89">
        <f t="shared" ca="1" si="7"/>
        <v>13040209</v>
      </c>
      <c r="BG56" s="89">
        <f t="shared" ca="1" si="8"/>
        <v>13</v>
      </c>
      <c r="BH56" s="89">
        <f t="shared" ca="1" si="9"/>
        <v>2</v>
      </c>
      <c r="BI56" s="89" t="str">
        <f t="shared" ca="1" si="10"/>
        <v>B769</v>
      </c>
      <c r="BJ56" s="89">
        <f t="shared" ca="1" si="11"/>
        <v>6</v>
      </c>
      <c r="BK56" s="89">
        <f t="shared" ca="1" si="12"/>
        <v>9</v>
      </c>
      <c r="BL56" s="89">
        <f t="shared" ca="1" si="13"/>
        <v>36</v>
      </c>
      <c r="BM56" s="89">
        <f t="shared" ca="1" si="14"/>
        <v>11</v>
      </c>
      <c r="BN56" s="89" t="str">
        <f t="shared" ca="1" si="15"/>
        <v>S4!B756:K768</v>
      </c>
      <c r="BO56" s="89" t="str">
        <f t="shared" ca="1" si="16"/>
        <v>c</v>
      </c>
      <c r="BP56" s="89" t="str">
        <f t="shared" ca="1" si="17"/>
        <v/>
      </c>
      <c r="BQ56" s="89" t="str">
        <f t="shared" ca="1" si="18"/>
        <v/>
      </c>
      <c r="BR56" s="87" t="str">
        <f t="shared" ca="1" si="19"/>
        <v/>
      </c>
      <c r="BS56" s="89" t="str">
        <f t="shared" ca="1" si="20"/>
        <v/>
      </c>
      <c r="BT56" s="89" t="str">
        <f t="shared" ca="1" si="21"/>
        <v/>
      </c>
      <c r="BU56" s="89" t="str">
        <f t="shared" ca="1" si="22"/>
        <v/>
      </c>
      <c r="BV56" s="87" t="str">
        <f t="shared" ca="1" si="23"/>
        <v>c</v>
      </c>
      <c r="BW56" s="87" t="str">
        <f t="shared" ca="1" si="24"/>
        <v>13040209</v>
      </c>
      <c r="BX56" s="89" t="str">
        <f t="shared" ca="1" si="25"/>
        <v>33</v>
      </c>
    </row>
    <row r="57" spans="1:76">
      <c r="A57" s="90" t="str">
        <f t="shared" si="2"/>
        <v/>
      </c>
      <c r="B57" s="98">
        <v>4</v>
      </c>
      <c r="C57" s="94" t="s">
        <v>202</v>
      </c>
      <c r="D57" s="94">
        <v>1</v>
      </c>
      <c r="E57" s="94">
        <v>-2</v>
      </c>
      <c r="F57" s="94">
        <v>4</v>
      </c>
      <c r="G57" s="94">
        <v>-3</v>
      </c>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1">
        <f t="shared" ca="1" si="3"/>
        <v>770</v>
      </c>
      <c r="BB57" s="88" t="str">
        <f t="shared" ca="1" si="4"/>
        <v>A756:A1200</v>
      </c>
      <c r="BC57" s="89" t="str">
        <f t="shared" ca="1" si="5"/>
        <v>B770</v>
      </c>
      <c r="BD57" s="89">
        <f ca="1">IF(BC57=0,0,RANK(BF57,$BF$11:$BF$70,0)+(COUNTIF($BF57:$BF$70,BF57)-1))</f>
        <v>15</v>
      </c>
      <c r="BE57" s="89" t="str">
        <f t="shared" ca="1" si="6"/>
        <v>170405</v>
      </c>
      <c r="BF57" s="89">
        <f t="shared" ca="1" si="7"/>
        <v>17040506</v>
      </c>
      <c r="BG57" s="89">
        <f t="shared" ca="1" si="8"/>
        <v>17</v>
      </c>
      <c r="BH57" s="89">
        <f t="shared" ca="1" si="9"/>
        <v>5</v>
      </c>
      <c r="BI57" s="89" t="str">
        <f t="shared" ca="1" si="10"/>
        <v>B788</v>
      </c>
      <c r="BJ57" s="89">
        <f t="shared" ca="1" si="11"/>
        <v>3</v>
      </c>
      <c r="BK57" s="89">
        <f t="shared" ca="1" si="12"/>
        <v>6</v>
      </c>
      <c r="BL57" s="89">
        <f t="shared" ca="1" si="13"/>
        <v>24</v>
      </c>
      <c r="BM57" s="89">
        <f t="shared" ca="1" si="14"/>
        <v>8</v>
      </c>
      <c r="BN57" s="89" t="str">
        <f t="shared" ca="1" si="15"/>
        <v>S4!B771:H787</v>
      </c>
      <c r="BO57" s="89" t="str">
        <f t="shared" ca="1" si="16"/>
        <v>e</v>
      </c>
      <c r="BP57" s="89" t="str">
        <f t="shared" ca="1" si="17"/>
        <v>w</v>
      </c>
      <c r="BQ57" s="89" t="str">
        <f t="shared" ca="1" si="18"/>
        <v>w</v>
      </c>
      <c r="BR57" s="87" t="str">
        <f t="shared" ca="1" si="19"/>
        <v>x</v>
      </c>
      <c r="BS57" s="89" t="str">
        <f t="shared" ca="1" si="20"/>
        <v/>
      </c>
      <c r="BT57" s="89" t="str">
        <f t="shared" ca="1" si="21"/>
        <v/>
      </c>
      <c r="BU57" s="89" t="str">
        <f t="shared" ca="1" si="22"/>
        <v/>
      </c>
      <c r="BV57" s="87" t="str">
        <f t="shared" ca="1" si="23"/>
        <v/>
      </c>
      <c r="BW57" s="87" t="str">
        <f t="shared" ca="1" si="24"/>
        <v>17040506</v>
      </c>
      <c r="BX57" s="89">
        <f t="shared" ca="1" si="25"/>
        <v>0</v>
      </c>
    </row>
    <row r="58" spans="1:76">
      <c r="A58" s="90" t="str">
        <f t="shared" si="2"/>
        <v/>
      </c>
      <c r="B58" s="99">
        <v>5</v>
      </c>
      <c r="C58" s="92">
        <v>3</v>
      </c>
      <c r="D58" s="92">
        <v>-4</v>
      </c>
      <c r="E58" s="92">
        <v>2</v>
      </c>
      <c r="F58" s="92">
        <v>-3</v>
      </c>
      <c r="G58" s="92" t="s">
        <v>202</v>
      </c>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c r="AZ58" s="94"/>
      <c r="BA58" s="91">
        <f t="shared" ca="1" si="3"/>
        <v>789</v>
      </c>
      <c r="BB58" s="88" t="str">
        <f t="shared" ca="1" si="4"/>
        <v>A771:A1200</v>
      </c>
      <c r="BC58" s="89" t="str">
        <f t="shared" ca="1" si="5"/>
        <v>B789</v>
      </c>
      <c r="BD58" s="89">
        <f ca="1">IF(BC58=0,0,RANK(BF58,$BF$11:$BF$70,0)+(COUNTIF($BF58:$BF$70,BF58)-1))</f>
        <v>7</v>
      </c>
      <c r="BE58" s="89" t="str">
        <f t="shared" ca="1" si="6"/>
        <v>190403</v>
      </c>
      <c r="BF58" s="89">
        <f t="shared" ca="1" si="7"/>
        <v>19040315</v>
      </c>
      <c r="BG58" s="89">
        <f t="shared" ca="1" si="8"/>
        <v>19</v>
      </c>
      <c r="BH58" s="89">
        <f t="shared" ca="1" si="9"/>
        <v>3</v>
      </c>
      <c r="BI58" s="89" t="str">
        <f t="shared" ca="1" si="10"/>
        <v>B809</v>
      </c>
      <c r="BJ58" s="89">
        <f t="shared" ca="1" si="11"/>
        <v>6</v>
      </c>
      <c r="BK58" s="89">
        <f t="shared" ca="1" si="12"/>
        <v>15</v>
      </c>
      <c r="BL58" s="89">
        <f t="shared" ca="1" si="13"/>
        <v>57</v>
      </c>
      <c r="BM58" s="89">
        <f t="shared" ca="1" si="14"/>
        <v>17</v>
      </c>
      <c r="BN58" s="89" t="str">
        <f t="shared" ca="1" si="15"/>
        <v>S4!B790:Q808</v>
      </c>
      <c r="BO58" s="89" t="str">
        <f t="shared" ca="1" si="16"/>
        <v>e</v>
      </c>
      <c r="BP58" s="89" t="str">
        <f t="shared" ca="1" si="17"/>
        <v>b</v>
      </c>
      <c r="BQ58" s="89" t="str">
        <f t="shared" ca="1" si="18"/>
        <v/>
      </c>
      <c r="BR58" s="87" t="str">
        <f t="shared" ca="1" si="19"/>
        <v/>
      </c>
      <c r="BS58" s="89" t="str">
        <f t="shared" ca="1" si="20"/>
        <v>a</v>
      </c>
      <c r="BT58" s="89" t="str">
        <f t="shared" ca="1" si="21"/>
        <v/>
      </c>
      <c r="BU58" s="89" t="str">
        <f t="shared" ca="1" si="22"/>
        <v/>
      </c>
      <c r="BV58" s="87" t="str">
        <f t="shared" ca="1" si="23"/>
        <v/>
      </c>
      <c r="BW58" s="87" t="str">
        <f t="shared" ca="1" si="24"/>
        <v>19040315</v>
      </c>
      <c r="BX58" s="89">
        <f t="shared" ca="1" si="25"/>
        <v>0</v>
      </c>
    </row>
    <row r="59" spans="1:76">
      <c r="A59" s="90" t="str">
        <f t="shared" si="2"/>
        <v/>
      </c>
      <c r="B59" s="98">
        <v>6</v>
      </c>
      <c r="C59" s="94">
        <v>4</v>
      </c>
      <c r="D59" s="94">
        <v>-2</v>
      </c>
      <c r="E59" s="94">
        <v>3</v>
      </c>
      <c r="F59" s="94" t="s">
        <v>202</v>
      </c>
      <c r="G59" s="94">
        <v>-1</v>
      </c>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1">
        <f t="shared" ca="1" si="3"/>
        <v>810</v>
      </c>
      <c r="BB59" s="88" t="str">
        <f t="shared" ca="1" si="4"/>
        <v>A790:A1200</v>
      </c>
      <c r="BC59" s="89" t="str">
        <f t="shared" ca="1" si="5"/>
        <v>B810</v>
      </c>
      <c r="BD59" s="89">
        <f ca="1">IF(BC59=0,0,RANK(BF59,$BF$11:$BF$70,0)+(COUNTIF($BF59:$BF$70,BF59)-1))</f>
        <v>8</v>
      </c>
      <c r="BE59" s="89" t="str">
        <f t="shared" ca="1" si="6"/>
        <v>190402</v>
      </c>
      <c r="BF59" s="89">
        <f t="shared" ca="1" si="7"/>
        <v>19040221</v>
      </c>
      <c r="BG59" s="89">
        <f t="shared" ca="1" si="8"/>
        <v>19</v>
      </c>
      <c r="BH59" s="89">
        <f t="shared" ca="1" si="9"/>
        <v>2</v>
      </c>
      <c r="BI59" s="89" t="str">
        <f t="shared" ca="1" si="10"/>
        <v>B830</v>
      </c>
      <c r="BJ59" s="89">
        <f t="shared" ca="1" si="11"/>
        <v>9</v>
      </c>
      <c r="BK59" s="89">
        <f t="shared" ca="1" si="12"/>
        <v>21</v>
      </c>
      <c r="BL59" s="89">
        <f t="shared" ca="1" si="13"/>
        <v>81</v>
      </c>
      <c r="BM59" s="89">
        <f t="shared" ca="1" si="14"/>
        <v>23</v>
      </c>
      <c r="BN59" s="89" t="str">
        <f t="shared" ca="1" si="15"/>
        <v>S4!B811:W829</v>
      </c>
      <c r="BO59" s="89" t="str">
        <f t="shared" ca="1" si="16"/>
        <v>e</v>
      </c>
      <c r="BP59" s="89" t="str">
        <f t="shared" ca="1" si="17"/>
        <v>w</v>
      </c>
      <c r="BQ59" s="89" t="str">
        <f t="shared" ca="1" si="18"/>
        <v>w</v>
      </c>
      <c r="BR59" s="87" t="str">
        <f t="shared" ca="1" si="19"/>
        <v/>
      </c>
      <c r="BS59" s="89" t="str">
        <f t="shared" ca="1" si="20"/>
        <v/>
      </c>
      <c r="BT59" s="89" t="str">
        <f t="shared" ca="1" si="21"/>
        <v/>
      </c>
      <c r="BU59" s="89" t="str">
        <f t="shared" ca="1" si="22"/>
        <v/>
      </c>
      <c r="BV59" s="87" t="str">
        <f t="shared" ca="1" si="23"/>
        <v/>
      </c>
      <c r="BW59" s="87" t="str">
        <f t="shared" ca="1" si="24"/>
        <v>19040221</v>
      </c>
      <c r="BX59" s="89">
        <f t="shared" ca="1" si="25"/>
        <v>0</v>
      </c>
    </row>
    <row r="60" spans="1:76">
      <c r="A60" s="90" t="str">
        <f t="shared" si="2"/>
        <v/>
      </c>
      <c r="B60" s="98">
        <v>7</v>
      </c>
      <c r="C60" s="94" t="s">
        <v>202</v>
      </c>
      <c r="D60" s="94">
        <v>-3</v>
      </c>
      <c r="E60" s="94">
        <v>4</v>
      </c>
      <c r="F60" s="94">
        <v>-2</v>
      </c>
      <c r="G60" s="94">
        <v>1</v>
      </c>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1">
        <f t="shared" ca="1" si="3"/>
        <v>831</v>
      </c>
      <c r="BB60" s="88" t="str">
        <f t="shared" ca="1" si="4"/>
        <v>A811:A1200</v>
      </c>
      <c r="BC60" s="89" t="str">
        <f t="shared" ca="1" si="5"/>
        <v>B831</v>
      </c>
      <c r="BD60" s="89">
        <f ca="1">IF(BC60=0,0,RANK(BF60,$BF$11:$BF$70,0)+(COUNTIF($BF60:$BF$70,BF60)-1))</f>
        <v>41</v>
      </c>
      <c r="BE60" s="89" t="str">
        <f t="shared" ca="1" si="6"/>
        <v>130401</v>
      </c>
      <c r="BF60" s="89">
        <f t="shared" ca="1" si="7"/>
        <v>13040126</v>
      </c>
      <c r="BG60" s="89">
        <f t="shared" ca="1" si="8"/>
        <v>13</v>
      </c>
      <c r="BH60" s="89">
        <f t="shared" ca="1" si="9"/>
        <v>1</v>
      </c>
      <c r="BI60" s="89" t="str">
        <f t="shared" ca="1" si="10"/>
        <v>B845</v>
      </c>
      <c r="BJ60" s="89">
        <f t="shared" ca="1" si="11"/>
        <v>12</v>
      </c>
      <c r="BK60" s="89">
        <f t="shared" ca="1" si="12"/>
        <v>26</v>
      </c>
      <c r="BL60" s="89">
        <f t="shared" ca="1" si="13"/>
        <v>78</v>
      </c>
      <c r="BM60" s="89">
        <f t="shared" ca="1" si="14"/>
        <v>28</v>
      </c>
      <c r="BN60" s="89" t="str">
        <f t="shared" ca="1" si="15"/>
        <v>S4!B832:AB844</v>
      </c>
      <c r="BO60" s="89" t="str">
        <f t="shared" ca="1" si="16"/>
        <v>e</v>
      </c>
      <c r="BP60" s="89" t="str">
        <f t="shared" ca="1" si="17"/>
        <v/>
      </c>
      <c r="BQ60" s="89" t="str">
        <f t="shared" ca="1" si="18"/>
        <v/>
      </c>
      <c r="BR60" s="87" t="str">
        <f t="shared" ca="1" si="19"/>
        <v/>
      </c>
      <c r="BS60" s="89" t="str">
        <f t="shared" ca="1" si="20"/>
        <v/>
      </c>
      <c r="BT60" s="89" t="str">
        <f t="shared" ca="1" si="21"/>
        <v/>
      </c>
      <c r="BU60" s="89" t="str">
        <f t="shared" ca="1" si="22"/>
        <v/>
      </c>
      <c r="BV60" s="87" t="str">
        <f t="shared" ca="1" si="23"/>
        <v/>
      </c>
      <c r="BW60" s="87" t="str">
        <f t="shared" ca="1" si="24"/>
        <v>13040126</v>
      </c>
      <c r="BX60" s="89">
        <f t="shared" ca="1" si="25"/>
        <v>0</v>
      </c>
    </row>
    <row r="61" spans="1:76">
      <c r="A61" s="90" t="str">
        <f t="shared" si="2"/>
        <v/>
      </c>
      <c r="B61" s="98">
        <v>8</v>
      </c>
      <c r="C61" s="94">
        <v>1</v>
      </c>
      <c r="D61" s="94" t="s">
        <v>202</v>
      </c>
      <c r="E61" s="94">
        <v>-3</v>
      </c>
      <c r="F61" s="94">
        <v>2</v>
      </c>
      <c r="G61" s="94">
        <v>-4</v>
      </c>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AZ61" s="94"/>
      <c r="BA61" s="91">
        <f t="shared" ca="1" si="3"/>
        <v>846</v>
      </c>
      <c r="BB61" s="88" t="str">
        <f t="shared" ca="1" si="4"/>
        <v>A832:A1200</v>
      </c>
      <c r="BC61" s="89" t="str">
        <f t="shared" ca="1" si="5"/>
        <v>B846</v>
      </c>
      <c r="BD61" s="89">
        <f ca="1">IF(BC61=0,0,RANK(BF61,$BF$11:$BF$70,0)+(COUNTIF($BF61:$BF$70,BF61)-1))</f>
        <v>39</v>
      </c>
      <c r="BE61" s="89" t="str">
        <f t="shared" ca="1" si="6"/>
        <v>130402</v>
      </c>
      <c r="BF61" s="89">
        <f t="shared" ca="1" si="7"/>
        <v>13040213</v>
      </c>
      <c r="BG61" s="89">
        <f t="shared" ca="1" si="8"/>
        <v>13</v>
      </c>
      <c r="BH61" s="89">
        <f t="shared" ca="1" si="9"/>
        <v>2</v>
      </c>
      <c r="BI61" s="89" t="str">
        <f t="shared" ca="1" si="10"/>
        <v>B860</v>
      </c>
      <c r="BJ61" s="89">
        <f t="shared" ca="1" si="11"/>
        <v>6</v>
      </c>
      <c r="BK61" s="89">
        <f t="shared" ca="1" si="12"/>
        <v>13</v>
      </c>
      <c r="BL61" s="89">
        <f t="shared" ca="1" si="13"/>
        <v>39</v>
      </c>
      <c r="BM61" s="89">
        <f t="shared" ca="1" si="14"/>
        <v>15</v>
      </c>
      <c r="BN61" s="89" t="str">
        <f t="shared" ca="1" si="15"/>
        <v>S4!B847:O859</v>
      </c>
      <c r="BO61" s="89" t="str">
        <f t="shared" ca="1" si="16"/>
        <v>e</v>
      </c>
      <c r="BP61" s="89" t="str">
        <f t="shared" ca="1" si="17"/>
        <v>b</v>
      </c>
      <c r="BQ61" s="89" t="str">
        <f t="shared" ca="1" si="18"/>
        <v/>
      </c>
      <c r="BR61" s="87" t="str">
        <f t="shared" ca="1" si="19"/>
        <v/>
      </c>
      <c r="BS61" s="89" t="str">
        <f t="shared" ca="1" si="20"/>
        <v>a</v>
      </c>
      <c r="BT61" s="89" t="str">
        <f t="shared" ca="1" si="21"/>
        <v/>
      </c>
      <c r="BU61" s="89" t="str">
        <f t="shared" ca="1" si="22"/>
        <v/>
      </c>
      <c r="BV61" s="87" t="str">
        <f t="shared" ca="1" si="23"/>
        <v/>
      </c>
      <c r="BW61" s="87" t="str">
        <f t="shared" ca="1" si="24"/>
        <v>13040213</v>
      </c>
      <c r="BX61" s="89">
        <f t="shared" ca="1" si="25"/>
        <v>0</v>
      </c>
    </row>
    <row r="62" spans="1:76">
      <c r="A62" s="90" t="str">
        <f t="shared" si="2"/>
        <v/>
      </c>
      <c r="B62" s="98">
        <v>9</v>
      </c>
      <c r="C62" s="94">
        <v>-4</v>
      </c>
      <c r="D62" s="94">
        <v>3</v>
      </c>
      <c r="E62" s="94" t="s">
        <v>202</v>
      </c>
      <c r="F62" s="94">
        <v>-1</v>
      </c>
      <c r="G62" s="94">
        <v>4</v>
      </c>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1">
        <f t="shared" ca="1" si="3"/>
        <v>861</v>
      </c>
      <c r="BB62" s="88" t="str">
        <f t="shared" ca="1" si="4"/>
        <v>A847:A1200</v>
      </c>
      <c r="BC62" s="89" t="str">
        <f t="shared" ca="1" si="5"/>
        <v>B861</v>
      </c>
      <c r="BD62" s="89">
        <f ca="1">IF(BC62=0,0,RANK(BF62,$BF$11:$BF$70,0)+(COUNTIF($BF62:$BF$70,BF62)-1))</f>
        <v>13</v>
      </c>
      <c r="BE62" s="89" t="str">
        <f t="shared" ca="1" si="6"/>
        <v>180402</v>
      </c>
      <c r="BF62" s="89">
        <f t="shared" ca="1" si="7"/>
        <v>18040219</v>
      </c>
      <c r="BG62" s="89">
        <f t="shared" ca="1" si="8"/>
        <v>18</v>
      </c>
      <c r="BH62" s="89">
        <f t="shared" ca="1" si="9"/>
        <v>2</v>
      </c>
      <c r="BI62" s="89" t="str">
        <f t="shared" ca="1" si="10"/>
        <v>B880</v>
      </c>
      <c r="BJ62" s="89">
        <f t="shared" ca="1" si="11"/>
        <v>8</v>
      </c>
      <c r="BK62" s="89">
        <f t="shared" ca="1" si="12"/>
        <v>19</v>
      </c>
      <c r="BL62" s="89">
        <f t="shared" ca="1" si="13"/>
        <v>72</v>
      </c>
      <c r="BM62" s="89">
        <f t="shared" ca="1" si="14"/>
        <v>21</v>
      </c>
      <c r="BN62" s="89" t="str">
        <f t="shared" ca="1" si="15"/>
        <v>S4!B862:U879</v>
      </c>
      <c r="BO62" s="89" t="str">
        <f t="shared" ca="1" si="16"/>
        <v>c</v>
      </c>
      <c r="BP62" s="89" t="str">
        <f t="shared" ca="1" si="17"/>
        <v/>
      </c>
      <c r="BQ62" s="89" t="str">
        <f t="shared" ca="1" si="18"/>
        <v/>
      </c>
      <c r="BR62" s="87" t="str">
        <f t="shared" ca="1" si="19"/>
        <v/>
      </c>
      <c r="BS62" s="89" t="str">
        <f t="shared" ca="1" si="20"/>
        <v/>
      </c>
      <c r="BT62" s="89" t="str">
        <f t="shared" ca="1" si="21"/>
        <v/>
      </c>
      <c r="BU62" s="89" t="str">
        <f t="shared" ca="1" si="22"/>
        <v/>
      </c>
      <c r="BV62" s="87" t="str">
        <f t="shared" ca="1" si="23"/>
        <v>c</v>
      </c>
      <c r="BW62" s="87" t="str">
        <f t="shared" ca="1" si="24"/>
        <v>18040219</v>
      </c>
      <c r="BX62" s="89" t="str">
        <f t="shared" ca="1" si="25"/>
        <v>33</v>
      </c>
    </row>
    <row r="63" spans="1:76">
      <c r="A63" s="90" t="str">
        <f t="shared" si="2"/>
        <v/>
      </c>
      <c r="B63" s="98">
        <v>10</v>
      </c>
      <c r="C63" s="94">
        <v>-1</v>
      </c>
      <c r="D63" s="94">
        <v>2</v>
      </c>
      <c r="E63" s="94">
        <v>-4</v>
      </c>
      <c r="F63" s="94">
        <v>1</v>
      </c>
      <c r="G63" s="94" t="s">
        <v>202</v>
      </c>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1">
        <f t="shared" ca="1" si="3"/>
        <v>881</v>
      </c>
      <c r="BB63" s="88" t="str">
        <f t="shared" ca="1" si="4"/>
        <v>A862:A1200</v>
      </c>
      <c r="BC63" s="89" t="str">
        <f t="shared" ca="1" si="5"/>
        <v>B881</v>
      </c>
      <c r="BD63" s="89">
        <f ca="1">IF(BC63=0,0,RANK(BF63,$BF$11:$BF$70,0)+(COUNTIF($BF63:$BF$70,BF63)-1))</f>
        <v>42</v>
      </c>
      <c r="BE63" s="89" t="str">
        <f t="shared" ca="1" si="6"/>
        <v>130401</v>
      </c>
      <c r="BF63" s="89">
        <f t="shared" ca="1" si="7"/>
        <v>13040120</v>
      </c>
      <c r="BG63" s="89">
        <f t="shared" ca="1" si="8"/>
        <v>13</v>
      </c>
      <c r="BH63" s="89">
        <f t="shared" ca="1" si="9"/>
        <v>1</v>
      </c>
      <c r="BI63" s="89" t="str">
        <f t="shared" ca="1" si="10"/>
        <v>B895</v>
      </c>
      <c r="BJ63" s="89">
        <f t="shared" ca="1" si="11"/>
        <v>12</v>
      </c>
      <c r="BK63" s="89">
        <f t="shared" ca="1" si="12"/>
        <v>20</v>
      </c>
      <c r="BL63" s="89">
        <f t="shared" ca="1" si="13"/>
        <v>78</v>
      </c>
      <c r="BM63" s="89">
        <f t="shared" ca="1" si="14"/>
        <v>22</v>
      </c>
      <c r="BN63" s="89" t="str">
        <f t="shared" ca="1" si="15"/>
        <v>S4!B882:V894</v>
      </c>
      <c r="BO63" s="89" t="str">
        <f t="shared" ca="1" si="16"/>
        <v>c</v>
      </c>
      <c r="BP63" s="89" t="str">
        <f t="shared" ca="1" si="17"/>
        <v/>
      </c>
      <c r="BQ63" s="89" t="str">
        <f t="shared" ca="1" si="18"/>
        <v/>
      </c>
      <c r="BR63" s="87" t="str">
        <f t="shared" ca="1" si="19"/>
        <v/>
      </c>
      <c r="BS63" s="89" t="str">
        <f t="shared" ca="1" si="20"/>
        <v/>
      </c>
      <c r="BT63" s="89" t="str">
        <f t="shared" ca="1" si="21"/>
        <v/>
      </c>
      <c r="BU63" s="89" t="str">
        <f t="shared" ca="1" si="22"/>
        <v/>
      </c>
      <c r="BV63" s="87" t="str">
        <f t="shared" ca="1" si="23"/>
        <v>c</v>
      </c>
      <c r="BW63" s="87" t="str">
        <f t="shared" ca="1" si="24"/>
        <v>13040120</v>
      </c>
      <c r="BX63" s="89" t="str">
        <f t="shared" ca="1" si="25"/>
        <v>33</v>
      </c>
    </row>
    <row r="64" spans="1:76">
      <c r="A64" s="90" t="str">
        <f t="shared" si="2"/>
        <v/>
      </c>
      <c r="B64" s="98" t="s">
        <v>268</v>
      </c>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1">
        <f t="shared" ca="1" si="3"/>
        <v>896</v>
      </c>
      <c r="BB64" s="88" t="str">
        <f t="shared" ca="1" si="4"/>
        <v>A882:A1200</v>
      </c>
      <c r="BC64" s="89" t="str">
        <f t="shared" ca="1" si="5"/>
        <v>B896</v>
      </c>
      <c r="BD64" s="89">
        <f ca="1">IF(BC64=0,0,RANK(BF64,$BF$11:$BF$70,0)+(COUNTIF($BF64:$BF$70,BF64)-1))</f>
        <v>10</v>
      </c>
      <c r="BE64" s="89" t="str">
        <f t="shared" ca="1" si="6"/>
        <v>180403</v>
      </c>
      <c r="BF64" s="89">
        <f t="shared" ca="1" si="7"/>
        <v>18040312</v>
      </c>
      <c r="BG64" s="89">
        <f t="shared" ca="1" si="8"/>
        <v>18</v>
      </c>
      <c r="BH64" s="89">
        <f t="shared" ca="1" si="9"/>
        <v>3</v>
      </c>
      <c r="BI64" s="89" t="str">
        <f t="shared" ca="1" si="10"/>
        <v>B915</v>
      </c>
      <c r="BJ64" s="89">
        <f t="shared" ca="1" si="11"/>
        <v>5</v>
      </c>
      <c r="BK64" s="89">
        <f t="shared" ca="1" si="12"/>
        <v>12</v>
      </c>
      <c r="BL64" s="89">
        <f t="shared" ca="1" si="13"/>
        <v>45</v>
      </c>
      <c r="BM64" s="89">
        <f t="shared" ca="1" si="14"/>
        <v>14</v>
      </c>
      <c r="BN64" s="89" t="str">
        <f t="shared" ca="1" si="15"/>
        <v>S4!B897:N914</v>
      </c>
      <c r="BO64" s="89" t="str">
        <f t="shared" ca="1" si="16"/>
        <v>e</v>
      </c>
      <c r="BP64" s="89" t="str">
        <f t="shared" ca="1" si="17"/>
        <v/>
      </c>
      <c r="BQ64" s="89" t="str">
        <f t="shared" ca="1" si="18"/>
        <v/>
      </c>
      <c r="BR64" s="87" t="str">
        <f t="shared" ca="1" si="19"/>
        <v/>
      </c>
      <c r="BS64" s="89" t="str">
        <f t="shared" ca="1" si="20"/>
        <v/>
      </c>
      <c r="BT64" s="89" t="str">
        <f t="shared" ca="1" si="21"/>
        <v/>
      </c>
      <c r="BU64" s="89" t="str">
        <f t="shared" ca="1" si="22"/>
        <v/>
      </c>
      <c r="BV64" s="87" t="str">
        <f t="shared" ca="1" si="23"/>
        <v/>
      </c>
      <c r="BW64" s="87" t="str">
        <f t="shared" ca="1" si="24"/>
        <v>18040312</v>
      </c>
      <c r="BX64" s="89">
        <f t="shared" ca="1" si="25"/>
        <v>0</v>
      </c>
    </row>
    <row r="65" spans="1:76">
      <c r="A65" s="90">
        <f t="shared" si="2"/>
        <v>65</v>
      </c>
      <c r="B65" s="98" t="s">
        <v>269</v>
      </c>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1">
        <f t="shared" ca="1" si="3"/>
        <v>916</v>
      </c>
      <c r="BB65" s="88" t="str">
        <f ca="1">IF(BA64=0,"",CONCATENATE("A",BA64+1,":A",BB$10))</f>
        <v>A897:A1200</v>
      </c>
      <c r="BC65" s="89" t="str">
        <f t="shared" ca="1" si="5"/>
        <v>B916</v>
      </c>
      <c r="BD65" s="89">
        <f ca="1">IF(BC65=0,0,RANK(BF65,$BF$11:$BF$70,0)+(COUNTIF($BF65:$BF$70,BF65)-1))</f>
        <v>50</v>
      </c>
      <c r="BE65" s="89" t="str">
        <f t="shared" ca="1" si="6"/>
        <v>110402</v>
      </c>
      <c r="BF65" s="89">
        <f t="shared" ca="1" si="7"/>
        <v>11040207</v>
      </c>
      <c r="BG65" s="89">
        <f t="shared" ca="1" si="8"/>
        <v>11</v>
      </c>
      <c r="BH65" s="89">
        <f t="shared" ca="1" si="9"/>
        <v>2</v>
      </c>
      <c r="BI65" s="89" t="str">
        <f t="shared" ca="1" si="10"/>
        <v>B928</v>
      </c>
      <c r="BJ65" s="89">
        <f t="shared" ca="1" si="11"/>
        <v>5</v>
      </c>
      <c r="BK65" s="89">
        <f t="shared" ca="1" si="12"/>
        <v>7</v>
      </c>
      <c r="BL65" s="89">
        <f t="shared" ca="1" si="13"/>
        <v>25</v>
      </c>
      <c r="BM65" s="89">
        <f t="shared" ca="1" si="14"/>
        <v>9</v>
      </c>
      <c r="BN65" s="89" t="str">
        <f t="shared" ca="1" si="15"/>
        <v>S4!B917:I927</v>
      </c>
      <c r="BO65" s="89" t="str">
        <f t="shared" ca="1" si="16"/>
        <v>c</v>
      </c>
      <c r="BP65" s="89" t="str">
        <f t="shared" ca="1" si="17"/>
        <v/>
      </c>
      <c r="BQ65" s="89" t="str">
        <f t="shared" ca="1" si="18"/>
        <v/>
      </c>
      <c r="BR65" s="87" t="str">
        <f t="shared" ca="1" si="19"/>
        <v/>
      </c>
      <c r="BS65" s="89" t="str">
        <f t="shared" ca="1" si="20"/>
        <v/>
      </c>
      <c r="BT65" s="89" t="str">
        <f t="shared" ca="1" si="21"/>
        <v/>
      </c>
      <c r="BU65" s="89" t="str">
        <f t="shared" ca="1" si="22"/>
        <v/>
      </c>
      <c r="BV65" s="87" t="str">
        <f t="shared" ca="1" si="23"/>
        <v>c</v>
      </c>
      <c r="BW65" s="87" t="str">
        <f t="shared" ca="1" si="24"/>
        <v>11040207</v>
      </c>
      <c r="BX65" s="89" t="str">
        <f t="shared" ca="1" si="25"/>
        <v>33</v>
      </c>
    </row>
    <row r="66" spans="1:76">
      <c r="A66" s="90" t="str">
        <f t="shared" si="2"/>
        <v/>
      </c>
      <c r="B66" s="98">
        <v>1</v>
      </c>
      <c r="C66" s="94">
        <v>2</v>
      </c>
      <c r="D66" s="94" t="s">
        <v>210</v>
      </c>
      <c r="E66" s="94" t="s">
        <v>210</v>
      </c>
      <c r="F66" s="94">
        <v>-3</v>
      </c>
      <c r="G66" s="94">
        <v>-2</v>
      </c>
      <c r="H66" s="94" t="s">
        <v>210</v>
      </c>
      <c r="I66" s="94">
        <v>4</v>
      </c>
      <c r="J66" s="94" t="s">
        <v>210</v>
      </c>
      <c r="K66" s="94">
        <v>2</v>
      </c>
      <c r="L66" s="94" t="s">
        <v>210</v>
      </c>
      <c r="M66" s="94" t="s">
        <v>210</v>
      </c>
      <c r="N66" s="94">
        <v>-3</v>
      </c>
      <c r="O66" s="94">
        <v>-4</v>
      </c>
      <c r="P66" s="94" t="s">
        <v>210</v>
      </c>
      <c r="Q66" s="94" t="s">
        <v>210</v>
      </c>
      <c r="R66" s="94">
        <v>3</v>
      </c>
      <c r="S66" s="94">
        <v>-2</v>
      </c>
      <c r="T66" s="94" t="s">
        <v>210</v>
      </c>
      <c r="U66" s="94">
        <v>-4</v>
      </c>
      <c r="V66" s="94" t="s">
        <v>210</v>
      </c>
      <c r="W66" s="94">
        <v>3</v>
      </c>
      <c r="X66" s="94" t="s">
        <v>210</v>
      </c>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1">
        <f t="shared" ca="1" si="3"/>
        <v>929</v>
      </c>
      <c r="BB66" s="88" t="str">
        <f t="shared" ca="1" si="4"/>
        <v>A917:A1200</v>
      </c>
      <c r="BC66" s="89" t="str">
        <f t="shared" ca="1" si="5"/>
        <v>B929</v>
      </c>
      <c r="BD66" s="89">
        <f ca="1">IF(BC66=0,0,RANK(BF66,$BF$11:$BF$70,0)+(COUNTIF($BF66:$BF$70,BF66)-1))</f>
        <v>30</v>
      </c>
      <c r="BE66" s="89" t="str">
        <f t="shared" ca="1" si="6"/>
        <v>150402</v>
      </c>
      <c r="BF66" s="89">
        <f t="shared" ca="1" si="7"/>
        <v>15040213</v>
      </c>
      <c r="BG66" s="89">
        <f t="shared" ca="1" si="8"/>
        <v>15</v>
      </c>
      <c r="BH66" s="89">
        <f t="shared" ca="1" si="9"/>
        <v>2</v>
      </c>
      <c r="BI66" s="89" t="str">
        <f t="shared" ca="1" si="10"/>
        <v>B945</v>
      </c>
      <c r="BJ66" s="89">
        <f t="shared" ca="1" si="11"/>
        <v>7</v>
      </c>
      <c r="BK66" s="89">
        <f t="shared" ca="1" si="12"/>
        <v>13</v>
      </c>
      <c r="BL66" s="89">
        <f t="shared" ca="1" si="13"/>
        <v>49</v>
      </c>
      <c r="BM66" s="89">
        <f t="shared" ca="1" si="14"/>
        <v>15</v>
      </c>
      <c r="BN66" s="89" t="str">
        <f t="shared" ca="1" si="15"/>
        <v>S4!B930:O944</v>
      </c>
      <c r="BO66" s="89" t="str">
        <f t="shared" ca="1" si="16"/>
        <v>c</v>
      </c>
      <c r="BP66" s="89" t="str">
        <f t="shared" ca="1" si="17"/>
        <v/>
      </c>
      <c r="BQ66" s="89" t="str">
        <f t="shared" ca="1" si="18"/>
        <v/>
      </c>
      <c r="BR66" s="87" t="str">
        <f t="shared" ca="1" si="19"/>
        <v/>
      </c>
      <c r="BS66" s="89" t="str">
        <f t="shared" ca="1" si="20"/>
        <v/>
      </c>
      <c r="BT66" s="89" t="str">
        <f t="shared" ca="1" si="21"/>
        <v/>
      </c>
      <c r="BU66" s="89" t="str">
        <f t="shared" ca="1" si="22"/>
        <v/>
      </c>
      <c r="BV66" s="87" t="str">
        <f t="shared" ca="1" si="23"/>
        <v>c</v>
      </c>
      <c r="BW66" s="87" t="str">
        <f t="shared" ca="1" si="24"/>
        <v>15040213</v>
      </c>
      <c r="BX66" s="89" t="str">
        <f t="shared" ca="1" si="25"/>
        <v>33</v>
      </c>
    </row>
    <row r="67" spans="1:76">
      <c r="A67" s="90" t="str">
        <f t="shared" si="2"/>
        <v/>
      </c>
      <c r="B67" s="98">
        <v>2</v>
      </c>
      <c r="C67" s="94">
        <v>-1</v>
      </c>
      <c r="D67" s="94" t="s">
        <v>210</v>
      </c>
      <c r="E67" s="94">
        <v>2</v>
      </c>
      <c r="F67" s="94" t="s">
        <v>210</v>
      </c>
      <c r="G67" s="94" t="s">
        <v>210</v>
      </c>
      <c r="H67" s="94">
        <v>3</v>
      </c>
      <c r="I67" s="94">
        <v>-2</v>
      </c>
      <c r="J67" s="94" t="s">
        <v>210</v>
      </c>
      <c r="K67" s="94">
        <v>3</v>
      </c>
      <c r="L67" s="94" t="s">
        <v>210</v>
      </c>
      <c r="M67" s="94">
        <v>-4</v>
      </c>
      <c r="N67" s="94" t="s">
        <v>210</v>
      </c>
      <c r="O67" s="94" t="s">
        <v>210</v>
      </c>
      <c r="P67" s="94">
        <v>-3</v>
      </c>
      <c r="Q67" s="94" t="s">
        <v>210</v>
      </c>
      <c r="R67" s="94">
        <v>2</v>
      </c>
      <c r="S67" s="94">
        <v>1</v>
      </c>
      <c r="T67" s="94" t="s">
        <v>210</v>
      </c>
      <c r="U67" s="94" t="s">
        <v>210</v>
      </c>
      <c r="V67" s="94">
        <v>-2</v>
      </c>
      <c r="W67" s="94">
        <v>-3</v>
      </c>
      <c r="X67" s="94" t="s">
        <v>210</v>
      </c>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1">
        <f t="shared" ca="1" si="3"/>
        <v>946</v>
      </c>
      <c r="BB67" s="88" t="str">
        <f t="shared" ca="1" si="4"/>
        <v>A930:A1200</v>
      </c>
      <c r="BC67" s="89" t="str">
        <f t="shared" ca="1" si="5"/>
        <v>B946</v>
      </c>
      <c r="BD67" s="89">
        <f ca="1">IF(BC67=0,0,RANK(BF67,$BF$11:$BF$70,0)+(COUNTIF($BF67:$BF$70,BF67)-1))</f>
        <v>35</v>
      </c>
      <c r="BE67" s="89" t="str">
        <f t="shared" ca="1" si="6"/>
        <v>140402</v>
      </c>
      <c r="BF67" s="89">
        <f t="shared" ca="1" si="7"/>
        <v>14040212</v>
      </c>
      <c r="BG67" s="89">
        <f t="shared" ca="1" si="8"/>
        <v>14</v>
      </c>
      <c r="BH67" s="89">
        <f t="shared" ca="1" si="9"/>
        <v>2</v>
      </c>
      <c r="BI67" s="89" t="str">
        <f t="shared" ca="1" si="10"/>
        <v>B961</v>
      </c>
      <c r="BJ67" s="89">
        <f t="shared" ca="1" si="11"/>
        <v>6</v>
      </c>
      <c r="BK67" s="89">
        <f t="shared" ca="1" si="12"/>
        <v>12</v>
      </c>
      <c r="BL67" s="89">
        <f t="shared" ca="1" si="13"/>
        <v>42</v>
      </c>
      <c r="BM67" s="89">
        <f t="shared" ca="1" si="14"/>
        <v>14</v>
      </c>
      <c r="BN67" s="89" t="str">
        <f t="shared" ca="1" si="15"/>
        <v>S4!B947:N960</v>
      </c>
      <c r="BO67" s="89" t="str">
        <f t="shared" ca="1" si="16"/>
        <v>c</v>
      </c>
      <c r="BP67" s="89" t="str">
        <f t="shared" ca="1" si="17"/>
        <v/>
      </c>
      <c r="BQ67" s="89" t="str">
        <f t="shared" ca="1" si="18"/>
        <v/>
      </c>
      <c r="BR67" s="87" t="str">
        <f t="shared" ca="1" si="19"/>
        <v/>
      </c>
      <c r="BS67" s="89" t="str">
        <f t="shared" ca="1" si="20"/>
        <v/>
      </c>
      <c r="BT67" s="89" t="str">
        <f t="shared" ca="1" si="21"/>
        <v/>
      </c>
      <c r="BU67" s="89" t="str">
        <f t="shared" ca="1" si="22"/>
        <v/>
      </c>
      <c r="BV67" s="87" t="str">
        <f t="shared" ca="1" si="23"/>
        <v>c</v>
      </c>
      <c r="BW67" s="87" t="str">
        <f t="shared" ca="1" si="24"/>
        <v>14040212</v>
      </c>
      <c r="BX67" s="89" t="str">
        <f t="shared" ca="1" si="25"/>
        <v>44</v>
      </c>
    </row>
    <row r="68" spans="1:76">
      <c r="A68" s="90" t="str">
        <f t="shared" si="2"/>
        <v/>
      </c>
      <c r="B68" s="98">
        <v>3</v>
      </c>
      <c r="C68" s="94">
        <v>-3</v>
      </c>
      <c r="D68" s="94" t="s">
        <v>210</v>
      </c>
      <c r="E68" s="94">
        <v>-4</v>
      </c>
      <c r="F68" s="94" t="s">
        <v>210</v>
      </c>
      <c r="G68" s="94" t="s">
        <v>210</v>
      </c>
      <c r="H68" s="94">
        <v>2</v>
      </c>
      <c r="I68" s="94">
        <v>3</v>
      </c>
      <c r="J68" s="94" t="s">
        <v>210</v>
      </c>
      <c r="K68" s="94" t="s">
        <v>210</v>
      </c>
      <c r="L68" s="94">
        <v>-2</v>
      </c>
      <c r="M68" s="94">
        <v>1</v>
      </c>
      <c r="N68" s="94" t="s">
        <v>210</v>
      </c>
      <c r="O68" s="94">
        <v>-3</v>
      </c>
      <c r="P68" s="94" t="s">
        <v>210</v>
      </c>
      <c r="Q68" s="94" t="s">
        <v>210</v>
      </c>
      <c r="R68" s="94">
        <v>-2</v>
      </c>
      <c r="S68" s="94">
        <v>3</v>
      </c>
      <c r="T68" s="94" t="s">
        <v>210</v>
      </c>
      <c r="U68" s="94">
        <v>4</v>
      </c>
      <c r="V68" s="94" t="s">
        <v>210</v>
      </c>
      <c r="W68" s="94">
        <v>2</v>
      </c>
      <c r="X68" s="94" t="s">
        <v>210</v>
      </c>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1">
        <f t="shared" ca="1" si="3"/>
        <v>962</v>
      </c>
      <c r="BB68" s="88" t="str">
        <f t="shared" ca="1" si="4"/>
        <v>A947:A1200</v>
      </c>
      <c r="BC68" s="89" t="str">
        <f t="shared" ca="1" si="5"/>
        <v>B962</v>
      </c>
      <c r="BD68" s="89">
        <f ca="1">IF(BC68=0,0,RANK(BF68,$BF$11:$BF$70,0)+(COUNTIF($BF68:$BF$70,BF68)-1))</f>
        <v>1</v>
      </c>
      <c r="BE68" s="89" t="str">
        <f t="shared" ca="1" si="6"/>
        <v>210403</v>
      </c>
      <c r="BF68" s="89">
        <f t="shared" ca="1" si="7"/>
        <v>21040316</v>
      </c>
      <c r="BG68" s="89">
        <f t="shared" ca="1" si="8"/>
        <v>21</v>
      </c>
      <c r="BH68" s="89">
        <f t="shared" ca="1" si="9"/>
        <v>3</v>
      </c>
      <c r="BI68" s="89" t="str">
        <f t="shared" ca="1" si="10"/>
        <v>B984</v>
      </c>
      <c r="BJ68" s="89">
        <f t="shared" ca="1" si="11"/>
        <v>6</v>
      </c>
      <c r="BK68" s="89">
        <f t="shared" ca="1" si="12"/>
        <v>16</v>
      </c>
      <c r="BL68" s="89">
        <f t="shared" ca="1" si="13"/>
        <v>63</v>
      </c>
      <c r="BM68" s="89">
        <f t="shared" ca="1" si="14"/>
        <v>18</v>
      </c>
      <c r="BN68" s="89" t="str">
        <f t="shared" ca="1" si="15"/>
        <v>S4!B963:R983</v>
      </c>
      <c r="BO68" s="89" t="str">
        <f t="shared" ca="1" si="16"/>
        <v>c</v>
      </c>
      <c r="BP68" s="89" t="str">
        <f t="shared" ca="1" si="17"/>
        <v/>
      </c>
      <c r="BQ68" s="89" t="str">
        <f t="shared" ca="1" si="18"/>
        <v/>
      </c>
      <c r="BR68" s="87" t="str">
        <f t="shared" ca="1" si="19"/>
        <v/>
      </c>
      <c r="BS68" s="89" t="str">
        <f t="shared" ca="1" si="20"/>
        <v/>
      </c>
      <c r="BT68" s="89" t="str">
        <f t="shared" ca="1" si="21"/>
        <v/>
      </c>
      <c r="BU68" s="89" t="str">
        <f t="shared" ca="1" si="22"/>
        <v/>
      </c>
      <c r="BV68" s="87" t="str">
        <f t="shared" ca="1" si="23"/>
        <v>c</v>
      </c>
      <c r="BW68" s="87" t="str">
        <f t="shared" ca="1" si="24"/>
        <v>21040316</v>
      </c>
      <c r="BX68" s="89" t="str">
        <f t="shared" ca="1" si="25"/>
        <v>44</v>
      </c>
    </row>
    <row r="69" spans="1:76">
      <c r="A69" s="90" t="str">
        <f t="shared" si="2"/>
        <v/>
      </c>
      <c r="B69" s="98">
        <v>4</v>
      </c>
      <c r="C69" s="94">
        <v>4</v>
      </c>
      <c r="D69" s="94" t="s">
        <v>210</v>
      </c>
      <c r="E69" s="94" t="s">
        <v>210</v>
      </c>
      <c r="F69" s="94">
        <v>2</v>
      </c>
      <c r="G69" s="94">
        <v>-4</v>
      </c>
      <c r="H69" s="94" t="s">
        <v>210</v>
      </c>
      <c r="I69" s="94" t="s">
        <v>210</v>
      </c>
      <c r="J69" s="94">
        <v>3</v>
      </c>
      <c r="K69" s="94">
        <v>1</v>
      </c>
      <c r="L69" s="94" t="s">
        <v>210</v>
      </c>
      <c r="M69" s="94">
        <v>-3</v>
      </c>
      <c r="N69" s="94" t="s">
        <v>210</v>
      </c>
      <c r="O69" s="94">
        <v>2</v>
      </c>
      <c r="P69" s="94" t="s">
        <v>210</v>
      </c>
      <c r="Q69" s="94" t="s">
        <v>210</v>
      </c>
      <c r="R69" s="94">
        <v>-3</v>
      </c>
      <c r="S69" s="94">
        <v>-1</v>
      </c>
      <c r="T69" s="94" t="s">
        <v>210</v>
      </c>
      <c r="U69" s="94" t="s">
        <v>210</v>
      </c>
      <c r="V69" s="94">
        <v>3</v>
      </c>
      <c r="W69" s="94">
        <v>-2</v>
      </c>
      <c r="X69" s="94" t="s">
        <v>210</v>
      </c>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1">
        <f t="shared" ca="1" si="3"/>
        <v>0</v>
      </c>
      <c r="BB69" s="88" t="str">
        <f t="shared" ca="1" si="4"/>
        <v>A963:A1200</v>
      </c>
      <c r="BC69" s="89">
        <f t="shared" ca="1" si="5"/>
        <v>0</v>
      </c>
      <c r="BD69" s="89">
        <f ca="1">IF(BC69=0,0,RANK(BF69,$BF$11:$BF$70,0)+(COUNTIF($BF69:$BF$70,BF69)-1))</f>
        <v>0</v>
      </c>
      <c r="BE69" s="89">
        <f t="shared" ca="1" si="6"/>
        <v>0</v>
      </c>
      <c r="BF69" s="89">
        <f t="shared" ca="1" si="7"/>
        <v>0</v>
      </c>
      <c r="BG69" s="89">
        <f t="shared" ca="1" si="8"/>
        <v>0</v>
      </c>
      <c r="BH69" s="89">
        <f t="shared" ca="1" si="9"/>
        <v>0</v>
      </c>
      <c r="BI69" s="89">
        <f t="shared" ca="1" si="10"/>
        <v>0</v>
      </c>
      <c r="BJ69" s="89">
        <f t="shared" ca="1" si="11"/>
        <v>0</v>
      </c>
      <c r="BK69" s="89">
        <f t="shared" ca="1" si="12"/>
        <v>0</v>
      </c>
      <c r="BL69" s="89">
        <f t="shared" ca="1" si="13"/>
        <v>0</v>
      </c>
      <c r="BM69" s="89">
        <f t="shared" ca="1" si="14"/>
        <v>0</v>
      </c>
      <c r="BN69" s="89">
        <f t="shared" ca="1" si="15"/>
        <v>0</v>
      </c>
      <c r="BO69" s="89">
        <f t="shared" ca="1" si="16"/>
        <v>0</v>
      </c>
      <c r="BP69" s="89">
        <f t="shared" ca="1" si="17"/>
        <v>0</v>
      </c>
      <c r="BQ69" s="89">
        <f t="shared" ca="1" si="18"/>
        <v>0</v>
      </c>
      <c r="BR69" s="87">
        <f t="shared" ca="1" si="19"/>
        <v>0</v>
      </c>
      <c r="BS69" s="89">
        <f t="shared" ca="1" si="20"/>
        <v>0</v>
      </c>
      <c r="BT69" s="89">
        <f t="shared" ca="1" si="21"/>
        <v>0</v>
      </c>
      <c r="BU69" s="89">
        <f t="shared" ca="1" si="22"/>
        <v>0</v>
      </c>
      <c r="BV69" s="87">
        <f t="shared" ca="1" si="23"/>
        <v>0</v>
      </c>
      <c r="BW69" s="87" t="str">
        <f t="shared" ca="1" si="24"/>
        <v>000</v>
      </c>
      <c r="BX69" s="89">
        <f t="shared" ca="1" si="25"/>
        <v>0</v>
      </c>
    </row>
    <row r="70" spans="1:76">
      <c r="A70" s="90" t="str">
        <f t="shared" si="2"/>
        <v/>
      </c>
      <c r="B70" s="98">
        <v>5</v>
      </c>
      <c r="C70" s="94" t="s">
        <v>210</v>
      </c>
      <c r="D70" s="94">
        <v>-2</v>
      </c>
      <c r="E70" s="94">
        <v>3</v>
      </c>
      <c r="F70" s="94" t="s">
        <v>210</v>
      </c>
      <c r="G70" s="94">
        <v>-1</v>
      </c>
      <c r="H70" s="94" t="s">
        <v>210</v>
      </c>
      <c r="I70" s="94">
        <v>2</v>
      </c>
      <c r="J70" s="94" t="s">
        <v>210</v>
      </c>
      <c r="K70" s="94" t="s">
        <v>210</v>
      </c>
      <c r="L70" s="94">
        <v>-3</v>
      </c>
      <c r="M70" s="94" t="s">
        <v>210</v>
      </c>
      <c r="N70" s="94">
        <v>-2</v>
      </c>
      <c r="O70" s="94">
        <v>3</v>
      </c>
      <c r="P70" s="94" t="s">
        <v>210</v>
      </c>
      <c r="Q70" s="94">
        <v>4</v>
      </c>
      <c r="R70" s="94" t="s">
        <v>210</v>
      </c>
      <c r="S70" s="94">
        <v>2</v>
      </c>
      <c r="T70" s="94" t="s">
        <v>210</v>
      </c>
      <c r="U70" s="94" t="s">
        <v>210</v>
      </c>
      <c r="V70" s="94">
        <v>-3</v>
      </c>
      <c r="W70" s="94">
        <v>1</v>
      </c>
      <c r="X70" s="94" t="s">
        <v>210</v>
      </c>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1">
        <f t="shared" ca="1" si="3"/>
        <v>0</v>
      </c>
      <c r="BB70" s="88" t="str">
        <f t="shared" ca="1" si="4"/>
        <v/>
      </c>
      <c r="BC70" s="89">
        <f t="shared" ca="1" si="5"/>
        <v>0</v>
      </c>
      <c r="BD70" s="89">
        <f ca="1">IF(BC70=0,0,RANK(BF70,$BF$11:$BF$70,0)+(COUNTIF($BF70:$BF$70,BF70)-1))</f>
        <v>0</v>
      </c>
      <c r="BE70" s="89">
        <f t="shared" ca="1" si="6"/>
        <v>0</v>
      </c>
      <c r="BF70" s="89">
        <f t="shared" ca="1" si="7"/>
        <v>0</v>
      </c>
      <c r="BG70" s="89">
        <f t="shared" ca="1" si="8"/>
        <v>0</v>
      </c>
      <c r="BH70" s="89">
        <f t="shared" ca="1" si="9"/>
        <v>0</v>
      </c>
      <c r="BI70" s="89">
        <f t="shared" ca="1" si="10"/>
        <v>0</v>
      </c>
      <c r="BJ70" s="89">
        <f t="shared" ca="1" si="11"/>
        <v>0</v>
      </c>
      <c r="BK70" s="89">
        <f t="shared" ca="1" si="12"/>
        <v>0</v>
      </c>
      <c r="BL70" s="89">
        <f t="shared" ca="1" si="13"/>
        <v>0</v>
      </c>
      <c r="BM70" s="89">
        <f t="shared" ca="1" si="14"/>
        <v>0</v>
      </c>
      <c r="BN70" s="89">
        <f t="shared" ca="1" si="15"/>
        <v>0</v>
      </c>
      <c r="BO70" s="89">
        <f t="shared" ca="1" si="16"/>
        <v>0</v>
      </c>
      <c r="BP70" s="89">
        <f t="shared" ca="1" si="17"/>
        <v>0</v>
      </c>
      <c r="BQ70" s="89">
        <f t="shared" ca="1" si="18"/>
        <v>0</v>
      </c>
      <c r="BR70" s="87">
        <f t="shared" ca="1" si="19"/>
        <v>0</v>
      </c>
      <c r="BS70" s="89">
        <f t="shared" ca="1" si="20"/>
        <v>0</v>
      </c>
      <c r="BT70" s="89">
        <f t="shared" ca="1" si="21"/>
        <v>0</v>
      </c>
      <c r="BU70" s="89">
        <f t="shared" ca="1" si="22"/>
        <v>0</v>
      </c>
      <c r="BV70" s="87">
        <f t="shared" ca="1" si="23"/>
        <v>0</v>
      </c>
      <c r="BW70" s="87" t="str">
        <f t="shared" ca="1" si="24"/>
        <v>000</v>
      </c>
      <c r="BX70" s="89">
        <f t="shared" ca="1" si="25"/>
        <v>0</v>
      </c>
    </row>
    <row r="71" spans="1:76">
      <c r="A71" s="90" t="str">
        <f t="shared" si="2"/>
        <v/>
      </c>
      <c r="B71" s="98">
        <v>6</v>
      </c>
      <c r="C71" s="94" t="s">
        <v>210</v>
      </c>
      <c r="D71" s="94">
        <v>-3</v>
      </c>
      <c r="E71" s="94">
        <v>-1</v>
      </c>
      <c r="F71" s="94" t="s">
        <v>210</v>
      </c>
      <c r="G71" s="94">
        <v>3</v>
      </c>
      <c r="H71" s="94" t="s">
        <v>210</v>
      </c>
      <c r="I71" s="94" t="s">
        <v>210</v>
      </c>
      <c r="J71" s="94">
        <v>-2</v>
      </c>
      <c r="K71" s="94">
        <v>4</v>
      </c>
      <c r="L71" s="94" t="s">
        <v>210</v>
      </c>
      <c r="M71" s="94" t="s">
        <v>210</v>
      </c>
      <c r="N71" s="94">
        <v>3</v>
      </c>
      <c r="O71" s="94">
        <v>-2</v>
      </c>
      <c r="P71" s="94" t="s">
        <v>210</v>
      </c>
      <c r="Q71" s="94">
        <v>1</v>
      </c>
      <c r="R71" s="94" t="s">
        <v>210</v>
      </c>
      <c r="S71" s="94">
        <v>-3</v>
      </c>
      <c r="T71" s="94" t="s">
        <v>210</v>
      </c>
      <c r="U71" s="94" t="s">
        <v>210</v>
      </c>
      <c r="V71" s="94">
        <v>2</v>
      </c>
      <c r="W71" s="94">
        <v>-1</v>
      </c>
      <c r="X71" s="94" t="s">
        <v>210</v>
      </c>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3"/>
      <c r="BB71" s="88"/>
    </row>
    <row r="72" spans="1:76">
      <c r="A72" s="90" t="str">
        <f t="shared" si="2"/>
        <v/>
      </c>
      <c r="B72" s="98">
        <v>7</v>
      </c>
      <c r="C72" s="94">
        <v>1</v>
      </c>
      <c r="D72" s="94" t="s">
        <v>210</v>
      </c>
      <c r="E72" s="94">
        <v>-3</v>
      </c>
      <c r="F72" s="94" t="s">
        <v>210</v>
      </c>
      <c r="G72" s="94">
        <v>2</v>
      </c>
      <c r="H72" s="94" t="s">
        <v>210</v>
      </c>
      <c r="I72" s="94">
        <v>-1</v>
      </c>
      <c r="J72" s="94" t="s">
        <v>210</v>
      </c>
      <c r="K72" s="94" t="s">
        <v>210</v>
      </c>
      <c r="L72" s="94">
        <v>2</v>
      </c>
      <c r="M72" s="94">
        <v>3</v>
      </c>
      <c r="N72" s="94" t="s">
        <v>210</v>
      </c>
      <c r="O72" s="94" t="s">
        <v>210</v>
      </c>
      <c r="P72" s="94">
        <v>-2</v>
      </c>
      <c r="Q72" s="94">
        <v>-1</v>
      </c>
      <c r="R72" s="94" t="s">
        <v>210</v>
      </c>
      <c r="S72" s="94" t="s">
        <v>210</v>
      </c>
      <c r="T72" s="94">
        <v>-2</v>
      </c>
      <c r="U72" s="94">
        <v>3</v>
      </c>
      <c r="V72" s="94" t="s">
        <v>210</v>
      </c>
      <c r="W72" s="94">
        <v>4</v>
      </c>
      <c r="X72" s="94" t="s">
        <v>210</v>
      </c>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3"/>
      <c r="BB72" s="88"/>
    </row>
    <row r="73" spans="1:76">
      <c r="A73" s="90" t="str">
        <f t="shared" si="2"/>
        <v/>
      </c>
      <c r="B73" s="98">
        <v>8</v>
      </c>
      <c r="C73" s="94">
        <v>-2</v>
      </c>
      <c r="D73" s="94" t="s">
        <v>210</v>
      </c>
      <c r="E73" s="94">
        <v>4</v>
      </c>
      <c r="F73" s="94" t="s">
        <v>210</v>
      </c>
      <c r="G73" s="94" t="s">
        <v>210</v>
      </c>
      <c r="H73" s="94">
        <v>-3</v>
      </c>
      <c r="I73" s="94" t="s">
        <v>210</v>
      </c>
      <c r="J73" s="94">
        <v>2</v>
      </c>
      <c r="K73" s="94">
        <v>-1</v>
      </c>
      <c r="L73" s="94" t="s">
        <v>210</v>
      </c>
      <c r="M73" s="94">
        <v>2</v>
      </c>
      <c r="N73" s="94" t="s">
        <v>210</v>
      </c>
      <c r="O73" s="94">
        <v>1</v>
      </c>
      <c r="P73" s="94" t="s">
        <v>210</v>
      </c>
      <c r="Q73" s="94">
        <v>-4</v>
      </c>
      <c r="R73" s="94" t="s">
        <v>210</v>
      </c>
      <c r="S73" s="94" t="s">
        <v>210</v>
      </c>
      <c r="T73" s="94">
        <v>3</v>
      </c>
      <c r="U73" s="94">
        <v>-2</v>
      </c>
      <c r="V73" s="94" t="s">
        <v>210</v>
      </c>
      <c r="W73" s="94">
        <v>-4</v>
      </c>
      <c r="X73" s="94" t="s">
        <v>210</v>
      </c>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5"/>
    </row>
    <row r="74" spans="1:76">
      <c r="A74" s="90" t="str">
        <f t="shared" si="2"/>
        <v/>
      </c>
      <c r="B74" s="98">
        <v>9</v>
      </c>
      <c r="C74" s="94" t="s">
        <v>210</v>
      </c>
      <c r="D74" s="94">
        <v>2</v>
      </c>
      <c r="E74" s="94" t="s">
        <v>210</v>
      </c>
      <c r="F74" s="94">
        <v>3</v>
      </c>
      <c r="G74" s="94">
        <v>4</v>
      </c>
      <c r="H74" s="94" t="s">
        <v>210</v>
      </c>
      <c r="I74" s="94">
        <v>-3</v>
      </c>
      <c r="J74" s="94" t="s">
        <v>210</v>
      </c>
      <c r="K74" s="94">
        <v>-4</v>
      </c>
      <c r="L74" s="94" t="s">
        <v>210</v>
      </c>
      <c r="M74" s="94">
        <v>-2</v>
      </c>
      <c r="N74" s="94" t="s">
        <v>210</v>
      </c>
      <c r="O74" s="94" t="s">
        <v>210</v>
      </c>
      <c r="P74" s="94">
        <v>3</v>
      </c>
      <c r="Q74" s="94">
        <v>2</v>
      </c>
      <c r="R74" s="94" t="s">
        <v>210</v>
      </c>
      <c r="S74" s="94">
        <v>4</v>
      </c>
      <c r="T74" s="94" t="s">
        <v>210</v>
      </c>
      <c r="U74" s="94">
        <v>-3</v>
      </c>
      <c r="V74" s="94" t="s">
        <v>210</v>
      </c>
      <c r="W74" s="94" t="s">
        <v>210</v>
      </c>
      <c r="X74" s="94">
        <v>-2</v>
      </c>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5"/>
    </row>
    <row r="75" spans="1:76">
      <c r="A75" s="90" t="str">
        <f t="shared" si="2"/>
        <v/>
      </c>
      <c r="B75" s="98">
        <v>10</v>
      </c>
      <c r="C75" s="94">
        <v>3</v>
      </c>
      <c r="D75" s="94" t="s">
        <v>210</v>
      </c>
      <c r="E75" s="94" t="s">
        <v>210</v>
      </c>
      <c r="F75" s="94">
        <v>-2</v>
      </c>
      <c r="G75" s="94">
        <v>-3</v>
      </c>
      <c r="H75" s="94" t="s">
        <v>210</v>
      </c>
      <c r="I75" s="94">
        <v>-4</v>
      </c>
      <c r="J75" s="94" t="s">
        <v>210</v>
      </c>
      <c r="K75" s="94" t="s">
        <v>210</v>
      </c>
      <c r="L75" s="94">
        <v>3</v>
      </c>
      <c r="M75" s="94">
        <v>4</v>
      </c>
      <c r="N75" s="94" t="s">
        <v>210</v>
      </c>
      <c r="O75" s="94">
        <v>-1</v>
      </c>
      <c r="P75" s="94" t="s">
        <v>210</v>
      </c>
      <c r="Q75" s="94">
        <v>-3</v>
      </c>
      <c r="R75" s="94" t="s">
        <v>210</v>
      </c>
      <c r="S75" s="94" t="s">
        <v>210</v>
      </c>
      <c r="T75" s="94">
        <v>2</v>
      </c>
      <c r="U75" s="94">
        <v>1</v>
      </c>
      <c r="V75" s="94" t="s">
        <v>210</v>
      </c>
      <c r="W75" s="94" t="s">
        <v>210</v>
      </c>
      <c r="X75" s="94">
        <v>2</v>
      </c>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5"/>
    </row>
    <row r="76" spans="1:76">
      <c r="A76" s="90" t="str">
        <f t="shared" ref="A76:A139" si="26">IF(MID(B76,3,2)="04",ROW(),"")</f>
        <v/>
      </c>
      <c r="B76" s="98">
        <v>11</v>
      </c>
      <c r="C76" s="94">
        <v>-4</v>
      </c>
      <c r="D76" s="94" t="s">
        <v>210</v>
      </c>
      <c r="E76" s="94">
        <v>1</v>
      </c>
      <c r="F76" s="94" t="s">
        <v>210</v>
      </c>
      <c r="G76" s="94" t="s">
        <v>210</v>
      </c>
      <c r="H76" s="94">
        <v>-2</v>
      </c>
      <c r="I76" s="94">
        <v>1</v>
      </c>
      <c r="J76" s="94" t="s">
        <v>210</v>
      </c>
      <c r="K76" s="94">
        <v>-3</v>
      </c>
      <c r="L76" s="94" t="s">
        <v>210</v>
      </c>
      <c r="M76" s="94" t="s">
        <v>210</v>
      </c>
      <c r="N76" s="94">
        <v>2</v>
      </c>
      <c r="O76" s="94">
        <v>4</v>
      </c>
      <c r="P76" s="94" t="s">
        <v>210</v>
      </c>
      <c r="Q76" s="94">
        <v>-2</v>
      </c>
      <c r="R76" s="94" t="s">
        <v>210</v>
      </c>
      <c r="S76" s="94" t="s">
        <v>210</v>
      </c>
      <c r="T76" s="94">
        <v>-3</v>
      </c>
      <c r="U76" s="94">
        <v>-1</v>
      </c>
      <c r="V76" s="94" t="s">
        <v>210</v>
      </c>
      <c r="W76" s="94" t="s">
        <v>210</v>
      </c>
      <c r="X76" s="94">
        <v>3</v>
      </c>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5"/>
    </row>
    <row r="77" spans="1:76">
      <c r="A77" s="90" t="str">
        <f t="shared" si="26"/>
        <v/>
      </c>
      <c r="B77" s="98">
        <v>12</v>
      </c>
      <c r="C77" s="94" t="s">
        <v>210</v>
      </c>
      <c r="D77" s="94">
        <v>3</v>
      </c>
      <c r="E77" s="94">
        <v>-2</v>
      </c>
      <c r="F77" s="94" t="s">
        <v>210</v>
      </c>
      <c r="G77" s="94">
        <v>1</v>
      </c>
      <c r="H77" s="94" t="s">
        <v>210</v>
      </c>
      <c r="I77" s="94" t="s">
        <v>210</v>
      </c>
      <c r="J77" s="94">
        <v>-3</v>
      </c>
      <c r="K77" s="94">
        <v>-2</v>
      </c>
      <c r="L77" s="94" t="s">
        <v>210</v>
      </c>
      <c r="M77" s="94">
        <v>-1</v>
      </c>
      <c r="N77" s="94" t="s">
        <v>210</v>
      </c>
      <c r="O77" s="94" t="s">
        <v>210</v>
      </c>
      <c r="P77" s="94">
        <v>2</v>
      </c>
      <c r="Q77" s="94">
        <v>3</v>
      </c>
      <c r="R77" s="94" t="s">
        <v>210</v>
      </c>
      <c r="S77" s="94">
        <v>-4</v>
      </c>
      <c r="T77" s="94" t="s">
        <v>210</v>
      </c>
      <c r="U77" s="94">
        <v>2</v>
      </c>
      <c r="V77" s="94" t="s">
        <v>210</v>
      </c>
      <c r="W77" s="94" t="s">
        <v>210</v>
      </c>
      <c r="X77" s="94">
        <v>-3</v>
      </c>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5"/>
    </row>
    <row r="78" spans="1:76">
      <c r="A78" s="90" t="str">
        <f t="shared" si="26"/>
        <v/>
      </c>
      <c r="B78" s="98" t="s">
        <v>270</v>
      </c>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5"/>
    </row>
    <row r="79" spans="1:76">
      <c r="A79" s="90">
        <f t="shared" si="26"/>
        <v>79</v>
      </c>
      <c r="B79" s="98" t="s">
        <v>271</v>
      </c>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5"/>
    </row>
    <row r="80" spans="1:76">
      <c r="A80" s="90" t="str">
        <f t="shared" si="26"/>
        <v/>
      </c>
      <c r="B80" s="98">
        <v>1</v>
      </c>
      <c r="C80" s="94">
        <v>1</v>
      </c>
      <c r="D80" s="94" t="s">
        <v>210</v>
      </c>
      <c r="E80" s="94">
        <v>-4</v>
      </c>
      <c r="F80" s="94" t="s">
        <v>210</v>
      </c>
      <c r="G80" s="94" t="s">
        <v>210</v>
      </c>
      <c r="H80" s="94">
        <v>-2</v>
      </c>
      <c r="I80" s="94" t="s">
        <v>210</v>
      </c>
      <c r="J80" s="94">
        <v>3</v>
      </c>
      <c r="K80" s="94">
        <v>-1</v>
      </c>
      <c r="L80" s="94" t="s">
        <v>210</v>
      </c>
      <c r="M80" s="94" t="s">
        <v>210</v>
      </c>
      <c r="N80" s="94">
        <v>-3</v>
      </c>
      <c r="O80" s="94">
        <v>2</v>
      </c>
      <c r="P80" s="94" t="s">
        <v>210</v>
      </c>
      <c r="Q80" s="94">
        <v>4</v>
      </c>
      <c r="R80" s="94" t="s">
        <v>210</v>
      </c>
      <c r="S80" s="94" t="s">
        <v>210</v>
      </c>
      <c r="T80" s="94">
        <v>-3</v>
      </c>
      <c r="U80" s="94">
        <v>-2</v>
      </c>
      <c r="V80" s="94" t="s">
        <v>210</v>
      </c>
      <c r="W80" s="94">
        <v>4</v>
      </c>
      <c r="X80" s="94" t="s">
        <v>210</v>
      </c>
      <c r="Y80" s="94" t="s">
        <v>210</v>
      </c>
      <c r="Z80" s="94">
        <v>3</v>
      </c>
      <c r="AA80" s="94">
        <v>2</v>
      </c>
      <c r="AB80" s="94" t="s">
        <v>210</v>
      </c>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5"/>
    </row>
    <row r="81" spans="1:53" s="87" customFormat="1">
      <c r="A81" s="90" t="str">
        <f t="shared" si="26"/>
        <v/>
      </c>
      <c r="B81" s="98">
        <v>2</v>
      </c>
      <c r="C81" s="94" t="s">
        <v>210</v>
      </c>
      <c r="D81" s="94">
        <v>-1</v>
      </c>
      <c r="E81" s="94">
        <v>2</v>
      </c>
      <c r="F81" s="94" t="s">
        <v>210</v>
      </c>
      <c r="G81" s="94" t="s">
        <v>210</v>
      </c>
      <c r="H81" s="94">
        <v>-3</v>
      </c>
      <c r="I81" s="94" t="s">
        <v>210</v>
      </c>
      <c r="J81" s="94">
        <v>1</v>
      </c>
      <c r="K81" s="94">
        <v>4</v>
      </c>
      <c r="L81" s="94" t="s">
        <v>210</v>
      </c>
      <c r="M81" s="94">
        <v>2</v>
      </c>
      <c r="N81" s="94" t="s">
        <v>210</v>
      </c>
      <c r="O81" s="94">
        <v>-3</v>
      </c>
      <c r="P81" s="94" t="s">
        <v>210</v>
      </c>
      <c r="Q81" s="94" t="s">
        <v>210</v>
      </c>
      <c r="R81" s="94">
        <v>-1</v>
      </c>
      <c r="S81" s="94">
        <v>4</v>
      </c>
      <c r="T81" s="94" t="s">
        <v>210</v>
      </c>
      <c r="U81" s="94" t="s">
        <v>210</v>
      </c>
      <c r="V81" s="94">
        <v>-2</v>
      </c>
      <c r="W81" s="94">
        <v>3</v>
      </c>
      <c r="X81" s="94" t="s">
        <v>210</v>
      </c>
      <c r="Y81" s="94" t="s">
        <v>210</v>
      </c>
      <c r="Z81" s="94">
        <v>-4</v>
      </c>
      <c r="AA81" s="94">
        <v>-2</v>
      </c>
      <c r="AB81" s="94" t="s">
        <v>210</v>
      </c>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5"/>
    </row>
    <row r="82" spans="1:53" s="87" customFormat="1">
      <c r="A82" s="90" t="str">
        <f t="shared" si="26"/>
        <v/>
      </c>
      <c r="B82" s="98">
        <v>3</v>
      </c>
      <c r="C82" s="94">
        <v>2</v>
      </c>
      <c r="D82" s="94" t="s">
        <v>210</v>
      </c>
      <c r="E82" s="94" t="s">
        <v>210</v>
      </c>
      <c r="F82" s="94">
        <v>1</v>
      </c>
      <c r="G82" s="94">
        <v>-3</v>
      </c>
      <c r="H82" s="94" t="s">
        <v>210</v>
      </c>
      <c r="I82" s="94">
        <v>4</v>
      </c>
      <c r="J82" s="94" t="s">
        <v>210</v>
      </c>
      <c r="K82" s="94" t="s">
        <v>210</v>
      </c>
      <c r="L82" s="94">
        <v>-1</v>
      </c>
      <c r="M82" s="94" t="s">
        <v>210</v>
      </c>
      <c r="N82" s="94">
        <v>3</v>
      </c>
      <c r="O82" s="94">
        <v>-1</v>
      </c>
      <c r="P82" s="94" t="s">
        <v>210</v>
      </c>
      <c r="Q82" s="94" t="s">
        <v>210</v>
      </c>
      <c r="R82" s="94">
        <v>-2</v>
      </c>
      <c r="S82" s="94">
        <v>-4</v>
      </c>
      <c r="T82" s="94" t="s">
        <v>210</v>
      </c>
      <c r="U82" s="94">
        <v>3</v>
      </c>
      <c r="V82" s="94" t="s">
        <v>210</v>
      </c>
      <c r="W82" s="94">
        <v>1</v>
      </c>
      <c r="X82" s="94" t="s">
        <v>210</v>
      </c>
      <c r="Y82" s="94" t="s">
        <v>210</v>
      </c>
      <c r="Z82" s="94">
        <v>-2</v>
      </c>
      <c r="AA82" s="94">
        <v>-3</v>
      </c>
      <c r="AB82" s="94" t="s">
        <v>210</v>
      </c>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5"/>
    </row>
    <row r="83" spans="1:53" s="87" customFormat="1">
      <c r="A83" s="90" t="str">
        <f t="shared" si="26"/>
        <v/>
      </c>
      <c r="B83" s="98">
        <v>4</v>
      </c>
      <c r="C83" s="94" t="s">
        <v>210</v>
      </c>
      <c r="D83" s="94">
        <v>-3</v>
      </c>
      <c r="E83" s="94" t="s">
        <v>210</v>
      </c>
      <c r="F83" s="94">
        <v>2</v>
      </c>
      <c r="G83" s="94">
        <v>-4</v>
      </c>
      <c r="H83" s="94" t="s">
        <v>210</v>
      </c>
      <c r="I83" s="94" t="s">
        <v>210</v>
      </c>
      <c r="J83" s="94">
        <v>-3</v>
      </c>
      <c r="K83" s="94">
        <v>-2</v>
      </c>
      <c r="L83" s="94" t="s">
        <v>210</v>
      </c>
      <c r="M83" s="94">
        <v>3</v>
      </c>
      <c r="N83" s="94" t="s">
        <v>210</v>
      </c>
      <c r="O83" s="94" t="s">
        <v>210</v>
      </c>
      <c r="P83" s="94">
        <v>-4</v>
      </c>
      <c r="Q83" s="94">
        <v>-2</v>
      </c>
      <c r="R83" s="94" t="s">
        <v>210</v>
      </c>
      <c r="S83" s="94">
        <v>1</v>
      </c>
      <c r="T83" s="94" t="s">
        <v>210</v>
      </c>
      <c r="U83" s="94" t="s">
        <v>210</v>
      </c>
      <c r="V83" s="94">
        <v>-3</v>
      </c>
      <c r="W83" s="94">
        <v>2</v>
      </c>
      <c r="X83" s="94" t="s">
        <v>210</v>
      </c>
      <c r="Y83" s="94" t="s">
        <v>210</v>
      </c>
      <c r="Z83" s="94">
        <v>4</v>
      </c>
      <c r="AA83" s="94">
        <v>3</v>
      </c>
      <c r="AB83" s="94" t="s">
        <v>210</v>
      </c>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5"/>
    </row>
    <row r="84" spans="1:53" s="87" customFormat="1">
      <c r="A84" s="90" t="str">
        <f t="shared" si="26"/>
        <v/>
      </c>
      <c r="B84" s="98">
        <v>5</v>
      </c>
      <c r="C84" s="94" t="s">
        <v>210</v>
      </c>
      <c r="D84" s="94">
        <v>2</v>
      </c>
      <c r="E84" s="94">
        <v>1</v>
      </c>
      <c r="F84" s="94" t="s">
        <v>210</v>
      </c>
      <c r="G84" s="94" t="s">
        <v>210</v>
      </c>
      <c r="H84" s="94">
        <v>3</v>
      </c>
      <c r="I84" s="94">
        <v>-2</v>
      </c>
      <c r="J84" s="94" t="s">
        <v>210</v>
      </c>
      <c r="K84" s="94">
        <v>-3</v>
      </c>
      <c r="L84" s="94" t="s">
        <v>210</v>
      </c>
      <c r="M84" s="94">
        <v>-1</v>
      </c>
      <c r="N84" s="94" t="s">
        <v>210</v>
      </c>
      <c r="O84" s="94">
        <v>-4</v>
      </c>
      <c r="P84" s="94" t="s">
        <v>210</v>
      </c>
      <c r="Q84" s="94" t="s">
        <v>210</v>
      </c>
      <c r="R84" s="94">
        <v>2</v>
      </c>
      <c r="S84" s="94">
        <v>3</v>
      </c>
      <c r="T84" s="94" t="s">
        <v>210</v>
      </c>
      <c r="U84" s="94" t="s">
        <v>210</v>
      </c>
      <c r="V84" s="94">
        <v>4</v>
      </c>
      <c r="W84" s="94">
        <v>-2</v>
      </c>
      <c r="X84" s="94" t="s">
        <v>210</v>
      </c>
      <c r="Y84" s="94" t="s">
        <v>210</v>
      </c>
      <c r="Z84" s="94">
        <v>-3</v>
      </c>
      <c r="AA84" s="94">
        <v>-1</v>
      </c>
      <c r="AB84" s="94" t="s">
        <v>210</v>
      </c>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5"/>
    </row>
    <row r="85" spans="1:53" s="87" customFormat="1">
      <c r="A85" s="90" t="str">
        <f t="shared" si="26"/>
        <v/>
      </c>
      <c r="B85" s="98">
        <v>6</v>
      </c>
      <c r="C85" s="94">
        <v>4</v>
      </c>
      <c r="D85" s="94" t="s">
        <v>210</v>
      </c>
      <c r="E85" s="94" t="s">
        <v>210</v>
      </c>
      <c r="F85" s="94">
        <v>-3</v>
      </c>
      <c r="G85" s="94" t="s">
        <v>210</v>
      </c>
      <c r="H85" s="94">
        <v>-4</v>
      </c>
      <c r="I85" s="94">
        <v>3</v>
      </c>
      <c r="J85" s="94" t="s">
        <v>210</v>
      </c>
      <c r="K85" s="94">
        <v>2</v>
      </c>
      <c r="L85" s="94" t="s">
        <v>210</v>
      </c>
      <c r="M85" s="94" t="s">
        <v>210</v>
      </c>
      <c r="N85" s="94">
        <v>1</v>
      </c>
      <c r="O85" s="94" t="s">
        <v>210</v>
      </c>
      <c r="P85" s="94">
        <v>3</v>
      </c>
      <c r="Q85" s="94">
        <v>-4</v>
      </c>
      <c r="R85" s="94" t="s">
        <v>210</v>
      </c>
      <c r="S85" s="94" t="s">
        <v>210</v>
      </c>
      <c r="T85" s="94">
        <v>-2</v>
      </c>
      <c r="U85" s="94">
        <v>-1</v>
      </c>
      <c r="V85" s="94" t="s">
        <v>210</v>
      </c>
      <c r="W85" s="94">
        <v>-3</v>
      </c>
      <c r="X85" s="94" t="s">
        <v>210</v>
      </c>
      <c r="Y85" s="94" t="s">
        <v>210</v>
      </c>
      <c r="Z85" s="94">
        <v>2</v>
      </c>
      <c r="AA85" s="94">
        <v>1</v>
      </c>
      <c r="AB85" s="94" t="s">
        <v>210</v>
      </c>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5"/>
    </row>
    <row r="86" spans="1:53" s="87" customFormat="1">
      <c r="A86" s="90" t="str">
        <f t="shared" si="26"/>
        <v/>
      </c>
      <c r="B86" s="98">
        <v>7</v>
      </c>
      <c r="C86" s="94">
        <v>3</v>
      </c>
      <c r="D86" s="94" t="s">
        <v>210</v>
      </c>
      <c r="E86" s="94" t="s">
        <v>210</v>
      </c>
      <c r="F86" s="94">
        <v>-1</v>
      </c>
      <c r="G86" s="94">
        <v>2</v>
      </c>
      <c r="H86" s="94" t="s">
        <v>210</v>
      </c>
      <c r="I86" s="94">
        <v>-3</v>
      </c>
      <c r="J86" s="94" t="s">
        <v>210</v>
      </c>
      <c r="K86" s="94">
        <v>1</v>
      </c>
      <c r="L86" s="94" t="s">
        <v>210</v>
      </c>
      <c r="M86" s="94">
        <v>-2</v>
      </c>
      <c r="N86" s="94" t="s">
        <v>210</v>
      </c>
      <c r="O86" s="94" t="s">
        <v>210</v>
      </c>
      <c r="P86" s="94">
        <v>4</v>
      </c>
      <c r="Q86" s="94" t="s">
        <v>210</v>
      </c>
      <c r="R86" s="94">
        <v>3</v>
      </c>
      <c r="S86" s="94">
        <v>-2</v>
      </c>
      <c r="T86" s="94" t="s">
        <v>210</v>
      </c>
      <c r="U86" s="94" t="s">
        <v>210</v>
      </c>
      <c r="V86" s="94">
        <v>-4</v>
      </c>
      <c r="W86" s="94" t="s">
        <v>210</v>
      </c>
      <c r="X86" s="94">
        <v>-3</v>
      </c>
      <c r="Y86" s="94">
        <v>-1</v>
      </c>
      <c r="Z86" s="94" t="s">
        <v>210</v>
      </c>
      <c r="AA86" s="94">
        <v>4</v>
      </c>
      <c r="AB86" s="94" t="s">
        <v>210</v>
      </c>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5"/>
    </row>
    <row r="87" spans="1:53" s="87" customFormat="1">
      <c r="A87" s="90" t="str">
        <f t="shared" si="26"/>
        <v/>
      </c>
      <c r="B87" s="98">
        <v>8</v>
      </c>
      <c r="C87" s="94">
        <v>-4</v>
      </c>
      <c r="D87" s="94" t="s">
        <v>210</v>
      </c>
      <c r="E87" s="94" t="s">
        <v>210</v>
      </c>
      <c r="F87" s="94">
        <v>-2</v>
      </c>
      <c r="G87" s="94">
        <v>3</v>
      </c>
      <c r="H87" s="94" t="s">
        <v>210</v>
      </c>
      <c r="I87" s="94" t="s">
        <v>210</v>
      </c>
      <c r="J87" s="94">
        <v>2</v>
      </c>
      <c r="K87" s="94" t="s">
        <v>210</v>
      </c>
      <c r="L87" s="94">
        <v>-3</v>
      </c>
      <c r="M87" s="94">
        <v>4</v>
      </c>
      <c r="N87" s="94" t="s">
        <v>210</v>
      </c>
      <c r="O87" s="94" t="s">
        <v>210</v>
      </c>
      <c r="P87" s="94">
        <v>-2</v>
      </c>
      <c r="Q87" s="94" t="s">
        <v>210</v>
      </c>
      <c r="R87" s="94">
        <v>1</v>
      </c>
      <c r="S87" s="94">
        <v>-3</v>
      </c>
      <c r="T87" s="94" t="s">
        <v>210</v>
      </c>
      <c r="U87" s="94">
        <v>2</v>
      </c>
      <c r="V87" s="94" t="s">
        <v>210</v>
      </c>
      <c r="W87" s="94" t="s">
        <v>210</v>
      </c>
      <c r="X87" s="94">
        <v>-1</v>
      </c>
      <c r="Y87" s="94">
        <v>3</v>
      </c>
      <c r="Z87" s="94" t="s">
        <v>210</v>
      </c>
      <c r="AA87" s="94">
        <v>-4</v>
      </c>
      <c r="AB87" s="94" t="s">
        <v>210</v>
      </c>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5"/>
    </row>
    <row r="88" spans="1:53" s="87" customFormat="1">
      <c r="A88" s="90" t="str">
        <f t="shared" si="26"/>
        <v/>
      </c>
      <c r="B88" s="98">
        <v>9</v>
      </c>
      <c r="C88" s="94">
        <v>-2</v>
      </c>
      <c r="D88" s="94" t="s">
        <v>210</v>
      </c>
      <c r="E88" s="94">
        <v>-3</v>
      </c>
      <c r="F88" s="94" t="s">
        <v>210</v>
      </c>
      <c r="G88" s="94" t="s">
        <v>210</v>
      </c>
      <c r="H88" s="94">
        <v>4</v>
      </c>
      <c r="I88" s="94">
        <v>-1</v>
      </c>
      <c r="J88" s="94" t="s">
        <v>210</v>
      </c>
      <c r="K88" s="94" t="s">
        <v>210</v>
      </c>
      <c r="L88" s="94">
        <v>2</v>
      </c>
      <c r="M88" s="94">
        <v>1</v>
      </c>
      <c r="N88" s="94" t="s">
        <v>210</v>
      </c>
      <c r="O88" s="94" t="s">
        <v>210</v>
      </c>
      <c r="P88" s="94">
        <v>2</v>
      </c>
      <c r="Q88" s="94">
        <v>3</v>
      </c>
      <c r="R88" s="94" t="s">
        <v>210</v>
      </c>
      <c r="S88" s="94">
        <v>-1</v>
      </c>
      <c r="T88" s="94" t="s">
        <v>210</v>
      </c>
      <c r="U88" s="94" t="s">
        <v>210</v>
      </c>
      <c r="V88" s="94">
        <v>2</v>
      </c>
      <c r="W88" s="94">
        <v>-4</v>
      </c>
      <c r="X88" s="94" t="s">
        <v>210</v>
      </c>
      <c r="Y88" s="94">
        <v>1</v>
      </c>
      <c r="Z88" s="94" t="s">
        <v>210</v>
      </c>
      <c r="AA88" s="94" t="s">
        <v>210</v>
      </c>
      <c r="AB88" s="94">
        <v>-2</v>
      </c>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5"/>
    </row>
    <row r="89" spans="1:53" s="87" customFormat="1">
      <c r="A89" s="90" t="str">
        <f t="shared" si="26"/>
        <v/>
      </c>
      <c r="B89" s="98">
        <v>10</v>
      </c>
      <c r="C89" s="94" t="s">
        <v>210</v>
      </c>
      <c r="D89" s="94">
        <v>-2</v>
      </c>
      <c r="E89" s="94">
        <v>4</v>
      </c>
      <c r="F89" s="94" t="s">
        <v>210</v>
      </c>
      <c r="G89" s="94">
        <v>1</v>
      </c>
      <c r="H89" s="94" t="s">
        <v>210</v>
      </c>
      <c r="I89" s="94" t="s">
        <v>210</v>
      </c>
      <c r="J89" s="94">
        <v>-2</v>
      </c>
      <c r="K89" s="94">
        <v>-4</v>
      </c>
      <c r="L89" s="94" t="s">
        <v>210</v>
      </c>
      <c r="M89" s="94" t="s">
        <v>210</v>
      </c>
      <c r="N89" s="94">
        <v>-2</v>
      </c>
      <c r="O89" s="94" t="s">
        <v>210</v>
      </c>
      <c r="P89" s="94">
        <v>-3</v>
      </c>
      <c r="Q89" s="94">
        <v>1</v>
      </c>
      <c r="R89" s="94" t="s">
        <v>210</v>
      </c>
      <c r="S89" s="94">
        <v>2</v>
      </c>
      <c r="T89" s="94" t="s">
        <v>210</v>
      </c>
      <c r="U89" s="94" t="s">
        <v>210</v>
      </c>
      <c r="V89" s="94">
        <v>3</v>
      </c>
      <c r="W89" s="94">
        <v>-1</v>
      </c>
      <c r="X89" s="94" t="s">
        <v>210</v>
      </c>
      <c r="Y89" s="94">
        <v>4</v>
      </c>
      <c r="Z89" s="94" t="s">
        <v>210</v>
      </c>
      <c r="AA89" s="94" t="s">
        <v>210</v>
      </c>
      <c r="AB89" s="94">
        <v>2</v>
      </c>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5"/>
    </row>
    <row r="90" spans="1:53" s="87" customFormat="1">
      <c r="A90" s="90" t="str">
        <f t="shared" si="26"/>
        <v/>
      </c>
      <c r="B90" s="98">
        <v>11</v>
      </c>
      <c r="C90" s="94">
        <v>-3</v>
      </c>
      <c r="D90" s="94" t="s">
        <v>210</v>
      </c>
      <c r="E90" s="94">
        <v>-1</v>
      </c>
      <c r="F90" s="94" t="s">
        <v>210</v>
      </c>
      <c r="G90" s="94" t="s">
        <v>210</v>
      </c>
      <c r="H90" s="94">
        <v>2</v>
      </c>
      <c r="I90" s="94">
        <v>1</v>
      </c>
      <c r="J90" s="94" t="s">
        <v>210</v>
      </c>
      <c r="K90" s="94" t="s">
        <v>210</v>
      </c>
      <c r="L90" s="94">
        <v>3</v>
      </c>
      <c r="M90" s="94" t="s">
        <v>210</v>
      </c>
      <c r="N90" s="94">
        <v>-1</v>
      </c>
      <c r="O90" s="94">
        <v>3</v>
      </c>
      <c r="P90" s="94" t="s">
        <v>210</v>
      </c>
      <c r="Q90" s="94">
        <v>2</v>
      </c>
      <c r="R90" s="94" t="s">
        <v>210</v>
      </c>
      <c r="S90" s="94" t="s">
        <v>210</v>
      </c>
      <c r="T90" s="94">
        <v>4</v>
      </c>
      <c r="U90" s="94">
        <v>-3</v>
      </c>
      <c r="V90" s="94" t="s">
        <v>210</v>
      </c>
      <c r="W90" s="94" t="s">
        <v>210</v>
      </c>
      <c r="X90" s="94">
        <v>-2</v>
      </c>
      <c r="Y90" s="94">
        <v>-4</v>
      </c>
      <c r="Z90" s="94" t="s">
        <v>210</v>
      </c>
      <c r="AA90" s="94" t="s">
        <v>210</v>
      </c>
      <c r="AB90" s="94">
        <v>3</v>
      </c>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5"/>
    </row>
    <row r="91" spans="1:53" s="87" customFormat="1">
      <c r="A91" s="90" t="str">
        <f t="shared" si="26"/>
        <v/>
      </c>
      <c r="B91" s="98">
        <v>12</v>
      </c>
      <c r="C91" s="94">
        <v>-1</v>
      </c>
      <c r="D91" s="94" t="s">
        <v>210</v>
      </c>
      <c r="E91" s="94">
        <v>3</v>
      </c>
      <c r="F91" s="94" t="s">
        <v>210</v>
      </c>
      <c r="G91" s="94">
        <v>4</v>
      </c>
      <c r="H91" s="94" t="s">
        <v>210</v>
      </c>
      <c r="I91" s="94" t="s">
        <v>210</v>
      </c>
      <c r="J91" s="94">
        <v>-1</v>
      </c>
      <c r="K91" s="94">
        <v>3</v>
      </c>
      <c r="L91" s="94" t="s">
        <v>210</v>
      </c>
      <c r="M91" s="94" t="s">
        <v>210</v>
      </c>
      <c r="N91" s="94">
        <v>2</v>
      </c>
      <c r="O91" s="94">
        <v>1</v>
      </c>
      <c r="P91" s="94" t="s">
        <v>210</v>
      </c>
      <c r="Q91" s="94" t="s">
        <v>210</v>
      </c>
      <c r="R91" s="94">
        <v>-3</v>
      </c>
      <c r="S91" s="94" t="s">
        <v>210</v>
      </c>
      <c r="T91" s="94">
        <v>2</v>
      </c>
      <c r="U91" s="94">
        <v>-4</v>
      </c>
      <c r="V91" s="94" t="s">
        <v>210</v>
      </c>
      <c r="W91" s="94" t="s">
        <v>210</v>
      </c>
      <c r="X91" s="94">
        <v>1</v>
      </c>
      <c r="Y91" s="94">
        <v>-2</v>
      </c>
      <c r="Z91" s="94" t="s">
        <v>210</v>
      </c>
      <c r="AA91" s="94" t="s">
        <v>210</v>
      </c>
      <c r="AB91" s="94">
        <v>-3</v>
      </c>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5"/>
    </row>
    <row r="92" spans="1:53" s="87" customFormat="1">
      <c r="A92" s="90" t="str">
        <f t="shared" si="26"/>
        <v/>
      </c>
      <c r="B92" s="98">
        <v>13</v>
      </c>
      <c r="C92" s="94" t="s">
        <v>210</v>
      </c>
      <c r="D92" s="94">
        <v>1</v>
      </c>
      <c r="E92" s="94" t="s">
        <v>210</v>
      </c>
      <c r="F92" s="94">
        <v>3</v>
      </c>
      <c r="G92" s="94">
        <v>-2</v>
      </c>
      <c r="H92" s="94" t="s">
        <v>210</v>
      </c>
      <c r="I92" s="94">
        <v>-4</v>
      </c>
      <c r="J92" s="94" t="s">
        <v>210</v>
      </c>
      <c r="K92" s="94" t="s">
        <v>210</v>
      </c>
      <c r="L92" s="94">
        <v>-2</v>
      </c>
      <c r="M92" s="94">
        <v>-3</v>
      </c>
      <c r="N92" s="94" t="s">
        <v>210</v>
      </c>
      <c r="O92" s="94">
        <v>4</v>
      </c>
      <c r="P92" s="94" t="s">
        <v>210</v>
      </c>
      <c r="Q92" s="94">
        <v>-1</v>
      </c>
      <c r="R92" s="94" t="s">
        <v>210</v>
      </c>
      <c r="S92" s="94" t="s">
        <v>210</v>
      </c>
      <c r="T92" s="94">
        <v>3</v>
      </c>
      <c r="U92" s="94">
        <v>4</v>
      </c>
      <c r="V92" s="94" t="s">
        <v>210</v>
      </c>
      <c r="W92" s="94" t="s">
        <v>210</v>
      </c>
      <c r="X92" s="94">
        <v>2</v>
      </c>
      <c r="Y92" s="94">
        <v>-3</v>
      </c>
      <c r="Z92" s="94" t="s">
        <v>210</v>
      </c>
      <c r="AA92" s="94" t="s">
        <v>210</v>
      </c>
      <c r="AB92" s="94">
        <v>-4</v>
      </c>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5"/>
    </row>
    <row r="93" spans="1:53" s="87" customFormat="1">
      <c r="A93" s="90" t="str">
        <f t="shared" si="26"/>
        <v/>
      </c>
      <c r="B93" s="98">
        <v>14</v>
      </c>
      <c r="C93" s="94" t="s">
        <v>210</v>
      </c>
      <c r="D93" s="94">
        <v>3</v>
      </c>
      <c r="E93" s="94">
        <v>-2</v>
      </c>
      <c r="F93" s="94" t="s">
        <v>210</v>
      </c>
      <c r="G93" s="94">
        <v>-1</v>
      </c>
      <c r="H93" s="94" t="s">
        <v>210</v>
      </c>
      <c r="I93" s="94">
        <v>2</v>
      </c>
      <c r="J93" s="94" t="s">
        <v>210</v>
      </c>
      <c r="K93" s="94" t="s">
        <v>210</v>
      </c>
      <c r="L93" s="94">
        <v>1</v>
      </c>
      <c r="M93" s="94">
        <v>-4</v>
      </c>
      <c r="N93" s="94" t="s">
        <v>210</v>
      </c>
      <c r="O93" s="94">
        <v>-2</v>
      </c>
      <c r="P93" s="94" t="s">
        <v>210</v>
      </c>
      <c r="Q93" s="94">
        <v>-3</v>
      </c>
      <c r="R93" s="94" t="s">
        <v>210</v>
      </c>
      <c r="S93" s="94" t="s">
        <v>210</v>
      </c>
      <c r="T93" s="94">
        <v>-4</v>
      </c>
      <c r="U93" s="94">
        <v>1</v>
      </c>
      <c r="V93" s="94" t="s">
        <v>210</v>
      </c>
      <c r="W93" s="94" t="s">
        <v>210</v>
      </c>
      <c r="X93" s="94">
        <v>3</v>
      </c>
      <c r="Y93" s="94">
        <v>2</v>
      </c>
      <c r="Z93" s="94" t="s">
        <v>210</v>
      </c>
      <c r="AA93" s="94" t="s">
        <v>210</v>
      </c>
      <c r="AB93" s="94">
        <v>4</v>
      </c>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5"/>
    </row>
    <row r="94" spans="1:53" s="87" customFormat="1">
      <c r="A94" s="90" t="str">
        <f t="shared" si="26"/>
        <v/>
      </c>
      <c r="B94" s="98" t="s">
        <v>272</v>
      </c>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5"/>
    </row>
    <row r="95" spans="1:53" s="87" customFormat="1">
      <c r="A95" s="90">
        <f t="shared" si="26"/>
        <v>95</v>
      </c>
      <c r="B95" s="98" t="s">
        <v>273</v>
      </c>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5"/>
    </row>
    <row r="96" spans="1:53" s="87" customFormat="1">
      <c r="A96" s="90" t="str">
        <f t="shared" si="26"/>
        <v/>
      </c>
      <c r="B96" s="98">
        <v>1</v>
      </c>
      <c r="C96" s="94" t="s">
        <v>210</v>
      </c>
      <c r="D96" s="94">
        <v>-3</v>
      </c>
      <c r="E96" s="94">
        <v>-2</v>
      </c>
      <c r="F96" s="94" t="s">
        <v>210</v>
      </c>
      <c r="G96" s="94">
        <v>4</v>
      </c>
      <c r="H96" s="94" t="s">
        <v>210</v>
      </c>
      <c r="I96" s="94" t="s">
        <v>210</v>
      </c>
      <c r="J96" s="94">
        <v>-3</v>
      </c>
      <c r="K96" s="94" t="s">
        <v>210</v>
      </c>
      <c r="L96" s="94">
        <v>2</v>
      </c>
      <c r="M96" s="94">
        <v>-1</v>
      </c>
      <c r="N96" s="94" t="s">
        <v>210</v>
      </c>
      <c r="O96" s="94">
        <v>3</v>
      </c>
      <c r="P96" s="94" t="s">
        <v>210</v>
      </c>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5"/>
    </row>
    <row r="97" spans="1:53" s="87" customFormat="1">
      <c r="A97" s="90" t="str">
        <f t="shared" si="26"/>
        <v/>
      </c>
      <c r="B97" s="98">
        <v>2</v>
      </c>
      <c r="C97" s="94">
        <v>-1</v>
      </c>
      <c r="D97" s="94" t="s">
        <v>210</v>
      </c>
      <c r="E97" s="94" t="s">
        <v>210</v>
      </c>
      <c r="F97" s="94">
        <v>4</v>
      </c>
      <c r="G97" s="94" t="s">
        <v>210</v>
      </c>
      <c r="H97" s="94">
        <v>3</v>
      </c>
      <c r="I97" s="94">
        <v>-2</v>
      </c>
      <c r="J97" s="94" t="s">
        <v>210</v>
      </c>
      <c r="K97" s="94">
        <v>1</v>
      </c>
      <c r="L97" s="94" t="s">
        <v>210</v>
      </c>
      <c r="M97" s="94" t="s">
        <v>210</v>
      </c>
      <c r="N97" s="94">
        <v>-4</v>
      </c>
      <c r="O97" s="94">
        <v>-3</v>
      </c>
      <c r="P97" s="94" t="s">
        <v>210</v>
      </c>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5"/>
    </row>
    <row r="98" spans="1:53" s="87" customFormat="1">
      <c r="A98" s="90" t="str">
        <f t="shared" si="26"/>
        <v/>
      </c>
      <c r="B98" s="98">
        <v>3</v>
      </c>
      <c r="C98" s="94" t="s">
        <v>210</v>
      </c>
      <c r="D98" s="94">
        <v>-2</v>
      </c>
      <c r="E98" s="94">
        <v>-4</v>
      </c>
      <c r="F98" s="94" t="s">
        <v>210</v>
      </c>
      <c r="G98" s="94" t="s">
        <v>210</v>
      </c>
      <c r="H98" s="94">
        <v>2</v>
      </c>
      <c r="I98" s="94" t="s">
        <v>210</v>
      </c>
      <c r="J98" s="94">
        <v>3</v>
      </c>
      <c r="K98" s="94">
        <v>-2</v>
      </c>
      <c r="L98" s="94" t="s">
        <v>210</v>
      </c>
      <c r="M98" s="94" t="s">
        <v>210</v>
      </c>
      <c r="N98" s="94">
        <v>4</v>
      </c>
      <c r="O98" s="94">
        <v>-1</v>
      </c>
      <c r="P98" s="94" t="s">
        <v>210</v>
      </c>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5"/>
    </row>
    <row r="99" spans="1:53" s="87" customFormat="1">
      <c r="A99" s="90" t="str">
        <f t="shared" si="26"/>
        <v/>
      </c>
      <c r="B99" s="98">
        <v>4</v>
      </c>
      <c r="C99" s="94" t="s">
        <v>210</v>
      </c>
      <c r="D99" s="94">
        <v>-1</v>
      </c>
      <c r="E99" s="94">
        <v>2</v>
      </c>
      <c r="F99" s="94" t="s">
        <v>210</v>
      </c>
      <c r="G99" s="94" t="s">
        <v>210</v>
      </c>
      <c r="H99" s="94">
        <v>-3</v>
      </c>
      <c r="I99" s="94" t="s">
        <v>210</v>
      </c>
      <c r="J99" s="94">
        <v>1</v>
      </c>
      <c r="K99" s="94">
        <v>3</v>
      </c>
      <c r="L99" s="94" t="s">
        <v>210</v>
      </c>
      <c r="M99" s="94" t="s">
        <v>210</v>
      </c>
      <c r="N99" s="94">
        <v>-2</v>
      </c>
      <c r="O99" s="94">
        <v>1</v>
      </c>
      <c r="P99" s="94" t="s">
        <v>210</v>
      </c>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5"/>
    </row>
    <row r="100" spans="1:53" s="87" customFormat="1">
      <c r="A100" s="90" t="str">
        <f t="shared" si="26"/>
        <v/>
      </c>
      <c r="B100" s="98">
        <v>5</v>
      </c>
      <c r="C100" s="94" t="s">
        <v>210</v>
      </c>
      <c r="D100" s="94">
        <v>3</v>
      </c>
      <c r="E100" s="94">
        <v>4</v>
      </c>
      <c r="F100" s="94" t="s">
        <v>210</v>
      </c>
      <c r="G100" s="94" t="s">
        <v>210</v>
      </c>
      <c r="H100" s="94">
        <v>1</v>
      </c>
      <c r="I100" s="94" t="s">
        <v>210</v>
      </c>
      <c r="J100" s="94">
        <v>-2</v>
      </c>
      <c r="K100" s="94">
        <v>-1</v>
      </c>
      <c r="L100" s="94" t="s">
        <v>210</v>
      </c>
      <c r="M100" s="94" t="s">
        <v>210</v>
      </c>
      <c r="N100" s="94">
        <v>2</v>
      </c>
      <c r="O100" s="94">
        <v>-4</v>
      </c>
      <c r="P100" s="94" t="s">
        <v>210</v>
      </c>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5"/>
    </row>
    <row r="101" spans="1:53" s="87" customFormat="1">
      <c r="A101" s="90" t="str">
        <f t="shared" si="26"/>
        <v/>
      </c>
      <c r="B101" s="98">
        <v>6</v>
      </c>
      <c r="C101" s="94">
        <v>1</v>
      </c>
      <c r="D101" s="94" t="s">
        <v>210</v>
      </c>
      <c r="E101" s="94">
        <v>-3</v>
      </c>
      <c r="F101" s="94" t="s">
        <v>210</v>
      </c>
      <c r="G101" s="94">
        <v>-4</v>
      </c>
      <c r="H101" s="94" t="s">
        <v>210</v>
      </c>
      <c r="I101" s="94" t="s">
        <v>210</v>
      </c>
      <c r="J101" s="94">
        <v>-1</v>
      </c>
      <c r="K101" s="94">
        <v>2</v>
      </c>
      <c r="L101" s="94" t="s">
        <v>210</v>
      </c>
      <c r="M101" s="94" t="s">
        <v>210</v>
      </c>
      <c r="N101" s="94">
        <v>3</v>
      </c>
      <c r="O101" s="94">
        <v>4</v>
      </c>
      <c r="P101" s="94" t="s">
        <v>210</v>
      </c>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5"/>
    </row>
    <row r="102" spans="1:53" s="87" customFormat="1">
      <c r="A102" s="90" t="str">
        <f t="shared" si="26"/>
        <v/>
      </c>
      <c r="B102" s="99">
        <v>7</v>
      </c>
      <c r="C102" s="92" t="s">
        <v>210</v>
      </c>
      <c r="D102" s="92">
        <v>2</v>
      </c>
      <c r="E102" s="92">
        <v>3</v>
      </c>
      <c r="F102" s="92" t="s">
        <v>210</v>
      </c>
      <c r="G102" s="92" t="s">
        <v>210</v>
      </c>
      <c r="H102" s="92">
        <v>-1</v>
      </c>
      <c r="I102" s="92">
        <v>2</v>
      </c>
      <c r="J102" s="92" t="s">
        <v>210</v>
      </c>
      <c r="K102" s="92">
        <v>-3</v>
      </c>
      <c r="L102" s="92" t="s">
        <v>210</v>
      </c>
      <c r="M102" s="92">
        <v>1</v>
      </c>
      <c r="N102" s="92" t="s">
        <v>210</v>
      </c>
      <c r="O102" s="92" t="s">
        <v>210</v>
      </c>
      <c r="P102" s="92">
        <v>-2</v>
      </c>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5"/>
    </row>
    <row r="103" spans="1:53" s="87" customFormat="1">
      <c r="A103" s="90" t="str">
        <f t="shared" si="26"/>
        <v/>
      </c>
      <c r="B103" s="98">
        <v>8</v>
      </c>
      <c r="C103" s="94">
        <v>2</v>
      </c>
      <c r="D103" s="94" t="s">
        <v>210</v>
      </c>
      <c r="E103" s="94" t="s">
        <v>210</v>
      </c>
      <c r="F103" s="94">
        <v>-3</v>
      </c>
      <c r="G103" s="94">
        <v>1</v>
      </c>
      <c r="H103" s="94" t="s">
        <v>210</v>
      </c>
      <c r="I103" s="94">
        <v>-4</v>
      </c>
      <c r="J103" s="94" t="s">
        <v>210</v>
      </c>
      <c r="K103" s="94" t="s">
        <v>210</v>
      </c>
      <c r="L103" s="94">
        <v>-2</v>
      </c>
      <c r="M103" s="94">
        <v>4</v>
      </c>
      <c r="N103" s="94" t="s">
        <v>210</v>
      </c>
      <c r="O103" s="94" t="s">
        <v>210</v>
      </c>
      <c r="P103" s="94">
        <v>3</v>
      </c>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5"/>
    </row>
    <row r="104" spans="1:53" s="87" customFormat="1">
      <c r="A104" s="90" t="str">
        <f t="shared" si="26"/>
        <v/>
      </c>
      <c r="B104" s="98">
        <v>9</v>
      </c>
      <c r="C104" s="94">
        <v>-3</v>
      </c>
      <c r="D104" s="94" t="s">
        <v>210</v>
      </c>
      <c r="E104" s="94" t="s">
        <v>210</v>
      </c>
      <c r="F104" s="94">
        <v>-4</v>
      </c>
      <c r="G104" s="94">
        <v>2</v>
      </c>
      <c r="H104" s="94" t="s">
        <v>210</v>
      </c>
      <c r="I104" s="94">
        <v>3</v>
      </c>
      <c r="J104" s="94" t="s">
        <v>210</v>
      </c>
      <c r="K104" s="94" t="s">
        <v>210</v>
      </c>
      <c r="L104" s="94">
        <v>1</v>
      </c>
      <c r="M104" s="94">
        <v>-2</v>
      </c>
      <c r="N104" s="94" t="s">
        <v>210</v>
      </c>
      <c r="O104" s="94" t="s">
        <v>210</v>
      </c>
      <c r="P104" s="94">
        <v>-3</v>
      </c>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5"/>
    </row>
    <row r="105" spans="1:53" s="87" customFormat="1">
      <c r="A105" s="90" t="str">
        <f t="shared" si="26"/>
        <v/>
      </c>
      <c r="B105" s="98">
        <v>10</v>
      </c>
      <c r="C105" s="94">
        <v>-4</v>
      </c>
      <c r="D105" s="94" t="s">
        <v>210</v>
      </c>
      <c r="E105" s="94">
        <v>-1</v>
      </c>
      <c r="F105" s="94" t="s">
        <v>210</v>
      </c>
      <c r="G105" s="94" t="s">
        <v>210</v>
      </c>
      <c r="H105" s="94">
        <v>-2</v>
      </c>
      <c r="I105" s="94">
        <v>4</v>
      </c>
      <c r="J105" s="94" t="s">
        <v>210</v>
      </c>
      <c r="K105" s="94" t="s">
        <v>210</v>
      </c>
      <c r="L105" s="94">
        <v>-3</v>
      </c>
      <c r="M105" s="94">
        <v>2</v>
      </c>
      <c r="N105" s="94" t="s">
        <v>210</v>
      </c>
      <c r="O105" s="94" t="s">
        <v>210</v>
      </c>
      <c r="P105" s="94">
        <v>1</v>
      </c>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5"/>
    </row>
    <row r="106" spans="1:53" s="87" customFormat="1">
      <c r="A106" s="90" t="str">
        <f t="shared" si="26"/>
        <v/>
      </c>
      <c r="B106" s="98">
        <v>11</v>
      </c>
      <c r="C106" s="94" t="s">
        <v>210</v>
      </c>
      <c r="D106" s="94">
        <v>1</v>
      </c>
      <c r="E106" s="94" t="s">
        <v>210</v>
      </c>
      <c r="F106" s="94">
        <v>2</v>
      </c>
      <c r="G106" s="94">
        <v>-1</v>
      </c>
      <c r="H106" s="94" t="s">
        <v>210</v>
      </c>
      <c r="I106" s="94">
        <v>-3</v>
      </c>
      <c r="J106" s="94" t="s">
        <v>210</v>
      </c>
      <c r="K106" s="94">
        <v>4</v>
      </c>
      <c r="L106" s="94" t="s">
        <v>210</v>
      </c>
      <c r="M106" s="94">
        <v>3</v>
      </c>
      <c r="N106" s="94" t="s">
        <v>210</v>
      </c>
      <c r="O106" s="94" t="s">
        <v>210</v>
      </c>
      <c r="P106" s="94">
        <v>-1</v>
      </c>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5"/>
    </row>
    <row r="107" spans="1:53" s="87" customFormat="1">
      <c r="A107" s="90" t="str">
        <f t="shared" si="26"/>
        <v/>
      </c>
      <c r="B107" s="98">
        <v>12</v>
      </c>
      <c r="C107" s="94">
        <v>-2</v>
      </c>
      <c r="D107" s="94" t="s">
        <v>210</v>
      </c>
      <c r="E107" s="94">
        <v>1</v>
      </c>
      <c r="F107" s="94" t="s">
        <v>210</v>
      </c>
      <c r="G107" s="94">
        <v>3</v>
      </c>
      <c r="H107" s="94" t="s">
        <v>210</v>
      </c>
      <c r="I107" s="94" t="s">
        <v>210</v>
      </c>
      <c r="J107" s="94">
        <v>2</v>
      </c>
      <c r="K107" s="94" t="s">
        <v>210</v>
      </c>
      <c r="L107" s="94">
        <v>-1</v>
      </c>
      <c r="M107" s="94">
        <v>-3</v>
      </c>
      <c r="N107" s="94" t="s">
        <v>210</v>
      </c>
      <c r="O107" s="94">
        <v>-2</v>
      </c>
      <c r="P107" s="94" t="s">
        <v>210</v>
      </c>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5"/>
    </row>
    <row r="108" spans="1:53" s="87" customFormat="1">
      <c r="A108" s="90" t="str">
        <f t="shared" si="26"/>
        <v/>
      </c>
      <c r="B108" s="98">
        <v>13</v>
      </c>
      <c r="C108" s="94">
        <v>4</v>
      </c>
      <c r="D108" s="94" t="s">
        <v>210</v>
      </c>
      <c r="E108" s="94" t="s">
        <v>210</v>
      </c>
      <c r="F108" s="94">
        <v>3</v>
      </c>
      <c r="G108" s="94">
        <v>-2</v>
      </c>
      <c r="H108" s="94" t="s">
        <v>210</v>
      </c>
      <c r="I108" s="94">
        <v>1</v>
      </c>
      <c r="J108" s="94" t="s">
        <v>210</v>
      </c>
      <c r="K108" s="94">
        <v>-4</v>
      </c>
      <c r="L108" s="94" t="s">
        <v>210</v>
      </c>
      <c r="M108" s="94" t="s">
        <v>210</v>
      </c>
      <c r="N108" s="94">
        <v>-3</v>
      </c>
      <c r="O108" s="94">
        <v>2</v>
      </c>
      <c r="P108" s="94" t="s">
        <v>210</v>
      </c>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5"/>
    </row>
    <row r="109" spans="1:53" s="87" customFormat="1">
      <c r="A109" s="90" t="str">
        <f t="shared" si="26"/>
        <v/>
      </c>
      <c r="B109" s="98">
        <v>14</v>
      </c>
      <c r="C109" s="94">
        <v>3</v>
      </c>
      <c r="D109" s="94" t="s">
        <v>210</v>
      </c>
      <c r="E109" s="94" t="s">
        <v>210</v>
      </c>
      <c r="F109" s="94">
        <v>-2</v>
      </c>
      <c r="G109" s="94">
        <v>-3</v>
      </c>
      <c r="H109" s="94" t="s">
        <v>210</v>
      </c>
      <c r="I109" s="94">
        <v>-1</v>
      </c>
      <c r="J109" s="94" t="s">
        <v>210</v>
      </c>
      <c r="K109" s="94" t="s">
        <v>210</v>
      </c>
      <c r="L109" s="94">
        <v>3</v>
      </c>
      <c r="M109" s="94">
        <v>-4</v>
      </c>
      <c r="N109" s="94" t="s">
        <v>210</v>
      </c>
      <c r="O109" s="94" t="s">
        <v>210</v>
      </c>
      <c r="P109" s="94">
        <v>2</v>
      </c>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5"/>
    </row>
    <row r="110" spans="1:53" s="87" customFormat="1">
      <c r="A110" s="90" t="str">
        <f t="shared" si="26"/>
        <v/>
      </c>
      <c r="B110" s="98" t="s">
        <v>274</v>
      </c>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5"/>
    </row>
    <row r="111" spans="1:53" s="87" customFormat="1">
      <c r="A111" s="90">
        <f t="shared" si="26"/>
        <v>111</v>
      </c>
      <c r="B111" s="317" t="s">
        <v>1115</v>
      </c>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5"/>
    </row>
    <row r="112" spans="1:53" s="87" customFormat="1">
      <c r="A112" s="90" t="str">
        <f t="shared" si="26"/>
        <v/>
      </c>
      <c r="B112" s="98">
        <v>1</v>
      </c>
      <c r="C112" s="94">
        <v>2</v>
      </c>
      <c r="D112" s="94" t="s">
        <v>210</v>
      </c>
      <c r="E112" s="94" t="s">
        <v>210</v>
      </c>
      <c r="F112" s="94">
        <v>-4</v>
      </c>
      <c r="G112" s="94">
        <v>-2</v>
      </c>
      <c r="H112" s="94" t="s">
        <v>210</v>
      </c>
      <c r="I112" s="94" t="s">
        <v>210</v>
      </c>
      <c r="J112" s="94">
        <v>1</v>
      </c>
      <c r="K112" s="94">
        <v>-3</v>
      </c>
      <c r="L112" s="94" t="s">
        <v>210</v>
      </c>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5"/>
    </row>
    <row r="113" spans="1:53" s="87" customFormat="1">
      <c r="A113" s="90" t="str">
        <f t="shared" si="26"/>
        <v/>
      </c>
      <c r="B113" s="98">
        <v>2</v>
      </c>
      <c r="C113" s="94">
        <v>-3</v>
      </c>
      <c r="D113" s="94" t="s">
        <v>210</v>
      </c>
      <c r="E113" s="94" t="s">
        <v>210</v>
      </c>
      <c r="F113" s="94">
        <v>2</v>
      </c>
      <c r="G113" s="94">
        <v>1</v>
      </c>
      <c r="H113" s="94" t="s">
        <v>210</v>
      </c>
      <c r="I113" s="94" t="s">
        <v>210</v>
      </c>
      <c r="J113" s="94">
        <v>-4</v>
      </c>
      <c r="K113" s="94">
        <v>3</v>
      </c>
      <c r="L113" s="94" t="s">
        <v>210</v>
      </c>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5"/>
    </row>
    <row r="114" spans="1:53" s="87" customFormat="1">
      <c r="A114" s="90" t="str">
        <f t="shared" si="26"/>
        <v/>
      </c>
      <c r="B114" s="98">
        <v>3</v>
      </c>
      <c r="C114" s="94">
        <v>-2</v>
      </c>
      <c r="D114" s="94" t="s">
        <v>210</v>
      </c>
      <c r="E114" s="94" t="s">
        <v>210</v>
      </c>
      <c r="F114" s="94">
        <v>3</v>
      </c>
      <c r="G114" s="94">
        <v>-1</v>
      </c>
      <c r="H114" s="94" t="s">
        <v>210</v>
      </c>
      <c r="I114" s="94" t="s">
        <v>210</v>
      </c>
      <c r="J114" s="94">
        <v>2</v>
      </c>
      <c r="K114" s="94">
        <v>4</v>
      </c>
      <c r="L114" s="94" t="s">
        <v>210</v>
      </c>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5"/>
    </row>
    <row r="115" spans="1:53" s="87" customFormat="1">
      <c r="A115" s="90" t="str">
        <f t="shared" si="26"/>
        <v/>
      </c>
      <c r="B115" s="98">
        <v>4</v>
      </c>
      <c r="C115" s="94">
        <v>4</v>
      </c>
      <c r="D115" s="94" t="s">
        <v>210</v>
      </c>
      <c r="E115" s="94" t="s">
        <v>210</v>
      </c>
      <c r="F115" s="94">
        <v>-2</v>
      </c>
      <c r="G115" s="94">
        <v>3</v>
      </c>
      <c r="H115" s="94" t="s">
        <v>210</v>
      </c>
      <c r="I115" s="94" t="s">
        <v>210</v>
      </c>
      <c r="J115" s="94">
        <v>-1</v>
      </c>
      <c r="K115" s="94">
        <v>-4</v>
      </c>
      <c r="L115" s="94" t="s">
        <v>210</v>
      </c>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5"/>
    </row>
    <row r="116" spans="1:53" s="87" customFormat="1">
      <c r="A116" s="90" t="str">
        <f t="shared" si="26"/>
        <v/>
      </c>
      <c r="B116" s="98">
        <v>5</v>
      </c>
      <c r="C116" s="94">
        <v>3</v>
      </c>
      <c r="D116" s="94" t="s">
        <v>210</v>
      </c>
      <c r="E116" s="94" t="s">
        <v>210</v>
      </c>
      <c r="F116" s="94">
        <v>4</v>
      </c>
      <c r="G116" s="94">
        <v>-3</v>
      </c>
      <c r="H116" s="94" t="s">
        <v>210</v>
      </c>
      <c r="I116" s="94" t="s">
        <v>210</v>
      </c>
      <c r="J116" s="94">
        <v>-2</v>
      </c>
      <c r="K116" s="94">
        <v>1</v>
      </c>
      <c r="L116" s="94" t="s">
        <v>210</v>
      </c>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5"/>
    </row>
    <row r="117" spans="1:53" s="87" customFormat="1">
      <c r="A117" s="90" t="str">
        <f t="shared" si="26"/>
        <v/>
      </c>
      <c r="B117" s="99">
        <v>6</v>
      </c>
      <c r="C117" s="92">
        <v>-4</v>
      </c>
      <c r="D117" s="92" t="s">
        <v>210</v>
      </c>
      <c r="E117" s="92" t="s">
        <v>210</v>
      </c>
      <c r="F117" s="92">
        <v>-3</v>
      </c>
      <c r="G117" s="92">
        <v>2</v>
      </c>
      <c r="H117" s="92" t="s">
        <v>210</v>
      </c>
      <c r="I117" s="92" t="s">
        <v>210</v>
      </c>
      <c r="J117" s="92">
        <v>4</v>
      </c>
      <c r="K117" s="92">
        <v>-1</v>
      </c>
      <c r="L117" s="92" t="s">
        <v>210</v>
      </c>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5"/>
    </row>
    <row r="118" spans="1:53" s="87" customFormat="1">
      <c r="A118" s="90" t="str">
        <f t="shared" si="26"/>
        <v/>
      </c>
      <c r="B118" s="98">
        <v>7</v>
      </c>
      <c r="C118" s="94" t="s">
        <v>210</v>
      </c>
      <c r="D118" s="94">
        <v>-4</v>
      </c>
      <c r="E118" s="94">
        <v>1</v>
      </c>
      <c r="F118" s="94" t="s">
        <v>210</v>
      </c>
      <c r="G118" s="94" t="s">
        <v>210</v>
      </c>
      <c r="H118" s="94">
        <v>-2</v>
      </c>
      <c r="I118" s="94">
        <v>3</v>
      </c>
      <c r="J118" s="94" t="s">
        <v>210</v>
      </c>
      <c r="K118" s="94">
        <v>2</v>
      </c>
      <c r="L118" s="94" t="s">
        <v>210</v>
      </c>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5"/>
    </row>
    <row r="119" spans="1:53" s="87" customFormat="1">
      <c r="A119" s="90" t="str">
        <f t="shared" si="26"/>
        <v/>
      </c>
      <c r="B119" s="98">
        <v>8</v>
      </c>
      <c r="C119" s="94" t="s">
        <v>210</v>
      </c>
      <c r="D119" s="94">
        <v>3</v>
      </c>
      <c r="E119" s="94">
        <v>2</v>
      </c>
      <c r="F119" s="94" t="s">
        <v>210</v>
      </c>
      <c r="G119" s="94" t="s">
        <v>210</v>
      </c>
      <c r="H119" s="94">
        <v>-1</v>
      </c>
      <c r="I119" s="94">
        <v>4</v>
      </c>
      <c r="J119" s="94" t="s">
        <v>210</v>
      </c>
      <c r="K119" s="94">
        <v>-2</v>
      </c>
      <c r="L119" s="94" t="s">
        <v>210</v>
      </c>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5"/>
    </row>
    <row r="120" spans="1:53" s="87" customFormat="1">
      <c r="A120" s="90" t="str">
        <f t="shared" si="26"/>
        <v/>
      </c>
      <c r="B120" s="98">
        <v>9</v>
      </c>
      <c r="C120" s="94">
        <v>-1</v>
      </c>
      <c r="D120" s="94" t="s">
        <v>210</v>
      </c>
      <c r="E120" s="94">
        <v>3</v>
      </c>
      <c r="F120" s="94" t="s">
        <v>210</v>
      </c>
      <c r="G120" s="94" t="s">
        <v>210</v>
      </c>
      <c r="H120" s="94">
        <v>2</v>
      </c>
      <c r="I120" s="94">
        <v>-4</v>
      </c>
      <c r="J120" s="94" t="s">
        <v>210</v>
      </c>
      <c r="K120" s="94" t="s">
        <v>210</v>
      </c>
      <c r="L120" s="94">
        <v>-2</v>
      </c>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5"/>
    </row>
    <row r="121" spans="1:53" s="87" customFormat="1">
      <c r="A121" s="90" t="str">
        <f t="shared" si="26"/>
        <v/>
      </c>
      <c r="B121" s="99">
        <v>10</v>
      </c>
      <c r="C121" s="92" t="s">
        <v>210</v>
      </c>
      <c r="D121" s="92">
        <v>-2</v>
      </c>
      <c r="E121" s="92">
        <v>-4</v>
      </c>
      <c r="F121" s="92" t="s">
        <v>210</v>
      </c>
      <c r="G121" s="92" t="s">
        <v>210</v>
      </c>
      <c r="H121" s="92">
        <v>1</v>
      </c>
      <c r="I121" s="92">
        <v>-3</v>
      </c>
      <c r="J121" s="92" t="s">
        <v>210</v>
      </c>
      <c r="K121" s="92" t="s">
        <v>210</v>
      </c>
      <c r="L121" s="92">
        <v>2</v>
      </c>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5"/>
    </row>
    <row r="122" spans="1:53" s="87" customFormat="1">
      <c r="A122" s="90" t="str">
        <f t="shared" si="26"/>
        <v/>
      </c>
      <c r="B122" s="98">
        <v>11</v>
      </c>
      <c r="C122" s="94" t="s">
        <v>210</v>
      </c>
      <c r="D122" s="94">
        <v>4</v>
      </c>
      <c r="E122" s="94">
        <v>-2</v>
      </c>
      <c r="F122" s="94" t="s">
        <v>210</v>
      </c>
      <c r="G122" s="94" t="s">
        <v>210</v>
      </c>
      <c r="H122" s="94">
        <v>3</v>
      </c>
      <c r="I122" s="94">
        <v>-1</v>
      </c>
      <c r="J122" s="94" t="s">
        <v>210</v>
      </c>
      <c r="K122" s="94" t="s">
        <v>210</v>
      </c>
      <c r="L122" s="94">
        <v>-3</v>
      </c>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5"/>
    </row>
    <row r="123" spans="1:53" s="87" customFormat="1">
      <c r="A123" s="90" t="str">
        <f t="shared" si="26"/>
        <v/>
      </c>
      <c r="B123" s="98">
        <v>12</v>
      </c>
      <c r="C123" s="94" t="s">
        <v>210</v>
      </c>
      <c r="D123" s="94">
        <v>-3</v>
      </c>
      <c r="E123" s="94">
        <v>-1</v>
      </c>
      <c r="F123" s="94" t="s">
        <v>210</v>
      </c>
      <c r="G123" s="94">
        <v>4</v>
      </c>
      <c r="H123" s="94" t="s">
        <v>210</v>
      </c>
      <c r="I123" s="94">
        <v>-2</v>
      </c>
      <c r="J123" s="94" t="s">
        <v>210</v>
      </c>
      <c r="K123" s="94" t="s">
        <v>210</v>
      </c>
      <c r="L123" s="94">
        <v>3</v>
      </c>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5"/>
    </row>
    <row r="124" spans="1:53" s="87" customFormat="1">
      <c r="A124" s="90" t="str">
        <f t="shared" si="26"/>
        <v/>
      </c>
      <c r="B124" s="98">
        <v>13</v>
      </c>
      <c r="C124" s="94">
        <v>1</v>
      </c>
      <c r="D124" s="94" t="s">
        <v>210</v>
      </c>
      <c r="E124" s="94">
        <v>4</v>
      </c>
      <c r="F124" s="94" t="s">
        <v>210</v>
      </c>
      <c r="G124" s="94" t="s">
        <v>210</v>
      </c>
      <c r="H124" s="94">
        <v>-3</v>
      </c>
      <c r="I124" s="94">
        <v>2</v>
      </c>
      <c r="J124" s="94" t="s">
        <v>210</v>
      </c>
      <c r="K124" s="94" t="s">
        <v>210</v>
      </c>
      <c r="L124" s="94">
        <v>-4</v>
      </c>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5"/>
    </row>
    <row r="125" spans="1:53" s="87" customFormat="1">
      <c r="A125" s="90" t="str">
        <f t="shared" si="26"/>
        <v/>
      </c>
      <c r="B125" s="98">
        <v>14</v>
      </c>
      <c r="C125" s="94" t="s">
        <v>210</v>
      </c>
      <c r="D125" s="94">
        <v>2</v>
      </c>
      <c r="E125" s="94">
        <v>-3</v>
      </c>
      <c r="F125" s="94" t="s">
        <v>210</v>
      </c>
      <c r="G125" s="94">
        <v>-4</v>
      </c>
      <c r="H125" s="94" t="s">
        <v>210</v>
      </c>
      <c r="I125" s="94">
        <v>1</v>
      </c>
      <c r="J125" s="94" t="s">
        <v>210</v>
      </c>
      <c r="K125" s="94" t="s">
        <v>210</v>
      </c>
      <c r="L125" s="94">
        <v>4</v>
      </c>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5"/>
    </row>
    <row r="126" spans="1:53" s="87" customFormat="1">
      <c r="A126" s="90" t="str">
        <f t="shared" si="26"/>
        <v/>
      </c>
      <c r="B126" s="317" t="s">
        <v>275</v>
      </c>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c r="AW126" s="94"/>
      <c r="AX126" s="94"/>
      <c r="AY126" s="94"/>
      <c r="AZ126" s="94"/>
      <c r="BA126" s="95"/>
    </row>
    <row r="127" spans="1:53" s="87" customFormat="1">
      <c r="A127" s="90">
        <f t="shared" si="26"/>
        <v>127</v>
      </c>
      <c r="B127" s="98" t="s">
        <v>276</v>
      </c>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AZ127" s="94"/>
      <c r="BA127" s="95"/>
    </row>
    <row r="128" spans="1:53" s="87" customFormat="1">
      <c r="A128" s="90" t="str">
        <f t="shared" si="26"/>
        <v/>
      </c>
      <c r="B128" s="98">
        <v>1</v>
      </c>
      <c r="C128" s="94">
        <v>3</v>
      </c>
      <c r="D128" s="94" t="s">
        <v>210</v>
      </c>
      <c r="E128" s="94">
        <v>4</v>
      </c>
      <c r="F128" s="94" t="s">
        <v>210</v>
      </c>
      <c r="G128" s="94">
        <v>2</v>
      </c>
      <c r="H128" s="94" t="s">
        <v>210</v>
      </c>
      <c r="I128" s="94" t="s">
        <v>210</v>
      </c>
      <c r="J128" s="94">
        <v>-3</v>
      </c>
      <c r="K128" s="94" t="s">
        <v>210</v>
      </c>
      <c r="L128" s="94">
        <v>-2</v>
      </c>
      <c r="M128" s="94" t="s">
        <v>202</v>
      </c>
      <c r="N128" s="94" t="s">
        <v>210</v>
      </c>
      <c r="O128" s="94" t="s">
        <v>210</v>
      </c>
      <c r="P128" s="94">
        <v>1</v>
      </c>
      <c r="Q128" s="94" t="s">
        <v>210</v>
      </c>
      <c r="R128" s="94">
        <v>-4</v>
      </c>
      <c r="S128" s="94">
        <v>2</v>
      </c>
      <c r="T128" s="94" t="s">
        <v>210</v>
      </c>
      <c r="U128" s="94" t="s">
        <v>210</v>
      </c>
      <c r="V128" s="94">
        <v>-1</v>
      </c>
      <c r="W128" s="94">
        <v>4</v>
      </c>
      <c r="X128" s="94" t="s">
        <v>210</v>
      </c>
      <c r="Y128" s="94">
        <v>-1</v>
      </c>
      <c r="Z128" s="94" t="s">
        <v>210</v>
      </c>
      <c r="AA128" s="94" t="s">
        <v>210</v>
      </c>
      <c r="AB128" s="94">
        <v>3</v>
      </c>
      <c r="AC128" s="94">
        <v>-2</v>
      </c>
      <c r="AD128" s="94" t="s">
        <v>210</v>
      </c>
      <c r="AE128" s="94">
        <v>-3</v>
      </c>
      <c r="AF128" s="94" t="s">
        <v>210</v>
      </c>
      <c r="AG128" s="94"/>
      <c r="AH128" s="94"/>
      <c r="AI128" s="94"/>
      <c r="AJ128" s="94"/>
      <c r="AK128" s="94"/>
      <c r="AL128" s="94"/>
      <c r="AM128" s="94"/>
      <c r="AN128" s="94"/>
      <c r="AO128" s="94"/>
      <c r="AP128" s="94"/>
      <c r="AQ128" s="94"/>
      <c r="AR128" s="94"/>
      <c r="AS128" s="94"/>
      <c r="AT128" s="94"/>
      <c r="AU128" s="94"/>
      <c r="AV128" s="94"/>
      <c r="AW128" s="94"/>
      <c r="AX128" s="94"/>
      <c r="AY128" s="94"/>
      <c r="AZ128" s="94"/>
      <c r="BA128" s="95"/>
    </row>
    <row r="129" spans="1:53" s="87" customFormat="1">
      <c r="A129" s="90" t="str">
        <f t="shared" si="26"/>
        <v/>
      </c>
      <c r="B129" s="98">
        <v>2</v>
      </c>
      <c r="C129" s="94" t="s">
        <v>202</v>
      </c>
      <c r="D129" s="94" t="s">
        <v>210</v>
      </c>
      <c r="E129" s="94">
        <v>-3</v>
      </c>
      <c r="F129" s="94" t="s">
        <v>210</v>
      </c>
      <c r="G129" s="94">
        <v>-1</v>
      </c>
      <c r="H129" s="94" t="s">
        <v>210</v>
      </c>
      <c r="I129" s="94" t="s">
        <v>210</v>
      </c>
      <c r="J129" s="94">
        <v>4</v>
      </c>
      <c r="K129" s="94">
        <v>-1</v>
      </c>
      <c r="L129" s="94" t="s">
        <v>210</v>
      </c>
      <c r="M129" s="94" t="s">
        <v>210</v>
      </c>
      <c r="N129" s="94">
        <v>-4</v>
      </c>
      <c r="O129" s="94" t="s">
        <v>210</v>
      </c>
      <c r="P129" s="94">
        <v>3</v>
      </c>
      <c r="Q129" s="94">
        <v>2</v>
      </c>
      <c r="R129" s="94" t="s">
        <v>210</v>
      </c>
      <c r="S129" s="94">
        <v>3</v>
      </c>
      <c r="T129" s="94" t="s">
        <v>210</v>
      </c>
      <c r="U129" s="94" t="s">
        <v>210</v>
      </c>
      <c r="V129" s="94">
        <v>-2</v>
      </c>
      <c r="W129" s="94">
        <v>-3</v>
      </c>
      <c r="X129" s="94" t="s">
        <v>210</v>
      </c>
      <c r="Y129" s="94">
        <v>2</v>
      </c>
      <c r="Z129" s="94" t="s">
        <v>210</v>
      </c>
      <c r="AA129" s="94" t="s">
        <v>210</v>
      </c>
      <c r="AB129" s="94">
        <v>-4</v>
      </c>
      <c r="AC129" s="94" t="s">
        <v>210</v>
      </c>
      <c r="AD129" s="94">
        <v>1</v>
      </c>
      <c r="AE129" s="94">
        <v>3</v>
      </c>
      <c r="AF129" s="94" t="s">
        <v>210</v>
      </c>
      <c r="AG129" s="94"/>
      <c r="AH129" s="94"/>
      <c r="AI129" s="94"/>
      <c r="AJ129" s="94"/>
      <c r="AK129" s="94"/>
      <c r="AL129" s="94"/>
      <c r="AM129" s="94"/>
      <c r="AN129" s="94"/>
      <c r="AO129" s="94"/>
      <c r="AP129" s="94"/>
      <c r="AQ129" s="94"/>
      <c r="AR129" s="94"/>
      <c r="AS129" s="94"/>
      <c r="AT129" s="94"/>
      <c r="AU129" s="94"/>
      <c r="AV129" s="94"/>
      <c r="AW129" s="94"/>
      <c r="AX129" s="94"/>
      <c r="AY129" s="94"/>
      <c r="AZ129" s="94"/>
      <c r="BA129" s="95"/>
    </row>
    <row r="130" spans="1:53" s="87" customFormat="1">
      <c r="A130" s="90" t="str">
        <f t="shared" si="26"/>
        <v/>
      </c>
      <c r="B130" s="98">
        <v>3</v>
      </c>
      <c r="C130" s="94" t="s">
        <v>210</v>
      </c>
      <c r="D130" s="94">
        <v>-3</v>
      </c>
      <c r="E130" s="94">
        <v>-4</v>
      </c>
      <c r="F130" s="94" t="s">
        <v>210</v>
      </c>
      <c r="G130" s="94" t="s">
        <v>202</v>
      </c>
      <c r="H130" s="94" t="s">
        <v>210</v>
      </c>
      <c r="I130" s="94" t="s">
        <v>210</v>
      </c>
      <c r="J130" s="94">
        <v>2</v>
      </c>
      <c r="K130" s="94">
        <v>3</v>
      </c>
      <c r="L130" s="94" t="s">
        <v>210</v>
      </c>
      <c r="M130" s="94" t="s">
        <v>210</v>
      </c>
      <c r="N130" s="94">
        <v>2</v>
      </c>
      <c r="O130" s="94">
        <v>-1</v>
      </c>
      <c r="P130" s="94" t="s">
        <v>210</v>
      </c>
      <c r="Q130" s="94">
        <v>-3</v>
      </c>
      <c r="R130" s="94" t="s">
        <v>210</v>
      </c>
      <c r="S130" s="94" t="s">
        <v>210</v>
      </c>
      <c r="T130" s="94">
        <v>-2</v>
      </c>
      <c r="U130" s="94">
        <v>3</v>
      </c>
      <c r="V130" s="94" t="s">
        <v>210</v>
      </c>
      <c r="W130" s="94">
        <v>1</v>
      </c>
      <c r="X130" s="94" t="s">
        <v>210</v>
      </c>
      <c r="Y130" s="94" t="s">
        <v>210</v>
      </c>
      <c r="Z130" s="94">
        <v>4</v>
      </c>
      <c r="AA130" s="94">
        <v>-2</v>
      </c>
      <c r="AB130" s="94" t="s">
        <v>210</v>
      </c>
      <c r="AC130" s="94" t="s">
        <v>210</v>
      </c>
      <c r="AD130" s="94">
        <v>-1</v>
      </c>
      <c r="AE130" s="94">
        <v>2</v>
      </c>
      <c r="AF130" s="94" t="s">
        <v>210</v>
      </c>
      <c r="AG130" s="94"/>
      <c r="AH130" s="94"/>
      <c r="AI130" s="94"/>
      <c r="AJ130" s="94"/>
      <c r="AK130" s="94"/>
      <c r="AL130" s="94"/>
      <c r="AM130" s="94"/>
      <c r="AN130" s="94"/>
      <c r="AO130" s="94"/>
      <c r="AP130" s="94"/>
      <c r="AQ130" s="94"/>
      <c r="AR130" s="94"/>
      <c r="AS130" s="94"/>
      <c r="AT130" s="94"/>
      <c r="AU130" s="94"/>
      <c r="AV130" s="94"/>
      <c r="AW130" s="94"/>
      <c r="AX130" s="94"/>
      <c r="AY130" s="94"/>
      <c r="AZ130" s="94"/>
      <c r="BA130" s="95"/>
    </row>
    <row r="131" spans="1:53" s="87" customFormat="1">
      <c r="A131" s="90" t="str">
        <f t="shared" si="26"/>
        <v/>
      </c>
      <c r="B131" s="98">
        <v>4</v>
      </c>
      <c r="C131" s="94" t="s">
        <v>210</v>
      </c>
      <c r="D131" s="94">
        <v>2</v>
      </c>
      <c r="E131" s="94">
        <v>3</v>
      </c>
      <c r="F131" s="94" t="s">
        <v>210</v>
      </c>
      <c r="G131" s="94" t="s">
        <v>210</v>
      </c>
      <c r="H131" s="94">
        <v>2</v>
      </c>
      <c r="I131" s="94">
        <v>-1</v>
      </c>
      <c r="J131" s="94" t="s">
        <v>210</v>
      </c>
      <c r="K131" s="94" t="s">
        <v>210</v>
      </c>
      <c r="L131" s="94">
        <v>-3</v>
      </c>
      <c r="M131" s="94">
        <v>4</v>
      </c>
      <c r="N131" s="94" t="s">
        <v>210</v>
      </c>
      <c r="O131" s="94" t="s">
        <v>202</v>
      </c>
      <c r="P131" s="94" t="s">
        <v>210</v>
      </c>
      <c r="Q131" s="94" t="s">
        <v>210</v>
      </c>
      <c r="R131" s="94">
        <v>3</v>
      </c>
      <c r="S131" s="94">
        <v>4</v>
      </c>
      <c r="T131" s="94" t="s">
        <v>210</v>
      </c>
      <c r="U131" s="94">
        <v>-1</v>
      </c>
      <c r="V131" s="94" t="s">
        <v>210</v>
      </c>
      <c r="W131" s="94" t="s">
        <v>210</v>
      </c>
      <c r="X131" s="94">
        <v>-3</v>
      </c>
      <c r="Y131" s="94">
        <v>1</v>
      </c>
      <c r="Z131" s="94" t="s">
        <v>210</v>
      </c>
      <c r="AA131" s="94">
        <v>-4</v>
      </c>
      <c r="AB131" s="94" t="s">
        <v>210</v>
      </c>
      <c r="AC131" s="94" t="s">
        <v>210</v>
      </c>
      <c r="AD131" s="94">
        <v>-3</v>
      </c>
      <c r="AE131" s="94">
        <v>-2</v>
      </c>
      <c r="AF131" s="94" t="s">
        <v>210</v>
      </c>
      <c r="AG131" s="94"/>
      <c r="AH131" s="94"/>
      <c r="AI131" s="94"/>
      <c r="AJ131" s="94"/>
      <c r="AK131" s="94"/>
      <c r="AL131" s="94"/>
      <c r="AM131" s="94"/>
      <c r="AN131" s="94"/>
      <c r="AO131" s="94"/>
      <c r="AP131" s="94"/>
      <c r="AQ131" s="94"/>
      <c r="AR131" s="94"/>
      <c r="AS131" s="94"/>
      <c r="AT131" s="94"/>
      <c r="AU131" s="94"/>
      <c r="AV131" s="94"/>
      <c r="AW131" s="94"/>
      <c r="AX131" s="94"/>
      <c r="AY131" s="94"/>
      <c r="AZ131" s="94"/>
      <c r="BA131" s="95"/>
    </row>
    <row r="132" spans="1:53" s="87" customFormat="1">
      <c r="A132" s="90" t="str">
        <f t="shared" si="26"/>
        <v/>
      </c>
      <c r="B132" s="98">
        <v>5</v>
      </c>
      <c r="C132" s="94">
        <v>-2</v>
      </c>
      <c r="D132" s="94" t="s">
        <v>210</v>
      </c>
      <c r="E132" s="94">
        <v>1</v>
      </c>
      <c r="F132" s="94" t="s">
        <v>210</v>
      </c>
      <c r="G132" s="94" t="s">
        <v>210</v>
      </c>
      <c r="H132" s="94">
        <v>-3</v>
      </c>
      <c r="I132" s="94">
        <v>-4</v>
      </c>
      <c r="J132" s="94" t="s">
        <v>210</v>
      </c>
      <c r="K132" s="94" t="s">
        <v>202</v>
      </c>
      <c r="L132" s="94" t="s">
        <v>210</v>
      </c>
      <c r="M132" s="94" t="s">
        <v>210</v>
      </c>
      <c r="N132" s="94">
        <v>3</v>
      </c>
      <c r="O132" s="94" t="s">
        <v>210</v>
      </c>
      <c r="P132" s="94">
        <v>2</v>
      </c>
      <c r="Q132" s="94">
        <v>-1</v>
      </c>
      <c r="R132" s="94" t="s">
        <v>210</v>
      </c>
      <c r="S132" s="94">
        <v>-3</v>
      </c>
      <c r="T132" s="94" t="s">
        <v>210</v>
      </c>
      <c r="U132" s="94" t="s">
        <v>210</v>
      </c>
      <c r="V132" s="94">
        <v>1</v>
      </c>
      <c r="W132" s="94">
        <v>-2</v>
      </c>
      <c r="X132" s="94" t="s">
        <v>210</v>
      </c>
      <c r="Y132" s="94" t="s">
        <v>210</v>
      </c>
      <c r="Z132" s="94">
        <v>-3</v>
      </c>
      <c r="AA132" s="94">
        <v>2</v>
      </c>
      <c r="AB132" s="94" t="s">
        <v>210</v>
      </c>
      <c r="AC132" s="94" t="s">
        <v>210</v>
      </c>
      <c r="AD132" s="94">
        <v>3</v>
      </c>
      <c r="AE132" s="94">
        <v>4</v>
      </c>
      <c r="AF132" s="94" t="s">
        <v>210</v>
      </c>
      <c r="AG132" s="94"/>
      <c r="AH132" s="94"/>
      <c r="AI132" s="94"/>
      <c r="AJ132" s="94"/>
      <c r="AK132" s="94"/>
      <c r="AL132" s="94"/>
      <c r="AM132" s="94"/>
      <c r="AN132" s="94"/>
      <c r="AO132" s="94"/>
      <c r="AP132" s="94"/>
      <c r="AQ132" s="94"/>
      <c r="AR132" s="94"/>
      <c r="AS132" s="94"/>
      <c r="AT132" s="94"/>
      <c r="AU132" s="94"/>
      <c r="AV132" s="94"/>
      <c r="AW132" s="94"/>
      <c r="AX132" s="94"/>
      <c r="AY132" s="94"/>
      <c r="AZ132" s="94"/>
      <c r="BA132" s="95"/>
    </row>
    <row r="133" spans="1:53" s="87" customFormat="1">
      <c r="A133" s="90" t="str">
        <f t="shared" si="26"/>
        <v/>
      </c>
      <c r="B133" s="98">
        <v>6</v>
      </c>
      <c r="C133" s="94" t="s">
        <v>210</v>
      </c>
      <c r="D133" s="94">
        <v>1</v>
      </c>
      <c r="E133" s="94">
        <v>-2</v>
      </c>
      <c r="F133" s="94" t="s">
        <v>210</v>
      </c>
      <c r="G133" s="94" t="s">
        <v>210</v>
      </c>
      <c r="H133" s="94">
        <v>-4</v>
      </c>
      <c r="I133" s="94">
        <v>3</v>
      </c>
      <c r="J133" s="94" t="s">
        <v>210</v>
      </c>
      <c r="K133" s="94" t="s">
        <v>210</v>
      </c>
      <c r="L133" s="94">
        <v>-1</v>
      </c>
      <c r="M133" s="94">
        <v>3</v>
      </c>
      <c r="N133" s="94" t="s">
        <v>210</v>
      </c>
      <c r="O133" s="94">
        <v>2</v>
      </c>
      <c r="P133" s="94" t="s">
        <v>210</v>
      </c>
      <c r="Q133" s="94" t="s">
        <v>210</v>
      </c>
      <c r="R133" s="94">
        <v>4</v>
      </c>
      <c r="S133" s="94" t="s">
        <v>202</v>
      </c>
      <c r="T133" s="94" t="s">
        <v>210</v>
      </c>
      <c r="U133" s="94" t="s">
        <v>210</v>
      </c>
      <c r="V133" s="94">
        <v>-3</v>
      </c>
      <c r="W133" s="94">
        <v>-1</v>
      </c>
      <c r="X133" s="94" t="s">
        <v>210</v>
      </c>
      <c r="Y133" s="94">
        <v>-2</v>
      </c>
      <c r="Z133" s="94" t="s">
        <v>210</v>
      </c>
      <c r="AA133" s="94">
        <v>4</v>
      </c>
      <c r="AB133" s="94" t="s">
        <v>210</v>
      </c>
      <c r="AC133" s="94" t="s">
        <v>210</v>
      </c>
      <c r="AD133" s="94">
        <v>2</v>
      </c>
      <c r="AE133" s="94">
        <v>-4</v>
      </c>
      <c r="AF133" s="94" t="s">
        <v>210</v>
      </c>
      <c r="AG133" s="94"/>
      <c r="AH133" s="94"/>
      <c r="AI133" s="94"/>
      <c r="AJ133" s="94"/>
      <c r="AK133" s="94"/>
      <c r="AL133" s="94"/>
      <c r="AM133" s="94"/>
      <c r="AN133" s="94"/>
      <c r="AO133" s="94"/>
      <c r="AP133" s="94"/>
      <c r="AQ133" s="94"/>
      <c r="AR133" s="94"/>
      <c r="AS133" s="94"/>
      <c r="AT133" s="94"/>
      <c r="AU133" s="94"/>
      <c r="AV133" s="94"/>
      <c r="AW133" s="94"/>
      <c r="AX133" s="94"/>
      <c r="AY133" s="94"/>
      <c r="AZ133" s="94"/>
      <c r="BA133" s="95"/>
    </row>
    <row r="134" spans="1:53" s="87" customFormat="1">
      <c r="A134" s="90" t="str">
        <f t="shared" si="26"/>
        <v/>
      </c>
      <c r="B134" s="98">
        <v>7</v>
      </c>
      <c r="C134" s="94">
        <v>-3</v>
      </c>
      <c r="D134" s="94" t="s">
        <v>210</v>
      </c>
      <c r="E134" s="94" t="s">
        <v>210</v>
      </c>
      <c r="F134" s="94">
        <v>2</v>
      </c>
      <c r="G134" s="94">
        <v>3</v>
      </c>
      <c r="H134" s="94" t="s">
        <v>210</v>
      </c>
      <c r="I134" s="94" t="s">
        <v>210</v>
      </c>
      <c r="J134" s="94">
        <v>-2</v>
      </c>
      <c r="K134" s="94">
        <v>4</v>
      </c>
      <c r="L134" s="94" t="s">
        <v>210</v>
      </c>
      <c r="M134" s="94">
        <v>1</v>
      </c>
      <c r="N134" s="94" t="s">
        <v>210</v>
      </c>
      <c r="O134" s="94">
        <v>-3</v>
      </c>
      <c r="P134" s="94" t="s">
        <v>210</v>
      </c>
      <c r="Q134" s="94" t="s">
        <v>210</v>
      </c>
      <c r="R134" s="94">
        <v>-2</v>
      </c>
      <c r="S134" s="94">
        <v>-4</v>
      </c>
      <c r="T134" s="94" t="s">
        <v>210</v>
      </c>
      <c r="U134" s="94" t="s">
        <v>210</v>
      </c>
      <c r="V134" s="94">
        <v>2</v>
      </c>
      <c r="W134" s="94" t="s">
        <v>202</v>
      </c>
      <c r="X134" s="94" t="s">
        <v>210</v>
      </c>
      <c r="Y134" s="94" t="s">
        <v>210</v>
      </c>
      <c r="Z134" s="94">
        <v>3</v>
      </c>
      <c r="AA134" s="94">
        <v>1</v>
      </c>
      <c r="AB134" s="94" t="s">
        <v>210</v>
      </c>
      <c r="AC134" s="94" t="s">
        <v>210</v>
      </c>
      <c r="AD134" s="94">
        <v>-2</v>
      </c>
      <c r="AE134" s="94">
        <v>-1</v>
      </c>
      <c r="AF134" s="94" t="s">
        <v>210</v>
      </c>
      <c r="AG134" s="94"/>
      <c r="AH134" s="94"/>
      <c r="AI134" s="94"/>
      <c r="AJ134" s="94"/>
      <c r="AK134" s="94"/>
      <c r="AL134" s="94"/>
      <c r="AM134" s="94"/>
      <c r="AN134" s="94"/>
      <c r="AO134" s="94"/>
      <c r="AP134" s="94"/>
      <c r="AQ134" s="94"/>
      <c r="AR134" s="94"/>
      <c r="AS134" s="94"/>
      <c r="AT134" s="94"/>
      <c r="AU134" s="94"/>
      <c r="AV134" s="94"/>
      <c r="AW134" s="94"/>
      <c r="AX134" s="94"/>
      <c r="AY134" s="94"/>
      <c r="AZ134" s="94"/>
      <c r="BA134" s="95"/>
    </row>
    <row r="135" spans="1:53" s="87" customFormat="1">
      <c r="A135" s="90" t="str">
        <f t="shared" si="26"/>
        <v/>
      </c>
      <c r="B135" s="98">
        <v>8</v>
      </c>
      <c r="C135" s="94">
        <v>-1</v>
      </c>
      <c r="D135" s="94" t="s">
        <v>210</v>
      </c>
      <c r="E135" s="94" t="s">
        <v>210</v>
      </c>
      <c r="F135" s="94">
        <v>3</v>
      </c>
      <c r="G135" s="94">
        <v>-2</v>
      </c>
      <c r="H135" s="94" t="s">
        <v>210</v>
      </c>
      <c r="I135" s="94" t="s">
        <v>210</v>
      </c>
      <c r="J135" s="94">
        <v>-4</v>
      </c>
      <c r="K135" s="94">
        <v>2</v>
      </c>
      <c r="L135" s="94" t="s">
        <v>210</v>
      </c>
      <c r="M135" s="94" t="s">
        <v>210</v>
      </c>
      <c r="N135" s="94">
        <v>-3</v>
      </c>
      <c r="O135" s="94">
        <v>-2</v>
      </c>
      <c r="P135" s="94" t="s">
        <v>210</v>
      </c>
      <c r="Q135" s="94">
        <v>-4</v>
      </c>
      <c r="R135" s="94" t="s">
        <v>210</v>
      </c>
      <c r="S135" s="94" t="s">
        <v>210</v>
      </c>
      <c r="T135" s="94">
        <v>2</v>
      </c>
      <c r="U135" s="94">
        <v>1</v>
      </c>
      <c r="V135" s="94" t="s">
        <v>210</v>
      </c>
      <c r="W135" s="94" t="s">
        <v>210</v>
      </c>
      <c r="X135" s="94">
        <v>4</v>
      </c>
      <c r="Y135" s="94" t="s">
        <v>210</v>
      </c>
      <c r="Z135" s="94">
        <v>-2</v>
      </c>
      <c r="AA135" s="94" t="s">
        <v>202</v>
      </c>
      <c r="AB135" s="94" t="s">
        <v>210</v>
      </c>
      <c r="AC135" s="94">
        <v>3</v>
      </c>
      <c r="AD135" s="94" t="s">
        <v>210</v>
      </c>
      <c r="AE135" s="94">
        <v>1</v>
      </c>
      <c r="AF135" s="94" t="s">
        <v>210</v>
      </c>
      <c r="AG135" s="94"/>
      <c r="AH135" s="94"/>
      <c r="AI135" s="94"/>
      <c r="AJ135" s="94"/>
      <c r="AK135" s="94"/>
      <c r="AL135" s="94"/>
      <c r="AM135" s="94"/>
      <c r="AN135" s="94"/>
      <c r="AO135" s="94"/>
      <c r="AP135" s="94"/>
      <c r="AQ135" s="94"/>
      <c r="AR135" s="94"/>
      <c r="AS135" s="94"/>
      <c r="AT135" s="94"/>
      <c r="AU135" s="94"/>
      <c r="AV135" s="94"/>
      <c r="AW135" s="94"/>
      <c r="AX135" s="94"/>
      <c r="AY135" s="94"/>
      <c r="AZ135" s="94"/>
      <c r="BA135" s="95"/>
    </row>
    <row r="136" spans="1:53" s="87" customFormat="1">
      <c r="A136" s="90" t="str">
        <f t="shared" si="26"/>
        <v/>
      </c>
      <c r="B136" s="98">
        <v>9</v>
      </c>
      <c r="C136" s="94">
        <v>-4</v>
      </c>
      <c r="D136" s="94" t="s">
        <v>210</v>
      </c>
      <c r="E136" s="94">
        <v>2</v>
      </c>
      <c r="F136" s="94" t="s">
        <v>210</v>
      </c>
      <c r="G136" s="94" t="s">
        <v>210</v>
      </c>
      <c r="H136" s="94">
        <v>3</v>
      </c>
      <c r="I136" s="94">
        <v>2</v>
      </c>
      <c r="J136" s="94" t="s">
        <v>210</v>
      </c>
      <c r="K136" s="94">
        <v>-3</v>
      </c>
      <c r="L136" s="94" t="s">
        <v>210</v>
      </c>
      <c r="M136" s="94">
        <v>-1</v>
      </c>
      <c r="N136" s="94" t="s">
        <v>210</v>
      </c>
      <c r="O136" s="94" t="s">
        <v>210</v>
      </c>
      <c r="P136" s="94">
        <v>-3</v>
      </c>
      <c r="Q136" s="94">
        <v>4</v>
      </c>
      <c r="R136" s="94" t="s">
        <v>210</v>
      </c>
      <c r="S136" s="94" t="s">
        <v>210</v>
      </c>
      <c r="T136" s="94">
        <v>1</v>
      </c>
      <c r="U136" s="94">
        <v>-2</v>
      </c>
      <c r="V136" s="94" t="s">
        <v>210</v>
      </c>
      <c r="W136" s="94" t="s">
        <v>210</v>
      </c>
      <c r="X136" s="94">
        <v>3</v>
      </c>
      <c r="Y136" s="94">
        <v>4</v>
      </c>
      <c r="Z136" s="94" t="s">
        <v>210</v>
      </c>
      <c r="AA136" s="94" t="s">
        <v>210</v>
      </c>
      <c r="AB136" s="94">
        <v>-3</v>
      </c>
      <c r="AC136" s="94" t="s">
        <v>202</v>
      </c>
      <c r="AD136" s="94" t="s">
        <v>210</v>
      </c>
      <c r="AE136" s="94" t="s">
        <v>210</v>
      </c>
      <c r="AF136" s="94">
        <v>-2</v>
      </c>
      <c r="AG136" s="94"/>
      <c r="AH136" s="94"/>
      <c r="AI136" s="94"/>
      <c r="AJ136" s="94"/>
      <c r="AK136" s="94"/>
      <c r="AL136" s="94"/>
      <c r="AM136" s="94"/>
      <c r="AN136" s="94"/>
      <c r="AO136" s="94"/>
      <c r="AP136" s="94"/>
      <c r="AQ136" s="94"/>
      <c r="AR136" s="94"/>
      <c r="AS136" s="94"/>
      <c r="AT136" s="94"/>
      <c r="AU136" s="94"/>
      <c r="AV136" s="94"/>
      <c r="AW136" s="94"/>
      <c r="AX136" s="94"/>
      <c r="AY136" s="94"/>
      <c r="AZ136" s="94"/>
      <c r="BA136" s="95"/>
    </row>
    <row r="137" spans="1:53" s="87" customFormat="1">
      <c r="A137" s="90" t="str">
        <f t="shared" si="26"/>
        <v/>
      </c>
      <c r="B137" s="98">
        <v>10</v>
      </c>
      <c r="C137" s="94">
        <v>1</v>
      </c>
      <c r="D137" s="94" t="s">
        <v>210</v>
      </c>
      <c r="E137" s="94" t="s">
        <v>210</v>
      </c>
      <c r="F137" s="94">
        <v>-2</v>
      </c>
      <c r="G137" s="94">
        <v>-4</v>
      </c>
      <c r="H137" s="94" t="s">
        <v>210</v>
      </c>
      <c r="I137" s="94" t="s">
        <v>202</v>
      </c>
      <c r="J137" s="94" t="s">
        <v>210</v>
      </c>
      <c r="K137" s="94" t="s">
        <v>210</v>
      </c>
      <c r="L137" s="94">
        <v>1</v>
      </c>
      <c r="M137" s="94">
        <v>-4</v>
      </c>
      <c r="N137" s="94" t="s">
        <v>210</v>
      </c>
      <c r="O137" s="94" t="s">
        <v>210</v>
      </c>
      <c r="P137" s="94">
        <v>-2</v>
      </c>
      <c r="Q137" s="94">
        <v>3</v>
      </c>
      <c r="R137" s="94" t="s">
        <v>210</v>
      </c>
      <c r="S137" s="94">
        <v>-2</v>
      </c>
      <c r="T137" s="94" t="s">
        <v>210</v>
      </c>
      <c r="U137" s="94">
        <v>4</v>
      </c>
      <c r="V137" s="94" t="s">
        <v>210</v>
      </c>
      <c r="W137" s="94" t="s">
        <v>210</v>
      </c>
      <c r="X137" s="94">
        <v>2</v>
      </c>
      <c r="Y137" s="94">
        <v>-3</v>
      </c>
      <c r="Z137" s="94" t="s">
        <v>210</v>
      </c>
      <c r="AA137" s="94" t="s">
        <v>210</v>
      </c>
      <c r="AB137" s="94">
        <v>4</v>
      </c>
      <c r="AC137" s="94">
        <v>-1</v>
      </c>
      <c r="AD137" s="94" t="s">
        <v>210</v>
      </c>
      <c r="AE137" s="94" t="s">
        <v>210</v>
      </c>
      <c r="AF137" s="94">
        <v>2</v>
      </c>
      <c r="AG137" s="94"/>
      <c r="AH137" s="94"/>
      <c r="AI137" s="94"/>
      <c r="AJ137" s="94"/>
      <c r="AK137" s="94"/>
      <c r="AL137" s="94"/>
      <c r="AM137" s="94"/>
      <c r="AN137" s="94"/>
      <c r="AO137" s="94"/>
      <c r="AP137" s="94"/>
      <c r="AQ137" s="94"/>
      <c r="AR137" s="94"/>
      <c r="AS137" s="94"/>
      <c r="AT137" s="94"/>
      <c r="AU137" s="94"/>
      <c r="AV137" s="94"/>
      <c r="AW137" s="94"/>
      <c r="AX137" s="94"/>
      <c r="AY137" s="94"/>
      <c r="AZ137" s="94"/>
      <c r="BA137" s="95"/>
    </row>
    <row r="138" spans="1:53" s="87" customFormat="1">
      <c r="A138" s="90" t="str">
        <f t="shared" si="26"/>
        <v/>
      </c>
      <c r="B138" s="98">
        <v>11</v>
      </c>
      <c r="C138" s="94" t="s">
        <v>210</v>
      </c>
      <c r="D138" s="94">
        <v>-1</v>
      </c>
      <c r="E138" s="94" t="s">
        <v>202</v>
      </c>
      <c r="F138" s="94" t="s">
        <v>210</v>
      </c>
      <c r="G138" s="94">
        <v>-3</v>
      </c>
      <c r="H138" s="94" t="s">
        <v>210</v>
      </c>
      <c r="I138" s="94">
        <v>-2</v>
      </c>
      <c r="J138" s="94" t="s">
        <v>210</v>
      </c>
      <c r="K138" s="94" t="s">
        <v>210</v>
      </c>
      <c r="L138" s="94">
        <v>3</v>
      </c>
      <c r="M138" s="94" t="s">
        <v>210</v>
      </c>
      <c r="N138" s="94">
        <v>-2</v>
      </c>
      <c r="O138" s="94">
        <v>4</v>
      </c>
      <c r="P138" s="94" t="s">
        <v>210</v>
      </c>
      <c r="Q138" s="94">
        <v>1</v>
      </c>
      <c r="R138" s="94" t="s">
        <v>210</v>
      </c>
      <c r="S138" s="94" t="s">
        <v>210</v>
      </c>
      <c r="T138" s="94">
        <v>-3</v>
      </c>
      <c r="U138" s="94">
        <v>-4</v>
      </c>
      <c r="V138" s="94" t="s">
        <v>210</v>
      </c>
      <c r="W138" s="94">
        <v>3</v>
      </c>
      <c r="X138" s="94" t="s">
        <v>210</v>
      </c>
      <c r="Y138" s="94" t="s">
        <v>210</v>
      </c>
      <c r="Z138" s="94">
        <v>2</v>
      </c>
      <c r="AA138" s="94">
        <v>-3</v>
      </c>
      <c r="AB138" s="94" t="s">
        <v>210</v>
      </c>
      <c r="AC138" s="94">
        <v>2</v>
      </c>
      <c r="AD138" s="94" t="s">
        <v>210</v>
      </c>
      <c r="AE138" s="94" t="s">
        <v>210</v>
      </c>
      <c r="AF138" s="94">
        <v>1</v>
      </c>
      <c r="AG138" s="94"/>
      <c r="AH138" s="94"/>
      <c r="AI138" s="94"/>
      <c r="AJ138" s="94"/>
      <c r="AK138" s="94"/>
      <c r="AL138" s="94"/>
      <c r="AM138" s="94"/>
      <c r="AN138" s="94"/>
      <c r="AO138" s="94"/>
      <c r="AP138" s="94"/>
      <c r="AQ138" s="94"/>
      <c r="AR138" s="94"/>
      <c r="AS138" s="94"/>
      <c r="AT138" s="94"/>
      <c r="AU138" s="94"/>
      <c r="AV138" s="94"/>
      <c r="AW138" s="94"/>
      <c r="AX138" s="94"/>
      <c r="AY138" s="94"/>
      <c r="AZ138" s="94"/>
      <c r="BA138" s="95"/>
    </row>
    <row r="139" spans="1:53" s="87" customFormat="1">
      <c r="A139" s="90" t="str">
        <f t="shared" si="26"/>
        <v/>
      </c>
      <c r="B139" s="98">
        <v>12</v>
      </c>
      <c r="C139" s="94">
        <v>2</v>
      </c>
      <c r="D139" s="94" t="s">
        <v>210</v>
      </c>
      <c r="E139" s="94" t="s">
        <v>210</v>
      </c>
      <c r="F139" s="94">
        <v>1</v>
      </c>
      <c r="G139" s="94" t="s">
        <v>210</v>
      </c>
      <c r="H139" s="94">
        <v>-2</v>
      </c>
      <c r="I139" s="94">
        <v>-3</v>
      </c>
      <c r="J139" s="94" t="s">
        <v>210</v>
      </c>
      <c r="K139" s="94">
        <v>-2</v>
      </c>
      <c r="L139" s="94" t="s">
        <v>210</v>
      </c>
      <c r="M139" s="94" t="s">
        <v>210</v>
      </c>
      <c r="N139" s="94">
        <v>4</v>
      </c>
      <c r="O139" s="94">
        <v>3</v>
      </c>
      <c r="P139" s="94" t="s">
        <v>210</v>
      </c>
      <c r="Q139" s="94" t="s">
        <v>202</v>
      </c>
      <c r="R139" s="94" t="s">
        <v>210</v>
      </c>
      <c r="S139" s="94" t="s">
        <v>210</v>
      </c>
      <c r="T139" s="94">
        <v>-1</v>
      </c>
      <c r="U139" s="94">
        <v>-3</v>
      </c>
      <c r="V139" s="94" t="s">
        <v>210</v>
      </c>
      <c r="W139" s="94">
        <v>-4</v>
      </c>
      <c r="X139" s="94" t="s">
        <v>210</v>
      </c>
      <c r="Y139" s="94">
        <v>3</v>
      </c>
      <c r="Z139" s="94" t="s">
        <v>210</v>
      </c>
      <c r="AA139" s="94" t="s">
        <v>210</v>
      </c>
      <c r="AB139" s="94">
        <v>2</v>
      </c>
      <c r="AC139" s="94">
        <v>4</v>
      </c>
      <c r="AD139" s="94" t="s">
        <v>210</v>
      </c>
      <c r="AE139" s="94" t="s">
        <v>210</v>
      </c>
      <c r="AF139" s="94">
        <v>-1</v>
      </c>
      <c r="AG139" s="94"/>
      <c r="AH139" s="94"/>
      <c r="AI139" s="94"/>
      <c r="AJ139" s="94"/>
      <c r="AK139" s="94"/>
      <c r="AL139" s="94"/>
      <c r="AM139" s="94"/>
      <c r="AN139" s="94"/>
      <c r="AO139" s="94"/>
      <c r="AP139" s="94"/>
      <c r="AQ139" s="94"/>
      <c r="AR139" s="94"/>
      <c r="AS139" s="94"/>
      <c r="AT139" s="94"/>
      <c r="AU139" s="94"/>
      <c r="AV139" s="94"/>
      <c r="AW139" s="94"/>
      <c r="AX139" s="94"/>
      <c r="AY139" s="94"/>
      <c r="AZ139" s="94"/>
      <c r="BA139" s="95"/>
    </row>
    <row r="140" spans="1:53" s="87" customFormat="1">
      <c r="A140" s="90" t="str">
        <f t="shared" ref="A140:A203" si="27">IF(MID(B140,3,2)="04",ROW(),"")</f>
        <v/>
      </c>
      <c r="B140" s="98">
        <v>13</v>
      </c>
      <c r="C140" s="94" t="s">
        <v>210</v>
      </c>
      <c r="D140" s="94">
        <v>-2</v>
      </c>
      <c r="E140" s="94" t="s">
        <v>210</v>
      </c>
      <c r="F140" s="94">
        <v>-3</v>
      </c>
      <c r="G140" s="94">
        <v>1</v>
      </c>
      <c r="H140" s="94" t="s">
        <v>210</v>
      </c>
      <c r="I140" s="94">
        <v>4</v>
      </c>
      <c r="J140" s="94" t="s">
        <v>210</v>
      </c>
      <c r="K140" s="94" t="s">
        <v>210</v>
      </c>
      <c r="L140" s="94">
        <v>2</v>
      </c>
      <c r="M140" s="94">
        <v>-3</v>
      </c>
      <c r="N140" s="94" t="s">
        <v>210</v>
      </c>
      <c r="O140" s="94">
        <v>1</v>
      </c>
      <c r="P140" s="94" t="s">
        <v>210</v>
      </c>
      <c r="Q140" s="94" t="s">
        <v>210</v>
      </c>
      <c r="R140" s="94">
        <v>2</v>
      </c>
      <c r="S140" s="94">
        <v>-1</v>
      </c>
      <c r="T140" s="94" t="s">
        <v>210</v>
      </c>
      <c r="U140" s="94" t="s">
        <v>202</v>
      </c>
      <c r="V140" s="94" t="s">
        <v>210</v>
      </c>
      <c r="W140" s="94" t="s">
        <v>210</v>
      </c>
      <c r="X140" s="94">
        <v>-2</v>
      </c>
      <c r="Y140" s="94">
        <v>-4</v>
      </c>
      <c r="Z140" s="94" t="s">
        <v>210</v>
      </c>
      <c r="AA140" s="94">
        <v>3</v>
      </c>
      <c r="AB140" s="94" t="s">
        <v>210</v>
      </c>
      <c r="AC140" s="94">
        <v>-4</v>
      </c>
      <c r="AD140" s="94" t="s">
        <v>210</v>
      </c>
      <c r="AE140" s="94" t="s">
        <v>210</v>
      </c>
      <c r="AF140" s="94">
        <v>3</v>
      </c>
      <c r="AG140" s="94"/>
      <c r="AH140" s="94"/>
      <c r="AI140" s="94"/>
      <c r="AJ140" s="94"/>
      <c r="AK140" s="94"/>
      <c r="AL140" s="94"/>
      <c r="AM140" s="94"/>
      <c r="AN140" s="94"/>
      <c r="AO140" s="94"/>
      <c r="AP140" s="94"/>
      <c r="AQ140" s="94"/>
      <c r="AR140" s="94"/>
      <c r="AS140" s="94"/>
      <c r="AT140" s="94"/>
      <c r="AU140" s="94"/>
      <c r="AV140" s="94"/>
      <c r="AW140" s="94"/>
      <c r="AX140" s="94"/>
      <c r="AY140" s="94"/>
      <c r="AZ140" s="94"/>
      <c r="BA140" s="95"/>
    </row>
    <row r="141" spans="1:53" s="87" customFormat="1">
      <c r="A141" s="90" t="str">
        <f t="shared" si="27"/>
        <v/>
      </c>
      <c r="B141" s="98">
        <v>14</v>
      </c>
      <c r="C141" s="94" t="s">
        <v>210</v>
      </c>
      <c r="D141" s="94">
        <v>3</v>
      </c>
      <c r="E141" s="94">
        <v>-1</v>
      </c>
      <c r="F141" s="94" t="s">
        <v>210</v>
      </c>
      <c r="G141" s="94" t="s">
        <v>210</v>
      </c>
      <c r="H141" s="94">
        <v>4</v>
      </c>
      <c r="I141" s="94">
        <v>1</v>
      </c>
      <c r="J141" s="94" t="s">
        <v>210</v>
      </c>
      <c r="K141" s="94">
        <v>-4</v>
      </c>
      <c r="L141" s="94" t="s">
        <v>210</v>
      </c>
      <c r="M141" s="94">
        <v>2</v>
      </c>
      <c r="N141" s="94" t="s">
        <v>210</v>
      </c>
      <c r="O141" s="94" t="s">
        <v>210</v>
      </c>
      <c r="P141" s="94">
        <v>-1</v>
      </c>
      <c r="Q141" s="94">
        <v>-2</v>
      </c>
      <c r="R141" s="94" t="s">
        <v>210</v>
      </c>
      <c r="S141" s="94" t="s">
        <v>210</v>
      </c>
      <c r="T141" s="94">
        <v>3</v>
      </c>
      <c r="U141" s="94">
        <v>2</v>
      </c>
      <c r="V141" s="94" t="s">
        <v>210</v>
      </c>
      <c r="W141" s="94" t="s">
        <v>210</v>
      </c>
      <c r="X141" s="94">
        <v>-4</v>
      </c>
      <c r="Y141" s="94" t="s">
        <v>202</v>
      </c>
      <c r="Z141" s="94" t="s">
        <v>210</v>
      </c>
      <c r="AA141" s="94" t="s">
        <v>210</v>
      </c>
      <c r="AB141" s="94">
        <v>-2</v>
      </c>
      <c r="AC141" s="94">
        <v>1</v>
      </c>
      <c r="AD141" s="94" t="s">
        <v>210</v>
      </c>
      <c r="AE141" s="94" t="s">
        <v>210</v>
      </c>
      <c r="AF141" s="94">
        <v>-3</v>
      </c>
      <c r="AG141" s="94"/>
      <c r="AH141" s="94"/>
      <c r="AI141" s="94"/>
      <c r="AJ141" s="94"/>
      <c r="AK141" s="94"/>
      <c r="AL141" s="94"/>
      <c r="AM141" s="94"/>
      <c r="AN141" s="94"/>
      <c r="AO141" s="94"/>
      <c r="AP141" s="94"/>
      <c r="AQ141" s="94"/>
      <c r="AR141" s="94"/>
      <c r="AS141" s="94"/>
      <c r="AT141" s="94"/>
      <c r="AU141" s="94"/>
      <c r="AV141" s="94"/>
      <c r="AW141" s="94"/>
      <c r="AX141" s="94"/>
      <c r="AY141" s="94"/>
      <c r="AZ141" s="94"/>
      <c r="BA141" s="95"/>
    </row>
    <row r="142" spans="1:53" s="87" customFormat="1">
      <c r="A142" s="90" t="str">
        <f t="shared" si="27"/>
        <v/>
      </c>
      <c r="B142" s="98">
        <v>15</v>
      </c>
      <c r="C142" s="94">
        <v>4</v>
      </c>
      <c r="D142" s="94" t="s">
        <v>210</v>
      </c>
      <c r="E142" s="94" t="s">
        <v>210</v>
      </c>
      <c r="F142" s="94">
        <v>-1</v>
      </c>
      <c r="G142" s="94">
        <v>4</v>
      </c>
      <c r="H142" s="94" t="s">
        <v>210</v>
      </c>
      <c r="I142" s="94" t="s">
        <v>210</v>
      </c>
      <c r="J142" s="94">
        <v>3</v>
      </c>
      <c r="K142" s="94">
        <v>1</v>
      </c>
      <c r="L142" s="94" t="s">
        <v>210</v>
      </c>
      <c r="M142" s="94">
        <v>-2</v>
      </c>
      <c r="N142" s="94" t="s">
        <v>210</v>
      </c>
      <c r="O142" s="94">
        <v>-4</v>
      </c>
      <c r="P142" s="94" t="s">
        <v>210</v>
      </c>
      <c r="Q142" s="94" t="s">
        <v>210</v>
      </c>
      <c r="R142" s="94">
        <v>-3</v>
      </c>
      <c r="S142" s="94">
        <v>1</v>
      </c>
      <c r="T142" s="94" t="s">
        <v>210</v>
      </c>
      <c r="U142" s="94" t="s">
        <v>210</v>
      </c>
      <c r="V142" s="94">
        <v>3</v>
      </c>
      <c r="W142" s="94">
        <v>2</v>
      </c>
      <c r="X142" s="94" t="s">
        <v>210</v>
      </c>
      <c r="Y142" s="94" t="s">
        <v>210</v>
      </c>
      <c r="Z142" s="94">
        <v>-4</v>
      </c>
      <c r="AA142" s="94">
        <v>-1</v>
      </c>
      <c r="AB142" s="94" t="s">
        <v>210</v>
      </c>
      <c r="AC142" s="94">
        <v>-3</v>
      </c>
      <c r="AD142" s="94" t="s">
        <v>210</v>
      </c>
      <c r="AE142" s="94" t="s">
        <v>202</v>
      </c>
      <c r="AF142" s="94" t="s">
        <v>210</v>
      </c>
      <c r="AG142" s="94"/>
      <c r="AH142" s="94"/>
      <c r="AI142" s="94"/>
      <c r="AJ142" s="94"/>
      <c r="AK142" s="94"/>
      <c r="AL142" s="94"/>
      <c r="AM142" s="94"/>
      <c r="AN142" s="94"/>
      <c r="AO142" s="94"/>
      <c r="AP142" s="94"/>
      <c r="AQ142" s="94"/>
      <c r="AR142" s="94"/>
      <c r="AS142" s="94"/>
      <c r="AT142" s="94"/>
      <c r="AU142" s="94"/>
      <c r="AV142" s="94"/>
      <c r="AW142" s="94"/>
      <c r="AX142" s="94"/>
      <c r="AY142" s="94"/>
      <c r="AZ142" s="94"/>
      <c r="BA142" s="95"/>
    </row>
    <row r="143" spans="1:53" s="87" customFormat="1">
      <c r="A143" s="90" t="str">
        <f t="shared" si="27"/>
        <v/>
      </c>
      <c r="B143" s="317" t="s">
        <v>277</v>
      </c>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5"/>
    </row>
    <row r="144" spans="1:53" s="87" customFormat="1">
      <c r="A144" s="90">
        <f t="shared" si="27"/>
        <v>144</v>
      </c>
      <c r="B144" s="98" t="s">
        <v>278</v>
      </c>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5"/>
    </row>
    <row r="145" spans="1:53" s="87" customFormat="1">
      <c r="A145" s="90" t="str">
        <f t="shared" si="27"/>
        <v/>
      </c>
      <c r="B145" s="98">
        <v>1</v>
      </c>
      <c r="C145" s="94">
        <v>-4</v>
      </c>
      <c r="D145" s="94" t="s">
        <v>210</v>
      </c>
      <c r="E145" s="94" t="s">
        <v>210</v>
      </c>
      <c r="F145" s="94">
        <v>3</v>
      </c>
      <c r="G145" s="94" t="s">
        <v>210</v>
      </c>
      <c r="H145" s="94">
        <v>-2</v>
      </c>
      <c r="I145" s="94">
        <v>-1</v>
      </c>
      <c r="J145" s="94" t="s">
        <v>210</v>
      </c>
      <c r="K145" s="94">
        <v>4</v>
      </c>
      <c r="L145" s="94" t="s">
        <v>210</v>
      </c>
      <c r="M145" s="94">
        <v>2</v>
      </c>
      <c r="N145" s="94" t="s">
        <v>210</v>
      </c>
      <c r="O145" s="94">
        <v>-3</v>
      </c>
      <c r="P145" s="94" t="s">
        <v>210</v>
      </c>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5"/>
    </row>
    <row r="146" spans="1:53" s="87" customFormat="1">
      <c r="A146" s="90" t="str">
        <f t="shared" si="27"/>
        <v/>
      </c>
      <c r="B146" s="98">
        <v>2</v>
      </c>
      <c r="C146" s="94">
        <v>-2</v>
      </c>
      <c r="D146" s="94" t="s">
        <v>210</v>
      </c>
      <c r="E146" s="94" t="s">
        <v>210</v>
      </c>
      <c r="F146" s="94">
        <v>-1</v>
      </c>
      <c r="G146" s="94">
        <v>3</v>
      </c>
      <c r="H146" s="94" t="s">
        <v>210</v>
      </c>
      <c r="I146" s="94" t="s">
        <v>210</v>
      </c>
      <c r="J146" s="94">
        <v>-4</v>
      </c>
      <c r="K146" s="94">
        <v>-3</v>
      </c>
      <c r="L146" s="94" t="s">
        <v>210</v>
      </c>
      <c r="M146" s="94" t="s">
        <v>210</v>
      </c>
      <c r="N146" s="94">
        <v>2</v>
      </c>
      <c r="O146" s="94">
        <v>3</v>
      </c>
      <c r="P146" s="94" t="s">
        <v>210</v>
      </c>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5"/>
    </row>
    <row r="147" spans="1:53" s="87" customFormat="1">
      <c r="A147" s="90" t="str">
        <f t="shared" si="27"/>
        <v/>
      </c>
      <c r="B147" s="98">
        <v>3</v>
      </c>
      <c r="C147" s="94" t="s">
        <v>210</v>
      </c>
      <c r="D147" s="94">
        <v>-3</v>
      </c>
      <c r="E147" s="94">
        <v>-1</v>
      </c>
      <c r="F147" s="94" t="s">
        <v>210</v>
      </c>
      <c r="G147" s="94">
        <v>4</v>
      </c>
      <c r="H147" s="94" t="s">
        <v>210</v>
      </c>
      <c r="I147" s="94" t="s">
        <v>210</v>
      </c>
      <c r="J147" s="94">
        <v>2</v>
      </c>
      <c r="K147" s="94">
        <v>3</v>
      </c>
      <c r="L147" s="94" t="s">
        <v>210</v>
      </c>
      <c r="M147" s="94">
        <v>-2</v>
      </c>
      <c r="N147" s="94" t="s">
        <v>210</v>
      </c>
      <c r="O147" s="94">
        <v>-4</v>
      </c>
      <c r="P147" s="94" t="s">
        <v>210</v>
      </c>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5"/>
    </row>
    <row r="148" spans="1:53" s="87" customFormat="1">
      <c r="A148" s="90" t="str">
        <f t="shared" si="27"/>
        <v/>
      </c>
      <c r="B148" s="98">
        <v>4</v>
      </c>
      <c r="C148" s="94">
        <v>3</v>
      </c>
      <c r="D148" s="94" t="s">
        <v>210</v>
      </c>
      <c r="E148" s="94" t="s">
        <v>210</v>
      </c>
      <c r="F148" s="94">
        <v>2</v>
      </c>
      <c r="G148" s="94">
        <v>1</v>
      </c>
      <c r="H148" s="94" t="s">
        <v>210</v>
      </c>
      <c r="I148" s="94" t="s">
        <v>210</v>
      </c>
      <c r="J148" s="94">
        <v>-3</v>
      </c>
      <c r="K148" s="94">
        <v>-4</v>
      </c>
      <c r="L148" s="94" t="s">
        <v>210</v>
      </c>
      <c r="M148" s="94" t="s">
        <v>210</v>
      </c>
      <c r="N148" s="94">
        <v>-2</v>
      </c>
      <c r="O148" s="94">
        <v>4</v>
      </c>
      <c r="P148" s="94" t="s">
        <v>210</v>
      </c>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5"/>
    </row>
    <row r="149" spans="1:53" s="87" customFormat="1">
      <c r="A149" s="90" t="str">
        <f t="shared" si="27"/>
        <v/>
      </c>
      <c r="B149" s="98">
        <v>5</v>
      </c>
      <c r="C149" s="94" t="s">
        <v>210</v>
      </c>
      <c r="D149" s="94">
        <v>3</v>
      </c>
      <c r="E149" s="94" t="s">
        <v>210</v>
      </c>
      <c r="F149" s="94">
        <v>-2</v>
      </c>
      <c r="G149" s="94">
        <v>-3</v>
      </c>
      <c r="H149" s="94" t="s">
        <v>210</v>
      </c>
      <c r="I149" s="94">
        <v>1</v>
      </c>
      <c r="J149" s="94" t="s">
        <v>210</v>
      </c>
      <c r="K149" s="94">
        <v>-2</v>
      </c>
      <c r="L149" s="94" t="s">
        <v>210</v>
      </c>
      <c r="M149" s="94" t="s">
        <v>210</v>
      </c>
      <c r="N149" s="94">
        <v>-4</v>
      </c>
      <c r="O149" s="94">
        <v>2</v>
      </c>
      <c r="P149" s="94" t="s">
        <v>210</v>
      </c>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5"/>
    </row>
    <row r="150" spans="1:53" s="87" customFormat="1">
      <c r="A150" s="90" t="str">
        <f t="shared" si="27"/>
        <v/>
      </c>
      <c r="B150" s="98">
        <v>6</v>
      </c>
      <c r="C150" s="94">
        <v>-3</v>
      </c>
      <c r="D150" s="94" t="s">
        <v>210</v>
      </c>
      <c r="E150" s="94">
        <v>1</v>
      </c>
      <c r="F150" s="94" t="s">
        <v>210</v>
      </c>
      <c r="G150" s="94" t="s">
        <v>210</v>
      </c>
      <c r="H150" s="94">
        <v>2</v>
      </c>
      <c r="I150" s="94" t="s">
        <v>210</v>
      </c>
      <c r="J150" s="94">
        <v>4</v>
      </c>
      <c r="K150" s="94">
        <v>-1</v>
      </c>
      <c r="L150" s="94" t="s">
        <v>210</v>
      </c>
      <c r="M150" s="94" t="s">
        <v>210</v>
      </c>
      <c r="N150" s="94">
        <v>3</v>
      </c>
      <c r="O150" s="94">
        <v>-2</v>
      </c>
      <c r="P150" s="94" t="s">
        <v>210</v>
      </c>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c r="AW150" s="94"/>
      <c r="AX150" s="94"/>
      <c r="AY150" s="94"/>
      <c r="AZ150" s="94"/>
      <c r="BA150" s="95"/>
    </row>
    <row r="151" spans="1:53" s="87" customFormat="1">
      <c r="A151" s="90" t="str">
        <f t="shared" si="27"/>
        <v/>
      </c>
      <c r="B151" s="98">
        <v>7</v>
      </c>
      <c r="C151" s="94">
        <v>2</v>
      </c>
      <c r="D151" s="94" t="s">
        <v>210</v>
      </c>
      <c r="E151" s="94" t="s">
        <v>210</v>
      </c>
      <c r="F151" s="94">
        <v>-3</v>
      </c>
      <c r="G151" s="94">
        <v>-1</v>
      </c>
      <c r="H151" s="94" t="s">
        <v>210</v>
      </c>
      <c r="I151" s="94" t="s">
        <v>210</v>
      </c>
      <c r="J151" s="94">
        <v>-2</v>
      </c>
      <c r="K151" s="94">
        <v>1</v>
      </c>
      <c r="L151" s="94" t="s">
        <v>210</v>
      </c>
      <c r="M151" s="94" t="s">
        <v>210</v>
      </c>
      <c r="N151" s="94">
        <v>4</v>
      </c>
      <c r="O151" s="94">
        <v>1</v>
      </c>
      <c r="P151" s="94" t="s">
        <v>210</v>
      </c>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5"/>
    </row>
    <row r="152" spans="1:53" s="87" customFormat="1">
      <c r="A152" s="90" t="str">
        <f t="shared" si="27"/>
        <v/>
      </c>
      <c r="B152" s="99">
        <v>8</v>
      </c>
      <c r="C152" s="92">
        <v>4</v>
      </c>
      <c r="D152" s="92" t="s">
        <v>210</v>
      </c>
      <c r="E152" s="92" t="s">
        <v>210</v>
      </c>
      <c r="F152" s="92">
        <v>1</v>
      </c>
      <c r="G152" s="92">
        <v>-4</v>
      </c>
      <c r="H152" s="92" t="s">
        <v>210</v>
      </c>
      <c r="I152" s="92" t="s">
        <v>210</v>
      </c>
      <c r="J152" s="92">
        <v>3</v>
      </c>
      <c r="K152" s="92">
        <v>2</v>
      </c>
      <c r="L152" s="92" t="s">
        <v>210</v>
      </c>
      <c r="M152" s="92" t="s">
        <v>210</v>
      </c>
      <c r="N152" s="92">
        <v>-3</v>
      </c>
      <c r="O152" s="92">
        <v>-1</v>
      </c>
      <c r="P152" s="92" t="s">
        <v>210</v>
      </c>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5"/>
    </row>
    <row r="153" spans="1:53" s="87" customFormat="1">
      <c r="A153" s="90" t="str">
        <f t="shared" si="27"/>
        <v/>
      </c>
      <c r="B153" s="98">
        <v>9</v>
      </c>
      <c r="C153" s="94" t="s">
        <v>202</v>
      </c>
      <c r="D153" s="94" t="s">
        <v>210</v>
      </c>
      <c r="E153" s="94">
        <v>3</v>
      </c>
      <c r="F153" s="94" t="s">
        <v>210</v>
      </c>
      <c r="G153" s="94">
        <v>2</v>
      </c>
      <c r="H153" s="94" t="s">
        <v>210</v>
      </c>
      <c r="I153" s="94">
        <v>-3</v>
      </c>
      <c r="J153" s="94" t="s">
        <v>210</v>
      </c>
      <c r="K153" s="94" t="s">
        <v>210</v>
      </c>
      <c r="L153" s="94">
        <v>1</v>
      </c>
      <c r="M153" s="94">
        <v>-4</v>
      </c>
      <c r="N153" s="94" t="s">
        <v>210</v>
      </c>
      <c r="O153" s="94" t="s">
        <v>210</v>
      </c>
      <c r="P153" s="94">
        <v>-2</v>
      </c>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5"/>
    </row>
    <row r="154" spans="1:53" s="87" customFormat="1">
      <c r="A154" s="90" t="str">
        <f t="shared" si="27"/>
        <v/>
      </c>
      <c r="B154" s="98">
        <v>10</v>
      </c>
      <c r="C154" s="94" t="s">
        <v>210</v>
      </c>
      <c r="D154" s="94">
        <v>-1</v>
      </c>
      <c r="E154" s="94">
        <v>-2</v>
      </c>
      <c r="F154" s="94" t="s">
        <v>210</v>
      </c>
      <c r="G154" s="94" t="s">
        <v>210</v>
      </c>
      <c r="H154" s="94">
        <v>-3</v>
      </c>
      <c r="I154" s="94">
        <v>4</v>
      </c>
      <c r="J154" s="94" t="s">
        <v>210</v>
      </c>
      <c r="K154" s="94" t="s">
        <v>202</v>
      </c>
      <c r="L154" s="94" t="s">
        <v>210</v>
      </c>
      <c r="M154" s="94">
        <v>3</v>
      </c>
      <c r="N154" s="94" t="s">
        <v>210</v>
      </c>
      <c r="O154" s="94" t="s">
        <v>210</v>
      </c>
      <c r="P154" s="94">
        <v>2</v>
      </c>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5"/>
    </row>
    <row r="155" spans="1:53" s="87" customFormat="1">
      <c r="A155" s="90" t="str">
        <f t="shared" si="27"/>
        <v/>
      </c>
      <c r="B155" s="98">
        <v>11</v>
      </c>
      <c r="C155" s="94">
        <v>-1</v>
      </c>
      <c r="D155" s="94" t="s">
        <v>210</v>
      </c>
      <c r="E155" s="94" t="s">
        <v>202</v>
      </c>
      <c r="F155" s="94" t="s">
        <v>210</v>
      </c>
      <c r="G155" s="94" t="s">
        <v>210</v>
      </c>
      <c r="H155" s="94">
        <v>3</v>
      </c>
      <c r="I155" s="94">
        <v>2</v>
      </c>
      <c r="J155" s="94" t="s">
        <v>210</v>
      </c>
      <c r="K155" s="94" t="s">
        <v>210</v>
      </c>
      <c r="L155" s="94">
        <v>-3</v>
      </c>
      <c r="M155" s="94">
        <v>4</v>
      </c>
      <c r="N155" s="94" t="s">
        <v>210</v>
      </c>
      <c r="O155" s="94" t="s">
        <v>210</v>
      </c>
      <c r="P155" s="94">
        <v>-3</v>
      </c>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5"/>
    </row>
    <row r="156" spans="1:53" s="87" customFormat="1">
      <c r="A156" s="90" t="str">
        <f t="shared" si="27"/>
        <v/>
      </c>
      <c r="B156" s="98">
        <v>12</v>
      </c>
      <c r="C156" s="94" t="s">
        <v>210</v>
      </c>
      <c r="D156" s="94">
        <v>-2</v>
      </c>
      <c r="E156" s="94">
        <v>-3</v>
      </c>
      <c r="F156" s="94" t="s">
        <v>210</v>
      </c>
      <c r="G156" s="94" t="s">
        <v>202</v>
      </c>
      <c r="H156" s="94" t="s">
        <v>210</v>
      </c>
      <c r="I156" s="94">
        <v>-4</v>
      </c>
      <c r="J156" s="94" t="s">
        <v>210</v>
      </c>
      <c r="K156" s="94" t="s">
        <v>210</v>
      </c>
      <c r="L156" s="94">
        <v>2</v>
      </c>
      <c r="M156" s="94">
        <v>1</v>
      </c>
      <c r="N156" s="94" t="s">
        <v>210</v>
      </c>
      <c r="O156" s="94" t="s">
        <v>210</v>
      </c>
      <c r="P156" s="94">
        <v>3</v>
      </c>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5"/>
    </row>
    <row r="157" spans="1:53" s="87" customFormat="1">
      <c r="A157" s="90" t="str">
        <f t="shared" si="27"/>
        <v/>
      </c>
      <c r="B157" s="98">
        <v>13</v>
      </c>
      <c r="C157" s="94" t="s">
        <v>210</v>
      </c>
      <c r="D157" s="94">
        <v>1</v>
      </c>
      <c r="E157" s="94">
        <v>-4</v>
      </c>
      <c r="F157" s="94" t="s">
        <v>210</v>
      </c>
      <c r="G157" s="94">
        <v>-2</v>
      </c>
      <c r="H157" s="94" t="s">
        <v>210</v>
      </c>
      <c r="I157" s="94" t="s">
        <v>202</v>
      </c>
      <c r="J157" s="94" t="s">
        <v>210</v>
      </c>
      <c r="K157" s="94" t="s">
        <v>210</v>
      </c>
      <c r="L157" s="94">
        <v>3</v>
      </c>
      <c r="M157" s="94">
        <v>-1</v>
      </c>
      <c r="N157" s="94" t="s">
        <v>210</v>
      </c>
      <c r="O157" s="94" t="s">
        <v>210</v>
      </c>
      <c r="P157" s="94">
        <v>4</v>
      </c>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c r="AW157" s="94"/>
      <c r="AX157" s="94"/>
      <c r="AY157" s="94"/>
      <c r="AZ157" s="94"/>
      <c r="BA157" s="95"/>
    </row>
    <row r="158" spans="1:53" s="87" customFormat="1">
      <c r="A158" s="90" t="str">
        <f t="shared" si="27"/>
        <v/>
      </c>
      <c r="B158" s="98">
        <v>14</v>
      </c>
      <c r="C158" s="94">
        <v>1</v>
      </c>
      <c r="D158" s="94" t="s">
        <v>210</v>
      </c>
      <c r="E158" s="94">
        <v>2</v>
      </c>
      <c r="F158" s="94" t="s">
        <v>210</v>
      </c>
      <c r="G158" s="94" t="s">
        <v>210</v>
      </c>
      <c r="H158" s="94">
        <v>-1</v>
      </c>
      <c r="I158" s="94">
        <v>3</v>
      </c>
      <c r="J158" s="94" t="s">
        <v>210</v>
      </c>
      <c r="K158" s="94" t="s">
        <v>210</v>
      </c>
      <c r="L158" s="94">
        <v>-2</v>
      </c>
      <c r="M158" s="94" t="s">
        <v>202</v>
      </c>
      <c r="N158" s="94" t="s">
        <v>210</v>
      </c>
      <c r="O158" s="94" t="s">
        <v>210</v>
      </c>
      <c r="P158" s="94">
        <v>-4</v>
      </c>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5"/>
    </row>
    <row r="159" spans="1:53" s="87" customFormat="1">
      <c r="A159" s="90" t="str">
        <f t="shared" si="27"/>
        <v/>
      </c>
      <c r="B159" s="98">
        <v>15</v>
      </c>
      <c r="C159" s="94" t="s">
        <v>210</v>
      </c>
      <c r="D159" s="94">
        <v>2</v>
      </c>
      <c r="E159" s="94">
        <v>4</v>
      </c>
      <c r="F159" s="94" t="s">
        <v>210</v>
      </c>
      <c r="G159" s="94" t="s">
        <v>210</v>
      </c>
      <c r="H159" s="94">
        <v>1</v>
      </c>
      <c r="I159" s="94">
        <v>-2</v>
      </c>
      <c r="J159" s="94" t="s">
        <v>210</v>
      </c>
      <c r="K159" s="94" t="s">
        <v>210</v>
      </c>
      <c r="L159" s="94">
        <v>-1</v>
      </c>
      <c r="M159" s="94">
        <v>-3</v>
      </c>
      <c r="N159" s="94" t="s">
        <v>210</v>
      </c>
      <c r="O159" s="94" t="s">
        <v>202</v>
      </c>
      <c r="P159" s="94" t="s">
        <v>210</v>
      </c>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5"/>
    </row>
    <row r="160" spans="1:53" s="87" customFormat="1">
      <c r="A160" s="90" t="str">
        <f t="shared" si="27"/>
        <v/>
      </c>
      <c r="B160" s="98" t="s">
        <v>274</v>
      </c>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5"/>
    </row>
    <row r="161" spans="1:53" s="87" customFormat="1">
      <c r="A161" s="90">
        <f t="shared" si="27"/>
        <v>161</v>
      </c>
      <c r="B161" s="98" t="s">
        <v>279</v>
      </c>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5"/>
    </row>
    <row r="162" spans="1:53" s="87" customFormat="1">
      <c r="A162" s="90" t="str">
        <f t="shared" si="27"/>
        <v/>
      </c>
      <c r="B162" s="98">
        <v>1</v>
      </c>
      <c r="C162" s="94">
        <v>4</v>
      </c>
      <c r="D162" s="94" t="s">
        <v>210</v>
      </c>
      <c r="E162" s="94" t="s">
        <v>210</v>
      </c>
      <c r="F162" s="94">
        <v>-3</v>
      </c>
      <c r="G162" s="94">
        <v>2</v>
      </c>
      <c r="H162" s="94" t="s">
        <v>210</v>
      </c>
      <c r="I162" s="94" t="s">
        <v>202</v>
      </c>
      <c r="J162" s="94" t="s">
        <v>210</v>
      </c>
      <c r="K162" s="281">
        <v>-2</v>
      </c>
      <c r="L162" s="94" t="s">
        <v>210</v>
      </c>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5"/>
    </row>
    <row r="163" spans="1:53" s="87" customFormat="1">
      <c r="A163" s="90" t="str">
        <f t="shared" si="27"/>
        <v/>
      </c>
      <c r="B163" s="98">
        <v>2</v>
      </c>
      <c r="C163" s="94" t="s">
        <v>202</v>
      </c>
      <c r="D163" s="94" t="s">
        <v>210</v>
      </c>
      <c r="E163" s="94" t="s">
        <v>210</v>
      </c>
      <c r="F163" s="94">
        <v>-2</v>
      </c>
      <c r="G163" s="94">
        <v>4</v>
      </c>
      <c r="H163" s="94" t="s">
        <v>210</v>
      </c>
      <c r="I163" s="94">
        <v>-1</v>
      </c>
      <c r="J163" s="94" t="s">
        <v>210</v>
      </c>
      <c r="K163" s="281">
        <v>2</v>
      </c>
      <c r="L163" s="94" t="s">
        <v>210</v>
      </c>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5"/>
    </row>
    <row r="164" spans="1:53" s="87" customFormat="1">
      <c r="A164" s="90" t="str">
        <f t="shared" si="27"/>
        <v/>
      </c>
      <c r="B164" s="98">
        <v>3</v>
      </c>
      <c r="C164" s="94">
        <v>2</v>
      </c>
      <c r="D164" s="94" t="s">
        <v>210</v>
      </c>
      <c r="E164" s="94" t="s">
        <v>210</v>
      </c>
      <c r="F164" s="94" t="s">
        <v>202</v>
      </c>
      <c r="G164" s="94">
        <v>-2</v>
      </c>
      <c r="H164" s="94" t="s">
        <v>210</v>
      </c>
      <c r="I164" s="94">
        <v>1</v>
      </c>
      <c r="J164" s="94" t="s">
        <v>210</v>
      </c>
      <c r="K164" s="94" t="s">
        <v>210</v>
      </c>
      <c r="L164" s="94">
        <v>-3</v>
      </c>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5"/>
    </row>
    <row r="165" spans="1:53" s="87" customFormat="1">
      <c r="A165" s="90" t="str">
        <f t="shared" si="27"/>
        <v/>
      </c>
      <c r="B165" s="98">
        <v>4</v>
      </c>
      <c r="C165" s="94">
        <v>-4</v>
      </c>
      <c r="D165" s="94" t="s">
        <v>210</v>
      </c>
      <c r="E165" s="94" t="s">
        <v>210</v>
      </c>
      <c r="F165" s="94">
        <v>2</v>
      </c>
      <c r="G165" s="94" t="s">
        <v>202</v>
      </c>
      <c r="H165" s="94" t="s">
        <v>210</v>
      </c>
      <c r="I165" s="94">
        <v>-2</v>
      </c>
      <c r="J165" s="94" t="s">
        <v>210</v>
      </c>
      <c r="K165" s="94" t="s">
        <v>210</v>
      </c>
      <c r="L165" s="94">
        <v>3</v>
      </c>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5"/>
    </row>
    <row r="166" spans="1:53" s="87" customFormat="1">
      <c r="A166" s="90" t="str">
        <f t="shared" si="27"/>
        <v/>
      </c>
      <c r="B166" s="99">
        <v>5</v>
      </c>
      <c r="C166" s="92">
        <v>-2</v>
      </c>
      <c r="D166" s="92" t="s">
        <v>210</v>
      </c>
      <c r="E166" s="92" t="s">
        <v>210</v>
      </c>
      <c r="F166" s="92">
        <v>3</v>
      </c>
      <c r="G166" s="92">
        <v>-4</v>
      </c>
      <c r="H166" s="92" t="s">
        <v>210</v>
      </c>
      <c r="I166" s="92">
        <v>2</v>
      </c>
      <c r="J166" s="92" t="s">
        <v>210</v>
      </c>
      <c r="K166" s="92" t="s">
        <v>210</v>
      </c>
      <c r="L166" s="92" t="s">
        <v>202</v>
      </c>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c r="AW166" s="94"/>
      <c r="AX166" s="94"/>
      <c r="AY166" s="94"/>
      <c r="AZ166" s="94"/>
      <c r="BA166" s="95"/>
    </row>
    <row r="167" spans="1:53" s="87" customFormat="1">
      <c r="A167" s="90" t="str">
        <f t="shared" si="27"/>
        <v/>
      </c>
      <c r="B167" s="98">
        <v>6</v>
      </c>
      <c r="C167" s="94">
        <v>1</v>
      </c>
      <c r="D167" s="94" t="s">
        <v>210</v>
      </c>
      <c r="E167" s="94">
        <v>-4</v>
      </c>
      <c r="F167" s="94" t="s">
        <v>210</v>
      </c>
      <c r="G167" s="94" t="s">
        <v>210</v>
      </c>
      <c r="H167" s="94">
        <v>3</v>
      </c>
      <c r="I167" s="94" t="s">
        <v>202</v>
      </c>
      <c r="J167" s="94" t="s">
        <v>210</v>
      </c>
      <c r="K167" s="94">
        <v>-3</v>
      </c>
      <c r="L167" s="94" t="s">
        <v>210</v>
      </c>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5"/>
    </row>
    <row r="168" spans="1:53" s="87" customFormat="1">
      <c r="A168" s="90" t="str">
        <f t="shared" si="27"/>
        <v/>
      </c>
      <c r="B168" s="98">
        <v>7</v>
      </c>
      <c r="C168" s="94" t="s">
        <v>202</v>
      </c>
      <c r="D168" s="94" t="s">
        <v>210</v>
      </c>
      <c r="E168" s="94">
        <v>-3</v>
      </c>
      <c r="F168" s="94" t="s">
        <v>210</v>
      </c>
      <c r="G168" s="94" t="s">
        <v>210</v>
      </c>
      <c r="H168" s="94">
        <v>2</v>
      </c>
      <c r="I168" s="94">
        <v>-4</v>
      </c>
      <c r="J168" s="94" t="s">
        <v>210</v>
      </c>
      <c r="K168" s="94">
        <v>3</v>
      </c>
      <c r="L168" s="94" t="s">
        <v>210</v>
      </c>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5"/>
    </row>
    <row r="169" spans="1:53" s="87" customFormat="1">
      <c r="A169" s="90" t="str">
        <f t="shared" si="27"/>
        <v/>
      </c>
      <c r="B169" s="89">
        <v>8</v>
      </c>
      <c r="C169" s="89">
        <v>-1</v>
      </c>
      <c r="D169" s="89" t="s">
        <v>210</v>
      </c>
      <c r="E169" s="89">
        <v>3</v>
      </c>
      <c r="F169" s="89" t="s">
        <v>210</v>
      </c>
      <c r="G169" s="89" t="s">
        <v>210</v>
      </c>
      <c r="H169" s="89" t="s">
        <v>202</v>
      </c>
      <c r="I169" s="89">
        <v>-3</v>
      </c>
      <c r="J169" s="89" t="s">
        <v>210</v>
      </c>
      <c r="K169" s="89" t="s">
        <v>210</v>
      </c>
      <c r="L169" s="89">
        <v>2</v>
      </c>
      <c r="M169" s="89"/>
      <c r="N169" s="89"/>
      <c r="O169" s="89"/>
      <c r="P169" s="89"/>
      <c r="Q169" s="89"/>
      <c r="R169" s="89"/>
      <c r="S169" s="89"/>
      <c r="T169" s="89"/>
      <c r="U169" s="89"/>
      <c r="V169" s="89"/>
      <c r="W169" s="89"/>
      <c r="X169" s="89"/>
      <c r="Y169" s="89"/>
      <c r="Z169" s="89"/>
      <c r="AA169" s="89"/>
      <c r="AB169" s="89"/>
      <c r="AC169" s="89"/>
      <c r="AD169" s="89"/>
      <c r="AE169" s="89"/>
      <c r="AF169" s="89"/>
      <c r="AG169" s="89"/>
      <c r="AH169" s="89"/>
      <c r="AI169" s="89"/>
      <c r="AJ169" s="89"/>
      <c r="AK169" s="89"/>
      <c r="AL169" s="89"/>
      <c r="AM169" s="89"/>
      <c r="AN169" s="89"/>
      <c r="AO169" s="89"/>
      <c r="AP169" s="89"/>
      <c r="AQ169" s="89"/>
      <c r="AR169" s="89"/>
      <c r="AS169" s="89"/>
      <c r="AT169" s="89"/>
      <c r="AU169" s="89"/>
      <c r="AV169" s="89"/>
      <c r="AW169" s="89"/>
      <c r="AX169" s="89"/>
      <c r="AY169" s="89"/>
      <c r="AZ169" s="89"/>
      <c r="BA169" s="95"/>
    </row>
    <row r="170" spans="1:53" s="87" customFormat="1">
      <c r="A170" s="90" t="str">
        <f t="shared" si="27"/>
        <v/>
      </c>
      <c r="B170" s="89">
        <v>9</v>
      </c>
      <c r="C170" s="89">
        <v>3</v>
      </c>
      <c r="D170" s="89" t="s">
        <v>210</v>
      </c>
      <c r="E170" s="89" t="s">
        <v>202</v>
      </c>
      <c r="F170" s="89" t="s">
        <v>210</v>
      </c>
      <c r="G170" s="89" t="s">
        <v>210</v>
      </c>
      <c r="H170" s="89">
        <v>-3</v>
      </c>
      <c r="I170" s="89">
        <v>4</v>
      </c>
      <c r="J170" s="89" t="s">
        <v>210</v>
      </c>
      <c r="K170" s="89" t="s">
        <v>210</v>
      </c>
      <c r="L170" s="89">
        <v>-2</v>
      </c>
      <c r="M170" s="89"/>
      <c r="N170" s="89"/>
      <c r="O170" s="89"/>
      <c r="P170" s="89"/>
      <c r="Q170" s="89"/>
      <c r="R170" s="89"/>
      <c r="S170" s="89"/>
      <c r="T170" s="89"/>
      <c r="U170" s="89"/>
      <c r="V170" s="89"/>
      <c r="W170" s="89"/>
      <c r="X170" s="89"/>
      <c r="Y170" s="89"/>
      <c r="Z170" s="89"/>
      <c r="AA170" s="89"/>
      <c r="AB170" s="89"/>
      <c r="AC170" s="89"/>
      <c r="AD170" s="89"/>
      <c r="AE170" s="89"/>
      <c r="AF170" s="89"/>
      <c r="AG170" s="89"/>
      <c r="AH170" s="89"/>
      <c r="AI170" s="89"/>
      <c r="AJ170" s="89"/>
      <c r="AK170" s="89"/>
      <c r="AL170" s="89"/>
      <c r="AM170" s="89"/>
      <c r="AN170" s="89"/>
      <c r="AO170" s="89"/>
      <c r="AP170" s="89"/>
      <c r="AQ170" s="89"/>
      <c r="AR170" s="89"/>
      <c r="AS170" s="89"/>
      <c r="AT170" s="89"/>
      <c r="AU170" s="89"/>
      <c r="AV170" s="89"/>
      <c r="AW170" s="89"/>
      <c r="AX170" s="89"/>
      <c r="AY170" s="89"/>
      <c r="AZ170" s="89"/>
      <c r="BA170" s="95"/>
    </row>
    <row r="171" spans="1:53" s="87" customFormat="1">
      <c r="A171" s="90" t="str">
        <f t="shared" si="27"/>
        <v/>
      </c>
      <c r="B171" s="99">
        <v>10</v>
      </c>
      <c r="C171" s="92">
        <v>-3</v>
      </c>
      <c r="D171" s="92" t="s">
        <v>210</v>
      </c>
      <c r="E171" s="92">
        <v>4</v>
      </c>
      <c r="F171" s="92" t="s">
        <v>210</v>
      </c>
      <c r="G171" s="92" t="s">
        <v>210</v>
      </c>
      <c r="H171" s="92">
        <v>-2</v>
      </c>
      <c r="I171" s="92">
        <v>3</v>
      </c>
      <c r="J171" s="92" t="s">
        <v>210</v>
      </c>
      <c r="K171" s="92" t="s">
        <v>202</v>
      </c>
      <c r="L171" s="92" t="s">
        <v>210</v>
      </c>
      <c r="M171" s="89"/>
      <c r="N171" s="89"/>
      <c r="O171" s="89"/>
      <c r="P171" s="89"/>
      <c r="Q171" s="89"/>
      <c r="R171" s="89"/>
      <c r="S171" s="89"/>
      <c r="T171" s="89"/>
      <c r="U171" s="89"/>
      <c r="V171" s="89"/>
      <c r="W171" s="89"/>
      <c r="X171" s="89"/>
      <c r="Y171" s="89"/>
      <c r="Z171" s="89"/>
      <c r="AA171" s="89"/>
      <c r="AB171" s="89"/>
      <c r="AC171" s="89"/>
      <c r="AD171" s="89"/>
      <c r="AE171" s="89"/>
      <c r="AF171" s="89"/>
      <c r="AG171" s="89"/>
      <c r="AH171" s="89"/>
      <c r="AI171" s="89"/>
      <c r="AJ171" s="89"/>
      <c r="AK171" s="89"/>
      <c r="AL171" s="89"/>
      <c r="AM171" s="89"/>
      <c r="AN171" s="89"/>
      <c r="AO171" s="89"/>
      <c r="AP171" s="89"/>
      <c r="AQ171" s="89"/>
      <c r="AR171" s="89"/>
      <c r="AS171" s="89"/>
      <c r="AT171" s="89"/>
      <c r="AU171" s="89"/>
      <c r="AV171" s="89"/>
      <c r="AW171" s="89"/>
      <c r="AX171" s="89"/>
      <c r="AY171" s="89"/>
      <c r="AZ171" s="89"/>
      <c r="BA171" s="95"/>
    </row>
    <row r="172" spans="1:53" s="87" customFormat="1">
      <c r="A172" s="90" t="str">
        <f t="shared" si="27"/>
        <v/>
      </c>
      <c r="B172" s="89">
        <v>11</v>
      </c>
      <c r="C172" s="89" t="s">
        <v>210</v>
      </c>
      <c r="D172" s="89" t="s">
        <v>202</v>
      </c>
      <c r="E172" s="89">
        <v>2</v>
      </c>
      <c r="F172" s="89" t="s">
        <v>210</v>
      </c>
      <c r="G172" s="89">
        <v>-1</v>
      </c>
      <c r="H172" s="89" t="s">
        <v>210</v>
      </c>
      <c r="I172" s="89" t="s">
        <v>210</v>
      </c>
      <c r="J172" s="89">
        <v>-2</v>
      </c>
      <c r="K172" s="89">
        <v>4</v>
      </c>
      <c r="L172" s="89" t="s">
        <v>210</v>
      </c>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89"/>
      <c r="AO172" s="89"/>
      <c r="AP172" s="89"/>
      <c r="AQ172" s="89"/>
      <c r="AR172" s="89"/>
      <c r="AS172" s="89"/>
      <c r="AT172" s="89"/>
      <c r="AU172" s="89"/>
      <c r="AV172" s="89"/>
      <c r="AW172" s="89"/>
      <c r="AX172" s="89"/>
      <c r="AY172" s="89"/>
      <c r="AZ172" s="89"/>
      <c r="BA172" s="95"/>
    </row>
    <row r="173" spans="1:53" s="87" customFormat="1">
      <c r="A173" s="90" t="str">
        <f t="shared" si="27"/>
        <v/>
      </c>
      <c r="B173" s="89">
        <v>12</v>
      </c>
      <c r="C173" s="89" t="s">
        <v>210</v>
      </c>
      <c r="D173" s="89">
        <v>-3</v>
      </c>
      <c r="E173" s="89">
        <v>1</v>
      </c>
      <c r="F173" s="89" t="s">
        <v>210</v>
      </c>
      <c r="G173" s="89" t="s">
        <v>202</v>
      </c>
      <c r="H173" s="89" t="s">
        <v>210</v>
      </c>
      <c r="I173" s="89" t="s">
        <v>210</v>
      </c>
      <c r="J173" s="89">
        <v>3</v>
      </c>
      <c r="K173" s="89">
        <v>-4</v>
      </c>
      <c r="L173" s="89" t="s">
        <v>210</v>
      </c>
      <c r="M173" s="89"/>
      <c r="N173" s="89"/>
      <c r="O173" s="89"/>
      <c r="P173" s="89"/>
      <c r="Q173" s="89"/>
      <c r="R173" s="89"/>
      <c r="S173" s="89"/>
      <c r="T173" s="89"/>
      <c r="U173" s="89"/>
      <c r="V173" s="89"/>
      <c r="W173" s="89"/>
      <c r="X173" s="89"/>
      <c r="Y173" s="89"/>
      <c r="Z173" s="89"/>
      <c r="AA173" s="89"/>
      <c r="AB173" s="89"/>
      <c r="AC173" s="89"/>
      <c r="AD173" s="89"/>
      <c r="AE173" s="89"/>
      <c r="AF173" s="89"/>
      <c r="AG173" s="89"/>
      <c r="AH173" s="89"/>
      <c r="AI173" s="89"/>
      <c r="AJ173" s="89"/>
      <c r="AK173" s="89"/>
      <c r="AL173" s="89"/>
      <c r="AM173" s="89"/>
      <c r="AN173" s="89"/>
      <c r="AO173" s="89"/>
      <c r="AP173" s="89"/>
      <c r="AQ173" s="89"/>
      <c r="AR173" s="89"/>
      <c r="AS173" s="89"/>
      <c r="AT173" s="89"/>
      <c r="AU173" s="89"/>
      <c r="AV173" s="89"/>
      <c r="AW173" s="89"/>
      <c r="AX173" s="89"/>
      <c r="AY173" s="89"/>
      <c r="AZ173" s="89"/>
      <c r="BA173" s="95"/>
    </row>
    <row r="174" spans="1:53" s="87" customFormat="1">
      <c r="A174" s="90" t="str">
        <f t="shared" si="27"/>
        <v/>
      </c>
      <c r="B174" s="89">
        <v>13</v>
      </c>
      <c r="C174" s="89" t="s">
        <v>210</v>
      </c>
      <c r="D174" s="89">
        <v>3</v>
      </c>
      <c r="E174" s="89">
        <v>-2</v>
      </c>
      <c r="F174" s="89" t="s">
        <v>210</v>
      </c>
      <c r="G174" s="89">
        <v>-3</v>
      </c>
      <c r="H174" s="89" t="s">
        <v>210</v>
      </c>
      <c r="I174" s="89" t="s">
        <v>210</v>
      </c>
      <c r="J174" s="89" t="s">
        <v>202</v>
      </c>
      <c r="K174" s="89">
        <v>1</v>
      </c>
      <c r="L174" s="280" t="s">
        <v>210</v>
      </c>
      <c r="M174" s="89"/>
      <c r="N174" s="89"/>
      <c r="O174" s="89"/>
      <c r="P174" s="89"/>
      <c r="Q174" s="89"/>
      <c r="R174" s="89"/>
      <c r="S174" s="89"/>
      <c r="T174" s="89"/>
      <c r="U174" s="89"/>
      <c r="V174" s="89"/>
      <c r="W174" s="89"/>
      <c r="X174" s="89"/>
      <c r="Y174" s="89"/>
      <c r="Z174" s="89"/>
      <c r="AA174" s="89"/>
      <c r="AB174" s="89"/>
      <c r="AC174" s="89"/>
      <c r="AD174" s="89"/>
      <c r="AE174" s="89"/>
      <c r="AF174" s="89"/>
      <c r="AG174" s="89"/>
      <c r="AH174" s="89"/>
      <c r="AI174" s="89"/>
      <c r="AJ174" s="89"/>
      <c r="AK174" s="89"/>
      <c r="AL174" s="89"/>
      <c r="AM174" s="89"/>
      <c r="AN174" s="89"/>
      <c r="AO174" s="89"/>
      <c r="AP174" s="89"/>
      <c r="AQ174" s="89"/>
      <c r="AR174" s="89"/>
      <c r="AS174" s="89"/>
      <c r="AT174" s="89"/>
      <c r="AU174" s="89"/>
      <c r="AV174" s="89"/>
      <c r="AW174" s="89"/>
      <c r="AX174" s="89"/>
      <c r="AY174" s="89"/>
      <c r="AZ174" s="89"/>
      <c r="BA174" s="95"/>
    </row>
    <row r="175" spans="1:53" s="87" customFormat="1">
      <c r="A175" s="90" t="str">
        <f t="shared" si="27"/>
        <v/>
      </c>
      <c r="B175" s="89">
        <v>14</v>
      </c>
      <c r="C175" s="89" t="s">
        <v>210</v>
      </c>
      <c r="D175" s="89">
        <v>2</v>
      </c>
      <c r="E175" s="89" t="s">
        <v>202</v>
      </c>
      <c r="F175" s="89" t="s">
        <v>210</v>
      </c>
      <c r="G175" s="89">
        <v>1</v>
      </c>
      <c r="H175" s="89" t="s">
        <v>210</v>
      </c>
      <c r="I175" s="89" t="s">
        <v>210</v>
      </c>
      <c r="J175" s="89">
        <v>-3</v>
      </c>
      <c r="K175" s="89">
        <v>-1</v>
      </c>
      <c r="L175" s="280" t="s">
        <v>210</v>
      </c>
      <c r="M175" s="89"/>
      <c r="N175" s="89"/>
      <c r="O175" s="89"/>
      <c r="P175" s="89"/>
      <c r="Q175" s="89"/>
      <c r="R175" s="89"/>
      <c r="S175" s="89"/>
      <c r="T175" s="89"/>
      <c r="U175" s="89"/>
      <c r="V175" s="89"/>
      <c r="W175" s="89"/>
      <c r="X175" s="89"/>
      <c r="Y175" s="89"/>
      <c r="Z175" s="89"/>
      <c r="AA175" s="89"/>
      <c r="AB175" s="89"/>
      <c r="AC175" s="89"/>
      <c r="AD175" s="89"/>
      <c r="AE175" s="89"/>
      <c r="AF175" s="89"/>
      <c r="AG175" s="89"/>
      <c r="AH175" s="89"/>
      <c r="AI175" s="89"/>
      <c r="AJ175" s="89"/>
      <c r="AK175" s="89"/>
      <c r="AL175" s="89"/>
      <c r="AM175" s="89"/>
      <c r="AN175" s="89"/>
      <c r="AO175" s="89"/>
      <c r="AP175" s="89"/>
      <c r="AQ175" s="89"/>
      <c r="AR175" s="89"/>
      <c r="AS175" s="89"/>
      <c r="AT175" s="89"/>
      <c r="AU175" s="89"/>
      <c r="AV175" s="89"/>
      <c r="AW175" s="89"/>
      <c r="AX175" s="89"/>
      <c r="AY175" s="89"/>
      <c r="AZ175" s="89"/>
      <c r="BA175" s="95"/>
    </row>
    <row r="176" spans="1:53" s="87" customFormat="1">
      <c r="A176" s="90" t="str">
        <f t="shared" si="27"/>
        <v/>
      </c>
      <c r="B176" s="89">
        <v>15</v>
      </c>
      <c r="C176" s="89" t="s">
        <v>210</v>
      </c>
      <c r="D176" s="89">
        <v>-2</v>
      </c>
      <c r="E176" s="89">
        <v>-1</v>
      </c>
      <c r="F176" s="89" t="s">
        <v>210</v>
      </c>
      <c r="G176" s="89">
        <v>3</v>
      </c>
      <c r="H176" s="89" t="s">
        <v>210</v>
      </c>
      <c r="I176" s="89" t="s">
        <v>210</v>
      </c>
      <c r="J176" s="89">
        <v>2</v>
      </c>
      <c r="K176" s="89" t="s">
        <v>202</v>
      </c>
      <c r="L176" s="89" t="s">
        <v>210</v>
      </c>
      <c r="M176" s="89"/>
      <c r="N176" s="89"/>
      <c r="O176" s="89"/>
      <c r="P176" s="89"/>
      <c r="Q176" s="89"/>
      <c r="R176" s="89"/>
      <c r="S176" s="89"/>
      <c r="T176" s="89"/>
      <c r="U176" s="89"/>
      <c r="V176" s="89"/>
      <c r="W176" s="89"/>
      <c r="X176" s="89"/>
      <c r="Y176" s="89"/>
      <c r="Z176" s="89"/>
      <c r="AA176" s="89"/>
      <c r="AB176" s="89"/>
      <c r="AC176" s="89"/>
      <c r="AD176" s="89"/>
      <c r="AE176" s="89"/>
      <c r="AF176" s="89"/>
      <c r="AG176" s="89"/>
      <c r="AH176" s="89"/>
      <c r="AI176" s="89"/>
      <c r="AJ176" s="89"/>
      <c r="AK176" s="89"/>
      <c r="AL176" s="89"/>
      <c r="AM176" s="89"/>
      <c r="AN176" s="89"/>
      <c r="AO176" s="89"/>
      <c r="AP176" s="89"/>
      <c r="AQ176" s="89"/>
      <c r="AR176" s="89"/>
      <c r="AS176" s="89"/>
      <c r="AT176" s="89"/>
      <c r="AU176" s="89"/>
      <c r="AV176" s="89"/>
      <c r="AW176" s="89"/>
      <c r="AX176" s="89"/>
      <c r="AY176" s="89"/>
      <c r="AZ176" s="89"/>
      <c r="BA176" s="95"/>
    </row>
    <row r="177" spans="1:53" s="87" customFormat="1">
      <c r="A177" s="90" t="str">
        <f t="shared" si="27"/>
        <v/>
      </c>
      <c r="B177" s="89" t="s">
        <v>258</v>
      </c>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c r="AA177" s="89"/>
      <c r="AB177" s="89"/>
      <c r="AC177" s="89"/>
      <c r="AD177" s="89"/>
      <c r="AE177" s="89"/>
      <c r="AF177" s="89"/>
      <c r="AG177" s="89"/>
      <c r="AH177" s="89"/>
      <c r="AI177" s="89"/>
      <c r="AJ177" s="89"/>
      <c r="AK177" s="89"/>
      <c r="AL177" s="89"/>
      <c r="AM177" s="89"/>
      <c r="AN177" s="89"/>
      <c r="AO177" s="89"/>
      <c r="AP177" s="89"/>
      <c r="AQ177" s="89"/>
      <c r="AR177" s="89"/>
      <c r="AS177" s="89"/>
      <c r="AT177" s="89"/>
      <c r="AU177" s="89"/>
      <c r="AV177" s="89"/>
      <c r="AW177" s="89"/>
      <c r="AX177" s="89"/>
      <c r="AY177" s="89"/>
      <c r="AZ177" s="89"/>
      <c r="BA177" s="95"/>
    </row>
    <row r="178" spans="1:53" s="87" customFormat="1">
      <c r="A178" s="90">
        <f t="shared" si="27"/>
        <v>178</v>
      </c>
      <c r="B178" s="89" t="s">
        <v>1013</v>
      </c>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c r="AA178" s="89"/>
      <c r="AB178" s="89"/>
      <c r="AC178" s="89"/>
      <c r="AD178" s="89"/>
      <c r="AE178" s="89"/>
      <c r="AF178" s="89"/>
      <c r="AG178" s="89"/>
      <c r="AH178" s="89"/>
      <c r="AI178" s="89"/>
      <c r="AJ178" s="89"/>
      <c r="AK178" s="89"/>
      <c r="AL178" s="89"/>
      <c r="AM178" s="89"/>
      <c r="AN178" s="89"/>
      <c r="AO178" s="89"/>
      <c r="AP178" s="89"/>
      <c r="AQ178" s="89"/>
      <c r="AR178" s="89"/>
      <c r="AS178" s="89"/>
      <c r="AT178" s="89"/>
      <c r="AU178" s="89"/>
      <c r="AV178" s="89"/>
      <c r="AW178" s="89"/>
      <c r="AX178" s="89"/>
      <c r="AY178" s="89"/>
      <c r="AZ178" s="89"/>
      <c r="BA178" s="95"/>
    </row>
    <row r="179" spans="1:53" s="87" customFormat="1">
      <c r="A179" s="90" t="str">
        <f t="shared" si="27"/>
        <v/>
      </c>
      <c r="B179" s="89">
        <v>1</v>
      </c>
      <c r="C179" s="89" t="s">
        <v>210</v>
      </c>
      <c r="D179" s="89">
        <v>-3</v>
      </c>
      <c r="E179" s="89">
        <v>4</v>
      </c>
      <c r="F179" s="89" t="s">
        <v>210</v>
      </c>
      <c r="G179" s="89" t="s">
        <v>210</v>
      </c>
      <c r="H179" s="89">
        <v>1</v>
      </c>
      <c r="I179" s="89">
        <v>-2</v>
      </c>
      <c r="J179" s="89" t="s">
        <v>210</v>
      </c>
      <c r="K179" s="89" t="s">
        <v>210</v>
      </c>
      <c r="L179" s="89">
        <v>3</v>
      </c>
      <c r="M179" s="89">
        <v>-4</v>
      </c>
      <c r="N179" s="89" t="s">
        <v>210</v>
      </c>
      <c r="O179" s="89" t="s">
        <v>210</v>
      </c>
      <c r="P179" s="89">
        <v>-1</v>
      </c>
      <c r="Q179" s="89">
        <v>2</v>
      </c>
      <c r="R179" s="89" t="s">
        <v>210</v>
      </c>
      <c r="S179" s="89">
        <v>3</v>
      </c>
      <c r="T179" s="89" t="s">
        <v>210</v>
      </c>
      <c r="U179" s="89" t="s">
        <v>210</v>
      </c>
      <c r="V179" s="89">
        <v>1</v>
      </c>
      <c r="W179" s="89">
        <v>-2</v>
      </c>
      <c r="X179" s="89" t="s">
        <v>210</v>
      </c>
      <c r="Y179" s="89" t="s">
        <v>210</v>
      </c>
      <c r="Z179" s="89">
        <v>-4</v>
      </c>
      <c r="AA179" s="89">
        <v>-3</v>
      </c>
      <c r="AB179" s="89" t="s">
        <v>210</v>
      </c>
      <c r="AC179" s="89" t="s">
        <v>210</v>
      </c>
      <c r="AD179" s="89">
        <v>4</v>
      </c>
      <c r="AE179" s="89">
        <v>2</v>
      </c>
      <c r="AF179" s="89" t="s">
        <v>210</v>
      </c>
      <c r="AG179" s="89"/>
      <c r="AH179" s="89"/>
      <c r="AI179" s="89"/>
      <c r="AJ179" s="89"/>
      <c r="AK179" s="89"/>
      <c r="AL179" s="89"/>
      <c r="AM179" s="89"/>
      <c r="AN179" s="89"/>
      <c r="AO179" s="89"/>
      <c r="AP179" s="89"/>
      <c r="AQ179" s="89"/>
      <c r="AR179" s="89"/>
      <c r="AS179" s="89"/>
      <c r="AT179" s="89"/>
      <c r="AU179" s="89"/>
      <c r="AV179" s="89"/>
      <c r="AW179" s="89"/>
      <c r="AX179" s="89"/>
      <c r="AY179" s="89"/>
      <c r="AZ179" s="89"/>
      <c r="BA179" s="95"/>
    </row>
    <row r="180" spans="1:53" s="87" customFormat="1">
      <c r="A180" s="90" t="str">
        <f t="shared" si="27"/>
        <v/>
      </c>
      <c r="B180" s="89">
        <v>2</v>
      </c>
      <c r="C180" s="89" t="s">
        <v>210</v>
      </c>
      <c r="D180" s="89">
        <v>-4</v>
      </c>
      <c r="E180" s="89">
        <v>3</v>
      </c>
      <c r="F180" s="89" t="s">
        <v>210</v>
      </c>
      <c r="G180" s="89" t="s">
        <v>210</v>
      </c>
      <c r="H180" s="89">
        <v>2</v>
      </c>
      <c r="I180" s="89">
        <v>-1</v>
      </c>
      <c r="J180" s="89" t="s">
        <v>210</v>
      </c>
      <c r="K180" s="89" t="s">
        <v>210</v>
      </c>
      <c r="L180" s="89">
        <v>4</v>
      </c>
      <c r="M180" s="89">
        <v>-3</v>
      </c>
      <c r="N180" s="89" t="s">
        <v>210</v>
      </c>
      <c r="O180" s="89" t="s">
        <v>210</v>
      </c>
      <c r="P180" s="89">
        <v>-2</v>
      </c>
      <c r="Q180" s="89">
        <v>1</v>
      </c>
      <c r="R180" s="89" t="s">
        <v>210</v>
      </c>
      <c r="S180" s="89">
        <v>4</v>
      </c>
      <c r="T180" s="89" t="s">
        <v>210</v>
      </c>
      <c r="U180" s="89" t="s">
        <v>210</v>
      </c>
      <c r="V180" s="89">
        <v>-3</v>
      </c>
      <c r="W180" s="89">
        <v>-1</v>
      </c>
      <c r="X180" s="89" t="s">
        <v>210</v>
      </c>
      <c r="Y180" s="89" t="s">
        <v>210</v>
      </c>
      <c r="Z180" s="89">
        <v>3</v>
      </c>
      <c r="AA180" s="89">
        <v>-4</v>
      </c>
      <c r="AB180" s="89" t="s">
        <v>210</v>
      </c>
      <c r="AC180" s="89" t="s">
        <v>210</v>
      </c>
      <c r="AD180" s="89">
        <v>1</v>
      </c>
      <c r="AE180" s="89">
        <v>-2</v>
      </c>
      <c r="AF180" s="89" t="s">
        <v>210</v>
      </c>
      <c r="AG180" s="89"/>
      <c r="AH180" s="89"/>
      <c r="AI180" s="89"/>
      <c r="AJ180" s="89"/>
      <c r="AK180" s="89"/>
      <c r="AL180" s="89"/>
      <c r="AM180" s="89"/>
      <c r="AN180" s="89"/>
      <c r="AO180" s="89"/>
      <c r="AP180" s="89"/>
      <c r="AQ180" s="89"/>
      <c r="AR180" s="89"/>
      <c r="AS180" s="89"/>
      <c r="AT180" s="89"/>
      <c r="AU180" s="89"/>
      <c r="AV180" s="89"/>
      <c r="AW180" s="89"/>
      <c r="AX180" s="89"/>
      <c r="AY180" s="89"/>
      <c r="AZ180" s="89"/>
      <c r="BA180" s="95"/>
    </row>
    <row r="181" spans="1:53" s="87" customFormat="1">
      <c r="A181" s="90" t="str">
        <f t="shared" si="27"/>
        <v/>
      </c>
      <c r="B181" s="89">
        <v>3</v>
      </c>
      <c r="C181" s="89" t="s">
        <v>210</v>
      </c>
      <c r="D181" s="89">
        <v>-2</v>
      </c>
      <c r="E181" s="89">
        <v>1</v>
      </c>
      <c r="F181" s="89" t="s">
        <v>210</v>
      </c>
      <c r="G181" s="89" t="s">
        <v>210</v>
      </c>
      <c r="H181" s="89">
        <v>4</v>
      </c>
      <c r="I181" s="89">
        <v>-3</v>
      </c>
      <c r="J181" s="89" t="s">
        <v>210</v>
      </c>
      <c r="K181" s="89" t="s">
        <v>210</v>
      </c>
      <c r="L181" s="89">
        <v>2</v>
      </c>
      <c r="M181" s="89">
        <v>-1</v>
      </c>
      <c r="N181" s="89" t="s">
        <v>210</v>
      </c>
      <c r="O181" s="89" t="s">
        <v>210</v>
      </c>
      <c r="P181" s="89">
        <v>-4</v>
      </c>
      <c r="Q181" s="89">
        <v>3</v>
      </c>
      <c r="R181" s="89" t="s">
        <v>210</v>
      </c>
      <c r="S181" s="89">
        <v>-2</v>
      </c>
      <c r="T181" s="89" t="s">
        <v>210</v>
      </c>
      <c r="U181" s="89" t="s">
        <v>210</v>
      </c>
      <c r="V181" s="89">
        <v>-4</v>
      </c>
      <c r="W181" s="89">
        <v>3</v>
      </c>
      <c r="X181" s="89" t="s">
        <v>210</v>
      </c>
      <c r="Y181" s="89" t="s">
        <v>210</v>
      </c>
      <c r="Z181" s="89">
        <v>4</v>
      </c>
      <c r="AA181" s="89">
        <v>2</v>
      </c>
      <c r="AB181" s="89" t="s">
        <v>210</v>
      </c>
      <c r="AC181" s="89" t="s">
        <v>210</v>
      </c>
      <c r="AD181" s="89">
        <v>-1</v>
      </c>
      <c r="AE181" s="89">
        <v>-3</v>
      </c>
      <c r="AF181" s="89" t="s">
        <v>210</v>
      </c>
      <c r="AG181" s="89"/>
      <c r="AH181" s="89"/>
      <c r="AI181" s="89"/>
      <c r="AJ181" s="89"/>
      <c r="AK181" s="89"/>
      <c r="AL181" s="89"/>
      <c r="AM181" s="89"/>
      <c r="AN181" s="89"/>
      <c r="AO181" s="89"/>
      <c r="AP181" s="89"/>
      <c r="AQ181" s="89"/>
      <c r="AR181" s="89"/>
      <c r="AS181" s="89"/>
      <c r="AT181" s="89"/>
      <c r="AU181" s="89"/>
      <c r="AV181" s="89"/>
      <c r="AW181" s="89"/>
      <c r="AX181" s="89"/>
      <c r="AY181" s="89"/>
      <c r="AZ181" s="89"/>
      <c r="BA181" s="95"/>
    </row>
    <row r="182" spans="1:53" s="87" customFormat="1">
      <c r="A182" s="90" t="str">
        <f t="shared" si="27"/>
        <v/>
      </c>
      <c r="B182" s="89">
        <v>4</v>
      </c>
      <c r="C182" s="89" t="s">
        <v>210</v>
      </c>
      <c r="D182" s="89">
        <v>-1</v>
      </c>
      <c r="E182" s="89">
        <v>2</v>
      </c>
      <c r="F182" s="89" t="s">
        <v>210</v>
      </c>
      <c r="G182" s="89" t="s">
        <v>210</v>
      </c>
      <c r="H182" s="89">
        <v>3</v>
      </c>
      <c r="I182" s="89">
        <v>-4</v>
      </c>
      <c r="J182" s="89" t="s">
        <v>210</v>
      </c>
      <c r="K182" s="89" t="s">
        <v>210</v>
      </c>
      <c r="L182" s="89">
        <v>1</v>
      </c>
      <c r="M182" s="89">
        <v>-2</v>
      </c>
      <c r="N182" s="89" t="s">
        <v>210</v>
      </c>
      <c r="O182" s="89" t="s">
        <v>210</v>
      </c>
      <c r="P182" s="89">
        <v>-3</v>
      </c>
      <c r="Q182" s="89">
        <v>4</v>
      </c>
      <c r="R182" s="89" t="s">
        <v>210</v>
      </c>
      <c r="S182" s="89">
        <v>-1</v>
      </c>
      <c r="T182" s="89" t="s">
        <v>210</v>
      </c>
      <c r="U182" s="89" t="s">
        <v>210</v>
      </c>
      <c r="V182" s="89">
        <v>2</v>
      </c>
      <c r="W182" s="89">
        <v>4</v>
      </c>
      <c r="X182" s="89" t="s">
        <v>210</v>
      </c>
      <c r="Y182" s="89" t="s">
        <v>210</v>
      </c>
      <c r="Z182" s="89">
        <v>-3</v>
      </c>
      <c r="AA182" s="89">
        <v>1</v>
      </c>
      <c r="AB182" s="89" t="s">
        <v>210</v>
      </c>
      <c r="AC182" s="89" t="s">
        <v>210</v>
      </c>
      <c r="AD182" s="89">
        <v>-4</v>
      </c>
      <c r="AE182" s="89">
        <v>3</v>
      </c>
      <c r="AF182" s="89" t="s">
        <v>210</v>
      </c>
      <c r="AG182" s="89"/>
      <c r="AH182" s="89"/>
      <c r="AI182" s="89"/>
      <c r="AJ182" s="89"/>
      <c r="AK182" s="89"/>
      <c r="AL182" s="89"/>
      <c r="AM182" s="89"/>
      <c r="AN182" s="89"/>
      <c r="AO182" s="89"/>
      <c r="AP182" s="89"/>
      <c r="AQ182" s="89"/>
      <c r="AR182" s="89"/>
      <c r="AS182" s="89"/>
      <c r="AT182" s="89"/>
      <c r="AU182" s="89"/>
      <c r="AV182" s="89"/>
      <c r="AW182" s="89"/>
      <c r="AX182" s="89"/>
      <c r="AY182" s="89"/>
      <c r="AZ182" s="89"/>
      <c r="BA182" s="95"/>
    </row>
    <row r="183" spans="1:53" s="87" customFormat="1">
      <c r="A183" s="90" t="str">
        <f t="shared" si="27"/>
        <v/>
      </c>
      <c r="B183" s="89">
        <v>5</v>
      </c>
      <c r="C183" s="89">
        <v>2</v>
      </c>
      <c r="D183" s="89" t="s">
        <v>210</v>
      </c>
      <c r="E183" s="89" t="s">
        <v>210</v>
      </c>
      <c r="F183" s="89">
        <v>-1</v>
      </c>
      <c r="G183" s="89">
        <v>-4</v>
      </c>
      <c r="H183" s="89" t="s">
        <v>210</v>
      </c>
      <c r="I183" s="89" t="s">
        <v>210</v>
      </c>
      <c r="J183" s="89">
        <v>3</v>
      </c>
      <c r="K183" s="89">
        <v>-2</v>
      </c>
      <c r="L183" s="89" t="s">
        <v>210</v>
      </c>
      <c r="M183" s="89" t="s">
        <v>210</v>
      </c>
      <c r="N183" s="89">
        <v>1</v>
      </c>
      <c r="O183" s="89">
        <v>4</v>
      </c>
      <c r="P183" s="89" t="s">
        <v>210</v>
      </c>
      <c r="Q183" s="89" t="s">
        <v>210</v>
      </c>
      <c r="R183" s="89">
        <v>-3</v>
      </c>
      <c r="S183" s="89">
        <v>2</v>
      </c>
      <c r="T183" s="89" t="s">
        <v>210</v>
      </c>
      <c r="U183" s="89" t="s">
        <v>210</v>
      </c>
      <c r="V183" s="89">
        <v>-1</v>
      </c>
      <c r="W183" s="89">
        <v>-4</v>
      </c>
      <c r="X183" s="89" t="s">
        <v>210</v>
      </c>
      <c r="Y183" s="89" t="s">
        <v>210</v>
      </c>
      <c r="Z183" s="89">
        <v>-2</v>
      </c>
      <c r="AA183" s="89">
        <v>4</v>
      </c>
      <c r="AB183" s="89" t="s">
        <v>210</v>
      </c>
      <c r="AC183" s="89" t="s">
        <v>210</v>
      </c>
      <c r="AD183" s="89">
        <v>3</v>
      </c>
      <c r="AE183" s="89">
        <v>1</v>
      </c>
      <c r="AF183" s="89" t="s">
        <v>210</v>
      </c>
      <c r="AG183" s="89"/>
      <c r="AH183" s="89"/>
      <c r="AI183" s="89"/>
      <c r="AJ183" s="89"/>
      <c r="AK183" s="89"/>
      <c r="AL183" s="89"/>
      <c r="AM183" s="89"/>
      <c r="AN183" s="89"/>
      <c r="AO183" s="89"/>
      <c r="AP183" s="89"/>
      <c r="AQ183" s="89"/>
      <c r="AR183" s="89"/>
      <c r="AS183" s="89"/>
      <c r="AT183" s="89"/>
      <c r="AU183" s="89"/>
      <c r="AV183" s="89"/>
      <c r="AW183" s="89"/>
      <c r="AX183" s="89"/>
      <c r="AY183" s="89"/>
      <c r="AZ183" s="89"/>
      <c r="BA183" s="95"/>
    </row>
    <row r="184" spans="1:53" s="87" customFormat="1">
      <c r="A184" s="90" t="str">
        <f t="shared" si="27"/>
        <v/>
      </c>
      <c r="B184" s="89">
        <v>6</v>
      </c>
      <c r="C184" s="89">
        <v>4</v>
      </c>
      <c r="D184" s="89" t="s">
        <v>210</v>
      </c>
      <c r="E184" s="89" t="s">
        <v>210</v>
      </c>
      <c r="F184" s="89">
        <v>-3</v>
      </c>
      <c r="G184" s="89">
        <v>-2</v>
      </c>
      <c r="H184" s="89" t="s">
        <v>210</v>
      </c>
      <c r="I184" s="89" t="s">
        <v>210</v>
      </c>
      <c r="J184" s="89">
        <v>1</v>
      </c>
      <c r="K184" s="89">
        <v>-4</v>
      </c>
      <c r="L184" s="89" t="s">
        <v>210</v>
      </c>
      <c r="M184" s="89" t="s">
        <v>210</v>
      </c>
      <c r="N184" s="89">
        <v>3</v>
      </c>
      <c r="O184" s="89">
        <v>2</v>
      </c>
      <c r="P184" s="89" t="s">
        <v>210</v>
      </c>
      <c r="Q184" s="89" t="s">
        <v>210</v>
      </c>
      <c r="R184" s="89">
        <v>-1</v>
      </c>
      <c r="S184" s="89">
        <v>-4</v>
      </c>
      <c r="T184" s="89" t="s">
        <v>210</v>
      </c>
      <c r="U184" s="89" t="s">
        <v>210</v>
      </c>
      <c r="V184" s="89">
        <v>-2</v>
      </c>
      <c r="W184" s="89">
        <v>-3</v>
      </c>
      <c r="X184" s="89" t="s">
        <v>210</v>
      </c>
      <c r="Y184" s="89" t="s">
        <v>210</v>
      </c>
      <c r="Z184" s="89">
        <v>1</v>
      </c>
      <c r="AA184" s="89">
        <v>3</v>
      </c>
      <c r="AB184" s="89" t="s">
        <v>210</v>
      </c>
      <c r="AC184" s="89" t="s">
        <v>210</v>
      </c>
      <c r="AD184" s="89">
        <v>2</v>
      </c>
      <c r="AE184" s="89">
        <v>-1</v>
      </c>
      <c r="AF184" s="89" t="s">
        <v>210</v>
      </c>
      <c r="AG184" s="89"/>
      <c r="AH184" s="89"/>
      <c r="AI184" s="89"/>
      <c r="AJ184" s="89"/>
      <c r="AK184" s="89"/>
      <c r="AL184" s="89"/>
      <c r="AM184" s="89"/>
      <c r="AN184" s="89"/>
      <c r="AO184" s="89"/>
      <c r="AP184" s="89"/>
      <c r="AQ184" s="89"/>
      <c r="AR184" s="89"/>
      <c r="AS184" s="89"/>
      <c r="AT184" s="89"/>
      <c r="AU184" s="89"/>
      <c r="AV184" s="89"/>
      <c r="AW184" s="89"/>
      <c r="AX184" s="89"/>
      <c r="AY184" s="89"/>
      <c r="AZ184" s="89"/>
      <c r="BA184" s="95"/>
    </row>
    <row r="185" spans="1:53" s="87" customFormat="1">
      <c r="A185" s="90" t="str">
        <f t="shared" si="27"/>
        <v/>
      </c>
      <c r="B185" s="89">
        <v>7</v>
      </c>
      <c r="C185" s="89">
        <v>3</v>
      </c>
      <c r="D185" s="89" t="s">
        <v>210</v>
      </c>
      <c r="E185" s="89" t="s">
        <v>210</v>
      </c>
      <c r="F185" s="89">
        <v>-4</v>
      </c>
      <c r="G185" s="89">
        <v>-1</v>
      </c>
      <c r="H185" s="89" t="s">
        <v>210</v>
      </c>
      <c r="I185" s="89" t="s">
        <v>210</v>
      </c>
      <c r="J185" s="89">
        <v>2</v>
      </c>
      <c r="K185" s="89">
        <v>-3</v>
      </c>
      <c r="L185" s="89" t="s">
        <v>210</v>
      </c>
      <c r="M185" s="89" t="s">
        <v>210</v>
      </c>
      <c r="N185" s="89">
        <v>4</v>
      </c>
      <c r="O185" s="89">
        <v>1</v>
      </c>
      <c r="P185" s="89" t="s">
        <v>210</v>
      </c>
      <c r="Q185" s="89" t="s">
        <v>210</v>
      </c>
      <c r="R185" s="89">
        <v>-2</v>
      </c>
      <c r="S185" s="89">
        <v>-3</v>
      </c>
      <c r="T185" s="89" t="s">
        <v>210</v>
      </c>
      <c r="U185" s="89" t="s">
        <v>210</v>
      </c>
      <c r="V185" s="89">
        <v>4</v>
      </c>
      <c r="W185" s="89">
        <v>1</v>
      </c>
      <c r="X185" s="89" t="s">
        <v>210</v>
      </c>
      <c r="Y185" s="89" t="s">
        <v>210</v>
      </c>
      <c r="Z185" s="89">
        <v>2</v>
      </c>
      <c r="AA185" s="89">
        <v>-1</v>
      </c>
      <c r="AB185" s="89" t="s">
        <v>210</v>
      </c>
      <c r="AC185" s="89" t="s">
        <v>210</v>
      </c>
      <c r="AD185" s="89">
        <v>-2</v>
      </c>
      <c r="AE185" s="89">
        <v>-4</v>
      </c>
      <c r="AF185" s="89" t="s">
        <v>210</v>
      </c>
      <c r="AG185" s="89"/>
      <c r="AH185" s="89"/>
      <c r="AI185" s="89"/>
      <c r="AJ185" s="89"/>
      <c r="AK185" s="89"/>
      <c r="AL185" s="89"/>
      <c r="AM185" s="89"/>
      <c r="AN185" s="89"/>
      <c r="AO185" s="89"/>
      <c r="AP185" s="89"/>
      <c r="AQ185" s="89"/>
      <c r="AR185" s="89"/>
      <c r="AS185" s="89"/>
      <c r="AT185" s="89"/>
      <c r="AU185" s="89"/>
      <c r="AV185" s="89"/>
      <c r="AW185" s="89"/>
      <c r="AX185" s="89"/>
      <c r="AY185" s="89"/>
      <c r="AZ185" s="89"/>
      <c r="BA185" s="95"/>
    </row>
    <row r="186" spans="1:53" s="87" customFormat="1">
      <c r="A186" s="90" t="str">
        <f t="shared" si="27"/>
        <v/>
      </c>
      <c r="B186" s="89">
        <v>8</v>
      </c>
      <c r="C186" s="89">
        <v>1</v>
      </c>
      <c r="D186" s="89" t="s">
        <v>210</v>
      </c>
      <c r="E186" s="89" t="s">
        <v>210</v>
      </c>
      <c r="F186" s="89">
        <v>-2</v>
      </c>
      <c r="G186" s="89">
        <v>-3</v>
      </c>
      <c r="H186" s="89" t="s">
        <v>210</v>
      </c>
      <c r="I186" s="89" t="s">
        <v>210</v>
      </c>
      <c r="J186" s="89">
        <v>4</v>
      </c>
      <c r="K186" s="89">
        <v>-1</v>
      </c>
      <c r="L186" s="89" t="s">
        <v>210</v>
      </c>
      <c r="M186" s="89" t="s">
        <v>210</v>
      </c>
      <c r="N186" s="89">
        <v>2</v>
      </c>
      <c r="O186" s="89">
        <v>3</v>
      </c>
      <c r="P186" s="89" t="s">
        <v>210</v>
      </c>
      <c r="Q186" s="89" t="s">
        <v>210</v>
      </c>
      <c r="R186" s="89">
        <v>-4</v>
      </c>
      <c r="S186" s="89">
        <v>1</v>
      </c>
      <c r="T186" s="89" t="s">
        <v>210</v>
      </c>
      <c r="U186" s="89" t="s">
        <v>210</v>
      </c>
      <c r="V186" s="89">
        <v>3</v>
      </c>
      <c r="W186" s="89">
        <v>2</v>
      </c>
      <c r="X186" s="89" t="s">
        <v>210</v>
      </c>
      <c r="Y186" s="89" t="s">
        <v>210</v>
      </c>
      <c r="Z186" s="89">
        <v>-1</v>
      </c>
      <c r="AA186" s="89">
        <v>-2</v>
      </c>
      <c r="AB186" s="89" t="s">
        <v>210</v>
      </c>
      <c r="AC186" s="89" t="s">
        <v>210</v>
      </c>
      <c r="AD186" s="89">
        <v>-3</v>
      </c>
      <c r="AE186" s="89">
        <v>4</v>
      </c>
      <c r="AF186" s="89" t="s">
        <v>210</v>
      </c>
      <c r="AG186" s="89"/>
      <c r="AH186" s="89"/>
      <c r="AI186" s="89"/>
      <c r="AJ186" s="89"/>
      <c r="AK186" s="89"/>
      <c r="AL186" s="89"/>
      <c r="AM186" s="89"/>
      <c r="AN186" s="89"/>
      <c r="AO186" s="89"/>
      <c r="AP186" s="89"/>
      <c r="AQ186" s="89"/>
      <c r="AR186" s="89"/>
      <c r="AS186" s="89"/>
      <c r="AT186" s="89"/>
      <c r="AU186" s="89"/>
      <c r="AV186" s="89"/>
      <c r="AW186" s="89"/>
      <c r="AX186" s="89"/>
      <c r="AY186" s="89"/>
      <c r="AZ186" s="89"/>
      <c r="BA186" s="95"/>
    </row>
    <row r="187" spans="1:53" s="87" customFormat="1">
      <c r="A187" s="90" t="str">
        <f t="shared" si="27"/>
        <v/>
      </c>
      <c r="B187" s="89">
        <v>9</v>
      </c>
      <c r="C187" s="89">
        <v>-3</v>
      </c>
      <c r="D187" s="89" t="s">
        <v>210</v>
      </c>
      <c r="E187" s="89" t="s">
        <v>210</v>
      </c>
      <c r="F187" s="89">
        <v>1</v>
      </c>
      <c r="G187" s="89">
        <v>2</v>
      </c>
      <c r="H187" s="89" t="s">
        <v>210</v>
      </c>
      <c r="I187" s="89" t="s">
        <v>210</v>
      </c>
      <c r="J187" s="89">
        <v>-4</v>
      </c>
      <c r="K187" s="89" t="s">
        <v>210</v>
      </c>
      <c r="L187" s="89">
        <v>-1</v>
      </c>
      <c r="M187" s="89">
        <v>3</v>
      </c>
      <c r="N187" s="89" t="s">
        <v>210</v>
      </c>
      <c r="O187" s="89" t="s">
        <v>210</v>
      </c>
      <c r="P187" s="89">
        <v>4</v>
      </c>
      <c r="Q187" s="89">
        <v>-2</v>
      </c>
      <c r="R187" s="89" t="s">
        <v>210</v>
      </c>
      <c r="S187" s="89" t="s">
        <v>210</v>
      </c>
      <c r="T187" s="89">
        <v>3</v>
      </c>
      <c r="U187" s="89">
        <v>1</v>
      </c>
      <c r="V187" s="89" t="s">
        <v>210</v>
      </c>
      <c r="W187" s="89" t="s">
        <v>210</v>
      </c>
      <c r="X187" s="89">
        <v>-2</v>
      </c>
      <c r="Y187" s="89">
        <v>-4</v>
      </c>
      <c r="Z187" s="89" t="s">
        <v>210</v>
      </c>
      <c r="AA187" s="89" t="s">
        <v>210</v>
      </c>
      <c r="AB187" s="89">
        <v>-3</v>
      </c>
      <c r="AC187" s="89">
        <v>4</v>
      </c>
      <c r="AD187" s="89" t="s">
        <v>210</v>
      </c>
      <c r="AE187" s="89" t="s">
        <v>210</v>
      </c>
      <c r="AF187" s="89">
        <v>2</v>
      </c>
      <c r="AG187" s="89"/>
      <c r="AH187" s="89"/>
      <c r="AI187" s="89"/>
      <c r="AJ187" s="89"/>
      <c r="AK187" s="89"/>
      <c r="AL187" s="89"/>
      <c r="AM187" s="89"/>
      <c r="AN187" s="89"/>
      <c r="AO187" s="89"/>
      <c r="AP187" s="89"/>
      <c r="AQ187" s="89"/>
      <c r="AR187" s="89"/>
      <c r="AS187" s="89"/>
      <c r="AT187" s="89"/>
      <c r="AU187" s="89"/>
      <c r="AV187" s="89"/>
      <c r="AW187" s="89"/>
      <c r="AX187" s="89"/>
      <c r="AY187" s="89"/>
      <c r="AZ187" s="89"/>
      <c r="BA187" s="95"/>
    </row>
    <row r="188" spans="1:53" s="87" customFormat="1">
      <c r="A188" s="90" t="str">
        <f t="shared" si="27"/>
        <v/>
      </c>
      <c r="B188" s="89">
        <v>10</v>
      </c>
      <c r="C188" s="89">
        <v>-4</v>
      </c>
      <c r="D188" s="89" t="s">
        <v>210</v>
      </c>
      <c r="E188" s="89" t="s">
        <v>210</v>
      </c>
      <c r="F188" s="89">
        <v>2</v>
      </c>
      <c r="G188" s="89">
        <v>1</v>
      </c>
      <c r="H188" s="89" t="s">
        <v>210</v>
      </c>
      <c r="I188" s="89" t="s">
        <v>210</v>
      </c>
      <c r="J188" s="89">
        <v>-3</v>
      </c>
      <c r="K188" s="89" t="s">
        <v>210</v>
      </c>
      <c r="L188" s="89">
        <v>-2</v>
      </c>
      <c r="M188" s="89">
        <v>4</v>
      </c>
      <c r="N188" s="89" t="s">
        <v>210</v>
      </c>
      <c r="O188" s="89" t="s">
        <v>210</v>
      </c>
      <c r="P188" s="89">
        <v>3</v>
      </c>
      <c r="Q188" s="89">
        <v>-1</v>
      </c>
      <c r="R188" s="89" t="s">
        <v>210</v>
      </c>
      <c r="S188" s="89" t="s">
        <v>210</v>
      </c>
      <c r="T188" s="89">
        <v>4</v>
      </c>
      <c r="U188" s="89">
        <v>-3</v>
      </c>
      <c r="V188" s="89" t="s">
        <v>210</v>
      </c>
      <c r="W188" s="89" t="s">
        <v>210</v>
      </c>
      <c r="X188" s="89">
        <v>-1</v>
      </c>
      <c r="Y188" s="89">
        <v>3</v>
      </c>
      <c r="Z188" s="89" t="s">
        <v>210</v>
      </c>
      <c r="AA188" s="89" t="s">
        <v>210</v>
      </c>
      <c r="AB188" s="89">
        <v>-4</v>
      </c>
      <c r="AC188" s="89">
        <v>1</v>
      </c>
      <c r="AD188" s="89" t="s">
        <v>210</v>
      </c>
      <c r="AE188" s="89" t="s">
        <v>210</v>
      </c>
      <c r="AF188" s="89">
        <v>-2</v>
      </c>
      <c r="AG188" s="89"/>
      <c r="AH188" s="89"/>
      <c r="AI188" s="89"/>
      <c r="AJ188" s="89"/>
      <c r="AK188" s="89"/>
      <c r="AL188" s="89"/>
      <c r="AM188" s="89"/>
      <c r="AN188" s="89"/>
      <c r="AO188" s="89"/>
      <c r="AP188" s="89"/>
      <c r="AQ188" s="89"/>
      <c r="AR188" s="89"/>
      <c r="AS188" s="89"/>
      <c r="AT188" s="89"/>
      <c r="AU188" s="89"/>
      <c r="AV188" s="89"/>
      <c r="AW188" s="89"/>
      <c r="AX188" s="89"/>
      <c r="AY188" s="89"/>
      <c r="AZ188" s="89"/>
      <c r="BA188" s="95"/>
    </row>
    <row r="189" spans="1:53" s="87" customFormat="1">
      <c r="A189" s="90" t="str">
        <f t="shared" si="27"/>
        <v/>
      </c>
      <c r="B189" s="89">
        <v>11</v>
      </c>
      <c r="C189" s="89">
        <v>-2</v>
      </c>
      <c r="D189" s="89" t="s">
        <v>210</v>
      </c>
      <c r="E189" s="89" t="s">
        <v>210</v>
      </c>
      <c r="F189" s="89">
        <v>4</v>
      </c>
      <c r="G189" s="89">
        <v>3</v>
      </c>
      <c r="H189" s="89" t="s">
        <v>210</v>
      </c>
      <c r="I189" s="89" t="s">
        <v>210</v>
      </c>
      <c r="J189" s="89">
        <v>-1</v>
      </c>
      <c r="K189" s="89" t="s">
        <v>210</v>
      </c>
      <c r="L189" s="89">
        <v>-4</v>
      </c>
      <c r="M189" s="89">
        <v>2</v>
      </c>
      <c r="N189" s="89" t="s">
        <v>210</v>
      </c>
      <c r="O189" s="89" t="s">
        <v>210</v>
      </c>
      <c r="P189" s="89">
        <v>1</v>
      </c>
      <c r="Q189" s="89">
        <v>-3</v>
      </c>
      <c r="R189" s="89" t="s">
        <v>210</v>
      </c>
      <c r="S189" s="89" t="s">
        <v>210</v>
      </c>
      <c r="T189" s="89">
        <v>-2</v>
      </c>
      <c r="U189" s="89">
        <v>-4</v>
      </c>
      <c r="V189" s="89" t="s">
        <v>210</v>
      </c>
      <c r="W189" s="89" t="s">
        <v>210</v>
      </c>
      <c r="X189" s="89">
        <v>3</v>
      </c>
      <c r="Y189" s="89">
        <v>4</v>
      </c>
      <c r="Z189" s="89" t="s">
        <v>210</v>
      </c>
      <c r="AA189" s="89" t="s">
        <v>210</v>
      </c>
      <c r="AB189" s="89">
        <v>2</v>
      </c>
      <c r="AC189" s="89">
        <v>-1</v>
      </c>
      <c r="AD189" s="89" t="s">
        <v>210</v>
      </c>
      <c r="AE189" s="89" t="s">
        <v>210</v>
      </c>
      <c r="AF189" s="89">
        <v>-3</v>
      </c>
      <c r="AG189" s="89"/>
      <c r="AH189" s="89"/>
      <c r="AI189" s="89"/>
      <c r="AJ189" s="89"/>
      <c r="AK189" s="89"/>
      <c r="AL189" s="89"/>
      <c r="AM189" s="89"/>
      <c r="AN189" s="89"/>
      <c r="AO189" s="89"/>
      <c r="AP189" s="89"/>
      <c r="AQ189" s="89"/>
      <c r="AR189" s="89"/>
      <c r="AS189" s="89"/>
      <c r="AT189" s="89"/>
      <c r="AU189" s="89"/>
      <c r="AV189" s="89"/>
      <c r="AW189" s="89"/>
      <c r="AX189" s="89"/>
      <c r="AY189" s="89"/>
      <c r="AZ189" s="89"/>
      <c r="BA189" s="95"/>
    </row>
    <row r="190" spans="1:53" s="87" customFormat="1">
      <c r="A190" s="90" t="str">
        <f t="shared" si="27"/>
        <v/>
      </c>
      <c r="B190" s="89">
        <v>12</v>
      </c>
      <c r="C190" s="89">
        <v>-1</v>
      </c>
      <c r="D190" s="89" t="s">
        <v>210</v>
      </c>
      <c r="E190" s="89" t="s">
        <v>210</v>
      </c>
      <c r="F190" s="89">
        <v>3</v>
      </c>
      <c r="G190" s="89">
        <v>4</v>
      </c>
      <c r="H190" s="89" t="s">
        <v>210</v>
      </c>
      <c r="I190" s="89" t="s">
        <v>210</v>
      </c>
      <c r="J190" s="89">
        <v>-2</v>
      </c>
      <c r="K190" s="89" t="s">
        <v>210</v>
      </c>
      <c r="L190" s="89">
        <v>-3</v>
      </c>
      <c r="M190" s="89">
        <v>1</v>
      </c>
      <c r="N190" s="89" t="s">
        <v>210</v>
      </c>
      <c r="O190" s="89" t="s">
        <v>210</v>
      </c>
      <c r="P190" s="89">
        <v>2</v>
      </c>
      <c r="Q190" s="89">
        <v>-4</v>
      </c>
      <c r="R190" s="89" t="s">
        <v>210</v>
      </c>
      <c r="S190" s="89" t="s">
        <v>210</v>
      </c>
      <c r="T190" s="89">
        <v>-1</v>
      </c>
      <c r="U190" s="89">
        <v>2</v>
      </c>
      <c r="V190" s="89" t="s">
        <v>210</v>
      </c>
      <c r="W190" s="89" t="s">
        <v>210</v>
      </c>
      <c r="X190" s="89">
        <v>4</v>
      </c>
      <c r="Y190" s="89">
        <v>-3</v>
      </c>
      <c r="Z190" s="89" t="s">
        <v>210</v>
      </c>
      <c r="AA190" s="89" t="s">
        <v>210</v>
      </c>
      <c r="AB190" s="89">
        <v>1</v>
      </c>
      <c r="AC190" s="89">
        <v>-4</v>
      </c>
      <c r="AD190" s="89" t="s">
        <v>210</v>
      </c>
      <c r="AE190" s="89" t="s">
        <v>210</v>
      </c>
      <c r="AF190" s="89">
        <v>3</v>
      </c>
      <c r="AG190" s="89"/>
      <c r="AH190" s="89"/>
      <c r="AI190" s="89"/>
      <c r="AJ190" s="89"/>
      <c r="AK190" s="89"/>
      <c r="AL190" s="89"/>
      <c r="AM190" s="89"/>
      <c r="AN190" s="89"/>
      <c r="AO190" s="89"/>
      <c r="AP190" s="89"/>
      <c r="AQ190" s="89"/>
      <c r="AR190" s="89"/>
      <c r="AS190" s="89"/>
      <c r="AT190" s="89"/>
      <c r="AU190" s="89"/>
      <c r="AV190" s="89"/>
      <c r="AW190" s="89"/>
      <c r="AX190" s="89"/>
      <c r="AY190" s="89"/>
      <c r="AZ190" s="89"/>
      <c r="BA190" s="95"/>
    </row>
    <row r="191" spans="1:53" s="87" customFormat="1">
      <c r="A191" s="90" t="str">
        <f t="shared" si="27"/>
        <v/>
      </c>
      <c r="B191" s="89">
        <v>13</v>
      </c>
      <c r="C191" s="89" t="s">
        <v>210</v>
      </c>
      <c r="D191" s="89">
        <v>2</v>
      </c>
      <c r="E191" s="89">
        <v>-4</v>
      </c>
      <c r="F191" s="89" t="s">
        <v>210</v>
      </c>
      <c r="G191" s="89" t="s">
        <v>210</v>
      </c>
      <c r="H191" s="89">
        <v>-3</v>
      </c>
      <c r="I191" s="89">
        <v>1</v>
      </c>
      <c r="J191" s="89" t="s">
        <v>210</v>
      </c>
      <c r="K191" s="89">
        <v>4</v>
      </c>
      <c r="L191" s="89" t="s">
        <v>210</v>
      </c>
      <c r="M191" s="89" t="s">
        <v>210</v>
      </c>
      <c r="N191" s="89">
        <v>-2</v>
      </c>
      <c r="O191" s="89">
        <v>-1</v>
      </c>
      <c r="P191" s="89" t="s">
        <v>210</v>
      </c>
      <c r="Q191" s="89" t="s">
        <v>210</v>
      </c>
      <c r="R191" s="89">
        <v>3</v>
      </c>
      <c r="S191" s="89" t="s">
        <v>210</v>
      </c>
      <c r="T191" s="89">
        <v>2</v>
      </c>
      <c r="U191" s="89">
        <v>-1</v>
      </c>
      <c r="V191" s="89" t="s">
        <v>210</v>
      </c>
      <c r="W191" s="89" t="s">
        <v>210</v>
      </c>
      <c r="X191" s="89">
        <v>-4</v>
      </c>
      <c r="Y191" s="89">
        <v>-2</v>
      </c>
      <c r="Z191" s="89" t="s">
        <v>210</v>
      </c>
      <c r="AA191" s="89" t="s">
        <v>210</v>
      </c>
      <c r="AB191" s="89">
        <v>4</v>
      </c>
      <c r="AC191" s="89">
        <v>3</v>
      </c>
      <c r="AD191" s="89" t="s">
        <v>210</v>
      </c>
      <c r="AE191" s="89" t="s">
        <v>210</v>
      </c>
      <c r="AF191" s="89">
        <v>1</v>
      </c>
      <c r="AG191" s="89"/>
      <c r="AH191" s="89"/>
      <c r="AI191" s="89"/>
      <c r="AJ191" s="89"/>
      <c r="AK191" s="89"/>
      <c r="AL191" s="89"/>
      <c r="AM191" s="89"/>
      <c r="AN191" s="89"/>
      <c r="AO191" s="89"/>
      <c r="AP191" s="89"/>
      <c r="AQ191" s="89"/>
      <c r="AR191" s="89"/>
      <c r="AS191" s="89"/>
      <c r="AT191" s="89"/>
      <c r="AU191" s="89"/>
      <c r="AV191" s="89"/>
      <c r="AW191" s="89"/>
      <c r="AX191" s="89"/>
      <c r="AY191" s="89"/>
      <c r="AZ191" s="89"/>
      <c r="BA191" s="95"/>
    </row>
    <row r="192" spans="1:53" s="87" customFormat="1">
      <c r="A192" s="90" t="str">
        <f t="shared" si="27"/>
        <v/>
      </c>
      <c r="B192" s="89">
        <v>14</v>
      </c>
      <c r="C192" s="89" t="s">
        <v>210</v>
      </c>
      <c r="D192" s="89">
        <v>4</v>
      </c>
      <c r="E192" s="89">
        <v>-2</v>
      </c>
      <c r="F192" s="89" t="s">
        <v>210</v>
      </c>
      <c r="G192" s="89" t="s">
        <v>210</v>
      </c>
      <c r="H192" s="89">
        <v>-1</v>
      </c>
      <c r="I192" s="89">
        <v>3</v>
      </c>
      <c r="J192" s="89" t="s">
        <v>210</v>
      </c>
      <c r="K192" s="89">
        <v>2</v>
      </c>
      <c r="L192" s="89" t="s">
        <v>210</v>
      </c>
      <c r="M192" s="89" t="s">
        <v>210</v>
      </c>
      <c r="N192" s="89">
        <v>-4</v>
      </c>
      <c r="O192" s="89">
        <v>-3</v>
      </c>
      <c r="P192" s="89" t="s">
        <v>210</v>
      </c>
      <c r="Q192" s="89" t="s">
        <v>210</v>
      </c>
      <c r="R192" s="89">
        <v>1</v>
      </c>
      <c r="S192" s="89" t="s">
        <v>210</v>
      </c>
      <c r="T192" s="89">
        <v>-4</v>
      </c>
      <c r="U192" s="89">
        <v>-2</v>
      </c>
      <c r="V192" s="89" t="s">
        <v>210</v>
      </c>
      <c r="W192" s="89" t="s">
        <v>210</v>
      </c>
      <c r="X192" s="89">
        <v>-3</v>
      </c>
      <c r="Y192" s="89">
        <v>1</v>
      </c>
      <c r="Z192" s="89" t="s">
        <v>210</v>
      </c>
      <c r="AA192" s="89" t="s">
        <v>210</v>
      </c>
      <c r="AB192" s="89">
        <v>3</v>
      </c>
      <c r="AC192" s="89">
        <v>2</v>
      </c>
      <c r="AD192" s="89" t="s">
        <v>210</v>
      </c>
      <c r="AE192" s="89" t="s">
        <v>210</v>
      </c>
      <c r="AF192" s="89">
        <v>-1</v>
      </c>
      <c r="AG192" s="89"/>
      <c r="AH192" s="89"/>
      <c r="AI192" s="89"/>
      <c r="AJ192" s="89"/>
      <c r="AK192" s="89"/>
      <c r="AL192" s="89"/>
      <c r="AM192" s="89"/>
      <c r="AN192" s="89"/>
      <c r="AO192" s="89"/>
      <c r="AP192" s="89"/>
      <c r="AQ192" s="89"/>
      <c r="AR192" s="89"/>
      <c r="AS192" s="89"/>
      <c r="AT192" s="89"/>
      <c r="AU192" s="89"/>
      <c r="AV192" s="89"/>
      <c r="AW192" s="89"/>
      <c r="AX192" s="89"/>
      <c r="AY192" s="89"/>
      <c r="AZ192" s="89"/>
      <c r="BA192" s="95"/>
    </row>
    <row r="193" spans="1:53" s="87" customFormat="1">
      <c r="A193" s="90" t="str">
        <f t="shared" si="27"/>
        <v/>
      </c>
      <c r="B193" s="89">
        <v>15</v>
      </c>
      <c r="C193" s="89" t="s">
        <v>210</v>
      </c>
      <c r="D193" s="89">
        <v>3</v>
      </c>
      <c r="E193" s="89">
        <v>-1</v>
      </c>
      <c r="F193" s="89" t="s">
        <v>210</v>
      </c>
      <c r="G193" s="89" t="s">
        <v>210</v>
      </c>
      <c r="H193" s="89">
        <v>-2</v>
      </c>
      <c r="I193" s="89">
        <v>4</v>
      </c>
      <c r="J193" s="89" t="s">
        <v>210</v>
      </c>
      <c r="K193" s="89">
        <v>1</v>
      </c>
      <c r="L193" s="89" t="s">
        <v>210</v>
      </c>
      <c r="M193" s="89" t="s">
        <v>210</v>
      </c>
      <c r="N193" s="89">
        <v>-3</v>
      </c>
      <c r="O193" s="89">
        <v>-4</v>
      </c>
      <c r="P193" s="89" t="s">
        <v>210</v>
      </c>
      <c r="Q193" s="89" t="s">
        <v>210</v>
      </c>
      <c r="R193" s="89">
        <v>2</v>
      </c>
      <c r="S193" s="89" t="s">
        <v>210</v>
      </c>
      <c r="T193" s="89">
        <v>-3</v>
      </c>
      <c r="U193" s="89">
        <v>4</v>
      </c>
      <c r="V193" s="89" t="s">
        <v>210</v>
      </c>
      <c r="W193" s="89" t="s">
        <v>210</v>
      </c>
      <c r="X193" s="89">
        <v>1</v>
      </c>
      <c r="Y193" s="89">
        <v>2</v>
      </c>
      <c r="Z193" s="89" t="s">
        <v>210</v>
      </c>
      <c r="AA193" s="89" t="s">
        <v>210</v>
      </c>
      <c r="AB193" s="89">
        <v>-1</v>
      </c>
      <c r="AC193" s="89">
        <v>-2</v>
      </c>
      <c r="AD193" s="89" t="s">
        <v>210</v>
      </c>
      <c r="AE193" s="89" t="s">
        <v>210</v>
      </c>
      <c r="AF193" s="89">
        <v>-4</v>
      </c>
      <c r="AG193" s="89"/>
      <c r="AH193" s="89"/>
      <c r="AI193" s="89"/>
      <c r="AJ193" s="89"/>
      <c r="AK193" s="89"/>
      <c r="AL193" s="89"/>
      <c r="AM193" s="89"/>
      <c r="AN193" s="89"/>
      <c r="AO193" s="89"/>
      <c r="AP193" s="89"/>
      <c r="AQ193" s="89"/>
      <c r="AR193" s="89"/>
      <c r="AS193" s="89"/>
      <c r="AT193" s="89"/>
      <c r="AU193" s="89"/>
      <c r="AV193" s="89"/>
      <c r="AW193" s="89"/>
      <c r="AX193" s="89"/>
      <c r="AY193" s="89"/>
      <c r="AZ193" s="89"/>
      <c r="BA193" s="95"/>
    </row>
    <row r="194" spans="1:53" s="87" customFormat="1">
      <c r="A194" s="90" t="str">
        <f t="shared" si="27"/>
        <v/>
      </c>
      <c r="B194" s="89">
        <v>16</v>
      </c>
      <c r="C194" s="89" t="s">
        <v>210</v>
      </c>
      <c r="D194" s="89">
        <v>1</v>
      </c>
      <c r="E194" s="89">
        <v>-3</v>
      </c>
      <c r="F194" s="89" t="s">
        <v>210</v>
      </c>
      <c r="G194" s="89" t="s">
        <v>210</v>
      </c>
      <c r="H194" s="89">
        <v>-4</v>
      </c>
      <c r="I194" s="89">
        <v>2</v>
      </c>
      <c r="J194" s="89" t="s">
        <v>210</v>
      </c>
      <c r="K194" s="89">
        <v>3</v>
      </c>
      <c r="L194" s="89" t="s">
        <v>210</v>
      </c>
      <c r="M194" s="89" t="s">
        <v>210</v>
      </c>
      <c r="N194" s="89">
        <v>-1</v>
      </c>
      <c r="O194" s="89">
        <v>-2</v>
      </c>
      <c r="P194" s="89" t="s">
        <v>210</v>
      </c>
      <c r="Q194" s="89" t="s">
        <v>210</v>
      </c>
      <c r="R194" s="89">
        <v>4</v>
      </c>
      <c r="S194" s="89" t="s">
        <v>210</v>
      </c>
      <c r="T194" s="89">
        <v>1</v>
      </c>
      <c r="U194" s="89">
        <v>3</v>
      </c>
      <c r="V194" s="89" t="s">
        <v>210</v>
      </c>
      <c r="W194" s="89" t="s">
        <v>210</v>
      </c>
      <c r="X194" s="89">
        <v>2</v>
      </c>
      <c r="Y194" s="89">
        <v>-1</v>
      </c>
      <c r="Z194" s="89" t="s">
        <v>210</v>
      </c>
      <c r="AA194" s="89" t="s">
        <v>210</v>
      </c>
      <c r="AB194" s="89">
        <v>-2</v>
      </c>
      <c r="AC194" s="89">
        <v>-3</v>
      </c>
      <c r="AD194" s="89" t="s">
        <v>210</v>
      </c>
      <c r="AE194" s="89" t="s">
        <v>210</v>
      </c>
      <c r="AF194" s="89">
        <v>4</v>
      </c>
      <c r="AG194" s="89"/>
      <c r="AH194" s="89"/>
      <c r="AI194" s="89"/>
      <c r="AJ194" s="89"/>
      <c r="AK194" s="89"/>
      <c r="AL194" s="89"/>
      <c r="AM194" s="89"/>
      <c r="AN194" s="89"/>
      <c r="AO194" s="89"/>
      <c r="AP194" s="89"/>
      <c r="AQ194" s="89"/>
      <c r="AR194" s="89"/>
      <c r="AS194" s="89"/>
      <c r="AT194" s="89"/>
      <c r="AU194" s="89"/>
      <c r="AV194" s="89"/>
      <c r="AW194" s="89"/>
      <c r="AX194" s="89"/>
      <c r="AY194" s="89"/>
      <c r="AZ194" s="89"/>
      <c r="BA194" s="95"/>
    </row>
    <row r="195" spans="1:53" s="87" customFormat="1">
      <c r="A195" s="90" t="str">
        <f t="shared" si="27"/>
        <v/>
      </c>
      <c r="B195" s="319" t="s">
        <v>1014</v>
      </c>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c r="AA195" s="89"/>
      <c r="AB195" s="89"/>
      <c r="AC195" s="89"/>
      <c r="AD195" s="89"/>
      <c r="AE195" s="89"/>
      <c r="AF195" s="89"/>
      <c r="AG195" s="89"/>
      <c r="AH195" s="89"/>
      <c r="AI195" s="89"/>
      <c r="AJ195" s="89"/>
      <c r="AK195" s="89"/>
      <c r="AL195" s="89"/>
      <c r="AM195" s="89"/>
      <c r="AN195" s="89"/>
      <c r="AO195" s="89"/>
      <c r="AP195" s="89"/>
      <c r="AQ195" s="89"/>
      <c r="AR195" s="89"/>
      <c r="AS195" s="89"/>
      <c r="AT195" s="89"/>
      <c r="AU195" s="89"/>
      <c r="AV195" s="89"/>
      <c r="AW195" s="89"/>
      <c r="AX195" s="89"/>
      <c r="AY195" s="89"/>
      <c r="AZ195" s="89"/>
      <c r="BA195" s="95"/>
    </row>
    <row r="196" spans="1:53" s="87" customFormat="1">
      <c r="A196" s="90">
        <f t="shared" si="27"/>
        <v>196</v>
      </c>
      <c r="B196" s="89" t="s">
        <v>280</v>
      </c>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c r="AA196" s="89"/>
      <c r="AB196" s="89"/>
      <c r="AC196" s="89"/>
      <c r="AD196" s="89"/>
      <c r="AE196" s="89"/>
      <c r="AF196" s="89"/>
      <c r="AG196" s="89"/>
      <c r="AH196" s="89"/>
      <c r="AI196" s="89"/>
      <c r="AJ196" s="89"/>
      <c r="AK196" s="89"/>
      <c r="AL196" s="89"/>
      <c r="AM196" s="89"/>
      <c r="AN196" s="89"/>
      <c r="AO196" s="89"/>
      <c r="AP196" s="89"/>
      <c r="AQ196" s="89"/>
      <c r="AR196" s="89"/>
      <c r="AS196" s="89"/>
      <c r="AT196" s="89"/>
      <c r="AU196" s="89"/>
      <c r="AV196" s="89"/>
      <c r="AW196" s="89"/>
      <c r="AX196" s="89"/>
      <c r="AY196" s="89"/>
      <c r="AZ196" s="89"/>
      <c r="BA196" s="95"/>
    </row>
    <row r="197" spans="1:53" s="87" customFormat="1">
      <c r="A197" s="90" t="str">
        <f t="shared" si="27"/>
        <v/>
      </c>
      <c r="B197" s="89">
        <v>1</v>
      </c>
      <c r="C197" s="89">
        <v>3</v>
      </c>
      <c r="D197" s="89" t="s">
        <v>210</v>
      </c>
      <c r="E197" s="89" t="s">
        <v>210</v>
      </c>
      <c r="F197" s="89">
        <v>-1</v>
      </c>
      <c r="G197" s="89">
        <v>4</v>
      </c>
      <c r="H197" s="89" t="s">
        <v>210</v>
      </c>
      <c r="I197" s="89" t="s">
        <v>210</v>
      </c>
      <c r="J197" s="89">
        <v>-2</v>
      </c>
      <c r="K197" s="89">
        <v>-3</v>
      </c>
      <c r="L197" s="89" t="s">
        <v>210</v>
      </c>
      <c r="M197" s="89" t="s">
        <v>210</v>
      </c>
      <c r="N197" s="89">
        <v>1</v>
      </c>
      <c r="O197" s="89">
        <v>2</v>
      </c>
      <c r="P197" s="89" t="s">
        <v>210</v>
      </c>
      <c r="Q197" s="89"/>
      <c r="R197" s="89"/>
      <c r="S197" s="89"/>
      <c r="T197" s="89"/>
      <c r="U197" s="89"/>
      <c r="V197" s="89"/>
      <c r="W197" s="89"/>
      <c r="X197" s="89"/>
      <c r="Y197" s="89"/>
      <c r="Z197" s="89"/>
      <c r="AA197" s="89"/>
      <c r="AB197" s="89"/>
      <c r="AC197" s="89"/>
      <c r="AD197" s="89"/>
      <c r="AE197" s="89"/>
      <c r="AF197" s="89"/>
      <c r="AG197" s="89"/>
      <c r="AH197" s="89"/>
      <c r="AI197" s="89"/>
      <c r="AJ197" s="89"/>
      <c r="AK197" s="89"/>
      <c r="AL197" s="89"/>
      <c r="AM197" s="89"/>
      <c r="AN197" s="89"/>
      <c r="AO197" s="89"/>
      <c r="AP197" s="89"/>
      <c r="AQ197" s="89"/>
      <c r="AR197" s="89"/>
      <c r="AS197" s="89"/>
      <c r="AT197" s="89"/>
      <c r="AU197" s="89"/>
      <c r="AV197" s="89"/>
      <c r="AW197" s="89"/>
      <c r="AX197" s="89"/>
      <c r="AY197" s="89"/>
      <c r="AZ197" s="89"/>
      <c r="BA197" s="95"/>
    </row>
    <row r="198" spans="1:53" s="87" customFormat="1">
      <c r="A198" s="90" t="str">
        <f t="shared" si="27"/>
        <v/>
      </c>
      <c r="B198" s="89">
        <v>2</v>
      </c>
      <c r="C198" s="89">
        <v>4</v>
      </c>
      <c r="D198" s="89" t="s">
        <v>210</v>
      </c>
      <c r="E198" s="89" t="s">
        <v>210</v>
      </c>
      <c r="F198" s="89">
        <v>2</v>
      </c>
      <c r="G198" s="89">
        <v>-1</v>
      </c>
      <c r="H198" s="89" t="s">
        <v>210</v>
      </c>
      <c r="I198" s="89" t="s">
        <v>210</v>
      </c>
      <c r="J198" s="89">
        <v>3</v>
      </c>
      <c r="K198" s="89">
        <v>1</v>
      </c>
      <c r="L198" s="89" t="s">
        <v>210</v>
      </c>
      <c r="M198" s="89" t="s">
        <v>210</v>
      </c>
      <c r="N198" s="89">
        <v>-4</v>
      </c>
      <c r="O198" s="89">
        <v>-2</v>
      </c>
      <c r="P198" s="89" t="s">
        <v>210</v>
      </c>
      <c r="Q198" s="89"/>
      <c r="R198" s="89"/>
      <c r="S198" s="89"/>
      <c r="T198" s="89"/>
      <c r="U198" s="89"/>
      <c r="V198" s="89"/>
      <c r="W198" s="89"/>
      <c r="X198" s="89"/>
      <c r="Y198" s="89"/>
      <c r="Z198" s="89"/>
      <c r="AA198" s="89"/>
      <c r="AB198" s="89"/>
      <c r="AC198" s="89"/>
      <c r="AD198" s="89"/>
      <c r="AE198" s="89"/>
      <c r="AF198" s="89"/>
      <c r="AG198" s="89"/>
      <c r="AH198" s="89"/>
      <c r="AI198" s="89"/>
      <c r="AJ198" s="89"/>
      <c r="AK198" s="89"/>
      <c r="AL198" s="89"/>
      <c r="AM198" s="89"/>
      <c r="AN198" s="89"/>
      <c r="AO198" s="89"/>
      <c r="AP198" s="89"/>
      <c r="AQ198" s="89"/>
      <c r="AR198" s="89"/>
      <c r="AS198" s="89"/>
      <c r="AT198" s="89"/>
      <c r="AU198" s="89"/>
      <c r="AV198" s="89"/>
      <c r="AW198" s="89"/>
      <c r="AX198" s="89"/>
      <c r="AY198" s="89"/>
      <c r="AZ198" s="89"/>
      <c r="BA198" s="95"/>
    </row>
    <row r="199" spans="1:53" s="87" customFormat="1">
      <c r="A199" s="90" t="str">
        <f t="shared" si="27"/>
        <v/>
      </c>
      <c r="B199" s="89">
        <v>3</v>
      </c>
      <c r="C199" s="89">
        <v>-2</v>
      </c>
      <c r="D199" s="89" t="s">
        <v>210</v>
      </c>
      <c r="E199" s="89" t="s">
        <v>210</v>
      </c>
      <c r="F199" s="89">
        <v>-4</v>
      </c>
      <c r="G199" s="89">
        <v>2</v>
      </c>
      <c r="H199" s="89" t="s">
        <v>210</v>
      </c>
      <c r="I199" s="89" t="s">
        <v>210</v>
      </c>
      <c r="J199" s="89">
        <v>-3</v>
      </c>
      <c r="K199" s="89">
        <v>4</v>
      </c>
      <c r="L199" s="89" t="s">
        <v>210</v>
      </c>
      <c r="M199" s="89" t="s">
        <v>210</v>
      </c>
      <c r="N199" s="89">
        <v>-1</v>
      </c>
      <c r="O199" s="89">
        <v>3</v>
      </c>
      <c r="P199" s="89" t="s">
        <v>210</v>
      </c>
      <c r="Q199" s="89"/>
      <c r="R199" s="89"/>
      <c r="S199" s="89"/>
      <c r="T199" s="89"/>
      <c r="U199" s="89"/>
      <c r="V199" s="89"/>
      <c r="W199" s="89"/>
      <c r="X199" s="89"/>
      <c r="Y199" s="89"/>
      <c r="Z199" s="89"/>
      <c r="AA199" s="89"/>
      <c r="AB199" s="89"/>
      <c r="AC199" s="89"/>
      <c r="AD199" s="89"/>
      <c r="AE199" s="89"/>
      <c r="AF199" s="89"/>
      <c r="AG199" s="89"/>
      <c r="AH199" s="89"/>
      <c r="AI199" s="89"/>
      <c r="AJ199" s="89"/>
      <c r="AK199" s="89"/>
      <c r="AL199" s="89"/>
      <c r="AM199" s="89"/>
      <c r="AN199" s="89"/>
      <c r="AO199" s="89"/>
      <c r="AP199" s="89"/>
      <c r="AQ199" s="89"/>
      <c r="AR199" s="89"/>
      <c r="AS199" s="89"/>
      <c r="AT199" s="89"/>
      <c r="AU199" s="89"/>
      <c r="AV199" s="89"/>
      <c r="AW199" s="89"/>
      <c r="AX199" s="89"/>
      <c r="AY199" s="89"/>
      <c r="AZ199" s="89"/>
      <c r="BA199" s="95"/>
    </row>
    <row r="200" spans="1:53" s="87" customFormat="1">
      <c r="A200" s="90" t="str">
        <f t="shared" si="27"/>
        <v/>
      </c>
      <c r="B200" s="89">
        <v>4</v>
      </c>
      <c r="C200" s="89">
        <v>-1</v>
      </c>
      <c r="D200" s="89" t="s">
        <v>210</v>
      </c>
      <c r="E200" s="89" t="s">
        <v>210</v>
      </c>
      <c r="F200" s="89">
        <v>3</v>
      </c>
      <c r="G200" s="89">
        <v>-4</v>
      </c>
      <c r="H200" s="89" t="s">
        <v>210</v>
      </c>
      <c r="I200" s="89" t="s">
        <v>210</v>
      </c>
      <c r="J200" s="89">
        <v>1</v>
      </c>
      <c r="K200" s="89">
        <v>-2</v>
      </c>
      <c r="L200" s="89" t="s">
        <v>210</v>
      </c>
      <c r="M200" s="89" t="s">
        <v>210</v>
      </c>
      <c r="N200" s="89">
        <v>4</v>
      </c>
      <c r="O200" s="89">
        <v>-3</v>
      </c>
      <c r="P200" s="89" t="s">
        <v>210</v>
      </c>
      <c r="Q200" s="89"/>
      <c r="R200" s="89"/>
      <c r="S200" s="89"/>
      <c r="T200" s="89"/>
      <c r="U200" s="89"/>
      <c r="V200" s="89"/>
      <c r="W200" s="89"/>
      <c r="X200" s="89"/>
      <c r="Y200" s="89"/>
      <c r="Z200" s="89"/>
      <c r="AA200" s="89"/>
      <c r="AB200" s="89"/>
      <c r="AC200" s="89"/>
      <c r="AD200" s="89"/>
      <c r="AE200" s="89"/>
      <c r="AF200" s="89"/>
      <c r="AG200" s="89"/>
      <c r="AH200" s="89"/>
      <c r="AI200" s="89"/>
      <c r="AJ200" s="89"/>
      <c r="AK200" s="89"/>
      <c r="AL200" s="89"/>
      <c r="AM200" s="89"/>
      <c r="AN200" s="89"/>
      <c r="AO200" s="89"/>
      <c r="AP200" s="89"/>
      <c r="AQ200" s="89"/>
      <c r="AR200" s="89"/>
      <c r="AS200" s="89"/>
      <c r="AT200" s="89"/>
      <c r="AU200" s="89"/>
      <c r="AV200" s="89"/>
      <c r="AW200" s="89"/>
      <c r="AX200" s="89"/>
      <c r="AY200" s="89"/>
      <c r="AZ200" s="89"/>
      <c r="BA200" s="95"/>
    </row>
    <row r="201" spans="1:53" s="87" customFormat="1">
      <c r="A201" s="90" t="str">
        <f t="shared" si="27"/>
        <v/>
      </c>
      <c r="B201" s="89">
        <v>5</v>
      </c>
      <c r="C201" s="89">
        <v>-3</v>
      </c>
      <c r="D201" s="89" t="s">
        <v>210</v>
      </c>
      <c r="E201" s="89" t="s">
        <v>210</v>
      </c>
      <c r="F201" s="89">
        <v>-2</v>
      </c>
      <c r="G201" s="89">
        <v>3</v>
      </c>
      <c r="H201" s="89" t="s">
        <v>210</v>
      </c>
      <c r="I201" s="89" t="s">
        <v>210</v>
      </c>
      <c r="J201" s="89">
        <v>-1</v>
      </c>
      <c r="K201" s="89">
        <v>-4</v>
      </c>
      <c r="L201" s="89" t="s">
        <v>210</v>
      </c>
      <c r="M201" s="89" t="s">
        <v>210</v>
      </c>
      <c r="N201" s="89">
        <v>2</v>
      </c>
      <c r="O201" s="89">
        <v>1</v>
      </c>
      <c r="P201" s="89" t="s">
        <v>210</v>
      </c>
      <c r="Q201" s="89"/>
      <c r="R201" s="89"/>
      <c r="S201" s="89"/>
      <c r="T201" s="89"/>
      <c r="U201" s="89"/>
      <c r="V201" s="89"/>
      <c r="W201" s="89"/>
      <c r="X201" s="89"/>
      <c r="Y201" s="89"/>
      <c r="Z201" s="89"/>
      <c r="AA201" s="89"/>
      <c r="AB201" s="89"/>
      <c r="AC201" s="89"/>
      <c r="AD201" s="89"/>
      <c r="AE201" s="89"/>
      <c r="AF201" s="89"/>
      <c r="AG201" s="89"/>
      <c r="AH201" s="89"/>
      <c r="AI201" s="89"/>
      <c r="AJ201" s="89"/>
      <c r="AK201" s="89"/>
      <c r="AL201" s="89"/>
      <c r="AM201" s="89"/>
      <c r="AN201" s="89"/>
      <c r="AO201" s="89"/>
      <c r="AP201" s="89"/>
      <c r="AQ201" s="89"/>
      <c r="AR201" s="89"/>
      <c r="AS201" s="89"/>
      <c r="AT201" s="89"/>
      <c r="AU201" s="89"/>
      <c r="AV201" s="89"/>
      <c r="AW201" s="89"/>
      <c r="AX201" s="89"/>
      <c r="AY201" s="89"/>
      <c r="AZ201" s="89"/>
      <c r="BA201" s="95"/>
    </row>
    <row r="202" spans="1:53" s="87" customFormat="1">
      <c r="A202" s="90" t="str">
        <f t="shared" si="27"/>
        <v/>
      </c>
      <c r="B202" s="89">
        <v>6</v>
      </c>
      <c r="C202" s="89">
        <v>-4</v>
      </c>
      <c r="D202" s="89" t="s">
        <v>210</v>
      </c>
      <c r="E202" s="89" t="s">
        <v>210</v>
      </c>
      <c r="F202" s="89">
        <v>1</v>
      </c>
      <c r="G202" s="89">
        <v>-2</v>
      </c>
      <c r="H202" s="89" t="s">
        <v>210</v>
      </c>
      <c r="I202" s="89" t="s">
        <v>210</v>
      </c>
      <c r="J202" s="89">
        <v>4</v>
      </c>
      <c r="K202" s="89">
        <v>2</v>
      </c>
      <c r="L202" s="89" t="s">
        <v>210</v>
      </c>
      <c r="M202" s="89" t="s">
        <v>210</v>
      </c>
      <c r="N202" s="89">
        <v>-3</v>
      </c>
      <c r="O202" s="89">
        <v>-1</v>
      </c>
      <c r="P202" s="89" t="s">
        <v>210</v>
      </c>
      <c r="Q202" s="89"/>
      <c r="R202" s="89"/>
      <c r="S202" s="89"/>
      <c r="T202" s="89"/>
      <c r="U202" s="89"/>
      <c r="V202" s="89"/>
      <c r="W202" s="89"/>
      <c r="X202" s="89"/>
      <c r="Y202" s="89"/>
      <c r="Z202" s="89"/>
      <c r="AA202" s="89"/>
      <c r="AB202" s="89"/>
      <c r="AC202" s="89"/>
      <c r="AD202" s="89"/>
      <c r="AE202" s="89"/>
      <c r="AF202" s="89"/>
      <c r="AG202" s="89"/>
      <c r="AH202" s="89"/>
      <c r="AI202" s="89"/>
      <c r="AJ202" s="89"/>
      <c r="AK202" s="89"/>
      <c r="AL202" s="89"/>
      <c r="AM202" s="89"/>
      <c r="AN202" s="89"/>
      <c r="AO202" s="89"/>
      <c r="AP202" s="89"/>
      <c r="AQ202" s="89"/>
      <c r="AR202" s="89"/>
      <c r="AS202" s="89"/>
      <c r="AT202" s="89"/>
      <c r="AU202" s="89"/>
      <c r="AV202" s="89"/>
      <c r="AW202" s="89"/>
      <c r="AX202" s="89"/>
      <c r="AY202" s="89"/>
      <c r="AZ202" s="89"/>
      <c r="BA202" s="95"/>
    </row>
    <row r="203" spans="1:53" s="87" customFormat="1">
      <c r="A203" s="90" t="str">
        <f t="shared" si="27"/>
        <v/>
      </c>
      <c r="B203" s="89">
        <v>7</v>
      </c>
      <c r="C203" s="89">
        <v>2</v>
      </c>
      <c r="D203" s="89" t="s">
        <v>210</v>
      </c>
      <c r="E203" s="89" t="s">
        <v>210</v>
      </c>
      <c r="F203" s="89">
        <v>-3</v>
      </c>
      <c r="G203" s="89">
        <v>1</v>
      </c>
      <c r="H203" s="89" t="s">
        <v>210</v>
      </c>
      <c r="I203" s="89" t="s">
        <v>210</v>
      </c>
      <c r="J203" s="89">
        <v>-4</v>
      </c>
      <c r="K203" s="89">
        <v>3</v>
      </c>
      <c r="L203" s="89" t="s">
        <v>210</v>
      </c>
      <c r="M203" s="89" t="s">
        <v>210</v>
      </c>
      <c r="N203" s="89">
        <v>-2</v>
      </c>
      <c r="O203" s="89">
        <v>4</v>
      </c>
      <c r="P203" s="89" t="s">
        <v>210</v>
      </c>
      <c r="Q203" s="89"/>
      <c r="R203" s="89"/>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95"/>
    </row>
    <row r="204" spans="1:53" s="87" customFormat="1">
      <c r="A204" s="90" t="str">
        <f t="shared" ref="A204:A267" si="28">IF(MID(B204,3,2)="04",ROW(),"")</f>
        <v/>
      </c>
      <c r="B204" s="99">
        <v>8</v>
      </c>
      <c r="C204" s="92">
        <v>1</v>
      </c>
      <c r="D204" s="92" t="s">
        <v>210</v>
      </c>
      <c r="E204" s="92" t="s">
        <v>210</v>
      </c>
      <c r="F204" s="92">
        <v>4</v>
      </c>
      <c r="G204" s="92">
        <v>-3</v>
      </c>
      <c r="H204" s="92" t="s">
        <v>210</v>
      </c>
      <c r="I204" s="92" t="s">
        <v>210</v>
      </c>
      <c r="J204" s="92">
        <v>2</v>
      </c>
      <c r="K204" s="92">
        <v>-1</v>
      </c>
      <c r="L204" s="92" t="s">
        <v>210</v>
      </c>
      <c r="M204" s="92" t="s">
        <v>210</v>
      </c>
      <c r="N204" s="92">
        <v>3</v>
      </c>
      <c r="O204" s="92">
        <v>-4</v>
      </c>
      <c r="P204" s="92" t="s">
        <v>210</v>
      </c>
      <c r="Q204" s="89"/>
      <c r="R204" s="89"/>
      <c r="S204" s="89"/>
      <c r="T204" s="89"/>
      <c r="U204" s="89"/>
      <c r="V204" s="89"/>
      <c r="W204" s="89"/>
      <c r="X204" s="89"/>
      <c r="Y204" s="89"/>
      <c r="Z204" s="89"/>
      <c r="AA204" s="89"/>
      <c r="AB204" s="89"/>
      <c r="AC204" s="89"/>
      <c r="AD204" s="89"/>
      <c r="AE204" s="89"/>
      <c r="AF204" s="89"/>
      <c r="AG204" s="89"/>
      <c r="AH204" s="89"/>
      <c r="AI204" s="89"/>
      <c r="AJ204" s="89"/>
      <c r="AK204" s="89"/>
      <c r="AL204" s="89"/>
      <c r="AM204" s="89"/>
      <c r="AN204" s="89"/>
      <c r="AO204" s="89"/>
      <c r="AP204" s="89"/>
      <c r="AQ204" s="89"/>
      <c r="AR204" s="89"/>
      <c r="AS204" s="89"/>
      <c r="AT204" s="89"/>
      <c r="AU204" s="89"/>
      <c r="AV204" s="89"/>
      <c r="AW204" s="89"/>
      <c r="AX204" s="89"/>
      <c r="AY204" s="89"/>
      <c r="AZ204" s="89"/>
      <c r="BA204" s="95"/>
    </row>
    <row r="205" spans="1:53" s="87" customFormat="1">
      <c r="A205" s="90" t="str">
        <f t="shared" si="28"/>
        <v/>
      </c>
      <c r="B205" s="89">
        <v>9</v>
      </c>
      <c r="C205" s="89" t="s">
        <v>210</v>
      </c>
      <c r="D205" s="89">
        <v>3</v>
      </c>
      <c r="E205" s="89">
        <v>-1</v>
      </c>
      <c r="F205" s="89" t="s">
        <v>210</v>
      </c>
      <c r="G205" s="89" t="s">
        <v>210</v>
      </c>
      <c r="H205" s="89">
        <v>4</v>
      </c>
      <c r="I205" s="89">
        <v>-2</v>
      </c>
      <c r="J205" s="89" t="s">
        <v>210</v>
      </c>
      <c r="K205" s="89" t="s">
        <v>210</v>
      </c>
      <c r="L205" s="89">
        <v>-3</v>
      </c>
      <c r="M205" s="89">
        <v>1</v>
      </c>
      <c r="N205" s="89" t="s">
        <v>210</v>
      </c>
      <c r="O205" s="89" t="s">
        <v>210</v>
      </c>
      <c r="P205" s="89">
        <v>2</v>
      </c>
      <c r="Q205" s="89"/>
      <c r="R205" s="89"/>
      <c r="S205" s="89"/>
      <c r="T205" s="89"/>
      <c r="U205" s="89"/>
      <c r="V205" s="89"/>
      <c r="W205" s="89"/>
      <c r="X205" s="89"/>
      <c r="Y205" s="89"/>
      <c r="Z205" s="89"/>
      <c r="AA205" s="89"/>
      <c r="AB205" s="89"/>
      <c r="AC205" s="89"/>
      <c r="AD205" s="89"/>
      <c r="AE205" s="89"/>
      <c r="AF205" s="89"/>
      <c r="AG205" s="89"/>
      <c r="AH205" s="89"/>
      <c r="AI205" s="89"/>
      <c r="AJ205" s="89"/>
      <c r="AK205" s="89"/>
      <c r="AL205" s="89"/>
      <c r="AM205" s="89"/>
      <c r="AN205" s="89"/>
      <c r="AO205" s="89"/>
      <c r="AP205" s="89"/>
      <c r="AQ205" s="89"/>
      <c r="AR205" s="89"/>
      <c r="AS205" s="89"/>
      <c r="AT205" s="89"/>
      <c r="AU205" s="89"/>
      <c r="AV205" s="89"/>
      <c r="AW205" s="89"/>
      <c r="AX205" s="89"/>
      <c r="AY205" s="89"/>
      <c r="AZ205" s="89"/>
      <c r="BA205" s="95"/>
    </row>
    <row r="206" spans="1:53" s="87" customFormat="1">
      <c r="A206" s="90" t="str">
        <f t="shared" si="28"/>
        <v/>
      </c>
      <c r="B206" s="89">
        <v>10</v>
      </c>
      <c r="C206" s="89" t="s">
        <v>210</v>
      </c>
      <c r="D206" s="89">
        <v>4</v>
      </c>
      <c r="E206" s="89">
        <v>2</v>
      </c>
      <c r="F206" s="89" t="s">
        <v>210</v>
      </c>
      <c r="G206" s="89" t="s">
        <v>210</v>
      </c>
      <c r="H206" s="89">
        <v>-1</v>
      </c>
      <c r="I206" s="89">
        <v>3</v>
      </c>
      <c r="J206" s="89" t="s">
        <v>210</v>
      </c>
      <c r="K206" s="89" t="s">
        <v>210</v>
      </c>
      <c r="L206" s="89">
        <v>1</v>
      </c>
      <c r="M206" s="89">
        <v>-4</v>
      </c>
      <c r="N206" s="89" t="s">
        <v>210</v>
      </c>
      <c r="O206" s="89" t="s">
        <v>210</v>
      </c>
      <c r="P206" s="89">
        <v>-2</v>
      </c>
      <c r="Q206" s="89"/>
      <c r="R206" s="89"/>
      <c r="S206" s="89"/>
      <c r="T206" s="89"/>
      <c r="U206" s="89"/>
      <c r="V206" s="89"/>
      <c r="W206" s="89"/>
      <c r="X206" s="89"/>
      <c r="Y206" s="89"/>
      <c r="Z206" s="89"/>
      <c r="AA206" s="89"/>
      <c r="AB206" s="89"/>
      <c r="AC206" s="89"/>
      <c r="AD206" s="89"/>
      <c r="AE206" s="89"/>
      <c r="AF206" s="89"/>
      <c r="AG206" s="89"/>
      <c r="AH206" s="89"/>
      <c r="AI206" s="89"/>
      <c r="AJ206" s="89"/>
      <c r="AK206" s="89"/>
      <c r="AL206" s="89"/>
      <c r="AM206" s="89"/>
      <c r="AN206" s="89"/>
      <c r="AO206" s="89"/>
      <c r="AP206" s="89"/>
      <c r="AQ206" s="89"/>
      <c r="AR206" s="89"/>
      <c r="AS206" s="89"/>
      <c r="AT206" s="89"/>
      <c r="AU206" s="89"/>
      <c r="AV206" s="89"/>
      <c r="AW206" s="89"/>
      <c r="AX206" s="89"/>
      <c r="AY206" s="89"/>
      <c r="AZ206" s="89"/>
      <c r="BA206" s="95"/>
    </row>
    <row r="207" spans="1:53" s="87" customFormat="1">
      <c r="A207" s="90" t="str">
        <f t="shared" si="28"/>
        <v/>
      </c>
      <c r="B207" s="89">
        <v>11</v>
      </c>
      <c r="C207" s="89" t="s">
        <v>210</v>
      </c>
      <c r="D207" s="89">
        <v>-2</v>
      </c>
      <c r="E207" s="89">
        <v>-4</v>
      </c>
      <c r="F207" s="89" t="s">
        <v>210</v>
      </c>
      <c r="G207" s="89" t="s">
        <v>210</v>
      </c>
      <c r="H207" s="89">
        <v>2</v>
      </c>
      <c r="I207" s="89">
        <v>-3</v>
      </c>
      <c r="J207" s="89" t="s">
        <v>210</v>
      </c>
      <c r="K207" s="89" t="s">
        <v>210</v>
      </c>
      <c r="L207" s="89">
        <v>4</v>
      </c>
      <c r="M207" s="89">
        <v>-1</v>
      </c>
      <c r="N207" s="89" t="s">
        <v>210</v>
      </c>
      <c r="O207" s="89" t="s">
        <v>210</v>
      </c>
      <c r="P207" s="89">
        <v>3</v>
      </c>
      <c r="Q207" s="89"/>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95"/>
    </row>
    <row r="208" spans="1:53" s="87" customFormat="1">
      <c r="A208" s="90" t="str">
        <f t="shared" si="28"/>
        <v/>
      </c>
      <c r="B208" s="89">
        <v>12</v>
      </c>
      <c r="C208" s="89" t="s">
        <v>210</v>
      </c>
      <c r="D208" s="89">
        <v>-1</v>
      </c>
      <c r="E208" s="89">
        <v>3</v>
      </c>
      <c r="F208" s="89" t="s">
        <v>210</v>
      </c>
      <c r="G208" s="89" t="s">
        <v>210</v>
      </c>
      <c r="H208" s="89">
        <v>-4</v>
      </c>
      <c r="I208" s="89">
        <v>1</v>
      </c>
      <c r="J208" s="89" t="s">
        <v>210</v>
      </c>
      <c r="K208" s="89" t="s">
        <v>210</v>
      </c>
      <c r="L208" s="89">
        <v>-2</v>
      </c>
      <c r="M208" s="89">
        <v>4</v>
      </c>
      <c r="N208" s="89" t="s">
        <v>210</v>
      </c>
      <c r="O208" s="89" t="s">
        <v>210</v>
      </c>
      <c r="P208" s="89">
        <v>-3</v>
      </c>
      <c r="Q208" s="89"/>
      <c r="R208" s="89"/>
      <c r="S208" s="89"/>
      <c r="T208" s="89"/>
      <c r="U208" s="89"/>
      <c r="V208" s="89"/>
      <c r="W208" s="89"/>
      <c r="X208" s="89"/>
      <c r="Y208" s="89"/>
      <c r="Z208" s="89"/>
      <c r="AA208" s="89"/>
      <c r="AB208" s="89"/>
      <c r="AC208" s="89"/>
      <c r="AD208" s="89"/>
      <c r="AE208" s="89"/>
      <c r="AF208" s="89"/>
      <c r="AG208" s="89"/>
      <c r="AH208" s="89"/>
      <c r="AI208" s="89"/>
      <c r="AJ208" s="89"/>
      <c r="AK208" s="89"/>
      <c r="AL208" s="89"/>
      <c r="AM208" s="89"/>
      <c r="AN208" s="89"/>
      <c r="AO208" s="89"/>
      <c r="AP208" s="89"/>
      <c r="AQ208" s="89"/>
      <c r="AR208" s="89"/>
      <c r="AS208" s="89"/>
      <c r="AT208" s="89"/>
      <c r="AU208" s="89"/>
      <c r="AV208" s="89"/>
      <c r="AW208" s="89"/>
      <c r="AX208" s="89"/>
      <c r="AY208" s="89"/>
      <c r="AZ208" s="89"/>
      <c r="BA208" s="95"/>
    </row>
    <row r="209" spans="1:53" s="87" customFormat="1">
      <c r="A209" s="90" t="str">
        <f t="shared" si="28"/>
        <v/>
      </c>
      <c r="B209" s="89">
        <v>13</v>
      </c>
      <c r="C209" s="89" t="s">
        <v>210</v>
      </c>
      <c r="D209" s="89">
        <v>-3</v>
      </c>
      <c r="E209" s="89">
        <v>-2</v>
      </c>
      <c r="F209" s="89" t="s">
        <v>210</v>
      </c>
      <c r="G209" s="89" t="s">
        <v>210</v>
      </c>
      <c r="H209" s="89">
        <v>3</v>
      </c>
      <c r="I209" s="89">
        <v>-1</v>
      </c>
      <c r="J209" s="89" t="s">
        <v>210</v>
      </c>
      <c r="K209" s="89" t="s">
        <v>210</v>
      </c>
      <c r="L209" s="89">
        <v>-4</v>
      </c>
      <c r="M209" s="89">
        <v>2</v>
      </c>
      <c r="N209" s="89" t="s">
        <v>210</v>
      </c>
      <c r="O209" s="89" t="s">
        <v>210</v>
      </c>
      <c r="P209" s="89">
        <v>1</v>
      </c>
      <c r="Q209" s="89"/>
      <c r="R209" s="89"/>
      <c r="S209" s="89"/>
      <c r="T209" s="89"/>
      <c r="U209" s="89"/>
      <c r="V209" s="89"/>
      <c r="W209" s="89"/>
      <c r="X209" s="89"/>
      <c r="Y209" s="89"/>
      <c r="Z209" s="89"/>
      <c r="AA209" s="89"/>
      <c r="AB209" s="89"/>
      <c r="AC209" s="89"/>
      <c r="AD209" s="89"/>
      <c r="AE209" s="89"/>
      <c r="AF209" s="89"/>
      <c r="AG209" s="89"/>
      <c r="AH209" s="89"/>
      <c r="AI209" s="89"/>
      <c r="AJ209" s="89"/>
      <c r="AK209" s="89"/>
      <c r="AL209" s="89"/>
      <c r="AM209" s="89"/>
      <c r="AN209" s="89"/>
      <c r="AO209" s="89"/>
      <c r="AP209" s="89"/>
      <c r="AQ209" s="89"/>
      <c r="AR209" s="89"/>
      <c r="AS209" s="89"/>
      <c r="AT209" s="89"/>
      <c r="AU209" s="89"/>
      <c r="AV209" s="89"/>
      <c r="AW209" s="89"/>
      <c r="AX209" s="89"/>
      <c r="AY209" s="89"/>
      <c r="AZ209" s="89"/>
      <c r="BA209" s="95"/>
    </row>
    <row r="210" spans="1:53" s="87" customFormat="1">
      <c r="A210" s="90" t="str">
        <f t="shared" si="28"/>
        <v/>
      </c>
      <c r="B210" s="89">
        <v>14</v>
      </c>
      <c r="C210" s="89" t="s">
        <v>210</v>
      </c>
      <c r="D210" s="89">
        <v>-4</v>
      </c>
      <c r="E210" s="89">
        <v>1</v>
      </c>
      <c r="F210" s="89" t="s">
        <v>210</v>
      </c>
      <c r="G210" s="89" t="s">
        <v>210</v>
      </c>
      <c r="H210" s="89">
        <v>-2</v>
      </c>
      <c r="I210" s="89">
        <v>4</v>
      </c>
      <c r="J210" s="89" t="s">
        <v>210</v>
      </c>
      <c r="K210" s="89" t="s">
        <v>210</v>
      </c>
      <c r="L210" s="89">
        <v>2</v>
      </c>
      <c r="M210" s="89">
        <v>-3</v>
      </c>
      <c r="N210" s="89" t="s">
        <v>210</v>
      </c>
      <c r="O210" s="89" t="s">
        <v>210</v>
      </c>
      <c r="P210" s="89">
        <v>-1</v>
      </c>
      <c r="Q210" s="89"/>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95"/>
    </row>
    <row r="211" spans="1:53" s="87" customFormat="1">
      <c r="A211" s="90" t="str">
        <f t="shared" si="28"/>
        <v/>
      </c>
      <c r="B211" s="89">
        <v>15</v>
      </c>
      <c r="C211" s="89" t="s">
        <v>210</v>
      </c>
      <c r="D211" s="89">
        <v>2</v>
      </c>
      <c r="E211" s="89">
        <v>-3</v>
      </c>
      <c r="F211" s="89" t="s">
        <v>210</v>
      </c>
      <c r="G211" s="89" t="s">
        <v>210</v>
      </c>
      <c r="H211" s="89">
        <v>1</v>
      </c>
      <c r="I211" s="89">
        <v>-4</v>
      </c>
      <c r="J211" s="89" t="s">
        <v>210</v>
      </c>
      <c r="K211" s="89" t="s">
        <v>210</v>
      </c>
      <c r="L211" s="89">
        <v>3</v>
      </c>
      <c r="M211" s="89">
        <v>-2</v>
      </c>
      <c r="N211" s="89" t="s">
        <v>210</v>
      </c>
      <c r="O211" s="89" t="s">
        <v>210</v>
      </c>
      <c r="P211" s="89">
        <v>4</v>
      </c>
      <c r="Q211" s="89"/>
      <c r="R211" s="89"/>
      <c r="S211" s="89"/>
      <c r="T211" s="89"/>
      <c r="U211" s="89"/>
      <c r="V211" s="89"/>
      <c r="W211" s="89"/>
      <c r="X211" s="89"/>
      <c r="Y211" s="89"/>
      <c r="Z211" s="89"/>
      <c r="AA211" s="89"/>
      <c r="AB211" s="89"/>
      <c r="AC211" s="89"/>
      <c r="AD211" s="89"/>
      <c r="AE211" s="89"/>
      <c r="AF211" s="89"/>
      <c r="AG211" s="89"/>
      <c r="AH211" s="89"/>
      <c r="AI211" s="89"/>
      <c r="AJ211" s="89"/>
      <c r="AK211" s="89"/>
      <c r="AL211" s="89"/>
      <c r="AM211" s="89"/>
      <c r="AN211" s="89"/>
      <c r="AO211" s="89"/>
      <c r="AP211" s="89"/>
      <c r="AQ211" s="89"/>
      <c r="AR211" s="89"/>
      <c r="AS211" s="89"/>
      <c r="AT211" s="89"/>
      <c r="AU211" s="89"/>
      <c r="AV211" s="89"/>
      <c r="AW211" s="89"/>
      <c r="AX211" s="89"/>
      <c r="AY211" s="89"/>
      <c r="AZ211" s="89"/>
      <c r="BA211" s="95"/>
    </row>
    <row r="212" spans="1:53" s="87" customFormat="1">
      <c r="A212" s="90" t="str">
        <f t="shared" si="28"/>
        <v/>
      </c>
      <c r="B212" s="89">
        <v>16</v>
      </c>
      <c r="C212" s="89" t="s">
        <v>210</v>
      </c>
      <c r="D212" s="89">
        <v>1</v>
      </c>
      <c r="E212" s="89">
        <v>4</v>
      </c>
      <c r="F212" s="89" t="s">
        <v>210</v>
      </c>
      <c r="G212" s="89" t="s">
        <v>210</v>
      </c>
      <c r="H212" s="89">
        <v>-3</v>
      </c>
      <c r="I212" s="89">
        <v>2</v>
      </c>
      <c r="J212" s="89" t="s">
        <v>210</v>
      </c>
      <c r="K212" s="89" t="s">
        <v>210</v>
      </c>
      <c r="L212" s="89">
        <v>-1</v>
      </c>
      <c r="M212" s="89">
        <v>3</v>
      </c>
      <c r="N212" s="89" t="s">
        <v>210</v>
      </c>
      <c r="O212" s="89" t="s">
        <v>210</v>
      </c>
      <c r="P212" s="89">
        <v>-4</v>
      </c>
      <c r="Q212" s="89"/>
      <c r="R212" s="89"/>
      <c r="S212" s="89"/>
      <c r="T212" s="89"/>
      <c r="U212" s="89"/>
      <c r="V212" s="89"/>
      <c r="W212" s="89"/>
      <c r="X212" s="89"/>
      <c r="Y212" s="89"/>
      <c r="Z212" s="89"/>
      <c r="AA212" s="89"/>
      <c r="AB212" s="89"/>
      <c r="AC212" s="89"/>
      <c r="AD212" s="89"/>
      <c r="AE212" s="89"/>
      <c r="AF212" s="89"/>
      <c r="AG212" s="89"/>
      <c r="AH212" s="89"/>
      <c r="AI212" s="89"/>
      <c r="AJ212" s="89"/>
      <c r="AK212" s="89"/>
      <c r="AL212" s="89"/>
      <c r="AM212" s="89"/>
      <c r="AN212" s="89"/>
      <c r="AO212" s="89"/>
      <c r="AP212" s="89"/>
      <c r="AQ212" s="89"/>
      <c r="AR212" s="89"/>
      <c r="AS212" s="89"/>
      <c r="AT212" s="89"/>
      <c r="AU212" s="89"/>
      <c r="AV212" s="89"/>
      <c r="AW212" s="89"/>
      <c r="AX212" s="89"/>
      <c r="AY212" s="89"/>
      <c r="AZ212" s="89"/>
      <c r="BA212" s="95"/>
    </row>
    <row r="213" spans="1:53" s="87" customFormat="1">
      <c r="A213" s="90" t="str">
        <f t="shared" si="28"/>
        <v/>
      </c>
      <c r="B213" s="89" t="s">
        <v>281</v>
      </c>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95"/>
    </row>
    <row r="214" spans="1:53" s="87" customFormat="1">
      <c r="A214" s="90">
        <f t="shared" si="28"/>
        <v>214</v>
      </c>
      <c r="B214" s="319" t="s">
        <v>1033</v>
      </c>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c r="AA214" s="89"/>
      <c r="AB214" s="89"/>
      <c r="AC214" s="89"/>
      <c r="AD214" s="89"/>
      <c r="AE214" s="89"/>
      <c r="AF214" s="89"/>
      <c r="AG214" s="89"/>
      <c r="AH214" s="89"/>
      <c r="AI214" s="89"/>
      <c r="AJ214" s="89"/>
      <c r="AK214" s="89"/>
      <c r="AL214" s="89"/>
      <c r="AM214" s="89"/>
      <c r="AN214" s="89"/>
      <c r="AO214" s="89"/>
      <c r="AP214" s="89"/>
      <c r="AQ214" s="89"/>
      <c r="AR214" s="89"/>
      <c r="AS214" s="89"/>
      <c r="AT214" s="89"/>
      <c r="AU214" s="89"/>
      <c r="AV214" s="89"/>
      <c r="AW214" s="89"/>
      <c r="AX214" s="89"/>
      <c r="AY214" s="89"/>
      <c r="AZ214" s="89"/>
      <c r="BA214" s="95"/>
    </row>
    <row r="215" spans="1:53" s="87" customFormat="1">
      <c r="A215" s="90" t="str">
        <f t="shared" si="28"/>
        <v/>
      </c>
      <c r="B215" s="89">
        <v>1</v>
      </c>
      <c r="C215" s="89">
        <v>3</v>
      </c>
      <c r="D215" s="89" t="s">
        <v>210</v>
      </c>
      <c r="E215" s="89" t="s">
        <v>210</v>
      </c>
      <c r="F215" s="89">
        <v>-2</v>
      </c>
      <c r="G215" s="89">
        <v>1</v>
      </c>
      <c r="H215" s="89" t="s">
        <v>210</v>
      </c>
      <c r="I215" s="89" t="s">
        <v>210</v>
      </c>
      <c r="J215" s="89">
        <v>-4</v>
      </c>
      <c r="K215" s="89">
        <v>2</v>
      </c>
      <c r="L215" s="89" t="s">
        <v>210</v>
      </c>
      <c r="M215" s="89"/>
      <c r="N215" s="89"/>
      <c r="O215" s="89"/>
      <c r="P215" s="89"/>
      <c r="Q215" s="89"/>
      <c r="R215" s="89"/>
      <c r="S215" s="89"/>
      <c r="T215" s="89"/>
      <c r="U215" s="89"/>
      <c r="V215" s="89"/>
      <c r="W215" s="89"/>
      <c r="X215" s="89"/>
      <c r="Y215" s="89"/>
      <c r="Z215" s="89"/>
      <c r="AA215" s="89"/>
      <c r="AB215" s="89"/>
      <c r="AC215" s="89"/>
      <c r="AD215" s="89"/>
      <c r="AE215" s="89"/>
      <c r="AF215" s="89"/>
      <c r="AG215" s="89"/>
      <c r="AH215" s="89"/>
      <c r="AI215" s="89"/>
      <c r="AJ215" s="89"/>
      <c r="AK215" s="89"/>
      <c r="AL215" s="89"/>
      <c r="AM215" s="89"/>
      <c r="AN215" s="89"/>
      <c r="AO215" s="89"/>
      <c r="AP215" s="89"/>
      <c r="AQ215" s="89"/>
      <c r="AR215" s="89"/>
      <c r="AS215" s="89"/>
      <c r="AT215" s="89"/>
      <c r="AU215" s="89"/>
      <c r="AV215" s="89"/>
      <c r="AW215" s="89"/>
      <c r="AX215" s="89"/>
      <c r="AY215" s="89"/>
      <c r="AZ215" s="89"/>
      <c r="BA215" s="95"/>
    </row>
    <row r="216" spans="1:53" s="87" customFormat="1">
      <c r="A216" s="90" t="str">
        <f t="shared" si="28"/>
        <v/>
      </c>
      <c r="B216" s="89">
        <v>2</v>
      </c>
      <c r="C216" s="89">
        <v>-4</v>
      </c>
      <c r="D216" s="89" t="s">
        <v>210</v>
      </c>
      <c r="E216" s="89" t="s">
        <v>210</v>
      </c>
      <c r="F216" s="89">
        <v>1</v>
      </c>
      <c r="G216" s="89">
        <v>2</v>
      </c>
      <c r="H216" s="89" t="s">
        <v>210</v>
      </c>
      <c r="I216" s="89" t="s">
        <v>210</v>
      </c>
      <c r="J216" s="89">
        <v>-3</v>
      </c>
      <c r="K216" s="89">
        <v>-2</v>
      </c>
      <c r="L216" s="89" t="s">
        <v>210</v>
      </c>
      <c r="M216" s="89"/>
      <c r="N216" s="89"/>
      <c r="O216" s="89"/>
      <c r="P216" s="89"/>
      <c r="Q216" s="89"/>
      <c r="R216" s="89"/>
      <c r="S216" s="89"/>
      <c r="T216" s="89"/>
      <c r="U216" s="89"/>
      <c r="V216" s="89"/>
      <c r="W216" s="89"/>
      <c r="X216" s="89"/>
      <c r="Y216" s="89"/>
      <c r="Z216" s="89"/>
      <c r="AA216" s="89"/>
      <c r="AB216" s="89"/>
      <c r="AC216" s="89"/>
      <c r="AD216" s="89"/>
      <c r="AE216" s="89"/>
      <c r="AF216" s="89"/>
      <c r="AG216" s="89"/>
      <c r="AH216" s="89"/>
      <c r="AI216" s="89"/>
      <c r="AJ216" s="89"/>
      <c r="AK216" s="89"/>
      <c r="AL216" s="89"/>
      <c r="AM216" s="89"/>
      <c r="AN216" s="89"/>
      <c r="AO216" s="89"/>
      <c r="AP216" s="89"/>
      <c r="AQ216" s="89"/>
      <c r="AR216" s="89"/>
      <c r="AS216" s="89"/>
      <c r="AT216" s="89"/>
      <c r="AU216" s="89"/>
      <c r="AV216" s="89"/>
      <c r="AW216" s="89"/>
      <c r="AX216" s="89"/>
      <c r="AY216" s="89"/>
      <c r="AZ216" s="89"/>
      <c r="BA216" s="95"/>
    </row>
    <row r="217" spans="1:53" s="87" customFormat="1">
      <c r="A217" s="90" t="str">
        <f t="shared" si="28"/>
        <v/>
      </c>
      <c r="B217" s="89">
        <v>3</v>
      </c>
      <c r="C217" s="89">
        <v>-1</v>
      </c>
      <c r="D217" s="89" t="s">
        <v>210</v>
      </c>
      <c r="E217" s="89" t="s">
        <v>210</v>
      </c>
      <c r="F217" s="89">
        <v>3</v>
      </c>
      <c r="G217" s="89">
        <v>-2</v>
      </c>
      <c r="H217" s="89" t="s">
        <v>210</v>
      </c>
      <c r="I217" s="89" t="s">
        <v>210</v>
      </c>
      <c r="J217" s="89">
        <v>4</v>
      </c>
      <c r="K217" s="89">
        <v>-3</v>
      </c>
      <c r="L217" s="89" t="s">
        <v>210</v>
      </c>
      <c r="M217" s="89"/>
      <c r="N217" s="89"/>
      <c r="O217" s="89"/>
      <c r="P217" s="89"/>
      <c r="Q217" s="89"/>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95"/>
    </row>
    <row r="218" spans="1:53" s="87" customFormat="1">
      <c r="A218" s="90" t="str">
        <f t="shared" si="28"/>
        <v/>
      </c>
      <c r="B218" s="89">
        <v>4</v>
      </c>
      <c r="C218" s="89">
        <v>-3</v>
      </c>
      <c r="D218" s="89" t="s">
        <v>210</v>
      </c>
      <c r="E218" s="89" t="s">
        <v>210</v>
      </c>
      <c r="F218" s="89">
        <v>-1</v>
      </c>
      <c r="G218" s="89">
        <v>4</v>
      </c>
      <c r="H218" s="89" t="s">
        <v>210</v>
      </c>
      <c r="I218" s="89" t="s">
        <v>210</v>
      </c>
      <c r="J218" s="89">
        <v>-2</v>
      </c>
      <c r="K218" s="89">
        <v>3</v>
      </c>
      <c r="L218" s="89" t="s">
        <v>210</v>
      </c>
      <c r="M218" s="89"/>
      <c r="N218" s="89"/>
      <c r="O218" s="89"/>
      <c r="P218" s="89"/>
      <c r="Q218" s="89"/>
      <c r="R218" s="89"/>
      <c r="S218" s="89"/>
      <c r="T218" s="89"/>
      <c r="U218" s="89"/>
      <c r="V218" s="89"/>
      <c r="W218" s="89"/>
      <c r="X218" s="89"/>
      <c r="Y218" s="89"/>
      <c r="Z218" s="89"/>
      <c r="AA218" s="89"/>
      <c r="AB218" s="89"/>
      <c r="AC218" s="89"/>
      <c r="AD218" s="89"/>
      <c r="AE218" s="89"/>
      <c r="AF218" s="89"/>
      <c r="AG218" s="89"/>
      <c r="AH218" s="89"/>
      <c r="AI218" s="89"/>
      <c r="AJ218" s="89"/>
      <c r="AK218" s="89"/>
      <c r="AL218" s="89"/>
      <c r="AM218" s="89"/>
      <c r="AN218" s="89"/>
      <c r="AO218" s="89"/>
      <c r="AP218" s="89"/>
      <c r="AQ218" s="89"/>
      <c r="AR218" s="89"/>
      <c r="AS218" s="89"/>
      <c r="AT218" s="89"/>
      <c r="AU218" s="89"/>
      <c r="AV218" s="89"/>
      <c r="AW218" s="89"/>
      <c r="AX218" s="89"/>
      <c r="AY218" s="89"/>
      <c r="AZ218" s="89"/>
      <c r="BA218" s="95"/>
    </row>
    <row r="219" spans="1:53" s="87" customFormat="1">
      <c r="A219" s="90" t="str">
        <f t="shared" si="28"/>
        <v/>
      </c>
      <c r="B219" s="89">
        <v>5</v>
      </c>
      <c r="C219" s="89">
        <v>4</v>
      </c>
      <c r="D219" s="89" t="s">
        <v>210</v>
      </c>
      <c r="E219" s="89" t="s">
        <v>210</v>
      </c>
      <c r="F219" s="89">
        <v>-3</v>
      </c>
      <c r="G219" s="89">
        <v>-1</v>
      </c>
      <c r="H219" s="89" t="s">
        <v>210</v>
      </c>
      <c r="I219" s="89" t="s">
        <v>210</v>
      </c>
      <c r="J219" s="89">
        <v>2</v>
      </c>
      <c r="K219" s="89">
        <v>1</v>
      </c>
      <c r="L219" s="89" t="s">
        <v>210</v>
      </c>
      <c r="M219" s="89"/>
      <c r="N219" s="89"/>
      <c r="O219" s="89"/>
      <c r="P219" s="89"/>
      <c r="Q219" s="89"/>
      <c r="R219" s="89"/>
      <c r="S219" s="89"/>
      <c r="T219" s="89"/>
      <c r="U219" s="89"/>
      <c r="V219" s="89"/>
      <c r="W219" s="89"/>
      <c r="X219" s="89"/>
      <c r="Y219" s="89"/>
      <c r="Z219" s="89"/>
      <c r="AA219" s="89"/>
      <c r="AB219" s="89"/>
      <c r="AC219" s="89"/>
      <c r="AD219" s="89"/>
      <c r="AE219" s="89"/>
      <c r="AF219" s="89"/>
      <c r="AG219" s="89"/>
      <c r="AH219" s="89"/>
      <c r="AI219" s="89"/>
      <c r="AJ219" s="89"/>
      <c r="AK219" s="89"/>
      <c r="AL219" s="89"/>
      <c r="AM219" s="89"/>
      <c r="AN219" s="89"/>
      <c r="AO219" s="89"/>
      <c r="AP219" s="89"/>
      <c r="AQ219" s="89"/>
      <c r="AR219" s="89"/>
      <c r="AS219" s="89"/>
      <c r="AT219" s="89"/>
      <c r="AU219" s="89"/>
      <c r="AV219" s="89"/>
      <c r="AW219" s="89"/>
      <c r="AX219" s="89"/>
      <c r="AY219" s="89"/>
      <c r="AZ219" s="89"/>
      <c r="BA219" s="95"/>
    </row>
    <row r="220" spans="1:53" s="87" customFormat="1">
      <c r="A220" s="90" t="str">
        <f t="shared" si="28"/>
        <v/>
      </c>
      <c r="B220" s="99">
        <v>6</v>
      </c>
      <c r="C220" s="92">
        <v>1</v>
      </c>
      <c r="D220" s="92" t="s">
        <v>210</v>
      </c>
      <c r="E220" s="92" t="s">
        <v>210</v>
      </c>
      <c r="F220" s="92">
        <v>2</v>
      </c>
      <c r="G220" s="92">
        <v>-4</v>
      </c>
      <c r="H220" s="92" t="s">
        <v>210</v>
      </c>
      <c r="I220" s="92" t="s">
        <v>210</v>
      </c>
      <c r="J220" s="92">
        <v>3</v>
      </c>
      <c r="K220" s="92">
        <v>-1</v>
      </c>
      <c r="L220" s="92" t="s">
        <v>210</v>
      </c>
      <c r="M220" s="89"/>
      <c r="N220" s="89"/>
      <c r="O220" s="89"/>
      <c r="P220" s="89"/>
      <c r="Q220" s="89"/>
      <c r="R220" s="89"/>
      <c r="S220" s="89"/>
      <c r="T220" s="89"/>
      <c r="U220" s="89"/>
      <c r="V220" s="89"/>
      <c r="W220" s="89"/>
      <c r="X220" s="89"/>
      <c r="Y220" s="89"/>
      <c r="Z220" s="89"/>
      <c r="AA220" s="89"/>
      <c r="AB220" s="89"/>
      <c r="AC220" s="89"/>
      <c r="AD220" s="89"/>
      <c r="AE220" s="89"/>
      <c r="AF220" s="89"/>
      <c r="AG220" s="89"/>
      <c r="AH220" s="89"/>
      <c r="AI220" s="89"/>
      <c r="AJ220" s="89"/>
      <c r="AK220" s="89"/>
      <c r="AL220" s="89"/>
      <c r="AM220" s="89"/>
      <c r="AN220" s="89"/>
      <c r="AO220" s="89"/>
      <c r="AP220" s="89"/>
      <c r="AQ220" s="89"/>
      <c r="AR220" s="89"/>
      <c r="AS220" s="89"/>
      <c r="AT220" s="89"/>
      <c r="AU220" s="89"/>
      <c r="AV220" s="89"/>
      <c r="AW220" s="89"/>
      <c r="AX220" s="89"/>
      <c r="AY220" s="89"/>
      <c r="AZ220" s="89"/>
      <c r="BA220" s="95"/>
    </row>
    <row r="221" spans="1:53" s="87" customFormat="1">
      <c r="A221" s="90" t="str">
        <f t="shared" si="28"/>
        <v/>
      </c>
      <c r="B221" s="89">
        <v>7</v>
      </c>
      <c r="C221" s="89">
        <v>2</v>
      </c>
      <c r="D221" s="89" t="s">
        <v>210</v>
      </c>
      <c r="E221" s="89" t="s">
        <v>210</v>
      </c>
      <c r="F221" s="89">
        <v>-4</v>
      </c>
      <c r="G221" s="89" t="s">
        <v>210</v>
      </c>
      <c r="H221" s="89">
        <v>-1</v>
      </c>
      <c r="I221" s="89">
        <v>3</v>
      </c>
      <c r="J221" s="89" t="s">
        <v>210</v>
      </c>
      <c r="K221" s="89" t="s">
        <v>210</v>
      </c>
      <c r="L221" s="89">
        <v>-2</v>
      </c>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89"/>
      <c r="AN221" s="89"/>
      <c r="AO221" s="89"/>
      <c r="AP221" s="89"/>
      <c r="AQ221" s="89"/>
      <c r="AR221" s="89"/>
      <c r="AS221" s="89"/>
      <c r="AT221" s="89"/>
      <c r="AU221" s="89"/>
      <c r="AV221" s="89"/>
      <c r="AW221" s="89"/>
      <c r="AX221" s="89"/>
      <c r="AY221" s="89"/>
      <c r="AZ221" s="89"/>
      <c r="BA221" s="95"/>
    </row>
    <row r="222" spans="1:53" s="87" customFormat="1">
      <c r="A222" s="90" t="str">
        <f t="shared" si="28"/>
        <v/>
      </c>
      <c r="B222" s="89">
        <v>8</v>
      </c>
      <c r="C222" s="89" t="s">
        <v>210</v>
      </c>
      <c r="D222" s="89">
        <v>-4</v>
      </c>
      <c r="E222" s="89">
        <v>1</v>
      </c>
      <c r="F222" s="89" t="s">
        <v>210</v>
      </c>
      <c r="G222" s="89">
        <v>-3</v>
      </c>
      <c r="H222" s="89" t="s">
        <v>210</v>
      </c>
      <c r="I222" s="89" t="s">
        <v>210</v>
      </c>
      <c r="J222" s="89">
        <v>-1</v>
      </c>
      <c r="K222" s="89" t="s">
        <v>210</v>
      </c>
      <c r="L222" s="89">
        <v>2</v>
      </c>
      <c r="M222" s="89"/>
      <c r="N222" s="89"/>
      <c r="O222" s="89"/>
      <c r="P222" s="89"/>
      <c r="Q222" s="89"/>
      <c r="R222" s="89"/>
      <c r="S222" s="89"/>
      <c r="T222" s="89"/>
      <c r="U222" s="89"/>
      <c r="V222" s="89"/>
      <c r="W222" s="89"/>
      <c r="X222" s="89"/>
      <c r="Y222" s="89"/>
      <c r="Z222" s="89"/>
      <c r="AA222" s="89"/>
      <c r="AB222" s="89"/>
      <c r="AC222" s="89"/>
      <c r="AD222" s="89"/>
      <c r="AE222" s="89"/>
      <c r="AF222" s="89"/>
      <c r="AG222" s="89"/>
      <c r="AH222" s="89"/>
      <c r="AI222" s="89"/>
      <c r="AJ222" s="89"/>
      <c r="AK222" s="89"/>
      <c r="AL222" s="89"/>
      <c r="AM222" s="89"/>
      <c r="AN222" s="89"/>
      <c r="AO222" s="89"/>
      <c r="AP222" s="89"/>
      <c r="AQ222" s="89"/>
      <c r="AR222" s="89"/>
      <c r="AS222" s="89"/>
      <c r="AT222" s="89"/>
      <c r="AU222" s="89"/>
      <c r="AV222" s="89"/>
      <c r="AW222" s="89"/>
      <c r="AX222" s="89"/>
      <c r="AY222" s="89"/>
      <c r="AZ222" s="89"/>
      <c r="BA222" s="95"/>
    </row>
    <row r="223" spans="1:53" s="87" customFormat="1">
      <c r="A223" s="90" t="str">
        <f t="shared" si="28"/>
        <v/>
      </c>
      <c r="B223" s="89">
        <v>9</v>
      </c>
      <c r="C223" s="89" t="s">
        <v>210</v>
      </c>
      <c r="D223" s="89">
        <v>-2</v>
      </c>
      <c r="E223" s="89" t="s">
        <v>210</v>
      </c>
      <c r="F223" s="89">
        <v>4</v>
      </c>
      <c r="G223" s="89">
        <v>3</v>
      </c>
      <c r="H223" s="89" t="s">
        <v>210</v>
      </c>
      <c r="I223" s="89">
        <v>-4</v>
      </c>
      <c r="J223" s="89" t="s">
        <v>210</v>
      </c>
      <c r="K223" s="89" t="s">
        <v>210</v>
      </c>
      <c r="L223" s="89">
        <v>-1</v>
      </c>
      <c r="M223" s="89"/>
      <c r="N223" s="89"/>
      <c r="O223" s="89"/>
      <c r="P223" s="89"/>
      <c r="Q223" s="89"/>
      <c r="R223" s="89"/>
      <c r="S223" s="89"/>
      <c r="T223" s="89"/>
      <c r="U223" s="89"/>
      <c r="V223" s="89"/>
      <c r="W223" s="89"/>
      <c r="X223" s="89"/>
      <c r="Y223" s="89"/>
      <c r="Z223" s="89"/>
      <c r="AA223" s="89"/>
      <c r="AB223" s="89"/>
      <c r="AC223" s="89"/>
      <c r="AD223" s="89"/>
      <c r="AE223" s="89"/>
      <c r="AF223" s="89"/>
      <c r="AG223" s="89"/>
      <c r="AH223" s="89"/>
      <c r="AI223" s="89"/>
      <c r="AJ223" s="89"/>
      <c r="AK223" s="89"/>
      <c r="AL223" s="89"/>
      <c r="AM223" s="89"/>
      <c r="AN223" s="89"/>
      <c r="AO223" s="89"/>
      <c r="AP223" s="89"/>
      <c r="AQ223" s="89"/>
      <c r="AR223" s="89"/>
      <c r="AS223" s="89"/>
      <c r="AT223" s="89"/>
      <c r="AU223" s="89"/>
      <c r="AV223" s="89"/>
      <c r="AW223" s="89"/>
      <c r="AX223" s="89"/>
      <c r="AY223" s="89"/>
      <c r="AZ223" s="89"/>
      <c r="BA223" s="95"/>
    </row>
    <row r="224" spans="1:53" s="87" customFormat="1">
      <c r="A224" s="90" t="str">
        <f t="shared" si="28"/>
        <v/>
      </c>
      <c r="B224" s="89">
        <v>10</v>
      </c>
      <c r="C224" s="89" t="s">
        <v>210</v>
      </c>
      <c r="D224" s="89">
        <v>4</v>
      </c>
      <c r="E224" s="89">
        <v>3</v>
      </c>
      <c r="F224" s="89" t="s">
        <v>210</v>
      </c>
      <c r="G224" s="89" t="s">
        <v>210</v>
      </c>
      <c r="H224" s="89">
        <v>-2</v>
      </c>
      <c r="I224" s="89">
        <v>-3</v>
      </c>
      <c r="J224" s="89" t="s">
        <v>210</v>
      </c>
      <c r="K224" s="89" t="s">
        <v>210</v>
      </c>
      <c r="L224" s="89">
        <v>1</v>
      </c>
      <c r="M224" s="89"/>
      <c r="N224" s="89"/>
      <c r="O224" s="89"/>
      <c r="P224" s="89"/>
      <c r="Q224" s="89"/>
      <c r="R224" s="89"/>
      <c r="S224" s="89"/>
      <c r="T224" s="89"/>
      <c r="U224" s="89"/>
      <c r="V224" s="89"/>
      <c r="W224" s="89"/>
      <c r="X224" s="89"/>
      <c r="Y224" s="89"/>
      <c r="Z224" s="89"/>
      <c r="AA224" s="89"/>
      <c r="AB224" s="89"/>
      <c r="AC224" s="89"/>
      <c r="AD224" s="89"/>
      <c r="AE224" s="89"/>
      <c r="AF224" s="89"/>
      <c r="AG224" s="89"/>
      <c r="AH224" s="89"/>
      <c r="AI224" s="89"/>
      <c r="AJ224" s="89"/>
      <c r="AK224" s="89"/>
      <c r="AL224" s="89"/>
      <c r="AM224" s="89"/>
      <c r="AN224" s="89"/>
      <c r="AO224" s="89"/>
      <c r="AP224" s="89"/>
      <c r="AQ224" s="89"/>
      <c r="AR224" s="89"/>
      <c r="AS224" s="89"/>
      <c r="AT224" s="89"/>
      <c r="AU224" s="89"/>
      <c r="AV224" s="89"/>
      <c r="AW224" s="89"/>
      <c r="AX224" s="89"/>
      <c r="AY224" s="89"/>
      <c r="AZ224" s="89"/>
      <c r="BA224" s="95"/>
    </row>
    <row r="225" spans="1:53" s="87" customFormat="1">
      <c r="A225" s="90" t="str">
        <f t="shared" si="28"/>
        <v/>
      </c>
      <c r="B225" s="99">
        <v>11</v>
      </c>
      <c r="C225" s="92">
        <v>-2</v>
      </c>
      <c r="D225" s="92" t="s">
        <v>210</v>
      </c>
      <c r="E225" s="92">
        <v>-1</v>
      </c>
      <c r="F225" s="92" t="s">
        <v>210</v>
      </c>
      <c r="G225" s="92" t="s">
        <v>210</v>
      </c>
      <c r="H225" s="92">
        <v>2</v>
      </c>
      <c r="I225" s="92">
        <v>4</v>
      </c>
      <c r="J225" s="92" t="s">
        <v>210</v>
      </c>
      <c r="K225" s="92" t="s">
        <v>210</v>
      </c>
      <c r="L225" s="92">
        <v>-3</v>
      </c>
      <c r="M225" s="89"/>
      <c r="N225" s="89"/>
      <c r="O225" s="89"/>
      <c r="P225" s="89"/>
      <c r="Q225" s="89"/>
      <c r="R225" s="89"/>
      <c r="S225" s="89"/>
      <c r="T225" s="89"/>
      <c r="U225" s="89"/>
      <c r="V225" s="89"/>
      <c r="W225" s="89"/>
      <c r="X225" s="89"/>
      <c r="Y225" s="89"/>
      <c r="Z225" s="89"/>
      <c r="AA225" s="89"/>
      <c r="AB225" s="89"/>
      <c r="AC225" s="89"/>
      <c r="AD225" s="89"/>
      <c r="AE225" s="89"/>
      <c r="AF225" s="89"/>
      <c r="AG225" s="89"/>
      <c r="AH225" s="89"/>
      <c r="AI225" s="89"/>
      <c r="AJ225" s="89"/>
      <c r="AK225" s="89"/>
      <c r="AL225" s="89"/>
      <c r="AM225" s="89"/>
      <c r="AN225" s="89"/>
      <c r="AO225" s="89"/>
      <c r="AP225" s="89"/>
      <c r="AQ225" s="89"/>
      <c r="AR225" s="89"/>
      <c r="AS225" s="89"/>
      <c r="AT225" s="89"/>
      <c r="AU225" s="89"/>
      <c r="AV225" s="89"/>
      <c r="AW225" s="89"/>
      <c r="AX225" s="89"/>
      <c r="AY225" s="89"/>
      <c r="AZ225" s="89"/>
      <c r="BA225" s="95"/>
    </row>
    <row r="226" spans="1:53" s="87" customFormat="1">
      <c r="A226" s="90" t="str">
        <f t="shared" si="28"/>
        <v/>
      </c>
      <c r="B226" s="89">
        <v>12</v>
      </c>
      <c r="C226" s="89" t="s">
        <v>210</v>
      </c>
      <c r="D226" s="89">
        <v>3</v>
      </c>
      <c r="E226" s="89">
        <v>-4</v>
      </c>
      <c r="F226" s="89" t="s">
        <v>210</v>
      </c>
      <c r="G226" s="89" t="s">
        <v>210</v>
      </c>
      <c r="H226" s="89">
        <v>1</v>
      </c>
      <c r="I226" s="89">
        <v>-2</v>
      </c>
      <c r="J226" s="89" t="s">
        <v>210</v>
      </c>
      <c r="K226" s="89">
        <v>4</v>
      </c>
      <c r="L226" s="89" t="s">
        <v>210</v>
      </c>
      <c r="M226" s="89"/>
      <c r="N226" s="89"/>
      <c r="O226" s="89"/>
      <c r="P226" s="89"/>
      <c r="Q226" s="89"/>
      <c r="R226" s="89"/>
      <c r="S226" s="89"/>
      <c r="T226" s="89"/>
      <c r="U226" s="89"/>
      <c r="V226" s="89"/>
      <c r="W226" s="89"/>
      <c r="X226" s="89"/>
      <c r="Y226" s="89"/>
      <c r="Z226" s="89"/>
      <c r="AA226" s="89"/>
      <c r="AB226" s="89"/>
      <c r="AC226" s="89"/>
      <c r="AD226" s="89"/>
      <c r="AE226" s="89"/>
      <c r="AF226" s="89"/>
      <c r="AG226" s="89"/>
      <c r="AH226" s="89"/>
      <c r="AI226" s="89"/>
      <c r="AJ226" s="89"/>
      <c r="AK226" s="89"/>
      <c r="AL226" s="89"/>
      <c r="AM226" s="89"/>
      <c r="AN226" s="89"/>
      <c r="AO226" s="89"/>
      <c r="AP226" s="89"/>
      <c r="AQ226" s="89"/>
      <c r="AR226" s="89"/>
      <c r="AS226" s="89"/>
      <c r="AT226" s="89"/>
      <c r="AU226" s="89"/>
      <c r="AV226" s="89"/>
      <c r="AW226" s="89"/>
      <c r="AX226" s="89"/>
      <c r="AY226" s="89"/>
      <c r="AZ226" s="89"/>
      <c r="BA226" s="95"/>
    </row>
    <row r="227" spans="1:53" s="87" customFormat="1">
      <c r="A227" s="90" t="str">
        <f t="shared" si="28"/>
        <v/>
      </c>
      <c r="B227" s="89">
        <v>13</v>
      </c>
      <c r="C227" s="89" t="s">
        <v>210</v>
      </c>
      <c r="D227" s="89">
        <v>-1</v>
      </c>
      <c r="E227" s="89">
        <v>-2</v>
      </c>
      <c r="F227" s="89" t="s">
        <v>210</v>
      </c>
      <c r="G227" s="89" t="s">
        <v>210</v>
      </c>
      <c r="H227" s="89">
        <v>3</v>
      </c>
      <c r="I227" s="89" t="s">
        <v>210</v>
      </c>
      <c r="J227" s="89">
        <v>1</v>
      </c>
      <c r="K227" s="89">
        <v>-4</v>
      </c>
      <c r="L227" s="89" t="s">
        <v>210</v>
      </c>
      <c r="M227" s="89"/>
      <c r="N227" s="89"/>
      <c r="O227" s="89"/>
      <c r="P227" s="89"/>
      <c r="Q227" s="89"/>
      <c r="R227" s="89"/>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95"/>
    </row>
    <row r="228" spans="1:53" s="87" customFormat="1">
      <c r="A228" s="90" t="str">
        <f t="shared" si="28"/>
        <v/>
      </c>
      <c r="B228" s="89">
        <v>14</v>
      </c>
      <c r="C228" s="89" t="s">
        <v>210</v>
      </c>
      <c r="D228" s="89">
        <v>2</v>
      </c>
      <c r="E228" s="89">
        <v>4</v>
      </c>
      <c r="F228" s="89" t="s">
        <v>210</v>
      </c>
      <c r="G228" s="89" t="s">
        <v>210</v>
      </c>
      <c r="H228" s="89">
        <v>-3</v>
      </c>
      <c r="I228" s="89">
        <v>1</v>
      </c>
      <c r="J228" s="89" t="s">
        <v>210</v>
      </c>
      <c r="K228" s="89" t="s">
        <v>210</v>
      </c>
      <c r="L228" s="89">
        <v>-4</v>
      </c>
      <c r="M228" s="89"/>
      <c r="N228" s="89"/>
      <c r="O228" s="89"/>
      <c r="P228" s="89"/>
      <c r="Q228" s="89"/>
      <c r="R228" s="89"/>
      <c r="S228" s="89"/>
      <c r="T228" s="89"/>
      <c r="U228" s="89"/>
      <c r="V228" s="89"/>
      <c r="W228" s="89"/>
      <c r="X228" s="89"/>
      <c r="Y228" s="89"/>
      <c r="Z228" s="89"/>
      <c r="AA228" s="89"/>
      <c r="AB228" s="89"/>
      <c r="AC228" s="89"/>
      <c r="AD228" s="89"/>
      <c r="AE228" s="89"/>
      <c r="AF228" s="89"/>
      <c r="AG228" s="89"/>
      <c r="AH228" s="89"/>
      <c r="AI228" s="89"/>
      <c r="AJ228" s="89"/>
      <c r="AK228" s="89"/>
      <c r="AL228" s="89"/>
      <c r="AM228" s="89"/>
      <c r="AN228" s="89"/>
      <c r="AO228" s="89"/>
      <c r="AP228" s="89"/>
      <c r="AQ228" s="89"/>
      <c r="AR228" s="89"/>
      <c r="AS228" s="89"/>
      <c r="AT228" s="89"/>
      <c r="AU228" s="89"/>
      <c r="AV228" s="89"/>
      <c r="AW228" s="89"/>
      <c r="AX228" s="89"/>
      <c r="AY228" s="89"/>
      <c r="AZ228" s="89"/>
      <c r="BA228" s="95"/>
    </row>
    <row r="229" spans="1:53" s="87" customFormat="1">
      <c r="A229" s="90" t="str">
        <f t="shared" si="28"/>
        <v/>
      </c>
      <c r="B229" s="89">
        <v>15</v>
      </c>
      <c r="C229" s="89" t="s">
        <v>210</v>
      </c>
      <c r="D229" s="89">
        <v>1</v>
      </c>
      <c r="E229" s="89">
        <v>-3</v>
      </c>
      <c r="F229" s="89" t="s">
        <v>210</v>
      </c>
      <c r="G229" s="89" t="s">
        <v>210</v>
      </c>
      <c r="H229" s="89">
        <v>-4</v>
      </c>
      <c r="I229" s="89">
        <v>2</v>
      </c>
      <c r="J229" s="89" t="s">
        <v>210</v>
      </c>
      <c r="K229" s="89" t="s">
        <v>210</v>
      </c>
      <c r="L229" s="89">
        <v>4</v>
      </c>
      <c r="M229" s="89"/>
      <c r="N229" s="89"/>
      <c r="O229" s="89"/>
      <c r="P229" s="89"/>
      <c r="Q229" s="89"/>
      <c r="R229" s="89"/>
      <c r="S229" s="89"/>
      <c r="T229" s="89"/>
      <c r="U229" s="89"/>
      <c r="V229" s="89"/>
      <c r="W229" s="89"/>
      <c r="X229" s="89"/>
      <c r="Y229" s="89"/>
      <c r="Z229" s="89"/>
      <c r="AA229" s="89"/>
      <c r="AB229" s="89"/>
      <c r="AC229" s="89"/>
      <c r="AD229" s="89"/>
      <c r="AE229" s="89"/>
      <c r="AF229" s="89"/>
      <c r="AG229" s="89"/>
      <c r="AH229" s="89"/>
      <c r="AI229" s="89"/>
      <c r="AJ229" s="89"/>
      <c r="AK229" s="89"/>
      <c r="AL229" s="89"/>
      <c r="AM229" s="89"/>
      <c r="AN229" s="89"/>
      <c r="AO229" s="89"/>
      <c r="AP229" s="89"/>
      <c r="AQ229" s="89"/>
      <c r="AR229" s="89"/>
      <c r="AS229" s="89"/>
      <c r="AT229" s="89"/>
      <c r="AU229" s="89"/>
      <c r="AV229" s="89"/>
      <c r="AW229" s="89"/>
      <c r="AX229" s="89"/>
      <c r="AY229" s="89"/>
      <c r="AZ229" s="89"/>
      <c r="BA229" s="95"/>
    </row>
    <row r="230" spans="1:53" s="87" customFormat="1">
      <c r="A230" s="90" t="str">
        <f t="shared" si="28"/>
        <v/>
      </c>
      <c r="B230" s="89">
        <v>16</v>
      </c>
      <c r="C230" s="89" t="s">
        <v>210</v>
      </c>
      <c r="D230" s="89">
        <v>-3</v>
      </c>
      <c r="E230" s="89">
        <v>2</v>
      </c>
      <c r="F230" s="89" t="s">
        <v>210</v>
      </c>
      <c r="G230" s="89" t="s">
        <v>210</v>
      </c>
      <c r="H230" s="89">
        <v>4</v>
      </c>
      <c r="I230" s="89">
        <v>-1</v>
      </c>
      <c r="J230" s="89" t="s">
        <v>210</v>
      </c>
      <c r="K230" s="89" t="s">
        <v>210</v>
      </c>
      <c r="L230" s="89">
        <v>3</v>
      </c>
      <c r="M230" s="89"/>
      <c r="N230" s="89"/>
      <c r="O230" s="89"/>
      <c r="P230" s="89"/>
      <c r="Q230" s="89"/>
      <c r="R230" s="89"/>
      <c r="S230" s="89"/>
      <c r="T230" s="89"/>
      <c r="U230" s="89"/>
      <c r="V230" s="89"/>
      <c r="W230" s="89"/>
      <c r="X230" s="89"/>
      <c r="Y230" s="89"/>
      <c r="Z230" s="89"/>
      <c r="AA230" s="89"/>
      <c r="AB230" s="89"/>
      <c r="AC230" s="89"/>
      <c r="AD230" s="89"/>
      <c r="AE230" s="89"/>
      <c r="AF230" s="89"/>
      <c r="AG230" s="89"/>
      <c r="AH230" s="89"/>
      <c r="AI230" s="89"/>
      <c r="AJ230" s="89"/>
      <c r="AK230" s="89"/>
      <c r="AL230" s="89"/>
      <c r="AM230" s="89"/>
      <c r="AN230" s="89"/>
      <c r="AO230" s="89"/>
      <c r="AP230" s="89"/>
      <c r="AQ230" s="89"/>
      <c r="AR230" s="89"/>
      <c r="AS230" s="89"/>
      <c r="AT230" s="89"/>
      <c r="AU230" s="89"/>
      <c r="AV230" s="89"/>
      <c r="AW230" s="89"/>
      <c r="AX230" s="89"/>
      <c r="AY230" s="89"/>
      <c r="AZ230" s="89"/>
      <c r="BA230" s="95"/>
    </row>
    <row r="231" spans="1:53" s="87" customFormat="1">
      <c r="A231" s="90" t="str">
        <f t="shared" si="28"/>
        <v/>
      </c>
      <c r="B231" s="89" t="s">
        <v>282</v>
      </c>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C231" s="89"/>
      <c r="AD231" s="89"/>
      <c r="AE231" s="89"/>
      <c r="AF231" s="89"/>
      <c r="AG231" s="89"/>
      <c r="AH231" s="89"/>
      <c r="AI231" s="89"/>
      <c r="AJ231" s="89"/>
      <c r="AK231" s="89"/>
      <c r="AL231" s="89"/>
      <c r="AM231" s="89"/>
      <c r="AN231" s="89"/>
      <c r="AO231" s="89"/>
      <c r="AP231" s="89"/>
      <c r="AQ231" s="89"/>
      <c r="AR231" s="89"/>
      <c r="AS231" s="89"/>
      <c r="AT231" s="89"/>
      <c r="AU231" s="89"/>
      <c r="AV231" s="89"/>
      <c r="AW231" s="89"/>
      <c r="AX231" s="89"/>
      <c r="AY231" s="89"/>
      <c r="AZ231" s="89"/>
      <c r="BA231" s="95"/>
    </row>
    <row r="232" spans="1:53" s="87" customFormat="1">
      <c r="A232" s="90">
        <f t="shared" si="28"/>
        <v>232</v>
      </c>
      <c r="B232" s="89" t="s">
        <v>283</v>
      </c>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c r="AA232" s="89"/>
      <c r="AB232" s="89"/>
      <c r="AC232" s="89"/>
      <c r="AD232" s="89"/>
      <c r="AE232" s="89"/>
      <c r="AF232" s="89"/>
      <c r="AG232" s="89"/>
      <c r="AH232" s="89"/>
      <c r="AI232" s="89"/>
      <c r="AJ232" s="89"/>
      <c r="AK232" s="89"/>
      <c r="AL232" s="89"/>
      <c r="AM232" s="89"/>
      <c r="AN232" s="89"/>
      <c r="AO232" s="89"/>
      <c r="AP232" s="89"/>
      <c r="AQ232" s="89"/>
      <c r="AR232" s="89"/>
      <c r="AS232" s="89"/>
      <c r="AT232" s="89"/>
      <c r="AU232" s="89"/>
      <c r="AV232" s="89"/>
      <c r="AW232" s="89"/>
      <c r="AX232" s="89"/>
      <c r="AY232" s="89"/>
      <c r="AZ232" s="89"/>
      <c r="BA232" s="95"/>
    </row>
    <row r="233" spans="1:53" s="87" customFormat="1">
      <c r="A233" s="90" t="str">
        <f t="shared" si="28"/>
        <v/>
      </c>
      <c r="B233" s="89">
        <v>1</v>
      </c>
      <c r="C233" s="89">
        <v>-2</v>
      </c>
      <c r="D233" s="89" t="s">
        <v>210</v>
      </c>
      <c r="E233" s="89" t="s">
        <v>210</v>
      </c>
      <c r="F233" s="89">
        <v>-1</v>
      </c>
      <c r="G233" s="89">
        <v>2</v>
      </c>
      <c r="H233" s="89" t="s">
        <v>210</v>
      </c>
      <c r="I233" s="89"/>
      <c r="J233" s="89"/>
      <c r="K233" s="89"/>
      <c r="L233" s="89"/>
      <c r="M233" s="89"/>
      <c r="N233" s="89"/>
      <c r="O233" s="89"/>
      <c r="P233" s="89"/>
      <c r="Q233" s="89"/>
      <c r="R233" s="89"/>
      <c r="S233" s="89"/>
      <c r="T233" s="89"/>
      <c r="U233" s="89"/>
      <c r="V233" s="89"/>
      <c r="W233" s="89"/>
      <c r="X233" s="89"/>
      <c r="Y233" s="89"/>
      <c r="Z233" s="89"/>
      <c r="AA233" s="89"/>
      <c r="AB233" s="89"/>
      <c r="AC233" s="89"/>
      <c r="AD233" s="89"/>
      <c r="AE233" s="89"/>
      <c r="AF233" s="89"/>
      <c r="AG233" s="89"/>
      <c r="AH233" s="89"/>
      <c r="AI233" s="89"/>
      <c r="AJ233" s="89"/>
      <c r="AK233" s="89"/>
      <c r="AL233" s="89"/>
      <c r="AM233" s="89"/>
      <c r="AN233" s="89"/>
      <c r="AO233" s="89"/>
      <c r="AP233" s="89"/>
      <c r="AQ233" s="89"/>
      <c r="AR233" s="89"/>
      <c r="AS233" s="89"/>
      <c r="AT233" s="89"/>
      <c r="AU233" s="89"/>
      <c r="AV233" s="89"/>
      <c r="AW233" s="89"/>
      <c r="AX233" s="89"/>
      <c r="AY233" s="89"/>
      <c r="AZ233" s="89"/>
      <c r="BA233" s="95"/>
    </row>
    <row r="234" spans="1:53" s="87" customFormat="1">
      <c r="A234" s="90" t="str">
        <f t="shared" si="28"/>
        <v/>
      </c>
      <c r="B234" s="89">
        <v>2</v>
      </c>
      <c r="C234" s="89">
        <v>3</v>
      </c>
      <c r="D234" s="89" t="s">
        <v>210</v>
      </c>
      <c r="E234" s="89" t="s">
        <v>210</v>
      </c>
      <c r="F234" s="89">
        <v>-4</v>
      </c>
      <c r="G234" s="89">
        <v>-2</v>
      </c>
      <c r="H234" s="89" t="s">
        <v>210</v>
      </c>
      <c r="I234" s="89"/>
      <c r="J234" s="89"/>
      <c r="K234" s="89"/>
      <c r="L234" s="89"/>
      <c r="M234" s="89"/>
      <c r="N234" s="89"/>
      <c r="O234" s="89"/>
      <c r="P234" s="89"/>
      <c r="Q234" s="89"/>
      <c r="R234" s="89"/>
      <c r="S234" s="89"/>
      <c r="T234" s="89"/>
      <c r="U234" s="89"/>
      <c r="V234" s="89"/>
      <c r="W234" s="89"/>
      <c r="X234" s="89"/>
      <c r="Y234" s="89"/>
      <c r="Z234" s="89"/>
      <c r="AA234" s="89"/>
      <c r="AB234" s="89"/>
      <c r="AC234" s="89"/>
      <c r="AD234" s="89"/>
      <c r="AE234" s="89"/>
      <c r="AF234" s="89"/>
      <c r="AG234" s="89"/>
      <c r="AH234" s="89"/>
      <c r="AI234" s="89"/>
      <c r="AJ234" s="89"/>
      <c r="AK234" s="89"/>
      <c r="AL234" s="89"/>
      <c r="AM234" s="89"/>
      <c r="AN234" s="89"/>
      <c r="AO234" s="89"/>
      <c r="AP234" s="89"/>
      <c r="AQ234" s="89"/>
      <c r="AR234" s="89"/>
      <c r="AS234" s="89"/>
      <c r="AT234" s="89"/>
      <c r="AU234" s="89"/>
      <c r="AV234" s="89"/>
      <c r="AW234" s="89"/>
      <c r="AX234" s="89"/>
      <c r="AY234" s="89"/>
      <c r="AZ234" s="89"/>
      <c r="BA234" s="95"/>
    </row>
    <row r="235" spans="1:53" s="87" customFormat="1">
      <c r="A235" s="90" t="str">
        <f t="shared" si="28"/>
        <v/>
      </c>
      <c r="B235" s="89">
        <v>3</v>
      </c>
      <c r="C235" s="89">
        <v>-3</v>
      </c>
      <c r="D235" s="89" t="s">
        <v>210</v>
      </c>
      <c r="E235" s="89" t="s">
        <v>210</v>
      </c>
      <c r="F235" s="89">
        <v>1</v>
      </c>
      <c r="G235" s="89">
        <v>3</v>
      </c>
      <c r="H235" s="89" t="s">
        <v>210</v>
      </c>
      <c r="I235" s="89"/>
      <c r="J235" s="89"/>
      <c r="K235" s="89"/>
      <c r="L235" s="89"/>
      <c r="M235" s="89"/>
      <c r="N235" s="89"/>
      <c r="O235" s="89"/>
      <c r="P235" s="89"/>
      <c r="Q235" s="89"/>
      <c r="R235" s="89"/>
      <c r="S235" s="89"/>
      <c r="T235" s="89"/>
      <c r="U235" s="89"/>
      <c r="V235" s="89"/>
      <c r="W235" s="89"/>
      <c r="X235" s="89"/>
      <c r="Y235" s="89"/>
      <c r="Z235" s="89"/>
      <c r="AA235" s="89"/>
      <c r="AB235" s="89"/>
      <c r="AC235" s="89"/>
      <c r="AD235" s="89"/>
      <c r="AE235" s="89"/>
      <c r="AF235" s="89"/>
      <c r="AG235" s="89"/>
      <c r="AH235" s="89"/>
      <c r="AI235" s="89"/>
      <c r="AJ235" s="89"/>
      <c r="AK235" s="89"/>
      <c r="AL235" s="89"/>
      <c r="AM235" s="89"/>
      <c r="AN235" s="89"/>
      <c r="AO235" s="89"/>
      <c r="AP235" s="89"/>
      <c r="AQ235" s="89"/>
      <c r="AR235" s="89"/>
      <c r="AS235" s="89"/>
      <c r="AT235" s="89"/>
      <c r="AU235" s="89"/>
      <c r="AV235" s="89"/>
      <c r="AW235" s="89"/>
      <c r="AX235" s="89"/>
      <c r="AY235" s="89"/>
      <c r="AZ235" s="89"/>
      <c r="BA235" s="95"/>
    </row>
    <row r="236" spans="1:53" s="87" customFormat="1">
      <c r="A236" s="90" t="str">
        <f t="shared" si="28"/>
        <v/>
      </c>
      <c r="B236" s="99">
        <v>4</v>
      </c>
      <c r="C236" s="92">
        <v>2</v>
      </c>
      <c r="D236" s="92" t="s">
        <v>210</v>
      </c>
      <c r="E236" s="92" t="s">
        <v>210</v>
      </c>
      <c r="F236" s="92">
        <v>4</v>
      </c>
      <c r="G236" s="92">
        <v>-3</v>
      </c>
      <c r="H236" s="92" t="s">
        <v>210</v>
      </c>
      <c r="I236" s="89"/>
      <c r="J236" s="89"/>
      <c r="K236" s="89"/>
      <c r="L236" s="89"/>
      <c r="M236" s="89"/>
      <c r="N236" s="89"/>
      <c r="O236" s="89"/>
      <c r="P236" s="89"/>
      <c r="Q236" s="89"/>
      <c r="R236" s="89"/>
      <c r="S236" s="89"/>
      <c r="T236" s="89"/>
      <c r="U236" s="89"/>
      <c r="V236" s="89"/>
      <c r="W236" s="89"/>
      <c r="X236" s="89"/>
      <c r="Y236" s="89"/>
      <c r="Z236" s="89"/>
      <c r="AA236" s="89"/>
      <c r="AB236" s="89"/>
      <c r="AC236" s="89"/>
      <c r="AD236" s="89"/>
      <c r="AE236" s="89"/>
      <c r="AF236" s="89"/>
      <c r="AG236" s="89"/>
      <c r="AH236" s="89"/>
      <c r="AI236" s="89"/>
      <c r="AJ236" s="89"/>
      <c r="AK236" s="89"/>
      <c r="AL236" s="89"/>
      <c r="AM236" s="89"/>
      <c r="AN236" s="89"/>
      <c r="AO236" s="89"/>
      <c r="AP236" s="89"/>
      <c r="AQ236" s="89"/>
      <c r="AR236" s="89"/>
      <c r="AS236" s="89"/>
      <c r="AT236" s="89"/>
      <c r="AU236" s="89"/>
      <c r="AV236" s="89"/>
      <c r="AW236" s="89"/>
      <c r="AX236" s="89"/>
      <c r="AY236" s="89"/>
      <c r="AZ236" s="89"/>
      <c r="BA236" s="95"/>
    </row>
    <row r="237" spans="1:53" s="87" customFormat="1">
      <c r="A237" s="90" t="str">
        <f t="shared" si="28"/>
        <v/>
      </c>
      <c r="B237" s="89">
        <v>5</v>
      </c>
      <c r="C237" s="89">
        <v>-1</v>
      </c>
      <c r="D237" s="89" t="s">
        <v>210</v>
      </c>
      <c r="E237" s="89" t="s">
        <v>210</v>
      </c>
      <c r="F237" s="89">
        <v>-2</v>
      </c>
      <c r="G237" s="89">
        <v>1</v>
      </c>
      <c r="H237" s="89" t="s">
        <v>210</v>
      </c>
      <c r="I237" s="89"/>
      <c r="J237" s="89"/>
      <c r="K237" s="89"/>
      <c r="L237" s="89"/>
      <c r="M237" s="89"/>
      <c r="N237" s="89"/>
      <c r="O237" s="89"/>
      <c r="P237" s="89"/>
      <c r="Q237" s="89"/>
      <c r="R237" s="89"/>
      <c r="S237" s="89"/>
      <c r="T237" s="89"/>
      <c r="U237" s="89"/>
      <c r="V237" s="89"/>
      <c r="W237" s="89"/>
      <c r="X237" s="89"/>
      <c r="Y237" s="89"/>
      <c r="Z237" s="89"/>
      <c r="AA237" s="89"/>
      <c r="AB237" s="89"/>
      <c r="AC237" s="89"/>
      <c r="AD237" s="89"/>
      <c r="AE237" s="89"/>
      <c r="AF237" s="89"/>
      <c r="AG237" s="89"/>
      <c r="AH237" s="89"/>
      <c r="AI237" s="89"/>
      <c r="AJ237" s="89"/>
      <c r="AK237" s="89"/>
      <c r="AL237" s="89"/>
      <c r="AM237" s="89"/>
      <c r="AN237" s="89"/>
      <c r="AO237" s="89"/>
      <c r="AP237" s="89"/>
      <c r="AQ237" s="89"/>
      <c r="AR237" s="89"/>
      <c r="AS237" s="89"/>
      <c r="AT237" s="89"/>
      <c r="AU237" s="89"/>
      <c r="AV237" s="89"/>
      <c r="AW237" s="89"/>
      <c r="AX237" s="89"/>
      <c r="AY237" s="89"/>
      <c r="AZ237" s="89"/>
      <c r="BA237" s="95"/>
    </row>
    <row r="238" spans="1:53" s="87" customFormat="1">
      <c r="A238" s="90" t="str">
        <f t="shared" si="28"/>
        <v/>
      </c>
      <c r="B238" s="89">
        <v>6</v>
      </c>
      <c r="C238" s="89">
        <v>4</v>
      </c>
      <c r="D238" s="89" t="s">
        <v>210</v>
      </c>
      <c r="E238" s="89" t="s">
        <v>210</v>
      </c>
      <c r="F238" s="89">
        <v>-3</v>
      </c>
      <c r="G238" s="89">
        <v>-1</v>
      </c>
      <c r="H238" s="89" t="s">
        <v>210</v>
      </c>
      <c r="I238" s="89"/>
      <c r="J238" s="89"/>
      <c r="K238" s="89"/>
      <c r="L238" s="89"/>
      <c r="M238" s="89"/>
      <c r="N238" s="89"/>
      <c r="O238" s="89"/>
      <c r="P238" s="89"/>
      <c r="Q238" s="89"/>
      <c r="R238" s="89"/>
      <c r="S238" s="89"/>
      <c r="T238" s="89"/>
      <c r="U238" s="89"/>
      <c r="V238" s="89"/>
      <c r="W238" s="89"/>
      <c r="X238" s="89"/>
      <c r="Y238" s="89"/>
      <c r="Z238" s="89"/>
      <c r="AA238" s="89"/>
      <c r="AB238" s="89"/>
      <c r="AC238" s="89"/>
      <c r="AD238" s="89"/>
      <c r="AE238" s="89"/>
      <c r="AF238" s="89"/>
      <c r="AG238" s="89"/>
      <c r="AH238" s="89"/>
      <c r="AI238" s="89"/>
      <c r="AJ238" s="89"/>
      <c r="AK238" s="89"/>
      <c r="AL238" s="89"/>
      <c r="AM238" s="89"/>
      <c r="AN238" s="89"/>
      <c r="AO238" s="89"/>
      <c r="AP238" s="89"/>
      <c r="AQ238" s="89"/>
      <c r="AR238" s="89"/>
      <c r="AS238" s="89"/>
      <c r="AT238" s="89"/>
      <c r="AU238" s="89"/>
      <c r="AV238" s="89"/>
      <c r="AW238" s="89"/>
      <c r="AX238" s="89"/>
      <c r="AY238" s="89"/>
      <c r="AZ238" s="89"/>
      <c r="BA238" s="95"/>
    </row>
    <row r="239" spans="1:53" s="87" customFormat="1">
      <c r="A239" s="90" t="str">
        <f t="shared" si="28"/>
        <v/>
      </c>
      <c r="B239" s="89">
        <v>7</v>
      </c>
      <c r="C239" s="89">
        <v>-4</v>
      </c>
      <c r="D239" s="89" t="s">
        <v>210</v>
      </c>
      <c r="E239" s="89" t="s">
        <v>210</v>
      </c>
      <c r="F239" s="89">
        <v>2</v>
      </c>
      <c r="G239" s="89">
        <v>4</v>
      </c>
      <c r="H239" s="89" t="s">
        <v>210</v>
      </c>
      <c r="I239" s="89"/>
      <c r="J239" s="89"/>
      <c r="K239" s="89"/>
      <c r="L239" s="89"/>
      <c r="M239" s="89"/>
      <c r="N239" s="89"/>
      <c r="O239" s="89"/>
      <c r="P239" s="89"/>
      <c r="Q239" s="89"/>
      <c r="R239" s="89"/>
      <c r="S239" s="89"/>
      <c r="T239" s="89"/>
      <c r="U239" s="89"/>
      <c r="V239" s="89"/>
      <c r="W239" s="89"/>
      <c r="X239" s="89"/>
      <c r="Y239" s="89"/>
      <c r="Z239" s="89"/>
      <c r="AA239" s="89"/>
      <c r="AB239" s="89"/>
      <c r="AC239" s="89"/>
      <c r="AD239" s="89"/>
      <c r="AE239" s="89"/>
      <c r="AF239" s="89"/>
      <c r="AG239" s="89"/>
      <c r="AH239" s="89"/>
      <c r="AI239" s="89"/>
      <c r="AJ239" s="89"/>
      <c r="AK239" s="89"/>
      <c r="AL239" s="89"/>
      <c r="AM239" s="89"/>
      <c r="AN239" s="89"/>
      <c r="AO239" s="89"/>
      <c r="AP239" s="89"/>
      <c r="AQ239" s="89"/>
      <c r="AR239" s="89"/>
      <c r="AS239" s="89"/>
      <c r="AT239" s="89"/>
      <c r="AU239" s="89"/>
      <c r="AV239" s="89"/>
      <c r="AW239" s="89"/>
      <c r="AX239" s="89"/>
      <c r="AY239" s="89"/>
      <c r="AZ239" s="89"/>
      <c r="BA239" s="95"/>
    </row>
    <row r="240" spans="1:53" s="87" customFormat="1">
      <c r="A240" s="90" t="str">
        <f t="shared" si="28"/>
        <v/>
      </c>
      <c r="B240" s="99">
        <v>8</v>
      </c>
      <c r="C240" s="92">
        <v>1</v>
      </c>
      <c r="D240" s="92" t="s">
        <v>210</v>
      </c>
      <c r="E240" s="92" t="s">
        <v>210</v>
      </c>
      <c r="F240" s="92">
        <v>3</v>
      </c>
      <c r="G240" s="92">
        <v>-4</v>
      </c>
      <c r="H240" s="92" t="s">
        <v>210</v>
      </c>
      <c r="I240" s="89"/>
      <c r="J240" s="89"/>
      <c r="K240" s="89"/>
      <c r="L240" s="89"/>
      <c r="M240" s="89"/>
      <c r="N240" s="89"/>
      <c r="O240" s="89"/>
      <c r="P240" s="89"/>
      <c r="Q240" s="89"/>
      <c r="R240" s="89"/>
      <c r="S240" s="89"/>
      <c r="T240" s="89"/>
      <c r="U240" s="89"/>
      <c r="V240" s="89"/>
      <c r="W240" s="89"/>
      <c r="X240" s="89"/>
      <c r="Y240" s="89"/>
      <c r="Z240" s="89"/>
      <c r="AA240" s="89"/>
      <c r="AB240" s="89"/>
      <c r="AC240" s="89"/>
      <c r="AD240" s="89"/>
      <c r="AE240" s="89"/>
      <c r="AF240" s="89"/>
      <c r="AG240" s="89"/>
      <c r="AH240" s="89"/>
      <c r="AI240" s="89"/>
      <c r="AJ240" s="89"/>
      <c r="AK240" s="89"/>
      <c r="AL240" s="89"/>
      <c r="AM240" s="89"/>
      <c r="AN240" s="89"/>
      <c r="AO240" s="89"/>
      <c r="AP240" s="89"/>
      <c r="AQ240" s="89"/>
      <c r="AR240" s="89"/>
      <c r="AS240" s="89"/>
      <c r="AT240" s="89"/>
      <c r="AU240" s="89"/>
      <c r="AV240" s="89"/>
      <c r="AW240" s="89"/>
      <c r="AX240" s="89"/>
      <c r="AY240" s="89"/>
      <c r="AZ240" s="89"/>
      <c r="BA240" s="95"/>
    </row>
    <row r="241" spans="1:53" s="87" customFormat="1">
      <c r="A241" s="90" t="str">
        <f t="shared" si="28"/>
        <v/>
      </c>
      <c r="B241" s="89">
        <v>9</v>
      </c>
      <c r="C241" s="89" t="s">
        <v>210</v>
      </c>
      <c r="D241" s="89">
        <v>-2</v>
      </c>
      <c r="E241" s="89">
        <v>-1</v>
      </c>
      <c r="F241" s="89" t="s">
        <v>210</v>
      </c>
      <c r="G241" s="89" t="s">
        <v>210</v>
      </c>
      <c r="H241" s="89">
        <v>2</v>
      </c>
      <c r="I241" s="89"/>
      <c r="J241" s="89"/>
      <c r="K241" s="89"/>
      <c r="L241" s="89"/>
      <c r="M241" s="89"/>
      <c r="N241" s="89"/>
      <c r="O241" s="89"/>
      <c r="P241" s="89"/>
      <c r="Q241" s="89"/>
      <c r="R241" s="89"/>
      <c r="S241" s="89"/>
      <c r="T241" s="89"/>
      <c r="U241" s="89"/>
      <c r="V241" s="89"/>
      <c r="W241" s="89"/>
      <c r="X241" s="89"/>
      <c r="Y241" s="89"/>
      <c r="Z241" s="89"/>
      <c r="AA241" s="89"/>
      <c r="AB241" s="89"/>
      <c r="AC241" s="89"/>
      <c r="AD241" s="89"/>
      <c r="AE241" s="89"/>
      <c r="AF241" s="89"/>
      <c r="AG241" s="89"/>
      <c r="AH241" s="89"/>
      <c r="AI241" s="89"/>
      <c r="AJ241" s="89"/>
      <c r="AK241" s="89"/>
      <c r="AL241" s="89"/>
      <c r="AM241" s="89"/>
      <c r="AN241" s="89"/>
      <c r="AO241" s="89"/>
      <c r="AP241" s="89"/>
      <c r="AQ241" s="89"/>
      <c r="AR241" s="89"/>
      <c r="AS241" s="89"/>
      <c r="AT241" s="89"/>
      <c r="AU241" s="89"/>
      <c r="AV241" s="89"/>
      <c r="AW241" s="89"/>
      <c r="AX241" s="89"/>
      <c r="AY241" s="89"/>
      <c r="AZ241" s="89"/>
      <c r="BA241" s="95"/>
    </row>
    <row r="242" spans="1:53" s="87" customFormat="1">
      <c r="A242" s="90" t="str">
        <f t="shared" si="28"/>
        <v/>
      </c>
      <c r="B242" s="89">
        <v>10</v>
      </c>
      <c r="C242" s="89" t="s">
        <v>210</v>
      </c>
      <c r="D242" s="89">
        <v>3</v>
      </c>
      <c r="E242" s="89">
        <v>-4</v>
      </c>
      <c r="F242" s="89" t="s">
        <v>210</v>
      </c>
      <c r="G242" s="89" t="s">
        <v>210</v>
      </c>
      <c r="H242" s="89">
        <v>-2</v>
      </c>
      <c r="I242" s="89"/>
      <c r="J242" s="89"/>
      <c r="K242" s="89"/>
      <c r="L242" s="89"/>
      <c r="M242" s="89"/>
      <c r="N242" s="89"/>
      <c r="O242" s="89"/>
      <c r="P242" s="89"/>
      <c r="Q242" s="89"/>
      <c r="R242" s="89"/>
      <c r="S242" s="89"/>
      <c r="T242" s="89"/>
      <c r="U242" s="89"/>
      <c r="V242" s="89"/>
      <c r="W242" s="89"/>
      <c r="X242" s="89"/>
      <c r="Y242" s="89"/>
      <c r="Z242" s="89"/>
      <c r="AA242" s="89"/>
      <c r="AB242" s="89"/>
      <c r="AC242" s="89"/>
      <c r="AD242" s="89"/>
      <c r="AE242" s="89"/>
      <c r="AF242" s="89"/>
      <c r="AG242" s="89"/>
      <c r="AH242" s="89"/>
      <c r="AI242" s="89"/>
      <c r="AJ242" s="89"/>
      <c r="AK242" s="89"/>
      <c r="AL242" s="89"/>
      <c r="AM242" s="89"/>
      <c r="AN242" s="89"/>
      <c r="AO242" s="89"/>
      <c r="AP242" s="89"/>
      <c r="AQ242" s="89"/>
      <c r="AR242" s="89"/>
      <c r="AS242" s="89"/>
      <c r="AT242" s="89"/>
      <c r="AU242" s="89"/>
      <c r="AV242" s="89"/>
      <c r="AW242" s="89"/>
      <c r="AX242" s="89"/>
      <c r="AY242" s="89"/>
      <c r="AZ242" s="89"/>
      <c r="BA242" s="95"/>
    </row>
    <row r="243" spans="1:53" s="87" customFormat="1">
      <c r="A243" s="90" t="str">
        <f t="shared" si="28"/>
        <v/>
      </c>
      <c r="B243" s="89">
        <v>11</v>
      </c>
      <c r="C243" s="89" t="s">
        <v>210</v>
      </c>
      <c r="D243" s="89">
        <v>-3</v>
      </c>
      <c r="E243" s="89">
        <v>1</v>
      </c>
      <c r="F243" s="89" t="s">
        <v>210</v>
      </c>
      <c r="G243" s="89" t="s">
        <v>210</v>
      </c>
      <c r="H243" s="89">
        <v>3</v>
      </c>
      <c r="I243" s="89"/>
      <c r="J243" s="89"/>
      <c r="K243" s="89"/>
      <c r="L243" s="89"/>
      <c r="M243" s="89"/>
      <c r="N243" s="89"/>
      <c r="O243" s="89"/>
      <c r="P243" s="89"/>
      <c r="Q243" s="89"/>
      <c r="R243" s="89"/>
      <c r="S243" s="89"/>
      <c r="T243" s="89"/>
      <c r="U243" s="89"/>
      <c r="V243" s="89"/>
      <c r="W243" s="89"/>
      <c r="X243" s="89"/>
      <c r="Y243" s="89"/>
      <c r="Z243" s="89"/>
      <c r="AA243" s="89"/>
      <c r="AB243" s="89"/>
      <c r="AC243" s="89"/>
      <c r="AD243" s="89"/>
      <c r="AE243" s="89"/>
      <c r="AF243" s="89"/>
      <c r="AG243" s="89"/>
      <c r="AH243" s="89"/>
      <c r="AI243" s="89"/>
      <c r="AJ243" s="89"/>
      <c r="AK243" s="89"/>
      <c r="AL243" s="89"/>
      <c r="AM243" s="89"/>
      <c r="AN243" s="89"/>
      <c r="AO243" s="89"/>
      <c r="AP243" s="89"/>
      <c r="AQ243" s="89"/>
      <c r="AR243" s="89"/>
      <c r="AS243" s="89"/>
      <c r="AT243" s="89"/>
      <c r="AU243" s="89"/>
      <c r="AV243" s="89"/>
      <c r="AW243" s="89"/>
      <c r="AX243" s="89"/>
      <c r="AY243" s="89"/>
      <c r="AZ243" s="89"/>
      <c r="BA243" s="95"/>
    </row>
    <row r="244" spans="1:53" s="87" customFormat="1">
      <c r="A244" s="90" t="str">
        <f t="shared" si="28"/>
        <v/>
      </c>
      <c r="B244" s="99">
        <v>12</v>
      </c>
      <c r="C244" s="92" t="s">
        <v>210</v>
      </c>
      <c r="D244" s="92">
        <v>2</v>
      </c>
      <c r="E244" s="92">
        <v>4</v>
      </c>
      <c r="F244" s="92" t="s">
        <v>210</v>
      </c>
      <c r="G244" s="92" t="s">
        <v>210</v>
      </c>
      <c r="H244" s="92">
        <v>-3</v>
      </c>
      <c r="I244" s="89"/>
      <c r="J244" s="89"/>
      <c r="K244" s="89"/>
      <c r="L244" s="89"/>
      <c r="M244" s="89"/>
      <c r="N244" s="89"/>
      <c r="O244" s="89"/>
      <c r="P244" s="89"/>
      <c r="Q244" s="89"/>
      <c r="R244" s="89"/>
      <c r="S244" s="89"/>
      <c r="T244" s="89"/>
      <c r="U244" s="89"/>
      <c r="V244" s="89"/>
      <c r="W244" s="89"/>
      <c r="X244" s="89"/>
      <c r="Y244" s="89"/>
      <c r="Z244" s="89"/>
      <c r="AA244" s="89"/>
      <c r="AB244" s="89"/>
      <c r="AC244" s="89"/>
      <c r="AD244" s="89"/>
      <c r="AE244" s="89"/>
      <c r="AF244" s="89"/>
      <c r="AG244" s="89"/>
      <c r="AH244" s="89"/>
      <c r="AI244" s="89"/>
      <c r="AJ244" s="89"/>
      <c r="AK244" s="89"/>
      <c r="AL244" s="89"/>
      <c r="AM244" s="89"/>
      <c r="AN244" s="89"/>
      <c r="AO244" s="89"/>
      <c r="AP244" s="89"/>
      <c r="AQ244" s="89"/>
      <c r="AR244" s="89"/>
      <c r="AS244" s="89"/>
      <c r="AT244" s="89"/>
      <c r="AU244" s="89"/>
      <c r="AV244" s="89"/>
      <c r="AW244" s="89"/>
      <c r="AX244" s="89"/>
      <c r="AY244" s="89"/>
      <c r="AZ244" s="89"/>
      <c r="BA244" s="95"/>
    </row>
    <row r="245" spans="1:53" s="87" customFormat="1">
      <c r="A245" s="90" t="str">
        <f t="shared" si="28"/>
        <v/>
      </c>
      <c r="B245" s="89">
        <v>13</v>
      </c>
      <c r="C245" s="89" t="s">
        <v>210</v>
      </c>
      <c r="D245" s="89">
        <v>-1</v>
      </c>
      <c r="E245" s="89">
        <v>-2</v>
      </c>
      <c r="F245" s="89" t="s">
        <v>210</v>
      </c>
      <c r="G245" s="89" t="s">
        <v>210</v>
      </c>
      <c r="H245" s="89">
        <v>1</v>
      </c>
      <c r="I245" s="89"/>
      <c r="J245" s="89"/>
      <c r="K245" s="89"/>
      <c r="L245" s="89"/>
      <c r="M245" s="89"/>
      <c r="N245" s="89"/>
      <c r="O245" s="89"/>
      <c r="P245" s="89"/>
      <c r="Q245" s="89"/>
      <c r="R245" s="89"/>
      <c r="S245" s="89"/>
      <c r="T245" s="89"/>
      <c r="U245" s="89"/>
      <c r="V245" s="89"/>
      <c r="W245" s="89"/>
      <c r="X245" s="89"/>
      <c r="Y245" s="89"/>
      <c r="Z245" s="89"/>
      <c r="AA245" s="89"/>
      <c r="AB245" s="89"/>
      <c r="AC245" s="89"/>
      <c r="AD245" s="89"/>
      <c r="AE245" s="89"/>
      <c r="AF245" s="89"/>
      <c r="AG245" s="89"/>
      <c r="AH245" s="89"/>
      <c r="AI245" s="89"/>
      <c r="AJ245" s="89"/>
      <c r="AK245" s="89"/>
      <c r="AL245" s="89"/>
      <c r="AM245" s="89"/>
      <c r="AN245" s="89"/>
      <c r="AO245" s="89"/>
      <c r="AP245" s="89"/>
      <c r="AQ245" s="89"/>
      <c r="AR245" s="89"/>
      <c r="AS245" s="89"/>
      <c r="AT245" s="89"/>
      <c r="AU245" s="89"/>
      <c r="AV245" s="89"/>
      <c r="AW245" s="89"/>
      <c r="AX245" s="89"/>
      <c r="AY245" s="89"/>
      <c r="AZ245" s="89"/>
      <c r="BA245" s="95"/>
    </row>
    <row r="246" spans="1:53" s="87" customFormat="1">
      <c r="A246" s="90" t="str">
        <f t="shared" si="28"/>
        <v/>
      </c>
      <c r="B246" s="89">
        <v>14</v>
      </c>
      <c r="C246" s="89" t="s">
        <v>210</v>
      </c>
      <c r="D246" s="89">
        <v>4</v>
      </c>
      <c r="E246" s="89">
        <v>-3</v>
      </c>
      <c r="F246" s="89" t="s">
        <v>210</v>
      </c>
      <c r="G246" s="89" t="s">
        <v>210</v>
      </c>
      <c r="H246" s="89">
        <v>-1</v>
      </c>
      <c r="I246" s="89"/>
      <c r="J246" s="89"/>
      <c r="K246" s="89"/>
      <c r="L246" s="89"/>
      <c r="M246" s="89"/>
      <c r="N246" s="89"/>
      <c r="O246" s="89"/>
      <c r="P246" s="89"/>
      <c r="Q246" s="89"/>
      <c r="R246" s="89"/>
      <c r="S246" s="89"/>
      <c r="T246" s="89"/>
      <c r="U246" s="89"/>
      <c r="V246" s="89"/>
      <c r="W246" s="89"/>
      <c r="X246" s="89"/>
      <c r="Y246" s="89"/>
      <c r="Z246" s="89"/>
      <c r="AA246" s="89"/>
      <c r="AB246" s="89"/>
      <c r="AC246" s="89"/>
      <c r="AD246" s="89"/>
      <c r="AE246" s="89"/>
      <c r="AF246" s="89"/>
      <c r="AG246" s="89"/>
      <c r="AH246" s="89"/>
      <c r="AI246" s="89"/>
      <c r="AJ246" s="89"/>
      <c r="AK246" s="89"/>
      <c r="AL246" s="89"/>
      <c r="AM246" s="89"/>
      <c r="AN246" s="89"/>
      <c r="AO246" s="89"/>
      <c r="AP246" s="89"/>
      <c r="AQ246" s="89"/>
      <c r="AR246" s="89"/>
      <c r="AS246" s="89"/>
      <c r="AT246" s="89"/>
      <c r="AU246" s="89"/>
      <c r="AV246" s="89"/>
      <c r="AW246" s="89"/>
      <c r="AX246" s="89"/>
      <c r="AY246" s="89"/>
      <c r="AZ246" s="89"/>
      <c r="BA246" s="95"/>
    </row>
    <row r="247" spans="1:53" s="87" customFormat="1">
      <c r="A247" s="90" t="str">
        <f t="shared" si="28"/>
        <v/>
      </c>
      <c r="B247" s="89">
        <v>15</v>
      </c>
      <c r="C247" s="89" t="s">
        <v>210</v>
      </c>
      <c r="D247" s="89">
        <v>-4</v>
      </c>
      <c r="E247" s="89">
        <v>2</v>
      </c>
      <c r="F247" s="89" t="s">
        <v>210</v>
      </c>
      <c r="G247" s="89" t="s">
        <v>210</v>
      </c>
      <c r="H247" s="89">
        <v>4</v>
      </c>
      <c r="I247" s="89"/>
      <c r="J247" s="89"/>
      <c r="K247" s="89"/>
      <c r="L247" s="89"/>
      <c r="M247" s="89"/>
      <c r="N247" s="89"/>
      <c r="O247" s="89"/>
      <c r="P247" s="89"/>
      <c r="Q247" s="89"/>
      <c r="R247" s="89"/>
      <c r="S247" s="89"/>
      <c r="T247" s="89"/>
      <c r="U247" s="89"/>
      <c r="V247" s="89"/>
      <c r="W247" s="89"/>
      <c r="X247" s="89"/>
      <c r="Y247" s="89"/>
      <c r="Z247" s="89"/>
      <c r="AA247" s="89"/>
      <c r="AB247" s="89"/>
      <c r="AC247" s="89"/>
      <c r="AD247" s="89"/>
      <c r="AE247" s="89"/>
      <c r="AF247" s="89"/>
      <c r="AG247" s="89"/>
      <c r="AH247" s="89"/>
      <c r="AI247" s="89"/>
      <c r="AJ247" s="89"/>
      <c r="AK247" s="89"/>
      <c r="AL247" s="89"/>
      <c r="AM247" s="89"/>
      <c r="AN247" s="89"/>
      <c r="AO247" s="89"/>
      <c r="AP247" s="89"/>
      <c r="AQ247" s="89"/>
      <c r="AR247" s="89"/>
      <c r="AS247" s="89"/>
      <c r="AT247" s="89"/>
      <c r="AU247" s="89"/>
      <c r="AV247" s="89"/>
      <c r="AW247" s="89"/>
      <c r="AX247" s="89"/>
      <c r="AY247" s="89"/>
      <c r="AZ247" s="89"/>
      <c r="BA247" s="95"/>
    </row>
    <row r="248" spans="1:53" s="87" customFormat="1">
      <c r="A248" s="90" t="str">
        <f t="shared" si="28"/>
        <v/>
      </c>
      <c r="B248" s="89">
        <v>16</v>
      </c>
      <c r="C248" s="89" t="s">
        <v>210</v>
      </c>
      <c r="D248" s="89">
        <v>1</v>
      </c>
      <c r="E248" s="89">
        <v>3</v>
      </c>
      <c r="F248" s="89" t="s">
        <v>210</v>
      </c>
      <c r="G248" s="89" t="s">
        <v>210</v>
      </c>
      <c r="H248" s="89">
        <v>-4</v>
      </c>
      <c r="I248" s="89"/>
      <c r="J248" s="89"/>
      <c r="K248" s="89"/>
      <c r="L248" s="89"/>
      <c r="M248" s="89"/>
      <c r="N248" s="89"/>
      <c r="O248" s="89"/>
      <c r="P248" s="89"/>
      <c r="Q248" s="89"/>
      <c r="R248" s="89"/>
      <c r="S248" s="89"/>
      <c r="T248" s="89"/>
      <c r="U248" s="89"/>
      <c r="V248" s="89"/>
      <c r="W248" s="89"/>
      <c r="X248" s="89"/>
      <c r="Y248" s="89"/>
      <c r="Z248" s="89"/>
      <c r="AA248" s="89"/>
      <c r="AB248" s="89"/>
      <c r="AC248" s="89"/>
      <c r="AD248" s="89"/>
      <c r="AE248" s="89"/>
      <c r="AF248" s="89"/>
      <c r="AG248" s="89"/>
      <c r="AH248" s="89"/>
      <c r="AI248" s="89"/>
      <c r="AJ248" s="89"/>
      <c r="AK248" s="89"/>
      <c r="AL248" s="89"/>
      <c r="AM248" s="89"/>
      <c r="AN248" s="89"/>
      <c r="AO248" s="89"/>
      <c r="AP248" s="89"/>
      <c r="AQ248" s="89"/>
      <c r="AR248" s="89"/>
      <c r="AS248" s="89"/>
      <c r="AT248" s="89"/>
      <c r="AU248" s="89"/>
      <c r="AV248" s="89"/>
      <c r="AW248" s="89"/>
      <c r="AX248" s="89"/>
      <c r="AY248" s="89"/>
      <c r="AZ248" s="89"/>
      <c r="BA248" s="95"/>
    </row>
    <row r="249" spans="1:53" s="87" customFormat="1">
      <c r="A249" s="90" t="str">
        <f t="shared" si="28"/>
        <v/>
      </c>
      <c r="B249" s="89" t="s">
        <v>284</v>
      </c>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c r="AA249" s="89"/>
      <c r="AB249" s="89"/>
      <c r="AC249" s="89"/>
      <c r="AD249" s="89"/>
      <c r="AE249" s="89"/>
      <c r="AF249" s="89"/>
      <c r="AG249" s="89"/>
      <c r="AH249" s="89"/>
      <c r="AI249" s="89"/>
      <c r="AJ249" s="89"/>
      <c r="AK249" s="89"/>
      <c r="AL249" s="89"/>
      <c r="AM249" s="89"/>
      <c r="AN249" s="89"/>
      <c r="AO249" s="89"/>
      <c r="AP249" s="89"/>
      <c r="AQ249" s="89"/>
      <c r="AR249" s="89"/>
      <c r="AS249" s="89"/>
      <c r="AT249" s="89"/>
      <c r="AU249" s="89"/>
      <c r="AV249" s="89"/>
      <c r="AW249" s="89"/>
      <c r="AX249" s="89"/>
      <c r="AY249" s="89"/>
      <c r="AZ249" s="89"/>
      <c r="BA249" s="95"/>
    </row>
    <row r="250" spans="1:53" s="87" customFormat="1">
      <c r="A250" s="90">
        <f t="shared" si="28"/>
        <v>250</v>
      </c>
      <c r="B250" s="89" t="s">
        <v>285</v>
      </c>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95"/>
    </row>
    <row r="251" spans="1:53" s="87" customFormat="1">
      <c r="A251" s="90" t="str">
        <f t="shared" si="28"/>
        <v/>
      </c>
      <c r="B251" s="89">
        <v>1</v>
      </c>
      <c r="C251" s="89">
        <v>-2</v>
      </c>
      <c r="D251" s="89" t="s">
        <v>210</v>
      </c>
      <c r="E251" s="89" t="s">
        <v>210</v>
      </c>
      <c r="F251" s="89">
        <v>3</v>
      </c>
      <c r="G251" s="89">
        <v>-4</v>
      </c>
      <c r="H251" s="89" t="s">
        <v>210</v>
      </c>
      <c r="I251" s="89" t="s">
        <v>210</v>
      </c>
      <c r="J251" s="89">
        <v>-1</v>
      </c>
      <c r="K251" s="89">
        <v>2</v>
      </c>
      <c r="L251" s="89" t="s">
        <v>210</v>
      </c>
      <c r="M251" s="89" t="s">
        <v>210</v>
      </c>
      <c r="N251" s="89" t="s">
        <v>202</v>
      </c>
      <c r="O251" s="89">
        <v>4</v>
      </c>
      <c r="P251" s="89" t="s">
        <v>210</v>
      </c>
      <c r="Q251" s="89" t="s">
        <v>210</v>
      </c>
      <c r="R251" s="89">
        <v>1</v>
      </c>
      <c r="S251" s="89">
        <v>-3</v>
      </c>
      <c r="T251" s="89"/>
      <c r="U251" s="89"/>
      <c r="V251" s="89"/>
      <c r="W251" s="89"/>
      <c r="X251" s="89"/>
      <c r="Y251" s="89"/>
      <c r="Z251" s="89"/>
      <c r="AA251" s="89"/>
      <c r="AB251" s="89"/>
      <c r="AC251" s="89"/>
      <c r="AD251" s="89"/>
      <c r="AE251" s="89"/>
      <c r="AF251" s="89"/>
      <c r="AG251" s="89"/>
      <c r="AH251" s="89"/>
      <c r="AI251" s="89"/>
      <c r="AJ251" s="89"/>
      <c r="AK251" s="89"/>
      <c r="AL251" s="89"/>
      <c r="AM251" s="89"/>
      <c r="AN251" s="89"/>
      <c r="AO251" s="89"/>
      <c r="AP251" s="89"/>
      <c r="AQ251" s="89"/>
      <c r="AR251" s="89"/>
      <c r="AS251" s="89"/>
      <c r="AT251" s="89"/>
      <c r="AU251" s="89"/>
      <c r="AV251" s="89"/>
      <c r="AW251" s="89"/>
      <c r="AX251" s="89"/>
      <c r="AY251" s="89"/>
      <c r="AZ251" s="89"/>
      <c r="BA251" s="95"/>
    </row>
    <row r="252" spans="1:53" s="87" customFormat="1">
      <c r="A252" s="90" t="str">
        <f t="shared" si="28"/>
        <v/>
      </c>
      <c r="B252" s="89">
        <v>2</v>
      </c>
      <c r="C252" s="89">
        <v>-1</v>
      </c>
      <c r="D252" s="89" t="s">
        <v>210</v>
      </c>
      <c r="E252" s="89" t="s">
        <v>210</v>
      </c>
      <c r="F252" s="89">
        <v>4</v>
      </c>
      <c r="G252" s="89">
        <v>-2</v>
      </c>
      <c r="H252" s="89" t="s">
        <v>210</v>
      </c>
      <c r="I252" s="89" t="s">
        <v>210</v>
      </c>
      <c r="J252" s="89" t="s">
        <v>202</v>
      </c>
      <c r="K252" s="89">
        <v>1</v>
      </c>
      <c r="L252" s="89" t="s">
        <v>210</v>
      </c>
      <c r="M252" s="89" t="s">
        <v>210</v>
      </c>
      <c r="N252" s="89">
        <v>-3</v>
      </c>
      <c r="O252" s="89">
        <v>2</v>
      </c>
      <c r="P252" s="89" t="s">
        <v>210</v>
      </c>
      <c r="Q252" s="89" t="s">
        <v>210</v>
      </c>
      <c r="R252" s="89">
        <v>-4</v>
      </c>
      <c r="S252" s="89">
        <v>3</v>
      </c>
      <c r="T252" s="89"/>
      <c r="U252" s="89"/>
      <c r="V252" s="89"/>
      <c r="W252" s="89"/>
      <c r="X252" s="89"/>
      <c r="Y252" s="89"/>
      <c r="Z252" s="89"/>
      <c r="AA252" s="89"/>
      <c r="AB252" s="89"/>
      <c r="AC252" s="89"/>
      <c r="AD252" s="89"/>
      <c r="AE252" s="89"/>
      <c r="AF252" s="89"/>
      <c r="AG252" s="89"/>
      <c r="AH252" s="89"/>
      <c r="AI252" s="89"/>
      <c r="AJ252" s="89"/>
      <c r="AK252" s="89"/>
      <c r="AL252" s="89"/>
      <c r="AM252" s="89"/>
      <c r="AN252" s="89"/>
      <c r="AO252" s="89"/>
      <c r="AP252" s="89"/>
      <c r="AQ252" s="89"/>
      <c r="AR252" s="89"/>
      <c r="AS252" s="89"/>
      <c r="AT252" s="89"/>
      <c r="AU252" s="89"/>
      <c r="AV252" s="89"/>
      <c r="AW252" s="89"/>
      <c r="AX252" s="89"/>
      <c r="AY252" s="89"/>
      <c r="AZ252" s="89"/>
      <c r="BA252" s="95"/>
    </row>
    <row r="253" spans="1:53" s="87" customFormat="1">
      <c r="A253" s="90" t="str">
        <f t="shared" si="28"/>
        <v/>
      </c>
      <c r="B253" s="89">
        <v>3</v>
      </c>
      <c r="C253" s="89">
        <v>2</v>
      </c>
      <c r="D253" s="89" t="s">
        <v>210</v>
      </c>
      <c r="E253" s="89" t="s">
        <v>210</v>
      </c>
      <c r="F253" s="89">
        <v>-1</v>
      </c>
      <c r="G253" s="89">
        <v>3</v>
      </c>
      <c r="H253" s="89" t="s">
        <v>210</v>
      </c>
      <c r="I253" s="89" t="s">
        <v>210</v>
      </c>
      <c r="J253" s="89">
        <v>-4</v>
      </c>
      <c r="K253" s="89" t="s">
        <v>202</v>
      </c>
      <c r="L253" s="89" t="s">
        <v>210</v>
      </c>
      <c r="M253" s="89" t="s">
        <v>210</v>
      </c>
      <c r="N253" s="89">
        <v>1</v>
      </c>
      <c r="O253" s="89">
        <v>-3</v>
      </c>
      <c r="P253" s="89" t="s">
        <v>210</v>
      </c>
      <c r="Q253" s="89" t="s">
        <v>210</v>
      </c>
      <c r="R253" s="89">
        <v>4</v>
      </c>
      <c r="S253" s="89">
        <v>-2</v>
      </c>
      <c r="T253" s="89"/>
      <c r="U253" s="89"/>
      <c r="V253" s="89"/>
      <c r="W253" s="89"/>
      <c r="X253" s="89"/>
      <c r="Y253" s="89"/>
      <c r="Z253" s="89"/>
      <c r="AA253" s="89"/>
      <c r="AB253" s="89"/>
      <c r="AC253" s="89"/>
      <c r="AD253" s="89"/>
      <c r="AE253" s="89"/>
      <c r="AF253" s="89"/>
      <c r="AG253" s="89"/>
      <c r="AH253" s="89"/>
      <c r="AI253" s="89"/>
      <c r="AJ253" s="89"/>
      <c r="AK253" s="89"/>
      <c r="AL253" s="89"/>
      <c r="AM253" s="89"/>
      <c r="AN253" s="89"/>
      <c r="AO253" s="89"/>
      <c r="AP253" s="89"/>
      <c r="AQ253" s="89"/>
      <c r="AR253" s="89"/>
      <c r="AS253" s="89"/>
      <c r="AT253" s="89"/>
      <c r="AU253" s="89"/>
      <c r="AV253" s="89"/>
      <c r="AW253" s="89"/>
      <c r="AX253" s="89"/>
      <c r="AY253" s="89"/>
      <c r="AZ253" s="89"/>
      <c r="BA253" s="95"/>
    </row>
    <row r="254" spans="1:53" s="87" customFormat="1">
      <c r="A254" s="90" t="str">
        <f t="shared" si="28"/>
        <v/>
      </c>
      <c r="B254" s="89">
        <v>4</v>
      </c>
      <c r="C254" s="89" t="s">
        <v>202</v>
      </c>
      <c r="D254" s="89" t="s">
        <v>210</v>
      </c>
      <c r="E254" s="89" t="s">
        <v>210</v>
      </c>
      <c r="F254" s="89">
        <v>-4</v>
      </c>
      <c r="G254" s="89">
        <v>-1</v>
      </c>
      <c r="H254" s="89" t="s">
        <v>210</v>
      </c>
      <c r="I254" s="89" t="s">
        <v>210</v>
      </c>
      <c r="J254" s="89">
        <v>3</v>
      </c>
      <c r="K254" s="89">
        <v>-2</v>
      </c>
      <c r="L254" s="89" t="s">
        <v>210</v>
      </c>
      <c r="M254" s="89" t="s">
        <v>210</v>
      </c>
      <c r="N254" s="89">
        <v>4</v>
      </c>
      <c r="O254" s="89">
        <v>1</v>
      </c>
      <c r="P254" s="89" t="s">
        <v>210</v>
      </c>
      <c r="Q254" s="89" t="s">
        <v>210</v>
      </c>
      <c r="R254" s="89">
        <v>-3</v>
      </c>
      <c r="S254" s="89">
        <v>2</v>
      </c>
      <c r="T254" s="89"/>
      <c r="U254" s="89"/>
      <c r="V254" s="89"/>
      <c r="W254" s="89"/>
      <c r="X254" s="89"/>
      <c r="Y254" s="89"/>
      <c r="Z254" s="89"/>
      <c r="AA254" s="89"/>
      <c r="AB254" s="89"/>
      <c r="AC254" s="89"/>
      <c r="AD254" s="89"/>
      <c r="AE254" s="89"/>
      <c r="AF254" s="89"/>
      <c r="AG254" s="89"/>
      <c r="AH254" s="89"/>
      <c r="AI254" s="89"/>
      <c r="AJ254" s="89"/>
      <c r="AK254" s="89"/>
      <c r="AL254" s="89"/>
      <c r="AM254" s="89"/>
      <c r="AN254" s="89"/>
      <c r="AO254" s="89"/>
      <c r="AP254" s="89"/>
      <c r="AQ254" s="89"/>
      <c r="AR254" s="89"/>
      <c r="AS254" s="89"/>
      <c r="AT254" s="89"/>
      <c r="AU254" s="89"/>
      <c r="AV254" s="89"/>
      <c r="AW254" s="89"/>
      <c r="AX254" s="89"/>
      <c r="AY254" s="89"/>
      <c r="AZ254" s="89"/>
      <c r="BA254" s="95"/>
    </row>
    <row r="255" spans="1:53" s="87" customFormat="1">
      <c r="A255" s="90" t="str">
        <f t="shared" si="28"/>
        <v/>
      </c>
      <c r="B255" s="89">
        <v>5</v>
      </c>
      <c r="C255" s="89">
        <v>-3</v>
      </c>
      <c r="D255" s="89" t="s">
        <v>210</v>
      </c>
      <c r="E255" s="89" t="s">
        <v>210</v>
      </c>
      <c r="F255" s="89" t="s">
        <v>202</v>
      </c>
      <c r="G255" s="89">
        <v>4</v>
      </c>
      <c r="H255" s="89" t="s">
        <v>210</v>
      </c>
      <c r="I255" s="89" t="s">
        <v>210</v>
      </c>
      <c r="J255" s="89">
        <v>-2</v>
      </c>
      <c r="K255" s="89">
        <v>-1</v>
      </c>
      <c r="L255" s="89" t="s">
        <v>210</v>
      </c>
      <c r="M255" s="89" t="s">
        <v>210</v>
      </c>
      <c r="N255" s="89">
        <v>-4</v>
      </c>
      <c r="O255" s="89">
        <v>3</v>
      </c>
      <c r="P255" s="89" t="s">
        <v>210</v>
      </c>
      <c r="Q255" s="89" t="s">
        <v>210</v>
      </c>
      <c r="R255" s="89">
        <v>2</v>
      </c>
      <c r="S255" s="89">
        <v>1</v>
      </c>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c r="AZ255" s="89"/>
      <c r="BA255" s="95"/>
    </row>
    <row r="256" spans="1:53" s="87" customFormat="1">
      <c r="A256" s="90" t="str">
        <f t="shared" si="28"/>
        <v/>
      </c>
      <c r="B256" s="89">
        <v>6</v>
      </c>
      <c r="C256" s="89">
        <v>1</v>
      </c>
      <c r="D256" s="89" t="s">
        <v>210</v>
      </c>
      <c r="E256" s="89" t="s">
        <v>210</v>
      </c>
      <c r="F256" s="89">
        <v>-2</v>
      </c>
      <c r="G256" s="89" t="s">
        <v>202</v>
      </c>
      <c r="H256" s="89" t="s">
        <v>210</v>
      </c>
      <c r="I256" s="89" t="s">
        <v>210</v>
      </c>
      <c r="J256" s="89">
        <v>4</v>
      </c>
      <c r="K256" s="89">
        <v>-3</v>
      </c>
      <c r="L256" s="89" t="s">
        <v>210</v>
      </c>
      <c r="M256" s="89" t="s">
        <v>210</v>
      </c>
      <c r="N256" s="89">
        <v>2</v>
      </c>
      <c r="O256" s="89">
        <v>-4</v>
      </c>
      <c r="P256" s="89" t="s">
        <v>210</v>
      </c>
      <c r="Q256" s="89" t="s">
        <v>210</v>
      </c>
      <c r="R256" s="89">
        <v>3</v>
      </c>
      <c r="S256" s="89">
        <v>-1</v>
      </c>
      <c r="T256" s="89"/>
      <c r="U256" s="89"/>
      <c r="V256" s="89"/>
      <c r="W256" s="89"/>
      <c r="X256" s="89"/>
      <c r="Y256" s="89"/>
      <c r="Z256" s="89"/>
      <c r="AA256" s="89"/>
      <c r="AB256" s="89"/>
      <c r="AC256" s="89"/>
      <c r="AD256" s="89"/>
      <c r="AE256" s="89"/>
      <c r="AF256" s="89"/>
      <c r="AG256" s="89"/>
      <c r="AH256" s="89"/>
      <c r="AI256" s="89"/>
      <c r="AJ256" s="89"/>
      <c r="AK256" s="89"/>
      <c r="AL256" s="89"/>
      <c r="AM256" s="89"/>
      <c r="AN256" s="89"/>
      <c r="AO256" s="89"/>
      <c r="AP256" s="89"/>
      <c r="AQ256" s="89"/>
      <c r="AR256" s="89"/>
      <c r="AS256" s="89"/>
      <c r="AT256" s="89"/>
      <c r="AU256" s="89"/>
      <c r="AV256" s="89"/>
      <c r="AW256" s="89"/>
      <c r="AX256" s="89"/>
      <c r="AY256" s="89"/>
      <c r="AZ256" s="89"/>
      <c r="BA256" s="95"/>
    </row>
    <row r="257" spans="1:53" s="87" customFormat="1">
      <c r="A257" s="90" t="str">
        <f t="shared" si="28"/>
        <v/>
      </c>
      <c r="B257" s="89">
        <v>7</v>
      </c>
      <c r="C257" s="89">
        <v>-4</v>
      </c>
      <c r="D257" s="89" t="s">
        <v>210</v>
      </c>
      <c r="E257" s="89" t="s">
        <v>210</v>
      </c>
      <c r="F257" s="89">
        <v>-3</v>
      </c>
      <c r="G257" s="89">
        <v>1</v>
      </c>
      <c r="H257" s="89" t="s">
        <v>210</v>
      </c>
      <c r="I257" s="89" t="s">
        <v>210</v>
      </c>
      <c r="J257" s="89">
        <v>2</v>
      </c>
      <c r="K257" s="89">
        <v>3</v>
      </c>
      <c r="L257" s="89" t="s">
        <v>210</v>
      </c>
      <c r="M257" s="89" t="s">
        <v>210</v>
      </c>
      <c r="N257" s="89">
        <v>-1</v>
      </c>
      <c r="O257" s="89">
        <v>-2</v>
      </c>
      <c r="P257" s="89" t="s">
        <v>210</v>
      </c>
      <c r="Q257" s="89" t="s">
        <v>210</v>
      </c>
      <c r="R257" s="89" t="s">
        <v>202</v>
      </c>
      <c r="S257" s="89">
        <v>4</v>
      </c>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c r="AZ257" s="89"/>
      <c r="BA257" s="95"/>
    </row>
    <row r="258" spans="1:53" s="87" customFormat="1">
      <c r="A258" s="90" t="str">
        <f t="shared" si="28"/>
        <v/>
      </c>
      <c r="B258" s="89">
        <v>8</v>
      </c>
      <c r="C258" s="89">
        <v>3</v>
      </c>
      <c r="D258" s="89" t="s">
        <v>210</v>
      </c>
      <c r="E258" s="89" t="s">
        <v>210</v>
      </c>
      <c r="F258" s="89">
        <v>1</v>
      </c>
      <c r="G258" s="89">
        <v>2</v>
      </c>
      <c r="H258" s="89" t="s">
        <v>210</v>
      </c>
      <c r="I258" s="89" t="s">
        <v>210</v>
      </c>
      <c r="J258" s="89">
        <v>-3</v>
      </c>
      <c r="K258" s="89">
        <v>4</v>
      </c>
      <c r="L258" s="89" t="s">
        <v>210</v>
      </c>
      <c r="M258" s="89" t="s">
        <v>210</v>
      </c>
      <c r="N258" s="89">
        <v>-2</v>
      </c>
      <c r="O258" s="89" t="s">
        <v>202</v>
      </c>
      <c r="P258" s="89" t="s">
        <v>210</v>
      </c>
      <c r="Q258" s="89" t="s">
        <v>210</v>
      </c>
      <c r="R258" s="89">
        <v>-1</v>
      </c>
      <c r="S258" s="89">
        <v>-4</v>
      </c>
      <c r="T258" s="89"/>
      <c r="U258" s="89"/>
      <c r="V258" s="89"/>
      <c r="W258" s="89"/>
      <c r="X258" s="89"/>
      <c r="Y258" s="89"/>
      <c r="Z258" s="89"/>
      <c r="AA258" s="89"/>
      <c r="AB258" s="89"/>
      <c r="AC258" s="89"/>
      <c r="AD258" s="89"/>
      <c r="AE258" s="89"/>
      <c r="AF258" s="89"/>
      <c r="AG258" s="89"/>
      <c r="AH258" s="89"/>
      <c r="AI258" s="89"/>
      <c r="AJ258" s="89"/>
      <c r="AK258" s="89"/>
      <c r="AL258" s="89"/>
      <c r="AM258" s="89"/>
      <c r="AN258" s="89"/>
      <c r="AO258" s="89"/>
      <c r="AP258" s="89"/>
      <c r="AQ258" s="89"/>
      <c r="AR258" s="89"/>
      <c r="AS258" s="89"/>
      <c r="AT258" s="89"/>
      <c r="AU258" s="89"/>
      <c r="AV258" s="89"/>
      <c r="AW258" s="89"/>
      <c r="AX258" s="89"/>
      <c r="AY258" s="89"/>
      <c r="AZ258" s="89"/>
      <c r="BA258" s="95"/>
    </row>
    <row r="259" spans="1:53" s="87" customFormat="1">
      <c r="A259" s="90" t="str">
        <f t="shared" si="28"/>
        <v/>
      </c>
      <c r="B259" s="99">
        <v>9</v>
      </c>
      <c r="C259" s="92">
        <v>4</v>
      </c>
      <c r="D259" s="92" t="s">
        <v>210</v>
      </c>
      <c r="E259" s="92" t="s">
        <v>210</v>
      </c>
      <c r="F259" s="92">
        <v>2</v>
      </c>
      <c r="G259" s="92">
        <v>-3</v>
      </c>
      <c r="H259" s="92" t="s">
        <v>210</v>
      </c>
      <c r="I259" s="92" t="s">
        <v>210</v>
      </c>
      <c r="J259" s="92">
        <v>1</v>
      </c>
      <c r="K259" s="92">
        <v>-4</v>
      </c>
      <c r="L259" s="92" t="s">
        <v>210</v>
      </c>
      <c r="M259" s="92" t="s">
        <v>210</v>
      </c>
      <c r="N259" s="92">
        <v>3</v>
      </c>
      <c r="O259" s="92">
        <v>-1</v>
      </c>
      <c r="P259" s="92" t="s">
        <v>210</v>
      </c>
      <c r="Q259" s="92" t="s">
        <v>210</v>
      </c>
      <c r="R259" s="92">
        <v>-2</v>
      </c>
      <c r="S259" s="92" t="s">
        <v>202</v>
      </c>
      <c r="T259" s="89"/>
      <c r="U259" s="89"/>
      <c r="V259" s="89"/>
      <c r="W259" s="89"/>
      <c r="X259" s="89"/>
      <c r="Y259" s="89"/>
      <c r="Z259" s="89"/>
      <c r="AA259" s="89"/>
      <c r="AB259" s="89"/>
      <c r="AC259" s="89"/>
      <c r="AD259" s="89"/>
      <c r="AE259" s="89"/>
      <c r="AF259" s="89"/>
      <c r="AG259" s="89"/>
      <c r="AH259" s="89"/>
      <c r="AI259" s="89"/>
      <c r="AJ259" s="89"/>
      <c r="AK259" s="89"/>
      <c r="AL259" s="89"/>
      <c r="AM259" s="89"/>
      <c r="AN259" s="89"/>
      <c r="AO259" s="89"/>
      <c r="AP259" s="89"/>
      <c r="AQ259" s="89"/>
      <c r="AR259" s="89"/>
      <c r="AS259" s="89"/>
      <c r="AT259" s="89"/>
      <c r="AU259" s="89"/>
      <c r="AV259" s="89"/>
      <c r="AW259" s="89"/>
      <c r="AX259" s="89"/>
      <c r="AY259" s="89"/>
      <c r="AZ259" s="89"/>
      <c r="BA259" s="95"/>
    </row>
    <row r="260" spans="1:53" s="87" customFormat="1">
      <c r="A260" s="90" t="str">
        <f t="shared" si="28"/>
        <v/>
      </c>
      <c r="B260" s="89">
        <v>10</v>
      </c>
      <c r="C260" s="89" t="s">
        <v>210</v>
      </c>
      <c r="D260" s="89">
        <v>3</v>
      </c>
      <c r="E260" s="89">
        <v>1</v>
      </c>
      <c r="F260" s="89" t="s">
        <v>210</v>
      </c>
      <c r="G260" s="89" t="s">
        <v>210</v>
      </c>
      <c r="H260" s="89">
        <v>4</v>
      </c>
      <c r="I260" s="89">
        <v>-3</v>
      </c>
      <c r="J260" s="89" t="s">
        <v>210</v>
      </c>
      <c r="K260" s="89" t="s">
        <v>210</v>
      </c>
      <c r="L260" s="89">
        <v>-1</v>
      </c>
      <c r="M260" s="89">
        <v>2</v>
      </c>
      <c r="N260" s="89" t="s">
        <v>210</v>
      </c>
      <c r="O260" s="89" t="s">
        <v>210</v>
      </c>
      <c r="P260" s="89">
        <v>-4</v>
      </c>
      <c r="Q260" s="89">
        <v>-2</v>
      </c>
      <c r="R260" s="89" t="s">
        <v>210</v>
      </c>
      <c r="S260" s="89" t="s">
        <v>210</v>
      </c>
      <c r="T260" s="89"/>
      <c r="U260" s="89"/>
      <c r="V260" s="89"/>
      <c r="W260" s="89"/>
      <c r="X260" s="89"/>
      <c r="Y260" s="89"/>
      <c r="Z260" s="89"/>
      <c r="AA260" s="89"/>
      <c r="AB260" s="89"/>
      <c r="AC260" s="89"/>
      <c r="AD260" s="89"/>
      <c r="AE260" s="89"/>
      <c r="AF260" s="89"/>
      <c r="AG260" s="89"/>
      <c r="AH260" s="89"/>
      <c r="AI260" s="89"/>
      <c r="AJ260" s="89"/>
      <c r="AK260" s="89"/>
      <c r="AL260" s="89"/>
      <c r="AM260" s="89"/>
      <c r="AN260" s="89"/>
      <c r="AO260" s="89"/>
      <c r="AP260" s="89"/>
      <c r="AQ260" s="89"/>
      <c r="AR260" s="89"/>
      <c r="AS260" s="89"/>
      <c r="AT260" s="89"/>
      <c r="AU260" s="89"/>
      <c r="AV260" s="89"/>
      <c r="AW260" s="89"/>
      <c r="AX260" s="89"/>
      <c r="AY260" s="89"/>
      <c r="AZ260" s="89"/>
      <c r="BA260" s="95"/>
    </row>
    <row r="261" spans="1:53" s="87" customFormat="1">
      <c r="A261" s="90" t="str">
        <f t="shared" si="28"/>
        <v/>
      </c>
      <c r="B261" s="89">
        <v>11</v>
      </c>
      <c r="C261" s="89" t="s">
        <v>210</v>
      </c>
      <c r="D261" s="89">
        <v>-3</v>
      </c>
      <c r="E261" s="89">
        <v>4</v>
      </c>
      <c r="F261" s="89" t="s">
        <v>210</v>
      </c>
      <c r="G261" s="89" t="s">
        <v>210</v>
      </c>
      <c r="H261" s="89">
        <v>1</v>
      </c>
      <c r="I261" s="89">
        <v>-2</v>
      </c>
      <c r="J261" s="89" t="s">
        <v>210</v>
      </c>
      <c r="K261" s="89" t="s">
        <v>210</v>
      </c>
      <c r="L261" s="89">
        <v>-4</v>
      </c>
      <c r="M261" s="89">
        <v>3</v>
      </c>
      <c r="N261" s="89" t="s">
        <v>210</v>
      </c>
      <c r="O261" s="89" t="s">
        <v>210</v>
      </c>
      <c r="P261" s="89">
        <v>-1</v>
      </c>
      <c r="Q261" s="89">
        <v>2</v>
      </c>
      <c r="R261" s="89" t="s">
        <v>210</v>
      </c>
      <c r="S261" s="89" t="s">
        <v>210</v>
      </c>
      <c r="T261" s="89"/>
      <c r="U261" s="89"/>
      <c r="V261" s="89"/>
      <c r="W261" s="89"/>
      <c r="X261" s="89"/>
      <c r="Y261" s="89"/>
      <c r="Z261" s="89"/>
      <c r="AA261" s="89"/>
      <c r="AB261" s="89"/>
      <c r="AC261" s="89"/>
      <c r="AD261" s="89"/>
      <c r="AE261" s="89"/>
      <c r="AF261" s="89"/>
      <c r="AG261" s="89"/>
      <c r="AH261" s="89"/>
      <c r="AI261" s="89"/>
      <c r="AJ261" s="89"/>
      <c r="AK261" s="89"/>
      <c r="AL261" s="89"/>
      <c r="AM261" s="89"/>
      <c r="AN261" s="89"/>
      <c r="AO261" s="89"/>
      <c r="AP261" s="89"/>
      <c r="AQ261" s="89"/>
      <c r="AR261" s="89"/>
      <c r="AS261" s="89"/>
      <c r="AT261" s="89"/>
      <c r="AU261" s="89"/>
      <c r="AV261" s="89"/>
      <c r="AW261" s="89"/>
      <c r="AX261" s="89"/>
      <c r="AY261" s="89"/>
      <c r="AZ261" s="89"/>
      <c r="BA261" s="95"/>
    </row>
    <row r="262" spans="1:53" s="87" customFormat="1">
      <c r="A262" s="90" t="str">
        <f t="shared" si="28"/>
        <v/>
      </c>
      <c r="B262" s="89">
        <v>12</v>
      </c>
      <c r="C262" s="89" t="s">
        <v>210</v>
      </c>
      <c r="D262" s="89">
        <v>-2</v>
      </c>
      <c r="E262" s="89">
        <v>-4</v>
      </c>
      <c r="F262" s="89" t="s">
        <v>210</v>
      </c>
      <c r="G262" s="89" t="s">
        <v>210</v>
      </c>
      <c r="H262" s="89">
        <v>-3</v>
      </c>
      <c r="I262" s="89">
        <v>1</v>
      </c>
      <c r="J262" s="89" t="s">
        <v>210</v>
      </c>
      <c r="K262" s="89" t="s">
        <v>210</v>
      </c>
      <c r="L262" s="89">
        <v>2</v>
      </c>
      <c r="M262" s="89">
        <v>-1</v>
      </c>
      <c r="N262" s="89" t="s">
        <v>210</v>
      </c>
      <c r="O262" s="89" t="s">
        <v>210</v>
      </c>
      <c r="P262" s="89">
        <v>4</v>
      </c>
      <c r="Q262" s="89">
        <v>3</v>
      </c>
      <c r="R262" s="89" t="s">
        <v>210</v>
      </c>
      <c r="S262" s="89" t="s">
        <v>210</v>
      </c>
      <c r="T262" s="89"/>
      <c r="U262" s="89"/>
      <c r="V262" s="89"/>
      <c r="W262" s="89"/>
      <c r="X262" s="89"/>
      <c r="Y262" s="89"/>
      <c r="Z262" s="89"/>
      <c r="AA262" s="89"/>
      <c r="AB262" s="89"/>
      <c r="AC262" s="89"/>
      <c r="AD262" s="89"/>
      <c r="AE262" s="89"/>
      <c r="AF262" s="89"/>
      <c r="AG262" s="89"/>
      <c r="AH262" s="89"/>
      <c r="AI262" s="89"/>
      <c r="AJ262" s="89"/>
      <c r="AK262" s="89"/>
      <c r="AL262" s="89"/>
      <c r="AM262" s="89"/>
      <c r="AN262" s="89"/>
      <c r="AO262" s="89"/>
      <c r="AP262" s="89"/>
      <c r="AQ262" s="89"/>
      <c r="AR262" s="89"/>
      <c r="AS262" s="89"/>
      <c r="AT262" s="89"/>
      <c r="AU262" s="89"/>
      <c r="AV262" s="89"/>
      <c r="AW262" s="89"/>
      <c r="AX262" s="89"/>
      <c r="AY262" s="89"/>
      <c r="AZ262" s="89"/>
      <c r="BA262" s="95"/>
    </row>
    <row r="263" spans="1:53" s="87" customFormat="1">
      <c r="A263" s="90" t="str">
        <f t="shared" si="28"/>
        <v/>
      </c>
      <c r="B263" s="89">
        <v>13</v>
      </c>
      <c r="C263" s="89" t="s">
        <v>210</v>
      </c>
      <c r="D263" s="89">
        <v>2</v>
      </c>
      <c r="E263" s="89">
        <v>-1</v>
      </c>
      <c r="F263" s="89" t="s">
        <v>210</v>
      </c>
      <c r="G263" s="89" t="s">
        <v>210</v>
      </c>
      <c r="H263" s="89">
        <v>-2</v>
      </c>
      <c r="I263" s="89">
        <v>4</v>
      </c>
      <c r="J263" s="89" t="s">
        <v>210</v>
      </c>
      <c r="K263" s="89" t="s">
        <v>210</v>
      </c>
      <c r="L263" s="89">
        <v>3</v>
      </c>
      <c r="M263" s="89">
        <v>-4</v>
      </c>
      <c r="N263" s="89" t="s">
        <v>210</v>
      </c>
      <c r="O263" s="89" t="s">
        <v>210</v>
      </c>
      <c r="P263" s="89">
        <v>1</v>
      </c>
      <c r="Q263" s="89">
        <v>-3</v>
      </c>
      <c r="R263" s="89" t="s">
        <v>210</v>
      </c>
      <c r="S263" s="89" t="s">
        <v>210</v>
      </c>
      <c r="T263" s="89"/>
      <c r="U263" s="89"/>
      <c r="V263" s="89"/>
      <c r="W263" s="89"/>
      <c r="X263" s="89"/>
      <c r="Y263" s="89"/>
      <c r="Z263" s="89"/>
      <c r="AA263" s="89"/>
      <c r="AB263" s="89"/>
      <c r="AC263" s="89"/>
      <c r="AD263" s="89"/>
      <c r="AE263" s="89"/>
      <c r="AF263" s="89"/>
      <c r="AG263" s="89"/>
      <c r="AH263" s="89"/>
      <c r="AI263" s="89"/>
      <c r="AJ263" s="89"/>
      <c r="AK263" s="89"/>
      <c r="AL263" s="89"/>
      <c r="AM263" s="89"/>
      <c r="AN263" s="89"/>
      <c r="AO263" s="89"/>
      <c r="AP263" s="89"/>
      <c r="AQ263" s="89"/>
      <c r="AR263" s="89"/>
      <c r="AS263" s="89"/>
      <c r="AT263" s="89"/>
      <c r="AU263" s="89"/>
      <c r="AV263" s="89"/>
      <c r="AW263" s="89"/>
      <c r="AX263" s="89"/>
      <c r="AY263" s="89"/>
      <c r="AZ263" s="89"/>
      <c r="BA263" s="95"/>
    </row>
    <row r="264" spans="1:53" s="87" customFormat="1">
      <c r="A264" s="90" t="str">
        <f t="shared" si="28"/>
        <v/>
      </c>
      <c r="B264" s="89">
        <v>14</v>
      </c>
      <c r="C264" s="89" t="s">
        <v>210</v>
      </c>
      <c r="D264" s="89">
        <v>-4</v>
      </c>
      <c r="E264" s="89">
        <v>3</v>
      </c>
      <c r="F264" s="89" t="s">
        <v>210</v>
      </c>
      <c r="G264" s="89" t="s">
        <v>210</v>
      </c>
      <c r="H264" s="89">
        <v>2</v>
      </c>
      <c r="I264" s="89">
        <v>-1</v>
      </c>
      <c r="J264" s="89" t="s">
        <v>210</v>
      </c>
      <c r="K264" s="89" t="s">
        <v>210</v>
      </c>
      <c r="L264" s="89">
        <v>4</v>
      </c>
      <c r="M264" s="89">
        <v>-2</v>
      </c>
      <c r="N264" s="89" t="s">
        <v>210</v>
      </c>
      <c r="O264" s="89" t="s">
        <v>210</v>
      </c>
      <c r="P264" s="89">
        <v>-3</v>
      </c>
      <c r="Q264" s="89">
        <v>1</v>
      </c>
      <c r="R264" s="89" t="s">
        <v>210</v>
      </c>
      <c r="S264" s="89" t="s">
        <v>210</v>
      </c>
      <c r="T264" s="89"/>
      <c r="U264" s="89"/>
      <c r="V264" s="89"/>
      <c r="W264" s="89"/>
      <c r="X264" s="89"/>
      <c r="Y264" s="89"/>
      <c r="Z264" s="89"/>
      <c r="AA264" s="89"/>
      <c r="AB264" s="89"/>
      <c r="AC264" s="89"/>
      <c r="AD264" s="89"/>
      <c r="AE264" s="89"/>
      <c r="AF264" s="89"/>
      <c r="AG264" s="89"/>
      <c r="AH264" s="89"/>
      <c r="AI264" s="89"/>
      <c r="AJ264" s="89"/>
      <c r="AK264" s="89"/>
      <c r="AL264" s="89"/>
      <c r="AM264" s="89"/>
      <c r="AN264" s="89"/>
      <c r="AO264" s="89"/>
      <c r="AP264" s="89"/>
      <c r="AQ264" s="89"/>
      <c r="AR264" s="89"/>
      <c r="AS264" s="89"/>
      <c r="AT264" s="89"/>
      <c r="AU264" s="89"/>
      <c r="AV264" s="89"/>
      <c r="AW264" s="89"/>
      <c r="AX264" s="89"/>
      <c r="AY264" s="89"/>
      <c r="AZ264" s="89"/>
      <c r="BA264" s="95"/>
    </row>
    <row r="265" spans="1:53" s="87" customFormat="1">
      <c r="A265" s="90" t="str">
        <f t="shared" si="28"/>
        <v/>
      </c>
      <c r="B265" s="89">
        <v>15</v>
      </c>
      <c r="C265" s="89" t="s">
        <v>210</v>
      </c>
      <c r="D265" s="89">
        <v>4</v>
      </c>
      <c r="E265" s="89">
        <v>2</v>
      </c>
      <c r="F265" s="89" t="s">
        <v>210</v>
      </c>
      <c r="G265" s="89" t="s">
        <v>210</v>
      </c>
      <c r="H265" s="89">
        <v>3</v>
      </c>
      <c r="I265" s="89">
        <v>-4</v>
      </c>
      <c r="J265" s="89" t="s">
        <v>210</v>
      </c>
      <c r="K265" s="89" t="s">
        <v>210</v>
      </c>
      <c r="L265" s="89">
        <v>1</v>
      </c>
      <c r="M265" s="89">
        <v>-3</v>
      </c>
      <c r="N265" s="89" t="s">
        <v>210</v>
      </c>
      <c r="O265" s="89" t="s">
        <v>210</v>
      </c>
      <c r="P265" s="89">
        <v>-2</v>
      </c>
      <c r="Q265" s="89">
        <v>-1</v>
      </c>
      <c r="R265" s="89" t="s">
        <v>210</v>
      </c>
      <c r="S265" s="89" t="s">
        <v>210</v>
      </c>
      <c r="T265" s="89"/>
      <c r="U265" s="89"/>
      <c r="V265" s="89"/>
      <c r="W265" s="89"/>
      <c r="X265" s="89"/>
      <c r="Y265" s="89"/>
      <c r="Z265" s="89"/>
      <c r="AA265" s="89"/>
      <c r="AB265" s="89"/>
      <c r="AC265" s="89"/>
      <c r="AD265" s="89"/>
      <c r="AE265" s="89"/>
      <c r="AF265" s="89"/>
      <c r="AG265" s="89"/>
      <c r="AH265" s="89"/>
      <c r="AI265" s="89"/>
      <c r="AJ265" s="89"/>
      <c r="AK265" s="89"/>
      <c r="AL265" s="89"/>
      <c r="AM265" s="89"/>
      <c r="AN265" s="89"/>
      <c r="AO265" s="89"/>
      <c r="AP265" s="89"/>
      <c r="AQ265" s="89"/>
      <c r="AR265" s="89"/>
      <c r="AS265" s="89"/>
      <c r="AT265" s="89"/>
      <c r="AU265" s="89"/>
      <c r="AV265" s="89"/>
      <c r="AW265" s="89"/>
      <c r="AX265" s="89"/>
      <c r="AY265" s="89"/>
      <c r="AZ265" s="89"/>
      <c r="BA265" s="95"/>
    </row>
    <row r="266" spans="1:53" s="87" customFormat="1">
      <c r="A266" s="90" t="str">
        <f t="shared" si="28"/>
        <v/>
      </c>
      <c r="B266" s="89">
        <v>16</v>
      </c>
      <c r="C266" s="89" t="s">
        <v>210</v>
      </c>
      <c r="D266" s="89">
        <v>-1</v>
      </c>
      <c r="E266" s="89">
        <v>-2</v>
      </c>
      <c r="F266" s="89" t="s">
        <v>210</v>
      </c>
      <c r="G266" s="89" t="s">
        <v>210</v>
      </c>
      <c r="H266" s="89">
        <v>-4</v>
      </c>
      <c r="I266" s="89">
        <v>2</v>
      </c>
      <c r="J266" s="89" t="s">
        <v>210</v>
      </c>
      <c r="K266" s="89" t="s">
        <v>210</v>
      </c>
      <c r="L266" s="89">
        <v>-3</v>
      </c>
      <c r="M266" s="89">
        <v>1</v>
      </c>
      <c r="N266" s="89" t="s">
        <v>210</v>
      </c>
      <c r="O266" s="89" t="s">
        <v>210</v>
      </c>
      <c r="P266" s="89">
        <v>3</v>
      </c>
      <c r="Q266" s="89">
        <v>4</v>
      </c>
      <c r="R266" s="89" t="s">
        <v>210</v>
      </c>
      <c r="S266" s="89" t="s">
        <v>210</v>
      </c>
      <c r="T266" s="89"/>
      <c r="U266" s="89"/>
      <c r="V266" s="89"/>
      <c r="W266" s="89"/>
      <c r="X266" s="89"/>
      <c r="Y266" s="89"/>
      <c r="Z266" s="89"/>
      <c r="AA266" s="89"/>
      <c r="AB266" s="89"/>
      <c r="AC266" s="89"/>
      <c r="AD266" s="89"/>
      <c r="AE266" s="89"/>
      <c r="AF266" s="89"/>
      <c r="AG266" s="89"/>
      <c r="AH266" s="89"/>
      <c r="AI266" s="89"/>
      <c r="AJ266" s="89"/>
      <c r="AK266" s="89"/>
      <c r="AL266" s="89"/>
      <c r="AM266" s="89"/>
      <c r="AN266" s="89"/>
      <c r="AO266" s="89"/>
      <c r="AP266" s="89"/>
      <c r="AQ266" s="89"/>
      <c r="AR266" s="89"/>
      <c r="AS266" s="89"/>
      <c r="AT266" s="89"/>
      <c r="AU266" s="89"/>
      <c r="AV266" s="89"/>
      <c r="AW266" s="89"/>
      <c r="AX266" s="89"/>
      <c r="AY266" s="89"/>
      <c r="AZ266" s="89"/>
      <c r="BA266" s="95"/>
    </row>
    <row r="267" spans="1:53" s="87" customFormat="1">
      <c r="A267" s="90" t="str">
        <f t="shared" si="28"/>
        <v/>
      </c>
      <c r="B267" s="89">
        <v>17</v>
      </c>
      <c r="C267" s="89" t="s">
        <v>210</v>
      </c>
      <c r="D267" s="89">
        <v>1</v>
      </c>
      <c r="E267" s="89">
        <v>-3</v>
      </c>
      <c r="F267" s="89" t="s">
        <v>210</v>
      </c>
      <c r="G267" s="89" t="s">
        <v>210</v>
      </c>
      <c r="H267" s="89">
        <v>-1</v>
      </c>
      <c r="I267" s="89">
        <v>3</v>
      </c>
      <c r="J267" s="89" t="s">
        <v>210</v>
      </c>
      <c r="K267" s="89" t="s">
        <v>210</v>
      </c>
      <c r="L267" s="89">
        <v>-2</v>
      </c>
      <c r="M267" s="89">
        <v>4</v>
      </c>
      <c r="N267" s="89" t="s">
        <v>210</v>
      </c>
      <c r="O267" s="89" t="s">
        <v>210</v>
      </c>
      <c r="P267" s="89">
        <v>2</v>
      </c>
      <c r="Q267" s="89">
        <v>-4</v>
      </c>
      <c r="R267" s="89" t="s">
        <v>210</v>
      </c>
      <c r="S267" s="89" t="s">
        <v>210</v>
      </c>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c r="AZ267" s="89"/>
      <c r="BA267" s="95"/>
    </row>
    <row r="268" spans="1:53" s="87" customFormat="1">
      <c r="A268" s="90" t="str">
        <f t="shared" ref="A268:A331" si="29">IF(MID(B268,3,2)="04",ROW(),"")</f>
        <v/>
      </c>
      <c r="B268" s="319" t="s">
        <v>286</v>
      </c>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c r="AZ268" s="89"/>
      <c r="BA268" s="95"/>
    </row>
    <row r="269" spans="1:53" s="87" customFormat="1">
      <c r="A269" s="90">
        <f t="shared" si="29"/>
        <v>269</v>
      </c>
      <c r="B269" s="319" t="s">
        <v>1034</v>
      </c>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95"/>
    </row>
    <row r="270" spans="1:53" s="87" customFormat="1">
      <c r="A270" s="90" t="str">
        <f t="shared" si="29"/>
        <v/>
      </c>
      <c r="B270" s="89">
        <v>1</v>
      </c>
      <c r="C270" s="89">
        <v>-2</v>
      </c>
      <c r="D270" s="89" t="s">
        <v>210</v>
      </c>
      <c r="E270" s="89" t="s">
        <v>210</v>
      </c>
      <c r="F270" s="89">
        <v>3</v>
      </c>
      <c r="G270" s="89">
        <v>-1</v>
      </c>
      <c r="H270" s="89" t="s">
        <v>210</v>
      </c>
      <c r="I270" s="89" t="s">
        <v>210</v>
      </c>
      <c r="J270" s="89">
        <v>4</v>
      </c>
      <c r="K270" s="89">
        <v>2</v>
      </c>
      <c r="L270" s="89" t="s">
        <v>210</v>
      </c>
      <c r="M270" s="89"/>
      <c r="N270" s="89"/>
      <c r="O270" s="89"/>
      <c r="P270" s="89"/>
      <c r="Q270" s="89"/>
      <c r="R270" s="89"/>
      <c r="S270" s="89"/>
      <c r="T270" s="89"/>
      <c r="U270" s="89"/>
      <c r="V270" s="89"/>
      <c r="W270" s="89"/>
      <c r="X270" s="89"/>
      <c r="Y270" s="89"/>
      <c r="Z270" s="89"/>
      <c r="AA270" s="89"/>
      <c r="AB270" s="89"/>
      <c r="AC270" s="89"/>
      <c r="AD270" s="89"/>
      <c r="AE270" s="89"/>
      <c r="AF270" s="89"/>
      <c r="AG270" s="89"/>
      <c r="AH270" s="89"/>
      <c r="AI270" s="89"/>
      <c r="AJ270" s="89"/>
      <c r="AK270" s="89"/>
      <c r="AL270" s="89"/>
      <c r="AM270" s="89"/>
      <c r="AN270" s="89"/>
      <c r="AO270" s="89"/>
      <c r="AP270" s="89"/>
      <c r="AQ270" s="89"/>
      <c r="AR270" s="89"/>
      <c r="AS270" s="89"/>
      <c r="AT270" s="89"/>
      <c r="AU270" s="89"/>
      <c r="AV270" s="89"/>
      <c r="AW270" s="89"/>
      <c r="AX270" s="89"/>
      <c r="AY270" s="89"/>
      <c r="AZ270" s="89"/>
      <c r="BA270" s="95"/>
    </row>
    <row r="271" spans="1:53" s="87" customFormat="1">
      <c r="A271" s="90" t="str">
        <f t="shared" si="29"/>
        <v/>
      </c>
      <c r="B271" s="89">
        <v>2</v>
      </c>
      <c r="C271" s="89">
        <v>-3</v>
      </c>
      <c r="D271" s="89" t="s">
        <v>210</v>
      </c>
      <c r="E271" s="89" t="s">
        <v>210</v>
      </c>
      <c r="F271" s="89">
        <v>1</v>
      </c>
      <c r="G271" s="89">
        <v>-4</v>
      </c>
      <c r="H271" s="89" t="s">
        <v>210</v>
      </c>
      <c r="I271" s="89" t="s">
        <v>210</v>
      </c>
      <c r="J271" s="89">
        <v>3</v>
      </c>
      <c r="K271" s="89">
        <v>-2</v>
      </c>
      <c r="L271" s="89" t="s">
        <v>210</v>
      </c>
      <c r="M271" s="89"/>
      <c r="N271" s="89"/>
      <c r="O271" s="89"/>
      <c r="P271" s="89"/>
      <c r="Q271" s="89"/>
      <c r="R271" s="89"/>
      <c r="S271" s="89"/>
      <c r="T271" s="89"/>
      <c r="U271" s="89"/>
      <c r="V271" s="89"/>
      <c r="W271" s="89"/>
      <c r="X271" s="89"/>
      <c r="Y271" s="89"/>
      <c r="Z271" s="89"/>
      <c r="AA271" s="89"/>
      <c r="AB271" s="89"/>
      <c r="AC271" s="89"/>
      <c r="AD271" s="89"/>
      <c r="AE271" s="89"/>
      <c r="AF271" s="89"/>
      <c r="AG271" s="89"/>
      <c r="AH271" s="89"/>
      <c r="AI271" s="89"/>
      <c r="AJ271" s="89"/>
      <c r="AK271" s="89"/>
      <c r="AL271" s="89"/>
      <c r="AM271" s="89"/>
      <c r="AN271" s="89"/>
      <c r="AO271" s="89"/>
      <c r="AP271" s="89"/>
      <c r="AQ271" s="89"/>
      <c r="AR271" s="89"/>
      <c r="AS271" s="89"/>
      <c r="AT271" s="89"/>
      <c r="AU271" s="89"/>
      <c r="AV271" s="89"/>
      <c r="AW271" s="89"/>
      <c r="AX271" s="89"/>
      <c r="AY271" s="89"/>
      <c r="AZ271" s="89"/>
      <c r="BA271" s="95"/>
    </row>
    <row r="272" spans="1:53" s="87" customFormat="1">
      <c r="A272" s="90" t="str">
        <f t="shared" si="29"/>
        <v/>
      </c>
      <c r="B272" s="89">
        <v>3</v>
      </c>
      <c r="C272" s="89">
        <v>4</v>
      </c>
      <c r="D272" s="89" t="s">
        <v>210</v>
      </c>
      <c r="E272" s="89" t="s">
        <v>210</v>
      </c>
      <c r="F272" s="89">
        <v>-1</v>
      </c>
      <c r="G272" s="89">
        <v>2</v>
      </c>
      <c r="H272" s="89" t="s">
        <v>210</v>
      </c>
      <c r="I272" s="89" t="s">
        <v>210</v>
      </c>
      <c r="J272" s="89">
        <v>-4</v>
      </c>
      <c r="K272" s="89">
        <v>3</v>
      </c>
      <c r="L272" s="89" t="s">
        <v>210</v>
      </c>
      <c r="M272" s="89"/>
      <c r="N272" s="89"/>
      <c r="O272" s="89"/>
      <c r="P272" s="89"/>
      <c r="Q272" s="89"/>
      <c r="R272" s="89"/>
      <c r="S272" s="89"/>
      <c r="T272" s="89"/>
      <c r="U272" s="89"/>
      <c r="V272" s="89"/>
      <c r="W272" s="89"/>
      <c r="X272" s="89"/>
      <c r="Y272" s="89"/>
      <c r="Z272" s="89"/>
      <c r="AA272" s="89"/>
      <c r="AB272" s="89"/>
      <c r="AC272" s="89"/>
      <c r="AD272" s="89"/>
      <c r="AE272" s="89"/>
      <c r="AF272" s="89"/>
      <c r="AG272" s="89"/>
      <c r="AH272" s="89"/>
      <c r="AI272" s="89"/>
      <c r="AJ272" s="89"/>
      <c r="AK272" s="89"/>
      <c r="AL272" s="89"/>
      <c r="AM272" s="89"/>
      <c r="AN272" s="89"/>
      <c r="AO272" s="89"/>
      <c r="AP272" s="89"/>
      <c r="AQ272" s="89"/>
      <c r="AR272" s="89"/>
      <c r="AS272" s="89"/>
      <c r="AT272" s="89"/>
      <c r="AU272" s="89"/>
      <c r="AV272" s="89"/>
      <c r="AW272" s="89"/>
      <c r="AX272" s="89"/>
      <c r="AY272" s="89"/>
      <c r="AZ272" s="89"/>
      <c r="BA272" s="95"/>
    </row>
    <row r="273" spans="1:53" s="87" customFormat="1">
      <c r="A273" s="90" t="str">
        <f t="shared" si="29"/>
        <v/>
      </c>
      <c r="B273" s="89">
        <v>4</v>
      </c>
      <c r="C273" s="89">
        <v>3</v>
      </c>
      <c r="D273" s="89" t="s">
        <v>210</v>
      </c>
      <c r="E273" s="89" t="s">
        <v>210</v>
      </c>
      <c r="F273" s="89">
        <v>-4</v>
      </c>
      <c r="G273" s="89">
        <v>1</v>
      </c>
      <c r="H273" s="89" t="s">
        <v>210</v>
      </c>
      <c r="I273" s="89" t="s">
        <v>210</v>
      </c>
      <c r="J273" s="89">
        <v>-2</v>
      </c>
      <c r="K273" s="89">
        <v>-3</v>
      </c>
      <c r="L273" s="89" t="s">
        <v>210</v>
      </c>
      <c r="M273" s="89"/>
      <c r="N273" s="89"/>
      <c r="O273" s="89"/>
      <c r="P273" s="89"/>
      <c r="Q273" s="89"/>
      <c r="R273" s="89"/>
      <c r="S273" s="89"/>
      <c r="T273" s="89"/>
      <c r="U273" s="89"/>
      <c r="V273" s="89"/>
      <c r="W273" s="89"/>
      <c r="X273" s="89"/>
      <c r="Y273" s="89"/>
      <c r="Z273" s="89"/>
      <c r="AA273" s="89"/>
      <c r="AB273" s="89"/>
      <c r="AC273" s="89"/>
      <c r="AD273" s="89"/>
      <c r="AE273" s="89"/>
      <c r="AF273" s="89"/>
      <c r="AG273" s="89"/>
      <c r="AH273" s="89"/>
      <c r="AI273" s="89"/>
      <c r="AJ273" s="89"/>
      <c r="AK273" s="89"/>
      <c r="AL273" s="89"/>
      <c r="AM273" s="89"/>
      <c r="AN273" s="89"/>
      <c r="AO273" s="89"/>
      <c r="AP273" s="89"/>
      <c r="AQ273" s="89"/>
      <c r="AR273" s="89"/>
      <c r="AS273" s="89"/>
      <c r="AT273" s="89"/>
      <c r="AU273" s="89"/>
      <c r="AV273" s="89"/>
      <c r="AW273" s="89"/>
      <c r="AX273" s="89"/>
      <c r="AY273" s="89"/>
      <c r="AZ273" s="89"/>
      <c r="BA273" s="95"/>
    </row>
    <row r="274" spans="1:53" s="87" customFormat="1">
      <c r="A274" s="90" t="str">
        <f t="shared" si="29"/>
        <v/>
      </c>
      <c r="B274" s="89">
        <v>5</v>
      </c>
      <c r="C274" s="89">
        <v>2</v>
      </c>
      <c r="D274" s="89" t="s">
        <v>210</v>
      </c>
      <c r="E274" s="89" t="s">
        <v>210</v>
      </c>
      <c r="F274" s="89">
        <v>4</v>
      </c>
      <c r="G274" s="89">
        <v>-2</v>
      </c>
      <c r="H274" s="89" t="s">
        <v>210</v>
      </c>
      <c r="I274" s="89" t="s">
        <v>210</v>
      </c>
      <c r="J274" s="89">
        <v>-3</v>
      </c>
      <c r="K274" s="89">
        <v>1</v>
      </c>
      <c r="L274" s="89" t="s">
        <v>210</v>
      </c>
      <c r="M274" s="89"/>
      <c r="N274" s="89"/>
      <c r="O274" s="89"/>
      <c r="P274" s="89"/>
      <c r="Q274" s="89"/>
      <c r="R274" s="89"/>
      <c r="S274" s="89"/>
      <c r="T274" s="89"/>
      <c r="U274" s="89"/>
      <c r="V274" s="89"/>
      <c r="W274" s="89"/>
      <c r="X274" s="89"/>
      <c r="Y274" s="89"/>
      <c r="Z274" s="89"/>
      <c r="AA274" s="89"/>
      <c r="AB274" s="89"/>
      <c r="AC274" s="89"/>
      <c r="AD274" s="89"/>
      <c r="AE274" s="89"/>
      <c r="AF274" s="89"/>
      <c r="AG274" s="89"/>
      <c r="AH274" s="89"/>
      <c r="AI274" s="89"/>
      <c r="AJ274" s="89"/>
      <c r="AK274" s="89"/>
      <c r="AL274" s="89"/>
      <c r="AM274" s="89"/>
      <c r="AN274" s="89"/>
      <c r="AO274" s="89"/>
      <c r="AP274" s="89"/>
      <c r="AQ274" s="89"/>
      <c r="AR274" s="89"/>
      <c r="AS274" s="89"/>
      <c r="AT274" s="89"/>
      <c r="AU274" s="89"/>
      <c r="AV274" s="89"/>
      <c r="AW274" s="89"/>
      <c r="AX274" s="89"/>
      <c r="AY274" s="89"/>
      <c r="AZ274" s="89"/>
      <c r="BA274" s="95"/>
    </row>
    <row r="275" spans="1:53" s="87" customFormat="1">
      <c r="A275" s="90" t="str">
        <f t="shared" si="29"/>
        <v/>
      </c>
      <c r="B275" s="99">
        <v>6</v>
      </c>
      <c r="C275" s="92">
        <v>-4</v>
      </c>
      <c r="D275" s="92" t="s">
        <v>210</v>
      </c>
      <c r="E275" s="92" t="s">
        <v>210</v>
      </c>
      <c r="F275" s="92">
        <v>-3</v>
      </c>
      <c r="G275" s="92">
        <v>4</v>
      </c>
      <c r="H275" s="92" t="s">
        <v>210</v>
      </c>
      <c r="I275" s="92" t="s">
        <v>210</v>
      </c>
      <c r="J275" s="92">
        <v>2</v>
      </c>
      <c r="K275" s="92">
        <v>-1</v>
      </c>
      <c r="L275" s="92" t="s">
        <v>210</v>
      </c>
      <c r="M275" s="89"/>
      <c r="N275" s="89"/>
      <c r="O275" s="89"/>
      <c r="P275" s="89"/>
      <c r="Q275" s="89"/>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95"/>
    </row>
    <row r="276" spans="1:53" s="87" customFormat="1">
      <c r="A276" s="90" t="str">
        <f t="shared" si="29"/>
        <v/>
      </c>
      <c r="B276" s="89">
        <v>7</v>
      </c>
      <c r="C276" s="89" t="s">
        <v>210</v>
      </c>
      <c r="D276" s="89">
        <v>1</v>
      </c>
      <c r="E276" s="89">
        <v>-3</v>
      </c>
      <c r="F276" s="89" t="s">
        <v>210</v>
      </c>
      <c r="G276" s="89" t="s">
        <v>210</v>
      </c>
      <c r="H276" s="89">
        <v>-1</v>
      </c>
      <c r="I276" s="89">
        <v>4</v>
      </c>
      <c r="J276" s="89" t="s">
        <v>210</v>
      </c>
      <c r="K276" s="89" t="s">
        <v>210</v>
      </c>
      <c r="L276" s="89">
        <v>2</v>
      </c>
      <c r="M276" s="89"/>
      <c r="N276" s="89"/>
      <c r="O276" s="89"/>
      <c r="P276" s="89"/>
      <c r="Q276" s="89"/>
      <c r="R276" s="89"/>
      <c r="S276" s="89"/>
      <c r="T276" s="89"/>
      <c r="U276" s="89"/>
      <c r="V276" s="89"/>
      <c r="W276" s="89"/>
      <c r="X276" s="89"/>
      <c r="Y276" s="89"/>
      <c r="Z276" s="89"/>
      <c r="AA276" s="89"/>
      <c r="AB276" s="89"/>
      <c r="AC276" s="89"/>
      <c r="AD276" s="89"/>
      <c r="AE276" s="89"/>
      <c r="AF276" s="89"/>
      <c r="AG276" s="89"/>
      <c r="AH276" s="89"/>
      <c r="AI276" s="89"/>
      <c r="AJ276" s="89"/>
      <c r="AK276" s="89"/>
      <c r="AL276" s="89"/>
      <c r="AM276" s="89"/>
      <c r="AN276" s="89"/>
      <c r="AO276" s="89"/>
      <c r="AP276" s="89"/>
      <c r="AQ276" s="89"/>
      <c r="AR276" s="89"/>
      <c r="AS276" s="89"/>
      <c r="AT276" s="89"/>
      <c r="AU276" s="89"/>
      <c r="AV276" s="89"/>
      <c r="AW276" s="89"/>
      <c r="AX276" s="89"/>
      <c r="AY276" s="89"/>
      <c r="AZ276" s="89"/>
      <c r="BA276" s="95"/>
    </row>
    <row r="277" spans="1:53" s="87" customFormat="1">
      <c r="A277" s="90" t="str">
        <f t="shared" si="29"/>
        <v/>
      </c>
      <c r="B277" s="89">
        <v>8</v>
      </c>
      <c r="C277" s="89" t="s">
        <v>210</v>
      </c>
      <c r="D277" s="89">
        <v>-3</v>
      </c>
      <c r="E277" s="89">
        <v>-1</v>
      </c>
      <c r="F277" s="89" t="s">
        <v>210</v>
      </c>
      <c r="G277" s="89" t="s">
        <v>210</v>
      </c>
      <c r="H277" s="89">
        <v>4</v>
      </c>
      <c r="I277" s="89">
        <v>3</v>
      </c>
      <c r="J277" s="89" t="s">
        <v>210</v>
      </c>
      <c r="K277" s="89" t="s">
        <v>210</v>
      </c>
      <c r="L277" s="89">
        <v>-2</v>
      </c>
      <c r="M277" s="89"/>
      <c r="N277" s="89"/>
      <c r="O277" s="89"/>
      <c r="P277" s="89"/>
      <c r="Q277" s="89"/>
      <c r="R277" s="89"/>
      <c r="S277" s="89"/>
      <c r="T277" s="89"/>
      <c r="U277" s="89"/>
      <c r="V277" s="89"/>
      <c r="W277" s="89"/>
      <c r="X277" s="89"/>
      <c r="Y277" s="89"/>
      <c r="Z277" s="89"/>
      <c r="AA277" s="89"/>
      <c r="AB277" s="89"/>
      <c r="AC277" s="89"/>
      <c r="AD277" s="89"/>
      <c r="AE277" s="89"/>
      <c r="AF277" s="89"/>
      <c r="AG277" s="89"/>
      <c r="AH277" s="89"/>
      <c r="AI277" s="89"/>
      <c r="AJ277" s="89"/>
      <c r="AK277" s="89"/>
      <c r="AL277" s="89"/>
      <c r="AM277" s="89"/>
      <c r="AN277" s="89"/>
      <c r="AO277" s="89"/>
      <c r="AP277" s="89"/>
      <c r="AQ277" s="89"/>
      <c r="AR277" s="89"/>
      <c r="AS277" s="89"/>
      <c r="AT277" s="89"/>
      <c r="AU277" s="89"/>
      <c r="AV277" s="89"/>
      <c r="AW277" s="89"/>
      <c r="AX277" s="89"/>
      <c r="AY277" s="89"/>
      <c r="AZ277" s="89"/>
      <c r="BA277" s="95"/>
    </row>
    <row r="278" spans="1:53" s="87" customFormat="1">
      <c r="A278" s="90" t="str">
        <f t="shared" si="29"/>
        <v/>
      </c>
      <c r="B278" s="89">
        <v>9</v>
      </c>
      <c r="C278" s="89" t="s">
        <v>210</v>
      </c>
      <c r="D278" s="89">
        <v>2</v>
      </c>
      <c r="E278" s="89">
        <v>1</v>
      </c>
      <c r="F278" s="89" t="s">
        <v>210</v>
      </c>
      <c r="G278" s="89" t="s">
        <v>210</v>
      </c>
      <c r="H278" s="89">
        <v>-2</v>
      </c>
      <c r="I278" s="89">
        <v>-4</v>
      </c>
      <c r="J278" s="89" t="s">
        <v>210</v>
      </c>
      <c r="K278" s="89" t="s">
        <v>210</v>
      </c>
      <c r="L278" s="89">
        <v>3</v>
      </c>
      <c r="M278" s="89"/>
      <c r="N278" s="89"/>
      <c r="O278" s="89"/>
      <c r="P278" s="89"/>
      <c r="Q278" s="89"/>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95"/>
    </row>
    <row r="279" spans="1:53" s="87" customFormat="1">
      <c r="A279" s="90" t="str">
        <f t="shared" si="29"/>
        <v/>
      </c>
      <c r="B279" s="89">
        <v>10</v>
      </c>
      <c r="C279" s="89" t="s">
        <v>210</v>
      </c>
      <c r="D279" s="89">
        <v>3</v>
      </c>
      <c r="E279" s="89">
        <v>-4</v>
      </c>
      <c r="F279" s="89" t="s">
        <v>210</v>
      </c>
      <c r="G279" s="89" t="s">
        <v>210</v>
      </c>
      <c r="H279" s="89">
        <v>1</v>
      </c>
      <c r="I279" s="89">
        <v>-2</v>
      </c>
      <c r="J279" s="89" t="s">
        <v>210</v>
      </c>
      <c r="K279" s="89" t="s">
        <v>210</v>
      </c>
      <c r="L279" s="89">
        <v>-3</v>
      </c>
      <c r="M279" s="89"/>
      <c r="N279" s="89"/>
      <c r="O279" s="89"/>
      <c r="P279" s="89"/>
      <c r="Q279" s="89"/>
      <c r="R279" s="89"/>
      <c r="S279" s="89"/>
      <c r="T279" s="89"/>
      <c r="U279" s="89"/>
      <c r="V279" s="89"/>
      <c r="W279" s="89"/>
      <c r="X279" s="89"/>
      <c r="Y279" s="89"/>
      <c r="Z279" s="89"/>
      <c r="AA279" s="89"/>
      <c r="AB279" s="89"/>
      <c r="AC279" s="89"/>
      <c r="AD279" s="89"/>
      <c r="AE279" s="89"/>
      <c r="AF279" s="89"/>
      <c r="AG279" s="89"/>
      <c r="AH279" s="89"/>
      <c r="AI279" s="89"/>
      <c r="AJ279" s="89"/>
      <c r="AK279" s="89"/>
      <c r="AL279" s="89"/>
      <c r="AM279" s="89"/>
      <c r="AN279" s="89"/>
      <c r="AO279" s="89"/>
      <c r="AP279" s="89"/>
      <c r="AQ279" s="89"/>
      <c r="AR279" s="89"/>
      <c r="AS279" s="89"/>
      <c r="AT279" s="89"/>
      <c r="AU279" s="89"/>
      <c r="AV279" s="89"/>
      <c r="AW279" s="89"/>
      <c r="AX279" s="89"/>
      <c r="AY279" s="89"/>
      <c r="AZ279" s="89"/>
      <c r="BA279" s="95"/>
    </row>
    <row r="280" spans="1:53" s="87" customFormat="1">
      <c r="A280" s="90" t="str">
        <f t="shared" si="29"/>
        <v/>
      </c>
      <c r="B280" s="89">
        <v>11</v>
      </c>
      <c r="C280" s="89" t="s">
        <v>210</v>
      </c>
      <c r="D280" s="89">
        <v>-1</v>
      </c>
      <c r="E280" s="89">
        <v>4</v>
      </c>
      <c r="F280" s="89" t="s">
        <v>210</v>
      </c>
      <c r="G280" s="89" t="s">
        <v>210</v>
      </c>
      <c r="H280" s="89">
        <v>2</v>
      </c>
      <c r="I280" s="89">
        <v>-3</v>
      </c>
      <c r="J280" s="89" t="s">
        <v>210</v>
      </c>
      <c r="K280" s="89" t="s">
        <v>210</v>
      </c>
      <c r="L280" s="89">
        <v>1</v>
      </c>
      <c r="M280" s="89"/>
      <c r="N280" s="89"/>
      <c r="O280" s="89"/>
      <c r="P280" s="89"/>
      <c r="Q280" s="89"/>
      <c r="R280" s="89"/>
      <c r="S280" s="89"/>
      <c r="T280" s="89"/>
      <c r="U280" s="89"/>
      <c r="V280" s="89"/>
      <c r="W280" s="89"/>
      <c r="X280" s="89"/>
      <c r="Y280" s="89"/>
      <c r="Z280" s="89"/>
      <c r="AA280" s="89"/>
      <c r="AB280" s="89"/>
      <c r="AC280" s="89"/>
      <c r="AD280" s="89"/>
      <c r="AE280" s="89"/>
      <c r="AF280" s="89"/>
      <c r="AG280" s="89"/>
      <c r="AH280" s="89"/>
      <c r="AI280" s="89"/>
      <c r="AJ280" s="89"/>
      <c r="AK280" s="89"/>
      <c r="AL280" s="89"/>
      <c r="AM280" s="89"/>
      <c r="AN280" s="89"/>
      <c r="AO280" s="89"/>
      <c r="AP280" s="89"/>
      <c r="AQ280" s="89"/>
      <c r="AR280" s="89"/>
      <c r="AS280" s="89"/>
      <c r="AT280" s="89"/>
      <c r="AU280" s="89"/>
      <c r="AV280" s="89"/>
      <c r="AW280" s="89"/>
      <c r="AX280" s="89"/>
      <c r="AY280" s="89"/>
      <c r="AZ280" s="89"/>
      <c r="BA280" s="95"/>
    </row>
    <row r="281" spans="1:53" s="87" customFormat="1">
      <c r="A281" s="90" t="str">
        <f t="shared" si="29"/>
        <v/>
      </c>
      <c r="B281" s="99">
        <v>12</v>
      </c>
      <c r="C281" s="92" t="s">
        <v>210</v>
      </c>
      <c r="D281" s="92">
        <v>-2</v>
      </c>
      <c r="E281" s="92">
        <v>3</v>
      </c>
      <c r="F281" s="92" t="s">
        <v>210</v>
      </c>
      <c r="G281" s="92" t="s">
        <v>210</v>
      </c>
      <c r="H281" s="92">
        <v>-4</v>
      </c>
      <c r="I281" s="92">
        <v>2</v>
      </c>
      <c r="J281" s="92" t="s">
        <v>210</v>
      </c>
      <c r="K281" s="92" t="s">
        <v>210</v>
      </c>
      <c r="L281" s="92">
        <v>-1</v>
      </c>
      <c r="M281" s="89"/>
      <c r="N281" s="89"/>
      <c r="O281" s="89"/>
      <c r="P281" s="89"/>
      <c r="Q281" s="89"/>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95"/>
    </row>
    <row r="282" spans="1:53" s="87" customFormat="1">
      <c r="A282" s="90" t="str">
        <f t="shared" si="29"/>
        <v/>
      </c>
      <c r="B282" s="89">
        <v>13</v>
      </c>
      <c r="C282" s="89" t="s">
        <v>210</v>
      </c>
      <c r="D282" s="89">
        <v>4</v>
      </c>
      <c r="E282" s="89">
        <v>2</v>
      </c>
      <c r="F282" s="89" t="s">
        <v>210</v>
      </c>
      <c r="G282" s="89">
        <v>-3</v>
      </c>
      <c r="H282" s="89" t="s">
        <v>210</v>
      </c>
      <c r="I282" s="89" t="s">
        <v>210</v>
      </c>
      <c r="J282" s="89">
        <v>-1</v>
      </c>
      <c r="K282" s="89" t="s">
        <v>202</v>
      </c>
      <c r="L282" s="89" t="s">
        <v>210</v>
      </c>
      <c r="M282" s="89"/>
      <c r="N282" s="89"/>
      <c r="O282" s="89"/>
      <c r="P282" s="89"/>
      <c r="Q282" s="89"/>
      <c r="R282" s="89"/>
      <c r="S282" s="89"/>
      <c r="T282" s="89"/>
      <c r="U282" s="89"/>
      <c r="V282" s="89"/>
      <c r="W282" s="89"/>
      <c r="X282" s="89"/>
      <c r="Y282" s="89"/>
      <c r="Z282" s="89"/>
      <c r="AA282" s="89"/>
      <c r="AB282" s="89"/>
      <c r="AC282" s="89"/>
      <c r="AD282" s="89"/>
      <c r="AE282" s="89"/>
      <c r="AF282" s="89"/>
      <c r="AG282" s="89"/>
      <c r="AH282" s="89"/>
      <c r="AI282" s="89"/>
      <c r="AJ282" s="89"/>
      <c r="AK282" s="89"/>
      <c r="AL282" s="89"/>
      <c r="AM282" s="89"/>
      <c r="AN282" s="89"/>
      <c r="AO282" s="89"/>
      <c r="AP282" s="89"/>
      <c r="AQ282" s="89"/>
      <c r="AR282" s="89"/>
      <c r="AS282" s="89"/>
      <c r="AT282" s="89"/>
      <c r="AU282" s="89"/>
      <c r="AV282" s="89"/>
      <c r="AW282" s="89"/>
      <c r="AX282" s="89"/>
      <c r="AY282" s="89"/>
      <c r="AZ282" s="89"/>
      <c r="BA282" s="95"/>
    </row>
    <row r="283" spans="1:53" s="87" customFormat="1">
      <c r="A283" s="90" t="str">
        <f t="shared" si="29"/>
        <v/>
      </c>
      <c r="B283" s="89">
        <v>14</v>
      </c>
      <c r="C283" s="89" t="s">
        <v>210</v>
      </c>
      <c r="D283" s="89">
        <v>-4</v>
      </c>
      <c r="E283" s="89" t="s">
        <v>202</v>
      </c>
      <c r="F283" s="89" t="s">
        <v>210</v>
      </c>
      <c r="G283" s="89" t="s">
        <v>210</v>
      </c>
      <c r="H283" s="89">
        <v>-3</v>
      </c>
      <c r="I283" s="89">
        <v>1</v>
      </c>
      <c r="J283" s="89" t="s">
        <v>210</v>
      </c>
      <c r="K283" s="89">
        <v>4</v>
      </c>
      <c r="L283" s="89" t="s">
        <v>210</v>
      </c>
      <c r="M283" s="89"/>
      <c r="N283" s="89"/>
      <c r="O283" s="89"/>
      <c r="P283" s="89"/>
      <c r="Q283" s="89"/>
      <c r="R283" s="89"/>
      <c r="S283" s="89"/>
      <c r="T283" s="89"/>
      <c r="U283" s="89"/>
      <c r="V283" s="89"/>
      <c r="W283" s="89"/>
      <c r="X283" s="89"/>
      <c r="Y283" s="89"/>
      <c r="Z283" s="89"/>
      <c r="AA283" s="89"/>
      <c r="AB283" s="89"/>
      <c r="AC283" s="89"/>
      <c r="AD283" s="89"/>
      <c r="AE283" s="89"/>
      <c r="AF283" s="89"/>
      <c r="AG283" s="89"/>
      <c r="AH283" s="89"/>
      <c r="AI283" s="89"/>
      <c r="AJ283" s="89"/>
      <c r="AK283" s="89"/>
      <c r="AL283" s="89"/>
      <c r="AM283" s="89"/>
      <c r="AN283" s="89"/>
      <c r="AO283" s="89"/>
      <c r="AP283" s="89"/>
      <c r="AQ283" s="89"/>
      <c r="AR283" s="89"/>
      <c r="AS283" s="89"/>
      <c r="AT283" s="89"/>
      <c r="AU283" s="89"/>
      <c r="AV283" s="89"/>
      <c r="AW283" s="89"/>
      <c r="AX283" s="89"/>
      <c r="AY283" s="89"/>
      <c r="AZ283" s="89"/>
      <c r="BA283" s="95"/>
    </row>
    <row r="284" spans="1:53" s="87" customFormat="1">
      <c r="A284" s="90" t="str">
        <f t="shared" si="29"/>
        <v/>
      </c>
      <c r="B284" s="89">
        <v>15</v>
      </c>
      <c r="C284" s="89">
        <v>-1</v>
      </c>
      <c r="D284" s="89" t="s">
        <v>210</v>
      </c>
      <c r="E284" s="89" t="s">
        <v>210</v>
      </c>
      <c r="F284" s="89">
        <v>2</v>
      </c>
      <c r="G284" s="89" t="s">
        <v>202</v>
      </c>
      <c r="H284" s="89" t="s">
        <v>210</v>
      </c>
      <c r="I284" s="89" t="s">
        <v>210</v>
      </c>
      <c r="J284" s="89">
        <v>1</v>
      </c>
      <c r="K284" s="89">
        <v>-4</v>
      </c>
      <c r="L284" s="89" t="s">
        <v>210</v>
      </c>
      <c r="M284" s="89"/>
      <c r="N284" s="89"/>
      <c r="O284" s="89"/>
      <c r="P284" s="89"/>
      <c r="Q284" s="89"/>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95"/>
    </row>
    <row r="285" spans="1:53" s="87" customFormat="1">
      <c r="A285" s="90" t="str">
        <f t="shared" si="29"/>
        <v/>
      </c>
      <c r="B285" s="89">
        <v>16</v>
      </c>
      <c r="C285" s="89">
        <v>1</v>
      </c>
      <c r="D285" s="89" t="s">
        <v>210</v>
      </c>
      <c r="E285" s="89">
        <v>-2</v>
      </c>
      <c r="F285" s="89" t="s">
        <v>210</v>
      </c>
      <c r="G285" s="89" t="s">
        <v>210</v>
      </c>
      <c r="H285" s="89">
        <v>3</v>
      </c>
      <c r="I285" s="89" t="s">
        <v>202</v>
      </c>
      <c r="J285" s="89" t="s">
        <v>210</v>
      </c>
      <c r="K285" s="89" t="s">
        <v>210</v>
      </c>
      <c r="L285" s="89">
        <v>-4</v>
      </c>
      <c r="M285" s="89"/>
      <c r="N285" s="89"/>
      <c r="O285" s="89"/>
      <c r="P285" s="89"/>
      <c r="Q285" s="89"/>
      <c r="R285" s="89"/>
      <c r="S285" s="89"/>
      <c r="T285" s="89"/>
      <c r="U285" s="89"/>
      <c r="V285" s="89"/>
      <c r="W285" s="89"/>
      <c r="X285" s="89"/>
      <c r="Y285" s="89"/>
      <c r="Z285" s="89"/>
      <c r="AA285" s="89"/>
      <c r="AB285" s="89"/>
      <c r="AC285" s="89"/>
      <c r="AD285" s="89"/>
      <c r="AE285" s="89"/>
      <c r="AF285" s="89"/>
      <c r="AG285" s="89"/>
      <c r="AH285" s="89"/>
      <c r="AI285" s="89"/>
      <c r="AJ285" s="89"/>
      <c r="AK285" s="89"/>
      <c r="AL285" s="89"/>
      <c r="AM285" s="89"/>
      <c r="AN285" s="89"/>
      <c r="AO285" s="89"/>
      <c r="AP285" s="89"/>
      <c r="AQ285" s="89"/>
      <c r="AR285" s="89"/>
      <c r="AS285" s="89"/>
      <c r="AT285" s="89"/>
      <c r="AU285" s="89"/>
      <c r="AV285" s="89"/>
      <c r="AW285" s="89"/>
      <c r="AX285" s="89"/>
      <c r="AY285" s="89"/>
      <c r="AZ285" s="89"/>
      <c r="BA285" s="95"/>
    </row>
    <row r="286" spans="1:53" s="87" customFormat="1">
      <c r="A286" s="90" t="str">
        <f t="shared" si="29"/>
        <v/>
      </c>
      <c r="B286" s="89">
        <v>17</v>
      </c>
      <c r="C286" s="89" t="s">
        <v>202</v>
      </c>
      <c r="D286" s="89" t="s">
        <v>210</v>
      </c>
      <c r="E286" s="89" t="s">
        <v>210</v>
      </c>
      <c r="F286" s="89">
        <v>-2</v>
      </c>
      <c r="G286" s="89">
        <v>3</v>
      </c>
      <c r="H286" s="89" t="s">
        <v>210</v>
      </c>
      <c r="I286" s="89">
        <v>-1</v>
      </c>
      <c r="J286" s="89" t="s">
        <v>210</v>
      </c>
      <c r="K286" s="89" t="s">
        <v>210</v>
      </c>
      <c r="L286" s="89">
        <v>4</v>
      </c>
      <c r="M286" s="89"/>
      <c r="N286" s="89"/>
      <c r="O286" s="89"/>
      <c r="P286" s="89"/>
      <c r="Q286" s="89"/>
      <c r="R286" s="89"/>
      <c r="S286" s="89"/>
      <c r="T286" s="89"/>
      <c r="U286" s="89"/>
      <c r="V286" s="89"/>
      <c r="W286" s="89"/>
      <c r="X286" s="89"/>
      <c r="Y286" s="89"/>
      <c r="Z286" s="89"/>
      <c r="AA286" s="89"/>
      <c r="AB286" s="89"/>
      <c r="AC286" s="89"/>
      <c r="AD286" s="89"/>
      <c r="AE286" s="89"/>
      <c r="AF286" s="89"/>
      <c r="AG286" s="89"/>
      <c r="AH286" s="89"/>
      <c r="AI286" s="89"/>
      <c r="AJ286" s="89"/>
      <c r="AK286" s="89"/>
      <c r="AL286" s="89"/>
      <c r="AM286" s="89"/>
      <c r="AN286" s="89"/>
      <c r="AO286" s="89"/>
      <c r="AP286" s="89"/>
      <c r="AQ286" s="89"/>
      <c r="AR286" s="89"/>
      <c r="AS286" s="89"/>
      <c r="AT286" s="89"/>
      <c r="AU286" s="89"/>
      <c r="AV286" s="89"/>
      <c r="AW286" s="89"/>
      <c r="AX286" s="89"/>
      <c r="AY286" s="89"/>
      <c r="AZ286" s="89"/>
      <c r="BA286" s="95"/>
    </row>
    <row r="287" spans="1:53" s="87" customFormat="1">
      <c r="A287" s="90" t="str">
        <f t="shared" si="29"/>
        <v/>
      </c>
      <c r="B287" s="89" t="s">
        <v>282</v>
      </c>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c r="AA287" s="89"/>
      <c r="AB287" s="89"/>
      <c r="AC287" s="89"/>
      <c r="AD287" s="89"/>
      <c r="AE287" s="89"/>
      <c r="AF287" s="89"/>
      <c r="AG287" s="89"/>
      <c r="AH287" s="89"/>
      <c r="AI287" s="89"/>
      <c r="AJ287" s="89"/>
      <c r="AK287" s="89"/>
      <c r="AL287" s="89"/>
      <c r="AM287" s="89"/>
      <c r="AN287" s="89"/>
      <c r="AO287" s="89"/>
      <c r="AP287" s="89"/>
      <c r="AQ287" s="89"/>
      <c r="AR287" s="89"/>
      <c r="AS287" s="89"/>
      <c r="AT287" s="89"/>
      <c r="AU287" s="89"/>
      <c r="AV287" s="89"/>
      <c r="AW287" s="89"/>
      <c r="AX287" s="89"/>
      <c r="AY287" s="89"/>
      <c r="AZ287" s="89"/>
      <c r="BA287" s="95"/>
    </row>
    <row r="288" spans="1:53" s="87" customFormat="1">
      <c r="A288" s="90">
        <f t="shared" si="29"/>
        <v>288</v>
      </c>
      <c r="B288" s="89" t="s">
        <v>287</v>
      </c>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c r="AA288" s="89"/>
      <c r="AB288" s="89"/>
      <c r="AC288" s="89"/>
      <c r="AD288" s="89"/>
      <c r="AE288" s="89"/>
      <c r="AF288" s="89"/>
      <c r="AG288" s="89"/>
      <c r="AH288" s="89"/>
      <c r="AI288" s="89"/>
      <c r="AJ288" s="89"/>
      <c r="AK288" s="89"/>
      <c r="AL288" s="89"/>
      <c r="AM288" s="89"/>
      <c r="AN288" s="89"/>
      <c r="AO288" s="89"/>
      <c r="AP288" s="89"/>
      <c r="AQ288" s="89"/>
      <c r="AR288" s="89"/>
      <c r="AS288" s="89"/>
      <c r="AT288" s="89"/>
      <c r="AU288" s="89"/>
      <c r="AV288" s="89"/>
      <c r="AW288" s="89"/>
      <c r="AX288" s="89"/>
      <c r="AY288" s="89"/>
      <c r="AZ288" s="89"/>
      <c r="BA288" s="95"/>
    </row>
    <row r="289" spans="1:53" s="87" customFormat="1">
      <c r="A289" s="90" t="str">
        <f t="shared" si="29"/>
        <v/>
      </c>
      <c r="B289" s="89">
        <v>1</v>
      </c>
      <c r="C289" s="89">
        <v>-3</v>
      </c>
      <c r="D289" s="89" t="s">
        <v>210</v>
      </c>
      <c r="E289" s="89" t="s">
        <v>210</v>
      </c>
      <c r="F289" s="89">
        <v>-1</v>
      </c>
      <c r="G289" s="89">
        <v>3</v>
      </c>
      <c r="H289" s="89" t="s">
        <v>210</v>
      </c>
      <c r="I289" s="89" t="s">
        <v>210</v>
      </c>
      <c r="J289" s="89" t="s">
        <v>210</v>
      </c>
      <c r="K289" s="89">
        <v>2</v>
      </c>
      <c r="L289" s="89"/>
      <c r="M289" s="89"/>
      <c r="N289" s="89"/>
      <c r="O289" s="89"/>
      <c r="P289" s="89"/>
      <c r="Q289" s="89"/>
      <c r="R289" s="89"/>
      <c r="S289" s="89"/>
      <c r="T289" s="89"/>
      <c r="U289" s="89"/>
      <c r="V289" s="89"/>
      <c r="W289" s="89"/>
      <c r="X289" s="89"/>
      <c r="Y289" s="89"/>
      <c r="Z289" s="89"/>
      <c r="AA289" s="89"/>
      <c r="AB289" s="89"/>
      <c r="AC289" s="89"/>
      <c r="AD289" s="89"/>
      <c r="AE289" s="89"/>
      <c r="AF289" s="89"/>
      <c r="AG289" s="89"/>
      <c r="AH289" s="89"/>
      <c r="AI289" s="89"/>
      <c r="AJ289" s="89"/>
      <c r="AK289" s="89"/>
      <c r="AL289" s="89"/>
      <c r="AM289" s="89"/>
      <c r="AN289" s="89"/>
      <c r="AO289" s="89"/>
      <c r="AP289" s="89"/>
      <c r="AQ289" s="89"/>
      <c r="AR289" s="89"/>
      <c r="AS289" s="89"/>
      <c r="AT289" s="89"/>
      <c r="AU289" s="89"/>
      <c r="AV289" s="89"/>
      <c r="AW289" s="89"/>
      <c r="AX289" s="89"/>
      <c r="AY289" s="89"/>
      <c r="AZ289" s="89"/>
      <c r="BA289" s="95"/>
    </row>
    <row r="290" spans="1:53" s="87" customFormat="1">
      <c r="A290" s="90" t="str">
        <f t="shared" si="29"/>
        <v/>
      </c>
      <c r="B290" s="89">
        <v>2</v>
      </c>
      <c r="C290" s="89">
        <v>-4</v>
      </c>
      <c r="D290" s="89" t="s">
        <v>210</v>
      </c>
      <c r="E290" s="89" t="s">
        <v>210</v>
      </c>
      <c r="F290" s="89">
        <v>2</v>
      </c>
      <c r="G290" s="89" t="s">
        <v>210</v>
      </c>
      <c r="H290" s="89" t="s">
        <v>210</v>
      </c>
      <c r="I290" s="89" t="s">
        <v>210</v>
      </c>
      <c r="J290" s="89">
        <v>3</v>
      </c>
      <c r="K290" s="89">
        <v>-2</v>
      </c>
      <c r="L290" s="89"/>
      <c r="M290" s="89"/>
      <c r="N290" s="89"/>
      <c r="O290" s="89"/>
      <c r="P290" s="89"/>
      <c r="Q290" s="89"/>
      <c r="R290" s="89"/>
      <c r="S290" s="89"/>
      <c r="T290" s="89"/>
      <c r="U290" s="89"/>
      <c r="V290" s="89"/>
      <c r="W290" s="89"/>
      <c r="X290" s="89"/>
      <c r="Y290" s="89"/>
      <c r="Z290" s="89"/>
      <c r="AA290" s="89"/>
      <c r="AB290" s="89"/>
      <c r="AC290" s="89"/>
      <c r="AD290" s="89"/>
      <c r="AE290" s="89"/>
      <c r="AF290" s="89"/>
      <c r="AG290" s="89"/>
      <c r="AH290" s="89"/>
      <c r="AI290" s="89"/>
      <c r="AJ290" s="89"/>
      <c r="AK290" s="89"/>
      <c r="AL290" s="89"/>
      <c r="AM290" s="89"/>
      <c r="AN290" s="89"/>
      <c r="AO290" s="89"/>
      <c r="AP290" s="89"/>
      <c r="AQ290" s="89"/>
      <c r="AR290" s="89"/>
      <c r="AS290" s="89"/>
      <c r="AT290" s="89"/>
      <c r="AU290" s="89"/>
      <c r="AV290" s="89"/>
      <c r="AW290" s="89"/>
      <c r="AX290" s="89"/>
      <c r="AY290" s="89"/>
      <c r="AZ290" s="89"/>
      <c r="BA290" s="95"/>
    </row>
    <row r="291" spans="1:53" s="87" customFormat="1">
      <c r="A291" s="90" t="str">
        <f t="shared" si="29"/>
        <v/>
      </c>
      <c r="B291" s="89">
        <v>3</v>
      </c>
      <c r="C291" s="89">
        <v>4</v>
      </c>
      <c r="D291" s="89" t="s">
        <v>210</v>
      </c>
      <c r="E291" s="89" t="s">
        <v>210</v>
      </c>
      <c r="F291" s="89" t="s">
        <v>210</v>
      </c>
      <c r="G291" s="89">
        <v>-3</v>
      </c>
      <c r="H291" s="89" t="s">
        <v>210</v>
      </c>
      <c r="I291" s="89" t="s">
        <v>210</v>
      </c>
      <c r="J291" s="89">
        <v>-2</v>
      </c>
      <c r="K291" s="89">
        <v>1</v>
      </c>
      <c r="L291" s="89"/>
      <c r="M291" s="89"/>
      <c r="N291" s="89"/>
      <c r="O291" s="89"/>
      <c r="P291" s="89"/>
      <c r="Q291" s="89"/>
      <c r="R291" s="89"/>
      <c r="S291" s="89"/>
      <c r="T291" s="89"/>
      <c r="U291" s="89"/>
      <c r="V291" s="89"/>
      <c r="W291" s="89"/>
      <c r="X291" s="89"/>
      <c r="Y291" s="89"/>
      <c r="Z291" s="89"/>
      <c r="AA291" s="89"/>
      <c r="AB291" s="89"/>
      <c r="AC291" s="89"/>
      <c r="AD291" s="89"/>
      <c r="AE291" s="89"/>
      <c r="AF291" s="89"/>
      <c r="AG291" s="89"/>
      <c r="AH291" s="89"/>
      <c r="AI291" s="89"/>
      <c r="AJ291" s="89"/>
      <c r="AK291" s="89"/>
      <c r="AL291" s="89"/>
      <c r="AM291" s="89"/>
      <c r="AN291" s="89"/>
      <c r="AO291" s="89"/>
      <c r="AP291" s="89"/>
      <c r="AQ291" s="89"/>
      <c r="AR291" s="89"/>
      <c r="AS291" s="89"/>
      <c r="AT291" s="89"/>
      <c r="AU291" s="89"/>
      <c r="AV291" s="89"/>
      <c r="AW291" s="89"/>
      <c r="AX291" s="89"/>
      <c r="AY291" s="89"/>
      <c r="AZ291" s="89"/>
      <c r="BA291" s="95"/>
    </row>
    <row r="292" spans="1:53" s="87" customFormat="1">
      <c r="A292" s="90" t="str">
        <f t="shared" si="29"/>
        <v/>
      </c>
      <c r="B292" s="89">
        <v>4</v>
      </c>
      <c r="C292" s="89" t="s">
        <v>210</v>
      </c>
      <c r="D292" s="89" t="s">
        <v>210</v>
      </c>
      <c r="E292" s="89" t="s">
        <v>210</v>
      </c>
      <c r="F292" s="89">
        <v>1</v>
      </c>
      <c r="G292" s="89">
        <v>4</v>
      </c>
      <c r="H292" s="89" t="s">
        <v>210</v>
      </c>
      <c r="I292" s="89" t="s">
        <v>210</v>
      </c>
      <c r="J292" s="89">
        <v>-3</v>
      </c>
      <c r="K292" s="89">
        <v>-1</v>
      </c>
      <c r="L292" s="89"/>
      <c r="M292" s="89"/>
      <c r="N292" s="89"/>
      <c r="O292" s="89"/>
      <c r="P292" s="89"/>
      <c r="Q292" s="89"/>
      <c r="R292" s="89"/>
      <c r="S292" s="89"/>
      <c r="T292" s="89"/>
      <c r="U292" s="89"/>
      <c r="V292" s="89"/>
      <c r="W292" s="89"/>
      <c r="X292" s="89"/>
      <c r="Y292" s="89"/>
      <c r="Z292" s="89"/>
      <c r="AA292" s="89"/>
      <c r="AB292" s="89"/>
      <c r="AC292" s="89"/>
      <c r="AD292" s="89"/>
      <c r="AE292" s="89"/>
      <c r="AF292" s="89"/>
      <c r="AG292" s="89"/>
      <c r="AH292" s="89"/>
      <c r="AI292" s="89"/>
      <c r="AJ292" s="89"/>
      <c r="AK292" s="89"/>
      <c r="AL292" s="89"/>
      <c r="AM292" s="89"/>
      <c r="AN292" s="89"/>
      <c r="AO292" s="89"/>
      <c r="AP292" s="89"/>
      <c r="AQ292" s="89"/>
      <c r="AR292" s="89"/>
      <c r="AS292" s="89"/>
      <c r="AT292" s="89"/>
      <c r="AU292" s="89"/>
      <c r="AV292" s="89"/>
      <c r="AW292" s="89"/>
      <c r="AX292" s="89"/>
      <c r="AY292" s="89"/>
      <c r="AZ292" s="89"/>
      <c r="BA292" s="95"/>
    </row>
    <row r="293" spans="1:53" s="87" customFormat="1">
      <c r="A293" s="90" t="str">
        <f t="shared" si="29"/>
        <v/>
      </c>
      <c r="B293" s="99">
        <v>5</v>
      </c>
      <c r="C293" s="92">
        <v>3</v>
      </c>
      <c r="D293" s="92" t="s">
        <v>210</v>
      </c>
      <c r="E293" s="92" t="s">
        <v>210</v>
      </c>
      <c r="F293" s="92">
        <v>-2</v>
      </c>
      <c r="G293" s="92">
        <v>-4</v>
      </c>
      <c r="H293" s="92" t="s">
        <v>210</v>
      </c>
      <c r="I293" s="92" t="s">
        <v>210</v>
      </c>
      <c r="J293" s="92">
        <v>2</v>
      </c>
      <c r="K293" s="92" t="s">
        <v>210</v>
      </c>
      <c r="L293" s="89"/>
      <c r="M293" s="89"/>
      <c r="N293" s="89"/>
      <c r="O293" s="89"/>
      <c r="P293" s="89"/>
      <c r="Q293" s="89"/>
      <c r="R293" s="89"/>
      <c r="S293" s="89"/>
      <c r="T293" s="89"/>
      <c r="U293" s="89"/>
      <c r="V293" s="89"/>
      <c r="W293" s="89"/>
      <c r="X293" s="89"/>
      <c r="Y293" s="89"/>
      <c r="Z293" s="89"/>
      <c r="AA293" s="89"/>
      <c r="AB293" s="89"/>
      <c r="AC293" s="89"/>
      <c r="AD293" s="89"/>
      <c r="AE293" s="89"/>
      <c r="AF293" s="89"/>
      <c r="AG293" s="89"/>
      <c r="AH293" s="89"/>
      <c r="AI293" s="89"/>
      <c r="AJ293" s="89"/>
      <c r="AK293" s="89"/>
      <c r="AL293" s="89"/>
      <c r="AM293" s="89"/>
      <c r="AN293" s="89"/>
      <c r="AO293" s="89"/>
      <c r="AP293" s="89"/>
      <c r="AQ293" s="89"/>
      <c r="AR293" s="89"/>
      <c r="AS293" s="89"/>
      <c r="AT293" s="89"/>
      <c r="AU293" s="89"/>
      <c r="AV293" s="89"/>
      <c r="AW293" s="89"/>
      <c r="AX293" s="89"/>
      <c r="AY293" s="89"/>
      <c r="AZ293" s="89"/>
      <c r="BA293" s="95"/>
    </row>
    <row r="294" spans="1:53" s="87" customFormat="1">
      <c r="A294" s="90" t="str">
        <f t="shared" si="29"/>
        <v/>
      </c>
      <c r="B294" s="89">
        <v>6</v>
      </c>
      <c r="C294" s="89">
        <v>-1</v>
      </c>
      <c r="D294" s="89" t="s">
        <v>210</v>
      </c>
      <c r="E294" s="89">
        <v>-3</v>
      </c>
      <c r="F294" s="89" t="s">
        <v>210</v>
      </c>
      <c r="G294" s="89" t="s">
        <v>210</v>
      </c>
      <c r="H294" s="89">
        <v>2</v>
      </c>
      <c r="I294" s="89">
        <v>3</v>
      </c>
      <c r="J294" s="89" t="s">
        <v>210</v>
      </c>
      <c r="K294" s="89" t="s">
        <v>210</v>
      </c>
      <c r="L294" s="89"/>
      <c r="M294" s="89"/>
      <c r="N294" s="89"/>
      <c r="O294" s="89"/>
      <c r="P294" s="89"/>
      <c r="Q294" s="89"/>
      <c r="R294" s="89"/>
      <c r="S294" s="89"/>
      <c r="T294" s="89"/>
      <c r="U294" s="89"/>
      <c r="V294" s="89"/>
      <c r="W294" s="89"/>
      <c r="X294" s="89"/>
      <c r="Y294" s="89"/>
      <c r="Z294" s="89"/>
      <c r="AA294" s="89"/>
      <c r="AB294" s="89"/>
      <c r="AC294" s="89"/>
      <c r="AD294" s="89"/>
      <c r="AE294" s="89"/>
      <c r="AF294" s="89"/>
      <c r="AG294" s="89"/>
      <c r="AH294" s="89"/>
      <c r="AI294" s="89"/>
      <c r="AJ294" s="89"/>
      <c r="AK294" s="89"/>
      <c r="AL294" s="89"/>
      <c r="AM294" s="89"/>
      <c r="AN294" s="89"/>
      <c r="AO294" s="89"/>
      <c r="AP294" s="89"/>
      <c r="AQ294" s="89"/>
      <c r="AR294" s="89"/>
      <c r="AS294" s="89"/>
      <c r="AT294" s="89"/>
      <c r="AU294" s="89"/>
      <c r="AV294" s="89"/>
      <c r="AW294" s="89"/>
      <c r="AX294" s="89"/>
      <c r="AY294" s="89"/>
      <c r="AZ294" s="89"/>
      <c r="BA294" s="95"/>
    </row>
    <row r="295" spans="1:53" s="87" customFormat="1">
      <c r="A295" s="90" t="str">
        <f t="shared" si="29"/>
        <v/>
      </c>
      <c r="B295" s="89">
        <v>7</v>
      </c>
      <c r="C295" s="89">
        <v>-2</v>
      </c>
      <c r="D295" s="89" t="s">
        <v>210</v>
      </c>
      <c r="E295" s="89">
        <v>3</v>
      </c>
      <c r="F295" s="89" t="s">
        <v>210</v>
      </c>
      <c r="G295" s="89" t="s">
        <v>210</v>
      </c>
      <c r="H295" s="89">
        <v>4</v>
      </c>
      <c r="I295" s="89">
        <v>-1</v>
      </c>
      <c r="J295" s="89" t="s">
        <v>210</v>
      </c>
      <c r="K295" s="89" t="s">
        <v>210</v>
      </c>
      <c r="L295" s="89"/>
      <c r="M295" s="89"/>
      <c r="N295" s="89"/>
      <c r="O295" s="89"/>
      <c r="P295" s="89"/>
      <c r="Q295" s="89"/>
      <c r="R295" s="89"/>
      <c r="S295" s="89"/>
      <c r="T295" s="89"/>
      <c r="U295" s="89"/>
      <c r="V295" s="89"/>
      <c r="W295" s="89"/>
      <c r="X295" s="89"/>
      <c r="Y295" s="89"/>
      <c r="Z295" s="89"/>
      <c r="AA295" s="89"/>
      <c r="AB295" s="89"/>
      <c r="AC295" s="89"/>
      <c r="AD295" s="89"/>
      <c r="AE295" s="89"/>
      <c r="AF295" s="89"/>
      <c r="AG295" s="89"/>
      <c r="AH295" s="89"/>
      <c r="AI295" s="89"/>
      <c r="AJ295" s="89"/>
      <c r="AK295" s="89"/>
      <c r="AL295" s="89"/>
      <c r="AM295" s="89"/>
      <c r="AN295" s="89"/>
      <c r="AO295" s="89"/>
      <c r="AP295" s="89"/>
      <c r="AQ295" s="89"/>
      <c r="AR295" s="89"/>
      <c r="AS295" s="89"/>
      <c r="AT295" s="89"/>
      <c r="AU295" s="89"/>
      <c r="AV295" s="89"/>
      <c r="AW295" s="89"/>
      <c r="AX295" s="89"/>
      <c r="AY295" s="89"/>
      <c r="AZ295" s="89"/>
      <c r="BA295" s="95"/>
    </row>
    <row r="296" spans="1:53" s="87" customFormat="1">
      <c r="A296" s="90" t="str">
        <f t="shared" si="29"/>
        <v/>
      </c>
      <c r="B296" s="89">
        <v>8</v>
      </c>
      <c r="C296" s="89" t="s">
        <v>210</v>
      </c>
      <c r="D296" s="89">
        <v>3</v>
      </c>
      <c r="E296" s="89">
        <v>1</v>
      </c>
      <c r="F296" s="89" t="s">
        <v>210</v>
      </c>
      <c r="G296" s="89" t="s">
        <v>210</v>
      </c>
      <c r="H296" s="89">
        <v>-4</v>
      </c>
      <c r="I296" s="89">
        <v>-3</v>
      </c>
      <c r="J296" s="89" t="s">
        <v>210</v>
      </c>
      <c r="K296" s="89" t="s">
        <v>210</v>
      </c>
      <c r="L296" s="89"/>
      <c r="M296" s="89"/>
      <c r="N296" s="89"/>
      <c r="O296" s="89"/>
      <c r="P296" s="89"/>
      <c r="Q296" s="89"/>
      <c r="R296" s="89"/>
      <c r="S296" s="89"/>
      <c r="T296" s="89"/>
      <c r="U296" s="89"/>
      <c r="V296" s="89"/>
      <c r="W296" s="89"/>
      <c r="X296" s="89"/>
      <c r="Y296" s="89"/>
      <c r="Z296" s="89"/>
      <c r="AA296" s="89"/>
      <c r="AB296" s="89"/>
      <c r="AC296" s="89"/>
      <c r="AD296" s="89"/>
      <c r="AE296" s="89"/>
      <c r="AF296" s="89"/>
      <c r="AG296" s="89"/>
      <c r="AH296" s="89"/>
      <c r="AI296" s="89"/>
      <c r="AJ296" s="89"/>
      <c r="AK296" s="89"/>
      <c r="AL296" s="89"/>
      <c r="AM296" s="89"/>
      <c r="AN296" s="89"/>
      <c r="AO296" s="89"/>
      <c r="AP296" s="89"/>
      <c r="AQ296" s="89"/>
      <c r="AR296" s="89"/>
      <c r="AS296" s="89"/>
      <c r="AT296" s="89"/>
      <c r="AU296" s="89"/>
      <c r="AV296" s="89"/>
      <c r="AW296" s="89"/>
      <c r="AX296" s="89"/>
      <c r="AY296" s="89"/>
      <c r="AZ296" s="89"/>
      <c r="BA296" s="95"/>
    </row>
    <row r="297" spans="1:53" s="87" customFormat="1">
      <c r="A297" s="90" t="str">
        <f t="shared" si="29"/>
        <v/>
      </c>
      <c r="B297" s="99">
        <v>9</v>
      </c>
      <c r="C297" s="92" t="s">
        <v>210</v>
      </c>
      <c r="D297" s="92">
        <v>4</v>
      </c>
      <c r="E297" s="92">
        <v>-1</v>
      </c>
      <c r="F297" s="92" t="s">
        <v>210</v>
      </c>
      <c r="G297" s="92" t="s">
        <v>210</v>
      </c>
      <c r="H297" s="92">
        <v>-2</v>
      </c>
      <c r="I297" s="92">
        <v>1</v>
      </c>
      <c r="J297" s="92" t="s">
        <v>210</v>
      </c>
      <c r="K297" s="92" t="s">
        <v>210</v>
      </c>
      <c r="L297" s="89"/>
      <c r="M297" s="89"/>
      <c r="N297" s="89"/>
      <c r="O297" s="89"/>
      <c r="P297" s="89"/>
      <c r="Q297" s="89"/>
      <c r="R297" s="89"/>
      <c r="S297" s="89"/>
      <c r="T297" s="89"/>
      <c r="U297" s="89"/>
      <c r="V297" s="89"/>
      <c r="W297" s="89"/>
      <c r="X297" s="89"/>
      <c r="Y297" s="89"/>
      <c r="Z297" s="89"/>
      <c r="AA297" s="89"/>
      <c r="AB297" s="89"/>
      <c r="AC297" s="89"/>
      <c r="AD297" s="89"/>
      <c r="AE297" s="89"/>
      <c r="AF297" s="89"/>
      <c r="AG297" s="89"/>
      <c r="AH297" s="89"/>
      <c r="AI297" s="89"/>
      <c r="AJ297" s="89"/>
      <c r="AK297" s="89"/>
      <c r="AL297" s="89"/>
      <c r="AM297" s="89"/>
      <c r="AN297" s="89"/>
      <c r="AO297" s="89"/>
      <c r="AP297" s="89"/>
      <c r="AQ297" s="89"/>
      <c r="AR297" s="89"/>
      <c r="AS297" s="89"/>
      <c r="AT297" s="89"/>
      <c r="AU297" s="89"/>
      <c r="AV297" s="89"/>
      <c r="AW297" s="89"/>
      <c r="AX297" s="89"/>
      <c r="AY297" s="89"/>
      <c r="AZ297" s="89"/>
      <c r="BA297" s="95"/>
    </row>
    <row r="298" spans="1:53" s="87" customFormat="1">
      <c r="A298" s="90" t="str">
        <f t="shared" si="29"/>
        <v/>
      </c>
      <c r="B298" s="89">
        <v>10</v>
      </c>
      <c r="C298" s="89">
        <v>1</v>
      </c>
      <c r="D298" s="89" t="s">
        <v>210</v>
      </c>
      <c r="E298" s="89" t="s">
        <v>210</v>
      </c>
      <c r="F298" s="89">
        <v>-3</v>
      </c>
      <c r="G298" s="89">
        <v>-2</v>
      </c>
      <c r="H298" s="89" t="s">
        <v>210</v>
      </c>
      <c r="I298" s="89" t="s">
        <v>210</v>
      </c>
      <c r="J298" s="89" t="s">
        <v>210</v>
      </c>
      <c r="K298" s="89">
        <v>4</v>
      </c>
      <c r="L298" s="89"/>
      <c r="M298" s="89"/>
      <c r="N298" s="89"/>
      <c r="O298" s="89"/>
      <c r="P298" s="89"/>
      <c r="Q298" s="89"/>
      <c r="R298" s="89"/>
      <c r="S298" s="89"/>
      <c r="T298" s="89"/>
      <c r="U298" s="89"/>
      <c r="V298" s="89"/>
      <c r="W298" s="89"/>
      <c r="X298" s="89"/>
      <c r="Y298" s="89"/>
      <c r="Z298" s="89"/>
      <c r="AA298" s="89"/>
      <c r="AB298" s="89"/>
      <c r="AC298" s="89"/>
      <c r="AD298" s="89"/>
      <c r="AE298" s="89"/>
      <c r="AF298" s="89"/>
      <c r="AG298" s="89"/>
      <c r="AH298" s="89"/>
      <c r="AI298" s="89"/>
      <c r="AJ298" s="89"/>
      <c r="AK298" s="89"/>
      <c r="AL298" s="89"/>
      <c r="AM298" s="89"/>
      <c r="AN298" s="89"/>
      <c r="AO298" s="89"/>
      <c r="AP298" s="89"/>
      <c r="AQ298" s="89"/>
      <c r="AR298" s="89"/>
      <c r="AS298" s="89"/>
      <c r="AT298" s="89"/>
      <c r="AU298" s="89"/>
      <c r="AV298" s="89"/>
      <c r="AW298" s="89"/>
      <c r="AX298" s="89"/>
      <c r="AY298" s="89"/>
      <c r="AZ298" s="89"/>
      <c r="BA298" s="95"/>
    </row>
    <row r="299" spans="1:53" s="87" customFormat="1">
      <c r="A299" s="90" t="str">
        <f t="shared" si="29"/>
        <v/>
      </c>
      <c r="B299" s="89">
        <v>11</v>
      </c>
      <c r="C299" s="89">
        <v>2</v>
      </c>
      <c r="D299" s="89" t="s">
        <v>210</v>
      </c>
      <c r="E299" s="89" t="s">
        <v>210</v>
      </c>
      <c r="F299" s="89">
        <v>3</v>
      </c>
      <c r="G299" s="89">
        <v>-1</v>
      </c>
      <c r="H299" s="89" t="s">
        <v>210</v>
      </c>
      <c r="I299" s="89" t="s">
        <v>210</v>
      </c>
      <c r="J299" s="89" t="s">
        <v>210</v>
      </c>
      <c r="K299" s="89">
        <v>-3</v>
      </c>
      <c r="L299" s="89"/>
      <c r="M299" s="89"/>
      <c r="N299" s="89"/>
      <c r="O299" s="89"/>
      <c r="P299" s="89"/>
      <c r="Q299" s="89"/>
      <c r="R299" s="89"/>
      <c r="S299" s="89"/>
      <c r="T299" s="89"/>
      <c r="U299" s="89"/>
      <c r="V299" s="89"/>
      <c r="W299" s="89"/>
      <c r="X299" s="89"/>
      <c r="Y299" s="89"/>
      <c r="Z299" s="89"/>
      <c r="AA299" s="89"/>
      <c r="AB299" s="89"/>
      <c r="AC299" s="89"/>
      <c r="AD299" s="89"/>
      <c r="AE299" s="89"/>
      <c r="AF299" s="89"/>
      <c r="AG299" s="89"/>
      <c r="AH299" s="89"/>
      <c r="AI299" s="89"/>
      <c r="AJ299" s="89"/>
      <c r="AK299" s="89"/>
      <c r="AL299" s="89"/>
      <c r="AM299" s="89"/>
      <c r="AN299" s="89"/>
      <c r="AO299" s="89"/>
      <c r="AP299" s="89"/>
      <c r="AQ299" s="89"/>
      <c r="AR299" s="89"/>
      <c r="AS299" s="89"/>
      <c r="AT299" s="89"/>
      <c r="AU299" s="89"/>
      <c r="AV299" s="89"/>
      <c r="AW299" s="89"/>
      <c r="AX299" s="89"/>
      <c r="AY299" s="89"/>
      <c r="AZ299" s="89"/>
      <c r="BA299" s="95"/>
    </row>
    <row r="300" spans="1:53" s="87" customFormat="1">
      <c r="A300" s="90" t="str">
        <f t="shared" si="29"/>
        <v/>
      </c>
      <c r="B300" s="89">
        <v>12</v>
      </c>
      <c r="C300" s="89" t="s">
        <v>210</v>
      </c>
      <c r="D300" s="89">
        <v>-1</v>
      </c>
      <c r="E300" s="89" t="s">
        <v>210</v>
      </c>
      <c r="F300" s="89">
        <v>-4</v>
      </c>
      <c r="G300" s="89">
        <v>2</v>
      </c>
      <c r="H300" s="89" t="s">
        <v>210</v>
      </c>
      <c r="I300" s="89" t="s">
        <v>210</v>
      </c>
      <c r="J300" s="89" t="s">
        <v>210</v>
      </c>
      <c r="K300" s="89">
        <v>3</v>
      </c>
      <c r="L300" s="89"/>
      <c r="M300" s="89"/>
      <c r="N300" s="89"/>
      <c r="O300" s="89"/>
      <c r="P300" s="89"/>
      <c r="Q300" s="89"/>
      <c r="R300" s="89"/>
      <c r="S300" s="89"/>
      <c r="T300" s="89"/>
      <c r="U300" s="89"/>
      <c r="V300" s="89"/>
      <c r="W300" s="89"/>
      <c r="X300" s="89"/>
      <c r="Y300" s="89"/>
      <c r="Z300" s="89"/>
      <c r="AA300" s="89"/>
      <c r="AB300" s="89"/>
      <c r="AC300" s="89"/>
      <c r="AD300" s="89"/>
      <c r="AE300" s="89"/>
      <c r="AF300" s="89"/>
      <c r="AG300" s="89"/>
      <c r="AH300" s="89"/>
      <c r="AI300" s="89"/>
      <c r="AJ300" s="89"/>
      <c r="AK300" s="89"/>
      <c r="AL300" s="89"/>
      <c r="AM300" s="89"/>
      <c r="AN300" s="89"/>
      <c r="AO300" s="89"/>
      <c r="AP300" s="89"/>
      <c r="AQ300" s="89"/>
      <c r="AR300" s="89"/>
      <c r="AS300" s="89"/>
      <c r="AT300" s="89"/>
      <c r="AU300" s="89"/>
      <c r="AV300" s="89"/>
      <c r="AW300" s="89"/>
      <c r="AX300" s="89"/>
      <c r="AY300" s="89"/>
      <c r="AZ300" s="89"/>
      <c r="BA300" s="95"/>
    </row>
    <row r="301" spans="1:53" s="87" customFormat="1">
      <c r="A301" s="90" t="str">
        <f t="shared" si="29"/>
        <v/>
      </c>
      <c r="B301" s="99">
        <v>13</v>
      </c>
      <c r="C301" s="92" t="s">
        <v>210</v>
      </c>
      <c r="D301" s="92">
        <v>-2</v>
      </c>
      <c r="E301" s="92" t="s">
        <v>210</v>
      </c>
      <c r="F301" s="92">
        <v>4</v>
      </c>
      <c r="G301" s="92">
        <v>1</v>
      </c>
      <c r="H301" s="92" t="s">
        <v>210</v>
      </c>
      <c r="I301" s="92" t="s">
        <v>210</v>
      </c>
      <c r="J301" s="92" t="s">
        <v>210</v>
      </c>
      <c r="K301" s="92">
        <v>-4</v>
      </c>
      <c r="L301" s="89"/>
      <c r="M301" s="89"/>
      <c r="N301" s="89"/>
      <c r="O301" s="89"/>
      <c r="P301" s="89"/>
      <c r="Q301" s="89"/>
      <c r="R301" s="89"/>
      <c r="S301" s="89"/>
      <c r="T301" s="89"/>
      <c r="U301" s="89"/>
      <c r="V301" s="89"/>
      <c r="W301" s="89"/>
      <c r="X301" s="89"/>
      <c r="Y301" s="89"/>
      <c r="Z301" s="89"/>
      <c r="AA301" s="89"/>
      <c r="AB301" s="89"/>
      <c r="AC301" s="89"/>
      <c r="AD301" s="89"/>
      <c r="AE301" s="89"/>
      <c r="AF301" s="89"/>
      <c r="AG301" s="89"/>
      <c r="AH301" s="89"/>
      <c r="AI301" s="89"/>
      <c r="AJ301" s="89"/>
      <c r="AK301" s="89"/>
      <c r="AL301" s="89"/>
      <c r="AM301" s="89"/>
      <c r="AN301" s="89"/>
      <c r="AO301" s="89"/>
      <c r="AP301" s="89"/>
      <c r="AQ301" s="89"/>
      <c r="AR301" s="89"/>
      <c r="AS301" s="89"/>
      <c r="AT301" s="89"/>
      <c r="AU301" s="89"/>
      <c r="AV301" s="89"/>
      <c r="AW301" s="89"/>
      <c r="AX301" s="89"/>
      <c r="AY301" s="89"/>
      <c r="AZ301" s="89"/>
      <c r="BA301" s="95"/>
    </row>
    <row r="302" spans="1:53" s="87" customFormat="1">
      <c r="A302" s="90" t="str">
        <f t="shared" si="29"/>
        <v/>
      </c>
      <c r="B302" s="89">
        <v>14</v>
      </c>
      <c r="C302" s="89" t="s">
        <v>210</v>
      </c>
      <c r="D302" s="89">
        <v>-3</v>
      </c>
      <c r="E302" s="89">
        <v>2</v>
      </c>
      <c r="F302" s="89" t="s">
        <v>210</v>
      </c>
      <c r="G302" s="89" t="s">
        <v>210</v>
      </c>
      <c r="H302" s="89">
        <v>3</v>
      </c>
      <c r="I302" s="89">
        <v>-4</v>
      </c>
      <c r="J302" s="89" t="s">
        <v>210</v>
      </c>
      <c r="K302" s="89" t="s">
        <v>210</v>
      </c>
      <c r="L302" s="89"/>
      <c r="M302" s="89"/>
      <c r="N302" s="89"/>
      <c r="O302" s="89"/>
      <c r="P302" s="89"/>
      <c r="Q302" s="89"/>
      <c r="R302" s="89"/>
      <c r="S302" s="89"/>
      <c r="T302" s="89"/>
      <c r="U302" s="89"/>
      <c r="V302" s="89"/>
      <c r="W302" s="89"/>
      <c r="X302" s="89"/>
      <c r="Y302" s="89"/>
      <c r="Z302" s="89"/>
      <c r="AA302" s="89"/>
      <c r="AB302" s="89"/>
      <c r="AC302" s="89"/>
      <c r="AD302" s="89"/>
      <c r="AE302" s="89"/>
      <c r="AF302" s="89"/>
      <c r="AG302" s="89"/>
      <c r="AH302" s="89"/>
      <c r="AI302" s="89"/>
      <c r="AJ302" s="89"/>
      <c r="AK302" s="89"/>
      <c r="AL302" s="89"/>
      <c r="AM302" s="89"/>
      <c r="AN302" s="89"/>
      <c r="AO302" s="89"/>
      <c r="AP302" s="89"/>
      <c r="AQ302" s="89"/>
      <c r="AR302" s="89"/>
      <c r="AS302" s="89"/>
      <c r="AT302" s="89"/>
      <c r="AU302" s="89"/>
      <c r="AV302" s="89"/>
      <c r="AW302" s="89"/>
      <c r="AX302" s="89"/>
      <c r="AY302" s="89"/>
      <c r="AZ302" s="89"/>
      <c r="BA302" s="95"/>
    </row>
    <row r="303" spans="1:53" s="87" customFormat="1">
      <c r="A303" s="90" t="str">
        <f t="shared" si="29"/>
        <v/>
      </c>
      <c r="B303" s="89">
        <v>15</v>
      </c>
      <c r="C303" s="89" t="s">
        <v>210</v>
      </c>
      <c r="D303" s="89">
        <v>-4</v>
      </c>
      <c r="E303" s="89">
        <v>-2</v>
      </c>
      <c r="F303" s="89" t="s">
        <v>210</v>
      </c>
      <c r="G303" s="89" t="s">
        <v>210</v>
      </c>
      <c r="H303" s="89">
        <v>1</v>
      </c>
      <c r="I303" s="89">
        <v>2</v>
      </c>
      <c r="J303" s="89" t="s">
        <v>210</v>
      </c>
      <c r="K303" s="89" t="s">
        <v>210</v>
      </c>
      <c r="L303" s="89"/>
      <c r="M303" s="89"/>
      <c r="N303" s="89"/>
      <c r="O303" s="89"/>
      <c r="P303" s="89"/>
      <c r="Q303" s="89"/>
      <c r="R303" s="89"/>
      <c r="S303" s="89"/>
      <c r="T303" s="89"/>
      <c r="U303" s="89"/>
      <c r="V303" s="89"/>
      <c r="W303" s="89"/>
      <c r="X303" s="89"/>
      <c r="Y303" s="89"/>
      <c r="Z303" s="89"/>
      <c r="AA303" s="89"/>
      <c r="AB303" s="89"/>
      <c r="AC303" s="89"/>
      <c r="AD303" s="89"/>
      <c r="AE303" s="89"/>
      <c r="AF303" s="89"/>
      <c r="AG303" s="89"/>
      <c r="AH303" s="89"/>
      <c r="AI303" s="89"/>
      <c r="AJ303" s="89"/>
      <c r="AK303" s="89"/>
      <c r="AL303" s="89"/>
      <c r="AM303" s="89"/>
      <c r="AN303" s="89"/>
      <c r="AO303" s="89"/>
      <c r="AP303" s="89"/>
      <c r="AQ303" s="89"/>
      <c r="AR303" s="89"/>
      <c r="AS303" s="89"/>
      <c r="AT303" s="89"/>
      <c r="AU303" s="89"/>
      <c r="AV303" s="89"/>
      <c r="AW303" s="89"/>
      <c r="AX303" s="89"/>
      <c r="AY303" s="89"/>
      <c r="AZ303" s="89"/>
      <c r="BA303" s="95"/>
    </row>
    <row r="304" spans="1:53" s="87" customFormat="1">
      <c r="A304" s="90" t="str">
        <f t="shared" si="29"/>
        <v/>
      </c>
      <c r="B304" s="89">
        <v>16</v>
      </c>
      <c r="C304" s="89" t="s">
        <v>210</v>
      </c>
      <c r="D304" s="89">
        <v>1</v>
      </c>
      <c r="E304" s="89">
        <v>4</v>
      </c>
      <c r="F304" s="89" t="s">
        <v>210</v>
      </c>
      <c r="G304" s="89" t="s">
        <v>210</v>
      </c>
      <c r="H304" s="89">
        <v>-3</v>
      </c>
      <c r="I304" s="89">
        <v>-2</v>
      </c>
      <c r="J304" s="89" t="s">
        <v>210</v>
      </c>
      <c r="K304" s="89" t="s">
        <v>210</v>
      </c>
      <c r="L304" s="89"/>
      <c r="M304" s="89"/>
      <c r="N304" s="89"/>
      <c r="O304" s="89"/>
      <c r="P304" s="89"/>
      <c r="Q304" s="89"/>
      <c r="R304" s="89"/>
      <c r="S304" s="89"/>
      <c r="T304" s="89"/>
      <c r="U304" s="89"/>
      <c r="V304" s="89"/>
      <c r="W304" s="89"/>
      <c r="X304" s="89"/>
      <c r="Y304" s="89"/>
      <c r="Z304" s="89"/>
      <c r="AA304" s="89"/>
      <c r="AB304" s="89"/>
      <c r="AC304" s="89"/>
      <c r="AD304" s="89"/>
      <c r="AE304" s="89"/>
      <c r="AF304" s="89"/>
      <c r="AG304" s="89"/>
      <c r="AH304" s="89"/>
      <c r="AI304" s="89"/>
      <c r="AJ304" s="89"/>
      <c r="AK304" s="89"/>
      <c r="AL304" s="89"/>
      <c r="AM304" s="89"/>
      <c r="AN304" s="89"/>
      <c r="AO304" s="89"/>
      <c r="AP304" s="89"/>
      <c r="AQ304" s="89"/>
      <c r="AR304" s="89"/>
      <c r="AS304" s="89"/>
      <c r="AT304" s="89"/>
      <c r="AU304" s="89"/>
      <c r="AV304" s="89"/>
      <c r="AW304" s="89"/>
      <c r="AX304" s="89"/>
      <c r="AY304" s="89"/>
      <c r="AZ304" s="89"/>
      <c r="BA304" s="95"/>
    </row>
    <row r="305" spans="1:53" s="87" customFormat="1">
      <c r="A305" s="90" t="str">
        <f t="shared" si="29"/>
        <v/>
      </c>
      <c r="B305" s="89">
        <v>17</v>
      </c>
      <c r="C305" s="89" t="s">
        <v>210</v>
      </c>
      <c r="D305" s="89">
        <v>2</v>
      </c>
      <c r="E305" s="89">
        <v>-4</v>
      </c>
      <c r="F305" s="89" t="s">
        <v>210</v>
      </c>
      <c r="G305" s="89" t="s">
        <v>210</v>
      </c>
      <c r="H305" s="89">
        <v>-1</v>
      </c>
      <c r="I305" s="89">
        <v>4</v>
      </c>
      <c r="J305" s="89" t="s">
        <v>210</v>
      </c>
      <c r="K305" s="89" t="s">
        <v>210</v>
      </c>
      <c r="L305" s="89"/>
      <c r="M305" s="89"/>
      <c r="N305" s="89"/>
      <c r="O305" s="89"/>
      <c r="P305" s="89"/>
      <c r="Q305" s="89"/>
      <c r="R305" s="89"/>
      <c r="S305" s="89"/>
      <c r="T305" s="89"/>
      <c r="U305" s="89"/>
      <c r="V305" s="89"/>
      <c r="W305" s="89"/>
      <c r="X305" s="89"/>
      <c r="Y305" s="89"/>
      <c r="Z305" s="89"/>
      <c r="AA305" s="89"/>
      <c r="AB305" s="89"/>
      <c r="AC305" s="89"/>
      <c r="AD305" s="89"/>
      <c r="AE305" s="89"/>
      <c r="AF305" s="89"/>
      <c r="AG305" s="89"/>
      <c r="AH305" s="89"/>
      <c r="AI305" s="89"/>
      <c r="AJ305" s="89"/>
      <c r="AK305" s="89"/>
      <c r="AL305" s="89"/>
      <c r="AM305" s="89"/>
      <c r="AN305" s="89"/>
      <c r="AO305" s="89"/>
      <c r="AP305" s="89"/>
      <c r="AQ305" s="89"/>
      <c r="AR305" s="89"/>
      <c r="AS305" s="89"/>
      <c r="AT305" s="89"/>
      <c r="AU305" s="89"/>
      <c r="AV305" s="89"/>
      <c r="AW305" s="89"/>
      <c r="AX305" s="89"/>
      <c r="AY305" s="89"/>
      <c r="AZ305" s="89"/>
      <c r="BA305" s="95"/>
    </row>
    <row r="306" spans="1:53" s="87" customFormat="1">
      <c r="A306" s="90" t="str">
        <f t="shared" si="29"/>
        <v/>
      </c>
      <c r="B306" s="319" t="s">
        <v>288</v>
      </c>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c r="AA306" s="89"/>
      <c r="AB306" s="89"/>
      <c r="AC306" s="89"/>
      <c r="AD306" s="89"/>
      <c r="AE306" s="89"/>
      <c r="AF306" s="89"/>
      <c r="AG306" s="89"/>
      <c r="AH306" s="89"/>
      <c r="AI306" s="89"/>
      <c r="AJ306" s="89"/>
      <c r="AK306" s="89"/>
      <c r="AL306" s="89"/>
      <c r="AM306" s="89"/>
      <c r="AN306" s="89"/>
      <c r="AO306" s="89"/>
      <c r="AP306" s="89"/>
      <c r="AQ306" s="89"/>
      <c r="AR306" s="89"/>
      <c r="AS306" s="89"/>
      <c r="AT306" s="89"/>
      <c r="AU306" s="89"/>
      <c r="AV306" s="89"/>
      <c r="AW306" s="89"/>
      <c r="AX306" s="89"/>
      <c r="AY306" s="89"/>
      <c r="AZ306" s="89"/>
      <c r="BA306" s="95"/>
    </row>
    <row r="307" spans="1:53" s="87" customFormat="1">
      <c r="A307" s="90">
        <f t="shared" si="29"/>
        <v>307</v>
      </c>
      <c r="B307" s="89" t="s">
        <v>289</v>
      </c>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c r="AA307" s="89"/>
      <c r="AB307" s="89"/>
      <c r="AC307" s="89"/>
      <c r="AD307" s="89"/>
      <c r="AE307" s="89"/>
      <c r="AF307" s="89"/>
      <c r="AG307" s="89"/>
      <c r="AH307" s="89"/>
      <c r="AI307" s="89"/>
      <c r="AJ307" s="89"/>
      <c r="AK307" s="89"/>
      <c r="AL307" s="89"/>
      <c r="AM307" s="89"/>
      <c r="AN307" s="89"/>
      <c r="AO307" s="89"/>
      <c r="AP307" s="89"/>
      <c r="AQ307" s="89"/>
      <c r="AR307" s="89"/>
      <c r="AS307" s="89"/>
      <c r="AT307" s="89"/>
      <c r="AU307" s="89"/>
      <c r="AV307" s="89"/>
      <c r="AW307" s="89"/>
      <c r="AX307" s="89"/>
      <c r="AY307" s="89"/>
      <c r="AZ307" s="89"/>
      <c r="BA307" s="95"/>
    </row>
    <row r="308" spans="1:53" s="87" customFormat="1">
      <c r="A308" s="90" t="str">
        <f t="shared" si="29"/>
        <v/>
      </c>
      <c r="B308" s="89">
        <v>1</v>
      </c>
      <c r="C308" s="89">
        <v>-4</v>
      </c>
      <c r="D308" s="89" t="s">
        <v>210</v>
      </c>
      <c r="E308" s="89" t="s">
        <v>210</v>
      </c>
      <c r="F308" s="89">
        <v>3</v>
      </c>
      <c r="G308" s="89">
        <v>-1</v>
      </c>
      <c r="H308" s="89" t="s">
        <v>210</v>
      </c>
      <c r="I308" s="89" t="s">
        <v>210</v>
      </c>
      <c r="J308" s="89">
        <v>-2</v>
      </c>
      <c r="K308" s="89" t="s">
        <v>202</v>
      </c>
      <c r="L308" s="89" t="s">
        <v>210</v>
      </c>
      <c r="M308" s="89" t="s">
        <v>210</v>
      </c>
      <c r="N308" s="89">
        <v>1</v>
      </c>
      <c r="O308" s="89">
        <v>4</v>
      </c>
      <c r="P308" s="89" t="s">
        <v>210</v>
      </c>
      <c r="Q308" s="89" t="s">
        <v>210</v>
      </c>
      <c r="R308" s="89">
        <v>-3</v>
      </c>
      <c r="S308" s="89">
        <v>2</v>
      </c>
      <c r="T308" s="89" t="s">
        <v>210</v>
      </c>
      <c r="U308" s="89"/>
      <c r="V308" s="89"/>
      <c r="W308" s="89"/>
      <c r="X308" s="89"/>
      <c r="Y308" s="89"/>
      <c r="Z308" s="89"/>
      <c r="AA308" s="89"/>
      <c r="AB308" s="89"/>
      <c r="AC308" s="89"/>
      <c r="AD308" s="89"/>
      <c r="AE308" s="89"/>
      <c r="AF308" s="89"/>
      <c r="AG308" s="89"/>
      <c r="AH308" s="89"/>
      <c r="AI308" s="89"/>
      <c r="AJ308" s="89"/>
      <c r="AK308" s="89"/>
      <c r="AL308" s="89"/>
      <c r="AM308" s="89"/>
      <c r="AN308" s="89"/>
      <c r="AO308" s="89"/>
      <c r="AP308" s="89"/>
      <c r="AQ308" s="89"/>
      <c r="AR308" s="89"/>
      <c r="AS308" s="89"/>
      <c r="AT308" s="89"/>
      <c r="AU308" s="89"/>
      <c r="AV308" s="89"/>
      <c r="AW308" s="89"/>
      <c r="AX308" s="89"/>
      <c r="AY308" s="89"/>
      <c r="AZ308" s="89"/>
      <c r="BA308" s="95"/>
    </row>
    <row r="309" spans="1:53" s="87" customFormat="1">
      <c r="A309" s="90" t="str">
        <f t="shared" si="29"/>
        <v/>
      </c>
      <c r="B309" s="89">
        <v>2</v>
      </c>
      <c r="C309" s="89" t="s">
        <v>202</v>
      </c>
      <c r="D309" s="89" t="s">
        <v>210</v>
      </c>
      <c r="E309" s="89" t="s">
        <v>210</v>
      </c>
      <c r="F309" s="89">
        <v>4</v>
      </c>
      <c r="G309" s="89">
        <v>3</v>
      </c>
      <c r="H309" s="89" t="s">
        <v>210</v>
      </c>
      <c r="I309" s="89" t="s">
        <v>210</v>
      </c>
      <c r="J309" s="89">
        <v>-1</v>
      </c>
      <c r="K309" s="89">
        <v>-4</v>
      </c>
      <c r="L309" s="89" t="s">
        <v>210</v>
      </c>
      <c r="M309" s="89" t="s">
        <v>210</v>
      </c>
      <c r="N309" s="89">
        <v>2</v>
      </c>
      <c r="O309" s="89">
        <v>-3</v>
      </c>
      <c r="P309" s="89" t="s">
        <v>210</v>
      </c>
      <c r="Q309" s="89" t="s">
        <v>210</v>
      </c>
      <c r="R309" s="89">
        <v>1</v>
      </c>
      <c r="S309" s="89">
        <v>-2</v>
      </c>
      <c r="T309" s="89" t="s">
        <v>210</v>
      </c>
      <c r="U309" s="89"/>
      <c r="V309" s="89"/>
      <c r="W309" s="89"/>
      <c r="X309" s="89"/>
      <c r="Y309" s="89"/>
      <c r="Z309" s="89"/>
      <c r="AA309" s="89"/>
      <c r="AB309" s="89"/>
      <c r="AC309" s="89"/>
      <c r="AD309" s="89"/>
      <c r="AE309" s="89"/>
      <c r="AF309" s="89"/>
      <c r="AG309" s="89"/>
      <c r="AH309" s="89"/>
      <c r="AI309" s="89"/>
      <c r="AJ309" s="89"/>
      <c r="AK309" s="89"/>
      <c r="AL309" s="89"/>
      <c r="AM309" s="89"/>
      <c r="AN309" s="89"/>
      <c r="AO309" s="89"/>
      <c r="AP309" s="89"/>
      <c r="AQ309" s="89"/>
      <c r="AR309" s="89"/>
      <c r="AS309" s="89"/>
      <c r="AT309" s="89"/>
      <c r="AU309" s="89"/>
      <c r="AV309" s="89"/>
      <c r="AW309" s="89"/>
      <c r="AX309" s="89"/>
      <c r="AY309" s="89"/>
      <c r="AZ309" s="89"/>
      <c r="BA309" s="95"/>
    </row>
    <row r="310" spans="1:53" s="87" customFormat="1">
      <c r="A310" s="90" t="str">
        <f t="shared" si="29"/>
        <v/>
      </c>
      <c r="B310" s="89">
        <v>3</v>
      </c>
      <c r="C310" s="89">
        <v>4</v>
      </c>
      <c r="D310" s="89" t="s">
        <v>210</v>
      </c>
      <c r="E310" s="89" t="s">
        <v>210</v>
      </c>
      <c r="F310" s="89">
        <v>2</v>
      </c>
      <c r="G310" s="89" t="s">
        <v>202</v>
      </c>
      <c r="H310" s="89" t="s">
        <v>210</v>
      </c>
      <c r="I310" s="89" t="s">
        <v>210</v>
      </c>
      <c r="J310" s="89">
        <v>-4</v>
      </c>
      <c r="K310" s="89">
        <v>1</v>
      </c>
      <c r="L310" s="89" t="s">
        <v>210</v>
      </c>
      <c r="M310" s="89" t="s">
        <v>210</v>
      </c>
      <c r="N310" s="89">
        <v>3</v>
      </c>
      <c r="O310" s="89">
        <v>-2</v>
      </c>
      <c r="P310" s="89" t="s">
        <v>210</v>
      </c>
      <c r="Q310" s="89" t="s">
        <v>210</v>
      </c>
      <c r="R310" s="89">
        <v>-1</v>
      </c>
      <c r="S310" s="89">
        <v>-3</v>
      </c>
      <c r="T310" s="89" t="s">
        <v>210</v>
      </c>
      <c r="U310" s="89"/>
      <c r="V310" s="89"/>
      <c r="W310" s="89"/>
      <c r="X310" s="89"/>
      <c r="Y310" s="89"/>
      <c r="Z310" s="89"/>
      <c r="AA310" s="89"/>
      <c r="AB310" s="89"/>
      <c r="AC310" s="89"/>
      <c r="AD310" s="89"/>
      <c r="AE310" s="89"/>
      <c r="AF310" s="89"/>
      <c r="AG310" s="89"/>
      <c r="AH310" s="89"/>
      <c r="AI310" s="89"/>
      <c r="AJ310" s="89"/>
      <c r="AK310" s="89"/>
      <c r="AL310" s="89"/>
      <c r="AM310" s="89"/>
      <c r="AN310" s="89"/>
      <c r="AO310" s="89"/>
      <c r="AP310" s="89"/>
      <c r="AQ310" s="89"/>
      <c r="AR310" s="89"/>
      <c r="AS310" s="89"/>
      <c r="AT310" s="89"/>
      <c r="AU310" s="89"/>
      <c r="AV310" s="89"/>
      <c r="AW310" s="89"/>
      <c r="AX310" s="89"/>
      <c r="AY310" s="89"/>
      <c r="AZ310" s="89"/>
      <c r="BA310" s="95"/>
    </row>
    <row r="311" spans="1:53" s="87" customFormat="1">
      <c r="A311" s="90" t="str">
        <f t="shared" si="29"/>
        <v/>
      </c>
      <c r="B311" s="89">
        <v>4</v>
      </c>
      <c r="C311" s="89" t="s">
        <v>210</v>
      </c>
      <c r="D311" s="89">
        <v>-1</v>
      </c>
      <c r="E311" s="89" t="s">
        <v>210</v>
      </c>
      <c r="F311" s="89" t="s">
        <v>202</v>
      </c>
      <c r="G311" s="89">
        <v>-4</v>
      </c>
      <c r="H311" s="89" t="s">
        <v>210</v>
      </c>
      <c r="I311" s="89" t="s">
        <v>210</v>
      </c>
      <c r="J311" s="89">
        <v>2</v>
      </c>
      <c r="K311" s="89">
        <v>-3</v>
      </c>
      <c r="L311" s="89" t="s">
        <v>210</v>
      </c>
      <c r="M311" s="89" t="s">
        <v>210</v>
      </c>
      <c r="N311" s="89">
        <v>-2</v>
      </c>
      <c r="O311" s="89">
        <v>1</v>
      </c>
      <c r="P311" s="89" t="s">
        <v>210</v>
      </c>
      <c r="Q311" s="89" t="s">
        <v>210</v>
      </c>
      <c r="R311" s="89">
        <v>4</v>
      </c>
      <c r="S311" s="89">
        <v>3</v>
      </c>
      <c r="T311" s="89" t="s">
        <v>210</v>
      </c>
      <c r="U311" s="89"/>
      <c r="V311" s="89"/>
      <c r="W311" s="89"/>
      <c r="X311" s="89"/>
      <c r="Y311" s="89"/>
      <c r="Z311" s="89"/>
      <c r="AA311" s="89"/>
      <c r="AB311" s="89"/>
      <c r="AC311" s="89"/>
      <c r="AD311" s="89"/>
      <c r="AE311" s="89"/>
      <c r="AF311" s="89"/>
      <c r="AG311" s="89"/>
      <c r="AH311" s="89"/>
      <c r="AI311" s="89"/>
      <c r="AJ311" s="89"/>
      <c r="AK311" s="89"/>
      <c r="AL311" s="89"/>
      <c r="AM311" s="89"/>
      <c r="AN311" s="89"/>
      <c r="AO311" s="89"/>
      <c r="AP311" s="89"/>
      <c r="AQ311" s="89"/>
      <c r="AR311" s="89"/>
      <c r="AS311" s="89"/>
      <c r="AT311" s="89"/>
      <c r="AU311" s="89"/>
      <c r="AV311" s="89"/>
      <c r="AW311" s="89"/>
      <c r="AX311" s="89"/>
      <c r="AY311" s="89"/>
      <c r="AZ311" s="89"/>
      <c r="BA311" s="95"/>
    </row>
    <row r="312" spans="1:53" s="87" customFormat="1">
      <c r="A312" s="90" t="str">
        <f t="shared" si="29"/>
        <v/>
      </c>
      <c r="B312" s="89">
        <v>5</v>
      </c>
      <c r="C312" s="89">
        <v>-3</v>
      </c>
      <c r="D312" s="89" t="s">
        <v>210</v>
      </c>
      <c r="E312" s="89" t="s">
        <v>210</v>
      </c>
      <c r="F312" s="89">
        <v>-2</v>
      </c>
      <c r="G312" s="89">
        <v>4</v>
      </c>
      <c r="H312" s="89" t="s">
        <v>210</v>
      </c>
      <c r="I312" s="89" t="s">
        <v>210</v>
      </c>
      <c r="J312" s="89">
        <v>1</v>
      </c>
      <c r="K312" s="89">
        <v>2</v>
      </c>
      <c r="L312" s="89" t="s">
        <v>210</v>
      </c>
      <c r="M312" s="89" t="s">
        <v>210</v>
      </c>
      <c r="N312" s="89">
        <v>-4</v>
      </c>
      <c r="O312" s="89" t="s">
        <v>202</v>
      </c>
      <c r="P312" s="89" t="s">
        <v>210</v>
      </c>
      <c r="Q312" s="89" t="s">
        <v>210</v>
      </c>
      <c r="R312" s="89">
        <v>3</v>
      </c>
      <c r="S312" s="89">
        <v>-1</v>
      </c>
      <c r="T312" s="89" t="s">
        <v>210</v>
      </c>
      <c r="U312" s="89"/>
      <c r="V312" s="89"/>
      <c r="W312" s="89"/>
      <c r="X312" s="89"/>
      <c r="Y312" s="89"/>
      <c r="Z312" s="89"/>
      <c r="AA312" s="89"/>
      <c r="AB312" s="89"/>
      <c r="AC312" s="89"/>
      <c r="AD312" s="89"/>
      <c r="AE312" s="89"/>
      <c r="AF312" s="89"/>
      <c r="AG312" s="89"/>
      <c r="AH312" s="89"/>
      <c r="AI312" s="89"/>
      <c r="AJ312" s="89"/>
      <c r="AK312" s="89"/>
      <c r="AL312" s="89"/>
      <c r="AM312" s="89"/>
      <c r="AN312" s="89"/>
      <c r="AO312" s="89"/>
      <c r="AP312" s="89"/>
      <c r="AQ312" s="89"/>
      <c r="AR312" s="89"/>
      <c r="AS312" s="89"/>
      <c r="AT312" s="89"/>
      <c r="AU312" s="89"/>
      <c r="AV312" s="89"/>
      <c r="AW312" s="89"/>
      <c r="AX312" s="89"/>
      <c r="AY312" s="89"/>
      <c r="AZ312" s="89"/>
      <c r="BA312" s="95"/>
    </row>
    <row r="313" spans="1:53" s="87" customFormat="1">
      <c r="A313" s="90" t="str">
        <f t="shared" si="29"/>
        <v/>
      </c>
      <c r="B313" s="89">
        <v>6</v>
      </c>
      <c r="C313" s="89" t="s">
        <v>210</v>
      </c>
      <c r="D313" s="89">
        <v>-2</v>
      </c>
      <c r="E313" s="89" t="s">
        <v>210</v>
      </c>
      <c r="F313" s="89">
        <v>-1</v>
      </c>
      <c r="G313" s="89">
        <v>-3</v>
      </c>
      <c r="H313" s="89" t="s">
        <v>210</v>
      </c>
      <c r="I313" s="89" t="s">
        <v>210</v>
      </c>
      <c r="J313" s="89">
        <v>4</v>
      </c>
      <c r="K313" s="89">
        <v>3</v>
      </c>
      <c r="L313" s="89" t="s">
        <v>210</v>
      </c>
      <c r="M313" s="89" t="s">
        <v>210</v>
      </c>
      <c r="N313" s="89" t="s">
        <v>202</v>
      </c>
      <c r="O313" s="89">
        <v>-4</v>
      </c>
      <c r="P313" s="89" t="s">
        <v>210</v>
      </c>
      <c r="Q313" s="89" t="s">
        <v>210</v>
      </c>
      <c r="R313" s="89">
        <v>2</v>
      </c>
      <c r="S313" s="89">
        <v>1</v>
      </c>
      <c r="T313" s="89" t="s">
        <v>210</v>
      </c>
      <c r="U313" s="89"/>
      <c r="V313" s="89"/>
      <c r="W313" s="89"/>
      <c r="X313" s="89"/>
      <c r="Y313" s="89"/>
      <c r="Z313" s="89"/>
      <c r="AA313" s="89"/>
      <c r="AB313" s="89"/>
      <c r="AC313" s="89"/>
      <c r="AD313" s="89"/>
      <c r="AE313" s="89"/>
      <c r="AF313" s="89"/>
      <c r="AG313" s="89"/>
      <c r="AH313" s="89"/>
      <c r="AI313" s="89"/>
      <c r="AJ313" s="89"/>
      <c r="AK313" s="89"/>
      <c r="AL313" s="89"/>
      <c r="AM313" s="89"/>
      <c r="AN313" s="89"/>
      <c r="AO313" s="89"/>
      <c r="AP313" s="89"/>
      <c r="AQ313" s="89"/>
      <c r="AR313" s="89"/>
      <c r="AS313" s="89"/>
      <c r="AT313" s="89"/>
      <c r="AU313" s="89"/>
      <c r="AV313" s="89"/>
      <c r="AW313" s="89"/>
      <c r="AX313" s="89"/>
      <c r="AY313" s="89"/>
      <c r="AZ313" s="89"/>
      <c r="BA313" s="95"/>
    </row>
    <row r="314" spans="1:53" s="87" customFormat="1">
      <c r="A314" s="90" t="str">
        <f t="shared" si="29"/>
        <v/>
      </c>
      <c r="B314" s="89">
        <v>7</v>
      </c>
      <c r="C314" s="89" t="s">
        <v>210</v>
      </c>
      <c r="D314" s="89">
        <v>1</v>
      </c>
      <c r="E314" s="89" t="s">
        <v>210</v>
      </c>
      <c r="F314" s="89">
        <v>-3</v>
      </c>
      <c r="G314" s="89">
        <v>2</v>
      </c>
      <c r="H314" s="89" t="s">
        <v>210</v>
      </c>
      <c r="I314" s="89" t="s">
        <v>210</v>
      </c>
      <c r="J314" s="89" t="s">
        <v>202</v>
      </c>
      <c r="K314" s="89">
        <v>-1</v>
      </c>
      <c r="L314" s="89" t="s">
        <v>210</v>
      </c>
      <c r="M314" s="89" t="s">
        <v>210</v>
      </c>
      <c r="N314" s="89">
        <v>4</v>
      </c>
      <c r="O314" s="89">
        <v>3</v>
      </c>
      <c r="P314" s="89" t="s">
        <v>210</v>
      </c>
      <c r="Q314" s="89" t="s">
        <v>210</v>
      </c>
      <c r="R314" s="89">
        <v>-2</v>
      </c>
      <c r="S314" s="89">
        <v>-4</v>
      </c>
      <c r="T314" s="89" t="s">
        <v>210</v>
      </c>
      <c r="U314" s="89"/>
      <c r="V314" s="89"/>
      <c r="W314" s="89"/>
      <c r="X314" s="89"/>
      <c r="Y314" s="89"/>
      <c r="Z314" s="89"/>
      <c r="AA314" s="89"/>
      <c r="AB314" s="89"/>
      <c r="AC314" s="89"/>
      <c r="AD314" s="89"/>
      <c r="AE314" s="89"/>
      <c r="AF314" s="89"/>
      <c r="AG314" s="89"/>
      <c r="AH314" s="89"/>
      <c r="AI314" s="89"/>
      <c r="AJ314" s="89"/>
      <c r="AK314" s="89"/>
      <c r="AL314" s="89"/>
      <c r="AM314" s="89"/>
      <c r="AN314" s="89"/>
      <c r="AO314" s="89"/>
      <c r="AP314" s="89"/>
      <c r="AQ314" s="89"/>
      <c r="AR314" s="89"/>
      <c r="AS314" s="89"/>
      <c r="AT314" s="89"/>
      <c r="AU314" s="89"/>
      <c r="AV314" s="89"/>
      <c r="AW314" s="89"/>
      <c r="AX314" s="89"/>
      <c r="AY314" s="89"/>
      <c r="AZ314" s="89"/>
      <c r="BA314" s="95"/>
    </row>
    <row r="315" spans="1:53" s="87" customFormat="1">
      <c r="A315" s="90" t="str">
        <f t="shared" si="29"/>
        <v/>
      </c>
      <c r="B315" s="89">
        <v>8</v>
      </c>
      <c r="C315" s="89" t="s">
        <v>210</v>
      </c>
      <c r="D315" s="89">
        <v>2</v>
      </c>
      <c r="E315" s="89" t="s">
        <v>210</v>
      </c>
      <c r="F315" s="89">
        <v>-4</v>
      </c>
      <c r="G315" s="89">
        <v>1</v>
      </c>
      <c r="H315" s="89" t="s">
        <v>210</v>
      </c>
      <c r="I315" s="89" t="s">
        <v>210</v>
      </c>
      <c r="J315" s="89">
        <v>3</v>
      </c>
      <c r="K315" s="89">
        <v>-2</v>
      </c>
      <c r="L315" s="89" t="s">
        <v>210</v>
      </c>
      <c r="M315" s="89" t="s">
        <v>210</v>
      </c>
      <c r="N315" s="89">
        <v>-3</v>
      </c>
      <c r="O315" s="89">
        <v>-1</v>
      </c>
      <c r="P315" s="89" t="s">
        <v>210</v>
      </c>
      <c r="Q315" s="89" t="s">
        <v>210</v>
      </c>
      <c r="R315" s="89" t="s">
        <v>202</v>
      </c>
      <c r="S315" s="89">
        <v>4</v>
      </c>
      <c r="T315" s="89" t="s">
        <v>210</v>
      </c>
      <c r="U315" s="89"/>
      <c r="V315" s="89"/>
      <c r="W315" s="89"/>
      <c r="X315" s="89"/>
      <c r="Y315" s="89"/>
      <c r="Z315" s="89"/>
      <c r="AA315" s="89"/>
      <c r="AB315" s="89"/>
      <c r="AC315" s="89"/>
      <c r="AD315" s="89"/>
      <c r="AE315" s="89"/>
      <c r="AF315" s="89"/>
      <c r="AG315" s="89"/>
      <c r="AH315" s="89"/>
      <c r="AI315" s="89"/>
      <c r="AJ315" s="89"/>
      <c r="AK315" s="89"/>
      <c r="AL315" s="89"/>
      <c r="AM315" s="89"/>
      <c r="AN315" s="89"/>
      <c r="AO315" s="89"/>
      <c r="AP315" s="89"/>
      <c r="AQ315" s="89"/>
      <c r="AR315" s="89"/>
      <c r="AS315" s="89"/>
      <c r="AT315" s="89"/>
      <c r="AU315" s="89"/>
      <c r="AV315" s="89"/>
      <c r="AW315" s="89"/>
      <c r="AX315" s="89"/>
      <c r="AY315" s="89"/>
      <c r="AZ315" s="89"/>
      <c r="BA315" s="95"/>
    </row>
    <row r="316" spans="1:53" s="87" customFormat="1">
      <c r="A316" s="90" t="str">
        <f t="shared" si="29"/>
        <v/>
      </c>
      <c r="B316" s="99">
        <v>9</v>
      </c>
      <c r="C316" s="92">
        <v>3</v>
      </c>
      <c r="D316" s="92" t="s">
        <v>210</v>
      </c>
      <c r="E316" s="92" t="s">
        <v>210</v>
      </c>
      <c r="F316" s="92">
        <v>1</v>
      </c>
      <c r="G316" s="92">
        <v>-2</v>
      </c>
      <c r="H316" s="92" t="s">
        <v>210</v>
      </c>
      <c r="I316" s="92" t="s">
        <v>210</v>
      </c>
      <c r="J316" s="92">
        <v>-3</v>
      </c>
      <c r="K316" s="92">
        <v>4</v>
      </c>
      <c r="L316" s="92" t="s">
        <v>210</v>
      </c>
      <c r="M316" s="92" t="s">
        <v>210</v>
      </c>
      <c r="N316" s="92">
        <v>-1</v>
      </c>
      <c r="O316" s="92">
        <v>2</v>
      </c>
      <c r="P316" s="92" t="s">
        <v>210</v>
      </c>
      <c r="Q316" s="92" t="s">
        <v>210</v>
      </c>
      <c r="R316" s="92">
        <v>-4</v>
      </c>
      <c r="S316" s="92" t="s">
        <v>202</v>
      </c>
      <c r="T316" s="92" t="s">
        <v>210</v>
      </c>
      <c r="U316" s="89"/>
      <c r="V316" s="89"/>
      <c r="W316" s="89"/>
      <c r="X316" s="89"/>
      <c r="Y316" s="89"/>
      <c r="Z316" s="89"/>
      <c r="AA316" s="89"/>
      <c r="AB316" s="89"/>
      <c r="AC316" s="89"/>
      <c r="AD316" s="89"/>
      <c r="AE316" s="89"/>
      <c r="AF316" s="89"/>
      <c r="AG316" s="89"/>
      <c r="AH316" s="89"/>
      <c r="AI316" s="89"/>
      <c r="AJ316" s="89"/>
      <c r="AK316" s="89"/>
      <c r="AL316" s="89"/>
      <c r="AM316" s="89"/>
      <c r="AN316" s="89"/>
      <c r="AO316" s="89"/>
      <c r="AP316" s="89"/>
      <c r="AQ316" s="89"/>
      <c r="AR316" s="89"/>
      <c r="AS316" s="89"/>
      <c r="AT316" s="89"/>
      <c r="AU316" s="89"/>
      <c r="AV316" s="89"/>
      <c r="AW316" s="89"/>
      <c r="AX316" s="89"/>
      <c r="AY316" s="89"/>
      <c r="AZ316" s="89"/>
      <c r="BA316" s="95"/>
    </row>
    <row r="317" spans="1:53" s="87" customFormat="1">
      <c r="A317" s="90" t="str">
        <f t="shared" si="29"/>
        <v/>
      </c>
      <c r="B317" s="89">
        <v>10</v>
      </c>
      <c r="C317" s="89" t="s">
        <v>210</v>
      </c>
      <c r="D317" s="89">
        <v>-4</v>
      </c>
      <c r="E317" s="89">
        <v>3</v>
      </c>
      <c r="F317" s="89" t="s">
        <v>210</v>
      </c>
      <c r="G317" s="89" t="s">
        <v>210</v>
      </c>
      <c r="H317" s="89">
        <v>-1</v>
      </c>
      <c r="I317" s="89">
        <v>-2</v>
      </c>
      <c r="J317" s="89" t="s">
        <v>210</v>
      </c>
      <c r="K317" s="89" t="s">
        <v>210</v>
      </c>
      <c r="L317" s="89" t="s">
        <v>202</v>
      </c>
      <c r="M317" s="89">
        <v>1</v>
      </c>
      <c r="N317" s="89" t="s">
        <v>210</v>
      </c>
      <c r="O317" s="89" t="s">
        <v>210</v>
      </c>
      <c r="P317" s="89">
        <v>4</v>
      </c>
      <c r="Q317" s="89">
        <v>-3</v>
      </c>
      <c r="R317" s="89" t="s">
        <v>210</v>
      </c>
      <c r="S317" s="89" t="s">
        <v>210</v>
      </c>
      <c r="T317" s="89">
        <v>2</v>
      </c>
      <c r="U317" s="89"/>
      <c r="V317" s="89"/>
      <c r="W317" s="89"/>
      <c r="X317" s="89"/>
      <c r="Y317" s="89"/>
      <c r="Z317" s="89"/>
      <c r="AA317" s="89"/>
      <c r="AB317" s="89"/>
      <c r="AC317" s="89"/>
      <c r="AD317" s="89"/>
      <c r="AE317" s="89"/>
      <c r="AF317" s="89"/>
      <c r="AG317" s="89"/>
      <c r="AH317" s="89"/>
      <c r="AI317" s="89"/>
      <c r="AJ317" s="89"/>
      <c r="AK317" s="89"/>
      <c r="AL317" s="89"/>
      <c r="AM317" s="89"/>
      <c r="AN317" s="89"/>
      <c r="AO317" s="89"/>
      <c r="AP317" s="89"/>
      <c r="AQ317" s="89"/>
      <c r="AR317" s="89"/>
      <c r="AS317" s="89"/>
      <c r="AT317" s="89"/>
      <c r="AU317" s="89"/>
      <c r="AV317" s="89"/>
      <c r="AW317" s="89"/>
      <c r="AX317" s="89"/>
      <c r="AY317" s="89"/>
      <c r="AZ317" s="89"/>
      <c r="BA317" s="95"/>
    </row>
    <row r="318" spans="1:53" s="87" customFormat="1">
      <c r="A318" s="90" t="str">
        <f t="shared" si="29"/>
        <v/>
      </c>
      <c r="B318" s="89">
        <v>11</v>
      </c>
      <c r="C318" s="89" t="s">
        <v>210</v>
      </c>
      <c r="D318" s="89" t="s">
        <v>202</v>
      </c>
      <c r="E318" s="89">
        <v>4</v>
      </c>
      <c r="F318" s="89" t="s">
        <v>210</v>
      </c>
      <c r="G318" s="89" t="s">
        <v>210</v>
      </c>
      <c r="H318" s="89">
        <v>3</v>
      </c>
      <c r="I318" s="89">
        <v>-1</v>
      </c>
      <c r="J318" s="89" t="s">
        <v>210</v>
      </c>
      <c r="K318" s="89" t="s">
        <v>210</v>
      </c>
      <c r="L318" s="89">
        <v>-4</v>
      </c>
      <c r="M318" s="89">
        <v>2</v>
      </c>
      <c r="N318" s="89" t="s">
        <v>210</v>
      </c>
      <c r="O318" s="89" t="s">
        <v>210</v>
      </c>
      <c r="P318" s="89">
        <v>-3</v>
      </c>
      <c r="Q318" s="89">
        <v>1</v>
      </c>
      <c r="R318" s="89" t="s">
        <v>210</v>
      </c>
      <c r="S318" s="89" t="s">
        <v>210</v>
      </c>
      <c r="T318" s="89">
        <v>-2</v>
      </c>
      <c r="U318" s="89"/>
      <c r="V318" s="89"/>
      <c r="W318" s="89"/>
      <c r="X318" s="89"/>
      <c r="Y318" s="89"/>
      <c r="Z318" s="89"/>
      <c r="AA318" s="89"/>
      <c r="AB318" s="89"/>
      <c r="AC318" s="89"/>
      <c r="AD318" s="89"/>
      <c r="AE318" s="89"/>
      <c r="AF318" s="89"/>
      <c r="AG318" s="89"/>
      <c r="AH318" s="89"/>
      <c r="AI318" s="89"/>
      <c r="AJ318" s="89"/>
      <c r="AK318" s="89"/>
      <c r="AL318" s="89"/>
      <c r="AM318" s="89"/>
      <c r="AN318" s="89"/>
      <c r="AO318" s="89"/>
      <c r="AP318" s="89"/>
      <c r="AQ318" s="89"/>
      <c r="AR318" s="89"/>
      <c r="AS318" s="89"/>
      <c r="AT318" s="89"/>
      <c r="AU318" s="89"/>
      <c r="AV318" s="89"/>
      <c r="AW318" s="89"/>
      <c r="AX318" s="89"/>
      <c r="AY318" s="89"/>
      <c r="AZ318" s="89"/>
      <c r="BA318" s="95"/>
    </row>
    <row r="319" spans="1:53" s="87" customFormat="1">
      <c r="A319" s="90" t="str">
        <f t="shared" si="29"/>
        <v/>
      </c>
      <c r="B319" s="89">
        <v>12</v>
      </c>
      <c r="C319" s="89" t="s">
        <v>210</v>
      </c>
      <c r="D319" s="89">
        <v>4</v>
      </c>
      <c r="E319" s="89">
        <v>2</v>
      </c>
      <c r="F319" s="89" t="s">
        <v>210</v>
      </c>
      <c r="G319" s="89" t="s">
        <v>210</v>
      </c>
      <c r="H319" s="89" t="s">
        <v>202</v>
      </c>
      <c r="I319" s="89">
        <v>-4</v>
      </c>
      <c r="J319" s="89" t="s">
        <v>210</v>
      </c>
      <c r="K319" s="89" t="s">
        <v>210</v>
      </c>
      <c r="L319" s="89">
        <v>1</v>
      </c>
      <c r="M319" s="89">
        <v>3</v>
      </c>
      <c r="N319" s="89" t="s">
        <v>210</v>
      </c>
      <c r="O319" s="89" t="s">
        <v>210</v>
      </c>
      <c r="P319" s="89">
        <v>-2</v>
      </c>
      <c r="Q319" s="89">
        <v>-1</v>
      </c>
      <c r="R319" s="89" t="s">
        <v>210</v>
      </c>
      <c r="S319" s="89" t="s">
        <v>210</v>
      </c>
      <c r="T319" s="89">
        <v>-3</v>
      </c>
      <c r="U319" s="89"/>
      <c r="V319" s="89"/>
      <c r="W319" s="89"/>
      <c r="X319" s="89"/>
      <c r="Y319" s="89"/>
      <c r="Z319" s="89"/>
      <c r="AA319" s="89"/>
      <c r="AB319" s="89"/>
      <c r="AC319" s="89"/>
      <c r="AD319" s="89"/>
      <c r="AE319" s="89"/>
      <c r="AF319" s="89"/>
      <c r="AG319" s="89"/>
      <c r="AH319" s="89"/>
      <c r="AI319" s="89"/>
      <c r="AJ319" s="89"/>
      <c r="AK319" s="89"/>
      <c r="AL319" s="89"/>
      <c r="AM319" s="89"/>
      <c r="AN319" s="89"/>
      <c r="AO319" s="89"/>
      <c r="AP319" s="89"/>
      <c r="AQ319" s="89"/>
      <c r="AR319" s="89"/>
      <c r="AS319" s="89"/>
      <c r="AT319" s="89"/>
      <c r="AU319" s="89"/>
      <c r="AV319" s="89"/>
      <c r="AW319" s="89"/>
      <c r="AX319" s="89"/>
      <c r="AY319" s="89"/>
      <c r="AZ319" s="89"/>
      <c r="BA319" s="95"/>
    </row>
    <row r="320" spans="1:53" s="87" customFormat="1">
      <c r="A320" s="90" t="str">
        <f t="shared" si="29"/>
        <v/>
      </c>
      <c r="B320" s="89">
        <v>13</v>
      </c>
      <c r="C320" s="89">
        <v>-1</v>
      </c>
      <c r="D320" s="89" t="s">
        <v>210</v>
      </c>
      <c r="E320" s="89" t="s">
        <v>202</v>
      </c>
      <c r="F320" s="89" t="s">
        <v>210</v>
      </c>
      <c r="G320" s="89" t="s">
        <v>210</v>
      </c>
      <c r="H320" s="89">
        <v>-4</v>
      </c>
      <c r="I320" s="89">
        <v>2</v>
      </c>
      <c r="J320" s="89" t="s">
        <v>210</v>
      </c>
      <c r="K320" s="89" t="s">
        <v>210</v>
      </c>
      <c r="L320" s="89">
        <v>-3</v>
      </c>
      <c r="M320" s="89">
        <v>-2</v>
      </c>
      <c r="N320" s="89" t="s">
        <v>210</v>
      </c>
      <c r="O320" s="89" t="s">
        <v>210</v>
      </c>
      <c r="P320" s="89">
        <v>1</v>
      </c>
      <c r="Q320" s="89">
        <v>4</v>
      </c>
      <c r="R320" s="89" t="s">
        <v>210</v>
      </c>
      <c r="S320" s="89" t="s">
        <v>210</v>
      </c>
      <c r="T320" s="89">
        <v>3</v>
      </c>
      <c r="U320" s="89"/>
      <c r="V320" s="89"/>
      <c r="W320" s="89"/>
      <c r="X320" s="89"/>
      <c r="Y320" s="89"/>
      <c r="Z320" s="89"/>
      <c r="AA320" s="89"/>
      <c r="AB320" s="89"/>
      <c r="AC320" s="89"/>
      <c r="AD320" s="89"/>
      <c r="AE320" s="89"/>
      <c r="AF320" s="89"/>
      <c r="AG320" s="89"/>
      <c r="AH320" s="89"/>
      <c r="AI320" s="89"/>
      <c r="AJ320" s="89"/>
      <c r="AK320" s="89"/>
      <c r="AL320" s="89"/>
      <c r="AM320" s="89"/>
      <c r="AN320" s="89"/>
      <c r="AO320" s="89"/>
      <c r="AP320" s="89"/>
      <c r="AQ320" s="89"/>
      <c r="AR320" s="89"/>
      <c r="AS320" s="89"/>
      <c r="AT320" s="89"/>
      <c r="AU320" s="89"/>
      <c r="AV320" s="89"/>
      <c r="AW320" s="89"/>
      <c r="AX320" s="89"/>
      <c r="AY320" s="89"/>
      <c r="AZ320" s="89"/>
      <c r="BA320" s="95"/>
    </row>
    <row r="321" spans="1:53" s="87" customFormat="1">
      <c r="A321" s="90" t="str">
        <f t="shared" si="29"/>
        <v/>
      </c>
      <c r="B321" s="89">
        <v>14</v>
      </c>
      <c r="C321" s="89" t="s">
        <v>210</v>
      </c>
      <c r="D321" s="89">
        <v>-3</v>
      </c>
      <c r="E321" s="89">
        <v>-2</v>
      </c>
      <c r="F321" s="89" t="s">
        <v>210</v>
      </c>
      <c r="G321" s="89" t="s">
        <v>210</v>
      </c>
      <c r="H321" s="89">
        <v>4</v>
      </c>
      <c r="I321" s="89">
        <v>1</v>
      </c>
      <c r="J321" s="89" t="s">
        <v>210</v>
      </c>
      <c r="K321" s="89" t="s">
        <v>210</v>
      </c>
      <c r="L321" s="89">
        <v>2</v>
      </c>
      <c r="M321" s="89">
        <v>-4</v>
      </c>
      <c r="N321" s="89" t="s">
        <v>210</v>
      </c>
      <c r="O321" s="89" t="s">
        <v>210</v>
      </c>
      <c r="P321" s="89" t="s">
        <v>202</v>
      </c>
      <c r="Q321" s="89">
        <v>3</v>
      </c>
      <c r="R321" s="89" t="s">
        <v>210</v>
      </c>
      <c r="S321" s="89" t="s">
        <v>210</v>
      </c>
      <c r="T321" s="89">
        <v>-1</v>
      </c>
      <c r="U321" s="89"/>
      <c r="V321" s="89"/>
      <c r="W321" s="89"/>
      <c r="X321" s="89"/>
      <c r="Y321" s="89"/>
      <c r="Z321" s="89"/>
      <c r="AA321" s="89"/>
      <c r="AB321" s="89"/>
      <c r="AC321" s="89"/>
      <c r="AD321" s="89"/>
      <c r="AE321" s="89"/>
      <c r="AF321" s="89"/>
      <c r="AG321" s="89"/>
      <c r="AH321" s="89"/>
      <c r="AI321" s="89"/>
      <c r="AJ321" s="89"/>
      <c r="AK321" s="89"/>
      <c r="AL321" s="89"/>
      <c r="AM321" s="89"/>
      <c r="AN321" s="89"/>
      <c r="AO321" s="89"/>
      <c r="AP321" s="89"/>
      <c r="AQ321" s="89"/>
      <c r="AR321" s="89"/>
      <c r="AS321" s="89"/>
      <c r="AT321" s="89"/>
      <c r="AU321" s="89"/>
      <c r="AV321" s="89"/>
      <c r="AW321" s="89"/>
      <c r="AX321" s="89"/>
      <c r="AY321" s="89"/>
      <c r="AZ321" s="89"/>
      <c r="BA321" s="95"/>
    </row>
    <row r="322" spans="1:53" s="87" customFormat="1">
      <c r="A322" s="90" t="str">
        <f t="shared" si="29"/>
        <v/>
      </c>
      <c r="B322" s="89">
        <v>15</v>
      </c>
      <c r="C322" s="89">
        <v>-2</v>
      </c>
      <c r="D322" s="89" t="s">
        <v>210</v>
      </c>
      <c r="E322" s="89">
        <v>-1</v>
      </c>
      <c r="F322" s="89" t="s">
        <v>210</v>
      </c>
      <c r="G322" s="89" t="s">
        <v>210</v>
      </c>
      <c r="H322" s="89">
        <v>-3</v>
      </c>
      <c r="I322" s="89">
        <v>4</v>
      </c>
      <c r="J322" s="89" t="s">
        <v>210</v>
      </c>
      <c r="K322" s="89" t="s">
        <v>210</v>
      </c>
      <c r="L322" s="89">
        <v>3</v>
      </c>
      <c r="M322" s="89" t="s">
        <v>202</v>
      </c>
      <c r="N322" s="89" t="s">
        <v>210</v>
      </c>
      <c r="O322" s="89" t="s">
        <v>210</v>
      </c>
      <c r="P322" s="89">
        <v>-4</v>
      </c>
      <c r="Q322" s="89">
        <v>2</v>
      </c>
      <c r="R322" s="89" t="s">
        <v>210</v>
      </c>
      <c r="S322" s="89" t="s">
        <v>210</v>
      </c>
      <c r="T322" s="89">
        <v>1</v>
      </c>
      <c r="U322" s="89"/>
      <c r="V322" s="89"/>
      <c r="W322" s="89"/>
      <c r="X322" s="89"/>
      <c r="Y322" s="89"/>
      <c r="Z322" s="89"/>
      <c r="AA322" s="89"/>
      <c r="AB322" s="89"/>
      <c r="AC322" s="89"/>
      <c r="AD322" s="89"/>
      <c r="AE322" s="89"/>
      <c r="AF322" s="89"/>
      <c r="AG322" s="89"/>
      <c r="AH322" s="89"/>
      <c r="AI322" s="89"/>
      <c r="AJ322" s="89"/>
      <c r="AK322" s="89"/>
      <c r="AL322" s="89"/>
      <c r="AM322" s="89"/>
      <c r="AN322" s="89"/>
      <c r="AO322" s="89"/>
      <c r="AP322" s="89"/>
      <c r="AQ322" s="89"/>
      <c r="AR322" s="89"/>
      <c r="AS322" s="89"/>
      <c r="AT322" s="89"/>
      <c r="AU322" s="89"/>
      <c r="AV322" s="89"/>
      <c r="AW322" s="89"/>
      <c r="AX322" s="89"/>
      <c r="AY322" s="89"/>
      <c r="AZ322" s="89"/>
      <c r="BA322" s="95"/>
    </row>
    <row r="323" spans="1:53" s="87" customFormat="1">
      <c r="A323" s="90" t="str">
        <f t="shared" si="29"/>
        <v/>
      </c>
      <c r="B323" s="89">
        <v>16</v>
      </c>
      <c r="C323" s="89">
        <v>1</v>
      </c>
      <c r="D323" s="89" t="s">
        <v>210</v>
      </c>
      <c r="E323" s="89">
        <v>-3</v>
      </c>
      <c r="F323" s="89" t="s">
        <v>210</v>
      </c>
      <c r="G323" s="89" t="s">
        <v>210</v>
      </c>
      <c r="H323" s="89">
        <v>2</v>
      </c>
      <c r="I323" s="89" t="s">
        <v>202</v>
      </c>
      <c r="J323" s="89" t="s">
        <v>210</v>
      </c>
      <c r="K323" s="89" t="s">
        <v>210</v>
      </c>
      <c r="L323" s="89">
        <v>-1</v>
      </c>
      <c r="M323" s="89">
        <v>4</v>
      </c>
      <c r="N323" s="89" t="s">
        <v>210</v>
      </c>
      <c r="O323" s="89" t="s">
        <v>210</v>
      </c>
      <c r="P323" s="89">
        <v>3</v>
      </c>
      <c r="Q323" s="89">
        <v>-2</v>
      </c>
      <c r="R323" s="89" t="s">
        <v>210</v>
      </c>
      <c r="S323" s="89" t="s">
        <v>210</v>
      </c>
      <c r="T323" s="89">
        <v>-4</v>
      </c>
      <c r="U323" s="89"/>
      <c r="V323" s="89"/>
      <c r="W323" s="89"/>
      <c r="X323" s="89"/>
      <c r="Y323" s="89"/>
      <c r="Z323" s="89"/>
      <c r="AA323" s="89"/>
      <c r="AB323" s="89"/>
      <c r="AC323" s="89"/>
      <c r="AD323" s="89"/>
      <c r="AE323" s="89"/>
      <c r="AF323" s="89"/>
      <c r="AG323" s="89"/>
      <c r="AH323" s="89"/>
      <c r="AI323" s="89"/>
      <c r="AJ323" s="89"/>
      <c r="AK323" s="89"/>
      <c r="AL323" s="89"/>
      <c r="AM323" s="89"/>
      <c r="AN323" s="89"/>
      <c r="AO323" s="89"/>
      <c r="AP323" s="89"/>
      <c r="AQ323" s="89"/>
      <c r="AR323" s="89"/>
      <c r="AS323" s="89"/>
      <c r="AT323" s="89"/>
      <c r="AU323" s="89"/>
      <c r="AV323" s="89"/>
      <c r="AW323" s="89"/>
      <c r="AX323" s="89"/>
      <c r="AY323" s="89"/>
      <c r="AZ323" s="89"/>
      <c r="BA323" s="95"/>
    </row>
    <row r="324" spans="1:53" s="87" customFormat="1">
      <c r="A324" s="90" t="str">
        <f t="shared" si="29"/>
        <v/>
      </c>
      <c r="B324" s="89">
        <v>17</v>
      </c>
      <c r="C324" s="89">
        <v>2</v>
      </c>
      <c r="D324" s="89" t="s">
        <v>210</v>
      </c>
      <c r="E324" s="89">
        <v>-4</v>
      </c>
      <c r="F324" s="89" t="s">
        <v>210</v>
      </c>
      <c r="G324" s="89" t="s">
        <v>210</v>
      </c>
      <c r="H324" s="89">
        <v>1</v>
      </c>
      <c r="I324" s="89">
        <v>3</v>
      </c>
      <c r="J324" s="89" t="s">
        <v>210</v>
      </c>
      <c r="K324" s="89" t="s">
        <v>210</v>
      </c>
      <c r="L324" s="89">
        <v>-2</v>
      </c>
      <c r="M324" s="89">
        <v>-3</v>
      </c>
      <c r="N324" s="89" t="s">
        <v>210</v>
      </c>
      <c r="O324" s="89" t="s">
        <v>210</v>
      </c>
      <c r="P324" s="89">
        <v>-1</v>
      </c>
      <c r="Q324" s="89" t="s">
        <v>202</v>
      </c>
      <c r="R324" s="89" t="s">
        <v>210</v>
      </c>
      <c r="S324" s="89" t="s">
        <v>210</v>
      </c>
      <c r="T324" s="89">
        <v>4</v>
      </c>
      <c r="U324" s="89"/>
      <c r="V324" s="89"/>
      <c r="W324" s="89"/>
      <c r="X324" s="89"/>
      <c r="Y324" s="89"/>
      <c r="Z324" s="89"/>
      <c r="AA324" s="89"/>
      <c r="AB324" s="89"/>
      <c r="AC324" s="89"/>
      <c r="AD324" s="89"/>
      <c r="AE324" s="89"/>
      <c r="AF324" s="89"/>
      <c r="AG324" s="89"/>
      <c r="AH324" s="89"/>
      <c r="AI324" s="89"/>
      <c r="AJ324" s="89"/>
      <c r="AK324" s="89"/>
      <c r="AL324" s="89"/>
      <c r="AM324" s="89"/>
      <c r="AN324" s="89"/>
      <c r="AO324" s="89"/>
      <c r="AP324" s="89"/>
      <c r="AQ324" s="89"/>
      <c r="AR324" s="89"/>
      <c r="AS324" s="89"/>
      <c r="AT324" s="89"/>
      <c r="AU324" s="89"/>
      <c r="AV324" s="89"/>
      <c r="AW324" s="89"/>
      <c r="AX324" s="89"/>
      <c r="AY324" s="89"/>
      <c r="AZ324" s="89"/>
      <c r="BA324" s="95"/>
    </row>
    <row r="325" spans="1:53" s="87" customFormat="1">
      <c r="A325" s="90" t="str">
        <f t="shared" si="29"/>
        <v/>
      </c>
      <c r="B325" s="89">
        <v>18</v>
      </c>
      <c r="C325" s="89" t="s">
        <v>210</v>
      </c>
      <c r="D325" s="89">
        <v>3</v>
      </c>
      <c r="E325" s="89">
        <v>1</v>
      </c>
      <c r="F325" s="89" t="s">
        <v>210</v>
      </c>
      <c r="G325" s="89" t="s">
        <v>210</v>
      </c>
      <c r="H325" s="89">
        <v>-2</v>
      </c>
      <c r="I325" s="89">
        <v>-3</v>
      </c>
      <c r="J325" s="89" t="s">
        <v>210</v>
      </c>
      <c r="K325" s="89" t="s">
        <v>210</v>
      </c>
      <c r="L325" s="89">
        <v>4</v>
      </c>
      <c r="M325" s="89">
        <v>-1</v>
      </c>
      <c r="N325" s="89" t="s">
        <v>210</v>
      </c>
      <c r="O325" s="89" t="s">
        <v>210</v>
      </c>
      <c r="P325" s="89">
        <v>2</v>
      </c>
      <c r="Q325" s="89">
        <v>-4</v>
      </c>
      <c r="R325" s="89" t="s">
        <v>210</v>
      </c>
      <c r="S325" s="89" t="s">
        <v>210</v>
      </c>
      <c r="T325" s="89" t="s">
        <v>202</v>
      </c>
      <c r="U325" s="89"/>
      <c r="V325" s="89"/>
      <c r="W325" s="89"/>
      <c r="X325" s="89"/>
      <c r="Y325" s="89"/>
      <c r="Z325" s="89"/>
      <c r="AA325" s="89"/>
      <c r="AB325" s="89"/>
      <c r="AC325" s="89"/>
      <c r="AD325" s="89"/>
      <c r="AE325" s="89"/>
      <c r="AF325" s="89"/>
      <c r="AG325" s="89"/>
      <c r="AH325" s="89"/>
      <c r="AI325" s="89"/>
      <c r="AJ325" s="89"/>
      <c r="AK325" s="89"/>
      <c r="AL325" s="89"/>
      <c r="AM325" s="89"/>
      <c r="AN325" s="89"/>
      <c r="AO325" s="89"/>
      <c r="AP325" s="89"/>
      <c r="AQ325" s="89"/>
      <c r="AR325" s="89"/>
      <c r="AS325" s="89"/>
      <c r="AT325" s="89"/>
      <c r="AU325" s="89"/>
      <c r="AV325" s="89"/>
      <c r="AW325" s="89"/>
      <c r="AX325" s="89"/>
      <c r="AY325" s="89"/>
      <c r="AZ325" s="89"/>
      <c r="BA325" s="95"/>
    </row>
    <row r="326" spans="1:53" s="87" customFormat="1">
      <c r="A326" s="90" t="str">
        <f t="shared" si="29"/>
        <v/>
      </c>
      <c r="B326" s="89" t="s">
        <v>290</v>
      </c>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c r="AA326" s="89"/>
      <c r="AB326" s="89"/>
      <c r="AC326" s="89"/>
      <c r="AD326" s="89"/>
      <c r="AE326" s="89"/>
      <c r="AF326" s="89"/>
      <c r="AG326" s="89"/>
      <c r="AH326" s="89"/>
      <c r="AI326" s="89"/>
      <c r="AJ326" s="89"/>
      <c r="AK326" s="89"/>
      <c r="AL326" s="89"/>
      <c r="AM326" s="89"/>
      <c r="AN326" s="89"/>
      <c r="AO326" s="89"/>
      <c r="AP326" s="89"/>
      <c r="AQ326" s="89"/>
      <c r="AR326" s="89"/>
      <c r="AS326" s="89"/>
      <c r="AT326" s="89"/>
      <c r="AU326" s="89"/>
      <c r="AV326" s="89"/>
      <c r="AW326" s="89"/>
      <c r="AX326" s="89"/>
      <c r="AY326" s="89"/>
      <c r="AZ326" s="89"/>
      <c r="BA326" s="95"/>
    </row>
    <row r="327" spans="1:53" s="87" customFormat="1">
      <c r="A327" s="90">
        <f t="shared" si="29"/>
        <v>327</v>
      </c>
      <c r="B327" s="89" t="s">
        <v>291</v>
      </c>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c r="AA327" s="89"/>
      <c r="AB327" s="89"/>
      <c r="AC327" s="89"/>
      <c r="AD327" s="89"/>
      <c r="AE327" s="89"/>
      <c r="AF327" s="89"/>
      <c r="AG327" s="89"/>
      <c r="AH327" s="89"/>
      <c r="AI327" s="89"/>
      <c r="AJ327" s="89"/>
      <c r="AK327" s="89"/>
      <c r="AL327" s="89"/>
      <c r="AM327" s="89"/>
      <c r="AN327" s="89"/>
      <c r="AO327" s="89"/>
      <c r="AP327" s="89"/>
      <c r="AQ327" s="89"/>
      <c r="AR327" s="89"/>
      <c r="AS327" s="89"/>
      <c r="AT327" s="89"/>
      <c r="AU327" s="89"/>
      <c r="AV327" s="89"/>
      <c r="AW327" s="89"/>
      <c r="AX327" s="89"/>
      <c r="AY327" s="89"/>
      <c r="AZ327" s="89"/>
      <c r="BA327" s="95"/>
    </row>
    <row r="328" spans="1:53" s="87" customFormat="1">
      <c r="A328" s="90" t="str">
        <f t="shared" si="29"/>
        <v/>
      </c>
      <c r="B328" s="89">
        <v>1</v>
      </c>
      <c r="C328" s="89">
        <v>-2</v>
      </c>
      <c r="D328" s="89" t="s">
        <v>210</v>
      </c>
      <c r="E328" s="89" t="s">
        <v>210</v>
      </c>
      <c r="F328" s="89">
        <v>1</v>
      </c>
      <c r="G328" s="89">
        <v>-4</v>
      </c>
      <c r="H328" s="89" t="s">
        <v>210</v>
      </c>
      <c r="I328" s="89" t="s">
        <v>210</v>
      </c>
      <c r="J328" s="89" t="s">
        <v>210</v>
      </c>
      <c r="K328" s="89">
        <v>3</v>
      </c>
      <c r="L328" s="89"/>
      <c r="M328" s="89"/>
      <c r="N328" s="89"/>
      <c r="O328" s="89"/>
      <c r="P328" s="89"/>
      <c r="Q328" s="89"/>
      <c r="R328" s="89"/>
      <c r="S328" s="89"/>
      <c r="T328" s="89"/>
      <c r="U328" s="89"/>
      <c r="V328" s="89"/>
      <c r="W328" s="89"/>
      <c r="X328" s="89"/>
      <c r="Y328" s="89"/>
      <c r="Z328" s="89"/>
      <c r="AA328" s="89"/>
      <c r="AB328" s="89"/>
      <c r="AC328" s="89"/>
      <c r="AD328" s="89"/>
      <c r="AE328" s="89"/>
      <c r="AF328" s="89"/>
      <c r="AG328" s="89"/>
      <c r="AH328" s="89"/>
      <c r="AI328" s="89"/>
      <c r="AJ328" s="89"/>
      <c r="AK328" s="89"/>
      <c r="AL328" s="89"/>
      <c r="AM328" s="89"/>
      <c r="AN328" s="89"/>
      <c r="AO328" s="89"/>
      <c r="AP328" s="89"/>
      <c r="AQ328" s="89"/>
      <c r="AR328" s="89"/>
      <c r="AS328" s="89"/>
      <c r="AT328" s="89"/>
      <c r="AU328" s="89"/>
      <c r="AV328" s="89"/>
      <c r="AW328" s="89"/>
      <c r="AX328" s="89"/>
      <c r="AY328" s="89"/>
      <c r="AZ328" s="89"/>
      <c r="BA328" s="95"/>
    </row>
    <row r="329" spans="1:53" s="87" customFormat="1">
      <c r="A329" s="90" t="str">
        <f t="shared" si="29"/>
        <v/>
      </c>
      <c r="B329" s="89">
        <v>2</v>
      </c>
      <c r="C329" s="89" t="s">
        <v>210</v>
      </c>
      <c r="D329" s="89" t="s">
        <v>210</v>
      </c>
      <c r="E329" s="89" t="s">
        <v>210</v>
      </c>
      <c r="F329" s="89">
        <v>3</v>
      </c>
      <c r="G329" s="89">
        <v>-2</v>
      </c>
      <c r="H329" s="89" t="s">
        <v>210</v>
      </c>
      <c r="I329" s="89" t="s">
        <v>210</v>
      </c>
      <c r="J329" s="89">
        <v>1</v>
      </c>
      <c r="K329" s="89">
        <v>-3</v>
      </c>
      <c r="L329" s="89"/>
      <c r="M329" s="89"/>
      <c r="N329" s="89"/>
      <c r="O329" s="89"/>
      <c r="P329" s="89"/>
      <c r="Q329" s="89"/>
      <c r="R329" s="89"/>
      <c r="S329" s="89"/>
      <c r="T329" s="89"/>
      <c r="U329" s="89"/>
      <c r="V329" s="89"/>
      <c r="W329" s="89"/>
      <c r="X329" s="89"/>
      <c r="Y329" s="89"/>
      <c r="Z329" s="89"/>
      <c r="AA329" s="89"/>
      <c r="AB329" s="89"/>
      <c r="AC329" s="89"/>
      <c r="AD329" s="89"/>
      <c r="AE329" s="89"/>
      <c r="AF329" s="89"/>
      <c r="AG329" s="89"/>
      <c r="AH329" s="89"/>
      <c r="AI329" s="89"/>
      <c r="AJ329" s="89"/>
      <c r="AK329" s="89"/>
      <c r="AL329" s="89"/>
      <c r="AM329" s="89"/>
      <c r="AN329" s="89"/>
      <c r="AO329" s="89"/>
      <c r="AP329" s="89"/>
      <c r="AQ329" s="89"/>
      <c r="AR329" s="89"/>
      <c r="AS329" s="89"/>
      <c r="AT329" s="89"/>
      <c r="AU329" s="89"/>
      <c r="AV329" s="89"/>
      <c r="AW329" s="89"/>
      <c r="AX329" s="89"/>
      <c r="AY329" s="89"/>
      <c r="AZ329" s="89"/>
      <c r="BA329" s="95"/>
    </row>
    <row r="330" spans="1:53" s="87" customFormat="1">
      <c r="A330" s="90" t="str">
        <f t="shared" si="29"/>
        <v/>
      </c>
      <c r="B330" s="89">
        <v>3</v>
      </c>
      <c r="C330" s="89">
        <v>-3</v>
      </c>
      <c r="D330" s="89" t="s">
        <v>210</v>
      </c>
      <c r="E330" s="89" t="s">
        <v>210</v>
      </c>
      <c r="F330" s="89" t="s">
        <v>210</v>
      </c>
      <c r="G330" s="89">
        <v>4</v>
      </c>
      <c r="H330" s="89" t="s">
        <v>210</v>
      </c>
      <c r="I330" s="89" t="s">
        <v>210</v>
      </c>
      <c r="J330" s="89">
        <v>-1</v>
      </c>
      <c r="K330" s="89">
        <v>2</v>
      </c>
      <c r="L330" s="89"/>
      <c r="M330" s="89"/>
      <c r="N330" s="89"/>
      <c r="O330" s="89"/>
      <c r="P330" s="89"/>
      <c r="Q330" s="89"/>
      <c r="R330" s="89"/>
      <c r="S330" s="89"/>
      <c r="T330" s="89"/>
      <c r="U330" s="89"/>
      <c r="V330" s="89"/>
      <c r="W330" s="89"/>
      <c r="X330" s="89"/>
      <c r="Y330" s="89"/>
      <c r="Z330" s="89"/>
      <c r="AA330" s="89"/>
      <c r="AB330" s="89"/>
      <c r="AC330" s="89"/>
      <c r="AD330" s="89"/>
      <c r="AE330" s="89"/>
      <c r="AF330" s="89"/>
      <c r="AG330" s="89"/>
      <c r="AH330" s="89"/>
      <c r="AI330" s="89"/>
      <c r="AJ330" s="89"/>
      <c r="AK330" s="89"/>
      <c r="AL330" s="89"/>
      <c r="AM330" s="89"/>
      <c r="AN330" s="89"/>
      <c r="AO330" s="89"/>
      <c r="AP330" s="89"/>
      <c r="AQ330" s="89"/>
      <c r="AR330" s="89"/>
      <c r="AS330" s="89"/>
      <c r="AT330" s="89"/>
      <c r="AU330" s="89"/>
      <c r="AV330" s="89"/>
      <c r="AW330" s="89"/>
      <c r="AX330" s="89"/>
      <c r="AY330" s="89"/>
      <c r="AZ330" s="89"/>
      <c r="BA330" s="95"/>
    </row>
    <row r="331" spans="1:53" s="87" customFormat="1">
      <c r="A331" s="90" t="str">
        <f t="shared" si="29"/>
        <v/>
      </c>
      <c r="B331" s="89">
        <v>4</v>
      </c>
      <c r="C331" s="89">
        <v>2</v>
      </c>
      <c r="D331" s="89" t="s">
        <v>210</v>
      </c>
      <c r="E331" s="89" t="s">
        <v>210</v>
      </c>
      <c r="F331" s="89">
        <v>-3</v>
      </c>
      <c r="G331" s="89" t="s">
        <v>210</v>
      </c>
      <c r="H331" s="89" t="s">
        <v>210</v>
      </c>
      <c r="I331" s="89" t="s">
        <v>210</v>
      </c>
      <c r="J331" s="89">
        <v>4</v>
      </c>
      <c r="K331" s="89">
        <v>-2</v>
      </c>
      <c r="L331" s="89"/>
      <c r="M331" s="89"/>
      <c r="N331" s="89"/>
      <c r="O331" s="89"/>
      <c r="P331" s="89"/>
      <c r="Q331" s="89"/>
      <c r="R331" s="89"/>
      <c r="S331" s="89"/>
      <c r="T331" s="89"/>
      <c r="U331" s="89"/>
      <c r="V331" s="89"/>
      <c r="W331" s="89"/>
      <c r="X331" s="89"/>
      <c r="Y331" s="89"/>
      <c r="Z331" s="89"/>
      <c r="AA331" s="89"/>
      <c r="AB331" s="89"/>
      <c r="AC331" s="89"/>
      <c r="AD331" s="89"/>
      <c r="AE331" s="89"/>
      <c r="AF331" s="89"/>
      <c r="AG331" s="89"/>
      <c r="AH331" s="89"/>
      <c r="AI331" s="89"/>
      <c r="AJ331" s="89"/>
      <c r="AK331" s="89"/>
      <c r="AL331" s="89"/>
      <c r="AM331" s="89"/>
      <c r="AN331" s="89"/>
      <c r="AO331" s="89"/>
      <c r="AP331" s="89"/>
      <c r="AQ331" s="89"/>
      <c r="AR331" s="89"/>
      <c r="AS331" s="89"/>
      <c r="AT331" s="89"/>
      <c r="AU331" s="89"/>
      <c r="AV331" s="89"/>
      <c r="AW331" s="89"/>
      <c r="AX331" s="89"/>
      <c r="AY331" s="89"/>
      <c r="AZ331" s="89"/>
      <c r="BA331" s="95"/>
    </row>
    <row r="332" spans="1:53" s="87" customFormat="1">
      <c r="A332" s="90" t="str">
        <f t="shared" ref="A332:A395" si="30">IF(MID(B332,3,2)="04",ROW(),"")</f>
        <v/>
      </c>
      <c r="B332" s="99">
        <v>5</v>
      </c>
      <c r="C332" s="92">
        <v>3</v>
      </c>
      <c r="D332" s="92" t="s">
        <v>210</v>
      </c>
      <c r="E332" s="92" t="s">
        <v>210</v>
      </c>
      <c r="F332" s="92">
        <v>-1</v>
      </c>
      <c r="G332" s="92">
        <v>2</v>
      </c>
      <c r="H332" s="92" t="s">
        <v>210</v>
      </c>
      <c r="I332" s="92" t="s">
        <v>210</v>
      </c>
      <c r="J332" s="92">
        <v>-4</v>
      </c>
      <c r="K332" s="92" t="s">
        <v>210</v>
      </c>
      <c r="L332" s="89"/>
      <c r="M332" s="89"/>
      <c r="N332" s="89"/>
      <c r="O332" s="89"/>
      <c r="P332" s="89"/>
      <c r="Q332" s="89"/>
      <c r="R332" s="89"/>
      <c r="S332" s="89"/>
      <c r="T332" s="89"/>
      <c r="U332" s="89"/>
      <c r="V332" s="89"/>
      <c r="W332" s="89"/>
      <c r="X332" s="89"/>
      <c r="Y332" s="89"/>
      <c r="Z332" s="89"/>
      <c r="AA332" s="89"/>
      <c r="AB332" s="89"/>
      <c r="AC332" s="89"/>
      <c r="AD332" s="89"/>
      <c r="AE332" s="89"/>
      <c r="AF332" s="89"/>
      <c r="AG332" s="89"/>
      <c r="AH332" s="89"/>
      <c r="AI332" s="89"/>
      <c r="AJ332" s="89"/>
      <c r="AK332" s="89"/>
      <c r="AL332" s="89"/>
      <c r="AM332" s="89"/>
      <c r="AN332" s="89"/>
      <c r="AO332" s="89"/>
      <c r="AP332" s="89"/>
      <c r="AQ332" s="89"/>
      <c r="AR332" s="89"/>
      <c r="AS332" s="89"/>
      <c r="AT332" s="89"/>
      <c r="AU332" s="89"/>
      <c r="AV332" s="89"/>
      <c r="AW332" s="89"/>
      <c r="AX332" s="89"/>
      <c r="AY332" s="89"/>
      <c r="AZ332" s="89"/>
      <c r="BA332" s="95"/>
    </row>
    <row r="333" spans="1:53" s="87" customFormat="1">
      <c r="A333" s="90" t="str">
        <f t="shared" si="30"/>
        <v/>
      </c>
      <c r="B333" s="89">
        <v>6</v>
      </c>
      <c r="C333" s="89">
        <v>1</v>
      </c>
      <c r="D333" s="89" t="s">
        <v>210</v>
      </c>
      <c r="E333" s="89" t="s">
        <v>210</v>
      </c>
      <c r="F333" s="89">
        <v>-2</v>
      </c>
      <c r="G333" s="89">
        <v>3</v>
      </c>
      <c r="H333" s="89" t="s">
        <v>210</v>
      </c>
      <c r="I333" s="89" t="s">
        <v>210</v>
      </c>
      <c r="J333" s="89" t="s">
        <v>210</v>
      </c>
      <c r="K333" s="89">
        <v>-4</v>
      </c>
      <c r="L333" s="89"/>
      <c r="M333" s="89"/>
      <c r="N333" s="89"/>
      <c r="O333" s="89"/>
      <c r="P333" s="89"/>
      <c r="Q333" s="89"/>
      <c r="R333" s="89"/>
      <c r="S333" s="89"/>
      <c r="T333" s="89"/>
      <c r="U333" s="89"/>
      <c r="V333" s="89"/>
      <c r="W333" s="89"/>
      <c r="X333" s="89"/>
      <c r="Y333" s="89"/>
      <c r="Z333" s="89"/>
      <c r="AA333" s="89"/>
      <c r="AB333" s="89"/>
      <c r="AC333" s="89"/>
      <c r="AD333" s="89"/>
      <c r="AE333" s="89"/>
      <c r="AF333" s="89"/>
      <c r="AG333" s="89"/>
      <c r="AH333" s="89"/>
      <c r="AI333" s="89"/>
      <c r="AJ333" s="89"/>
      <c r="AK333" s="89"/>
      <c r="AL333" s="89"/>
      <c r="AM333" s="89"/>
      <c r="AN333" s="89"/>
      <c r="AO333" s="89"/>
      <c r="AP333" s="89"/>
      <c r="AQ333" s="89"/>
      <c r="AR333" s="89"/>
      <c r="AS333" s="89"/>
      <c r="AT333" s="89"/>
      <c r="AU333" s="89"/>
      <c r="AV333" s="89"/>
      <c r="AW333" s="89"/>
      <c r="AX333" s="89"/>
      <c r="AY333" s="89"/>
      <c r="AZ333" s="89"/>
      <c r="BA333" s="95"/>
    </row>
    <row r="334" spans="1:53" s="87" customFormat="1">
      <c r="A334" s="90" t="str">
        <f t="shared" si="30"/>
        <v/>
      </c>
      <c r="B334" s="89">
        <v>7</v>
      </c>
      <c r="C334" s="89" t="s">
        <v>210</v>
      </c>
      <c r="D334" s="89" t="s">
        <v>210</v>
      </c>
      <c r="E334" s="89" t="s">
        <v>210</v>
      </c>
      <c r="F334" s="89">
        <v>-4</v>
      </c>
      <c r="G334" s="89">
        <v>1</v>
      </c>
      <c r="H334" s="89" t="s">
        <v>210</v>
      </c>
      <c r="I334" s="89" t="s">
        <v>210</v>
      </c>
      <c r="J334" s="89">
        <v>-2</v>
      </c>
      <c r="K334" s="89">
        <v>4</v>
      </c>
      <c r="L334" s="89"/>
      <c r="M334" s="89"/>
      <c r="N334" s="89"/>
      <c r="O334" s="89"/>
      <c r="P334" s="89"/>
      <c r="Q334" s="89"/>
      <c r="R334" s="89"/>
      <c r="S334" s="89"/>
      <c r="T334" s="89"/>
      <c r="U334" s="89"/>
      <c r="V334" s="89"/>
      <c r="W334" s="89"/>
      <c r="X334" s="89"/>
      <c r="Y334" s="89"/>
      <c r="Z334" s="89"/>
      <c r="AA334" s="89"/>
      <c r="AB334" s="89"/>
      <c r="AC334" s="89"/>
      <c r="AD334" s="89"/>
      <c r="AE334" s="89"/>
      <c r="AF334" s="89"/>
      <c r="AG334" s="89"/>
      <c r="AH334" s="89"/>
      <c r="AI334" s="89"/>
      <c r="AJ334" s="89"/>
      <c r="AK334" s="89"/>
      <c r="AL334" s="89"/>
      <c r="AM334" s="89"/>
      <c r="AN334" s="89"/>
      <c r="AO334" s="89"/>
      <c r="AP334" s="89"/>
      <c r="AQ334" s="89"/>
      <c r="AR334" s="89"/>
      <c r="AS334" s="89"/>
      <c r="AT334" s="89"/>
      <c r="AU334" s="89"/>
      <c r="AV334" s="89"/>
      <c r="AW334" s="89"/>
      <c r="AX334" s="89"/>
      <c r="AY334" s="89"/>
      <c r="AZ334" s="89"/>
      <c r="BA334" s="95"/>
    </row>
    <row r="335" spans="1:53" s="87" customFormat="1">
      <c r="A335" s="90" t="str">
        <f t="shared" si="30"/>
        <v/>
      </c>
      <c r="B335" s="89">
        <v>8</v>
      </c>
      <c r="C335" s="89">
        <v>4</v>
      </c>
      <c r="D335" s="89" t="s">
        <v>210</v>
      </c>
      <c r="E335" s="89" t="s">
        <v>210</v>
      </c>
      <c r="F335" s="89" t="s">
        <v>210</v>
      </c>
      <c r="G335" s="89">
        <v>-3</v>
      </c>
      <c r="H335" s="89" t="s">
        <v>210</v>
      </c>
      <c r="I335" s="89" t="s">
        <v>210</v>
      </c>
      <c r="J335" s="89">
        <v>2</v>
      </c>
      <c r="K335" s="89">
        <v>-1</v>
      </c>
      <c r="L335" s="89"/>
      <c r="M335" s="89"/>
      <c r="N335" s="89"/>
      <c r="O335" s="89"/>
      <c r="P335" s="89"/>
      <c r="Q335" s="89"/>
      <c r="R335" s="89"/>
      <c r="S335" s="89"/>
      <c r="T335" s="89"/>
      <c r="U335" s="89"/>
      <c r="V335" s="89"/>
      <c r="W335" s="89"/>
      <c r="X335" s="89"/>
      <c r="Y335" s="89"/>
      <c r="Z335" s="89"/>
      <c r="AA335" s="89"/>
      <c r="AB335" s="89"/>
      <c r="AC335" s="89"/>
      <c r="AD335" s="89"/>
      <c r="AE335" s="89"/>
      <c r="AF335" s="89"/>
      <c r="AG335" s="89"/>
      <c r="AH335" s="89"/>
      <c r="AI335" s="89"/>
      <c r="AJ335" s="89"/>
      <c r="AK335" s="89"/>
      <c r="AL335" s="89"/>
      <c r="AM335" s="89"/>
      <c r="AN335" s="89"/>
      <c r="AO335" s="89"/>
      <c r="AP335" s="89"/>
      <c r="AQ335" s="89"/>
      <c r="AR335" s="89"/>
      <c r="AS335" s="89"/>
      <c r="AT335" s="89"/>
      <c r="AU335" s="89"/>
      <c r="AV335" s="89"/>
      <c r="AW335" s="89"/>
      <c r="AX335" s="89"/>
      <c r="AY335" s="89"/>
      <c r="AZ335" s="89"/>
      <c r="BA335" s="95"/>
    </row>
    <row r="336" spans="1:53" s="87" customFormat="1">
      <c r="A336" s="90" t="str">
        <f t="shared" si="30"/>
        <v/>
      </c>
      <c r="B336" s="89">
        <v>9</v>
      </c>
      <c r="C336" s="89">
        <v>-1</v>
      </c>
      <c r="D336" s="89" t="s">
        <v>210</v>
      </c>
      <c r="E336" s="89" t="s">
        <v>210</v>
      </c>
      <c r="F336" s="89">
        <v>4</v>
      </c>
      <c r="G336" s="89" t="s">
        <v>210</v>
      </c>
      <c r="H336" s="89" t="s">
        <v>210</v>
      </c>
      <c r="I336" s="89" t="s">
        <v>210</v>
      </c>
      <c r="J336" s="89">
        <v>-3</v>
      </c>
      <c r="K336" s="89">
        <v>1</v>
      </c>
      <c r="L336" s="89"/>
      <c r="M336" s="89"/>
      <c r="N336" s="89"/>
      <c r="O336" s="89"/>
      <c r="P336" s="89"/>
      <c r="Q336" s="89"/>
      <c r="R336" s="89"/>
      <c r="S336" s="89"/>
      <c r="T336" s="89"/>
      <c r="U336" s="89"/>
      <c r="V336" s="89"/>
      <c r="W336" s="89"/>
      <c r="X336" s="89"/>
      <c r="Y336" s="89"/>
      <c r="Z336" s="89"/>
      <c r="AA336" s="89"/>
      <c r="AB336" s="89"/>
      <c r="AC336" s="89"/>
      <c r="AD336" s="89"/>
      <c r="AE336" s="89"/>
      <c r="AF336" s="89"/>
      <c r="AG336" s="89"/>
      <c r="AH336" s="89"/>
      <c r="AI336" s="89"/>
      <c r="AJ336" s="89"/>
      <c r="AK336" s="89"/>
      <c r="AL336" s="89"/>
      <c r="AM336" s="89"/>
      <c r="AN336" s="89"/>
      <c r="AO336" s="89"/>
      <c r="AP336" s="89"/>
      <c r="AQ336" s="89"/>
      <c r="AR336" s="89"/>
      <c r="AS336" s="89"/>
      <c r="AT336" s="89"/>
      <c r="AU336" s="89"/>
      <c r="AV336" s="89"/>
      <c r="AW336" s="89"/>
      <c r="AX336" s="89"/>
      <c r="AY336" s="89"/>
      <c r="AZ336" s="89"/>
      <c r="BA336" s="95"/>
    </row>
    <row r="337" spans="1:53" s="87" customFormat="1">
      <c r="A337" s="90" t="str">
        <f t="shared" si="30"/>
        <v/>
      </c>
      <c r="B337" s="99">
        <v>10</v>
      </c>
      <c r="C337" s="92">
        <v>-4</v>
      </c>
      <c r="D337" s="92" t="s">
        <v>210</v>
      </c>
      <c r="E337" s="92" t="s">
        <v>210</v>
      </c>
      <c r="F337" s="92">
        <v>2</v>
      </c>
      <c r="G337" s="92">
        <v>-1</v>
      </c>
      <c r="H337" s="92" t="s">
        <v>210</v>
      </c>
      <c r="I337" s="92" t="s">
        <v>210</v>
      </c>
      <c r="J337" s="92">
        <v>3</v>
      </c>
      <c r="K337" s="92" t="s">
        <v>210</v>
      </c>
      <c r="L337" s="89"/>
      <c r="M337" s="89"/>
      <c r="N337" s="89"/>
      <c r="O337" s="89"/>
      <c r="P337" s="89"/>
      <c r="Q337" s="89"/>
      <c r="R337" s="89"/>
      <c r="S337" s="89"/>
      <c r="T337" s="89"/>
      <c r="U337" s="89"/>
      <c r="V337" s="89"/>
      <c r="W337" s="89"/>
      <c r="X337" s="89"/>
      <c r="Y337" s="89"/>
      <c r="Z337" s="89"/>
      <c r="AA337" s="89"/>
      <c r="AB337" s="89"/>
      <c r="AC337" s="89"/>
      <c r="AD337" s="89"/>
      <c r="AE337" s="89"/>
      <c r="AF337" s="89"/>
      <c r="AG337" s="89"/>
      <c r="AH337" s="89"/>
      <c r="AI337" s="89"/>
      <c r="AJ337" s="89"/>
      <c r="AK337" s="89"/>
      <c r="AL337" s="89"/>
      <c r="AM337" s="89"/>
      <c r="AN337" s="89"/>
      <c r="AO337" s="89"/>
      <c r="AP337" s="89"/>
      <c r="AQ337" s="89"/>
      <c r="AR337" s="89"/>
      <c r="AS337" s="89"/>
      <c r="AT337" s="89"/>
      <c r="AU337" s="89"/>
      <c r="AV337" s="89"/>
      <c r="AW337" s="89"/>
      <c r="AX337" s="89"/>
      <c r="AY337" s="89"/>
      <c r="AZ337" s="89"/>
      <c r="BA337" s="95"/>
    </row>
    <row r="338" spans="1:53" s="87" customFormat="1">
      <c r="A338" s="90" t="str">
        <f t="shared" si="30"/>
        <v/>
      </c>
      <c r="B338" s="89">
        <v>11</v>
      </c>
      <c r="C338" s="89" t="s">
        <v>210</v>
      </c>
      <c r="D338" s="89">
        <v>2</v>
      </c>
      <c r="E338" s="89">
        <v>-3</v>
      </c>
      <c r="F338" s="89" t="s">
        <v>210</v>
      </c>
      <c r="G338" s="89" t="s">
        <v>210</v>
      </c>
      <c r="H338" s="89">
        <v>-4</v>
      </c>
      <c r="I338" s="89">
        <v>3</v>
      </c>
      <c r="J338" s="89" t="s">
        <v>210</v>
      </c>
      <c r="K338" s="89" t="s">
        <v>210</v>
      </c>
      <c r="L338" s="89"/>
      <c r="M338" s="89"/>
      <c r="N338" s="89"/>
      <c r="O338" s="89"/>
      <c r="P338" s="89"/>
      <c r="Q338" s="89"/>
      <c r="R338" s="89"/>
      <c r="S338" s="89"/>
      <c r="T338" s="89"/>
      <c r="U338" s="89"/>
      <c r="V338" s="89"/>
      <c r="W338" s="89"/>
      <c r="X338" s="89"/>
      <c r="Y338" s="89"/>
      <c r="Z338" s="89"/>
      <c r="AA338" s="89"/>
      <c r="AB338" s="89"/>
      <c r="AC338" s="89"/>
      <c r="AD338" s="89"/>
      <c r="AE338" s="89"/>
      <c r="AF338" s="89"/>
      <c r="AG338" s="89"/>
      <c r="AH338" s="89"/>
      <c r="AI338" s="89"/>
      <c r="AJ338" s="89"/>
      <c r="AK338" s="89"/>
      <c r="AL338" s="89"/>
      <c r="AM338" s="89"/>
      <c r="AN338" s="89"/>
      <c r="AO338" s="89"/>
      <c r="AP338" s="89"/>
      <c r="AQ338" s="89"/>
      <c r="AR338" s="89"/>
      <c r="AS338" s="89"/>
      <c r="AT338" s="89"/>
      <c r="AU338" s="89"/>
      <c r="AV338" s="89"/>
      <c r="AW338" s="89"/>
      <c r="AX338" s="89"/>
      <c r="AY338" s="89"/>
      <c r="AZ338" s="89"/>
      <c r="BA338" s="95"/>
    </row>
    <row r="339" spans="1:53" s="87" customFormat="1">
      <c r="A339" s="90" t="str">
        <f t="shared" si="30"/>
        <v/>
      </c>
      <c r="B339" s="89">
        <v>12</v>
      </c>
      <c r="C339" s="89" t="s">
        <v>210</v>
      </c>
      <c r="D339" s="89">
        <v>3</v>
      </c>
      <c r="E339" s="89">
        <v>2</v>
      </c>
      <c r="F339" s="89" t="s">
        <v>210</v>
      </c>
      <c r="G339" s="89" t="s">
        <v>210</v>
      </c>
      <c r="H339" s="89">
        <v>-1</v>
      </c>
      <c r="I339" s="89">
        <v>-3</v>
      </c>
      <c r="J339" s="89" t="s">
        <v>210</v>
      </c>
      <c r="K339" s="89" t="s">
        <v>210</v>
      </c>
      <c r="L339" s="89"/>
      <c r="M339" s="89"/>
      <c r="N339" s="89"/>
      <c r="O339" s="89"/>
      <c r="P339" s="89"/>
      <c r="Q339" s="89"/>
      <c r="R339" s="89"/>
      <c r="S339" s="89"/>
      <c r="T339" s="89"/>
      <c r="U339" s="89"/>
      <c r="V339" s="89"/>
      <c r="W339" s="89"/>
      <c r="X339" s="89"/>
      <c r="Y339" s="89"/>
      <c r="Z339" s="89"/>
      <c r="AA339" s="89"/>
      <c r="AB339" s="89"/>
      <c r="AC339" s="89"/>
      <c r="AD339" s="89"/>
      <c r="AE339" s="89"/>
      <c r="AF339" s="89"/>
      <c r="AG339" s="89"/>
      <c r="AH339" s="89"/>
      <c r="AI339" s="89"/>
      <c r="AJ339" s="89"/>
      <c r="AK339" s="89"/>
      <c r="AL339" s="89"/>
      <c r="AM339" s="89"/>
      <c r="AN339" s="89"/>
      <c r="AO339" s="89"/>
      <c r="AP339" s="89"/>
      <c r="AQ339" s="89"/>
      <c r="AR339" s="89"/>
      <c r="AS339" s="89"/>
      <c r="AT339" s="89"/>
      <c r="AU339" s="89"/>
      <c r="AV339" s="89"/>
      <c r="AW339" s="89"/>
      <c r="AX339" s="89"/>
      <c r="AY339" s="89"/>
      <c r="AZ339" s="89"/>
      <c r="BA339" s="95"/>
    </row>
    <row r="340" spans="1:53" s="87" customFormat="1">
      <c r="A340" s="90" t="str">
        <f t="shared" si="30"/>
        <v/>
      </c>
      <c r="B340" s="89">
        <v>13</v>
      </c>
      <c r="C340" s="89" t="s">
        <v>210</v>
      </c>
      <c r="D340" s="89">
        <v>-4</v>
      </c>
      <c r="E340" s="89">
        <v>3</v>
      </c>
      <c r="F340" s="89" t="s">
        <v>210</v>
      </c>
      <c r="G340" s="89" t="s">
        <v>210</v>
      </c>
      <c r="H340" s="89">
        <v>1</v>
      </c>
      <c r="I340" s="89">
        <v>-2</v>
      </c>
      <c r="J340" s="89" t="s">
        <v>210</v>
      </c>
      <c r="K340" s="89" t="s">
        <v>210</v>
      </c>
      <c r="L340" s="89"/>
      <c r="M340" s="89"/>
      <c r="N340" s="89"/>
      <c r="O340" s="89"/>
      <c r="P340" s="89"/>
      <c r="Q340" s="89"/>
      <c r="R340" s="89"/>
      <c r="S340" s="89"/>
      <c r="T340" s="89"/>
      <c r="U340" s="89"/>
      <c r="V340" s="89"/>
      <c r="W340" s="89"/>
      <c r="X340" s="89"/>
      <c r="Y340" s="89"/>
      <c r="Z340" s="89"/>
      <c r="AA340" s="89"/>
      <c r="AB340" s="89"/>
      <c r="AC340" s="89"/>
      <c r="AD340" s="89"/>
      <c r="AE340" s="89"/>
      <c r="AF340" s="89"/>
      <c r="AG340" s="89"/>
      <c r="AH340" s="89"/>
      <c r="AI340" s="89"/>
      <c r="AJ340" s="89"/>
      <c r="AK340" s="89"/>
      <c r="AL340" s="89"/>
      <c r="AM340" s="89"/>
      <c r="AN340" s="89"/>
      <c r="AO340" s="89"/>
      <c r="AP340" s="89"/>
      <c r="AQ340" s="89"/>
      <c r="AR340" s="89"/>
      <c r="AS340" s="89"/>
      <c r="AT340" s="89"/>
      <c r="AU340" s="89"/>
      <c r="AV340" s="89"/>
      <c r="AW340" s="89"/>
      <c r="AX340" s="89"/>
      <c r="AY340" s="89"/>
      <c r="AZ340" s="89"/>
      <c r="BA340" s="95"/>
    </row>
    <row r="341" spans="1:53" s="87" customFormat="1">
      <c r="A341" s="90" t="str">
        <f t="shared" si="30"/>
        <v/>
      </c>
      <c r="B341" s="99">
        <v>14</v>
      </c>
      <c r="C341" s="92" t="s">
        <v>210</v>
      </c>
      <c r="D341" s="92">
        <v>-1</v>
      </c>
      <c r="E341" s="92">
        <v>-2</v>
      </c>
      <c r="F341" s="92" t="s">
        <v>210</v>
      </c>
      <c r="G341" s="92" t="s">
        <v>210</v>
      </c>
      <c r="H341" s="92">
        <v>4</v>
      </c>
      <c r="I341" s="92">
        <v>2</v>
      </c>
      <c r="J341" s="92" t="s">
        <v>210</v>
      </c>
      <c r="K341" s="92" t="s">
        <v>210</v>
      </c>
      <c r="L341" s="89"/>
      <c r="M341" s="89"/>
      <c r="N341" s="89"/>
      <c r="O341" s="89"/>
      <c r="P341" s="89"/>
      <c r="Q341" s="89"/>
      <c r="R341" s="89"/>
      <c r="S341" s="89"/>
      <c r="T341" s="89"/>
      <c r="U341" s="89"/>
      <c r="V341" s="89"/>
      <c r="W341" s="89"/>
      <c r="X341" s="89"/>
      <c r="Y341" s="89"/>
      <c r="Z341" s="89"/>
      <c r="AA341" s="89"/>
      <c r="AB341" s="89"/>
      <c r="AC341" s="89"/>
      <c r="AD341" s="89"/>
      <c r="AE341" s="89"/>
      <c r="AF341" s="89"/>
      <c r="AG341" s="89"/>
      <c r="AH341" s="89"/>
      <c r="AI341" s="89"/>
      <c r="AJ341" s="89"/>
      <c r="AK341" s="89"/>
      <c r="AL341" s="89"/>
      <c r="AM341" s="89"/>
      <c r="AN341" s="89"/>
      <c r="AO341" s="89"/>
      <c r="AP341" s="89"/>
      <c r="AQ341" s="89"/>
      <c r="AR341" s="89"/>
      <c r="AS341" s="89"/>
      <c r="AT341" s="89"/>
      <c r="AU341" s="89"/>
      <c r="AV341" s="89"/>
      <c r="AW341" s="89"/>
      <c r="AX341" s="89"/>
      <c r="AY341" s="89"/>
      <c r="AZ341" s="89"/>
      <c r="BA341" s="95"/>
    </row>
    <row r="342" spans="1:53" s="87" customFormat="1">
      <c r="A342" s="90" t="str">
        <f t="shared" si="30"/>
        <v/>
      </c>
      <c r="B342" s="89">
        <v>15</v>
      </c>
      <c r="C342" s="89" t="s">
        <v>210</v>
      </c>
      <c r="D342" s="89">
        <v>-2</v>
      </c>
      <c r="E342" s="89">
        <v>-4</v>
      </c>
      <c r="F342" s="89" t="s">
        <v>210</v>
      </c>
      <c r="G342" s="89" t="s">
        <v>210</v>
      </c>
      <c r="H342" s="89">
        <v>3</v>
      </c>
      <c r="I342" s="89">
        <v>4</v>
      </c>
      <c r="J342" s="89" t="s">
        <v>210</v>
      </c>
      <c r="K342" s="89" t="s">
        <v>210</v>
      </c>
      <c r="L342" s="89"/>
      <c r="M342" s="89"/>
      <c r="N342" s="89"/>
      <c r="O342" s="89"/>
      <c r="P342" s="89"/>
      <c r="Q342" s="89"/>
      <c r="R342" s="89"/>
      <c r="S342" s="89"/>
      <c r="T342" s="89"/>
      <c r="U342" s="89"/>
      <c r="V342" s="89"/>
      <c r="W342" s="89"/>
      <c r="X342" s="89"/>
      <c r="Y342" s="89"/>
      <c r="Z342" s="89"/>
      <c r="AA342" s="89"/>
      <c r="AB342" s="89"/>
      <c r="AC342" s="89"/>
      <c r="AD342" s="89"/>
      <c r="AE342" s="89"/>
      <c r="AF342" s="89"/>
      <c r="AG342" s="89"/>
      <c r="AH342" s="89"/>
      <c r="AI342" s="89"/>
      <c r="AJ342" s="89"/>
      <c r="AK342" s="89"/>
      <c r="AL342" s="89"/>
      <c r="AM342" s="89"/>
      <c r="AN342" s="89"/>
      <c r="AO342" s="89"/>
      <c r="AP342" s="89"/>
      <c r="AQ342" s="89"/>
      <c r="AR342" s="89"/>
      <c r="AS342" s="89"/>
      <c r="AT342" s="89"/>
      <c r="AU342" s="89"/>
      <c r="AV342" s="89"/>
      <c r="AW342" s="89"/>
      <c r="AX342" s="89"/>
      <c r="AY342" s="89"/>
      <c r="AZ342" s="89"/>
      <c r="BA342" s="95"/>
    </row>
    <row r="343" spans="1:53" s="87" customFormat="1">
      <c r="A343" s="90" t="str">
        <f t="shared" si="30"/>
        <v/>
      </c>
      <c r="B343" s="89">
        <v>16</v>
      </c>
      <c r="C343" s="89" t="s">
        <v>210</v>
      </c>
      <c r="D343" s="89">
        <v>-3</v>
      </c>
      <c r="E343" s="89">
        <v>1</v>
      </c>
      <c r="F343" s="89" t="s">
        <v>210</v>
      </c>
      <c r="G343" s="89" t="s">
        <v>210</v>
      </c>
      <c r="H343" s="89">
        <v>2</v>
      </c>
      <c r="I343" s="89">
        <v>-4</v>
      </c>
      <c r="J343" s="89" t="s">
        <v>210</v>
      </c>
      <c r="K343" s="89" t="s">
        <v>210</v>
      </c>
      <c r="L343" s="89"/>
      <c r="M343" s="89"/>
      <c r="N343" s="89"/>
      <c r="O343" s="89"/>
      <c r="P343" s="89"/>
      <c r="Q343" s="89"/>
      <c r="R343" s="89"/>
      <c r="S343" s="89"/>
      <c r="T343" s="89"/>
      <c r="U343" s="89"/>
      <c r="V343" s="89"/>
      <c r="W343" s="89"/>
      <c r="X343" s="89"/>
      <c r="Y343" s="89"/>
      <c r="Z343" s="89"/>
      <c r="AA343" s="89"/>
      <c r="AB343" s="89"/>
      <c r="AC343" s="89"/>
      <c r="AD343" s="89"/>
      <c r="AE343" s="89"/>
      <c r="AF343" s="89"/>
      <c r="AG343" s="89"/>
      <c r="AH343" s="89"/>
      <c r="AI343" s="89"/>
      <c r="AJ343" s="89"/>
      <c r="AK343" s="89"/>
      <c r="AL343" s="89"/>
      <c r="AM343" s="89"/>
      <c r="AN343" s="89"/>
      <c r="AO343" s="89"/>
      <c r="AP343" s="89"/>
      <c r="AQ343" s="89"/>
      <c r="AR343" s="89"/>
      <c r="AS343" s="89"/>
      <c r="AT343" s="89"/>
      <c r="AU343" s="89"/>
      <c r="AV343" s="89"/>
      <c r="AW343" s="89"/>
      <c r="AX343" s="89"/>
      <c r="AY343" s="89"/>
      <c r="AZ343" s="89"/>
      <c r="BA343" s="95"/>
    </row>
    <row r="344" spans="1:53" s="87" customFormat="1">
      <c r="A344" s="90" t="str">
        <f t="shared" si="30"/>
        <v/>
      </c>
      <c r="B344" s="89">
        <v>17</v>
      </c>
      <c r="C344" s="89" t="s">
        <v>210</v>
      </c>
      <c r="D344" s="89">
        <v>4</v>
      </c>
      <c r="E344" s="89">
        <v>-1</v>
      </c>
      <c r="F344" s="89" t="s">
        <v>210</v>
      </c>
      <c r="G344" s="89" t="s">
        <v>210</v>
      </c>
      <c r="H344" s="89">
        <v>-3</v>
      </c>
      <c r="I344" s="89">
        <v>1</v>
      </c>
      <c r="J344" s="89" t="s">
        <v>210</v>
      </c>
      <c r="K344" s="89" t="s">
        <v>210</v>
      </c>
      <c r="L344" s="89"/>
      <c r="M344" s="89"/>
      <c r="N344" s="89"/>
      <c r="O344" s="89"/>
      <c r="P344" s="89"/>
      <c r="Q344" s="89"/>
      <c r="R344" s="89"/>
      <c r="S344" s="89"/>
      <c r="T344" s="89"/>
      <c r="U344" s="89"/>
      <c r="V344" s="89"/>
      <c r="W344" s="89"/>
      <c r="X344" s="89"/>
      <c r="Y344" s="89"/>
      <c r="Z344" s="89"/>
      <c r="AA344" s="89"/>
      <c r="AB344" s="89"/>
      <c r="AC344" s="89"/>
      <c r="AD344" s="89"/>
      <c r="AE344" s="89"/>
      <c r="AF344" s="89"/>
      <c r="AG344" s="89"/>
      <c r="AH344" s="89"/>
      <c r="AI344" s="89"/>
      <c r="AJ344" s="89"/>
      <c r="AK344" s="89"/>
      <c r="AL344" s="89"/>
      <c r="AM344" s="89"/>
      <c r="AN344" s="89"/>
      <c r="AO344" s="89"/>
      <c r="AP344" s="89"/>
      <c r="AQ344" s="89"/>
      <c r="AR344" s="89"/>
      <c r="AS344" s="89"/>
      <c r="AT344" s="89"/>
      <c r="AU344" s="89"/>
      <c r="AV344" s="89"/>
      <c r="AW344" s="89"/>
      <c r="AX344" s="89"/>
      <c r="AY344" s="89"/>
      <c r="AZ344" s="89"/>
      <c r="BA344" s="95"/>
    </row>
    <row r="345" spans="1:53" s="87" customFormat="1">
      <c r="A345" s="90" t="str">
        <f t="shared" si="30"/>
        <v/>
      </c>
      <c r="B345" s="89">
        <v>18</v>
      </c>
      <c r="C345" s="89" t="s">
        <v>210</v>
      </c>
      <c r="D345" s="89">
        <v>1</v>
      </c>
      <c r="E345" s="89">
        <v>4</v>
      </c>
      <c r="F345" s="89" t="s">
        <v>210</v>
      </c>
      <c r="G345" s="89" t="s">
        <v>210</v>
      </c>
      <c r="H345" s="89">
        <v>-2</v>
      </c>
      <c r="I345" s="89">
        <v>-1</v>
      </c>
      <c r="J345" s="89" t="s">
        <v>210</v>
      </c>
      <c r="K345" s="89" t="s">
        <v>210</v>
      </c>
      <c r="L345" s="89"/>
      <c r="M345" s="89"/>
      <c r="N345" s="89"/>
      <c r="O345" s="89"/>
      <c r="P345" s="89"/>
      <c r="Q345" s="89"/>
      <c r="R345" s="89"/>
      <c r="S345" s="89"/>
      <c r="T345" s="89"/>
      <c r="U345" s="89"/>
      <c r="V345" s="89"/>
      <c r="W345" s="89"/>
      <c r="X345" s="89"/>
      <c r="Y345" s="89"/>
      <c r="Z345" s="89"/>
      <c r="AA345" s="89"/>
      <c r="AB345" s="89"/>
      <c r="AC345" s="89"/>
      <c r="AD345" s="89"/>
      <c r="AE345" s="89"/>
      <c r="AF345" s="89"/>
      <c r="AG345" s="89"/>
      <c r="AH345" s="89"/>
      <c r="AI345" s="89"/>
      <c r="AJ345" s="89"/>
      <c r="AK345" s="89"/>
      <c r="AL345" s="89"/>
      <c r="AM345" s="89"/>
      <c r="AN345" s="89"/>
      <c r="AO345" s="89"/>
      <c r="AP345" s="89"/>
      <c r="AQ345" s="89"/>
      <c r="AR345" s="89"/>
      <c r="AS345" s="89"/>
      <c r="AT345" s="89"/>
      <c r="AU345" s="89"/>
      <c r="AV345" s="89"/>
      <c r="AW345" s="89"/>
      <c r="AX345" s="89"/>
      <c r="AY345" s="89"/>
      <c r="AZ345" s="89"/>
      <c r="BA345" s="95"/>
    </row>
    <row r="346" spans="1:53" s="87" customFormat="1">
      <c r="A346" s="90" t="str">
        <f t="shared" si="30"/>
        <v/>
      </c>
      <c r="B346" s="319" t="s">
        <v>292</v>
      </c>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c r="AA346" s="89"/>
      <c r="AB346" s="89"/>
      <c r="AC346" s="89"/>
      <c r="AD346" s="89"/>
      <c r="AE346" s="89"/>
      <c r="AF346" s="89"/>
      <c r="AG346" s="89"/>
      <c r="AH346" s="89"/>
      <c r="AI346" s="89"/>
      <c r="AJ346" s="89"/>
      <c r="AK346" s="89"/>
      <c r="AL346" s="89"/>
      <c r="AM346" s="89"/>
      <c r="AN346" s="89"/>
      <c r="AO346" s="89"/>
      <c r="AP346" s="89"/>
      <c r="AQ346" s="89"/>
      <c r="AR346" s="89"/>
      <c r="AS346" s="89"/>
      <c r="AT346" s="89"/>
      <c r="AU346" s="89"/>
      <c r="AV346" s="89"/>
      <c r="AW346" s="89"/>
      <c r="AX346" s="89"/>
      <c r="AY346" s="89"/>
      <c r="AZ346" s="89"/>
      <c r="BA346" s="95"/>
    </row>
    <row r="347" spans="1:53" s="87" customFormat="1">
      <c r="A347" s="90">
        <f t="shared" si="30"/>
        <v>347</v>
      </c>
      <c r="B347" s="89" t="s">
        <v>293</v>
      </c>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c r="AA347" s="89"/>
      <c r="AB347" s="89"/>
      <c r="AC347" s="89"/>
      <c r="AD347" s="89"/>
      <c r="AE347" s="89"/>
      <c r="AF347" s="89"/>
      <c r="AG347" s="89"/>
      <c r="AH347" s="89"/>
      <c r="AI347" s="89"/>
      <c r="AJ347" s="89"/>
      <c r="AK347" s="89"/>
      <c r="AL347" s="89"/>
      <c r="AM347" s="89"/>
      <c r="AN347" s="89"/>
      <c r="AO347" s="89"/>
      <c r="AP347" s="89"/>
      <c r="AQ347" s="89"/>
      <c r="AR347" s="89"/>
      <c r="AS347" s="89"/>
      <c r="AT347" s="89"/>
      <c r="AU347" s="89"/>
      <c r="AV347" s="89"/>
      <c r="AW347" s="89"/>
      <c r="AX347" s="89"/>
      <c r="AY347" s="89"/>
      <c r="AZ347" s="89"/>
      <c r="BA347" s="95"/>
    </row>
    <row r="348" spans="1:53" s="87" customFormat="1">
      <c r="A348" s="90" t="str">
        <f t="shared" si="30"/>
        <v/>
      </c>
      <c r="B348" s="89">
        <v>1</v>
      </c>
      <c r="C348" s="89">
        <v>1</v>
      </c>
      <c r="D348" s="89" t="s">
        <v>210</v>
      </c>
      <c r="E348" s="89" t="s">
        <v>210</v>
      </c>
      <c r="F348" s="89">
        <v>4</v>
      </c>
      <c r="G348" s="89">
        <v>-3</v>
      </c>
      <c r="H348" s="89" t="s">
        <v>210</v>
      </c>
      <c r="I348" s="89" t="s">
        <v>202</v>
      </c>
      <c r="J348" s="89" t="s">
        <v>210</v>
      </c>
      <c r="K348" s="89">
        <v>-2</v>
      </c>
      <c r="L348" s="89" t="s">
        <v>210</v>
      </c>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c r="AZ348" s="89"/>
      <c r="BA348" s="95"/>
    </row>
    <row r="349" spans="1:53" s="87" customFormat="1">
      <c r="A349" s="90" t="str">
        <f t="shared" si="30"/>
        <v/>
      </c>
      <c r="B349" s="89">
        <v>2</v>
      </c>
      <c r="C349" s="89">
        <v>-3</v>
      </c>
      <c r="D349" s="89" t="s">
        <v>210</v>
      </c>
      <c r="E349" s="89" t="s">
        <v>202</v>
      </c>
      <c r="F349" s="89" t="s">
        <v>210</v>
      </c>
      <c r="G349" s="89">
        <v>-1</v>
      </c>
      <c r="H349" s="89" t="s">
        <v>210</v>
      </c>
      <c r="I349" s="89" t="s">
        <v>210</v>
      </c>
      <c r="J349" s="89">
        <v>4</v>
      </c>
      <c r="K349" s="89">
        <v>2</v>
      </c>
      <c r="L349" s="89" t="s">
        <v>210</v>
      </c>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c r="AZ349" s="89"/>
      <c r="BA349" s="95"/>
    </row>
    <row r="350" spans="1:53" s="87" customFormat="1">
      <c r="A350" s="90" t="str">
        <f t="shared" si="30"/>
        <v/>
      </c>
      <c r="B350" s="89">
        <v>3</v>
      </c>
      <c r="C350" s="89">
        <v>3</v>
      </c>
      <c r="D350" s="89" t="s">
        <v>210</v>
      </c>
      <c r="E350" s="89" t="s">
        <v>210</v>
      </c>
      <c r="F350" s="89">
        <v>-4</v>
      </c>
      <c r="G350" s="89" t="s">
        <v>202</v>
      </c>
      <c r="H350" s="89" t="s">
        <v>210</v>
      </c>
      <c r="I350" s="89" t="s">
        <v>210</v>
      </c>
      <c r="J350" s="89">
        <v>-3</v>
      </c>
      <c r="K350" s="89">
        <v>1</v>
      </c>
      <c r="L350" s="89" t="s">
        <v>210</v>
      </c>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95"/>
    </row>
    <row r="351" spans="1:53" s="87" customFormat="1">
      <c r="A351" s="90" t="str">
        <f t="shared" si="30"/>
        <v/>
      </c>
      <c r="B351" s="89">
        <v>4</v>
      </c>
      <c r="C351" s="89" t="s">
        <v>202</v>
      </c>
      <c r="D351" s="89" t="s">
        <v>210</v>
      </c>
      <c r="E351" s="89" t="s">
        <v>210</v>
      </c>
      <c r="F351" s="89">
        <v>2</v>
      </c>
      <c r="G351" s="89">
        <v>3</v>
      </c>
      <c r="H351" s="89" t="s">
        <v>210</v>
      </c>
      <c r="I351" s="89" t="s">
        <v>210</v>
      </c>
      <c r="J351" s="89">
        <v>-4</v>
      </c>
      <c r="K351" s="89">
        <v>-1</v>
      </c>
      <c r="L351" s="89" t="s">
        <v>210</v>
      </c>
      <c r="M351" s="89"/>
      <c r="N351" s="89"/>
      <c r="O351" s="89"/>
      <c r="P351" s="89"/>
      <c r="Q351" s="89"/>
      <c r="R351" s="89"/>
      <c r="S351" s="89"/>
      <c r="T351" s="89"/>
      <c r="U351" s="89"/>
      <c r="V351" s="89"/>
      <c r="W351" s="89"/>
      <c r="X351" s="89"/>
      <c r="Y351" s="89"/>
      <c r="Z351" s="89"/>
      <c r="AA351" s="89"/>
      <c r="AB351" s="89"/>
      <c r="AC351" s="89"/>
      <c r="AD351" s="89"/>
      <c r="AE351" s="89"/>
      <c r="AF351" s="89"/>
      <c r="AG351" s="89"/>
      <c r="AH351" s="89"/>
      <c r="AI351" s="89"/>
      <c r="AJ351" s="89"/>
      <c r="AK351" s="89"/>
      <c r="AL351" s="89"/>
      <c r="AM351" s="89"/>
      <c r="AN351" s="89"/>
      <c r="AO351" s="89"/>
      <c r="AP351" s="89"/>
      <c r="AQ351" s="89"/>
      <c r="AR351" s="89"/>
      <c r="AS351" s="89"/>
      <c r="AT351" s="89"/>
      <c r="AU351" s="89"/>
      <c r="AV351" s="89"/>
      <c r="AW351" s="89"/>
      <c r="AX351" s="89"/>
      <c r="AY351" s="89"/>
      <c r="AZ351" s="89"/>
      <c r="BA351" s="95"/>
    </row>
    <row r="352" spans="1:53" s="87" customFormat="1">
      <c r="A352" s="90" t="str">
        <f t="shared" si="30"/>
        <v/>
      </c>
      <c r="B352" s="99">
        <v>5</v>
      </c>
      <c r="C352" s="92">
        <v>-1</v>
      </c>
      <c r="D352" s="92" t="s">
        <v>210</v>
      </c>
      <c r="E352" s="92" t="s">
        <v>210</v>
      </c>
      <c r="F352" s="92">
        <v>-2</v>
      </c>
      <c r="G352" s="92">
        <v>1</v>
      </c>
      <c r="H352" s="92" t="s">
        <v>210</v>
      </c>
      <c r="I352" s="92" t="s">
        <v>210</v>
      </c>
      <c r="J352" s="92">
        <v>3</v>
      </c>
      <c r="K352" s="92" t="s">
        <v>202</v>
      </c>
      <c r="L352" s="92" t="s">
        <v>210</v>
      </c>
      <c r="M352" s="89"/>
      <c r="N352" s="89"/>
      <c r="O352" s="89"/>
      <c r="P352" s="89"/>
      <c r="Q352" s="89"/>
      <c r="R352" s="89"/>
      <c r="S352" s="89"/>
      <c r="T352" s="89"/>
      <c r="U352" s="89"/>
      <c r="V352" s="89"/>
      <c r="W352" s="89"/>
      <c r="X352" s="89"/>
      <c r="Y352" s="89"/>
      <c r="Z352" s="89"/>
      <c r="AA352" s="89"/>
      <c r="AB352" s="89"/>
      <c r="AC352" s="89"/>
      <c r="AD352" s="89"/>
      <c r="AE352" s="89"/>
      <c r="AF352" s="89"/>
      <c r="AG352" s="89"/>
      <c r="AH352" s="89"/>
      <c r="AI352" s="89"/>
      <c r="AJ352" s="89"/>
      <c r="AK352" s="89"/>
      <c r="AL352" s="89"/>
      <c r="AM352" s="89"/>
      <c r="AN352" s="89"/>
      <c r="AO352" s="89"/>
      <c r="AP352" s="89"/>
      <c r="AQ352" s="89"/>
      <c r="AR352" s="89"/>
      <c r="AS352" s="89"/>
      <c r="AT352" s="89"/>
      <c r="AU352" s="89"/>
      <c r="AV352" s="89"/>
      <c r="AW352" s="89"/>
      <c r="AX352" s="89"/>
      <c r="AY352" s="89"/>
      <c r="AZ352" s="89"/>
      <c r="BA352" s="95"/>
    </row>
    <row r="353" spans="1:53" s="87" customFormat="1">
      <c r="A353" s="90" t="str">
        <f t="shared" si="30"/>
        <v/>
      </c>
      <c r="B353" s="89">
        <v>6</v>
      </c>
      <c r="C353" s="89" t="s">
        <v>202</v>
      </c>
      <c r="D353" s="89" t="s">
        <v>210</v>
      </c>
      <c r="E353" s="89" t="s">
        <v>210</v>
      </c>
      <c r="F353" s="89">
        <v>1</v>
      </c>
      <c r="G353" s="89">
        <v>-4</v>
      </c>
      <c r="H353" s="89" t="s">
        <v>210</v>
      </c>
      <c r="I353" s="89" t="s">
        <v>210</v>
      </c>
      <c r="J353" s="89">
        <v>2</v>
      </c>
      <c r="K353" s="89">
        <v>-3</v>
      </c>
      <c r="L353" s="89" t="s">
        <v>210</v>
      </c>
      <c r="M353" s="89"/>
      <c r="N353" s="89"/>
      <c r="O353" s="89"/>
      <c r="P353" s="89"/>
      <c r="Q353" s="89"/>
      <c r="R353" s="89"/>
      <c r="S353" s="89"/>
      <c r="T353" s="89"/>
      <c r="U353" s="89"/>
      <c r="V353" s="89"/>
      <c r="W353" s="89"/>
      <c r="X353" s="89"/>
      <c r="Y353" s="89"/>
      <c r="Z353" s="89"/>
      <c r="AA353" s="89"/>
      <c r="AB353" s="89"/>
      <c r="AC353" s="89"/>
      <c r="AD353" s="89"/>
      <c r="AE353" s="89"/>
      <c r="AF353" s="89"/>
      <c r="AG353" s="89"/>
      <c r="AH353" s="89"/>
      <c r="AI353" s="89"/>
      <c r="AJ353" s="89"/>
      <c r="AK353" s="89"/>
      <c r="AL353" s="89"/>
      <c r="AM353" s="89"/>
      <c r="AN353" s="89"/>
      <c r="AO353" s="89"/>
      <c r="AP353" s="89"/>
      <c r="AQ353" s="89"/>
      <c r="AR353" s="89"/>
      <c r="AS353" s="89"/>
      <c r="AT353" s="89"/>
      <c r="AU353" s="89"/>
      <c r="AV353" s="89"/>
      <c r="AW353" s="89"/>
      <c r="AX353" s="89"/>
      <c r="AY353" s="89"/>
      <c r="AZ353" s="89"/>
      <c r="BA353" s="95"/>
    </row>
    <row r="354" spans="1:53" s="87" customFormat="1">
      <c r="A354" s="90" t="str">
        <f t="shared" si="30"/>
        <v/>
      </c>
      <c r="B354" s="89">
        <v>7</v>
      </c>
      <c r="C354" s="89">
        <v>-4</v>
      </c>
      <c r="D354" s="89" t="s">
        <v>210</v>
      </c>
      <c r="E354" s="89" t="s">
        <v>202</v>
      </c>
      <c r="F354" s="89" t="s">
        <v>210</v>
      </c>
      <c r="G354" s="89" t="s">
        <v>210</v>
      </c>
      <c r="H354" s="89">
        <v>-2</v>
      </c>
      <c r="I354" s="89" t="s">
        <v>210</v>
      </c>
      <c r="J354" s="89">
        <v>1</v>
      </c>
      <c r="K354" s="89">
        <v>3</v>
      </c>
      <c r="L354" s="89" t="s">
        <v>210</v>
      </c>
      <c r="M354" s="89"/>
      <c r="N354" s="89"/>
      <c r="O354" s="89"/>
      <c r="P354" s="89"/>
      <c r="Q354" s="89"/>
      <c r="R354" s="89"/>
      <c r="S354" s="89"/>
      <c r="T354" s="89"/>
      <c r="U354" s="89"/>
      <c r="V354" s="89"/>
      <c r="W354" s="89"/>
      <c r="X354" s="89"/>
      <c r="Y354" s="89"/>
      <c r="Z354" s="89"/>
      <c r="AA354" s="89"/>
      <c r="AB354" s="89"/>
      <c r="AC354" s="89"/>
      <c r="AD354" s="89"/>
      <c r="AE354" s="89"/>
      <c r="AF354" s="89"/>
      <c r="AG354" s="89"/>
      <c r="AH354" s="89"/>
      <c r="AI354" s="89"/>
      <c r="AJ354" s="89"/>
      <c r="AK354" s="89"/>
      <c r="AL354" s="89"/>
      <c r="AM354" s="89"/>
      <c r="AN354" s="89"/>
      <c r="AO354" s="89"/>
      <c r="AP354" s="89"/>
      <c r="AQ354" s="89"/>
      <c r="AR354" s="89"/>
      <c r="AS354" s="89"/>
      <c r="AT354" s="89"/>
      <c r="AU354" s="89"/>
      <c r="AV354" s="89"/>
      <c r="AW354" s="89"/>
      <c r="AX354" s="89"/>
      <c r="AY354" s="89"/>
      <c r="AZ354" s="89"/>
      <c r="BA354" s="95"/>
    </row>
    <row r="355" spans="1:53" s="87" customFormat="1">
      <c r="A355" s="90" t="str">
        <f t="shared" si="30"/>
        <v/>
      </c>
      <c r="B355" s="89">
        <v>8</v>
      </c>
      <c r="C355" s="89">
        <v>4</v>
      </c>
      <c r="D355" s="89" t="s">
        <v>210</v>
      </c>
      <c r="E355" s="89" t="s">
        <v>210</v>
      </c>
      <c r="F355" s="89">
        <v>3</v>
      </c>
      <c r="G355" s="89" t="s">
        <v>202</v>
      </c>
      <c r="H355" s="89" t="s">
        <v>210</v>
      </c>
      <c r="I355" s="89" t="s">
        <v>210</v>
      </c>
      <c r="J355" s="89">
        <v>-2</v>
      </c>
      <c r="K355" s="89">
        <v>-4</v>
      </c>
      <c r="L355" s="89" t="s">
        <v>210</v>
      </c>
      <c r="M355" s="89"/>
      <c r="N355" s="89"/>
      <c r="O355" s="89"/>
      <c r="P355" s="89"/>
      <c r="Q355" s="89"/>
      <c r="R355" s="89"/>
      <c r="S355" s="89"/>
      <c r="T355" s="89"/>
      <c r="U355" s="89"/>
      <c r="V355" s="89"/>
      <c r="W355" s="89"/>
      <c r="X355" s="89"/>
      <c r="Y355" s="89"/>
      <c r="Z355" s="89"/>
      <c r="AA355" s="89"/>
      <c r="AB355" s="89"/>
      <c r="AC355" s="89"/>
      <c r="AD355" s="89"/>
      <c r="AE355" s="89"/>
      <c r="AF355" s="89"/>
      <c r="AG355" s="89"/>
      <c r="AH355" s="89"/>
      <c r="AI355" s="89"/>
      <c r="AJ355" s="89"/>
      <c r="AK355" s="89"/>
      <c r="AL355" s="89"/>
      <c r="AM355" s="89"/>
      <c r="AN355" s="89"/>
      <c r="AO355" s="89"/>
      <c r="AP355" s="89"/>
      <c r="AQ355" s="89"/>
      <c r="AR355" s="89"/>
      <c r="AS355" s="89"/>
      <c r="AT355" s="89"/>
      <c r="AU355" s="89"/>
      <c r="AV355" s="89"/>
      <c r="AW355" s="89"/>
      <c r="AX355" s="89"/>
      <c r="AY355" s="89"/>
      <c r="AZ355" s="89"/>
      <c r="BA355" s="95"/>
    </row>
    <row r="356" spans="1:53" s="87" customFormat="1">
      <c r="A356" s="90" t="str">
        <f t="shared" si="30"/>
        <v/>
      </c>
      <c r="B356" s="89">
        <v>9</v>
      </c>
      <c r="C356" s="89">
        <v>-2</v>
      </c>
      <c r="D356" s="89" t="s">
        <v>210</v>
      </c>
      <c r="E356" s="89" t="s">
        <v>210</v>
      </c>
      <c r="F356" s="89">
        <v>-1</v>
      </c>
      <c r="G356" s="89" t="s">
        <v>210</v>
      </c>
      <c r="H356" s="89">
        <v>2</v>
      </c>
      <c r="I356" s="89" t="s">
        <v>202</v>
      </c>
      <c r="J356" s="89" t="s">
        <v>210</v>
      </c>
      <c r="K356" s="89">
        <v>4</v>
      </c>
      <c r="L356" s="89" t="s">
        <v>210</v>
      </c>
      <c r="M356" s="89"/>
      <c r="N356" s="89"/>
      <c r="O356" s="89"/>
      <c r="P356" s="89"/>
      <c r="Q356" s="89"/>
      <c r="R356" s="89"/>
      <c r="S356" s="89"/>
      <c r="T356" s="89"/>
      <c r="U356" s="89"/>
      <c r="V356" s="89"/>
      <c r="W356" s="89"/>
      <c r="X356" s="89"/>
      <c r="Y356" s="89"/>
      <c r="Z356" s="89"/>
      <c r="AA356" s="89"/>
      <c r="AB356" s="89"/>
      <c r="AC356" s="89"/>
      <c r="AD356" s="89"/>
      <c r="AE356" s="89"/>
      <c r="AF356" s="89"/>
      <c r="AG356" s="89"/>
      <c r="AH356" s="89"/>
      <c r="AI356" s="89"/>
      <c r="AJ356" s="89"/>
      <c r="AK356" s="89"/>
      <c r="AL356" s="89"/>
      <c r="AM356" s="89"/>
      <c r="AN356" s="89"/>
      <c r="AO356" s="89"/>
      <c r="AP356" s="89"/>
      <c r="AQ356" s="89"/>
      <c r="AR356" s="89"/>
      <c r="AS356" s="89"/>
      <c r="AT356" s="89"/>
      <c r="AU356" s="89"/>
      <c r="AV356" s="89"/>
      <c r="AW356" s="89"/>
      <c r="AX356" s="89"/>
      <c r="AY356" s="89"/>
      <c r="AZ356" s="89"/>
      <c r="BA356" s="95"/>
    </row>
    <row r="357" spans="1:53" s="87" customFormat="1">
      <c r="A357" s="90" t="str">
        <f t="shared" si="30"/>
        <v/>
      </c>
      <c r="B357" s="99">
        <v>10</v>
      </c>
      <c r="C357" s="92">
        <v>2</v>
      </c>
      <c r="D357" s="92" t="s">
        <v>210</v>
      </c>
      <c r="E357" s="92" t="s">
        <v>210</v>
      </c>
      <c r="F357" s="92">
        <v>-3</v>
      </c>
      <c r="G357" s="92">
        <v>4</v>
      </c>
      <c r="H357" s="92" t="s">
        <v>210</v>
      </c>
      <c r="I357" s="92" t="s">
        <v>210</v>
      </c>
      <c r="J357" s="92">
        <v>-1</v>
      </c>
      <c r="K357" s="92" t="s">
        <v>202</v>
      </c>
      <c r="L357" s="92" t="s">
        <v>210</v>
      </c>
      <c r="M357" s="89"/>
      <c r="N357" s="89"/>
      <c r="O357" s="89"/>
      <c r="P357" s="89"/>
      <c r="Q357" s="89"/>
      <c r="R357" s="89"/>
      <c r="S357" s="89"/>
      <c r="T357" s="89"/>
      <c r="U357" s="89"/>
      <c r="V357" s="89"/>
      <c r="W357" s="89"/>
      <c r="X357" s="89"/>
      <c r="Y357" s="89"/>
      <c r="Z357" s="89"/>
      <c r="AA357" s="89"/>
      <c r="AB357" s="89"/>
      <c r="AC357" s="89"/>
      <c r="AD357" s="89"/>
      <c r="AE357" s="89"/>
      <c r="AF357" s="89"/>
      <c r="AG357" s="89"/>
      <c r="AH357" s="89"/>
      <c r="AI357" s="89"/>
      <c r="AJ357" s="89"/>
      <c r="AK357" s="89"/>
      <c r="AL357" s="89"/>
      <c r="AM357" s="89"/>
      <c r="AN357" s="89"/>
      <c r="AO357" s="89"/>
      <c r="AP357" s="89"/>
      <c r="AQ357" s="89"/>
      <c r="AR357" s="89"/>
      <c r="AS357" s="89"/>
      <c r="AT357" s="89"/>
      <c r="AU357" s="89"/>
      <c r="AV357" s="89"/>
      <c r="AW357" s="89"/>
      <c r="AX357" s="89"/>
      <c r="AY357" s="89"/>
      <c r="AZ357" s="89"/>
      <c r="BA357" s="95"/>
    </row>
    <row r="358" spans="1:53" s="87" customFormat="1">
      <c r="A358" s="90" t="str">
        <f t="shared" si="30"/>
        <v/>
      </c>
      <c r="B358" s="89">
        <v>11</v>
      </c>
      <c r="C358" s="89" t="s">
        <v>210</v>
      </c>
      <c r="D358" s="89">
        <v>2</v>
      </c>
      <c r="E358" s="89">
        <v>1</v>
      </c>
      <c r="F358" s="89" t="s">
        <v>210</v>
      </c>
      <c r="G358" s="89">
        <v>-2</v>
      </c>
      <c r="H358" s="89" t="s">
        <v>210</v>
      </c>
      <c r="I358" s="89" t="s">
        <v>202</v>
      </c>
      <c r="J358" s="89" t="s">
        <v>210</v>
      </c>
      <c r="K358" s="89" t="s">
        <v>210</v>
      </c>
      <c r="L358" s="89">
        <v>-3</v>
      </c>
      <c r="M358" s="89"/>
      <c r="N358" s="89"/>
      <c r="O358" s="89"/>
      <c r="P358" s="89"/>
      <c r="Q358" s="89"/>
      <c r="R358" s="89"/>
      <c r="S358" s="89"/>
      <c r="T358" s="89"/>
      <c r="U358" s="89"/>
      <c r="V358" s="89"/>
      <c r="W358" s="89"/>
      <c r="X358" s="89"/>
      <c r="Y358" s="89"/>
      <c r="Z358" s="89"/>
      <c r="AA358" s="89"/>
      <c r="AB358" s="89"/>
      <c r="AC358" s="89"/>
      <c r="AD358" s="89"/>
      <c r="AE358" s="89"/>
      <c r="AF358" s="89"/>
      <c r="AG358" s="89"/>
      <c r="AH358" s="89"/>
      <c r="AI358" s="89"/>
      <c r="AJ358" s="89"/>
      <c r="AK358" s="89"/>
      <c r="AL358" s="89"/>
      <c r="AM358" s="89"/>
      <c r="AN358" s="89"/>
      <c r="AO358" s="89"/>
      <c r="AP358" s="89"/>
      <c r="AQ358" s="89"/>
      <c r="AR358" s="89"/>
      <c r="AS358" s="89"/>
      <c r="AT358" s="89"/>
      <c r="AU358" s="89"/>
      <c r="AV358" s="89"/>
      <c r="AW358" s="89"/>
      <c r="AX358" s="89"/>
      <c r="AY358" s="89"/>
      <c r="AZ358" s="89"/>
      <c r="BA358" s="95"/>
    </row>
    <row r="359" spans="1:53" s="87" customFormat="1">
      <c r="A359" s="90" t="str">
        <f t="shared" si="30"/>
        <v/>
      </c>
      <c r="B359" s="89">
        <v>12</v>
      </c>
      <c r="C359" s="89" t="s">
        <v>210</v>
      </c>
      <c r="D359" s="89">
        <v>-3</v>
      </c>
      <c r="E359" s="89">
        <v>4</v>
      </c>
      <c r="F359" s="89" t="s">
        <v>210</v>
      </c>
      <c r="G359" s="89" t="s">
        <v>202</v>
      </c>
      <c r="H359" s="89" t="s">
        <v>210</v>
      </c>
      <c r="I359" s="89">
        <v>-1</v>
      </c>
      <c r="J359" s="89" t="s">
        <v>210</v>
      </c>
      <c r="K359" s="89" t="s">
        <v>210</v>
      </c>
      <c r="L359" s="89">
        <v>3</v>
      </c>
      <c r="M359" s="89"/>
      <c r="N359" s="89"/>
      <c r="O359" s="89"/>
      <c r="P359" s="89"/>
      <c r="Q359" s="89"/>
      <c r="R359" s="89"/>
      <c r="S359" s="89"/>
      <c r="T359" s="89"/>
      <c r="U359" s="89"/>
      <c r="V359" s="89"/>
      <c r="W359" s="89"/>
      <c r="X359" s="89"/>
      <c r="Y359" s="89"/>
      <c r="Z359" s="89"/>
      <c r="AA359" s="89"/>
      <c r="AB359" s="89"/>
      <c r="AC359" s="89"/>
      <c r="AD359" s="89"/>
      <c r="AE359" s="89"/>
      <c r="AF359" s="89"/>
      <c r="AG359" s="89"/>
      <c r="AH359" s="89"/>
      <c r="AI359" s="89"/>
      <c r="AJ359" s="89"/>
      <c r="AK359" s="89"/>
      <c r="AL359" s="89"/>
      <c r="AM359" s="89"/>
      <c r="AN359" s="89"/>
      <c r="AO359" s="89"/>
      <c r="AP359" s="89"/>
      <c r="AQ359" s="89"/>
      <c r="AR359" s="89"/>
      <c r="AS359" s="89"/>
      <c r="AT359" s="89"/>
      <c r="AU359" s="89"/>
      <c r="AV359" s="89"/>
      <c r="AW359" s="89"/>
      <c r="AX359" s="89"/>
      <c r="AY359" s="89"/>
      <c r="AZ359" s="89"/>
      <c r="BA359" s="95"/>
    </row>
    <row r="360" spans="1:53" s="87" customFormat="1">
      <c r="A360" s="90" t="str">
        <f t="shared" si="30"/>
        <v/>
      </c>
      <c r="B360" s="89">
        <v>13</v>
      </c>
      <c r="C360" s="89" t="s">
        <v>210</v>
      </c>
      <c r="D360" s="89">
        <v>3</v>
      </c>
      <c r="E360" s="89" t="s">
        <v>202</v>
      </c>
      <c r="F360" s="89" t="s">
        <v>210</v>
      </c>
      <c r="G360" s="89">
        <v>2</v>
      </c>
      <c r="H360" s="89" t="s">
        <v>210</v>
      </c>
      <c r="I360" s="89">
        <v>-4</v>
      </c>
      <c r="J360" s="89" t="s">
        <v>210</v>
      </c>
      <c r="K360" s="89" t="s">
        <v>210</v>
      </c>
      <c r="L360" s="89">
        <v>-2</v>
      </c>
      <c r="M360" s="89"/>
      <c r="N360" s="89"/>
      <c r="O360" s="89"/>
      <c r="P360" s="89"/>
      <c r="Q360" s="89"/>
      <c r="R360" s="89"/>
      <c r="S360" s="89"/>
      <c r="T360" s="89"/>
      <c r="U360" s="89"/>
      <c r="V360" s="89"/>
      <c r="W360" s="89"/>
      <c r="X360" s="89"/>
      <c r="Y360" s="89"/>
      <c r="Z360" s="89"/>
      <c r="AA360" s="89"/>
      <c r="AB360" s="89"/>
      <c r="AC360" s="89"/>
      <c r="AD360" s="89"/>
      <c r="AE360" s="89"/>
      <c r="AF360" s="89"/>
      <c r="AG360" s="89"/>
      <c r="AH360" s="89"/>
      <c r="AI360" s="89"/>
      <c r="AJ360" s="89"/>
      <c r="AK360" s="89"/>
      <c r="AL360" s="89"/>
      <c r="AM360" s="89"/>
      <c r="AN360" s="89"/>
      <c r="AO360" s="89"/>
      <c r="AP360" s="89"/>
      <c r="AQ360" s="89"/>
      <c r="AR360" s="89"/>
      <c r="AS360" s="89"/>
      <c r="AT360" s="89"/>
      <c r="AU360" s="89"/>
      <c r="AV360" s="89"/>
      <c r="AW360" s="89"/>
      <c r="AX360" s="89"/>
      <c r="AY360" s="89"/>
      <c r="AZ360" s="89"/>
      <c r="BA360" s="95"/>
    </row>
    <row r="361" spans="1:53" s="87" customFormat="1">
      <c r="A361" s="90" t="str">
        <f t="shared" si="30"/>
        <v/>
      </c>
      <c r="B361" s="89">
        <v>14</v>
      </c>
      <c r="C361" s="89" t="s">
        <v>210</v>
      </c>
      <c r="D361" s="89" t="s">
        <v>202</v>
      </c>
      <c r="E361" s="89">
        <v>-1</v>
      </c>
      <c r="F361" s="89" t="s">
        <v>210</v>
      </c>
      <c r="G361" s="89" t="s">
        <v>210</v>
      </c>
      <c r="H361" s="89">
        <v>-3</v>
      </c>
      <c r="I361" s="89">
        <v>1</v>
      </c>
      <c r="J361" s="89" t="s">
        <v>210</v>
      </c>
      <c r="K361" s="89" t="s">
        <v>210</v>
      </c>
      <c r="L361" s="89">
        <v>2</v>
      </c>
      <c r="M361" s="89"/>
      <c r="N361" s="89"/>
      <c r="O361" s="89"/>
      <c r="P361" s="89"/>
      <c r="Q361" s="89"/>
      <c r="R361" s="89"/>
      <c r="S361" s="89"/>
      <c r="T361" s="89"/>
      <c r="U361" s="89"/>
      <c r="V361" s="89"/>
      <c r="W361" s="89"/>
      <c r="X361" s="89"/>
      <c r="Y361" s="89"/>
      <c r="Z361" s="89"/>
      <c r="AA361" s="89"/>
      <c r="AB361" s="89"/>
      <c r="AC361" s="89"/>
      <c r="AD361" s="89"/>
      <c r="AE361" s="89"/>
      <c r="AF361" s="89"/>
      <c r="AG361" s="89"/>
      <c r="AH361" s="89"/>
      <c r="AI361" s="89"/>
      <c r="AJ361" s="89"/>
      <c r="AK361" s="89"/>
      <c r="AL361" s="89"/>
      <c r="AM361" s="89"/>
      <c r="AN361" s="89"/>
      <c r="AO361" s="89"/>
      <c r="AP361" s="89"/>
      <c r="AQ361" s="89"/>
      <c r="AR361" s="89"/>
      <c r="AS361" s="89"/>
      <c r="AT361" s="89"/>
      <c r="AU361" s="89"/>
      <c r="AV361" s="89"/>
      <c r="AW361" s="89"/>
      <c r="AX361" s="89"/>
      <c r="AY361" s="89"/>
      <c r="AZ361" s="89"/>
      <c r="BA361" s="95"/>
    </row>
    <row r="362" spans="1:53" s="87" customFormat="1">
      <c r="A362" s="90" t="str">
        <f t="shared" si="30"/>
        <v/>
      </c>
      <c r="B362" s="99">
        <v>15</v>
      </c>
      <c r="C362" s="92" t="s">
        <v>210</v>
      </c>
      <c r="D362" s="92">
        <v>-2</v>
      </c>
      <c r="E362" s="92">
        <v>-4</v>
      </c>
      <c r="F362" s="92" t="s">
        <v>210</v>
      </c>
      <c r="G362" s="92" t="s">
        <v>210</v>
      </c>
      <c r="H362" s="92">
        <v>3</v>
      </c>
      <c r="I362" s="92">
        <v>4</v>
      </c>
      <c r="J362" s="92" t="s">
        <v>210</v>
      </c>
      <c r="K362" s="92" t="s">
        <v>202</v>
      </c>
      <c r="L362" s="92" t="s">
        <v>210</v>
      </c>
      <c r="M362" s="89"/>
      <c r="N362" s="89"/>
      <c r="O362" s="89"/>
      <c r="P362" s="89"/>
      <c r="Q362" s="89"/>
      <c r="R362" s="89"/>
      <c r="S362" s="89"/>
      <c r="T362" s="89"/>
      <c r="U362" s="89"/>
      <c r="V362" s="89"/>
      <c r="W362" s="89"/>
      <c r="X362" s="89"/>
      <c r="Y362" s="89"/>
      <c r="Z362" s="89"/>
      <c r="AA362" s="89"/>
      <c r="AB362" s="89"/>
      <c r="AC362" s="89"/>
      <c r="AD362" s="89"/>
      <c r="AE362" s="89"/>
      <c r="AF362" s="89"/>
      <c r="AG362" s="89"/>
      <c r="AH362" s="89"/>
      <c r="AI362" s="89"/>
      <c r="AJ362" s="89"/>
      <c r="AK362" s="89"/>
      <c r="AL362" s="89"/>
      <c r="AM362" s="89"/>
      <c r="AN362" s="89"/>
      <c r="AO362" s="89"/>
      <c r="AP362" s="89"/>
      <c r="AQ362" s="89"/>
      <c r="AR362" s="89"/>
      <c r="AS362" s="89"/>
      <c r="AT362" s="89"/>
      <c r="AU362" s="89"/>
      <c r="AV362" s="89"/>
      <c r="AW362" s="89"/>
      <c r="AX362" s="89"/>
      <c r="AY362" s="89"/>
      <c r="AZ362" s="89"/>
      <c r="BA362" s="95"/>
    </row>
    <row r="363" spans="1:53" s="87" customFormat="1">
      <c r="A363" s="90" t="str">
        <f t="shared" si="30"/>
        <v/>
      </c>
      <c r="B363" s="89">
        <v>16</v>
      </c>
      <c r="C363" s="89" t="s">
        <v>210</v>
      </c>
      <c r="D363" s="89" t="s">
        <v>210</v>
      </c>
      <c r="E363" s="89">
        <v>-2</v>
      </c>
      <c r="F363" s="89" t="s">
        <v>210</v>
      </c>
      <c r="G363" s="89" t="s">
        <v>210</v>
      </c>
      <c r="H363" s="89">
        <v>-4</v>
      </c>
      <c r="I363" s="89">
        <v>3</v>
      </c>
      <c r="J363" s="89" t="s">
        <v>210</v>
      </c>
      <c r="K363" s="89" t="s">
        <v>210</v>
      </c>
      <c r="L363" s="89">
        <v>1</v>
      </c>
      <c r="M363" s="89"/>
      <c r="N363" s="89"/>
      <c r="O363" s="89"/>
      <c r="P363" s="89"/>
      <c r="Q363" s="89"/>
      <c r="R363" s="89"/>
      <c r="S363" s="89"/>
      <c r="T363" s="89"/>
      <c r="U363" s="89"/>
      <c r="V363" s="89"/>
      <c r="W363" s="89"/>
      <c r="X363" s="89"/>
      <c r="Y363" s="89"/>
      <c r="Z363" s="89"/>
      <c r="AA363" s="89"/>
      <c r="AB363" s="89"/>
      <c r="AC363" s="89"/>
      <c r="AD363" s="89"/>
      <c r="AE363" s="89"/>
      <c r="AF363" s="89"/>
      <c r="AG363" s="89"/>
      <c r="AH363" s="89"/>
      <c r="AI363" s="89"/>
      <c r="AJ363" s="89"/>
      <c r="AK363" s="89"/>
      <c r="AL363" s="89"/>
      <c r="AM363" s="89"/>
      <c r="AN363" s="89"/>
      <c r="AO363" s="89"/>
      <c r="AP363" s="89"/>
      <c r="AQ363" s="89"/>
      <c r="AR363" s="89"/>
      <c r="AS363" s="89"/>
      <c r="AT363" s="89"/>
      <c r="AU363" s="89"/>
      <c r="AV363" s="89"/>
      <c r="AW363" s="89"/>
      <c r="AX363" s="89"/>
      <c r="AY363" s="89"/>
      <c r="AZ363" s="89"/>
      <c r="BA363" s="95"/>
    </row>
    <row r="364" spans="1:53" s="87" customFormat="1">
      <c r="A364" s="90" t="str">
        <f t="shared" si="30"/>
        <v/>
      </c>
      <c r="B364" s="89">
        <v>17</v>
      </c>
      <c r="C364" s="89" t="s">
        <v>210</v>
      </c>
      <c r="D364" s="89" t="s">
        <v>210</v>
      </c>
      <c r="E364" s="89">
        <v>3</v>
      </c>
      <c r="F364" s="89" t="s">
        <v>210</v>
      </c>
      <c r="G364" s="89" t="s">
        <v>210</v>
      </c>
      <c r="H364" s="89">
        <v>1</v>
      </c>
      <c r="I364" s="89">
        <v>-2</v>
      </c>
      <c r="J364" s="89" t="s">
        <v>210</v>
      </c>
      <c r="K364" s="89" t="s">
        <v>210</v>
      </c>
      <c r="L364" s="89">
        <v>-1</v>
      </c>
      <c r="M364" s="89"/>
      <c r="N364" s="89"/>
      <c r="O364" s="89"/>
      <c r="P364" s="89"/>
      <c r="Q364" s="89"/>
      <c r="R364" s="89"/>
      <c r="S364" s="89"/>
      <c r="T364" s="89"/>
      <c r="U364" s="89"/>
      <c r="V364" s="89"/>
      <c r="W364" s="89"/>
      <c r="X364" s="89"/>
      <c r="Y364" s="89"/>
      <c r="Z364" s="89"/>
      <c r="AA364" s="89"/>
      <c r="AB364" s="89"/>
      <c r="AC364" s="89"/>
      <c r="AD364" s="89"/>
      <c r="AE364" s="89"/>
      <c r="AF364" s="89"/>
      <c r="AG364" s="89"/>
      <c r="AH364" s="89"/>
      <c r="AI364" s="89"/>
      <c r="AJ364" s="89"/>
      <c r="AK364" s="89"/>
      <c r="AL364" s="89"/>
      <c r="AM364" s="89"/>
      <c r="AN364" s="89"/>
      <c r="AO364" s="89"/>
      <c r="AP364" s="89"/>
      <c r="AQ364" s="89"/>
      <c r="AR364" s="89"/>
      <c r="AS364" s="89"/>
      <c r="AT364" s="89"/>
      <c r="AU364" s="89"/>
      <c r="AV364" s="89"/>
      <c r="AW364" s="89"/>
      <c r="AX364" s="89"/>
      <c r="AY364" s="89"/>
      <c r="AZ364" s="89"/>
      <c r="BA364" s="95"/>
    </row>
    <row r="365" spans="1:53" s="87" customFormat="1">
      <c r="A365" s="90" t="str">
        <f t="shared" si="30"/>
        <v/>
      </c>
      <c r="B365" s="89">
        <v>18</v>
      </c>
      <c r="C365" s="89" t="s">
        <v>210</v>
      </c>
      <c r="D365" s="89" t="s">
        <v>210</v>
      </c>
      <c r="E365" s="89">
        <v>2</v>
      </c>
      <c r="F365" s="89" t="s">
        <v>210</v>
      </c>
      <c r="G365" s="89" t="s">
        <v>210</v>
      </c>
      <c r="H365" s="89">
        <v>-1</v>
      </c>
      <c r="I365" s="89">
        <v>-3</v>
      </c>
      <c r="J365" s="89" t="s">
        <v>210</v>
      </c>
      <c r="K365" s="89" t="s">
        <v>210</v>
      </c>
      <c r="L365" s="89">
        <v>4</v>
      </c>
      <c r="M365" s="89"/>
      <c r="N365" s="89"/>
      <c r="O365" s="89"/>
      <c r="P365" s="89"/>
      <c r="Q365" s="89"/>
      <c r="R365" s="89"/>
      <c r="S365" s="89"/>
      <c r="T365" s="89"/>
      <c r="U365" s="89"/>
      <c r="V365" s="89"/>
      <c r="W365" s="89"/>
      <c r="X365" s="89"/>
      <c r="Y365" s="89"/>
      <c r="Z365" s="89"/>
      <c r="AA365" s="89"/>
      <c r="AB365" s="89"/>
      <c r="AC365" s="89"/>
      <c r="AD365" s="89"/>
      <c r="AE365" s="89"/>
      <c r="AF365" s="89"/>
      <c r="AG365" s="89"/>
      <c r="AH365" s="89"/>
      <c r="AI365" s="89"/>
      <c r="AJ365" s="89"/>
      <c r="AK365" s="89"/>
      <c r="AL365" s="89"/>
      <c r="AM365" s="89"/>
      <c r="AN365" s="89"/>
      <c r="AO365" s="89"/>
      <c r="AP365" s="89"/>
      <c r="AQ365" s="89"/>
      <c r="AR365" s="89"/>
      <c r="AS365" s="89"/>
      <c r="AT365" s="89"/>
      <c r="AU365" s="89"/>
      <c r="AV365" s="89"/>
      <c r="AW365" s="89"/>
      <c r="AX365" s="89"/>
      <c r="AY365" s="89"/>
      <c r="AZ365" s="89"/>
      <c r="BA365" s="95"/>
    </row>
    <row r="366" spans="1:53" s="87" customFormat="1">
      <c r="A366" s="90" t="str">
        <f t="shared" si="30"/>
        <v/>
      </c>
      <c r="B366" s="89">
        <v>19</v>
      </c>
      <c r="C366" s="89" t="s">
        <v>210</v>
      </c>
      <c r="D366" s="89" t="s">
        <v>210</v>
      </c>
      <c r="E366" s="89">
        <v>-3</v>
      </c>
      <c r="F366" s="89" t="s">
        <v>210</v>
      </c>
      <c r="G366" s="89" t="s">
        <v>210</v>
      </c>
      <c r="H366" s="89">
        <v>4</v>
      </c>
      <c r="I366" s="89">
        <v>2</v>
      </c>
      <c r="J366" s="89" t="s">
        <v>210</v>
      </c>
      <c r="K366" s="89" t="s">
        <v>210</v>
      </c>
      <c r="L366" s="89">
        <v>-4</v>
      </c>
      <c r="M366" s="89"/>
      <c r="N366" s="89"/>
      <c r="O366" s="89"/>
      <c r="P366" s="89"/>
      <c r="Q366" s="89"/>
      <c r="R366" s="89"/>
      <c r="S366" s="89"/>
      <c r="T366" s="89"/>
      <c r="U366" s="89"/>
      <c r="V366" s="89"/>
      <c r="W366" s="89"/>
      <c r="X366" s="89"/>
      <c r="Y366" s="89"/>
      <c r="Z366" s="89"/>
      <c r="AA366" s="89"/>
      <c r="AB366" s="89"/>
      <c r="AC366" s="89"/>
      <c r="AD366" s="89"/>
      <c r="AE366" s="89"/>
      <c r="AF366" s="89"/>
      <c r="AG366" s="89"/>
      <c r="AH366" s="89"/>
      <c r="AI366" s="89"/>
      <c r="AJ366" s="89"/>
      <c r="AK366" s="89"/>
      <c r="AL366" s="89"/>
      <c r="AM366" s="89"/>
      <c r="AN366" s="89"/>
      <c r="AO366" s="89"/>
      <c r="AP366" s="89"/>
      <c r="AQ366" s="89"/>
      <c r="AR366" s="89"/>
      <c r="AS366" s="89"/>
      <c r="AT366" s="89"/>
      <c r="AU366" s="89"/>
      <c r="AV366" s="89"/>
      <c r="AW366" s="89"/>
      <c r="AX366" s="89"/>
      <c r="AY366" s="89"/>
      <c r="AZ366" s="89"/>
      <c r="BA366" s="95"/>
    </row>
    <row r="367" spans="1:53" s="87" customFormat="1">
      <c r="A367" s="90" t="str">
        <f t="shared" si="30"/>
        <v/>
      </c>
      <c r="B367" s="89" t="s">
        <v>294</v>
      </c>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c r="AA367" s="89"/>
      <c r="AB367" s="89"/>
      <c r="AC367" s="89"/>
      <c r="AD367" s="89"/>
      <c r="AE367" s="89"/>
      <c r="AF367" s="89"/>
      <c r="AG367" s="89"/>
      <c r="AH367" s="89"/>
      <c r="AI367" s="89"/>
      <c r="AJ367" s="89"/>
      <c r="AK367" s="89"/>
      <c r="AL367" s="89"/>
      <c r="AM367" s="89"/>
      <c r="AN367" s="89"/>
      <c r="AO367" s="89"/>
      <c r="AP367" s="89"/>
      <c r="AQ367" s="89"/>
      <c r="AR367" s="89"/>
      <c r="AS367" s="89"/>
      <c r="AT367" s="89"/>
      <c r="AU367" s="89"/>
      <c r="AV367" s="89"/>
      <c r="AW367" s="89"/>
      <c r="AX367" s="89"/>
      <c r="AY367" s="89"/>
      <c r="AZ367" s="89"/>
      <c r="BA367" s="95"/>
    </row>
    <row r="368" spans="1:53" s="87" customFormat="1">
      <c r="A368" s="90">
        <f t="shared" si="30"/>
        <v>368</v>
      </c>
      <c r="B368" s="89" t="s">
        <v>295</v>
      </c>
      <c r="C368" s="89"/>
      <c r="D368" s="89"/>
      <c r="E368" s="89"/>
      <c r="F368" s="89"/>
      <c r="G368" s="89"/>
      <c r="H368" s="89"/>
      <c r="I368" s="89"/>
      <c r="J368" s="89"/>
      <c r="K368" s="89"/>
      <c r="L368" s="89"/>
      <c r="M368" s="89"/>
      <c r="N368" s="89"/>
      <c r="O368" s="89"/>
      <c r="P368" s="89"/>
      <c r="Q368" s="89"/>
      <c r="R368" s="89"/>
      <c r="S368" s="89"/>
      <c r="T368" s="89"/>
      <c r="U368" s="89"/>
      <c r="V368" s="89"/>
      <c r="W368" s="89"/>
      <c r="X368" s="89"/>
      <c r="Y368" s="89"/>
      <c r="Z368" s="89"/>
      <c r="AA368" s="89"/>
      <c r="AB368" s="89"/>
      <c r="AC368" s="89"/>
      <c r="AD368" s="89"/>
      <c r="AE368" s="89"/>
      <c r="AF368" s="89"/>
      <c r="AG368" s="89"/>
      <c r="AH368" s="89"/>
      <c r="AI368" s="89"/>
      <c r="AJ368" s="89"/>
      <c r="AK368" s="89"/>
      <c r="AL368" s="89"/>
      <c r="AM368" s="89"/>
      <c r="AN368" s="89"/>
      <c r="AO368" s="89"/>
      <c r="AP368" s="89"/>
      <c r="AQ368" s="89"/>
      <c r="AR368" s="89"/>
      <c r="AS368" s="89"/>
      <c r="AT368" s="89"/>
      <c r="AU368" s="89"/>
      <c r="AV368" s="89"/>
      <c r="AW368" s="89"/>
      <c r="AX368" s="89"/>
      <c r="AY368" s="89"/>
      <c r="AZ368" s="89"/>
      <c r="BA368" s="95"/>
    </row>
    <row r="369" spans="1:53" s="87" customFormat="1">
      <c r="A369" s="90" t="str">
        <f t="shared" si="30"/>
        <v/>
      </c>
      <c r="B369" s="89">
        <v>1</v>
      </c>
      <c r="C369" s="89">
        <v>2</v>
      </c>
      <c r="D369" s="89" t="s">
        <v>210</v>
      </c>
      <c r="E369" s="89" t="s">
        <v>210</v>
      </c>
      <c r="F369" s="89">
        <v>-1</v>
      </c>
      <c r="G369" s="89" t="s">
        <v>202</v>
      </c>
      <c r="H369" s="89" t="s">
        <v>210</v>
      </c>
      <c r="I369" s="89" t="s">
        <v>210</v>
      </c>
      <c r="J369" s="89">
        <v>4</v>
      </c>
      <c r="K369" s="89">
        <v>-2</v>
      </c>
      <c r="L369" s="89" t="s">
        <v>210</v>
      </c>
      <c r="M369" s="89"/>
      <c r="N369" s="89"/>
      <c r="O369" s="89"/>
      <c r="P369" s="89"/>
      <c r="Q369" s="89"/>
      <c r="R369" s="89"/>
      <c r="S369" s="89"/>
      <c r="T369" s="89"/>
      <c r="U369" s="89"/>
      <c r="V369" s="89"/>
      <c r="W369" s="89"/>
      <c r="X369" s="89"/>
      <c r="Y369" s="89"/>
      <c r="Z369" s="89"/>
      <c r="AA369" s="89"/>
      <c r="AB369" s="89"/>
      <c r="AC369" s="89"/>
      <c r="AD369" s="89"/>
      <c r="AE369" s="89"/>
      <c r="AF369" s="89"/>
      <c r="AG369" s="89"/>
      <c r="AH369" s="89"/>
      <c r="AI369" s="89"/>
      <c r="AJ369" s="89"/>
      <c r="AK369" s="89"/>
      <c r="AL369" s="89"/>
      <c r="AM369" s="89"/>
      <c r="AN369" s="89"/>
      <c r="AO369" s="89"/>
      <c r="AP369" s="89"/>
      <c r="AQ369" s="89"/>
      <c r="AR369" s="89"/>
      <c r="AS369" s="89"/>
      <c r="AT369" s="89"/>
      <c r="AU369" s="89"/>
      <c r="AV369" s="89"/>
      <c r="AW369" s="89"/>
      <c r="AX369" s="89"/>
      <c r="AY369" s="89"/>
      <c r="AZ369" s="89"/>
      <c r="BA369" s="95"/>
    </row>
    <row r="370" spans="1:53" s="87" customFormat="1">
      <c r="A370" s="90" t="str">
        <f t="shared" si="30"/>
        <v/>
      </c>
      <c r="B370" s="89">
        <v>2</v>
      </c>
      <c r="C370" s="89">
        <v>-1</v>
      </c>
      <c r="D370" s="89" t="s">
        <v>210</v>
      </c>
      <c r="E370" s="89" t="s">
        <v>202</v>
      </c>
      <c r="F370" s="89" t="s">
        <v>210</v>
      </c>
      <c r="G370" s="89" t="s">
        <v>210</v>
      </c>
      <c r="H370" s="89">
        <v>4</v>
      </c>
      <c r="I370" s="89" t="s">
        <v>210</v>
      </c>
      <c r="J370" s="89">
        <v>-3</v>
      </c>
      <c r="K370" s="89">
        <v>2</v>
      </c>
      <c r="L370" s="89" t="s">
        <v>210</v>
      </c>
      <c r="M370" s="89"/>
      <c r="N370" s="89"/>
      <c r="O370" s="89"/>
      <c r="P370" s="89"/>
      <c r="Q370" s="89"/>
      <c r="R370" s="89"/>
      <c r="S370" s="89"/>
      <c r="T370" s="89"/>
      <c r="U370" s="89"/>
      <c r="V370" s="89"/>
      <c r="W370" s="89"/>
      <c r="X370" s="89"/>
      <c r="Y370" s="89"/>
      <c r="Z370" s="89"/>
      <c r="AA370" s="89"/>
      <c r="AB370" s="89"/>
      <c r="AC370" s="89"/>
      <c r="AD370" s="89"/>
      <c r="AE370" s="89"/>
      <c r="AF370" s="89"/>
      <c r="AG370" s="89"/>
      <c r="AH370" s="89"/>
      <c r="AI370" s="89"/>
      <c r="AJ370" s="89"/>
      <c r="AK370" s="89"/>
      <c r="AL370" s="89"/>
      <c r="AM370" s="89"/>
      <c r="AN370" s="89"/>
      <c r="AO370" s="89"/>
      <c r="AP370" s="89"/>
      <c r="AQ370" s="89"/>
      <c r="AR370" s="89"/>
      <c r="AS370" s="89"/>
      <c r="AT370" s="89"/>
      <c r="AU370" s="89"/>
      <c r="AV370" s="89"/>
      <c r="AW370" s="89"/>
      <c r="AX370" s="89"/>
      <c r="AY370" s="89"/>
      <c r="AZ370" s="89"/>
      <c r="BA370" s="95"/>
    </row>
    <row r="371" spans="1:53" s="87" customFormat="1">
      <c r="A371" s="90" t="str">
        <f t="shared" si="30"/>
        <v/>
      </c>
      <c r="B371" s="89">
        <v>3</v>
      </c>
      <c r="C371" s="89">
        <v>-2</v>
      </c>
      <c r="D371" s="89" t="s">
        <v>210</v>
      </c>
      <c r="E371" s="89" t="s">
        <v>210</v>
      </c>
      <c r="F371" s="89">
        <v>3</v>
      </c>
      <c r="G371" s="89" t="s">
        <v>210</v>
      </c>
      <c r="H371" s="89">
        <v>-4</v>
      </c>
      <c r="I371" s="89" t="s">
        <v>202</v>
      </c>
      <c r="J371" s="89" t="s">
        <v>210</v>
      </c>
      <c r="K371" s="89">
        <v>1</v>
      </c>
      <c r="L371" s="89" t="s">
        <v>210</v>
      </c>
      <c r="M371" s="89"/>
      <c r="N371" s="89"/>
      <c r="O371" s="89"/>
      <c r="P371" s="89"/>
      <c r="Q371" s="89"/>
      <c r="R371" s="89"/>
      <c r="S371" s="89"/>
      <c r="T371" s="89"/>
      <c r="U371" s="89"/>
      <c r="V371" s="89"/>
      <c r="W371" s="89"/>
      <c r="X371" s="89"/>
      <c r="Y371" s="89"/>
      <c r="Z371" s="89"/>
      <c r="AA371" s="89"/>
      <c r="AB371" s="89"/>
      <c r="AC371" s="89"/>
      <c r="AD371" s="89"/>
      <c r="AE371" s="89"/>
      <c r="AF371" s="89"/>
      <c r="AG371" s="89"/>
      <c r="AH371" s="89"/>
      <c r="AI371" s="89"/>
      <c r="AJ371" s="89"/>
      <c r="AK371" s="89"/>
      <c r="AL371" s="89"/>
      <c r="AM371" s="89"/>
      <c r="AN371" s="89"/>
      <c r="AO371" s="89"/>
      <c r="AP371" s="89"/>
      <c r="AQ371" s="89"/>
      <c r="AR371" s="89"/>
      <c r="AS371" s="89"/>
      <c r="AT371" s="89"/>
      <c r="AU371" s="89"/>
      <c r="AV371" s="89"/>
      <c r="AW371" s="89"/>
      <c r="AX371" s="89"/>
      <c r="AY371" s="89"/>
      <c r="AZ371" s="89"/>
      <c r="BA371" s="95"/>
    </row>
    <row r="372" spans="1:53" s="87" customFormat="1">
      <c r="A372" s="90" t="str">
        <f t="shared" si="30"/>
        <v/>
      </c>
      <c r="B372" s="89">
        <v>4</v>
      </c>
      <c r="C372" s="89" t="s">
        <v>202</v>
      </c>
      <c r="D372" s="89" t="s">
        <v>210</v>
      </c>
      <c r="E372" s="89" t="s">
        <v>210</v>
      </c>
      <c r="F372" s="89">
        <v>1</v>
      </c>
      <c r="G372" s="89">
        <v>-2</v>
      </c>
      <c r="H372" s="89" t="s">
        <v>210</v>
      </c>
      <c r="I372" s="89" t="s">
        <v>210</v>
      </c>
      <c r="J372" s="89">
        <v>3</v>
      </c>
      <c r="K372" s="89">
        <v>-1</v>
      </c>
      <c r="L372" s="89" t="s">
        <v>210</v>
      </c>
      <c r="M372" s="89"/>
      <c r="N372" s="89"/>
      <c r="O372" s="89"/>
      <c r="P372" s="89"/>
      <c r="Q372" s="89"/>
      <c r="R372" s="89"/>
      <c r="S372" s="89"/>
      <c r="T372" s="89"/>
      <c r="U372" s="89"/>
      <c r="V372" s="89"/>
      <c r="W372" s="89"/>
      <c r="X372" s="89"/>
      <c r="Y372" s="89"/>
      <c r="Z372" s="89"/>
      <c r="AA372" s="89"/>
      <c r="AB372" s="89"/>
      <c r="AC372" s="89"/>
      <c r="AD372" s="89"/>
      <c r="AE372" s="89"/>
      <c r="AF372" s="89"/>
      <c r="AG372" s="89"/>
      <c r="AH372" s="89"/>
      <c r="AI372" s="89"/>
      <c r="AJ372" s="89"/>
      <c r="AK372" s="89"/>
      <c r="AL372" s="89"/>
      <c r="AM372" s="89"/>
      <c r="AN372" s="89"/>
      <c r="AO372" s="89"/>
      <c r="AP372" s="89"/>
      <c r="AQ372" s="89"/>
      <c r="AR372" s="89"/>
      <c r="AS372" s="89"/>
      <c r="AT372" s="89"/>
      <c r="AU372" s="89"/>
      <c r="AV372" s="89"/>
      <c r="AW372" s="89"/>
      <c r="AX372" s="89"/>
      <c r="AY372" s="89"/>
      <c r="AZ372" s="89"/>
      <c r="BA372" s="95"/>
    </row>
    <row r="373" spans="1:53" s="87" customFormat="1">
      <c r="A373" s="90" t="str">
        <f t="shared" si="30"/>
        <v/>
      </c>
      <c r="B373" s="99">
        <v>5</v>
      </c>
      <c r="C373" s="92">
        <v>1</v>
      </c>
      <c r="D373" s="92" t="s">
        <v>210</v>
      </c>
      <c r="E373" s="92" t="s">
        <v>210</v>
      </c>
      <c r="F373" s="92">
        <v>-3</v>
      </c>
      <c r="G373" s="92">
        <v>2</v>
      </c>
      <c r="H373" s="92" t="s">
        <v>210</v>
      </c>
      <c r="I373" s="92" t="s">
        <v>210</v>
      </c>
      <c r="J373" s="92">
        <v>-4</v>
      </c>
      <c r="K373" s="92" t="s">
        <v>202</v>
      </c>
      <c r="L373" s="92" t="s">
        <v>210</v>
      </c>
      <c r="M373" s="89"/>
      <c r="N373" s="89"/>
      <c r="O373" s="89"/>
      <c r="P373" s="89"/>
      <c r="Q373" s="89"/>
      <c r="R373" s="89"/>
      <c r="S373" s="89"/>
      <c r="T373" s="89"/>
      <c r="U373" s="89"/>
      <c r="V373" s="89"/>
      <c r="W373" s="89"/>
      <c r="X373" s="89"/>
      <c r="Y373" s="89"/>
      <c r="Z373" s="89"/>
      <c r="AA373" s="89"/>
      <c r="AB373" s="89"/>
      <c r="AC373" s="89"/>
      <c r="AD373" s="89"/>
      <c r="AE373" s="89"/>
      <c r="AF373" s="89"/>
      <c r="AG373" s="89"/>
      <c r="AH373" s="89"/>
      <c r="AI373" s="89"/>
      <c r="AJ373" s="89"/>
      <c r="AK373" s="89"/>
      <c r="AL373" s="89"/>
      <c r="AM373" s="89"/>
      <c r="AN373" s="89"/>
      <c r="AO373" s="89"/>
      <c r="AP373" s="89"/>
      <c r="AQ373" s="89"/>
      <c r="AR373" s="89"/>
      <c r="AS373" s="89"/>
      <c r="AT373" s="89"/>
      <c r="AU373" s="89"/>
      <c r="AV373" s="89"/>
      <c r="AW373" s="89"/>
      <c r="AX373" s="89"/>
      <c r="AY373" s="89"/>
      <c r="AZ373" s="89"/>
      <c r="BA373" s="95"/>
    </row>
    <row r="374" spans="1:53" s="87" customFormat="1">
      <c r="A374" s="90" t="str">
        <f t="shared" si="30"/>
        <v/>
      </c>
      <c r="B374" s="89">
        <v>6</v>
      </c>
      <c r="C374" s="89">
        <v>3</v>
      </c>
      <c r="D374" s="89" t="s">
        <v>210</v>
      </c>
      <c r="E374" s="89" t="s">
        <v>210</v>
      </c>
      <c r="F374" s="89">
        <v>-4</v>
      </c>
      <c r="G374" s="89" t="s">
        <v>202</v>
      </c>
      <c r="H374" s="89" t="s">
        <v>210</v>
      </c>
      <c r="I374" s="89" t="s">
        <v>210</v>
      </c>
      <c r="J374" s="89">
        <v>1</v>
      </c>
      <c r="K374" s="89">
        <v>-3</v>
      </c>
      <c r="L374" s="89" t="s">
        <v>210</v>
      </c>
      <c r="M374" s="89"/>
      <c r="N374" s="89"/>
      <c r="O374" s="89"/>
      <c r="P374" s="89"/>
      <c r="Q374" s="89"/>
      <c r="R374" s="89"/>
      <c r="S374" s="89"/>
      <c r="T374" s="89"/>
      <c r="U374" s="89"/>
      <c r="V374" s="89"/>
      <c r="W374" s="89"/>
      <c r="X374" s="89"/>
      <c r="Y374" s="89"/>
      <c r="Z374" s="89"/>
      <c r="AA374" s="89"/>
      <c r="AB374" s="89"/>
      <c r="AC374" s="89"/>
      <c r="AD374" s="89"/>
      <c r="AE374" s="89"/>
      <c r="AF374" s="89"/>
      <c r="AG374" s="89"/>
      <c r="AH374" s="89"/>
      <c r="AI374" s="89"/>
      <c r="AJ374" s="89"/>
      <c r="AK374" s="89"/>
      <c r="AL374" s="89"/>
      <c r="AM374" s="89"/>
      <c r="AN374" s="89"/>
      <c r="AO374" s="89"/>
      <c r="AP374" s="89"/>
      <c r="AQ374" s="89"/>
      <c r="AR374" s="89"/>
      <c r="AS374" s="89"/>
      <c r="AT374" s="89"/>
      <c r="AU374" s="89"/>
      <c r="AV374" s="89"/>
      <c r="AW374" s="89"/>
      <c r="AX374" s="89"/>
      <c r="AY374" s="89"/>
      <c r="AZ374" s="89"/>
      <c r="BA374" s="95"/>
    </row>
    <row r="375" spans="1:53" s="87" customFormat="1">
      <c r="A375" s="90" t="str">
        <f t="shared" si="30"/>
        <v/>
      </c>
      <c r="B375" s="89">
        <v>7</v>
      </c>
      <c r="C375" s="89">
        <v>-4</v>
      </c>
      <c r="D375" s="89" t="s">
        <v>210</v>
      </c>
      <c r="E375" s="89" t="s">
        <v>202</v>
      </c>
      <c r="F375" s="89" t="s">
        <v>210</v>
      </c>
      <c r="G375" s="89" t="s">
        <v>210</v>
      </c>
      <c r="H375" s="89">
        <v>1</v>
      </c>
      <c r="I375" s="89" t="s">
        <v>210</v>
      </c>
      <c r="J375" s="89">
        <v>-2</v>
      </c>
      <c r="K375" s="89">
        <v>3</v>
      </c>
      <c r="L375" s="89" t="s">
        <v>210</v>
      </c>
      <c r="M375" s="89"/>
      <c r="N375" s="89"/>
      <c r="O375" s="89"/>
      <c r="P375" s="89"/>
      <c r="Q375" s="89"/>
      <c r="R375" s="89"/>
      <c r="S375" s="89"/>
      <c r="T375" s="89"/>
      <c r="U375" s="89"/>
      <c r="V375" s="89"/>
      <c r="W375" s="89"/>
      <c r="X375" s="89"/>
      <c r="Y375" s="89"/>
      <c r="Z375" s="89"/>
      <c r="AA375" s="89"/>
      <c r="AB375" s="89"/>
      <c r="AC375" s="89"/>
      <c r="AD375" s="89"/>
      <c r="AE375" s="89"/>
      <c r="AF375" s="89"/>
      <c r="AG375" s="89"/>
      <c r="AH375" s="89"/>
      <c r="AI375" s="89"/>
      <c r="AJ375" s="89"/>
      <c r="AK375" s="89"/>
      <c r="AL375" s="89"/>
      <c r="AM375" s="89"/>
      <c r="AN375" s="89"/>
      <c r="AO375" s="89"/>
      <c r="AP375" s="89"/>
      <c r="AQ375" s="89"/>
      <c r="AR375" s="89"/>
      <c r="AS375" s="89"/>
      <c r="AT375" s="89"/>
      <c r="AU375" s="89"/>
      <c r="AV375" s="89"/>
      <c r="AW375" s="89"/>
      <c r="AX375" s="89"/>
      <c r="AY375" s="89"/>
      <c r="AZ375" s="89"/>
      <c r="BA375" s="95"/>
    </row>
    <row r="376" spans="1:53" s="87" customFormat="1">
      <c r="A376" s="90" t="str">
        <f t="shared" si="30"/>
        <v/>
      </c>
      <c r="B376" s="89">
        <v>8</v>
      </c>
      <c r="C376" s="89">
        <v>-3</v>
      </c>
      <c r="D376" s="89" t="s">
        <v>210</v>
      </c>
      <c r="E376" s="89" t="s">
        <v>210</v>
      </c>
      <c r="F376" s="89">
        <v>2</v>
      </c>
      <c r="G376" s="89" t="s">
        <v>210</v>
      </c>
      <c r="H376" s="89">
        <v>-1</v>
      </c>
      <c r="I376" s="89" t="s">
        <v>202</v>
      </c>
      <c r="J376" s="89" t="s">
        <v>210</v>
      </c>
      <c r="K376" s="89">
        <v>4</v>
      </c>
      <c r="L376" s="89" t="s">
        <v>210</v>
      </c>
      <c r="M376" s="89"/>
      <c r="N376" s="89"/>
      <c r="O376" s="89"/>
      <c r="P376" s="89"/>
      <c r="Q376" s="89"/>
      <c r="R376" s="89"/>
      <c r="S376" s="89"/>
      <c r="T376" s="89"/>
      <c r="U376" s="89"/>
      <c r="V376" s="89"/>
      <c r="W376" s="89"/>
      <c r="X376" s="89"/>
      <c r="Y376" s="89"/>
      <c r="Z376" s="89"/>
      <c r="AA376" s="89"/>
      <c r="AB376" s="89"/>
      <c r="AC376" s="89"/>
      <c r="AD376" s="89"/>
      <c r="AE376" s="89"/>
      <c r="AF376" s="89"/>
      <c r="AG376" s="89"/>
      <c r="AH376" s="89"/>
      <c r="AI376" s="89"/>
      <c r="AJ376" s="89"/>
      <c r="AK376" s="89"/>
      <c r="AL376" s="89"/>
      <c r="AM376" s="89"/>
      <c r="AN376" s="89"/>
      <c r="AO376" s="89"/>
      <c r="AP376" s="89"/>
      <c r="AQ376" s="89"/>
      <c r="AR376" s="89"/>
      <c r="AS376" s="89"/>
      <c r="AT376" s="89"/>
      <c r="AU376" s="89"/>
      <c r="AV376" s="89"/>
      <c r="AW376" s="89"/>
      <c r="AX376" s="89"/>
      <c r="AY376" s="89"/>
      <c r="AZ376" s="89"/>
      <c r="BA376" s="95"/>
    </row>
    <row r="377" spans="1:53" s="87" customFormat="1">
      <c r="A377" s="90" t="str">
        <f t="shared" si="30"/>
        <v/>
      </c>
      <c r="B377" s="89">
        <v>9</v>
      </c>
      <c r="C377" s="89" t="s">
        <v>202</v>
      </c>
      <c r="D377" s="89" t="s">
        <v>210</v>
      </c>
      <c r="E377" s="89" t="s">
        <v>210</v>
      </c>
      <c r="F377" s="89">
        <v>4</v>
      </c>
      <c r="G377" s="89">
        <v>-3</v>
      </c>
      <c r="H377" s="89" t="s">
        <v>210</v>
      </c>
      <c r="I377" s="89" t="s">
        <v>210</v>
      </c>
      <c r="J377" s="89">
        <v>2</v>
      </c>
      <c r="K377" s="89">
        <v>-4</v>
      </c>
      <c r="L377" s="89" t="s">
        <v>210</v>
      </c>
      <c r="M377" s="89"/>
      <c r="N377" s="89"/>
      <c r="O377" s="89"/>
      <c r="P377" s="89"/>
      <c r="Q377" s="89"/>
      <c r="R377" s="89"/>
      <c r="S377" s="89"/>
      <c r="T377" s="89"/>
      <c r="U377" s="89"/>
      <c r="V377" s="89"/>
      <c r="W377" s="89"/>
      <c r="X377" s="89"/>
      <c r="Y377" s="89"/>
      <c r="Z377" s="89"/>
      <c r="AA377" s="89"/>
      <c r="AB377" s="89"/>
      <c r="AC377" s="89"/>
      <c r="AD377" s="89"/>
      <c r="AE377" s="89"/>
      <c r="AF377" s="89"/>
      <c r="AG377" s="89"/>
      <c r="AH377" s="89"/>
      <c r="AI377" s="89"/>
      <c r="AJ377" s="89"/>
      <c r="AK377" s="89"/>
      <c r="AL377" s="89"/>
      <c r="AM377" s="89"/>
      <c r="AN377" s="89"/>
      <c r="AO377" s="89"/>
      <c r="AP377" s="89"/>
      <c r="AQ377" s="89"/>
      <c r="AR377" s="89"/>
      <c r="AS377" s="89"/>
      <c r="AT377" s="89"/>
      <c r="AU377" s="89"/>
      <c r="AV377" s="89"/>
      <c r="AW377" s="89"/>
      <c r="AX377" s="89"/>
      <c r="AY377" s="89"/>
      <c r="AZ377" s="89"/>
      <c r="BA377" s="95"/>
    </row>
    <row r="378" spans="1:53" s="87" customFormat="1">
      <c r="A378" s="90" t="str">
        <f t="shared" si="30"/>
        <v/>
      </c>
      <c r="B378" s="99">
        <v>10</v>
      </c>
      <c r="C378" s="92">
        <v>4</v>
      </c>
      <c r="D378" s="92" t="s">
        <v>210</v>
      </c>
      <c r="E378" s="92" t="s">
        <v>210</v>
      </c>
      <c r="F378" s="92">
        <v>-2</v>
      </c>
      <c r="G378" s="92">
        <v>3</v>
      </c>
      <c r="H378" s="92" t="s">
        <v>210</v>
      </c>
      <c r="I378" s="92" t="s">
        <v>210</v>
      </c>
      <c r="J378" s="92">
        <v>-1</v>
      </c>
      <c r="K378" s="92" t="s">
        <v>202</v>
      </c>
      <c r="L378" s="92" t="s">
        <v>210</v>
      </c>
      <c r="M378" s="89"/>
      <c r="N378" s="89"/>
      <c r="O378" s="89"/>
      <c r="P378" s="89"/>
      <c r="Q378" s="89"/>
      <c r="R378" s="89"/>
      <c r="S378" s="89"/>
      <c r="T378" s="89"/>
      <c r="U378" s="89"/>
      <c r="V378" s="89"/>
      <c r="W378" s="89"/>
      <c r="X378" s="89"/>
      <c r="Y378" s="89"/>
      <c r="Z378" s="89"/>
      <c r="AA378" s="89"/>
      <c r="AB378" s="89"/>
      <c r="AC378" s="89"/>
      <c r="AD378" s="89"/>
      <c r="AE378" s="89"/>
      <c r="AF378" s="89"/>
      <c r="AG378" s="89"/>
      <c r="AH378" s="89"/>
      <c r="AI378" s="89"/>
      <c r="AJ378" s="89"/>
      <c r="AK378" s="89"/>
      <c r="AL378" s="89"/>
      <c r="AM378" s="89"/>
      <c r="AN378" s="89"/>
      <c r="AO378" s="89"/>
      <c r="AP378" s="89"/>
      <c r="AQ378" s="89"/>
      <c r="AR378" s="89"/>
      <c r="AS378" s="89"/>
      <c r="AT378" s="89"/>
      <c r="AU378" s="89"/>
      <c r="AV378" s="89"/>
      <c r="AW378" s="89"/>
      <c r="AX378" s="89"/>
      <c r="AY378" s="89"/>
      <c r="AZ378" s="89"/>
      <c r="BA378" s="95"/>
    </row>
    <row r="379" spans="1:53" s="87" customFormat="1">
      <c r="A379" s="90" t="str">
        <f t="shared" si="30"/>
        <v/>
      </c>
      <c r="B379" s="89">
        <v>11</v>
      </c>
      <c r="C379" s="89" t="s">
        <v>210</v>
      </c>
      <c r="D379" s="89">
        <v>2</v>
      </c>
      <c r="E379" s="89">
        <v>-1</v>
      </c>
      <c r="F379" s="89" t="s">
        <v>210</v>
      </c>
      <c r="G379" s="89" t="s">
        <v>202</v>
      </c>
      <c r="H379" s="89" t="s">
        <v>210</v>
      </c>
      <c r="I379" s="89">
        <v>4</v>
      </c>
      <c r="J379" s="89" t="s">
        <v>210</v>
      </c>
      <c r="K379" s="89" t="s">
        <v>210</v>
      </c>
      <c r="L379" s="89">
        <v>-2</v>
      </c>
      <c r="M379" s="89"/>
      <c r="N379" s="89"/>
      <c r="O379" s="89"/>
      <c r="P379" s="89"/>
      <c r="Q379" s="89"/>
      <c r="R379" s="89"/>
      <c r="S379" s="89"/>
      <c r="T379" s="89"/>
      <c r="U379" s="89"/>
      <c r="V379" s="89"/>
      <c r="W379" s="89"/>
      <c r="X379" s="89"/>
      <c r="Y379" s="89"/>
      <c r="Z379" s="89"/>
      <c r="AA379" s="89"/>
      <c r="AB379" s="89"/>
      <c r="AC379" s="89"/>
      <c r="AD379" s="89"/>
      <c r="AE379" s="89"/>
      <c r="AF379" s="89"/>
      <c r="AG379" s="89"/>
      <c r="AH379" s="89"/>
      <c r="AI379" s="89"/>
      <c r="AJ379" s="89"/>
      <c r="AK379" s="89"/>
      <c r="AL379" s="89"/>
      <c r="AM379" s="89"/>
      <c r="AN379" s="89"/>
      <c r="AO379" s="89"/>
      <c r="AP379" s="89"/>
      <c r="AQ379" s="89"/>
      <c r="AR379" s="89"/>
      <c r="AS379" s="89"/>
      <c r="AT379" s="89"/>
      <c r="AU379" s="89"/>
      <c r="AV379" s="89"/>
      <c r="AW379" s="89"/>
      <c r="AX379" s="89"/>
      <c r="AY379" s="89"/>
      <c r="AZ379" s="89"/>
      <c r="BA379" s="95"/>
    </row>
    <row r="380" spans="1:53" s="87" customFormat="1">
      <c r="A380" s="90" t="str">
        <f t="shared" si="30"/>
        <v/>
      </c>
      <c r="B380" s="89">
        <v>12</v>
      </c>
      <c r="C380" s="89" t="s">
        <v>210</v>
      </c>
      <c r="D380" s="89">
        <v>-1</v>
      </c>
      <c r="E380" s="89" t="s">
        <v>202</v>
      </c>
      <c r="F380" s="89" t="s">
        <v>210</v>
      </c>
      <c r="G380" s="89">
        <v>4</v>
      </c>
      <c r="H380" s="89" t="s">
        <v>210</v>
      </c>
      <c r="I380" s="89">
        <v>-3</v>
      </c>
      <c r="J380" s="89" t="s">
        <v>210</v>
      </c>
      <c r="K380" s="89" t="s">
        <v>210</v>
      </c>
      <c r="L380" s="89">
        <v>2</v>
      </c>
      <c r="M380" s="89"/>
      <c r="N380" s="89"/>
      <c r="O380" s="89"/>
      <c r="P380" s="89"/>
      <c r="Q380" s="89"/>
      <c r="R380" s="89"/>
      <c r="S380" s="89"/>
      <c r="T380" s="89"/>
      <c r="U380" s="89"/>
      <c r="V380" s="89"/>
      <c r="W380" s="89"/>
      <c r="X380" s="89"/>
      <c r="Y380" s="89"/>
      <c r="Z380" s="89"/>
      <c r="AA380" s="89"/>
      <c r="AB380" s="89"/>
      <c r="AC380" s="89"/>
      <c r="AD380" s="89"/>
      <c r="AE380" s="89"/>
      <c r="AF380" s="89"/>
      <c r="AG380" s="89"/>
      <c r="AH380" s="89"/>
      <c r="AI380" s="89"/>
      <c r="AJ380" s="89"/>
      <c r="AK380" s="89"/>
      <c r="AL380" s="89"/>
      <c r="AM380" s="89"/>
      <c r="AN380" s="89"/>
      <c r="AO380" s="89"/>
      <c r="AP380" s="89"/>
      <c r="AQ380" s="89"/>
      <c r="AR380" s="89"/>
      <c r="AS380" s="89"/>
      <c r="AT380" s="89"/>
      <c r="AU380" s="89"/>
      <c r="AV380" s="89"/>
      <c r="AW380" s="89"/>
      <c r="AX380" s="89"/>
      <c r="AY380" s="89"/>
      <c r="AZ380" s="89"/>
      <c r="BA380" s="95"/>
    </row>
    <row r="381" spans="1:53" s="87" customFormat="1">
      <c r="A381" s="90" t="str">
        <f t="shared" si="30"/>
        <v/>
      </c>
      <c r="B381" s="89">
        <v>13</v>
      </c>
      <c r="C381" s="89" t="s">
        <v>210</v>
      </c>
      <c r="D381" s="89">
        <v>-2</v>
      </c>
      <c r="E381" s="89">
        <v>3</v>
      </c>
      <c r="F381" s="89" t="s">
        <v>210</v>
      </c>
      <c r="G381" s="89">
        <v>-4</v>
      </c>
      <c r="H381" s="89" t="s">
        <v>210</v>
      </c>
      <c r="I381" s="89" t="s">
        <v>202</v>
      </c>
      <c r="J381" s="89" t="s">
        <v>210</v>
      </c>
      <c r="K381" s="89" t="s">
        <v>210</v>
      </c>
      <c r="L381" s="89">
        <v>1</v>
      </c>
      <c r="M381" s="89"/>
      <c r="N381" s="89"/>
      <c r="O381" s="89"/>
      <c r="P381" s="89"/>
      <c r="Q381" s="89"/>
      <c r="R381" s="89"/>
      <c r="S381" s="89"/>
      <c r="T381" s="89"/>
      <c r="U381" s="89"/>
      <c r="V381" s="89"/>
      <c r="W381" s="89"/>
      <c r="X381" s="89"/>
      <c r="Y381" s="89"/>
      <c r="Z381" s="89"/>
      <c r="AA381" s="89"/>
      <c r="AB381" s="89"/>
      <c r="AC381" s="89"/>
      <c r="AD381" s="89"/>
      <c r="AE381" s="89"/>
      <c r="AF381" s="89"/>
      <c r="AG381" s="89"/>
      <c r="AH381" s="89"/>
      <c r="AI381" s="89"/>
      <c r="AJ381" s="89"/>
      <c r="AK381" s="89"/>
      <c r="AL381" s="89"/>
      <c r="AM381" s="89"/>
      <c r="AN381" s="89"/>
      <c r="AO381" s="89"/>
      <c r="AP381" s="89"/>
      <c r="AQ381" s="89"/>
      <c r="AR381" s="89"/>
      <c r="AS381" s="89"/>
      <c r="AT381" s="89"/>
      <c r="AU381" s="89"/>
      <c r="AV381" s="89"/>
      <c r="AW381" s="89"/>
      <c r="AX381" s="89"/>
      <c r="AY381" s="89"/>
      <c r="AZ381" s="89"/>
      <c r="BA381" s="95"/>
    </row>
    <row r="382" spans="1:53" s="87" customFormat="1">
      <c r="A382" s="90" t="str">
        <f t="shared" si="30"/>
        <v/>
      </c>
      <c r="B382" s="89">
        <v>14</v>
      </c>
      <c r="C382" s="89" t="s">
        <v>202</v>
      </c>
      <c r="D382" s="89" t="s">
        <v>210</v>
      </c>
      <c r="E382" s="89">
        <v>1</v>
      </c>
      <c r="F382" s="89" t="s">
        <v>210</v>
      </c>
      <c r="G382" s="89" t="s">
        <v>210</v>
      </c>
      <c r="H382" s="89">
        <v>-2</v>
      </c>
      <c r="I382" s="89">
        <v>3</v>
      </c>
      <c r="J382" s="89" t="s">
        <v>210</v>
      </c>
      <c r="K382" s="89" t="s">
        <v>210</v>
      </c>
      <c r="L382" s="89">
        <v>-1</v>
      </c>
      <c r="M382" s="89"/>
      <c r="N382" s="89"/>
      <c r="O382" s="89"/>
      <c r="P382" s="89"/>
      <c r="Q382" s="89"/>
      <c r="R382" s="89"/>
      <c r="S382" s="89"/>
      <c r="T382" s="89"/>
      <c r="U382" s="89"/>
      <c r="V382" s="89"/>
      <c r="W382" s="89"/>
      <c r="X382" s="89"/>
      <c r="Y382" s="89"/>
      <c r="Z382" s="89"/>
      <c r="AA382" s="89"/>
      <c r="AB382" s="89"/>
      <c r="AC382" s="89"/>
      <c r="AD382" s="89"/>
      <c r="AE382" s="89"/>
      <c r="AF382" s="89"/>
      <c r="AG382" s="89"/>
      <c r="AH382" s="89"/>
      <c r="AI382" s="89"/>
      <c r="AJ382" s="89"/>
      <c r="AK382" s="89"/>
      <c r="AL382" s="89"/>
      <c r="AM382" s="89"/>
      <c r="AN382" s="89"/>
      <c r="AO382" s="89"/>
      <c r="AP382" s="89"/>
      <c r="AQ382" s="89"/>
      <c r="AR382" s="89"/>
      <c r="AS382" s="89"/>
      <c r="AT382" s="89"/>
      <c r="AU382" s="89"/>
      <c r="AV382" s="89"/>
      <c r="AW382" s="89"/>
      <c r="AX382" s="89"/>
      <c r="AY382" s="89"/>
      <c r="AZ382" s="89"/>
      <c r="BA382" s="95"/>
    </row>
    <row r="383" spans="1:53" s="87" customFormat="1">
      <c r="A383" s="90" t="str">
        <f t="shared" si="30"/>
        <v/>
      </c>
      <c r="B383" s="99">
        <v>15</v>
      </c>
      <c r="C383" s="92" t="s">
        <v>210</v>
      </c>
      <c r="D383" s="92">
        <v>1</v>
      </c>
      <c r="E383" s="92">
        <v>-3</v>
      </c>
      <c r="F383" s="92" t="s">
        <v>210</v>
      </c>
      <c r="G383" s="92" t="s">
        <v>210</v>
      </c>
      <c r="H383" s="92">
        <v>2</v>
      </c>
      <c r="I383" s="92">
        <v>-4</v>
      </c>
      <c r="J383" s="92" t="s">
        <v>210</v>
      </c>
      <c r="K383" s="92" t="s">
        <v>202</v>
      </c>
      <c r="L383" s="92" t="s">
        <v>210</v>
      </c>
      <c r="M383" s="89"/>
      <c r="N383" s="89"/>
      <c r="O383" s="89"/>
      <c r="P383" s="89"/>
      <c r="Q383" s="89"/>
      <c r="R383" s="89"/>
      <c r="S383" s="89"/>
      <c r="T383" s="89"/>
      <c r="U383" s="89"/>
      <c r="V383" s="89"/>
      <c r="W383" s="89"/>
      <c r="X383" s="89"/>
      <c r="Y383" s="89"/>
      <c r="Z383" s="89"/>
      <c r="AA383" s="89"/>
      <c r="AB383" s="89"/>
      <c r="AC383" s="89"/>
      <c r="AD383" s="89"/>
      <c r="AE383" s="89"/>
      <c r="AF383" s="89"/>
      <c r="AG383" s="89"/>
      <c r="AH383" s="89"/>
      <c r="AI383" s="89"/>
      <c r="AJ383" s="89"/>
      <c r="AK383" s="89"/>
      <c r="AL383" s="89"/>
      <c r="AM383" s="89"/>
      <c r="AN383" s="89"/>
      <c r="AO383" s="89"/>
      <c r="AP383" s="89"/>
      <c r="AQ383" s="89"/>
      <c r="AR383" s="89"/>
      <c r="AS383" s="89"/>
      <c r="AT383" s="89"/>
      <c r="AU383" s="89"/>
      <c r="AV383" s="89"/>
      <c r="AW383" s="89"/>
      <c r="AX383" s="89"/>
      <c r="AY383" s="89"/>
      <c r="AZ383" s="89"/>
      <c r="BA383" s="95"/>
    </row>
    <row r="384" spans="1:53" s="87" customFormat="1">
      <c r="A384" s="90" t="str">
        <f t="shared" si="30"/>
        <v/>
      </c>
      <c r="B384" s="89">
        <v>16</v>
      </c>
      <c r="C384" s="89" t="s">
        <v>210</v>
      </c>
      <c r="D384" s="89">
        <v>3</v>
      </c>
      <c r="E384" s="89">
        <v>-4</v>
      </c>
      <c r="F384" s="89" t="s">
        <v>210</v>
      </c>
      <c r="G384" s="89" t="s">
        <v>202</v>
      </c>
      <c r="H384" s="89" t="s">
        <v>210</v>
      </c>
      <c r="I384" s="89">
        <v>1</v>
      </c>
      <c r="J384" s="89" t="s">
        <v>210</v>
      </c>
      <c r="K384" s="89" t="s">
        <v>210</v>
      </c>
      <c r="L384" s="89">
        <v>-3</v>
      </c>
      <c r="M384" s="89"/>
      <c r="N384" s="89"/>
      <c r="O384" s="89"/>
      <c r="P384" s="89"/>
      <c r="Q384" s="89"/>
      <c r="R384" s="89"/>
      <c r="S384" s="89"/>
      <c r="T384" s="89"/>
      <c r="U384" s="89"/>
      <c r="V384" s="89"/>
      <c r="W384" s="89"/>
      <c r="X384" s="89"/>
      <c r="Y384" s="89"/>
      <c r="Z384" s="89"/>
      <c r="AA384" s="89"/>
      <c r="AB384" s="89"/>
      <c r="AC384" s="89"/>
      <c r="AD384" s="89"/>
      <c r="AE384" s="89"/>
      <c r="AF384" s="89"/>
      <c r="AG384" s="89"/>
      <c r="AH384" s="89"/>
      <c r="AI384" s="89"/>
      <c r="AJ384" s="89"/>
      <c r="AK384" s="89"/>
      <c r="AL384" s="89"/>
      <c r="AM384" s="89"/>
      <c r="AN384" s="89"/>
      <c r="AO384" s="89"/>
      <c r="AP384" s="89"/>
      <c r="AQ384" s="89"/>
      <c r="AR384" s="89"/>
      <c r="AS384" s="89"/>
      <c r="AT384" s="89"/>
      <c r="AU384" s="89"/>
      <c r="AV384" s="89"/>
      <c r="AW384" s="89"/>
      <c r="AX384" s="89"/>
      <c r="AY384" s="89"/>
      <c r="AZ384" s="89"/>
      <c r="BA384" s="95"/>
    </row>
    <row r="385" spans="1:53" s="87" customFormat="1">
      <c r="A385" s="90" t="str">
        <f t="shared" si="30"/>
        <v/>
      </c>
      <c r="B385" s="89">
        <v>17</v>
      </c>
      <c r="C385" s="89" t="s">
        <v>210</v>
      </c>
      <c r="D385" s="89">
        <v>-4</v>
      </c>
      <c r="E385" s="89" t="s">
        <v>202</v>
      </c>
      <c r="F385" s="89" t="s">
        <v>210</v>
      </c>
      <c r="G385" s="89">
        <v>1</v>
      </c>
      <c r="H385" s="89" t="s">
        <v>210</v>
      </c>
      <c r="I385" s="89">
        <v>-2</v>
      </c>
      <c r="J385" s="89" t="s">
        <v>210</v>
      </c>
      <c r="K385" s="89" t="s">
        <v>210</v>
      </c>
      <c r="L385" s="89">
        <v>3</v>
      </c>
      <c r="M385" s="89"/>
      <c r="N385" s="89"/>
      <c r="O385" s="89"/>
      <c r="P385" s="89"/>
      <c r="Q385" s="89"/>
      <c r="R385" s="89"/>
      <c r="S385" s="89"/>
      <c r="T385" s="89"/>
      <c r="U385" s="89"/>
      <c r="V385" s="89"/>
      <c r="W385" s="89"/>
      <c r="X385" s="89"/>
      <c r="Y385" s="89"/>
      <c r="Z385" s="89"/>
      <c r="AA385" s="89"/>
      <c r="AB385" s="89"/>
      <c r="AC385" s="89"/>
      <c r="AD385" s="89"/>
      <c r="AE385" s="89"/>
      <c r="AF385" s="89"/>
      <c r="AG385" s="89"/>
      <c r="AH385" s="89"/>
      <c r="AI385" s="89"/>
      <c r="AJ385" s="89"/>
      <c r="AK385" s="89"/>
      <c r="AL385" s="89"/>
      <c r="AM385" s="89"/>
      <c r="AN385" s="89"/>
      <c r="AO385" s="89"/>
      <c r="AP385" s="89"/>
      <c r="AQ385" s="89"/>
      <c r="AR385" s="89"/>
      <c r="AS385" s="89"/>
      <c r="AT385" s="89"/>
      <c r="AU385" s="89"/>
      <c r="AV385" s="89"/>
      <c r="AW385" s="89"/>
      <c r="AX385" s="89"/>
      <c r="AY385" s="89"/>
      <c r="AZ385" s="89"/>
      <c r="BA385" s="95"/>
    </row>
    <row r="386" spans="1:53" s="87" customFormat="1">
      <c r="A386" s="90" t="str">
        <f t="shared" si="30"/>
        <v/>
      </c>
      <c r="B386" s="89">
        <v>18</v>
      </c>
      <c r="C386" s="89" t="s">
        <v>210</v>
      </c>
      <c r="D386" s="89">
        <v>-3</v>
      </c>
      <c r="E386" s="89">
        <v>2</v>
      </c>
      <c r="F386" s="89" t="s">
        <v>210</v>
      </c>
      <c r="G386" s="89">
        <v>-1</v>
      </c>
      <c r="H386" s="89" t="s">
        <v>210</v>
      </c>
      <c r="I386" s="89" t="s">
        <v>202</v>
      </c>
      <c r="J386" s="89" t="s">
        <v>210</v>
      </c>
      <c r="K386" s="89" t="s">
        <v>210</v>
      </c>
      <c r="L386" s="89">
        <v>4</v>
      </c>
      <c r="M386" s="89"/>
      <c r="N386" s="89"/>
      <c r="O386" s="89"/>
      <c r="P386" s="89"/>
      <c r="Q386" s="89"/>
      <c r="R386" s="89"/>
      <c r="S386" s="89"/>
      <c r="T386" s="89"/>
      <c r="U386" s="89"/>
      <c r="V386" s="89"/>
      <c r="W386" s="89"/>
      <c r="X386" s="89"/>
      <c r="Y386" s="89"/>
      <c r="Z386" s="89"/>
      <c r="AA386" s="89"/>
      <c r="AB386" s="89"/>
      <c r="AC386" s="89"/>
      <c r="AD386" s="89"/>
      <c r="AE386" s="89"/>
      <c r="AF386" s="89"/>
      <c r="AG386" s="89"/>
      <c r="AH386" s="89"/>
      <c r="AI386" s="89"/>
      <c r="AJ386" s="89"/>
      <c r="AK386" s="89"/>
      <c r="AL386" s="89"/>
      <c r="AM386" s="89"/>
      <c r="AN386" s="89"/>
      <c r="AO386" s="89"/>
      <c r="AP386" s="89"/>
      <c r="AQ386" s="89"/>
      <c r="AR386" s="89"/>
      <c r="AS386" s="89"/>
      <c r="AT386" s="89"/>
      <c r="AU386" s="89"/>
      <c r="AV386" s="89"/>
      <c r="AW386" s="89"/>
      <c r="AX386" s="89"/>
      <c r="AY386" s="89"/>
      <c r="AZ386" s="89"/>
      <c r="BA386" s="95"/>
    </row>
    <row r="387" spans="1:53" s="87" customFormat="1">
      <c r="A387" s="90" t="str">
        <f t="shared" si="30"/>
        <v/>
      </c>
      <c r="B387" s="89">
        <v>19</v>
      </c>
      <c r="C387" s="89" t="s">
        <v>202</v>
      </c>
      <c r="D387" s="89" t="s">
        <v>210</v>
      </c>
      <c r="E387" s="89">
        <v>4</v>
      </c>
      <c r="F387" s="89" t="s">
        <v>210</v>
      </c>
      <c r="G387" s="89" t="s">
        <v>210</v>
      </c>
      <c r="H387" s="89">
        <v>-3</v>
      </c>
      <c r="I387" s="89">
        <v>2</v>
      </c>
      <c r="J387" s="89" t="s">
        <v>210</v>
      </c>
      <c r="K387" s="89" t="s">
        <v>210</v>
      </c>
      <c r="L387" s="89">
        <v>-4</v>
      </c>
      <c r="M387" s="89"/>
      <c r="N387" s="89"/>
      <c r="O387" s="89"/>
      <c r="P387" s="89"/>
      <c r="Q387" s="89"/>
      <c r="R387" s="89"/>
      <c r="S387" s="89"/>
      <c r="T387" s="89"/>
      <c r="U387" s="89"/>
      <c r="V387" s="89"/>
      <c r="W387" s="89"/>
      <c r="X387" s="89"/>
      <c r="Y387" s="89"/>
      <c r="Z387" s="89"/>
      <c r="AA387" s="89"/>
      <c r="AB387" s="89"/>
      <c r="AC387" s="89"/>
      <c r="AD387" s="89"/>
      <c r="AE387" s="89"/>
      <c r="AF387" s="89"/>
      <c r="AG387" s="89"/>
      <c r="AH387" s="89"/>
      <c r="AI387" s="89"/>
      <c r="AJ387" s="89"/>
      <c r="AK387" s="89"/>
      <c r="AL387" s="89"/>
      <c r="AM387" s="89"/>
      <c r="AN387" s="89"/>
      <c r="AO387" s="89"/>
      <c r="AP387" s="89"/>
      <c r="AQ387" s="89"/>
      <c r="AR387" s="89"/>
      <c r="AS387" s="89"/>
      <c r="AT387" s="89"/>
      <c r="AU387" s="89"/>
      <c r="AV387" s="89"/>
      <c r="AW387" s="89"/>
      <c r="AX387" s="89"/>
      <c r="AY387" s="89"/>
      <c r="AZ387" s="89"/>
      <c r="BA387" s="95"/>
    </row>
    <row r="388" spans="1:53" s="87" customFormat="1">
      <c r="A388" s="90" t="str">
        <f t="shared" si="30"/>
        <v/>
      </c>
      <c r="B388" s="89">
        <v>20</v>
      </c>
      <c r="C388" s="89" t="s">
        <v>210</v>
      </c>
      <c r="D388" s="89">
        <v>4</v>
      </c>
      <c r="E388" s="89">
        <v>-2</v>
      </c>
      <c r="F388" s="89" t="s">
        <v>210</v>
      </c>
      <c r="G388" s="89" t="s">
        <v>210</v>
      </c>
      <c r="H388" s="89">
        <v>3</v>
      </c>
      <c r="I388" s="89">
        <v>-1</v>
      </c>
      <c r="J388" s="89" t="s">
        <v>210</v>
      </c>
      <c r="K388" s="89" t="s">
        <v>202</v>
      </c>
      <c r="L388" s="89" t="s">
        <v>210</v>
      </c>
      <c r="M388" s="89"/>
      <c r="N388" s="89"/>
      <c r="O388" s="89"/>
      <c r="P388" s="89"/>
      <c r="Q388" s="89"/>
      <c r="R388" s="89"/>
      <c r="S388" s="89"/>
      <c r="T388" s="89"/>
      <c r="U388" s="89"/>
      <c r="V388" s="89"/>
      <c r="W388" s="89"/>
      <c r="X388" s="89"/>
      <c r="Y388" s="89"/>
      <c r="Z388" s="89"/>
      <c r="AA388" s="89"/>
      <c r="AB388" s="89"/>
      <c r="AC388" s="89"/>
      <c r="AD388" s="89"/>
      <c r="AE388" s="89"/>
      <c r="AF388" s="89"/>
      <c r="AG388" s="89"/>
      <c r="AH388" s="89"/>
      <c r="AI388" s="89"/>
      <c r="AJ388" s="89"/>
      <c r="AK388" s="89"/>
      <c r="AL388" s="89"/>
      <c r="AM388" s="89"/>
      <c r="AN388" s="89"/>
      <c r="AO388" s="89"/>
      <c r="AP388" s="89"/>
      <c r="AQ388" s="89"/>
      <c r="AR388" s="89"/>
      <c r="AS388" s="89"/>
      <c r="AT388" s="89"/>
      <c r="AU388" s="89"/>
      <c r="AV388" s="89"/>
      <c r="AW388" s="89"/>
      <c r="AX388" s="89"/>
      <c r="AY388" s="89"/>
      <c r="AZ388" s="89"/>
      <c r="BA388" s="95"/>
    </row>
    <row r="389" spans="1:53" s="87" customFormat="1">
      <c r="A389" s="90" t="str">
        <f t="shared" si="30"/>
        <v/>
      </c>
      <c r="B389" s="89" t="s">
        <v>296</v>
      </c>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c r="AA389" s="89"/>
      <c r="AB389" s="89"/>
      <c r="AC389" s="89"/>
      <c r="AD389" s="89"/>
      <c r="AE389" s="89"/>
      <c r="AF389" s="89"/>
      <c r="AG389" s="89"/>
      <c r="AH389" s="89"/>
      <c r="AI389" s="89"/>
      <c r="AJ389" s="89"/>
      <c r="AK389" s="89"/>
      <c r="AL389" s="89"/>
      <c r="AM389" s="89"/>
      <c r="AN389" s="89"/>
      <c r="AO389" s="89"/>
      <c r="AP389" s="89"/>
      <c r="AQ389" s="89"/>
      <c r="AR389" s="89"/>
      <c r="AS389" s="89"/>
      <c r="AT389" s="89"/>
      <c r="AU389" s="89"/>
      <c r="AV389" s="89"/>
      <c r="AW389" s="89"/>
      <c r="AX389" s="89"/>
      <c r="AY389" s="89"/>
      <c r="AZ389" s="89"/>
      <c r="BA389" s="95"/>
    </row>
    <row r="390" spans="1:53" s="87" customFormat="1">
      <c r="A390" s="90">
        <f t="shared" si="30"/>
        <v>390</v>
      </c>
      <c r="B390" s="319" t="s">
        <v>1182</v>
      </c>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c r="AA390" s="89"/>
      <c r="AB390" s="89"/>
      <c r="AC390" s="89"/>
      <c r="AD390" s="89"/>
      <c r="AE390" s="89"/>
      <c r="AF390" s="89"/>
      <c r="AG390" s="89"/>
      <c r="AH390" s="89"/>
      <c r="AI390" s="89"/>
      <c r="AJ390" s="89"/>
      <c r="AK390" s="89"/>
      <c r="AL390" s="89"/>
      <c r="AM390" s="89"/>
      <c r="AN390" s="89"/>
      <c r="AO390" s="89"/>
      <c r="AP390" s="89"/>
      <c r="AQ390" s="89"/>
      <c r="AR390" s="89"/>
      <c r="AS390" s="89"/>
      <c r="AT390" s="89"/>
      <c r="AU390" s="89"/>
      <c r="AV390" s="89"/>
      <c r="AW390" s="89"/>
      <c r="AX390" s="89"/>
      <c r="AY390" s="89"/>
      <c r="AZ390" s="89"/>
      <c r="BA390" s="95"/>
    </row>
    <row r="391" spans="1:53" s="87" customFormat="1">
      <c r="A391" s="90" t="str">
        <f t="shared" si="30"/>
        <v/>
      </c>
      <c r="B391" s="89">
        <v>1</v>
      </c>
      <c r="C391" s="89">
        <v>2</v>
      </c>
      <c r="D391" s="89" t="s">
        <v>210</v>
      </c>
      <c r="E391" s="89">
        <v>-3</v>
      </c>
      <c r="F391" s="89" t="s">
        <v>210</v>
      </c>
      <c r="G391" s="89">
        <v>-1</v>
      </c>
      <c r="H391" s="89" t="s">
        <v>210</v>
      </c>
      <c r="I391" s="89">
        <v>-4</v>
      </c>
      <c r="J391" s="89">
        <v>3</v>
      </c>
      <c r="K391" s="89" t="s">
        <v>210</v>
      </c>
      <c r="L391" s="89">
        <v>4</v>
      </c>
      <c r="M391" s="89">
        <v>1</v>
      </c>
      <c r="N391" s="89">
        <v>-2</v>
      </c>
      <c r="O391" s="89" t="s">
        <v>210</v>
      </c>
      <c r="P391" s="89">
        <v>-4</v>
      </c>
      <c r="Q391" s="89">
        <v>-1</v>
      </c>
      <c r="R391" s="89">
        <v>3</v>
      </c>
      <c r="S391" s="89" t="s">
        <v>210</v>
      </c>
      <c r="T391" s="89"/>
      <c r="U391" s="89"/>
      <c r="V391" s="89"/>
      <c r="W391" s="89"/>
      <c r="X391" s="89"/>
      <c r="Y391" s="89"/>
      <c r="Z391" s="89"/>
      <c r="AA391" s="89"/>
      <c r="AB391" s="89"/>
      <c r="AC391" s="89"/>
      <c r="AD391" s="89"/>
      <c r="AE391" s="89"/>
      <c r="AF391" s="89"/>
      <c r="AG391" s="89"/>
      <c r="AH391" s="89"/>
      <c r="AI391" s="89"/>
      <c r="AJ391" s="89"/>
      <c r="AK391" s="89"/>
      <c r="AL391" s="89"/>
      <c r="AM391" s="89"/>
      <c r="AN391" s="89"/>
      <c r="AO391" s="89"/>
      <c r="AP391" s="89"/>
      <c r="AQ391" s="89"/>
      <c r="AR391" s="89"/>
      <c r="AS391" s="89"/>
      <c r="AT391" s="89"/>
      <c r="AU391" s="89"/>
      <c r="AV391" s="89"/>
      <c r="AW391" s="89"/>
      <c r="AX391" s="89"/>
      <c r="AY391" s="89"/>
      <c r="AZ391" s="89"/>
      <c r="BA391" s="95"/>
    </row>
    <row r="392" spans="1:53" s="87" customFormat="1">
      <c r="A392" s="90" t="str">
        <f t="shared" si="30"/>
        <v/>
      </c>
      <c r="B392" s="89">
        <v>2</v>
      </c>
      <c r="C392" s="89">
        <v>-2</v>
      </c>
      <c r="D392" s="89" t="s">
        <v>210</v>
      </c>
      <c r="E392" s="89">
        <v>-4</v>
      </c>
      <c r="F392" s="89" t="s">
        <v>210</v>
      </c>
      <c r="G392" s="89">
        <v>-3</v>
      </c>
      <c r="H392" s="89" t="s">
        <v>210</v>
      </c>
      <c r="I392" s="89">
        <v>2</v>
      </c>
      <c r="J392" s="89">
        <v>-1</v>
      </c>
      <c r="K392" s="89" t="s">
        <v>210</v>
      </c>
      <c r="L392" s="89">
        <v>3</v>
      </c>
      <c r="M392" s="89">
        <v>4</v>
      </c>
      <c r="N392" s="89">
        <v>1</v>
      </c>
      <c r="O392" s="89" t="s">
        <v>210</v>
      </c>
      <c r="P392" s="89">
        <v>-3</v>
      </c>
      <c r="Q392" s="89">
        <v>2</v>
      </c>
      <c r="R392" s="89">
        <v>-4</v>
      </c>
      <c r="S392" s="89" t="s">
        <v>210</v>
      </c>
      <c r="T392" s="89"/>
      <c r="U392" s="89"/>
      <c r="V392" s="89"/>
      <c r="W392" s="89"/>
      <c r="X392" s="89"/>
      <c r="Y392" s="89"/>
      <c r="Z392" s="89"/>
      <c r="AA392" s="89"/>
      <c r="AB392" s="89"/>
      <c r="AC392" s="89"/>
      <c r="AD392" s="89"/>
      <c r="AE392" s="89"/>
      <c r="AF392" s="89"/>
      <c r="AG392" s="89"/>
      <c r="AH392" s="89"/>
      <c r="AI392" s="89"/>
      <c r="AJ392" s="89"/>
      <c r="AK392" s="89"/>
      <c r="AL392" s="89"/>
      <c r="AM392" s="89"/>
      <c r="AN392" s="89"/>
      <c r="AO392" s="89"/>
      <c r="AP392" s="89"/>
      <c r="AQ392" s="89"/>
      <c r="AR392" s="89"/>
      <c r="AS392" s="89"/>
      <c r="AT392" s="89"/>
      <c r="AU392" s="89"/>
      <c r="AV392" s="89"/>
      <c r="AW392" s="89"/>
      <c r="AX392" s="89"/>
      <c r="AY392" s="89"/>
      <c r="AZ392" s="89"/>
      <c r="BA392" s="95"/>
    </row>
    <row r="393" spans="1:53" s="87" customFormat="1">
      <c r="A393" s="90" t="str">
        <f t="shared" si="30"/>
        <v/>
      </c>
      <c r="B393" s="89">
        <v>3</v>
      </c>
      <c r="C393" s="89">
        <v>-3</v>
      </c>
      <c r="D393" s="89" t="s">
        <v>210</v>
      </c>
      <c r="E393" s="89">
        <v>-2</v>
      </c>
      <c r="F393" s="89" t="s">
        <v>210</v>
      </c>
      <c r="G393" s="89">
        <v>4</v>
      </c>
      <c r="H393" s="89" t="s">
        <v>210</v>
      </c>
      <c r="I393" s="89">
        <v>1</v>
      </c>
      <c r="J393" s="89">
        <v>2</v>
      </c>
      <c r="K393" s="89" t="s">
        <v>210</v>
      </c>
      <c r="L393" s="89">
        <v>-1</v>
      </c>
      <c r="M393" s="89">
        <v>-4</v>
      </c>
      <c r="N393" s="89">
        <v>3</v>
      </c>
      <c r="O393" s="89" t="s">
        <v>210</v>
      </c>
      <c r="P393" s="89">
        <v>1</v>
      </c>
      <c r="Q393" s="89">
        <v>4</v>
      </c>
      <c r="R393" s="89">
        <v>-3</v>
      </c>
      <c r="S393" s="89" t="s">
        <v>210</v>
      </c>
      <c r="T393" s="89"/>
      <c r="U393" s="89"/>
      <c r="V393" s="89"/>
      <c r="W393" s="89"/>
      <c r="X393" s="89"/>
      <c r="Y393" s="89"/>
      <c r="Z393" s="89"/>
      <c r="AA393" s="89"/>
      <c r="AB393" s="89"/>
      <c r="AC393" s="89"/>
      <c r="AD393" s="89"/>
      <c r="AE393" s="89"/>
      <c r="AF393" s="89"/>
      <c r="AG393" s="89"/>
      <c r="AH393" s="89"/>
      <c r="AI393" s="89"/>
      <c r="AJ393" s="89"/>
      <c r="AK393" s="89"/>
      <c r="AL393" s="89"/>
      <c r="AM393" s="89"/>
      <c r="AN393" s="89"/>
      <c r="AO393" s="89"/>
      <c r="AP393" s="89"/>
      <c r="AQ393" s="89"/>
      <c r="AR393" s="89"/>
      <c r="AS393" s="89"/>
      <c r="AT393" s="89"/>
      <c r="AU393" s="89"/>
      <c r="AV393" s="89"/>
      <c r="AW393" s="89"/>
      <c r="AX393" s="89"/>
      <c r="AY393" s="89"/>
      <c r="AZ393" s="89"/>
      <c r="BA393" s="95"/>
    </row>
    <row r="394" spans="1:53" s="87" customFormat="1">
      <c r="A394" s="90" t="str">
        <f t="shared" si="30"/>
        <v/>
      </c>
      <c r="B394" s="89">
        <v>4</v>
      </c>
      <c r="C394" s="89">
        <v>3</v>
      </c>
      <c r="D394" s="89" t="s">
        <v>210</v>
      </c>
      <c r="E394" s="89">
        <v>1</v>
      </c>
      <c r="F394" s="89" t="s">
        <v>210</v>
      </c>
      <c r="G394" s="89">
        <v>-2</v>
      </c>
      <c r="H394" s="89" t="s">
        <v>210</v>
      </c>
      <c r="I394" s="89">
        <v>-3</v>
      </c>
      <c r="J394" s="89">
        <v>4</v>
      </c>
      <c r="K394" s="89" t="s">
        <v>210</v>
      </c>
      <c r="L394" s="89">
        <v>2</v>
      </c>
      <c r="M394" s="89">
        <v>-1</v>
      </c>
      <c r="N394" s="89">
        <v>-4</v>
      </c>
      <c r="O394" s="89" t="s">
        <v>210</v>
      </c>
      <c r="P394" s="89">
        <v>-2</v>
      </c>
      <c r="Q394" s="89">
        <v>3</v>
      </c>
      <c r="R394" s="89">
        <v>4</v>
      </c>
      <c r="S394" s="89" t="s">
        <v>210</v>
      </c>
      <c r="T394" s="89"/>
      <c r="U394" s="89"/>
      <c r="V394" s="89"/>
      <c r="W394" s="89"/>
      <c r="X394" s="89"/>
      <c r="Y394" s="89"/>
      <c r="Z394" s="89"/>
      <c r="AA394" s="89"/>
      <c r="AB394" s="89"/>
      <c r="AC394" s="89"/>
      <c r="AD394" s="89"/>
      <c r="AE394" s="89"/>
      <c r="AF394" s="89"/>
      <c r="AG394" s="89"/>
      <c r="AH394" s="89"/>
      <c r="AI394" s="89"/>
      <c r="AJ394" s="89"/>
      <c r="AK394" s="89"/>
      <c r="AL394" s="89"/>
      <c r="AM394" s="89"/>
      <c r="AN394" s="89"/>
      <c r="AO394" s="89"/>
      <c r="AP394" s="89"/>
      <c r="AQ394" s="89"/>
      <c r="AR394" s="89"/>
      <c r="AS394" s="89"/>
      <c r="AT394" s="89"/>
      <c r="AU394" s="89"/>
      <c r="AV394" s="89"/>
      <c r="AW394" s="89"/>
      <c r="AX394" s="89"/>
      <c r="AY394" s="89"/>
      <c r="AZ394" s="89"/>
      <c r="BA394" s="95"/>
    </row>
    <row r="395" spans="1:53" s="87" customFormat="1">
      <c r="A395" s="90" t="str">
        <f t="shared" si="30"/>
        <v/>
      </c>
      <c r="B395" s="89">
        <v>5</v>
      </c>
      <c r="C395" s="89">
        <v>-1</v>
      </c>
      <c r="D395" s="89">
        <v>-2</v>
      </c>
      <c r="E395" s="89" t="s">
        <v>210</v>
      </c>
      <c r="F395" s="89">
        <v>4</v>
      </c>
      <c r="G395" s="89">
        <v>1</v>
      </c>
      <c r="H395" s="89" t="s">
        <v>210</v>
      </c>
      <c r="I395" s="89">
        <v>3</v>
      </c>
      <c r="J395" s="89" t="s">
        <v>210</v>
      </c>
      <c r="K395" s="89">
        <v>-4</v>
      </c>
      <c r="L395" s="89" t="s">
        <v>210</v>
      </c>
      <c r="M395" s="89">
        <v>2</v>
      </c>
      <c r="N395" s="89">
        <v>-3</v>
      </c>
      <c r="O395" s="89">
        <v>1</v>
      </c>
      <c r="P395" s="89" t="s">
        <v>210</v>
      </c>
      <c r="Q395" s="89">
        <v>-2</v>
      </c>
      <c r="R395" s="89" t="s">
        <v>210</v>
      </c>
      <c r="S395" s="89">
        <v>3</v>
      </c>
      <c r="T395" s="89"/>
      <c r="U395" s="89"/>
      <c r="V395" s="89"/>
      <c r="W395" s="89"/>
      <c r="X395" s="89"/>
      <c r="Y395" s="89"/>
      <c r="Z395" s="89"/>
      <c r="AA395" s="89"/>
      <c r="AB395" s="89"/>
      <c r="AC395" s="89"/>
      <c r="AD395" s="89"/>
      <c r="AE395" s="89"/>
      <c r="AF395" s="89"/>
      <c r="AG395" s="89"/>
      <c r="AH395" s="89"/>
      <c r="AI395" s="89"/>
      <c r="AJ395" s="89"/>
      <c r="AK395" s="89"/>
      <c r="AL395" s="89"/>
      <c r="AM395" s="89"/>
      <c r="AN395" s="89"/>
      <c r="AO395" s="89"/>
      <c r="AP395" s="89"/>
      <c r="AQ395" s="89"/>
      <c r="AR395" s="89"/>
      <c r="AS395" s="89"/>
      <c r="AT395" s="89"/>
      <c r="AU395" s="89"/>
      <c r="AV395" s="89"/>
      <c r="AW395" s="89"/>
      <c r="AX395" s="89"/>
      <c r="AY395" s="89"/>
      <c r="AZ395" s="89"/>
      <c r="BA395" s="95"/>
    </row>
    <row r="396" spans="1:53" s="87" customFormat="1">
      <c r="A396" s="90" t="str">
        <f t="shared" ref="A396:A459" si="31">IF(MID(B396,3,2)="04",ROW(),"")</f>
        <v/>
      </c>
      <c r="B396" s="89">
        <v>6</v>
      </c>
      <c r="C396" s="89">
        <v>1</v>
      </c>
      <c r="D396" s="89">
        <v>-3</v>
      </c>
      <c r="E396" s="89" t="s">
        <v>210</v>
      </c>
      <c r="F396" s="89">
        <v>-2</v>
      </c>
      <c r="G396" s="89">
        <v>3</v>
      </c>
      <c r="H396" s="89" t="s">
        <v>210</v>
      </c>
      <c r="I396" s="89">
        <v>-1</v>
      </c>
      <c r="J396" s="89" t="s">
        <v>210</v>
      </c>
      <c r="K396" s="89">
        <v>2</v>
      </c>
      <c r="L396" s="89" t="s">
        <v>210</v>
      </c>
      <c r="M396" s="89">
        <v>-3</v>
      </c>
      <c r="N396" s="89">
        <v>4</v>
      </c>
      <c r="O396" s="89">
        <v>-2</v>
      </c>
      <c r="P396" s="89" t="s">
        <v>210</v>
      </c>
      <c r="Q396" s="89">
        <v>1</v>
      </c>
      <c r="R396" s="89" t="s">
        <v>210</v>
      </c>
      <c r="S396" s="89">
        <v>-4</v>
      </c>
      <c r="T396" s="89"/>
      <c r="U396" s="89"/>
      <c r="V396" s="89"/>
      <c r="W396" s="89"/>
      <c r="X396" s="89"/>
      <c r="Y396" s="89"/>
      <c r="Z396" s="89"/>
      <c r="AA396" s="89"/>
      <c r="AB396" s="89"/>
      <c r="AC396" s="89"/>
      <c r="AD396" s="89"/>
      <c r="AE396" s="89"/>
      <c r="AF396" s="89"/>
      <c r="AG396" s="89"/>
      <c r="AH396" s="89"/>
      <c r="AI396" s="89"/>
      <c r="AJ396" s="89"/>
      <c r="AK396" s="89"/>
      <c r="AL396" s="89"/>
      <c r="AM396" s="89"/>
      <c r="AN396" s="89"/>
      <c r="AO396" s="89"/>
      <c r="AP396" s="89"/>
      <c r="AQ396" s="89"/>
      <c r="AR396" s="89"/>
      <c r="AS396" s="89"/>
      <c r="AT396" s="89"/>
      <c r="AU396" s="89"/>
      <c r="AV396" s="89"/>
      <c r="AW396" s="89"/>
      <c r="AX396" s="89"/>
      <c r="AY396" s="89"/>
      <c r="AZ396" s="89"/>
      <c r="BA396" s="95"/>
    </row>
    <row r="397" spans="1:53" s="87" customFormat="1">
      <c r="A397" s="90" t="str">
        <f t="shared" si="31"/>
        <v/>
      </c>
      <c r="B397" s="89">
        <v>7</v>
      </c>
      <c r="C397" s="89">
        <v>4</v>
      </c>
      <c r="D397" s="89">
        <v>2</v>
      </c>
      <c r="E397" s="89" t="s">
        <v>210</v>
      </c>
      <c r="F397" s="89">
        <v>-3</v>
      </c>
      <c r="G397" s="89">
        <v>-4</v>
      </c>
      <c r="H397" s="89" t="s">
        <v>210</v>
      </c>
      <c r="I397" s="89">
        <v>-2</v>
      </c>
      <c r="J397" s="89" t="s">
        <v>210</v>
      </c>
      <c r="K397" s="89">
        <v>1</v>
      </c>
      <c r="L397" s="89" t="s">
        <v>210</v>
      </c>
      <c r="M397" s="89">
        <v>3</v>
      </c>
      <c r="N397" s="89">
        <v>2</v>
      </c>
      <c r="O397" s="89">
        <v>4</v>
      </c>
      <c r="P397" s="89" t="s">
        <v>210</v>
      </c>
      <c r="Q397" s="89">
        <v>-3</v>
      </c>
      <c r="R397" s="89" t="s">
        <v>210</v>
      </c>
      <c r="S397" s="89">
        <v>-1</v>
      </c>
      <c r="T397" s="89"/>
      <c r="U397" s="89"/>
      <c r="V397" s="89"/>
      <c r="W397" s="89"/>
      <c r="X397" s="89"/>
      <c r="Y397" s="89"/>
      <c r="Z397" s="89"/>
      <c r="AA397" s="89"/>
      <c r="AB397" s="89"/>
      <c r="AC397" s="89"/>
      <c r="AD397" s="89"/>
      <c r="AE397" s="89"/>
      <c r="AF397" s="89"/>
      <c r="AG397" s="89"/>
      <c r="AH397" s="89"/>
      <c r="AI397" s="89"/>
      <c r="AJ397" s="89"/>
      <c r="AK397" s="89"/>
      <c r="AL397" s="89"/>
      <c r="AM397" s="89"/>
      <c r="AN397" s="89"/>
      <c r="AO397" s="89"/>
      <c r="AP397" s="89"/>
      <c r="AQ397" s="89"/>
      <c r="AR397" s="89"/>
      <c r="AS397" s="89"/>
      <c r="AT397" s="89"/>
      <c r="AU397" s="89"/>
      <c r="AV397" s="89"/>
      <c r="AW397" s="89"/>
      <c r="AX397" s="89"/>
      <c r="AY397" s="89"/>
      <c r="AZ397" s="89"/>
      <c r="BA397" s="95"/>
    </row>
    <row r="398" spans="1:53" s="87" customFormat="1">
      <c r="A398" s="90" t="str">
        <f t="shared" si="31"/>
        <v/>
      </c>
      <c r="B398" s="89">
        <v>8</v>
      </c>
      <c r="C398" s="89">
        <v>-4</v>
      </c>
      <c r="D398" s="89">
        <v>3</v>
      </c>
      <c r="E398" s="89" t="s">
        <v>210</v>
      </c>
      <c r="F398" s="89">
        <v>1</v>
      </c>
      <c r="G398" s="89">
        <v>2</v>
      </c>
      <c r="H398" s="89" t="s">
        <v>210</v>
      </c>
      <c r="I398" s="89">
        <v>4</v>
      </c>
      <c r="J398" s="89" t="s">
        <v>210</v>
      </c>
      <c r="K398" s="89">
        <v>3</v>
      </c>
      <c r="L398" s="89" t="s">
        <v>210</v>
      </c>
      <c r="M398" s="89">
        <v>-2</v>
      </c>
      <c r="N398" s="89">
        <v>-1</v>
      </c>
      <c r="O398" s="89">
        <v>-3</v>
      </c>
      <c r="P398" s="89" t="s">
        <v>210</v>
      </c>
      <c r="Q398" s="89">
        <v>-4</v>
      </c>
      <c r="R398" s="89" t="s">
        <v>210</v>
      </c>
      <c r="S398" s="89">
        <v>2</v>
      </c>
      <c r="T398" s="89"/>
      <c r="U398" s="89"/>
      <c r="V398" s="89"/>
      <c r="W398" s="89"/>
      <c r="X398" s="89"/>
      <c r="Y398" s="89"/>
      <c r="Z398" s="89"/>
      <c r="AA398" s="89"/>
      <c r="AB398" s="89"/>
      <c r="AC398" s="89"/>
      <c r="AD398" s="89"/>
      <c r="AE398" s="89"/>
      <c r="AF398" s="89"/>
      <c r="AG398" s="89"/>
      <c r="AH398" s="89"/>
      <c r="AI398" s="89"/>
      <c r="AJ398" s="89"/>
      <c r="AK398" s="89"/>
      <c r="AL398" s="89"/>
      <c r="AM398" s="89"/>
      <c r="AN398" s="89"/>
      <c r="AO398" s="89"/>
      <c r="AP398" s="89"/>
      <c r="AQ398" s="89"/>
      <c r="AR398" s="89"/>
      <c r="AS398" s="89"/>
      <c r="AT398" s="89"/>
      <c r="AU398" s="89"/>
      <c r="AV398" s="89"/>
      <c r="AW398" s="89"/>
      <c r="AX398" s="89"/>
      <c r="AY398" s="89"/>
      <c r="AZ398" s="89"/>
      <c r="BA398" s="95"/>
    </row>
    <row r="399" spans="1:53" s="87" customFormat="1">
      <c r="A399" s="90" t="str">
        <f t="shared" si="31"/>
        <v/>
      </c>
      <c r="B399" s="89">
        <v>9</v>
      </c>
      <c r="C399" s="89" t="s">
        <v>210</v>
      </c>
      <c r="D399" s="89">
        <v>-1</v>
      </c>
      <c r="E399" s="89">
        <v>3</v>
      </c>
      <c r="F399" s="89">
        <v>-4</v>
      </c>
      <c r="G399" s="89" t="s">
        <v>210</v>
      </c>
      <c r="H399" s="89">
        <v>2</v>
      </c>
      <c r="I399" s="89" t="s">
        <v>210</v>
      </c>
      <c r="J399" s="89">
        <v>1</v>
      </c>
      <c r="K399" s="89">
        <v>-3</v>
      </c>
      <c r="L399" s="89">
        <v>-2</v>
      </c>
      <c r="M399" s="89" t="s">
        <v>210</v>
      </c>
      <c r="N399" s="89" t="s">
        <v>210</v>
      </c>
      <c r="O399" s="89">
        <v>-4</v>
      </c>
      <c r="P399" s="89">
        <v>-1</v>
      </c>
      <c r="Q399" s="89" t="s">
        <v>210</v>
      </c>
      <c r="R399" s="89">
        <v>2</v>
      </c>
      <c r="S399" s="89">
        <v>4</v>
      </c>
      <c r="T399" s="89"/>
      <c r="U399" s="89"/>
      <c r="V399" s="89"/>
      <c r="W399" s="89"/>
      <c r="X399" s="89"/>
      <c r="Y399" s="89"/>
      <c r="Z399" s="89"/>
      <c r="AA399" s="89"/>
      <c r="AB399" s="89"/>
      <c r="AC399" s="89"/>
      <c r="AD399" s="89"/>
      <c r="AE399" s="89"/>
      <c r="AF399" s="89"/>
      <c r="AG399" s="89"/>
      <c r="AH399" s="89"/>
      <c r="AI399" s="89"/>
      <c r="AJ399" s="89"/>
      <c r="AK399" s="89"/>
      <c r="AL399" s="89"/>
      <c r="AM399" s="89"/>
      <c r="AN399" s="89"/>
      <c r="AO399" s="89"/>
      <c r="AP399" s="89"/>
      <c r="AQ399" s="89"/>
      <c r="AR399" s="89"/>
      <c r="AS399" s="89"/>
      <c r="AT399" s="89"/>
      <c r="AU399" s="89"/>
      <c r="AV399" s="89"/>
      <c r="AW399" s="89"/>
      <c r="AX399" s="89"/>
      <c r="AY399" s="89"/>
      <c r="AZ399" s="89"/>
      <c r="BA399" s="95"/>
    </row>
    <row r="400" spans="1:53" s="87" customFormat="1">
      <c r="A400" s="90" t="str">
        <f t="shared" si="31"/>
        <v/>
      </c>
      <c r="B400" s="89">
        <v>10</v>
      </c>
      <c r="C400" s="89" t="s">
        <v>210</v>
      </c>
      <c r="D400" s="89">
        <v>1</v>
      </c>
      <c r="E400" s="89">
        <v>4</v>
      </c>
      <c r="F400" s="89">
        <v>2</v>
      </c>
      <c r="G400" s="89" t="s">
        <v>210</v>
      </c>
      <c r="H400" s="89">
        <v>-3</v>
      </c>
      <c r="I400" s="89" t="s">
        <v>210</v>
      </c>
      <c r="J400" s="89">
        <v>-2</v>
      </c>
      <c r="K400" s="89">
        <v>-1</v>
      </c>
      <c r="L400" s="89">
        <v>-4</v>
      </c>
      <c r="M400" s="89" t="s">
        <v>210</v>
      </c>
      <c r="N400" s="89" t="s">
        <v>210</v>
      </c>
      <c r="O400" s="89">
        <v>3</v>
      </c>
      <c r="P400" s="89">
        <v>2</v>
      </c>
      <c r="Q400" s="89" t="s">
        <v>210</v>
      </c>
      <c r="R400" s="89">
        <v>1</v>
      </c>
      <c r="S400" s="89">
        <v>-3</v>
      </c>
      <c r="T400" s="89"/>
      <c r="U400" s="89"/>
      <c r="V400" s="89"/>
      <c r="W400" s="89"/>
      <c r="X400" s="89"/>
      <c r="Y400" s="89"/>
      <c r="Z400" s="89"/>
      <c r="AA400" s="89"/>
      <c r="AB400" s="89"/>
      <c r="AC400" s="89"/>
      <c r="AD400" s="89"/>
      <c r="AE400" s="89"/>
      <c r="AF400" s="89"/>
      <c r="AG400" s="89"/>
      <c r="AH400" s="89"/>
      <c r="AI400" s="89"/>
      <c r="AJ400" s="89"/>
      <c r="AK400" s="89"/>
      <c r="AL400" s="89"/>
      <c r="AM400" s="89"/>
      <c r="AN400" s="89"/>
      <c r="AO400" s="89"/>
      <c r="AP400" s="89"/>
      <c r="AQ400" s="89"/>
      <c r="AR400" s="89"/>
      <c r="AS400" s="89"/>
      <c r="AT400" s="89"/>
      <c r="AU400" s="89"/>
      <c r="AV400" s="89"/>
      <c r="AW400" s="89"/>
      <c r="AX400" s="89"/>
      <c r="AY400" s="89"/>
      <c r="AZ400" s="89"/>
      <c r="BA400" s="95"/>
    </row>
    <row r="401" spans="1:53" s="87" customFormat="1">
      <c r="A401" s="90" t="str">
        <f t="shared" si="31"/>
        <v/>
      </c>
      <c r="B401" s="89">
        <v>11</v>
      </c>
      <c r="C401" s="89" t="s">
        <v>210</v>
      </c>
      <c r="D401" s="89">
        <v>4</v>
      </c>
      <c r="E401" s="89">
        <v>2</v>
      </c>
      <c r="F401" s="89">
        <v>-1</v>
      </c>
      <c r="G401" s="89" t="s">
        <v>210</v>
      </c>
      <c r="H401" s="89">
        <v>3</v>
      </c>
      <c r="I401" s="89" t="s">
        <v>210</v>
      </c>
      <c r="J401" s="89">
        <v>-4</v>
      </c>
      <c r="K401" s="89">
        <v>-2</v>
      </c>
      <c r="L401" s="89">
        <v>-3</v>
      </c>
      <c r="M401" s="89" t="s">
        <v>210</v>
      </c>
      <c r="N401" s="89" t="s">
        <v>210</v>
      </c>
      <c r="O401" s="89">
        <v>-1</v>
      </c>
      <c r="P401" s="89">
        <v>4</v>
      </c>
      <c r="Q401" s="89" t="s">
        <v>210</v>
      </c>
      <c r="R401" s="89">
        <v>-2</v>
      </c>
      <c r="S401" s="89">
        <v>1</v>
      </c>
      <c r="T401" s="89"/>
      <c r="U401" s="89"/>
      <c r="V401" s="89"/>
      <c r="W401" s="89"/>
      <c r="X401" s="89"/>
      <c r="Y401" s="89"/>
      <c r="Z401" s="89"/>
      <c r="AA401" s="89"/>
      <c r="AB401" s="89"/>
      <c r="AC401" s="89"/>
      <c r="AD401" s="89"/>
      <c r="AE401" s="89"/>
      <c r="AF401" s="89"/>
      <c r="AG401" s="89"/>
      <c r="AH401" s="89"/>
      <c r="AI401" s="89"/>
      <c r="AJ401" s="89"/>
      <c r="AK401" s="89"/>
      <c r="AL401" s="89"/>
      <c r="AM401" s="89"/>
      <c r="AN401" s="89"/>
      <c r="AO401" s="89"/>
      <c r="AP401" s="89"/>
      <c r="AQ401" s="89"/>
      <c r="AR401" s="89"/>
      <c r="AS401" s="89"/>
      <c r="AT401" s="89"/>
      <c r="AU401" s="89"/>
      <c r="AV401" s="89"/>
      <c r="AW401" s="89"/>
      <c r="AX401" s="89"/>
      <c r="AY401" s="89"/>
      <c r="AZ401" s="89"/>
      <c r="BA401" s="95"/>
    </row>
    <row r="402" spans="1:53" s="87" customFormat="1">
      <c r="A402" s="90" t="str">
        <f t="shared" si="31"/>
        <v/>
      </c>
      <c r="B402" s="89">
        <v>12</v>
      </c>
      <c r="C402" s="89" t="s">
        <v>210</v>
      </c>
      <c r="D402" s="89">
        <v>-4</v>
      </c>
      <c r="E402" s="89">
        <v>-1</v>
      </c>
      <c r="F402" s="89">
        <v>3</v>
      </c>
      <c r="G402" s="89" t="s">
        <v>210</v>
      </c>
      <c r="H402" s="89">
        <v>-2</v>
      </c>
      <c r="I402" s="89" t="s">
        <v>210</v>
      </c>
      <c r="J402" s="89">
        <v>-3</v>
      </c>
      <c r="K402" s="89">
        <v>4</v>
      </c>
      <c r="L402" s="89">
        <v>1</v>
      </c>
      <c r="M402" s="89" t="s">
        <v>210</v>
      </c>
      <c r="N402" s="89" t="s">
        <v>210</v>
      </c>
      <c r="O402" s="89">
        <v>2</v>
      </c>
      <c r="P402" s="89">
        <v>3</v>
      </c>
      <c r="Q402" s="89" t="s">
        <v>210</v>
      </c>
      <c r="R402" s="89">
        <v>-1</v>
      </c>
      <c r="S402" s="89">
        <v>-2</v>
      </c>
      <c r="T402" s="89"/>
      <c r="U402" s="89"/>
      <c r="V402" s="89"/>
      <c r="W402" s="89"/>
      <c r="X402" s="89"/>
      <c r="Y402" s="89"/>
      <c r="Z402" s="89"/>
      <c r="AA402" s="89"/>
      <c r="AB402" s="89"/>
      <c r="AC402" s="89"/>
      <c r="AD402" s="89"/>
      <c r="AE402" s="89"/>
      <c r="AF402" s="89"/>
      <c r="AG402" s="89"/>
      <c r="AH402" s="89"/>
      <c r="AI402" s="89"/>
      <c r="AJ402" s="89"/>
      <c r="AK402" s="89"/>
      <c r="AL402" s="89"/>
      <c r="AM402" s="89"/>
      <c r="AN402" s="89"/>
      <c r="AO402" s="89"/>
      <c r="AP402" s="89"/>
      <c r="AQ402" s="89"/>
      <c r="AR402" s="89"/>
      <c r="AS402" s="89"/>
      <c r="AT402" s="89"/>
      <c r="AU402" s="89"/>
      <c r="AV402" s="89"/>
      <c r="AW402" s="89"/>
      <c r="AX402" s="89"/>
      <c r="AY402" s="89"/>
      <c r="AZ402" s="89"/>
      <c r="BA402" s="95"/>
    </row>
    <row r="403" spans="1:53" s="87" customFormat="1">
      <c r="A403" s="90" t="str">
        <f t="shared" si="31"/>
        <v/>
      </c>
      <c r="B403" s="89" t="s">
        <v>297</v>
      </c>
      <c r="C403" s="89"/>
      <c r="D403" s="89"/>
      <c r="E403" s="89"/>
      <c r="F403" s="89"/>
      <c r="G403" s="89"/>
      <c r="H403" s="89"/>
      <c r="I403" s="89"/>
      <c r="J403" s="89"/>
      <c r="K403" s="89"/>
      <c r="L403" s="89"/>
      <c r="M403" s="89"/>
      <c r="N403" s="89"/>
      <c r="O403" s="89"/>
      <c r="P403" s="89"/>
      <c r="Q403" s="89"/>
      <c r="R403" s="89"/>
      <c r="S403" s="89"/>
      <c r="T403" s="89"/>
      <c r="U403" s="89"/>
      <c r="V403" s="89"/>
      <c r="W403" s="89"/>
      <c r="X403" s="89"/>
      <c r="Y403" s="89"/>
      <c r="Z403" s="89"/>
      <c r="AA403" s="89"/>
      <c r="AB403" s="89"/>
      <c r="AC403" s="89"/>
      <c r="AD403" s="89"/>
      <c r="AE403" s="89"/>
      <c r="AF403" s="89"/>
      <c r="AG403" s="89"/>
      <c r="AH403" s="89"/>
      <c r="AI403" s="89"/>
      <c r="AJ403" s="89"/>
      <c r="AK403" s="89"/>
      <c r="AL403" s="89"/>
      <c r="AM403" s="89"/>
      <c r="AN403" s="89"/>
      <c r="AO403" s="89"/>
      <c r="AP403" s="89"/>
      <c r="AQ403" s="89"/>
      <c r="AR403" s="89"/>
      <c r="AS403" s="89"/>
      <c r="AT403" s="89"/>
      <c r="AU403" s="89"/>
      <c r="AV403" s="89"/>
      <c r="AW403" s="89"/>
      <c r="AX403" s="89"/>
      <c r="AY403" s="89"/>
      <c r="AZ403" s="89"/>
      <c r="BA403" s="95"/>
    </row>
    <row r="404" spans="1:53" s="87" customFormat="1">
      <c r="A404" s="90">
        <f t="shared" si="31"/>
        <v>404</v>
      </c>
      <c r="B404" s="319" t="s">
        <v>1241</v>
      </c>
      <c r="C404" s="89"/>
      <c r="D404" s="89"/>
      <c r="E404" s="89"/>
      <c r="F404" s="89"/>
      <c r="G404" s="89"/>
      <c r="H404" s="89"/>
      <c r="I404" s="89"/>
      <c r="J404" s="89"/>
      <c r="K404" s="89"/>
      <c r="L404" s="89"/>
      <c r="M404" s="89"/>
      <c r="N404" s="89"/>
      <c r="O404" s="89"/>
      <c r="P404" s="89"/>
      <c r="Q404" s="89"/>
      <c r="R404" s="89"/>
      <c r="S404" s="89"/>
      <c r="T404" s="89"/>
      <c r="U404" s="89"/>
      <c r="V404" s="89"/>
      <c r="W404" s="89"/>
      <c r="X404" s="89"/>
      <c r="Y404" s="89"/>
      <c r="Z404" s="89"/>
      <c r="AA404" s="89"/>
      <c r="AB404" s="89"/>
      <c r="AC404" s="89"/>
      <c r="AD404" s="89"/>
      <c r="AE404" s="89"/>
      <c r="AF404" s="89"/>
      <c r="AG404" s="89"/>
      <c r="AH404" s="89"/>
      <c r="AI404" s="89"/>
      <c r="AJ404" s="89"/>
      <c r="AK404" s="89"/>
      <c r="AL404" s="89"/>
      <c r="AM404" s="89"/>
      <c r="AN404" s="89"/>
      <c r="AO404" s="89"/>
      <c r="AP404" s="89"/>
      <c r="AQ404" s="89"/>
      <c r="AR404" s="89"/>
      <c r="AS404" s="89"/>
      <c r="AT404" s="89"/>
      <c r="AU404" s="89"/>
      <c r="AV404" s="89"/>
      <c r="AW404" s="89"/>
      <c r="AX404" s="89"/>
      <c r="AY404" s="89"/>
      <c r="AZ404" s="89"/>
      <c r="BA404" s="95"/>
    </row>
    <row r="405" spans="1:53" s="87" customFormat="1">
      <c r="A405" s="90" t="str">
        <f t="shared" si="31"/>
        <v/>
      </c>
      <c r="B405" s="89">
        <v>1</v>
      </c>
      <c r="C405" s="89">
        <v>1</v>
      </c>
      <c r="D405" s="89">
        <v>-2</v>
      </c>
      <c r="E405" s="89" t="s">
        <v>210</v>
      </c>
      <c r="F405" s="89">
        <v>-4</v>
      </c>
      <c r="G405" s="89">
        <v>-3</v>
      </c>
      <c r="H405" s="89" t="s">
        <v>210</v>
      </c>
      <c r="I405" s="89">
        <v>2</v>
      </c>
      <c r="J405" s="89" t="s">
        <v>210</v>
      </c>
      <c r="K405" s="89" t="s">
        <v>210</v>
      </c>
      <c r="L405" s="89">
        <v>-1</v>
      </c>
      <c r="M405" s="89" t="s">
        <v>210</v>
      </c>
      <c r="N405" s="89">
        <v>4</v>
      </c>
      <c r="O405" s="89" t="s">
        <v>210</v>
      </c>
      <c r="P405" s="89">
        <v>-2</v>
      </c>
      <c r="Q405" s="89">
        <v>-1</v>
      </c>
      <c r="R405" s="89" t="s">
        <v>210</v>
      </c>
      <c r="S405" s="89">
        <v>2</v>
      </c>
      <c r="T405" s="89">
        <v>3</v>
      </c>
      <c r="U405" s="89" t="s">
        <v>210</v>
      </c>
      <c r="V405" s="89">
        <v>4</v>
      </c>
      <c r="W405" s="89"/>
      <c r="X405" s="89"/>
      <c r="Y405" s="89"/>
      <c r="Z405" s="89"/>
      <c r="AA405" s="89"/>
      <c r="AB405" s="89"/>
      <c r="AC405" s="89"/>
      <c r="AD405" s="89"/>
      <c r="AE405" s="89"/>
      <c r="AF405" s="89"/>
      <c r="AG405" s="89"/>
      <c r="AH405" s="89"/>
      <c r="AI405" s="89"/>
      <c r="AJ405" s="89"/>
      <c r="AK405" s="89"/>
      <c r="AL405" s="89"/>
      <c r="AM405" s="89"/>
      <c r="AN405" s="89"/>
      <c r="AO405" s="89"/>
      <c r="AP405" s="89"/>
      <c r="AQ405" s="89"/>
      <c r="AR405" s="89"/>
      <c r="AS405" s="89"/>
      <c r="AT405" s="89"/>
      <c r="AU405" s="89"/>
      <c r="AV405" s="89"/>
      <c r="AW405" s="89"/>
      <c r="AX405" s="89"/>
      <c r="AY405" s="89"/>
      <c r="AZ405" s="89"/>
      <c r="BA405" s="95"/>
    </row>
    <row r="406" spans="1:53" s="87" customFormat="1">
      <c r="A406" s="90" t="str">
        <f t="shared" si="31"/>
        <v/>
      </c>
      <c r="B406" s="89">
        <v>2</v>
      </c>
      <c r="C406" s="89">
        <v>4</v>
      </c>
      <c r="D406" s="89">
        <v>2</v>
      </c>
      <c r="E406" s="89" t="s">
        <v>210</v>
      </c>
      <c r="F406" s="89">
        <v>-3</v>
      </c>
      <c r="G406" s="89" t="s">
        <v>210</v>
      </c>
      <c r="H406" s="89">
        <v>1</v>
      </c>
      <c r="I406" s="89">
        <v>-4</v>
      </c>
      <c r="J406" s="89" t="s">
        <v>210</v>
      </c>
      <c r="K406" s="89" t="s">
        <v>210</v>
      </c>
      <c r="L406" s="89">
        <v>3</v>
      </c>
      <c r="M406" s="89" t="s">
        <v>210</v>
      </c>
      <c r="N406" s="89">
        <v>2</v>
      </c>
      <c r="O406" s="89" t="s">
        <v>210</v>
      </c>
      <c r="P406" s="89">
        <v>-1</v>
      </c>
      <c r="Q406" s="89">
        <v>-3</v>
      </c>
      <c r="R406" s="89" t="s">
        <v>210</v>
      </c>
      <c r="S406" s="89">
        <v>-4</v>
      </c>
      <c r="T406" s="89" t="s">
        <v>210</v>
      </c>
      <c r="U406" s="89">
        <v>3</v>
      </c>
      <c r="V406" s="89">
        <v>-2</v>
      </c>
      <c r="W406" s="89"/>
      <c r="X406" s="89"/>
      <c r="Y406" s="89"/>
      <c r="Z406" s="89"/>
      <c r="AA406" s="89"/>
      <c r="AB406" s="89"/>
      <c r="AC406" s="89"/>
      <c r="AD406" s="89"/>
      <c r="AE406" s="89"/>
      <c r="AF406" s="89"/>
      <c r="AG406" s="89"/>
      <c r="AH406" s="89"/>
      <c r="AI406" s="89"/>
      <c r="AJ406" s="89"/>
      <c r="AK406" s="89"/>
      <c r="AL406" s="89"/>
      <c r="AM406" s="89"/>
      <c r="AN406" s="89"/>
      <c r="AO406" s="89"/>
      <c r="AP406" s="89"/>
      <c r="AQ406" s="89"/>
      <c r="AR406" s="89"/>
      <c r="AS406" s="89"/>
      <c r="AT406" s="89"/>
      <c r="AU406" s="89"/>
      <c r="AV406" s="89"/>
      <c r="AW406" s="89"/>
      <c r="AX406" s="89"/>
      <c r="AY406" s="89"/>
      <c r="AZ406" s="89"/>
      <c r="BA406" s="95"/>
    </row>
    <row r="407" spans="1:53" s="87" customFormat="1">
      <c r="A407" s="90" t="str">
        <f t="shared" si="31"/>
        <v/>
      </c>
      <c r="B407" s="89">
        <v>3</v>
      </c>
      <c r="C407" s="89">
        <v>2</v>
      </c>
      <c r="D407" s="89">
        <v>1</v>
      </c>
      <c r="E407" s="89" t="s">
        <v>210</v>
      </c>
      <c r="F407" s="89">
        <v>-2</v>
      </c>
      <c r="G407" s="89" t="s">
        <v>210</v>
      </c>
      <c r="H407" s="89">
        <v>-3</v>
      </c>
      <c r="I407" s="89">
        <v>-1</v>
      </c>
      <c r="J407" s="89" t="s">
        <v>210</v>
      </c>
      <c r="K407" s="89" t="s">
        <v>210</v>
      </c>
      <c r="L407" s="89" t="s">
        <v>210</v>
      </c>
      <c r="M407" s="89">
        <v>2</v>
      </c>
      <c r="N407" s="89">
        <v>-4</v>
      </c>
      <c r="O407" s="89" t="s">
        <v>210</v>
      </c>
      <c r="P407" s="89">
        <v>3</v>
      </c>
      <c r="Q407" s="89">
        <v>-2</v>
      </c>
      <c r="R407" s="89" t="s">
        <v>210</v>
      </c>
      <c r="S407" s="89">
        <v>4</v>
      </c>
      <c r="T407" s="89" t="s">
        <v>210</v>
      </c>
      <c r="U407" s="89">
        <v>-1</v>
      </c>
      <c r="V407" s="89">
        <v>3</v>
      </c>
      <c r="W407" s="89"/>
      <c r="X407" s="89"/>
      <c r="Y407" s="89"/>
      <c r="Z407" s="89"/>
      <c r="AA407" s="89"/>
      <c r="AB407" s="89"/>
      <c r="AC407" s="89"/>
      <c r="AD407" s="89"/>
      <c r="AE407" s="89"/>
      <c r="AF407" s="89"/>
      <c r="AG407" s="89"/>
      <c r="AH407" s="89"/>
      <c r="AI407" s="89"/>
      <c r="AJ407" s="89"/>
      <c r="AK407" s="89"/>
      <c r="AL407" s="89"/>
      <c r="AM407" s="89"/>
      <c r="AN407" s="89"/>
      <c r="AO407" s="89"/>
      <c r="AP407" s="89"/>
      <c r="AQ407" s="89"/>
      <c r="AR407" s="89"/>
      <c r="AS407" s="89"/>
      <c r="AT407" s="89"/>
      <c r="AU407" s="89"/>
      <c r="AV407" s="89"/>
      <c r="AW407" s="89"/>
      <c r="AX407" s="89"/>
      <c r="AY407" s="89"/>
      <c r="AZ407" s="89"/>
      <c r="BA407" s="95"/>
    </row>
    <row r="408" spans="1:53" s="87" customFormat="1">
      <c r="A408" s="90" t="str">
        <f t="shared" si="31"/>
        <v/>
      </c>
      <c r="B408" s="89">
        <v>4</v>
      </c>
      <c r="C408" s="89">
        <v>-3</v>
      </c>
      <c r="D408" s="89" t="s">
        <v>210</v>
      </c>
      <c r="E408" s="89">
        <v>-4</v>
      </c>
      <c r="F408" s="89">
        <v>-1</v>
      </c>
      <c r="G408" s="89" t="s">
        <v>210</v>
      </c>
      <c r="H408" s="89">
        <v>2</v>
      </c>
      <c r="I408" s="89">
        <v>3</v>
      </c>
      <c r="J408" s="89" t="s">
        <v>210</v>
      </c>
      <c r="K408" s="89" t="s">
        <v>210</v>
      </c>
      <c r="L408" s="89" t="s">
        <v>210</v>
      </c>
      <c r="M408" s="89">
        <v>-2</v>
      </c>
      <c r="N408" s="89">
        <v>1</v>
      </c>
      <c r="O408" s="89" t="s">
        <v>210</v>
      </c>
      <c r="P408" s="89">
        <v>4</v>
      </c>
      <c r="Q408" s="89" t="s">
        <v>210</v>
      </c>
      <c r="R408" s="89">
        <v>-3</v>
      </c>
      <c r="S408" s="89">
        <v>-2</v>
      </c>
      <c r="T408" s="89" t="s">
        <v>210</v>
      </c>
      <c r="U408" s="89">
        <v>4</v>
      </c>
      <c r="V408" s="89">
        <v>2</v>
      </c>
      <c r="W408" s="89"/>
      <c r="X408" s="89"/>
      <c r="Y408" s="89"/>
      <c r="Z408" s="89"/>
      <c r="AA408" s="89"/>
      <c r="AB408" s="89"/>
      <c r="AC408" s="89"/>
      <c r="AD408" s="89"/>
      <c r="AE408" s="89"/>
      <c r="AF408" s="89"/>
      <c r="AG408" s="89"/>
      <c r="AH408" s="89"/>
      <c r="AI408" s="89"/>
      <c r="AJ408" s="89"/>
      <c r="AK408" s="89"/>
      <c r="AL408" s="89"/>
      <c r="AM408" s="89"/>
      <c r="AN408" s="89"/>
      <c r="AO408" s="89"/>
      <c r="AP408" s="89"/>
      <c r="AQ408" s="89"/>
      <c r="AR408" s="89"/>
      <c r="AS408" s="89"/>
      <c r="AT408" s="89"/>
      <c r="AU408" s="89"/>
      <c r="AV408" s="89"/>
      <c r="AW408" s="89"/>
      <c r="AX408" s="89"/>
      <c r="AY408" s="89"/>
      <c r="AZ408" s="89"/>
      <c r="BA408" s="95"/>
    </row>
    <row r="409" spans="1:53" s="87" customFormat="1">
      <c r="A409" s="90" t="str">
        <f t="shared" si="31"/>
        <v/>
      </c>
      <c r="B409" s="89">
        <v>5</v>
      </c>
      <c r="C409" s="89">
        <v>-1</v>
      </c>
      <c r="D409" s="89" t="s">
        <v>210</v>
      </c>
      <c r="E409" s="89">
        <v>2</v>
      </c>
      <c r="F409" s="89">
        <v>3</v>
      </c>
      <c r="G409" s="89" t="s">
        <v>210</v>
      </c>
      <c r="H409" s="89">
        <v>4</v>
      </c>
      <c r="I409" s="89" t="s">
        <v>210</v>
      </c>
      <c r="J409" s="89">
        <v>-1</v>
      </c>
      <c r="K409" s="89">
        <v>-2</v>
      </c>
      <c r="L409" s="89" t="s">
        <v>210</v>
      </c>
      <c r="M409" s="89">
        <v>-4</v>
      </c>
      <c r="N409" s="89">
        <v>3</v>
      </c>
      <c r="O409" s="89" t="s">
        <v>210</v>
      </c>
      <c r="P409" s="89">
        <v>-4</v>
      </c>
      <c r="Q409" s="89" t="s">
        <v>210</v>
      </c>
      <c r="R409" s="89">
        <v>1</v>
      </c>
      <c r="S409" s="89">
        <v>-3</v>
      </c>
      <c r="T409" s="89" t="s">
        <v>210</v>
      </c>
      <c r="U409" s="89">
        <v>1</v>
      </c>
      <c r="V409" s="89" t="s">
        <v>210</v>
      </c>
      <c r="W409" s="89"/>
      <c r="X409" s="89"/>
      <c r="Y409" s="89"/>
      <c r="Z409" s="89"/>
      <c r="AA409" s="89"/>
      <c r="AB409" s="89"/>
      <c r="AC409" s="89"/>
      <c r="AD409" s="89"/>
      <c r="AE409" s="89"/>
      <c r="AF409" s="89"/>
      <c r="AG409" s="89"/>
      <c r="AH409" s="89"/>
      <c r="AI409" s="89"/>
      <c r="AJ409" s="89"/>
      <c r="AK409" s="89"/>
      <c r="AL409" s="89"/>
      <c r="AM409" s="89"/>
      <c r="AN409" s="89"/>
      <c r="AO409" s="89"/>
      <c r="AP409" s="89"/>
      <c r="AQ409" s="89"/>
      <c r="AR409" s="89"/>
      <c r="AS409" s="89"/>
      <c r="AT409" s="89"/>
      <c r="AU409" s="89"/>
      <c r="AV409" s="89"/>
      <c r="AW409" s="89"/>
      <c r="AX409" s="89"/>
      <c r="AY409" s="89"/>
      <c r="AZ409" s="89"/>
      <c r="BA409" s="95"/>
    </row>
    <row r="410" spans="1:53" s="87" customFormat="1">
      <c r="A410" s="90" t="str">
        <f t="shared" si="31"/>
        <v/>
      </c>
      <c r="B410" s="89">
        <v>6</v>
      </c>
      <c r="C410" s="89">
        <v>-4</v>
      </c>
      <c r="D410" s="89" t="s">
        <v>210</v>
      </c>
      <c r="E410" s="89">
        <v>1</v>
      </c>
      <c r="F410" s="89">
        <v>4</v>
      </c>
      <c r="G410" s="89" t="s">
        <v>210</v>
      </c>
      <c r="H410" s="89">
        <v>-2</v>
      </c>
      <c r="I410" s="89" t="s">
        <v>210</v>
      </c>
      <c r="J410" s="89">
        <v>-4</v>
      </c>
      <c r="K410" s="89">
        <v>3</v>
      </c>
      <c r="L410" s="89" t="s">
        <v>210</v>
      </c>
      <c r="M410" s="89">
        <v>4</v>
      </c>
      <c r="N410" s="89" t="s">
        <v>210</v>
      </c>
      <c r="O410" s="89">
        <v>1</v>
      </c>
      <c r="P410" s="89">
        <v>-3</v>
      </c>
      <c r="Q410" s="89" t="s">
        <v>210</v>
      </c>
      <c r="R410" s="89">
        <v>2</v>
      </c>
      <c r="S410" s="89">
        <v>-1</v>
      </c>
      <c r="T410" s="89" t="s">
        <v>210</v>
      </c>
      <c r="U410" s="89">
        <v>-2</v>
      </c>
      <c r="V410" s="89" t="s">
        <v>210</v>
      </c>
      <c r="BA410" s="95"/>
    </row>
    <row r="411" spans="1:53" s="87" customFormat="1">
      <c r="A411" s="90" t="str">
        <f t="shared" si="31"/>
        <v/>
      </c>
      <c r="B411" s="89">
        <v>7</v>
      </c>
      <c r="C411" s="89">
        <v>-2</v>
      </c>
      <c r="D411" s="89" t="s">
        <v>210</v>
      </c>
      <c r="E411" s="89">
        <v>-3</v>
      </c>
      <c r="F411" s="89" t="s">
        <v>210</v>
      </c>
      <c r="G411" s="89">
        <v>4</v>
      </c>
      <c r="H411" s="89">
        <v>-1</v>
      </c>
      <c r="I411" s="89" t="s">
        <v>210</v>
      </c>
      <c r="J411" s="89">
        <v>-3</v>
      </c>
      <c r="K411" s="89">
        <v>2</v>
      </c>
      <c r="L411" s="89" t="s">
        <v>210</v>
      </c>
      <c r="M411" s="89">
        <v>3</v>
      </c>
      <c r="N411" s="89" t="s">
        <v>210</v>
      </c>
      <c r="O411" s="89">
        <v>-1</v>
      </c>
      <c r="P411" s="89">
        <v>2</v>
      </c>
      <c r="Q411" s="89" t="s">
        <v>210</v>
      </c>
      <c r="R411" s="89">
        <v>4</v>
      </c>
      <c r="S411" s="89" t="s">
        <v>210</v>
      </c>
      <c r="T411" s="89">
        <v>1</v>
      </c>
      <c r="U411" s="89">
        <v>-4</v>
      </c>
      <c r="V411" s="89" t="s">
        <v>210</v>
      </c>
      <c r="BA411" s="95"/>
    </row>
    <row r="412" spans="1:53" s="87" customFormat="1">
      <c r="A412" s="90" t="str">
        <f t="shared" si="31"/>
        <v/>
      </c>
      <c r="B412" s="89">
        <v>8</v>
      </c>
      <c r="C412" s="89">
        <v>3</v>
      </c>
      <c r="D412" s="89" t="s">
        <v>210</v>
      </c>
      <c r="E412" s="89">
        <v>-2</v>
      </c>
      <c r="F412" s="89" t="s">
        <v>210</v>
      </c>
      <c r="G412" s="89">
        <v>-1</v>
      </c>
      <c r="H412" s="89">
        <v>3</v>
      </c>
      <c r="I412" s="89" t="s">
        <v>210</v>
      </c>
      <c r="J412" s="89">
        <v>2</v>
      </c>
      <c r="K412" s="89" t="s">
        <v>210</v>
      </c>
      <c r="L412" s="89">
        <v>4</v>
      </c>
      <c r="M412" s="89">
        <v>-1</v>
      </c>
      <c r="N412" s="89" t="s">
        <v>210</v>
      </c>
      <c r="O412" s="89">
        <v>-2</v>
      </c>
      <c r="P412" s="89">
        <v>1</v>
      </c>
      <c r="Q412" s="89" t="s">
        <v>210</v>
      </c>
      <c r="R412" s="89">
        <v>-4</v>
      </c>
      <c r="S412" s="89" t="s">
        <v>210</v>
      </c>
      <c r="T412" s="89">
        <v>-3</v>
      </c>
      <c r="U412" s="89">
        <v>2</v>
      </c>
      <c r="V412" s="89" t="s">
        <v>210</v>
      </c>
      <c r="BA412" s="95"/>
    </row>
    <row r="413" spans="1:53" s="87" customFormat="1">
      <c r="A413" s="90" t="str">
        <f t="shared" si="31"/>
        <v/>
      </c>
      <c r="B413" s="89">
        <v>9</v>
      </c>
      <c r="C413" s="89" t="s">
        <v>210</v>
      </c>
      <c r="D413" s="89">
        <v>-1</v>
      </c>
      <c r="E413" s="89">
        <v>4</v>
      </c>
      <c r="F413" s="89" t="s">
        <v>210</v>
      </c>
      <c r="G413" s="89">
        <v>-2</v>
      </c>
      <c r="H413" s="89">
        <v>-4</v>
      </c>
      <c r="I413" s="89" t="s">
        <v>210</v>
      </c>
      <c r="J413" s="89">
        <v>3</v>
      </c>
      <c r="K413" s="89" t="s">
        <v>210</v>
      </c>
      <c r="L413" s="89">
        <v>2</v>
      </c>
      <c r="M413" s="89">
        <v>1</v>
      </c>
      <c r="N413" s="89" t="s">
        <v>210</v>
      </c>
      <c r="O413" s="89">
        <v>-4</v>
      </c>
      <c r="P413" s="89" t="s">
        <v>210</v>
      </c>
      <c r="Q413" s="89">
        <v>1</v>
      </c>
      <c r="R413" s="89">
        <v>-2</v>
      </c>
      <c r="S413" s="89" t="s">
        <v>210</v>
      </c>
      <c r="T413" s="89">
        <v>4</v>
      </c>
      <c r="U413" s="89">
        <v>-3</v>
      </c>
      <c r="V413" s="89" t="s">
        <v>210</v>
      </c>
      <c r="BA413" s="95"/>
    </row>
    <row r="414" spans="1:53" s="87" customFormat="1">
      <c r="A414" s="90" t="str">
        <f t="shared" si="31"/>
        <v/>
      </c>
      <c r="B414" s="89">
        <v>10</v>
      </c>
      <c r="C414" s="89" t="s">
        <v>210</v>
      </c>
      <c r="D414" s="89">
        <v>-4</v>
      </c>
      <c r="E414" s="89">
        <v>-1</v>
      </c>
      <c r="F414" s="89" t="s">
        <v>210</v>
      </c>
      <c r="G414" s="89">
        <v>3</v>
      </c>
      <c r="H414" s="89" t="s">
        <v>210</v>
      </c>
      <c r="I414" s="89">
        <v>4</v>
      </c>
      <c r="J414" s="89">
        <v>1</v>
      </c>
      <c r="K414" s="89" t="s">
        <v>210</v>
      </c>
      <c r="L414" s="89">
        <v>-2</v>
      </c>
      <c r="M414" s="89">
        <v>-3</v>
      </c>
      <c r="N414" s="89" t="s">
        <v>210</v>
      </c>
      <c r="O414" s="89">
        <v>2</v>
      </c>
      <c r="P414" s="89" t="s">
        <v>210</v>
      </c>
      <c r="Q414" s="89">
        <v>-4</v>
      </c>
      <c r="R414" s="89">
        <v>3</v>
      </c>
      <c r="S414" s="89" t="s">
        <v>210</v>
      </c>
      <c r="T414" s="89">
        <v>2</v>
      </c>
      <c r="U414" s="89" t="s">
        <v>210</v>
      </c>
      <c r="V414" s="89">
        <v>-3</v>
      </c>
      <c r="BA414" s="95"/>
    </row>
    <row r="415" spans="1:53" s="87" customFormat="1">
      <c r="A415" s="90" t="str">
        <f t="shared" si="31"/>
        <v/>
      </c>
      <c r="B415" s="89">
        <v>11</v>
      </c>
      <c r="C415" s="89" t="s">
        <v>210</v>
      </c>
      <c r="D415" s="89">
        <v>4</v>
      </c>
      <c r="E415" s="89">
        <v>3</v>
      </c>
      <c r="F415" s="89" t="s">
        <v>210</v>
      </c>
      <c r="G415" s="89">
        <v>1</v>
      </c>
      <c r="H415" s="89" t="s">
        <v>210</v>
      </c>
      <c r="I415" s="89">
        <v>-2</v>
      </c>
      <c r="J415" s="89">
        <v>4</v>
      </c>
      <c r="K415" s="89" t="s">
        <v>210</v>
      </c>
      <c r="L415" s="89">
        <v>-3</v>
      </c>
      <c r="M415" s="89" t="s">
        <v>210</v>
      </c>
      <c r="N415" s="89">
        <v>-1</v>
      </c>
      <c r="O415" s="89">
        <v>-3</v>
      </c>
      <c r="P415" s="89" t="s">
        <v>210</v>
      </c>
      <c r="Q415" s="89">
        <v>2</v>
      </c>
      <c r="R415" s="89">
        <v>-1</v>
      </c>
      <c r="S415" s="89" t="s">
        <v>210</v>
      </c>
      <c r="T415" s="89">
        <v>-4</v>
      </c>
      <c r="U415" s="89" t="s">
        <v>210</v>
      </c>
      <c r="V415" s="89">
        <v>1</v>
      </c>
      <c r="BA415" s="95"/>
    </row>
    <row r="416" spans="1:53" s="87" customFormat="1">
      <c r="A416" s="90" t="str">
        <f t="shared" si="31"/>
        <v/>
      </c>
      <c r="B416" s="89">
        <v>12</v>
      </c>
      <c r="C416" s="89" t="s">
        <v>210</v>
      </c>
      <c r="D416" s="89">
        <v>3</v>
      </c>
      <c r="E416" s="89" t="s">
        <v>210</v>
      </c>
      <c r="F416" s="89">
        <v>2</v>
      </c>
      <c r="G416" s="89">
        <v>-4</v>
      </c>
      <c r="H416" s="89" t="s">
        <v>210</v>
      </c>
      <c r="I416" s="89">
        <v>-3</v>
      </c>
      <c r="J416" s="89">
        <v>-2</v>
      </c>
      <c r="K416" s="89" t="s">
        <v>210</v>
      </c>
      <c r="L416" s="89">
        <v>1</v>
      </c>
      <c r="M416" s="89" t="s">
        <v>210</v>
      </c>
      <c r="N416" s="89">
        <v>-3</v>
      </c>
      <c r="O416" s="89">
        <v>4</v>
      </c>
      <c r="P416" s="89" t="s">
        <v>210</v>
      </c>
      <c r="Q416" s="89">
        <v>3</v>
      </c>
      <c r="R416" s="89" t="s">
        <v>210</v>
      </c>
      <c r="S416" s="89">
        <v>1</v>
      </c>
      <c r="T416" s="89">
        <v>-2</v>
      </c>
      <c r="U416" s="89" t="s">
        <v>210</v>
      </c>
      <c r="V416" s="89">
        <v>-1</v>
      </c>
      <c r="BA416" s="95"/>
    </row>
    <row r="417" spans="1:53" s="87" customFormat="1">
      <c r="A417" s="90" t="str">
        <f t="shared" si="31"/>
        <v/>
      </c>
      <c r="B417" s="89">
        <v>13</v>
      </c>
      <c r="C417" s="89" t="s">
        <v>210</v>
      </c>
      <c r="D417" s="89">
        <v>-3</v>
      </c>
      <c r="E417" s="89" t="s">
        <v>210</v>
      </c>
      <c r="F417" s="89">
        <v>1</v>
      </c>
      <c r="G417" s="89">
        <v>2</v>
      </c>
      <c r="H417" s="89" t="s">
        <v>210</v>
      </c>
      <c r="I417" s="89">
        <v>1</v>
      </c>
      <c r="J417" s="89" t="s">
        <v>210</v>
      </c>
      <c r="K417" s="89">
        <v>-3</v>
      </c>
      <c r="L417" s="89">
        <v>-4</v>
      </c>
      <c r="M417" s="89" t="s">
        <v>210</v>
      </c>
      <c r="N417" s="89">
        <v>-2</v>
      </c>
      <c r="O417" s="89">
        <v>3</v>
      </c>
      <c r="P417" s="89" t="s">
        <v>210</v>
      </c>
      <c r="Q417" s="89">
        <v>4</v>
      </c>
      <c r="R417" s="89" t="s">
        <v>210</v>
      </c>
      <c r="S417" s="89">
        <v>3</v>
      </c>
      <c r="T417" s="89">
        <v>-1</v>
      </c>
      <c r="U417" s="89" t="s">
        <v>210</v>
      </c>
      <c r="V417" s="89">
        <v>-4</v>
      </c>
      <c r="BA417" s="95"/>
    </row>
    <row r="418" spans="1:53" s="87" customFormat="1">
      <c r="A418" s="90" t="str">
        <f t="shared" si="31"/>
        <v/>
      </c>
      <c r="B418" s="87" t="s">
        <v>298</v>
      </c>
      <c r="BA418" s="95"/>
    </row>
    <row r="419" spans="1:53" s="87" customFormat="1">
      <c r="A419" s="90">
        <f t="shared" si="31"/>
        <v>419</v>
      </c>
      <c r="B419" s="319" t="s">
        <v>1243</v>
      </c>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BA419" s="95"/>
    </row>
    <row r="420" spans="1:53" s="87" customFormat="1">
      <c r="A420" s="90" t="str">
        <f t="shared" si="31"/>
        <v/>
      </c>
      <c r="B420" s="89">
        <v>1</v>
      </c>
      <c r="C420" s="89">
        <v>-4</v>
      </c>
      <c r="D420" s="89" t="s">
        <v>210</v>
      </c>
      <c r="E420" s="89">
        <v>1</v>
      </c>
      <c r="F420" s="89" t="s">
        <v>210</v>
      </c>
      <c r="G420" s="89">
        <v>-3</v>
      </c>
      <c r="H420" s="89" t="s">
        <v>210</v>
      </c>
      <c r="I420" s="89" t="s">
        <v>210</v>
      </c>
      <c r="J420" s="89">
        <v>-1</v>
      </c>
      <c r="K420" s="89" t="s">
        <v>210</v>
      </c>
      <c r="L420" s="89">
        <v>2</v>
      </c>
      <c r="M420" s="89" t="s">
        <v>210</v>
      </c>
      <c r="N420" s="89">
        <v>3</v>
      </c>
      <c r="O420" s="89">
        <v>-2</v>
      </c>
      <c r="P420" s="89" t="s">
        <v>210</v>
      </c>
      <c r="Q420" s="89">
        <v>4</v>
      </c>
      <c r="R420" s="89" t="s">
        <v>210</v>
      </c>
      <c r="S420" s="89" t="s">
        <v>210</v>
      </c>
      <c r="T420" s="89">
        <v>-3</v>
      </c>
      <c r="U420" s="89" t="s">
        <v>210</v>
      </c>
      <c r="V420" s="89" t="s">
        <v>210</v>
      </c>
      <c r="W420" s="89">
        <v>1</v>
      </c>
      <c r="X420" s="89">
        <v>2</v>
      </c>
      <c r="Y420" s="89" t="s">
        <v>210</v>
      </c>
      <c r="Z420" s="87">
        <v>-4</v>
      </c>
      <c r="AA420" s="87" t="s">
        <v>210</v>
      </c>
      <c r="AB420" s="87">
        <v>3</v>
      </c>
      <c r="BA420" s="95"/>
    </row>
    <row r="421" spans="1:53" s="87" customFormat="1">
      <c r="A421" s="90" t="str">
        <f t="shared" si="31"/>
        <v/>
      </c>
      <c r="B421" s="89">
        <v>2</v>
      </c>
      <c r="C421" s="89" t="s">
        <v>210</v>
      </c>
      <c r="D421" s="89">
        <v>-3</v>
      </c>
      <c r="E421" s="89" t="s">
        <v>210</v>
      </c>
      <c r="F421" s="89">
        <v>-4</v>
      </c>
      <c r="G421" s="89">
        <v>-1</v>
      </c>
      <c r="H421" s="89" t="s">
        <v>210</v>
      </c>
      <c r="I421" s="89">
        <v>3</v>
      </c>
      <c r="J421" s="89" t="s">
        <v>210</v>
      </c>
      <c r="K421" s="89">
        <v>4</v>
      </c>
      <c r="L421" s="89" t="s">
        <v>210</v>
      </c>
      <c r="M421" s="89" t="s">
        <v>210</v>
      </c>
      <c r="N421" s="89">
        <v>2</v>
      </c>
      <c r="O421" s="89" t="s">
        <v>210</v>
      </c>
      <c r="P421" s="89">
        <v>-1</v>
      </c>
      <c r="Q421" s="89" t="s">
        <v>210</v>
      </c>
      <c r="R421" s="89">
        <v>4</v>
      </c>
      <c r="S421" s="89">
        <v>3</v>
      </c>
      <c r="T421" s="89" t="s">
        <v>210</v>
      </c>
      <c r="U421" s="89">
        <v>1</v>
      </c>
      <c r="V421" s="89" t="s">
        <v>210</v>
      </c>
      <c r="W421" s="89" t="s">
        <v>210</v>
      </c>
      <c r="X421" s="89">
        <v>-4</v>
      </c>
      <c r="Y421" s="89" t="s">
        <v>210</v>
      </c>
      <c r="Z421" s="87" t="s">
        <v>210</v>
      </c>
      <c r="AA421" s="87">
        <v>-2</v>
      </c>
      <c r="AB421" s="87">
        <v>-3</v>
      </c>
      <c r="BA421" s="95"/>
    </row>
    <row r="422" spans="1:53" s="87" customFormat="1">
      <c r="A422" s="90" t="str">
        <f t="shared" si="31"/>
        <v/>
      </c>
      <c r="B422" s="89">
        <v>3</v>
      </c>
      <c r="C422" s="89" t="s">
        <v>210</v>
      </c>
      <c r="D422" s="89">
        <v>-1</v>
      </c>
      <c r="E422" s="89" t="s">
        <v>210</v>
      </c>
      <c r="F422" s="89">
        <v>-3</v>
      </c>
      <c r="G422" s="89" t="s">
        <v>210</v>
      </c>
      <c r="H422" s="89">
        <v>1</v>
      </c>
      <c r="I422" s="89" t="s">
        <v>210</v>
      </c>
      <c r="J422" s="89">
        <v>2</v>
      </c>
      <c r="K422" s="89">
        <v>3</v>
      </c>
      <c r="L422" s="89" t="s">
        <v>210</v>
      </c>
      <c r="M422" s="89">
        <v>-4</v>
      </c>
      <c r="N422" s="89" t="s">
        <v>210</v>
      </c>
      <c r="O422" s="89" t="s">
        <v>210</v>
      </c>
      <c r="P422" s="89">
        <v>-3</v>
      </c>
      <c r="Q422" s="89" t="s">
        <v>210</v>
      </c>
      <c r="R422" s="89" t="s">
        <v>210</v>
      </c>
      <c r="S422" s="89">
        <v>-2</v>
      </c>
      <c r="T422" s="89">
        <v>-4</v>
      </c>
      <c r="U422" s="89" t="s">
        <v>210</v>
      </c>
      <c r="V422" s="89">
        <v>1</v>
      </c>
      <c r="W422" s="89" t="s">
        <v>210</v>
      </c>
      <c r="X422" s="89">
        <v>3</v>
      </c>
      <c r="Y422" s="89" t="s">
        <v>210</v>
      </c>
      <c r="Z422" s="87">
        <v>4</v>
      </c>
      <c r="AA422" s="87">
        <v>2</v>
      </c>
      <c r="AB422" s="87" t="s">
        <v>210</v>
      </c>
      <c r="BA422" s="95"/>
    </row>
    <row r="423" spans="1:53" s="87" customFormat="1">
      <c r="A423" s="90" t="str">
        <f t="shared" si="31"/>
        <v/>
      </c>
      <c r="B423" s="89">
        <v>4</v>
      </c>
      <c r="C423" s="89">
        <v>2</v>
      </c>
      <c r="D423" s="89" t="s">
        <v>210</v>
      </c>
      <c r="E423" s="89">
        <v>3</v>
      </c>
      <c r="F423" s="89" t="s">
        <v>210</v>
      </c>
      <c r="G423" s="89">
        <v>1</v>
      </c>
      <c r="H423" s="89" t="s">
        <v>210</v>
      </c>
      <c r="I423" s="89" t="s">
        <v>210</v>
      </c>
      <c r="J423" s="89">
        <v>-4</v>
      </c>
      <c r="K423" s="89" t="s">
        <v>210</v>
      </c>
      <c r="L423" s="89">
        <v>-2</v>
      </c>
      <c r="M423" s="89" t="s">
        <v>210</v>
      </c>
      <c r="N423" s="89">
        <v>-1</v>
      </c>
      <c r="O423" s="89">
        <v>4</v>
      </c>
      <c r="P423" s="89" t="s">
        <v>210</v>
      </c>
      <c r="Q423" s="89">
        <v>3</v>
      </c>
      <c r="R423" s="89" t="s">
        <v>210</v>
      </c>
      <c r="S423" s="89" t="s">
        <v>210</v>
      </c>
      <c r="T423" s="89">
        <v>-2</v>
      </c>
      <c r="U423" s="89" t="s">
        <v>210</v>
      </c>
      <c r="V423" s="89" t="s">
        <v>210</v>
      </c>
      <c r="W423" s="89">
        <v>4</v>
      </c>
      <c r="X423" s="89">
        <v>-3</v>
      </c>
      <c r="Y423" s="89" t="s">
        <v>210</v>
      </c>
      <c r="Z423" s="87">
        <v>-1</v>
      </c>
      <c r="AA423" s="87" t="s">
        <v>210</v>
      </c>
      <c r="AB423" s="87">
        <v>2</v>
      </c>
      <c r="BA423" s="95"/>
    </row>
    <row r="424" spans="1:53" s="87" customFormat="1">
      <c r="A424" s="90" t="str">
        <f t="shared" si="31"/>
        <v/>
      </c>
      <c r="B424" s="89">
        <v>5</v>
      </c>
      <c r="C424" s="89" t="s">
        <v>210</v>
      </c>
      <c r="D424" s="89">
        <v>3</v>
      </c>
      <c r="E424" s="89" t="s">
        <v>210</v>
      </c>
      <c r="F424" s="89">
        <v>2</v>
      </c>
      <c r="G424" s="89">
        <v>4</v>
      </c>
      <c r="H424" s="89" t="s">
        <v>210</v>
      </c>
      <c r="I424" s="89">
        <v>1</v>
      </c>
      <c r="J424" s="89" t="s">
        <v>210</v>
      </c>
      <c r="K424" s="89">
        <v>-2</v>
      </c>
      <c r="L424" s="89" t="s">
        <v>210</v>
      </c>
      <c r="M424" s="89" t="s">
        <v>210</v>
      </c>
      <c r="N424" s="89">
        <v>-3</v>
      </c>
      <c r="O424" s="89" t="s">
        <v>210</v>
      </c>
      <c r="P424" s="89">
        <v>-4</v>
      </c>
      <c r="Q424" s="89" t="s">
        <v>210</v>
      </c>
      <c r="R424" s="89">
        <v>1</v>
      </c>
      <c r="S424" s="89">
        <v>2</v>
      </c>
      <c r="T424" s="89" t="s">
        <v>210</v>
      </c>
      <c r="U424" s="89">
        <v>4</v>
      </c>
      <c r="V424" s="89" t="s">
        <v>210</v>
      </c>
      <c r="W424" s="89" t="s">
        <v>210</v>
      </c>
      <c r="X424" s="89">
        <v>-1</v>
      </c>
      <c r="Y424" s="89" t="s">
        <v>210</v>
      </c>
      <c r="Z424" s="87" t="s">
        <v>210</v>
      </c>
      <c r="AA424" s="87">
        <v>-3</v>
      </c>
      <c r="AB424" s="87">
        <v>-2</v>
      </c>
      <c r="BA424" s="95"/>
    </row>
    <row r="425" spans="1:53" s="87" customFormat="1">
      <c r="A425" s="90" t="str">
        <f t="shared" si="31"/>
        <v/>
      </c>
      <c r="B425" s="89">
        <v>6</v>
      </c>
      <c r="C425" s="89" t="s">
        <v>210</v>
      </c>
      <c r="D425" s="89">
        <v>-2</v>
      </c>
      <c r="E425" s="89" t="s">
        <v>210</v>
      </c>
      <c r="F425" s="89">
        <v>-1</v>
      </c>
      <c r="G425" s="89" t="s">
        <v>210</v>
      </c>
      <c r="H425" s="89">
        <v>-4</v>
      </c>
      <c r="I425" s="89" t="s">
        <v>210</v>
      </c>
      <c r="J425" s="89">
        <v>3</v>
      </c>
      <c r="K425" s="89">
        <v>1</v>
      </c>
      <c r="L425" s="89" t="s">
        <v>210</v>
      </c>
      <c r="M425" s="89">
        <v>4</v>
      </c>
      <c r="N425" s="89" t="s">
        <v>210</v>
      </c>
      <c r="O425" s="89" t="s">
        <v>210</v>
      </c>
      <c r="P425" s="89">
        <v>2</v>
      </c>
      <c r="Q425" s="89" t="s">
        <v>210</v>
      </c>
      <c r="R425" s="89" t="s">
        <v>210</v>
      </c>
      <c r="S425" s="89">
        <v>-3</v>
      </c>
      <c r="T425" s="89">
        <v>-1</v>
      </c>
      <c r="U425" s="89" t="s">
        <v>210</v>
      </c>
      <c r="V425" s="89">
        <v>4</v>
      </c>
      <c r="W425" s="89" t="s">
        <v>210</v>
      </c>
      <c r="X425" s="89">
        <v>-2</v>
      </c>
      <c r="Y425" s="89" t="s">
        <v>210</v>
      </c>
      <c r="Z425" s="87">
        <v>1</v>
      </c>
      <c r="AA425" s="87">
        <v>3</v>
      </c>
      <c r="AB425" s="87" t="s">
        <v>210</v>
      </c>
      <c r="BA425" s="95"/>
    </row>
    <row r="426" spans="1:53" s="87" customFormat="1">
      <c r="A426" s="90" t="str">
        <f t="shared" si="31"/>
        <v/>
      </c>
      <c r="B426" s="89">
        <v>7</v>
      </c>
      <c r="C426" s="89" t="s">
        <v>210</v>
      </c>
      <c r="D426" s="89">
        <v>-4</v>
      </c>
      <c r="E426" s="89" t="s">
        <v>210</v>
      </c>
      <c r="F426" s="89">
        <v>-2</v>
      </c>
      <c r="G426" s="89" t="s">
        <v>210</v>
      </c>
      <c r="H426" s="89">
        <v>3</v>
      </c>
      <c r="I426" s="89" t="s">
        <v>210</v>
      </c>
      <c r="J426" s="89">
        <v>4</v>
      </c>
      <c r="K426" s="89">
        <v>-1</v>
      </c>
      <c r="L426" s="89" t="s">
        <v>210</v>
      </c>
      <c r="M426" s="89">
        <v>2</v>
      </c>
      <c r="N426" s="89" t="s">
        <v>210</v>
      </c>
      <c r="O426" s="89">
        <v>1</v>
      </c>
      <c r="P426" s="89" t="s">
        <v>210</v>
      </c>
      <c r="Q426" s="89" t="s">
        <v>210</v>
      </c>
      <c r="R426" s="89">
        <v>-4</v>
      </c>
      <c r="S426" s="89" t="s">
        <v>210</v>
      </c>
      <c r="T426" s="89">
        <v>3</v>
      </c>
      <c r="U426" s="89" t="s">
        <v>210</v>
      </c>
      <c r="V426" s="89">
        <v>-1</v>
      </c>
      <c r="W426" s="89">
        <v>-2</v>
      </c>
      <c r="X426" s="89" t="s">
        <v>210</v>
      </c>
      <c r="Y426" s="89">
        <v>-3</v>
      </c>
      <c r="Z426" s="87" t="s">
        <v>210</v>
      </c>
      <c r="AA426" s="87" t="s">
        <v>210</v>
      </c>
      <c r="AB426" s="87">
        <v>4</v>
      </c>
      <c r="BA426" s="95"/>
    </row>
    <row r="427" spans="1:53" s="87" customFormat="1">
      <c r="A427" s="90" t="str">
        <f t="shared" si="31"/>
        <v/>
      </c>
      <c r="B427" s="89">
        <v>8</v>
      </c>
      <c r="C427" s="89">
        <v>-2</v>
      </c>
      <c r="D427" s="89" t="s">
        <v>210</v>
      </c>
      <c r="E427" s="89">
        <v>-1</v>
      </c>
      <c r="F427" s="89" t="s">
        <v>210</v>
      </c>
      <c r="G427" s="89" t="s">
        <v>210</v>
      </c>
      <c r="H427" s="89">
        <v>4</v>
      </c>
      <c r="I427" s="89" t="s">
        <v>210</v>
      </c>
      <c r="J427" s="89" t="s">
        <v>210</v>
      </c>
      <c r="K427" s="89">
        <v>2</v>
      </c>
      <c r="L427" s="89">
        <v>1</v>
      </c>
      <c r="M427" s="89" t="s">
        <v>210</v>
      </c>
      <c r="N427" s="89">
        <v>-4</v>
      </c>
      <c r="O427" s="89" t="s">
        <v>210</v>
      </c>
      <c r="P427" s="89">
        <v>3</v>
      </c>
      <c r="Q427" s="89" t="s">
        <v>210</v>
      </c>
      <c r="R427" s="89">
        <v>2</v>
      </c>
      <c r="S427" s="89">
        <v>4</v>
      </c>
      <c r="T427" s="89" t="s">
        <v>210</v>
      </c>
      <c r="U427" s="89">
        <v>-1</v>
      </c>
      <c r="V427" s="89" t="s">
        <v>210</v>
      </c>
      <c r="W427" s="89">
        <v>-3</v>
      </c>
      <c r="X427" s="89" t="s">
        <v>210</v>
      </c>
      <c r="Y427" s="89" t="s">
        <v>210</v>
      </c>
      <c r="Z427" s="87">
        <v>-2</v>
      </c>
      <c r="AA427" s="87" t="s">
        <v>210</v>
      </c>
      <c r="AB427" s="87">
        <v>-4</v>
      </c>
      <c r="BA427" s="95"/>
    </row>
    <row r="428" spans="1:53" s="87" customFormat="1">
      <c r="A428" s="90" t="str">
        <f t="shared" si="31"/>
        <v/>
      </c>
      <c r="B428" s="89">
        <v>9</v>
      </c>
      <c r="C428" s="89" t="s">
        <v>210</v>
      </c>
      <c r="D428" s="89">
        <v>2</v>
      </c>
      <c r="E428" s="89" t="s">
        <v>210</v>
      </c>
      <c r="F428" s="89" t="s">
        <v>210</v>
      </c>
      <c r="G428" s="89">
        <v>-4</v>
      </c>
      <c r="H428" s="89">
        <v>-3</v>
      </c>
      <c r="I428" s="89" t="s">
        <v>210</v>
      </c>
      <c r="J428" s="89">
        <v>-2</v>
      </c>
      <c r="K428" s="89" t="s">
        <v>210</v>
      </c>
      <c r="L428" s="89">
        <v>4</v>
      </c>
      <c r="M428" s="89" t="s">
        <v>210</v>
      </c>
      <c r="N428" s="89">
        <v>1</v>
      </c>
      <c r="O428" s="89">
        <v>3</v>
      </c>
      <c r="P428" s="89" t="s">
        <v>210</v>
      </c>
      <c r="Q428" s="89">
        <v>-4</v>
      </c>
      <c r="R428" s="89" t="s">
        <v>210</v>
      </c>
      <c r="S428" s="89">
        <v>-1</v>
      </c>
      <c r="T428" s="89" t="s">
        <v>210</v>
      </c>
      <c r="U428" s="89" t="s">
        <v>210</v>
      </c>
      <c r="V428" s="89">
        <v>-3</v>
      </c>
      <c r="W428" s="89" t="s">
        <v>210</v>
      </c>
      <c r="X428" s="89">
        <v>4</v>
      </c>
      <c r="Y428" s="89" t="s">
        <v>210</v>
      </c>
      <c r="Z428" s="87">
        <v>2</v>
      </c>
      <c r="AA428" s="87">
        <v>1</v>
      </c>
      <c r="AB428" s="87" t="s">
        <v>210</v>
      </c>
      <c r="BA428" s="95"/>
    </row>
    <row r="429" spans="1:53" s="87" customFormat="1">
      <c r="A429" s="90" t="str">
        <f t="shared" si="31"/>
        <v/>
      </c>
      <c r="B429" s="89">
        <v>10</v>
      </c>
      <c r="C429" s="89">
        <v>1</v>
      </c>
      <c r="D429" s="89" t="s">
        <v>210</v>
      </c>
      <c r="E429" s="89" t="s">
        <v>210</v>
      </c>
      <c r="F429" s="89">
        <v>3</v>
      </c>
      <c r="G429" s="89">
        <v>-2</v>
      </c>
      <c r="H429" s="89" t="s">
        <v>210</v>
      </c>
      <c r="I429" s="89">
        <v>-3</v>
      </c>
      <c r="J429" s="89" t="s">
        <v>210</v>
      </c>
      <c r="K429" s="89" t="s">
        <v>210</v>
      </c>
      <c r="L429" s="89">
        <v>-1</v>
      </c>
      <c r="M429" s="89" t="s">
        <v>210</v>
      </c>
      <c r="N429" s="89" t="s">
        <v>210</v>
      </c>
      <c r="O429" s="89">
        <v>2</v>
      </c>
      <c r="P429" s="89">
        <v>4</v>
      </c>
      <c r="Q429" s="89" t="s">
        <v>210</v>
      </c>
      <c r="R429" s="89">
        <v>-3</v>
      </c>
      <c r="S429" s="89" t="s">
        <v>210</v>
      </c>
      <c r="T429" s="89">
        <v>1</v>
      </c>
      <c r="U429" s="89" t="s">
        <v>210</v>
      </c>
      <c r="V429" s="89">
        <v>-2</v>
      </c>
      <c r="W429" s="89">
        <v>-4</v>
      </c>
      <c r="X429" s="89" t="s">
        <v>210</v>
      </c>
      <c r="Y429" s="89">
        <v>3</v>
      </c>
      <c r="Z429" s="87" t="s">
        <v>210</v>
      </c>
      <c r="AA429" s="87">
        <v>-1</v>
      </c>
      <c r="AB429" s="87" t="s">
        <v>210</v>
      </c>
      <c r="BA429" s="95"/>
    </row>
    <row r="430" spans="1:53" s="87" customFormat="1">
      <c r="A430" s="90" t="str">
        <f t="shared" si="31"/>
        <v/>
      </c>
      <c r="B430" s="89">
        <v>11</v>
      </c>
      <c r="C430" s="89">
        <v>-1</v>
      </c>
      <c r="D430" s="89" t="s">
        <v>210</v>
      </c>
      <c r="E430" s="89" t="s">
        <v>210</v>
      </c>
      <c r="F430" s="89">
        <v>4</v>
      </c>
      <c r="G430" s="89" t="s">
        <v>210</v>
      </c>
      <c r="H430" s="89">
        <v>2</v>
      </c>
      <c r="I430" s="89" t="s">
        <v>210</v>
      </c>
      <c r="J430" s="89">
        <v>1</v>
      </c>
      <c r="K430" s="89">
        <v>-3</v>
      </c>
      <c r="L430" s="89" t="s">
        <v>210</v>
      </c>
      <c r="M430" s="89">
        <v>-2</v>
      </c>
      <c r="N430" s="89" t="s">
        <v>210</v>
      </c>
      <c r="O430" s="89">
        <v>-3</v>
      </c>
      <c r="P430" s="89" t="s">
        <v>210</v>
      </c>
      <c r="Q430" s="89" t="s">
        <v>210</v>
      </c>
      <c r="R430" s="89">
        <v>-1</v>
      </c>
      <c r="S430" s="89" t="s">
        <v>210</v>
      </c>
      <c r="T430" s="89">
        <v>2</v>
      </c>
      <c r="U430" s="89" t="s">
        <v>210</v>
      </c>
      <c r="V430" s="89">
        <v>-4</v>
      </c>
      <c r="W430" s="89">
        <v>3</v>
      </c>
      <c r="X430" s="89" t="s">
        <v>210</v>
      </c>
      <c r="Y430" s="89">
        <v>-2</v>
      </c>
      <c r="Z430" s="87" t="s">
        <v>210</v>
      </c>
      <c r="AA430" s="87" t="s">
        <v>210</v>
      </c>
      <c r="AB430" s="87">
        <v>1</v>
      </c>
      <c r="BA430" s="95"/>
    </row>
    <row r="431" spans="1:53" s="87" customFormat="1">
      <c r="A431" s="90" t="str">
        <f t="shared" si="31"/>
        <v/>
      </c>
      <c r="B431" s="89">
        <v>12</v>
      </c>
      <c r="C431" s="89">
        <v>4</v>
      </c>
      <c r="D431" s="89" t="s">
        <v>210</v>
      </c>
      <c r="E431" s="89">
        <v>-3</v>
      </c>
      <c r="F431" s="89" t="s">
        <v>210</v>
      </c>
      <c r="G431" s="89" t="s">
        <v>210</v>
      </c>
      <c r="H431" s="89">
        <v>-1</v>
      </c>
      <c r="I431" s="89" t="s">
        <v>210</v>
      </c>
      <c r="J431" s="89" t="s">
        <v>210</v>
      </c>
      <c r="K431" s="89">
        <v>-4</v>
      </c>
      <c r="L431" s="89">
        <v>3</v>
      </c>
      <c r="M431" s="89" t="s">
        <v>210</v>
      </c>
      <c r="N431" s="89">
        <v>4</v>
      </c>
      <c r="O431" s="89" t="s">
        <v>210</v>
      </c>
      <c r="P431" s="89">
        <v>-2</v>
      </c>
      <c r="Q431" s="89" t="s">
        <v>210</v>
      </c>
      <c r="R431" s="89">
        <v>3</v>
      </c>
      <c r="S431" s="89">
        <v>1</v>
      </c>
      <c r="T431" s="89" t="s">
        <v>210</v>
      </c>
      <c r="U431" s="89">
        <v>-4</v>
      </c>
      <c r="V431" s="89" t="s">
        <v>210</v>
      </c>
      <c r="W431" s="89">
        <v>2</v>
      </c>
      <c r="X431" s="89" t="s">
        <v>210</v>
      </c>
      <c r="Y431" s="89" t="s">
        <v>210</v>
      </c>
      <c r="Z431" s="87">
        <v>-3</v>
      </c>
      <c r="AA431" s="87" t="s">
        <v>210</v>
      </c>
      <c r="AB431" s="87">
        <v>-1</v>
      </c>
      <c r="BA431" s="95"/>
    </row>
    <row r="432" spans="1:53" s="87" customFormat="1">
      <c r="A432" s="90" t="str">
        <f t="shared" si="31"/>
        <v/>
      </c>
      <c r="B432" s="89">
        <v>13</v>
      </c>
      <c r="C432" s="89" t="s">
        <v>210</v>
      </c>
      <c r="D432" s="89">
        <v>1</v>
      </c>
      <c r="E432" s="89" t="s">
        <v>210</v>
      </c>
      <c r="F432" s="89" t="s">
        <v>210</v>
      </c>
      <c r="G432" s="89">
        <v>3</v>
      </c>
      <c r="H432" s="89">
        <v>-2</v>
      </c>
      <c r="I432" s="89" t="s">
        <v>210</v>
      </c>
      <c r="J432" s="89">
        <v>-3</v>
      </c>
      <c r="K432" s="89" t="s">
        <v>210</v>
      </c>
      <c r="L432" s="89">
        <v>-4</v>
      </c>
      <c r="M432" s="89" t="s">
        <v>210</v>
      </c>
      <c r="N432" s="89">
        <v>-2</v>
      </c>
      <c r="O432" s="89">
        <v>-1</v>
      </c>
      <c r="P432" s="89" t="s">
        <v>210</v>
      </c>
      <c r="Q432" s="89">
        <v>-3</v>
      </c>
      <c r="R432" s="89" t="s">
        <v>210</v>
      </c>
      <c r="S432" s="89">
        <v>-4</v>
      </c>
      <c r="T432" s="89" t="s">
        <v>210</v>
      </c>
      <c r="U432" s="89" t="s">
        <v>210</v>
      </c>
      <c r="V432" s="89">
        <v>2</v>
      </c>
      <c r="W432" s="89" t="s">
        <v>210</v>
      </c>
      <c r="X432" s="89">
        <v>1</v>
      </c>
      <c r="Y432" s="89" t="s">
        <v>210</v>
      </c>
      <c r="Z432" s="87">
        <v>3</v>
      </c>
      <c r="AA432" s="87">
        <v>4</v>
      </c>
      <c r="AB432" s="87" t="s">
        <v>210</v>
      </c>
      <c r="BA432" s="95"/>
    </row>
    <row r="433" spans="1:53" s="87" customFormat="1">
      <c r="A433" s="90" t="str">
        <f t="shared" si="31"/>
        <v/>
      </c>
      <c r="B433" s="89">
        <v>14</v>
      </c>
      <c r="C433" s="89" t="s">
        <v>210</v>
      </c>
      <c r="D433" s="89">
        <v>4</v>
      </c>
      <c r="E433" s="89" t="s">
        <v>210</v>
      </c>
      <c r="F433" s="89">
        <v>1</v>
      </c>
      <c r="G433" s="89">
        <v>2</v>
      </c>
      <c r="H433" s="89" t="s">
        <v>210</v>
      </c>
      <c r="I433" s="89">
        <v>-1</v>
      </c>
      <c r="J433" s="89" t="s">
        <v>210</v>
      </c>
      <c r="K433" s="89" t="s">
        <v>210</v>
      </c>
      <c r="L433" s="89">
        <v>-3</v>
      </c>
      <c r="M433" s="89" t="s">
        <v>210</v>
      </c>
      <c r="N433" s="89" t="s">
        <v>210</v>
      </c>
      <c r="O433" s="89">
        <v>-4</v>
      </c>
      <c r="P433" s="89">
        <v>1</v>
      </c>
      <c r="Q433" s="89" t="s">
        <v>210</v>
      </c>
      <c r="R433" s="89">
        <v>-2</v>
      </c>
      <c r="S433" s="89" t="s">
        <v>210</v>
      </c>
      <c r="T433" s="89">
        <v>4</v>
      </c>
      <c r="U433" s="89" t="s">
        <v>210</v>
      </c>
      <c r="V433" s="89">
        <v>3</v>
      </c>
      <c r="W433" s="89">
        <v>-1</v>
      </c>
      <c r="X433" s="89" t="s">
        <v>210</v>
      </c>
      <c r="Y433" s="89">
        <v>2</v>
      </c>
      <c r="Z433" s="87" t="s">
        <v>210</v>
      </c>
      <c r="AA433" s="87">
        <v>-4</v>
      </c>
      <c r="AB433" s="87" t="s">
        <v>210</v>
      </c>
      <c r="BA433" s="95"/>
    </row>
    <row r="434" spans="1:53" s="87" customFormat="1">
      <c r="A434" s="90" t="str">
        <f t="shared" si="31"/>
        <v/>
      </c>
      <c r="B434" s="288" t="s">
        <v>848</v>
      </c>
      <c r="C434" s="89"/>
      <c r="D434" s="89"/>
      <c r="E434" s="89"/>
      <c r="F434" s="89"/>
      <c r="G434" s="89"/>
      <c r="H434" s="89"/>
      <c r="I434" s="89"/>
      <c r="J434" s="89"/>
      <c r="K434" s="89"/>
      <c r="L434" s="89"/>
      <c r="M434" s="89"/>
      <c r="N434" s="89"/>
      <c r="O434" s="89"/>
      <c r="P434" s="89"/>
      <c r="Q434" s="89"/>
      <c r="R434" s="89"/>
      <c r="S434" s="89"/>
      <c r="T434" s="89"/>
      <c r="U434" s="89"/>
      <c r="V434" s="89"/>
      <c r="W434" s="89"/>
      <c r="X434" s="89"/>
      <c r="Y434" s="89"/>
      <c r="BA434" s="95"/>
    </row>
    <row r="435" spans="1:53" s="87" customFormat="1">
      <c r="A435" s="90">
        <f t="shared" si="31"/>
        <v>435</v>
      </c>
      <c r="B435" s="318" t="s">
        <v>1244</v>
      </c>
      <c r="BA435" s="95"/>
    </row>
    <row r="436" spans="1:53" s="87" customFormat="1">
      <c r="A436" s="90" t="str">
        <f t="shared" si="31"/>
        <v/>
      </c>
      <c r="B436" s="89">
        <v>1</v>
      </c>
      <c r="C436" s="89">
        <v>2</v>
      </c>
      <c r="D436" s="89" t="s">
        <v>210</v>
      </c>
      <c r="E436" s="89">
        <v>-3</v>
      </c>
      <c r="F436" s="89" t="s">
        <v>210</v>
      </c>
      <c r="G436" s="89">
        <v>4</v>
      </c>
      <c r="H436" s="89" t="s">
        <v>210</v>
      </c>
      <c r="I436" s="89">
        <v>-1</v>
      </c>
      <c r="J436" s="89" t="s">
        <v>210</v>
      </c>
      <c r="K436" s="89">
        <v>-2</v>
      </c>
      <c r="L436" s="89" t="s">
        <v>210</v>
      </c>
      <c r="M436" s="89">
        <v>3</v>
      </c>
      <c r="BA436" s="95"/>
    </row>
    <row r="437" spans="1:53" s="87" customFormat="1">
      <c r="A437" s="90" t="str">
        <f t="shared" si="31"/>
        <v/>
      </c>
      <c r="B437" s="89">
        <v>2</v>
      </c>
      <c r="C437" s="89" t="s">
        <v>210</v>
      </c>
      <c r="D437" s="89">
        <v>1</v>
      </c>
      <c r="E437" s="89" t="s">
        <v>210</v>
      </c>
      <c r="F437" s="89" t="s">
        <v>210</v>
      </c>
      <c r="G437" s="89">
        <v>2</v>
      </c>
      <c r="H437" s="89">
        <v>3</v>
      </c>
      <c r="I437" s="89" t="s">
        <v>210</v>
      </c>
      <c r="J437" s="89">
        <v>-1</v>
      </c>
      <c r="K437" s="89">
        <v>-4</v>
      </c>
      <c r="L437" s="89" t="s">
        <v>210</v>
      </c>
      <c r="M437" s="89">
        <v>-3</v>
      </c>
      <c r="BA437" s="95"/>
    </row>
    <row r="438" spans="1:53" s="87" customFormat="1">
      <c r="A438" s="90" t="str">
        <f t="shared" si="31"/>
        <v/>
      </c>
      <c r="B438" s="89">
        <v>3</v>
      </c>
      <c r="C438" s="89">
        <v>-1</v>
      </c>
      <c r="D438" s="89" t="s">
        <v>210</v>
      </c>
      <c r="E438" s="89" t="s">
        <v>210</v>
      </c>
      <c r="F438" s="89">
        <v>3</v>
      </c>
      <c r="G438" s="89">
        <v>-4</v>
      </c>
      <c r="H438" s="89" t="s">
        <v>210</v>
      </c>
      <c r="I438" s="89">
        <v>-2</v>
      </c>
      <c r="J438" s="89" t="s">
        <v>210</v>
      </c>
      <c r="K438" s="89">
        <v>4</v>
      </c>
      <c r="L438" s="89" t="s">
        <v>210</v>
      </c>
      <c r="M438" s="89">
        <v>1</v>
      </c>
      <c r="BA438" s="95"/>
    </row>
    <row r="439" spans="1:53" s="87" customFormat="1">
      <c r="A439" s="90" t="str">
        <f t="shared" si="31"/>
        <v/>
      </c>
      <c r="B439" s="89">
        <v>4</v>
      </c>
      <c r="C439" s="89" t="s">
        <v>210</v>
      </c>
      <c r="D439" s="89">
        <v>2</v>
      </c>
      <c r="E439" s="89" t="s">
        <v>210</v>
      </c>
      <c r="F439" s="89">
        <v>4</v>
      </c>
      <c r="G439" s="89" t="s">
        <v>210</v>
      </c>
      <c r="H439" s="89">
        <v>-3</v>
      </c>
      <c r="I439" s="89">
        <v>1</v>
      </c>
      <c r="J439" s="89" t="s">
        <v>210</v>
      </c>
      <c r="K439" s="89" t="s">
        <v>210</v>
      </c>
      <c r="L439" s="89">
        <v>-2</v>
      </c>
      <c r="M439" s="89">
        <v>-1</v>
      </c>
      <c r="BA439" s="95"/>
    </row>
    <row r="440" spans="1:53" s="87" customFormat="1">
      <c r="A440" s="90" t="str">
        <f t="shared" si="31"/>
        <v/>
      </c>
      <c r="B440" s="89">
        <v>5</v>
      </c>
      <c r="C440" s="89">
        <v>1</v>
      </c>
      <c r="D440" s="89" t="s">
        <v>210</v>
      </c>
      <c r="E440" s="89">
        <v>3</v>
      </c>
      <c r="F440" s="89" t="s">
        <v>210</v>
      </c>
      <c r="G440" s="89">
        <v>-2</v>
      </c>
      <c r="H440" s="89">
        <v>-4</v>
      </c>
      <c r="I440" s="89" t="s">
        <v>210</v>
      </c>
      <c r="J440" s="89">
        <v>-3</v>
      </c>
      <c r="K440" s="89" t="s">
        <v>210</v>
      </c>
      <c r="L440" s="89">
        <v>2</v>
      </c>
      <c r="M440" s="89" t="s">
        <v>210</v>
      </c>
      <c r="BA440" s="95"/>
    </row>
    <row r="441" spans="1:53" s="87" customFormat="1">
      <c r="A441" s="90" t="str">
        <f t="shared" si="31"/>
        <v/>
      </c>
      <c r="B441" s="89">
        <v>6</v>
      </c>
      <c r="C441" s="89" t="s">
        <v>210</v>
      </c>
      <c r="D441" s="89">
        <v>-2</v>
      </c>
      <c r="E441" s="89" t="s">
        <v>210</v>
      </c>
      <c r="F441" s="89">
        <v>-3</v>
      </c>
      <c r="G441" s="89" t="s">
        <v>210</v>
      </c>
      <c r="H441" s="89">
        <v>4</v>
      </c>
      <c r="I441" s="89" t="s">
        <v>210</v>
      </c>
      <c r="J441" s="89">
        <v>1</v>
      </c>
      <c r="K441" s="89">
        <v>2</v>
      </c>
      <c r="L441" s="89">
        <v>-4</v>
      </c>
      <c r="M441" s="89" t="s">
        <v>210</v>
      </c>
      <c r="BA441" s="95"/>
    </row>
    <row r="442" spans="1:53" s="87" customFormat="1">
      <c r="A442" s="90" t="str">
        <f t="shared" si="31"/>
        <v/>
      </c>
      <c r="B442" s="99">
        <v>7</v>
      </c>
      <c r="C442" s="92">
        <v>-2</v>
      </c>
      <c r="D442" s="92">
        <v>-1</v>
      </c>
      <c r="E442" s="92" t="s">
        <v>210</v>
      </c>
      <c r="F442" s="92">
        <v>-4</v>
      </c>
      <c r="G442" s="92" t="s">
        <v>210</v>
      </c>
      <c r="H442" s="92" t="s">
        <v>210</v>
      </c>
      <c r="I442" s="92">
        <v>2</v>
      </c>
      <c r="J442" s="92">
        <v>3</v>
      </c>
      <c r="K442" s="92" t="s">
        <v>210</v>
      </c>
      <c r="L442" s="92">
        <v>4</v>
      </c>
      <c r="M442" s="92" t="s">
        <v>210</v>
      </c>
      <c r="BA442" s="95"/>
    </row>
    <row r="443" spans="1:53" s="87" customFormat="1">
      <c r="A443" s="90" t="str">
        <f t="shared" si="31"/>
        <v/>
      </c>
      <c r="B443" s="89">
        <v>8</v>
      </c>
      <c r="C443" s="89">
        <v>3</v>
      </c>
      <c r="D443" s="89" t="s">
        <v>210</v>
      </c>
      <c r="E443" s="89">
        <v>-2</v>
      </c>
      <c r="F443" s="89" t="s">
        <v>210</v>
      </c>
      <c r="G443" s="89">
        <v>1</v>
      </c>
      <c r="H443" s="89" t="s">
        <v>210</v>
      </c>
      <c r="I443" s="89">
        <v>-4</v>
      </c>
      <c r="J443" s="89" t="s">
        <v>210</v>
      </c>
      <c r="K443" s="89">
        <v>-3</v>
      </c>
      <c r="L443" s="89" t="s">
        <v>210</v>
      </c>
      <c r="M443" s="89">
        <v>2</v>
      </c>
      <c r="BA443" s="95"/>
    </row>
    <row r="444" spans="1:53" s="87" customFormat="1">
      <c r="A444" s="90" t="str">
        <f t="shared" si="31"/>
        <v/>
      </c>
      <c r="B444" s="89">
        <v>9</v>
      </c>
      <c r="C444" s="89" t="s">
        <v>210</v>
      </c>
      <c r="D444" s="89">
        <v>4</v>
      </c>
      <c r="E444" s="89" t="s">
        <v>210</v>
      </c>
      <c r="F444" s="89" t="s">
        <v>210</v>
      </c>
      <c r="G444" s="89">
        <v>3</v>
      </c>
      <c r="H444" s="89">
        <v>2</v>
      </c>
      <c r="I444" s="89" t="s">
        <v>210</v>
      </c>
      <c r="J444" s="89">
        <v>-4</v>
      </c>
      <c r="K444" s="89">
        <v>-1</v>
      </c>
      <c r="L444" s="89" t="s">
        <v>210</v>
      </c>
      <c r="M444" s="89">
        <v>-2</v>
      </c>
      <c r="BA444" s="95"/>
    </row>
    <row r="445" spans="1:53" s="87" customFormat="1">
      <c r="A445" s="90" t="str">
        <f t="shared" si="31"/>
        <v/>
      </c>
      <c r="B445" s="89">
        <v>10</v>
      </c>
      <c r="C445" s="89">
        <v>-4</v>
      </c>
      <c r="D445" s="89" t="s">
        <v>210</v>
      </c>
      <c r="E445" s="89" t="s">
        <v>210</v>
      </c>
      <c r="F445" s="89">
        <v>2</v>
      </c>
      <c r="G445" s="89">
        <v>-1</v>
      </c>
      <c r="H445" s="89" t="s">
        <v>210</v>
      </c>
      <c r="I445" s="89">
        <v>-3</v>
      </c>
      <c r="J445" s="89" t="s">
        <v>210</v>
      </c>
      <c r="K445" s="89">
        <v>1</v>
      </c>
      <c r="L445" s="89" t="s">
        <v>210</v>
      </c>
      <c r="M445" s="89">
        <v>4</v>
      </c>
      <c r="BA445" s="95"/>
    </row>
    <row r="446" spans="1:53" s="87" customFormat="1">
      <c r="A446" s="90" t="str">
        <f t="shared" si="31"/>
        <v/>
      </c>
      <c r="B446" s="89">
        <v>11</v>
      </c>
      <c r="C446" s="89" t="s">
        <v>210</v>
      </c>
      <c r="D446" s="89">
        <v>3</v>
      </c>
      <c r="E446" s="89" t="s">
        <v>210</v>
      </c>
      <c r="F446" s="89">
        <v>1</v>
      </c>
      <c r="G446" s="89" t="s">
        <v>210</v>
      </c>
      <c r="H446" s="89">
        <v>-2</v>
      </c>
      <c r="I446" s="89">
        <v>4</v>
      </c>
      <c r="J446" s="89" t="s">
        <v>210</v>
      </c>
      <c r="K446" s="89" t="s">
        <v>210</v>
      </c>
      <c r="L446" s="89">
        <v>-3</v>
      </c>
      <c r="M446" s="89">
        <v>-4</v>
      </c>
      <c r="BA446" s="95"/>
    </row>
    <row r="447" spans="1:53" s="87" customFormat="1">
      <c r="A447" s="90" t="str">
        <f t="shared" si="31"/>
        <v/>
      </c>
      <c r="B447" s="89">
        <v>12</v>
      </c>
      <c r="C447" s="89">
        <v>4</v>
      </c>
      <c r="D447" s="89" t="s">
        <v>210</v>
      </c>
      <c r="E447" s="89">
        <v>2</v>
      </c>
      <c r="F447" s="89" t="s">
        <v>210</v>
      </c>
      <c r="G447" s="89">
        <v>-3</v>
      </c>
      <c r="H447" s="89">
        <v>-1</v>
      </c>
      <c r="I447" s="89" t="s">
        <v>210</v>
      </c>
      <c r="J447" s="89">
        <v>-2</v>
      </c>
      <c r="K447" s="89" t="s">
        <v>210</v>
      </c>
      <c r="L447" s="89">
        <v>3</v>
      </c>
      <c r="M447" s="89" t="s">
        <v>210</v>
      </c>
      <c r="BA447" s="95"/>
    </row>
    <row r="448" spans="1:53" s="87" customFormat="1">
      <c r="A448" s="90" t="str">
        <f t="shared" si="31"/>
        <v/>
      </c>
      <c r="B448" s="89">
        <v>13</v>
      </c>
      <c r="C448" s="89" t="s">
        <v>210</v>
      </c>
      <c r="D448" s="89">
        <v>-3</v>
      </c>
      <c r="E448" s="89" t="s">
        <v>210</v>
      </c>
      <c r="F448" s="89">
        <v>-2</v>
      </c>
      <c r="G448" s="89" t="s">
        <v>210</v>
      </c>
      <c r="H448" s="89">
        <v>1</v>
      </c>
      <c r="I448" s="89" t="s">
        <v>210</v>
      </c>
      <c r="J448" s="89">
        <v>4</v>
      </c>
      <c r="K448" s="89">
        <v>3</v>
      </c>
      <c r="L448" s="89">
        <v>-1</v>
      </c>
      <c r="M448" s="89" t="s">
        <v>210</v>
      </c>
      <c r="BA448" s="95"/>
    </row>
    <row r="449" spans="1:53" s="87" customFormat="1">
      <c r="A449" s="90" t="str">
        <f t="shared" si="31"/>
        <v/>
      </c>
      <c r="B449" s="89">
        <v>14</v>
      </c>
      <c r="C449" s="89">
        <v>-3</v>
      </c>
      <c r="D449" s="89">
        <v>-4</v>
      </c>
      <c r="E449" s="89" t="s">
        <v>210</v>
      </c>
      <c r="F449" s="89">
        <v>-1</v>
      </c>
      <c r="G449" s="89" t="s">
        <v>210</v>
      </c>
      <c r="H449" s="89" t="s">
        <v>210</v>
      </c>
      <c r="I449" s="89">
        <v>3</v>
      </c>
      <c r="J449" s="89">
        <v>2</v>
      </c>
      <c r="K449" s="89" t="s">
        <v>210</v>
      </c>
      <c r="L449" s="89">
        <v>1</v>
      </c>
      <c r="M449" s="89" t="s">
        <v>210</v>
      </c>
      <c r="BA449" s="95"/>
    </row>
    <row r="450" spans="1:53" s="87" customFormat="1">
      <c r="A450" s="90" t="str">
        <f t="shared" si="31"/>
        <v/>
      </c>
      <c r="B450" s="87" t="s">
        <v>299</v>
      </c>
      <c r="BA450" s="95"/>
    </row>
    <row r="451" spans="1:53" s="87" customFormat="1">
      <c r="A451" s="90">
        <f t="shared" si="31"/>
        <v>451</v>
      </c>
      <c r="B451" s="318" t="s">
        <v>1253</v>
      </c>
      <c r="BA451" s="95"/>
    </row>
    <row r="452" spans="1:53" s="87" customFormat="1">
      <c r="A452" s="90" t="str">
        <f t="shared" si="31"/>
        <v/>
      </c>
      <c r="B452" s="89">
        <v>1</v>
      </c>
      <c r="C452" s="89" t="s">
        <v>210</v>
      </c>
      <c r="D452" s="89">
        <v>-3</v>
      </c>
      <c r="E452" s="89" t="s">
        <v>210</v>
      </c>
      <c r="F452" s="89">
        <v>1</v>
      </c>
      <c r="G452" s="89" t="s">
        <v>210</v>
      </c>
      <c r="H452" s="89">
        <v>2</v>
      </c>
      <c r="I452" s="89" t="s">
        <v>210</v>
      </c>
      <c r="J452" s="89" t="s">
        <v>210</v>
      </c>
      <c r="K452" s="89" t="s">
        <v>210</v>
      </c>
      <c r="L452" s="89">
        <v>4</v>
      </c>
      <c r="M452" s="89" t="s">
        <v>210</v>
      </c>
      <c r="N452" s="89">
        <v>3</v>
      </c>
      <c r="O452" s="89" t="s">
        <v>210</v>
      </c>
      <c r="P452" s="89">
        <v>-1</v>
      </c>
      <c r="Q452" s="89" t="s">
        <v>210</v>
      </c>
      <c r="R452" s="89">
        <v>-2</v>
      </c>
      <c r="S452" s="89" t="s">
        <v>210</v>
      </c>
      <c r="T452" s="89" t="s">
        <v>210</v>
      </c>
      <c r="U452" s="89" t="s">
        <v>210</v>
      </c>
      <c r="V452" s="89">
        <v>1</v>
      </c>
      <c r="W452" s="89" t="s">
        <v>210</v>
      </c>
      <c r="X452" s="89">
        <v>-3</v>
      </c>
      <c r="Y452" s="89" t="s">
        <v>210</v>
      </c>
      <c r="BA452" s="95"/>
    </row>
    <row r="453" spans="1:53" s="87" customFormat="1">
      <c r="A453" s="90" t="str">
        <f t="shared" si="31"/>
        <v/>
      </c>
      <c r="B453" s="89">
        <v>2</v>
      </c>
      <c r="C453" s="89" t="s">
        <v>210</v>
      </c>
      <c r="D453" s="89">
        <v>1</v>
      </c>
      <c r="E453" s="89" t="s">
        <v>210</v>
      </c>
      <c r="F453" s="89">
        <v>-3</v>
      </c>
      <c r="G453" s="89" t="s">
        <v>210</v>
      </c>
      <c r="H453" s="89">
        <v>-1</v>
      </c>
      <c r="I453" s="89" t="s">
        <v>210</v>
      </c>
      <c r="J453" s="89">
        <v>-4</v>
      </c>
      <c r="K453" s="89" t="s">
        <v>210</v>
      </c>
      <c r="L453" s="89" t="s">
        <v>210</v>
      </c>
      <c r="M453" s="89" t="s">
        <v>210</v>
      </c>
      <c r="N453" s="89">
        <v>2</v>
      </c>
      <c r="O453" s="89" t="s">
        <v>210</v>
      </c>
      <c r="P453" s="89">
        <v>3</v>
      </c>
      <c r="Q453" s="89" t="s">
        <v>210</v>
      </c>
      <c r="R453" s="89">
        <v>4</v>
      </c>
      <c r="S453" s="89" t="s">
        <v>210</v>
      </c>
      <c r="T453" s="89">
        <v>-1</v>
      </c>
      <c r="U453" s="89" t="s">
        <v>210</v>
      </c>
      <c r="V453" s="89" t="s">
        <v>210</v>
      </c>
      <c r="W453" s="89" t="s">
        <v>210</v>
      </c>
      <c r="X453" s="89">
        <v>3</v>
      </c>
      <c r="Y453" s="89" t="s">
        <v>210</v>
      </c>
      <c r="BA453" s="95"/>
    </row>
    <row r="454" spans="1:53" s="87" customFormat="1">
      <c r="A454" s="90" t="str">
        <f t="shared" si="31"/>
        <v/>
      </c>
      <c r="B454" s="89">
        <v>3</v>
      </c>
      <c r="C454" s="89" t="s">
        <v>210</v>
      </c>
      <c r="D454" s="89">
        <v>4</v>
      </c>
      <c r="E454" s="89" t="s">
        <v>210</v>
      </c>
      <c r="F454" s="89">
        <v>2</v>
      </c>
      <c r="G454" s="89" t="s">
        <v>210</v>
      </c>
      <c r="H454" s="89" t="s">
        <v>210</v>
      </c>
      <c r="I454" s="89" t="s">
        <v>210</v>
      </c>
      <c r="J454" s="89">
        <v>1</v>
      </c>
      <c r="K454" s="89" t="s">
        <v>210</v>
      </c>
      <c r="L454" s="89">
        <v>-4</v>
      </c>
      <c r="M454" s="89" t="s">
        <v>210</v>
      </c>
      <c r="N454" s="89">
        <v>-1</v>
      </c>
      <c r="O454" s="89" t="s">
        <v>210</v>
      </c>
      <c r="P454" s="89">
        <v>-3</v>
      </c>
      <c r="Q454" s="89" t="s">
        <v>210</v>
      </c>
      <c r="R454" s="89" t="s">
        <v>210</v>
      </c>
      <c r="S454" s="89" t="s">
        <v>210</v>
      </c>
      <c r="T454" s="89">
        <v>4</v>
      </c>
      <c r="U454" s="89" t="s">
        <v>210</v>
      </c>
      <c r="V454" s="89">
        <v>3</v>
      </c>
      <c r="W454" s="89" t="s">
        <v>210</v>
      </c>
      <c r="X454" s="89">
        <v>-2</v>
      </c>
      <c r="Y454" s="89" t="s">
        <v>210</v>
      </c>
      <c r="BA454" s="95"/>
    </row>
    <row r="455" spans="1:53" s="87" customFormat="1">
      <c r="A455" s="90" t="str">
        <f t="shared" si="31"/>
        <v/>
      </c>
      <c r="B455" s="89">
        <v>4</v>
      </c>
      <c r="C455" s="89" t="s">
        <v>210</v>
      </c>
      <c r="D455" s="89" t="s">
        <v>210</v>
      </c>
      <c r="E455" s="89">
        <v>-2</v>
      </c>
      <c r="F455" s="89" t="s">
        <v>210</v>
      </c>
      <c r="G455" s="89" t="s">
        <v>210</v>
      </c>
      <c r="H455" s="89">
        <v>4</v>
      </c>
      <c r="I455" s="89" t="s">
        <v>210</v>
      </c>
      <c r="J455" s="89">
        <v>-3</v>
      </c>
      <c r="K455" s="89" t="s">
        <v>210</v>
      </c>
      <c r="L455" s="89">
        <v>1</v>
      </c>
      <c r="M455" s="89" t="s">
        <v>210</v>
      </c>
      <c r="N455" s="89" t="s">
        <v>210</v>
      </c>
      <c r="O455" s="89" t="s">
        <v>210</v>
      </c>
      <c r="P455" s="89">
        <v>-2</v>
      </c>
      <c r="Q455" s="89" t="s">
        <v>210</v>
      </c>
      <c r="R455" s="89">
        <v>-4</v>
      </c>
      <c r="S455" s="89" t="s">
        <v>210</v>
      </c>
      <c r="T455" s="89">
        <v>3</v>
      </c>
      <c r="U455" s="89" t="s">
        <v>210</v>
      </c>
      <c r="V455" s="89">
        <v>-1</v>
      </c>
      <c r="W455" s="89" t="s">
        <v>210</v>
      </c>
      <c r="X455" s="89">
        <v>2</v>
      </c>
      <c r="Y455" s="89" t="s">
        <v>210</v>
      </c>
      <c r="BA455" s="95"/>
    </row>
    <row r="456" spans="1:53" s="87" customFormat="1">
      <c r="A456" s="90" t="str">
        <f t="shared" si="31"/>
        <v/>
      </c>
      <c r="B456" s="89">
        <v>5</v>
      </c>
      <c r="C456" s="89" t="s">
        <v>210</v>
      </c>
      <c r="D456" s="89">
        <v>3</v>
      </c>
      <c r="E456" s="89" t="s">
        <v>210</v>
      </c>
      <c r="F456" s="89">
        <v>-2</v>
      </c>
      <c r="G456" s="89" t="s">
        <v>210</v>
      </c>
      <c r="H456" s="89">
        <v>1</v>
      </c>
      <c r="I456" s="89" t="s">
        <v>210</v>
      </c>
      <c r="J456" s="89" t="s">
        <v>210</v>
      </c>
      <c r="K456" s="89" t="s">
        <v>210</v>
      </c>
      <c r="L456" s="89">
        <v>-3</v>
      </c>
      <c r="M456" s="89" t="s">
        <v>210</v>
      </c>
      <c r="N456" s="89">
        <v>4</v>
      </c>
      <c r="O456" s="89" t="s">
        <v>210</v>
      </c>
      <c r="P456" s="89">
        <v>2</v>
      </c>
      <c r="Q456" s="89" t="s">
        <v>210</v>
      </c>
      <c r="R456" s="89">
        <v>-1</v>
      </c>
      <c r="S456" s="89" t="s">
        <v>210</v>
      </c>
      <c r="T456" s="89" t="s">
        <v>210</v>
      </c>
      <c r="U456" s="89" t="s">
        <v>210</v>
      </c>
      <c r="V456" s="89">
        <v>-2</v>
      </c>
      <c r="W456" s="89" t="s">
        <v>210</v>
      </c>
      <c r="X456" s="89">
        <v>-4</v>
      </c>
      <c r="Y456" s="89" t="s">
        <v>210</v>
      </c>
      <c r="BA456" s="95"/>
    </row>
    <row r="457" spans="1:53" s="87" customFormat="1">
      <c r="A457" s="90" t="str">
        <f t="shared" si="31"/>
        <v/>
      </c>
      <c r="B457" s="89">
        <v>6</v>
      </c>
      <c r="C457" s="89" t="s">
        <v>210</v>
      </c>
      <c r="D457" s="89">
        <v>-1</v>
      </c>
      <c r="E457" s="89" t="s">
        <v>210</v>
      </c>
      <c r="F457" s="89">
        <v>-4</v>
      </c>
      <c r="G457" s="89" t="s">
        <v>210</v>
      </c>
      <c r="H457" s="89">
        <v>-2</v>
      </c>
      <c r="I457" s="89" t="s">
        <v>210</v>
      </c>
      <c r="J457" s="89">
        <v>3</v>
      </c>
      <c r="K457" s="89" t="s">
        <v>210</v>
      </c>
      <c r="L457" s="89" t="s">
        <v>210</v>
      </c>
      <c r="M457" s="89" t="s">
        <v>210</v>
      </c>
      <c r="N457" s="89">
        <v>1</v>
      </c>
      <c r="O457" s="89" t="s">
        <v>210</v>
      </c>
      <c r="P457" s="89">
        <v>-4</v>
      </c>
      <c r="Q457" s="89" t="s">
        <v>210</v>
      </c>
      <c r="R457" s="89">
        <v>-3</v>
      </c>
      <c r="S457" s="89" t="s">
        <v>210</v>
      </c>
      <c r="T457" s="89">
        <v>2</v>
      </c>
      <c r="U457" s="89" t="s">
        <v>210</v>
      </c>
      <c r="V457" s="89" t="s">
        <v>210</v>
      </c>
      <c r="W457" s="89" t="s">
        <v>210</v>
      </c>
      <c r="X457" s="89">
        <v>4</v>
      </c>
      <c r="Y457" s="89" t="s">
        <v>210</v>
      </c>
      <c r="BA457" s="95"/>
    </row>
    <row r="458" spans="1:53" s="87" customFormat="1">
      <c r="A458" s="90" t="str">
        <f t="shared" si="31"/>
        <v/>
      </c>
      <c r="B458" s="89">
        <v>7</v>
      </c>
      <c r="C458" s="89" t="s">
        <v>210</v>
      </c>
      <c r="D458" s="89">
        <v>-4</v>
      </c>
      <c r="E458" s="89" t="s">
        <v>210</v>
      </c>
      <c r="F458" s="89">
        <v>-1</v>
      </c>
      <c r="G458" s="89" t="s">
        <v>210</v>
      </c>
      <c r="H458" s="89" t="s">
        <v>210</v>
      </c>
      <c r="I458" s="89" t="s">
        <v>210</v>
      </c>
      <c r="J458" s="89">
        <v>2</v>
      </c>
      <c r="K458" s="89" t="s">
        <v>210</v>
      </c>
      <c r="L458" s="89">
        <v>3</v>
      </c>
      <c r="M458" s="89" t="s">
        <v>210</v>
      </c>
      <c r="N458" s="89">
        <v>-2</v>
      </c>
      <c r="O458" s="89" t="s">
        <v>210</v>
      </c>
      <c r="P458" s="89">
        <v>4</v>
      </c>
      <c r="Q458" s="89" t="s">
        <v>210</v>
      </c>
      <c r="R458" s="89" t="s">
        <v>210</v>
      </c>
      <c r="S458" s="89" t="s">
        <v>210</v>
      </c>
      <c r="T458" s="89">
        <v>-3</v>
      </c>
      <c r="U458" s="89" t="s">
        <v>210</v>
      </c>
      <c r="V458" s="89">
        <v>-4</v>
      </c>
      <c r="W458" s="89" t="s">
        <v>210</v>
      </c>
      <c r="X458" s="89">
        <v>1</v>
      </c>
      <c r="Y458" s="89" t="s">
        <v>210</v>
      </c>
      <c r="BA458" s="95"/>
    </row>
    <row r="459" spans="1:53" s="87" customFormat="1">
      <c r="A459" s="90" t="str">
        <f t="shared" si="31"/>
        <v/>
      </c>
      <c r="B459" s="89">
        <v>8</v>
      </c>
      <c r="C459" s="89" t="s">
        <v>210</v>
      </c>
      <c r="D459" s="89" t="s">
        <v>210</v>
      </c>
      <c r="E459" s="89">
        <v>2</v>
      </c>
      <c r="F459" s="89" t="s">
        <v>210</v>
      </c>
      <c r="G459" s="89" t="s">
        <v>210</v>
      </c>
      <c r="H459" s="89">
        <v>-3</v>
      </c>
      <c r="I459" s="89" t="s">
        <v>210</v>
      </c>
      <c r="J459" s="89">
        <v>4</v>
      </c>
      <c r="K459" s="89" t="s">
        <v>210</v>
      </c>
      <c r="L459" s="89">
        <v>-2</v>
      </c>
      <c r="M459" s="89" t="s">
        <v>210</v>
      </c>
      <c r="N459" s="89" t="s">
        <v>210</v>
      </c>
      <c r="O459" s="89" t="s">
        <v>210</v>
      </c>
      <c r="P459" s="89">
        <v>1</v>
      </c>
      <c r="Q459" s="89" t="s">
        <v>210</v>
      </c>
      <c r="R459" s="89">
        <v>3</v>
      </c>
      <c r="S459" s="89" t="s">
        <v>210</v>
      </c>
      <c r="T459" s="89">
        <v>-4</v>
      </c>
      <c r="U459" s="89" t="s">
        <v>210</v>
      </c>
      <c r="V459" s="89">
        <v>2</v>
      </c>
      <c r="W459" s="89" t="s">
        <v>210</v>
      </c>
      <c r="X459" s="89">
        <v>-1</v>
      </c>
      <c r="Y459" s="89" t="s">
        <v>210</v>
      </c>
      <c r="BA459" s="95"/>
    </row>
    <row r="460" spans="1:53" s="87" customFormat="1">
      <c r="A460" s="90" t="str">
        <f t="shared" ref="A460:A523" si="32">IF(MID(B460,3,2)="04",ROW(),"")</f>
        <v/>
      </c>
      <c r="B460" s="89">
        <v>9</v>
      </c>
      <c r="C460" s="89" t="s">
        <v>210</v>
      </c>
      <c r="D460" s="89">
        <v>2</v>
      </c>
      <c r="E460" s="89" t="s">
        <v>210</v>
      </c>
      <c r="F460" s="89">
        <v>4</v>
      </c>
      <c r="G460" s="89" t="s">
        <v>210</v>
      </c>
      <c r="H460" s="89">
        <v>3</v>
      </c>
      <c r="I460" s="89" t="s">
        <v>210</v>
      </c>
      <c r="J460" s="89">
        <v>-2</v>
      </c>
      <c r="K460" s="89" t="s">
        <v>210</v>
      </c>
      <c r="L460" s="89">
        <v>-1</v>
      </c>
      <c r="M460" s="89" t="s">
        <v>210</v>
      </c>
      <c r="N460" s="89">
        <v>-4</v>
      </c>
      <c r="O460" s="89" t="s">
        <v>210</v>
      </c>
      <c r="P460" s="89" t="s">
        <v>210</v>
      </c>
      <c r="Q460" s="89" t="s">
        <v>210</v>
      </c>
      <c r="R460" s="89">
        <v>2</v>
      </c>
      <c r="S460" s="89" t="s">
        <v>210</v>
      </c>
      <c r="T460" s="89">
        <v>1</v>
      </c>
      <c r="U460" s="89" t="s">
        <v>210</v>
      </c>
      <c r="V460" s="89">
        <v>-3</v>
      </c>
      <c r="W460" s="89" t="s">
        <v>210</v>
      </c>
      <c r="X460" s="89" t="s">
        <v>210</v>
      </c>
      <c r="Y460" s="89" t="s">
        <v>210</v>
      </c>
      <c r="BA460" s="95"/>
    </row>
    <row r="461" spans="1:53" s="87" customFormat="1">
      <c r="A461" s="90" t="str">
        <f t="shared" si="32"/>
        <v/>
      </c>
      <c r="B461" s="99">
        <v>10</v>
      </c>
      <c r="C461" s="92" t="s">
        <v>210</v>
      </c>
      <c r="D461" s="92">
        <v>-2</v>
      </c>
      <c r="E461" s="92" t="s">
        <v>210</v>
      </c>
      <c r="F461" s="92">
        <v>3</v>
      </c>
      <c r="G461" s="92" t="s">
        <v>210</v>
      </c>
      <c r="H461" s="92">
        <v>-4</v>
      </c>
      <c r="I461" s="92" t="s">
        <v>210</v>
      </c>
      <c r="J461" s="92">
        <v>-1</v>
      </c>
      <c r="K461" s="92" t="s">
        <v>210</v>
      </c>
      <c r="L461" s="92">
        <v>2</v>
      </c>
      <c r="M461" s="92" t="s">
        <v>210</v>
      </c>
      <c r="N461" s="92">
        <v>-3</v>
      </c>
      <c r="O461" s="92" t="s">
        <v>210</v>
      </c>
      <c r="P461" s="92" t="s">
        <v>210</v>
      </c>
      <c r="Q461" s="92" t="s">
        <v>210</v>
      </c>
      <c r="R461" s="92">
        <v>1</v>
      </c>
      <c r="S461" s="92" t="s">
        <v>210</v>
      </c>
      <c r="T461" s="92">
        <v>-2</v>
      </c>
      <c r="U461" s="92" t="s">
        <v>210</v>
      </c>
      <c r="V461" s="92">
        <v>4</v>
      </c>
      <c r="W461" s="92" t="s">
        <v>210</v>
      </c>
      <c r="X461" s="92" t="s">
        <v>210</v>
      </c>
      <c r="Y461" s="92" t="s">
        <v>210</v>
      </c>
      <c r="BA461" s="95"/>
    </row>
    <row r="462" spans="1:53" s="87" customFormat="1">
      <c r="A462" s="90" t="str">
        <f t="shared" si="32"/>
        <v/>
      </c>
      <c r="B462" s="89">
        <v>11</v>
      </c>
      <c r="C462" s="89">
        <v>4</v>
      </c>
      <c r="D462" s="89" t="s">
        <v>210</v>
      </c>
      <c r="E462" s="89" t="s">
        <v>210</v>
      </c>
      <c r="F462" s="89" t="s">
        <v>210</v>
      </c>
      <c r="G462" s="89">
        <v>-3</v>
      </c>
      <c r="H462" s="89" t="s">
        <v>210</v>
      </c>
      <c r="I462" s="89">
        <v>1</v>
      </c>
      <c r="J462" s="89" t="s">
        <v>210</v>
      </c>
      <c r="K462" s="89" t="s">
        <v>210</v>
      </c>
      <c r="L462" s="89" t="s">
        <v>210</v>
      </c>
      <c r="M462" s="89">
        <v>-4</v>
      </c>
      <c r="N462" s="89" t="s">
        <v>210</v>
      </c>
      <c r="O462" s="89">
        <v>3</v>
      </c>
      <c r="P462" s="89" t="s">
        <v>210</v>
      </c>
      <c r="Q462" s="89">
        <v>2</v>
      </c>
      <c r="R462" s="89" t="s">
        <v>210</v>
      </c>
      <c r="S462" s="89">
        <v>-1</v>
      </c>
      <c r="T462" s="89" t="s">
        <v>210</v>
      </c>
      <c r="U462" s="89" t="s">
        <v>210</v>
      </c>
      <c r="V462" s="89" t="s">
        <v>210</v>
      </c>
      <c r="W462" s="89">
        <v>-3</v>
      </c>
      <c r="X462" s="89" t="s">
        <v>210</v>
      </c>
      <c r="Y462" s="89">
        <v>-2</v>
      </c>
      <c r="BA462" s="95"/>
    </row>
    <row r="463" spans="1:53" s="87" customFormat="1">
      <c r="A463" s="90" t="str">
        <f t="shared" si="32"/>
        <v/>
      </c>
      <c r="B463" s="89">
        <v>12</v>
      </c>
      <c r="C463" s="89">
        <v>-1</v>
      </c>
      <c r="D463" s="89" t="s">
        <v>210</v>
      </c>
      <c r="E463" s="89" t="s">
        <v>210</v>
      </c>
      <c r="F463" s="89" t="s">
        <v>210</v>
      </c>
      <c r="G463" s="89">
        <v>-2</v>
      </c>
      <c r="H463" s="89" t="s">
        <v>210</v>
      </c>
      <c r="I463" s="89">
        <v>-3</v>
      </c>
      <c r="J463" s="89" t="s">
        <v>210</v>
      </c>
      <c r="K463" s="89">
        <v>4</v>
      </c>
      <c r="L463" s="89" t="s">
        <v>210</v>
      </c>
      <c r="M463" s="89" t="s">
        <v>210</v>
      </c>
      <c r="N463" s="89" t="s">
        <v>210</v>
      </c>
      <c r="O463" s="89">
        <v>-2</v>
      </c>
      <c r="P463" s="89" t="s">
        <v>210</v>
      </c>
      <c r="Q463" s="89">
        <v>1</v>
      </c>
      <c r="R463" s="89" t="s">
        <v>210</v>
      </c>
      <c r="S463" s="89">
        <v>-4</v>
      </c>
      <c r="T463" s="89" t="s">
        <v>210</v>
      </c>
      <c r="U463" s="89">
        <v>3</v>
      </c>
      <c r="V463" s="89" t="s">
        <v>210</v>
      </c>
      <c r="W463" s="89" t="s">
        <v>210</v>
      </c>
      <c r="X463" s="89" t="s">
        <v>210</v>
      </c>
      <c r="Y463" s="89">
        <v>2</v>
      </c>
      <c r="BA463" s="95"/>
    </row>
    <row r="464" spans="1:53" s="87" customFormat="1">
      <c r="A464" s="90" t="str">
        <f t="shared" si="32"/>
        <v/>
      </c>
      <c r="B464" s="89">
        <v>13</v>
      </c>
      <c r="C464" s="89" t="s">
        <v>210</v>
      </c>
      <c r="D464" s="89" t="s">
        <v>210</v>
      </c>
      <c r="E464" s="89">
        <v>-3</v>
      </c>
      <c r="F464" s="89" t="s">
        <v>210</v>
      </c>
      <c r="G464" s="89" t="s">
        <v>210</v>
      </c>
      <c r="H464" s="89" t="s">
        <v>210</v>
      </c>
      <c r="I464" s="89">
        <v>2</v>
      </c>
      <c r="J464" s="89" t="s">
        <v>210</v>
      </c>
      <c r="K464" s="89">
        <v>-4</v>
      </c>
      <c r="L464" s="89" t="s">
        <v>210</v>
      </c>
      <c r="M464" s="89">
        <v>1</v>
      </c>
      <c r="N464" s="89" t="s">
        <v>210</v>
      </c>
      <c r="O464" s="89">
        <v>-3</v>
      </c>
      <c r="P464" s="89" t="s">
        <v>210</v>
      </c>
      <c r="Q464" s="89" t="s">
        <v>210</v>
      </c>
      <c r="R464" s="89" t="s">
        <v>210</v>
      </c>
      <c r="S464" s="89">
        <v>-2</v>
      </c>
      <c r="T464" s="89" t="s">
        <v>210</v>
      </c>
      <c r="U464" s="89">
        <v>4</v>
      </c>
      <c r="V464" s="89" t="s">
        <v>210</v>
      </c>
      <c r="W464" s="89">
        <v>-1</v>
      </c>
      <c r="X464" s="89" t="s">
        <v>210</v>
      </c>
      <c r="Y464" s="89">
        <v>3</v>
      </c>
      <c r="BA464" s="95"/>
    </row>
    <row r="465" spans="1:53" s="87" customFormat="1">
      <c r="A465" s="90" t="str">
        <f t="shared" si="32"/>
        <v/>
      </c>
      <c r="B465" s="89">
        <v>14</v>
      </c>
      <c r="C465" s="89">
        <v>2</v>
      </c>
      <c r="D465" s="89" t="s">
        <v>210</v>
      </c>
      <c r="E465" s="89" t="s">
        <v>210</v>
      </c>
      <c r="F465" s="89" t="s">
        <v>210</v>
      </c>
      <c r="G465" s="89">
        <v>3</v>
      </c>
      <c r="H465" s="89" t="s">
        <v>210</v>
      </c>
      <c r="I465" s="89" t="s">
        <v>210</v>
      </c>
      <c r="J465" s="89" t="s">
        <v>210</v>
      </c>
      <c r="K465" s="89">
        <v>1</v>
      </c>
      <c r="L465" s="89" t="s">
        <v>210</v>
      </c>
      <c r="M465" s="89">
        <v>-2</v>
      </c>
      <c r="N465" s="89" t="s">
        <v>210</v>
      </c>
      <c r="O465" s="89">
        <v>-4</v>
      </c>
      <c r="P465" s="89" t="s">
        <v>210</v>
      </c>
      <c r="Q465" s="89">
        <v>-1</v>
      </c>
      <c r="R465" s="89" t="s">
        <v>210</v>
      </c>
      <c r="S465" s="89" t="s">
        <v>210</v>
      </c>
      <c r="T465" s="89" t="s">
        <v>210</v>
      </c>
      <c r="U465" s="89">
        <v>2</v>
      </c>
      <c r="V465" s="89" t="s">
        <v>210</v>
      </c>
      <c r="W465" s="89">
        <v>4</v>
      </c>
      <c r="X465" s="89" t="s">
        <v>210</v>
      </c>
      <c r="Y465" s="89">
        <v>-3</v>
      </c>
      <c r="BA465" s="95"/>
    </row>
    <row r="466" spans="1:53" s="87" customFormat="1">
      <c r="A466" s="90" t="str">
        <f t="shared" si="32"/>
        <v/>
      </c>
      <c r="B466" s="89">
        <v>15</v>
      </c>
      <c r="C466" s="89" t="s">
        <v>210</v>
      </c>
      <c r="D466" s="89" t="s">
        <v>210</v>
      </c>
      <c r="E466" s="89">
        <v>3</v>
      </c>
      <c r="F466" s="89" t="s">
        <v>210</v>
      </c>
      <c r="G466" s="89" t="s">
        <v>210</v>
      </c>
      <c r="H466" s="89" t="s">
        <v>210</v>
      </c>
      <c r="I466" s="89">
        <v>-4</v>
      </c>
      <c r="J466" s="89" t="s">
        <v>210</v>
      </c>
      <c r="K466" s="89">
        <v>2</v>
      </c>
      <c r="L466" s="89" t="s">
        <v>210</v>
      </c>
      <c r="M466" s="89">
        <v>-3</v>
      </c>
      <c r="N466" s="89" t="s">
        <v>210</v>
      </c>
      <c r="O466" s="89">
        <v>1</v>
      </c>
      <c r="P466" s="89" t="s">
        <v>210</v>
      </c>
      <c r="Q466" s="89" t="s">
        <v>210</v>
      </c>
      <c r="R466" s="89" t="s">
        <v>210</v>
      </c>
      <c r="S466" s="89">
        <v>4</v>
      </c>
      <c r="T466" s="89" t="s">
        <v>210</v>
      </c>
      <c r="U466" s="89">
        <v>-2</v>
      </c>
      <c r="V466" s="89" t="s">
        <v>210</v>
      </c>
      <c r="W466" s="89">
        <v>3</v>
      </c>
      <c r="X466" s="89" t="s">
        <v>210</v>
      </c>
      <c r="Y466" s="89">
        <v>-1</v>
      </c>
      <c r="BA466" s="95"/>
    </row>
    <row r="467" spans="1:53" s="87" customFormat="1">
      <c r="A467" s="90" t="str">
        <f t="shared" si="32"/>
        <v/>
      </c>
      <c r="B467" s="89">
        <v>16</v>
      </c>
      <c r="C467" s="89">
        <v>-2</v>
      </c>
      <c r="D467" s="89" t="s">
        <v>210</v>
      </c>
      <c r="E467" s="89" t="s">
        <v>210</v>
      </c>
      <c r="F467" s="89" t="s">
        <v>210</v>
      </c>
      <c r="G467" s="89">
        <v>-1</v>
      </c>
      <c r="H467" s="89" t="s">
        <v>210</v>
      </c>
      <c r="I467" s="89" t="s">
        <v>210</v>
      </c>
      <c r="J467" s="89" t="s">
        <v>210</v>
      </c>
      <c r="K467" s="89">
        <v>3</v>
      </c>
      <c r="L467" s="89" t="s">
        <v>210</v>
      </c>
      <c r="M467" s="89">
        <v>4</v>
      </c>
      <c r="N467" s="89" t="s">
        <v>210</v>
      </c>
      <c r="O467" s="89">
        <v>2</v>
      </c>
      <c r="P467" s="89" t="s">
        <v>210</v>
      </c>
      <c r="Q467" s="89">
        <v>-3</v>
      </c>
      <c r="R467" s="89" t="s">
        <v>210</v>
      </c>
      <c r="S467" s="89" t="s">
        <v>210</v>
      </c>
      <c r="T467" s="89" t="s">
        <v>210</v>
      </c>
      <c r="U467" s="89">
        <v>-4</v>
      </c>
      <c r="V467" s="89" t="s">
        <v>210</v>
      </c>
      <c r="W467" s="89">
        <v>-2</v>
      </c>
      <c r="X467" s="89" t="s">
        <v>210</v>
      </c>
      <c r="Y467" s="89">
        <v>1</v>
      </c>
      <c r="BA467" s="95"/>
    </row>
    <row r="468" spans="1:53" s="87" customFormat="1">
      <c r="A468" s="90" t="str">
        <f t="shared" si="32"/>
        <v/>
      </c>
      <c r="B468" s="89">
        <v>17</v>
      </c>
      <c r="C468" s="89">
        <v>-4</v>
      </c>
      <c r="D468" s="89" t="s">
        <v>210</v>
      </c>
      <c r="E468" s="89" t="s">
        <v>210</v>
      </c>
      <c r="F468" s="89" t="s">
        <v>210</v>
      </c>
      <c r="G468" s="89">
        <v>1</v>
      </c>
      <c r="H468" s="89" t="s">
        <v>210</v>
      </c>
      <c r="I468" s="89">
        <v>3</v>
      </c>
      <c r="J468" s="89" t="s">
        <v>210</v>
      </c>
      <c r="K468" s="89" t="s">
        <v>210</v>
      </c>
      <c r="L468" s="89" t="s">
        <v>210</v>
      </c>
      <c r="M468" s="89">
        <v>2</v>
      </c>
      <c r="N468" s="89" t="s">
        <v>210</v>
      </c>
      <c r="O468" s="89">
        <v>-1</v>
      </c>
      <c r="P468" s="89" t="s">
        <v>210</v>
      </c>
      <c r="Q468" s="89">
        <v>4</v>
      </c>
      <c r="R468" s="89" t="s">
        <v>210</v>
      </c>
      <c r="S468" s="89">
        <v>-3</v>
      </c>
      <c r="T468" s="89" t="s">
        <v>210</v>
      </c>
      <c r="U468" s="89" t="s">
        <v>210</v>
      </c>
      <c r="V468" s="89" t="s">
        <v>210</v>
      </c>
      <c r="W468" s="89">
        <v>1</v>
      </c>
      <c r="X468" s="89" t="s">
        <v>210</v>
      </c>
      <c r="Y468" s="89">
        <v>-4</v>
      </c>
      <c r="BA468" s="95"/>
    </row>
    <row r="469" spans="1:53" s="87" customFormat="1">
      <c r="A469" s="90" t="str">
        <f t="shared" si="32"/>
        <v/>
      </c>
      <c r="B469" s="89">
        <v>18</v>
      </c>
      <c r="C469" s="89">
        <v>1</v>
      </c>
      <c r="D469" s="89" t="s">
        <v>210</v>
      </c>
      <c r="E469" s="89" t="s">
        <v>210</v>
      </c>
      <c r="F469" s="89" t="s">
        <v>210</v>
      </c>
      <c r="G469" s="89">
        <v>-4</v>
      </c>
      <c r="H469" s="89" t="s">
        <v>210</v>
      </c>
      <c r="I469" s="89">
        <v>-1</v>
      </c>
      <c r="J469" s="89" t="s">
        <v>210</v>
      </c>
      <c r="K469" s="89">
        <v>-2</v>
      </c>
      <c r="L469" s="89" t="s">
        <v>210</v>
      </c>
      <c r="M469" s="89" t="s">
        <v>210</v>
      </c>
      <c r="N469" s="89" t="s">
        <v>210</v>
      </c>
      <c r="O469" s="89">
        <v>4</v>
      </c>
      <c r="P469" s="89" t="s">
        <v>210</v>
      </c>
      <c r="Q469" s="89">
        <v>3</v>
      </c>
      <c r="R469" s="89" t="s">
        <v>210</v>
      </c>
      <c r="S469" s="89">
        <v>2</v>
      </c>
      <c r="T469" s="89" t="s">
        <v>210</v>
      </c>
      <c r="U469" s="89">
        <v>-1</v>
      </c>
      <c r="V469" s="89" t="s">
        <v>210</v>
      </c>
      <c r="W469" s="89" t="s">
        <v>210</v>
      </c>
      <c r="X469" s="89" t="s">
        <v>210</v>
      </c>
      <c r="Y469" s="89">
        <v>4</v>
      </c>
      <c r="BA469" s="95"/>
    </row>
    <row r="470" spans="1:53" s="87" customFormat="1">
      <c r="A470" s="90" t="str">
        <f t="shared" si="32"/>
        <v/>
      </c>
      <c r="B470" s="89">
        <v>19</v>
      </c>
      <c r="C470" s="89">
        <v>3</v>
      </c>
      <c r="D470" s="89" t="s">
        <v>210</v>
      </c>
      <c r="E470" s="89" t="s">
        <v>210</v>
      </c>
      <c r="F470" s="89" t="s">
        <v>210</v>
      </c>
      <c r="G470" s="89">
        <v>2</v>
      </c>
      <c r="H470" s="89" t="s">
        <v>210</v>
      </c>
      <c r="I470" s="89">
        <v>4</v>
      </c>
      <c r="J470" s="89" t="s">
        <v>210</v>
      </c>
      <c r="K470" s="89">
        <v>-3</v>
      </c>
      <c r="L470" s="89" t="s">
        <v>210</v>
      </c>
      <c r="M470" s="89">
        <v>-1</v>
      </c>
      <c r="N470" s="89" t="s">
        <v>210</v>
      </c>
      <c r="O470" s="89" t="s">
        <v>210</v>
      </c>
      <c r="P470" s="89" t="s">
        <v>210</v>
      </c>
      <c r="Q470" s="89">
        <v>-2</v>
      </c>
      <c r="R470" s="89" t="s">
        <v>210</v>
      </c>
      <c r="S470" s="89">
        <v>3</v>
      </c>
      <c r="T470" s="89" t="s">
        <v>210</v>
      </c>
      <c r="U470" s="89">
        <v>1</v>
      </c>
      <c r="V470" s="89" t="s">
        <v>210</v>
      </c>
      <c r="W470" s="89">
        <v>-4</v>
      </c>
      <c r="X470" s="89" t="s">
        <v>210</v>
      </c>
      <c r="Y470" s="89" t="s">
        <v>210</v>
      </c>
      <c r="BA470" s="95"/>
    </row>
    <row r="471" spans="1:53" s="87" customFormat="1">
      <c r="A471" s="90" t="str">
        <f t="shared" si="32"/>
        <v/>
      </c>
      <c r="B471" s="89">
        <v>20</v>
      </c>
      <c r="C471" s="89">
        <v>-3</v>
      </c>
      <c r="D471" s="89" t="s">
        <v>210</v>
      </c>
      <c r="E471" s="89" t="s">
        <v>210</v>
      </c>
      <c r="F471" s="89" t="s">
        <v>210</v>
      </c>
      <c r="G471" s="89">
        <v>4</v>
      </c>
      <c r="H471" s="89" t="s">
        <v>210</v>
      </c>
      <c r="I471" s="89">
        <v>-2</v>
      </c>
      <c r="J471" s="89" t="s">
        <v>210</v>
      </c>
      <c r="K471" s="89">
        <v>-1</v>
      </c>
      <c r="L471" s="89" t="s">
        <v>210</v>
      </c>
      <c r="M471" s="89">
        <v>3</v>
      </c>
      <c r="N471" s="89" t="s">
        <v>210</v>
      </c>
      <c r="O471" s="89" t="s">
        <v>210</v>
      </c>
      <c r="P471" s="89" t="s">
        <v>210</v>
      </c>
      <c r="Q471" s="89">
        <v>-4</v>
      </c>
      <c r="R471" s="89" t="s">
        <v>210</v>
      </c>
      <c r="S471" s="89">
        <v>1</v>
      </c>
      <c r="T471" s="89" t="s">
        <v>210</v>
      </c>
      <c r="U471" s="89">
        <v>-3</v>
      </c>
      <c r="V471" s="89" t="s">
        <v>210</v>
      </c>
      <c r="W471" s="89">
        <v>2</v>
      </c>
      <c r="X471" s="89" t="s">
        <v>210</v>
      </c>
      <c r="Y471" s="89" t="s">
        <v>210</v>
      </c>
      <c r="BA471" s="95"/>
    </row>
    <row r="472" spans="1:53" s="87" customFormat="1">
      <c r="A472" s="90" t="str">
        <f t="shared" si="32"/>
        <v/>
      </c>
      <c r="B472" s="87" t="s">
        <v>300</v>
      </c>
      <c r="BA472" s="95"/>
    </row>
    <row r="473" spans="1:53" s="87" customFormat="1">
      <c r="A473" s="90">
        <f t="shared" si="32"/>
        <v>473</v>
      </c>
      <c r="B473" s="318" t="s">
        <v>1237</v>
      </c>
      <c r="BA473" s="95"/>
    </row>
    <row r="474" spans="1:53" s="87" customFormat="1">
      <c r="A474" s="90" t="str">
        <f t="shared" si="32"/>
        <v/>
      </c>
      <c r="B474" s="87">
        <v>1</v>
      </c>
      <c r="C474" s="87">
        <v>3</v>
      </c>
      <c r="D474" s="87">
        <v>-4</v>
      </c>
      <c r="E474" s="87" t="s">
        <v>210</v>
      </c>
      <c r="F474" s="87" t="s">
        <v>210</v>
      </c>
      <c r="G474" s="87">
        <v>-2</v>
      </c>
      <c r="H474" s="87">
        <v>3</v>
      </c>
      <c r="I474" s="87">
        <v>1</v>
      </c>
      <c r="J474" s="87" t="s">
        <v>210</v>
      </c>
      <c r="K474" s="87">
        <v>4</v>
      </c>
      <c r="L474" s="87">
        <v>-3</v>
      </c>
      <c r="M474" s="87">
        <v>-4</v>
      </c>
      <c r="N474" s="87" t="s">
        <v>210</v>
      </c>
      <c r="O474" s="87" t="s">
        <v>210</v>
      </c>
      <c r="P474" s="87">
        <v>-1</v>
      </c>
      <c r="Q474" s="87">
        <v>2</v>
      </c>
      <c r="BA474" s="95"/>
    </row>
    <row r="475" spans="1:53" s="87" customFormat="1">
      <c r="A475" s="90" t="str">
        <f t="shared" si="32"/>
        <v/>
      </c>
      <c r="B475" s="87">
        <v>2</v>
      </c>
      <c r="C475" s="87">
        <v>1</v>
      </c>
      <c r="D475" s="87">
        <v>-3</v>
      </c>
      <c r="E475" s="87" t="s">
        <v>210</v>
      </c>
      <c r="F475" s="87" t="s">
        <v>210</v>
      </c>
      <c r="G475" s="87">
        <v>2</v>
      </c>
      <c r="H475" s="87">
        <v>4</v>
      </c>
      <c r="I475" s="87" t="s">
        <v>210</v>
      </c>
      <c r="J475" s="87">
        <v>-1</v>
      </c>
      <c r="K475" s="87">
        <v>3</v>
      </c>
      <c r="L475" s="87">
        <v>-2</v>
      </c>
      <c r="M475" s="87" t="s">
        <v>210</v>
      </c>
      <c r="N475" s="87">
        <v>-4</v>
      </c>
      <c r="O475" s="87">
        <v>-3</v>
      </c>
      <c r="P475" s="87">
        <v>2</v>
      </c>
      <c r="Q475" s="87" t="s">
        <v>210</v>
      </c>
      <c r="BA475" s="95"/>
    </row>
    <row r="476" spans="1:53" s="87" customFormat="1">
      <c r="A476" s="90" t="str">
        <f t="shared" si="32"/>
        <v/>
      </c>
      <c r="B476" s="87">
        <v>3</v>
      </c>
      <c r="C476" s="87">
        <v>-4</v>
      </c>
      <c r="D476" s="87">
        <v>3</v>
      </c>
      <c r="E476" s="87" t="s">
        <v>210</v>
      </c>
      <c r="F476" s="87" t="s">
        <v>210</v>
      </c>
      <c r="G476" s="87">
        <v>-1</v>
      </c>
      <c r="H476" s="87">
        <v>2</v>
      </c>
      <c r="I476" s="87" t="s">
        <v>210</v>
      </c>
      <c r="J476" s="87">
        <v>4</v>
      </c>
      <c r="K476" s="87">
        <v>1</v>
      </c>
      <c r="L476" s="87">
        <v>3</v>
      </c>
      <c r="M476" s="87" t="s">
        <v>210</v>
      </c>
      <c r="N476" s="87">
        <v>-2</v>
      </c>
      <c r="O476" s="87">
        <v>-4</v>
      </c>
      <c r="P476" s="87">
        <v>-3</v>
      </c>
      <c r="Q476" s="87" t="s">
        <v>210</v>
      </c>
      <c r="BA476" s="95"/>
    </row>
    <row r="477" spans="1:53" s="87" customFormat="1">
      <c r="A477" s="90" t="str">
        <f t="shared" si="32"/>
        <v/>
      </c>
      <c r="B477" s="87">
        <v>4</v>
      </c>
      <c r="C477" s="87">
        <v>-3</v>
      </c>
      <c r="D477" s="87" t="s">
        <v>210</v>
      </c>
      <c r="E477" s="87">
        <v>1</v>
      </c>
      <c r="F477" s="87">
        <v>-2</v>
      </c>
      <c r="G477" s="87">
        <v>4</v>
      </c>
      <c r="H477" s="87" t="s">
        <v>210</v>
      </c>
      <c r="I477" s="87" t="s">
        <v>210</v>
      </c>
      <c r="J477" s="87">
        <v>-3</v>
      </c>
      <c r="K477" s="87">
        <v>-1</v>
      </c>
      <c r="L477" s="87">
        <v>2</v>
      </c>
      <c r="M477" s="87" t="s">
        <v>210</v>
      </c>
      <c r="N477" s="87">
        <v>1</v>
      </c>
      <c r="O477" s="87" t="s">
        <v>210</v>
      </c>
      <c r="P477" s="87">
        <v>-4</v>
      </c>
      <c r="Q477" s="87">
        <v>3</v>
      </c>
      <c r="BA477" s="95"/>
    </row>
    <row r="478" spans="1:53" s="87" customFormat="1">
      <c r="A478" s="90" t="str">
        <f t="shared" si="32"/>
        <v/>
      </c>
      <c r="B478" s="87">
        <v>5</v>
      </c>
      <c r="C478" s="87">
        <v>-1</v>
      </c>
      <c r="D478" s="87" t="s">
        <v>210</v>
      </c>
      <c r="E478" s="87">
        <v>-2</v>
      </c>
      <c r="F478" s="87">
        <v>-4</v>
      </c>
      <c r="G478" s="87">
        <v>1</v>
      </c>
      <c r="H478" s="87" t="s">
        <v>210</v>
      </c>
      <c r="I478" s="87" t="s">
        <v>210</v>
      </c>
      <c r="J478" s="87">
        <v>3</v>
      </c>
      <c r="K478" s="87">
        <v>-2</v>
      </c>
      <c r="L478" s="87" t="s">
        <v>210</v>
      </c>
      <c r="M478" s="87">
        <v>4</v>
      </c>
      <c r="N478" s="87">
        <v>-3</v>
      </c>
      <c r="O478" s="87">
        <v>2</v>
      </c>
      <c r="P478" s="87" t="s">
        <v>210</v>
      </c>
      <c r="Q478" s="87">
        <v>1</v>
      </c>
      <c r="BA478" s="95"/>
    </row>
    <row r="479" spans="1:53" s="87" customFormat="1">
      <c r="A479" s="90" t="str">
        <f t="shared" si="32"/>
        <v/>
      </c>
      <c r="B479" s="87">
        <v>6</v>
      </c>
      <c r="C479" s="87">
        <v>4</v>
      </c>
      <c r="D479" s="87" t="s">
        <v>210</v>
      </c>
      <c r="E479" s="87">
        <v>2</v>
      </c>
      <c r="F479" s="87">
        <v>1</v>
      </c>
      <c r="G479" s="87">
        <v>-3</v>
      </c>
      <c r="H479" s="87" t="s">
        <v>210</v>
      </c>
      <c r="I479" s="87" t="s">
        <v>210</v>
      </c>
      <c r="J479" s="87">
        <v>2</v>
      </c>
      <c r="K479" s="87">
        <v>-4</v>
      </c>
      <c r="L479" s="87" t="s">
        <v>210</v>
      </c>
      <c r="M479" s="87">
        <v>-2</v>
      </c>
      <c r="N479" s="87">
        <v>-1</v>
      </c>
      <c r="O479" s="87">
        <v>3</v>
      </c>
      <c r="P479" s="87" t="s">
        <v>210</v>
      </c>
      <c r="Q479" s="87">
        <v>-4</v>
      </c>
      <c r="BA479" s="95"/>
    </row>
    <row r="480" spans="1:53" s="87" customFormat="1">
      <c r="A480" s="90" t="str">
        <f t="shared" si="32"/>
        <v/>
      </c>
      <c r="B480" s="87">
        <v>7</v>
      </c>
      <c r="C480" s="87" t="s">
        <v>210</v>
      </c>
      <c r="D480" s="87">
        <v>-1</v>
      </c>
      <c r="E480" s="87">
        <v>4</v>
      </c>
      <c r="F480" s="87">
        <v>2</v>
      </c>
      <c r="G480" s="87" t="s">
        <v>210</v>
      </c>
      <c r="H480" s="87">
        <v>-4</v>
      </c>
      <c r="I480" s="87">
        <v>-3</v>
      </c>
      <c r="J480" s="87">
        <v>-2</v>
      </c>
      <c r="K480" s="87" t="s">
        <v>210</v>
      </c>
      <c r="L480" s="87" t="s">
        <v>210</v>
      </c>
      <c r="M480" s="87">
        <v>1</v>
      </c>
      <c r="N480" s="87">
        <v>3</v>
      </c>
      <c r="O480" s="87">
        <v>4</v>
      </c>
      <c r="P480" s="87" t="s">
        <v>210</v>
      </c>
      <c r="Q480" s="87">
        <v>-2</v>
      </c>
      <c r="BA480" s="95"/>
    </row>
    <row r="481" spans="1:53" s="87" customFormat="1">
      <c r="A481" s="90" t="str">
        <f t="shared" si="32"/>
        <v/>
      </c>
      <c r="B481" s="87">
        <v>8</v>
      </c>
      <c r="C481" s="87" t="s">
        <v>210</v>
      </c>
      <c r="D481" s="87">
        <v>-2</v>
      </c>
      <c r="E481" s="87">
        <v>-3</v>
      </c>
      <c r="F481" s="87">
        <v>4</v>
      </c>
      <c r="G481" s="87" t="s">
        <v>210</v>
      </c>
      <c r="H481" s="87">
        <v>-1</v>
      </c>
      <c r="I481" s="87">
        <v>3</v>
      </c>
      <c r="J481" s="87">
        <v>-4</v>
      </c>
      <c r="K481" s="87" t="s">
        <v>210</v>
      </c>
      <c r="L481" s="87" t="s">
        <v>210</v>
      </c>
      <c r="M481" s="87">
        <v>2</v>
      </c>
      <c r="N481" s="87">
        <v>4</v>
      </c>
      <c r="O481" s="87" t="s">
        <v>210</v>
      </c>
      <c r="P481" s="87">
        <v>1</v>
      </c>
      <c r="Q481" s="87">
        <v>-3</v>
      </c>
      <c r="BA481" s="95"/>
    </row>
    <row r="482" spans="1:53" s="87" customFormat="1">
      <c r="A482" s="90" t="str">
        <f t="shared" si="32"/>
        <v/>
      </c>
      <c r="B482" s="87">
        <v>9</v>
      </c>
      <c r="C482" s="87" t="s">
        <v>210</v>
      </c>
      <c r="D482" s="87">
        <v>2</v>
      </c>
      <c r="E482" s="87">
        <v>-4</v>
      </c>
      <c r="F482" s="87">
        <v>-1</v>
      </c>
      <c r="G482" s="87" t="s">
        <v>210</v>
      </c>
      <c r="H482" s="87">
        <v>-3</v>
      </c>
      <c r="I482" s="87">
        <v>-2</v>
      </c>
      <c r="J482" s="87">
        <v>1</v>
      </c>
      <c r="K482" s="87" t="s">
        <v>210</v>
      </c>
      <c r="L482" s="87" t="s">
        <v>210</v>
      </c>
      <c r="M482" s="87">
        <v>3</v>
      </c>
      <c r="N482" s="87">
        <v>2</v>
      </c>
      <c r="O482" s="87" t="s">
        <v>210</v>
      </c>
      <c r="P482" s="87">
        <v>4</v>
      </c>
      <c r="Q482" s="87">
        <v>-1</v>
      </c>
      <c r="BA482" s="95"/>
    </row>
    <row r="483" spans="1:53" s="87" customFormat="1">
      <c r="A483" s="90" t="str">
        <f t="shared" si="32"/>
        <v/>
      </c>
      <c r="B483" s="87">
        <v>10</v>
      </c>
      <c r="C483" s="87" t="s">
        <v>210</v>
      </c>
      <c r="D483" s="87">
        <v>1</v>
      </c>
      <c r="E483" s="87">
        <v>3</v>
      </c>
      <c r="F483" s="87" t="s">
        <v>210</v>
      </c>
      <c r="G483" s="87">
        <v>-4</v>
      </c>
      <c r="H483" s="87">
        <v>-2</v>
      </c>
      <c r="I483" s="87">
        <v>-1</v>
      </c>
      <c r="J483" s="87" t="s">
        <v>210</v>
      </c>
      <c r="K483" s="87">
        <v>2</v>
      </c>
      <c r="L483" s="87">
        <v>4</v>
      </c>
      <c r="M483" s="87">
        <v>-3</v>
      </c>
      <c r="N483" s="87" t="s">
        <v>210</v>
      </c>
      <c r="O483" s="87" t="s">
        <v>210</v>
      </c>
      <c r="P483" s="87">
        <v>-2</v>
      </c>
      <c r="Q483" s="87">
        <v>4</v>
      </c>
      <c r="BA483" s="95"/>
    </row>
    <row r="484" spans="1:53" s="87" customFormat="1">
      <c r="A484" s="90" t="str">
        <f t="shared" si="32"/>
        <v/>
      </c>
      <c r="B484" s="87">
        <v>11</v>
      </c>
      <c r="C484" s="87" t="s">
        <v>210</v>
      </c>
      <c r="D484" s="87">
        <v>4</v>
      </c>
      <c r="E484" s="87">
        <v>-1</v>
      </c>
      <c r="F484" s="87" t="s">
        <v>210</v>
      </c>
      <c r="G484" s="87">
        <v>3</v>
      </c>
      <c r="H484" s="87">
        <v>1</v>
      </c>
      <c r="I484" s="87">
        <v>2</v>
      </c>
      <c r="J484" s="87" t="s">
        <v>210</v>
      </c>
      <c r="K484" s="87">
        <v>-3</v>
      </c>
      <c r="L484" s="87">
        <v>-4</v>
      </c>
      <c r="M484" s="87">
        <v>-1</v>
      </c>
      <c r="N484" s="87" t="s">
        <v>210</v>
      </c>
      <c r="O484" s="87">
        <v>-2</v>
      </c>
      <c r="P484" s="87">
        <v>3</v>
      </c>
      <c r="Q484" s="87" t="s">
        <v>210</v>
      </c>
      <c r="BA484" s="95"/>
    </row>
    <row r="485" spans="1:53" s="87" customFormat="1">
      <c r="A485" s="90" t="str">
        <f t="shared" si="32"/>
        <v/>
      </c>
      <c r="B485" s="291" t="s">
        <v>850</v>
      </c>
      <c r="BA485" s="95"/>
    </row>
    <row r="486" spans="1:53" s="87" customFormat="1">
      <c r="A486" s="90">
        <f t="shared" si="32"/>
        <v>486</v>
      </c>
      <c r="B486" s="318" t="s">
        <v>1247</v>
      </c>
      <c r="BA486" s="95"/>
    </row>
    <row r="487" spans="1:53" s="87" customFormat="1">
      <c r="A487" s="90" t="str">
        <f t="shared" si="32"/>
        <v/>
      </c>
      <c r="B487" s="87">
        <v>1</v>
      </c>
      <c r="C487" s="87">
        <v>-2</v>
      </c>
      <c r="D487" s="87">
        <v>-4</v>
      </c>
      <c r="E487" s="87" t="s">
        <v>210</v>
      </c>
      <c r="F487" s="87">
        <v>1</v>
      </c>
      <c r="G487" s="87" t="s">
        <v>210</v>
      </c>
      <c r="H487" s="87">
        <v>2</v>
      </c>
      <c r="I487" s="87" t="s">
        <v>210</v>
      </c>
      <c r="J487" s="87" t="s">
        <v>210</v>
      </c>
      <c r="L487" s="95"/>
      <c r="BA487" s="95"/>
    </row>
    <row r="488" spans="1:53" s="87" customFormat="1">
      <c r="A488" s="90" t="str">
        <f t="shared" si="32"/>
        <v/>
      </c>
      <c r="B488" s="87">
        <v>2</v>
      </c>
      <c r="C488" s="87" t="s">
        <v>210</v>
      </c>
      <c r="D488" s="87">
        <v>4</v>
      </c>
      <c r="E488" s="87" t="s">
        <v>210</v>
      </c>
      <c r="F488" s="87">
        <v>3</v>
      </c>
      <c r="G488" s="87">
        <v>-1</v>
      </c>
      <c r="H488" s="87" t="s">
        <v>210</v>
      </c>
      <c r="I488" s="87">
        <v>-4</v>
      </c>
      <c r="J488" s="87" t="s">
        <v>210</v>
      </c>
      <c r="L488" s="95"/>
      <c r="BA488" s="95"/>
    </row>
    <row r="489" spans="1:53" s="87" customFormat="1">
      <c r="A489" s="90" t="str">
        <f t="shared" si="32"/>
        <v/>
      </c>
      <c r="B489" s="87">
        <v>3</v>
      </c>
      <c r="C489" s="87" t="s">
        <v>210</v>
      </c>
      <c r="D489" s="87">
        <v>2</v>
      </c>
      <c r="E489" s="87" t="s">
        <v>210</v>
      </c>
      <c r="F489" s="87">
        <v>-3</v>
      </c>
      <c r="G489" s="87" t="s">
        <v>210</v>
      </c>
      <c r="H489" s="87">
        <v>-2</v>
      </c>
      <c r="I489" s="87" t="s">
        <v>210</v>
      </c>
      <c r="J489" s="87">
        <v>4</v>
      </c>
      <c r="L489" s="95"/>
      <c r="BA489" s="95"/>
    </row>
    <row r="490" spans="1:53" s="87" customFormat="1">
      <c r="A490" s="90" t="str">
        <f t="shared" si="32"/>
        <v/>
      </c>
      <c r="B490" s="87">
        <v>4</v>
      </c>
      <c r="C490" s="87" t="s">
        <v>210</v>
      </c>
      <c r="D490" s="87">
        <v>-2</v>
      </c>
      <c r="E490" s="87" t="s">
        <v>210</v>
      </c>
      <c r="F490" s="87">
        <v>-1</v>
      </c>
      <c r="G490" s="87" t="s">
        <v>210</v>
      </c>
      <c r="H490" s="87">
        <v>3</v>
      </c>
      <c r="I490" s="87">
        <v>4</v>
      </c>
      <c r="J490" s="87" t="s">
        <v>210</v>
      </c>
      <c r="L490" s="95"/>
      <c r="BA490" s="95"/>
    </row>
    <row r="491" spans="1:53" s="87" customFormat="1">
      <c r="A491" s="90" t="str">
        <f t="shared" si="32"/>
        <v/>
      </c>
      <c r="B491" s="232">
        <v>5</v>
      </c>
      <c r="C491" s="233">
        <v>2</v>
      </c>
      <c r="D491" s="233" t="s">
        <v>210</v>
      </c>
      <c r="E491" s="233" t="s">
        <v>210</v>
      </c>
      <c r="F491" s="233" t="s">
        <v>210</v>
      </c>
      <c r="G491" s="233">
        <v>1</v>
      </c>
      <c r="H491" s="233">
        <v>-3</v>
      </c>
      <c r="I491" s="233" t="s">
        <v>210</v>
      </c>
      <c r="J491" s="233">
        <v>-4</v>
      </c>
      <c r="L491" s="95"/>
      <c r="BA491" s="95"/>
    </row>
    <row r="492" spans="1:53" s="87" customFormat="1">
      <c r="A492" s="90" t="str">
        <f t="shared" ref="A492:A504" si="33">IF(MID(B492,3,2)="04",ROW(),"")</f>
        <v/>
      </c>
      <c r="B492" s="87">
        <v>6</v>
      </c>
      <c r="C492" s="87">
        <v>-3</v>
      </c>
      <c r="D492" s="87">
        <v>-1</v>
      </c>
      <c r="E492" s="87" t="s">
        <v>210</v>
      </c>
      <c r="F492" s="87">
        <v>4</v>
      </c>
      <c r="G492" s="87" t="s">
        <v>210</v>
      </c>
      <c r="H492" s="87" t="s">
        <v>210</v>
      </c>
      <c r="I492" s="87" t="s">
        <v>210</v>
      </c>
      <c r="J492" s="87">
        <v>2</v>
      </c>
      <c r="L492" s="95"/>
      <c r="BA492" s="95"/>
    </row>
    <row r="493" spans="1:53" s="87" customFormat="1">
      <c r="A493" s="90" t="str">
        <f t="shared" si="33"/>
        <v/>
      </c>
      <c r="B493" s="87">
        <v>7</v>
      </c>
      <c r="C493" s="87" t="s">
        <v>210</v>
      </c>
      <c r="D493" s="87">
        <v>1</v>
      </c>
      <c r="E493" s="87">
        <v>-3</v>
      </c>
      <c r="F493" s="87" t="s">
        <v>210</v>
      </c>
      <c r="G493" s="87">
        <v>-2</v>
      </c>
      <c r="H493" s="87" t="s">
        <v>210</v>
      </c>
      <c r="I493" s="87">
        <v>3</v>
      </c>
      <c r="J493" s="87" t="s">
        <v>210</v>
      </c>
      <c r="L493" s="95"/>
      <c r="BA493" s="95"/>
    </row>
    <row r="494" spans="1:53" s="87" customFormat="1">
      <c r="A494" s="90" t="str">
        <f t="shared" si="33"/>
        <v/>
      </c>
      <c r="B494" s="87">
        <v>8</v>
      </c>
      <c r="C494" s="87">
        <v>-1</v>
      </c>
      <c r="D494" s="87" t="s">
        <v>210</v>
      </c>
      <c r="E494" s="87">
        <v>3</v>
      </c>
      <c r="F494" s="87">
        <v>-4</v>
      </c>
      <c r="G494" s="87" t="s">
        <v>210</v>
      </c>
      <c r="H494" s="87" t="s">
        <v>210</v>
      </c>
      <c r="I494" s="87" t="s">
        <v>210</v>
      </c>
      <c r="J494" s="87">
        <v>1</v>
      </c>
      <c r="L494" s="95"/>
      <c r="BA494" s="95"/>
    </row>
    <row r="495" spans="1:53" s="87" customFormat="1">
      <c r="A495" s="90" t="str">
        <f t="shared" si="33"/>
        <v/>
      </c>
      <c r="B495" s="87">
        <v>9</v>
      </c>
      <c r="C495" s="87">
        <v>1</v>
      </c>
      <c r="D495" s="87" t="s">
        <v>210</v>
      </c>
      <c r="E495" s="87">
        <v>4</v>
      </c>
      <c r="F495" s="87" t="s">
        <v>210</v>
      </c>
      <c r="G495" s="87" t="s">
        <v>210</v>
      </c>
      <c r="H495" s="87" t="s">
        <v>210</v>
      </c>
      <c r="I495" s="87">
        <v>-3</v>
      </c>
      <c r="J495" s="87">
        <v>-2</v>
      </c>
      <c r="L495" s="95"/>
      <c r="BA495" s="95"/>
    </row>
    <row r="496" spans="1:53" s="87" customFormat="1">
      <c r="A496" s="90" t="str">
        <f t="shared" si="33"/>
        <v/>
      </c>
      <c r="B496" s="232">
        <v>10</v>
      </c>
      <c r="C496" s="233">
        <v>3</v>
      </c>
      <c r="D496" s="233" t="s">
        <v>210</v>
      </c>
      <c r="E496" s="233">
        <v>-4</v>
      </c>
      <c r="F496" s="233" t="s">
        <v>210</v>
      </c>
      <c r="G496" s="233">
        <v>2</v>
      </c>
      <c r="H496" s="233" t="s">
        <v>210</v>
      </c>
      <c r="I496" s="233" t="s">
        <v>210</v>
      </c>
      <c r="J496" s="233">
        <v>-1</v>
      </c>
      <c r="L496" s="95"/>
      <c r="BA496" s="95"/>
    </row>
    <row r="497" spans="1:53" s="87" customFormat="1">
      <c r="A497" s="90" t="str">
        <f t="shared" si="33"/>
        <v/>
      </c>
      <c r="B497" s="87">
        <v>11</v>
      </c>
      <c r="C497" s="87" t="s">
        <v>210</v>
      </c>
      <c r="D497" s="87">
        <v>-3</v>
      </c>
      <c r="E497" s="87">
        <v>-1</v>
      </c>
      <c r="F497" s="87" t="s">
        <v>210</v>
      </c>
      <c r="G497" s="87">
        <v>3</v>
      </c>
      <c r="H497" s="87" t="s">
        <v>210</v>
      </c>
      <c r="I497" s="87">
        <v>2</v>
      </c>
      <c r="J497" s="87" t="s">
        <v>210</v>
      </c>
      <c r="L497" s="95"/>
      <c r="BA497" s="95"/>
    </row>
    <row r="498" spans="1:53" s="87" customFormat="1">
      <c r="A498" s="90" t="str">
        <f t="shared" si="33"/>
        <v/>
      </c>
      <c r="B498" s="87">
        <v>12</v>
      </c>
      <c r="C498" s="87">
        <v>4</v>
      </c>
      <c r="D498" s="87" t="s">
        <v>210</v>
      </c>
      <c r="E498" s="87">
        <v>-2</v>
      </c>
      <c r="F498" s="87" t="s">
        <v>210</v>
      </c>
      <c r="G498" s="87">
        <v>-3</v>
      </c>
      <c r="H498" s="87" t="s">
        <v>210</v>
      </c>
      <c r="I498" s="87">
        <v>1</v>
      </c>
      <c r="J498" s="87" t="s">
        <v>210</v>
      </c>
      <c r="L498" s="95"/>
      <c r="BA498" s="95"/>
    </row>
    <row r="499" spans="1:53" s="87" customFormat="1">
      <c r="A499" s="90" t="str">
        <f t="shared" si="33"/>
        <v/>
      </c>
      <c r="B499" s="87">
        <v>13</v>
      </c>
      <c r="C499" s="87" t="s">
        <v>210</v>
      </c>
      <c r="D499" s="87" t="s">
        <v>210</v>
      </c>
      <c r="E499" s="87">
        <v>2</v>
      </c>
      <c r="F499" s="87" t="s">
        <v>210</v>
      </c>
      <c r="G499" s="87">
        <v>-4</v>
      </c>
      <c r="H499" s="87" t="s">
        <v>210</v>
      </c>
      <c r="I499" s="87">
        <v>-2</v>
      </c>
      <c r="J499" s="87">
        <v>3</v>
      </c>
      <c r="L499" s="95"/>
      <c r="BA499" s="95"/>
    </row>
    <row r="500" spans="1:53" s="87" customFormat="1">
      <c r="A500" s="90" t="str">
        <f t="shared" si="33"/>
        <v/>
      </c>
      <c r="B500" s="87">
        <v>14</v>
      </c>
      <c r="C500" s="87" t="s">
        <v>210</v>
      </c>
      <c r="D500" s="87">
        <v>3</v>
      </c>
      <c r="E500" s="87" t="s">
        <v>210</v>
      </c>
      <c r="F500" s="87">
        <v>-2</v>
      </c>
      <c r="G500" s="87">
        <v>4</v>
      </c>
      <c r="H500" s="87" t="s">
        <v>210</v>
      </c>
      <c r="I500" s="87">
        <v>-1</v>
      </c>
      <c r="J500" s="87" t="s">
        <v>210</v>
      </c>
      <c r="L500" s="95"/>
      <c r="BA500" s="95"/>
    </row>
    <row r="501" spans="1:53" s="87" customFormat="1">
      <c r="A501" s="90" t="str">
        <f t="shared" si="33"/>
        <v/>
      </c>
      <c r="B501" s="87">
        <v>15</v>
      </c>
      <c r="C501" s="87">
        <v>-4</v>
      </c>
      <c r="D501" s="87" t="s">
        <v>210</v>
      </c>
      <c r="E501" s="87">
        <v>1</v>
      </c>
      <c r="F501" s="87">
        <v>2</v>
      </c>
      <c r="G501" s="87" t="s">
        <v>210</v>
      </c>
      <c r="H501" s="87" t="s">
        <v>210</v>
      </c>
      <c r="I501" s="87" t="s">
        <v>210</v>
      </c>
      <c r="J501" s="87">
        <v>-3</v>
      </c>
      <c r="L501" s="95"/>
      <c r="BA501" s="95"/>
    </row>
    <row r="502" spans="1:53" s="87" customFormat="1">
      <c r="A502" s="90" t="str">
        <f t="shared" si="33"/>
        <v/>
      </c>
      <c r="B502" s="291" t="s">
        <v>849</v>
      </c>
      <c r="BA502" s="95"/>
    </row>
    <row r="503" spans="1:53" s="87" customFormat="1">
      <c r="A503" s="90">
        <f t="shared" si="33"/>
        <v>503</v>
      </c>
      <c r="B503" s="318" t="s">
        <v>1251</v>
      </c>
      <c r="BA503" s="95"/>
    </row>
    <row r="504" spans="1:53" s="87" customFormat="1">
      <c r="A504" s="90" t="str">
        <f t="shared" si="33"/>
        <v/>
      </c>
      <c r="B504" s="231">
        <v>1</v>
      </c>
      <c r="C504" s="87" t="s">
        <v>210</v>
      </c>
      <c r="D504" s="87">
        <v>-1</v>
      </c>
      <c r="E504" s="87" t="s">
        <v>210</v>
      </c>
      <c r="F504" s="87">
        <v>-2</v>
      </c>
      <c r="G504" s="87" t="s">
        <v>210</v>
      </c>
      <c r="H504" s="87" t="s">
        <v>210</v>
      </c>
      <c r="I504" s="87">
        <v>4</v>
      </c>
      <c r="J504" s="87" t="s">
        <v>210</v>
      </c>
      <c r="K504" s="87">
        <v>1</v>
      </c>
      <c r="L504" s="87" t="s">
        <v>210</v>
      </c>
      <c r="M504" s="87" t="s">
        <v>210</v>
      </c>
      <c r="N504" s="87">
        <v>3</v>
      </c>
      <c r="BA504" s="95"/>
    </row>
    <row r="505" spans="1:53" s="87" customFormat="1">
      <c r="A505" s="90" t="str">
        <f t="shared" si="32"/>
        <v/>
      </c>
      <c r="B505" s="87">
        <v>2</v>
      </c>
      <c r="C505" s="87" t="s">
        <v>210</v>
      </c>
      <c r="D505" s="87" t="s">
        <v>210</v>
      </c>
      <c r="E505" s="87">
        <v>-4</v>
      </c>
      <c r="F505" s="87" t="s">
        <v>210</v>
      </c>
      <c r="G505" s="87" t="s">
        <v>210</v>
      </c>
      <c r="H505" s="87">
        <v>1</v>
      </c>
      <c r="I505" s="87">
        <v>-2</v>
      </c>
      <c r="J505" s="87" t="s">
        <v>210</v>
      </c>
      <c r="K505" s="87">
        <v>4</v>
      </c>
      <c r="L505" s="87" t="s">
        <v>210</v>
      </c>
      <c r="M505" s="87" t="s">
        <v>210</v>
      </c>
      <c r="N505" s="87">
        <v>-3</v>
      </c>
      <c r="BA505" s="95"/>
    </row>
    <row r="506" spans="1:53" s="87" customFormat="1">
      <c r="A506" s="90" t="str">
        <f t="shared" si="32"/>
        <v/>
      </c>
      <c r="B506" s="87">
        <v>3</v>
      </c>
      <c r="C506" s="87" t="s">
        <v>210</v>
      </c>
      <c r="D506" s="87">
        <v>4</v>
      </c>
      <c r="E506" s="87" t="s">
        <v>210</v>
      </c>
      <c r="F506" s="87">
        <v>2</v>
      </c>
      <c r="G506" s="87" t="s">
        <v>210</v>
      </c>
      <c r="H506" s="87" t="s">
        <v>210</v>
      </c>
      <c r="I506" s="87">
        <v>3</v>
      </c>
      <c r="J506" s="87" t="s">
        <v>210</v>
      </c>
      <c r="K506" s="87">
        <v>-4</v>
      </c>
      <c r="L506" s="87" t="s">
        <v>210</v>
      </c>
      <c r="M506" s="87" t="s">
        <v>210</v>
      </c>
      <c r="N506" s="87">
        <v>-1</v>
      </c>
      <c r="BA506" s="95"/>
    </row>
    <row r="507" spans="1:53" s="87" customFormat="1">
      <c r="A507" s="90" t="str">
        <f t="shared" si="32"/>
        <v/>
      </c>
      <c r="B507" s="87">
        <v>4</v>
      </c>
      <c r="C507" s="87" t="s">
        <v>210</v>
      </c>
      <c r="D507" s="87" t="s">
        <v>210</v>
      </c>
      <c r="E507" s="87">
        <v>-3</v>
      </c>
      <c r="F507" s="87" t="s">
        <v>210</v>
      </c>
      <c r="G507" s="87" t="s">
        <v>210</v>
      </c>
      <c r="H507" s="87">
        <v>-1</v>
      </c>
      <c r="I507" s="87">
        <v>-4</v>
      </c>
      <c r="J507" s="87" t="s">
        <v>210</v>
      </c>
      <c r="K507" s="87">
        <v>2</v>
      </c>
      <c r="L507" s="87" t="s">
        <v>210</v>
      </c>
      <c r="M507" s="87" t="s">
        <v>210</v>
      </c>
      <c r="N507" s="87">
        <v>1</v>
      </c>
      <c r="BA507" s="95"/>
    </row>
    <row r="508" spans="1:53" s="87" customFormat="1">
      <c r="A508" s="90" t="str">
        <f t="shared" si="32"/>
        <v/>
      </c>
      <c r="B508" s="87">
        <v>5</v>
      </c>
      <c r="C508" s="87" t="s">
        <v>210</v>
      </c>
      <c r="D508" s="87">
        <v>1</v>
      </c>
      <c r="E508" s="87">
        <v>4</v>
      </c>
      <c r="F508" s="87" t="s">
        <v>210</v>
      </c>
      <c r="G508" s="87" t="s">
        <v>210</v>
      </c>
      <c r="H508" s="87" t="s">
        <v>210</v>
      </c>
      <c r="I508" s="87">
        <v>-3</v>
      </c>
      <c r="J508" s="87" t="s">
        <v>210</v>
      </c>
      <c r="K508" s="87">
        <v>-2</v>
      </c>
      <c r="L508" s="87" t="s">
        <v>210</v>
      </c>
      <c r="M508" s="87" t="s">
        <v>210</v>
      </c>
      <c r="N508" s="87">
        <v>-4</v>
      </c>
      <c r="BA508" s="95"/>
    </row>
    <row r="509" spans="1:53" s="87" customFormat="1">
      <c r="A509" s="90" t="str">
        <f t="shared" si="32"/>
        <v/>
      </c>
      <c r="B509" s="232">
        <v>6</v>
      </c>
      <c r="C509" s="233" t="s">
        <v>210</v>
      </c>
      <c r="D509" s="233">
        <v>-4</v>
      </c>
      <c r="E509" s="233">
        <v>3</v>
      </c>
      <c r="F509" s="233" t="s">
        <v>210</v>
      </c>
      <c r="G509" s="233" t="s">
        <v>210</v>
      </c>
      <c r="H509" s="233" t="s">
        <v>210</v>
      </c>
      <c r="I509" s="233">
        <v>2</v>
      </c>
      <c r="J509" s="233" t="s">
        <v>210</v>
      </c>
      <c r="K509" s="233">
        <v>-1</v>
      </c>
      <c r="L509" s="233" t="s">
        <v>210</v>
      </c>
      <c r="M509" s="233" t="s">
        <v>210</v>
      </c>
      <c r="N509" s="233">
        <v>4</v>
      </c>
      <c r="BA509" s="95"/>
    </row>
    <row r="510" spans="1:53" s="87" customFormat="1">
      <c r="A510" s="90" t="str">
        <f t="shared" si="32"/>
        <v/>
      </c>
      <c r="B510" s="235">
        <v>7</v>
      </c>
      <c r="C510" s="95" t="s">
        <v>210</v>
      </c>
      <c r="D510" s="95">
        <v>-3</v>
      </c>
      <c r="E510" s="95">
        <v>-2</v>
      </c>
      <c r="F510" s="95" t="s">
        <v>210</v>
      </c>
      <c r="G510" s="95">
        <v>4</v>
      </c>
      <c r="H510" s="95" t="s">
        <v>210</v>
      </c>
      <c r="I510" s="95" t="s">
        <v>210</v>
      </c>
      <c r="J510" s="95">
        <v>-1</v>
      </c>
      <c r="K510" s="95" t="s">
        <v>210</v>
      </c>
      <c r="L510" s="95" t="s">
        <v>210</v>
      </c>
      <c r="M510" s="95" t="s">
        <v>210</v>
      </c>
      <c r="N510" s="95">
        <v>2</v>
      </c>
      <c r="BA510" s="95"/>
    </row>
    <row r="511" spans="1:53" s="87" customFormat="1">
      <c r="A511" s="90" t="str">
        <f t="shared" si="32"/>
        <v/>
      </c>
      <c r="B511" s="235">
        <v>8</v>
      </c>
      <c r="C511" s="95" t="s">
        <v>210</v>
      </c>
      <c r="D511" s="95" t="s">
        <v>210</v>
      </c>
      <c r="E511" s="95">
        <v>-1</v>
      </c>
      <c r="F511" s="95" t="s">
        <v>210</v>
      </c>
      <c r="G511" s="95">
        <v>3</v>
      </c>
      <c r="H511" s="95" t="s">
        <v>210</v>
      </c>
      <c r="I511" s="95" t="s">
        <v>210</v>
      </c>
      <c r="J511" s="95">
        <v>4</v>
      </c>
      <c r="K511" s="95" t="s">
        <v>210</v>
      </c>
      <c r="L511" s="95">
        <v>1</v>
      </c>
      <c r="M511" s="95" t="s">
        <v>210</v>
      </c>
      <c r="N511" s="95">
        <v>-2</v>
      </c>
      <c r="BA511" s="95"/>
    </row>
    <row r="512" spans="1:53" s="87" customFormat="1">
      <c r="A512" s="90" t="str">
        <f t="shared" si="32"/>
        <v/>
      </c>
      <c r="B512" s="235">
        <v>9</v>
      </c>
      <c r="C512" s="95" t="s">
        <v>210</v>
      </c>
      <c r="D512" s="95" t="s">
        <v>210</v>
      </c>
      <c r="E512" s="95">
        <v>2</v>
      </c>
      <c r="F512" s="95" t="s">
        <v>210</v>
      </c>
      <c r="G512" s="95">
        <v>1</v>
      </c>
      <c r="H512" s="95" t="s">
        <v>210</v>
      </c>
      <c r="I512" s="95" t="s">
        <v>210</v>
      </c>
      <c r="J512" s="95">
        <v>3</v>
      </c>
      <c r="K512" s="95" t="s">
        <v>210</v>
      </c>
      <c r="L512" s="95">
        <v>-1</v>
      </c>
      <c r="M512" s="95">
        <v>-4</v>
      </c>
      <c r="N512" s="95" t="s">
        <v>210</v>
      </c>
      <c r="BA512" s="95"/>
    </row>
    <row r="513" spans="1:53" s="87" customFormat="1">
      <c r="A513" s="90" t="str">
        <f t="shared" si="32"/>
        <v/>
      </c>
      <c r="B513" s="235">
        <v>10</v>
      </c>
      <c r="C513" s="95" t="s">
        <v>210</v>
      </c>
      <c r="D513" s="95">
        <v>-2</v>
      </c>
      <c r="E513" s="95" t="s">
        <v>210</v>
      </c>
      <c r="F513" s="95" t="s">
        <v>210</v>
      </c>
      <c r="G513" s="95">
        <v>-3</v>
      </c>
      <c r="H513" s="95" t="s">
        <v>210</v>
      </c>
      <c r="I513" s="95" t="s">
        <v>210</v>
      </c>
      <c r="J513" s="95">
        <v>1</v>
      </c>
      <c r="K513" s="95" t="s">
        <v>210</v>
      </c>
      <c r="L513" s="95">
        <v>2</v>
      </c>
      <c r="M513" s="95">
        <v>4</v>
      </c>
      <c r="N513" s="95" t="s">
        <v>210</v>
      </c>
      <c r="BA513" s="95"/>
    </row>
    <row r="514" spans="1:53" s="87" customFormat="1">
      <c r="A514" s="90" t="str">
        <f t="shared" si="32"/>
        <v/>
      </c>
      <c r="B514" s="235">
        <v>11</v>
      </c>
      <c r="C514" s="95" t="s">
        <v>210</v>
      </c>
      <c r="D514" s="95">
        <v>3</v>
      </c>
      <c r="E514" s="95" t="s">
        <v>210</v>
      </c>
      <c r="F514" s="95" t="s">
        <v>210</v>
      </c>
      <c r="G514" s="95">
        <v>-1</v>
      </c>
      <c r="H514" s="95" t="s">
        <v>210</v>
      </c>
      <c r="I514" s="95" t="s">
        <v>210</v>
      </c>
      <c r="J514" s="95">
        <v>-4</v>
      </c>
      <c r="K514" s="95" t="s">
        <v>210</v>
      </c>
      <c r="L514" s="95">
        <v>-2</v>
      </c>
      <c r="M514" s="95">
        <v>1</v>
      </c>
      <c r="N514" s="95" t="s">
        <v>210</v>
      </c>
      <c r="BA514" s="95"/>
    </row>
    <row r="515" spans="1:53" s="87" customFormat="1">
      <c r="A515" s="90" t="str">
        <f t="shared" si="32"/>
        <v/>
      </c>
      <c r="B515" s="232">
        <v>12</v>
      </c>
      <c r="C515" s="233" t="s">
        <v>210</v>
      </c>
      <c r="D515" s="233">
        <v>2</v>
      </c>
      <c r="E515" s="233">
        <v>1</v>
      </c>
      <c r="F515" s="233" t="s">
        <v>210</v>
      </c>
      <c r="G515" s="233">
        <v>-4</v>
      </c>
      <c r="H515" s="233" t="s">
        <v>210</v>
      </c>
      <c r="I515" s="233" t="s">
        <v>210</v>
      </c>
      <c r="J515" s="233">
        <v>-3</v>
      </c>
      <c r="K515" s="233" t="s">
        <v>210</v>
      </c>
      <c r="L515" s="233" t="s">
        <v>210</v>
      </c>
      <c r="M515" s="233">
        <v>-1</v>
      </c>
      <c r="N515" s="233" t="s">
        <v>210</v>
      </c>
      <c r="BA515" s="95"/>
    </row>
    <row r="516" spans="1:53" s="87" customFormat="1">
      <c r="A516" s="90" t="str">
        <f t="shared" si="32"/>
        <v/>
      </c>
      <c r="B516" s="87">
        <v>13</v>
      </c>
      <c r="C516" s="87">
        <v>-3</v>
      </c>
      <c r="D516" s="87" t="s">
        <v>210</v>
      </c>
      <c r="E516" s="87" t="s">
        <v>210</v>
      </c>
      <c r="F516" s="87">
        <v>-4</v>
      </c>
      <c r="G516" s="87" t="s">
        <v>210</v>
      </c>
      <c r="H516" s="87">
        <v>2</v>
      </c>
      <c r="I516" s="87">
        <v>1</v>
      </c>
      <c r="J516" s="87" t="s">
        <v>210</v>
      </c>
      <c r="K516" s="87" t="s">
        <v>210</v>
      </c>
      <c r="L516" s="87" t="s">
        <v>210</v>
      </c>
      <c r="M516" s="87">
        <v>-2</v>
      </c>
      <c r="N516" s="87" t="s">
        <v>210</v>
      </c>
      <c r="BA516" s="95"/>
    </row>
    <row r="517" spans="1:53" s="87" customFormat="1">
      <c r="A517" s="90" t="str">
        <f t="shared" si="32"/>
        <v/>
      </c>
      <c r="B517" s="87">
        <v>14</v>
      </c>
      <c r="C517" s="87">
        <v>-2</v>
      </c>
      <c r="D517" s="87" t="s">
        <v>210</v>
      </c>
      <c r="E517" s="87" t="s">
        <v>210</v>
      </c>
      <c r="F517" s="87">
        <v>-1</v>
      </c>
      <c r="G517" s="87" t="s">
        <v>210</v>
      </c>
      <c r="H517" s="87">
        <v>3</v>
      </c>
      <c r="I517" s="87" t="s">
        <v>210</v>
      </c>
      <c r="J517" s="87" t="s">
        <v>210</v>
      </c>
      <c r="K517" s="87" t="s">
        <v>210</v>
      </c>
      <c r="L517" s="87">
        <v>4</v>
      </c>
      <c r="M517" s="87">
        <v>2</v>
      </c>
      <c r="N517" s="87" t="s">
        <v>210</v>
      </c>
      <c r="BA517" s="95"/>
    </row>
    <row r="518" spans="1:53" s="87" customFormat="1">
      <c r="A518" s="90" t="str">
        <f t="shared" si="32"/>
        <v/>
      </c>
      <c r="B518" s="87">
        <v>15</v>
      </c>
      <c r="C518" s="87">
        <v>1</v>
      </c>
      <c r="D518" s="87" t="s">
        <v>210</v>
      </c>
      <c r="E518" s="87" t="s">
        <v>210</v>
      </c>
      <c r="F518" s="87">
        <v>-3</v>
      </c>
      <c r="G518" s="87" t="s">
        <v>210</v>
      </c>
      <c r="H518" s="87">
        <v>-2</v>
      </c>
      <c r="I518" s="87" t="s">
        <v>210</v>
      </c>
      <c r="J518" s="87" t="s">
        <v>210</v>
      </c>
      <c r="K518" s="87" t="s">
        <v>210</v>
      </c>
      <c r="L518" s="87">
        <v>-4</v>
      </c>
      <c r="M518" s="87">
        <v>3</v>
      </c>
      <c r="N518" s="87" t="s">
        <v>210</v>
      </c>
      <c r="BA518" s="95"/>
    </row>
    <row r="519" spans="1:53" s="87" customFormat="1">
      <c r="A519" s="90" t="str">
        <f t="shared" si="32"/>
        <v/>
      </c>
      <c r="B519" s="87">
        <v>16</v>
      </c>
      <c r="C519" s="87">
        <v>3</v>
      </c>
      <c r="D519" s="87" t="s">
        <v>210</v>
      </c>
      <c r="E519" s="87" t="s">
        <v>210</v>
      </c>
      <c r="F519" s="87">
        <v>1</v>
      </c>
      <c r="G519" s="87" t="s">
        <v>210</v>
      </c>
      <c r="H519" s="87">
        <v>4</v>
      </c>
      <c r="I519" s="87" t="s">
        <v>210</v>
      </c>
      <c r="J519" s="87">
        <v>-2</v>
      </c>
      <c r="K519" s="87" t="s">
        <v>210</v>
      </c>
      <c r="L519" s="87" t="s">
        <v>210</v>
      </c>
      <c r="M519" s="87">
        <v>-3</v>
      </c>
      <c r="N519" s="87" t="s">
        <v>210</v>
      </c>
      <c r="BA519" s="95"/>
    </row>
    <row r="520" spans="1:53" s="87" customFormat="1">
      <c r="A520" s="90" t="str">
        <f t="shared" si="32"/>
        <v/>
      </c>
      <c r="B520" s="234">
        <v>17</v>
      </c>
      <c r="C520" s="87">
        <v>-1</v>
      </c>
      <c r="D520" s="87" t="s">
        <v>210</v>
      </c>
      <c r="E520" s="87" t="s">
        <v>210</v>
      </c>
      <c r="F520" s="87">
        <v>4</v>
      </c>
      <c r="G520" s="87" t="s">
        <v>210</v>
      </c>
      <c r="H520" s="87">
        <v>-3</v>
      </c>
      <c r="I520" s="87" t="s">
        <v>210</v>
      </c>
      <c r="J520" s="87">
        <v>2</v>
      </c>
      <c r="K520" s="87" t="s">
        <v>210</v>
      </c>
      <c r="L520" s="87">
        <v>3</v>
      </c>
      <c r="M520" s="87" t="s">
        <v>210</v>
      </c>
      <c r="N520" s="87" t="s">
        <v>210</v>
      </c>
      <c r="BA520" s="95"/>
    </row>
    <row r="521" spans="1:53" s="87" customFormat="1">
      <c r="A521" s="90" t="str">
        <f t="shared" si="32"/>
        <v/>
      </c>
      <c r="B521" s="234">
        <v>18</v>
      </c>
      <c r="C521" s="87">
        <v>2</v>
      </c>
      <c r="D521" s="87" t="s">
        <v>210</v>
      </c>
      <c r="E521" s="87" t="s">
        <v>210</v>
      </c>
      <c r="F521" s="87">
        <v>3</v>
      </c>
      <c r="G521" s="87" t="s">
        <v>210</v>
      </c>
      <c r="H521" s="87">
        <v>-4</v>
      </c>
      <c r="I521" s="87">
        <v>-1</v>
      </c>
      <c r="J521" s="87" t="s">
        <v>210</v>
      </c>
      <c r="K521" s="87" t="s">
        <v>210</v>
      </c>
      <c r="L521" s="87">
        <v>-3</v>
      </c>
      <c r="M521" s="87" t="s">
        <v>210</v>
      </c>
      <c r="N521" s="87" t="s">
        <v>210</v>
      </c>
      <c r="T521" s="282"/>
      <c r="U521" s="282"/>
      <c r="V521" s="282"/>
      <c r="W521" s="282"/>
      <c r="X521" s="282"/>
      <c r="Y521" s="282"/>
      <c r="Z521" s="282"/>
      <c r="AA521" s="282"/>
      <c r="AB521" s="282"/>
      <c r="AC521" s="282"/>
      <c r="AD521" s="282"/>
      <c r="AE521" s="282"/>
      <c r="BA521" s="95"/>
    </row>
    <row r="522" spans="1:53" s="87" customFormat="1">
      <c r="A522" s="90" t="str">
        <f t="shared" si="32"/>
        <v/>
      </c>
      <c r="B522" s="291" t="s">
        <v>851</v>
      </c>
      <c r="T522" s="282"/>
      <c r="U522" s="282"/>
      <c r="V522" s="282"/>
      <c r="W522" s="282"/>
      <c r="X522" s="282"/>
      <c r="Y522" s="282"/>
      <c r="Z522" s="282"/>
      <c r="AA522" s="282"/>
      <c r="AB522" s="282"/>
      <c r="AC522" s="282"/>
      <c r="AD522" s="282"/>
      <c r="AE522" s="282"/>
      <c r="BA522" s="95"/>
    </row>
    <row r="523" spans="1:53" s="87" customFormat="1">
      <c r="A523" s="90">
        <f t="shared" si="32"/>
        <v>523</v>
      </c>
      <c r="B523" s="16" t="s">
        <v>1240</v>
      </c>
      <c r="C523" s="16"/>
      <c r="D523" s="16"/>
      <c r="E523" s="16"/>
      <c r="F523" s="16"/>
      <c r="G523" s="16"/>
      <c r="H523" s="16"/>
      <c r="I523" s="16"/>
      <c r="J523" s="16"/>
      <c r="K523" s="282"/>
      <c r="L523" s="282"/>
      <c r="M523" s="282"/>
      <c r="N523" s="282"/>
      <c r="O523" s="282"/>
      <c r="P523" s="282"/>
      <c r="Q523" s="282"/>
      <c r="R523" s="282"/>
      <c r="S523" s="282"/>
      <c r="T523" s="282"/>
      <c r="U523" s="282"/>
      <c r="V523" s="282"/>
      <c r="W523" s="282"/>
      <c r="X523" s="282"/>
      <c r="Y523" s="282"/>
      <c r="Z523" s="282"/>
      <c r="AA523" s="282"/>
      <c r="AB523" s="282"/>
      <c r="AC523" s="282"/>
      <c r="AD523" s="282"/>
      <c r="AE523" s="282"/>
      <c r="AF523" s="282"/>
      <c r="AG523" s="282"/>
      <c r="AH523" s="282"/>
      <c r="AI523" s="282"/>
      <c r="AJ523" s="282"/>
      <c r="AK523" s="282"/>
      <c r="AL523" s="282"/>
      <c r="AM523" s="282"/>
      <c r="AN523" s="282"/>
      <c r="AO523" s="282"/>
      <c r="AP523" s="282"/>
      <c r="AQ523" s="282"/>
      <c r="AR523" s="282"/>
      <c r="AS523" s="282"/>
      <c r="AT523" s="282"/>
      <c r="AU523" s="282"/>
      <c r="AV523" s="282"/>
      <c r="AW523" s="282"/>
      <c r="AX523" s="282"/>
      <c r="AY523" s="282"/>
      <c r="AZ523" s="282"/>
      <c r="BA523" s="95"/>
    </row>
    <row r="524" spans="1:53" s="87" customFormat="1">
      <c r="A524" s="90" t="str">
        <f t="shared" ref="A524:A587" si="34">IF(MID(B524,3,2)="04",ROW(),"")</f>
        <v/>
      </c>
      <c r="B524" s="16">
        <v>1</v>
      </c>
      <c r="C524" s="16" t="s">
        <v>210</v>
      </c>
      <c r="D524" s="16">
        <v>-2</v>
      </c>
      <c r="E524" s="16" t="s">
        <v>210</v>
      </c>
      <c r="F524" s="16">
        <v>1</v>
      </c>
      <c r="G524" s="16">
        <v>2</v>
      </c>
      <c r="H524" s="16"/>
      <c r="I524" s="16"/>
      <c r="J524" s="16"/>
      <c r="K524" s="282"/>
      <c r="L524" s="282"/>
      <c r="M524" s="282"/>
      <c r="N524" s="282"/>
      <c r="O524" s="282"/>
      <c r="P524" s="282"/>
      <c r="Q524" s="282"/>
      <c r="R524" s="282"/>
      <c r="S524" s="282"/>
      <c r="T524" s="282"/>
      <c r="U524" s="282"/>
      <c r="V524" s="282"/>
      <c r="W524" s="282"/>
      <c r="X524" s="282"/>
      <c r="Y524" s="282"/>
      <c r="Z524" s="282"/>
      <c r="AA524" s="282"/>
      <c r="AB524" s="282"/>
      <c r="AC524" s="282"/>
      <c r="AD524" s="282"/>
      <c r="AE524" s="282"/>
      <c r="AF524" s="282"/>
      <c r="AG524" s="282"/>
      <c r="AH524" s="282"/>
      <c r="AI524" s="282"/>
      <c r="AJ524" s="282"/>
      <c r="AK524" s="282"/>
      <c r="AL524" s="282"/>
      <c r="AM524" s="282"/>
      <c r="AN524" s="282"/>
      <c r="AO524" s="282"/>
      <c r="AP524" s="282"/>
      <c r="AQ524" s="282"/>
      <c r="AR524" s="282"/>
      <c r="AS524" s="282"/>
      <c r="AT524" s="282"/>
      <c r="AU524" s="282"/>
      <c r="AV524" s="282"/>
      <c r="AW524" s="282"/>
      <c r="AX524" s="282"/>
      <c r="AY524" s="282"/>
      <c r="AZ524" s="282"/>
      <c r="BA524" s="95"/>
    </row>
    <row r="525" spans="1:53" s="87" customFormat="1">
      <c r="A525" s="90" t="str">
        <f t="shared" si="34"/>
        <v/>
      </c>
      <c r="B525" s="16">
        <v>2</v>
      </c>
      <c r="C525" s="16" t="s">
        <v>210</v>
      </c>
      <c r="D525" s="16">
        <v>4</v>
      </c>
      <c r="E525" s="16" t="s">
        <v>210</v>
      </c>
      <c r="F525" s="16">
        <v>-3</v>
      </c>
      <c r="G525" s="16">
        <v>-2</v>
      </c>
      <c r="H525" s="16"/>
      <c r="I525" s="16"/>
      <c r="J525" s="16"/>
      <c r="K525" s="282"/>
      <c r="L525" s="282"/>
      <c r="M525" s="282"/>
      <c r="N525" s="282"/>
      <c r="O525" s="282"/>
      <c r="P525" s="282"/>
      <c r="Q525" s="282"/>
      <c r="R525" s="282"/>
      <c r="S525" s="282"/>
      <c r="T525" s="282"/>
      <c r="U525" s="282"/>
      <c r="V525" s="282"/>
      <c r="W525" s="282"/>
      <c r="X525" s="282"/>
      <c r="Y525" s="282"/>
      <c r="Z525" s="282"/>
      <c r="AA525" s="282"/>
      <c r="AB525" s="282"/>
      <c r="AC525" s="282"/>
      <c r="AD525" s="282"/>
      <c r="AE525" s="282"/>
      <c r="AF525" s="282"/>
      <c r="AG525" s="282"/>
      <c r="AH525" s="282"/>
      <c r="AI525" s="282"/>
      <c r="AJ525" s="282"/>
      <c r="AK525" s="282"/>
      <c r="AL525" s="282"/>
      <c r="AM525" s="282"/>
      <c r="AN525" s="282"/>
      <c r="AO525" s="282"/>
      <c r="AP525" s="282"/>
      <c r="AQ525" s="282"/>
      <c r="AR525" s="282"/>
      <c r="AS525" s="282"/>
      <c r="AT525" s="282"/>
      <c r="AU525" s="282"/>
      <c r="AV525" s="282"/>
      <c r="AW525" s="282"/>
      <c r="AX525" s="282"/>
      <c r="AY525" s="282"/>
      <c r="AZ525" s="282"/>
      <c r="BA525" s="95"/>
    </row>
    <row r="526" spans="1:53" s="87" customFormat="1">
      <c r="A526" s="90" t="str">
        <f t="shared" si="34"/>
        <v/>
      </c>
      <c r="B526" s="16">
        <v>3</v>
      </c>
      <c r="C526" s="16" t="s">
        <v>210</v>
      </c>
      <c r="D526" s="16">
        <v>-4</v>
      </c>
      <c r="E526" s="16" t="s">
        <v>210</v>
      </c>
      <c r="F526" s="16">
        <v>-1</v>
      </c>
      <c r="G526" s="16">
        <v>4</v>
      </c>
      <c r="H526" s="16"/>
      <c r="I526" s="16"/>
      <c r="J526" s="16"/>
      <c r="K526" s="282"/>
      <c r="L526" s="282"/>
      <c r="M526" s="282"/>
      <c r="N526" s="282"/>
      <c r="O526" s="282"/>
      <c r="P526" s="282"/>
      <c r="Q526" s="282"/>
      <c r="R526" s="282"/>
      <c r="S526" s="282"/>
      <c r="T526" s="282"/>
      <c r="U526" s="282"/>
      <c r="V526" s="282"/>
      <c r="W526" s="282"/>
      <c r="X526" s="282"/>
      <c r="Y526" s="282"/>
      <c r="Z526" s="282"/>
      <c r="AA526" s="282"/>
      <c r="AB526" s="282"/>
      <c r="AC526" s="282"/>
      <c r="AD526" s="282"/>
      <c r="AE526" s="282"/>
      <c r="AF526" s="282"/>
      <c r="AG526" s="282"/>
      <c r="AH526" s="282"/>
      <c r="AI526" s="282"/>
      <c r="AJ526" s="282"/>
      <c r="AK526" s="282"/>
      <c r="AL526" s="282"/>
      <c r="AM526" s="282"/>
      <c r="AN526" s="282"/>
      <c r="AO526" s="282"/>
      <c r="AP526" s="282"/>
      <c r="AQ526" s="282"/>
      <c r="AR526" s="282"/>
      <c r="AS526" s="282"/>
      <c r="AT526" s="282"/>
      <c r="AU526" s="282"/>
      <c r="AV526" s="282"/>
      <c r="AW526" s="282"/>
      <c r="AX526" s="282"/>
      <c r="AY526" s="282"/>
      <c r="AZ526" s="282"/>
      <c r="BA526" s="95"/>
    </row>
    <row r="527" spans="1:53" s="87" customFormat="1">
      <c r="A527" s="90" t="str">
        <f t="shared" si="34"/>
        <v/>
      </c>
      <c r="B527" s="283">
        <v>4</v>
      </c>
      <c r="C527" s="284" t="s">
        <v>210</v>
      </c>
      <c r="D527" s="284">
        <v>2</v>
      </c>
      <c r="E527" s="284" t="s">
        <v>210</v>
      </c>
      <c r="F527" s="284">
        <v>3</v>
      </c>
      <c r="G527" s="284">
        <v>-4</v>
      </c>
      <c r="H527" s="16"/>
      <c r="I527" s="16"/>
      <c r="J527" s="16"/>
      <c r="K527" s="282"/>
      <c r="L527" s="282"/>
      <c r="M527" s="282"/>
      <c r="N527" s="282"/>
      <c r="O527" s="282"/>
      <c r="P527" s="282"/>
      <c r="Q527" s="282"/>
      <c r="R527" s="282"/>
      <c r="S527" s="282"/>
      <c r="T527" s="282"/>
      <c r="U527" s="282"/>
      <c r="V527" s="282"/>
      <c r="W527" s="282"/>
      <c r="X527" s="282"/>
      <c r="Y527" s="282"/>
      <c r="Z527" s="282"/>
      <c r="AA527" s="282"/>
      <c r="AB527" s="282"/>
      <c r="AC527" s="282"/>
      <c r="AD527" s="282"/>
      <c r="AE527" s="282"/>
      <c r="AF527" s="282"/>
      <c r="AG527" s="282"/>
      <c r="AH527" s="282"/>
      <c r="AI527" s="282"/>
      <c r="AJ527" s="282"/>
      <c r="AK527" s="282"/>
      <c r="AL527" s="282"/>
      <c r="AM527" s="282"/>
      <c r="AN527" s="282"/>
      <c r="AO527" s="282"/>
      <c r="AP527" s="282"/>
      <c r="AQ527" s="282"/>
      <c r="AR527" s="282"/>
      <c r="AS527" s="282"/>
      <c r="AT527" s="282"/>
      <c r="AU527" s="282"/>
      <c r="AV527" s="282"/>
      <c r="AW527" s="282"/>
      <c r="AX527" s="282"/>
      <c r="AY527" s="282"/>
      <c r="AZ527" s="282"/>
      <c r="BA527" s="95"/>
    </row>
    <row r="528" spans="1:53" s="87" customFormat="1">
      <c r="A528" s="90" t="str">
        <f t="shared" si="34"/>
        <v/>
      </c>
      <c r="B528" s="16">
        <v>5</v>
      </c>
      <c r="C528" s="16">
        <v>-3</v>
      </c>
      <c r="D528" s="16" t="s">
        <v>210</v>
      </c>
      <c r="E528" s="16">
        <v>-2</v>
      </c>
      <c r="F528" s="16" t="s">
        <v>210</v>
      </c>
      <c r="G528" s="16">
        <v>3</v>
      </c>
      <c r="H528" s="16"/>
      <c r="I528" s="16"/>
      <c r="J528" s="16"/>
      <c r="K528" s="282"/>
      <c r="L528" s="282"/>
      <c r="M528" s="282"/>
      <c r="N528" s="282"/>
      <c r="O528" s="282"/>
      <c r="P528" s="282"/>
      <c r="Q528" s="282"/>
      <c r="R528" s="282"/>
      <c r="S528" s="282"/>
      <c r="T528" s="282"/>
      <c r="U528" s="282"/>
      <c r="V528" s="282"/>
      <c r="W528" s="282"/>
      <c r="X528" s="282"/>
      <c r="Y528" s="282"/>
      <c r="Z528" s="282"/>
      <c r="AA528" s="282"/>
      <c r="AB528" s="282"/>
      <c r="AC528" s="282"/>
      <c r="AD528" s="282"/>
      <c r="AE528" s="282"/>
      <c r="AF528" s="282"/>
      <c r="AG528" s="282"/>
      <c r="AH528" s="282"/>
      <c r="AI528" s="282"/>
      <c r="AJ528" s="282"/>
      <c r="AK528" s="282"/>
      <c r="AL528" s="282"/>
      <c r="AM528" s="282"/>
      <c r="AN528" s="282"/>
      <c r="AO528" s="282"/>
      <c r="AP528" s="282"/>
      <c r="AQ528" s="282"/>
      <c r="AR528" s="282"/>
      <c r="AS528" s="282"/>
      <c r="AT528" s="282"/>
      <c r="AU528" s="282"/>
      <c r="AV528" s="282"/>
      <c r="AW528" s="282"/>
      <c r="AX528" s="282"/>
      <c r="AY528" s="282"/>
      <c r="AZ528" s="282"/>
      <c r="BA528" s="95"/>
    </row>
    <row r="529" spans="1:53" s="87" customFormat="1">
      <c r="A529" s="90" t="str">
        <f t="shared" si="34"/>
        <v/>
      </c>
      <c r="B529" s="16">
        <v>6</v>
      </c>
      <c r="C529" s="16">
        <v>1</v>
      </c>
      <c r="D529" s="16" t="s">
        <v>210</v>
      </c>
      <c r="E529" s="16">
        <v>4</v>
      </c>
      <c r="F529" s="16" t="s">
        <v>210</v>
      </c>
      <c r="G529" s="16">
        <v>-3</v>
      </c>
      <c r="H529" s="16"/>
      <c r="I529" s="16"/>
      <c r="J529" s="16"/>
      <c r="K529" s="282"/>
      <c r="L529" s="282"/>
      <c r="M529" s="282"/>
      <c r="N529" s="282"/>
      <c r="O529" s="282"/>
      <c r="P529" s="282"/>
      <c r="Q529" s="282"/>
      <c r="R529" s="282"/>
      <c r="S529" s="282"/>
      <c r="T529" s="282"/>
      <c r="U529" s="282"/>
      <c r="V529" s="282"/>
      <c r="W529" s="282"/>
      <c r="X529" s="282"/>
      <c r="Y529" s="282"/>
      <c r="Z529" s="282"/>
      <c r="AA529" s="282"/>
      <c r="AB529" s="282"/>
      <c r="AC529" s="282"/>
      <c r="AD529" s="282"/>
      <c r="AE529" s="282"/>
      <c r="AF529" s="282"/>
      <c r="AG529" s="282"/>
      <c r="AH529" s="282"/>
      <c r="AI529" s="282"/>
      <c r="AJ529" s="282"/>
      <c r="AK529" s="282"/>
      <c r="AL529" s="282"/>
      <c r="AM529" s="282"/>
      <c r="AN529" s="282"/>
      <c r="AO529" s="282"/>
      <c r="AP529" s="282"/>
      <c r="AQ529" s="282"/>
      <c r="AR529" s="282"/>
      <c r="AS529" s="282"/>
      <c r="AT529" s="282"/>
      <c r="AU529" s="282"/>
      <c r="AV529" s="282"/>
      <c r="AW529" s="282"/>
      <c r="AX529" s="282"/>
      <c r="AY529" s="282"/>
      <c r="AZ529" s="282"/>
      <c r="BA529" s="95"/>
    </row>
    <row r="530" spans="1:53" s="87" customFormat="1">
      <c r="A530" s="90" t="str">
        <f t="shared" si="34"/>
        <v/>
      </c>
      <c r="B530" s="16">
        <v>7</v>
      </c>
      <c r="C530" s="16">
        <v>-1</v>
      </c>
      <c r="D530" s="16" t="s">
        <v>210</v>
      </c>
      <c r="E530" s="16">
        <v>2</v>
      </c>
      <c r="F530" s="16" t="s">
        <v>210</v>
      </c>
      <c r="G530" s="16">
        <v>1</v>
      </c>
      <c r="H530" s="16"/>
      <c r="I530" s="16"/>
      <c r="J530" s="16"/>
      <c r="K530" s="282"/>
      <c r="L530" s="282"/>
      <c r="M530" s="282"/>
      <c r="N530" s="282"/>
      <c r="O530" s="282"/>
      <c r="P530" s="282"/>
      <c r="Q530" s="282"/>
      <c r="R530" s="282"/>
      <c r="S530" s="282"/>
      <c r="T530" s="282"/>
      <c r="U530" s="282"/>
      <c r="V530" s="282"/>
      <c r="W530" s="282"/>
      <c r="X530" s="282"/>
      <c r="Y530" s="282"/>
      <c r="Z530" s="282"/>
      <c r="AA530" s="282"/>
      <c r="AB530" s="282"/>
      <c r="AC530" s="282"/>
      <c r="AD530" s="282"/>
      <c r="AE530" s="282"/>
      <c r="AF530" s="282"/>
      <c r="AG530" s="282"/>
      <c r="AH530" s="282"/>
      <c r="AI530" s="282"/>
      <c r="AJ530" s="282"/>
      <c r="AK530" s="282"/>
      <c r="AL530" s="282"/>
      <c r="AM530" s="282"/>
      <c r="AN530" s="282"/>
      <c r="AO530" s="282"/>
      <c r="AP530" s="282"/>
      <c r="AQ530" s="282"/>
      <c r="AR530" s="282"/>
      <c r="AS530" s="282"/>
      <c r="AT530" s="282"/>
      <c r="AU530" s="282"/>
      <c r="AV530" s="282"/>
      <c r="AW530" s="282"/>
      <c r="AX530" s="282"/>
      <c r="AY530" s="282"/>
      <c r="AZ530" s="282"/>
      <c r="BA530" s="95"/>
    </row>
    <row r="531" spans="1:53" s="87" customFormat="1">
      <c r="A531" s="90" t="str">
        <f t="shared" si="34"/>
        <v/>
      </c>
      <c r="B531" s="283">
        <v>8</v>
      </c>
      <c r="C531" s="284">
        <v>3</v>
      </c>
      <c r="D531" s="284" t="s">
        <v>210</v>
      </c>
      <c r="E531" s="284">
        <v>-4</v>
      </c>
      <c r="F531" s="284" t="s">
        <v>210</v>
      </c>
      <c r="G531" s="284">
        <v>-1</v>
      </c>
      <c r="H531" s="16"/>
      <c r="I531" s="16"/>
      <c r="J531" s="16"/>
      <c r="K531" s="282"/>
      <c r="L531" s="282"/>
      <c r="M531" s="282"/>
      <c r="N531" s="282"/>
      <c r="O531" s="282"/>
      <c r="P531" s="282"/>
      <c r="Q531" s="282"/>
      <c r="R531" s="282"/>
      <c r="S531" s="282"/>
      <c r="T531" s="282"/>
      <c r="U531" s="282"/>
      <c r="V531" s="282"/>
      <c r="W531" s="282"/>
      <c r="X531" s="282"/>
      <c r="Y531" s="282"/>
      <c r="Z531" s="282"/>
      <c r="AA531" s="282"/>
      <c r="AB531" s="282"/>
      <c r="AC531" s="282"/>
      <c r="AD531" s="282"/>
      <c r="AE531" s="282"/>
      <c r="AF531" s="282"/>
      <c r="AG531" s="282"/>
      <c r="AH531" s="282"/>
      <c r="AI531" s="282"/>
      <c r="AJ531" s="282"/>
      <c r="AK531" s="282"/>
      <c r="AL531" s="282"/>
      <c r="AM531" s="282"/>
      <c r="AN531" s="282"/>
      <c r="AO531" s="282"/>
      <c r="AP531" s="282"/>
      <c r="AQ531" s="282"/>
      <c r="AR531" s="282"/>
      <c r="AS531" s="282"/>
      <c r="AT531" s="282"/>
      <c r="AU531" s="282"/>
      <c r="AV531" s="282"/>
      <c r="AW531" s="282"/>
      <c r="AX531" s="282"/>
      <c r="AY531" s="282"/>
      <c r="AZ531" s="282"/>
      <c r="BA531" s="95"/>
    </row>
    <row r="532" spans="1:53" s="87" customFormat="1">
      <c r="A532" s="90" t="str">
        <f t="shared" si="34"/>
        <v/>
      </c>
      <c r="B532" s="16">
        <v>9</v>
      </c>
      <c r="C532" s="16">
        <v>-2</v>
      </c>
      <c r="D532" s="16">
        <v>1</v>
      </c>
      <c r="E532" s="16" t="s">
        <v>210</v>
      </c>
      <c r="F532" s="16">
        <v>2</v>
      </c>
      <c r="G532" s="16" t="s">
        <v>210</v>
      </c>
      <c r="H532" s="16"/>
      <c r="I532" s="16"/>
      <c r="J532" s="16"/>
      <c r="K532" s="282"/>
      <c r="L532" s="282"/>
      <c r="M532" s="282"/>
      <c r="N532" s="282"/>
      <c r="O532" s="282"/>
      <c r="P532" s="282"/>
      <c r="Q532" s="282"/>
      <c r="R532" s="282"/>
      <c r="S532" s="282"/>
      <c r="T532" s="282"/>
      <c r="U532" s="282"/>
      <c r="V532" s="282"/>
      <c r="W532" s="282"/>
      <c r="X532" s="282"/>
      <c r="Y532" s="282"/>
      <c r="Z532" s="282"/>
      <c r="AA532" s="282"/>
      <c r="AB532" s="282"/>
      <c r="AC532" s="282"/>
      <c r="AD532" s="282"/>
      <c r="AE532" s="282"/>
      <c r="AF532" s="282"/>
      <c r="AG532" s="282"/>
      <c r="AH532" s="282"/>
      <c r="AI532" s="282"/>
      <c r="AJ532" s="282"/>
      <c r="AK532" s="282"/>
      <c r="AL532" s="282"/>
      <c r="AM532" s="282"/>
      <c r="AN532" s="282"/>
      <c r="AO532" s="282"/>
      <c r="AP532" s="282"/>
      <c r="AQ532" s="282"/>
      <c r="AR532" s="282"/>
      <c r="AS532" s="282"/>
      <c r="AT532" s="282"/>
      <c r="AU532" s="282"/>
      <c r="AV532" s="282"/>
      <c r="AW532" s="282"/>
      <c r="AX532" s="282"/>
      <c r="AY532" s="282"/>
      <c r="AZ532" s="282"/>
      <c r="BA532" s="95"/>
    </row>
    <row r="533" spans="1:53" s="87" customFormat="1">
      <c r="A533" s="90" t="str">
        <f t="shared" si="34"/>
        <v/>
      </c>
      <c r="B533" s="16">
        <v>10</v>
      </c>
      <c r="C533" s="16">
        <v>4</v>
      </c>
      <c r="D533" s="16">
        <v>-3</v>
      </c>
      <c r="E533" s="16" t="s">
        <v>210</v>
      </c>
      <c r="F533" s="16">
        <v>-2</v>
      </c>
      <c r="G533" s="16" t="s">
        <v>210</v>
      </c>
      <c r="H533" s="16"/>
      <c r="I533" s="16"/>
      <c r="J533" s="16"/>
      <c r="K533" s="282"/>
      <c r="L533" s="282"/>
      <c r="M533" s="282"/>
      <c r="N533" s="282"/>
      <c r="O533" s="282"/>
      <c r="P533" s="282"/>
      <c r="Q533" s="282"/>
      <c r="R533" s="282"/>
      <c r="S533" s="282"/>
      <c r="T533" s="282"/>
      <c r="U533" s="282"/>
      <c r="V533" s="282"/>
      <c r="W533" s="282"/>
      <c r="X533" s="282"/>
      <c r="Y533" s="282"/>
      <c r="Z533" s="282"/>
      <c r="AA533" s="282"/>
      <c r="AB533" s="282"/>
      <c r="AC533" s="282"/>
      <c r="AD533" s="282"/>
      <c r="AE533" s="282"/>
      <c r="AF533" s="282"/>
      <c r="AG533" s="282"/>
      <c r="AH533" s="282"/>
      <c r="AI533" s="282"/>
      <c r="AJ533" s="282"/>
      <c r="AK533" s="282"/>
      <c r="AL533" s="282"/>
      <c r="AM533" s="282"/>
      <c r="AN533" s="282"/>
      <c r="AO533" s="282"/>
      <c r="AP533" s="282"/>
      <c r="AQ533" s="282"/>
      <c r="AR533" s="282"/>
      <c r="AS533" s="282"/>
      <c r="AT533" s="282"/>
      <c r="AU533" s="282"/>
      <c r="AV533" s="282"/>
      <c r="AW533" s="282"/>
      <c r="AX533" s="282"/>
      <c r="AY533" s="282"/>
      <c r="AZ533" s="282"/>
      <c r="BA533" s="95"/>
    </row>
    <row r="534" spans="1:53" s="87" customFormat="1">
      <c r="A534" s="90" t="str">
        <f t="shared" si="34"/>
        <v/>
      </c>
      <c r="B534" s="282">
        <v>11</v>
      </c>
      <c r="C534" s="282">
        <v>-4</v>
      </c>
      <c r="D534" s="282">
        <v>-1</v>
      </c>
      <c r="E534" s="282" t="s">
        <v>210</v>
      </c>
      <c r="F534" s="282">
        <v>4</v>
      </c>
      <c r="G534" s="282" t="s">
        <v>210</v>
      </c>
      <c r="H534" s="16"/>
      <c r="I534" s="16"/>
      <c r="J534" s="16"/>
      <c r="K534" s="282"/>
      <c r="L534" s="282"/>
      <c r="M534" s="282"/>
      <c r="N534" s="282"/>
      <c r="O534" s="282"/>
      <c r="P534" s="282"/>
      <c r="Q534" s="282"/>
      <c r="R534" s="282"/>
      <c r="S534" s="282"/>
      <c r="T534" s="282"/>
      <c r="U534" s="282"/>
      <c r="V534" s="282"/>
      <c r="W534" s="282"/>
      <c r="X534" s="282"/>
      <c r="Y534" s="282"/>
      <c r="Z534" s="282"/>
      <c r="AA534" s="282"/>
      <c r="AB534" s="282"/>
      <c r="AC534" s="282"/>
      <c r="AD534" s="282"/>
      <c r="AE534" s="282"/>
      <c r="AF534" s="282"/>
      <c r="AG534" s="282"/>
      <c r="AH534" s="282"/>
      <c r="AI534" s="282"/>
      <c r="AJ534" s="282"/>
      <c r="AK534" s="282"/>
      <c r="AL534" s="282"/>
      <c r="AM534" s="282"/>
      <c r="AN534" s="282"/>
      <c r="AO534" s="282"/>
      <c r="AP534" s="282"/>
      <c r="AQ534" s="282"/>
      <c r="AR534" s="282"/>
      <c r="AS534" s="282"/>
      <c r="AT534" s="282"/>
      <c r="AU534" s="282"/>
      <c r="AV534" s="282"/>
      <c r="AW534" s="282"/>
      <c r="AX534" s="282"/>
      <c r="AY534" s="282"/>
      <c r="AZ534" s="282"/>
      <c r="BA534" s="95"/>
    </row>
    <row r="535" spans="1:53" s="87" customFormat="1">
      <c r="A535" s="90" t="str">
        <f t="shared" si="34"/>
        <v/>
      </c>
      <c r="B535" s="282">
        <v>12</v>
      </c>
      <c r="C535" s="282">
        <v>2</v>
      </c>
      <c r="D535" s="282">
        <v>3</v>
      </c>
      <c r="E535" s="282" t="s">
        <v>210</v>
      </c>
      <c r="F535" s="282">
        <v>-4</v>
      </c>
      <c r="G535" s="282" t="s">
        <v>210</v>
      </c>
      <c r="H535" s="16"/>
      <c r="I535" s="16"/>
      <c r="J535" s="16"/>
      <c r="K535" s="282"/>
      <c r="L535" s="282"/>
      <c r="M535" s="282"/>
      <c r="N535" s="282"/>
      <c r="O535" s="282"/>
      <c r="P535" s="282"/>
      <c r="Q535" s="282"/>
      <c r="R535" s="282"/>
      <c r="S535" s="282"/>
      <c r="T535" s="282"/>
      <c r="U535" s="282"/>
      <c r="V535" s="282"/>
      <c r="W535" s="282"/>
      <c r="X535" s="282"/>
      <c r="Y535" s="282"/>
      <c r="Z535" s="282"/>
      <c r="AA535" s="282"/>
      <c r="AB535" s="282"/>
      <c r="AC535" s="282"/>
      <c r="AD535" s="282"/>
      <c r="AE535" s="282"/>
      <c r="AF535" s="282"/>
      <c r="AG535" s="282"/>
      <c r="AH535" s="282"/>
      <c r="AI535" s="282"/>
      <c r="AJ535" s="282"/>
      <c r="AK535" s="282"/>
      <c r="AL535" s="282"/>
      <c r="AM535" s="282"/>
      <c r="AN535" s="282"/>
      <c r="AO535" s="282"/>
      <c r="AP535" s="282"/>
      <c r="AQ535" s="282"/>
      <c r="AR535" s="282"/>
      <c r="AS535" s="282"/>
      <c r="AT535" s="282"/>
      <c r="AU535" s="282"/>
      <c r="AV535" s="282"/>
      <c r="AW535" s="282"/>
      <c r="AX535" s="282"/>
      <c r="AY535" s="282"/>
      <c r="AZ535" s="282"/>
      <c r="BA535" s="95"/>
    </row>
    <row r="536" spans="1:53" s="87" customFormat="1">
      <c r="A536" s="90" t="str">
        <f t="shared" si="34"/>
        <v/>
      </c>
      <c r="B536" s="274" t="s">
        <v>833</v>
      </c>
      <c r="BA536" s="95"/>
    </row>
    <row r="537" spans="1:53" s="87" customFormat="1">
      <c r="A537" s="90">
        <f t="shared" si="34"/>
        <v>537</v>
      </c>
      <c r="B537" s="318" t="s">
        <v>1239</v>
      </c>
      <c r="BA537" s="95"/>
    </row>
    <row r="538" spans="1:53" s="87" customFormat="1">
      <c r="A538" s="90" t="str">
        <f t="shared" si="34"/>
        <v/>
      </c>
      <c r="B538" s="87">
        <v>1</v>
      </c>
      <c r="C538" s="87" t="s">
        <v>210</v>
      </c>
      <c r="D538" s="87">
        <v>-2</v>
      </c>
      <c r="E538" s="87" t="s">
        <v>210</v>
      </c>
      <c r="F538" s="87">
        <v>-1</v>
      </c>
      <c r="G538" s="87">
        <v>4</v>
      </c>
      <c r="H538" s="87">
        <v>2</v>
      </c>
      <c r="I538" s="87" t="s">
        <v>210</v>
      </c>
      <c r="J538" s="87">
        <v>-3</v>
      </c>
      <c r="BA538" s="95"/>
    </row>
    <row r="539" spans="1:53" s="87" customFormat="1">
      <c r="A539" s="90" t="str">
        <f t="shared" si="34"/>
        <v/>
      </c>
      <c r="B539" s="87">
        <v>2</v>
      </c>
      <c r="C539" s="87">
        <v>1</v>
      </c>
      <c r="D539" s="87" t="s">
        <v>210</v>
      </c>
      <c r="E539" s="87">
        <v>-3</v>
      </c>
      <c r="F539" s="87" t="s">
        <v>210</v>
      </c>
      <c r="G539" s="87">
        <v>2</v>
      </c>
      <c r="H539" s="87" t="s">
        <v>210</v>
      </c>
      <c r="I539" s="87">
        <v>-1</v>
      </c>
      <c r="J539" s="87">
        <v>3</v>
      </c>
      <c r="BA539" s="95"/>
    </row>
    <row r="540" spans="1:53" s="87" customFormat="1">
      <c r="A540" s="90" t="str">
        <f t="shared" si="34"/>
        <v/>
      </c>
      <c r="B540" s="87">
        <v>3</v>
      </c>
      <c r="C540" s="87">
        <v>2</v>
      </c>
      <c r="D540" s="87">
        <v>4</v>
      </c>
      <c r="E540" s="87" t="s">
        <v>210</v>
      </c>
      <c r="F540" s="87">
        <v>-3</v>
      </c>
      <c r="G540" s="87" t="s">
        <v>210</v>
      </c>
      <c r="H540" s="87">
        <v>-2</v>
      </c>
      <c r="I540" s="87">
        <v>1</v>
      </c>
      <c r="J540" s="87" t="s">
        <v>210</v>
      </c>
      <c r="BA540" s="95"/>
    </row>
    <row r="541" spans="1:53" s="87" customFormat="1">
      <c r="A541" s="90" t="str">
        <f t="shared" si="34"/>
        <v/>
      </c>
      <c r="B541" s="87">
        <v>4</v>
      </c>
      <c r="C541" s="87" t="s">
        <v>210</v>
      </c>
      <c r="D541" s="87">
        <v>-4</v>
      </c>
      <c r="E541" s="87" t="s">
        <v>210</v>
      </c>
      <c r="F541" s="87">
        <v>1</v>
      </c>
      <c r="G541" s="87">
        <v>-2</v>
      </c>
      <c r="H541" s="87">
        <v>4</v>
      </c>
      <c r="I541" s="87" t="s">
        <v>210</v>
      </c>
      <c r="J541" s="87">
        <v>-1</v>
      </c>
      <c r="BA541" s="95"/>
    </row>
    <row r="542" spans="1:53" s="87" customFormat="1">
      <c r="A542" s="90" t="str">
        <f t="shared" si="34"/>
        <v/>
      </c>
      <c r="B542" s="87">
        <v>5</v>
      </c>
      <c r="C542" s="87">
        <v>-2</v>
      </c>
      <c r="D542" s="87" t="s">
        <v>210</v>
      </c>
      <c r="E542" s="87">
        <v>3</v>
      </c>
      <c r="F542" s="87" t="s">
        <v>210</v>
      </c>
      <c r="G542" s="87">
        <v>-4</v>
      </c>
      <c r="H542" s="87" t="s">
        <v>210</v>
      </c>
      <c r="I542" s="87">
        <v>2</v>
      </c>
      <c r="J542" s="87">
        <v>1</v>
      </c>
      <c r="BA542" s="95"/>
    </row>
    <row r="543" spans="1:53" s="87" customFormat="1">
      <c r="A543" s="90" t="str">
        <f t="shared" si="34"/>
        <v/>
      </c>
      <c r="B543" s="232">
        <v>6</v>
      </c>
      <c r="C543" s="233">
        <v>-1</v>
      </c>
      <c r="D543" s="233">
        <v>2</v>
      </c>
      <c r="E543" s="233" t="s">
        <v>210</v>
      </c>
      <c r="F543" s="233">
        <v>3</v>
      </c>
      <c r="G543" s="233" t="s">
        <v>210</v>
      </c>
      <c r="H543" s="233">
        <v>-4</v>
      </c>
      <c r="I543" s="233">
        <v>-2</v>
      </c>
      <c r="J543" s="233" t="s">
        <v>210</v>
      </c>
      <c r="BA543" s="95"/>
    </row>
    <row r="544" spans="1:53" s="87" customFormat="1">
      <c r="A544" s="90" t="str">
        <f t="shared" si="34"/>
        <v/>
      </c>
      <c r="B544" s="87">
        <v>7</v>
      </c>
      <c r="C544" s="87" t="s">
        <v>210</v>
      </c>
      <c r="D544" s="87">
        <v>-3</v>
      </c>
      <c r="E544" s="87" t="s">
        <v>210</v>
      </c>
      <c r="F544" s="87">
        <v>4</v>
      </c>
      <c r="G544" s="87">
        <v>-1</v>
      </c>
      <c r="H544" s="87">
        <v>3</v>
      </c>
      <c r="I544" s="87" t="s">
        <v>210</v>
      </c>
      <c r="J544" s="87">
        <v>2</v>
      </c>
      <c r="BA544" s="95"/>
    </row>
    <row r="545" spans="1:53" s="87" customFormat="1">
      <c r="A545" s="90" t="str">
        <f t="shared" si="34"/>
        <v/>
      </c>
      <c r="B545" s="87">
        <v>8</v>
      </c>
      <c r="C545" s="87">
        <v>-4</v>
      </c>
      <c r="D545" s="87" t="s">
        <v>210</v>
      </c>
      <c r="E545" s="87">
        <v>2</v>
      </c>
      <c r="F545" s="87" t="s">
        <v>210</v>
      </c>
      <c r="G545" s="87">
        <v>-3</v>
      </c>
      <c r="H545" s="87" t="s">
        <v>210</v>
      </c>
      <c r="I545" s="87">
        <v>4</v>
      </c>
      <c r="J545" s="87">
        <v>-2</v>
      </c>
      <c r="BA545" s="95"/>
    </row>
    <row r="546" spans="1:53" s="87" customFormat="1">
      <c r="A546" s="90" t="str">
        <f t="shared" si="34"/>
        <v/>
      </c>
      <c r="B546" s="87">
        <v>9</v>
      </c>
      <c r="C546" s="87">
        <v>3</v>
      </c>
      <c r="D546" s="87">
        <v>-1</v>
      </c>
      <c r="E546" s="87" t="s">
        <v>210</v>
      </c>
      <c r="F546" s="87">
        <v>2</v>
      </c>
      <c r="G546" s="87" t="s">
        <v>210</v>
      </c>
      <c r="H546" s="87">
        <v>-3</v>
      </c>
      <c r="I546" s="87">
        <v>-4</v>
      </c>
      <c r="J546" s="87" t="s">
        <v>210</v>
      </c>
      <c r="BA546" s="95"/>
    </row>
    <row r="547" spans="1:53" s="87" customFormat="1">
      <c r="A547" s="90" t="str">
        <f t="shared" si="34"/>
        <v/>
      </c>
      <c r="B547" s="87">
        <v>10</v>
      </c>
      <c r="C547" s="87" t="s">
        <v>210</v>
      </c>
      <c r="D547" s="87">
        <v>1</v>
      </c>
      <c r="E547" s="87" t="s">
        <v>210</v>
      </c>
      <c r="F547" s="87">
        <v>-4</v>
      </c>
      <c r="G547" s="87">
        <v>3</v>
      </c>
      <c r="H547" s="87">
        <v>-1</v>
      </c>
      <c r="I547" s="87" t="s">
        <v>210</v>
      </c>
      <c r="J547" s="87">
        <v>4</v>
      </c>
      <c r="BA547" s="95"/>
    </row>
    <row r="548" spans="1:53" s="87" customFormat="1">
      <c r="A548" s="90" t="str">
        <f t="shared" si="34"/>
        <v/>
      </c>
      <c r="B548" s="87">
        <v>11</v>
      </c>
      <c r="C548" s="87">
        <v>-3</v>
      </c>
      <c r="D548" s="87" t="s">
        <v>210</v>
      </c>
      <c r="E548" s="87">
        <v>-2</v>
      </c>
      <c r="F548" s="87" t="s">
        <v>210</v>
      </c>
      <c r="G548" s="87">
        <v>1</v>
      </c>
      <c r="H548" s="87" t="s">
        <v>210</v>
      </c>
      <c r="I548" s="87">
        <v>3</v>
      </c>
      <c r="J548" s="87">
        <v>-4</v>
      </c>
      <c r="BA548" s="95"/>
    </row>
    <row r="549" spans="1:53" s="87" customFormat="1">
      <c r="A549" s="90" t="str">
        <f t="shared" si="34"/>
        <v/>
      </c>
      <c r="B549" s="87">
        <v>12</v>
      </c>
      <c r="C549" s="87">
        <v>4</v>
      </c>
      <c r="D549" s="87">
        <v>3</v>
      </c>
      <c r="E549" s="87" t="s">
        <v>210</v>
      </c>
      <c r="F549" s="87">
        <v>-2</v>
      </c>
      <c r="G549" s="87" t="s">
        <v>210</v>
      </c>
      <c r="H549" s="87">
        <v>1</v>
      </c>
      <c r="I549" s="87">
        <v>-3</v>
      </c>
      <c r="J549" s="87" t="s">
        <v>210</v>
      </c>
      <c r="BA549" s="95"/>
    </row>
    <row r="550" spans="1:53" s="87" customFormat="1">
      <c r="A550" s="90" t="str">
        <f t="shared" si="34"/>
        <v/>
      </c>
      <c r="B550" s="275" t="s">
        <v>834</v>
      </c>
      <c r="BA550" s="95"/>
    </row>
    <row r="551" spans="1:53" s="87" customFormat="1">
      <c r="A551" s="90">
        <f t="shared" si="34"/>
        <v>551</v>
      </c>
      <c r="B551" s="318" t="s">
        <v>1250</v>
      </c>
      <c r="BA551" s="95"/>
    </row>
    <row r="552" spans="1:53" s="87" customFormat="1">
      <c r="A552" s="90" t="str">
        <f t="shared" si="34"/>
        <v/>
      </c>
      <c r="B552" s="87">
        <v>1</v>
      </c>
      <c r="C552" s="87">
        <v>-2</v>
      </c>
      <c r="D552" s="87" t="s">
        <v>210</v>
      </c>
      <c r="E552" s="87">
        <v>-4</v>
      </c>
      <c r="F552" s="87" t="s">
        <v>210</v>
      </c>
      <c r="G552" s="87" t="s">
        <v>210</v>
      </c>
      <c r="H552" s="87">
        <v>-1</v>
      </c>
      <c r="I552" s="87" t="s">
        <v>210</v>
      </c>
      <c r="J552" s="87">
        <v>2</v>
      </c>
      <c r="K552" s="87">
        <v>-3</v>
      </c>
      <c r="L552" s="87" t="s">
        <v>210</v>
      </c>
      <c r="M552" s="87">
        <v>1</v>
      </c>
      <c r="N552" s="87" t="s">
        <v>210</v>
      </c>
      <c r="O552" s="87" t="s">
        <v>210</v>
      </c>
      <c r="P552" s="87">
        <v>3</v>
      </c>
      <c r="BA552" s="95"/>
    </row>
    <row r="553" spans="1:53" s="87" customFormat="1">
      <c r="A553" s="90" t="str">
        <f t="shared" si="34"/>
        <v/>
      </c>
      <c r="B553" s="87">
        <v>2</v>
      </c>
      <c r="C553" s="87">
        <v>1</v>
      </c>
      <c r="D553" s="87" t="s">
        <v>210</v>
      </c>
      <c r="E553" s="87">
        <v>-2</v>
      </c>
      <c r="F553" s="87" t="s">
        <v>210</v>
      </c>
      <c r="G553" s="87" t="s">
        <v>210</v>
      </c>
      <c r="H553" s="87">
        <v>3</v>
      </c>
      <c r="I553" s="87" t="s">
        <v>210</v>
      </c>
      <c r="J553" s="87">
        <v>4</v>
      </c>
      <c r="K553" s="87">
        <v>2</v>
      </c>
      <c r="L553" s="87" t="s">
        <v>210</v>
      </c>
      <c r="M553" s="87">
        <v>-4</v>
      </c>
      <c r="N553" s="87" t="s">
        <v>210</v>
      </c>
      <c r="O553" s="87" t="s">
        <v>210</v>
      </c>
      <c r="P553" s="87">
        <v>-3</v>
      </c>
      <c r="BA553" s="95"/>
    </row>
    <row r="554" spans="1:53" s="87" customFormat="1">
      <c r="A554" s="90" t="str">
        <f t="shared" si="34"/>
        <v/>
      </c>
      <c r="B554" s="87">
        <v>3</v>
      </c>
      <c r="C554" s="87">
        <v>-3</v>
      </c>
      <c r="D554" s="87" t="s">
        <v>210</v>
      </c>
      <c r="E554" s="87">
        <v>1</v>
      </c>
      <c r="F554" s="87" t="s">
        <v>210</v>
      </c>
      <c r="G554" s="87" t="s">
        <v>210</v>
      </c>
      <c r="H554" s="87">
        <v>4</v>
      </c>
      <c r="I554" s="87" t="s">
        <v>210</v>
      </c>
      <c r="J554" s="87">
        <v>3</v>
      </c>
      <c r="K554" s="87">
        <v>-2</v>
      </c>
      <c r="L554" s="87" t="s">
        <v>210</v>
      </c>
      <c r="M554" s="87">
        <v>-1</v>
      </c>
      <c r="N554" s="87" t="s">
        <v>210</v>
      </c>
      <c r="O554" s="87" t="s">
        <v>210</v>
      </c>
      <c r="P554" s="87">
        <v>2</v>
      </c>
      <c r="BA554" s="95"/>
    </row>
    <row r="555" spans="1:53" s="87" customFormat="1">
      <c r="A555" s="90" t="str">
        <f t="shared" si="34"/>
        <v/>
      </c>
      <c r="B555" s="87">
        <v>4</v>
      </c>
      <c r="C555" s="87">
        <v>-4</v>
      </c>
      <c r="D555" s="87" t="s">
        <v>210</v>
      </c>
      <c r="E555" s="87">
        <v>-3</v>
      </c>
      <c r="F555" s="87" t="s">
        <v>210</v>
      </c>
      <c r="G555" s="87" t="s">
        <v>210</v>
      </c>
      <c r="H555" s="87">
        <v>2</v>
      </c>
      <c r="I555" s="87" t="s">
        <v>210</v>
      </c>
      <c r="J555" s="87">
        <v>-1</v>
      </c>
      <c r="K555" s="87">
        <v>3</v>
      </c>
      <c r="L555" s="87" t="s">
        <v>210</v>
      </c>
      <c r="M555" s="87">
        <v>4</v>
      </c>
      <c r="N555" s="87" t="s">
        <v>210</v>
      </c>
      <c r="O555" s="87" t="s">
        <v>210</v>
      </c>
      <c r="P555" s="87">
        <v>-2</v>
      </c>
      <c r="BA555" s="95"/>
    </row>
    <row r="556" spans="1:53" s="87" customFormat="1">
      <c r="A556" s="90" t="str">
        <f t="shared" si="34"/>
        <v/>
      </c>
      <c r="B556" s="87">
        <v>5</v>
      </c>
      <c r="C556" s="87">
        <v>-1</v>
      </c>
      <c r="D556" s="87" t="s">
        <v>210</v>
      </c>
      <c r="E556" s="87">
        <v>3</v>
      </c>
      <c r="F556" s="87" t="s">
        <v>210</v>
      </c>
      <c r="G556" s="87" t="s">
        <v>210</v>
      </c>
      <c r="H556" s="87">
        <v>-4</v>
      </c>
      <c r="I556" s="87" t="s">
        <v>210</v>
      </c>
      <c r="J556" s="87">
        <v>-2</v>
      </c>
      <c r="K556" s="87">
        <v>4</v>
      </c>
      <c r="L556" s="87" t="s">
        <v>210</v>
      </c>
      <c r="M556" s="87">
        <v>-3</v>
      </c>
      <c r="N556" s="87" t="s">
        <v>210</v>
      </c>
      <c r="O556" s="87" t="s">
        <v>210</v>
      </c>
      <c r="P556" s="87">
        <v>1</v>
      </c>
      <c r="BA556" s="95"/>
    </row>
    <row r="557" spans="1:53" s="87" customFormat="1">
      <c r="A557" s="90" t="str">
        <f t="shared" si="34"/>
        <v/>
      </c>
      <c r="B557" s="87">
        <v>6</v>
      </c>
      <c r="C557" s="87">
        <v>3</v>
      </c>
      <c r="D557" s="87" t="s">
        <v>210</v>
      </c>
      <c r="E557" s="87">
        <v>4</v>
      </c>
      <c r="F557" s="87" t="s">
        <v>210</v>
      </c>
      <c r="G557" s="87" t="s">
        <v>210</v>
      </c>
      <c r="H557" s="87">
        <v>-2</v>
      </c>
      <c r="I557" s="87" t="s">
        <v>210</v>
      </c>
      <c r="J557" s="87">
        <v>-4</v>
      </c>
      <c r="K557" s="87">
        <v>1</v>
      </c>
      <c r="L557" s="87" t="s">
        <v>210</v>
      </c>
      <c r="M557" s="87">
        <v>2</v>
      </c>
      <c r="N557" s="87" t="s">
        <v>210</v>
      </c>
      <c r="O557" s="87" t="s">
        <v>210</v>
      </c>
      <c r="P557" s="87">
        <v>-1</v>
      </c>
      <c r="BA557" s="95"/>
    </row>
    <row r="558" spans="1:53" s="87" customFormat="1">
      <c r="A558" s="90" t="str">
        <f t="shared" si="34"/>
        <v/>
      </c>
      <c r="B558" s="87">
        <v>7</v>
      </c>
      <c r="C558" s="87">
        <v>4</v>
      </c>
      <c r="D558" s="87" t="s">
        <v>210</v>
      </c>
      <c r="E558" s="87">
        <v>2</v>
      </c>
      <c r="F558" s="87" t="s">
        <v>210</v>
      </c>
      <c r="G558" s="87" t="s">
        <v>210</v>
      </c>
      <c r="H558" s="87">
        <v>1</v>
      </c>
      <c r="I558" s="87" t="s">
        <v>210</v>
      </c>
      <c r="J558" s="87">
        <v>-3</v>
      </c>
      <c r="K558" s="87">
        <v>-1</v>
      </c>
      <c r="L558" s="87" t="s">
        <v>210</v>
      </c>
      <c r="M558" s="87">
        <v>3</v>
      </c>
      <c r="N558" s="87" t="s">
        <v>210</v>
      </c>
      <c r="O558" s="87" t="s">
        <v>210</v>
      </c>
      <c r="P558" s="87">
        <v>-4</v>
      </c>
      <c r="BA558" s="95"/>
    </row>
    <row r="559" spans="1:53" s="87" customFormat="1">
      <c r="A559" s="90" t="str">
        <f t="shared" si="34"/>
        <v/>
      </c>
      <c r="B559" s="232">
        <v>8</v>
      </c>
      <c r="C559" s="233">
        <v>2</v>
      </c>
      <c r="D559" s="233" t="s">
        <v>210</v>
      </c>
      <c r="E559" s="233">
        <v>-1</v>
      </c>
      <c r="F559" s="233" t="s">
        <v>210</v>
      </c>
      <c r="G559" s="233" t="s">
        <v>210</v>
      </c>
      <c r="H559" s="233">
        <v>-3</v>
      </c>
      <c r="I559" s="233" t="s">
        <v>210</v>
      </c>
      <c r="J559" s="233">
        <v>1</v>
      </c>
      <c r="K559" s="233">
        <v>-4</v>
      </c>
      <c r="L559" s="233" t="s">
        <v>210</v>
      </c>
      <c r="M559" s="233">
        <v>-2</v>
      </c>
      <c r="N559" s="233" t="s">
        <v>210</v>
      </c>
      <c r="O559" s="233" t="s">
        <v>210</v>
      </c>
      <c r="P559" s="233">
        <v>4</v>
      </c>
      <c r="BA559" s="95"/>
    </row>
    <row r="560" spans="1:53" s="87" customFormat="1">
      <c r="A560" s="90" t="str">
        <f t="shared" si="34"/>
        <v/>
      </c>
      <c r="B560" s="87">
        <v>9</v>
      </c>
      <c r="C560" s="87" t="s">
        <v>210</v>
      </c>
      <c r="D560" s="87">
        <v>-2</v>
      </c>
      <c r="E560" s="87" t="s">
        <v>210</v>
      </c>
      <c r="F560" s="87">
        <v>-4</v>
      </c>
      <c r="G560" s="87">
        <v>-1</v>
      </c>
      <c r="H560" s="87" t="s">
        <v>210</v>
      </c>
      <c r="I560" s="87">
        <v>2</v>
      </c>
      <c r="J560" s="87" t="s">
        <v>210</v>
      </c>
      <c r="K560" s="87" t="s">
        <v>210</v>
      </c>
      <c r="L560" s="87">
        <v>-3</v>
      </c>
      <c r="M560" s="87" t="s">
        <v>210</v>
      </c>
      <c r="N560" s="87">
        <v>1</v>
      </c>
      <c r="O560" s="87">
        <v>3</v>
      </c>
      <c r="P560" s="87" t="s">
        <v>210</v>
      </c>
      <c r="BA560" s="95"/>
    </row>
    <row r="561" spans="1:53" s="87" customFormat="1">
      <c r="A561" s="90" t="str">
        <f t="shared" si="34"/>
        <v/>
      </c>
      <c r="B561" s="87">
        <v>10</v>
      </c>
      <c r="C561" s="87" t="s">
        <v>210</v>
      </c>
      <c r="D561" s="87">
        <v>1</v>
      </c>
      <c r="E561" s="87" t="s">
        <v>210</v>
      </c>
      <c r="F561" s="87">
        <v>-2</v>
      </c>
      <c r="G561" s="87">
        <v>3</v>
      </c>
      <c r="H561" s="87" t="s">
        <v>210</v>
      </c>
      <c r="I561" s="87">
        <v>4</v>
      </c>
      <c r="J561" s="87" t="s">
        <v>210</v>
      </c>
      <c r="K561" s="87" t="s">
        <v>210</v>
      </c>
      <c r="L561" s="87">
        <v>2</v>
      </c>
      <c r="M561" s="87" t="s">
        <v>210</v>
      </c>
      <c r="N561" s="87">
        <v>-4</v>
      </c>
      <c r="O561" s="87">
        <v>-3</v>
      </c>
      <c r="P561" s="87" t="s">
        <v>210</v>
      </c>
      <c r="BA561" s="95"/>
    </row>
    <row r="562" spans="1:53" s="87" customFormat="1">
      <c r="A562" s="90" t="str">
        <f t="shared" si="34"/>
        <v/>
      </c>
      <c r="B562" s="87">
        <v>11</v>
      </c>
      <c r="C562" s="87" t="s">
        <v>210</v>
      </c>
      <c r="D562" s="87">
        <v>-3</v>
      </c>
      <c r="E562" s="87" t="s">
        <v>210</v>
      </c>
      <c r="F562" s="87">
        <v>1</v>
      </c>
      <c r="G562" s="87">
        <v>4</v>
      </c>
      <c r="H562" s="87" t="s">
        <v>210</v>
      </c>
      <c r="I562" s="87">
        <v>3</v>
      </c>
      <c r="J562" s="87" t="s">
        <v>210</v>
      </c>
      <c r="K562" s="87" t="s">
        <v>210</v>
      </c>
      <c r="L562" s="87">
        <v>-2</v>
      </c>
      <c r="M562" s="87" t="s">
        <v>210</v>
      </c>
      <c r="N562" s="87">
        <v>-1</v>
      </c>
      <c r="O562" s="87">
        <v>2</v>
      </c>
      <c r="P562" s="87" t="s">
        <v>210</v>
      </c>
      <c r="BA562" s="95"/>
    </row>
    <row r="563" spans="1:53" s="87" customFormat="1">
      <c r="A563" s="90" t="str">
        <f t="shared" si="34"/>
        <v/>
      </c>
      <c r="B563" s="87">
        <v>12</v>
      </c>
      <c r="C563" s="87" t="s">
        <v>210</v>
      </c>
      <c r="D563" s="87">
        <v>-4</v>
      </c>
      <c r="E563" s="87" t="s">
        <v>210</v>
      </c>
      <c r="F563" s="87">
        <v>-3</v>
      </c>
      <c r="G563" s="87">
        <v>2</v>
      </c>
      <c r="H563" s="87" t="s">
        <v>210</v>
      </c>
      <c r="I563" s="87">
        <v>-1</v>
      </c>
      <c r="J563" s="87" t="s">
        <v>210</v>
      </c>
      <c r="K563" s="87" t="s">
        <v>210</v>
      </c>
      <c r="L563" s="87">
        <v>3</v>
      </c>
      <c r="M563" s="87" t="s">
        <v>210</v>
      </c>
      <c r="N563" s="87">
        <v>4</v>
      </c>
      <c r="O563" s="87">
        <v>-2</v>
      </c>
      <c r="P563" s="87" t="s">
        <v>210</v>
      </c>
      <c r="BA563" s="95"/>
    </row>
    <row r="564" spans="1:53" s="87" customFormat="1">
      <c r="A564" s="90" t="str">
        <f t="shared" si="34"/>
        <v/>
      </c>
      <c r="B564" s="87">
        <v>13</v>
      </c>
      <c r="C564" s="87" t="s">
        <v>210</v>
      </c>
      <c r="D564" s="87">
        <v>-1</v>
      </c>
      <c r="E564" s="87" t="s">
        <v>210</v>
      </c>
      <c r="F564" s="87">
        <v>3</v>
      </c>
      <c r="G564" s="87">
        <v>-4</v>
      </c>
      <c r="H564" s="87" t="s">
        <v>210</v>
      </c>
      <c r="I564" s="87">
        <v>-2</v>
      </c>
      <c r="J564" s="87" t="s">
        <v>210</v>
      </c>
      <c r="K564" s="87" t="s">
        <v>210</v>
      </c>
      <c r="L564" s="87">
        <v>4</v>
      </c>
      <c r="M564" s="87" t="s">
        <v>210</v>
      </c>
      <c r="N564" s="87">
        <v>-3</v>
      </c>
      <c r="O564" s="87">
        <v>1</v>
      </c>
      <c r="P564" s="87" t="s">
        <v>210</v>
      </c>
      <c r="BA564" s="95"/>
    </row>
    <row r="565" spans="1:53" s="87" customFormat="1">
      <c r="A565" s="90" t="str">
        <f t="shared" si="34"/>
        <v/>
      </c>
      <c r="B565" s="87">
        <v>14</v>
      </c>
      <c r="C565" s="87" t="s">
        <v>210</v>
      </c>
      <c r="D565" s="87">
        <v>3</v>
      </c>
      <c r="E565" s="87" t="s">
        <v>210</v>
      </c>
      <c r="F565" s="87">
        <v>4</v>
      </c>
      <c r="G565" s="87">
        <v>-2</v>
      </c>
      <c r="H565" s="87" t="s">
        <v>210</v>
      </c>
      <c r="I565" s="87">
        <v>-4</v>
      </c>
      <c r="J565" s="87" t="s">
        <v>210</v>
      </c>
      <c r="K565" s="87" t="s">
        <v>210</v>
      </c>
      <c r="L565" s="87">
        <v>1</v>
      </c>
      <c r="M565" s="87" t="s">
        <v>210</v>
      </c>
      <c r="N565" s="87">
        <v>2</v>
      </c>
      <c r="O565" s="87">
        <v>-1</v>
      </c>
      <c r="P565" s="87" t="s">
        <v>210</v>
      </c>
      <c r="BA565" s="95"/>
    </row>
    <row r="566" spans="1:53" s="87" customFormat="1">
      <c r="A566" s="90" t="str">
        <f t="shared" si="34"/>
        <v/>
      </c>
      <c r="B566" s="87">
        <v>15</v>
      </c>
      <c r="C566" s="87" t="s">
        <v>210</v>
      </c>
      <c r="D566" s="87">
        <v>4</v>
      </c>
      <c r="E566" s="87" t="s">
        <v>210</v>
      </c>
      <c r="F566" s="87">
        <v>2</v>
      </c>
      <c r="G566" s="87">
        <v>1</v>
      </c>
      <c r="H566" s="87" t="s">
        <v>210</v>
      </c>
      <c r="I566" s="87">
        <v>-3</v>
      </c>
      <c r="J566" s="87" t="s">
        <v>210</v>
      </c>
      <c r="K566" s="87" t="s">
        <v>210</v>
      </c>
      <c r="L566" s="87">
        <v>-1</v>
      </c>
      <c r="M566" s="87" t="s">
        <v>210</v>
      </c>
      <c r="N566" s="87">
        <v>3</v>
      </c>
      <c r="O566" s="87">
        <v>-4</v>
      </c>
      <c r="P566" s="87" t="s">
        <v>210</v>
      </c>
      <c r="BA566" s="95"/>
    </row>
    <row r="567" spans="1:53" s="87" customFormat="1">
      <c r="A567" s="90" t="str">
        <f t="shared" si="34"/>
        <v/>
      </c>
      <c r="B567" s="87">
        <v>16</v>
      </c>
      <c r="C567" s="87" t="s">
        <v>210</v>
      </c>
      <c r="D567" s="87">
        <v>2</v>
      </c>
      <c r="E567" s="87" t="s">
        <v>210</v>
      </c>
      <c r="F567" s="87">
        <v>-1</v>
      </c>
      <c r="G567" s="87">
        <v>-3</v>
      </c>
      <c r="H567" s="87" t="s">
        <v>210</v>
      </c>
      <c r="I567" s="87">
        <v>1</v>
      </c>
      <c r="J567" s="87" t="s">
        <v>210</v>
      </c>
      <c r="K567" s="87" t="s">
        <v>210</v>
      </c>
      <c r="L567" s="87">
        <v>-4</v>
      </c>
      <c r="M567" s="87" t="s">
        <v>210</v>
      </c>
      <c r="N567" s="87">
        <v>-2</v>
      </c>
      <c r="O567" s="87">
        <v>4</v>
      </c>
      <c r="P567" s="87" t="s">
        <v>210</v>
      </c>
      <c r="BA567" s="95"/>
    </row>
    <row r="568" spans="1:53" s="87" customFormat="1">
      <c r="A568" s="90" t="str">
        <f t="shared" si="34"/>
        <v/>
      </c>
      <c r="B568" s="286" t="s">
        <v>281</v>
      </c>
      <c r="BA568" s="95"/>
    </row>
    <row r="569" spans="1:53" s="87" customFormat="1">
      <c r="A569" s="90">
        <f t="shared" si="34"/>
        <v>569</v>
      </c>
      <c r="B569" s="87" t="s">
        <v>847</v>
      </c>
      <c r="BA569" s="95"/>
    </row>
    <row r="570" spans="1:53" s="87" customFormat="1">
      <c r="A570" s="90" t="str">
        <f t="shared" si="34"/>
        <v/>
      </c>
      <c r="B570" s="87">
        <v>1</v>
      </c>
      <c r="C570" s="87">
        <v>1</v>
      </c>
      <c r="D570" s="87" t="s">
        <v>210</v>
      </c>
      <c r="E570" s="87">
        <v>3</v>
      </c>
      <c r="F570" s="87" t="s">
        <v>210</v>
      </c>
      <c r="G570" s="87" t="s">
        <v>210</v>
      </c>
      <c r="H570" s="87">
        <v>-2</v>
      </c>
      <c r="I570" s="87">
        <v>4</v>
      </c>
      <c r="J570" s="87" t="s">
        <v>210</v>
      </c>
      <c r="K570" s="87">
        <v>-3</v>
      </c>
      <c r="L570" s="87" t="s">
        <v>210</v>
      </c>
      <c r="BA570" s="95"/>
    </row>
    <row r="571" spans="1:53" s="87" customFormat="1">
      <c r="A571" s="90" t="str">
        <f t="shared" si="34"/>
        <v/>
      </c>
      <c r="B571" s="87">
        <v>2</v>
      </c>
      <c r="C571" s="87">
        <v>-2</v>
      </c>
      <c r="D571" s="87" t="s">
        <v>210</v>
      </c>
      <c r="E571" s="87">
        <v>-1</v>
      </c>
      <c r="F571" s="87" t="s">
        <v>210</v>
      </c>
      <c r="G571" s="87">
        <v>2</v>
      </c>
      <c r="H571" s="87" t="s">
        <v>210</v>
      </c>
      <c r="I571" s="87" t="s">
        <v>210</v>
      </c>
      <c r="J571" s="87">
        <v>-4</v>
      </c>
      <c r="K571" s="87">
        <v>3</v>
      </c>
      <c r="L571" s="87" t="s">
        <v>210</v>
      </c>
      <c r="BA571" s="95"/>
    </row>
    <row r="572" spans="1:53" s="87" customFormat="1">
      <c r="A572" s="90" t="str">
        <f t="shared" si="34"/>
        <v/>
      </c>
      <c r="B572" s="87">
        <v>3</v>
      </c>
      <c r="C572" s="87">
        <v>4</v>
      </c>
      <c r="D572" s="87" t="s">
        <v>210</v>
      </c>
      <c r="E572" s="87" t="s">
        <v>210</v>
      </c>
      <c r="F572" s="87">
        <v>3</v>
      </c>
      <c r="G572" s="87">
        <v>-2</v>
      </c>
      <c r="H572" s="87" t="s">
        <v>210</v>
      </c>
      <c r="I572" s="87">
        <v>-4</v>
      </c>
      <c r="J572" s="87" t="s">
        <v>210</v>
      </c>
      <c r="K572" s="87">
        <v>-1</v>
      </c>
      <c r="L572" s="87" t="s">
        <v>210</v>
      </c>
      <c r="BA572" s="95"/>
    </row>
    <row r="573" spans="1:53" s="87" customFormat="1">
      <c r="A573" s="90" t="str">
        <f t="shared" si="34"/>
        <v/>
      </c>
      <c r="B573" s="87">
        <v>4</v>
      </c>
      <c r="C573" s="87">
        <v>2</v>
      </c>
      <c r="D573" s="87" t="s">
        <v>210</v>
      </c>
      <c r="E573" s="87">
        <v>-3</v>
      </c>
      <c r="F573" s="87" t="s">
        <v>210</v>
      </c>
      <c r="G573" s="87">
        <v>-1</v>
      </c>
      <c r="H573" s="87" t="s">
        <v>210</v>
      </c>
      <c r="I573" s="87" t="s">
        <v>210</v>
      </c>
      <c r="J573" s="87">
        <v>3</v>
      </c>
      <c r="K573" s="87">
        <v>1</v>
      </c>
      <c r="L573" s="87" t="s">
        <v>210</v>
      </c>
      <c r="BA573" s="95"/>
    </row>
    <row r="574" spans="1:53" s="87" customFormat="1">
      <c r="A574" s="90" t="str">
        <f t="shared" si="34"/>
        <v/>
      </c>
      <c r="B574" s="87">
        <v>5</v>
      </c>
      <c r="C574" s="87">
        <v>-4</v>
      </c>
      <c r="D574" s="87" t="s">
        <v>210</v>
      </c>
      <c r="E574" s="87">
        <v>1</v>
      </c>
      <c r="F574" s="87" t="s">
        <v>210</v>
      </c>
      <c r="G574" s="87" t="s">
        <v>210</v>
      </c>
      <c r="H574" s="87">
        <v>2</v>
      </c>
      <c r="I574" s="87" t="s">
        <v>210</v>
      </c>
      <c r="J574" s="87">
        <v>-3</v>
      </c>
      <c r="K574" s="87">
        <v>-2</v>
      </c>
      <c r="L574" s="87" t="s">
        <v>210</v>
      </c>
      <c r="BA574" s="95"/>
    </row>
    <row r="575" spans="1:53" s="87" customFormat="1">
      <c r="A575" s="90" t="str">
        <f t="shared" si="34"/>
        <v/>
      </c>
      <c r="B575" s="232">
        <v>6</v>
      </c>
      <c r="C575" s="233">
        <v>-1</v>
      </c>
      <c r="D575" s="233" t="s">
        <v>210</v>
      </c>
      <c r="E575" s="233" t="s">
        <v>210</v>
      </c>
      <c r="F575" s="233">
        <v>-3</v>
      </c>
      <c r="G575" s="233">
        <v>1</v>
      </c>
      <c r="H575" s="233" t="s">
        <v>210</v>
      </c>
      <c r="I575" s="233" t="s">
        <v>210</v>
      </c>
      <c r="J575" s="233">
        <v>4</v>
      </c>
      <c r="K575" s="233">
        <v>2</v>
      </c>
      <c r="L575" s="233" t="s">
        <v>210</v>
      </c>
      <c r="BA575" s="95"/>
    </row>
    <row r="576" spans="1:53" s="87" customFormat="1">
      <c r="A576" s="90" t="str">
        <f t="shared" si="34"/>
        <v/>
      </c>
      <c r="B576" s="87">
        <v>7</v>
      </c>
      <c r="C576" s="87" t="s">
        <v>210</v>
      </c>
      <c r="D576" s="87">
        <v>-3</v>
      </c>
      <c r="E576" s="87">
        <v>-4</v>
      </c>
      <c r="F576" s="87" t="s">
        <v>210</v>
      </c>
      <c r="G576" s="87">
        <v>3</v>
      </c>
      <c r="H576" s="87" t="s">
        <v>210</v>
      </c>
      <c r="I576" s="87">
        <v>1</v>
      </c>
      <c r="J576" s="87" t="s">
        <v>210</v>
      </c>
      <c r="K576" s="87" t="s">
        <v>210</v>
      </c>
      <c r="L576" s="87">
        <v>2</v>
      </c>
      <c r="BA576" s="95"/>
    </row>
    <row r="577" spans="1:53" s="87" customFormat="1">
      <c r="A577" s="90" t="str">
        <f t="shared" si="34"/>
        <v/>
      </c>
      <c r="B577" s="87">
        <v>8</v>
      </c>
      <c r="C577" s="87">
        <v>-3</v>
      </c>
      <c r="D577" s="87" t="s">
        <v>210</v>
      </c>
      <c r="E577" s="87" t="s">
        <v>210</v>
      </c>
      <c r="F577" s="87">
        <v>1</v>
      </c>
      <c r="G577" s="87">
        <v>-4</v>
      </c>
      <c r="H577" s="87" t="s">
        <v>210</v>
      </c>
      <c r="I577" s="87">
        <v>3</v>
      </c>
      <c r="J577" s="87" t="s">
        <v>210</v>
      </c>
      <c r="K577" s="87" t="s">
        <v>210</v>
      </c>
      <c r="L577" s="87">
        <v>-2</v>
      </c>
      <c r="BA577" s="95"/>
    </row>
    <row r="578" spans="1:53" s="87" customFormat="1">
      <c r="A578" s="90" t="str">
        <f t="shared" si="34"/>
        <v/>
      </c>
      <c r="B578" s="87">
        <v>9</v>
      </c>
      <c r="C578" s="87" t="s">
        <v>210</v>
      </c>
      <c r="D578" s="87">
        <v>-4</v>
      </c>
      <c r="E578" s="87">
        <v>2</v>
      </c>
      <c r="F578" s="87" t="s">
        <v>210</v>
      </c>
      <c r="G578" s="87">
        <v>4</v>
      </c>
      <c r="H578" s="87" t="s">
        <v>210</v>
      </c>
      <c r="I578" s="87">
        <v>-1</v>
      </c>
      <c r="J578" s="87" t="s">
        <v>210</v>
      </c>
      <c r="K578" s="87" t="s">
        <v>210</v>
      </c>
      <c r="L578" s="87">
        <v>3</v>
      </c>
      <c r="BA578" s="95"/>
    </row>
    <row r="579" spans="1:53" s="87" customFormat="1">
      <c r="A579" s="90" t="str">
        <f t="shared" si="34"/>
        <v/>
      </c>
      <c r="B579" s="87">
        <v>10</v>
      </c>
      <c r="C579" s="87">
        <v>3</v>
      </c>
      <c r="D579" s="87" t="s">
        <v>210</v>
      </c>
      <c r="E579" s="87">
        <v>4</v>
      </c>
      <c r="F579" s="87" t="s">
        <v>210</v>
      </c>
      <c r="G579" s="87" t="s">
        <v>210</v>
      </c>
      <c r="H579" s="87">
        <v>-1</v>
      </c>
      <c r="I579" s="87">
        <v>-2</v>
      </c>
      <c r="J579" s="87" t="s">
        <v>210</v>
      </c>
      <c r="K579" s="87" t="s">
        <v>210</v>
      </c>
      <c r="L579" s="87">
        <v>-3</v>
      </c>
      <c r="BA579" s="95"/>
    </row>
    <row r="580" spans="1:53" s="87" customFormat="1">
      <c r="A580" s="90" t="str">
        <f t="shared" si="34"/>
        <v/>
      </c>
      <c r="B580" s="87">
        <v>11</v>
      </c>
      <c r="C580" s="87" t="s">
        <v>210</v>
      </c>
      <c r="D580" s="87">
        <v>3</v>
      </c>
      <c r="E580" s="87">
        <v>-2</v>
      </c>
      <c r="F580" s="87" t="s">
        <v>210</v>
      </c>
      <c r="G580" s="87" t="s">
        <v>210</v>
      </c>
      <c r="H580" s="87">
        <v>1</v>
      </c>
      <c r="I580" s="87">
        <v>-3</v>
      </c>
      <c r="J580" s="87" t="s">
        <v>210</v>
      </c>
      <c r="K580" s="87">
        <v>4</v>
      </c>
      <c r="L580" s="87" t="s">
        <v>210</v>
      </c>
      <c r="BA580" s="95"/>
    </row>
    <row r="581" spans="1:53" s="87" customFormat="1">
      <c r="A581" s="90" t="str">
        <f t="shared" si="34"/>
        <v/>
      </c>
      <c r="B581" s="87">
        <v>12</v>
      </c>
      <c r="C581" s="87" t="s">
        <v>210</v>
      </c>
      <c r="D581" s="87">
        <v>4</v>
      </c>
      <c r="E581" s="87" t="s">
        <v>210</v>
      </c>
      <c r="F581" s="87">
        <v>-1</v>
      </c>
      <c r="G581" s="87">
        <v>-3</v>
      </c>
      <c r="H581" s="87" t="s">
        <v>210</v>
      </c>
      <c r="I581" s="87">
        <v>2</v>
      </c>
      <c r="J581" s="87" t="s">
        <v>210</v>
      </c>
      <c r="K581" s="87">
        <v>-4</v>
      </c>
      <c r="L581" s="87" t="s">
        <v>210</v>
      </c>
      <c r="BA581" s="95"/>
    </row>
    <row r="582" spans="1:53" s="87" customFormat="1">
      <c r="A582" s="90" t="str">
        <f t="shared" si="34"/>
        <v/>
      </c>
      <c r="B582" s="287" t="s">
        <v>241</v>
      </c>
      <c r="BA582" s="95"/>
    </row>
    <row r="583" spans="1:53" s="87" customFormat="1">
      <c r="A583" s="90">
        <f t="shared" si="34"/>
        <v>583</v>
      </c>
      <c r="B583" s="318" t="s">
        <v>1254</v>
      </c>
      <c r="BA583" s="95"/>
    </row>
    <row r="584" spans="1:53" s="87" customFormat="1">
      <c r="A584" s="90" t="str">
        <f t="shared" si="34"/>
        <v/>
      </c>
      <c r="B584" s="87">
        <v>1</v>
      </c>
      <c r="C584" s="87" t="s">
        <v>210</v>
      </c>
      <c r="D584" s="87">
        <v>-3</v>
      </c>
      <c r="E584" s="87" t="s">
        <v>210</v>
      </c>
      <c r="F584" s="87" t="s">
        <v>210</v>
      </c>
      <c r="G584" s="87">
        <v>1</v>
      </c>
      <c r="H584" s="87" t="s">
        <v>210</v>
      </c>
      <c r="I584" s="87">
        <v>2</v>
      </c>
      <c r="J584" s="87" t="s">
        <v>210</v>
      </c>
      <c r="K584" s="87" t="s">
        <v>210</v>
      </c>
      <c r="L584" s="87" t="s">
        <v>210</v>
      </c>
      <c r="M584" s="87">
        <v>-4</v>
      </c>
      <c r="N584" s="87">
        <v>3</v>
      </c>
      <c r="O584" s="87" t="s">
        <v>210</v>
      </c>
      <c r="P584" s="87">
        <v>-1</v>
      </c>
      <c r="Q584" s="87" t="s">
        <v>210</v>
      </c>
      <c r="R584" s="87" t="s">
        <v>210</v>
      </c>
      <c r="S584" s="87">
        <v>-2</v>
      </c>
      <c r="T584" s="87" t="s">
        <v>210</v>
      </c>
      <c r="U584" s="87" t="s">
        <v>210</v>
      </c>
      <c r="V584" s="87">
        <v>1</v>
      </c>
      <c r="W584" s="87" t="s">
        <v>210</v>
      </c>
      <c r="X584" s="87">
        <v>3</v>
      </c>
      <c r="Y584" s="87" t="s">
        <v>210</v>
      </c>
      <c r="BA584" s="95"/>
    </row>
    <row r="585" spans="1:53" s="87" customFormat="1">
      <c r="A585" s="90" t="str">
        <f t="shared" si="34"/>
        <v/>
      </c>
      <c r="B585" s="87">
        <v>2</v>
      </c>
      <c r="C585" s="87" t="s">
        <v>210</v>
      </c>
      <c r="D585" s="87">
        <v>-1</v>
      </c>
      <c r="E585" s="87" t="s">
        <v>210</v>
      </c>
      <c r="F585" s="87" t="s">
        <v>210</v>
      </c>
      <c r="G585" s="87">
        <v>-3</v>
      </c>
      <c r="H585" s="87" t="s">
        <v>210</v>
      </c>
      <c r="I585" s="87">
        <v>1</v>
      </c>
      <c r="J585" s="87" t="s">
        <v>210</v>
      </c>
      <c r="K585" s="87">
        <v>-4</v>
      </c>
      <c r="L585" s="87" t="s">
        <v>210</v>
      </c>
      <c r="M585" s="87" t="s">
        <v>210</v>
      </c>
      <c r="N585" s="87">
        <v>2</v>
      </c>
      <c r="O585" s="87" t="s">
        <v>210</v>
      </c>
      <c r="P585" s="87">
        <v>3</v>
      </c>
      <c r="Q585" s="87" t="s">
        <v>210</v>
      </c>
      <c r="R585" s="87" t="s">
        <v>210</v>
      </c>
      <c r="S585" s="87">
        <v>4</v>
      </c>
      <c r="T585" s="87" t="s">
        <v>210</v>
      </c>
      <c r="U585" s="87">
        <v>-1</v>
      </c>
      <c r="V585" s="87" t="s">
        <v>210</v>
      </c>
      <c r="W585" s="87" t="s">
        <v>210</v>
      </c>
      <c r="X585" s="87">
        <v>-3</v>
      </c>
      <c r="Y585" s="87" t="s">
        <v>210</v>
      </c>
      <c r="BA585" s="95"/>
    </row>
    <row r="586" spans="1:53" s="87" customFormat="1">
      <c r="A586" s="90" t="str">
        <f t="shared" si="34"/>
        <v/>
      </c>
      <c r="B586" s="87">
        <v>3</v>
      </c>
      <c r="C586" s="87" t="s">
        <v>210</v>
      </c>
      <c r="D586" s="87">
        <v>-4</v>
      </c>
      <c r="E586" s="87" t="s">
        <v>210</v>
      </c>
      <c r="F586" s="87" t="s">
        <v>210</v>
      </c>
      <c r="G586" s="87">
        <v>2</v>
      </c>
      <c r="H586" s="87" t="s">
        <v>210</v>
      </c>
      <c r="I586" s="87" t="s">
        <v>210</v>
      </c>
      <c r="J586" s="87" t="s">
        <v>210</v>
      </c>
      <c r="K586" s="87">
        <v>-1</v>
      </c>
      <c r="L586" s="87" t="s">
        <v>210</v>
      </c>
      <c r="M586" s="87">
        <v>4</v>
      </c>
      <c r="N586" s="87">
        <v>1</v>
      </c>
      <c r="O586" s="87" t="s">
        <v>210</v>
      </c>
      <c r="P586" s="87">
        <v>-3</v>
      </c>
      <c r="Q586" s="87" t="s">
        <v>210</v>
      </c>
      <c r="R586" s="87" t="s">
        <v>210</v>
      </c>
      <c r="S586" s="87" t="s">
        <v>210</v>
      </c>
      <c r="T586" s="87" t="s">
        <v>210</v>
      </c>
      <c r="U586" s="87">
        <v>4</v>
      </c>
      <c r="V586" s="87">
        <v>3</v>
      </c>
      <c r="W586" s="87" t="s">
        <v>210</v>
      </c>
      <c r="X586" s="87">
        <v>-2</v>
      </c>
      <c r="Y586" s="87" t="s">
        <v>210</v>
      </c>
      <c r="BA586" s="95"/>
    </row>
    <row r="587" spans="1:53" s="87" customFormat="1">
      <c r="A587" s="90" t="str">
        <f t="shared" si="34"/>
        <v/>
      </c>
      <c r="B587" s="87">
        <v>4</v>
      </c>
      <c r="C587" s="87" t="s">
        <v>210</v>
      </c>
      <c r="D587" s="87" t="s">
        <v>210</v>
      </c>
      <c r="E587" s="87" t="s">
        <v>210</v>
      </c>
      <c r="F587" s="87">
        <v>-2</v>
      </c>
      <c r="G587" s="87" t="s">
        <v>210</v>
      </c>
      <c r="H587" s="87" t="s">
        <v>210</v>
      </c>
      <c r="I587" s="87">
        <v>4</v>
      </c>
      <c r="J587" s="87" t="s">
        <v>210</v>
      </c>
      <c r="K587" s="87">
        <v>-3</v>
      </c>
      <c r="L587" s="87" t="s">
        <v>210</v>
      </c>
      <c r="M587" s="87">
        <v>1</v>
      </c>
      <c r="N587" s="87" t="s">
        <v>210</v>
      </c>
      <c r="O587" s="87" t="s">
        <v>210</v>
      </c>
      <c r="P587" s="87">
        <v>2</v>
      </c>
      <c r="Q587" s="87" t="s">
        <v>210</v>
      </c>
      <c r="R587" s="87" t="s">
        <v>210</v>
      </c>
      <c r="S587" s="87">
        <v>-4</v>
      </c>
      <c r="T587" s="87" t="s">
        <v>210</v>
      </c>
      <c r="U587" s="87">
        <v>3</v>
      </c>
      <c r="V587" s="87">
        <v>-1</v>
      </c>
      <c r="W587" s="87" t="s">
        <v>210</v>
      </c>
      <c r="X587" s="87">
        <v>2</v>
      </c>
      <c r="Y587" s="87" t="s">
        <v>210</v>
      </c>
      <c r="BA587" s="95"/>
    </row>
    <row r="588" spans="1:53" s="87" customFormat="1">
      <c r="A588" s="90" t="str">
        <f t="shared" ref="A588:A651" si="35">IF(MID(B588,3,2)="04",ROW(),"")</f>
        <v/>
      </c>
      <c r="B588" s="87">
        <v>5</v>
      </c>
      <c r="C588" s="87" t="s">
        <v>210</v>
      </c>
      <c r="D588" s="87">
        <v>3</v>
      </c>
      <c r="E588" s="87" t="s">
        <v>210</v>
      </c>
      <c r="F588" s="87" t="s">
        <v>210</v>
      </c>
      <c r="G588" s="87">
        <v>-2</v>
      </c>
      <c r="H588" s="87" t="s">
        <v>210</v>
      </c>
      <c r="I588" s="87">
        <v>-1</v>
      </c>
      <c r="J588" s="87" t="s">
        <v>210</v>
      </c>
      <c r="K588" s="87" t="s">
        <v>210</v>
      </c>
      <c r="L588" s="87" t="s">
        <v>210</v>
      </c>
      <c r="M588" s="87">
        <v>-3</v>
      </c>
      <c r="N588" s="87">
        <v>4</v>
      </c>
      <c r="O588" s="87" t="s">
        <v>210</v>
      </c>
      <c r="P588" s="87">
        <v>-2</v>
      </c>
      <c r="Q588" s="87" t="s">
        <v>210</v>
      </c>
      <c r="R588" s="87" t="s">
        <v>210</v>
      </c>
      <c r="S588" s="87">
        <v>1</v>
      </c>
      <c r="T588" s="87" t="s">
        <v>210</v>
      </c>
      <c r="U588" s="87" t="s">
        <v>210</v>
      </c>
      <c r="V588" s="87">
        <v>2</v>
      </c>
      <c r="W588" s="87" t="s">
        <v>210</v>
      </c>
      <c r="X588" s="87">
        <v>-4</v>
      </c>
      <c r="Y588" s="87" t="s">
        <v>210</v>
      </c>
      <c r="BA588" s="95"/>
    </row>
    <row r="589" spans="1:53" s="87" customFormat="1">
      <c r="A589" s="90" t="str">
        <f t="shared" si="35"/>
        <v/>
      </c>
      <c r="B589" s="87">
        <v>6</v>
      </c>
      <c r="C589" s="87" t="s">
        <v>210</v>
      </c>
      <c r="D589" s="87">
        <v>1</v>
      </c>
      <c r="E589" s="87" t="s">
        <v>210</v>
      </c>
      <c r="F589" s="87" t="s">
        <v>210</v>
      </c>
      <c r="G589" s="87">
        <v>-4</v>
      </c>
      <c r="H589" s="87" t="s">
        <v>210</v>
      </c>
      <c r="I589" s="87">
        <v>-2</v>
      </c>
      <c r="J589" s="87" t="s">
        <v>210</v>
      </c>
      <c r="K589" s="87">
        <v>3</v>
      </c>
      <c r="L589" s="87" t="s">
        <v>210</v>
      </c>
      <c r="M589" s="87" t="s">
        <v>210</v>
      </c>
      <c r="N589" s="87">
        <v>-1</v>
      </c>
      <c r="O589" s="87" t="s">
        <v>210</v>
      </c>
      <c r="P589" s="87">
        <v>-4</v>
      </c>
      <c r="Q589" s="87" t="s">
        <v>210</v>
      </c>
      <c r="R589" s="87" t="s">
        <v>210</v>
      </c>
      <c r="S589" s="87">
        <v>-3</v>
      </c>
      <c r="T589" s="87" t="s">
        <v>210</v>
      </c>
      <c r="U589" s="87">
        <v>2</v>
      </c>
      <c r="V589" s="87" t="s">
        <v>210</v>
      </c>
      <c r="W589" s="87" t="s">
        <v>210</v>
      </c>
      <c r="X589" s="87">
        <v>4</v>
      </c>
      <c r="Y589" s="87" t="s">
        <v>210</v>
      </c>
      <c r="BA589" s="95"/>
    </row>
    <row r="590" spans="1:53" s="87" customFormat="1">
      <c r="A590" s="90" t="str">
        <f t="shared" si="35"/>
        <v/>
      </c>
      <c r="B590" s="87">
        <v>7</v>
      </c>
      <c r="C590" s="87" t="s">
        <v>210</v>
      </c>
      <c r="D590" s="87">
        <v>4</v>
      </c>
      <c r="E590" s="87" t="s">
        <v>210</v>
      </c>
      <c r="F590" s="87" t="s">
        <v>210</v>
      </c>
      <c r="G590" s="87">
        <v>-1</v>
      </c>
      <c r="H590" s="87" t="s">
        <v>210</v>
      </c>
      <c r="I590" s="87" t="s">
        <v>210</v>
      </c>
      <c r="J590" s="87" t="s">
        <v>210</v>
      </c>
      <c r="K590" s="87">
        <v>2</v>
      </c>
      <c r="L590" s="87" t="s">
        <v>210</v>
      </c>
      <c r="M590" s="87">
        <v>3</v>
      </c>
      <c r="N590" s="87">
        <v>-2</v>
      </c>
      <c r="O590" s="87" t="s">
        <v>210</v>
      </c>
      <c r="P590" s="87">
        <v>4</v>
      </c>
      <c r="Q590" s="87" t="s">
        <v>210</v>
      </c>
      <c r="R590" s="87" t="s">
        <v>210</v>
      </c>
      <c r="S590" s="87" t="s">
        <v>210</v>
      </c>
      <c r="T590" s="87" t="s">
        <v>210</v>
      </c>
      <c r="U590" s="87">
        <v>-3</v>
      </c>
      <c r="V590" s="87">
        <v>-4</v>
      </c>
      <c r="W590" s="87" t="s">
        <v>210</v>
      </c>
      <c r="X590" s="87">
        <v>1</v>
      </c>
      <c r="Y590" s="87" t="s">
        <v>210</v>
      </c>
      <c r="BA590" s="95"/>
    </row>
    <row r="591" spans="1:53" s="87" customFormat="1">
      <c r="A591" s="90" t="str">
        <f t="shared" si="35"/>
        <v/>
      </c>
      <c r="B591" s="87">
        <v>8</v>
      </c>
      <c r="C591" s="87" t="s">
        <v>210</v>
      </c>
      <c r="D591" s="87" t="s">
        <v>210</v>
      </c>
      <c r="E591" s="87" t="s">
        <v>210</v>
      </c>
      <c r="F591" s="87">
        <v>2</v>
      </c>
      <c r="G591" s="87" t="s">
        <v>210</v>
      </c>
      <c r="H591" s="87" t="s">
        <v>210</v>
      </c>
      <c r="I591" s="87">
        <v>-3</v>
      </c>
      <c r="J591" s="87" t="s">
        <v>210</v>
      </c>
      <c r="K591" s="87">
        <v>4</v>
      </c>
      <c r="L591" s="87" t="s">
        <v>210</v>
      </c>
      <c r="M591" s="87">
        <v>-2</v>
      </c>
      <c r="N591" s="87" t="s">
        <v>210</v>
      </c>
      <c r="O591" s="87" t="s">
        <v>210</v>
      </c>
      <c r="P591" s="87">
        <v>1</v>
      </c>
      <c r="Q591" s="87" t="s">
        <v>210</v>
      </c>
      <c r="R591" s="87" t="s">
        <v>210</v>
      </c>
      <c r="S591" s="87">
        <v>3</v>
      </c>
      <c r="T591" s="87" t="s">
        <v>210</v>
      </c>
      <c r="U591" s="87">
        <v>-4</v>
      </c>
      <c r="V591" s="87">
        <v>-2</v>
      </c>
      <c r="W591" s="87" t="s">
        <v>210</v>
      </c>
      <c r="X591" s="87">
        <v>-1</v>
      </c>
      <c r="Y591" s="87" t="s">
        <v>210</v>
      </c>
      <c r="BA591" s="95"/>
    </row>
    <row r="592" spans="1:53" s="87" customFormat="1">
      <c r="A592" s="90" t="str">
        <f t="shared" si="35"/>
        <v/>
      </c>
      <c r="B592" s="87">
        <v>9</v>
      </c>
      <c r="C592" s="87" t="s">
        <v>210</v>
      </c>
      <c r="D592" s="87">
        <v>2</v>
      </c>
      <c r="E592" s="87" t="s">
        <v>210</v>
      </c>
      <c r="F592" s="87" t="s">
        <v>210</v>
      </c>
      <c r="G592" s="87">
        <v>4</v>
      </c>
      <c r="H592" s="87" t="s">
        <v>210</v>
      </c>
      <c r="I592" s="87">
        <v>3</v>
      </c>
      <c r="J592" s="87" t="s">
        <v>210</v>
      </c>
      <c r="K592" s="87">
        <v>-2</v>
      </c>
      <c r="L592" s="87" t="s">
        <v>210</v>
      </c>
      <c r="M592" s="87">
        <v>-1</v>
      </c>
      <c r="N592" s="87">
        <v>-4</v>
      </c>
      <c r="O592" s="87" t="s">
        <v>210</v>
      </c>
      <c r="P592" s="87" t="s">
        <v>210</v>
      </c>
      <c r="Q592" s="87" t="s">
        <v>210</v>
      </c>
      <c r="R592" s="87" t="s">
        <v>210</v>
      </c>
      <c r="S592" s="87">
        <v>2</v>
      </c>
      <c r="T592" s="87" t="s">
        <v>210</v>
      </c>
      <c r="U592" s="87">
        <v>1</v>
      </c>
      <c r="V592" s="87">
        <v>-3</v>
      </c>
      <c r="W592" s="87" t="s">
        <v>210</v>
      </c>
      <c r="X592" s="87" t="s">
        <v>210</v>
      </c>
      <c r="Y592" s="87" t="s">
        <v>210</v>
      </c>
      <c r="BA592" s="95"/>
    </row>
    <row r="593" spans="1:53" s="87" customFormat="1">
      <c r="A593" s="90" t="str">
        <f t="shared" si="35"/>
        <v/>
      </c>
      <c r="B593" s="232">
        <v>10</v>
      </c>
      <c r="C593" s="233" t="s">
        <v>210</v>
      </c>
      <c r="D593" s="233">
        <v>-2</v>
      </c>
      <c r="E593" s="233" t="s">
        <v>210</v>
      </c>
      <c r="F593" s="233" t="s">
        <v>210</v>
      </c>
      <c r="G593" s="233">
        <v>3</v>
      </c>
      <c r="H593" s="233" t="s">
        <v>210</v>
      </c>
      <c r="I593" s="233">
        <v>-4</v>
      </c>
      <c r="J593" s="233" t="s">
        <v>210</v>
      </c>
      <c r="K593" s="233">
        <v>1</v>
      </c>
      <c r="L593" s="233" t="s">
        <v>210</v>
      </c>
      <c r="M593" s="233">
        <v>2</v>
      </c>
      <c r="N593" s="233">
        <v>-3</v>
      </c>
      <c r="O593" s="233" t="s">
        <v>210</v>
      </c>
      <c r="P593" s="233" t="s">
        <v>210</v>
      </c>
      <c r="Q593" s="233" t="s">
        <v>210</v>
      </c>
      <c r="R593" s="233" t="s">
        <v>210</v>
      </c>
      <c r="S593" s="233">
        <v>-1</v>
      </c>
      <c r="T593" s="233" t="s">
        <v>210</v>
      </c>
      <c r="U593" s="233">
        <v>-2</v>
      </c>
      <c r="V593" s="233">
        <v>4</v>
      </c>
      <c r="W593" s="233" t="s">
        <v>210</v>
      </c>
      <c r="X593" s="233" t="s">
        <v>210</v>
      </c>
      <c r="Y593" s="233" t="s">
        <v>210</v>
      </c>
      <c r="BA593" s="95"/>
    </row>
    <row r="594" spans="1:53" s="87" customFormat="1">
      <c r="A594" s="90" t="str">
        <f t="shared" si="35"/>
        <v/>
      </c>
      <c r="B594" s="87">
        <v>11</v>
      </c>
      <c r="C594" s="87">
        <v>-2</v>
      </c>
      <c r="D594" s="87" t="s">
        <v>210</v>
      </c>
      <c r="E594" s="87">
        <v>-4</v>
      </c>
      <c r="F594" s="87" t="s">
        <v>210</v>
      </c>
      <c r="G594" s="87" t="s">
        <v>210</v>
      </c>
      <c r="H594" s="87">
        <v>3</v>
      </c>
      <c r="I594" s="87" t="s">
        <v>210</v>
      </c>
      <c r="J594" s="87">
        <v>-1</v>
      </c>
      <c r="K594" s="87" t="s">
        <v>210</v>
      </c>
      <c r="L594" s="87" t="s">
        <v>210</v>
      </c>
      <c r="M594" s="87" t="s">
        <v>210</v>
      </c>
      <c r="N594" s="87" t="s">
        <v>210</v>
      </c>
      <c r="O594" s="87">
        <v>4</v>
      </c>
      <c r="P594" s="87" t="s">
        <v>210</v>
      </c>
      <c r="Q594" s="87">
        <v>-3</v>
      </c>
      <c r="R594" s="87">
        <v>2</v>
      </c>
      <c r="S594" s="87" t="s">
        <v>210</v>
      </c>
      <c r="T594" s="87">
        <v>1</v>
      </c>
      <c r="U594" s="87" t="s">
        <v>210</v>
      </c>
      <c r="V594" s="87" t="s">
        <v>210</v>
      </c>
      <c r="W594" s="87" t="s">
        <v>210</v>
      </c>
      <c r="X594" s="87" t="s">
        <v>210</v>
      </c>
      <c r="Y594" s="87">
        <v>3</v>
      </c>
      <c r="BA594" s="95"/>
    </row>
    <row r="595" spans="1:53" s="87" customFormat="1">
      <c r="A595" s="90" t="str">
        <f t="shared" si="35"/>
        <v/>
      </c>
      <c r="B595" s="87">
        <v>12</v>
      </c>
      <c r="C595" s="87">
        <v>2</v>
      </c>
      <c r="D595" s="87" t="s">
        <v>210</v>
      </c>
      <c r="E595" s="87">
        <v>1</v>
      </c>
      <c r="F595" s="87" t="s">
        <v>210</v>
      </c>
      <c r="G595" s="87" t="s">
        <v>210</v>
      </c>
      <c r="H595" s="87">
        <v>-2</v>
      </c>
      <c r="I595" s="87" t="s">
        <v>210</v>
      </c>
      <c r="J595" s="87">
        <v>-3</v>
      </c>
      <c r="K595" s="87" t="s">
        <v>210</v>
      </c>
      <c r="L595" s="87">
        <v>-4</v>
      </c>
      <c r="M595" s="87" t="s">
        <v>210</v>
      </c>
      <c r="N595" s="87" t="s">
        <v>210</v>
      </c>
      <c r="O595" s="87" t="s">
        <v>210</v>
      </c>
      <c r="P595" s="87" t="s">
        <v>210</v>
      </c>
      <c r="Q595" s="87">
        <v>2</v>
      </c>
      <c r="R595" s="87">
        <v>-1</v>
      </c>
      <c r="S595" s="87" t="s">
        <v>210</v>
      </c>
      <c r="T595" s="87">
        <v>4</v>
      </c>
      <c r="U595" s="87" t="s">
        <v>210</v>
      </c>
      <c r="V595" s="87" t="s">
        <v>210</v>
      </c>
      <c r="W595" s="87">
        <v>3</v>
      </c>
      <c r="X595" s="87" t="s">
        <v>210</v>
      </c>
      <c r="Y595" s="87" t="s">
        <v>210</v>
      </c>
      <c r="BA595" s="95"/>
    </row>
    <row r="596" spans="1:53" s="87" customFormat="1">
      <c r="A596" s="90" t="str">
        <f t="shared" si="35"/>
        <v/>
      </c>
      <c r="B596" s="87">
        <v>13</v>
      </c>
      <c r="C596" s="87">
        <v>-1</v>
      </c>
      <c r="D596" s="87" t="s">
        <v>210</v>
      </c>
      <c r="E596" s="87" t="s">
        <v>210</v>
      </c>
      <c r="F596" s="87">
        <v>-3</v>
      </c>
      <c r="G596" s="87" t="s">
        <v>210</v>
      </c>
      <c r="H596" s="87" t="s">
        <v>210</v>
      </c>
      <c r="I596" s="87" t="s">
        <v>210</v>
      </c>
      <c r="J596" s="87">
        <v>-2</v>
      </c>
      <c r="K596" s="87" t="s">
        <v>210</v>
      </c>
      <c r="L596" s="87">
        <v>4</v>
      </c>
      <c r="M596" s="87" t="s">
        <v>210</v>
      </c>
      <c r="N596" s="87" t="s">
        <v>210</v>
      </c>
      <c r="O596" s="87">
        <v>-1</v>
      </c>
      <c r="P596" s="87" t="s">
        <v>210</v>
      </c>
      <c r="Q596" s="87">
        <v>3</v>
      </c>
      <c r="R596" s="87" t="s">
        <v>210</v>
      </c>
      <c r="S596" s="87" t="s">
        <v>210</v>
      </c>
      <c r="T596" s="87">
        <v>2</v>
      </c>
      <c r="U596" s="87" t="s">
        <v>210</v>
      </c>
      <c r="V596" s="87" t="s">
        <v>210</v>
      </c>
      <c r="W596" s="87">
        <v>-4</v>
      </c>
      <c r="X596" s="87" t="s">
        <v>210</v>
      </c>
      <c r="Y596" s="87">
        <v>1</v>
      </c>
      <c r="BA596" s="95"/>
    </row>
    <row r="597" spans="1:53" s="87" customFormat="1">
      <c r="A597" s="90" t="str">
        <f t="shared" si="35"/>
        <v/>
      </c>
      <c r="B597" s="87">
        <v>14</v>
      </c>
      <c r="C597" s="87">
        <v>1</v>
      </c>
      <c r="D597" s="87" t="s">
        <v>210</v>
      </c>
      <c r="E597" s="87">
        <v>2</v>
      </c>
      <c r="F597" s="87" t="s">
        <v>210</v>
      </c>
      <c r="G597" s="87" t="s">
        <v>210</v>
      </c>
      <c r="H597" s="87">
        <v>-3</v>
      </c>
      <c r="I597" s="87" t="s">
        <v>210</v>
      </c>
      <c r="J597" s="87" t="s">
        <v>210</v>
      </c>
      <c r="K597" s="87" t="s">
        <v>210</v>
      </c>
      <c r="L597" s="87">
        <v>-1</v>
      </c>
      <c r="M597" s="87" t="s">
        <v>210</v>
      </c>
      <c r="N597" s="87" t="s">
        <v>210</v>
      </c>
      <c r="O597" s="87">
        <v>-2</v>
      </c>
      <c r="P597" s="87" t="s">
        <v>210</v>
      </c>
      <c r="Q597" s="87">
        <v>4</v>
      </c>
      <c r="R597" s="87">
        <v>1</v>
      </c>
      <c r="S597" s="87" t="s">
        <v>210</v>
      </c>
      <c r="T597" s="87" t="s">
        <v>210</v>
      </c>
      <c r="U597" s="87" t="s">
        <v>210</v>
      </c>
      <c r="V597" s="87" t="s">
        <v>210</v>
      </c>
      <c r="W597" s="87">
        <v>-2</v>
      </c>
      <c r="X597" s="87" t="s">
        <v>210</v>
      </c>
      <c r="Y597" s="87">
        <v>-4</v>
      </c>
      <c r="BA597" s="95"/>
    </row>
    <row r="598" spans="1:53" s="87" customFormat="1">
      <c r="A598" s="90" t="str">
        <f t="shared" si="35"/>
        <v/>
      </c>
      <c r="B598" s="87">
        <v>15</v>
      </c>
      <c r="C598" s="87">
        <v>-4</v>
      </c>
      <c r="D598" s="87" t="s">
        <v>210</v>
      </c>
      <c r="E598" s="87" t="s">
        <v>210</v>
      </c>
      <c r="F598" s="87">
        <v>3</v>
      </c>
      <c r="G598" s="87" t="s">
        <v>210</v>
      </c>
      <c r="H598" s="87" t="s">
        <v>210</v>
      </c>
      <c r="I598" s="87" t="s">
        <v>210</v>
      </c>
      <c r="J598" s="87">
        <v>4</v>
      </c>
      <c r="K598" s="87" t="s">
        <v>210</v>
      </c>
      <c r="L598" s="87">
        <v>-2</v>
      </c>
      <c r="M598" s="87" t="s">
        <v>210</v>
      </c>
      <c r="N598" s="87" t="s">
        <v>210</v>
      </c>
      <c r="O598" s="87">
        <v>3</v>
      </c>
      <c r="P598" s="87" t="s">
        <v>210</v>
      </c>
      <c r="Q598" s="87">
        <v>-1</v>
      </c>
      <c r="R598" s="87" t="s">
        <v>210</v>
      </c>
      <c r="S598" s="87" t="s">
        <v>210</v>
      </c>
      <c r="T598" s="87">
        <v>-4</v>
      </c>
      <c r="U598" s="87" t="s">
        <v>210</v>
      </c>
      <c r="V598" s="87" t="s">
        <v>210</v>
      </c>
      <c r="W598" s="87">
        <v>2</v>
      </c>
      <c r="X598" s="87" t="s">
        <v>210</v>
      </c>
      <c r="Y598" s="87">
        <v>-3</v>
      </c>
      <c r="BA598" s="95"/>
    </row>
    <row r="599" spans="1:53" s="87" customFormat="1">
      <c r="A599" s="90" t="str">
        <f t="shared" si="35"/>
        <v/>
      </c>
      <c r="B599" s="87">
        <v>16</v>
      </c>
      <c r="C599" s="87">
        <v>4</v>
      </c>
      <c r="D599" s="87" t="s">
        <v>210</v>
      </c>
      <c r="E599" s="87">
        <v>-2</v>
      </c>
      <c r="F599" s="87" t="s">
        <v>210</v>
      </c>
      <c r="G599" s="87" t="s">
        <v>210</v>
      </c>
      <c r="H599" s="87">
        <v>1</v>
      </c>
      <c r="I599" s="87" t="s">
        <v>210</v>
      </c>
      <c r="J599" s="87" t="s">
        <v>210</v>
      </c>
      <c r="K599" s="87" t="s">
        <v>210</v>
      </c>
      <c r="L599" s="87">
        <v>3</v>
      </c>
      <c r="M599" s="87" t="s">
        <v>210</v>
      </c>
      <c r="N599" s="87" t="s">
        <v>210</v>
      </c>
      <c r="O599" s="87">
        <v>-4</v>
      </c>
      <c r="P599" s="87" t="s">
        <v>210</v>
      </c>
      <c r="Q599" s="87">
        <v>-2</v>
      </c>
      <c r="R599" s="87">
        <v>-3</v>
      </c>
      <c r="S599" s="87" t="s">
        <v>210</v>
      </c>
      <c r="T599" s="87" t="s">
        <v>210</v>
      </c>
      <c r="U599" s="87" t="s">
        <v>210</v>
      </c>
      <c r="V599" s="87" t="s">
        <v>210</v>
      </c>
      <c r="W599" s="87">
        <v>4</v>
      </c>
      <c r="X599" s="87" t="s">
        <v>210</v>
      </c>
      <c r="Y599" s="87">
        <v>2</v>
      </c>
      <c r="BA599" s="95"/>
    </row>
    <row r="600" spans="1:53" s="87" customFormat="1">
      <c r="A600" s="90" t="str">
        <f t="shared" si="35"/>
        <v/>
      </c>
      <c r="B600" s="87">
        <v>17</v>
      </c>
      <c r="C600" s="87">
        <v>3</v>
      </c>
      <c r="D600" s="87" t="s">
        <v>210</v>
      </c>
      <c r="E600" s="87">
        <v>4</v>
      </c>
      <c r="F600" s="87" t="s">
        <v>210</v>
      </c>
      <c r="G600" s="87" t="s">
        <v>210</v>
      </c>
      <c r="H600" s="87">
        <v>-1</v>
      </c>
      <c r="I600" s="87" t="s">
        <v>210</v>
      </c>
      <c r="J600" s="87">
        <v>3</v>
      </c>
      <c r="K600" s="87" t="s">
        <v>210</v>
      </c>
      <c r="L600" s="87" t="s">
        <v>210</v>
      </c>
      <c r="M600" s="87" t="s">
        <v>210</v>
      </c>
      <c r="N600" s="87" t="s">
        <v>210</v>
      </c>
      <c r="O600" s="87">
        <v>2</v>
      </c>
      <c r="P600" s="87" t="s">
        <v>210</v>
      </c>
      <c r="Q600" s="87">
        <v>1</v>
      </c>
      <c r="R600" s="87">
        <v>-4</v>
      </c>
      <c r="S600" s="87" t="s">
        <v>210</v>
      </c>
      <c r="T600" s="87">
        <v>-3</v>
      </c>
      <c r="U600" s="87" t="s">
        <v>210</v>
      </c>
      <c r="V600" s="87" t="s">
        <v>210</v>
      </c>
      <c r="W600" s="87" t="s">
        <v>210</v>
      </c>
      <c r="X600" s="87" t="s">
        <v>210</v>
      </c>
      <c r="Y600" s="87">
        <v>-1</v>
      </c>
      <c r="BA600" s="95"/>
    </row>
    <row r="601" spans="1:53" s="87" customFormat="1">
      <c r="A601" s="90" t="str">
        <f t="shared" si="35"/>
        <v/>
      </c>
      <c r="B601" s="87">
        <v>18</v>
      </c>
      <c r="C601" s="87">
        <v>-3</v>
      </c>
      <c r="D601" s="87" t="s">
        <v>210</v>
      </c>
      <c r="E601" s="87">
        <v>-1</v>
      </c>
      <c r="F601" s="87" t="s">
        <v>210</v>
      </c>
      <c r="G601" s="87" t="s">
        <v>210</v>
      </c>
      <c r="H601" s="87">
        <v>4</v>
      </c>
      <c r="I601" s="87" t="s">
        <v>210</v>
      </c>
      <c r="J601" s="87">
        <v>1</v>
      </c>
      <c r="K601" s="87" t="s">
        <v>210</v>
      </c>
      <c r="L601" s="87">
        <v>2</v>
      </c>
      <c r="M601" s="87" t="s">
        <v>210</v>
      </c>
      <c r="N601" s="87" t="s">
        <v>210</v>
      </c>
      <c r="O601" s="87" t="s">
        <v>210</v>
      </c>
      <c r="P601" s="87" t="s">
        <v>210</v>
      </c>
      <c r="Q601" s="87">
        <v>-4</v>
      </c>
      <c r="R601" s="87">
        <v>3</v>
      </c>
      <c r="S601" s="87" t="s">
        <v>210</v>
      </c>
      <c r="T601" s="87">
        <v>-2</v>
      </c>
      <c r="U601" s="87" t="s">
        <v>210</v>
      </c>
      <c r="V601" s="87" t="s">
        <v>210</v>
      </c>
      <c r="W601" s="87">
        <v>1</v>
      </c>
      <c r="X601" s="87" t="s">
        <v>210</v>
      </c>
      <c r="Y601" s="87" t="s">
        <v>210</v>
      </c>
      <c r="BA601" s="95"/>
    </row>
    <row r="602" spans="1:53" s="87" customFormat="1">
      <c r="A602" s="90" t="str">
        <f t="shared" si="35"/>
        <v/>
      </c>
      <c r="B602" s="87">
        <v>19</v>
      </c>
      <c r="C602" s="87" t="s">
        <v>210</v>
      </c>
      <c r="D602" s="87" t="s">
        <v>210</v>
      </c>
      <c r="E602" s="87">
        <v>-3</v>
      </c>
      <c r="F602" s="87" t="s">
        <v>210</v>
      </c>
      <c r="G602" s="87" t="s">
        <v>210</v>
      </c>
      <c r="H602" s="87">
        <v>2</v>
      </c>
      <c r="I602" s="87" t="s">
        <v>210</v>
      </c>
      <c r="J602" s="87">
        <v>-4</v>
      </c>
      <c r="K602" s="87" t="s">
        <v>210</v>
      </c>
      <c r="L602" s="87">
        <v>-3</v>
      </c>
      <c r="M602" s="87" t="s">
        <v>210</v>
      </c>
      <c r="N602" s="87" t="s">
        <v>210</v>
      </c>
      <c r="O602" s="87">
        <v>1</v>
      </c>
      <c r="P602" s="87" t="s">
        <v>210</v>
      </c>
      <c r="Q602" s="87" t="s">
        <v>210</v>
      </c>
      <c r="R602" s="87">
        <v>-2</v>
      </c>
      <c r="S602" s="87" t="s">
        <v>210</v>
      </c>
      <c r="T602" s="87">
        <v>3</v>
      </c>
      <c r="U602" s="87" t="s">
        <v>210</v>
      </c>
      <c r="V602" s="87" t="s">
        <v>210</v>
      </c>
      <c r="W602" s="87">
        <v>-1</v>
      </c>
      <c r="X602" s="87" t="s">
        <v>210</v>
      </c>
      <c r="Y602" s="87">
        <v>4</v>
      </c>
      <c r="BA602" s="95"/>
    </row>
    <row r="603" spans="1:53" s="87" customFormat="1">
      <c r="A603" s="90" t="str">
        <f t="shared" si="35"/>
        <v/>
      </c>
      <c r="B603" s="87">
        <v>20</v>
      </c>
      <c r="C603" s="87" t="s">
        <v>210</v>
      </c>
      <c r="D603" s="87" t="s">
        <v>210</v>
      </c>
      <c r="E603" s="87">
        <v>3</v>
      </c>
      <c r="F603" s="87" t="s">
        <v>210</v>
      </c>
      <c r="G603" s="87" t="s">
        <v>210</v>
      </c>
      <c r="H603" s="87">
        <v>-4</v>
      </c>
      <c r="I603" s="87" t="s">
        <v>210</v>
      </c>
      <c r="J603" s="87">
        <v>2</v>
      </c>
      <c r="K603" s="87" t="s">
        <v>210</v>
      </c>
      <c r="L603" s="87">
        <v>1</v>
      </c>
      <c r="M603" s="87" t="s">
        <v>210</v>
      </c>
      <c r="N603" s="87" t="s">
        <v>210</v>
      </c>
      <c r="O603" s="87">
        <v>-3</v>
      </c>
      <c r="P603" s="87" t="s">
        <v>210</v>
      </c>
      <c r="Q603" s="87" t="s">
        <v>210</v>
      </c>
      <c r="R603" s="87">
        <v>4</v>
      </c>
      <c r="S603" s="87" t="s">
        <v>210</v>
      </c>
      <c r="T603" s="87">
        <v>-1</v>
      </c>
      <c r="U603" s="87" t="s">
        <v>210</v>
      </c>
      <c r="V603" s="87" t="s">
        <v>210</v>
      </c>
      <c r="W603" s="87">
        <v>-3</v>
      </c>
      <c r="X603" s="87" t="s">
        <v>210</v>
      </c>
      <c r="Y603" s="87">
        <v>-2</v>
      </c>
      <c r="BA603" s="95"/>
    </row>
    <row r="604" spans="1:53" s="87" customFormat="1">
      <c r="A604" s="90" t="str">
        <f t="shared" si="35"/>
        <v/>
      </c>
      <c r="B604" s="87" t="s">
        <v>300</v>
      </c>
      <c r="BA604" s="95"/>
    </row>
    <row r="605" spans="1:53" s="87" customFormat="1">
      <c r="A605" s="90">
        <f t="shared" si="35"/>
        <v>605</v>
      </c>
      <c r="B605" s="318" t="s">
        <v>1248</v>
      </c>
      <c r="BA605" s="95"/>
    </row>
    <row r="606" spans="1:53" s="87" customFormat="1">
      <c r="A606" s="90" t="str">
        <f t="shared" si="35"/>
        <v/>
      </c>
      <c r="B606" s="87">
        <v>1</v>
      </c>
      <c r="C606" s="87">
        <v>-3</v>
      </c>
      <c r="D606" s="87" t="s">
        <v>210</v>
      </c>
      <c r="E606" s="87">
        <v>-2</v>
      </c>
      <c r="F606" s="87" t="s">
        <v>210</v>
      </c>
      <c r="G606" s="87" t="s">
        <v>210</v>
      </c>
      <c r="H606" s="87">
        <v>1</v>
      </c>
      <c r="I606" s="87" t="s">
        <v>210</v>
      </c>
      <c r="J606" s="87">
        <v>3</v>
      </c>
      <c r="BA606" s="95"/>
    </row>
    <row r="607" spans="1:53" s="87" customFormat="1">
      <c r="A607" s="90" t="str">
        <f t="shared" si="35"/>
        <v/>
      </c>
      <c r="B607" s="87">
        <v>2</v>
      </c>
      <c r="C607" s="87" t="s">
        <v>210</v>
      </c>
      <c r="D607" s="87">
        <v>4</v>
      </c>
      <c r="E607" s="87" t="s">
        <v>210</v>
      </c>
      <c r="F607" s="87">
        <v>1</v>
      </c>
      <c r="G607" s="87" t="s">
        <v>210</v>
      </c>
      <c r="H607" s="87">
        <v>-4</v>
      </c>
      <c r="I607" s="87" t="s">
        <v>210</v>
      </c>
      <c r="J607" s="87">
        <v>-3</v>
      </c>
      <c r="BA607" s="95"/>
    </row>
    <row r="608" spans="1:53" s="87" customFormat="1">
      <c r="A608" s="90" t="str">
        <f t="shared" si="35"/>
        <v/>
      </c>
      <c r="B608" s="87">
        <v>3</v>
      </c>
      <c r="C608" s="87">
        <v>-1</v>
      </c>
      <c r="D608" s="87" t="s">
        <v>210</v>
      </c>
      <c r="E608" s="87">
        <v>2</v>
      </c>
      <c r="F608" s="87" t="s">
        <v>210</v>
      </c>
      <c r="G608" s="87" t="s">
        <v>210</v>
      </c>
      <c r="H608" s="87">
        <v>4</v>
      </c>
      <c r="I608" s="87" t="s">
        <v>210</v>
      </c>
      <c r="J608" s="87">
        <v>-2</v>
      </c>
      <c r="BA608" s="95"/>
    </row>
    <row r="609" spans="1:53" s="87" customFormat="1">
      <c r="A609" s="90" t="str">
        <f t="shared" si="35"/>
        <v/>
      </c>
      <c r="B609" s="87">
        <v>4</v>
      </c>
      <c r="C609" s="87">
        <v>3</v>
      </c>
      <c r="D609" s="87" t="s">
        <v>210</v>
      </c>
      <c r="E609" s="87" t="s">
        <v>210</v>
      </c>
      <c r="F609" s="87">
        <v>-1</v>
      </c>
      <c r="G609" s="87" t="s">
        <v>210</v>
      </c>
      <c r="H609" s="87" t="s">
        <v>210</v>
      </c>
      <c r="I609" s="87">
        <v>-3</v>
      </c>
      <c r="J609" s="87">
        <v>2</v>
      </c>
      <c r="BA609" s="95"/>
    </row>
    <row r="610" spans="1:53" s="87" customFormat="1">
      <c r="A610" s="90" t="str">
        <f t="shared" si="35"/>
        <v/>
      </c>
      <c r="B610" s="232">
        <v>5</v>
      </c>
      <c r="C610" s="233">
        <v>1</v>
      </c>
      <c r="D610" s="233">
        <v>-4</v>
      </c>
      <c r="E610" s="233" t="s">
        <v>210</v>
      </c>
      <c r="F610" s="233" t="s">
        <v>210</v>
      </c>
      <c r="G610" s="233" t="s">
        <v>210</v>
      </c>
      <c r="H610" s="233">
        <v>-1</v>
      </c>
      <c r="I610" s="233">
        <v>3</v>
      </c>
      <c r="J610" s="233" t="s">
        <v>210</v>
      </c>
      <c r="BA610" s="95"/>
    </row>
    <row r="611" spans="1:53" s="87" customFormat="1">
      <c r="A611" s="90" t="str">
        <f t="shared" si="35"/>
        <v/>
      </c>
      <c r="B611" s="87">
        <v>6</v>
      </c>
      <c r="C611" s="87" t="s">
        <v>210</v>
      </c>
      <c r="D611" s="87">
        <v>1</v>
      </c>
      <c r="E611" s="87" t="s">
        <v>210</v>
      </c>
      <c r="F611" s="87">
        <v>2</v>
      </c>
      <c r="G611" s="87" t="s">
        <v>210</v>
      </c>
      <c r="H611" s="87">
        <v>-3</v>
      </c>
      <c r="I611" s="87" t="s">
        <v>210</v>
      </c>
      <c r="J611" s="87">
        <v>-4</v>
      </c>
      <c r="BA611" s="95"/>
    </row>
    <row r="612" spans="1:53" s="87" customFormat="1">
      <c r="A612" s="90" t="str">
        <f t="shared" si="35"/>
        <v/>
      </c>
      <c r="B612" s="87">
        <v>7</v>
      </c>
      <c r="C612" s="87">
        <v>2</v>
      </c>
      <c r="D612" s="87" t="s">
        <v>210</v>
      </c>
      <c r="E612" s="87">
        <v>-3</v>
      </c>
      <c r="F612" s="87" t="s">
        <v>210</v>
      </c>
      <c r="G612" s="87" t="s">
        <v>210</v>
      </c>
      <c r="H612" s="87" t="s">
        <v>210</v>
      </c>
      <c r="I612" s="87">
        <v>-2</v>
      </c>
      <c r="J612" s="87">
        <v>4</v>
      </c>
      <c r="BA612" s="95"/>
    </row>
    <row r="613" spans="1:53" s="87" customFormat="1">
      <c r="A613" s="90" t="str">
        <f t="shared" si="35"/>
        <v/>
      </c>
      <c r="B613" s="87">
        <v>8</v>
      </c>
      <c r="C613" s="87" t="s">
        <v>210</v>
      </c>
      <c r="D613" s="87">
        <v>-1</v>
      </c>
      <c r="E613" s="87">
        <v>-4</v>
      </c>
      <c r="F613" s="87" t="s">
        <v>210</v>
      </c>
      <c r="G613" s="87">
        <v>3</v>
      </c>
      <c r="H613" s="87" t="s">
        <v>210</v>
      </c>
      <c r="I613" s="87">
        <v>2</v>
      </c>
      <c r="J613" s="87" t="s">
        <v>210</v>
      </c>
      <c r="BA613" s="95"/>
    </row>
    <row r="614" spans="1:53" s="87" customFormat="1">
      <c r="A614" s="90" t="str">
        <f t="shared" si="35"/>
        <v/>
      </c>
      <c r="B614" s="87">
        <v>9</v>
      </c>
      <c r="C614" s="87" t="s">
        <v>210</v>
      </c>
      <c r="D614" s="87" t="s">
        <v>210</v>
      </c>
      <c r="E614" s="87">
        <v>3</v>
      </c>
      <c r="F614" s="87">
        <v>-2</v>
      </c>
      <c r="G614" s="87">
        <v>-3</v>
      </c>
      <c r="H614" s="87" t="s">
        <v>210</v>
      </c>
      <c r="I614" s="87">
        <v>4</v>
      </c>
      <c r="J614" s="87" t="s">
        <v>210</v>
      </c>
      <c r="BA614" s="95"/>
    </row>
    <row r="615" spans="1:53" s="87" customFormat="1">
      <c r="A615" s="90" t="str">
        <f t="shared" si="35"/>
        <v/>
      </c>
      <c r="B615" s="232">
        <v>10</v>
      </c>
      <c r="C615" s="233">
        <v>-2</v>
      </c>
      <c r="D615" s="233" t="s">
        <v>210</v>
      </c>
      <c r="E615" s="233">
        <v>4</v>
      </c>
      <c r="F615" s="233" t="s">
        <v>210</v>
      </c>
      <c r="G615" s="233" t="s">
        <v>210</v>
      </c>
      <c r="H615" s="233">
        <v>3</v>
      </c>
      <c r="I615" s="233">
        <v>-4</v>
      </c>
      <c r="J615" s="233" t="s">
        <v>210</v>
      </c>
      <c r="BA615" s="95"/>
    </row>
    <row r="616" spans="1:53" s="87" customFormat="1">
      <c r="A616" s="90" t="str">
        <f t="shared" si="35"/>
        <v/>
      </c>
      <c r="B616" s="87">
        <v>11</v>
      </c>
      <c r="C616" s="87" t="s">
        <v>210</v>
      </c>
      <c r="D616" s="87" t="s">
        <v>210</v>
      </c>
      <c r="E616" s="87">
        <v>1</v>
      </c>
      <c r="F616" s="87">
        <v>-3</v>
      </c>
      <c r="G616" s="87">
        <v>2</v>
      </c>
      <c r="H616" s="87" t="s">
        <v>210</v>
      </c>
      <c r="I616" s="87" t="s">
        <v>210</v>
      </c>
      <c r="J616" s="87">
        <v>-1</v>
      </c>
      <c r="BA616" s="95"/>
    </row>
    <row r="617" spans="1:53" s="87" customFormat="1">
      <c r="A617" s="90" t="str">
        <f t="shared" si="35"/>
        <v/>
      </c>
      <c r="B617" s="87">
        <v>12</v>
      </c>
      <c r="C617" s="87" t="s">
        <v>210</v>
      </c>
      <c r="D617" s="87">
        <v>2</v>
      </c>
      <c r="E617" s="87" t="s">
        <v>210</v>
      </c>
      <c r="F617" s="87">
        <v>-4</v>
      </c>
      <c r="G617" s="87" t="s">
        <v>210</v>
      </c>
      <c r="H617" s="87">
        <v>-2</v>
      </c>
      <c r="I617" s="87" t="s">
        <v>210</v>
      </c>
      <c r="J617" s="87">
        <v>1</v>
      </c>
      <c r="BA617" s="95"/>
    </row>
    <row r="618" spans="1:53" s="87" customFormat="1">
      <c r="A618" s="90" t="str">
        <f t="shared" si="35"/>
        <v/>
      </c>
      <c r="B618" s="87">
        <v>13</v>
      </c>
      <c r="C618" s="87" t="s">
        <v>210</v>
      </c>
      <c r="D618" s="87">
        <v>3</v>
      </c>
      <c r="E618" s="87">
        <v>-1</v>
      </c>
      <c r="F618" s="87" t="s">
        <v>210</v>
      </c>
      <c r="G618" s="87">
        <v>-4</v>
      </c>
      <c r="H618" s="87">
        <v>2</v>
      </c>
      <c r="I618" s="87" t="s">
        <v>210</v>
      </c>
      <c r="J618" s="87" t="s">
        <v>210</v>
      </c>
      <c r="BA618" s="95"/>
    </row>
    <row r="619" spans="1:53" s="87" customFormat="1">
      <c r="A619" s="90" t="str">
        <f t="shared" si="35"/>
        <v/>
      </c>
      <c r="B619" s="87">
        <v>14</v>
      </c>
      <c r="C619" s="87" t="s">
        <v>210</v>
      </c>
      <c r="D619" s="87">
        <v>-2</v>
      </c>
      <c r="E619" s="87" t="s">
        <v>210</v>
      </c>
      <c r="F619" s="87">
        <v>3</v>
      </c>
      <c r="G619" s="87">
        <v>4</v>
      </c>
      <c r="H619" s="87" t="s">
        <v>210</v>
      </c>
      <c r="I619" s="87">
        <v>-1</v>
      </c>
      <c r="J619" s="87" t="s">
        <v>210</v>
      </c>
      <c r="BA619" s="95"/>
    </row>
    <row r="620" spans="1:53" s="87" customFormat="1">
      <c r="A620" s="90" t="str">
        <f t="shared" si="35"/>
        <v/>
      </c>
      <c r="B620" s="87">
        <v>15</v>
      </c>
      <c r="C620" s="87" t="s">
        <v>210</v>
      </c>
      <c r="D620" s="87">
        <v>-3</v>
      </c>
      <c r="E620" s="87" t="s">
        <v>210</v>
      </c>
      <c r="F620" s="87">
        <v>4</v>
      </c>
      <c r="G620" s="87">
        <v>-2</v>
      </c>
      <c r="H620" s="87" t="s">
        <v>210</v>
      </c>
      <c r="I620" s="87">
        <v>1</v>
      </c>
      <c r="J620" s="87" t="s">
        <v>210</v>
      </c>
      <c r="BA620" s="95"/>
    </row>
    <row r="621" spans="1:53" s="87" customFormat="1">
      <c r="A621" s="90" t="str">
        <f t="shared" si="35"/>
        <v/>
      </c>
      <c r="B621" s="290" t="s">
        <v>849</v>
      </c>
      <c r="BA621" s="95"/>
    </row>
    <row r="622" spans="1:53" s="87" customFormat="1">
      <c r="A622" s="90">
        <f t="shared" si="35"/>
        <v>622</v>
      </c>
      <c r="B622" s="318" t="s">
        <v>1252</v>
      </c>
      <c r="BA622" s="95"/>
    </row>
    <row r="623" spans="1:53" s="87" customFormat="1">
      <c r="A623" s="90" t="str">
        <f t="shared" si="35"/>
        <v/>
      </c>
      <c r="B623" s="87">
        <v>1</v>
      </c>
      <c r="C623" s="87" t="s">
        <v>210</v>
      </c>
      <c r="D623" s="87">
        <v>3</v>
      </c>
      <c r="E623" s="87" t="s">
        <v>210</v>
      </c>
      <c r="F623" s="87">
        <v>-4</v>
      </c>
      <c r="G623" s="87" t="s">
        <v>210</v>
      </c>
      <c r="H623" s="87">
        <v>2</v>
      </c>
      <c r="I623" s="87" t="s">
        <v>210</v>
      </c>
      <c r="J623" s="87" t="s">
        <v>210</v>
      </c>
      <c r="K623" s="87">
        <v>-1</v>
      </c>
      <c r="L623" s="87" t="s">
        <v>210</v>
      </c>
      <c r="M623" s="87" t="s">
        <v>210</v>
      </c>
      <c r="N623" s="87">
        <v>-3</v>
      </c>
      <c r="BA623" s="95"/>
    </row>
    <row r="624" spans="1:53" s="87" customFormat="1">
      <c r="A624" s="90" t="str">
        <f t="shared" si="35"/>
        <v/>
      </c>
      <c r="B624" s="87">
        <v>2</v>
      </c>
      <c r="C624" s="87" t="s">
        <v>210</v>
      </c>
      <c r="D624" s="87">
        <v>-1</v>
      </c>
      <c r="E624" s="87" t="s">
        <v>210</v>
      </c>
      <c r="F624" s="87">
        <v>2</v>
      </c>
      <c r="G624" s="87" t="s">
        <v>210</v>
      </c>
      <c r="H624" s="87" t="s">
        <v>210</v>
      </c>
      <c r="I624" s="87" t="s">
        <v>210</v>
      </c>
      <c r="J624" s="87">
        <v>1</v>
      </c>
      <c r="K624" s="87" t="s">
        <v>210</v>
      </c>
      <c r="L624" s="87">
        <v>-4</v>
      </c>
      <c r="M624" s="87" t="s">
        <v>210</v>
      </c>
      <c r="N624" s="87">
        <v>3</v>
      </c>
      <c r="BA624" s="95"/>
    </row>
    <row r="625" spans="1:53" s="87" customFormat="1">
      <c r="A625" s="90" t="str">
        <f t="shared" si="35"/>
        <v/>
      </c>
      <c r="B625" s="87">
        <v>3</v>
      </c>
      <c r="C625" s="87" t="s">
        <v>210</v>
      </c>
      <c r="D625" s="87">
        <v>-2</v>
      </c>
      <c r="E625" s="87" t="s">
        <v>210</v>
      </c>
      <c r="F625" s="87">
        <v>-3</v>
      </c>
      <c r="G625" s="87" t="s">
        <v>210</v>
      </c>
      <c r="H625" s="87">
        <v>-4</v>
      </c>
      <c r="I625" s="87" t="s">
        <v>210</v>
      </c>
      <c r="J625" s="87" t="s">
        <v>210</v>
      </c>
      <c r="K625" s="87">
        <v>1</v>
      </c>
      <c r="L625" s="87">
        <v>4</v>
      </c>
      <c r="M625" s="87" t="s">
        <v>210</v>
      </c>
      <c r="N625" s="87" t="s">
        <v>210</v>
      </c>
      <c r="BA625" s="95"/>
    </row>
    <row r="626" spans="1:53" s="87" customFormat="1">
      <c r="A626" s="90" t="str">
        <f t="shared" si="35"/>
        <v/>
      </c>
      <c r="B626" s="87">
        <v>4</v>
      </c>
      <c r="C626" s="87" t="s">
        <v>210</v>
      </c>
      <c r="D626" s="87">
        <v>1</v>
      </c>
      <c r="E626" s="87" t="s">
        <v>210</v>
      </c>
      <c r="F626" s="87">
        <v>3</v>
      </c>
      <c r="G626" s="87" t="s">
        <v>210</v>
      </c>
      <c r="H626" s="87">
        <v>-2</v>
      </c>
      <c r="I626" s="87" t="s">
        <v>210</v>
      </c>
      <c r="J626" s="87" t="s">
        <v>210</v>
      </c>
      <c r="K626" s="87">
        <v>-3</v>
      </c>
      <c r="L626" s="87" t="s">
        <v>210</v>
      </c>
      <c r="M626" s="87" t="s">
        <v>210</v>
      </c>
      <c r="N626" s="87">
        <v>-1</v>
      </c>
      <c r="BA626" s="95"/>
    </row>
    <row r="627" spans="1:53" s="87" customFormat="1">
      <c r="A627" s="90" t="str">
        <f t="shared" si="35"/>
        <v/>
      </c>
      <c r="B627" s="87">
        <v>5</v>
      </c>
      <c r="C627" s="87" t="s">
        <v>210</v>
      </c>
      <c r="D627" s="87">
        <v>2</v>
      </c>
      <c r="E627" s="87" t="s">
        <v>210</v>
      </c>
      <c r="F627" s="87">
        <v>4</v>
      </c>
      <c r="G627" s="87" t="s">
        <v>210</v>
      </c>
      <c r="H627" s="87" t="s">
        <v>210</v>
      </c>
      <c r="I627" s="87" t="s">
        <v>210</v>
      </c>
      <c r="J627" s="87">
        <v>-1</v>
      </c>
      <c r="K627" s="87" t="s">
        <v>210</v>
      </c>
      <c r="L627" s="87" t="s">
        <v>210</v>
      </c>
      <c r="M627" s="87">
        <v>-2</v>
      </c>
      <c r="N627" s="87">
        <v>1</v>
      </c>
      <c r="BA627" s="95"/>
    </row>
    <row r="628" spans="1:53" s="87" customFormat="1">
      <c r="A628" s="90" t="str">
        <f t="shared" si="35"/>
        <v/>
      </c>
      <c r="B628" s="232">
        <v>6</v>
      </c>
      <c r="C628" s="233" t="s">
        <v>210</v>
      </c>
      <c r="D628" s="233">
        <v>-3</v>
      </c>
      <c r="E628" s="233" t="s">
        <v>210</v>
      </c>
      <c r="F628" s="233">
        <v>-2</v>
      </c>
      <c r="G628" s="233" t="s">
        <v>210</v>
      </c>
      <c r="H628" s="233">
        <v>4</v>
      </c>
      <c r="I628" s="233" t="s">
        <v>210</v>
      </c>
      <c r="J628" s="233" t="s">
        <v>210</v>
      </c>
      <c r="K628" s="233">
        <v>3</v>
      </c>
      <c r="L628" s="233" t="s">
        <v>210</v>
      </c>
      <c r="M628" s="233">
        <v>2</v>
      </c>
      <c r="N628" s="233" t="s">
        <v>210</v>
      </c>
      <c r="BA628" s="95"/>
    </row>
    <row r="629" spans="1:53" s="87" customFormat="1">
      <c r="A629" s="90" t="str">
        <f t="shared" si="35"/>
        <v/>
      </c>
      <c r="B629" s="87">
        <v>7</v>
      </c>
      <c r="C629" s="87" t="s">
        <v>210</v>
      </c>
      <c r="D629" s="87">
        <v>-4</v>
      </c>
      <c r="E629" s="87" t="s">
        <v>210</v>
      </c>
      <c r="F629" s="87" t="s">
        <v>210</v>
      </c>
      <c r="G629" s="87">
        <v>3</v>
      </c>
      <c r="H629" s="87" t="s">
        <v>210</v>
      </c>
      <c r="I629" s="87">
        <v>2</v>
      </c>
      <c r="J629" s="87" t="s">
        <v>210</v>
      </c>
      <c r="K629" s="87">
        <v>4</v>
      </c>
      <c r="L629" s="87" t="s">
        <v>210</v>
      </c>
      <c r="M629" s="87" t="s">
        <v>210</v>
      </c>
      <c r="N629" s="87">
        <v>-2</v>
      </c>
      <c r="BA629" s="95"/>
    </row>
    <row r="630" spans="1:53" s="87" customFormat="1">
      <c r="A630" s="90" t="str">
        <f t="shared" si="35"/>
        <v/>
      </c>
      <c r="B630" s="87">
        <v>8</v>
      </c>
      <c r="C630" s="87" t="s">
        <v>210</v>
      </c>
      <c r="D630" s="87" t="s">
        <v>210</v>
      </c>
      <c r="E630" s="87">
        <v>-3</v>
      </c>
      <c r="F630" s="87" t="s">
        <v>210</v>
      </c>
      <c r="G630" s="87">
        <v>-2</v>
      </c>
      <c r="H630" s="87" t="s">
        <v>210</v>
      </c>
      <c r="I630" s="87">
        <v>-1</v>
      </c>
      <c r="J630" s="87" t="s">
        <v>210</v>
      </c>
      <c r="K630" s="87" t="s">
        <v>210</v>
      </c>
      <c r="L630" s="87" t="s">
        <v>210</v>
      </c>
      <c r="M630" s="87">
        <v>3</v>
      </c>
      <c r="N630" s="87">
        <v>2</v>
      </c>
      <c r="BA630" s="95"/>
    </row>
    <row r="631" spans="1:53" s="87" customFormat="1">
      <c r="A631" s="90" t="str">
        <f t="shared" si="35"/>
        <v/>
      </c>
      <c r="B631" s="87">
        <v>9</v>
      </c>
      <c r="C631" s="87" t="s">
        <v>210</v>
      </c>
      <c r="D631" s="87">
        <v>4</v>
      </c>
      <c r="E631" s="87" t="s">
        <v>210</v>
      </c>
      <c r="F631" s="87" t="s">
        <v>210</v>
      </c>
      <c r="G631" s="87">
        <v>1</v>
      </c>
      <c r="H631" s="87" t="s">
        <v>210</v>
      </c>
      <c r="I631" s="87">
        <v>3</v>
      </c>
      <c r="J631" s="87" t="s">
        <v>210</v>
      </c>
      <c r="K631" s="87">
        <v>-2</v>
      </c>
      <c r="L631" s="87" t="s">
        <v>210</v>
      </c>
      <c r="M631" s="87">
        <v>-3</v>
      </c>
      <c r="N631" s="87" t="s">
        <v>210</v>
      </c>
      <c r="BA631" s="95"/>
    </row>
    <row r="632" spans="1:53" s="87" customFormat="1">
      <c r="A632" s="90" t="str">
        <f t="shared" si="35"/>
        <v/>
      </c>
      <c r="B632" s="87">
        <v>10</v>
      </c>
      <c r="C632" s="87" t="s">
        <v>210</v>
      </c>
      <c r="D632" s="87" t="s">
        <v>210</v>
      </c>
      <c r="E632" s="87">
        <v>-4</v>
      </c>
      <c r="F632" s="87" t="s">
        <v>210</v>
      </c>
      <c r="G632" s="87">
        <v>-3</v>
      </c>
      <c r="H632" s="87" t="s">
        <v>210</v>
      </c>
      <c r="I632" s="87">
        <v>1</v>
      </c>
      <c r="J632" s="87" t="s">
        <v>210</v>
      </c>
      <c r="K632" s="87">
        <v>2</v>
      </c>
      <c r="L632" s="87" t="s">
        <v>210</v>
      </c>
      <c r="M632" s="87" t="s">
        <v>210</v>
      </c>
      <c r="N632" s="87">
        <v>4</v>
      </c>
      <c r="BA632" s="95"/>
    </row>
    <row r="633" spans="1:53" s="87" customFormat="1">
      <c r="A633" s="90" t="str">
        <f t="shared" si="35"/>
        <v/>
      </c>
      <c r="B633" s="87">
        <v>11</v>
      </c>
      <c r="C633" s="87" t="s">
        <v>210</v>
      </c>
      <c r="D633" s="87" t="s">
        <v>210</v>
      </c>
      <c r="E633" s="87">
        <v>3</v>
      </c>
      <c r="F633" s="87" t="s">
        <v>210</v>
      </c>
      <c r="G633" s="87">
        <v>-1</v>
      </c>
      <c r="H633" s="87" t="s">
        <v>210</v>
      </c>
      <c r="I633" s="87">
        <v>-2</v>
      </c>
      <c r="J633" s="87" t="s">
        <v>210</v>
      </c>
      <c r="K633" s="87" t="s">
        <v>210</v>
      </c>
      <c r="L633" s="87" t="s">
        <v>210</v>
      </c>
      <c r="M633" s="87">
        <v>1</v>
      </c>
      <c r="N633" s="87">
        <v>-4</v>
      </c>
      <c r="BA633" s="95"/>
    </row>
    <row r="634" spans="1:53" s="87" customFormat="1">
      <c r="A634" s="90" t="str">
        <f t="shared" si="35"/>
        <v/>
      </c>
      <c r="B634" s="232">
        <v>12</v>
      </c>
      <c r="C634" s="233" t="s">
        <v>210</v>
      </c>
      <c r="D634" s="233" t="s">
        <v>210</v>
      </c>
      <c r="E634" s="233">
        <v>4</v>
      </c>
      <c r="F634" s="233" t="s">
        <v>210</v>
      </c>
      <c r="G634" s="233">
        <v>2</v>
      </c>
      <c r="H634" s="233" t="s">
        <v>210</v>
      </c>
      <c r="I634" s="233">
        <v>-3</v>
      </c>
      <c r="J634" s="233" t="s">
        <v>210</v>
      </c>
      <c r="K634" s="233">
        <v>-4</v>
      </c>
      <c r="L634" s="233" t="s">
        <v>210</v>
      </c>
      <c r="M634" s="233">
        <v>-1</v>
      </c>
      <c r="N634" s="233" t="s">
        <v>210</v>
      </c>
      <c r="BA634" s="95"/>
    </row>
    <row r="635" spans="1:53" s="87" customFormat="1">
      <c r="A635" s="90" t="str">
        <f t="shared" si="35"/>
        <v/>
      </c>
      <c r="B635" s="87">
        <v>13</v>
      </c>
      <c r="C635" s="87">
        <v>1</v>
      </c>
      <c r="D635" s="87" t="s">
        <v>210</v>
      </c>
      <c r="E635" s="87" t="s">
        <v>210</v>
      </c>
      <c r="F635" s="87" t="s">
        <v>210</v>
      </c>
      <c r="G635" s="87" t="s">
        <v>210</v>
      </c>
      <c r="H635" s="87">
        <v>-3</v>
      </c>
      <c r="I635" s="87" t="s">
        <v>210</v>
      </c>
      <c r="J635" s="87">
        <v>2</v>
      </c>
      <c r="K635" s="87" t="s">
        <v>210</v>
      </c>
      <c r="L635" s="87">
        <v>-1</v>
      </c>
      <c r="M635" s="87">
        <v>-4</v>
      </c>
      <c r="N635" s="87" t="s">
        <v>210</v>
      </c>
      <c r="BA635" s="95"/>
    </row>
    <row r="636" spans="1:53" s="87" customFormat="1">
      <c r="A636" s="90" t="str">
        <f t="shared" si="35"/>
        <v/>
      </c>
      <c r="B636" s="87">
        <v>14</v>
      </c>
      <c r="C636" s="87">
        <v>3</v>
      </c>
      <c r="D636" s="87" t="s">
        <v>210</v>
      </c>
      <c r="E636" s="87" t="s">
        <v>210</v>
      </c>
      <c r="F636" s="87" t="s">
        <v>210</v>
      </c>
      <c r="G636" s="87" t="s">
        <v>210</v>
      </c>
      <c r="H636" s="87">
        <v>-1</v>
      </c>
      <c r="I636" s="87" t="s">
        <v>210</v>
      </c>
      <c r="J636" s="87">
        <v>-3</v>
      </c>
      <c r="K636" s="87" t="s">
        <v>210</v>
      </c>
      <c r="L636" s="87">
        <v>-2</v>
      </c>
      <c r="M636" s="87">
        <v>4</v>
      </c>
      <c r="N636" s="87" t="s">
        <v>210</v>
      </c>
      <c r="BA636" s="95"/>
    </row>
    <row r="637" spans="1:53" s="87" customFormat="1">
      <c r="A637" s="90" t="str">
        <f t="shared" si="35"/>
        <v/>
      </c>
      <c r="B637" s="87">
        <v>15</v>
      </c>
      <c r="C637" s="87">
        <v>4</v>
      </c>
      <c r="D637" s="87" t="s">
        <v>210</v>
      </c>
      <c r="E637" s="87">
        <v>-1</v>
      </c>
      <c r="F637" s="87" t="s">
        <v>210</v>
      </c>
      <c r="G637" s="87" t="s">
        <v>210</v>
      </c>
      <c r="H637" s="87">
        <v>3</v>
      </c>
      <c r="I637" s="87" t="s">
        <v>210</v>
      </c>
      <c r="J637" s="87">
        <v>-4</v>
      </c>
      <c r="K637" s="87" t="s">
        <v>210</v>
      </c>
      <c r="L637" s="87">
        <v>2</v>
      </c>
      <c r="M637" s="87" t="s">
        <v>210</v>
      </c>
      <c r="N637" s="87" t="s">
        <v>210</v>
      </c>
      <c r="BA637" s="95"/>
    </row>
    <row r="638" spans="1:53" s="87" customFormat="1">
      <c r="A638" s="90" t="str">
        <f t="shared" si="35"/>
        <v/>
      </c>
      <c r="B638" s="87">
        <v>16</v>
      </c>
      <c r="C638" s="87">
        <v>-1</v>
      </c>
      <c r="D638" s="87" t="s">
        <v>210</v>
      </c>
      <c r="E638" s="87">
        <v>2</v>
      </c>
      <c r="F638" s="87" t="s">
        <v>210</v>
      </c>
      <c r="G638" s="87" t="s">
        <v>210</v>
      </c>
      <c r="H638" s="87">
        <v>1</v>
      </c>
      <c r="I638" s="87" t="s">
        <v>210</v>
      </c>
      <c r="J638" s="87">
        <v>4</v>
      </c>
      <c r="K638" s="87" t="s">
        <v>210</v>
      </c>
      <c r="L638" s="87">
        <v>-3</v>
      </c>
      <c r="M638" s="87" t="s">
        <v>210</v>
      </c>
      <c r="N638" s="87" t="s">
        <v>210</v>
      </c>
      <c r="BA638" s="95"/>
    </row>
    <row r="639" spans="1:53" s="87" customFormat="1">
      <c r="A639" s="90" t="str">
        <f t="shared" si="35"/>
        <v/>
      </c>
      <c r="B639" s="87">
        <v>17</v>
      </c>
      <c r="C639" s="87">
        <v>-3</v>
      </c>
      <c r="D639" s="87" t="s">
        <v>210</v>
      </c>
      <c r="E639" s="87">
        <v>1</v>
      </c>
      <c r="F639" s="87" t="s">
        <v>210</v>
      </c>
      <c r="G639" s="87">
        <v>-4</v>
      </c>
      <c r="H639" s="87" t="s">
        <v>210</v>
      </c>
      <c r="I639" s="87" t="s">
        <v>210</v>
      </c>
      <c r="J639" s="87">
        <v>-2</v>
      </c>
      <c r="K639" s="87" t="s">
        <v>210</v>
      </c>
      <c r="L639" s="87">
        <v>3</v>
      </c>
      <c r="M639" s="87" t="s">
        <v>210</v>
      </c>
      <c r="N639" s="87" t="s">
        <v>210</v>
      </c>
      <c r="BA639" s="95"/>
    </row>
    <row r="640" spans="1:53" s="87" customFormat="1">
      <c r="A640" s="90" t="str">
        <f t="shared" si="35"/>
        <v/>
      </c>
      <c r="B640" s="87">
        <v>18</v>
      </c>
      <c r="C640" s="87">
        <v>-4</v>
      </c>
      <c r="D640" s="87" t="s">
        <v>210</v>
      </c>
      <c r="E640" s="87">
        <v>-2</v>
      </c>
      <c r="F640" s="87" t="s">
        <v>210</v>
      </c>
      <c r="G640" s="87">
        <v>4</v>
      </c>
      <c r="H640" s="87" t="s">
        <v>210</v>
      </c>
      <c r="I640" s="87" t="s">
        <v>210</v>
      </c>
      <c r="J640" s="87">
        <v>3</v>
      </c>
      <c r="K640" s="87" t="s">
        <v>210</v>
      </c>
      <c r="L640" s="87">
        <v>1</v>
      </c>
      <c r="M640" s="87" t="s">
        <v>210</v>
      </c>
      <c r="N640" s="87" t="s">
        <v>210</v>
      </c>
      <c r="BA640" s="95"/>
    </row>
    <row r="641" spans="1:53" s="87" customFormat="1">
      <c r="A641" s="90" t="str">
        <f t="shared" si="35"/>
        <v/>
      </c>
      <c r="B641" s="292" t="s">
        <v>851</v>
      </c>
      <c r="BA641" s="95"/>
    </row>
    <row r="642" spans="1:53" s="87" customFormat="1">
      <c r="A642" s="90">
        <f t="shared" si="35"/>
        <v>642</v>
      </c>
      <c r="B642" s="318" t="s">
        <v>1236</v>
      </c>
      <c r="BA642" s="95"/>
    </row>
    <row r="643" spans="1:53" s="87" customFormat="1">
      <c r="A643" s="90" t="str">
        <f t="shared" si="35"/>
        <v/>
      </c>
      <c r="B643" s="292">
        <v>1</v>
      </c>
      <c r="C643" s="87">
        <v>1</v>
      </c>
      <c r="D643" s="87">
        <v>-3</v>
      </c>
      <c r="E643" s="87" t="s">
        <v>210</v>
      </c>
      <c r="F643" s="87" t="s">
        <v>210</v>
      </c>
      <c r="G643" s="87">
        <v>-2</v>
      </c>
      <c r="H643" s="87">
        <v>-4</v>
      </c>
      <c r="I643" s="87">
        <v>2</v>
      </c>
      <c r="J643" s="87" t="s">
        <v>210</v>
      </c>
      <c r="K643" s="87">
        <v>3</v>
      </c>
      <c r="L643" s="87" t="s">
        <v>210</v>
      </c>
      <c r="M643" s="87">
        <v>-1</v>
      </c>
      <c r="N643" s="87">
        <v>2</v>
      </c>
      <c r="O643" s="87" t="s">
        <v>210</v>
      </c>
      <c r="P643" s="87">
        <v>4</v>
      </c>
      <c r="BA643" s="95"/>
    </row>
    <row r="644" spans="1:53" s="87" customFormat="1">
      <c r="A644" s="90" t="str">
        <f t="shared" si="35"/>
        <v/>
      </c>
      <c r="B644" s="87">
        <v>2</v>
      </c>
      <c r="C644" s="87">
        <v>2</v>
      </c>
      <c r="D644" s="87" t="s">
        <v>210</v>
      </c>
      <c r="E644" s="87">
        <v>-4</v>
      </c>
      <c r="F644" s="87" t="s">
        <v>210</v>
      </c>
      <c r="G644" s="87">
        <v>-1</v>
      </c>
      <c r="H644" s="87">
        <v>3</v>
      </c>
      <c r="I644" s="87">
        <v>1</v>
      </c>
      <c r="J644" s="87" t="s">
        <v>210</v>
      </c>
      <c r="K644" s="87">
        <v>4</v>
      </c>
      <c r="L644" s="87" t="s">
        <v>210</v>
      </c>
      <c r="M644" s="87">
        <v>-2</v>
      </c>
      <c r="N644" s="87">
        <v>-3</v>
      </c>
      <c r="O644" s="87" t="s">
        <v>210</v>
      </c>
      <c r="P644" s="87">
        <v>-4</v>
      </c>
      <c r="BA644" s="95"/>
    </row>
    <row r="645" spans="1:53" s="87" customFormat="1">
      <c r="A645" s="90" t="str">
        <f t="shared" si="35"/>
        <v/>
      </c>
      <c r="B645" s="87">
        <v>3</v>
      </c>
      <c r="C645" s="87">
        <v>-1</v>
      </c>
      <c r="D645" s="87" t="s">
        <v>210</v>
      </c>
      <c r="E645" s="87">
        <v>4</v>
      </c>
      <c r="F645" s="87" t="s">
        <v>210</v>
      </c>
      <c r="G645" s="87">
        <v>3</v>
      </c>
      <c r="H645" s="87">
        <v>-2</v>
      </c>
      <c r="I645" s="87" t="s">
        <v>210</v>
      </c>
      <c r="J645" s="87">
        <v>1</v>
      </c>
      <c r="K645" s="87">
        <v>-2</v>
      </c>
      <c r="L645" s="87">
        <v>-3</v>
      </c>
      <c r="M645" s="87">
        <v>-4</v>
      </c>
      <c r="N645" s="87" t="s">
        <v>210</v>
      </c>
      <c r="O645" s="87" t="s">
        <v>210</v>
      </c>
      <c r="P645" s="87">
        <v>2</v>
      </c>
      <c r="BA645" s="95"/>
    </row>
    <row r="646" spans="1:53" s="87" customFormat="1">
      <c r="A646" s="90" t="str">
        <f t="shared" si="35"/>
        <v/>
      </c>
      <c r="B646" s="87">
        <v>4</v>
      </c>
      <c r="C646" s="87">
        <v>-2</v>
      </c>
      <c r="D646" s="87">
        <v>3</v>
      </c>
      <c r="E646" s="87" t="s">
        <v>210</v>
      </c>
      <c r="F646" s="87" t="s">
        <v>210</v>
      </c>
      <c r="G646" s="87">
        <v>-4</v>
      </c>
      <c r="H646" s="87">
        <v>-1</v>
      </c>
      <c r="I646" s="87" t="s">
        <v>210</v>
      </c>
      <c r="J646" s="87">
        <v>2</v>
      </c>
      <c r="K646" s="87">
        <v>1</v>
      </c>
      <c r="L646" s="87">
        <v>4</v>
      </c>
      <c r="M646" s="87">
        <v>-3</v>
      </c>
      <c r="N646" s="87" t="s">
        <v>210</v>
      </c>
      <c r="O646" s="87" t="s">
        <v>210</v>
      </c>
      <c r="P646" s="87">
        <v>-2</v>
      </c>
      <c r="BA646" s="95"/>
    </row>
    <row r="647" spans="1:53" s="87" customFormat="1">
      <c r="A647" s="90" t="str">
        <f t="shared" si="35"/>
        <v/>
      </c>
      <c r="B647" s="87">
        <v>5</v>
      </c>
      <c r="C647" s="87" t="s">
        <v>210</v>
      </c>
      <c r="D647" s="87">
        <v>2</v>
      </c>
      <c r="E647" s="87">
        <v>-1</v>
      </c>
      <c r="F647" s="87">
        <v>4</v>
      </c>
      <c r="G647" s="87" t="s">
        <v>210</v>
      </c>
      <c r="H647" s="87">
        <v>-3</v>
      </c>
      <c r="I647" s="87" t="s">
        <v>210</v>
      </c>
      <c r="J647" s="87">
        <v>-4</v>
      </c>
      <c r="K647" s="87">
        <v>-1</v>
      </c>
      <c r="L647" s="87">
        <v>3</v>
      </c>
      <c r="M647" s="87" t="s">
        <v>210</v>
      </c>
      <c r="N647" s="87">
        <v>-2</v>
      </c>
      <c r="O647" s="87" t="s">
        <v>210</v>
      </c>
      <c r="P647" s="87">
        <v>1</v>
      </c>
      <c r="BA647" s="95"/>
    </row>
    <row r="648" spans="1:53" s="87" customFormat="1">
      <c r="A648" s="90" t="str">
        <f t="shared" si="35"/>
        <v/>
      </c>
      <c r="B648" s="87">
        <v>6</v>
      </c>
      <c r="C648" s="87" t="s">
        <v>210</v>
      </c>
      <c r="D648" s="87">
        <v>1</v>
      </c>
      <c r="E648" s="87">
        <v>-2</v>
      </c>
      <c r="F648" s="87">
        <v>3</v>
      </c>
      <c r="G648" s="87" t="s">
        <v>210</v>
      </c>
      <c r="H648" s="87">
        <v>4</v>
      </c>
      <c r="I648" s="87" t="s">
        <v>210</v>
      </c>
      <c r="J648" s="87">
        <v>-3</v>
      </c>
      <c r="K648" s="87">
        <v>2</v>
      </c>
      <c r="L648" s="87">
        <v>-4</v>
      </c>
      <c r="M648" s="87" t="s">
        <v>210</v>
      </c>
      <c r="N648" s="87">
        <v>3</v>
      </c>
      <c r="O648" s="87" t="s">
        <v>210</v>
      </c>
      <c r="P648" s="87">
        <v>-1</v>
      </c>
      <c r="BA648" s="95"/>
    </row>
    <row r="649" spans="1:53" s="87" customFormat="1">
      <c r="A649" s="90" t="str">
        <f t="shared" si="35"/>
        <v/>
      </c>
      <c r="B649" s="87">
        <v>7</v>
      </c>
      <c r="C649" s="87" t="s">
        <v>210</v>
      </c>
      <c r="D649" s="87">
        <v>4</v>
      </c>
      <c r="E649" s="87">
        <v>1</v>
      </c>
      <c r="F649" s="87">
        <v>-3</v>
      </c>
      <c r="G649" s="87">
        <v>2</v>
      </c>
      <c r="H649" s="87" t="s">
        <v>210</v>
      </c>
      <c r="I649" s="87" t="s">
        <v>210</v>
      </c>
      <c r="J649" s="87">
        <v>-1</v>
      </c>
      <c r="K649" s="87">
        <v>-4</v>
      </c>
      <c r="L649" s="87" t="s">
        <v>210</v>
      </c>
      <c r="M649" s="87">
        <v>3</v>
      </c>
      <c r="N649" s="87">
        <v>4</v>
      </c>
      <c r="O649" s="87">
        <v>-2</v>
      </c>
      <c r="P649" s="87" t="s">
        <v>210</v>
      </c>
      <c r="BA649" s="95"/>
    </row>
    <row r="650" spans="1:53" s="87" customFormat="1">
      <c r="A650" s="90" t="str">
        <f t="shared" si="35"/>
        <v/>
      </c>
      <c r="B650" s="87">
        <v>8</v>
      </c>
      <c r="C650" s="87" t="s">
        <v>210</v>
      </c>
      <c r="D650" s="87">
        <v>-1</v>
      </c>
      <c r="E650" s="87">
        <v>3</v>
      </c>
      <c r="F650" s="87">
        <v>-4</v>
      </c>
      <c r="G650" s="87">
        <v>1</v>
      </c>
      <c r="H650" s="87" t="s">
        <v>210</v>
      </c>
      <c r="I650" s="87" t="s">
        <v>210</v>
      </c>
      <c r="J650" s="87">
        <v>-2</v>
      </c>
      <c r="K650" s="87">
        <v>-3</v>
      </c>
      <c r="L650" s="87" t="s">
        <v>210</v>
      </c>
      <c r="M650" s="87">
        <v>4</v>
      </c>
      <c r="N650" s="87">
        <v>1</v>
      </c>
      <c r="O650" s="87">
        <v>2</v>
      </c>
      <c r="P650" s="87" t="s">
        <v>210</v>
      </c>
      <c r="BA650" s="95"/>
    </row>
    <row r="651" spans="1:53" s="87" customFormat="1">
      <c r="A651" s="90" t="str">
        <f t="shared" si="35"/>
        <v/>
      </c>
      <c r="B651" s="87">
        <v>9</v>
      </c>
      <c r="C651" s="87" t="s">
        <v>210</v>
      </c>
      <c r="D651" s="87">
        <v>-2</v>
      </c>
      <c r="E651" s="87">
        <v>-3</v>
      </c>
      <c r="F651" s="87" t="s">
        <v>210</v>
      </c>
      <c r="G651" s="87">
        <v>4</v>
      </c>
      <c r="H651" s="87">
        <v>2</v>
      </c>
      <c r="I651" s="87">
        <v>-1</v>
      </c>
      <c r="J651" s="87">
        <v>3</v>
      </c>
      <c r="K651" s="87" t="s">
        <v>210</v>
      </c>
      <c r="L651" s="87" t="s">
        <v>210</v>
      </c>
      <c r="M651" s="87">
        <v>1</v>
      </c>
      <c r="N651" s="87">
        <v>-4</v>
      </c>
      <c r="O651" s="87">
        <v>-3</v>
      </c>
      <c r="P651" s="87" t="s">
        <v>210</v>
      </c>
      <c r="BA651" s="95"/>
    </row>
    <row r="652" spans="1:53" s="87" customFormat="1">
      <c r="A652" s="90" t="str">
        <f t="shared" ref="A652:A715" si="36">IF(MID(B652,3,2)="04",ROW(),"")</f>
        <v/>
      </c>
      <c r="B652" s="87">
        <v>10</v>
      </c>
      <c r="C652" s="87" t="s">
        <v>210</v>
      </c>
      <c r="D652" s="87">
        <v>-4</v>
      </c>
      <c r="E652" s="87">
        <v>2</v>
      </c>
      <c r="F652" s="87" t="s">
        <v>210</v>
      </c>
      <c r="G652" s="87">
        <v>-3</v>
      </c>
      <c r="H652" s="87">
        <v>1</v>
      </c>
      <c r="I652" s="87">
        <v>-2</v>
      </c>
      <c r="J652" s="87">
        <v>4</v>
      </c>
      <c r="K652" s="87" t="s">
        <v>210</v>
      </c>
      <c r="L652" s="87" t="s">
        <v>210</v>
      </c>
      <c r="M652" s="87">
        <v>2</v>
      </c>
      <c r="N652" s="87">
        <v>-1</v>
      </c>
      <c r="O652" s="87">
        <v>3</v>
      </c>
      <c r="P652" s="87" t="s">
        <v>210</v>
      </c>
      <c r="BA652" s="95"/>
    </row>
    <row r="653" spans="1:53" s="87" customFormat="1">
      <c r="A653" s="90" t="str">
        <f t="shared" si="36"/>
        <v/>
      </c>
      <c r="B653" s="297" t="s">
        <v>859</v>
      </c>
      <c r="BA653" s="95"/>
    </row>
    <row r="654" spans="1:53" s="87" customFormat="1">
      <c r="A654" s="90">
        <f t="shared" si="36"/>
        <v>654</v>
      </c>
      <c r="B654" s="318" t="s">
        <v>1235</v>
      </c>
      <c r="BA654" s="95"/>
    </row>
    <row r="655" spans="1:53" s="87" customFormat="1">
      <c r="A655" s="90" t="str">
        <f t="shared" si="36"/>
        <v/>
      </c>
      <c r="B655" s="87">
        <v>1</v>
      </c>
      <c r="C655" s="87">
        <v>2</v>
      </c>
      <c r="D655" s="87" t="s">
        <v>210</v>
      </c>
      <c r="E655" s="87">
        <v>3</v>
      </c>
      <c r="F655" s="87" t="s">
        <v>210</v>
      </c>
      <c r="G655" s="87">
        <v>-2</v>
      </c>
      <c r="H655" s="87">
        <v>-1</v>
      </c>
      <c r="I655" s="87">
        <v>4</v>
      </c>
      <c r="J655" s="87">
        <v>-3</v>
      </c>
      <c r="K655" s="87" t="s">
        <v>210</v>
      </c>
      <c r="L655" s="87">
        <v>2</v>
      </c>
      <c r="M655" s="87">
        <v>-4</v>
      </c>
      <c r="N655" s="87">
        <v>1</v>
      </c>
      <c r="BA655" s="95"/>
    </row>
    <row r="656" spans="1:53" s="87" customFormat="1">
      <c r="A656" s="90" t="str">
        <f t="shared" si="36"/>
        <v/>
      </c>
      <c r="B656" s="87">
        <v>2</v>
      </c>
      <c r="C656" s="87">
        <v>4</v>
      </c>
      <c r="D656" s="87" t="s">
        <v>210</v>
      </c>
      <c r="E656" s="87">
        <v>-3</v>
      </c>
      <c r="F656" s="87" t="s">
        <v>210</v>
      </c>
      <c r="G656" s="87">
        <v>-1</v>
      </c>
      <c r="H656" s="87">
        <v>-2</v>
      </c>
      <c r="I656" s="87">
        <v>-3</v>
      </c>
      <c r="J656" s="87">
        <v>1</v>
      </c>
      <c r="K656" s="87" t="s">
        <v>210</v>
      </c>
      <c r="L656" s="87">
        <v>-4</v>
      </c>
      <c r="M656" s="87">
        <v>2</v>
      </c>
      <c r="N656" s="87">
        <v>3</v>
      </c>
      <c r="BA656" s="95"/>
    </row>
    <row r="657" spans="1:53" s="87" customFormat="1">
      <c r="A657" s="90" t="str">
        <f t="shared" si="36"/>
        <v/>
      </c>
      <c r="B657" s="87">
        <v>3</v>
      </c>
      <c r="C657" s="87">
        <v>1</v>
      </c>
      <c r="D657" s="87" t="s">
        <v>210</v>
      </c>
      <c r="E657" s="87">
        <v>-4</v>
      </c>
      <c r="F657" s="87">
        <v>2</v>
      </c>
      <c r="G657" s="87" t="s">
        <v>210</v>
      </c>
      <c r="H657" s="87">
        <v>3</v>
      </c>
      <c r="I657" s="87">
        <v>-2</v>
      </c>
      <c r="J657" s="87">
        <v>-1</v>
      </c>
      <c r="K657" s="87">
        <v>-3</v>
      </c>
      <c r="L657" s="87" t="s">
        <v>210</v>
      </c>
      <c r="M657" s="87">
        <v>4</v>
      </c>
      <c r="N657" s="87">
        <v>2</v>
      </c>
      <c r="BA657" s="95"/>
    </row>
    <row r="658" spans="1:53" s="87" customFormat="1">
      <c r="A658" s="90" t="str">
        <f t="shared" si="36"/>
        <v/>
      </c>
      <c r="B658" s="87">
        <v>4</v>
      </c>
      <c r="C658" s="87">
        <v>3</v>
      </c>
      <c r="D658" s="87" t="s">
        <v>210</v>
      </c>
      <c r="E658" s="87">
        <v>1</v>
      </c>
      <c r="F658" s="87">
        <v>-3</v>
      </c>
      <c r="G658" s="87" t="s">
        <v>210</v>
      </c>
      <c r="H658" s="87">
        <v>-4</v>
      </c>
      <c r="I658" s="87">
        <v>2</v>
      </c>
      <c r="J658" s="87">
        <v>3</v>
      </c>
      <c r="K658" s="87">
        <v>-1</v>
      </c>
      <c r="L658" s="87" t="s">
        <v>210</v>
      </c>
      <c r="M658" s="87">
        <v>-2</v>
      </c>
      <c r="N658" s="87">
        <v>4</v>
      </c>
      <c r="BA658" s="95"/>
    </row>
    <row r="659" spans="1:53" s="87" customFormat="1">
      <c r="A659" s="90" t="str">
        <f t="shared" si="36"/>
        <v/>
      </c>
      <c r="B659" s="87">
        <v>5</v>
      </c>
      <c r="C659" s="87">
        <v>-4</v>
      </c>
      <c r="D659" s="87" t="s">
        <v>210</v>
      </c>
      <c r="E659" s="87">
        <v>-1</v>
      </c>
      <c r="F659" s="87">
        <v>-2</v>
      </c>
      <c r="G659" s="87">
        <v>3</v>
      </c>
      <c r="H659" s="87" t="s">
        <v>210</v>
      </c>
      <c r="I659" s="87">
        <v>1</v>
      </c>
      <c r="J659" s="87">
        <v>2</v>
      </c>
      <c r="K659" s="87">
        <v>4</v>
      </c>
      <c r="L659" s="87">
        <v>-3</v>
      </c>
      <c r="M659" s="87" t="s">
        <v>210</v>
      </c>
      <c r="N659" s="87">
        <v>-1</v>
      </c>
      <c r="BA659" s="95"/>
    </row>
    <row r="660" spans="1:53" s="87" customFormat="1">
      <c r="A660" s="90" t="str">
        <f t="shared" si="36"/>
        <v/>
      </c>
      <c r="B660" s="87">
        <v>6</v>
      </c>
      <c r="C660" s="87">
        <v>-2</v>
      </c>
      <c r="D660" s="87" t="s">
        <v>210</v>
      </c>
      <c r="E660" s="87">
        <v>4</v>
      </c>
      <c r="F660" s="87">
        <v>3</v>
      </c>
      <c r="G660" s="87">
        <v>4</v>
      </c>
      <c r="H660" s="87" t="s">
        <v>210</v>
      </c>
      <c r="I660" s="87">
        <v>-1</v>
      </c>
      <c r="J660" s="87">
        <v>-4</v>
      </c>
      <c r="K660" s="87">
        <v>2</v>
      </c>
      <c r="L660" s="87">
        <v>1</v>
      </c>
      <c r="M660" s="87" t="s">
        <v>210</v>
      </c>
      <c r="N660" s="87">
        <v>-3</v>
      </c>
      <c r="BA660" s="95"/>
    </row>
    <row r="661" spans="1:53" s="87" customFormat="1">
      <c r="A661" s="90" t="str">
        <f t="shared" si="36"/>
        <v/>
      </c>
      <c r="B661" s="87">
        <v>7</v>
      </c>
      <c r="C661" s="87">
        <v>-1</v>
      </c>
      <c r="D661" s="87" t="s">
        <v>210</v>
      </c>
      <c r="E661" s="87">
        <v>-2</v>
      </c>
      <c r="F661" s="87">
        <v>-4</v>
      </c>
      <c r="G661" s="87">
        <v>-3</v>
      </c>
      <c r="H661" s="87">
        <v>2</v>
      </c>
      <c r="I661" s="87" t="s">
        <v>210</v>
      </c>
      <c r="J661" s="87">
        <v>4</v>
      </c>
      <c r="K661" s="87">
        <v>1</v>
      </c>
      <c r="L661" s="87">
        <v>-2</v>
      </c>
      <c r="M661" s="87">
        <v>3</v>
      </c>
      <c r="N661" s="87" t="s">
        <v>210</v>
      </c>
      <c r="BA661" s="95"/>
    </row>
    <row r="662" spans="1:53" s="87" customFormat="1">
      <c r="A662" s="90" t="str">
        <f t="shared" si="36"/>
        <v/>
      </c>
      <c r="B662" s="87">
        <v>8</v>
      </c>
      <c r="C662" s="87">
        <v>-3</v>
      </c>
      <c r="D662" s="87" t="s">
        <v>210</v>
      </c>
      <c r="E662" s="87">
        <v>2</v>
      </c>
      <c r="F662" s="87">
        <v>-1</v>
      </c>
      <c r="G662" s="87">
        <v>-4</v>
      </c>
      <c r="H662" s="87">
        <v>1</v>
      </c>
      <c r="I662" s="87" t="s">
        <v>210</v>
      </c>
      <c r="J662" s="87">
        <v>-2</v>
      </c>
      <c r="K662" s="87">
        <v>3</v>
      </c>
      <c r="L662" s="87">
        <v>4</v>
      </c>
      <c r="M662" s="87">
        <v>1</v>
      </c>
      <c r="N662" s="87" t="s">
        <v>210</v>
      </c>
      <c r="BA662" s="95"/>
    </row>
    <row r="663" spans="1:53" s="87" customFormat="1">
      <c r="A663" s="90" t="str">
        <f t="shared" si="36"/>
        <v/>
      </c>
      <c r="B663" s="87">
        <v>9</v>
      </c>
      <c r="C663" s="87" t="s">
        <v>210</v>
      </c>
      <c r="D663" s="87">
        <v>-2</v>
      </c>
      <c r="E663" s="87" t="s">
        <v>210</v>
      </c>
      <c r="F663" s="87">
        <v>1</v>
      </c>
      <c r="G663" s="87">
        <v>2</v>
      </c>
      <c r="H663" s="87">
        <v>4</v>
      </c>
      <c r="I663" s="87">
        <v>3</v>
      </c>
      <c r="J663" s="87" t="s">
        <v>210</v>
      </c>
      <c r="K663" s="87">
        <v>-4</v>
      </c>
      <c r="L663" s="87">
        <v>-1</v>
      </c>
      <c r="M663" s="87">
        <v>-3</v>
      </c>
      <c r="N663" s="87">
        <v>-2</v>
      </c>
      <c r="BA663" s="95"/>
    </row>
    <row r="664" spans="1:53" s="87" customFormat="1">
      <c r="A664" s="90" t="str">
        <f t="shared" si="36"/>
        <v/>
      </c>
      <c r="B664" s="87">
        <v>10</v>
      </c>
      <c r="C664" s="87" t="s">
        <v>210</v>
      </c>
      <c r="D664" s="87">
        <v>2</v>
      </c>
      <c r="E664" s="87" t="s">
        <v>210</v>
      </c>
      <c r="F664" s="87">
        <v>4</v>
      </c>
      <c r="G664" s="87">
        <v>1</v>
      </c>
      <c r="H664" s="87">
        <v>-3</v>
      </c>
      <c r="I664" s="87">
        <v>-4</v>
      </c>
      <c r="J664" s="87" t="s">
        <v>210</v>
      </c>
      <c r="K664" s="87">
        <v>-2</v>
      </c>
      <c r="L664" s="87">
        <v>3</v>
      </c>
      <c r="M664" s="87">
        <v>-1</v>
      </c>
      <c r="N664" s="87">
        <v>-4</v>
      </c>
      <c r="BA664" s="95"/>
    </row>
    <row r="665" spans="1:53" s="87" customFormat="1">
      <c r="A665" s="90" t="str">
        <f t="shared" si="36"/>
        <v/>
      </c>
      <c r="B665" s="298" t="s">
        <v>860</v>
      </c>
      <c r="BA665" s="95"/>
    </row>
    <row r="666" spans="1:53" s="87" customFormat="1">
      <c r="A666" s="90">
        <f t="shared" si="36"/>
        <v>666</v>
      </c>
      <c r="B666" s="318" t="s">
        <v>1249</v>
      </c>
      <c r="BA666" s="95"/>
    </row>
    <row r="667" spans="1:53" s="87" customFormat="1">
      <c r="A667" s="90" t="str">
        <f t="shared" si="36"/>
        <v/>
      </c>
      <c r="B667" s="87">
        <v>1</v>
      </c>
      <c r="C667" s="87">
        <v>-2</v>
      </c>
      <c r="D667" s="87" t="s">
        <v>210</v>
      </c>
      <c r="E667" s="87">
        <v>-1</v>
      </c>
      <c r="F667" s="87" t="s">
        <v>210</v>
      </c>
      <c r="G667" s="87">
        <v>3</v>
      </c>
      <c r="H667" s="87">
        <v>4</v>
      </c>
      <c r="I667" s="87" t="s">
        <v>210</v>
      </c>
      <c r="J667" s="87" t="s">
        <v>210</v>
      </c>
      <c r="K667" s="87" t="s">
        <v>210</v>
      </c>
      <c r="BA667" s="95"/>
    </row>
    <row r="668" spans="1:53" s="87" customFormat="1">
      <c r="A668" s="90" t="str">
        <f t="shared" si="36"/>
        <v/>
      </c>
      <c r="B668" s="87">
        <v>2</v>
      </c>
      <c r="C668" s="87">
        <v>2</v>
      </c>
      <c r="D668" s="87" t="s">
        <v>210</v>
      </c>
      <c r="E668" s="87">
        <v>4</v>
      </c>
      <c r="F668" s="87" t="s">
        <v>210</v>
      </c>
      <c r="G668" s="87">
        <v>-1</v>
      </c>
      <c r="H668" s="87" t="s">
        <v>210</v>
      </c>
      <c r="I668" s="87" t="s">
        <v>210</v>
      </c>
      <c r="J668" s="87">
        <v>-3</v>
      </c>
      <c r="K668" s="87" t="s">
        <v>210</v>
      </c>
      <c r="BA668" s="95"/>
    </row>
    <row r="669" spans="1:53" s="87" customFormat="1">
      <c r="A669" s="90" t="str">
        <f t="shared" si="36"/>
        <v/>
      </c>
      <c r="B669" s="87">
        <v>3</v>
      </c>
      <c r="C669" s="87">
        <v>-3</v>
      </c>
      <c r="D669" s="87" t="s">
        <v>210</v>
      </c>
      <c r="E669" s="87">
        <v>1</v>
      </c>
      <c r="F669" s="87" t="s">
        <v>210</v>
      </c>
      <c r="G669" s="87" t="s">
        <v>210</v>
      </c>
      <c r="H669" s="87">
        <v>-2</v>
      </c>
      <c r="I669" s="87" t="s">
        <v>210</v>
      </c>
      <c r="J669" s="87">
        <v>3</v>
      </c>
      <c r="K669" s="87" t="s">
        <v>210</v>
      </c>
      <c r="BA669" s="95"/>
    </row>
    <row r="670" spans="1:53" s="87" customFormat="1">
      <c r="A670" s="90" t="str">
        <f t="shared" si="36"/>
        <v/>
      </c>
      <c r="B670" s="87">
        <v>4</v>
      </c>
      <c r="C670" s="87">
        <v>3</v>
      </c>
      <c r="D670" s="87" t="s">
        <v>210</v>
      </c>
      <c r="E670" s="87" t="s">
        <v>210</v>
      </c>
      <c r="F670" s="87" t="s">
        <v>210</v>
      </c>
      <c r="G670" s="87">
        <v>2</v>
      </c>
      <c r="H670" s="87">
        <v>-1</v>
      </c>
      <c r="I670" s="87" t="s">
        <v>210</v>
      </c>
      <c r="J670" s="87">
        <v>-4</v>
      </c>
      <c r="K670" s="87" t="s">
        <v>210</v>
      </c>
      <c r="BA670" s="95"/>
    </row>
    <row r="671" spans="1:53" s="87" customFormat="1">
      <c r="A671" s="90" t="str">
        <f t="shared" si="36"/>
        <v/>
      </c>
      <c r="B671" s="232">
        <v>5</v>
      </c>
      <c r="C671" s="233" t="s">
        <v>210</v>
      </c>
      <c r="D671" s="233" t="s">
        <v>210</v>
      </c>
      <c r="E671" s="233">
        <v>-4</v>
      </c>
      <c r="F671" s="233" t="s">
        <v>210</v>
      </c>
      <c r="G671" s="233">
        <v>-2</v>
      </c>
      <c r="H671" s="233">
        <v>3</v>
      </c>
      <c r="I671" s="233" t="s">
        <v>210</v>
      </c>
      <c r="J671" s="233">
        <v>1</v>
      </c>
      <c r="K671" s="233" t="s">
        <v>210</v>
      </c>
      <c r="BA671" s="95"/>
    </row>
    <row r="672" spans="1:53" s="87" customFormat="1">
      <c r="A672" s="90" t="str">
        <f t="shared" si="36"/>
        <v/>
      </c>
      <c r="B672" s="87">
        <v>6</v>
      </c>
      <c r="C672" s="87" t="s">
        <v>210</v>
      </c>
      <c r="D672" s="87">
        <v>-2</v>
      </c>
      <c r="E672" s="87" t="s">
        <v>210</v>
      </c>
      <c r="F672" s="87">
        <v>-3</v>
      </c>
      <c r="G672" s="87" t="s">
        <v>210</v>
      </c>
      <c r="H672" s="87">
        <v>1</v>
      </c>
      <c r="I672" s="87" t="s">
        <v>210</v>
      </c>
      <c r="J672" s="87">
        <v>2</v>
      </c>
      <c r="K672" s="87" t="s">
        <v>210</v>
      </c>
      <c r="BA672" s="95"/>
    </row>
    <row r="673" spans="1:53" s="87" customFormat="1">
      <c r="A673" s="90" t="str">
        <f t="shared" si="36"/>
        <v/>
      </c>
      <c r="B673" s="87">
        <v>7</v>
      </c>
      <c r="C673" s="87" t="s">
        <v>210</v>
      </c>
      <c r="D673" s="87">
        <v>2</v>
      </c>
      <c r="E673" s="87" t="s">
        <v>210</v>
      </c>
      <c r="F673" s="87">
        <v>-1</v>
      </c>
      <c r="G673" s="87" t="s">
        <v>210</v>
      </c>
      <c r="H673" s="87">
        <v>-3</v>
      </c>
      <c r="I673" s="87" t="s">
        <v>210</v>
      </c>
      <c r="J673" s="87" t="s">
        <v>210</v>
      </c>
      <c r="K673" s="87">
        <v>4</v>
      </c>
      <c r="BA673" s="95"/>
    </row>
    <row r="674" spans="1:53" s="87" customFormat="1">
      <c r="A674" s="90" t="str">
        <f t="shared" si="36"/>
        <v/>
      </c>
      <c r="B674" s="87">
        <v>8</v>
      </c>
      <c r="C674" s="87" t="s">
        <v>210</v>
      </c>
      <c r="D674" s="87">
        <v>-3</v>
      </c>
      <c r="E674" s="87" t="s">
        <v>210</v>
      </c>
      <c r="F674" s="87">
        <v>1</v>
      </c>
      <c r="G674" s="87" t="s">
        <v>210</v>
      </c>
      <c r="H674" s="87" t="s">
        <v>210</v>
      </c>
      <c r="I674" s="87" t="s">
        <v>210</v>
      </c>
      <c r="J674" s="87">
        <v>4</v>
      </c>
      <c r="K674" s="87">
        <v>-2</v>
      </c>
      <c r="BA674" s="95"/>
    </row>
    <row r="675" spans="1:53" s="87" customFormat="1">
      <c r="A675" s="90" t="str">
        <f t="shared" si="36"/>
        <v/>
      </c>
      <c r="B675" s="87">
        <v>9</v>
      </c>
      <c r="C675" s="87" t="s">
        <v>210</v>
      </c>
      <c r="D675" s="87">
        <v>3</v>
      </c>
      <c r="E675" s="87" t="s">
        <v>210</v>
      </c>
      <c r="F675" s="87" t="s">
        <v>210</v>
      </c>
      <c r="G675" s="87" t="s">
        <v>210</v>
      </c>
      <c r="H675" s="87">
        <v>-4</v>
      </c>
      <c r="I675" s="87" t="s">
        <v>210</v>
      </c>
      <c r="J675" s="87">
        <v>-2</v>
      </c>
      <c r="K675" s="87">
        <v>1</v>
      </c>
      <c r="BA675" s="95"/>
    </row>
    <row r="676" spans="1:53" s="87" customFormat="1">
      <c r="A676" s="90" t="str">
        <f t="shared" si="36"/>
        <v/>
      </c>
      <c r="B676" s="232">
        <v>10</v>
      </c>
      <c r="C676" s="233" t="s">
        <v>210</v>
      </c>
      <c r="D676" s="233" t="s">
        <v>210</v>
      </c>
      <c r="E676" s="233" t="s">
        <v>210</v>
      </c>
      <c r="F676" s="233">
        <v>3</v>
      </c>
      <c r="G676" s="233" t="s">
        <v>210</v>
      </c>
      <c r="H676" s="233">
        <v>2</v>
      </c>
      <c r="I676" s="233" t="s">
        <v>210</v>
      </c>
      <c r="J676" s="233">
        <v>-1</v>
      </c>
      <c r="K676" s="233">
        <v>-4</v>
      </c>
      <c r="BA676" s="95"/>
    </row>
    <row r="677" spans="1:53" s="87" customFormat="1">
      <c r="A677" s="90" t="str">
        <f t="shared" si="36"/>
        <v/>
      </c>
      <c r="B677" s="87">
        <v>11</v>
      </c>
      <c r="C677" s="87" t="s">
        <v>210</v>
      </c>
      <c r="D677" s="87">
        <v>-1</v>
      </c>
      <c r="E677" s="87">
        <v>-3</v>
      </c>
      <c r="F677" s="87" t="s">
        <v>210</v>
      </c>
      <c r="G677" s="87">
        <v>4</v>
      </c>
      <c r="H677" s="87" t="s">
        <v>210</v>
      </c>
      <c r="I677" s="87">
        <v>2</v>
      </c>
      <c r="J677" s="87" t="s">
        <v>210</v>
      </c>
      <c r="K677" s="87" t="s">
        <v>210</v>
      </c>
      <c r="BA677" s="95"/>
    </row>
    <row r="678" spans="1:53" s="87" customFormat="1">
      <c r="A678" s="90" t="str">
        <f t="shared" si="36"/>
        <v/>
      </c>
      <c r="B678" s="87">
        <v>12</v>
      </c>
      <c r="C678" s="87" t="s">
        <v>210</v>
      </c>
      <c r="D678" s="87">
        <v>1</v>
      </c>
      <c r="E678" s="87">
        <v>2</v>
      </c>
      <c r="F678" s="87" t="s">
        <v>210</v>
      </c>
      <c r="G678" s="87">
        <v>-3</v>
      </c>
      <c r="H678" s="87" t="s">
        <v>210</v>
      </c>
      <c r="I678" s="87" t="s">
        <v>210</v>
      </c>
      <c r="J678" s="87" t="s">
        <v>210</v>
      </c>
      <c r="K678" s="87">
        <v>-1</v>
      </c>
      <c r="BA678" s="95"/>
    </row>
    <row r="679" spans="1:53" s="87" customFormat="1">
      <c r="A679" s="90" t="str">
        <f t="shared" si="36"/>
        <v/>
      </c>
      <c r="B679" s="87">
        <v>13</v>
      </c>
      <c r="C679" s="87" t="s">
        <v>210</v>
      </c>
      <c r="D679" s="87">
        <v>-4</v>
      </c>
      <c r="E679" s="87">
        <v>3</v>
      </c>
      <c r="F679" s="87" t="s">
        <v>210</v>
      </c>
      <c r="G679" s="87" t="s">
        <v>210</v>
      </c>
      <c r="H679" s="87" t="s">
        <v>210</v>
      </c>
      <c r="I679" s="87">
        <v>-1</v>
      </c>
      <c r="J679" s="87" t="s">
        <v>210</v>
      </c>
      <c r="K679" s="87">
        <v>2</v>
      </c>
      <c r="BA679" s="95"/>
    </row>
    <row r="680" spans="1:53" s="87" customFormat="1">
      <c r="A680" s="90" t="str">
        <f t="shared" si="36"/>
        <v/>
      </c>
      <c r="B680" s="87">
        <v>14</v>
      </c>
      <c r="C680" s="87" t="s">
        <v>210</v>
      </c>
      <c r="D680" s="87">
        <v>4</v>
      </c>
      <c r="E680" s="87" t="s">
        <v>210</v>
      </c>
      <c r="F680" s="87" t="s">
        <v>210</v>
      </c>
      <c r="G680" s="87">
        <v>1</v>
      </c>
      <c r="H680" s="87" t="s">
        <v>210</v>
      </c>
      <c r="I680" s="87">
        <v>-2</v>
      </c>
      <c r="J680" s="87" t="s">
        <v>210</v>
      </c>
      <c r="K680" s="87">
        <v>-3</v>
      </c>
      <c r="BA680" s="95"/>
    </row>
    <row r="681" spans="1:53" s="87" customFormat="1">
      <c r="A681" s="90" t="str">
        <f t="shared" si="36"/>
        <v/>
      </c>
      <c r="B681" s="87">
        <v>15</v>
      </c>
      <c r="C681" s="87" t="s">
        <v>210</v>
      </c>
      <c r="D681" s="87" t="s">
        <v>210</v>
      </c>
      <c r="E681" s="87">
        <v>-2</v>
      </c>
      <c r="F681" s="87" t="s">
        <v>210</v>
      </c>
      <c r="G681" s="87">
        <v>-4</v>
      </c>
      <c r="H681" s="87" t="s">
        <v>210</v>
      </c>
      <c r="I681" s="87">
        <v>1</v>
      </c>
      <c r="J681" s="87" t="s">
        <v>210</v>
      </c>
      <c r="K681" s="87">
        <v>3</v>
      </c>
      <c r="BA681" s="95"/>
    </row>
    <row r="682" spans="1:53" s="87" customFormat="1">
      <c r="A682" s="90" t="str">
        <f t="shared" si="36"/>
        <v/>
      </c>
      <c r="B682" s="300" t="s">
        <v>861</v>
      </c>
      <c r="BA682" s="95"/>
    </row>
    <row r="683" spans="1:53" s="87" customFormat="1">
      <c r="A683" s="90">
        <f t="shared" si="36"/>
        <v>683</v>
      </c>
      <c r="B683" s="318" t="s">
        <v>1183</v>
      </c>
      <c r="BA683" s="95"/>
    </row>
    <row r="684" spans="1:53" s="87" customFormat="1">
      <c r="A684" s="90" t="str">
        <f t="shared" si="36"/>
        <v/>
      </c>
      <c r="B684" s="87">
        <v>1</v>
      </c>
      <c r="C684" s="87">
        <v>-1</v>
      </c>
      <c r="D684" s="87" t="s">
        <v>210</v>
      </c>
      <c r="E684" s="87">
        <v>-3</v>
      </c>
      <c r="F684" s="87" t="s">
        <v>210</v>
      </c>
      <c r="G684" s="87">
        <v>2</v>
      </c>
      <c r="H684" s="87">
        <v>4</v>
      </c>
      <c r="I684" s="87">
        <v>-1</v>
      </c>
      <c r="J684" s="87" t="s">
        <v>210</v>
      </c>
      <c r="K684" s="87">
        <v>-2</v>
      </c>
      <c r="L684" s="87">
        <v>3</v>
      </c>
      <c r="M684" s="87" t="s">
        <v>210</v>
      </c>
      <c r="N684" s="87" t="s">
        <v>210</v>
      </c>
      <c r="O684" s="87">
        <v>-4</v>
      </c>
      <c r="P684" s="87">
        <v>1</v>
      </c>
      <c r="Q684" s="87">
        <v>2</v>
      </c>
      <c r="R684" s="87" t="s">
        <v>210</v>
      </c>
      <c r="S684" s="87">
        <v>4</v>
      </c>
      <c r="BA684" s="95"/>
    </row>
    <row r="685" spans="1:53" s="87" customFormat="1">
      <c r="A685" s="90" t="str">
        <f t="shared" si="36"/>
        <v/>
      </c>
      <c r="B685" s="87">
        <v>2</v>
      </c>
      <c r="C685" s="87">
        <v>1</v>
      </c>
      <c r="D685" s="87" t="s">
        <v>210</v>
      </c>
      <c r="E685" s="87">
        <v>-4</v>
      </c>
      <c r="F685" s="87" t="s">
        <v>210</v>
      </c>
      <c r="G685" s="87">
        <v>-3</v>
      </c>
      <c r="H685" s="87">
        <v>2</v>
      </c>
      <c r="I685" s="87">
        <v>4</v>
      </c>
      <c r="J685" s="87" t="s">
        <v>210</v>
      </c>
      <c r="K685" s="87">
        <v>3</v>
      </c>
      <c r="L685" s="87">
        <v>-2</v>
      </c>
      <c r="M685" s="87" t="s">
        <v>210</v>
      </c>
      <c r="N685" s="87" t="s">
        <v>210</v>
      </c>
      <c r="O685" s="87">
        <v>-1</v>
      </c>
      <c r="P685" s="87">
        <v>2</v>
      </c>
      <c r="Q685" s="87">
        <v>-4</v>
      </c>
      <c r="R685" s="87" t="s">
        <v>210</v>
      </c>
      <c r="S685" s="87">
        <v>-3</v>
      </c>
      <c r="BA685" s="95"/>
    </row>
    <row r="686" spans="1:53" s="87" customFormat="1">
      <c r="A686" s="90" t="str">
        <f t="shared" si="36"/>
        <v/>
      </c>
      <c r="B686" s="87">
        <v>3</v>
      </c>
      <c r="C686" s="87">
        <v>-2</v>
      </c>
      <c r="D686" s="87" t="s">
        <v>210</v>
      </c>
      <c r="E686" s="87">
        <v>3</v>
      </c>
      <c r="F686" s="87" t="s">
        <v>210</v>
      </c>
      <c r="G686" s="87">
        <v>4</v>
      </c>
      <c r="H686" s="87">
        <v>-1</v>
      </c>
      <c r="I686" s="87">
        <v>-3</v>
      </c>
      <c r="J686" s="87" t="s">
        <v>210</v>
      </c>
      <c r="K686" s="87">
        <v>-4</v>
      </c>
      <c r="L686" s="87">
        <v>1</v>
      </c>
      <c r="M686" s="87" t="s">
        <v>210</v>
      </c>
      <c r="N686" s="87" t="s">
        <v>210</v>
      </c>
      <c r="O686" s="87">
        <v>2</v>
      </c>
      <c r="P686" s="87">
        <v>-3</v>
      </c>
      <c r="Q686" s="87">
        <v>4</v>
      </c>
      <c r="R686" s="87" t="s">
        <v>210</v>
      </c>
      <c r="S686" s="87">
        <v>-2</v>
      </c>
      <c r="BA686" s="95"/>
    </row>
    <row r="687" spans="1:53" s="87" customFormat="1">
      <c r="A687" s="90" t="str">
        <f t="shared" si="36"/>
        <v/>
      </c>
      <c r="B687" s="87">
        <v>4</v>
      </c>
      <c r="C687" s="87">
        <v>2</v>
      </c>
      <c r="D687" s="87" t="s">
        <v>210</v>
      </c>
      <c r="E687" s="87">
        <v>4</v>
      </c>
      <c r="F687" s="87" t="s">
        <v>210</v>
      </c>
      <c r="G687" s="87">
        <v>1</v>
      </c>
      <c r="H687" s="87">
        <v>-3</v>
      </c>
      <c r="I687" s="87">
        <v>2</v>
      </c>
      <c r="J687" s="87" t="s">
        <v>210</v>
      </c>
      <c r="K687" s="87">
        <v>-1</v>
      </c>
      <c r="L687" s="87">
        <v>4</v>
      </c>
      <c r="M687" s="87" t="s">
        <v>210</v>
      </c>
      <c r="N687" s="87" t="s">
        <v>210</v>
      </c>
      <c r="O687" s="87">
        <v>3</v>
      </c>
      <c r="P687" s="87">
        <v>-4</v>
      </c>
      <c r="Q687" s="87">
        <v>-2</v>
      </c>
      <c r="R687" s="87" t="s">
        <v>210</v>
      </c>
      <c r="S687" s="87">
        <v>-1</v>
      </c>
      <c r="BA687" s="95"/>
    </row>
    <row r="688" spans="1:53" s="87" customFormat="1">
      <c r="A688" s="90" t="str">
        <f t="shared" si="36"/>
        <v/>
      </c>
      <c r="B688" s="87">
        <v>5</v>
      </c>
      <c r="C688" s="87">
        <v>-3</v>
      </c>
      <c r="D688" s="87" t="s">
        <v>210</v>
      </c>
      <c r="E688" s="87">
        <v>-1</v>
      </c>
      <c r="F688" s="87">
        <v>2</v>
      </c>
      <c r="G688" s="87" t="s">
        <v>210</v>
      </c>
      <c r="H688" s="87">
        <v>-4</v>
      </c>
      <c r="I688" s="87" t="s">
        <v>210</v>
      </c>
      <c r="J688" s="87">
        <v>-2</v>
      </c>
      <c r="K688" s="87" t="s">
        <v>210</v>
      </c>
      <c r="L688" s="87">
        <v>-1</v>
      </c>
      <c r="M688" s="87">
        <v>3</v>
      </c>
      <c r="N688" s="87">
        <v>-2</v>
      </c>
      <c r="O688" s="87" t="s">
        <v>210</v>
      </c>
      <c r="P688" s="87">
        <v>4</v>
      </c>
      <c r="Q688" s="87" t="s">
        <v>210</v>
      </c>
      <c r="R688" s="87">
        <v>1</v>
      </c>
      <c r="S688" s="87">
        <v>3</v>
      </c>
      <c r="BA688" s="95"/>
    </row>
    <row r="689" spans="1:53" s="87" customFormat="1">
      <c r="A689" s="90" t="str">
        <f t="shared" si="36"/>
        <v/>
      </c>
      <c r="B689" s="87">
        <v>6</v>
      </c>
      <c r="C689" s="87">
        <v>3</v>
      </c>
      <c r="D689" s="87" t="s">
        <v>210</v>
      </c>
      <c r="E689" s="87">
        <v>-2</v>
      </c>
      <c r="F689" s="87">
        <v>4</v>
      </c>
      <c r="G689" s="87" t="s">
        <v>210</v>
      </c>
      <c r="H689" s="87">
        <v>1</v>
      </c>
      <c r="I689" s="87" t="s">
        <v>210</v>
      </c>
      <c r="J689" s="87">
        <v>-4</v>
      </c>
      <c r="K689" s="87" t="s">
        <v>210</v>
      </c>
      <c r="L689" s="87">
        <v>-3</v>
      </c>
      <c r="M689" s="87">
        <v>2</v>
      </c>
      <c r="N689" s="87">
        <v>-1</v>
      </c>
      <c r="O689" s="87" t="s">
        <v>210</v>
      </c>
      <c r="P689" s="87">
        <v>-2</v>
      </c>
      <c r="Q689" s="87" t="s">
        <v>210</v>
      </c>
      <c r="R689" s="87">
        <v>-3</v>
      </c>
      <c r="S689" s="87">
        <v>1</v>
      </c>
      <c r="BA689" s="95"/>
    </row>
    <row r="690" spans="1:53" s="87" customFormat="1">
      <c r="A690" s="90" t="str">
        <f t="shared" si="36"/>
        <v/>
      </c>
      <c r="B690" s="87">
        <v>7</v>
      </c>
      <c r="C690" s="87" t="s">
        <v>210</v>
      </c>
      <c r="D690" s="87">
        <v>4</v>
      </c>
      <c r="E690" s="87">
        <v>1</v>
      </c>
      <c r="F690" s="87">
        <v>-3</v>
      </c>
      <c r="G690" s="87" t="s">
        <v>210</v>
      </c>
      <c r="H690" s="87">
        <v>-2</v>
      </c>
      <c r="I690" s="87" t="s">
        <v>210</v>
      </c>
      <c r="J690" s="87">
        <v>3</v>
      </c>
      <c r="K690" s="87" t="s">
        <v>210</v>
      </c>
      <c r="L690" s="87">
        <v>-4</v>
      </c>
      <c r="M690" s="87">
        <v>-2</v>
      </c>
      <c r="N690" s="87">
        <v>3</v>
      </c>
      <c r="O690" s="87" t="s">
        <v>210</v>
      </c>
      <c r="P690" s="87">
        <v>-1</v>
      </c>
      <c r="Q690" s="87" t="s">
        <v>210</v>
      </c>
      <c r="R690" s="87">
        <v>-4</v>
      </c>
      <c r="S690" s="87">
        <v>2</v>
      </c>
      <c r="BA690" s="95"/>
    </row>
    <row r="691" spans="1:53" s="87" customFormat="1">
      <c r="A691" s="90" t="str">
        <f t="shared" si="36"/>
        <v/>
      </c>
      <c r="B691" s="87">
        <v>8</v>
      </c>
      <c r="C691" s="87" t="s">
        <v>210</v>
      </c>
      <c r="D691" s="87">
        <v>-4</v>
      </c>
      <c r="E691" s="87">
        <v>2</v>
      </c>
      <c r="F691" s="87">
        <v>1</v>
      </c>
      <c r="G691" s="87" t="s">
        <v>210</v>
      </c>
      <c r="H691" s="87">
        <v>3</v>
      </c>
      <c r="I691" s="87" t="s">
        <v>210</v>
      </c>
      <c r="J691" s="87">
        <v>-1</v>
      </c>
      <c r="K691" s="87" t="s">
        <v>210</v>
      </c>
      <c r="L691" s="87">
        <v>2</v>
      </c>
      <c r="M691" s="87">
        <v>-3</v>
      </c>
      <c r="N691" s="87">
        <v>4</v>
      </c>
      <c r="O691" s="87" t="s">
        <v>210</v>
      </c>
      <c r="P691" s="87">
        <v>3</v>
      </c>
      <c r="Q691" s="87" t="s">
        <v>210</v>
      </c>
      <c r="R691" s="87">
        <v>-2</v>
      </c>
      <c r="S691" s="87">
        <v>-4</v>
      </c>
      <c r="BA691" s="95"/>
    </row>
    <row r="692" spans="1:53" s="87" customFormat="1">
      <c r="A692" s="90" t="str">
        <f t="shared" si="36"/>
        <v/>
      </c>
      <c r="B692" s="87">
        <v>9</v>
      </c>
      <c r="C692" s="87" t="s">
        <v>210</v>
      </c>
      <c r="D692" s="87">
        <v>-3</v>
      </c>
      <c r="E692" s="87" t="s">
        <v>210</v>
      </c>
      <c r="F692" s="87">
        <v>-2</v>
      </c>
      <c r="G692" s="87">
        <v>-1</v>
      </c>
      <c r="H692" s="87" t="s">
        <v>210</v>
      </c>
      <c r="I692" s="87">
        <v>3</v>
      </c>
      <c r="J692" s="87">
        <v>4</v>
      </c>
      <c r="K692" s="87">
        <v>2</v>
      </c>
      <c r="L692" s="87" t="s">
        <v>210</v>
      </c>
      <c r="M692" s="87">
        <v>-1</v>
      </c>
      <c r="N692" s="87">
        <v>-4</v>
      </c>
      <c r="O692" s="87">
        <v>1</v>
      </c>
      <c r="P692" s="87" t="s">
        <v>210</v>
      </c>
      <c r="Q692" s="87">
        <v>3</v>
      </c>
      <c r="R692" s="87">
        <v>4</v>
      </c>
      <c r="S692" s="87" t="s">
        <v>210</v>
      </c>
      <c r="BA692" s="95"/>
    </row>
    <row r="693" spans="1:53" s="87" customFormat="1">
      <c r="A693" s="90" t="str">
        <f t="shared" si="36"/>
        <v/>
      </c>
      <c r="B693" s="87">
        <v>10</v>
      </c>
      <c r="C693" s="87" t="s">
        <v>210</v>
      </c>
      <c r="D693" s="87">
        <v>3</v>
      </c>
      <c r="E693" s="87" t="s">
        <v>210</v>
      </c>
      <c r="F693" s="87">
        <v>-1</v>
      </c>
      <c r="G693" s="87">
        <v>-2</v>
      </c>
      <c r="H693" s="87" t="s">
        <v>210</v>
      </c>
      <c r="I693" s="87">
        <v>-4</v>
      </c>
      <c r="J693" s="87">
        <v>2</v>
      </c>
      <c r="K693" s="87">
        <v>1</v>
      </c>
      <c r="L693" s="87" t="s">
        <v>210</v>
      </c>
      <c r="M693" s="87">
        <v>4</v>
      </c>
      <c r="N693" s="87">
        <v>-3</v>
      </c>
      <c r="O693" s="87">
        <v>-2</v>
      </c>
      <c r="P693" s="87" t="s">
        <v>210</v>
      </c>
      <c r="Q693" s="87">
        <v>1</v>
      </c>
      <c r="R693" s="87">
        <v>3</v>
      </c>
      <c r="S693" s="87" t="s">
        <v>210</v>
      </c>
      <c r="BA693" s="95"/>
    </row>
    <row r="694" spans="1:53" s="87" customFormat="1">
      <c r="A694" s="90" t="str">
        <f t="shared" si="36"/>
        <v/>
      </c>
      <c r="B694" s="87">
        <v>11</v>
      </c>
      <c r="C694" s="87" t="s">
        <v>210</v>
      </c>
      <c r="D694" s="87">
        <v>-2</v>
      </c>
      <c r="E694" s="87" t="s">
        <v>210</v>
      </c>
      <c r="F694" s="87">
        <v>-4</v>
      </c>
      <c r="G694" s="87">
        <v>3</v>
      </c>
      <c r="H694" s="87" t="s">
        <v>210</v>
      </c>
      <c r="I694" s="87">
        <v>1</v>
      </c>
      <c r="J694" s="87">
        <v>-3</v>
      </c>
      <c r="K694" s="87">
        <v>4</v>
      </c>
      <c r="L694" s="87" t="s">
        <v>210</v>
      </c>
      <c r="M694" s="87">
        <v>1</v>
      </c>
      <c r="N694" s="87">
        <v>2</v>
      </c>
      <c r="O694" s="87">
        <v>-3</v>
      </c>
      <c r="P694" s="87" t="s">
        <v>210</v>
      </c>
      <c r="Q694" s="87">
        <v>-1</v>
      </c>
      <c r="R694" s="87">
        <v>2</v>
      </c>
      <c r="S694" s="87" t="s">
        <v>210</v>
      </c>
      <c r="BA694" s="95"/>
    </row>
    <row r="695" spans="1:53" s="87" customFormat="1">
      <c r="A695" s="90" t="str">
        <f t="shared" si="36"/>
        <v/>
      </c>
      <c r="B695" s="87">
        <v>12</v>
      </c>
      <c r="C695" s="87" t="s">
        <v>210</v>
      </c>
      <c r="D695" s="87">
        <v>2</v>
      </c>
      <c r="E695" s="87" t="s">
        <v>210</v>
      </c>
      <c r="F695" s="87">
        <v>3</v>
      </c>
      <c r="G695" s="87">
        <v>-4</v>
      </c>
      <c r="H695" s="87" t="s">
        <v>210</v>
      </c>
      <c r="I695" s="87">
        <v>-2</v>
      </c>
      <c r="J695" s="87">
        <v>1</v>
      </c>
      <c r="K695" s="87">
        <v>-3</v>
      </c>
      <c r="L695" s="87" t="s">
        <v>210</v>
      </c>
      <c r="M695" s="87">
        <v>-4</v>
      </c>
      <c r="N695" s="87">
        <v>1</v>
      </c>
      <c r="O695" s="87">
        <v>4</v>
      </c>
      <c r="P695" s="87" t="s">
        <v>210</v>
      </c>
      <c r="Q695" s="87">
        <v>-3</v>
      </c>
      <c r="R695" s="87">
        <v>-1</v>
      </c>
      <c r="S695" s="87" t="s">
        <v>210</v>
      </c>
      <c r="BA695" s="95"/>
    </row>
    <row r="696" spans="1:53" s="87" customFormat="1">
      <c r="A696" s="90" t="str">
        <f t="shared" si="36"/>
        <v/>
      </c>
      <c r="B696" s="299" t="s">
        <v>297</v>
      </c>
      <c r="BA696" s="95"/>
    </row>
    <row r="697" spans="1:53" s="87" customFormat="1">
      <c r="A697" s="90">
        <f t="shared" si="36"/>
        <v>697</v>
      </c>
      <c r="B697" s="318" t="s">
        <v>1245</v>
      </c>
      <c r="BA697" s="95"/>
    </row>
    <row r="698" spans="1:53" s="87" customFormat="1">
      <c r="A698" s="90" t="str">
        <f t="shared" si="36"/>
        <v/>
      </c>
      <c r="B698" s="87">
        <v>1</v>
      </c>
      <c r="C698" s="87">
        <v>-2</v>
      </c>
      <c r="D698" s="87" t="s">
        <v>210</v>
      </c>
      <c r="E698" s="87" t="s">
        <v>210</v>
      </c>
      <c r="F698" s="87">
        <v>1</v>
      </c>
      <c r="G698" s="87" t="s">
        <v>210</v>
      </c>
      <c r="H698" s="87">
        <v>-4</v>
      </c>
      <c r="I698" s="87" t="s">
        <v>210</v>
      </c>
      <c r="J698" s="87">
        <v>-1</v>
      </c>
      <c r="K698" s="87" t="s">
        <v>210</v>
      </c>
      <c r="L698" s="87">
        <v>-3</v>
      </c>
      <c r="M698" s="87">
        <v>4</v>
      </c>
      <c r="N698" s="87" t="s">
        <v>210</v>
      </c>
      <c r="O698" s="87">
        <v>2</v>
      </c>
      <c r="P698" s="87" t="s">
        <v>210</v>
      </c>
      <c r="Q698" s="87" t="s">
        <v>210</v>
      </c>
      <c r="R698" s="87">
        <v>-4</v>
      </c>
      <c r="S698" s="87" t="s">
        <v>210</v>
      </c>
      <c r="T698" s="87">
        <v>1</v>
      </c>
      <c r="U698" s="87" t="s">
        <v>210</v>
      </c>
      <c r="V698" s="87">
        <v>3</v>
      </c>
      <c r="W698" s="87" t="s">
        <v>210</v>
      </c>
      <c r="X698" s="87">
        <v>-2</v>
      </c>
      <c r="Y698" s="87">
        <v>3</v>
      </c>
      <c r="Z698" s="87" t="s">
        <v>210</v>
      </c>
      <c r="AA698" s="87">
        <v>2</v>
      </c>
      <c r="AB698" s="87" t="s">
        <v>210</v>
      </c>
      <c r="AC698" s="87">
        <v>-1</v>
      </c>
      <c r="AD698" s="87" t="s">
        <v>210</v>
      </c>
      <c r="BA698" s="95"/>
    </row>
    <row r="699" spans="1:53" s="87" customFormat="1">
      <c r="A699" s="90" t="str">
        <f t="shared" si="36"/>
        <v/>
      </c>
      <c r="B699" s="87">
        <v>2</v>
      </c>
      <c r="C699" s="87">
        <v>-4</v>
      </c>
      <c r="D699" s="87" t="s">
        <v>210</v>
      </c>
      <c r="E699" s="87" t="s">
        <v>210</v>
      </c>
      <c r="F699" s="87">
        <v>-2</v>
      </c>
      <c r="G699" s="87" t="s">
        <v>210</v>
      </c>
      <c r="H699" s="87">
        <v>-1</v>
      </c>
      <c r="I699" s="87" t="s">
        <v>210</v>
      </c>
      <c r="J699" s="87">
        <v>-3</v>
      </c>
      <c r="K699" s="87" t="s">
        <v>210</v>
      </c>
      <c r="L699" s="87">
        <v>1</v>
      </c>
      <c r="M699" s="87">
        <v>2</v>
      </c>
      <c r="N699" s="87" t="s">
        <v>210</v>
      </c>
      <c r="O699" s="87">
        <v>3</v>
      </c>
      <c r="P699" s="87" t="s">
        <v>210</v>
      </c>
      <c r="Q699" s="87" t="s">
        <v>210</v>
      </c>
      <c r="R699" s="87">
        <v>4</v>
      </c>
      <c r="S699" s="87" t="s">
        <v>210</v>
      </c>
      <c r="T699" s="87">
        <v>-2</v>
      </c>
      <c r="U699" s="87" t="s">
        <v>210</v>
      </c>
      <c r="V699" s="87">
        <v>-4</v>
      </c>
      <c r="W699" s="87" t="s">
        <v>210</v>
      </c>
      <c r="X699" s="87">
        <v>1</v>
      </c>
      <c r="Y699" s="87">
        <v>4</v>
      </c>
      <c r="Z699" s="87" t="s">
        <v>210</v>
      </c>
      <c r="AA699" s="87">
        <v>-3</v>
      </c>
      <c r="AB699" s="87" t="s">
        <v>210</v>
      </c>
      <c r="AC699" s="87">
        <v>2</v>
      </c>
      <c r="AD699" s="87" t="s">
        <v>210</v>
      </c>
      <c r="BA699" s="95"/>
    </row>
    <row r="700" spans="1:53" s="87" customFormat="1">
      <c r="A700" s="90" t="str">
        <f t="shared" si="36"/>
        <v/>
      </c>
      <c r="B700" s="87">
        <v>3</v>
      </c>
      <c r="C700" s="87">
        <v>-1</v>
      </c>
      <c r="D700" s="87" t="s">
        <v>210</v>
      </c>
      <c r="E700" s="87" t="s">
        <v>210</v>
      </c>
      <c r="F700" s="87">
        <v>4</v>
      </c>
      <c r="G700" s="87" t="s">
        <v>210</v>
      </c>
      <c r="H700" s="87" t="s">
        <v>210</v>
      </c>
      <c r="I700" s="87">
        <v>-3</v>
      </c>
      <c r="J700" s="87">
        <v>2</v>
      </c>
      <c r="K700" s="87" t="s">
        <v>210</v>
      </c>
      <c r="L700" s="87">
        <v>-4</v>
      </c>
      <c r="M700" s="87">
        <v>3</v>
      </c>
      <c r="N700" s="87" t="s">
        <v>210</v>
      </c>
      <c r="O700" s="87">
        <v>4</v>
      </c>
      <c r="P700" s="87" t="s">
        <v>210</v>
      </c>
      <c r="Q700" s="87" t="s">
        <v>210</v>
      </c>
      <c r="R700" s="87">
        <v>-2</v>
      </c>
      <c r="S700" s="87" t="s">
        <v>210</v>
      </c>
      <c r="T700" s="87" t="s">
        <v>210</v>
      </c>
      <c r="U700" s="87">
        <v>-3</v>
      </c>
      <c r="V700" s="87">
        <v>1</v>
      </c>
      <c r="W700" s="87" t="s">
        <v>210</v>
      </c>
      <c r="X700" s="87">
        <v>2</v>
      </c>
      <c r="Y700" s="87">
        <v>-4</v>
      </c>
      <c r="Z700" s="87" t="s">
        <v>210</v>
      </c>
      <c r="AA700" s="87">
        <v>-1</v>
      </c>
      <c r="AB700" s="87" t="s">
        <v>210</v>
      </c>
      <c r="AC700" s="87">
        <v>3</v>
      </c>
      <c r="AD700" s="87" t="s">
        <v>210</v>
      </c>
      <c r="BA700" s="95"/>
    </row>
    <row r="701" spans="1:53" s="87" customFormat="1">
      <c r="A701" s="90" t="str">
        <f t="shared" si="36"/>
        <v/>
      </c>
      <c r="B701" s="87">
        <v>4</v>
      </c>
      <c r="C701" s="87">
        <v>2</v>
      </c>
      <c r="D701" s="87" t="s">
        <v>210</v>
      </c>
      <c r="E701" s="87" t="s">
        <v>210</v>
      </c>
      <c r="F701" s="87">
        <v>3</v>
      </c>
      <c r="G701" s="87" t="s">
        <v>210</v>
      </c>
      <c r="H701" s="87">
        <v>1</v>
      </c>
      <c r="I701" s="87">
        <v>-4</v>
      </c>
      <c r="J701" s="87" t="s">
        <v>210</v>
      </c>
      <c r="K701" s="87">
        <v>-3</v>
      </c>
      <c r="L701" s="87" t="s">
        <v>210</v>
      </c>
      <c r="M701" s="87" t="s">
        <v>210</v>
      </c>
      <c r="N701" s="87">
        <v>-2</v>
      </c>
      <c r="O701" s="87" t="s">
        <v>210</v>
      </c>
      <c r="P701" s="87">
        <v>4</v>
      </c>
      <c r="Q701" s="87" t="s">
        <v>210</v>
      </c>
      <c r="R701" s="87">
        <v>1</v>
      </c>
      <c r="S701" s="87" t="s">
        <v>210</v>
      </c>
      <c r="T701" s="87">
        <v>-4</v>
      </c>
      <c r="U701" s="87">
        <v>3</v>
      </c>
      <c r="V701" s="87" t="s">
        <v>210</v>
      </c>
      <c r="W701" s="87">
        <v>-1</v>
      </c>
      <c r="X701" s="87" t="s">
        <v>210</v>
      </c>
      <c r="Y701" s="87" t="s">
        <v>210</v>
      </c>
      <c r="Z701" s="87">
        <v>-2</v>
      </c>
      <c r="AA701" s="87" t="s">
        <v>210</v>
      </c>
      <c r="AB701" s="87">
        <v>-3</v>
      </c>
      <c r="AC701" s="87">
        <v>4</v>
      </c>
      <c r="AD701" s="87" t="s">
        <v>210</v>
      </c>
      <c r="BA701" s="95"/>
    </row>
    <row r="702" spans="1:53" s="87" customFormat="1">
      <c r="A702" s="90" t="str">
        <f t="shared" si="36"/>
        <v/>
      </c>
      <c r="B702" s="87">
        <v>5</v>
      </c>
      <c r="C702" s="87">
        <v>4</v>
      </c>
      <c r="D702" s="87" t="s">
        <v>210</v>
      </c>
      <c r="E702" s="87" t="s">
        <v>210</v>
      </c>
      <c r="F702" s="87">
        <v>-1</v>
      </c>
      <c r="G702" s="87" t="s">
        <v>210</v>
      </c>
      <c r="H702" s="87">
        <v>3</v>
      </c>
      <c r="I702" s="87">
        <v>1</v>
      </c>
      <c r="J702" s="87" t="s">
        <v>210</v>
      </c>
      <c r="K702" s="87">
        <v>-2</v>
      </c>
      <c r="L702" s="87" t="s">
        <v>210</v>
      </c>
      <c r="M702" s="87" t="s">
        <v>210</v>
      </c>
      <c r="N702" s="87">
        <v>3</v>
      </c>
      <c r="O702" s="87" t="s">
        <v>210</v>
      </c>
      <c r="P702" s="87">
        <v>-1</v>
      </c>
      <c r="Q702" s="87" t="s">
        <v>210</v>
      </c>
      <c r="R702" s="87">
        <v>-3</v>
      </c>
      <c r="S702" s="87" t="s">
        <v>210</v>
      </c>
      <c r="T702" s="87">
        <v>4</v>
      </c>
      <c r="U702" s="87">
        <v>2</v>
      </c>
      <c r="V702" s="87" t="s">
        <v>210</v>
      </c>
      <c r="W702" s="87">
        <v>-4</v>
      </c>
      <c r="X702" s="87" t="s">
        <v>210</v>
      </c>
      <c r="Y702" s="87" t="s">
        <v>210</v>
      </c>
      <c r="Z702" s="87">
        <v>1</v>
      </c>
      <c r="AA702" s="87" t="s">
        <v>210</v>
      </c>
      <c r="AB702" s="87">
        <v>-2</v>
      </c>
      <c r="AC702" s="87">
        <v>-3</v>
      </c>
      <c r="AD702" s="87" t="s">
        <v>210</v>
      </c>
      <c r="BA702" s="95"/>
    </row>
    <row r="703" spans="1:53" s="87" customFormat="1">
      <c r="A703" s="90" t="str">
        <f t="shared" si="36"/>
        <v/>
      </c>
      <c r="B703" s="87">
        <v>6</v>
      </c>
      <c r="C703" s="87">
        <v>1</v>
      </c>
      <c r="D703" s="87" t="s">
        <v>210</v>
      </c>
      <c r="E703" s="87">
        <v>-3</v>
      </c>
      <c r="F703" s="87" t="s">
        <v>210</v>
      </c>
      <c r="G703" s="87" t="s">
        <v>210</v>
      </c>
      <c r="H703" s="87">
        <v>4</v>
      </c>
      <c r="I703" s="87">
        <v>2</v>
      </c>
      <c r="J703" s="87" t="s">
        <v>210</v>
      </c>
      <c r="K703" s="87">
        <v>-1</v>
      </c>
      <c r="L703" s="87" t="s">
        <v>210</v>
      </c>
      <c r="M703" s="87">
        <v>-2</v>
      </c>
      <c r="N703" s="87" t="s">
        <v>210</v>
      </c>
      <c r="O703" s="87" t="s">
        <v>210</v>
      </c>
      <c r="P703" s="87" t="s">
        <v>210</v>
      </c>
      <c r="Q703" s="87">
        <v>-4</v>
      </c>
      <c r="R703" s="87">
        <v>-1</v>
      </c>
      <c r="S703" s="87" t="s">
        <v>210</v>
      </c>
      <c r="T703" s="87">
        <v>-3</v>
      </c>
      <c r="U703" s="87">
        <v>-4</v>
      </c>
      <c r="V703" s="87" t="s">
        <v>210</v>
      </c>
      <c r="W703" s="87">
        <v>3</v>
      </c>
      <c r="X703" s="87" t="s">
        <v>210</v>
      </c>
      <c r="Y703" s="87" t="s">
        <v>210</v>
      </c>
      <c r="Z703" s="87">
        <v>4</v>
      </c>
      <c r="AA703" s="87" t="s">
        <v>210</v>
      </c>
      <c r="AB703" s="87">
        <v>2</v>
      </c>
      <c r="AC703" s="87" t="s">
        <v>210</v>
      </c>
      <c r="AD703" s="87">
        <v>1</v>
      </c>
      <c r="BA703" s="95"/>
    </row>
    <row r="704" spans="1:53" s="87" customFormat="1">
      <c r="A704" s="90" t="str">
        <f t="shared" si="36"/>
        <v/>
      </c>
      <c r="B704" s="87">
        <v>7</v>
      </c>
      <c r="C704" s="87" t="s">
        <v>210</v>
      </c>
      <c r="D704" s="87">
        <v>-2</v>
      </c>
      <c r="E704" s="87">
        <v>4</v>
      </c>
      <c r="F704" s="87" t="s">
        <v>210</v>
      </c>
      <c r="G704" s="87">
        <v>-1</v>
      </c>
      <c r="H704" s="87" t="s">
        <v>210</v>
      </c>
      <c r="I704" s="87" t="s">
        <v>210</v>
      </c>
      <c r="J704" s="87">
        <v>-4</v>
      </c>
      <c r="K704" s="87" t="s">
        <v>210</v>
      </c>
      <c r="L704" s="87">
        <v>2</v>
      </c>
      <c r="M704" s="87">
        <v>-3</v>
      </c>
      <c r="N704" s="87" t="s">
        <v>210</v>
      </c>
      <c r="O704" s="87">
        <v>-2</v>
      </c>
      <c r="P704" s="87" t="s">
        <v>210</v>
      </c>
      <c r="Q704" s="87" t="s">
        <v>210</v>
      </c>
      <c r="R704" s="87">
        <v>3</v>
      </c>
      <c r="S704" s="87" t="s">
        <v>210</v>
      </c>
      <c r="T704" s="87">
        <v>2</v>
      </c>
      <c r="U704" s="87">
        <v>4</v>
      </c>
      <c r="V704" s="87" t="s">
        <v>210</v>
      </c>
      <c r="W704" s="87">
        <v>1</v>
      </c>
      <c r="X704" s="87" t="s">
        <v>210</v>
      </c>
      <c r="Y704" s="87" t="s">
        <v>210</v>
      </c>
      <c r="Z704" s="87">
        <v>-3</v>
      </c>
      <c r="AA704" s="87" t="s">
        <v>210</v>
      </c>
      <c r="AB704" s="87">
        <v>-1</v>
      </c>
      <c r="AC704" s="87" t="s">
        <v>210</v>
      </c>
      <c r="AD704" s="87">
        <v>3</v>
      </c>
      <c r="BA704" s="95"/>
    </row>
    <row r="705" spans="1:53" s="87" customFormat="1">
      <c r="A705" s="90" t="str">
        <f t="shared" si="36"/>
        <v/>
      </c>
      <c r="B705" s="87">
        <v>8</v>
      </c>
      <c r="C705" s="87" t="s">
        <v>210</v>
      </c>
      <c r="D705" s="87">
        <v>-1</v>
      </c>
      <c r="E705" s="87">
        <v>-2</v>
      </c>
      <c r="F705" s="87" t="s">
        <v>210</v>
      </c>
      <c r="G705" s="87">
        <v>-3</v>
      </c>
      <c r="H705" s="87" t="s">
        <v>210</v>
      </c>
      <c r="I705" s="87" t="s">
        <v>210</v>
      </c>
      <c r="J705" s="87">
        <v>4</v>
      </c>
      <c r="K705" s="87" t="s">
        <v>210</v>
      </c>
      <c r="L705" s="87">
        <v>3</v>
      </c>
      <c r="M705" s="87">
        <v>1</v>
      </c>
      <c r="N705" s="87" t="s">
        <v>210</v>
      </c>
      <c r="O705" s="87">
        <v>-3</v>
      </c>
      <c r="P705" s="87" t="s">
        <v>210</v>
      </c>
      <c r="Q705" s="87" t="s">
        <v>210</v>
      </c>
      <c r="R705" s="87">
        <v>2</v>
      </c>
      <c r="S705" s="87" t="s">
        <v>210</v>
      </c>
      <c r="T705" s="87">
        <v>3</v>
      </c>
      <c r="U705" s="87">
        <v>-1</v>
      </c>
      <c r="V705" s="87" t="s">
        <v>210</v>
      </c>
      <c r="W705" s="87">
        <v>4</v>
      </c>
      <c r="X705" s="87" t="s">
        <v>210</v>
      </c>
      <c r="Y705" s="87" t="s">
        <v>210</v>
      </c>
      <c r="Z705" s="87">
        <v>2</v>
      </c>
      <c r="AA705" s="87" t="s">
        <v>210</v>
      </c>
      <c r="AB705" s="87">
        <v>-4</v>
      </c>
      <c r="AC705" s="87" t="s">
        <v>210</v>
      </c>
      <c r="AD705" s="87">
        <v>-2</v>
      </c>
      <c r="BA705" s="95"/>
    </row>
    <row r="706" spans="1:53" s="87" customFormat="1">
      <c r="A706" s="90" t="str">
        <f t="shared" si="36"/>
        <v/>
      </c>
      <c r="B706" s="87">
        <v>9</v>
      </c>
      <c r="C706" s="87" t="s">
        <v>210</v>
      </c>
      <c r="D706" s="87">
        <v>4</v>
      </c>
      <c r="E706" s="87">
        <v>1</v>
      </c>
      <c r="F706" s="87" t="s">
        <v>210</v>
      </c>
      <c r="G706" s="87">
        <v>-4</v>
      </c>
      <c r="H706" s="87" t="s">
        <v>210</v>
      </c>
      <c r="I706" s="87" t="s">
        <v>210</v>
      </c>
      <c r="J706" s="87">
        <v>3</v>
      </c>
      <c r="K706" s="87" t="s">
        <v>210</v>
      </c>
      <c r="L706" s="87">
        <v>-2</v>
      </c>
      <c r="M706" s="87">
        <v>-1</v>
      </c>
      <c r="N706" s="87" t="s">
        <v>210</v>
      </c>
      <c r="O706" s="87">
        <v>-4</v>
      </c>
      <c r="P706" s="87" t="s">
        <v>210</v>
      </c>
      <c r="Q706" s="87">
        <v>2</v>
      </c>
      <c r="R706" s="87" t="s">
        <v>210</v>
      </c>
      <c r="S706" s="87" t="s">
        <v>210</v>
      </c>
      <c r="T706" s="87">
        <v>-1</v>
      </c>
      <c r="U706" s="87">
        <v>-2</v>
      </c>
      <c r="V706" s="87" t="s">
        <v>210</v>
      </c>
      <c r="W706" s="87">
        <v>-3</v>
      </c>
      <c r="X706" s="87" t="s">
        <v>210</v>
      </c>
      <c r="Y706" s="87">
        <v>1</v>
      </c>
      <c r="Z706" s="87" t="s">
        <v>210</v>
      </c>
      <c r="AA706" s="87" t="s">
        <v>210</v>
      </c>
      <c r="AB706" s="87">
        <v>3</v>
      </c>
      <c r="AC706" s="87" t="s">
        <v>210</v>
      </c>
      <c r="AD706" s="87">
        <v>4</v>
      </c>
      <c r="BA706" s="95"/>
    </row>
    <row r="707" spans="1:53" s="87" customFormat="1">
      <c r="A707" s="90" t="str">
        <f t="shared" si="36"/>
        <v/>
      </c>
      <c r="B707" s="87">
        <v>10</v>
      </c>
      <c r="C707" s="87" t="s">
        <v>210</v>
      </c>
      <c r="D707" s="87">
        <v>3</v>
      </c>
      <c r="E707" s="87">
        <v>2</v>
      </c>
      <c r="F707" s="87" t="s">
        <v>210</v>
      </c>
      <c r="G707" s="87">
        <v>1</v>
      </c>
      <c r="H707" s="87" t="s">
        <v>210</v>
      </c>
      <c r="I707" s="87" t="s">
        <v>210</v>
      </c>
      <c r="J707" s="87">
        <v>-2</v>
      </c>
      <c r="K707" s="87" t="s">
        <v>210</v>
      </c>
      <c r="L707" s="87">
        <v>-1</v>
      </c>
      <c r="M707" s="87" t="s">
        <v>210</v>
      </c>
      <c r="N707" s="87">
        <v>-4</v>
      </c>
      <c r="O707" s="87" t="s">
        <v>210</v>
      </c>
      <c r="P707" s="87">
        <v>1</v>
      </c>
      <c r="Q707" s="87">
        <v>4</v>
      </c>
      <c r="R707" s="87" t="s">
        <v>210</v>
      </c>
      <c r="S707" s="87">
        <v>3</v>
      </c>
      <c r="T707" s="87" t="s">
        <v>210</v>
      </c>
      <c r="U707" s="87" t="s">
        <v>210</v>
      </c>
      <c r="V707" s="87">
        <v>2</v>
      </c>
      <c r="W707" s="87" t="s">
        <v>210</v>
      </c>
      <c r="X707" s="87">
        <v>-3</v>
      </c>
      <c r="Y707" s="87">
        <v>-1</v>
      </c>
      <c r="Z707" s="87" t="s">
        <v>210</v>
      </c>
      <c r="AA707" s="87">
        <v>-2</v>
      </c>
      <c r="AB707" s="87" t="s">
        <v>210</v>
      </c>
      <c r="AC707" s="87">
        <v>-4</v>
      </c>
      <c r="AD707" s="87" t="s">
        <v>210</v>
      </c>
      <c r="BA707" s="95"/>
    </row>
    <row r="708" spans="1:53" s="87" customFormat="1">
      <c r="A708" s="90" t="str">
        <f t="shared" si="36"/>
        <v/>
      </c>
      <c r="B708" s="87">
        <v>11</v>
      </c>
      <c r="C708" s="87" t="s">
        <v>210</v>
      </c>
      <c r="D708" s="87">
        <v>2</v>
      </c>
      <c r="E708" s="87">
        <v>-1</v>
      </c>
      <c r="F708" s="87" t="s">
        <v>210</v>
      </c>
      <c r="G708" s="87">
        <v>3</v>
      </c>
      <c r="H708" s="87" t="s">
        <v>210</v>
      </c>
      <c r="I708" s="87" t="s">
        <v>210</v>
      </c>
      <c r="J708" s="87">
        <v>1</v>
      </c>
      <c r="K708" s="87" t="s">
        <v>210</v>
      </c>
      <c r="L708" s="87">
        <v>4</v>
      </c>
      <c r="M708" s="87" t="s">
        <v>210</v>
      </c>
      <c r="N708" s="87">
        <v>-3</v>
      </c>
      <c r="O708" s="87" t="s">
        <v>210</v>
      </c>
      <c r="P708" s="87">
        <v>-4</v>
      </c>
      <c r="Q708" s="87">
        <v>-3</v>
      </c>
      <c r="R708" s="87" t="s">
        <v>210</v>
      </c>
      <c r="S708" s="87">
        <v>-4</v>
      </c>
      <c r="T708" s="87" t="s">
        <v>210</v>
      </c>
      <c r="U708" s="87" t="s">
        <v>210</v>
      </c>
      <c r="V708" s="87">
        <v>-2</v>
      </c>
      <c r="W708" s="87" t="s">
        <v>210</v>
      </c>
      <c r="X708" s="87">
        <v>4</v>
      </c>
      <c r="Y708" s="87">
        <v>2</v>
      </c>
      <c r="Z708" s="87" t="s">
        <v>210</v>
      </c>
      <c r="AA708" s="87">
        <v>3</v>
      </c>
      <c r="AB708" s="87" t="s">
        <v>210</v>
      </c>
      <c r="AC708" s="87" t="s">
        <v>210</v>
      </c>
      <c r="AD708" s="87">
        <v>-1</v>
      </c>
      <c r="BA708" s="95"/>
    </row>
    <row r="709" spans="1:53" s="87" customFormat="1">
      <c r="A709" s="90" t="str">
        <f t="shared" si="36"/>
        <v/>
      </c>
      <c r="B709" s="87">
        <v>12</v>
      </c>
      <c r="C709" s="87" t="s">
        <v>210</v>
      </c>
      <c r="D709" s="87">
        <v>1</v>
      </c>
      <c r="E709" s="87">
        <v>3</v>
      </c>
      <c r="F709" s="87" t="s">
        <v>210</v>
      </c>
      <c r="G709" s="87">
        <v>4</v>
      </c>
      <c r="H709" s="87" t="s">
        <v>210</v>
      </c>
      <c r="I709" s="87">
        <v>-1</v>
      </c>
      <c r="J709" s="87" t="s">
        <v>210</v>
      </c>
      <c r="K709" s="87" t="s">
        <v>210</v>
      </c>
      <c r="L709" s="87" t="s">
        <v>210</v>
      </c>
      <c r="M709" s="87">
        <v>-4</v>
      </c>
      <c r="N709" s="87">
        <v>2</v>
      </c>
      <c r="O709" s="87" t="s">
        <v>210</v>
      </c>
      <c r="P709" s="87">
        <v>-3</v>
      </c>
      <c r="Q709" s="87">
        <v>-1</v>
      </c>
      <c r="R709" s="87" t="s">
        <v>210</v>
      </c>
      <c r="S709" s="87">
        <v>-2</v>
      </c>
      <c r="T709" s="87" t="s">
        <v>210</v>
      </c>
      <c r="U709" s="87" t="s">
        <v>210</v>
      </c>
      <c r="V709" s="87">
        <v>4</v>
      </c>
      <c r="W709" s="87" t="s">
        <v>210</v>
      </c>
      <c r="X709" s="87">
        <v>3</v>
      </c>
      <c r="Y709" s="87">
        <v>-2</v>
      </c>
      <c r="Z709" s="87" t="s">
        <v>210</v>
      </c>
      <c r="AA709" s="87">
        <v>1</v>
      </c>
      <c r="AB709" s="87" t="s">
        <v>210</v>
      </c>
      <c r="AC709" s="87" t="s">
        <v>210</v>
      </c>
      <c r="AD709" s="87">
        <v>-3</v>
      </c>
      <c r="BA709" s="95"/>
    </row>
    <row r="710" spans="1:53" s="87" customFormat="1">
      <c r="A710" s="90" t="str">
        <f t="shared" si="36"/>
        <v/>
      </c>
      <c r="B710" s="87">
        <v>13</v>
      </c>
      <c r="C710" s="87" t="s">
        <v>210</v>
      </c>
      <c r="D710" s="87">
        <v>-4</v>
      </c>
      <c r="E710" s="87" t="s">
        <v>210</v>
      </c>
      <c r="F710" s="87">
        <v>2</v>
      </c>
      <c r="G710" s="87" t="s">
        <v>210</v>
      </c>
      <c r="H710" s="87">
        <v>-3</v>
      </c>
      <c r="I710" s="87">
        <v>-2</v>
      </c>
      <c r="J710" s="87" t="s">
        <v>210</v>
      </c>
      <c r="K710" s="87">
        <v>3</v>
      </c>
      <c r="L710" s="87" t="s">
        <v>210</v>
      </c>
      <c r="M710" s="87" t="s">
        <v>210</v>
      </c>
      <c r="N710" s="87">
        <v>-1</v>
      </c>
      <c r="O710" s="87" t="s">
        <v>210</v>
      </c>
      <c r="P710" s="87">
        <v>2</v>
      </c>
      <c r="Q710" s="87">
        <v>1</v>
      </c>
      <c r="R710" s="87" t="s">
        <v>210</v>
      </c>
      <c r="S710" s="87">
        <v>-3</v>
      </c>
      <c r="T710" s="87" t="s">
        <v>210</v>
      </c>
      <c r="U710" s="87" t="s">
        <v>210</v>
      </c>
      <c r="V710" s="87">
        <v>-1</v>
      </c>
      <c r="W710" s="87" t="s">
        <v>210</v>
      </c>
      <c r="X710" s="87">
        <v>-4</v>
      </c>
      <c r="Y710" s="87" t="s">
        <v>210</v>
      </c>
      <c r="Z710" s="87">
        <v>3</v>
      </c>
      <c r="AA710" s="87" t="s">
        <v>210</v>
      </c>
      <c r="AB710" s="87">
        <v>4</v>
      </c>
      <c r="AC710" s="87">
        <v>1</v>
      </c>
      <c r="AD710" s="87" t="s">
        <v>210</v>
      </c>
      <c r="BA710" s="95"/>
    </row>
    <row r="711" spans="1:53" s="87" customFormat="1">
      <c r="A711" s="90" t="str">
        <f t="shared" si="36"/>
        <v/>
      </c>
      <c r="B711" s="87">
        <v>14</v>
      </c>
      <c r="C711" s="87" t="s">
        <v>210</v>
      </c>
      <c r="D711" s="87">
        <v>-3</v>
      </c>
      <c r="E711" s="87" t="s">
        <v>210</v>
      </c>
      <c r="F711" s="87">
        <v>-4</v>
      </c>
      <c r="G711" s="87" t="s">
        <v>210</v>
      </c>
      <c r="H711" s="87">
        <v>-2</v>
      </c>
      <c r="I711" s="87">
        <v>4</v>
      </c>
      <c r="J711" s="87" t="s">
        <v>210</v>
      </c>
      <c r="K711" s="87">
        <v>2</v>
      </c>
      <c r="L711" s="87" t="s">
        <v>210</v>
      </c>
      <c r="M711" s="87" t="s">
        <v>210</v>
      </c>
      <c r="N711" s="87">
        <v>1</v>
      </c>
      <c r="O711" s="87" t="s">
        <v>210</v>
      </c>
      <c r="P711" s="87">
        <v>3</v>
      </c>
      <c r="Q711" s="87">
        <v>-2</v>
      </c>
      <c r="R711" s="87" t="s">
        <v>210</v>
      </c>
      <c r="S711" s="87">
        <v>4</v>
      </c>
      <c r="T711" s="87" t="s">
        <v>210</v>
      </c>
      <c r="U711" s="87" t="s">
        <v>210</v>
      </c>
      <c r="V711" s="87">
        <v>-3</v>
      </c>
      <c r="W711" s="87" t="s">
        <v>210</v>
      </c>
      <c r="X711" s="87">
        <v>-1</v>
      </c>
      <c r="Y711" s="87" t="s">
        <v>210</v>
      </c>
      <c r="Z711" s="87">
        <v>-4</v>
      </c>
      <c r="AA711" s="87" t="s">
        <v>210</v>
      </c>
      <c r="AB711" s="87">
        <v>1</v>
      </c>
      <c r="AC711" s="87" t="s">
        <v>210</v>
      </c>
      <c r="AD711" s="87">
        <v>2</v>
      </c>
      <c r="BA711" s="95"/>
    </row>
    <row r="712" spans="1:53" s="87" customFormat="1">
      <c r="A712" s="90" t="str">
        <f t="shared" si="36"/>
        <v/>
      </c>
      <c r="B712" s="87">
        <v>15</v>
      </c>
      <c r="C712" s="87" t="s">
        <v>210</v>
      </c>
      <c r="D712" s="87" t="s">
        <v>210</v>
      </c>
      <c r="E712" s="87">
        <v>-4</v>
      </c>
      <c r="F712" s="87">
        <v>-3</v>
      </c>
      <c r="G712" s="87" t="s">
        <v>210</v>
      </c>
      <c r="H712" s="87">
        <v>2</v>
      </c>
      <c r="I712" s="87">
        <v>3</v>
      </c>
      <c r="J712" s="87" t="s">
        <v>210</v>
      </c>
      <c r="K712" s="87">
        <v>1</v>
      </c>
      <c r="L712" s="87" t="s">
        <v>210</v>
      </c>
      <c r="M712" s="87" t="s">
        <v>210</v>
      </c>
      <c r="N712" s="87">
        <v>4</v>
      </c>
      <c r="O712" s="87" t="s">
        <v>210</v>
      </c>
      <c r="P712" s="87">
        <v>-2</v>
      </c>
      <c r="Q712" s="87">
        <v>3</v>
      </c>
      <c r="R712" s="87" t="s">
        <v>210</v>
      </c>
      <c r="S712" s="87">
        <v>2</v>
      </c>
      <c r="T712" s="87" t="s">
        <v>210</v>
      </c>
      <c r="U712" s="87">
        <v>1</v>
      </c>
      <c r="V712" s="87" t="s">
        <v>210</v>
      </c>
      <c r="W712" s="87" t="s">
        <v>210</v>
      </c>
      <c r="X712" s="87" t="s">
        <v>210</v>
      </c>
      <c r="Y712" s="87">
        <v>-3</v>
      </c>
      <c r="Z712" s="87">
        <v>-1</v>
      </c>
      <c r="AA712" s="87" t="s">
        <v>210</v>
      </c>
      <c r="AB712" s="87" t="s">
        <v>210</v>
      </c>
      <c r="AC712" s="87">
        <v>-2</v>
      </c>
      <c r="AD712" s="87">
        <v>-4</v>
      </c>
      <c r="BA712" s="95"/>
    </row>
    <row r="713" spans="1:53" s="87" customFormat="1">
      <c r="A713" s="90" t="str">
        <f t="shared" si="36"/>
        <v/>
      </c>
      <c r="B713" s="302" t="s">
        <v>864</v>
      </c>
      <c r="BA713" s="95"/>
    </row>
    <row r="714" spans="1:53" s="87" customFormat="1">
      <c r="A714" s="90">
        <f t="shared" si="36"/>
        <v>714</v>
      </c>
      <c r="B714" s="87" t="s">
        <v>902</v>
      </c>
      <c r="BA714" s="95"/>
    </row>
    <row r="715" spans="1:53" s="87" customFormat="1">
      <c r="A715" s="90" t="str">
        <f t="shared" si="36"/>
        <v/>
      </c>
      <c r="B715" s="87">
        <v>1</v>
      </c>
      <c r="C715" s="87" t="s">
        <v>210</v>
      </c>
      <c r="D715" s="87">
        <v>4</v>
      </c>
      <c r="E715" s="87">
        <v>3</v>
      </c>
      <c r="F715" s="87" t="s">
        <v>210</v>
      </c>
      <c r="G715" s="87" t="s">
        <v>202</v>
      </c>
      <c r="H715" s="87" t="s">
        <v>210</v>
      </c>
      <c r="I715" s="87">
        <v>1</v>
      </c>
      <c r="J715" s="87" t="s">
        <v>210</v>
      </c>
      <c r="K715" s="87" t="s">
        <v>210</v>
      </c>
      <c r="L715" s="87">
        <v>-4</v>
      </c>
      <c r="M715" s="87">
        <v>-3</v>
      </c>
      <c r="N715" s="87" t="s">
        <v>210</v>
      </c>
      <c r="O715" s="87" t="s">
        <v>210</v>
      </c>
      <c r="P715" s="87">
        <v>-2</v>
      </c>
      <c r="Q715" s="87">
        <v>1</v>
      </c>
      <c r="R715" s="87" t="s">
        <v>210</v>
      </c>
      <c r="S715" s="87" t="s">
        <v>210</v>
      </c>
      <c r="T715" s="87">
        <v>-3</v>
      </c>
      <c r="U715" s="87">
        <v>-1</v>
      </c>
      <c r="V715" s="87" t="s">
        <v>210</v>
      </c>
      <c r="W715" s="87" t="s">
        <v>210</v>
      </c>
      <c r="X715" s="87">
        <v>2</v>
      </c>
      <c r="Y715" s="87" t="s">
        <v>210</v>
      </c>
      <c r="Z715" s="87">
        <v>-3</v>
      </c>
      <c r="AA715" s="87">
        <v>4</v>
      </c>
      <c r="AB715" s="87" t="s">
        <v>210</v>
      </c>
      <c r="AC715" s="87" t="s">
        <v>210</v>
      </c>
      <c r="AD715" s="87">
        <v>2</v>
      </c>
      <c r="AE715" s="87">
        <v>-1</v>
      </c>
      <c r="AF715" s="87" t="s">
        <v>210</v>
      </c>
      <c r="AG715" s="87" t="s">
        <v>210</v>
      </c>
      <c r="AH715" s="87">
        <v>-4</v>
      </c>
      <c r="AI715" s="87">
        <v>3</v>
      </c>
      <c r="AJ715" s="87" t="s">
        <v>210</v>
      </c>
      <c r="BA715" s="95"/>
    </row>
    <row r="716" spans="1:53" s="87" customFormat="1">
      <c r="A716" s="90" t="str">
        <f t="shared" ref="A716:A779" si="37">IF(MID(B716,3,2)="04",ROW(),"")</f>
        <v/>
      </c>
      <c r="B716" s="87">
        <v>2</v>
      </c>
      <c r="C716" s="87" t="s">
        <v>210</v>
      </c>
      <c r="D716" s="87">
        <v>1</v>
      </c>
      <c r="E716" s="87">
        <v>4</v>
      </c>
      <c r="F716" s="87" t="s">
        <v>210</v>
      </c>
      <c r="G716" s="87" t="s">
        <v>210</v>
      </c>
      <c r="H716" s="87">
        <v>3</v>
      </c>
      <c r="I716" s="87">
        <v>-4</v>
      </c>
      <c r="J716" s="87" t="s">
        <v>210</v>
      </c>
      <c r="K716" s="87" t="s">
        <v>210</v>
      </c>
      <c r="L716" s="87">
        <v>-2</v>
      </c>
      <c r="M716" s="87" t="s">
        <v>210</v>
      </c>
      <c r="N716" s="87">
        <v>3</v>
      </c>
      <c r="O716" s="87">
        <v>4</v>
      </c>
      <c r="P716" s="87" t="s">
        <v>210</v>
      </c>
      <c r="Q716" s="87" t="s">
        <v>210</v>
      </c>
      <c r="R716" s="87">
        <v>2</v>
      </c>
      <c r="S716" s="87">
        <v>-1</v>
      </c>
      <c r="T716" s="87" t="s">
        <v>210</v>
      </c>
      <c r="U716" s="87" t="s">
        <v>210</v>
      </c>
      <c r="V716" s="87">
        <v>-4</v>
      </c>
      <c r="W716" s="87">
        <v>2</v>
      </c>
      <c r="X716" s="87" t="s">
        <v>210</v>
      </c>
      <c r="Y716" s="87" t="s">
        <v>210</v>
      </c>
      <c r="Z716" s="87">
        <v>1</v>
      </c>
      <c r="AA716" s="87">
        <v>-2</v>
      </c>
      <c r="AB716" s="87" t="s">
        <v>210</v>
      </c>
      <c r="AC716" s="87" t="s">
        <v>202</v>
      </c>
      <c r="AD716" s="87" t="s">
        <v>210</v>
      </c>
      <c r="AE716" s="87">
        <v>-3</v>
      </c>
      <c r="AF716" s="87" t="s">
        <v>210</v>
      </c>
      <c r="AG716" s="87" t="s">
        <v>210</v>
      </c>
      <c r="AH716" s="87">
        <v>-1</v>
      </c>
      <c r="AI716" s="87">
        <v>-3</v>
      </c>
      <c r="AJ716" s="87" t="s">
        <v>210</v>
      </c>
      <c r="BA716" s="95"/>
    </row>
    <row r="717" spans="1:53" s="87" customFormat="1">
      <c r="A717" s="90" t="str">
        <f t="shared" si="37"/>
        <v/>
      </c>
      <c r="B717" s="87">
        <v>3</v>
      </c>
      <c r="C717" s="87" t="s">
        <v>210</v>
      </c>
      <c r="D717" s="87">
        <v>-4</v>
      </c>
      <c r="E717" s="87">
        <v>2</v>
      </c>
      <c r="F717" s="87" t="s">
        <v>210</v>
      </c>
      <c r="G717" s="87" t="s">
        <v>210</v>
      </c>
      <c r="H717" s="87">
        <v>1</v>
      </c>
      <c r="I717" s="87">
        <v>-2</v>
      </c>
      <c r="J717" s="87" t="s">
        <v>210</v>
      </c>
      <c r="K717" s="87" t="s">
        <v>210</v>
      </c>
      <c r="L717" s="87">
        <v>-3</v>
      </c>
      <c r="M717" s="87">
        <v>-1</v>
      </c>
      <c r="N717" s="87" t="s">
        <v>210</v>
      </c>
      <c r="O717" s="87" t="s">
        <v>210</v>
      </c>
      <c r="P717" s="87">
        <v>-4</v>
      </c>
      <c r="Q717" s="87" t="s">
        <v>210</v>
      </c>
      <c r="R717" s="87">
        <v>3</v>
      </c>
      <c r="S717" s="87">
        <v>4</v>
      </c>
      <c r="T717" s="87" t="s">
        <v>210</v>
      </c>
      <c r="U717" s="87" t="s">
        <v>210</v>
      </c>
      <c r="V717" s="87">
        <v>-2</v>
      </c>
      <c r="W717" s="87">
        <v>1</v>
      </c>
      <c r="X717" s="87" t="s">
        <v>210</v>
      </c>
      <c r="Y717" s="87" t="s">
        <v>210</v>
      </c>
      <c r="Z717" s="87">
        <v>4</v>
      </c>
      <c r="AA717" s="87">
        <v>-3</v>
      </c>
      <c r="AB717" s="87" t="s">
        <v>210</v>
      </c>
      <c r="AC717" s="87" t="s">
        <v>210</v>
      </c>
      <c r="AD717" s="87">
        <v>-1</v>
      </c>
      <c r="AE717" s="87">
        <v>3</v>
      </c>
      <c r="AF717" s="87" t="s">
        <v>210</v>
      </c>
      <c r="AG717" s="87" t="s">
        <v>202</v>
      </c>
      <c r="AH717" s="87" t="s">
        <v>210</v>
      </c>
      <c r="AI717" s="87">
        <v>2</v>
      </c>
      <c r="AJ717" s="87" t="s">
        <v>210</v>
      </c>
      <c r="BA717" s="95"/>
    </row>
    <row r="718" spans="1:53" s="87" customFormat="1">
      <c r="A718" s="90" t="str">
        <f t="shared" si="37"/>
        <v/>
      </c>
      <c r="B718" s="87">
        <v>4</v>
      </c>
      <c r="C718" s="87" t="s">
        <v>202</v>
      </c>
      <c r="D718" s="87" t="s">
        <v>210</v>
      </c>
      <c r="E718" s="87">
        <v>-3</v>
      </c>
      <c r="F718" s="87" t="s">
        <v>210</v>
      </c>
      <c r="G718" s="87" t="s">
        <v>210</v>
      </c>
      <c r="H718" s="87">
        <v>-4</v>
      </c>
      <c r="I718" s="87">
        <v>3</v>
      </c>
      <c r="J718" s="87" t="s">
        <v>210</v>
      </c>
      <c r="K718" s="87" t="s">
        <v>210</v>
      </c>
      <c r="L718" s="87">
        <v>1</v>
      </c>
      <c r="M718" s="87">
        <v>4</v>
      </c>
      <c r="N718" s="87" t="s">
        <v>210</v>
      </c>
      <c r="O718" s="87" t="s">
        <v>210</v>
      </c>
      <c r="P718" s="87">
        <v>-3</v>
      </c>
      <c r="Q718" s="87">
        <v>-2</v>
      </c>
      <c r="R718" s="87" t="s">
        <v>210</v>
      </c>
      <c r="S718" s="87" t="s">
        <v>210</v>
      </c>
      <c r="T718" s="87">
        <v>-4</v>
      </c>
      <c r="U718" s="87" t="s">
        <v>210</v>
      </c>
      <c r="V718" s="87">
        <v>3</v>
      </c>
      <c r="W718" s="87">
        <v>4</v>
      </c>
      <c r="X718" s="87" t="s">
        <v>210</v>
      </c>
      <c r="Y718" s="87" t="s">
        <v>210</v>
      </c>
      <c r="Z718" s="87">
        <v>2</v>
      </c>
      <c r="AA718" s="87">
        <v>-1</v>
      </c>
      <c r="AB718" s="87" t="s">
        <v>210</v>
      </c>
      <c r="AC718" s="87" t="s">
        <v>210</v>
      </c>
      <c r="AD718" s="87">
        <v>-4</v>
      </c>
      <c r="AE718" s="87">
        <v>2</v>
      </c>
      <c r="AF718" s="87" t="s">
        <v>210</v>
      </c>
      <c r="AG718" s="87" t="s">
        <v>210</v>
      </c>
      <c r="AH718" s="87">
        <v>1</v>
      </c>
      <c r="AI718" s="87">
        <v>-2</v>
      </c>
      <c r="AJ718" s="87" t="s">
        <v>210</v>
      </c>
      <c r="BA718" s="95"/>
    </row>
    <row r="719" spans="1:53" s="87" customFormat="1">
      <c r="A719" s="90" t="str">
        <f t="shared" si="37"/>
        <v/>
      </c>
      <c r="B719" s="87">
        <v>5</v>
      </c>
      <c r="C719" s="87" t="s">
        <v>210</v>
      </c>
      <c r="D719" s="87">
        <v>3</v>
      </c>
      <c r="E719" s="87">
        <v>-4</v>
      </c>
      <c r="F719" s="87" t="s">
        <v>210</v>
      </c>
      <c r="G719" s="87" t="s">
        <v>210</v>
      </c>
      <c r="H719" s="87">
        <v>-1</v>
      </c>
      <c r="I719" s="87">
        <v>-3</v>
      </c>
      <c r="J719" s="87" t="s">
        <v>210</v>
      </c>
      <c r="K719" s="87" t="s">
        <v>210</v>
      </c>
      <c r="L719" s="87">
        <v>4</v>
      </c>
      <c r="M719" s="87">
        <v>2</v>
      </c>
      <c r="N719" s="87" t="s">
        <v>210</v>
      </c>
      <c r="O719" s="87" t="s">
        <v>202</v>
      </c>
      <c r="P719" s="87" t="s">
        <v>210</v>
      </c>
      <c r="Q719" s="87">
        <v>-4</v>
      </c>
      <c r="R719" s="87" t="s">
        <v>210</v>
      </c>
      <c r="S719" s="87" t="s">
        <v>210</v>
      </c>
      <c r="T719" s="87">
        <v>1</v>
      </c>
      <c r="U719" s="87">
        <v>3</v>
      </c>
      <c r="V719" s="87" t="s">
        <v>210</v>
      </c>
      <c r="W719" s="87" t="s">
        <v>210</v>
      </c>
      <c r="X719" s="87">
        <v>-1</v>
      </c>
      <c r="Y719" s="87">
        <v>-2</v>
      </c>
      <c r="Z719" s="87" t="s">
        <v>210</v>
      </c>
      <c r="AA719" s="87" t="s">
        <v>210</v>
      </c>
      <c r="AB719" s="87">
        <v>-3</v>
      </c>
      <c r="AC719" s="87">
        <v>1</v>
      </c>
      <c r="AD719" s="87" t="s">
        <v>210</v>
      </c>
      <c r="AE719" s="87" t="s">
        <v>210</v>
      </c>
      <c r="AF719" s="87">
        <v>-2</v>
      </c>
      <c r="AG719" s="87" t="s">
        <v>210</v>
      </c>
      <c r="AH719" s="87">
        <v>3</v>
      </c>
      <c r="AI719" s="87">
        <v>4</v>
      </c>
      <c r="AJ719" s="87" t="s">
        <v>210</v>
      </c>
      <c r="BA719" s="95"/>
    </row>
    <row r="720" spans="1:53" s="87" customFormat="1">
      <c r="A720" s="90" t="str">
        <f t="shared" si="37"/>
        <v/>
      </c>
      <c r="B720" s="87">
        <v>6</v>
      </c>
      <c r="C720" s="87" t="s">
        <v>210</v>
      </c>
      <c r="D720" s="87">
        <v>-2</v>
      </c>
      <c r="E720" s="87" t="s">
        <v>210</v>
      </c>
      <c r="F720" s="87">
        <v>3</v>
      </c>
      <c r="G720" s="87">
        <v>4</v>
      </c>
      <c r="H720" s="87" t="s">
        <v>210</v>
      </c>
      <c r="I720" s="87" t="s">
        <v>210</v>
      </c>
      <c r="J720" s="87">
        <v>2</v>
      </c>
      <c r="K720" s="87">
        <v>1</v>
      </c>
      <c r="L720" s="87" t="s">
        <v>210</v>
      </c>
      <c r="M720" s="87" t="s">
        <v>210</v>
      </c>
      <c r="N720" s="87">
        <v>-4</v>
      </c>
      <c r="O720" s="87">
        <v>2</v>
      </c>
      <c r="P720" s="87" t="s">
        <v>210</v>
      </c>
      <c r="Q720" s="87" t="s">
        <v>210</v>
      </c>
      <c r="R720" s="87">
        <v>-1</v>
      </c>
      <c r="S720" s="87">
        <v>-2</v>
      </c>
      <c r="T720" s="87" t="s">
        <v>210</v>
      </c>
      <c r="U720" s="87" t="s">
        <v>202</v>
      </c>
      <c r="V720" s="87" t="s">
        <v>210</v>
      </c>
      <c r="W720" s="87">
        <v>-3</v>
      </c>
      <c r="X720" s="87" t="s">
        <v>210</v>
      </c>
      <c r="Y720" s="87" t="s">
        <v>210</v>
      </c>
      <c r="Z720" s="87">
        <v>-1</v>
      </c>
      <c r="AA720" s="87">
        <v>3</v>
      </c>
      <c r="AB720" s="87" t="s">
        <v>210</v>
      </c>
      <c r="AC720" s="87" t="s">
        <v>210</v>
      </c>
      <c r="AD720" s="87">
        <v>4</v>
      </c>
      <c r="AE720" s="87">
        <v>1</v>
      </c>
      <c r="AF720" s="87" t="s">
        <v>210</v>
      </c>
      <c r="AG720" s="87" t="s">
        <v>210</v>
      </c>
      <c r="AH720" s="87">
        <v>-2</v>
      </c>
      <c r="AI720" s="87">
        <v>-4</v>
      </c>
      <c r="AJ720" s="87" t="s">
        <v>210</v>
      </c>
      <c r="BA720" s="95"/>
    </row>
    <row r="721" spans="1:53" s="87" customFormat="1">
      <c r="A721" s="90" t="str">
        <f t="shared" si="37"/>
        <v/>
      </c>
      <c r="B721" s="87">
        <v>7</v>
      </c>
      <c r="C721" s="87" t="s">
        <v>210</v>
      </c>
      <c r="D721" s="87">
        <v>-1</v>
      </c>
      <c r="E721" s="87">
        <v>-2</v>
      </c>
      <c r="F721" s="87" t="s">
        <v>210</v>
      </c>
      <c r="G721" s="87" t="s">
        <v>210</v>
      </c>
      <c r="H721" s="87">
        <v>4</v>
      </c>
      <c r="I721" s="87">
        <v>-1</v>
      </c>
      <c r="J721" s="87" t="s">
        <v>210</v>
      </c>
      <c r="K721" s="87" t="s">
        <v>202</v>
      </c>
      <c r="L721" s="87" t="s">
        <v>210</v>
      </c>
      <c r="M721" s="87">
        <v>-2</v>
      </c>
      <c r="N721" s="87" t="s">
        <v>210</v>
      </c>
      <c r="O721" s="87" t="s">
        <v>210</v>
      </c>
      <c r="P721" s="87">
        <v>1</v>
      </c>
      <c r="Q721" s="87">
        <v>-3</v>
      </c>
      <c r="R721" s="87" t="s">
        <v>210</v>
      </c>
      <c r="S721" s="87" t="s">
        <v>210</v>
      </c>
      <c r="T721" s="87">
        <v>-2</v>
      </c>
      <c r="U721" s="87">
        <v>4</v>
      </c>
      <c r="V721" s="87" t="s">
        <v>210</v>
      </c>
      <c r="W721" s="87" t="s">
        <v>210</v>
      </c>
      <c r="X721" s="87">
        <v>3</v>
      </c>
      <c r="Y721" s="87">
        <v>-4</v>
      </c>
      <c r="Z721" s="87" t="s">
        <v>210</v>
      </c>
      <c r="AA721" s="87" t="s">
        <v>210</v>
      </c>
      <c r="AB721" s="87">
        <v>2</v>
      </c>
      <c r="AC721" s="87" t="s">
        <v>210</v>
      </c>
      <c r="AD721" s="87">
        <v>3</v>
      </c>
      <c r="AE721" s="87">
        <v>-4</v>
      </c>
      <c r="AF721" s="87" t="s">
        <v>210</v>
      </c>
      <c r="AG721" s="87" t="s">
        <v>210</v>
      </c>
      <c r="AH721" s="87">
        <v>2</v>
      </c>
      <c r="AI721" s="87">
        <v>1</v>
      </c>
      <c r="AJ721" s="87" t="s">
        <v>210</v>
      </c>
      <c r="BA721" s="95"/>
    </row>
    <row r="722" spans="1:53" s="87" customFormat="1">
      <c r="A722" s="90" t="str">
        <f t="shared" si="37"/>
        <v/>
      </c>
      <c r="B722" s="87">
        <v>8</v>
      </c>
      <c r="C722" s="87" t="s">
        <v>210</v>
      </c>
      <c r="D722" s="87">
        <v>-3</v>
      </c>
      <c r="E722" s="87">
        <v>1</v>
      </c>
      <c r="F722" s="87" t="s">
        <v>210</v>
      </c>
      <c r="G722" s="87" t="s">
        <v>210</v>
      </c>
      <c r="H722" s="87">
        <v>2</v>
      </c>
      <c r="I722" s="87" t="s">
        <v>210</v>
      </c>
      <c r="J722" s="87">
        <v>3</v>
      </c>
      <c r="K722" s="87">
        <v>4</v>
      </c>
      <c r="L722" s="87" t="s">
        <v>210</v>
      </c>
      <c r="M722" s="87" t="s">
        <v>210</v>
      </c>
      <c r="N722" s="87">
        <v>-2</v>
      </c>
      <c r="O722" s="87">
        <v>-1</v>
      </c>
      <c r="P722" s="87" t="s">
        <v>210</v>
      </c>
      <c r="Q722" s="87" t="s">
        <v>210</v>
      </c>
      <c r="R722" s="87">
        <v>-4</v>
      </c>
      <c r="S722" s="87">
        <v>-3</v>
      </c>
      <c r="T722" s="87" t="s">
        <v>210</v>
      </c>
      <c r="U722" s="87" t="s">
        <v>210</v>
      </c>
      <c r="V722" s="87">
        <v>-1</v>
      </c>
      <c r="W722" s="87">
        <v>3</v>
      </c>
      <c r="X722" s="87" t="s">
        <v>210</v>
      </c>
      <c r="Y722" s="87" t="s">
        <v>202</v>
      </c>
      <c r="Z722" s="87" t="s">
        <v>210</v>
      </c>
      <c r="AA722" s="87">
        <v>2</v>
      </c>
      <c r="AB722" s="87" t="s">
        <v>210</v>
      </c>
      <c r="AC722" s="87" t="s">
        <v>210</v>
      </c>
      <c r="AD722" s="87">
        <v>1</v>
      </c>
      <c r="AE722" s="87">
        <v>-2</v>
      </c>
      <c r="AF722" s="87" t="s">
        <v>210</v>
      </c>
      <c r="AG722" s="87" t="s">
        <v>210</v>
      </c>
      <c r="AH722" s="87">
        <v>4</v>
      </c>
      <c r="AI722" s="87">
        <v>-1</v>
      </c>
      <c r="AJ722" s="87" t="s">
        <v>210</v>
      </c>
      <c r="BA722" s="95"/>
    </row>
    <row r="723" spans="1:53" s="87" customFormat="1">
      <c r="A723" s="90" t="str">
        <f t="shared" si="37"/>
        <v/>
      </c>
      <c r="B723" s="87">
        <v>9</v>
      </c>
      <c r="C723" s="87">
        <v>4</v>
      </c>
      <c r="D723" s="87" t="s">
        <v>210</v>
      </c>
      <c r="E723" s="87" t="s">
        <v>210</v>
      </c>
      <c r="F723" s="87">
        <v>-3</v>
      </c>
      <c r="G723" s="87" t="s">
        <v>210</v>
      </c>
      <c r="H723" s="87">
        <v>-2</v>
      </c>
      <c r="I723" s="87">
        <v>4</v>
      </c>
      <c r="J723" s="87" t="s">
        <v>210</v>
      </c>
      <c r="K723" s="87" t="s">
        <v>210</v>
      </c>
      <c r="L723" s="87">
        <v>3</v>
      </c>
      <c r="M723" s="87">
        <v>-4</v>
      </c>
      <c r="N723" s="87" t="s">
        <v>210</v>
      </c>
      <c r="O723" s="87" t="s">
        <v>210</v>
      </c>
      <c r="P723" s="87">
        <v>2</v>
      </c>
      <c r="Q723" s="87">
        <v>3</v>
      </c>
      <c r="R723" s="87" t="s">
        <v>210</v>
      </c>
      <c r="S723" s="87" t="s">
        <v>210</v>
      </c>
      <c r="T723" s="87">
        <v>-1</v>
      </c>
      <c r="U723" s="87">
        <v>2</v>
      </c>
      <c r="V723" s="87" t="s">
        <v>210</v>
      </c>
      <c r="W723" s="87" t="s">
        <v>202</v>
      </c>
      <c r="X723" s="87" t="s">
        <v>210</v>
      </c>
      <c r="Y723" s="87">
        <v>-1</v>
      </c>
      <c r="Z723" s="87" t="s">
        <v>210</v>
      </c>
      <c r="AA723" s="87" t="s">
        <v>210</v>
      </c>
      <c r="AB723" s="87">
        <v>-4</v>
      </c>
      <c r="AC723" s="87">
        <v>-3</v>
      </c>
      <c r="AD723" s="87" t="s">
        <v>210</v>
      </c>
      <c r="AE723" s="87" t="s">
        <v>210</v>
      </c>
      <c r="AF723" s="87">
        <v>1</v>
      </c>
      <c r="AG723" s="87">
        <v>-2</v>
      </c>
      <c r="AH723" s="87" t="s">
        <v>210</v>
      </c>
      <c r="AI723" s="87" t="s">
        <v>210</v>
      </c>
      <c r="AJ723" s="87">
        <v>3</v>
      </c>
      <c r="BA723" s="95"/>
    </row>
    <row r="724" spans="1:53" s="87" customFormat="1">
      <c r="A724" s="90" t="str">
        <f t="shared" si="37"/>
        <v/>
      </c>
      <c r="B724" s="87">
        <v>10</v>
      </c>
      <c r="C724" s="87">
        <v>1</v>
      </c>
      <c r="D724" s="87" t="s">
        <v>210</v>
      </c>
      <c r="E724" s="87" t="s">
        <v>210</v>
      </c>
      <c r="F724" s="87">
        <v>-4</v>
      </c>
      <c r="G724" s="87">
        <v>2</v>
      </c>
      <c r="H724" s="87" t="s">
        <v>210</v>
      </c>
      <c r="I724" s="87" t="s">
        <v>210</v>
      </c>
      <c r="J724" s="87">
        <v>-1</v>
      </c>
      <c r="K724" s="87">
        <v>-2</v>
      </c>
      <c r="L724" s="87" t="s">
        <v>210</v>
      </c>
      <c r="M724" s="87" t="s">
        <v>202</v>
      </c>
      <c r="N724" s="87" t="s">
        <v>210</v>
      </c>
      <c r="O724" s="87">
        <v>3</v>
      </c>
      <c r="P724" s="87" t="s">
        <v>210</v>
      </c>
      <c r="Q724" s="87" t="s">
        <v>210</v>
      </c>
      <c r="R724" s="87">
        <v>1</v>
      </c>
      <c r="S724" s="87">
        <v>3</v>
      </c>
      <c r="T724" s="87" t="s">
        <v>210</v>
      </c>
      <c r="U724" s="87" t="s">
        <v>210</v>
      </c>
      <c r="V724" s="87">
        <v>4</v>
      </c>
      <c r="W724" s="87">
        <v>-1</v>
      </c>
      <c r="X724" s="87" t="s">
        <v>210</v>
      </c>
      <c r="Y724" s="87" t="s">
        <v>210</v>
      </c>
      <c r="Z724" s="87">
        <v>-2</v>
      </c>
      <c r="AA724" s="87">
        <v>-4</v>
      </c>
      <c r="AB724" s="87" t="s">
        <v>210</v>
      </c>
      <c r="AC724" s="87" t="s">
        <v>210</v>
      </c>
      <c r="AD724" s="87">
        <v>-3</v>
      </c>
      <c r="AE724" s="87" t="s">
        <v>210</v>
      </c>
      <c r="AF724" s="87">
        <v>2</v>
      </c>
      <c r="AG724" s="87">
        <v>4</v>
      </c>
      <c r="AH724" s="87" t="s">
        <v>210</v>
      </c>
      <c r="AI724" s="87" t="s">
        <v>210</v>
      </c>
      <c r="AJ724" s="87">
        <v>-3</v>
      </c>
      <c r="BA724" s="95"/>
    </row>
    <row r="725" spans="1:53" s="87" customFormat="1">
      <c r="A725" s="90" t="str">
        <f t="shared" si="37"/>
        <v/>
      </c>
      <c r="B725" s="87">
        <v>11</v>
      </c>
      <c r="C725" s="87">
        <v>2</v>
      </c>
      <c r="D725" s="87" t="s">
        <v>210</v>
      </c>
      <c r="E725" s="87" t="s">
        <v>202</v>
      </c>
      <c r="F725" s="87" t="s">
        <v>210</v>
      </c>
      <c r="G725" s="87">
        <v>3</v>
      </c>
      <c r="H725" s="87" t="s">
        <v>210</v>
      </c>
      <c r="I725" s="87" t="s">
        <v>210</v>
      </c>
      <c r="J725" s="87">
        <v>1</v>
      </c>
      <c r="K725" s="87">
        <v>-3</v>
      </c>
      <c r="L725" s="87" t="s">
        <v>210</v>
      </c>
      <c r="M725" s="87" t="s">
        <v>210</v>
      </c>
      <c r="N725" s="87">
        <v>4</v>
      </c>
      <c r="O725" s="87">
        <v>1</v>
      </c>
      <c r="P725" s="87" t="s">
        <v>210</v>
      </c>
      <c r="Q725" s="87" t="s">
        <v>210</v>
      </c>
      <c r="R725" s="87">
        <v>-2</v>
      </c>
      <c r="S725" s="87">
        <v>-4</v>
      </c>
      <c r="T725" s="87" t="s">
        <v>210</v>
      </c>
      <c r="U725" s="87" t="s">
        <v>210</v>
      </c>
      <c r="V725" s="87">
        <v>-3</v>
      </c>
      <c r="W725" s="87" t="s">
        <v>210</v>
      </c>
      <c r="X725" s="87">
        <v>-2</v>
      </c>
      <c r="Y725" s="87">
        <v>4</v>
      </c>
      <c r="Z725" s="87" t="s">
        <v>210</v>
      </c>
      <c r="AA725" s="87" t="s">
        <v>210</v>
      </c>
      <c r="AB725" s="87">
        <v>3</v>
      </c>
      <c r="AC725" s="87">
        <v>-4</v>
      </c>
      <c r="AD725" s="87" t="s">
        <v>210</v>
      </c>
      <c r="AE725" s="87" t="s">
        <v>210</v>
      </c>
      <c r="AF725" s="87">
        <v>-1</v>
      </c>
      <c r="AG725" s="87">
        <v>-3</v>
      </c>
      <c r="AH725" s="87" t="s">
        <v>210</v>
      </c>
      <c r="AI725" s="87" t="s">
        <v>210</v>
      </c>
      <c r="AJ725" s="87">
        <v>2</v>
      </c>
      <c r="BA725" s="95"/>
    </row>
    <row r="726" spans="1:53" s="87" customFormat="1">
      <c r="A726" s="90" t="str">
        <f t="shared" si="37"/>
        <v/>
      </c>
      <c r="B726" s="87">
        <v>12</v>
      </c>
      <c r="C726" s="87">
        <v>-3</v>
      </c>
      <c r="D726" s="87" t="s">
        <v>210</v>
      </c>
      <c r="E726" s="87" t="s">
        <v>210</v>
      </c>
      <c r="F726" s="87">
        <v>4</v>
      </c>
      <c r="G726" s="87">
        <v>-1</v>
      </c>
      <c r="H726" s="87" t="s">
        <v>210</v>
      </c>
      <c r="I726" s="87" t="s">
        <v>210</v>
      </c>
      <c r="J726" s="87">
        <v>-2</v>
      </c>
      <c r="K726" s="87">
        <v>-4</v>
      </c>
      <c r="L726" s="87" t="s">
        <v>210</v>
      </c>
      <c r="M726" s="87" t="s">
        <v>210</v>
      </c>
      <c r="N726" s="87">
        <v>-3</v>
      </c>
      <c r="O726" s="87" t="s">
        <v>210</v>
      </c>
      <c r="P726" s="87">
        <v>4</v>
      </c>
      <c r="Q726" s="87">
        <v>2</v>
      </c>
      <c r="R726" s="87" t="s">
        <v>210</v>
      </c>
      <c r="S726" s="87" t="s">
        <v>210</v>
      </c>
      <c r="T726" s="87">
        <v>3</v>
      </c>
      <c r="U726" s="87">
        <v>-4</v>
      </c>
      <c r="V726" s="87" t="s">
        <v>210</v>
      </c>
      <c r="W726" s="87" t="s">
        <v>210</v>
      </c>
      <c r="X726" s="87">
        <v>1</v>
      </c>
      <c r="Y726" s="87">
        <v>3</v>
      </c>
      <c r="Z726" s="87" t="s">
        <v>210</v>
      </c>
      <c r="AA726" s="87" t="s">
        <v>210</v>
      </c>
      <c r="AB726" s="87">
        <v>4</v>
      </c>
      <c r="AC726" s="87">
        <v>2</v>
      </c>
      <c r="AD726" s="87" t="s">
        <v>210</v>
      </c>
      <c r="AE726" s="87" t="s">
        <v>202</v>
      </c>
      <c r="AF726" s="87" t="s">
        <v>210</v>
      </c>
      <c r="AG726" s="87">
        <v>-1</v>
      </c>
      <c r="AH726" s="87" t="s">
        <v>210</v>
      </c>
      <c r="AI726" s="87" t="s">
        <v>210</v>
      </c>
      <c r="AJ726" s="87">
        <v>-2</v>
      </c>
      <c r="BA726" s="95"/>
    </row>
    <row r="727" spans="1:53" s="87" customFormat="1">
      <c r="A727" s="90" t="str">
        <f t="shared" si="37"/>
        <v/>
      </c>
      <c r="B727" s="87">
        <v>13</v>
      </c>
      <c r="C727" s="87">
        <v>-1</v>
      </c>
      <c r="D727" s="87" t="s">
        <v>210</v>
      </c>
      <c r="E727" s="87" t="s">
        <v>210</v>
      </c>
      <c r="F727" s="87">
        <v>-2</v>
      </c>
      <c r="G727" s="87">
        <v>-4</v>
      </c>
      <c r="H727" s="87" t="s">
        <v>210</v>
      </c>
      <c r="I727" s="87" t="s">
        <v>210</v>
      </c>
      <c r="J727" s="87">
        <v>-3</v>
      </c>
      <c r="K727" s="87" t="s">
        <v>210</v>
      </c>
      <c r="L727" s="87">
        <v>2</v>
      </c>
      <c r="M727" s="87">
        <v>1</v>
      </c>
      <c r="N727" s="87" t="s">
        <v>210</v>
      </c>
      <c r="O727" s="87" t="s">
        <v>210</v>
      </c>
      <c r="P727" s="87">
        <v>3</v>
      </c>
      <c r="Q727" s="87">
        <v>-1</v>
      </c>
      <c r="R727" s="87" t="s">
        <v>210</v>
      </c>
      <c r="S727" s="87" t="s">
        <v>210</v>
      </c>
      <c r="T727" s="87">
        <v>2</v>
      </c>
      <c r="U727" s="87">
        <v>-3</v>
      </c>
      <c r="V727" s="87" t="s">
        <v>210</v>
      </c>
      <c r="W727" s="87" t="s">
        <v>210</v>
      </c>
      <c r="X727" s="87">
        <v>4</v>
      </c>
      <c r="Y727" s="87">
        <v>1</v>
      </c>
      <c r="Z727" s="87" t="s">
        <v>210</v>
      </c>
      <c r="AA727" s="87" t="s">
        <v>202</v>
      </c>
      <c r="AB727" s="87" t="s">
        <v>210</v>
      </c>
      <c r="AC727" s="87">
        <v>-2</v>
      </c>
      <c r="AD727" s="87" t="s">
        <v>210</v>
      </c>
      <c r="AE727" s="87" t="s">
        <v>210</v>
      </c>
      <c r="AF727" s="87">
        <v>-4</v>
      </c>
      <c r="AG727" s="87">
        <v>3</v>
      </c>
      <c r="AH727" s="87" t="s">
        <v>210</v>
      </c>
      <c r="AI727" s="87" t="s">
        <v>210</v>
      </c>
      <c r="AJ727" s="87">
        <v>4</v>
      </c>
      <c r="BA727" s="95"/>
    </row>
    <row r="728" spans="1:53" s="87" customFormat="1">
      <c r="A728" s="90" t="str">
        <f t="shared" si="37"/>
        <v/>
      </c>
      <c r="B728" s="87">
        <v>14</v>
      </c>
      <c r="C728" s="87">
        <v>3</v>
      </c>
      <c r="D728" s="87" t="s">
        <v>210</v>
      </c>
      <c r="E728" s="87" t="s">
        <v>210</v>
      </c>
      <c r="F728" s="87">
        <v>-1</v>
      </c>
      <c r="G728" s="87">
        <v>-3</v>
      </c>
      <c r="H728" s="87" t="s">
        <v>210</v>
      </c>
      <c r="I728" s="87" t="s">
        <v>202</v>
      </c>
      <c r="J728" s="87" t="s">
        <v>210</v>
      </c>
      <c r="K728" s="87">
        <v>2</v>
      </c>
      <c r="L728" s="87" t="s">
        <v>210</v>
      </c>
      <c r="M728" s="87" t="s">
        <v>210</v>
      </c>
      <c r="N728" s="87">
        <v>1</v>
      </c>
      <c r="O728" s="87">
        <v>-2</v>
      </c>
      <c r="P728" s="87" t="s">
        <v>210</v>
      </c>
      <c r="Q728" s="87" t="s">
        <v>210</v>
      </c>
      <c r="R728" s="87">
        <v>4</v>
      </c>
      <c r="S728" s="87">
        <v>1</v>
      </c>
      <c r="T728" s="87" t="s">
        <v>210</v>
      </c>
      <c r="U728" s="87" t="s">
        <v>210</v>
      </c>
      <c r="V728" s="87">
        <v>2</v>
      </c>
      <c r="W728" s="87">
        <v>-4</v>
      </c>
      <c r="X728" s="87" t="s">
        <v>210</v>
      </c>
      <c r="Y728" s="87" t="s">
        <v>210</v>
      </c>
      <c r="Z728" s="87">
        <v>3</v>
      </c>
      <c r="AA728" s="87" t="s">
        <v>210</v>
      </c>
      <c r="AB728" s="87">
        <v>-2</v>
      </c>
      <c r="AC728" s="87">
        <v>-1</v>
      </c>
      <c r="AD728" s="87" t="s">
        <v>210</v>
      </c>
      <c r="AE728" s="87" t="s">
        <v>210</v>
      </c>
      <c r="AF728" s="87">
        <v>-3</v>
      </c>
      <c r="AG728" s="87">
        <v>2</v>
      </c>
      <c r="AH728" s="87" t="s">
        <v>210</v>
      </c>
      <c r="AI728" s="87" t="s">
        <v>210</v>
      </c>
      <c r="AJ728" s="87">
        <v>-4</v>
      </c>
      <c r="BA728" s="95"/>
    </row>
    <row r="729" spans="1:53" s="87" customFormat="1">
      <c r="A729" s="90" t="str">
        <f t="shared" si="37"/>
        <v/>
      </c>
      <c r="B729" s="87">
        <v>15</v>
      </c>
      <c r="C729" s="87" t="s">
        <v>210</v>
      </c>
      <c r="D729" s="87">
        <v>2</v>
      </c>
      <c r="E729" s="87">
        <v>-1</v>
      </c>
      <c r="F729" s="87" t="s">
        <v>210</v>
      </c>
      <c r="G729" s="87" t="s">
        <v>210</v>
      </c>
      <c r="H729" s="87">
        <v>-3</v>
      </c>
      <c r="I729" s="87">
        <v>2</v>
      </c>
      <c r="J729" s="87" t="s">
        <v>210</v>
      </c>
      <c r="K729" s="87" t="s">
        <v>210</v>
      </c>
      <c r="L729" s="87">
        <v>-1</v>
      </c>
      <c r="M729" s="87">
        <v>3</v>
      </c>
      <c r="N729" s="87" t="s">
        <v>210</v>
      </c>
      <c r="O729" s="87" t="s">
        <v>210</v>
      </c>
      <c r="P729" s="87">
        <v>-1</v>
      </c>
      <c r="Q729" s="87">
        <v>4</v>
      </c>
      <c r="R729" s="87" t="s">
        <v>210</v>
      </c>
      <c r="S729" s="87" t="s">
        <v>202</v>
      </c>
      <c r="T729" s="87" t="s">
        <v>210</v>
      </c>
      <c r="U729" s="87">
        <v>-2</v>
      </c>
      <c r="V729" s="87" t="s">
        <v>210</v>
      </c>
      <c r="W729" s="87" t="s">
        <v>210</v>
      </c>
      <c r="X729" s="87">
        <v>-4</v>
      </c>
      <c r="Y729" s="87">
        <v>-3</v>
      </c>
      <c r="Z729" s="87" t="s">
        <v>210</v>
      </c>
      <c r="AA729" s="87" t="s">
        <v>210</v>
      </c>
      <c r="AB729" s="87">
        <v>1</v>
      </c>
      <c r="AC729" s="87">
        <v>4</v>
      </c>
      <c r="AD729" s="87" t="s">
        <v>210</v>
      </c>
      <c r="AE729" s="87" t="s">
        <v>210</v>
      </c>
      <c r="AF729" s="87">
        <v>3</v>
      </c>
      <c r="AG729" s="87">
        <v>-4</v>
      </c>
      <c r="AH729" s="87" t="s">
        <v>210</v>
      </c>
      <c r="AI729" s="87" t="s">
        <v>210</v>
      </c>
      <c r="AJ729" s="87">
        <v>1</v>
      </c>
      <c r="BA729" s="95"/>
    </row>
    <row r="730" spans="1:53" s="87" customFormat="1">
      <c r="A730" s="90" t="str">
        <f t="shared" si="37"/>
        <v/>
      </c>
      <c r="B730" s="87">
        <v>16</v>
      </c>
      <c r="C730" s="87">
        <v>-4</v>
      </c>
      <c r="D730" s="87" t="s">
        <v>210</v>
      </c>
      <c r="E730" s="87" t="s">
        <v>210</v>
      </c>
      <c r="F730" s="87">
        <v>2</v>
      </c>
      <c r="G730" s="87">
        <v>1</v>
      </c>
      <c r="H730" s="87" t="s">
        <v>210</v>
      </c>
      <c r="I730" s="87" t="s">
        <v>210</v>
      </c>
      <c r="J730" s="87">
        <v>4</v>
      </c>
      <c r="K730" s="87">
        <v>3</v>
      </c>
      <c r="L730" s="87" t="s">
        <v>210</v>
      </c>
      <c r="M730" s="87" t="s">
        <v>210</v>
      </c>
      <c r="N730" s="87">
        <v>-1</v>
      </c>
      <c r="O730" s="87">
        <v>-3</v>
      </c>
      <c r="P730" s="87" t="s">
        <v>210</v>
      </c>
      <c r="Q730" s="87" t="s">
        <v>202</v>
      </c>
      <c r="R730" s="87" t="s">
        <v>210</v>
      </c>
      <c r="S730" s="87">
        <v>2</v>
      </c>
      <c r="T730" s="87" t="s">
        <v>210</v>
      </c>
      <c r="U730" s="87" t="s">
        <v>210</v>
      </c>
      <c r="V730" s="87">
        <v>1</v>
      </c>
      <c r="W730" s="87">
        <v>-2</v>
      </c>
      <c r="X730" s="87" t="s">
        <v>210</v>
      </c>
      <c r="Y730" s="87" t="s">
        <v>210</v>
      </c>
      <c r="Z730" s="87">
        <v>-4</v>
      </c>
      <c r="AA730" s="87">
        <v>1</v>
      </c>
      <c r="AB730" s="87" t="s">
        <v>210</v>
      </c>
      <c r="AC730" s="87" t="s">
        <v>210</v>
      </c>
      <c r="AD730" s="87">
        <v>-2</v>
      </c>
      <c r="AE730" s="87">
        <v>4</v>
      </c>
      <c r="AF730" s="87" t="s">
        <v>210</v>
      </c>
      <c r="AG730" s="87" t="s">
        <v>210</v>
      </c>
      <c r="AH730" s="87">
        <v>-3</v>
      </c>
      <c r="AI730" s="87" t="s">
        <v>210</v>
      </c>
      <c r="AJ730" s="87">
        <v>-1</v>
      </c>
      <c r="BA730" s="95"/>
    </row>
    <row r="731" spans="1:53" s="87" customFormat="1">
      <c r="A731" s="90" t="str">
        <f t="shared" si="37"/>
        <v/>
      </c>
      <c r="B731" s="87">
        <v>17</v>
      </c>
      <c r="C731" s="87">
        <v>-2</v>
      </c>
      <c r="D731" s="87" t="s">
        <v>210</v>
      </c>
      <c r="E731" s="87" t="s">
        <v>210</v>
      </c>
      <c r="F731" s="87">
        <v>1</v>
      </c>
      <c r="G731" s="87">
        <v>-2</v>
      </c>
      <c r="H731" s="87" t="s">
        <v>210</v>
      </c>
      <c r="I731" s="87" t="s">
        <v>210</v>
      </c>
      <c r="J731" s="87">
        <v>-4</v>
      </c>
      <c r="K731" s="87">
        <v>-1</v>
      </c>
      <c r="L731" s="87" t="s">
        <v>210</v>
      </c>
      <c r="M731" s="87" t="s">
        <v>210</v>
      </c>
      <c r="N731" s="87">
        <v>2</v>
      </c>
      <c r="O731" s="87">
        <v>-4</v>
      </c>
      <c r="P731" s="87" t="s">
        <v>210</v>
      </c>
      <c r="Q731" s="87" t="s">
        <v>210</v>
      </c>
      <c r="R731" s="87">
        <v>-3</v>
      </c>
      <c r="S731" s="87" t="s">
        <v>210</v>
      </c>
      <c r="T731" s="87">
        <v>4</v>
      </c>
      <c r="U731" s="87">
        <v>1</v>
      </c>
      <c r="V731" s="87" t="s">
        <v>210</v>
      </c>
      <c r="W731" s="87" t="s">
        <v>210</v>
      </c>
      <c r="X731" s="87">
        <v>-3</v>
      </c>
      <c r="Y731" s="87">
        <v>2</v>
      </c>
      <c r="Z731" s="87" t="s">
        <v>210</v>
      </c>
      <c r="AA731" s="87" t="s">
        <v>210</v>
      </c>
      <c r="AB731" s="87">
        <v>-1</v>
      </c>
      <c r="AC731" s="87">
        <v>3</v>
      </c>
      <c r="AD731" s="87" t="s">
        <v>210</v>
      </c>
      <c r="AE731" s="87" t="s">
        <v>210</v>
      </c>
      <c r="AF731" s="87">
        <v>4</v>
      </c>
      <c r="AG731" s="87">
        <v>1</v>
      </c>
      <c r="AH731" s="87" t="s">
        <v>210</v>
      </c>
      <c r="AI731" s="87" t="s">
        <v>202</v>
      </c>
      <c r="AJ731" s="87" t="s">
        <v>210</v>
      </c>
      <c r="BA731" s="95"/>
    </row>
    <row r="732" spans="1:53" s="87" customFormat="1">
      <c r="A732" s="90" t="str">
        <f t="shared" si="37"/>
        <v/>
      </c>
      <c r="B732" s="318" t="s">
        <v>903</v>
      </c>
      <c r="BA732" s="95"/>
    </row>
    <row r="733" spans="1:53" s="87" customFormat="1">
      <c r="A733" s="90">
        <f t="shared" si="37"/>
        <v>733</v>
      </c>
      <c r="B733" s="318" t="s">
        <v>1255</v>
      </c>
      <c r="BA733" s="95"/>
    </row>
    <row r="734" spans="1:53" s="87" customFormat="1">
      <c r="A734" s="90" t="str">
        <f t="shared" si="37"/>
        <v/>
      </c>
      <c r="B734" s="87">
        <v>1</v>
      </c>
      <c r="C734" s="87">
        <v>2</v>
      </c>
      <c r="D734" s="87" t="s">
        <v>210</v>
      </c>
      <c r="E734" s="87">
        <v>-1</v>
      </c>
      <c r="F734" s="87" t="s">
        <v>210</v>
      </c>
      <c r="G734" s="87" t="s">
        <v>210</v>
      </c>
      <c r="H734" s="87" t="s">
        <v>210</v>
      </c>
      <c r="I734" s="87" t="s">
        <v>210</v>
      </c>
      <c r="J734" s="87">
        <v>3</v>
      </c>
      <c r="K734" s="87" t="s">
        <v>210</v>
      </c>
      <c r="L734" s="87">
        <v>-2</v>
      </c>
      <c r="BA734" s="95"/>
    </row>
    <row r="735" spans="1:53" s="87" customFormat="1">
      <c r="A735" s="90" t="str">
        <f t="shared" si="37"/>
        <v/>
      </c>
      <c r="B735" s="87">
        <v>2</v>
      </c>
      <c r="C735" s="87">
        <v>-3</v>
      </c>
      <c r="D735" s="87" t="s">
        <v>210</v>
      </c>
      <c r="E735" s="87" t="s">
        <v>210</v>
      </c>
      <c r="F735" s="87" t="s">
        <v>210</v>
      </c>
      <c r="G735" s="87" t="s">
        <v>210</v>
      </c>
      <c r="H735" s="87">
        <v>1</v>
      </c>
      <c r="I735" s="87" t="s">
        <v>210</v>
      </c>
      <c r="J735" s="87">
        <v>-4</v>
      </c>
      <c r="K735" s="87" t="s">
        <v>210</v>
      </c>
      <c r="L735" s="87">
        <v>2</v>
      </c>
      <c r="BA735" s="95"/>
    </row>
    <row r="736" spans="1:53" s="87" customFormat="1">
      <c r="A736" s="90" t="str">
        <f t="shared" si="37"/>
        <v/>
      </c>
      <c r="B736" s="87">
        <v>3</v>
      </c>
      <c r="C736" s="87">
        <v>-2</v>
      </c>
      <c r="D736" s="87" t="s">
        <v>210</v>
      </c>
      <c r="E736" s="87">
        <v>4</v>
      </c>
      <c r="F736" s="87" t="s">
        <v>210</v>
      </c>
      <c r="G736" s="87" t="s">
        <v>210</v>
      </c>
      <c r="H736" s="87">
        <v>-1</v>
      </c>
      <c r="I736" s="87" t="s">
        <v>210</v>
      </c>
      <c r="J736" s="87" t="s">
        <v>210</v>
      </c>
      <c r="K736" s="87" t="s">
        <v>210</v>
      </c>
      <c r="L736" s="87">
        <v>3</v>
      </c>
      <c r="BA736" s="95"/>
    </row>
    <row r="737" spans="1:53" s="87" customFormat="1">
      <c r="A737" s="90" t="str">
        <f t="shared" si="37"/>
        <v/>
      </c>
      <c r="B737" s="87">
        <v>4</v>
      </c>
      <c r="C737" s="87" t="s">
        <v>210</v>
      </c>
      <c r="D737" s="87" t="s">
        <v>210</v>
      </c>
      <c r="E737" s="87">
        <v>1</v>
      </c>
      <c r="F737" s="87" t="s">
        <v>210</v>
      </c>
      <c r="G737" s="87" t="s">
        <v>210</v>
      </c>
      <c r="H737" s="87">
        <v>-2</v>
      </c>
      <c r="I737" s="87" t="s">
        <v>210</v>
      </c>
      <c r="J737" s="87">
        <v>4</v>
      </c>
      <c r="K737" s="87" t="s">
        <v>210</v>
      </c>
      <c r="L737" s="87">
        <v>-3</v>
      </c>
      <c r="BA737" s="95"/>
    </row>
    <row r="738" spans="1:53" s="87" customFormat="1">
      <c r="A738" s="90" t="str">
        <f t="shared" si="37"/>
        <v/>
      </c>
      <c r="B738" s="232">
        <v>5</v>
      </c>
      <c r="C738" s="233">
        <v>3</v>
      </c>
      <c r="D738" s="233" t="s">
        <v>210</v>
      </c>
      <c r="E738" s="233">
        <v>-4</v>
      </c>
      <c r="F738" s="233" t="s">
        <v>210</v>
      </c>
      <c r="G738" s="233" t="s">
        <v>210</v>
      </c>
      <c r="H738" s="233">
        <v>2</v>
      </c>
      <c r="I738" s="233" t="s">
        <v>210</v>
      </c>
      <c r="J738" s="233">
        <v>-3</v>
      </c>
      <c r="K738" s="233" t="s">
        <v>210</v>
      </c>
      <c r="L738" s="233" t="s">
        <v>210</v>
      </c>
      <c r="BA738" s="95"/>
    </row>
    <row r="739" spans="1:53" s="87" customFormat="1">
      <c r="A739" s="90" t="str">
        <f t="shared" si="37"/>
        <v/>
      </c>
      <c r="B739" s="87">
        <v>6</v>
      </c>
      <c r="C739" s="87">
        <v>4</v>
      </c>
      <c r="D739" s="87" t="s">
        <v>210</v>
      </c>
      <c r="E739" s="87">
        <v>-2</v>
      </c>
      <c r="F739" s="87" t="s">
        <v>210</v>
      </c>
      <c r="G739" s="87" t="s">
        <v>210</v>
      </c>
      <c r="H739" s="87">
        <v>3</v>
      </c>
      <c r="I739" s="87" t="s">
        <v>210</v>
      </c>
      <c r="J739" s="87" t="s">
        <v>210</v>
      </c>
      <c r="K739" s="87" t="s">
        <v>210</v>
      </c>
      <c r="L739" s="87">
        <v>-1</v>
      </c>
      <c r="BA739" s="95"/>
    </row>
    <row r="740" spans="1:53" s="87" customFormat="1">
      <c r="A740" s="90" t="str">
        <f t="shared" si="37"/>
        <v/>
      </c>
      <c r="B740" s="87">
        <v>7</v>
      </c>
      <c r="C740" s="87" t="s">
        <v>210</v>
      </c>
      <c r="D740" s="87" t="s">
        <v>210</v>
      </c>
      <c r="E740" s="87">
        <v>-3</v>
      </c>
      <c r="F740" s="87" t="s">
        <v>210</v>
      </c>
      <c r="G740" s="87" t="s">
        <v>210</v>
      </c>
      <c r="H740" s="87">
        <v>4</v>
      </c>
      <c r="I740" s="87" t="s">
        <v>210</v>
      </c>
      <c r="J740" s="87">
        <v>-2</v>
      </c>
      <c r="K740" s="87" t="s">
        <v>210</v>
      </c>
      <c r="L740" s="87">
        <v>1</v>
      </c>
      <c r="BA740" s="95"/>
    </row>
    <row r="741" spans="1:53" s="87" customFormat="1">
      <c r="A741" s="90" t="str">
        <f t="shared" si="37"/>
        <v/>
      </c>
      <c r="B741" s="87">
        <v>8</v>
      </c>
      <c r="C741" s="87">
        <v>1</v>
      </c>
      <c r="D741" s="87" t="s">
        <v>210</v>
      </c>
      <c r="E741" s="87" t="s">
        <v>210</v>
      </c>
      <c r="F741" s="87" t="s">
        <v>210</v>
      </c>
      <c r="G741" s="87" t="s">
        <v>210</v>
      </c>
      <c r="H741" s="87">
        <v>-3</v>
      </c>
      <c r="I741" s="87" t="s">
        <v>210</v>
      </c>
      <c r="J741" s="87">
        <v>2</v>
      </c>
      <c r="K741" s="87" t="s">
        <v>210</v>
      </c>
      <c r="L741" s="87">
        <v>-4</v>
      </c>
      <c r="BA741" s="95"/>
    </row>
    <row r="742" spans="1:53" s="87" customFormat="1">
      <c r="A742" s="90" t="str">
        <f t="shared" si="37"/>
        <v/>
      </c>
      <c r="B742" s="87">
        <v>9</v>
      </c>
      <c r="C742" s="87">
        <v>-4</v>
      </c>
      <c r="D742" s="87" t="s">
        <v>210</v>
      </c>
      <c r="E742" s="87">
        <v>3</v>
      </c>
      <c r="F742" s="87" t="s">
        <v>210</v>
      </c>
      <c r="G742" s="87" t="s">
        <v>210</v>
      </c>
      <c r="H742" s="87" t="s">
        <v>210</v>
      </c>
      <c r="I742" s="87" t="s">
        <v>210</v>
      </c>
      <c r="J742" s="87">
        <v>-1</v>
      </c>
      <c r="K742" s="87" t="s">
        <v>210</v>
      </c>
      <c r="L742" s="87">
        <v>4</v>
      </c>
      <c r="BA742" s="95"/>
    </row>
    <row r="743" spans="1:53" s="87" customFormat="1">
      <c r="A743" s="90" t="str">
        <f t="shared" si="37"/>
        <v/>
      </c>
      <c r="B743" s="232">
        <v>10</v>
      </c>
      <c r="C743" s="233">
        <v>-1</v>
      </c>
      <c r="D743" s="233" t="s">
        <v>210</v>
      </c>
      <c r="E743" s="233">
        <v>2</v>
      </c>
      <c r="F743" s="233" t="s">
        <v>210</v>
      </c>
      <c r="G743" s="233" t="s">
        <v>210</v>
      </c>
      <c r="H743" s="233">
        <v>-4</v>
      </c>
      <c r="I743" s="233" t="s">
        <v>210</v>
      </c>
      <c r="J743" s="233">
        <v>1</v>
      </c>
      <c r="K743" s="233" t="s">
        <v>210</v>
      </c>
      <c r="L743" s="233" t="s">
        <v>210</v>
      </c>
      <c r="BA743" s="95"/>
    </row>
    <row r="744" spans="1:53" s="87" customFormat="1">
      <c r="A744" s="90" t="str">
        <f t="shared" si="37"/>
        <v/>
      </c>
      <c r="B744" s="87">
        <v>11</v>
      </c>
      <c r="C744" s="87" t="s">
        <v>210</v>
      </c>
      <c r="D744" s="87">
        <v>2</v>
      </c>
      <c r="E744" s="87" t="s">
        <v>210</v>
      </c>
      <c r="F744" s="87">
        <v>-1</v>
      </c>
      <c r="G744" s="87" t="s">
        <v>210</v>
      </c>
      <c r="H744" s="87" t="s">
        <v>210</v>
      </c>
      <c r="I744" s="87">
        <v>3</v>
      </c>
      <c r="J744" s="87" t="s">
        <v>210</v>
      </c>
      <c r="K744" s="87">
        <v>-2</v>
      </c>
      <c r="L744" s="87" t="s">
        <v>210</v>
      </c>
      <c r="BA744" s="95"/>
    </row>
    <row r="745" spans="1:53" s="87" customFormat="1">
      <c r="A745" s="90" t="str">
        <f t="shared" si="37"/>
        <v/>
      </c>
      <c r="B745" s="87">
        <v>12</v>
      </c>
      <c r="C745" s="87" t="s">
        <v>210</v>
      </c>
      <c r="D745" s="87">
        <v>-3</v>
      </c>
      <c r="E745" s="87" t="s">
        <v>210</v>
      </c>
      <c r="F745" s="87" t="s">
        <v>210</v>
      </c>
      <c r="G745" s="87">
        <v>1</v>
      </c>
      <c r="H745" s="87" t="s">
        <v>210</v>
      </c>
      <c r="I745" s="87">
        <v>-4</v>
      </c>
      <c r="J745" s="87" t="s">
        <v>210</v>
      </c>
      <c r="K745" s="87">
        <v>2</v>
      </c>
      <c r="L745" s="87" t="s">
        <v>210</v>
      </c>
      <c r="BA745" s="95"/>
    </row>
    <row r="746" spans="1:53" s="87" customFormat="1">
      <c r="A746" s="90" t="str">
        <f t="shared" si="37"/>
        <v/>
      </c>
      <c r="B746" s="87">
        <v>13</v>
      </c>
      <c r="C746" s="87" t="s">
        <v>210</v>
      </c>
      <c r="D746" s="87">
        <v>-2</v>
      </c>
      <c r="E746" s="87" t="s">
        <v>210</v>
      </c>
      <c r="F746" s="87">
        <v>4</v>
      </c>
      <c r="G746" s="87">
        <v>-1</v>
      </c>
      <c r="H746" s="87" t="s">
        <v>210</v>
      </c>
      <c r="I746" s="87" t="s">
        <v>210</v>
      </c>
      <c r="J746" s="87" t="s">
        <v>210</v>
      </c>
      <c r="K746" s="87">
        <v>3</v>
      </c>
      <c r="L746" s="87" t="s">
        <v>210</v>
      </c>
      <c r="BA746" s="95"/>
    </row>
    <row r="747" spans="1:53" s="87" customFormat="1">
      <c r="A747" s="90" t="str">
        <f t="shared" si="37"/>
        <v/>
      </c>
      <c r="B747" s="87">
        <v>14</v>
      </c>
      <c r="C747" s="87" t="s">
        <v>210</v>
      </c>
      <c r="D747" s="87" t="s">
        <v>210</v>
      </c>
      <c r="E747" s="87" t="s">
        <v>210</v>
      </c>
      <c r="F747" s="87">
        <v>1</v>
      </c>
      <c r="G747" s="87">
        <v>-2</v>
      </c>
      <c r="H747" s="87" t="s">
        <v>210</v>
      </c>
      <c r="I747" s="87">
        <v>4</v>
      </c>
      <c r="J747" s="87" t="s">
        <v>210</v>
      </c>
      <c r="K747" s="87">
        <v>-3</v>
      </c>
      <c r="L747" s="87" t="s">
        <v>210</v>
      </c>
      <c r="BA747" s="95"/>
    </row>
    <row r="748" spans="1:53" s="87" customFormat="1">
      <c r="A748" s="90" t="str">
        <f t="shared" si="37"/>
        <v/>
      </c>
      <c r="B748" s="232">
        <v>15</v>
      </c>
      <c r="C748" s="233" t="s">
        <v>210</v>
      </c>
      <c r="D748" s="233">
        <v>3</v>
      </c>
      <c r="E748" s="233" t="s">
        <v>210</v>
      </c>
      <c r="F748" s="233">
        <v>-4</v>
      </c>
      <c r="G748" s="233">
        <v>2</v>
      </c>
      <c r="H748" s="233" t="s">
        <v>210</v>
      </c>
      <c r="I748" s="233">
        <v>-3</v>
      </c>
      <c r="J748" s="233" t="s">
        <v>210</v>
      </c>
      <c r="K748" s="233" t="s">
        <v>210</v>
      </c>
      <c r="L748" s="233" t="s">
        <v>210</v>
      </c>
      <c r="BA748" s="95"/>
    </row>
    <row r="749" spans="1:53" s="87" customFormat="1">
      <c r="A749" s="90" t="str">
        <f t="shared" si="37"/>
        <v/>
      </c>
      <c r="B749" s="87">
        <v>16</v>
      </c>
      <c r="C749" s="87" t="s">
        <v>210</v>
      </c>
      <c r="D749" s="87">
        <v>4</v>
      </c>
      <c r="E749" s="87" t="s">
        <v>210</v>
      </c>
      <c r="F749" s="87">
        <v>-2</v>
      </c>
      <c r="G749" s="87">
        <v>3</v>
      </c>
      <c r="H749" s="87" t="s">
        <v>210</v>
      </c>
      <c r="I749" s="87" t="s">
        <v>210</v>
      </c>
      <c r="J749" s="87" t="s">
        <v>210</v>
      </c>
      <c r="K749" s="87">
        <v>-1</v>
      </c>
      <c r="L749" s="87" t="s">
        <v>210</v>
      </c>
      <c r="BA749" s="95"/>
    </row>
    <row r="750" spans="1:53" s="87" customFormat="1">
      <c r="A750" s="90" t="str">
        <f t="shared" si="37"/>
        <v/>
      </c>
      <c r="B750" s="87">
        <v>17</v>
      </c>
      <c r="C750" s="87" t="s">
        <v>210</v>
      </c>
      <c r="D750" s="87" t="s">
        <v>210</v>
      </c>
      <c r="E750" s="87" t="s">
        <v>210</v>
      </c>
      <c r="F750" s="87">
        <v>-3</v>
      </c>
      <c r="G750" s="87">
        <v>4</v>
      </c>
      <c r="H750" s="87" t="s">
        <v>210</v>
      </c>
      <c r="I750" s="87">
        <v>-2</v>
      </c>
      <c r="J750" s="87" t="s">
        <v>210</v>
      </c>
      <c r="K750" s="87">
        <v>1</v>
      </c>
      <c r="L750" s="87" t="s">
        <v>210</v>
      </c>
      <c r="BA750" s="95"/>
    </row>
    <row r="751" spans="1:53" s="87" customFormat="1">
      <c r="A751" s="90" t="str">
        <f t="shared" si="37"/>
        <v/>
      </c>
      <c r="B751" s="87">
        <v>18</v>
      </c>
      <c r="C751" s="87" t="s">
        <v>210</v>
      </c>
      <c r="D751" s="87">
        <v>1</v>
      </c>
      <c r="E751" s="87" t="s">
        <v>210</v>
      </c>
      <c r="F751" s="87" t="s">
        <v>210</v>
      </c>
      <c r="G751" s="87">
        <v>-3</v>
      </c>
      <c r="H751" s="87" t="s">
        <v>210</v>
      </c>
      <c r="I751" s="87">
        <v>2</v>
      </c>
      <c r="J751" s="87" t="s">
        <v>210</v>
      </c>
      <c r="K751" s="87">
        <v>-4</v>
      </c>
      <c r="L751" s="87" t="s">
        <v>210</v>
      </c>
      <c r="BA751" s="95"/>
    </row>
    <row r="752" spans="1:53" s="87" customFormat="1">
      <c r="A752" s="90" t="str">
        <f t="shared" si="37"/>
        <v/>
      </c>
      <c r="B752" s="87">
        <v>19</v>
      </c>
      <c r="C752" s="87" t="s">
        <v>210</v>
      </c>
      <c r="D752" s="87">
        <v>-4</v>
      </c>
      <c r="E752" s="87" t="s">
        <v>210</v>
      </c>
      <c r="F752" s="87">
        <v>3</v>
      </c>
      <c r="G752" s="87" t="s">
        <v>210</v>
      </c>
      <c r="H752" s="87" t="s">
        <v>210</v>
      </c>
      <c r="I752" s="87">
        <v>-1</v>
      </c>
      <c r="J752" s="87" t="s">
        <v>210</v>
      </c>
      <c r="K752" s="87">
        <v>4</v>
      </c>
      <c r="L752" s="87" t="s">
        <v>210</v>
      </c>
      <c r="BA752" s="95"/>
    </row>
    <row r="753" spans="1:53" s="87" customFormat="1">
      <c r="A753" s="90" t="str">
        <f t="shared" si="37"/>
        <v/>
      </c>
      <c r="B753" s="87">
        <v>20</v>
      </c>
      <c r="C753" s="87" t="s">
        <v>210</v>
      </c>
      <c r="D753" s="87">
        <v>-1</v>
      </c>
      <c r="E753" s="87" t="s">
        <v>210</v>
      </c>
      <c r="F753" s="87">
        <v>2</v>
      </c>
      <c r="G753" s="87">
        <v>-4</v>
      </c>
      <c r="H753" s="87" t="s">
        <v>210</v>
      </c>
      <c r="I753" s="87">
        <v>1</v>
      </c>
      <c r="J753" s="87" t="s">
        <v>210</v>
      </c>
      <c r="K753" s="87" t="s">
        <v>210</v>
      </c>
      <c r="L753" s="87" t="s">
        <v>210</v>
      </c>
      <c r="BA753" s="95"/>
    </row>
    <row r="754" spans="1:53" s="87" customFormat="1">
      <c r="A754" s="90" t="str">
        <f t="shared" si="37"/>
        <v/>
      </c>
      <c r="B754" s="318" t="s">
        <v>296</v>
      </c>
      <c r="BA754" s="95"/>
    </row>
    <row r="755" spans="1:53" s="87" customFormat="1">
      <c r="A755" s="90">
        <f t="shared" si="37"/>
        <v>755</v>
      </c>
      <c r="B755" s="318" t="s">
        <v>1242</v>
      </c>
      <c r="BA755" s="95"/>
    </row>
    <row r="756" spans="1:53" s="87" customFormat="1">
      <c r="A756" s="90" t="str">
        <f t="shared" si="37"/>
        <v/>
      </c>
      <c r="B756" s="87">
        <v>1</v>
      </c>
      <c r="C756" s="87">
        <v>-1</v>
      </c>
      <c r="D756" s="87">
        <v>2</v>
      </c>
      <c r="E756" s="87" t="s">
        <v>210</v>
      </c>
      <c r="F756" s="87">
        <v>3</v>
      </c>
      <c r="G756" s="87">
        <v>-4</v>
      </c>
      <c r="H756" s="87" t="s">
        <v>210</v>
      </c>
      <c r="I756" s="87" t="s">
        <v>210</v>
      </c>
      <c r="J756" s="87">
        <v>-3</v>
      </c>
      <c r="K756" s="87">
        <v>1</v>
      </c>
      <c r="BA756" s="95"/>
    </row>
    <row r="757" spans="1:53" s="87" customFormat="1">
      <c r="A757" s="90" t="str">
        <f t="shared" si="37"/>
        <v/>
      </c>
      <c r="B757" s="87">
        <v>2</v>
      </c>
      <c r="C757" s="87">
        <v>1</v>
      </c>
      <c r="D757" s="87">
        <v>3</v>
      </c>
      <c r="E757" s="87" t="s">
        <v>210</v>
      </c>
      <c r="F757" s="87">
        <v>-4</v>
      </c>
      <c r="G757" s="87">
        <v>2</v>
      </c>
      <c r="H757" s="87" t="s">
        <v>210</v>
      </c>
      <c r="I757" s="87" t="s">
        <v>210</v>
      </c>
      <c r="J757" s="87">
        <v>-1</v>
      </c>
      <c r="K757" s="87">
        <v>-3</v>
      </c>
      <c r="BA757" s="95"/>
    </row>
    <row r="758" spans="1:53" s="87" customFormat="1">
      <c r="A758" s="90" t="str">
        <f t="shared" si="37"/>
        <v/>
      </c>
      <c r="B758" s="87">
        <v>3</v>
      </c>
      <c r="C758" s="87">
        <v>-4</v>
      </c>
      <c r="D758" s="87">
        <v>-2</v>
      </c>
      <c r="E758" s="87" t="s">
        <v>210</v>
      </c>
      <c r="F758" s="87">
        <v>-1</v>
      </c>
      <c r="G758" s="87">
        <v>3</v>
      </c>
      <c r="H758" s="87" t="s">
        <v>210</v>
      </c>
      <c r="I758" s="87" t="s">
        <v>210</v>
      </c>
      <c r="J758" s="87">
        <v>1</v>
      </c>
      <c r="K758" s="87">
        <v>2</v>
      </c>
      <c r="BA758" s="95"/>
    </row>
    <row r="759" spans="1:53" s="87" customFormat="1">
      <c r="A759" s="90" t="str">
        <f t="shared" si="37"/>
        <v/>
      </c>
      <c r="B759" s="87">
        <v>4</v>
      </c>
      <c r="C759" s="87">
        <v>4</v>
      </c>
      <c r="D759" s="87">
        <v>1</v>
      </c>
      <c r="E759" s="87" t="s">
        <v>210</v>
      </c>
      <c r="F759" s="87">
        <v>-3</v>
      </c>
      <c r="G759" s="87" t="s">
        <v>210</v>
      </c>
      <c r="H759" s="87">
        <v>-1</v>
      </c>
      <c r="I759" s="87" t="s">
        <v>210</v>
      </c>
      <c r="J759" s="87">
        <v>-2</v>
      </c>
      <c r="K759" s="87">
        <v>3</v>
      </c>
      <c r="BA759" s="95"/>
    </row>
    <row r="760" spans="1:53" s="87" customFormat="1">
      <c r="A760" s="90" t="str">
        <f t="shared" si="37"/>
        <v/>
      </c>
      <c r="B760" s="87">
        <v>5</v>
      </c>
      <c r="C760" s="87">
        <v>2</v>
      </c>
      <c r="D760" s="87">
        <v>-3</v>
      </c>
      <c r="E760" s="87" t="s">
        <v>210</v>
      </c>
      <c r="F760" s="87" t="s">
        <v>210</v>
      </c>
      <c r="G760" s="87">
        <v>4</v>
      </c>
      <c r="H760" s="87">
        <v>1</v>
      </c>
      <c r="I760" s="87">
        <v>-4</v>
      </c>
      <c r="J760" s="87" t="s">
        <v>210</v>
      </c>
      <c r="K760" s="87">
        <v>-2</v>
      </c>
      <c r="BA760" s="95"/>
    </row>
    <row r="761" spans="1:53" s="87" customFormat="1">
      <c r="A761" s="90" t="str">
        <f t="shared" si="37"/>
        <v/>
      </c>
      <c r="B761" s="87">
        <v>6</v>
      </c>
      <c r="C761" s="87">
        <v>-2</v>
      </c>
      <c r="D761" s="87" t="s">
        <v>210</v>
      </c>
      <c r="E761" s="87">
        <v>3</v>
      </c>
      <c r="F761" s="87">
        <v>4</v>
      </c>
      <c r="G761" s="87">
        <v>-3</v>
      </c>
      <c r="H761" s="87" t="s">
        <v>210</v>
      </c>
      <c r="I761" s="87" t="s">
        <v>210</v>
      </c>
      <c r="J761" s="87">
        <v>2</v>
      </c>
      <c r="K761" s="87">
        <v>-1</v>
      </c>
      <c r="BA761" s="95"/>
    </row>
    <row r="762" spans="1:53" s="87" customFormat="1">
      <c r="A762" s="90" t="str">
        <f t="shared" si="37"/>
        <v/>
      </c>
      <c r="B762" s="232">
        <v>7</v>
      </c>
      <c r="C762" s="233" t="s">
        <v>210</v>
      </c>
      <c r="D762" s="233">
        <v>-1</v>
      </c>
      <c r="E762" s="233">
        <v>-3</v>
      </c>
      <c r="F762" s="233">
        <v>1</v>
      </c>
      <c r="G762" s="233">
        <v>-2</v>
      </c>
      <c r="H762" s="233" t="s">
        <v>210</v>
      </c>
      <c r="I762" s="233">
        <v>4</v>
      </c>
      <c r="J762" s="233">
        <v>3</v>
      </c>
      <c r="K762" s="233" t="s">
        <v>210</v>
      </c>
      <c r="BA762" s="95"/>
    </row>
    <row r="763" spans="1:53" s="87" customFormat="1">
      <c r="A763" s="90" t="str">
        <f t="shared" si="37"/>
        <v/>
      </c>
      <c r="B763" s="87">
        <v>8</v>
      </c>
      <c r="C763" s="87" t="s">
        <v>210</v>
      </c>
      <c r="D763" s="87">
        <v>4</v>
      </c>
      <c r="E763" s="87">
        <v>2</v>
      </c>
      <c r="F763" s="87" t="s">
        <v>210</v>
      </c>
      <c r="G763" s="87" t="s">
        <v>210</v>
      </c>
      <c r="H763" s="87">
        <v>-3</v>
      </c>
      <c r="I763" s="87">
        <v>-1</v>
      </c>
      <c r="J763" s="87" t="s">
        <v>210</v>
      </c>
      <c r="K763" s="87">
        <v>-4</v>
      </c>
      <c r="BA763" s="95"/>
    </row>
    <row r="764" spans="1:53" s="87" customFormat="1">
      <c r="A764" s="90" t="str">
        <f t="shared" si="37"/>
        <v/>
      </c>
      <c r="B764" s="87">
        <v>9</v>
      </c>
      <c r="C764" s="87">
        <v>-3</v>
      </c>
      <c r="D764" s="87" t="s">
        <v>210</v>
      </c>
      <c r="E764" s="87">
        <v>-1</v>
      </c>
      <c r="F764" s="87" t="s">
        <v>210</v>
      </c>
      <c r="G764" s="87" t="s">
        <v>210</v>
      </c>
      <c r="H764" s="87">
        <v>2</v>
      </c>
      <c r="I764" s="87">
        <v>1</v>
      </c>
      <c r="J764" s="87">
        <v>4</v>
      </c>
      <c r="K764" s="87" t="s">
        <v>210</v>
      </c>
      <c r="BA764" s="95"/>
    </row>
    <row r="765" spans="1:53" s="87" customFormat="1">
      <c r="A765" s="90" t="str">
        <f t="shared" si="37"/>
        <v/>
      </c>
      <c r="B765" s="87">
        <v>10</v>
      </c>
      <c r="C765" s="87" t="s">
        <v>210</v>
      </c>
      <c r="D765" s="87" t="s">
        <v>210</v>
      </c>
      <c r="E765" s="87">
        <v>4</v>
      </c>
      <c r="F765" s="87">
        <v>2</v>
      </c>
      <c r="G765" s="87" t="s">
        <v>210</v>
      </c>
      <c r="H765" s="87">
        <v>3</v>
      </c>
      <c r="I765" s="87">
        <v>-2</v>
      </c>
      <c r="J765" s="87">
        <v>-4</v>
      </c>
      <c r="K765" s="87" t="s">
        <v>210</v>
      </c>
      <c r="BA765" s="95"/>
    </row>
    <row r="766" spans="1:53" s="87" customFormat="1">
      <c r="A766" s="90" t="str">
        <f t="shared" si="37"/>
        <v/>
      </c>
      <c r="B766" s="87">
        <v>11</v>
      </c>
      <c r="C766" s="87">
        <v>3</v>
      </c>
      <c r="D766" s="87" t="s">
        <v>210</v>
      </c>
      <c r="E766" s="87">
        <v>-2</v>
      </c>
      <c r="F766" s="87" t="s">
        <v>210</v>
      </c>
      <c r="G766" s="87">
        <v>-1</v>
      </c>
      <c r="H766" s="87">
        <v>-4</v>
      </c>
      <c r="I766" s="87">
        <v>2</v>
      </c>
      <c r="J766" s="87" t="s">
        <v>210</v>
      </c>
      <c r="K766" s="87" t="s">
        <v>210</v>
      </c>
      <c r="BA766" s="95"/>
    </row>
    <row r="767" spans="1:53" s="87" customFormat="1">
      <c r="A767" s="90" t="str">
        <f t="shared" si="37"/>
        <v/>
      </c>
      <c r="B767" s="87">
        <v>12</v>
      </c>
      <c r="C767" s="87" t="s">
        <v>210</v>
      </c>
      <c r="D767" s="87" t="s">
        <v>210</v>
      </c>
      <c r="E767" s="87">
        <v>-4</v>
      </c>
      <c r="F767" s="87" t="s">
        <v>210</v>
      </c>
      <c r="G767" s="87">
        <v>1</v>
      </c>
      <c r="H767" s="87">
        <v>-2</v>
      </c>
      <c r="I767" s="87">
        <v>-3</v>
      </c>
      <c r="J767" s="87" t="s">
        <v>210</v>
      </c>
      <c r="K767" s="87">
        <v>4</v>
      </c>
      <c r="BA767" s="95"/>
    </row>
    <row r="768" spans="1:53" s="87" customFormat="1">
      <c r="A768" s="90" t="str">
        <f t="shared" si="37"/>
        <v/>
      </c>
      <c r="B768" s="87">
        <v>13</v>
      </c>
      <c r="C768" s="87" t="s">
        <v>210</v>
      </c>
      <c r="D768" s="87">
        <v>-4</v>
      </c>
      <c r="E768" s="87">
        <v>1</v>
      </c>
      <c r="F768" s="87">
        <v>-2</v>
      </c>
      <c r="G768" s="87" t="s">
        <v>210</v>
      </c>
      <c r="H768" s="87">
        <v>4</v>
      </c>
      <c r="I768" s="87">
        <v>3</v>
      </c>
      <c r="J768" s="87" t="s">
        <v>210</v>
      </c>
      <c r="K768" s="87" t="s">
        <v>210</v>
      </c>
      <c r="BA768" s="95"/>
    </row>
    <row r="769" spans="1:53" s="87" customFormat="1">
      <c r="A769" s="90" t="str">
        <f t="shared" si="37"/>
        <v/>
      </c>
      <c r="B769" s="318" t="s">
        <v>921</v>
      </c>
      <c r="BA769" s="95"/>
    </row>
    <row r="770" spans="1:53" s="87" customFormat="1">
      <c r="A770" s="90">
        <f t="shared" si="37"/>
        <v>770</v>
      </c>
      <c r="B770" s="87" t="s">
        <v>926</v>
      </c>
      <c r="BA770" s="95"/>
    </row>
    <row r="771" spans="1:53" s="87" customFormat="1">
      <c r="A771" s="90" t="str">
        <f t="shared" si="37"/>
        <v/>
      </c>
      <c r="B771" s="87">
        <v>1</v>
      </c>
      <c r="C771" s="87">
        <v>-2</v>
      </c>
      <c r="D771" s="87" t="s">
        <v>210</v>
      </c>
      <c r="E771" s="87" t="s">
        <v>210</v>
      </c>
      <c r="F771" s="87">
        <v>4</v>
      </c>
      <c r="G771" s="87">
        <v>2</v>
      </c>
      <c r="H771" s="87" t="s">
        <v>210</v>
      </c>
      <c r="BA771" s="95"/>
    </row>
    <row r="772" spans="1:53" s="87" customFormat="1">
      <c r="A772" s="90" t="str">
        <f t="shared" si="37"/>
        <v/>
      </c>
      <c r="B772" s="87">
        <v>2</v>
      </c>
      <c r="C772" s="87">
        <v>1</v>
      </c>
      <c r="D772" s="87" t="s">
        <v>210</v>
      </c>
      <c r="E772" s="87" t="s">
        <v>210</v>
      </c>
      <c r="F772" s="87">
        <v>-3</v>
      </c>
      <c r="G772" s="87">
        <v>-2</v>
      </c>
      <c r="H772" s="87" t="s">
        <v>210</v>
      </c>
      <c r="BA772" s="95"/>
    </row>
    <row r="773" spans="1:53" s="87" customFormat="1">
      <c r="A773" s="90" t="str">
        <f t="shared" si="37"/>
        <v/>
      </c>
      <c r="B773" s="87">
        <v>3</v>
      </c>
      <c r="C773" s="87">
        <v>-1</v>
      </c>
      <c r="D773" s="87" t="s">
        <v>210</v>
      </c>
      <c r="E773" s="87" t="s">
        <v>210</v>
      </c>
      <c r="F773" s="87">
        <v>-4</v>
      </c>
      <c r="G773" s="87">
        <v>1</v>
      </c>
      <c r="H773" s="87" t="s">
        <v>210</v>
      </c>
      <c r="BA773" s="95"/>
    </row>
    <row r="774" spans="1:53" s="87" customFormat="1">
      <c r="A774" s="90" t="str">
        <f t="shared" si="37"/>
        <v/>
      </c>
      <c r="B774" s="232">
        <v>4</v>
      </c>
      <c r="C774" s="233">
        <v>2</v>
      </c>
      <c r="D774" s="233" t="s">
        <v>210</v>
      </c>
      <c r="E774" s="233" t="s">
        <v>210</v>
      </c>
      <c r="F774" s="233">
        <v>3</v>
      </c>
      <c r="G774" s="233">
        <v>-1</v>
      </c>
      <c r="H774" s="233" t="s">
        <v>210</v>
      </c>
      <c r="BA774" s="95"/>
    </row>
    <row r="775" spans="1:53" s="87" customFormat="1">
      <c r="A775" s="90" t="str">
        <f t="shared" si="37"/>
        <v/>
      </c>
      <c r="B775" s="87">
        <v>5</v>
      </c>
      <c r="C775" s="87">
        <v>-4</v>
      </c>
      <c r="D775" s="87" t="s">
        <v>210</v>
      </c>
      <c r="E775" s="87" t="s">
        <v>210</v>
      </c>
      <c r="F775" s="87">
        <v>1</v>
      </c>
      <c r="G775" s="87">
        <v>3</v>
      </c>
      <c r="H775" s="87" t="s">
        <v>210</v>
      </c>
      <c r="BA775" s="95"/>
    </row>
    <row r="776" spans="1:53" s="87" customFormat="1">
      <c r="A776" s="90" t="str">
        <f t="shared" si="37"/>
        <v/>
      </c>
      <c r="B776" s="87">
        <v>6</v>
      </c>
      <c r="C776" s="87">
        <v>3</v>
      </c>
      <c r="D776" s="87" t="s">
        <v>210</v>
      </c>
      <c r="E776" s="87" t="s">
        <v>210</v>
      </c>
      <c r="F776" s="87">
        <v>-2</v>
      </c>
      <c r="G776" s="87">
        <v>-3</v>
      </c>
      <c r="H776" s="87" t="s">
        <v>210</v>
      </c>
      <c r="BA776" s="95"/>
    </row>
    <row r="777" spans="1:53" s="87" customFormat="1">
      <c r="A777" s="90" t="str">
        <f t="shared" si="37"/>
        <v/>
      </c>
      <c r="B777" s="87">
        <v>7</v>
      </c>
      <c r="C777" s="87">
        <v>-3</v>
      </c>
      <c r="D777" s="87" t="s">
        <v>210</v>
      </c>
      <c r="E777" s="87" t="s">
        <v>210</v>
      </c>
      <c r="F777" s="87">
        <v>-1</v>
      </c>
      <c r="G777" s="87">
        <v>4</v>
      </c>
      <c r="H777" s="87" t="s">
        <v>210</v>
      </c>
      <c r="BA777" s="95"/>
    </row>
    <row r="778" spans="1:53" s="87" customFormat="1">
      <c r="A778" s="90" t="str">
        <f t="shared" si="37"/>
        <v/>
      </c>
      <c r="B778" s="232">
        <v>8</v>
      </c>
      <c r="C778" s="233">
        <v>4</v>
      </c>
      <c r="D778" s="233" t="s">
        <v>210</v>
      </c>
      <c r="E778" s="233" t="s">
        <v>210</v>
      </c>
      <c r="F778" s="233">
        <v>2</v>
      </c>
      <c r="G778" s="233">
        <v>-4</v>
      </c>
      <c r="H778" s="233" t="s">
        <v>210</v>
      </c>
      <c r="BA778" s="95"/>
    </row>
    <row r="779" spans="1:53" s="87" customFormat="1">
      <c r="A779" s="90" t="str">
        <f t="shared" si="37"/>
        <v/>
      </c>
      <c r="B779" s="87">
        <v>9</v>
      </c>
      <c r="C779" s="87" t="s">
        <v>210</v>
      </c>
      <c r="D779" s="87">
        <v>-4</v>
      </c>
      <c r="E779" s="87">
        <v>3</v>
      </c>
      <c r="F779" s="87" t="s">
        <v>210</v>
      </c>
      <c r="G779" s="87" t="s">
        <v>210</v>
      </c>
      <c r="H779" s="87">
        <v>-2</v>
      </c>
      <c r="BA779" s="95"/>
    </row>
    <row r="780" spans="1:53" s="87" customFormat="1">
      <c r="A780" s="90" t="str">
        <f t="shared" ref="A780:A843" si="38">IF(MID(B780,3,2)="04",ROW(),"")</f>
        <v/>
      </c>
      <c r="B780" s="87">
        <v>10</v>
      </c>
      <c r="C780" s="87" t="s">
        <v>210</v>
      </c>
      <c r="D780" s="87">
        <v>-1</v>
      </c>
      <c r="E780" s="87">
        <v>-4</v>
      </c>
      <c r="F780" s="87" t="s">
        <v>210</v>
      </c>
      <c r="G780" s="87" t="s">
        <v>210</v>
      </c>
      <c r="H780" s="87">
        <v>2</v>
      </c>
      <c r="BA780" s="95"/>
    </row>
    <row r="781" spans="1:53" s="87" customFormat="1">
      <c r="A781" s="90" t="str">
        <f t="shared" si="38"/>
        <v/>
      </c>
      <c r="B781" s="232">
        <v>11</v>
      </c>
      <c r="C781" s="233" t="s">
        <v>210</v>
      </c>
      <c r="D781" s="233">
        <v>1</v>
      </c>
      <c r="E781" s="233">
        <v>-3</v>
      </c>
      <c r="F781" s="233" t="s">
        <v>210</v>
      </c>
      <c r="G781" s="233" t="s">
        <v>210</v>
      </c>
      <c r="H781" s="233">
        <v>4</v>
      </c>
      <c r="BA781" s="95"/>
    </row>
    <row r="782" spans="1:53" s="87" customFormat="1">
      <c r="A782" s="90" t="str">
        <f t="shared" si="38"/>
        <v/>
      </c>
      <c r="B782" s="87">
        <v>12</v>
      </c>
      <c r="C782" s="87" t="s">
        <v>210</v>
      </c>
      <c r="D782" s="87">
        <v>4</v>
      </c>
      <c r="E782" s="87">
        <v>2</v>
      </c>
      <c r="F782" s="87" t="s">
        <v>210</v>
      </c>
      <c r="G782" s="87" t="s">
        <v>210</v>
      </c>
      <c r="H782" s="87">
        <v>1</v>
      </c>
      <c r="BA782" s="95"/>
    </row>
    <row r="783" spans="1:53" s="87" customFormat="1">
      <c r="A783" s="90" t="str">
        <f t="shared" si="38"/>
        <v/>
      </c>
      <c r="B783" s="87">
        <v>13</v>
      </c>
      <c r="C783" s="87" t="s">
        <v>210</v>
      </c>
      <c r="D783" s="87">
        <v>-3</v>
      </c>
      <c r="E783" s="87">
        <v>4</v>
      </c>
      <c r="F783" s="87" t="s">
        <v>210</v>
      </c>
      <c r="G783" s="87" t="s">
        <v>210</v>
      </c>
      <c r="H783" s="87">
        <v>-1</v>
      </c>
      <c r="BA783" s="95"/>
    </row>
    <row r="784" spans="1:53" s="87" customFormat="1">
      <c r="A784" s="90" t="str">
        <f t="shared" si="38"/>
        <v/>
      </c>
      <c r="B784" s="232">
        <v>14</v>
      </c>
      <c r="C784" s="233" t="s">
        <v>210</v>
      </c>
      <c r="D784" s="233">
        <v>3</v>
      </c>
      <c r="E784" s="233">
        <v>-2</v>
      </c>
      <c r="F784" s="233" t="s">
        <v>210</v>
      </c>
      <c r="G784" s="233" t="s">
        <v>210</v>
      </c>
      <c r="H784" s="233">
        <v>-4</v>
      </c>
      <c r="BA784" s="95"/>
    </row>
    <row r="785" spans="1:53" s="87" customFormat="1">
      <c r="A785" s="90" t="str">
        <f t="shared" si="38"/>
        <v/>
      </c>
      <c r="B785" s="87">
        <v>15</v>
      </c>
      <c r="C785" s="87" t="s">
        <v>210</v>
      </c>
      <c r="D785" s="87" t="s">
        <v>202</v>
      </c>
      <c r="E785" s="87">
        <v>1</v>
      </c>
      <c r="F785" s="87" t="s">
        <v>210</v>
      </c>
      <c r="G785" s="87" t="s">
        <v>210</v>
      </c>
      <c r="H785" s="87">
        <v>-3</v>
      </c>
      <c r="BA785" s="95"/>
    </row>
    <row r="786" spans="1:53" s="87" customFormat="1">
      <c r="A786" s="90" t="str">
        <f t="shared" si="38"/>
        <v/>
      </c>
      <c r="B786" s="87">
        <v>16</v>
      </c>
      <c r="C786" s="87" t="s">
        <v>210</v>
      </c>
      <c r="D786" s="87">
        <v>2</v>
      </c>
      <c r="E786" s="87">
        <v>-1</v>
      </c>
      <c r="F786" s="87" t="s">
        <v>210</v>
      </c>
      <c r="G786" s="87" t="s">
        <v>210</v>
      </c>
      <c r="H786" s="87" t="s">
        <v>202</v>
      </c>
      <c r="BA786" s="95"/>
    </row>
    <row r="787" spans="1:53" s="87" customFormat="1">
      <c r="A787" s="90" t="str">
        <f t="shared" si="38"/>
        <v/>
      </c>
      <c r="B787" s="87">
        <v>17</v>
      </c>
      <c r="C787" s="87" t="s">
        <v>210</v>
      </c>
      <c r="D787" s="87">
        <v>-2</v>
      </c>
      <c r="E787" s="87" t="s">
        <v>202</v>
      </c>
      <c r="F787" s="87" t="s">
        <v>210</v>
      </c>
      <c r="G787" s="87" t="s">
        <v>210</v>
      </c>
      <c r="H787" s="87">
        <v>3</v>
      </c>
      <c r="BA787" s="95"/>
    </row>
    <row r="788" spans="1:53" s="87" customFormat="1">
      <c r="A788" s="90" t="str">
        <f t="shared" si="38"/>
        <v/>
      </c>
      <c r="B788" s="318" t="s">
        <v>284</v>
      </c>
      <c r="BA788" s="95"/>
    </row>
    <row r="789" spans="1:53" s="87" customFormat="1">
      <c r="A789" s="90">
        <f t="shared" si="38"/>
        <v>789</v>
      </c>
      <c r="B789" s="87" t="s">
        <v>1007</v>
      </c>
      <c r="BA789" s="95"/>
    </row>
    <row r="790" spans="1:53" s="87" customFormat="1">
      <c r="A790" s="90" t="str">
        <f t="shared" si="38"/>
        <v/>
      </c>
      <c r="B790" s="87">
        <v>1</v>
      </c>
      <c r="C790" s="87">
        <v>-1</v>
      </c>
      <c r="D790" s="87" t="s">
        <v>210</v>
      </c>
      <c r="E790" s="87" t="s">
        <v>210</v>
      </c>
      <c r="F790" s="87">
        <v>4</v>
      </c>
      <c r="G790" s="87">
        <v>-3</v>
      </c>
      <c r="H790" s="87" t="s">
        <v>210</v>
      </c>
      <c r="I790" s="87" t="s">
        <v>210</v>
      </c>
      <c r="J790" s="87">
        <v>-2</v>
      </c>
      <c r="K790" s="87" t="s">
        <v>210</v>
      </c>
      <c r="L790" s="87" t="s">
        <v>210</v>
      </c>
      <c r="M790" s="87" t="s">
        <v>210</v>
      </c>
      <c r="N790" s="87">
        <v>1</v>
      </c>
      <c r="O790" s="87" t="s">
        <v>210</v>
      </c>
      <c r="P790" s="87" t="s">
        <v>210</v>
      </c>
      <c r="Q790" s="87">
        <v>2</v>
      </c>
      <c r="BA790" s="95"/>
    </row>
    <row r="791" spans="1:53" s="87" customFormat="1">
      <c r="A791" s="90" t="str">
        <f t="shared" si="38"/>
        <v/>
      </c>
      <c r="B791" s="87">
        <v>2</v>
      </c>
      <c r="C791" s="87" t="s">
        <v>210</v>
      </c>
      <c r="D791" s="87">
        <v>3</v>
      </c>
      <c r="E791" s="87">
        <v>4</v>
      </c>
      <c r="F791" s="87" t="s">
        <v>210</v>
      </c>
      <c r="G791" s="87" t="s">
        <v>210</v>
      </c>
      <c r="H791" s="87" t="s">
        <v>210</v>
      </c>
      <c r="I791" s="87" t="s">
        <v>210</v>
      </c>
      <c r="J791" s="87">
        <v>-1</v>
      </c>
      <c r="K791" s="87">
        <v>2</v>
      </c>
      <c r="L791" s="87" t="s">
        <v>210</v>
      </c>
      <c r="M791" s="87" t="s">
        <v>210</v>
      </c>
      <c r="N791" s="87">
        <v>-4</v>
      </c>
      <c r="O791" s="87" t="s">
        <v>210</v>
      </c>
      <c r="P791" s="87" t="s">
        <v>210</v>
      </c>
      <c r="Q791" s="87">
        <v>-2</v>
      </c>
      <c r="BA791" s="95"/>
    </row>
    <row r="792" spans="1:53" s="87" customFormat="1">
      <c r="A792" s="90" t="str">
        <f t="shared" si="38"/>
        <v/>
      </c>
      <c r="B792" s="87">
        <v>3</v>
      </c>
      <c r="C792" s="87" t="s">
        <v>210</v>
      </c>
      <c r="D792" s="87" t="s">
        <v>210</v>
      </c>
      <c r="E792" s="87" t="s">
        <v>210</v>
      </c>
      <c r="F792" s="87">
        <v>1</v>
      </c>
      <c r="G792" s="87">
        <v>2</v>
      </c>
      <c r="H792" s="87" t="s">
        <v>210</v>
      </c>
      <c r="I792" s="87" t="s">
        <v>210</v>
      </c>
      <c r="J792" s="87">
        <v>-4</v>
      </c>
      <c r="K792" s="87">
        <v>-2</v>
      </c>
      <c r="L792" s="87" t="s">
        <v>210</v>
      </c>
      <c r="M792" s="87" t="s">
        <v>210</v>
      </c>
      <c r="N792" s="87">
        <v>-1</v>
      </c>
      <c r="O792" s="87" t="s">
        <v>210</v>
      </c>
      <c r="P792" s="87" t="s">
        <v>210</v>
      </c>
      <c r="Q792" s="87">
        <v>3</v>
      </c>
      <c r="BA792" s="95"/>
    </row>
    <row r="793" spans="1:53" s="87" customFormat="1">
      <c r="A793" s="90" t="str">
        <f t="shared" si="38"/>
        <v/>
      </c>
      <c r="B793" s="235">
        <v>4</v>
      </c>
      <c r="C793" s="95">
        <v>-2</v>
      </c>
      <c r="D793" s="95" t="s">
        <v>210</v>
      </c>
      <c r="E793" s="95" t="s">
        <v>210</v>
      </c>
      <c r="F793" s="95" t="s">
        <v>210</v>
      </c>
      <c r="G793" s="87" t="s">
        <v>210</v>
      </c>
      <c r="H793" s="87">
        <v>3</v>
      </c>
      <c r="I793" s="87" t="s">
        <v>210</v>
      </c>
      <c r="J793" s="87">
        <v>2</v>
      </c>
      <c r="K793" s="87">
        <v>-1</v>
      </c>
      <c r="L793" s="87" t="s">
        <v>210</v>
      </c>
      <c r="M793" s="87" t="s">
        <v>210</v>
      </c>
      <c r="N793" s="87">
        <v>4</v>
      </c>
      <c r="O793" s="87" t="s">
        <v>210</v>
      </c>
      <c r="P793" s="87" t="s">
        <v>210</v>
      </c>
      <c r="Q793" s="87">
        <v>-3</v>
      </c>
      <c r="BA793" s="95"/>
    </row>
    <row r="794" spans="1:53" s="87" customFormat="1">
      <c r="A794" s="90" t="str">
        <f t="shared" si="38"/>
        <v/>
      </c>
      <c r="B794" s="235">
        <v>5</v>
      </c>
      <c r="C794" s="95" t="s">
        <v>210</v>
      </c>
      <c r="D794" s="95">
        <v>-3</v>
      </c>
      <c r="E794" s="95" t="s">
        <v>210</v>
      </c>
      <c r="F794" s="95">
        <v>-1</v>
      </c>
      <c r="G794" s="87">
        <v>3</v>
      </c>
      <c r="H794" s="87" t="s">
        <v>210</v>
      </c>
      <c r="I794" s="87" t="s">
        <v>210</v>
      </c>
      <c r="J794" s="87" t="s">
        <v>210</v>
      </c>
      <c r="K794" s="87">
        <v>1</v>
      </c>
      <c r="L794" s="87" t="s">
        <v>210</v>
      </c>
      <c r="M794" s="87" t="s">
        <v>210</v>
      </c>
      <c r="N794" s="87">
        <v>2</v>
      </c>
      <c r="O794" s="87">
        <v>-4</v>
      </c>
      <c r="P794" s="87" t="s">
        <v>210</v>
      </c>
      <c r="Q794" s="87" t="s">
        <v>210</v>
      </c>
      <c r="BA794" s="95"/>
    </row>
    <row r="795" spans="1:53" s="87" customFormat="1">
      <c r="A795" s="90" t="str">
        <f t="shared" si="38"/>
        <v/>
      </c>
      <c r="B795" s="235">
        <v>6</v>
      </c>
      <c r="C795" s="95">
        <v>2</v>
      </c>
      <c r="D795" s="95" t="s">
        <v>210</v>
      </c>
      <c r="E795" s="95" t="s">
        <v>210</v>
      </c>
      <c r="F795" s="95">
        <v>-4</v>
      </c>
      <c r="G795" s="87">
        <v>-2</v>
      </c>
      <c r="H795" s="87" t="s">
        <v>210</v>
      </c>
      <c r="I795" s="87" t="s">
        <v>210</v>
      </c>
      <c r="J795" s="87">
        <v>1</v>
      </c>
      <c r="K795" s="87">
        <v>-3</v>
      </c>
      <c r="L795" s="87" t="s">
        <v>210</v>
      </c>
      <c r="M795" s="87" t="s">
        <v>210</v>
      </c>
      <c r="N795" s="87" t="s">
        <v>210</v>
      </c>
      <c r="O795" s="87">
        <v>4</v>
      </c>
      <c r="P795" s="87" t="s">
        <v>210</v>
      </c>
      <c r="Q795" s="87" t="s">
        <v>210</v>
      </c>
      <c r="BA795" s="95"/>
    </row>
    <row r="796" spans="1:53" s="87" customFormat="1">
      <c r="A796" s="90" t="str">
        <f t="shared" si="38"/>
        <v/>
      </c>
      <c r="B796" s="235">
        <v>7</v>
      </c>
      <c r="C796" s="233">
        <v>1</v>
      </c>
      <c r="D796" s="233" t="s">
        <v>210</v>
      </c>
      <c r="E796" s="233">
        <v>-4</v>
      </c>
      <c r="F796" s="233" t="s">
        <v>210</v>
      </c>
      <c r="G796" s="233" t="s">
        <v>210</v>
      </c>
      <c r="H796" s="233">
        <v>-3</v>
      </c>
      <c r="I796" s="233" t="s">
        <v>210</v>
      </c>
      <c r="J796" s="233">
        <v>4</v>
      </c>
      <c r="K796" s="233">
        <v>3</v>
      </c>
      <c r="L796" s="233" t="s">
        <v>210</v>
      </c>
      <c r="M796" s="233" t="s">
        <v>210</v>
      </c>
      <c r="N796" s="233">
        <v>-2</v>
      </c>
      <c r="O796" s="233" t="s">
        <v>210</v>
      </c>
      <c r="P796" s="233" t="s">
        <v>210</v>
      </c>
      <c r="Q796" s="233" t="s">
        <v>210</v>
      </c>
      <c r="BA796" s="95"/>
    </row>
    <row r="797" spans="1:53" s="87" customFormat="1">
      <c r="A797" s="90" t="str">
        <f t="shared" si="38"/>
        <v/>
      </c>
      <c r="B797" s="235">
        <v>8</v>
      </c>
      <c r="C797" s="95" t="s">
        <v>210</v>
      </c>
      <c r="D797" s="95">
        <v>-2</v>
      </c>
      <c r="E797" s="95">
        <v>-3</v>
      </c>
      <c r="F797" s="95" t="s">
        <v>210</v>
      </c>
      <c r="G797" s="87">
        <v>-4</v>
      </c>
      <c r="H797" s="87" t="s">
        <v>210</v>
      </c>
      <c r="I797" s="87" t="s">
        <v>210</v>
      </c>
      <c r="J797" s="87" t="s">
        <v>210</v>
      </c>
      <c r="K797" s="87" t="s">
        <v>210</v>
      </c>
      <c r="L797" s="87">
        <v>2</v>
      </c>
      <c r="M797" s="87" t="s">
        <v>210</v>
      </c>
      <c r="N797" s="87">
        <v>3</v>
      </c>
      <c r="O797" s="87" t="s">
        <v>210</v>
      </c>
      <c r="P797" s="87" t="s">
        <v>210</v>
      </c>
      <c r="Q797" s="87">
        <v>1</v>
      </c>
      <c r="BA797" s="95"/>
    </row>
    <row r="798" spans="1:53" s="87" customFormat="1">
      <c r="A798" s="90" t="str">
        <f t="shared" si="38"/>
        <v/>
      </c>
      <c r="B798" s="235">
        <v>9</v>
      </c>
      <c r="C798" s="95">
        <v>3</v>
      </c>
      <c r="D798" s="95" t="s">
        <v>210</v>
      </c>
      <c r="E798" s="95" t="s">
        <v>210</v>
      </c>
      <c r="F798" s="95" t="s">
        <v>210</v>
      </c>
      <c r="G798" s="87" t="s">
        <v>210</v>
      </c>
      <c r="H798" s="87">
        <v>1</v>
      </c>
      <c r="I798" s="87" t="s">
        <v>210</v>
      </c>
      <c r="J798" s="87">
        <v>-3</v>
      </c>
      <c r="K798" s="87">
        <v>4</v>
      </c>
      <c r="L798" s="87" t="s">
        <v>210</v>
      </c>
      <c r="M798" s="87">
        <v>-2</v>
      </c>
      <c r="N798" s="87" t="s">
        <v>210</v>
      </c>
      <c r="O798" s="87" t="s">
        <v>210</v>
      </c>
      <c r="P798" s="87" t="s">
        <v>210</v>
      </c>
      <c r="Q798" s="87">
        <v>-1</v>
      </c>
      <c r="BA798" s="95"/>
    </row>
    <row r="799" spans="1:53" s="87" customFormat="1">
      <c r="A799" s="90" t="str">
        <f t="shared" si="38"/>
        <v/>
      </c>
      <c r="B799" s="235">
        <v>10</v>
      </c>
      <c r="C799" s="95" t="s">
        <v>210</v>
      </c>
      <c r="D799" s="95" t="s">
        <v>210</v>
      </c>
      <c r="E799" s="95" t="s">
        <v>210</v>
      </c>
      <c r="F799" s="95">
        <v>3</v>
      </c>
      <c r="G799" s="87">
        <v>-1</v>
      </c>
      <c r="H799" s="87" t="s">
        <v>210</v>
      </c>
      <c r="I799" s="87">
        <v>2</v>
      </c>
      <c r="J799" s="87" t="s">
        <v>210</v>
      </c>
      <c r="K799" s="87">
        <v>-4</v>
      </c>
      <c r="L799" s="87" t="s">
        <v>210</v>
      </c>
      <c r="M799" s="87" t="s">
        <v>210</v>
      </c>
      <c r="N799" s="87">
        <v>-3</v>
      </c>
      <c r="O799" s="87" t="s">
        <v>210</v>
      </c>
      <c r="P799" s="87" t="s">
        <v>210</v>
      </c>
      <c r="Q799" s="87">
        <v>4</v>
      </c>
      <c r="BA799" s="95"/>
    </row>
    <row r="800" spans="1:53" s="87" customFormat="1">
      <c r="A800" s="90" t="str">
        <f t="shared" si="38"/>
        <v/>
      </c>
      <c r="B800" s="235">
        <v>11</v>
      </c>
      <c r="C800" s="95" t="s">
        <v>210</v>
      </c>
      <c r="D800" s="95">
        <v>-1</v>
      </c>
      <c r="E800" s="95">
        <v>-2</v>
      </c>
      <c r="F800" s="95" t="s">
        <v>210</v>
      </c>
      <c r="G800" s="87">
        <v>4</v>
      </c>
      <c r="H800" s="87" t="s">
        <v>210</v>
      </c>
      <c r="I800" s="87" t="s">
        <v>210</v>
      </c>
      <c r="J800" s="87" t="s">
        <v>210</v>
      </c>
      <c r="K800" s="87" t="s">
        <v>210</v>
      </c>
      <c r="L800" s="87">
        <v>3</v>
      </c>
      <c r="M800" s="87">
        <v>2</v>
      </c>
      <c r="N800" s="87" t="s">
        <v>210</v>
      </c>
      <c r="O800" s="87" t="s">
        <v>210</v>
      </c>
      <c r="P800" s="87" t="s">
        <v>210</v>
      </c>
      <c r="Q800" s="87">
        <v>-4</v>
      </c>
      <c r="BA800" s="95"/>
    </row>
    <row r="801" spans="1:53" s="87" customFormat="1">
      <c r="A801" s="90" t="str">
        <f t="shared" si="38"/>
        <v/>
      </c>
      <c r="B801" s="235">
        <v>12</v>
      </c>
      <c r="C801" s="95" t="s">
        <v>210</v>
      </c>
      <c r="D801" s="95">
        <v>-4</v>
      </c>
      <c r="E801" s="95">
        <v>2</v>
      </c>
      <c r="F801" s="95" t="s">
        <v>210</v>
      </c>
      <c r="G801" s="87">
        <v>1</v>
      </c>
      <c r="H801" s="87" t="s">
        <v>210</v>
      </c>
      <c r="I801" s="87" t="s">
        <v>210</v>
      </c>
      <c r="J801" s="87">
        <v>3</v>
      </c>
      <c r="K801" s="87" t="s">
        <v>210</v>
      </c>
      <c r="L801" s="87">
        <v>-2</v>
      </c>
      <c r="M801" s="87" t="s">
        <v>210</v>
      </c>
      <c r="N801" s="87" t="s">
        <v>210</v>
      </c>
      <c r="O801" s="87">
        <v>-1</v>
      </c>
      <c r="P801" s="87" t="s">
        <v>210</v>
      </c>
      <c r="Q801" s="87" t="s">
        <v>210</v>
      </c>
      <c r="BA801" s="95"/>
    </row>
    <row r="802" spans="1:53" s="87" customFormat="1">
      <c r="A802" s="90" t="str">
        <f t="shared" si="38"/>
        <v/>
      </c>
      <c r="B802" s="235">
        <v>13</v>
      </c>
      <c r="C802" s="233">
        <v>4</v>
      </c>
      <c r="D802" s="233" t="s">
        <v>210</v>
      </c>
      <c r="E802" s="233">
        <v>3</v>
      </c>
      <c r="F802" s="233" t="s">
        <v>210</v>
      </c>
      <c r="G802" s="233" t="s">
        <v>210</v>
      </c>
      <c r="H802" s="233">
        <v>-1</v>
      </c>
      <c r="I802" s="233">
        <v>-2</v>
      </c>
      <c r="J802" s="233" t="s">
        <v>210</v>
      </c>
      <c r="K802" s="233" t="s">
        <v>210</v>
      </c>
      <c r="L802" s="233">
        <v>-3</v>
      </c>
      <c r="M802" s="233" t="s">
        <v>210</v>
      </c>
      <c r="N802" s="233" t="s">
        <v>210</v>
      </c>
      <c r="O802" s="233">
        <v>1</v>
      </c>
      <c r="P802" s="233" t="s">
        <v>210</v>
      </c>
      <c r="Q802" s="233" t="s">
        <v>210</v>
      </c>
      <c r="BA802" s="95"/>
    </row>
    <row r="803" spans="1:53" s="87" customFormat="1">
      <c r="A803" s="90" t="str">
        <f t="shared" si="38"/>
        <v/>
      </c>
      <c r="B803" s="235">
        <v>14</v>
      </c>
      <c r="C803" s="95" t="s">
        <v>210</v>
      </c>
      <c r="D803" s="95">
        <v>2</v>
      </c>
      <c r="E803" s="95">
        <v>1</v>
      </c>
      <c r="F803" s="95" t="s">
        <v>210</v>
      </c>
      <c r="G803" s="87" t="s">
        <v>210</v>
      </c>
      <c r="H803" s="87">
        <v>-2</v>
      </c>
      <c r="I803" s="87">
        <v>4</v>
      </c>
      <c r="J803" s="87" t="s">
        <v>210</v>
      </c>
      <c r="K803" s="87" t="s">
        <v>210</v>
      </c>
      <c r="L803" s="87" t="s">
        <v>210</v>
      </c>
      <c r="M803" s="87">
        <v>-1</v>
      </c>
      <c r="N803" s="87" t="s">
        <v>210</v>
      </c>
      <c r="O803" s="87">
        <v>-3</v>
      </c>
      <c r="P803" s="87" t="s">
        <v>210</v>
      </c>
      <c r="Q803" s="87" t="s">
        <v>210</v>
      </c>
      <c r="BA803" s="95"/>
    </row>
    <row r="804" spans="1:53" s="87" customFormat="1">
      <c r="A804" s="90" t="str">
        <f t="shared" si="38"/>
        <v/>
      </c>
      <c r="B804" s="235">
        <v>15</v>
      </c>
      <c r="C804" s="95">
        <v>-3</v>
      </c>
      <c r="D804" s="95" t="s">
        <v>210</v>
      </c>
      <c r="E804" s="95" t="s">
        <v>210</v>
      </c>
      <c r="F804" s="95">
        <v>2</v>
      </c>
      <c r="G804" s="87" t="s">
        <v>210</v>
      </c>
      <c r="H804" s="87">
        <v>-4</v>
      </c>
      <c r="I804" s="87">
        <v>-1</v>
      </c>
      <c r="J804" s="87" t="s">
        <v>210</v>
      </c>
      <c r="K804" s="87" t="s">
        <v>210</v>
      </c>
      <c r="L804" s="87" t="s">
        <v>210</v>
      </c>
      <c r="M804" s="87">
        <v>4</v>
      </c>
      <c r="N804" s="87" t="s">
        <v>210</v>
      </c>
      <c r="O804" s="87">
        <v>3</v>
      </c>
      <c r="P804" s="87" t="s">
        <v>210</v>
      </c>
      <c r="Q804" s="87" t="s">
        <v>210</v>
      </c>
      <c r="BA804" s="95"/>
    </row>
    <row r="805" spans="1:53" s="87" customFormat="1">
      <c r="A805" s="90" t="str">
        <f t="shared" si="38"/>
        <v/>
      </c>
      <c r="B805" s="87">
        <v>16</v>
      </c>
      <c r="C805" s="87" t="s">
        <v>210</v>
      </c>
      <c r="D805" s="87" t="s">
        <v>210</v>
      </c>
      <c r="E805" s="87" t="s">
        <v>210</v>
      </c>
      <c r="F805" s="87">
        <v>-3</v>
      </c>
      <c r="G805" s="87" t="s">
        <v>210</v>
      </c>
      <c r="H805" s="87">
        <v>4</v>
      </c>
      <c r="I805" s="87">
        <v>3</v>
      </c>
      <c r="J805" s="87" t="s">
        <v>210</v>
      </c>
      <c r="K805" s="87" t="s">
        <v>210</v>
      </c>
      <c r="L805" s="87">
        <v>-4</v>
      </c>
      <c r="M805" s="87">
        <v>1</v>
      </c>
      <c r="N805" s="87" t="s">
        <v>210</v>
      </c>
      <c r="O805" s="87">
        <v>-2</v>
      </c>
      <c r="P805" s="87" t="s">
        <v>210</v>
      </c>
      <c r="Q805" s="87" t="s">
        <v>210</v>
      </c>
      <c r="BA805" s="95"/>
    </row>
    <row r="806" spans="1:53" s="87" customFormat="1">
      <c r="A806" s="90" t="str">
        <f t="shared" si="38"/>
        <v/>
      </c>
      <c r="B806" s="87">
        <v>17</v>
      </c>
      <c r="C806" s="87" t="s">
        <v>210</v>
      </c>
      <c r="D806" s="87">
        <v>1</v>
      </c>
      <c r="E806" s="87" t="s">
        <v>210</v>
      </c>
      <c r="F806" s="87">
        <v>-2</v>
      </c>
      <c r="G806" s="87" t="s">
        <v>210</v>
      </c>
      <c r="H806" s="87" t="s">
        <v>210</v>
      </c>
      <c r="I806" s="87">
        <v>-4</v>
      </c>
      <c r="J806" s="87" t="s">
        <v>210</v>
      </c>
      <c r="K806" s="87" t="s">
        <v>210</v>
      </c>
      <c r="L806" s="87">
        <v>-1</v>
      </c>
      <c r="M806" s="87">
        <v>3</v>
      </c>
      <c r="N806" s="87" t="s">
        <v>210</v>
      </c>
      <c r="O806" s="87">
        <v>2</v>
      </c>
      <c r="P806" s="87" t="s">
        <v>210</v>
      </c>
      <c r="Q806" s="87" t="s">
        <v>210</v>
      </c>
      <c r="BA806" s="95"/>
    </row>
    <row r="807" spans="1:53" s="87" customFormat="1">
      <c r="A807" s="90" t="str">
        <f t="shared" si="38"/>
        <v/>
      </c>
      <c r="B807" s="318">
        <v>18</v>
      </c>
      <c r="C807" s="87" t="s">
        <v>210</v>
      </c>
      <c r="D807" s="87">
        <v>4</v>
      </c>
      <c r="E807" s="87">
        <v>-1</v>
      </c>
      <c r="F807" s="87" t="s">
        <v>210</v>
      </c>
      <c r="G807" s="87" t="s">
        <v>210</v>
      </c>
      <c r="H807" s="87" t="s">
        <v>210</v>
      </c>
      <c r="I807" s="87">
        <v>-3</v>
      </c>
      <c r="J807" s="87" t="s">
        <v>210</v>
      </c>
      <c r="K807" s="87" t="s">
        <v>210</v>
      </c>
      <c r="L807" s="87">
        <v>1</v>
      </c>
      <c r="M807" s="87">
        <v>-4</v>
      </c>
      <c r="N807" s="87" t="s">
        <v>210</v>
      </c>
      <c r="O807" s="87" t="s">
        <v>210</v>
      </c>
      <c r="P807" s="87">
        <v>2</v>
      </c>
      <c r="Q807" s="87" t="s">
        <v>210</v>
      </c>
      <c r="BA807" s="95"/>
    </row>
    <row r="808" spans="1:53" s="87" customFormat="1">
      <c r="A808" s="90" t="str">
        <f t="shared" si="38"/>
        <v/>
      </c>
      <c r="B808" s="87">
        <v>19</v>
      </c>
      <c r="C808" s="87">
        <v>-4</v>
      </c>
      <c r="D808" s="87" t="s">
        <v>210</v>
      </c>
      <c r="E808" s="87" t="s">
        <v>210</v>
      </c>
      <c r="F808" s="87" t="s">
        <v>210</v>
      </c>
      <c r="G808" s="87" t="s">
        <v>210</v>
      </c>
      <c r="H808" s="87">
        <v>2</v>
      </c>
      <c r="I808" s="87">
        <v>1</v>
      </c>
      <c r="J808" s="87" t="s">
        <v>210</v>
      </c>
      <c r="K808" s="87" t="s">
        <v>210</v>
      </c>
      <c r="L808" s="87">
        <v>4</v>
      </c>
      <c r="M808" s="87">
        <v>-3</v>
      </c>
      <c r="N808" s="87" t="s">
        <v>210</v>
      </c>
      <c r="O808" s="87" t="s">
        <v>210</v>
      </c>
      <c r="P808" s="87">
        <v>-2</v>
      </c>
      <c r="Q808" s="87" t="s">
        <v>210</v>
      </c>
      <c r="BA808" s="95"/>
    </row>
    <row r="809" spans="1:53" s="87" customFormat="1">
      <c r="A809" s="90" t="str">
        <f t="shared" si="38"/>
        <v/>
      </c>
      <c r="B809" s="318" t="s">
        <v>1008</v>
      </c>
      <c r="BA809" s="95"/>
    </row>
    <row r="810" spans="1:53" s="87" customFormat="1">
      <c r="A810" s="90">
        <f t="shared" si="38"/>
        <v>810</v>
      </c>
      <c r="B810" s="318" t="s">
        <v>1035</v>
      </c>
      <c r="BA810" s="95"/>
    </row>
    <row r="811" spans="1:53" s="87" customFormat="1">
      <c r="A811" s="90" t="str">
        <f t="shared" si="38"/>
        <v/>
      </c>
      <c r="B811" s="87">
        <v>1</v>
      </c>
      <c r="C811" s="87">
        <v>3</v>
      </c>
      <c r="D811" s="87" t="s">
        <v>210</v>
      </c>
      <c r="E811" s="87">
        <v>4</v>
      </c>
      <c r="F811" s="87" t="s">
        <v>210</v>
      </c>
      <c r="G811" s="87" t="s">
        <v>210</v>
      </c>
      <c r="H811" s="87">
        <v>1</v>
      </c>
      <c r="I811" s="87" t="s">
        <v>210</v>
      </c>
      <c r="J811" s="87">
        <v>-2</v>
      </c>
      <c r="K811" s="87" t="s">
        <v>202</v>
      </c>
      <c r="L811" s="87" t="s">
        <v>210</v>
      </c>
      <c r="M811" s="87">
        <v>-1</v>
      </c>
      <c r="N811" s="87" t="s">
        <v>210</v>
      </c>
      <c r="O811" s="87" t="s">
        <v>210</v>
      </c>
      <c r="P811" s="87">
        <v>-2</v>
      </c>
      <c r="Q811" s="87">
        <v>1</v>
      </c>
      <c r="R811" s="87" t="s">
        <v>210</v>
      </c>
      <c r="S811" s="87">
        <v>-4</v>
      </c>
      <c r="T811" s="87" t="s">
        <v>210</v>
      </c>
      <c r="U811" s="87" t="s">
        <v>202</v>
      </c>
      <c r="V811" s="87" t="s">
        <v>210</v>
      </c>
      <c r="W811" s="87">
        <v>2</v>
      </c>
      <c r="BA811" s="95"/>
    </row>
    <row r="812" spans="1:53" s="87" customFormat="1">
      <c r="A812" s="90" t="str">
        <f t="shared" si="38"/>
        <v/>
      </c>
      <c r="B812" s="87">
        <v>2</v>
      </c>
      <c r="C812" s="87" t="s">
        <v>210</v>
      </c>
      <c r="D812" s="87">
        <v>3</v>
      </c>
      <c r="E812" s="87">
        <v>-1</v>
      </c>
      <c r="F812" s="87" t="s">
        <v>210</v>
      </c>
      <c r="G812" s="87" t="s">
        <v>210</v>
      </c>
      <c r="H812" s="87">
        <v>-4</v>
      </c>
      <c r="I812" s="87">
        <v>2</v>
      </c>
      <c r="J812" s="87" t="s">
        <v>210</v>
      </c>
      <c r="K812" s="87" t="s">
        <v>210</v>
      </c>
      <c r="L812" s="87">
        <v>4</v>
      </c>
      <c r="M812" s="87" t="s">
        <v>202</v>
      </c>
      <c r="N812" s="87" t="s">
        <v>210</v>
      </c>
      <c r="O812" s="87" t="s">
        <v>210</v>
      </c>
      <c r="P812" s="87">
        <v>-3</v>
      </c>
      <c r="Q812" s="87">
        <v>-4</v>
      </c>
      <c r="R812" s="87" t="s">
        <v>210</v>
      </c>
      <c r="S812" s="87" t="s">
        <v>202</v>
      </c>
      <c r="T812" s="87" t="s">
        <v>210</v>
      </c>
      <c r="U812" s="87">
        <v>1</v>
      </c>
      <c r="V812" s="87" t="s">
        <v>210</v>
      </c>
      <c r="W812" s="87">
        <v>-2</v>
      </c>
      <c r="BA812" s="95"/>
    </row>
    <row r="813" spans="1:53" s="87" customFormat="1">
      <c r="A813" s="90" t="str">
        <f t="shared" si="38"/>
        <v/>
      </c>
      <c r="B813" s="87">
        <v>3</v>
      </c>
      <c r="C813" s="87" t="s">
        <v>210</v>
      </c>
      <c r="D813" s="87">
        <v>1</v>
      </c>
      <c r="E813" s="87" t="s">
        <v>202</v>
      </c>
      <c r="F813" s="87" t="s">
        <v>210</v>
      </c>
      <c r="G813" s="87" t="s">
        <v>210</v>
      </c>
      <c r="H813" s="87">
        <v>-3</v>
      </c>
      <c r="I813" s="87">
        <v>-1</v>
      </c>
      <c r="J813" s="87" t="s">
        <v>210</v>
      </c>
      <c r="K813" s="87" t="s">
        <v>210</v>
      </c>
      <c r="L813" s="87">
        <v>-4</v>
      </c>
      <c r="M813" s="87">
        <v>2</v>
      </c>
      <c r="N813" s="87" t="s">
        <v>210</v>
      </c>
      <c r="O813" s="87">
        <v>4</v>
      </c>
      <c r="P813" s="87" t="s">
        <v>210</v>
      </c>
      <c r="Q813" s="87">
        <v>-2</v>
      </c>
      <c r="R813" s="87" t="s">
        <v>210</v>
      </c>
      <c r="S813" s="87">
        <v>4</v>
      </c>
      <c r="T813" s="87" t="s">
        <v>210</v>
      </c>
      <c r="U813" s="87" t="s">
        <v>202</v>
      </c>
      <c r="V813" s="87" t="s">
        <v>210</v>
      </c>
      <c r="W813" s="87">
        <v>3</v>
      </c>
      <c r="BA813" s="95"/>
    </row>
    <row r="814" spans="1:53" s="87" customFormat="1">
      <c r="A814" s="90" t="str">
        <f t="shared" si="38"/>
        <v/>
      </c>
      <c r="B814" s="87">
        <v>4</v>
      </c>
      <c r="C814" s="87" t="s">
        <v>210</v>
      </c>
      <c r="D814" s="87">
        <v>-4</v>
      </c>
      <c r="E814" s="87">
        <v>3</v>
      </c>
      <c r="F814" s="87" t="s">
        <v>210</v>
      </c>
      <c r="G814" s="87" t="s">
        <v>210</v>
      </c>
      <c r="H814" s="87">
        <v>-2</v>
      </c>
      <c r="I814" s="87">
        <v>4</v>
      </c>
      <c r="J814" s="87" t="s">
        <v>210</v>
      </c>
      <c r="K814" s="87" t="s">
        <v>210</v>
      </c>
      <c r="L814" s="87">
        <v>-3</v>
      </c>
      <c r="M814" s="87">
        <v>4</v>
      </c>
      <c r="N814" s="87" t="s">
        <v>210</v>
      </c>
      <c r="O814" s="87" t="s">
        <v>210</v>
      </c>
      <c r="P814" s="87">
        <v>2</v>
      </c>
      <c r="Q814" s="87" t="s">
        <v>202</v>
      </c>
      <c r="R814" s="87" t="s">
        <v>210</v>
      </c>
      <c r="S814" s="87" t="s">
        <v>202</v>
      </c>
      <c r="T814" s="87" t="s">
        <v>210</v>
      </c>
      <c r="U814" s="87">
        <v>-1</v>
      </c>
      <c r="V814" s="87" t="s">
        <v>210</v>
      </c>
      <c r="W814" s="87">
        <v>-3</v>
      </c>
      <c r="BA814" s="95"/>
    </row>
    <row r="815" spans="1:53" s="87" customFormat="1">
      <c r="A815" s="90" t="str">
        <f t="shared" si="38"/>
        <v/>
      </c>
      <c r="B815" s="87">
        <v>5</v>
      </c>
      <c r="C815" s="87" t="s">
        <v>202</v>
      </c>
      <c r="D815" s="87" t="s">
        <v>210</v>
      </c>
      <c r="E815" s="87">
        <v>-2</v>
      </c>
      <c r="F815" s="87" t="s">
        <v>210</v>
      </c>
      <c r="G815" s="87" t="s">
        <v>210</v>
      </c>
      <c r="H815" s="87">
        <v>-1</v>
      </c>
      <c r="I815" s="87">
        <v>-3</v>
      </c>
      <c r="J815" s="87" t="s">
        <v>210</v>
      </c>
      <c r="K815" s="87" t="s">
        <v>210</v>
      </c>
      <c r="L815" s="87">
        <v>1</v>
      </c>
      <c r="M815" s="87">
        <v>-4</v>
      </c>
      <c r="N815" s="87" t="s">
        <v>210</v>
      </c>
      <c r="O815" s="87" t="s">
        <v>210</v>
      </c>
      <c r="P815" s="87">
        <v>3</v>
      </c>
      <c r="Q815" s="87">
        <v>2</v>
      </c>
      <c r="R815" s="87" t="s">
        <v>210</v>
      </c>
      <c r="S815" s="87" t="s">
        <v>210</v>
      </c>
      <c r="T815" s="87">
        <v>-3</v>
      </c>
      <c r="U815" s="87" t="s">
        <v>202</v>
      </c>
      <c r="V815" s="87" t="s">
        <v>210</v>
      </c>
      <c r="W815" s="87">
        <v>1</v>
      </c>
      <c r="BA815" s="95"/>
    </row>
    <row r="816" spans="1:53" s="87" customFormat="1">
      <c r="A816" s="90" t="str">
        <f t="shared" si="38"/>
        <v/>
      </c>
      <c r="B816" s="87">
        <v>6</v>
      </c>
      <c r="C816" s="87" t="s">
        <v>210</v>
      </c>
      <c r="D816" s="87">
        <v>-1</v>
      </c>
      <c r="E816" s="87" t="s">
        <v>202</v>
      </c>
      <c r="F816" s="87" t="s">
        <v>210</v>
      </c>
      <c r="G816" s="87">
        <v>3</v>
      </c>
      <c r="H816" s="87" t="s">
        <v>210</v>
      </c>
      <c r="I816" s="87">
        <v>-2</v>
      </c>
      <c r="J816" s="87" t="s">
        <v>210</v>
      </c>
      <c r="K816" s="87" t="s">
        <v>210</v>
      </c>
      <c r="L816" s="87">
        <v>3</v>
      </c>
      <c r="M816" s="87">
        <v>1</v>
      </c>
      <c r="N816" s="87" t="s">
        <v>210</v>
      </c>
      <c r="O816" s="87" t="s">
        <v>210</v>
      </c>
      <c r="P816" s="87">
        <v>4</v>
      </c>
      <c r="Q816" s="87">
        <v>-3</v>
      </c>
      <c r="R816" s="87" t="s">
        <v>210</v>
      </c>
      <c r="S816" s="87" t="s">
        <v>210</v>
      </c>
      <c r="T816" s="87">
        <v>2</v>
      </c>
      <c r="U816" s="87" t="s">
        <v>202</v>
      </c>
      <c r="V816" s="87" t="s">
        <v>210</v>
      </c>
      <c r="W816" s="87">
        <v>-1</v>
      </c>
      <c r="BA816" s="95"/>
    </row>
    <row r="817" spans="1:53" s="87" customFormat="1">
      <c r="A817" s="90" t="str">
        <f t="shared" si="38"/>
        <v/>
      </c>
      <c r="B817" s="87">
        <v>7</v>
      </c>
      <c r="C817" s="87" t="s">
        <v>202</v>
      </c>
      <c r="D817" s="87" t="s">
        <v>210</v>
      </c>
      <c r="E817" s="87">
        <v>-3</v>
      </c>
      <c r="F817" s="87" t="s">
        <v>210</v>
      </c>
      <c r="G817" s="87" t="s">
        <v>210</v>
      </c>
      <c r="H817" s="87">
        <v>4</v>
      </c>
      <c r="I817" s="87">
        <v>1</v>
      </c>
      <c r="J817" s="87" t="s">
        <v>210</v>
      </c>
      <c r="K817" s="87" t="s">
        <v>210</v>
      </c>
      <c r="L817" s="87">
        <v>-2</v>
      </c>
      <c r="M817" s="87">
        <v>3</v>
      </c>
      <c r="N817" s="87" t="s">
        <v>210</v>
      </c>
      <c r="O817" s="87" t="s">
        <v>210</v>
      </c>
      <c r="P817" s="87">
        <v>-4</v>
      </c>
      <c r="Q817" s="87">
        <v>-1</v>
      </c>
      <c r="R817" s="87" t="s">
        <v>210</v>
      </c>
      <c r="S817" s="87" t="s">
        <v>210</v>
      </c>
      <c r="T817" s="87">
        <v>3</v>
      </c>
      <c r="U817" s="87" t="s">
        <v>202</v>
      </c>
      <c r="V817" s="87" t="s">
        <v>210</v>
      </c>
      <c r="W817" s="87">
        <v>-4</v>
      </c>
      <c r="BA817" s="95"/>
    </row>
    <row r="818" spans="1:53" s="87" customFormat="1">
      <c r="A818" s="90" t="str">
        <f t="shared" si="38"/>
        <v/>
      </c>
      <c r="B818" s="87">
        <v>8</v>
      </c>
      <c r="C818" s="87" t="s">
        <v>210</v>
      </c>
      <c r="D818" s="87">
        <v>-3</v>
      </c>
      <c r="E818" s="87">
        <v>-4</v>
      </c>
      <c r="F818" s="87" t="s">
        <v>210</v>
      </c>
      <c r="G818" s="87" t="s">
        <v>210</v>
      </c>
      <c r="H818" s="87">
        <v>2</v>
      </c>
      <c r="I818" s="87">
        <v>3</v>
      </c>
      <c r="J818" s="87" t="s">
        <v>210</v>
      </c>
      <c r="K818" s="87" t="s">
        <v>202</v>
      </c>
      <c r="L818" s="87" t="s">
        <v>210</v>
      </c>
      <c r="M818" s="87">
        <v>-2</v>
      </c>
      <c r="N818" s="87" t="s">
        <v>210</v>
      </c>
      <c r="O818" s="87" t="s">
        <v>210</v>
      </c>
      <c r="P818" s="87">
        <v>1</v>
      </c>
      <c r="Q818" s="87">
        <v>3</v>
      </c>
      <c r="R818" s="87" t="s">
        <v>210</v>
      </c>
      <c r="S818" s="87" t="s">
        <v>210</v>
      </c>
      <c r="T818" s="87">
        <v>-1</v>
      </c>
      <c r="U818" s="87" t="s">
        <v>202</v>
      </c>
      <c r="V818" s="87" t="s">
        <v>210</v>
      </c>
      <c r="W818" s="87">
        <v>4</v>
      </c>
      <c r="BA818" s="95"/>
    </row>
    <row r="819" spans="1:53" s="87" customFormat="1">
      <c r="A819" s="90" t="str">
        <f t="shared" si="38"/>
        <v/>
      </c>
      <c r="B819" s="87">
        <v>9</v>
      </c>
      <c r="C819" s="87">
        <v>-3</v>
      </c>
      <c r="D819" s="87" t="s">
        <v>210</v>
      </c>
      <c r="E819" s="87">
        <v>2</v>
      </c>
      <c r="F819" s="87" t="s">
        <v>210</v>
      </c>
      <c r="G819" s="87" t="s">
        <v>210</v>
      </c>
      <c r="H819" s="87">
        <v>3</v>
      </c>
      <c r="I819" s="87">
        <v>-4</v>
      </c>
      <c r="J819" s="87" t="s">
        <v>210</v>
      </c>
      <c r="K819" s="87" t="s">
        <v>210</v>
      </c>
      <c r="L819" s="87">
        <v>2</v>
      </c>
      <c r="M819" s="87" t="s">
        <v>202</v>
      </c>
      <c r="N819" s="87" t="s">
        <v>210</v>
      </c>
      <c r="O819" s="87" t="s">
        <v>210</v>
      </c>
      <c r="P819" s="87">
        <v>-1</v>
      </c>
      <c r="Q819" s="87">
        <v>4</v>
      </c>
      <c r="R819" s="87" t="s">
        <v>210</v>
      </c>
      <c r="S819" s="87" t="s">
        <v>210</v>
      </c>
      <c r="T819" s="87">
        <v>-2</v>
      </c>
      <c r="U819" s="87">
        <v>-3</v>
      </c>
      <c r="V819" s="87" t="s">
        <v>210</v>
      </c>
      <c r="W819" s="87" t="s">
        <v>210</v>
      </c>
      <c r="BA819" s="95"/>
    </row>
    <row r="820" spans="1:53" s="87" customFormat="1">
      <c r="A820" s="90" t="str">
        <f t="shared" si="38"/>
        <v/>
      </c>
      <c r="B820" s="87">
        <v>10</v>
      </c>
      <c r="C820" s="233" t="s">
        <v>210</v>
      </c>
      <c r="D820" s="233">
        <v>4</v>
      </c>
      <c r="E820" s="233">
        <v>1</v>
      </c>
      <c r="F820" s="233" t="s">
        <v>210</v>
      </c>
      <c r="G820" s="233">
        <v>-3</v>
      </c>
      <c r="H820" s="233" t="s">
        <v>210</v>
      </c>
      <c r="I820" s="233" t="s">
        <v>210</v>
      </c>
      <c r="J820" s="233">
        <v>2</v>
      </c>
      <c r="K820" s="233" t="s">
        <v>210</v>
      </c>
      <c r="L820" s="233">
        <v>-1</v>
      </c>
      <c r="M820" s="233">
        <v>-3</v>
      </c>
      <c r="N820" s="233" t="s">
        <v>210</v>
      </c>
      <c r="O820" s="233">
        <v>-4</v>
      </c>
      <c r="P820" s="233" t="s">
        <v>210</v>
      </c>
      <c r="Q820" s="233" t="s">
        <v>202</v>
      </c>
      <c r="R820" s="233" t="s">
        <v>210</v>
      </c>
      <c r="S820" s="233" t="s">
        <v>210</v>
      </c>
      <c r="T820" s="233">
        <v>1</v>
      </c>
      <c r="U820" s="233">
        <v>3</v>
      </c>
      <c r="V820" s="233" t="s">
        <v>210</v>
      </c>
      <c r="W820" s="233" t="s">
        <v>210</v>
      </c>
      <c r="BA820" s="95"/>
    </row>
    <row r="821" spans="1:53" s="87" customFormat="1">
      <c r="A821" s="90" t="str">
        <f t="shared" si="38"/>
        <v/>
      </c>
      <c r="B821" s="87">
        <v>11</v>
      </c>
      <c r="C821" s="87">
        <v>1</v>
      </c>
      <c r="D821" s="87" t="s">
        <v>210</v>
      </c>
      <c r="E821" s="87" t="s">
        <v>210</v>
      </c>
      <c r="F821" s="87">
        <v>2</v>
      </c>
      <c r="G821" s="87" t="s">
        <v>202</v>
      </c>
      <c r="H821" s="87" t="s">
        <v>210</v>
      </c>
      <c r="I821" s="87" t="s">
        <v>210</v>
      </c>
      <c r="J821" s="87">
        <v>-3</v>
      </c>
      <c r="K821" s="87">
        <v>-1</v>
      </c>
      <c r="L821" s="87" t="s">
        <v>210</v>
      </c>
      <c r="M821" s="87" t="s">
        <v>210</v>
      </c>
      <c r="N821" s="87">
        <v>4</v>
      </c>
      <c r="O821" s="87">
        <v>-2</v>
      </c>
      <c r="P821" s="87" t="s">
        <v>210</v>
      </c>
      <c r="Q821" s="87" t="s">
        <v>210</v>
      </c>
      <c r="R821" s="87">
        <v>3</v>
      </c>
      <c r="S821" s="87" t="s">
        <v>202</v>
      </c>
      <c r="T821" s="87" t="s">
        <v>210</v>
      </c>
      <c r="U821" s="87">
        <v>-4</v>
      </c>
      <c r="V821" s="87" t="s">
        <v>210</v>
      </c>
      <c r="W821" s="87" t="s">
        <v>210</v>
      </c>
      <c r="BA821" s="95"/>
    </row>
    <row r="822" spans="1:53" s="87" customFormat="1">
      <c r="A822" s="90" t="str">
        <f t="shared" si="38"/>
        <v/>
      </c>
      <c r="B822" s="87">
        <v>12</v>
      </c>
      <c r="C822" s="87" t="s">
        <v>210</v>
      </c>
      <c r="D822" s="87">
        <v>2</v>
      </c>
      <c r="E822" s="87" t="s">
        <v>210</v>
      </c>
      <c r="F822" s="87">
        <v>1</v>
      </c>
      <c r="G822" s="87">
        <v>-2</v>
      </c>
      <c r="H822" s="87" t="s">
        <v>210</v>
      </c>
      <c r="I822" s="87" t="s">
        <v>202</v>
      </c>
      <c r="J822" s="87" t="s">
        <v>210</v>
      </c>
      <c r="K822" s="87">
        <v>-3</v>
      </c>
      <c r="L822" s="87" t="s">
        <v>210</v>
      </c>
      <c r="M822" s="87" t="s">
        <v>210</v>
      </c>
      <c r="N822" s="87">
        <v>-1</v>
      </c>
      <c r="O822" s="87" t="s">
        <v>202</v>
      </c>
      <c r="P822" s="87" t="s">
        <v>210</v>
      </c>
      <c r="Q822" s="87" t="s">
        <v>210</v>
      </c>
      <c r="R822" s="87">
        <v>2</v>
      </c>
      <c r="S822" s="87">
        <v>-1</v>
      </c>
      <c r="T822" s="87" t="s">
        <v>210</v>
      </c>
      <c r="U822" s="87">
        <v>4</v>
      </c>
      <c r="V822" s="87" t="s">
        <v>210</v>
      </c>
      <c r="W822" s="87" t="s">
        <v>210</v>
      </c>
      <c r="BA822" s="95"/>
    </row>
    <row r="823" spans="1:53" s="87" customFormat="1">
      <c r="A823" s="90" t="str">
        <f t="shared" si="38"/>
        <v/>
      </c>
      <c r="B823" s="87">
        <v>13</v>
      </c>
      <c r="C823" s="87">
        <v>-1</v>
      </c>
      <c r="D823" s="87" t="s">
        <v>210</v>
      </c>
      <c r="E823" s="87" t="s">
        <v>210</v>
      </c>
      <c r="F823" s="87">
        <v>3</v>
      </c>
      <c r="G823" s="87" t="s">
        <v>202</v>
      </c>
      <c r="H823" s="87" t="s">
        <v>210</v>
      </c>
      <c r="I823" s="87" t="s">
        <v>210</v>
      </c>
      <c r="J823" s="87">
        <v>4</v>
      </c>
      <c r="K823" s="87">
        <v>2</v>
      </c>
      <c r="L823" s="87" t="s">
        <v>210</v>
      </c>
      <c r="M823" s="87" t="s">
        <v>210</v>
      </c>
      <c r="N823" s="87">
        <v>-3</v>
      </c>
      <c r="O823" s="87" t="s">
        <v>202</v>
      </c>
      <c r="P823" s="87" t="s">
        <v>210</v>
      </c>
      <c r="Q823" s="87" t="s">
        <v>210</v>
      </c>
      <c r="R823" s="87">
        <v>-4</v>
      </c>
      <c r="S823" s="87">
        <v>1</v>
      </c>
      <c r="T823" s="87" t="s">
        <v>210</v>
      </c>
      <c r="U823" s="87">
        <v>-2</v>
      </c>
      <c r="V823" s="87" t="s">
        <v>210</v>
      </c>
      <c r="W823" s="87" t="s">
        <v>210</v>
      </c>
      <c r="BA823" s="95"/>
    </row>
    <row r="824" spans="1:53" s="87" customFormat="1">
      <c r="A824" s="90" t="str">
        <f t="shared" si="38"/>
        <v/>
      </c>
      <c r="B824" s="87">
        <v>14</v>
      </c>
      <c r="C824" s="87">
        <v>-4</v>
      </c>
      <c r="D824" s="87" t="s">
        <v>210</v>
      </c>
      <c r="E824" s="87" t="s">
        <v>210</v>
      </c>
      <c r="F824" s="87">
        <v>-1</v>
      </c>
      <c r="G824" s="87" t="s">
        <v>202</v>
      </c>
      <c r="H824" s="87" t="s">
        <v>210</v>
      </c>
      <c r="I824" s="87" t="s">
        <v>210</v>
      </c>
      <c r="J824" s="87">
        <v>3</v>
      </c>
      <c r="K824" s="87">
        <v>-4</v>
      </c>
      <c r="L824" s="87" t="s">
        <v>210</v>
      </c>
      <c r="M824" s="87" t="s">
        <v>202</v>
      </c>
      <c r="N824" s="87" t="s">
        <v>210</v>
      </c>
      <c r="O824" s="87">
        <v>-3</v>
      </c>
      <c r="P824" s="87" t="s">
        <v>210</v>
      </c>
      <c r="Q824" s="87" t="s">
        <v>210</v>
      </c>
      <c r="R824" s="87">
        <v>1</v>
      </c>
      <c r="S824" s="87" t="s">
        <v>210</v>
      </c>
      <c r="T824" s="87">
        <v>4</v>
      </c>
      <c r="U824" s="87">
        <v>2</v>
      </c>
      <c r="V824" s="87" t="s">
        <v>210</v>
      </c>
      <c r="W824" s="87" t="s">
        <v>210</v>
      </c>
      <c r="BA824" s="95"/>
    </row>
    <row r="825" spans="1:53" s="87" customFormat="1">
      <c r="A825" s="90" t="str">
        <f t="shared" si="38"/>
        <v/>
      </c>
      <c r="B825" s="87">
        <v>15</v>
      </c>
      <c r="C825" s="87">
        <v>4</v>
      </c>
      <c r="D825" s="87" t="s">
        <v>210</v>
      </c>
      <c r="E825" s="87" t="s">
        <v>210</v>
      </c>
      <c r="F825" s="87">
        <v>-2</v>
      </c>
      <c r="G825" s="87">
        <v>1</v>
      </c>
      <c r="H825" s="87" t="s">
        <v>210</v>
      </c>
      <c r="I825" s="87" t="s">
        <v>210</v>
      </c>
      <c r="J825" s="87">
        <v>-4</v>
      </c>
      <c r="K825" s="87" t="s">
        <v>202</v>
      </c>
      <c r="L825" s="87" t="s">
        <v>210</v>
      </c>
      <c r="M825" s="87" t="s">
        <v>210</v>
      </c>
      <c r="N825" s="87">
        <v>2</v>
      </c>
      <c r="O825" s="87">
        <v>-1</v>
      </c>
      <c r="P825" s="87" t="s">
        <v>210</v>
      </c>
      <c r="Q825" s="87" t="s">
        <v>210</v>
      </c>
      <c r="R825" s="87">
        <v>-2</v>
      </c>
      <c r="S825" s="87">
        <v>3</v>
      </c>
      <c r="T825" s="87" t="s">
        <v>210</v>
      </c>
      <c r="U825" s="87" t="s">
        <v>202</v>
      </c>
      <c r="V825" s="87" t="s">
        <v>210</v>
      </c>
      <c r="W825" s="87" t="s">
        <v>210</v>
      </c>
      <c r="BA825" s="95"/>
    </row>
    <row r="826" spans="1:53" s="87" customFormat="1">
      <c r="A826" s="90" t="str">
        <f t="shared" si="38"/>
        <v/>
      </c>
      <c r="B826" s="87">
        <v>16</v>
      </c>
      <c r="C826" s="87">
        <v>2</v>
      </c>
      <c r="D826" s="87" t="s">
        <v>210</v>
      </c>
      <c r="E826" s="87" t="s">
        <v>210</v>
      </c>
      <c r="F826" s="87">
        <v>-3</v>
      </c>
      <c r="G826" s="87">
        <v>4</v>
      </c>
      <c r="H826" s="87" t="s">
        <v>210</v>
      </c>
      <c r="I826" s="87" t="s">
        <v>210</v>
      </c>
      <c r="J826" s="87">
        <v>1</v>
      </c>
      <c r="K826" s="87">
        <v>3</v>
      </c>
      <c r="L826" s="87" t="s">
        <v>210</v>
      </c>
      <c r="M826" s="87" t="s">
        <v>210</v>
      </c>
      <c r="N826" s="87">
        <v>-4</v>
      </c>
      <c r="O826" s="87" t="s">
        <v>202</v>
      </c>
      <c r="P826" s="87" t="s">
        <v>210</v>
      </c>
      <c r="Q826" s="87" t="s">
        <v>210</v>
      </c>
      <c r="R826" s="87">
        <v>-1</v>
      </c>
      <c r="S826" s="87">
        <v>-3</v>
      </c>
      <c r="T826" s="87" t="s">
        <v>210</v>
      </c>
      <c r="U826" s="87" t="s">
        <v>202</v>
      </c>
      <c r="V826" s="87" t="s">
        <v>210</v>
      </c>
      <c r="W826" s="87" t="s">
        <v>210</v>
      </c>
      <c r="BA826" s="95"/>
    </row>
    <row r="827" spans="1:53" s="87" customFormat="1">
      <c r="A827" s="90" t="str">
        <f t="shared" si="38"/>
        <v/>
      </c>
      <c r="B827" s="87">
        <v>17</v>
      </c>
      <c r="C827" s="87" t="s">
        <v>202</v>
      </c>
      <c r="D827" s="87" t="s">
        <v>210</v>
      </c>
      <c r="E827" s="87" t="s">
        <v>210</v>
      </c>
      <c r="F827" s="87">
        <v>-4</v>
      </c>
      <c r="G827" s="87">
        <v>2</v>
      </c>
      <c r="H827" s="87" t="s">
        <v>210</v>
      </c>
      <c r="I827" s="87" t="s">
        <v>210</v>
      </c>
      <c r="J827" s="87">
        <v>-1</v>
      </c>
      <c r="K827" s="87">
        <v>4</v>
      </c>
      <c r="L827" s="87" t="s">
        <v>210</v>
      </c>
      <c r="M827" s="87" t="s">
        <v>210</v>
      </c>
      <c r="N827" s="87">
        <v>3</v>
      </c>
      <c r="O827" s="87">
        <v>1</v>
      </c>
      <c r="P827" s="87" t="s">
        <v>210</v>
      </c>
      <c r="Q827" s="87" t="s">
        <v>210</v>
      </c>
      <c r="R827" s="87">
        <v>-3</v>
      </c>
      <c r="S827" s="87">
        <v>-2</v>
      </c>
      <c r="T827" s="87" t="s">
        <v>210</v>
      </c>
      <c r="U827" s="87" t="s">
        <v>202</v>
      </c>
      <c r="V827" s="87" t="s">
        <v>210</v>
      </c>
      <c r="W827" s="87" t="s">
        <v>210</v>
      </c>
      <c r="BA827" s="95"/>
    </row>
    <row r="828" spans="1:53" s="87" customFormat="1">
      <c r="A828" s="90" t="str">
        <f t="shared" si="38"/>
        <v/>
      </c>
      <c r="B828" s="87">
        <v>18</v>
      </c>
      <c r="C828" s="87" t="s">
        <v>210</v>
      </c>
      <c r="D828" s="87">
        <v>-2</v>
      </c>
      <c r="E828" s="87" t="s">
        <v>202</v>
      </c>
      <c r="F828" s="87" t="s">
        <v>210</v>
      </c>
      <c r="G828" s="87">
        <v>-4</v>
      </c>
      <c r="H828" s="87" t="s">
        <v>210</v>
      </c>
      <c r="I828" s="87" t="s">
        <v>202</v>
      </c>
      <c r="J828" s="87" t="s">
        <v>210</v>
      </c>
      <c r="K828" s="87">
        <v>1</v>
      </c>
      <c r="L828" s="87" t="s">
        <v>210</v>
      </c>
      <c r="M828" s="87" t="s">
        <v>210</v>
      </c>
      <c r="N828" s="87">
        <v>-2</v>
      </c>
      <c r="O828" s="87">
        <v>3</v>
      </c>
      <c r="P828" s="87" t="s">
        <v>210</v>
      </c>
      <c r="Q828" s="87" t="s">
        <v>210</v>
      </c>
      <c r="R828" s="87">
        <v>4</v>
      </c>
      <c r="S828" s="87">
        <v>2</v>
      </c>
      <c r="T828" s="87" t="s">
        <v>210</v>
      </c>
      <c r="U828" s="87" t="s">
        <v>210</v>
      </c>
      <c r="V828" s="87">
        <v>-3</v>
      </c>
      <c r="W828" s="87" t="s">
        <v>210</v>
      </c>
      <c r="BA828" s="95"/>
    </row>
    <row r="829" spans="1:53" s="87" customFormat="1">
      <c r="A829" s="90" t="str">
        <f t="shared" si="38"/>
        <v/>
      </c>
      <c r="B829" s="87">
        <v>19</v>
      </c>
      <c r="C829" s="87">
        <v>-2</v>
      </c>
      <c r="D829" s="87" t="s">
        <v>210</v>
      </c>
      <c r="E829" s="87" t="s">
        <v>210</v>
      </c>
      <c r="F829" s="87">
        <v>4</v>
      </c>
      <c r="G829" s="87">
        <v>-1</v>
      </c>
      <c r="H829" s="87" t="s">
        <v>210</v>
      </c>
      <c r="I829" s="87" t="s">
        <v>202</v>
      </c>
      <c r="J829" s="87" t="s">
        <v>210</v>
      </c>
      <c r="K829" s="87">
        <v>-2</v>
      </c>
      <c r="L829" s="87" t="s">
        <v>210</v>
      </c>
      <c r="M829" s="87" t="s">
        <v>210</v>
      </c>
      <c r="N829" s="87">
        <v>1</v>
      </c>
      <c r="O829" s="87">
        <v>2</v>
      </c>
      <c r="P829" s="87" t="s">
        <v>210</v>
      </c>
      <c r="Q829" s="87" t="s">
        <v>202</v>
      </c>
      <c r="R829" s="87" t="s">
        <v>210</v>
      </c>
      <c r="S829" s="87" t="s">
        <v>210</v>
      </c>
      <c r="T829" s="87">
        <v>-4</v>
      </c>
      <c r="U829" s="87" t="s">
        <v>210</v>
      </c>
      <c r="V829" s="87">
        <v>3</v>
      </c>
      <c r="W829" s="87" t="s">
        <v>210</v>
      </c>
      <c r="BA829" s="95"/>
    </row>
    <row r="830" spans="1:53" s="87" customFormat="1">
      <c r="A830" s="90" t="str">
        <f t="shared" si="38"/>
        <v/>
      </c>
      <c r="B830" s="318" t="s">
        <v>1015</v>
      </c>
      <c r="BA830" s="95"/>
    </row>
    <row r="831" spans="1:53" s="87" customFormat="1">
      <c r="A831" s="90">
        <f t="shared" si="38"/>
        <v>831</v>
      </c>
      <c r="B831" s="87" t="s">
        <v>1024</v>
      </c>
      <c r="BA831" s="95"/>
    </row>
    <row r="832" spans="1:53" s="87" customFormat="1">
      <c r="A832" s="90" t="str">
        <f t="shared" si="38"/>
        <v/>
      </c>
      <c r="B832" s="87">
        <v>1</v>
      </c>
      <c r="C832" s="87" t="s">
        <v>210</v>
      </c>
      <c r="D832" s="87">
        <v>1</v>
      </c>
      <c r="E832" s="87">
        <v>3</v>
      </c>
      <c r="F832" s="87" t="s">
        <v>210</v>
      </c>
      <c r="G832" s="87" t="s">
        <v>210</v>
      </c>
      <c r="H832" s="87">
        <v>-2</v>
      </c>
      <c r="I832" s="87">
        <v>-4</v>
      </c>
      <c r="J832" s="87" t="s">
        <v>210</v>
      </c>
      <c r="K832" s="87" t="s">
        <v>202</v>
      </c>
      <c r="L832" s="87" t="s">
        <v>210</v>
      </c>
      <c r="M832" s="87" t="s">
        <v>210</v>
      </c>
      <c r="N832" s="87">
        <v>-1</v>
      </c>
      <c r="O832" s="87">
        <v>4</v>
      </c>
      <c r="P832" s="87" t="s">
        <v>210</v>
      </c>
      <c r="Q832" s="87" t="s">
        <v>210</v>
      </c>
      <c r="R832" s="87">
        <v>-3</v>
      </c>
      <c r="S832" s="87">
        <v>-1</v>
      </c>
      <c r="T832" s="87" t="s">
        <v>210</v>
      </c>
      <c r="U832" s="87">
        <v>-3</v>
      </c>
      <c r="V832" s="87" t="s">
        <v>210</v>
      </c>
      <c r="W832" s="87">
        <v>2</v>
      </c>
      <c r="X832" s="87" t="s">
        <v>210</v>
      </c>
      <c r="Y832" s="87">
        <v>4</v>
      </c>
      <c r="Z832" s="87" t="s">
        <v>210</v>
      </c>
      <c r="AA832" s="87">
        <v>2</v>
      </c>
      <c r="AB832" s="87" t="s">
        <v>210</v>
      </c>
      <c r="BA832" s="95"/>
    </row>
    <row r="833" spans="1:53" s="87" customFormat="1">
      <c r="A833" s="90" t="str">
        <f t="shared" si="38"/>
        <v/>
      </c>
      <c r="B833" s="87">
        <v>2</v>
      </c>
      <c r="C833" s="87" t="s">
        <v>202</v>
      </c>
      <c r="D833" s="87" t="s">
        <v>210</v>
      </c>
      <c r="E833" s="87" t="s">
        <v>210</v>
      </c>
      <c r="F833" s="87">
        <v>3</v>
      </c>
      <c r="G833" s="87">
        <v>-1</v>
      </c>
      <c r="H833" s="87" t="s">
        <v>210</v>
      </c>
      <c r="I833" s="87">
        <v>-2</v>
      </c>
      <c r="J833" s="87" t="s">
        <v>210</v>
      </c>
      <c r="K833" s="87" t="s">
        <v>210</v>
      </c>
      <c r="L833" s="87">
        <v>3</v>
      </c>
      <c r="M833" s="87">
        <v>4</v>
      </c>
      <c r="N833" s="87" t="s">
        <v>210</v>
      </c>
      <c r="O833" s="87" t="s">
        <v>210</v>
      </c>
      <c r="P833" s="87">
        <v>-1</v>
      </c>
      <c r="Q833" s="87">
        <v>4</v>
      </c>
      <c r="R833" s="87" t="s">
        <v>210</v>
      </c>
      <c r="S833" s="87" t="s">
        <v>210</v>
      </c>
      <c r="T833" s="87">
        <v>2</v>
      </c>
      <c r="U833" s="87">
        <v>-4</v>
      </c>
      <c r="V833" s="87" t="s">
        <v>210</v>
      </c>
      <c r="W833" s="87">
        <v>1</v>
      </c>
      <c r="X833" s="87" t="s">
        <v>210</v>
      </c>
      <c r="Y833" s="87">
        <v>-3</v>
      </c>
      <c r="Z833" s="87" t="s">
        <v>210</v>
      </c>
      <c r="AA833" s="87">
        <v>-2</v>
      </c>
      <c r="AB833" s="87" t="s">
        <v>210</v>
      </c>
      <c r="BA833" s="95"/>
    </row>
    <row r="834" spans="1:53" s="87" customFormat="1">
      <c r="A834" s="90" t="str">
        <f t="shared" si="38"/>
        <v/>
      </c>
      <c r="B834" s="87">
        <v>3</v>
      </c>
      <c r="C834" s="87">
        <v>-4</v>
      </c>
      <c r="D834" s="87" t="s">
        <v>210</v>
      </c>
      <c r="E834" s="87" t="s">
        <v>210</v>
      </c>
      <c r="F834" s="87">
        <v>-3</v>
      </c>
      <c r="G834" s="87">
        <v>2</v>
      </c>
      <c r="H834" s="87" t="s">
        <v>210</v>
      </c>
      <c r="I834" s="87" t="s">
        <v>210</v>
      </c>
      <c r="J834" s="87">
        <v>3</v>
      </c>
      <c r="K834" s="87">
        <v>1</v>
      </c>
      <c r="L834" s="87" t="s">
        <v>210</v>
      </c>
      <c r="M834" s="87">
        <v>-2</v>
      </c>
      <c r="N834" s="87" t="s">
        <v>210</v>
      </c>
      <c r="O834" s="87">
        <v>-4</v>
      </c>
      <c r="P834" s="87" t="s">
        <v>210</v>
      </c>
      <c r="Q834" s="87">
        <v>3</v>
      </c>
      <c r="R834" s="87" t="s">
        <v>210</v>
      </c>
      <c r="S834" s="87" t="s">
        <v>202</v>
      </c>
      <c r="T834" s="87" t="s">
        <v>210</v>
      </c>
      <c r="U834" s="87" t="s">
        <v>210</v>
      </c>
      <c r="V834" s="87">
        <v>-1</v>
      </c>
      <c r="W834" s="87">
        <v>4</v>
      </c>
      <c r="X834" s="87" t="s">
        <v>210</v>
      </c>
      <c r="Y834" s="87" t="s">
        <v>210</v>
      </c>
      <c r="Z834" s="87">
        <v>2</v>
      </c>
      <c r="AA834" s="87">
        <v>-3</v>
      </c>
      <c r="AB834" s="87" t="s">
        <v>210</v>
      </c>
      <c r="BA834" s="95"/>
    </row>
    <row r="835" spans="1:53" s="87" customFormat="1">
      <c r="A835" s="90" t="str">
        <f t="shared" si="38"/>
        <v/>
      </c>
      <c r="B835" s="87">
        <v>4</v>
      </c>
      <c r="C835" s="87">
        <v>-1</v>
      </c>
      <c r="D835" s="87" t="s">
        <v>210</v>
      </c>
      <c r="E835" s="87">
        <v>2</v>
      </c>
      <c r="F835" s="87" t="s">
        <v>210</v>
      </c>
      <c r="G835" s="87">
        <v>-3</v>
      </c>
      <c r="H835" s="87" t="s">
        <v>210</v>
      </c>
      <c r="I835" s="87" t="s">
        <v>210</v>
      </c>
      <c r="J835" s="87">
        <v>4</v>
      </c>
      <c r="K835" s="87">
        <v>-2</v>
      </c>
      <c r="L835" s="87" t="s">
        <v>210</v>
      </c>
      <c r="M835" s="87" t="s">
        <v>210</v>
      </c>
      <c r="N835" s="87">
        <v>1</v>
      </c>
      <c r="O835" s="87">
        <v>-2</v>
      </c>
      <c r="P835" s="87" t="s">
        <v>210</v>
      </c>
      <c r="Q835" s="87" t="s">
        <v>210</v>
      </c>
      <c r="R835" s="87">
        <v>-4</v>
      </c>
      <c r="S835" s="87">
        <v>3</v>
      </c>
      <c r="T835" s="87" t="s">
        <v>210</v>
      </c>
      <c r="U835" s="87">
        <v>4</v>
      </c>
      <c r="V835" s="87" t="s">
        <v>210</v>
      </c>
      <c r="W835" s="87" t="s">
        <v>202</v>
      </c>
      <c r="X835" s="87" t="s">
        <v>210</v>
      </c>
      <c r="Y835" s="87" t="s">
        <v>210</v>
      </c>
      <c r="Z835" s="87">
        <v>-1</v>
      </c>
      <c r="AA835" s="87">
        <v>3</v>
      </c>
      <c r="AB835" s="87" t="s">
        <v>210</v>
      </c>
      <c r="BA835" s="95"/>
    </row>
    <row r="836" spans="1:53" s="87" customFormat="1">
      <c r="A836" s="90" t="str">
        <f t="shared" si="38"/>
        <v/>
      </c>
      <c r="B836" s="87">
        <v>5</v>
      </c>
      <c r="C836" s="87" t="s">
        <v>210</v>
      </c>
      <c r="D836" s="87">
        <v>3</v>
      </c>
      <c r="E836" s="87">
        <v>-4</v>
      </c>
      <c r="F836" s="87" t="s">
        <v>210</v>
      </c>
      <c r="G836" s="87" t="s">
        <v>210</v>
      </c>
      <c r="H836" s="87">
        <v>2</v>
      </c>
      <c r="I836" s="87">
        <v>-1</v>
      </c>
      <c r="J836" s="87" t="s">
        <v>210</v>
      </c>
      <c r="K836" s="87">
        <v>4</v>
      </c>
      <c r="L836" s="87" t="s">
        <v>210</v>
      </c>
      <c r="M836" s="87">
        <v>-3</v>
      </c>
      <c r="N836" s="87" t="s">
        <v>210</v>
      </c>
      <c r="O836" s="87" t="s">
        <v>202</v>
      </c>
      <c r="P836" s="87" t="s">
        <v>210</v>
      </c>
      <c r="Q836" s="87">
        <v>1</v>
      </c>
      <c r="R836" s="87" t="s">
        <v>210</v>
      </c>
      <c r="S836" s="87">
        <v>-3</v>
      </c>
      <c r="T836" s="87" t="s">
        <v>210</v>
      </c>
      <c r="U836" s="87" t="s">
        <v>210</v>
      </c>
      <c r="V836" s="87">
        <v>2</v>
      </c>
      <c r="W836" s="87">
        <v>-1</v>
      </c>
      <c r="X836" s="87" t="s">
        <v>210</v>
      </c>
      <c r="Y836" s="87" t="s">
        <v>210</v>
      </c>
      <c r="Z836" s="87">
        <v>-2</v>
      </c>
      <c r="AA836" s="87">
        <v>4</v>
      </c>
      <c r="AB836" s="87" t="s">
        <v>210</v>
      </c>
      <c r="BA836" s="95"/>
    </row>
    <row r="837" spans="1:53" s="87" customFormat="1">
      <c r="A837" s="90" t="str">
        <f t="shared" si="38"/>
        <v/>
      </c>
      <c r="B837" s="87">
        <v>6</v>
      </c>
      <c r="C837" s="87">
        <v>1</v>
      </c>
      <c r="D837" s="87" t="s">
        <v>210</v>
      </c>
      <c r="E837" s="87" t="s">
        <v>210</v>
      </c>
      <c r="F837" s="87">
        <v>-2</v>
      </c>
      <c r="G837" s="87" t="s">
        <v>202</v>
      </c>
      <c r="H837" s="87" t="s">
        <v>210</v>
      </c>
      <c r="I837" s="87">
        <v>-3</v>
      </c>
      <c r="J837" s="87" t="s">
        <v>210</v>
      </c>
      <c r="K837" s="87" t="s">
        <v>210</v>
      </c>
      <c r="L837" s="87">
        <v>2</v>
      </c>
      <c r="M837" s="87">
        <v>-1</v>
      </c>
      <c r="N837" s="87" t="s">
        <v>210</v>
      </c>
      <c r="O837" s="87" t="s">
        <v>210</v>
      </c>
      <c r="P837" s="87">
        <v>-4</v>
      </c>
      <c r="Q837" s="87">
        <v>2</v>
      </c>
      <c r="R837" s="87" t="s">
        <v>210</v>
      </c>
      <c r="S837" s="87">
        <v>4</v>
      </c>
      <c r="T837" s="87" t="s">
        <v>210</v>
      </c>
      <c r="U837" s="87" t="s">
        <v>210</v>
      </c>
      <c r="V837" s="87">
        <v>1</v>
      </c>
      <c r="W837" s="87">
        <v>-2</v>
      </c>
      <c r="X837" s="87" t="s">
        <v>210</v>
      </c>
      <c r="Y837" s="87">
        <v>3</v>
      </c>
      <c r="Z837" s="87" t="s">
        <v>210</v>
      </c>
      <c r="AA837" s="87">
        <v>-4</v>
      </c>
      <c r="AB837" s="87" t="s">
        <v>210</v>
      </c>
      <c r="BA837" s="95"/>
    </row>
    <row r="838" spans="1:53" s="87" customFormat="1">
      <c r="A838" s="90" t="str">
        <f t="shared" si="38"/>
        <v/>
      </c>
      <c r="B838" s="87">
        <v>7</v>
      </c>
      <c r="C838" s="87" t="s">
        <v>210</v>
      </c>
      <c r="D838" s="87">
        <v>-3</v>
      </c>
      <c r="E838" s="87">
        <v>-2</v>
      </c>
      <c r="F838" s="87" t="s">
        <v>210</v>
      </c>
      <c r="G838" s="87" t="s">
        <v>210</v>
      </c>
      <c r="H838" s="87">
        <v>4</v>
      </c>
      <c r="I838" s="87">
        <v>3</v>
      </c>
      <c r="J838" s="87" t="s">
        <v>210</v>
      </c>
      <c r="K838" s="87">
        <v>-1</v>
      </c>
      <c r="L838" s="87" t="s">
        <v>210</v>
      </c>
      <c r="M838" s="87" t="s">
        <v>210</v>
      </c>
      <c r="N838" s="87">
        <v>2</v>
      </c>
      <c r="O838" s="87">
        <v>3</v>
      </c>
      <c r="P838" s="87" t="s">
        <v>210</v>
      </c>
      <c r="Q838" s="87" t="s">
        <v>202</v>
      </c>
      <c r="R838" s="87" t="s">
        <v>210</v>
      </c>
      <c r="S838" s="87" t="s">
        <v>210</v>
      </c>
      <c r="T838" s="87">
        <v>-2</v>
      </c>
      <c r="U838" s="87">
        <v>1</v>
      </c>
      <c r="V838" s="87" t="s">
        <v>210</v>
      </c>
      <c r="W838" s="87">
        <v>-3</v>
      </c>
      <c r="X838" s="87" t="s">
        <v>210</v>
      </c>
      <c r="Y838" s="87">
        <v>-4</v>
      </c>
      <c r="Z838" s="87" t="s">
        <v>210</v>
      </c>
      <c r="AA838" s="87">
        <v>1</v>
      </c>
      <c r="AB838" s="87" t="s">
        <v>210</v>
      </c>
      <c r="BA838" s="95"/>
    </row>
    <row r="839" spans="1:53" s="87" customFormat="1">
      <c r="A839" s="90" t="str">
        <f t="shared" si="38"/>
        <v/>
      </c>
      <c r="B839" s="87">
        <v>8</v>
      </c>
      <c r="C839" s="87">
        <v>3</v>
      </c>
      <c r="D839" s="87" t="s">
        <v>210</v>
      </c>
      <c r="E839" s="87" t="s">
        <v>210</v>
      </c>
      <c r="F839" s="87">
        <v>2</v>
      </c>
      <c r="G839" s="87">
        <v>1</v>
      </c>
      <c r="H839" s="87" t="s">
        <v>210</v>
      </c>
      <c r="I839" s="87" t="s">
        <v>210</v>
      </c>
      <c r="J839" s="87">
        <v>-3</v>
      </c>
      <c r="K839" s="87">
        <v>-4</v>
      </c>
      <c r="L839" s="87" t="s">
        <v>210</v>
      </c>
      <c r="M839" s="87" t="s">
        <v>202</v>
      </c>
      <c r="N839" s="87" t="s">
        <v>210</v>
      </c>
      <c r="O839" s="87">
        <v>-1</v>
      </c>
      <c r="P839" s="87" t="s">
        <v>210</v>
      </c>
      <c r="Q839" s="87" t="s">
        <v>210</v>
      </c>
      <c r="R839" s="87">
        <v>4</v>
      </c>
      <c r="S839" s="87">
        <v>-2</v>
      </c>
      <c r="T839" s="87" t="s">
        <v>210</v>
      </c>
      <c r="U839" s="87">
        <v>3</v>
      </c>
      <c r="V839" s="87" t="s">
        <v>210</v>
      </c>
      <c r="W839" s="87" t="s">
        <v>210</v>
      </c>
      <c r="X839" s="87">
        <v>-4</v>
      </c>
      <c r="Y839" s="87">
        <v>2</v>
      </c>
      <c r="Z839" s="87" t="s">
        <v>210</v>
      </c>
      <c r="AA839" s="87">
        <v>-1</v>
      </c>
      <c r="AB839" s="87" t="s">
        <v>210</v>
      </c>
      <c r="BA839" s="95"/>
    </row>
    <row r="840" spans="1:53" s="87" customFormat="1">
      <c r="A840" s="90" t="str">
        <f t="shared" si="38"/>
        <v/>
      </c>
      <c r="B840" s="87">
        <v>9</v>
      </c>
      <c r="C840" s="87">
        <v>4</v>
      </c>
      <c r="D840" s="87" t="s">
        <v>210</v>
      </c>
      <c r="E840" s="87">
        <v>-3</v>
      </c>
      <c r="F840" s="87" t="s">
        <v>210</v>
      </c>
      <c r="G840" s="87">
        <v>-4</v>
      </c>
      <c r="H840" s="87" t="s">
        <v>210</v>
      </c>
      <c r="I840" s="87" t="s">
        <v>202</v>
      </c>
      <c r="J840" s="87" t="s">
        <v>210</v>
      </c>
      <c r="K840" s="87">
        <v>2</v>
      </c>
      <c r="L840" s="87" t="s">
        <v>210</v>
      </c>
      <c r="M840" s="87">
        <v>3</v>
      </c>
      <c r="N840" s="87" t="s">
        <v>210</v>
      </c>
      <c r="O840" s="87" t="s">
        <v>210</v>
      </c>
      <c r="P840" s="87">
        <v>1</v>
      </c>
      <c r="Q840" s="87">
        <v>-2</v>
      </c>
      <c r="R840" s="87" t="s">
        <v>210</v>
      </c>
      <c r="S840" s="87" t="s">
        <v>210</v>
      </c>
      <c r="T840" s="87">
        <v>4</v>
      </c>
      <c r="U840" s="87">
        <v>-1</v>
      </c>
      <c r="V840" s="87" t="s">
        <v>210</v>
      </c>
      <c r="W840" s="87" t="s">
        <v>210</v>
      </c>
      <c r="X840" s="87">
        <v>3</v>
      </c>
      <c r="Y840" s="87">
        <v>-2</v>
      </c>
      <c r="Z840" s="87" t="s">
        <v>210</v>
      </c>
      <c r="AA840" s="87" t="s">
        <v>210</v>
      </c>
      <c r="AB840" s="87">
        <v>-3</v>
      </c>
      <c r="BA840" s="95"/>
    </row>
    <row r="841" spans="1:53" s="87" customFormat="1">
      <c r="A841" s="90" t="str">
        <f t="shared" si="38"/>
        <v/>
      </c>
      <c r="B841" s="87">
        <v>10</v>
      </c>
      <c r="C841" s="87">
        <v>-2</v>
      </c>
      <c r="D841" s="87" t="s">
        <v>210</v>
      </c>
      <c r="E841" s="87" t="s">
        <v>202</v>
      </c>
      <c r="F841" s="87" t="s">
        <v>210</v>
      </c>
      <c r="G841" s="87" t="s">
        <v>210</v>
      </c>
      <c r="H841" s="87">
        <v>-4</v>
      </c>
      <c r="I841" s="87">
        <v>1</v>
      </c>
      <c r="J841" s="87" t="s">
        <v>210</v>
      </c>
      <c r="K841" s="87" t="s">
        <v>210</v>
      </c>
      <c r="L841" s="87">
        <v>-2</v>
      </c>
      <c r="M841" s="87">
        <v>-4</v>
      </c>
      <c r="N841" s="87" t="s">
        <v>210</v>
      </c>
      <c r="O841" s="87">
        <v>2</v>
      </c>
      <c r="P841" s="87" t="s">
        <v>210</v>
      </c>
      <c r="Q841" s="87">
        <v>-3</v>
      </c>
      <c r="R841" s="87" t="s">
        <v>210</v>
      </c>
      <c r="S841" s="87">
        <v>1</v>
      </c>
      <c r="T841" s="87" t="s">
        <v>210</v>
      </c>
      <c r="U841" s="87">
        <v>2</v>
      </c>
      <c r="V841" s="87" t="s">
        <v>210</v>
      </c>
      <c r="W841" s="87" t="s">
        <v>210</v>
      </c>
      <c r="X841" s="87">
        <v>4</v>
      </c>
      <c r="Y841" s="87">
        <v>-1</v>
      </c>
      <c r="Z841" s="87" t="s">
        <v>210</v>
      </c>
      <c r="AA841" s="87" t="s">
        <v>210</v>
      </c>
      <c r="AB841" s="87">
        <v>3</v>
      </c>
      <c r="BA841" s="95"/>
    </row>
    <row r="842" spans="1:53" s="87" customFormat="1">
      <c r="A842" s="90" t="str">
        <f t="shared" si="38"/>
        <v/>
      </c>
      <c r="B842" s="87">
        <v>11</v>
      </c>
      <c r="C842" s="87" t="s">
        <v>210</v>
      </c>
      <c r="D842" s="87">
        <v>-1</v>
      </c>
      <c r="E842" s="87">
        <v>4</v>
      </c>
      <c r="F842" s="87" t="s">
        <v>210</v>
      </c>
      <c r="G842" s="87">
        <v>-2</v>
      </c>
      <c r="H842" s="87" t="s">
        <v>210</v>
      </c>
      <c r="I842" s="87" t="s">
        <v>210</v>
      </c>
      <c r="J842" s="87">
        <v>-4</v>
      </c>
      <c r="K842" s="87">
        <v>3</v>
      </c>
      <c r="L842" s="87" t="s">
        <v>210</v>
      </c>
      <c r="M842" s="87">
        <v>1</v>
      </c>
      <c r="N842" s="87" t="s">
        <v>210</v>
      </c>
      <c r="O842" s="87">
        <v>-3</v>
      </c>
      <c r="P842" s="87" t="s">
        <v>210</v>
      </c>
      <c r="Q842" s="87">
        <v>-4</v>
      </c>
      <c r="R842" s="87" t="s">
        <v>210</v>
      </c>
      <c r="S842" s="87">
        <v>2</v>
      </c>
      <c r="T842" s="87" t="s">
        <v>210</v>
      </c>
      <c r="U842" s="87" t="s">
        <v>202</v>
      </c>
      <c r="V842" s="87" t="s">
        <v>210</v>
      </c>
      <c r="W842" s="87" t="s">
        <v>210</v>
      </c>
      <c r="X842" s="87">
        <v>-3</v>
      </c>
      <c r="Y842" s="87">
        <v>1</v>
      </c>
      <c r="Z842" s="87" t="s">
        <v>210</v>
      </c>
      <c r="AA842" s="87" t="s">
        <v>210</v>
      </c>
      <c r="AB842" s="87">
        <v>2</v>
      </c>
      <c r="BA842" s="95"/>
    </row>
    <row r="843" spans="1:53" s="87" customFormat="1">
      <c r="A843" s="90" t="str">
        <f t="shared" si="38"/>
        <v/>
      </c>
      <c r="B843" s="87">
        <v>12</v>
      </c>
      <c r="C843" s="87">
        <v>-3</v>
      </c>
      <c r="D843" s="87" t="s">
        <v>210</v>
      </c>
      <c r="E843" s="87">
        <v>1</v>
      </c>
      <c r="F843" s="87" t="s">
        <v>210</v>
      </c>
      <c r="G843" s="87">
        <v>3</v>
      </c>
      <c r="H843" s="87" t="s">
        <v>210</v>
      </c>
      <c r="I843" s="87">
        <v>4</v>
      </c>
      <c r="J843" s="87" t="s">
        <v>210</v>
      </c>
      <c r="K843" s="87" t="s">
        <v>210</v>
      </c>
      <c r="L843" s="87">
        <v>-3</v>
      </c>
      <c r="M843" s="87">
        <v>2</v>
      </c>
      <c r="N843" s="87" t="s">
        <v>210</v>
      </c>
      <c r="O843" s="87" t="s">
        <v>210</v>
      </c>
      <c r="P843" s="87">
        <v>4</v>
      </c>
      <c r="Q843" s="87">
        <v>-1</v>
      </c>
      <c r="R843" s="87" t="s">
        <v>210</v>
      </c>
      <c r="S843" s="87" t="s">
        <v>210</v>
      </c>
      <c r="T843" s="87">
        <v>-4</v>
      </c>
      <c r="U843" s="87">
        <v>-2</v>
      </c>
      <c r="V843" s="87" t="s">
        <v>210</v>
      </c>
      <c r="W843" s="87">
        <v>3</v>
      </c>
      <c r="X843" s="87" t="s">
        <v>210</v>
      </c>
      <c r="Y843" s="87" t="s">
        <v>202</v>
      </c>
      <c r="Z843" s="87" t="s">
        <v>210</v>
      </c>
      <c r="AA843" s="87" t="s">
        <v>210</v>
      </c>
      <c r="AB843" s="87">
        <v>-2</v>
      </c>
      <c r="BA843" s="95"/>
    </row>
    <row r="844" spans="1:53" s="87" customFormat="1">
      <c r="A844" s="90" t="str">
        <f t="shared" ref="A844:A907" si="39">IF(MID(B844,3,2)="04",ROW(),"")</f>
        <v/>
      </c>
      <c r="B844" s="87">
        <v>13</v>
      </c>
      <c r="C844" s="87">
        <v>2</v>
      </c>
      <c r="D844" s="87" t="s">
        <v>210</v>
      </c>
      <c r="E844" s="87">
        <v>-1</v>
      </c>
      <c r="F844" s="87" t="s">
        <v>210</v>
      </c>
      <c r="G844" s="87">
        <v>4</v>
      </c>
      <c r="H844" s="87" t="s">
        <v>210</v>
      </c>
      <c r="I844" s="87">
        <v>2</v>
      </c>
      <c r="J844" s="87" t="s">
        <v>210</v>
      </c>
      <c r="K844" s="87">
        <v>-3</v>
      </c>
      <c r="L844" s="87" t="s">
        <v>210</v>
      </c>
      <c r="M844" s="87" t="s">
        <v>210</v>
      </c>
      <c r="N844" s="87">
        <v>-2</v>
      </c>
      <c r="O844" s="87">
        <v>1</v>
      </c>
      <c r="P844" s="87" t="s">
        <v>210</v>
      </c>
      <c r="Q844" s="87" t="s">
        <v>210</v>
      </c>
      <c r="R844" s="87">
        <v>3</v>
      </c>
      <c r="S844" s="87">
        <v>-4</v>
      </c>
      <c r="T844" s="87" t="s">
        <v>210</v>
      </c>
      <c r="U844" s="87" t="s">
        <v>210</v>
      </c>
      <c r="V844" s="87">
        <v>-2</v>
      </c>
      <c r="W844" s="87">
        <v>-4</v>
      </c>
      <c r="X844" s="87" t="s">
        <v>210</v>
      </c>
      <c r="Y844" s="87" t="s">
        <v>210</v>
      </c>
      <c r="Z844" s="87">
        <v>1</v>
      </c>
      <c r="AA844" s="87" t="s">
        <v>202</v>
      </c>
      <c r="AB844" s="87" t="s">
        <v>210</v>
      </c>
      <c r="BA844" s="95"/>
    </row>
    <row r="845" spans="1:53" s="87" customFormat="1">
      <c r="A845" s="90" t="str">
        <f t="shared" si="39"/>
        <v/>
      </c>
      <c r="B845" s="318" t="s">
        <v>1023</v>
      </c>
      <c r="BA845" s="95"/>
    </row>
    <row r="846" spans="1:53" s="87" customFormat="1">
      <c r="A846" s="90">
        <f t="shared" si="39"/>
        <v>846</v>
      </c>
      <c r="B846" s="87" t="s">
        <v>1025</v>
      </c>
      <c r="BA846" s="95"/>
    </row>
    <row r="847" spans="1:53" s="87" customFormat="1">
      <c r="A847" s="90" t="str">
        <f t="shared" si="39"/>
        <v/>
      </c>
      <c r="B847" s="87">
        <v>1</v>
      </c>
      <c r="C847" s="87">
        <v>4</v>
      </c>
      <c r="D847" s="87" t="s">
        <v>210</v>
      </c>
      <c r="E847" s="87" t="s">
        <v>202</v>
      </c>
      <c r="F847" s="87" t="s">
        <v>210</v>
      </c>
      <c r="G847" s="87">
        <v>-2</v>
      </c>
      <c r="H847" s="87" t="s">
        <v>210</v>
      </c>
      <c r="I847" s="87" t="s">
        <v>210</v>
      </c>
      <c r="J847" s="87">
        <v>-3</v>
      </c>
      <c r="K847" s="87">
        <v>-1</v>
      </c>
      <c r="L847" s="87" t="s">
        <v>210</v>
      </c>
      <c r="M847" s="87">
        <v>2</v>
      </c>
      <c r="N847" s="87" t="s">
        <v>210</v>
      </c>
      <c r="O847" s="87">
        <v>3</v>
      </c>
      <c r="BA847" s="95"/>
    </row>
    <row r="848" spans="1:53" s="87" customFormat="1">
      <c r="A848" s="90" t="str">
        <f t="shared" si="39"/>
        <v/>
      </c>
      <c r="B848" s="87">
        <v>2</v>
      </c>
      <c r="C848" s="87" t="s">
        <v>202</v>
      </c>
      <c r="D848" s="87" t="s">
        <v>210</v>
      </c>
      <c r="E848" s="87">
        <v>2</v>
      </c>
      <c r="F848" s="87" t="s">
        <v>210</v>
      </c>
      <c r="G848" s="87" t="s">
        <v>210</v>
      </c>
      <c r="H848" s="87">
        <v>-2</v>
      </c>
      <c r="I848" s="87">
        <v>4</v>
      </c>
      <c r="J848" s="87" t="s">
        <v>210</v>
      </c>
      <c r="K848" s="87" t="s">
        <v>210</v>
      </c>
      <c r="L848" s="87">
        <v>2</v>
      </c>
      <c r="M848" s="87">
        <v>-4</v>
      </c>
      <c r="N848" s="87" t="s">
        <v>210</v>
      </c>
      <c r="O848" s="87">
        <v>-3</v>
      </c>
      <c r="BA848" s="95"/>
    </row>
    <row r="849" spans="1:53" s="87" customFormat="1">
      <c r="A849" s="90" t="str">
        <f t="shared" si="39"/>
        <v/>
      </c>
      <c r="B849" s="87">
        <v>3</v>
      </c>
      <c r="C849" s="87">
        <v>-4</v>
      </c>
      <c r="D849" s="87" t="s">
        <v>210</v>
      </c>
      <c r="E849" s="87">
        <v>-3</v>
      </c>
      <c r="F849" s="87" t="s">
        <v>210</v>
      </c>
      <c r="G849" s="87" t="s">
        <v>210</v>
      </c>
      <c r="H849" s="87">
        <v>3</v>
      </c>
      <c r="I849" s="87" t="s">
        <v>202</v>
      </c>
      <c r="J849" s="87" t="s">
        <v>210</v>
      </c>
      <c r="K849" s="87">
        <v>-2</v>
      </c>
      <c r="L849" s="87" t="s">
        <v>210</v>
      </c>
      <c r="M849" s="87">
        <v>4</v>
      </c>
      <c r="N849" s="87" t="s">
        <v>210</v>
      </c>
      <c r="O849" s="87">
        <v>1</v>
      </c>
      <c r="BA849" s="95"/>
    </row>
    <row r="850" spans="1:53" s="87" customFormat="1">
      <c r="A850" s="90" t="str">
        <f t="shared" si="39"/>
        <v/>
      </c>
      <c r="B850" s="87">
        <v>4</v>
      </c>
      <c r="C850" s="87" t="s">
        <v>210</v>
      </c>
      <c r="D850" s="87">
        <v>-3</v>
      </c>
      <c r="E850" s="87">
        <v>1</v>
      </c>
      <c r="F850" s="87" t="s">
        <v>210</v>
      </c>
      <c r="G850" s="87" t="s">
        <v>210</v>
      </c>
      <c r="H850" s="87">
        <v>2</v>
      </c>
      <c r="I850" s="87">
        <v>3</v>
      </c>
      <c r="J850" s="87" t="s">
        <v>210</v>
      </c>
      <c r="K850" s="87" t="s">
        <v>202</v>
      </c>
      <c r="L850" s="87" t="s">
        <v>210</v>
      </c>
      <c r="M850" s="87">
        <v>-2</v>
      </c>
      <c r="N850" s="87" t="s">
        <v>210</v>
      </c>
      <c r="O850" s="87">
        <v>-1</v>
      </c>
      <c r="BA850" s="95"/>
    </row>
    <row r="851" spans="1:53" s="87" customFormat="1">
      <c r="A851" s="90" t="str">
        <f t="shared" si="39"/>
        <v/>
      </c>
      <c r="B851" s="87">
        <v>5</v>
      </c>
      <c r="C851" s="87" t="s">
        <v>210</v>
      </c>
      <c r="D851" s="87">
        <v>-2</v>
      </c>
      <c r="E851" s="87">
        <v>3</v>
      </c>
      <c r="F851" s="87" t="s">
        <v>210</v>
      </c>
      <c r="G851" s="87">
        <v>2</v>
      </c>
      <c r="H851" s="87" t="s">
        <v>210</v>
      </c>
      <c r="I851" s="87">
        <v>-3</v>
      </c>
      <c r="J851" s="87" t="s">
        <v>210</v>
      </c>
      <c r="K851" s="87" t="s">
        <v>210</v>
      </c>
      <c r="L851" s="87">
        <v>-2</v>
      </c>
      <c r="M851" s="87" t="s">
        <v>202</v>
      </c>
      <c r="N851" s="87" t="s">
        <v>210</v>
      </c>
      <c r="O851" s="87">
        <v>4</v>
      </c>
      <c r="BA851" s="95"/>
    </row>
    <row r="852" spans="1:53" s="87" customFormat="1">
      <c r="A852" s="90" t="str">
        <f t="shared" si="39"/>
        <v/>
      </c>
      <c r="B852" s="87">
        <v>6</v>
      </c>
      <c r="C852" s="87" t="s">
        <v>210</v>
      </c>
      <c r="D852" s="87">
        <v>3</v>
      </c>
      <c r="E852" s="87">
        <v>-2</v>
      </c>
      <c r="F852" s="87" t="s">
        <v>210</v>
      </c>
      <c r="G852" s="87" t="s">
        <v>202</v>
      </c>
      <c r="H852" s="87" t="s">
        <v>210</v>
      </c>
      <c r="I852" s="87" t="s">
        <v>210</v>
      </c>
      <c r="J852" s="87">
        <v>3</v>
      </c>
      <c r="K852" s="87">
        <v>2</v>
      </c>
      <c r="L852" s="87" t="s">
        <v>210</v>
      </c>
      <c r="M852" s="87">
        <v>-3</v>
      </c>
      <c r="N852" s="87" t="s">
        <v>210</v>
      </c>
      <c r="O852" s="87">
        <v>-4</v>
      </c>
      <c r="BA852" s="95"/>
    </row>
    <row r="853" spans="1:53" s="87" customFormat="1">
      <c r="A853" s="90" t="str">
        <f t="shared" si="39"/>
        <v/>
      </c>
      <c r="B853" s="232">
        <v>7</v>
      </c>
      <c r="C853" s="233" t="s">
        <v>210</v>
      </c>
      <c r="D853" s="233">
        <v>2</v>
      </c>
      <c r="E853" s="233">
        <v>-1</v>
      </c>
      <c r="F853" s="233" t="s">
        <v>210</v>
      </c>
      <c r="G853" s="233" t="s">
        <v>210</v>
      </c>
      <c r="H853" s="233">
        <v>-3</v>
      </c>
      <c r="I853" s="233">
        <v>-4</v>
      </c>
      <c r="J853" s="233" t="s">
        <v>210</v>
      </c>
      <c r="K853" s="233">
        <v>1</v>
      </c>
      <c r="L853" s="233" t="s">
        <v>210</v>
      </c>
      <c r="M853" s="233">
        <v>3</v>
      </c>
      <c r="N853" s="233" t="s">
        <v>210</v>
      </c>
      <c r="O853" s="233" t="s">
        <v>202</v>
      </c>
      <c r="BA853" s="95"/>
    </row>
    <row r="854" spans="1:53" s="87" customFormat="1">
      <c r="A854" s="90" t="str">
        <f t="shared" si="39"/>
        <v/>
      </c>
      <c r="B854" s="87">
        <v>8</v>
      </c>
      <c r="C854" s="87">
        <v>2</v>
      </c>
      <c r="D854" s="87" t="s">
        <v>210</v>
      </c>
      <c r="E854" s="87">
        <v>4</v>
      </c>
      <c r="F854" s="87" t="s">
        <v>210</v>
      </c>
      <c r="G854" s="87">
        <v>1</v>
      </c>
      <c r="H854" s="87" t="s">
        <v>210</v>
      </c>
      <c r="I854" s="87">
        <v>-2</v>
      </c>
      <c r="J854" s="87" t="s">
        <v>210</v>
      </c>
      <c r="K854" s="87" t="s">
        <v>210</v>
      </c>
      <c r="L854" s="87">
        <v>-3</v>
      </c>
      <c r="M854" s="87">
        <v>-1</v>
      </c>
      <c r="N854" s="87" t="s">
        <v>210</v>
      </c>
      <c r="O854" s="87" t="s">
        <v>210</v>
      </c>
      <c r="BA854" s="95"/>
    </row>
    <row r="855" spans="1:53" s="87" customFormat="1">
      <c r="A855" s="90" t="str">
        <f t="shared" si="39"/>
        <v/>
      </c>
      <c r="B855" s="87">
        <v>9</v>
      </c>
      <c r="C855" s="87">
        <v>-2</v>
      </c>
      <c r="D855" s="87" t="s">
        <v>210</v>
      </c>
      <c r="E855" s="87" t="s">
        <v>210</v>
      </c>
      <c r="F855" s="87">
        <v>3</v>
      </c>
      <c r="G855" s="87">
        <v>4</v>
      </c>
      <c r="H855" s="87" t="s">
        <v>210</v>
      </c>
      <c r="I855" s="87">
        <v>-1</v>
      </c>
      <c r="J855" s="87" t="s">
        <v>210</v>
      </c>
      <c r="K855" s="87">
        <v>-4</v>
      </c>
      <c r="L855" s="87" t="s">
        <v>210</v>
      </c>
      <c r="M855" s="87">
        <v>1</v>
      </c>
      <c r="N855" s="87" t="s">
        <v>210</v>
      </c>
      <c r="O855" s="87" t="s">
        <v>210</v>
      </c>
      <c r="BA855" s="95"/>
    </row>
    <row r="856" spans="1:53" s="87" customFormat="1">
      <c r="A856" s="90" t="str">
        <f t="shared" si="39"/>
        <v/>
      </c>
      <c r="B856" s="87">
        <v>10</v>
      </c>
      <c r="C856" s="87">
        <v>-1</v>
      </c>
      <c r="D856" s="87" t="s">
        <v>210</v>
      </c>
      <c r="E856" s="87" t="s">
        <v>210</v>
      </c>
      <c r="F856" s="87">
        <v>-2</v>
      </c>
      <c r="G856" s="87">
        <v>-3</v>
      </c>
      <c r="H856" s="87" t="s">
        <v>210</v>
      </c>
      <c r="I856" s="87">
        <v>1</v>
      </c>
      <c r="J856" s="87" t="s">
        <v>210</v>
      </c>
      <c r="K856" s="87" t="s">
        <v>210</v>
      </c>
      <c r="L856" s="87">
        <v>3</v>
      </c>
      <c r="M856" s="87" t="s">
        <v>210</v>
      </c>
      <c r="N856" s="87" t="s">
        <v>210</v>
      </c>
      <c r="O856" s="87">
        <v>2</v>
      </c>
      <c r="BA856" s="95"/>
    </row>
    <row r="857" spans="1:53" s="87" customFormat="1">
      <c r="A857" s="90" t="str">
        <f t="shared" si="39"/>
        <v/>
      </c>
      <c r="B857" s="87">
        <v>11</v>
      </c>
      <c r="C857" s="87">
        <v>1</v>
      </c>
      <c r="D857" s="87" t="s">
        <v>210</v>
      </c>
      <c r="E857" s="87" t="s">
        <v>210</v>
      </c>
      <c r="F857" s="87">
        <v>-3</v>
      </c>
      <c r="G857" s="87">
        <v>-1</v>
      </c>
      <c r="H857" s="87" t="s">
        <v>210</v>
      </c>
      <c r="I857" s="87" t="s">
        <v>210</v>
      </c>
      <c r="J857" s="87">
        <v>2</v>
      </c>
      <c r="K857" s="87">
        <v>3</v>
      </c>
      <c r="L857" s="87" t="s">
        <v>210</v>
      </c>
      <c r="M857" s="87" t="s">
        <v>210</v>
      </c>
      <c r="N857" s="87" t="s">
        <v>210</v>
      </c>
      <c r="O857" s="87">
        <v>-2</v>
      </c>
      <c r="BA857" s="95"/>
    </row>
    <row r="858" spans="1:53" s="87" customFormat="1">
      <c r="A858" s="90" t="str">
        <f t="shared" si="39"/>
        <v/>
      </c>
      <c r="B858" s="87">
        <v>12</v>
      </c>
      <c r="C858" s="87">
        <v>3</v>
      </c>
      <c r="D858" s="87" t="s">
        <v>210</v>
      </c>
      <c r="E858" s="87" t="s">
        <v>210</v>
      </c>
      <c r="F858" s="87">
        <v>2</v>
      </c>
      <c r="G858" s="87">
        <v>-4</v>
      </c>
      <c r="H858" s="87" t="s">
        <v>210</v>
      </c>
      <c r="I858" s="87">
        <v>2</v>
      </c>
      <c r="J858" s="87" t="s">
        <v>210</v>
      </c>
      <c r="K858" s="87">
        <v>-3</v>
      </c>
      <c r="L858" s="87" t="s">
        <v>210</v>
      </c>
      <c r="M858" s="87" t="s">
        <v>210</v>
      </c>
      <c r="N858" s="87">
        <v>-2</v>
      </c>
      <c r="O858" s="87" t="s">
        <v>210</v>
      </c>
      <c r="BA858" s="95"/>
    </row>
    <row r="859" spans="1:53" s="87" customFormat="1">
      <c r="A859" s="90" t="str">
        <f t="shared" si="39"/>
        <v/>
      </c>
      <c r="B859" s="87">
        <v>13</v>
      </c>
      <c r="C859" s="87">
        <v>-3</v>
      </c>
      <c r="D859" s="87" t="s">
        <v>210</v>
      </c>
      <c r="E859" s="87">
        <v>-4</v>
      </c>
      <c r="F859" s="87" t="s">
        <v>210</v>
      </c>
      <c r="G859" s="87">
        <v>3</v>
      </c>
      <c r="H859" s="87" t="s">
        <v>210</v>
      </c>
      <c r="I859" s="87" t="s">
        <v>210</v>
      </c>
      <c r="J859" s="87">
        <v>-2</v>
      </c>
      <c r="K859" s="87">
        <v>4</v>
      </c>
      <c r="L859" s="87" t="s">
        <v>210</v>
      </c>
      <c r="M859" s="87" t="s">
        <v>210</v>
      </c>
      <c r="N859" s="87">
        <v>2</v>
      </c>
      <c r="O859" s="87" t="s">
        <v>210</v>
      </c>
      <c r="BA859" s="95"/>
    </row>
    <row r="860" spans="1:53" s="87" customFormat="1">
      <c r="A860" s="90" t="str">
        <f t="shared" si="39"/>
        <v/>
      </c>
      <c r="B860" s="318" t="s">
        <v>1006</v>
      </c>
      <c r="BA860" s="95"/>
    </row>
    <row r="861" spans="1:53" s="87" customFormat="1">
      <c r="A861" s="90">
        <f t="shared" si="39"/>
        <v>861</v>
      </c>
      <c r="B861" s="318" t="s">
        <v>1270</v>
      </c>
      <c r="BA861" s="95"/>
    </row>
    <row r="862" spans="1:53" s="87" customFormat="1">
      <c r="A862" s="90" t="str">
        <f t="shared" si="39"/>
        <v/>
      </c>
      <c r="B862" s="87">
        <v>1</v>
      </c>
      <c r="C862" s="87">
        <v>-2</v>
      </c>
      <c r="D862" s="87" t="s">
        <v>210</v>
      </c>
      <c r="E862" s="87">
        <v>-1</v>
      </c>
      <c r="F862" s="87" t="s">
        <v>210</v>
      </c>
      <c r="G862" s="87">
        <v>4</v>
      </c>
      <c r="H862" s="87" t="s">
        <v>210</v>
      </c>
      <c r="I862" s="87" t="s">
        <v>210</v>
      </c>
      <c r="J862" s="87">
        <v>-3</v>
      </c>
      <c r="K862" s="87" t="s">
        <v>210</v>
      </c>
      <c r="L862" s="87">
        <v>-2</v>
      </c>
      <c r="M862" s="87" t="s">
        <v>210</v>
      </c>
      <c r="N862" s="87" t="s">
        <v>210</v>
      </c>
      <c r="O862" s="87">
        <v>3</v>
      </c>
      <c r="P862" s="87" t="s">
        <v>210</v>
      </c>
      <c r="Q862" s="87">
        <v>1</v>
      </c>
      <c r="R862" s="87" t="s">
        <v>210</v>
      </c>
      <c r="S862" s="87" t="s">
        <v>210</v>
      </c>
      <c r="T862" s="87">
        <v>2</v>
      </c>
      <c r="BA862" s="95"/>
    </row>
    <row r="863" spans="1:53" s="87" customFormat="1">
      <c r="A863" s="90" t="str">
        <f t="shared" si="39"/>
        <v/>
      </c>
      <c r="B863" s="87">
        <v>2</v>
      </c>
      <c r="C863" s="87">
        <v>-1</v>
      </c>
      <c r="D863" s="87" t="s">
        <v>210</v>
      </c>
      <c r="E863" s="87">
        <v>3</v>
      </c>
      <c r="F863" s="87" t="s">
        <v>210</v>
      </c>
      <c r="G863" s="87">
        <v>-4</v>
      </c>
      <c r="H863" s="87" t="s">
        <v>210</v>
      </c>
      <c r="I863" s="87">
        <v>2</v>
      </c>
      <c r="J863" s="87" t="s">
        <v>210</v>
      </c>
      <c r="K863" s="87" t="s">
        <v>210</v>
      </c>
      <c r="L863" s="87">
        <v>1</v>
      </c>
      <c r="M863" s="87" t="s">
        <v>210</v>
      </c>
      <c r="N863" s="87">
        <v>3</v>
      </c>
      <c r="O863" s="87" t="s">
        <v>210</v>
      </c>
      <c r="P863" s="87" t="s">
        <v>210</v>
      </c>
      <c r="Q863" s="87">
        <v>-2</v>
      </c>
      <c r="R863" s="87" t="s">
        <v>210</v>
      </c>
      <c r="S863" s="87">
        <v>-3</v>
      </c>
      <c r="T863" s="87" t="s">
        <v>210</v>
      </c>
      <c r="BA863" s="95"/>
    </row>
    <row r="864" spans="1:53" s="87" customFormat="1">
      <c r="A864" s="90" t="str">
        <f t="shared" si="39"/>
        <v/>
      </c>
      <c r="B864" s="87">
        <v>3</v>
      </c>
      <c r="C864" s="87">
        <v>2</v>
      </c>
      <c r="D864" s="87" t="s">
        <v>210</v>
      </c>
      <c r="E864" s="87">
        <v>-3</v>
      </c>
      <c r="F864" s="87" t="s">
        <v>210</v>
      </c>
      <c r="G864" s="87" t="s">
        <v>210</v>
      </c>
      <c r="H864" s="87">
        <v>-2</v>
      </c>
      <c r="I864" s="87" t="s">
        <v>210</v>
      </c>
      <c r="J864" s="87">
        <v>4</v>
      </c>
      <c r="K864" s="87" t="s">
        <v>210</v>
      </c>
      <c r="L864" s="87" t="s">
        <v>210</v>
      </c>
      <c r="M864" s="87">
        <v>-1</v>
      </c>
      <c r="N864" s="87" t="s">
        <v>210</v>
      </c>
      <c r="O864" s="87">
        <v>-4</v>
      </c>
      <c r="P864" s="87" t="s">
        <v>210</v>
      </c>
      <c r="Q864" s="87" t="s">
        <v>210</v>
      </c>
      <c r="R864" s="87">
        <v>2</v>
      </c>
      <c r="S864" s="87" t="s">
        <v>210</v>
      </c>
      <c r="T864" s="87">
        <v>1</v>
      </c>
      <c r="BA864" s="95"/>
    </row>
    <row r="865" spans="1:53" s="87" customFormat="1">
      <c r="A865" s="90" t="str">
        <f t="shared" si="39"/>
        <v/>
      </c>
      <c r="B865" s="87">
        <v>4</v>
      </c>
      <c r="C865" s="87">
        <v>1</v>
      </c>
      <c r="D865" s="87" t="s">
        <v>210</v>
      </c>
      <c r="E865" s="87" t="s">
        <v>210</v>
      </c>
      <c r="F865" s="87">
        <v>-3</v>
      </c>
      <c r="G865" s="87" t="s">
        <v>210</v>
      </c>
      <c r="H865" s="87">
        <v>2</v>
      </c>
      <c r="I865" s="87" t="s">
        <v>210</v>
      </c>
      <c r="J865" s="87" t="s">
        <v>210</v>
      </c>
      <c r="K865" s="87">
        <v>-4</v>
      </c>
      <c r="L865" s="87" t="s">
        <v>210</v>
      </c>
      <c r="M865" s="87">
        <v>2</v>
      </c>
      <c r="N865" s="87" t="s">
        <v>210</v>
      </c>
      <c r="O865" s="87" t="s">
        <v>210</v>
      </c>
      <c r="P865" s="87">
        <v>-1</v>
      </c>
      <c r="Q865" s="87" t="s">
        <v>210</v>
      </c>
      <c r="R865" s="87">
        <v>4</v>
      </c>
      <c r="S865" s="87" t="s">
        <v>210</v>
      </c>
      <c r="T865" s="87">
        <v>-2</v>
      </c>
      <c r="BA865" s="95"/>
    </row>
    <row r="866" spans="1:53" s="87" customFormat="1">
      <c r="A866" s="90" t="str">
        <f t="shared" si="39"/>
        <v/>
      </c>
      <c r="B866" s="87">
        <v>5</v>
      </c>
      <c r="C866" s="87" t="s">
        <v>210</v>
      </c>
      <c r="D866" s="87">
        <v>2</v>
      </c>
      <c r="E866" s="87" t="s">
        <v>210</v>
      </c>
      <c r="F866" s="87">
        <v>4</v>
      </c>
      <c r="G866" s="87" t="s">
        <v>210</v>
      </c>
      <c r="H866" s="87">
        <v>-1</v>
      </c>
      <c r="I866" s="87" t="s">
        <v>210</v>
      </c>
      <c r="J866" s="87">
        <v>3</v>
      </c>
      <c r="K866" s="87" t="s">
        <v>210</v>
      </c>
      <c r="L866" s="87">
        <v>-1</v>
      </c>
      <c r="M866" s="87" t="s">
        <v>210</v>
      </c>
      <c r="N866" s="87">
        <v>-4</v>
      </c>
      <c r="O866" s="87" t="s">
        <v>210</v>
      </c>
      <c r="P866" s="87">
        <v>1</v>
      </c>
      <c r="Q866" s="87" t="s">
        <v>210</v>
      </c>
      <c r="R866" s="87">
        <v>-2</v>
      </c>
      <c r="S866" s="87" t="s">
        <v>210</v>
      </c>
      <c r="T866" s="87" t="s">
        <v>210</v>
      </c>
      <c r="BA866" s="95"/>
    </row>
    <row r="867" spans="1:53" s="87" customFormat="1">
      <c r="A867" s="90" t="str">
        <f t="shared" si="39"/>
        <v/>
      </c>
      <c r="B867" s="87">
        <v>6</v>
      </c>
      <c r="C867" s="87" t="s">
        <v>210</v>
      </c>
      <c r="D867" s="87">
        <v>-1</v>
      </c>
      <c r="E867" s="87" t="s">
        <v>210</v>
      </c>
      <c r="F867" s="87">
        <v>3</v>
      </c>
      <c r="G867" s="87" t="s">
        <v>210</v>
      </c>
      <c r="H867" s="87">
        <v>1</v>
      </c>
      <c r="I867" s="87" t="s">
        <v>210</v>
      </c>
      <c r="J867" s="87">
        <v>-4</v>
      </c>
      <c r="K867" s="87" t="s">
        <v>210</v>
      </c>
      <c r="L867" s="87">
        <v>2</v>
      </c>
      <c r="M867" s="87" t="s">
        <v>210</v>
      </c>
      <c r="N867" s="87">
        <v>-3</v>
      </c>
      <c r="O867" s="87" t="s">
        <v>210</v>
      </c>
      <c r="P867" s="87">
        <v>-2</v>
      </c>
      <c r="Q867" s="87" t="s">
        <v>210</v>
      </c>
      <c r="R867" s="87" t="s">
        <v>210</v>
      </c>
      <c r="S867" s="87">
        <v>1</v>
      </c>
      <c r="T867" s="87" t="s">
        <v>210</v>
      </c>
      <c r="BA867" s="95"/>
    </row>
    <row r="868" spans="1:53" s="87" customFormat="1">
      <c r="A868" s="90" t="str">
        <f t="shared" si="39"/>
        <v/>
      </c>
      <c r="B868" s="87">
        <v>7</v>
      </c>
      <c r="C868" s="87" t="s">
        <v>210</v>
      </c>
      <c r="D868" s="87">
        <v>1</v>
      </c>
      <c r="E868" s="87" t="s">
        <v>210</v>
      </c>
      <c r="F868" s="87">
        <v>-4</v>
      </c>
      <c r="G868" s="87" t="s">
        <v>210</v>
      </c>
      <c r="H868" s="87" t="s">
        <v>210</v>
      </c>
      <c r="I868" s="87">
        <v>1</v>
      </c>
      <c r="J868" s="87" t="s">
        <v>210</v>
      </c>
      <c r="K868" s="87">
        <v>-3</v>
      </c>
      <c r="L868" s="87" t="s">
        <v>210</v>
      </c>
      <c r="M868" s="87">
        <v>-2</v>
      </c>
      <c r="N868" s="87" t="s">
        <v>210</v>
      </c>
      <c r="O868" s="87">
        <v>4</v>
      </c>
      <c r="P868" s="87" t="s">
        <v>210</v>
      </c>
      <c r="Q868" s="87">
        <v>-1</v>
      </c>
      <c r="R868" s="87" t="s">
        <v>210</v>
      </c>
      <c r="S868" s="87">
        <v>3</v>
      </c>
      <c r="T868" s="87" t="s">
        <v>210</v>
      </c>
      <c r="BA868" s="95"/>
    </row>
    <row r="869" spans="1:53" s="87" customFormat="1">
      <c r="A869" s="90" t="str">
        <f t="shared" si="39"/>
        <v/>
      </c>
      <c r="B869" s="87">
        <v>8</v>
      </c>
      <c r="C869" s="87" t="s">
        <v>210</v>
      </c>
      <c r="D869" s="87">
        <v>-2</v>
      </c>
      <c r="E869" s="87" t="s">
        <v>210</v>
      </c>
      <c r="F869" s="87" t="s">
        <v>210</v>
      </c>
      <c r="G869" s="87">
        <v>3</v>
      </c>
      <c r="H869" s="87" t="s">
        <v>210</v>
      </c>
      <c r="I869" s="87">
        <v>-1</v>
      </c>
      <c r="J869" s="87" t="s">
        <v>210</v>
      </c>
      <c r="K869" s="87">
        <v>4</v>
      </c>
      <c r="L869" s="87" t="s">
        <v>210</v>
      </c>
      <c r="M869" s="87">
        <v>1</v>
      </c>
      <c r="N869" s="87" t="s">
        <v>210</v>
      </c>
      <c r="O869" s="87">
        <v>-3</v>
      </c>
      <c r="P869" s="87" t="s">
        <v>210</v>
      </c>
      <c r="Q869" s="87">
        <v>2</v>
      </c>
      <c r="R869" s="87" t="s">
        <v>210</v>
      </c>
      <c r="S869" s="87">
        <v>-1</v>
      </c>
      <c r="T869" s="87" t="s">
        <v>210</v>
      </c>
      <c r="BA869" s="95"/>
    </row>
    <row r="870" spans="1:53" s="87" customFormat="1">
      <c r="A870" s="90" t="str">
        <f t="shared" si="39"/>
        <v/>
      </c>
      <c r="B870" s="232">
        <v>9</v>
      </c>
      <c r="C870" s="233" t="s">
        <v>210</v>
      </c>
      <c r="D870" s="233" t="s">
        <v>210</v>
      </c>
      <c r="E870" s="233">
        <v>1</v>
      </c>
      <c r="F870" s="233" t="s">
        <v>210</v>
      </c>
      <c r="G870" s="233">
        <v>-3</v>
      </c>
      <c r="H870" s="233" t="s">
        <v>210</v>
      </c>
      <c r="I870" s="233">
        <v>-2</v>
      </c>
      <c r="J870" s="233" t="s">
        <v>210</v>
      </c>
      <c r="K870" s="233">
        <v>3</v>
      </c>
      <c r="L870" s="233" t="s">
        <v>210</v>
      </c>
      <c r="M870" s="233" t="s">
        <v>210</v>
      </c>
      <c r="N870" s="233">
        <v>4</v>
      </c>
      <c r="O870" s="233" t="s">
        <v>210</v>
      </c>
      <c r="P870" s="233">
        <v>2</v>
      </c>
      <c r="Q870" s="233" t="s">
        <v>210</v>
      </c>
      <c r="R870" s="233">
        <v>-4</v>
      </c>
      <c r="S870" s="233" t="s">
        <v>210</v>
      </c>
      <c r="T870" s="233">
        <v>-1</v>
      </c>
      <c r="U870" s="95"/>
      <c r="BA870" s="95"/>
    </row>
    <row r="871" spans="1:53" s="87" customFormat="1">
      <c r="A871" s="90" t="str">
        <f t="shared" si="39"/>
        <v/>
      </c>
      <c r="B871" s="87">
        <v>10</v>
      </c>
      <c r="C871" s="87">
        <v>3</v>
      </c>
      <c r="D871" s="87" t="s">
        <v>210</v>
      </c>
      <c r="E871" s="87">
        <v>4</v>
      </c>
      <c r="F871" s="87" t="s">
        <v>210</v>
      </c>
      <c r="G871" s="87">
        <v>-1</v>
      </c>
      <c r="H871" s="87" t="s">
        <v>210</v>
      </c>
      <c r="I871" s="87" t="s">
        <v>210</v>
      </c>
      <c r="J871" s="87">
        <v>2</v>
      </c>
      <c r="K871" s="87" t="s">
        <v>210</v>
      </c>
      <c r="L871" s="87">
        <v>3</v>
      </c>
      <c r="M871" s="87" t="s">
        <v>210</v>
      </c>
      <c r="N871" s="87" t="s">
        <v>210</v>
      </c>
      <c r="O871" s="87">
        <v>-2</v>
      </c>
      <c r="P871" s="87" t="s">
        <v>210</v>
      </c>
      <c r="Q871" s="87">
        <v>-4</v>
      </c>
      <c r="R871" s="87" t="s">
        <v>210</v>
      </c>
      <c r="S871" s="87" t="s">
        <v>210</v>
      </c>
      <c r="T871" s="87">
        <v>-3</v>
      </c>
      <c r="U871" s="95"/>
      <c r="BA871" s="95"/>
    </row>
    <row r="872" spans="1:53" s="87" customFormat="1">
      <c r="A872" s="90" t="str">
        <f t="shared" si="39"/>
        <v/>
      </c>
      <c r="B872" s="87">
        <v>11</v>
      </c>
      <c r="C872" s="87">
        <v>4</v>
      </c>
      <c r="D872" s="87" t="s">
        <v>210</v>
      </c>
      <c r="E872" s="87">
        <v>-2</v>
      </c>
      <c r="F872" s="87" t="s">
        <v>210</v>
      </c>
      <c r="G872" s="87">
        <v>1</v>
      </c>
      <c r="H872" s="87" t="s">
        <v>210</v>
      </c>
      <c r="I872" s="87">
        <v>-3</v>
      </c>
      <c r="J872" s="87" t="s">
        <v>210</v>
      </c>
      <c r="K872" s="87" t="s">
        <v>210</v>
      </c>
      <c r="L872" s="87">
        <v>-4</v>
      </c>
      <c r="M872" s="87" t="s">
        <v>210</v>
      </c>
      <c r="N872" s="87">
        <v>-2</v>
      </c>
      <c r="O872" s="87" t="s">
        <v>210</v>
      </c>
      <c r="P872" s="87" t="s">
        <v>210</v>
      </c>
      <c r="Q872" s="87">
        <v>3</v>
      </c>
      <c r="R872" s="87" t="s">
        <v>210</v>
      </c>
      <c r="S872" s="87">
        <v>2</v>
      </c>
      <c r="T872" s="87" t="s">
        <v>210</v>
      </c>
      <c r="BA872" s="95"/>
    </row>
    <row r="873" spans="1:53" s="87" customFormat="1">
      <c r="A873" s="90" t="str">
        <f t="shared" si="39"/>
        <v/>
      </c>
      <c r="B873" s="87">
        <v>12</v>
      </c>
      <c r="C873" s="87">
        <v>-3</v>
      </c>
      <c r="D873" s="87" t="s">
        <v>210</v>
      </c>
      <c r="E873" s="87">
        <v>2</v>
      </c>
      <c r="F873" s="87" t="s">
        <v>210</v>
      </c>
      <c r="G873" s="87" t="s">
        <v>210</v>
      </c>
      <c r="H873" s="87">
        <v>3</v>
      </c>
      <c r="I873" s="87" t="s">
        <v>210</v>
      </c>
      <c r="J873" s="87">
        <v>-1</v>
      </c>
      <c r="K873" s="87" t="s">
        <v>210</v>
      </c>
      <c r="L873" s="87" t="s">
        <v>210</v>
      </c>
      <c r="M873" s="87">
        <v>4</v>
      </c>
      <c r="N873" s="87" t="s">
        <v>210</v>
      </c>
      <c r="O873" s="87">
        <v>1</v>
      </c>
      <c r="P873" s="87" t="s">
        <v>210</v>
      </c>
      <c r="Q873" s="87" t="s">
        <v>210</v>
      </c>
      <c r="R873" s="87">
        <v>-3</v>
      </c>
      <c r="S873" s="87" t="s">
        <v>210</v>
      </c>
      <c r="T873" s="87">
        <v>-4</v>
      </c>
      <c r="BA873" s="95"/>
    </row>
    <row r="874" spans="1:53" s="87" customFormat="1">
      <c r="A874" s="90" t="str">
        <f t="shared" si="39"/>
        <v/>
      </c>
      <c r="B874" s="87">
        <v>13</v>
      </c>
      <c r="C874" s="87">
        <v>-4</v>
      </c>
      <c r="D874" s="87" t="s">
        <v>210</v>
      </c>
      <c r="E874" s="87" t="s">
        <v>210</v>
      </c>
      <c r="F874" s="87">
        <v>2</v>
      </c>
      <c r="G874" s="87" t="s">
        <v>210</v>
      </c>
      <c r="H874" s="87">
        <v>-3</v>
      </c>
      <c r="I874" s="87" t="s">
        <v>210</v>
      </c>
      <c r="J874" s="87" t="s">
        <v>210</v>
      </c>
      <c r="K874" s="87">
        <v>1</v>
      </c>
      <c r="L874" s="87" t="s">
        <v>210</v>
      </c>
      <c r="M874" s="87">
        <v>-3</v>
      </c>
      <c r="N874" s="87" t="s">
        <v>210</v>
      </c>
      <c r="O874" s="87" t="s">
        <v>210</v>
      </c>
      <c r="P874" s="87">
        <v>4</v>
      </c>
      <c r="Q874" s="87" t="s">
        <v>210</v>
      </c>
      <c r="R874" s="87">
        <v>-1</v>
      </c>
      <c r="S874" s="87" t="s">
        <v>210</v>
      </c>
      <c r="T874" s="87">
        <v>3</v>
      </c>
      <c r="BA874" s="95"/>
    </row>
    <row r="875" spans="1:53" s="87" customFormat="1">
      <c r="A875" s="90" t="str">
        <f t="shared" si="39"/>
        <v/>
      </c>
      <c r="B875" s="87">
        <v>14</v>
      </c>
      <c r="C875" s="87" t="s">
        <v>210</v>
      </c>
      <c r="D875" s="87">
        <v>-3</v>
      </c>
      <c r="E875" s="87" t="s">
        <v>210</v>
      </c>
      <c r="F875" s="87">
        <v>-1</v>
      </c>
      <c r="G875" s="87" t="s">
        <v>210</v>
      </c>
      <c r="H875" s="87">
        <v>4</v>
      </c>
      <c r="I875" s="87" t="s">
        <v>210</v>
      </c>
      <c r="J875" s="87">
        <v>-2</v>
      </c>
      <c r="K875" s="87" t="s">
        <v>210</v>
      </c>
      <c r="L875" s="87">
        <v>4</v>
      </c>
      <c r="M875" s="87" t="s">
        <v>210</v>
      </c>
      <c r="N875" s="87">
        <v>1</v>
      </c>
      <c r="O875" s="87" t="s">
        <v>210</v>
      </c>
      <c r="P875" s="87">
        <v>-4</v>
      </c>
      <c r="Q875" s="87" t="s">
        <v>210</v>
      </c>
      <c r="R875" s="87">
        <v>3</v>
      </c>
      <c r="S875" s="87" t="s">
        <v>210</v>
      </c>
      <c r="T875" s="87" t="s">
        <v>210</v>
      </c>
      <c r="BA875" s="95"/>
    </row>
    <row r="876" spans="1:53" s="87" customFormat="1">
      <c r="A876" s="90" t="str">
        <f t="shared" si="39"/>
        <v/>
      </c>
      <c r="B876" s="87">
        <v>15</v>
      </c>
      <c r="C876" s="87" t="s">
        <v>210</v>
      </c>
      <c r="D876" s="87">
        <v>4</v>
      </c>
      <c r="E876" s="87" t="s">
        <v>210</v>
      </c>
      <c r="F876" s="87">
        <v>-2</v>
      </c>
      <c r="G876" s="87" t="s">
        <v>210</v>
      </c>
      <c r="H876" s="87">
        <v>-4</v>
      </c>
      <c r="I876" s="87" t="s">
        <v>210</v>
      </c>
      <c r="J876" s="87">
        <v>1</v>
      </c>
      <c r="K876" s="87" t="s">
        <v>210</v>
      </c>
      <c r="L876" s="87">
        <v>-3</v>
      </c>
      <c r="M876" s="87" t="s">
        <v>210</v>
      </c>
      <c r="N876" s="87">
        <v>2</v>
      </c>
      <c r="O876" s="87" t="s">
        <v>210</v>
      </c>
      <c r="P876" s="87">
        <v>3</v>
      </c>
      <c r="Q876" s="87" t="s">
        <v>210</v>
      </c>
      <c r="R876" s="87" t="s">
        <v>210</v>
      </c>
      <c r="S876" s="87">
        <v>-4</v>
      </c>
      <c r="T876" s="87" t="s">
        <v>210</v>
      </c>
      <c r="BA876" s="95"/>
    </row>
    <row r="877" spans="1:53" s="87" customFormat="1">
      <c r="A877" s="90" t="str">
        <f t="shared" si="39"/>
        <v/>
      </c>
      <c r="B877" s="87">
        <v>16</v>
      </c>
      <c r="C877" s="87" t="s">
        <v>210</v>
      </c>
      <c r="D877" s="87">
        <v>-4</v>
      </c>
      <c r="E877" s="87" t="s">
        <v>210</v>
      </c>
      <c r="F877" s="87">
        <v>1</v>
      </c>
      <c r="G877" s="87" t="s">
        <v>210</v>
      </c>
      <c r="H877" s="87" t="s">
        <v>210</v>
      </c>
      <c r="I877" s="87">
        <v>-4</v>
      </c>
      <c r="J877" s="87" t="s">
        <v>210</v>
      </c>
      <c r="K877" s="87">
        <v>2</v>
      </c>
      <c r="L877" s="87" t="s">
        <v>210</v>
      </c>
      <c r="M877" s="87">
        <v>3</v>
      </c>
      <c r="N877" s="87" t="s">
        <v>210</v>
      </c>
      <c r="O877" s="87">
        <v>-1</v>
      </c>
      <c r="P877" s="87" t="s">
        <v>210</v>
      </c>
      <c r="Q877" s="87">
        <v>4</v>
      </c>
      <c r="R877" s="87" t="s">
        <v>210</v>
      </c>
      <c r="S877" s="87">
        <v>-2</v>
      </c>
      <c r="T877" s="87" t="s">
        <v>210</v>
      </c>
      <c r="BA877" s="95"/>
    </row>
    <row r="878" spans="1:53" s="87" customFormat="1">
      <c r="A878" s="90" t="str">
        <f t="shared" si="39"/>
        <v/>
      </c>
      <c r="B878" s="87">
        <v>17</v>
      </c>
      <c r="C878" s="87" t="s">
        <v>210</v>
      </c>
      <c r="D878" s="87">
        <v>3</v>
      </c>
      <c r="E878" s="87" t="s">
        <v>210</v>
      </c>
      <c r="F878" s="87" t="s">
        <v>210</v>
      </c>
      <c r="G878" s="87">
        <v>-2</v>
      </c>
      <c r="H878" s="87" t="s">
        <v>210</v>
      </c>
      <c r="I878" s="87">
        <v>4</v>
      </c>
      <c r="J878" s="87" t="s">
        <v>210</v>
      </c>
      <c r="K878" s="87">
        <v>-1</v>
      </c>
      <c r="L878" s="87" t="s">
        <v>210</v>
      </c>
      <c r="M878" s="87">
        <v>-4</v>
      </c>
      <c r="N878" s="87" t="s">
        <v>210</v>
      </c>
      <c r="O878" s="87">
        <v>2</v>
      </c>
      <c r="P878" s="87" t="s">
        <v>210</v>
      </c>
      <c r="Q878" s="87">
        <v>-3</v>
      </c>
      <c r="R878" s="87" t="s">
        <v>210</v>
      </c>
      <c r="S878" s="87">
        <v>4</v>
      </c>
      <c r="T878" s="87" t="s">
        <v>210</v>
      </c>
      <c r="BA878" s="95"/>
    </row>
    <row r="879" spans="1:53" s="87" customFormat="1">
      <c r="A879" s="90" t="str">
        <f t="shared" si="39"/>
        <v/>
      </c>
      <c r="B879" s="87">
        <v>18</v>
      </c>
      <c r="C879" s="87" t="s">
        <v>210</v>
      </c>
      <c r="D879" s="87" t="s">
        <v>210</v>
      </c>
      <c r="E879" s="87">
        <v>-4</v>
      </c>
      <c r="F879" s="87" t="s">
        <v>210</v>
      </c>
      <c r="G879" s="87">
        <v>2</v>
      </c>
      <c r="H879" s="87" t="s">
        <v>210</v>
      </c>
      <c r="I879" s="87">
        <v>3</v>
      </c>
      <c r="J879" s="87" t="s">
        <v>210</v>
      </c>
      <c r="K879" s="87">
        <v>-2</v>
      </c>
      <c r="L879" s="87" t="s">
        <v>210</v>
      </c>
      <c r="M879" s="87" t="s">
        <v>210</v>
      </c>
      <c r="N879" s="87">
        <v>-1</v>
      </c>
      <c r="O879" s="87" t="s">
        <v>210</v>
      </c>
      <c r="P879" s="87">
        <v>-3</v>
      </c>
      <c r="Q879" s="87" t="s">
        <v>210</v>
      </c>
      <c r="R879" s="87">
        <v>1</v>
      </c>
      <c r="S879" s="87" t="s">
        <v>210</v>
      </c>
      <c r="T879" s="87">
        <v>4</v>
      </c>
      <c r="BA879" s="95"/>
    </row>
    <row r="880" spans="1:53" s="87" customFormat="1">
      <c r="A880" s="90" t="str">
        <f t="shared" si="39"/>
        <v/>
      </c>
      <c r="B880" s="318" t="s">
        <v>1045</v>
      </c>
      <c r="BA880" s="95"/>
    </row>
    <row r="881" spans="1:53" s="87" customFormat="1">
      <c r="A881" s="90">
        <f t="shared" si="39"/>
        <v>881</v>
      </c>
      <c r="B881" s="318" t="s">
        <v>1266</v>
      </c>
      <c r="BA881" s="95"/>
    </row>
    <row r="882" spans="1:53" s="87" customFormat="1">
      <c r="A882" s="90" t="str">
        <f t="shared" si="39"/>
        <v/>
      </c>
      <c r="B882" s="87">
        <v>1</v>
      </c>
      <c r="C882" s="87">
        <v>3</v>
      </c>
      <c r="D882" s="87">
        <v>-4</v>
      </c>
      <c r="E882" s="87" t="s">
        <v>210</v>
      </c>
      <c r="F882" s="87">
        <v>3</v>
      </c>
      <c r="G882" s="87" t="s">
        <v>210</v>
      </c>
      <c r="H882" s="87">
        <v>-2</v>
      </c>
      <c r="I882" s="87">
        <v>-1</v>
      </c>
      <c r="J882" s="87" t="s">
        <v>210</v>
      </c>
      <c r="K882" s="87">
        <v>2</v>
      </c>
      <c r="L882" s="87">
        <v>-3</v>
      </c>
      <c r="M882" s="87" t="s">
        <v>210</v>
      </c>
      <c r="N882" s="87">
        <v>4</v>
      </c>
      <c r="O882" s="87" t="s">
        <v>210</v>
      </c>
      <c r="P882" s="87">
        <v>-1</v>
      </c>
      <c r="Q882" s="87">
        <v>-3</v>
      </c>
      <c r="R882" s="87" t="s">
        <v>210</v>
      </c>
      <c r="S882" s="87">
        <v>1</v>
      </c>
      <c r="T882" s="87" t="s">
        <v>210</v>
      </c>
      <c r="U882" s="87" t="s">
        <v>210</v>
      </c>
      <c r="V882" s="87">
        <v>2</v>
      </c>
      <c r="BA882" s="95"/>
    </row>
    <row r="883" spans="1:53" s="87" customFormat="1">
      <c r="A883" s="90" t="str">
        <f t="shared" si="39"/>
        <v/>
      </c>
      <c r="B883" s="87">
        <v>2</v>
      </c>
      <c r="C883" s="87" t="s">
        <v>210</v>
      </c>
      <c r="D883" s="87">
        <v>2</v>
      </c>
      <c r="E883" s="87" t="s">
        <v>210</v>
      </c>
      <c r="F883" s="87">
        <v>-4</v>
      </c>
      <c r="G883" s="87">
        <v>1</v>
      </c>
      <c r="H883" s="87" t="s">
        <v>210</v>
      </c>
      <c r="I883" s="87">
        <v>-2</v>
      </c>
      <c r="J883" s="87">
        <v>-3</v>
      </c>
      <c r="K883" s="87" t="s">
        <v>210</v>
      </c>
      <c r="L883" s="87">
        <v>4</v>
      </c>
      <c r="M883" s="87" t="s">
        <v>210</v>
      </c>
      <c r="N883" s="87">
        <v>-1</v>
      </c>
      <c r="O883" s="87">
        <v>2</v>
      </c>
      <c r="P883" s="87" t="s">
        <v>210</v>
      </c>
      <c r="Q883" s="87">
        <v>-1</v>
      </c>
      <c r="R883" s="87" t="s">
        <v>210</v>
      </c>
      <c r="S883" s="87">
        <v>3</v>
      </c>
      <c r="T883" s="87">
        <v>4</v>
      </c>
      <c r="U883" s="87" t="s">
        <v>210</v>
      </c>
      <c r="V883" s="87">
        <v>-2</v>
      </c>
      <c r="BA883" s="95"/>
    </row>
    <row r="884" spans="1:53" s="87" customFormat="1">
      <c r="A884" s="90" t="str">
        <f t="shared" si="39"/>
        <v/>
      </c>
      <c r="B884" s="87">
        <v>3</v>
      </c>
      <c r="C884" s="87" t="s">
        <v>210</v>
      </c>
      <c r="D884" s="87">
        <v>1</v>
      </c>
      <c r="E884" s="87">
        <v>-3</v>
      </c>
      <c r="F884" s="87" t="s">
        <v>210</v>
      </c>
      <c r="G884" s="87">
        <v>2</v>
      </c>
      <c r="H884" s="87" t="s">
        <v>210</v>
      </c>
      <c r="I884" s="87">
        <v>4</v>
      </c>
      <c r="J884" s="87">
        <v>-1</v>
      </c>
      <c r="K884" s="87" t="s">
        <v>210</v>
      </c>
      <c r="L884" s="87">
        <v>-2</v>
      </c>
      <c r="M884" s="87" t="s">
        <v>210</v>
      </c>
      <c r="N884" s="87">
        <v>-3</v>
      </c>
      <c r="O884" s="87">
        <v>4</v>
      </c>
      <c r="P884" s="87" t="s">
        <v>210</v>
      </c>
      <c r="Q884" s="87">
        <v>3</v>
      </c>
      <c r="R884" s="87">
        <v>-2</v>
      </c>
      <c r="S884" s="87" t="s">
        <v>210</v>
      </c>
      <c r="T884" s="87">
        <v>-4</v>
      </c>
      <c r="U884" s="87" t="s">
        <v>210</v>
      </c>
      <c r="V884" s="87">
        <v>3</v>
      </c>
      <c r="BA884" s="95"/>
    </row>
    <row r="885" spans="1:53" s="87" customFormat="1">
      <c r="A885" s="90" t="str">
        <f t="shared" si="39"/>
        <v/>
      </c>
      <c r="B885" s="87">
        <v>4</v>
      </c>
      <c r="C885" s="87">
        <v>2</v>
      </c>
      <c r="D885" s="87" t="s">
        <v>210</v>
      </c>
      <c r="E885" s="87">
        <v>-1</v>
      </c>
      <c r="F885" s="87">
        <v>4</v>
      </c>
      <c r="G885" s="87" t="s">
        <v>210</v>
      </c>
      <c r="H885" s="87">
        <v>1</v>
      </c>
      <c r="I885" s="87">
        <v>-3</v>
      </c>
      <c r="J885" s="87" t="s">
        <v>210</v>
      </c>
      <c r="K885" s="87">
        <v>-1</v>
      </c>
      <c r="L885" s="87" t="s">
        <v>210</v>
      </c>
      <c r="M885" s="87">
        <v>-4</v>
      </c>
      <c r="N885" s="87">
        <v>2</v>
      </c>
      <c r="O885" s="87" t="s">
        <v>210</v>
      </c>
      <c r="P885" s="87">
        <v>1</v>
      </c>
      <c r="Q885" s="87" t="s">
        <v>210</v>
      </c>
      <c r="R885" s="87">
        <v>3</v>
      </c>
      <c r="S885" s="87">
        <v>-2</v>
      </c>
      <c r="T885" s="87" t="s">
        <v>210</v>
      </c>
      <c r="U885" s="87" t="s">
        <v>210</v>
      </c>
      <c r="V885" s="87">
        <v>-3</v>
      </c>
      <c r="BA885" s="95"/>
    </row>
    <row r="886" spans="1:53" s="87" customFormat="1">
      <c r="A886" s="90" t="str">
        <f t="shared" si="39"/>
        <v/>
      </c>
      <c r="B886" s="87">
        <v>5</v>
      </c>
      <c r="C886" s="87">
        <v>-3</v>
      </c>
      <c r="D886" s="87" t="s">
        <v>210</v>
      </c>
      <c r="E886" s="87">
        <v>4</v>
      </c>
      <c r="F886" s="87">
        <v>2</v>
      </c>
      <c r="G886" s="87" t="s">
        <v>210</v>
      </c>
      <c r="H886" s="87">
        <v>-3</v>
      </c>
      <c r="I886" s="87" t="s">
        <v>210</v>
      </c>
      <c r="J886" s="87">
        <v>1</v>
      </c>
      <c r="K886" s="87">
        <v>-4</v>
      </c>
      <c r="L886" s="87" t="s">
        <v>210</v>
      </c>
      <c r="M886" s="87">
        <v>-1</v>
      </c>
      <c r="N886" s="87" t="s">
        <v>210</v>
      </c>
      <c r="O886" s="87">
        <v>-2</v>
      </c>
      <c r="P886" s="87">
        <v>3</v>
      </c>
      <c r="Q886" s="87" t="s">
        <v>210</v>
      </c>
      <c r="R886" s="87">
        <v>4</v>
      </c>
      <c r="S886" s="87">
        <v>2</v>
      </c>
      <c r="T886" s="87" t="s">
        <v>210</v>
      </c>
      <c r="U886" s="87" t="s">
        <v>210</v>
      </c>
      <c r="V886" s="87">
        <v>-4</v>
      </c>
      <c r="BA886" s="95"/>
    </row>
    <row r="887" spans="1:53" s="87" customFormat="1">
      <c r="A887" s="90" t="str">
        <f t="shared" si="39"/>
        <v/>
      </c>
      <c r="B887" s="87">
        <v>6</v>
      </c>
      <c r="C887" s="87">
        <v>-2</v>
      </c>
      <c r="D887" s="87" t="s">
        <v>210</v>
      </c>
      <c r="E887" s="87">
        <v>3</v>
      </c>
      <c r="F887" s="87" t="s">
        <v>210</v>
      </c>
      <c r="G887" s="87">
        <v>-1</v>
      </c>
      <c r="H887" s="87">
        <v>2</v>
      </c>
      <c r="I887" s="87" t="s">
        <v>210</v>
      </c>
      <c r="J887" s="87">
        <v>-4</v>
      </c>
      <c r="K887" s="87" t="s">
        <v>210</v>
      </c>
      <c r="L887" s="87">
        <v>1</v>
      </c>
      <c r="M887" s="87">
        <v>-3</v>
      </c>
      <c r="N887" s="87" t="s">
        <v>210</v>
      </c>
      <c r="O887" s="87">
        <v>-1</v>
      </c>
      <c r="P887" s="87">
        <v>-2</v>
      </c>
      <c r="Q887" s="87" t="s">
        <v>210</v>
      </c>
      <c r="R887" s="87">
        <v>1</v>
      </c>
      <c r="S887" s="87" t="s">
        <v>210</v>
      </c>
      <c r="T887" s="87">
        <v>3</v>
      </c>
      <c r="U887" s="87" t="s">
        <v>210</v>
      </c>
      <c r="V887" s="87">
        <v>4</v>
      </c>
      <c r="BA887" s="95"/>
    </row>
    <row r="888" spans="1:53" s="87" customFormat="1">
      <c r="A888" s="90" t="str">
        <f t="shared" si="39"/>
        <v/>
      </c>
      <c r="B888" s="87">
        <v>7</v>
      </c>
      <c r="C888" s="87" t="s">
        <v>210</v>
      </c>
      <c r="D888" s="87">
        <v>-2</v>
      </c>
      <c r="E888" s="87" t="s">
        <v>210</v>
      </c>
      <c r="F888" s="87">
        <v>-1</v>
      </c>
      <c r="G888" s="87">
        <v>-4</v>
      </c>
      <c r="H888" s="87" t="s">
        <v>210</v>
      </c>
      <c r="I888" s="87">
        <v>3</v>
      </c>
      <c r="J888" s="87" t="s">
        <v>210</v>
      </c>
      <c r="K888" s="87">
        <v>4</v>
      </c>
      <c r="L888" s="87">
        <v>2</v>
      </c>
      <c r="M888" s="87" t="s">
        <v>210</v>
      </c>
      <c r="N888" s="87">
        <v>-4</v>
      </c>
      <c r="O888" s="87">
        <v>3</v>
      </c>
      <c r="P888" s="87" t="s">
        <v>210</v>
      </c>
      <c r="Q888" s="87">
        <v>-2</v>
      </c>
      <c r="R888" s="87" t="s">
        <v>210</v>
      </c>
      <c r="S888" s="87">
        <v>4</v>
      </c>
      <c r="T888" s="87">
        <v>-3</v>
      </c>
      <c r="U888" s="87" t="s">
        <v>210</v>
      </c>
      <c r="V888" s="87">
        <v>1</v>
      </c>
      <c r="BA888" s="95"/>
    </row>
    <row r="889" spans="1:53" s="87" customFormat="1">
      <c r="A889" s="90" t="str">
        <f t="shared" si="39"/>
        <v/>
      </c>
      <c r="B889" s="87">
        <v>8</v>
      </c>
      <c r="C889" s="87" t="s">
        <v>210</v>
      </c>
      <c r="D889" s="87">
        <v>-1</v>
      </c>
      <c r="E889" s="87">
        <v>-4</v>
      </c>
      <c r="F889" s="87" t="s">
        <v>210</v>
      </c>
      <c r="G889" s="87">
        <v>3</v>
      </c>
      <c r="H889" s="87" t="s">
        <v>210</v>
      </c>
      <c r="I889" s="87">
        <v>1</v>
      </c>
      <c r="J889" s="87">
        <v>2</v>
      </c>
      <c r="K889" s="87" t="s">
        <v>210</v>
      </c>
      <c r="L889" s="87">
        <v>-4</v>
      </c>
      <c r="M889" s="87">
        <v>2</v>
      </c>
      <c r="N889" s="87" t="s">
        <v>210</v>
      </c>
      <c r="O889" s="87">
        <v>1</v>
      </c>
      <c r="P889" s="87" t="s">
        <v>210</v>
      </c>
      <c r="Q889" s="87">
        <v>4</v>
      </c>
      <c r="R889" s="87">
        <v>-3</v>
      </c>
      <c r="S889" s="87" t="s">
        <v>210</v>
      </c>
      <c r="T889" s="87">
        <v>-2</v>
      </c>
      <c r="U889" s="87" t="s">
        <v>210</v>
      </c>
      <c r="V889" s="87">
        <v>-1</v>
      </c>
      <c r="BA889" s="95"/>
    </row>
    <row r="890" spans="1:53" s="87" customFormat="1">
      <c r="A890" s="90" t="str">
        <f t="shared" si="39"/>
        <v/>
      </c>
      <c r="B890" s="87">
        <v>9</v>
      </c>
      <c r="C890" s="87">
        <v>-1</v>
      </c>
      <c r="D890" s="87" t="s">
        <v>210</v>
      </c>
      <c r="E890" s="87">
        <v>-2</v>
      </c>
      <c r="F890" s="87">
        <v>-3</v>
      </c>
      <c r="G890" s="87" t="s">
        <v>210</v>
      </c>
      <c r="H890" s="87">
        <v>4</v>
      </c>
      <c r="I890" s="87" t="s">
        <v>210</v>
      </c>
      <c r="J890" s="87">
        <v>-2</v>
      </c>
      <c r="K890" s="87">
        <v>1</v>
      </c>
      <c r="L890" s="87" t="s">
        <v>210</v>
      </c>
      <c r="M890" s="87">
        <v>3</v>
      </c>
      <c r="N890" s="87">
        <v>1</v>
      </c>
      <c r="O890" s="87" t="s">
        <v>210</v>
      </c>
      <c r="P890" s="87">
        <v>-3</v>
      </c>
      <c r="Q890" s="87" t="s">
        <v>210</v>
      </c>
      <c r="R890" s="87">
        <v>2</v>
      </c>
      <c r="S890" s="87">
        <v>-4</v>
      </c>
      <c r="T890" s="87" t="s">
        <v>210</v>
      </c>
      <c r="U890" s="87">
        <v>2</v>
      </c>
      <c r="V890" s="87" t="s">
        <v>210</v>
      </c>
      <c r="BA890" s="95"/>
    </row>
    <row r="891" spans="1:53" s="87" customFormat="1">
      <c r="A891" s="90" t="str">
        <f t="shared" si="39"/>
        <v/>
      </c>
      <c r="B891" s="87">
        <v>10</v>
      </c>
      <c r="C891" s="87">
        <v>-4</v>
      </c>
      <c r="D891" s="87">
        <v>-3</v>
      </c>
      <c r="E891" s="87" t="s">
        <v>210</v>
      </c>
      <c r="F891" s="87">
        <v>1</v>
      </c>
      <c r="G891" s="87" t="s">
        <v>210</v>
      </c>
      <c r="H891" s="87">
        <v>3</v>
      </c>
      <c r="I891" s="87">
        <v>2</v>
      </c>
      <c r="J891" s="87" t="s">
        <v>210</v>
      </c>
      <c r="K891" s="87">
        <v>-3</v>
      </c>
      <c r="L891" s="87" t="s">
        <v>210</v>
      </c>
      <c r="M891" s="87">
        <v>4</v>
      </c>
      <c r="N891" s="87">
        <v>3</v>
      </c>
      <c r="O891" s="87" t="s">
        <v>210</v>
      </c>
      <c r="P891" s="87">
        <v>2</v>
      </c>
      <c r="Q891" s="87">
        <v>-4</v>
      </c>
      <c r="R891" s="87" t="s">
        <v>210</v>
      </c>
      <c r="S891" s="87">
        <v>-1</v>
      </c>
      <c r="T891" s="87" t="s">
        <v>210</v>
      </c>
      <c r="U891" s="87">
        <v>-2</v>
      </c>
      <c r="V891" s="87" t="s">
        <v>210</v>
      </c>
      <c r="BA891" s="95"/>
    </row>
    <row r="892" spans="1:53" s="87" customFormat="1">
      <c r="A892" s="90" t="str">
        <f t="shared" si="39"/>
        <v/>
      </c>
      <c r="B892" s="87">
        <v>11</v>
      </c>
      <c r="C892" s="87">
        <v>4</v>
      </c>
      <c r="D892" s="87" t="s">
        <v>210</v>
      </c>
      <c r="E892" s="87">
        <v>1</v>
      </c>
      <c r="F892" s="87" t="s">
        <v>210</v>
      </c>
      <c r="G892" s="87">
        <v>-2</v>
      </c>
      <c r="H892" s="87">
        <v>-4</v>
      </c>
      <c r="I892" s="87" t="s">
        <v>210</v>
      </c>
      <c r="J892" s="87">
        <v>3</v>
      </c>
      <c r="K892" s="87">
        <v>-2</v>
      </c>
      <c r="L892" s="87" t="s">
        <v>210</v>
      </c>
      <c r="M892" s="87">
        <v>1</v>
      </c>
      <c r="N892" s="87" t="s">
        <v>210</v>
      </c>
      <c r="O892" s="87">
        <v>-3</v>
      </c>
      <c r="P892" s="87">
        <v>-4</v>
      </c>
      <c r="Q892" s="87" t="s">
        <v>210</v>
      </c>
      <c r="R892" s="87">
        <v>-1</v>
      </c>
      <c r="S892" s="87" t="s">
        <v>210</v>
      </c>
      <c r="T892" s="87">
        <v>2</v>
      </c>
      <c r="U892" s="87">
        <v>3</v>
      </c>
      <c r="V892" s="87" t="s">
        <v>210</v>
      </c>
      <c r="BA892" s="95"/>
    </row>
    <row r="893" spans="1:53" s="87" customFormat="1">
      <c r="A893" s="90" t="str">
        <f t="shared" si="39"/>
        <v/>
      </c>
      <c r="B893" s="87">
        <v>12</v>
      </c>
      <c r="C893" s="87" t="s">
        <v>210</v>
      </c>
      <c r="D893" s="87">
        <v>3</v>
      </c>
      <c r="E893" s="87">
        <v>2</v>
      </c>
      <c r="F893" s="87" t="s">
        <v>210</v>
      </c>
      <c r="G893" s="87">
        <v>4</v>
      </c>
      <c r="H893" s="87">
        <v>-1</v>
      </c>
      <c r="I893" s="87" t="s">
        <v>210</v>
      </c>
      <c r="J893" s="87">
        <v>4</v>
      </c>
      <c r="K893" s="87" t="s">
        <v>210</v>
      </c>
      <c r="L893" s="87">
        <v>3</v>
      </c>
      <c r="M893" s="87">
        <v>-2</v>
      </c>
      <c r="N893" s="87" t="s">
        <v>210</v>
      </c>
      <c r="O893" s="87">
        <v>-4</v>
      </c>
      <c r="P893" s="87" t="s">
        <v>210</v>
      </c>
      <c r="Q893" s="87">
        <v>1</v>
      </c>
      <c r="R893" s="87">
        <v>-4</v>
      </c>
      <c r="S893" s="87" t="s">
        <v>210</v>
      </c>
      <c r="T893" s="87">
        <v>-1</v>
      </c>
      <c r="U893" s="87">
        <v>-3</v>
      </c>
      <c r="V893" s="87" t="s">
        <v>210</v>
      </c>
      <c r="BA893" s="95"/>
    </row>
    <row r="894" spans="1:53" s="87" customFormat="1">
      <c r="A894" s="90" t="str">
        <f t="shared" si="39"/>
        <v/>
      </c>
      <c r="B894" s="87">
        <v>13</v>
      </c>
      <c r="C894" s="87">
        <v>1</v>
      </c>
      <c r="D894" s="87">
        <v>4</v>
      </c>
      <c r="E894" s="87" t="s">
        <v>210</v>
      </c>
      <c r="F894" s="87">
        <v>-2</v>
      </c>
      <c r="G894" s="87">
        <v>-3</v>
      </c>
      <c r="H894" s="87" t="s">
        <v>210</v>
      </c>
      <c r="I894" s="87">
        <v>-4</v>
      </c>
      <c r="J894" s="87" t="s">
        <v>210</v>
      </c>
      <c r="K894" s="87">
        <v>3</v>
      </c>
      <c r="L894" s="87">
        <v>-1</v>
      </c>
      <c r="M894" s="87" t="s">
        <v>210</v>
      </c>
      <c r="N894" s="87">
        <v>-2</v>
      </c>
      <c r="O894" s="87" t="s">
        <v>210</v>
      </c>
      <c r="P894" s="87">
        <v>4</v>
      </c>
      <c r="Q894" s="87">
        <v>2</v>
      </c>
      <c r="R894" s="87" t="s">
        <v>210</v>
      </c>
      <c r="S894" s="87">
        <v>-3</v>
      </c>
      <c r="T894" s="87">
        <v>1</v>
      </c>
      <c r="U894" s="87" t="s">
        <v>210</v>
      </c>
      <c r="V894" s="87" t="s">
        <v>210</v>
      </c>
      <c r="BA894" s="95"/>
    </row>
    <row r="895" spans="1:53" s="87" customFormat="1">
      <c r="A895" s="90" t="str">
        <f t="shared" si="39"/>
        <v/>
      </c>
      <c r="B895" s="318" t="s">
        <v>298</v>
      </c>
      <c r="BA895" s="95"/>
    </row>
    <row r="896" spans="1:53" s="87" customFormat="1">
      <c r="A896" s="90">
        <f t="shared" si="39"/>
        <v>896</v>
      </c>
      <c r="B896" s="87" t="s">
        <v>1078</v>
      </c>
      <c r="BA896" s="95"/>
    </row>
    <row r="897" spans="1:53" s="87" customFormat="1">
      <c r="A897" s="90" t="str">
        <f t="shared" si="39"/>
        <v/>
      </c>
      <c r="B897" s="87">
        <v>1</v>
      </c>
      <c r="C897" s="87">
        <v>4</v>
      </c>
      <c r="D897" s="87" t="s">
        <v>210</v>
      </c>
      <c r="E897" s="87" t="s">
        <v>210</v>
      </c>
      <c r="F897" s="87">
        <v>-3</v>
      </c>
      <c r="G897" s="87">
        <v>-4</v>
      </c>
      <c r="H897" s="87" t="s">
        <v>210</v>
      </c>
      <c r="I897" s="87" t="s">
        <v>210</v>
      </c>
      <c r="J897" s="87" t="s">
        <v>210</v>
      </c>
      <c r="K897" s="87" t="s">
        <v>210</v>
      </c>
      <c r="L897" s="87">
        <v>1</v>
      </c>
      <c r="M897" s="87">
        <v>2</v>
      </c>
      <c r="N897" s="87" t="s">
        <v>210</v>
      </c>
      <c r="BA897" s="95"/>
    </row>
    <row r="898" spans="1:53" s="87" customFormat="1">
      <c r="A898" s="90" t="str">
        <f t="shared" si="39"/>
        <v/>
      </c>
      <c r="B898" s="87">
        <v>2</v>
      </c>
      <c r="C898" s="87">
        <v>2</v>
      </c>
      <c r="D898" s="87" t="s">
        <v>210</v>
      </c>
      <c r="E898" s="87" t="s">
        <v>210</v>
      </c>
      <c r="F898" s="87">
        <v>-4</v>
      </c>
      <c r="G898" s="87" t="s">
        <v>210</v>
      </c>
      <c r="H898" s="87" t="s">
        <v>210</v>
      </c>
      <c r="I898" s="87">
        <v>1</v>
      </c>
      <c r="J898" s="87" t="s">
        <v>210</v>
      </c>
      <c r="K898" s="87" t="s">
        <v>210</v>
      </c>
      <c r="L898" s="87">
        <v>3</v>
      </c>
      <c r="M898" s="87">
        <v>-2</v>
      </c>
      <c r="N898" s="87" t="s">
        <v>210</v>
      </c>
      <c r="BA898" s="95"/>
    </row>
    <row r="899" spans="1:53" s="87" customFormat="1">
      <c r="A899" s="90" t="str">
        <f t="shared" si="39"/>
        <v/>
      </c>
      <c r="B899" s="87">
        <v>3</v>
      </c>
      <c r="C899" s="87">
        <v>1</v>
      </c>
      <c r="D899" s="87" t="s">
        <v>210</v>
      </c>
      <c r="E899" s="87" t="s">
        <v>210</v>
      </c>
      <c r="F899" s="87">
        <v>4</v>
      </c>
      <c r="G899" s="87">
        <v>-2</v>
      </c>
      <c r="H899" s="87" t="s">
        <v>210</v>
      </c>
      <c r="I899" s="87" t="s">
        <v>210</v>
      </c>
      <c r="J899" s="87" t="s">
        <v>210</v>
      </c>
      <c r="K899" s="87" t="s">
        <v>210</v>
      </c>
      <c r="L899" s="87">
        <v>-1</v>
      </c>
      <c r="M899" s="87">
        <v>3</v>
      </c>
      <c r="N899" s="87" t="s">
        <v>210</v>
      </c>
      <c r="BA899" s="95"/>
    </row>
    <row r="900" spans="1:53" s="87" customFormat="1">
      <c r="A900" s="90" t="str">
        <f t="shared" si="39"/>
        <v/>
      </c>
      <c r="B900" s="87">
        <v>4</v>
      </c>
      <c r="C900" s="87">
        <v>-4</v>
      </c>
      <c r="D900" s="87" t="s">
        <v>210</v>
      </c>
      <c r="E900" s="87" t="s">
        <v>210</v>
      </c>
      <c r="F900" s="87">
        <v>2</v>
      </c>
      <c r="G900" s="87" t="s">
        <v>210</v>
      </c>
      <c r="H900" s="87" t="s">
        <v>210</v>
      </c>
      <c r="I900" s="87">
        <v>-1</v>
      </c>
      <c r="J900" s="87" t="s">
        <v>210</v>
      </c>
      <c r="K900" s="87" t="s">
        <v>210</v>
      </c>
      <c r="L900" s="87">
        <v>4</v>
      </c>
      <c r="M900" s="87">
        <v>-3</v>
      </c>
      <c r="N900" s="87" t="s">
        <v>210</v>
      </c>
      <c r="BA900" s="95"/>
    </row>
    <row r="901" spans="1:53" s="87" customFormat="1">
      <c r="A901" s="90" t="str">
        <f t="shared" si="39"/>
        <v/>
      </c>
      <c r="B901" s="87">
        <v>5</v>
      </c>
      <c r="C901" s="87">
        <v>-1</v>
      </c>
      <c r="D901" s="87" t="s">
        <v>210</v>
      </c>
      <c r="E901" s="87" t="s">
        <v>210</v>
      </c>
      <c r="F901" s="87">
        <v>-2</v>
      </c>
      <c r="G901" s="87">
        <v>4</v>
      </c>
      <c r="H901" s="87" t="s">
        <v>210</v>
      </c>
      <c r="I901" s="87" t="s">
        <v>210</v>
      </c>
      <c r="J901" s="87" t="s">
        <v>210</v>
      </c>
      <c r="K901" s="87" t="s">
        <v>210</v>
      </c>
      <c r="L901" s="87">
        <v>-3</v>
      </c>
      <c r="M901" s="87">
        <v>1</v>
      </c>
      <c r="N901" s="87" t="s">
        <v>210</v>
      </c>
      <c r="BA901" s="95"/>
    </row>
    <row r="902" spans="1:53" s="87" customFormat="1">
      <c r="A902" s="90" t="str">
        <f t="shared" si="39"/>
        <v/>
      </c>
      <c r="B902" s="232">
        <v>6</v>
      </c>
      <c r="C902" s="233">
        <v>-2</v>
      </c>
      <c r="D902" s="233" t="s">
        <v>210</v>
      </c>
      <c r="E902" s="233" t="s">
        <v>210</v>
      </c>
      <c r="F902" s="233">
        <v>3</v>
      </c>
      <c r="G902" s="233">
        <v>2</v>
      </c>
      <c r="H902" s="233" t="s">
        <v>210</v>
      </c>
      <c r="I902" s="233" t="s">
        <v>210</v>
      </c>
      <c r="J902" s="233" t="s">
        <v>210</v>
      </c>
      <c r="K902" s="233" t="s">
        <v>210</v>
      </c>
      <c r="L902" s="233">
        <v>-4</v>
      </c>
      <c r="M902" s="233">
        <v>-1</v>
      </c>
      <c r="N902" s="233" t="s">
        <v>210</v>
      </c>
      <c r="BA902" s="95"/>
    </row>
    <row r="903" spans="1:53" s="87" customFormat="1">
      <c r="A903" s="90" t="str">
        <f t="shared" si="39"/>
        <v/>
      </c>
      <c r="B903" s="87">
        <v>7</v>
      </c>
      <c r="C903" s="87" t="s">
        <v>210</v>
      </c>
      <c r="D903" s="87" t="s">
        <v>210</v>
      </c>
      <c r="E903" s="87">
        <v>3</v>
      </c>
      <c r="F903" s="87" t="s">
        <v>210</v>
      </c>
      <c r="G903" s="87" t="s">
        <v>210</v>
      </c>
      <c r="H903" s="87">
        <v>-1</v>
      </c>
      <c r="I903" s="87">
        <v>-3</v>
      </c>
      <c r="J903" s="87" t="s">
        <v>210</v>
      </c>
      <c r="K903" s="87">
        <v>4</v>
      </c>
      <c r="L903" s="87" t="s">
        <v>210</v>
      </c>
      <c r="M903" s="87" t="s">
        <v>210</v>
      </c>
      <c r="N903" s="87">
        <v>2</v>
      </c>
      <c r="BA903" s="95"/>
    </row>
    <row r="904" spans="1:53" s="87" customFormat="1">
      <c r="A904" s="90" t="str">
        <f t="shared" si="39"/>
        <v/>
      </c>
      <c r="B904" s="87">
        <v>8</v>
      </c>
      <c r="C904" s="87" t="s">
        <v>210</v>
      </c>
      <c r="D904" s="87">
        <v>-1</v>
      </c>
      <c r="E904" s="87" t="s">
        <v>210</v>
      </c>
      <c r="F904" s="87" t="s">
        <v>210</v>
      </c>
      <c r="G904" s="87" t="s">
        <v>210</v>
      </c>
      <c r="H904" s="87">
        <v>-3</v>
      </c>
      <c r="I904" s="87">
        <v>4</v>
      </c>
      <c r="J904" s="87" t="s">
        <v>210</v>
      </c>
      <c r="K904" s="87">
        <v>1</v>
      </c>
      <c r="L904" s="87" t="s">
        <v>210</v>
      </c>
      <c r="M904" s="87" t="s">
        <v>210</v>
      </c>
      <c r="N904" s="87">
        <v>-2</v>
      </c>
      <c r="BA904" s="95"/>
    </row>
    <row r="905" spans="1:53" s="87" customFormat="1">
      <c r="A905" s="90" t="str">
        <f t="shared" si="39"/>
        <v/>
      </c>
      <c r="B905" s="87">
        <v>9</v>
      </c>
      <c r="C905" s="87" t="s">
        <v>210</v>
      </c>
      <c r="D905" s="87" t="s">
        <v>210</v>
      </c>
      <c r="E905" s="87">
        <v>-3</v>
      </c>
      <c r="F905" s="87" t="s">
        <v>210</v>
      </c>
      <c r="G905" s="87" t="s">
        <v>210</v>
      </c>
      <c r="H905" s="87">
        <v>4</v>
      </c>
      <c r="I905" s="87">
        <v>2</v>
      </c>
      <c r="J905" s="87" t="s">
        <v>210</v>
      </c>
      <c r="K905" s="87">
        <v>-1</v>
      </c>
      <c r="L905" s="87" t="s">
        <v>210</v>
      </c>
      <c r="M905" s="87" t="s">
        <v>210</v>
      </c>
      <c r="N905" s="87">
        <v>3</v>
      </c>
      <c r="BA905" s="95"/>
    </row>
    <row r="906" spans="1:53" s="87" customFormat="1">
      <c r="A906" s="90" t="str">
        <f t="shared" si="39"/>
        <v/>
      </c>
      <c r="B906" s="87">
        <v>10</v>
      </c>
      <c r="C906" s="87" t="s">
        <v>210</v>
      </c>
      <c r="D906" s="87">
        <v>-2</v>
      </c>
      <c r="E906" s="87" t="s">
        <v>210</v>
      </c>
      <c r="F906" s="87" t="s">
        <v>210</v>
      </c>
      <c r="G906" s="87" t="s">
        <v>210</v>
      </c>
      <c r="H906" s="87">
        <v>1</v>
      </c>
      <c r="I906" s="87">
        <v>-4</v>
      </c>
      <c r="J906" s="87" t="s">
        <v>210</v>
      </c>
      <c r="K906" s="87">
        <v>2</v>
      </c>
      <c r="L906" s="318" t="s">
        <v>210</v>
      </c>
      <c r="M906" s="87" t="s">
        <v>210</v>
      </c>
      <c r="N906" s="87">
        <v>-3</v>
      </c>
      <c r="BA906" s="95"/>
    </row>
    <row r="907" spans="1:53" s="87" customFormat="1">
      <c r="A907" s="90" t="str">
        <f t="shared" si="39"/>
        <v/>
      </c>
      <c r="B907" s="87">
        <v>11</v>
      </c>
      <c r="C907" s="87" t="s">
        <v>210</v>
      </c>
      <c r="D907" s="87">
        <v>2</v>
      </c>
      <c r="E907" s="87" t="s">
        <v>210</v>
      </c>
      <c r="F907" s="87" t="s">
        <v>210</v>
      </c>
      <c r="G907" s="87" t="s">
        <v>210</v>
      </c>
      <c r="H907" s="87">
        <v>3</v>
      </c>
      <c r="I907" s="87">
        <v>-2</v>
      </c>
      <c r="J907" s="87" t="s">
        <v>210</v>
      </c>
      <c r="K907" s="87">
        <v>-4</v>
      </c>
      <c r="L907" s="87" t="s">
        <v>210</v>
      </c>
      <c r="M907" s="87" t="s">
        <v>210</v>
      </c>
      <c r="N907" s="87">
        <v>1</v>
      </c>
      <c r="BA907" s="95"/>
    </row>
    <row r="908" spans="1:53" s="87" customFormat="1">
      <c r="A908" s="90" t="str">
        <f t="shared" ref="A908:A971" si="40">IF(MID(B908,3,2)="04",ROW(),"")</f>
        <v/>
      </c>
      <c r="B908" s="232">
        <v>12</v>
      </c>
      <c r="C908" s="233" t="s">
        <v>210</v>
      </c>
      <c r="D908" s="233">
        <v>1</v>
      </c>
      <c r="E908" s="233" t="s">
        <v>210</v>
      </c>
      <c r="F908" s="233" t="s">
        <v>210</v>
      </c>
      <c r="G908" s="233" t="s">
        <v>210</v>
      </c>
      <c r="H908" s="233">
        <v>-4</v>
      </c>
      <c r="I908" s="233">
        <v>3</v>
      </c>
      <c r="J908" s="233" t="s">
        <v>210</v>
      </c>
      <c r="K908" s="233">
        <v>-2</v>
      </c>
      <c r="L908" s="361" t="s">
        <v>210</v>
      </c>
      <c r="M908" s="233" t="s">
        <v>210</v>
      </c>
      <c r="N908" s="233">
        <v>-1</v>
      </c>
      <c r="BA908" s="95"/>
    </row>
    <row r="909" spans="1:53" s="87" customFormat="1">
      <c r="A909" s="90" t="str">
        <f t="shared" si="40"/>
        <v/>
      </c>
      <c r="B909" s="87">
        <v>13</v>
      </c>
      <c r="C909" s="87" t="s">
        <v>210</v>
      </c>
      <c r="D909" s="87">
        <v>3</v>
      </c>
      <c r="E909" s="87">
        <v>2</v>
      </c>
      <c r="F909" s="87" t="s">
        <v>210</v>
      </c>
      <c r="G909" s="87">
        <v>-3</v>
      </c>
      <c r="H909" s="87" t="s">
        <v>210</v>
      </c>
      <c r="I909" s="87" t="s">
        <v>210</v>
      </c>
      <c r="J909" s="87">
        <v>1</v>
      </c>
      <c r="K909" s="87" t="s">
        <v>210</v>
      </c>
      <c r="L909" s="87" t="s">
        <v>210</v>
      </c>
      <c r="M909" s="87">
        <v>-4</v>
      </c>
      <c r="N909" s="87" t="s">
        <v>210</v>
      </c>
      <c r="BA909" s="95"/>
    </row>
    <row r="910" spans="1:53" s="87" customFormat="1">
      <c r="A910" s="90" t="str">
        <f t="shared" si="40"/>
        <v/>
      </c>
      <c r="B910" s="87">
        <v>14</v>
      </c>
      <c r="C910" s="87" t="s">
        <v>210</v>
      </c>
      <c r="D910" s="87">
        <v>-4</v>
      </c>
      <c r="E910" s="87">
        <v>1</v>
      </c>
      <c r="F910" s="87" t="s">
        <v>210</v>
      </c>
      <c r="G910" s="87" t="s">
        <v>210</v>
      </c>
      <c r="H910" s="87">
        <v>-2</v>
      </c>
      <c r="I910" s="87" t="s">
        <v>210</v>
      </c>
      <c r="J910" s="87">
        <v>-3</v>
      </c>
      <c r="K910" s="87" t="s">
        <v>210</v>
      </c>
      <c r="L910" s="87" t="s">
        <v>210</v>
      </c>
      <c r="M910" s="87">
        <v>4</v>
      </c>
      <c r="N910" s="87" t="s">
        <v>210</v>
      </c>
      <c r="BA910" s="95"/>
    </row>
    <row r="911" spans="1:53" s="87" customFormat="1">
      <c r="A911" s="90" t="str">
        <f t="shared" si="40"/>
        <v/>
      </c>
      <c r="B911" s="87">
        <v>15</v>
      </c>
      <c r="C911" s="87">
        <v>-3</v>
      </c>
      <c r="D911" s="87" t="s">
        <v>210</v>
      </c>
      <c r="E911" s="87">
        <v>-1</v>
      </c>
      <c r="F911" s="87" t="s">
        <v>210</v>
      </c>
      <c r="G911" s="87">
        <v>3</v>
      </c>
      <c r="H911" s="87" t="s">
        <v>210</v>
      </c>
      <c r="I911" s="87" t="s">
        <v>210</v>
      </c>
      <c r="J911" s="87">
        <v>4</v>
      </c>
      <c r="K911" s="318" t="s">
        <v>210</v>
      </c>
      <c r="L911" s="87">
        <v>-2</v>
      </c>
      <c r="M911" s="87" t="s">
        <v>210</v>
      </c>
      <c r="N911" s="87" t="s">
        <v>210</v>
      </c>
      <c r="BA911" s="95"/>
    </row>
    <row r="912" spans="1:53" s="87" customFormat="1">
      <c r="A912" s="90" t="str">
        <f t="shared" si="40"/>
        <v/>
      </c>
      <c r="B912" s="87">
        <v>16</v>
      </c>
      <c r="C912" s="87" t="s">
        <v>210</v>
      </c>
      <c r="D912" s="87">
        <v>-3</v>
      </c>
      <c r="E912" s="87">
        <v>4</v>
      </c>
      <c r="F912" s="87" t="s">
        <v>210</v>
      </c>
      <c r="G912" s="87">
        <v>-1</v>
      </c>
      <c r="H912" s="87" t="s">
        <v>210</v>
      </c>
      <c r="I912" s="87" t="s">
        <v>210</v>
      </c>
      <c r="J912" s="87">
        <v>3</v>
      </c>
      <c r="K912" s="318" t="s">
        <v>210</v>
      </c>
      <c r="L912" s="87">
        <v>2</v>
      </c>
      <c r="M912" s="87" t="s">
        <v>210</v>
      </c>
      <c r="N912" s="87" t="s">
        <v>210</v>
      </c>
      <c r="BA912" s="95"/>
    </row>
    <row r="913" spans="1:53" s="87" customFormat="1">
      <c r="A913" s="90" t="str">
        <f t="shared" si="40"/>
        <v/>
      </c>
      <c r="B913" s="87">
        <v>17</v>
      </c>
      <c r="C913" s="87">
        <v>3</v>
      </c>
      <c r="D913" s="87" t="s">
        <v>210</v>
      </c>
      <c r="E913" s="87">
        <v>-4</v>
      </c>
      <c r="F913" s="87" t="s">
        <v>210</v>
      </c>
      <c r="G913" s="87" t="s">
        <v>210</v>
      </c>
      <c r="H913" s="87">
        <v>2</v>
      </c>
      <c r="I913" s="87" t="s">
        <v>210</v>
      </c>
      <c r="J913" s="87">
        <v>-1</v>
      </c>
      <c r="K913" s="87">
        <v>-3</v>
      </c>
      <c r="L913" s="87" t="s">
        <v>210</v>
      </c>
      <c r="M913" s="87" t="s">
        <v>210</v>
      </c>
      <c r="N913" s="87" t="s">
        <v>210</v>
      </c>
      <c r="BA913" s="95"/>
    </row>
    <row r="914" spans="1:53" s="87" customFormat="1">
      <c r="A914" s="90" t="str">
        <f t="shared" si="40"/>
        <v/>
      </c>
      <c r="B914" s="87">
        <v>18</v>
      </c>
      <c r="C914" s="87" t="s">
        <v>210</v>
      </c>
      <c r="D914" s="87">
        <v>4</v>
      </c>
      <c r="E914" s="87">
        <v>-2</v>
      </c>
      <c r="F914" s="87" t="s">
        <v>210</v>
      </c>
      <c r="G914" s="87">
        <v>1</v>
      </c>
      <c r="H914" s="87" t="s">
        <v>210</v>
      </c>
      <c r="I914" s="87" t="s">
        <v>210</v>
      </c>
      <c r="J914" s="87">
        <v>-4</v>
      </c>
      <c r="K914" s="87">
        <v>3</v>
      </c>
      <c r="L914" s="87" t="s">
        <v>210</v>
      </c>
      <c r="M914" s="87" t="s">
        <v>210</v>
      </c>
      <c r="N914" s="87" t="s">
        <v>210</v>
      </c>
      <c r="BA914" s="95"/>
    </row>
    <row r="915" spans="1:53" s="87" customFormat="1">
      <c r="A915" s="90" t="str">
        <f t="shared" si="40"/>
        <v/>
      </c>
      <c r="B915" s="318" t="s">
        <v>1079</v>
      </c>
      <c r="BA915" s="95"/>
    </row>
    <row r="916" spans="1:53" s="87" customFormat="1">
      <c r="A916" s="90">
        <f t="shared" si="40"/>
        <v>916</v>
      </c>
      <c r="B916" s="318" t="s">
        <v>1238</v>
      </c>
      <c r="BA916" s="95"/>
    </row>
    <row r="917" spans="1:53" s="87" customFormat="1">
      <c r="A917" s="90" t="str">
        <f t="shared" si="40"/>
        <v/>
      </c>
      <c r="B917" s="87">
        <v>1</v>
      </c>
      <c r="C917" s="87" t="s">
        <v>210</v>
      </c>
      <c r="D917" s="87">
        <v>1</v>
      </c>
      <c r="E917" s="87">
        <v>3</v>
      </c>
      <c r="F917" s="87">
        <v>2</v>
      </c>
      <c r="G917" s="87" t="s">
        <v>210</v>
      </c>
      <c r="H917" s="87">
        <v>-4</v>
      </c>
      <c r="I917" s="87">
        <v>-2</v>
      </c>
      <c r="BA917" s="95"/>
    </row>
    <row r="918" spans="1:53" s="87" customFormat="1">
      <c r="A918" s="90" t="str">
        <f t="shared" si="40"/>
        <v/>
      </c>
      <c r="B918" s="87">
        <v>2</v>
      </c>
      <c r="C918" s="87">
        <v>-2</v>
      </c>
      <c r="D918" s="87">
        <v>-4</v>
      </c>
      <c r="E918" s="87" t="s">
        <v>210</v>
      </c>
      <c r="F918" s="87" t="s">
        <v>210</v>
      </c>
      <c r="G918" s="87">
        <v>3</v>
      </c>
      <c r="H918" s="87">
        <v>-1</v>
      </c>
      <c r="I918" s="87">
        <v>2</v>
      </c>
      <c r="BA918" s="95"/>
    </row>
    <row r="919" spans="1:53" s="87" customFormat="1">
      <c r="A919" s="90" t="str">
        <f t="shared" si="40"/>
        <v/>
      </c>
      <c r="B919" s="87">
        <v>3</v>
      </c>
      <c r="C919" s="87" t="s">
        <v>210</v>
      </c>
      <c r="D919" s="87">
        <v>3</v>
      </c>
      <c r="E919" s="87">
        <v>-4</v>
      </c>
      <c r="F919" s="87">
        <v>-2</v>
      </c>
      <c r="G919" s="87" t="s">
        <v>210</v>
      </c>
      <c r="H919" s="87">
        <v>1</v>
      </c>
      <c r="I919" s="87">
        <v>-3</v>
      </c>
      <c r="BA919" s="95"/>
    </row>
    <row r="920" spans="1:53" s="87" customFormat="1">
      <c r="A920" s="90" t="str">
        <f t="shared" si="40"/>
        <v/>
      </c>
      <c r="B920" s="87">
        <v>4</v>
      </c>
      <c r="C920" s="87" t="s">
        <v>210</v>
      </c>
      <c r="D920" s="87">
        <v>4</v>
      </c>
      <c r="E920" s="87">
        <v>-3</v>
      </c>
      <c r="F920" s="87" t="s">
        <v>210</v>
      </c>
      <c r="G920" s="87">
        <v>-1</v>
      </c>
      <c r="H920" s="87">
        <v>2</v>
      </c>
      <c r="I920" s="87">
        <v>3</v>
      </c>
      <c r="BA920" s="95"/>
    </row>
    <row r="921" spans="1:53" s="87" customFormat="1">
      <c r="A921" s="90" t="str">
        <f t="shared" si="40"/>
        <v/>
      </c>
      <c r="B921" s="87">
        <v>5</v>
      </c>
      <c r="C921" s="87" t="s">
        <v>210</v>
      </c>
      <c r="D921" s="87">
        <v>-1</v>
      </c>
      <c r="E921" s="87">
        <v>4</v>
      </c>
      <c r="F921" s="87" t="s">
        <v>210</v>
      </c>
      <c r="G921" s="87">
        <v>-3</v>
      </c>
      <c r="H921" s="87">
        <v>2</v>
      </c>
      <c r="I921" s="87">
        <v>1</v>
      </c>
      <c r="BA921" s="95"/>
    </row>
    <row r="922" spans="1:53" s="87" customFormat="1">
      <c r="A922" s="90" t="str">
        <f t="shared" si="40"/>
        <v/>
      </c>
      <c r="B922" s="232">
        <v>6</v>
      </c>
      <c r="C922" s="233">
        <v>2</v>
      </c>
      <c r="D922" s="233">
        <v>-3</v>
      </c>
      <c r="E922" s="233" t="s">
        <v>210</v>
      </c>
      <c r="F922" s="233" t="s">
        <v>210</v>
      </c>
      <c r="G922" s="233">
        <v>1</v>
      </c>
      <c r="H922" s="233">
        <v>4</v>
      </c>
      <c r="I922" s="233">
        <v>-1</v>
      </c>
      <c r="BA922" s="95"/>
    </row>
    <row r="923" spans="1:53" s="87" customFormat="1">
      <c r="A923" s="90" t="str">
        <f t="shared" si="40"/>
        <v/>
      </c>
      <c r="B923" s="87">
        <v>7</v>
      </c>
      <c r="C923" s="87">
        <v>-3</v>
      </c>
      <c r="D923" s="87" t="s">
        <v>210</v>
      </c>
      <c r="E923" s="87">
        <v>2</v>
      </c>
      <c r="F923" s="87" t="s">
        <v>210</v>
      </c>
      <c r="G923" s="87">
        <v>-4</v>
      </c>
      <c r="H923" s="87">
        <v>3</v>
      </c>
      <c r="I923" s="87" t="s">
        <v>210</v>
      </c>
      <c r="BA923" s="95"/>
    </row>
    <row r="924" spans="1:53" s="87" customFormat="1">
      <c r="A924" s="90" t="str">
        <f t="shared" si="40"/>
        <v/>
      </c>
      <c r="B924" s="87">
        <v>8</v>
      </c>
      <c r="C924" s="87" t="s">
        <v>210</v>
      </c>
      <c r="D924" s="87">
        <v>-2</v>
      </c>
      <c r="E924" s="87">
        <v>1</v>
      </c>
      <c r="F924" s="87">
        <v>-3</v>
      </c>
      <c r="G924" s="87">
        <v>4</v>
      </c>
      <c r="H924" s="87" t="s">
        <v>210</v>
      </c>
      <c r="I924" s="87" t="s">
        <v>210</v>
      </c>
      <c r="BA924" s="95"/>
    </row>
    <row r="925" spans="1:53" s="87" customFormat="1">
      <c r="A925" s="90" t="str">
        <f t="shared" si="40"/>
        <v/>
      </c>
      <c r="B925" s="87">
        <v>9</v>
      </c>
      <c r="C925" s="87">
        <v>1</v>
      </c>
      <c r="D925" s="87">
        <v>2</v>
      </c>
      <c r="E925" s="87" t="s">
        <v>210</v>
      </c>
      <c r="F925" s="87">
        <v>-4</v>
      </c>
      <c r="G925" s="87" t="s">
        <v>210</v>
      </c>
      <c r="H925" s="87">
        <v>-3</v>
      </c>
      <c r="I925" s="87" t="s">
        <v>210</v>
      </c>
      <c r="BA925" s="95"/>
    </row>
    <row r="926" spans="1:53" s="87" customFormat="1">
      <c r="A926" s="90" t="str">
        <f t="shared" si="40"/>
        <v/>
      </c>
      <c r="B926" s="87">
        <v>10</v>
      </c>
      <c r="C926" s="87">
        <v>-1</v>
      </c>
      <c r="D926" s="87" t="s">
        <v>210</v>
      </c>
      <c r="E926" s="87">
        <v>-2</v>
      </c>
      <c r="F926" s="87">
        <v>3</v>
      </c>
      <c r="G926" s="87">
        <v>2</v>
      </c>
      <c r="H926" s="87" t="s">
        <v>210</v>
      </c>
      <c r="I926" s="87" t="s">
        <v>210</v>
      </c>
      <c r="BA926" s="95"/>
    </row>
    <row r="927" spans="1:53" s="87" customFormat="1">
      <c r="A927" s="90" t="str">
        <f t="shared" si="40"/>
        <v/>
      </c>
      <c r="B927" s="87">
        <v>11</v>
      </c>
      <c r="C927" s="87">
        <v>3</v>
      </c>
      <c r="D927" s="87" t="s">
        <v>210</v>
      </c>
      <c r="E927" s="87">
        <v>-1</v>
      </c>
      <c r="F927" s="87">
        <v>4</v>
      </c>
      <c r="G927" s="87">
        <v>-2</v>
      </c>
      <c r="H927" s="87" t="s">
        <v>210</v>
      </c>
      <c r="I927" s="87" t="s">
        <v>210</v>
      </c>
      <c r="BA927" s="95"/>
    </row>
    <row r="928" spans="1:53" s="87" customFormat="1">
      <c r="A928" s="90" t="str">
        <f t="shared" si="40"/>
        <v/>
      </c>
      <c r="B928" s="318" t="s">
        <v>1080</v>
      </c>
      <c r="BA928" s="95"/>
    </row>
    <row r="929" spans="1:53" s="87" customFormat="1">
      <c r="A929" s="90">
        <f t="shared" si="40"/>
        <v>929</v>
      </c>
      <c r="B929" s="318" t="s">
        <v>1246</v>
      </c>
      <c r="BA929" s="95"/>
    </row>
    <row r="930" spans="1:53" s="87" customFormat="1">
      <c r="A930" s="90" t="str">
        <f t="shared" si="40"/>
        <v/>
      </c>
      <c r="B930" s="87">
        <v>1</v>
      </c>
      <c r="C930" s="87" t="s">
        <v>210</v>
      </c>
      <c r="D930" s="87" t="s">
        <v>210</v>
      </c>
      <c r="E930" s="87">
        <v>-2</v>
      </c>
      <c r="F930" s="87" t="s">
        <v>210</v>
      </c>
      <c r="G930" s="87">
        <v>3</v>
      </c>
      <c r="H930" s="87">
        <v>-1</v>
      </c>
      <c r="I930" s="87" t="s">
        <v>210</v>
      </c>
      <c r="J930" s="87">
        <v>-3</v>
      </c>
      <c r="K930" s="87" t="s">
        <v>210</v>
      </c>
      <c r="L930" s="87">
        <v>4</v>
      </c>
      <c r="M930" s="87">
        <v>2</v>
      </c>
      <c r="N930" s="87" t="s">
        <v>210</v>
      </c>
      <c r="O930" s="87">
        <v>3</v>
      </c>
      <c r="BA930" s="95"/>
    </row>
    <row r="931" spans="1:53" s="87" customFormat="1">
      <c r="A931" s="90" t="str">
        <f t="shared" si="40"/>
        <v/>
      </c>
      <c r="B931" s="87">
        <v>2</v>
      </c>
      <c r="C931" s="87" t="s">
        <v>210</v>
      </c>
      <c r="D931" s="87" t="s">
        <v>210</v>
      </c>
      <c r="E931" s="87">
        <v>1</v>
      </c>
      <c r="F931" s="87" t="s">
        <v>210</v>
      </c>
      <c r="G931" s="87">
        <v>-4</v>
      </c>
      <c r="H931" s="87">
        <v>-2</v>
      </c>
      <c r="I931" s="87" t="s">
        <v>210</v>
      </c>
      <c r="J931" s="87">
        <v>3</v>
      </c>
      <c r="K931" s="87" t="s">
        <v>210</v>
      </c>
      <c r="L931" s="87">
        <v>-2</v>
      </c>
      <c r="M931" s="87">
        <v>-3</v>
      </c>
      <c r="N931" s="87" t="s">
        <v>210</v>
      </c>
      <c r="O931" s="87">
        <v>2</v>
      </c>
      <c r="BA931" s="95"/>
    </row>
    <row r="932" spans="1:53" s="87" customFormat="1">
      <c r="A932" s="90" t="str">
        <f t="shared" si="40"/>
        <v/>
      </c>
      <c r="B932" s="87">
        <v>3</v>
      </c>
      <c r="C932" s="87">
        <v>1</v>
      </c>
      <c r="D932" s="87">
        <v>3</v>
      </c>
      <c r="E932" s="87" t="s">
        <v>210</v>
      </c>
      <c r="F932" s="87">
        <v>-4</v>
      </c>
      <c r="G932" s="87" t="s">
        <v>210</v>
      </c>
      <c r="H932" s="87">
        <v>2</v>
      </c>
      <c r="I932" s="87" t="s">
        <v>210</v>
      </c>
      <c r="J932" s="87" t="s">
        <v>210</v>
      </c>
      <c r="K932" s="87">
        <v>4</v>
      </c>
      <c r="L932" s="87" t="s">
        <v>210</v>
      </c>
      <c r="M932" s="87">
        <v>-2</v>
      </c>
      <c r="N932" s="87" t="s">
        <v>210</v>
      </c>
      <c r="O932" s="87">
        <v>-1</v>
      </c>
      <c r="BA932" s="95"/>
    </row>
    <row r="933" spans="1:53" s="87" customFormat="1">
      <c r="A933" s="90" t="str">
        <f t="shared" si="40"/>
        <v/>
      </c>
      <c r="B933" s="87">
        <v>4</v>
      </c>
      <c r="C933" s="87">
        <v>-3</v>
      </c>
      <c r="D933" s="87">
        <v>-1</v>
      </c>
      <c r="E933" s="87" t="s">
        <v>210</v>
      </c>
      <c r="F933" s="87">
        <v>-2</v>
      </c>
      <c r="G933" s="87" t="s">
        <v>210</v>
      </c>
      <c r="H933" s="87">
        <v>1</v>
      </c>
      <c r="I933" s="87" t="s">
        <v>210</v>
      </c>
      <c r="J933" s="87" t="s">
        <v>210</v>
      </c>
      <c r="K933" s="87">
        <v>-4</v>
      </c>
      <c r="L933" s="87" t="s">
        <v>210</v>
      </c>
      <c r="M933" s="87">
        <v>3</v>
      </c>
      <c r="N933" s="87" t="s">
        <v>210</v>
      </c>
      <c r="O933" s="87">
        <v>4</v>
      </c>
      <c r="BA933" s="95"/>
    </row>
    <row r="934" spans="1:53" s="87" customFormat="1">
      <c r="A934" s="90" t="str">
        <f t="shared" si="40"/>
        <v/>
      </c>
      <c r="B934" s="87">
        <v>5</v>
      </c>
      <c r="C934" s="87" t="s">
        <v>210</v>
      </c>
      <c r="D934" s="87">
        <v>1</v>
      </c>
      <c r="E934" s="87" t="s">
        <v>210</v>
      </c>
      <c r="F934" s="87">
        <v>4</v>
      </c>
      <c r="G934" s="87" t="s">
        <v>210</v>
      </c>
      <c r="H934" s="87">
        <v>3</v>
      </c>
      <c r="I934" s="87" t="s">
        <v>210</v>
      </c>
      <c r="J934" s="87">
        <v>-1</v>
      </c>
      <c r="K934" s="87" t="s">
        <v>210</v>
      </c>
      <c r="L934" s="87">
        <v>2</v>
      </c>
      <c r="M934" s="87" t="s">
        <v>210</v>
      </c>
      <c r="N934" s="87">
        <v>-4</v>
      </c>
      <c r="O934" s="87">
        <v>-3</v>
      </c>
      <c r="BA934" s="95"/>
    </row>
    <row r="935" spans="1:53" s="87" customFormat="1">
      <c r="A935" s="90" t="str">
        <f t="shared" si="40"/>
        <v/>
      </c>
      <c r="B935" s="87">
        <v>6</v>
      </c>
      <c r="C935" s="87" t="s">
        <v>210</v>
      </c>
      <c r="D935" s="87">
        <v>-3</v>
      </c>
      <c r="E935" s="87" t="s">
        <v>210</v>
      </c>
      <c r="F935" s="87">
        <v>2</v>
      </c>
      <c r="G935" s="87" t="s">
        <v>210</v>
      </c>
      <c r="H935" s="87">
        <v>4</v>
      </c>
      <c r="I935" s="87" t="s">
        <v>210</v>
      </c>
      <c r="J935" s="87">
        <v>1</v>
      </c>
      <c r="K935" s="87" t="s">
        <v>210</v>
      </c>
      <c r="L935" s="87">
        <v>-4</v>
      </c>
      <c r="M935" s="87" t="s">
        <v>210</v>
      </c>
      <c r="N935" s="87">
        <v>-1</v>
      </c>
      <c r="O935" s="87">
        <v>-2</v>
      </c>
      <c r="BA935" s="95"/>
    </row>
    <row r="936" spans="1:53" s="87" customFormat="1">
      <c r="A936" s="90" t="str">
        <f t="shared" si="40"/>
        <v/>
      </c>
      <c r="B936" s="87">
        <v>7</v>
      </c>
      <c r="C936" s="87">
        <v>3</v>
      </c>
      <c r="D936" s="87" t="s">
        <v>210</v>
      </c>
      <c r="E936" s="87">
        <v>-1</v>
      </c>
      <c r="F936" s="87" t="s">
        <v>210</v>
      </c>
      <c r="G936" s="87">
        <v>-3</v>
      </c>
      <c r="H936" s="87">
        <v>-4</v>
      </c>
      <c r="I936" s="87" t="s">
        <v>210</v>
      </c>
      <c r="J936" s="87">
        <v>2</v>
      </c>
      <c r="K936" s="87" t="s">
        <v>210</v>
      </c>
      <c r="L936" s="87" t="s">
        <v>210</v>
      </c>
      <c r="M936" s="87" t="s">
        <v>210</v>
      </c>
      <c r="N936" s="87">
        <v>4</v>
      </c>
      <c r="O936" s="87">
        <v>1</v>
      </c>
      <c r="BA936" s="95"/>
    </row>
    <row r="937" spans="1:53" s="87" customFormat="1">
      <c r="A937" s="90" t="str">
        <f t="shared" si="40"/>
        <v/>
      </c>
      <c r="B937" s="232">
        <v>8</v>
      </c>
      <c r="C937" s="233">
        <v>-1</v>
      </c>
      <c r="D937" s="233" t="s">
        <v>210</v>
      </c>
      <c r="E937" s="233">
        <v>2</v>
      </c>
      <c r="F937" s="233" t="s">
        <v>210</v>
      </c>
      <c r="G937" s="233">
        <v>4</v>
      </c>
      <c r="H937" s="233">
        <v>-3</v>
      </c>
      <c r="I937" s="233" t="s">
        <v>210</v>
      </c>
      <c r="J937" s="233">
        <v>-2</v>
      </c>
      <c r="K937" s="233" t="s">
        <v>210</v>
      </c>
      <c r="L937" s="233" t="s">
        <v>210</v>
      </c>
      <c r="M937" s="233" t="s">
        <v>210</v>
      </c>
      <c r="N937" s="233">
        <v>1</v>
      </c>
      <c r="O937" s="233">
        <v>-4</v>
      </c>
      <c r="BA937" s="95"/>
    </row>
    <row r="938" spans="1:53" s="87" customFormat="1">
      <c r="A938" s="90" t="str">
        <f t="shared" si="40"/>
        <v/>
      </c>
      <c r="B938" s="87">
        <v>9</v>
      </c>
      <c r="C938" s="87">
        <v>-2</v>
      </c>
      <c r="D938" s="87" t="s">
        <v>210</v>
      </c>
      <c r="E938" s="87">
        <v>-4</v>
      </c>
      <c r="F938" s="87">
        <v>-3</v>
      </c>
      <c r="G938" s="87" t="s">
        <v>210</v>
      </c>
      <c r="H938" s="87" t="s">
        <v>210</v>
      </c>
      <c r="I938" s="87" t="s">
        <v>210</v>
      </c>
      <c r="J938" s="87">
        <v>4</v>
      </c>
      <c r="K938" s="87">
        <v>3</v>
      </c>
      <c r="L938" s="87" t="s">
        <v>210</v>
      </c>
      <c r="M938" s="87">
        <v>1</v>
      </c>
      <c r="N938" s="87" t="s">
        <v>210</v>
      </c>
      <c r="O938" s="87" t="s">
        <v>210</v>
      </c>
      <c r="BA938" s="95"/>
    </row>
    <row r="939" spans="1:53" s="87" customFormat="1">
      <c r="A939" s="90" t="str">
        <f t="shared" si="40"/>
        <v/>
      </c>
      <c r="B939" s="87">
        <v>10</v>
      </c>
      <c r="C939" s="87">
        <v>2</v>
      </c>
      <c r="D939" s="87">
        <v>-4</v>
      </c>
      <c r="E939" s="87" t="s">
        <v>210</v>
      </c>
      <c r="F939" s="87" t="s">
        <v>210</v>
      </c>
      <c r="G939" s="87">
        <v>-2</v>
      </c>
      <c r="H939" s="87" t="s">
        <v>210</v>
      </c>
      <c r="I939" s="87">
        <v>-3</v>
      </c>
      <c r="J939" s="87" t="s">
        <v>210</v>
      </c>
      <c r="K939" s="87">
        <v>1</v>
      </c>
      <c r="L939" s="87" t="s">
        <v>210</v>
      </c>
      <c r="M939" s="87">
        <v>4</v>
      </c>
      <c r="N939" s="87" t="s">
        <v>210</v>
      </c>
      <c r="O939" s="87" t="s">
        <v>210</v>
      </c>
      <c r="BA939" s="95"/>
    </row>
    <row r="940" spans="1:53" s="87" customFormat="1">
      <c r="A940" s="90" t="str">
        <f t="shared" si="40"/>
        <v/>
      </c>
      <c r="B940" s="87">
        <v>11</v>
      </c>
      <c r="C940" s="87" t="s">
        <v>210</v>
      </c>
      <c r="D940" s="87">
        <v>-2</v>
      </c>
      <c r="E940" s="87">
        <v>4</v>
      </c>
      <c r="F940" s="87">
        <v>-1</v>
      </c>
      <c r="G940" s="87" t="s">
        <v>210</v>
      </c>
      <c r="H940" s="87" t="s">
        <v>210</v>
      </c>
      <c r="I940" s="87">
        <v>3</v>
      </c>
      <c r="J940" s="87" t="s">
        <v>210</v>
      </c>
      <c r="K940" s="87">
        <v>2</v>
      </c>
      <c r="L940" s="87" t="s">
        <v>210</v>
      </c>
      <c r="M940" s="87" t="s">
        <v>210</v>
      </c>
      <c r="N940" s="87">
        <v>-3</v>
      </c>
      <c r="O940" s="87" t="s">
        <v>210</v>
      </c>
      <c r="BA940" s="95"/>
    </row>
    <row r="941" spans="1:53" s="87" customFormat="1">
      <c r="A941" s="90" t="str">
        <f t="shared" si="40"/>
        <v/>
      </c>
      <c r="B941" s="87">
        <v>12</v>
      </c>
      <c r="C941" s="87" t="s">
        <v>210</v>
      </c>
      <c r="D941" s="87">
        <v>2</v>
      </c>
      <c r="E941" s="87" t="s">
        <v>210</v>
      </c>
      <c r="F941" s="87">
        <v>3</v>
      </c>
      <c r="G941" s="87">
        <v>1</v>
      </c>
      <c r="H941" s="87" t="s">
        <v>210</v>
      </c>
      <c r="I941" s="87">
        <v>-4</v>
      </c>
      <c r="J941" s="87" t="s">
        <v>210</v>
      </c>
      <c r="K941" s="87">
        <v>-1</v>
      </c>
      <c r="L941" s="87" t="s">
        <v>210</v>
      </c>
      <c r="M941" s="87" t="s">
        <v>210</v>
      </c>
      <c r="N941" s="87">
        <v>-2</v>
      </c>
      <c r="O941" s="87" t="s">
        <v>210</v>
      </c>
      <c r="BA941" s="95"/>
    </row>
    <row r="942" spans="1:53" s="87" customFormat="1">
      <c r="A942" s="90" t="str">
        <f t="shared" si="40"/>
        <v/>
      </c>
      <c r="B942" s="87">
        <v>13</v>
      </c>
      <c r="C942" s="87">
        <v>4</v>
      </c>
      <c r="D942" s="87" t="s">
        <v>210</v>
      </c>
      <c r="E942" s="87" t="s">
        <v>210</v>
      </c>
      <c r="F942" s="87" t="s">
        <v>210</v>
      </c>
      <c r="G942" s="87">
        <v>-1</v>
      </c>
      <c r="H942" s="87" t="s">
        <v>210</v>
      </c>
      <c r="I942" s="87">
        <v>2</v>
      </c>
      <c r="J942" s="87" t="s">
        <v>210</v>
      </c>
      <c r="K942" s="87">
        <v>-3</v>
      </c>
      <c r="L942" s="87" t="s">
        <v>210</v>
      </c>
      <c r="M942" s="87">
        <v>-4</v>
      </c>
      <c r="N942" s="87">
        <v>3</v>
      </c>
      <c r="O942" s="87" t="s">
        <v>210</v>
      </c>
      <c r="BA942" s="95"/>
    </row>
    <row r="943" spans="1:53" s="87" customFormat="1">
      <c r="A943" s="90" t="str">
        <f t="shared" si="40"/>
        <v/>
      </c>
      <c r="B943" s="87">
        <v>14</v>
      </c>
      <c r="C943" s="87">
        <v>-4</v>
      </c>
      <c r="D943" s="87" t="s">
        <v>210</v>
      </c>
      <c r="E943" s="87">
        <v>3</v>
      </c>
      <c r="F943" s="87" t="s">
        <v>210</v>
      </c>
      <c r="G943" s="87">
        <v>2</v>
      </c>
      <c r="H943" s="87" t="s">
        <v>210</v>
      </c>
      <c r="I943" s="87">
        <v>4</v>
      </c>
      <c r="J943" s="87" t="s">
        <v>210</v>
      </c>
      <c r="K943" s="87">
        <v>-2</v>
      </c>
      <c r="L943" s="87" t="s">
        <v>210</v>
      </c>
      <c r="M943" s="87">
        <v>-1</v>
      </c>
      <c r="N943" s="87" t="s">
        <v>210</v>
      </c>
      <c r="O943" s="87" t="s">
        <v>210</v>
      </c>
      <c r="BA943" s="95"/>
    </row>
    <row r="944" spans="1:53" s="87" customFormat="1">
      <c r="A944" s="90" t="str">
        <f t="shared" si="40"/>
        <v/>
      </c>
      <c r="B944" s="87">
        <v>15</v>
      </c>
      <c r="C944" s="87" t="s">
        <v>210</v>
      </c>
      <c r="D944" s="87">
        <v>4</v>
      </c>
      <c r="E944" s="87">
        <v>-3</v>
      </c>
      <c r="F944" s="87">
        <v>1</v>
      </c>
      <c r="G944" s="87" t="s">
        <v>210</v>
      </c>
      <c r="H944" s="87" t="s">
        <v>210</v>
      </c>
      <c r="I944" s="87">
        <v>-2</v>
      </c>
      <c r="J944" s="87">
        <v>-4</v>
      </c>
      <c r="K944" s="87" t="s">
        <v>210</v>
      </c>
      <c r="L944" s="87" t="s">
        <v>210</v>
      </c>
      <c r="M944" s="87" t="s">
        <v>210</v>
      </c>
      <c r="N944" s="87">
        <v>2</v>
      </c>
      <c r="O944" s="87" t="s">
        <v>210</v>
      </c>
      <c r="BA944" s="95"/>
    </row>
    <row r="945" spans="1:53" s="87" customFormat="1">
      <c r="A945" s="90" t="str">
        <f t="shared" si="40"/>
        <v/>
      </c>
      <c r="B945" s="318" t="s">
        <v>1083</v>
      </c>
      <c r="BA945" s="95"/>
    </row>
    <row r="946" spans="1:53" s="87" customFormat="1">
      <c r="A946" s="90">
        <f t="shared" si="40"/>
        <v>946</v>
      </c>
      <c r="B946" s="87" t="s">
        <v>1264</v>
      </c>
      <c r="BA946" s="95"/>
    </row>
    <row r="947" spans="1:53" s="87" customFormat="1">
      <c r="A947" s="90" t="str">
        <f t="shared" si="40"/>
        <v/>
      </c>
      <c r="B947" s="87">
        <v>1</v>
      </c>
      <c r="C947" s="87" t="s">
        <v>210</v>
      </c>
      <c r="D947" s="87">
        <v>2</v>
      </c>
      <c r="E947" s="87">
        <v>-1</v>
      </c>
      <c r="F947" s="87" t="s">
        <v>210</v>
      </c>
      <c r="G947" s="87">
        <v>-4</v>
      </c>
      <c r="H947" s="87" t="s">
        <v>210</v>
      </c>
      <c r="I947" s="87" t="s">
        <v>210</v>
      </c>
      <c r="J947" s="87">
        <v>-3</v>
      </c>
      <c r="K947" s="87" t="s">
        <v>210</v>
      </c>
      <c r="L947" s="87">
        <v>4</v>
      </c>
      <c r="M947" s="87" t="s">
        <v>210</v>
      </c>
      <c r="N947" s="87">
        <v>3</v>
      </c>
      <c r="BA947" s="95"/>
    </row>
    <row r="948" spans="1:53" s="87" customFormat="1">
      <c r="A948" s="90" t="str">
        <f t="shared" si="40"/>
        <v/>
      </c>
      <c r="B948" s="87">
        <v>2</v>
      </c>
      <c r="C948" s="87">
        <v>3</v>
      </c>
      <c r="D948" s="87" t="s">
        <v>210</v>
      </c>
      <c r="E948" s="87" t="s">
        <v>210</v>
      </c>
      <c r="F948" s="87">
        <v>1</v>
      </c>
      <c r="G948" s="87" t="s">
        <v>210</v>
      </c>
      <c r="H948" s="87" t="s">
        <v>210</v>
      </c>
      <c r="I948" s="87">
        <v>4</v>
      </c>
      <c r="J948" s="87">
        <v>-2</v>
      </c>
      <c r="K948" s="87" t="s">
        <v>210</v>
      </c>
      <c r="L948" s="87" t="s">
        <v>210</v>
      </c>
      <c r="M948" s="87">
        <v>-1</v>
      </c>
      <c r="N948" s="87">
        <v>-3</v>
      </c>
      <c r="BA948" s="95"/>
    </row>
    <row r="949" spans="1:53" s="87" customFormat="1">
      <c r="A949" s="90" t="str">
        <f t="shared" si="40"/>
        <v/>
      </c>
      <c r="B949" s="87">
        <v>3</v>
      </c>
      <c r="C949" s="87" t="s">
        <v>210</v>
      </c>
      <c r="D949" s="87">
        <v>-3</v>
      </c>
      <c r="E949" s="87">
        <v>-2</v>
      </c>
      <c r="F949" s="87" t="s">
        <v>210</v>
      </c>
      <c r="G949" s="87">
        <v>4</v>
      </c>
      <c r="H949" s="87">
        <v>3</v>
      </c>
      <c r="I949" s="87" t="s">
        <v>210</v>
      </c>
      <c r="J949" s="87" t="s">
        <v>210</v>
      </c>
      <c r="K949" s="87" t="s">
        <v>210</v>
      </c>
      <c r="L949" s="87" t="s">
        <v>210</v>
      </c>
      <c r="M949" s="87">
        <v>1</v>
      </c>
      <c r="N949" s="87">
        <v>-4</v>
      </c>
      <c r="BA949" s="95"/>
    </row>
    <row r="950" spans="1:53" s="87" customFormat="1">
      <c r="A950" s="90" t="str">
        <f t="shared" si="40"/>
        <v/>
      </c>
      <c r="B950" s="87">
        <v>4</v>
      </c>
      <c r="C950" s="87">
        <v>-3</v>
      </c>
      <c r="D950" s="87" t="s">
        <v>210</v>
      </c>
      <c r="E950" s="87" t="s">
        <v>210</v>
      </c>
      <c r="F950" s="87">
        <v>-4</v>
      </c>
      <c r="G950" s="87" t="s">
        <v>210</v>
      </c>
      <c r="H950" s="87" t="s">
        <v>210</v>
      </c>
      <c r="I950" s="87">
        <v>-1</v>
      </c>
      <c r="J950" s="87">
        <v>3</v>
      </c>
      <c r="K950" s="87" t="s">
        <v>210</v>
      </c>
      <c r="L950" s="87" t="s">
        <v>210</v>
      </c>
      <c r="M950" s="87">
        <v>2</v>
      </c>
      <c r="N950" s="87">
        <v>4</v>
      </c>
      <c r="BA950" s="95"/>
    </row>
    <row r="951" spans="1:53" s="87" customFormat="1">
      <c r="A951" s="90" t="str">
        <f t="shared" si="40"/>
        <v/>
      </c>
      <c r="B951" s="87">
        <v>5</v>
      </c>
      <c r="C951" s="87" t="s">
        <v>210</v>
      </c>
      <c r="D951" s="87">
        <v>3</v>
      </c>
      <c r="E951" s="87">
        <v>1</v>
      </c>
      <c r="F951" s="87" t="s">
        <v>210</v>
      </c>
      <c r="G951" s="87" t="s">
        <v>210</v>
      </c>
      <c r="H951" s="87">
        <v>-4</v>
      </c>
      <c r="I951" s="87" t="s">
        <v>210</v>
      </c>
      <c r="J951" s="87">
        <v>2</v>
      </c>
      <c r="K951" s="87" t="s">
        <v>210</v>
      </c>
      <c r="L951" s="87">
        <v>-1</v>
      </c>
      <c r="M951" s="87">
        <v>-2</v>
      </c>
      <c r="N951" s="87" t="s">
        <v>210</v>
      </c>
      <c r="BA951" s="95"/>
    </row>
    <row r="952" spans="1:53" s="87" customFormat="1">
      <c r="A952" s="90" t="str">
        <f t="shared" si="40"/>
        <v/>
      </c>
      <c r="B952" s="87">
        <v>6</v>
      </c>
      <c r="C952" s="233" t="s">
        <v>210</v>
      </c>
      <c r="D952" s="233">
        <v>-2</v>
      </c>
      <c r="E952" s="233" t="s">
        <v>210</v>
      </c>
      <c r="F952" s="233">
        <v>4</v>
      </c>
      <c r="G952" s="233" t="s">
        <v>210</v>
      </c>
      <c r="H952" s="233">
        <v>-3</v>
      </c>
      <c r="I952" s="233">
        <v>-4</v>
      </c>
      <c r="J952" s="233" t="s">
        <v>210</v>
      </c>
      <c r="K952" s="233">
        <v>3</v>
      </c>
      <c r="L952" s="233">
        <v>1</v>
      </c>
      <c r="M952" s="233" t="s">
        <v>210</v>
      </c>
      <c r="N952" s="233" t="s">
        <v>210</v>
      </c>
      <c r="BA952" s="95"/>
    </row>
    <row r="953" spans="1:53" s="87" customFormat="1">
      <c r="A953" s="90" t="str">
        <f t="shared" si="40"/>
        <v/>
      </c>
      <c r="B953" s="87">
        <v>7</v>
      </c>
      <c r="C953" s="87" t="s">
        <v>210</v>
      </c>
      <c r="D953" s="87" t="s">
        <v>210</v>
      </c>
      <c r="E953" s="87">
        <v>2</v>
      </c>
      <c r="F953" s="87">
        <v>-1</v>
      </c>
      <c r="G953" s="87" t="s">
        <v>210</v>
      </c>
      <c r="H953" s="87">
        <v>4</v>
      </c>
      <c r="I953" s="87">
        <v>1</v>
      </c>
      <c r="J953" s="87" t="s">
        <v>210</v>
      </c>
      <c r="K953" s="87">
        <v>-3</v>
      </c>
      <c r="L953" s="87">
        <v>-4</v>
      </c>
      <c r="M953" s="87" t="s">
        <v>210</v>
      </c>
      <c r="N953" s="87" t="s">
        <v>210</v>
      </c>
      <c r="BA953" s="95"/>
    </row>
    <row r="954" spans="1:53" s="87" customFormat="1">
      <c r="A954" s="90" t="str">
        <f t="shared" si="40"/>
        <v/>
      </c>
      <c r="B954" s="87">
        <v>8</v>
      </c>
      <c r="C954" s="87" t="s">
        <v>210</v>
      </c>
      <c r="D954" s="87">
        <v>-4</v>
      </c>
      <c r="E954" s="87">
        <v>3</v>
      </c>
      <c r="F954" s="87" t="s">
        <v>210</v>
      </c>
      <c r="G954" s="87">
        <v>2</v>
      </c>
      <c r="H954" s="87" t="s">
        <v>210</v>
      </c>
      <c r="I954" s="87" t="s">
        <v>210</v>
      </c>
      <c r="J954" s="87">
        <v>1</v>
      </c>
      <c r="K954" s="87" t="s">
        <v>210</v>
      </c>
      <c r="L954" s="87">
        <v>-2</v>
      </c>
      <c r="M954" s="87" t="s">
        <v>210</v>
      </c>
      <c r="N954" s="87">
        <v>-1</v>
      </c>
      <c r="BA954" s="95"/>
    </row>
    <row r="955" spans="1:53" s="87" customFormat="1">
      <c r="A955" s="90" t="str">
        <f t="shared" si="40"/>
        <v/>
      </c>
      <c r="B955" s="87">
        <v>9</v>
      </c>
      <c r="C955" s="87">
        <v>-1</v>
      </c>
      <c r="D955" s="87" t="s">
        <v>210</v>
      </c>
      <c r="E955" s="87" t="s">
        <v>210</v>
      </c>
      <c r="F955" s="87">
        <v>-3</v>
      </c>
      <c r="G955" s="87" t="s">
        <v>210</v>
      </c>
      <c r="H955" s="87" t="s">
        <v>210</v>
      </c>
      <c r="I955" s="87">
        <v>-2</v>
      </c>
      <c r="J955" s="87">
        <v>4</v>
      </c>
      <c r="K955" s="87" t="s">
        <v>210</v>
      </c>
      <c r="L955" s="87" t="s">
        <v>210</v>
      </c>
      <c r="M955" s="87">
        <v>3</v>
      </c>
      <c r="N955" s="87">
        <v>1</v>
      </c>
      <c r="BA955" s="95"/>
    </row>
    <row r="956" spans="1:53" s="87" customFormat="1">
      <c r="A956" s="90" t="str">
        <f t="shared" si="40"/>
        <v/>
      </c>
      <c r="B956" s="87">
        <v>10</v>
      </c>
      <c r="C956" s="87" t="s">
        <v>210</v>
      </c>
      <c r="D956" s="87">
        <v>1</v>
      </c>
      <c r="E956" s="87">
        <v>4</v>
      </c>
      <c r="F956" s="87" t="s">
        <v>210</v>
      </c>
      <c r="G956" s="87">
        <v>-2</v>
      </c>
      <c r="H956" s="87">
        <v>-1</v>
      </c>
      <c r="I956" s="87" t="s">
        <v>210</v>
      </c>
      <c r="J956" s="87" t="s">
        <v>210</v>
      </c>
      <c r="K956" s="87" t="s">
        <v>210</v>
      </c>
      <c r="L956" s="87" t="s">
        <v>210</v>
      </c>
      <c r="M956" s="87">
        <v>-3</v>
      </c>
      <c r="N956" s="87">
        <v>2</v>
      </c>
      <c r="BA956" s="95"/>
    </row>
    <row r="957" spans="1:53" s="87" customFormat="1">
      <c r="A957" s="90" t="str">
        <f t="shared" si="40"/>
        <v/>
      </c>
      <c r="B957" s="87">
        <v>11</v>
      </c>
      <c r="C957" s="87">
        <v>1</v>
      </c>
      <c r="D957" s="87" t="s">
        <v>210</v>
      </c>
      <c r="E957" s="87" t="s">
        <v>210</v>
      </c>
      <c r="F957" s="87">
        <v>2</v>
      </c>
      <c r="G957" s="87" t="s">
        <v>210</v>
      </c>
      <c r="H957" s="87" t="s">
        <v>210</v>
      </c>
      <c r="I957" s="87">
        <v>3</v>
      </c>
      <c r="J957" s="87">
        <v>-1</v>
      </c>
      <c r="K957" s="87" t="s">
        <v>210</v>
      </c>
      <c r="L957" s="87" t="s">
        <v>210</v>
      </c>
      <c r="M957" s="87">
        <v>-4</v>
      </c>
      <c r="N957" s="87">
        <v>-2</v>
      </c>
      <c r="BA957" s="95"/>
    </row>
    <row r="958" spans="1:53" s="87" customFormat="1">
      <c r="A958" s="90" t="str">
        <f t="shared" si="40"/>
        <v/>
      </c>
      <c r="B958" s="87">
        <v>12</v>
      </c>
      <c r="C958" s="87" t="s">
        <v>210</v>
      </c>
      <c r="D958" s="87">
        <v>-1</v>
      </c>
      <c r="E958" s="87">
        <v>-3</v>
      </c>
      <c r="F958" s="87" t="s">
        <v>210</v>
      </c>
      <c r="G958" s="87" t="s">
        <v>210</v>
      </c>
      <c r="H958" s="87">
        <v>2</v>
      </c>
      <c r="I958" s="87" t="s">
        <v>210</v>
      </c>
      <c r="J958" s="87">
        <v>-4</v>
      </c>
      <c r="K958" s="87" t="s">
        <v>210</v>
      </c>
      <c r="L958" s="87">
        <v>3</v>
      </c>
      <c r="M958" s="87">
        <v>4</v>
      </c>
      <c r="N958" s="87" t="s">
        <v>210</v>
      </c>
      <c r="BA958" s="95"/>
    </row>
    <row r="959" spans="1:53" s="87" customFormat="1">
      <c r="A959" s="90" t="str">
        <f t="shared" si="40"/>
        <v/>
      </c>
      <c r="B959" s="87">
        <v>13</v>
      </c>
      <c r="C959" s="87" t="s">
        <v>210</v>
      </c>
      <c r="D959" s="87">
        <v>4</v>
      </c>
      <c r="E959" s="87" t="s">
        <v>210</v>
      </c>
      <c r="F959" s="87">
        <v>-2</v>
      </c>
      <c r="G959" s="87" t="s">
        <v>210</v>
      </c>
      <c r="H959" s="87">
        <v>1</v>
      </c>
      <c r="I959" s="87">
        <v>2</v>
      </c>
      <c r="J959" s="87" t="s">
        <v>210</v>
      </c>
      <c r="K959" s="87">
        <v>-1</v>
      </c>
      <c r="L959" s="87">
        <v>-3</v>
      </c>
      <c r="M959" s="87" t="s">
        <v>210</v>
      </c>
      <c r="N959" s="87" t="s">
        <v>210</v>
      </c>
      <c r="BA959" s="95"/>
    </row>
    <row r="960" spans="1:53" s="87" customFormat="1">
      <c r="A960" s="90" t="str">
        <f t="shared" si="40"/>
        <v/>
      </c>
      <c r="B960" s="87">
        <v>14</v>
      </c>
      <c r="C960" s="87" t="s">
        <v>210</v>
      </c>
      <c r="D960" s="87" t="s">
        <v>210</v>
      </c>
      <c r="E960" s="87">
        <v>-4</v>
      </c>
      <c r="F960" s="87">
        <v>3</v>
      </c>
      <c r="G960" s="87" t="s">
        <v>210</v>
      </c>
      <c r="H960" s="87">
        <v>-2</v>
      </c>
      <c r="I960" s="87">
        <v>-3</v>
      </c>
      <c r="J960" s="87" t="s">
        <v>210</v>
      </c>
      <c r="K960" s="87">
        <v>1</v>
      </c>
      <c r="L960" s="87">
        <v>2</v>
      </c>
      <c r="M960" s="87" t="s">
        <v>210</v>
      </c>
      <c r="N960" s="87" t="s">
        <v>210</v>
      </c>
      <c r="BA960" s="95"/>
    </row>
    <row r="961" spans="1:53" s="87" customFormat="1">
      <c r="A961" s="90" t="str">
        <f t="shared" si="40"/>
        <v/>
      </c>
      <c r="B961" s="318" t="s">
        <v>1265</v>
      </c>
      <c r="BA961" s="95"/>
    </row>
    <row r="962" spans="1:53" s="87" customFormat="1">
      <c r="A962" s="90">
        <f t="shared" si="40"/>
        <v>962</v>
      </c>
      <c r="B962" s="87" t="s">
        <v>1267</v>
      </c>
      <c r="BA962" s="95"/>
    </row>
    <row r="963" spans="1:53" s="87" customFormat="1">
      <c r="A963" s="90" t="str">
        <f t="shared" si="40"/>
        <v/>
      </c>
      <c r="B963" s="87">
        <v>1</v>
      </c>
      <c r="C963" s="87">
        <v>-2</v>
      </c>
      <c r="D963" s="87" t="s">
        <v>210</v>
      </c>
      <c r="E963" s="87" t="s">
        <v>210</v>
      </c>
      <c r="F963" s="87">
        <v>4</v>
      </c>
      <c r="G963" s="87" t="s">
        <v>210</v>
      </c>
      <c r="H963" s="87" t="s">
        <v>210</v>
      </c>
      <c r="I963" s="87" t="s">
        <v>210</v>
      </c>
      <c r="J963" s="87">
        <v>-1</v>
      </c>
      <c r="K963" s="87" t="s">
        <v>210</v>
      </c>
      <c r="L963" s="87">
        <v>3</v>
      </c>
      <c r="M963" s="87" t="s">
        <v>210</v>
      </c>
      <c r="N963" s="87" t="s">
        <v>210</v>
      </c>
      <c r="O963" s="87" t="s">
        <v>210</v>
      </c>
      <c r="P963" s="87">
        <v>-4</v>
      </c>
      <c r="Q963" s="87" t="s">
        <v>210</v>
      </c>
      <c r="R963" s="87">
        <v>2</v>
      </c>
      <c r="BA963" s="95"/>
    </row>
    <row r="964" spans="1:53" s="87" customFormat="1">
      <c r="A964" s="90" t="str">
        <f t="shared" si="40"/>
        <v/>
      </c>
      <c r="B964" s="87">
        <v>2</v>
      </c>
      <c r="C964" s="87" t="s">
        <v>210</v>
      </c>
      <c r="D964" s="87" t="s">
        <v>210</v>
      </c>
      <c r="E964" s="87">
        <v>3</v>
      </c>
      <c r="F964" s="87" t="s">
        <v>210</v>
      </c>
      <c r="G964" s="87" t="s">
        <v>210</v>
      </c>
      <c r="H964" s="87">
        <v>1</v>
      </c>
      <c r="I964" s="87" t="s">
        <v>210</v>
      </c>
      <c r="J964" s="87" t="s">
        <v>210</v>
      </c>
      <c r="K964" s="87">
        <v>-4</v>
      </c>
      <c r="L964" s="87" t="s">
        <v>210</v>
      </c>
      <c r="M964" s="87">
        <v>2</v>
      </c>
      <c r="N964" s="87" t="s">
        <v>210</v>
      </c>
      <c r="O964" s="87">
        <v>-3</v>
      </c>
      <c r="P964" s="87" t="s">
        <v>210</v>
      </c>
      <c r="Q964" s="87" t="s">
        <v>210</v>
      </c>
      <c r="R964" s="87">
        <v>-2</v>
      </c>
      <c r="BA964" s="95"/>
    </row>
    <row r="965" spans="1:53" s="87" customFormat="1">
      <c r="A965" s="90" t="str">
        <f t="shared" si="40"/>
        <v/>
      </c>
      <c r="B965" s="87">
        <v>3</v>
      </c>
      <c r="C965" s="87" t="s">
        <v>210</v>
      </c>
      <c r="D965" s="87">
        <v>3</v>
      </c>
      <c r="E965" s="87" t="s">
        <v>210</v>
      </c>
      <c r="F965" s="87" t="s">
        <v>210</v>
      </c>
      <c r="G965" s="87">
        <v>4</v>
      </c>
      <c r="H965" s="87" t="s">
        <v>210</v>
      </c>
      <c r="I965" s="87">
        <v>2</v>
      </c>
      <c r="J965" s="87" t="s">
        <v>210</v>
      </c>
      <c r="K965" s="87" t="s">
        <v>210</v>
      </c>
      <c r="L965" s="87">
        <v>-3</v>
      </c>
      <c r="M965" s="87">
        <v>-2</v>
      </c>
      <c r="N965" s="87" t="s">
        <v>210</v>
      </c>
      <c r="O965" s="87" t="s">
        <v>210</v>
      </c>
      <c r="P965" s="87" t="s">
        <v>210</v>
      </c>
      <c r="Q965" s="87" t="s">
        <v>210</v>
      </c>
      <c r="R965" s="87">
        <v>-1</v>
      </c>
      <c r="BA965" s="95"/>
    </row>
    <row r="966" spans="1:53" s="87" customFormat="1">
      <c r="A966" s="90" t="str">
        <f t="shared" si="40"/>
        <v/>
      </c>
      <c r="B966" s="87">
        <v>4</v>
      </c>
      <c r="C966" s="87">
        <v>2</v>
      </c>
      <c r="D966" s="87" t="s">
        <v>210</v>
      </c>
      <c r="E966" s="87" t="s">
        <v>210</v>
      </c>
      <c r="F966" s="87">
        <v>-3</v>
      </c>
      <c r="G966" s="87" t="s">
        <v>210</v>
      </c>
      <c r="H966" s="87" t="s">
        <v>210</v>
      </c>
      <c r="I966" s="87">
        <v>-1</v>
      </c>
      <c r="J966" s="87" t="s">
        <v>210</v>
      </c>
      <c r="K966" s="87" t="s">
        <v>210</v>
      </c>
      <c r="L966" s="87">
        <v>-4</v>
      </c>
      <c r="M966" s="87" t="s">
        <v>210</v>
      </c>
      <c r="N966" s="87" t="s">
        <v>210</v>
      </c>
      <c r="O966" s="87">
        <v>3</v>
      </c>
      <c r="P966" s="87" t="s">
        <v>210</v>
      </c>
      <c r="Q966" s="87" t="s">
        <v>210</v>
      </c>
      <c r="R966" s="87">
        <v>1</v>
      </c>
      <c r="BA966" s="95"/>
    </row>
    <row r="967" spans="1:53" s="87" customFormat="1">
      <c r="A967" s="90" t="str">
        <f t="shared" si="40"/>
        <v/>
      </c>
      <c r="B967" s="87">
        <v>5</v>
      </c>
      <c r="C967" s="87">
        <v>1</v>
      </c>
      <c r="D967" s="87" t="s">
        <v>210</v>
      </c>
      <c r="E967" s="87" t="s">
        <v>210</v>
      </c>
      <c r="F967" s="87">
        <v>3</v>
      </c>
      <c r="G967" s="87" t="s">
        <v>210</v>
      </c>
      <c r="H967" s="87">
        <v>-1</v>
      </c>
      <c r="I967" s="87">
        <v>-2</v>
      </c>
      <c r="J967" s="87" t="s">
        <v>210</v>
      </c>
      <c r="K967" s="87" t="s">
        <v>210</v>
      </c>
      <c r="L967" s="87" t="s">
        <v>210</v>
      </c>
      <c r="M967" s="87" t="s">
        <v>210</v>
      </c>
      <c r="N967" s="87">
        <v>-3</v>
      </c>
      <c r="O967" s="87" t="s">
        <v>210</v>
      </c>
      <c r="P967" s="87">
        <v>4</v>
      </c>
      <c r="Q967" s="87" t="s">
        <v>210</v>
      </c>
      <c r="R967" s="87" t="s">
        <v>210</v>
      </c>
      <c r="BA967" s="95"/>
    </row>
    <row r="968" spans="1:53" s="87" customFormat="1">
      <c r="A968" s="90" t="str">
        <f t="shared" si="40"/>
        <v/>
      </c>
      <c r="B968" s="87">
        <v>6</v>
      </c>
      <c r="C968" s="87" t="s">
        <v>210</v>
      </c>
      <c r="D968" s="87">
        <v>-3</v>
      </c>
      <c r="E968" s="87" t="s">
        <v>210</v>
      </c>
      <c r="F968" s="87">
        <v>-4</v>
      </c>
      <c r="G968" s="87" t="s">
        <v>210</v>
      </c>
      <c r="H968" s="87" t="s">
        <v>210</v>
      </c>
      <c r="I968" s="87">
        <v>1</v>
      </c>
      <c r="J968" s="87" t="s">
        <v>210</v>
      </c>
      <c r="K968" s="87">
        <v>4</v>
      </c>
      <c r="L968" s="87" t="s">
        <v>210</v>
      </c>
      <c r="M968" s="87" t="s">
        <v>210</v>
      </c>
      <c r="N968" s="87">
        <v>3</v>
      </c>
      <c r="O968" s="87" t="s">
        <v>210</v>
      </c>
      <c r="P968" s="87">
        <v>-2</v>
      </c>
      <c r="Q968" s="87" t="s">
        <v>210</v>
      </c>
      <c r="R968" s="87" t="s">
        <v>210</v>
      </c>
      <c r="BA968" s="95"/>
    </row>
    <row r="969" spans="1:53" s="87" customFormat="1">
      <c r="A969" s="90" t="str">
        <f t="shared" si="40"/>
        <v/>
      </c>
      <c r="B969" s="87">
        <v>7</v>
      </c>
      <c r="C969" s="233">
        <v>-1</v>
      </c>
      <c r="D969" s="233" t="s">
        <v>210</v>
      </c>
      <c r="E969" s="233">
        <v>-3</v>
      </c>
      <c r="F969" s="233" t="s">
        <v>210</v>
      </c>
      <c r="G969" s="233">
        <v>-4</v>
      </c>
      <c r="H969" s="233" t="s">
        <v>210</v>
      </c>
      <c r="I969" s="233" t="s">
        <v>210</v>
      </c>
      <c r="J969" s="233">
        <v>1</v>
      </c>
      <c r="K969" s="233" t="s">
        <v>210</v>
      </c>
      <c r="L969" s="233">
        <v>4</v>
      </c>
      <c r="M969" s="233" t="s">
        <v>210</v>
      </c>
      <c r="N969" s="233" t="s">
        <v>210</v>
      </c>
      <c r="O969" s="233" t="s">
        <v>210</v>
      </c>
      <c r="P969" s="233">
        <v>2</v>
      </c>
      <c r="Q969" s="233" t="s">
        <v>210</v>
      </c>
      <c r="R969" s="233" t="s">
        <v>210</v>
      </c>
      <c r="BA969" s="95"/>
    </row>
    <row r="970" spans="1:53" s="87" customFormat="1">
      <c r="A970" s="90" t="str">
        <f t="shared" si="40"/>
        <v/>
      </c>
      <c r="B970" s="87">
        <v>8</v>
      </c>
      <c r="C970" s="87" t="s">
        <v>210</v>
      </c>
      <c r="D970" s="87">
        <v>-2</v>
      </c>
      <c r="E970" s="87">
        <v>4</v>
      </c>
      <c r="F970" s="87" t="s">
        <v>210</v>
      </c>
      <c r="G970" s="87">
        <v>2</v>
      </c>
      <c r="H970" s="87" t="s">
        <v>210</v>
      </c>
      <c r="I970" s="87" t="s">
        <v>210</v>
      </c>
      <c r="J970" s="87" t="s">
        <v>210</v>
      </c>
      <c r="K970" s="87" t="s">
        <v>210</v>
      </c>
      <c r="L970" s="87">
        <v>1</v>
      </c>
      <c r="M970" s="87" t="s">
        <v>210</v>
      </c>
      <c r="N970" s="87" t="s">
        <v>210</v>
      </c>
      <c r="O970" s="87" t="s">
        <v>210</v>
      </c>
      <c r="P970" s="87" t="s">
        <v>210</v>
      </c>
      <c r="Q970" s="87">
        <v>-4</v>
      </c>
      <c r="R970" s="87">
        <v>-3</v>
      </c>
      <c r="BA970" s="95"/>
    </row>
    <row r="971" spans="1:53" s="87" customFormat="1">
      <c r="A971" s="90" t="str">
        <f t="shared" si="40"/>
        <v/>
      </c>
      <c r="B971" s="87">
        <v>9</v>
      </c>
      <c r="C971" s="87" t="s">
        <v>210</v>
      </c>
      <c r="D971" s="87">
        <v>-4</v>
      </c>
      <c r="E971" s="87" t="s">
        <v>210</v>
      </c>
      <c r="F971" s="87" t="s">
        <v>210</v>
      </c>
      <c r="G971" s="87">
        <v>-1</v>
      </c>
      <c r="H971" s="87" t="s">
        <v>210</v>
      </c>
      <c r="I971" s="87" t="s">
        <v>210</v>
      </c>
      <c r="J971" s="87">
        <v>-2</v>
      </c>
      <c r="K971" s="87" t="s">
        <v>210</v>
      </c>
      <c r="L971" s="87" t="s">
        <v>210</v>
      </c>
      <c r="M971" s="87">
        <v>4</v>
      </c>
      <c r="N971" s="87" t="s">
        <v>210</v>
      </c>
      <c r="O971" s="87">
        <v>2</v>
      </c>
      <c r="P971" s="87" t="s">
        <v>210</v>
      </c>
      <c r="Q971" s="87" t="s">
        <v>210</v>
      </c>
      <c r="R971" s="87">
        <v>3</v>
      </c>
      <c r="BA971" s="95"/>
    </row>
    <row r="972" spans="1:53" s="87" customFormat="1">
      <c r="A972" s="90" t="str">
        <f t="shared" ref="A972:A1035" si="41">IF(MID(B972,3,2)="04",ROW(),"")</f>
        <v/>
      </c>
      <c r="B972" s="87">
        <v>10</v>
      </c>
      <c r="C972" s="87">
        <v>3</v>
      </c>
      <c r="D972" s="87" t="s">
        <v>210</v>
      </c>
      <c r="E972" s="87" t="s">
        <v>210</v>
      </c>
      <c r="F972" s="87" t="s">
        <v>210</v>
      </c>
      <c r="G972" s="87" t="s">
        <v>210</v>
      </c>
      <c r="H972" s="87">
        <v>-2</v>
      </c>
      <c r="I972" s="87" t="s">
        <v>210</v>
      </c>
      <c r="J972" s="87">
        <v>-3</v>
      </c>
      <c r="K972" s="87" t="s">
        <v>210</v>
      </c>
      <c r="L972" s="87" t="s">
        <v>210</v>
      </c>
      <c r="M972" s="87">
        <v>-4</v>
      </c>
      <c r="N972" s="87">
        <v>1</v>
      </c>
      <c r="O972" s="87" t="s">
        <v>210</v>
      </c>
      <c r="P972" s="87" t="s">
        <v>210</v>
      </c>
      <c r="Q972" s="87">
        <v>4</v>
      </c>
      <c r="R972" s="87" t="s">
        <v>210</v>
      </c>
      <c r="BA972" s="95"/>
    </row>
    <row r="973" spans="1:53" s="87" customFormat="1">
      <c r="A973" s="90" t="str">
        <f t="shared" si="41"/>
        <v/>
      </c>
      <c r="B973" s="87">
        <v>11</v>
      </c>
      <c r="C973" s="87" t="s">
        <v>210</v>
      </c>
      <c r="D973" s="87">
        <v>4</v>
      </c>
      <c r="E973" s="87" t="s">
        <v>210</v>
      </c>
      <c r="F973" s="87" t="s">
        <v>210</v>
      </c>
      <c r="G973" s="87">
        <v>-2</v>
      </c>
      <c r="H973" s="87" t="s">
        <v>210</v>
      </c>
      <c r="I973" s="87" t="s">
        <v>210</v>
      </c>
      <c r="J973" s="87">
        <v>3</v>
      </c>
      <c r="K973" s="87" t="s">
        <v>210</v>
      </c>
      <c r="L973" s="87" t="s">
        <v>210</v>
      </c>
      <c r="M973" s="87">
        <v>-1</v>
      </c>
      <c r="N973" s="87" t="s">
        <v>210</v>
      </c>
      <c r="O973" s="87" t="s">
        <v>210</v>
      </c>
      <c r="P973" s="87">
        <v>-3</v>
      </c>
      <c r="Q973" s="87">
        <v>2</v>
      </c>
      <c r="R973" s="87" t="s">
        <v>210</v>
      </c>
      <c r="BA973" s="95"/>
    </row>
    <row r="974" spans="1:53" s="87" customFormat="1">
      <c r="A974" s="90" t="str">
        <f t="shared" si="41"/>
        <v/>
      </c>
      <c r="B974" s="87">
        <v>12</v>
      </c>
      <c r="C974" s="87" t="s">
        <v>210</v>
      </c>
      <c r="D974" s="87">
        <v>2</v>
      </c>
      <c r="E974" s="87" t="s">
        <v>210</v>
      </c>
      <c r="F974" s="87" t="s">
        <v>210</v>
      </c>
      <c r="G974" s="87">
        <v>1</v>
      </c>
      <c r="H974" s="87" t="s">
        <v>210</v>
      </c>
      <c r="I974" s="87">
        <v>4</v>
      </c>
      <c r="J974" s="87" t="s">
        <v>210</v>
      </c>
      <c r="K974" s="87">
        <v>-3</v>
      </c>
      <c r="L974" s="87" t="s">
        <v>210</v>
      </c>
      <c r="M974" s="87" t="s">
        <v>210</v>
      </c>
      <c r="N974" s="87">
        <v>-1</v>
      </c>
      <c r="O974" s="87" t="s">
        <v>210</v>
      </c>
      <c r="P974" s="87" t="s">
        <v>210</v>
      </c>
      <c r="Q974" s="87">
        <v>-2</v>
      </c>
      <c r="R974" s="87" t="s">
        <v>210</v>
      </c>
      <c r="BA974" s="95"/>
    </row>
    <row r="975" spans="1:53" s="87" customFormat="1">
      <c r="A975" s="90" t="str">
        <f t="shared" si="41"/>
        <v/>
      </c>
      <c r="B975" s="87">
        <v>13</v>
      </c>
      <c r="C975" s="87">
        <v>-3</v>
      </c>
      <c r="D975" s="87" t="s">
        <v>210</v>
      </c>
      <c r="E975" s="87" t="s">
        <v>210</v>
      </c>
      <c r="F975" s="87">
        <v>1</v>
      </c>
      <c r="G975" s="87" t="s">
        <v>210</v>
      </c>
      <c r="H975" s="87" t="s">
        <v>210</v>
      </c>
      <c r="I975" s="87">
        <v>-4</v>
      </c>
      <c r="J975" s="87">
        <v>2</v>
      </c>
      <c r="K975" s="87" t="s">
        <v>210</v>
      </c>
      <c r="L975" s="87">
        <v>-1</v>
      </c>
      <c r="M975" s="87" t="s">
        <v>210</v>
      </c>
      <c r="N975" s="87" t="s">
        <v>210</v>
      </c>
      <c r="O975" s="87" t="s">
        <v>210</v>
      </c>
      <c r="P975" s="87">
        <v>3</v>
      </c>
      <c r="Q975" s="87" t="s">
        <v>210</v>
      </c>
      <c r="R975" s="87" t="s">
        <v>210</v>
      </c>
      <c r="BA975" s="95"/>
    </row>
    <row r="976" spans="1:53" s="87" customFormat="1">
      <c r="A976" s="90" t="str">
        <f t="shared" si="41"/>
        <v/>
      </c>
      <c r="B976" s="87">
        <v>14</v>
      </c>
      <c r="C976" s="233" t="s">
        <v>210</v>
      </c>
      <c r="D976" s="233" t="s">
        <v>210</v>
      </c>
      <c r="E976" s="233">
        <v>-4</v>
      </c>
      <c r="F976" s="233">
        <v>-1</v>
      </c>
      <c r="G976" s="233" t="s">
        <v>210</v>
      </c>
      <c r="H976" s="233">
        <v>2</v>
      </c>
      <c r="I976" s="233" t="s">
        <v>210</v>
      </c>
      <c r="J976" s="233" t="s">
        <v>210</v>
      </c>
      <c r="K976" s="233">
        <v>3</v>
      </c>
      <c r="L976" s="233" t="s">
        <v>210</v>
      </c>
      <c r="M976" s="233">
        <v>1</v>
      </c>
      <c r="N976" s="233" t="s">
        <v>210</v>
      </c>
      <c r="O976" s="233">
        <v>-2</v>
      </c>
      <c r="P976" s="233" t="s">
        <v>210</v>
      </c>
      <c r="Q976" s="233" t="s">
        <v>210</v>
      </c>
      <c r="R976" s="233" t="s">
        <v>210</v>
      </c>
      <c r="BA976" s="95"/>
    </row>
    <row r="977" spans="1:53" s="87" customFormat="1">
      <c r="A977" s="90" t="str">
        <f t="shared" si="41"/>
        <v/>
      </c>
      <c r="B977" s="87">
        <v>15</v>
      </c>
      <c r="C977" s="87" t="s">
        <v>210</v>
      </c>
      <c r="D977" s="87" t="s">
        <v>210</v>
      </c>
      <c r="E977" s="87">
        <v>1</v>
      </c>
      <c r="F977" s="87" t="s">
        <v>210</v>
      </c>
      <c r="G977" s="87">
        <v>-3</v>
      </c>
      <c r="H977" s="87" t="s">
        <v>210</v>
      </c>
      <c r="I977" s="87" t="s">
        <v>210</v>
      </c>
      <c r="J977" s="87" t="s">
        <v>210</v>
      </c>
      <c r="K977" s="87" t="s">
        <v>210</v>
      </c>
      <c r="L977" s="87">
        <v>2</v>
      </c>
      <c r="M977" s="87" t="s">
        <v>210</v>
      </c>
      <c r="N977" s="87">
        <v>-4</v>
      </c>
      <c r="O977" s="87" t="s">
        <v>210</v>
      </c>
      <c r="P977" s="87" t="s">
        <v>210</v>
      </c>
      <c r="Q977" s="87">
        <v>-1</v>
      </c>
      <c r="R977" s="87">
        <v>4</v>
      </c>
      <c r="BA977" s="95"/>
    </row>
    <row r="978" spans="1:53" s="87" customFormat="1">
      <c r="A978" s="90" t="str">
        <f t="shared" si="41"/>
        <v/>
      </c>
      <c r="B978" s="87">
        <v>16</v>
      </c>
      <c r="C978" s="87" t="s">
        <v>210</v>
      </c>
      <c r="D978" s="87" t="s">
        <v>210</v>
      </c>
      <c r="E978" s="87">
        <v>-2</v>
      </c>
      <c r="F978" s="87" t="s">
        <v>210</v>
      </c>
      <c r="G978" s="87" t="s">
        <v>210</v>
      </c>
      <c r="H978" s="87">
        <v>4</v>
      </c>
      <c r="I978" s="87" t="s">
        <v>210</v>
      </c>
      <c r="J978" s="87" t="s">
        <v>210</v>
      </c>
      <c r="K978" s="87">
        <v>1</v>
      </c>
      <c r="L978" s="87" t="s">
        <v>210</v>
      </c>
      <c r="M978" s="87">
        <v>3</v>
      </c>
      <c r="N978" s="87" t="s">
        <v>210</v>
      </c>
      <c r="O978" s="87">
        <v>-1</v>
      </c>
      <c r="P978" s="87" t="s">
        <v>210</v>
      </c>
      <c r="Q978" s="87" t="s">
        <v>210</v>
      </c>
      <c r="R978" s="87">
        <v>-4</v>
      </c>
      <c r="BA978" s="95"/>
    </row>
    <row r="979" spans="1:53" s="87" customFormat="1">
      <c r="A979" s="90" t="str">
        <f t="shared" si="41"/>
        <v/>
      </c>
      <c r="B979" s="87">
        <v>17</v>
      </c>
      <c r="C979" s="87">
        <v>4</v>
      </c>
      <c r="D979" s="87" t="s">
        <v>210</v>
      </c>
      <c r="E979" s="87" t="s">
        <v>210</v>
      </c>
      <c r="F979" s="87">
        <v>2</v>
      </c>
      <c r="G979" s="87" t="s">
        <v>210</v>
      </c>
      <c r="H979" s="87">
        <v>-3</v>
      </c>
      <c r="I979" s="87" t="s">
        <v>210</v>
      </c>
      <c r="J979" s="87" t="s">
        <v>210</v>
      </c>
      <c r="K979" s="87">
        <v>-1</v>
      </c>
      <c r="L979" s="87" t="s">
        <v>210</v>
      </c>
      <c r="M979" s="87" t="s">
        <v>210</v>
      </c>
      <c r="N979" s="87">
        <v>-2</v>
      </c>
      <c r="O979" s="87" t="s">
        <v>210</v>
      </c>
      <c r="P979" s="87" t="s">
        <v>210</v>
      </c>
      <c r="Q979" s="87">
        <v>1</v>
      </c>
      <c r="R979" s="87" t="s">
        <v>210</v>
      </c>
      <c r="BA979" s="95"/>
    </row>
    <row r="980" spans="1:53" s="87" customFormat="1">
      <c r="A980" s="90" t="str">
        <f t="shared" si="41"/>
        <v/>
      </c>
      <c r="B980" s="87">
        <v>18</v>
      </c>
      <c r="C980" s="87" t="s">
        <v>210</v>
      </c>
      <c r="D980" s="87">
        <v>-1</v>
      </c>
      <c r="E980" s="87">
        <v>2</v>
      </c>
      <c r="F980" s="87" t="s">
        <v>210</v>
      </c>
      <c r="G980" s="87" t="s">
        <v>210</v>
      </c>
      <c r="H980" s="87">
        <v>3</v>
      </c>
      <c r="I980" s="87" t="s">
        <v>210</v>
      </c>
      <c r="J980" s="87" t="s">
        <v>210</v>
      </c>
      <c r="K980" s="87">
        <v>-2</v>
      </c>
      <c r="L980" s="87" t="s">
        <v>210</v>
      </c>
      <c r="M980" s="87" t="s">
        <v>210</v>
      </c>
      <c r="N980" s="87">
        <v>4</v>
      </c>
      <c r="O980" s="87" t="s">
        <v>210</v>
      </c>
      <c r="P980" s="87" t="s">
        <v>210</v>
      </c>
      <c r="Q980" s="87">
        <v>-3</v>
      </c>
      <c r="R980" s="87" t="s">
        <v>210</v>
      </c>
      <c r="BA980" s="95"/>
    </row>
    <row r="981" spans="1:53" s="87" customFormat="1">
      <c r="A981" s="90" t="str">
        <f t="shared" si="41"/>
        <v/>
      </c>
      <c r="B981" s="87">
        <v>19</v>
      </c>
      <c r="C981" s="87">
        <v>-4</v>
      </c>
      <c r="D981" s="87" t="s">
        <v>210</v>
      </c>
      <c r="E981" s="87" t="s">
        <v>210</v>
      </c>
      <c r="F981" s="87" t="s">
        <v>210</v>
      </c>
      <c r="G981" s="87" t="s">
        <v>210</v>
      </c>
      <c r="H981" s="87" t="s">
        <v>210</v>
      </c>
      <c r="I981" s="87">
        <v>-3</v>
      </c>
      <c r="J981" s="87">
        <v>4</v>
      </c>
      <c r="K981" s="87" t="s">
        <v>210</v>
      </c>
      <c r="L981" s="87">
        <v>-2</v>
      </c>
      <c r="M981" s="87" t="s">
        <v>210</v>
      </c>
      <c r="N981" s="87" t="s">
        <v>210</v>
      </c>
      <c r="O981" s="87">
        <v>1</v>
      </c>
      <c r="P981" s="87" t="s">
        <v>210</v>
      </c>
      <c r="Q981" s="87">
        <v>3</v>
      </c>
      <c r="R981" s="87" t="s">
        <v>210</v>
      </c>
      <c r="BA981" s="95"/>
    </row>
    <row r="982" spans="1:53" s="87" customFormat="1">
      <c r="A982" s="90" t="str">
        <f t="shared" si="41"/>
        <v/>
      </c>
      <c r="B982" s="87">
        <v>20</v>
      </c>
      <c r="C982" s="87" t="s">
        <v>210</v>
      </c>
      <c r="D982" s="87">
        <v>1</v>
      </c>
      <c r="E982" s="87" t="s">
        <v>210</v>
      </c>
      <c r="F982" s="87" t="s">
        <v>210</v>
      </c>
      <c r="G982" s="87">
        <v>3</v>
      </c>
      <c r="H982" s="87" t="s">
        <v>210</v>
      </c>
      <c r="I982" s="87" t="s">
        <v>210</v>
      </c>
      <c r="J982" s="87">
        <v>-4</v>
      </c>
      <c r="K982" s="87" t="s">
        <v>210</v>
      </c>
      <c r="L982" s="87" t="s">
        <v>210</v>
      </c>
      <c r="M982" s="87">
        <v>-3</v>
      </c>
      <c r="N982" s="87">
        <v>2</v>
      </c>
      <c r="O982" s="87" t="s">
        <v>210</v>
      </c>
      <c r="P982" s="87">
        <v>-1</v>
      </c>
      <c r="Q982" s="87" t="s">
        <v>210</v>
      </c>
      <c r="R982" s="87" t="s">
        <v>210</v>
      </c>
      <c r="BA982" s="95"/>
    </row>
    <row r="983" spans="1:53" s="87" customFormat="1">
      <c r="A983" s="90" t="str">
        <f t="shared" si="41"/>
        <v/>
      </c>
      <c r="B983" s="87">
        <v>21</v>
      </c>
      <c r="C983" s="87" t="s">
        <v>210</v>
      </c>
      <c r="D983" s="87" t="s">
        <v>210</v>
      </c>
      <c r="E983" s="87">
        <v>-1</v>
      </c>
      <c r="F983" s="87">
        <v>-2</v>
      </c>
      <c r="G983" s="87" t="s">
        <v>210</v>
      </c>
      <c r="H983" s="87">
        <v>-4</v>
      </c>
      <c r="I983" s="87">
        <v>3</v>
      </c>
      <c r="J983" s="87" t="s">
        <v>210</v>
      </c>
      <c r="K983" s="87">
        <v>2</v>
      </c>
      <c r="L983" s="87" t="s">
        <v>210</v>
      </c>
      <c r="M983" s="87" t="s">
        <v>210</v>
      </c>
      <c r="N983" s="87" t="s">
        <v>210</v>
      </c>
      <c r="O983" s="87" t="s">
        <v>210</v>
      </c>
      <c r="P983" s="87">
        <v>1</v>
      </c>
      <c r="Q983" s="87" t="s">
        <v>210</v>
      </c>
      <c r="R983" s="87" t="s">
        <v>210</v>
      </c>
      <c r="BA983" s="95"/>
    </row>
    <row r="984" spans="1:53" s="87" customFormat="1">
      <c r="A984" s="90" t="str">
        <f t="shared" si="41"/>
        <v/>
      </c>
      <c r="B984" s="318" t="s">
        <v>1268</v>
      </c>
      <c r="BA984" s="95"/>
    </row>
    <row r="985" spans="1:53" s="87" customFormat="1">
      <c r="A985" s="90" t="str">
        <f t="shared" si="41"/>
        <v/>
      </c>
      <c r="BA985" s="95"/>
    </row>
    <row r="986" spans="1:53" s="87" customFormat="1">
      <c r="A986" s="90" t="str">
        <f t="shared" si="41"/>
        <v/>
      </c>
      <c r="BA986" s="95"/>
    </row>
    <row r="987" spans="1:53" s="87" customFormat="1">
      <c r="A987" s="90" t="str">
        <f t="shared" si="41"/>
        <v/>
      </c>
      <c r="BA987" s="95"/>
    </row>
    <row r="988" spans="1:53" s="87" customFormat="1">
      <c r="A988" s="90" t="str">
        <f t="shared" si="41"/>
        <v/>
      </c>
      <c r="BA988" s="95"/>
    </row>
    <row r="989" spans="1:53" s="87" customFormat="1">
      <c r="A989" s="90" t="str">
        <f t="shared" si="41"/>
        <v/>
      </c>
      <c r="BA989" s="95"/>
    </row>
    <row r="990" spans="1:53" s="87" customFormat="1">
      <c r="A990" s="90" t="str">
        <f t="shared" si="41"/>
        <v/>
      </c>
      <c r="BA990" s="95"/>
    </row>
    <row r="991" spans="1:53" s="87" customFormat="1">
      <c r="A991" s="90" t="str">
        <f t="shared" si="41"/>
        <v/>
      </c>
      <c r="BA991" s="95"/>
    </row>
    <row r="992" spans="1:53" s="87" customFormat="1">
      <c r="A992" s="90" t="str">
        <f t="shared" si="41"/>
        <v/>
      </c>
      <c r="BA992" s="95"/>
    </row>
    <row r="993" spans="1:53" s="87" customFormat="1">
      <c r="A993" s="90" t="str">
        <f t="shared" si="41"/>
        <v/>
      </c>
      <c r="BA993" s="95"/>
    </row>
    <row r="994" spans="1:53" s="87" customFormat="1">
      <c r="A994" s="90" t="str">
        <f t="shared" si="41"/>
        <v/>
      </c>
      <c r="BA994" s="95"/>
    </row>
    <row r="995" spans="1:53" s="87" customFormat="1">
      <c r="A995" s="90" t="str">
        <f t="shared" si="41"/>
        <v/>
      </c>
      <c r="BA995" s="95"/>
    </row>
    <row r="996" spans="1:53" s="87" customFormat="1">
      <c r="A996" s="90" t="str">
        <f t="shared" si="41"/>
        <v/>
      </c>
      <c r="BA996" s="95"/>
    </row>
    <row r="997" spans="1:53" s="87" customFormat="1">
      <c r="A997" s="90" t="str">
        <f t="shared" si="41"/>
        <v/>
      </c>
      <c r="BA997" s="95"/>
    </row>
    <row r="998" spans="1:53" s="87" customFormat="1">
      <c r="A998" s="90" t="str">
        <f t="shared" si="41"/>
        <v/>
      </c>
      <c r="BA998" s="95"/>
    </row>
    <row r="999" spans="1:53" s="87" customFormat="1">
      <c r="A999" s="90" t="str">
        <f t="shared" si="41"/>
        <v/>
      </c>
      <c r="BA999" s="95"/>
    </row>
    <row r="1000" spans="1:53" s="87" customFormat="1">
      <c r="A1000" s="90" t="str">
        <f t="shared" si="41"/>
        <v/>
      </c>
      <c r="BA1000" s="95"/>
    </row>
    <row r="1001" spans="1:53" s="87" customFormat="1">
      <c r="A1001" s="90" t="str">
        <f t="shared" si="41"/>
        <v/>
      </c>
      <c r="BA1001" s="95"/>
    </row>
    <row r="1002" spans="1:53" s="87" customFormat="1">
      <c r="A1002" s="90" t="str">
        <f t="shared" si="41"/>
        <v/>
      </c>
      <c r="BA1002" s="95"/>
    </row>
    <row r="1003" spans="1:53" s="87" customFormat="1">
      <c r="A1003" s="90" t="str">
        <f t="shared" si="41"/>
        <v/>
      </c>
      <c r="BA1003" s="95"/>
    </row>
    <row r="1004" spans="1:53" s="87" customFormat="1">
      <c r="A1004" s="90" t="str">
        <f t="shared" si="41"/>
        <v/>
      </c>
      <c r="BA1004" s="95"/>
    </row>
    <row r="1005" spans="1:53" s="87" customFormat="1">
      <c r="A1005" s="90" t="str">
        <f t="shared" si="41"/>
        <v/>
      </c>
      <c r="BA1005" s="95"/>
    </row>
    <row r="1006" spans="1:53" s="87" customFormat="1">
      <c r="A1006" s="90" t="str">
        <f t="shared" si="41"/>
        <v/>
      </c>
      <c r="BA1006" s="95"/>
    </row>
    <row r="1007" spans="1:53" s="87" customFormat="1">
      <c r="A1007" s="90" t="str">
        <f t="shared" si="41"/>
        <v/>
      </c>
      <c r="BA1007" s="95"/>
    </row>
    <row r="1008" spans="1:53" s="87" customFormat="1">
      <c r="A1008" s="90" t="str">
        <f t="shared" si="41"/>
        <v/>
      </c>
      <c r="BA1008" s="95"/>
    </row>
    <row r="1009" spans="1:53" s="87" customFormat="1">
      <c r="A1009" s="90" t="str">
        <f t="shared" si="41"/>
        <v/>
      </c>
      <c r="BA1009" s="95"/>
    </row>
    <row r="1010" spans="1:53" s="87" customFormat="1">
      <c r="A1010" s="90" t="str">
        <f t="shared" si="41"/>
        <v/>
      </c>
      <c r="BA1010" s="95"/>
    </row>
    <row r="1011" spans="1:53" s="87" customFormat="1">
      <c r="A1011" s="90" t="str">
        <f t="shared" si="41"/>
        <v/>
      </c>
      <c r="BA1011" s="95"/>
    </row>
    <row r="1012" spans="1:53" s="87" customFormat="1">
      <c r="A1012" s="90" t="str">
        <f t="shared" si="41"/>
        <v/>
      </c>
      <c r="BA1012" s="95"/>
    </row>
    <row r="1013" spans="1:53" s="87" customFormat="1">
      <c r="A1013" s="90" t="str">
        <f t="shared" si="41"/>
        <v/>
      </c>
      <c r="BA1013" s="95"/>
    </row>
    <row r="1014" spans="1:53" s="87" customFormat="1">
      <c r="A1014" s="90" t="str">
        <f t="shared" si="41"/>
        <v/>
      </c>
      <c r="BA1014" s="95"/>
    </row>
    <row r="1015" spans="1:53" s="87" customFormat="1">
      <c r="A1015" s="90" t="str">
        <f t="shared" si="41"/>
        <v/>
      </c>
      <c r="BA1015" s="95"/>
    </row>
    <row r="1016" spans="1:53" s="87" customFormat="1">
      <c r="A1016" s="90" t="str">
        <f t="shared" si="41"/>
        <v/>
      </c>
      <c r="BA1016" s="95"/>
    </row>
    <row r="1017" spans="1:53" s="87" customFormat="1">
      <c r="A1017" s="90" t="str">
        <f t="shared" si="41"/>
        <v/>
      </c>
      <c r="BA1017" s="95"/>
    </row>
    <row r="1018" spans="1:53" s="87" customFormat="1">
      <c r="A1018" s="90" t="str">
        <f t="shared" si="41"/>
        <v/>
      </c>
      <c r="BA1018" s="95"/>
    </row>
    <row r="1019" spans="1:53" s="87" customFormat="1">
      <c r="A1019" s="90" t="str">
        <f t="shared" si="41"/>
        <v/>
      </c>
      <c r="BA1019" s="95"/>
    </row>
    <row r="1020" spans="1:53" s="87" customFormat="1">
      <c r="A1020" s="90" t="str">
        <f t="shared" si="41"/>
        <v/>
      </c>
      <c r="BA1020" s="95"/>
    </row>
    <row r="1021" spans="1:53" s="87" customFormat="1">
      <c r="A1021" s="90" t="str">
        <f t="shared" si="41"/>
        <v/>
      </c>
      <c r="BA1021" s="95"/>
    </row>
    <row r="1022" spans="1:53" s="87" customFormat="1">
      <c r="A1022" s="90" t="str">
        <f t="shared" si="41"/>
        <v/>
      </c>
      <c r="BA1022" s="95"/>
    </row>
    <row r="1023" spans="1:53" s="87" customFormat="1">
      <c r="A1023" s="90" t="str">
        <f t="shared" si="41"/>
        <v/>
      </c>
      <c r="BA1023" s="95"/>
    </row>
    <row r="1024" spans="1:53" s="87" customFormat="1">
      <c r="A1024" s="90" t="str">
        <f t="shared" si="41"/>
        <v/>
      </c>
      <c r="BA1024" s="95"/>
    </row>
    <row r="1025" spans="1:53" s="87" customFormat="1">
      <c r="A1025" s="90" t="str">
        <f t="shared" si="41"/>
        <v/>
      </c>
      <c r="BA1025" s="95"/>
    </row>
    <row r="1026" spans="1:53" s="87" customFormat="1">
      <c r="A1026" s="90" t="str">
        <f t="shared" si="41"/>
        <v/>
      </c>
      <c r="BA1026" s="95"/>
    </row>
    <row r="1027" spans="1:53" s="87" customFormat="1">
      <c r="A1027" s="90" t="str">
        <f t="shared" si="41"/>
        <v/>
      </c>
      <c r="BA1027" s="95"/>
    </row>
    <row r="1028" spans="1:53" s="87" customFormat="1">
      <c r="A1028" s="90" t="str">
        <f t="shared" si="41"/>
        <v/>
      </c>
      <c r="BA1028" s="95"/>
    </row>
    <row r="1029" spans="1:53" s="87" customFormat="1">
      <c r="A1029" s="90" t="str">
        <f t="shared" si="41"/>
        <v/>
      </c>
      <c r="BA1029" s="95"/>
    </row>
    <row r="1030" spans="1:53" s="87" customFormat="1">
      <c r="A1030" s="90" t="str">
        <f t="shared" si="41"/>
        <v/>
      </c>
      <c r="BA1030" s="95"/>
    </row>
    <row r="1031" spans="1:53" s="87" customFormat="1">
      <c r="A1031" s="90" t="str">
        <f t="shared" si="41"/>
        <v/>
      </c>
      <c r="BA1031" s="95"/>
    </row>
    <row r="1032" spans="1:53" s="87" customFormat="1">
      <c r="A1032" s="90" t="str">
        <f t="shared" si="41"/>
        <v/>
      </c>
      <c r="BA1032" s="95"/>
    </row>
    <row r="1033" spans="1:53" s="87" customFormat="1">
      <c r="A1033" s="90" t="str">
        <f t="shared" si="41"/>
        <v/>
      </c>
      <c r="BA1033" s="95"/>
    </row>
    <row r="1034" spans="1:53" s="87" customFormat="1">
      <c r="A1034" s="90" t="str">
        <f t="shared" si="41"/>
        <v/>
      </c>
      <c r="BA1034" s="95"/>
    </row>
    <row r="1035" spans="1:53" s="87" customFormat="1">
      <c r="A1035" s="90" t="str">
        <f t="shared" si="41"/>
        <v/>
      </c>
      <c r="BA1035" s="95"/>
    </row>
    <row r="1036" spans="1:53" s="87" customFormat="1">
      <c r="A1036" s="90" t="str">
        <f t="shared" ref="A1036:A1099" si="42">IF(MID(B1036,3,2)="04",ROW(),"")</f>
        <v/>
      </c>
      <c r="BA1036" s="95"/>
    </row>
    <row r="1037" spans="1:53" s="87" customFormat="1">
      <c r="A1037" s="90" t="str">
        <f t="shared" si="42"/>
        <v/>
      </c>
      <c r="BA1037" s="95"/>
    </row>
    <row r="1038" spans="1:53" s="87" customFormat="1">
      <c r="A1038" s="90" t="str">
        <f t="shared" si="42"/>
        <v/>
      </c>
      <c r="BA1038" s="95"/>
    </row>
    <row r="1039" spans="1:53" s="87" customFormat="1">
      <c r="A1039" s="90" t="str">
        <f t="shared" si="42"/>
        <v/>
      </c>
      <c r="BA1039" s="95"/>
    </row>
    <row r="1040" spans="1:53" s="87" customFormat="1">
      <c r="A1040" s="90" t="str">
        <f t="shared" si="42"/>
        <v/>
      </c>
      <c r="BA1040" s="95"/>
    </row>
    <row r="1041" spans="1:53" s="87" customFormat="1">
      <c r="A1041" s="90" t="str">
        <f t="shared" si="42"/>
        <v/>
      </c>
      <c r="BA1041" s="95"/>
    </row>
    <row r="1042" spans="1:53" s="87" customFormat="1">
      <c r="A1042" s="90" t="str">
        <f t="shared" si="42"/>
        <v/>
      </c>
      <c r="BA1042" s="95"/>
    </row>
    <row r="1043" spans="1:53" s="87" customFormat="1">
      <c r="A1043" s="90" t="str">
        <f t="shared" si="42"/>
        <v/>
      </c>
      <c r="BA1043" s="95"/>
    </row>
    <row r="1044" spans="1:53" s="87" customFormat="1">
      <c r="A1044" s="90" t="str">
        <f t="shared" si="42"/>
        <v/>
      </c>
      <c r="BA1044" s="95"/>
    </row>
    <row r="1045" spans="1:53" s="87" customFormat="1">
      <c r="A1045" s="90" t="str">
        <f t="shared" si="42"/>
        <v/>
      </c>
      <c r="BA1045" s="95"/>
    </row>
    <row r="1046" spans="1:53" s="87" customFormat="1">
      <c r="A1046" s="90" t="str">
        <f t="shared" si="42"/>
        <v/>
      </c>
      <c r="BA1046" s="95"/>
    </row>
    <row r="1047" spans="1:53" s="87" customFormat="1">
      <c r="A1047" s="90" t="str">
        <f t="shared" si="42"/>
        <v/>
      </c>
      <c r="BA1047" s="95"/>
    </row>
    <row r="1048" spans="1:53" s="87" customFormat="1">
      <c r="A1048" s="90" t="str">
        <f t="shared" si="42"/>
        <v/>
      </c>
      <c r="BA1048" s="95"/>
    </row>
    <row r="1049" spans="1:53" s="87" customFormat="1">
      <c r="A1049" s="90" t="str">
        <f t="shared" si="42"/>
        <v/>
      </c>
      <c r="BA1049" s="95"/>
    </row>
    <row r="1050" spans="1:53" s="87" customFormat="1">
      <c r="A1050" s="90" t="str">
        <f t="shared" si="42"/>
        <v/>
      </c>
      <c r="BA1050" s="95"/>
    </row>
    <row r="1051" spans="1:53" s="87" customFormat="1">
      <c r="A1051" s="90" t="str">
        <f t="shared" si="42"/>
        <v/>
      </c>
      <c r="BA1051" s="95"/>
    </row>
    <row r="1052" spans="1:53" s="87" customFormat="1">
      <c r="A1052" s="90" t="str">
        <f t="shared" si="42"/>
        <v/>
      </c>
      <c r="BA1052" s="95"/>
    </row>
    <row r="1053" spans="1:53" s="87" customFormat="1">
      <c r="A1053" s="90" t="str">
        <f t="shared" si="42"/>
        <v/>
      </c>
      <c r="BA1053" s="95"/>
    </row>
    <row r="1054" spans="1:53" s="87" customFormat="1">
      <c r="A1054" s="90" t="str">
        <f t="shared" si="42"/>
        <v/>
      </c>
      <c r="BA1054" s="95"/>
    </row>
    <row r="1055" spans="1:53" s="87" customFormat="1">
      <c r="A1055" s="90" t="str">
        <f t="shared" si="42"/>
        <v/>
      </c>
      <c r="BA1055" s="95"/>
    </row>
    <row r="1056" spans="1:53" s="87" customFormat="1">
      <c r="A1056" s="90" t="str">
        <f t="shared" si="42"/>
        <v/>
      </c>
      <c r="BA1056" s="95"/>
    </row>
    <row r="1057" spans="1:53" s="87" customFormat="1">
      <c r="A1057" s="90" t="str">
        <f t="shared" si="42"/>
        <v/>
      </c>
      <c r="BA1057" s="95"/>
    </row>
    <row r="1058" spans="1:53" s="87" customFormat="1">
      <c r="A1058" s="90" t="str">
        <f t="shared" si="42"/>
        <v/>
      </c>
      <c r="BA1058" s="95"/>
    </row>
    <row r="1059" spans="1:53" s="87" customFormat="1">
      <c r="A1059" s="90" t="str">
        <f t="shared" si="42"/>
        <v/>
      </c>
      <c r="BA1059" s="95"/>
    </row>
    <row r="1060" spans="1:53" s="87" customFormat="1">
      <c r="A1060" s="90" t="str">
        <f t="shared" si="42"/>
        <v/>
      </c>
      <c r="BA1060" s="95"/>
    </row>
    <row r="1061" spans="1:53" s="87" customFormat="1">
      <c r="A1061" s="90" t="str">
        <f t="shared" si="42"/>
        <v/>
      </c>
      <c r="BA1061" s="95"/>
    </row>
    <row r="1062" spans="1:53" s="87" customFormat="1">
      <c r="A1062" s="90" t="str">
        <f t="shared" si="42"/>
        <v/>
      </c>
      <c r="BA1062" s="95"/>
    </row>
    <row r="1063" spans="1:53" s="87" customFormat="1">
      <c r="A1063" s="90" t="str">
        <f t="shared" si="42"/>
        <v/>
      </c>
      <c r="BA1063" s="95"/>
    </row>
    <row r="1064" spans="1:53" s="87" customFormat="1">
      <c r="A1064" s="90" t="str">
        <f t="shared" si="42"/>
        <v/>
      </c>
      <c r="BA1064" s="95"/>
    </row>
    <row r="1065" spans="1:53" s="87" customFormat="1">
      <c r="A1065" s="90" t="str">
        <f t="shared" si="42"/>
        <v/>
      </c>
      <c r="BA1065" s="95"/>
    </row>
    <row r="1066" spans="1:53" s="87" customFormat="1">
      <c r="A1066" s="90" t="str">
        <f t="shared" si="42"/>
        <v/>
      </c>
      <c r="BA1066" s="95"/>
    </row>
    <row r="1067" spans="1:53" s="87" customFormat="1">
      <c r="A1067" s="90" t="str">
        <f t="shared" si="42"/>
        <v/>
      </c>
      <c r="BA1067" s="95"/>
    </row>
    <row r="1068" spans="1:53" s="87" customFormat="1">
      <c r="A1068" s="90" t="str">
        <f t="shared" si="42"/>
        <v/>
      </c>
      <c r="BA1068" s="95"/>
    </row>
    <row r="1069" spans="1:53" s="87" customFormat="1">
      <c r="A1069" s="90" t="str">
        <f t="shared" si="42"/>
        <v/>
      </c>
      <c r="BA1069" s="95"/>
    </row>
    <row r="1070" spans="1:53" s="87" customFormat="1">
      <c r="A1070" s="90" t="str">
        <f t="shared" si="42"/>
        <v/>
      </c>
      <c r="BA1070" s="95"/>
    </row>
    <row r="1071" spans="1:53" s="87" customFormat="1">
      <c r="A1071" s="90" t="str">
        <f t="shared" si="42"/>
        <v/>
      </c>
      <c r="BA1071" s="95"/>
    </row>
    <row r="1072" spans="1:53" s="87" customFormat="1">
      <c r="A1072" s="90" t="str">
        <f t="shared" si="42"/>
        <v/>
      </c>
      <c r="BA1072" s="95"/>
    </row>
    <row r="1073" spans="1:53" s="87" customFormat="1">
      <c r="A1073" s="90" t="str">
        <f t="shared" si="42"/>
        <v/>
      </c>
      <c r="BA1073" s="95"/>
    </row>
    <row r="1074" spans="1:53" s="87" customFormat="1">
      <c r="A1074" s="90" t="str">
        <f t="shared" si="42"/>
        <v/>
      </c>
      <c r="BA1074" s="95"/>
    </row>
    <row r="1075" spans="1:53" s="87" customFormat="1">
      <c r="A1075" s="90" t="str">
        <f t="shared" si="42"/>
        <v/>
      </c>
      <c r="BA1075" s="95"/>
    </row>
    <row r="1076" spans="1:53" s="87" customFormat="1">
      <c r="A1076" s="90" t="str">
        <f t="shared" si="42"/>
        <v/>
      </c>
      <c r="BA1076" s="95"/>
    </row>
    <row r="1077" spans="1:53" s="87" customFormat="1">
      <c r="A1077" s="90" t="str">
        <f t="shared" si="42"/>
        <v/>
      </c>
      <c r="BA1077" s="95"/>
    </row>
    <row r="1078" spans="1:53" s="87" customFormat="1">
      <c r="A1078" s="90" t="str">
        <f t="shared" si="42"/>
        <v/>
      </c>
      <c r="BA1078" s="95"/>
    </row>
    <row r="1079" spans="1:53" s="87" customFormat="1">
      <c r="A1079" s="90" t="str">
        <f t="shared" si="42"/>
        <v/>
      </c>
      <c r="BA1079" s="95"/>
    </row>
    <row r="1080" spans="1:53" s="87" customFormat="1">
      <c r="A1080" s="90" t="str">
        <f t="shared" si="42"/>
        <v/>
      </c>
      <c r="BA1080" s="95"/>
    </row>
    <row r="1081" spans="1:53" s="87" customFormat="1">
      <c r="A1081" s="90" t="str">
        <f t="shared" si="42"/>
        <v/>
      </c>
      <c r="BA1081" s="95"/>
    </row>
    <row r="1082" spans="1:53" s="87" customFormat="1">
      <c r="A1082" s="90" t="str">
        <f t="shared" si="42"/>
        <v/>
      </c>
      <c r="BA1082" s="95"/>
    </row>
    <row r="1083" spans="1:53" s="87" customFormat="1">
      <c r="A1083" s="90" t="str">
        <f t="shared" si="42"/>
        <v/>
      </c>
      <c r="BA1083" s="95"/>
    </row>
    <row r="1084" spans="1:53" s="87" customFormat="1">
      <c r="A1084" s="90" t="str">
        <f t="shared" si="42"/>
        <v/>
      </c>
      <c r="BA1084" s="95"/>
    </row>
    <row r="1085" spans="1:53" s="87" customFormat="1">
      <c r="A1085" s="90" t="str">
        <f t="shared" si="42"/>
        <v/>
      </c>
      <c r="BA1085" s="95"/>
    </row>
    <row r="1086" spans="1:53" s="87" customFormat="1">
      <c r="A1086" s="90" t="str">
        <f t="shared" si="42"/>
        <v/>
      </c>
      <c r="BA1086" s="95"/>
    </row>
    <row r="1087" spans="1:53" s="87" customFormat="1">
      <c r="A1087" s="90" t="str">
        <f t="shared" si="42"/>
        <v/>
      </c>
      <c r="BA1087" s="95"/>
    </row>
    <row r="1088" spans="1:53" s="87" customFormat="1">
      <c r="A1088" s="90" t="str">
        <f t="shared" si="42"/>
        <v/>
      </c>
      <c r="BA1088" s="95"/>
    </row>
    <row r="1089" spans="1:53" s="87" customFormat="1">
      <c r="A1089" s="90" t="str">
        <f t="shared" si="42"/>
        <v/>
      </c>
      <c r="BA1089" s="95"/>
    </row>
    <row r="1090" spans="1:53" s="87" customFormat="1">
      <c r="A1090" s="90" t="str">
        <f t="shared" si="42"/>
        <v/>
      </c>
      <c r="BA1090" s="95"/>
    </row>
    <row r="1091" spans="1:53" s="87" customFormat="1">
      <c r="A1091" s="90" t="str">
        <f t="shared" si="42"/>
        <v/>
      </c>
      <c r="BA1091" s="95"/>
    </row>
    <row r="1092" spans="1:53" s="87" customFormat="1">
      <c r="A1092" s="90" t="str">
        <f t="shared" si="42"/>
        <v/>
      </c>
      <c r="BA1092" s="95"/>
    </row>
    <row r="1093" spans="1:53" s="87" customFormat="1">
      <c r="A1093" s="90" t="str">
        <f t="shared" si="42"/>
        <v/>
      </c>
      <c r="BA1093" s="95"/>
    </row>
    <row r="1094" spans="1:53" s="87" customFormat="1">
      <c r="A1094" s="90" t="str">
        <f t="shared" si="42"/>
        <v/>
      </c>
      <c r="BA1094" s="95"/>
    </row>
    <row r="1095" spans="1:53" s="87" customFormat="1">
      <c r="A1095" s="90" t="str">
        <f t="shared" si="42"/>
        <v/>
      </c>
      <c r="BA1095" s="95"/>
    </row>
    <row r="1096" spans="1:53" s="87" customFormat="1">
      <c r="A1096" s="90" t="str">
        <f t="shared" si="42"/>
        <v/>
      </c>
      <c r="BA1096" s="95"/>
    </row>
    <row r="1097" spans="1:53" s="87" customFormat="1">
      <c r="A1097" s="90" t="str">
        <f t="shared" si="42"/>
        <v/>
      </c>
      <c r="BA1097" s="95"/>
    </row>
    <row r="1098" spans="1:53" s="87" customFormat="1">
      <c r="A1098" s="90" t="str">
        <f t="shared" si="42"/>
        <v/>
      </c>
      <c r="BA1098" s="95"/>
    </row>
    <row r="1099" spans="1:53" s="87" customFormat="1">
      <c r="A1099" s="90" t="str">
        <f t="shared" si="42"/>
        <v/>
      </c>
      <c r="BA1099" s="95"/>
    </row>
    <row r="1100" spans="1:53" s="87" customFormat="1">
      <c r="A1100" s="90" t="str">
        <f t="shared" ref="A1100:A1163" si="43">IF(MID(B1100,3,2)="04",ROW(),"")</f>
        <v/>
      </c>
      <c r="BA1100" s="95"/>
    </row>
    <row r="1101" spans="1:53" s="87" customFormat="1">
      <c r="A1101" s="90" t="str">
        <f t="shared" si="43"/>
        <v/>
      </c>
      <c r="BA1101" s="95"/>
    </row>
    <row r="1102" spans="1:53" s="87" customFormat="1">
      <c r="A1102" s="90" t="str">
        <f t="shared" si="43"/>
        <v/>
      </c>
      <c r="BA1102" s="95"/>
    </row>
    <row r="1103" spans="1:53" s="87" customFormat="1">
      <c r="A1103" s="90" t="str">
        <f t="shared" si="43"/>
        <v/>
      </c>
      <c r="BA1103" s="95"/>
    </row>
    <row r="1104" spans="1:53" s="87" customFormat="1">
      <c r="A1104" s="90" t="str">
        <f t="shared" si="43"/>
        <v/>
      </c>
      <c r="BA1104" s="95"/>
    </row>
    <row r="1105" spans="1:53" s="87" customFormat="1">
      <c r="A1105" s="90" t="str">
        <f t="shared" si="43"/>
        <v/>
      </c>
      <c r="BA1105" s="95"/>
    </row>
    <row r="1106" spans="1:53" s="87" customFormat="1">
      <c r="A1106" s="90" t="str">
        <f t="shared" si="43"/>
        <v/>
      </c>
      <c r="BA1106" s="95"/>
    </row>
    <row r="1107" spans="1:53" s="87" customFormat="1">
      <c r="A1107" s="90" t="str">
        <f t="shared" si="43"/>
        <v/>
      </c>
      <c r="BA1107" s="95"/>
    </row>
    <row r="1108" spans="1:53" s="87" customFormat="1">
      <c r="A1108" s="90" t="str">
        <f t="shared" si="43"/>
        <v/>
      </c>
      <c r="BA1108" s="95"/>
    </row>
    <row r="1109" spans="1:53" s="87" customFormat="1">
      <c r="A1109" s="90" t="str">
        <f t="shared" si="43"/>
        <v/>
      </c>
      <c r="BA1109" s="95"/>
    </row>
    <row r="1110" spans="1:53" s="87" customFormat="1">
      <c r="A1110" s="90" t="str">
        <f t="shared" si="43"/>
        <v/>
      </c>
      <c r="BA1110" s="95"/>
    </row>
    <row r="1111" spans="1:53" s="87" customFormat="1">
      <c r="A1111" s="90" t="str">
        <f t="shared" si="43"/>
        <v/>
      </c>
      <c r="BA1111" s="95"/>
    </row>
    <row r="1112" spans="1:53" s="87" customFormat="1">
      <c r="A1112" s="90" t="str">
        <f t="shared" si="43"/>
        <v/>
      </c>
      <c r="BA1112" s="95"/>
    </row>
    <row r="1113" spans="1:53" s="87" customFormat="1">
      <c r="A1113" s="90" t="str">
        <f t="shared" si="43"/>
        <v/>
      </c>
      <c r="BA1113" s="95"/>
    </row>
    <row r="1114" spans="1:53" s="87" customFormat="1">
      <c r="A1114" s="90" t="str">
        <f t="shared" si="43"/>
        <v/>
      </c>
      <c r="BA1114" s="95"/>
    </row>
    <row r="1115" spans="1:53" s="87" customFormat="1">
      <c r="A1115" s="90" t="str">
        <f t="shared" si="43"/>
        <v/>
      </c>
      <c r="BA1115" s="95"/>
    </row>
    <row r="1116" spans="1:53" s="87" customFormat="1">
      <c r="A1116" s="90" t="str">
        <f t="shared" si="43"/>
        <v/>
      </c>
      <c r="BA1116" s="95"/>
    </row>
    <row r="1117" spans="1:53" s="87" customFormat="1">
      <c r="A1117" s="90" t="str">
        <f t="shared" si="43"/>
        <v/>
      </c>
      <c r="BA1117" s="95"/>
    </row>
    <row r="1118" spans="1:53" s="87" customFormat="1">
      <c r="A1118" s="90" t="str">
        <f t="shared" si="43"/>
        <v/>
      </c>
      <c r="BA1118" s="95"/>
    </row>
    <row r="1119" spans="1:53" s="87" customFormat="1">
      <c r="A1119" s="90" t="str">
        <f t="shared" si="43"/>
        <v/>
      </c>
      <c r="BA1119" s="95"/>
    </row>
    <row r="1120" spans="1:53" s="87" customFormat="1">
      <c r="A1120" s="90" t="str">
        <f t="shared" si="43"/>
        <v/>
      </c>
      <c r="BA1120" s="95"/>
    </row>
    <row r="1121" spans="1:53" s="87" customFormat="1">
      <c r="A1121" s="90" t="str">
        <f t="shared" si="43"/>
        <v/>
      </c>
      <c r="BA1121" s="95"/>
    </row>
    <row r="1122" spans="1:53" s="87" customFormat="1">
      <c r="A1122" s="90" t="str">
        <f t="shared" si="43"/>
        <v/>
      </c>
      <c r="BA1122" s="95"/>
    </row>
    <row r="1123" spans="1:53" s="87" customFormat="1">
      <c r="A1123" s="90" t="str">
        <f t="shared" si="43"/>
        <v/>
      </c>
      <c r="BA1123" s="95"/>
    </row>
    <row r="1124" spans="1:53" s="87" customFormat="1">
      <c r="A1124" s="90" t="str">
        <f t="shared" si="43"/>
        <v/>
      </c>
      <c r="BA1124" s="95"/>
    </row>
    <row r="1125" spans="1:53" s="87" customFormat="1">
      <c r="A1125" s="90" t="str">
        <f t="shared" si="43"/>
        <v/>
      </c>
      <c r="BA1125" s="95"/>
    </row>
    <row r="1126" spans="1:53" s="87" customFormat="1">
      <c r="A1126" s="90" t="str">
        <f t="shared" si="43"/>
        <v/>
      </c>
      <c r="BA1126" s="95"/>
    </row>
    <row r="1127" spans="1:53" s="87" customFormat="1">
      <c r="A1127" s="90" t="str">
        <f t="shared" si="43"/>
        <v/>
      </c>
      <c r="BA1127" s="95"/>
    </row>
    <row r="1128" spans="1:53" s="87" customFormat="1">
      <c r="A1128" s="90" t="str">
        <f t="shared" si="43"/>
        <v/>
      </c>
      <c r="BA1128" s="95"/>
    </row>
    <row r="1129" spans="1:53" s="87" customFormat="1">
      <c r="A1129" s="90" t="str">
        <f t="shared" si="43"/>
        <v/>
      </c>
      <c r="BA1129" s="95"/>
    </row>
    <row r="1130" spans="1:53" s="87" customFormat="1">
      <c r="A1130" s="90" t="str">
        <f t="shared" si="43"/>
        <v/>
      </c>
      <c r="BA1130" s="95"/>
    </row>
    <row r="1131" spans="1:53" s="87" customFormat="1">
      <c r="A1131" s="90" t="str">
        <f t="shared" si="43"/>
        <v/>
      </c>
      <c r="BA1131" s="95"/>
    </row>
    <row r="1132" spans="1:53" s="87" customFormat="1">
      <c r="A1132" s="90" t="str">
        <f t="shared" si="43"/>
        <v/>
      </c>
      <c r="BA1132" s="95"/>
    </row>
    <row r="1133" spans="1:53" s="87" customFormat="1">
      <c r="A1133" s="90" t="str">
        <f t="shared" si="43"/>
        <v/>
      </c>
      <c r="BA1133" s="95"/>
    </row>
    <row r="1134" spans="1:53" s="87" customFormat="1">
      <c r="A1134" s="90" t="str">
        <f t="shared" si="43"/>
        <v/>
      </c>
      <c r="BA1134" s="95"/>
    </row>
    <row r="1135" spans="1:53" s="87" customFormat="1">
      <c r="A1135" s="90" t="str">
        <f t="shared" si="43"/>
        <v/>
      </c>
      <c r="BA1135" s="95"/>
    </row>
    <row r="1136" spans="1:53" s="87" customFormat="1">
      <c r="A1136" s="90" t="str">
        <f t="shared" si="43"/>
        <v/>
      </c>
      <c r="BA1136" s="95"/>
    </row>
    <row r="1137" spans="1:53" s="87" customFormat="1">
      <c r="A1137" s="90" t="str">
        <f t="shared" si="43"/>
        <v/>
      </c>
      <c r="BA1137" s="95"/>
    </row>
    <row r="1138" spans="1:53" s="87" customFormat="1">
      <c r="A1138" s="90" t="str">
        <f t="shared" si="43"/>
        <v/>
      </c>
      <c r="BA1138" s="95"/>
    </row>
    <row r="1139" spans="1:53" s="87" customFormat="1">
      <c r="A1139" s="90" t="str">
        <f t="shared" si="43"/>
        <v/>
      </c>
      <c r="BA1139" s="95"/>
    </row>
    <row r="1140" spans="1:53" s="87" customFormat="1">
      <c r="A1140" s="90" t="str">
        <f t="shared" si="43"/>
        <v/>
      </c>
      <c r="BA1140" s="95"/>
    </row>
    <row r="1141" spans="1:53" s="87" customFormat="1">
      <c r="A1141" s="90" t="str">
        <f t="shared" si="43"/>
        <v/>
      </c>
      <c r="BA1141" s="95"/>
    </row>
    <row r="1142" spans="1:53" s="87" customFormat="1">
      <c r="A1142" s="90" t="str">
        <f t="shared" si="43"/>
        <v/>
      </c>
      <c r="BA1142" s="95"/>
    </row>
    <row r="1143" spans="1:53" s="87" customFormat="1">
      <c r="A1143" s="90" t="str">
        <f t="shared" si="43"/>
        <v/>
      </c>
      <c r="BA1143" s="95"/>
    </row>
    <row r="1144" spans="1:53" s="87" customFormat="1">
      <c r="A1144" s="90" t="str">
        <f t="shared" si="43"/>
        <v/>
      </c>
      <c r="BA1144" s="95"/>
    </row>
    <row r="1145" spans="1:53" s="87" customFormat="1">
      <c r="A1145" s="90" t="str">
        <f t="shared" si="43"/>
        <v/>
      </c>
      <c r="BA1145" s="95"/>
    </row>
    <row r="1146" spans="1:53" s="87" customFormat="1">
      <c r="A1146" s="90" t="str">
        <f t="shared" si="43"/>
        <v/>
      </c>
      <c r="BA1146" s="95"/>
    </row>
    <row r="1147" spans="1:53" s="87" customFormat="1">
      <c r="A1147" s="90" t="str">
        <f t="shared" si="43"/>
        <v/>
      </c>
      <c r="BA1147" s="95"/>
    </row>
    <row r="1148" spans="1:53" s="87" customFormat="1">
      <c r="A1148" s="90" t="str">
        <f t="shared" si="43"/>
        <v/>
      </c>
      <c r="BA1148" s="95"/>
    </row>
    <row r="1149" spans="1:53" s="87" customFormat="1">
      <c r="A1149" s="90" t="str">
        <f t="shared" si="43"/>
        <v/>
      </c>
      <c r="BA1149" s="95"/>
    </row>
    <row r="1150" spans="1:53" s="87" customFormat="1">
      <c r="A1150" s="90" t="str">
        <f t="shared" si="43"/>
        <v/>
      </c>
      <c r="BA1150" s="95"/>
    </row>
    <row r="1151" spans="1:53" s="87" customFormat="1">
      <c r="A1151" s="90" t="str">
        <f t="shared" si="43"/>
        <v/>
      </c>
      <c r="BA1151" s="95"/>
    </row>
    <row r="1152" spans="1:53" s="87" customFormat="1">
      <c r="A1152" s="90" t="str">
        <f t="shared" si="43"/>
        <v/>
      </c>
      <c r="BA1152" s="95"/>
    </row>
    <row r="1153" spans="1:53" s="87" customFormat="1">
      <c r="A1153" s="90" t="str">
        <f t="shared" si="43"/>
        <v/>
      </c>
      <c r="BA1153" s="95"/>
    </row>
    <row r="1154" spans="1:53" s="87" customFormat="1">
      <c r="A1154" s="90" t="str">
        <f t="shared" si="43"/>
        <v/>
      </c>
      <c r="BA1154" s="95"/>
    </row>
    <row r="1155" spans="1:53" s="87" customFormat="1">
      <c r="A1155" s="90" t="str">
        <f t="shared" si="43"/>
        <v/>
      </c>
      <c r="BA1155" s="95"/>
    </row>
    <row r="1156" spans="1:53" s="87" customFormat="1">
      <c r="A1156" s="90" t="str">
        <f t="shared" si="43"/>
        <v/>
      </c>
      <c r="BA1156" s="95"/>
    </row>
    <row r="1157" spans="1:53" s="87" customFormat="1">
      <c r="A1157" s="90" t="str">
        <f t="shared" si="43"/>
        <v/>
      </c>
      <c r="BA1157" s="95"/>
    </row>
    <row r="1158" spans="1:53" s="87" customFormat="1">
      <c r="A1158" s="90" t="str">
        <f t="shared" si="43"/>
        <v/>
      </c>
      <c r="BA1158" s="95"/>
    </row>
    <row r="1159" spans="1:53" s="87" customFormat="1">
      <c r="A1159" s="90" t="str">
        <f t="shared" si="43"/>
        <v/>
      </c>
      <c r="BA1159" s="95"/>
    </row>
    <row r="1160" spans="1:53" s="87" customFormat="1">
      <c r="A1160" s="90" t="str">
        <f t="shared" si="43"/>
        <v/>
      </c>
      <c r="BA1160" s="95"/>
    </row>
    <row r="1161" spans="1:53" s="87" customFormat="1">
      <c r="A1161" s="90" t="str">
        <f t="shared" si="43"/>
        <v/>
      </c>
      <c r="BA1161" s="95"/>
    </row>
    <row r="1162" spans="1:53" s="87" customFormat="1">
      <c r="A1162" s="90" t="str">
        <f t="shared" si="43"/>
        <v/>
      </c>
      <c r="BA1162" s="95"/>
    </row>
    <row r="1163" spans="1:53" s="87" customFormat="1">
      <c r="A1163" s="90" t="str">
        <f t="shared" si="43"/>
        <v/>
      </c>
      <c r="BA1163" s="95"/>
    </row>
    <row r="1164" spans="1:53" s="87" customFormat="1">
      <c r="A1164" s="90" t="str">
        <f t="shared" ref="A1164:A1200" si="44">IF(MID(B1164,3,2)="04",ROW(),"")</f>
        <v/>
      </c>
      <c r="BA1164" s="95"/>
    </row>
    <row r="1165" spans="1:53" s="87" customFormat="1">
      <c r="A1165" s="90" t="str">
        <f t="shared" si="44"/>
        <v/>
      </c>
      <c r="BA1165" s="95"/>
    </row>
    <row r="1166" spans="1:53" s="87" customFormat="1">
      <c r="A1166" s="90" t="str">
        <f t="shared" si="44"/>
        <v/>
      </c>
      <c r="BA1166" s="95"/>
    </row>
    <row r="1167" spans="1:53" s="87" customFormat="1">
      <c r="A1167" s="90" t="str">
        <f t="shared" si="44"/>
        <v/>
      </c>
      <c r="BA1167" s="95"/>
    </row>
    <row r="1168" spans="1:53" s="87" customFormat="1">
      <c r="A1168" s="90" t="str">
        <f t="shared" si="44"/>
        <v/>
      </c>
      <c r="BA1168" s="95"/>
    </row>
    <row r="1169" spans="1:53" s="87" customFormat="1">
      <c r="A1169" s="90" t="str">
        <f t="shared" si="44"/>
        <v/>
      </c>
      <c r="BA1169" s="95"/>
    </row>
    <row r="1170" spans="1:53" s="87" customFormat="1">
      <c r="A1170" s="90" t="str">
        <f t="shared" si="44"/>
        <v/>
      </c>
      <c r="BA1170" s="95"/>
    </row>
    <row r="1171" spans="1:53" s="87" customFormat="1">
      <c r="A1171" s="90" t="str">
        <f t="shared" si="44"/>
        <v/>
      </c>
      <c r="BA1171" s="95"/>
    </row>
    <row r="1172" spans="1:53" s="87" customFormat="1">
      <c r="A1172" s="90" t="str">
        <f t="shared" si="44"/>
        <v/>
      </c>
      <c r="BA1172" s="95"/>
    </row>
    <row r="1173" spans="1:53" s="87" customFormat="1">
      <c r="A1173" s="90" t="str">
        <f t="shared" si="44"/>
        <v/>
      </c>
      <c r="BA1173" s="95"/>
    </row>
    <row r="1174" spans="1:53" s="87" customFormat="1">
      <c r="A1174" s="90" t="str">
        <f t="shared" si="44"/>
        <v/>
      </c>
      <c r="BA1174" s="95"/>
    </row>
    <row r="1175" spans="1:53" s="87" customFormat="1">
      <c r="A1175" s="90" t="str">
        <f t="shared" si="44"/>
        <v/>
      </c>
      <c r="BA1175" s="95"/>
    </row>
    <row r="1176" spans="1:53" s="87" customFormat="1">
      <c r="A1176" s="90" t="str">
        <f t="shared" si="44"/>
        <v/>
      </c>
      <c r="BA1176" s="95"/>
    </row>
    <row r="1177" spans="1:53" s="87" customFormat="1">
      <c r="A1177" s="90" t="str">
        <f t="shared" si="44"/>
        <v/>
      </c>
      <c r="BA1177" s="95"/>
    </row>
    <row r="1178" spans="1:53" s="87" customFormat="1">
      <c r="A1178" s="90" t="str">
        <f t="shared" si="44"/>
        <v/>
      </c>
      <c r="BA1178" s="95"/>
    </row>
    <row r="1179" spans="1:53" s="87" customFormat="1">
      <c r="A1179" s="90" t="str">
        <f t="shared" si="44"/>
        <v/>
      </c>
      <c r="BA1179" s="95"/>
    </row>
    <row r="1180" spans="1:53" s="87" customFormat="1">
      <c r="A1180" s="90" t="str">
        <f t="shared" si="44"/>
        <v/>
      </c>
      <c r="BA1180" s="95"/>
    </row>
    <row r="1181" spans="1:53" s="87" customFormat="1">
      <c r="A1181" s="90" t="str">
        <f t="shared" si="44"/>
        <v/>
      </c>
      <c r="BA1181" s="95"/>
    </row>
    <row r="1182" spans="1:53" s="87" customFormat="1">
      <c r="A1182" s="90" t="str">
        <f t="shared" si="44"/>
        <v/>
      </c>
      <c r="BA1182" s="95"/>
    </row>
    <row r="1183" spans="1:53" s="87" customFormat="1">
      <c r="A1183" s="90" t="str">
        <f t="shared" si="44"/>
        <v/>
      </c>
      <c r="BA1183" s="95"/>
    </row>
    <row r="1184" spans="1:53" s="87" customFormat="1">
      <c r="A1184" s="90" t="str">
        <f t="shared" si="44"/>
        <v/>
      </c>
      <c r="BA1184" s="95"/>
    </row>
    <row r="1185" spans="1:53" s="87" customFormat="1">
      <c r="A1185" s="90" t="str">
        <f t="shared" si="44"/>
        <v/>
      </c>
      <c r="BA1185" s="95"/>
    </row>
    <row r="1186" spans="1:53" s="87" customFormat="1">
      <c r="A1186" s="90" t="str">
        <f t="shared" si="44"/>
        <v/>
      </c>
      <c r="BA1186" s="95"/>
    </row>
    <row r="1187" spans="1:53" s="87" customFormat="1">
      <c r="A1187" s="90" t="str">
        <f t="shared" si="44"/>
        <v/>
      </c>
      <c r="BA1187" s="95"/>
    </row>
    <row r="1188" spans="1:53" s="87" customFormat="1">
      <c r="A1188" s="90" t="str">
        <f t="shared" si="44"/>
        <v/>
      </c>
      <c r="BA1188" s="95"/>
    </row>
    <row r="1189" spans="1:53" s="87" customFormat="1">
      <c r="A1189" s="90" t="str">
        <f t="shared" si="44"/>
        <v/>
      </c>
      <c r="BA1189" s="95"/>
    </row>
    <row r="1190" spans="1:53" s="87" customFormat="1">
      <c r="A1190" s="90" t="str">
        <f t="shared" si="44"/>
        <v/>
      </c>
      <c r="BA1190" s="95"/>
    </row>
    <row r="1191" spans="1:53" s="87" customFormat="1">
      <c r="A1191" s="90" t="str">
        <f t="shared" si="44"/>
        <v/>
      </c>
      <c r="BA1191" s="95"/>
    </row>
    <row r="1192" spans="1:53" s="87" customFormat="1">
      <c r="A1192" s="90" t="str">
        <f t="shared" si="44"/>
        <v/>
      </c>
      <c r="BA1192" s="95"/>
    </row>
    <row r="1193" spans="1:53" s="87" customFormat="1">
      <c r="A1193" s="90" t="str">
        <f t="shared" si="44"/>
        <v/>
      </c>
      <c r="BA1193" s="95"/>
    </row>
    <row r="1194" spans="1:53" s="87" customFormat="1">
      <c r="A1194" s="90" t="str">
        <f t="shared" si="44"/>
        <v/>
      </c>
      <c r="BA1194" s="95"/>
    </row>
    <row r="1195" spans="1:53" s="87" customFormat="1">
      <c r="A1195" s="90" t="str">
        <f t="shared" si="44"/>
        <v/>
      </c>
      <c r="BA1195" s="95"/>
    </row>
    <row r="1196" spans="1:53" s="87" customFormat="1">
      <c r="A1196" s="90" t="str">
        <f t="shared" si="44"/>
        <v/>
      </c>
      <c r="BA1196" s="95"/>
    </row>
    <row r="1197" spans="1:53" s="87" customFormat="1">
      <c r="A1197" s="90" t="str">
        <f t="shared" si="44"/>
        <v/>
      </c>
      <c r="BA1197" s="95"/>
    </row>
    <row r="1198" spans="1:53" s="87" customFormat="1">
      <c r="A1198" s="90" t="str">
        <f t="shared" si="44"/>
        <v/>
      </c>
      <c r="BA1198" s="95"/>
    </row>
    <row r="1199" spans="1:53" s="87" customFormat="1">
      <c r="A1199" s="90" t="str">
        <f t="shared" si="44"/>
        <v/>
      </c>
      <c r="BA1199" s="95"/>
    </row>
    <row r="1200" spans="1:53" s="87" customFormat="1">
      <c r="A1200" s="90" t="str">
        <f t="shared" si="44"/>
        <v/>
      </c>
      <c r="BA1200" s="95"/>
    </row>
    <row r="1201" spans="53:53" s="87" customFormat="1">
      <c r="BA1201" s="95"/>
    </row>
    <row r="1202" spans="53:53" s="87" customFormat="1">
      <c r="BA1202" s="95"/>
    </row>
    <row r="1203" spans="53:53" s="87" customFormat="1">
      <c r="BA1203" s="95"/>
    </row>
    <row r="1204" spans="53:53" s="87" customFormat="1">
      <c r="BA1204" s="95"/>
    </row>
    <row r="1205" spans="53:53" s="87" customFormat="1">
      <c r="BA1205" s="95"/>
    </row>
    <row r="1206" spans="53:53" s="87" customFormat="1">
      <c r="BA1206" s="95"/>
    </row>
    <row r="1207" spans="53:53" s="87" customFormat="1">
      <c r="BA1207" s="95"/>
    </row>
  </sheetData>
  <sheetProtection password="FFF0" sheet="1" objects="1" scenarios="1"/>
  <conditionalFormatting sqref="BD11:BD70">
    <cfRule type="expression" dxfId="60" priority="2">
      <formula>BD11=$BD$7</formula>
    </cfRule>
  </conditionalFormatting>
  <conditionalFormatting sqref="A11:A1200">
    <cfRule type="expression" dxfId="59" priority="1">
      <formula>A11=$BA$7</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300"/>
  <sheetViews>
    <sheetView workbookViewId="0">
      <selection activeCell="BB1" sqref="BB1"/>
    </sheetView>
  </sheetViews>
  <sheetFormatPr baseColWidth="10" defaultRowHeight="12" x14ac:dyDescent="0"/>
  <cols>
    <col min="1" max="1" width="5.140625" style="87" customWidth="1"/>
    <col min="2" max="52" width="2.5703125" style="87" customWidth="1"/>
    <col min="53" max="53" width="4.140625" style="87" customWidth="1"/>
    <col min="54" max="54" width="10.28515625" style="87" customWidth="1"/>
    <col min="55" max="55" width="5.140625" style="87" customWidth="1"/>
    <col min="56" max="56" width="3.140625" style="87" customWidth="1"/>
    <col min="57" max="57" width="7.140625" style="89" customWidth="1"/>
    <col min="58" max="58" width="10.28515625" style="89" customWidth="1"/>
    <col min="59" max="60" width="3.140625" style="87" customWidth="1"/>
    <col min="61" max="61" width="5.140625" style="87" customWidth="1"/>
    <col min="62" max="65" width="3.140625" style="87" customWidth="1"/>
    <col min="66" max="66" width="10.7109375" style="87"/>
    <col min="67" max="74" width="3.140625" style="87" customWidth="1"/>
    <col min="75" max="75" width="10.28515625" style="87" customWidth="1"/>
    <col min="76" max="79" width="5.140625" style="87" customWidth="1"/>
    <col min="80" max="16384" width="10.7109375" style="87"/>
  </cols>
  <sheetData>
    <row r="1" spans="1:76">
      <c r="B1" s="88">
        <f>COLUMN()</f>
        <v>2</v>
      </c>
      <c r="C1" s="88">
        <f>COLUMN()</f>
        <v>3</v>
      </c>
      <c r="D1" s="88">
        <f>COLUMN()</f>
        <v>4</v>
      </c>
      <c r="E1" s="88">
        <f>COLUMN()</f>
        <v>5</v>
      </c>
      <c r="F1" s="88">
        <f>COLUMN()</f>
        <v>6</v>
      </c>
      <c r="G1" s="88">
        <f>COLUMN()</f>
        <v>7</v>
      </c>
      <c r="H1" s="88">
        <f>COLUMN()</f>
        <v>8</v>
      </c>
      <c r="I1" s="88">
        <f>COLUMN()</f>
        <v>9</v>
      </c>
      <c r="J1" s="88">
        <f>COLUMN()</f>
        <v>10</v>
      </c>
      <c r="K1" s="88">
        <f>COLUMN()</f>
        <v>11</v>
      </c>
      <c r="L1" s="88">
        <f>COLUMN()</f>
        <v>12</v>
      </c>
      <c r="M1" s="88">
        <f>COLUMN()</f>
        <v>13</v>
      </c>
      <c r="N1" s="88">
        <f>COLUMN()</f>
        <v>14</v>
      </c>
      <c r="O1" s="88">
        <f>COLUMN()</f>
        <v>15</v>
      </c>
      <c r="P1" s="88">
        <f>COLUMN()</f>
        <v>16</v>
      </c>
      <c r="Q1" s="88">
        <f>COLUMN()</f>
        <v>17</v>
      </c>
      <c r="R1" s="88">
        <f>COLUMN()</f>
        <v>18</v>
      </c>
      <c r="S1" s="88">
        <f>COLUMN()</f>
        <v>19</v>
      </c>
      <c r="T1" s="88">
        <f>COLUMN()</f>
        <v>20</v>
      </c>
      <c r="U1" s="88">
        <f>COLUMN()</f>
        <v>21</v>
      </c>
      <c r="V1" s="88">
        <f>COLUMN()</f>
        <v>22</v>
      </c>
      <c r="W1" s="88">
        <f>COLUMN()</f>
        <v>23</v>
      </c>
      <c r="X1" s="88">
        <f>COLUMN()</f>
        <v>24</v>
      </c>
      <c r="Y1" s="88">
        <f>COLUMN()</f>
        <v>25</v>
      </c>
      <c r="Z1" s="88">
        <f>COLUMN()</f>
        <v>26</v>
      </c>
      <c r="AA1" s="88">
        <f>COLUMN()</f>
        <v>27</v>
      </c>
      <c r="AB1" s="88">
        <f>COLUMN()</f>
        <v>28</v>
      </c>
      <c r="AC1" s="88">
        <f>COLUMN()</f>
        <v>29</v>
      </c>
      <c r="AD1" s="88">
        <f>COLUMN()</f>
        <v>30</v>
      </c>
      <c r="AE1" s="88">
        <f>COLUMN()</f>
        <v>31</v>
      </c>
      <c r="AF1" s="88">
        <f>COLUMN()</f>
        <v>32</v>
      </c>
      <c r="AG1" s="88">
        <f>COLUMN()</f>
        <v>33</v>
      </c>
      <c r="AH1" s="88">
        <f>COLUMN()</f>
        <v>34</v>
      </c>
      <c r="AI1" s="88">
        <f>COLUMN()</f>
        <v>35</v>
      </c>
      <c r="AJ1" s="88">
        <f>COLUMN()</f>
        <v>36</v>
      </c>
      <c r="AK1" s="88">
        <f>COLUMN()</f>
        <v>37</v>
      </c>
      <c r="AL1" s="88">
        <f>COLUMN()</f>
        <v>38</v>
      </c>
      <c r="AM1" s="88">
        <f>COLUMN()</f>
        <v>39</v>
      </c>
      <c r="AN1" s="88">
        <f>COLUMN()</f>
        <v>40</v>
      </c>
      <c r="AO1" s="88">
        <f>COLUMN()</f>
        <v>41</v>
      </c>
      <c r="AP1" s="88">
        <f>COLUMN()</f>
        <v>42</v>
      </c>
      <c r="AQ1" s="88">
        <f>COLUMN()</f>
        <v>43</v>
      </c>
      <c r="AR1" s="88">
        <f>COLUMN()</f>
        <v>44</v>
      </c>
      <c r="AS1" s="88">
        <f>COLUMN()</f>
        <v>45</v>
      </c>
      <c r="AT1" s="88">
        <f>COLUMN()</f>
        <v>46</v>
      </c>
      <c r="AU1" s="88">
        <f>COLUMN()</f>
        <v>47</v>
      </c>
      <c r="AV1" s="88">
        <f>COLUMN()</f>
        <v>48</v>
      </c>
      <c r="AW1" s="88">
        <f>COLUMN()</f>
        <v>49</v>
      </c>
      <c r="AX1" s="88">
        <f>COLUMN()</f>
        <v>50</v>
      </c>
      <c r="AY1" s="88">
        <f>COLUMN()</f>
        <v>51</v>
      </c>
      <c r="AZ1" s="88">
        <f>COLUMN()</f>
        <v>52</v>
      </c>
      <c r="BB1" s="88" t="str">
        <f>Intro!D46</f>
        <v/>
      </c>
    </row>
    <row r="2" spans="1:76">
      <c r="B2" s="88" t="str">
        <f>CHAR(B1+64)</f>
        <v>B</v>
      </c>
      <c r="C2" s="88" t="str">
        <f t="shared" ref="C2:Z2" si="0">CHAR(C1+64)</f>
        <v>C</v>
      </c>
      <c r="D2" s="88" t="str">
        <f t="shared" si="0"/>
        <v>D</v>
      </c>
      <c r="E2" s="88" t="str">
        <f t="shared" si="0"/>
        <v>E</v>
      </c>
      <c r="F2" s="88" t="str">
        <f t="shared" si="0"/>
        <v>F</v>
      </c>
      <c r="G2" s="88" t="str">
        <f t="shared" si="0"/>
        <v>G</v>
      </c>
      <c r="H2" s="88" t="str">
        <f t="shared" si="0"/>
        <v>H</v>
      </c>
      <c r="I2" s="88" t="str">
        <f t="shared" si="0"/>
        <v>I</v>
      </c>
      <c r="J2" s="88" t="str">
        <f t="shared" si="0"/>
        <v>J</v>
      </c>
      <c r="K2" s="88" t="str">
        <f t="shared" si="0"/>
        <v>K</v>
      </c>
      <c r="L2" s="88" t="str">
        <f t="shared" si="0"/>
        <v>L</v>
      </c>
      <c r="M2" s="88" t="str">
        <f t="shared" si="0"/>
        <v>M</v>
      </c>
      <c r="N2" s="88" t="str">
        <f t="shared" si="0"/>
        <v>N</v>
      </c>
      <c r="O2" s="88" t="str">
        <f t="shared" si="0"/>
        <v>O</v>
      </c>
      <c r="P2" s="88" t="str">
        <f t="shared" si="0"/>
        <v>P</v>
      </c>
      <c r="Q2" s="88" t="str">
        <f t="shared" si="0"/>
        <v>Q</v>
      </c>
      <c r="R2" s="88" t="str">
        <f t="shared" si="0"/>
        <v>R</v>
      </c>
      <c r="S2" s="88" t="str">
        <f t="shared" si="0"/>
        <v>S</v>
      </c>
      <c r="T2" s="88" t="str">
        <f t="shared" si="0"/>
        <v>T</v>
      </c>
      <c r="U2" s="88" t="str">
        <f t="shared" si="0"/>
        <v>U</v>
      </c>
      <c r="V2" s="88" t="str">
        <f t="shared" si="0"/>
        <v>V</v>
      </c>
      <c r="W2" s="88" t="str">
        <f t="shared" si="0"/>
        <v>W</v>
      </c>
      <c r="X2" s="88" t="str">
        <f t="shared" si="0"/>
        <v>X</v>
      </c>
      <c r="Y2" s="88" t="str">
        <f t="shared" si="0"/>
        <v>Y</v>
      </c>
      <c r="Z2" s="88" t="str">
        <f t="shared" si="0"/>
        <v>Z</v>
      </c>
      <c r="AA2" s="88" t="str">
        <f>CONCATENATE("A",CHAR(AA1+38))</f>
        <v>AA</v>
      </c>
      <c r="AB2" s="88" t="str">
        <f t="shared" ref="AB2:AZ2" si="1">CONCATENATE("A",CHAR(AB1+38))</f>
        <v>AB</v>
      </c>
      <c r="AC2" s="88" t="str">
        <f t="shared" si="1"/>
        <v>AC</v>
      </c>
      <c r="AD2" s="88" t="str">
        <f t="shared" si="1"/>
        <v>AD</v>
      </c>
      <c r="AE2" s="88" t="str">
        <f t="shared" si="1"/>
        <v>AE</v>
      </c>
      <c r="AF2" s="88" t="str">
        <f t="shared" si="1"/>
        <v>AF</v>
      </c>
      <c r="AG2" s="88" t="str">
        <f t="shared" si="1"/>
        <v>AG</v>
      </c>
      <c r="AH2" s="88" t="str">
        <f t="shared" si="1"/>
        <v>AH</v>
      </c>
      <c r="AI2" s="88" t="str">
        <f t="shared" si="1"/>
        <v>AI</v>
      </c>
      <c r="AJ2" s="88" t="str">
        <f t="shared" si="1"/>
        <v>AJ</v>
      </c>
      <c r="AK2" s="88" t="str">
        <f t="shared" si="1"/>
        <v>AK</v>
      </c>
      <c r="AL2" s="88" t="str">
        <f t="shared" si="1"/>
        <v>AL</v>
      </c>
      <c r="AM2" s="88" t="str">
        <f t="shared" si="1"/>
        <v>AM</v>
      </c>
      <c r="AN2" s="88" t="str">
        <f t="shared" si="1"/>
        <v>AN</v>
      </c>
      <c r="AO2" s="88" t="str">
        <f t="shared" si="1"/>
        <v>AO</v>
      </c>
      <c r="AP2" s="88" t="str">
        <f t="shared" si="1"/>
        <v>AP</v>
      </c>
      <c r="AQ2" s="88" t="str">
        <f t="shared" si="1"/>
        <v>AQ</v>
      </c>
      <c r="AR2" s="88" t="str">
        <f t="shared" si="1"/>
        <v>AR</v>
      </c>
      <c r="AS2" s="88" t="str">
        <f t="shared" si="1"/>
        <v>AS</v>
      </c>
      <c r="AT2" s="88" t="str">
        <f t="shared" si="1"/>
        <v>AT</v>
      </c>
      <c r="AU2" s="88" t="str">
        <f t="shared" si="1"/>
        <v>AU</v>
      </c>
      <c r="AV2" s="88" t="str">
        <f t="shared" si="1"/>
        <v>AV</v>
      </c>
      <c r="AW2" s="88" t="str">
        <f t="shared" si="1"/>
        <v>AW</v>
      </c>
      <c r="AX2" s="88" t="str">
        <f t="shared" si="1"/>
        <v>AX</v>
      </c>
      <c r="AY2" s="88" t="str">
        <f t="shared" si="1"/>
        <v>AY</v>
      </c>
      <c r="AZ2" s="88" t="str">
        <f t="shared" si="1"/>
        <v>AZ</v>
      </c>
    </row>
    <row r="6" spans="1:76">
      <c r="BD6" s="471"/>
    </row>
    <row r="7" spans="1:76">
      <c r="BA7" s="88">
        <f ca="1">VALUE(INDIRECT(CONCATENATE("BA",BE7+10)))</f>
        <v>229</v>
      </c>
      <c r="BD7" s="473">
        <f ca="1">IF(BD6&gt;0,BD6,DrawFinder!H10)</f>
        <v>25</v>
      </c>
      <c r="BE7" s="88">
        <f ca="1">MATCH(BD7,BD11:BD70,0)</f>
        <v>13</v>
      </c>
    </row>
    <row r="8" spans="1:76">
      <c r="BD8" s="87" t="s">
        <v>190</v>
      </c>
    </row>
    <row r="9" spans="1:76">
      <c r="BD9" s="89">
        <f ca="1">LARGE(BD11:BD70,1)</f>
        <v>61</v>
      </c>
      <c r="BG9" s="367">
        <v>15</v>
      </c>
    </row>
    <row r="10" spans="1:76">
      <c r="BA10" s="88">
        <v>1</v>
      </c>
      <c r="BB10" s="88">
        <v>2000</v>
      </c>
      <c r="BD10" s="87" t="s">
        <v>191</v>
      </c>
      <c r="BG10" s="87" t="s">
        <v>192</v>
      </c>
      <c r="BH10" s="87" t="s">
        <v>193</v>
      </c>
      <c r="BJ10" s="87" t="s">
        <v>194</v>
      </c>
      <c r="BK10" s="89" t="s">
        <v>195</v>
      </c>
      <c r="BL10" s="89" t="s">
        <v>196</v>
      </c>
      <c r="BM10" s="87" t="s">
        <v>197</v>
      </c>
      <c r="BN10" s="87" t="s">
        <v>198</v>
      </c>
      <c r="BO10" s="89" t="s">
        <v>199</v>
      </c>
      <c r="BP10" s="89" t="s">
        <v>200</v>
      </c>
      <c r="BQ10" s="89" t="s">
        <v>201</v>
      </c>
      <c r="BR10" s="87" t="s">
        <v>202</v>
      </c>
      <c r="BS10" s="89" t="s">
        <v>203</v>
      </c>
      <c r="BT10" s="89" t="s">
        <v>90</v>
      </c>
      <c r="BU10" s="89" t="s">
        <v>14</v>
      </c>
      <c r="BV10" s="87" t="s">
        <v>204</v>
      </c>
      <c r="BX10" s="285" t="s">
        <v>843</v>
      </c>
    </row>
    <row r="11" spans="1:76" ht="13">
      <c r="A11" s="90">
        <f>IF(MID(B11,3,2)="05",ROW(),"")</f>
        <v>11</v>
      </c>
      <c r="B11" s="98" t="s">
        <v>301</v>
      </c>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t="s">
        <v>1263</v>
      </c>
      <c r="AJ11" s="94"/>
      <c r="AK11" s="94"/>
      <c r="AL11" s="94"/>
      <c r="AM11" s="94"/>
      <c r="AN11" s="94"/>
      <c r="AO11" s="94"/>
      <c r="AP11" s="94"/>
      <c r="AQ11" s="94"/>
      <c r="AR11" s="94"/>
      <c r="AS11" s="94"/>
      <c r="AT11" s="94"/>
      <c r="AU11" s="94"/>
      <c r="AV11" s="94"/>
      <c r="AW11" s="94"/>
      <c r="AX11" s="94"/>
      <c r="AY11" s="94"/>
      <c r="BA11" s="91">
        <f ca="1">IF(BA10=0,0,MIN(INDIRECT(BB11)))</f>
        <v>11</v>
      </c>
      <c r="BB11" s="88" t="str">
        <f>IF(BA10=0,"",CONCATENATE("A",BA10+1,":A",BB$10))</f>
        <v>A2:A2000</v>
      </c>
      <c r="BC11" s="89" t="str">
        <f ca="1">IF(BA11=0,0,CONCATENATE("B",BA11))</f>
        <v>B11</v>
      </c>
      <c r="BD11">
        <f ca="1">IF(BC11=0,0,RANK(BF11,$BF$11:$BF$100,0)+(COUNTIF($BF11:$BF$100,BF11)-1))</f>
        <v>61</v>
      </c>
      <c r="BE11" s="89" t="str">
        <f ca="1">IF(BC11=0,0,LEFT(INDIRECT(BC11),6))</f>
        <v>100501</v>
      </c>
      <c r="BF11" s="89">
        <f ca="1">VALUE(BW11)</f>
        <v>10050109</v>
      </c>
      <c r="BG11" s="89">
        <f ca="1">IF(BA11=0,0,VALUE(LEFT(BE11,2)))</f>
        <v>10</v>
      </c>
      <c r="BH11" s="89">
        <f ca="1">IF(BA11=0,0,VALUE(MID(BE11,5,2)))</f>
        <v>1</v>
      </c>
      <c r="BI11" s="89" t="str">
        <f ca="1">IF(BA11=0,0,CONCATENATE("B",BA11+BG11+1))</f>
        <v>B22</v>
      </c>
      <c r="BJ11" s="89">
        <f ca="1">IF(BA11=0,0,VALUE(MID(INDIRECT(BI11),4,2)))</f>
        <v>9</v>
      </c>
      <c r="BK11" s="89">
        <f ca="1">IF(BA11=0,0,VALUE(MID(INDIRECT(BI11),9,2)))</f>
        <v>9</v>
      </c>
      <c r="BL11" s="89">
        <f ca="1">IF(BA11=0,0,VALUE(MID(INDIRECT(BI11),14,3)))</f>
        <v>45</v>
      </c>
      <c r="BM11" s="89">
        <f ca="1">IF(BA11=0,0,2+BK11)</f>
        <v>11</v>
      </c>
      <c r="BN11" s="89" t="str">
        <f ca="1">IF(BA11=0,0,CONCATENATE("S5!B",BA11+1,":",HLOOKUP(BM11,$B$1:$AZ$2,2,FALSE),BA11+BG11))</f>
        <v>S5!B12:K21</v>
      </c>
      <c r="BO11" s="89" t="str">
        <f ca="1">IF(BA11=0,0,IF(BV11="c","c",IF(ISERROR(FIND("s",INDIRECT($BC11))),IF(ISERROR(FIND("e",INDIRECT($BC11))),"L","e"),"s")))</f>
        <v>s</v>
      </c>
      <c r="BP11" s="89" t="str">
        <f ca="1">IF(BA11=0,0,IF(ISERROR(FIND("b",INDIRECT($BC11))),IF(ISERROR(FIND("w",INDIRECT($BC11))),"","w"),"b"))</f>
        <v/>
      </c>
      <c r="BQ11" s="89" t="str">
        <f ca="1">IF(BA11=0,0,IF(ISERROR(FIND("w",INDIRECT($BC11))),"","w"))</f>
        <v/>
      </c>
      <c r="BR11" s="87" t="str">
        <f ca="1">IF(BA11=0,0,IF(ISERROR(FIND("x",INDIRECT($BC11))),IF(ISERROR(FIND("E",INDIRECT($BC11))),"","E"),"x"))</f>
        <v/>
      </c>
      <c r="BS11" s="89" t="str">
        <f ca="1">IF(BA11=0,0,IF(ISERROR(FIND("a",INDIRECT($BC11))),"","a"))</f>
        <v/>
      </c>
      <c r="BT11" s="89" t="str">
        <f ca="1">IF(BA11=0,0,IF(ISERROR(FIND("E",INDIRECT($BC11))),"","E"))</f>
        <v/>
      </c>
      <c r="BU11" s="89" t="str">
        <f ca="1">IF(BA11=0,0,IF(ISERROR(FIND("X",INDIRECT($BC11))),"","X"))</f>
        <v/>
      </c>
      <c r="BV11" s="87" t="str">
        <f ca="1">IF(BA11=0,0,IF(ISERROR(FIND("c",INDIRECT($BC11))),"","c"))</f>
        <v/>
      </c>
      <c r="BW11" s="87" t="str">
        <f ca="1">CONCATENATE(BE11,IF(BK11&lt;10,"0",""),BK11)</f>
        <v>10050109</v>
      </c>
      <c r="BX11" s="89">
        <f ca="1">IF(BV11="c",RIGHT(INDIRECT(BC11),2),0)</f>
        <v>0</v>
      </c>
    </row>
    <row r="12" spans="1:76" ht="13">
      <c r="A12" s="90" t="str">
        <f t="shared" ref="A12:A75" si="2">IF(MID(B12,3,2)="05",ROW(),"")</f>
        <v/>
      </c>
      <c r="B12" s="98">
        <v>1</v>
      </c>
      <c r="C12" s="94">
        <v>3</v>
      </c>
      <c r="D12" s="94">
        <v>1</v>
      </c>
      <c r="E12" s="94">
        <v>-2</v>
      </c>
      <c r="F12" s="94">
        <v>4</v>
      </c>
      <c r="G12" s="94">
        <v>5</v>
      </c>
      <c r="H12" s="94">
        <v>2</v>
      </c>
      <c r="I12" s="94">
        <v>-4</v>
      </c>
      <c r="J12" s="94">
        <v>-1</v>
      </c>
      <c r="K12" s="94">
        <v>-3</v>
      </c>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BA12" s="91">
        <f t="shared" ref="BA12:BA70" ca="1" si="3">IF(BA11=0,0,MIN(INDIRECT(BB12)))</f>
        <v>23</v>
      </c>
      <c r="BB12" s="88" t="str">
        <f t="shared" ref="BB12:BB70" ca="1" si="4">IF(BA11=0,"",CONCATENATE("A",BA11+1,":A",BB$10))</f>
        <v>A12:A2000</v>
      </c>
      <c r="BC12" s="89" t="str">
        <f t="shared" ref="BC12:BC70" ca="1" si="5">IF(BA12=0,0,CONCATENATE("B",BA12))</f>
        <v>B23</v>
      </c>
      <c r="BD12">
        <f ca="1">IF(BC12=0,0,RANK(BF12,$BF$11:$BF$100,0)+(COUNTIF($BF12:$BF$100,BF12)-1))</f>
        <v>60</v>
      </c>
      <c r="BE12" s="89" t="str">
        <f t="shared" ref="BE12:BE70" ca="1" si="6">IF(BC12=0,0,LEFT(INDIRECT(BC12),6))</f>
        <v>100502</v>
      </c>
      <c r="BF12" s="89">
        <f t="shared" ref="BF12:BF70" ca="1" si="7">VALUE(BW12)</f>
        <v>10050205</v>
      </c>
      <c r="BG12" s="89">
        <f t="shared" ref="BG12:BG70" ca="1" si="8">IF(BA12=0,0,VALUE(LEFT(BE12,2)))</f>
        <v>10</v>
      </c>
      <c r="BH12" s="89">
        <f t="shared" ref="BH12:BH70" ca="1" si="9">IF(BA12=0,0,VALUE(MID(BE12,5,2)))</f>
        <v>2</v>
      </c>
      <c r="BI12" s="89" t="str">
        <f t="shared" ref="BI12:BI70" ca="1" si="10">IF(BA12=0,0,CONCATENATE("B",BA12+BG12+1))</f>
        <v>B34</v>
      </c>
      <c r="BJ12" s="89">
        <f t="shared" ref="BJ12:BJ70" ca="1" si="11">IF(BA12=0,0,VALUE(MID(INDIRECT(BI12),4,2)))</f>
        <v>5</v>
      </c>
      <c r="BK12" s="89">
        <f t="shared" ref="BK12:BK70" ca="1" si="12">IF(BA12=0,0,VALUE(MID(INDIRECT(BI12),9,2)))</f>
        <v>5</v>
      </c>
      <c r="BL12" s="89">
        <f t="shared" ref="BL12:BL70" ca="1" si="13">IF(BA12=0,0,VALUE(MID(INDIRECT(BI12),14,3)))</f>
        <v>25</v>
      </c>
      <c r="BM12" s="89">
        <f t="shared" ref="BM12:BM70" ca="1" si="14">IF(BA12=0,0,2+BK12)</f>
        <v>7</v>
      </c>
      <c r="BN12" s="89" t="str">
        <f t="shared" ref="BN12:BN70" ca="1" si="15">IF(BA12=0,0,CONCATENATE("S5!B",BA12+1,":",HLOOKUP(BM12,$B$1:$AZ$2,2,FALSE),BA12+BG12))</f>
        <v>S5!B24:G33</v>
      </c>
      <c r="BO12" s="89" t="str">
        <f t="shared" ref="BO12:BO70" ca="1" si="16">IF(BA12=0,0,IF(BV12="c","c",IF(ISERROR(FIND("s",INDIRECT($BC12))),IF(ISERROR(FIND("e",INDIRECT($BC12))),"L","e"),"s")))</f>
        <v>s</v>
      </c>
      <c r="BP12" s="89" t="str">
        <f t="shared" ref="BP12:BP70" ca="1" si="17">IF(BA12=0,0,IF(ISERROR(FIND("b",INDIRECT($BC12))),IF(ISERROR(FIND("w",INDIRECT($BC12))),"","w"),"b"))</f>
        <v/>
      </c>
      <c r="BQ12" s="89" t="str">
        <f t="shared" ref="BQ12:BQ70" ca="1" si="18">IF(BA12=0,0,IF(ISERROR(FIND("w",INDIRECT($BC12))),"","w"))</f>
        <v/>
      </c>
      <c r="BR12" s="87" t="str">
        <f t="shared" ref="BR12:BR70" ca="1" si="19">IF(BA12=0,0,IF(ISERROR(FIND("x",INDIRECT($BC12))),IF(ISERROR(FIND("E",INDIRECT($BC12))),"","E"),"x"))</f>
        <v>x</v>
      </c>
      <c r="BS12" s="89" t="str">
        <f t="shared" ref="BS12:BS70" ca="1" si="20">IF(BA12=0,0,IF(ISERROR(FIND("a",INDIRECT($BC12))),"","a"))</f>
        <v/>
      </c>
      <c r="BT12" s="89" t="str">
        <f t="shared" ref="BT12:BT70" ca="1" si="21">IF(BA12=0,0,IF(ISERROR(FIND("E",INDIRECT($BC12))),"","E"))</f>
        <v/>
      </c>
      <c r="BU12" s="89" t="str">
        <f t="shared" ref="BU12:BU70" ca="1" si="22">IF(BA12=0,0,IF(ISERROR(FIND("X",INDIRECT($BC12))),"","X"))</f>
        <v/>
      </c>
      <c r="BV12" s="87" t="str">
        <f t="shared" ref="BV12:BV70" ca="1" si="23">IF(BA12=0,0,IF(ISERROR(FIND("c",INDIRECT($BC12))),"","c"))</f>
        <v/>
      </c>
      <c r="BW12" s="87" t="str">
        <f t="shared" ref="BW12:BW70" ca="1" si="24">CONCATENATE(BE12,IF(BK12&lt;10,"0",""),BK12)</f>
        <v>10050205</v>
      </c>
      <c r="BX12" s="89">
        <f t="shared" ref="BX12:BX70" ca="1" si="25">IF(BV12="c",RIGHT(INDIRECT(BC12),2),0)</f>
        <v>0</v>
      </c>
    </row>
    <row r="13" spans="1:76" ht="13">
      <c r="A13" s="90" t="str">
        <f t="shared" si="2"/>
        <v/>
      </c>
      <c r="B13" s="98">
        <v>2</v>
      </c>
      <c r="C13" s="94">
        <v>-2</v>
      </c>
      <c r="D13" s="94">
        <v>5</v>
      </c>
      <c r="E13" s="94">
        <v>4</v>
      </c>
      <c r="F13" s="94">
        <v>-3</v>
      </c>
      <c r="G13" s="94">
        <v>-1</v>
      </c>
      <c r="H13" s="94">
        <v>-4</v>
      </c>
      <c r="I13" s="94">
        <v>2</v>
      </c>
      <c r="J13" s="94">
        <v>-5</v>
      </c>
      <c r="K13" s="94">
        <v>3</v>
      </c>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BA13" s="91">
        <f t="shared" ca="1" si="3"/>
        <v>35</v>
      </c>
      <c r="BB13" s="88" t="str">
        <f t="shared" ca="1" si="4"/>
        <v>A24:A2000</v>
      </c>
      <c r="BC13" s="89" t="str">
        <f t="shared" ca="1" si="5"/>
        <v>B35</v>
      </c>
      <c r="BD13">
        <f ca="1">IF(BC13=0,0,RANK(BF13,$BF$11:$BF$100,0)+(COUNTIF($BF13:$BF$100,BF13)-1))</f>
        <v>58</v>
      </c>
      <c r="BE13" s="89" t="str">
        <f t="shared" ca="1" si="6"/>
        <v>110501</v>
      </c>
      <c r="BF13" s="89">
        <f t="shared" ca="1" si="7"/>
        <v>11050111</v>
      </c>
      <c r="BG13" s="89">
        <f t="shared" ca="1" si="8"/>
        <v>11</v>
      </c>
      <c r="BH13" s="89">
        <f t="shared" ca="1" si="9"/>
        <v>1</v>
      </c>
      <c r="BI13" s="89" t="str">
        <f t="shared" ca="1" si="10"/>
        <v>B47</v>
      </c>
      <c r="BJ13" s="89">
        <f t="shared" ca="1" si="11"/>
        <v>10</v>
      </c>
      <c r="BK13" s="89">
        <f t="shared" ca="1" si="12"/>
        <v>11</v>
      </c>
      <c r="BL13" s="89">
        <f t="shared" ca="1" si="13"/>
        <v>55</v>
      </c>
      <c r="BM13" s="89">
        <f t="shared" ca="1" si="14"/>
        <v>13</v>
      </c>
      <c r="BN13" s="89" t="str">
        <f t="shared" ca="1" si="15"/>
        <v>S5!B36:M46</v>
      </c>
      <c r="BO13" s="89" t="str">
        <f t="shared" ca="1" si="16"/>
        <v>s</v>
      </c>
      <c r="BP13" s="89" t="str">
        <f t="shared" ca="1" si="17"/>
        <v>b</v>
      </c>
      <c r="BQ13" s="89" t="str">
        <f t="shared" ca="1" si="18"/>
        <v/>
      </c>
      <c r="BR13" s="87" t="str">
        <f t="shared" ca="1" si="19"/>
        <v/>
      </c>
      <c r="BS13" s="89" t="str">
        <f t="shared" ca="1" si="20"/>
        <v/>
      </c>
      <c r="BT13" s="89" t="str">
        <f t="shared" ca="1" si="21"/>
        <v/>
      </c>
      <c r="BU13" s="89" t="str">
        <f t="shared" ca="1" si="22"/>
        <v/>
      </c>
      <c r="BV13" s="87" t="str">
        <f t="shared" ca="1" si="23"/>
        <v/>
      </c>
      <c r="BW13" s="87" t="str">
        <f t="shared" ca="1" si="24"/>
        <v>11050111</v>
      </c>
      <c r="BX13" s="89">
        <f t="shared" ca="1" si="25"/>
        <v>0</v>
      </c>
    </row>
    <row r="14" spans="1:76" ht="13">
      <c r="A14" s="90" t="str">
        <f t="shared" si="2"/>
        <v/>
      </c>
      <c r="B14" s="98">
        <v>3</v>
      </c>
      <c r="C14" s="94">
        <v>4</v>
      </c>
      <c r="D14" s="94">
        <v>-2</v>
      </c>
      <c r="E14" s="94">
        <v>-1</v>
      </c>
      <c r="F14" s="94">
        <v>3</v>
      </c>
      <c r="G14" s="94">
        <v>2</v>
      </c>
      <c r="H14" s="94">
        <v>-5</v>
      </c>
      <c r="I14" s="94">
        <v>-3</v>
      </c>
      <c r="J14" s="94">
        <v>1</v>
      </c>
      <c r="K14" s="94">
        <v>-4</v>
      </c>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BA14" s="91">
        <f t="shared" ca="1" si="3"/>
        <v>48</v>
      </c>
      <c r="BB14" s="88" t="str">
        <f t="shared" ca="1" si="4"/>
        <v>A36:A2000</v>
      </c>
      <c r="BC14" s="89" t="str">
        <f t="shared" ca="1" si="5"/>
        <v>B48</v>
      </c>
      <c r="BD14">
        <f ca="1">IF(BC14=0,0,RANK(BF14,$BF$11:$BF$100,0)+(COUNTIF($BF14:$BF$100,BF14)-1))</f>
        <v>57</v>
      </c>
      <c r="BE14" s="89" t="str">
        <f t="shared" ca="1" si="6"/>
        <v>110502</v>
      </c>
      <c r="BF14" s="89">
        <f t="shared" ca="1" si="7"/>
        <v>11050205</v>
      </c>
      <c r="BG14" s="89">
        <f t="shared" ca="1" si="8"/>
        <v>11</v>
      </c>
      <c r="BH14" s="89">
        <f t="shared" ca="1" si="9"/>
        <v>2</v>
      </c>
      <c r="BI14" s="89" t="str">
        <f t="shared" ca="1" si="10"/>
        <v>B60</v>
      </c>
      <c r="BJ14" s="89">
        <f t="shared" ca="1" si="11"/>
        <v>5</v>
      </c>
      <c r="BK14" s="89">
        <f t="shared" ca="1" si="12"/>
        <v>5</v>
      </c>
      <c r="BL14" s="89">
        <f t="shared" ca="1" si="13"/>
        <v>25</v>
      </c>
      <c r="BM14" s="89">
        <f t="shared" ca="1" si="14"/>
        <v>7</v>
      </c>
      <c r="BN14" s="89" t="str">
        <f t="shared" ca="1" si="15"/>
        <v>S5!B49:G59</v>
      </c>
      <c r="BO14" s="89" t="str">
        <f t="shared" ca="1" si="16"/>
        <v>s</v>
      </c>
      <c r="BP14" s="89" t="str">
        <f t="shared" ca="1" si="17"/>
        <v>w</v>
      </c>
      <c r="BQ14" s="89" t="str">
        <f t="shared" ca="1" si="18"/>
        <v>w</v>
      </c>
      <c r="BR14" s="87" t="str">
        <f t="shared" ca="1" si="19"/>
        <v/>
      </c>
      <c r="BS14" s="89" t="str">
        <f t="shared" ca="1" si="20"/>
        <v/>
      </c>
      <c r="BT14" s="89" t="str">
        <f t="shared" ca="1" si="21"/>
        <v/>
      </c>
      <c r="BU14" s="89" t="str">
        <f t="shared" ca="1" si="22"/>
        <v/>
      </c>
      <c r="BV14" s="87" t="str">
        <f t="shared" ca="1" si="23"/>
        <v/>
      </c>
      <c r="BW14" s="87" t="str">
        <f t="shared" ca="1" si="24"/>
        <v>11050205</v>
      </c>
      <c r="BX14" s="89">
        <f t="shared" ca="1" si="25"/>
        <v>0</v>
      </c>
    </row>
    <row r="15" spans="1:76" ht="13">
      <c r="A15" s="90" t="str">
        <f t="shared" si="2"/>
        <v/>
      </c>
      <c r="B15" s="98">
        <v>4</v>
      </c>
      <c r="C15" s="94">
        <v>-1</v>
      </c>
      <c r="D15" s="94">
        <v>-3</v>
      </c>
      <c r="E15" s="94">
        <v>5</v>
      </c>
      <c r="F15" s="94">
        <v>-4</v>
      </c>
      <c r="G15" s="94">
        <v>1</v>
      </c>
      <c r="H15" s="94">
        <v>3</v>
      </c>
      <c r="I15" s="94">
        <v>-5</v>
      </c>
      <c r="J15" s="94">
        <v>2</v>
      </c>
      <c r="K15" s="94">
        <v>4</v>
      </c>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BA15" s="91">
        <f t="shared" ca="1" si="3"/>
        <v>61</v>
      </c>
      <c r="BB15" s="88" t="str">
        <f t="shared" ca="1" si="4"/>
        <v>A49:A2000</v>
      </c>
      <c r="BC15" s="89" t="str">
        <f t="shared" ca="1" si="5"/>
        <v>B61</v>
      </c>
      <c r="BD15">
        <f ca="1">IF(BC15=0,0,RANK(BF15,$BF$11:$BF$100,0)+(COUNTIF($BF15:$BF$100,BF15)-1))</f>
        <v>38</v>
      </c>
      <c r="BE15" s="89" t="str">
        <f t="shared" ca="1" si="6"/>
        <v>180502</v>
      </c>
      <c r="BF15" s="89">
        <f t="shared" ca="1" si="7"/>
        <v>18050218</v>
      </c>
      <c r="BG15" s="89">
        <f t="shared" ca="1" si="8"/>
        <v>18</v>
      </c>
      <c r="BH15" s="89">
        <f t="shared" ca="1" si="9"/>
        <v>2</v>
      </c>
      <c r="BI15" s="89" t="str">
        <f t="shared" ca="1" si="10"/>
        <v>B80</v>
      </c>
      <c r="BJ15" s="89">
        <f t="shared" ca="1" si="11"/>
        <v>8</v>
      </c>
      <c r="BK15" s="89">
        <f t="shared" ca="1" si="12"/>
        <v>18</v>
      </c>
      <c r="BL15" s="89">
        <f t="shared" ca="1" si="13"/>
        <v>81</v>
      </c>
      <c r="BM15" s="89">
        <f t="shared" ca="1" si="14"/>
        <v>20</v>
      </c>
      <c r="BN15" s="89" t="str">
        <f t="shared" ca="1" si="15"/>
        <v>S5!B62:T79</v>
      </c>
      <c r="BO15" s="89" t="str">
        <f t="shared" ca="1" si="16"/>
        <v>e</v>
      </c>
      <c r="BP15" s="89" t="str">
        <f t="shared" ca="1" si="17"/>
        <v/>
      </c>
      <c r="BQ15" s="89" t="str">
        <f t="shared" ca="1" si="18"/>
        <v/>
      </c>
      <c r="BR15" s="87" t="str">
        <f t="shared" ca="1" si="19"/>
        <v>x</v>
      </c>
      <c r="BS15" s="89" t="str">
        <f t="shared" ca="1" si="20"/>
        <v/>
      </c>
      <c r="BT15" s="89" t="str">
        <f t="shared" ca="1" si="21"/>
        <v/>
      </c>
      <c r="BU15" s="89" t="str">
        <f t="shared" ca="1" si="22"/>
        <v/>
      </c>
      <c r="BV15" s="87" t="str">
        <f t="shared" ca="1" si="23"/>
        <v/>
      </c>
      <c r="BW15" s="87" t="str">
        <f t="shared" ca="1" si="24"/>
        <v>18050218</v>
      </c>
      <c r="BX15" s="89">
        <f t="shared" ca="1" si="25"/>
        <v>0</v>
      </c>
    </row>
    <row r="16" spans="1:76" ht="13">
      <c r="A16" s="90" t="str">
        <f t="shared" si="2"/>
        <v/>
      </c>
      <c r="B16" s="98">
        <v>5</v>
      </c>
      <c r="C16" s="94">
        <v>1</v>
      </c>
      <c r="D16" s="94">
        <v>4</v>
      </c>
      <c r="E16" s="94">
        <v>2</v>
      </c>
      <c r="F16" s="94">
        <v>-5</v>
      </c>
      <c r="G16" s="94">
        <v>-4</v>
      </c>
      <c r="H16" s="94">
        <v>-1</v>
      </c>
      <c r="I16" s="94">
        <v>3</v>
      </c>
      <c r="J16" s="94">
        <v>5</v>
      </c>
      <c r="K16" s="94">
        <v>-2</v>
      </c>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BA16" s="91">
        <f t="shared" ca="1" si="3"/>
        <v>81</v>
      </c>
      <c r="BB16" s="88" t="str">
        <f t="shared" ca="1" si="4"/>
        <v>A62:A2000</v>
      </c>
      <c r="BC16" s="89" t="str">
        <f t="shared" ca="1" si="5"/>
        <v>B81</v>
      </c>
      <c r="BD16">
        <f ca="1">IF(BC16=0,0,RANK(BF16,$BF$11:$BF$100,0)+(COUNTIF($BF16:$BF$100,BF16)-1))</f>
        <v>36</v>
      </c>
      <c r="BE16" s="89" t="str">
        <f t="shared" ca="1" si="6"/>
        <v>180503</v>
      </c>
      <c r="BF16" s="89">
        <f t="shared" ca="1" si="7"/>
        <v>18050310</v>
      </c>
      <c r="BG16" s="89">
        <f t="shared" ca="1" si="8"/>
        <v>18</v>
      </c>
      <c r="BH16" s="89">
        <f t="shared" ca="1" si="9"/>
        <v>3</v>
      </c>
      <c r="BI16" s="89" t="str">
        <f t="shared" ca="1" si="10"/>
        <v>B100</v>
      </c>
      <c r="BJ16" s="89">
        <f t="shared" ca="1" si="11"/>
        <v>5</v>
      </c>
      <c r="BK16" s="89">
        <f t="shared" ca="1" si="12"/>
        <v>10</v>
      </c>
      <c r="BL16" s="89">
        <f t="shared" ca="1" si="13"/>
        <v>45</v>
      </c>
      <c r="BM16" s="89">
        <f t="shared" ca="1" si="14"/>
        <v>12</v>
      </c>
      <c r="BN16" s="89" t="str">
        <f t="shared" ca="1" si="15"/>
        <v>S5!B82:L99</v>
      </c>
      <c r="BO16" s="89" t="str">
        <f t="shared" ca="1" si="16"/>
        <v>e</v>
      </c>
      <c r="BP16" s="89" t="str">
        <f t="shared" ca="1" si="17"/>
        <v/>
      </c>
      <c r="BQ16" s="89" t="str">
        <f t="shared" ca="1" si="18"/>
        <v/>
      </c>
      <c r="BR16" s="87" t="str">
        <f t="shared" ca="1" si="19"/>
        <v/>
      </c>
      <c r="BS16" s="89" t="str">
        <f t="shared" ca="1" si="20"/>
        <v/>
      </c>
      <c r="BT16" s="89" t="str">
        <f t="shared" ca="1" si="21"/>
        <v/>
      </c>
      <c r="BU16" s="89" t="str">
        <f t="shared" ca="1" si="22"/>
        <v/>
      </c>
      <c r="BV16" s="87" t="str">
        <f t="shared" ca="1" si="23"/>
        <v/>
      </c>
      <c r="BW16" s="87" t="str">
        <f t="shared" ca="1" si="24"/>
        <v>18050310</v>
      </c>
      <c r="BX16" s="89">
        <f t="shared" ca="1" si="25"/>
        <v>0</v>
      </c>
    </row>
    <row r="17" spans="1:76" ht="13">
      <c r="A17" s="90" t="str">
        <f t="shared" si="2"/>
        <v/>
      </c>
      <c r="B17" s="98">
        <v>6</v>
      </c>
      <c r="C17" s="94">
        <v>5</v>
      </c>
      <c r="D17" s="94">
        <v>3</v>
      </c>
      <c r="E17" s="94">
        <v>1</v>
      </c>
      <c r="F17" s="94">
        <v>-2</v>
      </c>
      <c r="G17" s="94">
        <v>-5</v>
      </c>
      <c r="H17" s="94">
        <v>4</v>
      </c>
      <c r="I17" s="94">
        <v>-1</v>
      </c>
      <c r="J17" s="94">
        <v>-3</v>
      </c>
      <c r="K17" s="94">
        <v>2</v>
      </c>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BA17" s="91">
        <f t="shared" ca="1" si="3"/>
        <v>101</v>
      </c>
      <c r="BB17" s="88" t="str">
        <f t="shared" ca="1" si="4"/>
        <v>A82:A2000</v>
      </c>
      <c r="BC17" s="89" t="str">
        <f t="shared" ca="1" si="5"/>
        <v>B101</v>
      </c>
      <c r="BD17">
        <f ca="1">IF(BC17=0,0,RANK(BF17,$BF$11:$BF$100,0)+(COUNTIF($BF17:$BF$100,BF17)-1))</f>
        <v>35</v>
      </c>
      <c r="BE17" s="89" t="str">
        <f t="shared" ca="1" si="6"/>
        <v>180504</v>
      </c>
      <c r="BF17" s="89">
        <f t="shared" ca="1" si="7"/>
        <v>18050410</v>
      </c>
      <c r="BG17" s="89">
        <f t="shared" ca="1" si="8"/>
        <v>18</v>
      </c>
      <c r="BH17" s="89">
        <f t="shared" ca="1" si="9"/>
        <v>4</v>
      </c>
      <c r="BI17" s="89" t="str">
        <f t="shared" ca="1" si="10"/>
        <v>B120</v>
      </c>
      <c r="BJ17" s="89">
        <f t="shared" ca="1" si="11"/>
        <v>5</v>
      </c>
      <c r="BK17" s="89">
        <f t="shared" ca="1" si="12"/>
        <v>10</v>
      </c>
      <c r="BL17" s="89">
        <f t="shared" ca="1" si="13"/>
        <v>45</v>
      </c>
      <c r="BM17" s="89">
        <f t="shared" ca="1" si="14"/>
        <v>12</v>
      </c>
      <c r="BN17" s="89" t="str">
        <f t="shared" ca="1" si="15"/>
        <v>S5!B102:L119</v>
      </c>
      <c r="BO17" s="89" t="str">
        <f t="shared" ca="1" si="16"/>
        <v>e</v>
      </c>
      <c r="BP17" s="89" t="str">
        <f t="shared" ca="1" si="17"/>
        <v/>
      </c>
      <c r="BQ17" s="89" t="str">
        <f t="shared" ca="1" si="18"/>
        <v/>
      </c>
      <c r="BR17" s="87" t="str">
        <f t="shared" ca="1" si="19"/>
        <v>x</v>
      </c>
      <c r="BS17" s="89" t="str">
        <f t="shared" ca="1" si="20"/>
        <v>a</v>
      </c>
      <c r="BT17" s="89" t="str">
        <f t="shared" ca="1" si="21"/>
        <v/>
      </c>
      <c r="BU17" s="89" t="str">
        <f t="shared" ca="1" si="22"/>
        <v/>
      </c>
      <c r="BV17" s="87" t="str">
        <f t="shared" ca="1" si="23"/>
        <v/>
      </c>
      <c r="BW17" s="87" t="str">
        <f t="shared" ca="1" si="24"/>
        <v>18050410</v>
      </c>
      <c r="BX17" s="89">
        <f t="shared" ca="1" si="25"/>
        <v>0</v>
      </c>
    </row>
    <row r="18" spans="1:76" ht="13">
      <c r="A18" s="90" t="str">
        <f t="shared" si="2"/>
        <v/>
      </c>
      <c r="B18" s="98">
        <v>7</v>
      </c>
      <c r="C18" s="94">
        <v>2</v>
      </c>
      <c r="D18" s="94">
        <v>-1</v>
      </c>
      <c r="E18" s="94">
        <v>3</v>
      </c>
      <c r="F18" s="94">
        <v>5</v>
      </c>
      <c r="G18" s="94">
        <v>-2</v>
      </c>
      <c r="H18" s="94">
        <v>-3</v>
      </c>
      <c r="I18" s="94">
        <v>1</v>
      </c>
      <c r="J18" s="94">
        <v>-4</v>
      </c>
      <c r="K18" s="94">
        <v>-5</v>
      </c>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BA18" s="91">
        <f t="shared" ca="1" si="3"/>
        <v>121</v>
      </c>
      <c r="BB18" s="88" t="str">
        <f t="shared" ca="1" si="4"/>
        <v>A102:A2000</v>
      </c>
      <c r="BC18" s="89" t="str">
        <f t="shared" ca="1" si="5"/>
        <v>B121</v>
      </c>
      <c r="BD18">
        <f ca="1">IF(BC18=0,0,RANK(BF18,$BF$11:$BF$100,0)+(COUNTIF($BF18:$BF$100,BF18)-1))</f>
        <v>32</v>
      </c>
      <c r="BE18" s="89" t="str">
        <f t="shared" ca="1" si="6"/>
        <v>190502</v>
      </c>
      <c r="BF18" s="89">
        <f t="shared" ca="1" si="7"/>
        <v>19050218</v>
      </c>
      <c r="BG18" s="89">
        <f t="shared" ca="1" si="8"/>
        <v>19</v>
      </c>
      <c r="BH18" s="89">
        <f t="shared" ca="1" si="9"/>
        <v>2</v>
      </c>
      <c r="BI18" s="89" t="str">
        <f t="shared" ca="1" si="10"/>
        <v>B141</v>
      </c>
      <c r="BJ18" s="89">
        <f t="shared" ca="1" si="11"/>
        <v>9</v>
      </c>
      <c r="BK18" s="89">
        <f t="shared" ca="1" si="12"/>
        <v>18</v>
      </c>
      <c r="BL18" s="89">
        <f t="shared" ca="1" si="13"/>
        <v>81</v>
      </c>
      <c r="BM18" s="89">
        <f t="shared" ca="1" si="14"/>
        <v>20</v>
      </c>
      <c r="BN18" s="89" t="str">
        <f t="shared" ca="1" si="15"/>
        <v>S5!B122:T140</v>
      </c>
      <c r="BO18" s="89" t="str">
        <f t="shared" ca="1" si="16"/>
        <v>e</v>
      </c>
      <c r="BP18" s="89" t="str">
        <f t="shared" ca="1" si="17"/>
        <v>w</v>
      </c>
      <c r="BQ18" s="89" t="str">
        <f t="shared" ca="1" si="18"/>
        <v>w</v>
      </c>
      <c r="BR18" s="87" t="str">
        <f t="shared" ca="1" si="19"/>
        <v/>
      </c>
      <c r="BS18" s="89" t="str">
        <f t="shared" ca="1" si="20"/>
        <v/>
      </c>
      <c r="BT18" s="89" t="str">
        <f t="shared" ca="1" si="21"/>
        <v/>
      </c>
      <c r="BU18" s="89" t="str">
        <f t="shared" ca="1" si="22"/>
        <v/>
      </c>
      <c r="BV18" s="87" t="str">
        <f t="shared" ca="1" si="23"/>
        <v/>
      </c>
      <c r="BW18" s="87" t="str">
        <f t="shared" ca="1" si="24"/>
        <v>19050218</v>
      </c>
      <c r="BX18" s="89">
        <f t="shared" ca="1" si="25"/>
        <v>0</v>
      </c>
    </row>
    <row r="19" spans="1:76" ht="13">
      <c r="A19" s="90" t="str">
        <f t="shared" si="2"/>
        <v/>
      </c>
      <c r="B19" s="98">
        <v>8</v>
      </c>
      <c r="C19" s="94">
        <v>-5</v>
      </c>
      <c r="D19" s="94">
        <v>2</v>
      </c>
      <c r="E19" s="94">
        <v>-4</v>
      </c>
      <c r="F19" s="94">
        <v>-1</v>
      </c>
      <c r="G19" s="94">
        <v>-3</v>
      </c>
      <c r="H19" s="94">
        <v>1</v>
      </c>
      <c r="I19" s="94">
        <v>4</v>
      </c>
      <c r="J19" s="94">
        <v>-2</v>
      </c>
      <c r="K19" s="94">
        <v>5</v>
      </c>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BA19" s="91">
        <f t="shared" ca="1" si="3"/>
        <v>142</v>
      </c>
      <c r="BB19" s="88" t="str">
        <f t="shared" ca="1" si="4"/>
        <v>A122:A2000</v>
      </c>
      <c r="BC19" s="89" t="str">
        <f t="shared" ca="1" si="5"/>
        <v>B142</v>
      </c>
      <c r="BD19">
        <f ca="1">IF(BC19=0,0,RANK(BF19,$BF$11:$BF$100,0)+(COUNTIF($BF19:$BF$100,BF19)-1))</f>
        <v>31</v>
      </c>
      <c r="BE19" s="89" t="str">
        <f t="shared" ca="1" si="6"/>
        <v>190503</v>
      </c>
      <c r="BF19" s="89">
        <f t="shared" ca="1" si="7"/>
        <v>19050313</v>
      </c>
      <c r="BG19" s="89">
        <f t="shared" ca="1" si="8"/>
        <v>19</v>
      </c>
      <c r="BH19" s="89">
        <f t="shared" ca="1" si="9"/>
        <v>3</v>
      </c>
      <c r="BI19" s="89" t="str">
        <f t="shared" ca="1" si="10"/>
        <v>B162</v>
      </c>
      <c r="BJ19" s="89">
        <f t="shared" ca="1" si="11"/>
        <v>6</v>
      </c>
      <c r="BK19" s="89">
        <f t="shared" ca="1" si="12"/>
        <v>13</v>
      </c>
      <c r="BL19" s="89">
        <f t="shared" ca="1" si="13"/>
        <v>57</v>
      </c>
      <c r="BM19" s="89">
        <f t="shared" ca="1" si="14"/>
        <v>15</v>
      </c>
      <c r="BN19" s="89" t="str">
        <f t="shared" ca="1" si="15"/>
        <v>S5!B143:O161</v>
      </c>
      <c r="BO19" s="89" t="str">
        <f t="shared" ca="1" si="16"/>
        <v>e</v>
      </c>
      <c r="BP19" s="89" t="str">
        <f t="shared" ca="1" si="17"/>
        <v>b</v>
      </c>
      <c r="BQ19" s="89" t="str">
        <f t="shared" ca="1" si="18"/>
        <v/>
      </c>
      <c r="BR19" s="87" t="str">
        <f t="shared" ca="1" si="19"/>
        <v>x</v>
      </c>
      <c r="BS19" s="89" t="str">
        <f t="shared" ca="1" si="20"/>
        <v>a</v>
      </c>
      <c r="BT19" s="89" t="str">
        <f t="shared" ca="1" si="21"/>
        <v/>
      </c>
      <c r="BU19" s="89" t="str">
        <f t="shared" ca="1" si="22"/>
        <v/>
      </c>
      <c r="BV19" s="87" t="str">
        <f t="shared" ca="1" si="23"/>
        <v/>
      </c>
      <c r="BW19" s="87" t="str">
        <f t="shared" ca="1" si="24"/>
        <v>19050313</v>
      </c>
      <c r="BX19" s="89">
        <f t="shared" ca="1" si="25"/>
        <v>0</v>
      </c>
    </row>
    <row r="20" spans="1:76" ht="13">
      <c r="A20" s="90" t="str">
        <f t="shared" si="2"/>
        <v/>
      </c>
      <c r="B20" s="98">
        <v>9</v>
      </c>
      <c r="C20" s="94">
        <v>-4</v>
      </c>
      <c r="D20" s="94">
        <v>-5</v>
      </c>
      <c r="E20" s="94">
        <v>-3</v>
      </c>
      <c r="F20" s="94">
        <v>1</v>
      </c>
      <c r="G20" s="94">
        <v>4</v>
      </c>
      <c r="H20" s="94">
        <v>-2</v>
      </c>
      <c r="I20" s="94">
        <v>5</v>
      </c>
      <c r="J20" s="94">
        <v>3</v>
      </c>
      <c r="K20" s="94">
        <v>-1</v>
      </c>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BA20" s="91">
        <f t="shared" ca="1" si="3"/>
        <v>163</v>
      </c>
      <c r="BB20" s="88" t="str">
        <f t="shared" ca="1" si="4"/>
        <v>A143:A2000</v>
      </c>
      <c r="BC20" s="89" t="str">
        <f t="shared" ca="1" si="5"/>
        <v>B163</v>
      </c>
      <c r="BD20">
        <f ca="1">IF(BC20=0,0,RANK(BF20,$BF$11:$BF$100,0)+(COUNTIF($BF20:$BF$100,BF20)-1))</f>
        <v>29</v>
      </c>
      <c r="BE20" s="89" t="str">
        <f t="shared" ca="1" si="6"/>
        <v>200501</v>
      </c>
      <c r="BF20" s="89">
        <f t="shared" ca="1" si="7"/>
        <v>20050138</v>
      </c>
      <c r="BG20" s="89">
        <f t="shared" ca="1" si="8"/>
        <v>20</v>
      </c>
      <c r="BH20" s="89">
        <f t="shared" ca="1" si="9"/>
        <v>1</v>
      </c>
      <c r="BI20" s="89" t="str">
        <f t="shared" ca="1" si="10"/>
        <v>B184</v>
      </c>
      <c r="BJ20" s="89">
        <f t="shared" ca="1" si="11"/>
        <v>19</v>
      </c>
      <c r="BK20" s="89">
        <f t="shared" ca="1" si="12"/>
        <v>38</v>
      </c>
      <c r="BL20" s="89">
        <f t="shared" ca="1" si="13"/>
        <v>190</v>
      </c>
      <c r="BM20" s="89">
        <f t="shared" ca="1" si="14"/>
        <v>40</v>
      </c>
      <c r="BN20" s="89" t="str">
        <f t="shared" ca="1" si="15"/>
        <v>S5!B164:AN183</v>
      </c>
      <c r="BO20" s="89" t="str">
        <f t="shared" ca="1" si="16"/>
        <v>e</v>
      </c>
      <c r="BP20" s="89" t="str">
        <f t="shared" ca="1" si="17"/>
        <v/>
      </c>
      <c r="BQ20" s="89" t="str">
        <f t="shared" ca="1" si="18"/>
        <v/>
      </c>
      <c r="BR20" s="87" t="str">
        <f t="shared" ca="1" si="19"/>
        <v/>
      </c>
      <c r="BS20" s="89" t="str">
        <f t="shared" ca="1" si="20"/>
        <v/>
      </c>
      <c r="BT20" s="89" t="str">
        <f t="shared" ca="1" si="21"/>
        <v/>
      </c>
      <c r="BU20" s="89" t="str">
        <f t="shared" ca="1" si="22"/>
        <v/>
      </c>
      <c r="BV20" s="87" t="str">
        <f t="shared" ca="1" si="23"/>
        <v/>
      </c>
      <c r="BW20" s="87" t="str">
        <f t="shared" ca="1" si="24"/>
        <v>20050138</v>
      </c>
      <c r="BX20" s="89">
        <f t="shared" ca="1" si="25"/>
        <v>0</v>
      </c>
    </row>
    <row r="21" spans="1:76" ht="13">
      <c r="A21" s="90" t="str">
        <f t="shared" si="2"/>
        <v/>
      </c>
      <c r="B21" s="98">
        <v>10</v>
      </c>
      <c r="C21" s="94">
        <v>-3</v>
      </c>
      <c r="D21" s="94">
        <v>-4</v>
      </c>
      <c r="E21" s="94">
        <v>-5</v>
      </c>
      <c r="F21" s="94">
        <v>2</v>
      </c>
      <c r="G21" s="94">
        <v>3</v>
      </c>
      <c r="H21" s="94">
        <v>5</v>
      </c>
      <c r="I21" s="94">
        <v>-2</v>
      </c>
      <c r="J21" s="94">
        <v>4</v>
      </c>
      <c r="K21" s="94">
        <v>1</v>
      </c>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BA21" s="91">
        <f t="shared" ca="1" si="3"/>
        <v>185</v>
      </c>
      <c r="BB21" s="88" t="str">
        <f t="shared" ca="1" si="4"/>
        <v>A164:A2000</v>
      </c>
      <c r="BC21" s="89" t="str">
        <f t="shared" ca="1" si="5"/>
        <v>B185</v>
      </c>
      <c r="BD21">
        <f ca="1">IF(BC21=0,0,RANK(BF21,$BF$11:$BF$100,0)+(COUNTIF($BF21:$BF$100,BF21)-1))</f>
        <v>28</v>
      </c>
      <c r="BE21" s="89" t="str">
        <f t="shared" ca="1" si="6"/>
        <v>200502</v>
      </c>
      <c r="BF21" s="89">
        <f t="shared" ca="1" si="7"/>
        <v>20050218</v>
      </c>
      <c r="BG21" s="89">
        <f t="shared" ca="1" si="8"/>
        <v>20</v>
      </c>
      <c r="BH21" s="89">
        <f t="shared" ca="1" si="9"/>
        <v>2</v>
      </c>
      <c r="BI21" s="89" t="str">
        <f t="shared" ca="1" si="10"/>
        <v>B206</v>
      </c>
      <c r="BJ21" s="89">
        <f t="shared" ca="1" si="11"/>
        <v>9</v>
      </c>
      <c r="BK21" s="89">
        <f t="shared" ca="1" si="12"/>
        <v>18</v>
      </c>
      <c r="BL21" s="89">
        <f t="shared" ca="1" si="13"/>
        <v>90</v>
      </c>
      <c r="BM21" s="89">
        <f t="shared" ca="1" si="14"/>
        <v>20</v>
      </c>
      <c r="BN21" s="89" t="str">
        <f t="shared" ca="1" si="15"/>
        <v>S5!B186:T205</v>
      </c>
      <c r="BO21" s="89" t="str">
        <f t="shared" ca="1" si="16"/>
        <v>e</v>
      </c>
      <c r="BP21" s="89" t="str">
        <f t="shared" ca="1" si="17"/>
        <v/>
      </c>
      <c r="BQ21" s="89" t="str">
        <f t="shared" ca="1" si="18"/>
        <v/>
      </c>
      <c r="BR21" s="87" t="str">
        <f t="shared" ca="1" si="19"/>
        <v/>
      </c>
      <c r="BS21" s="89" t="str">
        <f t="shared" ca="1" si="20"/>
        <v/>
      </c>
      <c r="BT21" s="89" t="str">
        <f t="shared" ca="1" si="21"/>
        <v/>
      </c>
      <c r="BU21" s="89" t="str">
        <f t="shared" ca="1" si="22"/>
        <v/>
      </c>
      <c r="BV21" s="87" t="str">
        <f t="shared" ca="1" si="23"/>
        <v/>
      </c>
      <c r="BW21" s="87" t="str">
        <f t="shared" ca="1" si="24"/>
        <v>20050218</v>
      </c>
      <c r="BX21" s="89">
        <f t="shared" ca="1" si="25"/>
        <v>0</v>
      </c>
    </row>
    <row r="22" spans="1:76" ht="13">
      <c r="A22" s="90" t="str">
        <f t="shared" si="2"/>
        <v/>
      </c>
      <c r="B22" s="98" t="s">
        <v>302</v>
      </c>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BA22" s="91">
        <f t="shared" ca="1" si="3"/>
        <v>207</v>
      </c>
      <c r="BB22" s="88" t="str">
        <f t="shared" ca="1" si="4"/>
        <v>A186:A2000</v>
      </c>
      <c r="BC22" s="89" t="str">
        <f t="shared" ca="1" si="5"/>
        <v>B207</v>
      </c>
      <c r="BD22">
        <f ca="1">IF(BC22=0,0,RANK(BF22,$BF$11:$BF$100,0)+(COUNTIF($BF22:$BF$100,BF22)-1))</f>
        <v>27</v>
      </c>
      <c r="BE22" s="89" t="str">
        <f t="shared" ca="1" si="6"/>
        <v>200503</v>
      </c>
      <c r="BF22" s="89">
        <f t="shared" ca="1" si="7"/>
        <v>20050314</v>
      </c>
      <c r="BG22" s="89">
        <f t="shared" ca="1" si="8"/>
        <v>20</v>
      </c>
      <c r="BH22" s="89">
        <f t="shared" ca="1" si="9"/>
        <v>3</v>
      </c>
      <c r="BI22" s="89" t="str">
        <f t="shared" ca="1" si="10"/>
        <v>B228</v>
      </c>
      <c r="BJ22" s="89">
        <f t="shared" ca="1" si="11"/>
        <v>7</v>
      </c>
      <c r="BK22" s="89">
        <f t="shared" ca="1" si="12"/>
        <v>14</v>
      </c>
      <c r="BL22" s="89">
        <f t="shared" ca="1" si="13"/>
        <v>70</v>
      </c>
      <c r="BM22" s="89">
        <f t="shared" ca="1" si="14"/>
        <v>16</v>
      </c>
      <c r="BN22" s="89" t="str">
        <f t="shared" ca="1" si="15"/>
        <v>S5!B208:P227</v>
      </c>
      <c r="BO22" s="89" t="str">
        <f t="shared" ca="1" si="16"/>
        <v>e</v>
      </c>
      <c r="BP22" s="89" t="str">
        <f t="shared" ca="1" si="17"/>
        <v/>
      </c>
      <c r="BQ22" s="89" t="str">
        <f t="shared" ca="1" si="18"/>
        <v/>
      </c>
      <c r="BR22" s="87" t="str">
        <f t="shared" ca="1" si="19"/>
        <v>E</v>
      </c>
      <c r="BS22" s="89" t="str">
        <f t="shared" ca="1" si="20"/>
        <v>a</v>
      </c>
      <c r="BT22" s="89" t="str">
        <f t="shared" ca="1" si="21"/>
        <v>E</v>
      </c>
      <c r="BU22" s="89" t="str">
        <f t="shared" ca="1" si="22"/>
        <v/>
      </c>
      <c r="BV22" s="87" t="str">
        <f t="shared" ca="1" si="23"/>
        <v/>
      </c>
      <c r="BW22" s="87" t="str">
        <f t="shared" ca="1" si="24"/>
        <v>20050314</v>
      </c>
      <c r="BX22" s="89">
        <f t="shared" ca="1" si="25"/>
        <v>0</v>
      </c>
    </row>
    <row r="23" spans="1:76" ht="13">
      <c r="A23" s="90">
        <f t="shared" si="2"/>
        <v>23</v>
      </c>
      <c r="B23" s="98" t="s">
        <v>303</v>
      </c>
      <c r="C23" s="94"/>
      <c r="D23" s="94"/>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BA23" s="91">
        <f t="shared" ca="1" si="3"/>
        <v>229</v>
      </c>
      <c r="BB23" s="88" t="str">
        <f t="shared" ca="1" si="4"/>
        <v>A208:A2000</v>
      </c>
      <c r="BC23" s="89" t="str">
        <f t="shared" ca="1" si="5"/>
        <v>B229</v>
      </c>
      <c r="BD23">
        <f ca="1">IF(BC23=0,0,RANK(BF23,$BF$11:$BF$100,0)+(COUNTIF($BF23:$BF$100,BF23)-1))</f>
        <v>25</v>
      </c>
      <c r="BE23" s="89" t="str">
        <f t="shared" ca="1" si="6"/>
        <v>200504</v>
      </c>
      <c r="BF23" s="89">
        <f t="shared" ca="1" si="7"/>
        <v>20050410</v>
      </c>
      <c r="BG23" s="89">
        <f t="shared" ca="1" si="8"/>
        <v>20</v>
      </c>
      <c r="BH23" s="89">
        <f t="shared" ca="1" si="9"/>
        <v>4</v>
      </c>
      <c r="BI23" s="89" t="str">
        <f t="shared" ca="1" si="10"/>
        <v>B250</v>
      </c>
      <c r="BJ23" s="89">
        <f t="shared" ca="1" si="11"/>
        <v>5</v>
      </c>
      <c r="BK23" s="89">
        <f t="shared" ca="1" si="12"/>
        <v>10</v>
      </c>
      <c r="BL23" s="89">
        <f t="shared" ca="1" si="13"/>
        <v>50</v>
      </c>
      <c r="BM23" s="89">
        <f t="shared" ca="1" si="14"/>
        <v>12</v>
      </c>
      <c r="BN23" s="89" t="str">
        <f t="shared" ca="1" si="15"/>
        <v>S5!B230:L249</v>
      </c>
      <c r="BO23" s="89" t="str">
        <f t="shared" ca="1" si="16"/>
        <v>e</v>
      </c>
      <c r="BP23" s="89" t="str">
        <f t="shared" ca="1" si="17"/>
        <v/>
      </c>
      <c r="BQ23" s="89" t="str">
        <f t="shared" ca="1" si="18"/>
        <v/>
      </c>
      <c r="BR23" s="87" t="str">
        <f t="shared" ca="1" si="19"/>
        <v>x</v>
      </c>
      <c r="BS23" s="89" t="str">
        <f t="shared" ca="1" si="20"/>
        <v/>
      </c>
      <c r="BT23" s="89" t="str">
        <f t="shared" ca="1" si="21"/>
        <v/>
      </c>
      <c r="BU23" s="89" t="str">
        <f t="shared" ca="1" si="22"/>
        <v/>
      </c>
      <c r="BV23" s="87" t="str">
        <f t="shared" ca="1" si="23"/>
        <v/>
      </c>
      <c r="BW23" s="87" t="str">
        <f t="shared" ca="1" si="24"/>
        <v>20050410</v>
      </c>
      <c r="BX23" s="89">
        <f t="shared" ca="1" si="25"/>
        <v>0</v>
      </c>
    </row>
    <row r="24" spans="1:76" ht="13">
      <c r="A24" s="90" t="str">
        <f t="shared" si="2"/>
        <v/>
      </c>
      <c r="B24" s="98">
        <v>1</v>
      </c>
      <c r="C24" s="94">
        <v>5</v>
      </c>
      <c r="D24" s="94">
        <v>-2</v>
      </c>
      <c r="E24" s="94">
        <v>-1</v>
      </c>
      <c r="F24" s="94">
        <v>4</v>
      </c>
      <c r="G24" s="94">
        <v>3</v>
      </c>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BA24" s="91">
        <f t="shared" ca="1" si="3"/>
        <v>251</v>
      </c>
      <c r="BB24" s="88" t="str">
        <f t="shared" ca="1" si="4"/>
        <v>A230:A2000</v>
      </c>
      <c r="BC24" s="89" t="str">
        <f t="shared" ca="1" si="5"/>
        <v>B251</v>
      </c>
      <c r="BD24">
        <f ca="1">IF(BC24=0,0,RANK(BF24,$BF$11:$BF$100,0)+(COUNTIF($BF24:$BF$100,BF24)-1))</f>
        <v>24</v>
      </c>
      <c r="BE24" s="89" t="str">
        <f t="shared" ca="1" si="6"/>
        <v>200505</v>
      </c>
      <c r="BF24" s="89">
        <f t="shared" ca="1" si="7"/>
        <v>20050506</v>
      </c>
      <c r="BG24" s="89">
        <f t="shared" ca="1" si="8"/>
        <v>20</v>
      </c>
      <c r="BH24" s="89">
        <f t="shared" ca="1" si="9"/>
        <v>5</v>
      </c>
      <c r="BI24" s="89" t="str">
        <f t="shared" ca="1" si="10"/>
        <v>B272</v>
      </c>
      <c r="BJ24" s="89">
        <f t="shared" ca="1" si="11"/>
        <v>3</v>
      </c>
      <c r="BK24" s="89">
        <f t="shared" ca="1" si="12"/>
        <v>6</v>
      </c>
      <c r="BL24" s="89">
        <f t="shared" ca="1" si="13"/>
        <v>30</v>
      </c>
      <c r="BM24" s="89">
        <f t="shared" ca="1" si="14"/>
        <v>8</v>
      </c>
      <c r="BN24" s="89" t="str">
        <f t="shared" ca="1" si="15"/>
        <v>S5!B252:H271</v>
      </c>
      <c r="BO24" s="89" t="str">
        <f t="shared" ca="1" si="16"/>
        <v>e</v>
      </c>
      <c r="BP24" s="89" t="str">
        <f t="shared" ca="1" si="17"/>
        <v/>
      </c>
      <c r="BQ24" s="89" t="str">
        <f t="shared" ca="1" si="18"/>
        <v/>
      </c>
      <c r="BR24" s="87" t="str">
        <f t="shared" ca="1" si="19"/>
        <v/>
      </c>
      <c r="BS24" s="89" t="str">
        <f t="shared" ca="1" si="20"/>
        <v/>
      </c>
      <c r="BT24" s="89" t="str">
        <f t="shared" ca="1" si="21"/>
        <v/>
      </c>
      <c r="BU24" s="89" t="str">
        <f t="shared" ca="1" si="22"/>
        <v/>
      </c>
      <c r="BV24" s="87" t="str">
        <f t="shared" ca="1" si="23"/>
        <v/>
      </c>
      <c r="BW24" s="87" t="str">
        <f t="shared" ca="1" si="24"/>
        <v>20050506</v>
      </c>
      <c r="BX24" s="89">
        <f t="shared" ca="1" si="25"/>
        <v>0</v>
      </c>
    </row>
    <row r="25" spans="1:76" ht="13">
      <c r="A25" s="90" t="str">
        <f t="shared" si="2"/>
        <v/>
      </c>
      <c r="B25" s="98">
        <v>2</v>
      </c>
      <c r="C25" s="94">
        <v>3</v>
      </c>
      <c r="D25" s="94">
        <v>-5</v>
      </c>
      <c r="E25" s="94">
        <v>2</v>
      </c>
      <c r="F25" s="94">
        <v>1</v>
      </c>
      <c r="G25" s="94">
        <v>-3</v>
      </c>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BA25" s="91">
        <f t="shared" ca="1" si="3"/>
        <v>273</v>
      </c>
      <c r="BB25" s="88" t="str">
        <f t="shared" ca="1" si="4"/>
        <v>A252:A2000</v>
      </c>
      <c r="BC25" s="89" t="str">
        <f t="shared" ca="1" si="5"/>
        <v>B273</v>
      </c>
      <c r="BD25">
        <f ca="1">IF(BC25=0,0,RANK(BF25,$BF$11:$BF$100,0)+(COUNTIF($BF25:$BF$100,BF25)-1))</f>
        <v>21</v>
      </c>
      <c r="BE25" s="89" t="str">
        <f t="shared" ca="1" si="6"/>
        <v>210502</v>
      </c>
      <c r="BF25" s="89">
        <f t="shared" ca="1" si="7"/>
        <v>21050221</v>
      </c>
      <c r="BG25" s="89">
        <f t="shared" ca="1" si="8"/>
        <v>21</v>
      </c>
      <c r="BH25" s="89">
        <f t="shared" ca="1" si="9"/>
        <v>2</v>
      </c>
      <c r="BI25" s="89" t="str">
        <f t="shared" ca="1" si="10"/>
        <v>B295</v>
      </c>
      <c r="BJ25" s="89">
        <f t="shared" ca="1" si="11"/>
        <v>10</v>
      </c>
      <c r="BK25" s="89">
        <f t="shared" ca="1" si="12"/>
        <v>21</v>
      </c>
      <c r="BL25" s="89">
        <f t="shared" ca="1" si="13"/>
        <v>105</v>
      </c>
      <c r="BM25" s="89">
        <f t="shared" ca="1" si="14"/>
        <v>23</v>
      </c>
      <c r="BN25" s="89" t="str">
        <f t="shared" ca="1" si="15"/>
        <v>S5!B274:W294</v>
      </c>
      <c r="BO25" s="89" t="str">
        <f t="shared" ca="1" si="16"/>
        <v>e</v>
      </c>
      <c r="BP25" s="89" t="str">
        <f t="shared" ca="1" si="17"/>
        <v>b</v>
      </c>
      <c r="BQ25" s="89" t="str">
        <f t="shared" ca="1" si="18"/>
        <v/>
      </c>
      <c r="BR25" s="87" t="str">
        <f t="shared" ca="1" si="19"/>
        <v/>
      </c>
      <c r="BS25" s="89" t="str">
        <f t="shared" ca="1" si="20"/>
        <v>a</v>
      </c>
      <c r="BT25" s="89" t="str">
        <f t="shared" ca="1" si="21"/>
        <v/>
      </c>
      <c r="BU25" s="89" t="str">
        <f t="shared" ca="1" si="22"/>
        <v/>
      </c>
      <c r="BV25" s="87" t="str">
        <f t="shared" ca="1" si="23"/>
        <v/>
      </c>
      <c r="BW25" s="87" t="str">
        <f t="shared" ca="1" si="24"/>
        <v>21050221</v>
      </c>
      <c r="BX25" s="89">
        <f t="shared" ca="1" si="25"/>
        <v>0</v>
      </c>
    </row>
    <row r="26" spans="1:76" ht="13">
      <c r="A26" s="90" t="str">
        <f t="shared" si="2"/>
        <v/>
      </c>
      <c r="B26" s="98">
        <v>3</v>
      </c>
      <c r="C26" s="94">
        <v>-2</v>
      </c>
      <c r="D26" s="94">
        <v>5</v>
      </c>
      <c r="E26" s="94">
        <v>-3</v>
      </c>
      <c r="F26" s="94">
        <v>-4</v>
      </c>
      <c r="G26" s="94">
        <v>1</v>
      </c>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BA26" s="91">
        <f t="shared" ca="1" si="3"/>
        <v>296</v>
      </c>
      <c r="BB26" s="88" t="str">
        <f t="shared" ca="1" si="4"/>
        <v>A274:A2000</v>
      </c>
      <c r="BC26" s="89" t="str">
        <f t="shared" ca="1" si="5"/>
        <v>B296</v>
      </c>
      <c r="BD26">
        <f ca="1">IF(BC26=0,0,RANK(BF26,$BF$11:$BF$100,0)+(COUNTIF($BF26:$BF$100,BF26)-1))</f>
        <v>19</v>
      </c>
      <c r="BE26" s="89" t="str">
        <f t="shared" ca="1" si="6"/>
        <v>210503</v>
      </c>
      <c r="BF26" s="89">
        <f t="shared" ca="1" si="7"/>
        <v>21050314</v>
      </c>
      <c r="BG26" s="89">
        <f t="shared" ca="1" si="8"/>
        <v>21</v>
      </c>
      <c r="BH26" s="89">
        <f t="shared" ca="1" si="9"/>
        <v>3</v>
      </c>
      <c r="BI26" s="89" t="str">
        <f t="shared" ca="1" si="10"/>
        <v>B318</v>
      </c>
      <c r="BJ26" s="89">
        <f t="shared" ca="1" si="11"/>
        <v>6</v>
      </c>
      <c r="BK26" s="89">
        <f t="shared" ca="1" si="12"/>
        <v>14</v>
      </c>
      <c r="BL26" s="89">
        <f t="shared" ca="1" si="13"/>
        <v>63</v>
      </c>
      <c r="BM26" s="89">
        <f t="shared" ca="1" si="14"/>
        <v>16</v>
      </c>
      <c r="BN26" s="89" t="str">
        <f t="shared" ca="1" si="15"/>
        <v>S5!B297:P317</v>
      </c>
      <c r="BO26" s="89" t="str">
        <f t="shared" ca="1" si="16"/>
        <v>e</v>
      </c>
      <c r="BP26" s="89" t="str">
        <f t="shared" ca="1" si="17"/>
        <v>b</v>
      </c>
      <c r="BQ26" s="89" t="str">
        <f t="shared" ca="1" si="18"/>
        <v/>
      </c>
      <c r="BR26" s="87" t="str">
        <f t="shared" ca="1" si="19"/>
        <v/>
      </c>
      <c r="BS26" s="89" t="str">
        <f t="shared" ca="1" si="20"/>
        <v/>
      </c>
      <c r="BT26" s="89" t="str">
        <f t="shared" ca="1" si="21"/>
        <v/>
      </c>
      <c r="BU26" s="89" t="str">
        <f t="shared" ca="1" si="22"/>
        <v/>
      </c>
      <c r="BV26" s="87" t="str">
        <f t="shared" ca="1" si="23"/>
        <v/>
      </c>
      <c r="BW26" s="87" t="str">
        <f t="shared" ca="1" si="24"/>
        <v>21050314</v>
      </c>
      <c r="BX26" s="89">
        <f t="shared" ca="1" si="25"/>
        <v>0</v>
      </c>
    </row>
    <row r="27" spans="1:76" ht="13">
      <c r="A27" s="90" t="str">
        <f t="shared" si="2"/>
        <v/>
      </c>
      <c r="B27" s="98">
        <v>4</v>
      </c>
      <c r="C27" s="94">
        <v>-3</v>
      </c>
      <c r="D27" s="94">
        <v>4</v>
      </c>
      <c r="E27" s="94">
        <v>1</v>
      </c>
      <c r="F27" s="94">
        <v>-2</v>
      </c>
      <c r="G27" s="94">
        <v>-1</v>
      </c>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BA27" s="91">
        <f t="shared" ca="1" si="3"/>
        <v>319</v>
      </c>
      <c r="BB27" s="88" t="str">
        <f t="shared" ca="1" si="4"/>
        <v>A297:A2000</v>
      </c>
      <c r="BC27" s="89" t="str">
        <f t="shared" ca="1" si="5"/>
        <v>B319</v>
      </c>
      <c r="BD27">
        <f ca="1">IF(BC27=0,0,RANK(BF27,$BF$11:$BF$100,0)+(COUNTIF($BF27:$BF$100,BF27)-1))</f>
        <v>17</v>
      </c>
      <c r="BE27" s="89" t="str">
        <f t="shared" ca="1" si="6"/>
        <v>210504</v>
      </c>
      <c r="BF27" s="89">
        <f t="shared" ca="1" si="7"/>
        <v>21050410</v>
      </c>
      <c r="BG27" s="89">
        <f t="shared" ca="1" si="8"/>
        <v>21</v>
      </c>
      <c r="BH27" s="89">
        <f t="shared" ca="1" si="9"/>
        <v>4</v>
      </c>
      <c r="BI27" s="89" t="str">
        <f t="shared" ca="1" si="10"/>
        <v>B341</v>
      </c>
      <c r="BJ27" s="89">
        <f t="shared" ca="1" si="11"/>
        <v>5</v>
      </c>
      <c r="BK27" s="89">
        <f t="shared" ca="1" si="12"/>
        <v>10</v>
      </c>
      <c r="BL27" s="89">
        <f t="shared" ca="1" si="13"/>
        <v>50</v>
      </c>
      <c r="BM27" s="89">
        <f t="shared" ca="1" si="14"/>
        <v>12</v>
      </c>
      <c r="BN27" s="89" t="str">
        <f t="shared" ca="1" si="15"/>
        <v>S5!B320:L340</v>
      </c>
      <c r="BO27" s="89" t="str">
        <f t="shared" ca="1" si="16"/>
        <v>e</v>
      </c>
      <c r="BP27" s="89" t="str">
        <f t="shared" ca="1" si="17"/>
        <v>w</v>
      </c>
      <c r="BQ27" s="89" t="str">
        <f t="shared" ca="1" si="18"/>
        <v>w</v>
      </c>
      <c r="BR27" s="87" t="str">
        <f t="shared" ca="1" si="19"/>
        <v>x</v>
      </c>
      <c r="BS27" s="89" t="str">
        <f t="shared" ca="1" si="20"/>
        <v/>
      </c>
      <c r="BT27" s="89" t="str">
        <f t="shared" ca="1" si="21"/>
        <v/>
      </c>
      <c r="BU27" s="89" t="str">
        <f t="shared" ca="1" si="22"/>
        <v/>
      </c>
      <c r="BV27" s="87" t="str">
        <f t="shared" ca="1" si="23"/>
        <v/>
      </c>
      <c r="BW27" s="87" t="str">
        <f t="shared" ca="1" si="24"/>
        <v>21050410</v>
      </c>
      <c r="BX27" s="89">
        <f t="shared" ca="1" si="25"/>
        <v>0</v>
      </c>
    </row>
    <row r="28" spans="1:76" ht="13">
      <c r="A28" s="90" t="str">
        <f t="shared" si="2"/>
        <v/>
      </c>
      <c r="B28" s="99">
        <v>5</v>
      </c>
      <c r="C28" s="92">
        <v>-5</v>
      </c>
      <c r="D28" s="92">
        <v>-4</v>
      </c>
      <c r="E28" s="92">
        <v>3</v>
      </c>
      <c r="F28" s="92">
        <v>-1</v>
      </c>
      <c r="G28" s="92">
        <v>2</v>
      </c>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BA28" s="91">
        <f t="shared" ca="1" si="3"/>
        <v>342</v>
      </c>
      <c r="BB28" s="88" t="str">
        <f t="shared" ca="1" si="4"/>
        <v>A320:A2000</v>
      </c>
      <c r="BC28" s="89" t="str">
        <f t="shared" ca="1" si="5"/>
        <v>B342</v>
      </c>
      <c r="BD28">
        <f ca="1">IF(BC28=0,0,RANK(BF28,$BF$11:$BF$100,0)+(COUNTIF($BF28:$BF$100,BF28)-1))</f>
        <v>15</v>
      </c>
      <c r="BE28" s="89" t="str">
        <f t="shared" ca="1" si="6"/>
        <v>220502</v>
      </c>
      <c r="BF28" s="89">
        <f t="shared" ca="1" si="7"/>
        <v>22050222</v>
      </c>
      <c r="BG28" s="89">
        <f t="shared" ca="1" si="8"/>
        <v>22</v>
      </c>
      <c r="BH28" s="89">
        <f t="shared" ca="1" si="9"/>
        <v>2</v>
      </c>
      <c r="BI28" s="89" t="str">
        <f t="shared" ca="1" si="10"/>
        <v>B365</v>
      </c>
      <c r="BJ28" s="89">
        <f t="shared" ca="1" si="11"/>
        <v>10</v>
      </c>
      <c r="BK28" s="89">
        <f t="shared" ca="1" si="12"/>
        <v>22</v>
      </c>
      <c r="BL28" s="89">
        <f t="shared" ca="1" si="13"/>
        <v>110</v>
      </c>
      <c r="BM28" s="89">
        <f t="shared" ca="1" si="14"/>
        <v>24</v>
      </c>
      <c r="BN28" s="89" t="str">
        <f t="shared" ca="1" si="15"/>
        <v>S5!B343:X364</v>
      </c>
      <c r="BO28" s="89" t="str">
        <f t="shared" ca="1" si="16"/>
        <v>e</v>
      </c>
      <c r="BP28" s="89" t="str">
        <f t="shared" ca="1" si="17"/>
        <v>b</v>
      </c>
      <c r="BQ28" s="89" t="str">
        <f t="shared" ca="1" si="18"/>
        <v/>
      </c>
      <c r="BR28" s="87" t="str">
        <f t="shared" ca="1" si="19"/>
        <v/>
      </c>
      <c r="BS28" s="89" t="str">
        <f t="shared" ca="1" si="20"/>
        <v/>
      </c>
      <c r="BT28" s="89" t="str">
        <f t="shared" ca="1" si="21"/>
        <v/>
      </c>
      <c r="BU28" s="89" t="str">
        <f t="shared" ca="1" si="22"/>
        <v/>
      </c>
      <c r="BV28" s="87" t="str">
        <f t="shared" ca="1" si="23"/>
        <v/>
      </c>
      <c r="BW28" s="87" t="str">
        <f t="shared" ca="1" si="24"/>
        <v>22050222</v>
      </c>
      <c r="BX28" s="89">
        <f t="shared" ca="1" si="25"/>
        <v>0</v>
      </c>
    </row>
    <row r="29" spans="1:76" ht="13">
      <c r="A29" s="90" t="str">
        <f t="shared" si="2"/>
        <v/>
      </c>
      <c r="B29" s="98">
        <v>6</v>
      </c>
      <c r="C29" s="94">
        <v>1</v>
      </c>
      <c r="D29" s="94">
        <v>2</v>
      </c>
      <c r="E29" s="94">
        <v>-5</v>
      </c>
      <c r="F29" s="94">
        <v>-3</v>
      </c>
      <c r="G29" s="94">
        <v>4</v>
      </c>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BA29" s="91">
        <f t="shared" ca="1" si="3"/>
        <v>366</v>
      </c>
      <c r="BB29" s="88" t="str">
        <f t="shared" ca="1" si="4"/>
        <v>A343:A2000</v>
      </c>
      <c r="BC29" s="89" t="str">
        <f t="shared" ca="1" si="5"/>
        <v>B366</v>
      </c>
      <c r="BD29">
        <f ca="1">IF(BC29=0,0,RANK(BF29,$BF$11:$BF$100,0)+(COUNTIF($BF29:$BF$100,BF29)-1))</f>
        <v>14</v>
      </c>
      <c r="BE29" s="89" t="str">
        <f t="shared" ca="1" si="6"/>
        <v>220503</v>
      </c>
      <c r="BF29" s="89">
        <f t="shared" ca="1" si="7"/>
        <v>22050314</v>
      </c>
      <c r="BG29" s="89">
        <f t="shared" ca="1" si="8"/>
        <v>22</v>
      </c>
      <c r="BH29" s="89">
        <f t="shared" ca="1" si="9"/>
        <v>3</v>
      </c>
      <c r="BI29" s="89" t="str">
        <f t="shared" ca="1" si="10"/>
        <v>B389</v>
      </c>
      <c r="BJ29" s="89">
        <f t="shared" ca="1" si="11"/>
        <v>7</v>
      </c>
      <c r="BK29" s="89">
        <f t="shared" ca="1" si="12"/>
        <v>14</v>
      </c>
      <c r="BL29" s="89">
        <f t="shared" ca="1" si="13"/>
        <v>70</v>
      </c>
      <c r="BM29" s="89">
        <f t="shared" ca="1" si="14"/>
        <v>16</v>
      </c>
      <c r="BN29" s="89" t="str">
        <f t="shared" ca="1" si="15"/>
        <v>S5!B367:P388</v>
      </c>
      <c r="BO29" s="89" t="str">
        <f t="shared" ca="1" si="16"/>
        <v>e</v>
      </c>
      <c r="BP29" s="89" t="str">
        <f t="shared" ca="1" si="17"/>
        <v>w</v>
      </c>
      <c r="BQ29" s="89" t="str">
        <f t="shared" ca="1" si="18"/>
        <v>w</v>
      </c>
      <c r="BR29" s="87" t="str">
        <f t="shared" ca="1" si="19"/>
        <v/>
      </c>
      <c r="BS29" s="89" t="str">
        <f t="shared" ca="1" si="20"/>
        <v/>
      </c>
      <c r="BT29" s="89" t="str">
        <f t="shared" ca="1" si="21"/>
        <v/>
      </c>
      <c r="BU29" s="89" t="str">
        <f t="shared" ca="1" si="22"/>
        <v/>
      </c>
      <c r="BV29" s="87" t="str">
        <f t="shared" ca="1" si="23"/>
        <v/>
      </c>
      <c r="BW29" s="87" t="str">
        <f t="shared" ca="1" si="24"/>
        <v>22050314</v>
      </c>
      <c r="BX29" s="89">
        <f t="shared" ca="1" si="25"/>
        <v>0</v>
      </c>
    </row>
    <row r="30" spans="1:76" ht="13">
      <c r="A30" s="90" t="str">
        <f t="shared" si="2"/>
        <v/>
      </c>
      <c r="B30" s="98">
        <v>7</v>
      </c>
      <c r="C30" s="94">
        <v>4</v>
      </c>
      <c r="D30" s="94">
        <v>1</v>
      </c>
      <c r="E30" s="94">
        <v>-2</v>
      </c>
      <c r="F30" s="94">
        <v>5</v>
      </c>
      <c r="G30" s="94">
        <v>-4</v>
      </c>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BA30" s="91">
        <f t="shared" ca="1" si="3"/>
        <v>390</v>
      </c>
      <c r="BB30" s="88" t="str">
        <f t="shared" ca="1" si="4"/>
        <v>A367:A2000</v>
      </c>
      <c r="BC30" s="89" t="str">
        <f t="shared" ca="1" si="5"/>
        <v>B390</v>
      </c>
      <c r="BD30">
        <f ca="1">IF(BC30=0,0,RANK(BF30,$BF$11:$BF$100,0)+(COUNTIF($BF30:$BF$100,BF30)-1))</f>
        <v>13</v>
      </c>
      <c r="BE30" s="89" t="str">
        <f t="shared" ca="1" si="6"/>
        <v>220504</v>
      </c>
      <c r="BF30" s="89">
        <f t="shared" ca="1" si="7"/>
        <v>22050410</v>
      </c>
      <c r="BG30" s="89">
        <f t="shared" ca="1" si="8"/>
        <v>22</v>
      </c>
      <c r="BH30" s="89">
        <f t="shared" ca="1" si="9"/>
        <v>4</v>
      </c>
      <c r="BI30" s="89" t="str">
        <f t="shared" ca="1" si="10"/>
        <v>B413</v>
      </c>
      <c r="BJ30" s="89">
        <f t="shared" ca="1" si="11"/>
        <v>5</v>
      </c>
      <c r="BK30" s="89">
        <f t="shared" ca="1" si="12"/>
        <v>10</v>
      </c>
      <c r="BL30" s="89">
        <f t="shared" ca="1" si="13"/>
        <v>50</v>
      </c>
      <c r="BM30" s="89">
        <f t="shared" ca="1" si="14"/>
        <v>12</v>
      </c>
      <c r="BN30" s="89" t="str">
        <f t="shared" ca="1" si="15"/>
        <v>S5!B391:L412</v>
      </c>
      <c r="BO30" s="89" t="str">
        <f t="shared" ca="1" si="16"/>
        <v>e</v>
      </c>
      <c r="BP30" s="89" t="str">
        <f t="shared" ca="1" si="17"/>
        <v>w</v>
      </c>
      <c r="BQ30" s="89" t="str">
        <f t="shared" ca="1" si="18"/>
        <v>w</v>
      </c>
      <c r="BR30" s="87" t="str">
        <f t="shared" ca="1" si="19"/>
        <v/>
      </c>
      <c r="BS30" s="89" t="str">
        <f t="shared" ca="1" si="20"/>
        <v/>
      </c>
      <c r="BT30" s="89" t="str">
        <f t="shared" ca="1" si="21"/>
        <v/>
      </c>
      <c r="BU30" s="89" t="str">
        <f t="shared" ca="1" si="22"/>
        <v/>
      </c>
      <c r="BV30" s="87" t="str">
        <f t="shared" ca="1" si="23"/>
        <v/>
      </c>
      <c r="BW30" s="87" t="str">
        <f t="shared" ca="1" si="24"/>
        <v>22050410</v>
      </c>
      <c r="BX30" s="89">
        <f t="shared" ca="1" si="25"/>
        <v>0</v>
      </c>
    </row>
    <row r="31" spans="1:76" ht="13">
      <c r="A31" s="90" t="str">
        <f t="shared" si="2"/>
        <v/>
      </c>
      <c r="B31" s="98">
        <v>8</v>
      </c>
      <c r="C31" s="94">
        <v>2</v>
      </c>
      <c r="D31" s="94">
        <v>-1</v>
      </c>
      <c r="E31" s="94">
        <v>-4</v>
      </c>
      <c r="F31" s="94">
        <v>3</v>
      </c>
      <c r="G31" s="94">
        <v>5</v>
      </c>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BA31" s="91">
        <f t="shared" ca="1" si="3"/>
        <v>414</v>
      </c>
      <c r="BB31" s="88" t="str">
        <f t="shared" ca="1" si="4"/>
        <v>A391:A2000</v>
      </c>
      <c r="BC31" s="89" t="str">
        <f t="shared" ca="1" si="5"/>
        <v>B414</v>
      </c>
      <c r="BD31">
        <f ca="1">IF(BC31=0,0,RANK(BF31,$BF$11:$BF$100,0)+(COUNTIF($BF31:$BF$100,BF31)-1))</f>
        <v>11</v>
      </c>
      <c r="BE31" s="89" t="str">
        <f t="shared" ca="1" si="6"/>
        <v>230505</v>
      </c>
      <c r="BF31" s="89">
        <f t="shared" ca="1" si="7"/>
        <v>23050510</v>
      </c>
      <c r="BG31" s="89">
        <f t="shared" ca="1" si="8"/>
        <v>23</v>
      </c>
      <c r="BH31" s="89">
        <f t="shared" ca="1" si="9"/>
        <v>5</v>
      </c>
      <c r="BI31" s="89" t="str">
        <f t="shared" ca="1" si="10"/>
        <v>B438</v>
      </c>
      <c r="BJ31" s="89">
        <f t="shared" ca="1" si="11"/>
        <v>4</v>
      </c>
      <c r="BK31" s="89">
        <f t="shared" ca="1" si="12"/>
        <v>10</v>
      </c>
      <c r="BL31" s="89">
        <f t="shared" ca="1" si="13"/>
        <v>46</v>
      </c>
      <c r="BM31" s="89">
        <f t="shared" ca="1" si="14"/>
        <v>12</v>
      </c>
      <c r="BN31" s="89" t="str">
        <f t="shared" ca="1" si="15"/>
        <v>S5!B415:L437</v>
      </c>
      <c r="BO31" s="89" t="str">
        <f t="shared" ca="1" si="16"/>
        <v>e</v>
      </c>
      <c r="BP31" s="89" t="str">
        <f t="shared" ca="1" si="17"/>
        <v>b</v>
      </c>
      <c r="BQ31" s="89" t="str">
        <f t="shared" ca="1" si="18"/>
        <v/>
      </c>
      <c r="BR31" s="87" t="str">
        <f t="shared" ca="1" si="19"/>
        <v/>
      </c>
      <c r="BS31" s="89" t="str">
        <f t="shared" ca="1" si="20"/>
        <v>a</v>
      </c>
      <c r="BT31" s="89" t="str">
        <f t="shared" ca="1" si="21"/>
        <v/>
      </c>
      <c r="BU31" s="89" t="str">
        <f t="shared" ca="1" si="22"/>
        <v/>
      </c>
      <c r="BV31" s="87" t="str">
        <f t="shared" ca="1" si="23"/>
        <v/>
      </c>
      <c r="BW31" s="87" t="str">
        <f t="shared" ca="1" si="24"/>
        <v>23050510</v>
      </c>
      <c r="BX31" s="89">
        <f t="shared" ca="1" si="25"/>
        <v>0</v>
      </c>
    </row>
    <row r="32" spans="1:76" ht="13">
      <c r="A32" s="90" t="str">
        <f t="shared" si="2"/>
        <v/>
      </c>
      <c r="B32" s="98">
        <v>9</v>
      </c>
      <c r="C32" s="94">
        <v>-4</v>
      </c>
      <c r="D32" s="94">
        <v>-3</v>
      </c>
      <c r="E32" s="94">
        <v>5</v>
      </c>
      <c r="F32" s="94">
        <v>2</v>
      </c>
      <c r="G32" s="94">
        <v>-5</v>
      </c>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BA32" s="91">
        <f t="shared" ca="1" si="3"/>
        <v>439</v>
      </c>
      <c r="BB32" s="88" t="str">
        <f t="shared" ca="1" si="4"/>
        <v>A415:A2000</v>
      </c>
      <c r="BC32" s="89" t="str">
        <f t="shared" ca="1" si="5"/>
        <v>B439</v>
      </c>
      <c r="BD32">
        <f ca="1">IF(BC32=0,0,RANK(BF32,$BF$11:$BF$100,0)+(COUNTIF($BF32:$BF$100,BF32)-1))</f>
        <v>3</v>
      </c>
      <c r="BE32" s="89" t="str">
        <f t="shared" ca="1" si="6"/>
        <v>250505</v>
      </c>
      <c r="BF32" s="89">
        <f t="shared" ca="1" si="7"/>
        <v>25050510</v>
      </c>
      <c r="BG32" s="89">
        <f t="shared" ca="1" si="8"/>
        <v>25</v>
      </c>
      <c r="BH32" s="89">
        <f t="shared" ca="1" si="9"/>
        <v>5</v>
      </c>
      <c r="BI32" s="89" t="str">
        <f t="shared" ca="1" si="10"/>
        <v>B465</v>
      </c>
      <c r="BJ32" s="89">
        <f t="shared" ca="1" si="11"/>
        <v>4</v>
      </c>
      <c r="BK32" s="89">
        <f t="shared" ca="1" si="12"/>
        <v>10</v>
      </c>
      <c r="BL32" s="89">
        <f t="shared" ca="1" si="13"/>
        <v>50</v>
      </c>
      <c r="BM32" s="89">
        <f t="shared" ca="1" si="14"/>
        <v>12</v>
      </c>
      <c r="BN32" s="89" t="str">
        <f t="shared" ca="1" si="15"/>
        <v>S5!B440:L464</v>
      </c>
      <c r="BO32" s="89" t="str">
        <f t="shared" ca="1" si="16"/>
        <v>e</v>
      </c>
      <c r="BP32" s="89" t="str">
        <f t="shared" ca="1" si="17"/>
        <v>b</v>
      </c>
      <c r="BQ32" s="89" t="str">
        <f t="shared" ca="1" si="18"/>
        <v/>
      </c>
      <c r="BR32" s="87" t="str">
        <f t="shared" ca="1" si="19"/>
        <v/>
      </c>
      <c r="BS32" s="89" t="str">
        <f t="shared" ca="1" si="20"/>
        <v/>
      </c>
      <c r="BT32" s="89" t="str">
        <f t="shared" ca="1" si="21"/>
        <v/>
      </c>
      <c r="BU32" s="89" t="str">
        <f t="shared" ca="1" si="22"/>
        <v/>
      </c>
      <c r="BV32" s="87" t="str">
        <f t="shared" ca="1" si="23"/>
        <v/>
      </c>
      <c r="BW32" s="87" t="str">
        <f t="shared" ca="1" si="24"/>
        <v>25050510</v>
      </c>
      <c r="BX32" s="89">
        <f t="shared" ca="1" si="25"/>
        <v>0</v>
      </c>
    </row>
    <row r="33" spans="1:76" ht="13">
      <c r="A33" s="90" t="str">
        <f t="shared" si="2"/>
        <v/>
      </c>
      <c r="B33" s="98">
        <v>10</v>
      </c>
      <c r="C33" s="94">
        <v>-1</v>
      </c>
      <c r="D33" s="94">
        <v>3</v>
      </c>
      <c r="E33" s="94">
        <v>4</v>
      </c>
      <c r="F33" s="94">
        <v>-5</v>
      </c>
      <c r="G33" s="94">
        <v>-2</v>
      </c>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BA33" s="91">
        <f t="shared" ca="1" si="3"/>
        <v>466</v>
      </c>
      <c r="BB33" s="88" t="str">
        <f t="shared" ca="1" si="4"/>
        <v>A440:A2000</v>
      </c>
      <c r="BC33" s="89" t="str">
        <f t="shared" ca="1" si="5"/>
        <v>B466</v>
      </c>
      <c r="BD33">
        <f ca="1">IF(BC33=0,0,RANK(BF33,$BF$11:$BF$100,0)+(COUNTIF($BF33:$BF$100,BF33)-1))</f>
        <v>53</v>
      </c>
      <c r="BE33" s="89" t="str">
        <f t="shared" ca="1" si="6"/>
        <v>140502</v>
      </c>
      <c r="BF33" s="89">
        <f t="shared" ca="1" si="7"/>
        <v>14050209</v>
      </c>
      <c r="BG33" s="89">
        <f t="shared" ca="1" si="8"/>
        <v>14</v>
      </c>
      <c r="BH33" s="89">
        <f t="shared" ca="1" si="9"/>
        <v>2</v>
      </c>
      <c r="BI33" s="89" t="str">
        <f t="shared" ca="1" si="10"/>
        <v>B481</v>
      </c>
      <c r="BJ33" s="89">
        <f t="shared" ca="1" si="11"/>
        <v>6</v>
      </c>
      <c r="BK33" s="89">
        <f t="shared" ca="1" si="12"/>
        <v>9</v>
      </c>
      <c r="BL33" s="89">
        <f t="shared" ca="1" si="13"/>
        <v>42</v>
      </c>
      <c r="BM33" s="89">
        <f t="shared" ca="1" si="14"/>
        <v>11</v>
      </c>
      <c r="BN33" s="89" t="str">
        <f t="shared" ca="1" si="15"/>
        <v>S5!B467:K480</v>
      </c>
      <c r="BO33" s="89" t="str">
        <f t="shared" ca="1" si="16"/>
        <v>c</v>
      </c>
      <c r="BP33" s="89" t="str">
        <f t="shared" ca="1" si="17"/>
        <v/>
      </c>
      <c r="BQ33" s="89" t="str">
        <f t="shared" ca="1" si="18"/>
        <v/>
      </c>
      <c r="BR33" s="87" t="str">
        <f t="shared" ca="1" si="19"/>
        <v/>
      </c>
      <c r="BS33" s="89" t="str">
        <f t="shared" ca="1" si="20"/>
        <v/>
      </c>
      <c r="BT33" s="89" t="str">
        <f t="shared" ca="1" si="21"/>
        <v/>
      </c>
      <c r="BU33" s="89" t="str">
        <f t="shared" ca="1" si="22"/>
        <v/>
      </c>
      <c r="BV33" s="87" t="str">
        <f t="shared" ca="1" si="23"/>
        <v>c</v>
      </c>
      <c r="BW33" s="87" t="str">
        <f t="shared" ca="1" si="24"/>
        <v>14050209</v>
      </c>
      <c r="BX33" s="89" t="str">
        <f t="shared" ca="1" si="25"/>
        <v>33</v>
      </c>
    </row>
    <row r="34" spans="1:76" ht="13">
      <c r="A34" s="90" t="str">
        <f t="shared" si="2"/>
        <v/>
      </c>
      <c r="B34" s="317" t="s">
        <v>1109</v>
      </c>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BA34" s="91">
        <f t="shared" ca="1" si="3"/>
        <v>482</v>
      </c>
      <c r="BB34" s="88" t="str">
        <f t="shared" ca="1" si="4"/>
        <v>A467:A2000</v>
      </c>
      <c r="BC34" s="89" t="str">
        <f t="shared" ca="1" si="5"/>
        <v>B482</v>
      </c>
      <c r="BD34">
        <f ca="1">IF(BC34=0,0,RANK(BF34,$BF$11:$BF$100,0)+(COUNTIF($BF34:$BF$100,BF34)-1))</f>
        <v>37</v>
      </c>
      <c r="BE34" s="89" t="str">
        <f t="shared" ca="1" si="6"/>
        <v>180503</v>
      </c>
      <c r="BF34" s="89">
        <f t="shared" ca="1" si="7"/>
        <v>18050309</v>
      </c>
      <c r="BG34" s="89">
        <f t="shared" ca="1" si="8"/>
        <v>18</v>
      </c>
      <c r="BH34" s="89">
        <f t="shared" ca="1" si="9"/>
        <v>3</v>
      </c>
      <c r="BI34" s="89" t="str">
        <f t="shared" ca="1" si="10"/>
        <v>B501</v>
      </c>
      <c r="BJ34" s="89">
        <f t="shared" ca="1" si="11"/>
        <v>5</v>
      </c>
      <c r="BK34" s="89">
        <f t="shared" ca="1" si="12"/>
        <v>9</v>
      </c>
      <c r="BL34" s="89">
        <f t="shared" ca="1" si="13"/>
        <v>45</v>
      </c>
      <c r="BM34" s="89">
        <f t="shared" ca="1" si="14"/>
        <v>11</v>
      </c>
      <c r="BN34" s="89" t="str">
        <f t="shared" ca="1" si="15"/>
        <v>S5!B483:K500</v>
      </c>
      <c r="BO34" s="89" t="str">
        <f t="shared" ca="1" si="16"/>
        <v>c</v>
      </c>
      <c r="BP34" s="89" t="str">
        <f t="shared" ca="1" si="17"/>
        <v/>
      </c>
      <c r="BQ34" s="89" t="str">
        <f t="shared" ca="1" si="18"/>
        <v/>
      </c>
      <c r="BR34" s="87" t="str">
        <f t="shared" ca="1" si="19"/>
        <v/>
      </c>
      <c r="BS34" s="89" t="str">
        <f t="shared" ca="1" si="20"/>
        <v/>
      </c>
      <c r="BT34" s="89" t="str">
        <f t="shared" ca="1" si="21"/>
        <v/>
      </c>
      <c r="BU34" s="89" t="str">
        <f t="shared" ca="1" si="22"/>
        <v/>
      </c>
      <c r="BV34" s="87" t="str">
        <f t="shared" ca="1" si="23"/>
        <v>c</v>
      </c>
      <c r="BW34" s="87" t="str">
        <f t="shared" ca="1" si="24"/>
        <v>18050309</v>
      </c>
      <c r="BX34" s="89" t="str">
        <f t="shared" ca="1" si="25"/>
        <v>33</v>
      </c>
    </row>
    <row r="35" spans="1:76" ht="13">
      <c r="A35" s="90">
        <f t="shared" si="2"/>
        <v>35</v>
      </c>
      <c r="B35" s="98" t="s">
        <v>304</v>
      </c>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BA35" s="91">
        <f t="shared" ca="1" si="3"/>
        <v>502</v>
      </c>
      <c r="BB35" s="88" t="str">
        <f t="shared" ca="1" si="4"/>
        <v>A483:A2000</v>
      </c>
      <c r="BC35" s="89" t="str">
        <f t="shared" ca="1" si="5"/>
        <v>B502</v>
      </c>
      <c r="BD35">
        <f ca="1">IF(BC35=0,0,RANK(BF35,$BF$11:$BF$100,0)+(COUNTIF($BF35:$BF$100,BF35)-1))</f>
        <v>51</v>
      </c>
      <c r="BE35" s="89" t="str">
        <f t="shared" ca="1" si="6"/>
        <v>150501</v>
      </c>
      <c r="BF35" s="89">
        <f t="shared" ca="1" si="7"/>
        <v>15050121</v>
      </c>
      <c r="BG35" s="89">
        <f t="shared" ca="1" si="8"/>
        <v>15</v>
      </c>
      <c r="BH35" s="89">
        <f t="shared" ca="1" si="9"/>
        <v>1</v>
      </c>
      <c r="BI35" s="89" t="str">
        <f t="shared" ca="1" si="10"/>
        <v>B518</v>
      </c>
      <c r="BJ35" s="89">
        <f t="shared" ca="1" si="11"/>
        <v>14</v>
      </c>
      <c r="BK35" s="89">
        <f t="shared" ca="1" si="12"/>
        <v>21</v>
      </c>
      <c r="BL35" s="89">
        <f t="shared" ca="1" si="13"/>
        <v>105</v>
      </c>
      <c r="BM35" s="89">
        <f t="shared" ca="1" si="14"/>
        <v>23</v>
      </c>
      <c r="BN35" s="89" t="str">
        <f t="shared" ca="1" si="15"/>
        <v>S5!B503:W517</v>
      </c>
      <c r="BO35" s="89" t="str">
        <f t="shared" ca="1" si="16"/>
        <v>c</v>
      </c>
      <c r="BP35" s="89" t="str">
        <f t="shared" ca="1" si="17"/>
        <v/>
      </c>
      <c r="BQ35" s="89" t="str">
        <f t="shared" ca="1" si="18"/>
        <v/>
      </c>
      <c r="BR35" s="87" t="str">
        <f t="shared" ca="1" si="19"/>
        <v/>
      </c>
      <c r="BS35" s="89" t="str">
        <f t="shared" ca="1" si="20"/>
        <v/>
      </c>
      <c r="BT35" s="89" t="str">
        <f t="shared" ca="1" si="21"/>
        <v/>
      </c>
      <c r="BU35" s="89" t="str">
        <f t="shared" ca="1" si="22"/>
        <v/>
      </c>
      <c r="BV35" s="87" t="str">
        <f t="shared" ca="1" si="23"/>
        <v>c</v>
      </c>
      <c r="BW35" s="87" t="str">
        <f t="shared" ca="1" si="24"/>
        <v>15050121</v>
      </c>
      <c r="BX35" s="89" t="str">
        <f t="shared" ca="1" si="25"/>
        <v>33</v>
      </c>
    </row>
    <row r="36" spans="1:76" ht="13">
      <c r="A36" s="90" t="str">
        <f t="shared" si="2"/>
        <v/>
      </c>
      <c r="B36" s="98">
        <v>1</v>
      </c>
      <c r="C36" s="94" t="s">
        <v>202</v>
      </c>
      <c r="D36" s="94">
        <v>5</v>
      </c>
      <c r="E36" s="94">
        <v>-2</v>
      </c>
      <c r="F36" s="94">
        <v>1</v>
      </c>
      <c r="G36" s="94">
        <v>-4</v>
      </c>
      <c r="H36" s="94">
        <v>3</v>
      </c>
      <c r="I36" s="94">
        <v>-1</v>
      </c>
      <c r="J36" s="94">
        <v>2</v>
      </c>
      <c r="K36" s="94">
        <v>-5</v>
      </c>
      <c r="L36" s="94">
        <v>4</v>
      </c>
      <c r="M36" s="94">
        <v>-3</v>
      </c>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BA36" s="91">
        <f t="shared" ca="1" si="3"/>
        <v>519</v>
      </c>
      <c r="BB36" s="88" t="str">
        <f t="shared" ca="1" si="4"/>
        <v>A503:A2000</v>
      </c>
      <c r="BC36" s="89" t="str">
        <f t="shared" ca="1" si="5"/>
        <v>B519</v>
      </c>
      <c r="BD36">
        <f ca="1">IF(BC36=0,0,RANK(BF36,$BF$11:$BF$100,0)+(COUNTIF($BF36:$BF$100,BF36)-1))</f>
        <v>52</v>
      </c>
      <c r="BE36" s="89" t="str">
        <f t="shared" ca="1" si="6"/>
        <v>140503</v>
      </c>
      <c r="BF36" s="89">
        <f t="shared" ca="1" si="7"/>
        <v>14050310</v>
      </c>
      <c r="BG36" s="89">
        <f t="shared" ca="1" si="8"/>
        <v>14</v>
      </c>
      <c r="BH36" s="89">
        <f t="shared" ca="1" si="9"/>
        <v>3</v>
      </c>
      <c r="BI36" s="89" t="str">
        <f ca="1">IF(BA36=0,0,CONCATENATE("B",BA36+BG36+1))</f>
        <v>B534</v>
      </c>
      <c r="BJ36" s="89">
        <f t="shared" ca="1" si="11"/>
        <v>5</v>
      </c>
      <c r="BK36" s="89">
        <f t="shared" ca="1" si="12"/>
        <v>10</v>
      </c>
      <c r="BL36" s="89">
        <f t="shared" ca="1" si="13"/>
        <v>35</v>
      </c>
      <c r="BM36" s="89">
        <f t="shared" ca="1" si="14"/>
        <v>12</v>
      </c>
      <c r="BN36" s="89" t="str">
        <f t="shared" ca="1" si="15"/>
        <v>S5!B520:L533</v>
      </c>
      <c r="BO36" s="89" t="str">
        <f t="shared" ca="1" si="16"/>
        <v>e</v>
      </c>
      <c r="BP36" s="89" t="str">
        <f t="shared" ca="1" si="17"/>
        <v/>
      </c>
      <c r="BQ36" s="89" t="str">
        <f t="shared" ca="1" si="18"/>
        <v/>
      </c>
      <c r="BR36" s="87" t="str">
        <f t="shared" ca="1" si="19"/>
        <v>x</v>
      </c>
      <c r="BS36" s="89" t="str">
        <f t="shared" ca="1" si="20"/>
        <v>a</v>
      </c>
      <c r="BT36" s="89" t="str">
        <f t="shared" ca="1" si="21"/>
        <v>E</v>
      </c>
      <c r="BU36" s="89" t="str">
        <f t="shared" ca="1" si="22"/>
        <v/>
      </c>
      <c r="BV36" s="87" t="str">
        <f t="shared" ca="1" si="23"/>
        <v/>
      </c>
      <c r="BW36" s="87" t="str">
        <f t="shared" ca="1" si="24"/>
        <v>14050310</v>
      </c>
      <c r="BX36" s="89">
        <f t="shared" ca="1" si="25"/>
        <v>0</v>
      </c>
    </row>
    <row r="37" spans="1:76" ht="13">
      <c r="A37" s="90" t="str">
        <f t="shared" si="2"/>
        <v/>
      </c>
      <c r="B37" s="98">
        <v>2</v>
      </c>
      <c r="C37" s="94">
        <v>-3</v>
      </c>
      <c r="D37" s="94" t="s">
        <v>202</v>
      </c>
      <c r="E37" s="94">
        <v>-5</v>
      </c>
      <c r="F37" s="94">
        <v>-4</v>
      </c>
      <c r="G37" s="94">
        <v>2</v>
      </c>
      <c r="H37" s="94">
        <v>1</v>
      </c>
      <c r="I37" s="94">
        <v>-2</v>
      </c>
      <c r="J37" s="94">
        <v>5</v>
      </c>
      <c r="K37" s="94">
        <v>4</v>
      </c>
      <c r="L37" s="94">
        <v>-1</v>
      </c>
      <c r="M37" s="94">
        <v>3</v>
      </c>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BA37" s="91">
        <f t="shared" ca="1" si="3"/>
        <v>535</v>
      </c>
      <c r="BB37" s="88" t="str">
        <f t="shared" ca="1" si="4"/>
        <v>A520:A2000</v>
      </c>
      <c r="BC37" s="89" t="str">
        <f t="shared" ca="1" si="5"/>
        <v>B535</v>
      </c>
      <c r="BD37">
        <f ca="1">IF(BC37=0,0,RANK(BF37,$BF$11:$BF$100,0)+(COUNTIF($BF37:$BF$100,BF37)-1))</f>
        <v>44</v>
      </c>
      <c r="BE37" s="89" t="str">
        <f t="shared" ca="1" si="6"/>
        <v>160502</v>
      </c>
      <c r="BF37" s="89">
        <f t="shared" ca="1" si="7"/>
        <v>16050214</v>
      </c>
      <c r="BG37" s="89">
        <f t="shared" ca="1" si="8"/>
        <v>16</v>
      </c>
      <c r="BH37" s="89">
        <f t="shared" ca="1" si="9"/>
        <v>2</v>
      </c>
      <c r="BI37" s="89" t="str">
        <f t="shared" ca="1" si="10"/>
        <v>B552</v>
      </c>
      <c r="BJ37" s="89">
        <f t="shared" ca="1" si="11"/>
        <v>7</v>
      </c>
      <c r="BK37" s="89">
        <f t="shared" ca="1" si="12"/>
        <v>14</v>
      </c>
      <c r="BL37" s="89">
        <f t="shared" ca="1" si="13"/>
        <v>56</v>
      </c>
      <c r="BM37" s="89">
        <f t="shared" ca="1" si="14"/>
        <v>16</v>
      </c>
      <c r="BN37" s="89" t="str">
        <f t="shared" ca="1" si="15"/>
        <v>S5!B536:P551</v>
      </c>
      <c r="BO37" s="89" t="str">
        <f t="shared" ca="1" si="16"/>
        <v>e</v>
      </c>
      <c r="BP37" s="89" t="str">
        <f t="shared" ca="1" si="17"/>
        <v/>
      </c>
      <c r="BQ37" s="89" t="str">
        <f t="shared" ca="1" si="18"/>
        <v/>
      </c>
      <c r="BR37" s="87" t="str">
        <f t="shared" ca="1" si="19"/>
        <v/>
      </c>
      <c r="BS37" s="89" t="str">
        <f t="shared" ca="1" si="20"/>
        <v/>
      </c>
      <c r="BT37" s="89" t="str">
        <f t="shared" ca="1" si="21"/>
        <v/>
      </c>
      <c r="BU37" s="89" t="str">
        <f t="shared" ca="1" si="22"/>
        <v/>
      </c>
      <c r="BV37" s="87" t="str">
        <f t="shared" ca="1" si="23"/>
        <v/>
      </c>
      <c r="BW37" s="87" t="str">
        <f t="shared" ca="1" si="24"/>
        <v>16050214</v>
      </c>
      <c r="BX37" s="89">
        <f t="shared" ca="1" si="25"/>
        <v>0</v>
      </c>
    </row>
    <row r="38" spans="1:76" ht="13">
      <c r="A38" s="90" t="str">
        <f t="shared" si="2"/>
        <v/>
      </c>
      <c r="B38" s="98">
        <v>3</v>
      </c>
      <c r="C38" s="94">
        <v>2</v>
      </c>
      <c r="D38" s="94">
        <v>-1</v>
      </c>
      <c r="E38" s="94">
        <v>-4</v>
      </c>
      <c r="F38" s="94">
        <v>5</v>
      </c>
      <c r="G38" s="94">
        <v>3</v>
      </c>
      <c r="H38" s="94" t="s">
        <v>202</v>
      </c>
      <c r="I38" s="94">
        <v>-5</v>
      </c>
      <c r="J38" s="94">
        <v>-2</v>
      </c>
      <c r="K38" s="94">
        <v>-3</v>
      </c>
      <c r="L38" s="94">
        <v>1</v>
      </c>
      <c r="M38" s="94">
        <v>4</v>
      </c>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BA38" s="91">
        <f t="shared" ca="1" si="3"/>
        <v>553</v>
      </c>
      <c r="BB38" s="88" t="str">
        <f t="shared" ca="1" si="4"/>
        <v>A536:A2000</v>
      </c>
      <c r="BC38" s="89" t="str">
        <f t="shared" ca="1" si="5"/>
        <v>B553</v>
      </c>
      <c r="BD38">
        <f ca="1">IF(BC38=0,0,RANK(BF38,$BF$11:$BF$100,0)+(COUNTIF($BF38:$BF$100,BF38)-1))</f>
        <v>43</v>
      </c>
      <c r="BE38" s="89" t="str">
        <f t="shared" ca="1" si="6"/>
        <v>160503</v>
      </c>
      <c r="BF38" s="89">
        <f t="shared" ca="1" si="7"/>
        <v>16050310</v>
      </c>
      <c r="BG38" s="89">
        <f t="shared" ca="1" si="8"/>
        <v>16</v>
      </c>
      <c r="BH38" s="89">
        <f t="shared" ca="1" si="9"/>
        <v>3</v>
      </c>
      <c r="BI38" s="89" t="str">
        <f t="shared" ca="1" si="10"/>
        <v>B570</v>
      </c>
      <c r="BJ38" s="89">
        <f t="shared" ca="1" si="11"/>
        <v>5</v>
      </c>
      <c r="BK38" s="89">
        <f t="shared" ca="1" si="12"/>
        <v>10</v>
      </c>
      <c r="BL38" s="89">
        <f t="shared" ca="1" si="13"/>
        <v>40</v>
      </c>
      <c r="BM38" s="89">
        <f t="shared" ca="1" si="14"/>
        <v>12</v>
      </c>
      <c r="BN38" s="89" t="str">
        <f t="shared" ca="1" si="15"/>
        <v>S5!B554:L569</v>
      </c>
      <c r="BO38" s="89" t="str">
        <f t="shared" ca="1" si="16"/>
        <v>e</v>
      </c>
      <c r="BP38" s="89" t="str">
        <f t="shared" ca="1" si="17"/>
        <v/>
      </c>
      <c r="BQ38" s="89" t="str">
        <f t="shared" ca="1" si="18"/>
        <v/>
      </c>
      <c r="BR38" s="87" t="str">
        <f t="shared" ca="1" si="19"/>
        <v>x</v>
      </c>
      <c r="BS38" s="89" t="str">
        <f t="shared" ca="1" si="20"/>
        <v/>
      </c>
      <c r="BT38" s="89" t="str">
        <f t="shared" ca="1" si="21"/>
        <v/>
      </c>
      <c r="BU38" s="89" t="str">
        <f t="shared" ca="1" si="22"/>
        <v/>
      </c>
      <c r="BV38" s="87" t="str">
        <f t="shared" ca="1" si="23"/>
        <v/>
      </c>
      <c r="BW38" s="87" t="str">
        <f t="shared" ca="1" si="24"/>
        <v>16050310</v>
      </c>
      <c r="BX38" s="89">
        <f t="shared" ca="1" si="25"/>
        <v>0</v>
      </c>
    </row>
    <row r="39" spans="1:76" ht="13">
      <c r="A39" s="90" t="str">
        <f t="shared" si="2"/>
        <v/>
      </c>
      <c r="B39" s="98">
        <v>4</v>
      </c>
      <c r="C39" s="94">
        <v>5</v>
      </c>
      <c r="D39" s="94">
        <v>4</v>
      </c>
      <c r="E39" s="94">
        <v>-3</v>
      </c>
      <c r="F39" s="94">
        <v>-1</v>
      </c>
      <c r="G39" s="94">
        <v>-2</v>
      </c>
      <c r="H39" s="94">
        <v>-5</v>
      </c>
      <c r="I39" s="94" t="s">
        <v>202</v>
      </c>
      <c r="J39" s="94">
        <v>3</v>
      </c>
      <c r="K39" s="94">
        <v>1</v>
      </c>
      <c r="L39" s="94">
        <v>2</v>
      </c>
      <c r="M39" s="94">
        <v>-4</v>
      </c>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BA39" s="91">
        <f t="shared" ca="1" si="3"/>
        <v>571</v>
      </c>
      <c r="BB39" s="88" t="str">
        <f t="shared" ca="1" si="4"/>
        <v>A554:A2000</v>
      </c>
      <c r="BC39" s="89" t="str">
        <f t="shared" ca="1" si="5"/>
        <v>B571</v>
      </c>
      <c r="BD39">
        <f ca="1">IF(BC39=0,0,RANK(BF39,$BF$11:$BF$100,0)+(COUNTIF($BF39:$BF$100,BF39)-1))</f>
        <v>18</v>
      </c>
      <c r="BE39" s="89" t="str">
        <f t="shared" ca="1" si="6"/>
        <v>210503</v>
      </c>
      <c r="BF39" s="89">
        <f t="shared" ca="1" si="7"/>
        <v>21050314</v>
      </c>
      <c r="BG39" s="89">
        <f t="shared" ca="1" si="8"/>
        <v>21</v>
      </c>
      <c r="BH39" s="89">
        <f t="shared" ca="1" si="9"/>
        <v>3</v>
      </c>
      <c r="BI39" s="89" t="str">
        <f t="shared" ca="1" si="10"/>
        <v>B593</v>
      </c>
      <c r="BJ39" s="89">
        <f t="shared" ca="1" si="11"/>
        <v>7</v>
      </c>
      <c r="BK39" s="89">
        <f t="shared" ca="1" si="12"/>
        <v>14</v>
      </c>
      <c r="BL39" s="89">
        <f t="shared" ca="1" si="13"/>
        <v>70</v>
      </c>
      <c r="BM39" s="89">
        <f t="shared" ca="1" si="14"/>
        <v>16</v>
      </c>
      <c r="BN39" s="89" t="str">
        <f t="shared" ca="1" si="15"/>
        <v>S5!B572:P592</v>
      </c>
      <c r="BO39" s="89" t="str">
        <f t="shared" ca="1" si="16"/>
        <v>e</v>
      </c>
      <c r="BP39" s="89" t="str">
        <f t="shared" ca="1" si="17"/>
        <v>w</v>
      </c>
      <c r="BQ39" s="89" t="str">
        <f t="shared" ca="1" si="18"/>
        <v>w</v>
      </c>
      <c r="BR39" s="87" t="str">
        <f t="shared" ca="1" si="19"/>
        <v>x</v>
      </c>
      <c r="BS39" s="89" t="str">
        <f t="shared" ca="1" si="20"/>
        <v/>
      </c>
      <c r="BT39" s="89" t="str">
        <f t="shared" ca="1" si="21"/>
        <v/>
      </c>
      <c r="BU39" s="89" t="str">
        <f t="shared" ca="1" si="22"/>
        <v/>
      </c>
      <c r="BV39" s="87" t="str">
        <f t="shared" ca="1" si="23"/>
        <v/>
      </c>
      <c r="BW39" s="87" t="str">
        <f t="shared" ca="1" si="24"/>
        <v>21050314</v>
      </c>
      <c r="BX39" s="89">
        <f t="shared" ca="1" si="25"/>
        <v>0</v>
      </c>
    </row>
    <row r="40" spans="1:76" ht="13">
      <c r="A40" s="90" t="str">
        <f t="shared" si="2"/>
        <v/>
      </c>
      <c r="B40" s="98">
        <v>5</v>
      </c>
      <c r="C40" s="94">
        <v>-1</v>
      </c>
      <c r="D40" s="94">
        <v>3</v>
      </c>
      <c r="E40" s="94">
        <v>4</v>
      </c>
      <c r="F40" s="94" t="s">
        <v>202</v>
      </c>
      <c r="G40" s="94">
        <v>-5</v>
      </c>
      <c r="H40" s="94">
        <v>-2</v>
      </c>
      <c r="I40" s="94">
        <v>1</v>
      </c>
      <c r="J40" s="94">
        <v>-3</v>
      </c>
      <c r="K40" s="94">
        <v>-4</v>
      </c>
      <c r="L40" s="94">
        <v>5</v>
      </c>
      <c r="M40" s="94">
        <v>2</v>
      </c>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BA40" s="91">
        <f t="shared" ca="1" si="3"/>
        <v>594</v>
      </c>
      <c r="BB40" s="88" t="str">
        <f t="shared" ca="1" si="4"/>
        <v>A572:A2000</v>
      </c>
      <c r="BC40" s="89" t="str">
        <f t="shared" ca="1" si="5"/>
        <v>B594</v>
      </c>
      <c r="BD40">
        <f ca="1">IF(BC40=0,0,RANK(BF40,$BF$11:$BF$100,0)+(COUNTIF($BF40:$BF$100,BF40)-1))</f>
        <v>12</v>
      </c>
      <c r="BE40" s="89" t="str">
        <f t="shared" ca="1" si="6"/>
        <v>220505</v>
      </c>
      <c r="BF40" s="89">
        <f t="shared" ca="1" si="7"/>
        <v>22050509</v>
      </c>
      <c r="BG40" s="89">
        <f t="shared" ca="1" si="8"/>
        <v>22</v>
      </c>
      <c r="BH40" s="89">
        <f t="shared" ca="1" si="9"/>
        <v>5</v>
      </c>
      <c r="BI40" s="89" t="str">
        <f t="shared" ca="1" si="10"/>
        <v>B617</v>
      </c>
      <c r="BJ40" s="89">
        <f t="shared" ca="1" si="11"/>
        <v>4</v>
      </c>
      <c r="BK40" s="89">
        <f t="shared" ca="1" si="12"/>
        <v>9</v>
      </c>
      <c r="BL40" s="89">
        <f t="shared" ca="1" si="13"/>
        <v>44</v>
      </c>
      <c r="BM40" s="89">
        <f t="shared" ca="1" si="14"/>
        <v>11</v>
      </c>
      <c r="BN40" s="89" t="str">
        <f t="shared" ca="1" si="15"/>
        <v>S5!B595:K616</v>
      </c>
      <c r="BO40" s="89" t="str">
        <f t="shared" ca="1" si="16"/>
        <v>e</v>
      </c>
      <c r="BP40" s="89" t="str">
        <f t="shared" ca="1" si="17"/>
        <v>b</v>
      </c>
      <c r="BQ40" s="89" t="str">
        <f t="shared" ca="1" si="18"/>
        <v/>
      </c>
      <c r="BR40" s="87" t="str">
        <f t="shared" ca="1" si="19"/>
        <v/>
      </c>
      <c r="BS40" s="89" t="str">
        <f t="shared" ca="1" si="20"/>
        <v>a</v>
      </c>
      <c r="BT40" s="89" t="str">
        <f t="shared" ca="1" si="21"/>
        <v/>
      </c>
      <c r="BU40" s="89" t="str">
        <f t="shared" ca="1" si="22"/>
        <v/>
      </c>
      <c r="BV40" s="87" t="str">
        <f t="shared" ca="1" si="23"/>
        <v/>
      </c>
      <c r="BW40" s="87" t="str">
        <f t="shared" ca="1" si="24"/>
        <v>22050509</v>
      </c>
      <c r="BX40" s="89">
        <f t="shared" ca="1" si="25"/>
        <v>0</v>
      </c>
    </row>
    <row r="41" spans="1:76" ht="13">
      <c r="A41" s="90" t="str">
        <f t="shared" si="2"/>
        <v/>
      </c>
      <c r="B41" s="98">
        <v>6</v>
      </c>
      <c r="C41" s="94">
        <v>3</v>
      </c>
      <c r="D41" s="94">
        <v>-5</v>
      </c>
      <c r="E41" s="94" t="s">
        <v>202</v>
      </c>
      <c r="F41" s="94">
        <v>2</v>
      </c>
      <c r="G41" s="94">
        <v>1</v>
      </c>
      <c r="H41" s="94">
        <v>-4</v>
      </c>
      <c r="I41" s="94">
        <v>5</v>
      </c>
      <c r="J41" s="94">
        <v>4</v>
      </c>
      <c r="K41" s="94">
        <v>-1</v>
      </c>
      <c r="L41" s="94">
        <v>-3</v>
      </c>
      <c r="M41" s="94">
        <v>-2</v>
      </c>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BA41" s="91">
        <f t="shared" ca="1" si="3"/>
        <v>618</v>
      </c>
      <c r="BB41" s="88" t="str">
        <f t="shared" ca="1" si="4"/>
        <v>A595:A2000</v>
      </c>
      <c r="BC41" s="89" t="str">
        <f t="shared" ca="1" si="5"/>
        <v>B618</v>
      </c>
      <c r="BD41">
        <f ca="1">IF(BC41=0,0,RANK(BF41,$BF$11:$BF$100,0)+(COUNTIF($BF41:$BF$100,BF41)-1))</f>
        <v>6</v>
      </c>
      <c r="BE41" s="89" t="str">
        <f t="shared" ca="1" si="6"/>
        <v>240505</v>
      </c>
      <c r="BF41" s="89">
        <f t="shared" ca="1" si="7"/>
        <v>24050510</v>
      </c>
      <c r="BG41" s="89">
        <f t="shared" ca="1" si="8"/>
        <v>24</v>
      </c>
      <c r="BH41" s="89">
        <f t="shared" ca="1" si="9"/>
        <v>5</v>
      </c>
      <c r="BI41" s="89" t="str">
        <f t="shared" ca="1" si="10"/>
        <v>B643</v>
      </c>
      <c r="BJ41" s="89">
        <f t="shared" ca="1" si="11"/>
        <v>4</v>
      </c>
      <c r="BK41" s="89">
        <f t="shared" ca="1" si="12"/>
        <v>10</v>
      </c>
      <c r="BL41" s="89">
        <f t="shared" ca="1" si="13"/>
        <v>48</v>
      </c>
      <c r="BM41" s="89">
        <f t="shared" ca="1" si="14"/>
        <v>12</v>
      </c>
      <c r="BN41" s="89" t="str">
        <f t="shared" ca="1" si="15"/>
        <v>S5!B619:L642</v>
      </c>
      <c r="BO41" s="89" t="str">
        <f t="shared" ca="1" si="16"/>
        <v>e</v>
      </c>
      <c r="BP41" s="89" t="str">
        <f t="shared" ca="1" si="17"/>
        <v>b</v>
      </c>
      <c r="BQ41" s="89" t="str">
        <f t="shared" ca="1" si="18"/>
        <v/>
      </c>
      <c r="BR41" s="87" t="str">
        <f t="shared" ca="1" si="19"/>
        <v/>
      </c>
      <c r="BS41" s="89" t="str">
        <f t="shared" ca="1" si="20"/>
        <v>a</v>
      </c>
      <c r="BT41" s="89" t="str">
        <f t="shared" ca="1" si="21"/>
        <v/>
      </c>
      <c r="BU41" s="89" t="str">
        <f t="shared" ca="1" si="22"/>
        <v/>
      </c>
      <c r="BV41" s="87" t="str">
        <f t="shared" ca="1" si="23"/>
        <v/>
      </c>
      <c r="BW41" s="87" t="str">
        <f t="shared" ca="1" si="24"/>
        <v>24050510</v>
      </c>
      <c r="BX41" s="89">
        <f t="shared" ca="1" si="25"/>
        <v>0</v>
      </c>
    </row>
    <row r="42" spans="1:76" ht="13">
      <c r="A42" s="90" t="str">
        <f t="shared" si="2"/>
        <v/>
      </c>
      <c r="B42" s="98">
        <v>7</v>
      </c>
      <c r="C42" s="94">
        <v>4</v>
      </c>
      <c r="D42" s="94">
        <v>-3</v>
      </c>
      <c r="E42" s="94">
        <v>1</v>
      </c>
      <c r="F42" s="94">
        <v>-2</v>
      </c>
      <c r="G42" s="94" t="s">
        <v>202</v>
      </c>
      <c r="H42" s="94">
        <v>5</v>
      </c>
      <c r="I42" s="94">
        <v>2</v>
      </c>
      <c r="J42" s="94">
        <v>-1</v>
      </c>
      <c r="K42" s="94">
        <v>3</v>
      </c>
      <c r="L42" s="94">
        <v>-4</v>
      </c>
      <c r="M42" s="94">
        <v>-5</v>
      </c>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BA42" s="91">
        <f t="shared" ca="1" si="3"/>
        <v>644</v>
      </c>
      <c r="BB42" s="88" t="str">
        <f t="shared" ca="1" si="4"/>
        <v>A619:A2000</v>
      </c>
      <c r="BC42" s="89" t="str">
        <f t="shared" ca="1" si="5"/>
        <v>B644</v>
      </c>
      <c r="BD42">
        <f ca="1">IF(BC42=0,0,RANK(BF42,$BF$11:$BF$100,0)+(COUNTIF($BF42:$BF$100,BF42)-1))</f>
        <v>34</v>
      </c>
      <c r="BE42" s="89" t="str">
        <f t="shared" ca="1" si="6"/>
        <v>180504</v>
      </c>
      <c r="BF42" s="89">
        <f t="shared" ca="1" si="7"/>
        <v>18050410</v>
      </c>
      <c r="BG42" s="89">
        <f t="shared" ca="1" si="8"/>
        <v>18</v>
      </c>
      <c r="BH42" s="89">
        <f t="shared" ca="1" si="9"/>
        <v>4</v>
      </c>
      <c r="BI42" s="89" t="str">
        <f t="shared" ca="1" si="10"/>
        <v>B663</v>
      </c>
      <c r="BJ42" s="89">
        <f t="shared" ca="1" si="11"/>
        <v>5</v>
      </c>
      <c r="BK42" s="89">
        <f t="shared" ca="1" si="12"/>
        <v>10</v>
      </c>
      <c r="BL42" s="89">
        <f t="shared" ca="1" si="13"/>
        <v>45</v>
      </c>
      <c r="BM42" s="89">
        <f t="shared" ca="1" si="14"/>
        <v>12</v>
      </c>
      <c r="BN42" s="89" t="str">
        <f t="shared" ca="1" si="15"/>
        <v>S5!B645:L662</v>
      </c>
      <c r="BO42" s="89" t="str">
        <f t="shared" ca="1" si="16"/>
        <v>e</v>
      </c>
      <c r="BP42" s="89" t="str">
        <f t="shared" ca="1" si="17"/>
        <v/>
      </c>
      <c r="BQ42" s="89" t="str">
        <f t="shared" ca="1" si="18"/>
        <v/>
      </c>
      <c r="BR42" s="87" t="str">
        <f t="shared" ca="1" si="19"/>
        <v>E</v>
      </c>
      <c r="BS42" s="89" t="str">
        <f t="shared" ca="1" si="20"/>
        <v>a</v>
      </c>
      <c r="BT42" s="89" t="str">
        <f t="shared" ca="1" si="21"/>
        <v>E</v>
      </c>
      <c r="BU42" s="89" t="str">
        <f t="shared" ca="1" si="22"/>
        <v/>
      </c>
      <c r="BV42" s="87" t="str">
        <f t="shared" ca="1" si="23"/>
        <v/>
      </c>
      <c r="BW42" s="87" t="str">
        <f t="shared" ca="1" si="24"/>
        <v>18050410</v>
      </c>
      <c r="BX42" s="89">
        <f t="shared" ca="1" si="25"/>
        <v>0</v>
      </c>
    </row>
    <row r="43" spans="1:76" ht="13">
      <c r="A43" s="90" t="str">
        <f t="shared" si="2"/>
        <v/>
      </c>
      <c r="B43" s="98">
        <v>8</v>
      </c>
      <c r="C43" s="94">
        <v>1</v>
      </c>
      <c r="D43" s="94">
        <v>2</v>
      </c>
      <c r="E43" s="94">
        <v>3</v>
      </c>
      <c r="F43" s="94">
        <v>-5</v>
      </c>
      <c r="G43" s="94">
        <v>4</v>
      </c>
      <c r="H43" s="94">
        <v>-1</v>
      </c>
      <c r="I43" s="94">
        <v>-3</v>
      </c>
      <c r="J43" s="94">
        <v>-4</v>
      </c>
      <c r="K43" s="94">
        <v>-2</v>
      </c>
      <c r="L43" s="94" t="s">
        <v>202</v>
      </c>
      <c r="M43" s="94">
        <v>5</v>
      </c>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BA43" s="91">
        <f t="shared" ca="1" si="3"/>
        <v>664</v>
      </c>
      <c r="BB43" s="88" t="str">
        <f t="shared" ca="1" si="4"/>
        <v>A645:A2000</v>
      </c>
      <c r="BC43" s="89" t="str">
        <f t="shared" ca="1" si="5"/>
        <v>B664</v>
      </c>
      <c r="BD43">
        <f ca="1">IF(BC43=0,0,RANK(BF43,$BF$11:$BF$100,0)+(COUNTIF($BF43:$BF$100,BF43)-1))</f>
        <v>26</v>
      </c>
      <c r="BE43" s="89" t="str">
        <f t="shared" ca="1" si="6"/>
        <v>200504</v>
      </c>
      <c r="BF43" s="89">
        <f t="shared" ca="1" si="7"/>
        <v>20050408</v>
      </c>
      <c r="BG43" s="89">
        <f t="shared" ca="1" si="8"/>
        <v>20</v>
      </c>
      <c r="BH43" s="89">
        <f t="shared" ca="1" si="9"/>
        <v>4</v>
      </c>
      <c r="BI43" s="89" t="str">
        <f t="shared" ca="1" si="10"/>
        <v>B685</v>
      </c>
      <c r="BJ43" s="89">
        <f t="shared" ca="1" si="11"/>
        <v>4</v>
      </c>
      <c r="BK43" s="89">
        <f t="shared" ca="1" si="12"/>
        <v>8</v>
      </c>
      <c r="BL43" s="89">
        <f t="shared" ca="1" si="13"/>
        <v>40</v>
      </c>
      <c r="BM43" s="89">
        <f t="shared" ca="1" si="14"/>
        <v>10</v>
      </c>
      <c r="BN43" s="89" t="str">
        <f t="shared" ca="1" si="15"/>
        <v>S5!B665:J684</v>
      </c>
      <c r="BO43" s="89" t="str">
        <f t="shared" ca="1" si="16"/>
        <v>c</v>
      </c>
      <c r="BP43" s="89" t="str">
        <f t="shared" ca="1" si="17"/>
        <v/>
      </c>
      <c r="BQ43" s="89" t="str">
        <f t="shared" ca="1" si="18"/>
        <v/>
      </c>
      <c r="BR43" s="87" t="str">
        <f t="shared" ca="1" si="19"/>
        <v/>
      </c>
      <c r="BS43" s="89" t="str">
        <f t="shared" ca="1" si="20"/>
        <v/>
      </c>
      <c r="BT43" s="89" t="str">
        <f t="shared" ca="1" si="21"/>
        <v/>
      </c>
      <c r="BU43" s="89" t="str">
        <f t="shared" ca="1" si="22"/>
        <v/>
      </c>
      <c r="BV43" s="87" t="str">
        <f t="shared" ca="1" si="23"/>
        <v>c</v>
      </c>
      <c r="BW43" s="87" t="str">
        <f t="shared" ca="1" si="24"/>
        <v>20050408</v>
      </c>
      <c r="BX43" s="89" t="str">
        <f t="shared" ca="1" si="25"/>
        <v>44</v>
      </c>
    </row>
    <row r="44" spans="1:76" ht="13">
      <c r="A44" s="90" t="str">
        <f t="shared" si="2"/>
        <v/>
      </c>
      <c r="B44" s="98">
        <v>9</v>
      </c>
      <c r="C44" s="94">
        <v>-4</v>
      </c>
      <c r="D44" s="94">
        <v>1</v>
      </c>
      <c r="E44" s="94">
        <v>2</v>
      </c>
      <c r="F44" s="94">
        <v>-3</v>
      </c>
      <c r="G44" s="94">
        <v>5</v>
      </c>
      <c r="H44" s="94">
        <v>4</v>
      </c>
      <c r="I44" s="94">
        <v>3</v>
      </c>
      <c r="J44" s="94">
        <v>-5</v>
      </c>
      <c r="K44" s="94" t="s">
        <v>202</v>
      </c>
      <c r="L44" s="94">
        <v>-2</v>
      </c>
      <c r="M44" s="94">
        <v>-1</v>
      </c>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BA44" s="91">
        <f t="shared" ca="1" si="3"/>
        <v>686</v>
      </c>
      <c r="BB44" s="88" t="str">
        <f t="shared" ca="1" si="4"/>
        <v>A665:A2000</v>
      </c>
      <c r="BC44" s="89" t="str">
        <f t="shared" ca="1" si="5"/>
        <v>B686</v>
      </c>
      <c r="BD44">
        <f ca="1">IF(BC44=0,0,RANK(BF44,$BF$11:$BF$100,0)+(COUNTIF($BF44:$BF$100,BF44)-1))</f>
        <v>50</v>
      </c>
      <c r="BE44" s="89" t="str">
        <f t="shared" ca="1" si="6"/>
        <v>150502</v>
      </c>
      <c r="BF44" s="89">
        <f t="shared" ca="1" si="7"/>
        <v>15050210</v>
      </c>
      <c r="BG44" s="89">
        <f t="shared" ca="1" si="8"/>
        <v>15</v>
      </c>
      <c r="BH44" s="89">
        <f t="shared" ca="1" si="9"/>
        <v>2</v>
      </c>
      <c r="BI44" s="89" t="str">
        <f t="shared" ca="1" si="10"/>
        <v>B702</v>
      </c>
      <c r="BJ44" s="89">
        <f t="shared" ca="1" si="11"/>
        <v>7</v>
      </c>
      <c r="BK44" s="89">
        <f t="shared" ca="1" si="12"/>
        <v>10</v>
      </c>
      <c r="BL44" s="89">
        <f t="shared" ca="1" si="13"/>
        <v>49</v>
      </c>
      <c r="BM44" s="89">
        <f t="shared" ca="1" si="14"/>
        <v>12</v>
      </c>
      <c r="BN44" s="89" t="str">
        <f t="shared" ca="1" si="15"/>
        <v>S5!B687:L701</v>
      </c>
      <c r="BO44" s="89" t="str">
        <f t="shared" ca="1" si="16"/>
        <v>c</v>
      </c>
      <c r="BP44" s="89" t="str">
        <f t="shared" ca="1" si="17"/>
        <v/>
      </c>
      <c r="BQ44" s="89" t="str">
        <f t="shared" ca="1" si="18"/>
        <v/>
      </c>
      <c r="BR44" s="87" t="str">
        <f t="shared" ca="1" si="19"/>
        <v/>
      </c>
      <c r="BS44" s="89" t="str">
        <f t="shared" ca="1" si="20"/>
        <v/>
      </c>
      <c r="BT44" s="89" t="str">
        <f t="shared" ca="1" si="21"/>
        <v/>
      </c>
      <c r="BU44" s="89" t="str">
        <f t="shared" ca="1" si="22"/>
        <v/>
      </c>
      <c r="BV44" s="87" t="str">
        <f t="shared" ca="1" si="23"/>
        <v>c</v>
      </c>
      <c r="BW44" s="87" t="str">
        <f t="shared" ca="1" si="24"/>
        <v>15050210</v>
      </c>
      <c r="BX44" s="89" t="str">
        <f t="shared" ca="1" si="25"/>
        <v>33</v>
      </c>
    </row>
    <row r="45" spans="1:76" ht="13">
      <c r="A45" s="90" t="str">
        <f t="shared" si="2"/>
        <v/>
      </c>
      <c r="B45" s="98">
        <v>10</v>
      </c>
      <c r="C45" s="94">
        <v>-5</v>
      </c>
      <c r="D45" s="94">
        <v>-2</v>
      </c>
      <c r="E45" s="94">
        <v>-1</v>
      </c>
      <c r="F45" s="94">
        <v>4</v>
      </c>
      <c r="G45" s="94">
        <v>-3</v>
      </c>
      <c r="H45" s="94">
        <v>2</v>
      </c>
      <c r="I45" s="94">
        <v>-4</v>
      </c>
      <c r="J45" s="94" t="s">
        <v>202</v>
      </c>
      <c r="K45" s="94">
        <v>5</v>
      </c>
      <c r="L45" s="94">
        <v>3</v>
      </c>
      <c r="M45" s="94">
        <v>1</v>
      </c>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BA45" s="91">
        <f t="shared" ca="1" si="3"/>
        <v>703</v>
      </c>
      <c r="BB45" s="88" t="str">
        <f t="shared" ca="1" si="4"/>
        <v>A687:A2000</v>
      </c>
      <c r="BC45" s="89" t="str">
        <f t="shared" ca="1" si="5"/>
        <v>B703</v>
      </c>
      <c r="BD45">
        <f ca="1">IF(BC45=0,0,RANK(BF45,$BF$11:$BF$100,0)+(COUNTIF($BF45:$BF$100,BF45)-1))</f>
        <v>39</v>
      </c>
      <c r="BE45" s="89" t="str">
        <f t="shared" ca="1" si="6"/>
        <v>180502</v>
      </c>
      <c r="BF45" s="89">
        <f t="shared" ca="1" si="7"/>
        <v>18050215</v>
      </c>
      <c r="BG45" s="89">
        <f t="shared" ca="1" si="8"/>
        <v>18</v>
      </c>
      <c r="BH45" s="89">
        <f t="shared" ca="1" si="9"/>
        <v>2</v>
      </c>
      <c r="BI45" s="89" t="str">
        <f t="shared" ca="1" si="10"/>
        <v>B722</v>
      </c>
      <c r="BJ45" s="89">
        <f t="shared" ca="1" si="11"/>
        <v>8</v>
      </c>
      <c r="BK45" s="89">
        <f t="shared" ca="1" si="12"/>
        <v>15</v>
      </c>
      <c r="BL45" s="89" t="e">
        <f t="shared" ca="1" si="13"/>
        <v>#VALUE!</v>
      </c>
      <c r="BM45" s="89">
        <f t="shared" ca="1" si="14"/>
        <v>17</v>
      </c>
      <c r="BN45" s="89" t="str">
        <f t="shared" ca="1" si="15"/>
        <v>S5!B704:Q721</v>
      </c>
      <c r="BO45" s="89" t="str">
        <f t="shared" ca="1" si="16"/>
        <v>c</v>
      </c>
      <c r="BP45" s="89" t="str">
        <f t="shared" ca="1" si="17"/>
        <v/>
      </c>
      <c r="BQ45" s="89" t="str">
        <f t="shared" ca="1" si="18"/>
        <v/>
      </c>
      <c r="BR45" s="87" t="str">
        <f t="shared" ca="1" si="19"/>
        <v/>
      </c>
      <c r="BS45" s="89" t="str">
        <f t="shared" ca="1" si="20"/>
        <v/>
      </c>
      <c r="BT45" s="89" t="str">
        <f t="shared" ca="1" si="21"/>
        <v/>
      </c>
      <c r="BU45" s="89" t="str">
        <f t="shared" ca="1" si="22"/>
        <v/>
      </c>
      <c r="BV45" s="87" t="str">
        <f t="shared" ca="1" si="23"/>
        <v>c</v>
      </c>
      <c r="BW45" s="87" t="str">
        <f t="shared" ca="1" si="24"/>
        <v>18050215</v>
      </c>
      <c r="BX45" s="89" t="str">
        <f t="shared" ca="1" si="25"/>
        <v>33</v>
      </c>
    </row>
    <row r="46" spans="1:76" ht="13">
      <c r="A46" s="90" t="str">
        <f t="shared" si="2"/>
        <v/>
      </c>
      <c r="B46" s="98">
        <v>11</v>
      </c>
      <c r="C46" s="94">
        <v>-2</v>
      </c>
      <c r="D46" s="94">
        <v>-4</v>
      </c>
      <c r="E46" s="94">
        <v>5</v>
      </c>
      <c r="F46" s="94">
        <v>3</v>
      </c>
      <c r="G46" s="94">
        <v>-1</v>
      </c>
      <c r="H46" s="94">
        <v>-3</v>
      </c>
      <c r="I46" s="94">
        <v>4</v>
      </c>
      <c r="J46" s="94">
        <v>1</v>
      </c>
      <c r="K46" s="94">
        <v>2</v>
      </c>
      <c r="L46" s="94">
        <v>-5</v>
      </c>
      <c r="M46" s="94" t="s">
        <v>202</v>
      </c>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BA46" s="91">
        <f t="shared" ca="1" si="3"/>
        <v>723</v>
      </c>
      <c r="BB46" s="88" t="str">
        <f t="shared" ca="1" si="4"/>
        <v>A704:A2000</v>
      </c>
      <c r="BC46" s="89" t="str">
        <f t="shared" ca="1" si="5"/>
        <v>B723</v>
      </c>
      <c r="BD46">
        <f ca="1">IF(BC46=0,0,RANK(BF46,$BF$11:$BF$100,0)+(COUNTIF($BF46:$BF$100,BF46)-1))</f>
        <v>20</v>
      </c>
      <c r="BE46" s="89" t="str">
        <f t="shared" ca="1" si="6"/>
        <v>210503</v>
      </c>
      <c r="BF46" s="89">
        <f t="shared" ca="1" si="7"/>
        <v>21050313</v>
      </c>
      <c r="BG46" s="89">
        <f t="shared" ca="1" si="8"/>
        <v>21</v>
      </c>
      <c r="BH46" s="89">
        <f t="shared" ca="1" si="9"/>
        <v>3</v>
      </c>
      <c r="BI46" s="89" t="str">
        <f t="shared" ca="1" si="10"/>
        <v>B745</v>
      </c>
      <c r="BJ46" s="89">
        <f t="shared" ca="1" si="11"/>
        <v>6</v>
      </c>
      <c r="BK46" s="89">
        <f t="shared" ca="1" si="12"/>
        <v>13</v>
      </c>
      <c r="BL46" s="89">
        <f t="shared" ca="1" si="13"/>
        <v>63</v>
      </c>
      <c r="BM46" s="89">
        <f t="shared" ca="1" si="14"/>
        <v>15</v>
      </c>
      <c r="BN46" s="89" t="str">
        <f t="shared" ca="1" si="15"/>
        <v>S5!B724:O744</v>
      </c>
      <c r="BO46" s="89" t="str">
        <f t="shared" ca="1" si="16"/>
        <v>c</v>
      </c>
      <c r="BP46" s="89" t="str">
        <f t="shared" ca="1" si="17"/>
        <v/>
      </c>
      <c r="BQ46" s="89" t="str">
        <f t="shared" ca="1" si="18"/>
        <v/>
      </c>
      <c r="BR46" s="87" t="str">
        <f t="shared" ca="1" si="19"/>
        <v/>
      </c>
      <c r="BS46" s="89" t="str">
        <f t="shared" ca="1" si="20"/>
        <v/>
      </c>
      <c r="BT46" s="89" t="str">
        <f t="shared" ca="1" si="21"/>
        <v/>
      </c>
      <c r="BU46" s="89" t="str">
        <f t="shared" ca="1" si="22"/>
        <v/>
      </c>
      <c r="BV46" s="87" t="str">
        <f t="shared" ca="1" si="23"/>
        <v>c</v>
      </c>
      <c r="BW46" s="87" t="str">
        <f t="shared" ca="1" si="24"/>
        <v>21050313</v>
      </c>
      <c r="BX46" s="89" t="str">
        <f t="shared" ca="1" si="25"/>
        <v>33</v>
      </c>
    </row>
    <row r="47" spans="1:76" ht="13">
      <c r="A47" s="90" t="str">
        <f t="shared" si="2"/>
        <v/>
      </c>
      <c r="B47" s="98" t="s">
        <v>305</v>
      </c>
      <c r="C47" s="94"/>
      <c r="D47" s="94"/>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BA47" s="91">
        <f t="shared" ca="1" si="3"/>
        <v>746</v>
      </c>
      <c r="BB47" s="88" t="str">
        <f t="shared" ca="1" si="4"/>
        <v>A724:A2000</v>
      </c>
      <c r="BC47" s="89" t="str">
        <f t="shared" ca="1" si="5"/>
        <v>B746</v>
      </c>
      <c r="BD47">
        <f ca="1">IF(BC47=0,0,RANK(BF47,$BF$11:$BF$100,0)+(COUNTIF($BF47:$BF$100,BF47)-1))</f>
        <v>46</v>
      </c>
      <c r="BE47" s="89" t="str">
        <f t="shared" ca="1" si="6"/>
        <v>150503</v>
      </c>
      <c r="BF47" s="89">
        <f t="shared" ca="1" si="7"/>
        <v>15050310</v>
      </c>
      <c r="BG47" s="89">
        <f t="shared" ca="1" si="8"/>
        <v>15</v>
      </c>
      <c r="BH47" s="89">
        <f t="shared" ca="1" si="9"/>
        <v>3</v>
      </c>
      <c r="BI47" s="89" t="str">
        <f t="shared" ca="1" si="10"/>
        <v>B762</v>
      </c>
      <c r="BJ47" s="89">
        <f t="shared" ca="1" si="11"/>
        <v>5</v>
      </c>
      <c r="BK47" s="89">
        <f t="shared" ca="1" si="12"/>
        <v>10</v>
      </c>
      <c r="BL47" s="89">
        <f t="shared" ca="1" si="13"/>
        <v>35</v>
      </c>
      <c r="BM47" s="89">
        <f t="shared" ca="1" si="14"/>
        <v>12</v>
      </c>
      <c r="BN47" s="89" t="str">
        <f t="shared" ca="1" si="15"/>
        <v>S5!B747:L761</v>
      </c>
      <c r="BO47" s="89" t="str">
        <f t="shared" ca="1" si="16"/>
        <v>e</v>
      </c>
      <c r="BP47" s="89" t="str">
        <f t="shared" ca="1" si="17"/>
        <v>w</v>
      </c>
      <c r="BQ47" s="89" t="str">
        <f t="shared" ca="1" si="18"/>
        <v>w</v>
      </c>
      <c r="BR47" s="87" t="str">
        <f t="shared" ca="1" si="19"/>
        <v>x</v>
      </c>
      <c r="BS47" s="89" t="str">
        <f t="shared" ca="1" si="20"/>
        <v/>
      </c>
      <c r="BT47" s="89" t="str">
        <f t="shared" ca="1" si="21"/>
        <v/>
      </c>
      <c r="BU47" s="89" t="str">
        <f t="shared" ca="1" si="22"/>
        <v/>
      </c>
      <c r="BV47" s="87" t="str">
        <f t="shared" ca="1" si="23"/>
        <v/>
      </c>
      <c r="BW47" s="87" t="str">
        <f t="shared" ca="1" si="24"/>
        <v>15050310</v>
      </c>
      <c r="BX47" s="89">
        <f t="shared" ca="1" si="25"/>
        <v>0</v>
      </c>
    </row>
    <row r="48" spans="1:76" ht="13">
      <c r="A48" s="90">
        <f t="shared" si="2"/>
        <v>48</v>
      </c>
      <c r="B48" s="98" t="s">
        <v>306</v>
      </c>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c r="BA48" s="91">
        <f t="shared" ca="1" si="3"/>
        <v>763</v>
      </c>
      <c r="BB48" s="88" t="str">
        <f t="shared" ca="1" si="4"/>
        <v>A747:A2000</v>
      </c>
      <c r="BC48" s="89" t="str">
        <f t="shared" ca="1" si="5"/>
        <v>B763</v>
      </c>
      <c r="BD48">
        <f ca="1">IF(BC48=0,0,RANK(BF48,$BF$11:$BF$100,0)+(COUNTIF($BF48:$BF$100,BF48)-1))</f>
        <v>16</v>
      </c>
      <c r="BE48" s="89" t="str">
        <f t="shared" ca="1" si="6"/>
        <v>210505</v>
      </c>
      <c r="BF48" s="89">
        <f t="shared" ca="1" si="7"/>
        <v>21050509</v>
      </c>
      <c r="BG48" s="89">
        <f t="shared" ca="1" si="8"/>
        <v>21</v>
      </c>
      <c r="BH48" s="89">
        <f t="shared" ca="1" si="9"/>
        <v>5</v>
      </c>
      <c r="BI48" s="89" t="str">
        <f t="shared" ca="1" si="10"/>
        <v>B785</v>
      </c>
      <c r="BJ48" s="89">
        <f t="shared" ca="1" si="11"/>
        <v>4</v>
      </c>
      <c r="BK48" s="89">
        <f t="shared" ca="1" si="12"/>
        <v>9</v>
      </c>
      <c r="BL48" s="89">
        <f t="shared" ca="1" si="13"/>
        <v>42</v>
      </c>
      <c r="BM48" s="89">
        <f t="shared" ca="1" si="14"/>
        <v>11</v>
      </c>
      <c r="BN48" s="89" t="str">
        <f t="shared" ca="1" si="15"/>
        <v>S5!B764:K784</v>
      </c>
      <c r="BO48" s="89" t="str">
        <f t="shared" ca="1" si="16"/>
        <v>e</v>
      </c>
      <c r="BP48" s="89" t="str">
        <f t="shared" ca="1" si="17"/>
        <v>b</v>
      </c>
      <c r="BQ48" s="89" t="str">
        <f t="shared" ca="1" si="18"/>
        <v/>
      </c>
      <c r="BR48" s="87" t="str">
        <f t="shared" ca="1" si="19"/>
        <v/>
      </c>
      <c r="BS48" s="89" t="str">
        <f t="shared" ca="1" si="20"/>
        <v>a</v>
      </c>
      <c r="BT48" s="89" t="str">
        <f t="shared" ca="1" si="21"/>
        <v/>
      </c>
      <c r="BU48" s="89" t="str">
        <f t="shared" ca="1" si="22"/>
        <v/>
      </c>
      <c r="BV48" s="87" t="str">
        <f t="shared" ca="1" si="23"/>
        <v/>
      </c>
      <c r="BW48" s="87" t="str">
        <f t="shared" ca="1" si="24"/>
        <v>21050509</v>
      </c>
      <c r="BX48" s="89">
        <f t="shared" ca="1" si="25"/>
        <v>0</v>
      </c>
    </row>
    <row r="49" spans="1:76" ht="13">
      <c r="A49" s="90" t="str">
        <f t="shared" si="2"/>
        <v/>
      </c>
      <c r="B49" s="98">
        <v>1</v>
      </c>
      <c r="C49" s="94">
        <v>-5</v>
      </c>
      <c r="D49" s="94">
        <v>3</v>
      </c>
      <c r="E49" s="94">
        <v>1</v>
      </c>
      <c r="F49" s="94">
        <v>-4</v>
      </c>
      <c r="G49" s="94">
        <v>-3</v>
      </c>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BA49" s="91">
        <f t="shared" ca="1" si="3"/>
        <v>786</v>
      </c>
      <c r="BB49" s="88" t="str">
        <f t="shared" ca="1" si="4"/>
        <v>A764:A2000</v>
      </c>
      <c r="BC49" s="89" t="str">
        <f t="shared" ca="1" si="5"/>
        <v>B786</v>
      </c>
      <c r="BD49">
        <f ca="1">IF(BC49=0,0,RANK(BF49,$BF$11:$BF$100,0)+(COUNTIF($BF49:$BF$100,BF49)-1))</f>
        <v>45</v>
      </c>
      <c r="BE49" s="89" t="str">
        <f t="shared" ca="1" si="6"/>
        <v>160502</v>
      </c>
      <c r="BF49" s="89">
        <f t="shared" ca="1" si="7"/>
        <v>16050212</v>
      </c>
      <c r="BG49" s="89">
        <f t="shared" ca="1" si="8"/>
        <v>16</v>
      </c>
      <c r="BH49" s="89">
        <f t="shared" ca="1" si="9"/>
        <v>2</v>
      </c>
      <c r="BI49" s="89" t="str">
        <f t="shared" ca="1" si="10"/>
        <v>B803</v>
      </c>
      <c r="BJ49" s="89">
        <f t="shared" ca="1" si="11"/>
        <v>7</v>
      </c>
      <c r="BK49" s="89">
        <f t="shared" ca="1" si="12"/>
        <v>12</v>
      </c>
      <c r="BL49" s="89">
        <f t="shared" ca="1" si="13"/>
        <v>56</v>
      </c>
      <c r="BM49" s="89">
        <f t="shared" ca="1" si="14"/>
        <v>14</v>
      </c>
      <c r="BN49" s="89" t="str">
        <f t="shared" ca="1" si="15"/>
        <v>S5!B787:N802</v>
      </c>
      <c r="BO49" s="89" t="str">
        <f t="shared" ca="1" si="16"/>
        <v>c</v>
      </c>
      <c r="BP49" s="89" t="str">
        <f t="shared" ca="1" si="17"/>
        <v/>
      </c>
      <c r="BQ49" s="89" t="str">
        <f t="shared" ca="1" si="18"/>
        <v/>
      </c>
      <c r="BR49" s="87" t="str">
        <f t="shared" ca="1" si="19"/>
        <v/>
      </c>
      <c r="BS49" s="89" t="str">
        <f t="shared" ca="1" si="20"/>
        <v/>
      </c>
      <c r="BT49" s="89" t="str">
        <f t="shared" ca="1" si="21"/>
        <v/>
      </c>
      <c r="BU49" s="89" t="str">
        <f t="shared" ca="1" si="22"/>
        <v/>
      </c>
      <c r="BV49" s="87" t="str">
        <f t="shared" ca="1" si="23"/>
        <v>c</v>
      </c>
      <c r="BW49" s="87" t="str">
        <f t="shared" ca="1" si="24"/>
        <v>16050212</v>
      </c>
      <c r="BX49" s="89" t="str">
        <f t="shared" ca="1" si="25"/>
        <v>33</v>
      </c>
    </row>
    <row r="50" spans="1:76" ht="13">
      <c r="A50" s="90" t="str">
        <f t="shared" si="2"/>
        <v/>
      </c>
      <c r="B50" s="98">
        <v>2</v>
      </c>
      <c r="C50" s="94">
        <v>4</v>
      </c>
      <c r="D50" s="94">
        <v>-5</v>
      </c>
      <c r="E50" s="94">
        <v>-2</v>
      </c>
      <c r="F50" s="94">
        <v>1</v>
      </c>
      <c r="G50" s="94">
        <v>3</v>
      </c>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BA50" s="91">
        <f t="shared" ca="1" si="3"/>
        <v>804</v>
      </c>
      <c r="BB50" s="88" t="str">
        <f t="shared" ca="1" si="4"/>
        <v>A787:A2000</v>
      </c>
      <c r="BC50" s="89" t="str">
        <f t="shared" ca="1" si="5"/>
        <v>B804</v>
      </c>
      <c r="BD50">
        <f ca="1">IF(BC50=0,0,RANK(BF50,$BF$11:$BF$100,0)+(COUNTIF($BF50:$BF$100,BF50)-1))</f>
        <v>49</v>
      </c>
      <c r="BE50" s="89" t="str">
        <f t="shared" ca="1" si="6"/>
        <v>150502</v>
      </c>
      <c r="BF50" s="89">
        <f t="shared" ca="1" si="7"/>
        <v>15050214</v>
      </c>
      <c r="BG50" s="89">
        <f t="shared" ca="1" si="8"/>
        <v>15</v>
      </c>
      <c r="BH50" s="89">
        <f t="shared" ca="1" si="9"/>
        <v>2</v>
      </c>
      <c r="BI50" s="89" t="str">
        <f t="shared" ca="1" si="10"/>
        <v>B820</v>
      </c>
      <c r="BJ50" s="89">
        <f t="shared" ca="1" si="11"/>
        <v>7</v>
      </c>
      <c r="BK50" s="89">
        <f t="shared" ca="1" si="12"/>
        <v>14</v>
      </c>
      <c r="BL50" s="89">
        <f t="shared" ca="1" si="13"/>
        <v>49</v>
      </c>
      <c r="BM50" s="89">
        <f t="shared" ca="1" si="14"/>
        <v>16</v>
      </c>
      <c r="BN50" s="89" t="str">
        <f t="shared" ca="1" si="15"/>
        <v>S5!B805:P819</v>
      </c>
      <c r="BO50" s="89" t="str">
        <f t="shared" ca="1" si="16"/>
        <v>e</v>
      </c>
      <c r="BP50" s="89" t="str">
        <f t="shared" ca="1" si="17"/>
        <v>w</v>
      </c>
      <c r="BQ50" s="89" t="str">
        <f t="shared" ca="1" si="18"/>
        <v>w</v>
      </c>
      <c r="BR50" s="87" t="str">
        <f t="shared" ca="1" si="19"/>
        <v/>
      </c>
      <c r="BS50" s="89" t="str">
        <f t="shared" ca="1" si="20"/>
        <v/>
      </c>
      <c r="BT50" s="89" t="str">
        <f t="shared" ca="1" si="21"/>
        <v/>
      </c>
      <c r="BU50" s="89" t="str">
        <f t="shared" ca="1" si="22"/>
        <v/>
      </c>
      <c r="BV50" s="87" t="str">
        <f t="shared" ca="1" si="23"/>
        <v/>
      </c>
      <c r="BW50" s="87" t="str">
        <f t="shared" ca="1" si="24"/>
        <v>15050214</v>
      </c>
      <c r="BX50" s="89">
        <f t="shared" ca="1" si="25"/>
        <v>0</v>
      </c>
    </row>
    <row r="51" spans="1:76" ht="13">
      <c r="A51" s="90" t="str">
        <f t="shared" si="2"/>
        <v/>
      </c>
      <c r="B51" s="98">
        <v>3</v>
      </c>
      <c r="C51" s="94">
        <v>5</v>
      </c>
      <c r="D51" s="94">
        <v>-1</v>
      </c>
      <c r="E51" s="94">
        <v>2</v>
      </c>
      <c r="F51" s="94">
        <v>-3</v>
      </c>
      <c r="G51" s="94">
        <v>-4</v>
      </c>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BA51" s="91">
        <f t="shared" ca="1" si="3"/>
        <v>821</v>
      </c>
      <c r="BB51" s="88" t="str">
        <f t="shared" ca="1" si="4"/>
        <v>A805:A2000</v>
      </c>
      <c r="BC51" s="89" t="str">
        <f t="shared" ca="1" si="5"/>
        <v>B821</v>
      </c>
      <c r="BD51">
        <f ca="1">IF(BC51=0,0,RANK(BF51,$BF$11:$BF$100,0)+(COUNTIF($BF51:$BF$100,BF51)-1))</f>
        <v>56</v>
      </c>
      <c r="BE51" s="89" t="str">
        <f t="shared" ca="1" si="6"/>
        <v>120501</v>
      </c>
      <c r="BF51" s="89">
        <f t="shared" ca="1" si="7"/>
        <v>12050114</v>
      </c>
      <c r="BG51" s="89">
        <f t="shared" ca="1" si="8"/>
        <v>12</v>
      </c>
      <c r="BH51" s="89">
        <f t="shared" ca="1" si="9"/>
        <v>1</v>
      </c>
      <c r="BI51" s="89" t="str">
        <f t="shared" ca="1" si="10"/>
        <v>B834</v>
      </c>
      <c r="BJ51" s="89">
        <f t="shared" ca="1" si="11"/>
        <v>11</v>
      </c>
      <c r="BK51" s="89">
        <f t="shared" ca="1" si="12"/>
        <v>14</v>
      </c>
      <c r="BL51" s="89" t="e">
        <f t="shared" ca="1" si="13"/>
        <v>#VALUE!</v>
      </c>
      <c r="BM51" s="89">
        <f t="shared" ca="1" si="14"/>
        <v>16</v>
      </c>
      <c r="BN51" s="89" t="str">
        <f t="shared" ca="1" si="15"/>
        <v>S5!B822:P833</v>
      </c>
      <c r="BO51" s="89" t="str">
        <f t="shared" ca="1" si="16"/>
        <v>s</v>
      </c>
      <c r="BP51" s="89" t="str">
        <f t="shared" ca="1" si="17"/>
        <v>b</v>
      </c>
      <c r="BQ51" s="89" t="str">
        <f t="shared" ca="1" si="18"/>
        <v/>
      </c>
      <c r="BR51" s="87" t="str">
        <f t="shared" ca="1" si="19"/>
        <v/>
      </c>
      <c r="BS51" s="89" t="str">
        <f t="shared" ca="1" si="20"/>
        <v/>
      </c>
      <c r="BT51" s="89" t="str">
        <f t="shared" ca="1" si="21"/>
        <v/>
      </c>
      <c r="BU51" s="89" t="str">
        <f t="shared" ca="1" si="22"/>
        <v/>
      </c>
      <c r="BV51" s="87" t="str">
        <f t="shared" ca="1" si="23"/>
        <v/>
      </c>
      <c r="BW51" s="87" t="str">
        <f t="shared" ca="1" si="24"/>
        <v>12050114</v>
      </c>
      <c r="BX51" s="89">
        <f t="shared" ca="1" si="25"/>
        <v>0</v>
      </c>
    </row>
    <row r="52" spans="1:76" ht="13">
      <c r="A52" s="90" t="str">
        <f t="shared" si="2"/>
        <v/>
      </c>
      <c r="B52" s="98">
        <v>4</v>
      </c>
      <c r="C52" s="94">
        <v>2</v>
      </c>
      <c r="D52" s="94">
        <v>-3</v>
      </c>
      <c r="E52" s="94">
        <v>5</v>
      </c>
      <c r="F52" s="94">
        <v>-1</v>
      </c>
      <c r="G52" s="94">
        <v>4</v>
      </c>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BA52" s="91">
        <f t="shared" ca="1" si="3"/>
        <v>835</v>
      </c>
      <c r="BB52" s="88" t="str">
        <f t="shared" ca="1" si="4"/>
        <v>A822:A2000</v>
      </c>
      <c r="BC52" s="89" t="str">
        <f t="shared" ca="1" si="5"/>
        <v>B835</v>
      </c>
      <c r="BD52">
        <f ca="1">IF(BC52=0,0,RANK(BF52,$BF$11:$BF$100,0)+(COUNTIF($BF52:$BF$100,BF52)-1))</f>
        <v>30</v>
      </c>
      <c r="BE52" s="89" t="str">
        <f t="shared" ca="1" si="6"/>
        <v>190504</v>
      </c>
      <c r="BF52" s="89">
        <f t="shared" ca="1" si="7"/>
        <v>19050410</v>
      </c>
      <c r="BG52" s="89">
        <f t="shared" ca="1" si="8"/>
        <v>19</v>
      </c>
      <c r="BH52" s="89">
        <f t="shared" ca="1" si="9"/>
        <v>4</v>
      </c>
      <c r="BI52" s="89" t="str">
        <f t="shared" ca="1" si="10"/>
        <v>B855</v>
      </c>
      <c r="BJ52" s="89">
        <f t="shared" ca="1" si="11"/>
        <v>5</v>
      </c>
      <c r="BK52" s="89">
        <f t="shared" ca="1" si="12"/>
        <v>10</v>
      </c>
      <c r="BL52" s="89">
        <f t="shared" ca="1" si="13"/>
        <v>45</v>
      </c>
      <c r="BM52" s="89">
        <f t="shared" ca="1" si="14"/>
        <v>12</v>
      </c>
      <c r="BN52" s="89" t="str">
        <f t="shared" ca="1" si="15"/>
        <v>S5!B836:L854</v>
      </c>
      <c r="BO52" s="89" t="str">
        <f t="shared" ca="1" si="16"/>
        <v>e</v>
      </c>
      <c r="BP52" s="89" t="str">
        <f t="shared" ca="1" si="17"/>
        <v>w</v>
      </c>
      <c r="BQ52" s="89" t="str">
        <f t="shared" ca="1" si="18"/>
        <v>w</v>
      </c>
      <c r="BR52" s="87" t="str">
        <f t="shared" ca="1" si="19"/>
        <v>x</v>
      </c>
      <c r="BS52" s="89" t="str">
        <f t="shared" ca="1" si="20"/>
        <v/>
      </c>
      <c r="BT52" s="89" t="str">
        <f t="shared" ca="1" si="21"/>
        <v/>
      </c>
      <c r="BU52" s="89" t="str">
        <f t="shared" ca="1" si="22"/>
        <v/>
      </c>
      <c r="BV52" s="87" t="str">
        <f t="shared" ca="1" si="23"/>
        <v/>
      </c>
      <c r="BW52" s="87" t="str">
        <f t="shared" ca="1" si="24"/>
        <v>19050410</v>
      </c>
      <c r="BX52" s="89">
        <f t="shared" ca="1" si="25"/>
        <v>0</v>
      </c>
    </row>
    <row r="53" spans="1:76" ht="13">
      <c r="A53" s="90" t="str">
        <f t="shared" si="2"/>
        <v/>
      </c>
      <c r="B53" s="98">
        <v>5</v>
      </c>
      <c r="C53" s="94">
        <v>-4</v>
      </c>
      <c r="D53" s="94">
        <v>1</v>
      </c>
      <c r="E53" s="94">
        <v>-5</v>
      </c>
      <c r="F53" s="94">
        <v>4</v>
      </c>
      <c r="G53" s="94">
        <v>-2</v>
      </c>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BA53" s="91">
        <f t="shared" ca="1" si="3"/>
        <v>856</v>
      </c>
      <c r="BB53" s="88" t="str">
        <f t="shared" ca="1" si="4"/>
        <v>A836:A2000</v>
      </c>
      <c r="BC53" s="89" t="str">
        <f t="shared" ca="1" si="5"/>
        <v>B856</v>
      </c>
      <c r="BD53">
        <f ca="1">IF(BC53=0,0,RANK(BF53,$BF$11:$BF$100,0)+(COUNTIF($BF53:$BF$100,BF53)-1))</f>
        <v>23</v>
      </c>
      <c r="BE53" s="89" t="str">
        <f t="shared" ca="1" si="6"/>
        <v>210501</v>
      </c>
      <c r="BF53" s="89">
        <f t="shared" ca="1" si="7"/>
        <v>21050120</v>
      </c>
      <c r="BG53" s="89">
        <f t="shared" ca="1" si="8"/>
        <v>21</v>
      </c>
      <c r="BH53" s="89">
        <f t="shared" ca="1" si="9"/>
        <v>1</v>
      </c>
      <c r="BI53" s="89" t="str">
        <f t="shared" ca="1" si="10"/>
        <v>B878</v>
      </c>
      <c r="BJ53" s="89">
        <f t="shared" ca="1" si="11"/>
        <v>20</v>
      </c>
      <c r="BK53" s="89">
        <f t="shared" ca="1" si="12"/>
        <v>20</v>
      </c>
      <c r="BL53" s="89">
        <f t="shared" ca="1" si="13"/>
        <v>210</v>
      </c>
      <c r="BM53" s="89">
        <f t="shared" ca="1" si="14"/>
        <v>22</v>
      </c>
      <c r="BN53" s="89" t="str">
        <f t="shared" ca="1" si="15"/>
        <v>S5!B857:V877</v>
      </c>
      <c r="BO53" s="89" t="str">
        <f t="shared" ca="1" si="16"/>
        <v>e</v>
      </c>
      <c r="BP53" s="89" t="str">
        <f t="shared" ca="1" si="17"/>
        <v/>
      </c>
      <c r="BQ53" s="89" t="str">
        <f t="shared" ca="1" si="18"/>
        <v/>
      </c>
      <c r="BR53" s="87" t="str">
        <f t="shared" ca="1" si="19"/>
        <v/>
      </c>
      <c r="BS53" s="89" t="str">
        <f t="shared" ca="1" si="20"/>
        <v/>
      </c>
      <c r="BT53" s="89" t="str">
        <f t="shared" ca="1" si="21"/>
        <v/>
      </c>
      <c r="BU53" s="89" t="str">
        <f t="shared" ca="1" si="22"/>
        <v>X</v>
      </c>
      <c r="BV53" s="87" t="str">
        <f t="shared" ca="1" si="23"/>
        <v/>
      </c>
      <c r="BW53" s="87" t="str">
        <f t="shared" ca="1" si="24"/>
        <v>21050120</v>
      </c>
      <c r="BX53" s="89">
        <f t="shared" ca="1" si="25"/>
        <v>0</v>
      </c>
    </row>
    <row r="54" spans="1:76" ht="13">
      <c r="A54" s="90" t="str">
        <f t="shared" si="2"/>
        <v/>
      </c>
      <c r="B54" s="99">
        <v>6</v>
      </c>
      <c r="C54" s="92">
        <v>-2</v>
      </c>
      <c r="D54" s="92">
        <v>5</v>
      </c>
      <c r="E54" s="92">
        <v>-1</v>
      </c>
      <c r="F54" s="92">
        <v>3</v>
      </c>
      <c r="G54" s="92">
        <v>2</v>
      </c>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BA54" s="91">
        <f t="shared" ca="1" si="3"/>
        <v>879</v>
      </c>
      <c r="BB54" s="88" t="str">
        <f t="shared" ca="1" si="4"/>
        <v>A857:A2000</v>
      </c>
      <c r="BC54" s="89" t="str">
        <f t="shared" ca="1" si="5"/>
        <v>B879</v>
      </c>
      <c r="BD54">
        <f ca="1">IF(BC54=0,0,RANK(BF54,$BF$11:$BF$100,0)+(COUNTIF($BF54:$BF$100,BF54)-1))</f>
        <v>22</v>
      </c>
      <c r="BE54" s="89" t="str">
        <f t="shared" ca="1" si="6"/>
        <v>210501</v>
      </c>
      <c r="BF54" s="89">
        <f t="shared" ca="1" si="7"/>
        <v>21050122</v>
      </c>
      <c r="BG54" s="89">
        <f t="shared" ca="1" si="8"/>
        <v>21</v>
      </c>
      <c r="BH54" s="89">
        <f t="shared" ca="1" si="9"/>
        <v>1</v>
      </c>
      <c r="BI54" s="89" t="str">
        <f t="shared" ca="1" si="10"/>
        <v>B901</v>
      </c>
      <c r="BJ54" s="89">
        <f t="shared" ca="1" si="11"/>
        <v>20</v>
      </c>
      <c r="BK54" s="89">
        <f t="shared" ca="1" si="12"/>
        <v>22</v>
      </c>
      <c r="BL54" s="89">
        <f t="shared" ca="1" si="13"/>
        <v>210</v>
      </c>
      <c r="BM54" s="89">
        <f t="shared" ca="1" si="14"/>
        <v>24</v>
      </c>
      <c r="BN54" s="89" t="str">
        <f t="shared" ca="1" si="15"/>
        <v>S5!B880:X900</v>
      </c>
      <c r="BO54" s="89" t="str">
        <f t="shared" ca="1" si="16"/>
        <v>e</v>
      </c>
      <c r="BP54" s="89" t="str">
        <f t="shared" ca="1" si="17"/>
        <v/>
      </c>
      <c r="BQ54" s="89" t="str">
        <f t="shared" ca="1" si="18"/>
        <v/>
      </c>
      <c r="BR54" s="87" t="str">
        <f t="shared" ca="1" si="19"/>
        <v/>
      </c>
      <c r="BS54" s="89" t="str">
        <f t="shared" ca="1" si="20"/>
        <v/>
      </c>
      <c r="BT54" s="89" t="str">
        <f t="shared" ca="1" si="21"/>
        <v/>
      </c>
      <c r="BU54" s="89" t="str">
        <f t="shared" ca="1" si="22"/>
        <v/>
      </c>
      <c r="BV54" s="87" t="str">
        <f t="shared" ca="1" si="23"/>
        <v/>
      </c>
      <c r="BW54" s="87" t="str">
        <f t="shared" ca="1" si="24"/>
        <v>21050122</v>
      </c>
      <c r="BX54" s="89">
        <f t="shared" ca="1" si="25"/>
        <v>0</v>
      </c>
    </row>
    <row r="55" spans="1:76" ht="13">
      <c r="A55" s="90" t="str">
        <f t="shared" si="2"/>
        <v/>
      </c>
      <c r="B55" s="98">
        <v>7</v>
      </c>
      <c r="C55" s="94" t="s">
        <v>202</v>
      </c>
      <c r="D55" s="94">
        <v>-4</v>
      </c>
      <c r="E55" s="94">
        <v>-3</v>
      </c>
      <c r="F55" s="94">
        <v>2</v>
      </c>
      <c r="G55" s="94">
        <v>5</v>
      </c>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BA55" s="91">
        <f t="shared" ca="1" si="3"/>
        <v>902</v>
      </c>
      <c r="BB55" s="88" t="str">
        <f t="shared" ca="1" si="4"/>
        <v>A880:A2000</v>
      </c>
      <c r="BC55" s="89" t="str">
        <f t="shared" ca="1" si="5"/>
        <v>B902</v>
      </c>
      <c r="BD55">
        <f ca="1">IF(BC55=0,0,RANK(BF55,$BF$11:$BF$100,0)+(COUNTIF($BF55:$BF$100,BF55)-1))</f>
        <v>5</v>
      </c>
      <c r="BE55" s="89" t="str">
        <f t="shared" ca="1" si="6"/>
        <v>250501</v>
      </c>
      <c r="BF55" s="89">
        <f t="shared" ca="1" si="7"/>
        <v>25050130</v>
      </c>
      <c r="BG55" s="89">
        <f t="shared" ca="1" si="8"/>
        <v>25</v>
      </c>
      <c r="BH55" s="89">
        <f t="shared" ca="1" si="9"/>
        <v>1</v>
      </c>
      <c r="BI55" s="89" t="str">
        <f t="shared" ca="1" si="10"/>
        <v>B928</v>
      </c>
      <c r="BJ55" s="89">
        <f t="shared" ca="1" si="11"/>
        <v>24</v>
      </c>
      <c r="BK55" s="89">
        <f t="shared" ca="1" si="12"/>
        <v>30</v>
      </c>
      <c r="BL55" s="89">
        <f t="shared" ca="1" si="13"/>
        <v>300</v>
      </c>
      <c r="BM55" s="89">
        <f t="shared" ca="1" si="14"/>
        <v>32</v>
      </c>
      <c r="BN55" s="89" t="str">
        <f t="shared" ca="1" si="15"/>
        <v>S5!B903:AF927</v>
      </c>
      <c r="BO55" s="89" t="str">
        <f t="shared" ca="1" si="16"/>
        <v>L</v>
      </c>
      <c r="BP55" s="89" t="str">
        <f t="shared" ca="1" si="17"/>
        <v/>
      </c>
      <c r="BQ55" s="89" t="str">
        <f t="shared" ca="1" si="18"/>
        <v/>
      </c>
      <c r="BR55" s="87" t="str">
        <f t="shared" ca="1" si="19"/>
        <v/>
      </c>
      <c r="BS55" s="89" t="str">
        <f t="shared" ca="1" si="20"/>
        <v/>
      </c>
      <c r="BT55" s="89" t="str">
        <f t="shared" ca="1" si="21"/>
        <v/>
      </c>
      <c r="BU55" s="89" t="str">
        <f t="shared" ca="1" si="22"/>
        <v>X</v>
      </c>
      <c r="BV55" s="87" t="str">
        <f t="shared" ca="1" si="23"/>
        <v/>
      </c>
      <c r="BW55" s="87" t="str">
        <f t="shared" ca="1" si="24"/>
        <v>25050130</v>
      </c>
      <c r="BX55" s="89">
        <f t="shared" ca="1" si="25"/>
        <v>0</v>
      </c>
    </row>
    <row r="56" spans="1:76" ht="13">
      <c r="A56" s="90" t="str">
        <f t="shared" si="2"/>
        <v/>
      </c>
      <c r="B56" s="98">
        <v>8</v>
      </c>
      <c r="C56" s="94">
        <v>3</v>
      </c>
      <c r="D56" s="94">
        <v>2</v>
      </c>
      <c r="E56" s="94">
        <v>-4</v>
      </c>
      <c r="F56" s="94" t="s">
        <v>202</v>
      </c>
      <c r="G56" s="94">
        <v>-5</v>
      </c>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BA56" s="91">
        <f t="shared" ca="1" si="3"/>
        <v>929</v>
      </c>
      <c r="BB56" s="88" t="str">
        <f t="shared" ca="1" si="4"/>
        <v>A903:A2000</v>
      </c>
      <c r="BC56" s="89" t="str">
        <f t="shared" ca="1" si="5"/>
        <v>B929</v>
      </c>
      <c r="BD56">
        <f ca="1">IF(BC56=0,0,RANK(BF56,$BF$11:$BF$100,0)+(COUNTIF($BF56:$BF$100,BF56)-1))</f>
        <v>4</v>
      </c>
      <c r="BE56" s="89" t="str">
        <f t="shared" ca="1" si="6"/>
        <v>250501</v>
      </c>
      <c r="BF56" s="89">
        <f t="shared" ca="1" si="7"/>
        <v>25050130</v>
      </c>
      <c r="BG56" s="89">
        <f t="shared" ca="1" si="8"/>
        <v>25</v>
      </c>
      <c r="BH56" s="89">
        <f t="shared" ca="1" si="9"/>
        <v>1</v>
      </c>
      <c r="BI56" s="89" t="str">
        <f t="shared" ca="1" si="10"/>
        <v>B955</v>
      </c>
      <c r="BJ56" s="89">
        <f t="shared" ca="1" si="11"/>
        <v>24</v>
      </c>
      <c r="BK56" s="89">
        <f t="shared" ca="1" si="12"/>
        <v>30</v>
      </c>
      <c r="BL56" s="89">
        <f t="shared" ca="1" si="13"/>
        <v>300</v>
      </c>
      <c r="BM56" s="89">
        <f t="shared" ca="1" si="14"/>
        <v>32</v>
      </c>
      <c r="BN56" s="89" t="str">
        <f t="shared" ca="1" si="15"/>
        <v>S5!B930:AF954</v>
      </c>
      <c r="BO56" s="89" t="str">
        <f t="shared" ca="1" si="16"/>
        <v>L</v>
      </c>
      <c r="BP56" s="89" t="str">
        <f t="shared" ca="1" si="17"/>
        <v/>
      </c>
      <c r="BQ56" s="89" t="str">
        <f t="shared" ca="1" si="18"/>
        <v/>
      </c>
      <c r="BR56" s="87" t="str">
        <f t="shared" ca="1" si="19"/>
        <v/>
      </c>
      <c r="BS56" s="89" t="str">
        <f t="shared" ca="1" si="20"/>
        <v/>
      </c>
      <c r="BT56" s="89" t="str">
        <f t="shared" ca="1" si="21"/>
        <v/>
      </c>
      <c r="BU56" s="89" t="str">
        <f t="shared" ca="1" si="22"/>
        <v/>
      </c>
      <c r="BV56" s="87" t="str">
        <f t="shared" ca="1" si="23"/>
        <v/>
      </c>
      <c r="BW56" s="87" t="str">
        <f t="shared" ca="1" si="24"/>
        <v>25050130</v>
      </c>
      <c r="BX56" s="89">
        <f t="shared" ca="1" si="25"/>
        <v>0</v>
      </c>
    </row>
    <row r="57" spans="1:76" ht="13">
      <c r="A57" s="90" t="str">
        <f t="shared" si="2"/>
        <v/>
      </c>
      <c r="B57" s="98">
        <v>9</v>
      </c>
      <c r="C57" s="94">
        <v>-3</v>
      </c>
      <c r="D57" s="94">
        <v>4</v>
      </c>
      <c r="E57" s="94" t="s">
        <v>202</v>
      </c>
      <c r="F57" s="94">
        <v>5</v>
      </c>
      <c r="G57" s="94">
        <v>-1</v>
      </c>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BA57" s="91">
        <f t="shared" ca="1" si="3"/>
        <v>956</v>
      </c>
      <c r="BB57" s="88" t="str">
        <f t="shared" ca="1" si="4"/>
        <v>A930:A2000</v>
      </c>
      <c r="BC57" s="89" t="str">
        <f t="shared" ca="1" si="5"/>
        <v>B956</v>
      </c>
      <c r="BD57">
        <f ca="1">IF(BC57=0,0,RANK(BF57,$BF$11:$BF$100,0)+(COUNTIF($BF57:$BF$100,BF57)-1))</f>
        <v>33</v>
      </c>
      <c r="BE57" s="89" t="str">
        <f t="shared" ca="1" si="6"/>
        <v>190501</v>
      </c>
      <c r="BF57" s="89">
        <f t="shared" ca="1" si="7"/>
        <v>19050138</v>
      </c>
      <c r="BG57" s="89">
        <f t="shared" ca="1" si="8"/>
        <v>19</v>
      </c>
      <c r="BH57" s="89">
        <f t="shared" ca="1" si="9"/>
        <v>1</v>
      </c>
      <c r="BI57" s="89" t="str">
        <f t="shared" ca="1" si="10"/>
        <v>B976</v>
      </c>
      <c r="BJ57" s="89">
        <f t="shared" ca="1" si="11"/>
        <v>18</v>
      </c>
      <c r="BK57" s="89">
        <f t="shared" ca="1" si="12"/>
        <v>38</v>
      </c>
      <c r="BL57" s="89">
        <f t="shared" ca="1" si="13"/>
        <v>171</v>
      </c>
      <c r="BM57" s="89">
        <f t="shared" ca="1" si="14"/>
        <v>40</v>
      </c>
      <c r="BN57" s="89" t="str">
        <f t="shared" ca="1" si="15"/>
        <v>S5!B957:AN975</v>
      </c>
      <c r="BO57" s="89" t="str">
        <f t="shared" ca="1" si="16"/>
        <v>e</v>
      </c>
      <c r="BP57" s="89" t="str">
        <f t="shared" ca="1" si="17"/>
        <v>b</v>
      </c>
      <c r="BQ57" s="89" t="str">
        <f t="shared" ca="1" si="18"/>
        <v/>
      </c>
      <c r="BR57" s="87" t="str">
        <f t="shared" ca="1" si="19"/>
        <v/>
      </c>
      <c r="BS57" s="89" t="str">
        <f t="shared" ca="1" si="20"/>
        <v/>
      </c>
      <c r="BT57" s="89" t="str">
        <f t="shared" ca="1" si="21"/>
        <v/>
      </c>
      <c r="BU57" s="89" t="str">
        <f t="shared" ca="1" si="22"/>
        <v>X</v>
      </c>
      <c r="BV57" s="87" t="str">
        <f t="shared" ca="1" si="23"/>
        <v/>
      </c>
      <c r="BW57" s="87" t="str">
        <f t="shared" ca="1" si="24"/>
        <v>19050138</v>
      </c>
      <c r="BX57" s="89">
        <f t="shared" ca="1" si="25"/>
        <v>0</v>
      </c>
    </row>
    <row r="58" spans="1:76" ht="13">
      <c r="A58" s="90" t="str">
        <f t="shared" si="2"/>
        <v/>
      </c>
      <c r="B58" s="98">
        <v>10</v>
      </c>
      <c r="C58" s="94">
        <v>-1</v>
      </c>
      <c r="D58" s="94" t="s">
        <v>202</v>
      </c>
      <c r="E58" s="94">
        <v>4</v>
      </c>
      <c r="F58" s="94">
        <v>-2</v>
      </c>
      <c r="G58" s="94">
        <v>1</v>
      </c>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c r="BA58" s="91">
        <f t="shared" ca="1" si="3"/>
        <v>977</v>
      </c>
      <c r="BB58" s="88" t="str">
        <f t="shared" ca="1" si="4"/>
        <v>A957:A2000</v>
      </c>
      <c r="BC58" s="89" t="str">
        <f t="shared" ca="1" si="5"/>
        <v>B977</v>
      </c>
      <c r="BD58">
        <f ca="1">IF(BC58=0,0,RANK(BF58,$BF$11:$BF$100,0)+(COUNTIF($BF58:$BF$100,BF58)-1))</f>
        <v>40</v>
      </c>
      <c r="BE58" s="89" t="str">
        <f t="shared" ca="1" si="6"/>
        <v>180501</v>
      </c>
      <c r="BF58" s="89">
        <f t="shared" ca="1" si="7"/>
        <v>18050134</v>
      </c>
      <c r="BG58" s="89">
        <f t="shared" ca="1" si="8"/>
        <v>18</v>
      </c>
      <c r="BH58" s="89">
        <f t="shared" ca="1" si="9"/>
        <v>1</v>
      </c>
      <c r="BI58" s="89" t="str">
        <f t="shared" ca="1" si="10"/>
        <v>B996</v>
      </c>
      <c r="BJ58" s="89">
        <f t="shared" ca="1" si="11"/>
        <v>17</v>
      </c>
      <c r="BK58" s="89">
        <f t="shared" ca="1" si="12"/>
        <v>34</v>
      </c>
      <c r="BL58" s="89">
        <f t="shared" ca="1" si="13"/>
        <v>153</v>
      </c>
      <c r="BM58" s="89">
        <f t="shared" ca="1" si="14"/>
        <v>36</v>
      </c>
      <c r="BN58" s="89" t="str">
        <f t="shared" ca="1" si="15"/>
        <v>S5!B978:AJ995</v>
      </c>
      <c r="BO58" s="89" t="str">
        <f t="shared" ca="1" si="16"/>
        <v>e</v>
      </c>
      <c r="BP58" s="89" t="str">
        <f t="shared" ca="1" si="17"/>
        <v/>
      </c>
      <c r="BQ58" s="89" t="str">
        <f t="shared" ca="1" si="18"/>
        <v/>
      </c>
      <c r="BR58" s="87" t="str">
        <f t="shared" ca="1" si="19"/>
        <v/>
      </c>
      <c r="BS58" s="89" t="str">
        <f t="shared" ca="1" si="20"/>
        <v/>
      </c>
      <c r="BT58" s="89" t="str">
        <f t="shared" ca="1" si="21"/>
        <v/>
      </c>
      <c r="BU58" s="89" t="str">
        <f t="shared" ca="1" si="22"/>
        <v>X</v>
      </c>
      <c r="BV58" s="87" t="str">
        <f t="shared" ca="1" si="23"/>
        <v/>
      </c>
      <c r="BW58" s="87" t="str">
        <f t="shared" ca="1" si="24"/>
        <v>18050134</v>
      </c>
      <c r="BX58" s="89">
        <f t="shared" ca="1" si="25"/>
        <v>0</v>
      </c>
    </row>
    <row r="59" spans="1:76" ht="13">
      <c r="A59" s="90" t="str">
        <f t="shared" si="2"/>
        <v/>
      </c>
      <c r="B59" s="98">
        <v>11</v>
      </c>
      <c r="C59" s="94">
        <v>1</v>
      </c>
      <c r="D59" s="94">
        <v>-2</v>
      </c>
      <c r="E59" s="94">
        <v>3</v>
      </c>
      <c r="F59" s="94">
        <v>-5</v>
      </c>
      <c r="G59" s="94" t="s">
        <v>202</v>
      </c>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BA59" s="91">
        <f t="shared" ca="1" si="3"/>
        <v>997</v>
      </c>
      <c r="BB59" s="88" t="str">
        <f t="shared" ca="1" si="4"/>
        <v>A978:A2000</v>
      </c>
      <c r="BC59" s="89" t="str">
        <f t="shared" ca="1" si="5"/>
        <v>B997</v>
      </c>
      <c r="BD59">
        <f ca="1">IF(BC59=0,0,RANK(BF59,$BF$11:$BF$100,0)+(COUNTIF($BF59:$BF$100,BF59)-1))</f>
        <v>54</v>
      </c>
      <c r="BE59" s="89" t="str">
        <f t="shared" ca="1" si="6"/>
        <v>130501</v>
      </c>
      <c r="BF59" s="89">
        <f t="shared" ca="1" si="7"/>
        <v>13050118</v>
      </c>
      <c r="BG59" s="89">
        <f t="shared" ca="1" si="8"/>
        <v>13</v>
      </c>
      <c r="BH59" s="89">
        <f t="shared" ca="1" si="9"/>
        <v>1</v>
      </c>
      <c r="BI59" s="89" t="str">
        <f t="shared" ca="1" si="10"/>
        <v>B1011</v>
      </c>
      <c r="BJ59" s="89">
        <f t="shared" ca="1" si="11"/>
        <v>12</v>
      </c>
      <c r="BK59" s="89">
        <f t="shared" ca="1" si="12"/>
        <v>18</v>
      </c>
      <c r="BL59" s="89">
        <f t="shared" ca="1" si="13"/>
        <v>78</v>
      </c>
      <c r="BM59" s="89">
        <f t="shared" ca="1" si="14"/>
        <v>20</v>
      </c>
      <c r="BN59" s="89" t="str">
        <f t="shared" ca="1" si="15"/>
        <v>S5!B998:T1010</v>
      </c>
      <c r="BO59" s="89" t="str">
        <f t="shared" ca="1" si="16"/>
        <v>c</v>
      </c>
      <c r="BP59" s="89" t="str">
        <f t="shared" ca="1" si="17"/>
        <v/>
      </c>
      <c r="BQ59" s="89" t="str">
        <f t="shared" ca="1" si="18"/>
        <v/>
      </c>
      <c r="BR59" s="87" t="str">
        <f t="shared" ca="1" si="19"/>
        <v/>
      </c>
      <c r="BS59" s="89" t="str">
        <f t="shared" ca="1" si="20"/>
        <v/>
      </c>
      <c r="BT59" s="89" t="str">
        <f t="shared" ca="1" si="21"/>
        <v/>
      </c>
      <c r="BU59" s="89" t="str">
        <f t="shared" ca="1" si="22"/>
        <v/>
      </c>
      <c r="BV59" s="87" t="str">
        <f t="shared" ca="1" si="23"/>
        <v>c</v>
      </c>
      <c r="BW59" s="87" t="str">
        <f t="shared" ca="1" si="24"/>
        <v>13050118</v>
      </c>
      <c r="BX59" s="89" t="str">
        <f t="shared" ca="1" si="25"/>
        <v>33</v>
      </c>
    </row>
    <row r="60" spans="1:76" ht="13">
      <c r="A60" s="90" t="str">
        <f t="shared" si="2"/>
        <v/>
      </c>
      <c r="B60" s="98" t="s">
        <v>307</v>
      </c>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BA60" s="91">
        <f t="shared" ca="1" si="3"/>
        <v>1012</v>
      </c>
      <c r="BB60" s="88" t="str">
        <f t="shared" ca="1" si="4"/>
        <v>A998:A2000</v>
      </c>
      <c r="BC60" s="89" t="str">
        <f t="shared" ca="1" si="5"/>
        <v>B1012</v>
      </c>
      <c r="BD60">
        <f ca="1">IF(BC60=0,0,RANK(BF60,$BF$11:$BF$100,0)+(COUNTIF($BF60:$BF$100,BF60)-1))</f>
        <v>8</v>
      </c>
      <c r="BE60" s="89" t="str">
        <f t="shared" ca="1" si="6"/>
        <v>240504</v>
      </c>
      <c r="BF60" s="89">
        <f t="shared" ca="1" si="7"/>
        <v>24050412</v>
      </c>
      <c r="BG60" s="89">
        <f t="shared" ca="1" si="8"/>
        <v>24</v>
      </c>
      <c r="BH60" s="89">
        <f t="shared" ca="1" si="9"/>
        <v>4</v>
      </c>
      <c r="BI60" s="89" t="str">
        <f t="shared" ca="1" si="10"/>
        <v>B1037</v>
      </c>
      <c r="BJ60" s="89">
        <f t="shared" ca="1" si="11"/>
        <v>5</v>
      </c>
      <c r="BK60" s="89">
        <f t="shared" ca="1" si="12"/>
        <v>12</v>
      </c>
      <c r="BL60" s="89">
        <f t="shared" ca="1" si="13"/>
        <v>60</v>
      </c>
      <c r="BM60" s="89">
        <f t="shared" ca="1" si="14"/>
        <v>14</v>
      </c>
      <c r="BN60" s="89" t="str">
        <f t="shared" ca="1" si="15"/>
        <v>S5!B1013:N1036</v>
      </c>
      <c r="BO60" s="89" t="str">
        <f t="shared" ca="1" si="16"/>
        <v>c</v>
      </c>
      <c r="BP60" s="89" t="str">
        <f t="shared" ca="1" si="17"/>
        <v/>
      </c>
      <c r="BQ60" s="89" t="str">
        <f t="shared" ca="1" si="18"/>
        <v/>
      </c>
      <c r="BR60" s="87" t="str">
        <f t="shared" ca="1" si="19"/>
        <v/>
      </c>
      <c r="BS60" s="89" t="str">
        <f t="shared" ca="1" si="20"/>
        <v/>
      </c>
      <c r="BT60" s="89" t="str">
        <f t="shared" ca="1" si="21"/>
        <v/>
      </c>
      <c r="BU60" s="89" t="str">
        <f t="shared" ca="1" si="22"/>
        <v/>
      </c>
      <c r="BV60" s="87" t="str">
        <f t="shared" ca="1" si="23"/>
        <v>c</v>
      </c>
      <c r="BW60" s="87" t="str">
        <f t="shared" ca="1" si="24"/>
        <v>24050412</v>
      </c>
      <c r="BX60" s="89" t="str">
        <f t="shared" ca="1" si="25"/>
        <v>44</v>
      </c>
    </row>
    <row r="61" spans="1:76" ht="13">
      <c r="A61" s="90">
        <f t="shared" si="2"/>
        <v>61</v>
      </c>
      <c r="B61" s="98" t="s">
        <v>308</v>
      </c>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BA61" s="91">
        <f t="shared" ca="1" si="3"/>
        <v>1038</v>
      </c>
      <c r="BB61" s="88" t="str">
        <f t="shared" ca="1" si="4"/>
        <v>A1013:A2000</v>
      </c>
      <c r="BC61" s="89" t="str">
        <f t="shared" ca="1" si="5"/>
        <v>B1038</v>
      </c>
      <c r="BD61">
        <f ca="1">IF(BC61=0,0,RANK(BF61,$BF$11:$BF$100,0)+(COUNTIF($BF61:$BF$100,BF61)-1))</f>
        <v>48</v>
      </c>
      <c r="BE61" s="89" t="str">
        <f t="shared" ca="1" si="6"/>
        <v>150503</v>
      </c>
      <c r="BF61" s="89">
        <f t="shared" ca="1" si="7"/>
        <v>15050306</v>
      </c>
      <c r="BG61" s="89">
        <f t="shared" ca="1" si="8"/>
        <v>15</v>
      </c>
      <c r="BH61" s="89">
        <f t="shared" ca="1" si="9"/>
        <v>3</v>
      </c>
      <c r="BI61" s="89" t="str">
        <f t="shared" ca="1" si="10"/>
        <v>B1054</v>
      </c>
      <c r="BJ61" s="89">
        <f t="shared" ca="1" si="11"/>
        <v>4</v>
      </c>
      <c r="BK61" s="89">
        <f t="shared" ca="1" si="12"/>
        <v>6</v>
      </c>
      <c r="BL61" s="89">
        <f t="shared" ca="1" si="13"/>
        <v>30</v>
      </c>
      <c r="BM61" s="89">
        <f t="shared" ca="1" si="14"/>
        <v>8</v>
      </c>
      <c r="BN61" s="89" t="str">
        <f t="shared" ca="1" si="15"/>
        <v>S5!B1039:H1053</v>
      </c>
      <c r="BO61" s="89" t="str">
        <f t="shared" ca="1" si="16"/>
        <v>c</v>
      </c>
      <c r="BP61" s="89" t="str">
        <f t="shared" ca="1" si="17"/>
        <v/>
      </c>
      <c r="BQ61" s="89" t="str">
        <f t="shared" ca="1" si="18"/>
        <v/>
      </c>
      <c r="BR61" s="87" t="str">
        <f t="shared" ca="1" si="19"/>
        <v/>
      </c>
      <c r="BS61" s="89" t="str">
        <f t="shared" ca="1" si="20"/>
        <v/>
      </c>
      <c r="BT61" s="89" t="str">
        <f t="shared" ca="1" si="21"/>
        <v/>
      </c>
      <c r="BU61" s="89" t="str">
        <f t="shared" ca="1" si="22"/>
        <v/>
      </c>
      <c r="BV61" s="87" t="str">
        <f t="shared" ca="1" si="23"/>
        <v>c</v>
      </c>
      <c r="BW61" s="87" t="str">
        <f t="shared" ca="1" si="24"/>
        <v>15050306</v>
      </c>
      <c r="BX61" s="89" t="str">
        <f t="shared" ca="1" si="25"/>
        <v>13</v>
      </c>
    </row>
    <row r="62" spans="1:76" ht="13">
      <c r="A62" s="90" t="str">
        <f t="shared" si="2"/>
        <v/>
      </c>
      <c r="B62" s="98">
        <v>1</v>
      </c>
      <c r="C62" s="94">
        <v>1</v>
      </c>
      <c r="D62" s="94" t="s">
        <v>210</v>
      </c>
      <c r="E62" s="94" t="s">
        <v>210</v>
      </c>
      <c r="F62" s="94">
        <v>-4</v>
      </c>
      <c r="G62" s="94">
        <v>2</v>
      </c>
      <c r="H62" s="94" t="s">
        <v>210</v>
      </c>
      <c r="I62" s="94" t="s">
        <v>210</v>
      </c>
      <c r="J62" s="94">
        <v>-1</v>
      </c>
      <c r="K62" s="94">
        <v>-3</v>
      </c>
      <c r="L62" s="94" t="s">
        <v>210</v>
      </c>
      <c r="M62" s="94">
        <v>5</v>
      </c>
      <c r="N62" s="94" t="s">
        <v>210</v>
      </c>
      <c r="O62" s="94">
        <v>4</v>
      </c>
      <c r="P62" s="94" t="s">
        <v>210</v>
      </c>
      <c r="Q62" s="94" t="s">
        <v>210</v>
      </c>
      <c r="R62" s="94">
        <v>-2</v>
      </c>
      <c r="S62" s="94">
        <v>3</v>
      </c>
      <c r="T62" s="94" t="s">
        <v>210</v>
      </c>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BA62" s="91">
        <f t="shared" ca="1" si="3"/>
        <v>1055</v>
      </c>
      <c r="BB62" s="88" t="str">
        <f t="shared" ca="1" si="4"/>
        <v>A1039:A2000</v>
      </c>
      <c r="BC62" s="89" t="str">
        <f t="shared" ca="1" si="5"/>
        <v>B1055</v>
      </c>
      <c r="BD62">
        <f ca="1">IF(BC62=0,0,RANK(BF62,$BF$11:$BF$100,0)+(COUNTIF($BF62:$BF$100,BF62)-1))</f>
        <v>1</v>
      </c>
      <c r="BE62" s="89" t="str">
        <f t="shared" ca="1" si="6"/>
        <v>300506</v>
      </c>
      <c r="BF62" s="89">
        <f t="shared" ca="1" si="7"/>
        <v>30050612</v>
      </c>
      <c r="BG62" s="89">
        <f t="shared" ca="1" si="8"/>
        <v>30</v>
      </c>
      <c r="BH62" s="89">
        <f t="shared" ca="1" si="9"/>
        <v>6</v>
      </c>
      <c r="BI62" s="89" t="str">
        <f t="shared" ca="1" si="10"/>
        <v>B1086</v>
      </c>
      <c r="BJ62" s="89">
        <f t="shared" ca="1" si="11"/>
        <v>4</v>
      </c>
      <c r="BK62" s="89">
        <f t="shared" ca="1" si="12"/>
        <v>12</v>
      </c>
      <c r="BL62" s="89">
        <f t="shared" ca="1" si="13"/>
        <v>60</v>
      </c>
      <c r="BM62" s="89">
        <f t="shared" ca="1" si="14"/>
        <v>14</v>
      </c>
      <c r="BN62" s="89" t="str">
        <f t="shared" ca="1" si="15"/>
        <v>S5!B1056:N1085</v>
      </c>
      <c r="BO62" s="89" t="str">
        <f t="shared" ca="1" si="16"/>
        <v>c</v>
      </c>
      <c r="BP62" s="89" t="str">
        <f t="shared" ca="1" si="17"/>
        <v/>
      </c>
      <c r="BQ62" s="89" t="str">
        <f t="shared" ca="1" si="18"/>
        <v/>
      </c>
      <c r="BR62" s="87" t="str">
        <f t="shared" ca="1" si="19"/>
        <v/>
      </c>
      <c r="BS62" s="89" t="str">
        <f t="shared" ca="1" si="20"/>
        <v/>
      </c>
      <c r="BT62" s="89" t="str">
        <f t="shared" ca="1" si="21"/>
        <v/>
      </c>
      <c r="BU62" s="89" t="str">
        <f t="shared" ca="1" si="22"/>
        <v/>
      </c>
      <c r="BV62" s="87" t="str">
        <f t="shared" ca="1" si="23"/>
        <v>c</v>
      </c>
      <c r="BW62" s="87" t="str">
        <f t="shared" ca="1" si="24"/>
        <v>30050612</v>
      </c>
      <c r="BX62" s="89" t="str">
        <f t="shared" ca="1" si="25"/>
        <v>44</v>
      </c>
    </row>
    <row r="63" spans="1:76" ht="13">
      <c r="A63" s="90" t="str">
        <f t="shared" si="2"/>
        <v/>
      </c>
      <c r="B63" s="98">
        <v>2</v>
      </c>
      <c r="C63" s="94">
        <v>3</v>
      </c>
      <c r="D63" s="94" t="s">
        <v>210</v>
      </c>
      <c r="E63" s="94" t="s">
        <v>210</v>
      </c>
      <c r="F63" s="94">
        <v>1</v>
      </c>
      <c r="G63" s="94">
        <v>-4</v>
      </c>
      <c r="H63" s="94" t="s">
        <v>210</v>
      </c>
      <c r="I63" s="94" t="s">
        <v>210</v>
      </c>
      <c r="J63" s="94">
        <v>2</v>
      </c>
      <c r="K63" s="94">
        <v>-1</v>
      </c>
      <c r="L63" s="94" t="s">
        <v>210</v>
      </c>
      <c r="M63" s="94" t="s">
        <v>210</v>
      </c>
      <c r="N63" s="94">
        <v>4</v>
      </c>
      <c r="O63" s="94">
        <v>-2</v>
      </c>
      <c r="P63" s="94" t="s">
        <v>210</v>
      </c>
      <c r="Q63" s="94">
        <v>5</v>
      </c>
      <c r="R63" s="94" t="s">
        <v>210</v>
      </c>
      <c r="S63" s="94">
        <v>-3</v>
      </c>
      <c r="T63" s="94" t="s">
        <v>210</v>
      </c>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BA63" s="91">
        <f t="shared" ca="1" si="3"/>
        <v>1087</v>
      </c>
      <c r="BB63" s="88" t="str">
        <f t="shared" ca="1" si="4"/>
        <v>A1056:A2000</v>
      </c>
      <c r="BC63" s="89" t="str">
        <f t="shared" ca="1" si="5"/>
        <v>B1087</v>
      </c>
      <c r="BD63">
        <f ca="1">IF(BC63=0,0,RANK(BF63,$BF$11:$BF$100,0)+(COUNTIF($BF63:$BF$100,BF63)-1))</f>
        <v>10</v>
      </c>
      <c r="BE63" s="89" t="str">
        <f t="shared" ca="1" si="6"/>
        <v>240501</v>
      </c>
      <c r="BF63" s="89">
        <f t="shared" ca="1" si="7"/>
        <v>24050128</v>
      </c>
      <c r="BG63" s="89">
        <f t="shared" ca="1" si="8"/>
        <v>24</v>
      </c>
      <c r="BH63" s="89">
        <f t="shared" ca="1" si="9"/>
        <v>1</v>
      </c>
      <c r="BI63" s="89" t="str">
        <f t="shared" ca="1" si="10"/>
        <v>B1112</v>
      </c>
      <c r="BJ63" s="89">
        <f t="shared" ca="1" si="11"/>
        <v>23</v>
      </c>
      <c r="BK63" s="89">
        <f t="shared" ca="1" si="12"/>
        <v>28</v>
      </c>
      <c r="BL63" s="89">
        <f t="shared" ca="1" si="13"/>
        <v>276</v>
      </c>
      <c r="BM63" s="89">
        <f t="shared" ca="1" si="14"/>
        <v>30</v>
      </c>
      <c r="BN63" s="89" t="str">
        <f ca="1">IF(BA63=0,0,CONCATENATE("S5!B",BA63+1,":",HLOOKUP(BM63,$B$1:$AZ$2,2,FALSE),BA63+BG63))</f>
        <v>S5!B1088:AD1111</v>
      </c>
      <c r="BO63" s="89" t="str">
        <f t="shared" ca="1" si="16"/>
        <v>e</v>
      </c>
      <c r="BP63" s="89" t="str">
        <f t="shared" ca="1" si="17"/>
        <v>b</v>
      </c>
      <c r="BQ63" s="89" t="str">
        <f t="shared" ca="1" si="18"/>
        <v/>
      </c>
      <c r="BR63" s="87" t="str">
        <f t="shared" ca="1" si="19"/>
        <v/>
      </c>
      <c r="BS63" s="89" t="str">
        <f t="shared" ca="1" si="20"/>
        <v/>
      </c>
      <c r="BT63" s="89" t="str">
        <f t="shared" ca="1" si="21"/>
        <v/>
      </c>
      <c r="BU63" s="89" t="str">
        <f t="shared" ca="1" si="22"/>
        <v>X</v>
      </c>
      <c r="BV63" s="87" t="str">
        <f t="shared" ca="1" si="23"/>
        <v/>
      </c>
      <c r="BW63" s="87" t="str">
        <f t="shared" ca="1" si="24"/>
        <v>24050128</v>
      </c>
      <c r="BX63" s="89">
        <f t="shared" ca="1" si="25"/>
        <v>0</v>
      </c>
    </row>
    <row r="64" spans="1:76" ht="13">
      <c r="A64" s="90" t="str">
        <f t="shared" si="2"/>
        <v/>
      </c>
      <c r="B64" s="98">
        <v>3</v>
      </c>
      <c r="C64" s="94">
        <v>-4</v>
      </c>
      <c r="D64" s="94" t="s">
        <v>210</v>
      </c>
      <c r="E64" s="94">
        <v>5</v>
      </c>
      <c r="F64" s="94" t="s">
        <v>210</v>
      </c>
      <c r="G64" s="94">
        <v>-2</v>
      </c>
      <c r="H64" s="94" t="s">
        <v>210</v>
      </c>
      <c r="I64" s="94" t="s">
        <v>210</v>
      </c>
      <c r="J64" s="94">
        <v>3</v>
      </c>
      <c r="K64" s="94">
        <v>1</v>
      </c>
      <c r="L64" s="94" t="s">
        <v>210</v>
      </c>
      <c r="M64" s="94" t="s">
        <v>210</v>
      </c>
      <c r="N64" s="94">
        <v>2</v>
      </c>
      <c r="O64" s="94">
        <v>-3</v>
      </c>
      <c r="P64" s="94" t="s">
        <v>210</v>
      </c>
      <c r="Q64" s="94" t="s">
        <v>210</v>
      </c>
      <c r="R64" s="94">
        <v>-1</v>
      </c>
      <c r="S64" s="94">
        <v>4</v>
      </c>
      <c r="T64" s="94" t="s">
        <v>210</v>
      </c>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BA64" s="91">
        <f t="shared" ca="1" si="3"/>
        <v>1113</v>
      </c>
      <c r="BB64" s="88" t="str">
        <f t="shared" ca="1" si="4"/>
        <v>A1088:A2000</v>
      </c>
      <c r="BC64" s="89" t="str">
        <f t="shared" ca="1" si="5"/>
        <v>B1113</v>
      </c>
      <c r="BD64">
        <f ca="1">IF(BC64=0,0,RANK(BF64,$BF$11:$BF$100,0)+(COUNTIF($BF64:$BF$100,BF64)-1))</f>
        <v>9</v>
      </c>
      <c r="BE64" s="89" t="str">
        <f t="shared" ca="1" si="6"/>
        <v>240501</v>
      </c>
      <c r="BF64" s="89">
        <f t="shared" ca="1" si="7"/>
        <v>24050128</v>
      </c>
      <c r="BG64" s="89">
        <f t="shared" ca="1" si="8"/>
        <v>24</v>
      </c>
      <c r="BH64" s="89">
        <f t="shared" ca="1" si="9"/>
        <v>1</v>
      </c>
      <c r="BI64" s="89" t="str">
        <f t="shared" ca="1" si="10"/>
        <v>B1138</v>
      </c>
      <c r="BJ64" s="89">
        <f t="shared" ca="1" si="11"/>
        <v>23</v>
      </c>
      <c r="BK64" s="89">
        <f t="shared" ca="1" si="12"/>
        <v>28</v>
      </c>
      <c r="BL64" s="89">
        <f t="shared" ca="1" si="13"/>
        <v>276</v>
      </c>
      <c r="BM64" s="89">
        <f t="shared" ca="1" si="14"/>
        <v>30</v>
      </c>
      <c r="BN64" s="89" t="str">
        <f t="shared" ca="1" si="15"/>
        <v>S5!B1114:AD1137</v>
      </c>
      <c r="BO64" s="89" t="str">
        <f t="shared" ca="1" si="16"/>
        <v>e</v>
      </c>
      <c r="BP64" s="89" t="str">
        <f t="shared" ca="1" si="17"/>
        <v>b</v>
      </c>
      <c r="BQ64" s="89" t="str">
        <f t="shared" ca="1" si="18"/>
        <v/>
      </c>
      <c r="BR64" s="87" t="str">
        <f t="shared" ca="1" si="19"/>
        <v/>
      </c>
      <c r="BS64" s="89" t="str">
        <f t="shared" ca="1" si="20"/>
        <v/>
      </c>
      <c r="BT64" s="89" t="str">
        <f t="shared" ca="1" si="21"/>
        <v/>
      </c>
      <c r="BU64" s="89" t="str">
        <f t="shared" ca="1" si="22"/>
        <v/>
      </c>
      <c r="BV64" s="87" t="str">
        <f t="shared" ca="1" si="23"/>
        <v/>
      </c>
      <c r="BW64" s="87" t="str">
        <f t="shared" ca="1" si="24"/>
        <v>24050128</v>
      </c>
      <c r="BX64" s="89">
        <f t="shared" ca="1" si="25"/>
        <v>0</v>
      </c>
    </row>
    <row r="65" spans="1:76" ht="13">
      <c r="A65" s="90" t="str">
        <f t="shared" si="2"/>
        <v/>
      </c>
      <c r="B65" s="98">
        <v>4</v>
      </c>
      <c r="C65" s="94">
        <v>5</v>
      </c>
      <c r="D65" s="94" t="s">
        <v>210</v>
      </c>
      <c r="E65" s="94" t="s">
        <v>210</v>
      </c>
      <c r="F65" s="94">
        <v>3</v>
      </c>
      <c r="G65" s="94">
        <v>-1</v>
      </c>
      <c r="H65" s="94" t="s">
        <v>210</v>
      </c>
      <c r="I65" s="94" t="s">
        <v>210</v>
      </c>
      <c r="J65" s="94">
        <v>-2</v>
      </c>
      <c r="K65" s="94">
        <v>4</v>
      </c>
      <c r="L65" s="94" t="s">
        <v>210</v>
      </c>
      <c r="M65" s="94" t="s">
        <v>210</v>
      </c>
      <c r="N65" s="94">
        <v>-3</v>
      </c>
      <c r="O65" s="94">
        <v>1</v>
      </c>
      <c r="P65" s="94" t="s">
        <v>210</v>
      </c>
      <c r="Q65" s="94" t="s">
        <v>210</v>
      </c>
      <c r="R65" s="94">
        <v>2</v>
      </c>
      <c r="S65" s="94">
        <v>-4</v>
      </c>
      <c r="T65" s="94" t="s">
        <v>210</v>
      </c>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BA65" s="91">
        <f t="shared" ca="1" si="3"/>
        <v>1139</v>
      </c>
      <c r="BB65" s="88" t="str">
        <f ca="1">IF(BA64=0,"",CONCATENATE("A",BA64+1,":A",BB$10))</f>
        <v>A1114:A2000</v>
      </c>
      <c r="BC65" s="89" t="str">
        <f t="shared" ca="1" si="5"/>
        <v>B1139</v>
      </c>
      <c r="BD65">
        <f ca="1">IF(BC65=0,0,RANK(BF65,$BF$11:$BF$100,0)+(COUNTIF($BF65:$BF$100,BF65)-1))</f>
        <v>2</v>
      </c>
      <c r="BE65" s="89" t="str">
        <f t="shared" ca="1" si="6"/>
        <v>280504</v>
      </c>
      <c r="BF65" s="89">
        <f t="shared" ca="1" si="7"/>
        <v>28050418</v>
      </c>
      <c r="BG65" s="89">
        <f t="shared" ca="1" si="8"/>
        <v>28</v>
      </c>
      <c r="BH65" s="89">
        <f t="shared" ca="1" si="9"/>
        <v>4</v>
      </c>
      <c r="BI65" s="89" t="str">
        <f t="shared" ca="1" si="10"/>
        <v>B1168</v>
      </c>
      <c r="BJ65" s="89">
        <f t="shared" ca="1" si="11"/>
        <v>6</v>
      </c>
      <c r="BK65" s="89">
        <f t="shared" ca="1" si="12"/>
        <v>18</v>
      </c>
      <c r="BL65" s="89">
        <f t="shared" ca="1" si="13"/>
        <v>84</v>
      </c>
      <c r="BM65" s="89">
        <f t="shared" ca="1" si="14"/>
        <v>20</v>
      </c>
      <c r="BN65" s="89" t="str">
        <f t="shared" ca="1" si="15"/>
        <v>S5!B1140:T1167</v>
      </c>
      <c r="BO65" s="89" t="str">
        <f t="shared" ca="1" si="16"/>
        <v>c</v>
      </c>
      <c r="BP65" s="89" t="str">
        <f t="shared" ca="1" si="17"/>
        <v/>
      </c>
      <c r="BQ65" s="89" t="str">
        <f t="shared" ca="1" si="18"/>
        <v/>
      </c>
      <c r="BR65" s="87" t="str">
        <f t="shared" ca="1" si="19"/>
        <v/>
      </c>
      <c r="BS65" s="89" t="str">
        <f t="shared" ca="1" si="20"/>
        <v/>
      </c>
      <c r="BT65" s="89" t="str">
        <f t="shared" ca="1" si="21"/>
        <v/>
      </c>
      <c r="BU65" s="89" t="str">
        <f t="shared" ca="1" si="22"/>
        <v/>
      </c>
      <c r="BV65" s="87" t="str">
        <f t="shared" ca="1" si="23"/>
        <v>c</v>
      </c>
      <c r="BW65" s="87" t="str">
        <f t="shared" ca="1" si="24"/>
        <v>28050418</v>
      </c>
      <c r="BX65" s="89" t="str">
        <f t="shared" ca="1" si="25"/>
        <v>24</v>
      </c>
    </row>
    <row r="66" spans="1:76" ht="13">
      <c r="A66" s="90" t="str">
        <f t="shared" si="2"/>
        <v/>
      </c>
      <c r="B66" s="98">
        <v>5</v>
      </c>
      <c r="C66" s="94">
        <v>-1</v>
      </c>
      <c r="D66" s="94" t="s">
        <v>210</v>
      </c>
      <c r="E66" s="94" t="s">
        <v>210</v>
      </c>
      <c r="F66" s="94">
        <v>-3</v>
      </c>
      <c r="G66" s="94">
        <v>4</v>
      </c>
      <c r="H66" s="94" t="s">
        <v>210</v>
      </c>
      <c r="I66" s="94">
        <v>5</v>
      </c>
      <c r="J66" s="94" t="s">
        <v>210</v>
      </c>
      <c r="K66" s="94">
        <v>-2</v>
      </c>
      <c r="L66" s="94" t="s">
        <v>210</v>
      </c>
      <c r="M66" s="94" t="s">
        <v>210</v>
      </c>
      <c r="N66" s="94">
        <v>1</v>
      </c>
      <c r="O66" s="94">
        <v>3</v>
      </c>
      <c r="P66" s="94" t="s">
        <v>210</v>
      </c>
      <c r="Q66" s="94" t="s">
        <v>210</v>
      </c>
      <c r="R66" s="94">
        <v>-4</v>
      </c>
      <c r="S66" s="94">
        <v>2</v>
      </c>
      <c r="T66" s="94" t="s">
        <v>210</v>
      </c>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BA66" s="91">
        <f t="shared" ca="1" si="3"/>
        <v>1169</v>
      </c>
      <c r="BB66" s="88" t="str">
        <f t="shared" ca="1" si="4"/>
        <v>A1140:A2000</v>
      </c>
      <c r="BC66" s="89" t="str">
        <f t="shared" ca="1" si="5"/>
        <v>B1169</v>
      </c>
      <c r="BD66">
        <f ca="1">IF(BC66=0,0,RANK(BF66,$BF$11:$BF$100,0)+(COUNTIF($BF66:$BF$100,BF66)-1))</f>
        <v>55</v>
      </c>
      <c r="BE66" s="89" t="str">
        <f t="shared" ca="1" si="6"/>
        <v>130501</v>
      </c>
      <c r="BF66" s="89">
        <f t="shared" ca="1" si="7"/>
        <v>13050116</v>
      </c>
      <c r="BG66" s="89">
        <f t="shared" ca="1" si="8"/>
        <v>13</v>
      </c>
      <c r="BH66" s="89">
        <f t="shared" ca="1" si="9"/>
        <v>1</v>
      </c>
      <c r="BI66" s="89" t="str">
        <f t="shared" ca="1" si="10"/>
        <v>B1183</v>
      </c>
      <c r="BJ66" s="89">
        <f t="shared" ca="1" si="11"/>
        <v>12</v>
      </c>
      <c r="BK66" s="89">
        <f t="shared" ca="1" si="12"/>
        <v>16</v>
      </c>
      <c r="BL66" s="89" t="e">
        <f t="shared" ca="1" si="13"/>
        <v>#VALUE!</v>
      </c>
      <c r="BM66" s="89">
        <f t="shared" ca="1" si="14"/>
        <v>18</v>
      </c>
      <c r="BN66" s="89" t="str">
        <f t="shared" ca="1" si="15"/>
        <v>S5!B1170:R1182</v>
      </c>
      <c r="BO66" s="89" t="str">
        <f t="shared" ca="1" si="16"/>
        <v>s</v>
      </c>
      <c r="BP66" s="89" t="str">
        <f t="shared" ca="1" si="17"/>
        <v/>
      </c>
      <c r="BQ66" s="89" t="str">
        <f t="shared" ca="1" si="18"/>
        <v/>
      </c>
      <c r="BR66" s="87" t="str">
        <f t="shared" ca="1" si="19"/>
        <v/>
      </c>
      <c r="BS66" s="89" t="str">
        <f t="shared" ca="1" si="20"/>
        <v/>
      </c>
      <c r="BT66" s="89" t="str">
        <f t="shared" ca="1" si="21"/>
        <v/>
      </c>
      <c r="BU66" s="89" t="str">
        <f t="shared" ca="1" si="22"/>
        <v/>
      </c>
      <c r="BV66" s="87" t="str">
        <f t="shared" ca="1" si="23"/>
        <v/>
      </c>
      <c r="BW66" s="87" t="str">
        <f t="shared" ca="1" si="24"/>
        <v>13050116</v>
      </c>
      <c r="BX66" s="89">
        <f t="shared" ca="1" si="25"/>
        <v>0</v>
      </c>
    </row>
    <row r="67" spans="1:76" ht="13">
      <c r="A67" s="90" t="str">
        <f t="shared" si="2"/>
        <v/>
      </c>
      <c r="B67" s="98">
        <v>6</v>
      </c>
      <c r="C67" s="94">
        <v>2</v>
      </c>
      <c r="D67" s="94" t="s">
        <v>210</v>
      </c>
      <c r="E67" s="94" t="s">
        <v>210</v>
      </c>
      <c r="F67" s="94">
        <v>-1</v>
      </c>
      <c r="G67" s="94">
        <v>-3</v>
      </c>
      <c r="H67" s="94" t="s">
        <v>210</v>
      </c>
      <c r="I67" s="94" t="s">
        <v>210</v>
      </c>
      <c r="J67" s="94">
        <v>4</v>
      </c>
      <c r="K67" s="94">
        <v>5</v>
      </c>
      <c r="L67" s="94" t="s">
        <v>210</v>
      </c>
      <c r="M67" s="94" t="s">
        <v>210</v>
      </c>
      <c r="N67" s="94">
        <v>3</v>
      </c>
      <c r="O67" s="94">
        <v>-4</v>
      </c>
      <c r="P67" s="94" t="s">
        <v>210</v>
      </c>
      <c r="Q67" s="94" t="s">
        <v>210</v>
      </c>
      <c r="R67" s="94">
        <v>1</v>
      </c>
      <c r="S67" s="94">
        <v>-2</v>
      </c>
      <c r="T67" s="94" t="s">
        <v>210</v>
      </c>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BA67" s="91">
        <f t="shared" ca="1" si="3"/>
        <v>1184</v>
      </c>
      <c r="BB67" s="88" t="str">
        <f t="shared" ca="1" si="4"/>
        <v>A1170:A2000</v>
      </c>
      <c r="BC67" s="89" t="str">
        <f t="shared" ca="1" si="5"/>
        <v>B1184</v>
      </c>
      <c r="BD67">
        <f ca="1">IF(BC67=0,0,RANK(BF67,$BF$11:$BF$100,0)+(COUNTIF($BF67:$BF$100,BF67)-1))</f>
        <v>42</v>
      </c>
      <c r="BE67" s="89" t="str">
        <f t="shared" ca="1" si="6"/>
        <v>170503</v>
      </c>
      <c r="BF67" s="89">
        <f t="shared" ca="1" si="7"/>
        <v>17050308</v>
      </c>
      <c r="BG67" s="89">
        <f t="shared" ca="1" si="8"/>
        <v>17</v>
      </c>
      <c r="BH67" s="89">
        <f t="shared" ca="1" si="9"/>
        <v>3</v>
      </c>
      <c r="BI67" s="89" t="str">
        <f t="shared" ca="1" si="10"/>
        <v>B1202</v>
      </c>
      <c r="BJ67" s="89">
        <f t="shared" ca="1" si="11"/>
        <v>5</v>
      </c>
      <c r="BK67" s="89">
        <f t="shared" ca="1" si="12"/>
        <v>8</v>
      </c>
      <c r="BL67" s="89">
        <f t="shared" ca="1" si="13"/>
        <v>40</v>
      </c>
      <c r="BM67" s="89">
        <f t="shared" ca="1" si="14"/>
        <v>10</v>
      </c>
      <c r="BN67" s="89" t="str">
        <f t="shared" ca="1" si="15"/>
        <v>S5!B1185:J1201</v>
      </c>
      <c r="BO67" s="89" t="str">
        <f t="shared" ca="1" si="16"/>
        <v>c</v>
      </c>
      <c r="BP67" s="89" t="str">
        <f t="shared" ca="1" si="17"/>
        <v/>
      </c>
      <c r="BQ67" s="89" t="str">
        <f t="shared" ca="1" si="18"/>
        <v/>
      </c>
      <c r="BR67" s="87" t="str">
        <f t="shared" ca="1" si="19"/>
        <v/>
      </c>
      <c r="BS67" s="89" t="str">
        <f t="shared" ca="1" si="20"/>
        <v/>
      </c>
      <c r="BT67" s="89" t="str">
        <f t="shared" ca="1" si="21"/>
        <v/>
      </c>
      <c r="BU67" s="89" t="str">
        <f t="shared" ca="1" si="22"/>
        <v/>
      </c>
      <c r="BV67" s="87" t="str">
        <f t="shared" ca="1" si="23"/>
        <v>c</v>
      </c>
      <c r="BW67" s="87" t="str">
        <f t="shared" ca="1" si="24"/>
        <v>17050308</v>
      </c>
      <c r="BX67" s="89" t="str">
        <f t="shared" ca="1" si="25"/>
        <v>23</v>
      </c>
    </row>
    <row r="68" spans="1:76" ht="13">
      <c r="A68" s="90" t="str">
        <f t="shared" si="2"/>
        <v/>
      </c>
      <c r="B68" s="98">
        <v>7</v>
      </c>
      <c r="C68" s="94">
        <v>-3</v>
      </c>
      <c r="D68" s="94" t="s">
        <v>210</v>
      </c>
      <c r="E68" s="94" t="s">
        <v>210</v>
      </c>
      <c r="F68" s="94">
        <v>2</v>
      </c>
      <c r="G68" s="94">
        <v>1</v>
      </c>
      <c r="H68" s="94" t="s">
        <v>210</v>
      </c>
      <c r="I68" s="94" t="s">
        <v>210</v>
      </c>
      <c r="J68" s="94">
        <v>-4</v>
      </c>
      <c r="K68" s="94">
        <v>3</v>
      </c>
      <c r="L68" s="94" t="s">
        <v>210</v>
      </c>
      <c r="M68" s="94" t="s">
        <v>210</v>
      </c>
      <c r="N68" s="94">
        <v>-2</v>
      </c>
      <c r="O68" s="94">
        <v>5</v>
      </c>
      <c r="P68" s="94" t="s">
        <v>210</v>
      </c>
      <c r="Q68" s="94" t="s">
        <v>210</v>
      </c>
      <c r="R68" s="94">
        <v>4</v>
      </c>
      <c r="S68" s="94">
        <v>-1</v>
      </c>
      <c r="T68" s="94" t="s">
        <v>210</v>
      </c>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BA68" s="91">
        <f t="shared" ca="1" si="3"/>
        <v>1203</v>
      </c>
      <c r="BB68" s="88" t="str">
        <f t="shared" ca="1" si="4"/>
        <v>A1185:A2000</v>
      </c>
      <c r="BC68" s="89" t="str">
        <f t="shared" ca="1" si="5"/>
        <v>B1203</v>
      </c>
      <c r="BD68">
        <f ca="1">IF(BC68=0,0,RANK(BF68,$BF$11:$BF$100,0)+(COUNTIF($BF68:$BF$100,BF68)-1))</f>
        <v>41</v>
      </c>
      <c r="BE68" s="89" t="str">
        <f t="shared" ca="1" si="6"/>
        <v>170503</v>
      </c>
      <c r="BF68" s="89">
        <f t="shared" ca="1" si="7"/>
        <v>17050309</v>
      </c>
      <c r="BG68" s="89">
        <f t="shared" ca="1" si="8"/>
        <v>17</v>
      </c>
      <c r="BH68" s="89">
        <f t="shared" ca="1" si="9"/>
        <v>3</v>
      </c>
      <c r="BI68" s="89" t="str">
        <f t="shared" ca="1" si="10"/>
        <v>B1221</v>
      </c>
      <c r="BJ68" s="89">
        <f t="shared" ca="1" si="11"/>
        <v>5</v>
      </c>
      <c r="BK68" s="89">
        <f t="shared" ca="1" si="12"/>
        <v>9</v>
      </c>
      <c r="BL68" s="89">
        <f t="shared" ca="1" si="13"/>
        <v>40</v>
      </c>
      <c r="BM68" s="89">
        <f t="shared" ca="1" si="14"/>
        <v>11</v>
      </c>
      <c r="BN68" s="89" t="str">
        <f t="shared" ca="1" si="15"/>
        <v>S5!B1204:K1220</v>
      </c>
      <c r="BO68" s="89" t="str">
        <f t="shared" ca="1" si="16"/>
        <v>c</v>
      </c>
      <c r="BP68" s="89" t="str">
        <f t="shared" ca="1" si="17"/>
        <v/>
      </c>
      <c r="BQ68" s="89" t="str">
        <f t="shared" ca="1" si="18"/>
        <v/>
      </c>
      <c r="BR68" s="87" t="str">
        <f t="shared" ca="1" si="19"/>
        <v/>
      </c>
      <c r="BS68" s="89" t="str">
        <f t="shared" ca="1" si="20"/>
        <v/>
      </c>
      <c r="BT68" s="89" t="str">
        <f t="shared" ca="1" si="21"/>
        <v/>
      </c>
      <c r="BU68" s="89" t="str">
        <f t="shared" ca="1" si="22"/>
        <v/>
      </c>
      <c r="BV68" s="87" t="str">
        <f t="shared" ca="1" si="23"/>
        <v>c</v>
      </c>
      <c r="BW68" s="87" t="str">
        <f t="shared" ca="1" si="24"/>
        <v>17050309</v>
      </c>
      <c r="BX68" s="89" t="str">
        <f t="shared" ca="1" si="25"/>
        <v>33</v>
      </c>
    </row>
    <row r="69" spans="1:76" ht="13">
      <c r="A69" s="90" t="str">
        <f t="shared" si="2"/>
        <v/>
      </c>
      <c r="B69" s="98">
        <v>8</v>
      </c>
      <c r="C69" s="94">
        <v>-2</v>
      </c>
      <c r="D69" s="94" t="s">
        <v>210</v>
      </c>
      <c r="E69" s="94" t="s">
        <v>210</v>
      </c>
      <c r="F69" s="94">
        <v>4</v>
      </c>
      <c r="G69" s="94">
        <v>5</v>
      </c>
      <c r="H69" s="94" t="s">
        <v>210</v>
      </c>
      <c r="I69" s="94" t="s">
        <v>210</v>
      </c>
      <c r="J69" s="94">
        <v>-3</v>
      </c>
      <c r="K69" s="94">
        <v>-4</v>
      </c>
      <c r="L69" s="94" t="s">
        <v>210</v>
      </c>
      <c r="M69" s="94" t="s">
        <v>210</v>
      </c>
      <c r="N69" s="94">
        <v>-1</v>
      </c>
      <c r="O69" s="94">
        <v>2</v>
      </c>
      <c r="P69" s="94" t="s">
        <v>210</v>
      </c>
      <c r="Q69" s="94" t="s">
        <v>210</v>
      </c>
      <c r="R69" s="94">
        <v>3</v>
      </c>
      <c r="S69" s="94">
        <v>1</v>
      </c>
      <c r="T69" s="94" t="s">
        <v>210</v>
      </c>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BA69" s="91">
        <f t="shared" ca="1" si="3"/>
        <v>1222</v>
      </c>
      <c r="BB69" s="88" t="str">
        <f t="shared" ca="1" si="4"/>
        <v>A1204:A2000</v>
      </c>
      <c r="BC69" s="89" t="str">
        <f t="shared" ca="1" si="5"/>
        <v>B1222</v>
      </c>
      <c r="BD69">
        <f ca="1">IF(BC69=0,0,RANK(BF69,$BF$11:$BF$100,0)+(COUNTIF($BF69:$BF$100,BF69)-1))</f>
        <v>7</v>
      </c>
      <c r="BE69" s="89" t="str">
        <f t="shared" ca="1" si="6"/>
        <v>240504</v>
      </c>
      <c r="BF69" s="89">
        <f t="shared" ca="1" si="7"/>
        <v>24050412</v>
      </c>
      <c r="BG69" s="89">
        <f t="shared" ca="1" si="8"/>
        <v>24</v>
      </c>
      <c r="BH69" s="89">
        <f t="shared" ca="1" si="9"/>
        <v>4</v>
      </c>
      <c r="BI69" s="89" t="str">
        <f t="shared" ca="1" si="10"/>
        <v>B1247</v>
      </c>
      <c r="BJ69" s="89">
        <f t="shared" ca="1" si="11"/>
        <v>5</v>
      </c>
      <c r="BK69" s="89">
        <f t="shared" ca="1" si="12"/>
        <v>12</v>
      </c>
      <c r="BL69" s="89">
        <f t="shared" ca="1" si="13"/>
        <v>60</v>
      </c>
      <c r="BM69" s="89">
        <f t="shared" ca="1" si="14"/>
        <v>14</v>
      </c>
      <c r="BN69" s="89" t="str">
        <f t="shared" ca="1" si="15"/>
        <v>S5!B1223:N1246</v>
      </c>
      <c r="BO69" s="89" t="str">
        <f t="shared" ca="1" si="16"/>
        <v>c</v>
      </c>
      <c r="BP69" s="89" t="str">
        <f t="shared" ca="1" si="17"/>
        <v/>
      </c>
      <c r="BQ69" s="89" t="str">
        <f t="shared" ca="1" si="18"/>
        <v/>
      </c>
      <c r="BR69" s="87" t="str">
        <f t="shared" ca="1" si="19"/>
        <v/>
      </c>
      <c r="BS69" s="89" t="str">
        <f t="shared" ca="1" si="20"/>
        <v/>
      </c>
      <c r="BT69" s="89" t="str">
        <f t="shared" ca="1" si="21"/>
        <v/>
      </c>
      <c r="BU69" s="89" t="str">
        <f t="shared" ca="1" si="22"/>
        <v/>
      </c>
      <c r="BV69" s="87" t="str">
        <f t="shared" ca="1" si="23"/>
        <v>c</v>
      </c>
      <c r="BW69" s="87" t="str">
        <f t="shared" ca="1" si="24"/>
        <v>24050412</v>
      </c>
      <c r="BX69" s="89" t="str">
        <f t="shared" ca="1" si="25"/>
        <v>33</v>
      </c>
    </row>
    <row r="70" spans="1:76" ht="13">
      <c r="A70" s="90" t="str">
        <f t="shared" si="2"/>
        <v/>
      </c>
      <c r="B70" s="99">
        <v>9</v>
      </c>
      <c r="C70" s="92">
        <v>4</v>
      </c>
      <c r="D70" s="92" t="s">
        <v>210</v>
      </c>
      <c r="E70" s="92" t="s">
        <v>210</v>
      </c>
      <c r="F70" s="92">
        <v>-2</v>
      </c>
      <c r="G70" s="92">
        <v>3</v>
      </c>
      <c r="H70" s="92" t="s">
        <v>210</v>
      </c>
      <c r="I70" s="92" t="s">
        <v>210</v>
      </c>
      <c r="J70" s="92">
        <v>1</v>
      </c>
      <c r="K70" s="92">
        <v>2</v>
      </c>
      <c r="L70" s="92" t="s">
        <v>210</v>
      </c>
      <c r="M70" s="92" t="s">
        <v>210</v>
      </c>
      <c r="N70" s="92">
        <v>-4</v>
      </c>
      <c r="O70" s="92">
        <v>-1</v>
      </c>
      <c r="P70" s="92" t="s">
        <v>210</v>
      </c>
      <c r="Q70" s="92" t="s">
        <v>210</v>
      </c>
      <c r="R70" s="92">
        <v>-3</v>
      </c>
      <c r="S70" s="92">
        <v>5</v>
      </c>
      <c r="T70" s="92" t="s">
        <v>210</v>
      </c>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BA70" s="91">
        <f t="shared" ca="1" si="3"/>
        <v>1248</v>
      </c>
      <c r="BB70" s="88" t="str">
        <f t="shared" ca="1" si="4"/>
        <v>A1223:A2000</v>
      </c>
      <c r="BC70" s="89" t="str">
        <f t="shared" ca="1" si="5"/>
        <v>B1248</v>
      </c>
      <c r="BD70">
        <f ca="1">IF(BC70=0,0,RANK(BF70,$BF$11:$BF$100,0)+(COUNTIF($BF70:$BF$100,BF70)-1))</f>
        <v>59</v>
      </c>
      <c r="BE70" s="89" t="str">
        <f t="shared" ca="1" si="6"/>
        <v>100503</v>
      </c>
      <c r="BF70" s="89">
        <f t="shared" ca="1" si="7"/>
        <v>10050303</v>
      </c>
      <c r="BG70" s="89">
        <f t="shared" ca="1" si="8"/>
        <v>10</v>
      </c>
      <c r="BH70" s="89">
        <f t="shared" ca="1" si="9"/>
        <v>3</v>
      </c>
      <c r="BI70" s="89" t="str">
        <f t="shared" ca="1" si="10"/>
        <v>B1259</v>
      </c>
      <c r="BJ70" s="89">
        <f t="shared" ca="1" si="11"/>
        <v>3</v>
      </c>
      <c r="BK70" s="89">
        <f t="shared" ca="1" si="12"/>
        <v>3</v>
      </c>
      <c r="BL70" s="89">
        <f t="shared" ca="1" si="13"/>
        <v>15</v>
      </c>
      <c r="BM70" s="89">
        <f t="shared" ca="1" si="14"/>
        <v>5</v>
      </c>
      <c r="BN70" s="89" t="str">
        <f t="shared" ca="1" si="15"/>
        <v>S5!B1249:E1258</v>
      </c>
      <c r="BO70" s="89" t="str">
        <f t="shared" ca="1" si="16"/>
        <v>s</v>
      </c>
      <c r="BP70" s="89" t="str">
        <f t="shared" ca="1" si="17"/>
        <v/>
      </c>
      <c r="BQ70" s="89" t="str">
        <f t="shared" ca="1" si="18"/>
        <v/>
      </c>
      <c r="BR70" s="87" t="str">
        <f t="shared" ca="1" si="19"/>
        <v>x</v>
      </c>
      <c r="BS70" s="89" t="str">
        <f t="shared" ca="1" si="20"/>
        <v/>
      </c>
      <c r="BT70" s="89" t="str">
        <f t="shared" ca="1" si="21"/>
        <v/>
      </c>
      <c r="BU70" s="89" t="str">
        <f t="shared" ca="1" si="22"/>
        <v/>
      </c>
      <c r="BV70" s="87" t="str">
        <f t="shared" ca="1" si="23"/>
        <v/>
      </c>
      <c r="BW70" s="87" t="str">
        <f t="shared" ca="1" si="24"/>
        <v>10050303</v>
      </c>
      <c r="BX70" s="89">
        <f t="shared" ca="1" si="25"/>
        <v>0</v>
      </c>
    </row>
    <row r="71" spans="1:76" ht="13">
      <c r="A71" s="90" t="str">
        <f t="shared" si="2"/>
        <v/>
      </c>
      <c r="B71" s="98">
        <v>10</v>
      </c>
      <c r="C71" s="94" t="s">
        <v>210</v>
      </c>
      <c r="D71" s="94">
        <v>1</v>
      </c>
      <c r="E71" s="94">
        <v>-4</v>
      </c>
      <c r="F71" s="94" t="s">
        <v>210</v>
      </c>
      <c r="G71" s="94" t="s">
        <v>210</v>
      </c>
      <c r="H71" s="94">
        <v>2</v>
      </c>
      <c r="I71" s="94">
        <v>-1</v>
      </c>
      <c r="J71" s="94" t="s">
        <v>210</v>
      </c>
      <c r="K71" s="94" t="s">
        <v>210</v>
      </c>
      <c r="L71" s="94">
        <v>-3</v>
      </c>
      <c r="M71" s="94">
        <v>-5</v>
      </c>
      <c r="N71" s="94" t="s">
        <v>210</v>
      </c>
      <c r="O71" s="94" t="s">
        <v>210</v>
      </c>
      <c r="P71" s="94">
        <v>4</v>
      </c>
      <c r="Q71" s="94">
        <v>-2</v>
      </c>
      <c r="R71" s="94" t="s">
        <v>210</v>
      </c>
      <c r="S71" s="94" t="s">
        <v>210</v>
      </c>
      <c r="T71" s="94">
        <v>3</v>
      </c>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BA71" s="91">
        <f t="shared" ref="BA71:BA100" ca="1" si="26">IF(BA70=0,0,MIN(INDIRECT(BB71)))</f>
        <v>1260</v>
      </c>
      <c r="BB71" s="88" t="str">
        <f t="shared" ref="BB71:BB100" ca="1" si="27">IF(BA70=0,"",CONCATENATE("A",BA70+1,":A",BB$10))</f>
        <v>A1249:A2000</v>
      </c>
      <c r="BC71" s="89" t="str">
        <f t="shared" ref="BC71:BC100" ca="1" si="28">IF(BA71=0,0,CONCATENATE("B",BA71))</f>
        <v>B1260</v>
      </c>
      <c r="BD71">
        <f ca="1">IF(BC71=0,0,RANK(BF71,$BF$11:$BF$100,0)+(COUNTIF($BF71:$BF$100,BF71)-1))</f>
        <v>47</v>
      </c>
      <c r="BE71" s="89" t="str">
        <f t="shared" ref="BE71:BE100" ca="1" si="29">IF(BC71=0,0,LEFT(INDIRECT(BC71),6))</f>
        <v>150503</v>
      </c>
      <c r="BF71" s="89">
        <f t="shared" ref="BF71:BF100" ca="1" si="30">VALUE(BW71)</f>
        <v>15050306</v>
      </c>
      <c r="BG71" s="89">
        <f t="shared" ref="BG71:BG100" ca="1" si="31">IF(BA71=0,0,VALUE(LEFT(BE71,2)))</f>
        <v>15</v>
      </c>
      <c r="BH71" s="89">
        <f t="shared" ref="BH71:BH100" ca="1" si="32">IF(BA71=0,0,VALUE(MID(BE71,5,2)))</f>
        <v>3</v>
      </c>
      <c r="BI71" s="89" t="str">
        <f t="shared" ref="BI71:BI100" ca="1" si="33">IF(BA71=0,0,CONCATENATE("B",BA71+BG71+1))</f>
        <v>B1276</v>
      </c>
      <c r="BJ71" s="89">
        <f t="shared" ref="BJ71:BJ100" ca="1" si="34">IF(BA71=0,0,VALUE(MID(INDIRECT(BI71),4,2)))</f>
        <v>4</v>
      </c>
      <c r="BK71" s="89">
        <f t="shared" ref="BK71:BK100" ca="1" si="35">IF(BA71=0,0,VALUE(MID(INDIRECT(BI71),9,2)))</f>
        <v>6</v>
      </c>
      <c r="BL71" s="89">
        <f t="shared" ref="BL71:BL100" ca="1" si="36">IF(BA71=0,0,VALUE(MID(INDIRECT(BI71),14,3)))</f>
        <v>30</v>
      </c>
      <c r="BM71" s="89">
        <f t="shared" ref="BM71:BM100" ca="1" si="37">IF(BA71=0,0,2+BK71)</f>
        <v>8</v>
      </c>
      <c r="BN71" s="89" t="str">
        <f t="shared" ref="BN71:BN100" ca="1" si="38">IF(BA71=0,0,CONCATENATE("S5!B",BA71+1,":",HLOOKUP(BM71,$B$1:$AZ$2,2,FALSE),BA71+BG71))</f>
        <v>S5!B1261:H1275</v>
      </c>
      <c r="BO71" s="89" t="str">
        <f t="shared" ref="BO71:BO100" ca="1" si="39">IF(BA71=0,0,IF(BV71="c","c",IF(ISERROR(FIND("s",INDIRECT($BC71))),IF(ISERROR(FIND("e",INDIRECT($BC71))),"L","e"),"s")))</f>
        <v>c</v>
      </c>
      <c r="BP71" s="89" t="str">
        <f t="shared" ref="BP71:BP100" ca="1" si="40">IF(BA71=0,0,IF(ISERROR(FIND("b",INDIRECT($BC71))),IF(ISERROR(FIND("w",INDIRECT($BC71))),"","w"),"b"))</f>
        <v/>
      </c>
      <c r="BQ71" s="89" t="str">
        <f t="shared" ref="BQ71:BQ100" ca="1" si="41">IF(BA71=0,0,IF(ISERROR(FIND("w",INDIRECT($BC71))),"","w"))</f>
        <v/>
      </c>
      <c r="BR71" s="87" t="str">
        <f t="shared" ref="BR71:BR100" ca="1" si="42">IF(BA71=0,0,IF(ISERROR(FIND("x",INDIRECT($BC71))),IF(ISERROR(FIND("E",INDIRECT($BC71))),"","E"),"x"))</f>
        <v/>
      </c>
      <c r="BS71" s="89" t="str">
        <f t="shared" ref="BS71:BS100" ca="1" si="43">IF(BA71=0,0,IF(ISERROR(FIND("a",INDIRECT($BC71))),"","a"))</f>
        <v/>
      </c>
      <c r="BT71" s="89" t="str">
        <f t="shared" ref="BT71:BT100" ca="1" si="44">IF(BA71=0,0,IF(ISERROR(FIND("E",INDIRECT($BC71))),"","E"))</f>
        <v/>
      </c>
      <c r="BU71" s="89" t="str">
        <f t="shared" ref="BU71:BU100" ca="1" si="45">IF(BA71=0,0,IF(ISERROR(FIND("X",INDIRECT($BC71))),"","X"))</f>
        <v/>
      </c>
      <c r="BV71" s="87" t="str">
        <f t="shared" ref="BV71:BV100" ca="1" si="46">IF(BA71=0,0,IF(ISERROR(FIND("c",INDIRECT($BC71))),"","c"))</f>
        <v>c</v>
      </c>
      <c r="BW71" s="87" t="str">
        <f t="shared" ref="BW71:BW100" ca="1" si="47">CONCATENATE(BE71,IF(BK71&lt;10,"0",""),BK71)</f>
        <v>15050306</v>
      </c>
      <c r="BX71" s="89" t="str">
        <f t="shared" ref="BX71:BX100" ca="1" si="48">IF(BV71="c",RIGHT(INDIRECT(BC71),2),0)</f>
        <v>33</v>
      </c>
    </row>
    <row r="72" spans="1:76" ht="13">
      <c r="A72" s="90" t="str">
        <f t="shared" si="2"/>
        <v/>
      </c>
      <c r="B72" s="98">
        <v>11</v>
      </c>
      <c r="C72" s="94" t="s">
        <v>210</v>
      </c>
      <c r="D72" s="94">
        <v>3</v>
      </c>
      <c r="E72" s="94">
        <v>1</v>
      </c>
      <c r="F72" s="94" t="s">
        <v>210</v>
      </c>
      <c r="G72" s="94" t="s">
        <v>210</v>
      </c>
      <c r="H72" s="94">
        <v>-4</v>
      </c>
      <c r="I72" s="94">
        <v>2</v>
      </c>
      <c r="J72" s="94" t="s">
        <v>210</v>
      </c>
      <c r="K72" s="94" t="s">
        <v>210</v>
      </c>
      <c r="L72" s="94">
        <v>-1</v>
      </c>
      <c r="M72" s="94">
        <v>4</v>
      </c>
      <c r="N72" s="94" t="s">
        <v>210</v>
      </c>
      <c r="O72" s="94" t="s">
        <v>210</v>
      </c>
      <c r="P72" s="94">
        <v>-2</v>
      </c>
      <c r="Q72" s="94">
        <v>-5</v>
      </c>
      <c r="R72" s="94" t="s">
        <v>210</v>
      </c>
      <c r="S72" s="94" t="s">
        <v>210</v>
      </c>
      <c r="T72" s="94">
        <v>-3</v>
      </c>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BA72" s="91">
        <f t="shared" ca="1" si="26"/>
        <v>0</v>
      </c>
      <c r="BB72" s="88" t="str">
        <f t="shared" ca="1" si="27"/>
        <v>A1261:A2000</v>
      </c>
      <c r="BC72" s="89">
        <f t="shared" ca="1" si="28"/>
        <v>0</v>
      </c>
      <c r="BD72">
        <f ca="1">IF(BC72=0,0,RANK(BF72,$BF$11:$BF$100,0)+(COUNTIF($BF72:$BF$100,BF72)-1))</f>
        <v>0</v>
      </c>
      <c r="BE72" s="89">
        <f t="shared" ca="1" si="29"/>
        <v>0</v>
      </c>
      <c r="BF72" s="89">
        <f t="shared" ca="1" si="30"/>
        <v>0</v>
      </c>
      <c r="BG72" s="89">
        <f t="shared" ca="1" si="31"/>
        <v>0</v>
      </c>
      <c r="BH72" s="89">
        <f t="shared" ca="1" si="32"/>
        <v>0</v>
      </c>
      <c r="BI72" s="89">
        <f t="shared" ca="1" si="33"/>
        <v>0</v>
      </c>
      <c r="BJ72" s="89">
        <f t="shared" ca="1" si="34"/>
        <v>0</v>
      </c>
      <c r="BK72" s="89">
        <f t="shared" ca="1" si="35"/>
        <v>0</v>
      </c>
      <c r="BL72" s="89">
        <f t="shared" ca="1" si="36"/>
        <v>0</v>
      </c>
      <c r="BM72" s="89">
        <f t="shared" ca="1" si="37"/>
        <v>0</v>
      </c>
      <c r="BN72" s="89">
        <f t="shared" ca="1" si="38"/>
        <v>0</v>
      </c>
      <c r="BO72" s="89">
        <f t="shared" ca="1" si="39"/>
        <v>0</v>
      </c>
      <c r="BP72" s="89">
        <f t="shared" ca="1" si="40"/>
        <v>0</v>
      </c>
      <c r="BQ72" s="89">
        <f t="shared" ca="1" si="41"/>
        <v>0</v>
      </c>
      <c r="BR72" s="87">
        <f t="shared" ca="1" si="42"/>
        <v>0</v>
      </c>
      <c r="BS72" s="89">
        <f t="shared" ca="1" si="43"/>
        <v>0</v>
      </c>
      <c r="BT72" s="89">
        <f t="shared" ca="1" si="44"/>
        <v>0</v>
      </c>
      <c r="BU72" s="89">
        <f t="shared" ca="1" si="45"/>
        <v>0</v>
      </c>
      <c r="BV72" s="87">
        <f t="shared" ca="1" si="46"/>
        <v>0</v>
      </c>
      <c r="BW72" s="87" t="str">
        <f t="shared" ca="1" si="47"/>
        <v>000</v>
      </c>
      <c r="BX72" s="89">
        <f t="shared" ca="1" si="48"/>
        <v>0</v>
      </c>
    </row>
    <row r="73" spans="1:76" ht="13">
      <c r="A73" s="90" t="str">
        <f t="shared" si="2"/>
        <v/>
      </c>
      <c r="B73" s="98">
        <v>12</v>
      </c>
      <c r="C73" s="94" t="s">
        <v>210</v>
      </c>
      <c r="D73" s="94">
        <v>-4</v>
      </c>
      <c r="E73" s="94">
        <v>-5</v>
      </c>
      <c r="F73" s="94" t="s">
        <v>210</v>
      </c>
      <c r="G73" s="94" t="s">
        <v>210</v>
      </c>
      <c r="H73" s="94">
        <v>-2</v>
      </c>
      <c r="I73" s="94">
        <v>3</v>
      </c>
      <c r="J73" s="94" t="s">
        <v>210</v>
      </c>
      <c r="K73" s="94" t="s">
        <v>210</v>
      </c>
      <c r="L73" s="94">
        <v>1</v>
      </c>
      <c r="M73" s="94">
        <v>2</v>
      </c>
      <c r="N73" s="94" t="s">
        <v>210</v>
      </c>
      <c r="O73" s="94" t="s">
        <v>210</v>
      </c>
      <c r="P73" s="94">
        <v>-3</v>
      </c>
      <c r="Q73" s="94">
        <v>-1</v>
      </c>
      <c r="R73" s="94" t="s">
        <v>210</v>
      </c>
      <c r="S73" s="94" t="s">
        <v>210</v>
      </c>
      <c r="T73" s="94">
        <v>4</v>
      </c>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BA73" s="91">
        <f t="shared" ca="1" si="26"/>
        <v>0</v>
      </c>
      <c r="BB73" s="88" t="str">
        <f t="shared" ca="1" si="27"/>
        <v/>
      </c>
      <c r="BC73" s="89">
        <f t="shared" ca="1" si="28"/>
        <v>0</v>
      </c>
      <c r="BD73">
        <f ca="1">IF(BC73=0,0,RANK(BF73,$BF$11:$BF$100,0)+(COUNTIF($BF73:$BF$100,BF73)-1))</f>
        <v>0</v>
      </c>
      <c r="BE73" s="89">
        <f t="shared" ca="1" si="29"/>
        <v>0</v>
      </c>
      <c r="BF73" s="89">
        <f t="shared" ca="1" si="30"/>
        <v>0</v>
      </c>
      <c r="BG73" s="89">
        <f t="shared" ca="1" si="31"/>
        <v>0</v>
      </c>
      <c r="BH73" s="89">
        <f t="shared" ca="1" si="32"/>
        <v>0</v>
      </c>
      <c r="BI73" s="89">
        <f t="shared" ca="1" si="33"/>
        <v>0</v>
      </c>
      <c r="BJ73" s="89">
        <f t="shared" ca="1" si="34"/>
        <v>0</v>
      </c>
      <c r="BK73" s="89">
        <f t="shared" ca="1" si="35"/>
        <v>0</v>
      </c>
      <c r="BL73" s="89">
        <f t="shared" ca="1" si="36"/>
        <v>0</v>
      </c>
      <c r="BM73" s="89">
        <f t="shared" ca="1" si="37"/>
        <v>0</v>
      </c>
      <c r="BN73" s="89">
        <f t="shared" ca="1" si="38"/>
        <v>0</v>
      </c>
      <c r="BO73" s="89">
        <f t="shared" ca="1" si="39"/>
        <v>0</v>
      </c>
      <c r="BP73" s="89">
        <f t="shared" ca="1" si="40"/>
        <v>0</v>
      </c>
      <c r="BQ73" s="89">
        <f t="shared" ca="1" si="41"/>
        <v>0</v>
      </c>
      <c r="BR73" s="87">
        <f t="shared" ca="1" si="42"/>
        <v>0</v>
      </c>
      <c r="BS73" s="89">
        <f t="shared" ca="1" si="43"/>
        <v>0</v>
      </c>
      <c r="BT73" s="89">
        <f t="shared" ca="1" si="44"/>
        <v>0</v>
      </c>
      <c r="BU73" s="89">
        <f t="shared" ca="1" si="45"/>
        <v>0</v>
      </c>
      <c r="BV73" s="87">
        <f t="shared" ca="1" si="46"/>
        <v>0</v>
      </c>
      <c r="BW73" s="87" t="str">
        <f t="shared" ca="1" si="47"/>
        <v>000</v>
      </c>
      <c r="BX73" s="89">
        <f t="shared" ca="1" si="48"/>
        <v>0</v>
      </c>
    </row>
    <row r="74" spans="1:76" ht="13">
      <c r="A74" s="90" t="str">
        <f t="shared" si="2"/>
        <v/>
      </c>
      <c r="B74" s="98">
        <v>13</v>
      </c>
      <c r="C74" s="94">
        <v>-5</v>
      </c>
      <c r="D74" s="94" t="s">
        <v>210</v>
      </c>
      <c r="E74" s="94">
        <v>3</v>
      </c>
      <c r="F74" s="94" t="s">
        <v>210</v>
      </c>
      <c r="G74" s="94" t="s">
        <v>210</v>
      </c>
      <c r="H74" s="94">
        <v>-1</v>
      </c>
      <c r="I74" s="94">
        <v>-2</v>
      </c>
      <c r="J74" s="94" t="s">
        <v>210</v>
      </c>
      <c r="K74" s="94" t="s">
        <v>210</v>
      </c>
      <c r="L74" s="94">
        <v>4</v>
      </c>
      <c r="M74" s="94">
        <v>-3</v>
      </c>
      <c r="N74" s="94" t="s">
        <v>210</v>
      </c>
      <c r="O74" s="94" t="s">
        <v>210</v>
      </c>
      <c r="P74" s="94">
        <v>1</v>
      </c>
      <c r="Q74" s="94">
        <v>2</v>
      </c>
      <c r="R74" s="94" t="s">
        <v>210</v>
      </c>
      <c r="S74" s="94" t="s">
        <v>210</v>
      </c>
      <c r="T74" s="94">
        <v>-4</v>
      </c>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BA74" s="91">
        <f t="shared" ca="1" si="26"/>
        <v>0</v>
      </c>
      <c r="BB74" s="88" t="str">
        <f t="shared" ca="1" si="27"/>
        <v/>
      </c>
      <c r="BC74" s="89">
        <f t="shared" ca="1" si="28"/>
        <v>0</v>
      </c>
      <c r="BD74">
        <f ca="1">IF(BC74=0,0,RANK(BF74,$BF$11:$BF$100,0)+(COUNTIF($BF74:$BF$100,BF74)-1))</f>
        <v>0</v>
      </c>
      <c r="BE74" s="89">
        <f t="shared" ca="1" si="29"/>
        <v>0</v>
      </c>
      <c r="BF74" s="89">
        <f t="shared" ca="1" si="30"/>
        <v>0</v>
      </c>
      <c r="BG74" s="89">
        <f t="shared" ca="1" si="31"/>
        <v>0</v>
      </c>
      <c r="BH74" s="89">
        <f t="shared" ca="1" si="32"/>
        <v>0</v>
      </c>
      <c r="BI74" s="89">
        <f t="shared" ca="1" si="33"/>
        <v>0</v>
      </c>
      <c r="BJ74" s="89">
        <f t="shared" ca="1" si="34"/>
        <v>0</v>
      </c>
      <c r="BK74" s="89">
        <f t="shared" ca="1" si="35"/>
        <v>0</v>
      </c>
      <c r="BL74" s="89">
        <f t="shared" ca="1" si="36"/>
        <v>0</v>
      </c>
      <c r="BM74" s="89">
        <f t="shared" ca="1" si="37"/>
        <v>0</v>
      </c>
      <c r="BN74" s="89">
        <f t="shared" ca="1" si="38"/>
        <v>0</v>
      </c>
      <c r="BO74" s="89">
        <f t="shared" ca="1" si="39"/>
        <v>0</v>
      </c>
      <c r="BP74" s="89">
        <f t="shared" ca="1" si="40"/>
        <v>0</v>
      </c>
      <c r="BQ74" s="89">
        <f t="shared" ca="1" si="41"/>
        <v>0</v>
      </c>
      <c r="BR74" s="87">
        <f t="shared" ca="1" si="42"/>
        <v>0</v>
      </c>
      <c r="BS74" s="89">
        <f t="shared" ca="1" si="43"/>
        <v>0</v>
      </c>
      <c r="BT74" s="89">
        <f t="shared" ca="1" si="44"/>
        <v>0</v>
      </c>
      <c r="BU74" s="89">
        <f t="shared" ca="1" si="45"/>
        <v>0</v>
      </c>
      <c r="BV74" s="87">
        <f t="shared" ca="1" si="46"/>
        <v>0</v>
      </c>
      <c r="BW74" s="87" t="str">
        <f t="shared" ca="1" si="47"/>
        <v>000</v>
      </c>
      <c r="BX74" s="89">
        <f t="shared" ca="1" si="48"/>
        <v>0</v>
      </c>
    </row>
    <row r="75" spans="1:76" ht="13">
      <c r="A75" s="90" t="str">
        <f t="shared" si="2"/>
        <v/>
      </c>
      <c r="B75" s="98">
        <v>14</v>
      </c>
      <c r="C75" s="94" t="s">
        <v>210</v>
      </c>
      <c r="D75" s="94">
        <v>-1</v>
      </c>
      <c r="E75" s="94">
        <v>-3</v>
      </c>
      <c r="F75" s="94" t="s">
        <v>210</v>
      </c>
      <c r="G75" s="94" t="s">
        <v>210</v>
      </c>
      <c r="H75" s="94">
        <v>4</v>
      </c>
      <c r="I75" s="94">
        <v>-5</v>
      </c>
      <c r="J75" s="94" t="s">
        <v>210</v>
      </c>
      <c r="K75" s="94" t="s">
        <v>210</v>
      </c>
      <c r="L75" s="94">
        <v>-2</v>
      </c>
      <c r="M75" s="94">
        <v>1</v>
      </c>
      <c r="N75" s="94" t="s">
        <v>210</v>
      </c>
      <c r="O75" s="94" t="s">
        <v>210</v>
      </c>
      <c r="P75" s="94">
        <v>3</v>
      </c>
      <c r="Q75" s="94">
        <v>-4</v>
      </c>
      <c r="R75" s="94" t="s">
        <v>210</v>
      </c>
      <c r="S75" s="94" t="s">
        <v>210</v>
      </c>
      <c r="T75" s="94">
        <v>2</v>
      </c>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BA75" s="91">
        <f t="shared" ca="1" si="26"/>
        <v>0</v>
      </c>
      <c r="BB75" s="88" t="str">
        <f t="shared" ca="1" si="27"/>
        <v/>
      </c>
      <c r="BC75" s="89">
        <f t="shared" ca="1" si="28"/>
        <v>0</v>
      </c>
      <c r="BD75">
        <f ca="1">IF(BC75=0,0,RANK(BF75,$BF$11:$BF$100,0)+(COUNTIF($BF75:$BF$100,BF75)-1))</f>
        <v>0</v>
      </c>
      <c r="BE75" s="89">
        <f t="shared" ca="1" si="29"/>
        <v>0</v>
      </c>
      <c r="BF75" s="89">
        <f t="shared" ca="1" si="30"/>
        <v>0</v>
      </c>
      <c r="BG75" s="89">
        <f t="shared" ca="1" si="31"/>
        <v>0</v>
      </c>
      <c r="BH75" s="89">
        <f t="shared" ca="1" si="32"/>
        <v>0</v>
      </c>
      <c r="BI75" s="89">
        <f t="shared" ca="1" si="33"/>
        <v>0</v>
      </c>
      <c r="BJ75" s="89">
        <f t="shared" ca="1" si="34"/>
        <v>0</v>
      </c>
      <c r="BK75" s="89">
        <f t="shared" ca="1" si="35"/>
        <v>0</v>
      </c>
      <c r="BL75" s="89">
        <f t="shared" ca="1" si="36"/>
        <v>0</v>
      </c>
      <c r="BM75" s="89">
        <f t="shared" ca="1" si="37"/>
        <v>0</v>
      </c>
      <c r="BN75" s="89">
        <f t="shared" ca="1" si="38"/>
        <v>0</v>
      </c>
      <c r="BO75" s="89">
        <f t="shared" ca="1" si="39"/>
        <v>0</v>
      </c>
      <c r="BP75" s="89">
        <f t="shared" ca="1" si="40"/>
        <v>0</v>
      </c>
      <c r="BQ75" s="89">
        <f t="shared" ca="1" si="41"/>
        <v>0</v>
      </c>
      <c r="BR75" s="87">
        <f t="shared" ca="1" si="42"/>
        <v>0</v>
      </c>
      <c r="BS75" s="89">
        <f t="shared" ca="1" si="43"/>
        <v>0</v>
      </c>
      <c r="BT75" s="89">
        <f t="shared" ca="1" si="44"/>
        <v>0</v>
      </c>
      <c r="BU75" s="89">
        <f t="shared" ca="1" si="45"/>
        <v>0</v>
      </c>
      <c r="BV75" s="87">
        <f t="shared" ca="1" si="46"/>
        <v>0</v>
      </c>
      <c r="BW75" s="87" t="str">
        <f t="shared" ca="1" si="47"/>
        <v>000</v>
      </c>
      <c r="BX75" s="89">
        <f t="shared" ca="1" si="48"/>
        <v>0</v>
      </c>
    </row>
    <row r="76" spans="1:76" ht="13">
      <c r="A76" s="90" t="str">
        <f t="shared" ref="A76:A139" si="49">IF(MID(B76,3,2)="05",ROW(),"")</f>
        <v/>
      </c>
      <c r="B76" s="98">
        <v>15</v>
      </c>
      <c r="C76" s="94" t="s">
        <v>210</v>
      </c>
      <c r="D76" s="94">
        <v>2</v>
      </c>
      <c r="E76" s="94">
        <v>-1</v>
      </c>
      <c r="F76" s="94" t="s">
        <v>210</v>
      </c>
      <c r="G76" s="94" t="s">
        <v>210</v>
      </c>
      <c r="H76" s="94">
        <v>-3</v>
      </c>
      <c r="I76" s="94">
        <v>4</v>
      </c>
      <c r="J76" s="94" t="s">
        <v>210</v>
      </c>
      <c r="K76" s="94">
        <v>-5</v>
      </c>
      <c r="L76" s="94" t="s">
        <v>210</v>
      </c>
      <c r="M76" s="94">
        <v>3</v>
      </c>
      <c r="N76" s="94" t="s">
        <v>210</v>
      </c>
      <c r="O76" s="94" t="s">
        <v>210</v>
      </c>
      <c r="P76" s="94">
        <v>-4</v>
      </c>
      <c r="Q76" s="94">
        <v>1</v>
      </c>
      <c r="R76" s="94" t="s">
        <v>210</v>
      </c>
      <c r="S76" s="94" t="s">
        <v>210</v>
      </c>
      <c r="T76" s="94">
        <v>-2</v>
      </c>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BA76" s="91">
        <f t="shared" ca="1" si="26"/>
        <v>0</v>
      </c>
      <c r="BB76" s="88" t="str">
        <f t="shared" ca="1" si="27"/>
        <v/>
      </c>
      <c r="BC76" s="89">
        <f t="shared" ca="1" si="28"/>
        <v>0</v>
      </c>
      <c r="BD76">
        <f ca="1">IF(BC76=0,0,RANK(BF76,$BF$11:$BF$100,0)+(COUNTIF($BF76:$BF$100,BF76)-1))</f>
        <v>0</v>
      </c>
      <c r="BE76" s="89">
        <f t="shared" ca="1" si="29"/>
        <v>0</v>
      </c>
      <c r="BF76" s="89">
        <f t="shared" ca="1" si="30"/>
        <v>0</v>
      </c>
      <c r="BG76" s="89">
        <f t="shared" ca="1" si="31"/>
        <v>0</v>
      </c>
      <c r="BH76" s="89">
        <f t="shared" ca="1" si="32"/>
        <v>0</v>
      </c>
      <c r="BI76" s="89">
        <f t="shared" ca="1" si="33"/>
        <v>0</v>
      </c>
      <c r="BJ76" s="89">
        <f t="shared" ca="1" si="34"/>
        <v>0</v>
      </c>
      <c r="BK76" s="89">
        <f t="shared" ca="1" si="35"/>
        <v>0</v>
      </c>
      <c r="BL76" s="89">
        <f t="shared" ca="1" si="36"/>
        <v>0</v>
      </c>
      <c r="BM76" s="89">
        <f t="shared" ca="1" si="37"/>
        <v>0</v>
      </c>
      <c r="BN76" s="89">
        <f t="shared" ca="1" si="38"/>
        <v>0</v>
      </c>
      <c r="BO76" s="89">
        <f t="shared" ca="1" si="39"/>
        <v>0</v>
      </c>
      <c r="BP76" s="89">
        <f t="shared" ca="1" si="40"/>
        <v>0</v>
      </c>
      <c r="BQ76" s="89">
        <f t="shared" ca="1" si="41"/>
        <v>0</v>
      </c>
      <c r="BR76" s="87">
        <f t="shared" ca="1" si="42"/>
        <v>0</v>
      </c>
      <c r="BS76" s="89">
        <f t="shared" ca="1" si="43"/>
        <v>0</v>
      </c>
      <c r="BT76" s="89">
        <f t="shared" ca="1" si="44"/>
        <v>0</v>
      </c>
      <c r="BU76" s="89">
        <f t="shared" ca="1" si="45"/>
        <v>0</v>
      </c>
      <c r="BV76" s="87">
        <f t="shared" ca="1" si="46"/>
        <v>0</v>
      </c>
      <c r="BW76" s="87" t="str">
        <f t="shared" ca="1" si="47"/>
        <v>000</v>
      </c>
      <c r="BX76" s="89">
        <f t="shared" ca="1" si="48"/>
        <v>0</v>
      </c>
    </row>
    <row r="77" spans="1:76" ht="13">
      <c r="A77" s="90" t="str">
        <f t="shared" si="49"/>
        <v/>
      </c>
      <c r="B77" s="98">
        <v>16</v>
      </c>
      <c r="C77" s="94" t="s">
        <v>210</v>
      </c>
      <c r="D77" s="94">
        <v>-3</v>
      </c>
      <c r="E77" s="94">
        <v>2</v>
      </c>
      <c r="F77" s="94" t="s">
        <v>210</v>
      </c>
      <c r="G77" s="94" t="s">
        <v>210</v>
      </c>
      <c r="H77" s="94">
        <v>1</v>
      </c>
      <c r="I77" s="94">
        <v>-4</v>
      </c>
      <c r="J77" s="94" t="s">
        <v>210</v>
      </c>
      <c r="K77" s="94" t="s">
        <v>210</v>
      </c>
      <c r="L77" s="94">
        <v>3</v>
      </c>
      <c r="M77" s="94">
        <v>-2</v>
      </c>
      <c r="N77" s="94" t="s">
        <v>210</v>
      </c>
      <c r="O77" s="94">
        <v>-5</v>
      </c>
      <c r="P77" s="94" t="s">
        <v>210</v>
      </c>
      <c r="Q77" s="94">
        <v>4</v>
      </c>
      <c r="R77" s="94" t="s">
        <v>210</v>
      </c>
      <c r="S77" s="94" t="s">
        <v>210</v>
      </c>
      <c r="T77" s="94">
        <v>-1</v>
      </c>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BA77" s="91">
        <f t="shared" ca="1" si="26"/>
        <v>0</v>
      </c>
      <c r="BB77" s="88" t="str">
        <f t="shared" ca="1" si="27"/>
        <v/>
      </c>
      <c r="BC77" s="89">
        <f t="shared" ca="1" si="28"/>
        <v>0</v>
      </c>
      <c r="BD77">
        <f ca="1">IF(BC77=0,0,RANK(BF77,$BF$11:$BF$100,0)+(COUNTIF($BF77:$BF$100,BF77)-1))</f>
        <v>0</v>
      </c>
      <c r="BE77" s="89">
        <f t="shared" ca="1" si="29"/>
        <v>0</v>
      </c>
      <c r="BF77" s="89">
        <f t="shared" ca="1" si="30"/>
        <v>0</v>
      </c>
      <c r="BG77" s="89">
        <f t="shared" ca="1" si="31"/>
        <v>0</v>
      </c>
      <c r="BH77" s="89">
        <f t="shared" ca="1" si="32"/>
        <v>0</v>
      </c>
      <c r="BI77" s="89">
        <f t="shared" ca="1" si="33"/>
        <v>0</v>
      </c>
      <c r="BJ77" s="89">
        <f t="shared" ca="1" si="34"/>
        <v>0</v>
      </c>
      <c r="BK77" s="89">
        <f t="shared" ca="1" si="35"/>
        <v>0</v>
      </c>
      <c r="BL77" s="89">
        <f t="shared" ca="1" si="36"/>
        <v>0</v>
      </c>
      <c r="BM77" s="89">
        <f t="shared" ca="1" si="37"/>
        <v>0</v>
      </c>
      <c r="BN77" s="89">
        <f t="shared" ca="1" si="38"/>
        <v>0</v>
      </c>
      <c r="BO77" s="89">
        <f t="shared" ca="1" si="39"/>
        <v>0</v>
      </c>
      <c r="BP77" s="89">
        <f t="shared" ca="1" si="40"/>
        <v>0</v>
      </c>
      <c r="BQ77" s="89">
        <f t="shared" ca="1" si="41"/>
        <v>0</v>
      </c>
      <c r="BR77" s="87">
        <f t="shared" ca="1" si="42"/>
        <v>0</v>
      </c>
      <c r="BS77" s="89">
        <f t="shared" ca="1" si="43"/>
        <v>0</v>
      </c>
      <c r="BT77" s="89">
        <f t="shared" ca="1" si="44"/>
        <v>0</v>
      </c>
      <c r="BU77" s="89">
        <f t="shared" ca="1" si="45"/>
        <v>0</v>
      </c>
      <c r="BV77" s="87">
        <f t="shared" ca="1" si="46"/>
        <v>0</v>
      </c>
      <c r="BW77" s="87" t="str">
        <f t="shared" ca="1" si="47"/>
        <v>000</v>
      </c>
      <c r="BX77" s="89">
        <f t="shared" ca="1" si="48"/>
        <v>0</v>
      </c>
    </row>
    <row r="78" spans="1:76" ht="13">
      <c r="A78" s="90" t="str">
        <f t="shared" si="49"/>
        <v/>
      </c>
      <c r="B78" s="98">
        <v>17</v>
      </c>
      <c r="C78" s="94" t="s">
        <v>210</v>
      </c>
      <c r="D78" s="94">
        <v>-2</v>
      </c>
      <c r="E78" s="94">
        <v>4</v>
      </c>
      <c r="F78" s="94" t="s">
        <v>210</v>
      </c>
      <c r="G78" s="94">
        <v>-5</v>
      </c>
      <c r="H78" s="94" t="s">
        <v>210</v>
      </c>
      <c r="I78" s="94">
        <v>-3</v>
      </c>
      <c r="J78" s="94" t="s">
        <v>210</v>
      </c>
      <c r="K78" s="94" t="s">
        <v>210</v>
      </c>
      <c r="L78" s="94">
        <v>-4</v>
      </c>
      <c r="M78" s="94">
        <v>-1</v>
      </c>
      <c r="N78" s="94" t="s">
        <v>210</v>
      </c>
      <c r="O78" s="94" t="s">
        <v>210</v>
      </c>
      <c r="P78" s="94">
        <v>2</v>
      </c>
      <c r="Q78" s="94">
        <v>3</v>
      </c>
      <c r="R78" s="94" t="s">
        <v>210</v>
      </c>
      <c r="S78" s="94" t="s">
        <v>210</v>
      </c>
      <c r="T78" s="94">
        <v>1</v>
      </c>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BA78" s="91">
        <f t="shared" ca="1" si="26"/>
        <v>0</v>
      </c>
      <c r="BB78" s="88" t="str">
        <f t="shared" ca="1" si="27"/>
        <v/>
      </c>
      <c r="BC78" s="89">
        <f t="shared" ca="1" si="28"/>
        <v>0</v>
      </c>
      <c r="BD78">
        <f ca="1">IF(BC78=0,0,RANK(BF78,$BF$11:$BF$100,0)+(COUNTIF($BF78:$BF$100,BF78)-1))</f>
        <v>0</v>
      </c>
      <c r="BE78" s="89">
        <f t="shared" ca="1" si="29"/>
        <v>0</v>
      </c>
      <c r="BF78" s="89">
        <f t="shared" ca="1" si="30"/>
        <v>0</v>
      </c>
      <c r="BG78" s="89">
        <f t="shared" ca="1" si="31"/>
        <v>0</v>
      </c>
      <c r="BH78" s="89">
        <f t="shared" ca="1" si="32"/>
        <v>0</v>
      </c>
      <c r="BI78" s="89">
        <f t="shared" ca="1" si="33"/>
        <v>0</v>
      </c>
      <c r="BJ78" s="89">
        <f t="shared" ca="1" si="34"/>
        <v>0</v>
      </c>
      <c r="BK78" s="89">
        <f t="shared" ca="1" si="35"/>
        <v>0</v>
      </c>
      <c r="BL78" s="89">
        <f t="shared" ca="1" si="36"/>
        <v>0</v>
      </c>
      <c r="BM78" s="89">
        <f t="shared" ca="1" si="37"/>
        <v>0</v>
      </c>
      <c r="BN78" s="89">
        <f t="shared" ca="1" si="38"/>
        <v>0</v>
      </c>
      <c r="BO78" s="89">
        <f t="shared" ca="1" si="39"/>
        <v>0</v>
      </c>
      <c r="BP78" s="89">
        <f t="shared" ca="1" si="40"/>
        <v>0</v>
      </c>
      <c r="BQ78" s="89">
        <f t="shared" ca="1" si="41"/>
        <v>0</v>
      </c>
      <c r="BR78" s="87">
        <f t="shared" ca="1" si="42"/>
        <v>0</v>
      </c>
      <c r="BS78" s="89">
        <f t="shared" ca="1" si="43"/>
        <v>0</v>
      </c>
      <c r="BT78" s="89">
        <f t="shared" ca="1" si="44"/>
        <v>0</v>
      </c>
      <c r="BU78" s="89">
        <f t="shared" ca="1" si="45"/>
        <v>0</v>
      </c>
      <c r="BV78" s="87">
        <f t="shared" ca="1" si="46"/>
        <v>0</v>
      </c>
      <c r="BW78" s="87" t="str">
        <f t="shared" ca="1" si="47"/>
        <v>000</v>
      </c>
      <c r="BX78" s="89">
        <f t="shared" ca="1" si="48"/>
        <v>0</v>
      </c>
    </row>
    <row r="79" spans="1:76" ht="13">
      <c r="A79" s="90" t="str">
        <f t="shared" si="49"/>
        <v/>
      </c>
      <c r="B79" s="98">
        <v>18</v>
      </c>
      <c r="C79" s="94" t="s">
        <v>210</v>
      </c>
      <c r="D79" s="94">
        <v>4</v>
      </c>
      <c r="E79" s="94">
        <v>-2</v>
      </c>
      <c r="F79" s="94" t="s">
        <v>210</v>
      </c>
      <c r="G79" s="94" t="s">
        <v>210</v>
      </c>
      <c r="H79" s="94">
        <v>3</v>
      </c>
      <c r="I79" s="94">
        <v>1</v>
      </c>
      <c r="J79" s="94" t="s">
        <v>210</v>
      </c>
      <c r="K79" s="94" t="s">
        <v>210</v>
      </c>
      <c r="L79" s="94">
        <v>2</v>
      </c>
      <c r="M79" s="94">
        <v>-4</v>
      </c>
      <c r="N79" s="94" t="s">
        <v>210</v>
      </c>
      <c r="O79" s="94" t="s">
        <v>210</v>
      </c>
      <c r="P79" s="94">
        <v>-1</v>
      </c>
      <c r="Q79" s="94">
        <v>-3</v>
      </c>
      <c r="R79" s="94" t="s">
        <v>210</v>
      </c>
      <c r="S79" s="94">
        <v>-5</v>
      </c>
      <c r="T79" s="94" t="s">
        <v>210</v>
      </c>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BA79" s="91">
        <f t="shared" ca="1" si="26"/>
        <v>0</v>
      </c>
      <c r="BB79" s="88" t="str">
        <f t="shared" ca="1" si="27"/>
        <v/>
      </c>
      <c r="BC79" s="89">
        <f t="shared" ca="1" si="28"/>
        <v>0</v>
      </c>
      <c r="BD79">
        <f ca="1">IF(BC79=0,0,RANK(BF79,$BF$11:$BF$100,0)+(COUNTIF($BF79:$BF$100,BF79)-1))</f>
        <v>0</v>
      </c>
      <c r="BE79" s="89">
        <f t="shared" ca="1" si="29"/>
        <v>0</v>
      </c>
      <c r="BF79" s="89">
        <f t="shared" ca="1" si="30"/>
        <v>0</v>
      </c>
      <c r="BG79" s="89">
        <f t="shared" ca="1" si="31"/>
        <v>0</v>
      </c>
      <c r="BH79" s="89">
        <f t="shared" ca="1" si="32"/>
        <v>0</v>
      </c>
      <c r="BI79" s="89">
        <f t="shared" ca="1" si="33"/>
        <v>0</v>
      </c>
      <c r="BJ79" s="89">
        <f t="shared" ca="1" si="34"/>
        <v>0</v>
      </c>
      <c r="BK79" s="89">
        <f t="shared" ca="1" si="35"/>
        <v>0</v>
      </c>
      <c r="BL79" s="89">
        <f t="shared" ca="1" si="36"/>
        <v>0</v>
      </c>
      <c r="BM79" s="89">
        <f t="shared" ca="1" si="37"/>
        <v>0</v>
      </c>
      <c r="BN79" s="89">
        <f t="shared" ca="1" si="38"/>
        <v>0</v>
      </c>
      <c r="BO79" s="89">
        <f t="shared" ca="1" si="39"/>
        <v>0</v>
      </c>
      <c r="BP79" s="89">
        <f t="shared" ca="1" si="40"/>
        <v>0</v>
      </c>
      <c r="BQ79" s="89">
        <f t="shared" ca="1" si="41"/>
        <v>0</v>
      </c>
      <c r="BR79" s="87">
        <f t="shared" ca="1" si="42"/>
        <v>0</v>
      </c>
      <c r="BS79" s="89">
        <f t="shared" ca="1" si="43"/>
        <v>0</v>
      </c>
      <c r="BT79" s="89">
        <f t="shared" ca="1" si="44"/>
        <v>0</v>
      </c>
      <c r="BU79" s="89">
        <f t="shared" ca="1" si="45"/>
        <v>0</v>
      </c>
      <c r="BV79" s="87">
        <f t="shared" ca="1" si="46"/>
        <v>0</v>
      </c>
      <c r="BW79" s="87" t="str">
        <f t="shared" ca="1" si="47"/>
        <v>000</v>
      </c>
      <c r="BX79" s="89">
        <f t="shared" ca="1" si="48"/>
        <v>0</v>
      </c>
    </row>
    <row r="80" spans="1:76" ht="13">
      <c r="A80" s="90" t="str">
        <f t="shared" si="49"/>
        <v/>
      </c>
      <c r="B80" s="98" t="s">
        <v>309</v>
      </c>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BA80" s="91">
        <f t="shared" ca="1" si="26"/>
        <v>0</v>
      </c>
      <c r="BB80" s="88" t="str">
        <f t="shared" ca="1" si="27"/>
        <v/>
      </c>
      <c r="BC80" s="89">
        <f t="shared" ca="1" si="28"/>
        <v>0</v>
      </c>
      <c r="BD80">
        <f ca="1">IF(BC80=0,0,RANK(BF80,$BF$11:$BF$100,0)+(COUNTIF($BF80:$BF$100,BF80)-1))</f>
        <v>0</v>
      </c>
      <c r="BE80" s="89">
        <f t="shared" ca="1" si="29"/>
        <v>0</v>
      </c>
      <c r="BF80" s="89">
        <f t="shared" ca="1" si="30"/>
        <v>0</v>
      </c>
      <c r="BG80" s="89">
        <f t="shared" ca="1" si="31"/>
        <v>0</v>
      </c>
      <c r="BH80" s="89">
        <f t="shared" ca="1" si="32"/>
        <v>0</v>
      </c>
      <c r="BI80" s="89">
        <f t="shared" ca="1" si="33"/>
        <v>0</v>
      </c>
      <c r="BJ80" s="89">
        <f t="shared" ca="1" si="34"/>
        <v>0</v>
      </c>
      <c r="BK80" s="89">
        <f t="shared" ca="1" si="35"/>
        <v>0</v>
      </c>
      <c r="BL80" s="89">
        <f t="shared" ca="1" si="36"/>
        <v>0</v>
      </c>
      <c r="BM80" s="89">
        <f t="shared" ca="1" si="37"/>
        <v>0</v>
      </c>
      <c r="BN80" s="89">
        <f t="shared" ca="1" si="38"/>
        <v>0</v>
      </c>
      <c r="BO80" s="89">
        <f t="shared" ca="1" si="39"/>
        <v>0</v>
      </c>
      <c r="BP80" s="89">
        <f t="shared" ca="1" si="40"/>
        <v>0</v>
      </c>
      <c r="BQ80" s="89">
        <f t="shared" ca="1" si="41"/>
        <v>0</v>
      </c>
      <c r="BR80" s="87">
        <f t="shared" ca="1" si="42"/>
        <v>0</v>
      </c>
      <c r="BS80" s="89">
        <f t="shared" ca="1" si="43"/>
        <v>0</v>
      </c>
      <c r="BT80" s="89">
        <f t="shared" ca="1" si="44"/>
        <v>0</v>
      </c>
      <c r="BU80" s="89">
        <f t="shared" ca="1" si="45"/>
        <v>0</v>
      </c>
      <c r="BV80" s="87">
        <f t="shared" ca="1" si="46"/>
        <v>0</v>
      </c>
      <c r="BW80" s="87" t="str">
        <f t="shared" ca="1" si="47"/>
        <v>000</v>
      </c>
      <c r="BX80" s="89">
        <f t="shared" ca="1" si="48"/>
        <v>0</v>
      </c>
    </row>
    <row r="81" spans="1:76" ht="13">
      <c r="A81" s="90">
        <f t="shared" si="49"/>
        <v>81</v>
      </c>
      <c r="B81" s="98" t="s">
        <v>310</v>
      </c>
      <c r="C81" s="94"/>
      <c r="D81" s="94"/>
      <c r="E81" s="94"/>
      <c r="F81" s="94"/>
      <c r="G81" s="94"/>
      <c r="H81" s="94"/>
      <c r="I81" s="94"/>
      <c r="J81" s="94"/>
      <c r="K81" s="94"/>
      <c r="L81" s="94"/>
      <c r="M81" s="94"/>
      <c r="N81" s="94"/>
      <c r="O81" s="94"/>
      <c r="P81" s="94"/>
      <c r="Q81" s="94"/>
      <c r="R81" s="94"/>
      <c r="S81" s="94"/>
      <c r="T81" s="94"/>
      <c r="U81" s="94"/>
      <c r="AE81" s="94"/>
      <c r="AF81" s="94"/>
      <c r="AG81" s="94"/>
      <c r="AH81" s="94"/>
      <c r="AI81" s="94"/>
      <c r="AJ81" s="94"/>
      <c r="AK81" s="94"/>
      <c r="AL81" s="94"/>
      <c r="AM81" s="94"/>
      <c r="AN81" s="94"/>
      <c r="AO81" s="94"/>
      <c r="AP81" s="94"/>
      <c r="AQ81" s="94"/>
      <c r="AR81" s="94"/>
      <c r="AS81" s="94"/>
      <c r="AT81" s="94"/>
      <c r="AU81" s="94"/>
      <c r="AV81" s="94"/>
      <c r="AW81" s="94"/>
      <c r="AX81" s="94"/>
      <c r="AY81" s="94"/>
      <c r="BA81" s="91">
        <f t="shared" ca="1" si="26"/>
        <v>0</v>
      </c>
      <c r="BB81" s="88" t="str">
        <f t="shared" ca="1" si="27"/>
        <v/>
      </c>
      <c r="BC81" s="89">
        <f t="shared" ca="1" si="28"/>
        <v>0</v>
      </c>
      <c r="BD81">
        <f ca="1">IF(BC81=0,0,RANK(BF81,$BF$11:$BF$100,0)+(COUNTIF($BF81:$BF$100,BF81)-1))</f>
        <v>0</v>
      </c>
      <c r="BE81" s="89">
        <f t="shared" ca="1" si="29"/>
        <v>0</v>
      </c>
      <c r="BF81" s="89">
        <f t="shared" ca="1" si="30"/>
        <v>0</v>
      </c>
      <c r="BG81" s="89">
        <f t="shared" ca="1" si="31"/>
        <v>0</v>
      </c>
      <c r="BH81" s="89">
        <f t="shared" ca="1" si="32"/>
        <v>0</v>
      </c>
      <c r="BI81" s="89">
        <f t="shared" ca="1" si="33"/>
        <v>0</v>
      </c>
      <c r="BJ81" s="89">
        <f t="shared" ca="1" si="34"/>
        <v>0</v>
      </c>
      <c r="BK81" s="89">
        <f t="shared" ca="1" si="35"/>
        <v>0</v>
      </c>
      <c r="BL81" s="89">
        <f t="shared" ca="1" si="36"/>
        <v>0</v>
      </c>
      <c r="BM81" s="89">
        <f t="shared" ca="1" si="37"/>
        <v>0</v>
      </c>
      <c r="BN81" s="89">
        <f t="shared" ca="1" si="38"/>
        <v>0</v>
      </c>
      <c r="BO81" s="89">
        <f t="shared" ca="1" si="39"/>
        <v>0</v>
      </c>
      <c r="BP81" s="89">
        <f t="shared" ca="1" si="40"/>
        <v>0</v>
      </c>
      <c r="BQ81" s="89">
        <f t="shared" ca="1" si="41"/>
        <v>0</v>
      </c>
      <c r="BR81" s="87">
        <f t="shared" ca="1" si="42"/>
        <v>0</v>
      </c>
      <c r="BS81" s="89">
        <f t="shared" ca="1" si="43"/>
        <v>0</v>
      </c>
      <c r="BT81" s="89">
        <f t="shared" ca="1" si="44"/>
        <v>0</v>
      </c>
      <c r="BU81" s="89">
        <f t="shared" ca="1" si="45"/>
        <v>0</v>
      </c>
      <c r="BV81" s="87">
        <f t="shared" ca="1" si="46"/>
        <v>0</v>
      </c>
      <c r="BW81" s="87" t="str">
        <f t="shared" ca="1" si="47"/>
        <v>000</v>
      </c>
      <c r="BX81" s="89">
        <f t="shared" ca="1" si="48"/>
        <v>0</v>
      </c>
    </row>
    <row r="82" spans="1:76" ht="13">
      <c r="A82" s="90" t="str">
        <f t="shared" si="49"/>
        <v/>
      </c>
      <c r="B82" s="98">
        <v>1</v>
      </c>
      <c r="C82" s="94">
        <v>3</v>
      </c>
      <c r="D82" s="94" t="s">
        <v>210</v>
      </c>
      <c r="E82" s="94" t="s">
        <v>210</v>
      </c>
      <c r="F82" s="94">
        <v>5</v>
      </c>
      <c r="G82" s="94">
        <v>-4</v>
      </c>
      <c r="H82" s="94" t="s">
        <v>210</v>
      </c>
      <c r="I82" s="94" t="s">
        <v>210</v>
      </c>
      <c r="J82" s="94">
        <v>2</v>
      </c>
      <c r="K82" s="94">
        <v>-3</v>
      </c>
      <c r="L82" s="94" t="s">
        <v>210</v>
      </c>
      <c r="M82" s="94"/>
      <c r="N82" s="94"/>
      <c r="O82" s="94"/>
      <c r="P82" s="94"/>
      <c r="Q82" s="94"/>
      <c r="R82" s="94"/>
      <c r="S82" s="94"/>
      <c r="T82" s="94"/>
      <c r="U82" s="94"/>
      <c r="AE82" s="94"/>
      <c r="AF82" s="94"/>
      <c r="AG82" s="94"/>
      <c r="AH82" s="94"/>
      <c r="AI82" s="94"/>
      <c r="AJ82" s="94"/>
      <c r="AK82" s="94"/>
      <c r="AL82" s="94"/>
      <c r="AM82" s="94"/>
      <c r="AN82" s="94"/>
      <c r="AO82" s="94"/>
      <c r="AP82" s="94"/>
      <c r="AQ82" s="94"/>
      <c r="AR82" s="94"/>
      <c r="AS82" s="94"/>
      <c r="AT82" s="94"/>
      <c r="AU82" s="94"/>
      <c r="AV82" s="94"/>
      <c r="AW82" s="94"/>
      <c r="AX82" s="94"/>
      <c r="AY82" s="94"/>
      <c r="BA82" s="91">
        <f t="shared" ca="1" si="26"/>
        <v>0</v>
      </c>
      <c r="BB82" s="88" t="str">
        <f t="shared" ca="1" si="27"/>
        <v/>
      </c>
      <c r="BC82" s="89">
        <f t="shared" ca="1" si="28"/>
        <v>0</v>
      </c>
      <c r="BD82">
        <f ca="1">IF(BC82=0,0,RANK(BF82,$BF$11:$BF$100,0)+(COUNTIF($BF82:$BF$100,BF82)-1))</f>
        <v>0</v>
      </c>
      <c r="BE82" s="89">
        <f t="shared" ca="1" si="29"/>
        <v>0</v>
      </c>
      <c r="BF82" s="89">
        <f t="shared" ca="1" si="30"/>
        <v>0</v>
      </c>
      <c r="BG82" s="89">
        <f t="shared" ca="1" si="31"/>
        <v>0</v>
      </c>
      <c r="BH82" s="89">
        <f t="shared" ca="1" si="32"/>
        <v>0</v>
      </c>
      <c r="BI82" s="89">
        <f t="shared" ca="1" si="33"/>
        <v>0</v>
      </c>
      <c r="BJ82" s="89">
        <f t="shared" ca="1" si="34"/>
        <v>0</v>
      </c>
      <c r="BK82" s="89">
        <f t="shared" ca="1" si="35"/>
        <v>0</v>
      </c>
      <c r="BL82" s="89">
        <f t="shared" ca="1" si="36"/>
        <v>0</v>
      </c>
      <c r="BM82" s="89">
        <f t="shared" ca="1" si="37"/>
        <v>0</v>
      </c>
      <c r="BN82" s="89">
        <f t="shared" ca="1" si="38"/>
        <v>0</v>
      </c>
      <c r="BO82" s="89">
        <f t="shared" ca="1" si="39"/>
        <v>0</v>
      </c>
      <c r="BP82" s="89">
        <f t="shared" ca="1" si="40"/>
        <v>0</v>
      </c>
      <c r="BQ82" s="89">
        <f t="shared" ca="1" si="41"/>
        <v>0</v>
      </c>
      <c r="BR82" s="87">
        <f t="shared" ca="1" si="42"/>
        <v>0</v>
      </c>
      <c r="BS82" s="89">
        <f t="shared" ca="1" si="43"/>
        <v>0</v>
      </c>
      <c r="BT82" s="89">
        <f t="shared" ca="1" si="44"/>
        <v>0</v>
      </c>
      <c r="BU82" s="89">
        <f t="shared" ca="1" si="45"/>
        <v>0</v>
      </c>
      <c r="BV82" s="87">
        <f t="shared" ca="1" si="46"/>
        <v>0</v>
      </c>
      <c r="BW82" s="87" t="str">
        <f t="shared" ca="1" si="47"/>
        <v>000</v>
      </c>
      <c r="BX82" s="89">
        <f t="shared" ca="1" si="48"/>
        <v>0</v>
      </c>
    </row>
    <row r="83" spans="1:76" ht="13">
      <c r="A83" s="90" t="str">
        <f t="shared" si="49"/>
        <v/>
      </c>
      <c r="B83" s="98">
        <v>2</v>
      </c>
      <c r="C83" s="94">
        <v>-5</v>
      </c>
      <c r="D83" s="94" t="s">
        <v>210</v>
      </c>
      <c r="E83" s="94" t="s">
        <v>210</v>
      </c>
      <c r="F83" s="94">
        <v>4</v>
      </c>
      <c r="G83" s="94">
        <v>-2</v>
      </c>
      <c r="H83" s="94" t="s">
        <v>210</v>
      </c>
      <c r="I83" s="94" t="s">
        <v>210</v>
      </c>
      <c r="J83" s="94">
        <v>5</v>
      </c>
      <c r="K83" s="94">
        <v>3</v>
      </c>
      <c r="L83" s="94" t="s">
        <v>210</v>
      </c>
      <c r="M83" s="94"/>
      <c r="N83" s="94"/>
      <c r="O83" s="94"/>
      <c r="P83" s="94"/>
      <c r="Q83" s="94"/>
      <c r="R83" s="94"/>
      <c r="S83" s="94"/>
      <c r="T83" s="94"/>
      <c r="U83" s="94"/>
      <c r="AE83" s="94"/>
      <c r="AF83" s="94"/>
      <c r="AG83" s="94"/>
      <c r="AH83" s="94"/>
      <c r="AI83" s="94"/>
      <c r="AJ83" s="94"/>
      <c r="AK83" s="94"/>
      <c r="AL83" s="94"/>
      <c r="AM83" s="94"/>
      <c r="AN83" s="94"/>
      <c r="AO83" s="94"/>
      <c r="AP83" s="94"/>
      <c r="AQ83" s="94"/>
      <c r="AR83" s="94"/>
      <c r="AS83" s="94"/>
      <c r="AT83" s="94"/>
      <c r="AU83" s="94"/>
      <c r="AV83" s="94"/>
      <c r="AW83" s="94"/>
      <c r="AX83" s="94"/>
      <c r="AY83" s="94"/>
      <c r="BA83" s="91">
        <f t="shared" ca="1" si="26"/>
        <v>0</v>
      </c>
      <c r="BB83" s="88" t="str">
        <f t="shared" ca="1" si="27"/>
        <v/>
      </c>
      <c r="BC83" s="89">
        <f t="shared" ca="1" si="28"/>
        <v>0</v>
      </c>
      <c r="BD83">
        <f ca="1">IF(BC83=0,0,RANK(BF83,$BF$11:$BF$100,0)+(COUNTIF($BF83:$BF$100,BF83)-1))</f>
        <v>0</v>
      </c>
      <c r="BE83" s="89">
        <f t="shared" ca="1" si="29"/>
        <v>0</v>
      </c>
      <c r="BF83" s="89">
        <f t="shared" ca="1" si="30"/>
        <v>0</v>
      </c>
      <c r="BG83" s="89">
        <f t="shared" ca="1" si="31"/>
        <v>0</v>
      </c>
      <c r="BH83" s="89">
        <f t="shared" ca="1" si="32"/>
        <v>0</v>
      </c>
      <c r="BI83" s="89">
        <f t="shared" ca="1" si="33"/>
        <v>0</v>
      </c>
      <c r="BJ83" s="89">
        <f t="shared" ca="1" si="34"/>
        <v>0</v>
      </c>
      <c r="BK83" s="89">
        <f t="shared" ca="1" si="35"/>
        <v>0</v>
      </c>
      <c r="BL83" s="89">
        <f t="shared" ca="1" si="36"/>
        <v>0</v>
      </c>
      <c r="BM83" s="89">
        <f t="shared" ca="1" si="37"/>
        <v>0</v>
      </c>
      <c r="BN83" s="89">
        <f t="shared" ca="1" si="38"/>
        <v>0</v>
      </c>
      <c r="BO83" s="89">
        <f t="shared" ca="1" si="39"/>
        <v>0</v>
      </c>
      <c r="BP83" s="89">
        <f t="shared" ca="1" si="40"/>
        <v>0</v>
      </c>
      <c r="BQ83" s="89">
        <f t="shared" ca="1" si="41"/>
        <v>0</v>
      </c>
      <c r="BR83" s="87">
        <f t="shared" ca="1" si="42"/>
        <v>0</v>
      </c>
      <c r="BS83" s="89">
        <f t="shared" ca="1" si="43"/>
        <v>0</v>
      </c>
      <c r="BT83" s="89">
        <f t="shared" ca="1" si="44"/>
        <v>0</v>
      </c>
      <c r="BU83" s="89">
        <f t="shared" ca="1" si="45"/>
        <v>0</v>
      </c>
      <c r="BV83" s="87">
        <f t="shared" ca="1" si="46"/>
        <v>0</v>
      </c>
      <c r="BW83" s="87" t="str">
        <f t="shared" ca="1" si="47"/>
        <v>000</v>
      </c>
      <c r="BX83" s="89">
        <f t="shared" ca="1" si="48"/>
        <v>0</v>
      </c>
    </row>
    <row r="84" spans="1:76" ht="13">
      <c r="A84" s="90" t="str">
        <f t="shared" si="49"/>
        <v/>
      </c>
      <c r="B84" s="98">
        <v>3</v>
      </c>
      <c r="C84" s="94">
        <v>5</v>
      </c>
      <c r="D84" s="94" t="s">
        <v>210</v>
      </c>
      <c r="E84" s="94" t="s">
        <v>210</v>
      </c>
      <c r="F84" s="94">
        <v>3</v>
      </c>
      <c r="G84" s="94">
        <v>-1</v>
      </c>
      <c r="H84" s="94" t="s">
        <v>210</v>
      </c>
      <c r="I84" s="94" t="s">
        <v>210</v>
      </c>
      <c r="J84" s="94">
        <v>-2</v>
      </c>
      <c r="K84" s="94">
        <v>4</v>
      </c>
      <c r="L84" s="94" t="s">
        <v>210</v>
      </c>
      <c r="M84" s="94"/>
      <c r="N84" s="94"/>
      <c r="O84" s="94"/>
      <c r="P84" s="94"/>
      <c r="Q84" s="94"/>
      <c r="R84" s="94"/>
      <c r="S84" s="94"/>
      <c r="T84" s="94"/>
      <c r="U84" s="94"/>
      <c r="AE84" s="94"/>
      <c r="AF84" s="94"/>
      <c r="AG84" s="94"/>
      <c r="AH84" s="94"/>
      <c r="AI84" s="94"/>
      <c r="AJ84" s="94"/>
      <c r="AK84" s="94"/>
      <c r="AL84" s="94"/>
      <c r="AM84" s="94"/>
      <c r="AN84" s="94"/>
      <c r="AO84" s="94"/>
      <c r="AP84" s="94"/>
      <c r="AQ84" s="94"/>
      <c r="AR84" s="94"/>
      <c r="AS84" s="94"/>
      <c r="AT84" s="94"/>
      <c r="AU84" s="94"/>
      <c r="AV84" s="94"/>
      <c r="AW84" s="94"/>
      <c r="AX84" s="94"/>
      <c r="AY84" s="94"/>
      <c r="BA84" s="91">
        <f t="shared" ca="1" si="26"/>
        <v>0</v>
      </c>
      <c r="BB84" s="88" t="str">
        <f t="shared" ca="1" si="27"/>
        <v/>
      </c>
      <c r="BC84" s="89">
        <f t="shared" ca="1" si="28"/>
        <v>0</v>
      </c>
      <c r="BD84">
        <f ca="1">IF(BC84=0,0,RANK(BF84,$BF$11:$BF$100,0)+(COUNTIF($BF84:$BF$100,BF84)-1))</f>
        <v>0</v>
      </c>
      <c r="BE84" s="89">
        <f t="shared" ca="1" si="29"/>
        <v>0</v>
      </c>
      <c r="BF84" s="89">
        <f t="shared" ca="1" si="30"/>
        <v>0</v>
      </c>
      <c r="BG84" s="89">
        <f t="shared" ca="1" si="31"/>
        <v>0</v>
      </c>
      <c r="BH84" s="89">
        <f t="shared" ca="1" si="32"/>
        <v>0</v>
      </c>
      <c r="BI84" s="89">
        <f t="shared" ca="1" si="33"/>
        <v>0</v>
      </c>
      <c r="BJ84" s="89">
        <f t="shared" ca="1" si="34"/>
        <v>0</v>
      </c>
      <c r="BK84" s="89">
        <f t="shared" ca="1" si="35"/>
        <v>0</v>
      </c>
      <c r="BL84" s="89">
        <f t="shared" ca="1" si="36"/>
        <v>0</v>
      </c>
      <c r="BM84" s="89">
        <f t="shared" ca="1" si="37"/>
        <v>0</v>
      </c>
      <c r="BN84" s="89">
        <f t="shared" ca="1" si="38"/>
        <v>0</v>
      </c>
      <c r="BO84" s="89">
        <f t="shared" ca="1" si="39"/>
        <v>0</v>
      </c>
      <c r="BP84" s="89">
        <f t="shared" ca="1" si="40"/>
        <v>0</v>
      </c>
      <c r="BQ84" s="89">
        <f t="shared" ca="1" si="41"/>
        <v>0</v>
      </c>
      <c r="BR84" s="87">
        <f t="shared" ca="1" si="42"/>
        <v>0</v>
      </c>
      <c r="BS84" s="89">
        <f t="shared" ca="1" si="43"/>
        <v>0</v>
      </c>
      <c r="BT84" s="89">
        <f t="shared" ca="1" si="44"/>
        <v>0</v>
      </c>
      <c r="BU84" s="89">
        <f t="shared" ca="1" si="45"/>
        <v>0</v>
      </c>
      <c r="BV84" s="87">
        <f t="shared" ca="1" si="46"/>
        <v>0</v>
      </c>
      <c r="BW84" s="87" t="str">
        <f t="shared" ca="1" si="47"/>
        <v>000</v>
      </c>
      <c r="BX84" s="89">
        <f t="shared" ca="1" si="48"/>
        <v>0</v>
      </c>
    </row>
    <row r="85" spans="1:76" ht="13">
      <c r="A85" s="90" t="str">
        <f t="shared" si="49"/>
        <v/>
      </c>
      <c r="B85" s="98">
        <v>4</v>
      </c>
      <c r="C85" s="94">
        <v>1</v>
      </c>
      <c r="D85" s="94" t="s">
        <v>210</v>
      </c>
      <c r="E85" s="94" t="s">
        <v>210</v>
      </c>
      <c r="F85" s="94">
        <v>-5</v>
      </c>
      <c r="G85" s="94">
        <v>2</v>
      </c>
      <c r="H85" s="94" t="s">
        <v>210</v>
      </c>
      <c r="I85" s="94" t="s">
        <v>210</v>
      </c>
      <c r="J85" s="94">
        <v>-3</v>
      </c>
      <c r="K85" s="94">
        <v>-4</v>
      </c>
      <c r="L85" s="94" t="s">
        <v>210</v>
      </c>
      <c r="M85" s="94"/>
      <c r="N85" s="94"/>
      <c r="O85" s="94"/>
      <c r="P85" s="94"/>
      <c r="Q85" s="94"/>
      <c r="R85" s="94"/>
      <c r="S85" s="94"/>
      <c r="T85" s="94"/>
      <c r="U85" s="94"/>
      <c r="AE85" s="94"/>
      <c r="AF85" s="94"/>
      <c r="AG85" s="94"/>
      <c r="AH85" s="94"/>
      <c r="AI85" s="94"/>
      <c r="AJ85" s="94"/>
      <c r="AK85" s="94"/>
      <c r="AL85" s="94"/>
      <c r="AM85" s="94"/>
      <c r="AN85" s="94"/>
      <c r="AO85" s="94"/>
      <c r="AP85" s="94"/>
      <c r="AQ85" s="94"/>
      <c r="AR85" s="94"/>
      <c r="AS85" s="94"/>
      <c r="AT85" s="94"/>
      <c r="AU85" s="94"/>
      <c r="AV85" s="94"/>
      <c r="AW85" s="94"/>
      <c r="AX85" s="94"/>
      <c r="AY85" s="94"/>
      <c r="BA85" s="91">
        <f t="shared" ca="1" si="26"/>
        <v>0</v>
      </c>
      <c r="BB85" s="88" t="str">
        <f t="shared" ca="1" si="27"/>
        <v/>
      </c>
      <c r="BC85" s="89">
        <f t="shared" ca="1" si="28"/>
        <v>0</v>
      </c>
      <c r="BD85">
        <f ca="1">IF(BC85=0,0,RANK(BF85,$BF$11:$BF$100,0)+(COUNTIF($BF85:$BF$100,BF85)-1))</f>
        <v>0</v>
      </c>
      <c r="BE85" s="89">
        <f t="shared" ca="1" si="29"/>
        <v>0</v>
      </c>
      <c r="BF85" s="89">
        <f t="shared" ca="1" si="30"/>
        <v>0</v>
      </c>
      <c r="BG85" s="89">
        <f t="shared" ca="1" si="31"/>
        <v>0</v>
      </c>
      <c r="BH85" s="89">
        <f t="shared" ca="1" si="32"/>
        <v>0</v>
      </c>
      <c r="BI85" s="89">
        <f t="shared" ca="1" si="33"/>
        <v>0</v>
      </c>
      <c r="BJ85" s="89">
        <f t="shared" ca="1" si="34"/>
        <v>0</v>
      </c>
      <c r="BK85" s="89">
        <f t="shared" ca="1" si="35"/>
        <v>0</v>
      </c>
      <c r="BL85" s="89">
        <f t="shared" ca="1" si="36"/>
        <v>0</v>
      </c>
      <c r="BM85" s="89">
        <f t="shared" ca="1" si="37"/>
        <v>0</v>
      </c>
      <c r="BN85" s="89">
        <f t="shared" ca="1" si="38"/>
        <v>0</v>
      </c>
      <c r="BO85" s="89">
        <f t="shared" ca="1" si="39"/>
        <v>0</v>
      </c>
      <c r="BP85" s="89">
        <f t="shared" ca="1" si="40"/>
        <v>0</v>
      </c>
      <c r="BQ85" s="89">
        <f t="shared" ca="1" si="41"/>
        <v>0</v>
      </c>
      <c r="BR85" s="87">
        <f t="shared" ca="1" si="42"/>
        <v>0</v>
      </c>
      <c r="BS85" s="89">
        <f t="shared" ca="1" si="43"/>
        <v>0</v>
      </c>
      <c r="BT85" s="89">
        <f t="shared" ca="1" si="44"/>
        <v>0</v>
      </c>
      <c r="BU85" s="89">
        <f t="shared" ca="1" si="45"/>
        <v>0</v>
      </c>
      <c r="BV85" s="87">
        <f t="shared" ca="1" si="46"/>
        <v>0</v>
      </c>
      <c r="BW85" s="87" t="str">
        <f t="shared" ca="1" si="47"/>
        <v>000</v>
      </c>
      <c r="BX85" s="89">
        <f t="shared" ca="1" si="48"/>
        <v>0</v>
      </c>
    </row>
    <row r="86" spans="1:76" ht="13">
      <c r="A86" s="90" t="str">
        <f t="shared" si="49"/>
        <v/>
      </c>
      <c r="B86" s="98">
        <v>5</v>
      </c>
      <c r="C86" s="94">
        <v>-1</v>
      </c>
      <c r="D86" s="94" t="s">
        <v>210</v>
      </c>
      <c r="E86" s="94" t="s">
        <v>210</v>
      </c>
      <c r="F86" s="94">
        <v>-3</v>
      </c>
      <c r="G86" s="94">
        <v>4</v>
      </c>
      <c r="H86" s="94" t="s">
        <v>210</v>
      </c>
      <c r="I86" s="94" t="s">
        <v>210</v>
      </c>
      <c r="J86" s="94">
        <v>-5</v>
      </c>
      <c r="K86" s="94">
        <v>2</v>
      </c>
      <c r="L86" s="94" t="s">
        <v>210</v>
      </c>
      <c r="M86" s="94"/>
      <c r="N86" s="94"/>
      <c r="O86" s="94"/>
      <c r="P86" s="94"/>
      <c r="Q86" s="94"/>
      <c r="R86" s="94"/>
      <c r="S86" s="94"/>
      <c r="T86" s="94"/>
      <c r="U86" s="94"/>
      <c r="AE86" s="94"/>
      <c r="AF86" s="94"/>
      <c r="AG86" s="94"/>
      <c r="AH86" s="94"/>
      <c r="AI86" s="94"/>
      <c r="AJ86" s="94"/>
      <c r="AK86" s="94"/>
      <c r="AL86" s="94"/>
      <c r="AM86" s="94"/>
      <c r="AN86" s="94"/>
      <c r="AO86" s="94"/>
      <c r="AP86" s="94"/>
      <c r="AQ86" s="94"/>
      <c r="AR86" s="94"/>
      <c r="AS86" s="94"/>
      <c r="AT86" s="94"/>
      <c r="AU86" s="94"/>
      <c r="AV86" s="94"/>
      <c r="AW86" s="94"/>
      <c r="AX86" s="94"/>
      <c r="AY86" s="94"/>
      <c r="BA86" s="91">
        <f t="shared" ca="1" si="26"/>
        <v>0</v>
      </c>
      <c r="BB86" s="88" t="str">
        <f t="shared" ca="1" si="27"/>
        <v/>
      </c>
      <c r="BC86" s="89">
        <f t="shared" ca="1" si="28"/>
        <v>0</v>
      </c>
      <c r="BD86">
        <f ca="1">IF(BC86=0,0,RANK(BF86,$BF$11:$BF$100,0)+(COUNTIF($BF86:$BF$100,BF86)-1))</f>
        <v>0</v>
      </c>
      <c r="BE86" s="89">
        <f t="shared" ca="1" si="29"/>
        <v>0</v>
      </c>
      <c r="BF86" s="89">
        <f t="shared" ca="1" si="30"/>
        <v>0</v>
      </c>
      <c r="BG86" s="89">
        <f t="shared" ca="1" si="31"/>
        <v>0</v>
      </c>
      <c r="BH86" s="89">
        <f t="shared" ca="1" si="32"/>
        <v>0</v>
      </c>
      <c r="BI86" s="89">
        <f t="shared" ca="1" si="33"/>
        <v>0</v>
      </c>
      <c r="BJ86" s="89">
        <f t="shared" ca="1" si="34"/>
        <v>0</v>
      </c>
      <c r="BK86" s="89">
        <f t="shared" ca="1" si="35"/>
        <v>0</v>
      </c>
      <c r="BL86" s="89">
        <f t="shared" ca="1" si="36"/>
        <v>0</v>
      </c>
      <c r="BM86" s="89">
        <f t="shared" ca="1" si="37"/>
        <v>0</v>
      </c>
      <c r="BN86" s="89">
        <f t="shared" ca="1" si="38"/>
        <v>0</v>
      </c>
      <c r="BO86" s="89">
        <f t="shared" ca="1" si="39"/>
        <v>0</v>
      </c>
      <c r="BP86" s="89">
        <f t="shared" ca="1" si="40"/>
        <v>0</v>
      </c>
      <c r="BQ86" s="89">
        <f t="shared" ca="1" si="41"/>
        <v>0</v>
      </c>
      <c r="BR86" s="87">
        <f t="shared" ca="1" si="42"/>
        <v>0</v>
      </c>
      <c r="BS86" s="89">
        <f t="shared" ca="1" si="43"/>
        <v>0</v>
      </c>
      <c r="BT86" s="89">
        <f t="shared" ca="1" si="44"/>
        <v>0</v>
      </c>
      <c r="BU86" s="89">
        <f t="shared" ca="1" si="45"/>
        <v>0</v>
      </c>
      <c r="BV86" s="87">
        <f t="shared" ca="1" si="46"/>
        <v>0</v>
      </c>
      <c r="BW86" s="87" t="str">
        <f t="shared" ca="1" si="47"/>
        <v>000</v>
      </c>
      <c r="BX86" s="89">
        <f t="shared" ca="1" si="48"/>
        <v>0</v>
      </c>
    </row>
    <row r="87" spans="1:76" ht="13">
      <c r="A87" s="90" t="str">
        <f t="shared" si="49"/>
        <v/>
      </c>
      <c r="B87" s="99">
        <v>6</v>
      </c>
      <c r="C87" s="92">
        <v>-3</v>
      </c>
      <c r="D87" s="92" t="s">
        <v>210</v>
      </c>
      <c r="E87" s="92" t="s">
        <v>210</v>
      </c>
      <c r="F87" s="92">
        <v>-4</v>
      </c>
      <c r="G87" s="92">
        <v>1</v>
      </c>
      <c r="H87" s="92" t="s">
        <v>210</v>
      </c>
      <c r="I87" s="92" t="s">
        <v>210</v>
      </c>
      <c r="J87" s="92">
        <v>3</v>
      </c>
      <c r="K87" s="92">
        <v>-2</v>
      </c>
      <c r="L87" s="92" t="s">
        <v>210</v>
      </c>
      <c r="M87" s="94"/>
      <c r="N87" s="94"/>
      <c r="O87" s="94"/>
      <c r="P87" s="94"/>
      <c r="Q87" s="94"/>
      <c r="R87" s="94"/>
      <c r="S87" s="94"/>
      <c r="T87" s="94"/>
      <c r="U87" s="94"/>
      <c r="AE87" s="94"/>
      <c r="AF87" s="94"/>
      <c r="AG87" s="94"/>
      <c r="AH87" s="94"/>
      <c r="AI87" s="94"/>
      <c r="AJ87" s="94"/>
      <c r="AK87" s="94"/>
      <c r="AL87" s="94"/>
      <c r="AM87" s="94"/>
      <c r="AN87" s="94"/>
      <c r="AO87" s="94"/>
      <c r="AP87" s="94"/>
      <c r="AQ87" s="94"/>
      <c r="AR87" s="94"/>
      <c r="AS87" s="94"/>
      <c r="AT87" s="94"/>
      <c r="AU87" s="94"/>
      <c r="AV87" s="94"/>
      <c r="AW87" s="94"/>
      <c r="AX87" s="94"/>
      <c r="AY87" s="94"/>
      <c r="BA87" s="91">
        <f t="shared" ca="1" si="26"/>
        <v>0</v>
      </c>
      <c r="BB87" s="88" t="str">
        <f t="shared" ca="1" si="27"/>
        <v/>
      </c>
      <c r="BC87" s="89">
        <f t="shared" ca="1" si="28"/>
        <v>0</v>
      </c>
      <c r="BD87">
        <f ca="1">IF(BC87=0,0,RANK(BF87,$BF$11:$BF$100,0)+(COUNTIF($BF87:$BF$100,BF87)-1))</f>
        <v>0</v>
      </c>
      <c r="BE87" s="89">
        <f t="shared" ca="1" si="29"/>
        <v>0</v>
      </c>
      <c r="BF87" s="89">
        <f t="shared" ca="1" si="30"/>
        <v>0</v>
      </c>
      <c r="BG87" s="89">
        <f t="shared" ca="1" si="31"/>
        <v>0</v>
      </c>
      <c r="BH87" s="89">
        <f t="shared" ca="1" si="32"/>
        <v>0</v>
      </c>
      <c r="BI87" s="89">
        <f t="shared" ca="1" si="33"/>
        <v>0</v>
      </c>
      <c r="BJ87" s="89">
        <f t="shared" ca="1" si="34"/>
        <v>0</v>
      </c>
      <c r="BK87" s="89">
        <f t="shared" ca="1" si="35"/>
        <v>0</v>
      </c>
      <c r="BL87" s="89">
        <f t="shared" ca="1" si="36"/>
        <v>0</v>
      </c>
      <c r="BM87" s="89">
        <f t="shared" ca="1" si="37"/>
        <v>0</v>
      </c>
      <c r="BN87" s="89">
        <f t="shared" ca="1" si="38"/>
        <v>0</v>
      </c>
      <c r="BO87" s="89">
        <f t="shared" ca="1" si="39"/>
        <v>0</v>
      </c>
      <c r="BP87" s="89">
        <f t="shared" ca="1" si="40"/>
        <v>0</v>
      </c>
      <c r="BQ87" s="89">
        <f t="shared" ca="1" si="41"/>
        <v>0</v>
      </c>
      <c r="BR87" s="87">
        <f t="shared" ca="1" si="42"/>
        <v>0</v>
      </c>
      <c r="BS87" s="89">
        <f t="shared" ca="1" si="43"/>
        <v>0</v>
      </c>
      <c r="BT87" s="89">
        <f t="shared" ca="1" si="44"/>
        <v>0</v>
      </c>
      <c r="BU87" s="89">
        <f t="shared" ca="1" si="45"/>
        <v>0</v>
      </c>
      <c r="BV87" s="87">
        <f t="shared" ca="1" si="46"/>
        <v>0</v>
      </c>
      <c r="BW87" s="87" t="str">
        <f t="shared" ca="1" si="47"/>
        <v>000</v>
      </c>
      <c r="BX87" s="89">
        <f t="shared" ca="1" si="48"/>
        <v>0</v>
      </c>
    </row>
    <row r="88" spans="1:76" ht="13">
      <c r="A88" s="90" t="str">
        <f t="shared" si="49"/>
        <v/>
      </c>
      <c r="B88" s="98">
        <v>7</v>
      </c>
      <c r="C88" s="94">
        <v>4</v>
      </c>
      <c r="D88" s="94" t="s">
        <v>210</v>
      </c>
      <c r="E88" s="94">
        <v>1</v>
      </c>
      <c r="F88" s="94" t="s">
        <v>210</v>
      </c>
      <c r="G88" s="94" t="s">
        <v>210</v>
      </c>
      <c r="H88" s="94">
        <v>-3</v>
      </c>
      <c r="I88" s="94">
        <v>-2</v>
      </c>
      <c r="J88" s="94" t="s">
        <v>210</v>
      </c>
      <c r="K88" s="94" t="s">
        <v>210</v>
      </c>
      <c r="L88" s="94">
        <v>5</v>
      </c>
      <c r="M88" s="94"/>
      <c r="N88" s="94"/>
      <c r="O88" s="94"/>
      <c r="P88" s="94"/>
      <c r="Q88" s="94"/>
      <c r="R88" s="94"/>
      <c r="S88" s="94"/>
      <c r="T88" s="94"/>
      <c r="U88" s="94"/>
      <c r="AE88" s="94"/>
      <c r="AF88" s="94"/>
      <c r="AG88" s="94"/>
      <c r="AH88" s="94"/>
      <c r="AI88" s="94"/>
      <c r="AJ88" s="94"/>
      <c r="AK88" s="94"/>
      <c r="AL88" s="94"/>
      <c r="AM88" s="94"/>
      <c r="AN88" s="94"/>
      <c r="AO88" s="94"/>
      <c r="AP88" s="94"/>
      <c r="AQ88" s="94"/>
      <c r="AR88" s="94"/>
      <c r="AS88" s="94"/>
      <c r="AT88" s="94"/>
      <c r="AU88" s="94"/>
      <c r="AV88" s="94"/>
      <c r="AW88" s="94"/>
      <c r="AX88" s="94"/>
      <c r="AY88" s="94"/>
      <c r="BA88" s="91">
        <f t="shared" ca="1" si="26"/>
        <v>0</v>
      </c>
      <c r="BB88" s="88" t="str">
        <f t="shared" ca="1" si="27"/>
        <v/>
      </c>
      <c r="BC88" s="89">
        <f t="shared" ca="1" si="28"/>
        <v>0</v>
      </c>
      <c r="BD88">
        <f ca="1">IF(BC88=0,0,RANK(BF88,$BF$11:$BF$100,0)+(COUNTIF($BF88:$BF$100,BF88)-1))</f>
        <v>0</v>
      </c>
      <c r="BE88" s="89">
        <f t="shared" ca="1" si="29"/>
        <v>0</v>
      </c>
      <c r="BF88" s="89">
        <f t="shared" ca="1" si="30"/>
        <v>0</v>
      </c>
      <c r="BG88" s="89">
        <f t="shared" ca="1" si="31"/>
        <v>0</v>
      </c>
      <c r="BH88" s="89">
        <f t="shared" ca="1" si="32"/>
        <v>0</v>
      </c>
      <c r="BI88" s="89">
        <f t="shared" ca="1" si="33"/>
        <v>0</v>
      </c>
      <c r="BJ88" s="89">
        <f t="shared" ca="1" si="34"/>
        <v>0</v>
      </c>
      <c r="BK88" s="89">
        <f t="shared" ca="1" si="35"/>
        <v>0</v>
      </c>
      <c r="BL88" s="89">
        <f t="shared" ca="1" si="36"/>
        <v>0</v>
      </c>
      <c r="BM88" s="89">
        <f t="shared" ca="1" si="37"/>
        <v>0</v>
      </c>
      <c r="BN88" s="89">
        <f t="shared" ca="1" si="38"/>
        <v>0</v>
      </c>
      <c r="BO88" s="89">
        <f t="shared" ca="1" si="39"/>
        <v>0</v>
      </c>
      <c r="BP88" s="89">
        <f t="shared" ca="1" si="40"/>
        <v>0</v>
      </c>
      <c r="BQ88" s="89">
        <f t="shared" ca="1" si="41"/>
        <v>0</v>
      </c>
      <c r="BR88" s="87">
        <f t="shared" ca="1" si="42"/>
        <v>0</v>
      </c>
      <c r="BS88" s="89">
        <f t="shared" ca="1" si="43"/>
        <v>0</v>
      </c>
      <c r="BT88" s="89">
        <f t="shared" ca="1" si="44"/>
        <v>0</v>
      </c>
      <c r="BU88" s="89">
        <f t="shared" ca="1" si="45"/>
        <v>0</v>
      </c>
      <c r="BV88" s="87">
        <f t="shared" ca="1" si="46"/>
        <v>0</v>
      </c>
      <c r="BW88" s="87" t="str">
        <f t="shared" ca="1" si="47"/>
        <v>000</v>
      </c>
      <c r="BX88" s="89">
        <f t="shared" ca="1" si="48"/>
        <v>0</v>
      </c>
    </row>
    <row r="89" spans="1:76" ht="13">
      <c r="A89" s="90" t="str">
        <f t="shared" si="49"/>
        <v/>
      </c>
      <c r="B89" s="98">
        <v>8</v>
      </c>
      <c r="C89" s="94">
        <v>2</v>
      </c>
      <c r="D89" s="94" t="s">
        <v>210</v>
      </c>
      <c r="E89" s="94">
        <v>3</v>
      </c>
      <c r="F89" s="94" t="s">
        <v>210</v>
      </c>
      <c r="G89" s="94" t="s">
        <v>210</v>
      </c>
      <c r="H89" s="94">
        <v>-1</v>
      </c>
      <c r="I89" s="94">
        <v>4</v>
      </c>
      <c r="J89" s="94" t="s">
        <v>210</v>
      </c>
      <c r="K89" s="94" t="s">
        <v>210</v>
      </c>
      <c r="L89" s="94">
        <v>-5</v>
      </c>
      <c r="M89" s="94"/>
      <c r="N89" s="94"/>
      <c r="O89" s="94"/>
      <c r="P89" s="94"/>
      <c r="Q89" s="94"/>
      <c r="R89" s="94"/>
      <c r="S89" s="94"/>
      <c r="T89" s="94"/>
      <c r="U89" s="94"/>
      <c r="AE89" s="94"/>
      <c r="AF89" s="94"/>
      <c r="AG89" s="94"/>
      <c r="AH89" s="94"/>
      <c r="AI89" s="94"/>
      <c r="AJ89" s="94"/>
      <c r="AK89" s="94"/>
      <c r="AL89" s="94"/>
      <c r="AM89" s="94"/>
      <c r="AN89" s="94"/>
      <c r="AO89" s="94"/>
      <c r="AP89" s="94"/>
      <c r="AQ89" s="94"/>
      <c r="AR89" s="94"/>
      <c r="AS89" s="94"/>
      <c r="AT89" s="94"/>
      <c r="AU89" s="94"/>
      <c r="AV89" s="94"/>
      <c r="AW89" s="94"/>
      <c r="AX89" s="94"/>
      <c r="AY89" s="94"/>
      <c r="BA89" s="91">
        <f t="shared" ca="1" si="26"/>
        <v>0</v>
      </c>
      <c r="BB89" s="88" t="str">
        <f t="shared" ca="1" si="27"/>
        <v/>
      </c>
      <c r="BC89" s="89">
        <f t="shared" ca="1" si="28"/>
        <v>0</v>
      </c>
      <c r="BD89">
        <f ca="1">IF(BC89=0,0,RANK(BF89,$BF$11:$BF$100,0)+(COUNTIF($BF89:$BF$100,BF89)-1))</f>
        <v>0</v>
      </c>
      <c r="BE89" s="89">
        <f t="shared" ca="1" si="29"/>
        <v>0</v>
      </c>
      <c r="BF89" s="89">
        <f t="shared" ca="1" si="30"/>
        <v>0</v>
      </c>
      <c r="BG89" s="89">
        <f t="shared" ca="1" si="31"/>
        <v>0</v>
      </c>
      <c r="BH89" s="89">
        <f t="shared" ca="1" si="32"/>
        <v>0</v>
      </c>
      <c r="BI89" s="89">
        <f t="shared" ca="1" si="33"/>
        <v>0</v>
      </c>
      <c r="BJ89" s="89">
        <f t="shared" ca="1" si="34"/>
        <v>0</v>
      </c>
      <c r="BK89" s="89">
        <f t="shared" ca="1" si="35"/>
        <v>0</v>
      </c>
      <c r="BL89" s="89">
        <f t="shared" ca="1" si="36"/>
        <v>0</v>
      </c>
      <c r="BM89" s="89">
        <f t="shared" ca="1" si="37"/>
        <v>0</v>
      </c>
      <c r="BN89" s="89">
        <f t="shared" ca="1" si="38"/>
        <v>0</v>
      </c>
      <c r="BO89" s="89">
        <f t="shared" ca="1" si="39"/>
        <v>0</v>
      </c>
      <c r="BP89" s="89">
        <f t="shared" ca="1" si="40"/>
        <v>0</v>
      </c>
      <c r="BQ89" s="89">
        <f t="shared" ca="1" si="41"/>
        <v>0</v>
      </c>
      <c r="BR89" s="87">
        <f t="shared" ca="1" si="42"/>
        <v>0</v>
      </c>
      <c r="BS89" s="89">
        <f t="shared" ca="1" si="43"/>
        <v>0</v>
      </c>
      <c r="BT89" s="89">
        <f t="shared" ca="1" si="44"/>
        <v>0</v>
      </c>
      <c r="BU89" s="89">
        <f t="shared" ca="1" si="45"/>
        <v>0</v>
      </c>
      <c r="BV89" s="87">
        <f t="shared" ca="1" si="46"/>
        <v>0</v>
      </c>
      <c r="BW89" s="87" t="str">
        <f t="shared" ca="1" si="47"/>
        <v>000</v>
      </c>
      <c r="BX89" s="89">
        <f t="shared" ca="1" si="48"/>
        <v>0</v>
      </c>
    </row>
    <row r="90" spans="1:76" ht="13">
      <c r="A90" s="90" t="str">
        <f t="shared" si="49"/>
        <v/>
      </c>
      <c r="B90" s="98">
        <v>9</v>
      </c>
      <c r="C90" s="94">
        <v>-4</v>
      </c>
      <c r="D90" s="94" t="s">
        <v>210</v>
      </c>
      <c r="E90" s="94">
        <v>-2</v>
      </c>
      <c r="F90" s="94" t="s">
        <v>210</v>
      </c>
      <c r="G90" s="94" t="s">
        <v>210</v>
      </c>
      <c r="H90" s="94">
        <v>1</v>
      </c>
      <c r="I90" s="94">
        <v>5</v>
      </c>
      <c r="J90" s="94" t="s">
        <v>210</v>
      </c>
      <c r="K90" s="94" t="s">
        <v>210</v>
      </c>
      <c r="L90" s="94">
        <v>-3</v>
      </c>
      <c r="M90" s="94"/>
      <c r="N90" s="94"/>
      <c r="O90" s="94"/>
      <c r="P90" s="94"/>
      <c r="Q90" s="94"/>
      <c r="R90" s="94"/>
      <c r="S90" s="94"/>
      <c r="T90" s="94"/>
      <c r="U90" s="94"/>
      <c r="AE90" s="94"/>
      <c r="AF90" s="94"/>
      <c r="AG90" s="94"/>
      <c r="AH90" s="94"/>
      <c r="AI90" s="94"/>
      <c r="AJ90" s="94"/>
      <c r="AK90" s="94"/>
      <c r="AL90" s="94"/>
      <c r="AM90" s="94"/>
      <c r="AN90" s="94"/>
      <c r="AO90" s="94"/>
      <c r="AP90" s="94"/>
      <c r="AQ90" s="94"/>
      <c r="AR90" s="94"/>
      <c r="AS90" s="94"/>
      <c r="AT90" s="94"/>
      <c r="AU90" s="94"/>
      <c r="AV90" s="94"/>
      <c r="AW90" s="94"/>
      <c r="AX90" s="94"/>
      <c r="AY90" s="94"/>
      <c r="BA90" s="91">
        <f t="shared" ca="1" si="26"/>
        <v>0</v>
      </c>
      <c r="BB90" s="88" t="str">
        <f t="shared" ca="1" si="27"/>
        <v/>
      </c>
      <c r="BC90" s="89">
        <f t="shared" ca="1" si="28"/>
        <v>0</v>
      </c>
      <c r="BD90">
        <f ca="1">IF(BC90=0,0,RANK(BF90,$BF$11:$BF$100,0)+(COUNTIF($BF90:$BF$100,BF90)-1))</f>
        <v>0</v>
      </c>
      <c r="BE90" s="89">
        <f t="shared" ca="1" si="29"/>
        <v>0</v>
      </c>
      <c r="BF90" s="89">
        <f t="shared" ca="1" si="30"/>
        <v>0</v>
      </c>
      <c r="BG90" s="89">
        <f t="shared" ca="1" si="31"/>
        <v>0</v>
      </c>
      <c r="BH90" s="89">
        <f t="shared" ca="1" si="32"/>
        <v>0</v>
      </c>
      <c r="BI90" s="89">
        <f t="shared" ca="1" si="33"/>
        <v>0</v>
      </c>
      <c r="BJ90" s="89">
        <f t="shared" ca="1" si="34"/>
        <v>0</v>
      </c>
      <c r="BK90" s="89">
        <f t="shared" ca="1" si="35"/>
        <v>0</v>
      </c>
      <c r="BL90" s="89">
        <f t="shared" ca="1" si="36"/>
        <v>0</v>
      </c>
      <c r="BM90" s="89">
        <f t="shared" ca="1" si="37"/>
        <v>0</v>
      </c>
      <c r="BN90" s="89">
        <f t="shared" ca="1" si="38"/>
        <v>0</v>
      </c>
      <c r="BO90" s="89">
        <f t="shared" ca="1" si="39"/>
        <v>0</v>
      </c>
      <c r="BP90" s="89">
        <f t="shared" ca="1" si="40"/>
        <v>0</v>
      </c>
      <c r="BQ90" s="89">
        <f t="shared" ca="1" si="41"/>
        <v>0</v>
      </c>
      <c r="BR90" s="87">
        <f t="shared" ca="1" si="42"/>
        <v>0</v>
      </c>
      <c r="BS90" s="89">
        <f t="shared" ca="1" si="43"/>
        <v>0</v>
      </c>
      <c r="BT90" s="89">
        <f t="shared" ca="1" si="44"/>
        <v>0</v>
      </c>
      <c r="BU90" s="89">
        <f t="shared" ca="1" si="45"/>
        <v>0</v>
      </c>
      <c r="BV90" s="87">
        <f t="shared" ca="1" si="46"/>
        <v>0</v>
      </c>
      <c r="BW90" s="87" t="str">
        <f t="shared" ca="1" si="47"/>
        <v>000</v>
      </c>
      <c r="BX90" s="89">
        <f t="shared" ca="1" si="48"/>
        <v>0</v>
      </c>
    </row>
    <row r="91" spans="1:76" ht="13">
      <c r="A91" s="90" t="str">
        <f t="shared" si="49"/>
        <v/>
      </c>
      <c r="B91" s="98">
        <v>10</v>
      </c>
      <c r="C91" s="94" t="s">
        <v>210</v>
      </c>
      <c r="D91" s="94">
        <v>5</v>
      </c>
      <c r="E91" s="94">
        <v>-3</v>
      </c>
      <c r="F91" s="94" t="s">
        <v>210</v>
      </c>
      <c r="G91" s="94" t="s">
        <v>210</v>
      </c>
      <c r="H91" s="94">
        <v>-4</v>
      </c>
      <c r="I91" s="94">
        <v>2</v>
      </c>
      <c r="J91" s="94" t="s">
        <v>210</v>
      </c>
      <c r="K91" s="94" t="s">
        <v>210</v>
      </c>
      <c r="L91" s="94">
        <v>3</v>
      </c>
      <c r="M91" s="94"/>
      <c r="N91" s="94"/>
      <c r="O91" s="94"/>
      <c r="P91" s="94"/>
      <c r="Q91" s="94"/>
      <c r="R91" s="94"/>
      <c r="S91" s="94"/>
      <c r="T91" s="94"/>
      <c r="U91" s="94"/>
      <c r="AE91" s="94"/>
      <c r="AF91" s="94"/>
      <c r="AG91" s="94"/>
      <c r="AH91" s="94"/>
      <c r="AI91" s="94"/>
      <c r="AJ91" s="94"/>
      <c r="AK91" s="94"/>
      <c r="AL91" s="94"/>
      <c r="AM91" s="94"/>
      <c r="AN91" s="94"/>
      <c r="AO91" s="94"/>
      <c r="AP91" s="94"/>
      <c r="AQ91" s="94"/>
      <c r="AR91" s="94"/>
      <c r="AS91" s="94"/>
      <c r="AT91" s="94"/>
      <c r="AU91" s="94"/>
      <c r="AV91" s="94"/>
      <c r="AW91" s="94"/>
      <c r="AX91" s="94"/>
      <c r="AY91" s="94"/>
      <c r="BA91" s="91">
        <f t="shared" ca="1" si="26"/>
        <v>0</v>
      </c>
      <c r="BB91" s="88" t="str">
        <f t="shared" ca="1" si="27"/>
        <v/>
      </c>
      <c r="BC91" s="89">
        <f t="shared" ca="1" si="28"/>
        <v>0</v>
      </c>
      <c r="BD91">
        <f ca="1">IF(BC91=0,0,RANK(BF91,$BF$11:$BF$100,0)+(COUNTIF($BF91:$BF$100,BF91)-1))</f>
        <v>0</v>
      </c>
      <c r="BE91" s="89">
        <f t="shared" ca="1" si="29"/>
        <v>0</v>
      </c>
      <c r="BF91" s="89">
        <f t="shared" ca="1" si="30"/>
        <v>0</v>
      </c>
      <c r="BG91" s="89">
        <f t="shared" ca="1" si="31"/>
        <v>0</v>
      </c>
      <c r="BH91" s="89">
        <f t="shared" ca="1" si="32"/>
        <v>0</v>
      </c>
      <c r="BI91" s="89">
        <f t="shared" ca="1" si="33"/>
        <v>0</v>
      </c>
      <c r="BJ91" s="89">
        <f t="shared" ca="1" si="34"/>
        <v>0</v>
      </c>
      <c r="BK91" s="89">
        <f t="shared" ca="1" si="35"/>
        <v>0</v>
      </c>
      <c r="BL91" s="89">
        <f t="shared" ca="1" si="36"/>
        <v>0</v>
      </c>
      <c r="BM91" s="89">
        <f t="shared" ca="1" si="37"/>
        <v>0</v>
      </c>
      <c r="BN91" s="89">
        <f t="shared" ca="1" si="38"/>
        <v>0</v>
      </c>
      <c r="BO91" s="89">
        <f t="shared" ca="1" si="39"/>
        <v>0</v>
      </c>
      <c r="BP91" s="89">
        <f t="shared" ca="1" si="40"/>
        <v>0</v>
      </c>
      <c r="BQ91" s="89">
        <f t="shared" ca="1" si="41"/>
        <v>0</v>
      </c>
      <c r="BR91" s="87">
        <f t="shared" ca="1" si="42"/>
        <v>0</v>
      </c>
      <c r="BS91" s="89">
        <f t="shared" ca="1" si="43"/>
        <v>0</v>
      </c>
      <c r="BT91" s="89">
        <f t="shared" ca="1" si="44"/>
        <v>0</v>
      </c>
      <c r="BU91" s="89">
        <f t="shared" ca="1" si="45"/>
        <v>0</v>
      </c>
      <c r="BV91" s="87">
        <f t="shared" ca="1" si="46"/>
        <v>0</v>
      </c>
      <c r="BW91" s="87" t="str">
        <f t="shared" ca="1" si="47"/>
        <v>000</v>
      </c>
      <c r="BX91" s="89">
        <f t="shared" ca="1" si="48"/>
        <v>0</v>
      </c>
    </row>
    <row r="92" spans="1:76" ht="13">
      <c r="A92" s="90" t="str">
        <f t="shared" si="49"/>
        <v/>
      </c>
      <c r="B92" s="98">
        <v>11</v>
      </c>
      <c r="C92" s="94">
        <v>-2</v>
      </c>
      <c r="D92" s="94" t="s">
        <v>210</v>
      </c>
      <c r="E92" s="94">
        <v>-1</v>
      </c>
      <c r="F92" s="94" t="s">
        <v>210</v>
      </c>
      <c r="G92" s="94" t="s">
        <v>210</v>
      </c>
      <c r="H92" s="94">
        <v>4</v>
      </c>
      <c r="I92" s="94">
        <v>-5</v>
      </c>
      <c r="J92" s="94" t="s">
        <v>210</v>
      </c>
      <c r="K92" s="94" t="s">
        <v>210</v>
      </c>
      <c r="L92" s="94">
        <v>2</v>
      </c>
      <c r="M92" s="94"/>
      <c r="N92" s="94"/>
      <c r="O92" s="94"/>
      <c r="P92" s="94"/>
      <c r="Q92" s="94"/>
      <c r="R92" s="94"/>
      <c r="S92" s="94"/>
      <c r="T92" s="94"/>
      <c r="U92" s="94"/>
      <c r="AE92" s="94"/>
      <c r="AF92" s="94"/>
      <c r="AG92" s="94"/>
      <c r="AH92" s="94"/>
      <c r="AI92" s="94"/>
      <c r="AJ92" s="94"/>
      <c r="AK92" s="94"/>
      <c r="AL92" s="94"/>
      <c r="AM92" s="94"/>
      <c r="AN92" s="94"/>
      <c r="AO92" s="94"/>
      <c r="AP92" s="94"/>
      <c r="AQ92" s="94"/>
      <c r="AR92" s="94"/>
      <c r="AS92" s="94"/>
      <c r="AT92" s="94"/>
      <c r="AU92" s="94"/>
      <c r="AV92" s="94"/>
      <c r="AW92" s="94"/>
      <c r="AX92" s="94"/>
      <c r="AY92" s="94"/>
      <c r="BA92" s="91">
        <f t="shared" ca="1" si="26"/>
        <v>0</v>
      </c>
      <c r="BB92" s="88" t="str">
        <f t="shared" ca="1" si="27"/>
        <v/>
      </c>
      <c r="BC92" s="89">
        <f t="shared" ca="1" si="28"/>
        <v>0</v>
      </c>
      <c r="BD92">
        <f ca="1">IF(BC92=0,0,RANK(BF92,$BF$11:$BF$100,0)+(COUNTIF($BF92:$BF$100,BF92)-1))</f>
        <v>0</v>
      </c>
      <c r="BE92" s="89">
        <f t="shared" ca="1" si="29"/>
        <v>0</v>
      </c>
      <c r="BF92" s="89">
        <f t="shared" ca="1" si="30"/>
        <v>0</v>
      </c>
      <c r="BG92" s="89">
        <f t="shared" ca="1" si="31"/>
        <v>0</v>
      </c>
      <c r="BH92" s="89">
        <f t="shared" ca="1" si="32"/>
        <v>0</v>
      </c>
      <c r="BI92" s="89">
        <f t="shared" ca="1" si="33"/>
        <v>0</v>
      </c>
      <c r="BJ92" s="89">
        <f t="shared" ca="1" si="34"/>
        <v>0</v>
      </c>
      <c r="BK92" s="89">
        <f t="shared" ca="1" si="35"/>
        <v>0</v>
      </c>
      <c r="BL92" s="89">
        <f t="shared" ca="1" si="36"/>
        <v>0</v>
      </c>
      <c r="BM92" s="89">
        <f t="shared" ca="1" si="37"/>
        <v>0</v>
      </c>
      <c r="BN92" s="89">
        <f t="shared" ca="1" si="38"/>
        <v>0</v>
      </c>
      <c r="BO92" s="89">
        <f t="shared" ca="1" si="39"/>
        <v>0</v>
      </c>
      <c r="BP92" s="89">
        <f t="shared" ca="1" si="40"/>
        <v>0</v>
      </c>
      <c r="BQ92" s="89">
        <f t="shared" ca="1" si="41"/>
        <v>0</v>
      </c>
      <c r="BR92" s="87">
        <f t="shared" ca="1" si="42"/>
        <v>0</v>
      </c>
      <c r="BS92" s="89">
        <f t="shared" ca="1" si="43"/>
        <v>0</v>
      </c>
      <c r="BT92" s="89">
        <f t="shared" ca="1" si="44"/>
        <v>0</v>
      </c>
      <c r="BU92" s="89">
        <f t="shared" ca="1" si="45"/>
        <v>0</v>
      </c>
      <c r="BV92" s="87">
        <f t="shared" ca="1" si="46"/>
        <v>0</v>
      </c>
      <c r="BW92" s="87" t="str">
        <f t="shared" ca="1" si="47"/>
        <v>000</v>
      </c>
      <c r="BX92" s="89">
        <f t="shared" ca="1" si="48"/>
        <v>0</v>
      </c>
    </row>
    <row r="93" spans="1:76" ht="13">
      <c r="A93" s="90" t="str">
        <f t="shared" si="49"/>
        <v/>
      </c>
      <c r="B93" s="99">
        <v>12</v>
      </c>
      <c r="C93" s="92" t="s">
        <v>210</v>
      </c>
      <c r="D93" s="92">
        <v>-5</v>
      </c>
      <c r="E93" s="92">
        <v>2</v>
      </c>
      <c r="F93" s="92" t="s">
        <v>210</v>
      </c>
      <c r="G93" s="92" t="s">
        <v>210</v>
      </c>
      <c r="H93" s="92">
        <v>3</v>
      </c>
      <c r="I93" s="92">
        <v>-4</v>
      </c>
      <c r="J93" s="92" t="s">
        <v>210</v>
      </c>
      <c r="K93" s="92" t="s">
        <v>210</v>
      </c>
      <c r="L93" s="92">
        <v>-2</v>
      </c>
      <c r="M93" s="94"/>
      <c r="N93" s="94"/>
      <c r="O93" s="94"/>
      <c r="P93" s="94"/>
      <c r="Q93" s="94"/>
      <c r="R93" s="94"/>
      <c r="S93" s="94"/>
      <c r="T93" s="94"/>
      <c r="U93" s="94"/>
      <c r="AE93" s="94"/>
      <c r="AF93" s="94"/>
      <c r="AG93" s="94"/>
      <c r="AH93" s="94"/>
      <c r="AI93" s="94"/>
      <c r="AJ93" s="94"/>
      <c r="AK93" s="94"/>
      <c r="AL93" s="94"/>
      <c r="AM93" s="94"/>
      <c r="AN93" s="94"/>
      <c r="AO93" s="94"/>
      <c r="AP93" s="94"/>
      <c r="AQ93" s="94"/>
      <c r="AR93" s="94"/>
      <c r="AS93" s="94"/>
      <c r="AT93" s="94"/>
      <c r="AU93" s="94"/>
      <c r="AV93" s="94"/>
      <c r="AW93" s="94"/>
      <c r="AX93" s="94"/>
      <c r="AY93" s="94"/>
      <c r="BA93" s="91">
        <f t="shared" ca="1" si="26"/>
        <v>0</v>
      </c>
      <c r="BB93" s="88" t="str">
        <f t="shared" ca="1" si="27"/>
        <v/>
      </c>
      <c r="BC93" s="89">
        <f t="shared" ca="1" si="28"/>
        <v>0</v>
      </c>
      <c r="BD93">
        <f ca="1">IF(BC93=0,0,RANK(BF93,$BF$11:$BF$100,0)+(COUNTIF($BF93:$BF$100,BF93)-1))</f>
        <v>0</v>
      </c>
      <c r="BE93" s="89">
        <f t="shared" ca="1" si="29"/>
        <v>0</v>
      </c>
      <c r="BF93" s="89">
        <f t="shared" ca="1" si="30"/>
        <v>0</v>
      </c>
      <c r="BG93" s="89">
        <f t="shared" ca="1" si="31"/>
        <v>0</v>
      </c>
      <c r="BH93" s="89">
        <f t="shared" ca="1" si="32"/>
        <v>0</v>
      </c>
      <c r="BI93" s="89">
        <f t="shared" ca="1" si="33"/>
        <v>0</v>
      </c>
      <c r="BJ93" s="89">
        <f t="shared" ca="1" si="34"/>
        <v>0</v>
      </c>
      <c r="BK93" s="89">
        <f t="shared" ca="1" si="35"/>
        <v>0</v>
      </c>
      <c r="BL93" s="89">
        <f t="shared" ca="1" si="36"/>
        <v>0</v>
      </c>
      <c r="BM93" s="89">
        <f t="shared" ca="1" si="37"/>
        <v>0</v>
      </c>
      <c r="BN93" s="89">
        <f t="shared" ca="1" si="38"/>
        <v>0</v>
      </c>
      <c r="BO93" s="89">
        <f t="shared" ca="1" si="39"/>
        <v>0</v>
      </c>
      <c r="BP93" s="89">
        <f t="shared" ca="1" si="40"/>
        <v>0</v>
      </c>
      <c r="BQ93" s="89">
        <f t="shared" ca="1" si="41"/>
        <v>0</v>
      </c>
      <c r="BR93" s="87">
        <f t="shared" ca="1" si="42"/>
        <v>0</v>
      </c>
      <c r="BS93" s="89">
        <f t="shared" ca="1" si="43"/>
        <v>0</v>
      </c>
      <c r="BT93" s="89">
        <f t="shared" ca="1" si="44"/>
        <v>0</v>
      </c>
      <c r="BU93" s="89">
        <f t="shared" ca="1" si="45"/>
        <v>0</v>
      </c>
      <c r="BV93" s="87">
        <f t="shared" ca="1" si="46"/>
        <v>0</v>
      </c>
      <c r="BW93" s="87" t="str">
        <f t="shared" ca="1" si="47"/>
        <v>000</v>
      </c>
      <c r="BX93" s="89">
        <f t="shared" ca="1" si="48"/>
        <v>0</v>
      </c>
    </row>
    <row r="94" spans="1:76" ht="13">
      <c r="A94" s="90" t="str">
        <f t="shared" si="49"/>
        <v/>
      </c>
      <c r="B94" s="98">
        <v>13</v>
      </c>
      <c r="C94" s="94" t="s">
        <v>210</v>
      </c>
      <c r="D94" s="94">
        <v>-2</v>
      </c>
      <c r="E94" s="94">
        <v>-5</v>
      </c>
      <c r="F94" s="94" t="s">
        <v>210</v>
      </c>
      <c r="G94" s="94">
        <v>3</v>
      </c>
      <c r="H94" s="94" t="s">
        <v>210</v>
      </c>
      <c r="I94" s="94" t="s">
        <v>210</v>
      </c>
      <c r="J94" s="94">
        <v>-4</v>
      </c>
      <c r="K94" s="94">
        <v>5</v>
      </c>
      <c r="L94" s="94" t="s">
        <v>210</v>
      </c>
      <c r="M94" s="94"/>
      <c r="N94" s="94"/>
      <c r="O94" s="94"/>
      <c r="P94" s="94"/>
      <c r="Q94" s="94"/>
      <c r="R94" s="94"/>
      <c r="S94" s="94"/>
      <c r="T94" s="94"/>
      <c r="U94" s="94"/>
      <c r="AE94" s="94"/>
      <c r="AF94" s="94"/>
      <c r="AG94" s="94"/>
      <c r="AH94" s="94"/>
      <c r="AI94" s="94"/>
      <c r="AJ94" s="94"/>
      <c r="AK94" s="94"/>
      <c r="AL94" s="94"/>
      <c r="AM94" s="94"/>
      <c r="AN94" s="94"/>
      <c r="AO94" s="94"/>
      <c r="AP94" s="94"/>
      <c r="AQ94" s="94"/>
      <c r="AR94" s="94"/>
      <c r="AS94" s="94"/>
      <c r="AT94" s="94"/>
      <c r="AU94" s="94"/>
      <c r="AV94" s="94"/>
      <c r="AW94" s="94"/>
      <c r="AX94" s="94"/>
      <c r="AY94" s="94"/>
      <c r="BA94" s="91">
        <f t="shared" ca="1" si="26"/>
        <v>0</v>
      </c>
      <c r="BB94" s="88" t="str">
        <f t="shared" ca="1" si="27"/>
        <v/>
      </c>
      <c r="BC94" s="89">
        <f t="shared" ca="1" si="28"/>
        <v>0</v>
      </c>
      <c r="BD94">
        <f ca="1">IF(BC94=0,0,RANK(BF94,$BF$11:$BF$100,0)+(COUNTIF($BF94:$BF$100,BF94)-1))</f>
        <v>0</v>
      </c>
      <c r="BE94" s="89">
        <f t="shared" ca="1" si="29"/>
        <v>0</v>
      </c>
      <c r="BF94" s="89">
        <f t="shared" ca="1" si="30"/>
        <v>0</v>
      </c>
      <c r="BG94" s="89">
        <f t="shared" ca="1" si="31"/>
        <v>0</v>
      </c>
      <c r="BH94" s="89">
        <f t="shared" ca="1" si="32"/>
        <v>0</v>
      </c>
      <c r="BI94" s="89">
        <f t="shared" ca="1" si="33"/>
        <v>0</v>
      </c>
      <c r="BJ94" s="89">
        <f t="shared" ca="1" si="34"/>
        <v>0</v>
      </c>
      <c r="BK94" s="89">
        <f t="shared" ca="1" si="35"/>
        <v>0</v>
      </c>
      <c r="BL94" s="89">
        <f t="shared" ca="1" si="36"/>
        <v>0</v>
      </c>
      <c r="BM94" s="89">
        <f t="shared" ca="1" si="37"/>
        <v>0</v>
      </c>
      <c r="BN94" s="89">
        <f t="shared" ca="1" si="38"/>
        <v>0</v>
      </c>
      <c r="BO94" s="89">
        <f t="shared" ca="1" si="39"/>
        <v>0</v>
      </c>
      <c r="BP94" s="89">
        <f t="shared" ca="1" si="40"/>
        <v>0</v>
      </c>
      <c r="BQ94" s="89">
        <f t="shared" ca="1" si="41"/>
        <v>0</v>
      </c>
      <c r="BR94" s="87">
        <f t="shared" ca="1" si="42"/>
        <v>0</v>
      </c>
      <c r="BS94" s="89">
        <f t="shared" ca="1" si="43"/>
        <v>0</v>
      </c>
      <c r="BT94" s="89">
        <f t="shared" ca="1" si="44"/>
        <v>0</v>
      </c>
      <c r="BU94" s="89">
        <f t="shared" ca="1" si="45"/>
        <v>0</v>
      </c>
      <c r="BV94" s="87">
        <f t="shared" ca="1" si="46"/>
        <v>0</v>
      </c>
      <c r="BW94" s="87" t="str">
        <f t="shared" ca="1" si="47"/>
        <v>000</v>
      </c>
      <c r="BX94" s="89">
        <f t="shared" ca="1" si="48"/>
        <v>0</v>
      </c>
    </row>
    <row r="95" spans="1:76" ht="13">
      <c r="A95" s="90" t="str">
        <f t="shared" si="49"/>
        <v/>
      </c>
      <c r="B95" s="98">
        <v>14</v>
      </c>
      <c r="C95" s="94" t="s">
        <v>210</v>
      </c>
      <c r="D95" s="94">
        <v>3</v>
      </c>
      <c r="E95" s="94">
        <v>-4</v>
      </c>
      <c r="F95" s="94" t="s">
        <v>210</v>
      </c>
      <c r="G95" s="94" t="s">
        <v>210</v>
      </c>
      <c r="H95" s="94">
        <v>2</v>
      </c>
      <c r="I95" s="94">
        <v>1</v>
      </c>
      <c r="J95" s="94" t="s">
        <v>210</v>
      </c>
      <c r="K95" s="94">
        <v>-5</v>
      </c>
      <c r="L95" s="94" t="s">
        <v>210</v>
      </c>
      <c r="M95" s="94"/>
      <c r="N95" s="94"/>
      <c r="O95" s="94"/>
      <c r="P95" s="94"/>
      <c r="Q95" s="94"/>
      <c r="R95" s="94"/>
      <c r="S95" s="94"/>
      <c r="T95" s="94"/>
      <c r="U95" s="94"/>
      <c r="AE95" s="94"/>
      <c r="AF95" s="94"/>
      <c r="AG95" s="94"/>
      <c r="AH95" s="94"/>
      <c r="AI95" s="94"/>
      <c r="AJ95" s="94"/>
      <c r="AK95" s="94"/>
      <c r="AL95" s="94"/>
      <c r="AM95" s="94"/>
      <c r="AN95" s="94"/>
      <c r="AO95" s="94"/>
      <c r="AP95" s="94"/>
      <c r="AQ95" s="94"/>
      <c r="AR95" s="94"/>
      <c r="AS95" s="94"/>
      <c r="AT95" s="94"/>
      <c r="AU95" s="94"/>
      <c r="AV95" s="94"/>
      <c r="AW95" s="94"/>
      <c r="AX95" s="94"/>
      <c r="AY95" s="94"/>
      <c r="BA95" s="91">
        <f t="shared" ca="1" si="26"/>
        <v>0</v>
      </c>
      <c r="BB95" s="88" t="str">
        <f t="shared" ca="1" si="27"/>
        <v/>
      </c>
      <c r="BC95" s="89">
        <f t="shared" ca="1" si="28"/>
        <v>0</v>
      </c>
      <c r="BD95">
        <f ca="1">IF(BC95=0,0,RANK(BF95,$BF$11:$BF$100,0)+(COUNTIF($BF95:$BF$100,BF95)-1))</f>
        <v>0</v>
      </c>
      <c r="BE95" s="89">
        <f t="shared" ca="1" si="29"/>
        <v>0</v>
      </c>
      <c r="BF95" s="89">
        <f t="shared" ca="1" si="30"/>
        <v>0</v>
      </c>
      <c r="BG95" s="89">
        <f t="shared" ca="1" si="31"/>
        <v>0</v>
      </c>
      <c r="BH95" s="89">
        <f t="shared" ca="1" si="32"/>
        <v>0</v>
      </c>
      <c r="BI95" s="89">
        <f t="shared" ca="1" si="33"/>
        <v>0</v>
      </c>
      <c r="BJ95" s="89">
        <f t="shared" ca="1" si="34"/>
        <v>0</v>
      </c>
      <c r="BK95" s="89">
        <f t="shared" ca="1" si="35"/>
        <v>0</v>
      </c>
      <c r="BL95" s="89">
        <f t="shared" ca="1" si="36"/>
        <v>0</v>
      </c>
      <c r="BM95" s="89">
        <f t="shared" ca="1" si="37"/>
        <v>0</v>
      </c>
      <c r="BN95" s="89">
        <f t="shared" ca="1" si="38"/>
        <v>0</v>
      </c>
      <c r="BO95" s="89">
        <f t="shared" ca="1" si="39"/>
        <v>0</v>
      </c>
      <c r="BP95" s="89">
        <f t="shared" ca="1" si="40"/>
        <v>0</v>
      </c>
      <c r="BQ95" s="89">
        <f t="shared" ca="1" si="41"/>
        <v>0</v>
      </c>
      <c r="BR95" s="87">
        <f t="shared" ca="1" si="42"/>
        <v>0</v>
      </c>
      <c r="BS95" s="89">
        <f t="shared" ca="1" si="43"/>
        <v>0</v>
      </c>
      <c r="BT95" s="89">
        <f t="shared" ca="1" si="44"/>
        <v>0</v>
      </c>
      <c r="BU95" s="89">
        <f t="shared" ca="1" si="45"/>
        <v>0</v>
      </c>
      <c r="BV95" s="87">
        <f t="shared" ca="1" si="46"/>
        <v>0</v>
      </c>
      <c r="BW95" s="87" t="str">
        <f t="shared" ca="1" si="47"/>
        <v>000</v>
      </c>
      <c r="BX95" s="89">
        <f t="shared" ca="1" si="48"/>
        <v>0</v>
      </c>
    </row>
    <row r="96" spans="1:76" ht="13">
      <c r="A96" s="90" t="str">
        <f t="shared" si="49"/>
        <v/>
      </c>
      <c r="B96" s="98">
        <v>15</v>
      </c>
      <c r="C96" s="94" t="s">
        <v>210</v>
      </c>
      <c r="D96" s="94">
        <v>4</v>
      </c>
      <c r="E96" s="94">
        <v>5</v>
      </c>
      <c r="F96" s="94" t="s">
        <v>210</v>
      </c>
      <c r="G96" s="94" t="s">
        <v>210</v>
      </c>
      <c r="H96" s="94">
        <v>-2</v>
      </c>
      <c r="I96" s="94">
        <v>-3</v>
      </c>
      <c r="J96" s="94" t="s">
        <v>210</v>
      </c>
      <c r="K96" s="94">
        <v>1</v>
      </c>
      <c r="L96" s="94" t="s">
        <v>210</v>
      </c>
      <c r="M96" s="94"/>
      <c r="N96" s="94"/>
      <c r="O96" s="94"/>
      <c r="P96" s="94"/>
      <c r="Q96" s="94"/>
      <c r="R96" s="94"/>
      <c r="S96" s="94"/>
      <c r="T96" s="94"/>
      <c r="U96" s="94"/>
      <c r="AE96" s="94"/>
      <c r="AF96" s="94"/>
      <c r="AG96" s="94"/>
      <c r="AH96" s="94"/>
      <c r="AI96" s="94"/>
      <c r="AJ96" s="94"/>
      <c r="AK96" s="94"/>
      <c r="AL96" s="94"/>
      <c r="AM96" s="94"/>
      <c r="AN96" s="94"/>
      <c r="AO96" s="94"/>
      <c r="AP96" s="94"/>
      <c r="AQ96" s="94"/>
      <c r="AR96" s="94"/>
      <c r="AS96" s="94"/>
      <c r="AT96" s="94"/>
      <c r="AU96" s="94"/>
      <c r="AV96" s="94"/>
      <c r="AW96" s="94"/>
      <c r="AX96" s="94"/>
      <c r="AY96" s="94"/>
      <c r="BA96" s="91">
        <f t="shared" ca="1" si="26"/>
        <v>0</v>
      </c>
      <c r="BB96" s="88" t="str">
        <f t="shared" ca="1" si="27"/>
        <v/>
      </c>
      <c r="BC96" s="89">
        <f t="shared" ca="1" si="28"/>
        <v>0</v>
      </c>
      <c r="BD96">
        <f ca="1">IF(BC96=0,0,RANK(BF96,$BF$11:$BF$100,0)+(COUNTIF($BF96:$BF$100,BF96)-1))</f>
        <v>0</v>
      </c>
      <c r="BE96" s="89">
        <f t="shared" ca="1" si="29"/>
        <v>0</v>
      </c>
      <c r="BF96" s="89">
        <f t="shared" ca="1" si="30"/>
        <v>0</v>
      </c>
      <c r="BG96" s="89">
        <f t="shared" ca="1" si="31"/>
        <v>0</v>
      </c>
      <c r="BH96" s="89">
        <f t="shared" ca="1" si="32"/>
        <v>0</v>
      </c>
      <c r="BI96" s="89">
        <f t="shared" ca="1" si="33"/>
        <v>0</v>
      </c>
      <c r="BJ96" s="89">
        <f t="shared" ca="1" si="34"/>
        <v>0</v>
      </c>
      <c r="BK96" s="89">
        <f t="shared" ca="1" si="35"/>
        <v>0</v>
      </c>
      <c r="BL96" s="89">
        <f t="shared" ca="1" si="36"/>
        <v>0</v>
      </c>
      <c r="BM96" s="89">
        <f t="shared" ca="1" si="37"/>
        <v>0</v>
      </c>
      <c r="BN96" s="89">
        <f t="shared" ca="1" si="38"/>
        <v>0</v>
      </c>
      <c r="BO96" s="89">
        <f t="shared" ca="1" si="39"/>
        <v>0</v>
      </c>
      <c r="BP96" s="89">
        <f t="shared" ca="1" si="40"/>
        <v>0</v>
      </c>
      <c r="BQ96" s="89">
        <f t="shared" ca="1" si="41"/>
        <v>0</v>
      </c>
      <c r="BR96" s="87">
        <f t="shared" ca="1" si="42"/>
        <v>0</v>
      </c>
      <c r="BS96" s="89">
        <f t="shared" ca="1" si="43"/>
        <v>0</v>
      </c>
      <c r="BT96" s="89">
        <f t="shared" ca="1" si="44"/>
        <v>0</v>
      </c>
      <c r="BU96" s="89">
        <f t="shared" ca="1" si="45"/>
        <v>0</v>
      </c>
      <c r="BV96" s="87">
        <f t="shared" ca="1" si="46"/>
        <v>0</v>
      </c>
      <c r="BW96" s="87" t="str">
        <f t="shared" ca="1" si="47"/>
        <v>000</v>
      </c>
      <c r="BX96" s="89">
        <f t="shared" ca="1" si="48"/>
        <v>0</v>
      </c>
    </row>
    <row r="97" spans="1:76" ht="13">
      <c r="A97" s="90" t="str">
        <f t="shared" si="49"/>
        <v/>
      </c>
      <c r="B97" s="98">
        <v>16</v>
      </c>
      <c r="C97" s="94" t="s">
        <v>210</v>
      </c>
      <c r="D97" s="94">
        <v>-3</v>
      </c>
      <c r="E97" s="94" t="s">
        <v>210</v>
      </c>
      <c r="F97" s="94">
        <v>-2</v>
      </c>
      <c r="G97" s="94">
        <v>5</v>
      </c>
      <c r="H97" s="94" t="s">
        <v>210</v>
      </c>
      <c r="I97" s="94" t="s">
        <v>210</v>
      </c>
      <c r="J97" s="94">
        <v>4</v>
      </c>
      <c r="K97" s="94">
        <v>-1</v>
      </c>
      <c r="L97" s="94" t="s">
        <v>210</v>
      </c>
      <c r="M97" s="94"/>
      <c r="N97" s="94"/>
      <c r="O97" s="94"/>
      <c r="P97" s="94"/>
      <c r="Q97" s="94"/>
      <c r="R97" s="94"/>
      <c r="S97" s="94"/>
      <c r="T97" s="94"/>
      <c r="U97" s="94"/>
      <c r="AE97" s="94"/>
      <c r="AF97" s="94"/>
      <c r="AG97" s="94"/>
      <c r="AH97" s="94"/>
      <c r="AI97" s="94"/>
      <c r="AJ97" s="94"/>
      <c r="AK97" s="94"/>
      <c r="AL97" s="94"/>
      <c r="AM97" s="94"/>
      <c r="AN97" s="94"/>
      <c r="AO97" s="94"/>
      <c r="AP97" s="94"/>
      <c r="AQ97" s="94"/>
      <c r="AR97" s="94"/>
      <c r="AS97" s="94"/>
      <c r="AT97" s="94"/>
      <c r="AU97" s="94"/>
      <c r="AV97" s="94"/>
      <c r="AW97" s="94"/>
      <c r="AX97" s="94"/>
      <c r="AY97" s="94"/>
      <c r="BA97" s="91">
        <f t="shared" ca="1" si="26"/>
        <v>0</v>
      </c>
      <c r="BB97" s="88" t="str">
        <f t="shared" ca="1" si="27"/>
        <v/>
      </c>
      <c r="BC97" s="89">
        <f t="shared" ca="1" si="28"/>
        <v>0</v>
      </c>
      <c r="BD97">
        <f ca="1">IF(BC97=0,0,RANK(BF97,$BF$11:$BF$100,0)+(COUNTIF($BF97:$BF$100,BF97)-1))</f>
        <v>0</v>
      </c>
      <c r="BE97" s="89">
        <f t="shared" ca="1" si="29"/>
        <v>0</v>
      </c>
      <c r="BF97" s="89">
        <f t="shared" ca="1" si="30"/>
        <v>0</v>
      </c>
      <c r="BG97" s="89">
        <f t="shared" ca="1" si="31"/>
        <v>0</v>
      </c>
      <c r="BH97" s="89">
        <f t="shared" ca="1" si="32"/>
        <v>0</v>
      </c>
      <c r="BI97" s="89">
        <f t="shared" ca="1" si="33"/>
        <v>0</v>
      </c>
      <c r="BJ97" s="89">
        <f t="shared" ca="1" si="34"/>
        <v>0</v>
      </c>
      <c r="BK97" s="89">
        <f t="shared" ca="1" si="35"/>
        <v>0</v>
      </c>
      <c r="BL97" s="89">
        <f t="shared" ca="1" si="36"/>
        <v>0</v>
      </c>
      <c r="BM97" s="89">
        <f t="shared" ca="1" si="37"/>
        <v>0</v>
      </c>
      <c r="BN97" s="89">
        <f t="shared" ca="1" si="38"/>
        <v>0</v>
      </c>
      <c r="BO97" s="89">
        <f t="shared" ca="1" si="39"/>
        <v>0</v>
      </c>
      <c r="BP97" s="89">
        <f t="shared" ca="1" si="40"/>
        <v>0</v>
      </c>
      <c r="BQ97" s="89">
        <f t="shared" ca="1" si="41"/>
        <v>0</v>
      </c>
      <c r="BR97" s="87">
        <f t="shared" ca="1" si="42"/>
        <v>0</v>
      </c>
      <c r="BS97" s="89">
        <f t="shared" ca="1" si="43"/>
        <v>0</v>
      </c>
      <c r="BT97" s="89">
        <f t="shared" ca="1" si="44"/>
        <v>0</v>
      </c>
      <c r="BU97" s="89">
        <f t="shared" ca="1" si="45"/>
        <v>0</v>
      </c>
      <c r="BV97" s="87">
        <f t="shared" ca="1" si="46"/>
        <v>0</v>
      </c>
      <c r="BW97" s="87" t="str">
        <f t="shared" ca="1" si="47"/>
        <v>000</v>
      </c>
      <c r="BX97" s="89">
        <f t="shared" ca="1" si="48"/>
        <v>0</v>
      </c>
    </row>
    <row r="98" spans="1:76" ht="13">
      <c r="A98" s="90" t="str">
        <f t="shared" si="49"/>
        <v/>
      </c>
      <c r="B98" s="98">
        <v>17</v>
      </c>
      <c r="C98" s="94" t="s">
        <v>210</v>
      </c>
      <c r="D98" s="94">
        <v>2</v>
      </c>
      <c r="E98" s="94">
        <v>4</v>
      </c>
      <c r="F98" s="94" t="s">
        <v>210</v>
      </c>
      <c r="G98" s="94">
        <v>-5</v>
      </c>
      <c r="H98" s="94" t="s">
        <v>210</v>
      </c>
      <c r="I98" s="94">
        <v>3</v>
      </c>
      <c r="J98" s="94" t="s">
        <v>210</v>
      </c>
      <c r="K98" s="94" t="s">
        <v>210</v>
      </c>
      <c r="L98" s="94">
        <v>-4</v>
      </c>
      <c r="M98" s="94"/>
      <c r="N98" s="94"/>
      <c r="O98" s="94"/>
      <c r="P98" s="94"/>
      <c r="Q98" s="94"/>
      <c r="R98" s="94"/>
      <c r="S98" s="94"/>
      <c r="T98" s="94"/>
      <c r="U98" s="94"/>
      <c r="AE98" s="94"/>
      <c r="AF98" s="94"/>
      <c r="AG98" s="94"/>
      <c r="AH98" s="94"/>
      <c r="AI98" s="94"/>
      <c r="AJ98" s="94"/>
      <c r="AK98" s="94"/>
      <c r="AL98" s="94"/>
      <c r="AM98" s="94"/>
      <c r="AN98" s="94"/>
      <c r="AO98" s="94"/>
      <c r="AP98" s="94"/>
      <c r="AQ98" s="94"/>
      <c r="AR98" s="94"/>
      <c r="AS98" s="94"/>
      <c r="AT98" s="94"/>
      <c r="AU98" s="94"/>
      <c r="AV98" s="94"/>
      <c r="AW98" s="94"/>
      <c r="AX98" s="94"/>
      <c r="AY98" s="94"/>
      <c r="BA98" s="91">
        <f t="shared" ca="1" si="26"/>
        <v>0</v>
      </c>
      <c r="BB98" s="88" t="str">
        <f t="shared" ca="1" si="27"/>
        <v/>
      </c>
      <c r="BC98" s="89">
        <f t="shared" ca="1" si="28"/>
        <v>0</v>
      </c>
      <c r="BD98">
        <f ca="1">IF(BC98=0,0,RANK(BF98,$BF$11:$BF$100,0)+(COUNTIF($BF98:$BF$100,BF98)-1))</f>
        <v>0</v>
      </c>
      <c r="BE98" s="89">
        <f t="shared" ca="1" si="29"/>
        <v>0</v>
      </c>
      <c r="BF98" s="89">
        <f t="shared" ca="1" si="30"/>
        <v>0</v>
      </c>
      <c r="BG98" s="89">
        <f t="shared" ca="1" si="31"/>
        <v>0</v>
      </c>
      <c r="BH98" s="89">
        <f t="shared" ca="1" si="32"/>
        <v>0</v>
      </c>
      <c r="BI98" s="89">
        <f t="shared" ca="1" si="33"/>
        <v>0</v>
      </c>
      <c r="BJ98" s="89">
        <f t="shared" ca="1" si="34"/>
        <v>0</v>
      </c>
      <c r="BK98" s="89">
        <f t="shared" ca="1" si="35"/>
        <v>0</v>
      </c>
      <c r="BL98" s="89">
        <f t="shared" ca="1" si="36"/>
        <v>0</v>
      </c>
      <c r="BM98" s="89">
        <f t="shared" ca="1" si="37"/>
        <v>0</v>
      </c>
      <c r="BN98" s="89">
        <f t="shared" ca="1" si="38"/>
        <v>0</v>
      </c>
      <c r="BO98" s="89">
        <f t="shared" ca="1" si="39"/>
        <v>0</v>
      </c>
      <c r="BP98" s="89">
        <f t="shared" ca="1" si="40"/>
        <v>0</v>
      </c>
      <c r="BQ98" s="89">
        <f t="shared" ca="1" si="41"/>
        <v>0</v>
      </c>
      <c r="BR98" s="87">
        <f t="shared" ca="1" si="42"/>
        <v>0</v>
      </c>
      <c r="BS98" s="89">
        <f t="shared" ca="1" si="43"/>
        <v>0</v>
      </c>
      <c r="BT98" s="89">
        <f t="shared" ca="1" si="44"/>
        <v>0</v>
      </c>
      <c r="BU98" s="89">
        <f t="shared" ca="1" si="45"/>
        <v>0</v>
      </c>
      <c r="BV98" s="87">
        <f t="shared" ca="1" si="46"/>
        <v>0</v>
      </c>
      <c r="BW98" s="87" t="str">
        <f t="shared" ca="1" si="47"/>
        <v>000</v>
      </c>
      <c r="BX98" s="89">
        <f t="shared" ca="1" si="48"/>
        <v>0</v>
      </c>
    </row>
    <row r="99" spans="1:76" ht="13">
      <c r="A99" s="90" t="str">
        <f t="shared" si="49"/>
        <v/>
      </c>
      <c r="B99" s="98">
        <v>18</v>
      </c>
      <c r="C99" s="94" t="s">
        <v>210</v>
      </c>
      <c r="D99" s="94">
        <v>-4</v>
      </c>
      <c r="E99" s="94" t="s">
        <v>210</v>
      </c>
      <c r="F99" s="94">
        <v>2</v>
      </c>
      <c r="G99" s="94">
        <v>-3</v>
      </c>
      <c r="H99" s="94" t="s">
        <v>210</v>
      </c>
      <c r="I99" s="94">
        <v>-1</v>
      </c>
      <c r="J99" s="94" t="s">
        <v>210</v>
      </c>
      <c r="K99" s="94" t="s">
        <v>210</v>
      </c>
      <c r="L99" s="94">
        <v>4</v>
      </c>
      <c r="M99" s="94"/>
      <c r="N99" s="94"/>
      <c r="O99" s="94"/>
      <c r="P99" s="94"/>
      <c r="Q99" s="94"/>
      <c r="R99" s="94"/>
      <c r="S99" s="94"/>
      <c r="T99" s="94"/>
      <c r="U99" s="94"/>
      <c r="AE99" s="94"/>
      <c r="AF99" s="94"/>
      <c r="AG99" s="94"/>
      <c r="AH99" s="94"/>
      <c r="AI99" s="94"/>
      <c r="AJ99" s="94"/>
      <c r="AK99" s="94"/>
      <c r="AL99" s="94"/>
      <c r="AM99" s="94"/>
      <c r="AN99" s="94"/>
      <c r="AO99" s="94"/>
      <c r="AP99" s="94"/>
      <c r="AQ99" s="94"/>
      <c r="AR99" s="94"/>
      <c r="AS99" s="94"/>
      <c r="AT99" s="94"/>
      <c r="AU99" s="94"/>
      <c r="AV99" s="94"/>
      <c r="AW99" s="94"/>
      <c r="AX99" s="94"/>
      <c r="AY99" s="94"/>
      <c r="BA99" s="91">
        <f t="shared" ca="1" si="26"/>
        <v>0</v>
      </c>
      <c r="BB99" s="88" t="str">
        <f t="shared" ca="1" si="27"/>
        <v/>
      </c>
      <c r="BC99" s="89">
        <f t="shared" ca="1" si="28"/>
        <v>0</v>
      </c>
      <c r="BD99">
        <f ca="1">IF(BC99=0,0,RANK(BF99,$BF$11:$BF$100,0)+(COUNTIF($BF99:$BF$100,BF99)-1))</f>
        <v>0</v>
      </c>
      <c r="BE99" s="89">
        <f t="shared" ca="1" si="29"/>
        <v>0</v>
      </c>
      <c r="BF99" s="89">
        <f t="shared" ca="1" si="30"/>
        <v>0</v>
      </c>
      <c r="BG99" s="89">
        <f t="shared" ca="1" si="31"/>
        <v>0</v>
      </c>
      <c r="BH99" s="89">
        <f t="shared" ca="1" si="32"/>
        <v>0</v>
      </c>
      <c r="BI99" s="89">
        <f t="shared" ca="1" si="33"/>
        <v>0</v>
      </c>
      <c r="BJ99" s="89">
        <f t="shared" ca="1" si="34"/>
        <v>0</v>
      </c>
      <c r="BK99" s="89">
        <f t="shared" ca="1" si="35"/>
        <v>0</v>
      </c>
      <c r="BL99" s="89">
        <f t="shared" ca="1" si="36"/>
        <v>0</v>
      </c>
      <c r="BM99" s="89">
        <f t="shared" ca="1" si="37"/>
        <v>0</v>
      </c>
      <c r="BN99" s="89">
        <f t="shared" ca="1" si="38"/>
        <v>0</v>
      </c>
      <c r="BO99" s="89">
        <f t="shared" ca="1" si="39"/>
        <v>0</v>
      </c>
      <c r="BP99" s="89">
        <f t="shared" ca="1" si="40"/>
        <v>0</v>
      </c>
      <c r="BQ99" s="89">
        <f t="shared" ca="1" si="41"/>
        <v>0</v>
      </c>
      <c r="BR99" s="87">
        <f t="shared" ca="1" si="42"/>
        <v>0</v>
      </c>
      <c r="BS99" s="89">
        <f t="shared" ca="1" si="43"/>
        <v>0</v>
      </c>
      <c r="BT99" s="89">
        <f t="shared" ca="1" si="44"/>
        <v>0</v>
      </c>
      <c r="BU99" s="89">
        <f t="shared" ca="1" si="45"/>
        <v>0</v>
      </c>
      <c r="BV99" s="87">
        <f t="shared" ca="1" si="46"/>
        <v>0</v>
      </c>
      <c r="BW99" s="87" t="str">
        <f t="shared" ca="1" si="47"/>
        <v>000</v>
      </c>
      <c r="BX99" s="89">
        <f t="shared" ca="1" si="48"/>
        <v>0</v>
      </c>
    </row>
    <row r="100" spans="1:76" ht="13">
      <c r="A100" s="90" t="str">
        <f t="shared" si="49"/>
        <v/>
      </c>
      <c r="B100" s="98" t="s">
        <v>311</v>
      </c>
      <c r="C100" s="94"/>
      <c r="D100" s="94"/>
      <c r="E100" s="94"/>
      <c r="F100" s="94"/>
      <c r="G100" s="94"/>
      <c r="H100" s="94"/>
      <c r="I100" s="94"/>
      <c r="J100" s="94"/>
      <c r="K100" s="94"/>
      <c r="L100" s="94"/>
      <c r="M100" s="94"/>
      <c r="N100" s="94"/>
      <c r="O100" s="94"/>
      <c r="P100" s="94"/>
      <c r="Q100" s="94"/>
      <c r="R100" s="94"/>
      <c r="S100" s="94"/>
      <c r="T100" s="94"/>
      <c r="U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BA100" s="91">
        <f t="shared" ca="1" si="26"/>
        <v>0</v>
      </c>
      <c r="BB100" s="88" t="str">
        <f t="shared" ca="1" si="27"/>
        <v/>
      </c>
      <c r="BC100" s="89">
        <f t="shared" ca="1" si="28"/>
        <v>0</v>
      </c>
      <c r="BD100">
        <f ca="1">IF(BC100=0,0,RANK(BF100,$BF$11:$BF$100,0)+(COUNTIF($BF100:$BF$100,BF100)-1))</f>
        <v>0</v>
      </c>
      <c r="BE100" s="89">
        <f t="shared" ca="1" si="29"/>
        <v>0</v>
      </c>
      <c r="BF100" s="89">
        <f t="shared" ca="1" si="30"/>
        <v>0</v>
      </c>
      <c r="BG100" s="89">
        <f t="shared" ca="1" si="31"/>
        <v>0</v>
      </c>
      <c r="BH100" s="89">
        <f t="shared" ca="1" si="32"/>
        <v>0</v>
      </c>
      <c r="BI100" s="89">
        <f t="shared" ca="1" si="33"/>
        <v>0</v>
      </c>
      <c r="BJ100" s="89">
        <f t="shared" ca="1" si="34"/>
        <v>0</v>
      </c>
      <c r="BK100" s="89">
        <f t="shared" ca="1" si="35"/>
        <v>0</v>
      </c>
      <c r="BL100" s="89">
        <f t="shared" ca="1" si="36"/>
        <v>0</v>
      </c>
      <c r="BM100" s="89">
        <f t="shared" ca="1" si="37"/>
        <v>0</v>
      </c>
      <c r="BN100" s="89">
        <f t="shared" ca="1" si="38"/>
        <v>0</v>
      </c>
      <c r="BO100" s="89">
        <f t="shared" ca="1" si="39"/>
        <v>0</v>
      </c>
      <c r="BP100" s="89">
        <f t="shared" ca="1" si="40"/>
        <v>0</v>
      </c>
      <c r="BQ100" s="89">
        <f t="shared" ca="1" si="41"/>
        <v>0</v>
      </c>
      <c r="BR100" s="87">
        <f t="shared" ca="1" si="42"/>
        <v>0</v>
      </c>
      <c r="BS100" s="89">
        <f t="shared" ca="1" si="43"/>
        <v>0</v>
      </c>
      <c r="BT100" s="89">
        <f t="shared" ca="1" si="44"/>
        <v>0</v>
      </c>
      <c r="BU100" s="89">
        <f t="shared" ca="1" si="45"/>
        <v>0</v>
      </c>
      <c r="BV100" s="87">
        <f t="shared" ca="1" si="46"/>
        <v>0</v>
      </c>
      <c r="BW100" s="87" t="str">
        <f t="shared" ca="1" si="47"/>
        <v>000</v>
      </c>
      <c r="BX100" s="89">
        <f t="shared" ca="1" si="48"/>
        <v>0</v>
      </c>
    </row>
    <row r="101" spans="1:76">
      <c r="A101" s="90">
        <f t="shared" si="49"/>
        <v>101</v>
      </c>
      <c r="B101" s="98" t="s">
        <v>312</v>
      </c>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BA101" s="95"/>
      <c r="BE101" s="87"/>
      <c r="BF101" s="87"/>
    </row>
    <row r="102" spans="1:76">
      <c r="A102" s="90" t="str">
        <f t="shared" si="49"/>
        <v/>
      </c>
      <c r="B102" s="98">
        <v>1</v>
      </c>
      <c r="C102" s="94">
        <v>1</v>
      </c>
      <c r="D102" s="94" t="s">
        <v>210</v>
      </c>
      <c r="E102" s="94" t="s">
        <v>210</v>
      </c>
      <c r="F102" s="94">
        <v>3</v>
      </c>
      <c r="G102" s="94">
        <v>-4</v>
      </c>
      <c r="H102" s="94" t="s">
        <v>210</v>
      </c>
      <c r="I102" s="94" t="s">
        <v>210</v>
      </c>
      <c r="J102" s="94">
        <v>5</v>
      </c>
      <c r="K102" s="94">
        <v>-3</v>
      </c>
      <c r="L102" s="94" t="s">
        <v>210</v>
      </c>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BA102" s="95"/>
      <c r="BE102" s="87"/>
      <c r="BF102" s="87"/>
    </row>
    <row r="103" spans="1:76">
      <c r="A103" s="90" t="str">
        <f t="shared" si="49"/>
        <v/>
      </c>
      <c r="B103" s="98">
        <v>2</v>
      </c>
      <c r="C103" s="94">
        <v>-4</v>
      </c>
      <c r="D103" s="94" t="s">
        <v>210</v>
      </c>
      <c r="E103" s="94" t="s">
        <v>210</v>
      </c>
      <c r="F103" s="94">
        <v>5</v>
      </c>
      <c r="G103" s="94">
        <v>-2</v>
      </c>
      <c r="H103" s="94" t="s">
        <v>210</v>
      </c>
      <c r="I103" s="94" t="s">
        <v>210</v>
      </c>
      <c r="J103" s="94">
        <v>1</v>
      </c>
      <c r="K103" s="94">
        <v>3</v>
      </c>
      <c r="L103" s="94" t="s">
        <v>210</v>
      </c>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BA103" s="95"/>
      <c r="BE103" s="87"/>
      <c r="BF103" s="87"/>
    </row>
    <row r="104" spans="1:76">
      <c r="A104" s="90" t="str">
        <f t="shared" si="49"/>
        <v/>
      </c>
      <c r="B104" s="98">
        <v>3</v>
      </c>
      <c r="C104" s="94">
        <v>-3</v>
      </c>
      <c r="D104" s="94" t="s">
        <v>210</v>
      </c>
      <c r="E104" s="94" t="s">
        <v>210</v>
      </c>
      <c r="F104" s="94">
        <v>1</v>
      </c>
      <c r="G104" s="94">
        <v>2</v>
      </c>
      <c r="H104" s="94" t="s">
        <v>210</v>
      </c>
      <c r="I104" s="94" t="s">
        <v>210</v>
      </c>
      <c r="J104" s="94">
        <v>-5</v>
      </c>
      <c r="K104" s="94">
        <v>4</v>
      </c>
      <c r="L104" s="94" t="s">
        <v>210</v>
      </c>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BA104" s="95"/>
      <c r="BE104" s="87"/>
      <c r="BF104" s="87"/>
    </row>
    <row r="105" spans="1:76">
      <c r="A105" s="90" t="str">
        <f t="shared" si="49"/>
        <v/>
      </c>
      <c r="B105" s="98">
        <v>4</v>
      </c>
      <c r="C105" s="94">
        <v>4</v>
      </c>
      <c r="D105" s="94" t="s">
        <v>210</v>
      </c>
      <c r="E105" s="94" t="s">
        <v>210</v>
      </c>
      <c r="F105" s="94">
        <v>-3</v>
      </c>
      <c r="G105" s="94">
        <v>1</v>
      </c>
      <c r="H105" s="94" t="s">
        <v>210</v>
      </c>
      <c r="I105" s="94" t="s">
        <v>210</v>
      </c>
      <c r="J105" s="94">
        <v>2</v>
      </c>
      <c r="K105" s="94">
        <v>-4</v>
      </c>
      <c r="L105" s="94" t="s">
        <v>210</v>
      </c>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BA105" s="95"/>
      <c r="BE105" s="87"/>
      <c r="BF105" s="87"/>
    </row>
    <row r="106" spans="1:76">
      <c r="A106" s="90" t="str">
        <f t="shared" si="49"/>
        <v/>
      </c>
      <c r="B106" s="99">
        <v>5</v>
      </c>
      <c r="C106" s="92">
        <v>3</v>
      </c>
      <c r="D106" s="92" t="s">
        <v>210</v>
      </c>
      <c r="E106" s="92" t="s">
        <v>210</v>
      </c>
      <c r="F106" s="92">
        <v>-5</v>
      </c>
      <c r="G106" s="92">
        <v>4</v>
      </c>
      <c r="H106" s="92" t="s">
        <v>210</v>
      </c>
      <c r="I106" s="92" t="s">
        <v>210</v>
      </c>
      <c r="J106" s="92">
        <v>-2</v>
      </c>
      <c r="K106" s="92">
        <v>1</v>
      </c>
      <c r="L106" s="92" t="s">
        <v>210</v>
      </c>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BA106" s="95"/>
      <c r="BE106" s="87"/>
      <c r="BF106" s="87"/>
    </row>
    <row r="107" spans="1:76">
      <c r="A107" s="90" t="str">
        <f t="shared" si="49"/>
        <v/>
      </c>
      <c r="B107" s="98">
        <v>6</v>
      </c>
      <c r="C107" s="94">
        <v>-1</v>
      </c>
      <c r="D107" s="94" t="s">
        <v>210</v>
      </c>
      <c r="E107" s="94" t="s">
        <v>210</v>
      </c>
      <c r="F107" s="94">
        <v>-2</v>
      </c>
      <c r="G107" s="94">
        <v>5</v>
      </c>
      <c r="H107" s="94" t="s">
        <v>210</v>
      </c>
      <c r="I107" s="94" t="s">
        <v>210</v>
      </c>
      <c r="J107" s="94">
        <v>-4</v>
      </c>
      <c r="K107" s="94">
        <v>2</v>
      </c>
      <c r="L107" s="94" t="s">
        <v>210</v>
      </c>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BA107" s="95"/>
      <c r="BE107" s="87"/>
      <c r="BF107" s="87"/>
    </row>
    <row r="108" spans="1:76">
      <c r="A108" s="90" t="str">
        <f t="shared" si="49"/>
        <v/>
      </c>
      <c r="B108" s="98">
        <v>7</v>
      </c>
      <c r="C108" s="94">
        <v>5</v>
      </c>
      <c r="D108" s="94" t="s">
        <v>210</v>
      </c>
      <c r="E108" s="94" t="s">
        <v>210</v>
      </c>
      <c r="F108" s="94">
        <v>-4</v>
      </c>
      <c r="G108" s="94">
        <v>3</v>
      </c>
      <c r="H108" s="94" t="s">
        <v>210</v>
      </c>
      <c r="I108" s="94" t="s">
        <v>210</v>
      </c>
      <c r="J108" s="94">
        <v>-1</v>
      </c>
      <c r="K108" s="94">
        <v>-2</v>
      </c>
      <c r="L108" s="94" t="s">
        <v>210</v>
      </c>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BA108" s="95"/>
      <c r="BE108" s="87"/>
      <c r="BF108" s="87"/>
    </row>
    <row r="109" spans="1:76">
      <c r="A109" s="90" t="str">
        <f t="shared" si="49"/>
        <v/>
      </c>
      <c r="B109" s="98">
        <v>8</v>
      </c>
      <c r="C109" s="94">
        <v>2</v>
      </c>
      <c r="D109" s="94" t="s">
        <v>210</v>
      </c>
      <c r="E109" s="94" t="s">
        <v>210</v>
      </c>
      <c r="F109" s="94">
        <v>-1</v>
      </c>
      <c r="G109" s="94">
        <v>-3</v>
      </c>
      <c r="H109" s="94" t="s">
        <v>210</v>
      </c>
      <c r="I109" s="94" t="s">
        <v>210</v>
      </c>
      <c r="J109" s="94">
        <v>4</v>
      </c>
      <c r="K109" s="94">
        <v>-5</v>
      </c>
      <c r="L109" s="94" t="s">
        <v>210</v>
      </c>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BA109" s="95"/>
      <c r="BE109" s="87"/>
      <c r="BF109" s="87"/>
    </row>
    <row r="110" spans="1:76">
      <c r="A110" s="90" t="str">
        <f t="shared" si="49"/>
        <v/>
      </c>
      <c r="B110" s="98">
        <v>9</v>
      </c>
      <c r="C110" s="94">
        <v>-5</v>
      </c>
      <c r="D110" s="94" t="s">
        <v>210</v>
      </c>
      <c r="E110" s="94" t="s">
        <v>210</v>
      </c>
      <c r="F110" s="94">
        <v>2</v>
      </c>
      <c r="G110" s="94">
        <v>-1</v>
      </c>
      <c r="H110" s="94" t="s">
        <v>210</v>
      </c>
      <c r="I110" s="94" t="s">
        <v>210</v>
      </c>
      <c r="J110" s="94">
        <v>-3</v>
      </c>
      <c r="K110" s="94">
        <v>5</v>
      </c>
      <c r="L110" s="94" t="s">
        <v>210</v>
      </c>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BA110" s="95"/>
      <c r="BE110" s="87"/>
      <c r="BF110" s="87"/>
    </row>
    <row r="111" spans="1:76">
      <c r="A111" s="90" t="str">
        <f t="shared" si="49"/>
        <v/>
      </c>
      <c r="B111" s="99">
        <v>10</v>
      </c>
      <c r="C111" s="92">
        <v>-2</v>
      </c>
      <c r="D111" s="92" t="s">
        <v>210</v>
      </c>
      <c r="E111" s="92" t="s">
        <v>210</v>
      </c>
      <c r="F111" s="92">
        <v>4</v>
      </c>
      <c r="G111" s="92">
        <v>-5</v>
      </c>
      <c r="H111" s="92" t="s">
        <v>210</v>
      </c>
      <c r="I111" s="92" t="s">
        <v>210</v>
      </c>
      <c r="J111" s="92">
        <v>3</v>
      </c>
      <c r="K111" s="92">
        <v>-1</v>
      </c>
      <c r="L111" s="92" t="s">
        <v>210</v>
      </c>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BA111" s="95"/>
      <c r="BE111" s="87"/>
      <c r="BF111" s="87"/>
    </row>
    <row r="112" spans="1:76">
      <c r="A112" s="90" t="str">
        <f t="shared" si="49"/>
        <v/>
      </c>
      <c r="B112" s="98">
        <v>11</v>
      </c>
      <c r="C112" s="94" t="s">
        <v>210</v>
      </c>
      <c r="D112" s="94">
        <v>5</v>
      </c>
      <c r="E112" s="94">
        <v>-4</v>
      </c>
      <c r="F112" s="94" t="s">
        <v>210</v>
      </c>
      <c r="G112" s="94" t="s">
        <v>210</v>
      </c>
      <c r="H112" s="94">
        <v>-3</v>
      </c>
      <c r="I112" s="94">
        <v>2</v>
      </c>
      <c r="J112" s="94" t="s">
        <v>210</v>
      </c>
      <c r="K112" s="94" t="s">
        <v>210</v>
      </c>
      <c r="L112" s="94">
        <v>3</v>
      </c>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BA112" s="95"/>
      <c r="BE112" s="87"/>
      <c r="BF112" s="87"/>
    </row>
    <row r="113" spans="1:53" s="87" customFormat="1">
      <c r="A113" s="90" t="str">
        <f t="shared" si="49"/>
        <v/>
      </c>
      <c r="B113" s="98">
        <v>12</v>
      </c>
      <c r="C113" s="94" t="s">
        <v>210</v>
      </c>
      <c r="D113" s="94">
        <v>2</v>
      </c>
      <c r="E113" s="94">
        <v>3</v>
      </c>
      <c r="F113" s="94" t="s">
        <v>210</v>
      </c>
      <c r="G113" s="94" t="s">
        <v>210</v>
      </c>
      <c r="H113" s="94">
        <v>-4</v>
      </c>
      <c r="I113" s="94">
        <v>5</v>
      </c>
      <c r="J113" s="94" t="s">
        <v>210</v>
      </c>
      <c r="K113" s="94" t="s">
        <v>210</v>
      </c>
      <c r="L113" s="94">
        <v>-3</v>
      </c>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BA113" s="95"/>
    </row>
    <row r="114" spans="1:53" s="87" customFormat="1">
      <c r="A114" s="90" t="str">
        <f t="shared" si="49"/>
        <v/>
      </c>
      <c r="B114" s="98">
        <v>13</v>
      </c>
      <c r="C114" s="94" t="s">
        <v>210</v>
      </c>
      <c r="D114" s="94">
        <v>-3</v>
      </c>
      <c r="E114" s="94">
        <v>1</v>
      </c>
      <c r="F114" s="94" t="s">
        <v>210</v>
      </c>
      <c r="G114" s="94" t="s">
        <v>210</v>
      </c>
      <c r="H114" s="94">
        <v>4</v>
      </c>
      <c r="I114" s="94">
        <v>-2</v>
      </c>
      <c r="J114" s="94" t="s">
        <v>210</v>
      </c>
      <c r="K114" s="94" t="s">
        <v>210</v>
      </c>
      <c r="L114" s="94">
        <v>-4</v>
      </c>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BA114" s="95"/>
    </row>
    <row r="115" spans="1:53" s="87" customFormat="1">
      <c r="A115" s="90" t="str">
        <f t="shared" si="49"/>
        <v/>
      </c>
      <c r="B115" s="99">
        <v>14</v>
      </c>
      <c r="C115" s="92" t="s">
        <v>210</v>
      </c>
      <c r="D115" s="92">
        <v>-4</v>
      </c>
      <c r="E115" s="92">
        <v>-2</v>
      </c>
      <c r="F115" s="92" t="s">
        <v>210</v>
      </c>
      <c r="G115" s="92" t="s">
        <v>210</v>
      </c>
      <c r="H115" s="92">
        <v>3</v>
      </c>
      <c r="I115" s="92">
        <v>-5</v>
      </c>
      <c r="J115" s="92" t="s">
        <v>210</v>
      </c>
      <c r="K115" s="92" t="s">
        <v>210</v>
      </c>
      <c r="L115" s="92">
        <v>4</v>
      </c>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BA115" s="95"/>
    </row>
    <row r="116" spans="1:53" s="87" customFormat="1">
      <c r="A116" s="90" t="str">
        <f t="shared" si="49"/>
        <v/>
      </c>
      <c r="B116" s="98">
        <v>15</v>
      </c>
      <c r="C116" s="94" t="s">
        <v>210</v>
      </c>
      <c r="D116" s="94">
        <v>-2</v>
      </c>
      <c r="E116" s="94">
        <v>4</v>
      </c>
      <c r="F116" s="94" t="s">
        <v>210</v>
      </c>
      <c r="G116" s="94" t="s">
        <v>210</v>
      </c>
      <c r="H116" s="94">
        <v>1</v>
      </c>
      <c r="I116" s="94">
        <v>-3</v>
      </c>
      <c r="J116" s="94" t="s">
        <v>210</v>
      </c>
      <c r="K116" s="94" t="s">
        <v>210</v>
      </c>
      <c r="L116" s="94">
        <v>2</v>
      </c>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BA116" s="95"/>
    </row>
    <row r="117" spans="1:53" s="87" customFormat="1">
      <c r="A117" s="90" t="str">
        <f t="shared" si="49"/>
        <v/>
      </c>
      <c r="B117" s="98">
        <v>16</v>
      </c>
      <c r="C117" s="94" t="s">
        <v>210</v>
      </c>
      <c r="D117" s="94">
        <v>-5</v>
      </c>
      <c r="E117" s="94">
        <v>-3</v>
      </c>
      <c r="F117" s="94" t="s">
        <v>210</v>
      </c>
      <c r="G117" s="94" t="s">
        <v>210</v>
      </c>
      <c r="H117" s="94">
        <v>2</v>
      </c>
      <c r="I117" s="94">
        <v>4</v>
      </c>
      <c r="J117" s="94" t="s">
        <v>210</v>
      </c>
      <c r="K117" s="94" t="s">
        <v>210</v>
      </c>
      <c r="L117" s="94">
        <v>-2</v>
      </c>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BA117" s="95"/>
    </row>
    <row r="118" spans="1:53" s="87" customFormat="1">
      <c r="A118" s="90" t="str">
        <f t="shared" si="49"/>
        <v/>
      </c>
      <c r="B118" s="98">
        <v>17</v>
      </c>
      <c r="C118" s="94" t="s">
        <v>210</v>
      </c>
      <c r="D118" s="94">
        <v>4</v>
      </c>
      <c r="E118" s="94">
        <v>-1</v>
      </c>
      <c r="F118" s="94" t="s">
        <v>210</v>
      </c>
      <c r="G118" s="94" t="s">
        <v>210</v>
      </c>
      <c r="H118" s="94">
        <v>-2</v>
      </c>
      <c r="I118" s="94">
        <v>3</v>
      </c>
      <c r="J118" s="94" t="s">
        <v>210</v>
      </c>
      <c r="K118" s="94" t="s">
        <v>210</v>
      </c>
      <c r="L118" s="94">
        <v>-5</v>
      </c>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BA118" s="95"/>
    </row>
    <row r="119" spans="1:53" s="87" customFormat="1">
      <c r="A119" s="90" t="str">
        <f t="shared" si="49"/>
        <v/>
      </c>
      <c r="B119" s="98">
        <v>18</v>
      </c>
      <c r="C119" s="94" t="s">
        <v>210</v>
      </c>
      <c r="D119" s="94">
        <v>3</v>
      </c>
      <c r="E119" s="94">
        <v>2</v>
      </c>
      <c r="F119" s="94" t="s">
        <v>210</v>
      </c>
      <c r="G119" s="94" t="s">
        <v>210</v>
      </c>
      <c r="H119" s="94">
        <v>-1</v>
      </c>
      <c r="I119" s="94">
        <v>-4</v>
      </c>
      <c r="J119" s="94" t="s">
        <v>210</v>
      </c>
      <c r="K119" s="94" t="s">
        <v>210</v>
      </c>
      <c r="L119" s="94">
        <v>5</v>
      </c>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BA119" s="95"/>
    </row>
    <row r="120" spans="1:53" s="87" customFormat="1">
      <c r="A120" s="90" t="str">
        <f t="shared" si="49"/>
        <v/>
      </c>
      <c r="B120" s="267" t="s">
        <v>822</v>
      </c>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BA120" s="95"/>
    </row>
    <row r="121" spans="1:53" s="87" customFormat="1">
      <c r="A121" s="90">
        <f t="shared" si="49"/>
        <v>121</v>
      </c>
      <c r="B121" s="98" t="s">
        <v>314</v>
      </c>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BA121" s="95"/>
    </row>
    <row r="122" spans="1:53" s="87" customFormat="1">
      <c r="A122" s="90" t="str">
        <f t="shared" si="49"/>
        <v/>
      </c>
      <c r="B122" s="98">
        <v>1</v>
      </c>
      <c r="C122" s="94" t="s">
        <v>210</v>
      </c>
      <c r="D122" s="94">
        <v>-2</v>
      </c>
      <c r="E122" s="94" t="s">
        <v>210</v>
      </c>
      <c r="F122" s="94">
        <v>1</v>
      </c>
      <c r="G122" s="94">
        <v>-3</v>
      </c>
      <c r="H122" s="94" t="s">
        <v>210</v>
      </c>
      <c r="I122" s="94">
        <v>2</v>
      </c>
      <c r="J122" s="94" t="s">
        <v>210</v>
      </c>
      <c r="K122" s="94">
        <v>4</v>
      </c>
      <c r="L122" s="94" t="s">
        <v>210</v>
      </c>
      <c r="M122" s="94" t="s">
        <v>210</v>
      </c>
      <c r="N122" s="94">
        <v>-1</v>
      </c>
      <c r="O122" s="94">
        <v>5</v>
      </c>
      <c r="P122" s="94" t="s">
        <v>210</v>
      </c>
      <c r="Q122" s="94" t="s">
        <v>210</v>
      </c>
      <c r="R122" s="94">
        <v>-4</v>
      </c>
      <c r="S122" s="94">
        <v>3</v>
      </c>
      <c r="T122" s="94" t="s">
        <v>210</v>
      </c>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BA122" s="95"/>
    </row>
    <row r="123" spans="1:53" s="87" customFormat="1">
      <c r="A123" s="90" t="str">
        <f t="shared" si="49"/>
        <v/>
      </c>
      <c r="B123" s="98">
        <v>2</v>
      </c>
      <c r="C123" s="94" t="s">
        <v>210</v>
      </c>
      <c r="D123" s="94">
        <v>-4</v>
      </c>
      <c r="E123" s="94">
        <v>-5</v>
      </c>
      <c r="F123" s="94" t="s">
        <v>210</v>
      </c>
      <c r="G123" s="94">
        <v>-2</v>
      </c>
      <c r="H123" s="94" t="s">
        <v>210</v>
      </c>
      <c r="I123" s="94" t="s">
        <v>210</v>
      </c>
      <c r="J123" s="94">
        <v>1</v>
      </c>
      <c r="K123" s="94">
        <v>3</v>
      </c>
      <c r="L123" s="94" t="s">
        <v>210</v>
      </c>
      <c r="M123" s="94" t="s">
        <v>210</v>
      </c>
      <c r="N123" s="94">
        <v>5</v>
      </c>
      <c r="O123" s="94">
        <v>-1</v>
      </c>
      <c r="P123" s="94" t="s">
        <v>210</v>
      </c>
      <c r="Q123" s="94" t="s">
        <v>210</v>
      </c>
      <c r="R123" s="94">
        <v>2</v>
      </c>
      <c r="S123" s="94">
        <v>-3</v>
      </c>
      <c r="T123" s="94" t="s">
        <v>210</v>
      </c>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BA123" s="95"/>
    </row>
    <row r="124" spans="1:53" s="87" customFormat="1">
      <c r="A124" s="90" t="str">
        <f t="shared" si="49"/>
        <v/>
      </c>
      <c r="B124" s="98">
        <v>3</v>
      </c>
      <c r="C124" s="94" t="s">
        <v>210</v>
      </c>
      <c r="D124" s="94">
        <v>2</v>
      </c>
      <c r="E124" s="94">
        <v>5</v>
      </c>
      <c r="F124" s="94" t="s">
        <v>210</v>
      </c>
      <c r="G124" s="94">
        <v>1</v>
      </c>
      <c r="H124" s="94" t="s">
        <v>210</v>
      </c>
      <c r="I124" s="94" t="s">
        <v>210</v>
      </c>
      <c r="J124" s="94">
        <v>-2</v>
      </c>
      <c r="K124" s="94">
        <v>-5</v>
      </c>
      <c r="L124" s="94" t="s">
        <v>210</v>
      </c>
      <c r="M124" s="94" t="s">
        <v>210</v>
      </c>
      <c r="N124" s="94">
        <v>4</v>
      </c>
      <c r="O124" s="94">
        <v>3</v>
      </c>
      <c r="P124" s="94" t="s">
        <v>210</v>
      </c>
      <c r="Q124" s="94" t="s">
        <v>210</v>
      </c>
      <c r="R124" s="94">
        <v>-1</v>
      </c>
      <c r="S124" s="94">
        <v>-4</v>
      </c>
      <c r="T124" s="94" t="s">
        <v>210</v>
      </c>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BA124" s="95"/>
    </row>
    <row r="125" spans="1:53" s="87" customFormat="1">
      <c r="A125" s="90" t="str">
        <f t="shared" si="49"/>
        <v/>
      </c>
      <c r="B125" s="98">
        <v>4</v>
      </c>
      <c r="C125" s="94" t="s">
        <v>210</v>
      </c>
      <c r="D125" s="94">
        <v>1</v>
      </c>
      <c r="E125" s="94" t="s">
        <v>210</v>
      </c>
      <c r="F125" s="94">
        <v>-2</v>
      </c>
      <c r="G125" s="94">
        <v>5</v>
      </c>
      <c r="H125" s="94" t="s">
        <v>210</v>
      </c>
      <c r="I125" s="94" t="s">
        <v>210</v>
      </c>
      <c r="J125" s="94">
        <v>-4</v>
      </c>
      <c r="K125" s="94">
        <v>-3</v>
      </c>
      <c r="L125" s="94" t="s">
        <v>210</v>
      </c>
      <c r="M125" s="94" t="s">
        <v>210</v>
      </c>
      <c r="N125" s="94">
        <v>2</v>
      </c>
      <c r="O125" s="94">
        <v>-5</v>
      </c>
      <c r="P125" s="94" t="s">
        <v>210</v>
      </c>
      <c r="Q125" s="94">
        <v>3</v>
      </c>
      <c r="R125" s="94" t="s">
        <v>210</v>
      </c>
      <c r="S125" s="94">
        <v>4</v>
      </c>
      <c r="T125" s="94" t="s">
        <v>210</v>
      </c>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BA125" s="95"/>
    </row>
    <row r="126" spans="1:53" s="87" customFormat="1">
      <c r="A126" s="90" t="str">
        <f t="shared" si="49"/>
        <v/>
      </c>
      <c r="B126" s="98">
        <v>5</v>
      </c>
      <c r="C126" s="94" t="s">
        <v>210</v>
      </c>
      <c r="D126" s="94">
        <v>5</v>
      </c>
      <c r="E126" s="94" t="s">
        <v>210</v>
      </c>
      <c r="F126" s="94">
        <v>-4</v>
      </c>
      <c r="G126" s="94">
        <v>3</v>
      </c>
      <c r="H126" s="94" t="s">
        <v>210</v>
      </c>
      <c r="I126" s="94" t="s">
        <v>210</v>
      </c>
      <c r="J126" s="94">
        <v>2</v>
      </c>
      <c r="K126" s="94">
        <v>-1</v>
      </c>
      <c r="L126" s="94" t="s">
        <v>210</v>
      </c>
      <c r="M126" s="94" t="s">
        <v>210</v>
      </c>
      <c r="N126" s="94">
        <v>-5</v>
      </c>
      <c r="O126" s="94">
        <v>4</v>
      </c>
      <c r="P126" s="94" t="s">
        <v>210</v>
      </c>
      <c r="Q126" s="94">
        <v>-3</v>
      </c>
      <c r="R126" s="94" t="s">
        <v>210</v>
      </c>
      <c r="S126" s="94">
        <v>-2</v>
      </c>
      <c r="T126" s="94" t="s">
        <v>210</v>
      </c>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c r="AW126" s="94"/>
      <c r="AX126" s="94"/>
      <c r="AY126" s="94"/>
      <c r="BA126" s="95"/>
    </row>
    <row r="127" spans="1:53" s="87" customFormat="1">
      <c r="A127" s="90" t="str">
        <f t="shared" si="49"/>
        <v/>
      </c>
      <c r="B127" s="98">
        <v>6</v>
      </c>
      <c r="C127" s="94">
        <v>-5</v>
      </c>
      <c r="D127" s="94" t="s">
        <v>210</v>
      </c>
      <c r="E127" s="94" t="s">
        <v>210</v>
      </c>
      <c r="F127" s="94">
        <v>-1</v>
      </c>
      <c r="G127" s="94">
        <v>4</v>
      </c>
      <c r="H127" s="94" t="s">
        <v>210</v>
      </c>
      <c r="I127" s="94" t="s">
        <v>210</v>
      </c>
      <c r="J127" s="94">
        <v>-3</v>
      </c>
      <c r="K127" s="94">
        <v>5</v>
      </c>
      <c r="L127" s="94" t="s">
        <v>210</v>
      </c>
      <c r="M127" s="94" t="s">
        <v>210</v>
      </c>
      <c r="N127" s="94">
        <v>-2</v>
      </c>
      <c r="O127" s="94">
        <v>1</v>
      </c>
      <c r="P127" s="94" t="s">
        <v>210</v>
      </c>
      <c r="Q127" s="94" t="s">
        <v>210</v>
      </c>
      <c r="R127" s="94">
        <v>3</v>
      </c>
      <c r="S127" s="94">
        <v>2</v>
      </c>
      <c r="T127" s="94" t="s">
        <v>210</v>
      </c>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BA127" s="95"/>
    </row>
    <row r="128" spans="1:53" s="87" customFormat="1">
      <c r="A128" s="90" t="str">
        <f t="shared" si="49"/>
        <v/>
      </c>
      <c r="B128" s="98">
        <v>7</v>
      </c>
      <c r="C128" s="94" t="s">
        <v>210</v>
      </c>
      <c r="D128" s="94">
        <v>-5</v>
      </c>
      <c r="E128" s="94" t="s">
        <v>210</v>
      </c>
      <c r="F128" s="94">
        <v>2</v>
      </c>
      <c r="G128" s="94">
        <v>-4</v>
      </c>
      <c r="H128" s="94" t="s">
        <v>210</v>
      </c>
      <c r="I128" s="94" t="s">
        <v>210</v>
      </c>
      <c r="J128" s="94">
        <v>-1</v>
      </c>
      <c r="K128" s="94">
        <v>-2</v>
      </c>
      <c r="L128" s="94" t="s">
        <v>210</v>
      </c>
      <c r="M128" s="94">
        <v>5</v>
      </c>
      <c r="N128" s="94" t="s">
        <v>210</v>
      </c>
      <c r="O128" s="94">
        <v>-3</v>
      </c>
      <c r="P128" s="94" t="s">
        <v>210</v>
      </c>
      <c r="Q128" s="94" t="s">
        <v>210</v>
      </c>
      <c r="R128" s="94">
        <v>4</v>
      </c>
      <c r="S128" s="94">
        <v>1</v>
      </c>
      <c r="T128" s="94" t="s">
        <v>210</v>
      </c>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BA128" s="95"/>
    </row>
    <row r="129" spans="1:53" s="87" customFormat="1">
      <c r="A129" s="90" t="str">
        <f t="shared" si="49"/>
        <v/>
      </c>
      <c r="B129" s="98">
        <v>8</v>
      </c>
      <c r="C129" s="94" t="s">
        <v>210</v>
      </c>
      <c r="D129" s="94">
        <v>4</v>
      </c>
      <c r="E129" s="94" t="s">
        <v>210</v>
      </c>
      <c r="F129" s="94">
        <v>3</v>
      </c>
      <c r="G129" s="94">
        <v>-5</v>
      </c>
      <c r="H129" s="94" t="s">
        <v>210</v>
      </c>
      <c r="I129" s="94">
        <v>-2</v>
      </c>
      <c r="J129" s="94" t="s">
        <v>210</v>
      </c>
      <c r="K129" s="94">
        <v>1</v>
      </c>
      <c r="L129" s="94" t="s">
        <v>210</v>
      </c>
      <c r="M129" s="94" t="s">
        <v>210</v>
      </c>
      <c r="N129" s="94">
        <v>-4</v>
      </c>
      <c r="O129" s="94">
        <v>2</v>
      </c>
      <c r="P129" s="94" t="s">
        <v>210</v>
      </c>
      <c r="Q129" s="94" t="s">
        <v>210</v>
      </c>
      <c r="R129" s="94">
        <v>-3</v>
      </c>
      <c r="S129" s="94">
        <v>-1</v>
      </c>
      <c r="T129" s="94" t="s">
        <v>210</v>
      </c>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BA129" s="95"/>
    </row>
    <row r="130" spans="1:53" s="87" customFormat="1">
      <c r="A130" s="90" t="str">
        <f t="shared" si="49"/>
        <v/>
      </c>
      <c r="B130" s="98">
        <v>9</v>
      </c>
      <c r="C130" s="94" t="s">
        <v>210</v>
      </c>
      <c r="D130" s="94">
        <v>-1</v>
      </c>
      <c r="E130" s="94" t="s">
        <v>210</v>
      </c>
      <c r="F130" s="94">
        <v>4</v>
      </c>
      <c r="G130" s="94">
        <v>2</v>
      </c>
      <c r="H130" s="94" t="s">
        <v>210</v>
      </c>
      <c r="I130" s="94" t="s">
        <v>210</v>
      </c>
      <c r="J130" s="94">
        <v>3</v>
      </c>
      <c r="K130" s="94">
        <v>-4</v>
      </c>
      <c r="L130" s="94" t="s">
        <v>210</v>
      </c>
      <c r="M130" s="94">
        <v>-5</v>
      </c>
      <c r="N130" s="94" t="s">
        <v>210</v>
      </c>
      <c r="O130" s="94">
        <v>-2</v>
      </c>
      <c r="P130" s="94" t="s">
        <v>210</v>
      </c>
      <c r="Q130" s="94" t="s">
        <v>210</v>
      </c>
      <c r="R130" s="94">
        <v>1</v>
      </c>
      <c r="S130" s="94">
        <v>5</v>
      </c>
      <c r="T130" s="94" t="s">
        <v>210</v>
      </c>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BA130" s="95"/>
    </row>
    <row r="131" spans="1:53" s="87" customFormat="1">
      <c r="A131" s="90" t="str">
        <f t="shared" si="49"/>
        <v/>
      </c>
      <c r="B131" s="99">
        <v>10</v>
      </c>
      <c r="C131" s="92">
        <v>5</v>
      </c>
      <c r="D131" s="92" t="s">
        <v>210</v>
      </c>
      <c r="E131" s="92" t="s">
        <v>210</v>
      </c>
      <c r="F131" s="92">
        <v>-3</v>
      </c>
      <c r="G131" s="92">
        <v>-1</v>
      </c>
      <c r="H131" s="92" t="s">
        <v>210</v>
      </c>
      <c r="I131" s="92" t="s">
        <v>210</v>
      </c>
      <c r="J131" s="92">
        <v>4</v>
      </c>
      <c r="K131" s="92">
        <v>2</v>
      </c>
      <c r="L131" s="92" t="s">
        <v>210</v>
      </c>
      <c r="M131" s="92" t="s">
        <v>210</v>
      </c>
      <c r="N131" s="92">
        <v>1</v>
      </c>
      <c r="O131" s="92">
        <v>-4</v>
      </c>
      <c r="P131" s="92" t="s">
        <v>210</v>
      </c>
      <c r="Q131" s="92" t="s">
        <v>210</v>
      </c>
      <c r="R131" s="92">
        <v>-2</v>
      </c>
      <c r="S131" s="92">
        <v>-5</v>
      </c>
      <c r="T131" s="92" t="s">
        <v>210</v>
      </c>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BA131" s="95"/>
    </row>
    <row r="132" spans="1:53" s="87" customFormat="1">
      <c r="A132" s="90" t="str">
        <f t="shared" si="49"/>
        <v/>
      </c>
      <c r="B132" s="98">
        <v>11</v>
      </c>
      <c r="C132" s="94">
        <v>2</v>
      </c>
      <c r="D132" s="94" t="s">
        <v>210</v>
      </c>
      <c r="E132" s="94">
        <v>-4</v>
      </c>
      <c r="F132" s="94" t="s">
        <v>210</v>
      </c>
      <c r="G132" s="94" t="s">
        <v>210</v>
      </c>
      <c r="H132" s="94">
        <v>5</v>
      </c>
      <c r="I132" s="94">
        <v>1</v>
      </c>
      <c r="J132" s="94" t="s">
        <v>210</v>
      </c>
      <c r="K132" s="94" t="s">
        <v>210</v>
      </c>
      <c r="L132" s="94">
        <v>-2</v>
      </c>
      <c r="M132" s="94">
        <v>4</v>
      </c>
      <c r="N132" s="94" t="s">
        <v>210</v>
      </c>
      <c r="O132" s="94" t="s">
        <v>210</v>
      </c>
      <c r="P132" s="94" t="s">
        <v>202</v>
      </c>
      <c r="Q132" s="94">
        <v>-1</v>
      </c>
      <c r="R132" s="94" t="s">
        <v>210</v>
      </c>
      <c r="S132" s="94" t="s">
        <v>210</v>
      </c>
      <c r="T132" s="94">
        <v>-3</v>
      </c>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BA132" s="95"/>
    </row>
    <row r="133" spans="1:53" s="87" customFormat="1">
      <c r="A133" s="90" t="str">
        <f t="shared" si="49"/>
        <v/>
      </c>
      <c r="B133" s="98">
        <v>12</v>
      </c>
      <c r="C133" s="94">
        <v>4</v>
      </c>
      <c r="D133" s="94" t="s">
        <v>210</v>
      </c>
      <c r="E133" s="94">
        <v>-1</v>
      </c>
      <c r="F133" s="94" t="s">
        <v>210</v>
      </c>
      <c r="G133" s="94" t="s">
        <v>210</v>
      </c>
      <c r="H133" s="94" t="s">
        <v>202</v>
      </c>
      <c r="I133" s="94">
        <v>5</v>
      </c>
      <c r="J133" s="94" t="s">
        <v>210</v>
      </c>
      <c r="K133" s="94" t="s">
        <v>210</v>
      </c>
      <c r="L133" s="94">
        <v>1</v>
      </c>
      <c r="M133" s="94">
        <v>-3</v>
      </c>
      <c r="N133" s="94" t="s">
        <v>210</v>
      </c>
      <c r="O133" s="94" t="s">
        <v>210</v>
      </c>
      <c r="P133" s="94">
        <v>-4</v>
      </c>
      <c r="Q133" s="94">
        <v>-2</v>
      </c>
      <c r="R133" s="94" t="s">
        <v>210</v>
      </c>
      <c r="S133" s="94" t="s">
        <v>210</v>
      </c>
      <c r="T133" s="94">
        <v>3</v>
      </c>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c r="AW133" s="94"/>
      <c r="AX133" s="94"/>
      <c r="AY133" s="94"/>
      <c r="BA133" s="95"/>
    </row>
    <row r="134" spans="1:53" s="87" customFormat="1">
      <c r="A134" s="90" t="str">
        <f t="shared" si="49"/>
        <v/>
      </c>
      <c r="B134" s="98">
        <v>13</v>
      </c>
      <c r="C134" s="94">
        <v>-3</v>
      </c>
      <c r="D134" s="94" t="s">
        <v>210</v>
      </c>
      <c r="E134" s="94">
        <v>2</v>
      </c>
      <c r="F134" s="94" t="s">
        <v>210</v>
      </c>
      <c r="G134" s="94" t="s">
        <v>210</v>
      </c>
      <c r="H134" s="94">
        <v>-1</v>
      </c>
      <c r="I134" s="94" t="s">
        <v>202</v>
      </c>
      <c r="J134" s="94" t="s">
        <v>210</v>
      </c>
      <c r="K134" s="94" t="s">
        <v>210</v>
      </c>
      <c r="L134" s="94">
        <v>4</v>
      </c>
      <c r="M134" s="94">
        <v>3</v>
      </c>
      <c r="N134" s="94" t="s">
        <v>210</v>
      </c>
      <c r="O134" s="94" t="s">
        <v>210</v>
      </c>
      <c r="P134" s="94">
        <v>-2</v>
      </c>
      <c r="Q134" s="94">
        <v>1</v>
      </c>
      <c r="R134" s="94" t="s">
        <v>210</v>
      </c>
      <c r="S134" s="94" t="s">
        <v>210</v>
      </c>
      <c r="T134" s="94">
        <v>-4</v>
      </c>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c r="BA134" s="95"/>
    </row>
    <row r="135" spans="1:53" s="87" customFormat="1">
      <c r="A135" s="90" t="str">
        <f t="shared" si="49"/>
        <v/>
      </c>
      <c r="B135" s="98">
        <v>14</v>
      </c>
      <c r="C135" s="94">
        <v>-4</v>
      </c>
      <c r="D135" s="94" t="s">
        <v>210</v>
      </c>
      <c r="E135" s="94">
        <v>3</v>
      </c>
      <c r="F135" s="94" t="s">
        <v>210</v>
      </c>
      <c r="G135" s="94" t="s">
        <v>210</v>
      </c>
      <c r="H135" s="94">
        <v>2</v>
      </c>
      <c r="I135" s="94">
        <v>-1</v>
      </c>
      <c r="J135" s="94" t="s">
        <v>210</v>
      </c>
      <c r="K135" s="94" t="s">
        <v>210</v>
      </c>
      <c r="L135" s="94" t="s">
        <v>202</v>
      </c>
      <c r="M135" s="94">
        <v>-2</v>
      </c>
      <c r="N135" s="94" t="s">
        <v>210</v>
      </c>
      <c r="O135" s="94" t="s">
        <v>210</v>
      </c>
      <c r="P135" s="94">
        <v>1</v>
      </c>
      <c r="Q135" s="94">
        <v>-5</v>
      </c>
      <c r="R135" s="94" t="s">
        <v>210</v>
      </c>
      <c r="S135" s="94" t="s">
        <v>210</v>
      </c>
      <c r="T135" s="94">
        <v>4</v>
      </c>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BA135" s="95"/>
    </row>
    <row r="136" spans="1:53" s="87" customFormat="1">
      <c r="A136" s="90" t="str">
        <f t="shared" si="49"/>
        <v/>
      </c>
      <c r="B136" s="98">
        <v>15</v>
      </c>
      <c r="C136" s="94">
        <v>-1</v>
      </c>
      <c r="D136" s="94" t="s">
        <v>210</v>
      </c>
      <c r="E136" s="94">
        <v>4</v>
      </c>
      <c r="F136" s="94" t="s">
        <v>210</v>
      </c>
      <c r="G136" s="94" t="s">
        <v>210</v>
      </c>
      <c r="H136" s="94">
        <v>-2</v>
      </c>
      <c r="I136" s="94">
        <v>3</v>
      </c>
      <c r="J136" s="94" t="s">
        <v>210</v>
      </c>
      <c r="K136" s="94" t="s">
        <v>210</v>
      </c>
      <c r="L136" s="94">
        <v>-4</v>
      </c>
      <c r="M136" s="94">
        <v>1</v>
      </c>
      <c r="N136" s="94" t="s">
        <v>210</v>
      </c>
      <c r="O136" s="94" t="s">
        <v>210</v>
      </c>
      <c r="P136" s="94">
        <v>-3</v>
      </c>
      <c r="Q136" s="94">
        <v>2</v>
      </c>
      <c r="R136" s="94" t="s">
        <v>210</v>
      </c>
      <c r="S136" s="94" t="s">
        <v>210</v>
      </c>
      <c r="T136" s="94" t="s">
        <v>202</v>
      </c>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BA136" s="95"/>
    </row>
    <row r="137" spans="1:53" s="87" customFormat="1">
      <c r="A137" s="90" t="str">
        <f t="shared" si="49"/>
        <v/>
      </c>
      <c r="B137" s="98">
        <v>16</v>
      </c>
      <c r="C137" s="94">
        <v>-2</v>
      </c>
      <c r="D137" s="94" t="s">
        <v>210</v>
      </c>
      <c r="E137" s="94">
        <v>-3</v>
      </c>
      <c r="F137" s="94" t="s">
        <v>210</v>
      </c>
      <c r="G137" s="94" t="s">
        <v>210</v>
      </c>
      <c r="H137" s="94">
        <v>1</v>
      </c>
      <c r="I137" s="94">
        <v>-4</v>
      </c>
      <c r="J137" s="94" t="s">
        <v>210</v>
      </c>
      <c r="K137" s="94" t="s">
        <v>210</v>
      </c>
      <c r="L137" s="94">
        <v>3</v>
      </c>
      <c r="M137" s="94">
        <v>-1</v>
      </c>
      <c r="N137" s="94" t="s">
        <v>210</v>
      </c>
      <c r="O137" s="94" t="s">
        <v>210</v>
      </c>
      <c r="P137" s="94">
        <v>4</v>
      </c>
      <c r="Q137" s="94" t="s">
        <v>202</v>
      </c>
      <c r="R137" s="94" t="s">
        <v>210</v>
      </c>
      <c r="S137" s="94" t="s">
        <v>210</v>
      </c>
      <c r="T137" s="94">
        <v>2</v>
      </c>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BA137" s="95"/>
    </row>
    <row r="138" spans="1:53" s="87" customFormat="1">
      <c r="A138" s="90" t="str">
        <f t="shared" si="49"/>
        <v/>
      </c>
      <c r="B138" s="98">
        <v>17</v>
      </c>
      <c r="C138" s="94">
        <v>3</v>
      </c>
      <c r="D138" s="94" t="s">
        <v>210</v>
      </c>
      <c r="E138" s="94">
        <v>1</v>
      </c>
      <c r="F138" s="94" t="s">
        <v>210</v>
      </c>
      <c r="G138" s="94" t="s">
        <v>210</v>
      </c>
      <c r="H138" s="94">
        <v>-4</v>
      </c>
      <c r="I138" s="94">
        <v>-3</v>
      </c>
      <c r="J138" s="94" t="s">
        <v>210</v>
      </c>
      <c r="K138" s="94" t="s">
        <v>210</v>
      </c>
      <c r="L138" s="94">
        <v>2</v>
      </c>
      <c r="M138" s="94" t="s">
        <v>202</v>
      </c>
      <c r="N138" s="94" t="s">
        <v>210</v>
      </c>
      <c r="O138" s="94" t="s">
        <v>210</v>
      </c>
      <c r="P138" s="94">
        <v>-1</v>
      </c>
      <c r="Q138" s="94">
        <v>4</v>
      </c>
      <c r="R138" s="94" t="s">
        <v>210</v>
      </c>
      <c r="S138" s="94" t="s">
        <v>210</v>
      </c>
      <c r="T138" s="94">
        <v>-2</v>
      </c>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BA138" s="95"/>
    </row>
    <row r="139" spans="1:53" s="87" customFormat="1">
      <c r="A139" s="90" t="str">
        <f t="shared" si="49"/>
        <v/>
      </c>
      <c r="B139" s="98">
        <v>18</v>
      </c>
      <c r="C139" s="94" t="s">
        <v>202</v>
      </c>
      <c r="D139" s="94" t="s">
        <v>210</v>
      </c>
      <c r="E139" s="94">
        <v>-2</v>
      </c>
      <c r="F139" s="94" t="s">
        <v>210</v>
      </c>
      <c r="G139" s="94" t="s">
        <v>210</v>
      </c>
      <c r="H139" s="94">
        <v>-5</v>
      </c>
      <c r="I139" s="94">
        <v>4</v>
      </c>
      <c r="J139" s="94" t="s">
        <v>210</v>
      </c>
      <c r="K139" s="94" t="s">
        <v>210</v>
      </c>
      <c r="L139" s="94">
        <v>-1</v>
      </c>
      <c r="M139" s="94">
        <v>2</v>
      </c>
      <c r="N139" s="94" t="s">
        <v>210</v>
      </c>
      <c r="O139" s="94" t="s">
        <v>210</v>
      </c>
      <c r="P139" s="94">
        <v>3</v>
      </c>
      <c r="Q139" s="94">
        <v>-4</v>
      </c>
      <c r="R139" s="94" t="s">
        <v>210</v>
      </c>
      <c r="S139" s="94" t="s">
        <v>210</v>
      </c>
      <c r="T139" s="94">
        <v>1</v>
      </c>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BA139" s="95"/>
    </row>
    <row r="140" spans="1:53" s="87" customFormat="1">
      <c r="A140" s="90" t="str">
        <f t="shared" ref="A140:A203" si="50">IF(MID(B140,3,2)="05",ROW(),"")</f>
        <v/>
      </c>
      <c r="B140" s="98">
        <v>19</v>
      </c>
      <c r="C140" s="94">
        <v>1</v>
      </c>
      <c r="D140" s="94" t="s">
        <v>210</v>
      </c>
      <c r="E140" s="94" t="s">
        <v>202</v>
      </c>
      <c r="F140" s="94" t="s">
        <v>210</v>
      </c>
      <c r="G140" s="94" t="s">
        <v>210</v>
      </c>
      <c r="H140" s="94">
        <v>4</v>
      </c>
      <c r="I140" s="94">
        <v>-5</v>
      </c>
      <c r="J140" s="94" t="s">
        <v>210</v>
      </c>
      <c r="K140" s="94" t="s">
        <v>210</v>
      </c>
      <c r="L140" s="94">
        <v>-3</v>
      </c>
      <c r="M140" s="94">
        <v>-4</v>
      </c>
      <c r="N140" s="94" t="s">
        <v>210</v>
      </c>
      <c r="O140" s="94" t="s">
        <v>210</v>
      </c>
      <c r="P140" s="94">
        <v>2</v>
      </c>
      <c r="Q140" s="94">
        <v>5</v>
      </c>
      <c r="R140" s="94" t="s">
        <v>210</v>
      </c>
      <c r="S140" s="94" t="s">
        <v>210</v>
      </c>
      <c r="T140" s="94">
        <v>-1</v>
      </c>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c r="BA140" s="95"/>
    </row>
    <row r="141" spans="1:53" s="87" customFormat="1">
      <c r="A141" s="90" t="str">
        <f t="shared" si="50"/>
        <v/>
      </c>
      <c r="B141" s="98" t="s">
        <v>315</v>
      </c>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BA141" s="95"/>
    </row>
    <row r="142" spans="1:53" s="87" customFormat="1">
      <c r="A142" s="90">
        <f t="shared" si="50"/>
        <v>142</v>
      </c>
      <c r="B142" s="317" t="s">
        <v>1117</v>
      </c>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BA142" s="95"/>
    </row>
    <row r="143" spans="1:53" s="87" customFormat="1">
      <c r="A143" s="90" t="str">
        <f t="shared" si="50"/>
        <v/>
      </c>
      <c r="B143" s="98">
        <v>1</v>
      </c>
      <c r="C143" s="363" t="s">
        <v>202</v>
      </c>
      <c r="D143" s="363" t="s">
        <v>202</v>
      </c>
      <c r="E143" s="94" t="s">
        <v>210</v>
      </c>
      <c r="F143" s="94">
        <v>-3</v>
      </c>
      <c r="G143" s="94">
        <v>1</v>
      </c>
      <c r="H143" s="94" t="s">
        <v>210</v>
      </c>
      <c r="I143" s="94" t="s">
        <v>210</v>
      </c>
      <c r="J143" s="94">
        <v>-4</v>
      </c>
      <c r="K143" s="94">
        <v>2</v>
      </c>
      <c r="L143" s="94" t="s">
        <v>210</v>
      </c>
      <c r="M143" s="94">
        <v>-5</v>
      </c>
      <c r="N143" s="94" t="s">
        <v>210</v>
      </c>
      <c r="O143" s="94">
        <v>3</v>
      </c>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BA143" s="95"/>
    </row>
    <row r="144" spans="1:53" s="87" customFormat="1">
      <c r="A144" s="90" t="str">
        <f t="shared" si="50"/>
        <v/>
      </c>
      <c r="B144" s="98">
        <v>2</v>
      </c>
      <c r="C144" s="94">
        <v>4</v>
      </c>
      <c r="D144" s="94" t="s">
        <v>210</v>
      </c>
      <c r="E144" s="363" t="s">
        <v>202</v>
      </c>
      <c r="F144" s="363" t="s">
        <v>202</v>
      </c>
      <c r="G144" s="94">
        <v>-2</v>
      </c>
      <c r="H144" s="94" t="s">
        <v>210</v>
      </c>
      <c r="I144" s="94" t="s">
        <v>210</v>
      </c>
      <c r="J144" s="94">
        <v>-1</v>
      </c>
      <c r="K144" s="94">
        <v>5</v>
      </c>
      <c r="L144" s="94" t="s">
        <v>210</v>
      </c>
      <c r="M144" s="94" t="s">
        <v>210</v>
      </c>
      <c r="N144" s="94">
        <v>2</v>
      </c>
      <c r="O144" s="94">
        <v>-3</v>
      </c>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BA144" s="95"/>
    </row>
    <row r="145" spans="1:53" s="87" customFormat="1">
      <c r="A145" s="90" t="str">
        <f t="shared" si="50"/>
        <v/>
      </c>
      <c r="B145" s="98">
        <v>3</v>
      </c>
      <c r="C145" s="94">
        <v>-4</v>
      </c>
      <c r="D145" s="94" t="s">
        <v>210</v>
      </c>
      <c r="E145" s="94" t="s">
        <v>210</v>
      </c>
      <c r="F145" s="94">
        <v>1</v>
      </c>
      <c r="G145" s="94">
        <v>-3</v>
      </c>
      <c r="H145" s="94" t="s">
        <v>210</v>
      </c>
      <c r="I145" s="363" t="s">
        <v>202</v>
      </c>
      <c r="J145" s="363" t="s">
        <v>202</v>
      </c>
      <c r="K145" s="94">
        <v>-2</v>
      </c>
      <c r="L145" s="94" t="s">
        <v>210</v>
      </c>
      <c r="M145" s="94" t="s">
        <v>210</v>
      </c>
      <c r="N145" s="94">
        <v>3</v>
      </c>
      <c r="O145" s="94">
        <v>4</v>
      </c>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BA145" s="95"/>
    </row>
    <row r="146" spans="1:53" s="87" customFormat="1">
      <c r="A146" s="90" t="str">
        <f t="shared" si="50"/>
        <v/>
      </c>
      <c r="B146" s="98">
        <v>4</v>
      </c>
      <c r="C146" s="94">
        <v>5</v>
      </c>
      <c r="D146" s="94" t="s">
        <v>210</v>
      </c>
      <c r="E146" s="94" t="s">
        <v>210</v>
      </c>
      <c r="F146" s="94">
        <v>4</v>
      </c>
      <c r="G146" s="94">
        <v>-1</v>
      </c>
      <c r="H146" s="94" t="s">
        <v>210</v>
      </c>
      <c r="I146" s="94" t="s">
        <v>210</v>
      </c>
      <c r="J146" s="94">
        <v>3</v>
      </c>
      <c r="K146" s="363" t="s">
        <v>202</v>
      </c>
      <c r="L146" s="363" t="s">
        <v>202</v>
      </c>
      <c r="M146" s="94" t="s">
        <v>210</v>
      </c>
      <c r="N146" s="94">
        <v>-2</v>
      </c>
      <c r="O146" s="94">
        <v>-4</v>
      </c>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BA146" s="95"/>
    </row>
    <row r="147" spans="1:53" s="87" customFormat="1">
      <c r="A147" s="90" t="str">
        <f t="shared" si="50"/>
        <v/>
      </c>
      <c r="B147" s="98">
        <v>5</v>
      </c>
      <c r="C147" s="94">
        <v>2</v>
      </c>
      <c r="D147" s="94" t="s">
        <v>210</v>
      </c>
      <c r="E147" s="94" t="s">
        <v>210</v>
      </c>
      <c r="F147" s="94">
        <v>-4</v>
      </c>
      <c r="G147" s="94">
        <v>3</v>
      </c>
      <c r="H147" s="94" t="s">
        <v>210</v>
      </c>
      <c r="I147" s="94" t="s">
        <v>210</v>
      </c>
      <c r="J147" s="94">
        <v>4</v>
      </c>
      <c r="K147" s="94">
        <v>-5</v>
      </c>
      <c r="L147" s="94" t="s">
        <v>210</v>
      </c>
      <c r="M147" s="363" t="s">
        <v>202</v>
      </c>
      <c r="N147" s="363" t="s">
        <v>202</v>
      </c>
      <c r="O147" s="94">
        <v>-2</v>
      </c>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BA147" s="95"/>
    </row>
    <row r="148" spans="1:53" s="87" customFormat="1">
      <c r="A148" s="90" t="str">
        <f t="shared" si="50"/>
        <v/>
      </c>
      <c r="B148" s="98">
        <v>6</v>
      </c>
      <c r="C148" s="94">
        <v>-5</v>
      </c>
      <c r="D148" s="94" t="s">
        <v>210</v>
      </c>
      <c r="E148" s="94" t="s">
        <v>210</v>
      </c>
      <c r="F148" s="94">
        <v>3</v>
      </c>
      <c r="G148" s="363" t="s">
        <v>202</v>
      </c>
      <c r="H148" s="363" t="s">
        <v>202</v>
      </c>
      <c r="I148" s="94" t="s">
        <v>210</v>
      </c>
      <c r="J148" s="94">
        <v>1</v>
      </c>
      <c r="K148" s="94">
        <v>-4</v>
      </c>
      <c r="L148" s="94" t="s">
        <v>210</v>
      </c>
      <c r="M148" s="94" t="s">
        <v>210</v>
      </c>
      <c r="N148" s="94">
        <v>-3</v>
      </c>
      <c r="O148" s="94">
        <v>2</v>
      </c>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BA148" s="95"/>
    </row>
    <row r="149" spans="1:53" s="87" customFormat="1">
      <c r="A149" s="90" t="str">
        <f t="shared" si="50"/>
        <v/>
      </c>
      <c r="B149" s="99">
        <v>7</v>
      </c>
      <c r="C149" s="92">
        <v>-2</v>
      </c>
      <c r="D149" s="92" t="s">
        <v>210</v>
      </c>
      <c r="E149" s="92" t="s">
        <v>210</v>
      </c>
      <c r="F149" s="92">
        <v>-1</v>
      </c>
      <c r="G149" s="92">
        <v>2</v>
      </c>
      <c r="H149" s="92" t="s">
        <v>210</v>
      </c>
      <c r="I149" s="92" t="s">
        <v>210</v>
      </c>
      <c r="J149" s="92">
        <v>-3</v>
      </c>
      <c r="K149" s="92">
        <v>4</v>
      </c>
      <c r="L149" s="92" t="s">
        <v>210</v>
      </c>
      <c r="M149" s="92">
        <v>5</v>
      </c>
      <c r="N149" s="364" t="s">
        <v>210</v>
      </c>
      <c r="O149" s="364" t="s">
        <v>202</v>
      </c>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BA149" s="95"/>
    </row>
    <row r="150" spans="1:53" s="87" customFormat="1">
      <c r="A150" s="90" t="str">
        <f t="shared" si="50"/>
        <v/>
      </c>
      <c r="B150" s="98">
        <v>8</v>
      </c>
      <c r="C150" s="94">
        <v>-3</v>
      </c>
      <c r="D150" s="94" t="s">
        <v>210</v>
      </c>
      <c r="E150" s="94" t="s">
        <v>210</v>
      </c>
      <c r="F150" s="94">
        <v>2</v>
      </c>
      <c r="G150" s="94">
        <v>4</v>
      </c>
      <c r="H150" s="94" t="s">
        <v>210</v>
      </c>
      <c r="I150" s="94" t="s">
        <v>210</v>
      </c>
      <c r="J150" s="94">
        <v>-2</v>
      </c>
      <c r="K150" s="94">
        <v>1</v>
      </c>
      <c r="L150" s="94" t="s">
        <v>210</v>
      </c>
      <c r="M150" s="94" t="s">
        <v>210</v>
      </c>
      <c r="N150" s="94" t="s">
        <v>210</v>
      </c>
      <c r="O150" s="94">
        <v>-5</v>
      </c>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c r="AW150" s="94"/>
      <c r="AX150" s="94"/>
      <c r="AY150" s="94"/>
      <c r="BA150" s="95"/>
    </row>
    <row r="151" spans="1:53" s="87" customFormat="1">
      <c r="A151" s="90" t="str">
        <f t="shared" si="50"/>
        <v/>
      </c>
      <c r="B151" s="98">
        <v>9</v>
      </c>
      <c r="C151" s="94" t="s">
        <v>210</v>
      </c>
      <c r="D151" s="94">
        <v>-1</v>
      </c>
      <c r="E151" s="94">
        <v>2</v>
      </c>
      <c r="F151" s="94" t="s">
        <v>210</v>
      </c>
      <c r="G151" s="94" t="s">
        <v>210</v>
      </c>
      <c r="H151" s="94">
        <v>-4</v>
      </c>
      <c r="I151" s="94">
        <v>-2</v>
      </c>
      <c r="J151" s="94" t="s">
        <v>210</v>
      </c>
      <c r="K151" s="94">
        <v>3</v>
      </c>
      <c r="L151" s="94" t="s">
        <v>210</v>
      </c>
      <c r="M151" s="94" t="s">
        <v>210</v>
      </c>
      <c r="N151" s="94" t="s">
        <v>210</v>
      </c>
      <c r="O151" s="94">
        <v>5</v>
      </c>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BA151" s="95"/>
    </row>
    <row r="152" spans="1:53" s="87" customFormat="1">
      <c r="A152" s="90" t="str">
        <f t="shared" si="50"/>
        <v/>
      </c>
      <c r="B152" s="98">
        <v>10</v>
      </c>
      <c r="C152" s="94" t="s">
        <v>210</v>
      </c>
      <c r="D152" s="94">
        <v>-4</v>
      </c>
      <c r="E152" s="94">
        <v>3</v>
      </c>
      <c r="F152" s="94" t="s">
        <v>210</v>
      </c>
      <c r="G152" s="94">
        <v>-5</v>
      </c>
      <c r="H152" s="94" t="s">
        <v>210</v>
      </c>
      <c r="I152" s="94" t="s">
        <v>210</v>
      </c>
      <c r="J152" s="94">
        <v>2</v>
      </c>
      <c r="K152" s="94">
        <v>-3</v>
      </c>
      <c r="L152" s="94" t="s">
        <v>210</v>
      </c>
      <c r="M152" s="94" t="s">
        <v>210</v>
      </c>
      <c r="N152" s="94" t="s">
        <v>210</v>
      </c>
      <c r="O152" s="94">
        <v>1</v>
      </c>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BA152" s="95"/>
    </row>
    <row r="153" spans="1:53" s="87" customFormat="1">
      <c r="A153" s="90" t="str">
        <f t="shared" si="50"/>
        <v/>
      </c>
      <c r="B153" s="98">
        <v>11</v>
      </c>
      <c r="C153" s="94" t="s">
        <v>210</v>
      </c>
      <c r="D153" s="94">
        <v>3</v>
      </c>
      <c r="E153" s="94">
        <v>-2</v>
      </c>
      <c r="F153" s="94" t="s">
        <v>210</v>
      </c>
      <c r="G153" s="94">
        <v>-4</v>
      </c>
      <c r="H153" s="94" t="s">
        <v>210</v>
      </c>
      <c r="I153" s="94">
        <v>5</v>
      </c>
      <c r="J153" s="94" t="s">
        <v>210</v>
      </c>
      <c r="K153" s="94" t="s">
        <v>210</v>
      </c>
      <c r="L153" s="94">
        <v>4</v>
      </c>
      <c r="M153" s="94" t="s">
        <v>210</v>
      </c>
      <c r="N153" s="94" t="s">
        <v>210</v>
      </c>
      <c r="O153" s="94">
        <v>-1</v>
      </c>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BA153" s="95"/>
    </row>
    <row r="154" spans="1:53" s="87" customFormat="1">
      <c r="A154" s="90" t="str">
        <f t="shared" si="50"/>
        <v/>
      </c>
      <c r="B154" s="98">
        <v>12</v>
      </c>
      <c r="C154" s="94" t="s">
        <v>210</v>
      </c>
      <c r="D154" s="94">
        <v>2</v>
      </c>
      <c r="E154" s="94">
        <v>-3</v>
      </c>
      <c r="F154" s="94" t="s">
        <v>210</v>
      </c>
      <c r="G154" s="94" t="s">
        <v>210</v>
      </c>
      <c r="H154" s="94">
        <v>4</v>
      </c>
      <c r="I154" s="94">
        <v>-5</v>
      </c>
      <c r="J154" s="94" t="s">
        <v>210</v>
      </c>
      <c r="K154" s="94">
        <v>-1</v>
      </c>
      <c r="L154" s="94" t="s">
        <v>210</v>
      </c>
      <c r="M154" s="94">
        <v>3</v>
      </c>
      <c r="N154" s="94" t="s">
        <v>210</v>
      </c>
      <c r="O154" s="94" t="s">
        <v>210</v>
      </c>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c r="BA154" s="95"/>
    </row>
    <row r="155" spans="1:53" s="87" customFormat="1">
      <c r="A155" s="90" t="str">
        <f t="shared" si="50"/>
        <v/>
      </c>
      <c r="B155" s="99">
        <v>13</v>
      </c>
      <c r="C155" s="92">
        <v>1</v>
      </c>
      <c r="D155" s="92" t="s">
        <v>210</v>
      </c>
      <c r="E155" s="92" t="s">
        <v>210</v>
      </c>
      <c r="F155" s="92">
        <v>-2</v>
      </c>
      <c r="G155" s="92">
        <v>5</v>
      </c>
      <c r="H155" s="92" t="s">
        <v>210</v>
      </c>
      <c r="I155" s="92">
        <v>2</v>
      </c>
      <c r="J155" s="92" t="s">
        <v>210</v>
      </c>
      <c r="K155" s="92" t="s">
        <v>210</v>
      </c>
      <c r="L155" s="92">
        <v>-4</v>
      </c>
      <c r="M155" s="92">
        <v>-3</v>
      </c>
      <c r="N155" s="92" t="s">
        <v>210</v>
      </c>
      <c r="O155" s="92" t="s">
        <v>210</v>
      </c>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BA155" s="95"/>
    </row>
    <row r="156" spans="1:53" s="87" customFormat="1">
      <c r="A156" s="90" t="str">
        <f t="shared" si="50"/>
        <v/>
      </c>
      <c r="B156" s="98">
        <v>14</v>
      </c>
      <c r="C156" s="94">
        <v>3</v>
      </c>
      <c r="D156" s="94" t="s">
        <v>210</v>
      </c>
      <c r="E156" s="94">
        <v>-5</v>
      </c>
      <c r="F156" s="94" t="s">
        <v>210</v>
      </c>
      <c r="G156" s="94" t="s">
        <v>210</v>
      </c>
      <c r="H156" s="94">
        <v>2</v>
      </c>
      <c r="I156" s="94">
        <v>-1</v>
      </c>
      <c r="J156" s="94" t="s">
        <v>210</v>
      </c>
      <c r="K156" s="94" t="s">
        <v>210</v>
      </c>
      <c r="L156" s="94">
        <v>-3</v>
      </c>
      <c r="M156" s="94">
        <v>4</v>
      </c>
      <c r="N156" s="94" t="s">
        <v>210</v>
      </c>
      <c r="O156" s="94" t="s">
        <v>210</v>
      </c>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BA156" s="95"/>
    </row>
    <row r="157" spans="1:53" s="87" customFormat="1">
      <c r="A157" s="90" t="str">
        <f t="shared" si="50"/>
        <v/>
      </c>
      <c r="B157" s="98">
        <v>15</v>
      </c>
      <c r="C157" s="94" t="s">
        <v>210</v>
      </c>
      <c r="D157" s="94">
        <v>1</v>
      </c>
      <c r="E157" s="94">
        <v>-4</v>
      </c>
      <c r="F157" s="94" t="s">
        <v>210</v>
      </c>
      <c r="G157" s="94" t="s">
        <v>210</v>
      </c>
      <c r="H157" s="94">
        <v>-5</v>
      </c>
      <c r="I157" s="94">
        <v>4</v>
      </c>
      <c r="J157" s="94" t="s">
        <v>210</v>
      </c>
      <c r="K157" s="94" t="s">
        <v>210</v>
      </c>
      <c r="L157" s="94">
        <v>3</v>
      </c>
      <c r="M157" s="94">
        <v>-2</v>
      </c>
      <c r="N157" s="94" t="s">
        <v>210</v>
      </c>
      <c r="O157" s="94" t="s">
        <v>210</v>
      </c>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c r="AW157" s="94"/>
      <c r="AX157" s="94"/>
      <c r="AY157" s="94"/>
      <c r="BA157" s="95"/>
    </row>
    <row r="158" spans="1:53" s="87" customFormat="1">
      <c r="A158" s="90" t="str">
        <f t="shared" si="50"/>
        <v/>
      </c>
      <c r="B158" s="98">
        <v>16</v>
      </c>
      <c r="C158" s="94" t="s">
        <v>210</v>
      </c>
      <c r="D158" s="94">
        <v>4</v>
      </c>
      <c r="E158" s="94">
        <v>-1</v>
      </c>
      <c r="F158" s="94" t="s">
        <v>210</v>
      </c>
      <c r="G158" s="94" t="s">
        <v>210</v>
      </c>
      <c r="H158" s="94">
        <v>-3</v>
      </c>
      <c r="I158" s="94">
        <v>1</v>
      </c>
      <c r="J158" s="94" t="s">
        <v>210</v>
      </c>
      <c r="K158" s="94" t="s">
        <v>210</v>
      </c>
      <c r="L158" s="94">
        <v>-5</v>
      </c>
      <c r="M158" s="94">
        <v>2</v>
      </c>
      <c r="N158" s="94" t="s">
        <v>210</v>
      </c>
      <c r="O158" s="94" t="s">
        <v>210</v>
      </c>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BA158" s="95"/>
    </row>
    <row r="159" spans="1:53" s="87" customFormat="1">
      <c r="A159" s="90" t="str">
        <f t="shared" si="50"/>
        <v/>
      </c>
      <c r="B159" s="98">
        <v>17</v>
      </c>
      <c r="C159" s="94" t="s">
        <v>210</v>
      </c>
      <c r="D159" s="94">
        <v>-3</v>
      </c>
      <c r="E159" s="94">
        <v>4</v>
      </c>
      <c r="F159" s="94" t="s">
        <v>210</v>
      </c>
      <c r="G159" s="94" t="s">
        <v>210</v>
      </c>
      <c r="H159" s="94">
        <v>-2</v>
      </c>
      <c r="I159" s="94">
        <v>3</v>
      </c>
      <c r="J159" s="94" t="s">
        <v>210</v>
      </c>
      <c r="K159" s="94" t="s">
        <v>210</v>
      </c>
      <c r="L159" s="94">
        <v>5</v>
      </c>
      <c r="M159" s="94">
        <v>-1</v>
      </c>
      <c r="N159" s="94" t="s">
        <v>210</v>
      </c>
      <c r="O159" s="94" t="s">
        <v>210</v>
      </c>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BA159" s="95"/>
    </row>
    <row r="160" spans="1:53" s="87" customFormat="1">
      <c r="A160" s="90" t="str">
        <f t="shared" si="50"/>
        <v/>
      </c>
      <c r="B160" s="98">
        <v>18</v>
      </c>
      <c r="C160" s="94" t="s">
        <v>210</v>
      </c>
      <c r="D160" s="94">
        <v>-2</v>
      </c>
      <c r="E160" s="94">
        <v>1</v>
      </c>
      <c r="F160" s="94" t="s">
        <v>210</v>
      </c>
      <c r="G160" s="94" t="s">
        <v>210</v>
      </c>
      <c r="H160" s="94">
        <v>5</v>
      </c>
      <c r="I160" s="94">
        <v>-3</v>
      </c>
      <c r="J160" s="94" t="s">
        <v>210</v>
      </c>
      <c r="K160" s="94" t="s">
        <v>210</v>
      </c>
      <c r="L160" s="94">
        <v>2</v>
      </c>
      <c r="M160" s="94">
        <v>-4</v>
      </c>
      <c r="N160" s="94" t="s">
        <v>210</v>
      </c>
      <c r="O160" s="94" t="s">
        <v>210</v>
      </c>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BA160" s="95"/>
    </row>
    <row r="161" spans="1:53" s="87" customFormat="1">
      <c r="A161" s="90" t="str">
        <f t="shared" si="50"/>
        <v/>
      </c>
      <c r="B161" s="98">
        <v>19</v>
      </c>
      <c r="C161" s="94">
        <v>-1</v>
      </c>
      <c r="D161" s="94" t="s">
        <v>210</v>
      </c>
      <c r="E161" s="94">
        <v>5</v>
      </c>
      <c r="F161" s="94" t="s">
        <v>210</v>
      </c>
      <c r="G161" s="94" t="s">
        <v>210</v>
      </c>
      <c r="H161" s="94">
        <v>3</v>
      </c>
      <c r="I161" s="94">
        <v>-4</v>
      </c>
      <c r="J161" s="94" t="s">
        <v>210</v>
      </c>
      <c r="K161" s="94" t="s">
        <v>210</v>
      </c>
      <c r="L161" s="94">
        <v>-2</v>
      </c>
      <c r="M161" s="94">
        <v>1</v>
      </c>
      <c r="N161" s="94" t="s">
        <v>210</v>
      </c>
      <c r="O161" s="94" t="s">
        <v>210</v>
      </c>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BA161" s="95"/>
    </row>
    <row r="162" spans="1:53" s="87" customFormat="1">
      <c r="A162" s="90" t="str">
        <f t="shared" si="50"/>
        <v/>
      </c>
      <c r="B162" s="317" t="s">
        <v>1009</v>
      </c>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BA162" s="95"/>
    </row>
    <row r="163" spans="1:53" s="87" customFormat="1">
      <c r="A163" s="90">
        <f t="shared" si="50"/>
        <v>163</v>
      </c>
      <c r="B163" s="317" t="s">
        <v>900</v>
      </c>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BA163" s="95"/>
    </row>
    <row r="164" spans="1:53" s="87" customFormat="1">
      <c r="A164" s="90" t="str">
        <f t="shared" si="50"/>
        <v/>
      </c>
      <c r="B164" s="98">
        <v>1</v>
      </c>
      <c r="C164" s="94">
        <v>-3</v>
      </c>
      <c r="D164" s="94" t="s">
        <v>210</v>
      </c>
      <c r="E164" s="94" t="s">
        <v>210</v>
      </c>
      <c r="F164" s="94">
        <v>2</v>
      </c>
      <c r="G164" s="94">
        <v>-1</v>
      </c>
      <c r="H164" s="94" t="s">
        <v>210</v>
      </c>
      <c r="I164" s="94" t="s">
        <v>210</v>
      </c>
      <c r="J164" s="94">
        <v>4</v>
      </c>
      <c r="K164" s="94">
        <v>-5</v>
      </c>
      <c r="L164" s="94" t="s">
        <v>210</v>
      </c>
      <c r="M164" s="94" t="s">
        <v>210</v>
      </c>
      <c r="N164" s="94">
        <v>3</v>
      </c>
      <c r="O164" s="94">
        <v>-2</v>
      </c>
      <c r="P164" s="94" t="s">
        <v>210</v>
      </c>
      <c r="Q164" s="94" t="s">
        <v>210</v>
      </c>
      <c r="R164" s="94">
        <v>1</v>
      </c>
      <c r="S164" s="94">
        <v>-4</v>
      </c>
      <c r="T164" s="94" t="s">
        <v>210</v>
      </c>
      <c r="U164" s="94" t="s">
        <v>210</v>
      </c>
      <c r="V164" s="94">
        <v>5</v>
      </c>
      <c r="W164" s="94" t="s">
        <v>210</v>
      </c>
      <c r="X164" s="94">
        <v>-4</v>
      </c>
      <c r="Y164" s="94">
        <v>-1</v>
      </c>
      <c r="Z164" s="94" t="s">
        <v>210</v>
      </c>
      <c r="AA164" s="94" t="s">
        <v>210</v>
      </c>
      <c r="AB164" s="94">
        <v>-3</v>
      </c>
      <c r="AC164" s="94">
        <v>2</v>
      </c>
      <c r="AD164" s="94" t="s">
        <v>210</v>
      </c>
      <c r="AE164" s="94" t="s">
        <v>210</v>
      </c>
      <c r="AF164" s="94">
        <v>-5</v>
      </c>
      <c r="AG164" s="94">
        <v>4</v>
      </c>
      <c r="AH164" s="94" t="s">
        <v>210</v>
      </c>
      <c r="AI164" s="94" t="s">
        <v>210</v>
      </c>
      <c r="AJ164" s="94">
        <v>-2</v>
      </c>
      <c r="AK164" s="94">
        <v>1</v>
      </c>
      <c r="AL164" s="94" t="s">
        <v>210</v>
      </c>
      <c r="AM164" s="94" t="s">
        <v>210</v>
      </c>
      <c r="AN164" s="94">
        <v>3</v>
      </c>
      <c r="AO164" s="94"/>
      <c r="AP164" s="94"/>
      <c r="AQ164" s="94"/>
      <c r="AR164" s="94"/>
      <c r="AS164" s="94"/>
      <c r="AT164" s="94"/>
      <c r="AU164" s="94"/>
      <c r="AV164" s="94"/>
      <c r="AW164" s="94"/>
      <c r="AX164" s="94"/>
      <c r="AY164" s="94"/>
      <c r="BA164" s="95"/>
    </row>
    <row r="165" spans="1:53" s="87" customFormat="1">
      <c r="A165" s="90" t="str">
        <f t="shared" si="50"/>
        <v/>
      </c>
      <c r="B165" s="98">
        <v>2</v>
      </c>
      <c r="C165" s="94">
        <v>-4</v>
      </c>
      <c r="D165" s="94" t="s">
        <v>210</v>
      </c>
      <c r="E165" s="94" t="s">
        <v>210</v>
      </c>
      <c r="F165" s="94">
        <v>5</v>
      </c>
      <c r="G165" s="94">
        <v>-3</v>
      </c>
      <c r="H165" s="94" t="s">
        <v>210</v>
      </c>
      <c r="I165" s="94" t="s">
        <v>210</v>
      </c>
      <c r="J165" s="94">
        <v>2</v>
      </c>
      <c r="K165" s="94">
        <v>-1</v>
      </c>
      <c r="L165" s="94" t="s">
        <v>210</v>
      </c>
      <c r="M165" s="94" t="s">
        <v>210</v>
      </c>
      <c r="N165" s="94">
        <v>4</v>
      </c>
      <c r="O165" s="94">
        <v>-5</v>
      </c>
      <c r="P165" s="94" t="s">
        <v>210</v>
      </c>
      <c r="Q165" s="94" t="s">
        <v>210</v>
      </c>
      <c r="R165" s="94">
        <v>3</v>
      </c>
      <c r="S165" s="94">
        <v>-2</v>
      </c>
      <c r="T165" s="94" t="s">
        <v>210</v>
      </c>
      <c r="U165" s="94" t="s">
        <v>210</v>
      </c>
      <c r="V165" s="94">
        <v>1</v>
      </c>
      <c r="W165" s="94" t="s">
        <v>210</v>
      </c>
      <c r="X165" s="94">
        <v>2</v>
      </c>
      <c r="Y165" s="94">
        <v>5</v>
      </c>
      <c r="Z165" s="94" t="s">
        <v>210</v>
      </c>
      <c r="AA165" s="94" t="s">
        <v>210</v>
      </c>
      <c r="AB165" s="94">
        <v>-4</v>
      </c>
      <c r="AC165" s="94">
        <v>3</v>
      </c>
      <c r="AD165" s="94" t="s">
        <v>210</v>
      </c>
      <c r="AE165" s="94" t="s">
        <v>210</v>
      </c>
      <c r="AF165" s="94">
        <v>1</v>
      </c>
      <c r="AG165" s="94">
        <v>-2</v>
      </c>
      <c r="AH165" s="94" t="s">
        <v>210</v>
      </c>
      <c r="AI165" s="94" t="s">
        <v>210</v>
      </c>
      <c r="AJ165" s="94">
        <v>4</v>
      </c>
      <c r="AK165" s="94">
        <v>-5</v>
      </c>
      <c r="AL165" s="94" t="s">
        <v>210</v>
      </c>
      <c r="AM165" s="94" t="s">
        <v>210</v>
      </c>
      <c r="AN165" s="94">
        <v>-3</v>
      </c>
      <c r="AO165" s="94"/>
      <c r="AP165" s="94"/>
      <c r="AQ165" s="94"/>
      <c r="AR165" s="94"/>
      <c r="AS165" s="94"/>
      <c r="AT165" s="94"/>
      <c r="AU165" s="94"/>
      <c r="AV165" s="94"/>
      <c r="AW165" s="94"/>
      <c r="AX165" s="94"/>
      <c r="AY165" s="94"/>
      <c r="BA165" s="95"/>
    </row>
    <row r="166" spans="1:53" s="87" customFormat="1">
      <c r="A166" s="90" t="str">
        <f t="shared" si="50"/>
        <v/>
      </c>
      <c r="B166" s="98">
        <v>3</v>
      </c>
      <c r="C166" s="94">
        <v>-5</v>
      </c>
      <c r="D166" s="94" t="s">
        <v>210</v>
      </c>
      <c r="E166" s="94" t="s">
        <v>210</v>
      </c>
      <c r="F166" s="94">
        <v>3</v>
      </c>
      <c r="G166" s="94">
        <v>-2</v>
      </c>
      <c r="H166" s="94" t="s">
        <v>210</v>
      </c>
      <c r="I166" s="94" t="s">
        <v>210</v>
      </c>
      <c r="J166" s="94">
        <v>1</v>
      </c>
      <c r="K166" s="94">
        <v>-4</v>
      </c>
      <c r="L166" s="94" t="s">
        <v>210</v>
      </c>
      <c r="M166" s="94" t="s">
        <v>210</v>
      </c>
      <c r="N166" s="94">
        <v>5</v>
      </c>
      <c r="O166" s="94">
        <v>-3</v>
      </c>
      <c r="P166" s="94" t="s">
        <v>210</v>
      </c>
      <c r="Q166" s="94" t="s">
        <v>210</v>
      </c>
      <c r="R166" s="94">
        <v>2</v>
      </c>
      <c r="S166" s="94">
        <v>-1</v>
      </c>
      <c r="T166" s="94" t="s">
        <v>210</v>
      </c>
      <c r="U166" s="94" t="s">
        <v>210</v>
      </c>
      <c r="V166" s="94">
        <v>4</v>
      </c>
      <c r="W166" s="94" t="s">
        <v>210</v>
      </c>
      <c r="X166" s="94">
        <v>-5</v>
      </c>
      <c r="Y166" s="94">
        <v>2</v>
      </c>
      <c r="Z166" s="94" t="s">
        <v>210</v>
      </c>
      <c r="AA166" s="94" t="s">
        <v>210</v>
      </c>
      <c r="AB166" s="94">
        <v>-1</v>
      </c>
      <c r="AC166" s="94">
        <v>-3</v>
      </c>
      <c r="AD166" s="94" t="s">
        <v>210</v>
      </c>
      <c r="AE166" s="94" t="s">
        <v>210</v>
      </c>
      <c r="AF166" s="94">
        <v>5</v>
      </c>
      <c r="AG166" s="94">
        <v>3</v>
      </c>
      <c r="AH166" s="94" t="s">
        <v>210</v>
      </c>
      <c r="AI166" s="94" t="s">
        <v>210</v>
      </c>
      <c r="AJ166" s="94">
        <v>1</v>
      </c>
      <c r="AK166" s="94">
        <v>-2</v>
      </c>
      <c r="AL166" s="94" t="s">
        <v>210</v>
      </c>
      <c r="AM166" s="94" t="s">
        <v>210</v>
      </c>
      <c r="AN166" s="94">
        <v>-4</v>
      </c>
      <c r="AO166" s="94"/>
      <c r="AP166" s="94"/>
      <c r="AQ166" s="94"/>
      <c r="AR166" s="94"/>
      <c r="AS166" s="94"/>
      <c r="AT166" s="94"/>
      <c r="AU166" s="94"/>
      <c r="AV166" s="94"/>
      <c r="AW166" s="94"/>
      <c r="AX166" s="94"/>
      <c r="AY166" s="94"/>
      <c r="BA166" s="95"/>
    </row>
    <row r="167" spans="1:53" s="87" customFormat="1">
      <c r="A167" s="90" t="str">
        <f t="shared" si="50"/>
        <v/>
      </c>
      <c r="B167" s="98">
        <v>4</v>
      </c>
      <c r="C167" s="94">
        <v>-1</v>
      </c>
      <c r="D167" s="94" t="s">
        <v>210</v>
      </c>
      <c r="E167" s="94" t="s">
        <v>210</v>
      </c>
      <c r="F167" s="94">
        <v>4</v>
      </c>
      <c r="G167" s="94">
        <v>-5</v>
      </c>
      <c r="H167" s="94" t="s">
        <v>210</v>
      </c>
      <c r="I167" s="94" t="s">
        <v>210</v>
      </c>
      <c r="J167" s="94">
        <v>3</v>
      </c>
      <c r="K167" s="94">
        <v>-2</v>
      </c>
      <c r="L167" s="94" t="s">
        <v>210</v>
      </c>
      <c r="M167" s="94" t="s">
        <v>210</v>
      </c>
      <c r="N167" s="94">
        <v>1</v>
      </c>
      <c r="O167" s="94">
        <v>-4</v>
      </c>
      <c r="P167" s="94" t="s">
        <v>210</v>
      </c>
      <c r="Q167" s="94" t="s">
        <v>210</v>
      </c>
      <c r="R167" s="94">
        <v>5</v>
      </c>
      <c r="S167" s="94">
        <v>-3</v>
      </c>
      <c r="T167" s="94" t="s">
        <v>210</v>
      </c>
      <c r="U167" s="94" t="s">
        <v>210</v>
      </c>
      <c r="V167" s="94">
        <v>2</v>
      </c>
      <c r="W167" s="94" t="s">
        <v>210</v>
      </c>
      <c r="X167" s="94">
        <v>-1</v>
      </c>
      <c r="Y167" s="94">
        <v>-4</v>
      </c>
      <c r="Z167" s="94" t="s">
        <v>210</v>
      </c>
      <c r="AA167" s="94" t="s">
        <v>210</v>
      </c>
      <c r="AB167" s="94">
        <v>3</v>
      </c>
      <c r="AC167" s="94">
        <v>-5</v>
      </c>
      <c r="AD167" s="94" t="s">
        <v>210</v>
      </c>
      <c r="AE167" s="94" t="s">
        <v>210</v>
      </c>
      <c r="AF167" s="94">
        <v>2</v>
      </c>
      <c r="AG167" s="94">
        <v>1</v>
      </c>
      <c r="AH167" s="94" t="s">
        <v>210</v>
      </c>
      <c r="AI167" s="94" t="s">
        <v>210</v>
      </c>
      <c r="AJ167" s="94">
        <v>-3</v>
      </c>
      <c r="AK167" s="94">
        <v>5</v>
      </c>
      <c r="AL167" s="94" t="s">
        <v>210</v>
      </c>
      <c r="AM167" s="94" t="s">
        <v>210</v>
      </c>
      <c r="AN167" s="94">
        <v>4</v>
      </c>
      <c r="AO167" s="94"/>
      <c r="AP167" s="94"/>
      <c r="AQ167" s="94"/>
      <c r="AR167" s="94"/>
      <c r="AS167" s="94"/>
      <c r="AT167" s="94"/>
      <c r="AU167" s="94"/>
      <c r="AV167" s="94"/>
      <c r="AW167" s="94"/>
      <c r="AX167" s="94"/>
      <c r="AY167" s="94"/>
      <c r="BA167" s="95"/>
    </row>
    <row r="168" spans="1:53" s="87" customFormat="1">
      <c r="A168" s="90" t="str">
        <f t="shared" si="50"/>
        <v/>
      </c>
      <c r="B168" s="98">
        <v>5</v>
      </c>
      <c r="C168" s="94">
        <v>-2</v>
      </c>
      <c r="D168" s="94" t="s">
        <v>210</v>
      </c>
      <c r="E168" s="94" t="s">
        <v>210</v>
      </c>
      <c r="F168" s="94">
        <v>1</v>
      </c>
      <c r="G168" s="94">
        <v>-4</v>
      </c>
      <c r="H168" s="94" t="s">
        <v>210</v>
      </c>
      <c r="I168" s="94" t="s">
        <v>210</v>
      </c>
      <c r="J168" s="94">
        <v>5</v>
      </c>
      <c r="K168" s="94">
        <v>-3</v>
      </c>
      <c r="L168" s="94" t="s">
        <v>210</v>
      </c>
      <c r="M168" s="94" t="s">
        <v>210</v>
      </c>
      <c r="N168" s="94">
        <v>2</v>
      </c>
      <c r="O168" s="94">
        <v>-1</v>
      </c>
      <c r="P168" s="94" t="s">
        <v>210</v>
      </c>
      <c r="Q168" s="94" t="s">
        <v>210</v>
      </c>
      <c r="R168" s="94">
        <v>4</v>
      </c>
      <c r="S168" s="94">
        <v>-5</v>
      </c>
      <c r="T168" s="94" t="s">
        <v>210</v>
      </c>
      <c r="U168" s="94" t="s">
        <v>210</v>
      </c>
      <c r="V168" s="94">
        <v>3</v>
      </c>
      <c r="W168" s="94" t="s">
        <v>210</v>
      </c>
      <c r="X168" s="94">
        <v>1</v>
      </c>
      <c r="Y168" s="94">
        <v>-2</v>
      </c>
      <c r="Z168" s="94" t="s">
        <v>210</v>
      </c>
      <c r="AA168" s="94" t="s">
        <v>210</v>
      </c>
      <c r="AB168" s="94">
        <v>5</v>
      </c>
      <c r="AC168" s="94">
        <v>4</v>
      </c>
      <c r="AD168" s="94" t="s">
        <v>210</v>
      </c>
      <c r="AE168" s="94" t="s">
        <v>210</v>
      </c>
      <c r="AF168" s="94">
        <v>-1</v>
      </c>
      <c r="AG168" s="94">
        <v>-4</v>
      </c>
      <c r="AH168" s="94" t="s">
        <v>210</v>
      </c>
      <c r="AI168" s="94" t="s">
        <v>210</v>
      </c>
      <c r="AJ168" s="94">
        <v>-5</v>
      </c>
      <c r="AK168" s="94">
        <v>3</v>
      </c>
      <c r="AL168" s="94" t="s">
        <v>210</v>
      </c>
      <c r="AM168" s="94" t="s">
        <v>210</v>
      </c>
      <c r="AN168" s="94">
        <v>2</v>
      </c>
      <c r="AO168" s="94"/>
      <c r="AP168" s="94"/>
      <c r="AQ168" s="94"/>
      <c r="AR168" s="94"/>
      <c r="AS168" s="94"/>
      <c r="AT168" s="94"/>
      <c r="AU168" s="94"/>
      <c r="AV168" s="94"/>
      <c r="AW168" s="94"/>
      <c r="AX168" s="94"/>
      <c r="AY168" s="94"/>
      <c r="BA168" s="95"/>
    </row>
    <row r="169" spans="1:53" s="87" customFormat="1">
      <c r="A169" s="90" t="str">
        <f t="shared" si="50"/>
        <v/>
      </c>
      <c r="B169" s="98">
        <v>6</v>
      </c>
      <c r="C169" s="94" t="s">
        <v>210</v>
      </c>
      <c r="D169" s="94">
        <v>-1</v>
      </c>
      <c r="E169" s="94">
        <v>4</v>
      </c>
      <c r="F169" s="94" t="s">
        <v>210</v>
      </c>
      <c r="G169" s="94" t="s">
        <v>210</v>
      </c>
      <c r="H169" s="94">
        <v>-5</v>
      </c>
      <c r="I169" s="94">
        <v>3</v>
      </c>
      <c r="J169" s="94" t="s">
        <v>210</v>
      </c>
      <c r="K169" s="94" t="s">
        <v>210</v>
      </c>
      <c r="L169" s="94">
        <v>-2</v>
      </c>
      <c r="M169" s="94">
        <v>1</v>
      </c>
      <c r="N169" s="94" t="s">
        <v>210</v>
      </c>
      <c r="O169" s="94" t="s">
        <v>210</v>
      </c>
      <c r="P169" s="94">
        <v>-4</v>
      </c>
      <c r="Q169" s="94">
        <v>5</v>
      </c>
      <c r="R169" s="94" t="s">
        <v>210</v>
      </c>
      <c r="S169" s="94" t="s">
        <v>210</v>
      </c>
      <c r="T169" s="94">
        <v>-3</v>
      </c>
      <c r="U169" s="94">
        <v>2</v>
      </c>
      <c r="V169" s="94" t="s">
        <v>210</v>
      </c>
      <c r="W169" s="94" t="s">
        <v>210</v>
      </c>
      <c r="X169" s="94">
        <v>5</v>
      </c>
      <c r="Y169" s="94">
        <v>-3</v>
      </c>
      <c r="Z169" s="94" t="s">
        <v>210</v>
      </c>
      <c r="AA169" s="94" t="s">
        <v>210</v>
      </c>
      <c r="AB169" s="94">
        <v>4</v>
      </c>
      <c r="AC169" s="94">
        <v>1</v>
      </c>
      <c r="AD169" s="94" t="s">
        <v>210</v>
      </c>
      <c r="AE169" s="94" t="s">
        <v>210</v>
      </c>
      <c r="AF169" s="94">
        <v>-4</v>
      </c>
      <c r="AG169" s="94">
        <v>-5</v>
      </c>
      <c r="AH169" s="94" t="s">
        <v>210</v>
      </c>
      <c r="AI169" s="94" t="s">
        <v>210</v>
      </c>
      <c r="AJ169" s="94">
        <v>3</v>
      </c>
      <c r="AK169" s="94">
        <v>-1</v>
      </c>
      <c r="AL169" s="94" t="s">
        <v>210</v>
      </c>
      <c r="AM169" s="94" t="s">
        <v>210</v>
      </c>
      <c r="AN169" s="94">
        <v>-2</v>
      </c>
      <c r="AO169" s="94"/>
      <c r="AP169" s="94"/>
      <c r="AQ169" s="94"/>
      <c r="AR169" s="94"/>
      <c r="AS169" s="94"/>
      <c r="AT169" s="94"/>
      <c r="AU169" s="94"/>
      <c r="AV169" s="94"/>
      <c r="AW169" s="94"/>
      <c r="AX169" s="94"/>
      <c r="AY169" s="94"/>
      <c r="BA169" s="95"/>
    </row>
    <row r="170" spans="1:53" s="87" customFormat="1">
      <c r="A170" s="90" t="str">
        <f t="shared" si="50"/>
        <v/>
      </c>
      <c r="B170" s="98">
        <v>7</v>
      </c>
      <c r="C170" s="94" t="s">
        <v>210</v>
      </c>
      <c r="D170" s="94">
        <v>-4</v>
      </c>
      <c r="E170" s="94">
        <v>5</v>
      </c>
      <c r="F170" s="94" t="s">
        <v>210</v>
      </c>
      <c r="G170" s="94" t="s">
        <v>210</v>
      </c>
      <c r="H170" s="94">
        <v>-3</v>
      </c>
      <c r="I170" s="94">
        <v>2</v>
      </c>
      <c r="J170" s="94" t="s">
        <v>210</v>
      </c>
      <c r="K170" s="94" t="s">
        <v>210</v>
      </c>
      <c r="L170" s="94">
        <v>-1</v>
      </c>
      <c r="M170" s="94">
        <v>4</v>
      </c>
      <c r="N170" s="94" t="s">
        <v>210</v>
      </c>
      <c r="O170" s="94" t="s">
        <v>210</v>
      </c>
      <c r="P170" s="94">
        <v>-5</v>
      </c>
      <c r="Q170" s="94">
        <v>3</v>
      </c>
      <c r="R170" s="94" t="s">
        <v>210</v>
      </c>
      <c r="S170" s="94" t="s">
        <v>210</v>
      </c>
      <c r="T170" s="94">
        <v>-2</v>
      </c>
      <c r="U170" s="94">
        <v>1</v>
      </c>
      <c r="V170" s="94" t="s">
        <v>210</v>
      </c>
      <c r="W170" s="94" t="s">
        <v>210</v>
      </c>
      <c r="X170" s="94">
        <v>-3</v>
      </c>
      <c r="Y170" s="94">
        <v>4</v>
      </c>
      <c r="Z170" s="94" t="s">
        <v>210</v>
      </c>
      <c r="AA170" s="94" t="s">
        <v>210</v>
      </c>
      <c r="AB170" s="94">
        <v>-5</v>
      </c>
      <c r="AC170" s="94">
        <v>-2</v>
      </c>
      <c r="AD170" s="94" t="s">
        <v>210</v>
      </c>
      <c r="AE170" s="94" t="s">
        <v>210</v>
      </c>
      <c r="AF170" s="94">
        <v>3</v>
      </c>
      <c r="AG170" s="94">
        <v>5</v>
      </c>
      <c r="AH170" s="94" t="s">
        <v>210</v>
      </c>
      <c r="AI170" s="94" t="s">
        <v>210</v>
      </c>
      <c r="AJ170" s="94">
        <v>-4</v>
      </c>
      <c r="AK170" s="94">
        <v>2</v>
      </c>
      <c r="AL170" s="94" t="s">
        <v>210</v>
      </c>
      <c r="AM170" s="94" t="s">
        <v>210</v>
      </c>
      <c r="AN170" s="94">
        <v>-1</v>
      </c>
      <c r="AO170" s="94"/>
      <c r="AP170" s="94"/>
      <c r="AQ170" s="94"/>
      <c r="AR170" s="94"/>
      <c r="AS170" s="94"/>
      <c r="AT170" s="94"/>
      <c r="AU170" s="94"/>
      <c r="AV170" s="94"/>
      <c r="AW170" s="94"/>
      <c r="AX170" s="94"/>
      <c r="AY170" s="94"/>
      <c r="BA170" s="95"/>
    </row>
    <row r="171" spans="1:53" s="87" customFormat="1">
      <c r="A171" s="90" t="str">
        <f t="shared" si="50"/>
        <v/>
      </c>
      <c r="B171" s="98">
        <v>8</v>
      </c>
      <c r="C171" s="94" t="s">
        <v>210</v>
      </c>
      <c r="D171" s="94">
        <v>-2</v>
      </c>
      <c r="E171" s="94">
        <v>1</v>
      </c>
      <c r="F171" s="94" t="s">
        <v>210</v>
      </c>
      <c r="G171" s="94" t="s">
        <v>210</v>
      </c>
      <c r="H171" s="94">
        <v>-4</v>
      </c>
      <c r="I171" s="94">
        <v>5</v>
      </c>
      <c r="J171" s="94" t="s">
        <v>210</v>
      </c>
      <c r="K171" s="94" t="s">
        <v>210</v>
      </c>
      <c r="L171" s="94">
        <v>-3</v>
      </c>
      <c r="M171" s="94">
        <v>2</v>
      </c>
      <c r="N171" s="94" t="s">
        <v>210</v>
      </c>
      <c r="O171" s="94" t="s">
        <v>210</v>
      </c>
      <c r="P171" s="94">
        <v>-1</v>
      </c>
      <c r="Q171" s="94">
        <v>4</v>
      </c>
      <c r="R171" s="94" t="s">
        <v>210</v>
      </c>
      <c r="S171" s="94" t="s">
        <v>210</v>
      </c>
      <c r="T171" s="94">
        <v>-5</v>
      </c>
      <c r="U171" s="94">
        <v>3</v>
      </c>
      <c r="V171" s="94" t="s">
        <v>210</v>
      </c>
      <c r="W171" s="94" t="s">
        <v>210</v>
      </c>
      <c r="X171" s="94">
        <v>4</v>
      </c>
      <c r="Y171" s="94">
        <v>-5</v>
      </c>
      <c r="Z171" s="94" t="s">
        <v>210</v>
      </c>
      <c r="AA171" s="94" t="s">
        <v>210</v>
      </c>
      <c r="AB171" s="94">
        <v>2</v>
      </c>
      <c r="AC171" s="94">
        <v>-1</v>
      </c>
      <c r="AD171" s="94" t="s">
        <v>210</v>
      </c>
      <c r="AE171" s="94" t="s">
        <v>210</v>
      </c>
      <c r="AF171" s="94">
        <v>-2</v>
      </c>
      <c r="AG171" s="94">
        <v>-3</v>
      </c>
      <c r="AH171" s="94" t="s">
        <v>210</v>
      </c>
      <c r="AI171" s="94" t="s">
        <v>210</v>
      </c>
      <c r="AJ171" s="94">
        <v>5</v>
      </c>
      <c r="AK171" s="94">
        <v>-4</v>
      </c>
      <c r="AL171" s="94" t="s">
        <v>210</v>
      </c>
      <c r="AM171" s="94" t="s">
        <v>210</v>
      </c>
      <c r="AN171" s="94">
        <v>1</v>
      </c>
      <c r="AO171" s="94"/>
      <c r="AP171" s="94"/>
      <c r="AQ171" s="94"/>
      <c r="AR171" s="94"/>
      <c r="AS171" s="94"/>
      <c r="AT171" s="94"/>
      <c r="AU171" s="94"/>
      <c r="AV171" s="94"/>
      <c r="AW171" s="94"/>
      <c r="AX171" s="94"/>
      <c r="AY171" s="94"/>
      <c r="BA171" s="95"/>
    </row>
    <row r="172" spans="1:53" s="87" customFormat="1">
      <c r="A172" s="90" t="str">
        <f t="shared" si="50"/>
        <v/>
      </c>
      <c r="B172" s="98">
        <v>9</v>
      </c>
      <c r="C172" s="94" t="s">
        <v>210</v>
      </c>
      <c r="D172" s="94">
        <v>-3</v>
      </c>
      <c r="E172" s="94">
        <v>2</v>
      </c>
      <c r="F172" s="94" t="s">
        <v>210</v>
      </c>
      <c r="G172" s="94" t="s">
        <v>210</v>
      </c>
      <c r="H172" s="94">
        <v>-1</v>
      </c>
      <c r="I172" s="94">
        <v>4</v>
      </c>
      <c r="J172" s="94" t="s">
        <v>210</v>
      </c>
      <c r="K172" s="94" t="s">
        <v>210</v>
      </c>
      <c r="L172" s="94">
        <v>-5</v>
      </c>
      <c r="M172" s="94">
        <v>3</v>
      </c>
      <c r="N172" s="94" t="s">
        <v>210</v>
      </c>
      <c r="O172" s="94" t="s">
        <v>210</v>
      </c>
      <c r="P172" s="94">
        <v>-2</v>
      </c>
      <c r="Q172" s="94">
        <v>1</v>
      </c>
      <c r="R172" s="94" t="s">
        <v>210</v>
      </c>
      <c r="S172" s="94" t="s">
        <v>210</v>
      </c>
      <c r="T172" s="94">
        <v>-4</v>
      </c>
      <c r="U172" s="94">
        <v>5</v>
      </c>
      <c r="V172" s="94" t="s">
        <v>210</v>
      </c>
      <c r="W172" s="94" t="s">
        <v>210</v>
      </c>
      <c r="X172" s="94">
        <v>-2</v>
      </c>
      <c r="Y172" s="94">
        <v>3</v>
      </c>
      <c r="Z172" s="94" t="s">
        <v>210</v>
      </c>
      <c r="AA172" s="94" t="s">
        <v>210</v>
      </c>
      <c r="AB172" s="94">
        <v>1</v>
      </c>
      <c r="AC172" s="94">
        <v>-4</v>
      </c>
      <c r="AD172" s="94" t="s">
        <v>210</v>
      </c>
      <c r="AE172" s="94" t="s">
        <v>210</v>
      </c>
      <c r="AF172" s="94">
        <v>-3</v>
      </c>
      <c r="AG172" s="94">
        <v>-1</v>
      </c>
      <c r="AH172" s="94" t="s">
        <v>210</v>
      </c>
      <c r="AI172" s="94" t="s">
        <v>210</v>
      </c>
      <c r="AJ172" s="94">
        <v>2</v>
      </c>
      <c r="AK172" s="94">
        <v>4</v>
      </c>
      <c r="AL172" s="94" t="s">
        <v>210</v>
      </c>
      <c r="AM172" s="94" t="s">
        <v>210</v>
      </c>
      <c r="AN172" s="94">
        <v>5</v>
      </c>
      <c r="AO172" s="94"/>
      <c r="AP172" s="94"/>
      <c r="AQ172" s="94"/>
      <c r="AR172" s="94"/>
      <c r="AS172" s="94"/>
      <c r="AT172" s="94"/>
      <c r="AU172" s="94"/>
      <c r="AV172" s="94"/>
      <c r="AW172" s="94"/>
      <c r="AX172" s="94"/>
      <c r="AY172" s="94"/>
      <c r="BA172" s="95"/>
    </row>
    <row r="173" spans="1:53" s="87" customFormat="1">
      <c r="A173" s="90" t="str">
        <f t="shared" si="50"/>
        <v/>
      </c>
      <c r="B173" s="98">
        <v>10</v>
      </c>
      <c r="C173" s="94" t="s">
        <v>210</v>
      </c>
      <c r="D173" s="94">
        <v>-5</v>
      </c>
      <c r="E173" s="94">
        <v>3</v>
      </c>
      <c r="F173" s="94" t="s">
        <v>210</v>
      </c>
      <c r="G173" s="94" t="s">
        <v>210</v>
      </c>
      <c r="H173" s="94">
        <v>-2</v>
      </c>
      <c r="I173" s="94">
        <v>1</v>
      </c>
      <c r="J173" s="94" t="s">
        <v>210</v>
      </c>
      <c r="K173" s="94" t="s">
        <v>210</v>
      </c>
      <c r="L173" s="94">
        <v>-4</v>
      </c>
      <c r="M173" s="94">
        <v>5</v>
      </c>
      <c r="N173" s="94" t="s">
        <v>210</v>
      </c>
      <c r="O173" s="94" t="s">
        <v>210</v>
      </c>
      <c r="P173" s="94">
        <v>-3</v>
      </c>
      <c r="Q173" s="94">
        <v>2</v>
      </c>
      <c r="R173" s="94" t="s">
        <v>210</v>
      </c>
      <c r="S173" s="94" t="s">
        <v>210</v>
      </c>
      <c r="T173" s="94">
        <v>-1</v>
      </c>
      <c r="U173" s="94">
        <v>4</v>
      </c>
      <c r="V173" s="94" t="s">
        <v>210</v>
      </c>
      <c r="W173" s="94" t="s">
        <v>210</v>
      </c>
      <c r="X173" s="94">
        <v>3</v>
      </c>
      <c r="Y173" s="94">
        <v>1</v>
      </c>
      <c r="Z173" s="94" t="s">
        <v>210</v>
      </c>
      <c r="AA173" s="94" t="s">
        <v>210</v>
      </c>
      <c r="AB173" s="94">
        <v>-2</v>
      </c>
      <c r="AC173" s="94">
        <v>5</v>
      </c>
      <c r="AD173" s="94" t="s">
        <v>210</v>
      </c>
      <c r="AE173" s="94" t="s">
        <v>210</v>
      </c>
      <c r="AF173" s="94">
        <v>4</v>
      </c>
      <c r="AG173" s="94">
        <v>2</v>
      </c>
      <c r="AH173" s="94" t="s">
        <v>210</v>
      </c>
      <c r="AI173" s="94" t="s">
        <v>210</v>
      </c>
      <c r="AJ173" s="94">
        <v>-1</v>
      </c>
      <c r="AK173" s="94">
        <v>-3</v>
      </c>
      <c r="AL173" s="94" t="s">
        <v>210</v>
      </c>
      <c r="AM173" s="94" t="s">
        <v>210</v>
      </c>
      <c r="AN173" s="94">
        <v>-5</v>
      </c>
      <c r="AO173" s="94"/>
      <c r="AP173" s="94"/>
      <c r="AQ173" s="94"/>
      <c r="AR173" s="94"/>
      <c r="AS173" s="94"/>
      <c r="AT173" s="94"/>
      <c r="AU173" s="94"/>
      <c r="AV173" s="94"/>
      <c r="AW173" s="94"/>
      <c r="AX173" s="94"/>
      <c r="AY173" s="94"/>
      <c r="BA173" s="95"/>
    </row>
    <row r="174" spans="1:53" s="87" customFormat="1">
      <c r="A174" s="90" t="str">
        <f t="shared" si="50"/>
        <v/>
      </c>
      <c r="B174" s="98">
        <v>11</v>
      </c>
      <c r="C174" s="94" t="s">
        <v>210</v>
      </c>
      <c r="D174" s="94">
        <v>4</v>
      </c>
      <c r="E174" s="94">
        <v>-1</v>
      </c>
      <c r="F174" s="94" t="s">
        <v>210</v>
      </c>
      <c r="G174" s="94" t="s">
        <v>210</v>
      </c>
      <c r="H174" s="94">
        <v>2</v>
      </c>
      <c r="I174" s="94">
        <v>-3</v>
      </c>
      <c r="J174" s="94" t="s">
        <v>210</v>
      </c>
      <c r="K174" s="94" t="s">
        <v>210</v>
      </c>
      <c r="L174" s="94">
        <v>5</v>
      </c>
      <c r="M174" s="94" t="s">
        <v>210</v>
      </c>
      <c r="N174" s="94">
        <v>-4</v>
      </c>
      <c r="O174" s="94">
        <v>1</v>
      </c>
      <c r="P174" s="94" t="s">
        <v>210</v>
      </c>
      <c r="Q174" s="94" t="s">
        <v>210</v>
      </c>
      <c r="R174" s="94">
        <v>-2</v>
      </c>
      <c r="S174" s="94">
        <v>3</v>
      </c>
      <c r="T174" s="94" t="s">
        <v>210</v>
      </c>
      <c r="U174" s="94" t="s">
        <v>210</v>
      </c>
      <c r="V174" s="94">
        <v>-5</v>
      </c>
      <c r="W174" s="94">
        <v>-4</v>
      </c>
      <c r="X174" s="94" t="s">
        <v>210</v>
      </c>
      <c r="Y174" s="94" t="s">
        <v>210</v>
      </c>
      <c r="Z174" s="94">
        <v>-1</v>
      </c>
      <c r="AA174" s="94">
        <v>-3</v>
      </c>
      <c r="AB174" s="94" t="s">
        <v>210</v>
      </c>
      <c r="AC174" s="94" t="s">
        <v>210</v>
      </c>
      <c r="AD174" s="94">
        <v>2</v>
      </c>
      <c r="AE174" s="94">
        <v>-5</v>
      </c>
      <c r="AF174" s="94" t="s">
        <v>210</v>
      </c>
      <c r="AG174" s="94" t="s">
        <v>210</v>
      </c>
      <c r="AH174" s="94">
        <v>4</v>
      </c>
      <c r="AI174" s="94">
        <v>-2</v>
      </c>
      <c r="AJ174" s="94" t="s">
        <v>210</v>
      </c>
      <c r="AK174" s="94" t="s">
        <v>210</v>
      </c>
      <c r="AL174" s="94">
        <v>1</v>
      </c>
      <c r="AM174" s="94">
        <v>3</v>
      </c>
      <c r="AN174" s="94" t="s">
        <v>210</v>
      </c>
      <c r="AO174" s="94"/>
      <c r="AP174" s="94"/>
      <c r="AQ174" s="94"/>
      <c r="AR174" s="94"/>
      <c r="AS174" s="94"/>
      <c r="AT174" s="94"/>
      <c r="AU174" s="94"/>
      <c r="AV174" s="94"/>
      <c r="AW174" s="94"/>
      <c r="AX174" s="94"/>
      <c r="AY174" s="94"/>
      <c r="BA174" s="95"/>
    </row>
    <row r="175" spans="1:53" s="87" customFormat="1">
      <c r="A175" s="90" t="str">
        <f t="shared" si="50"/>
        <v/>
      </c>
      <c r="B175" s="98">
        <v>12</v>
      </c>
      <c r="C175" s="94" t="s">
        <v>210</v>
      </c>
      <c r="D175" s="94">
        <v>2</v>
      </c>
      <c r="E175" s="94">
        <v>-3</v>
      </c>
      <c r="F175" s="94" t="s">
        <v>210</v>
      </c>
      <c r="G175" s="94" t="s">
        <v>210</v>
      </c>
      <c r="H175" s="94">
        <v>5</v>
      </c>
      <c r="I175" s="94">
        <v>-4</v>
      </c>
      <c r="J175" s="94" t="s">
        <v>210</v>
      </c>
      <c r="K175" s="94" t="s">
        <v>210</v>
      </c>
      <c r="L175" s="94">
        <v>1</v>
      </c>
      <c r="M175" s="94" t="s">
        <v>210</v>
      </c>
      <c r="N175" s="94">
        <v>-2</v>
      </c>
      <c r="O175" s="94">
        <v>3</v>
      </c>
      <c r="P175" s="94" t="s">
        <v>210</v>
      </c>
      <c r="Q175" s="94" t="s">
        <v>210</v>
      </c>
      <c r="R175" s="94">
        <v>-5</v>
      </c>
      <c r="S175" s="94">
        <v>4</v>
      </c>
      <c r="T175" s="94" t="s">
        <v>210</v>
      </c>
      <c r="U175" s="94" t="s">
        <v>210</v>
      </c>
      <c r="V175" s="94">
        <v>-1</v>
      </c>
      <c r="W175" s="94">
        <v>2</v>
      </c>
      <c r="X175" s="94" t="s">
        <v>210</v>
      </c>
      <c r="Y175" s="94" t="s">
        <v>210</v>
      </c>
      <c r="Z175" s="94">
        <v>5</v>
      </c>
      <c r="AA175" s="94">
        <v>-4</v>
      </c>
      <c r="AB175" s="94" t="s">
        <v>210</v>
      </c>
      <c r="AC175" s="94" t="s">
        <v>210</v>
      </c>
      <c r="AD175" s="94">
        <v>3</v>
      </c>
      <c r="AE175" s="94">
        <v>1</v>
      </c>
      <c r="AF175" s="94" t="s">
        <v>210</v>
      </c>
      <c r="AG175" s="94" t="s">
        <v>210</v>
      </c>
      <c r="AH175" s="94">
        <v>-2</v>
      </c>
      <c r="AI175" s="94">
        <v>4</v>
      </c>
      <c r="AJ175" s="94" t="s">
        <v>210</v>
      </c>
      <c r="AK175" s="94" t="s">
        <v>210</v>
      </c>
      <c r="AL175" s="94">
        <v>-5</v>
      </c>
      <c r="AM175" s="94">
        <v>-3</v>
      </c>
      <c r="AN175" s="94" t="s">
        <v>210</v>
      </c>
      <c r="AO175" s="94"/>
      <c r="AP175" s="94"/>
      <c r="AQ175" s="94"/>
      <c r="AR175" s="94"/>
      <c r="AS175" s="94"/>
      <c r="AT175" s="94"/>
      <c r="AU175" s="94"/>
      <c r="AV175" s="94"/>
      <c r="AW175" s="94"/>
      <c r="AX175" s="94"/>
      <c r="AY175" s="94"/>
      <c r="BA175" s="95"/>
    </row>
    <row r="176" spans="1:53" s="87" customFormat="1">
      <c r="A176" s="90" t="str">
        <f t="shared" si="50"/>
        <v/>
      </c>
      <c r="B176" s="98">
        <v>13</v>
      </c>
      <c r="C176" s="94" t="s">
        <v>210</v>
      </c>
      <c r="D176" s="94">
        <v>1</v>
      </c>
      <c r="E176" s="94">
        <v>-2</v>
      </c>
      <c r="F176" s="94" t="s">
        <v>210</v>
      </c>
      <c r="G176" s="94" t="s">
        <v>210</v>
      </c>
      <c r="H176" s="94">
        <v>3</v>
      </c>
      <c r="I176" s="94">
        <v>-5</v>
      </c>
      <c r="J176" s="94" t="s">
        <v>210</v>
      </c>
      <c r="K176" s="94" t="s">
        <v>210</v>
      </c>
      <c r="L176" s="94">
        <v>4</v>
      </c>
      <c r="M176" s="94" t="s">
        <v>210</v>
      </c>
      <c r="N176" s="94">
        <v>-1</v>
      </c>
      <c r="O176" s="94">
        <v>2</v>
      </c>
      <c r="P176" s="94" t="s">
        <v>210</v>
      </c>
      <c r="Q176" s="94" t="s">
        <v>210</v>
      </c>
      <c r="R176" s="94">
        <v>-3</v>
      </c>
      <c r="S176" s="94">
        <v>5</v>
      </c>
      <c r="T176" s="94" t="s">
        <v>210</v>
      </c>
      <c r="U176" s="94" t="s">
        <v>210</v>
      </c>
      <c r="V176" s="94">
        <v>-4</v>
      </c>
      <c r="W176" s="94">
        <v>-5</v>
      </c>
      <c r="X176" s="94" t="s">
        <v>210</v>
      </c>
      <c r="Y176" s="94" t="s">
        <v>210</v>
      </c>
      <c r="Z176" s="94">
        <v>2</v>
      </c>
      <c r="AA176" s="94">
        <v>-1</v>
      </c>
      <c r="AB176" s="94" t="s">
        <v>210</v>
      </c>
      <c r="AC176" s="94" t="s">
        <v>210</v>
      </c>
      <c r="AD176" s="94">
        <v>-3</v>
      </c>
      <c r="AE176" s="94">
        <v>5</v>
      </c>
      <c r="AF176" s="94" t="s">
        <v>210</v>
      </c>
      <c r="AG176" s="94" t="s">
        <v>210</v>
      </c>
      <c r="AH176" s="94">
        <v>3</v>
      </c>
      <c r="AI176" s="94">
        <v>1</v>
      </c>
      <c r="AJ176" s="94" t="s">
        <v>210</v>
      </c>
      <c r="AK176" s="94" t="s">
        <v>210</v>
      </c>
      <c r="AL176" s="94">
        <v>-2</v>
      </c>
      <c r="AM176" s="94">
        <v>-4</v>
      </c>
      <c r="AN176" s="94" t="s">
        <v>210</v>
      </c>
      <c r="AO176" s="94"/>
      <c r="AP176" s="94"/>
      <c r="AQ176" s="94"/>
      <c r="AR176" s="94"/>
      <c r="AS176" s="94"/>
      <c r="AT176" s="94"/>
      <c r="AU176" s="94"/>
      <c r="AV176" s="94"/>
      <c r="AW176" s="94"/>
      <c r="AX176" s="94"/>
      <c r="AY176" s="94"/>
      <c r="BA176" s="95"/>
    </row>
    <row r="177" spans="1:53" s="87" customFormat="1">
      <c r="A177" s="90" t="str">
        <f t="shared" si="50"/>
        <v/>
      </c>
      <c r="B177" s="98">
        <v>14</v>
      </c>
      <c r="C177" s="94" t="s">
        <v>210</v>
      </c>
      <c r="D177" s="94">
        <v>3</v>
      </c>
      <c r="E177" s="94">
        <v>-5</v>
      </c>
      <c r="F177" s="94" t="s">
        <v>210</v>
      </c>
      <c r="G177" s="94" t="s">
        <v>210</v>
      </c>
      <c r="H177" s="94">
        <v>4</v>
      </c>
      <c r="I177" s="94">
        <v>-1</v>
      </c>
      <c r="J177" s="94" t="s">
        <v>210</v>
      </c>
      <c r="K177" s="94" t="s">
        <v>210</v>
      </c>
      <c r="L177" s="94">
        <v>2</v>
      </c>
      <c r="M177" s="94" t="s">
        <v>210</v>
      </c>
      <c r="N177" s="94">
        <v>-3</v>
      </c>
      <c r="O177" s="94">
        <v>5</v>
      </c>
      <c r="P177" s="94" t="s">
        <v>210</v>
      </c>
      <c r="Q177" s="94" t="s">
        <v>210</v>
      </c>
      <c r="R177" s="94">
        <v>-4</v>
      </c>
      <c r="S177" s="94">
        <v>1</v>
      </c>
      <c r="T177" s="94" t="s">
        <v>210</v>
      </c>
      <c r="U177" s="94" t="s">
        <v>210</v>
      </c>
      <c r="V177" s="94">
        <v>-2</v>
      </c>
      <c r="W177" s="94">
        <v>-1</v>
      </c>
      <c r="X177" s="94" t="s">
        <v>210</v>
      </c>
      <c r="Y177" s="94" t="s">
        <v>210</v>
      </c>
      <c r="Z177" s="94">
        <v>-4</v>
      </c>
      <c r="AA177" s="94">
        <v>3</v>
      </c>
      <c r="AB177" s="94" t="s">
        <v>210</v>
      </c>
      <c r="AC177" s="94" t="s">
        <v>210</v>
      </c>
      <c r="AD177" s="94">
        <v>-5</v>
      </c>
      <c r="AE177" s="94">
        <v>2</v>
      </c>
      <c r="AF177" s="94" t="s">
        <v>210</v>
      </c>
      <c r="AG177" s="94" t="s">
        <v>210</v>
      </c>
      <c r="AH177" s="94">
        <v>1</v>
      </c>
      <c r="AI177" s="94">
        <v>-3</v>
      </c>
      <c r="AJ177" s="94" t="s">
        <v>210</v>
      </c>
      <c r="AK177" s="94" t="s">
        <v>210</v>
      </c>
      <c r="AL177" s="94">
        <v>5</v>
      </c>
      <c r="AM177" s="94">
        <v>4</v>
      </c>
      <c r="AN177" s="94" t="s">
        <v>210</v>
      </c>
      <c r="AO177" s="94"/>
      <c r="AP177" s="94"/>
      <c r="AQ177" s="94"/>
      <c r="AR177" s="94"/>
      <c r="AS177" s="94"/>
      <c r="AT177" s="94"/>
      <c r="AU177" s="94"/>
      <c r="AV177" s="94"/>
      <c r="AW177" s="94"/>
      <c r="AX177" s="94"/>
      <c r="AY177" s="94"/>
      <c r="BA177" s="95"/>
    </row>
    <row r="178" spans="1:53" s="87" customFormat="1">
      <c r="A178" s="90" t="str">
        <f t="shared" si="50"/>
        <v/>
      </c>
      <c r="B178" s="98">
        <v>15</v>
      </c>
      <c r="C178" s="94" t="s">
        <v>210</v>
      </c>
      <c r="D178" s="94">
        <v>5</v>
      </c>
      <c r="E178" s="94">
        <v>-4</v>
      </c>
      <c r="F178" s="94" t="s">
        <v>210</v>
      </c>
      <c r="G178" s="94" t="s">
        <v>210</v>
      </c>
      <c r="H178" s="94">
        <v>1</v>
      </c>
      <c r="I178" s="94">
        <v>-2</v>
      </c>
      <c r="J178" s="94" t="s">
        <v>210</v>
      </c>
      <c r="K178" s="94" t="s">
        <v>210</v>
      </c>
      <c r="L178" s="94">
        <v>3</v>
      </c>
      <c r="M178" s="94" t="s">
        <v>210</v>
      </c>
      <c r="N178" s="94">
        <v>-5</v>
      </c>
      <c r="O178" s="94">
        <v>4</v>
      </c>
      <c r="P178" s="94" t="s">
        <v>210</v>
      </c>
      <c r="Q178" s="94" t="s">
        <v>210</v>
      </c>
      <c r="R178" s="94">
        <v>-1</v>
      </c>
      <c r="S178" s="94">
        <v>2</v>
      </c>
      <c r="T178" s="94" t="s">
        <v>210</v>
      </c>
      <c r="U178" s="94" t="s">
        <v>210</v>
      </c>
      <c r="V178" s="94">
        <v>-3</v>
      </c>
      <c r="W178" s="94">
        <v>1</v>
      </c>
      <c r="X178" s="94" t="s">
        <v>210</v>
      </c>
      <c r="Y178" s="94" t="s">
        <v>210</v>
      </c>
      <c r="Z178" s="94">
        <v>-2</v>
      </c>
      <c r="AA178" s="94">
        <v>5</v>
      </c>
      <c r="AB178" s="94" t="s">
        <v>210</v>
      </c>
      <c r="AC178" s="94" t="s">
        <v>210</v>
      </c>
      <c r="AD178" s="94">
        <v>4</v>
      </c>
      <c r="AE178" s="94">
        <v>-1</v>
      </c>
      <c r="AF178" s="94" t="s">
        <v>210</v>
      </c>
      <c r="AG178" s="94" t="s">
        <v>210</v>
      </c>
      <c r="AH178" s="94">
        <v>-4</v>
      </c>
      <c r="AI178" s="94">
        <v>-5</v>
      </c>
      <c r="AJ178" s="94" t="s">
        <v>210</v>
      </c>
      <c r="AK178" s="94" t="s">
        <v>210</v>
      </c>
      <c r="AL178" s="94">
        <v>3</v>
      </c>
      <c r="AM178" s="94">
        <v>2</v>
      </c>
      <c r="AN178" s="94" t="s">
        <v>210</v>
      </c>
      <c r="AO178" s="94"/>
      <c r="AP178" s="94"/>
      <c r="AQ178" s="94"/>
      <c r="AR178" s="94"/>
      <c r="AS178" s="94"/>
      <c r="AT178" s="94"/>
      <c r="AU178" s="94"/>
      <c r="AV178" s="94"/>
      <c r="AW178" s="94"/>
      <c r="AX178" s="94"/>
      <c r="AY178" s="94"/>
      <c r="BA178" s="95"/>
    </row>
    <row r="179" spans="1:53" s="87" customFormat="1">
      <c r="A179" s="90" t="str">
        <f t="shared" si="50"/>
        <v/>
      </c>
      <c r="B179" s="98">
        <v>16</v>
      </c>
      <c r="C179" s="94">
        <v>3</v>
      </c>
      <c r="D179" s="94" t="s">
        <v>210</v>
      </c>
      <c r="E179" s="94" t="s">
        <v>210</v>
      </c>
      <c r="F179" s="94">
        <v>-5</v>
      </c>
      <c r="G179" s="94">
        <v>4</v>
      </c>
      <c r="H179" s="94" t="s">
        <v>210</v>
      </c>
      <c r="I179" s="94" t="s">
        <v>210</v>
      </c>
      <c r="J179" s="94">
        <v>-1</v>
      </c>
      <c r="K179" s="94">
        <v>2</v>
      </c>
      <c r="L179" s="94" t="s">
        <v>210</v>
      </c>
      <c r="M179" s="94">
        <v>-3</v>
      </c>
      <c r="N179" s="94" t="s">
        <v>210</v>
      </c>
      <c r="O179" s="94" t="s">
        <v>210</v>
      </c>
      <c r="P179" s="94">
        <v>5</v>
      </c>
      <c r="Q179" s="94">
        <v>-4</v>
      </c>
      <c r="R179" s="94" t="s">
        <v>210</v>
      </c>
      <c r="S179" s="94" t="s">
        <v>210</v>
      </c>
      <c r="T179" s="94">
        <v>1</v>
      </c>
      <c r="U179" s="94">
        <v>-2</v>
      </c>
      <c r="V179" s="94" t="s">
        <v>210</v>
      </c>
      <c r="W179" s="94">
        <v>5</v>
      </c>
      <c r="X179" s="94" t="s">
        <v>210</v>
      </c>
      <c r="Y179" s="94" t="s">
        <v>210</v>
      </c>
      <c r="Z179" s="94">
        <v>-3</v>
      </c>
      <c r="AA179" s="94">
        <v>4</v>
      </c>
      <c r="AB179" s="94" t="s">
        <v>210</v>
      </c>
      <c r="AC179" s="94" t="s">
        <v>210</v>
      </c>
      <c r="AD179" s="94">
        <v>1</v>
      </c>
      <c r="AE179" s="94">
        <v>-4</v>
      </c>
      <c r="AF179" s="94" t="s">
        <v>210</v>
      </c>
      <c r="AG179" s="94" t="s">
        <v>210</v>
      </c>
      <c r="AH179" s="94">
        <v>-5</v>
      </c>
      <c r="AI179" s="94">
        <v>3</v>
      </c>
      <c r="AJ179" s="94" t="s">
        <v>210</v>
      </c>
      <c r="AK179" s="94" t="s">
        <v>210</v>
      </c>
      <c r="AL179" s="94">
        <v>-1</v>
      </c>
      <c r="AM179" s="94">
        <v>-2</v>
      </c>
      <c r="AN179" s="94" t="s">
        <v>210</v>
      </c>
      <c r="AO179" s="94"/>
      <c r="AP179" s="94"/>
      <c r="AQ179" s="94"/>
      <c r="AR179" s="94"/>
      <c r="AS179" s="94"/>
      <c r="AT179" s="94"/>
      <c r="AU179" s="94"/>
      <c r="AV179" s="94"/>
      <c r="AW179" s="94"/>
      <c r="AX179" s="94"/>
      <c r="AY179" s="94"/>
      <c r="BA179" s="95"/>
    </row>
    <row r="180" spans="1:53" s="87" customFormat="1">
      <c r="A180" s="90" t="str">
        <f t="shared" si="50"/>
        <v/>
      </c>
      <c r="B180" s="98">
        <v>17</v>
      </c>
      <c r="C180" s="94">
        <v>2</v>
      </c>
      <c r="D180" s="94" t="s">
        <v>210</v>
      </c>
      <c r="E180" s="94" t="s">
        <v>210</v>
      </c>
      <c r="F180" s="94">
        <v>-3</v>
      </c>
      <c r="G180" s="94">
        <v>5</v>
      </c>
      <c r="H180" s="94" t="s">
        <v>210</v>
      </c>
      <c r="I180" s="94" t="s">
        <v>210</v>
      </c>
      <c r="J180" s="94">
        <v>-4</v>
      </c>
      <c r="K180" s="94">
        <v>1</v>
      </c>
      <c r="L180" s="94" t="s">
        <v>210</v>
      </c>
      <c r="M180" s="94">
        <v>-2</v>
      </c>
      <c r="N180" s="94" t="s">
        <v>210</v>
      </c>
      <c r="O180" s="94" t="s">
        <v>210</v>
      </c>
      <c r="P180" s="94">
        <v>3</v>
      </c>
      <c r="Q180" s="94">
        <v>-5</v>
      </c>
      <c r="R180" s="94" t="s">
        <v>210</v>
      </c>
      <c r="S180" s="94" t="s">
        <v>210</v>
      </c>
      <c r="T180" s="94">
        <v>4</v>
      </c>
      <c r="U180" s="94">
        <v>-1</v>
      </c>
      <c r="V180" s="94" t="s">
        <v>210</v>
      </c>
      <c r="W180" s="94">
        <v>-3</v>
      </c>
      <c r="X180" s="94" t="s">
        <v>210</v>
      </c>
      <c r="Y180" s="94" t="s">
        <v>210</v>
      </c>
      <c r="Z180" s="94">
        <v>4</v>
      </c>
      <c r="AA180" s="94">
        <v>-5</v>
      </c>
      <c r="AB180" s="94" t="s">
        <v>210</v>
      </c>
      <c r="AC180" s="94" t="s">
        <v>210</v>
      </c>
      <c r="AD180" s="94">
        <v>-2</v>
      </c>
      <c r="AE180" s="94">
        <v>3</v>
      </c>
      <c r="AF180" s="94" t="s">
        <v>210</v>
      </c>
      <c r="AG180" s="94" t="s">
        <v>210</v>
      </c>
      <c r="AH180" s="94">
        <v>5</v>
      </c>
      <c r="AI180" s="94">
        <v>-4</v>
      </c>
      <c r="AJ180" s="94" t="s">
        <v>210</v>
      </c>
      <c r="AK180" s="94" t="s">
        <v>210</v>
      </c>
      <c r="AL180" s="94">
        <v>2</v>
      </c>
      <c r="AM180" s="94">
        <v>-1</v>
      </c>
      <c r="AN180" s="94" t="s">
        <v>210</v>
      </c>
      <c r="AO180" s="94"/>
      <c r="AP180" s="94"/>
      <c r="AQ180" s="94"/>
      <c r="AR180" s="94"/>
      <c r="AS180" s="94"/>
      <c r="AT180" s="94"/>
      <c r="AU180" s="94"/>
      <c r="AV180" s="94"/>
      <c r="AW180" s="94"/>
      <c r="AX180" s="94"/>
      <c r="AY180" s="94"/>
      <c r="BA180" s="95"/>
    </row>
    <row r="181" spans="1:53" s="87" customFormat="1">
      <c r="A181" s="90" t="str">
        <f t="shared" si="50"/>
        <v/>
      </c>
      <c r="B181" s="98">
        <v>18</v>
      </c>
      <c r="C181" s="94">
        <v>5</v>
      </c>
      <c r="D181" s="94" t="s">
        <v>210</v>
      </c>
      <c r="E181" s="94" t="s">
        <v>210</v>
      </c>
      <c r="F181" s="94">
        <v>-4</v>
      </c>
      <c r="G181" s="94">
        <v>1</v>
      </c>
      <c r="H181" s="94" t="s">
        <v>210</v>
      </c>
      <c r="I181" s="94" t="s">
        <v>210</v>
      </c>
      <c r="J181" s="94">
        <v>-2</v>
      </c>
      <c r="K181" s="94">
        <v>3</v>
      </c>
      <c r="L181" s="94" t="s">
        <v>210</v>
      </c>
      <c r="M181" s="94">
        <v>-5</v>
      </c>
      <c r="N181" s="94" t="s">
        <v>210</v>
      </c>
      <c r="O181" s="94" t="s">
        <v>210</v>
      </c>
      <c r="P181" s="94">
        <v>4</v>
      </c>
      <c r="Q181" s="94">
        <v>-1</v>
      </c>
      <c r="R181" s="94" t="s">
        <v>210</v>
      </c>
      <c r="S181" s="94" t="s">
        <v>210</v>
      </c>
      <c r="T181" s="94">
        <v>2</v>
      </c>
      <c r="U181" s="94">
        <v>-3</v>
      </c>
      <c r="V181" s="94" t="s">
        <v>210</v>
      </c>
      <c r="W181" s="94">
        <v>4</v>
      </c>
      <c r="X181" s="94" t="s">
        <v>210</v>
      </c>
      <c r="Y181" s="94" t="s">
        <v>210</v>
      </c>
      <c r="Z181" s="94">
        <v>-5</v>
      </c>
      <c r="AA181" s="94">
        <v>2</v>
      </c>
      <c r="AB181" s="94" t="s">
        <v>210</v>
      </c>
      <c r="AC181" s="94" t="s">
        <v>210</v>
      </c>
      <c r="AD181" s="94">
        <v>-1</v>
      </c>
      <c r="AE181" s="94">
        <v>-2</v>
      </c>
      <c r="AF181" s="94" t="s">
        <v>210</v>
      </c>
      <c r="AG181" s="94" t="s">
        <v>210</v>
      </c>
      <c r="AH181" s="94">
        <v>-3</v>
      </c>
      <c r="AI181" s="94">
        <v>5</v>
      </c>
      <c r="AJ181" s="94" t="s">
        <v>210</v>
      </c>
      <c r="AK181" s="94" t="s">
        <v>210</v>
      </c>
      <c r="AL181" s="94">
        <v>-4</v>
      </c>
      <c r="AM181" s="94">
        <v>1</v>
      </c>
      <c r="AN181" s="94" t="s">
        <v>210</v>
      </c>
      <c r="AO181" s="94"/>
      <c r="AP181" s="94"/>
      <c r="AQ181" s="94"/>
      <c r="AR181" s="94"/>
      <c r="AS181" s="94"/>
      <c r="AT181" s="94"/>
      <c r="AU181" s="94"/>
      <c r="AV181" s="94"/>
      <c r="AW181" s="94"/>
      <c r="AX181" s="94"/>
      <c r="AY181" s="94"/>
      <c r="BA181" s="95"/>
    </row>
    <row r="182" spans="1:53" s="87" customFormat="1">
      <c r="A182" s="90" t="str">
        <f t="shared" si="50"/>
        <v/>
      </c>
      <c r="B182" s="98">
        <v>19</v>
      </c>
      <c r="C182" s="94">
        <v>4</v>
      </c>
      <c r="D182" s="94" t="s">
        <v>210</v>
      </c>
      <c r="E182" s="94" t="s">
        <v>210</v>
      </c>
      <c r="F182" s="94">
        <v>-1</v>
      </c>
      <c r="G182" s="94">
        <v>2</v>
      </c>
      <c r="H182" s="94" t="s">
        <v>210</v>
      </c>
      <c r="I182" s="94" t="s">
        <v>210</v>
      </c>
      <c r="J182" s="94">
        <v>-3</v>
      </c>
      <c r="K182" s="94">
        <v>5</v>
      </c>
      <c r="L182" s="94" t="s">
        <v>210</v>
      </c>
      <c r="M182" s="94">
        <v>-4</v>
      </c>
      <c r="N182" s="94" t="s">
        <v>210</v>
      </c>
      <c r="O182" s="94" t="s">
        <v>210</v>
      </c>
      <c r="P182" s="94">
        <v>1</v>
      </c>
      <c r="Q182" s="94">
        <v>-2</v>
      </c>
      <c r="R182" s="94" t="s">
        <v>210</v>
      </c>
      <c r="S182" s="94" t="s">
        <v>210</v>
      </c>
      <c r="T182" s="94">
        <v>3</v>
      </c>
      <c r="U182" s="94">
        <v>-5</v>
      </c>
      <c r="V182" s="94" t="s">
        <v>210</v>
      </c>
      <c r="W182" s="94">
        <v>-2</v>
      </c>
      <c r="X182" s="94" t="s">
        <v>210</v>
      </c>
      <c r="Y182" s="94" t="s">
        <v>210</v>
      </c>
      <c r="Z182" s="94">
        <v>3</v>
      </c>
      <c r="AA182" s="94">
        <v>1</v>
      </c>
      <c r="AB182" s="94" t="s">
        <v>210</v>
      </c>
      <c r="AC182" s="94" t="s">
        <v>210</v>
      </c>
      <c r="AD182" s="94">
        <v>-4</v>
      </c>
      <c r="AE182" s="94">
        <v>-3</v>
      </c>
      <c r="AF182" s="94" t="s">
        <v>210</v>
      </c>
      <c r="AG182" s="94" t="s">
        <v>210</v>
      </c>
      <c r="AH182" s="94">
        <v>-1</v>
      </c>
      <c r="AI182" s="94">
        <v>2</v>
      </c>
      <c r="AJ182" s="94" t="s">
        <v>210</v>
      </c>
      <c r="AK182" s="94" t="s">
        <v>210</v>
      </c>
      <c r="AL182" s="94">
        <v>4</v>
      </c>
      <c r="AM182" s="94">
        <v>5</v>
      </c>
      <c r="AN182" s="94" t="s">
        <v>210</v>
      </c>
      <c r="AO182" s="94"/>
      <c r="AP182" s="94"/>
      <c r="AQ182" s="94"/>
      <c r="AR182" s="94"/>
      <c r="AS182" s="94"/>
      <c r="AT182" s="94"/>
      <c r="AU182" s="94"/>
      <c r="AV182" s="94"/>
      <c r="AW182" s="94"/>
      <c r="AX182" s="94"/>
      <c r="AY182" s="94"/>
      <c r="BA182" s="95"/>
    </row>
    <row r="183" spans="1:53" s="87" customFormat="1">
      <c r="A183" s="90" t="str">
        <f t="shared" si="50"/>
        <v/>
      </c>
      <c r="B183" s="98">
        <v>20</v>
      </c>
      <c r="C183" s="94">
        <v>1</v>
      </c>
      <c r="D183" s="94" t="s">
        <v>210</v>
      </c>
      <c r="E183" s="94" t="s">
        <v>210</v>
      </c>
      <c r="F183" s="94">
        <v>-2</v>
      </c>
      <c r="G183" s="94">
        <v>3</v>
      </c>
      <c r="H183" s="94" t="s">
        <v>210</v>
      </c>
      <c r="I183" s="94" t="s">
        <v>210</v>
      </c>
      <c r="J183" s="94">
        <v>-5</v>
      </c>
      <c r="K183" s="94">
        <v>4</v>
      </c>
      <c r="L183" s="94" t="s">
        <v>210</v>
      </c>
      <c r="M183" s="94">
        <v>-1</v>
      </c>
      <c r="N183" s="94" t="s">
        <v>210</v>
      </c>
      <c r="O183" s="94" t="s">
        <v>210</v>
      </c>
      <c r="P183" s="94">
        <v>2</v>
      </c>
      <c r="Q183" s="94">
        <v>-3</v>
      </c>
      <c r="R183" s="94" t="s">
        <v>210</v>
      </c>
      <c r="S183" s="94" t="s">
        <v>210</v>
      </c>
      <c r="T183" s="94">
        <v>5</v>
      </c>
      <c r="U183" s="94">
        <v>-4</v>
      </c>
      <c r="V183" s="94" t="s">
        <v>210</v>
      </c>
      <c r="W183" s="94">
        <v>3</v>
      </c>
      <c r="X183" s="94" t="s">
        <v>210</v>
      </c>
      <c r="Y183" s="94" t="s">
        <v>210</v>
      </c>
      <c r="Z183" s="94">
        <v>1</v>
      </c>
      <c r="AA183" s="94">
        <v>-2</v>
      </c>
      <c r="AB183" s="94" t="s">
        <v>210</v>
      </c>
      <c r="AC183" s="94" t="s">
        <v>210</v>
      </c>
      <c r="AD183" s="94">
        <v>5</v>
      </c>
      <c r="AE183" s="94">
        <v>4</v>
      </c>
      <c r="AF183" s="94" t="s">
        <v>210</v>
      </c>
      <c r="AG183" s="94" t="s">
        <v>210</v>
      </c>
      <c r="AH183" s="94">
        <v>2</v>
      </c>
      <c r="AI183" s="94">
        <v>-1</v>
      </c>
      <c r="AJ183" s="94" t="s">
        <v>210</v>
      </c>
      <c r="AK183" s="94" t="s">
        <v>210</v>
      </c>
      <c r="AL183" s="94">
        <v>-3</v>
      </c>
      <c r="AM183" s="94">
        <v>-5</v>
      </c>
      <c r="AN183" s="94" t="s">
        <v>210</v>
      </c>
      <c r="AO183" s="94"/>
      <c r="AP183" s="94"/>
      <c r="AQ183" s="94"/>
      <c r="AR183" s="94"/>
      <c r="AS183" s="94"/>
      <c r="AT183" s="94"/>
      <c r="AU183" s="94"/>
      <c r="AV183" s="94"/>
      <c r="AW183" s="94"/>
      <c r="AX183" s="94"/>
      <c r="AY183" s="94"/>
      <c r="BA183" s="95"/>
    </row>
    <row r="184" spans="1:53" s="87" customFormat="1">
      <c r="A184" s="90" t="str">
        <f t="shared" si="50"/>
        <v/>
      </c>
      <c r="B184" s="317" t="s">
        <v>901</v>
      </c>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BA184" s="95"/>
    </row>
    <row r="185" spans="1:53" s="87" customFormat="1">
      <c r="A185" s="90">
        <f t="shared" si="50"/>
        <v>185</v>
      </c>
      <c r="B185" s="98" t="s">
        <v>316</v>
      </c>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c r="AW185" s="94"/>
      <c r="AX185" s="94"/>
      <c r="AY185" s="94"/>
      <c r="BA185" s="95"/>
    </row>
    <row r="186" spans="1:53" s="87" customFormat="1">
      <c r="A186" s="90" t="str">
        <f t="shared" si="50"/>
        <v/>
      </c>
      <c r="B186" s="98">
        <v>1</v>
      </c>
      <c r="C186" s="94">
        <v>-4</v>
      </c>
      <c r="D186" s="94" t="s">
        <v>210</v>
      </c>
      <c r="E186" s="94" t="s">
        <v>210</v>
      </c>
      <c r="F186" s="94">
        <v>-1</v>
      </c>
      <c r="G186" s="94">
        <v>-3</v>
      </c>
      <c r="H186" s="94" t="s">
        <v>210</v>
      </c>
      <c r="I186" s="94" t="s">
        <v>210</v>
      </c>
      <c r="J186" s="94">
        <v>2</v>
      </c>
      <c r="K186" s="94">
        <v>-5</v>
      </c>
      <c r="L186" s="94" t="s">
        <v>210</v>
      </c>
      <c r="M186" s="94" t="s">
        <v>210</v>
      </c>
      <c r="N186" s="94">
        <v>4</v>
      </c>
      <c r="O186" s="94">
        <v>-2</v>
      </c>
      <c r="P186" s="94" t="s">
        <v>210</v>
      </c>
      <c r="Q186" s="94" t="s">
        <v>210</v>
      </c>
      <c r="R186" s="94">
        <v>1</v>
      </c>
      <c r="S186" s="94">
        <v>3</v>
      </c>
      <c r="T186" s="94" t="s">
        <v>210</v>
      </c>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c r="AW186" s="94"/>
      <c r="AX186" s="94"/>
      <c r="AY186" s="94"/>
      <c r="BA186" s="95"/>
    </row>
    <row r="187" spans="1:53" s="87" customFormat="1">
      <c r="A187" s="90" t="str">
        <f t="shared" si="50"/>
        <v/>
      </c>
      <c r="B187" s="98">
        <v>2</v>
      </c>
      <c r="C187" s="94">
        <v>2</v>
      </c>
      <c r="D187" s="94" t="s">
        <v>210</v>
      </c>
      <c r="E187" s="94" t="s">
        <v>210</v>
      </c>
      <c r="F187" s="94">
        <v>5</v>
      </c>
      <c r="G187" s="94">
        <v>-4</v>
      </c>
      <c r="H187" s="94" t="s">
        <v>210</v>
      </c>
      <c r="I187" s="94" t="s">
        <v>210</v>
      </c>
      <c r="J187" s="94">
        <v>3</v>
      </c>
      <c r="K187" s="94">
        <v>1</v>
      </c>
      <c r="L187" s="94" t="s">
        <v>210</v>
      </c>
      <c r="M187" s="94" t="s">
        <v>210</v>
      </c>
      <c r="N187" s="94">
        <v>-2</v>
      </c>
      <c r="O187" s="94">
        <v>4</v>
      </c>
      <c r="P187" s="94" t="s">
        <v>210</v>
      </c>
      <c r="Q187" s="94" t="s">
        <v>210</v>
      </c>
      <c r="R187" s="94">
        <v>-5</v>
      </c>
      <c r="S187" s="94">
        <v>-3</v>
      </c>
      <c r="T187" s="94" t="s">
        <v>210</v>
      </c>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BA187" s="95"/>
    </row>
    <row r="188" spans="1:53" s="87" customFormat="1">
      <c r="A188" s="90" t="str">
        <f t="shared" si="50"/>
        <v/>
      </c>
      <c r="B188" s="98">
        <v>3</v>
      </c>
      <c r="C188" s="94">
        <v>-5</v>
      </c>
      <c r="D188" s="94" t="s">
        <v>210</v>
      </c>
      <c r="E188" s="94" t="s">
        <v>210</v>
      </c>
      <c r="F188" s="94">
        <v>2</v>
      </c>
      <c r="G188" s="94">
        <v>-1</v>
      </c>
      <c r="H188" s="94" t="s">
        <v>210</v>
      </c>
      <c r="I188" s="94" t="s">
        <v>210</v>
      </c>
      <c r="J188" s="94">
        <v>-3</v>
      </c>
      <c r="K188" s="94">
        <v>5</v>
      </c>
      <c r="L188" s="94" t="s">
        <v>210</v>
      </c>
      <c r="M188" s="94" t="s">
        <v>210</v>
      </c>
      <c r="N188" s="94">
        <v>3</v>
      </c>
      <c r="O188" s="94">
        <v>1</v>
      </c>
      <c r="P188" s="94" t="s">
        <v>210</v>
      </c>
      <c r="Q188" s="94" t="s">
        <v>210</v>
      </c>
      <c r="R188" s="94">
        <v>-2</v>
      </c>
      <c r="S188" s="94">
        <v>-4</v>
      </c>
      <c r="T188" s="94" t="s">
        <v>210</v>
      </c>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BA188" s="95"/>
    </row>
    <row r="189" spans="1:53" s="87" customFormat="1">
      <c r="A189" s="90" t="str">
        <f t="shared" si="50"/>
        <v/>
      </c>
      <c r="B189" s="98">
        <v>4</v>
      </c>
      <c r="C189" s="94">
        <v>-1</v>
      </c>
      <c r="D189" s="94" t="s">
        <v>210</v>
      </c>
      <c r="E189" s="94" t="s">
        <v>210</v>
      </c>
      <c r="F189" s="94">
        <v>-4</v>
      </c>
      <c r="G189" s="94">
        <v>3</v>
      </c>
      <c r="H189" s="94" t="s">
        <v>210</v>
      </c>
      <c r="I189" s="94" t="s">
        <v>210</v>
      </c>
      <c r="J189" s="94">
        <v>-5</v>
      </c>
      <c r="K189" s="94">
        <v>2</v>
      </c>
      <c r="L189" s="94" t="s">
        <v>210</v>
      </c>
      <c r="M189" s="94" t="s">
        <v>210</v>
      </c>
      <c r="N189" s="94">
        <v>1</v>
      </c>
      <c r="O189" s="94">
        <v>-3</v>
      </c>
      <c r="P189" s="94" t="s">
        <v>210</v>
      </c>
      <c r="Q189" s="94" t="s">
        <v>210</v>
      </c>
      <c r="R189" s="94">
        <v>5</v>
      </c>
      <c r="S189" s="94">
        <v>4</v>
      </c>
      <c r="T189" s="94" t="s">
        <v>210</v>
      </c>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c r="BA189" s="95"/>
    </row>
    <row r="190" spans="1:53" s="87" customFormat="1">
      <c r="A190" s="90" t="str">
        <f t="shared" si="50"/>
        <v/>
      </c>
      <c r="B190" s="98">
        <v>5</v>
      </c>
      <c r="C190" s="94">
        <v>1</v>
      </c>
      <c r="D190" s="94" t="s">
        <v>210</v>
      </c>
      <c r="E190" s="94" t="s">
        <v>210</v>
      </c>
      <c r="F190" s="94">
        <v>-2</v>
      </c>
      <c r="G190" s="94">
        <v>5</v>
      </c>
      <c r="H190" s="94" t="s">
        <v>210</v>
      </c>
      <c r="I190" s="94" t="s">
        <v>210</v>
      </c>
      <c r="J190" s="94">
        <v>4</v>
      </c>
      <c r="K190" s="94">
        <v>-1</v>
      </c>
      <c r="L190" s="94" t="s">
        <v>210</v>
      </c>
      <c r="M190" s="94" t="s">
        <v>210</v>
      </c>
      <c r="N190" s="94">
        <v>-4</v>
      </c>
      <c r="O190" s="94">
        <v>-5</v>
      </c>
      <c r="P190" s="94" t="s">
        <v>210</v>
      </c>
      <c r="Q190" s="94" t="s">
        <v>210</v>
      </c>
      <c r="R190" s="94">
        <v>3</v>
      </c>
      <c r="S190" s="94">
        <v>2</v>
      </c>
      <c r="T190" s="94" t="s">
        <v>210</v>
      </c>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BA190" s="95"/>
    </row>
    <row r="191" spans="1:53" s="87" customFormat="1">
      <c r="A191" s="90" t="str">
        <f t="shared" si="50"/>
        <v/>
      </c>
      <c r="B191" s="98">
        <v>6</v>
      </c>
      <c r="C191" s="94">
        <v>5</v>
      </c>
      <c r="D191" s="94" t="s">
        <v>210</v>
      </c>
      <c r="E191" s="94" t="s">
        <v>210</v>
      </c>
      <c r="F191" s="94">
        <v>-3</v>
      </c>
      <c r="G191" s="94">
        <v>4</v>
      </c>
      <c r="H191" s="94" t="s">
        <v>210</v>
      </c>
      <c r="I191" s="94" t="s">
        <v>210</v>
      </c>
      <c r="J191" s="94">
        <v>1</v>
      </c>
      <c r="K191" s="94">
        <v>-4</v>
      </c>
      <c r="L191" s="94" t="s">
        <v>210</v>
      </c>
      <c r="M191" s="94" t="s">
        <v>210</v>
      </c>
      <c r="N191" s="94">
        <v>-5</v>
      </c>
      <c r="O191" s="94">
        <v>3</v>
      </c>
      <c r="P191" s="94" t="s">
        <v>210</v>
      </c>
      <c r="Q191" s="94" t="s">
        <v>210</v>
      </c>
      <c r="R191" s="94">
        <v>-1</v>
      </c>
      <c r="S191" s="94">
        <v>-2</v>
      </c>
      <c r="T191" s="94" t="s">
        <v>210</v>
      </c>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BA191" s="95"/>
    </row>
    <row r="192" spans="1:53" s="87" customFormat="1">
      <c r="A192" s="90" t="str">
        <f t="shared" si="50"/>
        <v/>
      </c>
      <c r="B192" s="98">
        <v>7</v>
      </c>
      <c r="C192" s="94">
        <v>-3</v>
      </c>
      <c r="D192" s="94" t="s">
        <v>210</v>
      </c>
      <c r="E192" s="94" t="s">
        <v>210</v>
      </c>
      <c r="F192" s="94">
        <v>4</v>
      </c>
      <c r="G192" s="94">
        <v>-5</v>
      </c>
      <c r="H192" s="94" t="s">
        <v>210</v>
      </c>
      <c r="I192" s="94" t="s">
        <v>210</v>
      </c>
      <c r="J192" s="94">
        <v>-2</v>
      </c>
      <c r="K192" s="94">
        <v>3</v>
      </c>
      <c r="L192" s="94" t="s">
        <v>210</v>
      </c>
      <c r="M192" s="94" t="s">
        <v>210</v>
      </c>
      <c r="N192" s="94">
        <v>5</v>
      </c>
      <c r="O192" s="94">
        <v>-4</v>
      </c>
      <c r="P192" s="94" t="s">
        <v>210</v>
      </c>
      <c r="Q192" s="94" t="s">
        <v>210</v>
      </c>
      <c r="R192" s="94">
        <v>2</v>
      </c>
      <c r="S192" s="94">
        <v>-1</v>
      </c>
      <c r="T192" s="94" t="s">
        <v>210</v>
      </c>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BA192" s="95"/>
    </row>
    <row r="193" spans="1:53" s="87" customFormat="1">
      <c r="A193" s="90" t="str">
        <f t="shared" si="50"/>
        <v/>
      </c>
      <c r="B193" s="98">
        <v>8</v>
      </c>
      <c r="C193" s="94">
        <v>4</v>
      </c>
      <c r="D193" s="94" t="s">
        <v>210</v>
      </c>
      <c r="E193" s="94" t="s">
        <v>210</v>
      </c>
      <c r="F193" s="94">
        <v>-5</v>
      </c>
      <c r="G193" s="94">
        <v>2</v>
      </c>
      <c r="H193" s="94" t="s">
        <v>210</v>
      </c>
      <c r="I193" s="94" t="s">
        <v>210</v>
      </c>
      <c r="J193" s="94">
        <v>-1</v>
      </c>
      <c r="K193" s="94">
        <v>-2</v>
      </c>
      <c r="L193" s="94" t="s">
        <v>210</v>
      </c>
      <c r="M193" s="94" t="s">
        <v>210</v>
      </c>
      <c r="N193" s="94">
        <v>-3</v>
      </c>
      <c r="O193" s="94">
        <v>5</v>
      </c>
      <c r="P193" s="94" t="s">
        <v>210</v>
      </c>
      <c r="Q193" s="94" t="s">
        <v>210</v>
      </c>
      <c r="R193" s="94">
        <v>-4</v>
      </c>
      <c r="S193" s="94">
        <v>1</v>
      </c>
      <c r="T193" s="94" t="s">
        <v>210</v>
      </c>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BA193" s="95"/>
    </row>
    <row r="194" spans="1:53" s="87" customFormat="1">
      <c r="A194" s="90" t="str">
        <f t="shared" si="50"/>
        <v/>
      </c>
      <c r="B194" s="98">
        <v>9</v>
      </c>
      <c r="C194" s="94">
        <v>-2</v>
      </c>
      <c r="D194" s="94" t="s">
        <v>210</v>
      </c>
      <c r="E194" s="94" t="s">
        <v>210</v>
      </c>
      <c r="F194" s="94">
        <v>3</v>
      </c>
      <c r="G194" s="94">
        <v>1</v>
      </c>
      <c r="H194" s="94" t="s">
        <v>210</v>
      </c>
      <c r="I194" s="94" t="s">
        <v>210</v>
      </c>
      <c r="J194" s="94">
        <v>-4</v>
      </c>
      <c r="K194" s="94">
        <v>-3</v>
      </c>
      <c r="L194" s="94" t="s">
        <v>210</v>
      </c>
      <c r="M194" s="94" t="s">
        <v>210</v>
      </c>
      <c r="N194" s="94">
        <v>-1</v>
      </c>
      <c r="O194" s="94">
        <v>2</v>
      </c>
      <c r="P194" s="94" t="s">
        <v>210</v>
      </c>
      <c r="Q194" s="94" t="s">
        <v>210</v>
      </c>
      <c r="R194" s="94">
        <v>4</v>
      </c>
      <c r="S194" s="94">
        <v>5</v>
      </c>
      <c r="T194" s="94" t="s">
        <v>210</v>
      </c>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BA194" s="95"/>
    </row>
    <row r="195" spans="1:53" s="87" customFormat="1">
      <c r="A195" s="90" t="str">
        <f t="shared" si="50"/>
        <v/>
      </c>
      <c r="B195" s="99">
        <v>10</v>
      </c>
      <c r="C195" s="92">
        <v>3</v>
      </c>
      <c r="D195" s="92" t="s">
        <v>210</v>
      </c>
      <c r="E195" s="92" t="s">
        <v>210</v>
      </c>
      <c r="F195" s="92">
        <v>1</v>
      </c>
      <c r="G195" s="92">
        <v>-2</v>
      </c>
      <c r="H195" s="92" t="s">
        <v>210</v>
      </c>
      <c r="I195" s="92" t="s">
        <v>210</v>
      </c>
      <c r="J195" s="92">
        <v>5</v>
      </c>
      <c r="K195" s="92">
        <v>4</v>
      </c>
      <c r="L195" s="92" t="s">
        <v>210</v>
      </c>
      <c r="M195" s="92" t="s">
        <v>210</v>
      </c>
      <c r="N195" s="92">
        <v>2</v>
      </c>
      <c r="O195" s="92">
        <v>-1</v>
      </c>
      <c r="P195" s="92" t="s">
        <v>210</v>
      </c>
      <c r="Q195" s="92" t="s">
        <v>210</v>
      </c>
      <c r="R195" s="92">
        <v>-3</v>
      </c>
      <c r="S195" s="92">
        <v>-5</v>
      </c>
      <c r="T195" s="92" t="s">
        <v>210</v>
      </c>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BA195" s="95"/>
    </row>
    <row r="196" spans="1:53" s="87" customFormat="1">
      <c r="A196" s="90" t="str">
        <f t="shared" si="50"/>
        <v/>
      </c>
      <c r="B196" s="98">
        <v>11</v>
      </c>
      <c r="C196" s="94" t="s">
        <v>210</v>
      </c>
      <c r="D196" s="94">
        <v>-4</v>
      </c>
      <c r="E196" s="94">
        <v>-1</v>
      </c>
      <c r="F196" s="94" t="s">
        <v>210</v>
      </c>
      <c r="G196" s="94" t="s">
        <v>210</v>
      </c>
      <c r="H196" s="94">
        <v>-3</v>
      </c>
      <c r="I196" s="94">
        <v>2</v>
      </c>
      <c r="J196" s="94" t="s">
        <v>210</v>
      </c>
      <c r="K196" s="94" t="s">
        <v>210</v>
      </c>
      <c r="L196" s="94">
        <v>-5</v>
      </c>
      <c r="M196" s="94">
        <v>4</v>
      </c>
      <c r="N196" s="94" t="s">
        <v>210</v>
      </c>
      <c r="O196" s="94" t="s">
        <v>210</v>
      </c>
      <c r="P196" s="94">
        <v>-2</v>
      </c>
      <c r="Q196" s="94">
        <v>1</v>
      </c>
      <c r="R196" s="94" t="s">
        <v>210</v>
      </c>
      <c r="S196" s="94" t="s">
        <v>210</v>
      </c>
      <c r="T196" s="94">
        <v>3</v>
      </c>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c r="AW196" s="94"/>
      <c r="AX196" s="94"/>
      <c r="AY196" s="94"/>
      <c r="BA196" s="95"/>
    </row>
    <row r="197" spans="1:53" s="87" customFormat="1">
      <c r="A197" s="90" t="str">
        <f t="shared" si="50"/>
        <v/>
      </c>
      <c r="B197" s="98">
        <v>12</v>
      </c>
      <c r="C197" s="94" t="s">
        <v>210</v>
      </c>
      <c r="D197" s="94">
        <v>2</v>
      </c>
      <c r="E197" s="94">
        <v>5</v>
      </c>
      <c r="F197" s="94" t="s">
        <v>210</v>
      </c>
      <c r="G197" s="94" t="s">
        <v>210</v>
      </c>
      <c r="H197" s="94">
        <v>-4</v>
      </c>
      <c r="I197" s="94">
        <v>3</v>
      </c>
      <c r="J197" s="94" t="s">
        <v>210</v>
      </c>
      <c r="K197" s="94" t="s">
        <v>210</v>
      </c>
      <c r="L197" s="94">
        <v>1</v>
      </c>
      <c r="M197" s="94">
        <v>-2</v>
      </c>
      <c r="N197" s="94" t="s">
        <v>210</v>
      </c>
      <c r="O197" s="94" t="s">
        <v>210</v>
      </c>
      <c r="P197" s="94">
        <v>4</v>
      </c>
      <c r="Q197" s="94">
        <v>-5</v>
      </c>
      <c r="R197" s="94" t="s">
        <v>210</v>
      </c>
      <c r="S197" s="94" t="s">
        <v>210</v>
      </c>
      <c r="T197" s="94">
        <v>-3</v>
      </c>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BA197" s="95"/>
    </row>
    <row r="198" spans="1:53" s="87" customFormat="1">
      <c r="A198" s="90" t="str">
        <f t="shared" si="50"/>
        <v/>
      </c>
      <c r="B198" s="98">
        <v>13</v>
      </c>
      <c r="C198" s="94" t="s">
        <v>210</v>
      </c>
      <c r="D198" s="94">
        <v>-5</v>
      </c>
      <c r="E198" s="94">
        <v>2</v>
      </c>
      <c r="F198" s="94" t="s">
        <v>210</v>
      </c>
      <c r="G198" s="94" t="s">
        <v>210</v>
      </c>
      <c r="H198" s="94">
        <v>-1</v>
      </c>
      <c r="I198" s="94">
        <v>-3</v>
      </c>
      <c r="J198" s="94" t="s">
        <v>210</v>
      </c>
      <c r="K198" s="94" t="s">
        <v>210</v>
      </c>
      <c r="L198" s="94">
        <v>5</v>
      </c>
      <c r="M198" s="94">
        <v>3</v>
      </c>
      <c r="N198" s="94" t="s">
        <v>210</v>
      </c>
      <c r="O198" s="94" t="s">
        <v>210</v>
      </c>
      <c r="P198" s="94">
        <v>1</v>
      </c>
      <c r="Q198" s="94">
        <v>-2</v>
      </c>
      <c r="R198" s="94" t="s">
        <v>210</v>
      </c>
      <c r="S198" s="94" t="s">
        <v>210</v>
      </c>
      <c r="T198" s="94">
        <v>-4</v>
      </c>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BA198" s="95"/>
    </row>
    <row r="199" spans="1:53" s="87" customFormat="1">
      <c r="A199" s="90" t="str">
        <f t="shared" si="50"/>
        <v/>
      </c>
      <c r="B199" s="98">
        <v>14</v>
      </c>
      <c r="C199" s="94" t="s">
        <v>210</v>
      </c>
      <c r="D199" s="94">
        <v>-1</v>
      </c>
      <c r="E199" s="94">
        <v>-4</v>
      </c>
      <c r="F199" s="94" t="s">
        <v>210</v>
      </c>
      <c r="G199" s="94" t="s">
        <v>210</v>
      </c>
      <c r="H199" s="94">
        <v>3</v>
      </c>
      <c r="I199" s="94">
        <v>-5</v>
      </c>
      <c r="J199" s="94" t="s">
        <v>210</v>
      </c>
      <c r="K199" s="94" t="s">
        <v>210</v>
      </c>
      <c r="L199" s="94">
        <v>2</v>
      </c>
      <c r="M199" s="94">
        <v>1</v>
      </c>
      <c r="N199" s="94" t="s">
        <v>210</v>
      </c>
      <c r="O199" s="94" t="s">
        <v>210</v>
      </c>
      <c r="P199" s="94">
        <v>-3</v>
      </c>
      <c r="Q199" s="94">
        <v>5</v>
      </c>
      <c r="R199" s="94" t="s">
        <v>210</v>
      </c>
      <c r="S199" s="94" t="s">
        <v>210</v>
      </c>
      <c r="T199" s="94">
        <v>4</v>
      </c>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BA199" s="95"/>
    </row>
    <row r="200" spans="1:53" s="87" customFormat="1">
      <c r="A200" s="90" t="str">
        <f t="shared" si="50"/>
        <v/>
      </c>
      <c r="B200" s="98">
        <v>15</v>
      </c>
      <c r="C200" s="94" t="s">
        <v>210</v>
      </c>
      <c r="D200" s="94">
        <v>1</v>
      </c>
      <c r="E200" s="94">
        <v>-2</v>
      </c>
      <c r="F200" s="94" t="s">
        <v>210</v>
      </c>
      <c r="G200" s="94" t="s">
        <v>210</v>
      </c>
      <c r="H200" s="94">
        <v>5</v>
      </c>
      <c r="I200" s="94">
        <v>4</v>
      </c>
      <c r="J200" s="94" t="s">
        <v>210</v>
      </c>
      <c r="K200" s="94" t="s">
        <v>210</v>
      </c>
      <c r="L200" s="94">
        <v>-1</v>
      </c>
      <c r="M200" s="94">
        <v>-4</v>
      </c>
      <c r="N200" s="94" t="s">
        <v>210</v>
      </c>
      <c r="O200" s="94" t="s">
        <v>210</v>
      </c>
      <c r="P200" s="94">
        <v>-5</v>
      </c>
      <c r="Q200" s="94">
        <v>3</v>
      </c>
      <c r="R200" s="94" t="s">
        <v>210</v>
      </c>
      <c r="S200" s="94" t="s">
        <v>210</v>
      </c>
      <c r="T200" s="94">
        <v>2</v>
      </c>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BA200" s="95"/>
    </row>
    <row r="201" spans="1:53" s="87" customFormat="1">
      <c r="A201" s="90" t="str">
        <f t="shared" si="50"/>
        <v/>
      </c>
      <c r="B201" s="98">
        <v>16</v>
      </c>
      <c r="C201" s="94" t="s">
        <v>210</v>
      </c>
      <c r="D201" s="94">
        <v>5</v>
      </c>
      <c r="E201" s="94">
        <v>-3</v>
      </c>
      <c r="F201" s="94" t="s">
        <v>210</v>
      </c>
      <c r="G201" s="94" t="s">
        <v>210</v>
      </c>
      <c r="H201" s="94">
        <v>4</v>
      </c>
      <c r="I201" s="94">
        <v>1</v>
      </c>
      <c r="J201" s="94" t="s">
        <v>210</v>
      </c>
      <c r="K201" s="94" t="s">
        <v>210</v>
      </c>
      <c r="L201" s="94">
        <v>-4</v>
      </c>
      <c r="M201" s="94">
        <v>-5</v>
      </c>
      <c r="N201" s="94" t="s">
        <v>210</v>
      </c>
      <c r="O201" s="94" t="s">
        <v>210</v>
      </c>
      <c r="P201" s="94">
        <v>3</v>
      </c>
      <c r="Q201" s="94">
        <v>-1</v>
      </c>
      <c r="R201" s="94" t="s">
        <v>210</v>
      </c>
      <c r="S201" s="94" t="s">
        <v>210</v>
      </c>
      <c r="T201" s="94">
        <v>-2</v>
      </c>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BA201" s="95"/>
    </row>
    <row r="202" spans="1:53" s="87" customFormat="1">
      <c r="A202" s="90" t="str">
        <f t="shared" si="50"/>
        <v/>
      </c>
      <c r="B202" s="98">
        <v>17</v>
      </c>
      <c r="C202" s="94" t="s">
        <v>210</v>
      </c>
      <c r="D202" s="94">
        <v>-3</v>
      </c>
      <c r="E202" s="94">
        <v>4</v>
      </c>
      <c r="F202" s="94" t="s">
        <v>210</v>
      </c>
      <c r="G202" s="94" t="s">
        <v>210</v>
      </c>
      <c r="H202" s="94">
        <v>-5</v>
      </c>
      <c r="I202" s="94">
        <v>-2</v>
      </c>
      <c r="J202" s="94" t="s">
        <v>210</v>
      </c>
      <c r="K202" s="94" t="s">
        <v>210</v>
      </c>
      <c r="L202" s="94">
        <v>3</v>
      </c>
      <c r="M202" s="94">
        <v>5</v>
      </c>
      <c r="N202" s="94" t="s">
        <v>210</v>
      </c>
      <c r="O202" s="94" t="s">
        <v>210</v>
      </c>
      <c r="P202" s="94">
        <v>-4</v>
      </c>
      <c r="Q202" s="94">
        <v>2</v>
      </c>
      <c r="R202" s="94" t="s">
        <v>210</v>
      </c>
      <c r="S202" s="94" t="s">
        <v>210</v>
      </c>
      <c r="T202" s="94">
        <v>-1</v>
      </c>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BA202" s="95"/>
    </row>
    <row r="203" spans="1:53" s="87" customFormat="1">
      <c r="A203" s="90" t="str">
        <f t="shared" si="50"/>
        <v/>
      </c>
      <c r="B203" s="98">
        <v>18</v>
      </c>
      <c r="C203" s="94" t="s">
        <v>210</v>
      </c>
      <c r="D203" s="94">
        <v>4</v>
      </c>
      <c r="E203" s="94">
        <v>-5</v>
      </c>
      <c r="F203" s="94" t="s">
        <v>210</v>
      </c>
      <c r="G203" s="94" t="s">
        <v>210</v>
      </c>
      <c r="H203" s="94">
        <v>2</v>
      </c>
      <c r="I203" s="94">
        <v>-1</v>
      </c>
      <c r="J203" s="94" t="s">
        <v>210</v>
      </c>
      <c r="K203" s="94" t="s">
        <v>210</v>
      </c>
      <c r="L203" s="94">
        <v>-2</v>
      </c>
      <c r="M203" s="94">
        <v>-3</v>
      </c>
      <c r="N203" s="94" t="s">
        <v>210</v>
      </c>
      <c r="O203" s="94" t="s">
        <v>210</v>
      </c>
      <c r="P203" s="94">
        <v>5</v>
      </c>
      <c r="Q203" s="94">
        <v>-4</v>
      </c>
      <c r="R203" s="94" t="s">
        <v>210</v>
      </c>
      <c r="S203" s="94" t="s">
        <v>210</v>
      </c>
      <c r="T203" s="94">
        <v>1</v>
      </c>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BA203" s="95"/>
    </row>
    <row r="204" spans="1:53" s="87" customFormat="1">
      <c r="A204" s="90" t="str">
        <f t="shared" ref="A204:A267" si="51">IF(MID(B204,3,2)="05",ROW(),"")</f>
        <v/>
      </c>
      <c r="B204" s="98">
        <v>19</v>
      </c>
      <c r="C204" s="94" t="s">
        <v>210</v>
      </c>
      <c r="D204" s="94">
        <v>-2</v>
      </c>
      <c r="E204" s="94">
        <v>3</v>
      </c>
      <c r="F204" s="94" t="s">
        <v>210</v>
      </c>
      <c r="G204" s="94" t="s">
        <v>210</v>
      </c>
      <c r="H204" s="94">
        <v>1</v>
      </c>
      <c r="I204" s="94">
        <v>-4</v>
      </c>
      <c r="J204" s="94" t="s">
        <v>210</v>
      </c>
      <c r="K204" s="94" t="s">
        <v>210</v>
      </c>
      <c r="L204" s="94">
        <v>-3</v>
      </c>
      <c r="M204" s="94">
        <v>-1</v>
      </c>
      <c r="N204" s="94" t="s">
        <v>210</v>
      </c>
      <c r="O204" s="94" t="s">
        <v>210</v>
      </c>
      <c r="P204" s="94">
        <v>2</v>
      </c>
      <c r="Q204" s="94">
        <v>4</v>
      </c>
      <c r="R204" s="94" t="s">
        <v>210</v>
      </c>
      <c r="S204" s="94" t="s">
        <v>210</v>
      </c>
      <c r="T204" s="94">
        <v>5</v>
      </c>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BA204" s="95"/>
    </row>
    <row r="205" spans="1:53" s="87" customFormat="1">
      <c r="A205" s="90" t="str">
        <f t="shared" si="51"/>
        <v/>
      </c>
      <c r="B205" s="98">
        <v>20</v>
      </c>
      <c r="C205" s="94" t="s">
        <v>210</v>
      </c>
      <c r="D205" s="94">
        <v>3</v>
      </c>
      <c r="E205" s="94">
        <v>1</v>
      </c>
      <c r="F205" s="94" t="s">
        <v>210</v>
      </c>
      <c r="G205" s="94" t="s">
        <v>210</v>
      </c>
      <c r="H205" s="94">
        <v>-2</v>
      </c>
      <c r="I205" s="94">
        <v>5</v>
      </c>
      <c r="J205" s="94" t="s">
        <v>210</v>
      </c>
      <c r="K205" s="94" t="s">
        <v>210</v>
      </c>
      <c r="L205" s="94">
        <v>4</v>
      </c>
      <c r="M205" s="94">
        <v>2</v>
      </c>
      <c r="N205" s="94" t="s">
        <v>210</v>
      </c>
      <c r="O205" s="94" t="s">
        <v>210</v>
      </c>
      <c r="P205" s="94">
        <v>-1</v>
      </c>
      <c r="Q205" s="94">
        <v>-3</v>
      </c>
      <c r="R205" s="94" t="s">
        <v>210</v>
      </c>
      <c r="S205" s="94" t="s">
        <v>210</v>
      </c>
      <c r="T205" s="94">
        <v>-5</v>
      </c>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BA205" s="95"/>
    </row>
    <row r="206" spans="1:53" s="87" customFormat="1">
      <c r="A206" s="90" t="str">
        <f t="shared" si="51"/>
        <v/>
      </c>
      <c r="B206" s="98" t="s">
        <v>317</v>
      </c>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c r="BA206" s="95"/>
    </row>
    <row r="207" spans="1:53" s="87" customFormat="1">
      <c r="A207" s="90">
        <f t="shared" si="51"/>
        <v>207</v>
      </c>
      <c r="B207" s="98" t="s">
        <v>318</v>
      </c>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BA207" s="95"/>
    </row>
    <row r="208" spans="1:53" s="87" customFormat="1">
      <c r="A208" s="90" t="str">
        <f t="shared" si="51"/>
        <v/>
      </c>
      <c r="B208" s="98">
        <v>1</v>
      </c>
      <c r="C208" s="94">
        <v>-4</v>
      </c>
      <c r="D208" s="94" t="s">
        <v>210</v>
      </c>
      <c r="E208" s="94" t="s">
        <v>210</v>
      </c>
      <c r="F208" s="94">
        <v>2</v>
      </c>
      <c r="G208" s="94">
        <v>1</v>
      </c>
      <c r="H208" s="94" t="s">
        <v>210</v>
      </c>
      <c r="I208" s="94" t="s">
        <v>210</v>
      </c>
      <c r="J208" s="94">
        <v>-2</v>
      </c>
      <c r="K208" s="94">
        <v>-5</v>
      </c>
      <c r="L208" s="94" t="s">
        <v>210</v>
      </c>
      <c r="M208" s="94" t="s">
        <v>210</v>
      </c>
      <c r="N208" s="94">
        <v>3</v>
      </c>
      <c r="O208" s="94">
        <v>4</v>
      </c>
      <c r="P208" s="94" t="s">
        <v>210</v>
      </c>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BA208" s="95"/>
    </row>
    <row r="209" spans="1:53" s="87" customFormat="1">
      <c r="A209" s="90" t="str">
        <f t="shared" si="51"/>
        <v/>
      </c>
      <c r="B209" s="98">
        <v>2</v>
      </c>
      <c r="C209" s="94">
        <v>-2</v>
      </c>
      <c r="D209" s="94" t="s">
        <v>210</v>
      </c>
      <c r="E209" s="94" t="s">
        <v>210</v>
      </c>
      <c r="F209" s="94">
        <v>-5</v>
      </c>
      <c r="G209" s="94">
        <v>4</v>
      </c>
      <c r="H209" s="94" t="s">
        <v>210</v>
      </c>
      <c r="I209" s="94" t="s">
        <v>210</v>
      </c>
      <c r="J209" s="94">
        <v>5</v>
      </c>
      <c r="K209" s="94">
        <v>-3</v>
      </c>
      <c r="L209" s="94" t="s">
        <v>210</v>
      </c>
      <c r="M209" s="94" t="s">
        <v>210</v>
      </c>
      <c r="N209" s="94">
        <v>1</v>
      </c>
      <c r="O209" s="94">
        <v>-4</v>
      </c>
      <c r="P209" s="94" t="s">
        <v>210</v>
      </c>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BA209" s="95"/>
    </row>
    <row r="210" spans="1:53" s="87" customFormat="1">
      <c r="A210" s="90" t="str">
        <f t="shared" si="51"/>
        <v/>
      </c>
      <c r="B210" s="98">
        <v>3</v>
      </c>
      <c r="C210" s="94">
        <v>3</v>
      </c>
      <c r="D210" s="94" t="s">
        <v>210</v>
      </c>
      <c r="E210" s="94" t="s">
        <v>210</v>
      </c>
      <c r="F210" s="94">
        <v>-1</v>
      </c>
      <c r="G210" s="94">
        <v>-2</v>
      </c>
      <c r="H210" s="94" t="s">
        <v>210</v>
      </c>
      <c r="I210" s="94" t="s">
        <v>210</v>
      </c>
      <c r="J210" s="94">
        <v>-5</v>
      </c>
      <c r="K210" s="94">
        <v>1</v>
      </c>
      <c r="L210" s="94" t="s">
        <v>210</v>
      </c>
      <c r="M210" s="94" t="s">
        <v>210</v>
      </c>
      <c r="N210" s="94">
        <v>-3</v>
      </c>
      <c r="O210" s="94">
        <v>2</v>
      </c>
      <c r="P210" s="94" t="s">
        <v>210</v>
      </c>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BA210" s="95"/>
    </row>
    <row r="211" spans="1:53" s="87" customFormat="1">
      <c r="A211" s="90" t="str">
        <f t="shared" si="51"/>
        <v/>
      </c>
      <c r="B211" s="98">
        <v>4</v>
      </c>
      <c r="C211" s="94">
        <v>-5</v>
      </c>
      <c r="D211" s="94" t="s">
        <v>210</v>
      </c>
      <c r="E211" s="94" t="s">
        <v>210</v>
      </c>
      <c r="F211" s="94">
        <v>4</v>
      </c>
      <c r="G211" s="94">
        <v>-1</v>
      </c>
      <c r="H211" s="94" t="s">
        <v>210</v>
      </c>
      <c r="I211" s="94" t="s">
        <v>210</v>
      </c>
      <c r="J211" s="94">
        <v>-4</v>
      </c>
      <c r="K211" s="94">
        <v>3</v>
      </c>
      <c r="L211" s="94" t="s">
        <v>210</v>
      </c>
      <c r="M211" s="94" t="s">
        <v>210</v>
      </c>
      <c r="N211" s="94">
        <v>5</v>
      </c>
      <c r="O211" s="94">
        <v>-2</v>
      </c>
      <c r="P211" s="94" t="s">
        <v>210</v>
      </c>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c r="AW211" s="94"/>
      <c r="AX211" s="94"/>
      <c r="AY211" s="94"/>
      <c r="BA211" s="95"/>
    </row>
    <row r="212" spans="1:53" s="87" customFormat="1">
      <c r="A212" s="90" t="str">
        <f t="shared" si="51"/>
        <v/>
      </c>
      <c r="B212" s="98">
        <v>5</v>
      </c>
      <c r="C212" s="94">
        <v>-3</v>
      </c>
      <c r="D212" s="94" t="s">
        <v>210</v>
      </c>
      <c r="E212" s="94" t="s">
        <v>210</v>
      </c>
      <c r="F212" s="94">
        <v>-4</v>
      </c>
      <c r="G212" s="94">
        <v>3</v>
      </c>
      <c r="H212" s="94" t="s">
        <v>210</v>
      </c>
      <c r="I212" s="94" t="s">
        <v>210</v>
      </c>
      <c r="J212" s="94">
        <v>2</v>
      </c>
      <c r="K212" s="94">
        <v>4</v>
      </c>
      <c r="L212" s="94" t="s">
        <v>210</v>
      </c>
      <c r="M212" s="94" t="s">
        <v>210</v>
      </c>
      <c r="N212" s="94">
        <v>-1</v>
      </c>
      <c r="O212" s="94">
        <v>5</v>
      </c>
      <c r="P212" s="94" t="s">
        <v>210</v>
      </c>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BA212" s="95"/>
    </row>
    <row r="213" spans="1:53" s="87" customFormat="1">
      <c r="A213" s="90" t="str">
        <f t="shared" si="51"/>
        <v/>
      </c>
      <c r="B213" s="98">
        <v>6</v>
      </c>
      <c r="C213" s="94">
        <v>5</v>
      </c>
      <c r="D213" s="94" t="s">
        <v>210</v>
      </c>
      <c r="E213" s="94" t="s">
        <v>210</v>
      </c>
      <c r="F213" s="94">
        <v>-2</v>
      </c>
      <c r="G213" s="94">
        <v>-4</v>
      </c>
      <c r="H213" s="94" t="s">
        <v>210</v>
      </c>
      <c r="I213" s="94" t="s">
        <v>210</v>
      </c>
      <c r="J213" s="94">
        <v>3</v>
      </c>
      <c r="K213" s="94">
        <v>-1</v>
      </c>
      <c r="L213" s="94" t="s">
        <v>210</v>
      </c>
      <c r="M213" s="94" t="s">
        <v>210</v>
      </c>
      <c r="N213" s="94">
        <v>2</v>
      </c>
      <c r="O213" s="94">
        <v>-5</v>
      </c>
      <c r="P213" s="94" t="s">
        <v>210</v>
      </c>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BA213" s="95"/>
    </row>
    <row r="214" spans="1:53" s="87" customFormat="1">
      <c r="A214" s="90" t="str">
        <f t="shared" si="51"/>
        <v/>
      </c>
      <c r="B214" s="98">
        <v>7</v>
      </c>
      <c r="C214" s="94">
        <v>4</v>
      </c>
      <c r="D214" s="94" t="s">
        <v>210</v>
      </c>
      <c r="E214" s="94" t="s">
        <v>210</v>
      </c>
      <c r="F214" s="94">
        <v>5</v>
      </c>
      <c r="G214" s="94">
        <v>2</v>
      </c>
      <c r="H214" s="94" t="s">
        <v>210</v>
      </c>
      <c r="I214" s="94" t="s">
        <v>210</v>
      </c>
      <c r="J214" s="94">
        <v>-3</v>
      </c>
      <c r="K214" s="94">
        <v>-4</v>
      </c>
      <c r="L214" s="94" t="s">
        <v>210</v>
      </c>
      <c r="M214" s="94" t="s">
        <v>210</v>
      </c>
      <c r="N214" s="94">
        <v>-5</v>
      </c>
      <c r="O214" s="94">
        <v>1</v>
      </c>
      <c r="P214" s="94" t="s">
        <v>210</v>
      </c>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BA214" s="95"/>
    </row>
    <row r="215" spans="1:53" s="87" customFormat="1">
      <c r="A215" s="90" t="str">
        <f t="shared" si="51"/>
        <v/>
      </c>
      <c r="B215" s="99">
        <v>8</v>
      </c>
      <c r="C215" s="92">
        <v>2</v>
      </c>
      <c r="D215" s="92" t="s">
        <v>210</v>
      </c>
      <c r="E215" s="92" t="s">
        <v>210</v>
      </c>
      <c r="F215" s="92">
        <v>1</v>
      </c>
      <c r="G215" s="92">
        <v>-3</v>
      </c>
      <c r="H215" s="92" t="s">
        <v>210</v>
      </c>
      <c r="I215" s="92" t="s">
        <v>210</v>
      </c>
      <c r="J215" s="92">
        <v>4</v>
      </c>
      <c r="K215" s="92">
        <v>5</v>
      </c>
      <c r="L215" s="92" t="s">
        <v>210</v>
      </c>
      <c r="M215" s="92" t="s">
        <v>210</v>
      </c>
      <c r="N215" s="92">
        <v>-2</v>
      </c>
      <c r="O215" s="92">
        <v>-1</v>
      </c>
      <c r="P215" s="92" t="s">
        <v>210</v>
      </c>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94"/>
      <c r="AW215" s="94"/>
      <c r="AX215" s="94"/>
      <c r="AY215" s="94"/>
      <c r="BA215" s="95"/>
    </row>
    <row r="216" spans="1:53" s="87" customFormat="1">
      <c r="A216" s="90" t="str">
        <f t="shared" si="51"/>
        <v/>
      </c>
      <c r="B216" s="98">
        <v>9</v>
      </c>
      <c r="C216" s="94" t="s">
        <v>210</v>
      </c>
      <c r="D216" s="94">
        <v>-4</v>
      </c>
      <c r="E216" s="94">
        <v>5</v>
      </c>
      <c r="F216" s="94" t="s">
        <v>210</v>
      </c>
      <c r="G216" s="94" t="s">
        <v>210</v>
      </c>
      <c r="H216" s="94">
        <v>-3</v>
      </c>
      <c r="I216" s="94">
        <v>4</v>
      </c>
      <c r="J216" s="94" t="s">
        <v>210</v>
      </c>
      <c r="K216" s="94" t="s">
        <v>210</v>
      </c>
      <c r="L216" s="94">
        <v>-5</v>
      </c>
      <c r="M216" s="94">
        <v>1</v>
      </c>
      <c r="N216" s="94" t="s">
        <v>210</v>
      </c>
      <c r="O216" s="94" t="s">
        <v>210</v>
      </c>
      <c r="P216" s="94">
        <v>3</v>
      </c>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BA216" s="95"/>
    </row>
    <row r="217" spans="1:53" s="87" customFormat="1">
      <c r="A217" s="90" t="str">
        <f t="shared" si="51"/>
        <v/>
      </c>
      <c r="B217" s="98">
        <v>10</v>
      </c>
      <c r="C217" s="94" t="s">
        <v>210</v>
      </c>
      <c r="D217" s="94">
        <v>5</v>
      </c>
      <c r="E217" s="94">
        <v>-2</v>
      </c>
      <c r="F217" s="94" t="s">
        <v>210</v>
      </c>
      <c r="G217" s="94" t="s">
        <v>210</v>
      </c>
      <c r="H217" s="94">
        <v>1</v>
      </c>
      <c r="I217" s="94">
        <v>-5</v>
      </c>
      <c r="J217" s="94" t="s">
        <v>210</v>
      </c>
      <c r="K217" s="94" t="s">
        <v>210</v>
      </c>
      <c r="L217" s="94">
        <v>2</v>
      </c>
      <c r="M217" s="94">
        <v>4</v>
      </c>
      <c r="N217" s="94" t="s">
        <v>210</v>
      </c>
      <c r="O217" s="94" t="s">
        <v>210</v>
      </c>
      <c r="P217" s="94">
        <v>-3</v>
      </c>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c r="BA217" s="95"/>
    </row>
    <row r="218" spans="1:53" s="87" customFormat="1">
      <c r="A218" s="90" t="str">
        <f t="shared" si="51"/>
        <v/>
      </c>
      <c r="B218" s="98">
        <v>11</v>
      </c>
      <c r="C218" s="94" t="s">
        <v>210</v>
      </c>
      <c r="D218" s="94">
        <v>2</v>
      </c>
      <c r="E218" s="94">
        <v>-1</v>
      </c>
      <c r="F218" s="94" t="s">
        <v>210</v>
      </c>
      <c r="G218" s="94" t="s">
        <v>210</v>
      </c>
      <c r="H218" s="94">
        <v>3</v>
      </c>
      <c r="I218" s="94">
        <v>1</v>
      </c>
      <c r="J218" s="94" t="s">
        <v>210</v>
      </c>
      <c r="K218" s="94" t="s">
        <v>210</v>
      </c>
      <c r="L218" s="94">
        <v>-2</v>
      </c>
      <c r="M218" s="94">
        <v>-5</v>
      </c>
      <c r="N218" s="94" t="s">
        <v>210</v>
      </c>
      <c r="O218" s="94" t="s">
        <v>210</v>
      </c>
      <c r="P218" s="94">
        <v>4</v>
      </c>
      <c r="Q218" s="94"/>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BA218" s="95"/>
    </row>
    <row r="219" spans="1:53" s="87" customFormat="1">
      <c r="A219" s="90" t="str">
        <f t="shared" si="51"/>
        <v/>
      </c>
      <c r="B219" s="98">
        <v>12</v>
      </c>
      <c r="C219" s="94">
        <v>1</v>
      </c>
      <c r="D219" s="94" t="s">
        <v>210</v>
      </c>
      <c r="E219" s="94" t="s">
        <v>210</v>
      </c>
      <c r="F219" s="94">
        <v>3</v>
      </c>
      <c r="G219" s="94" t="s">
        <v>210</v>
      </c>
      <c r="H219" s="94">
        <v>2</v>
      </c>
      <c r="I219" s="94">
        <v>5</v>
      </c>
      <c r="J219" s="94" t="s">
        <v>210</v>
      </c>
      <c r="K219" s="94" t="s">
        <v>210</v>
      </c>
      <c r="L219" s="94">
        <v>-3</v>
      </c>
      <c r="M219" s="94">
        <v>-1</v>
      </c>
      <c r="N219" s="94" t="s">
        <v>210</v>
      </c>
      <c r="O219" s="94" t="s">
        <v>210</v>
      </c>
      <c r="P219" s="94">
        <v>-4</v>
      </c>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94"/>
      <c r="AW219" s="94"/>
      <c r="AX219" s="94"/>
      <c r="AY219" s="94"/>
      <c r="BA219" s="95"/>
    </row>
    <row r="220" spans="1:53" s="87" customFormat="1">
      <c r="A220" s="90" t="str">
        <f t="shared" si="51"/>
        <v/>
      </c>
      <c r="B220" s="98">
        <v>13</v>
      </c>
      <c r="C220" s="94" t="s">
        <v>210</v>
      </c>
      <c r="D220" s="94">
        <v>-3</v>
      </c>
      <c r="E220" s="94">
        <v>4</v>
      </c>
      <c r="F220" s="94" t="s">
        <v>210</v>
      </c>
      <c r="G220" s="94" t="s">
        <v>210</v>
      </c>
      <c r="H220" s="94">
        <v>-2</v>
      </c>
      <c r="I220" s="94">
        <v>-1</v>
      </c>
      <c r="J220" s="94" t="s">
        <v>210</v>
      </c>
      <c r="K220" s="94" t="s">
        <v>210</v>
      </c>
      <c r="L220" s="94">
        <v>5</v>
      </c>
      <c r="M220" s="94">
        <v>-4</v>
      </c>
      <c r="N220" s="94" t="s">
        <v>210</v>
      </c>
      <c r="O220" s="94" t="s">
        <v>210</v>
      </c>
      <c r="P220" s="94">
        <v>2</v>
      </c>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BA220" s="95"/>
    </row>
    <row r="221" spans="1:53" s="87" customFormat="1">
      <c r="A221" s="90" t="str">
        <f t="shared" si="51"/>
        <v/>
      </c>
      <c r="B221" s="99">
        <v>14</v>
      </c>
      <c r="C221" s="92" t="s">
        <v>210</v>
      </c>
      <c r="D221" s="92">
        <v>1</v>
      </c>
      <c r="E221" s="92">
        <v>-3</v>
      </c>
      <c r="F221" s="92" t="s">
        <v>210</v>
      </c>
      <c r="G221" s="92" t="s">
        <v>210</v>
      </c>
      <c r="H221" s="92">
        <v>-1</v>
      </c>
      <c r="I221" s="92">
        <v>-4</v>
      </c>
      <c r="J221" s="92" t="s">
        <v>210</v>
      </c>
      <c r="K221" s="92" t="s">
        <v>210</v>
      </c>
      <c r="L221" s="92">
        <v>3</v>
      </c>
      <c r="M221" s="92">
        <v>5</v>
      </c>
      <c r="N221" s="92" t="s">
        <v>210</v>
      </c>
      <c r="O221" s="92" t="s">
        <v>210</v>
      </c>
      <c r="P221" s="92">
        <v>-2</v>
      </c>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BA221" s="95"/>
    </row>
    <row r="222" spans="1:53" s="87" customFormat="1">
      <c r="A222" s="90" t="str">
        <f t="shared" si="51"/>
        <v/>
      </c>
      <c r="B222" s="98">
        <v>15</v>
      </c>
      <c r="C222" s="94" t="s">
        <v>210</v>
      </c>
      <c r="D222" s="94">
        <v>-5</v>
      </c>
      <c r="E222" s="94" t="s">
        <v>210</v>
      </c>
      <c r="F222" s="94">
        <v>-3</v>
      </c>
      <c r="G222" s="94">
        <v>5</v>
      </c>
      <c r="H222" s="94" t="s">
        <v>210</v>
      </c>
      <c r="I222" s="94" t="s">
        <v>210</v>
      </c>
      <c r="J222" s="94">
        <v>1</v>
      </c>
      <c r="K222" s="94" t="s">
        <v>210</v>
      </c>
      <c r="L222" s="94">
        <v>-4</v>
      </c>
      <c r="M222" s="94">
        <v>2</v>
      </c>
      <c r="N222" s="94" t="s">
        <v>210</v>
      </c>
      <c r="O222" s="94">
        <v>3</v>
      </c>
      <c r="P222" s="94" t="s">
        <v>210</v>
      </c>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BA222" s="95"/>
    </row>
    <row r="223" spans="1:53" s="87" customFormat="1">
      <c r="A223" s="90" t="str">
        <f t="shared" si="51"/>
        <v/>
      </c>
      <c r="B223" s="98">
        <v>16</v>
      </c>
      <c r="C223" s="94">
        <v>-1</v>
      </c>
      <c r="D223" s="94" t="s">
        <v>210</v>
      </c>
      <c r="E223" s="94">
        <v>-5</v>
      </c>
      <c r="F223" s="94" t="s">
        <v>210</v>
      </c>
      <c r="G223" s="94" t="s">
        <v>210</v>
      </c>
      <c r="H223" s="94">
        <v>4</v>
      </c>
      <c r="I223" s="94">
        <v>2</v>
      </c>
      <c r="J223" s="94" t="s">
        <v>210</v>
      </c>
      <c r="K223" s="94" t="s">
        <v>210</v>
      </c>
      <c r="L223" s="94">
        <v>1</v>
      </c>
      <c r="M223" s="94" t="s">
        <v>210</v>
      </c>
      <c r="N223" s="94">
        <v>-4</v>
      </c>
      <c r="O223" s="94">
        <v>-3</v>
      </c>
      <c r="P223" s="94" t="s">
        <v>210</v>
      </c>
      <c r="Q223" s="94"/>
      <c r="R223" s="94"/>
      <c r="S223" s="94"/>
      <c r="T223" s="94"/>
      <c r="U223" s="94"/>
      <c r="V223" s="94"/>
      <c r="W223" s="94"/>
      <c r="X223" s="94"/>
      <c r="Y223" s="94"/>
      <c r="Z223" s="94"/>
      <c r="AA223" s="94"/>
      <c r="AB223" s="94"/>
      <c r="AC223" s="94"/>
      <c r="AD223" s="94"/>
      <c r="AE223" s="94"/>
      <c r="AF223" s="94"/>
      <c r="AG223" s="94"/>
      <c r="AH223" s="94"/>
      <c r="AI223" s="94"/>
      <c r="AJ223" s="94"/>
      <c r="AK223" s="94"/>
      <c r="AL223" s="94"/>
      <c r="AM223" s="94"/>
      <c r="AN223" s="94"/>
      <c r="AO223" s="94"/>
      <c r="AP223" s="94"/>
      <c r="AQ223" s="94"/>
      <c r="AR223" s="94"/>
      <c r="AS223" s="94"/>
      <c r="AT223" s="94"/>
      <c r="AU223" s="94"/>
      <c r="AV223" s="94"/>
      <c r="AW223" s="94"/>
      <c r="AX223" s="94"/>
      <c r="AY223" s="94"/>
      <c r="BA223" s="95"/>
    </row>
    <row r="224" spans="1:53" s="87" customFormat="1">
      <c r="A224" s="90" t="str">
        <f t="shared" si="51"/>
        <v/>
      </c>
      <c r="B224" s="98">
        <v>17</v>
      </c>
      <c r="C224" s="94" t="s">
        <v>210</v>
      </c>
      <c r="D224" s="94">
        <v>3</v>
      </c>
      <c r="E224" s="94">
        <v>1</v>
      </c>
      <c r="F224" s="94" t="s">
        <v>210</v>
      </c>
      <c r="G224" s="94" t="s">
        <v>210</v>
      </c>
      <c r="H224" s="94">
        <v>-4</v>
      </c>
      <c r="I224" s="94" t="s">
        <v>210</v>
      </c>
      <c r="J224" s="94">
        <v>-1</v>
      </c>
      <c r="K224" s="94">
        <v>-2</v>
      </c>
      <c r="L224" s="94" t="s">
        <v>210</v>
      </c>
      <c r="M224" s="94">
        <v>-3</v>
      </c>
      <c r="N224" s="94" t="s">
        <v>210</v>
      </c>
      <c r="O224" s="94" t="s">
        <v>210</v>
      </c>
      <c r="P224" s="94">
        <v>5</v>
      </c>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BA224" s="95"/>
    </row>
    <row r="225" spans="1:53" s="87" customFormat="1">
      <c r="A225" s="90" t="str">
        <f t="shared" si="51"/>
        <v/>
      </c>
      <c r="B225" s="98">
        <v>18</v>
      </c>
      <c r="C225" s="94" t="s">
        <v>210</v>
      </c>
      <c r="D225" s="94">
        <v>4</v>
      </c>
      <c r="E225" s="94">
        <v>2</v>
      </c>
      <c r="F225" s="94" t="s">
        <v>210</v>
      </c>
      <c r="G225" s="94" t="s">
        <v>210</v>
      </c>
      <c r="H225" s="94">
        <v>5</v>
      </c>
      <c r="I225" s="94">
        <v>3</v>
      </c>
      <c r="J225" s="94" t="s">
        <v>210</v>
      </c>
      <c r="K225" s="94" t="s">
        <v>210</v>
      </c>
      <c r="L225" s="94">
        <v>-1</v>
      </c>
      <c r="M225" s="94">
        <v>-2</v>
      </c>
      <c r="N225" s="94" t="s">
        <v>210</v>
      </c>
      <c r="O225" s="94" t="s">
        <v>210</v>
      </c>
      <c r="P225" s="94">
        <v>-5</v>
      </c>
      <c r="Q225" s="94"/>
      <c r="R225" s="94"/>
      <c r="S225" s="94"/>
      <c r="T225" s="94"/>
      <c r="U225" s="94"/>
      <c r="V225" s="94"/>
      <c r="W225" s="94"/>
      <c r="X225" s="94"/>
      <c r="Y225" s="94"/>
      <c r="Z225" s="94"/>
      <c r="AA225" s="94"/>
      <c r="AB225" s="94"/>
      <c r="AC225" s="94"/>
      <c r="AD225" s="94"/>
      <c r="AE225" s="94"/>
      <c r="AF225" s="94"/>
      <c r="AG225" s="94"/>
      <c r="AH225" s="94"/>
      <c r="AI225" s="94"/>
      <c r="AJ225" s="94"/>
      <c r="AK225" s="94"/>
      <c r="AL225" s="94"/>
      <c r="AM225" s="94"/>
      <c r="AN225" s="94"/>
      <c r="AO225" s="94"/>
      <c r="AP225" s="94"/>
      <c r="AQ225" s="94"/>
      <c r="AR225" s="94"/>
      <c r="AS225" s="94"/>
      <c r="AT225" s="94"/>
      <c r="AU225" s="94"/>
      <c r="AV225" s="94"/>
      <c r="AW225" s="94"/>
      <c r="AX225" s="94"/>
      <c r="AY225" s="94"/>
      <c r="BA225" s="95"/>
    </row>
    <row r="226" spans="1:53" s="87" customFormat="1">
      <c r="A226" s="90" t="str">
        <f t="shared" si="51"/>
        <v/>
      </c>
      <c r="B226" s="98">
        <v>19</v>
      </c>
      <c r="C226" s="94" t="s">
        <v>210</v>
      </c>
      <c r="D226" s="94">
        <v>-1</v>
      </c>
      <c r="E226" s="94">
        <v>-4</v>
      </c>
      <c r="F226" s="94" t="s">
        <v>210</v>
      </c>
      <c r="G226" s="94" t="s">
        <v>210</v>
      </c>
      <c r="H226" s="94">
        <v>-5</v>
      </c>
      <c r="I226" s="94">
        <v>-2</v>
      </c>
      <c r="J226" s="94" t="s">
        <v>210</v>
      </c>
      <c r="K226" s="94" t="s">
        <v>210</v>
      </c>
      <c r="L226" s="94">
        <v>4</v>
      </c>
      <c r="M226" s="94">
        <v>3</v>
      </c>
      <c r="N226" s="94" t="s">
        <v>210</v>
      </c>
      <c r="O226" s="94" t="s">
        <v>210</v>
      </c>
      <c r="P226" s="94">
        <v>1</v>
      </c>
      <c r="Q226" s="94"/>
      <c r="R226" s="94"/>
      <c r="S226" s="94"/>
      <c r="T226" s="94"/>
      <c r="U226" s="94"/>
      <c r="V226" s="94"/>
      <c r="W226" s="94"/>
      <c r="X226" s="94"/>
      <c r="Y226" s="94"/>
      <c r="Z226" s="94"/>
      <c r="AA226" s="94"/>
      <c r="AB226" s="94"/>
      <c r="AC226" s="94"/>
      <c r="AD226" s="94"/>
      <c r="AE226" s="94"/>
      <c r="AF226" s="94"/>
      <c r="AG226" s="94"/>
      <c r="AH226" s="94"/>
      <c r="AI226" s="94"/>
      <c r="AJ226" s="94"/>
      <c r="AK226" s="94"/>
      <c r="AL226" s="94"/>
      <c r="AM226" s="94"/>
      <c r="AN226" s="94"/>
      <c r="AO226" s="94"/>
      <c r="AP226" s="94"/>
      <c r="AQ226" s="94"/>
      <c r="AR226" s="94"/>
      <c r="AS226" s="94"/>
      <c r="AT226" s="94"/>
      <c r="AU226" s="94"/>
      <c r="AV226" s="94"/>
      <c r="AW226" s="94"/>
      <c r="AX226" s="94"/>
      <c r="AY226" s="94"/>
      <c r="BA226" s="95"/>
    </row>
    <row r="227" spans="1:53" s="87" customFormat="1">
      <c r="A227" s="90" t="str">
        <f t="shared" si="51"/>
        <v/>
      </c>
      <c r="B227" s="98">
        <v>20</v>
      </c>
      <c r="C227" s="94" t="s">
        <v>210</v>
      </c>
      <c r="D227" s="94">
        <v>-2</v>
      </c>
      <c r="E227" s="94">
        <v>3</v>
      </c>
      <c r="F227" s="94" t="s">
        <v>210</v>
      </c>
      <c r="G227" s="94">
        <v>-5</v>
      </c>
      <c r="H227" s="94" t="s">
        <v>210</v>
      </c>
      <c r="I227" s="94">
        <v>-3</v>
      </c>
      <c r="J227" s="94" t="s">
        <v>210</v>
      </c>
      <c r="K227" s="94">
        <v>2</v>
      </c>
      <c r="L227" s="94" t="s">
        <v>210</v>
      </c>
      <c r="M227" s="94" t="s">
        <v>210</v>
      </c>
      <c r="N227" s="94">
        <v>4</v>
      </c>
      <c r="O227" s="94" t="s">
        <v>210</v>
      </c>
      <c r="P227" s="94">
        <v>-1</v>
      </c>
      <c r="Q227" s="94"/>
      <c r="R227" s="94"/>
      <c r="S227" s="94"/>
      <c r="T227" s="94"/>
      <c r="U227" s="94"/>
      <c r="V227" s="94"/>
      <c r="W227" s="94"/>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BA227" s="95"/>
    </row>
    <row r="228" spans="1:53" s="87" customFormat="1">
      <c r="A228" s="90" t="str">
        <f t="shared" si="51"/>
        <v/>
      </c>
      <c r="B228" s="317" t="s">
        <v>895</v>
      </c>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BA228" s="95"/>
    </row>
    <row r="229" spans="1:53" s="87" customFormat="1">
      <c r="A229" s="90">
        <f t="shared" si="51"/>
        <v>229</v>
      </c>
      <c r="B229" s="98" t="s">
        <v>319</v>
      </c>
      <c r="C229" s="94"/>
      <c r="D229" s="94"/>
      <c r="E229" s="94"/>
      <c r="F229" s="94"/>
      <c r="G229" s="94"/>
      <c r="H229" s="94"/>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BA229" s="95"/>
    </row>
    <row r="230" spans="1:53" s="87" customFormat="1">
      <c r="A230" s="90" t="str">
        <f t="shared" si="51"/>
        <v/>
      </c>
      <c r="B230" s="98">
        <v>1</v>
      </c>
      <c r="C230" s="94">
        <v>4</v>
      </c>
      <c r="D230" s="94" t="s">
        <v>210</v>
      </c>
      <c r="E230" s="94" t="s">
        <v>210</v>
      </c>
      <c r="F230" s="94">
        <v>1</v>
      </c>
      <c r="G230" s="94">
        <v>-3</v>
      </c>
      <c r="H230" s="94" t="s">
        <v>210</v>
      </c>
      <c r="I230" s="94" t="s">
        <v>210</v>
      </c>
      <c r="J230" s="94">
        <v>-5</v>
      </c>
      <c r="K230" s="94">
        <v>3</v>
      </c>
      <c r="L230" s="94" t="s">
        <v>210</v>
      </c>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c r="AW230" s="94"/>
      <c r="AX230" s="94"/>
      <c r="AY230" s="94"/>
      <c r="BA230" s="95"/>
    </row>
    <row r="231" spans="1:53" s="87" customFormat="1">
      <c r="A231" s="90" t="str">
        <f t="shared" si="51"/>
        <v/>
      </c>
      <c r="B231" s="98">
        <v>2</v>
      </c>
      <c r="C231" s="94">
        <v>-2</v>
      </c>
      <c r="D231" s="94" t="s">
        <v>210</v>
      </c>
      <c r="E231" s="94" t="s">
        <v>210</v>
      </c>
      <c r="F231" s="94">
        <v>5</v>
      </c>
      <c r="G231" s="94">
        <v>-4</v>
      </c>
      <c r="H231" s="94" t="s">
        <v>210</v>
      </c>
      <c r="I231" s="94" t="s">
        <v>210</v>
      </c>
      <c r="J231" s="94">
        <v>1</v>
      </c>
      <c r="K231" s="94">
        <v>-3</v>
      </c>
      <c r="L231" s="94" t="s">
        <v>210</v>
      </c>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BA231" s="95"/>
    </row>
    <row r="232" spans="1:53" s="87" customFormat="1">
      <c r="A232" s="90" t="str">
        <f t="shared" si="51"/>
        <v/>
      </c>
      <c r="B232" s="98">
        <v>3</v>
      </c>
      <c r="C232" s="94">
        <v>-1</v>
      </c>
      <c r="D232" s="94" t="s">
        <v>210</v>
      </c>
      <c r="E232" s="94" t="s">
        <v>210</v>
      </c>
      <c r="F232" s="94">
        <v>-5</v>
      </c>
      <c r="G232" s="94">
        <v>3</v>
      </c>
      <c r="H232" s="94" t="s">
        <v>210</v>
      </c>
      <c r="I232" s="94" t="s">
        <v>210</v>
      </c>
      <c r="J232" s="94">
        <v>2</v>
      </c>
      <c r="K232" s="94">
        <v>-4</v>
      </c>
      <c r="L232" s="94" t="s">
        <v>210</v>
      </c>
      <c r="M232" s="94"/>
      <c r="N232" s="94"/>
      <c r="O232" s="94"/>
      <c r="P232" s="94"/>
      <c r="Q232" s="94"/>
      <c r="R232" s="94"/>
      <c r="S232" s="94"/>
      <c r="T232" s="94"/>
      <c r="U232" s="94"/>
      <c r="V232" s="94"/>
      <c r="W232" s="94"/>
      <c r="X232" s="94"/>
      <c r="Y232" s="94"/>
      <c r="Z232" s="94"/>
      <c r="AA232" s="94"/>
      <c r="AB232" s="94"/>
      <c r="AC232" s="94"/>
      <c r="AD232" s="94"/>
      <c r="AE232" s="94"/>
      <c r="AF232" s="94"/>
      <c r="AG232" s="94"/>
      <c r="AH232" s="94"/>
      <c r="AI232" s="94"/>
      <c r="AJ232" s="94"/>
      <c r="AK232" s="94"/>
      <c r="AL232" s="94"/>
      <c r="AM232" s="94"/>
      <c r="AN232" s="94"/>
      <c r="AO232" s="94"/>
      <c r="AP232" s="94"/>
      <c r="AQ232" s="94"/>
      <c r="AR232" s="94"/>
      <c r="AS232" s="94"/>
      <c r="AT232" s="94"/>
      <c r="AU232" s="94"/>
      <c r="AV232" s="94"/>
      <c r="AW232" s="94"/>
      <c r="AX232" s="94"/>
      <c r="AY232" s="94"/>
      <c r="BA232" s="95"/>
    </row>
    <row r="233" spans="1:53" s="87" customFormat="1">
      <c r="A233" s="90" t="str">
        <f t="shared" si="51"/>
        <v/>
      </c>
      <c r="B233" s="98">
        <v>4</v>
      </c>
      <c r="C233" s="94">
        <v>2</v>
      </c>
      <c r="D233" s="94" t="s">
        <v>210</v>
      </c>
      <c r="E233" s="94" t="s">
        <v>210</v>
      </c>
      <c r="F233" s="94">
        <v>-3</v>
      </c>
      <c r="G233" s="94">
        <v>-1</v>
      </c>
      <c r="H233" s="94" t="s">
        <v>210</v>
      </c>
      <c r="I233" s="94" t="s">
        <v>210</v>
      </c>
      <c r="J233" s="94">
        <v>5</v>
      </c>
      <c r="K233" s="94">
        <v>4</v>
      </c>
      <c r="L233" s="94" t="s">
        <v>210</v>
      </c>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BA233" s="95"/>
    </row>
    <row r="234" spans="1:53" s="87" customFormat="1">
      <c r="A234" s="90" t="str">
        <f t="shared" si="51"/>
        <v/>
      </c>
      <c r="B234" s="99">
        <v>5</v>
      </c>
      <c r="C234" s="92">
        <v>-4</v>
      </c>
      <c r="D234" s="92" t="s">
        <v>210</v>
      </c>
      <c r="E234" s="92" t="s">
        <v>210</v>
      </c>
      <c r="F234" s="92">
        <v>3</v>
      </c>
      <c r="G234" s="92">
        <v>4</v>
      </c>
      <c r="H234" s="92" t="s">
        <v>210</v>
      </c>
      <c r="I234" s="92" t="s">
        <v>210</v>
      </c>
      <c r="J234" s="92">
        <v>-2</v>
      </c>
      <c r="K234" s="92">
        <v>-1</v>
      </c>
      <c r="L234" s="92" t="s">
        <v>210</v>
      </c>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BA234" s="95"/>
    </row>
    <row r="235" spans="1:53" s="87" customFormat="1">
      <c r="A235" s="90" t="str">
        <f t="shared" si="51"/>
        <v/>
      </c>
      <c r="B235" s="98">
        <v>6</v>
      </c>
      <c r="C235" s="94">
        <v>-5</v>
      </c>
      <c r="D235" s="94" t="s">
        <v>210</v>
      </c>
      <c r="E235" s="94" t="s">
        <v>210</v>
      </c>
      <c r="F235" s="94">
        <v>-1</v>
      </c>
      <c r="G235" s="94">
        <v>2</v>
      </c>
      <c r="H235" s="94" t="s">
        <v>210</v>
      </c>
      <c r="I235" s="94" t="s">
        <v>210</v>
      </c>
      <c r="J235" s="94">
        <v>4</v>
      </c>
      <c r="K235" s="94">
        <v>-2</v>
      </c>
      <c r="L235" s="94" t="s">
        <v>210</v>
      </c>
      <c r="M235" s="94"/>
      <c r="N235" s="94"/>
      <c r="O235" s="94"/>
      <c r="P235" s="94"/>
      <c r="Q235" s="94"/>
      <c r="R235" s="94"/>
      <c r="S235" s="94"/>
      <c r="T235" s="94"/>
      <c r="U235" s="94"/>
      <c r="V235" s="94"/>
      <c r="W235" s="94"/>
      <c r="X235" s="94"/>
      <c r="Y235" s="94"/>
      <c r="Z235" s="94"/>
      <c r="AA235" s="94"/>
      <c r="AB235" s="94"/>
      <c r="AC235" s="94"/>
      <c r="AD235" s="94"/>
      <c r="AE235" s="94"/>
      <c r="AF235" s="94"/>
      <c r="AG235" s="94"/>
      <c r="AH235" s="94"/>
      <c r="AI235" s="94"/>
      <c r="AJ235" s="94"/>
      <c r="AK235" s="94"/>
      <c r="AL235" s="94"/>
      <c r="AM235" s="94"/>
      <c r="AN235" s="94"/>
      <c r="AO235" s="94"/>
      <c r="AP235" s="94"/>
      <c r="AQ235" s="94"/>
      <c r="AR235" s="94"/>
      <c r="AS235" s="94"/>
      <c r="AT235" s="94"/>
      <c r="AU235" s="94"/>
      <c r="AV235" s="94"/>
      <c r="AW235" s="94"/>
      <c r="AX235" s="94"/>
      <c r="AY235" s="94"/>
      <c r="BA235" s="95"/>
    </row>
    <row r="236" spans="1:53" s="87" customFormat="1">
      <c r="A236" s="90" t="str">
        <f t="shared" si="51"/>
        <v/>
      </c>
      <c r="B236" s="98">
        <v>7</v>
      </c>
      <c r="C236" s="94">
        <v>3</v>
      </c>
      <c r="D236" s="94" t="s">
        <v>210</v>
      </c>
      <c r="E236" s="94" t="s">
        <v>210</v>
      </c>
      <c r="F236" s="94">
        <v>-4</v>
      </c>
      <c r="G236" s="94">
        <v>5</v>
      </c>
      <c r="H236" s="94" t="s">
        <v>210</v>
      </c>
      <c r="I236" s="94" t="s">
        <v>210</v>
      </c>
      <c r="J236" s="94">
        <v>-1</v>
      </c>
      <c r="K236" s="94">
        <v>2</v>
      </c>
      <c r="L236" s="94" t="s">
        <v>210</v>
      </c>
      <c r="M236" s="94"/>
      <c r="N236" s="94"/>
      <c r="O236" s="94"/>
      <c r="P236" s="94"/>
      <c r="Q236" s="94"/>
      <c r="R236" s="94"/>
      <c r="S236" s="94"/>
      <c r="T236" s="94"/>
      <c r="U236" s="94"/>
      <c r="V236" s="94"/>
      <c r="W236" s="94"/>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BA236" s="95"/>
    </row>
    <row r="237" spans="1:53" s="87" customFormat="1">
      <c r="A237" s="90" t="str">
        <f t="shared" si="51"/>
        <v/>
      </c>
      <c r="B237" s="98">
        <v>8</v>
      </c>
      <c r="C237" s="94">
        <v>1</v>
      </c>
      <c r="D237" s="94" t="s">
        <v>210</v>
      </c>
      <c r="E237" s="94" t="s">
        <v>210</v>
      </c>
      <c r="F237" s="94">
        <v>4</v>
      </c>
      <c r="G237" s="94">
        <v>-2</v>
      </c>
      <c r="H237" s="94" t="s">
        <v>210</v>
      </c>
      <c r="I237" s="94" t="s">
        <v>210</v>
      </c>
      <c r="J237" s="94">
        <v>-3</v>
      </c>
      <c r="K237" s="94">
        <v>5</v>
      </c>
      <c r="L237" s="94" t="s">
        <v>210</v>
      </c>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BA237" s="95"/>
    </row>
    <row r="238" spans="1:53" s="87" customFormat="1">
      <c r="A238" s="90" t="str">
        <f t="shared" si="51"/>
        <v/>
      </c>
      <c r="B238" s="98">
        <v>9</v>
      </c>
      <c r="C238" s="94">
        <v>-3</v>
      </c>
      <c r="D238" s="94" t="s">
        <v>210</v>
      </c>
      <c r="E238" s="94" t="s">
        <v>210</v>
      </c>
      <c r="F238" s="94">
        <v>2</v>
      </c>
      <c r="G238" s="94">
        <v>1</v>
      </c>
      <c r="H238" s="94" t="s">
        <v>210</v>
      </c>
      <c r="I238" s="94" t="s">
        <v>210</v>
      </c>
      <c r="J238" s="94">
        <v>-4</v>
      </c>
      <c r="K238" s="94">
        <v>-5</v>
      </c>
      <c r="L238" s="94" t="s">
        <v>210</v>
      </c>
      <c r="M238" s="94"/>
      <c r="N238" s="94"/>
      <c r="O238" s="94"/>
      <c r="P238" s="94"/>
      <c r="Q238" s="94"/>
      <c r="R238" s="94"/>
      <c r="S238" s="94"/>
      <c r="T238" s="94"/>
      <c r="U238" s="94"/>
      <c r="V238" s="94"/>
      <c r="W238" s="94"/>
      <c r="X238" s="94"/>
      <c r="Y238" s="94"/>
      <c r="Z238" s="94"/>
      <c r="AA238" s="94"/>
      <c r="AB238" s="94"/>
      <c r="AC238" s="94"/>
      <c r="AD238" s="94"/>
      <c r="AE238" s="94"/>
      <c r="AF238" s="94"/>
      <c r="AG238" s="94"/>
      <c r="AH238" s="94"/>
      <c r="AI238" s="94"/>
      <c r="AJ238" s="94"/>
      <c r="AK238" s="94"/>
      <c r="AL238" s="94"/>
      <c r="AM238" s="94"/>
      <c r="AN238" s="94"/>
      <c r="AO238" s="94"/>
      <c r="AP238" s="94"/>
      <c r="AQ238" s="94"/>
      <c r="AR238" s="94"/>
      <c r="AS238" s="94"/>
      <c r="AT238" s="94"/>
      <c r="AU238" s="94"/>
      <c r="AV238" s="94"/>
      <c r="AW238" s="94"/>
      <c r="AX238" s="94"/>
      <c r="AY238" s="94"/>
      <c r="BA238" s="95"/>
    </row>
    <row r="239" spans="1:53" s="87" customFormat="1">
      <c r="A239" s="90" t="str">
        <f t="shared" si="51"/>
        <v/>
      </c>
      <c r="B239" s="99">
        <v>10</v>
      </c>
      <c r="C239" s="92">
        <v>5</v>
      </c>
      <c r="D239" s="92" t="s">
        <v>210</v>
      </c>
      <c r="E239" s="92" t="s">
        <v>210</v>
      </c>
      <c r="F239" s="92">
        <v>-2</v>
      </c>
      <c r="G239" s="92">
        <v>-5</v>
      </c>
      <c r="H239" s="92" t="s">
        <v>210</v>
      </c>
      <c r="I239" s="92" t="s">
        <v>210</v>
      </c>
      <c r="J239" s="92">
        <v>3</v>
      </c>
      <c r="K239" s="92">
        <v>1</v>
      </c>
      <c r="L239" s="92" t="s">
        <v>210</v>
      </c>
      <c r="M239" s="94"/>
      <c r="N239" s="94"/>
      <c r="O239" s="94"/>
      <c r="P239" s="94"/>
      <c r="Q239" s="94"/>
      <c r="R239" s="94"/>
      <c r="S239" s="94"/>
      <c r="T239" s="94"/>
      <c r="U239" s="94"/>
      <c r="V239" s="94"/>
      <c r="W239" s="94"/>
      <c r="X239" s="94"/>
      <c r="Y239" s="94"/>
      <c r="Z239" s="94"/>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c r="BA239" s="95"/>
    </row>
    <row r="240" spans="1:53" s="87" customFormat="1">
      <c r="A240" s="90" t="str">
        <f t="shared" si="51"/>
        <v/>
      </c>
      <c r="B240" s="98">
        <v>11</v>
      </c>
      <c r="C240" s="94" t="s">
        <v>210</v>
      </c>
      <c r="D240" s="94">
        <v>4</v>
      </c>
      <c r="E240" s="94">
        <v>1</v>
      </c>
      <c r="F240" s="94" t="s">
        <v>210</v>
      </c>
      <c r="G240" s="94" t="s">
        <v>210</v>
      </c>
      <c r="H240" s="94">
        <v>-3</v>
      </c>
      <c r="I240" s="94">
        <v>-5</v>
      </c>
      <c r="J240" s="94" t="s">
        <v>210</v>
      </c>
      <c r="K240" s="94" t="s">
        <v>210</v>
      </c>
      <c r="L240" s="94">
        <v>3</v>
      </c>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BA240" s="95"/>
    </row>
    <row r="241" spans="1:53" s="87" customFormat="1">
      <c r="A241" s="90" t="str">
        <f t="shared" si="51"/>
        <v/>
      </c>
      <c r="B241" s="98">
        <v>12</v>
      </c>
      <c r="C241" s="94" t="s">
        <v>210</v>
      </c>
      <c r="D241" s="94">
        <v>-2</v>
      </c>
      <c r="E241" s="94">
        <v>5</v>
      </c>
      <c r="F241" s="94" t="s">
        <v>210</v>
      </c>
      <c r="G241" s="94" t="s">
        <v>210</v>
      </c>
      <c r="H241" s="94">
        <v>-4</v>
      </c>
      <c r="I241" s="94">
        <v>1</v>
      </c>
      <c r="J241" s="94" t="s">
        <v>210</v>
      </c>
      <c r="K241" s="94" t="s">
        <v>210</v>
      </c>
      <c r="L241" s="94">
        <v>-3</v>
      </c>
      <c r="M241" s="94"/>
      <c r="N241" s="94"/>
      <c r="O241" s="94"/>
      <c r="P241" s="94"/>
      <c r="Q241" s="94"/>
      <c r="R241" s="94"/>
      <c r="S241" s="94"/>
      <c r="T241" s="94"/>
      <c r="U241" s="94"/>
      <c r="V241" s="94"/>
      <c r="W241" s="94"/>
      <c r="X241" s="94"/>
      <c r="Y241" s="94"/>
      <c r="Z241" s="94"/>
      <c r="AA241" s="94"/>
      <c r="AB241" s="94"/>
      <c r="AC241" s="94"/>
      <c r="AD241" s="94"/>
      <c r="AE241" s="94"/>
      <c r="AF241" s="94"/>
      <c r="AG241" s="94"/>
      <c r="AH241" s="94"/>
      <c r="AI241" s="94"/>
      <c r="AJ241" s="94"/>
      <c r="AK241" s="94"/>
      <c r="AL241" s="94"/>
      <c r="AM241" s="94"/>
      <c r="AN241" s="94"/>
      <c r="AO241" s="94"/>
      <c r="AP241" s="94"/>
      <c r="AQ241" s="94"/>
      <c r="AR241" s="94"/>
      <c r="AS241" s="94"/>
      <c r="AT241" s="94"/>
      <c r="AU241" s="94"/>
      <c r="AV241" s="94"/>
      <c r="AW241" s="94"/>
      <c r="AX241" s="94"/>
      <c r="AY241" s="94"/>
      <c r="BA241" s="95"/>
    </row>
    <row r="242" spans="1:53" s="87" customFormat="1">
      <c r="A242" s="90" t="str">
        <f t="shared" si="51"/>
        <v/>
      </c>
      <c r="B242" s="98">
        <v>13</v>
      </c>
      <c r="C242" s="94" t="s">
        <v>210</v>
      </c>
      <c r="D242" s="94">
        <v>-1</v>
      </c>
      <c r="E242" s="94">
        <v>-5</v>
      </c>
      <c r="F242" s="94" t="s">
        <v>210</v>
      </c>
      <c r="G242" s="94" t="s">
        <v>210</v>
      </c>
      <c r="H242" s="94">
        <v>3</v>
      </c>
      <c r="I242" s="94">
        <v>2</v>
      </c>
      <c r="J242" s="94" t="s">
        <v>210</v>
      </c>
      <c r="K242" s="94" t="s">
        <v>210</v>
      </c>
      <c r="L242" s="94">
        <v>-4</v>
      </c>
      <c r="M242" s="94"/>
      <c r="N242" s="94"/>
      <c r="O242" s="94"/>
      <c r="P242" s="94"/>
      <c r="Q242" s="94"/>
      <c r="R242" s="94"/>
      <c r="S242" s="94"/>
      <c r="T242" s="94"/>
      <c r="U242" s="94"/>
      <c r="V242" s="94"/>
      <c r="W242" s="94"/>
      <c r="X242" s="94"/>
      <c r="Y242" s="94"/>
      <c r="Z242" s="94"/>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BA242" s="95"/>
    </row>
    <row r="243" spans="1:53" s="87" customFormat="1">
      <c r="A243" s="90" t="str">
        <f t="shared" si="51"/>
        <v/>
      </c>
      <c r="B243" s="98">
        <v>14</v>
      </c>
      <c r="C243" s="94" t="s">
        <v>210</v>
      </c>
      <c r="D243" s="94">
        <v>2</v>
      </c>
      <c r="E243" s="94">
        <v>-3</v>
      </c>
      <c r="F243" s="94" t="s">
        <v>210</v>
      </c>
      <c r="G243" s="94" t="s">
        <v>210</v>
      </c>
      <c r="H243" s="94">
        <v>-1</v>
      </c>
      <c r="I243" s="94">
        <v>5</v>
      </c>
      <c r="J243" s="94" t="s">
        <v>210</v>
      </c>
      <c r="K243" s="94" t="s">
        <v>210</v>
      </c>
      <c r="L243" s="94">
        <v>4</v>
      </c>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BA243" s="95"/>
    </row>
    <row r="244" spans="1:53" s="87" customFormat="1">
      <c r="A244" s="90" t="str">
        <f t="shared" si="51"/>
        <v/>
      </c>
      <c r="B244" s="99">
        <v>15</v>
      </c>
      <c r="C244" s="92" t="s">
        <v>210</v>
      </c>
      <c r="D244" s="92">
        <v>-4</v>
      </c>
      <c r="E244" s="92">
        <v>3</v>
      </c>
      <c r="F244" s="92" t="s">
        <v>210</v>
      </c>
      <c r="G244" s="92" t="s">
        <v>210</v>
      </c>
      <c r="H244" s="92">
        <v>4</v>
      </c>
      <c r="I244" s="92">
        <v>-2</v>
      </c>
      <c r="J244" s="92" t="s">
        <v>210</v>
      </c>
      <c r="K244" s="92" t="s">
        <v>210</v>
      </c>
      <c r="L244" s="92">
        <v>-1</v>
      </c>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BA244" s="95"/>
    </row>
    <row r="245" spans="1:53" s="87" customFormat="1">
      <c r="A245" s="90" t="str">
        <f t="shared" si="51"/>
        <v/>
      </c>
      <c r="B245" s="98">
        <v>16</v>
      </c>
      <c r="C245" s="94" t="s">
        <v>210</v>
      </c>
      <c r="D245" s="94">
        <v>-5</v>
      </c>
      <c r="E245" s="94">
        <v>-1</v>
      </c>
      <c r="F245" s="94" t="s">
        <v>210</v>
      </c>
      <c r="G245" s="94" t="s">
        <v>210</v>
      </c>
      <c r="H245" s="94">
        <v>2</v>
      </c>
      <c r="I245" s="94">
        <v>4</v>
      </c>
      <c r="J245" s="94" t="s">
        <v>210</v>
      </c>
      <c r="K245" s="94" t="s">
        <v>210</v>
      </c>
      <c r="L245" s="94">
        <v>-2</v>
      </c>
      <c r="M245" s="94"/>
      <c r="N245" s="94"/>
      <c r="O245" s="94"/>
      <c r="P245" s="94"/>
      <c r="Q245" s="94"/>
      <c r="R245" s="94"/>
      <c r="S245" s="94"/>
      <c r="T245" s="94"/>
      <c r="U245" s="94"/>
      <c r="V245" s="94"/>
      <c r="W245" s="94"/>
      <c r="X245" s="94"/>
      <c r="Y245" s="94"/>
      <c r="Z245" s="94"/>
      <c r="AA245" s="94"/>
      <c r="AB245" s="94"/>
      <c r="AC245" s="94"/>
      <c r="AD245" s="94"/>
      <c r="AE245" s="94"/>
      <c r="AF245" s="94"/>
      <c r="AG245" s="94"/>
      <c r="AH245" s="94"/>
      <c r="AI245" s="94"/>
      <c r="AJ245" s="94"/>
      <c r="AK245" s="94"/>
      <c r="AL245" s="94"/>
      <c r="AM245" s="94"/>
      <c r="AN245" s="94"/>
      <c r="AO245" s="94"/>
      <c r="AP245" s="94"/>
      <c r="AQ245" s="94"/>
      <c r="AR245" s="94"/>
      <c r="AS245" s="94"/>
      <c r="AT245" s="94"/>
      <c r="AU245" s="94"/>
      <c r="AV245" s="94"/>
      <c r="AW245" s="94"/>
      <c r="AX245" s="94"/>
      <c r="AY245" s="94"/>
      <c r="BA245" s="95"/>
    </row>
    <row r="246" spans="1:53" s="87" customFormat="1">
      <c r="A246" s="90" t="str">
        <f t="shared" si="51"/>
        <v/>
      </c>
      <c r="B246" s="98">
        <v>17</v>
      </c>
      <c r="C246" s="94" t="s">
        <v>210</v>
      </c>
      <c r="D246" s="94">
        <v>3</v>
      </c>
      <c r="E246" s="94">
        <v>-4</v>
      </c>
      <c r="F246" s="94" t="s">
        <v>210</v>
      </c>
      <c r="G246" s="94" t="s">
        <v>210</v>
      </c>
      <c r="H246" s="94">
        <v>5</v>
      </c>
      <c r="I246" s="94">
        <v>-1</v>
      </c>
      <c r="J246" s="94" t="s">
        <v>210</v>
      </c>
      <c r="K246" s="94" t="s">
        <v>210</v>
      </c>
      <c r="L246" s="94">
        <v>2</v>
      </c>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BA246" s="95"/>
    </row>
    <row r="247" spans="1:53" s="87" customFormat="1">
      <c r="A247" s="90" t="str">
        <f t="shared" si="51"/>
        <v/>
      </c>
      <c r="B247" s="98">
        <v>18</v>
      </c>
      <c r="C247" s="94" t="s">
        <v>210</v>
      </c>
      <c r="D247" s="94">
        <v>1</v>
      </c>
      <c r="E247" s="94">
        <v>4</v>
      </c>
      <c r="F247" s="94" t="s">
        <v>210</v>
      </c>
      <c r="G247" s="94" t="s">
        <v>210</v>
      </c>
      <c r="H247" s="94">
        <v>-2</v>
      </c>
      <c r="I247" s="94">
        <v>-3</v>
      </c>
      <c r="J247" s="94" t="s">
        <v>210</v>
      </c>
      <c r="K247" s="94" t="s">
        <v>210</v>
      </c>
      <c r="L247" s="94">
        <v>5</v>
      </c>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BA247" s="95"/>
    </row>
    <row r="248" spans="1:53" s="87" customFormat="1">
      <c r="A248" s="90" t="str">
        <f t="shared" si="51"/>
        <v/>
      </c>
      <c r="B248" s="98">
        <v>19</v>
      </c>
      <c r="C248" s="94" t="s">
        <v>210</v>
      </c>
      <c r="D248" s="94">
        <v>-3</v>
      </c>
      <c r="E248" s="94">
        <v>2</v>
      </c>
      <c r="F248" s="94" t="s">
        <v>210</v>
      </c>
      <c r="G248" s="94" t="s">
        <v>210</v>
      </c>
      <c r="H248" s="94">
        <v>1</v>
      </c>
      <c r="I248" s="94">
        <v>-4</v>
      </c>
      <c r="J248" s="94" t="s">
        <v>210</v>
      </c>
      <c r="K248" s="94" t="s">
        <v>210</v>
      </c>
      <c r="L248" s="94">
        <v>-5</v>
      </c>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BA248" s="95"/>
    </row>
    <row r="249" spans="1:53" s="87" customFormat="1">
      <c r="A249" s="90" t="str">
        <f t="shared" si="51"/>
        <v/>
      </c>
      <c r="B249" s="98">
        <v>20</v>
      </c>
      <c r="C249" s="94" t="s">
        <v>210</v>
      </c>
      <c r="D249" s="94">
        <v>5</v>
      </c>
      <c r="E249" s="94">
        <v>-2</v>
      </c>
      <c r="F249" s="94" t="s">
        <v>210</v>
      </c>
      <c r="G249" s="94" t="s">
        <v>210</v>
      </c>
      <c r="H249" s="94">
        <v>-5</v>
      </c>
      <c r="I249" s="94">
        <v>3</v>
      </c>
      <c r="J249" s="94" t="s">
        <v>210</v>
      </c>
      <c r="K249" s="94" t="s">
        <v>210</v>
      </c>
      <c r="L249" s="94">
        <v>1</v>
      </c>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BA249" s="95"/>
    </row>
    <row r="250" spans="1:53" s="87" customFormat="1">
      <c r="A250" s="90" t="str">
        <f t="shared" si="51"/>
        <v/>
      </c>
      <c r="B250" s="98" t="s">
        <v>320</v>
      </c>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BA250" s="95"/>
    </row>
    <row r="251" spans="1:53" s="87" customFormat="1">
      <c r="A251" s="90">
        <f t="shared" si="51"/>
        <v>251</v>
      </c>
      <c r="B251" s="98" t="s">
        <v>321</v>
      </c>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BA251" s="95"/>
    </row>
    <row r="252" spans="1:53" s="87" customFormat="1">
      <c r="A252" s="90" t="str">
        <f t="shared" si="51"/>
        <v/>
      </c>
      <c r="B252" s="98">
        <v>1</v>
      </c>
      <c r="C252" s="94">
        <v>2</v>
      </c>
      <c r="D252" s="94" t="s">
        <v>210</v>
      </c>
      <c r="E252" s="94" t="s">
        <v>210</v>
      </c>
      <c r="F252" s="94">
        <v>-1</v>
      </c>
      <c r="G252" s="94">
        <v>3</v>
      </c>
      <c r="H252" s="94" t="s">
        <v>210</v>
      </c>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BA252" s="95"/>
    </row>
    <row r="253" spans="1:53" s="87" customFormat="1">
      <c r="A253" s="90" t="str">
        <f t="shared" si="51"/>
        <v/>
      </c>
      <c r="B253" s="98">
        <v>2</v>
      </c>
      <c r="C253" s="94" t="s">
        <v>210</v>
      </c>
      <c r="D253" s="94">
        <v>3</v>
      </c>
      <c r="E253" s="94" t="s">
        <v>210</v>
      </c>
      <c r="F253" s="94">
        <v>5</v>
      </c>
      <c r="G253" s="94">
        <v>-3</v>
      </c>
      <c r="H253" s="94" t="s">
        <v>210</v>
      </c>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BA253" s="95"/>
    </row>
    <row r="254" spans="1:53" s="87" customFormat="1">
      <c r="A254" s="90" t="str">
        <f t="shared" si="51"/>
        <v/>
      </c>
      <c r="B254" s="98">
        <v>3</v>
      </c>
      <c r="C254" s="94">
        <v>-2</v>
      </c>
      <c r="D254" s="94" t="s">
        <v>210</v>
      </c>
      <c r="E254" s="94" t="s">
        <v>210</v>
      </c>
      <c r="F254" s="94">
        <v>-5</v>
      </c>
      <c r="G254" s="94">
        <v>4</v>
      </c>
      <c r="H254" s="94" t="s">
        <v>210</v>
      </c>
      <c r="I254" s="94"/>
      <c r="J254" s="94"/>
      <c r="K254" s="94"/>
      <c r="L254" s="94"/>
      <c r="M254" s="94"/>
      <c r="N254" s="94"/>
      <c r="O254" s="94"/>
      <c r="P254" s="94"/>
      <c r="Q254" s="94"/>
      <c r="R254" s="94"/>
      <c r="S254" s="94"/>
      <c r="T254" s="94"/>
      <c r="U254" s="94"/>
      <c r="V254" s="94"/>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BA254" s="95"/>
    </row>
    <row r="255" spans="1:53" s="87" customFormat="1">
      <c r="A255" s="90" t="str">
        <f t="shared" si="51"/>
        <v/>
      </c>
      <c r="B255" s="99">
        <v>4</v>
      </c>
      <c r="C255" s="92" t="s">
        <v>210</v>
      </c>
      <c r="D255" s="92">
        <v>-3</v>
      </c>
      <c r="E255" s="92" t="s">
        <v>210</v>
      </c>
      <c r="F255" s="92">
        <v>1</v>
      </c>
      <c r="G255" s="92">
        <v>-4</v>
      </c>
      <c r="H255" s="92" t="s">
        <v>210</v>
      </c>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BA255" s="95"/>
    </row>
    <row r="256" spans="1:53" s="87" customFormat="1">
      <c r="A256" s="90" t="str">
        <f t="shared" si="51"/>
        <v/>
      </c>
      <c r="B256" s="98">
        <v>5</v>
      </c>
      <c r="C256" s="94" t="s">
        <v>210</v>
      </c>
      <c r="D256" s="94">
        <v>-2</v>
      </c>
      <c r="E256" s="94">
        <v>1</v>
      </c>
      <c r="F256" s="94" t="s">
        <v>210</v>
      </c>
      <c r="G256" s="94">
        <v>2</v>
      </c>
      <c r="H256" s="94" t="s">
        <v>210</v>
      </c>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BA256" s="95"/>
    </row>
    <row r="257" spans="1:53" s="87" customFormat="1">
      <c r="A257" s="90" t="str">
        <f t="shared" si="51"/>
        <v/>
      </c>
      <c r="B257" s="98">
        <v>6</v>
      </c>
      <c r="C257" s="94" t="s">
        <v>210</v>
      </c>
      <c r="D257" s="94">
        <v>4</v>
      </c>
      <c r="E257" s="94">
        <v>5</v>
      </c>
      <c r="F257" s="94" t="s">
        <v>210</v>
      </c>
      <c r="G257" s="94">
        <v>-2</v>
      </c>
      <c r="H257" s="94" t="s">
        <v>210</v>
      </c>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BA257" s="95"/>
    </row>
    <row r="258" spans="1:53" s="87" customFormat="1">
      <c r="A258" s="90" t="str">
        <f t="shared" si="51"/>
        <v/>
      </c>
      <c r="B258" s="98">
        <v>7</v>
      </c>
      <c r="C258" s="94" t="s">
        <v>210</v>
      </c>
      <c r="D258" s="94">
        <v>-4</v>
      </c>
      <c r="E258" s="94">
        <v>-1</v>
      </c>
      <c r="F258" s="94" t="s">
        <v>210</v>
      </c>
      <c r="G258" s="94" t="s">
        <v>210</v>
      </c>
      <c r="H258" s="94">
        <v>3</v>
      </c>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BA258" s="95"/>
    </row>
    <row r="259" spans="1:53" s="87" customFormat="1">
      <c r="A259" s="90" t="str">
        <f t="shared" si="51"/>
        <v/>
      </c>
      <c r="B259" s="99">
        <v>8</v>
      </c>
      <c r="C259" s="92" t="s">
        <v>210</v>
      </c>
      <c r="D259" s="92">
        <v>2</v>
      </c>
      <c r="E259" s="92">
        <v>-5</v>
      </c>
      <c r="F259" s="92" t="s">
        <v>210</v>
      </c>
      <c r="G259" s="92" t="s">
        <v>210</v>
      </c>
      <c r="H259" s="92">
        <v>-3</v>
      </c>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BA259" s="95"/>
    </row>
    <row r="260" spans="1:53" s="87" customFormat="1">
      <c r="A260" s="90" t="str">
        <f t="shared" si="51"/>
        <v/>
      </c>
      <c r="B260" s="98">
        <v>9</v>
      </c>
      <c r="C260" s="94">
        <v>5</v>
      </c>
      <c r="D260" s="94" t="s">
        <v>210</v>
      </c>
      <c r="E260" s="94">
        <v>4</v>
      </c>
      <c r="F260" s="94" t="s">
        <v>210</v>
      </c>
      <c r="G260" s="94" t="s">
        <v>210</v>
      </c>
      <c r="H260" s="94">
        <v>-2</v>
      </c>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BA260" s="95"/>
    </row>
    <row r="261" spans="1:53" s="87" customFormat="1">
      <c r="A261" s="90" t="str">
        <f t="shared" si="51"/>
        <v/>
      </c>
      <c r="B261" s="98">
        <v>10</v>
      </c>
      <c r="C261" s="94">
        <v>3</v>
      </c>
      <c r="D261" s="94" t="s">
        <v>210</v>
      </c>
      <c r="E261" s="94" t="s">
        <v>210</v>
      </c>
      <c r="F261" s="94">
        <v>-4</v>
      </c>
      <c r="G261" s="94" t="s">
        <v>210</v>
      </c>
      <c r="H261" s="94">
        <v>2</v>
      </c>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BA261" s="95"/>
    </row>
    <row r="262" spans="1:53" s="87" customFormat="1">
      <c r="A262" s="90" t="str">
        <f t="shared" si="51"/>
        <v/>
      </c>
      <c r="B262" s="98">
        <v>11</v>
      </c>
      <c r="C262" s="94">
        <v>-3</v>
      </c>
      <c r="D262" s="94" t="s">
        <v>210</v>
      </c>
      <c r="E262" s="94">
        <v>-4</v>
      </c>
      <c r="F262" s="94" t="s">
        <v>210</v>
      </c>
      <c r="G262" s="94" t="s">
        <v>210</v>
      </c>
      <c r="H262" s="94">
        <v>1</v>
      </c>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BA262" s="95"/>
    </row>
    <row r="263" spans="1:53" s="87" customFormat="1">
      <c r="A263" s="90" t="str">
        <f t="shared" si="51"/>
        <v/>
      </c>
      <c r="B263" s="99">
        <v>12</v>
      </c>
      <c r="C263" s="92">
        <v>-5</v>
      </c>
      <c r="D263" s="92" t="s">
        <v>210</v>
      </c>
      <c r="E263" s="92" t="s">
        <v>210</v>
      </c>
      <c r="F263" s="92">
        <v>4</v>
      </c>
      <c r="G263" s="92" t="s">
        <v>210</v>
      </c>
      <c r="H263" s="92">
        <v>-1</v>
      </c>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BA263" s="95"/>
    </row>
    <row r="264" spans="1:53" s="87" customFormat="1">
      <c r="A264" s="90" t="str">
        <f t="shared" si="51"/>
        <v/>
      </c>
      <c r="B264" s="98">
        <v>13</v>
      </c>
      <c r="C264" s="94" t="s">
        <v>210</v>
      </c>
      <c r="D264" s="94">
        <v>-5</v>
      </c>
      <c r="E264" s="94">
        <v>3</v>
      </c>
      <c r="F264" s="94" t="s">
        <v>210</v>
      </c>
      <c r="G264" s="94" t="s">
        <v>210</v>
      </c>
      <c r="H264" s="94">
        <v>4</v>
      </c>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BA264" s="95"/>
    </row>
    <row r="265" spans="1:53" s="87" customFormat="1">
      <c r="A265" s="90" t="str">
        <f t="shared" si="51"/>
        <v/>
      </c>
      <c r="B265" s="98">
        <v>14</v>
      </c>
      <c r="C265" s="94" t="s">
        <v>210</v>
      </c>
      <c r="D265" s="94">
        <v>1</v>
      </c>
      <c r="E265" s="94">
        <v>2</v>
      </c>
      <c r="F265" s="94" t="s">
        <v>210</v>
      </c>
      <c r="G265" s="94" t="s">
        <v>210</v>
      </c>
      <c r="H265" s="94">
        <v>-4</v>
      </c>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BA265" s="95"/>
    </row>
    <row r="266" spans="1:53" s="87" customFormat="1">
      <c r="A266" s="90" t="str">
        <f t="shared" si="51"/>
        <v/>
      </c>
      <c r="B266" s="98">
        <v>15</v>
      </c>
      <c r="C266" s="94" t="s">
        <v>210</v>
      </c>
      <c r="D266" s="94">
        <v>-1</v>
      </c>
      <c r="E266" s="94">
        <v>-3</v>
      </c>
      <c r="F266" s="94" t="s">
        <v>210</v>
      </c>
      <c r="G266" s="94" t="s">
        <v>210</v>
      </c>
      <c r="H266" s="94">
        <v>5</v>
      </c>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BA266" s="95"/>
    </row>
    <row r="267" spans="1:53" s="87" customFormat="1">
      <c r="A267" s="90" t="str">
        <f t="shared" si="51"/>
        <v/>
      </c>
      <c r="B267" s="99">
        <v>16</v>
      </c>
      <c r="C267" s="92" t="s">
        <v>210</v>
      </c>
      <c r="D267" s="92">
        <v>5</v>
      </c>
      <c r="E267" s="92">
        <v>-2</v>
      </c>
      <c r="F267" s="92" t="s">
        <v>210</v>
      </c>
      <c r="G267" s="92" t="s">
        <v>210</v>
      </c>
      <c r="H267" s="92">
        <v>-5</v>
      </c>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BA267" s="95"/>
    </row>
    <row r="268" spans="1:53" s="87" customFormat="1">
      <c r="A268" s="90" t="str">
        <f t="shared" ref="A268:A331" si="52">IF(MID(B268,3,2)="05",ROW(),"")</f>
        <v/>
      </c>
      <c r="B268" s="98">
        <v>17</v>
      </c>
      <c r="C268" s="94">
        <v>-4</v>
      </c>
      <c r="D268" s="94" t="s">
        <v>210</v>
      </c>
      <c r="E268" s="94" t="s">
        <v>210</v>
      </c>
      <c r="F268" s="94">
        <v>3</v>
      </c>
      <c r="G268" s="94">
        <v>5</v>
      </c>
      <c r="H268" s="94" t="s">
        <v>210</v>
      </c>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BA268" s="95"/>
    </row>
    <row r="269" spans="1:53" s="87" customFormat="1">
      <c r="A269" s="90" t="str">
        <f t="shared" si="52"/>
        <v/>
      </c>
      <c r="B269" s="98">
        <v>18</v>
      </c>
      <c r="C269" s="94">
        <v>1</v>
      </c>
      <c r="D269" s="94" t="s">
        <v>210</v>
      </c>
      <c r="E269" s="94" t="s">
        <v>210</v>
      </c>
      <c r="F269" s="94">
        <v>2</v>
      </c>
      <c r="G269" s="94">
        <v>-5</v>
      </c>
      <c r="H269" s="94" t="s">
        <v>210</v>
      </c>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BA269" s="95"/>
    </row>
    <row r="270" spans="1:53" s="87" customFormat="1">
      <c r="A270" s="90" t="str">
        <f t="shared" si="52"/>
        <v/>
      </c>
      <c r="B270" s="98">
        <v>19</v>
      </c>
      <c r="C270" s="94">
        <v>4</v>
      </c>
      <c r="D270" s="94" t="s">
        <v>210</v>
      </c>
      <c r="E270" s="94" t="s">
        <v>210</v>
      </c>
      <c r="F270" s="94">
        <v>-2</v>
      </c>
      <c r="G270" s="94">
        <v>-1</v>
      </c>
      <c r="H270" s="94" t="s">
        <v>210</v>
      </c>
      <c r="I270" s="94"/>
      <c r="J270" s="94"/>
      <c r="K270" s="94"/>
      <c r="L270" s="94"/>
      <c r="M270" s="94"/>
      <c r="N270" s="94"/>
      <c r="O270" s="94"/>
      <c r="P270" s="94"/>
      <c r="Q270" s="94"/>
      <c r="R270" s="94"/>
      <c r="S270" s="94"/>
      <c r="T270" s="94"/>
      <c r="U270" s="94"/>
      <c r="V270" s="94"/>
      <c r="W270" s="94"/>
      <c r="X270" s="94"/>
      <c r="Y270" s="94"/>
      <c r="Z270" s="94"/>
      <c r="AA270" s="94"/>
      <c r="AB270" s="94"/>
      <c r="AC270" s="94"/>
      <c r="AD270" s="94"/>
      <c r="AE270" s="94"/>
      <c r="AF270" s="94"/>
      <c r="AG270" s="94"/>
      <c r="AH270" s="94"/>
      <c r="AI270" s="94"/>
      <c r="AJ270" s="94"/>
      <c r="AK270" s="94"/>
      <c r="AL270" s="94"/>
      <c r="AM270" s="94"/>
      <c r="AN270" s="94"/>
      <c r="AO270" s="94"/>
      <c r="AP270" s="94"/>
      <c r="AQ270" s="94"/>
      <c r="AR270" s="94"/>
      <c r="AS270" s="94"/>
      <c r="AT270" s="94"/>
      <c r="AU270" s="94"/>
      <c r="AV270" s="94"/>
      <c r="AW270" s="94"/>
      <c r="AX270" s="94"/>
      <c r="AY270" s="94"/>
      <c r="BA270" s="95"/>
    </row>
    <row r="271" spans="1:53" s="87" customFormat="1">
      <c r="A271" s="90" t="str">
        <f t="shared" si="52"/>
        <v/>
      </c>
      <c r="B271" s="98">
        <v>20</v>
      </c>
      <c r="C271" s="94">
        <v>-1</v>
      </c>
      <c r="D271" s="94" t="s">
        <v>210</v>
      </c>
      <c r="E271" s="94" t="s">
        <v>210</v>
      </c>
      <c r="F271" s="94">
        <v>-3</v>
      </c>
      <c r="G271" s="94">
        <v>1</v>
      </c>
      <c r="H271" s="94" t="s">
        <v>210</v>
      </c>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BA271" s="95"/>
    </row>
    <row r="272" spans="1:53" s="87" customFormat="1">
      <c r="A272" s="90" t="str">
        <f t="shared" si="52"/>
        <v/>
      </c>
      <c r="B272" s="98" t="s">
        <v>322</v>
      </c>
      <c r="C272" s="94"/>
      <c r="D272" s="94"/>
      <c r="E272" s="94"/>
      <c r="F272" s="94"/>
      <c r="G272" s="94"/>
      <c r="H272" s="94"/>
      <c r="I272" s="94"/>
      <c r="J272" s="94"/>
      <c r="K272" s="94"/>
      <c r="L272" s="94"/>
      <c r="M272" s="94"/>
      <c r="N272" s="94"/>
      <c r="O272" s="94"/>
      <c r="P272" s="94"/>
      <c r="Q272" s="94"/>
      <c r="R272" s="94"/>
      <c r="S272" s="94"/>
      <c r="T272" s="94"/>
      <c r="U272" s="94"/>
      <c r="V272" s="94"/>
      <c r="W272" s="94"/>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BA272" s="95"/>
    </row>
    <row r="273" spans="1:53" s="87" customFormat="1">
      <c r="A273" s="90">
        <f t="shared" si="52"/>
        <v>273</v>
      </c>
      <c r="B273" s="98" t="s">
        <v>323</v>
      </c>
      <c r="C273" s="94"/>
      <c r="D273" s="94"/>
      <c r="E273" s="94"/>
      <c r="F273" s="94"/>
      <c r="G273" s="94"/>
      <c r="H273" s="94"/>
      <c r="I273" s="94"/>
      <c r="J273" s="94"/>
      <c r="K273" s="94"/>
      <c r="L273" s="94"/>
      <c r="M273" s="94"/>
      <c r="N273" s="94"/>
      <c r="O273" s="94"/>
      <c r="P273" s="94"/>
      <c r="Q273" s="94"/>
      <c r="R273" s="94"/>
      <c r="S273" s="94"/>
      <c r="T273" s="94"/>
      <c r="U273" s="94"/>
      <c r="V273" s="94"/>
      <c r="W273" s="94"/>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BA273" s="95"/>
    </row>
    <row r="274" spans="1:53" s="87" customFormat="1">
      <c r="A274" s="90" t="str">
        <f t="shared" si="52"/>
        <v/>
      </c>
      <c r="B274" s="98">
        <v>1</v>
      </c>
      <c r="C274" s="94">
        <v>-1</v>
      </c>
      <c r="D274" s="94" t="s">
        <v>210</v>
      </c>
      <c r="E274" s="94" t="s">
        <v>210</v>
      </c>
      <c r="F274" s="94">
        <v>-3</v>
      </c>
      <c r="G274" s="94">
        <v>5</v>
      </c>
      <c r="H274" s="94" t="s">
        <v>210</v>
      </c>
      <c r="I274" s="94" t="s">
        <v>210</v>
      </c>
      <c r="J274" s="94" t="s">
        <v>210</v>
      </c>
      <c r="K274" s="94">
        <v>4</v>
      </c>
      <c r="L274" s="94" t="s">
        <v>210</v>
      </c>
      <c r="M274" s="94" t="s">
        <v>210</v>
      </c>
      <c r="N274" s="94">
        <v>-2</v>
      </c>
      <c r="O274" s="94">
        <v>-5</v>
      </c>
      <c r="P274" s="94" t="s">
        <v>210</v>
      </c>
      <c r="Q274" s="94" t="s">
        <v>210</v>
      </c>
      <c r="R274" s="94">
        <v>-4</v>
      </c>
      <c r="S274" s="94">
        <v>1</v>
      </c>
      <c r="T274" s="94" t="s">
        <v>210</v>
      </c>
      <c r="U274" s="94" t="s">
        <v>210</v>
      </c>
      <c r="V274" s="94">
        <v>3</v>
      </c>
      <c r="W274" s="94">
        <v>2</v>
      </c>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BA274" s="95"/>
    </row>
    <row r="275" spans="1:53" s="87" customFormat="1">
      <c r="A275" s="90" t="str">
        <f t="shared" si="52"/>
        <v/>
      </c>
      <c r="B275" s="98">
        <v>2</v>
      </c>
      <c r="C275" s="94">
        <v>3</v>
      </c>
      <c r="D275" s="94" t="s">
        <v>210</v>
      </c>
      <c r="E275" s="94" t="s">
        <v>210</v>
      </c>
      <c r="F275" s="94">
        <v>1</v>
      </c>
      <c r="G275" s="94">
        <v>-4</v>
      </c>
      <c r="H275" s="94" t="s">
        <v>210</v>
      </c>
      <c r="I275" s="94" t="s">
        <v>210</v>
      </c>
      <c r="J275" s="94">
        <v>2</v>
      </c>
      <c r="K275" s="94">
        <v>5</v>
      </c>
      <c r="L275" s="94" t="s">
        <v>210</v>
      </c>
      <c r="M275" s="94" t="s">
        <v>210</v>
      </c>
      <c r="N275" s="94">
        <v>4</v>
      </c>
      <c r="O275" s="94" t="s">
        <v>210</v>
      </c>
      <c r="P275" s="94" t="s">
        <v>210</v>
      </c>
      <c r="Q275" s="94" t="s">
        <v>210</v>
      </c>
      <c r="R275" s="94">
        <v>-1</v>
      </c>
      <c r="S275" s="94">
        <v>-3</v>
      </c>
      <c r="T275" s="94" t="s">
        <v>210</v>
      </c>
      <c r="U275" s="94" t="s">
        <v>210</v>
      </c>
      <c r="V275" s="94">
        <v>-5</v>
      </c>
      <c r="W275" s="94">
        <v>-2</v>
      </c>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BA275" s="95"/>
    </row>
    <row r="276" spans="1:53" s="87" customFormat="1">
      <c r="A276" s="90" t="str">
        <f t="shared" si="52"/>
        <v/>
      </c>
      <c r="B276" s="98">
        <v>3</v>
      </c>
      <c r="C276" s="94">
        <v>4</v>
      </c>
      <c r="D276" s="94" t="s">
        <v>210</v>
      </c>
      <c r="E276" s="94" t="s">
        <v>210</v>
      </c>
      <c r="F276" s="94">
        <v>-2</v>
      </c>
      <c r="G276" s="94">
        <v>1</v>
      </c>
      <c r="H276" s="94" t="s">
        <v>210</v>
      </c>
      <c r="I276" s="94" t="s">
        <v>210</v>
      </c>
      <c r="J276" s="94">
        <v>3</v>
      </c>
      <c r="K276" s="94">
        <v>-5</v>
      </c>
      <c r="L276" s="94" t="s">
        <v>210</v>
      </c>
      <c r="M276" s="94" t="s">
        <v>210</v>
      </c>
      <c r="N276" s="94">
        <v>2</v>
      </c>
      <c r="O276" s="94">
        <v>-1</v>
      </c>
      <c r="P276" s="94" t="s">
        <v>210</v>
      </c>
      <c r="Q276" s="94" t="s">
        <v>210</v>
      </c>
      <c r="R276" s="94">
        <v>-3</v>
      </c>
      <c r="S276" s="94">
        <v>5</v>
      </c>
      <c r="T276" s="94" t="s">
        <v>210</v>
      </c>
      <c r="U276" s="94" t="s">
        <v>210</v>
      </c>
      <c r="V276" s="94" t="s">
        <v>210</v>
      </c>
      <c r="W276" s="94">
        <v>-4</v>
      </c>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BA276" s="95"/>
    </row>
    <row r="277" spans="1:53" s="87" customFormat="1">
      <c r="A277" s="90" t="str">
        <f t="shared" si="52"/>
        <v/>
      </c>
      <c r="B277" s="98">
        <v>4</v>
      </c>
      <c r="C277" s="94">
        <v>-3</v>
      </c>
      <c r="D277" s="94" t="s">
        <v>210</v>
      </c>
      <c r="E277" s="94" t="s">
        <v>210</v>
      </c>
      <c r="F277" s="94">
        <v>-5</v>
      </c>
      <c r="G277" s="94">
        <v>2</v>
      </c>
      <c r="H277" s="94" t="s">
        <v>210</v>
      </c>
      <c r="I277" s="94" t="s">
        <v>210</v>
      </c>
      <c r="J277" s="94">
        <v>-4</v>
      </c>
      <c r="K277" s="94">
        <v>-1</v>
      </c>
      <c r="L277" s="94" t="s">
        <v>210</v>
      </c>
      <c r="M277" s="94" t="s">
        <v>210</v>
      </c>
      <c r="N277" s="94">
        <v>3</v>
      </c>
      <c r="O277" s="94">
        <v>5</v>
      </c>
      <c r="P277" s="94" t="s">
        <v>210</v>
      </c>
      <c r="Q277" s="94" t="s">
        <v>210</v>
      </c>
      <c r="R277" s="94">
        <v>-2</v>
      </c>
      <c r="S277" s="94" t="s">
        <v>210</v>
      </c>
      <c r="T277" s="94" t="s">
        <v>210</v>
      </c>
      <c r="U277" s="94" t="s">
        <v>210</v>
      </c>
      <c r="V277" s="94">
        <v>1</v>
      </c>
      <c r="W277" s="94">
        <v>4</v>
      </c>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BA277" s="95"/>
    </row>
    <row r="278" spans="1:53" s="87" customFormat="1">
      <c r="A278" s="90" t="str">
        <f t="shared" si="52"/>
        <v/>
      </c>
      <c r="B278" s="98">
        <v>5</v>
      </c>
      <c r="C278" s="94">
        <v>-5</v>
      </c>
      <c r="D278" s="94" t="s">
        <v>210</v>
      </c>
      <c r="E278" s="94" t="s">
        <v>210</v>
      </c>
      <c r="F278" s="94">
        <v>-4</v>
      </c>
      <c r="G278" s="94" t="s">
        <v>210</v>
      </c>
      <c r="H278" s="94" t="s">
        <v>210</v>
      </c>
      <c r="I278" s="94" t="s">
        <v>210</v>
      </c>
      <c r="J278" s="94">
        <v>-1</v>
      </c>
      <c r="K278" s="94">
        <v>2</v>
      </c>
      <c r="L278" s="94" t="s">
        <v>210</v>
      </c>
      <c r="M278" s="94" t="s">
        <v>210</v>
      </c>
      <c r="N278" s="94">
        <v>-3</v>
      </c>
      <c r="O278" s="94">
        <v>1</v>
      </c>
      <c r="P278" s="94" t="s">
        <v>210</v>
      </c>
      <c r="Q278" s="94" t="s">
        <v>210</v>
      </c>
      <c r="R278" s="94">
        <v>4</v>
      </c>
      <c r="S278" s="94">
        <v>-2</v>
      </c>
      <c r="T278" s="94" t="s">
        <v>210</v>
      </c>
      <c r="U278" s="94" t="s">
        <v>210</v>
      </c>
      <c r="V278" s="94">
        <v>5</v>
      </c>
      <c r="W278" s="94">
        <v>3</v>
      </c>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BA278" s="95"/>
    </row>
    <row r="279" spans="1:53" s="87" customFormat="1">
      <c r="A279" s="90" t="str">
        <f t="shared" si="52"/>
        <v/>
      </c>
      <c r="B279" s="98">
        <v>6</v>
      </c>
      <c r="C279" s="94">
        <v>1</v>
      </c>
      <c r="D279" s="94" t="s">
        <v>210</v>
      </c>
      <c r="E279" s="94" t="s">
        <v>210</v>
      </c>
      <c r="F279" s="94">
        <v>2</v>
      </c>
      <c r="G279" s="94">
        <v>3</v>
      </c>
      <c r="H279" s="94" t="s">
        <v>210</v>
      </c>
      <c r="I279" s="94" t="s">
        <v>210</v>
      </c>
      <c r="J279" s="94">
        <v>5</v>
      </c>
      <c r="K279" s="94" t="s">
        <v>210</v>
      </c>
      <c r="L279" s="94" t="s">
        <v>210</v>
      </c>
      <c r="M279" s="94" t="s">
        <v>210</v>
      </c>
      <c r="N279" s="94">
        <v>-4</v>
      </c>
      <c r="O279" s="94">
        <v>-2</v>
      </c>
      <c r="P279" s="94" t="s">
        <v>210</v>
      </c>
      <c r="Q279" s="94" t="s">
        <v>210</v>
      </c>
      <c r="R279" s="94">
        <v>-5</v>
      </c>
      <c r="S279" s="94">
        <v>4</v>
      </c>
      <c r="T279" s="94" t="s">
        <v>210</v>
      </c>
      <c r="U279" s="94" t="s">
        <v>210</v>
      </c>
      <c r="V279" s="94">
        <v>-1</v>
      </c>
      <c r="W279" s="94">
        <v>-3</v>
      </c>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BA279" s="95"/>
    </row>
    <row r="280" spans="1:53" s="87" customFormat="1">
      <c r="A280" s="90" t="str">
        <f t="shared" si="52"/>
        <v/>
      </c>
      <c r="B280" s="98">
        <v>7</v>
      </c>
      <c r="C280" s="94" t="s">
        <v>210</v>
      </c>
      <c r="D280" s="94" t="s">
        <v>210</v>
      </c>
      <c r="E280" s="94" t="s">
        <v>210</v>
      </c>
      <c r="F280" s="94">
        <v>3</v>
      </c>
      <c r="G280" s="94">
        <v>-1</v>
      </c>
      <c r="H280" s="94" t="s">
        <v>210</v>
      </c>
      <c r="I280" s="94" t="s">
        <v>210</v>
      </c>
      <c r="J280" s="94">
        <v>4</v>
      </c>
      <c r="K280" s="94">
        <v>-2</v>
      </c>
      <c r="L280" s="94" t="s">
        <v>210</v>
      </c>
      <c r="M280" s="94" t="s">
        <v>210</v>
      </c>
      <c r="N280" s="94">
        <v>5</v>
      </c>
      <c r="O280" s="94">
        <v>-3</v>
      </c>
      <c r="P280" s="94" t="s">
        <v>210</v>
      </c>
      <c r="Q280" s="94" t="s">
        <v>210</v>
      </c>
      <c r="R280" s="94">
        <v>1</v>
      </c>
      <c r="S280" s="94">
        <v>-4</v>
      </c>
      <c r="T280" s="94" t="s">
        <v>210</v>
      </c>
      <c r="U280" s="94" t="s">
        <v>210</v>
      </c>
      <c r="V280" s="94">
        <v>2</v>
      </c>
      <c r="W280" s="94">
        <v>-5</v>
      </c>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BA280" s="95"/>
    </row>
    <row r="281" spans="1:53" s="87" customFormat="1">
      <c r="A281" s="90" t="str">
        <f t="shared" si="52"/>
        <v/>
      </c>
      <c r="B281" s="98">
        <v>8</v>
      </c>
      <c r="C281" s="94">
        <v>-4</v>
      </c>
      <c r="D281" s="94" t="s">
        <v>210</v>
      </c>
      <c r="E281" s="94" t="s">
        <v>210</v>
      </c>
      <c r="F281" s="94">
        <v>-1</v>
      </c>
      <c r="G281" s="94">
        <v>-2</v>
      </c>
      <c r="H281" s="94" t="s">
        <v>210</v>
      </c>
      <c r="I281" s="94" t="s">
        <v>210</v>
      </c>
      <c r="J281" s="94">
        <v>-5</v>
      </c>
      <c r="K281" s="94">
        <v>3</v>
      </c>
      <c r="L281" s="94" t="s">
        <v>210</v>
      </c>
      <c r="M281" s="94" t="s">
        <v>210</v>
      </c>
      <c r="N281" s="94">
        <v>1</v>
      </c>
      <c r="O281" s="94">
        <v>4</v>
      </c>
      <c r="P281" s="94" t="s">
        <v>210</v>
      </c>
      <c r="Q281" s="94" t="s">
        <v>210</v>
      </c>
      <c r="R281" s="94" t="s">
        <v>210</v>
      </c>
      <c r="S281" s="94">
        <v>2</v>
      </c>
      <c r="T281" s="94" t="s">
        <v>210</v>
      </c>
      <c r="U281" s="94" t="s">
        <v>210</v>
      </c>
      <c r="V281" s="94">
        <v>-3</v>
      </c>
      <c r="W281" s="94">
        <v>5</v>
      </c>
      <c r="X281" s="94"/>
      <c r="Y281" s="94"/>
      <c r="Z281" s="94"/>
      <c r="AA281" s="94"/>
      <c r="AB281" s="94"/>
      <c r="AC281" s="94"/>
      <c r="AD281" s="94"/>
      <c r="AE281" s="94"/>
      <c r="AF281" s="94"/>
      <c r="AG281" s="94"/>
      <c r="AH281" s="94"/>
      <c r="AI281" s="94"/>
      <c r="AJ281" s="94"/>
      <c r="AK281" s="94"/>
      <c r="AL281" s="94"/>
      <c r="AM281" s="94"/>
      <c r="AN281" s="94"/>
      <c r="AO281" s="94"/>
      <c r="AP281" s="94"/>
      <c r="AQ281" s="94"/>
      <c r="AR281" s="94"/>
      <c r="AS281" s="94"/>
      <c r="AT281" s="94"/>
      <c r="AU281" s="94"/>
      <c r="AV281" s="94"/>
      <c r="AW281" s="94"/>
      <c r="AX281" s="94"/>
      <c r="AY281" s="94"/>
      <c r="BA281" s="95"/>
    </row>
    <row r="282" spans="1:53" s="87" customFormat="1">
      <c r="A282" s="90" t="str">
        <f t="shared" si="52"/>
        <v/>
      </c>
      <c r="B282" s="98">
        <v>9</v>
      </c>
      <c r="C282" s="94">
        <v>5</v>
      </c>
      <c r="D282" s="94" t="s">
        <v>210</v>
      </c>
      <c r="E282" s="94" t="s">
        <v>210</v>
      </c>
      <c r="F282" s="94" t="s">
        <v>210</v>
      </c>
      <c r="G282" s="94">
        <v>-3</v>
      </c>
      <c r="H282" s="94" t="s">
        <v>210</v>
      </c>
      <c r="I282" s="94" t="s">
        <v>210</v>
      </c>
      <c r="J282" s="94">
        <v>-2</v>
      </c>
      <c r="K282" s="94">
        <v>-4</v>
      </c>
      <c r="L282" s="94" t="s">
        <v>210</v>
      </c>
      <c r="M282" s="94" t="s">
        <v>210</v>
      </c>
      <c r="N282" s="94">
        <v>-1</v>
      </c>
      <c r="O282" s="94">
        <v>3</v>
      </c>
      <c r="P282" s="94" t="s">
        <v>210</v>
      </c>
      <c r="Q282" s="94" t="s">
        <v>210</v>
      </c>
      <c r="R282" s="94">
        <v>2</v>
      </c>
      <c r="S282" s="94">
        <v>-5</v>
      </c>
      <c r="T282" s="94" t="s">
        <v>210</v>
      </c>
      <c r="U282" s="94" t="s">
        <v>210</v>
      </c>
      <c r="V282" s="94">
        <v>4</v>
      </c>
      <c r="W282" s="94">
        <v>1</v>
      </c>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BA282" s="95"/>
    </row>
    <row r="283" spans="1:53" s="87" customFormat="1">
      <c r="A283" s="90" t="str">
        <f t="shared" si="52"/>
        <v/>
      </c>
      <c r="B283" s="98">
        <v>10</v>
      </c>
      <c r="C283" s="94">
        <v>2</v>
      </c>
      <c r="D283" s="94" t="s">
        <v>210</v>
      </c>
      <c r="E283" s="94" t="s">
        <v>210</v>
      </c>
      <c r="F283" s="94">
        <v>4</v>
      </c>
      <c r="G283" s="94">
        <v>-5</v>
      </c>
      <c r="H283" s="94" t="s">
        <v>210</v>
      </c>
      <c r="I283" s="94" t="s">
        <v>210</v>
      </c>
      <c r="J283" s="94">
        <v>-3</v>
      </c>
      <c r="K283" s="94">
        <v>1</v>
      </c>
      <c r="L283" s="94" t="s">
        <v>210</v>
      </c>
      <c r="M283" s="94" t="s">
        <v>210</v>
      </c>
      <c r="N283" s="94" t="s">
        <v>210</v>
      </c>
      <c r="O283" s="94">
        <v>-4</v>
      </c>
      <c r="P283" s="94" t="s">
        <v>210</v>
      </c>
      <c r="Q283" s="94" t="s">
        <v>210</v>
      </c>
      <c r="R283" s="94">
        <v>5</v>
      </c>
      <c r="S283" s="94">
        <v>3</v>
      </c>
      <c r="T283" s="94" t="s">
        <v>210</v>
      </c>
      <c r="U283" s="94" t="s">
        <v>210</v>
      </c>
      <c r="V283" s="94">
        <v>-2</v>
      </c>
      <c r="W283" s="94">
        <v>-1</v>
      </c>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BA283" s="95"/>
    </row>
    <row r="284" spans="1:53" s="87" customFormat="1">
      <c r="A284" s="90" t="str">
        <f t="shared" si="52"/>
        <v/>
      </c>
      <c r="B284" s="99">
        <v>11</v>
      </c>
      <c r="C284" s="92">
        <v>-2</v>
      </c>
      <c r="D284" s="92" t="s">
        <v>210</v>
      </c>
      <c r="E284" s="92" t="s">
        <v>210</v>
      </c>
      <c r="F284" s="92">
        <v>5</v>
      </c>
      <c r="G284" s="92">
        <v>4</v>
      </c>
      <c r="H284" s="92" t="s">
        <v>210</v>
      </c>
      <c r="I284" s="92" t="s">
        <v>210</v>
      </c>
      <c r="J284" s="92">
        <v>1</v>
      </c>
      <c r="K284" s="92">
        <v>-3</v>
      </c>
      <c r="L284" s="92" t="s">
        <v>210</v>
      </c>
      <c r="M284" s="92" t="s">
        <v>210</v>
      </c>
      <c r="N284" s="92">
        <v>-5</v>
      </c>
      <c r="O284" s="92">
        <v>2</v>
      </c>
      <c r="P284" s="92" t="s">
        <v>210</v>
      </c>
      <c r="Q284" s="92" t="s">
        <v>210</v>
      </c>
      <c r="R284" s="92">
        <v>3</v>
      </c>
      <c r="S284" s="92">
        <v>-1</v>
      </c>
      <c r="T284" s="92" t="s">
        <v>210</v>
      </c>
      <c r="U284" s="92" t="s">
        <v>210</v>
      </c>
      <c r="V284" s="92">
        <v>-4</v>
      </c>
      <c r="W284" s="92" t="s">
        <v>210</v>
      </c>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BA284" s="95"/>
    </row>
    <row r="285" spans="1:53" s="87" customFormat="1">
      <c r="A285" s="90" t="str">
        <f t="shared" si="52"/>
        <v/>
      </c>
      <c r="B285" s="98">
        <v>12</v>
      </c>
      <c r="C285" s="94" t="s">
        <v>210</v>
      </c>
      <c r="D285" s="94">
        <v>1</v>
      </c>
      <c r="E285" s="94">
        <v>2</v>
      </c>
      <c r="F285" s="94" t="s">
        <v>210</v>
      </c>
      <c r="G285" s="94" t="s">
        <v>210</v>
      </c>
      <c r="H285" s="94">
        <v>-5</v>
      </c>
      <c r="I285" s="94">
        <v>-4</v>
      </c>
      <c r="J285" s="94" t="s">
        <v>210</v>
      </c>
      <c r="K285" s="94" t="s">
        <v>210</v>
      </c>
      <c r="L285" s="94">
        <v>3</v>
      </c>
      <c r="M285" s="94">
        <v>5</v>
      </c>
      <c r="N285" s="94" t="s">
        <v>210</v>
      </c>
      <c r="O285" s="94" t="s">
        <v>210</v>
      </c>
      <c r="P285" s="94">
        <v>4</v>
      </c>
      <c r="Q285" s="94">
        <v>-1</v>
      </c>
      <c r="R285" s="94" t="s">
        <v>210</v>
      </c>
      <c r="S285" s="94" t="s">
        <v>210</v>
      </c>
      <c r="T285" s="94">
        <v>-3</v>
      </c>
      <c r="U285" s="94">
        <v>-2</v>
      </c>
      <c r="V285" s="94" t="s">
        <v>210</v>
      </c>
      <c r="W285" s="94" t="s">
        <v>210</v>
      </c>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BA285" s="95"/>
    </row>
    <row r="286" spans="1:53" s="87" customFormat="1">
      <c r="A286" s="90" t="str">
        <f t="shared" si="52"/>
        <v/>
      </c>
      <c r="B286" s="98">
        <v>13</v>
      </c>
      <c r="C286" s="94" t="s">
        <v>210</v>
      </c>
      <c r="D286" s="94">
        <v>-1</v>
      </c>
      <c r="E286" s="94">
        <v>3</v>
      </c>
      <c r="F286" s="94" t="s">
        <v>210</v>
      </c>
      <c r="G286" s="94" t="s">
        <v>210</v>
      </c>
      <c r="H286" s="94">
        <v>-4</v>
      </c>
      <c r="I286" s="94">
        <v>-5</v>
      </c>
      <c r="J286" s="94" t="s">
        <v>210</v>
      </c>
      <c r="K286" s="94" t="s">
        <v>210</v>
      </c>
      <c r="L286" s="94">
        <v>-2</v>
      </c>
      <c r="M286" s="94">
        <v>1</v>
      </c>
      <c r="N286" s="94" t="s">
        <v>210</v>
      </c>
      <c r="O286" s="94" t="s">
        <v>210</v>
      </c>
      <c r="P286" s="94">
        <v>-3</v>
      </c>
      <c r="Q286" s="94">
        <v>5</v>
      </c>
      <c r="R286" s="94" t="s">
        <v>210</v>
      </c>
      <c r="S286" s="94" t="s">
        <v>210</v>
      </c>
      <c r="T286" s="94">
        <v>4</v>
      </c>
      <c r="U286" s="94">
        <v>2</v>
      </c>
      <c r="V286" s="94" t="s">
        <v>210</v>
      </c>
      <c r="W286" s="94" t="s">
        <v>210</v>
      </c>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BA286" s="95"/>
    </row>
    <row r="287" spans="1:53" s="87" customFormat="1">
      <c r="A287" s="90" t="str">
        <f t="shared" si="52"/>
        <v/>
      </c>
      <c r="B287" s="98">
        <v>14</v>
      </c>
      <c r="C287" s="94" t="s">
        <v>210</v>
      </c>
      <c r="D287" s="94">
        <v>-5</v>
      </c>
      <c r="E287" s="94">
        <v>-2</v>
      </c>
      <c r="F287" s="94" t="s">
        <v>210</v>
      </c>
      <c r="G287" s="94" t="s">
        <v>210</v>
      </c>
      <c r="H287" s="94">
        <v>1</v>
      </c>
      <c r="I287" s="94">
        <v>3</v>
      </c>
      <c r="J287" s="94" t="s">
        <v>210</v>
      </c>
      <c r="K287" s="94" t="s">
        <v>210</v>
      </c>
      <c r="L287" s="94">
        <v>-4</v>
      </c>
      <c r="M287" s="94">
        <v>-1</v>
      </c>
      <c r="N287" s="94" t="s">
        <v>210</v>
      </c>
      <c r="O287" s="94" t="s">
        <v>210</v>
      </c>
      <c r="P287" s="94">
        <v>2</v>
      </c>
      <c r="Q287" s="94">
        <v>-3</v>
      </c>
      <c r="R287" s="94" t="s">
        <v>210</v>
      </c>
      <c r="S287" s="94" t="s">
        <v>210</v>
      </c>
      <c r="T287" s="94">
        <v>5</v>
      </c>
      <c r="U287" s="94">
        <v>4</v>
      </c>
      <c r="V287" s="94" t="s">
        <v>210</v>
      </c>
      <c r="W287" s="94" t="s">
        <v>210</v>
      </c>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BA287" s="95"/>
    </row>
    <row r="288" spans="1:53" s="87" customFormat="1">
      <c r="A288" s="90" t="str">
        <f t="shared" si="52"/>
        <v/>
      </c>
      <c r="B288" s="98">
        <v>15</v>
      </c>
      <c r="C288" s="94" t="s">
        <v>210</v>
      </c>
      <c r="D288" s="94">
        <v>4</v>
      </c>
      <c r="E288" s="94">
        <v>-3</v>
      </c>
      <c r="F288" s="94" t="s">
        <v>210</v>
      </c>
      <c r="G288" s="94" t="s">
        <v>210</v>
      </c>
      <c r="H288" s="94">
        <v>5</v>
      </c>
      <c r="I288" s="94">
        <v>-2</v>
      </c>
      <c r="J288" s="94" t="s">
        <v>210</v>
      </c>
      <c r="K288" s="94" t="s">
        <v>210</v>
      </c>
      <c r="L288" s="94">
        <v>-1</v>
      </c>
      <c r="M288" s="94">
        <v>3</v>
      </c>
      <c r="N288" s="94" t="s">
        <v>210</v>
      </c>
      <c r="O288" s="94" t="s">
        <v>210</v>
      </c>
      <c r="P288" s="94">
        <v>-5</v>
      </c>
      <c r="Q288" s="94">
        <v>2</v>
      </c>
      <c r="R288" s="94" t="s">
        <v>210</v>
      </c>
      <c r="S288" s="94" t="s">
        <v>210</v>
      </c>
      <c r="T288" s="94">
        <v>1</v>
      </c>
      <c r="U288" s="94">
        <v>-4</v>
      </c>
      <c r="V288" s="94" t="s">
        <v>210</v>
      </c>
      <c r="W288" s="94" t="s">
        <v>210</v>
      </c>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BA288" s="95"/>
    </row>
    <row r="289" spans="1:53" s="87" customFormat="1">
      <c r="A289" s="90" t="str">
        <f t="shared" si="52"/>
        <v/>
      </c>
      <c r="B289" s="98">
        <v>16</v>
      </c>
      <c r="C289" s="94" t="s">
        <v>210</v>
      </c>
      <c r="D289" s="94">
        <v>-4</v>
      </c>
      <c r="E289" s="94">
        <v>-1</v>
      </c>
      <c r="F289" s="94" t="s">
        <v>210</v>
      </c>
      <c r="G289" s="94" t="s">
        <v>210</v>
      </c>
      <c r="H289" s="94">
        <v>2</v>
      </c>
      <c r="I289" s="94">
        <v>5</v>
      </c>
      <c r="J289" s="94" t="s">
        <v>210</v>
      </c>
      <c r="K289" s="94" t="s">
        <v>210</v>
      </c>
      <c r="L289" s="94">
        <v>-3</v>
      </c>
      <c r="M289" s="94">
        <v>4</v>
      </c>
      <c r="N289" s="94" t="s">
        <v>210</v>
      </c>
      <c r="O289" s="94" t="s">
        <v>210</v>
      </c>
      <c r="P289" s="94">
        <v>1</v>
      </c>
      <c r="Q289" s="94">
        <v>-2</v>
      </c>
      <c r="R289" s="94" t="s">
        <v>210</v>
      </c>
      <c r="S289" s="94" t="s">
        <v>210</v>
      </c>
      <c r="T289" s="94">
        <v>-5</v>
      </c>
      <c r="U289" s="94">
        <v>3</v>
      </c>
      <c r="V289" s="94" t="s">
        <v>210</v>
      </c>
      <c r="W289" s="94" t="s">
        <v>210</v>
      </c>
      <c r="X289" s="94"/>
      <c r="Y289" s="94"/>
      <c r="Z289" s="94"/>
      <c r="AA289" s="94"/>
      <c r="AB289" s="94"/>
      <c r="AC289" s="94"/>
      <c r="AD289" s="94"/>
      <c r="AE289" s="94"/>
      <c r="AF289" s="94"/>
      <c r="AG289" s="94"/>
      <c r="AH289" s="94"/>
      <c r="AI289" s="94"/>
      <c r="AJ289" s="94"/>
      <c r="AK289" s="94"/>
      <c r="AL289" s="94"/>
      <c r="AM289" s="94"/>
      <c r="AN289" s="94"/>
      <c r="AO289" s="94"/>
      <c r="AP289" s="94"/>
      <c r="AQ289" s="94"/>
      <c r="AR289" s="94"/>
      <c r="AS289" s="94"/>
      <c r="AT289" s="94"/>
      <c r="AU289" s="94"/>
      <c r="AV289" s="94"/>
      <c r="AW289" s="94"/>
      <c r="AX289" s="94"/>
      <c r="AY289" s="94"/>
      <c r="BA289" s="95"/>
    </row>
    <row r="290" spans="1:53" s="87" customFormat="1">
      <c r="A290" s="90" t="str">
        <f t="shared" si="52"/>
        <v/>
      </c>
      <c r="B290" s="98">
        <v>17</v>
      </c>
      <c r="C290" s="94" t="s">
        <v>210</v>
      </c>
      <c r="D290" s="94">
        <v>5</v>
      </c>
      <c r="E290" s="94">
        <v>-4</v>
      </c>
      <c r="F290" s="94" t="s">
        <v>210</v>
      </c>
      <c r="G290" s="94" t="s">
        <v>210</v>
      </c>
      <c r="H290" s="94">
        <v>3</v>
      </c>
      <c r="I290" s="94">
        <v>1</v>
      </c>
      <c r="J290" s="94" t="s">
        <v>210</v>
      </c>
      <c r="K290" s="94" t="s">
        <v>210</v>
      </c>
      <c r="L290" s="94">
        <v>2</v>
      </c>
      <c r="M290" s="94">
        <v>-5</v>
      </c>
      <c r="N290" s="94" t="s">
        <v>210</v>
      </c>
      <c r="O290" s="94" t="s">
        <v>210</v>
      </c>
      <c r="P290" s="94">
        <v>-2</v>
      </c>
      <c r="Q290" s="94">
        <v>4</v>
      </c>
      <c r="R290" s="94" t="s">
        <v>210</v>
      </c>
      <c r="S290" s="94" t="s">
        <v>210</v>
      </c>
      <c r="T290" s="94">
        <v>-1</v>
      </c>
      <c r="U290" s="94">
        <v>-3</v>
      </c>
      <c r="V290" s="94" t="s">
        <v>210</v>
      </c>
      <c r="W290" s="94" t="s">
        <v>210</v>
      </c>
      <c r="X290" s="94"/>
      <c r="Y290" s="94"/>
      <c r="Z290" s="94"/>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c r="BA290" s="95"/>
    </row>
    <row r="291" spans="1:53" s="87" customFormat="1">
      <c r="A291" s="90" t="str">
        <f t="shared" si="52"/>
        <v/>
      </c>
      <c r="B291" s="98">
        <v>18</v>
      </c>
      <c r="C291" s="94" t="s">
        <v>210</v>
      </c>
      <c r="D291" s="94">
        <v>2</v>
      </c>
      <c r="E291" s="94">
        <v>-5</v>
      </c>
      <c r="F291" s="94" t="s">
        <v>210</v>
      </c>
      <c r="G291" s="94" t="s">
        <v>210</v>
      </c>
      <c r="H291" s="94">
        <v>-3</v>
      </c>
      <c r="I291" s="94">
        <v>4</v>
      </c>
      <c r="J291" s="94" t="s">
        <v>210</v>
      </c>
      <c r="K291" s="94" t="s">
        <v>210</v>
      </c>
      <c r="L291" s="94">
        <v>1</v>
      </c>
      <c r="M291" s="94">
        <v>-2</v>
      </c>
      <c r="N291" s="94" t="s">
        <v>210</v>
      </c>
      <c r="O291" s="94" t="s">
        <v>210</v>
      </c>
      <c r="P291" s="94">
        <v>-1</v>
      </c>
      <c r="Q291" s="94">
        <v>3</v>
      </c>
      <c r="R291" s="94" t="s">
        <v>210</v>
      </c>
      <c r="S291" s="94" t="s">
        <v>210</v>
      </c>
      <c r="T291" s="94">
        <v>-4</v>
      </c>
      <c r="U291" s="94">
        <v>5</v>
      </c>
      <c r="V291" s="94" t="s">
        <v>210</v>
      </c>
      <c r="W291" s="94" t="s">
        <v>210</v>
      </c>
      <c r="X291" s="94"/>
      <c r="Y291" s="94"/>
      <c r="Z291" s="94"/>
      <c r="AA291" s="94"/>
      <c r="AB291" s="94"/>
      <c r="AC291" s="94"/>
      <c r="AD291" s="94"/>
      <c r="AE291" s="94"/>
      <c r="AF291" s="94"/>
      <c r="AG291" s="94"/>
      <c r="AH291" s="94"/>
      <c r="AI291" s="94"/>
      <c r="AJ291" s="94"/>
      <c r="AK291" s="94"/>
      <c r="AL291" s="94"/>
      <c r="AM291" s="94"/>
      <c r="AN291" s="94"/>
      <c r="AO291" s="94"/>
      <c r="AP291" s="94"/>
      <c r="AQ291" s="94"/>
      <c r="AR291" s="94"/>
      <c r="AS291" s="94"/>
      <c r="AT291" s="94"/>
      <c r="AU291" s="94"/>
      <c r="AV291" s="94"/>
      <c r="AW291" s="94"/>
      <c r="AX291" s="94"/>
      <c r="AY291" s="94"/>
      <c r="BA291" s="95"/>
    </row>
    <row r="292" spans="1:53" s="87" customFormat="1">
      <c r="A292" s="90" t="str">
        <f t="shared" si="52"/>
        <v/>
      </c>
      <c r="B292" s="98">
        <v>19</v>
      </c>
      <c r="C292" s="94" t="s">
        <v>210</v>
      </c>
      <c r="D292" s="94">
        <v>-3</v>
      </c>
      <c r="E292" s="94">
        <v>4</v>
      </c>
      <c r="F292" s="94" t="s">
        <v>210</v>
      </c>
      <c r="G292" s="94" t="s">
        <v>210</v>
      </c>
      <c r="H292" s="94">
        <v>-1</v>
      </c>
      <c r="I292" s="94">
        <v>2</v>
      </c>
      <c r="J292" s="94" t="s">
        <v>210</v>
      </c>
      <c r="K292" s="94" t="s">
        <v>210</v>
      </c>
      <c r="L292" s="94">
        <v>5</v>
      </c>
      <c r="M292" s="94">
        <v>-4</v>
      </c>
      <c r="N292" s="94" t="s">
        <v>210</v>
      </c>
      <c r="O292" s="94" t="s">
        <v>210</v>
      </c>
      <c r="P292" s="94">
        <v>3</v>
      </c>
      <c r="Q292" s="94">
        <v>1</v>
      </c>
      <c r="R292" s="94" t="s">
        <v>210</v>
      </c>
      <c r="S292" s="94" t="s">
        <v>210</v>
      </c>
      <c r="T292" s="94">
        <v>-2</v>
      </c>
      <c r="U292" s="94">
        <v>-5</v>
      </c>
      <c r="V292" s="94" t="s">
        <v>210</v>
      </c>
      <c r="W292" s="94" t="s">
        <v>210</v>
      </c>
      <c r="X292" s="94"/>
      <c r="Y292" s="94"/>
      <c r="Z292" s="94"/>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BA292" s="95"/>
    </row>
    <row r="293" spans="1:53" s="87" customFormat="1">
      <c r="A293" s="90" t="str">
        <f t="shared" si="52"/>
        <v/>
      </c>
      <c r="B293" s="98">
        <v>20</v>
      </c>
      <c r="C293" s="94" t="s">
        <v>210</v>
      </c>
      <c r="D293" s="94">
        <v>3</v>
      </c>
      <c r="E293" s="94">
        <v>5</v>
      </c>
      <c r="F293" s="94" t="s">
        <v>210</v>
      </c>
      <c r="G293" s="94" t="s">
        <v>210</v>
      </c>
      <c r="H293" s="94">
        <v>-2</v>
      </c>
      <c r="I293" s="94">
        <v>-1</v>
      </c>
      <c r="J293" s="94" t="s">
        <v>210</v>
      </c>
      <c r="K293" s="94" t="s">
        <v>210</v>
      </c>
      <c r="L293" s="94">
        <v>4</v>
      </c>
      <c r="M293" s="94">
        <v>-3</v>
      </c>
      <c r="N293" s="94" t="s">
        <v>210</v>
      </c>
      <c r="O293" s="94" t="s">
        <v>210</v>
      </c>
      <c r="P293" s="94">
        <v>-4</v>
      </c>
      <c r="Q293" s="94">
        <v>-5</v>
      </c>
      <c r="R293" s="94" t="s">
        <v>210</v>
      </c>
      <c r="S293" s="94" t="s">
        <v>210</v>
      </c>
      <c r="T293" s="94">
        <v>2</v>
      </c>
      <c r="U293" s="94">
        <v>1</v>
      </c>
      <c r="V293" s="94" t="s">
        <v>210</v>
      </c>
      <c r="W293" s="94" t="s">
        <v>210</v>
      </c>
      <c r="X293" s="94"/>
      <c r="Y293" s="94"/>
      <c r="Z293" s="94"/>
      <c r="AA293" s="94"/>
      <c r="AB293" s="94"/>
      <c r="AC293" s="94"/>
      <c r="AD293" s="94"/>
      <c r="AE293" s="94"/>
      <c r="AF293" s="94"/>
      <c r="AG293" s="94"/>
      <c r="AH293" s="94"/>
      <c r="AI293" s="94"/>
      <c r="AJ293" s="94"/>
      <c r="AK293" s="94"/>
      <c r="AL293" s="94"/>
      <c r="AM293" s="94"/>
      <c r="AN293" s="94"/>
      <c r="AO293" s="94"/>
      <c r="AP293" s="94"/>
      <c r="AQ293" s="94"/>
      <c r="AR293" s="94"/>
      <c r="AS293" s="94"/>
      <c r="AT293" s="94"/>
      <c r="AU293" s="94"/>
      <c r="AV293" s="94"/>
      <c r="AW293" s="94"/>
      <c r="AX293" s="94"/>
      <c r="AY293" s="94"/>
      <c r="BA293" s="95"/>
    </row>
    <row r="294" spans="1:53" s="87" customFormat="1">
      <c r="A294" s="90" t="str">
        <f t="shared" si="52"/>
        <v/>
      </c>
      <c r="B294" s="98">
        <v>21</v>
      </c>
      <c r="C294" s="94" t="s">
        <v>210</v>
      </c>
      <c r="D294" s="94">
        <v>-2</v>
      </c>
      <c r="E294" s="94">
        <v>1</v>
      </c>
      <c r="F294" s="94" t="s">
        <v>210</v>
      </c>
      <c r="G294" s="94" t="s">
        <v>210</v>
      </c>
      <c r="H294" s="94">
        <v>4</v>
      </c>
      <c r="I294" s="94">
        <v>-3</v>
      </c>
      <c r="J294" s="94" t="s">
        <v>210</v>
      </c>
      <c r="K294" s="94" t="s">
        <v>210</v>
      </c>
      <c r="L294" s="94">
        <v>-5</v>
      </c>
      <c r="M294" s="94">
        <v>2</v>
      </c>
      <c r="N294" s="94" t="s">
        <v>210</v>
      </c>
      <c r="O294" s="94" t="s">
        <v>210</v>
      </c>
      <c r="P294" s="94">
        <v>5</v>
      </c>
      <c r="Q294" s="94">
        <v>-4</v>
      </c>
      <c r="R294" s="94" t="s">
        <v>210</v>
      </c>
      <c r="S294" s="94" t="s">
        <v>210</v>
      </c>
      <c r="T294" s="94">
        <v>3</v>
      </c>
      <c r="U294" s="94">
        <v>-1</v>
      </c>
      <c r="V294" s="94" t="s">
        <v>210</v>
      </c>
      <c r="W294" s="94" t="s">
        <v>210</v>
      </c>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BA294" s="95"/>
    </row>
    <row r="295" spans="1:53" s="87" customFormat="1">
      <c r="A295" s="90" t="str">
        <f t="shared" si="52"/>
        <v/>
      </c>
      <c r="B295" s="317" t="s">
        <v>1010</v>
      </c>
      <c r="C295" s="94"/>
      <c r="D295" s="94"/>
      <c r="E295" s="94"/>
      <c r="F295" s="94"/>
      <c r="G295" s="94"/>
      <c r="H295" s="94"/>
      <c r="I295" s="94"/>
      <c r="J295" s="94"/>
      <c r="K295" s="94"/>
      <c r="L295" s="94"/>
      <c r="M295" s="94"/>
      <c r="N295" s="94"/>
      <c r="O295" s="94"/>
      <c r="P295" s="94"/>
      <c r="Q295" s="94"/>
      <c r="R295" s="94"/>
      <c r="S295" s="94"/>
      <c r="T295" s="94"/>
      <c r="U295" s="94"/>
      <c r="V295" s="94"/>
      <c r="W295" s="94"/>
      <c r="X295" s="94"/>
      <c r="Y295" s="94"/>
      <c r="Z295" s="94"/>
      <c r="AA295" s="94"/>
      <c r="AB295" s="94"/>
      <c r="AC295" s="94"/>
      <c r="AD295" s="94"/>
      <c r="AE295" s="94"/>
      <c r="AF295" s="94"/>
      <c r="AG295" s="94"/>
      <c r="AH295" s="94"/>
      <c r="AI295" s="94"/>
      <c r="AJ295" s="94"/>
      <c r="AK295" s="94"/>
      <c r="AL295" s="94"/>
      <c r="AM295" s="94"/>
      <c r="AN295" s="94"/>
      <c r="AO295" s="94"/>
      <c r="AP295" s="94"/>
      <c r="AQ295" s="94"/>
      <c r="AR295" s="94"/>
      <c r="AS295" s="94"/>
      <c r="AT295" s="94"/>
      <c r="AU295" s="94"/>
      <c r="AV295" s="94"/>
      <c r="AW295" s="94"/>
      <c r="AX295" s="94"/>
      <c r="AY295" s="94"/>
      <c r="BA295" s="95"/>
    </row>
    <row r="296" spans="1:53" s="87" customFormat="1">
      <c r="A296" s="90">
        <f t="shared" si="52"/>
        <v>296</v>
      </c>
      <c r="B296" s="98" t="s">
        <v>324</v>
      </c>
      <c r="C296" s="94"/>
      <c r="D296" s="94"/>
      <c r="E296" s="94"/>
      <c r="F296" s="94"/>
      <c r="G296" s="94"/>
      <c r="H296" s="94"/>
      <c r="I296" s="94"/>
      <c r="J296" s="94"/>
      <c r="K296" s="94"/>
      <c r="L296" s="94"/>
      <c r="M296" s="94"/>
      <c r="N296" s="94"/>
      <c r="O296" s="94"/>
      <c r="P296" s="94"/>
      <c r="Q296" s="94"/>
      <c r="R296" s="94"/>
      <c r="S296" s="94"/>
      <c r="T296" s="94"/>
      <c r="U296" s="94"/>
      <c r="V296" s="94"/>
      <c r="W296" s="94"/>
      <c r="X296" s="94"/>
      <c r="Y296" s="94"/>
      <c r="Z296" s="94"/>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c r="BA296" s="95"/>
    </row>
    <row r="297" spans="1:53" s="87" customFormat="1">
      <c r="A297" s="90" t="str">
        <f t="shared" si="52"/>
        <v/>
      </c>
      <c r="B297" s="98">
        <v>1</v>
      </c>
      <c r="C297" s="94">
        <v>5</v>
      </c>
      <c r="D297" s="94" t="s">
        <v>210</v>
      </c>
      <c r="E297" s="94" t="s">
        <v>210</v>
      </c>
      <c r="F297" s="94">
        <v>2</v>
      </c>
      <c r="G297" s="94">
        <v>3</v>
      </c>
      <c r="H297" s="94" t="s">
        <v>210</v>
      </c>
      <c r="I297" s="94">
        <v>-1</v>
      </c>
      <c r="J297" s="94" t="s">
        <v>210</v>
      </c>
      <c r="K297" s="94" t="s">
        <v>210</v>
      </c>
      <c r="L297" s="94" t="s">
        <v>210</v>
      </c>
      <c r="M297" s="94" t="s">
        <v>210</v>
      </c>
      <c r="N297" s="94">
        <v>-4</v>
      </c>
      <c r="O297" s="94">
        <v>-3</v>
      </c>
      <c r="P297" s="94" t="s">
        <v>210</v>
      </c>
      <c r="Q297" s="94"/>
      <c r="R297" s="94"/>
      <c r="S297" s="94"/>
      <c r="T297" s="94"/>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c r="BA297" s="95"/>
    </row>
    <row r="298" spans="1:53" s="87" customFormat="1">
      <c r="A298" s="90" t="str">
        <f t="shared" si="52"/>
        <v/>
      </c>
      <c r="B298" s="98">
        <v>2</v>
      </c>
      <c r="C298" s="94">
        <v>2</v>
      </c>
      <c r="D298" s="94" t="s">
        <v>210</v>
      </c>
      <c r="E298" s="94" t="s">
        <v>210</v>
      </c>
      <c r="F298" s="94">
        <v>5</v>
      </c>
      <c r="G298" s="94" t="s">
        <v>210</v>
      </c>
      <c r="H298" s="94" t="s">
        <v>210</v>
      </c>
      <c r="I298" s="94" t="s">
        <v>210</v>
      </c>
      <c r="J298" s="94">
        <v>-4</v>
      </c>
      <c r="K298" s="94">
        <v>-1</v>
      </c>
      <c r="L298" s="94" t="s">
        <v>210</v>
      </c>
      <c r="M298" s="94">
        <v>-2</v>
      </c>
      <c r="N298" s="94" t="s">
        <v>210</v>
      </c>
      <c r="O298" s="94">
        <v>3</v>
      </c>
      <c r="P298" s="94" t="s">
        <v>210</v>
      </c>
      <c r="Q298" s="94"/>
      <c r="R298" s="94"/>
      <c r="S298" s="94"/>
      <c r="T298" s="94"/>
      <c r="U298" s="94"/>
      <c r="V298" s="94"/>
      <c r="W298" s="94"/>
      <c r="X298" s="94"/>
      <c r="Y298" s="94"/>
      <c r="Z298" s="94"/>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c r="BA298" s="95"/>
    </row>
    <row r="299" spans="1:53" s="87" customFormat="1">
      <c r="A299" s="90" t="str">
        <f t="shared" si="52"/>
        <v/>
      </c>
      <c r="B299" s="98">
        <v>3</v>
      </c>
      <c r="C299" s="94">
        <v>3</v>
      </c>
      <c r="D299" s="94" t="s">
        <v>210</v>
      </c>
      <c r="E299" s="94" t="s">
        <v>210</v>
      </c>
      <c r="F299" s="94">
        <v>-5</v>
      </c>
      <c r="G299" s="94" t="s">
        <v>210</v>
      </c>
      <c r="H299" s="94">
        <v>4</v>
      </c>
      <c r="I299" s="94">
        <v>1</v>
      </c>
      <c r="J299" s="94" t="s">
        <v>210</v>
      </c>
      <c r="K299" s="94">
        <v>-3</v>
      </c>
      <c r="L299" s="94" t="s">
        <v>210</v>
      </c>
      <c r="M299" s="94" t="s">
        <v>210</v>
      </c>
      <c r="N299" s="94" t="s">
        <v>210</v>
      </c>
      <c r="O299" s="94">
        <v>-2</v>
      </c>
      <c r="P299" s="94" t="s">
        <v>210</v>
      </c>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BA299" s="95"/>
    </row>
    <row r="300" spans="1:53" s="87" customFormat="1">
      <c r="A300" s="90" t="str">
        <f t="shared" si="52"/>
        <v/>
      </c>
      <c r="B300" s="98">
        <v>4</v>
      </c>
      <c r="C300" s="94">
        <v>-2</v>
      </c>
      <c r="D300" s="94" t="s">
        <v>210</v>
      </c>
      <c r="E300" s="94" t="s">
        <v>210</v>
      </c>
      <c r="F300" s="94">
        <v>4</v>
      </c>
      <c r="G300" s="94">
        <v>-3</v>
      </c>
      <c r="H300" s="94" t="s">
        <v>210</v>
      </c>
      <c r="I300" s="94" t="s">
        <v>210</v>
      </c>
      <c r="J300" s="94" t="s">
        <v>210</v>
      </c>
      <c r="K300" s="94">
        <v>-5</v>
      </c>
      <c r="L300" s="94" t="s">
        <v>210</v>
      </c>
      <c r="M300" s="94" t="s">
        <v>210</v>
      </c>
      <c r="N300" s="94">
        <v>1</v>
      </c>
      <c r="O300" s="94">
        <v>2</v>
      </c>
      <c r="P300" s="94" t="s">
        <v>210</v>
      </c>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BA300" s="95"/>
    </row>
    <row r="301" spans="1:53" s="87" customFormat="1">
      <c r="A301" s="90" t="str">
        <f t="shared" si="52"/>
        <v/>
      </c>
      <c r="B301" s="98">
        <v>5</v>
      </c>
      <c r="C301" s="94">
        <v>-5</v>
      </c>
      <c r="D301" s="94" t="s">
        <v>210</v>
      </c>
      <c r="E301" s="94" t="s">
        <v>210</v>
      </c>
      <c r="F301" s="94" t="s">
        <v>210</v>
      </c>
      <c r="G301" s="94" t="s">
        <v>210</v>
      </c>
      <c r="H301" s="94">
        <v>-4</v>
      </c>
      <c r="I301" s="94" t="s">
        <v>210</v>
      </c>
      <c r="J301" s="94">
        <v>-3</v>
      </c>
      <c r="K301" s="94">
        <v>5</v>
      </c>
      <c r="L301" s="94" t="s">
        <v>210</v>
      </c>
      <c r="M301" s="94">
        <v>2</v>
      </c>
      <c r="N301" s="94" t="s">
        <v>210</v>
      </c>
      <c r="O301" s="94">
        <v>4</v>
      </c>
      <c r="P301" s="94" t="s">
        <v>210</v>
      </c>
      <c r="Q301" s="94"/>
      <c r="R301" s="94"/>
      <c r="S301" s="94"/>
      <c r="T301" s="94"/>
      <c r="U301" s="94"/>
      <c r="V301" s="94"/>
      <c r="W301" s="94"/>
      <c r="X301" s="94"/>
      <c r="Y301" s="94"/>
      <c r="Z301" s="94"/>
      <c r="AA301" s="94"/>
      <c r="AB301" s="94"/>
      <c r="AC301" s="94"/>
      <c r="AD301" s="94"/>
      <c r="AE301" s="94"/>
      <c r="AF301" s="94"/>
      <c r="AG301" s="94"/>
      <c r="AH301" s="94"/>
      <c r="AI301" s="94"/>
      <c r="AJ301" s="94"/>
      <c r="AK301" s="94"/>
      <c r="AL301" s="94"/>
      <c r="AM301" s="94"/>
      <c r="AN301" s="94"/>
      <c r="AO301" s="94"/>
      <c r="AP301" s="94"/>
      <c r="AQ301" s="94"/>
      <c r="AR301" s="94"/>
      <c r="AS301" s="94"/>
      <c r="AT301" s="94"/>
      <c r="AU301" s="94"/>
      <c r="AV301" s="94"/>
      <c r="AW301" s="94"/>
      <c r="AX301" s="94"/>
      <c r="AY301" s="94"/>
      <c r="BA301" s="95"/>
    </row>
    <row r="302" spans="1:53" s="87" customFormat="1">
      <c r="A302" s="90" t="str">
        <f t="shared" si="52"/>
        <v/>
      </c>
      <c r="B302" s="98">
        <v>6</v>
      </c>
      <c r="C302" s="94" t="s">
        <v>210</v>
      </c>
      <c r="D302" s="94" t="s">
        <v>210</v>
      </c>
      <c r="E302" s="94" t="s">
        <v>210</v>
      </c>
      <c r="F302" s="94">
        <v>-2</v>
      </c>
      <c r="G302" s="94">
        <v>5</v>
      </c>
      <c r="H302" s="94" t="s">
        <v>210</v>
      </c>
      <c r="I302" s="94" t="s">
        <v>210</v>
      </c>
      <c r="J302" s="94">
        <v>4</v>
      </c>
      <c r="K302" s="94">
        <v>3</v>
      </c>
      <c r="L302" s="94" t="s">
        <v>210</v>
      </c>
      <c r="M302" s="94" t="s">
        <v>210</v>
      </c>
      <c r="N302" s="94">
        <v>-1</v>
      </c>
      <c r="O302" s="94">
        <v>-4</v>
      </c>
      <c r="P302" s="94" t="s">
        <v>210</v>
      </c>
      <c r="Q302" s="94"/>
      <c r="R302" s="94"/>
      <c r="S302" s="94"/>
      <c r="T302" s="94"/>
      <c r="U302" s="94"/>
      <c r="V302" s="94"/>
      <c r="W302" s="94"/>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BA302" s="95"/>
    </row>
    <row r="303" spans="1:53" s="87" customFormat="1">
      <c r="A303" s="90" t="str">
        <f t="shared" si="52"/>
        <v/>
      </c>
      <c r="B303" s="99">
        <v>7</v>
      </c>
      <c r="C303" s="92">
        <v>-3</v>
      </c>
      <c r="D303" s="92" t="s">
        <v>210</v>
      </c>
      <c r="E303" s="92" t="s">
        <v>210</v>
      </c>
      <c r="F303" s="92">
        <v>-4</v>
      </c>
      <c r="G303" s="92">
        <v>-5</v>
      </c>
      <c r="H303" s="92" t="s">
        <v>210</v>
      </c>
      <c r="I303" s="92" t="s">
        <v>210</v>
      </c>
      <c r="J303" s="92">
        <v>3</v>
      </c>
      <c r="K303" s="92">
        <v>1</v>
      </c>
      <c r="L303" s="92" t="s">
        <v>210</v>
      </c>
      <c r="M303" s="92" t="s">
        <v>210</v>
      </c>
      <c r="N303" s="92">
        <v>4</v>
      </c>
      <c r="O303" s="92" t="s">
        <v>210</v>
      </c>
      <c r="P303" s="92" t="s">
        <v>210</v>
      </c>
      <c r="Q303" s="94"/>
      <c r="R303" s="94"/>
      <c r="S303" s="94"/>
      <c r="T303" s="94"/>
      <c r="U303" s="94"/>
      <c r="V303" s="94"/>
      <c r="W303" s="94"/>
      <c r="X303" s="94"/>
      <c r="Y303" s="94"/>
      <c r="Z303" s="94"/>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BA303" s="95"/>
    </row>
    <row r="304" spans="1:53" s="87" customFormat="1">
      <c r="A304" s="90" t="str">
        <f t="shared" si="52"/>
        <v/>
      </c>
      <c r="B304" s="98">
        <v>8</v>
      </c>
      <c r="C304" s="94">
        <v>1</v>
      </c>
      <c r="D304" s="94" t="s">
        <v>210</v>
      </c>
      <c r="E304" s="94" t="s">
        <v>210</v>
      </c>
      <c r="F304" s="94">
        <v>3</v>
      </c>
      <c r="G304" s="94">
        <v>-2</v>
      </c>
      <c r="H304" s="94" t="s">
        <v>210</v>
      </c>
      <c r="I304" s="94">
        <v>-3</v>
      </c>
      <c r="J304" s="94" t="s">
        <v>210</v>
      </c>
      <c r="K304" s="94" t="s">
        <v>210</v>
      </c>
      <c r="L304" s="94" t="s">
        <v>210</v>
      </c>
      <c r="M304" s="94" t="s">
        <v>210</v>
      </c>
      <c r="N304" s="94">
        <v>2</v>
      </c>
      <c r="O304" s="94">
        <v>-5</v>
      </c>
      <c r="P304" s="94" t="s">
        <v>210</v>
      </c>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BA304" s="95"/>
    </row>
    <row r="305" spans="1:53" s="87" customFormat="1">
      <c r="A305" s="90" t="str">
        <f t="shared" si="52"/>
        <v/>
      </c>
      <c r="B305" s="98">
        <v>9</v>
      </c>
      <c r="C305" s="94" t="s">
        <v>210</v>
      </c>
      <c r="D305" s="94">
        <v>2</v>
      </c>
      <c r="E305" s="94">
        <v>4</v>
      </c>
      <c r="F305" s="94" t="s">
        <v>210</v>
      </c>
      <c r="G305" s="94" t="s">
        <v>210</v>
      </c>
      <c r="H305" s="94" t="s">
        <v>210</v>
      </c>
      <c r="I305" s="94" t="s">
        <v>210</v>
      </c>
      <c r="J305" s="94">
        <v>-5</v>
      </c>
      <c r="K305" s="94" t="s">
        <v>210</v>
      </c>
      <c r="L305" s="94">
        <v>-2</v>
      </c>
      <c r="M305" s="94">
        <v>-3</v>
      </c>
      <c r="N305" s="94" t="s">
        <v>210</v>
      </c>
      <c r="O305" s="94">
        <v>5</v>
      </c>
      <c r="P305" s="94" t="s">
        <v>210</v>
      </c>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BA305" s="95"/>
    </row>
    <row r="306" spans="1:53" s="87" customFormat="1">
      <c r="A306" s="90" t="str">
        <f t="shared" si="52"/>
        <v/>
      </c>
      <c r="B306" s="98">
        <v>10</v>
      </c>
      <c r="C306" s="94" t="s">
        <v>210</v>
      </c>
      <c r="D306" s="94" t="s">
        <v>210</v>
      </c>
      <c r="E306" s="94" t="s">
        <v>210</v>
      </c>
      <c r="F306" s="94">
        <v>-3</v>
      </c>
      <c r="G306" s="94">
        <v>-4</v>
      </c>
      <c r="H306" s="94" t="s">
        <v>210</v>
      </c>
      <c r="I306" s="94" t="s">
        <v>210</v>
      </c>
      <c r="J306" s="94">
        <v>2</v>
      </c>
      <c r="K306" s="94" t="s">
        <v>210</v>
      </c>
      <c r="L306" s="94">
        <v>5</v>
      </c>
      <c r="M306" s="94">
        <v>3</v>
      </c>
      <c r="N306" s="94" t="s">
        <v>210</v>
      </c>
      <c r="O306" s="94">
        <v>-1</v>
      </c>
      <c r="P306" s="94" t="s">
        <v>210</v>
      </c>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BA306" s="95"/>
    </row>
    <row r="307" spans="1:53" s="87" customFormat="1">
      <c r="A307" s="90" t="str">
        <f t="shared" si="52"/>
        <v/>
      </c>
      <c r="B307" s="98">
        <v>11</v>
      </c>
      <c r="C307" s="94" t="s">
        <v>210</v>
      </c>
      <c r="D307" s="94">
        <v>-3</v>
      </c>
      <c r="E307" s="94" t="s">
        <v>210</v>
      </c>
      <c r="F307" s="94" t="s">
        <v>210</v>
      </c>
      <c r="G307" s="94" t="s">
        <v>210</v>
      </c>
      <c r="H307" s="94">
        <v>-1</v>
      </c>
      <c r="I307" s="94">
        <v>3</v>
      </c>
      <c r="J307" s="94" t="s">
        <v>210</v>
      </c>
      <c r="K307" s="94" t="s">
        <v>210</v>
      </c>
      <c r="L307" s="94">
        <v>2</v>
      </c>
      <c r="M307" s="94">
        <v>-4</v>
      </c>
      <c r="N307" s="94" t="s">
        <v>210</v>
      </c>
      <c r="O307" s="94">
        <v>1</v>
      </c>
      <c r="P307" s="94" t="s">
        <v>210</v>
      </c>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BA307" s="95"/>
    </row>
    <row r="308" spans="1:53" s="87" customFormat="1">
      <c r="A308" s="90" t="str">
        <f t="shared" si="52"/>
        <v/>
      </c>
      <c r="B308" s="98">
        <v>12</v>
      </c>
      <c r="C308" s="94" t="s">
        <v>210</v>
      </c>
      <c r="D308" s="94">
        <v>-2</v>
      </c>
      <c r="E308" s="94">
        <v>1</v>
      </c>
      <c r="F308" s="94" t="s">
        <v>210</v>
      </c>
      <c r="G308" s="94">
        <v>2</v>
      </c>
      <c r="H308" s="94" t="s">
        <v>210</v>
      </c>
      <c r="I308" s="94" t="s">
        <v>210</v>
      </c>
      <c r="J308" s="94" t="s">
        <v>210</v>
      </c>
      <c r="K308" s="94" t="s">
        <v>210</v>
      </c>
      <c r="L308" s="94">
        <v>-5</v>
      </c>
      <c r="M308" s="94">
        <v>4</v>
      </c>
      <c r="N308" s="94" t="s">
        <v>210</v>
      </c>
      <c r="O308" s="94" t="s">
        <v>210</v>
      </c>
      <c r="P308" s="94">
        <v>-3</v>
      </c>
      <c r="Q308" s="94"/>
      <c r="R308" s="94"/>
      <c r="S308" s="94"/>
      <c r="T308" s="94"/>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BA308" s="95"/>
    </row>
    <row r="309" spans="1:53" s="87" customFormat="1">
      <c r="A309" s="90" t="str">
        <f t="shared" si="52"/>
        <v/>
      </c>
      <c r="B309" s="98">
        <v>13</v>
      </c>
      <c r="C309" s="94">
        <v>-1</v>
      </c>
      <c r="D309" s="94" t="s">
        <v>210</v>
      </c>
      <c r="E309" s="94">
        <v>-4</v>
      </c>
      <c r="F309" s="94" t="s">
        <v>210</v>
      </c>
      <c r="G309" s="94" t="s">
        <v>210</v>
      </c>
      <c r="H309" s="94">
        <v>1</v>
      </c>
      <c r="I309" s="94" t="s">
        <v>210</v>
      </c>
      <c r="J309" s="94">
        <v>-2</v>
      </c>
      <c r="K309" s="94">
        <v>4</v>
      </c>
      <c r="L309" s="94" t="s">
        <v>210</v>
      </c>
      <c r="M309" s="94" t="s">
        <v>210</v>
      </c>
      <c r="N309" s="94" t="s">
        <v>210</v>
      </c>
      <c r="O309" s="94" t="s">
        <v>210</v>
      </c>
      <c r="P309" s="94">
        <v>3</v>
      </c>
      <c r="Q309" s="94"/>
      <c r="R309" s="94"/>
      <c r="S309" s="94"/>
      <c r="T309" s="94"/>
      <c r="U309" s="94"/>
      <c r="V309" s="94"/>
      <c r="W309" s="94"/>
      <c r="X309" s="94"/>
      <c r="Y309" s="94"/>
      <c r="Z309" s="94"/>
      <c r="AA309" s="94"/>
      <c r="AB309" s="94"/>
      <c r="AC309" s="94"/>
      <c r="AD309" s="94"/>
      <c r="AE309" s="94"/>
      <c r="AF309" s="94"/>
      <c r="AG309" s="94"/>
      <c r="AH309" s="94"/>
      <c r="AI309" s="94"/>
      <c r="AJ309" s="94"/>
      <c r="AK309" s="94"/>
      <c r="AL309" s="94"/>
      <c r="AM309" s="94"/>
      <c r="AN309" s="94"/>
      <c r="AO309" s="94"/>
      <c r="AP309" s="94"/>
      <c r="AQ309" s="94"/>
      <c r="AR309" s="94"/>
      <c r="AS309" s="94"/>
      <c r="AT309" s="94"/>
      <c r="AU309" s="94"/>
      <c r="AV309" s="94"/>
      <c r="AW309" s="94"/>
      <c r="AX309" s="94"/>
      <c r="AY309" s="94"/>
      <c r="BA309" s="95"/>
    </row>
    <row r="310" spans="1:53" s="87" customFormat="1">
      <c r="A310" s="90" t="str">
        <f t="shared" si="52"/>
        <v/>
      </c>
      <c r="B310" s="99">
        <v>14</v>
      </c>
      <c r="C310" s="92" t="s">
        <v>210</v>
      </c>
      <c r="D310" s="92">
        <v>3</v>
      </c>
      <c r="E310" s="92">
        <v>-1</v>
      </c>
      <c r="F310" s="92" t="s">
        <v>210</v>
      </c>
      <c r="G310" s="92">
        <v>4</v>
      </c>
      <c r="H310" s="92" t="s">
        <v>210</v>
      </c>
      <c r="I310" s="92" t="s">
        <v>210</v>
      </c>
      <c r="J310" s="92">
        <v>5</v>
      </c>
      <c r="K310" s="92">
        <v>-4</v>
      </c>
      <c r="L310" s="92" t="s">
        <v>210</v>
      </c>
      <c r="M310" s="92" t="s">
        <v>210</v>
      </c>
      <c r="N310" s="92">
        <v>-2</v>
      </c>
      <c r="O310" s="92" t="s">
        <v>210</v>
      </c>
      <c r="P310" s="92" t="s">
        <v>210</v>
      </c>
      <c r="Q310" s="94"/>
      <c r="R310" s="94"/>
      <c r="S310" s="94"/>
      <c r="T310" s="94"/>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BA310" s="95"/>
    </row>
    <row r="311" spans="1:53" s="87" customFormat="1">
      <c r="A311" s="90" t="str">
        <f t="shared" si="52"/>
        <v/>
      </c>
      <c r="B311" s="98">
        <v>15</v>
      </c>
      <c r="C311" s="94">
        <v>-4</v>
      </c>
      <c r="D311" s="94" t="s">
        <v>210</v>
      </c>
      <c r="E311" s="94">
        <v>2</v>
      </c>
      <c r="F311" s="94" t="s">
        <v>210</v>
      </c>
      <c r="G311" s="94" t="s">
        <v>210</v>
      </c>
      <c r="H311" s="94" t="s">
        <v>210</v>
      </c>
      <c r="I311" s="94">
        <v>5</v>
      </c>
      <c r="J311" s="94" t="s">
        <v>210</v>
      </c>
      <c r="K311" s="94" t="s">
        <v>210</v>
      </c>
      <c r="L311" s="94">
        <v>-3</v>
      </c>
      <c r="M311" s="94">
        <v>-5</v>
      </c>
      <c r="N311" s="94" t="s">
        <v>210</v>
      </c>
      <c r="O311" s="94" t="s">
        <v>210</v>
      </c>
      <c r="P311" s="94">
        <v>4</v>
      </c>
      <c r="Q311" s="94"/>
      <c r="R311" s="94"/>
      <c r="S311" s="94"/>
      <c r="T311" s="94"/>
      <c r="U311" s="94"/>
      <c r="V311" s="94"/>
      <c r="W311" s="94"/>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BA311" s="95"/>
    </row>
    <row r="312" spans="1:53" s="87" customFormat="1">
      <c r="A312" s="90" t="str">
        <f t="shared" si="52"/>
        <v/>
      </c>
      <c r="B312" s="98">
        <v>16</v>
      </c>
      <c r="C312" s="94" t="s">
        <v>210</v>
      </c>
      <c r="D312" s="94">
        <v>1</v>
      </c>
      <c r="E312" s="94">
        <v>3</v>
      </c>
      <c r="F312" s="94" t="s">
        <v>210</v>
      </c>
      <c r="G312" s="94">
        <v>-1</v>
      </c>
      <c r="H312" s="94" t="s">
        <v>210</v>
      </c>
      <c r="I312" s="94">
        <v>2</v>
      </c>
      <c r="J312" s="94" t="s">
        <v>210</v>
      </c>
      <c r="K312" s="94" t="s">
        <v>210</v>
      </c>
      <c r="L312" s="94" t="s">
        <v>210</v>
      </c>
      <c r="M312" s="94" t="s">
        <v>210</v>
      </c>
      <c r="N312" s="94">
        <v>-3</v>
      </c>
      <c r="O312" s="94" t="s">
        <v>210</v>
      </c>
      <c r="P312" s="94">
        <v>-4</v>
      </c>
      <c r="Q312" s="94"/>
      <c r="R312" s="94"/>
      <c r="S312" s="94"/>
      <c r="T312" s="94"/>
      <c r="U312" s="94"/>
      <c r="V312" s="94"/>
      <c r="W312" s="94"/>
      <c r="X312" s="94"/>
      <c r="Y312" s="94"/>
      <c r="Z312" s="94"/>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BA312" s="95"/>
    </row>
    <row r="313" spans="1:53" s="87" customFormat="1">
      <c r="A313" s="90" t="str">
        <f t="shared" si="52"/>
        <v/>
      </c>
      <c r="B313" s="98">
        <v>17</v>
      </c>
      <c r="C313" s="94" t="s">
        <v>210</v>
      </c>
      <c r="D313" s="94" t="s">
        <v>210</v>
      </c>
      <c r="E313" s="94">
        <v>-5</v>
      </c>
      <c r="F313" s="94" t="s">
        <v>210</v>
      </c>
      <c r="G313" s="94" t="s">
        <v>210</v>
      </c>
      <c r="H313" s="94">
        <v>-3</v>
      </c>
      <c r="I313" s="94">
        <v>-2</v>
      </c>
      <c r="J313" s="94" t="s">
        <v>210</v>
      </c>
      <c r="K313" s="94" t="s">
        <v>210</v>
      </c>
      <c r="L313" s="94">
        <v>4</v>
      </c>
      <c r="M313" s="94">
        <v>5</v>
      </c>
      <c r="N313" s="94" t="s">
        <v>210</v>
      </c>
      <c r="O313" s="94" t="s">
        <v>210</v>
      </c>
      <c r="P313" s="94">
        <v>2</v>
      </c>
      <c r="Q313" s="94"/>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BA313" s="95"/>
    </row>
    <row r="314" spans="1:53" s="87" customFormat="1">
      <c r="A314" s="90" t="str">
        <f t="shared" si="52"/>
        <v/>
      </c>
      <c r="B314" s="98">
        <v>18</v>
      </c>
      <c r="C314" s="94" t="s">
        <v>210</v>
      </c>
      <c r="D314" s="94">
        <v>4</v>
      </c>
      <c r="E314" s="94" t="s">
        <v>210</v>
      </c>
      <c r="F314" s="94" t="s">
        <v>210</v>
      </c>
      <c r="G314" s="94">
        <v>1</v>
      </c>
      <c r="H314" s="94" t="s">
        <v>210</v>
      </c>
      <c r="I314" s="94">
        <v>-4</v>
      </c>
      <c r="J314" s="94" t="s">
        <v>210</v>
      </c>
      <c r="K314" s="94" t="s">
        <v>210</v>
      </c>
      <c r="L314" s="94">
        <v>3</v>
      </c>
      <c r="M314" s="94">
        <v>-1</v>
      </c>
      <c r="N314" s="94" t="s">
        <v>210</v>
      </c>
      <c r="O314" s="94" t="s">
        <v>210</v>
      </c>
      <c r="P314" s="94">
        <v>-2</v>
      </c>
      <c r="Q314" s="94"/>
      <c r="R314" s="94"/>
      <c r="S314" s="94"/>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BA314" s="95"/>
    </row>
    <row r="315" spans="1:53" s="87" customFormat="1">
      <c r="A315" s="90" t="str">
        <f t="shared" si="52"/>
        <v/>
      </c>
      <c r="B315" s="98">
        <v>19</v>
      </c>
      <c r="C315" s="94">
        <v>4</v>
      </c>
      <c r="D315" s="94" t="s">
        <v>210</v>
      </c>
      <c r="E315" s="94">
        <v>-3</v>
      </c>
      <c r="F315" s="94" t="s">
        <v>210</v>
      </c>
      <c r="G315" s="94" t="s">
        <v>210</v>
      </c>
      <c r="H315" s="94">
        <v>-2</v>
      </c>
      <c r="I315" s="94" t="s">
        <v>210</v>
      </c>
      <c r="J315" s="94" t="s">
        <v>210</v>
      </c>
      <c r="K315" s="94" t="s">
        <v>210</v>
      </c>
      <c r="L315" s="94">
        <v>-4</v>
      </c>
      <c r="M315" s="94">
        <v>1</v>
      </c>
      <c r="N315" s="94" t="s">
        <v>210</v>
      </c>
      <c r="O315" s="94" t="s">
        <v>210</v>
      </c>
      <c r="P315" s="94">
        <v>5</v>
      </c>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BA315" s="95"/>
    </row>
    <row r="316" spans="1:53" s="87" customFormat="1">
      <c r="A316" s="90" t="str">
        <f t="shared" si="52"/>
        <v/>
      </c>
      <c r="B316" s="98">
        <v>20</v>
      </c>
      <c r="C316" s="94" t="s">
        <v>210</v>
      </c>
      <c r="D316" s="94">
        <v>-1</v>
      </c>
      <c r="E316" s="94">
        <v>-2</v>
      </c>
      <c r="F316" s="94" t="s">
        <v>210</v>
      </c>
      <c r="G316" s="94" t="s">
        <v>210</v>
      </c>
      <c r="H316" s="94">
        <v>3</v>
      </c>
      <c r="I316" s="94">
        <v>4</v>
      </c>
      <c r="J316" s="94" t="s">
        <v>210</v>
      </c>
      <c r="K316" s="94">
        <v>2</v>
      </c>
      <c r="L316" s="94" t="s">
        <v>210</v>
      </c>
      <c r="M316" s="94" t="s">
        <v>210</v>
      </c>
      <c r="N316" s="94" t="s">
        <v>210</v>
      </c>
      <c r="O316" s="94" t="s">
        <v>210</v>
      </c>
      <c r="P316" s="94">
        <v>-5</v>
      </c>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BA316" s="95"/>
    </row>
    <row r="317" spans="1:53" s="87" customFormat="1">
      <c r="A317" s="90" t="str">
        <f t="shared" si="52"/>
        <v/>
      </c>
      <c r="B317" s="98">
        <v>21</v>
      </c>
      <c r="C317" s="94" t="s">
        <v>210</v>
      </c>
      <c r="D317" s="94">
        <v>-4</v>
      </c>
      <c r="E317" s="94">
        <v>5</v>
      </c>
      <c r="F317" s="94" t="s">
        <v>210</v>
      </c>
      <c r="G317" s="94" t="s">
        <v>210</v>
      </c>
      <c r="H317" s="94">
        <v>2</v>
      </c>
      <c r="I317" s="94">
        <v>-5</v>
      </c>
      <c r="J317" s="94" t="s">
        <v>210</v>
      </c>
      <c r="K317" s="94">
        <v>-2</v>
      </c>
      <c r="L317" s="94" t="s">
        <v>210</v>
      </c>
      <c r="M317" s="94" t="s">
        <v>210</v>
      </c>
      <c r="N317" s="94">
        <v>3</v>
      </c>
      <c r="O317" s="94" t="s">
        <v>210</v>
      </c>
      <c r="P317" s="94" t="s">
        <v>210</v>
      </c>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BA317" s="95"/>
    </row>
    <row r="318" spans="1:53" s="87" customFormat="1">
      <c r="A318" s="90" t="str">
        <f t="shared" si="52"/>
        <v/>
      </c>
      <c r="B318" s="317" t="s">
        <v>1028</v>
      </c>
      <c r="C318" s="94"/>
      <c r="D318" s="94"/>
      <c r="E318" s="94"/>
      <c r="F318" s="94"/>
      <c r="G318" s="94"/>
      <c r="H318" s="94"/>
      <c r="I318" s="94"/>
      <c r="J318" s="94"/>
      <c r="K318" s="94"/>
      <c r="L318" s="94"/>
      <c r="M318" s="94"/>
      <c r="N318" s="94"/>
      <c r="O318" s="94"/>
      <c r="P318" s="94"/>
      <c r="Q318" s="94"/>
      <c r="R318" s="94"/>
      <c r="S318" s="94"/>
      <c r="T318" s="94"/>
      <c r="U318" s="94"/>
      <c r="V318" s="94"/>
      <c r="W318" s="94"/>
      <c r="X318" s="94"/>
      <c r="Y318" s="94"/>
      <c r="Z318" s="94"/>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c r="BA318" s="95"/>
    </row>
    <row r="319" spans="1:53" s="87" customFormat="1">
      <c r="A319" s="90">
        <f t="shared" si="52"/>
        <v>319</v>
      </c>
      <c r="B319" s="98" t="s">
        <v>325</v>
      </c>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BA319" s="95"/>
    </row>
    <row r="320" spans="1:53" s="87" customFormat="1">
      <c r="A320" s="90" t="str">
        <f t="shared" si="52"/>
        <v/>
      </c>
      <c r="B320" s="98">
        <v>1</v>
      </c>
      <c r="C320" s="94">
        <v>-3</v>
      </c>
      <c r="D320" s="94" t="s">
        <v>210</v>
      </c>
      <c r="E320" s="94" t="s">
        <v>210</v>
      </c>
      <c r="F320" s="94">
        <v>4</v>
      </c>
      <c r="G320" s="94" t="s">
        <v>210</v>
      </c>
      <c r="H320" s="94">
        <v>-2</v>
      </c>
      <c r="I320" s="94">
        <v>-1</v>
      </c>
      <c r="J320" s="94" t="s">
        <v>210</v>
      </c>
      <c r="K320" s="94">
        <v>3</v>
      </c>
      <c r="L320" s="94" t="s">
        <v>210</v>
      </c>
      <c r="M320" s="94"/>
      <c r="N320" s="94"/>
      <c r="O320" s="94"/>
      <c r="P320" s="94"/>
      <c r="Q320" s="94"/>
      <c r="R320" s="94"/>
      <c r="S320" s="94"/>
      <c r="T320" s="94"/>
      <c r="U320" s="94"/>
      <c r="V320" s="94"/>
      <c r="W320" s="94"/>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BA320" s="95"/>
    </row>
    <row r="321" spans="1:53" s="87" customFormat="1">
      <c r="A321" s="90" t="str">
        <f t="shared" si="52"/>
        <v/>
      </c>
      <c r="B321" s="98">
        <v>2</v>
      </c>
      <c r="C321" s="94" t="s">
        <v>210</v>
      </c>
      <c r="D321" s="94">
        <v>-2</v>
      </c>
      <c r="E321" s="94">
        <v>-1</v>
      </c>
      <c r="F321" s="94" t="s">
        <v>210</v>
      </c>
      <c r="G321" s="94" t="s">
        <v>210</v>
      </c>
      <c r="H321" s="94">
        <v>4</v>
      </c>
      <c r="I321" s="94" t="s">
        <v>210</v>
      </c>
      <c r="J321" s="94">
        <v>2</v>
      </c>
      <c r="K321" s="94">
        <v>-3</v>
      </c>
      <c r="L321" s="94" t="s">
        <v>210</v>
      </c>
      <c r="M321" s="94"/>
      <c r="N321" s="94"/>
      <c r="O321" s="94"/>
      <c r="P321" s="94"/>
      <c r="Q321" s="94"/>
      <c r="R321" s="94"/>
      <c r="S321" s="94"/>
      <c r="T321" s="94"/>
      <c r="U321" s="94"/>
      <c r="V321" s="94"/>
      <c r="W321" s="94"/>
      <c r="X321" s="94"/>
      <c r="Y321" s="94"/>
      <c r="Z321" s="94"/>
      <c r="AA321" s="94"/>
      <c r="AB321" s="94"/>
      <c r="AC321" s="94"/>
      <c r="AD321" s="94"/>
      <c r="AE321" s="94"/>
      <c r="AF321" s="94"/>
      <c r="AG321" s="94"/>
      <c r="AH321" s="94"/>
      <c r="AI321" s="94"/>
      <c r="AJ321" s="94"/>
      <c r="AK321" s="94"/>
      <c r="AL321" s="94"/>
      <c r="AM321" s="94"/>
      <c r="AN321" s="94"/>
      <c r="AO321" s="94"/>
      <c r="AP321" s="94"/>
      <c r="AQ321" s="94"/>
      <c r="AR321" s="94"/>
      <c r="AS321" s="94"/>
      <c r="AT321" s="94"/>
      <c r="AU321" s="94"/>
      <c r="AV321" s="94"/>
      <c r="AW321" s="94"/>
      <c r="AX321" s="94"/>
      <c r="AY321" s="94"/>
      <c r="BA321" s="95"/>
    </row>
    <row r="322" spans="1:53" s="87" customFormat="1">
      <c r="A322" s="90" t="str">
        <f t="shared" si="52"/>
        <v/>
      </c>
      <c r="B322" s="98">
        <v>3</v>
      </c>
      <c r="C322" s="94">
        <v>3</v>
      </c>
      <c r="D322" s="94" t="s">
        <v>210</v>
      </c>
      <c r="E322" s="94">
        <v>-5</v>
      </c>
      <c r="F322" s="94" t="s">
        <v>210</v>
      </c>
      <c r="G322" s="94">
        <v>1</v>
      </c>
      <c r="H322" s="94" t="s">
        <v>210</v>
      </c>
      <c r="I322" s="94" t="s">
        <v>210</v>
      </c>
      <c r="J322" s="94">
        <v>-2</v>
      </c>
      <c r="K322" s="94" t="s">
        <v>210</v>
      </c>
      <c r="L322" s="94">
        <v>-4</v>
      </c>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BA322" s="95"/>
    </row>
    <row r="323" spans="1:53" s="87" customFormat="1">
      <c r="A323" s="90" t="str">
        <f t="shared" si="52"/>
        <v/>
      </c>
      <c r="B323" s="98">
        <v>4</v>
      </c>
      <c r="C323" s="94" t="s">
        <v>210</v>
      </c>
      <c r="D323" s="94">
        <v>-3</v>
      </c>
      <c r="E323" s="94">
        <v>1</v>
      </c>
      <c r="F323" s="94" t="s">
        <v>210</v>
      </c>
      <c r="G323" s="94" t="s">
        <v>210</v>
      </c>
      <c r="H323" s="94">
        <v>2</v>
      </c>
      <c r="I323" s="94">
        <v>-5</v>
      </c>
      <c r="J323" s="94" t="s">
        <v>210</v>
      </c>
      <c r="K323" s="94" t="s">
        <v>210</v>
      </c>
      <c r="L323" s="94">
        <v>4</v>
      </c>
      <c r="M323" s="94"/>
      <c r="N323" s="94"/>
      <c r="O323" s="94"/>
      <c r="P323" s="94"/>
      <c r="Q323" s="94"/>
      <c r="R323" s="94"/>
      <c r="S323" s="94"/>
      <c r="T323" s="94"/>
      <c r="U323" s="94"/>
      <c r="V323" s="94"/>
      <c r="W323" s="94"/>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c r="BA323" s="95"/>
    </row>
    <row r="324" spans="1:53" s="87" customFormat="1">
      <c r="A324" s="90" t="str">
        <f t="shared" si="52"/>
        <v/>
      </c>
      <c r="B324" s="98">
        <v>5</v>
      </c>
      <c r="C324" s="94" t="s">
        <v>210</v>
      </c>
      <c r="D324" s="94">
        <v>2</v>
      </c>
      <c r="E324" s="94" t="s">
        <v>210</v>
      </c>
      <c r="F324" s="94">
        <v>-4</v>
      </c>
      <c r="G324" s="94">
        <v>-1</v>
      </c>
      <c r="H324" s="94" t="s">
        <v>210</v>
      </c>
      <c r="I324" s="94">
        <v>5</v>
      </c>
      <c r="J324" s="94" t="s">
        <v>210</v>
      </c>
      <c r="K324" s="94" t="s">
        <v>210</v>
      </c>
      <c r="L324" s="94">
        <v>3</v>
      </c>
      <c r="M324" s="94"/>
      <c r="N324" s="94"/>
      <c r="O324" s="94"/>
      <c r="P324" s="94"/>
      <c r="Q324" s="94"/>
      <c r="R324" s="94"/>
      <c r="S324" s="94"/>
      <c r="T324" s="94"/>
      <c r="U324" s="94"/>
      <c r="V324" s="94"/>
      <c r="W324" s="94"/>
      <c r="X324" s="94"/>
      <c r="Y324" s="94"/>
      <c r="Z324" s="94"/>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BA324" s="95"/>
    </row>
    <row r="325" spans="1:53" s="87" customFormat="1">
      <c r="A325" s="90" t="str">
        <f t="shared" si="52"/>
        <v/>
      </c>
      <c r="B325" s="99">
        <v>6</v>
      </c>
      <c r="C325" s="92" t="s">
        <v>210</v>
      </c>
      <c r="D325" s="92">
        <v>3</v>
      </c>
      <c r="E325" s="92">
        <v>5</v>
      </c>
      <c r="F325" s="92" t="s">
        <v>210</v>
      </c>
      <c r="G325" s="92" t="s">
        <v>210</v>
      </c>
      <c r="H325" s="92">
        <v>-4</v>
      </c>
      <c r="I325" s="92">
        <v>1</v>
      </c>
      <c r="J325" s="92" t="s">
        <v>210</v>
      </c>
      <c r="K325" s="92" t="s">
        <v>210</v>
      </c>
      <c r="L325" s="92">
        <v>-3</v>
      </c>
      <c r="M325" s="94"/>
      <c r="N325" s="94"/>
      <c r="O325" s="94"/>
      <c r="P325" s="94"/>
      <c r="Q325" s="94"/>
      <c r="R325" s="94"/>
      <c r="S325" s="94"/>
      <c r="T325" s="94"/>
      <c r="U325" s="94"/>
      <c r="V325" s="94"/>
      <c r="W325" s="94"/>
      <c r="X325" s="94"/>
      <c r="Y325" s="94"/>
      <c r="Z325" s="94"/>
      <c r="AA325" s="94"/>
      <c r="AB325" s="94"/>
      <c r="AC325" s="94"/>
      <c r="AD325" s="94"/>
      <c r="AE325" s="94"/>
      <c r="AF325" s="94"/>
      <c r="AG325" s="94"/>
      <c r="AH325" s="94"/>
      <c r="AI325" s="94"/>
      <c r="AJ325" s="94"/>
      <c r="AK325" s="94"/>
      <c r="AL325" s="94"/>
      <c r="AM325" s="94"/>
      <c r="AN325" s="94"/>
      <c r="AO325" s="94"/>
      <c r="AP325" s="94"/>
      <c r="AQ325" s="94"/>
      <c r="AR325" s="94"/>
      <c r="AS325" s="94"/>
      <c r="AT325" s="94"/>
      <c r="AU325" s="94"/>
      <c r="AV325" s="94"/>
      <c r="AW325" s="94"/>
      <c r="AX325" s="94"/>
      <c r="AY325" s="94"/>
      <c r="BA325" s="95"/>
    </row>
    <row r="326" spans="1:53" s="87" customFormat="1">
      <c r="A326" s="90" t="str">
        <f t="shared" si="52"/>
        <v/>
      </c>
      <c r="B326" s="98">
        <v>7</v>
      </c>
      <c r="C326" s="94" t="s">
        <v>210</v>
      </c>
      <c r="D326" s="94">
        <v>5</v>
      </c>
      <c r="E326" s="94">
        <v>-4</v>
      </c>
      <c r="F326" s="94" t="s">
        <v>210</v>
      </c>
      <c r="G326" s="94" t="s">
        <v>210</v>
      </c>
      <c r="H326" s="94">
        <v>-1</v>
      </c>
      <c r="I326" s="94">
        <v>3</v>
      </c>
      <c r="J326" s="94" t="s">
        <v>210</v>
      </c>
      <c r="K326" s="94">
        <v>2</v>
      </c>
      <c r="L326" s="94" t="s">
        <v>210</v>
      </c>
      <c r="M326" s="94"/>
      <c r="N326" s="94"/>
      <c r="O326" s="94"/>
      <c r="P326" s="94"/>
      <c r="Q326" s="94"/>
      <c r="R326" s="94"/>
      <c r="S326" s="94"/>
      <c r="T326" s="94"/>
      <c r="U326" s="94"/>
      <c r="V326" s="94"/>
      <c r="W326" s="94"/>
      <c r="X326" s="94"/>
      <c r="Y326" s="94"/>
      <c r="Z326" s="94"/>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c r="AW326" s="94"/>
      <c r="AX326" s="94"/>
      <c r="AY326" s="94"/>
      <c r="BA326" s="95"/>
    </row>
    <row r="327" spans="1:53" s="87" customFormat="1">
      <c r="A327" s="90" t="str">
        <f t="shared" si="52"/>
        <v/>
      </c>
      <c r="B327" s="98">
        <v>8</v>
      </c>
      <c r="C327" s="94" t="s">
        <v>210</v>
      </c>
      <c r="D327" s="94">
        <v>1</v>
      </c>
      <c r="E327" s="94">
        <v>3</v>
      </c>
      <c r="F327" s="94" t="s">
        <v>210</v>
      </c>
      <c r="G327" s="94" t="s">
        <v>210</v>
      </c>
      <c r="H327" s="94">
        <v>-5</v>
      </c>
      <c r="I327" s="94">
        <v>4</v>
      </c>
      <c r="J327" s="94" t="s">
        <v>210</v>
      </c>
      <c r="K327" s="94">
        <v>-2</v>
      </c>
      <c r="L327" s="94" t="s">
        <v>210</v>
      </c>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BA327" s="95"/>
    </row>
    <row r="328" spans="1:53" s="87" customFormat="1">
      <c r="A328" s="90" t="str">
        <f t="shared" si="52"/>
        <v/>
      </c>
      <c r="B328" s="98">
        <v>9</v>
      </c>
      <c r="C328" s="94" t="s">
        <v>210</v>
      </c>
      <c r="D328" s="94">
        <v>-1</v>
      </c>
      <c r="E328" s="94">
        <v>4</v>
      </c>
      <c r="F328" s="94" t="s">
        <v>210</v>
      </c>
      <c r="G328" s="94" t="s">
        <v>210</v>
      </c>
      <c r="H328" s="94">
        <v>-3</v>
      </c>
      <c r="I328" s="94">
        <v>2</v>
      </c>
      <c r="J328" s="94" t="s">
        <v>210</v>
      </c>
      <c r="K328" s="94" t="s">
        <v>210</v>
      </c>
      <c r="L328" s="94">
        <v>1</v>
      </c>
      <c r="M328" s="94"/>
      <c r="N328" s="94"/>
      <c r="O328" s="94"/>
      <c r="P328" s="94"/>
      <c r="Q328" s="94"/>
      <c r="R328" s="94"/>
      <c r="S328" s="94"/>
      <c r="T328" s="94"/>
      <c r="U328" s="94"/>
      <c r="V328" s="94"/>
      <c r="W328" s="94"/>
      <c r="X328" s="94"/>
      <c r="Y328" s="94"/>
      <c r="Z328" s="94"/>
      <c r="AA328" s="94"/>
      <c r="AB328" s="94"/>
      <c r="AC328" s="94"/>
      <c r="AD328" s="94"/>
      <c r="AE328" s="94"/>
      <c r="AF328" s="94"/>
      <c r="AG328" s="94"/>
      <c r="AH328" s="94"/>
      <c r="AI328" s="94"/>
      <c r="AJ328" s="94"/>
      <c r="AK328" s="94"/>
      <c r="AL328" s="94"/>
      <c r="AM328" s="94"/>
      <c r="AN328" s="94"/>
      <c r="AO328" s="94"/>
      <c r="AP328" s="94"/>
      <c r="AQ328" s="94"/>
      <c r="AR328" s="94"/>
      <c r="AS328" s="94"/>
      <c r="AT328" s="94"/>
      <c r="AU328" s="94"/>
      <c r="AV328" s="94"/>
      <c r="AW328" s="94"/>
      <c r="AX328" s="94"/>
      <c r="AY328" s="94"/>
      <c r="BA328" s="95"/>
    </row>
    <row r="329" spans="1:53" s="87" customFormat="1">
      <c r="A329" s="90" t="str">
        <f t="shared" si="52"/>
        <v/>
      </c>
      <c r="B329" s="98">
        <v>10</v>
      </c>
      <c r="C329" s="94" t="s">
        <v>210</v>
      </c>
      <c r="D329" s="94">
        <v>-4</v>
      </c>
      <c r="E329" s="94">
        <v>2</v>
      </c>
      <c r="F329" s="94" t="s">
        <v>210</v>
      </c>
      <c r="G329" s="94" t="s">
        <v>210</v>
      </c>
      <c r="H329" s="94">
        <v>5</v>
      </c>
      <c r="I329" s="94">
        <v>-3</v>
      </c>
      <c r="J329" s="94" t="s">
        <v>210</v>
      </c>
      <c r="K329" s="94" t="s">
        <v>210</v>
      </c>
      <c r="L329" s="94">
        <v>-1</v>
      </c>
      <c r="M329" s="94"/>
      <c r="N329" s="94"/>
      <c r="O329" s="94"/>
      <c r="P329" s="94"/>
      <c r="Q329" s="94"/>
      <c r="R329" s="94"/>
      <c r="S329" s="94"/>
      <c r="T329" s="94"/>
      <c r="U329" s="94"/>
      <c r="V329" s="94"/>
      <c r="W329" s="94"/>
      <c r="X329" s="94"/>
      <c r="Y329" s="94"/>
      <c r="Z329" s="94"/>
      <c r="AA329" s="94"/>
      <c r="AB329" s="94"/>
      <c r="AC329" s="94"/>
      <c r="AD329" s="94"/>
      <c r="AE329" s="94"/>
      <c r="AF329" s="94"/>
      <c r="AG329" s="94"/>
      <c r="AH329" s="94"/>
      <c r="AI329" s="94"/>
      <c r="AJ329" s="94"/>
      <c r="AK329" s="94"/>
      <c r="AL329" s="94"/>
      <c r="AM329" s="94"/>
      <c r="AN329" s="94"/>
      <c r="AO329" s="94"/>
      <c r="AP329" s="94"/>
      <c r="AQ329" s="94"/>
      <c r="AR329" s="94"/>
      <c r="AS329" s="94"/>
      <c r="AT329" s="94"/>
      <c r="AU329" s="94"/>
      <c r="AV329" s="94"/>
      <c r="AW329" s="94"/>
      <c r="AX329" s="94"/>
      <c r="AY329" s="94"/>
      <c r="BA329" s="95"/>
    </row>
    <row r="330" spans="1:53" s="87" customFormat="1">
      <c r="A330" s="90" t="str">
        <f t="shared" si="52"/>
        <v/>
      </c>
      <c r="B330" s="94">
        <v>11</v>
      </c>
      <c r="C330" s="94" t="s">
        <v>210</v>
      </c>
      <c r="D330" s="94">
        <v>4</v>
      </c>
      <c r="E330" s="94">
        <v>-3</v>
      </c>
      <c r="F330" s="94" t="s">
        <v>210</v>
      </c>
      <c r="G330" s="94" t="s">
        <v>210</v>
      </c>
      <c r="H330" s="94">
        <v>1</v>
      </c>
      <c r="I330" s="94">
        <v>-2</v>
      </c>
      <c r="J330" s="94" t="s">
        <v>210</v>
      </c>
      <c r="K330" s="94" t="s">
        <v>210</v>
      </c>
      <c r="L330" s="94">
        <v>-5</v>
      </c>
      <c r="M330" s="94"/>
      <c r="N330" s="94"/>
      <c r="O330" s="94"/>
      <c r="P330" s="94"/>
      <c r="Q330" s="94"/>
      <c r="R330" s="94"/>
      <c r="S330" s="94"/>
      <c r="T330" s="94"/>
      <c r="U330" s="94"/>
      <c r="V330" s="94"/>
      <c r="W330" s="94"/>
      <c r="X330" s="94"/>
      <c r="Y330" s="94"/>
      <c r="Z330" s="94"/>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c r="AW330" s="94"/>
      <c r="AX330" s="94"/>
      <c r="AY330" s="94"/>
      <c r="BA330" s="95"/>
    </row>
    <row r="331" spans="1:53" s="87" customFormat="1">
      <c r="A331" s="90" t="str">
        <f t="shared" si="52"/>
        <v/>
      </c>
      <c r="B331" s="92">
        <v>12</v>
      </c>
      <c r="C331" s="92" t="s">
        <v>210</v>
      </c>
      <c r="D331" s="92">
        <v>-5</v>
      </c>
      <c r="E331" s="92">
        <v>-2</v>
      </c>
      <c r="F331" s="92" t="s">
        <v>210</v>
      </c>
      <c r="G331" s="92" t="s">
        <v>210</v>
      </c>
      <c r="H331" s="92">
        <v>3</v>
      </c>
      <c r="I331" s="92">
        <v>-4</v>
      </c>
      <c r="J331" s="92" t="s">
        <v>210</v>
      </c>
      <c r="K331" s="92" t="s">
        <v>210</v>
      </c>
      <c r="L331" s="92">
        <v>5</v>
      </c>
      <c r="M331" s="94"/>
      <c r="N331" s="94"/>
      <c r="O331" s="94"/>
      <c r="P331" s="94"/>
      <c r="Q331" s="94"/>
      <c r="R331" s="94"/>
      <c r="S331" s="94"/>
      <c r="T331" s="94"/>
      <c r="U331" s="94"/>
      <c r="V331" s="94"/>
      <c r="W331" s="94"/>
      <c r="X331" s="94"/>
      <c r="Y331" s="94"/>
      <c r="Z331" s="94"/>
      <c r="AA331" s="94"/>
      <c r="AB331" s="94"/>
      <c r="AC331" s="94"/>
      <c r="AD331" s="94"/>
      <c r="AE331" s="94"/>
      <c r="AF331" s="94"/>
      <c r="AG331" s="94"/>
      <c r="AH331" s="94"/>
      <c r="AI331" s="94"/>
      <c r="AJ331" s="94"/>
      <c r="AK331" s="94"/>
      <c r="AL331" s="94"/>
      <c r="AM331" s="94"/>
      <c r="AN331" s="94"/>
      <c r="AO331" s="94"/>
      <c r="AP331" s="94"/>
      <c r="AQ331" s="94"/>
      <c r="AR331" s="94"/>
      <c r="AS331" s="94"/>
      <c r="AT331" s="94"/>
      <c r="AU331" s="94"/>
      <c r="AV331" s="94"/>
      <c r="AW331" s="94"/>
      <c r="AX331" s="94"/>
      <c r="AY331" s="94"/>
      <c r="BA331" s="95"/>
    </row>
    <row r="332" spans="1:53" s="87" customFormat="1">
      <c r="A332" s="90" t="str">
        <f t="shared" ref="A332:A395" si="53">IF(MID(B332,3,2)="05",ROW(),"")</f>
        <v/>
      </c>
      <c r="B332" s="94">
        <v>13</v>
      </c>
      <c r="C332" s="94">
        <v>-1</v>
      </c>
      <c r="D332" s="94" t="s">
        <v>210</v>
      </c>
      <c r="E332" s="94" t="s">
        <v>210</v>
      </c>
      <c r="F332" s="94">
        <v>2</v>
      </c>
      <c r="G332" s="94">
        <v>-5</v>
      </c>
      <c r="H332" s="94" t="s">
        <v>210</v>
      </c>
      <c r="I332" s="94" t="s">
        <v>210</v>
      </c>
      <c r="J332" s="94">
        <v>1</v>
      </c>
      <c r="K332" s="94">
        <v>-4</v>
      </c>
      <c r="L332" s="94" t="s">
        <v>210</v>
      </c>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BA332" s="95"/>
    </row>
    <row r="333" spans="1:53" s="87" customFormat="1">
      <c r="A333" s="90" t="str">
        <f t="shared" si="53"/>
        <v/>
      </c>
      <c r="B333" s="94">
        <v>14</v>
      </c>
      <c r="C333" s="94">
        <v>-5</v>
      </c>
      <c r="D333" s="94" t="s">
        <v>210</v>
      </c>
      <c r="E333" s="94" t="s">
        <v>210</v>
      </c>
      <c r="F333" s="94">
        <v>1</v>
      </c>
      <c r="G333" s="94">
        <v>2</v>
      </c>
      <c r="H333" s="94" t="s">
        <v>210</v>
      </c>
      <c r="I333" s="94" t="s">
        <v>210</v>
      </c>
      <c r="J333" s="94">
        <v>-3</v>
      </c>
      <c r="K333" s="94">
        <v>4</v>
      </c>
      <c r="L333" s="94" t="s">
        <v>210</v>
      </c>
      <c r="M333" s="94"/>
      <c r="N333" s="94"/>
      <c r="O333" s="94"/>
      <c r="P333" s="94"/>
      <c r="Q333" s="94"/>
      <c r="R333" s="94"/>
      <c r="S333" s="94"/>
      <c r="T333" s="94"/>
      <c r="U333" s="94"/>
      <c r="V333" s="94"/>
      <c r="W333" s="94"/>
      <c r="X333" s="94"/>
      <c r="Y333" s="94"/>
      <c r="Z333" s="94"/>
      <c r="AA333" s="94"/>
      <c r="AB333" s="94"/>
      <c r="AC333" s="94"/>
      <c r="AD333" s="94"/>
      <c r="AE333" s="94"/>
      <c r="AF333" s="94"/>
      <c r="AG333" s="94"/>
      <c r="AH333" s="94"/>
      <c r="AI333" s="94"/>
      <c r="AJ333" s="94"/>
      <c r="AK333" s="94"/>
      <c r="AL333" s="94"/>
      <c r="AM333" s="94"/>
      <c r="AN333" s="94"/>
      <c r="AO333" s="94"/>
      <c r="AP333" s="94"/>
      <c r="AQ333" s="94"/>
      <c r="AR333" s="94"/>
      <c r="AS333" s="94"/>
      <c r="AT333" s="94"/>
      <c r="AU333" s="94"/>
      <c r="AV333" s="94"/>
      <c r="AW333" s="94"/>
      <c r="AX333" s="94"/>
      <c r="AY333" s="94"/>
      <c r="BA333" s="95"/>
    </row>
    <row r="334" spans="1:53" s="87" customFormat="1">
      <c r="A334" s="90" t="str">
        <f t="shared" si="53"/>
        <v/>
      </c>
      <c r="B334" s="94">
        <v>15</v>
      </c>
      <c r="C334" s="94">
        <v>2</v>
      </c>
      <c r="D334" s="94" t="s">
        <v>210</v>
      </c>
      <c r="E334" s="94" t="s">
        <v>210</v>
      </c>
      <c r="F334" s="94">
        <v>3</v>
      </c>
      <c r="G334" s="94">
        <v>-2</v>
      </c>
      <c r="H334" s="94" t="s">
        <v>210</v>
      </c>
      <c r="I334" s="94" t="s">
        <v>210</v>
      </c>
      <c r="J334" s="94">
        <v>-1</v>
      </c>
      <c r="K334" s="94">
        <v>5</v>
      </c>
      <c r="L334" s="94" t="s">
        <v>210</v>
      </c>
      <c r="M334" s="94"/>
      <c r="N334" s="94"/>
      <c r="O334" s="94"/>
      <c r="P334" s="94"/>
      <c r="Q334" s="94"/>
      <c r="R334" s="94"/>
      <c r="S334" s="94"/>
      <c r="T334" s="94"/>
      <c r="U334" s="94"/>
      <c r="V334" s="94"/>
      <c r="W334" s="94"/>
      <c r="X334" s="94"/>
      <c r="Y334" s="94"/>
      <c r="Z334" s="94"/>
      <c r="AA334" s="94"/>
      <c r="AB334" s="94"/>
      <c r="AC334" s="94"/>
      <c r="AD334" s="94"/>
      <c r="AE334" s="94"/>
      <c r="AF334" s="94"/>
      <c r="AG334" s="94"/>
      <c r="AH334" s="94"/>
      <c r="AI334" s="94"/>
      <c r="AJ334" s="94"/>
      <c r="AK334" s="94"/>
      <c r="AL334" s="94"/>
      <c r="AM334" s="94"/>
      <c r="AN334" s="94"/>
      <c r="AO334" s="94"/>
      <c r="AP334" s="94"/>
      <c r="AQ334" s="94"/>
      <c r="AR334" s="94"/>
      <c r="AS334" s="94"/>
      <c r="AT334" s="94"/>
      <c r="AU334" s="94"/>
      <c r="AV334" s="94"/>
      <c r="AW334" s="94"/>
      <c r="AX334" s="94"/>
      <c r="AY334" s="94"/>
      <c r="BA334" s="95"/>
    </row>
    <row r="335" spans="1:53" s="87" customFormat="1">
      <c r="A335" s="90" t="str">
        <f t="shared" si="53"/>
        <v/>
      </c>
      <c r="B335" s="94">
        <v>16</v>
      </c>
      <c r="C335" s="94">
        <v>5</v>
      </c>
      <c r="D335" s="94" t="s">
        <v>210</v>
      </c>
      <c r="E335" s="94" t="s">
        <v>210</v>
      </c>
      <c r="F335" s="94">
        <v>-2</v>
      </c>
      <c r="G335" s="94">
        <v>3</v>
      </c>
      <c r="H335" s="94" t="s">
        <v>210</v>
      </c>
      <c r="I335" s="94" t="s">
        <v>210</v>
      </c>
      <c r="J335" s="94">
        <v>-4</v>
      </c>
      <c r="K335" s="94">
        <v>-5</v>
      </c>
      <c r="L335" s="94" t="s">
        <v>210</v>
      </c>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BA335" s="95"/>
    </row>
    <row r="336" spans="1:53" s="87" customFormat="1">
      <c r="A336" s="90" t="str">
        <f t="shared" si="53"/>
        <v/>
      </c>
      <c r="B336" s="92">
        <v>17</v>
      </c>
      <c r="C336" s="92">
        <v>-2</v>
      </c>
      <c r="D336" s="92" t="s">
        <v>210</v>
      </c>
      <c r="E336" s="92" t="s">
        <v>210</v>
      </c>
      <c r="F336" s="92">
        <v>-1</v>
      </c>
      <c r="G336" s="92">
        <v>5</v>
      </c>
      <c r="H336" s="92" t="s">
        <v>210</v>
      </c>
      <c r="I336" s="92" t="s">
        <v>210</v>
      </c>
      <c r="J336" s="92">
        <v>4</v>
      </c>
      <c r="K336" s="92" t="s">
        <v>202</v>
      </c>
      <c r="L336" s="92" t="s">
        <v>202</v>
      </c>
      <c r="M336" s="94"/>
      <c r="N336" s="94"/>
      <c r="O336" s="94"/>
      <c r="P336" s="94"/>
      <c r="Q336" s="94"/>
      <c r="R336" s="94"/>
      <c r="S336" s="94"/>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BA336" s="95"/>
    </row>
    <row r="337" spans="1:53" s="87" customFormat="1">
      <c r="A337" s="90" t="str">
        <f t="shared" si="53"/>
        <v/>
      </c>
      <c r="B337" s="98">
        <v>18</v>
      </c>
      <c r="C337" s="94">
        <v>1</v>
      </c>
      <c r="D337" s="94" t="s">
        <v>210</v>
      </c>
      <c r="E337" s="94" t="s">
        <v>202</v>
      </c>
      <c r="F337" s="94" t="s">
        <v>202</v>
      </c>
      <c r="G337" s="94">
        <v>-4</v>
      </c>
      <c r="H337" s="94" t="s">
        <v>210</v>
      </c>
      <c r="I337" s="94" t="s">
        <v>210</v>
      </c>
      <c r="J337" s="94">
        <v>5</v>
      </c>
      <c r="K337" s="94" t="s">
        <v>210</v>
      </c>
      <c r="L337" s="94">
        <v>-2</v>
      </c>
      <c r="M337" s="94"/>
      <c r="N337" s="94"/>
      <c r="O337" s="94"/>
      <c r="P337" s="94"/>
      <c r="Q337" s="94"/>
      <c r="R337" s="94"/>
      <c r="S337" s="94"/>
      <c r="T337" s="94"/>
      <c r="U337" s="94"/>
      <c r="V337" s="94"/>
      <c r="W337" s="94"/>
      <c r="X337" s="94"/>
      <c r="Y337" s="94"/>
      <c r="Z337" s="94"/>
      <c r="AA337" s="94"/>
      <c r="AB337" s="94"/>
      <c r="AC337" s="94"/>
      <c r="AD337" s="94"/>
      <c r="AE337" s="94"/>
      <c r="AF337" s="94"/>
      <c r="AG337" s="94"/>
      <c r="AH337" s="94"/>
      <c r="AI337" s="94"/>
      <c r="AJ337" s="94"/>
      <c r="AK337" s="94"/>
      <c r="AL337" s="94"/>
      <c r="AM337" s="94"/>
      <c r="AN337" s="94"/>
      <c r="AO337" s="94"/>
      <c r="AP337" s="94"/>
      <c r="AQ337" s="94"/>
      <c r="AR337" s="94"/>
      <c r="AS337" s="94"/>
      <c r="AT337" s="94"/>
      <c r="AU337" s="94"/>
      <c r="AV337" s="94"/>
      <c r="AW337" s="94"/>
      <c r="AX337" s="94"/>
      <c r="AY337" s="94"/>
      <c r="BA337" s="95"/>
    </row>
    <row r="338" spans="1:53" s="87" customFormat="1">
      <c r="A338" s="90" t="str">
        <f t="shared" si="53"/>
        <v/>
      </c>
      <c r="B338" s="98">
        <v>19</v>
      </c>
      <c r="C338" s="94" t="s">
        <v>202</v>
      </c>
      <c r="D338" s="94" t="s">
        <v>202</v>
      </c>
      <c r="E338" s="94" t="s">
        <v>210</v>
      </c>
      <c r="F338" s="94">
        <v>-5</v>
      </c>
      <c r="G338" s="94">
        <v>4</v>
      </c>
      <c r="H338" s="94" t="s">
        <v>210</v>
      </c>
      <c r="I338" s="94" t="s">
        <v>210</v>
      </c>
      <c r="J338" s="94">
        <v>3</v>
      </c>
      <c r="K338" s="94">
        <v>-1</v>
      </c>
      <c r="L338" s="94" t="s">
        <v>210</v>
      </c>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BA338" s="95"/>
    </row>
    <row r="339" spans="1:53" s="87" customFormat="1">
      <c r="A339" s="90" t="str">
        <f t="shared" si="53"/>
        <v/>
      </c>
      <c r="B339" s="98">
        <v>20</v>
      </c>
      <c r="C339" s="94">
        <v>4</v>
      </c>
      <c r="D339" s="94" t="s">
        <v>210</v>
      </c>
      <c r="E339" s="94" t="s">
        <v>210</v>
      </c>
      <c r="F339" s="94">
        <v>-3</v>
      </c>
      <c r="G339" s="94" t="s">
        <v>202</v>
      </c>
      <c r="H339" s="94" t="s">
        <v>202</v>
      </c>
      <c r="I339" s="94" t="s">
        <v>210</v>
      </c>
      <c r="J339" s="94">
        <v>-5</v>
      </c>
      <c r="K339" s="94">
        <v>1</v>
      </c>
      <c r="L339" s="94" t="s">
        <v>210</v>
      </c>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BA339" s="95"/>
    </row>
    <row r="340" spans="1:53" s="87" customFormat="1">
      <c r="A340" s="90" t="str">
        <f t="shared" si="53"/>
        <v/>
      </c>
      <c r="B340" s="98">
        <v>21</v>
      </c>
      <c r="C340" s="94">
        <v>-4</v>
      </c>
      <c r="D340" s="94" t="s">
        <v>210</v>
      </c>
      <c r="E340" s="94" t="s">
        <v>210</v>
      </c>
      <c r="F340" s="94">
        <v>5</v>
      </c>
      <c r="G340" s="94">
        <v>-3</v>
      </c>
      <c r="H340" s="94" t="s">
        <v>210</v>
      </c>
      <c r="I340" s="94" t="s">
        <v>202</v>
      </c>
      <c r="J340" s="94" t="s">
        <v>202</v>
      </c>
      <c r="K340" s="94" t="s">
        <v>210</v>
      </c>
      <c r="L340" s="94">
        <v>2</v>
      </c>
      <c r="M340" s="94"/>
      <c r="N340" s="94"/>
      <c r="O340" s="94"/>
      <c r="P340" s="94"/>
      <c r="Q340" s="94"/>
      <c r="R340" s="94"/>
      <c r="S340" s="94"/>
      <c r="T340" s="94"/>
      <c r="U340" s="94"/>
      <c r="V340" s="94"/>
      <c r="W340" s="94"/>
      <c r="X340" s="94"/>
      <c r="Y340" s="94"/>
      <c r="Z340" s="94"/>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c r="BA340" s="95"/>
    </row>
    <row r="341" spans="1:53" s="87" customFormat="1">
      <c r="A341" s="90" t="str">
        <f t="shared" si="53"/>
        <v/>
      </c>
      <c r="B341" s="317" t="s">
        <v>320</v>
      </c>
      <c r="C341" s="94"/>
      <c r="D341" s="94"/>
      <c r="E341" s="94"/>
      <c r="F341" s="94"/>
      <c r="G341" s="94"/>
      <c r="H341" s="94"/>
      <c r="I341" s="94"/>
      <c r="J341" s="94"/>
      <c r="K341" s="94"/>
      <c r="L341" s="94"/>
      <c r="M341" s="94"/>
      <c r="N341" s="94"/>
      <c r="O341" s="94"/>
      <c r="P341" s="94"/>
      <c r="Q341" s="94"/>
      <c r="R341" s="94"/>
      <c r="S341" s="94"/>
      <c r="T341" s="94"/>
      <c r="U341" s="94"/>
      <c r="V341" s="94"/>
      <c r="W341" s="94"/>
      <c r="X341" s="94"/>
      <c r="Y341" s="94"/>
      <c r="Z341" s="94"/>
      <c r="AA341" s="94"/>
      <c r="AB341" s="94"/>
      <c r="AC341" s="94"/>
      <c r="AD341" s="94"/>
      <c r="AE341" s="94"/>
      <c r="AF341" s="94"/>
      <c r="AG341" s="94"/>
      <c r="AH341" s="94"/>
      <c r="AI341" s="94"/>
      <c r="AJ341" s="94"/>
      <c r="AK341" s="94"/>
      <c r="AL341" s="94"/>
      <c r="AM341" s="94"/>
      <c r="AN341" s="94"/>
      <c r="AO341" s="94"/>
      <c r="AP341" s="94"/>
      <c r="AQ341" s="94"/>
      <c r="AR341" s="94"/>
      <c r="AS341" s="94"/>
      <c r="AT341" s="94"/>
      <c r="AU341" s="94"/>
      <c r="AV341" s="94"/>
      <c r="AW341" s="94"/>
      <c r="AX341" s="94"/>
      <c r="AY341" s="94"/>
      <c r="BA341" s="95"/>
    </row>
    <row r="342" spans="1:53" s="87" customFormat="1">
      <c r="A342" s="90">
        <f t="shared" si="53"/>
        <v>342</v>
      </c>
      <c r="B342" s="98" t="s">
        <v>326</v>
      </c>
      <c r="C342" s="94"/>
      <c r="D342" s="94"/>
      <c r="E342" s="94"/>
      <c r="F342" s="94"/>
      <c r="G342" s="94"/>
      <c r="H342" s="94"/>
      <c r="I342" s="94"/>
      <c r="J342" s="94"/>
      <c r="K342" s="94"/>
      <c r="L342" s="94"/>
      <c r="M342" s="94"/>
      <c r="N342" s="94"/>
      <c r="O342" s="94"/>
      <c r="P342" s="94"/>
      <c r="Q342" s="94"/>
      <c r="R342" s="94"/>
      <c r="S342" s="94"/>
      <c r="T342" s="94"/>
      <c r="U342" s="94"/>
      <c r="V342" s="94"/>
      <c r="W342" s="94"/>
      <c r="X342" s="94"/>
      <c r="Y342" s="94"/>
      <c r="Z342" s="94"/>
      <c r="AA342" s="94"/>
      <c r="AB342" s="94"/>
      <c r="AC342" s="94"/>
      <c r="AD342" s="94"/>
      <c r="AE342" s="94"/>
      <c r="AF342" s="94"/>
      <c r="AG342" s="94"/>
      <c r="AH342" s="94"/>
      <c r="AI342" s="94"/>
      <c r="AJ342" s="94"/>
      <c r="AK342" s="94"/>
      <c r="AL342" s="94"/>
      <c r="AM342" s="94"/>
      <c r="AN342" s="94"/>
      <c r="AO342" s="94"/>
      <c r="AP342" s="94"/>
      <c r="AQ342" s="94"/>
      <c r="AR342" s="94"/>
      <c r="AS342" s="94"/>
      <c r="AT342" s="94"/>
      <c r="AU342" s="94"/>
      <c r="AV342" s="94"/>
      <c r="AW342" s="94"/>
      <c r="AX342" s="94"/>
      <c r="AY342" s="94"/>
      <c r="BA342" s="95"/>
    </row>
    <row r="343" spans="1:53" s="87" customFormat="1">
      <c r="A343" s="90" t="str">
        <f t="shared" si="53"/>
        <v/>
      </c>
      <c r="B343" s="98">
        <v>1</v>
      </c>
      <c r="C343" s="94">
        <v>-4</v>
      </c>
      <c r="D343" s="94" t="s">
        <v>210</v>
      </c>
      <c r="E343" s="94" t="s">
        <v>210</v>
      </c>
      <c r="F343" s="94">
        <v>3</v>
      </c>
      <c r="G343" s="94">
        <v>1</v>
      </c>
      <c r="H343" s="94" t="s">
        <v>210</v>
      </c>
      <c r="I343" s="94" t="s">
        <v>210</v>
      </c>
      <c r="J343" s="94" t="s">
        <v>202</v>
      </c>
      <c r="K343" s="94">
        <v>-5</v>
      </c>
      <c r="L343" s="94" t="s">
        <v>210</v>
      </c>
      <c r="M343" s="94" t="s">
        <v>210</v>
      </c>
      <c r="N343" s="94">
        <v>2</v>
      </c>
      <c r="O343" s="94">
        <v>4</v>
      </c>
      <c r="P343" s="94" t="s">
        <v>210</v>
      </c>
      <c r="Q343" s="94" t="s">
        <v>210</v>
      </c>
      <c r="R343" s="94">
        <v>5</v>
      </c>
      <c r="S343" s="94">
        <v>-2</v>
      </c>
      <c r="T343" s="94" t="s">
        <v>210</v>
      </c>
      <c r="U343" s="94" t="s">
        <v>210</v>
      </c>
      <c r="V343" s="94">
        <v>-1</v>
      </c>
      <c r="W343" s="94">
        <v>-3</v>
      </c>
      <c r="X343" s="94" t="s">
        <v>210</v>
      </c>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BA343" s="95"/>
    </row>
    <row r="344" spans="1:53" s="87" customFormat="1">
      <c r="A344" s="90" t="str">
        <f t="shared" si="53"/>
        <v/>
      </c>
      <c r="B344" s="98">
        <v>2</v>
      </c>
      <c r="C344" s="94">
        <v>-3</v>
      </c>
      <c r="D344" s="94" t="s">
        <v>210</v>
      </c>
      <c r="E344" s="94" t="s">
        <v>210</v>
      </c>
      <c r="F344" s="94">
        <v>4</v>
      </c>
      <c r="G344" s="94">
        <v>-5</v>
      </c>
      <c r="H344" s="94" t="s">
        <v>210</v>
      </c>
      <c r="I344" s="94" t="s">
        <v>210</v>
      </c>
      <c r="J344" s="94">
        <v>1</v>
      </c>
      <c r="K344" s="94">
        <v>-2</v>
      </c>
      <c r="L344" s="94" t="s">
        <v>210</v>
      </c>
      <c r="M344" s="94" t="s">
        <v>210</v>
      </c>
      <c r="N344" s="94">
        <v>5</v>
      </c>
      <c r="O344" s="94" t="s">
        <v>202</v>
      </c>
      <c r="P344" s="94" t="s">
        <v>210</v>
      </c>
      <c r="Q344" s="94" t="s">
        <v>210</v>
      </c>
      <c r="R344" s="94">
        <v>-1</v>
      </c>
      <c r="S344" s="94">
        <v>-4</v>
      </c>
      <c r="T344" s="94" t="s">
        <v>210</v>
      </c>
      <c r="U344" s="94" t="s">
        <v>210</v>
      </c>
      <c r="V344" s="94">
        <v>2</v>
      </c>
      <c r="W344" s="94">
        <v>3</v>
      </c>
      <c r="X344" s="94" t="s">
        <v>210</v>
      </c>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BA344" s="95"/>
    </row>
    <row r="345" spans="1:53" s="87" customFormat="1">
      <c r="A345" s="90" t="str">
        <f t="shared" si="53"/>
        <v/>
      </c>
      <c r="B345" s="98">
        <v>3</v>
      </c>
      <c r="C345" s="94" t="s">
        <v>210</v>
      </c>
      <c r="D345" s="94">
        <v>2</v>
      </c>
      <c r="E345" s="94" t="s">
        <v>210</v>
      </c>
      <c r="F345" s="94" t="s">
        <v>202</v>
      </c>
      <c r="G345" s="94">
        <v>-3</v>
      </c>
      <c r="H345" s="94" t="s">
        <v>210</v>
      </c>
      <c r="I345" s="94" t="s">
        <v>210</v>
      </c>
      <c r="J345" s="94">
        <v>5</v>
      </c>
      <c r="K345" s="94">
        <v>4</v>
      </c>
      <c r="L345" s="94" t="s">
        <v>210</v>
      </c>
      <c r="M345" s="94" t="s">
        <v>210</v>
      </c>
      <c r="N345" s="94">
        <v>-1</v>
      </c>
      <c r="O345" s="94">
        <v>3</v>
      </c>
      <c r="P345" s="94" t="s">
        <v>210</v>
      </c>
      <c r="Q345" s="94" t="s">
        <v>210</v>
      </c>
      <c r="R345" s="94">
        <v>-5</v>
      </c>
      <c r="S345" s="94">
        <v>1</v>
      </c>
      <c r="T345" s="94" t="s">
        <v>210</v>
      </c>
      <c r="U345" s="94" t="s">
        <v>210</v>
      </c>
      <c r="V345" s="94">
        <v>-2</v>
      </c>
      <c r="W345" s="94">
        <v>-4</v>
      </c>
      <c r="X345" s="94" t="s">
        <v>210</v>
      </c>
      <c r="Y345" s="94"/>
      <c r="Z345" s="94"/>
      <c r="AA345" s="94"/>
      <c r="AB345" s="94"/>
      <c r="AC345" s="94"/>
      <c r="AD345" s="94"/>
      <c r="AE345" s="94"/>
      <c r="AF345" s="94"/>
      <c r="AG345" s="94"/>
      <c r="AH345" s="94"/>
      <c r="AI345" s="94"/>
      <c r="AJ345" s="94"/>
      <c r="AK345" s="94"/>
      <c r="AL345" s="94"/>
      <c r="AM345" s="94"/>
      <c r="AN345" s="94"/>
      <c r="AO345" s="94"/>
      <c r="AP345" s="94"/>
      <c r="AQ345" s="94"/>
      <c r="AR345" s="94"/>
      <c r="AS345" s="94"/>
      <c r="AT345" s="94"/>
      <c r="AU345" s="94"/>
      <c r="AV345" s="94"/>
      <c r="AW345" s="94"/>
      <c r="AX345" s="94"/>
      <c r="AY345" s="94"/>
      <c r="BA345" s="95"/>
    </row>
    <row r="346" spans="1:53" s="87" customFormat="1">
      <c r="A346" s="90" t="str">
        <f t="shared" si="53"/>
        <v/>
      </c>
      <c r="B346" s="98">
        <v>4</v>
      </c>
      <c r="C346" s="94">
        <v>-5</v>
      </c>
      <c r="D346" s="94" t="s">
        <v>210</v>
      </c>
      <c r="E346" s="94" t="s">
        <v>210</v>
      </c>
      <c r="F346" s="94">
        <v>-3</v>
      </c>
      <c r="G346" s="94" t="s">
        <v>202</v>
      </c>
      <c r="H346" s="94" t="s">
        <v>210</v>
      </c>
      <c r="I346" s="94" t="s">
        <v>210</v>
      </c>
      <c r="J346" s="94">
        <v>2</v>
      </c>
      <c r="K346" s="94">
        <v>-1</v>
      </c>
      <c r="L346" s="94" t="s">
        <v>210</v>
      </c>
      <c r="M346" s="94" t="s">
        <v>210</v>
      </c>
      <c r="N346" s="94">
        <v>-4</v>
      </c>
      <c r="O346" s="94">
        <v>-2</v>
      </c>
      <c r="P346" s="94" t="s">
        <v>210</v>
      </c>
      <c r="Q346" s="94" t="s">
        <v>210</v>
      </c>
      <c r="R346" s="94">
        <v>1</v>
      </c>
      <c r="S346" s="94">
        <v>3</v>
      </c>
      <c r="T346" s="94" t="s">
        <v>210</v>
      </c>
      <c r="U346" s="94" t="s">
        <v>210</v>
      </c>
      <c r="V346" s="94">
        <v>5</v>
      </c>
      <c r="W346" s="94">
        <v>4</v>
      </c>
      <c r="X346" s="94" t="s">
        <v>210</v>
      </c>
      <c r="Y346" s="94"/>
      <c r="Z346" s="94"/>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BA346" s="95"/>
    </row>
    <row r="347" spans="1:53" s="87" customFormat="1">
      <c r="A347" s="90" t="str">
        <f t="shared" si="53"/>
        <v/>
      </c>
      <c r="B347" s="98">
        <v>5</v>
      </c>
      <c r="C347" s="94">
        <v>-1</v>
      </c>
      <c r="D347" s="94" t="s">
        <v>210</v>
      </c>
      <c r="E347" s="94" t="s">
        <v>210</v>
      </c>
      <c r="F347" s="94">
        <v>-2</v>
      </c>
      <c r="G347" s="94">
        <v>5</v>
      </c>
      <c r="H347" s="94" t="s">
        <v>210</v>
      </c>
      <c r="I347" s="94" t="s">
        <v>210</v>
      </c>
      <c r="J347" s="94">
        <v>4</v>
      </c>
      <c r="K347" s="94">
        <v>-3</v>
      </c>
      <c r="L347" s="94" t="s">
        <v>210</v>
      </c>
      <c r="M347" s="94" t="s">
        <v>210</v>
      </c>
      <c r="N347" s="94">
        <v>1</v>
      </c>
      <c r="O347" s="94">
        <v>-4</v>
      </c>
      <c r="P347" s="94" t="s">
        <v>210</v>
      </c>
      <c r="Q347" s="94" t="s">
        <v>210</v>
      </c>
      <c r="R347" s="94">
        <v>3</v>
      </c>
      <c r="S347" s="94" t="s">
        <v>202</v>
      </c>
      <c r="T347" s="94" t="s">
        <v>210</v>
      </c>
      <c r="U347" s="94" t="s">
        <v>210</v>
      </c>
      <c r="V347" s="94">
        <v>-5</v>
      </c>
      <c r="W347" s="94">
        <v>2</v>
      </c>
      <c r="X347" s="94" t="s">
        <v>210</v>
      </c>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BA347" s="95"/>
    </row>
    <row r="348" spans="1:53" s="87" customFormat="1">
      <c r="A348" s="90" t="str">
        <f t="shared" si="53"/>
        <v/>
      </c>
      <c r="B348" s="98">
        <v>6</v>
      </c>
      <c r="C348" s="94" t="s">
        <v>202</v>
      </c>
      <c r="D348" s="94" t="s">
        <v>210</v>
      </c>
      <c r="E348" s="94" t="s">
        <v>210</v>
      </c>
      <c r="F348" s="94">
        <v>-1</v>
      </c>
      <c r="G348" s="94">
        <v>4</v>
      </c>
      <c r="H348" s="94" t="s">
        <v>210</v>
      </c>
      <c r="I348" s="94" t="s">
        <v>210</v>
      </c>
      <c r="J348" s="94">
        <v>-5</v>
      </c>
      <c r="K348" s="94">
        <v>2</v>
      </c>
      <c r="L348" s="94" t="s">
        <v>210</v>
      </c>
      <c r="M348" s="94" t="s">
        <v>210</v>
      </c>
      <c r="N348" s="94">
        <v>3</v>
      </c>
      <c r="O348" s="94">
        <v>5</v>
      </c>
      <c r="P348" s="94" t="s">
        <v>210</v>
      </c>
      <c r="Q348" s="94" t="s">
        <v>210</v>
      </c>
      <c r="R348" s="94">
        <v>-4</v>
      </c>
      <c r="S348" s="94">
        <v>-3</v>
      </c>
      <c r="T348" s="94" t="s">
        <v>210</v>
      </c>
      <c r="U348" s="94" t="s">
        <v>210</v>
      </c>
      <c r="V348" s="94">
        <v>1</v>
      </c>
      <c r="W348" s="94">
        <v>-2</v>
      </c>
      <c r="X348" s="94" t="s">
        <v>210</v>
      </c>
      <c r="Y348" s="94"/>
      <c r="Z348" s="94"/>
      <c r="AA348" s="94"/>
      <c r="AB348" s="94"/>
      <c r="AC348" s="94"/>
      <c r="AD348" s="94"/>
      <c r="AE348" s="94"/>
      <c r="AF348" s="94"/>
      <c r="AG348" s="94"/>
      <c r="AH348" s="94"/>
      <c r="AI348" s="94"/>
      <c r="AJ348" s="94"/>
      <c r="AK348" s="94"/>
      <c r="AL348" s="94"/>
      <c r="AM348" s="94"/>
      <c r="AN348" s="94"/>
      <c r="AO348" s="94"/>
      <c r="AP348" s="94"/>
      <c r="AQ348" s="94"/>
      <c r="AR348" s="94"/>
      <c r="AS348" s="94"/>
      <c r="AT348" s="94"/>
      <c r="AU348" s="94"/>
      <c r="AV348" s="94"/>
      <c r="AW348" s="94"/>
      <c r="AX348" s="94"/>
      <c r="AY348" s="94"/>
      <c r="BA348" s="95"/>
    </row>
    <row r="349" spans="1:53" s="87" customFormat="1">
      <c r="A349" s="90" t="str">
        <f t="shared" si="53"/>
        <v/>
      </c>
      <c r="B349" s="98">
        <v>7</v>
      </c>
      <c r="C349" s="94" t="s">
        <v>210</v>
      </c>
      <c r="D349" s="94">
        <v>-2</v>
      </c>
      <c r="E349" s="94" t="s">
        <v>210</v>
      </c>
      <c r="F349" s="94">
        <v>5</v>
      </c>
      <c r="G349" s="94">
        <v>-4</v>
      </c>
      <c r="H349" s="94" t="s">
        <v>210</v>
      </c>
      <c r="I349" s="94" t="s">
        <v>210</v>
      </c>
      <c r="J349" s="94">
        <v>-1</v>
      </c>
      <c r="K349" s="94">
        <v>3</v>
      </c>
      <c r="L349" s="94" t="s">
        <v>210</v>
      </c>
      <c r="M349" s="94" t="s">
        <v>210</v>
      </c>
      <c r="N349" s="94">
        <v>4</v>
      </c>
      <c r="O349" s="94">
        <v>1</v>
      </c>
      <c r="P349" s="94" t="s">
        <v>210</v>
      </c>
      <c r="Q349" s="94" t="s">
        <v>210</v>
      </c>
      <c r="R349" s="94" t="s">
        <v>202</v>
      </c>
      <c r="S349" s="94">
        <v>2</v>
      </c>
      <c r="T349" s="94" t="s">
        <v>210</v>
      </c>
      <c r="U349" s="94" t="s">
        <v>210</v>
      </c>
      <c r="V349" s="94">
        <v>-3</v>
      </c>
      <c r="W349" s="94">
        <v>-5</v>
      </c>
      <c r="X349" s="94" t="s">
        <v>210</v>
      </c>
      <c r="Y349" s="94"/>
      <c r="Z349" s="94"/>
      <c r="AA349" s="94"/>
      <c r="AB349" s="94"/>
      <c r="AC349" s="94"/>
      <c r="AD349" s="94"/>
      <c r="AE349" s="94"/>
      <c r="AF349" s="94"/>
      <c r="AG349" s="94"/>
      <c r="AH349" s="94"/>
      <c r="AI349" s="94"/>
      <c r="AJ349" s="94"/>
      <c r="AK349" s="94"/>
      <c r="AL349" s="94"/>
      <c r="AM349" s="94"/>
      <c r="AN349" s="94"/>
      <c r="AO349" s="94"/>
      <c r="AP349" s="94"/>
      <c r="AQ349" s="94"/>
      <c r="AR349" s="94"/>
      <c r="AS349" s="94"/>
      <c r="AT349" s="94"/>
      <c r="AU349" s="94"/>
      <c r="AV349" s="94"/>
      <c r="AW349" s="94"/>
      <c r="AX349" s="94"/>
      <c r="AY349" s="94"/>
      <c r="BA349" s="95"/>
    </row>
    <row r="350" spans="1:53" s="87" customFormat="1">
      <c r="A350" s="90" t="str">
        <f t="shared" si="53"/>
        <v/>
      </c>
      <c r="B350" s="98">
        <v>8</v>
      </c>
      <c r="C350" s="94">
        <v>4</v>
      </c>
      <c r="D350" s="94" t="s">
        <v>210</v>
      </c>
      <c r="E350" s="94" t="s">
        <v>210</v>
      </c>
      <c r="F350" s="94">
        <v>1</v>
      </c>
      <c r="G350" s="94">
        <v>-2</v>
      </c>
      <c r="H350" s="94" t="s">
        <v>210</v>
      </c>
      <c r="I350" s="94" t="s">
        <v>210</v>
      </c>
      <c r="J350" s="94">
        <v>3</v>
      </c>
      <c r="K350" s="94" t="s">
        <v>202</v>
      </c>
      <c r="L350" s="94" t="s">
        <v>210</v>
      </c>
      <c r="M350" s="94" t="s">
        <v>210</v>
      </c>
      <c r="N350" s="94">
        <v>-5</v>
      </c>
      <c r="O350" s="94">
        <v>2</v>
      </c>
      <c r="P350" s="94" t="s">
        <v>210</v>
      </c>
      <c r="Q350" s="94" t="s">
        <v>210</v>
      </c>
      <c r="R350" s="94">
        <v>-3</v>
      </c>
      <c r="S350" s="94">
        <v>-1</v>
      </c>
      <c r="T350" s="94" t="s">
        <v>210</v>
      </c>
      <c r="U350" s="94" t="s">
        <v>210</v>
      </c>
      <c r="V350" s="94">
        <v>-4</v>
      </c>
      <c r="W350" s="94">
        <v>5</v>
      </c>
      <c r="X350" s="94" t="s">
        <v>210</v>
      </c>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BA350" s="95"/>
    </row>
    <row r="351" spans="1:53" s="87" customFormat="1">
      <c r="A351" s="90" t="str">
        <f t="shared" si="53"/>
        <v/>
      </c>
      <c r="B351" s="98">
        <v>9</v>
      </c>
      <c r="C351" s="94">
        <v>5</v>
      </c>
      <c r="D351" s="94" t="s">
        <v>210</v>
      </c>
      <c r="E351" s="94" t="s">
        <v>210</v>
      </c>
      <c r="F351" s="94">
        <v>2</v>
      </c>
      <c r="G351" s="94">
        <v>-1</v>
      </c>
      <c r="H351" s="94" t="s">
        <v>210</v>
      </c>
      <c r="I351" s="94" t="s">
        <v>210</v>
      </c>
      <c r="J351" s="94">
        <v>-3</v>
      </c>
      <c r="K351" s="94">
        <v>-4</v>
      </c>
      <c r="L351" s="94" t="s">
        <v>210</v>
      </c>
      <c r="M351" s="94" t="s">
        <v>210</v>
      </c>
      <c r="N351" s="94" t="s">
        <v>202</v>
      </c>
      <c r="O351" s="94">
        <v>-5</v>
      </c>
      <c r="P351" s="94" t="s">
        <v>210</v>
      </c>
      <c r="Q351" s="94" t="s">
        <v>210</v>
      </c>
      <c r="R351" s="94">
        <v>-2</v>
      </c>
      <c r="S351" s="94">
        <v>4</v>
      </c>
      <c r="T351" s="94" t="s">
        <v>210</v>
      </c>
      <c r="U351" s="94" t="s">
        <v>210</v>
      </c>
      <c r="V351" s="94">
        <v>3</v>
      </c>
      <c r="W351" s="94" t="s">
        <v>210</v>
      </c>
      <c r="X351" s="94">
        <v>1</v>
      </c>
      <c r="Y351" s="94"/>
      <c r="Z351" s="94"/>
      <c r="AA351" s="94"/>
      <c r="AB351" s="94"/>
      <c r="AC351" s="94"/>
      <c r="AD351" s="94"/>
      <c r="AE351" s="94"/>
      <c r="AF351" s="94"/>
      <c r="AG351" s="94"/>
      <c r="AH351" s="94"/>
      <c r="AI351" s="94"/>
      <c r="AJ351" s="94"/>
      <c r="AK351" s="94"/>
      <c r="AL351" s="94"/>
      <c r="AM351" s="94"/>
      <c r="AN351" s="94"/>
      <c r="AO351" s="94"/>
      <c r="AP351" s="94"/>
      <c r="AQ351" s="94"/>
      <c r="AR351" s="94"/>
      <c r="AS351" s="94"/>
      <c r="AT351" s="94"/>
      <c r="AU351" s="94"/>
      <c r="AV351" s="94"/>
      <c r="AW351" s="94"/>
      <c r="AX351" s="94"/>
      <c r="AY351" s="94"/>
      <c r="BA351" s="95"/>
    </row>
    <row r="352" spans="1:53" s="87" customFormat="1">
      <c r="A352" s="90" t="str">
        <f t="shared" si="53"/>
        <v/>
      </c>
      <c r="B352" s="98">
        <v>10</v>
      </c>
      <c r="C352" s="94">
        <v>3</v>
      </c>
      <c r="D352" s="94" t="s">
        <v>210</v>
      </c>
      <c r="E352" s="94" t="s">
        <v>210</v>
      </c>
      <c r="F352" s="94">
        <v>-5</v>
      </c>
      <c r="G352" s="94">
        <v>2</v>
      </c>
      <c r="H352" s="94" t="s">
        <v>210</v>
      </c>
      <c r="I352" s="94" t="s">
        <v>210</v>
      </c>
      <c r="J352" s="94">
        <v>-4</v>
      </c>
      <c r="K352" s="94">
        <v>1</v>
      </c>
      <c r="L352" s="94" t="s">
        <v>210</v>
      </c>
      <c r="M352" s="94" t="s">
        <v>210</v>
      </c>
      <c r="N352" s="94">
        <v>-2</v>
      </c>
      <c r="O352" s="94">
        <v>-3</v>
      </c>
      <c r="P352" s="94" t="s">
        <v>210</v>
      </c>
      <c r="Q352" s="94" t="s">
        <v>210</v>
      </c>
      <c r="R352" s="94">
        <v>4</v>
      </c>
      <c r="S352" s="94">
        <v>5</v>
      </c>
      <c r="T352" s="94" t="s">
        <v>210</v>
      </c>
      <c r="U352" s="94" t="s">
        <v>210</v>
      </c>
      <c r="V352" s="94" t="s">
        <v>202</v>
      </c>
      <c r="W352" s="94" t="s">
        <v>210</v>
      </c>
      <c r="X352" s="94">
        <v>-1</v>
      </c>
      <c r="Y352" s="94"/>
      <c r="Z352" s="94"/>
      <c r="AA352" s="94"/>
      <c r="AB352" s="94"/>
      <c r="AC352" s="94"/>
      <c r="AD352" s="94"/>
      <c r="AE352" s="94"/>
      <c r="AF352" s="94"/>
      <c r="AG352" s="94"/>
      <c r="AH352" s="94"/>
      <c r="AI352" s="94"/>
      <c r="AJ352" s="94"/>
      <c r="AK352" s="94"/>
      <c r="AL352" s="94"/>
      <c r="AM352" s="94"/>
      <c r="AN352" s="94"/>
      <c r="AO352" s="94"/>
      <c r="AP352" s="94"/>
      <c r="AQ352" s="94"/>
      <c r="AR352" s="94"/>
      <c r="AS352" s="94"/>
      <c r="AT352" s="94"/>
      <c r="AU352" s="94"/>
      <c r="AV352" s="94"/>
      <c r="AW352" s="94"/>
      <c r="AX352" s="94"/>
      <c r="AY352" s="94"/>
      <c r="BA352" s="95"/>
    </row>
    <row r="353" spans="1:53" s="87" customFormat="1">
      <c r="A353" s="90" t="str">
        <f t="shared" si="53"/>
        <v/>
      </c>
      <c r="B353" s="99">
        <v>11</v>
      </c>
      <c r="C353" s="92">
        <v>1</v>
      </c>
      <c r="D353" s="92" t="s">
        <v>210</v>
      </c>
      <c r="E353" s="92" t="s">
        <v>210</v>
      </c>
      <c r="F353" s="92">
        <v>-4</v>
      </c>
      <c r="G353" s="92">
        <v>3</v>
      </c>
      <c r="H353" s="92" t="s">
        <v>210</v>
      </c>
      <c r="I353" s="92" t="s">
        <v>210</v>
      </c>
      <c r="J353" s="92">
        <v>-2</v>
      </c>
      <c r="K353" s="92">
        <v>5</v>
      </c>
      <c r="L353" s="92" t="s">
        <v>210</v>
      </c>
      <c r="M353" s="92" t="s">
        <v>210</v>
      </c>
      <c r="N353" s="92">
        <v>-3</v>
      </c>
      <c r="O353" s="92">
        <v>-1</v>
      </c>
      <c r="P353" s="92" t="s">
        <v>210</v>
      </c>
      <c r="Q353" s="92" t="s">
        <v>210</v>
      </c>
      <c r="R353" s="92">
        <v>2</v>
      </c>
      <c r="S353" s="92">
        <v>-5</v>
      </c>
      <c r="T353" s="92" t="s">
        <v>210</v>
      </c>
      <c r="U353" s="92" t="s">
        <v>210</v>
      </c>
      <c r="V353" s="92">
        <v>4</v>
      </c>
      <c r="W353" s="92" t="s">
        <v>202</v>
      </c>
      <c r="X353" s="92" t="s">
        <v>210</v>
      </c>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BA353" s="95"/>
    </row>
    <row r="354" spans="1:53" s="87" customFormat="1">
      <c r="A354" s="90" t="str">
        <f t="shared" si="53"/>
        <v/>
      </c>
      <c r="B354" s="98">
        <v>12</v>
      </c>
      <c r="C354" s="94" t="s">
        <v>210</v>
      </c>
      <c r="D354" s="94">
        <v>-3</v>
      </c>
      <c r="E354" s="94">
        <v>4</v>
      </c>
      <c r="F354" s="94" t="s">
        <v>210</v>
      </c>
      <c r="G354" s="94" t="s">
        <v>210</v>
      </c>
      <c r="H354" s="94">
        <v>-5</v>
      </c>
      <c r="I354" s="94">
        <v>1</v>
      </c>
      <c r="J354" s="94" t="s">
        <v>210</v>
      </c>
      <c r="K354" s="94" t="s">
        <v>210</v>
      </c>
      <c r="L354" s="94">
        <v>-2</v>
      </c>
      <c r="M354" s="94">
        <v>5</v>
      </c>
      <c r="N354" s="94" t="s">
        <v>210</v>
      </c>
      <c r="O354" s="94" t="s">
        <v>210</v>
      </c>
      <c r="P354" s="94" t="s">
        <v>202</v>
      </c>
      <c r="Q354" s="94">
        <v>-1</v>
      </c>
      <c r="R354" s="94" t="s">
        <v>210</v>
      </c>
      <c r="S354" s="94" t="s">
        <v>210</v>
      </c>
      <c r="T354" s="94">
        <v>-4</v>
      </c>
      <c r="U354" s="94">
        <v>2</v>
      </c>
      <c r="V354" s="94" t="s">
        <v>210</v>
      </c>
      <c r="W354" s="94" t="s">
        <v>210</v>
      </c>
      <c r="X354" s="94">
        <v>3</v>
      </c>
      <c r="Y354" s="94"/>
      <c r="Z354" s="94"/>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c r="AW354" s="94"/>
      <c r="AX354" s="94"/>
      <c r="AY354" s="94"/>
      <c r="BA354" s="95"/>
    </row>
    <row r="355" spans="1:53" s="87" customFormat="1">
      <c r="A355" s="90" t="str">
        <f t="shared" si="53"/>
        <v/>
      </c>
      <c r="B355" s="98">
        <v>13</v>
      </c>
      <c r="C355" s="94" t="s">
        <v>210</v>
      </c>
      <c r="D355" s="94">
        <v>-4</v>
      </c>
      <c r="E355" s="94">
        <v>3</v>
      </c>
      <c r="F355" s="94" t="s">
        <v>210</v>
      </c>
      <c r="G355" s="94" t="s">
        <v>210</v>
      </c>
      <c r="H355" s="94">
        <v>1</v>
      </c>
      <c r="I355" s="94" t="s">
        <v>202</v>
      </c>
      <c r="J355" s="94" t="s">
        <v>210</v>
      </c>
      <c r="K355" s="94" t="s">
        <v>210</v>
      </c>
      <c r="L355" s="94">
        <v>-5</v>
      </c>
      <c r="M355" s="94">
        <v>2</v>
      </c>
      <c r="N355" s="94" t="s">
        <v>210</v>
      </c>
      <c r="O355" s="94" t="s">
        <v>210</v>
      </c>
      <c r="P355" s="94">
        <v>4</v>
      </c>
      <c r="Q355" s="94">
        <v>5</v>
      </c>
      <c r="R355" s="94" t="s">
        <v>210</v>
      </c>
      <c r="S355" s="94" t="s">
        <v>210</v>
      </c>
      <c r="T355" s="94">
        <v>-2</v>
      </c>
      <c r="U355" s="94">
        <v>-1</v>
      </c>
      <c r="V355" s="94" t="s">
        <v>210</v>
      </c>
      <c r="W355" s="94" t="s">
        <v>210</v>
      </c>
      <c r="X355" s="94">
        <v>-3</v>
      </c>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BA355" s="95"/>
    </row>
    <row r="356" spans="1:53" s="87" customFormat="1">
      <c r="A356" s="90" t="str">
        <f t="shared" si="53"/>
        <v/>
      </c>
      <c r="B356" s="98">
        <v>14</v>
      </c>
      <c r="C356" s="94">
        <v>2</v>
      </c>
      <c r="D356" s="94" t="s">
        <v>210</v>
      </c>
      <c r="E356" s="94" t="s">
        <v>202</v>
      </c>
      <c r="F356" s="94" t="s">
        <v>210</v>
      </c>
      <c r="G356" s="94" t="s">
        <v>210</v>
      </c>
      <c r="H356" s="94">
        <v>-3</v>
      </c>
      <c r="I356" s="94">
        <v>5</v>
      </c>
      <c r="J356" s="94" t="s">
        <v>210</v>
      </c>
      <c r="K356" s="94" t="s">
        <v>210</v>
      </c>
      <c r="L356" s="94">
        <v>4</v>
      </c>
      <c r="M356" s="94">
        <v>-1</v>
      </c>
      <c r="N356" s="94" t="s">
        <v>210</v>
      </c>
      <c r="O356" s="94" t="s">
        <v>210</v>
      </c>
      <c r="P356" s="94">
        <v>3</v>
      </c>
      <c r="Q356" s="94">
        <v>-5</v>
      </c>
      <c r="R356" s="94" t="s">
        <v>210</v>
      </c>
      <c r="S356" s="94" t="s">
        <v>210</v>
      </c>
      <c r="T356" s="94">
        <v>1</v>
      </c>
      <c r="U356" s="94">
        <v>-2</v>
      </c>
      <c r="V356" s="94" t="s">
        <v>210</v>
      </c>
      <c r="W356" s="94" t="s">
        <v>210</v>
      </c>
      <c r="X356" s="94">
        <v>-4</v>
      </c>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BA356" s="95"/>
    </row>
    <row r="357" spans="1:53" s="87" customFormat="1">
      <c r="A357" s="90" t="str">
        <f t="shared" si="53"/>
        <v/>
      </c>
      <c r="B357" s="98">
        <v>15</v>
      </c>
      <c r="C357" s="94" t="s">
        <v>210</v>
      </c>
      <c r="D357" s="94">
        <v>-5</v>
      </c>
      <c r="E357" s="94">
        <v>-3</v>
      </c>
      <c r="F357" s="94" t="s">
        <v>210</v>
      </c>
      <c r="G357" s="94" t="s">
        <v>210</v>
      </c>
      <c r="H357" s="94" t="s">
        <v>202</v>
      </c>
      <c r="I357" s="94">
        <v>2</v>
      </c>
      <c r="J357" s="94" t="s">
        <v>210</v>
      </c>
      <c r="K357" s="94" t="s">
        <v>210</v>
      </c>
      <c r="L357" s="94">
        <v>-1</v>
      </c>
      <c r="M357" s="94">
        <v>-4</v>
      </c>
      <c r="N357" s="94" t="s">
        <v>210</v>
      </c>
      <c r="O357" s="94" t="s">
        <v>210</v>
      </c>
      <c r="P357" s="94">
        <v>-2</v>
      </c>
      <c r="Q357" s="94">
        <v>1</v>
      </c>
      <c r="R357" s="94" t="s">
        <v>210</v>
      </c>
      <c r="S357" s="94" t="s">
        <v>210</v>
      </c>
      <c r="T357" s="94">
        <v>3</v>
      </c>
      <c r="U357" s="94">
        <v>5</v>
      </c>
      <c r="V357" s="94" t="s">
        <v>210</v>
      </c>
      <c r="W357" s="94" t="s">
        <v>210</v>
      </c>
      <c r="X357" s="94">
        <v>4</v>
      </c>
      <c r="Y357" s="94"/>
      <c r="Z357" s="94"/>
      <c r="AA357" s="94"/>
      <c r="AB357" s="94"/>
      <c r="AC357" s="94"/>
      <c r="AD357" s="94"/>
      <c r="AE357" s="94"/>
      <c r="AF357" s="94"/>
      <c r="AG357" s="94"/>
      <c r="AH357" s="94"/>
      <c r="AI357" s="94"/>
      <c r="AJ357" s="94"/>
      <c r="AK357" s="94"/>
      <c r="AL357" s="94"/>
      <c r="AM357" s="94"/>
      <c r="AN357" s="94"/>
      <c r="AO357" s="94"/>
      <c r="AP357" s="94"/>
      <c r="AQ357" s="94"/>
      <c r="AR357" s="94"/>
      <c r="AS357" s="94"/>
      <c r="AT357" s="94"/>
      <c r="AU357" s="94"/>
      <c r="AV357" s="94"/>
      <c r="AW357" s="94"/>
      <c r="AX357" s="94"/>
      <c r="AY357" s="94"/>
      <c r="BA357" s="95"/>
    </row>
    <row r="358" spans="1:53" s="87" customFormat="1">
      <c r="A358" s="90" t="str">
        <f t="shared" si="53"/>
        <v/>
      </c>
      <c r="B358" s="98">
        <v>16</v>
      </c>
      <c r="C358" s="94" t="s">
        <v>210</v>
      </c>
      <c r="D358" s="94" t="s">
        <v>202</v>
      </c>
      <c r="E358" s="94">
        <v>-1</v>
      </c>
      <c r="F358" s="94" t="s">
        <v>210</v>
      </c>
      <c r="G358" s="94" t="s">
        <v>210</v>
      </c>
      <c r="H358" s="94">
        <v>4</v>
      </c>
      <c r="I358" s="94">
        <v>-5</v>
      </c>
      <c r="J358" s="94" t="s">
        <v>210</v>
      </c>
      <c r="K358" s="94" t="s">
        <v>210</v>
      </c>
      <c r="L358" s="94">
        <v>2</v>
      </c>
      <c r="M358" s="94">
        <v>3</v>
      </c>
      <c r="N358" s="94" t="s">
        <v>210</v>
      </c>
      <c r="O358" s="94" t="s">
        <v>210</v>
      </c>
      <c r="P358" s="94">
        <v>5</v>
      </c>
      <c r="Q358" s="94">
        <v>-4</v>
      </c>
      <c r="R358" s="94" t="s">
        <v>210</v>
      </c>
      <c r="S358" s="94" t="s">
        <v>210</v>
      </c>
      <c r="T358" s="94">
        <v>-3</v>
      </c>
      <c r="U358" s="94">
        <v>1</v>
      </c>
      <c r="V358" s="94" t="s">
        <v>210</v>
      </c>
      <c r="W358" s="94" t="s">
        <v>210</v>
      </c>
      <c r="X358" s="94">
        <v>-2</v>
      </c>
      <c r="Y358" s="94"/>
      <c r="Z358" s="94"/>
      <c r="AA358" s="94"/>
      <c r="AB358" s="94"/>
      <c r="AC358" s="94"/>
      <c r="AD358" s="94"/>
      <c r="AE358" s="94"/>
      <c r="AF358" s="94"/>
      <c r="AG358" s="94"/>
      <c r="AH358" s="94"/>
      <c r="AI358" s="94"/>
      <c r="AJ358" s="94"/>
      <c r="AK358" s="94"/>
      <c r="AL358" s="94"/>
      <c r="AM358" s="94"/>
      <c r="AN358" s="94"/>
      <c r="AO358" s="94"/>
      <c r="AP358" s="94"/>
      <c r="AQ358" s="94"/>
      <c r="AR358" s="94"/>
      <c r="AS358" s="94"/>
      <c r="AT358" s="94"/>
      <c r="AU358" s="94"/>
      <c r="AV358" s="94"/>
      <c r="AW358" s="94"/>
      <c r="AX358" s="94"/>
      <c r="AY358" s="94"/>
      <c r="BA358" s="95"/>
    </row>
    <row r="359" spans="1:53" s="87" customFormat="1">
      <c r="A359" s="90" t="str">
        <f t="shared" si="53"/>
        <v/>
      </c>
      <c r="B359" s="98">
        <v>17</v>
      </c>
      <c r="C359" s="94" t="s">
        <v>210</v>
      </c>
      <c r="D359" s="94">
        <v>-1</v>
      </c>
      <c r="E359" s="94">
        <v>-2</v>
      </c>
      <c r="F359" s="94" t="s">
        <v>210</v>
      </c>
      <c r="G359" s="94" t="s">
        <v>210</v>
      </c>
      <c r="H359" s="94">
        <v>5</v>
      </c>
      <c r="I359" s="94">
        <v>4</v>
      </c>
      <c r="J359" s="94" t="s">
        <v>210</v>
      </c>
      <c r="K359" s="94" t="s">
        <v>210</v>
      </c>
      <c r="L359" s="94">
        <v>-3</v>
      </c>
      <c r="M359" s="94">
        <v>1</v>
      </c>
      <c r="N359" s="94" t="s">
        <v>210</v>
      </c>
      <c r="O359" s="94" t="s">
        <v>210</v>
      </c>
      <c r="P359" s="94">
        <v>-4</v>
      </c>
      <c r="Q359" s="94">
        <v>3</v>
      </c>
      <c r="R359" s="94" t="s">
        <v>210</v>
      </c>
      <c r="S359" s="94" t="s">
        <v>210</v>
      </c>
      <c r="T359" s="94" t="s">
        <v>202</v>
      </c>
      <c r="U359" s="94">
        <v>-5</v>
      </c>
      <c r="V359" s="94" t="s">
        <v>210</v>
      </c>
      <c r="W359" s="94" t="s">
        <v>210</v>
      </c>
      <c r="X359" s="94">
        <v>2</v>
      </c>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BA359" s="95"/>
    </row>
    <row r="360" spans="1:53" s="87" customFormat="1">
      <c r="A360" s="90" t="str">
        <f t="shared" si="53"/>
        <v/>
      </c>
      <c r="B360" s="98">
        <v>18</v>
      </c>
      <c r="C360" s="94">
        <v>-2</v>
      </c>
      <c r="D360" s="94" t="s">
        <v>210</v>
      </c>
      <c r="E360" s="94">
        <v>5</v>
      </c>
      <c r="F360" s="94" t="s">
        <v>210</v>
      </c>
      <c r="G360" s="94" t="s">
        <v>210</v>
      </c>
      <c r="H360" s="94">
        <v>-4</v>
      </c>
      <c r="I360" s="94">
        <v>-1</v>
      </c>
      <c r="J360" s="94" t="s">
        <v>210</v>
      </c>
      <c r="K360" s="94" t="s">
        <v>210</v>
      </c>
      <c r="L360" s="94">
        <v>3</v>
      </c>
      <c r="M360" s="94">
        <v>4</v>
      </c>
      <c r="N360" s="94" t="s">
        <v>210</v>
      </c>
      <c r="O360" s="94" t="s">
        <v>210</v>
      </c>
      <c r="P360" s="94">
        <v>1</v>
      </c>
      <c r="Q360" s="94" t="s">
        <v>202</v>
      </c>
      <c r="R360" s="94" t="s">
        <v>210</v>
      </c>
      <c r="S360" s="94" t="s">
        <v>210</v>
      </c>
      <c r="T360" s="94">
        <v>2</v>
      </c>
      <c r="U360" s="94">
        <v>-3</v>
      </c>
      <c r="V360" s="94" t="s">
        <v>210</v>
      </c>
      <c r="W360" s="94" t="s">
        <v>210</v>
      </c>
      <c r="X360" s="94">
        <v>-5</v>
      </c>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BA360" s="95"/>
    </row>
    <row r="361" spans="1:53" s="87" customFormat="1">
      <c r="A361" s="90" t="str">
        <f t="shared" si="53"/>
        <v/>
      </c>
      <c r="B361" s="98">
        <v>19</v>
      </c>
      <c r="C361" s="94" t="s">
        <v>210</v>
      </c>
      <c r="D361" s="94">
        <v>4</v>
      </c>
      <c r="E361" s="94">
        <v>1</v>
      </c>
      <c r="F361" s="94" t="s">
        <v>210</v>
      </c>
      <c r="G361" s="94" t="s">
        <v>210</v>
      </c>
      <c r="H361" s="94">
        <v>-2</v>
      </c>
      <c r="I361" s="94">
        <v>3</v>
      </c>
      <c r="J361" s="94" t="s">
        <v>210</v>
      </c>
      <c r="K361" s="94" t="s">
        <v>210</v>
      </c>
      <c r="L361" s="94" t="s">
        <v>202</v>
      </c>
      <c r="M361" s="94">
        <v>-5</v>
      </c>
      <c r="N361" s="94" t="s">
        <v>210</v>
      </c>
      <c r="O361" s="94" t="s">
        <v>210</v>
      </c>
      <c r="P361" s="94">
        <v>2</v>
      </c>
      <c r="Q361" s="94">
        <v>-3</v>
      </c>
      <c r="R361" s="94" t="s">
        <v>210</v>
      </c>
      <c r="S361" s="94" t="s">
        <v>210</v>
      </c>
      <c r="T361" s="94">
        <v>-1</v>
      </c>
      <c r="U361" s="94">
        <v>-4</v>
      </c>
      <c r="V361" s="94" t="s">
        <v>210</v>
      </c>
      <c r="W361" s="94" t="s">
        <v>210</v>
      </c>
      <c r="X361" s="94">
        <v>5</v>
      </c>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c r="BA361" s="95"/>
    </row>
    <row r="362" spans="1:53" s="87" customFormat="1">
      <c r="A362" s="90" t="str">
        <f t="shared" si="53"/>
        <v/>
      </c>
      <c r="B362" s="98">
        <v>20</v>
      </c>
      <c r="C362" s="94" t="s">
        <v>210</v>
      </c>
      <c r="D362" s="94">
        <v>5</v>
      </c>
      <c r="E362" s="94">
        <v>2</v>
      </c>
      <c r="F362" s="94" t="s">
        <v>210</v>
      </c>
      <c r="G362" s="94" t="s">
        <v>210</v>
      </c>
      <c r="H362" s="94">
        <v>-1</v>
      </c>
      <c r="I362" s="94">
        <v>-3</v>
      </c>
      <c r="J362" s="94" t="s">
        <v>210</v>
      </c>
      <c r="K362" s="94" t="s">
        <v>210</v>
      </c>
      <c r="L362" s="94">
        <v>-4</v>
      </c>
      <c r="M362" s="94" t="s">
        <v>202</v>
      </c>
      <c r="N362" s="94" t="s">
        <v>210</v>
      </c>
      <c r="O362" s="94" t="s">
        <v>210</v>
      </c>
      <c r="P362" s="94">
        <v>-5</v>
      </c>
      <c r="Q362" s="94">
        <v>-2</v>
      </c>
      <c r="R362" s="94" t="s">
        <v>210</v>
      </c>
      <c r="S362" s="94" t="s">
        <v>210</v>
      </c>
      <c r="T362" s="94">
        <v>4</v>
      </c>
      <c r="U362" s="94">
        <v>3</v>
      </c>
      <c r="V362" s="94" t="s">
        <v>210</v>
      </c>
      <c r="W362" s="94">
        <v>1</v>
      </c>
      <c r="X362" s="94" t="s">
        <v>210</v>
      </c>
      <c r="Y362" s="94"/>
      <c r="Z362" s="94"/>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BA362" s="95"/>
    </row>
    <row r="363" spans="1:53" s="87" customFormat="1">
      <c r="A363" s="90" t="str">
        <f t="shared" si="53"/>
        <v/>
      </c>
      <c r="B363" s="98">
        <v>21</v>
      </c>
      <c r="C363" s="94" t="s">
        <v>210</v>
      </c>
      <c r="D363" s="94">
        <v>3</v>
      </c>
      <c r="E363" s="94">
        <v>-5</v>
      </c>
      <c r="F363" s="94" t="s">
        <v>210</v>
      </c>
      <c r="G363" s="94" t="s">
        <v>210</v>
      </c>
      <c r="H363" s="94">
        <v>2</v>
      </c>
      <c r="I363" s="94">
        <v>-4</v>
      </c>
      <c r="J363" s="94" t="s">
        <v>210</v>
      </c>
      <c r="K363" s="94" t="s">
        <v>210</v>
      </c>
      <c r="L363" s="94">
        <v>1</v>
      </c>
      <c r="M363" s="94">
        <v>-2</v>
      </c>
      <c r="N363" s="94" t="s">
        <v>210</v>
      </c>
      <c r="O363" s="94" t="s">
        <v>210</v>
      </c>
      <c r="P363" s="94">
        <v>-3</v>
      </c>
      <c r="Q363" s="94">
        <v>4</v>
      </c>
      <c r="R363" s="94" t="s">
        <v>210</v>
      </c>
      <c r="S363" s="94" t="s">
        <v>210</v>
      </c>
      <c r="T363" s="94">
        <v>5</v>
      </c>
      <c r="U363" s="94" t="s">
        <v>202</v>
      </c>
      <c r="V363" s="94" t="s">
        <v>210</v>
      </c>
      <c r="W363" s="94">
        <v>-1</v>
      </c>
      <c r="X363" s="94" t="s">
        <v>210</v>
      </c>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BA363" s="95"/>
    </row>
    <row r="364" spans="1:53" s="87" customFormat="1">
      <c r="A364" s="90" t="str">
        <f t="shared" si="53"/>
        <v/>
      </c>
      <c r="B364" s="98">
        <v>22</v>
      </c>
      <c r="C364" s="94" t="s">
        <v>210</v>
      </c>
      <c r="D364" s="94">
        <v>1</v>
      </c>
      <c r="E364" s="94">
        <v>-4</v>
      </c>
      <c r="F364" s="94" t="s">
        <v>210</v>
      </c>
      <c r="G364" s="94" t="s">
        <v>210</v>
      </c>
      <c r="H364" s="94">
        <v>3</v>
      </c>
      <c r="I364" s="94">
        <v>-2</v>
      </c>
      <c r="J364" s="94" t="s">
        <v>210</v>
      </c>
      <c r="K364" s="94" t="s">
        <v>210</v>
      </c>
      <c r="L364" s="94">
        <v>5</v>
      </c>
      <c r="M364" s="94">
        <v>-3</v>
      </c>
      <c r="N364" s="94" t="s">
        <v>210</v>
      </c>
      <c r="O364" s="94" t="s">
        <v>210</v>
      </c>
      <c r="P364" s="94">
        <v>-1</v>
      </c>
      <c r="Q364" s="94">
        <v>2</v>
      </c>
      <c r="R364" s="94" t="s">
        <v>210</v>
      </c>
      <c r="S364" s="94" t="s">
        <v>210</v>
      </c>
      <c r="T364" s="94">
        <v>-5</v>
      </c>
      <c r="U364" s="94">
        <v>4</v>
      </c>
      <c r="V364" s="94" t="s">
        <v>210</v>
      </c>
      <c r="W364" s="94" t="s">
        <v>210</v>
      </c>
      <c r="X364" s="94" t="s">
        <v>202</v>
      </c>
      <c r="Y364" s="94"/>
      <c r="Z364" s="94"/>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BA364" s="95"/>
    </row>
    <row r="365" spans="1:53" s="87" customFormat="1">
      <c r="A365" s="90" t="str">
        <f t="shared" si="53"/>
        <v/>
      </c>
      <c r="B365" s="98" t="s">
        <v>327</v>
      </c>
      <c r="C365" s="94"/>
      <c r="D365" s="94"/>
      <c r="E365" s="94"/>
      <c r="F365" s="94"/>
      <c r="G365" s="94"/>
      <c r="H365" s="94"/>
      <c r="I365" s="94"/>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c r="AW365" s="94"/>
      <c r="AX365" s="94"/>
      <c r="AY365" s="94"/>
      <c r="BA365" s="95"/>
    </row>
    <row r="366" spans="1:53" s="87" customFormat="1">
      <c r="A366" s="90">
        <f t="shared" si="53"/>
        <v>366</v>
      </c>
      <c r="B366" s="98" t="s">
        <v>328</v>
      </c>
      <c r="C366" s="94"/>
      <c r="D366" s="94"/>
      <c r="E366" s="94"/>
      <c r="F366" s="94"/>
      <c r="G366" s="94"/>
      <c r="H366" s="94"/>
      <c r="I366" s="94"/>
      <c r="J366" s="94"/>
      <c r="K366" s="94"/>
      <c r="L366" s="94"/>
      <c r="M366" s="94"/>
      <c r="N366" s="94"/>
      <c r="O366" s="94"/>
      <c r="P366" s="94"/>
      <c r="Q366" s="94"/>
      <c r="R366" s="94"/>
      <c r="S366" s="94"/>
      <c r="T366" s="94"/>
      <c r="U366" s="94"/>
      <c r="V366" s="94"/>
      <c r="W366" s="94"/>
      <c r="X366" s="94"/>
      <c r="Y366" s="94"/>
      <c r="Z366" s="94"/>
      <c r="AA366" s="94"/>
      <c r="AB366" s="94"/>
      <c r="AC366" s="94"/>
      <c r="AD366" s="94"/>
      <c r="AE366" s="94"/>
      <c r="AF366" s="94"/>
      <c r="AG366" s="94"/>
      <c r="AH366" s="94"/>
      <c r="AI366" s="94"/>
      <c r="AJ366" s="94"/>
      <c r="AK366" s="94"/>
      <c r="AL366" s="94"/>
      <c r="AM366" s="94"/>
      <c r="AN366" s="94"/>
      <c r="AO366" s="94"/>
      <c r="AP366" s="94"/>
      <c r="AQ366" s="94"/>
      <c r="AR366" s="94"/>
      <c r="AS366" s="94"/>
      <c r="AT366" s="94"/>
      <c r="AU366" s="94"/>
      <c r="AV366" s="94"/>
      <c r="AW366" s="94"/>
      <c r="AX366" s="94"/>
      <c r="AY366" s="94"/>
      <c r="BA366" s="95"/>
    </row>
    <row r="367" spans="1:53" s="87" customFormat="1">
      <c r="A367" s="90" t="str">
        <f t="shared" si="53"/>
        <v/>
      </c>
      <c r="B367" s="98">
        <v>1</v>
      </c>
      <c r="C367" s="94">
        <v>2</v>
      </c>
      <c r="D367" s="94" t="s">
        <v>210</v>
      </c>
      <c r="E367" s="94" t="s">
        <v>210</v>
      </c>
      <c r="F367" s="94">
        <v>-3</v>
      </c>
      <c r="G367" s="94">
        <v>1</v>
      </c>
      <c r="H367" s="94" t="s">
        <v>210</v>
      </c>
      <c r="I367" s="94" t="s">
        <v>210</v>
      </c>
      <c r="J367" s="94">
        <v>-2</v>
      </c>
      <c r="K367" s="94">
        <v>-4</v>
      </c>
      <c r="L367" s="94" t="s">
        <v>210</v>
      </c>
      <c r="M367" s="94" t="s">
        <v>210</v>
      </c>
      <c r="N367" s="94">
        <v>5</v>
      </c>
      <c r="O367" s="94">
        <v>3</v>
      </c>
      <c r="P367" s="94" t="s">
        <v>210</v>
      </c>
      <c r="Q367" s="94"/>
      <c r="R367" s="94"/>
      <c r="S367" s="94"/>
      <c r="T367" s="94"/>
      <c r="U367" s="94"/>
      <c r="V367" s="94"/>
      <c r="W367" s="94"/>
      <c r="X367" s="94"/>
      <c r="Y367" s="94"/>
      <c r="Z367" s="94"/>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c r="BA367" s="95"/>
    </row>
    <row r="368" spans="1:53" s="87" customFormat="1">
      <c r="A368" s="90" t="str">
        <f t="shared" si="53"/>
        <v/>
      </c>
      <c r="B368" s="98">
        <v>2</v>
      </c>
      <c r="C368" s="94">
        <v>-5</v>
      </c>
      <c r="D368" s="94" t="s">
        <v>210</v>
      </c>
      <c r="E368" s="94" t="s">
        <v>210</v>
      </c>
      <c r="F368" s="94">
        <v>-1</v>
      </c>
      <c r="G368" s="94">
        <v>-4</v>
      </c>
      <c r="H368" s="94" t="s">
        <v>210</v>
      </c>
      <c r="I368" s="94" t="s">
        <v>210</v>
      </c>
      <c r="J368" s="94">
        <v>5</v>
      </c>
      <c r="K368" s="94">
        <v>3</v>
      </c>
      <c r="L368" s="94" t="s">
        <v>210</v>
      </c>
      <c r="M368" s="94" t="s">
        <v>210</v>
      </c>
      <c r="N368" s="94">
        <v>2</v>
      </c>
      <c r="O368" s="94">
        <v>-3</v>
      </c>
      <c r="P368" s="94" t="s">
        <v>210</v>
      </c>
      <c r="Q368" s="94"/>
      <c r="R368" s="94"/>
      <c r="S368" s="94"/>
      <c r="T368" s="94"/>
      <c r="U368" s="94"/>
      <c r="V368" s="94"/>
      <c r="W368" s="94"/>
      <c r="X368" s="94"/>
      <c r="Y368" s="94"/>
      <c r="Z368" s="94"/>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BA368" s="95"/>
    </row>
    <row r="369" spans="1:53" s="87" customFormat="1">
      <c r="A369" s="90" t="str">
        <f t="shared" si="53"/>
        <v/>
      </c>
      <c r="B369" s="98">
        <v>3</v>
      </c>
      <c r="C369" s="94">
        <v>-3</v>
      </c>
      <c r="D369" s="94" t="s">
        <v>210</v>
      </c>
      <c r="E369" s="94" t="s">
        <v>210</v>
      </c>
      <c r="F369" s="94">
        <v>2</v>
      </c>
      <c r="G369" s="94">
        <v>-1</v>
      </c>
      <c r="H369" s="94" t="s">
        <v>210</v>
      </c>
      <c r="I369" s="94" t="s">
        <v>210</v>
      </c>
      <c r="J369" s="94">
        <v>3</v>
      </c>
      <c r="K369" s="94">
        <v>5</v>
      </c>
      <c r="L369" s="94" t="s">
        <v>210</v>
      </c>
      <c r="M369" s="94" t="s">
        <v>210</v>
      </c>
      <c r="N369" s="94">
        <v>-2</v>
      </c>
      <c r="O369" s="94">
        <v>-4</v>
      </c>
      <c r="P369" s="94" t="s">
        <v>210</v>
      </c>
      <c r="Q369" s="94"/>
      <c r="R369" s="94"/>
      <c r="S369" s="94"/>
      <c r="T369" s="94"/>
      <c r="U369" s="94"/>
      <c r="V369" s="94"/>
      <c r="W369" s="94"/>
      <c r="X369" s="94"/>
      <c r="Y369" s="94"/>
      <c r="Z369" s="94"/>
      <c r="AA369" s="94"/>
      <c r="AB369" s="94"/>
      <c r="AC369" s="94"/>
      <c r="AD369" s="94"/>
      <c r="AE369" s="94"/>
      <c r="AF369" s="94"/>
      <c r="AG369" s="94"/>
      <c r="AH369" s="94"/>
      <c r="AI369" s="94"/>
      <c r="AJ369" s="94"/>
      <c r="AK369" s="94"/>
      <c r="AL369" s="94"/>
      <c r="AM369" s="94"/>
      <c r="AN369" s="94"/>
      <c r="AO369" s="94"/>
      <c r="AP369" s="94"/>
      <c r="AQ369" s="94"/>
      <c r="AR369" s="94"/>
      <c r="AS369" s="94"/>
      <c r="AT369" s="94"/>
      <c r="AU369" s="94"/>
      <c r="AV369" s="94"/>
      <c r="AW369" s="94"/>
      <c r="AX369" s="94"/>
      <c r="AY369" s="94"/>
      <c r="BA369" s="95"/>
    </row>
    <row r="370" spans="1:53" s="87" customFormat="1">
      <c r="A370" s="90" t="str">
        <f t="shared" si="53"/>
        <v/>
      </c>
      <c r="B370" s="98">
        <v>4</v>
      </c>
      <c r="C370" s="94">
        <v>5</v>
      </c>
      <c r="D370" s="94" t="s">
        <v>210</v>
      </c>
      <c r="E370" s="94" t="s">
        <v>210</v>
      </c>
      <c r="F370" s="94">
        <v>-4</v>
      </c>
      <c r="G370" s="94">
        <v>-3</v>
      </c>
      <c r="H370" s="94" t="s">
        <v>210</v>
      </c>
      <c r="I370" s="94" t="s">
        <v>210</v>
      </c>
      <c r="J370" s="94">
        <v>1</v>
      </c>
      <c r="K370" s="94">
        <v>-2</v>
      </c>
      <c r="L370" s="94" t="s">
        <v>210</v>
      </c>
      <c r="M370" s="94" t="s">
        <v>210</v>
      </c>
      <c r="N370" s="94">
        <v>-5</v>
      </c>
      <c r="O370" s="94">
        <v>4</v>
      </c>
      <c r="P370" s="94" t="s">
        <v>210</v>
      </c>
      <c r="Q370" s="94"/>
      <c r="R370" s="94"/>
      <c r="S370" s="94"/>
      <c r="T370" s="94"/>
      <c r="U370" s="94"/>
      <c r="V370" s="94"/>
      <c r="W370" s="94"/>
      <c r="X370" s="94"/>
      <c r="Y370" s="94"/>
      <c r="Z370" s="94"/>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BA370" s="95"/>
    </row>
    <row r="371" spans="1:53" s="87" customFormat="1">
      <c r="A371" s="90" t="str">
        <f t="shared" si="53"/>
        <v/>
      </c>
      <c r="B371" s="98">
        <v>5</v>
      </c>
      <c r="C371" s="94">
        <v>1</v>
      </c>
      <c r="D371" s="94" t="s">
        <v>210</v>
      </c>
      <c r="E371" s="94" t="s">
        <v>210</v>
      </c>
      <c r="F371" s="94">
        <v>3</v>
      </c>
      <c r="G371" s="94">
        <v>4</v>
      </c>
      <c r="H371" s="94" t="s">
        <v>210</v>
      </c>
      <c r="I371" s="94" t="s">
        <v>210</v>
      </c>
      <c r="J371" s="94">
        <v>-1</v>
      </c>
      <c r="K371" s="94">
        <v>-5</v>
      </c>
      <c r="L371" s="94" t="s">
        <v>210</v>
      </c>
      <c r="M371" s="94" t="s">
        <v>210</v>
      </c>
      <c r="N371" s="94">
        <v>-4</v>
      </c>
      <c r="O371" s="94">
        <v>2</v>
      </c>
      <c r="P371" s="94" t="s">
        <v>210</v>
      </c>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BA371" s="95"/>
    </row>
    <row r="372" spans="1:53" s="87" customFormat="1">
      <c r="A372" s="90" t="str">
        <f t="shared" si="53"/>
        <v/>
      </c>
      <c r="B372" s="98">
        <v>6</v>
      </c>
      <c r="C372" s="94">
        <v>3</v>
      </c>
      <c r="D372" s="94" t="s">
        <v>210</v>
      </c>
      <c r="E372" s="94" t="s">
        <v>210</v>
      </c>
      <c r="F372" s="94">
        <v>4</v>
      </c>
      <c r="G372" s="94">
        <v>-5</v>
      </c>
      <c r="H372" s="94" t="s">
        <v>210</v>
      </c>
      <c r="I372" s="94" t="s">
        <v>210</v>
      </c>
      <c r="J372" s="94">
        <v>2</v>
      </c>
      <c r="K372" s="94">
        <v>-3</v>
      </c>
      <c r="L372" s="94" t="s">
        <v>210</v>
      </c>
      <c r="M372" s="94" t="s">
        <v>210</v>
      </c>
      <c r="N372" s="94">
        <v>-1</v>
      </c>
      <c r="O372" s="94">
        <v>-2</v>
      </c>
      <c r="P372" s="94" t="s">
        <v>210</v>
      </c>
      <c r="Q372" s="94"/>
      <c r="R372" s="94"/>
      <c r="S372" s="94"/>
      <c r="T372" s="94"/>
      <c r="U372" s="94"/>
      <c r="V372" s="94"/>
      <c r="W372" s="94"/>
      <c r="X372" s="94"/>
      <c r="Y372" s="94"/>
      <c r="Z372" s="94"/>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BA372" s="95"/>
    </row>
    <row r="373" spans="1:53" s="87" customFormat="1">
      <c r="A373" s="90" t="str">
        <f t="shared" si="53"/>
        <v/>
      </c>
      <c r="B373" s="98">
        <v>7</v>
      </c>
      <c r="C373" s="94">
        <v>-1</v>
      </c>
      <c r="D373" s="94" t="s">
        <v>210</v>
      </c>
      <c r="E373" s="94" t="s">
        <v>210</v>
      </c>
      <c r="F373" s="94">
        <v>-2</v>
      </c>
      <c r="G373" s="94">
        <v>3</v>
      </c>
      <c r="H373" s="94" t="s">
        <v>210</v>
      </c>
      <c r="I373" s="94" t="s">
        <v>210</v>
      </c>
      <c r="J373" s="94">
        <v>-5</v>
      </c>
      <c r="K373" s="94">
        <v>4</v>
      </c>
      <c r="L373" s="94" t="s">
        <v>210</v>
      </c>
      <c r="M373" s="94" t="s">
        <v>210</v>
      </c>
      <c r="N373" s="94">
        <v>1</v>
      </c>
      <c r="O373" s="94">
        <v>5</v>
      </c>
      <c r="P373" s="94" t="s">
        <v>210</v>
      </c>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BA373" s="95"/>
    </row>
    <row r="374" spans="1:53" s="87" customFormat="1">
      <c r="A374" s="90" t="str">
        <f t="shared" si="53"/>
        <v/>
      </c>
      <c r="B374" s="99">
        <v>8</v>
      </c>
      <c r="C374" s="92">
        <v>-2</v>
      </c>
      <c r="D374" s="92" t="s">
        <v>210</v>
      </c>
      <c r="E374" s="92" t="s">
        <v>210</v>
      </c>
      <c r="F374" s="92">
        <v>1</v>
      </c>
      <c r="G374" s="92">
        <v>5</v>
      </c>
      <c r="H374" s="92" t="s">
        <v>210</v>
      </c>
      <c r="I374" s="92" t="s">
        <v>210</v>
      </c>
      <c r="J374" s="92">
        <v>-3</v>
      </c>
      <c r="K374" s="92">
        <v>2</v>
      </c>
      <c r="L374" s="92" t="s">
        <v>210</v>
      </c>
      <c r="M374" s="92" t="s">
        <v>210</v>
      </c>
      <c r="N374" s="92">
        <v>4</v>
      </c>
      <c r="O374" s="92">
        <v>-5</v>
      </c>
      <c r="P374" s="92" t="s">
        <v>210</v>
      </c>
      <c r="Q374" s="94"/>
      <c r="R374" s="94"/>
      <c r="S374" s="94"/>
      <c r="T374" s="94"/>
      <c r="U374" s="94"/>
      <c r="V374" s="94"/>
      <c r="W374" s="94"/>
      <c r="X374" s="94"/>
      <c r="Y374" s="94"/>
      <c r="Z374" s="94"/>
      <c r="AA374" s="94"/>
      <c r="AB374" s="94"/>
      <c r="AC374" s="94"/>
      <c r="AD374" s="94"/>
      <c r="AE374" s="94"/>
      <c r="AF374" s="94"/>
      <c r="AG374" s="94"/>
      <c r="AH374" s="94"/>
      <c r="AI374" s="94"/>
      <c r="AJ374" s="94"/>
      <c r="AK374" s="94"/>
      <c r="AL374" s="94"/>
      <c r="AM374" s="94"/>
      <c r="AN374" s="94"/>
      <c r="AO374" s="94"/>
      <c r="AP374" s="94"/>
      <c r="AQ374" s="94"/>
      <c r="AR374" s="94"/>
      <c r="AS374" s="94"/>
      <c r="AT374" s="94"/>
      <c r="AU374" s="94"/>
      <c r="AV374" s="94"/>
      <c r="AW374" s="94"/>
      <c r="AX374" s="94"/>
      <c r="AY374" s="94"/>
      <c r="BA374" s="95"/>
    </row>
    <row r="375" spans="1:53" s="87" customFormat="1">
      <c r="A375" s="90" t="str">
        <f t="shared" si="53"/>
        <v/>
      </c>
      <c r="B375" s="98">
        <v>9</v>
      </c>
      <c r="C375" s="94">
        <v>4</v>
      </c>
      <c r="D375" s="94" t="s">
        <v>210</v>
      </c>
      <c r="E375" s="94" t="s">
        <v>202</v>
      </c>
      <c r="F375" s="94" t="s">
        <v>210</v>
      </c>
      <c r="G375" s="94" t="s">
        <v>210</v>
      </c>
      <c r="H375" s="94">
        <v>5</v>
      </c>
      <c r="I375" s="94">
        <v>2</v>
      </c>
      <c r="J375" s="94" t="s">
        <v>210</v>
      </c>
      <c r="K375" s="94" t="s">
        <v>210</v>
      </c>
      <c r="L375" s="94">
        <v>-1</v>
      </c>
      <c r="M375" s="94">
        <v>-2</v>
      </c>
      <c r="N375" s="94" t="s">
        <v>210</v>
      </c>
      <c r="O375" s="94" t="s">
        <v>210</v>
      </c>
      <c r="P375" s="94">
        <v>-3</v>
      </c>
      <c r="Q375" s="94"/>
      <c r="R375" s="94"/>
      <c r="S375" s="94"/>
      <c r="T375" s="94"/>
      <c r="U375" s="94"/>
      <c r="V375" s="94"/>
      <c r="W375" s="94"/>
      <c r="X375" s="94"/>
      <c r="Y375" s="94"/>
      <c r="Z375" s="94"/>
      <c r="AA375" s="94"/>
      <c r="AB375" s="94"/>
      <c r="AC375" s="94"/>
      <c r="AD375" s="94"/>
      <c r="AE375" s="94"/>
      <c r="AF375" s="94"/>
      <c r="AG375" s="94"/>
      <c r="AH375" s="94"/>
      <c r="AI375" s="94"/>
      <c r="AJ375" s="94"/>
      <c r="AK375" s="94"/>
      <c r="AL375" s="94"/>
      <c r="AM375" s="94"/>
      <c r="AN375" s="94"/>
      <c r="AO375" s="94"/>
      <c r="AP375" s="94"/>
      <c r="AQ375" s="94"/>
      <c r="AR375" s="94"/>
      <c r="AS375" s="94"/>
      <c r="AT375" s="94"/>
      <c r="AU375" s="94"/>
      <c r="AV375" s="94"/>
      <c r="AW375" s="94"/>
      <c r="AX375" s="94"/>
      <c r="AY375" s="94"/>
      <c r="BA375" s="95"/>
    </row>
    <row r="376" spans="1:53" s="87" customFormat="1">
      <c r="A376" s="90" t="str">
        <f t="shared" si="53"/>
        <v/>
      </c>
      <c r="B376" s="98">
        <v>10</v>
      </c>
      <c r="C376" s="94" t="s">
        <v>210</v>
      </c>
      <c r="D376" s="94">
        <v>4</v>
      </c>
      <c r="E376" s="94">
        <v>5</v>
      </c>
      <c r="F376" s="94" t="s">
        <v>210</v>
      </c>
      <c r="G376" s="94">
        <v>-2</v>
      </c>
      <c r="H376" s="94" t="s">
        <v>210</v>
      </c>
      <c r="I376" s="94" t="s">
        <v>202</v>
      </c>
      <c r="J376" s="94" t="s">
        <v>210</v>
      </c>
      <c r="K376" s="94" t="s">
        <v>210</v>
      </c>
      <c r="L376" s="94">
        <v>-3</v>
      </c>
      <c r="M376" s="94">
        <v>-5</v>
      </c>
      <c r="N376" s="94" t="s">
        <v>210</v>
      </c>
      <c r="O376" s="94" t="s">
        <v>210</v>
      </c>
      <c r="P376" s="94">
        <v>3</v>
      </c>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BA376" s="95"/>
    </row>
    <row r="377" spans="1:53" s="87" customFormat="1">
      <c r="A377" s="90" t="str">
        <f t="shared" si="53"/>
        <v/>
      </c>
      <c r="B377" s="98">
        <v>11</v>
      </c>
      <c r="C377" s="94" t="s">
        <v>210</v>
      </c>
      <c r="D377" s="94">
        <v>-4</v>
      </c>
      <c r="E377" s="94" t="s">
        <v>210</v>
      </c>
      <c r="F377" s="94">
        <v>5</v>
      </c>
      <c r="G377" s="94" t="s">
        <v>202</v>
      </c>
      <c r="H377" s="94" t="s">
        <v>210</v>
      </c>
      <c r="I377" s="94">
        <v>-2</v>
      </c>
      <c r="J377" s="94" t="s">
        <v>210</v>
      </c>
      <c r="K377" s="94">
        <v>-1</v>
      </c>
      <c r="L377" s="94" t="s">
        <v>210</v>
      </c>
      <c r="M377" s="94" t="s">
        <v>210</v>
      </c>
      <c r="N377" s="94">
        <v>3</v>
      </c>
      <c r="O377" s="94">
        <v>1</v>
      </c>
      <c r="P377" s="94" t="s">
        <v>210</v>
      </c>
      <c r="Q377" s="94"/>
      <c r="R377" s="94"/>
      <c r="S377" s="94"/>
      <c r="T377" s="94"/>
      <c r="U377" s="94"/>
      <c r="V377" s="94"/>
      <c r="W377" s="94"/>
      <c r="X377" s="94"/>
      <c r="Y377" s="94"/>
      <c r="Z377" s="94"/>
      <c r="AA377" s="94"/>
      <c r="AB377" s="94"/>
      <c r="AC377" s="94"/>
      <c r="AD377" s="94"/>
      <c r="AE377" s="94"/>
      <c r="AF377" s="94"/>
      <c r="AG377" s="94"/>
      <c r="AH377" s="94"/>
      <c r="AI377" s="94"/>
      <c r="AJ377" s="94"/>
      <c r="AK377" s="94"/>
      <c r="AL377" s="94"/>
      <c r="AM377" s="94"/>
      <c r="AN377" s="94"/>
      <c r="AO377" s="94"/>
      <c r="AP377" s="94"/>
      <c r="AQ377" s="94"/>
      <c r="AR377" s="94"/>
      <c r="AS377" s="94"/>
      <c r="AT377" s="94"/>
      <c r="AU377" s="94"/>
      <c r="AV377" s="94"/>
      <c r="AW377" s="94"/>
      <c r="AX377" s="94"/>
      <c r="AY377" s="94"/>
      <c r="BA377" s="95"/>
    </row>
    <row r="378" spans="1:53" s="87" customFormat="1">
      <c r="A378" s="90" t="str">
        <f t="shared" si="53"/>
        <v/>
      </c>
      <c r="B378" s="98">
        <v>12</v>
      </c>
      <c r="C378" s="94" t="s">
        <v>210</v>
      </c>
      <c r="D378" s="94">
        <v>1</v>
      </c>
      <c r="E378" s="94">
        <v>-5</v>
      </c>
      <c r="F378" s="94" t="s">
        <v>210</v>
      </c>
      <c r="G378" s="94" t="s">
        <v>210</v>
      </c>
      <c r="H378" s="94">
        <v>3</v>
      </c>
      <c r="I378" s="94" t="s">
        <v>210</v>
      </c>
      <c r="J378" s="94">
        <v>-4</v>
      </c>
      <c r="K378" s="94" t="s">
        <v>202</v>
      </c>
      <c r="L378" s="94" t="s">
        <v>210</v>
      </c>
      <c r="M378" s="94">
        <v>2</v>
      </c>
      <c r="N378" s="94" t="s">
        <v>210</v>
      </c>
      <c r="O378" s="94">
        <v>-1</v>
      </c>
      <c r="P378" s="94" t="s">
        <v>210</v>
      </c>
      <c r="Q378" s="94"/>
      <c r="R378" s="94"/>
      <c r="S378" s="94"/>
      <c r="T378" s="94"/>
      <c r="U378" s="94"/>
      <c r="V378" s="94"/>
      <c r="W378" s="94"/>
      <c r="X378" s="94"/>
      <c r="Y378" s="94"/>
      <c r="Z378" s="94"/>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c r="AW378" s="94"/>
      <c r="AX378" s="94"/>
      <c r="AY378" s="94"/>
      <c r="BA378" s="95"/>
    </row>
    <row r="379" spans="1:53" s="87" customFormat="1">
      <c r="A379" s="90" t="str">
        <f t="shared" si="53"/>
        <v/>
      </c>
      <c r="B379" s="98">
        <v>13</v>
      </c>
      <c r="C379" s="94" t="s">
        <v>202</v>
      </c>
      <c r="D379" s="94" t="s">
        <v>210</v>
      </c>
      <c r="E379" s="94">
        <v>-3</v>
      </c>
      <c r="F379" s="94" t="s">
        <v>210</v>
      </c>
      <c r="G379" s="94" t="s">
        <v>210</v>
      </c>
      <c r="H379" s="94">
        <v>-5</v>
      </c>
      <c r="I379" s="94" t="s">
        <v>210</v>
      </c>
      <c r="J379" s="94">
        <v>4</v>
      </c>
      <c r="K379" s="94">
        <v>1</v>
      </c>
      <c r="L379" s="94" t="s">
        <v>210</v>
      </c>
      <c r="M379" s="94">
        <v>5</v>
      </c>
      <c r="N379" s="94" t="s">
        <v>210</v>
      </c>
      <c r="O379" s="94" t="s">
        <v>210</v>
      </c>
      <c r="P379" s="94">
        <v>-2</v>
      </c>
      <c r="Q379" s="94"/>
      <c r="R379" s="94"/>
      <c r="S379" s="94"/>
      <c r="T379" s="94"/>
      <c r="U379" s="94"/>
      <c r="V379" s="94"/>
      <c r="W379" s="94"/>
      <c r="X379" s="94"/>
      <c r="Y379" s="94"/>
      <c r="Z379" s="94"/>
      <c r="AA379" s="94"/>
      <c r="AB379" s="94"/>
      <c r="AC379" s="94"/>
      <c r="AD379" s="94"/>
      <c r="AE379" s="94"/>
      <c r="AF379" s="94"/>
      <c r="AG379" s="94"/>
      <c r="AH379" s="94"/>
      <c r="AI379" s="94"/>
      <c r="AJ379" s="94"/>
      <c r="AK379" s="94"/>
      <c r="AL379" s="94"/>
      <c r="AM379" s="94"/>
      <c r="AN379" s="94"/>
      <c r="AO379" s="94"/>
      <c r="AP379" s="94"/>
      <c r="AQ379" s="94"/>
      <c r="AR379" s="94"/>
      <c r="AS379" s="94"/>
      <c r="AT379" s="94"/>
      <c r="AU379" s="94"/>
      <c r="AV379" s="94"/>
      <c r="AW379" s="94"/>
      <c r="AX379" s="94"/>
      <c r="AY379" s="94"/>
      <c r="BA379" s="95"/>
    </row>
    <row r="380" spans="1:53" s="87" customFormat="1">
      <c r="A380" s="90" t="str">
        <f t="shared" si="53"/>
        <v/>
      </c>
      <c r="B380" s="98">
        <v>14</v>
      </c>
      <c r="C380" s="94">
        <v>-4</v>
      </c>
      <c r="D380" s="94" t="s">
        <v>210</v>
      </c>
      <c r="E380" s="94" t="s">
        <v>210</v>
      </c>
      <c r="F380" s="94">
        <v>-5</v>
      </c>
      <c r="G380" s="94" t="s">
        <v>210</v>
      </c>
      <c r="H380" s="94">
        <v>-3</v>
      </c>
      <c r="I380" s="94">
        <v>4</v>
      </c>
      <c r="J380" s="94" t="s">
        <v>210</v>
      </c>
      <c r="K380" s="94" t="s">
        <v>210</v>
      </c>
      <c r="L380" s="94">
        <v>3</v>
      </c>
      <c r="M380" s="94" t="s">
        <v>202</v>
      </c>
      <c r="N380" s="94" t="s">
        <v>210</v>
      </c>
      <c r="O380" s="94" t="s">
        <v>210</v>
      </c>
      <c r="P380" s="94">
        <v>2</v>
      </c>
      <c r="Q380" s="94"/>
      <c r="R380" s="94"/>
      <c r="S380" s="94"/>
      <c r="T380" s="94"/>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BA380" s="95"/>
    </row>
    <row r="381" spans="1:53" s="87" customFormat="1">
      <c r="A381" s="90" t="str">
        <f t="shared" si="53"/>
        <v/>
      </c>
      <c r="B381" s="99">
        <v>15</v>
      </c>
      <c r="C381" s="92" t="s">
        <v>210</v>
      </c>
      <c r="D381" s="92">
        <v>-1</v>
      </c>
      <c r="E381" s="92">
        <v>3</v>
      </c>
      <c r="F381" s="92" t="s">
        <v>210</v>
      </c>
      <c r="G381" s="92">
        <v>2</v>
      </c>
      <c r="H381" s="92" t="s">
        <v>210</v>
      </c>
      <c r="I381" s="92">
        <v>-4</v>
      </c>
      <c r="J381" s="92" t="s">
        <v>210</v>
      </c>
      <c r="K381" s="92" t="s">
        <v>210</v>
      </c>
      <c r="L381" s="92">
        <v>1</v>
      </c>
      <c r="M381" s="92" t="s">
        <v>210</v>
      </c>
      <c r="N381" s="92">
        <v>-3</v>
      </c>
      <c r="O381" s="92" t="s">
        <v>202</v>
      </c>
      <c r="P381" s="92" t="s">
        <v>210</v>
      </c>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BA381" s="95"/>
    </row>
    <row r="382" spans="1:53" s="87" customFormat="1">
      <c r="A382" s="90" t="str">
        <f t="shared" si="53"/>
        <v/>
      </c>
      <c r="B382" s="98">
        <v>16</v>
      </c>
      <c r="C382" s="94" t="s">
        <v>210</v>
      </c>
      <c r="D382" s="94">
        <v>2</v>
      </c>
      <c r="E382" s="94">
        <v>1</v>
      </c>
      <c r="F382" s="94" t="s">
        <v>210</v>
      </c>
      <c r="G382" s="94" t="s">
        <v>202</v>
      </c>
      <c r="H382" s="94" t="s">
        <v>210</v>
      </c>
      <c r="I382" s="94">
        <v>-5</v>
      </c>
      <c r="J382" s="94" t="s">
        <v>210</v>
      </c>
      <c r="K382" s="94" t="s">
        <v>210</v>
      </c>
      <c r="L382" s="94">
        <v>4</v>
      </c>
      <c r="M382" s="94">
        <v>-3</v>
      </c>
      <c r="N382" s="94" t="s">
        <v>210</v>
      </c>
      <c r="O382" s="94" t="s">
        <v>210</v>
      </c>
      <c r="P382" s="94">
        <v>-4</v>
      </c>
      <c r="Q382" s="94"/>
      <c r="R382" s="94"/>
      <c r="S382" s="94"/>
      <c r="T382" s="94"/>
      <c r="U382" s="94"/>
      <c r="V382" s="94"/>
      <c r="W382" s="94"/>
      <c r="X382" s="94"/>
      <c r="Y382" s="94"/>
      <c r="Z382" s="94"/>
      <c r="AA382" s="94"/>
      <c r="AB382" s="94"/>
      <c r="AC382" s="94"/>
      <c r="AD382" s="94"/>
      <c r="AE382" s="94"/>
      <c r="AF382" s="94"/>
      <c r="AG382" s="94"/>
      <c r="AH382" s="94"/>
      <c r="AI382" s="94"/>
      <c r="AJ382" s="94"/>
      <c r="AK382" s="94"/>
      <c r="AL382" s="94"/>
      <c r="AM382" s="94"/>
      <c r="AN382" s="94"/>
      <c r="AO382" s="94"/>
      <c r="AP382" s="94"/>
      <c r="AQ382" s="94"/>
      <c r="AR382" s="94"/>
      <c r="AS382" s="94"/>
      <c r="AT382" s="94"/>
      <c r="AU382" s="94"/>
      <c r="AV382" s="94"/>
      <c r="AW382" s="94"/>
      <c r="AX382" s="94"/>
      <c r="AY382" s="94"/>
      <c r="BA382" s="95"/>
    </row>
    <row r="383" spans="1:53" s="87" customFormat="1">
      <c r="A383" s="90" t="str">
        <f t="shared" si="53"/>
        <v/>
      </c>
      <c r="B383" s="98">
        <v>17</v>
      </c>
      <c r="C383" s="94" t="s">
        <v>202</v>
      </c>
      <c r="D383" s="94" t="s">
        <v>210</v>
      </c>
      <c r="E383" s="94">
        <v>-4</v>
      </c>
      <c r="F383" s="94" t="s">
        <v>210</v>
      </c>
      <c r="G383" s="94" t="s">
        <v>210</v>
      </c>
      <c r="H383" s="94">
        <v>-1</v>
      </c>
      <c r="I383" s="94">
        <v>3</v>
      </c>
      <c r="J383" s="94" t="s">
        <v>210</v>
      </c>
      <c r="K383" s="94" t="s">
        <v>210</v>
      </c>
      <c r="L383" s="94">
        <v>-5</v>
      </c>
      <c r="M383" s="94">
        <v>1</v>
      </c>
      <c r="N383" s="94" t="s">
        <v>210</v>
      </c>
      <c r="O383" s="94" t="s">
        <v>210</v>
      </c>
      <c r="P383" s="94">
        <v>4</v>
      </c>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BA383" s="95"/>
    </row>
    <row r="384" spans="1:53" s="87" customFormat="1">
      <c r="A384" s="90" t="str">
        <f t="shared" si="53"/>
        <v/>
      </c>
      <c r="B384" s="98">
        <v>18</v>
      </c>
      <c r="C384" s="94" t="s">
        <v>210</v>
      </c>
      <c r="D384" s="94">
        <v>5</v>
      </c>
      <c r="E384" s="94">
        <v>-1</v>
      </c>
      <c r="F384" s="94" t="s">
        <v>210</v>
      </c>
      <c r="G384" s="94" t="s">
        <v>210</v>
      </c>
      <c r="H384" s="94">
        <v>2</v>
      </c>
      <c r="I384" s="94">
        <v>-3</v>
      </c>
      <c r="J384" s="94" t="s">
        <v>210</v>
      </c>
      <c r="K384" s="94" t="s">
        <v>202</v>
      </c>
      <c r="L384" s="94" t="s">
        <v>210</v>
      </c>
      <c r="M384" s="94">
        <v>4</v>
      </c>
      <c r="N384" s="94" t="s">
        <v>210</v>
      </c>
      <c r="O384" s="94" t="s">
        <v>210</v>
      </c>
      <c r="P384" s="94">
        <v>-5</v>
      </c>
      <c r="Q384" s="94"/>
      <c r="R384" s="94"/>
      <c r="S384" s="94"/>
      <c r="T384" s="94"/>
      <c r="U384" s="94"/>
      <c r="V384" s="94"/>
      <c r="W384" s="94"/>
      <c r="X384" s="94"/>
      <c r="Y384" s="94"/>
      <c r="Z384" s="94"/>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BA384" s="95"/>
    </row>
    <row r="385" spans="1:53" s="87" customFormat="1">
      <c r="A385" s="90" t="str">
        <f t="shared" si="53"/>
        <v/>
      </c>
      <c r="B385" s="98">
        <v>19</v>
      </c>
      <c r="C385" s="94" t="s">
        <v>210</v>
      </c>
      <c r="D385" s="94">
        <v>-2</v>
      </c>
      <c r="E385" s="94" t="s">
        <v>202</v>
      </c>
      <c r="F385" s="94" t="s">
        <v>210</v>
      </c>
      <c r="G385" s="94" t="s">
        <v>210</v>
      </c>
      <c r="H385" s="94">
        <v>-4</v>
      </c>
      <c r="I385" s="94">
        <v>1</v>
      </c>
      <c r="J385" s="94" t="s">
        <v>210</v>
      </c>
      <c r="K385" s="94" t="s">
        <v>210</v>
      </c>
      <c r="L385" s="94">
        <v>2</v>
      </c>
      <c r="M385" s="94">
        <v>-1</v>
      </c>
      <c r="N385" s="94" t="s">
        <v>210</v>
      </c>
      <c r="O385" s="94" t="s">
        <v>210</v>
      </c>
      <c r="P385" s="94">
        <v>5</v>
      </c>
      <c r="Q385" s="94"/>
      <c r="R385" s="94"/>
      <c r="S385" s="94"/>
      <c r="T385" s="94"/>
      <c r="U385" s="94"/>
      <c r="V385" s="94"/>
      <c r="W385" s="94"/>
      <c r="X385" s="94"/>
      <c r="Y385" s="94"/>
      <c r="Z385" s="94"/>
      <c r="AA385" s="94"/>
      <c r="AB385" s="94"/>
      <c r="AC385" s="94"/>
      <c r="AD385" s="94"/>
      <c r="AE385" s="94"/>
      <c r="AF385" s="94"/>
      <c r="AG385" s="94"/>
      <c r="AH385" s="94"/>
      <c r="AI385" s="94"/>
      <c r="AJ385" s="94"/>
      <c r="AK385" s="94"/>
      <c r="AL385" s="94"/>
      <c r="AM385" s="94"/>
      <c r="AN385" s="94"/>
      <c r="AO385" s="94"/>
      <c r="AP385" s="94"/>
      <c r="AQ385" s="94"/>
      <c r="AR385" s="94"/>
      <c r="AS385" s="94"/>
      <c r="AT385" s="94"/>
      <c r="AU385" s="94"/>
      <c r="AV385" s="94"/>
      <c r="AW385" s="94"/>
      <c r="AX385" s="94"/>
      <c r="AY385" s="94"/>
      <c r="BA385" s="95"/>
    </row>
    <row r="386" spans="1:53" s="87" customFormat="1">
      <c r="A386" s="90" t="str">
        <f t="shared" si="53"/>
        <v/>
      </c>
      <c r="B386" s="98">
        <v>20</v>
      </c>
      <c r="C386" s="94" t="s">
        <v>210</v>
      </c>
      <c r="D386" s="94">
        <v>-5</v>
      </c>
      <c r="E386" s="94">
        <v>-2</v>
      </c>
      <c r="F386" s="94" t="s">
        <v>210</v>
      </c>
      <c r="G386" s="94" t="s">
        <v>210</v>
      </c>
      <c r="H386" s="94">
        <v>4</v>
      </c>
      <c r="I386" s="94" t="s">
        <v>202</v>
      </c>
      <c r="J386" s="94" t="s">
        <v>210</v>
      </c>
      <c r="K386" s="94" t="s">
        <v>210</v>
      </c>
      <c r="L386" s="94">
        <v>5</v>
      </c>
      <c r="M386" s="94">
        <v>3</v>
      </c>
      <c r="N386" s="94" t="s">
        <v>210</v>
      </c>
      <c r="O386" s="94" t="s">
        <v>210</v>
      </c>
      <c r="P386" s="94">
        <v>-1</v>
      </c>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BA386" s="95"/>
    </row>
    <row r="387" spans="1:53" s="87" customFormat="1">
      <c r="A387" s="90" t="str">
        <f t="shared" si="53"/>
        <v/>
      </c>
      <c r="B387" s="98">
        <v>21</v>
      </c>
      <c r="C387" s="94" t="s">
        <v>210</v>
      </c>
      <c r="D387" s="94">
        <v>3</v>
      </c>
      <c r="E387" s="94">
        <v>4</v>
      </c>
      <c r="F387" s="94" t="s">
        <v>210</v>
      </c>
      <c r="G387" s="94" t="s">
        <v>210</v>
      </c>
      <c r="H387" s="94">
        <v>-2</v>
      </c>
      <c r="I387" s="94">
        <v>-1</v>
      </c>
      <c r="J387" s="94" t="s">
        <v>210</v>
      </c>
      <c r="K387" s="94" t="s">
        <v>210</v>
      </c>
      <c r="L387" s="94">
        <v>-4</v>
      </c>
      <c r="M387" s="94" t="s">
        <v>202</v>
      </c>
      <c r="N387" s="94" t="s">
        <v>210</v>
      </c>
      <c r="O387" s="94" t="s">
        <v>210</v>
      </c>
      <c r="P387" s="94">
        <v>1</v>
      </c>
      <c r="Q387" s="94"/>
      <c r="R387" s="94"/>
      <c r="S387" s="94"/>
      <c r="T387" s="94"/>
      <c r="U387" s="94"/>
      <c r="V387" s="94"/>
      <c r="W387" s="94"/>
      <c r="X387" s="94"/>
      <c r="Y387" s="94"/>
      <c r="Z387" s="94"/>
      <c r="AA387" s="94"/>
      <c r="AB387" s="94"/>
      <c r="AC387" s="94"/>
      <c r="AD387" s="94"/>
      <c r="AE387" s="94"/>
      <c r="AF387" s="94"/>
      <c r="AG387" s="94"/>
      <c r="AH387" s="94"/>
      <c r="AI387" s="94"/>
      <c r="AJ387" s="94"/>
      <c r="AK387" s="94"/>
      <c r="AL387" s="94"/>
      <c r="AM387" s="94"/>
      <c r="AN387" s="94"/>
      <c r="AO387" s="94"/>
      <c r="AP387" s="94"/>
      <c r="AQ387" s="94"/>
      <c r="AR387" s="94"/>
      <c r="AS387" s="94"/>
      <c r="AT387" s="94"/>
      <c r="AU387" s="94"/>
      <c r="AV387" s="94"/>
      <c r="AW387" s="94"/>
      <c r="AX387" s="94"/>
      <c r="AY387" s="94"/>
      <c r="BA387" s="95"/>
    </row>
    <row r="388" spans="1:53" s="87" customFormat="1">
      <c r="A388" s="90" t="str">
        <f t="shared" si="53"/>
        <v/>
      </c>
      <c r="B388" s="98">
        <v>22</v>
      </c>
      <c r="C388" s="94" t="s">
        <v>210</v>
      </c>
      <c r="D388" s="94">
        <v>-3</v>
      </c>
      <c r="E388" s="94">
        <v>2</v>
      </c>
      <c r="F388" s="94" t="s">
        <v>210</v>
      </c>
      <c r="G388" s="94" t="s">
        <v>210</v>
      </c>
      <c r="H388" s="94">
        <v>1</v>
      </c>
      <c r="I388" s="94">
        <v>5</v>
      </c>
      <c r="J388" s="94" t="s">
        <v>210</v>
      </c>
      <c r="K388" s="94" t="s">
        <v>210</v>
      </c>
      <c r="L388" s="94">
        <v>-2</v>
      </c>
      <c r="M388" s="94">
        <v>-4</v>
      </c>
      <c r="N388" s="94" t="s">
        <v>210</v>
      </c>
      <c r="O388" s="94" t="s">
        <v>202</v>
      </c>
      <c r="P388" s="94" t="s">
        <v>210</v>
      </c>
      <c r="Q388" s="94"/>
      <c r="R388" s="94"/>
      <c r="S388" s="94"/>
      <c r="T388" s="94"/>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BA388" s="95"/>
    </row>
    <row r="389" spans="1:53" s="87" customFormat="1">
      <c r="A389" s="90" t="str">
        <f t="shared" si="53"/>
        <v/>
      </c>
      <c r="B389" s="98" t="s">
        <v>329</v>
      </c>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c r="AG389" s="94"/>
      <c r="AH389" s="94"/>
      <c r="AI389" s="94"/>
      <c r="AJ389" s="94"/>
      <c r="AK389" s="94"/>
      <c r="AL389" s="94"/>
      <c r="AM389" s="94"/>
      <c r="AN389" s="94"/>
      <c r="AO389" s="94"/>
      <c r="AP389" s="94"/>
      <c r="AQ389" s="94"/>
      <c r="AR389" s="94"/>
      <c r="AS389" s="94"/>
      <c r="AT389" s="94"/>
      <c r="AU389" s="94"/>
      <c r="AV389" s="94"/>
      <c r="AW389" s="94"/>
      <c r="AX389" s="94"/>
      <c r="AY389" s="94"/>
      <c r="BA389" s="95"/>
    </row>
    <row r="390" spans="1:53" s="87" customFormat="1">
      <c r="A390" s="90">
        <f t="shared" si="53"/>
        <v>390</v>
      </c>
      <c r="B390" s="98" t="s">
        <v>330</v>
      </c>
      <c r="C390" s="94"/>
      <c r="D390" s="94"/>
      <c r="E390" s="94"/>
      <c r="F390" s="94"/>
      <c r="G390" s="94"/>
      <c r="H390" s="94"/>
      <c r="I390" s="94"/>
      <c r="J390" s="94"/>
      <c r="K390" s="94"/>
      <c r="L390" s="94"/>
      <c r="M390" s="94"/>
      <c r="N390" s="94"/>
      <c r="O390" s="94"/>
      <c r="P390" s="94"/>
      <c r="Q390" s="94"/>
      <c r="R390" s="94"/>
      <c r="S390" s="94"/>
      <c r="T390" s="94"/>
      <c r="U390" s="94"/>
      <c r="V390" s="94"/>
      <c r="W390" s="94"/>
      <c r="X390" s="94"/>
      <c r="Y390" s="94"/>
      <c r="Z390" s="94"/>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c r="AW390" s="94"/>
      <c r="AX390" s="94"/>
      <c r="AY390" s="94"/>
      <c r="BA390" s="95"/>
    </row>
    <row r="391" spans="1:53" s="87" customFormat="1">
      <c r="A391" s="90" t="str">
        <f t="shared" si="53"/>
        <v/>
      </c>
      <c r="B391" s="98">
        <v>1</v>
      </c>
      <c r="C391" s="94">
        <v>5</v>
      </c>
      <c r="D391" s="94" t="s">
        <v>210</v>
      </c>
      <c r="E391" s="94" t="s">
        <v>210</v>
      </c>
      <c r="F391" s="94">
        <v>-3</v>
      </c>
      <c r="G391" s="94">
        <v>4</v>
      </c>
      <c r="H391" s="94" t="s">
        <v>210</v>
      </c>
      <c r="I391" s="94" t="s">
        <v>210</v>
      </c>
      <c r="J391" s="94">
        <v>-1</v>
      </c>
      <c r="K391" s="94">
        <v>3</v>
      </c>
      <c r="L391" s="94" t="s">
        <v>210</v>
      </c>
      <c r="M391" s="94"/>
      <c r="N391" s="94"/>
      <c r="O391" s="94"/>
      <c r="P391" s="94"/>
      <c r="Q391" s="94"/>
      <c r="R391" s="94"/>
      <c r="S391" s="94"/>
      <c r="T391" s="94"/>
      <c r="U391" s="94"/>
      <c r="V391" s="94"/>
      <c r="W391" s="94"/>
      <c r="X391" s="94"/>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c r="AW391" s="94"/>
      <c r="AX391" s="94"/>
      <c r="AY391" s="94"/>
      <c r="BA391" s="95"/>
    </row>
    <row r="392" spans="1:53" s="87" customFormat="1">
      <c r="A392" s="90" t="str">
        <f t="shared" si="53"/>
        <v/>
      </c>
      <c r="B392" s="98">
        <v>2</v>
      </c>
      <c r="C392" s="94">
        <v>-2</v>
      </c>
      <c r="D392" s="94" t="s">
        <v>210</v>
      </c>
      <c r="E392" s="94" t="s">
        <v>210</v>
      </c>
      <c r="F392" s="94">
        <v>5</v>
      </c>
      <c r="G392" s="94">
        <v>-1</v>
      </c>
      <c r="H392" s="94" t="s">
        <v>210</v>
      </c>
      <c r="I392" s="94" t="s">
        <v>210</v>
      </c>
      <c r="J392" s="94">
        <v>2</v>
      </c>
      <c r="K392" s="94">
        <v>-3</v>
      </c>
      <c r="L392" s="94" t="s">
        <v>210</v>
      </c>
      <c r="M392" s="94"/>
      <c r="N392" s="94"/>
      <c r="O392" s="94"/>
      <c r="P392" s="94"/>
      <c r="Q392" s="94"/>
      <c r="R392" s="94"/>
      <c r="S392" s="94"/>
      <c r="T392" s="94"/>
      <c r="U392" s="94"/>
      <c r="V392" s="94"/>
      <c r="W392" s="94"/>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BA392" s="95"/>
    </row>
    <row r="393" spans="1:53" s="87" customFormat="1">
      <c r="A393" s="90" t="str">
        <f t="shared" si="53"/>
        <v/>
      </c>
      <c r="B393" s="98">
        <v>3</v>
      </c>
      <c r="C393" s="94">
        <v>-4</v>
      </c>
      <c r="D393" s="94" t="s">
        <v>210</v>
      </c>
      <c r="E393" s="94" t="s">
        <v>210</v>
      </c>
      <c r="F393" s="94">
        <v>3</v>
      </c>
      <c r="G393" s="94">
        <v>1</v>
      </c>
      <c r="H393" s="94" t="s">
        <v>210</v>
      </c>
      <c r="I393" s="94" t="s">
        <v>210</v>
      </c>
      <c r="J393" s="94">
        <v>-5</v>
      </c>
      <c r="K393" s="94">
        <v>4</v>
      </c>
      <c r="L393" s="94" t="s">
        <v>210</v>
      </c>
      <c r="M393" s="94"/>
      <c r="N393" s="94"/>
      <c r="O393" s="94"/>
      <c r="P393" s="94"/>
      <c r="Q393" s="94"/>
      <c r="R393" s="94"/>
      <c r="S393" s="94"/>
      <c r="T393" s="94"/>
      <c r="U393" s="94"/>
      <c r="V393" s="94"/>
      <c r="W393" s="94"/>
      <c r="X393" s="94"/>
      <c r="Y393" s="94"/>
      <c r="Z393" s="94"/>
      <c r="AA393" s="94"/>
      <c r="AB393" s="94"/>
      <c r="AC393" s="94"/>
      <c r="AD393" s="94"/>
      <c r="AE393" s="94"/>
      <c r="AF393" s="94"/>
      <c r="AG393" s="94"/>
      <c r="AH393" s="94"/>
      <c r="AI393" s="94"/>
      <c r="AJ393" s="94"/>
      <c r="AK393" s="94"/>
      <c r="AL393" s="94"/>
      <c r="AM393" s="94"/>
      <c r="AN393" s="94"/>
      <c r="AO393" s="94"/>
      <c r="AP393" s="94"/>
      <c r="AQ393" s="94"/>
      <c r="AR393" s="94"/>
      <c r="AS393" s="94"/>
      <c r="AT393" s="94"/>
      <c r="AU393" s="94"/>
      <c r="AV393" s="94"/>
      <c r="AW393" s="94"/>
      <c r="AX393" s="94"/>
      <c r="AY393" s="94"/>
      <c r="BA393" s="95"/>
    </row>
    <row r="394" spans="1:53" s="87" customFormat="1">
      <c r="A394" s="90" t="str">
        <f t="shared" si="53"/>
        <v/>
      </c>
      <c r="B394" s="98">
        <v>4</v>
      </c>
      <c r="C394" s="94">
        <v>-5</v>
      </c>
      <c r="D394" s="94" t="s">
        <v>210</v>
      </c>
      <c r="E394" s="94" t="s">
        <v>210</v>
      </c>
      <c r="F394" s="94">
        <v>1</v>
      </c>
      <c r="G394" s="94">
        <v>3</v>
      </c>
      <c r="H394" s="94" t="s">
        <v>210</v>
      </c>
      <c r="I394" s="94" t="s">
        <v>210</v>
      </c>
      <c r="J394" s="94">
        <v>-2</v>
      </c>
      <c r="K394" s="94">
        <v>-4</v>
      </c>
      <c r="L394" s="94" t="s">
        <v>210</v>
      </c>
      <c r="M394" s="94"/>
      <c r="N394" s="94"/>
      <c r="O394" s="94"/>
      <c r="P394" s="94"/>
      <c r="Q394" s="94"/>
      <c r="R394" s="94"/>
      <c r="S394" s="94"/>
      <c r="T394" s="94"/>
      <c r="U394" s="94"/>
      <c r="V394" s="94"/>
      <c r="W394" s="94"/>
      <c r="X394" s="94"/>
      <c r="Y394" s="94"/>
      <c r="Z394" s="94"/>
      <c r="AA394" s="94"/>
      <c r="AB394" s="94"/>
      <c r="AC394" s="94"/>
      <c r="AD394" s="94"/>
      <c r="AE394" s="94"/>
      <c r="AF394" s="94"/>
      <c r="AG394" s="94"/>
      <c r="AH394" s="94"/>
      <c r="AI394" s="94"/>
      <c r="AJ394" s="94"/>
      <c r="AK394" s="94"/>
      <c r="AL394" s="94"/>
      <c r="AM394" s="94"/>
      <c r="AN394" s="94"/>
      <c r="AO394" s="94"/>
      <c r="AP394" s="94"/>
      <c r="AQ394" s="94"/>
      <c r="AR394" s="94"/>
      <c r="AS394" s="94"/>
      <c r="AT394" s="94"/>
      <c r="AU394" s="94"/>
      <c r="AV394" s="94"/>
      <c r="AW394" s="94"/>
      <c r="AX394" s="94"/>
      <c r="AY394" s="94"/>
      <c r="BA394" s="95"/>
    </row>
    <row r="395" spans="1:53" s="87" customFormat="1">
      <c r="A395" s="90" t="str">
        <f t="shared" si="53"/>
        <v/>
      </c>
      <c r="B395" s="98">
        <v>5</v>
      </c>
      <c r="C395" s="94">
        <v>2</v>
      </c>
      <c r="D395" s="94" t="s">
        <v>210</v>
      </c>
      <c r="E395" s="94" t="s">
        <v>210</v>
      </c>
      <c r="F395" s="94">
        <v>-1</v>
      </c>
      <c r="G395" s="94">
        <v>-4</v>
      </c>
      <c r="H395" s="94" t="s">
        <v>210</v>
      </c>
      <c r="I395" s="94" t="s">
        <v>210</v>
      </c>
      <c r="J395" s="94">
        <v>5</v>
      </c>
      <c r="K395" s="94">
        <v>-2</v>
      </c>
      <c r="L395" s="94" t="s">
        <v>210</v>
      </c>
      <c r="M395" s="94"/>
      <c r="N395" s="94"/>
      <c r="O395" s="94"/>
      <c r="P395" s="94"/>
      <c r="Q395" s="94"/>
      <c r="R395" s="94"/>
      <c r="S395" s="94"/>
      <c r="T395" s="94"/>
      <c r="U395" s="94"/>
      <c r="V395" s="94"/>
      <c r="W395" s="94"/>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c r="AW395" s="94"/>
      <c r="AX395" s="94"/>
      <c r="AY395" s="94"/>
      <c r="BA395" s="95"/>
    </row>
    <row r="396" spans="1:53" s="87" customFormat="1">
      <c r="A396" s="90" t="str">
        <f t="shared" ref="A396:A459" si="54">IF(MID(B396,3,2)="05",ROW(),"")</f>
        <v/>
      </c>
      <c r="B396" s="99">
        <v>6</v>
      </c>
      <c r="C396" s="92">
        <v>4</v>
      </c>
      <c r="D396" s="92" t="s">
        <v>210</v>
      </c>
      <c r="E396" s="92" t="s">
        <v>210</v>
      </c>
      <c r="F396" s="92">
        <v>-5</v>
      </c>
      <c r="G396" s="92">
        <v>-3</v>
      </c>
      <c r="H396" s="92" t="s">
        <v>210</v>
      </c>
      <c r="I396" s="92" t="s">
        <v>210</v>
      </c>
      <c r="J396" s="92">
        <v>1</v>
      </c>
      <c r="K396" s="92">
        <v>2</v>
      </c>
      <c r="L396" s="92" t="s">
        <v>210</v>
      </c>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BA396" s="95"/>
    </row>
    <row r="397" spans="1:53" s="87" customFormat="1">
      <c r="A397" s="90" t="str">
        <f t="shared" si="54"/>
        <v/>
      </c>
      <c r="B397" s="98">
        <v>7</v>
      </c>
      <c r="C397" s="94" t="s">
        <v>210</v>
      </c>
      <c r="D397" s="94">
        <v>5</v>
      </c>
      <c r="E397" s="94">
        <v>-3</v>
      </c>
      <c r="F397" s="94" t="s">
        <v>210</v>
      </c>
      <c r="G397" s="94" t="s">
        <v>210</v>
      </c>
      <c r="H397" s="94">
        <v>4</v>
      </c>
      <c r="I397" s="94">
        <v>-1</v>
      </c>
      <c r="J397" s="94" t="s">
        <v>210</v>
      </c>
      <c r="K397" s="94" t="s">
        <v>210</v>
      </c>
      <c r="L397" s="94">
        <v>3</v>
      </c>
      <c r="M397" s="94"/>
      <c r="N397" s="94"/>
      <c r="O397" s="94"/>
      <c r="P397" s="94"/>
      <c r="Q397" s="94"/>
      <c r="R397" s="94"/>
      <c r="S397" s="94"/>
      <c r="T397" s="94"/>
      <c r="U397" s="94"/>
      <c r="V397" s="94"/>
      <c r="W397" s="94"/>
      <c r="X397" s="94"/>
      <c r="Y397" s="94"/>
      <c r="Z397" s="94"/>
      <c r="AA397" s="94"/>
      <c r="AB397" s="94"/>
      <c r="AC397" s="94"/>
      <c r="AD397" s="94"/>
      <c r="AE397" s="94"/>
      <c r="AF397" s="94"/>
      <c r="AG397" s="94"/>
      <c r="AH397" s="94"/>
      <c r="AI397" s="94"/>
      <c r="AJ397" s="94"/>
      <c r="AK397" s="94"/>
      <c r="AL397" s="94"/>
      <c r="AM397" s="94"/>
      <c r="AN397" s="94"/>
      <c r="AO397" s="94"/>
      <c r="AP397" s="94"/>
      <c r="AQ397" s="94"/>
      <c r="AR397" s="94"/>
      <c r="AS397" s="94"/>
      <c r="AT397" s="94"/>
      <c r="AU397" s="94"/>
      <c r="AV397" s="94"/>
      <c r="AW397" s="94"/>
      <c r="AX397" s="94"/>
      <c r="AY397" s="94"/>
      <c r="BA397" s="95"/>
    </row>
    <row r="398" spans="1:53" s="87" customFormat="1">
      <c r="A398" s="90" t="str">
        <f t="shared" si="54"/>
        <v/>
      </c>
      <c r="B398" s="98">
        <v>8</v>
      </c>
      <c r="C398" s="94" t="s">
        <v>210</v>
      </c>
      <c r="D398" s="94">
        <v>-2</v>
      </c>
      <c r="E398" s="94">
        <v>5</v>
      </c>
      <c r="F398" s="94" t="s">
        <v>210</v>
      </c>
      <c r="G398" s="94" t="s">
        <v>210</v>
      </c>
      <c r="H398" s="94">
        <v>-1</v>
      </c>
      <c r="I398" s="94">
        <v>2</v>
      </c>
      <c r="J398" s="94" t="s">
        <v>210</v>
      </c>
      <c r="K398" s="94" t="s">
        <v>210</v>
      </c>
      <c r="L398" s="94">
        <v>-3</v>
      </c>
      <c r="M398" s="94"/>
      <c r="N398" s="94"/>
      <c r="O398" s="94"/>
      <c r="P398" s="94"/>
      <c r="Q398" s="94"/>
      <c r="R398" s="94"/>
      <c r="S398" s="94"/>
      <c r="T398" s="94"/>
      <c r="U398" s="94"/>
      <c r="V398" s="94"/>
      <c r="W398" s="94"/>
      <c r="X398" s="94"/>
      <c r="Y398" s="94"/>
      <c r="Z398" s="94"/>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BA398" s="95"/>
    </row>
    <row r="399" spans="1:53" s="87" customFormat="1">
      <c r="A399" s="90" t="str">
        <f t="shared" si="54"/>
        <v/>
      </c>
      <c r="B399" s="98">
        <v>9</v>
      </c>
      <c r="C399" s="94" t="s">
        <v>210</v>
      </c>
      <c r="D399" s="94">
        <v>-4</v>
      </c>
      <c r="E399" s="94">
        <v>3</v>
      </c>
      <c r="F399" s="94" t="s">
        <v>210</v>
      </c>
      <c r="G399" s="94" t="s">
        <v>210</v>
      </c>
      <c r="H399" s="94">
        <v>1</v>
      </c>
      <c r="I399" s="94">
        <v>-5</v>
      </c>
      <c r="J399" s="94" t="s">
        <v>210</v>
      </c>
      <c r="K399" s="94" t="s">
        <v>210</v>
      </c>
      <c r="L399" s="94">
        <v>4</v>
      </c>
      <c r="M399" s="94"/>
      <c r="N399" s="94"/>
      <c r="O399" s="94"/>
      <c r="P399" s="94"/>
      <c r="Q399" s="94"/>
      <c r="R399" s="94"/>
      <c r="S399" s="94"/>
      <c r="T399" s="94"/>
      <c r="U399" s="94"/>
      <c r="V399" s="94"/>
      <c r="W399" s="94"/>
      <c r="X399" s="94"/>
      <c r="Y399" s="94"/>
      <c r="Z399" s="94"/>
      <c r="AA399" s="94"/>
      <c r="AB399" s="94"/>
      <c r="AC399" s="94"/>
      <c r="AD399" s="94"/>
      <c r="AE399" s="94"/>
      <c r="AF399" s="94"/>
      <c r="AG399" s="94"/>
      <c r="AH399" s="94"/>
      <c r="AI399" s="94"/>
      <c r="AJ399" s="94"/>
      <c r="AK399" s="94"/>
      <c r="AL399" s="94"/>
      <c r="AM399" s="94"/>
      <c r="AN399" s="94"/>
      <c r="AO399" s="94"/>
      <c r="AP399" s="94"/>
      <c r="AQ399" s="94"/>
      <c r="AR399" s="94"/>
      <c r="AS399" s="94"/>
      <c r="AT399" s="94"/>
      <c r="AU399" s="94"/>
      <c r="AV399" s="94"/>
      <c r="AW399" s="94"/>
      <c r="AX399" s="94"/>
      <c r="AY399" s="94"/>
      <c r="BA399" s="95"/>
    </row>
    <row r="400" spans="1:53" s="87" customFormat="1">
      <c r="A400" s="90" t="str">
        <f t="shared" si="54"/>
        <v/>
      </c>
      <c r="B400" s="98">
        <v>10</v>
      </c>
      <c r="C400" s="94" t="s">
        <v>210</v>
      </c>
      <c r="D400" s="94">
        <v>-5</v>
      </c>
      <c r="E400" s="94">
        <v>1</v>
      </c>
      <c r="F400" s="94" t="s">
        <v>210</v>
      </c>
      <c r="G400" s="94" t="s">
        <v>210</v>
      </c>
      <c r="H400" s="94">
        <v>3</v>
      </c>
      <c r="I400" s="94">
        <v>-2</v>
      </c>
      <c r="J400" s="94" t="s">
        <v>210</v>
      </c>
      <c r="K400" s="94" t="s">
        <v>210</v>
      </c>
      <c r="L400" s="94">
        <v>-4</v>
      </c>
      <c r="M400" s="94"/>
      <c r="N400" s="94"/>
      <c r="O400" s="94"/>
      <c r="P400" s="94"/>
      <c r="Q400" s="94"/>
      <c r="R400" s="94"/>
      <c r="S400" s="94"/>
      <c r="T400" s="94"/>
      <c r="U400" s="94"/>
      <c r="V400" s="94"/>
      <c r="W400" s="94"/>
      <c r="X400" s="94"/>
      <c r="Y400" s="94"/>
      <c r="Z400" s="94"/>
      <c r="AA400" s="94"/>
      <c r="AB400" s="94"/>
      <c r="AC400" s="94"/>
      <c r="AD400" s="94"/>
      <c r="AE400" s="94"/>
      <c r="AF400" s="94"/>
      <c r="AG400" s="94"/>
      <c r="AH400" s="94"/>
      <c r="AI400" s="94"/>
      <c r="AJ400" s="94"/>
      <c r="AK400" s="94"/>
      <c r="AL400" s="94"/>
      <c r="AM400" s="94"/>
      <c r="AN400" s="94"/>
      <c r="AO400" s="94"/>
      <c r="AP400" s="94"/>
      <c r="AQ400" s="94"/>
      <c r="AR400" s="94"/>
      <c r="AS400" s="94"/>
      <c r="AT400" s="94"/>
      <c r="AU400" s="94"/>
      <c r="AV400" s="94"/>
      <c r="AW400" s="94"/>
      <c r="AX400" s="94"/>
      <c r="AY400" s="94"/>
      <c r="BA400" s="95"/>
    </row>
    <row r="401" spans="1:53" s="87" customFormat="1">
      <c r="A401" s="90" t="str">
        <f t="shared" si="54"/>
        <v/>
      </c>
      <c r="B401" s="98">
        <v>11</v>
      </c>
      <c r="C401" s="94" t="s">
        <v>210</v>
      </c>
      <c r="D401" s="94">
        <v>2</v>
      </c>
      <c r="E401" s="94">
        <v>-1</v>
      </c>
      <c r="F401" s="94" t="s">
        <v>210</v>
      </c>
      <c r="G401" s="94" t="s">
        <v>210</v>
      </c>
      <c r="H401" s="94">
        <v>-4</v>
      </c>
      <c r="I401" s="94">
        <v>5</v>
      </c>
      <c r="J401" s="94" t="s">
        <v>210</v>
      </c>
      <c r="K401" s="94" t="s">
        <v>210</v>
      </c>
      <c r="L401" s="94">
        <v>-2</v>
      </c>
      <c r="M401" s="94"/>
      <c r="N401" s="94"/>
      <c r="O401" s="94"/>
      <c r="P401" s="94"/>
      <c r="Q401" s="94"/>
      <c r="R401" s="94"/>
      <c r="S401" s="94"/>
      <c r="T401" s="94"/>
      <c r="U401" s="94"/>
      <c r="V401" s="94"/>
      <c r="W401" s="94"/>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BA401" s="95"/>
    </row>
    <row r="402" spans="1:53" s="87" customFormat="1">
      <c r="A402" s="90" t="str">
        <f t="shared" si="54"/>
        <v/>
      </c>
      <c r="B402" s="99">
        <v>12</v>
      </c>
      <c r="C402" s="92" t="s">
        <v>210</v>
      </c>
      <c r="D402" s="92">
        <v>4</v>
      </c>
      <c r="E402" s="92">
        <v>-5</v>
      </c>
      <c r="F402" s="92" t="s">
        <v>210</v>
      </c>
      <c r="G402" s="92" t="s">
        <v>210</v>
      </c>
      <c r="H402" s="92">
        <v>-3</v>
      </c>
      <c r="I402" s="92">
        <v>1</v>
      </c>
      <c r="J402" s="92" t="s">
        <v>210</v>
      </c>
      <c r="K402" s="92" t="s">
        <v>210</v>
      </c>
      <c r="L402" s="92">
        <v>2</v>
      </c>
      <c r="M402" s="94"/>
      <c r="N402" s="94"/>
      <c r="O402" s="94"/>
      <c r="P402" s="94"/>
      <c r="Q402" s="94"/>
      <c r="R402" s="94"/>
      <c r="S402" s="94"/>
      <c r="T402" s="94"/>
      <c r="U402" s="94"/>
      <c r="V402" s="94"/>
      <c r="W402" s="94"/>
      <c r="X402" s="94"/>
      <c r="Y402" s="94"/>
      <c r="Z402" s="94"/>
      <c r="AA402" s="94"/>
      <c r="AB402" s="94"/>
      <c r="AC402" s="94"/>
      <c r="AD402" s="94"/>
      <c r="AE402" s="94"/>
      <c r="AF402" s="94"/>
      <c r="AG402" s="94"/>
      <c r="AH402" s="94"/>
      <c r="AI402" s="94"/>
      <c r="AJ402" s="94"/>
      <c r="AK402" s="94"/>
      <c r="AL402" s="94"/>
      <c r="AM402" s="94"/>
      <c r="AN402" s="94"/>
      <c r="AO402" s="94"/>
      <c r="AP402" s="94"/>
      <c r="AQ402" s="94"/>
      <c r="AR402" s="94"/>
      <c r="AS402" s="94"/>
      <c r="AT402" s="94"/>
      <c r="AU402" s="94"/>
      <c r="AV402" s="94"/>
      <c r="AW402" s="94"/>
      <c r="AX402" s="94"/>
      <c r="AY402" s="94"/>
      <c r="BA402" s="95"/>
    </row>
    <row r="403" spans="1:53" s="87" customFormat="1">
      <c r="A403" s="90" t="str">
        <f t="shared" si="54"/>
        <v/>
      </c>
      <c r="B403" s="98">
        <v>13</v>
      </c>
      <c r="C403" s="94">
        <v>-3</v>
      </c>
      <c r="D403" s="94" t="s">
        <v>210</v>
      </c>
      <c r="E403" s="94" t="s">
        <v>210</v>
      </c>
      <c r="F403" s="94">
        <v>-2</v>
      </c>
      <c r="G403" s="94" t="s">
        <v>202</v>
      </c>
      <c r="H403" s="94" t="s">
        <v>210</v>
      </c>
      <c r="I403" s="94" t="s">
        <v>210</v>
      </c>
      <c r="J403" s="94">
        <v>4</v>
      </c>
      <c r="K403" s="94">
        <v>5</v>
      </c>
      <c r="L403" s="94" t="s">
        <v>210</v>
      </c>
      <c r="M403" s="94"/>
      <c r="N403" s="94"/>
      <c r="O403" s="94"/>
      <c r="P403" s="94"/>
      <c r="Q403" s="94"/>
      <c r="R403" s="94"/>
      <c r="S403" s="94"/>
      <c r="T403" s="94"/>
      <c r="U403" s="94"/>
      <c r="V403" s="94"/>
      <c r="W403" s="94"/>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c r="BA403" s="95"/>
    </row>
    <row r="404" spans="1:53" s="87" customFormat="1">
      <c r="A404" s="90" t="str">
        <f t="shared" si="54"/>
        <v/>
      </c>
      <c r="B404" s="98">
        <v>14</v>
      </c>
      <c r="C404" s="94">
        <v>1</v>
      </c>
      <c r="D404" s="94" t="s">
        <v>210</v>
      </c>
      <c r="E404" s="94" t="s">
        <v>210</v>
      </c>
      <c r="F404" s="94" t="s">
        <v>202</v>
      </c>
      <c r="G404" s="94" t="s">
        <v>210</v>
      </c>
      <c r="H404" s="94">
        <v>2</v>
      </c>
      <c r="I404" s="94" t="s">
        <v>210</v>
      </c>
      <c r="J404" s="94">
        <v>-3</v>
      </c>
      <c r="K404" s="94">
        <v>-5</v>
      </c>
      <c r="L404" s="94" t="s">
        <v>210</v>
      </c>
      <c r="M404" s="94"/>
      <c r="N404" s="94"/>
      <c r="O404" s="94"/>
      <c r="P404" s="94"/>
      <c r="Q404" s="94"/>
      <c r="R404" s="94"/>
      <c r="S404" s="94"/>
      <c r="T404" s="94"/>
      <c r="U404" s="94"/>
      <c r="V404" s="94"/>
      <c r="W404" s="94"/>
      <c r="X404" s="94"/>
      <c r="Y404" s="94"/>
      <c r="Z404" s="94"/>
      <c r="AA404" s="94"/>
      <c r="AB404" s="94"/>
      <c r="AC404" s="94"/>
      <c r="AD404" s="94"/>
      <c r="AE404" s="94"/>
      <c r="AF404" s="94"/>
      <c r="AG404" s="94"/>
      <c r="AH404" s="94"/>
      <c r="AI404" s="94"/>
      <c r="AJ404" s="94"/>
      <c r="AK404" s="94"/>
      <c r="AL404" s="94"/>
      <c r="AM404" s="94"/>
      <c r="AN404" s="94"/>
      <c r="AO404" s="94"/>
      <c r="AP404" s="94"/>
      <c r="AQ404" s="94"/>
      <c r="AR404" s="94"/>
      <c r="AS404" s="94"/>
      <c r="AT404" s="94"/>
      <c r="AU404" s="94"/>
      <c r="AV404" s="94"/>
      <c r="AW404" s="94"/>
      <c r="AX404" s="94"/>
      <c r="AY404" s="94"/>
      <c r="BA404" s="95"/>
    </row>
    <row r="405" spans="1:53" s="87" customFormat="1">
      <c r="A405" s="90" t="str">
        <f t="shared" si="54"/>
        <v/>
      </c>
      <c r="B405" s="98">
        <v>15</v>
      </c>
      <c r="C405" s="94">
        <v>3</v>
      </c>
      <c r="D405" s="94" t="s">
        <v>210</v>
      </c>
      <c r="E405" s="94" t="s">
        <v>210</v>
      </c>
      <c r="F405" s="94">
        <v>-4</v>
      </c>
      <c r="G405" s="94" t="s">
        <v>210</v>
      </c>
      <c r="H405" s="94">
        <v>-2</v>
      </c>
      <c r="I405" s="94" t="s">
        <v>210</v>
      </c>
      <c r="J405" s="94" t="s">
        <v>202</v>
      </c>
      <c r="K405" s="94">
        <v>1</v>
      </c>
      <c r="L405" s="94" t="s">
        <v>210</v>
      </c>
      <c r="M405" s="94"/>
      <c r="N405" s="94"/>
      <c r="O405" s="94"/>
      <c r="P405" s="94"/>
      <c r="Q405" s="94"/>
      <c r="R405" s="94"/>
      <c r="S405" s="94"/>
      <c r="T405" s="94"/>
      <c r="U405" s="94"/>
      <c r="V405" s="94"/>
      <c r="W405" s="94"/>
      <c r="X405" s="94"/>
      <c r="Y405" s="94"/>
      <c r="Z405" s="94"/>
      <c r="AA405" s="94"/>
      <c r="AB405" s="94"/>
      <c r="AC405" s="94"/>
      <c r="AD405" s="94"/>
      <c r="AE405" s="94"/>
      <c r="AF405" s="94"/>
      <c r="AG405" s="94"/>
      <c r="AH405" s="94"/>
      <c r="AI405" s="94"/>
      <c r="AJ405" s="94"/>
      <c r="AK405" s="94"/>
      <c r="AL405" s="94"/>
      <c r="AM405" s="94"/>
      <c r="AN405" s="94"/>
      <c r="AO405" s="94"/>
      <c r="AP405" s="94"/>
      <c r="AQ405" s="94"/>
      <c r="AR405" s="94"/>
      <c r="AS405" s="94"/>
      <c r="AT405" s="94"/>
      <c r="AU405" s="94"/>
      <c r="AV405" s="94"/>
      <c r="AW405" s="94"/>
      <c r="AX405" s="94"/>
      <c r="AY405" s="94"/>
      <c r="BA405" s="95"/>
    </row>
    <row r="406" spans="1:53" s="87" customFormat="1">
      <c r="A406" s="90" t="str">
        <f t="shared" si="54"/>
        <v/>
      </c>
      <c r="B406" s="98">
        <v>16</v>
      </c>
      <c r="C406" s="94" t="s">
        <v>202</v>
      </c>
      <c r="D406" s="94" t="s">
        <v>210</v>
      </c>
      <c r="E406" s="94" t="s">
        <v>210</v>
      </c>
      <c r="F406" s="94">
        <v>2</v>
      </c>
      <c r="G406" s="94">
        <v>-5</v>
      </c>
      <c r="H406" s="94" t="s">
        <v>210</v>
      </c>
      <c r="I406" s="94" t="s">
        <v>210</v>
      </c>
      <c r="J406" s="94">
        <v>3</v>
      </c>
      <c r="K406" s="94">
        <v>-1</v>
      </c>
      <c r="L406" s="94" t="s">
        <v>210</v>
      </c>
      <c r="M406" s="94"/>
      <c r="N406" s="94"/>
      <c r="O406" s="94"/>
      <c r="P406" s="94"/>
      <c r="Q406" s="94"/>
      <c r="R406" s="94"/>
      <c r="S406" s="94"/>
      <c r="T406" s="94"/>
      <c r="U406" s="94"/>
      <c r="V406" s="94"/>
      <c r="W406" s="94"/>
      <c r="X406" s="94"/>
      <c r="Y406" s="94"/>
      <c r="Z406" s="94"/>
      <c r="AA406" s="94"/>
      <c r="AB406" s="94"/>
      <c r="AC406" s="94"/>
      <c r="AD406" s="94"/>
      <c r="AE406" s="94"/>
      <c r="AF406" s="94"/>
      <c r="AG406" s="94"/>
      <c r="AH406" s="94"/>
      <c r="AI406" s="94"/>
      <c r="AJ406" s="94"/>
      <c r="AK406" s="94"/>
      <c r="AL406" s="94"/>
      <c r="AM406" s="94"/>
      <c r="AN406" s="94"/>
      <c r="AO406" s="94"/>
      <c r="AP406" s="94"/>
      <c r="AQ406" s="94"/>
      <c r="AR406" s="94"/>
      <c r="AS406" s="94"/>
      <c r="AT406" s="94"/>
      <c r="AU406" s="94"/>
      <c r="AV406" s="94"/>
      <c r="AW406" s="94"/>
      <c r="AX406" s="94"/>
      <c r="AY406" s="94"/>
      <c r="BA406" s="95"/>
    </row>
    <row r="407" spans="1:53" s="87" customFormat="1">
      <c r="A407" s="90" t="str">
        <f t="shared" si="54"/>
        <v/>
      </c>
      <c r="B407" s="99">
        <v>17</v>
      </c>
      <c r="C407" s="92">
        <v>-1</v>
      </c>
      <c r="D407" s="92" t="s">
        <v>210</v>
      </c>
      <c r="E407" s="92" t="s">
        <v>210</v>
      </c>
      <c r="F407" s="92">
        <v>4</v>
      </c>
      <c r="G407" s="92">
        <v>5</v>
      </c>
      <c r="H407" s="92" t="s">
        <v>210</v>
      </c>
      <c r="I407" s="92" t="s">
        <v>210</v>
      </c>
      <c r="J407" s="92">
        <v>-4</v>
      </c>
      <c r="K407" s="92" t="s">
        <v>202</v>
      </c>
      <c r="L407" s="92" t="s">
        <v>210</v>
      </c>
      <c r="M407" s="94"/>
      <c r="N407" s="94"/>
      <c r="O407" s="94"/>
      <c r="P407" s="94"/>
      <c r="Q407" s="94"/>
      <c r="R407" s="94"/>
      <c r="S407" s="94"/>
      <c r="T407" s="94"/>
      <c r="U407" s="94"/>
      <c r="V407" s="94"/>
      <c r="W407" s="94"/>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BA407" s="95"/>
    </row>
    <row r="408" spans="1:53" s="87" customFormat="1">
      <c r="A408" s="90" t="str">
        <f t="shared" si="54"/>
        <v/>
      </c>
      <c r="B408" s="98">
        <v>18</v>
      </c>
      <c r="C408" s="94" t="s">
        <v>210</v>
      </c>
      <c r="D408" s="94">
        <v>-3</v>
      </c>
      <c r="E408" s="94">
        <v>-2</v>
      </c>
      <c r="F408" s="94" t="s">
        <v>210</v>
      </c>
      <c r="G408" s="94" t="s">
        <v>210</v>
      </c>
      <c r="H408" s="94" t="s">
        <v>202</v>
      </c>
      <c r="I408" s="94">
        <v>4</v>
      </c>
      <c r="J408" s="94" t="s">
        <v>210</v>
      </c>
      <c r="K408" s="94" t="s">
        <v>210</v>
      </c>
      <c r="L408" s="94">
        <v>5</v>
      </c>
      <c r="M408" s="94"/>
      <c r="N408" s="94"/>
      <c r="O408" s="94"/>
      <c r="P408" s="94"/>
      <c r="Q408" s="94"/>
      <c r="R408" s="94"/>
      <c r="S408" s="94"/>
      <c r="T408" s="94"/>
      <c r="U408" s="94"/>
      <c r="V408" s="94"/>
      <c r="W408" s="94"/>
      <c r="X408" s="94"/>
      <c r="Y408" s="94"/>
      <c r="Z408" s="94"/>
      <c r="AA408" s="94"/>
      <c r="AB408" s="94"/>
      <c r="AC408" s="94"/>
      <c r="AD408" s="94"/>
      <c r="AE408" s="94"/>
      <c r="AF408" s="94"/>
      <c r="AG408" s="94"/>
      <c r="AH408" s="94"/>
      <c r="AI408" s="94"/>
      <c r="AJ408" s="94"/>
      <c r="AK408" s="94"/>
      <c r="AL408" s="94"/>
      <c r="AM408" s="94"/>
      <c r="AN408" s="94"/>
      <c r="AO408" s="94"/>
      <c r="AP408" s="94"/>
      <c r="AQ408" s="94"/>
      <c r="AR408" s="94"/>
      <c r="AS408" s="94"/>
      <c r="AT408" s="94"/>
      <c r="AU408" s="94"/>
      <c r="AV408" s="94"/>
      <c r="AW408" s="94"/>
      <c r="AX408" s="94"/>
      <c r="AY408" s="94"/>
      <c r="BA408" s="95"/>
    </row>
    <row r="409" spans="1:53" s="87" customFormat="1">
      <c r="A409" s="90" t="str">
        <f t="shared" si="54"/>
        <v/>
      </c>
      <c r="B409" s="98">
        <v>19</v>
      </c>
      <c r="C409" s="94" t="s">
        <v>210</v>
      </c>
      <c r="D409" s="94">
        <v>1</v>
      </c>
      <c r="E409" s="94" t="s">
        <v>202</v>
      </c>
      <c r="F409" s="94" t="s">
        <v>210</v>
      </c>
      <c r="G409" s="94">
        <v>2</v>
      </c>
      <c r="H409" s="94" t="s">
        <v>210</v>
      </c>
      <c r="I409" s="94">
        <v>-3</v>
      </c>
      <c r="J409" s="94" t="s">
        <v>210</v>
      </c>
      <c r="K409" s="94" t="s">
        <v>210</v>
      </c>
      <c r="L409" s="94">
        <v>-5</v>
      </c>
      <c r="M409" s="94"/>
      <c r="N409" s="94"/>
      <c r="O409" s="94"/>
      <c r="P409" s="94"/>
      <c r="Q409" s="94"/>
      <c r="R409" s="94"/>
      <c r="S409" s="94"/>
      <c r="T409" s="94"/>
      <c r="U409" s="94"/>
      <c r="V409" s="94"/>
      <c r="W409" s="94"/>
      <c r="X409" s="94"/>
      <c r="Y409" s="94"/>
      <c r="Z409" s="94"/>
      <c r="AA409" s="94"/>
      <c r="AB409" s="94"/>
      <c r="AC409" s="94"/>
      <c r="AD409" s="94"/>
      <c r="AE409" s="94"/>
      <c r="AF409" s="94"/>
      <c r="AG409" s="94"/>
      <c r="AH409" s="94"/>
      <c r="AI409" s="94"/>
      <c r="AJ409" s="94"/>
      <c r="AK409" s="94"/>
      <c r="AL409" s="94"/>
      <c r="AM409" s="94"/>
      <c r="AN409" s="94"/>
      <c r="AO409" s="94"/>
      <c r="AP409" s="94"/>
      <c r="AQ409" s="94"/>
      <c r="AR409" s="94"/>
      <c r="AS409" s="94"/>
      <c r="AT409" s="94"/>
      <c r="AU409" s="94"/>
      <c r="AV409" s="94"/>
      <c r="AW409" s="94"/>
      <c r="AX409" s="94"/>
      <c r="AY409" s="94"/>
      <c r="BA409" s="95"/>
    </row>
    <row r="410" spans="1:53" s="87" customFormat="1">
      <c r="A410" s="90" t="str">
        <f t="shared" si="54"/>
        <v/>
      </c>
      <c r="B410" s="98">
        <v>20</v>
      </c>
      <c r="C410" s="94" t="s">
        <v>210</v>
      </c>
      <c r="D410" s="94">
        <v>3</v>
      </c>
      <c r="E410" s="94">
        <v>-4</v>
      </c>
      <c r="F410" s="94" t="s">
        <v>210</v>
      </c>
      <c r="G410" s="94">
        <v>-2</v>
      </c>
      <c r="H410" s="94" t="s">
        <v>210</v>
      </c>
      <c r="I410" s="94" t="s">
        <v>202</v>
      </c>
      <c r="J410" s="94" t="s">
        <v>210</v>
      </c>
      <c r="K410" s="94" t="s">
        <v>210</v>
      </c>
      <c r="L410" s="94">
        <v>1</v>
      </c>
      <c r="M410" s="94"/>
      <c r="N410" s="94"/>
      <c r="O410" s="94"/>
      <c r="P410" s="94"/>
      <c r="Q410" s="94"/>
      <c r="R410" s="94"/>
      <c r="S410" s="94"/>
      <c r="T410" s="94"/>
      <c r="U410" s="94"/>
      <c r="V410" s="94"/>
      <c r="W410" s="94"/>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BA410" s="95"/>
    </row>
    <row r="411" spans="1:53" s="87" customFormat="1">
      <c r="A411" s="90" t="str">
        <f t="shared" si="54"/>
        <v/>
      </c>
      <c r="B411" s="98">
        <v>21</v>
      </c>
      <c r="C411" s="94" t="s">
        <v>210</v>
      </c>
      <c r="D411" s="94" t="s">
        <v>202</v>
      </c>
      <c r="E411" s="94">
        <v>2</v>
      </c>
      <c r="F411" s="94" t="s">
        <v>210</v>
      </c>
      <c r="G411" s="94" t="s">
        <v>210</v>
      </c>
      <c r="H411" s="94">
        <v>-5</v>
      </c>
      <c r="I411" s="94">
        <v>3</v>
      </c>
      <c r="J411" s="94" t="s">
        <v>210</v>
      </c>
      <c r="K411" s="94" t="s">
        <v>210</v>
      </c>
      <c r="L411" s="94">
        <v>-1</v>
      </c>
      <c r="M411" s="94"/>
      <c r="N411" s="94"/>
      <c r="O411" s="94"/>
      <c r="P411" s="94"/>
      <c r="Q411" s="94"/>
      <c r="R411" s="94"/>
      <c r="S411" s="94"/>
      <c r="T411" s="94"/>
      <c r="U411" s="94"/>
      <c r="V411" s="94"/>
      <c r="W411" s="94"/>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BA411" s="95"/>
    </row>
    <row r="412" spans="1:53" s="87" customFormat="1">
      <c r="A412" s="90" t="str">
        <f t="shared" si="54"/>
        <v/>
      </c>
      <c r="B412" s="98">
        <v>22</v>
      </c>
      <c r="C412" s="94" t="s">
        <v>210</v>
      </c>
      <c r="D412" s="94">
        <v>-1</v>
      </c>
      <c r="E412" s="94">
        <v>4</v>
      </c>
      <c r="F412" s="94" t="s">
        <v>210</v>
      </c>
      <c r="G412" s="94" t="s">
        <v>210</v>
      </c>
      <c r="H412" s="94">
        <v>5</v>
      </c>
      <c r="I412" s="94">
        <v>-4</v>
      </c>
      <c r="J412" s="94" t="s">
        <v>210</v>
      </c>
      <c r="K412" s="94" t="s">
        <v>210</v>
      </c>
      <c r="L412" s="94" t="s">
        <v>202</v>
      </c>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BA412" s="95"/>
    </row>
    <row r="413" spans="1:53" s="87" customFormat="1">
      <c r="A413" s="90" t="str">
        <f t="shared" si="54"/>
        <v/>
      </c>
      <c r="B413" s="98" t="s">
        <v>320</v>
      </c>
      <c r="C413" s="94"/>
      <c r="D413" s="94"/>
      <c r="E413" s="94"/>
      <c r="F413" s="94"/>
      <c r="G413" s="94"/>
      <c r="H413" s="94"/>
      <c r="I413" s="94"/>
      <c r="J413" s="94"/>
      <c r="K413" s="94"/>
      <c r="L413" s="94"/>
      <c r="M413" s="94"/>
      <c r="N413" s="94"/>
      <c r="O413" s="94"/>
      <c r="P413" s="94"/>
      <c r="Q413" s="94"/>
      <c r="R413" s="94"/>
      <c r="S413" s="94"/>
      <c r="T413" s="94"/>
      <c r="U413" s="94"/>
      <c r="V413" s="94"/>
      <c r="W413" s="94"/>
      <c r="X413" s="94"/>
      <c r="Y413" s="94"/>
      <c r="Z413" s="94"/>
      <c r="AA413" s="94"/>
      <c r="AB413" s="94"/>
      <c r="AC413" s="94"/>
      <c r="AD413" s="94"/>
      <c r="AE413" s="94"/>
      <c r="AF413" s="94"/>
      <c r="AG413" s="94"/>
      <c r="AH413" s="94"/>
      <c r="AI413" s="94"/>
      <c r="AJ413" s="94"/>
      <c r="AK413" s="94"/>
      <c r="AL413" s="94"/>
      <c r="AM413" s="94"/>
      <c r="AN413" s="94"/>
      <c r="AO413" s="94"/>
      <c r="AP413" s="94"/>
      <c r="AQ413" s="94"/>
      <c r="AR413" s="94"/>
      <c r="AS413" s="94"/>
      <c r="AT413" s="94"/>
      <c r="AU413" s="94"/>
      <c r="AV413" s="94"/>
      <c r="AW413" s="94"/>
      <c r="AX413" s="94"/>
      <c r="AY413" s="94"/>
      <c r="BA413" s="95"/>
    </row>
    <row r="414" spans="1:53" s="87" customFormat="1">
      <c r="A414" s="90">
        <f t="shared" si="54"/>
        <v>414</v>
      </c>
      <c r="B414" s="98" t="s">
        <v>331</v>
      </c>
      <c r="C414" s="94"/>
      <c r="D414" s="94"/>
      <c r="E414" s="94"/>
      <c r="F414" s="94"/>
      <c r="G414" s="94"/>
      <c r="H414" s="94"/>
      <c r="I414" s="94"/>
      <c r="J414" s="94"/>
      <c r="K414" s="94"/>
      <c r="L414" s="94"/>
      <c r="M414" s="94"/>
      <c r="N414" s="94"/>
      <c r="O414" s="94"/>
      <c r="P414" s="94"/>
      <c r="Q414" s="94"/>
      <c r="R414" s="94"/>
      <c r="S414" s="94"/>
      <c r="T414" s="94"/>
      <c r="U414" s="94"/>
      <c r="V414" s="94"/>
      <c r="W414" s="94"/>
      <c r="X414" s="94"/>
      <c r="Y414" s="94"/>
      <c r="Z414" s="94"/>
      <c r="AA414" s="94"/>
      <c r="AB414" s="94"/>
      <c r="AC414" s="94"/>
      <c r="AD414" s="94"/>
      <c r="AE414" s="94"/>
      <c r="AF414" s="94"/>
      <c r="AG414" s="94"/>
      <c r="AH414" s="94"/>
      <c r="AI414" s="94"/>
      <c r="AJ414" s="94"/>
      <c r="AK414" s="94"/>
      <c r="AL414" s="94"/>
      <c r="AM414" s="94"/>
      <c r="AN414" s="94"/>
      <c r="AO414" s="94"/>
      <c r="AP414" s="94"/>
      <c r="AQ414" s="94"/>
      <c r="AR414" s="94"/>
      <c r="AS414" s="94"/>
      <c r="AT414" s="94"/>
      <c r="AU414" s="94"/>
      <c r="AV414" s="94"/>
      <c r="AW414" s="94"/>
      <c r="AX414" s="94"/>
      <c r="AY414" s="94"/>
      <c r="BA414" s="95"/>
    </row>
    <row r="415" spans="1:53" s="87" customFormat="1">
      <c r="A415" s="90" t="str">
        <f t="shared" si="54"/>
        <v/>
      </c>
      <c r="B415" s="98">
        <v>1</v>
      </c>
      <c r="C415" s="94">
        <v>-5</v>
      </c>
      <c r="D415" s="94" t="s">
        <v>210</v>
      </c>
      <c r="E415" s="94" t="s">
        <v>210</v>
      </c>
      <c r="F415" s="94" t="s">
        <v>202</v>
      </c>
      <c r="G415" s="94">
        <v>2</v>
      </c>
      <c r="H415" s="94" t="s">
        <v>210</v>
      </c>
      <c r="I415" s="94" t="s">
        <v>210</v>
      </c>
      <c r="J415" s="94">
        <v>1</v>
      </c>
      <c r="K415" s="94">
        <v>-2</v>
      </c>
      <c r="L415" s="94" t="s">
        <v>210</v>
      </c>
      <c r="M415" s="94"/>
      <c r="N415" s="94"/>
      <c r="O415" s="94"/>
      <c r="P415" s="94"/>
      <c r="Q415" s="94"/>
      <c r="R415" s="94"/>
      <c r="S415" s="94"/>
      <c r="T415" s="94"/>
      <c r="U415" s="94"/>
      <c r="V415" s="94"/>
      <c r="W415" s="94"/>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BA415" s="95"/>
    </row>
    <row r="416" spans="1:53" s="87" customFormat="1">
      <c r="A416" s="90" t="str">
        <f t="shared" si="54"/>
        <v/>
      </c>
      <c r="B416" s="98">
        <v>2</v>
      </c>
      <c r="C416" s="94">
        <v>-4</v>
      </c>
      <c r="D416" s="94" t="s">
        <v>210</v>
      </c>
      <c r="E416" s="94" t="s">
        <v>210</v>
      </c>
      <c r="F416" s="94">
        <v>-2</v>
      </c>
      <c r="G416" s="94">
        <v>3</v>
      </c>
      <c r="H416" s="94" t="s">
        <v>210</v>
      </c>
      <c r="I416" s="94" t="s">
        <v>210</v>
      </c>
      <c r="J416" s="94" t="s">
        <v>202</v>
      </c>
      <c r="K416" s="94">
        <v>2</v>
      </c>
      <c r="L416" s="94" t="s">
        <v>210</v>
      </c>
      <c r="M416" s="94"/>
      <c r="N416" s="94"/>
      <c r="O416" s="94"/>
      <c r="P416" s="94"/>
      <c r="Q416" s="94"/>
      <c r="R416" s="94"/>
      <c r="S416" s="94"/>
      <c r="T416" s="94"/>
      <c r="U416" s="94"/>
      <c r="V416" s="94"/>
      <c r="W416" s="94"/>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BA416" s="95"/>
    </row>
    <row r="417" spans="1:53" s="87" customFormat="1">
      <c r="A417" s="90" t="str">
        <f t="shared" si="54"/>
        <v/>
      </c>
      <c r="B417" s="98">
        <v>3</v>
      </c>
      <c r="C417" s="94">
        <v>5</v>
      </c>
      <c r="D417" s="94" t="s">
        <v>210</v>
      </c>
      <c r="E417" s="94" t="s">
        <v>210</v>
      </c>
      <c r="F417" s="94">
        <v>2</v>
      </c>
      <c r="G417" s="94" t="s">
        <v>202</v>
      </c>
      <c r="H417" s="94" t="s">
        <v>210</v>
      </c>
      <c r="I417" s="94" t="s">
        <v>210</v>
      </c>
      <c r="J417" s="94">
        <v>-5</v>
      </c>
      <c r="K417" s="94">
        <v>-4</v>
      </c>
      <c r="L417" s="94" t="s">
        <v>210</v>
      </c>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BA417" s="95"/>
    </row>
    <row r="418" spans="1:53" s="87" customFormat="1">
      <c r="A418" s="90" t="str">
        <f t="shared" si="54"/>
        <v/>
      </c>
      <c r="B418" s="98">
        <v>4</v>
      </c>
      <c r="C418" s="94" t="s">
        <v>202</v>
      </c>
      <c r="D418" s="94" t="s">
        <v>210</v>
      </c>
      <c r="E418" s="94" t="s">
        <v>210</v>
      </c>
      <c r="F418" s="94">
        <v>5</v>
      </c>
      <c r="G418" s="94">
        <v>-3</v>
      </c>
      <c r="H418" s="94" t="s">
        <v>210</v>
      </c>
      <c r="I418" s="94" t="s">
        <v>210</v>
      </c>
      <c r="J418" s="94">
        <v>-1</v>
      </c>
      <c r="K418" s="94">
        <v>4</v>
      </c>
      <c r="L418" s="94" t="s">
        <v>210</v>
      </c>
      <c r="M418" s="94"/>
      <c r="N418" s="94"/>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BA418" s="95"/>
    </row>
    <row r="419" spans="1:53" s="87" customFormat="1">
      <c r="A419" s="90" t="str">
        <f t="shared" si="54"/>
        <v/>
      </c>
      <c r="B419" s="99">
        <v>5</v>
      </c>
      <c r="C419" s="92">
        <v>4</v>
      </c>
      <c r="D419" s="92" t="s">
        <v>210</v>
      </c>
      <c r="E419" s="92" t="s">
        <v>210</v>
      </c>
      <c r="F419" s="92">
        <v>-5</v>
      </c>
      <c r="G419" s="92">
        <v>-2</v>
      </c>
      <c r="H419" s="92" t="s">
        <v>210</v>
      </c>
      <c r="I419" s="92" t="s">
        <v>210</v>
      </c>
      <c r="J419" s="92">
        <v>5</v>
      </c>
      <c r="K419" s="92" t="s">
        <v>202</v>
      </c>
      <c r="L419" s="92" t="s">
        <v>210</v>
      </c>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BA419" s="95"/>
    </row>
    <row r="420" spans="1:53" s="87" customFormat="1">
      <c r="A420" s="90" t="str">
        <f t="shared" si="54"/>
        <v/>
      </c>
      <c r="B420" s="98">
        <v>6</v>
      </c>
      <c r="C420" s="94" t="s">
        <v>202</v>
      </c>
      <c r="D420" s="94" t="s">
        <v>210</v>
      </c>
      <c r="E420" s="94" t="s">
        <v>210</v>
      </c>
      <c r="F420" s="94">
        <v>-3</v>
      </c>
      <c r="G420" s="94">
        <v>-1</v>
      </c>
      <c r="H420" s="94" t="s">
        <v>210</v>
      </c>
      <c r="I420" s="94" t="s">
        <v>210</v>
      </c>
      <c r="J420" s="94">
        <v>4</v>
      </c>
      <c r="K420" s="94">
        <v>3</v>
      </c>
      <c r="L420" s="94" t="s">
        <v>210</v>
      </c>
      <c r="M420" s="94"/>
      <c r="N420" s="94"/>
      <c r="O420" s="94"/>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BA420" s="95"/>
    </row>
    <row r="421" spans="1:53" s="87" customFormat="1">
      <c r="A421" s="90" t="str">
        <f t="shared" si="54"/>
        <v/>
      </c>
      <c r="B421" s="98">
        <v>7</v>
      </c>
      <c r="C421" s="94">
        <v>1</v>
      </c>
      <c r="D421" s="94" t="s">
        <v>210</v>
      </c>
      <c r="E421" s="94" t="s">
        <v>210</v>
      </c>
      <c r="F421" s="94">
        <v>4</v>
      </c>
      <c r="G421" s="94" t="s">
        <v>210</v>
      </c>
      <c r="H421" s="94">
        <v>-1</v>
      </c>
      <c r="I421" s="94" t="s">
        <v>210</v>
      </c>
      <c r="J421" s="94" t="s">
        <v>202</v>
      </c>
      <c r="K421" s="94">
        <v>-3</v>
      </c>
      <c r="L421" s="94" t="s">
        <v>210</v>
      </c>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BA421" s="95"/>
    </row>
    <row r="422" spans="1:53" s="87" customFormat="1">
      <c r="A422" s="90" t="str">
        <f t="shared" si="54"/>
        <v/>
      </c>
      <c r="B422" s="98">
        <v>8</v>
      </c>
      <c r="C422" s="94">
        <v>-1</v>
      </c>
      <c r="D422" s="94" t="s">
        <v>210</v>
      </c>
      <c r="E422" s="94" t="s">
        <v>210</v>
      </c>
      <c r="F422" s="94">
        <v>3</v>
      </c>
      <c r="G422" s="94" t="s">
        <v>202</v>
      </c>
      <c r="H422" s="94" t="s">
        <v>210</v>
      </c>
      <c r="I422" s="94" t="s">
        <v>210</v>
      </c>
      <c r="J422" s="94">
        <v>2</v>
      </c>
      <c r="K422" s="94">
        <v>-5</v>
      </c>
      <c r="L422" s="94" t="s">
        <v>210</v>
      </c>
      <c r="M422" s="94"/>
      <c r="N422" s="94"/>
      <c r="O422" s="94"/>
      <c r="P422" s="94"/>
      <c r="Q422" s="94"/>
      <c r="R422" s="94"/>
      <c r="S422" s="94"/>
      <c r="T422" s="94"/>
      <c r="U422" s="94"/>
      <c r="V422" s="94"/>
      <c r="W422" s="94"/>
      <c r="X422" s="94"/>
      <c r="Y422" s="94"/>
      <c r="Z422" s="94"/>
      <c r="AA422" s="94"/>
      <c r="AB422" s="94"/>
      <c r="AC422" s="94"/>
      <c r="AD422" s="94"/>
      <c r="AE422" s="94"/>
      <c r="AF422" s="94"/>
      <c r="AG422" s="94"/>
      <c r="AH422" s="94"/>
      <c r="AI422" s="94"/>
      <c r="AJ422" s="94"/>
      <c r="AK422" s="94"/>
      <c r="AL422" s="94"/>
      <c r="AM422" s="94"/>
      <c r="AN422" s="94"/>
      <c r="AO422" s="94"/>
      <c r="AP422" s="94"/>
      <c r="AQ422" s="94"/>
      <c r="AR422" s="94"/>
      <c r="AS422" s="94"/>
      <c r="AT422" s="94"/>
      <c r="AU422" s="94"/>
      <c r="AV422" s="94"/>
      <c r="AW422" s="94"/>
      <c r="AX422" s="94"/>
      <c r="AY422" s="94"/>
      <c r="BA422" s="95"/>
    </row>
    <row r="423" spans="1:53" s="87" customFormat="1">
      <c r="A423" s="90" t="str">
        <f t="shared" si="54"/>
        <v/>
      </c>
      <c r="B423" s="98">
        <v>9</v>
      </c>
      <c r="C423" s="94">
        <v>-3</v>
      </c>
      <c r="D423" s="94" t="s">
        <v>210</v>
      </c>
      <c r="E423" s="94" t="s">
        <v>210</v>
      </c>
      <c r="F423" s="94" t="s">
        <v>202</v>
      </c>
      <c r="G423" s="94" t="s">
        <v>210</v>
      </c>
      <c r="H423" s="94">
        <v>1</v>
      </c>
      <c r="I423" s="94" t="s">
        <v>210</v>
      </c>
      <c r="J423" s="94">
        <v>-4</v>
      </c>
      <c r="K423" s="94">
        <v>5</v>
      </c>
      <c r="L423" s="94" t="s">
        <v>210</v>
      </c>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BA423" s="95"/>
    </row>
    <row r="424" spans="1:53" s="87" customFormat="1">
      <c r="A424" s="90" t="str">
        <f t="shared" si="54"/>
        <v/>
      </c>
      <c r="B424" s="99">
        <v>10</v>
      </c>
      <c r="C424" s="92">
        <v>3</v>
      </c>
      <c r="D424" s="92" t="s">
        <v>210</v>
      </c>
      <c r="E424" s="92" t="s">
        <v>210</v>
      </c>
      <c r="F424" s="92">
        <v>-4</v>
      </c>
      <c r="G424" s="92">
        <v>1</v>
      </c>
      <c r="H424" s="92" t="s">
        <v>210</v>
      </c>
      <c r="I424" s="92" t="s">
        <v>210</v>
      </c>
      <c r="J424" s="92">
        <v>-2</v>
      </c>
      <c r="K424" s="92" t="s">
        <v>202</v>
      </c>
      <c r="L424" s="92" t="s">
        <v>210</v>
      </c>
      <c r="M424" s="94"/>
      <c r="N424" s="94"/>
      <c r="O424" s="94"/>
      <c r="P424" s="94"/>
      <c r="Q424" s="94"/>
      <c r="R424" s="94"/>
      <c r="S424" s="94"/>
      <c r="T424" s="94"/>
      <c r="U424" s="94"/>
      <c r="V424" s="94"/>
      <c r="W424" s="94"/>
      <c r="X424" s="94"/>
      <c r="Y424" s="94"/>
      <c r="Z424" s="94"/>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BA424" s="95"/>
    </row>
    <row r="425" spans="1:53" s="87" customFormat="1">
      <c r="A425" s="90" t="str">
        <f t="shared" si="54"/>
        <v/>
      </c>
      <c r="B425" s="98">
        <v>11</v>
      </c>
      <c r="C425" s="94" t="s">
        <v>210</v>
      </c>
      <c r="D425" s="94">
        <v>-3</v>
      </c>
      <c r="E425" s="94" t="s">
        <v>210</v>
      </c>
      <c r="F425" s="94">
        <v>1</v>
      </c>
      <c r="G425" s="94">
        <v>4</v>
      </c>
      <c r="H425" s="94" t="s">
        <v>210</v>
      </c>
      <c r="I425" s="94" t="s">
        <v>202</v>
      </c>
      <c r="J425" s="94" t="s">
        <v>210</v>
      </c>
      <c r="K425" s="94">
        <v>-1</v>
      </c>
      <c r="L425" s="94" t="s">
        <v>210</v>
      </c>
      <c r="M425" s="94"/>
      <c r="N425" s="94"/>
      <c r="O425" s="94"/>
      <c r="P425" s="94"/>
      <c r="Q425" s="94"/>
      <c r="R425" s="94"/>
      <c r="S425" s="94"/>
      <c r="T425" s="94"/>
      <c r="U425" s="94"/>
      <c r="V425" s="94"/>
      <c r="W425" s="94"/>
      <c r="X425" s="94"/>
      <c r="Y425" s="94"/>
      <c r="Z425" s="94"/>
      <c r="AA425" s="94"/>
      <c r="AB425" s="94"/>
      <c r="AC425" s="94"/>
      <c r="AD425" s="94"/>
      <c r="AE425" s="94"/>
      <c r="AF425" s="94"/>
      <c r="AG425" s="94"/>
      <c r="AH425" s="94"/>
      <c r="AI425" s="94"/>
      <c r="AJ425" s="94"/>
      <c r="AK425" s="94"/>
      <c r="AL425" s="94"/>
      <c r="AM425" s="94"/>
      <c r="AN425" s="94"/>
      <c r="AO425" s="94"/>
      <c r="AP425" s="94"/>
      <c r="AQ425" s="94"/>
      <c r="AR425" s="94"/>
      <c r="AS425" s="94"/>
      <c r="AT425" s="94"/>
      <c r="AU425" s="94"/>
      <c r="AV425" s="94"/>
      <c r="AW425" s="94"/>
      <c r="AX425" s="94"/>
      <c r="AY425" s="94"/>
      <c r="BA425" s="95"/>
    </row>
    <row r="426" spans="1:53" s="87" customFormat="1">
      <c r="A426" s="90" t="str">
        <f t="shared" si="54"/>
        <v/>
      </c>
      <c r="B426" s="98">
        <v>12</v>
      </c>
      <c r="C426" s="94">
        <v>2</v>
      </c>
      <c r="D426" s="94" t="s">
        <v>210</v>
      </c>
      <c r="E426" s="94" t="s">
        <v>202</v>
      </c>
      <c r="F426" s="94" t="s">
        <v>210</v>
      </c>
      <c r="G426" s="94">
        <v>-5</v>
      </c>
      <c r="H426" s="94" t="s">
        <v>210</v>
      </c>
      <c r="I426" s="94" t="s">
        <v>210</v>
      </c>
      <c r="J426" s="94">
        <v>-3</v>
      </c>
      <c r="K426" s="94">
        <v>1</v>
      </c>
      <c r="L426" s="94" t="s">
        <v>210</v>
      </c>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BA426" s="95"/>
    </row>
    <row r="427" spans="1:53" s="87" customFormat="1">
      <c r="A427" s="90" t="str">
        <f t="shared" si="54"/>
        <v/>
      </c>
      <c r="B427" s="98">
        <v>13</v>
      </c>
      <c r="C427" s="94" t="s">
        <v>202</v>
      </c>
      <c r="D427" s="94" t="s">
        <v>210</v>
      </c>
      <c r="E427" s="94">
        <v>2</v>
      </c>
      <c r="F427" s="94" t="s">
        <v>210</v>
      </c>
      <c r="G427" s="94">
        <v>-4</v>
      </c>
      <c r="H427" s="94" t="s">
        <v>210</v>
      </c>
      <c r="I427" s="94" t="s">
        <v>210</v>
      </c>
      <c r="J427" s="94">
        <v>3</v>
      </c>
      <c r="K427" s="94" t="s">
        <v>210</v>
      </c>
      <c r="L427" s="94">
        <v>-1</v>
      </c>
      <c r="M427" s="94"/>
      <c r="N427" s="94"/>
      <c r="O427" s="94"/>
      <c r="P427" s="94"/>
      <c r="Q427" s="94"/>
      <c r="R427" s="94"/>
      <c r="S427" s="94"/>
      <c r="T427" s="94"/>
      <c r="U427" s="94"/>
      <c r="V427" s="94"/>
      <c r="W427" s="94"/>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BA427" s="95"/>
    </row>
    <row r="428" spans="1:53" s="87" customFormat="1">
      <c r="A428" s="90" t="str">
        <f t="shared" si="54"/>
        <v/>
      </c>
      <c r="B428" s="98">
        <v>14</v>
      </c>
      <c r="C428" s="94">
        <v>-2</v>
      </c>
      <c r="D428" s="94" t="s">
        <v>210</v>
      </c>
      <c r="E428" s="94" t="s">
        <v>210</v>
      </c>
      <c r="F428" s="94">
        <v>-1</v>
      </c>
      <c r="G428" s="94" t="s">
        <v>202</v>
      </c>
      <c r="H428" s="94" t="s">
        <v>210</v>
      </c>
      <c r="I428" s="94">
        <v>3</v>
      </c>
      <c r="J428" s="94" t="s">
        <v>210</v>
      </c>
      <c r="K428" s="94" t="s">
        <v>210</v>
      </c>
      <c r="L428" s="94">
        <v>1</v>
      </c>
      <c r="M428" s="94"/>
      <c r="N428" s="94"/>
      <c r="O428" s="94"/>
      <c r="P428" s="94"/>
      <c r="Q428" s="94"/>
      <c r="R428" s="94"/>
      <c r="S428" s="94"/>
      <c r="T428" s="94"/>
      <c r="U428" s="94"/>
      <c r="V428" s="94"/>
      <c r="W428" s="94"/>
      <c r="X428" s="94"/>
      <c r="Y428" s="94"/>
      <c r="Z428" s="94"/>
      <c r="AA428" s="94"/>
      <c r="AB428" s="94"/>
      <c r="AC428" s="94"/>
      <c r="AD428" s="94"/>
      <c r="AE428" s="94"/>
      <c r="AF428" s="94"/>
      <c r="AG428" s="94"/>
      <c r="AH428" s="94"/>
      <c r="AI428" s="94"/>
      <c r="AJ428" s="94"/>
      <c r="AK428" s="94"/>
      <c r="AL428" s="94"/>
      <c r="AM428" s="94"/>
      <c r="AN428" s="94"/>
      <c r="AO428" s="94"/>
      <c r="AP428" s="94"/>
      <c r="AQ428" s="94"/>
      <c r="AR428" s="94"/>
      <c r="AS428" s="94"/>
      <c r="AT428" s="94"/>
      <c r="AU428" s="94"/>
      <c r="AV428" s="94"/>
      <c r="AW428" s="94"/>
      <c r="AX428" s="94"/>
      <c r="AY428" s="94"/>
      <c r="BA428" s="95"/>
    </row>
    <row r="429" spans="1:53" s="87" customFormat="1">
      <c r="A429" s="90" t="str">
        <f t="shared" si="54"/>
        <v/>
      </c>
      <c r="B429" s="99">
        <v>15</v>
      </c>
      <c r="C429" s="92" t="s">
        <v>210</v>
      </c>
      <c r="D429" s="92">
        <v>3</v>
      </c>
      <c r="E429" s="92">
        <v>-2</v>
      </c>
      <c r="F429" s="92" t="s">
        <v>210</v>
      </c>
      <c r="G429" s="92">
        <v>5</v>
      </c>
      <c r="H429" s="92" t="s">
        <v>210</v>
      </c>
      <c r="I429" s="92">
        <v>-3</v>
      </c>
      <c r="J429" s="92" t="s">
        <v>210</v>
      </c>
      <c r="K429" s="92" t="s">
        <v>202</v>
      </c>
      <c r="L429" s="92" t="s">
        <v>210</v>
      </c>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BA429" s="95"/>
    </row>
    <row r="430" spans="1:53" s="87" customFormat="1">
      <c r="A430" s="90" t="str">
        <f t="shared" si="54"/>
        <v/>
      </c>
      <c r="B430" s="98">
        <v>16</v>
      </c>
      <c r="C430" s="94" t="s">
        <v>210</v>
      </c>
      <c r="D430" s="94" t="s">
        <v>210</v>
      </c>
      <c r="E430" s="94">
        <v>1</v>
      </c>
      <c r="F430" s="94" t="s">
        <v>210</v>
      </c>
      <c r="G430" s="94" t="s">
        <v>210</v>
      </c>
      <c r="H430" s="94">
        <v>4</v>
      </c>
      <c r="I430" s="94">
        <v>-5</v>
      </c>
      <c r="J430" s="94" t="s">
        <v>210</v>
      </c>
      <c r="K430" s="94" t="s">
        <v>210</v>
      </c>
      <c r="L430" s="94">
        <v>-2</v>
      </c>
      <c r="M430" s="94"/>
      <c r="N430" s="94"/>
      <c r="O430" s="94"/>
      <c r="P430" s="94"/>
      <c r="Q430" s="94"/>
      <c r="R430" s="94"/>
      <c r="S430" s="94"/>
      <c r="T430" s="94"/>
      <c r="U430" s="94"/>
      <c r="V430" s="94"/>
      <c r="W430" s="94"/>
      <c r="X430" s="94"/>
      <c r="Y430" s="94"/>
      <c r="Z430" s="94"/>
      <c r="AA430" s="94"/>
      <c r="AB430" s="94"/>
      <c r="AC430" s="94"/>
      <c r="AD430" s="94"/>
      <c r="AE430" s="94"/>
      <c r="AF430" s="94"/>
      <c r="AG430" s="94"/>
      <c r="AH430" s="94"/>
      <c r="AI430" s="94"/>
      <c r="AJ430" s="94"/>
      <c r="AK430" s="94"/>
      <c r="AL430" s="94"/>
      <c r="AM430" s="94"/>
      <c r="AN430" s="94"/>
      <c r="AO430" s="94"/>
      <c r="AP430" s="94"/>
      <c r="AQ430" s="94"/>
      <c r="AR430" s="94"/>
      <c r="AS430" s="94"/>
      <c r="AT430" s="94"/>
      <c r="AU430" s="94"/>
      <c r="AV430" s="94"/>
      <c r="AW430" s="94"/>
      <c r="AX430" s="94"/>
      <c r="AY430" s="94"/>
      <c r="BA430" s="95"/>
    </row>
    <row r="431" spans="1:53" s="87" customFormat="1">
      <c r="A431" s="90" t="str">
        <f t="shared" si="54"/>
        <v/>
      </c>
      <c r="B431" s="98">
        <v>17</v>
      </c>
      <c r="C431" s="94" t="s">
        <v>210</v>
      </c>
      <c r="D431" s="94" t="s">
        <v>210</v>
      </c>
      <c r="E431" s="94">
        <v>4</v>
      </c>
      <c r="F431" s="94" t="s">
        <v>210</v>
      </c>
      <c r="G431" s="94" t="s">
        <v>210</v>
      </c>
      <c r="H431" s="94">
        <v>-2</v>
      </c>
      <c r="I431" s="94">
        <v>-1</v>
      </c>
      <c r="J431" s="94" t="s">
        <v>210</v>
      </c>
      <c r="K431" s="94" t="s">
        <v>210</v>
      </c>
      <c r="L431" s="94">
        <v>2</v>
      </c>
      <c r="M431" s="94"/>
      <c r="N431" s="94"/>
      <c r="O431" s="94"/>
      <c r="P431" s="94"/>
      <c r="Q431" s="94"/>
      <c r="R431" s="94"/>
      <c r="S431" s="94"/>
      <c r="T431" s="94"/>
      <c r="U431" s="94"/>
      <c r="V431" s="94"/>
      <c r="W431" s="94"/>
      <c r="X431" s="94"/>
      <c r="Y431" s="94"/>
      <c r="Z431" s="94"/>
      <c r="AA431" s="94"/>
      <c r="AB431" s="94"/>
      <c r="AC431" s="94"/>
      <c r="AD431" s="94"/>
      <c r="AE431" s="94"/>
      <c r="AF431" s="94"/>
      <c r="AG431" s="94"/>
      <c r="AH431" s="94"/>
      <c r="AI431" s="94"/>
      <c r="AJ431" s="94"/>
      <c r="AK431" s="94"/>
      <c r="AL431" s="94"/>
      <c r="AM431" s="94"/>
      <c r="AN431" s="94"/>
      <c r="AO431" s="94"/>
      <c r="AP431" s="94"/>
      <c r="AQ431" s="94"/>
      <c r="AR431" s="94"/>
      <c r="AS431" s="94"/>
      <c r="AT431" s="94"/>
      <c r="AU431" s="94"/>
      <c r="AV431" s="94"/>
      <c r="AW431" s="94"/>
      <c r="AX431" s="94"/>
      <c r="AY431" s="94"/>
      <c r="BA431" s="95"/>
    </row>
    <row r="432" spans="1:53" s="87" customFormat="1">
      <c r="A432" s="90" t="str">
        <f t="shared" si="54"/>
        <v/>
      </c>
      <c r="B432" s="98">
        <v>18</v>
      </c>
      <c r="C432" s="94" t="s">
        <v>210</v>
      </c>
      <c r="D432" s="94" t="s">
        <v>210</v>
      </c>
      <c r="E432" s="94">
        <v>-5</v>
      </c>
      <c r="F432" s="94" t="s">
        <v>210</v>
      </c>
      <c r="G432" s="94" t="s">
        <v>210</v>
      </c>
      <c r="H432" s="94">
        <v>2</v>
      </c>
      <c r="I432" s="94">
        <v>5</v>
      </c>
      <c r="J432" s="94" t="s">
        <v>210</v>
      </c>
      <c r="K432" s="94" t="s">
        <v>210</v>
      </c>
      <c r="L432" s="94">
        <v>-4</v>
      </c>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BA432" s="95"/>
    </row>
    <row r="433" spans="1:53" s="87" customFormat="1">
      <c r="A433" s="90" t="str">
        <f t="shared" si="54"/>
        <v/>
      </c>
      <c r="B433" s="99">
        <v>19</v>
      </c>
      <c r="C433" s="92" t="s">
        <v>210</v>
      </c>
      <c r="D433" s="92" t="s">
        <v>210</v>
      </c>
      <c r="E433" s="92">
        <v>-3</v>
      </c>
      <c r="F433" s="92" t="s">
        <v>210</v>
      </c>
      <c r="G433" s="92" t="s">
        <v>210</v>
      </c>
      <c r="H433" s="92">
        <v>-4</v>
      </c>
      <c r="I433" s="92">
        <v>1</v>
      </c>
      <c r="J433" s="92" t="s">
        <v>210</v>
      </c>
      <c r="K433" s="92" t="s">
        <v>210</v>
      </c>
      <c r="L433" s="92">
        <v>4</v>
      </c>
      <c r="M433" s="94"/>
      <c r="N433" s="94"/>
      <c r="O433" s="94"/>
      <c r="P433" s="94"/>
      <c r="Q433" s="94"/>
      <c r="R433" s="94"/>
      <c r="S433" s="94"/>
      <c r="T433" s="94"/>
      <c r="U433" s="94"/>
      <c r="V433" s="94"/>
      <c r="W433" s="94"/>
      <c r="X433" s="94"/>
      <c r="Y433" s="94"/>
      <c r="Z433" s="94"/>
      <c r="AA433" s="94"/>
      <c r="AB433" s="94"/>
      <c r="AC433" s="94"/>
      <c r="AD433" s="94"/>
      <c r="AE433" s="94"/>
      <c r="AF433" s="94"/>
      <c r="AG433" s="94"/>
      <c r="AH433" s="94"/>
      <c r="AI433" s="94"/>
      <c r="AJ433" s="94"/>
      <c r="AK433" s="94"/>
      <c r="AL433" s="94"/>
      <c r="AM433" s="94"/>
      <c r="AN433" s="94"/>
      <c r="AO433" s="94"/>
      <c r="AP433" s="94"/>
      <c r="AQ433" s="94"/>
      <c r="AR433" s="94"/>
      <c r="AS433" s="94"/>
      <c r="AT433" s="94"/>
      <c r="AU433" s="94"/>
      <c r="AV433" s="94"/>
      <c r="AW433" s="94"/>
      <c r="AX433" s="94"/>
      <c r="AY433" s="94"/>
      <c r="BA433" s="95"/>
    </row>
    <row r="434" spans="1:53" s="87" customFormat="1">
      <c r="A434" s="90" t="str">
        <f t="shared" si="54"/>
        <v/>
      </c>
      <c r="B434" s="98">
        <v>20</v>
      </c>
      <c r="C434" s="94" t="s">
        <v>210</v>
      </c>
      <c r="D434" s="94" t="s">
        <v>210</v>
      </c>
      <c r="E434" s="94">
        <v>-1</v>
      </c>
      <c r="F434" s="94" t="s">
        <v>210</v>
      </c>
      <c r="G434" s="94" t="s">
        <v>210</v>
      </c>
      <c r="H434" s="94">
        <v>3</v>
      </c>
      <c r="I434" s="94">
        <v>4</v>
      </c>
      <c r="J434" s="94" t="s">
        <v>210</v>
      </c>
      <c r="K434" s="94" t="s">
        <v>210</v>
      </c>
      <c r="L434" s="94">
        <v>-3</v>
      </c>
      <c r="M434" s="94"/>
      <c r="N434" s="94"/>
      <c r="O434" s="94"/>
      <c r="P434" s="94"/>
      <c r="Q434" s="94"/>
      <c r="R434" s="94"/>
      <c r="S434" s="94"/>
      <c r="T434" s="94"/>
      <c r="U434" s="94"/>
      <c r="V434" s="94"/>
      <c r="W434" s="94"/>
      <c r="X434" s="94"/>
      <c r="Y434" s="94"/>
      <c r="Z434" s="94"/>
      <c r="AA434" s="94"/>
      <c r="AB434" s="94"/>
      <c r="AC434" s="94"/>
      <c r="AD434" s="94"/>
      <c r="AE434" s="94"/>
      <c r="AF434" s="94"/>
      <c r="AG434" s="94"/>
      <c r="AH434" s="94"/>
      <c r="AI434" s="94"/>
      <c r="AJ434" s="94"/>
      <c r="AK434" s="94"/>
      <c r="AL434" s="94"/>
      <c r="AM434" s="94"/>
      <c r="AN434" s="94"/>
      <c r="AO434" s="94"/>
      <c r="AP434" s="94"/>
      <c r="AQ434" s="94"/>
      <c r="AR434" s="94"/>
      <c r="AS434" s="94"/>
      <c r="AT434" s="94"/>
      <c r="AU434" s="94"/>
      <c r="AV434" s="94"/>
      <c r="AW434" s="94"/>
      <c r="AX434" s="94"/>
      <c r="AY434" s="94"/>
      <c r="BA434" s="95"/>
    </row>
    <row r="435" spans="1:53" s="87" customFormat="1">
      <c r="A435" s="90" t="str">
        <f t="shared" si="54"/>
        <v/>
      </c>
      <c r="B435" s="98">
        <v>21</v>
      </c>
      <c r="C435" s="94" t="s">
        <v>210</v>
      </c>
      <c r="D435" s="94" t="s">
        <v>210</v>
      </c>
      <c r="E435" s="94">
        <v>-4</v>
      </c>
      <c r="F435" s="94" t="s">
        <v>210</v>
      </c>
      <c r="G435" s="94" t="s">
        <v>210</v>
      </c>
      <c r="H435" s="94">
        <v>5</v>
      </c>
      <c r="I435" s="94">
        <v>-2</v>
      </c>
      <c r="J435" s="94" t="s">
        <v>210</v>
      </c>
      <c r="K435" s="94" t="s">
        <v>210</v>
      </c>
      <c r="L435" s="94">
        <v>3</v>
      </c>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BA435" s="95"/>
    </row>
    <row r="436" spans="1:53" s="87" customFormat="1">
      <c r="A436" s="90" t="str">
        <f t="shared" si="54"/>
        <v/>
      </c>
      <c r="B436" s="98">
        <v>22</v>
      </c>
      <c r="C436" s="94" t="s">
        <v>210</v>
      </c>
      <c r="D436" s="94" t="s">
        <v>210</v>
      </c>
      <c r="E436" s="94">
        <v>5</v>
      </c>
      <c r="F436" s="94" t="s">
        <v>210</v>
      </c>
      <c r="G436" s="94" t="s">
        <v>210</v>
      </c>
      <c r="H436" s="94">
        <v>-3</v>
      </c>
      <c r="I436" s="94">
        <v>2</v>
      </c>
      <c r="J436" s="94" t="s">
        <v>210</v>
      </c>
      <c r="K436" s="94" t="s">
        <v>210</v>
      </c>
      <c r="L436" s="94">
        <v>-5</v>
      </c>
      <c r="M436" s="94"/>
      <c r="N436" s="94"/>
      <c r="O436" s="94"/>
      <c r="P436" s="94"/>
      <c r="Q436" s="94"/>
      <c r="R436" s="94"/>
      <c r="S436" s="94"/>
      <c r="T436" s="94"/>
      <c r="U436" s="94"/>
      <c r="V436" s="94"/>
      <c r="W436" s="94"/>
      <c r="X436" s="94"/>
      <c r="Y436" s="94"/>
      <c r="Z436" s="94"/>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c r="AW436" s="94"/>
      <c r="AX436" s="94"/>
      <c r="AY436" s="94"/>
      <c r="BA436" s="95"/>
    </row>
    <row r="437" spans="1:53" s="87" customFormat="1">
      <c r="A437" s="90" t="str">
        <f t="shared" si="54"/>
        <v/>
      </c>
      <c r="B437" s="98">
        <v>23</v>
      </c>
      <c r="C437" s="94" t="s">
        <v>210</v>
      </c>
      <c r="D437" s="94" t="s">
        <v>210</v>
      </c>
      <c r="E437" s="94">
        <v>3</v>
      </c>
      <c r="F437" s="94" t="s">
        <v>210</v>
      </c>
      <c r="G437" s="94" t="s">
        <v>210</v>
      </c>
      <c r="H437" s="94">
        <v>-5</v>
      </c>
      <c r="I437" s="94">
        <v>-4</v>
      </c>
      <c r="J437" s="94" t="s">
        <v>210</v>
      </c>
      <c r="K437" s="94" t="s">
        <v>210</v>
      </c>
      <c r="L437" s="94">
        <v>5</v>
      </c>
      <c r="M437" s="94"/>
      <c r="N437" s="94"/>
      <c r="O437" s="94"/>
      <c r="P437" s="94"/>
      <c r="Q437" s="94"/>
      <c r="R437" s="94"/>
      <c r="S437" s="94"/>
      <c r="T437" s="94"/>
      <c r="U437" s="94"/>
      <c r="V437" s="94"/>
      <c r="W437" s="94"/>
      <c r="X437" s="94"/>
      <c r="Y437" s="94"/>
      <c r="Z437" s="94"/>
      <c r="AA437" s="94"/>
      <c r="AB437" s="94"/>
      <c r="AC437" s="94"/>
      <c r="AD437" s="94"/>
      <c r="AE437" s="94"/>
      <c r="AF437" s="94"/>
      <c r="AG437" s="94"/>
      <c r="AH437" s="94"/>
      <c r="AI437" s="94"/>
      <c r="AJ437" s="94"/>
      <c r="AK437" s="94"/>
      <c r="AL437" s="94"/>
      <c r="AM437" s="94"/>
      <c r="AN437" s="94"/>
      <c r="AO437" s="94"/>
      <c r="AP437" s="94"/>
      <c r="AQ437" s="94"/>
      <c r="AR437" s="94"/>
      <c r="AS437" s="94"/>
      <c r="AT437" s="94"/>
      <c r="AU437" s="94"/>
      <c r="AV437" s="94"/>
      <c r="AW437" s="94"/>
      <c r="AX437" s="94"/>
      <c r="AY437" s="94"/>
      <c r="BA437" s="95"/>
    </row>
    <row r="438" spans="1:53" s="87" customFormat="1">
      <c r="A438" s="90" t="str">
        <f t="shared" si="54"/>
        <v/>
      </c>
      <c r="B438" s="98" t="s">
        <v>332</v>
      </c>
      <c r="C438" s="94"/>
      <c r="D438" s="94"/>
      <c r="E438" s="94"/>
      <c r="F438" s="94"/>
      <c r="G438" s="94"/>
      <c r="H438" s="94"/>
      <c r="I438" s="94"/>
      <c r="J438" s="94"/>
      <c r="K438" s="94"/>
      <c r="L438" s="94"/>
      <c r="M438" s="94"/>
      <c r="N438" s="94"/>
      <c r="O438" s="94"/>
      <c r="P438" s="94"/>
      <c r="Q438" s="94"/>
      <c r="R438" s="94"/>
      <c r="S438" s="94"/>
      <c r="T438" s="94"/>
      <c r="U438" s="94"/>
      <c r="V438" s="94"/>
      <c r="W438" s="94"/>
      <c r="X438" s="94"/>
      <c r="Y438" s="94"/>
      <c r="Z438" s="94"/>
      <c r="AA438" s="94"/>
      <c r="AB438" s="94"/>
      <c r="AC438" s="94"/>
      <c r="AD438" s="94"/>
      <c r="AE438" s="94"/>
      <c r="AF438" s="94"/>
      <c r="AG438" s="94"/>
      <c r="AH438" s="94"/>
      <c r="AI438" s="94"/>
      <c r="AJ438" s="94"/>
      <c r="AK438" s="94"/>
      <c r="AL438" s="94"/>
      <c r="AM438" s="94"/>
      <c r="AN438" s="94"/>
      <c r="AO438" s="94"/>
      <c r="AP438" s="94"/>
      <c r="AQ438" s="94"/>
      <c r="AR438" s="94"/>
      <c r="AS438" s="94"/>
      <c r="AT438" s="94"/>
      <c r="AU438" s="94"/>
      <c r="AV438" s="94"/>
      <c r="AW438" s="94"/>
      <c r="AX438" s="94"/>
      <c r="AY438" s="94"/>
      <c r="BA438" s="95"/>
    </row>
    <row r="439" spans="1:53" s="87" customFormat="1">
      <c r="A439" s="90">
        <f t="shared" si="54"/>
        <v>439</v>
      </c>
      <c r="B439" s="98" t="s">
        <v>333</v>
      </c>
      <c r="C439" s="94"/>
      <c r="D439" s="94"/>
      <c r="E439" s="94"/>
      <c r="F439" s="94"/>
      <c r="G439" s="94"/>
      <c r="H439" s="94"/>
      <c r="I439" s="94"/>
      <c r="J439" s="94"/>
      <c r="K439" s="94"/>
      <c r="L439" s="94"/>
      <c r="M439" s="94"/>
      <c r="N439" s="94"/>
      <c r="O439" s="94"/>
      <c r="P439" s="94"/>
      <c r="Q439" s="94"/>
      <c r="R439" s="94"/>
      <c r="S439" s="94"/>
      <c r="T439" s="94"/>
      <c r="U439" s="94"/>
      <c r="V439" s="94"/>
      <c r="W439" s="94"/>
      <c r="X439" s="94"/>
      <c r="Y439" s="94"/>
      <c r="Z439" s="94"/>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BA439" s="95"/>
    </row>
    <row r="440" spans="1:53" s="87" customFormat="1">
      <c r="A440" s="90" t="str">
        <f t="shared" si="54"/>
        <v/>
      </c>
      <c r="B440" s="98">
        <v>1</v>
      </c>
      <c r="C440" s="94" t="s">
        <v>210</v>
      </c>
      <c r="D440" s="94">
        <v>-3</v>
      </c>
      <c r="E440" s="94" t="s">
        <v>210</v>
      </c>
      <c r="F440" s="94" t="s">
        <v>202</v>
      </c>
      <c r="G440" s="94">
        <v>-5</v>
      </c>
      <c r="H440" s="94" t="s">
        <v>210</v>
      </c>
      <c r="I440" s="94" t="s">
        <v>210</v>
      </c>
      <c r="J440" s="94">
        <v>2</v>
      </c>
      <c r="K440" s="94">
        <v>3</v>
      </c>
      <c r="L440" s="94" t="s">
        <v>210</v>
      </c>
      <c r="M440" s="94"/>
      <c r="N440" s="94"/>
      <c r="O440" s="94"/>
      <c r="P440" s="94"/>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BA440" s="95"/>
    </row>
    <row r="441" spans="1:53" s="87" customFormat="1">
      <c r="A441" s="90" t="str">
        <f t="shared" si="54"/>
        <v/>
      </c>
      <c r="B441" s="98">
        <v>2</v>
      </c>
      <c r="C441" s="94" t="s">
        <v>210</v>
      </c>
      <c r="D441" s="94">
        <v>1</v>
      </c>
      <c r="E441" s="94" t="s">
        <v>210</v>
      </c>
      <c r="F441" s="94">
        <v>2</v>
      </c>
      <c r="G441" s="94">
        <v>-4</v>
      </c>
      <c r="H441" s="94" t="s">
        <v>210</v>
      </c>
      <c r="I441" s="94" t="s">
        <v>202</v>
      </c>
      <c r="J441" s="94" t="s">
        <v>210</v>
      </c>
      <c r="K441" s="94">
        <v>-3</v>
      </c>
      <c r="L441" s="94" t="s">
        <v>210</v>
      </c>
      <c r="M441" s="94"/>
      <c r="N441" s="94"/>
      <c r="O441" s="94"/>
      <c r="P441" s="94"/>
      <c r="Q441" s="94"/>
      <c r="R441" s="94"/>
      <c r="S441" s="94"/>
      <c r="T441" s="94"/>
      <c r="U441" s="94"/>
      <c r="V441" s="94"/>
      <c r="W441" s="94"/>
      <c r="X441" s="94"/>
      <c r="Y441" s="94"/>
      <c r="Z441" s="94"/>
      <c r="AA441" s="94"/>
      <c r="AB441" s="94"/>
      <c r="AC441" s="94"/>
      <c r="AD441" s="94"/>
      <c r="AE441" s="94"/>
      <c r="AF441" s="94"/>
      <c r="AG441" s="94"/>
      <c r="AH441" s="94"/>
      <c r="AI441" s="94"/>
      <c r="AJ441" s="94"/>
      <c r="AK441" s="94"/>
      <c r="AL441" s="94"/>
      <c r="AM441" s="94"/>
      <c r="AN441" s="94"/>
      <c r="AO441" s="94"/>
      <c r="AP441" s="94"/>
      <c r="AQ441" s="94"/>
      <c r="AR441" s="94"/>
      <c r="AS441" s="94"/>
      <c r="AT441" s="94"/>
      <c r="AU441" s="94"/>
      <c r="AV441" s="94"/>
      <c r="AW441" s="94"/>
      <c r="AX441" s="94"/>
      <c r="AY441" s="94"/>
      <c r="BA441" s="95"/>
    </row>
    <row r="442" spans="1:53" s="87" customFormat="1">
      <c r="A442" s="90" t="str">
        <f t="shared" si="54"/>
        <v/>
      </c>
      <c r="B442" s="98">
        <v>3</v>
      </c>
      <c r="C442" s="94" t="s">
        <v>210</v>
      </c>
      <c r="D442" s="94" t="s">
        <v>202</v>
      </c>
      <c r="E442" s="94" t="s">
        <v>210</v>
      </c>
      <c r="F442" s="94">
        <v>-3</v>
      </c>
      <c r="G442" s="94">
        <v>4</v>
      </c>
      <c r="H442" s="94" t="s">
        <v>210</v>
      </c>
      <c r="I442" s="94" t="s">
        <v>210</v>
      </c>
      <c r="J442" s="94">
        <v>-2</v>
      </c>
      <c r="K442" s="94">
        <v>1</v>
      </c>
      <c r="L442" s="94" t="s">
        <v>210</v>
      </c>
      <c r="M442" s="94"/>
      <c r="N442" s="94"/>
      <c r="O442" s="94"/>
      <c r="P442" s="94"/>
      <c r="Q442" s="94"/>
      <c r="R442" s="94"/>
      <c r="S442" s="94"/>
      <c r="T442" s="94"/>
      <c r="U442" s="94"/>
      <c r="V442" s="94"/>
      <c r="W442" s="94"/>
      <c r="X442" s="94"/>
      <c r="Y442" s="94"/>
      <c r="Z442" s="94"/>
      <c r="AA442" s="94"/>
      <c r="AB442" s="94"/>
      <c r="AC442" s="94"/>
      <c r="AD442" s="94"/>
      <c r="AE442" s="94"/>
      <c r="AF442" s="94"/>
      <c r="AG442" s="94"/>
      <c r="AH442" s="94"/>
      <c r="AI442" s="94"/>
      <c r="AJ442" s="94"/>
      <c r="AK442" s="94"/>
      <c r="AL442" s="94"/>
      <c r="AM442" s="94"/>
      <c r="AN442" s="94"/>
      <c r="AO442" s="94"/>
      <c r="AP442" s="94"/>
      <c r="AQ442" s="94"/>
      <c r="AR442" s="94"/>
      <c r="AS442" s="94"/>
      <c r="AT442" s="94"/>
      <c r="AU442" s="94"/>
      <c r="AV442" s="94"/>
      <c r="AW442" s="94"/>
      <c r="AX442" s="94"/>
      <c r="AY442" s="94"/>
      <c r="BA442" s="95"/>
    </row>
    <row r="443" spans="1:53" s="87" customFormat="1">
      <c r="A443" s="90" t="str">
        <f t="shared" si="54"/>
        <v/>
      </c>
      <c r="B443" s="98">
        <v>4</v>
      </c>
      <c r="C443" s="94" t="s">
        <v>210</v>
      </c>
      <c r="D443" s="94">
        <v>3</v>
      </c>
      <c r="E443" s="94" t="s">
        <v>210</v>
      </c>
      <c r="F443" s="94">
        <v>-2</v>
      </c>
      <c r="G443" s="94" t="s">
        <v>202</v>
      </c>
      <c r="H443" s="94" t="s">
        <v>210</v>
      </c>
      <c r="I443" s="94">
        <v>4</v>
      </c>
      <c r="J443" s="94" t="s">
        <v>210</v>
      </c>
      <c r="K443" s="94">
        <v>-1</v>
      </c>
      <c r="L443" s="94" t="s">
        <v>210</v>
      </c>
      <c r="M443" s="94"/>
      <c r="N443" s="94"/>
      <c r="O443" s="94"/>
      <c r="P443" s="94"/>
      <c r="Q443" s="94"/>
      <c r="R443" s="94"/>
      <c r="S443" s="94"/>
      <c r="T443" s="94"/>
      <c r="U443" s="94"/>
      <c r="V443" s="94"/>
      <c r="W443" s="94"/>
      <c r="X443" s="94"/>
      <c r="Y443" s="94"/>
      <c r="Z443" s="94"/>
      <c r="AA443" s="94"/>
      <c r="AB443" s="94"/>
      <c r="AC443" s="94"/>
      <c r="AD443" s="94"/>
      <c r="AE443" s="94"/>
      <c r="AF443" s="94"/>
      <c r="AG443" s="94"/>
      <c r="AH443" s="94"/>
      <c r="AI443" s="94"/>
      <c r="AJ443" s="94"/>
      <c r="AK443" s="94"/>
      <c r="AL443" s="94"/>
      <c r="AM443" s="94"/>
      <c r="AN443" s="94"/>
      <c r="AO443" s="94"/>
      <c r="AP443" s="94"/>
      <c r="AQ443" s="94"/>
      <c r="AR443" s="94"/>
      <c r="AS443" s="94"/>
      <c r="AT443" s="94"/>
      <c r="AU443" s="94"/>
      <c r="AV443" s="94"/>
      <c r="AW443" s="94"/>
      <c r="AX443" s="94"/>
      <c r="AY443" s="94"/>
      <c r="BA443" s="95"/>
    </row>
    <row r="444" spans="1:53" s="87" customFormat="1">
      <c r="A444" s="90" t="str">
        <f t="shared" si="54"/>
        <v/>
      </c>
      <c r="B444" s="99">
        <v>5</v>
      </c>
      <c r="C444" s="92" t="s">
        <v>210</v>
      </c>
      <c r="D444" s="92">
        <v>-1</v>
      </c>
      <c r="E444" s="92" t="s">
        <v>210</v>
      </c>
      <c r="F444" s="92">
        <v>3</v>
      </c>
      <c r="G444" s="92">
        <v>5</v>
      </c>
      <c r="H444" s="92" t="s">
        <v>210</v>
      </c>
      <c r="I444" s="92">
        <v>-4</v>
      </c>
      <c r="J444" s="92" t="s">
        <v>210</v>
      </c>
      <c r="K444" s="92" t="s">
        <v>202</v>
      </c>
      <c r="L444" s="92" t="s">
        <v>210</v>
      </c>
      <c r="M444" s="94"/>
      <c r="N444" s="94"/>
      <c r="O444" s="94"/>
      <c r="P444" s="94"/>
      <c r="Q444" s="94"/>
      <c r="R444" s="94"/>
      <c r="S444" s="94"/>
      <c r="T444" s="94"/>
      <c r="U444" s="94"/>
      <c r="V444" s="94"/>
      <c r="W444" s="94"/>
      <c r="X444" s="94"/>
      <c r="Y444" s="94"/>
      <c r="Z444" s="94"/>
      <c r="AA444" s="94"/>
      <c r="AB444" s="94"/>
      <c r="AC444" s="94"/>
      <c r="AD444" s="94"/>
      <c r="AE444" s="94"/>
      <c r="AF444" s="94"/>
      <c r="AG444" s="94"/>
      <c r="AH444" s="94"/>
      <c r="AI444" s="94"/>
      <c r="AJ444" s="94"/>
      <c r="AK444" s="94"/>
      <c r="AL444" s="94"/>
      <c r="AM444" s="94"/>
      <c r="AN444" s="94"/>
      <c r="AO444" s="94"/>
      <c r="AP444" s="94"/>
      <c r="AQ444" s="94"/>
      <c r="AR444" s="94"/>
      <c r="AS444" s="94"/>
      <c r="AT444" s="94"/>
      <c r="AU444" s="94"/>
      <c r="AV444" s="94"/>
      <c r="AW444" s="94"/>
      <c r="AX444" s="94"/>
      <c r="AY444" s="94"/>
      <c r="BA444" s="95"/>
    </row>
    <row r="445" spans="1:53" s="87" customFormat="1">
      <c r="A445" s="90" t="str">
        <f t="shared" si="54"/>
        <v/>
      </c>
      <c r="B445" s="98">
        <v>6</v>
      </c>
      <c r="C445" s="94">
        <v>-2</v>
      </c>
      <c r="D445" s="94" t="s">
        <v>210</v>
      </c>
      <c r="E445" s="94" t="s">
        <v>210</v>
      </c>
      <c r="F445" s="94">
        <v>-1</v>
      </c>
      <c r="G445" s="94" t="s">
        <v>202</v>
      </c>
      <c r="H445" s="94" t="s">
        <v>210</v>
      </c>
      <c r="I445" s="94" t="s">
        <v>210</v>
      </c>
      <c r="J445" s="94">
        <v>5</v>
      </c>
      <c r="K445" s="94">
        <v>4</v>
      </c>
      <c r="L445" s="94" t="s">
        <v>210</v>
      </c>
      <c r="M445" s="94"/>
      <c r="N445" s="94"/>
      <c r="O445" s="94"/>
      <c r="P445" s="94"/>
      <c r="Q445" s="94"/>
      <c r="R445" s="94"/>
      <c r="S445" s="94"/>
      <c r="T445" s="94"/>
      <c r="U445" s="94"/>
      <c r="V445" s="94"/>
      <c r="W445" s="94"/>
      <c r="X445" s="94"/>
      <c r="Y445" s="94"/>
      <c r="Z445" s="94"/>
      <c r="AA445" s="94"/>
      <c r="AB445" s="94"/>
      <c r="AC445" s="94"/>
      <c r="AD445" s="94"/>
      <c r="AE445" s="94"/>
      <c r="AF445" s="94"/>
      <c r="AG445" s="94"/>
      <c r="AH445" s="94"/>
      <c r="AI445" s="94"/>
      <c r="AJ445" s="94"/>
      <c r="AK445" s="94"/>
      <c r="AL445" s="94"/>
      <c r="AM445" s="94"/>
      <c r="AN445" s="94"/>
      <c r="AO445" s="94"/>
      <c r="AP445" s="94"/>
      <c r="AQ445" s="94"/>
      <c r="AR445" s="94"/>
      <c r="AS445" s="94"/>
      <c r="AT445" s="94"/>
      <c r="AU445" s="94"/>
      <c r="AV445" s="94"/>
      <c r="AW445" s="94"/>
      <c r="AX445" s="94"/>
      <c r="AY445" s="94"/>
      <c r="BA445" s="95"/>
    </row>
    <row r="446" spans="1:53" s="87" customFormat="1">
      <c r="A446" s="90" t="str">
        <f t="shared" si="54"/>
        <v/>
      </c>
      <c r="B446" s="98">
        <v>7</v>
      </c>
      <c r="C446" s="94">
        <v>-5</v>
      </c>
      <c r="D446" s="94" t="s">
        <v>210</v>
      </c>
      <c r="E446" s="94" t="s">
        <v>210</v>
      </c>
      <c r="F446" s="94" t="s">
        <v>202</v>
      </c>
      <c r="G446" s="94" t="s">
        <v>210</v>
      </c>
      <c r="H446" s="94">
        <v>1</v>
      </c>
      <c r="I446" s="94" t="s">
        <v>210</v>
      </c>
      <c r="J446" s="94">
        <v>3</v>
      </c>
      <c r="K446" s="94">
        <v>-4</v>
      </c>
      <c r="L446" s="94" t="s">
        <v>210</v>
      </c>
      <c r="M446" s="94"/>
      <c r="N446" s="94"/>
      <c r="O446" s="94"/>
      <c r="P446" s="94"/>
      <c r="Q446" s="94"/>
      <c r="R446" s="94"/>
      <c r="S446" s="94"/>
      <c r="T446" s="94"/>
      <c r="U446" s="94"/>
      <c r="V446" s="94"/>
      <c r="W446" s="94"/>
      <c r="X446" s="94"/>
      <c r="Y446" s="94"/>
      <c r="Z446" s="94"/>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BA446" s="95"/>
    </row>
    <row r="447" spans="1:53" s="87" customFormat="1">
      <c r="A447" s="90" t="str">
        <f t="shared" si="54"/>
        <v/>
      </c>
      <c r="B447" s="98">
        <v>8</v>
      </c>
      <c r="C447" s="94" t="s">
        <v>202</v>
      </c>
      <c r="D447" s="94" t="s">
        <v>210</v>
      </c>
      <c r="E447" s="94" t="s">
        <v>210</v>
      </c>
      <c r="F447" s="94">
        <v>1</v>
      </c>
      <c r="G447" s="94">
        <v>-2</v>
      </c>
      <c r="H447" s="94" t="s">
        <v>210</v>
      </c>
      <c r="I447" s="94" t="s">
        <v>210</v>
      </c>
      <c r="J447" s="94">
        <v>-3</v>
      </c>
      <c r="K447" s="94">
        <v>5</v>
      </c>
      <c r="L447" s="94" t="s">
        <v>210</v>
      </c>
      <c r="M447" s="94"/>
      <c r="N447" s="94"/>
      <c r="O447" s="94"/>
      <c r="P447" s="94"/>
      <c r="Q447" s="94"/>
      <c r="R447" s="94"/>
      <c r="S447" s="94"/>
      <c r="T447" s="94"/>
      <c r="U447" s="94"/>
      <c r="V447" s="94"/>
      <c r="W447" s="94"/>
      <c r="X447" s="94"/>
      <c r="Y447" s="94"/>
      <c r="Z447" s="94"/>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BA447" s="95"/>
    </row>
    <row r="448" spans="1:53" s="87" customFormat="1">
      <c r="A448" s="90" t="str">
        <f t="shared" si="54"/>
        <v/>
      </c>
      <c r="B448" s="98">
        <v>9</v>
      </c>
      <c r="C448" s="94">
        <v>2</v>
      </c>
      <c r="D448" s="94" t="s">
        <v>210</v>
      </c>
      <c r="E448" s="94" t="s">
        <v>210</v>
      </c>
      <c r="F448" s="94">
        <v>4</v>
      </c>
      <c r="G448" s="94" t="s">
        <v>210</v>
      </c>
      <c r="H448" s="94">
        <v>-1</v>
      </c>
      <c r="I448" s="94" t="s">
        <v>210</v>
      </c>
      <c r="J448" s="94" t="s">
        <v>202</v>
      </c>
      <c r="K448" s="94">
        <v>-5</v>
      </c>
      <c r="L448" s="94" t="s">
        <v>210</v>
      </c>
      <c r="M448" s="94"/>
      <c r="N448" s="94"/>
      <c r="O448" s="94"/>
      <c r="P448" s="94"/>
      <c r="Q448" s="94"/>
      <c r="R448" s="94"/>
      <c r="S448" s="94"/>
      <c r="T448" s="94"/>
      <c r="U448" s="94"/>
      <c r="V448" s="94"/>
      <c r="W448" s="94"/>
      <c r="X448" s="94"/>
      <c r="Y448" s="94"/>
      <c r="Z448" s="94"/>
      <c r="AA448" s="94"/>
      <c r="AB448" s="94"/>
      <c r="AC448" s="94"/>
      <c r="AD448" s="94"/>
      <c r="AE448" s="94"/>
      <c r="AF448" s="94"/>
      <c r="AG448" s="94"/>
      <c r="AH448" s="94"/>
      <c r="AI448" s="94"/>
      <c r="AJ448" s="94"/>
      <c r="AK448" s="94"/>
      <c r="AL448" s="94"/>
      <c r="AM448" s="94"/>
      <c r="AN448" s="94"/>
      <c r="AO448" s="94"/>
      <c r="AP448" s="94"/>
      <c r="AQ448" s="94"/>
      <c r="AR448" s="94"/>
      <c r="AS448" s="94"/>
      <c r="AT448" s="94"/>
      <c r="AU448" s="94"/>
      <c r="AV448" s="94"/>
      <c r="AW448" s="94"/>
      <c r="AX448" s="94"/>
      <c r="AY448" s="94"/>
      <c r="BA448" s="95"/>
    </row>
    <row r="449" spans="1:53" s="87" customFormat="1">
      <c r="A449" s="90" t="str">
        <f t="shared" si="54"/>
        <v/>
      </c>
      <c r="B449" s="99">
        <v>10</v>
      </c>
      <c r="C449" s="92">
        <v>5</v>
      </c>
      <c r="D449" s="92" t="s">
        <v>210</v>
      </c>
      <c r="E449" s="92" t="s">
        <v>210</v>
      </c>
      <c r="F449" s="92">
        <v>-4</v>
      </c>
      <c r="G449" s="92">
        <v>2</v>
      </c>
      <c r="H449" s="92" t="s">
        <v>210</v>
      </c>
      <c r="I449" s="92" t="s">
        <v>210</v>
      </c>
      <c r="J449" s="92">
        <v>-5</v>
      </c>
      <c r="K449" s="92" t="s">
        <v>202</v>
      </c>
      <c r="L449" s="92" t="s">
        <v>210</v>
      </c>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BA449" s="95"/>
    </row>
    <row r="450" spans="1:53" s="87" customFormat="1">
      <c r="A450" s="90" t="str">
        <f t="shared" si="54"/>
        <v/>
      </c>
      <c r="B450" s="98">
        <v>11</v>
      </c>
      <c r="C450" s="94" t="s">
        <v>202</v>
      </c>
      <c r="D450" s="94" t="s">
        <v>210</v>
      </c>
      <c r="E450" s="94">
        <v>-3</v>
      </c>
      <c r="F450" s="94" t="s">
        <v>210</v>
      </c>
      <c r="G450" s="94" t="s">
        <v>210</v>
      </c>
      <c r="H450" s="94">
        <v>-5</v>
      </c>
      <c r="I450" s="94">
        <v>2</v>
      </c>
      <c r="J450" s="94" t="s">
        <v>210</v>
      </c>
      <c r="K450" s="94" t="s">
        <v>210</v>
      </c>
      <c r="L450" s="94">
        <v>3</v>
      </c>
      <c r="M450" s="94"/>
      <c r="N450" s="94"/>
      <c r="O450" s="94"/>
      <c r="P450" s="94"/>
      <c r="Q450" s="94"/>
      <c r="R450" s="94"/>
      <c r="S450" s="94"/>
      <c r="T450" s="94"/>
      <c r="U450" s="94"/>
      <c r="V450" s="94"/>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BA450" s="95"/>
    </row>
    <row r="451" spans="1:53" s="87" customFormat="1">
      <c r="A451" s="90" t="str">
        <f t="shared" si="54"/>
        <v/>
      </c>
      <c r="B451" s="98">
        <v>12</v>
      </c>
      <c r="C451" s="94">
        <v>1</v>
      </c>
      <c r="D451" s="94" t="s">
        <v>210</v>
      </c>
      <c r="E451" s="94">
        <v>2</v>
      </c>
      <c r="F451" s="94" t="s">
        <v>210</v>
      </c>
      <c r="G451" s="94" t="s">
        <v>210</v>
      </c>
      <c r="H451" s="94">
        <v>-4</v>
      </c>
      <c r="I451" s="94" t="s">
        <v>202</v>
      </c>
      <c r="J451" s="94" t="s">
        <v>210</v>
      </c>
      <c r="K451" s="94" t="s">
        <v>210</v>
      </c>
      <c r="L451" s="94">
        <v>-3</v>
      </c>
      <c r="M451" s="94"/>
      <c r="N451" s="94"/>
      <c r="O451" s="94"/>
      <c r="P451" s="94"/>
      <c r="Q451" s="94"/>
      <c r="R451" s="94"/>
      <c r="S451" s="94"/>
      <c r="T451" s="94"/>
      <c r="U451" s="94"/>
      <c r="V451" s="94"/>
      <c r="W451" s="94"/>
      <c r="X451" s="94"/>
      <c r="Y451" s="94"/>
      <c r="Z451" s="94"/>
      <c r="AA451" s="94"/>
      <c r="AB451" s="94"/>
      <c r="AC451" s="94"/>
      <c r="AD451" s="94"/>
      <c r="AE451" s="94"/>
      <c r="AF451" s="94"/>
      <c r="AG451" s="94"/>
      <c r="AH451" s="94"/>
      <c r="AI451" s="94"/>
      <c r="AJ451" s="94"/>
      <c r="AK451" s="94"/>
      <c r="AL451" s="94"/>
      <c r="AM451" s="94"/>
      <c r="AN451" s="94"/>
      <c r="AO451" s="94"/>
      <c r="AP451" s="94"/>
      <c r="AQ451" s="94"/>
      <c r="AR451" s="94"/>
      <c r="AS451" s="94"/>
      <c r="AT451" s="94"/>
      <c r="AU451" s="94"/>
      <c r="AV451" s="94"/>
      <c r="AW451" s="94"/>
      <c r="AX451" s="94"/>
      <c r="AY451" s="94"/>
      <c r="BA451" s="95"/>
    </row>
    <row r="452" spans="1:53" s="87" customFormat="1">
      <c r="A452" s="90" t="str">
        <f t="shared" si="54"/>
        <v/>
      </c>
      <c r="B452" s="98">
        <v>13</v>
      </c>
      <c r="C452" s="94">
        <v>3</v>
      </c>
      <c r="D452" s="94" t="s">
        <v>210</v>
      </c>
      <c r="E452" s="94" t="s">
        <v>202</v>
      </c>
      <c r="F452" s="94" t="s">
        <v>210</v>
      </c>
      <c r="G452" s="94" t="s">
        <v>210</v>
      </c>
      <c r="H452" s="94">
        <v>4</v>
      </c>
      <c r="I452" s="94">
        <v>-2</v>
      </c>
      <c r="J452" s="94" t="s">
        <v>210</v>
      </c>
      <c r="K452" s="94" t="s">
        <v>210</v>
      </c>
      <c r="L452" s="94">
        <v>-1</v>
      </c>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BA452" s="95"/>
    </row>
    <row r="453" spans="1:53" s="87" customFormat="1">
      <c r="A453" s="90" t="str">
        <f t="shared" si="54"/>
        <v/>
      </c>
      <c r="B453" s="98">
        <v>14</v>
      </c>
      <c r="C453" s="94">
        <v>-1</v>
      </c>
      <c r="D453" s="94" t="s">
        <v>210</v>
      </c>
      <c r="E453" s="94">
        <v>3</v>
      </c>
      <c r="F453" s="94" t="s">
        <v>210</v>
      </c>
      <c r="G453" s="94" t="s">
        <v>210</v>
      </c>
      <c r="H453" s="94" t="s">
        <v>202</v>
      </c>
      <c r="I453" s="94" t="s">
        <v>210</v>
      </c>
      <c r="J453" s="94">
        <v>-4</v>
      </c>
      <c r="K453" s="94" t="s">
        <v>210</v>
      </c>
      <c r="L453" s="94">
        <v>1</v>
      </c>
      <c r="M453" s="94"/>
      <c r="N453" s="94"/>
      <c r="O453" s="94"/>
      <c r="P453" s="94"/>
      <c r="Q453" s="94"/>
      <c r="R453" s="94"/>
      <c r="S453" s="94"/>
      <c r="T453" s="94"/>
      <c r="U453" s="94"/>
      <c r="V453" s="94"/>
      <c r="W453" s="94"/>
      <c r="X453" s="94"/>
      <c r="Y453" s="94"/>
      <c r="Z453" s="94"/>
      <c r="AA453" s="94"/>
      <c r="AB453" s="94"/>
      <c r="AC453" s="94"/>
      <c r="AD453" s="94"/>
      <c r="AE453" s="94"/>
      <c r="AF453" s="94"/>
      <c r="AG453" s="94"/>
      <c r="AH453" s="94"/>
      <c r="AI453" s="94"/>
      <c r="AJ453" s="94"/>
      <c r="AK453" s="94"/>
      <c r="AL453" s="94"/>
      <c r="AM453" s="94"/>
      <c r="AN453" s="94"/>
      <c r="AO453" s="94"/>
      <c r="AP453" s="94"/>
      <c r="AQ453" s="94"/>
      <c r="AR453" s="94"/>
      <c r="AS453" s="94"/>
      <c r="AT453" s="94"/>
      <c r="AU453" s="94"/>
      <c r="AV453" s="94"/>
      <c r="AW453" s="94"/>
      <c r="AX453" s="94"/>
      <c r="AY453" s="94"/>
      <c r="BA453" s="95"/>
    </row>
    <row r="454" spans="1:53" s="87" customFormat="1">
      <c r="A454" s="90" t="str">
        <f t="shared" si="54"/>
        <v/>
      </c>
      <c r="B454" s="99">
        <v>15</v>
      </c>
      <c r="C454" s="92">
        <v>-3</v>
      </c>
      <c r="D454" s="92" t="s">
        <v>210</v>
      </c>
      <c r="E454" s="92">
        <v>-2</v>
      </c>
      <c r="F454" s="92" t="s">
        <v>210</v>
      </c>
      <c r="G454" s="92" t="s">
        <v>210</v>
      </c>
      <c r="H454" s="92">
        <v>5</v>
      </c>
      <c r="I454" s="92" t="s">
        <v>210</v>
      </c>
      <c r="J454" s="92">
        <v>4</v>
      </c>
      <c r="K454" s="92" t="s">
        <v>210</v>
      </c>
      <c r="L454" s="92" t="s">
        <v>202</v>
      </c>
      <c r="M454" s="94"/>
      <c r="N454" s="94"/>
      <c r="O454" s="94"/>
      <c r="P454" s="94"/>
      <c r="Q454" s="94"/>
      <c r="R454" s="94"/>
      <c r="S454" s="94"/>
      <c r="T454" s="94"/>
      <c r="U454" s="94"/>
      <c r="V454" s="94"/>
      <c r="W454" s="94"/>
      <c r="X454" s="94"/>
      <c r="Y454" s="94"/>
      <c r="Z454" s="94"/>
      <c r="AA454" s="94"/>
      <c r="AB454" s="94"/>
      <c r="AC454" s="94"/>
      <c r="AD454" s="94"/>
      <c r="AE454" s="94"/>
      <c r="AF454" s="94"/>
      <c r="AG454" s="94"/>
      <c r="AH454" s="94"/>
      <c r="AI454" s="94"/>
      <c r="AJ454" s="94"/>
      <c r="AK454" s="94"/>
      <c r="AL454" s="94"/>
      <c r="AM454" s="94"/>
      <c r="AN454" s="94"/>
      <c r="AO454" s="94"/>
      <c r="AP454" s="94"/>
      <c r="AQ454" s="94"/>
      <c r="AR454" s="94"/>
      <c r="AS454" s="94"/>
      <c r="AT454" s="94"/>
      <c r="AU454" s="94"/>
      <c r="AV454" s="94"/>
      <c r="AW454" s="94"/>
      <c r="AX454" s="94"/>
      <c r="AY454" s="94"/>
      <c r="BA454" s="95"/>
    </row>
    <row r="455" spans="1:53" s="87" customFormat="1">
      <c r="A455" s="90" t="str">
        <f t="shared" si="54"/>
        <v/>
      </c>
      <c r="B455" s="98">
        <v>16</v>
      </c>
      <c r="C455" s="94" t="s">
        <v>210</v>
      </c>
      <c r="D455" s="94">
        <v>5</v>
      </c>
      <c r="E455" s="94" t="s">
        <v>202</v>
      </c>
      <c r="F455" s="94" t="s">
        <v>210</v>
      </c>
      <c r="G455" s="94">
        <v>1</v>
      </c>
      <c r="H455" s="94" t="s">
        <v>210</v>
      </c>
      <c r="I455" s="94">
        <v>-3</v>
      </c>
      <c r="J455" s="94" t="s">
        <v>210</v>
      </c>
      <c r="K455" s="94" t="s">
        <v>210</v>
      </c>
      <c r="L455" s="94">
        <v>-4</v>
      </c>
      <c r="M455" s="94"/>
      <c r="N455" s="94"/>
      <c r="O455" s="94"/>
      <c r="P455" s="94"/>
      <c r="Q455" s="94"/>
      <c r="R455" s="94"/>
      <c r="S455" s="94"/>
      <c r="T455" s="94"/>
      <c r="U455" s="94"/>
      <c r="V455" s="94"/>
      <c r="W455" s="94"/>
      <c r="X455" s="94"/>
      <c r="Y455" s="94"/>
      <c r="Z455" s="94"/>
      <c r="AA455" s="94"/>
      <c r="AB455" s="94"/>
      <c r="AC455" s="94"/>
      <c r="AD455" s="94"/>
      <c r="AE455" s="94"/>
      <c r="AF455" s="94"/>
      <c r="AG455" s="94"/>
      <c r="AH455" s="94"/>
      <c r="AI455" s="94"/>
      <c r="AJ455" s="94"/>
      <c r="AK455" s="94"/>
      <c r="AL455" s="94"/>
      <c r="AM455" s="94"/>
      <c r="AN455" s="94"/>
      <c r="AO455" s="94"/>
      <c r="AP455" s="94"/>
      <c r="AQ455" s="94"/>
      <c r="AR455" s="94"/>
      <c r="AS455" s="94"/>
      <c r="AT455" s="94"/>
      <c r="AU455" s="94"/>
      <c r="AV455" s="94"/>
      <c r="AW455" s="94"/>
      <c r="AX455" s="94"/>
      <c r="AY455" s="94"/>
      <c r="BA455" s="95"/>
    </row>
    <row r="456" spans="1:53" s="87" customFormat="1">
      <c r="A456" s="90" t="str">
        <f t="shared" si="54"/>
        <v/>
      </c>
      <c r="B456" s="98">
        <v>17</v>
      </c>
      <c r="C456" s="94" t="s">
        <v>210</v>
      </c>
      <c r="D456" s="94">
        <v>-2</v>
      </c>
      <c r="E456" s="94">
        <v>1</v>
      </c>
      <c r="F456" s="94" t="s">
        <v>210</v>
      </c>
      <c r="G456" s="94" t="s">
        <v>202</v>
      </c>
      <c r="H456" s="94" t="s">
        <v>210</v>
      </c>
      <c r="I456" s="94">
        <v>-5</v>
      </c>
      <c r="J456" s="94" t="s">
        <v>210</v>
      </c>
      <c r="K456" s="94" t="s">
        <v>210</v>
      </c>
      <c r="L456" s="94">
        <v>4</v>
      </c>
      <c r="M456" s="94"/>
      <c r="N456" s="94"/>
      <c r="O456" s="94"/>
      <c r="P456" s="94"/>
      <c r="Q456" s="94"/>
      <c r="R456" s="94"/>
      <c r="S456" s="94"/>
      <c r="T456" s="94"/>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BA456" s="95"/>
    </row>
    <row r="457" spans="1:53" s="87" customFormat="1">
      <c r="A457" s="90" t="str">
        <f t="shared" si="54"/>
        <v/>
      </c>
      <c r="B457" s="98">
        <v>18</v>
      </c>
      <c r="C457" s="94" t="s">
        <v>210</v>
      </c>
      <c r="D457" s="94" t="s">
        <v>202</v>
      </c>
      <c r="E457" s="94">
        <v>-1</v>
      </c>
      <c r="F457" s="94" t="s">
        <v>210</v>
      </c>
      <c r="G457" s="94" t="s">
        <v>210</v>
      </c>
      <c r="H457" s="94">
        <v>2</v>
      </c>
      <c r="I457" s="94">
        <v>3</v>
      </c>
      <c r="J457" s="94" t="s">
        <v>210</v>
      </c>
      <c r="K457" s="94" t="s">
        <v>210</v>
      </c>
      <c r="L457" s="94">
        <v>-5</v>
      </c>
      <c r="M457" s="94"/>
      <c r="N457" s="94"/>
      <c r="O457" s="94"/>
      <c r="P457" s="94"/>
      <c r="Q457" s="94"/>
      <c r="R457" s="94"/>
      <c r="S457" s="94"/>
      <c r="T457" s="94"/>
      <c r="U457" s="94"/>
      <c r="V457" s="94"/>
      <c r="W457" s="94"/>
      <c r="X457" s="94"/>
      <c r="Y457" s="94"/>
      <c r="Z457" s="94"/>
      <c r="AA457" s="94"/>
      <c r="AB457" s="94"/>
      <c r="AC457" s="94"/>
      <c r="AD457" s="94"/>
      <c r="AE457" s="94"/>
      <c r="AF457" s="94"/>
      <c r="AG457" s="94"/>
      <c r="AH457" s="94"/>
      <c r="AI457" s="94"/>
      <c r="AJ457" s="94"/>
      <c r="AK457" s="94"/>
      <c r="AL457" s="94"/>
      <c r="AM457" s="94"/>
      <c r="AN457" s="94"/>
      <c r="AO457" s="94"/>
      <c r="AP457" s="94"/>
      <c r="AQ457" s="94"/>
      <c r="AR457" s="94"/>
      <c r="AS457" s="94"/>
      <c r="AT457" s="94"/>
      <c r="AU457" s="94"/>
      <c r="AV457" s="94"/>
      <c r="AW457" s="94"/>
      <c r="AX457" s="94"/>
      <c r="AY457" s="94"/>
      <c r="BA457" s="95"/>
    </row>
    <row r="458" spans="1:53" s="87" customFormat="1">
      <c r="A458" s="90" t="str">
        <f t="shared" si="54"/>
        <v/>
      </c>
      <c r="B458" s="98">
        <v>19</v>
      </c>
      <c r="C458" s="94" t="s">
        <v>210</v>
      </c>
      <c r="D458" s="94">
        <v>2</v>
      </c>
      <c r="E458" s="94">
        <v>-4</v>
      </c>
      <c r="F458" s="94" t="s">
        <v>210</v>
      </c>
      <c r="G458" s="94">
        <v>-1</v>
      </c>
      <c r="H458" s="94" t="s">
        <v>210</v>
      </c>
      <c r="I458" s="94" t="s">
        <v>202</v>
      </c>
      <c r="J458" s="94" t="s">
        <v>210</v>
      </c>
      <c r="K458" s="94" t="s">
        <v>210</v>
      </c>
      <c r="L458" s="94">
        <v>5</v>
      </c>
      <c r="M458" s="94"/>
      <c r="N458" s="94"/>
      <c r="O458" s="94"/>
      <c r="P458" s="94"/>
      <c r="Q458" s="94"/>
      <c r="R458" s="94"/>
      <c r="S458" s="94"/>
      <c r="T458" s="94"/>
      <c r="U458" s="94"/>
      <c r="V458" s="94"/>
      <c r="W458" s="94"/>
      <c r="X458" s="94"/>
      <c r="Y458" s="94"/>
      <c r="Z458" s="94"/>
      <c r="AA458" s="94"/>
      <c r="AB458" s="94"/>
      <c r="AC458" s="94"/>
      <c r="AD458" s="94"/>
      <c r="AE458" s="94"/>
      <c r="AF458" s="94"/>
      <c r="AG458" s="94"/>
      <c r="AH458" s="94"/>
      <c r="AI458" s="94"/>
      <c r="AJ458" s="94"/>
      <c r="AK458" s="94"/>
      <c r="AL458" s="94"/>
      <c r="AM458" s="94"/>
      <c r="AN458" s="94"/>
      <c r="AO458" s="94"/>
      <c r="AP458" s="94"/>
      <c r="AQ458" s="94"/>
      <c r="AR458" s="94"/>
      <c r="AS458" s="94"/>
      <c r="AT458" s="94"/>
      <c r="AU458" s="94"/>
      <c r="AV458" s="94"/>
      <c r="AW458" s="94"/>
      <c r="AX458" s="94"/>
      <c r="AY458" s="94"/>
      <c r="BA458" s="95"/>
    </row>
    <row r="459" spans="1:53" s="87" customFormat="1">
      <c r="A459" s="90" t="str">
        <f t="shared" si="54"/>
        <v/>
      </c>
      <c r="B459" s="99">
        <v>20</v>
      </c>
      <c r="C459" s="92" t="s">
        <v>210</v>
      </c>
      <c r="D459" s="92">
        <v>-5</v>
      </c>
      <c r="E459" s="92">
        <v>4</v>
      </c>
      <c r="F459" s="92" t="s">
        <v>210</v>
      </c>
      <c r="G459" s="92" t="s">
        <v>210</v>
      </c>
      <c r="H459" s="92">
        <v>-2</v>
      </c>
      <c r="I459" s="92">
        <v>5</v>
      </c>
      <c r="J459" s="92" t="s">
        <v>210</v>
      </c>
      <c r="K459" s="92" t="s">
        <v>210</v>
      </c>
      <c r="L459" s="92" t="s">
        <v>202</v>
      </c>
      <c r="M459" s="94"/>
      <c r="N459" s="94"/>
      <c r="O459" s="94"/>
      <c r="P459" s="94"/>
      <c r="Q459" s="94"/>
      <c r="R459" s="94"/>
      <c r="S459" s="94"/>
      <c r="T459" s="94"/>
      <c r="U459" s="94"/>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c r="AW459" s="94"/>
      <c r="AX459" s="94"/>
      <c r="AY459" s="94"/>
      <c r="BA459" s="95"/>
    </row>
    <row r="460" spans="1:53" s="87" customFormat="1">
      <c r="A460" s="90" t="str">
        <f t="shared" ref="A460:A523" si="55">IF(MID(B460,3,2)="05",ROW(),"")</f>
        <v/>
      </c>
      <c r="B460" s="98">
        <v>21</v>
      </c>
      <c r="C460" s="94" t="s">
        <v>202</v>
      </c>
      <c r="D460" s="94" t="s">
        <v>210</v>
      </c>
      <c r="E460" s="94">
        <v>5</v>
      </c>
      <c r="F460" s="94" t="s">
        <v>210</v>
      </c>
      <c r="G460" s="94" t="s">
        <v>210</v>
      </c>
      <c r="H460" s="94">
        <v>3</v>
      </c>
      <c r="I460" s="94" t="s">
        <v>210</v>
      </c>
      <c r="J460" s="94">
        <v>-1</v>
      </c>
      <c r="K460" s="94">
        <v>-2</v>
      </c>
      <c r="L460" s="94" t="s">
        <v>210</v>
      </c>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BA460" s="95"/>
    </row>
    <row r="461" spans="1:53" s="87" customFormat="1">
      <c r="A461" s="90" t="str">
        <f t="shared" si="55"/>
        <v/>
      </c>
      <c r="B461" s="98">
        <v>22</v>
      </c>
      <c r="C461" s="94" t="s">
        <v>210</v>
      </c>
      <c r="D461" s="94">
        <v>-4</v>
      </c>
      <c r="E461" s="94" t="s">
        <v>210</v>
      </c>
      <c r="F461" s="94">
        <v>-5</v>
      </c>
      <c r="G461" s="94">
        <v>3</v>
      </c>
      <c r="H461" s="94" t="s">
        <v>210</v>
      </c>
      <c r="I461" s="94" t="s">
        <v>202</v>
      </c>
      <c r="J461" s="94" t="s">
        <v>210</v>
      </c>
      <c r="K461" s="94">
        <v>2</v>
      </c>
      <c r="L461" s="94" t="s">
        <v>210</v>
      </c>
      <c r="M461" s="94"/>
      <c r="N461" s="94"/>
      <c r="O461" s="94"/>
      <c r="P461" s="94"/>
      <c r="Q461" s="94"/>
      <c r="R461" s="94"/>
      <c r="S461" s="94"/>
      <c r="T461" s="94"/>
      <c r="U461" s="94"/>
      <c r="V461" s="94"/>
      <c r="W461" s="94"/>
      <c r="X461" s="94"/>
      <c r="Y461" s="94"/>
      <c r="Z461" s="94"/>
      <c r="AA461" s="94"/>
      <c r="AB461" s="94"/>
      <c r="AC461" s="94"/>
      <c r="AD461" s="94"/>
      <c r="AE461" s="94"/>
      <c r="AF461" s="94"/>
      <c r="AG461" s="94"/>
      <c r="AH461" s="94"/>
      <c r="AI461" s="94"/>
      <c r="AJ461" s="94"/>
      <c r="AK461" s="94"/>
      <c r="AL461" s="94"/>
      <c r="AM461" s="94"/>
      <c r="AN461" s="94"/>
      <c r="AO461" s="94"/>
      <c r="AP461" s="94"/>
      <c r="AQ461" s="94"/>
      <c r="AR461" s="94"/>
      <c r="AS461" s="94"/>
      <c r="AT461" s="94"/>
      <c r="AU461" s="94"/>
      <c r="AV461" s="94"/>
      <c r="AW461" s="94"/>
      <c r="AX461" s="94"/>
      <c r="AY461" s="94"/>
      <c r="BA461" s="95"/>
    </row>
    <row r="462" spans="1:53" s="87" customFormat="1">
      <c r="A462" s="90" t="str">
        <f t="shared" si="55"/>
        <v/>
      </c>
      <c r="B462" s="98">
        <v>23</v>
      </c>
      <c r="C462" s="94">
        <v>4</v>
      </c>
      <c r="D462" s="94" t="s">
        <v>210</v>
      </c>
      <c r="E462" s="94" t="s">
        <v>202</v>
      </c>
      <c r="F462" s="94" t="s">
        <v>210</v>
      </c>
      <c r="G462" s="94">
        <v>-3</v>
      </c>
      <c r="H462" s="94" t="s">
        <v>210</v>
      </c>
      <c r="I462" s="94" t="s">
        <v>210</v>
      </c>
      <c r="J462" s="94">
        <v>1</v>
      </c>
      <c r="K462" s="94" t="s">
        <v>210</v>
      </c>
      <c r="L462" s="94">
        <v>-2</v>
      </c>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BA462" s="95"/>
    </row>
    <row r="463" spans="1:53" s="87" customFormat="1">
      <c r="A463" s="90" t="str">
        <f t="shared" si="55"/>
        <v/>
      </c>
      <c r="B463" s="98">
        <v>24</v>
      </c>
      <c r="C463" s="94" t="s">
        <v>210</v>
      </c>
      <c r="D463" s="94">
        <v>4</v>
      </c>
      <c r="E463" s="94">
        <v>-5</v>
      </c>
      <c r="F463" s="94" t="s">
        <v>210</v>
      </c>
      <c r="G463" s="94" t="s">
        <v>202</v>
      </c>
      <c r="H463" s="94" t="s">
        <v>210</v>
      </c>
      <c r="I463" s="94">
        <v>-1</v>
      </c>
      <c r="J463" s="94" t="s">
        <v>210</v>
      </c>
      <c r="K463" s="94" t="s">
        <v>210</v>
      </c>
      <c r="L463" s="94">
        <v>2</v>
      </c>
      <c r="M463" s="94"/>
      <c r="N463" s="94"/>
      <c r="O463" s="94"/>
      <c r="P463" s="94"/>
      <c r="Q463" s="94"/>
      <c r="R463" s="94"/>
      <c r="S463" s="94"/>
      <c r="T463" s="94"/>
      <c r="U463" s="94"/>
      <c r="V463" s="94"/>
      <c r="W463" s="94"/>
      <c r="X463" s="94"/>
      <c r="Y463" s="94"/>
      <c r="Z463" s="94"/>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c r="AW463" s="94"/>
      <c r="AX463" s="94"/>
      <c r="AY463" s="94"/>
      <c r="BA463" s="95"/>
    </row>
    <row r="464" spans="1:53" s="87" customFormat="1">
      <c r="A464" s="90" t="str">
        <f t="shared" si="55"/>
        <v/>
      </c>
      <c r="B464" s="98">
        <v>25</v>
      </c>
      <c r="C464" s="94">
        <v>-4</v>
      </c>
      <c r="D464" s="94" t="s">
        <v>210</v>
      </c>
      <c r="E464" s="94" t="s">
        <v>210</v>
      </c>
      <c r="F464" s="94">
        <v>5</v>
      </c>
      <c r="G464" s="94" t="s">
        <v>210</v>
      </c>
      <c r="H464" s="94">
        <v>-3</v>
      </c>
      <c r="I464" s="94">
        <v>1</v>
      </c>
      <c r="J464" s="94" t="s">
        <v>210</v>
      </c>
      <c r="K464" s="94" t="s">
        <v>202</v>
      </c>
      <c r="L464" s="94" t="s">
        <v>210</v>
      </c>
      <c r="M464" s="94"/>
      <c r="N464" s="94"/>
      <c r="O464" s="94"/>
      <c r="P464" s="94"/>
      <c r="Q464" s="94"/>
      <c r="R464" s="94"/>
      <c r="S464" s="94"/>
      <c r="T464" s="94"/>
      <c r="U464" s="94"/>
      <c r="V464" s="94"/>
      <c r="W464" s="94"/>
      <c r="X464" s="94"/>
      <c r="Y464" s="94"/>
      <c r="Z464" s="94"/>
      <c r="AA464" s="94"/>
      <c r="AB464" s="94"/>
      <c r="AC464" s="94"/>
      <c r="AD464" s="94"/>
      <c r="AE464" s="94"/>
      <c r="AF464" s="94"/>
      <c r="AG464" s="94"/>
      <c r="AH464" s="94"/>
      <c r="AI464" s="94"/>
      <c r="AJ464" s="94"/>
      <c r="AK464" s="94"/>
      <c r="AL464" s="94"/>
      <c r="AM464" s="94"/>
      <c r="AN464" s="94"/>
      <c r="AO464" s="94"/>
      <c r="AP464" s="94"/>
      <c r="AQ464" s="94"/>
      <c r="AR464" s="94"/>
      <c r="AS464" s="94"/>
      <c r="AT464" s="94"/>
      <c r="AU464" s="94"/>
      <c r="AV464" s="94"/>
      <c r="AW464" s="94"/>
      <c r="AX464" s="94"/>
      <c r="AY464" s="94"/>
      <c r="BA464" s="95"/>
    </row>
    <row r="465" spans="1:53" s="87" customFormat="1">
      <c r="A465" s="90" t="str">
        <f t="shared" si="55"/>
        <v/>
      </c>
      <c r="B465" s="303" t="s">
        <v>334</v>
      </c>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BA465" s="95"/>
    </row>
    <row r="466" spans="1:53" s="87" customFormat="1">
      <c r="A466" s="90">
        <f t="shared" si="55"/>
        <v>466</v>
      </c>
      <c r="B466" s="317" t="s">
        <v>1199</v>
      </c>
      <c r="C466" s="94"/>
      <c r="D466" s="94"/>
      <c r="E466" s="94"/>
      <c r="F466" s="94"/>
      <c r="G466" s="94"/>
      <c r="H466" s="94"/>
      <c r="I466" s="94"/>
      <c r="J466" s="94"/>
      <c r="K466" s="94"/>
      <c r="L466" s="94"/>
      <c r="M466" s="94"/>
      <c r="N466" s="94"/>
      <c r="O466" s="94"/>
      <c r="P466" s="94"/>
      <c r="Q466" s="94"/>
      <c r="R466" s="94"/>
      <c r="S466" s="94"/>
      <c r="T466" s="94"/>
      <c r="U466" s="94"/>
      <c r="V466" s="94"/>
      <c r="W466" s="94"/>
      <c r="X466" s="94"/>
      <c r="Y466" s="94"/>
      <c r="Z466" s="94"/>
      <c r="AA466" s="94"/>
      <c r="AB466" s="94"/>
      <c r="AC466" s="94"/>
      <c r="AD466" s="94"/>
      <c r="AE466" s="94"/>
      <c r="AF466" s="94"/>
      <c r="AG466" s="94"/>
      <c r="AH466" s="94"/>
      <c r="AI466" s="94"/>
      <c r="AJ466" s="94"/>
      <c r="AK466" s="94"/>
      <c r="AL466" s="94"/>
      <c r="AM466" s="94"/>
      <c r="AN466" s="94"/>
      <c r="AO466" s="94"/>
      <c r="AP466" s="94"/>
      <c r="AQ466" s="94"/>
      <c r="AR466" s="94"/>
      <c r="AS466" s="94"/>
      <c r="AT466" s="94"/>
      <c r="AU466" s="94"/>
      <c r="AV466" s="94"/>
      <c r="AW466" s="94"/>
      <c r="AX466" s="94"/>
      <c r="AY466" s="94"/>
      <c r="BA466" s="95"/>
    </row>
    <row r="467" spans="1:53" s="87" customFormat="1">
      <c r="A467" s="90" t="str">
        <f t="shared" si="55"/>
        <v/>
      </c>
      <c r="B467" s="98">
        <v>1</v>
      </c>
      <c r="C467" s="94">
        <v>-5</v>
      </c>
      <c r="D467" s="94">
        <v>-3</v>
      </c>
      <c r="E467" s="94" t="s">
        <v>210</v>
      </c>
      <c r="F467" s="94" t="s">
        <v>210</v>
      </c>
      <c r="G467" s="94">
        <v>2</v>
      </c>
      <c r="H467" s="94">
        <v>-4</v>
      </c>
      <c r="I467" s="94">
        <v>1</v>
      </c>
      <c r="J467" s="94" t="s">
        <v>210</v>
      </c>
      <c r="K467" s="94">
        <v>3</v>
      </c>
      <c r="L467" s="94"/>
      <c r="M467" s="94"/>
      <c r="N467" s="94"/>
      <c r="O467" s="94"/>
      <c r="P467" s="94"/>
      <c r="Q467" s="94"/>
      <c r="R467" s="94"/>
      <c r="S467" s="94"/>
      <c r="T467" s="94"/>
      <c r="U467" s="94"/>
      <c r="V467" s="94"/>
      <c r="W467" s="94"/>
      <c r="X467" s="94"/>
      <c r="Y467" s="94"/>
      <c r="Z467" s="94"/>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BA467" s="95"/>
    </row>
    <row r="468" spans="1:53" s="87" customFormat="1">
      <c r="A468" s="90" t="str">
        <f t="shared" si="55"/>
        <v/>
      </c>
      <c r="B468" s="98">
        <v>2</v>
      </c>
      <c r="C468" s="94">
        <v>3</v>
      </c>
      <c r="D468" s="94">
        <v>-1</v>
      </c>
      <c r="E468" s="94" t="s">
        <v>210</v>
      </c>
      <c r="F468" s="94">
        <v>-2</v>
      </c>
      <c r="G468" s="94">
        <v>5</v>
      </c>
      <c r="H468" s="94" t="s">
        <v>210</v>
      </c>
      <c r="I468" s="94" t="s">
        <v>210</v>
      </c>
      <c r="J468" s="94">
        <v>4</v>
      </c>
      <c r="K468" s="94">
        <v>-3</v>
      </c>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BA468" s="95"/>
    </row>
    <row r="469" spans="1:53" s="87" customFormat="1">
      <c r="A469" s="90" t="str">
        <f t="shared" si="55"/>
        <v/>
      </c>
      <c r="B469" s="98">
        <v>3</v>
      </c>
      <c r="C469" s="94">
        <v>-3</v>
      </c>
      <c r="D469" s="94">
        <v>-4</v>
      </c>
      <c r="E469" s="94" t="s">
        <v>210</v>
      </c>
      <c r="F469" s="94">
        <v>5</v>
      </c>
      <c r="G469" s="94">
        <v>-2</v>
      </c>
      <c r="H469" s="94" t="s">
        <v>210</v>
      </c>
      <c r="I469" s="94" t="s">
        <v>210</v>
      </c>
      <c r="J469" s="94">
        <v>1</v>
      </c>
      <c r="K469" s="94">
        <v>4</v>
      </c>
      <c r="L469" s="94"/>
      <c r="M469" s="94"/>
      <c r="N469" s="94"/>
      <c r="O469" s="94"/>
      <c r="P469" s="94"/>
      <c r="Q469" s="94"/>
      <c r="R469" s="94"/>
      <c r="S469" s="94"/>
      <c r="T469" s="94"/>
      <c r="U469" s="94"/>
      <c r="V469" s="94"/>
      <c r="W469" s="94"/>
      <c r="X469" s="94"/>
      <c r="Y469" s="94"/>
      <c r="Z469" s="94"/>
      <c r="AA469" s="94"/>
      <c r="AB469" s="94"/>
      <c r="AC469" s="94"/>
      <c r="AD469" s="94"/>
      <c r="AE469" s="94"/>
      <c r="AF469" s="94"/>
      <c r="AG469" s="94"/>
      <c r="AH469" s="94"/>
      <c r="AI469" s="94"/>
      <c r="AJ469" s="94"/>
      <c r="AK469" s="94"/>
      <c r="AL469" s="94"/>
      <c r="AM469" s="94"/>
      <c r="AN469" s="94"/>
      <c r="AO469" s="94"/>
      <c r="AP469" s="94"/>
      <c r="AQ469" s="94"/>
      <c r="AR469" s="94"/>
      <c r="AS469" s="94"/>
      <c r="AT469" s="94"/>
      <c r="AU469" s="94"/>
      <c r="AV469" s="94"/>
      <c r="AW469" s="94"/>
      <c r="AX469" s="94"/>
      <c r="AY469" s="94"/>
      <c r="BA469" s="95"/>
    </row>
    <row r="470" spans="1:53" s="87" customFormat="1">
      <c r="A470" s="90" t="str">
        <f t="shared" si="55"/>
        <v/>
      </c>
      <c r="B470" s="98">
        <v>4</v>
      </c>
      <c r="C470" s="94">
        <v>5</v>
      </c>
      <c r="D470" s="94" t="s">
        <v>210</v>
      </c>
      <c r="E470" s="94">
        <v>-1</v>
      </c>
      <c r="F470" s="94">
        <v>3</v>
      </c>
      <c r="G470" s="94">
        <v>-5</v>
      </c>
      <c r="H470" s="94" t="s">
        <v>210</v>
      </c>
      <c r="I470" s="94" t="s">
        <v>210</v>
      </c>
      <c r="J470" s="94">
        <v>2</v>
      </c>
      <c r="K470" s="94">
        <v>-4</v>
      </c>
      <c r="L470" s="94"/>
      <c r="M470" s="94"/>
      <c r="N470" s="94"/>
      <c r="O470" s="94"/>
      <c r="P470" s="94"/>
      <c r="Q470" s="94"/>
      <c r="R470" s="94"/>
      <c r="S470" s="94"/>
      <c r="T470" s="94"/>
      <c r="U470" s="94"/>
      <c r="V470" s="94"/>
      <c r="W470" s="94"/>
      <c r="X470" s="94"/>
      <c r="Y470" s="94"/>
      <c r="Z470" s="94"/>
      <c r="AA470" s="94"/>
      <c r="AB470" s="94"/>
      <c r="AC470" s="94"/>
      <c r="AD470" s="94"/>
      <c r="AE470" s="94"/>
      <c r="AF470" s="94"/>
      <c r="AG470" s="94"/>
      <c r="AH470" s="94"/>
      <c r="AI470" s="94"/>
      <c r="AJ470" s="94"/>
      <c r="AK470" s="94"/>
      <c r="AL470" s="94"/>
      <c r="AM470" s="94"/>
      <c r="AN470" s="94"/>
      <c r="AO470" s="94"/>
      <c r="AP470" s="94"/>
      <c r="AQ470" s="94"/>
      <c r="AR470" s="94"/>
      <c r="AS470" s="94"/>
      <c r="AT470" s="94"/>
      <c r="AU470" s="94"/>
      <c r="AV470" s="94"/>
      <c r="AW470" s="94"/>
      <c r="AX470" s="94"/>
      <c r="AY470" s="94"/>
      <c r="BA470" s="95"/>
    </row>
    <row r="471" spans="1:53" s="87" customFormat="1">
      <c r="A471" s="90" t="str">
        <f t="shared" si="55"/>
        <v/>
      </c>
      <c r="B471" s="98">
        <v>5</v>
      </c>
      <c r="C471" s="94" t="s">
        <v>210</v>
      </c>
      <c r="D471" s="94">
        <v>3</v>
      </c>
      <c r="E471" s="94">
        <v>1</v>
      </c>
      <c r="F471" s="94">
        <v>-5</v>
      </c>
      <c r="G471" s="94" t="s">
        <v>210</v>
      </c>
      <c r="H471" s="94">
        <v>-3</v>
      </c>
      <c r="I471" s="94">
        <v>2</v>
      </c>
      <c r="J471" s="94">
        <v>-4</v>
      </c>
      <c r="K471" s="94" t="s">
        <v>210</v>
      </c>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BA471" s="95"/>
    </row>
    <row r="472" spans="1:53" s="87" customFormat="1">
      <c r="A472" s="90" t="str">
        <f t="shared" si="55"/>
        <v/>
      </c>
      <c r="B472" s="98">
        <v>6</v>
      </c>
      <c r="C472" s="94" t="s">
        <v>210</v>
      </c>
      <c r="D472" s="94">
        <v>1</v>
      </c>
      <c r="E472" s="94">
        <v>5</v>
      </c>
      <c r="F472" s="94">
        <v>-3</v>
      </c>
      <c r="G472" s="94" t="s">
        <v>210</v>
      </c>
      <c r="H472" s="94">
        <v>4</v>
      </c>
      <c r="I472" s="94">
        <v>-2</v>
      </c>
      <c r="J472" s="94">
        <v>-1</v>
      </c>
      <c r="K472" s="94" t="s">
        <v>210</v>
      </c>
      <c r="L472" s="94"/>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4"/>
      <c r="AJ472" s="94"/>
      <c r="AK472" s="94"/>
      <c r="AL472" s="94"/>
      <c r="AM472" s="94"/>
      <c r="AN472" s="94"/>
      <c r="AO472" s="94"/>
      <c r="AP472" s="94"/>
      <c r="AQ472" s="94"/>
      <c r="AR472" s="94"/>
      <c r="AS472" s="94"/>
      <c r="AT472" s="94"/>
      <c r="AU472" s="94"/>
      <c r="AV472" s="94"/>
      <c r="AW472" s="94"/>
      <c r="AX472" s="94"/>
      <c r="AY472" s="94"/>
      <c r="BA472" s="95"/>
    </row>
    <row r="473" spans="1:53" s="87" customFormat="1">
      <c r="A473" s="90" t="str">
        <f t="shared" si="55"/>
        <v/>
      </c>
      <c r="B473" s="99">
        <v>7</v>
      </c>
      <c r="C473" s="92" t="s">
        <v>210</v>
      </c>
      <c r="D473" s="92">
        <v>4</v>
      </c>
      <c r="E473" s="92">
        <v>-5</v>
      </c>
      <c r="F473" s="92">
        <v>2</v>
      </c>
      <c r="G473" s="92" t="s">
        <v>210</v>
      </c>
      <c r="H473" s="92">
        <v>3</v>
      </c>
      <c r="I473" s="92">
        <v>-1</v>
      </c>
      <c r="J473" s="92">
        <v>-2</v>
      </c>
      <c r="K473" s="92" t="s">
        <v>210</v>
      </c>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BA473" s="95"/>
    </row>
    <row r="474" spans="1:53" s="87" customFormat="1">
      <c r="A474" s="90" t="str">
        <f t="shared" si="55"/>
        <v/>
      </c>
      <c r="B474" s="98">
        <v>8</v>
      </c>
      <c r="C474" s="94">
        <v>-4</v>
      </c>
      <c r="D474" s="94">
        <v>-2</v>
      </c>
      <c r="E474" s="94" t="s">
        <v>210</v>
      </c>
      <c r="F474" s="94" t="s">
        <v>210</v>
      </c>
      <c r="G474" s="94">
        <v>1</v>
      </c>
      <c r="H474" s="94">
        <v>-5</v>
      </c>
      <c r="I474" s="94" t="s">
        <v>210</v>
      </c>
      <c r="J474" s="94">
        <v>3</v>
      </c>
      <c r="K474" s="94">
        <v>2</v>
      </c>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BA474" s="95"/>
    </row>
    <row r="475" spans="1:53" s="87" customFormat="1">
      <c r="A475" s="90" t="str">
        <f t="shared" si="55"/>
        <v/>
      </c>
      <c r="B475" s="98">
        <v>9</v>
      </c>
      <c r="C475" s="94">
        <v>2</v>
      </c>
      <c r="D475" s="94" t="s">
        <v>210</v>
      </c>
      <c r="E475" s="94">
        <v>-3</v>
      </c>
      <c r="F475" s="94" t="s">
        <v>210</v>
      </c>
      <c r="G475" s="94">
        <v>4</v>
      </c>
      <c r="H475" s="94">
        <v>1</v>
      </c>
      <c r="I475" s="94" t="s">
        <v>210</v>
      </c>
      <c r="J475" s="94">
        <v>-5</v>
      </c>
      <c r="K475" s="94">
        <v>-2</v>
      </c>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BA475" s="95"/>
    </row>
    <row r="476" spans="1:53" s="87" customFormat="1">
      <c r="A476" s="90" t="str">
        <f t="shared" si="55"/>
        <v/>
      </c>
      <c r="B476" s="98">
        <v>10</v>
      </c>
      <c r="C476" s="94">
        <v>-2</v>
      </c>
      <c r="D476" s="94" t="s">
        <v>210</v>
      </c>
      <c r="E476" s="94">
        <v>4</v>
      </c>
      <c r="F476" s="94" t="s">
        <v>210</v>
      </c>
      <c r="G476" s="94">
        <v>-1</v>
      </c>
      <c r="H476" s="94">
        <v>2</v>
      </c>
      <c r="I476" s="94">
        <v>3</v>
      </c>
      <c r="J476" s="94" t="s">
        <v>210</v>
      </c>
      <c r="K476" s="94">
        <v>-5</v>
      </c>
      <c r="L476" s="94"/>
      <c r="M476" s="94"/>
      <c r="N476" s="94"/>
      <c r="O476" s="94"/>
      <c r="P476" s="94"/>
      <c r="Q476" s="94"/>
      <c r="R476" s="94"/>
      <c r="S476" s="94"/>
      <c r="T476" s="94"/>
      <c r="U476" s="94"/>
      <c r="V476" s="94"/>
      <c r="W476" s="94"/>
      <c r="X476" s="94"/>
      <c r="Y476" s="94"/>
      <c r="Z476" s="94"/>
      <c r="AA476" s="94"/>
      <c r="AB476" s="94"/>
      <c r="AC476" s="94"/>
      <c r="AD476" s="94"/>
      <c r="AE476" s="94"/>
      <c r="AF476" s="94"/>
      <c r="AG476" s="94"/>
      <c r="AH476" s="94"/>
      <c r="AI476" s="94"/>
      <c r="AJ476" s="94"/>
      <c r="AK476" s="94"/>
      <c r="AL476" s="94"/>
      <c r="AM476" s="94"/>
      <c r="AN476" s="94"/>
      <c r="AO476" s="94"/>
      <c r="AP476" s="94"/>
      <c r="AQ476" s="94"/>
      <c r="AR476" s="94"/>
      <c r="AS476" s="94"/>
      <c r="AT476" s="94"/>
      <c r="AU476" s="94"/>
      <c r="AV476" s="94"/>
      <c r="AW476" s="94"/>
      <c r="AX476" s="94"/>
      <c r="AY476" s="94"/>
      <c r="BA476" s="95"/>
    </row>
    <row r="477" spans="1:53" s="87" customFormat="1">
      <c r="A477" s="90" t="str">
        <f t="shared" si="55"/>
        <v/>
      </c>
      <c r="B477" s="98">
        <v>11</v>
      </c>
      <c r="C477" s="94">
        <v>4</v>
      </c>
      <c r="D477" s="94" t="s">
        <v>210</v>
      </c>
      <c r="E477" s="94">
        <v>-2</v>
      </c>
      <c r="F477" s="94" t="s">
        <v>210</v>
      </c>
      <c r="G477" s="94">
        <v>3</v>
      </c>
      <c r="H477" s="94">
        <v>-1</v>
      </c>
      <c r="I477" s="94">
        <v>-4</v>
      </c>
      <c r="J477" s="94" t="s">
        <v>210</v>
      </c>
      <c r="K477" s="94">
        <v>5</v>
      </c>
      <c r="L477" s="94"/>
      <c r="M477" s="94"/>
      <c r="N477" s="94"/>
      <c r="O477" s="94"/>
      <c r="P477" s="94"/>
      <c r="Q477" s="94"/>
      <c r="R477" s="94"/>
      <c r="S477" s="94"/>
      <c r="T477" s="94"/>
      <c r="U477" s="94"/>
      <c r="V477" s="94"/>
      <c r="W477" s="94"/>
      <c r="X477" s="94"/>
      <c r="Y477" s="94"/>
      <c r="Z477" s="94"/>
      <c r="AA477" s="94"/>
      <c r="AB477" s="94"/>
      <c r="AC477" s="94"/>
      <c r="AD477" s="94"/>
      <c r="AE477" s="94"/>
      <c r="AF477" s="94"/>
      <c r="AG477" s="94"/>
      <c r="AH477" s="94"/>
      <c r="AI477" s="94"/>
      <c r="AJ477" s="94"/>
      <c r="AK477" s="94"/>
      <c r="AL477" s="94"/>
      <c r="AM477" s="94"/>
      <c r="AN477" s="94"/>
      <c r="AO477" s="94"/>
      <c r="AP477" s="94"/>
      <c r="AQ477" s="94"/>
      <c r="AR477" s="94"/>
      <c r="AS477" s="94"/>
      <c r="AT477" s="94"/>
      <c r="AU477" s="94"/>
      <c r="AV477" s="94"/>
      <c r="AW477" s="94"/>
      <c r="AX477" s="94"/>
      <c r="AY477" s="94"/>
      <c r="BA477" s="95"/>
    </row>
    <row r="478" spans="1:53" s="87" customFormat="1">
      <c r="A478" s="90" t="str">
        <f t="shared" si="55"/>
        <v/>
      </c>
      <c r="B478" s="98">
        <v>12</v>
      </c>
      <c r="C478" s="94" t="s">
        <v>210</v>
      </c>
      <c r="D478" s="94">
        <v>-5</v>
      </c>
      <c r="E478" s="94">
        <v>2</v>
      </c>
      <c r="F478" s="94" t="s">
        <v>210</v>
      </c>
      <c r="G478" s="94">
        <v>-4</v>
      </c>
      <c r="H478" s="94">
        <v>5</v>
      </c>
      <c r="I478" s="94">
        <v>-3</v>
      </c>
      <c r="J478" s="94" t="s">
        <v>210</v>
      </c>
      <c r="K478" s="94">
        <v>1</v>
      </c>
      <c r="L478" s="94"/>
      <c r="M478" s="94"/>
      <c r="N478" s="94"/>
      <c r="O478" s="94"/>
      <c r="P478" s="94"/>
      <c r="Q478" s="94"/>
      <c r="R478" s="94"/>
      <c r="S478" s="94"/>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c r="AT478" s="94"/>
      <c r="AU478" s="94"/>
      <c r="AV478" s="94"/>
      <c r="AW478" s="94"/>
      <c r="AX478" s="94"/>
      <c r="AY478" s="94"/>
      <c r="BA478" s="95"/>
    </row>
    <row r="479" spans="1:53" s="87" customFormat="1">
      <c r="A479" s="90" t="str">
        <f t="shared" si="55"/>
        <v/>
      </c>
      <c r="B479" s="98">
        <v>13</v>
      </c>
      <c r="C479" s="94" t="s">
        <v>210</v>
      </c>
      <c r="D479" s="94">
        <v>5</v>
      </c>
      <c r="E479" s="94">
        <v>3</v>
      </c>
      <c r="F479" s="94">
        <v>-1</v>
      </c>
      <c r="G479" s="94" t="s">
        <v>210</v>
      </c>
      <c r="H479" s="94">
        <v>-2</v>
      </c>
      <c r="I479" s="94">
        <v>4</v>
      </c>
      <c r="J479" s="94">
        <v>-3</v>
      </c>
      <c r="K479" s="94" t="s">
        <v>210</v>
      </c>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BA479" s="95"/>
    </row>
    <row r="480" spans="1:53" s="87" customFormat="1">
      <c r="A480" s="90" t="str">
        <f t="shared" si="55"/>
        <v/>
      </c>
      <c r="B480" s="98">
        <v>14</v>
      </c>
      <c r="C480" s="94" t="s">
        <v>210</v>
      </c>
      <c r="D480" s="94">
        <v>2</v>
      </c>
      <c r="E480" s="94">
        <v>-4</v>
      </c>
      <c r="F480" s="94">
        <v>1</v>
      </c>
      <c r="G480" s="94">
        <v>-3</v>
      </c>
      <c r="H480" s="94" t="s">
        <v>210</v>
      </c>
      <c r="I480" s="94" t="s">
        <v>210</v>
      </c>
      <c r="J480" s="94">
        <v>5</v>
      </c>
      <c r="K480" s="94">
        <v>-1</v>
      </c>
      <c r="L480" s="94"/>
      <c r="M480" s="94"/>
      <c r="N480" s="94"/>
      <c r="O480" s="94"/>
      <c r="P480" s="94"/>
      <c r="Q480" s="94"/>
      <c r="R480" s="94"/>
      <c r="S480" s="94"/>
      <c r="T480" s="94"/>
      <c r="U480" s="94"/>
      <c r="V480" s="94"/>
      <c r="W480" s="94"/>
      <c r="X480" s="94"/>
      <c r="Y480" s="94"/>
      <c r="Z480" s="94"/>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BA480" s="95"/>
    </row>
    <row r="481" spans="1:53" s="87" customFormat="1">
      <c r="A481" s="90" t="str">
        <f t="shared" si="55"/>
        <v/>
      </c>
      <c r="B481" s="98" t="s">
        <v>335</v>
      </c>
      <c r="C481" s="94"/>
      <c r="D481" s="94"/>
      <c r="E481" s="94"/>
      <c r="F481" s="94"/>
      <c r="G481" s="94"/>
      <c r="H481" s="94"/>
      <c r="I481" s="94"/>
      <c r="J481" s="94"/>
      <c r="K481" s="94"/>
      <c r="L481" s="94"/>
      <c r="M481" s="94"/>
      <c r="N481" s="94"/>
      <c r="O481" s="94"/>
      <c r="P481" s="94"/>
      <c r="Q481" s="94"/>
      <c r="R481" s="94"/>
      <c r="S481" s="94"/>
      <c r="T481" s="94"/>
      <c r="U481" s="94"/>
      <c r="V481" s="94"/>
      <c r="W481" s="94"/>
      <c r="X481" s="94"/>
      <c r="Y481" s="94"/>
      <c r="Z481" s="94"/>
      <c r="AA481" s="94"/>
      <c r="AB481" s="94"/>
      <c r="AC481" s="94"/>
      <c r="AD481" s="94"/>
      <c r="AE481" s="94"/>
      <c r="AF481" s="94"/>
      <c r="AG481" s="94"/>
      <c r="AH481" s="94"/>
      <c r="AI481" s="94"/>
      <c r="AJ481" s="94"/>
      <c r="AK481" s="94"/>
      <c r="AL481" s="94"/>
      <c r="AM481" s="94"/>
      <c r="AN481" s="94"/>
      <c r="AO481" s="94"/>
      <c r="AP481" s="94"/>
      <c r="AQ481" s="94"/>
      <c r="AR481" s="94"/>
      <c r="AS481" s="94"/>
      <c r="AT481" s="94"/>
      <c r="AU481" s="94"/>
      <c r="AV481" s="94"/>
      <c r="AW481" s="94"/>
      <c r="AX481" s="94"/>
      <c r="AY481" s="94"/>
      <c r="BA481" s="95"/>
    </row>
    <row r="482" spans="1:53" s="87" customFormat="1">
      <c r="A482" s="90">
        <f t="shared" si="55"/>
        <v>482</v>
      </c>
      <c r="B482" s="317" t="s">
        <v>1206</v>
      </c>
      <c r="C482" s="94"/>
      <c r="D482" s="94"/>
      <c r="E482" s="94"/>
      <c r="F482" s="94"/>
      <c r="G482" s="94"/>
      <c r="H482" s="94"/>
      <c r="I482" s="94"/>
      <c r="J482" s="94"/>
      <c r="K482" s="94"/>
      <c r="L482" s="94"/>
      <c r="M482" s="94"/>
      <c r="N482" s="94"/>
      <c r="O482" s="94"/>
      <c r="P482" s="94"/>
      <c r="Q482" s="94"/>
      <c r="R482" s="94"/>
      <c r="S482" s="94"/>
      <c r="T482" s="94"/>
      <c r="U482" s="94"/>
      <c r="V482" s="94"/>
      <c r="W482" s="94"/>
      <c r="X482" s="94"/>
      <c r="Y482" s="94"/>
      <c r="Z482" s="94"/>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BA482" s="95"/>
    </row>
    <row r="483" spans="1:53" s="87" customFormat="1">
      <c r="A483" s="90" t="str">
        <f t="shared" si="55"/>
        <v/>
      </c>
      <c r="B483" s="98">
        <v>1</v>
      </c>
      <c r="C483" s="94">
        <v>-1</v>
      </c>
      <c r="D483" s="94">
        <v>2</v>
      </c>
      <c r="E483" s="94" t="s">
        <v>210</v>
      </c>
      <c r="F483" s="94" t="s">
        <v>210</v>
      </c>
      <c r="G483" s="94">
        <v>4</v>
      </c>
      <c r="H483" s="94" t="s">
        <v>210</v>
      </c>
      <c r="I483" s="94">
        <v>-3</v>
      </c>
      <c r="J483" s="94" t="s">
        <v>210</v>
      </c>
      <c r="K483" s="94">
        <v>-2</v>
      </c>
      <c r="L483" s="94"/>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BA483" s="95"/>
    </row>
    <row r="484" spans="1:53" s="87" customFormat="1">
      <c r="A484" s="90" t="str">
        <f t="shared" si="55"/>
        <v/>
      </c>
      <c r="B484" s="98">
        <v>2</v>
      </c>
      <c r="C484" s="94" t="s">
        <v>210</v>
      </c>
      <c r="D484" s="94">
        <v>1</v>
      </c>
      <c r="E484" s="94">
        <v>-2</v>
      </c>
      <c r="F484" s="94" t="s">
        <v>210</v>
      </c>
      <c r="G484" s="94">
        <v>-3</v>
      </c>
      <c r="H484" s="94" t="s">
        <v>210</v>
      </c>
      <c r="I484" s="94">
        <v>5</v>
      </c>
      <c r="J484" s="94" t="s">
        <v>210</v>
      </c>
      <c r="K484" s="94">
        <v>2</v>
      </c>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BA484" s="95"/>
    </row>
    <row r="485" spans="1:53" s="87" customFormat="1">
      <c r="A485" s="90" t="str">
        <f t="shared" si="55"/>
        <v/>
      </c>
      <c r="B485" s="98">
        <v>3</v>
      </c>
      <c r="C485" s="94" t="s">
        <v>210</v>
      </c>
      <c r="D485" s="94">
        <v>-2</v>
      </c>
      <c r="E485" s="94">
        <v>-3</v>
      </c>
      <c r="F485" s="94" t="s">
        <v>210</v>
      </c>
      <c r="G485" s="94">
        <v>1</v>
      </c>
      <c r="H485" s="94" t="s">
        <v>210</v>
      </c>
      <c r="I485" s="94">
        <v>-5</v>
      </c>
      <c r="J485" s="94" t="s">
        <v>210</v>
      </c>
      <c r="K485" s="94">
        <v>4</v>
      </c>
      <c r="L485" s="94"/>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BA485" s="95"/>
    </row>
    <row r="486" spans="1:53" s="87" customFormat="1">
      <c r="A486" s="90" t="str">
        <f t="shared" si="55"/>
        <v/>
      </c>
      <c r="B486" s="98">
        <v>4</v>
      </c>
      <c r="C486" s="94">
        <v>1</v>
      </c>
      <c r="D486" s="94">
        <v>-5</v>
      </c>
      <c r="E486" s="94" t="s">
        <v>210</v>
      </c>
      <c r="F486" s="94" t="s">
        <v>210</v>
      </c>
      <c r="G486" s="94">
        <v>3</v>
      </c>
      <c r="H486" s="94" t="s">
        <v>210</v>
      </c>
      <c r="I486" s="94">
        <v>-2</v>
      </c>
      <c r="J486" s="94" t="s">
        <v>210</v>
      </c>
      <c r="K486" s="94">
        <v>-4</v>
      </c>
      <c r="L486" s="94"/>
      <c r="M486" s="94"/>
      <c r="N486" s="94"/>
      <c r="O486" s="94"/>
      <c r="P486" s="94"/>
      <c r="Q486" s="94"/>
      <c r="R486" s="94"/>
      <c r="S486" s="94"/>
      <c r="T486" s="94"/>
      <c r="U486" s="94"/>
      <c r="V486" s="94"/>
      <c r="W486" s="94"/>
      <c r="X486" s="94"/>
      <c r="Y486" s="94"/>
      <c r="Z486" s="94"/>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4"/>
      <c r="AY486" s="94"/>
      <c r="BA486" s="95"/>
    </row>
    <row r="487" spans="1:53" s="87" customFormat="1">
      <c r="A487" s="90" t="str">
        <f t="shared" si="55"/>
        <v/>
      </c>
      <c r="B487" s="98">
        <v>5</v>
      </c>
      <c r="C487" s="94" t="s">
        <v>210</v>
      </c>
      <c r="D487" s="94">
        <v>-1</v>
      </c>
      <c r="E487" s="94">
        <v>3</v>
      </c>
      <c r="F487" s="94" t="s">
        <v>210</v>
      </c>
      <c r="G487" s="94">
        <v>-4</v>
      </c>
      <c r="H487" s="94" t="s">
        <v>210</v>
      </c>
      <c r="I487" s="94">
        <v>2</v>
      </c>
      <c r="J487" s="94" t="s">
        <v>210</v>
      </c>
      <c r="K487" s="94">
        <v>5</v>
      </c>
      <c r="L487" s="94"/>
      <c r="M487" s="94"/>
      <c r="N487" s="94"/>
      <c r="O487" s="94"/>
      <c r="P487" s="94"/>
      <c r="Q487" s="94"/>
      <c r="R487" s="94"/>
      <c r="S487" s="94"/>
      <c r="T487" s="94"/>
      <c r="U487" s="94"/>
      <c r="V487" s="94"/>
      <c r="W487" s="94"/>
      <c r="X487" s="94"/>
      <c r="Y487" s="94"/>
      <c r="Z487" s="94"/>
      <c r="AA487" s="94"/>
      <c r="AB487" s="94"/>
      <c r="AC487" s="94"/>
      <c r="AD487" s="94"/>
      <c r="AE487" s="94"/>
      <c r="AF487" s="94"/>
      <c r="AG487" s="94"/>
      <c r="AH487" s="94"/>
      <c r="AI487" s="94"/>
      <c r="AJ487" s="94"/>
      <c r="AK487" s="94"/>
      <c r="AL487" s="94"/>
      <c r="AM487" s="94"/>
      <c r="AN487" s="94"/>
      <c r="AO487" s="94"/>
      <c r="AP487" s="94"/>
      <c r="AQ487" s="94"/>
      <c r="AR487" s="94"/>
      <c r="AS487" s="94"/>
      <c r="AT487" s="94"/>
      <c r="AU487" s="94"/>
      <c r="AV487" s="94"/>
      <c r="AW487" s="94"/>
      <c r="AX487" s="94"/>
      <c r="AY487" s="94"/>
      <c r="BA487" s="95"/>
    </row>
    <row r="488" spans="1:53" s="87" customFormat="1">
      <c r="A488" s="90" t="str">
        <f t="shared" si="55"/>
        <v/>
      </c>
      <c r="B488" s="99">
        <v>6</v>
      </c>
      <c r="C488" s="92" t="s">
        <v>210</v>
      </c>
      <c r="D488" s="92">
        <v>5</v>
      </c>
      <c r="E488" s="92">
        <v>2</v>
      </c>
      <c r="F488" s="92" t="s">
        <v>210</v>
      </c>
      <c r="G488" s="92">
        <v>-1</v>
      </c>
      <c r="H488" s="92" t="s">
        <v>210</v>
      </c>
      <c r="I488" s="92">
        <v>3</v>
      </c>
      <c r="J488" s="92" t="s">
        <v>210</v>
      </c>
      <c r="K488" s="92">
        <v>-5</v>
      </c>
      <c r="L488" s="94"/>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BA488" s="95"/>
    </row>
    <row r="489" spans="1:53" s="87" customFormat="1">
      <c r="A489" s="90" t="str">
        <f t="shared" si="55"/>
        <v/>
      </c>
      <c r="B489" s="98">
        <v>7</v>
      </c>
      <c r="C489" s="94" t="s">
        <v>210</v>
      </c>
      <c r="D489" s="94">
        <v>3</v>
      </c>
      <c r="E489" s="94" t="s">
        <v>210</v>
      </c>
      <c r="F489" s="94">
        <v>5</v>
      </c>
      <c r="G489" s="94" t="s">
        <v>210</v>
      </c>
      <c r="H489" s="94">
        <v>-4</v>
      </c>
      <c r="I489" s="94">
        <v>1</v>
      </c>
      <c r="J489" s="94" t="s">
        <v>210</v>
      </c>
      <c r="K489" s="94">
        <v>-3</v>
      </c>
      <c r="L489" s="94"/>
      <c r="M489" s="94"/>
      <c r="N489" s="94"/>
      <c r="O489" s="94"/>
      <c r="P489" s="94"/>
      <c r="Q489" s="94"/>
      <c r="R489" s="94"/>
      <c r="S489" s="94"/>
      <c r="T489" s="94"/>
      <c r="U489" s="94"/>
      <c r="V489" s="94"/>
      <c r="W489" s="94"/>
      <c r="X489" s="94"/>
      <c r="Y489" s="94"/>
      <c r="Z489" s="94"/>
      <c r="AA489" s="94"/>
      <c r="AB489" s="94"/>
      <c r="AC489" s="94"/>
      <c r="AD489" s="94"/>
      <c r="AE489" s="94"/>
      <c r="AF489" s="94"/>
      <c r="AG489" s="94"/>
      <c r="AH489" s="94"/>
      <c r="AI489" s="94"/>
      <c r="AJ489" s="94"/>
      <c r="AK489" s="94"/>
      <c r="AL489" s="94"/>
      <c r="AM489" s="94"/>
      <c r="AN489" s="94"/>
      <c r="AO489" s="94"/>
      <c r="AP489" s="94"/>
      <c r="AQ489" s="94"/>
      <c r="AR489" s="94"/>
      <c r="AS489" s="94"/>
      <c r="AT489" s="94"/>
      <c r="AU489" s="94"/>
      <c r="AV489" s="94"/>
      <c r="AW489" s="94"/>
      <c r="AX489" s="94"/>
      <c r="AY489" s="94"/>
      <c r="BA489" s="95"/>
    </row>
    <row r="490" spans="1:53" s="87" customFormat="1">
      <c r="A490" s="90" t="str">
        <f t="shared" si="55"/>
        <v/>
      </c>
      <c r="B490" s="98">
        <v>8</v>
      </c>
      <c r="C490" s="94">
        <v>5</v>
      </c>
      <c r="D490" s="94" t="s">
        <v>210</v>
      </c>
      <c r="E490" s="94" t="s">
        <v>210</v>
      </c>
      <c r="F490" s="94">
        <v>-1</v>
      </c>
      <c r="G490" s="94" t="s">
        <v>210</v>
      </c>
      <c r="H490" s="94">
        <v>-2</v>
      </c>
      <c r="I490" s="94" t="s">
        <v>210</v>
      </c>
      <c r="J490" s="94">
        <v>4</v>
      </c>
      <c r="K490" s="94">
        <v>3</v>
      </c>
      <c r="L490" s="94"/>
      <c r="M490" s="94"/>
      <c r="N490" s="94"/>
      <c r="O490" s="94"/>
      <c r="P490" s="94"/>
      <c r="Q490" s="94"/>
      <c r="R490" s="94"/>
      <c r="S490" s="94"/>
      <c r="T490" s="94"/>
      <c r="U490" s="94"/>
      <c r="V490" s="94"/>
      <c r="W490" s="94"/>
      <c r="X490" s="94"/>
      <c r="Y490" s="94"/>
      <c r="Z490" s="94"/>
      <c r="AA490" s="94"/>
      <c r="AB490" s="94"/>
      <c r="AC490" s="94"/>
      <c r="AD490" s="94"/>
      <c r="AE490" s="94"/>
      <c r="AF490" s="94"/>
      <c r="AG490" s="94"/>
      <c r="AH490" s="94"/>
      <c r="AI490" s="94"/>
      <c r="AJ490" s="94"/>
      <c r="AK490" s="94"/>
      <c r="AL490" s="94"/>
      <c r="AM490" s="94"/>
      <c r="AN490" s="94"/>
      <c r="AO490" s="94"/>
      <c r="AP490" s="94"/>
      <c r="AQ490" s="94"/>
      <c r="AR490" s="94"/>
      <c r="AS490" s="94"/>
      <c r="AT490" s="94"/>
      <c r="AU490" s="94"/>
      <c r="AV490" s="94"/>
      <c r="AW490" s="94"/>
      <c r="AX490" s="94"/>
      <c r="AY490" s="94"/>
      <c r="BA490" s="95"/>
    </row>
    <row r="491" spans="1:53" s="87" customFormat="1">
      <c r="A491" s="90" t="str">
        <f t="shared" si="55"/>
        <v/>
      </c>
      <c r="B491" s="98">
        <v>9</v>
      </c>
      <c r="C491" s="94" t="s">
        <v>210</v>
      </c>
      <c r="D491" s="94">
        <v>4</v>
      </c>
      <c r="E491" s="94" t="s">
        <v>210</v>
      </c>
      <c r="F491" s="94">
        <v>-2</v>
      </c>
      <c r="G491" s="94">
        <v>5</v>
      </c>
      <c r="H491" s="94" t="s">
        <v>210</v>
      </c>
      <c r="I491" s="94">
        <v>-1</v>
      </c>
      <c r="J491" s="94">
        <v>-4</v>
      </c>
      <c r="K491" s="94" t="s">
        <v>210</v>
      </c>
      <c r="L491" s="94"/>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BA491" s="95"/>
    </row>
    <row r="492" spans="1:53" s="87" customFormat="1">
      <c r="A492" s="90" t="str">
        <f t="shared" si="55"/>
        <v/>
      </c>
      <c r="B492" s="98">
        <v>10</v>
      </c>
      <c r="C492" s="94" t="s">
        <v>210</v>
      </c>
      <c r="D492" s="94">
        <v>-3</v>
      </c>
      <c r="E492" s="94" t="s">
        <v>210</v>
      </c>
      <c r="F492" s="94">
        <v>1</v>
      </c>
      <c r="G492" s="94">
        <v>-5</v>
      </c>
      <c r="H492" s="94" t="s">
        <v>210</v>
      </c>
      <c r="I492" s="94">
        <v>-4</v>
      </c>
      <c r="J492" s="94">
        <v>3</v>
      </c>
      <c r="K492" s="94" t="s">
        <v>210</v>
      </c>
      <c r="L492" s="94"/>
      <c r="M492" s="94"/>
      <c r="N492" s="94"/>
      <c r="O492" s="94"/>
      <c r="P492" s="94"/>
      <c r="Q492" s="94"/>
      <c r="R492" s="94"/>
      <c r="S492" s="94"/>
      <c r="T492" s="94"/>
      <c r="U492" s="94"/>
      <c r="V492" s="94"/>
      <c r="W492" s="94"/>
      <c r="X492" s="94"/>
      <c r="Y492" s="94"/>
      <c r="Z492" s="94"/>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BA492" s="95"/>
    </row>
    <row r="493" spans="1:53" s="87" customFormat="1">
      <c r="A493" s="90" t="str">
        <f t="shared" si="55"/>
        <v/>
      </c>
      <c r="B493" s="98">
        <v>11</v>
      </c>
      <c r="C493" s="94">
        <v>-5</v>
      </c>
      <c r="D493" s="94" t="s">
        <v>210</v>
      </c>
      <c r="E493" s="94" t="s">
        <v>210</v>
      </c>
      <c r="F493" s="94">
        <v>2</v>
      </c>
      <c r="G493" s="94" t="s">
        <v>210</v>
      </c>
      <c r="H493" s="94">
        <v>4</v>
      </c>
      <c r="I493" s="94" t="s">
        <v>210</v>
      </c>
      <c r="J493" s="94">
        <v>-3</v>
      </c>
      <c r="K493" s="94">
        <v>1</v>
      </c>
      <c r="L493" s="94"/>
      <c r="M493" s="94"/>
      <c r="N493" s="94"/>
      <c r="O493" s="94"/>
      <c r="P493" s="94"/>
      <c r="Q493" s="94"/>
      <c r="R493" s="94"/>
      <c r="S493" s="94"/>
      <c r="T493" s="94"/>
      <c r="U493" s="94"/>
      <c r="V493" s="94"/>
      <c r="W493" s="94"/>
      <c r="X493" s="94"/>
      <c r="Y493" s="94"/>
      <c r="Z493" s="94"/>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c r="AW493" s="94"/>
      <c r="AX493" s="94"/>
      <c r="AY493" s="94"/>
      <c r="BA493" s="95"/>
    </row>
    <row r="494" spans="1:53" s="87" customFormat="1">
      <c r="A494" s="90" t="str">
        <f t="shared" si="55"/>
        <v/>
      </c>
      <c r="B494" s="99">
        <v>12</v>
      </c>
      <c r="C494" s="92" t="s">
        <v>210</v>
      </c>
      <c r="D494" s="92">
        <v>-4</v>
      </c>
      <c r="E494" s="92" t="s">
        <v>210</v>
      </c>
      <c r="F494" s="92">
        <v>-5</v>
      </c>
      <c r="G494" s="92" t="s">
        <v>210</v>
      </c>
      <c r="H494" s="92">
        <v>2</v>
      </c>
      <c r="I494" s="92">
        <v>4</v>
      </c>
      <c r="J494" s="92" t="s">
        <v>210</v>
      </c>
      <c r="K494" s="92">
        <v>-1</v>
      </c>
      <c r="L494" s="94"/>
      <c r="M494" s="94"/>
      <c r="N494" s="94"/>
      <c r="O494" s="94"/>
      <c r="P494" s="94"/>
      <c r="Q494" s="94"/>
      <c r="R494" s="94"/>
      <c r="S494" s="94"/>
      <c r="T494" s="94"/>
      <c r="U494" s="94"/>
      <c r="V494" s="94"/>
      <c r="W494" s="94"/>
      <c r="X494" s="94"/>
      <c r="Y494" s="94"/>
      <c r="Z494" s="94"/>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c r="AW494" s="94"/>
      <c r="AX494" s="94"/>
      <c r="AY494" s="94"/>
      <c r="BA494" s="95"/>
    </row>
    <row r="495" spans="1:53" s="87" customFormat="1">
      <c r="A495" s="90" t="str">
        <f t="shared" si="55"/>
        <v/>
      </c>
      <c r="B495" s="98">
        <v>13</v>
      </c>
      <c r="C495" s="94">
        <v>3</v>
      </c>
      <c r="D495" s="94" t="s">
        <v>210</v>
      </c>
      <c r="E495" s="94">
        <v>-5</v>
      </c>
      <c r="F495" s="94">
        <v>-4</v>
      </c>
      <c r="G495" s="94" t="s">
        <v>210</v>
      </c>
      <c r="H495" s="94">
        <v>1</v>
      </c>
      <c r="I495" s="94" t="s">
        <v>210</v>
      </c>
      <c r="J495" s="94">
        <v>2</v>
      </c>
      <c r="K495" s="94" t="s">
        <v>210</v>
      </c>
      <c r="L495" s="94"/>
      <c r="M495" s="94"/>
      <c r="N495" s="94"/>
      <c r="O495" s="94"/>
      <c r="P495" s="94"/>
      <c r="Q495" s="94"/>
      <c r="R495" s="94"/>
      <c r="S495" s="94"/>
      <c r="T495" s="94"/>
      <c r="U495" s="94"/>
      <c r="V495" s="94"/>
      <c r="W495" s="94"/>
      <c r="X495" s="94"/>
      <c r="Y495" s="94"/>
      <c r="Z495" s="94"/>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BA495" s="95"/>
    </row>
    <row r="496" spans="1:53" s="87" customFormat="1">
      <c r="A496" s="90" t="str">
        <f t="shared" si="55"/>
        <v/>
      </c>
      <c r="B496" s="98">
        <v>14</v>
      </c>
      <c r="C496" s="94">
        <v>4</v>
      </c>
      <c r="D496" s="94" t="s">
        <v>210</v>
      </c>
      <c r="E496" s="94">
        <v>-1</v>
      </c>
      <c r="F496" s="94">
        <v>-3</v>
      </c>
      <c r="G496" s="94" t="s">
        <v>210</v>
      </c>
      <c r="H496" s="94">
        <v>5</v>
      </c>
      <c r="I496" s="94" t="s">
        <v>210</v>
      </c>
      <c r="J496" s="94">
        <v>-2</v>
      </c>
      <c r="K496" s="94" t="s">
        <v>210</v>
      </c>
      <c r="L496" s="94"/>
      <c r="M496" s="94"/>
      <c r="N496" s="94"/>
      <c r="O496" s="94"/>
      <c r="P496" s="94"/>
      <c r="Q496" s="94"/>
      <c r="R496" s="94"/>
      <c r="S496" s="94"/>
      <c r="T496" s="94"/>
      <c r="U496" s="94"/>
      <c r="V496" s="94"/>
      <c r="W496" s="94"/>
      <c r="X496" s="94"/>
      <c r="Y496" s="94"/>
      <c r="Z496" s="94"/>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c r="AW496" s="94"/>
      <c r="AX496" s="94"/>
      <c r="AY496" s="94"/>
      <c r="BA496" s="95"/>
    </row>
    <row r="497" spans="1:53" s="87" customFormat="1">
      <c r="A497" s="90" t="str">
        <f t="shared" si="55"/>
        <v/>
      </c>
      <c r="B497" s="98">
        <v>15</v>
      </c>
      <c r="C497" s="94">
        <v>-3</v>
      </c>
      <c r="D497" s="94" t="s">
        <v>210</v>
      </c>
      <c r="E497" s="94">
        <v>4</v>
      </c>
      <c r="F497" s="94" t="s">
        <v>210</v>
      </c>
      <c r="G497" s="94">
        <v>2</v>
      </c>
      <c r="H497" s="94">
        <v>-5</v>
      </c>
      <c r="I497" s="94" t="s">
        <v>210</v>
      </c>
      <c r="J497" s="94">
        <v>1</v>
      </c>
      <c r="K497" s="94" t="s">
        <v>210</v>
      </c>
      <c r="L497" s="94"/>
      <c r="M497" s="94"/>
      <c r="N497" s="94"/>
      <c r="O497" s="94"/>
      <c r="P497" s="94"/>
      <c r="Q497" s="94"/>
      <c r="R497" s="94"/>
      <c r="S497" s="94"/>
      <c r="T497" s="94"/>
      <c r="U497" s="94"/>
      <c r="V497" s="94"/>
      <c r="W497" s="94"/>
      <c r="X497" s="94"/>
      <c r="Y497" s="94"/>
      <c r="Z497" s="94"/>
      <c r="AA497" s="94"/>
      <c r="AB497" s="94"/>
      <c r="AC497" s="94"/>
      <c r="AD497" s="94"/>
      <c r="AE497" s="94"/>
      <c r="AF497" s="94"/>
      <c r="AG497" s="94"/>
      <c r="AH497" s="94"/>
      <c r="AI497" s="94"/>
      <c r="AJ497" s="94"/>
      <c r="AK497" s="94"/>
      <c r="AL497" s="94"/>
      <c r="AM497" s="94"/>
      <c r="AN497" s="94"/>
      <c r="AO497" s="94"/>
      <c r="AP497" s="94"/>
      <c r="AQ497" s="94"/>
      <c r="AR497" s="94"/>
      <c r="AS497" s="94"/>
      <c r="AT497" s="94"/>
      <c r="AU497" s="94"/>
      <c r="AV497" s="94"/>
      <c r="AW497" s="94"/>
      <c r="AX497" s="94"/>
      <c r="AY497" s="94"/>
      <c r="BA497" s="95"/>
    </row>
    <row r="498" spans="1:53" s="87" customFormat="1">
      <c r="A498" s="90" t="str">
        <f t="shared" si="55"/>
        <v/>
      </c>
      <c r="B498" s="98">
        <v>16</v>
      </c>
      <c r="C498" s="94">
        <v>-2</v>
      </c>
      <c r="D498" s="94" t="s">
        <v>210</v>
      </c>
      <c r="E498" s="94">
        <v>1</v>
      </c>
      <c r="F498" s="94">
        <v>4</v>
      </c>
      <c r="G498" s="94" t="s">
        <v>210</v>
      </c>
      <c r="H498" s="94">
        <v>-3</v>
      </c>
      <c r="I498" s="94" t="s">
        <v>210</v>
      </c>
      <c r="J498" s="94">
        <v>-1</v>
      </c>
      <c r="K498" s="94" t="s">
        <v>210</v>
      </c>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BA498" s="95"/>
    </row>
    <row r="499" spans="1:53" s="87" customFormat="1">
      <c r="A499" s="90" t="str">
        <f t="shared" si="55"/>
        <v/>
      </c>
      <c r="B499" s="98">
        <v>17</v>
      </c>
      <c r="C499" s="94">
        <v>-4</v>
      </c>
      <c r="D499" s="94" t="s">
        <v>210</v>
      </c>
      <c r="E499" s="94">
        <v>5</v>
      </c>
      <c r="F499" s="94" t="s">
        <v>210</v>
      </c>
      <c r="G499" s="94">
        <v>-2</v>
      </c>
      <c r="H499" s="94">
        <v>3</v>
      </c>
      <c r="I499" s="94" t="s">
        <v>210</v>
      </c>
      <c r="J499" s="94">
        <v>-5</v>
      </c>
      <c r="K499" s="94" t="s">
        <v>210</v>
      </c>
      <c r="L499" s="94"/>
      <c r="M499" s="94"/>
      <c r="N499" s="94"/>
      <c r="O499" s="94"/>
      <c r="P499" s="94"/>
      <c r="Q499" s="94"/>
      <c r="R499" s="94"/>
      <c r="S499" s="94"/>
      <c r="T499" s="94"/>
      <c r="U499" s="94"/>
      <c r="V499" s="94"/>
      <c r="W499" s="94"/>
      <c r="X499" s="94"/>
      <c r="Y499" s="94"/>
      <c r="Z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BA499" s="95"/>
    </row>
    <row r="500" spans="1:53" s="87" customFormat="1">
      <c r="A500" s="90" t="str">
        <f t="shared" si="55"/>
        <v/>
      </c>
      <c r="B500" s="98">
        <v>18</v>
      </c>
      <c r="C500" s="94">
        <v>2</v>
      </c>
      <c r="D500" s="94" t="s">
        <v>210</v>
      </c>
      <c r="E500" s="94">
        <v>-4</v>
      </c>
      <c r="F500" s="94">
        <v>3</v>
      </c>
      <c r="G500" s="94" t="s">
        <v>210</v>
      </c>
      <c r="H500" s="94">
        <v>-1</v>
      </c>
      <c r="I500" s="94" t="s">
        <v>210</v>
      </c>
      <c r="J500" s="94">
        <v>5</v>
      </c>
      <c r="K500" s="94" t="s">
        <v>210</v>
      </c>
      <c r="L500" s="94"/>
      <c r="M500" s="94"/>
      <c r="N500" s="94"/>
      <c r="O500" s="94"/>
      <c r="P500" s="94"/>
      <c r="Q500" s="94"/>
      <c r="R500" s="94"/>
      <c r="S500" s="94"/>
      <c r="T500" s="94"/>
      <c r="U500" s="94"/>
      <c r="V500" s="94"/>
      <c r="W500" s="94"/>
      <c r="X500" s="94"/>
      <c r="Y500" s="94"/>
      <c r="Z500" s="94"/>
      <c r="AD500" s="94"/>
      <c r="AE500" s="94"/>
      <c r="AF500" s="94"/>
      <c r="AG500" s="94"/>
      <c r="AH500" s="94"/>
      <c r="AI500" s="94"/>
      <c r="AJ500" s="94"/>
      <c r="AK500" s="94"/>
      <c r="AL500" s="94"/>
      <c r="AM500" s="94"/>
      <c r="AN500" s="94"/>
      <c r="AO500" s="94"/>
      <c r="AP500" s="94"/>
      <c r="AQ500" s="94"/>
      <c r="AR500" s="94"/>
      <c r="AS500" s="94"/>
      <c r="AT500" s="94"/>
      <c r="AU500" s="94"/>
      <c r="AV500" s="94"/>
      <c r="AW500" s="94"/>
      <c r="AX500" s="94"/>
      <c r="AY500" s="94"/>
      <c r="BA500" s="95"/>
    </row>
    <row r="501" spans="1:53" s="87" customFormat="1">
      <c r="A501" s="90" t="str">
        <f t="shared" si="55"/>
        <v/>
      </c>
      <c r="B501" s="98" t="s">
        <v>336</v>
      </c>
      <c r="C501" s="94"/>
      <c r="D501" s="94"/>
      <c r="E501" s="94"/>
      <c r="F501" s="94"/>
      <c r="G501" s="94"/>
      <c r="H501" s="94"/>
      <c r="I501" s="94"/>
      <c r="J501" s="94"/>
      <c r="K501" s="94"/>
      <c r="L501" s="94"/>
      <c r="M501" s="94"/>
      <c r="N501" s="94"/>
      <c r="O501" s="94"/>
      <c r="P501" s="94"/>
      <c r="Q501" s="94"/>
      <c r="R501" s="94"/>
      <c r="S501" s="94"/>
      <c r="T501" s="94"/>
      <c r="U501" s="94"/>
      <c r="V501" s="94"/>
      <c r="W501" s="94"/>
      <c r="X501" s="94"/>
      <c r="Y501" s="94"/>
      <c r="Z501" s="94"/>
      <c r="AJ501" s="94"/>
      <c r="AK501" s="94"/>
      <c r="AL501" s="94"/>
      <c r="AM501" s="94"/>
      <c r="AN501" s="94"/>
      <c r="AO501" s="94"/>
      <c r="AP501" s="94"/>
      <c r="AQ501" s="94"/>
      <c r="AR501" s="94"/>
      <c r="AS501" s="94"/>
      <c r="AT501" s="94"/>
      <c r="AU501" s="94"/>
      <c r="AV501" s="94"/>
      <c r="AW501" s="94"/>
      <c r="AX501" s="94"/>
      <c r="AY501" s="94"/>
      <c r="BA501" s="95"/>
    </row>
    <row r="502" spans="1:53" s="87" customFormat="1">
      <c r="A502" s="90">
        <f t="shared" si="55"/>
        <v>502</v>
      </c>
      <c r="B502" s="317" t="s">
        <v>1201</v>
      </c>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J502" s="94"/>
      <c r="AK502" s="94"/>
      <c r="AL502" s="94"/>
      <c r="AM502" s="94"/>
      <c r="AN502" s="94"/>
      <c r="AO502" s="94"/>
      <c r="AP502" s="94"/>
      <c r="AQ502" s="94"/>
      <c r="AR502" s="94"/>
      <c r="AS502" s="94"/>
      <c r="AT502" s="94"/>
      <c r="AU502" s="94"/>
      <c r="AV502" s="94"/>
      <c r="AW502" s="94"/>
      <c r="AX502" s="94"/>
      <c r="AY502" s="94"/>
      <c r="BA502" s="95"/>
    </row>
    <row r="503" spans="1:53" s="87" customFormat="1">
      <c r="A503" s="90" t="str">
        <f t="shared" si="55"/>
        <v/>
      </c>
      <c r="B503" s="98">
        <v>1</v>
      </c>
      <c r="C503" s="94">
        <v>-1</v>
      </c>
      <c r="D503" s="94">
        <v>2</v>
      </c>
      <c r="E503" s="94" t="s">
        <v>210</v>
      </c>
      <c r="F503" s="94" t="s">
        <v>210</v>
      </c>
      <c r="G503" s="94">
        <v>-4</v>
      </c>
      <c r="H503" s="94">
        <v>3</v>
      </c>
      <c r="I503" s="94">
        <v>-2</v>
      </c>
      <c r="J503" s="94" t="s">
        <v>210</v>
      </c>
      <c r="K503" s="94">
        <v>4</v>
      </c>
      <c r="L503" s="94">
        <v>-3</v>
      </c>
      <c r="M503" s="94">
        <v>5</v>
      </c>
      <c r="N503" s="94" t="s">
        <v>210</v>
      </c>
      <c r="O503" s="94" t="s">
        <v>210</v>
      </c>
      <c r="P503" s="94">
        <v>-1</v>
      </c>
      <c r="Q503" s="94">
        <v>-3</v>
      </c>
      <c r="R503" s="94">
        <v>-5</v>
      </c>
      <c r="S503" s="94" t="s">
        <v>210</v>
      </c>
      <c r="T503" s="94">
        <v>1</v>
      </c>
      <c r="U503" s="94">
        <v>2</v>
      </c>
      <c r="V503" s="94">
        <v>4</v>
      </c>
      <c r="W503" s="94" t="s">
        <v>210</v>
      </c>
      <c r="X503" s="94"/>
      <c r="Y503" s="94"/>
      <c r="Z503" s="94"/>
      <c r="AA503" s="94"/>
      <c r="AB503" s="94"/>
      <c r="AC503" s="94"/>
      <c r="AD503" s="94"/>
      <c r="AE503" s="94"/>
      <c r="AF503" s="94"/>
      <c r="AG503" s="94"/>
      <c r="AH503" s="94"/>
      <c r="AI503" s="94"/>
      <c r="AJ503" s="94"/>
      <c r="AK503" s="94"/>
      <c r="AL503" s="94"/>
      <c r="AM503" s="94"/>
      <c r="AN503" s="94"/>
      <c r="AO503" s="94"/>
      <c r="AP503" s="94"/>
      <c r="AQ503" s="94"/>
      <c r="AR503" s="94"/>
      <c r="AS503" s="94"/>
      <c r="AT503" s="94"/>
      <c r="AU503" s="94"/>
      <c r="AV503" s="94"/>
      <c r="AW503" s="94"/>
      <c r="AX503" s="94"/>
      <c r="AY503" s="94"/>
      <c r="BA503" s="95"/>
    </row>
    <row r="504" spans="1:53" s="87" customFormat="1">
      <c r="A504" s="90" t="str">
        <f t="shared" si="55"/>
        <v/>
      </c>
      <c r="B504" s="98">
        <v>2</v>
      </c>
      <c r="C504" s="94">
        <v>-5</v>
      </c>
      <c r="D504" s="94">
        <v>3</v>
      </c>
      <c r="E504" s="94" t="s">
        <v>210</v>
      </c>
      <c r="F504" s="94" t="s">
        <v>210</v>
      </c>
      <c r="G504" s="94">
        <v>4</v>
      </c>
      <c r="H504" s="94">
        <v>2</v>
      </c>
      <c r="I504" s="94">
        <v>-5</v>
      </c>
      <c r="J504" s="94" t="s">
        <v>210</v>
      </c>
      <c r="K504" s="94">
        <v>-1</v>
      </c>
      <c r="L504" s="94">
        <v>4</v>
      </c>
      <c r="M504" s="94">
        <v>-2</v>
      </c>
      <c r="N504" s="94" t="s">
        <v>210</v>
      </c>
      <c r="O504" s="94" t="s">
        <v>210</v>
      </c>
      <c r="P504" s="94">
        <v>3</v>
      </c>
      <c r="Q504" s="94">
        <v>1</v>
      </c>
      <c r="R504" s="94">
        <v>-2</v>
      </c>
      <c r="S504" s="94" t="s">
        <v>210</v>
      </c>
      <c r="T504" s="94">
        <v>-4</v>
      </c>
      <c r="U504" s="94">
        <v>5</v>
      </c>
      <c r="V504" s="94">
        <v>-3</v>
      </c>
      <c r="W504" s="94" t="s">
        <v>210</v>
      </c>
      <c r="X504" s="94"/>
      <c r="Y504" s="94"/>
      <c r="Z504" s="94"/>
      <c r="AA504" s="94"/>
      <c r="AB504" s="94"/>
      <c r="AC504" s="94"/>
      <c r="AD504" s="94"/>
      <c r="AE504" s="94"/>
      <c r="AF504" s="94"/>
      <c r="AG504" s="94"/>
      <c r="AH504" s="94"/>
      <c r="AI504" s="94"/>
      <c r="AJ504" s="94"/>
      <c r="AK504" s="94"/>
      <c r="AL504" s="94"/>
      <c r="AM504" s="94"/>
      <c r="AN504" s="94"/>
      <c r="AO504" s="94"/>
      <c r="AP504" s="94"/>
      <c r="AQ504" s="94"/>
      <c r="AR504" s="94"/>
      <c r="AS504" s="94"/>
      <c r="AT504" s="94"/>
      <c r="AU504" s="94"/>
      <c r="AV504" s="94"/>
      <c r="AW504" s="94"/>
      <c r="AX504" s="94"/>
      <c r="AY504" s="94"/>
      <c r="BA504" s="95"/>
    </row>
    <row r="505" spans="1:53" s="87" customFormat="1">
      <c r="A505" s="90" t="str">
        <f t="shared" si="55"/>
        <v/>
      </c>
      <c r="B505" s="98">
        <v>3</v>
      </c>
      <c r="C505" s="94">
        <v>2</v>
      </c>
      <c r="D505" s="94">
        <v>-1</v>
      </c>
      <c r="E505" s="94" t="s">
        <v>210</v>
      </c>
      <c r="F505" s="94" t="s">
        <v>210</v>
      </c>
      <c r="G505" s="94">
        <v>3</v>
      </c>
      <c r="H505" s="94">
        <v>-5</v>
      </c>
      <c r="I505" s="94">
        <v>2</v>
      </c>
      <c r="J505" s="94" t="s">
        <v>210</v>
      </c>
      <c r="K505" s="94">
        <v>1</v>
      </c>
      <c r="L505" s="94">
        <v>-5</v>
      </c>
      <c r="M505" s="94">
        <v>-3</v>
      </c>
      <c r="N505" s="94" t="s">
        <v>210</v>
      </c>
      <c r="O505" s="94" t="s">
        <v>210</v>
      </c>
      <c r="P505" s="94">
        <v>4</v>
      </c>
      <c r="Q505" s="94">
        <v>-2</v>
      </c>
      <c r="R505" s="94">
        <v>-1</v>
      </c>
      <c r="S505" s="94" t="s">
        <v>210</v>
      </c>
      <c r="T505" s="94">
        <v>3</v>
      </c>
      <c r="U505" s="94">
        <v>-4</v>
      </c>
      <c r="V505" s="94">
        <v>5</v>
      </c>
      <c r="W505" s="94" t="s">
        <v>210</v>
      </c>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BA505" s="95"/>
    </row>
    <row r="506" spans="1:53" s="87" customFormat="1">
      <c r="A506" s="90" t="str">
        <f t="shared" si="55"/>
        <v/>
      </c>
      <c r="B506" s="98">
        <v>4</v>
      </c>
      <c r="C506" s="94">
        <v>4</v>
      </c>
      <c r="D506" s="94">
        <v>-2</v>
      </c>
      <c r="E506" s="94" t="s">
        <v>210</v>
      </c>
      <c r="F506" s="94" t="s">
        <v>210</v>
      </c>
      <c r="G506" s="94">
        <v>-3</v>
      </c>
      <c r="H506" s="94">
        <v>-1</v>
      </c>
      <c r="I506" s="94">
        <v>5</v>
      </c>
      <c r="J506" s="94" t="s">
        <v>210</v>
      </c>
      <c r="K506" s="94">
        <v>3</v>
      </c>
      <c r="L506" s="94">
        <v>1</v>
      </c>
      <c r="M506" s="94">
        <v>-4</v>
      </c>
      <c r="N506" s="94" t="s">
        <v>210</v>
      </c>
      <c r="O506" s="94" t="s">
        <v>210</v>
      </c>
      <c r="P506" s="94">
        <v>-2</v>
      </c>
      <c r="Q506" s="94">
        <v>-5</v>
      </c>
      <c r="R506" s="94">
        <v>4</v>
      </c>
      <c r="S506" s="94" t="s">
        <v>210</v>
      </c>
      <c r="T506" s="94">
        <v>2</v>
      </c>
      <c r="U506" s="94">
        <v>3</v>
      </c>
      <c r="V506" s="94">
        <v>-1</v>
      </c>
      <c r="W506" s="94" t="s">
        <v>210</v>
      </c>
      <c r="X506" s="94"/>
      <c r="Y506" s="94"/>
      <c r="Z506" s="94"/>
      <c r="AA506" s="94"/>
      <c r="AB506" s="94"/>
      <c r="AC506" s="94"/>
      <c r="AD506" s="94"/>
      <c r="AE506" s="94"/>
      <c r="AF506" s="94"/>
      <c r="AG506" s="94"/>
      <c r="AH506" s="94"/>
      <c r="AI506" s="94"/>
      <c r="AJ506" s="94"/>
      <c r="AK506" s="94"/>
      <c r="AL506" s="94"/>
      <c r="AM506" s="94"/>
      <c r="AN506" s="94"/>
      <c r="AO506" s="94"/>
      <c r="AP506" s="94"/>
      <c r="AQ506" s="94"/>
      <c r="AR506" s="94"/>
      <c r="AS506" s="94"/>
      <c r="AT506" s="94"/>
      <c r="AU506" s="94"/>
      <c r="AV506" s="94"/>
      <c r="AW506" s="94"/>
      <c r="AX506" s="94"/>
      <c r="AY506" s="94"/>
      <c r="BA506" s="95"/>
    </row>
    <row r="507" spans="1:53" s="87" customFormat="1">
      <c r="A507" s="90" t="str">
        <f t="shared" si="55"/>
        <v/>
      </c>
      <c r="B507" s="98">
        <v>5</v>
      </c>
      <c r="C507" s="94">
        <v>-4</v>
      </c>
      <c r="D507" s="94">
        <v>1</v>
      </c>
      <c r="E507" s="94" t="s">
        <v>210</v>
      </c>
      <c r="F507" s="94" t="s">
        <v>210</v>
      </c>
      <c r="G507" s="94">
        <v>-5</v>
      </c>
      <c r="H507" s="94">
        <v>-2</v>
      </c>
      <c r="I507" s="94">
        <v>3</v>
      </c>
      <c r="J507" s="94" t="s">
        <v>210</v>
      </c>
      <c r="K507" s="94">
        <v>-4</v>
      </c>
      <c r="L507" s="94">
        <v>-2</v>
      </c>
      <c r="M507" s="94">
        <v>1</v>
      </c>
      <c r="N507" s="94" t="s">
        <v>210</v>
      </c>
      <c r="O507" s="94" t="s">
        <v>210</v>
      </c>
      <c r="P507" s="94">
        <v>5</v>
      </c>
      <c r="Q507" s="94">
        <v>4</v>
      </c>
      <c r="R507" s="94">
        <v>-3</v>
      </c>
      <c r="S507" s="94" t="s">
        <v>210</v>
      </c>
      <c r="T507" s="94">
        <v>5</v>
      </c>
      <c r="U507" s="94">
        <v>-1</v>
      </c>
      <c r="V507" s="94">
        <v>2</v>
      </c>
      <c r="W507" s="94" t="s">
        <v>210</v>
      </c>
      <c r="X507" s="94"/>
      <c r="Y507" s="94"/>
      <c r="Z507" s="94"/>
      <c r="AA507" s="94"/>
      <c r="AB507" s="94"/>
      <c r="AC507" s="94"/>
      <c r="AD507" s="94"/>
      <c r="AE507" s="94"/>
      <c r="AF507" s="94"/>
      <c r="AG507" s="94"/>
      <c r="AH507" s="94"/>
      <c r="AI507" s="94"/>
      <c r="AJ507" s="94"/>
      <c r="AK507" s="94"/>
      <c r="AL507" s="94"/>
      <c r="AM507" s="94"/>
      <c r="AN507" s="94"/>
      <c r="AO507" s="94"/>
      <c r="AP507" s="94"/>
      <c r="AQ507" s="94"/>
      <c r="AR507" s="94"/>
      <c r="AS507" s="94"/>
      <c r="AT507" s="94"/>
      <c r="AU507" s="94"/>
      <c r="AV507" s="94"/>
      <c r="AW507" s="94"/>
      <c r="AX507" s="94"/>
      <c r="AY507" s="94"/>
      <c r="BA507" s="95"/>
    </row>
    <row r="508" spans="1:53" s="87" customFormat="1">
      <c r="A508" s="90" t="str">
        <f t="shared" si="55"/>
        <v/>
      </c>
      <c r="B508" s="98">
        <v>6</v>
      </c>
      <c r="C508" s="94">
        <v>-2</v>
      </c>
      <c r="D508" s="94" t="s">
        <v>210</v>
      </c>
      <c r="E508" s="94">
        <v>5</v>
      </c>
      <c r="F508" s="94">
        <v>-4</v>
      </c>
      <c r="G508" s="94">
        <v>1</v>
      </c>
      <c r="H508" s="94" t="s">
        <v>210</v>
      </c>
      <c r="I508" s="94" t="s">
        <v>210</v>
      </c>
      <c r="J508" s="94">
        <v>-3</v>
      </c>
      <c r="K508" s="94">
        <v>-5</v>
      </c>
      <c r="L508" s="94">
        <v>-1</v>
      </c>
      <c r="M508" s="94" t="s">
        <v>210</v>
      </c>
      <c r="N508" s="94">
        <v>4</v>
      </c>
      <c r="O508" s="94">
        <v>2</v>
      </c>
      <c r="P508" s="94">
        <v>-5</v>
      </c>
      <c r="Q508" s="94" t="s">
        <v>210</v>
      </c>
      <c r="R508" s="94" t="s">
        <v>210</v>
      </c>
      <c r="S508" s="94">
        <v>1</v>
      </c>
      <c r="T508" s="94">
        <v>4</v>
      </c>
      <c r="U508" s="94">
        <v>-2</v>
      </c>
      <c r="V508" s="94" t="s">
        <v>210</v>
      </c>
      <c r="W508" s="94">
        <v>3</v>
      </c>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BA508" s="95"/>
    </row>
    <row r="509" spans="1:53" s="87" customFormat="1">
      <c r="A509" s="90" t="str">
        <f t="shared" si="55"/>
        <v/>
      </c>
      <c r="B509" s="98">
        <v>7</v>
      </c>
      <c r="C509" s="94">
        <v>-3</v>
      </c>
      <c r="D509" s="94" t="s">
        <v>210</v>
      </c>
      <c r="E509" s="94">
        <v>-1</v>
      </c>
      <c r="F509" s="94">
        <v>4</v>
      </c>
      <c r="G509" s="94">
        <v>5</v>
      </c>
      <c r="H509" s="94" t="s">
        <v>210</v>
      </c>
      <c r="I509" s="94" t="s">
        <v>210</v>
      </c>
      <c r="J509" s="94">
        <v>-1</v>
      </c>
      <c r="K509" s="94">
        <v>2</v>
      </c>
      <c r="L509" s="94">
        <v>5</v>
      </c>
      <c r="M509" s="94" t="s">
        <v>210</v>
      </c>
      <c r="N509" s="94">
        <v>3</v>
      </c>
      <c r="O509" s="94">
        <v>-4</v>
      </c>
      <c r="P509" s="94">
        <v>1</v>
      </c>
      <c r="Q509" s="94" t="s">
        <v>210</v>
      </c>
      <c r="R509" s="94" t="s">
        <v>210</v>
      </c>
      <c r="S509" s="94">
        <v>3</v>
      </c>
      <c r="T509" s="94">
        <v>-2</v>
      </c>
      <c r="U509" s="94">
        <v>-5</v>
      </c>
      <c r="V509" s="94" t="s">
        <v>210</v>
      </c>
      <c r="W509" s="94">
        <v>-4</v>
      </c>
      <c r="X509" s="94"/>
      <c r="Y509" s="94"/>
      <c r="Z509" s="94"/>
      <c r="AA509" s="94"/>
      <c r="AB509" s="94"/>
      <c r="AC509" s="94"/>
      <c r="AD509" s="94"/>
      <c r="AE509" s="94"/>
      <c r="AF509" s="94"/>
      <c r="AG509" s="94"/>
      <c r="AH509" s="94"/>
      <c r="AI509" s="94"/>
      <c r="AJ509" s="94"/>
      <c r="AK509" s="94"/>
      <c r="AL509" s="94"/>
      <c r="AM509" s="94"/>
      <c r="AN509" s="94"/>
      <c r="AO509" s="94"/>
      <c r="AP509" s="94"/>
      <c r="AQ509" s="94"/>
      <c r="AR509" s="94"/>
      <c r="AS509" s="94"/>
      <c r="AT509" s="94"/>
      <c r="AU509" s="94"/>
      <c r="AV509" s="94"/>
      <c r="AW509" s="94"/>
      <c r="AX509" s="94"/>
      <c r="AY509" s="94"/>
      <c r="BA509" s="95"/>
    </row>
    <row r="510" spans="1:53" s="87" customFormat="1">
      <c r="A510" s="90" t="str">
        <f t="shared" si="55"/>
        <v/>
      </c>
      <c r="B510" s="98">
        <v>8</v>
      </c>
      <c r="C510" s="94">
        <v>3</v>
      </c>
      <c r="D510" s="94" t="s">
        <v>210</v>
      </c>
      <c r="E510" s="94">
        <v>-5</v>
      </c>
      <c r="F510" s="94">
        <v>-1</v>
      </c>
      <c r="G510" s="94">
        <v>2</v>
      </c>
      <c r="H510" s="94" t="s">
        <v>210</v>
      </c>
      <c r="I510" s="94" t="s">
        <v>210</v>
      </c>
      <c r="J510" s="94">
        <v>-4</v>
      </c>
      <c r="K510" s="94">
        <v>-3</v>
      </c>
      <c r="L510" s="94">
        <v>2</v>
      </c>
      <c r="M510" s="94" t="s">
        <v>210</v>
      </c>
      <c r="N510" s="94">
        <v>5</v>
      </c>
      <c r="O510" s="94">
        <v>1</v>
      </c>
      <c r="P510" s="94">
        <v>-3</v>
      </c>
      <c r="Q510" s="94" t="s">
        <v>210</v>
      </c>
      <c r="R510" s="94" t="s">
        <v>210</v>
      </c>
      <c r="S510" s="94">
        <v>5</v>
      </c>
      <c r="T510" s="94">
        <v>-1</v>
      </c>
      <c r="U510" s="94">
        <v>4</v>
      </c>
      <c r="V510" s="94" t="s">
        <v>210</v>
      </c>
      <c r="W510" s="94">
        <v>-2</v>
      </c>
      <c r="X510" s="94"/>
      <c r="Y510" s="94"/>
      <c r="Z510" s="94"/>
      <c r="AA510" s="94"/>
      <c r="AB510" s="94"/>
      <c r="AC510" s="94"/>
      <c r="AD510" s="94"/>
      <c r="AE510" s="94"/>
      <c r="AF510" s="94"/>
      <c r="AG510" s="94"/>
      <c r="AH510" s="94"/>
      <c r="AI510" s="94"/>
      <c r="AJ510" s="94"/>
      <c r="AK510" s="94"/>
      <c r="AL510" s="94"/>
      <c r="AM510" s="94"/>
      <c r="AN510" s="94"/>
      <c r="AO510" s="94"/>
      <c r="AP510" s="94"/>
      <c r="AQ510" s="94"/>
      <c r="AR510" s="94"/>
      <c r="AS510" s="94"/>
      <c r="AT510" s="94"/>
      <c r="AU510" s="94"/>
      <c r="AV510" s="94"/>
      <c r="AW510" s="94"/>
      <c r="AX510" s="94"/>
      <c r="AY510" s="94"/>
      <c r="BA510" s="95"/>
    </row>
    <row r="511" spans="1:53" s="87" customFormat="1">
      <c r="A511" s="90" t="str">
        <f t="shared" si="55"/>
        <v/>
      </c>
      <c r="B511" s="98">
        <v>9</v>
      </c>
      <c r="C511" s="94">
        <v>5</v>
      </c>
      <c r="D511" s="94" t="s">
        <v>210</v>
      </c>
      <c r="E511" s="94">
        <v>-4</v>
      </c>
      <c r="F511" s="94">
        <v>-3</v>
      </c>
      <c r="G511" s="94">
        <v>-1</v>
      </c>
      <c r="H511" s="94" t="s">
        <v>210</v>
      </c>
      <c r="I511" s="94" t="s">
        <v>210</v>
      </c>
      <c r="J511" s="94">
        <v>4</v>
      </c>
      <c r="K511" s="94">
        <v>-2</v>
      </c>
      <c r="L511" s="94">
        <v>3</v>
      </c>
      <c r="M511" s="94" t="s">
        <v>210</v>
      </c>
      <c r="N511" s="94">
        <v>1</v>
      </c>
      <c r="O511" s="94">
        <v>-5</v>
      </c>
      <c r="P511" s="94">
        <v>2</v>
      </c>
      <c r="Q511" s="94" t="s">
        <v>210</v>
      </c>
      <c r="R511" s="94" t="s">
        <v>210</v>
      </c>
      <c r="S511" s="94">
        <v>4</v>
      </c>
      <c r="T511" s="94">
        <v>-3</v>
      </c>
      <c r="U511" s="94">
        <v>1</v>
      </c>
      <c r="V511" s="94" t="s">
        <v>210</v>
      </c>
      <c r="W511" s="94">
        <v>-5</v>
      </c>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BA511" s="95"/>
    </row>
    <row r="512" spans="1:53" s="87" customFormat="1">
      <c r="A512" s="90" t="str">
        <f t="shared" si="55"/>
        <v/>
      </c>
      <c r="B512" s="98">
        <v>10</v>
      </c>
      <c r="C512" s="94">
        <v>1</v>
      </c>
      <c r="D512" s="94" t="s">
        <v>210</v>
      </c>
      <c r="E512" s="94">
        <v>4</v>
      </c>
      <c r="F512" s="94">
        <v>5</v>
      </c>
      <c r="G512" s="94">
        <v>-2</v>
      </c>
      <c r="H512" s="94" t="s">
        <v>210</v>
      </c>
      <c r="I512" s="94" t="s">
        <v>210</v>
      </c>
      <c r="J512" s="94">
        <v>1</v>
      </c>
      <c r="K512" s="94">
        <v>5</v>
      </c>
      <c r="L512" s="94">
        <v>-4</v>
      </c>
      <c r="M512" s="94" t="s">
        <v>210</v>
      </c>
      <c r="N512" s="94">
        <v>-2</v>
      </c>
      <c r="O512" s="94">
        <v>3</v>
      </c>
      <c r="P512" s="94">
        <v>-4</v>
      </c>
      <c r="Q512" s="94" t="s">
        <v>210</v>
      </c>
      <c r="R512" s="94" t="s">
        <v>210</v>
      </c>
      <c r="S512" s="94">
        <v>2</v>
      </c>
      <c r="T512" s="94">
        <v>-5</v>
      </c>
      <c r="U512" s="94">
        <v>-3</v>
      </c>
      <c r="V512" s="94" t="s">
        <v>210</v>
      </c>
      <c r="W512" s="94">
        <v>-1</v>
      </c>
      <c r="X512" s="94"/>
      <c r="Y512" s="94"/>
      <c r="Z512" s="94"/>
      <c r="AA512" s="94"/>
      <c r="AB512" s="94"/>
      <c r="AC512" s="94"/>
      <c r="AD512" s="94"/>
      <c r="AE512" s="94"/>
      <c r="AF512" s="94"/>
      <c r="AG512" s="94"/>
      <c r="AH512" s="94"/>
      <c r="AI512" s="94"/>
      <c r="AJ512" s="94"/>
      <c r="AK512" s="94"/>
      <c r="AL512" s="94"/>
      <c r="AM512" s="94"/>
      <c r="AN512" s="94"/>
      <c r="AO512" s="94"/>
      <c r="AP512" s="94"/>
      <c r="AQ512" s="94"/>
      <c r="AR512" s="94"/>
      <c r="AS512" s="94"/>
      <c r="AT512" s="94"/>
      <c r="AU512" s="94"/>
      <c r="AV512" s="94"/>
      <c r="AW512" s="94"/>
      <c r="AX512" s="94"/>
      <c r="AY512" s="94"/>
      <c r="BA512" s="95"/>
    </row>
    <row r="513" spans="1:53" s="87" customFormat="1">
      <c r="A513" s="90" t="str">
        <f t="shared" si="55"/>
        <v/>
      </c>
      <c r="B513" s="98">
        <v>11</v>
      </c>
      <c r="C513" s="94" t="s">
        <v>210</v>
      </c>
      <c r="D513" s="94">
        <v>5</v>
      </c>
      <c r="E513" s="94">
        <v>3</v>
      </c>
      <c r="F513" s="94">
        <v>1</v>
      </c>
      <c r="G513" s="94" t="s">
        <v>210</v>
      </c>
      <c r="H513" s="94">
        <v>-4</v>
      </c>
      <c r="I513" s="94">
        <v>-3</v>
      </c>
      <c r="J513" s="94">
        <v>-5</v>
      </c>
      <c r="K513" s="94" t="s">
        <v>210</v>
      </c>
      <c r="L513" s="94" t="s">
        <v>210</v>
      </c>
      <c r="M513" s="94">
        <v>2</v>
      </c>
      <c r="N513" s="94">
        <v>-1</v>
      </c>
      <c r="O513" s="94">
        <v>4</v>
      </c>
      <c r="P513" s="94" t="s">
        <v>210</v>
      </c>
      <c r="Q513" s="94">
        <v>5</v>
      </c>
      <c r="R513" s="94">
        <v>1</v>
      </c>
      <c r="S513" s="94">
        <v>-2</v>
      </c>
      <c r="T513" s="94" t="s">
        <v>210</v>
      </c>
      <c r="U513" s="94" t="s">
        <v>210</v>
      </c>
      <c r="V513" s="94">
        <v>-4</v>
      </c>
      <c r="W513" s="94">
        <v>-3</v>
      </c>
      <c r="X513" s="94"/>
      <c r="Y513" s="94"/>
      <c r="Z513" s="94"/>
      <c r="AA513" s="94"/>
      <c r="AB513" s="94"/>
      <c r="AC513" s="94"/>
      <c r="AD513" s="94"/>
      <c r="AE513" s="94"/>
      <c r="AF513" s="94"/>
      <c r="AG513" s="94"/>
      <c r="AH513" s="94"/>
      <c r="AI513" s="94"/>
      <c r="AJ513" s="94"/>
      <c r="AK513" s="94"/>
      <c r="AL513" s="94"/>
      <c r="AM513" s="94"/>
      <c r="AN513" s="94"/>
      <c r="AO513" s="94"/>
      <c r="AP513" s="94"/>
      <c r="AQ513" s="94"/>
      <c r="AR513" s="94"/>
      <c r="AS513" s="94"/>
      <c r="AT513" s="94"/>
      <c r="AU513" s="94"/>
      <c r="AV513" s="94"/>
      <c r="AW513" s="94"/>
      <c r="AX513" s="94"/>
      <c r="AY513" s="94"/>
      <c r="BA513" s="95"/>
    </row>
    <row r="514" spans="1:53" s="87" customFormat="1">
      <c r="A514" s="90" t="str">
        <f t="shared" si="55"/>
        <v/>
      </c>
      <c r="B514" s="98">
        <v>12</v>
      </c>
      <c r="C514" s="94" t="s">
        <v>210</v>
      </c>
      <c r="D514" s="94">
        <v>-5</v>
      </c>
      <c r="E514" s="94">
        <v>-2</v>
      </c>
      <c r="F514" s="94">
        <v>3</v>
      </c>
      <c r="G514" s="94" t="s">
        <v>210</v>
      </c>
      <c r="H514" s="94">
        <v>1</v>
      </c>
      <c r="I514" s="94">
        <v>-4</v>
      </c>
      <c r="J514" s="94">
        <v>2</v>
      </c>
      <c r="K514" s="94" t="s">
        <v>210</v>
      </c>
      <c r="L514" s="94" t="s">
        <v>210</v>
      </c>
      <c r="M514" s="94">
        <v>-1</v>
      </c>
      <c r="N514" s="94">
        <v>-5</v>
      </c>
      <c r="O514" s="94">
        <v>-3</v>
      </c>
      <c r="P514" s="94" t="s">
        <v>210</v>
      </c>
      <c r="Q514" s="94">
        <v>2</v>
      </c>
      <c r="R514" s="94">
        <v>5</v>
      </c>
      <c r="S514" s="94">
        <v>-1</v>
      </c>
      <c r="T514" s="94" t="s">
        <v>210</v>
      </c>
      <c r="U514" s="94" t="s">
        <v>210</v>
      </c>
      <c r="V514" s="94">
        <v>3</v>
      </c>
      <c r="W514" s="94">
        <v>4</v>
      </c>
      <c r="X514" s="94"/>
      <c r="Y514" s="94"/>
      <c r="Z514" s="94"/>
      <c r="AA514" s="94"/>
      <c r="AB514" s="94"/>
      <c r="AC514" s="94"/>
      <c r="AD514" s="94"/>
      <c r="AE514" s="94"/>
      <c r="AF514" s="94"/>
      <c r="AG514" s="94"/>
      <c r="AH514" s="94"/>
      <c r="AI514" s="94"/>
      <c r="AJ514" s="94"/>
      <c r="AK514" s="94"/>
      <c r="AL514" s="94"/>
      <c r="AM514" s="94"/>
      <c r="AN514" s="94"/>
      <c r="AO514" s="94"/>
      <c r="AP514" s="94"/>
      <c r="AQ514" s="94"/>
      <c r="AR514" s="94"/>
      <c r="AS514" s="94"/>
      <c r="AT514" s="94"/>
      <c r="AU514" s="94"/>
      <c r="AV514" s="94"/>
      <c r="AW514" s="94"/>
      <c r="AX514" s="94"/>
      <c r="AY514" s="94"/>
      <c r="BA514" s="95"/>
    </row>
    <row r="515" spans="1:53" s="87" customFormat="1">
      <c r="A515" s="90" t="str">
        <f t="shared" si="55"/>
        <v/>
      </c>
      <c r="B515" s="98">
        <v>13</v>
      </c>
      <c r="C515" s="94" t="s">
        <v>210</v>
      </c>
      <c r="D515" s="94">
        <v>4</v>
      </c>
      <c r="E515" s="94">
        <v>2</v>
      </c>
      <c r="F515" s="94">
        <v>-5</v>
      </c>
      <c r="G515" s="94" t="s">
        <v>210</v>
      </c>
      <c r="H515" s="94">
        <v>-3</v>
      </c>
      <c r="I515" s="94">
        <v>1</v>
      </c>
      <c r="J515" s="94">
        <v>5</v>
      </c>
      <c r="K515" s="94" t="s">
        <v>210</v>
      </c>
      <c r="L515" s="94" t="s">
        <v>210</v>
      </c>
      <c r="M515" s="94">
        <v>4</v>
      </c>
      <c r="N515" s="94">
        <v>-3</v>
      </c>
      <c r="O515" s="94">
        <v>-2</v>
      </c>
      <c r="P515" s="94" t="s">
        <v>210</v>
      </c>
      <c r="Q515" s="94">
        <v>-1</v>
      </c>
      <c r="R515" s="94">
        <v>3</v>
      </c>
      <c r="S515" s="94">
        <v>-4</v>
      </c>
      <c r="T515" s="94" t="s">
        <v>210</v>
      </c>
      <c r="U515" s="94" t="s">
        <v>210</v>
      </c>
      <c r="V515" s="94">
        <v>-5</v>
      </c>
      <c r="W515" s="94">
        <v>2</v>
      </c>
      <c r="X515" s="94"/>
      <c r="Y515" s="94"/>
      <c r="Z515" s="94"/>
      <c r="AA515" s="94"/>
      <c r="AB515" s="94"/>
      <c r="AC515" s="94"/>
      <c r="AD515" s="94"/>
      <c r="AE515" s="94"/>
      <c r="AF515" s="94"/>
      <c r="AG515" s="94"/>
      <c r="AH515" s="94"/>
      <c r="AI515" s="94"/>
      <c r="AJ515" s="94"/>
      <c r="AK515" s="94"/>
      <c r="AL515" s="94"/>
      <c r="AM515" s="94"/>
      <c r="AN515" s="94"/>
      <c r="AO515" s="94"/>
      <c r="AP515" s="94"/>
      <c r="AQ515" s="94"/>
      <c r="AR515" s="94"/>
      <c r="AS515" s="94"/>
      <c r="AT515" s="94"/>
      <c r="AU515" s="94"/>
      <c r="AV515" s="94"/>
      <c r="AW515" s="94"/>
      <c r="AX515" s="94"/>
      <c r="AY515" s="94"/>
      <c r="BA515" s="95"/>
    </row>
    <row r="516" spans="1:53" s="87" customFormat="1">
      <c r="A516" s="90" t="str">
        <f t="shared" si="55"/>
        <v/>
      </c>
      <c r="B516" s="98">
        <v>14</v>
      </c>
      <c r="C516" s="94" t="s">
        <v>210</v>
      </c>
      <c r="D516" s="94">
        <v>-4</v>
      </c>
      <c r="E516" s="94">
        <v>-3</v>
      </c>
      <c r="F516" s="94">
        <v>-2</v>
      </c>
      <c r="G516" s="94" t="s">
        <v>210</v>
      </c>
      <c r="H516" s="94">
        <v>5</v>
      </c>
      <c r="I516" s="94">
        <v>4</v>
      </c>
      <c r="J516" s="94">
        <v>3</v>
      </c>
      <c r="K516" s="94" t="s">
        <v>210</v>
      </c>
      <c r="L516" s="94" t="s">
        <v>210</v>
      </c>
      <c r="M516" s="94">
        <v>-5</v>
      </c>
      <c r="N516" s="94">
        <v>2</v>
      </c>
      <c r="O516" s="94">
        <v>-1</v>
      </c>
      <c r="P516" s="94" t="s">
        <v>210</v>
      </c>
      <c r="Q516" s="94">
        <v>-4</v>
      </c>
      <c r="R516" s="94">
        <v>2</v>
      </c>
      <c r="S516" s="94">
        <v>-3</v>
      </c>
      <c r="T516" s="94" t="s">
        <v>210</v>
      </c>
      <c r="U516" s="94" t="s">
        <v>210</v>
      </c>
      <c r="V516" s="94">
        <v>1</v>
      </c>
      <c r="W516" s="94">
        <v>5</v>
      </c>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BA516" s="95"/>
    </row>
    <row r="517" spans="1:53" s="87" customFormat="1">
      <c r="A517" s="90" t="str">
        <f t="shared" si="55"/>
        <v/>
      </c>
      <c r="B517" s="98">
        <v>15</v>
      </c>
      <c r="C517" s="94" t="s">
        <v>210</v>
      </c>
      <c r="D517" s="94">
        <v>-3</v>
      </c>
      <c r="E517" s="94">
        <v>1</v>
      </c>
      <c r="F517" s="94">
        <v>2</v>
      </c>
      <c r="G517" s="94" t="s">
        <v>210</v>
      </c>
      <c r="H517" s="94">
        <v>4</v>
      </c>
      <c r="I517" s="94">
        <v>-1</v>
      </c>
      <c r="J517" s="94">
        <v>-2</v>
      </c>
      <c r="K517" s="94" t="s">
        <v>210</v>
      </c>
      <c r="L517" s="94" t="s">
        <v>210</v>
      </c>
      <c r="M517" s="94">
        <v>3</v>
      </c>
      <c r="N517" s="94">
        <v>-4</v>
      </c>
      <c r="O517" s="94">
        <v>5</v>
      </c>
      <c r="P517" s="94" t="s">
        <v>210</v>
      </c>
      <c r="Q517" s="94">
        <v>3</v>
      </c>
      <c r="R517" s="94">
        <v>-4</v>
      </c>
      <c r="S517" s="94">
        <v>-5</v>
      </c>
      <c r="T517" s="94" t="s">
        <v>210</v>
      </c>
      <c r="U517" s="94" t="s">
        <v>210</v>
      </c>
      <c r="V517" s="94">
        <v>-2</v>
      </c>
      <c r="W517" s="94">
        <v>1</v>
      </c>
      <c r="X517" s="94"/>
      <c r="Y517" s="94"/>
      <c r="Z517" s="94"/>
      <c r="AA517" s="94"/>
      <c r="AB517" s="94"/>
      <c r="AC517" s="94"/>
      <c r="AD517" s="94"/>
      <c r="AE517" s="94"/>
      <c r="AF517" s="94"/>
      <c r="AG517" s="94"/>
      <c r="AH517" s="94"/>
      <c r="AI517" s="94"/>
      <c r="AJ517" s="94"/>
      <c r="AK517" s="94"/>
      <c r="AL517" s="94"/>
      <c r="AM517" s="94"/>
      <c r="AN517" s="94"/>
      <c r="AO517" s="94"/>
      <c r="AP517" s="94"/>
      <c r="AQ517" s="94"/>
      <c r="AR517" s="94"/>
      <c r="AS517" s="94"/>
      <c r="AT517" s="94"/>
      <c r="AU517" s="94"/>
      <c r="AV517" s="94"/>
      <c r="AW517" s="94"/>
      <c r="AX517" s="94"/>
      <c r="AY517" s="94"/>
      <c r="BA517" s="95"/>
    </row>
    <row r="518" spans="1:53" s="87" customFormat="1">
      <c r="A518" s="90" t="str">
        <f t="shared" si="55"/>
        <v/>
      </c>
      <c r="B518" s="249" t="s">
        <v>796</v>
      </c>
      <c r="C518" s="94"/>
      <c r="D518" s="94"/>
      <c r="E518" s="94"/>
      <c r="F518" s="94"/>
      <c r="G518" s="94"/>
      <c r="H518" s="94"/>
      <c r="I518" s="94"/>
      <c r="J518" s="94"/>
      <c r="K518" s="94"/>
      <c r="L518" s="94"/>
      <c r="M518" s="94"/>
      <c r="N518" s="94"/>
      <c r="O518" s="94"/>
      <c r="P518" s="94"/>
      <c r="Q518" s="94"/>
      <c r="R518" s="94"/>
      <c r="S518" s="94"/>
      <c r="T518" s="94"/>
      <c r="U518" s="94"/>
      <c r="V518" s="94"/>
      <c r="W518" s="94"/>
      <c r="X518" s="94"/>
      <c r="Y518" s="94"/>
      <c r="Z518" s="94"/>
      <c r="AA518" s="94"/>
      <c r="AB518" s="94"/>
      <c r="AC518" s="94"/>
      <c r="AD518" s="94"/>
      <c r="AE518" s="94"/>
      <c r="AF518" s="94"/>
      <c r="AG518" s="94"/>
      <c r="AH518" s="94"/>
      <c r="AI518" s="94"/>
      <c r="AJ518" s="94"/>
      <c r="AK518" s="94"/>
      <c r="AL518" s="94"/>
      <c r="AM518" s="94"/>
      <c r="AN518" s="94"/>
      <c r="AO518" s="94"/>
      <c r="AP518" s="94"/>
      <c r="AQ518" s="94"/>
      <c r="AR518" s="94"/>
      <c r="AS518" s="94"/>
      <c r="AT518" s="94"/>
      <c r="AU518" s="94"/>
      <c r="AV518" s="94"/>
      <c r="AW518" s="94"/>
      <c r="AX518" s="94"/>
      <c r="AY518" s="94"/>
      <c r="BA518" s="95"/>
    </row>
    <row r="519" spans="1:53" s="87" customFormat="1">
      <c r="A519" s="90">
        <f t="shared" si="55"/>
        <v>519</v>
      </c>
      <c r="B519" s="317" t="s">
        <v>1116</v>
      </c>
      <c r="C519" s="94"/>
      <c r="D519" s="94"/>
      <c r="E519" s="94"/>
      <c r="F519" s="94"/>
      <c r="G519" s="94"/>
      <c r="H519" s="94"/>
      <c r="I519" s="94"/>
      <c r="J519" s="94"/>
      <c r="K519" s="94"/>
      <c r="L519" s="94"/>
      <c r="M519" s="94"/>
      <c r="N519" s="94"/>
      <c r="O519" s="94"/>
      <c r="P519" s="94"/>
      <c r="Q519" s="94"/>
      <c r="R519" s="94"/>
      <c r="S519" s="94"/>
      <c r="T519" s="94"/>
      <c r="U519" s="94"/>
      <c r="V519" s="94"/>
      <c r="W519" s="94"/>
      <c r="X519" s="94"/>
      <c r="Y519" s="94"/>
      <c r="Z519" s="94"/>
      <c r="AA519" s="94"/>
      <c r="AB519" s="94"/>
      <c r="AC519" s="94"/>
      <c r="AD519" s="94"/>
      <c r="AE519" s="94"/>
      <c r="AF519" s="94"/>
      <c r="AG519" s="94"/>
      <c r="AH519" s="94"/>
      <c r="AI519" s="94"/>
      <c r="AJ519" s="94"/>
      <c r="AK519" s="94"/>
      <c r="AL519" s="94"/>
      <c r="AM519" s="94"/>
      <c r="AN519" s="94"/>
      <c r="AO519" s="94"/>
      <c r="AP519" s="94"/>
      <c r="AQ519" s="94"/>
      <c r="AR519" s="94"/>
      <c r="AS519" s="94"/>
      <c r="AT519" s="94"/>
      <c r="AU519" s="94"/>
      <c r="AV519" s="94"/>
      <c r="AW519" s="94"/>
      <c r="AX519" s="94"/>
      <c r="AY519" s="94"/>
      <c r="BA519" s="95"/>
    </row>
    <row r="520" spans="1:53" s="87" customFormat="1">
      <c r="A520" s="90" t="str">
        <f t="shared" si="55"/>
        <v/>
      </c>
      <c r="B520" s="98">
        <v>1</v>
      </c>
      <c r="C520" s="94" t="s">
        <v>210</v>
      </c>
      <c r="D520" s="94">
        <v>-4</v>
      </c>
      <c r="E520" s="94">
        <v>-3</v>
      </c>
      <c r="F520" s="94" t="s">
        <v>210</v>
      </c>
      <c r="G520" s="94">
        <v>1</v>
      </c>
      <c r="H520" s="94" t="s">
        <v>210</v>
      </c>
      <c r="I520" s="94"/>
      <c r="J520" s="94">
        <v>2</v>
      </c>
      <c r="K520" s="94">
        <v>3</v>
      </c>
      <c r="L520" s="94" t="s">
        <v>210</v>
      </c>
      <c r="M520" s="94"/>
      <c r="N520" s="94"/>
      <c r="O520" s="94"/>
      <c r="P520" s="94"/>
      <c r="Q520" s="94"/>
      <c r="R520" s="94"/>
      <c r="S520" s="94"/>
      <c r="T520" s="94"/>
      <c r="U520" s="94"/>
      <c r="V520" s="94"/>
      <c r="W520" s="94"/>
      <c r="X520" s="94"/>
      <c r="Y520" s="94"/>
      <c r="Z520" s="94"/>
      <c r="AA520" s="94"/>
      <c r="AB520" s="94"/>
      <c r="AC520" s="94"/>
      <c r="AD520" s="94"/>
      <c r="AE520" s="94"/>
      <c r="AF520" s="94"/>
      <c r="AG520" s="94"/>
      <c r="AH520" s="94"/>
      <c r="AI520" s="94"/>
      <c r="AJ520" s="94"/>
      <c r="AK520" s="94"/>
      <c r="AL520" s="94"/>
      <c r="AM520" s="94"/>
      <c r="AN520" s="94"/>
      <c r="AO520" s="94"/>
      <c r="AP520" s="94"/>
      <c r="AQ520" s="94"/>
      <c r="AR520" s="94"/>
      <c r="AS520" s="94"/>
      <c r="AT520" s="94"/>
      <c r="AU520" s="94"/>
      <c r="AV520" s="94"/>
      <c r="AW520" s="94"/>
      <c r="AX520" s="94"/>
      <c r="AY520" s="94"/>
      <c r="BA520" s="95"/>
    </row>
    <row r="521" spans="1:53" s="87" customFormat="1">
      <c r="A521" s="90" t="str">
        <f t="shared" si="55"/>
        <v/>
      </c>
      <c r="B521" s="98">
        <v>2</v>
      </c>
      <c r="C521" s="94" t="s">
        <v>210</v>
      </c>
      <c r="D521" s="94">
        <v>-2</v>
      </c>
      <c r="E521" s="94">
        <v>5</v>
      </c>
      <c r="F521" s="94" t="s">
        <v>210</v>
      </c>
      <c r="G521" s="94">
        <v>3</v>
      </c>
      <c r="H521" s="94" t="s">
        <v>210</v>
      </c>
      <c r="I521" s="94"/>
      <c r="J521" s="94">
        <v>4</v>
      </c>
      <c r="K521" s="94">
        <v>-3</v>
      </c>
      <c r="L521" s="94" t="s">
        <v>210</v>
      </c>
      <c r="M521" s="94"/>
      <c r="N521" s="94"/>
      <c r="O521" s="94"/>
      <c r="P521" s="94"/>
      <c r="Q521" s="94"/>
      <c r="R521" s="94"/>
      <c r="S521" s="94"/>
      <c r="T521" s="94"/>
      <c r="U521" s="94"/>
      <c r="V521" s="94"/>
      <c r="W521" s="94"/>
      <c r="X521" s="94"/>
      <c r="Y521" s="94"/>
      <c r="Z521" s="94"/>
      <c r="AA521" s="94"/>
      <c r="AB521" s="94"/>
      <c r="AC521" s="94"/>
      <c r="AD521" s="94"/>
      <c r="AE521" s="94"/>
      <c r="AF521" s="94"/>
      <c r="AG521" s="94"/>
      <c r="AH521" s="94"/>
      <c r="AI521" s="94"/>
      <c r="AJ521" s="94"/>
      <c r="AK521" s="94"/>
      <c r="AL521" s="94"/>
      <c r="AM521" s="94"/>
      <c r="AN521" s="94"/>
      <c r="AO521" s="94"/>
      <c r="AP521" s="94"/>
      <c r="AQ521" s="94"/>
      <c r="AR521" s="94"/>
      <c r="AS521" s="94"/>
      <c r="AT521" s="94"/>
      <c r="AU521" s="94"/>
      <c r="AV521" s="94"/>
      <c r="AW521" s="94"/>
      <c r="AX521" s="94"/>
      <c r="AY521" s="94"/>
      <c r="BA521" s="95"/>
    </row>
    <row r="522" spans="1:53" s="87" customFormat="1">
      <c r="A522" s="90" t="str">
        <f t="shared" si="55"/>
        <v/>
      </c>
      <c r="B522" s="98">
        <v>3</v>
      </c>
      <c r="C522" s="94">
        <v>1</v>
      </c>
      <c r="D522" s="94" t="s">
        <v>210</v>
      </c>
      <c r="E522" s="94">
        <v>-4</v>
      </c>
      <c r="F522" s="94" t="s">
        <v>210</v>
      </c>
      <c r="G522" s="94">
        <v>-3</v>
      </c>
      <c r="H522" s="94" t="s">
        <v>210</v>
      </c>
      <c r="I522" s="94"/>
      <c r="J522" s="94">
        <v>-2</v>
      </c>
      <c r="K522" s="94" t="s">
        <v>210</v>
      </c>
      <c r="L522" s="94">
        <v>4</v>
      </c>
      <c r="M522" s="94"/>
      <c r="N522" s="94"/>
      <c r="O522" s="94"/>
      <c r="P522" s="94"/>
      <c r="Q522" s="94"/>
      <c r="R522" s="94"/>
      <c r="S522" s="94"/>
      <c r="T522" s="94"/>
      <c r="U522" s="94"/>
      <c r="V522" s="94"/>
      <c r="W522" s="94"/>
      <c r="X522" s="94"/>
      <c r="Y522" s="94"/>
      <c r="Z522" s="94"/>
      <c r="AA522" s="94"/>
      <c r="AB522" s="94"/>
      <c r="AC522" s="94"/>
      <c r="AD522" s="94"/>
      <c r="AE522" s="94"/>
      <c r="AF522" s="94"/>
      <c r="AG522" s="94"/>
      <c r="AH522" s="94"/>
      <c r="AI522" s="94"/>
      <c r="AJ522" s="94"/>
      <c r="AK522" s="94"/>
      <c r="AL522" s="94"/>
      <c r="AM522" s="94"/>
      <c r="AN522" s="94"/>
      <c r="AO522" s="94"/>
      <c r="AP522" s="94"/>
      <c r="AQ522" s="94"/>
      <c r="AR522" s="94"/>
      <c r="AS522" s="94"/>
      <c r="AT522" s="94"/>
      <c r="AU522" s="94"/>
      <c r="AV522" s="94"/>
      <c r="AW522" s="94"/>
      <c r="AX522" s="94"/>
      <c r="AY522" s="94"/>
      <c r="BA522" s="95"/>
    </row>
    <row r="523" spans="1:53" s="87" customFormat="1">
      <c r="A523" s="90" t="str">
        <f t="shared" si="55"/>
        <v/>
      </c>
      <c r="B523" s="98">
        <v>4</v>
      </c>
      <c r="C523" s="94" t="s">
        <v>210</v>
      </c>
      <c r="D523" s="94">
        <v>4</v>
      </c>
      <c r="E523" s="94">
        <v>-5</v>
      </c>
      <c r="F523" s="94" t="s">
        <v>210</v>
      </c>
      <c r="G523" s="94">
        <v>2</v>
      </c>
      <c r="H523" s="94" t="s">
        <v>210</v>
      </c>
      <c r="I523" s="94">
        <v>3</v>
      </c>
      <c r="J523" s="94" t="s">
        <v>210</v>
      </c>
      <c r="K523" s="94" t="s">
        <v>210</v>
      </c>
      <c r="L523" s="94">
        <v>-4</v>
      </c>
      <c r="M523" s="94"/>
      <c r="N523" s="94"/>
      <c r="O523" s="94"/>
      <c r="P523" s="94"/>
      <c r="Q523" s="94"/>
      <c r="R523" s="94"/>
      <c r="S523" s="94"/>
      <c r="T523" s="94"/>
      <c r="U523" s="94"/>
      <c r="V523" s="94"/>
      <c r="W523" s="94"/>
      <c r="X523" s="94"/>
      <c r="Y523" s="94"/>
      <c r="Z523" s="94"/>
      <c r="AA523" s="94"/>
      <c r="AB523" s="94"/>
      <c r="AC523" s="94"/>
      <c r="AD523" s="94"/>
      <c r="AE523" s="94"/>
      <c r="AF523" s="94"/>
      <c r="AG523" s="94"/>
      <c r="AH523" s="94"/>
      <c r="AI523" s="94"/>
      <c r="AJ523" s="94"/>
      <c r="AK523" s="94"/>
      <c r="AL523" s="94"/>
      <c r="AM523" s="94"/>
      <c r="AN523" s="94"/>
      <c r="AO523" s="94"/>
      <c r="AP523" s="94"/>
      <c r="AQ523" s="94"/>
      <c r="AR523" s="94"/>
      <c r="AS523" s="94"/>
      <c r="AT523" s="94"/>
      <c r="AU523" s="94"/>
      <c r="AV523" s="94"/>
      <c r="AW523" s="94"/>
      <c r="AX523" s="94"/>
      <c r="AY523" s="94"/>
      <c r="BA523" s="95"/>
    </row>
    <row r="524" spans="1:53" s="87" customFormat="1">
      <c r="A524" s="90" t="str">
        <f t="shared" ref="A524:A587" si="56">IF(MID(B524,3,2)="05",ROW(),"")</f>
        <v/>
      </c>
      <c r="B524" s="98">
        <v>5</v>
      </c>
      <c r="C524" s="94">
        <v>-1</v>
      </c>
      <c r="D524" s="94" t="s">
        <v>210</v>
      </c>
      <c r="E524" s="94">
        <v>3</v>
      </c>
      <c r="F524" s="94" t="s">
        <v>210</v>
      </c>
      <c r="G524" s="94">
        <v>-2</v>
      </c>
      <c r="H524" s="94" t="s">
        <v>210</v>
      </c>
      <c r="I524" s="363" t="s">
        <v>210</v>
      </c>
      <c r="J524" s="94">
        <v>-4</v>
      </c>
      <c r="K524" s="94" t="s">
        <v>210</v>
      </c>
      <c r="L524" s="94">
        <v>2</v>
      </c>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BA524" s="95"/>
    </row>
    <row r="525" spans="1:53" s="87" customFormat="1">
      <c r="A525" s="90" t="str">
        <f t="shared" si="56"/>
        <v/>
      </c>
      <c r="B525" s="99">
        <v>6</v>
      </c>
      <c r="C525" s="92" t="s">
        <v>210</v>
      </c>
      <c r="D525" s="92">
        <v>2</v>
      </c>
      <c r="E525" s="92">
        <v>4</v>
      </c>
      <c r="F525" s="92" t="s">
        <v>210</v>
      </c>
      <c r="G525" s="92">
        <v>-1</v>
      </c>
      <c r="H525" s="92" t="s">
        <v>210</v>
      </c>
      <c r="I525" s="92">
        <v>-3</v>
      </c>
      <c r="J525" s="92" t="s">
        <v>210</v>
      </c>
      <c r="K525" s="92" t="s">
        <v>210</v>
      </c>
      <c r="L525" s="92">
        <v>-2</v>
      </c>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BA525" s="95"/>
    </row>
    <row r="526" spans="1:53" s="87" customFormat="1">
      <c r="A526" s="90" t="str">
        <f t="shared" si="56"/>
        <v/>
      </c>
      <c r="B526" s="98">
        <v>7</v>
      </c>
      <c r="C526" s="94">
        <v>3</v>
      </c>
      <c r="D526" s="94" t="s">
        <v>210</v>
      </c>
      <c r="E526" s="94" t="s">
        <v>210</v>
      </c>
      <c r="F526" s="94">
        <v>2</v>
      </c>
      <c r="G526" s="94">
        <v>-4</v>
      </c>
      <c r="H526" s="94" t="s">
        <v>210</v>
      </c>
      <c r="I526" s="94">
        <v>-5</v>
      </c>
      <c r="J526" s="94" t="s">
        <v>210</v>
      </c>
      <c r="K526" s="94">
        <v>-2</v>
      </c>
      <c r="L526" s="94" t="s">
        <v>210</v>
      </c>
      <c r="M526" s="94"/>
      <c r="N526" s="94"/>
      <c r="O526" s="94"/>
      <c r="P526" s="94"/>
      <c r="Q526" s="94"/>
      <c r="R526" s="94"/>
      <c r="S526" s="94"/>
      <c r="T526" s="94"/>
      <c r="U526" s="94"/>
      <c r="V526" s="94"/>
      <c r="W526" s="94"/>
      <c r="X526" s="94"/>
      <c r="Y526" s="94"/>
      <c r="Z526" s="94"/>
      <c r="AA526" s="94"/>
      <c r="AB526" s="94"/>
      <c r="AC526" s="94"/>
      <c r="AD526" s="94"/>
      <c r="AE526" s="94"/>
      <c r="AF526" s="94"/>
      <c r="AG526" s="94"/>
      <c r="AH526" s="94"/>
      <c r="AI526" s="94"/>
      <c r="AJ526" s="94"/>
      <c r="AK526" s="94"/>
      <c r="AL526" s="94"/>
      <c r="AM526" s="94"/>
      <c r="AN526" s="94"/>
      <c r="AO526" s="94"/>
      <c r="AP526" s="94"/>
      <c r="AQ526" s="94"/>
      <c r="AR526" s="94"/>
      <c r="AS526" s="94"/>
      <c r="AT526" s="94"/>
      <c r="AU526" s="94"/>
      <c r="AV526" s="94"/>
      <c r="AW526" s="94"/>
      <c r="AX526" s="94"/>
      <c r="AY526" s="94"/>
      <c r="BA526" s="95"/>
    </row>
    <row r="527" spans="1:53" s="87" customFormat="1">
      <c r="A527" s="90" t="str">
        <f t="shared" si="56"/>
        <v/>
      </c>
      <c r="B527" s="98">
        <v>8</v>
      </c>
      <c r="C527" s="94">
        <v>-2</v>
      </c>
      <c r="D527" s="94" t="s">
        <v>210</v>
      </c>
      <c r="E527" s="94" t="s">
        <v>210</v>
      </c>
      <c r="F527" s="94">
        <v>3</v>
      </c>
      <c r="G527" s="94">
        <v>5</v>
      </c>
      <c r="H527" s="94" t="s">
        <v>210</v>
      </c>
      <c r="I527" s="94">
        <v>-1</v>
      </c>
      <c r="J527" s="94" t="s">
        <v>210</v>
      </c>
      <c r="K527" s="94">
        <v>2</v>
      </c>
      <c r="L527" s="94" t="s">
        <v>210</v>
      </c>
      <c r="M527" s="94"/>
      <c r="N527" s="94"/>
      <c r="O527" s="94"/>
      <c r="P527" s="94"/>
      <c r="Q527" s="94"/>
      <c r="R527" s="94"/>
      <c r="S527" s="94"/>
      <c r="T527" s="94"/>
      <c r="U527" s="94"/>
      <c r="V527" s="94"/>
      <c r="W527" s="94"/>
      <c r="X527" s="94"/>
      <c r="Y527" s="94"/>
      <c r="Z527" s="94"/>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BA527" s="95"/>
    </row>
    <row r="528" spans="1:53" s="87" customFormat="1">
      <c r="A528" s="90" t="str">
        <f t="shared" si="56"/>
        <v/>
      </c>
      <c r="B528" s="98">
        <v>9</v>
      </c>
      <c r="C528" s="94">
        <v>-3</v>
      </c>
      <c r="D528" s="94" t="s">
        <v>210</v>
      </c>
      <c r="E528" s="94">
        <v>2</v>
      </c>
      <c r="F528" s="94" t="s">
        <v>210</v>
      </c>
      <c r="G528" s="94" t="s">
        <v>210</v>
      </c>
      <c r="H528" s="94">
        <v>-4</v>
      </c>
      <c r="I528" s="94">
        <v>1</v>
      </c>
      <c r="J528" s="94" t="s">
        <v>210</v>
      </c>
      <c r="K528" s="94">
        <v>4</v>
      </c>
      <c r="L528" s="94" t="s">
        <v>210</v>
      </c>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BA528" s="95"/>
    </row>
    <row r="529" spans="1:53" s="87" customFormat="1">
      <c r="A529" s="90" t="str">
        <f t="shared" si="56"/>
        <v/>
      </c>
      <c r="B529" s="99">
        <v>10</v>
      </c>
      <c r="C529" s="92">
        <v>2</v>
      </c>
      <c r="D529" s="92" t="s">
        <v>210</v>
      </c>
      <c r="E529" s="92">
        <v>-1</v>
      </c>
      <c r="F529" s="92" t="s">
        <v>210</v>
      </c>
      <c r="G529" s="92" t="s">
        <v>210</v>
      </c>
      <c r="H529" s="92">
        <v>-3</v>
      </c>
      <c r="I529" s="92">
        <v>5</v>
      </c>
      <c r="J529" s="92" t="s">
        <v>210</v>
      </c>
      <c r="K529" s="92">
        <v>-4</v>
      </c>
      <c r="L529" s="92" t="s">
        <v>210</v>
      </c>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BA529" s="95"/>
    </row>
    <row r="530" spans="1:53" s="87" customFormat="1">
      <c r="A530" s="90" t="str">
        <f t="shared" si="56"/>
        <v/>
      </c>
      <c r="B530" s="98">
        <v>11</v>
      </c>
      <c r="C530" s="94">
        <v>-4</v>
      </c>
      <c r="D530" s="94" t="s">
        <v>210</v>
      </c>
      <c r="E530" s="94" t="s">
        <v>210</v>
      </c>
      <c r="F530" s="94">
        <v>-3</v>
      </c>
      <c r="G530" s="94">
        <v>4</v>
      </c>
      <c r="H530" s="94" t="s">
        <v>210</v>
      </c>
      <c r="I530" s="94">
        <v>2</v>
      </c>
      <c r="J530" s="94" t="s">
        <v>210</v>
      </c>
      <c r="K530" s="94">
        <v>1</v>
      </c>
      <c r="L530" s="94" t="s">
        <v>210</v>
      </c>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BA530" s="95"/>
    </row>
    <row r="531" spans="1:53" s="87" customFormat="1">
      <c r="A531" s="90" t="str">
        <f t="shared" si="56"/>
        <v/>
      </c>
      <c r="B531" s="98">
        <v>12</v>
      </c>
      <c r="C531" s="94">
        <v>5</v>
      </c>
      <c r="D531" s="94" t="s">
        <v>210</v>
      </c>
      <c r="E531" s="94" t="s">
        <v>210</v>
      </c>
      <c r="F531" s="94">
        <v>-2</v>
      </c>
      <c r="G531" s="94">
        <v>-5</v>
      </c>
      <c r="H531" s="94" t="s">
        <v>210</v>
      </c>
      <c r="I531" s="94">
        <v>4</v>
      </c>
      <c r="J531" s="94" t="s">
        <v>210</v>
      </c>
      <c r="K531" s="94">
        <v>-1</v>
      </c>
      <c r="L531" s="94" t="s">
        <v>210</v>
      </c>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BA531" s="95"/>
    </row>
    <row r="532" spans="1:53" s="87" customFormat="1">
      <c r="A532" s="90" t="str">
        <f t="shared" si="56"/>
        <v/>
      </c>
      <c r="B532" s="98">
        <v>13</v>
      </c>
      <c r="C532" s="94">
        <v>4</v>
      </c>
      <c r="D532" s="94" t="s">
        <v>210</v>
      </c>
      <c r="E532" s="94">
        <v>-2</v>
      </c>
      <c r="F532" s="94" t="s">
        <v>210</v>
      </c>
      <c r="G532" s="94" t="s">
        <v>210</v>
      </c>
      <c r="H532" s="94">
        <v>3</v>
      </c>
      <c r="I532" s="94">
        <v>-4</v>
      </c>
      <c r="J532" s="94" t="s">
        <v>210</v>
      </c>
      <c r="K532" s="94">
        <v>-5</v>
      </c>
      <c r="L532" s="94" t="s">
        <v>210</v>
      </c>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BA532" s="95"/>
    </row>
    <row r="533" spans="1:53" s="87" customFormat="1">
      <c r="A533" s="90" t="str">
        <f t="shared" si="56"/>
        <v/>
      </c>
      <c r="B533" s="98">
        <v>14</v>
      </c>
      <c r="C533" s="94">
        <v>-5</v>
      </c>
      <c r="D533" s="94" t="s">
        <v>210</v>
      </c>
      <c r="E533" s="94">
        <v>1</v>
      </c>
      <c r="F533" s="94" t="s">
        <v>210</v>
      </c>
      <c r="G533" s="94" t="s">
        <v>210</v>
      </c>
      <c r="H533" s="94">
        <v>4</v>
      </c>
      <c r="I533" s="94">
        <v>-2</v>
      </c>
      <c r="J533" s="94" t="s">
        <v>210</v>
      </c>
      <c r="K533" s="94">
        <v>5</v>
      </c>
      <c r="L533" s="94" t="s">
        <v>210</v>
      </c>
      <c r="M533" s="94"/>
      <c r="N533" s="94"/>
      <c r="O533" s="94"/>
      <c r="P533" s="94"/>
      <c r="Q533" s="94"/>
      <c r="R533" s="94"/>
      <c r="S533" s="94"/>
      <c r="T533" s="94"/>
      <c r="U533" s="94"/>
      <c r="V533" s="94"/>
      <c r="W533" s="94"/>
      <c r="X533" s="94"/>
      <c r="Y533" s="94"/>
      <c r="Z533" s="94"/>
      <c r="AA533" s="94"/>
      <c r="AB533" s="94"/>
      <c r="AC533" s="94"/>
      <c r="AD533" s="94"/>
      <c r="AE533" s="94"/>
      <c r="AF533" s="94"/>
      <c r="AG533" s="94"/>
      <c r="AH533" s="94"/>
      <c r="AI533" s="94"/>
      <c r="AJ533" s="94"/>
      <c r="AK533" s="94"/>
      <c r="AL533" s="94"/>
      <c r="AM533" s="94"/>
      <c r="AN533" s="94"/>
      <c r="AO533" s="94"/>
      <c r="AP533" s="94"/>
      <c r="AQ533" s="94"/>
      <c r="AR533" s="94"/>
      <c r="AS533" s="94"/>
      <c r="AT533" s="94"/>
      <c r="AU533" s="94"/>
      <c r="AV533" s="94"/>
      <c r="AW533" s="94"/>
      <c r="AX533" s="94"/>
      <c r="AY533" s="94"/>
      <c r="BA533" s="95"/>
    </row>
    <row r="534" spans="1:53" s="87" customFormat="1">
      <c r="A534" s="90" t="str">
        <f t="shared" si="56"/>
        <v/>
      </c>
      <c r="B534" s="317" t="s">
        <v>275</v>
      </c>
      <c r="C534" s="94"/>
      <c r="D534" s="94"/>
      <c r="E534" s="94"/>
      <c r="F534" s="94"/>
      <c r="G534" s="94"/>
      <c r="H534" s="94"/>
      <c r="I534" s="94"/>
      <c r="J534" s="94"/>
      <c r="K534" s="94"/>
      <c r="L534" s="94"/>
      <c r="M534" s="94"/>
      <c r="N534" s="94"/>
      <c r="O534" s="94"/>
      <c r="P534" s="94"/>
      <c r="Q534" s="94"/>
      <c r="R534" s="94"/>
      <c r="S534" s="94"/>
      <c r="T534" s="94"/>
      <c r="U534" s="94"/>
      <c r="V534" s="94"/>
      <c r="W534" s="94"/>
      <c r="X534" s="94"/>
      <c r="Y534" s="94"/>
      <c r="Z534" s="94"/>
      <c r="AA534" s="94"/>
      <c r="AB534" s="94"/>
      <c r="AC534" s="94"/>
      <c r="AD534" s="94"/>
      <c r="AE534" s="94"/>
      <c r="AF534" s="94"/>
      <c r="AG534" s="94"/>
      <c r="AH534" s="94"/>
      <c r="AI534" s="94"/>
      <c r="AJ534" s="94"/>
      <c r="AK534" s="94"/>
      <c r="AL534" s="94"/>
      <c r="AM534" s="94"/>
      <c r="AN534" s="94"/>
      <c r="AO534" s="94"/>
      <c r="AP534" s="94"/>
      <c r="AQ534" s="94"/>
      <c r="AR534" s="94"/>
      <c r="AS534" s="94"/>
      <c r="AT534" s="94"/>
      <c r="AU534" s="94"/>
      <c r="AV534" s="94"/>
      <c r="AW534" s="94"/>
      <c r="AX534" s="94"/>
      <c r="AY534" s="94"/>
      <c r="BA534" s="95"/>
    </row>
    <row r="535" spans="1:53" s="87" customFormat="1">
      <c r="A535" s="90">
        <f t="shared" si="56"/>
        <v>535</v>
      </c>
      <c r="B535" s="236" t="s">
        <v>791</v>
      </c>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BA535" s="95"/>
    </row>
    <row r="536" spans="1:53" s="87" customFormat="1">
      <c r="A536" s="90" t="str">
        <f t="shared" si="56"/>
        <v/>
      </c>
      <c r="B536" s="236">
        <v>1</v>
      </c>
      <c r="C536" s="94" t="s">
        <v>210</v>
      </c>
      <c r="D536" s="94">
        <v>2</v>
      </c>
      <c r="E536" s="94">
        <v>3</v>
      </c>
      <c r="F536" s="94" t="s">
        <v>210</v>
      </c>
      <c r="G536" s="94" t="s">
        <v>210</v>
      </c>
      <c r="H536" s="94">
        <v>4</v>
      </c>
      <c r="I536" s="94">
        <v>-1</v>
      </c>
      <c r="J536" s="94" t="s">
        <v>210</v>
      </c>
      <c r="K536" s="94">
        <v>4</v>
      </c>
      <c r="L536" s="94" t="s">
        <v>210</v>
      </c>
      <c r="M536" s="94">
        <v>-2</v>
      </c>
      <c r="N536" s="94" t="s">
        <v>210</v>
      </c>
      <c r="O536" s="94">
        <v>-4</v>
      </c>
      <c r="P536" s="94" t="s">
        <v>210</v>
      </c>
      <c r="Q536" s="94"/>
      <c r="R536" s="94"/>
      <c r="S536" s="94"/>
      <c r="T536" s="94"/>
      <c r="U536" s="94"/>
      <c r="V536" s="94"/>
      <c r="W536" s="94"/>
      <c r="X536" s="94"/>
      <c r="Y536" s="94"/>
      <c r="Z536" s="94"/>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BA536" s="95"/>
    </row>
    <row r="537" spans="1:53" s="87" customFormat="1">
      <c r="A537" s="90" t="str">
        <f t="shared" si="56"/>
        <v/>
      </c>
      <c r="B537" s="98">
        <v>2</v>
      </c>
      <c r="C537" s="94">
        <v>-5</v>
      </c>
      <c r="D537" s="94" t="s">
        <v>210</v>
      </c>
      <c r="E537" s="94">
        <v>2</v>
      </c>
      <c r="F537" s="94" t="s">
        <v>210</v>
      </c>
      <c r="G537" s="94" t="s">
        <v>210</v>
      </c>
      <c r="H537" s="94">
        <v>-3</v>
      </c>
      <c r="I537" s="94">
        <v>-4</v>
      </c>
      <c r="J537" s="94" t="s">
        <v>210</v>
      </c>
      <c r="K537" s="94" t="s">
        <v>210</v>
      </c>
      <c r="L537" s="94">
        <v>3</v>
      </c>
      <c r="M537" s="94">
        <v>1</v>
      </c>
      <c r="N537" s="94" t="s">
        <v>210</v>
      </c>
      <c r="O537" s="94">
        <v>4</v>
      </c>
      <c r="P537" s="94" t="s">
        <v>210</v>
      </c>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BA537" s="95"/>
    </row>
    <row r="538" spans="1:53" s="87" customFormat="1">
      <c r="A538" s="90" t="str">
        <f t="shared" si="56"/>
        <v/>
      </c>
      <c r="B538" s="98">
        <v>3</v>
      </c>
      <c r="C538" s="94">
        <v>2</v>
      </c>
      <c r="D538" s="94" t="s">
        <v>210</v>
      </c>
      <c r="E538" s="94">
        <v>5</v>
      </c>
      <c r="F538" s="94" t="s">
        <v>210</v>
      </c>
      <c r="G538" s="94" t="s">
        <v>210</v>
      </c>
      <c r="H538" s="94">
        <v>-2</v>
      </c>
      <c r="I538" s="94">
        <v>3</v>
      </c>
      <c r="J538" s="94" t="s">
        <v>210</v>
      </c>
      <c r="K538" s="94">
        <v>-4</v>
      </c>
      <c r="L538" s="94" t="s">
        <v>210</v>
      </c>
      <c r="M538" s="94">
        <v>-1</v>
      </c>
      <c r="N538" s="94" t="s">
        <v>210</v>
      </c>
      <c r="O538" s="94" t="s">
        <v>210</v>
      </c>
      <c r="P538" s="94">
        <v>-3</v>
      </c>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BA538" s="95"/>
    </row>
    <row r="539" spans="1:53" s="87" customFormat="1">
      <c r="A539" s="90" t="str">
        <f t="shared" si="56"/>
        <v/>
      </c>
      <c r="B539" s="98">
        <v>4</v>
      </c>
      <c r="C539" s="94">
        <v>-1</v>
      </c>
      <c r="D539" s="94" t="s">
        <v>210</v>
      </c>
      <c r="E539" s="94">
        <v>-4</v>
      </c>
      <c r="F539" s="94" t="s">
        <v>210</v>
      </c>
      <c r="G539" s="94">
        <v>-2</v>
      </c>
      <c r="H539" s="94" t="s">
        <v>210</v>
      </c>
      <c r="I539" s="94">
        <v>5</v>
      </c>
      <c r="J539" s="94" t="s">
        <v>210</v>
      </c>
      <c r="K539" s="94" t="s">
        <v>210</v>
      </c>
      <c r="L539" s="94">
        <v>-3</v>
      </c>
      <c r="M539" s="94">
        <v>2</v>
      </c>
      <c r="N539" s="94" t="s">
        <v>210</v>
      </c>
      <c r="O539" s="94" t="s">
        <v>210</v>
      </c>
      <c r="P539" s="94">
        <v>3</v>
      </c>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BA539" s="95"/>
    </row>
    <row r="540" spans="1:53" s="87" customFormat="1">
      <c r="A540" s="90" t="str">
        <f t="shared" si="56"/>
        <v/>
      </c>
      <c r="B540" s="98">
        <v>5</v>
      </c>
      <c r="C540" s="94" t="s">
        <v>210</v>
      </c>
      <c r="D540" s="94">
        <v>-2</v>
      </c>
      <c r="E540" s="94">
        <v>-5</v>
      </c>
      <c r="F540" s="94" t="s">
        <v>210</v>
      </c>
      <c r="G540" s="94">
        <v>2</v>
      </c>
      <c r="H540" s="94" t="s">
        <v>210</v>
      </c>
      <c r="I540" s="94">
        <v>4</v>
      </c>
      <c r="J540" s="94" t="s">
        <v>210</v>
      </c>
      <c r="K540" s="94" t="s">
        <v>210</v>
      </c>
      <c r="L540" s="94">
        <v>-2</v>
      </c>
      <c r="M540" s="94">
        <v>5</v>
      </c>
      <c r="N540" s="94" t="s">
        <v>210</v>
      </c>
      <c r="O540" s="94" t="s">
        <v>210</v>
      </c>
      <c r="P540" s="94">
        <v>-4</v>
      </c>
      <c r="Q540" s="94"/>
      <c r="R540" s="94"/>
      <c r="S540" s="94"/>
      <c r="T540" s="94"/>
      <c r="U540" s="94"/>
      <c r="V540" s="94"/>
      <c r="W540" s="94"/>
      <c r="X540" s="94"/>
      <c r="Y540" s="94"/>
      <c r="Z540" s="94"/>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c r="AW540" s="94"/>
      <c r="AX540" s="94"/>
      <c r="AY540" s="94"/>
      <c r="BA540" s="95"/>
    </row>
    <row r="541" spans="1:53" s="87" customFormat="1">
      <c r="A541" s="90" t="str">
        <f t="shared" si="56"/>
        <v/>
      </c>
      <c r="B541" s="98">
        <v>6</v>
      </c>
      <c r="C541" s="94">
        <v>-2</v>
      </c>
      <c r="D541" s="94" t="s">
        <v>210</v>
      </c>
      <c r="E541" s="94">
        <v>4</v>
      </c>
      <c r="F541" s="94" t="s">
        <v>210</v>
      </c>
      <c r="G541" s="94" t="s">
        <v>210</v>
      </c>
      <c r="H541" s="94">
        <v>3</v>
      </c>
      <c r="I541" s="94">
        <v>1</v>
      </c>
      <c r="J541" s="94" t="s">
        <v>210</v>
      </c>
      <c r="K541" s="94" t="s">
        <v>210</v>
      </c>
      <c r="L541" s="94">
        <v>-4</v>
      </c>
      <c r="M541" s="94">
        <v>-3</v>
      </c>
      <c r="N541" s="94" t="s">
        <v>210</v>
      </c>
      <c r="O541" s="94" t="s">
        <v>210</v>
      </c>
      <c r="P541" s="94">
        <v>4</v>
      </c>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BA541" s="95"/>
    </row>
    <row r="542" spans="1:53" s="87" customFormat="1">
      <c r="A542" s="90" t="str">
        <f t="shared" si="56"/>
        <v/>
      </c>
      <c r="B542" s="98">
        <v>7</v>
      </c>
      <c r="C542" s="94">
        <v>1</v>
      </c>
      <c r="D542" s="94" t="s">
        <v>210</v>
      </c>
      <c r="E542" s="94">
        <v>-2</v>
      </c>
      <c r="F542" s="94" t="s">
        <v>210</v>
      </c>
      <c r="G542" s="94" t="s">
        <v>210</v>
      </c>
      <c r="H542" s="94">
        <v>-4</v>
      </c>
      <c r="I542" s="94">
        <v>-3</v>
      </c>
      <c r="J542" s="94" t="s">
        <v>210</v>
      </c>
      <c r="K542" s="94" t="s">
        <v>210</v>
      </c>
      <c r="L542" s="94">
        <v>4</v>
      </c>
      <c r="M542" s="94">
        <v>-5</v>
      </c>
      <c r="N542" s="94" t="s">
        <v>210</v>
      </c>
      <c r="O542" s="94" t="s">
        <v>210</v>
      </c>
      <c r="P542" s="94">
        <v>2</v>
      </c>
      <c r="Q542" s="94"/>
      <c r="R542" s="94"/>
      <c r="S542" s="94"/>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BA542" s="95"/>
    </row>
    <row r="543" spans="1:53" s="87" customFormat="1">
      <c r="A543" s="90" t="str">
        <f t="shared" si="56"/>
        <v/>
      </c>
      <c r="B543" s="99">
        <v>8</v>
      </c>
      <c r="C543" s="92">
        <v>5</v>
      </c>
      <c r="D543" s="92" t="s">
        <v>210</v>
      </c>
      <c r="E543" s="92">
        <v>-3</v>
      </c>
      <c r="F543" s="92" t="s">
        <v>210</v>
      </c>
      <c r="G543" s="92" t="s">
        <v>210</v>
      </c>
      <c r="H543" s="92">
        <v>2</v>
      </c>
      <c r="I543" s="92">
        <v>-5</v>
      </c>
      <c r="J543" s="92" t="s">
        <v>210</v>
      </c>
      <c r="K543" s="92" t="s">
        <v>210</v>
      </c>
      <c r="L543" s="92">
        <v>2</v>
      </c>
      <c r="M543" s="92">
        <v>3</v>
      </c>
      <c r="N543" s="92" t="s">
        <v>210</v>
      </c>
      <c r="O543" s="92" t="s">
        <v>210</v>
      </c>
      <c r="P543" s="92">
        <v>-2</v>
      </c>
      <c r="Q543" s="94"/>
      <c r="R543" s="94"/>
      <c r="S543" s="94"/>
      <c r="T543" s="94"/>
      <c r="U543" s="94"/>
      <c r="V543" s="94"/>
      <c r="W543" s="94"/>
      <c r="X543" s="94"/>
      <c r="Y543" s="94"/>
      <c r="Z543" s="94"/>
      <c r="AA543" s="94"/>
      <c r="AB543" s="94"/>
      <c r="AC543" s="94"/>
      <c r="AD543" s="94"/>
      <c r="AE543" s="94"/>
      <c r="AF543" s="94"/>
      <c r="AG543" s="94"/>
      <c r="AH543" s="94"/>
      <c r="AI543" s="94"/>
      <c r="AJ543" s="94"/>
      <c r="AK543" s="94"/>
      <c r="AL543" s="94"/>
      <c r="AM543" s="94"/>
      <c r="AN543" s="94"/>
      <c r="AO543" s="94"/>
      <c r="AP543" s="94"/>
      <c r="AQ543" s="94"/>
      <c r="AR543" s="94"/>
      <c r="AS543" s="94"/>
      <c r="AT543" s="94"/>
      <c r="AU543" s="94"/>
      <c r="AV543" s="94"/>
      <c r="AW543" s="94"/>
      <c r="AX543" s="94"/>
      <c r="AY543" s="94"/>
      <c r="BA543" s="95"/>
    </row>
    <row r="544" spans="1:53" s="87" customFormat="1">
      <c r="A544" s="90" t="str">
        <f t="shared" si="56"/>
        <v/>
      </c>
      <c r="B544" s="98">
        <v>9</v>
      </c>
      <c r="C544" s="94" t="s">
        <v>210</v>
      </c>
      <c r="D544" s="94">
        <v>-3</v>
      </c>
      <c r="E544" s="94">
        <v>-1</v>
      </c>
      <c r="F544" s="94" t="s">
        <v>210</v>
      </c>
      <c r="G544" s="94">
        <v>-5</v>
      </c>
      <c r="H544" s="94" t="s">
        <v>210</v>
      </c>
      <c r="I544" s="94" t="s">
        <v>210</v>
      </c>
      <c r="J544" s="94">
        <v>3</v>
      </c>
      <c r="K544" s="94">
        <v>2</v>
      </c>
      <c r="L544" s="94" t="s">
        <v>210</v>
      </c>
      <c r="M544" s="94">
        <v>4</v>
      </c>
      <c r="N544" s="94" t="s">
        <v>210</v>
      </c>
      <c r="O544" s="94">
        <v>-2</v>
      </c>
      <c r="P544" s="94" t="s">
        <v>210</v>
      </c>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BA544" s="95"/>
    </row>
    <row r="545" spans="1:53" s="87" customFormat="1">
      <c r="A545" s="90" t="str">
        <f t="shared" si="56"/>
        <v/>
      </c>
      <c r="B545" s="98">
        <v>10</v>
      </c>
      <c r="C545" s="94" t="s">
        <v>210</v>
      </c>
      <c r="D545" s="94">
        <v>-4</v>
      </c>
      <c r="E545" s="94" t="s">
        <v>210</v>
      </c>
      <c r="F545" s="94">
        <v>3</v>
      </c>
      <c r="G545" s="94">
        <v>4</v>
      </c>
      <c r="H545" s="94" t="s">
        <v>210</v>
      </c>
      <c r="I545" s="94">
        <v>-2</v>
      </c>
      <c r="J545" s="94" t="s">
        <v>210</v>
      </c>
      <c r="K545" s="94">
        <v>5</v>
      </c>
      <c r="L545" s="94" t="s">
        <v>210</v>
      </c>
      <c r="M545" s="94" t="s">
        <v>210</v>
      </c>
      <c r="N545" s="94">
        <v>-3</v>
      </c>
      <c r="O545" s="94">
        <v>2</v>
      </c>
      <c r="P545" s="94" t="s">
        <v>210</v>
      </c>
      <c r="Q545" s="94"/>
      <c r="R545" s="94"/>
      <c r="S545" s="94"/>
      <c r="T545" s="94"/>
      <c r="U545" s="94"/>
      <c r="V545" s="94"/>
      <c r="W545" s="94"/>
      <c r="X545" s="94"/>
      <c r="Y545" s="94"/>
      <c r="Z545" s="94"/>
      <c r="AA545" s="94"/>
      <c r="AB545" s="94"/>
      <c r="AC545" s="94"/>
      <c r="AD545" s="94"/>
      <c r="AE545" s="94"/>
      <c r="AF545" s="94"/>
      <c r="AG545" s="94"/>
      <c r="AH545" s="94"/>
      <c r="AI545" s="94"/>
      <c r="AJ545" s="94"/>
      <c r="AK545" s="94"/>
      <c r="AL545" s="94"/>
      <c r="AM545" s="94"/>
      <c r="AN545" s="94"/>
      <c r="AO545" s="94"/>
      <c r="AP545" s="94"/>
      <c r="AQ545" s="94"/>
      <c r="AR545" s="94"/>
      <c r="AS545" s="94"/>
      <c r="AT545" s="94"/>
      <c r="AU545" s="94"/>
      <c r="AV545" s="94"/>
      <c r="AW545" s="94"/>
      <c r="AX545" s="94"/>
      <c r="AY545" s="94"/>
      <c r="BA545" s="95"/>
    </row>
    <row r="546" spans="1:53" s="87" customFormat="1">
      <c r="A546" s="90" t="str">
        <f t="shared" si="56"/>
        <v/>
      </c>
      <c r="B546" s="98">
        <v>11</v>
      </c>
      <c r="C546" s="94">
        <v>-3</v>
      </c>
      <c r="D546" s="94" t="s">
        <v>210</v>
      </c>
      <c r="E546" s="94" t="s">
        <v>210</v>
      </c>
      <c r="F546" s="94">
        <v>4</v>
      </c>
      <c r="G546" s="94">
        <v>3</v>
      </c>
      <c r="H546" s="94" t="s">
        <v>210</v>
      </c>
      <c r="I546" s="94" t="s">
        <v>210</v>
      </c>
      <c r="J546" s="94">
        <v>2</v>
      </c>
      <c r="K546" s="94">
        <v>-5</v>
      </c>
      <c r="L546" s="94" t="s">
        <v>210</v>
      </c>
      <c r="M546" s="94">
        <v>-4</v>
      </c>
      <c r="N546" s="94" t="s">
        <v>210</v>
      </c>
      <c r="O546" s="94">
        <v>5</v>
      </c>
      <c r="P546" s="94" t="s">
        <v>210</v>
      </c>
      <c r="Q546" s="94"/>
      <c r="R546" s="94"/>
      <c r="S546" s="94"/>
      <c r="T546" s="94"/>
      <c r="U546" s="94"/>
      <c r="V546" s="94"/>
      <c r="W546" s="94"/>
      <c r="X546" s="94"/>
      <c r="Y546" s="94"/>
      <c r="Z546" s="94"/>
      <c r="AA546" s="94"/>
      <c r="AB546" s="94"/>
      <c r="AC546" s="94"/>
      <c r="AD546" s="94"/>
      <c r="AE546" s="94"/>
      <c r="AF546" s="94"/>
      <c r="AG546" s="94"/>
      <c r="AH546" s="94"/>
      <c r="AI546" s="94"/>
      <c r="AJ546" s="94"/>
      <c r="AK546" s="94"/>
      <c r="AL546" s="94"/>
      <c r="AM546" s="94"/>
      <c r="AN546" s="94"/>
      <c r="AO546" s="94"/>
      <c r="AP546" s="94"/>
      <c r="AQ546" s="94"/>
      <c r="AR546" s="94"/>
      <c r="AS546" s="94"/>
      <c r="AT546" s="94"/>
      <c r="AU546" s="94"/>
      <c r="AV546" s="94"/>
      <c r="AW546" s="94"/>
      <c r="AX546" s="94"/>
      <c r="AY546" s="94"/>
      <c r="BA546" s="95"/>
    </row>
    <row r="547" spans="1:53" s="87" customFormat="1">
      <c r="A547" s="90" t="str">
        <f t="shared" si="56"/>
        <v/>
      </c>
      <c r="B547" s="98">
        <v>12</v>
      </c>
      <c r="C547" s="94">
        <v>-4</v>
      </c>
      <c r="D547" s="94" t="s">
        <v>210</v>
      </c>
      <c r="E547" s="94" t="s">
        <v>210</v>
      </c>
      <c r="F547" s="94">
        <v>2</v>
      </c>
      <c r="G547" s="94">
        <v>1</v>
      </c>
      <c r="H547" s="94" t="s">
        <v>210</v>
      </c>
      <c r="I547" s="94" t="s">
        <v>210</v>
      </c>
      <c r="J547" s="94">
        <v>4</v>
      </c>
      <c r="K547" s="94">
        <v>-2</v>
      </c>
      <c r="L547" s="94" t="s">
        <v>210</v>
      </c>
      <c r="M547" s="94" t="s">
        <v>210</v>
      </c>
      <c r="N547" s="94">
        <v>3</v>
      </c>
      <c r="O547" s="94">
        <v>-5</v>
      </c>
      <c r="P547" s="94" t="s">
        <v>210</v>
      </c>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BA547" s="95"/>
    </row>
    <row r="548" spans="1:53" s="87" customFormat="1">
      <c r="A548" s="90" t="str">
        <f t="shared" si="56"/>
        <v/>
      </c>
      <c r="B548" s="98">
        <v>13</v>
      </c>
      <c r="C548" s="94" t="s">
        <v>210</v>
      </c>
      <c r="D548" s="94">
        <v>4</v>
      </c>
      <c r="E548" s="94">
        <v>1</v>
      </c>
      <c r="F548" s="94" t="s">
        <v>210</v>
      </c>
      <c r="G548" s="94">
        <v>-3</v>
      </c>
      <c r="H548" s="94" t="s">
        <v>210</v>
      </c>
      <c r="I548" s="94" t="s">
        <v>210</v>
      </c>
      <c r="J548" s="94">
        <v>-4</v>
      </c>
      <c r="K548" s="94">
        <v>3</v>
      </c>
      <c r="L548" s="94" t="s">
        <v>210</v>
      </c>
      <c r="M548" s="94" t="s">
        <v>210</v>
      </c>
      <c r="N548" s="94">
        <v>-2</v>
      </c>
      <c r="O548" s="94">
        <v>-3</v>
      </c>
      <c r="P548" s="94" t="s">
        <v>210</v>
      </c>
      <c r="Q548" s="94"/>
      <c r="R548" s="94"/>
      <c r="S548" s="94"/>
      <c r="T548" s="94"/>
      <c r="U548" s="94"/>
      <c r="V548" s="94"/>
      <c r="W548" s="94"/>
      <c r="X548" s="94"/>
      <c r="Y548" s="94"/>
      <c r="Z548" s="94"/>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BA548" s="95"/>
    </row>
    <row r="549" spans="1:53" s="87" customFormat="1">
      <c r="A549" s="90" t="str">
        <f t="shared" si="56"/>
        <v/>
      </c>
      <c r="B549" s="98">
        <v>14</v>
      </c>
      <c r="C549" s="94">
        <v>4</v>
      </c>
      <c r="D549" s="94" t="s">
        <v>210</v>
      </c>
      <c r="E549" s="94" t="s">
        <v>210</v>
      </c>
      <c r="F549" s="94">
        <v>-3</v>
      </c>
      <c r="G549" s="94">
        <v>5</v>
      </c>
      <c r="H549" s="94" t="s">
        <v>210</v>
      </c>
      <c r="I549" s="94" t="s">
        <v>210</v>
      </c>
      <c r="J549" s="94">
        <v>-2</v>
      </c>
      <c r="K549" s="94">
        <v>-1</v>
      </c>
      <c r="L549" s="94" t="s">
        <v>210</v>
      </c>
      <c r="M549" s="94" t="s">
        <v>210</v>
      </c>
      <c r="N549" s="94">
        <v>-4</v>
      </c>
      <c r="O549" s="94">
        <v>3</v>
      </c>
      <c r="P549" s="94" t="s">
        <v>210</v>
      </c>
      <c r="Q549" s="94"/>
      <c r="R549" s="94"/>
      <c r="S549" s="94"/>
      <c r="T549" s="94"/>
      <c r="U549" s="94"/>
      <c r="V549" s="94"/>
      <c r="W549" s="94"/>
      <c r="X549" s="94"/>
      <c r="Y549" s="94"/>
      <c r="Z549" s="94"/>
      <c r="AA549" s="94"/>
      <c r="AB549" s="94"/>
      <c r="AC549" s="94"/>
      <c r="AD549" s="94"/>
      <c r="AE549" s="94"/>
      <c r="AF549" s="94"/>
      <c r="AG549" s="94"/>
      <c r="AH549" s="94"/>
      <c r="AI549" s="94"/>
      <c r="AJ549" s="94"/>
      <c r="AK549" s="94"/>
      <c r="AL549" s="94"/>
      <c r="AM549" s="94"/>
      <c r="AN549" s="94"/>
      <c r="AO549" s="94"/>
      <c r="AP549" s="94"/>
      <c r="AQ549" s="94"/>
      <c r="AR549" s="94"/>
      <c r="AS549" s="94"/>
      <c r="AT549" s="94"/>
      <c r="AU549" s="94"/>
      <c r="AV549" s="94"/>
      <c r="AW549" s="94"/>
      <c r="AX549" s="94"/>
      <c r="AY549" s="94"/>
      <c r="BA549" s="95"/>
    </row>
    <row r="550" spans="1:53" s="87" customFormat="1">
      <c r="A550" s="90" t="str">
        <f t="shared" si="56"/>
        <v/>
      </c>
      <c r="B550" s="98">
        <v>15</v>
      </c>
      <c r="C550" s="94">
        <v>3</v>
      </c>
      <c r="D550" s="94" t="s">
        <v>210</v>
      </c>
      <c r="E550" s="94" t="s">
        <v>210</v>
      </c>
      <c r="F550" s="94">
        <v>-2</v>
      </c>
      <c r="G550" s="94">
        <v>-4</v>
      </c>
      <c r="H550" s="94" t="s">
        <v>210</v>
      </c>
      <c r="I550" s="94" t="s">
        <v>210</v>
      </c>
      <c r="J550" s="94">
        <v>-3</v>
      </c>
      <c r="K550" s="94">
        <v>1</v>
      </c>
      <c r="L550" s="94" t="s">
        <v>210</v>
      </c>
      <c r="M550" s="94" t="s">
        <v>210</v>
      </c>
      <c r="N550" s="94">
        <v>2</v>
      </c>
      <c r="O550" s="94">
        <v>-1</v>
      </c>
      <c r="P550" s="94" t="s">
        <v>210</v>
      </c>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BA550" s="95"/>
    </row>
    <row r="551" spans="1:53" s="87" customFormat="1">
      <c r="A551" s="90" t="str">
        <f t="shared" si="56"/>
        <v/>
      </c>
      <c r="B551" s="98">
        <v>16</v>
      </c>
      <c r="C551" s="94" t="s">
        <v>210</v>
      </c>
      <c r="D551" s="94">
        <v>3</v>
      </c>
      <c r="E551" s="94" t="s">
        <v>210</v>
      </c>
      <c r="F551" s="94">
        <v>-4</v>
      </c>
      <c r="G551" s="94">
        <v>-1</v>
      </c>
      <c r="H551" s="94" t="s">
        <v>210</v>
      </c>
      <c r="I551" s="94">
        <v>2</v>
      </c>
      <c r="J551" s="94" t="s">
        <v>210</v>
      </c>
      <c r="K551" s="94">
        <v>-3</v>
      </c>
      <c r="L551" s="94" t="s">
        <v>210</v>
      </c>
      <c r="M551" s="94" t="s">
        <v>210</v>
      </c>
      <c r="N551" s="94">
        <v>4</v>
      </c>
      <c r="O551" s="94">
        <v>1</v>
      </c>
      <c r="P551" s="94" t="s">
        <v>210</v>
      </c>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BA551" s="95"/>
    </row>
    <row r="552" spans="1:53" s="87" customFormat="1">
      <c r="A552" s="90" t="str">
        <f t="shared" si="56"/>
        <v/>
      </c>
      <c r="B552" s="249" t="s">
        <v>281</v>
      </c>
      <c r="C552" s="94"/>
      <c r="D552" s="94"/>
      <c r="E552" s="94"/>
      <c r="F552" s="94"/>
      <c r="G552" s="94"/>
      <c r="H552" s="94"/>
      <c r="I552" s="94"/>
      <c r="J552" s="94"/>
      <c r="K552" s="94"/>
      <c r="L552" s="94"/>
      <c r="M552" s="94"/>
      <c r="N552" s="94"/>
      <c r="O552" s="94"/>
      <c r="P552" s="94"/>
      <c r="Q552" s="94"/>
      <c r="R552" s="94"/>
      <c r="S552" s="94"/>
      <c r="T552" s="94"/>
      <c r="U552" s="94"/>
      <c r="V552" s="94"/>
      <c r="W552" s="94"/>
      <c r="X552" s="94"/>
      <c r="Y552" s="94"/>
      <c r="Z552" s="94"/>
      <c r="AA552" s="94"/>
      <c r="AB552" s="94"/>
      <c r="AC552" s="94"/>
      <c r="AD552" s="94"/>
      <c r="AE552" s="94"/>
      <c r="AF552" s="94"/>
      <c r="AG552" s="94"/>
      <c r="AH552" s="94"/>
      <c r="AI552" s="94"/>
      <c r="AJ552" s="94"/>
      <c r="AK552" s="94"/>
      <c r="AL552" s="94"/>
      <c r="AM552" s="94"/>
      <c r="AN552" s="94"/>
      <c r="AO552" s="94"/>
      <c r="AP552" s="94"/>
      <c r="AQ552" s="94"/>
      <c r="AR552" s="94"/>
      <c r="AS552" s="94"/>
      <c r="AT552" s="94"/>
      <c r="AU552" s="94"/>
      <c r="AV552" s="94"/>
      <c r="AW552" s="94"/>
      <c r="AX552" s="94"/>
      <c r="AY552" s="94"/>
      <c r="BA552" s="95"/>
    </row>
    <row r="553" spans="1:53" s="87" customFormat="1">
      <c r="A553" s="90">
        <f t="shared" si="56"/>
        <v>553</v>
      </c>
      <c r="B553" s="237" t="s">
        <v>792</v>
      </c>
      <c r="C553" s="94"/>
      <c r="D553" s="94"/>
      <c r="E553" s="94"/>
      <c r="F553" s="94"/>
      <c r="G553" s="94"/>
      <c r="H553" s="94"/>
      <c r="I553" s="94"/>
      <c r="J553" s="94"/>
      <c r="K553" s="94"/>
      <c r="L553" s="94"/>
      <c r="M553" s="94"/>
      <c r="N553" s="94"/>
      <c r="O553" s="94"/>
      <c r="P553" s="94"/>
      <c r="Q553" s="94"/>
      <c r="R553" s="94"/>
      <c r="S553" s="94"/>
      <c r="T553" s="94"/>
      <c r="U553" s="94"/>
      <c r="V553" s="94"/>
      <c r="W553" s="94"/>
      <c r="X553" s="94"/>
      <c r="Y553" s="94"/>
      <c r="Z553" s="94"/>
      <c r="AA553" s="94"/>
      <c r="AB553" s="94"/>
      <c r="AC553" s="94"/>
      <c r="AD553" s="94"/>
      <c r="AE553" s="94"/>
      <c r="AF553" s="94"/>
      <c r="AG553" s="94"/>
      <c r="AH553" s="94"/>
      <c r="AI553" s="94"/>
      <c r="AJ553" s="94"/>
      <c r="AK553" s="94"/>
      <c r="AL553" s="94"/>
      <c r="AM553" s="94"/>
      <c r="AN553" s="94"/>
      <c r="AO553" s="94"/>
      <c r="AP553" s="94"/>
      <c r="AQ553" s="94"/>
      <c r="AR553" s="94"/>
      <c r="AS553" s="94"/>
      <c r="AT553" s="94"/>
      <c r="AU553" s="94"/>
      <c r="AV553" s="94"/>
      <c r="AW553" s="94"/>
      <c r="AX553" s="94"/>
      <c r="AY553" s="94"/>
      <c r="BA553" s="95"/>
    </row>
    <row r="554" spans="1:53" s="87" customFormat="1">
      <c r="A554" s="90" t="str">
        <f t="shared" si="56"/>
        <v/>
      </c>
      <c r="B554" s="98">
        <v>1</v>
      </c>
      <c r="C554" s="94" t="s">
        <v>210</v>
      </c>
      <c r="D554" s="94">
        <v>-3</v>
      </c>
      <c r="E554" s="94">
        <v>5</v>
      </c>
      <c r="F554" s="94" t="s">
        <v>210</v>
      </c>
      <c r="G554" s="94">
        <v>-4</v>
      </c>
      <c r="H554" s="94" t="s">
        <v>210</v>
      </c>
      <c r="I554" s="94">
        <v>3</v>
      </c>
      <c r="J554" s="94" t="s">
        <v>210</v>
      </c>
      <c r="K554" s="94" t="s">
        <v>210</v>
      </c>
      <c r="L554" s="94">
        <v>2</v>
      </c>
      <c r="M554" s="94"/>
      <c r="N554" s="94"/>
      <c r="O554" s="94"/>
      <c r="P554" s="94"/>
      <c r="Q554" s="94"/>
      <c r="R554" s="94"/>
      <c r="S554" s="94"/>
      <c r="T554" s="94"/>
      <c r="U554" s="94"/>
      <c r="V554" s="94"/>
      <c r="W554" s="94"/>
      <c r="X554" s="94"/>
      <c r="Y554" s="94"/>
      <c r="Z554" s="94"/>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c r="AW554" s="94"/>
      <c r="AX554" s="94"/>
      <c r="AY554" s="94"/>
      <c r="BA554" s="95"/>
    </row>
    <row r="555" spans="1:53" s="87" customFormat="1">
      <c r="A555" s="90" t="str">
        <f t="shared" si="56"/>
        <v/>
      </c>
      <c r="B555" s="98">
        <v>2</v>
      </c>
      <c r="C555" s="94" t="s">
        <v>210</v>
      </c>
      <c r="D555" s="94">
        <v>2</v>
      </c>
      <c r="E555" s="94">
        <v>-4</v>
      </c>
      <c r="F555" s="94" t="s">
        <v>210</v>
      </c>
      <c r="G555" s="94">
        <v>-3</v>
      </c>
      <c r="H555" s="94" t="s">
        <v>210</v>
      </c>
      <c r="I555" s="94">
        <v>5</v>
      </c>
      <c r="J555" s="94" t="s">
        <v>210</v>
      </c>
      <c r="K555" s="94" t="s">
        <v>210</v>
      </c>
      <c r="L555" s="94">
        <v>-2</v>
      </c>
      <c r="M555" s="94"/>
      <c r="N555" s="94"/>
      <c r="O555" s="94"/>
      <c r="P555" s="94"/>
      <c r="Q555" s="94"/>
      <c r="R555" s="94"/>
      <c r="S555" s="94"/>
      <c r="T555" s="94"/>
      <c r="U555" s="94"/>
      <c r="V555" s="94"/>
      <c r="W555" s="94"/>
      <c r="X555" s="94"/>
      <c r="Y555" s="94"/>
      <c r="Z555" s="94"/>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BA555" s="95"/>
    </row>
    <row r="556" spans="1:53" s="87" customFormat="1">
      <c r="A556" s="90" t="str">
        <f t="shared" si="56"/>
        <v/>
      </c>
      <c r="B556" s="98">
        <v>3</v>
      </c>
      <c r="C556" s="94" t="s">
        <v>210</v>
      </c>
      <c r="D556" s="94">
        <v>3</v>
      </c>
      <c r="E556" s="94">
        <v>4</v>
      </c>
      <c r="F556" s="94" t="s">
        <v>210</v>
      </c>
      <c r="G556" s="94">
        <v>-2</v>
      </c>
      <c r="H556" s="94" t="s">
        <v>210</v>
      </c>
      <c r="I556" s="94">
        <v>1</v>
      </c>
      <c r="J556" s="94" t="s">
        <v>210</v>
      </c>
      <c r="K556" s="94" t="s">
        <v>210</v>
      </c>
      <c r="L556" s="94">
        <v>-3</v>
      </c>
      <c r="M556" s="94"/>
      <c r="N556" s="94"/>
      <c r="O556" s="94"/>
      <c r="P556" s="94"/>
      <c r="Q556" s="94"/>
      <c r="R556" s="94"/>
      <c r="S556" s="94"/>
      <c r="T556" s="94"/>
      <c r="U556" s="94"/>
      <c r="V556" s="94"/>
      <c r="W556" s="94"/>
      <c r="X556" s="94"/>
      <c r="Y556" s="94"/>
      <c r="Z556" s="94"/>
      <c r="AA556" s="94"/>
      <c r="AB556" s="94"/>
      <c r="AC556" s="94"/>
      <c r="AD556" s="94"/>
      <c r="AE556" s="94"/>
      <c r="AF556" s="94"/>
      <c r="AG556" s="94"/>
      <c r="AH556" s="94"/>
      <c r="AI556" s="94"/>
      <c r="AJ556" s="94"/>
      <c r="AK556" s="94"/>
      <c r="AL556" s="94"/>
      <c r="AM556" s="94"/>
      <c r="AN556" s="94"/>
      <c r="AO556" s="94"/>
      <c r="AP556" s="94"/>
      <c r="AQ556" s="94"/>
      <c r="AR556" s="94"/>
      <c r="AS556" s="94"/>
      <c r="AT556" s="94"/>
      <c r="AU556" s="94"/>
      <c r="AV556" s="94"/>
      <c r="AW556" s="94"/>
      <c r="AX556" s="94"/>
      <c r="AY556" s="94"/>
      <c r="BA556" s="95"/>
    </row>
    <row r="557" spans="1:53" s="87" customFormat="1">
      <c r="A557" s="90" t="str">
        <f t="shared" si="56"/>
        <v/>
      </c>
      <c r="B557" s="98">
        <v>4</v>
      </c>
      <c r="C557" s="94" t="s">
        <v>210</v>
      </c>
      <c r="D557" s="94">
        <v>-4</v>
      </c>
      <c r="E557" s="94">
        <v>1</v>
      </c>
      <c r="F557" s="94" t="s">
        <v>210</v>
      </c>
      <c r="G557" s="94">
        <v>4</v>
      </c>
      <c r="H557" s="94" t="s">
        <v>210</v>
      </c>
      <c r="I557" s="94">
        <v>-5</v>
      </c>
      <c r="J557" s="94" t="s">
        <v>210</v>
      </c>
      <c r="K557" s="94" t="s">
        <v>210</v>
      </c>
      <c r="L557" s="94">
        <v>3</v>
      </c>
      <c r="M557" s="94"/>
      <c r="N557" s="94"/>
      <c r="O557" s="94"/>
      <c r="P557" s="94"/>
      <c r="Q557" s="94"/>
      <c r="R557" s="94"/>
      <c r="S557" s="94"/>
      <c r="T557" s="94"/>
      <c r="U557" s="94"/>
      <c r="V557" s="94"/>
      <c r="W557" s="94"/>
      <c r="X557" s="94"/>
      <c r="Y557" s="94"/>
      <c r="Z557" s="94"/>
      <c r="AA557" s="94"/>
      <c r="AB557" s="94"/>
      <c r="AC557" s="94"/>
      <c r="AD557" s="94"/>
      <c r="AE557" s="94"/>
      <c r="AF557" s="94"/>
      <c r="AG557" s="94"/>
      <c r="AH557" s="94"/>
      <c r="AI557" s="94"/>
      <c r="AJ557" s="94"/>
      <c r="AK557" s="94"/>
      <c r="AL557" s="94"/>
      <c r="AM557" s="94"/>
      <c r="AN557" s="94"/>
      <c r="AO557" s="94"/>
      <c r="AP557" s="94"/>
      <c r="AQ557" s="94"/>
      <c r="AR557" s="94"/>
      <c r="AS557" s="94"/>
      <c r="AT557" s="94"/>
      <c r="AU557" s="94"/>
      <c r="AV557" s="94"/>
      <c r="AW557" s="94"/>
      <c r="AX557" s="94"/>
      <c r="AY557" s="94"/>
      <c r="BA557" s="95"/>
    </row>
    <row r="558" spans="1:53" s="87" customFormat="1">
      <c r="A558" s="90" t="str">
        <f t="shared" si="56"/>
        <v/>
      </c>
      <c r="B558" s="98">
        <v>5</v>
      </c>
      <c r="C558" s="94" t="s">
        <v>210</v>
      </c>
      <c r="D558" s="94">
        <v>-2</v>
      </c>
      <c r="E558" s="94">
        <v>-1</v>
      </c>
      <c r="F558" s="94" t="s">
        <v>210</v>
      </c>
      <c r="G558" s="94">
        <v>2</v>
      </c>
      <c r="H558" s="94" t="s">
        <v>210</v>
      </c>
      <c r="I558" s="94">
        <v>-3</v>
      </c>
      <c r="J558" s="94" t="s">
        <v>210</v>
      </c>
      <c r="K558" s="94" t="s">
        <v>210</v>
      </c>
      <c r="L558" s="94">
        <v>4</v>
      </c>
      <c r="M558" s="94"/>
      <c r="N558" s="94"/>
      <c r="O558" s="94"/>
      <c r="P558" s="94"/>
      <c r="Q558" s="94"/>
      <c r="R558" s="94"/>
      <c r="S558" s="94"/>
      <c r="T558" s="94"/>
      <c r="U558" s="94"/>
      <c r="V558" s="94"/>
      <c r="W558" s="94"/>
      <c r="X558" s="94"/>
      <c r="Y558" s="94"/>
      <c r="Z558" s="94"/>
      <c r="AA558" s="94"/>
      <c r="AB558" s="94"/>
      <c r="AC558" s="94"/>
      <c r="AD558" s="94"/>
      <c r="AE558" s="94"/>
      <c r="AF558" s="94"/>
      <c r="AG558" s="94"/>
      <c r="AH558" s="94"/>
      <c r="AI558" s="94"/>
      <c r="AJ558" s="94"/>
      <c r="AK558" s="94"/>
      <c r="AL558" s="94"/>
      <c r="AM558" s="94"/>
      <c r="AN558" s="94"/>
      <c r="AO558" s="94"/>
      <c r="AP558" s="94"/>
      <c r="AQ558" s="94"/>
      <c r="AR558" s="94"/>
      <c r="AS558" s="94"/>
      <c r="AT558" s="94"/>
      <c r="AU558" s="94"/>
      <c r="AV558" s="94"/>
      <c r="AW558" s="94"/>
      <c r="AX558" s="94"/>
      <c r="AY558" s="94"/>
      <c r="BA558" s="95"/>
    </row>
    <row r="559" spans="1:53" s="87" customFormat="1">
      <c r="A559" s="90" t="str">
        <f t="shared" si="56"/>
        <v/>
      </c>
      <c r="B559" s="99">
        <v>6</v>
      </c>
      <c r="C559" s="92" t="s">
        <v>210</v>
      </c>
      <c r="D559" s="92">
        <v>4</v>
      </c>
      <c r="E559" s="92">
        <v>-5</v>
      </c>
      <c r="F559" s="92" t="s">
        <v>210</v>
      </c>
      <c r="G559" s="92">
        <v>3</v>
      </c>
      <c r="H559" s="92" t="s">
        <v>210</v>
      </c>
      <c r="I559" s="92">
        <v>-1</v>
      </c>
      <c r="J559" s="92" t="s">
        <v>210</v>
      </c>
      <c r="K559" s="92" t="s">
        <v>210</v>
      </c>
      <c r="L559" s="92">
        <v>-4</v>
      </c>
      <c r="M559" s="94"/>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94"/>
      <c r="AT559" s="94"/>
      <c r="AU559" s="94"/>
      <c r="AV559" s="94"/>
      <c r="AW559" s="94"/>
      <c r="AX559" s="94"/>
      <c r="AY559" s="94"/>
      <c r="BA559" s="95"/>
    </row>
    <row r="560" spans="1:53" s="87" customFormat="1">
      <c r="A560" s="90" t="str">
        <f t="shared" si="56"/>
        <v/>
      </c>
      <c r="B560" s="98">
        <v>7</v>
      </c>
      <c r="C560" s="94">
        <v>2</v>
      </c>
      <c r="D560" s="94" t="s">
        <v>210</v>
      </c>
      <c r="E560" s="94" t="s">
        <v>210</v>
      </c>
      <c r="F560" s="94">
        <v>-4</v>
      </c>
      <c r="G560" s="94">
        <v>5</v>
      </c>
      <c r="H560" s="94" t="s">
        <v>210</v>
      </c>
      <c r="I560" s="94" t="s">
        <v>210</v>
      </c>
      <c r="J560" s="94">
        <v>-2</v>
      </c>
      <c r="K560" s="94">
        <v>4</v>
      </c>
      <c r="L560" s="94" t="s">
        <v>210</v>
      </c>
      <c r="M560" s="94"/>
      <c r="N560" s="94"/>
      <c r="O560" s="94"/>
      <c r="P560" s="94"/>
      <c r="Q560" s="94"/>
      <c r="R560" s="94"/>
      <c r="S560" s="94"/>
      <c r="T560" s="94"/>
      <c r="U560" s="94"/>
      <c r="V560" s="94"/>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94"/>
      <c r="AT560" s="94"/>
      <c r="AU560" s="94"/>
      <c r="AV560" s="94"/>
      <c r="AW560" s="94"/>
      <c r="AX560" s="94"/>
      <c r="AY560" s="94"/>
      <c r="BA560" s="95"/>
    </row>
    <row r="561" spans="1:53" s="87" customFormat="1">
      <c r="A561" s="90" t="str">
        <f t="shared" si="56"/>
        <v/>
      </c>
      <c r="B561" s="98">
        <v>8</v>
      </c>
      <c r="C561" s="94">
        <v>-1</v>
      </c>
      <c r="D561" s="94" t="s">
        <v>210</v>
      </c>
      <c r="E561" s="94">
        <v>-3</v>
      </c>
      <c r="F561" s="94" t="s">
        <v>210</v>
      </c>
      <c r="G561" s="94" t="s">
        <v>210</v>
      </c>
      <c r="H561" s="94">
        <v>2</v>
      </c>
      <c r="I561" s="94" t="s">
        <v>210</v>
      </c>
      <c r="J561" s="94">
        <v>3</v>
      </c>
      <c r="K561" s="94">
        <v>-4</v>
      </c>
      <c r="L561" s="94" t="s">
        <v>210</v>
      </c>
      <c r="M561" s="94"/>
      <c r="N561" s="94"/>
      <c r="O561" s="94"/>
      <c r="P561" s="94"/>
      <c r="Q561" s="94"/>
      <c r="R561" s="94"/>
      <c r="S561" s="94"/>
      <c r="T561" s="94"/>
      <c r="U561" s="94"/>
      <c r="V561" s="94"/>
      <c r="W561" s="94"/>
      <c r="X561" s="94"/>
      <c r="Y561" s="94"/>
      <c r="Z561" s="94"/>
      <c r="AA561" s="94"/>
      <c r="AB561" s="94"/>
      <c r="AC561" s="94"/>
      <c r="AD561" s="94"/>
      <c r="AE561" s="94"/>
      <c r="AF561" s="94"/>
      <c r="AG561" s="94"/>
      <c r="AH561" s="94"/>
      <c r="AI561" s="94"/>
      <c r="AJ561" s="94"/>
      <c r="AK561" s="94"/>
      <c r="AL561" s="94"/>
      <c r="AM561" s="94"/>
      <c r="AN561" s="94"/>
      <c r="AO561" s="94"/>
      <c r="AP561" s="94"/>
      <c r="AQ561" s="94"/>
      <c r="AR561" s="94"/>
      <c r="AS561" s="94"/>
      <c r="AT561" s="94"/>
      <c r="AU561" s="94"/>
      <c r="AV561" s="94"/>
      <c r="AW561" s="94"/>
      <c r="AX561" s="94"/>
      <c r="AY561" s="94"/>
      <c r="BA561" s="95"/>
    </row>
    <row r="562" spans="1:53" s="87" customFormat="1">
      <c r="A562" s="90" t="str">
        <f t="shared" si="56"/>
        <v/>
      </c>
      <c r="B562" s="98">
        <v>9</v>
      </c>
      <c r="C562" s="94">
        <v>1</v>
      </c>
      <c r="D562" s="94" t="s">
        <v>210</v>
      </c>
      <c r="E562" s="94" t="s">
        <v>210</v>
      </c>
      <c r="F562" s="94">
        <v>2</v>
      </c>
      <c r="G562" s="94">
        <v>-5</v>
      </c>
      <c r="H562" s="94" t="s">
        <v>210</v>
      </c>
      <c r="I562" s="94" t="s">
        <v>210</v>
      </c>
      <c r="J562" s="94">
        <v>4</v>
      </c>
      <c r="K562" s="94">
        <v>-2</v>
      </c>
      <c r="L562" s="94" t="s">
        <v>210</v>
      </c>
      <c r="M562" s="94"/>
      <c r="N562" s="94"/>
      <c r="O562" s="94"/>
      <c r="P562" s="94"/>
      <c r="Q562" s="94"/>
      <c r="R562" s="94"/>
      <c r="S562" s="94"/>
      <c r="T562" s="94"/>
      <c r="U562" s="94"/>
      <c r="V562" s="94"/>
      <c r="W562" s="94"/>
      <c r="X562" s="94"/>
      <c r="Y562" s="94"/>
      <c r="Z562" s="94"/>
      <c r="AA562" s="94"/>
      <c r="AB562" s="94"/>
      <c r="AC562" s="94"/>
      <c r="AD562" s="94"/>
      <c r="AE562" s="94"/>
      <c r="AF562" s="94"/>
      <c r="AG562" s="94"/>
      <c r="AH562" s="94"/>
      <c r="AI562" s="94"/>
      <c r="AJ562" s="94"/>
      <c r="AK562" s="94"/>
      <c r="AL562" s="94"/>
      <c r="AM562" s="94"/>
      <c r="AN562" s="94"/>
      <c r="AO562" s="94"/>
      <c r="AP562" s="94"/>
      <c r="AQ562" s="94"/>
      <c r="AR562" s="94"/>
      <c r="AS562" s="94"/>
      <c r="AT562" s="94"/>
      <c r="AU562" s="94"/>
      <c r="AV562" s="94"/>
      <c r="AW562" s="94"/>
      <c r="AX562" s="94"/>
      <c r="AY562" s="94"/>
      <c r="BA562" s="95"/>
    </row>
    <row r="563" spans="1:53" s="87" customFormat="1">
      <c r="A563" s="90" t="str">
        <f t="shared" si="56"/>
        <v/>
      </c>
      <c r="B563" s="98">
        <v>10</v>
      </c>
      <c r="C563" s="94">
        <v>-5</v>
      </c>
      <c r="D563" s="94" t="s">
        <v>210</v>
      </c>
      <c r="E563" s="94" t="s">
        <v>210</v>
      </c>
      <c r="F563" s="94">
        <v>4</v>
      </c>
      <c r="G563" s="94">
        <v>-1</v>
      </c>
      <c r="H563" s="94" t="s">
        <v>210</v>
      </c>
      <c r="I563" s="94" t="s">
        <v>210</v>
      </c>
      <c r="J563" s="94">
        <v>-3</v>
      </c>
      <c r="K563" s="94">
        <v>2</v>
      </c>
      <c r="L563" s="94" t="s">
        <v>210</v>
      </c>
      <c r="M563" s="94"/>
      <c r="N563" s="94"/>
      <c r="O563" s="94"/>
      <c r="P563" s="94"/>
      <c r="Q563" s="94"/>
      <c r="R563" s="94"/>
      <c r="S563" s="94"/>
      <c r="T563" s="94"/>
      <c r="U563" s="94"/>
      <c r="V563" s="94"/>
      <c r="W563" s="94"/>
      <c r="X563" s="94"/>
      <c r="Y563" s="94"/>
      <c r="Z563" s="94"/>
      <c r="AA563" s="94"/>
      <c r="AB563" s="94"/>
      <c r="AC563" s="94"/>
      <c r="AD563" s="94"/>
      <c r="AE563" s="94"/>
      <c r="AF563" s="94"/>
      <c r="AG563" s="94"/>
      <c r="AH563" s="94"/>
      <c r="AI563" s="94"/>
      <c r="AJ563" s="94"/>
      <c r="AK563" s="94"/>
      <c r="AL563" s="94"/>
      <c r="AM563" s="94"/>
      <c r="AN563" s="94"/>
      <c r="AO563" s="94"/>
      <c r="AP563" s="94"/>
      <c r="AQ563" s="94"/>
      <c r="AR563" s="94"/>
      <c r="AS563" s="94"/>
      <c r="AT563" s="94"/>
      <c r="AU563" s="94"/>
      <c r="AV563" s="94"/>
      <c r="AW563" s="94"/>
      <c r="AX563" s="94"/>
      <c r="AY563" s="94"/>
      <c r="BA563" s="95"/>
    </row>
    <row r="564" spans="1:53" s="87" customFormat="1">
      <c r="A564" s="90" t="str">
        <f t="shared" si="56"/>
        <v/>
      </c>
      <c r="B564" s="99">
        <v>11</v>
      </c>
      <c r="C564" s="92">
        <v>-2</v>
      </c>
      <c r="D564" s="92" t="s">
        <v>210</v>
      </c>
      <c r="E564" s="92">
        <v>3</v>
      </c>
      <c r="F564" s="92" t="s">
        <v>210</v>
      </c>
      <c r="G564" s="92">
        <v>1</v>
      </c>
      <c r="H564" s="92" t="s">
        <v>210</v>
      </c>
      <c r="I564" s="92" t="s">
        <v>210</v>
      </c>
      <c r="J564" s="92">
        <v>-4</v>
      </c>
      <c r="K564" s="92">
        <v>-3</v>
      </c>
      <c r="L564" s="92" t="s">
        <v>210</v>
      </c>
      <c r="M564" s="94"/>
      <c r="N564" s="94"/>
      <c r="O564" s="94"/>
      <c r="P564" s="94"/>
      <c r="Q564" s="94"/>
      <c r="R564" s="94"/>
      <c r="S564" s="94"/>
      <c r="T564" s="94"/>
      <c r="U564" s="94"/>
      <c r="V564" s="94"/>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c r="AW564" s="94"/>
      <c r="AX564" s="94"/>
      <c r="AY564" s="94"/>
      <c r="BA564" s="95"/>
    </row>
    <row r="565" spans="1:53" s="87" customFormat="1">
      <c r="A565" s="90" t="str">
        <f t="shared" si="56"/>
        <v/>
      </c>
      <c r="B565" s="98">
        <v>12</v>
      </c>
      <c r="C565" s="94">
        <v>3</v>
      </c>
      <c r="D565" s="94" t="s">
        <v>210</v>
      </c>
      <c r="E565" s="94">
        <v>-2</v>
      </c>
      <c r="F565" s="94" t="s">
        <v>210</v>
      </c>
      <c r="G565" s="94" t="s">
        <v>210</v>
      </c>
      <c r="H565" s="94">
        <v>-4</v>
      </c>
      <c r="I565" s="94" t="s">
        <v>210</v>
      </c>
      <c r="J565" s="94">
        <v>2</v>
      </c>
      <c r="K565" s="94">
        <v>-5</v>
      </c>
      <c r="L565" s="94" t="s">
        <v>210</v>
      </c>
      <c r="M565" s="94"/>
      <c r="N565" s="94"/>
      <c r="O565" s="94"/>
      <c r="P565" s="94"/>
      <c r="Q565" s="94"/>
      <c r="R565" s="94"/>
      <c r="S565" s="94"/>
      <c r="T565" s="94"/>
      <c r="U565" s="94"/>
      <c r="V565" s="94"/>
      <c r="W565" s="94"/>
      <c r="X565" s="94"/>
      <c r="Y565" s="94"/>
      <c r="Z565" s="94"/>
      <c r="AA565" s="94"/>
      <c r="AB565" s="94"/>
      <c r="AC565" s="94"/>
      <c r="AD565" s="94"/>
      <c r="AE565" s="94"/>
      <c r="AF565" s="94"/>
      <c r="AG565" s="94"/>
      <c r="AH565" s="94"/>
      <c r="AI565" s="94"/>
      <c r="AJ565" s="94"/>
      <c r="AK565" s="94"/>
      <c r="AL565" s="94"/>
      <c r="AM565" s="94"/>
      <c r="AN565" s="94"/>
      <c r="AO565" s="94"/>
      <c r="AP565" s="94"/>
      <c r="AQ565" s="94"/>
      <c r="AR565" s="94"/>
      <c r="AS565" s="94"/>
      <c r="AT565" s="94"/>
      <c r="AU565" s="94"/>
      <c r="AV565" s="94"/>
      <c r="AW565" s="94"/>
      <c r="AX565" s="94"/>
      <c r="AY565" s="94"/>
      <c r="BA565" s="95"/>
    </row>
    <row r="566" spans="1:53" s="87" customFormat="1">
      <c r="A566" s="90" t="str">
        <f t="shared" si="56"/>
        <v/>
      </c>
      <c r="B566" s="98">
        <v>13</v>
      </c>
      <c r="C566" s="94">
        <v>-4</v>
      </c>
      <c r="D566" s="94" t="s">
        <v>210</v>
      </c>
      <c r="E566" s="94" t="s">
        <v>210</v>
      </c>
      <c r="F566" s="94">
        <v>3</v>
      </c>
      <c r="G566" s="94" t="s">
        <v>210</v>
      </c>
      <c r="H566" s="94">
        <v>-2</v>
      </c>
      <c r="I566" s="94">
        <v>4</v>
      </c>
      <c r="J566" s="94" t="s">
        <v>210</v>
      </c>
      <c r="K566" s="94">
        <v>5</v>
      </c>
      <c r="L566" s="94" t="s">
        <v>210</v>
      </c>
      <c r="M566" s="94"/>
      <c r="N566" s="94"/>
      <c r="O566" s="94"/>
      <c r="P566" s="94"/>
      <c r="Q566" s="94"/>
      <c r="R566" s="94"/>
      <c r="S566" s="94"/>
      <c r="T566" s="94"/>
      <c r="U566" s="94"/>
      <c r="V566" s="94"/>
      <c r="W566" s="94"/>
      <c r="X566" s="94"/>
      <c r="Y566" s="94"/>
      <c r="Z566" s="94"/>
      <c r="AA566" s="94"/>
      <c r="AB566" s="94"/>
      <c r="AC566" s="94"/>
      <c r="AD566" s="94"/>
      <c r="AE566" s="94"/>
      <c r="AF566" s="94"/>
      <c r="AG566" s="94"/>
      <c r="AH566" s="94"/>
      <c r="AI566" s="94"/>
      <c r="AJ566" s="94"/>
      <c r="AK566" s="94"/>
      <c r="AL566" s="94"/>
      <c r="AM566" s="94"/>
      <c r="AN566" s="94"/>
      <c r="AO566" s="94"/>
      <c r="AP566" s="94"/>
      <c r="AQ566" s="94"/>
      <c r="AR566" s="94"/>
      <c r="AS566" s="94"/>
      <c r="AT566" s="94"/>
      <c r="AU566" s="94"/>
      <c r="AV566" s="94"/>
      <c r="AW566" s="94"/>
      <c r="AX566" s="94"/>
      <c r="AY566" s="94"/>
      <c r="BA566" s="95"/>
    </row>
    <row r="567" spans="1:53" s="87" customFormat="1">
      <c r="A567" s="90" t="str">
        <f t="shared" si="56"/>
        <v/>
      </c>
      <c r="B567" s="98">
        <v>14</v>
      </c>
      <c r="C567" s="94">
        <v>-3</v>
      </c>
      <c r="D567" s="94" t="s">
        <v>210</v>
      </c>
      <c r="E567" s="94" t="s">
        <v>210</v>
      </c>
      <c r="F567" s="94">
        <v>-2</v>
      </c>
      <c r="G567" s="94" t="s">
        <v>210</v>
      </c>
      <c r="H567" s="94">
        <v>3</v>
      </c>
      <c r="I567" s="94">
        <v>-4</v>
      </c>
      <c r="J567" s="94" t="s">
        <v>210</v>
      </c>
      <c r="K567" s="94">
        <v>1</v>
      </c>
      <c r="L567" s="94" t="s">
        <v>210</v>
      </c>
      <c r="M567" s="94"/>
      <c r="N567" s="94"/>
      <c r="O567" s="94"/>
      <c r="P567" s="94"/>
      <c r="Q567" s="94"/>
      <c r="R567" s="94"/>
      <c r="S567" s="94"/>
      <c r="T567" s="94"/>
      <c r="U567" s="94"/>
      <c r="V567" s="94"/>
      <c r="W567" s="94"/>
      <c r="X567" s="94"/>
      <c r="Y567" s="94"/>
      <c r="Z567" s="94"/>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c r="AW567" s="94"/>
      <c r="AX567" s="94"/>
      <c r="AY567" s="94"/>
      <c r="BA567" s="95"/>
    </row>
    <row r="568" spans="1:53" s="87" customFormat="1">
      <c r="A568" s="90" t="str">
        <f t="shared" si="56"/>
        <v/>
      </c>
      <c r="B568" s="98">
        <v>15</v>
      </c>
      <c r="C568" s="94">
        <v>5</v>
      </c>
      <c r="D568" s="94" t="s">
        <v>210</v>
      </c>
      <c r="E568" s="94" t="s">
        <v>210</v>
      </c>
      <c r="F568" s="94">
        <v>-3</v>
      </c>
      <c r="G568" s="94" t="s">
        <v>210</v>
      </c>
      <c r="H568" s="94">
        <v>4</v>
      </c>
      <c r="I568" s="94">
        <v>2</v>
      </c>
      <c r="J568" s="94" t="s">
        <v>210</v>
      </c>
      <c r="K568" s="94">
        <v>-1</v>
      </c>
      <c r="L568" s="94" t="s">
        <v>210</v>
      </c>
      <c r="M568" s="94"/>
      <c r="N568" s="94"/>
      <c r="O568" s="94"/>
      <c r="P568" s="94"/>
      <c r="Q568" s="94"/>
      <c r="R568" s="94"/>
      <c r="S568" s="94"/>
      <c r="T568" s="94"/>
      <c r="U568" s="94"/>
      <c r="V568" s="94"/>
      <c r="W568" s="94"/>
      <c r="X568" s="94"/>
      <c r="Y568" s="94"/>
      <c r="Z568" s="94"/>
      <c r="AA568" s="94"/>
      <c r="AB568" s="94"/>
      <c r="AC568" s="94"/>
      <c r="AD568" s="94"/>
      <c r="AE568" s="94"/>
      <c r="AF568" s="94"/>
      <c r="AG568" s="94"/>
      <c r="AH568" s="94"/>
      <c r="AI568" s="94"/>
      <c r="AJ568" s="94"/>
      <c r="AK568" s="94"/>
      <c r="AL568" s="94"/>
      <c r="AM568" s="94"/>
      <c r="AN568" s="94"/>
      <c r="AO568" s="94"/>
      <c r="AP568" s="94"/>
      <c r="AQ568" s="94"/>
      <c r="AR568" s="94"/>
      <c r="AS568" s="94"/>
      <c r="AT568" s="94"/>
      <c r="AU568" s="94"/>
      <c r="AV568" s="94"/>
      <c r="AW568" s="94"/>
      <c r="AX568" s="94"/>
      <c r="AY568" s="94"/>
      <c r="BA568" s="95"/>
    </row>
    <row r="569" spans="1:53" s="87" customFormat="1">
      <c r="A569" s="90" t="str">
        <f t="shared" si="56"/>
        <v/>
      </c>
      <c r="B569" s="98">
        <v>16</v>
      </c>
      <c r="C569" s="94">
        <v>4</v>
      </c>
      <c r="D569" s="94" t="s">
        <v>210</v>
      </c>
      <c r="E569" s="94">
        <v>2</v>
      </c>
      <c r="F569" s="94" t="s">
        <v>210</v>
      </c>
      <c r="G569" s="94" t="s">
        <v>210</v>
      </c>
      <c r="H569" s="94">
        <v>-3</v>
      </c>
      <c r="I569" s="94">
        <v>-2</v>
      </c>
      <c r="J569" s="94" t="s">
        <v>210</v>
      </c>
      <c r="K569" s="94">
        <v>3</v>
      </c>
      <c r="L569" s="94" t="s">
        <v>210</v>
      </c>
      <c r="M569" s="94"/>
      <c r="N569" s="94"/>
      <c r="O569" s="94"/>
      <c r="P569" s="94"/>
      <c r="Q569" s="94"/>
      <c r="R569" s="94"/>
      <c r="S569" s="94"/>
      <c r="T569" s="94"/>
      <c r="U569" s="94"/>
      <c r="V569" s="94"/>
      <c r="W569" s="94"/>
      <c r="X569" s="94"/>
      <c r="Y569" s="94"/>
      <c r="Z569" s="94"/>
      <c r="AA569" s="94"/>
      <c r="AB569" s="94"/>
      <c r="AC569" s="94"/>
      <c r="AD569" s="94"/>
      <c r="AE569" s="94"/>
      <c r="AF569" s="94"/>
      <c r="AG569" s="94"/>
      <c r="AH569" s="94"/>
      <c r="AI569" s="94"/>
      <c r="AJ569" s="94"/>
      <c r="AK569" s="94"/>
      <c r="AL569" s="94"/>
      <c r="AM569" s="94"/>
      <c r="AN569" s="94"/>
      <c r="AO569" s="94"/>
      <c r="AP569" s="94"/>
      <c r="AQ569" s="94"/>
      <c r="AR569" s="94"/>
      <c r="AS569" s="94"/>
      <c r="AT569" s="94"/>
      <c r="AU569" s="94"/>
      <c r="AV569" s="94"/>
      <c r="AW569" s="94"/>
      <c r="AX569" s="94"/>
      <c r="AY569" s="94"/>
      <c r="BA569" s="95"/>
    </row>
    <row r="570" spans="1:53" s="87" customFormat="1">
      <c r="A570" s="90" t="str">
        <f t="shared" si="56"/>
        <v/>
      </c>
      <c r="B570" s="249" t="s">
        <v>354</v>
      </c>
      <c r="C570" s="94"/>
      <c r="D570" s="94"/>
      <c r="E570" s="94"/>
      <c r="F570" s="94"/>
      <c r="G570" s="94"/>
      <c r="H570" s="94"/>
      <c r="I570" s="94"/>
      <c r="J570" s="94"/>
      <c r="K570" s="94"/>
      <c r="L570" s="94"/>
      <c r="M570" s="94"/>
      <c r="N570" s="94"/>
      <c r="O570" s="94"/>
      <c r="P570" s="94"/>
      <c r="Q570" s="94"/>
      <c r="R570" s="94"/>
      <c r="S570" s="94"/>
      <c r="T570" s="94"/>
      <c r="U570" s="94"/>
      <c r="V570" s="94"/>
      <c r="W570" s="94"/>
      <c r="X570" s="94"/>
      <c r="Y570" s="94"/>
      <c r="Z570" s="94"/>
      <c r="AA570" s="94"/>
      <c r="AB570" s="94"/>
      <c r="AC570" s="94"/>
      <c r="AD570" s="94"/>
      <c r="AE570" s="94"/>
      <c r="AF570" s="94"/>
      <c r="AG570" s="94"/>
      <c r="AH570" s="94"/>
      <c r="AI570" s="94"/>
      <c r="AJ570" s="94"/>
      <c r="AK570" s="94"/>
      <c r="AL570" s="94"/>
      <c r="AM570" s="94"/>
      <c r="AN570" s="94"/>
      <c r="AO570" s="94"/>
      <c r="AP570" s="94"/>
      <c r="AQ570" s="94"/>
      <c r="AR570" s="94"/>
      <c r="AS570" s="94"/>
      <c r="AT570" s="94"/>
      <c r="AU570" s="94"/>
      <c r="AV570" s="94"/>
      <c r="AW570" s="94"/>
      <c r="AX570" s="94"/>
      <c r="AY570" s="94"/>
      <c r="BA570" s="95"/>
    </row>
    <row r="571" spans="1:53" s="87" customFormat="1">
      <c r="A571" s="90">
        <f t="shared" si="56"/>
        <v>571</v>
      </c>
      <c r="B571" s="98" t="s">
        <v>798</v>
      </c>
      <c r="C571" s="94"/>
      <c r="D571" s="94"/>
      <c r="E571" s="94"/>
      <c r="F571" s="94"/>
      <c r="G571" s="94"/>
      <c r="H571" s="94"/>
      <c r="I571" s="94"/>
      <c r="J571" s="94"/>
      <c r="K571" s="94"/>
      <c r="L571" s="94"/>
      <c r="M571" s="94"/>
      <c r="N571" s="94"/>
      <c r="O571" s="94"/>
      <c r="P571" s="94"/>
      <c r="Q571" s="94"/>
      <c r="R571" s="94"/>
      <c r="S571" s="94"/>
      <c r="T571" s="94"/>
      <c r="U571" s="94"/>
      <c r="V571" s="94"/>
      <c r="W571" s="94"/>
      <c r="X571" s="94"/>
      <c r="Y571" s="94"/>
      <c r="Z571" s="94"/>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c r="AW571" s="94"/>
      <c r="AX571" s="94"/>
      <c r="AY571" s="94"/>
      <c r="BA571" s="95"/>
    </row>
    <row r="572" spans="1:53" s="87" customFormat="1">
      <c r="A572" s="90" t="str">
        <f t="shared" si="56"/>
        <v/>
      </c>
      <c r="B572" s="98">
        <v>1</v>
      </c>
      <c r="C572" s="94" t="s">
        <v>210</v>
      </c>
      <c r="D572" s="94">
        <v>2</v>
      </c>
      <c r="E572" s="94">
        <v>-3</v>
      </c>
      <c r="F572" s="94" t="s">
        <v>210</v>
      </c>
      <c r="G572" s="94">
        <v>-1</v>
      </c>
      <c r="H572" s="94" t="s">
        <v>210</v>
      </c>
      <c r="I572" s="94" t="s">
        <v>210</v>
      </c>
      <c r="J572" s="94">
        <v>-2</v>
      </c>
      <c r="K572" s="94" t="s">
        <v>210</v>
      </c>
      <c r="L572" s="94">
        <v>5</v>
      </c>
      <c r="M572" s="94">
        <v>4</v>
      </c>
      <c r="N572" s="94" t="s">
        <v>210</v>
      </c>
      <c r="O572" s="94">
        <v>3</v>
      </c>
      <c r="P572" s="94" t="s">
        <v>210</v>
      </c>
      <c r="Q572" s="94"/>
      <c r="R572" s="94"/>
      <c r="S572" s="94"/>
      <c r="T572" s="94"/>
      <c r="U572" s="94"/>
      <c r="V572" s="94"/>
      <c r="W572" s="94"/>
      <c r="X572" s="94"/>
      <c r="Y572" s="94"/>
      <c r="Z572" s="94"/>
      <c r="AA572" s="94"/>
      <c r="AB572" s="94"/>
      <c r="AC572" s="94"/>
      <c r="AD572" s="94"/>
      <c r="AE572" s="94"/>
      <c r="AF572" s="94"/>
      <c r="AG572" s="94"/>
      <c r="AH572" s="94"/>
      <c r="AI572" s="94"/>
      <c r="AJ572" s="94"/>
      <c r="AK572" s="94"/>
      <c r="AL572" s="94"/>
      <c r="AM572" s="94"/>
      <c r="AN572" s="94"/>
      <c r="AO572" s="94"/>
      <c r="AP572" s="94"/>
      <c r="AQ572" s="94"/>
      <c r="AR572" s="94"/>
      <c r="AS572" s="94"/>
      <c r="AT572" s="94"/>
      <c r="AU572" s="94"/>
      <c r="AV572" s="94"/>
      <c r="AW572" s="94"/>
      <c r="AX572" s="94"/>
      <c r="AY572" s="94"/>
      <c r="BA572" s="95"/>
    </row>
    <row r="573" spans="1:53" s="87" customFormat="1">
      <c r="A573" s="90" t="str">
        <f t="shared" si="56"/>
        <v/>
      </c>
      <c r="B573" s="98">
        <v>2</v>
      </c>
      <c r="C573" s="94" t="s">
        <v>210</v>
      </c>
      <c r="D573" s="94">
        <v>1</v>
      </c>
      <c r="E573" s="94">
        <v>4</v>
      </c>
      <c r="F573" s="94" t="s">
        <v>210</v>
      </c>
      <c r="G573" s="94" t="s">
        <v>210</v>
      </c>
      <c r="H573" s="94">
        <v>3</v>
      </c>
      <c r="I573" s="94">
        <v>-5</v>
      </c>
      <c r="J573" s="94" t="s">
        <v>210</v>
      </c>
      <c r="K573" s="94" t="s">
        <v>210</v>
      </c>
      <c r="L573" s="94">
        <v>-1</v>
      </c>
      <c r="M573" s="94">
        <v>2</v>
      </c>
      <c r="N573" s="94" t="s">
        <v>210</v>
      </c>
      <c r="O573" s="94">
        <v>-3</v>
      </c>
      <c r="P573" s="94" t="s">
        <v>210</v>
      </c>
      <c r="Q573" s="94"/>
      <c r="R573" s="94"/>
      <c r="S573" s="94"/>
      <c r="T573" s="94"/>
      <c r="U573" s="94"/>
      <c r="V573" s="94"/>
      <c r="W573" s="94"/>
      <c r="X573" s="94"/>
      <c r="Y573" s="94"/>
      <c r="Z573" s="94"/>
      <c r="AA573" s="94"/>
      <c r="AB573" s="94"/>
      <c r="AC573" s="94"/>
      <c r="AD573" s="94"/>
      <c r="AE573" s="94"/>
      <c r="AF573" s="94"/>
      <c r="AG573" s="94"/>
      <c r="AH573" s="94"/>
      <c r="AI573" s="94"/>
      <c r="AJ573" s="94"/>
      <c r="AK573" s="94"/>
      <c r="AL573" s="94"/>
      <c r="AM573" s="94"/>
      <c r="AN573" s="94"/>
      <c r="AO573" s="94"/>
      <c r="AP573" s="94"/>
      <c r="AQ573" s="94"/>
      <c r="AR573" s="94"/>
      <c r="AS573" s="94"/>
      <c r="AT573" s="94"/>
      <c r="AU573" s="94"/>
      <c r="AV573" s="94"/>
      <c r="AW573" s="94"/>
      <c r="AX573" s="94"/>
      <c r="AY573" s="94"/>
      <c r="BA573" s="95"/>
    </row>
    <row r="574" spans="1:53" s="87" customFormat="1">
      <c r="A574" s="90" t="str">
        <f t="shared" si="56"/>
        <v/>
      </c>
      <c r="B574" s="98">
        <v>3</v>
      </c>
      <c r="C574" s="94" t="s">
        <v>210</v>
      </c>
      <c r="D574" s="94">
        <v>-5</v>
      </c>
      <c r="E574" s="94">
        <v>3</v>
      </c>
      <c r="F574" s="94" t="s">
        <v>210</v>
      </c>
      <c r="G574" s="94" t="s">
        <v>210</v>
      </c>
      <c r="H574" s="94">
        <v>-2</v>
      </c>
      <c r="I574" s="94">
        <v>4</v>
      </c>
      <c r="J574" s="94" t="s">
        <v>210</v>
      </c>
      <c r="K574" s="94" t="s">
        <v>210</v>
      </c>
      <c r="L574" s="94">
        <v>1</v>
      </c>
      <c r="M574" s="94" t="s">
        <v>210</v>
      </c>
      <c r="N574" s="94">
        <v>-3</v>
      </c>
      <c r="O574" s="94">
        <v>-4</v>
      </c>
      <c r="P574" s="94" t="s">
        <v>210</v>
      </c>
      <c r="Q574" s="94"/>
      <c r="R574" s="94"/>
      <c r="S574" s="94"/>
      <c r="T574" s="94"/>
      <c r="U574" s="94"/>
      <c r="V574" s="94"/>
      <c r="W574" s="94"/>
      <c r="X574" s="94"/>
      <c r="Y574" s="94"/>
      <c r="Z574" s="94"/>
      <c r="AA574" s="94"/>
      <c r="AB574" s="94"/>
      <c r="AC574" s="94"/>
      <c r="AD574" s="94"/>
      <c r="AE574" s="94"/>
      <c r="AF574" s="94"/>
      <c r="AG574" s="94"/>
      <c r="AH574" s="94"/>
      <c r="AI574" s="94"/>
      <c r="AJ574" s="94"/>
      <c r="AK574" s="94"/>
      <c r="AL574" s="94"/>
      <c r="AM574" s="94"/>
      <c r="AN574" s="94"/>
      <c r="AO574" s="94"/>
      <c r="AP574" s="94"/>
      <c r="AQ574" s="94"/>
      <c r="AR574" s="94"/>
      <c r="AS574" s="94"/>
      <c r="AT574" s="94"/>
      <c r="AU574" s="94"/>
      <c r="AV574" s="94"/>
      <c r="AW574" s="94"/>
      <c r="AX574" s="94"/>
      <c r="AY574" s="94"/>
      <c r="BA574" s="95"/>
    </row>
    <row r="575" spans="1:53" s="87" customFormat="1">
      <c r="A575" s="90" t="str">
        <f t="shared" si="56"/>
        <v/>
      </c>
      <c r="B575" s="98">
        <v>4</v>
      </c>
      <c r="C575" s="94">
        <v>5</v>
      </c>
      <c r="D575" s="94" t="s">
        <v>210</v>
      </c>
      <c r="E575" s="94">
        <v>-1</v>
      </c>
      <c r="F575" s="94" t="s">
        <v>210</v>
      </c>
      <c r="G575" s="94" t="s">
        <v>210</v>
      </c>
      <c r="H575" s="94">
        <v>-4</v>
      </c>
      <c r="I575" s="94" t="s">
        <v>210</v>
      </c>
      <c r="J575" s="94">
        <v>3</v>
      </c>
      <c r="K575" s="94" t="s">
        <v>210</v>
      </c>
      <c r="L575" s="94">
        <v>-5</v>
      </c>
      <c r="M575" s="94">
        <v>-2</v>
      </c>
      <c r="N575" s="94" t="s">
        <v>210</v>
      </c>
      <c r="O575" s="94">
        <v>4</v>
      </c>
      <c r="P575" s="94" t="s">
        <v>210</v>
      </c>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BA575" s="95"/>
    </row>
    <row r="576" spans="1:53" s="87" customFormat="1">
      <c r="A576" s="90" t="str">
        <f t="shared" si="56"/>
        <v/>
      </c>
      <c r="B576" s="98">
        <v>5</v>
      </c>
      <c r="C576" s="94">
        <v>-5</v>
      </c>
      <c r="D576" s="94" t="s">
        <v>210</v>
      </c>
      <c r="E576" s="94" t="s">
        <v>210</v>
      </c>
      <c r="F576" s="94">
        <v>4</v>
      </c>
      <c r="G576" s="94" t="s">
        <v>210</v>
      </c>
      <c r="H576" s="94">
        <v>2</v>
      </c>
      <c r="I576" s="94">
        <v>5</v>
      </c>
      <c r="J576" s="94" t="s">
        <v>210</v>
      </c>
      <c r="K576" s="94" t="s">
        <v>210</v>
      </c>
      <c r="L576" s="94">
        <v>-3</v>
      </c>
      <c r="M576" s="94">
        <v>-4</v>
      </c>
      <c r="N576" s="94" t="s">
        <v>210</v>
      </c>
      <c r="O576" s="94">
        <v>1</v>
      </c>
      <c r="P576" s="94" t="s">
        <v>210</v>
      </c>
      <c r="Q576" s="94"/>
      <c r="R576" s="94"/>
      <c r="S576" s="94"/>
      <c r="T576" s="94"/>
      <c r="U576" s="94"/>
      <c r="V576" s="94"/>
      <c r="W576" s="94"/>
      <c r="X576" s="94"/>
      <c r="Y576" s="94"/>
      <c r="Z576" s="94"/>
      <c r="AA576" s="94"/>
      <c r="AB576" s="94"/>
      <c r="AC576" s="94"/>
      <c r="AD576" s="94"/>
      <c r="AE576" s="94"/>
      <c r="AF576" s="94"/>
      <c r="AG576" s="94"/>
      <c r="AH576" s="94"/>
      <c r="AI576" s="94"/>
      <c r="AJ576" s="94"/>
      <c r="AK576" s="94"/>
      <c r="AL576" s="94"/>
      <c r="AM576" s="94"/>
      <c r="AN576" s="94"/>
      <c r="AO576" s="94"/>
      <c r="AP576" s="94"/>
      <c r="AQ576" s="94"/>
      <c r="AR576" s="94"/>
      <c r="AS576" s="94"/>
      <c r="AT576" s="94"/>
      <c r="AU576" s="94"/>
      <c r="AV576" s="94"/>
      <c r="AW576" s="94"/>
      <c r="AX576" s="94"/>
      <c r="AY576" s="94"/>
      <c r="BA576" s="95"/>
    </row>
    <row r="577" spans="1:53" s="87" customFormat="1">
      <c r="A577" s="90" t="str">
        <f t="shared" si="56"/>
        <v/>
      </c>
      <c r="B577" s="98">
        <v>6</v>
      </c>
      <c r="C577" s="94" t="s">
        <v>210</v>
      </c>
      <c r="D577" s="94">
        <v>5</v>
      </c>
      <c r="E577" s="94">
        <v>-4</v>
      </c>
      <c r="F577" s="94" t="s">
        <v>210</v>
      </c>
      <c r="G577" s="94">
        <v>1</v>
      </c>
      <c r="H577" s="94" t="s">
        <v>210</v>
      </c>
      <c r="I577" s="94" t="s">
        <v>210</v>
      </c>
      <c r="J577" s="94">
        <v>-3</v>
      </c>
      <c r="K577" s="94" t="s">
        <v>210</v>
      </c>
      <c r="L577" s="94">
        <v>2</v>
      </c>
      <c r="M577" s="94">
        <v>-5</v>
      </c>
      <c r="N577" s="94" t="s">
        <v>210</v>
      </c>
      <c r="O577" s="94">
        <v>-1</v>
      </c>
      <c r="P577" s="94" t="s">
        <v>210</v>
      </c>
      <c r="Q577" s="94"/>
      <c r="R577" s="94"/>
      <c r="S577" s="94"/>
      <c r="T577" s="94"/>
      <c r="U577" s="94"/>
      <c r="V577" s="94"/>
      <c r="W577" s="94"/>
      <c r="X577" s="94"/>
      <c r="Y577" s="94"/>
      <c r="Z577" s="94"/>
      <c r="AA577" s="94"/>
      <c r="AB577" s="94"/>
      <c r="AC577" s="94"/>
      <c r="AD577" s="94"/>
      <c r="AE577" s="94"/>
      <c r="AF577" s="94"/>
      <c r="AG577" s="94"/>
      <c r="AH577" s="94"/>
      <c r="AI577" s="94"/>
      <c r="AJ577" s="94"/>
      <c r="AK577" s="94"/>
      <c r="AL577" s="94"/>
      <c r="AM577" s="94"/>
      <c r="AN577" s="94"/>
      <c r="AO577" s="94"/>
      <c r="AP577" s="94"/>
      <c r="AQ577" s="94"/>
      <c r="AR577" s="94"/>
      <c r="AS577" s="94"/>
      <c r="AT577" s="94"/>
      <c r="AU577" s="94"/>
      <c r="AV577" s="94"/>
      <c r="AW577" s="94"/>
      <c r="AX577" s="94"/>
      <c r="AY577" s="94"/>
      <c r="BA577" s="95"/>
    </row>
    <row r="578" spans="1:53" s="87" customFormat="1">
      <c r="A578" s="90" t="str">
        <f t="shared" si="56"/>
        <v/>
      </c>
      <c r="B578" s="99">
        <v>7</v>
      </c>
      <c r="C578" s="92" t="s">
        <v>210</v>
      </c>
      <c r="D578" s="92">
        <v>-2</v>
      </c>
      <c r="E578" s="92">
        <v>1</v>
      </c>
      <c r="F578" s="92" t="s">
        <v>210</v>
      </c>
      <c r="G578" s="92" t="s">
        <v>210</v>
      </c>
      <c r="H578" s="92">
        <v>-3</v>
      </c>
      <c r="I578" s="92">
        <v>-4</v>
      </c>
      <c r="J578" s="92" t="s">
        <v>210</v>
      </c>
      <c r="K578" s="92" t="s">
        <v>210</v>
      </c>
      <c r="L578" s="92">
        <v>3</v>
      </c>
      <c r="M578" s="92">
        <v>5</v>
      </c>
      <c r="N578" s="92" t="s">
        <v>210</v>
      </c>
      <c r="O578" s="92" t="s">
        <v>210</v>
      </c>
      <c r="P578" s="92">
        <v>2</v>
      </c>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BA578" s="95"/>
    </row>
    <row r="579" spans="1:53" s="87" customFormat="1">
      <c r="A579" s="90" t="str">
        <f t="shared" si="56"/>
        <v/>
      </c>
      <c r="B579" s="98">
        <v>8</v>
      </c>
      <c r="C579" s="94" t="s">
        <v>210</v>
      </c>
      <c r="D579" s="94">
        <v>-4</v>
      </c>
      <c r="E579" s="94" t="s">
        <v>210</v>
      </c>
      <c r="F579" s="94">
        <v>-3</v>
      </c>
      <c r="G579" s="94">
        <v>5</v>
      </c>
      <c r="H579" s="94" t="s">
        <v>210</v>
      </c>
      <c r="I579" s="94" t="s">
        <v>210</v>
      </c>
      <c r="J579" s="94">
        <v>2</v>
      </c>
      <c r="K579" s="94">
        <v>4</v>
      </c>
      <c r="L579" s="94" t="s">
        <v>210</v>
      </c>
      <c r="M579" s="94">
        <v>-1</v>
      </c>
      <c r="N579" s="94" t="s">
        <v>210</v>
      </c>
      <c r="O579" s="94" t="s">
        <v>210</v>
      </c>
      <c r="P579" s="94">
        <v>3</v>
      </c>
      <c r="Q579" s="94"/>
      <c r="R579" s="94"/>
      <c r="S579" s="94"/>
      <c r="T579" s="94"/>
      <c r="U579" s="94"/>
      <c r="V579" s="94"/>
      <c r="W579" s="94"/>
      <c r="X579" s="94"/>
      <c r="Y579" s="94"/>
      <c r="Z579" s="94"/>
      <c r="AA579" s="94"/>
      <c r="AB579" s="94"/>
      <c r="AC579" s="94"/>
      <c r="AD579" s="94"/>
      <c r="AE579" s="94"/>
      <c r="AF579" s="94"/>
      <c r="AG579" s="94"/>
      <c r="AH579" s="94"/>
      <c r="AI579" s="94"/>
      <c r="AJ579" s="94"/>
      <c r="AK579" s="94"/>
      <c r="AL579" s="94"/>
      <c r="AM579" s="94"/>
      <c r="AN579" s="94"/>
      <c r="AO579" s="94"/>
      <c r="AP579" s="94"/>
      <c r="AQ579" s="94"/>
      <c r="AR579" s="94"/>
      <c r="AS579" s="94"/>
      <c r="AT579" s="94"/>
      <c r="AU579" s="94"/>
      <c r="AV579" s="94"/>
      <c r="AW579" s="94"/>
      <c r="AX579" s="94"/>
      <c r="AY579" s="94"/>
      <c r="BA579" s="95"/>
    </row>
    <row r="580" spans="1:53" s="87" customFormat="1">
      <c r="A580" s="90" t="str">
        <f t="shared" si="56"/>
        <v/>
      </c>
      <c r="B580" s="98">
        <v>9</v>
      </c>
      <c r="C580" s="94" t="s">
        <v>210</v>
      </c>
      <c r="D580" s="94">
        <v>-1</v>
      </c>
      <c r="E580" s="94" t="s">
        <v>210</v>
      </c>
      <c r="F580" s="94">
        <v>-2</v>
      </c>
      <c r="G580" s="94">
        <v>4</v>
      </c>
      <c r="H580" s="94" t="s">
        <v>210</v>
      </c>
      <c r="I580" s="94">
        <v>3</v>
      </c>
      <c r="J580" s="94" t="s">
        <v>210</v>
      </c>
      <c r="K580" s="94">
        <v>-5</v>
      </c>
      <c r="L580" s="94" t="s">
        <v>210</v>
      </c>
      <c r="M580" s="94" t="s">
        <v>210</v>
      </c>
      <c r="N580" s="94">
        <v>1</v>
      </c>
      <c r="O580" s="94" t="s">
        <v>210</v>
      </c>
      <c r="P580" s="94">
        <v>-3</v>
      </c>
      <c r="Q580" s="94"/>
      <c r="R580" s="94"/>
      <c r="S580" s="94"/>
      <c r="T580" s="94"/>
      <c r="U580" s="94"/>
      <c r="V580" s="94"/>
      <c r="W580" s="94"/>
      <c r="X580" s="94"/>
      <c r="Y580" s="94"/>
      <c r="Z580" s="94"/>
      <c r="AA580" s="94"/>
      <c r="AB580" s="94"/>
      <c r="AC580" s="94"/>
      <c r="AD580" s="94"/>
      <c r="AE580" s="94"/>
      <c r="AF580" s="94"/>
      <c r="AG580" s="94"/>
      <c r="AH580" s="94"/>
      <c r="AI580" s="94"/>
      <c r="AJ580" s="94"/>
      <c r="AK580" s="94"/>
      <c r="AL580" s="94"/>
      <c r="AM580" s="94"/>
      <c r="AN580" s="94"/>
      <c r="AO580" s="94"/>
      <c r="AP580" s="94"/>
      <c r="AQ580" s="94"/>
      <c r="AR580" s="94"/>
      <c r="AS580" s="94"/>
      <c r="AT580" s="94"/>
      <c r="AU580" s="94"/>
      <c r="AV580" s="94"/>
      <c r="AW580" s="94"/>
      <c r="AX580" s="94"/>
      <c r="AY580" s="94"/>
      <c r="BA580" s="95"/>
    </row>
    <row r="581" spans="1:53" s="87" customFormat="1">
      <c r="A581" s="90" t="str">
        <f t="shared" si="56"/>
        <v/>
      </c>
      <c r="B581" s="98">
        <v>10</v>
      </c>
      <c r="C581" s="94" t="s">
        <v>210</v>
      </c>
      <c r="D581" s="94">
        <v>4</v>
      </c>
      <c r="E581" s="94">
        <v>2</v>
      </c>
      <c r="F581" s="94" t="s">
        <v>210</v>
      </c>
      <c r="G581" s="94" t="s">
        <v>210</v>
      </c>
      <c r="H581" s="94">
        <v>-5</v>
      </c>
      <c r="I581" s="94">
        <v>-1</v>
      </c>
      <c r="J581" s="94" t="s">
        <v>210</v>
      </c>
      <c r="K581" s="94">
        <v>5</v>
      </c>
      <c r="L581" s="94" t="s">
        <v>210</v>
      </c>
      <c r="M581" s="94" t="s">
        <v>210</v>
      </c>
      <c r="N581" s="94">
        <v>3</v>
      </c>
      <c r="O581" s="94" t="s">
        <v>210</v>
      </c>
      <c r="P581" s="94">
        <v>-4</v>
      </c>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BA581" s="95"/>
    </row>
    <row r="582" spans="1:53" s="87" customFormat="1">
      <c r="A582" s="90" t="str">
        <f t="shared" si="56"/>
        <v/>
      </c>
      <c r="B582" s="98">
        <v>11</v>
      </c>
      <c r="C582" s="94" t="s">
        <v>210</v>
      </c>
      <c r="D582" s="94">
        <v>3</v>
      </c>
      <c r="E582" s="94">
        <v>-2</v>
      </c>
      <c r="F582" s="94" t="s">
        <v>210</v>
      </c>
      <c r="G582" s="94" t="s">
        <v>210</v>
      </c>
      <c r="H582" s="94">
        <v>4</v>
      </c>
      <c r="I582" s="94" t="s">
        <v>210</v>
      </c>
      <c r="J582" s="94">
        <v>-5</v>
      </c>
      <c r="K582" s="94">
        <v>-4</v>
      </c>
      <c r="L582" s="94" t="s">
        <v>210</v>
      </c>
      <c r="M582" s="94" t="s">
        <v>210</v>
      </c>
      <c r="N582" s="94">
        <v>-1</v>
      </c>
      <c r="O582" s="94">
        <v>2</v>
      </c>
      <c r="P582" s="94" t="s">
        <v>210</v>
      </c>
      <c r="Q582" s="94"/>
      <c r="R582" s="94"/>
      <c r="S582" s="94"/>
      <c r="T582" s="94"/>
      <c r="U582" s="94"/>
      <c r="V582" s="94"/>
      <c r="W582" s="94"/>
      <c r="X582" s="94"/>
      <c r="Y582" s="94"/>
      <c r="Z582" s="94"/>
      <c r="AA582" s="94"/>
      <c r="AB582" s="94"/>
      <c r="AC582" s="94"/>
      <c r="AD582" s="94"/>
      <c r="AE582" s="94"/>
      <c r="AF582" s="94"/>
      <c r="AG582" s="94"/>
      <c r="AH582" s="94"/>
      <c r="AI582" s="94"/>
      <c r="AJ582" s="94"/>
      <c r="AK582" s="94"/>
      <c r="AL582" s="94"/>
      <c r="AM582" s="94"/>
      <c r="AN582" s="94"/>
      <c r="AO582" s="94"/>
      <c r="AP582" s="94"/>
      <c r="AQ582" s="94"/>
      <c r="AR582" s="94"/>
      <c r="AS582" s="94"/>
      <c r="AT582" s="94"/>
      <c r="AU582" s="94"/>
      <c r="AV582" s="94"/>
      <c r="AW582" s="94"/>
      <c r="AX582" s="94"/>
      <c r="AY582" s="94"/>
      <c r="BA582" s="95"/>
    </row>
    <row r="583" spans="1:53" s="87" customFormat="1">
      <c r="A583" s="90" t="str">
        <f t="shared" si="56"/>
        <v/>
      </c>
      <c r="B583" s="98">
        <v>12</v>
      </c>
      <c r="C583" s="94">
        <v>-1</v>
      </c>
      <c r="D583" s="94" t="s">
        <v>210</v>
      </c>
      <c r="E583" s="94" t="s">
        <v>210</v>
      </c>
      <c r="F583" s="94">
        <v>-4</v>
      </c>
      <c r="G583" s="94" t="s">
        <v>210</v>
      </c>
      <c r="H583" s="94">
        <v>5</v>
      </c>
      <c r="I583" s="94">
        <v>-3</v>
      </c>
      <c r="J583" s="94" t="s">
        <v>210</v>
      </c>
      <c r="K583" s="94" t="s">
        <v>210</v>
      </c>
      <c r="L583" s="94">
        <v>4</v>
      </c>
      <c r="M583" s="94">
        <v>1</v>
      </c>
      <c r="N583" s="94" t="s">
        <v>210</v>
      </c>
      <c r="O583" s="94">
        <v>-2</v>
      </c>
      <c r="P583" s="94" t="s">
        <v>210</v>
      </c>
      <c r="Q583" s="94"/>
      <c r="R583" s="94"/>
      <c r="S583" s="94"/>
      <c r="T583" s="94"/>
      <c r="U583" s="94"/>
      <c r="V583" s="94"/>
      <c r="W583" s="94"/>
      <c r="X583" s="94"/>
      <c r="Y583" s="94"/>
      <c r="Z583" s="94"/>
      <c r="AA583" s="94"/>
      <c r="AB583" s="94"/>
      <c r="AC583" s="94"/>
      <c r="AD583" s="94"/>
      <c r="AE583" s="94"/>
      <c r="AF583" s="94"/>
      <c r="AG583" s="94"/>
      <c r="AH583" s="94"/>
      <c r="AI583" s="94"/>
      <c r="AJ583" s="94"/>
      <c r="AK583" s="94"/>
      <c r="AL583" s="94"/>
      <c r="AM583" s="94"/>
      <c r="AN583" s="94"/>
      <c r="AO583" s="94"/>
      <c r="AP583" s="94"/>
      <c r="AQ583" s="94"/>
      <c r="AR583" s="94"/>
      <c r="AS583" s="94"/>
      <c r="AT583" s="94"/>
      <c r="AU583" s="94"/>
      <c r="AV583" s="94"/>
      <c r="AW583" s="94"/>
      <c r="AX583" s="94"/>
      <c r="AY583" s="94"/>
      <c r="BA583" s="95"/>
    </row>
    <row r="584" spans="1:53" s="87" customFormat="1">
      <c r="A584" s="90" t="str">
        <f t="shared" si="56"/>
        <v/>
      </c>
      <c r="B584" s="98">
        <v>13</v>
      </c>
      <c r="C584" s="94">
        <v>1</v>
      </c>
      <c r="D584" s="94" t="s">
        <v>210</v>
      </c>
      <c r="E584" s="94" t="s">
        <v>210</v>
      </c>
      <c r="F584" s="94">
        <v>3</v>
      </c>
      <c r="G584" s="94">
        <v>-4</v>
      </c>
      <c r="H584" s="94" t="s">
        <v>210</v>
      </c>
      <c r="I584" s="94" t="s">
        <v>210</v>
      </c>
      <c r="J584" s="94">
        <v>5</v>
      </c>
      <c r="K584" s="94" t="s">
        <v>210</v>
      </c>
      <c r="L584" s="94">
        <v>-2</v>
      </c>
      <c r="M584" s="94">
        <v>-3</v>
      </c>
      <c r="N584" s="94" t="s">
        <v>210</v>
      </c>
      <c r="O584" s="94" t="s">
        <v>210</v>
      </c>
      <c r="P584" s="94">
        <v>4</v>
      </c>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BA584" s="95"/>
    </row>
    <row r="585" spans="1:53" s="87" customFormat="1">
      <c r="A585" s="90" t="str">
        <f t="shared" si="56"/>
        <v/>
      </c>
      <c r="B585" s="99">
        <v>14</v>
      </c>
      <c r="C585" s="92" t="s">
        <v>210</v>
      </c>
      <c r="D585" s="92">
        <v>-3</v>
      </c>
      <c r="E585" s="92" t="s">
        <v>210</v>
      </c>
      <c r="F585" s="92">
        <v>2</v>
      </c>
      <c r="G585" s="92">
        <v>-5</v>
      </c>
      <c r="H585" s="92" t="s">
        <v>210</v>
      </c>
      <c r="I585" s="92">
        <v>1</v>
      </c>
      <c r="J585" s="92" t="s">
        <v>210</v>
      </c>
      <c r="K585" s="92" t="s">
        <v>210</v>
      </c>
      <c r="L585" s="92">
        <v>-4</v>
      </c>
      <c r="M585" s="92">
        <v>3</v>
      </c>
      <c r="N585" s="92" t="s">
        <v>210</v>
      </c>
      <c r="O585" s="92" t="s">
        <v>210</v>
      </c>
      <c r="P585" s="92">
        <v>-2</v>
      </c>
      <c r="Q585" s="94"/>
      <c r="R585" s="94"/>
      <c r="S585" s="94"/>
      <c r="T585" s="94"/>
      <c r="U585" s="94"/>
      <c r="V585" s="94"/>
      <c r="W585" s="94"/>
      <c r="X585" s="94"/>
      <c r="Y585" s="94"/>
      <c r="Z585" s="94"/>
      <c r="AA585" s="94"/>
      <c r="AB585" s="94"/>
      <c r="AC585" s="94"/>
      <c r="AD585" s="94"/>
      <c r="AE585" s="94"/>
      <c r="AF585" s="94"/>
      <c r="AG585" s="94"/>
      <c r="AH585" s="94"/>
      <c r="AI585" s="94"/>
      <c r="AJ585" s="94"/>
      <c r="AK585" s="94"/>
      <c r="AL585" s="94"/>
      <c r="AM585" s="94"/>
      <c r="AN585" s="94"/>
      <c r="AO585" s="94"/>
      <c r="AP585" s="94"/>
      <c r="AQ585" s="94"/>
      <c r="AR585" s="94"/>
      <c r="AS585" s="94"/>
      <c r="AT585" s="94"/>
      <c r="AU585" s="94"/>
      <c r="AV585" s="94"/>
      <c r="AW585" s="94"/>
      <c r="AX585" s="94"/>
      <c r="AY585" s="94"/>
      <c r="BA585" s="95"/>
    </row>
    <row r="586" spans="1:53" s="87" customFormat="1">
      <c r="A586" s="90" t="str">
        <f t="shared" si="56"/>
        <v/>
      </c>
      <c r="B586" s="98">
        <v>15</v>
      </c>
      <c r="C586" s="94">
        <v>-2</v>
      </c>
      <c r="D586" s="94" t="s">
        <v>210</v>
      </c>
      <c r="E586" s="94" t="s">
        <v>210</v>
      </c>
      <c r="F586" s="94">
        <v>-1</v>
      </c>
      <c r="G586" s="94">
        <v>2</v>
      </c>
      <c r="H586" s="94" t="s">
        <v>210</v>
      </c>
      <c r="I586" s="94" t="s">
        <v>210</v>
      </c>
      <c r="J586" s="94" t="s">
        <v>210</v>
      </c>
      <c r="K586" s="94">
        <v>3</v>
      </c>
      <c r="L586" s="94" t="s">
        <v>210</v>
      </c>
      <c r="M586" s="94" t="s">
        <v>210</v>
      </c>
      <c r="N586" s="94">
        <v>-4</v>
      </c>
      <c r="O586" s="94">
        <v>5</v>
      </c>
      <c r="P586" s="94" t="s">
        <v>210</v>
      </c>
      <c r="Q586" s="94"/>
      <c r="R586" s="94"/>
      <c r="S586" s="94"/>
      <c r="T586" s="94"/>
      <c r="U586" s="94"/>
      <c r="V586" s="94"/>
      <c r="W586" s="94"/>
      <c r="X586" s="94"/>
      <c r="Y586" s="94"/>
      <c r="Z586" s="94"/>
      <c r="AA586" s="94"/>
      <c r="AB586" s="94"/>
      <c r="AC586" s="94"/>
      <c r="AD586" s="94"/>
      <c r="AE586" s="94"/>
      <c r="AF586" s="94"/>
      <c r="AG586" s="94"/>
      <c r="AH586" s="94"/>
      <c r="AI586" s="94"/>
      <c r="AJ586" s="94"/>
      <c r="AK586" s="94"/>
      <c r="AL586" s="94"/>
      <c r="AM586" s="94"/>
      <c r="AN586" s="94"/>
      <c r="AO586" s="94"/>
      <c r="AP586" s="94"/>
      <c r="AQ586" s="94"/>
      <c r="AR586" s="94"/>
      <c r="AS586" s="94"/>
      <c r="AT586" s="94"/>
      <c r="AU586" s="94"/>
      <c r="AV586" s="94"/>
      <c r="AW586" s="94"/>
      <c r="AX586" s="94"/>
      <c r="AY586" s="94"/>
      <c r="BA586" s="95"/>
    </row>
    <row r="587" spans="1:53" s="87" customFormat="1">
      <c r="A587" s="90" t="str">
        <f t="shared" si="56"/>
        <v/>
      </c>
      <c r="B587" s="98">
        <v>16</v>
      </c>
      <c r="C587" s="94" t="s">
        <v>210</v>
      </c>
      <c r="D587" s="94" t="s">
        <v>210</v>
      </c>
      <c r="E587" s="94" t="s">
        <v>210</v>
      </c>
      <c r="F587" s="94">
        <v>5</v>
      </c>
      <c r="G587" s="94">
        <v>-3</v>
      </c>
      <c r="H587" s="94" t="s">
        <v>210</v>
      </c>
      <c r="I587" s="94" t="s">
        <v>210</v>
      </c>
      <c r="J587" s="94">
        <v>-4</v>
      </c>
      <c r="K587" s="94">
        <v>1</v>
      </c>
      <c r="L587" s="94" t="s">
        <v>210</v>
      </c>
      <c r="M587" s="94" t="s">
        <v>210</v>
      </c>
      <c r="N587" s="94">
        <v>2</v>
      </c>
      <c r="O587" s="94">
        <v>-5</v>
      </c>
      <c r="P587" s="94" t="s">
        <v>210</v>
      </c>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BA587" s="95"/>
    </row>
    <row r="588" spans="1:53" s="87" customFormat="1">
      <c r="A588" s="90" t="str">
        <f t="shared" ref="A588:A651" si="57">IF(MID(B588,3,2)="05",ROW(),"")</f>
        <v/>
      </c>
      <c r="B588" s="98">
        <v>17</v>
      </c>
      <c r="C588" s="94">
        <v>-3</v>
      </c>
      <c r="D588" s="94" t="s">
        <v>210</v>
      </c>
      <c r="E588" s="94" t="s">
        <v>210</v>
      </c>
      <c r="F588" s="94" t="s">
        <v>210</v>
      </c>
      <c r="G588" s="94" t="s">
        <v>210</v>
      </c>
      <c r="H588" s="94">
        <v>1</v>
      </c>
      <c r="I588" s="94">
        <v>-2</v>
      </c>
      <c r="J588" s="94" t="s">
        <v>210</v>
      </c>
      <c r="K588" s="94">
        <v>-1</v>
      </c>
      <c r="L588" s="94" t="s">
        <v>210</v>
      </c>
      <c r="M588" s="94" t="s">
        <v>210</v>
      </c>
      <c r="N588" s="94">
        <v>4</v>
      </c>
      <c r="O588" s="94" t="s">
        <v>210</v>
      </c>
      <c r="P588" s="94">
        <v>5</v>
      </c>
      <c r="Q588" s="94"/>
      <c r="R588" s="94"/>
      <c r="S588" s="94"/>
      <c r="T588" s="94"/>
      <c r="U588" s="94"/>
      <c r="V588" s="94"/>
      <c r="W588" s="94"/>
      <c r="X588" s="94"/>
      <c r="Y588" s="94"/>
      <c r="Z588" s="94"/>
      <c r="AA588" s="94"/>
      <c r="AB588" s="94"/>
      <c r="AC588" s="94"/>
      <c r="AD588" s="94"/>
      <c r="AE588" s="94"/>
      <c r="AF588" s="94"/>
      <c r="AG588" s="94"/>
      <c r="AH588" s="94"/>
      <c r="AI588" s="94"/>
      <c r="AJ588" s="94"/>
      <c r="AK588" s="94"/>
      <c r="AL588" s="94"/>
      <c r="AM588" s="94"/>
      <c r="AN588" s="94"/>
      <c r="AO588" s="94"/>
      <c r="AP588" s="94"/>
      <c r="AQ588" s="94"/>
      <c r="AR588" s="94"/>
      <c r="AS588" s="94"/>
      <c r="AT588" s="94"/>
      <c r="AU588" s="94"/>
      <c r="AV588" s="94"/>
      <c r="AW588" s="94"/>
      <c r="AX588" s="94"/>
      <c r="AY588" s="94"/>
      <c r="BA588" s="95"/>
    </row>
    <row r="589" spans="1:53" s="87" customFormat="1">
      <c r="A589" s="90" t="str">
        <f t="shared" si="57"/>
        <v/>
      </c>
      <c r="B589" s="98">
        <v>18</v>
      </c>
      <c r="C589" s="94">
        <v>4</v>
      </c>
      <c r="D589" s="94" t="s">
        <v>210</v>
      </c>
      <c r="E589" s="94">
        <v>5</v>
      </c>
      <c r="F589" s="94" t="s">
        <v>210</v>
      </c>
      <c r="G589" s="94" t="s">
        <v>210</v>
      </c>
      <c r="H589" s="94" t="s">
        <v>210</v>
      </c>
      <c r="I589" s="94" t="s">
        <v>210</v>
      </c>
      <c r="J589" s="94">
        <v>1</v>
      </c>
      <c r="K589" s="94">
        <v>-3</v>
      </c>
      <c r="L589" s="94" t="s">
        <v>210</v>
      </c>
      <c r="M589" s="94" t="s">
        <v>210</v>
      </c>
      <c r="N589" s="94">
        <v>-2</v>
      </c>
      <c r="O589" s="94" t="s">
        <v>210</v>
      </c>
      <c r="P589" s="94">
        <v>-5</v>
      </c>
      <c r="Q589" s="94"/>
      <c r="R589" s="94"/>
      <c r="S589" s="94"/>
      <c r="T589" s="94"/>
      <c r="U589" s="94"/>
      <c r="V589" s="94"/>
      <c r="W589" s="94"/>
      <c r="X589" s="94"/>
      <c r="Y589" s="94"/>
      <c r="Z589" s="94"/>
      <c r="AA589" s="94"/>
      <c r="AB589" s="94"/>
      <c r="AC589" s="94"/>
      <c r="AD589" s="94"/>
      <c r="AE589" s="94"/>
      <c r="AF589" s="94"/>
      <c r="AG589" s="94"/>
      <c r="AH589" s="94"/>
      <c r="AI589" s="94"/>
      <c r="AJ589" s="94"/>
      <c r="AK589" s="94"/>
      <c r="AL589" s="94"/>
      <c r="AM589" s="94"/>
      <c r="AN589" s="94"/>
      <c r="AO589" s="94"/>
      <c r="AP589" s="94"/>
      <c r="AQ589" s="94"/>
      <c r="AR589" s="94"/>
      <c r="AS589" s="94"/>
      <c r="AT589" s="94"/>
      <c r="AU589" s="94"/>
      <c r="AV589" s="94"/>
      <c r="AW589" s="94"/>
      <c r="AX589" s="94"/>
      <c r="AY589" s="94"/>
      <c r="BA589" s="95"/>
    </row>
    <row r="590" spans="1:53" s="87" customFormat="1">
      <c r="A590" s="90" t="str">
        <f t="shared" si="57"/>
        <v/>
      </c>
      <c r="B590" s="98">
        <v>19</v>
      </c>
      <c r="C590" s="94">
        <v>-4</v>
      </c>
      <c r="D590" s="94" t="s">
        <v>210</v>
      </c>
      <c r="E590" s="94" t="s">
        <v>210</v>
      </c>
      <c r="F590" s="94">
        <v>1</v>
      </c>
      <c r="G590" s="94">
        <v>3</v>
      </c>
      <c r="H590" s="94" t="s">
        <v>210</v>
      </c>
      <c r="I590" s="94">
        <v>2</v>
      </c>
      <c r="J590" s="94" t="s">
        <v>210</v>
      </c>
      <c r="K590" s="94" t="s">
        <v>210</v>
      </c>
      <c r="L590" s="94" t="s">
        <v>210</v>
      </c>
      <c r="M590" s="94" t="s">
        <v>210</v>
      </c>
      <c r="N590" s="94">
        <v>-5</v>
      </c>
      <c r="O590" s="94" t="s">
        <v>210</v>
      </c>
      <c r="P590" s="94">
        <v>-1</v>
      </c>
      <c r="Q590" s="94"/>
      <c r="R590" s="94"/>
      <c r="S590" s="94"/>
      <c r="T590" s="94"/>
      <c r="U590" s="94"/>
      <c r="V590" s="94"/>
      <c r="W590" s="94"/>
      <c r="X590" s="94"/>
      <c r="Y590" s="94"/>
      <c r="Z590" s="94"/>
      <c r="AA590" s="94"/>
      <c r="AB590" s="94"/>
      <c r="AC590" s="94"/>
      <c r="AD590" s="94"/>
      <c r="AE590" s="94"/>
      <c r="AF590" s="94"/>
      <c r="AG590" s="94"/>
      <c r="AH590" s="94"/>
      <c r="AI590" s="94"/>
      <c r="AJ590" s="94"/>
      <c r="AK590" s="94"/>
      <c r="AL590" s="94"/>
      <c r="AM590" s="94"/>
      <c r="AN590" s="94"/>
      <c r="AO590" s="94"/>
      <c r="AP590" s="94"/>
      <c r="AQ590" s="94"/>
      <c r="AR590" s="94"/>
      <c r="AS590" s="94"/>
      <c r="AT590" s="94"/>
      <c r="AU590" s="94"/>
      <c r="AV590" s="94"/>
      <c r="AW590" s="94"/>
      <c r="AX590" s="94"/>
      <c r="AY590" s="94"/>
      <c r="BA590" s="95"/>
    </row>
    <row r="591" spans="1:53" s="87" customFormat="1">
      <c r="A591" s="90" t="str">
        <f t="shared" si="57"/>
        <v/>
      </c>
      <c r="B591" s="98">
        <v>20</v>
      </c>
      <c r="C591" s="94">
        <v>2</v>
      </c>
      <c r="D591" s="94" t="s">
        <v>210</v>
      </c>
      <c r="E591" s="94">
        <v>-5</v>
      </c>
      <c r="F591" s="94" t="s">
        <v>210</v>
      </c>
      <c r="G591" s="94" t="s">
        <v>210</v>
      </c>
      <c r="H591" s="94">
        <v>-1</v>
      </c>
      <c r="I591" s="94" t="s">
        <v>210</v>
      </c>
      <c r="J591" s="94">
        <v>4</v>
      </c>
      <c r="K591" s="94">
        <v>-2</v>
      </c>
      <c r="L591" s="94" t="s">
        <v>210</v>
      </c>
      <c r="M591" s="94" t="s">
        <v>210</v>
      </c>
      <c r="N591" s="94" t="s">
        <v>210</v>
      </c>
      <c r="O591" s="94" t="s">
        <v>210</v>
      </c>
      <c r="P591" s="94">
        <v>1</v>
      </c>
      <c r="Q591" s="94"/>
      <c r="R591" s="94"/>
      <c r="S591" s="94"/>
      <c r="T591" s="94"/>
      <c r="U591" s="94"/>
      <c r="V591" s="94"/>
      <c r="W591" s="94"/>
      <c r="X591" s="94"/>
      <c r="Y591" s="94"/>
      <c r="Z591" s="94"/>
      <c r="AA591" s="94"/>
      <c r="AB591" s="94"/>
      <c r="AC591" s="94"/>
      <c r="AD591" s="94"/>
      <c r="AE591" s="94"/>
      <c r="AF591" s="94"/>
      <c r="AG591" s="94"/>
      <c r="AH591" s="94"/>
      <c r="AI591" s="94"/>
      <c r="AJ591" s="94"/>
      <c r="AK591" s="94"/>
      <c r="AL591" s="94"/>
      <c r="AM591" s="94"/>
      <c r="AN591" s="94"/>
      <c r="AO591" s="94"/>
      <c r="AP591" s="94"/>
      <c r="AQ591" s="94"/>
      <c r="AR591" s="94"/>
      <c r="AS591" s="94"/>
      <c r="AT591" s="94"/>
      <c r="AU591" s="94"/>
      <c r="AV591" s="94"/>
      <c r="AW591" s="94"/>
      <c r="AX591" s="94"/>
      <c r="AY591" s="94"/>
      <c r="BA591" s="95"/>
    </row>
    <row r="592" spans="1:53" s="87" customFormat="1">
      <c r="A592" s="90" t="str">
        <f t="shared" si="57"/>
        <v/>
      </c>
      <c r="B592" s="98">
        <v>21</v>
      </c>
      <c r="C592" s="94">
        <v>3</v>
      </c>
      <c r="D592" s="94" t="s">
        <v>210</v>
      </c>
      <c r="E592" s="94" t="s">
        <v>210</v>
      </c>
      <c r="F592" s="94">
        <v>-5</v>
      </c>
      <c r="G592" s="94">
        <v>-2</v>
      </c>
      <c r="H592" s="94" t="s">
        <v>210</v>
      </c>
      <c r="I592" s="94" t="s">
        <v>210</v>
      </c>
      <c r="J592" s="94">
        <v>-1</v>
      </c>
      <c r="K592" s="94">
        <v>2</v>
      </c>
      <c r="L592" s="94" t="s">
        <v>210</v>
      </c>
      <c r="M592" s="94" t="s">
        <v>210</v>
      </c>
      <c r="N592" s="94">
        <v>5</v>
      </c>
      <c r="O592" s="94" t="s">
        <v>210</v>
      </c>
      <c r="P592" s="94" t="s">
        <v>210</v>
      </c>
      <c r="Q592" s="94"/>
      <c r="R592" s="94"/>
      <c r="S592" s="94"/>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4"/>
      <c r="AY592" s="94"/>
      <c r="BA592" s="95"/>
    </row>
    <row r="593" spans="1:53" s="87" customFormat="1">
      <c r="A593" s="90" t="str">
        <f t="shared" si="57"/>
        <v/>
      </c>
      <c r="B593" s="250" t="s">
        <v>799</v>
      </c>
      <c r="C593" s="94"/>
      <c r="D593" s="94"/>
      <c r="E593" s="94"/>
      <c r="F593" s="94"/>
      <c r="G593" s="94"/>
      <c r="H593" s="94"/>
      <c r="I593" s="94"/>
      <c r="J593" s="94"/>
      <c r="K593" s="94"/>
      <c r="L593" s="94"/>
      <c r="M593" s="94"/>
      <c r="N593" s="94"/>
      <c r="O593" s="94"/>
      <c r="P593" s="94"/>
      <c r="Q593" s="94"/>
      <c r="R593" s="94"/>
      <c r="S593" s="94"/>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c r="AW593" s="94"/>
      <c r="AX593" s="94"/>
      <c r="AY593" s="94"/>
      <c r="BA593" s="95"/>
    </row>
    <row r="594" spans="1:53" s="87" customFormat="1">
      <c r="A594" s="90">
        <f t="shared" si="57"/>
        <v>594</v>
      </c>
      <c r="B594" s="98" t="s">
        <v>810</v>
      </c>
      <c r="C594" s="94"/>
      <c r="D594" s="94"/>
      <c r="E594" s="94"/>
      <c r="F594" s="94"/>
      <c r="G594" s="94"/>
      <c r="H594" s="94"/>
      <c r="I594" s="94"/>
      <c r="J594" s="94"/>
      <c r="K594" s="94"/>
      <c r="L594" s="94"/>
      <c r="M594" s="94"/>
      <c r="N594" s="94"/>
      <c r="O594" s="94"/>
      <c r="P594" s="94"/>
      <c r="Q594" s="94"/>
      <c r="R594" s="94"/>
      <c r="S594" s="94"/>
      <c r="T594" s="94"/>
      <c r="U594" s="94"/>
      <c r="V594" s="94"/>
      <c r="W594" s="94"/>
      <c r="X594" s="94"/>
      <c r="Y594" s="94"/>
      <c r="Z594" s="94"/>
      <c r="AA594" s="94"/>
      <c r="AB594" s="94"/>
      <c r="AC594" s="94"/>
      <c r="AD594" s="94"/>
      <c r="AE594" s="94"/>
      <c r="AF594" s="94"/>
      <c r="AG594" s="94"/>
      <c r="AH594" s="94"/>
      <c r="AI594" s="94"/>
      <c r="AJ594" s="94"/>
      <c r="AK594" s="94"/>
      <c r="AL594" s="94"/>
      <c r="AM594" s="94"/>
      <c r="AN594" s="94"/>
      <c r="AO594" s="94"/>
      <c r="AP594" s="94"/>
      <c r="AQ594" s="94"/>
      <c r="AR594" s="94"/>
      <c r="AS594" s="94"/>
      <c r="AT594" s="94"/>
      <c r="AU594" s="94"/>
      <c r="AV594" s="94"/>
      <c r="AW594" s="94"/>
      <c r="AX594" s="94"/>
      <c r="AY594" s="94"/>
      <c r="BA594" s="95"/>
    </row>
    <row r="595" spans="1:53" s="87" customFormat="1">
      <c r="A595" s="90" t="str">
        <f t="shared" si="57"/>
        <v/>
      </c>
      <c r="B595" s="98">
        <v>1</v>
      </c>
      <c r="C595" s="94" t="s">
        <v>210</v>
      </c>
      <c r="D595" s="94" t="s">
        <v>210</v>
      </c>
      <c r="E595" s="94">
        <v>-3</v>
      </c>
      <c r="F595" s="94" t="s">
        <v>210</v>
      </c>
      <c r="G595" s="94" t="s">
        <v>210</v>
      </c>
      <c r="H595" s="94">
        <v>-4</v>
      </c>
      <c r="I595" s="94">
        <v>5</v>
      </c>
      <c r="J595" s="94" t="s">
        <v>210</v>
      </c>
      <c r="K595" s="94">
        <v>3</v>
      </c>
      <c r="L595" s="94"/>
      <c r="M595" s="94"/>
      <c r="N595" s="94"/>
      <c r="O595" s="94"/>
      <c r="P595" s="94"/>
      <c r="Q595" s="94"/>
      <c r="R595" s="94"/>
      <c r="S595" s="94"/>
      <c r="T595" s="94"/>
      <c r="U595" s="94"/>
      <c r="V595" s="94"/>
      <c r="W595" s="94"/>
      <c r="X595" s="94"/>
      <c r="Y595" s="94"/>
      <c r="Z595" s="94"/>
      <c r="AA595" s="94"/>
      <c r="AB595" s="94"/>
      <c r="AC595" s="94"/>
      <c r="AD595" s="94"/>
      <c r="AE595" s="94"/>
      <c r="AF595" s="94"/>
      <c r="AG595" s="94"/>
      <c r="AH595" s="94"/>
      <c r="AI595" s="94"/>
      <c r="AJ595" s="94"/>
      <c r="AK595" s="94"/>
      <c r="AL595" s="94"/>
      <c r="AM595" s="94"/>
      <c r="AN595" s="94"/>
      <c r="AO595" s="94"/>
      <c r="AP595" s="94"/>
      <c r="AQ595" s="94"/>
      <c r="AR595" s="94"/>
      <c r="AS595" s="94"/>
      <c r="AT595" s="94"/>
      <c r="AU595" s="94"/>
      <c r="AV595" s="94"/>
      <c r="AW595" s="94"/>
      <c r="AX595" s="94"/>
      <c r="AY595" s="94"/>
      <c r="BA595" s="95"/>
    </row>
    <row r="596" spans="1:53" s="87" customFormat="1">
      <c r="A596" s="90" t="str">
        <f t="shared" si="57"/>
        <v/>
      </c>
      <c r="B596" s="98">
        <v>2</v>
      </c>
      <c r="C596" s="94" t="s">
        <v>210</v>
      </c>
      <c r="D596" s="94">
        <v>5</v>
      </c>
      <c r="E596" s="94" t="s">
        <v>210</v>
      </c>
      <c r="F596" s="94" t="s">
        <v>210</v>
      </c>
      <c r="G596" s="94" t="s">
        <v>210</v>
      </c>
      <c r="H596" s="94">
        <v>1</v>
      </c>
      <c r="I596" s="94">
        <v>-2</v>
      </c>
      <c r="J596" s="94" t="s">
        <v>210</v>
      </c>
      <c r="K596" s="94">
        <v>-3</v>
      </c>
      <c r="L596" s="94"/>
      <c r="M596" s="94"/>
      <c r="N596" s="94"/>
      <c r="O596" s="94"/>
      <c r="P596" s="94"/>
      <c r="Q596" s="94"/>
      <c r="R596" s="94"/>
      <c r="S596" s="94"/>
      <c r="T596" s="94"/>
      <c r="U596" s="94"/>
      <c r="V596" s="94"/>
      <c r="W596" s="94"/>
      <c r="X596" s="94"/>
      <c r="Y596" s="94"/>
      <c r="Z596" s="94"/>
      <c r="AA596" s="94"/>
      <c r="AB596" s="94"/>
      <c r="AC596" s="94"/>
      <c r="AD596" s="94"/>
      <c r="AE596" s="94"/>
      <c r="AF596" s="94"/>
      <c r="AG596" s="94"/>
      <c r="AH596" s="94"/>
      <c r="AI596" s="94"/>
      <c r="AJ596" s="94"/>
      <c r="AK596" s="94"/>
      <c r="AL596" s="94"/>
      <c r="AM596" s="94"/>
      <c r="AN596" s="94"/>
      <c r="AO596" s="94"/>
      <c r="AP596" s="94"/>
      <c r="AQ596" s="94"/>
      <c r="AR596" s="94"/>
      <c r="AS596" s="94"/>
      <c r="AT596" s="94"/>
      <c r="AU596" s="94"/>
      <c r="AV596" s="94"/>
      <c r="AW596" s="94"/>
      <c r="AX596" s="94"/>
      <c r="AY596" s="94"/>
      <c r="BA596" s="95"/>
    </row>
    <row r="597" spans="1:53" s="87" customFormat="1">
      <c r="A597" s="90" t="str">
        <f t="shared" si="57"/>
        <v/>
      </c>
      <c r="B597" s="98">
        <v>3</v>
      </c>
      <c r="C597" s="94" t="s">
        <v>210</v>
      </c>
      <c r="D597" s="94">
        <v>-4</v>
      </c>
      <c r="E597" s="94">
        <v>3</v>
      </c>
      <c r="F597" s="94" t="s">
        <v>210</v>
      </c>
      <c r="G597" s="94" t="s">
        <v>210</v>
      </c>
      <c r="H597" s="94" t="s">
        <v>210</v>
      </c>
      <c r="I597" s="94">
        <v>2</v>
      </c>
      <c r="J597" s="94" t="s">
        <v>210</v>
      </c>
      <c r="K597" s="94">
        <v>-1</v>
      </c>
      <c r="L597" s="94"/>
      <c r="M597" s="94"/>
      <c r="N597" s="94"/>
      <c r="O597" s="94"/>
      <c r="P597" s="94"/>
      <c r="Q597" s="94"/>
      <c r="R597" s="94"/>
      <c r="S597" s="94"/>
      <c r="T597" s="94"/>
      <c r="U597" s="94"/>
      <c r="V597" s="94"/>
      <c r="W597" s="94"/>
      <c r="X597" s="94"/>
      <c r="Y597" s="94"/>
      <c r="Z597" s="94"/>
      <c r="AA597" s="94"/>
      <c r="AB597" s="94"/>
      <c r="AC597" s="94"/>
      <c r="AD597" s="94"/>
      <c r="AE597" s="94"/>
      <c r="AF597" s="94"/>
      <c r="AG597" s="94"/>
      <c r="AH597" s="94"/>
      <c r="AI597" s="94"/>
      <c r="AJ597" s="94"/>
      <c r="AK597" s="94"/>
      <c r="AL597" s="94"/>
      <c r="AM597" s="94"/>
      <c r="AN597" s="94"/>
      <c r="AO597" s="94"/>
      <c r="AP597" s="94"/>
      <c r="AQ597" s="94"/>
      <c r="AR597" s="94"/>
      <c r="AS597" s="94"/>
      <c r="AT597" s="94"/>
      <c r="AU597" s="94"/>
      <c r="AV597" s="94"/>
      <c r="AW597" s="94"/>
      <c r="AX597" s="94"/>
      <c r="AY597" s="94"/>
      <c r="BA597" s="95"/>
    </row>
    <row r="598" spans="1:53" s="87" customFormat="1">
      <c r="A598" s="90" t="str">
        <f t="shared" si="57"/>
        <v/>
      </c>
      <c r="B598" s="98">
        <v>4</v>
      </c>
      <c r="C598" s="94" t="s">
        <v>210</v>
      </c>
      <c r="D598" s="94">
        <v>-5</v>
      </c>
      <c r="E598" s="94">
        <v>-2</v>
      </c>
      <c r="F598" s="94" t="s">
        <v>210</v>
      </c>
      <c r="G598" s="94" t="s">
        <v>210</v>
      </c>
      <c r="H598" s="94">
        <v>4</v>
      </c>
      <c r="I598" s="94" t="s">
        <v>210</v>
      </c>
      <c r="J598" s="94" t="s">
        <v>210</v>
      </c>
      <c r="K598" s="94">
        <v>1</v>
      </c>
      <c r="L598" s="94"/>
      <c r="M598" s="94"/>
      <c r="N598" s="94"/>
      <c r="O598" s="94"/>
      <c r="P598" s="94"/>
      <c r="Q598" s="94"/>
      <c r="R598" s="94"/>
      <c r="S598" s="94"/>
      <c r="T598" s="94"/>
      <c r="U598" s="94"/>
      <c r="V598" s="94"/>
      <c r="W598" s="94"/>
      <c r="X598" s="94"/>
      <c r="Y598" s="94"/>
      <c r="Z598" s="94"/>
      <c r="AA598" s="94"/>
      <c r="AB598" s="94"/>
      <c r="AC598" s="94"/>
      <c r="AD598" s="94"/>
      <c r="AE598" s="94"/>
      <c r="AF598" s="94"/>
      <c r="AG598" s="94"/>
      <c r="AH598" s="94"/>
      <c r="AI598" s="94"/>
      <c r="AJ598" s="94"/>
      <c r="AK598" s="94"/>
      <c r="AL598" s="94"/>
      <c r="AM598" s="94"/>
      <c r="AN598" s="94"/>
      <c r="AO598" s="94"/>
      <c r="AP598" s="94"/>
      <c r="AQ598" s="94"/>
      <c r="AR598" s="94"/>
      <c r="AS598" s="94"/>
      <c r="AT598" s="94"/>
      <c r="AU598" s="94"/>
      <c r="AV598" s="94"/>
      <c r="AW598" s="94"/>
      <c r="AX598" s="94"/>
      <c r="AY598" s="94"/>
      <c r="BA598" s="95"/>
    </row>
    <row r="599" spans="1:53" s="87" customFormat="1">
      <c r="A599" s="90" t="str">
        <f t="shared" si="57"/>
        <v/>
      </c>
      <c r="B599" s="99">
        <v>5</v>
      </c>
      <c r="C599" s="92" t="s">
        <v>210</v>
      </c>
      <c r="D599" s="92">
        <v>4</v>
      </c>
      <c r="E599" s="92">
        <v>2</v>
      </c>
      <c r="F599" s="92" t="s">
        <v>210</v>
      </c>
      <c r="G599" s="92" t="s">
        <v>210</v>
      </c>
      <c r="H599" s="92">
        <v>-1</v>
      </c>
      <c r="I599" s="92">
        <v>-5</v>
      </c>
      <c r="J599" s="92" t="s">
        <v>210</v>
      </c>
      <c r="K599" s="92" t="s">
        <v>210</v>
      </c>
      <c r="L599" s="94"/>
      <c r="M599" s="94"/>
      <c r="N599" s="94"/>
      <c r="O599" s="94"/>
      <c r="P599" s="94"/>
      <c r="Q599" s="94"/>
      <c r="R599" s="94"/>
      <c r="S599" s="94"/>
      <c r="T599" s="94"/>
      <c r="U599" s="94"/>
      <c r="V599" s="94"/>
      <c r="W599" s="94"/>
      <c r="X599" s="94"/>
      <c r="Y599" s="94"/>
      <c r="Z599" s="94"/>
      <c r="AA599" s="94"/>
      <c r="AB599" s="94"/>
      <c r="AC599" s="94"/>
      <c r="AD599" s="94"/>
      <c r="AE599" s="94"/>
      <c r="AF599" s="94"/>
      <c r="AG599" s="94"/>
      <c r="AH599" s="94"/>
      <c r="AI599" s="94"/>
      <c r="AJ599" s="94"/>
      <c r="AK599" s="94"/>
      <c r="AL599" s="94"/>
      <c r="AM599" s="94"/>
      <c r="AN599" s="94"/>
      <c r="AO599" s="94"/>
      <c r="AP599" s="94"/>
      <c r="AQ599" s="94"/>
      <c r="AR599" s="94"/>
      <c r="AS599" s="94"/>
      <c r="AT599" s="94"/>
      <c r="AU599" s="94"/>
      <c r="AV599" s="94"/>
      <c r="AW599" s="94"/>
      <c r="AX599" s="94"/>
      <c r="AY599" s="94"/>
      <c r="BA599" s="95"/>
    </row>
    <row r="600" spans="1:53" s="87" customFormat="1">
      <c r="A600" s="90" t="str">
        <f t="shared" si="57"/>
        <v/>
      </c>
      <c r="B600" s="98">
        <v>6</v>
      </c>
      <c r="C600" s="94" t="s">
        <v>210</v>
      </c>
      <c r="D600" s="94" t="s">
        <v>210</v>
      </c>
      <c r="E600" s="94">
        <v>1</v>
      </c>
      <c r="F600" s="94" t="s">
        <v>210</v>
      </c>
      <c r="G600" s="94" t="s">
        <v>210</v>
      </c>
      <c r="H600" s="94">
        <v>3</v>
      </c>
      <c r="I600" s="94">
        <v>-4</v>
      </c>
      <c r="J600" s="94" t="s">
        <v>210</v>
      </c>
      <c r="K600" s="94">
        <v>-2</v>
      </c>
      <c r="L600" s="94"/>
      <c r="M600" s="94"/>
      <c r="N600" s="94"/>
      <c r="O600" s="94"/>
      <c r="P600" s="94"/>
      <c r="Q600" s="94"/>
      <c r="R600" s="94"/>
      <c r="S600" s="94"/>
      <c r="T600" s="94"/>
      <c r="U600" s="94"/>
      <c r="V600" s="94"/>
      <c r="W600" s="94"/>
      <c r="X600" s="94"/>
      <c r="Y600" s="94"/>
      <c r="Z600" s="94"/>
      <c r="AA600" s="94"/>
      <c r="AB600" s="94"/>
      <c r="AC600" s="94"/>
      <c r="AD600" s="94"/>
      <c r="AE600" s="94"/>
      <c r="AF600" s="94"/>
      <c r="AG600" s="94"/>
      <c r="AH600" s="94"/>
      <c r="AI600" s="94"/>
      <c r="AJ600" s="94"/>
      <c r="AK600" s="94"/>
      <c r="AL600" s="94"/>
      <c r="AM600" s="94"/>
      <c r="AN600" s="94"/>
      <c r="AO600" s="94"/>
      <c r="AP600" s="94"/>
      <c r="AQ600" s="94"/>
      <c r="AR600" s="94"/>
      <c r="AS600" s="94"/>
      <c r="AT600" s="94"/>
      <c r="AU600" s="94"/>
      <c r="AV600" s="94"/>
      <c r="AW600" s="94"/>
      <c r="AX600" s="94"/>
      <c r="AY600" s="94"/>
      <c r="BA600" s="95"/>
    </row>
    <row r="601" spans="1:53" s="87" customFormat="1">
      <c r="A601" s="90" t="str">
        <f t="shared" si="57"/>
        <v/>
      </c>
      <c r="B601" s="98">
        <v>7</v>
      </c>
      <c r="C601" s="94" t="s">
        <v>210</v>
      </c>
      <c r="D601" s="94">
        <v>-1</v>
      </c>
      <c r="E601" s="94" t="s">
        <v>210</v>
      </c>
      <c r="F601" s="94" t="s">
        <v>210</v>
      </c>
      <c r="G601" s="94" t="s">
        <v>210</v>
      </c>
      <c r="H601" s="94">
        <v>-5</v>
      </c>
      <c r="I601" s="94">
        <v>3</v>
      </c>
      <c r="J601" s="94" t="s">
        <v>210</v>
      </c>
      <c r="K601" s="94">
        <v>2</v>
      </c>
      <c r="L601" s="94"/>
      <c r="M601" s="94"/>
      <c r="N601" s="94"/>
      <c r="O601" s="94"/>
      <c r="P601" s="94"/>
      <c r="Q601" s="94"/>
      <c r="R601" s="94"/>
      <c r="S601" s="94"/>
      <c r="T601" s="94"/>
      <c r="U601" s="94"/>
      <c r="V601" s="94"/>
      <c r="W601" s="94"/>
      <c r="X601" s="94"/>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BA601" s="95"/>
    </row>
    <row r="602" spans="1:53" s="87" customFormat="1">
      <c r="A602" s="90" t="str">
        <f t="shared" si="57"/>
        <v/>
      </c>
      <c r="B602" s="98">
        <v>8</v>
      </c>
      <c r="C602" s="94" t="s">
        <v>210</v>
      </c>
      <c r="D602" s="94">
        <v>2</v>
      </c>
      <c r="E602" s="94">
        <v>-1</v>
      </c>
      <c r="F602" s="94" t="s">
        <v>210</v>
      </c>
      <c r="G602" s="94" t="s">
        <v>210</v>
      </c>
      <c r="H602" s="94" t="s">
        <v>210</v>
      </c>
      <c r="I602" s="94">
        <v>-3</v>
      </c>
      <c r="J602" s="94" t="s">
        <v>210</v>
      </c>
      <c r="K602" s="94">
        <v>5</v>
      </c>
      <c r="L602" s="94"/>
      <c r="M602" s="94"/>
      <c r="N602" s="94"/>
      <c r="O602" s="94"/>
      <c r="P602" s="94"/>
      <c r="Q602" s="94"/>
      <c r="R602" s="94"/>
      <c r="S602" s="94"/>
      <c r="T602" s="94"/>
      <c r="U602" s="94"/>
      <c r="V602" s="94"/>
      <c r="W602" s="94"/>
      <c r="X602" s="94"/>
      <c r="Y602" s="94"/>
      <c r="Z602" s="94"/>
      <c r="AA602" s="94"/>
      <c r="AB602" s="94"/>
      <c r="AC602" s="94"/>
      <c r="AD602" s="94"/>
      <c r="AE602" s="94"/>
      <c r="AF602" s="94"/>
      <c r="AG602" s="94"/>
      <c r="AH602" s="94"/>
      <c r="AI602" s="94"/>
      <c r="AJ602" s="94"/>
      <c r="AK602" s="94"/>
      <c r="AL602" s="94"/>
      <c r="AM602" s="94"/>
      <c r="AN602" s="94"/>
      <c r="AO602" s="94"/>
      <c r="AP602" s="94"/>
      <c r="AQ602" s="94"/>
      <c r="AR602" s="94"/>
      <c r="AS602" s="94"/>
      <c r="AT602" s="94"/>
      <c r="AU602" s="94"/>
      <c r="AV602" s="94"/>
      <c r="AW602" s="94"/>
      <c r="AX602" s="94"/>
      <c r="AY602" s="94"/>
      <c r="BA602" s="95"/>
    </row>
    <row r="603" spans="1:53" s="87" customFormat="1">
      <c r="A603" s="90" t="str">
        <f t="shared" si="57"/>
        <v/>
      </c>
      <c r="B603" s="98">
        <v>9</v>
      </c>
      <c r="C603" s="94" t="s">
        <v>210</v>
      </c>
      <c r="D603" s="94">
        <v>1</v>
      </c>
      <c r="E603" s="94">
        <v>4</v>
      </c>
      <c r="F603" s="94" t="s">
        <v>210</v>
      </c>
      <c r="G603" s="94" t="s">
        <v>210</v>
      </c>
      <c r="H603" s="94">
        <v>-3</v>
      </c>
      <c r="I603" s="94" t="s">
        <v>210</v>
      </c>
      <c r="J603" s="94" t="s">
        <v>210</v>
      </c>
      <c r="K603" s="94">
        <v>-5</v>
      </c>
      <c r="L603" s="94"/>
      <c r="M603" s="94"/>
      <c r="N603" s="94"/>
      <c r="O603" s="94"/>
      <c r="P603" s="94"/>
      <c r="Q603" s="94"/>
      <c r="R603" s="94"/>
      <c r="S603" s="94"/>
      <c r="T603" s="94"/>
      <c r="U603" s="94"/>
      <c r="V603" s="94"/>
      <c r="W603" s="94"/>
      <c r="X603" s="94"/>
      <c r="Y603" s="94"/>
      <c r="Z603" s="94"/>
      <c r="AA603" s="94"/>
      <c r="AB603" s="94"/>
      <c r="AC603" s="94"/>
      <c r="AD603" s="94"/>
      <c r="AE603" s="94"/>
      <c r="AF603" s="94"/>
      <c r="AG603" s="94"/>
      <c r="AH603" s="94"/>
      <c r="AI603" s="94"/>
      <c r="AJ603" s="94"/>
      <c r="AK603" s="94"/>
      <c r="AL603" s="94"/>
      <c r="AM603" s="94"/>
      <c r="AN603" s="94"/>
      <c r="AO603" s="94"/>
      <c r="AP603" s="94"/>
      <c r="AQ603" s="94"/>
      <c r="AR603" s="94"/>
      <c r="AS603" s="94"/>
      <c r="AT603" s="94"/>
      <c r="AU603" s="94"/>
      <c r="AV603" s="94"/>
      <c r="AW603" s="94"/>
      <c r="AX603" s="94"/>
      <c r="AY603" s="94"/>
      <c r="BA603" s="95"/>
    </row>
    <row r="604" spans="1:53" s="87" customFormat="1">
      <c r="A604" s="90" t="str">
        <f t="shared" si="57"/>
        <v/>
      </c>
      <c r="B604" s="99">
        <v>10</v>
      </c>
      <c r="C604" s="92" t="s">
        <v>210</v>
      </c>
      <c r="D604" s="92">
        <v>-2</v>
      </c>
      <c r="E604" s="92">
        <v>-4</v>
      </c>
      <c r="F604" s="92" t="s">
        <v>210</v>
      </c>
      <c r="G604" s="92" t="s">
        <v>210</v>
      </c>
      <c r="H604" s="92">
        <v>5</v>
      </c>
      <c r="I604" s="92">
        <v>4</v>
      </c>
      <c r="J604" s="92" t="s">
        <v>210</v>
      </c>
      <c r="K604" s="92" t="s">
        <v>210</v>
      </c>
      <c r="L604" s="94"/>
      <c r="M604" s="94"/>
      <c r="N604" s="94"/>
      <c r="O604" s="94"/>
      <c r="P604" s="94"/>
      <c r="Q604" s="94"/>
      <c r="R604" s="94"/>
      <c r="S604" s="94"/>
      <c r="T604" s="94"/>
      <c r="U604" s="94"/>
      <c r="V604" s="94"/>
      <c r="W604" s="94"/>
      <c r="X604" s="94"/>
      <c r="Y604" s="94"/>
      <c r="Z604" s="94"/>
      <c r="AA604" s="94"/>
      <c r="AB604" s="94"/>
      <c r="AC604" s="94"/>
      <c r="AD604" s="94"/>
      <c r="AE604" s="94"/>
      <c r="AF604" s="94"/>
      <c r="AG604" s="94"/>
      <c r="AH604" s="94"/>
      <c r="AI604" s="94"/>
      <c r="AJ604" s="94"/>
      <c r="AK604" s="94"/>
      <c r="AL604" s="94"/>
      <c r="AM604" s="94"/>
      <c r="AN604" s="94"/>
      <c r="AO604" s="94"/>
      <c r="AP604" s="94"/>
      <c r="AQ604" s="94"/>
      <c r="AR604" s="94"/>
      <c r="AS604" s="94"/>
      <c r="AT604" s="94"/>
      <c r="AU604" s="94"/>
      <c r="AV604" s="94"/>
      <c r="AW604" s="94"/>
      <c r="AX604" s="94"/>
      <c r="AY604" s="94"/>
      <c r="BA604" s="95"/>
    </row>
    <row r="605" spans="1:53" s="87" customFormat="1">
      <c r="A605" s="90" t="str">
        <f t="shared" si="57"/>
        <v/>
      </c>
      <c r="B605" s="98">
        <v>11</v>
      </c>
      <c r="C605" s="94" t="s">
        <v>210</v>
      </c>
      <c r="D605" s="94">
        <v>-3</v>
      </c>
      <c r="E605" s="94">
        <v>-5</v>
      </c>
      <c r="F605" s="94" t="s">
        <v>210</v>
      </c>
      <c r="G605" s="94">
        <v>4</v>
      </c>
      <c r="H605" s="94" t="s">
        <v>210</v>
      </c>
      <c r="I605" s="94">
        <v>1</v>
      </c>
      <c r="J605" s="94" t="s">
        <v>210</v>
      </c>
      <c r="K605" s="94" t="s">
        <v>210</v>
      </c>
      <c r="L605" s="94"/>
      <c r="M605" s="94"/>
      <c r="N605" s="94"/>
      <c r="O605" s="94"/>
      <c r="P605" s="94"/>
      <c r="Q605" s="94"/>
      <c r="R605" s="94"/>
      <c r="S605" s="94"/>
      <c r="T605" s="94"/>
      <c r="U605" s="94"/>
      <c r="V605" s="94"/>
      <c r="W605" s="94"/>
      <c r="X605" s="94"/>
      <c r="Y605" s="94"/>
      <c r="Z605" s="94"/>
      <c r="AA605" s="94"/>
      <c r="AB605" s="94"/>
      <c r="AC605" s="94"/>
      <c r="AD605" s="94"/>
      <c r="AE605" s="94"/>
      <c r="AF605" s="94"/>
      <c r="AG605" s="94"/>
      <c r="AH605" s="94"/>
      <c r="AI605" s="94"/>
      <c r="AJ605" s="94"/>
      <c r="AK605" s="94"/>
      <c r="AL605" s="94"/>
      <c r="AM605" s="94"/>
      <c r="AN605" s="94"/>
      <c r="AO605" s="94"/>
      <c r="AP605" s="94"/>
      <c r="AQ605" s="94"/>
      <c r="AR605" s="94"/>
      <c r="AS605" s="94"/>
      <c r="AT605" s="94"/>
      <c r="AU605" s="94"/>
      <c r="AV605" s="94"/>
      <c r="AW605" s="94"/>
      <c r="AX605" s="94"/>
      <c r="AY605" s="94"/>
      <c r="BA605" s="95"/>
    </row>
    <row r="606" spans="1:53" s="87" customFormat="1">
      <c r="A606" s="90" t="str">
        <f t="shared" si="57"/>
        <v/>
      </c>
      <c r="B606" s="98">
        <v>12</v>
      </c>
      <c r="C606" s="94">
        <v>4</v>
      </c>
      <c r="D606" s="94" t="s">
        <v>210</v>
      </c>
      <c r="E606" s="94">
        <v>5</v>
      </c>
      <c r="F606" s="94" t="s">
        <v>210</v>
      </c>
      <c r="G606" s="94" t="s">
        <v>210</v>
      </c>
      <c r="H606" s="94">
        <v>-2</v>
      </c>
      <c r="I606" s="94" t="s">
        <v>210</v>
      </c>
      <c r="J606" s="94">
        <v>-1</v>
      </c>
      <c r="K606" s="94" t="s">
        <v>210</v>
      </c>
      <c r="L606" s="94"/>
      <c r="M606" s="94"/>
      <c r="N606" s="94"/>
      <c r="O606" s="94"/>
      <c r="P606" s="94"/>
      <c r="Q606" s="94"/>
      <c r="R606" s="94"/>
      <c r="S606" s="94"/>
      <c r="T606" s="94"/>
      <c r="U606" s="94"/>
      <c r="V606" s="94"/>
      <c r="W606" s="94"/>
      <c r="X606" s="94"/>
      <c r="Y606" s="94"/>
      <c r="Z606" s="94"/>
      <c r="AA606" s="94"/>
      <c r="AB606" s="94"/>
      <c r="AC606" s="94"/>
      <c r="AD606" s="94"/>
      <c r="AE606" s="94"/>
      <c r="AF606" s="94"/>
      <c r="AG606" s="94"/>
      <c r="AH606" s="94"/>
      <c r="AI606" s="94"/>
      <c r="AJ606" s="94"/>
      <c r="AK606" s="94"/>
      <c r="AL606" s="94"/>
      <c r="AM606" s="94"/>
      <c r="AN606" s="94"/>
      <c r="AO606" s="94"/>
      <c r="AP606" s="94"/>
      <c r="AQ606" s="94"/>
      <c r="AR606" s="94"/>
      <c r="AS606" s="94"/>
      <c r="AT606" s="94"/>
      <c r="AU606" s="94"/>
      <c r="AV606" s="94"/>
      <c r="AW606" s="94"/>
      <c r="AX606" s="94"/>
      <c r="AY606" s="94"/>
      <c r="BA606" s="95"/>
    </row>
    <row r="607" spans="1:53" s="87" customFormat="1">
      <c r="A607" s="90" t="str">
        <f t="shared" si="57"/>
        <v/>
      </c>
      <c r="B607" s="98">
        <v>13</v>
      </c>
      <c r="C607" s="94">
        <v>-5</v>
      </c>
      <c r="D607" s="94" t="s">
        <v>210</v>
      </c>
      <c r="E607" s="94" t="s">
        <v>210</v>
      </c>
      <c r="F607" s="94">
        <v>3</v>
      </c>
      <c r="G607" s="94" t="s">
        <v>210</v>
      </c>
      <c r="H607" s="94">
        <v>2</v>
      </c>
      <c r="I607" s="94">
        <v>-1</v>
      </c>
      <c r="J607" s="94" t="s">
        <v>210</v>
      </c>
      <c r="K607" s="94" t="s">
        <v>210</v>
      </c>
      <c r="L607" s="94"/>
      <c r="M607" s="94"/>
      <c r="N607" s="94"/>
      <c r="O607" s="94"/>
      <c r="P607" s="94"/>
      <c r="Q607" s="94"/>
      <c r="R607" s="94"/>
      <c r="S607" s="94"/>
      <c r="T607" s="94"/>
      <c r="U607" s="94"/>
      <c r="V607" s="94"/>
      <c r="W607" s="94"/>
      <c r="X607" s="94"/>
      <c r="Y607" s="94"/>
      <c r="Z607" s="94"/>
      <c r="AA607" s="94"/>
      <c r="AB607" s="94"/>
      <c r="AC607" s="94"/>
      <c r="AD607" s="94"/>
      <c r="AE607" s="94"/>
      <c r="AF607" s="94"/>
      <c r="AG607" s="94"/>
      <c r="AH607" s="94"/>
      <c r="AI607" s="94"/>
      <c r="AJ607" s="94"/>
      <c r="AK607" s="94"/>
      <c r="AL607" s="94"/>
      <c r="AM607" s="94"/>
      <c r="AN607" s="94"/>
      <c r="AO607" s="94"/>
      <c r="AP607" s="94"/>
      <c r="AQ607" s="94"/>
      <c r="AR607" s="94"/>
      <c r="AS607" s="94"/>
      <c r="AT607" s="94"/>
      <c r="AU607" s="94"/>
      <c r="AV607" s="94"/>
      <c r="AW607" s="94"/>
      <c r="AX607" s="94"/>
      <c r="AY607" s="94"/>
      <c r="BA607" s="95"/>
    </row>
    <row r="608" spans="1:53" s="87" customFormat="1">
      <c r="A608" s="90" t="str">
        <f t="shared" si="57"/>
        <v/>
      </c>
      <c r="B608" s="99">
        <v>14</v>
      </c>
      <c r="C608" s="92">
        <v>2</v>
      </c>
      <c r="D608" s="92" t="s">
        <v>210</v>
      </c>
      <c r="E608" s="92" t="s">
        <v>210</v>
      </c>
      <c r="F608" s="92">
        <v>-3</v>
      </c>
      <c r="G608" s="92">
        <v>-4</v>
      </c>
      <c r="H608" s="92" t="s">
        <v>210</v>
      </c>
      <c r="I608" s="92" t="s">
        <v>210</v>
      </c>
      <c r="J608" s="92">
        <v>1</v>
      </c>
      <c r="K608" s="92" t="s">
        <v>210</v>
      </c>
      <c r="L608" s="94"/>
      <c r="M608" s="94"/>
      <c r="N608" s="94"/>
      <c r="O608" s="94"/>
      <c r="P608" s="94"/>
      <c r="Q608" s="94"/>
      <c r="R608" s="94"/>
      <c r="S608" s="94"/>
      <c r="T608" s="94"/>
      <c r="U608" s="94"/>
      <c r="V608" s="94"/>
      <c r="W608" s="94"/>
      <c r="X608" s="94"/>
      <c r="Y608" s="94"/>
      <c r="Z608" s="94"/>
      <c r="AA608" s="94"/>
      <c r="AB608" s="94"/>
      <c r="AC608" s="94"/>
      <c r="AD608" s="94"/>
      <c r="AE608" s="94"/>
      <c r="AF608" s="94"/>
      <c r="AG608" s="94"/>
      <c r="AH608" s="94"/>
      <c r="AI608" s="94"/>
      <c r="AJ608" s="94"/>
      <c r="AK608" s="94"/>
      <c r="AL608" s="94"/>
      <c r="AM608" s="94"/>
      <c r="AN608" s="94"/>
      <c r="AO608" s="94"/>
      <c r="AP608" s="94"/>
      <c r="AQ608" s="94"/>
      <c r="AR608" s="94"/>
      <c r="AS608" s="94"/>
      <c r="AT608" s="94"/>
      <c r="AU608" s="94"/>
      <c r="AV608" s="94"/>
      <c r="AW608" s="94"/>
      <c r="AX608" s="94"/>
      <c r="AY608" s="94"/>
      <c r="BA608" s="95"/>
    </row>
    <row r="609" spans="1:53" s="87" customFormat="1">
      <c r="A609" s="90" t="str">
        <f t="shared" si="57"/>
        <v/>
      </c>
      <c r="B609" s="98">
        <v>15</v>
      </c>
      <c r="C609" s="94" t="s">
        <v>210</v>
      </c>
      <c r="D609" s="94">
        <v>3</v>
      </c>
      <c r="E609" s="94" t="s">
        <v>210</v>
      </c>
      <c r="F609" s="94">
        <v>-5</v>
      </c>
      <c r="G609" s="94">
        <v>-2</v>
      </c>
      <c r="H609" s="94" t="s">
        <v>210</v>
      </c>
      <c r="I609" s="94" t="s">
        <v>210</v>
      </c>
      <c r="J609" s="94" t="s">
        <v>210</v>
      </c>
      <c r="K609" s="94">
        <v>4</v>
      </c>
      <c r="L609" s="94"/>
      <c r="M609" s="94"/>
      <c r="N609" s="94"/>
      <c r="O609" s="94"/>
      <c r="P609" s="94"/>
      <c r="Q609" s="94"/>
      <c r="R609" s="94"/>
      <c r="S609" s="94"/>
      <c r="T609" s="94"/>
      <c r="U609" s="94"/>
      <c r="V609" s="94"/>
      <c r="W609" s="94"/>
      <c r="X609" s="94"/>
      <c r="Y609" s="94"/>
      <c r="Z609" s="94"/>
      <c r="AA609" s="94"/>
      <c r="AB609" s="94"/>
      <c r="AC609" s="94"/>
      <c r="AD609" s="94"/>
      <c r="AE609" s="94"/>
      <c r="AF609" s="94"/>
      <c r="AG609" s="94"/>
      <c r="AH609" s="94"/>
      <c r="AI609" s="94"/>
      <c r="AJ609" s="94"/>
      <c r="AK609" s="94"/>
      <c r="AL609" s="94"/>
      <c r="AM609" s="94"/>
      <c r="AN609" s="94"/>
      <c r="AO609" s="94"/>
      <c r="AP609" s="94"/>
      <c r="AQ609" s="94"/>
      <c r="AR609" s="94"/>
      <c r="AS609" s="94"/>
      <c r="AT609" s="94"/>
      <c r="AU609" s="94"/>
      <c r="AV609" s="94"/>
      <c r="AW609" s="94"/>
      <c r="AX609" s="94"/>
      <c r="AY609" s="94"/>
      <c r="BA609" s="95"/>
    </row>
    <row r="610" spans="1:53" s="87" customFormat="1">
      <c r="A610" s="90" t="str">
        <f t="shared" si="57"/>
        <v/>
      </c>
      <c r="B610" s="98">
        <v>16</v>
      </c>
      <c r="C610" s="94">
        <v>-4</v>
      </c>
      <c r="D610" s="94" t="s">
        <v>210</v>
      </c>
      <c r="E610" s="94" t="s">
        <v>210</v>
      </c>
      <c r="F610" s="94">
        <v>5</v>
      </c>
      <c r="G610" s="94">
        <v>1</v>
      </c>
      <c r="H610" s="94" t="s">
        <v>210</v>
      </c>
      <c r="I610" s="94" t="s">
        <v>210</v>
      </c>
      <c r="J610" s="94">
        <v>-3</v>
      </c>
      <c r="K610" s="94" t="s">
        <v>210</v>
      </c>
      <c r="L610" s="94"/>
      <c r="M610" s="94"/>
      <c r="N610" s="94"/>
      <c r="O610" s="94"/>
      <c r="P610" s="94"/>
      <c r="Q610" s="94"/>
      <c r="R610" s="94"/>
      <c r="S610" s="94"/>
      <c r="T610" s="94"/>
      <c r="U610" s="94"/>
      <c r="V610" s="94"/>
      <c r="W610" s="94"/>
      <c r="X610" s="94"/>
      <c r="Y610" s="94"/>
      <c r="Z610" s="94"/>
      <c r="AA610" s="94"/>
      <c r="AB610" s="94"/>
      <c r="AC610" s="94"/>
      <c r="AD610" s="94"/>
      <c r="AE610" s="94"/>
      <c r="AF610" s="94"/>
      <c r="AG610" s="94"/>
      <c r="AH610" s="94"/>
      <c r="AI610" s="94"/>
      <c r="AJ610" s="94"/>
      <c r="AK610" s="94"/>
      <c r="AL610" s="94"/>
      <c r="AM610" s="94"/>
      <c r="AN610" s="94"/>
      <c r="AO610" s="94"/>
      <c r="AP610" s="94"/>
      <c r="AQ610" s="94"/>
      <c r="AR610" s="94"/>
      <c r="AS610" s="94"/>
      <c r="AT610" s="94"/>
      <c r="AU610" s="94"/>
      <c r="AV610" s="94"/>
      <c r="AW610" s="94"/>
      <c r="AX610" s="94"/>
      <c r="AY610" s="94"/>
      <c r="BA610" s="95"/>
    </row>
    <row r="611" spans="1:53" s="87" customFormat="1">
      <c r="A611" s="90" t="str">
        <f t="shared" si="57"/>
        <v/>
      </c>
      <c r="B611" s="98">
        <v>17</v>
      </c>
      <c r="C611" s="94">
        <v>-1</v>
      </c>
      <c r="D611" s="94" t="s">
        <v>210</v>
      </c>
      <c r="E611" s="94" t="s">
        <v>210</v>
      </c>
      <c r="F611" s="94">
        <v>-4</v>
      </c>
      <c r="G611" s="94">
        <v>2</v>
      </c>
      <c r="H611" s="94" t="s">
        <v>210</v>
      </c>
      <c r="I611" s="94" t="s">
        <v>210</v>
      </c>
      <c r="J611" s="94">
        <v>3</v>
      </c>
      <c r="K611" s="94" t="s">
        <v>210</v>
      </c>
      <c r="L611" s="94"/>
      <c r="M611" s="94"/>
      <c r="N611" s="94"/>
      <c r="O611" s="94"/>
      <c r="P611" s="94"/>
      <c r="Q611" s="94"/>
      <c r="R611" s="94"/>
      <c r="S611" s="94"/>
      <c r="T611" s="94"/>
      <c r="U611" s="94"/>
      <c r="V611" s="94"/>
      <c r="W611" s="94"/>
      <c r="X611" s="94"/>
      <c r="Y611" s="94"/>
      <c r="Z611" s="94"/>
      <c r="AA611" s="94"/>
      <c r="AB611" s="94"/>
      <c r="AC611" s="94"/>
      <c r="AD611" s="94"/>
      <c r="AE611" s="94"/>
      <c r="AF611" s="94"/>
      <c r="AG611" s="94"/>
      <c r="AH611" s="94"/>
      <c r="AI611" s="94"/>
      <c r="AJ611" s="94"/>
      <c r="AK611" s="94"/>
      <c r="AL611" s="94"/>
      <c r="AM611" s="94"/>
      <c r="AN611" s="94"/>
      <c r="AO611" s="94"/>
      <c r="AP611" s="94"/>
      <c r="AQ611" s="94"/>
      <c r="AR611" s="94"/>
      <c r="AS611" s="94"/>
      <c r="AT611" s="94"/>
      <c r="AU611" s="94"/>
      <c r="AV611" s="94"/>
      <c r="AW611" s="94"/>
      <c r="AX611" s="94"/>
      <c r="AY611" s="94"/>
      <c r="BA611" s="95"/>
    </row>
    <row r="612" spans="1:53" s="87" customFormat="1">
      <c r="A612" s="90" t="str">
        <f t="shared" si="57"/>
        <v/>
      </c>
      <c r="B612" s="99">
        <v>18</v>
      </c>
      <c r="C612" s="92">
        <v>3</v>
      </c>
      <c r="D612" s="92" t="s">
        <v>210</v>
      </c>
      <c r="E612" s="92" t="s">
        <v>210</v>
      </c>
      <c r="F612" s="92">
        <v>4</v>
      </c>
      <c r="G612" s="92">
        <v>-1</v>
      </c>
      <c r="H612" s="92" t="s">
        <v>210</v>
      </c>
      <c r="I612" s="92" t="s">
        <v>210</v>
      </c>
      <c r="J612" s="92" t="s">
        <v>210</v>
      </c>
      <c r="K612" s="92">
        <v>-4</v>
      </c>
      <c r="L612" s="94"/>
      <c r="M612" s="94"/>
      <c r="N612" s="94"/>
      <c r="O612" s="94"/>
      <c r="P612" s="94"/>
      <c r="Q612" s="94"/>
      <c r="R612" s="94"/>
      <c r="S612" s="94"/>
      <c r="T612" s="94"/>
      <c r="U612" s="94"/>
      <c r="V612" s="94"/>
      <c r="W612" s="94"/>
      <c r="X612" s="94"/>
      <c r="Y612" s="94"/>
      <c r="Z612" s="94"/>
      <c r="AA612" s="94"/>
      <c r="AB612" s="94"/>
      <c r="AC612" s="94"/>
      <c r="AD612" s="94"/>
      <c r="AE612" s="94"/>
      <c r="AF612" s="94"/>
      <c r="AG612" s="94"/>
      <c r="AH612" s="94"/>
      <c r="AI612" s="94"/>
      <c r="AJ612" s="94"/>
      <c r="AK612" s="94"/>
      <c r="AL612" s="94"/>
      <c r="AM612" s="94"/>
      <c r="AN612" s="94"/>
      <c r="AO612" s="94"/>
      <c r="AP612" s="94"/>
      <c r="AQ612" s="94"/>
      <c r="AR612" s="94"/>
      <c r="AS612" s="94"/>
      <c r="AT612" s="94"/>
      <c r="AU612" s="94"/>
      <c r="AV612" s="94"/>
      <c r="AW612" s="94"/>
      <c r="AX612" s="94"/>
      <c r="AY612" s="94"/>
      <c r="BA612" s="95"/>
    </row>
    <row r="613" spans="1:53" s="87" customFormat="1">
      <c r="A613" s="90" t="str">
        <f t="shared" si="57"/>
        <v/>
      </c>
      <c r="B613" s="98">
        <v>19</v>
      </c>
      <c r="C613" s="94">
        <v>5</v>
      </c>
      <c r="D613" s="94" t="s">
        <v>210</v>
      </c>
      <c r="E613" s="94" t="s">
        <v>210</v>
      </c>
      <c r="F613" s="94">
        <v>-1</v>
      </c>
      <c r="G613" s="94">
        <v>-3</v>
      </c>
      <c r="H613" s="94" t="s">
        <v>210</v>
      </c>
      <c r="I613" s="94" t="s">
        <v>210</v>
      </c>
      <c r="J613" s="94">
        <v>2</v>
      </c>
      <c r="K613" s="94" t="s">
        <v>210</v>
      </c>
      <c r="L613" s="94"/>
      <c r="M613" s="94"/>
      <c r="N613" s="94"/>
      <c r="O613" s="94"/>
      <c r="P613" s="94"/>
      <c r="Q613" s="94"/>
      <c r="R613" s="94"/>
      <c r="S613" s="94"/>
      <c r="T613" s="94"/>
      <c r="U613" s="94"/>
      <c r="V613" s="94"/>
      <c r="W613" s="94"/>
      <c r="X613" s="94"/>
      <c r="Y613" s="94"/>
      <c r="Z613" s="94"/>
      <c r="AA613" s="94"/>
      <c r="AB613" s="94"/>
      <c r="AC613" s="94"/>
      <c r="AD613" s="94"/>
      <c r="AE613" s="94"/>
      <c r="AF613" s="94"/>
      <c r="AG613" s="94"/>
      <c r="AH613" s="94"/>
      <c r="AI613" s="94"/>
      <c r="AJ613" s="94"/>
      <c r="AK613" s="94"/>
      <c r="AL613" s="94"/>
      <c r="AM613" s="94"/>
      <c r="AN613" s="94"/>
      <c r="AO613" s="94"/>
      <c r="AP613" s="94"/>
      <c r="AQ613" s="94"/>
      <c r="AR613" s="94"/>
      <c r="AS613" s="94"/>
      <c r="AT613" s="94"/>
      <c r="AU613" s="94"/>
      <c r="AV613" s="94"/>
      <c r="AW613" s="94"/>
      <c r="AX613" s="94"/>
      <c r="AY613" s="94"/>
      <c r="BA613" s="95"/>
    </row>
    <row r="614" spans="1:53" s="87" customFormat="1">
      <c r="A614" s="90" t="str">
        <f t="shared" si="57"/>
        <v/>
      </c>
      <c r="B614" s="98">
        <v>20</v>
      </c>
      <c r="C614" s="94">
        <v>-2</v>
      </c>
      <c r="D614" s="94" t="s">
        <v>210</v>
      </c>
      <c r="E614" s="94" t="s">
        <v>210</v>
      </c>
      <c r="F614" s="94">
        <v>1</v>
      </c>
      <c r="G614" s="94">
        <v>-5</v>
      </c>
      <c r="H614" s="94" t="s">
        <v>210</v>
      </c>
      <c r="I614" s="94" t="s">
        <v>210</v>
      </c>
      <c r="J614" s="94">
        <v>4</v>
      </c>
      <c r="K614" s="94" t="s">
        <v>210</v>
      </c>
      <c r="L614" s="94"/>
      <c r="M614" s="94"/>
      <c r="N614" s="94"/>
      <c r="O614" s="94"/>
      <c r="P614" s="94"/>
      <c r="Q614" s="94"/>
      <c r="R614" s="94"/>
      <c r="S614" s="94"/>
      <c r="T614" s="94"/>
      <c r="U614" s="94"/>
      <c r="V614" s="94"/>
      <c r="W614" s="94"/>
      <c r="X614" s="94"/>
      <c r="Y614" s="94"/>
      <c r="Z614" s="94"/>
      <c r="AA614" s="94"/>
      <c r="AB614" s="94"/>
      <c r="AC614" s="94"/>
      <c r="AD614" s="94"/>
      <c r="AE614" s="94"/>
      <c r="AF614" s="94"/>
      <c r="AG614" s="94"/>
      <c r="AH614" s="94"/>
      <c r="AI614" s="94"/>
      <c r="AJ614" s="94"/>
      <c r="AK614" s="94"/>
      <c r="AL614" s="94"/>
      <c r="AM614" s="94"/>
      <c r="AN614" s="94"/>
      <c r="AO614" s="94"/>
      <c r="AP614" s="94"/>
      <c r="AQ614" s="94"/>
      <c r="AR614" s="94"/>
      <c r="AS614" s="94"/>
      <c r="AT614" s="94"/>
      <c r="AU614" s="94"/>
      <c r="AV614" s="94"/>
      <c r="AW614" s="94"/>
      <c r="AX614" s="94"/>
      <c r="AY614" s="94"/>
      <c r="BA614" s="95"/>
    </row>
    <row r="615" spans="1:53" s="87" customFormat="1">
      <c r="A615" s="90" t="str">
        <f t="shared" si="57"/>
        <v/>
      </c>
      <c r="B615" s="98">
        <v>21</v>
      </c>
      <c r="C615" s="94">
        <v>1</v>
      </c>
      <c r="D615" s="94" t="s">
        <v>210</v>
      </c>
      <c r="E615" s="94" t="s">
        <v>210</v>
      </c>
      <c r="F615" s="94">
        <v>-2</v>
      </c>
      <c r="G615" s="94">
        <v>3</v>
      </c>
      <c r="H615" s="94" t="s">
        <v>210</v>
      </c>
      <c r="I615" s="94" t="s">
        <v>210</v>
      </c>
      <c r="J615" s="94">
        <v>-4</v>
      </c>
      <c r="K615" s="94" t="s">
        <v>210</v>
      </c>
      <c r="L615" s="94"/>
      <c r="M615" s="94"/>
      <c r="N615" s="94"/>
      <c r="O615" s="94"/>
      <c r="P615" s="94"/>
      <c r="Q615" s="94"/>
      <c r="R615" s="94"/>
      <c r="S615" s="94"/>
      <c r="T615" s="94"/>
      <c r="U615" s="94"/>
      <c r="V615" s="94"/>
      <c r="W615" s="94"/>
      <c r="X615" s="94"/>
      <c r="Y615" s="94"/>
      <c r="Z615" s="94"/>
      <c r="AA615" s="94"/>
      <c r="AB615" s="94"/>
      <c r="AC615" s="94"/>
      <c r="AD615" s="94"/>
      <c r="AE615" s="94"/>
      <c r="AF615" s="94"/>
      <c r="AG615" s="94"/>
      <c r="AH615" s="94"/>
      <c r="AI615" s="94"/>
      <c r="AJ615" s="94"/>
      <c r="AK615" s="94"/>
      <c r="AL615" s="94"/>
      <c r="AM615" s="94"/>
      <c r="AN615" s="94"/>
      <c r="AO615" s="94"/>
      <c r="AP615" s="94"/>
      <c r="AQ615" s="94"/>
      <c r="AR615" s="94"/>
      <c r="AS615" s="94"/>
      <c r="AT615" s="94"/>
      <c r="AU615" s="94"/>
      <c r="AV615" s="94"/>
      <c r="AW615" s="94"/>
      <c r="AX615" s="94"/>
      <c r="AY615" s="94"/>
      <c r="BA615" s="95"/>
    </row>
    <row r="616" spans="1:53" s="87" customFormat="1">
      <c r="A616" s="90" t="str">
        <f t="shared" si="57"/>
        <v/>
      </c>
      <c r="B616" s="98">
        <v>22</v>
      </c>
      <c r="C616" s="94">
        <v>-3</v>
      </c>
      <c r="D616" s="94" t="s">
        <v>210</v>
      </c>
      <c r="E616" s="94" t="s">
        <v>210</v>
      </c>
      <c r="F616" s="94">
        <v>2</v>
      </c>
      <c r="G616" s="94">
        <v>5</v>
      </c>
      <c r="H616" s="94" t="s">
        <v>210</v>
      </c>
      <c r="I616" s="94" t="s">
        <v>210</v>
      </c>
      <c r="J616" s="94">
        <v>-2</v>
      </c>
      <c r="K616" s="94" t="s">
        <v>210</v>
      </c>
      <c r="L616" s="94"/>
      <c r="M616" s="94"/>
      <c r="N616" s="94"/>
      <c r="O616" s="94"/>
      <c r="P616" s="94"/>
      <c r="Q616" s="94"/>
      <c r="R616" s="94"/>
      <c r="S616" s="94"/>
      <c r="T616" s="94"/>
      <c r="U616" s="94"/>
      <c r="V616" s="94"/>
      <c r="W616" s="94"/>
      <c r="X616" s="94"/>
      <c r="Y616" s="94"/>
      <c r="Z616" s="94"/>
      <c r="AA616" s="94"/>
      <c r="AB616" s="94"/>
      <c r="AC616" s="94"/>
      <c r="AD616" s="94"/>
      <c r="AE616" s="94"/>
      <c r="AF616" s="94"/>
      <c r="AG616" s="94"/>
      <c r="AH616" s="94"/>
      <c r="AI616" s="94"/>
      <c r="AJ616" s="94"/>
      <c r="AK616" s="94"/>
      <c r="AL616" s="94"/>
      <c r="AM616" s="94"/>
      <c r="AN616" s="94"/>
      <c r="AO616" s="94"/>
      <c r="AP616" s="94"/>
      <c r="AQ616" s="94"/>
      <c r="AR616" s="94"/>
      <c r="AS616" s="94"/>
      <c r="AT616" s="94"/>
      <c r="AU616" s="94"/>
      <c r="AV616" s="94"/>
      <c r="AW616" s="94"/>
      <c r="AX616" s="94"/>
      <c r="AY616" s="94"/>
      <c r="BA616" s="95"/>
    </row>
    <row r="617" spans="1:53" s="87" customFormat="1">
      <c r="A617" s="90" t="str">
        <f t="shared" si="57"/>
        <v/>
      </c>
      <c r="B617" s="258" t="s">
        <v>811</v>
      </c>
      <c r="C617" s="94"/>
      <c r="D617" s="94"/>
      <c r="E617" s="94"/>
      <c r="F617" s="94"/>
      <c r="G617" s="94"/>
      <c r="H617" s="94"/>
      <c r="I617" s="94"/>
      <c r="J617" s="94"/>
      <c r="K617" s="94"/>
      <c r="L617" s="94"/>
      <c r="M617" s="94"/>
      <c r="N617" s="94"/>
      <c r="O617" s="94"/>
      <c r="P617" s="94"/>
      <c r="Q617" s="94"/>
      <c r="AA617" s="94"/>
      <c r="AB617" s="94"/>
      <c r="AC617" s="94"/>
      <c r="AD617" s="94"/>
      <c r="AE617" s="94"/>
      <c r="AF617" s="94"/>
      <c r="AG617" s="94"/>
      <c r="AH617" s="94"/>
      <c r="AI617" s="94"/>
      <c r="AJ617" s="94"/>
      <c r="AK617" s="94"/>
      <c r="AL617" s="94"/>
      <c r="AM617" s="94"/>
      <c r="AN617" s="94"/>
      <c r="AO617" s="94"/>
      <c r="AP617" s="94"/>
      <c r="AQ617" s="94"/>
      <c r="AR617" s="94"/>
      <c r="AS617" s="94"/>
      <c r="AT617" s="94"/>
      <c r="AU617" s="94"/>
      <c r="AV617" s="94"/>
      <c r="AW617" s="94"/>
      <c r="AX617" s="94"/>
      <c r="AY617" s="94"/>
      <c r="BA617" s="95"/>
    </row>
    <row r="618" spans="1:53" s="87" customFormat="1">
      <c r="A618" s="90">
        <f t="shared" si="57"/>
        <v>618</v>
      </c>
      <c r="B618" s="98" t="s">
        <v>819</v>
      </c>
      <c r="C618" s="94"/>
      <c r="D618" s="94"/>
      <c r="E618" s="94"/>
      <c r="F618" s="94"/>
      <c r="G618" s="94"/>
      <c r="H618" s="94"/>
      <c r="I618" s="94"/>
      <c r="J618" s="94"/>
      <c r="K618" s="94"/>
      <c r="L618" s="94"/>
      <c r="M618" s="94"/>
      <c r="N618" s="94"/>
      <c r="O618" s="94"/>
      <c r="P618" s="94"/>
      <c r="Q618" s="94"/>
      <c r="AA618" s="94"/>
      <c r="AB618" s="94"/>
      <c r="AC618" s="94"/>
      <c r="AD618" s="94"/>
      <c r="AE618" s="94"/>
      <c r="AF618" s="94"/>
      <c r="AG618" s="94"/>
      <c r="AH618" s="94"/>
      <c r="AI618" s="94"/>
      <c r="AJ618" s="94"/>
      <c r="AK618" s="94"/>
      <c r="AL618" s="94"/>
      <c r="AM618" s="94"/>
      <c r="AN618" s="94"/>
      <c r="AO618" s="94"/>
      <c r="AP618" s="94"/>
      <c r="AQ618" s="94"/>
      <c r="AR618" s="94"/>
      <c r="AS618" s="94"/>
      <c r="AT618" s="94"/>
      <c r="AU618" s="94"/>
      <c r="AV618" s="94"/>
      <c r="AW618" s="94"/>
      <c r="AX618" s="94"/>
      <c r="AY618" s="94"/>
      <c r="BA618" s="95"/>
    </row>
    <row r="619" spans="1:53" s="87" customFormat="1">
      <c r="A619" s="90" t="str">
        <f t="shared" si="57"/>
        <v/>
      </c>
      <c r="B619" s="98">
        <v>1</v>
      </c>
      <c r="C619" s="94">
        <v>-4</v>
      </c>
      <c r="D619" s="94" t="s">
        <v>210</v>
      </c>
      <c r="E619" s="94" t="s">
        <v>210</v>
      </c>
      <c r="F619" s="94">
        <v>-2</v>
      </c>
      <c r="G619" s="94" t="s">
        <v>202</v>
      </c>
      <c r="H619" s="94" t="s">
        <v>210</v>
      </c>
      <c r="I619" s="94" t="s">
        <v>210</v>
      </c>
      <c r="J619" s="94">
        <v>5</v>
      </c>
      <c r="K619" s="94">
        <v>3</v>
      </c>
      <c r="L619" s="94" t="s">
        <v>210</v>
      </c>
      <c r="M619" s="94"/>
      <c r="N619" s="94"/>
      <c r="O619" s="94"/>
      <c r="P619" s="94"/>
      <c r="Q619" s="94"/>
      <c r="AA619" s="94"/>
      <c r="AB619" s="94"/>
      <c r="AC619" s="94"/>
      <c r="AD619" s="94"/>
      <c r="AE619" s="94"/>
      <c r="AF619" s="94"/>
      <c r="AG619" s="94"/>
      <c r="AH619" s="94"/>
      <c r="AI619" s="94"/>
      <c r="AJ619" s="94"/>
      <c r="AK619" s="94"/>
      <c r="AL619" s="94"/>
      <c r="AM619" s="94"/>
      <c r="AN619" s="94"/>
      <c r="AO619" s="94"/>
      <c r="AP619" s="94"/>
      <c r="AQ619" s="94"/>
      <c r="AR619" s="94"/>
      <c r="AS619" s="94"/>
      <c r="AT619" s="94"/>
      <c r="AU619" s="94"/>
      <c r="AV619" s="94"/>
      <c r="AW619" s="94"/>
      <c r="AX619" s="94"/>
      <c r="AY619" s="94"/>
      <c r="BA619" s="95"/>
    </row>
    <row r="620" spans="1:53" s="87" customFormat="1">
      <c r="A620" s="90" t="str">
        <f t="shared" si="57"/>
        <v/>
      </c>
      <c r="B620" s="98">
        <v>2</v>
      </c>
      <c r="C620" s="94">
        <v>-2</v>
      </c>
      <c r="D620" s="94" t="s">
        <v>210</v>
      </c>
      <c r="E620" s="94" t="s">
        <v>210</v>
      </c>
      <c r="F620" s="94" t="s">
        <v>202</v>
      </c>
      <c r="G620" s="94" t="s">
        <v>210</v>
      </c>
      <c r="H620" s="94">
        <v>5</v>
      </c>
      <c r="I620" s="94" t="s">
        <v>210</v>
      </c>
      <c r="J620" s="94">
        <v>1</v>
      </c>
      <c r="K620" s="94">
        <v>-3</v>
      </c>
      <c r="L620" s="94" t="s">
        <v>210</v>
      </c>
      <c r="M620" s="94"/>
      <c r="N620" s="94"/>
      <c r="O620" s="94"/>
      <c r="P620" s="94"/>
      <c r="Q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BA620" s="95"/>
    </row>
    <row r="621" spans="1:53" s="87" customFormat="1">
      <c r="A621" s="90" t="str">
        <f t="shared" si="57"/>
        <v/>
      </c>
      <c r="B621" s="98">
        <v>3</v>
      </c>
      <c r="C621" s="94" t="s">
        <v>202</v>
      </c>
      <c r="D621" s="94" t="s">
        <v>210</v>
      </c>
      <c r="E621" s="94" t="s">
        <v>210</v>
      </c>
      <c r="F621" s="94">
        <v>2</v>
      </c>
      <c r="G621" s="94">
        <v>-3</v>
      </c>
      <c r="H621" s="94" t="s">
        <v>210</v>
      </c>
      <c r="I621" s="94" t="s">
        <v>210</v>
      </c>
      <c r="J621" s="94">
        <v>-1</v>
      </c>
      <c r="K621" s="94">
        <v>4</v>
      </c>
      <c r="L621" s="94" t="s">
        <v>210</v>
      </c>
      <c r="M621" s="94"/>
      <c r="N621" s="94"/>
      <c r="O621" s="94"/>
      <c r="P621" s="94"/>
      <c r="Q621" s="94"/>
      <c r="R621" s="94"/>
      <c r="S621" s="94"/>
      <c r="T621" s="94"/>
      <c r="U621" s="94"/>
      <c r="V621" s="94"/>
      <c r="W621" s="94"/>
      <c r="X621" s="94"/>
      <c r="Y621" s="94"/>
      <c r="Z621" s="94"/>
      <c r="AA621" s="94"/>
      <c r="AB621" s="94"/>
      <c r="AC621" s="94"/>
      <c r="AD621" s="94"/>
      <c r="AE621" s="94"/>
      <c r="AF621" s="94"/>
      <c r="AG621" s="94"/>
      <c r="AH621" s="94"/>
      <c r="AI621" s="94"/>
      <c r="AJ621" s="94"/>
      <c r="AK621" s="94"/>
      <c r="AL621" s="94"/>
      <c r="AM621" s="94"/>
      <c r="AN621" s="94"/>
      <c r="AO621" s="94"/>
      <c r="AP621" s="94"/>
      <c r="AQ621" s="94"/>
      <c r="AR621" s="94"/>
      <c r="AS621" s="94"/>
      <c r="AT621" s="94"/>
      <c r="AU621" s="94"/>
      <c r="AV621" s="94"/>
      <c r="AW621" s="94"/>
      <c r="AX621" s="94"/>
      <c r="AY621" s="94"/>
      <c r="BA621" s="95"/>
    </row>
    <row r="622" spans="1:53" s="87" customFormat="1">
      <c r="A622" s="90" t="str">
        <f t="shared" si="57"/>
        <v/>
      </c>
      <c r="B622" s="98">
        <v>4</v>
      </c>
      <c r="C622" s="94">
        <v>4</v>
      </c>
      <c r="D622" s="94" t="s">
        <v>210</v>
      </c>
      <c r="E622" s="94" t="s">
        <v>210</v>
      </c>
      <c r="F622" s="94">
        <v>1</v>
      </c>
      <c r="G622" s="94" t="s">
        <v>210</v>
      </c>
      <c r="H622" s="94">
        <v>-5</v>
      </c>
      <c r="I622" s="94" t="s">
        <v>210</v>
      </c>
      <c r="J622" s="94" t="s">
        <v>202</v>
      </c>
      <c r="K622" s="94">
        <v>-4</v>
      </c>
      <c r="L622" s="94" t="s">
        <v>210</v>
      </c>
      <c r="M622" s="94"/>
      <c r="N622" s="94"/>
      <c r="O622" s="94"/>
      <c r="P622" s="94"/>
      <c r="Q622" s="94"/>
      <c r="R622" s="94"/>
      <c r="S622" s="94"/>
      <c r="T622" s="94"/>
      <c r="U622" s="94"/>
      <c r="V622" s="94"/>
      <c r="W622" s="94"/>
      <c r="X622" s="94"/>
      <c r="Y622" s="94"/>
      <c r="Z622" s="94"/>
      <c r="AA622" s="94"/>
      <c r="AB622" s="94"/>
      <c r="AC622" s="94"/>
      <c r="AD622" s="94"/>
      <c r="AE622" s="94"/>
      <c r="AF622" s="94"/>
      <c r="AG622" s="94"/>
      <c r="AH622" s="94"/>
      <c r="AI622" s="94"/>
      <c r="AJ622" s="94"/>
      <c r="AK622" s="94"/>
      <c r="AL622" s="94"/>
      <c r="AM622" s="94"/>
      <c r="AN622" s="94"/>
      <c r="AO622" s="94"/>
      <c r="AP622" s="94"/>
      <c r="AQ622" s="94"/>
      <c r="AR622" s="94"/>
      <c r="AS622" s="94"/>
      <c r="AT622" s="94"/>
      <c r="AU622" s="94"/>
      <c r="AV622" s="94"/>
      <c r="AW622" s="94"/>
      <c r="AX622" s="94"/>
      <c r="AY622" s="94"/>
      <c r="BA622" s="95"/>
    </row>
    <row r="623" spans="1:53" s="87" customFormat="1">
      <c r="A623" s="90" t="str">
        <f t="shared" si="57"/>
        <v/>
      </c>
      <c r="B623" s="99">
        <v>5</v>
      </c>
      <c r="C623" s="92">
        <v>2</v>
      </c>
      <c r="D623" s="92" t="s">
        <v>210</v>
      </c>
      <c r="E623" s="92" t="s">
        <v>210</v>
      </c>
      <c r="F623" s="92">
        <v>-1</v>
      </c>
      <c r="G623" s="92">
        <v>3</v>
      </c>
      <c r="H623" s="92" t="s">
        <v>210</v>
      </c>
      <c r="I623" s="92" t="s">
        <v>210</v>
      </c>
      <c r="J623" s="92">
        <v>-5</v>
      </c>
      <c r="K623" s="92" t="s">
        <v>202</v>
      </c>
      <c r="L623" s="92" t="s">
        <v>210</v>
      </c>
      <c r="M623" s="94"/>
      <c r="N623" s="94"/>
      <c r="O623" s="94"/>
      <c r="P623" s="94"/>
      <c r="Q623" s="94"/>
      <c r="R623" s="94"/>
      <c r="S623" s="94"/>
      <c r="T623" s="94"/>
      <c r="U623" s="94"/>
      <c r="V623" s="94"/>
      <c r="W623" s="94"/>
      <c r="X623" s="94"/>
      <c r="Y623" s="94"/>
      <c r="Z623" s="94"/>
      <c r="AA623" s="94"/>
      <c r="AB623" s="94"/>
      <c r="AC623" s="94"/>
      <c r="AD623" s="94"/>
      <c r="AE623" s="94"/>
      <c r="AF623" s="94"/>
      <c r="AG623" s="94"/>
      <c r="AH623" s="94"/>
      <c r="AI623" s="94"/>
      <c r="AJ623" s="94"/>
      <c r="AK623" s="94"/>
      <c r="AL623" s="94"/>
      <c r="AM623" s="94"/>
      <c r="AN623" s="94"/>
      <c r="AO623" s="94"/>
      <c r="AP623" s="94"/>
      <c r="AQ623" s="94"/>
      <c r="AR623" s="94"/>
      <c r="AS623" s="94"/>
      <c r="AT623" s="94"/>
      <c r="AU623" s="94"/>
      <c r="AV623" s="94"/>
      <c r="AW623" s="94"/>
      <c r="AX623" s="94"/>
      <c r="AY623" s="94"/>
      <c r="BA623" s="95"/>
    </row>
    <row r="624" spans="1:53" s="87" customFormat="1">
      <c r="A624" s="90" t="str">
        <f t="shared" si="57"/>
        <v/>
      </c>
      <c r="B624" s="98">
        <v>6</v>
      </c>
      <c r="C624" s="94">
        <v>-1</v>
      </c>
      <c r="D624" s="94" t="s">
        <v>210</v>
      </c>
      <c r="E624" s="94" t="s">
        <v>210</v>
      </c>
      <c r="F624" s="94">
        <v>-4</v>
      </c>
      <c r="G624" s="94" t="s">
        <v>202</v>
      </c>
      <c r="H624" s="94" t="s">
        <v>210</v>
      </c>
      <c r="I624" s="94" t="s">
        <v>210</v>
      </c>
      <c r="J624" s="94">
        <v>3</v>
      </c>
      <c r="K624" s="94">
        <v>2</v>
      </c>
      <c r="L624" s="94" t="s">
        <v>210</v>
      </c>
      <c r="M624" s="94"/>
      <c r="N624" s="94"/>
      <c r="O624" s="94"/>
      <c r="P624" s="94"/>
      <c r="Q624" s="94"/>
      <c r="R624" s="94"/>
      <c r="S624" s="94"/>
      <c r="T624" s="94"/>
      <c r="U624" s="94"/>
      <c r="V624" s="94"/>
      <c r="W624" s="94"/>
      <c r="X624" s="94"/>
      <c r="Y624" s="94"/>
      <c r="Z624" s="94"/>
      <c r="AA624" s="94"/>
      <c r="AB624" s="94"/>
      <c r="AC624" s="94"/>
      <c r="AD624" s="94"/>
      <c r="AE624" s="94"/>
      <c r="AF624" s="94"/>
      <c r="AG624" s="94"/>
      <c r="AH624" s="94"/>
      <c r="AI624" s="94"/>
      <c r="AJ624" s="94"/>
      <c r="AK624" s="94"/>
      <c r="AL624" s="94"/>
      <c r="AM624" s="94"/>
      <c r="AN624" s="94"/>
      <c r="AO624" s="94"/>
      <c r="AP624" s="94"/>
      <c r="AQ624" s="94"/>
      <c r="AR624" s="94"/>
      <c r="AS624" s="94"/>
      <c r="AT624" s="94"/>
      <c r="AU624" s="94"/>
      <c r="AV624" s="94"/>
      <c r="AW624" s="94"/>
      <c r="AX624" s="94"/>
      <c r="AY624" s="94"/>
      <c r="BA624" s="95"/>
    </row>
    <row r="625" spans="1:53" s="87" customFormat="1">
      <c r="A625" s="90" t="str">
        <f t="shared" si="57"/>
        <v/>
      </c>
      <c r="B625" s="98">
        <v>7</v>
      </c>
      <c r="C625" s="94" t="s">
        <v>202</v>
      </c>
      <c r="D625" s="94" t="s">
        <v>210</v>
      </c>
      <c r="E625" s="94" t="s">
        <v>210</v>
      </c>
      <c r="F625" s="94">
        <v>5</v>
      </c>
      <c r="G625" s="94">
        <v>1</v>
      </c>
      <c r="H625" s="94" t="s">
        <v>210</v>
      </c>
      <c r="I625" s="94" t="s">
        <v>210</v>
      </c>
      <c r="J625" s="94">
        <v>-4</v>
      </c>
      <c r="K625" s="94">
        <v>-2</v>
      </c>
      <c r="L625" s="94" t="s">
        <v>210</v>
      </c>
      <c r="M625" s="94"/>
      <c r="N625" s="94"/>
      <c r="O625" s="94"/>
      <c r="P625" s="94"/>
      <c r="Q625" s="94"/>
      <c r="R625" s="94"/>
      <c r="S625" s="94"/>
      <c r="T625" s="94"/>
      <c r="U625" s="94"/>
      <c r="V625" s="94"/>
      <c r="W625" s="94"/>
      <c r="X625" s="94"/>
      <c r="Y625" s="94"/>
      <c r="Z625" s="94"/>
      <c r="AA625" s="94"/>
      <c r="AB625" s="94"/>
      <c r="AC625" s="94"/>
      <c r="AD625" s="94"/>
      <c r="AE625" s="94"/>
      <c r="AF625" s="94"/>
      <c r="AG625" s="94"/>
      <c r="AH625" s="94"/>
      <c r="AI625" s="94"/>
      <c r="AJ625" s="94"/>
      <c r="AK625" s="94"/>
      <c r="AL625" s="94"/>
      <c r="AM625" s="94"/>
      <c r="AN625" s="94"/>
      <c r="AO625" s="94"/>
      <c r="AP625" s="94"/>
      <c r="AQ625" s="94"/>
      <c r="AR625" s="94"/>
      <c r="AS625" s="94"/>
      <c r="AT625" s="94"/>
      <c r="AU625" s="94"/>
      <c r="AV625" s="94"/>
      <c r="AW625" s="94"/>
      <c r="AX625" s="94"/>
      <c r="AY625" s="94"/>
      <c r="BA625" s="95"/>
    </row>
    <row r="626" spans="1:53" s="87" customFormat="1">
      <c r="A626" s="90" t="str">
        <f t="shared" si="57"/>
        <v/>
      </c>
      <c r="B626" s="98">
        <v>8</v>
      </c>
      <c r="C626" s="94">
        <v>1</v>
      </c>
      <c r="D626" s="94" t="s">
        <v>210</v>
      </c>
      <c r="E626" s="94" t="s">
        <v>210</v>
      </c>
      <c r="F626" s="94" t="s">
        <v>202</v>
      </c>
      <c r="G626" s="94">
        <v>-2</v>
      </c>
      <c r="H626" s="94" t="s">
        <v>210</v>
      </c>
      <c r="I626" s="94" t="s">
        <v>210</v>
      </c>
      <c r="J626" s="94">
        <v>4</v>
      </c>
      <c r="K626" s="94" t="s">
        <v>210</v>
      </c>
      <c r="L626" s="94">
        <v>-5</v>
      </c>
      <c r="M626" s="94"/>
      <c r="N626" s="94"/>
      <c r="O626" s="94"/>
      <c r="P626" s="94"/>
      <c r="Q626" s="94"/>
      <c r="R626" s="94"/>
      <c r="S626" s="94"/>
      <c r="T626" s="94"/>
      <c r="U626" s="94"/>
      <c r="V626" s="94"/>
      <c r="W626" s="94"/>
      <c r="X626" s="94"/>
      <c r="Y626" s="94"/>
      <c r="Z626" s="94"/>
      <c r="AA626" s="94"/>
      <c r="AB626" s="94"/>
      <c r="AC626" s="94"/>
      <c r="AD626" s="94"/>
      <c r="AE626" s="94"/>
      <c r="AF626" s="94"/>
      <c r="AG626" s="94"/>
      <c r="AH626" s="94"/>
      <c r="AI626" s="94"/>
      <c r="AJ626" s="94"/>
      <c r="AK626" s="94"/>
      <c r="AL626" s="94"/>
      <c r="AM626" s="94"/>
      <c r="AN626" s="94"/>
      <c r="AO626" s="94"/>
      <c r="AP626" s="94"/>
      <c r="AQ626" s="94"/>
      <c r="AR626" s="94"/>
      <c r="AS626" s="94"/>
      <c r="AT626" s="94"/>
      <c r="AU626" s="94"/>
      <c r="AV626" s="94"/>
      <c r="AW626" s="94"/>
      <c r="AX626" s="94"/>
      <c r="AY626" s="94"/>
      <c r="BA626" s="95"/>
    </row>
    <row r="627" spans="1:53" s="87" customFormat="1">
      <c r="A627" s="90" t="str">
        <f t="shared" si="57"/>
        <v/>
      </c>
      <c r="B627" s="98">
        <v>9</v>
      </c>
      <c r="C627" s="94">
        <v>-3</v>
      </c>
      <c r="D627" s="94" t="s">
        <v>210</v>
      </c>
      <c r="E627" s="94" t="s">
        <v>210</v>
      </c>
      <c r="F627" s="94">
        <v>4</v>
      </c>
      <c r="G627" s="94">
        <v>-1</v>
      </c>
      <c r="H627" s="94" t="s">
        <v>210</v>
      </c>
      <c r="I627" s="94" t="s">
        <v>210</v>
      </c>
      <c r="J627" s="94" t="s">
        <v>202</v>
      </c>
      <c r="K627" s="94" t="s">
        <v>210</v>
      </c>
      <c r="L627" s="94">
        <v>5</v>
      </c>
      <c r="M627" s="94"/>
      <c r="N627" s="94"/>
      <c r="O627" s="94"/>
      <c r="P627" s="94"/>
      <c r="Q627" s="94"/>
      <c r="R627" s="94"/>
      <c r="S627" s="94"/>
      <c r="T627" s="94"/>
      <c r="U627" s="94"/>
      <c r="V627" s="94"/>
      <c r="W627" s="94"/>
      <c r="X627" s="94"/>
      <c r="Y627" s="94"/>
      <c r="Z627" s="94"/>
      <c r="AA627" s="94"/>
      <c r="AB627" s="94"/>
      <c r="AC627" s="94"/>
      <c r="AD627" s="94"/>
      <c r="AE627" s="94"/>
      <c r="AF627" s="94"/>
      <c r="AG627" s="94"/>
      <c r="AH627" s="94"/>
      <c r="AI627" s="94"/>
      <c r="AJ627" s="94"/>
      <c r="AK627" s="94"/>
      <c r="AL627" s="94"/>
      <c r="AM627" s="94"/>
      <c r="AN627" s="94"/>
      <c r="AO627" s="94"/>
      <c r="AP627" s="94"/>
      <c r="AQ627" s="94"/>
      <c r="AR627" s="94"/>
      <c r="AS627" s="94"/>
      <c r="AT627" s="94"/>
      <c r="AU627" s="94"/>
      <c r="AV627" s="94"/>
      <c r="AW627" s="94"/>
      <c r="AX627" s="94"/>
      <c r="AY627" s="94"/>
      <c r="BA627" s="95"/>
    </row>
    <row r="628" spans="1:53" s="87" customFormat="1">
      <c r="A628" s="90" t="str">
        <f t="shared" si="57"/>
        <v/>
      </c>
      <c r="B628" s="99">
        <v>10</v>
      </c>
      <c r="C628" s="92">
        <v>3</v>
      </c>
      <c r="D628" s="92" t="s">
        <v>210</v>
      </c>
      <c r="E628" s="92" t="s">
        <v>210</v>
      </c>
      <c r="F628" s="92">
        <v>-5</v>
      </c>
      <c r="G628" s="92">
        <v>2</v>
      </c>
      <c r="H628" s="92" t="s">
        <v>210</v>
      </c>
      <c r="I628" s="92" t="s">
        <v>210</v>
      </c>
      <c r="J628" s="92">
        <v>-3</v>
      </c>
      <c r="K628" s="92" t="s">
        <v>202</v>
      </c>
      <c r="L628" s="92" t="s">
        <v>210</v>
      </c>
      <c r="M628" s="94"/>
      <c r="N628" s="94"/>
      <c r="O628" s="94"/>
      <c r="P628" s="94"/>
      <c r="Q628" s="94"/>
      <c r="R628" s="94"/>
      <c r="S628" s="94"/>
      <c r="T628" s="94"/>
      <c r="U628" s="94"/>
      <c r="V628" s="94"/>
      <c r="W628" s="94"/>
      <c r="X628" s="94"/>
      <c r="Y628" s="94"/>
      <c r="Z628" s="94"/>
      <c r="AA628" s="94"/>
      <c r="AB628" s="94"/>
      <c r="AC628" s="94"/>
      <c r="AD628" s="94"/>
      <c r="AE628" s="94"/>
      <c r="AF628" s="94"/>
      <c r="AG628" s="94"/>
      <c r="AH628" s="94"/>
      <c r="AI628" s="94"/>
      <c r="AJ628" s="94"/>
      <c r="AK628" s="94"/>
      <c r="AL628" s="94"/>
      <c r="AM628" s="94"/>
      <c r="AN628" s="94"/>
      <c r="AO628" s="94"/>
      <c r="AP628" s="94"/>
      <c r="AQ628" s="94"/>
      <c r="AR628" s="94"/>
      <c r="AS628" s="94"/>
      <c r="AT628" s="94"/>
      <c r="AU628" s="94"/>
      <c r="AV628" s="94"/>
      <c r="AW628" s="94"/>
      <c r="AX628" s="94"/>
      <c r="AY628" s="94"/>
      <c r="BA628" s="95"/>
    </row>
    <row r="629" spans="1:53" s="87" customFormat="1">
      <c r="A629" s="90" t="str">
        <f t="shared" si="57"/>
        <v/>
      </c>
      <c r="B629" s="98">
        <v>11</v>
      </c>
      <c r="C629" s="94" t="s">
        <v>210</v>
      </c>
      <c r="D629" s="94">
        <v>4</v>
      </c>
      <c r="E629" s="94">
        <v>2</v>
      </c>
      <c r="F629" s="94" t="s">
        <v>210</v>
      </c>
      <c r="G629" s="94" t="s">
        <v>210</v>
      </c>
      <c r="H629" s="94" t="s">
        <v>202</v>
      </c>
      <c r="I629" s="94">
        <v>-5</v>
      </c>
      <c r="J629" s="94" t="s">
        <v>210</v>
      </c>
      <c r="K629" s="94" t="s">
        <v>210</v>
      </c>
      <c r="L629" s="94">
        <v>-3</v>
      </c>
      <c r="M629" s="94"/>
      <c r="N629" s="94"/>
      <c r="O629" s="94"/>
      <c r="P629" s="94"/>
      <c r="Q629" s="94"/>
      <c r="R629" s="94"/>
      <c r="S629" s="94"/>
      <c r="T629" s="94"/>
      <c r="U629" s="94"/>
      <c r="V629" s="94"/>
      <c r="W629" s="94"/>
      <c r="X629" s="94"/>
      <c r="Y629" s="94"/>
      <c r="Z629" s="94"/>
      <c r="AA629" s="94"/>
      <c r="AB629" s="94"/>
      <c r="AC629" s="94"/>
      <c r="AD629" s="94"/>
      <c r="AE629" s="94"/>
      <c r="AF629" s="94"/>
      <c r="AG629" s="94"/>
      <c r="AH629" s="94"/>
      <c r="AI629" s="94"/>
      <c r="AJ629" s="94"/>
      <c r="AK629" s="94"/>
      <c r="AL629" s="94"/>
      <c r="AM629" s="94"/>
      <c r="AN629" s="94"/>
      <c r="AO629" s="94"/>
      <c r="AP629" s="94"/>
      <c r="AQ629" s="94"/>
      <c r="AR629" s="94"/>
      <c r="AS629" s="94"/>
      <c r="AT629" s="94"/>
      <c r="AU629" s="94"/>
      <c r="AV629" s="94"/>
      <c r="AW629" s="94"/>
      <c r="AX629" s="94"/>
      <c r="AY629" s="94"/>
      <c r="BA629" s="95"/>
    </row>
    <row r="630" spans="1:53" s="87" customFormat="1">
      <c r="A630" s="90" t="str">
        <f t="shared" si="57"/>
        <v/>
      </c>
      <c r="B630" s="98">
        <v>12</v>
      </c>
      <c r="C630" s="94" t="s">
        <v>210</v>
      </c>
      <c r="D630" s="94">
        <v>2</v>
      </c>
      <c r="E630" s="94" t="s">
        <v>202</v>
      </c>
      <c r="F630" s="94" t="s">
        <v>210</v>
      </c>
      <c r="G630" s="94">
        <v>-5</v>
      </c>
      <c r="H630" s="94" t="s">
        <v>210</v>
      </c>
      <c r="I630" s="94">
        <v>-1</v>
      </c>
      <c r="J630" s="94" t="s">
        <v>210</v>
      </c>
      <c r="K630" s="94" t="s">
        <v>210</v>
      </c>
      <c r="L630" s="94">
        <v>3</v>
      </c>
      <c r="M630" s="94"/>
      <c r="N630" s="94"/>
      <c r="O630" s="94"/>
      <c r="P630" s="94"/>
      <c r="Q630" s="94"/>
      <c r="R630" s="94"/>
      <c r="S630" s="94"/>
      <c r="T630" s="94"/>
      <c r="U630" s="94"/>
      <c r="V630" s="94"/>
      <c r="W630" s="94"/>
      <c r="X630" s="94"/>
      <c r="Y630" s="94"/>
      <c r="Z630" s="94"/>
      <c r="AA630" s="94"/>
      <c r="AB630" s="94"/>
      <c r="AC630" s="94"/>
      <c r="AD630" s="94"/>
      <c r="AE630" s="94"/>
      <c r="AF630" s="94"/>
      <c r="AG630" s="94"/>
      <c r="AH630" s="94"/>
      <c r="AI630" s="94"/>
      <c r="AJ630" s="94"/>
      <c r="AK630" s="94"/>
      <c r="AL630" s="94"/>
      <c r="AM630" s="94"/>
      <c r="AN630" s="94"/>
      <c r="AO630" s="94"/>
      <c r="AP630" s="94"/>
      <c r="AQ630" s="94"/>
      <c r="AR630" s="94"/>
      <c r="AS630" s="94"/>
      <c r="AT630" s="94"/>
      <c r="AU630" s="94"/>
      <c r="AV630" s="94"/>
      <c r="AW630" s="94"/>
      <c r="AX630" s="94"/>
      <c r="AY630" s="94"/>
      <c r="BA630" s="95"/>
    </row>
    <row r="631" spans="1:53" s="87" customFormat="1">
      <c r="A631" s="90" t="str">
        <f t="shared" si="57"/>
        <v/>
      </c>
      <c r="B631" s="98">
        <v>13</v>
      </c>
      <c r="C631" s="94" t="s">
        <v>210</v>
      </c>
      <c r="D631" s="94" t="s">
        <v>202</v>
      </c>
      <c r="E631" s="94">
        <v>-2</v>
      </c>
      <c r="F631" s="94" t="s">
        <v>210</v>
      </c>
      <c r="G631" s="94" t="s">
        <v>210</v>
      </c>
      <c r="H631" s="94">
        <v>3</v>
      </c>
      <c r="I631" s="94">
        <v>1</v>
      </c>
      <c r="J631" s="94" t="s">
        <v>210</v>
      </c>
      <c r="K631" s="94" t="s">
        <v>210</v>
      </c>
      <c r="L631" s="94">
        <v>-4</v>
      </c>
      <c r="M631" s="94"/>
      <c r="N631" s="94"/>
      <c r="O631" s="94"/>
      <c r="P631" s="94"/>
      <c r="Q631" s="94"/>
      <c r="R631" s="94"/>
      <c r="S631" s="94"/>
      <c r="T631" s="94"/>
      <c r="U631" s="94"/>
      <c r="V631" s="94"/>
      <c r="W631" s="94"/>
      <c r="X631" s="94"/>
      <c r="Y631" s="94"/>
      <c r="Z631" s="94"/>
      <c r="AA631" s="94"/>
      <c r="AB631" s="94"/>
      <c r="AC631" s="94"/>
      <c r="AD631" s="94"/>
      <c r="AE631" s="94"/>
      <c r="AF631" s="94"/>
      <c r="AG631" s="94"/>
      <c r="AH631" s="94"/>
      <c r="AI631" s="94"/>
      <c r="AJ631" s="94"/>
      <c r="AK631" s="94"/>
      <c r="AL631" s="94"/>
      <c r="AM631" s="94"/>
      <c r="AN631" s="94"/>
      <c r="AO631" s="94"/>
      <c r="AP631" s="94"/>
      <c r="AQ631" s="94"/>
      <c r="AR631" s="94"/>
      <c r="AS631" s="94"/>
      <c r="AT631" s="94"/>
      <c r="AU631" s="94"/>
      <c r="AV631" s="94"/>
      <c r="AW631" s="94"/>
      <c r="AX631" s="94"/>
      <c r="AY631" s="94"/>
      <c r="BA631" s="95"/>
    </row>
    <row r="632" spans="1:53" s="87" customFormat="1">
      <c r="A632" s="90" t="str">
        <f t="shared" si="57"/>
        <v/>
      </c>
      <c r="B632" s="98">
        <v>14</v>
      </c>
      <c r="C632" s="94" t="s">
        <v>210</v>
      </c>
      <c r="D632" s="94">
        <v>-4</v>
      </c>
      <c r="E632" s="94">
        <v>-1</v>
      </c>
      <c r="F632" s="94" t="s">
        <v>210</v>
      </c>
      <c r="G632" s="94">
        <v>5</v>
      </c>
      <c r="H632" s="94" t="s">
        <v>210</v>
      </c>
      <c r="I632" s="94" t="s">
        <v>202</v>
      </c>
      <c r="J632" s="94" t="s">
        <v>210</v>
      </c>
      <c r="K632" s="94" t="s">
        <v>210</v>
      </c>
      <c r="L632" s="94">
        <v>4</v>
      </c>
      <c r="M632" s="94"/>
      <c r="N632" s="94"/>
      <c r="O632" s="94"/>
      <c r="P632" s="94"/>
      <c r="Q632" s="94"/>
      <c r="R632" s="94"/>
      <c r="S632" s="94"/>
      <c r="T632" s="94"/>
      <c r="U632" s="94"/>
      <c r="V632" s="94"/>
      <c r="W632" s="94"/>
      <c r="X632" s="94"/>
      <c r="Y632" s="94"/>
      <c r="Z632" s="94"/>
      <c r="AA632" s="94"/>
      <c r="AB632" s="94"/>
      <c r="AC632" s="94"/>
      <c r="AD632" s="94"/>
      <c r="AE632" s="94"/>
      <c r="AF632" s="94"/>
      <c r="AG632" s="94"/>
      <c r="AH632" s="94"/>
      <c r="AI632" s="94"/>
      <c r="AJ632" s="94"/>
      <c r="AK632" s="94"/>
      <c r="AL632" s="94"/>
      <c r="AM632" s="94"/>
      <c r="AN632" s="94"/>
      <c r="AO632" s="94"/>
      <c r="AP632" s="94"/>
      <c r="AQ632" s="94"/>
      <c r="AR632" s="94"/>
      <c r="AS632" s="94"/>
      <c r="AT632" s="94"/>
      <c r="AU632" s="94"/>
      <c r="AV632" s="94"/>
      <c r="AW632" s="94"/>
      <c r="AX632" s="94"/>
      <c r="AY632" s="94"/>
      <c r="BA632" s="95"/>
    </row>
    <row r="633" spans="1:53" s="87" customFormat="1">
      <c r="A633" s="90" t="str">
        <f t="shared" si="57"/>
        <v/>
      </c>
      <c r="B633" s="99">
        <v>15</v>
      </c>
      <c r="C633" s="92" t="s">
        <v>210</v>
      </c>
      <c r="D633" s="92">
        <v>-2</v>
      </c>
      <c r="E633" s="92">
        <v>1</v>
      </c>
      <c r="F633" s="92" t="s">
        <v>210</v>
      </c>
      <c r="G633" s="92" t="s">
        <v>210</v>
      </c>
      <c r="H633" s="92">
        <v>-3</v>
      </c>
      <c r="I633" s="92">
        <v>5</v>
      </c>
      <c r="J633" s="92" t="s">
        <v>210</v>
      </c>
      <c r="K633" s="92" t="s">
        <v>210</v>
      </c>
      <c r="L633" s="92" t="s">
        <v>202</v>
      </c>
      <c r="M633" s="94"/>
      <c r="N633" s="94"/>
      <c r="O633" s="94"/>
      <c r="P633" s="94"/>
      <c r="Q633" s="94"/>
      <c r="R633" s="94"/>
      <c r="S633" s="94"/>
      <c r="T633" s="94"/>
      <c r="U633" s="94"/>
      <c r="V633" s="94"/>
      <c r="W633" s="94"/>
      <c r="X633" s="94"/>
      <c r="Y633" s="94"/>
      <c r="Z633" s="94"/>
      <c r="AA633" s="94"/>
      <c r="AB633" s="94"/>
      <c r="AC633" s="94"/>
      <c r="AD633" s="94"/>
      <c r="AE633" s="94"/>
      <c r="AF633" s="94"/>
      <c r="AG633" s="94"/>
      <c r="AH633" s="94"/>
      <c r="AI633" s="94"/>
      <c r="AJ633" s="94"/>
      <c r="AK633" s="94"/>
      <c r="AL633" s="94"/>
      <c r="AM633" s="94"/>
      <c r="AN633" s="94"/>
      <c r="AO633" s="94"/>
      <c r="AP633" s="94"/>
      <c r="AQ633" s="94"/>
      <c r="AR633" s="94"/>
      <c r="AS633" s="94"/>
      <c r="AT633" s="94"/>
      <c r="AU633" s="94"/>
      <c r="AV633" s="94"/>
      <c r="AW633" s="94"/>
      <c r="AX633" s="94"/>
      <c r="AY633" s="94"/>
      <c r="BA633" s="95"/>
    </row>
    <row r="634" spans="1:53" s="87" customFormat="1">
      <c r="A634" s="90" t="str">
        <f t="shared" si="57"/>
        <v/>
      </c>
      <c r="B634" s="98">
        <v>16</v>
      </c>
      <c r="C634" s="94" t="s">
        <v>210</v>
      </c>
      <c r="D634" s="94">
        <v>1</v>
      </c>
      <c r="E634" s="94">
        <v>4</v>
      </c>
      <c r="F634" s="94" t="s">
        <v>210</v>
      </c>
      <c r="G634" s="94" t="s">
        <v>210</v>
      </c>
      <c r="H634" s="94" t="s">
        <v>202</v>
      </c>
      <c r="I634" s="94">
        <v>-3</v>
      </c>
      <c r="J634" s="94" t="s">
        <v>210</v>
      </c>
      <c r="K634" s="94" t="s">
        <v>210</v>
      </c>
      <c r="L634" s="94">
        <v>-2</v>
      </c>
      <c r="M634" s="94"/>
      <c r="N634" s="94"/>
      <c r="O634" s="94"/>
      <c r="P634" s="94"/>
      <c r="Q634" s="94"/>
      <c r="R634" s="94"/>
      <c r="S634" s="94"/>
      <c r="T634" s="94"/>
      <c r="U634" s="94"/>
      <c r="V634" s="94"/>
      <c r="W634" s="94"/>
      <c r="X634" s="94"/>
      <c r="Y634" s="94"/>
      <c r="Z634" s="94"/>
      <c r="AA634" s="94"/>
      <c r="AB634" s="94"/>
      <c r="AC634" s="94"/>
      <c r="AD634" s="94"/>
      <c r="AE634" s="94"/>
      <c r="AF634" s="94"/>
      <c r="AG634" s="94"/>
      <c r="AH634" s="94"/>
      <c r="AI634" s="94"/>
      <c r="AJ634" s="94"/>
      <c r="AK634" s="94"/>
      <c r="AL634" s="94"/>
      <c r="AM634" s="94"/>
      <c r="AN634" s="94"/>
      <c r="AO634" s="94"/>
      <c r="AP634" s="94"/>
      <c r="AQ634" s="94"/>
      <c r="AR634" s="94"/>
      <c r="AS634" s="94"/>
      <c r="AT634" s="94"/>
      <c r="AU634" s="94"/>
      <c r="AV634" s="94"/>
      <c r="AW634" s="94"/>
      <c r="AX634" s="94"/>
      <c r="AY634" s="94"/>
      <c r="BA634" s="95"/>
    </row>
    <row r="635" spans="1:53" s="87" customFormat="1">
      <c r="A635" s="90" t="str">
        <f t="shared" si="57"/>
        <v/>
      </c>
      <c r="B635" s="98">
        <v>17</v>
      </c>
      <c r="C635" s="94" t="s">
        <v>210</v>
      </c>
      <c r="D635" s="94" t="s">
        <v>202</v>
      </c>
      <c r="E635" s="94">
        <v>-5</v>
      </c>
      <c r="F635" s="94" t="s">
        <v>210</v>
      </c>
      <c r="G635" s="94" t="s">
        <v>210</v>
      </c>
      <c r="H635" s="94">
        <v>-1</v>
      </c>
      <c r="I635" s="94">
        <v>4</v>
      </c>
      <c r="J635" s="94" t="s">
        <v>210</v>
      </c>
      <c r="K635" s="94" t="s">
        <v>210</v>
      </c>
      <c r="L635" s="94">
        <v>2</v>
      </c>
      <c r="M635" s="94"/>
      <c r="N635" s="94"/>
      <c r="O635" s="94"/>
      <c r="P635" s="94"/>
      <c r="Q635" s="94"/>
      <c r="R635" s="94"/>
      <c r="S635" s="94"/>
      <c r="T635" s="94"/>
      <c r="U635" s="94"/>
      <c r="V635" s="94"/>
      <c r="W635" s="94"/>
      <c r="X635" s="94"/>
      <c r="Y635" s="94"/>
      <c r="Z635" s="94"/>
      <c r="AA635" s="94"/>
      <c r="AB635" s="94"/>
      <c r="AC635" s="94"/>
      <c r="AD635" s="94"/>
      <c r="AE635" s="94"/>
      <c r="AF635" s="94"/>
      <c r="AG635" s="94"/>
      <c r="AH635" s="94"/>
      <c r="AI635" s="94"/>
      <c r="AJ635" s="94"/>
      <c r="AK635" s="94"/>
      <c r="AL635" s="94"/>
      <c r="AM635" s="94"/>
      <c r="AN635" s="94"/>
      <c r="AO635" s="94"/>
      <c r="AP635" s="94"/>
      <c r="AQ635" s="94"/>
      <c r="AR635" s="94"/>
      <c r="AS635" s="94"/>
      <c r="AT635" s="94"/>
      <c r="AU635" s="94"/>
      <c r="AV635" s="94"/>
      <c r="AW635" s="94"/>
      <c r="AX635" s="94"/>
      <c r="AY635" s="94"/>
      <c r="BA635" s="95"/>
    </row>
    <row r="636" spans="1:53" s="87" customFormat="1">
      <c r="A636" s="90" t="str">
        <f t="shared" si="57"/>
        <v/>
      </c>
      <c r="B636" s="98">
        <v>18</v>
      </c>
      <c r="C636" s="94" t="s">
        <v>210</v>
      </c>
      <c r="D636" s="94">
        <v>-1</v>
      </c>
      <c r="E636" s="94" t="s">
        <v>202</v>
      </c>
      <c r="F636" s="94" t="s">
        <v>210</v>
      </c>
      <c r="G636" s="94" t="s">
        <v>210</v>
      </c>
      <c r="H636" s="94">
        <v>2</v>
      </c>
      <c r="I636" s="94">
        <v>-4</v>
      </c>
      <c r="J636" s="94" t="s">
        <v>210</v>
      </c>
      <c r="K636" s="94">
        <v>5</v>
      </c>
      <c r="L636" s="94" t="s">
        <v>210</v>
      </c>
      <c r="M636" s="94"/>
      <c r="N636" s="94"/>
      <c r="O636" s="94"/>
      <c r="P636" s="94"/>
      <c r="Q636" s="94"/>
      <c r="R636" s="94"/>
      <c r="S636" s="94"/>
      <c r="T636" s="94"/>
      <c r="U636" s="94"/>
      <c r="V636" s="94"/>
      <c r="W636" s="94"/>
      <c r="X636" s="94"/>
      <c r="Y636" s="94"/>
      <c r="Z636" s="94"/>
      <c r="AA636" s="94"/>
      <c r="AB636" s="94"/>
      <c r="AC636" s="94"/>
      <c r="AD636" s="94"/>
      <c r="AE636" s="94"/>
      <c r="AF636" s="94"/>
      <c r="AG636" s="94"/>
      <c r="AH636" s="94"/>
      <c r="AI636" s="94"/>
      <c r="AJ636" s="94"/>
      <c r="AK636" s="94"/>
      <c r="AL636" s="94"/>
      <c r="AM636" s="94"/>
      <c r="AN636" s="94"/>
      <c r="AO636" s="94"/>
      <c r="AP636" s="94"/>
      <c r="AQ636" s="94"/>
      <c r="AR636" s="94"/>
      <c r="AS636" s="94"/>
      <c r="AT636" s="94"/>
      <c r="AU636" s="94"/>
      <c r="AV636" s="94"/>
      <c r="AW636" s="94"/>
      <c r="AX636" s="94"/>
      <c r="AY636" s="94"/>
      <c r="BA636" s="95"/>
    </row>
    <row r="637" spans="1:53" s="87" customFormat="1">
      <c r="A637" s="90" t="str">
        <f t="shared" si="57"/>
        <v/>
      </c>
      <c r="B637" s="98">
        <v>19</v>
      </c>
      <c r="C637" s="94" t="s">
        <v>210</v>
      </c>
      <c r="D637" s="94">
        <v>3</v>
      </c>
      <c r="E637" s="94">
        <v>-4</v>
      </c>
      <c r="F637" s="94" t="s">
        <v>210</v>
      </c>
      <c r="G637" s="94" t="s">
        <v>210</v>
      </c>
      <c r="H637" s="94">
        <v>1</v>
      </c>
      <c r="I637" s="94" t="s">
        <v>202</v>
      </c>
      <c r="J637" s="94" t="s">
        <v>210</v>
      </c>
      <c r="K637" s="94">
        <v>-5</v>
      </c>
      <c r="L637" s="94" t="s">
        <v>210</v>
      </c>
      <c r="M637" s="94"/>
      <c r="N637" s="94"/>
      <c r="O637" s="94"/>
      <c r="P637" s="94"/>
      <c r="Q637" s="94"/>
      <c r="R637" s="94"/>
      <c r="S637" s="94"/>
      <c r="T637" s="94"/>
      <c r="U637" s="94"/>
      <c r="V637" s="94"/>
      <c r="W637" s="94"/>
      <c r="X637" s="94"/>
      <c r="Y637" s="94"/>
      <c r="Z637" s="94"/>
      <c r="AA637" s="94"/>
      <c r="AB637" s="94"/>
      <c r="AC637" s="94"/>
      <c r="AD637" s="94"/>
      <c r="AE637" s="94"/>
      <c r="AF637" s="94"/>
      <c r="AG637" s="94"/>
      <c r="AH637" s="94"/>
      <c r="AI637" s="94"/>
      <c r="AJ637" s="94"/>
      <c r="AK637" s="94"/>
      <c r="AL637" s="94"/>
      <c r="AM637" s="94"/>
      <c r="AN637" s="94"/>
      <c r="AO637" s="94"/>
      <c r="AP637" s="94"/>
      <c r="AQ637" s="94"/>
      <c r="AR637" s="94"/>
      <c r="AS637" s="94"/>
      <c r="AT637" s="94"/>
      <c r="AU637" s="94"/>
      <c r="AV637" s="94"/>
      <c r="AW637" s="94"/>
      <c r="AX637" s="94"/>
      <c r="AY637" s="94"/>
      <c r="BA637" s="95"/>
    </row>
    <row r="638" spans="1:53" s="87" customFormat="1">
      <c r="A638" s="90" t="str">
        <f t="shared" si="57"/>
        <v/>
      </c>
      <c r="B638" s="99">
        <v>20</v>
      </c>
      <c r="C638" s="92" t="s">
        <v>210</v>
      </c>
      <c r="D638" s="92">
        <v>-3</v>
      </c>
      <c r="E638" s="92">
        <v>5</v>
      </c>
      <c r="F638" s="92" t="s">
        <v>210</v>
      </c>
      <c r="G638" s="92" t="s">
        <v>210</v>
      </c>
      <c r="H638" s="92">
        <v>-2</v>
      </c>
      <c r="I638" s="92">
        <v>3</v>
      </c>
      <c r="J638" s="92" t="s">
        <v>210</v>
      </c>
      <c r="K638" s="92" t="s">
        <v>210</v>
      </c>
      <c r="L638" s="92" t="s">
        <v>202</v>
      </c>
      <c r="M638" s="94"/>
      <c r="N638" s="94"/>
      <c r="O638" s="94"/>
      <c r="P638" s="94"/>
      <c r="Q638" s="94"/>
      <c r="R638" s="94"/>
      <c r="S638" s="94"/>
      <c r="T638" s="94"/>
      <c r="U638" s="94"/>
      <c r="V638" s="94"/>
      <c r="W638" s="94"/>
      <c r="X638" s="94"/>
      <c r="Y638" s="94"/>
      <c r="Z638" s="94"/>
      <c r="AA638" s="94"/>
      <c r="AB638" s="94"/>
      <c r="AC638" s="94"/>
      <c r="AD638" s="94"/>
      <c r="AE638" s="94"/>
      <c r="AF638" s="94"/>
      <c r="AG638" s="94"/>
      <c r="AH638" s="94"/>
      <c r="AI638" s="94"/>
      <c r="AJ638" s="94"/>
      <c r="AK638" s="94"/>
      <c r="AL638" s="94"/>
      <c r="AM638" s="94"/>
      <c r="AN638" s="94"/>
      <c r="AO638" s="94"/>
      <c r="AP638" s="94"/>
      <c r="AQ638" s="94"/>
      <c r="AR638" s="94"/>
      <c r="AS638" s="94"/>
      <c r="AT638" s="94"/>
      <c r="AU638" s="94"/>
      <c r="AV638" s="94"/>
      <c r="AW638" s="94"/>
      <c r="AX638" s="94"/>
      <c r="AY638" s="94"/>
      <c r="BA638" s="95"/>
    </row>
    <row r="639" spans="1:53" s="87" customFormat="1">
      <c r="A639" s="90" t="str">
        <f t="shared" si="57"/>
        <v/>
      </c>
      <c r="B639" s="98">
        <v>21</v>
      </c>
      <c r="C639" s="94" t="s">
        <v>210</v>
      </c>
      <c r="D639" s="94" t="s">
        <v>210</v>
      </c>
      <c r="E639" s="94">
        <v>-3</v>
      </c>
      <c r="F639" s="94" t="s">
        <v>210</v>
      </c>
      <c r="G639" s="94" t="s">
        <v>210</v>
      </c>
      <c r="H639" s="94">
        <v>-4</v>
      </c>
      <c r="I639" s="94">
        <v>2</v>
      </c>
      <c r="J639" s="94" t="s">
        <v>210</v>
      </c>
      <c r="K639" s="94" t="s">
        <v>210</v>
      </c>
      <c r="L639" s="94">
        <v>1</v>
      </c>
      <c r="M639" s="94"/>
      <c r="N639" s="94"/>
      <c r="O639" s="94"/>
      <c r="P639" s="94"/>
      <c r="Q639" s="94"/>
      <c r="R639" s="94"/>
      <c r="S639" s="94"/>
      <c r="T639" s="94"/>
      <c r="U639" s="94"/>
      <c r="V639" s="94"/>
      <c r="W639" s="94"/>
      <c r="X639" s="94"/>
      <c r="Y639" s="94"/>
      <c r="Z639" s="94"/>
      <c r="AA639" s="94"/>
      <c r="AB639" s="94"/>
      <c r="AC639" s="94"/>
      <c r="AD639" s="94"/>
      <c r="AE639" s="94"/>
      <c r="AF639" s="94"/>
      <c r="AG639" s="94"/>
      <c r="AH639" s="94"/>
      <c r="AI639" s="94"/>
      <c r="AJ639" s="94"/>
      <c r="AK639" s="94"/>
      <c r="AL639" s="94"/>
      <c r="AM639" s="94"/>
      <c r="AN639" s="94"/>
      <c r="AO639" s="94"/>
      <c r="AP639" s="94"/>
      <c r="AQ639" s="94"/>
      <c r="AR639" s="94"/>
      <c r="AS639" s="94"/>
      <c r="AT639" s="94"/>
      <c r="AU639" s="94"/>
      <c r="AV639" s="94"/>
      <c r="AW639" s="94"/>
      <c r="AX639" s="94"/>
      <c r="AY639" s="94"/>
      <c r="BA639" s="95"/>
    </row>
    <row r="640" spans="1:53" s="87" customFormat="1">
      <c r="A640" s="90" t="str">
        <f t="shared" si="57"/>
        <v/>
      </c>
      <c r="B640" s="98">
        <v>22</v>
      </c>
      <c r="C640" s="94" t="s">
        <v>210</v>
      </c>
      <c r="D640" s="94" t="s">
        <v>210</v>
      </c>
      <c r="E640" s="94">
        <v>3</v>
      </c>
      <c r="F640" s="94" t="s">
        <v>210</v>
      </c>
      <c r="G640" s="94">
        <v>4</v>
      </c>
      <c r="H640" s="94" t="s">
        <v>210</v>
      </c>
      <c r="I640" s="94" t="s">
        <v>210</v>
      </c>
      <c r="J640" s="94">
        <v>-2</v>
      </c>
      <c r="K640" s="94" t="s">
        <v>210</v>
      </c>
      <c r="L640" s="94">
        <v>-1</v>
      </c>
      <c r="M640" s="94"/>
      <c r="N640" s="94"/>
      <c r="O640" s="94"/>
      <c r="P640" s="94"/>
      <c r="Q640" s="94"/>
      <c r="R640" s="94"/>
      <c r="S640" s="94"/>
      <c r="T640" s="94"/>
      <c r="U640" s="94"/>
      <c r="V640" s="94"/>
      <c r="W640" s="94"/>
      <c r="X640" s="94"/>
      <c r="Y640" s="94"/>
      <c r="Z640" s="94"/>
      <c r="AA640" s="94"/>
      <c r="AB640" s="94"/>
      <c r="AC640" s="94"/>
      <c r="AD640" s="94"/>
      <c r="AE640" s="94"/>
      <c r="AF640" s="94"/>
      <c r="AG640" s="94"/>
      <c r="AH640" s="94"/>
      <c r="AI640" s="94"/>
      <c r="AJ640" s="94"/>
      <c r="AK640" s="94"/>
      <c r="AL640" s="94"/>
      <c r="AM640" s="94"/>
      <c r="AN640" s="94"/>
      <c r="AO640" s="94"/>
      <c r="AP640" s="94"/>
      <c r="AQ640" s="94"/>
      <c r="AR640" s="94"/>
      <c r="AS640" s="94"/>
      <c r="AT640" s="94"/>
      <c r="AU640" s="94"/>
      <c r="AV640" s="94"/>
      <c r="AW640" s="94"/>
      <c r="AX640" s="94"/>
      <c r="AY640" s="94"/>
      <c r="BA640" s="95"/>
    </row>
    <row r="641" spans="1:53" s="87" customFormat="1">
      <c r="A641" s="90" t="str">
        <f t="shared" si="57"/>
        <v/>
      </c>
      <c r="B641" s="98">
        <v>23</v>
      </c>
      <c r="C641" s="94">
        <v>-5</v>
      </c>
      <c r="D641" s="94" t="s">
        <v>210</v>
      </c>
      <c r="E641" s="94" t="s">
        <v>210</v>
      </c>
      <c r="F641" s="94" t="s">
        <v>210</v>
      </c>
      <c r="G641" s="94" t="s">
        <v>210</v>
      </c>
      <c r="H641" s="94">
        <v>4</v>
      </c>
      <c r="I641" s="94" t="s">
        <v>210</v>
      </c>
      <c r="J641" s="94">
        <v>2</v>
      </c>
      <c r="K641" s="94">
        <v>-1</v>
      </c>
      <c r="L641" s="94" t="s">
        <v>210</v>
      </c>
      <c r="M641" s="94"/>
      <c r="N641" s="94"/>
      <c r="O641" s="94"/>
      <c r="P641" s="94"/>
      <c r="Q641" s="94"/>
      <c r="R641" s="94"/>
      <c r="S641" s="94"/>
      <c r="T641" s="94"/>
      <c r="U641" s="94"/>
      <c r="V641" s="94"/>
      <c r="W641" s="94"/>
      <c r="X641" s="94"/>
      <c r="Y641" s="94"/>
      <c r="Z641" s="94"/>
      <c r="AA641" s="94"/>
      <c r="AB641" s="94"/>
      <c r="AC641" s="94"/>
      <c r="AD641" s="94"/>
      <c r="AE641" s="94"/>
      <c r="AF641" s="94"/>
      <c r="AG641" s="94"/>
      <c r="AH641" s="94"/>
      <c r="AI641" s="94"/>
      <c r="AJ641" s="94"/>
      <c r="AK641" s="94"/>
      <c r="AL641" s="94"/>
      <c r="AM641" s="94"/>
      <c r="AN641" s="94"/>
      <c r="AO641" s="94"/>
      <c r="AP641" s="94"/>
      <c r="AQ641" s="94"/>
      <c r="AR641" s="94"/>
      <c r="AS641" s="94"/>
      <c r="AT641" s="94"/>
      <c r="AU641" s="94"/>
      <c r="AV641" s="94"/>
      <c r="AW641" s="94"/>
      <c r="AX641" s="94"/>
      <c r="AY641" s="94"/>
      <c r="BA641" s="95"/>
    </row>
    <row r="642" spans="1:53" s="87" customFormat="1">
      <c r="A642" s="90" t="str">
        <f t="shared" si="57"/>
        <v/>
      </c>
      <c r="B642" s="98">
        <v>24</v>
      </c>
      <c r="C642" s="94">
        <v>5</v>
      </c>
      <c r="D642" s="94" t="s">
        <v>210</v>
      </c>
      <c r="E642" s="94" t="s">
        <v>210</v>
      </c>
      <c r="F642" s="94" t="s">
        <v>210</v>
      </c>
      <c r="G642" s="94">
        <v>-4</v>
      </c>
      <c r="H642" s="94" t="s">
        <v>210</v>
      </c>
      <c r="I642" s="94">
        <v>-2</v>
      </c>
      <c r="J642" s="94" t="s">
        <v>210</v>
      </c>
      <c r="K642" s="94">
        <v>1</v>
      </c>
      <c r="L642" s="94" t="s">
        <v>210</v>
      </c>
      <c r="M642" s="94"/>
      <c r="N642" s="94"/>
      <c r="O642" s="94"/>
      <c r="P642" s="94"/>
      <c r="Q642" s="94"/>
      <c r="R642" s="94"/>
      <c r="S642" s="94"/>
      <c r="T642" s="94"/>
      <c r="U642" s="94"/>
      <c r="V642" s="94"/>
      <c r="W642" s="94"/>
      <c r="X642" s="94"/>
      <c r="Y642" s="94"/>
      <c r="Z642" s="94"/>
      <c r="AA642" s="94"/>
      <c r="AB642" s="94"/>
      <c r="AC642" s="94"/>
      <c r="AD642" s="94"/>
      <c r="AE642" s="94"/>
      <c r="AF642" s="94"/>
      <c r="AG642" s="94"/>
      <c r="AH642" s="94"/>
      <c r="AI642" s="94"/>
      <c r="AJ642" s="94"/>
      <c r="AK642" s="94"/>
      <c r="AL642" s="94"/>
      <c r="AM642" s="94"/>
      <c r="AN642" s="94"/>
      <c r="AO642" s="94"/>
      <c r="AP642" s="94"/>
      <c r="AQ642" s="94"/>
      <c r="AR642" s="94"/>
      <c r="AS642" s="94"/>
      <c r="AT642" s="94"/>
      <c r="AU642" s="94"/>
      <c r="AV642" s="94"/>
      <c r="AW642" s="94"/>
      <c r="AX642" s="94"/>
      <c r="AY642" s="94"/>
      <c r="BA642" s="95"/>
    </row>
    <row r="643" spans="1:53" s="87" customFormat="1">
      <c r="A643" s="90" t="str">
        <f t="shared" si="57"/>
        <v/>
      </c>
      <c r="B643" s="263" t="s">
        <v>820</v>
      </c>
      <c r="C643" s="94"/>
      <c r="D643" s="94"/>
      <c r="E643" s="94"/>
      <c r="F643" s="94"/>
      <c r="G643" s="94"/>
      <c r="H643" s="94"/>
      <c r="I643" s="94"/>
      <c r="J643" s="94"/>
      <c r="K643" s="94"/>
      <c r="L643" s="94"/>
      <c r="M643" s="94"/>
      <c r="N643" s="94"/>
      <c r="O643" s="94"/>
      <c r="P643" s="94"/>
      <c r="Q643" s="94"/>
      <c r="R643" s="94"/>
      <c r="S643" s="94"/>
      <c r="T643" s="94"/>
      <c r="U643" s="94"/>
      <c r="V643" s="94"/>
      <c r="W643" s="94"/>
      <c r="X643" s="94"/>
      <c r="Y643" s="94"/>
      <c r="Z643" s="94"/>
      <c r="AA643" s="94"/>
      <c r="AB643" s="94"/>
      <c r="AC643" s="94"/>
      <c r="AD643" s="94"/>
      <c r="AE643" s="94"/>
      <c r="AF643" s="94"/>
      <c r="AG643" s="94"/>
      <c r="AH643" s="94"/>
      <c r="AI643" s="94"/>
      <c r="AJ643" s="94"/>
      <c r="AK643" s="94"/>
      <c r="AL643" s="94"/>
      <c r="AM643" s="94"/>
      <c r="AN643" s="94"/>
      <c r="AO643" s="94"/>
      <c r="AP643" s="94"/>
      <c r="AQ643" s="94"/>
      <c r="AR643" s="94"/>
      <c r="AS643" s="94"/>
      <c r="AT643" s="94"/>
      <c r="AU643" s="94"/>
      <c r="AV643" s="94"/>
      <c r="AW643" s="94"/>
      <c r="AX643" s="94"/>
      <c r="AY643" s="94"/>
      <c r="BA643" s="95"/>
    </row>
    <row r="644" spans="1:53" s="87" customFormat="1">
      <c r="A644" s="90">
        <f t="shared" si="57"/>
        <v>644</v>
      </c>
      <c r="B644" s="98" t="s">
        <v>821</v>
      </c>
      <c r="C644" s="94"/>
      <c r="D644" s="94"/>
      <c r="E644" s="94"/>
      <c r="F644" s="94"/>
      <c r="G644" s="94"/>
      <c r="H644" s="94"/>
      <c r="I644" s="94"/>
      <c r="J644" s="94"/>
      <c r="K644" s="94"/>
      <c r="L644" s="94"/>
      <c r="M644" s="94"/>
      <c r="N644" s="94"/>
      <c r="O644" s="94"/>
      <c r="P644" s="94"/>
      <c r="Q644" s="94"/>
      <c r="R644" s="94"/>
      <c r="S644" s="94"/>
      <c r="T644" s="94"/>
      <c r="U644" s="94"/>
      <c r="V644" s="94"/>
      <c r="W644" s="94"/>
      <c r="X644" s="94"/>
      <c r="Y644" s="94"/>
      <c r="Z644" s="94"/>
      <c r="AA644" s="94"/>
      <c r="AB644" s="94"/>
      <c r="AC644" s="94"/>
      <c r="AD644" s="94"/>
      <c r="AE644" s="94"/>
      <c r="AF644" s="94"/>
      <c r="AG644" s="94"/>
      <c r="AH644" s="94"/>
      <c r="AI644" s="94"/>
      <c r="AJ644" s="94"/>
      <c r="AK644" s="94"/>
      <c r="AL644" s="94"/>
      <c r="AM644" s="94"/>
      <c r="AN644" s="94"/>
      <c r="AO644" s="94"/>
      <c r="AP644" s="94"/>
      <c r="AQ644" s="94"/>
      <c r="AR644" s="94"/>
      <c r="AS644" s="94"/>
      <c r="AT644" s="94"/>
      <c r="AU644" s="94"/>
      <c r="AV644" s="94"/>
      <c r="AW644" s="94"/>
      <c r="AX644" s="94"/>
      <c r="AY644" s="94"/>
      <c r="BA644" s="95"/>
    </row>
    <row r="645" spans="1:53" s="87" customFormat="1">
      <c r="A645" s="90" t="str">
        <f t="shared" si="57"/>
        <v/>
      </c>
      <c r="B645" s="98">
        <v>1</v>
      </c>
      <c r="C645" s="94">
        <v>-4</v>
      </c>
      <c r="D645" s="94" t="s">
        <v>210</v>
      </c>
      <c r="E645" s="94" t="s">
        <v>210</v>
      </c>
      <c r="F645" s="94">
        <v>2</v>
      </c>
      <c r="G645" s="94">
        <v>-3</v>
      </c>
      <c r="H645" s="94" t="s">
        <v>210</v>
      </c>
      <c r="I645" s="94" t="s">
        <v>210</v>
      </c>
      <c r="J645" s="94">
        <v>-1</v>
      </c>
      <c r="K645" s="94">
        <v>3</v>
      </c>
      <c r="L645" s="94" t="s">
        <v>210</v>
      </c>
      <c r="M645" s="94"/>
      <c r="N645" s="94"/>
      <c r="O645" s="94"/>
      <c r="P645" s="94"/>
      <c r="Q645" s="94"/>
      <c r="R645" s="94"/>
      <c r="S645" s="94"/>
      <c r="T645" s="94"/>
      <c r="U645" s="94"/>
      <c r="V645" s="94"/>
      <c r="W645" s="94"/>
      <c r="X645" s="94"/>
      <c r="Y645" s="94"/>
      <c r="Z645" s="94"/>
      <c r="AA645" s="94"/>
      <c r="AB645" s="94"/>
      <c r="AC645" s="94"/>
      <c r="AD645" s="94"/>
      <c r="AE645" s="94"/>
      <c r="AF645" s="94"/>
      <c r="AG645" s="94"/>
      <c r="AH645" s="94"/>
      <c r="AI645" s="94"/>
      <c r="AJ645" s="94"/>
      <c r="AK645" s="94"/>
      <c r="AL645" s="94"/>
      <c r="AM645" s="94"/>
      <c r="AN645" s="94"/>
      <c r="AO645" s="94"/>
      <c r="AP645" s="94"/>
      <c r="AQ645" s="94"/>
      <c r="AR645" s="94"/>
      <c r="AS645" s="94"/>
      <c r="AT645" s="94"/>
      <c r="AU645" s="94"/>
      <c r="AV645" s="94"/>
      <c r="AW645" s="94"/>
      <c r="AX645" s="94"/>
      <c r="AY645" s="94"/>
      <c r="BA645" s="95"/>
    </row>
    <row r="646" spans="1:53" s="87" customFormat="1">
      <c r="A646" s="90" t="str">
        <f t="shared" si="57"/>
        <v/>
      </c>
      <c r="B646" s="98">
        <v>2</v>
      </c>
      <c r="C646" s="94">
        <v>-1</v>
      </c>
      <c r="D646" s="94" t="s">
        <v>210</v>
      </c>
      <c r="E646" s="94" t="s">
        <v>210</v>
      </c>
      <c r="F646" s="94">
        <v>3</v>
      </c>
      <c r="G646" s="94">
        <v>5</v>
      </c>
      <c r="H646" s="94" t="s">
        <v>210</v>
      </c>
      <c r="I646" s="94" t="s">
        <v>210</v>
      </c>
      <c r="J646" s="94">
        <v>-2</v>
      </c>
      <c r="K646" s="94">
        <v>-3</v>
      </c>
      <c r="L646" s="94" t="s">
        <v>210</v>
      </c>
      <c r="M646" s="94"/>
      <c r="N646" s="94"/>
      <c r="O646" s="94"/>
      <c r="P646" s="94"/>
      <c r="Q646" s="94"/>
      <c r="R646" s="94"/>
      <c r="S646" s="94"/>
      <c r="T646" s="94"/>
      <c r="U646" s="94"/>
      <c r="V646" s="94"/>
      <c r="W646" s="94"/>
      <c r="X646" s="94"/>
      <c r="Y646" s="94"/>
      <c r="Z646" s="94"/>
      <c r="AA646" s="94"/>
      <c r="AB646" s="94"/>
      <c r="AC646" s="94"/>
      <c r="AD646" s="94"/>
      <c r="AE646" s="94"/>
      <c r="AF646" s="94"/>
      <c r="AG646" s="94"/>
      <c r="AH646" s="94"/>
      <c r="AI646" s="94"/>
      <c r="AJ646" s="94"/>
      <c r="AK646" s="94"/>
      <c r="AL646" s="94"/>
      <c r="AM646" s="94"/>
      <c r="AN646" s="94"/>
      <c r="AO646" s="94"/>
      <c r="AP646" s="94"/>
      <c r="AQ646" s="94"/>
      <c r="AR646" s="94"/>
      <c r="AS646" s="94"/>
      <c r="AT646" s="94"/>
      <c r="AU646" s="94"/>
      <c r="AV646" s="94"/>
      <c r="AW646" s="94"/>
      <c r="AX646" s="94"/>
      <c r="AY646" s="94"/>
      <c r="BA646" s="95"/>
    </row>
    <row r="647" spans="1:53" s="87" customFormat="1">
      <c r="A647" s="90" t="str">
        <f t="shared" si="57"/>
        <v/>
      </c>
      <c r="B647" s="98">
        <v>3</v>
      </c>
      <c r="C647" s="94">
        <v>1</v>
      </c>
      <c r="D647" s="94" t="s">
        <v>210</v>
      </c>
      <c r="E647" s="94" t="s">
        <v>210</v>
      </c>
      <c r="F647" s="94">
        <v>-2</v>
      </c>
      <c r="G647" s="94">
        <v>-4</v>
      </c>
      <c r="H647" s="94" t="s">
        <v>210</v>
      </c>
      <c r="I647" s="94" t="s">
        <v>210</v>
      </c>
      <c r="J647" s="94">
        <v>3</v>
      </c>
      <c r="K647" s="94">
        <v>4</v>
      </c>
      <c r="L647" s="94" t="s">
        <v>210</v>
      </c>
      <c r="M647" s="94"/>
      <c r="N647" s="94"/>
      <c r="O647" s="94"/>
      <c r="P647" s="94"/>
      <c r="Q647" s="94"/>
      <c r="R647" s="94"/>
      <c r="S647" s="94"/>
      <c r="T647" s="94"/>
      <c r="U647" s="94"/>
      <c r="V647" s="94"/>
      <c r="W647" s="94"/>
      <c r="X647" s="94"/>
      <c r="Y647" s="94"/>
      <c r="Z647" s="94"/>
      <c r="AA647" s="94"/>
      <c r="AB647" s="94"/>
      <c r="AC647" s="94"/>
      <c r="AD647" s="94"/>
      <c r="AE647" s="94"/>
      <c r="AF647" s="94"/>
      <c r="AG647" s="94"/>
      <c r="AH647" s="94"/>
      <c r="AI647" s="94"/>
      <c r="AJ647" s="94"/>
      <c r="AK647" s="94"/>
      <c r="AL647" s="94"/>
      <c r="AM647" s="94"/>
      <c r="AN647" s="94"/>
      <c r="AO647" s="94"/>
      <c r="AP647" s="94"/>
      <c r="AQ647" s="94"/>
      <c r="AR647" s="94"/>
      <c r="AS647" s="94"/>
      <c r="AT647" s="94"/>
      <c r="AU647" s="94"/>
      <c r="AV647" s="94"/>
      <c r="AW647" s="94"/>
      <c r="AX647" s="94"/>
      <c r="AY647" s="94"/>
      <c r="BA647" s="95"/>
    </row>
    <row r="648" spans="1:53" s="87" customFormat="1">
      <c r="A648" s="90" t="str">
        <f t="shared" si="57"/>
        <v/>
      </c>
      <c r="B648" s="98">
        <v>4</v>
      </c>
      <c r="C648" s="94">
        <v>-5</v>
      </c>
      <c r="D648" s="94" t="s">
        <v>210</v>
      </c>
      <c r="E648" s="94" t="s">
        <v>210</v>
      </c>
      <c r="F648" s="94">
        <v>-1</v>
      </c>
      <c r="G648" s="94">
        <v>3</v>
      </c>
      <c r="H648" s="94" t="s">
        <v>210</v>
      </c>
      <c r="I648" s="94" t="s">
        <v>210</v>
      </c>
      <c r="J648" s="94">
        <v>2</v>
      </c>
      <c r="K648" s="94">
        <v>-4</v>
      </c>
      <c r="L648" s="94" t="s">
        <v>210</v>
      </c>
      <c r="M648" s="94"/>
      <c r="N648" s="94"/>
      <c r="O648" s="94"/>
      <c r="P648" s="94"/>
      <c r="Q648" s="94"/>
      <c r="R648" s="94"/>
      <c r="S648" s="94"/>
      <c r="T648" s="94"/>
      <c r="U648" s="94"/>
      <c r="V648" s="94"/>
      <c r="W648" s="94"/>
      <c r="X648" s="94"/>
      <c r="Y648" s="94"/>
      <c r="Z648" s="94"/>
      <c r="AA648" s="94"/>
      <c r="AB648" s="94"/>
      <c r="AC648" s="94"/>
      <c r="AD648" s="94"/>
      <c r="AE648" s="94"/>
      <c r="AF648" s="94"/>
      <c r="AG648" s="94"/>
      <c r="AH648" s="94"/>
      <c r="AI648" s="94"/>
      <c r="AJ648" s="94"/>
      <c r="AK648" s="94"/>
      <c r="AL648" s="94"/>
      <c r="AM648" s="94"/>
      <c r="AN648" s="94"/>
      <c r="AO648" s="94"/>
      <c r="AP648" s="94"/>
      <c r="AQ648" s="94"/>
      <c r="AR648" s="94"/>
      <c r="AS648" s="94"/>
      <c r="AT648" s="94"/>
      <c r="AU648" s="94"/>
      <c r="AV648" s="94"/>
      <c r="AW648" s="94"/>
      <c r="AX648" s="94"/>
      <c r="AY648" s="94"/>
      <c r="BA648" s="95"/>
    </row>
    <row r="649" spans="1:53" s="87" customFormat="1">
      <c r="A649" s="90" t="str">
        <f t="shared" si="57"/>
        <v/>
      </c>
      <c r="B649" s="98">
        <v>5</v>
      </c>
      <c r="C649" s="94">
        <v>5</v>
      </c>
      <c r="D649" s="94" t="s">
        <v>210</v>
      </c>
      <c r="E649" s="94" t="s">
        <v>210</v>
      </c>
      <c r="F649" s="94">
        <v>-3</v>
      </c>
      <c r="G649" s="94">
        <v>4</v>
      </c>
      <c r="H649" s="94" t="s">
        <v>210</v>
      </c>
      <c r="I649" s="94" t="s">
        <v>210</v>
      </c>
      <c r="J649" s="94">
        <v>1</v>
      </c>
      <c r="K649" s="94">
        <v>-2</v>
      </c>
      <c r="L649" s="94" t="s">
        <v>210</v>
      </c>
      <c r="M649" s="94"/>
      <c r="N649" s="94"/>
      <c r="O649" s="94"/>
      <c r="P649" s="94"/>
      <c r="Q649" s="94"/>
      <c r="R649" s="94"/>
      <c r="S649" s="94"/>
      <c r="T649" s="94"/>
      <c r="U649" s="94"/>
      <c r="V649" s="94"/>
      <c r="W649" s="94"/>
      <c r="X649" s="94"/>
      <c r="Y649" s="94"/>
      <c r="Z649" s="94"/>
      <c r="AA649" s="94"/>
      <c r="AB649" s="94"/>
      <c r="AC649" s="94"/>
      <c r="AD649" s="94"/>
      <c r="AE649" s="94"/>
      <c r="AF649" s="94"/>
      <c r="AG649" s="94"/>
      <c r="AH649" s="94"/>
      <c r="AI649" s="94"/>
      <c r="AJ649" s="94"/>
      <c r="AK649" s="94"/>
      <c r="AL649" s="94"/>
      <c r="AM649" s="94"/>
      <c r="AN649" s="94"/>
      <c r="AO649" s="94"/>
      <c r="AP649" s="94"/>
      <c r="AQ649" s="94"/>
      <c r="AR649" s="94"/>
      <c r="AS649" s="94"/>
      <c r="AT649" s="94"/>
      <c r="AU649" s="94"/>
      <c r="AV649" s="94"/>
      <c r="AW649" s="94"/>
      <c r="AX649" s="94"/>
      <c r="AY649" s="94"/>
      <c r="BA649" s="95"/>
    </row>
    <row r="650" spans="1:53" s="87" customFormat="1">
      <c r="A650" s="90" t="str">
        <f t="shared" si="57"/>
        <v/>
      </c>
      <c r="B650" s="99">
        <v>6</v>
      </c>
      <c r="C650" s="92">
        <v>4</v>
      </c>
      <c r="D650" s="92" t="s">
        <v>210</v>
      </c>
      <c r="E650" s="92" t="s">
        <v>210</v>
      </c>
      <c r="F650" s="92">
        <v>1</v>
      </c>
      <c r="G650" s="92">
        <v>-5</v>
      </c>
      <c r="H650" s="92" t="s">
        <v>210</v>
      </c>
      <c r="I650" s="92" t="s">
        <v>210</v>
      </c>
      <c r="J650" s="92">
        <v>-3</v>
      </c>
      <c r="K650" s="92">
        <v>2</v>
      </c>
      <c r="L650" s="92" t="s">
        <v>210</v>
      </c>
      <c r="M650" s="94"/>
      <c r="N650" s="94"/>
      <c r="O650" s="94"/>
      <c r="P650" s="94"/>
      <c r="Q650" s="94"/>
      <c r="R650" s="94"/>
      <c r="S650" s="94"/>
      <c r="T650" s="94"/>
      <c r="U650" s="94"/>
      <c r="V650" s="94"/>
      <c r="W650" s="94"/>
      <c r="X650" s="94"/>
      <c r="Y650" s="94"/>
      <c r="Z650" s="94"/>
      <c r="AA650" s="94"/>
      <c r="AB650" s="94"/>
      <c r="AC650" s="94"/>
      <c r="AD650" s="94"/>
      <c r="AE650" s="94"/>
      <c r="AF650" s="94"/>
      <c r="AG650" s="94"/>
      <c r="AH650" s="94"/>
      <c r="AI650" s="94"/>
      <c r="AJ650" s="94"/>
      <c r="AK650" s="94"/>
      <c r="AL650" s="94"/>
      <c r="AM650" s="94"/>
      <c r="AN650" s="94"/>
      <c r="AO650" s="94"/>
      <c r="AP650" s="94"/>
      <c r="AQ650" s="94"/>
      <c r="AR650" s="94"/>
      <c r="AS650" s="94"/>
      <c r="AT650" s="94"/>
      <c r="AU650" s="94"/>
      <c r="AV650" s="94"/>
      <c r="AW650" s="94"/>
      <c r="AX650" s="94"/>
      <c r="AY650" s="94"/>
      <c r="BA650" s="95"/>
    </row>
    <row r="651" spans="1:53" s="87" customFormat="1">
      <c r="A651" s="90" t="str">
        <f t="shared" si="57"/>
        <v/>
      </c>
      <c r="B651" s="98">
        <v>7</v>
      </c>
      <c r="C651" s="94" t="s">
        <v>210</v>
      </c>
      <c r="D651" s="94">
        <v>-3</v>
      </c>
      <c r="E651" s="94">
        <v>-4</v>
      </c>
      <c r="F651" s="94" t="s">
        <v>210</v>
      </c>
      <c r="G651" s="94" t="s">
        <v>210</v>
      </c>
      <c r="H651" s="94">
        <v>5</v>
      </c>
      <c r="I651" s="94">
        <v>2</v>
      </c>
      <c r="J651" s="94" t="s">
        <v>210</v>
      </c>
      <c r="K651" s="94">
        <v>-5</v>
      </c>
      <c r="L651" s="94" t="s">
        <v>210</v>
      </c>
      <c r="M651" s="94"/>
      <c r="N651" s="94"/>
      <c r="O651" s="94"/>
      <c r="P651" s="94"/>
      <c r="Q651" s="94"/>
      <c r="R651" s="94"/>
      <c r="S651" s="94"/>
      <c r="T651" s="94"/>
      <c r="U651" s="94"/>
      <c r="V651" s="94"/>
      <c r="W651" s="94"/>
      <c r="X651" s="94"/>
      <c r="Y651" s="94"/>
      <c r="Z651" s="94"/>
      <c r="AA651" s="94"/>
      <c r="AB651" s="94"/>
      <c r="AC651" s="94"/>
      <c r="AD651" s="94"/>
      <c r="AE651" s="94"/>
      <c r="AF651" s="94"/>
      <c r="AG651" s="94"/>
      <c r="AH651" s="94"/>
      <c r="AI651" s="94"/>
      <c r="AJ651" s="94"/>
      <c r="AK651" s="94"/>
      <c r="AL651" s="94"/>
      <c r="AM651" s="94"/>
      <c r="AN651" s="94"/>
      <c r="AO651" s="94"/>
      <c r="AP651" s="94"/>
      <c r="AQ651" s="94"/>
      <c r="AR651" s="94"/>
      <c r="AS651" s="94"/>
      <c r="AT651" s="94"/>
      <c r="AU651" s="94"/>
      <c r="AV651" s="94"/>
      <c r="AW651" s="94"/>
      <c r="AX651" s="94"/>
      <c r="AY651" s="94"/>
      <c r="BA651" s="95"/>
    </row>
    <row r="652" spans="1:53" s="87" customFormat="1">
      <c r="A652" s="90" t="str">
        <f t="shared" ref="A652:A715" si="58">IF(MID(B652,3,2)="05",ROW(),"")</f>
        <v/>
      </c>
      <c r="B652" s="98">
        <v>8</v>
      </c>
      <c r="C652" s="94" t="s">
        <v>210</v>
      </c>
      <c r="D652" s="94">
        <v>-1</v>
      </c>
      <c r="E652" s="94">
        <v>-2</v>
      </c>
      <c r="F652" s="94" t="s">
        <v>210</v>
      </c>
      <c r="G652" s="94" t="s">
        <v>210</v>
      </c>
      <c r="H652" s="94">
        <v>3</v>
      </c>
      <c r="I652" s="94">
        <v>-4</v>
      </c>
      <c r="J652" s="94" t="s">
        <v>210</v>
      </c>
      <c r="K652" s="94">
        <v>5</v>
      </c>
      <c r="L652" s="94" t="s">
        <v>210</v>
      </c>
      <c r="M652" s="94"/>
      <c r="N652" s="94"/>
      <c r="O652" s="94"/>
      <c r="P652" s="94"/>
      <c r="Q652" s="94"/>
      <c r="R652" s="94"/>
      <c r="S652" s="94"/>
      <c r="T652" s="94"/>
      <c r="U652" s="94"/>
      <c r="V652" s="94"/>
      <c r="W652" s="94"/>
      <c r="X652" s="94"/>
      <c r="Y652" s="94"/>
      <c r="Z652" s="94"/>
      <c r="AA652" s="94"/>
      <c r="AB652" s="94"/>
      <c r="AC652" s="94"/>
      <c r="AD652" s="94"/>
      <c r="AE652" s="94"/>
      <c r="AF652" s="94"/>
      <c r="AG652" s="94"/>
      <c r="AH652" s="94"/>
      <c r="AI652" s="94"/>
      <c r="AJ652" s="94"/>
      <c r="AK652" s="94"/>
      <c r="AL652" s="94"/>
      <c r="AM652" s="94"/>
      <c r="AN652" s="94"/>
      <c r="AO652" s="94"/>
      <c r="AP652" s="94"/>
      <c r="AQ652" s="94"/>
      <c r="AR652" s="94"/>
      <c r="AS652" s="94"/>
      <c r="AT652" s="94"/>
      <c r="AU652" s="94"/>
      <c r="AV652" s="94"/>
      <c r="AW652" s="94"/>
      <c r="AX652" s="94"/>
      <c r="AY652" s="94"/>
      <c r="BA652" s="95"/>
    </row>
    <row r="653" spans="1:53" s="87" customFormat="1">
      <c r="A653" s="90" t="str">
        <f t="shared" si="58"/>
        <v/>
      </c>
      <c r="B653" s="98">
        <v>9</v>
      </c>
      <c r="C653" s="94" t="s">
        <v>210</v>
      </c>
      <c r="D653" s="94">
        <v>-4</v>
      </c>
      <c r="E653" s="94">
        <v>5</v>
      </c>
      <c r="F653" s="94" t="s">
        <v>210</v>
      </c>
      <c r="G653" s="94" t="s">
        <v>210</v>
      </c>
      <c r="H653" s="94">
        <v>-3</v>
      </c>
      <c r="I653" s="94">
        <v>-2</v>
      </c>
      <c r="J653" s="94" t="s">
        <v>210</v>
      </c>
      <c r="K653" s="94">
        <v>1</v>
      </c>
      <c r="L653" s="94" t="s">
        <v>210</v>
      </c>
      <c r="M653" s="94"/>
      <c r="N653" s="94"/>
      <c r="O653" s="94"/>
      <c r="P653" s="94"/>
      <c r="Q653" s="94"/>
      <c r="R653" s="94"/>
      <c r="S653" s="94"/>
      <c r="T653" s="94"/>
      <c r="U653" s="94"/>
      <c r="V653" s="94"/>
      <c r="W653" s="94"/>
      <c r="X653" s="94"/>
      <c r="Y653" s="94"/>
      <c r="Z653" s="94"/>
      <c r="AA653" s="94"/>
      <c r="AB653" s="94"/>
      <c r="AC653" s="94"/>
      <c r="AD653" s="94"/>
      <c r="AE653" s="94"/>
      <c r="AF653" s="94"/>
      <c r="AG653" s="94"/>
      <c r="AH653" s="94"/>
      <c r="AI653" s="94"/>
      <c r="AJ653" s="94"/>
      <c r="AK653" s="94"/>
      <c r="AL653" s="94"/>
      <c r="AM653" s="94"/>
      <c r="AN653" s="94"/>
      <c r="AO653" s="94"/>
      <c r="AP653" s="94"/>
      <c r="AQ653" s="94"/>
      <c r="AR653" s="94"/>
      <c r="AS653" s="94"/>
      <c r="AT653" s="94"/>
      <c r="AU653" s="94"/>
      <c r="AV653" s="94"/>
      <c r="AW653" s="94"/>
      <c r="AX653" s="94"/>
      <c r="AY653" s="94"/>
      <c r="BA653" s="95"/>
    </row>
    <row r="654" spans="1:53" s="87" customFormat="1">
      <c r="A654" s="90" t="str">
        <f t="shared" si="58"/>
        <v/>
      </c>
      <c r="B654" s="99">
        <v>10</v>
      </c>
      <c r="C654" s="92" t="s">
        <v>210</v>
      </c>
      <c r="D654" s="92">
        <v>2</v>
      </c>
      <c r="E654" s="92">
        <v>3</v>
      </c>
      <c r="F654" s="92" t="s">
        <v>210</v>
      </c>
      <c r="G654" s="92" t="s">
        <v>210</v>
      </c>
      <c r="H654" s="92">
        <v>-5</v>
      </c>
      <c r="I654" s="92">
        <v>4</v>
      </c>
      <c r="J654" s="92" t="s">
        <v>210</v>
      </c>
      <c r="K654" s="92">
        <v>-1</v>
      </c>
      <c r="L654" s="92" t="s">
        <v>210</v>
      </c>
      <c r="M654" s="94"/>
      <c r="N654" s="94"/>
      <c r="O654" s="94"/>
      <c r="P654" s="94"/>
      <c r="Q654" s="94"/>
      <c r="R654" s="94"/>
      <c r="S654" s="94"/>
      <c r="T654" s="94"/>
      <c r="U654" s="94"/>
      <c r="V654" s="94"/>
      <c r="W654" s="94"/>
      <c r="X654" s="94"/>
      <c r="Y654" s="94"/>
      <c r="Z654" s="94"/>
      <c r="AA654" s="94"/>
      <c r="AB654" s="94"/>
      <c r="AC654" s="94"/>
      <c r="AD654" s="94"/>
      <c r="AE654" s="94"/>
      <c r="AF654" s="94"/>
      <c r="AG654" s="94"/>
      <c r="AH654" s="94"/>
      <c r="AI654" s="94"/>
      <c r="AJ654" s="94"/>
      <c r="AK654" s="94"/>
      <c r="AL654" s="94"/>
      <c r="AM654" s="94"/>
      <c r="AN654" s="94"/>
      <c r="AO654" s="94"/>
      <c r="AP654" s="94"/>
      <c r="AQ654" s="94"/>
      <c r="AR654" s="94"/>
      <c r="AS654" s="94"/>
      <c r="AT654" s="94"/>
      <c r="AU654" s="94"/>
      <c r="AV654" s="94"/>
      <c r="AW654" s="94"/>
      <c r="AX654" s="94"/>
      <c r="AY654" s="94"/>
      <c r="BA654" s="95"/>
    </row>
    <row r="655" spans="1:53" s="87" customFormat="1">
      <c r="A655" s="90" t="str">
        <f t="shared" si="58"/>
        <v/>
      </c>
      <c r="B655" s="98">
        <v>11</v>
      </c>
      <c r="C655" s="94" t="s">
        <v>210</v>
      </c>
      <c r="D655" s="94">
        <v>1</v>
      </c>
      <c r="E655" s="94">
        <v>4</v>
      </c>
      <c r="F655" s="94" t="s">
        <v>210</v>
      </c>
      <c r="G655" s="94">
        <v>-2</v>
      </c>
      <c r="H655" s="94" t="s">
        <v>210</v>
      </c>
      <c r="I655" s="94">
        <v>-3</v>
      </c>
      <c r="J655" s="94" t="s">
        <v>210</v>
      </c>
      <c r="K655" s="94" t="s">
        <v>210</v>
      </c>
      <c r="L655" s="94">
        <v>2</v>
      </c>
      <c r="M655" s="94"/>
      <c r="N655" s="94"/>
      <c r="O655" s="94"/>
      <c r="P655" s="94"/>
      <c r="Q655" s="94"/>
      <c r="R655" s="94"/>
      <c r="S655" s="94"/>
      <c r="T655" s="94"/>
      <c r="U655" s="94"/>
      <c r="V655" s="94"/>
      <c r="W655" s="94"/>
      <c r="X655" s="94"/>
      <c r="Y655" s="94"/>
      <c r="Z655" s="94"/>
      <c r="AA655" s="94"/>
      <c r="AB655" s="94"/>
      <c r="AC655" s="94"/>
      <c r="AD655" s="94"/>
      <c r="AE655" s="94"/>
      <c r="AF655" s="94"/>
      <c r="AG655" s="94"/>
      <c r="AH655" s="94"/>
      <c r="AI655" s="94"/>
      <c r="AJ655" s="94"/>
      <c r="AK655" s="94"/>
      <c r="AL655" s="94"/>
      <c r="AM655" s="94"/>
      <c r="AN655" s="94"/>
      <c r="AO655" s="94"/>
      <c r="AP655" s="94"/>
      <c r="AQ655" s="94"/>
      <c r="AR655" s="94"/>
      <c r="AS655" s="94"/>
      <c r="AT655" s="94"/>
      <c r="AU655" s="94"/>
      <c r="AV655" s="94"/>
      <c r="AW655" s="94"/>
      <c r="AX655" s="94"/>
      <c r="AY655" s="94"/>
      <c r="BA655" s="95"/>
    </row>
    <row r="656" spans="1:53" s="87" customFormat="1">
      <c r="A656" s="90" t="str">
        <f t="shared" si="58"/>
        <v/>
      </c>
      <c r="B656" s="98">
        <v>12</v>
      </c>
      <c r="C656" s="94" t="s">
        <v>210</v>
      </c>
      <c r="D656" s="94">
        <v>3</v>
      </c>
      <c r="E656" s="94">
        <v>2</v>
      </c>
      <c r="F656" s="94" t="s">
        <v>210</v>
      </c>
      <c r="G656" s="94">
        <v>-1</v>
      </c>
      <c r="H656" s="94" t="s">
        <v>210</v>
      </c>
      <c r="I656" s="94" t="s">
        <v>210</v>
      </c>
      <c r="J656" s="94">
        <v>4</v>
      </c>
      <c r="K656" s="94" t="s">
        <v>210</v>
      </c>
      <c r="L656" s="94">
        <v>-2</v>
      </c>
      <c r="M656" s="94"/>
      <c r="N656" s="94"/>
      <c r="O656" s="94"/>
      <c r="P656" s="94"/>
      <c r="Q656" s="94"/>
      <c r="R656" s="94"/>
      <c r="S656" s="94"/>
      <c r="T656" s="94"/>
      <c r="U656" s="94"/>
      <c r="V656" s="94"/>
      <c r="W656" s="94"/>
      <c r="X656" s="94"/>
      <c r="Y656" s="94"/>
      <c r="Z656" s="94"/>
      <c r="AA656" s="94"/>
      <c r="AB656" s="94"/>
      <c r="AC656" s="94"/>
      <c r="AD656" s="94"/>
      <c r="AE656" s="94"/>
      <c r="AF656" s="94"/>
      <c r="AG656" s="94"/>
      <c r="AH656" s="94"/>
      <c r="AI656" s="94"/>
      <c r="AJ656" s="94"/>
      <c r="AK656" s="94"/>
      <c r="AL656" s="94"/>
      <c r="AM656" s="94"/>
      <c r="AN656" s="94"/>
      <c r="AO656" s="94"/>
      <c r="AP656" s="94"/>
      <c r="AQ656" s="94"/>
      <c r="AR656" s="94"/>
      <c r="AS656" s="94"/>
      <c r="AT656" s="94"/>
      <c r="AU656" s="94"/>
      <c r="AV656" s="94"/>
      <c r="AW656" s="94"/>
      <c r="AX656" s="94"/>
      <c r="AY656" s="94"/>
      <c r="BA656" s="95"/>
    </row>
    <row r="657" spans="1:53" s="87" customFormat="1">
      <c r="A657" s="90" t="str">
        <f t="shared" si="58"/>
        <v/>
      </c>
      <c r="B657" s="98">
        <v>13</v>
      </c>
      <c r="C657" s="94">
        <v>2</v>
      </c>
      <c r="D657" s="94" t="s">
        <v>210</v>
      </c>
      <c r="E657" s="94" t="s">
        <v>210</v>
      </c>
      <c r="F657" s="94">
        <v>-4</v>
      </c>
      <c r="G657" s="94">
        <v>1</v>
      </c>
      <c r="H657" s="94" t="s">
        <v>210</v>
      </c>
      <c r="I657" s="94">
        <v>3</v>
      </c>
      <c r="J657" s="94" t="s">
        <v>210</v>
      </c>
      <c r="K657" s="94" t="s">
        <v>210</v>
      </c>
      <c r="L657" s="94">
        <v>-5</v>
      </c>
      <c r="M657" s="94"/>
      <c r="N657" s="94"/>
      <c r="O657" s="94"/>
      <c r="P657" s="94"/>
      <c r="Q657" s="94"/>
      <c r="R657" s="94"/>
      <c r="S657" s="94"/>
      <c r="T657" s="94"/>
      <c r="U657" s="94"/>
      <c r="V657" s="94"/>
      <c r="W657" s="94"/>
      <c r="X657" s="94"/>
      <c r="Y657" s="94"/>
      <c r="Z657" s="94"/>
      <c r="AA657" s="94"/>
      <c r="AB657" s="94"/>
      <c r="AC657" s="94"/>
      <c r="AD657" s="94"/>
      <c r="AE657" s="94"/>
      <c r="AF657" s="94"/>
      <c r="AG657" s="94"/>
      <c r="AH657" s="94"/>
      <c r="AI657" s="94"/>
      <c r="AJ657" s="94"/>
      <c r="AK657" s="94"/>
      <c r="AL657" s="94"/>
      <c r="AM657" s="94"/>
      <c r="AN657" s="94"/>
      <c r="AO657" s="94"/>
      <c r="AP657" s="94"/>
      <c r="AQ657" s="94"/>
      <c r="AR657" s="94"/>
      <c r="AS657" s="94"/>
      <c r="AT657" s="94"/>
      <c r="AU657" s="94"/>
      <c r="AV657" s="94"/>
      <c r="AW657" s="94"/>
      <c r="AX657" s="94"/>
      <c r="AY657" s="94"/>
      <c r="BA657" s="95"/>
    </row>
    <row r="658" spans="1:53" s="87" customFormat="1">
      <c r="A658" s="90" t="str">
        <f t="shared" si="58"/>
        <v/>
      </c>
      <c r="B658" s="99">
        <v>14</v>
      </c>
      <c r="C658" s="92">
        <v>3</v>
      </c>
      <c r="D658" s="92" t="s">
        <v>210</v>
      </c>
      <c r="E658" s="92">
        <v>-1</v>
      </c>
      <c r="F658" s="92" t="s">
        <v>210</v>
      </c>
      <c r="G658" s="92">
        <v>2</v>
      </c>
      <c r="H658" s="92" t="s">
        <v>210</v>
      </c>
      <c r="I658" s="92" t="s">
        <v>210</v>
      </c>
      <c r="J658" s="92">
        <v>-4</v>
      </c>
      <c r="K658" s="92" t="s">
        <v>210</v>
      </c>
      <c r="L658" s="92">
        <v>5</v>
      </c>
      <c r="M658" s="94"/>
      <c r="N658" s="94"/>
      <c r="O658" s="94"/>
      <c r="P658" s="94"/>
      <c r="Q658" s="94"/>
      <c r="R658" s="94"/>
      <c r="S658" s="94"/>
      <c r="T658" s="94"/>
      <c r="U658" s="94"/>
      <c r="V658" s="94"/>
      <c r="W658" s="94"/>
      <c r="X658" s="94"/>
      <c r="Y658" s="94"/>
      <c r="Z658" s="94"/>
      <c r="AA658" s="94"/>
      <c r="AB658" s="94"/>
      <c r="AC658" s="94"/>
      <c r="AD658" s="94"/>
      <c r="AE658" s="94"/>
      <c r="AF658" s="94"/>
      <c r="AG658" s="94"/>
      <c r="AH658" s="94"/>
      <c r="AI658" s="94"/>
      <c r="AJ658" s="94"/>
      <c r="AK658" s="94"/>
      <c r="AL658" s="94"/>
      <c r="AM658" s="94"/>
      <c r="AN658" s="94"/>
      <c r="AO658" s="94"/>
      <c r="AP658" s="94"/>
      <c r="AQ658" s="94"/>
      <c r="AR658" s="94"/>
      <c r="AS658" s="94"/>
      <c r="AT658" s="94"/>
      <c r="AU658" s="94"/>
      <c r="AV658" s="94"/>
      <c r="AW658" s="94"/>
      <c r="AX658" s="94"/>
      <c r="AY658" s="94"/>
      <c r="BA658" s="95"/>
    </row>
    <row r="659" spans="1:53" s="87" customFormat="1">
      <c r="A659" s="90" t="str">
        <f t="shared" si="58"/>
        <v/>
      </c>
      <c r="B659" s="98">
        <v>15</v>
      </c>
      <c r="C659" s="94" t="s">
        <v>210</v>
      </c>
      <c r="D659" s="94">
        <v>-2</v>
      </c>
      <c r="E659" s="94">
        <v>-5</v>
      </c>
      <c r="F659" s="94" t="s">
        <v>210</v>
      </c>
      <c r="G659" s="94" t="s">
        <v>210</v>
      </c>
      <c r="H659" s="94">
        <v>4</v>
      </c>
      <c r="I659" s="94">
        <v>1</v>
      </c>
      <c r="J659" s="94" t="s">
        <v>210</v>
      </c>
      <c r="K659" s="94" t="s">
        <v>210</v>
      </c>
      <c r="L659" s="94">
        <v>-3</v>
      </c>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BA659" s="95"/>
    </row>
    <row r="660" spans="1:53" s="87" customFormat="1">
      <c r="A660" s="90" t="str">
        <f t="shared" si="58"/>
        <v/>
      </c>
      <c r="B660" s="98">
        <v>16</v>
      </c>
      <c r="C660" s="94" t="s">
        <v>210</v>
      </c>
      <c r="D660" s="94">
        <v>4</v>
      </c>
      <c r="E660" s="94">
        <v>-3</v>
      </c>
      <c r="F660" s="94" t="s">
        <v>210</v>
      </c>
      <c r="G660" s="94" t="s">
        <v>210</v>
      </c>
      <c r="H660" s="94">
        <v>-2</v>
      </c>
      <c r="I660" s="94">
        <v>5</v>
      </c>
      <c r="J660" s="94" t="s">
        <v>210</v>
      </c>
      <c r="K660" s="94" t="s">
        <v>210</v>
      </c>
      <c r="L660" s="94">
        <v>3</v>
      </c>
      <c r="M660" s="94"/>
      <c r="N660" s="94"/>
      <c r="O660" s="94"/>
      <c r="P660" s="94"/>
      <c r="Q660" s="94"/>
      <c r="R660" s="94"/>
      <c r="S660" s="94"/>
      <c r="T660" s="94"/>
      <c r="U660" s="94"/>
      <c r="V660" s="94"/>
      <c r="W660" s="94"/>
      <c r="X660" s="94"/>
      <c r="Y660" s="94"/>
      <c r="Z660" s="94"/>
      <c r="AA660" s="94"/>
      <c r="AB660" s="94"/>
      <c r="AC660" s="94"/>
      <c r="AD660" s="94"/>
      <c r="AE660" s="94"/>
      <c r="AF660" s="94"/>
      <c r="AG660" s="94"/>
      <c r="AH660" s="94"/>
      <c r="AI660" s="94"/>
      <c r="AJ660" s="94"/>
      <c r="AK660" s="94"/>
      <c r="AL660" s="94"/>
      <c r="AM660" s="94"/>
      <c r="AN660" s="94"/>
      <c r="AO660" s="94"/>
      <c r="AP660" s="94"/>
      <c r="AQ660" s="94"/>
      <c r="AR660" s="94"/>
      <c r="AS660" s="94"/>
      <c r="AT660" s="94"/>
      <c r="AU660" s="94"/>
      <c r="AV660" s="94"/>
      <c r="AW660" s="94"/>
      <c r="AX660" s="94"/>
      <c r="AY660" s="94"/>
      <c r="BA660" s="95"/>
    </row>
    <row r="661" spans="1:53" s="87" customFormat="1">
      <c r="A661" s="90" t="str">
        <f t="shared" si="58"/>
        <v/>
      </c>
      <c r="B661" s="98">
        <v>17</v>
      </c>
      <c r="C661" s="94">
        <v>-2</v>
      </c>
      <c r="D661" s="94" t="s">
        <v>210</v>
      </c>
      <c r="E661" s="94">
        <v>1</v>
      </c>
      <c r="F661" s="94" t="s">
        <v>210</v>
      </c>
      <c r="G661" s="94" t="s">
        <v>210</v>
      </c>
      <c r="H661" s="94">
        <v>-4</v>
      </c>
      <c r="I661" s="94">
        <v>-5</v>
      </c>
      <c r="J661" s="94" t="s">
        <v>210</v>
      </c>
      <c r="K661" s="94" t="s">
        <v>210</v>
      </c>
      <c r="L661" s="94">
        <v>4</v>
      </c>
      <c r="M661" s="94"/>
      <c r="N661" s="94"/>
      <c r="O661" s="94"/>
      <c r="P661" s="94"/>
      <c r="Q661" s="94"/>
      <c r="R661" s="94"/>
      <c r="S661" s="94"/>
      <c r="T661" s="94"/>
      <c r="U661" s="94"/>
      <c r="V661" s="94"/>
      <c r="W661" s="94"/>
      <c r="X661" s="94"/>
      <c r="Y661" s="94"/>
      <c r="Z661" s="94"/>
      <c r="AA661" s="94"/>
      <c r="AB661" s="94"/>
      <c r="AC661" s="94"/>
      <c r="AD661" s="94"/>
      <c r="AE661" s="94"/>
      <c r="AF661" s="94"/>
      <c r="AG661" s="94"/>
      <c r="AH661" s="94"/>
      <c r="AI661" s="94"/>
      <c r="AJ661" s="94"/>
      <c r="AK661" s="94"/>
      <c r="AL661" s="94"/>
      <c r="AM661" s="94"/>
      <c r="AN661" s="94"/>
      <c r="AO661" s="94"/>
      <c r="AP661" s="94"/>
      <c r="AQ661" s="94"/>
      <c r="AR661" s="94"/>
      <c r="AS661" s="94"/>
      <c r="AT661" s="94"/>
      <c r="AU661" s="94"/>
      <c r="AV661" s="94"/>
      <c r="AW661" s="94"/>
      <c r="AX661" s="94"/>
      <c r="AY661" s="94"/>
      <c r="BA661" s="95"/>
    </row>
    <row r="662" spans="1:53" s="87" customFormat="1">
      <c r="A662" s="90" t="str">
        <f t="shared" si="58"/>
        <v/>
      </c>
      <c r="B662" s="98">
        <v>18</v>
      </c>
      <c r="C662" s="94">
        <v>-3</v>
      </c>
      <c r="D662" s="94" t="s">
        <v>210</v>
      </c>
      <c r="E662" s="94" t="s">
        <v>210</v>
      </c>
      <c r="F662" s="94">
        <v>4</v>
      </c>
      <c r="G662" s="94" t="s">
        <v>210</v>
      </c>
      <c r="H662" s="94">
        <v>2</v>
      </c>
      <c r="I662" s="94">
        <v>-1</v>
      </c>
      <c r="J662" s="94" t="s">
        <v>210</v>
      </c>
      <c r="K662" s="94" t="s">
        <v>210</v>
      </c>
      <c r="L662" s="94">
        <v>-4</v>
      </c>
      <c r="M662" s="94"/>
      <c r="N662" s="94"/>
      <c r="O662" s="94"/>
      <c r="P662" s="94"/>
      <c r="Q662" s="94"/>
      <c r="R662" s="94"/>
      <c r="S662" s="94"/>
      <c r="T662" s="94"/>
      <c r="U662" s="94"/>
      <c r="V662" s="94"/>
      <c r="W662" s="94"/>
      <c r="X662" s="94"/>
      <c r="Y662" s="94"/>
      <c r="Z662" s="94"/>
      <c r="AA662" s="94"/>
      <c r="AB662" s="94"/>
      <c r="AC662" s="94"/>
      <c r="AD662" s="94"/>
      <c r="AE662" s="94"/>
      <c r="AF662" s="94"/>
      <c r="AG662" s="94"/>
      <c r="AH662" s="94"/>
      <c r="AI662" s="94"/>
      <c r="AJ662" s="94"/>
      <c r="AK662" s="94"/>
      <c r="AL662" s="94"/>
      <c r="AM662" s="94"/>
      <c r="AN662" s="94"/>
      <c r="AO662" s="94"/>
      <c r="AP662" s="94"/>
      <c r="AQ662" s="94"/>
      <c r="AR662" s="94"/>
      <c r="AS662" s="94"/>
      <c r="AT662" s="94"/>
      <c r="AU662" s="94"/>
      <c r="AV662" s="94"/>
      <c r="AW662" s="94"/>
      <c r="AX662" s="94"/>
      <c r="AY662" s="94"/>
      <c r="BA662" s="95"/>
    </row>
    <row r="663" spans="1:53" s="87" customFormat="1">
      <c r="A663" s="90" t="str">
        <f t="shared" si="58"/>
        <v/>
      </c>
      <c r="B663" s="267" t="s">
        <v>311</v>
      </c>
      <c r="C663" s="94"/>
      <c r="D663" s="94"/>
      <c r="E663" s="94"/>
      <c r="F663" s="94"/>
      <c r="G663" s="94"/>
      <c r="H663" s="94"/>
      <c r="I663" s="94"/>
      <c r="J663" s="94"/>
      <c r="K663" s="94"/>
      <c r="L663" s="94"/>
      <c r="M663" s="94"/>
      <c r="N663" s="94"/>
      <c r="O663" s="94"/>
      <c r="P663" s="94"/>
      <c r="Q663" s="94"/>
      <c r="R663" s="94"/>
      <c r="S663" s="94"/>
      <c r="T663" s="94"/>
      <c r="U663" s="94"/>
      <c r="V663" s="94"/>
      <c r="W663" s="94"/>
      <c r="X663" s="94"/>
      <c r="Y663" s="94"/>
      <c r="Z663" s="94"/>
      <c r="AA663" s="94"/>
      <c r="AB663" s="94"/>
      <c r="AC663" s="94"/>
      <c r="AD663" s="94"/>
      <c r="AE663" s="94"/>
      <c r="AF663" s="94"/>
      <c r="AG663" s="94"/>
      <c r="AH663" s="94"/>
      <c r="AI663" s="94"/>
      <c r="AJ663" s="94"/>
      <c r="AK663" s="94"/>
      <c r="AL663" s="94"/>
      <c r="AM663" s="94"/>
      <c r="AN663" s="94"/>
      <c r="AO663" s="94"/>
      <c r="AP663" s="94"/>
      <c r="AQ663" s="94"/>
      <c r="AR663" s="94"/>
      <c r="AS663" s="94"/>
      <c r="AT663" s="94"/>
      <c r="AU663" s="94"/>
      <c r="AV663" s="94"/>
      <c r="AW663" s="94"/>
      <c r="AX663" s="94"/>
      <c r="AY663" s="94"/>
      <c r="BA663" s="95"/>
    </row>
    <row r="664" spans="1:53" s="87" customFormat="1">
      <c r="A664" s="90">
        <f t="shared" si="58"/>
        <v>664</v>
      </c>
      <c r="B664" s="317" t="s">
        <v>1207</v>
      </c>
      <c r="C664" s="94"/>
      <c r="D664" s="94"/>
      <c r="E664" s="94"/>
      <c r="F664" s="94"/>
      <c r="G664" s="94"/>
      <c r="H664" s="94"/>
      <c r="I664" s="94"/>
      <c r="J664" s="94"/>
      <c r="K664" s="94"/>
      <c r="L664" s="94"/>
      <c r="M664" s="94"/>
      <c r="N664" s="94"/>
      <c r="O664" s="94"/>
      <c r="P664" s="94"/>
      <c r="Q664" s="94"/>
      <c r="R664" s="94"/>
      <c r="S664" s="94"/>
      <c r="T664" s="94"/>
      <c r="U664" s="94"/>
      <c r="V664" s="94"/>
      <c r="W664" s="94"/>
      <c r="X664" s="94"/>
      <c r="Y664" s="94"/>
      <c r="Z664" s="94"/>
      <c r="AA664" s="94"/>
      <c r="AB664" s="94"/>
      <c r="AC664" s="94"/>
      <c r="AD664" s="94"/>
      <c r="AE664" s="94"/>
      <c r="AF664" s="94"/>
      <c r="AG664" s="94"/>
      <c r="AH664" s="94"/>
      <c r="AI664" s="94"/>
      <c r="AJ664" s="94"/>
      <c r="AK664" s="94"/>
      <c r="AL664" s="94"/>
      <c r="AM664" s="94"/>
      <c r="AN664" s="94"/>
      <c r="AO664" s="94"/>
      <c r="AP664" s="94"/>
      <c r="AQ664" s="94"/>
      <c r="AR664" s="94"/>
      <c r="AS664" s="94"/>
      <c r="AT664" s="94"/>
      <c r="AU664" s="94"/>
      <c r="AV664" s="94"/>
      <c r="AW664" s="94"/>
      <c r="AX664" s="94"/>
      <c r="AY664" s="94"/>
      <c r="BA664" s="95"/>
    </row>
    <row r="665" spans="1:53" s="87" customFormat="1">
      <c r="A665" s="90" t="str">
        <f t="shared" si="58"/>
        <v/>
      </c>
      <c r="B665" s="98">
        <v>1</v>
      </c>
      <c r="C665" s="94" t="s">
        <v>210</v>
      </c>
      <c r="D665" s="94" t="s">
        <v>210</v>
      </c>
      <c r="E665" s="94">
        <v>-1</v>
      </c>
      <c r="F665" s="94">
        <v>-4</v>
      </c>
      <c r="G665" s="94">
        <v>2</v>
      </c>
      <c r="H665" s="94" t="s">
        <v>210</v>
      </c>
      <c r="I665" s="94">
        <v>5</v>
      </c>
      <c r="J665" s="94" t="s">
        <v>210</v>
      </c>
      <c r="K665" s="94"/>
      <c r="L665" s="94"/>
      <c r="M665" s="94"/>
      <c r="N665" s="94"/>
      <c r="O665" s="94"/>
      <c r="P665" s="94"/>
      <c r="Q665" s="94"/>
      <c r="R665" s="94"/>
      <c r="S665" s="94"/>
      <c r="T665" s="94"/>
      <c r="U665" s="94"/>
      <c r="V665" s="94"/>
      <c r="W665" s="94"/>
      <c r="X665" s="94"/>
      <c r="Y665" s="94"/>
      <c r="Z665" s="94"/>
      <c r="AA665" s="94"/>
      <c r="AB665" s="94"/>
      <c r="AC665" s="94"/>
      <c r="AD665" s="94"/>
      <c r="AE665" s="94"/>
      <c r="AF665" s="94"/>
      <c r="AG665" s="94"/>
      <c r="AH665" s="94"/>
      <c r="AI665" s="94"/>
      <c r="AJ665" s="94"/>
      <c r="AK665" s="94"/>
      <c r="AL665" s="94"/>
      <c r="AM665" s="94"/>
      <c r="AN665" s="94"/>
      <c r="AO665" s="94"/>
      <c r="AP665" s="94"/>
      <c r="AQ665" s="94"/>
      <c r="AR665" s="94"/>
      <c r="AS665" s="94"/>
      <c r="AT665" s="94"/>
      <c r="AU665" s="94"/>
      <c r="AV665" s="94"/>
      <c r="AW665" s="94"/>
      <c r="AX665" s="94"/>
      <c r="AY665" s="94"/>
      <c r="BA665" s="95"/>
    </row>
    <row r="666" spans="1:53" s="87" customFormat="1">
      <c r="A666" s="90" t="str">
        <f t="shared" si="58"/>
        <v/>
      </c>
      <c r="B666" s="98">
        <v>2</v>
      </c>
      <c r="C666" s="94" t="s">
        <v>210</v>
      </c>
      <c r="D666" s="94">
        <v>2</v>
      </c>
      <c r="E666" s="94" t="s">
        <v>210</v>
      </c>
      <c r="F666" s="94">
        <v>4</v>
      </c>
      <c r="G666" s="94" t="s">
        <v>210</v>
      </c>
      <c r="H666" s="94">
        <v>-3</v>
      </c>
      <c r="I666" s="94" t="s">
        <v>210</v>
      </c>
      <c r="J666" s="94">
        <v>-1</v>
      </c>
      <c r="K666" s="94"/>
      <c r="L666" s="94"/>
      <c r="M666" s="94"/>
      <c r="N666" s="94"/>
      <c r="O666" s="94"/>
      <c r="P666" s="94"/>
      <c r="Q666" s="94"/>
      <c r="R666" s="94"/>
      <c r="S666" s="94"/>
      <c r="T666" s="94"/>
      <c r="U666" s="94"/>
      <c r="V666" s="94"/>
      <c r="W666" s="94"/>
      <c r="X666" s="94"/>
      <c r="Y666" s="94"/>
      <c r="Z666" s="94"/>
      <c r="AA666" s="94"/>
      <c r="AB666" s="94"/>
      <c r="AC666" s="94"/>
      <c r="AD666" s="94"/>
      <c r="AE666" s="94"/>
      <c r="AF666" s="94"/>
      <c r="AG666" s="94"/>
      <c r="AH666" s="94"/>
      <c r="AI666" s="94"/>
      <c r="AJ666" s="94"/>
      <c r="AK666" s="94"/>
      <c r="AL666" s="94"/>
      <c r="AM666" s="94"/>
      <c r="AN666" s="94"/>
      <c r="AO666" s="94"/>
      <c r="AP666" s="94"/>
      <c r="AQ666" s="94"/>
      <c r="AR666" s="94"/>
      <c r="AS666" s="94"/>
      <c r="AT666" s="94"/>
      <c r="AU666" s="94"/>
      <c r="AV666" s="94"/>
      <c r="AW666" s="94"/>
      <c r="AX666" s="94"/>
      <c r="AY666" s="94"/>
      <c r="BA666" s="95"/>
    </row>
    <row r="667" spans="1:53" s="87" customFormat="1">
      <c r="A667" s="90" t="str">
        <f t="shared" si="58"/>
        <v/>
      </c>
      <c r="B667" s="98">
        <v>3</v>
      </c>
      <c r="C667" s="94" t="s">
        <v>210</v>
      </c>
      <c r="D667" s="94">
        <v>-2</v>
      </c>
      <c r="E667" s="94" t="s">
        <v>210</v>
      </c>
      <c r="F667" s="94">
        <v>3</v>
      </c>
      <c r="G667" s="94">
        <v>4</v>
      </c>
      <c r="H667" s="94" t="s">
        <v>210</v>
      </c>
      <c r="I667" s="94">
        <v>-5</v>
      </c>
      <c r="J667" s="94" t="s">
        <v>210</v>
      </c>
      <c r="K667" s="94"/>
      <c r="L667" s="94"/>
      <c r="M667" s="94"/>
      <c r="N667" s="94"/>
      <c r="O667" s="94"/>
      <c r="P667" s="94"/>
      <c r="Q667" s="94"/>
      <c r="R667" s="94"/>
      <c r="S667" s="94"/>
      <c r="T667" s="94"/>
      <c r="U667" s="94"/>
      <c r="V667" s="94"/>
      <c r="W667" s="94"/>
      <c r="X667" s="94"/>
      <c r="Y667" s="94"/>
      <c r="Z667" s="94"/>
      <c r="AA667" s="94"/>
      <c r="AB667" s="94"/>
      <c r="AC667" s="94"/>
      <c r="AD667" s="94"/>
      <c r="AE667" s="94"/>
      <c r="AF667" s="94"/>
      <c r="AG667" s="94"/>
      <c r="AH667" s="94"/>
      <c r="AI667" s="94"/>
      <c r="AJ667" s="94"/>
      <c r="AK667" s="94"/>
      <c r="AL667" s="94"/>
      <c r="AM667" s="94"/>
      <c r="AN667" s="94"/>
      <c r="AO667" s="94"/>
      <c r="AP667" s="94"/>
      <c r="AQ667" s="94"/>
      <c r="AR667" s="94"/>
      <c r="AS667" s="94"/>
      <c r="AT667" s="94"/>
      <c r="AU667" s="94"/>
      <c r="AV667" s="94"/>
      <c r="AW667" s="94"/>
      <c r="AX667" s="94"/>
      <c r="AY667" s="94"/>
      <c r="BA667" s="95"/>
    </row>
    <row r="668" spans="1:53" s="87" customFormat="1">
      <c r="A668" s="90" t="str">
        <f t="shared" si="58"/>
        <v/>
      </c>
      <c r="B668" s="98">
        <v>4</v>
      </c>
      <c r="C668" s="94" t="s">
        <v>210</v>
      </c>
      <c r="D668" s="94">
        <v>5</v>
      </c>
      <c r="E668" s="94" t="s">
        <v>210</v>
      </c>
      <c r="F668" s="94">
        <v>-3</v>
      </c>
      <c r="G668" s="94">
        <v>-2</v>
      </c>
      <c r="H668" s="94" t="s">
        <v>210</v>
      </c>
      <c r="I668" s="94" t="s">
        <v>210</v>
      </c>
      <c r="J668" s="94">
        <v>1</v>
      </c>
      <c r="K668" s="94"/>
      <c r="L668" s="94"/>
      <c r="M668" s="94"/>
      <c r="N668" s="94"/>
      <c r="O668" s="94"/>
      <c r="P668" s="94"/>
      <c r="Q668" s="94"/>
      <c r="R668" s="94"/>
      <c r="S668" s="94"/>
      <c r="T668" s="94"/>
      <c r="U668" s="94"/>
      <c r="V668" s="94"/>
      <c r="W668" s="94"/>
      <c r="X668" s="94"/>
      <c r="Y668" s="94"/>
      <c r="Z668" s="94"/>
      <c r="AA668" s="94"/>
      <c r="AB668" s="94"/>
      <c r="AC668" s="94"/>
      <c r="AD668" s="94"/>
      <c r="AE668" s="94"/>
      <c r="AF668" s="94"/>
      <c r="AG668" s="94"/>
      <c r="AH668" s="94"/>
      <c r="AI668" s="94"/>
      <c r="AJ668" s="94"/>
      <c r="AK668" s="94"/>
      <c r="AL668" s="94"/>
      <c r="AM668" s="94"/>
      <c r="AN668" s="94"/>
      <c r="AO668" s="94"/>
      <c r="AP668" s="94"/>
      <c r="AQ668" s="94"/>
      <c r="AR668" s="94"/>
      <c r="AS668" s="94"/>
      <c r="AT668" s="94"/>
      <c r="AU668" s="94"/>
      <c r="AV668" s="94"/>
      <c r="AW668" s="94"/>
      <c r="AX668" s="94"/>
      <c r="AY668" s="94"/>
      <c r="BA668" s="95"/>
    </row>
    <row r="669" spans="1:53" s="87" customFormat="1">
      <c r="A669" s="90" t="str">
        <f t="shared" si="58"/>
        <v/>
      </c>
      <c r="B669" s="99">
        <v>5</v>
      </c>
      <c r="C669" s="92" t="s">
        <v>210</v>
      </c>
      <c r="D669" s="92">
        <v>-5</v>
      </c>
      <c r="E669" s="92">
        <v>1</v>
      </c>
      <c r="F669" s="92" t="s">
        <v>210</v>
      </c>
      <c r="G669" s="92">
        <v>-4</v>
      </c>
      <c r="H669" s="92">
        <v>3</v>
      </c>
      <c r="I669" s="92" t="s">
        <v>210</v>
      </c>
      <c r="J669" s="92" t="s">
        <v>210</v>
      </c>
      <c r="K669" s="94"/>
      <c r="L669" s="94"/>
      <c r="M669" s="94"/>
      <c r="N669" s="94"/>
      <c r="O669" s="94"/>
      <c r="P669" s="94"/>
      <c r="Q669" s="94"/>
      <c r="R669" s="94"/>
      <c r="S669" s="94"/>
      <c r="T669" s="94"/>
      <c r="U669" s="94"/>
      <c r="V669" s="94"/>
      <c r="W669" s="94"/>
      <c r="X669" s="94"/>
      <c r="Y669" s="94"/>
      <c r="Z669" s="94"/>
      <c r="AA669" s="94"/>
      <c r="AB669" s="94"/>
      <c r="AC669" s="94"/>
      <c r="AD669" s="94"/>
      <c r="AE669" s="94"/>
      <c r="AF669" s="94"/>
      <c r="AG669" s="94"/>
      <c r="AH669" s="94"/>
      <c r="AI669" s="94"/>
      <c r="AJ669" s="94"/>
      <c r="AK669" s="94"/>
      <c r="AL669" s="94"/>
      <c r="AM669" s="94"/>
      <c r="AN669" s="94"/>
      <c r="AO669" s="94"/>
      <c r="AP669" s="94"/>
      <c r="AQ669" s="94"/>
      <c r="AR669" s="94"/>
      <c r="AS669" s="94"/>
      <c r="AT669" s="94"/>
      <c r="AU669" s="94"/>
      <c r="AV669" s="94"/>
      <c r="AW669" s="94"/>
      <c r="AX669" s="94"/>
      <c r="AY669" s="94"/>
      <c r="BA669" s="95"/>
    </row>
    <row r="670" spans="1:53" s="87" customFormat="1">
      <c r="A670" s="90" t="str">
        <f t="shared" si="58"/>
        <v/>
      </c>
      <c r="B670" s="98">
        <v>6</v>
      </c>
      <c r="C670" s="94" t="s">
        <v>210</v>
      </c>
      <c r="D670" s="94" t="s">
        <v>210</v>
      </c>
      <c r="E670" s="94">
        <v>-2</v>
      </c>
      <c r="F670" s="94">
        <v>-1</v>
      </c>
      <c r="G670" s="94">
        <v>3</v>
      </c>
      <c r="H670" s="94" t="s">
        <v>210</v>
      </c>
      <c r="I670" s="94" t="s">
        <v>210</v>
      </c>
      <c r="J670" s="94">
        <v>2</v>
      </c>
      <c r="K670" s="94"/>
      <c r="L670" s="94"/>
      <c r="M670" s="94"/>
      <c r="N670" s="94"/>
      <c r="O670" s="94"/>
      <c r="P670" s="94"/>
      <c r="Q670" s="94"/>
      <c r="R670" s="94"/>
      <c r="S670" s="94"/>
      <c r="T670" s="94"/>
      <c r="U670" s="94"/>
      <c r="V670" s="94"/>
      <c r="W670" s="94"/>
      <c r="X670" s="94"/>
      <c r="Y670" s="94"/>
      <c r="Z670" s="94"/>
      <c r="AA670" s="94"/>
      <c r="AB670" s="94"/>
      <c r="AC670" s="94"/>
      <c r="AD670" s="94"/>
      <c r="AE670" s="94"/>
      <c r="AF670" s="94"/>
      <c r="AG670" s="94"/>
      <c r="AH670" s="94"/>
      <c r="AI670" s="94"/>
      <c r="AJ670" s="94"/>
      <c r="AK670" s="94"/>
      <c r="AL670" s="94"/>
      <c r="AM670" s="94"/>
      <c r="AN670" s="94"/>
      <c r="AO670" s="94"/>
      <c r="AP670" s="94"/>
      <c r="AQ670" s="94"/>
      <c r="AR670" s="94"/>
      <c r="AS670" s="94"/>
      <c r="AT670" s="94"/>
      <c r="AU670" s="94"/>
      <c r="AV670" s="94"/>
      <c r="AW670" s="94"/>
      <c r="AX670" s="94"/>
      <c r="AY670" s="94"/>
      <c r="BA670" s="95"/>
    </row>
    <row r="671" spans="1:53" s="87" customFormat="1">
      <c r="A671" s="90" t="str">
        <f t="shared" si="58"/>
        <v/>
      </c>
      <c r="B671" s="98">
        <v>7</v>
      </c>
      <c r="C671" s="94" t="s">
        <v>210</v>
      </c>
      <c r="D671" s="94">
        <v>3</v>
      </c>
      <c r="E671" s="94" t="s">
        <v>210</v>
      </c>
      <c r="F671" s="94">
        <v>1</v>
      </c>
      <c r="G671" s="94" t="s">
        <v>210</v>
      </c>
      <c r="H671" s="94">
        <v>-4</v>
      </c>
      <c r="I671" s="94" t="s">
        <v>210</v>
      </c>
      <c r="J671" s="94">
        <v>-5</v>
      </c>
      <c r="K671" s="94"/>
      <c r="L671" s="94"/>
      <c r="M671" s="94"/>
      <c r="N671" s="94"/>
      <c r="O671" s="94"/>
      <c r="P671" s="94"/>
      <c r="Q671" s="94"/>
      <c r="R671" s="94"/>
      <c r="S671" s="94"/>
      <c r="T671" s="94"/>
      <c r="U671" s="94"/>
      <c r="V671" s="94"/>
      <c r="W671" s="94"/>
      <c r="X671" s="94"/>
      <c r="Y671" s="94"/>
      <c r="Z671" s="94"/>
      <c r="AA671" s="94"/>
      <c r="AB671" s="94"/>
      <c r="AC671" s="94"/>
      <c r="AD671" s="94"/>
      <c r="AE671" s="94"/>
      <c r="AF671" s="94"/>
      <c r="AG671" s="94"/>
      <c r="AH671" s="94"/>
      <c r="AI671" s="94"/>
      <c r="AJ671" s="94"/>
      <c r="AK671" s="94"/>
      <c r="AL671" s="94"/>
      <c r="AM671" s="94"/>
      <c r="AN671" s="94"/>
      <c r="AO671" s="94"/>
      <c r="AP671" s="94"/>
      <c r="AQ671" s="94"/>
      <c r="AR671" s="94"/>
      <c r="AS671" s="94"/>
      <c r="AT671" s="94"/>
      <c r="AU671" s="94"/>
      <c r="AV671" s="94"/>
      <c r="AW671" s="94"/>
      <c r="AX671" s="94"/>
      <c r="AY671" s="94"/>
      <c r="BA671" s="95"/>
    </row>
    <row r="672" spans="1:53" s="87" customFormat="1">
      <c r="A672" s="90" t="str">
        <f t="shared" si="58"/>
        <v/>
      </c>
      <c r="B672" s="98">
        <v>8</v>
      </c>
      <c r="C672" s="94" t="s">
        <v>210</v>
      </c>
      <c r="D672" s="94">
        <v>-3</v>
      </c>
      <c r="E672" s="94">
        <v>4</v>
      </c>
      <c r="F672" s="94" t="s">
        <v>210</v>
      </c>
      <c r="G672" s="94">
        <v>5</v>
      </c>
      <c r="H672" s="94" t="s">
        <v>210</v>
      </c>
      <c r="I672" s="94" t="s">
        <v>210</v>
      </c>
      <c r="J672" s="94">
        <v>-2</v>
      </c>
      <c r="K672" s="94"/>
      <c r="L672" s="94"/>
      <c r="M672" s="94"/>
      <c r="N672" s="94"/>
      <c r="O672" s="94"/>
      <c r="P672" s="94"/>
      <c r="Q672" s="94"/>
      <c r="R672" s="94"/>
      <c r="S672" s="94"/>
      <c r="T672" s="94"/>
      <c r="U672" s="94"/>
      <c r="V672" s="94"/>
      <c r="W672" s="94"/>
      <c r="X672" s="94"/>
      <c r="Y672" s="94"/>
      <c r="Z672" s="94"/>
      <c r="AA672" s="94"/>
      <c r="AB672" s="94"/>
      <c r="AC672" s="94"/>
      <c r="AD672" s="94"/>
      <c r="AE672" s="94"/>
      <c r="AF672" s="94"/>
      <c r="AG672" s="94"/>
      <c r="AH672" s="94"/>
      <c r="AI672" s="94"/>
      <c r="AJ672" s="94"/>
      <c r="AK672" s="94"/>
      <c r="AL672" s="94"/>
      <c r="AM672" s="94"/>
      <c r="AN672" s="94"/>
      <c r="AO672" s="94"/>
      <c r="AP672" s="94"/>
      <c r="AQ672" s="94"/>
      <c r="AR672" s="94"/>
      <c r="AS672" s="94"/>
      <c r="AT672" s="94"/>
      <c r="AU672" s="94"/>
      <c r="AV672" s="94"/>
      <c r="AW672" s="94"/>
      <c r="AX672" s="94"/>
      <c r="AY672" s="94"/>
      <c r="BA672" s="95"/>
    </row>
    <row r="673" spans="1:53" s="87" customFormat="1">
      <c r="A673" s="90" t="str">
        <f t="shared" si="58"/>
        <v/>
      </c>
      <c r="B673" s="98">
        <v>9</v>
      </c>
      <c r="C673" s="94">
        <v>1</v>
      </c>
      <c r="D673" s="94" t="s">
        <v>210</v>
      </c>
      <c r="E673" s="94">
        <v>-4</v>
      </c>
      <c r="F673" s="94" t="s">
        <v>210</v>
      </c>
      <c r="G673" s="94">
        <v>-3</v>
      </c>
      <c r="H673" s="94" t="s">
        <v>210</v>
      </c>
      <c r="I673" s="94" t="s">
        <v>210</v>
      </c>
      <c r="J673" s="94">
        <v>5</v>
      </c>
      <c r="K673" s="94"/>
      <c r="L673" s="94"/>
      <c r="M673" s="94"/>
      <c r="N673" s="94"/>
      <c r="O673" s="94"/>
      <c r="P673" s="94"/>
      <c r="Q673" s="94"/>
      <c r="R673" s="94"/>
      <c r="S673" s="94"/>
      <c r="T673" s="94"/>
      <c r="U673" s="94"/>
      <c r="V673" s="94"/>
      <c r="W673" s="94"/>
      <c r="X673" s="94"/>
      <c r="Y673" s="94"/>
      <c r="Z673" s="94"/>
      <c r="AA673" s="94"/>
      <c r="AB673" s="94"/>
      <c r="AC673" s="94"/>
      <c r="AD673" s="94"/>
      <c r="AE673" s="94"/>
      <c r="AF673" s="94"/>
      <c r="AG673" s="94"/>
      <c r="AH673" s="94"/>
      <c r="AI673" s="94"/>
      <c r="AJ673" s="94"/>
      <c r="AK673" s="94"/>
      <c r="AL673" s="94"/>
      <c r="AM673" s="94"/>
      <c r="AN673" s="94"/>
      <c r="AO673" s="94"/>
      <c r="AP673" s="94"/>
      <c r="AQ673" s="94"/>
      <c r="AR673" s="94"/>
      <c r="AS673" s="94"/>
      <c r="AT673" s="94"/>
      <c r="AU673" s="94"/>
      <c r="AV673" s="94"/>
      <c r="AW673" s="94"/>
      <c r="AX673" s="94"/>
      <c r="AY673" s="94"/>
      <c r="BA673" s="95"/>
    </row>
    <row r="674" spans="1:53" s="87" customFormat="1">
      <c r="A674" s="90" t="str">
        <f t="shared" si="58"/>
        <v/>
      </c>
      <c r="B674" s="99">
        <v>10</v>
      </c>
      <c r="C674" s="92">
        <v>-1</v>
      </c>
      <c r="D674" s="92" t="s">
        <v>210</v>
      </c>
      <c r="E674" s="92">
        <v>2</v>
      </c>
      <c r="F674" s="92" t="s">
        <v>210</v>
      </c>
      <c r="G674" s="92">
        <v>-5</v>
      </c>
      <c r="H674" s="92">
        <v>4</v>
      </c>
      <c r="I674" s="92" t="s">
        <v>210</v>
      </c>
      <c r="J674" s="92" t="s">
        <v>210</v>
      </c>
      <c r="K674" s="94"/>
      <c r="L674" s="94"/>
      <c r="M674" s="94"/>
      <c r="N674" s="94"/>
      <c r="O674" s="94"/>
      <c r="P674" s="94"/>
      <c r="Q674" s="94"/>
      <c r="R674" s="94"/>
      <c r="S674" s="94"/>
      <c r="T674" s="94"/>
      <c r="U674" s="94"/>
      <c r="V674" s="94"/>
      <c r="W674" s="94"/>
      <c r="X674" s="94"/>
      <c r="Y674" s="94"/>
      <c r="Z674" s="94"/>
      <c r="AA674" s="94"/>
      <c r="AB674" s="94"/>
      <c r="AC674" s="94"/>
      <c r="AD674" s="94"/>
      <c r="AE674" s="94"/>
      <c r="AF674" s="94"/>
      <c r="AG674" s="94"/>
      <c r="AH674" s="94"/>
      <c r="AI674" s="94"/>
      <c r="AJ674" s="94"/>
      <c r="AK674" s="94"/>
      <c r="AL674" s="94"/>
      <c r="AM674" s="94"/>
      <c r="AN674" s="94"/>
      <c r="AO674" s="94"/>
      <c r="AP674" s="94"/>
      <c r="AQ674" s="94"/>
      <c r="AR674" s="94"/>
      <c r="AS674" s="94"/>
      <c r="AT674" s="94"/>
      <c r="AU674" s="94"/>
      <c r="AV674" s="94"/>
      <c r="AW674" s="94"/>
      <c r="AX674" s="94"/>
      <c r="AY674" s="94"/>
      <c r="BA674" s="95"/>
    </row>
    <row r="675" spans="1:53" s="87" customFormat="1">
      <c r="A675" s="90" t="str">
        <f t="shared" si="58"/>
        <v/>
      </c>
      <c r="B675" s="98">
        <v>11</v>
      </c>
      <c r="C675" s="94" t="s">
        <v>210</v>
      </c>
      <c r="D675" s="94" t="s">
        <v>210</v>
      </c>
      <c r="E675" s="94">
        <v>-3</v>
      </c>
      <c r="F675" s="94">
        <v>-5</v>
      </c>
      <c r="G675" s="94" t="s">
        <v>210</v>
      </c>
      <c r="H675" s="94">
        <v>1</v>
      </c>
      <c r="I675" s="94">
        <v>4</v>
      </c>
      <c r="J675" s="94" t="s">
        <v>210</v>
      </c>
      <c r="K675" s="94"/>
      <c r="L675" s="94"/>
      <c r="M675" s="94"/>
      <c r="N675" s="94"/>
      <c r="O675" s="94"/>
      <c r="P675" s="94"/>
      <c r="Q675" s="94"/>
      <c r="R675" s="94"/>
      <c r="S675" s="94"/>
      <c r="T675" s="94"/>
      <c r="U675" s="94"/>
      <c r="V675" s="94"/>
      <c r="W675" s="94"/>
      <c r="X675" s="94"/>
      <c r="Y675" s="94"/>
      <c r="Z675" s="94"/>
      <c r="AA675" s="94"/>
      <c r="AB675" s="94"/>
      <c r="AC675" s="94"/>
      <c r="AD675" s="94"/>
      <c r="AE675" s="94"/>
      <c r="AF675" s="94"/>
      <c r="AG675" s="94"/>
      <c r="AH675" s="94"/>
      <c r="AI675" s="94"/>
      <c r="AJ675" s="94"/>
      <c r="AK675" s="94"/>
      <c r="AL675" s="94"/>
      <c r="AM675" s="94"/>
      <c r="AN675" s="94"/>
      <c r="AO675" s="94"/>
      <c r="AP675" s="94"/>
      <c r="AQ675" s="94"/>
      <c r="AR675" s="94"/>
      <c r="AS675" s="94"/>
      <c r="AT675" s="94"/>
      <c r="AU675" s="94"/>
      <c r="AV675" s="94"/>
      <c r="AW675" s="94"/>
      <c r="AX675" s="94"/>
      <c r="AY675" s="94"/>
      <c r="BA675" s="95"/>
    </row>
    <row r="676" spans="1:53" s="87" customFormat="1">
      <c r="A676" s="90" t="str">
        <f t="shared" si="58"/>
        <v/>
      </c>
      <c r="B676" s="98">
        <v>12</v>
      </c>
      <c r="C676" s="94">
        <v>-4</v>
      </c>
      <c r="D676" s="94" t="s">
        <v>210</v>
      </c>
      <c r="E676" s="94" t="s">
        <v>210</v>
      </c>
      <c r="F676" s="94">
        <v>5</v>
      </c>
      <c r="G676" s="94" t="s">
        <v>210</v>
      </c>
      <c r="H676" s="94" t="s">
        <v>210</v>
      </c>
      <c r="I676" s="94">
        <v>2</v>
      </c>
      <c r="J676" s="94">
        <v>-3</v>
      </c>
      <c r="K676" s="94"/>
      <c r="L676" s="94"/>
      <c r="M676" s="94"/>
      <c r="N676" s="94"/>
      <c r="O676" s="94"/>
      <c r="P676" s="94"/>
      <c r="Q676" s="94"/>
      <c r="R676" s="94"/>
      <c r="S676" s="94"/>
      <c r="T676" s="94"/>
      <c r="U676" s="94"/>
      <c r="V676" s="94"/>
      <c r="W676" s="94"/>
      <c r="X676" s="94"/>
      <c r="Y676" s="94"/>
      <c r="Z676" s="94"/>
      <c r="AA676" s="94"/>
      <c r="AB676" s="94"/>
      <c r="AC676" s="94"/>
      <c r="AD676" s="94"/>
      <c r="AE676" s="94"/>
      <c r="AF676" s="94"/>
      <c r="AG676" s="94"/>
      <c r="AH676" s="94"/>
      <c r="AI676" s="94"/>
      <c r="AJ676" s="94"/>
      <c r="AK676" s="94"/>
      <c r="AL676" s="94"/>
      <c r="AM676" s="94"/>
      <c r="AN676" s="94"/>
      <c r="AO676" s="94"/>
      <c r="AP676" s="94"/>
      <c r="AQ676" s="94"/>
      <c r="AR676" s="94"/>
      <c r="AS676" s="94"/>
      <c r="AT676" s="94"/>
      <c r="AU676" s="94"/>
      <c r="AV676" s="94"/>
      <c r="AW676" s="94"/>
      <c r="AX676" s="94"/>
      <c r="AY676" s="94"/>
      <c r="BA676" s="95"/>
    </row>
    <row r="677" spans="1:53" s="87" customFormat="1">
      <c r="A677" s="90" t="str">
        <f t="shared" si="58"/>
        <v/>
      </c>
      <c r="B677" s="98">
        <v>13</v>
      </c>
      <c r="C677" s="94">
        <v>4</v>
      </c>
      <c r="D677" s="94" t="s">
        <v>210</v>
      </c>
      <c r="E677" s="94">
        <v>-5</v>
      </c>
      <c r="F677" s="94" t="s">
        <v>210</v>
      </c>
      <c r="G677" s="94">
        <v>1</v>
      </c>
      <c r="H677" s="94" t="s">
        <v>210</v>
      </c>
      <c r="I677" s="94">
        <v>-4</v>
      </c>
      <c r="J677" s="94" t="s">
        <v>210</v>
      </c>
      <c r="K677" s="94"/>
      <c r="L677" s="94"/>
      <c r="M677" s="94"/>
      <c r="N677" s="94"/>
      <c r="O677" s="94"/>
      <c r="P677" s="94"/>
      <c r="Q677" s="94"/>
      <c r="R677" s="94"/>
      <c r="S677" s="94"/>
      <c r="T677" s="94"/>
      <c r="U677" s="94"/>
      <c r="V677" s="94"/>
      <c r="W677" s="94"/>
      <c r="X677" s="94"/>
      <c r="Y677" s="94"/>
      <c r="Z677" s="94"/>
      <c r="AA677" s="94"/>
      <c r="AB677" s="94"/>
      <c r="AC677" s="94"/>
      <c r="AD677" s="94"/>
      <c r="AE677" s="94"/>
      <c r="AF677" s="94"/>
      <c r="AG677" s="94"/>
      <c r="AH677" s="94"/>
      <c r="AI677" s="94"/>
      <c r="AJ677" s="94"/>
      <c r="AK677" s="94"/>
      <c r="AL677" s="94"/>
      <c r="AM677" s="94"/>
      <c r="AN677" s="94"/>
      <c r="AO677" s="94"/>
      <c r="AP677" s="94"/>
      <c r="AQ677" s="94"/>
      <c r="AR677" s="94"/>
      <c r="AS677" s="94"/>
      <c r="AT677" s="94"/>
      <c r="AU677" s="94"/>
      <c r="AV677" s="94"/>
      <c r="AW677" s="94"/>
      <c r="AX677" s="94"/>
      <c r="AY677" s="94"/>
      <c r="BA677" s="95"/>
    </row>
    <row r="678" spans="1:53" s="87" customFormat="1">
      <c r="A678" s="90" t="str">
        <f t="shared" si="58"/>
        <v/>
      </c>
      <c r="B678" s="98">
        <v>14</v>
      </c>
      <c r="C678" s="94">
        <v>-2</v>
      </c>
      <c r="D678" s="94" t="s">
        <v>210</v>
      </c>
      <c r="E678" s="94">
        <v>5</v>
      </c>
      <c r="F678" s="94" t="s">
        <v>210</v>
      </c>
      <c r="G678" s="94" t="s">
        <v>210</v>
      </c>
      <c r="H678" s="94">
        <v>-1</v>
      </c>
      <c r="I678" s="94" t="s">
        <v>210</v>
      </c>
      <c r="J678" s="94">
        <v>3</v>
      </c>
      <c r="K678" s="94"/>
      <c r="L678" s="94"/>
      <c r="M678" s="94"/>
      <c r="N678" s="94"/>
      <c r="O678" s="94"/>
      <c r="P678" s="94"/>
      <c r="Q678" s="94"/>
      <c r="R678" s="94"/>
      <c r="S678" s="94"/>
      <c r="T678" s="94"/>
      <c r="U678" s="94"/>
      <c r="V678" s="94"/>
      <c r="W678" s="94"/>
      <c r="X678" s="94"/>
      <c r="Y678" s="94"/>
      <c r="Z678" s="94"/>
      <c r="AA678" s="94"/>
      <c r="AB678" s="94"/>
      <c r="AC678" s="94"/>
      <c r="AD678" s="94"/>
      <c r="AE678" s="94"/>
      <c r="AF678" s="94"/>
      <c r="AG678" s="94"/>
      <c r="AH678" s="94"/>
      <c r="AI678" s="94"/>
      <c r="AJ678" s="94"/>
      <c r="AK678" s="94"/>
      <c r="AL678" s="94"/>
      <c r="AM678" s="94"/>
      <c r="AN678" s="94"/>
      <c r="AO678" s="94"/>
      <c r="AP678" s="94"/>
      <c r="AQ678" s="94"/>
      <c r="AR678" s="94"/>
      <c r="AS678" s="94"/>
      <c r="AT678" s="94"/>
      <c r="AU678" s="94"/>
      <c r="AV678" s="94"/>
      <c r="AW678" s="94"/>
      <c r="AX678" s="94"/>
      <c r="AY678" s="94"/>
      <c r="BA678" s="95"/>
    </row>
    <row r="679" spans="1:53" s="87" customFormat="1">
      <c r="A679" s="90" t="str">
        <f t="shared" si="58"/>
        <v/>
      </c>
      <c r="B679" s="99">
        <v>15</v>
      </c>
      <c r="C679" s="92">
        <v>2</v>
      </c>
      <c r="D679" s="92" t="s">
        <v>210</v>
      </c>
      <c r="E679" s="92">
        <v>3</v>
      </c>
      <c r="F679" s="92" t="s">
        <v>210</v>
      </c>
      <c r="G679" s="92">
        <v>-1</v>
      </c>
      <c r="H679" s="92" t="s">
        <v>210</v>
      </c>
      <c r="I679" s="92">
        <v>-2</v>
      </c>
      <c r="J679" s="92" t="s">
        <v>210</v>
      </c>
      <c r="K679" s="94"/>
      <c r="L679" s="94"/>
      <c r="M679" s="94"/>
      <c r="N679" s="94"/>
      <c r="O679" s="94"/>
      <c r="P679" s="94"/>
      <c r="Q679" s="94"/>
      <c r="R679" s="94"/>
      <c r="S679" s="94"/>
      <c r="T679" s="94"/>
      <c r="U679" s="94"/>
      <c r="V679" s="94"/>
      <c r="W679" s="94"/>
      <c r="X679" s="94"/>
      <c r="Y679" s="94"/>
      <c r="Z679" s="94"/>
      <c r="AA679" s="94"/>
      <c r="AB679" s="94"/>
      <c r="AC679" s="94"/>
      <c r="AD679" s="94"/>
      <c r="AE679" s="94"/>
      <c r="AF679" s="94"/>
      <c r="AG679" s="94"/>
      <c r="AH679" s="94"/>
      <c r="AI679" s="94"/>
      <c r="AJ679" s="94"/>
      <c r="AK679" s="94"/>
      <c r="AL679" s="94"/>
      <c r="AM679" s="94"/>
      <c r="AN679" s="94"/>
      <c r="AO679" s="94"/>
      <c r="AP679" s="94"/>
      <c r="AQ679" s="94"/>
      <c r="AR679" s="94"/>
      <c r="AS679" s="94"/>
      <c r="AT679" s="94"/>
      <c r="AU679" s="94"/>
      <c r="AV679" s="94"/>
      <c r="AW679" s="94"/>
      <c r="AX679" s="94"/>
      <c r="AY679" s="94"/>
      <c r="BA679" s="95"/>
    </row>
    <row r="680" spans="1:53" s="87" customFormat="1">
      <c r="A680" s="90" t="str">
        <f t="shared" si="58"/>
        <v/>
      </c>
      <c r="B680" s="98">
        <v>16</v>
      </c>
      <c r="C680" s="94" t="s">
        <v>210</v>
      </c>
      <c r="D680" s="94">
        <v>4</v>
      </c>
      <c r="E680" s="94" t="s">
        <v>210</v>
      </c>
      <c r="F680" s="94">
        <v>2</v>
      </c>
      <c r="G680" s="94" t="s">
        <v>210</v>
      </c>
      <c r="H680" s="94">
        <v>-5</v>
      </c>
      <c r="I680" s="94">
        <v>-3</v>
      </c>
      <c r="J680" s="94" t="s">
        <v>210</v>
      </c>
      <c r="K680" s="94"/>
      <c r="L680" s="94"/>
      <c r="M680" s="94"/>
      <c r="N680" s="94"/>
      <c r="O680" s="94"/>
      <c r="P680" s="94"/>
      <c r="Q680" s="94"/>
      <c r="R680" s="94"/>
      <c r="S680" s="94"/>
      <c r="T680" s="94"/>
      <c r="U680" s="94"/>
      <c r="V680" s="94"/>
      <c r="W680" s="94"/>
      <c r="X680" s="94"/>
      <c r="Y680" s="94"/>
      <c r="Z680" s="94"/>
      <c r="AA680" s="94"/>
      <c r="AB680" s="94"/>
      <c r="AC680" s="94"/>
      <c r="AD680" s="94"/>
      <c r="AE680" s="94"/>
      <c r="AF680" s="94"/>
      <c r="AG680" s="94"/>
      <c r="AH680" s="94"/>
      <c r="AI680" s="94"/>
      <c r="AJ680" s="94"/>
      <c r="AK680" s="94"/>
      <c r="AL680" s="94"/>
      <c r="AM680" s="94"/>
      <c r="AN680" s="94"/>
      <c r="AO680" s="94"/>
      <c r="AP680" s="94"/>
      <c r="AQ680" s="94"/>
      <c r="AR680" s="94"/>
      <c r="AS680" s="94"/>
      <c r="AT680" s="94"/>
      <c r="AU680" s="94"/>
      <c r="AV680" s="94"/>
      <c r="AW680" s="94"/>
      <c r="AX680" s="94"/>
      <c r="AY680" s="94"/>
      <c r="BA680" s="95"/>
    </row>
    <row r="681" spans="1:53" s="87" customFormat="1">
      <c r="A681" s="90" t="str">
        <f t="shared" si="58"/>
        <v/>
      </c>
      <c r="B681" s="98">
        <v>17</v>
      </c>
      <c r="C681" s="94">
        <v>-5</v>
      </c>
      <c r="D681" s="94" t="s">
        <v>210</v>
      </c>
      <c r="E681" s="94" t="s">
        <v>210</v>
      </c>
      <c r="F681" s="94">
        <v>-2</v>
      </c>
      <c r="G681" s="94" t="s">
        <v>210</v>
      </c>
      <c r="H681" s="94" t="s">
        <v>210</v>
      </c>
      <c r="I681" s="94">
        <v>1</v>
      </c>
      <c r="J681" s="94">
        <v>4</v>
      </c>
      <c r="K681" s="94"/>
      <c r="L681" s="94"/>
      <c r="M681" s="94"/>
      <c r="N681" s="94"/>
      <c r="O681" s="94"/>
      <c r="P681" s="94"/>
      <c r="Q681" s="94"/>
      <c r="R681" s="94"/>
      <c r="S681" s="94"/>
      <c r="T681" s="94"/>
      <c r="U681" s="94"/>
      <c r="V681" s="94"/>
      <c r="W681" s="94"/>
      <c r="X681" s="94"/>
      <c r="Y681" s="94"/>
      <c r="Z681" s="94"/>
      <c r="AA681" s="94"/>
      <c r="AB681" s="94"/>
      <c r="AC681" s="94"/>
      <c r="AD681" s="94"/>
      <c r="AE681" s="94"/>
      <c r="AF681" s="94"/>
      <c r="AG681" s="94"/>
      <c r="AH681" s="94"/>
      <c r="AI681" s="94"/>
      <c r="AJ681" s="94"/>
      <c r="AK681" s="94"/>
      <c r="AL681" s="94"/>
      <c r="AM681" s="94"/>
      <c r="AN681" s="94"/>
      <c r="AO681" s="94"/>
      <c r="AP681" s="94"/>
      <c r="AQ681" s="94"/>
      <c r="AR681" s="94"/>
      <c r="AS681" s="94"/>
      <c r="AT681" s="94"/>
      <c r="AU681" s="94"/>
      <c r="AV681" s="94"/>
      <c r="AW681" s="94"/>
      <c r="AX681" s="94"/>
      <c r="AY681" s="94"/>
      <c r="BA681" s="95"/>
    </row>
    <row r="682" spans="1:53" s="87" customFormat="1">
      <c r="A682" s="90" t="str">
        <f t="shared" si="58"/>
        <v/>
      </c>
      <c r="B682" s="98">
        <v>18</v>
      </c>
      <c r="C682" s="94">
        <v>5</v>
      </c>
      <c r="D682" s="94">
        <v>-1</v>
      </c>
      <c r="E682" s="94" t="s">
        <v>210</v>
      </c>
      <c r="F682" s="94" t="s">
        <v>210</v>
      </c>
      <c r="G682" s="94" t="s">
        <v>210</v>
      </c>
      <c r="H682" s="94">
        <v>-2</v>
      </c>
      <c r="I682" s="94">
        <v>3</v>
      </c>
      <c r="J682" s="94" t="s">
        <v>210</v>
      </c>
      <c r="K682" s="94"/>
      <c r="L682" s="94"/>
      <c r="M682" s="94"/>
      <c r="N682" s="94"/>
      <c r="O682" s="94"/>
      <c r="P682" s="94"/>
      <c r="Q682" s="94"/>
      <c r="R682" s="94"/>
      <c r="S682" s="94"/>
      <c r="T682" s="94"/>
      <c r="U682" s="94"/>
      <c r="V682" s="94"/>
      <c r="W682" s="94"/>
      <c r="X682" s="94"/>
      <c r="Y682" s="94"/>
      <c r="Z682" s="94"/>
      <c r="AA682" s="94"/>
      <c r="AB682" s="94"/>
      <c r="AC682" s="94"/>
      <c r="AD682" s="94"/>
      <c r="AE682" s="94"/>
      <c r="AF682" s="94"/>
      <c r="AG682" s="94"/>
      <c r="AH682" s="94"/>
      <c r="AI682" s="94"/>
      <c r="AJ682" s="94"/>
      <c r="AK682" s="94"/>
      <c r="AL682" s="94"/>
      <c r="AM682" s="94"/>
      <c r="AN682" s="94"/>
      <c r="AO682" s="94"/>
      <c r="AP682" s="94"/>
      <c r="AQ682" s="94"/>
      <c r="AR682" s="94"/>
      <c r="AS682" s="94"/>
      <c r="AT682" s="94"/>
      <c r="AU682" s="94"/>
      <c r="AV682" s="94"/>
      <c r="AW682" s="94"/>
      <c r="AX682" s="94"/>
      <c r="AY682" s="94"/>
      <c r="BA682" s="95"/>
    </row>
    <row r="683" spans="1:53" s="87" customFormat="1">
      <c r="A683" s="90" t="str">
        <f t="shared" si="58"/>
        <v/>
      </c>
      <c r="B683" s="98">
        <v>19</v>
      </c>
      <c r="C683" s="94">
        <v>-3</v>
      </c>
      <c r="D683" s="94">
        <v>1</v>
      </c>
      <c r="E683" s="94" t="s">
        <v>210</v>
      </c>
      <c r="F683" s="94" t="s">
        <v>210</v>
      </c>
      <c r="G683" s="94" t="s">
        <v>210</v>
      </c>
      <c r="H683" s="94">
        <v>5</v>
      </c>
      <c r="I683" s="94" t="s">
        <v>210</v>
      </c>
      <c r="J683" s="94">
        <v>-4</v>
      </c>
      <c r="K683" s="94"/>
      <c r="L683" s="94"/>
      <c r="M683" s="94"/>
      <c r="N683" s="94"/>
      <c r="O683" s="94"/>
      <c r="P683" s="94"/>
      <c r="Q683" s="94"/>
      <c r="R683" s="94"/>
      <c r="S683" s="94"/>
      <c r="T683" s="94"/>
      <c r="U683" s="94"/>
      <c r="V683" s="94"/>
      <c r="W683" s="94"/>
      <c r="X683" s="94"/>
      <c r="Y683" s="94"/>
      <c r="Z683" s="94"/>
      <c r="AA683" s="94"/>
      <c r="AB683" s="94"/>
      <c r="AC683" s="94"/>
      <c r="AD683" s="94"/>
      <c r="AE683" s="94"/>
      <c r="AF683" s="94"/>
      <c r="AG683" s="94"/>
      <c r="AH683" s="94"/>
      <c r="AI683" s="94"/>
      <c r="AJ683" s="94"/>
      <c r="AK683" s="94"/>
      <c r="AL683" s="94"/>
      <c r="AM683" s="94"/>
      <c r="AN683" s="94"/>
      <c r="AO683" s="94"/>
      <c r="AP683" s="94"/>
      <c r="AQ683" s="94"/>
      <c r="AR683" s="94"/>
      <c r="AS683" s="94"/>
      <c r="AT683" s="94"/>
      <c r="AU683" s="94"/>
      <c r="AV683" s="94"/>
      <c r="AW683" s="94"/>
      <c r="AX683" s="94"/>
      <c r="AY683" s="94"/>
      <c r="BA683" s="95"/>
    </row>
    <row r="684" spans="1:53" s="87" customFormat="1">
      <c r="A684" s="90" t="str">
        <f t="shared" si="58"/>
        <v/>
      </c>
      <c r="B684" s="98">
        <v>20</v>
      </c>
      <c r="C684" s="94">
        <v>3</v>
      </c>
      <c r="D684" s="94">
        <v>-4</v>
      </c>
      <c r="E684" s="94" t="s">
        <v>210</v>
      </c>
      <c r="F684" s="94" t="s">
        <v>210</v>
      </c>
      <c r="G684" s="94" t="s">
        <v>210</v>
      </c>
      <c r="H684" s="94">
        <v>2</v>
      </c>
      <c r="I684" s="94">
        <v>-1</v>
      </c>
      <c r="J684" s="94" t="s">
        <v>210</v>
      </c>
      <c r="K684" s="94"/>
      <c r="L684" s="94"/>
      <c r="M684" s="94"/>
      <c r="N684" s="94"/>
      <c r="O684" s="94"/>
      <c r="P684" s="94"/>
      <c r="Q684" s="94"/>
      <c r="R684" s="94"/>
      <c r="S684" s="94"/>
      <c r="T684" s="94"/>
      <c r="U684" s="94"/>
      <c r="V684" s="94"/>
      <c r="W684" s="94"/>
      <c r="X684" s="94"/>
      <c r="Y684" s="94"/>
      <c r="Z684" s="94"/>
      <c r="AA684" s="94"/>
      <c r="AB684" s="94"/>
      <c r="AC684" s="94"/>
      <c r="AD684" s="94"/>
      <c r="AE684" s="94"/>
      <c r="AF684" s="94"/>
      <c r="AG684" s="94"/>
      <c r="AH684" s="94"/>
      <c r="AI684" s="94"/>
      <c r="AJ684" s="94"/>
      <c r="AK684" s="94"/>
      <c r="AL684" s="94"/>
      <c r="AM684" s="94"/>
      <c r="AN684" s="94"/>
      <c r="AO684" s="94"/>
      <c r="AP684" s="94"/>
      <c r="AQ684" s="94"/>
      <c r="AR684" s="94"/>
      <c r="AS684" s="94"/>
      <c r="AT684" s="94"/>
      <c r="AU684" s="94"/>
      <c r="AV684" s="94"/>
      <c r="AW684" s="94"/>
      <c r="AX684" s="94"/>
      <c r="AY684" s="94"/>
      <c r="BA684" s="95"/>
    </row>
    <row r="685" spans="1:53" s="87" customFormat="1">
      <c r="A685" s="90" t="str">
        <f t="shared" si="58"/>
        <v/>
      </c>
      <c r="B685" s="273" t="s">
        <v>832</v>
      </c>
      <c r="C685" s="94"/>
      <c r="D685" s="94"/>
      <c r="E685" s="94"/>
      <c r="F685" s="94"/>
      <c r="G685" s="94"/>
      <c r="H685" s="94"/>
      <c r="I685" s="94"/>
      <c r="J685" s="94"/>
      <c r="K685" s="94"/>
      <c r="L685" s="94"/>
      <c r="M685" s="94"/>
      <c r="N685" s="94"/>
      <c r="O685" s="94"/>
      <c r="P685" s="94"/>
      <c r="Q685" s="94"/>
      <c r="R685" s="94"/>
      <c r="S685" s="94"/>
      <c r="T685" s="94"/>
      <c r="U685" s="94"/>
      <c r="V685" s="94"/>
      <c r="W685" s="94"/>
      <c r="X685" s="94"/>
      <c r="Y685" s="94"/>
      <c r="Z685" s="94"/>
      <c r="AA685" s="94"/>
      <c r="AB685" s="94"/>
      <c r="AC685" s="94"/>
      <c r="AD685" s="94"/>
      <c r="AE685" s="94"/>
      <c r="AF685" s="94"/>
      <c r="AG685" s="94"/>
      <c r="AH685" s="94"/>
      <c r="AI685" s="94"/>
      <c r="AJ685" s="94"/>
      <c r="AK685" s="94"/>
      <c r="AL685" s="94"/>
      <c r="AM685" s="94"/>
      <c r="AN685" s="94"/>
      <c r="AO685" s="94"/>
      <c r="AP685" s="94"/>
      <c r="AQ685" s="94"/>
      <c r="AR685" s="94"/>
      <c r="AS685" s="94"/>
      <c r="AT685" s="94"/>
      <c r="AU685" s="94"/>
      <c r="AV685" s="94"/>
      <c r="AW685" s="94"/>
      <c r="AX685" s="94"/>
      <c r="AY685" s="94"/>
      <c r="BA685" s="95"/>
    </row>
    <row r="686" spans="1:53" s="87" customFormat="1">
      <c r="A686" s="90">
        <f t="shared" si="58"/>
        <v>686</v>
      </c>
      <c r="B686" s="317" t="s">
        <v>1200</v>
      </c>
      <c r="C686" s="94"/>
      <c r="D686" s="94"/>
      <c r="E686" s="94"/>
      <c r="F686" s="94"/>
      <c r="G686" s="94"/>
      <c r="H686" s="94"/>
      <c r="I686" s="94"/>
      <c r="J686" s="94"/>
      <c r="K686" s="94"/>
      <c r="L686" s="94"/>
      <c r="M686" s="94"/>
      <c r="N686" s="94"/>
      <c r="O686" s="94"/>
      <c r="P686" s="94"/>
      <c r="Q686" s="94"/>
      <c r="R686" s="94"/>
      <c r="S686" s="94"/>
      <c r="T686" s="94"/>
      <c r="U686" s="94"/>
      <c r="V686" s="94"/>
      <c r="W686" s="94"/>
      <c r="X686" s="94"/>
      <c r="Y686" s="94"/>
      <c r="Z686" s="94"/>
      <c r="AA686" s="94"/>
      <c r="AB686" s="94"/>
      <c r="AC686" s="94"/>
      <c r="AD686" s="94"/>
      <c r="AE686" s="94"/>
      <c r="AF686" s="94"/>
      <c r="AG686" s="94"/>
      <c r="AH686" s="94"/>
      <c r="AI686" s="94"/>
      <c r="AJ686" s="94"/>
      <c r="AK686" s="94"/>
      <c r="AL686" s="94"/>
      <c r="AM686" s="94"/>
      <c r="AN686" s="94"/>
      <c r="AO686" s="94"/>
      <c r="AP686" s="94"/>
      <c r="AQ686" s="94"/>
      <c r="AR686" s="94"/>
      <c r="AS686" s="94"/>
      <c r="AT686" s="94"/>
      <c r="AU686" s="94"/>
      <c r="AV686" s="94"/>
      <c r="AW686" s="94"/>
      <c r="AX686" s="94"/>
      <c r="AY686" s="94"/>
      <c r="BA686" s="95"/>
    </row>
    <row r="687" spans="1:53" s="87" customFormat="1" ht="13">
      <c r="A687" s="90" t="str">
        <f t="shared" si="58"/>
        <v/>
      </c>
      <c r="B687" s="98">
        <v>1</v>
      </c>
      <c r="C687" s="94" t="s">
        <v>210</v>
      </c>
      <c r="D687" s="94">
        <v>4</v>
      </c>
      <c r="E687" s="94">
        <v>-2</v>
      </c>
      <c r="F687" s="94">
        <v>-1</v>
      </c>
      <c r="G687" s="94" t="s">
        <v>210</v>
      </c>
      <c r="H687" s="94">
        <v>-4</v>
      </c>
      <c r="I687" s="94">
        <v>5</v>
      </c>
      <c r="J687" s="94">
        <v>2</v>
      </c>
      <c r="K687" s="94" t="s">
        <v>210</v>
      </c>
      <c r="L687" s="94">
        <v>3</v>
      </c>
      <c r="M687" s="94"/>
      <c r="N687" s="94"/>
      <c r="O687" s="94"/>
      <c r="P687" s="94"/>
      <c r="Q687" s="94"/>
      <c r="R687" s="94"/>
      <c r="S687" s="94"/>
      <c r="T687" s="94"/>
      <c r="U687" s="94"/>
      <c r="V687" s="94"/>
      <c r="W687" s="94"/>
      <c r="X687"/>
      <c r="Y687"/>
      <c r="Z687"/>
      <c r="AA687"/>
      <c r="AB687"/>
      <c r="AC687"/>
      <c r="AD687"/>
      <c r="AE687"/>
      <c r="AF687"/>
      <c r="AG687"/>
      <c r="AH687"/>
      <c r="AI687" s="94"/>
      <c r="AJ687" s="94"/>
      <c r="AK687" s="94"/>
      <c r="AL687" s="94"/>
      <c r="AM687" s="94"/>
      <c r="AN687" s="94"/>
      <c r="AO687" s="94"/>
      <c r="AP687" s="94"/>
      <c r="AQ687" s="94"/>
      <c r="AR687" s="94"/>
      <c r="AS687" s="94"/>
      <c r="AT687" s="94"/>
      <c r="AU687" s="94"/>
      <c r="AV687" s="94"/>
      <c r="AW687" s="94"/>
      <c r="AX687" s="94"/>
      <c r="AY687" s="94"/>
      <c r="BA687" s="95"/>
    </row>
    <row r="688" spans="1:53" s="87" customFormat="1" ht="13">
      <c r="A688" s="90" t="str">
        <f t="shared" si="58"/>
        <v/>
      </c>
      <c r="B688" s="98">
        <v>2</v>
      </c>
      <c r="C688" s="94" t="s">
        <v>210</v>
      </c>
      <c r="D688" s="94">
        <v>-4</v>
      </c>
      <c r="E688" s="94">
        <v>-5</v>
      </c>
      <c r="F688" s="94">
        <v>-2</v>
      </c>
      <c r="G688" s="94" t="s">
        <v>210</v>
      </c>
      <c r="H688" s="94">
        <v>3</v>
      </c>
      <c r="I688" s="94">
        <v>-1</v>
      </c>
      <c r="J688" s="94">
        <v>5</v>
      </c>
      <c r="K688" s="94" t="s">
        <v>210</v>
      </c>
      <c r="L688" s="94">
        <v>4</v>
      </c>
      <c r="M688" s="94"/>
      <c r="N688" s="94"/>
      <c r="O688" s="94"/>
      <c r="P688" s="94"/>
      <c r="Q688" s="94"/>
      <c r="R688" s="94"/>
      <c r="S688" s="94"/>
      <c r="T688" s="94"/>
      <c r="U688" s="94"/>
      <c r="V688" s="94"/>
      <c r="W688" s="94"/>
      <c r="X688"/>
      <c r="Y688"/>
      <c r="Z688"/>
      <c r="AA688"/>
      <c r="AB688"/>
      <c r="AC688"/>
      <c r="AD688"/>
      <c r="AE688"/>
      <c r="AF688"/>
      <c r="AG688"/>
      <c r="AH688"/>
      <c r="AI688" s="94"/>
      <c r="AJ688" s="94"/>
      <c r="AK688" s="94"/>
      <c r="AL688" s="94"/>
      <c r="AM688" s="94"/>
      <c r="AN688" s="94"/>
      <c r="AO688" s="94"/>
      <c r="AP688" s="94"/>
      <c r="AQ688" s="94"/>
      <c r="AR688" s="94"/>
      <c r="AS688" s="94"/>
      <c r="AT688" s="94"/>
      <c r="AU688" s="94"/>
      <c r="AV688" s="94"/>
      <c r="AW688" s="94"/>
      <c r="AX688" s="94"/>
      <c r="AY688" s="94"/>
      <c r="BA688" s="95"/>
    </row>
    <row r="689" spans="1:53" s="87" customFormat="1" ht="13">
      <c r="A689" s="90" t="str">
        <f t="shared" si="58"/>
        <v/>
      </c>
      <c r="B689" s="98">
        <v>3</v>
      </c>
      <c r="C689" s="94" t="s">
        <v>210</v>
      </c>
      <c r="D689" s="94">
        <v>-5</v>
      </c>
      <c r="E689" s="94">
        <v>-1</v>
      </c>
      <c r="F689" s="94">
        <v>2</v>
      </c>
      <c r="G689" s="94" t="s">
        <v>210</v>
      </c>
      <c r="H689" s="94">
        <v>4</v>
      </c>
      <c r="I689" s="94">
        <v>-2</v>
      </c>
      <c r="J689" s="94">
        <v>-3</v>
      </c>
      <c r="K689" s="94" t="s">
        <v>210</v>
      </c>
      <c r="L689" s="94">
        <v>1</v>
      </c>
      <c r="M689" s="94"/>
      <c r="N689" s="94"/>
      <c r="O689" s="94"/>
      <c r="P689" s="94"/>
      <c r="Q689" s="94"/>
      <c r="R689" s="94"/>
      <c r="S689" s="94"/>
      <c r="T689" s="94"/>
      <c r="U689" s="94"/>
      <c r="V689" s="94"/>
      <c r="W689" s="94"/>
      <c r="X689"/>
      <c r="Y689"/>
      <c r="Z689"/>
      <c r="AA689"/>
      <c r="AB689"/>
      <c r="AC689"/>
      <c r="AD689"/>
      <c r="AE689"/>
      <c r="AF689"/>
      <c r="AG689"/>
      <c r="AH689"/>
      <c r="AI689" s="94"/>
      <c r="AJ689" s="94"/>
      <c r="AK689" s="94"/>
      <c r="AL689" s="94"/>
      <c r="AM689" s="94"/>
      <c r="AN689" s="94"/>
      <c r="AO689" s="94"/>
      <c r="AP689" s="94"/>
      <c r="AQ689" s="94"/>
      <c r="AR689" s="94"/>
      <c r="AS689" s="94"/>
      <c r="AT689" s="94"/>
      <c r="AU689" s="94"/>
      <c r="AV689" s="94"/>
      <c r="AW689" s="94"/>
      <c r="AX689" s="94"/>
      <c r="AY689" s="94"/>
      <c r="BA689" s="95"/>
    </row>
    <row r="690" spans="1:53" s="87" customFormat="1" ht="13">
      <c r="A690" s="90" t="str">
        <f t="shared" si="58"/>
        <v/>
      </c>
      <c r="B690" s="98">
        <v>4</v>
      </c>
      <c r="C690" s="94" t="s">
        <v>210</v>
      </c>
      <c r="D690" s="94">
        <v>-3</v>
      </c>
      <c r="E690" s="94">
        <v>2</v>
      </c>
      <c r="F690" s="94">
        <v>-4</v>
      </c>
      <c r="G690" s="94" t="s">
        <v>210</v>
      </c>
      <c r="H690" s="94">
        <v>5</v>
      </c>
      <c r="I690" s="94">
        <v>1</v>
      </c>
      <c r="J690" s="94">
        <v>3</v>
      </c>
      <c r="K690" s="94" t="s">
        <v>210</v>
      </c>
      <c r="L690" s="94">
        <v>-2</v>
      </c>
      <c r="M690" s="94"/>
      <c r="N690" s="94"/>
      <c r="O690" s="94"/>
      <c r="P690" s="94"/>
      <c r="Q690" s="94"/>
      <c r="R690" s="94"/>
      <c r="S690" s="94"/>
      <c r="T690" s="94"/>
      <c r="U690" s="94"/>
      <c r="V690" s="94"/>
      <c r="W690" s="94"/>
      <c r="X690"/>
      <c r="Y690"/>
      <c r="Z690"/>
      <c r="AA690"/>
      <c r="AB690"/>
      <c r="AC690"/>
      <c r="AD690"/>
      <c r="AE690"/>
      <c r="AF690"/>
      <c r="AG690"/>
      <c r="AH690"/>
      <c r="AI690" s="94"/>
      <c r="AJ690" s="94"/>
      <c r="AK690" s="94"/>
      <c r="AL690" s="94"/>
      <c r="AM690" s="94"/>
      <c r="AN690" s="94"/>
      <c r="AO690" s="94"/>
      <c r="AP690" s="94"/>
      <c r="AQ690" s="94"/>
      <c r="AR690" s="94"/>
      <c r="AS690" s="94"/>
      <c r="AT690" s="94"/>
      <c r="AU690" s="94"/>
      <c r="AV690" s="94"/>
      <c r="AW690" s="94"/>
      <c r="AX690" s="94"/>
      <c r="AY690" s="94"/>
      <c r="BA690" s="95"/>
    </row>
    <row r="691" spans="1:53" s="87" customFormat="1" ht="13">
      <c r="A691" s="90" t="str">
        <f t="shared" si="58"/>
        <v/>
      </c>
      <c r="B691" s="98">
        <v>5</v>
      </c>
      <c r="C691" s="94">
        <v>3</v>
      </c>
      <c r="D691" s="94" t="s">
        <v>210</v>
      </c>
      <c r="E691" s="94">
        <v>1</v>
      </c>
      <c r="F691" s="94" t="s">
        <v>210</v>
      </c>
      <c r="G691" s="94">
        <v>-2</v>
      </c>
      <c r="H691" s="94">
        <v>-3</v>
      </c>
      <c r="I691" s="94">
        <v>-5</v>
      </c>
      <c r="J691" s="94" t="s">
        <v>210</v>
      </c>
      <c r="K691" s="94">
        <v>4</v>
      </c>
      <c r="L691" s="94">
        <v>2</v>
      </c>
      <c r="M691" s="94"/>
      <c r="N691" s="94"/>
      <c r="O691" s="94"/>
      <c r="P691" s="94"/>
      <c r="Q691" s="94"/>
      <c r="R691" s="94"/>
      <c r="S691" s="94"/>
      <c r="T691" s="94"/>
      <c r="U691" s="94"/>
      <c r="V691" s="94"/>
      <c r="W691" s="94"/>
      <c r="X691"/>
      <c r="Y691"/>
      <c r="Z691"/>
      <c r="AA691"/>
      <c r="AB691"/>
      <c r="AC691"/>
      <c r="AD691"/>
      <c r="AE691"/>
      <c r="AF691"/>
      <c r="AG691"/>
      <c r="AH691"/>
      <c r="AI691" s="94"/>
      <c r="AJ691" s="94"/>
      <c r="AK691" s="94"/>
      <c r="AL691" s="94"/>
      <c r="AM691" s="94"/>
      <c r="AN691" s="94"/>
      <c r="AO691" s="94"/>
      <c r="AP691" s="94"/>
      <c r="AQ691" s="94"/>
      <c r="AR691" s="94"/>
      <c r="AS691" s="94"/>
      <c r="AT691" s="94"/>
      <c r="AU691" s="94"/>
      <c r="AV691" s="94"/>
      <c r="AW691" s="94"/>
      <c r="AX691" s="94"/>
      <c r="AY691" s="94"/>
      <c r="BA691" s="95"/>
    </row>
    <row r="692" spans="1:53" s="87" customFormat="1" ht="13">
      <c r="A692" s="90" t="str">
        <f t="shared" si="58"/>
        <v/>
      </c>
      <c r="B692" s="98">
        <v>6</v>
      </c>
      <c r="C692" s="94">
        <v>4</v>
      </c>
      <c r="D692" s="94" t="s">
        <v>210</v>
      </c>
      <c r="E692" s="94">
        <v>5</v>
      </c>
      <c r="F692" s="94" t="s">
        <v>210</v>
      </c>
      <c r="G692" s="94">
        <v>1</v>
      </c>
      <c r="H692" s="94">
        <v>-5</v>
      </c>
      <c r="I692" s="94">
        <v>2</v>
      </c>
      <c r="J692" s="94" t="s">
        <v>210</v>
      </c>
      <c r="K692" s="94">
        <v>-4</v>
      </c>
      <c r="L692" s="94">
        <v>-3</v>
      </c>
      <c r="M692" s="94"/>
      <c r="N692" s="94"/>
      <c r="O692" s="94"/>
      <c r="P692" s="94"/>
      <c r="Q692" s="94"/>
      <c r="R692" s="94"/>
      <c r="S692" s="94"/>
      <c r="T692" s="94"/>
      <c r="U692" s="94"/>
      <c r="V692" s="94"/>
      <c r="W692" s="94"/>
      <c r="X692"/>
      <c r="Y692"/>
      <c r="Z692"/>
      <c r="AA692"/>
      <c r="AB692"/>
      <c r="AC692"/>
      <c r="AD692"/>
      <c r="AE692"/>
      <c r="AF692"/>
      <c r="AG692"/>
      <c r="AH692"/>
      <c r="AI692" s="94"/>
      <c r="AJ692" s="94"/>
      <c r="AK692" s="94"/>
      <c r="AL692" s="94"/>
      <c r="AM692" s="94"/>
      <c r="AN692" s="94"/>
      <c r="AO692" s="94"/>
      <c r="AP692" s="94"/>
      <c r="AQ692" s="94"/>
      <c r="AR692" s="94"/>
      <c r="AS692" s="94"/>
      <c r="AT692" s="94"/>
      <c r="AU692" s="94"/>
      <c r="AV692" s="94"/>
      <c r="AW692" s="94"/>
      <c r="AX692" s="94"/>
      <c r="AY692" s="94"/>
      <c r="BA692" s="95"/>
    </row>
    <row r="693" spans="1:53" s="87" customFormat="1" ht="13">
      <c r="A693" s="90" t="str">
        <f t="shared" si="58"/>
        <v/>
      </c>
      <c r="B693" s="98">
        <v>7</v>
      </c>
      <c r="C693" s="94">
        <v>-3</v>
      </c>
      <c r="D693" s="94">
        <v>5</v>
      </c>
      <c r="E693" s="94" t="s">
        <v>210</v>
      </c>
      <c r="F693" s="94">
        <v>4</v>
      </c>
      <c r="G693" s="94">
        <v>-1</v>
      </c>
      <c r="H693" s="94" t="s">
        <v>210</v>
      </c>
      <c r="I693" s="94" t="s">
        <v>210</v>
      </c>
      <c r="J693" s="94">
        <v>-2</v>
      </c>
      <c r="K693" s="94">
        <v>3</v>
      </c>
      <c r="L693" s="94">
        <v>-4</v>
      </c>
      <c r="M693" s="94"/>
      <c r="N693" s="94"/>
      <c r="O693" s="94"/>
      <c r="P693" s="94"/>
      <c r="Q693" s="94"/>
      <c r="R693" s="94"/>
      <c r="S693" s="94"/>
      <c r="T693" s="94"/>
      <c r="U693" s="94"/>
      <c r="V693" s="94"/>
      <c r="W693" s="94"/>
      <c r="X693"/>
      <c r="Y693"/>
      <c r="Z693"/>
      <c r="AA693"/>
      <c r="AB693"/>
      <c r="AC693"/>
      <c r="AD693"/>
      <c r="AE693"/>
      <c r="AF693"/>
      <c r="AG693"/>
      <c r="AH693"/>
      <c r="AI693" s="94"/>
      <c r="AJ693" s="94"/>
      <c r="AK693" s="94"/>
      <c r="AL693" s="94"/>
      <c r="AM693" s="94"/>
      <c r="AN693" s="94"/>
      <c r="AO693" s="94"/>
      <c r="AP693" s="94"/>
      <c r="AQ693" s="94"/>
      <c r="AR693" s="94"/>
      <c r="AS693" s="94"/>
      <c r="AT693" s="94"/>
      <c r="AU693" s="94"/>
      <c r="AV693" s="94"/>
      <c r="AW693" s="94"/>
      <c r="AX693" s="94"/>
      <c r="AY693" s="94"/>
      <c r="BA693" s="95"/>
    </row>
    <row r="694" spans="1:53" s="87" customFormat="1" ht="13">
      <c r="A694" s="90" t="str">
        <f t="shared" si="58"/>
        <v/>
      </c>
      <c r="B694" s="99">
        <v>8</v>
      </c>
      <c r="C694" s="92">
        <v>-4</v>
      </c>
      <c r="D694" s="92">
        <v>3</v>
      </c>
      <c r="E694" s="92" t="s">
        <v>210</v>
      </c>
      <c r="F694" s="92">
        <v>1</v>
      </c>
      <c r="G694" s="92">
        <v>2</v>
      </c>
      <c r="H694" s="92" t="s">
        <v>210</v>
      </c>
      <c r="I694" s="92" t="s">
        <v>210</v>
      </c>
      <c r="J694" s="92">
        <v>-5</v>
      </c>
      <c r="K694" s="92">
        <v>-3</v>
      </c>
      <c r="L694" s="92">
        <v>-1</v>
      </c>
      <c r="M694" s="94"/>
      <c r="N694" s="94"/>
      <c r="O694" s="94"/>
      <c r="P694" s="94"/>
      <c r="Q694" s="94"/>
      <c r="R694" s="94"/>
      <c r="S694" s="94"/>
      <c r="T694" s="94"/>
      <c r="U694" s="94"/>
      <c r="V694" s="94"/>
      <c r="W694" s="94"/>
      <c r="X694"/>
      <c r="Y694"/>
      <c r="Z694"/>
      <c r="AA694"/>
      <c r="AB694"/>
      <c r="AC694"/>
      <c r="AD694"/>
      <c r="AE694"/>
      <c r="AF694"/>
      <c r="AG694"/>
      <c r="AH694"/>
      <c r="AI694" s="94"/>
      <c r="AJ694" s="94"/>
      <c r="AK694" s="94"/>
      <c r="AL694" s="94"/>
      <c r="AM694" s="94"/>
      <c r="AN694" s="94"/>
      <c r="AO694" s="94"/>
      <c r="AP694" s="94"/>
      <c r="AQ694" s="94"/>
      <c r="AR694" s="94"/>
      <c r="AS694" s="94"/>
      <c r="AT694" s="94"/>
      <c r="AU694" s="94"/>
      <c r="AV694" s="94"/>
      <c r="AW694" s="94"/>
      <c r="AX694" s="94"/>
      <c r="AY694" s="94"/>
      <c r="BA694" s="95"/>
    </row>
    <row r="695" spans="1:53" s="87" customFormat="1" ht="13">
      <c r="A695" s="90" t="str">
        <f t="shared" si="58"/>
        <v/>
      </c>
      <c r="B695" s="98">
        <v>9</v>
      </c>
      <c r="C695" s="94" t="s">
        <v>210</v>
      </c>
      <c r="D695" s="94">
        <v>2</v>
      </c>
      <c r="E695" s="94">
        <v>-3</v>
      </c>
      <c r="F695" s="94">
        <v>-5</v>
      </c>
      <c r="G695" s="94" t="s">
        <v>210</v>
      </c>
      <c r="H695" s="94">
        <v>-1</v>
      </c>
      <c r="I695" s="94">
        <v>4</v>
      </c>
      <c r="J695" s="94">
        <v>1</v>
      </c>
      <c r="K695" s="94" t="s">
        <v>210</v>
      </c>
      <c r="L695" s="94" t="s">
        <v>210</v>
      </c>
      <c r="M695" s="94"/>
      <c r="N695" s="94"/>
      <c r="O695" s="94"/>
      <c r="P695" s="94"/>
      <c r="Q695" s="94"/>
      <c r="R695" s="94"/>
      <c r="S695" s="94"/>
      <c r="T695" s="94"/>
      <c r="U695" s="94"/>
      <c r="V695" s="94"/>
      <c r="W695" s="94"/>
      <c r="X695"/>
      <c r="Y695"/>
      <c r="Z695"/>
      <c r="AA695"/>
      <c r="AB695"/>
      <c r="AC695"/>
      <c r="AD695"/>
      <c r="AE695"/>
      <c r="AF695"/>
      <c r="AG695"/>
      <c r="AH695"/>
      <c r="AI695" s="94"/>
      <c r="AJ695" s="94"/>
      <c r="AK695" s="94"/>
      <c r="AL695" s="94"/>
      <c r="AM695" s="94"/>
      <c r="AN695" s="94"/>
      <c r="AO695" s="94"/>
      <c r="AP695" s="94"/>
      <c r="AQ695" s="94"/>
      <c r="AR695" s="94"/>
      <c r="AS695" s="94"/>
      <c r="AT695" s="94"/>
      <c r="AU695" s="94"/>
      <c r="AV695" s="94"/>
      <c r="AW695" s="94"/>
      <c r="AX695" s="94"/>
      <c r="AY695" s="94"/>
      <c r="BA695" s="95"/>
    </row>
    <row r="696" spans="1:53" s="87" customFormat="1" ht="13">
      <c r="A696" s="90" t="str">
        <f t="shared" si="58"/>
        <v/>
      </c>
      <c r="B696" s="98">
        <v>10</v>
      </c>
      <c r="C696" s="94">
        <v>-1</v>
      </c>
      <c r="D696" s="94" t="s">
        <v>210</v>
      </c>
      <c r="E696" s="94">
        <v>3</v>
      </c>
      <c r="F696" s="94" t="s">
        <v>210</v>
      </c>
      <c r="G696" s="94">
        <v>-4</v>
      </c>
      <c r="H696" s="94">
        <v>2</v>
      </c>
      <c r="I696" s="94">
        <v>-3</v>
      </c>
      <c r="J696" s="94" t="s">
        <v>210</v>
      </c>
      <c r="K696" s="94">
        <v>5</v>
      </c>
      <c r="L696" s="94" t="s">
        <v>210</v>
      </c>
      <c r="M696" s="94"/>
      <c r="N696" s="94"/>
      <c r="O696" s="94"/>
      <c r="P696" s="94"/>
      <c r="Q696" s="94"/>
      <c r="R696" s="94"/>
      <c r="S696" s="94"/>
      <c r="T696" s="94"/>
      <c r="U696" s="94"/>
      <c r="V696" s="94"/>
      <c r="W696" s="94"/>
      <c r="X696"/>
      <c r="Y696"/>
      <c r="Z696"/>
      <c r="AA696"/>
      <c r="AB696"/>
      <c r="AC696"/>
      <c r="AD696"/>
      <c r="AE696"/>
      <c r="AF696"/>
      <c r="AG696"/>
      <c r="AH696"/>
      <c r="AI696" s="94"/>
      <c r="AJ696" s="94"/>
      <c r="AK696" s="94"/>
      <c r="AL696" s="94"/>
      <c r="AM696" s="94"/>
      <c r="AN696" s="94"/>
      <c r="AO696" s="94"/>
      <c r="AP696" s="94"/>
      <c r="AQ696" s="94"/>
      <c r="AR696" s="94"/>
      <c r="AS696" s="94"/>
      <c r="AT696" s="94"/>
      <c r="AU696" s="94"/>
      <c r="AV696" s="94"/>
      <c r="AW696" s="94"/>
      <c r="AX696" s="94"/>
      <c r="AY696" s="94"/>
      <c r="BA696" s="95"/>
    </row>
    <row r="697" spans="1:53" s="87" customFormat="1" ht="13">
      <c r="A697" s="90" t="str">
        <f t="shared" si="58"/>
        <v/>
      </c>
      <c r="B697" s="98">
        <v>11</v>
      </c>
      <c r="C697" s="94">
        <v>2</v>
      </c>
      <c r="D697" s="94" t="s">
        <v>210</v>
      </c>
      <c r="E697" s="94">
        <v>-4</v>
      </c>
      <c r="F697" s="94" t="s">
        <v>210</v>
      </c>
      <c r="G697" s="94">
        <v>-5</v>
      </c>
      <c r="H697" s="94">
        <v>1</v>
      </c>
      <c r="I697" s="94">
        <v>3</v>
      </c>
      <c r="J697" s="94" t="s">
        <v>210</v>
      </c>
      <c r="K697" s="94">
        <v>-2</v>
      </c>
      <c r="L697" s="94" t="s">
        <v>210</v>
      </c>
      <c r="M697" s="94"/>
      <c r="N697" s="94"/>
      <c r="O697" s="94"/>
      <c r="P697" s="94"/>
      <c r="Q697" s="94"/>
      <c r="R697" s="94"/>
      <c r="S697" s="94"/>
      <c r="T697" s="94"/>
      <c r="U697" s="94"/>
      <c r="V697" s="94"/>
      <c r="W697" s="94"/>
      <c r="X697"/>
      <c r="Y697"/>
      <c r="Z697"/>
      <c r="AA697"/>
      <c r="AB697"/>
      <c r="AC697"/>
      <c r="AD697"/>
      <c r="AE697"/>
      <c r="AF697"/>
      <c r="AG697"/>
      <c r="AH697"/>
      <c r="AI697" s="94"/>
      <c r="AJ697" s="94"/>
      <c r="AK697" s="94"/>
      <c r="AL697" s="94"/>
      <c r="AM697" s="94"/>
      <c r="AN697" s="94"/>
      <c r="AO697" s="94"/>
      <c r="AP697" s="94"/>
      <c r="AQ697" s="94"/>
      <c r="AR697" s="94"/>
      <c r="AS697" s="94"/>
      <c r="AT697" s="94"/>
      <c r="AU697" s="94"/>
      <c r="AV697" s="94"/>
      <c r="AW697" s="94"/>
      <c r="AX697" s="94"/>
      <c r="AY697" s="94"/>
      <c r="BA697" s="95"/>
    </row>
    <row r="698" spans="1:53" s="87" customFormat="1" ht="13">
      <c r="A698" s="90" t="str">
        <f t="shared" si="58"/>
        <v/>
      </c>
      <c r="B698" s="98">
        <v>12</v>
      </c>
      <c r="C698" s="94">
        <v>5</v>
      </c>
      <c r="D698" s="94" t="s">
        <v>210</v>
      </c>
      <c r="E698" s="94">
        <v>4</v>
      </c>
      <c r="F698" s="94" t="s">
        <v>210</v>
      </c>
      <c r="G698" s="94">
        <v>-3</v>
      </c>
      <c r="H698" s="94">
        <v>-2</v>
      </c>
      <c r="I698" s="94">
        <v>-4</v>
      </c>
      <c r="J698" s="94" t="s">
        <v>210</v>
      </c>
      <c r="K698" s="94">
        <v>1</v>
      </c>
      <c r="L698" s="94" t="s">
        <v>210</v>
      </c>
      <c r="M698" s="94"/>
      <c r="N698" s="94"/>
      <c r="O698" s="94"/>
      <c r="P698" s="94"/>
      <c r="Q698" s="94"/>
      <c r="R698" s="94"/>
      <c r="S698" s="94"/>
      <c r="T698" s="94"/>
      <c r="U698" s="94"/>
      <c r="V698" s="94"/>
      <c r="W698" s="94"/>
      <c r="X698"/>
      <c r="Y698"/>
      <c r="Z698"/>
      <c r="AA698"/>
      <c r="AB698"/>
      <c r="AC698"/>
      <c r="AD698"/>
      <c r="AE698"/>
      <c r="AF698"/>
      <c r="AG698"/>
      <c r="AH698"/>
      <c r="AI698" s="94"/>
      <c r="AJ698" s="94"/>
      <c r="AK698" s="94"/>
      <c r="AL698" s="94"/>
      <c r="AM698" s="94"/>
      <c r="AN698" s="94"/>
      <c r="AO698" s="94"/>
      <c r="AP698" s="94"/>
      <c r="AQ698" s="94"/>
      <c r="AR698" s="94"/>
      <c r="AS698" s="94"/>
      <c r="AT698" s="94"/>
      <c r="AU698" s="94"/>
      <c r="AV698" s="94"/>
      <c r="AW698" s="94"/>
      <c r="AX698" s="94"/>
      <c r="AY698" s="94"/>
      <c r="BA698" s="95"/>
    </row>
    <row r="699" spans="1:53" s="87" customFormat="1" ht="13">
      <c r="A699" s="90" t="str">
        <f t="shared" si="58"/>
        <v/>
      </c>
      <c r="B699" s="98">
        <v>13</v>
      </c>
      <c r="C699" s="94">
        <v>1</v>
      </c>
      <c r="D699" s="94">
        <v>-2</v>
      </c>
      <c r="E699" s="94" t="s">
        <v>210</v>
      </c>
      <c r="F699" s="94">
        <v>3</v>
      </c>
      <c r="G699" s="94">
        <v>5</v>
      </c>
      <c r="H699" s="94" t="s">
        <v>210</v>
      </c>
      <c r="I699" s="94" t="s">
        <v>210</v>
      </c>
      <c r="J699" s="94">
        <v>-4</v>
      </c>
      <c r="K699" s="94">
        <v>-1</v>
      </c>
      <c r="L699" s="94" t="s">
        <v>210</v>
      </c>
      <c r="M699" s="94"/>
      <c r="N699" s="94"/>
      <c r="O699" s="94"/>
      <c r="P699" s="94"/>
      <c r="Q699" s="94"/>
      <c r="R699" s="94"/>
      <c r="S699" s="94"/>
      <c r="T699" s="94"/>
      <c r="U699" s="94"/>
      <c r="V699" s="94"/>
      <c r="W699" s="94"/>
      <c r="X699"/>
      <c r="Y699"/>
      <c r="Z699"/>
      <c r="AA699"/>
      <c r="AB699"/>
      <c r="AC699"/>
      <c r="AD699"/>
      <c r="AE699"/>
      <c r="AF699"/>
      <c r="AG699"/>
      <c r="AH699"/>
      <c r="AI699" s="94"/>
      <c r="AJ699" s="94"/>
      <c r="AK699" s="94"/>
      <c r="AL699" s="94"/>
      <c r="AM699" s="94"/>
      <c r="AN699" s="94"/>
      <c r="AO699" s="94"/>
      <c r="AP699" s="94"/>
      <c r="AQ699" s="94"/>
      <c r="AR699" s="94"/>
      <c r="AS699" s="94"/>
      <c r="AT699" s="94"/>
      <c r="AU699" s="94"/>
      <c r="AV699" s="94"/>
      <c r="AW699" s="94"/>
      <c r="AX699" s="94"/>
      <c r="AY699" s="94"/>
      <c r="BA699" s="95"/>
    </row>
    <row r="700" spans="1:53" s="87" customFormat="1" ht="13">
      <c r="A700" s="90" t="str">
        <f t="shared" si="58"/>
        <v/>
      </c>
      <c r="B700" s="98">
        <v>14</v>
      </c>
      <c r="C700" s="94">
        <v>-2</v>
      </c>
      <c r="D700" s="94">
        <v>-1</v>
      </c>
      <c r="E700" s="94" t="s">
        <v>210</v>
      </c>
      <c r="F700" s="94">
        <v>5</v>
      </c>
      <c r="G700" s="94">
        <v>3</v>
      </c>
      <c r="H700" s="94" t="s">
        <v>210</v>
      </c>
      <c r="I700" s="94" t="s">
        <v>210</v>
      </c>
      <c r="J700" s="94">
        <v>4</v>
      </c>
      <c r="K700" s="94">
        <v>-5</v>
      </c>
      <c r="L700" s="94" t="s">
        <v>210</v>
      </c>
      <c r="M700" s="94"/>
      <c r="N700" s="94"/>
      <c r="O700" s="94"/>
      <c r="P700" s="94"/>
      <c r="Q700" s="94"/>
      <c r="R700" s="94"/>
      <c r="S700" s="94"/>
      <c r="T700" s="94"/>
      <c r="U700" s="94"/>
      <c r="V700" s="94"/>
      <c r="W700" s="94"/>
      <c r="X700"/>
      <c r="Y700"/>
      <c r="Z700"/>
      <c r="AA700"/>
      <c r="AB700"/>
      <c r="AC700"/>
      <c r="AD700"/>
      <c r="AE700"/>
      <c r="AF700"/>
      <c r="AG700"/>
      <c r="AH700"/>
      <c r="AI700" s="94"/>
      <c r="AJ700" s="94"/>
      <c r="AK700" s="94"/>
      <c r="AL700" s="94"/>
      <c r="AM700" s="94"/>
      <c r="AN700" s="94"/>
      <c r="AO700" s="94"/>
      <c r="AP700" s="94"/>
      <c r="AQ700" s="94"/>
      <c r="AR700" s="94"/>
      <c r="AS700" s="94"/>
      <c r="AT700" s="94"/>
      <c r="AU700" s="94"/>
      <c r="AV700" s="94"/>
      <c r="AW700" s="94"/>
      <c r="AX700" s="94"/>
      <c r="AY700" s="94"/>
      <c r="BA700" s="95"/>
    </row>
    <row r="701" spans="1:53" s="87" customFormat="1" ht="13">
      <c r="A701" s="90" t="str">
        <f t="shared" si="58"/>
        <v/>
      </c>
      <c r="B701" s="277">
        <v>15</v>
      </c>
      <c r="C701" s="94">
        <v>-5</v>
      </c>
      <c r="D701" s="94">
        <v>1</v>
      </c>
      <c r="E701" s="94" t="s">
        <v>210</v>
      </c>
      <c r="F701" s="94">
        <v>-3</v>
      </c>
      <c r="G701" s="94">
        <v>4</v>
      </c>
      <c r="H701" s="94" t="s">
        <v>210</v>
      </c>
      <c r="I701" s="94" t="s">
        <v>210</v>
      </c>
      <c r="J701" s="94">
        <v>-1</v>
      </c>
      <c r="K701" s="94">
        <v>2</v>
      </c>
      <c r="L701" s="94" t="s">
        <v>210</v>
      </c>
      <c r="M701" s="94"/>
      <c r="N701" s="94"/>
      <c r="O701" s="94"/>
      <c r="P701" s="94"/>
      <c r="Q701" s="94"/>
      <c r="R701" s="94"/>
      <c r="S701" s="94"/>
      <c r="T701" s="94"/>
      <c r="U701" s="94"/>
      <c r="V701" s="94"/>
      <c r="W701" s="94"/>
      <c r="X701"/>
      <c r="Y701"/>
      <c r="Z701"/>
      <c r="AA701"/>
      <c r="AB701"/>
      <c r="AC701"/>
      <c r="AD701"/>
      <c r="AE701"/>
      <c r="AF701"/>
      <c r="AG701"/>
      <c r="AH701"/>
      <c r="AI701" s="94"/>
      <c r="AJ701" s="94"/>
      <c r="AK701" s="94"/>
      <c r="AL701" s="94"/>
      <c r="AM701" s="94"/>
      <c r="AN701" s="94"/>
      <c r="AO701" s="94"/>
      <c r="AP701" s="94"/>
      <c r="AQ701" s="94"/>
      <c r="AR701" s="94"/>
      <c r="AS701" s="94"/>
      <c r="AT701" s="94"/>
      <c r="AU701" s="94"/>
      <c r="AV701" s="94"/>
      <c r="AW701" s="94"/>
      <c r="AX701" s="94"/>
      <c r="AY701" s="94"/>
      <c r="BA701" s="95"/>
    </row>
    <row r="702" spans="1:53" s="87" customFormat="1" ht="13">
      <c r="A702" s="90" t="str">
        <f t="shared" si="58"/>
        <v/>
      </c>
      <c r="B702" s="277" t="s">
        <v>838</v>
      </c>
      <c r="C702" s="94"/>
      <c r="D702" s="94"/>
      <c r="E702" s="94"/>
      <c r="F702" s="94"/>
      <c r="G702" s="94"/>
      <c r="H702" s="94"/>
      <c r="I702" s="94"/>
      <c r="J702" s="94"/>
      <c r="K702" s="94"/>
      <c r="L702" s="94"/>
      <c r="M702" s="94"/>
      <c r="N702" s="94"/>
      <c r="O702" s="94"/>
      <c r="P702" s="94"/>
      <c r="Q702" s="94"/>
      <c r="R702" s="94"/>
      <c r="S702" s="94"/>
      <c r="T702" s="94"/>
      <c r="U702" s="94"/>
      <c r="V702" s="94"/>
      <c r="W702" s="94"/>
      <c r="X702"/>
      <c r="Y702"/>
      <c r="Z702"/>
      <c r="AA702"/>
      <c r="AB702"/>
      <c r="AC702"/>
      <c r="AD702"/>
      <c r="AE702"/>
      <c r="AF702"/>
      <c r="AG702"/>
      <c r="AH702"/>
      <c r="AI702" s="94"/>
      <c r="AJ702" s="94"/>
      <c r="AK702" s="94"/>
      <c r="AL702" s="94"/>
      <c r="AM702" s="94"/>
      <c r="AN702" s="94"/>
      <c r="AO702" s="94"/>
      <c r="AP702" s="94"/>
      <c r="AQ702" s="94"/>
      <c r="AR702" s="94"/>
      <c r="AS702" s="94"/>
      <c r="AT702" s="94"/>
      <c r="AU702" s="94"/>
      <c r="AV702" s="94"/>
      <c r="AW702" s="94"/>
      <c r="AX702" s="94"/>
      <c r="AY702" s="94"/>
      <c r="BA702" s="95"/>
    </row>
    <row r="703" spans="1:53" s="87" customFormat="1">
      <c r="A703" s="90">
        <f t="shared" si="58"/>
        <v>703</v>
      </c>
      <c r="B703" s="317" t="s">
        <v>1205</v>
      </c>
      <c r="C703" s="94"/>
      <c r="D703" s="94"/>
      <c r="E703" s="94"/>
      <c r="F703" s="94"/>
      <c r="G703" s="94"/>
      <c r="H703" s="94"/>
      <c r="I703" s="94"/>
      <c r="J703" s="94"/>
      <c r="K703" s="94"/>
      <c r="L703" s="94"/>
      <c r="M703" s="94"/>
      <c r="N703" s="94"/>
      <c r="O703" s="94"/>
      <c r="P703" s="94"/>
      <c r="Q703" s="94"/>
      <c r="R703" s="94"/>
      <c r="S703" s="94"/>
      <c r="T703" s="94"/>
      <c r="U703" s="94"/>
      <c r="V703" s="94"/>
      <c r="W703" s="94"/>
      <c r="X703" s="94"/>
      <c r="Y703" s="94"/>
      <c r="Z703" s="94"/>
      <c r="AA703" s="94"/>
      <c r="AB703" s="94"/>
      <c r="AC703" s="94"/>
      <c r="AD703" s="94"/>
      <c r="AE703" s="94"/>
      <c r="AF703" s="94"/>
      <c r="AG703" s="94"/>
      <c r="AH703" s="94"/>
      <c r="AI703" s="94"/>
      <c r="AJ703" s="94"/>
      <c r="AK703" s="94"/>
      <c r="AL703" s="94"/>
      <c r="AM703" s="94"/>
      <c r="AN703" s="94"/>
      <c r="AO703" s="94"/>
      <c r="AP703" s="94"/>
      <c r="AQ703" s="94"/>
      <c r="AR703" s="94"/>
      <c r="AS703" s="94"/>
      <c r="AT703" s="94"/>
      <c r="AU703" s="94"/>
      <c r="AV703" s="94"/>
      <c r="AW703" s="94"/>
      <c r="AX703" s="94"/>
      <c r="AY703" s="94"/>
      <c r="BA703" s="95"/>
    </row>
    <row r="704" spans="1:53" s="87" customFormat="1">
      <c r="A704" s="90" t="str">
        <f t="shared" si="58"/>
        <v/>
      </c>
      <c r="B704" s="98">
        <v>1</v>
      </c>
      <c r="C704" s="94">
        <v>-3</v>
      </c>
      <c r="D704" s="94">
        <v>5</v>
      </c>
      <c r="E704" s="94" t="s">
        <v>210</v>
      </c>
      <c r="F704" s="94">
        <v>2</v>
      </c>
      <c r="G704" s="94" t="s">
        <v>210</v>
      </c>
      <c r="H704" s="94">
        <v>-1</v>
      </c>
      <c r="I704" s="94" t="s">
        <v>210</v>
      </c>
      <c r="J704" s="94">
        <v>3</v>
      </c>
      <c r="K704" s="94">
        <v>-5</v>
      </c>
      <c r="L704" s="94" t="s">
        <v>210</v>
      </c>
      <c r="M704" s="94">
        <v>-4</v>
      </c>
      <c r="N704" s="94" t="s">
        <v>210</v>
      </c>
      <c r="O704" s="94" t="s">
        <v>210</v>
      </c>
      <c r="P704" s="94">
        <v>1</v>
      </c>
      <c r="Q704" s="94" t="s">
        <v>210</v>
      </c>
      <c r="R704" s="94"/>
      <c r="S704" s="94"/>
      <c r="T704" s="94"/>
      <c r="U704" s="94"/>
      <c r="V704" s="94"/>
      <c r="W704" s="94"/>
      <c r="X704" s="94"/>
      <c r="Y704" s="94"/>
      <c r="Z704" s="94"/>
      <c r="AA704" s="94"/>
      <c r="AB704" s="94"/>
      <c r="AC704" s="94"/>
      <c r="AD704" s="94"/>
      <c r="AE704" s="94"/>
      <c r="AF704" s="94"/>
      <c r="AG704" s="94"/>
      <c r="AH704" s="94"/>
      <c r="AI704" s="94"/>
      <c r="AJ704" s="94"/>
      <c r="AK704" s="94"/>
      <c r="AL704" s="94"/>
      <c r="AM704" s="94"/>
      <c r="AN704" s="94"/>
      <c r="AO704" s="94"/>
      <c r="AP704" s="94"/>
      <c r="AQ704" s="94"/>
      <c r="AR704" s="94"/>
      <c r="AS704" s="94"/>
      <c r="AT704" s="94"/>
      <c r="AU704" s="94"/>
      <c r="AV704" s="94"/>
      <c r="AW704" s="94"/>
      <c r="AX704" s="94"/>
      <c r="AY704" s="94"/>
      <c r="BA704" s="95"/>
    </row>
    <row r="705" spans="1:53" s="87" customFormat="1">
      <c r="A705" s="90" t="str">
        <f t="shared" si="58"/>
        <v/>
      </c>
      <c r="B705" s="98">
        <v>2</v>
      </c>
      <c r="C705" s="94">
        <v>1</v>
      </c>
      <c r="D705" s="94" t="s">
        <v>210</v>
      </c>
      <c r="E705" s="94">
        <v>3</v>
      </c>
      <c r="F705" s="94">
        <v>-4</v>
      </c>
      <c r="G705" s="94" t="s">
        <v>210</v>
      </c>
      <c r="H705" s="94">
        <v>-5</v>
      </c>
      <c r="I705" s="94" t="s">
        <v>210</v>
      </c>
      <c r="J705" s="94">
        <v>-3</v>
      </c>
      <c r="K705" s="94" t="s">
        <v>210</v>
      </c>
      <c r="L705" s="94" t="s">
        <v>210</v>
      </c>
      <c r="M705" s="94">
        <v>2</v>
      </c>
      <c r="N705" s="94" t="s">
        <v>210</v>
      </c>
      <c r="O705" s="94">
        <v>4</v>
      </c>
      <c r="P705" s="94" t="s">
        <v>210</v>
      </c>
      <c r="Q705" s="94">
        <v>-2</v>
      </c>
      <c r="R705" s="94"/>
      <c r="S705" s="94"/>
      <c r="T705" s="94"/>
      <c r="U705" s="94"/>
      <c r="V705" s="94"/>
      <c r="W705" s="94"/>
      <c r="X705" s="94"/>
      <c r="Y705" s="94"/>
      <c r="Z705" s="94"/>
      <c r="AA705" s="94"/>
      <c r="AB705" s="94"/>
      <c r="AC705" s="94"/>
      <c r="AD705" s="94"/>
      <c r="AE705" s="94"/>
      <c r="AF705" s="94"/>
      <c r="AG705" s="94"/>
      <c r="AH705" s="94"/>
      <c r="AI705" s="94"/>
      <c r="AJ705" s="94"/>
      <c r="AK705" s="94"/>
      <c r="AL705" s="94"/>
      <c r="AM705" s="94"/>
      <c r="AN705" s="94"/>
      <c r="AO705" s="94"/>
      <c r="AP705" s="94"/>
      <c r="AQ705" s="94"/>
      <c r="AR705" s="94"/>
      <c r="AS705" s="94"/>
      <c r="AT705" s="94"/>
      <c r="AU705" s="94"/>
      <c r="AV705" s="94"/>
      <c r="AW705" s="94"/>
      <c r="AX705" s="94"/>
      <c r="AY705" s="94"/>
      <c r="BA705" s="95"/>
    </row>
    <row r="706" spans="1:53" s="87" customFormat="1">
      <c r="A706" s="90" t="str">
        <f t="shared" si="58"/>
        <v/>
      </c>
      <c r="B706" s="98">
        <v>3</v>
      </c>
      <c r="C706" s="94">
        <v>-2</v>
      </c>
      <c r="D706" s="94" t="s">
        <v>210</v>
      </c>
      <c r="E706" s="94">
        <v>4</v>
      </c>
      <c r="F706" s="94" t="s">
        <v>210</v>
      </c>
      <c r="G706" s="94">
        <v>3</v>
      </c>
      <c r="H706" s="94">
        <v>1</v>
      </c>
      <c r="I706" s="94" t="s">
        <v>210</v>
      </c>
      <c r="J706" s="94">
        <v>5</v>
      </c>
      <c r="K706" s="94" t="s">
        <v>210</v>
      </c>
      <c r="L706" s="94" t="s">
        <v>210</v>
      </c>
      <c r="M706" s="94">
        <v>-3</v>
      </c>
      <c r="N706" s="94" t="s">
        <v>210</v>
      </c>
      <c r="O706" s="94">
        <v>-4</v>
      </c>
      <c r="P706" s="94" t="s">
        <v>210</v>
      </c>
      <c r="Q706" s="94">
        <v>-1</v>
      </c>
      <c r="R706" s="94"/>
      <c r="S706" s="94"/>
      <c r="T706" s="94"/>
      <c r="U706" s="94"/>
      <c r="V706" s="94"/>
      <c r="W706" s="94"/>
      <c r="X706" s="94"/>
      <c r="Y706" s="94"/>
      <c r="Z706" s="94"/>
      <c r="AA706" s="94"/>
      <c r="AB706" s="94"/>
      <c r="AC706" s="94"/>
      <c r="AD706" s="94"/>
      <c r="AE706" s="94"/>
      <c r="AF706" s="94"/>
      <c r="AG706" s="94"/>
      <c r="AH706" s="94"/>
      <c r="AI706" s="94"/>
      <c r="AJ706" s="94"/>
      <c r="AK706" s="94"/>
      <c r="AL706" s="94"/>
      <c r="AM706" s="94"/>
      <c r="AN706" s="94"/>
      <c r="AO706" s="94"/>
      <c r="AP706" s="94"/>
      <c r="AQ706" s="94"/>
      <c r="AR706" s="94"/>
      <c r="AS706" s="94"/>
      <c r="AT706" s="94"/>
      <c r="AU706" s="94"/>
      <c r="AV706" s="94"/>
      <c r="AW706" s="94"/>
      <c r="AX706" s="94"/>
      <c r="AY706" s="94"/>
      <c r="BA706" s="95"/>
    </row>
    <row r="707" spans="1:53" s="87" customFormat="1">
      <c r="A707" s="90" t="str">
        <f t="shared" si="58"/>
        <v/>
      </c>
      <c r="B707" s="98">
        <v>4</v>
      </c>
      <c r="C707" s="94">
        <v>3</v>
      </c>
      <c r="D707" s="94" t="s">
        <v>210</v>
      </c>
      <c r="E707" s="94">
        <v>1</v>
      </c>
      <c r="F707" s="94" t="s">
        <v>210</v>
      </c>
      <c r="G707" s="94">
        <v>2</v>
      </c>
      <c r="H707" s="94" t="s">
        <v>210</v>
      </c>
      <c r="I707" s="94">
        <v>-4</v>
      </c>
      <c r="J707" s="94">
        <v>-5</v>
      </c>
      <c r="K707" s="94" t="s">
        <v>210</v>
      </c>
      <c r="L707" s="94" t="s">
        <v>210</v>
      </c>
      <c r="M707" s="94">
        <v>-2</v>
      </c>
      <c r="N707" s="94" t="s">
        <v>210</v>
      </c>
      <c r="O707" s="94" t="s">
        <v>210</v>
      </c>
      <c r="P707" s="94">
        <v>-3</v>
      </c>
      <c r="Q707" s="94">
        <v>4</v>
      </c>
      <c r="R707" s="94"/>
      <c r="S707" s="94"/>
      <c r="T707" s="94"/>
      <c r="U707" s="94"/>
      <c r="V707" s="94"/>
      <c r="W707" s="94"/>
      <c r="X707" s="94"/>
      <c r="Y707" s="94"/>
      <c r="Z707" s="94"/>
      <c r="AA707" s="94"/>
      <c r="AB707" s="94"/>
      <c r="AC707" s="94"/>
      <c r="AD707" s="94"/>
      <c r="AE707" s="94"/>
      <c r="AF707" s="94"/>
      <c r="AG707" s="94"/>
      <c r="AH707" s="94"/>
      <c r="AI707" s="94"/>
      <c r="AJ707" s="94"/>
      <c r="AK707" s="94"/>
      <c r="AL707" s="94"/>
      <c r="AM707" s="94"/>
      <c r="AN707" s="94"/>
      <c r="AO707" s="94"/>
      <c r="AP707" s="94"/>
      <c r="AQ707" s="94"/>
      <c r="AR707" s="94"/>
      <c r="AS707" s="94"/>
      <c r="AT707" s="94"/>
      <c r="AU707" s="94"/>
      <c r="AV707" s="94"/>
      <c r="AW707" s="94"/>
      <c r="AX707" s="94"/>
      <c r="AY707" s="94"/>
      <c r="BA707" s="95"/>
    </row>
    <row r="708" spans="1:53" s="87" customFormat="1">
      <c r="A708" s="90" t="str">
        <f t="shared" si="58"/>
        <v/>
      </c>
      <c r="B708" s="98">
        <v>5</v>
      </c>
      <c r="C708" s="94">
        <v>-1</v>
      </c>
      <c r="D708" s="94" t="s">
        <v>210</v>
      </c>
      <c r="E708" s="94">
        <v>-4</v>
      </c>
      <c r="F708" s="94" t="s">
        <v>210</v>
      </c>
      <c r="G708" s="94">
        <v>-5</v>
      </c>
      <c r="H708" s="94" t="s">
        <v>210</v>
      </c>
      <c r="I708" s="94">
        <v>2</v>
      </c>
      <c r="J708" s="94" t="s">
        <v>210</v>
      </c>
      <c r="K708" s="94">
        <v>1</v>
      </c>
      <c r="L708" s="94" t="s">
        <v>210</v>
      </c>
      <c r="M708" s="94">
        <v>4</v>
      </c>
      <c r="N708" s="94">
        <v>-2</v>
      </c>
      <c r="O708" s="94" t="s">
        <v>210</v>
      </c>
      <c r="P708" s="94">
        <v>3</v>
      </c>
      <c r="Q708" s="94" t="s">
        <v>210</v>
      </c>
      <c r="R708" s="94"/>
      <c r="S708" s="94"/>
      <c r="T708" s="94"/>
      <c r="U708" s="94"/>
      <c r="V708" s="94"/>
      <c r="W708" s="94"/>
      <c r="X708" s="94"/>
      <c r="Y708" s="94"/>
      <c r="Z708" s="94"/>
      <c r="AA708" s="94"/>
      <c r="AB708" s="94"/>
      <c r="AC708" s="94"/>
      <c r="AD708" s="94"/>
      <c r="AE708" s="94"/>
      <c r="AF708" s="94"/>
      <c r="AG708" s="94"/>
      <c r="AH708" s="94"/>
      <c r="AI708" s="94"/>
      <c r="AJ708" s="94"/>
      <c r="AK708" s="94"/>
      <c r="AL708" s="94"/>
      <c r="AM708" s="94"/>
      <c r="AN708" s="94"/>
      <c r="AO708" s="94"/>
      <c r="AP708" s="94"/>
      <c r="AQ708" s="94"/>
      <c r="AR708" s="94"/>
      <c r="AS708" s="94"/>
      <c r="AT708" s="94"/>
      <c r="AU708" s="94"/>
      <c r="AV708" s="94"/>
      <c r="AW708" s="94"/>
      <c r="AX708" s="94"/>
      <c r="AY708" s="94"/>
      <c r="BA708" s="95"/>
    </row>
    <row r="709" spans="1:53" s="87" customFormat="1">
      <c r="A709" s="90" t="str">
        <f t="shared" si="58"/>
        <v/>
      </c>
      <c r="B709" s="98">
        <v>6</v>
      </c>
      <c r="C709" s="94">
        <v>2</v>
      </c>
      <c r="D709" s="94" t="s">
        <v>210</v>
      </c>
      <c r="E709" s="94">
        <v>-3</v>
      </c>
      <c r="F709" s="94" t="s">
        <v>210</v>
      </c>
      <c r="G709" s="94">
        <v>5</v>
      </c>
      <c r="H709" s="94" t="s">
        <v>210</v>
      </c>
      <c r="I709" s="94">
        <v>4</v>
      </c>
      <c r="J709" s="94" t="s">
        <v>210</v>
      </c>
      <c r="K709" s="94">
        <v>3</v>
      </c>
      <c r="L709" s="94">
        <v>-2</v>
      </c>
      <c r="M709" s="94" t="s">
        <v>210</v>
      </c>
      <c r="N709" s="94">
        <v>-4</v>
      </c>
      <c r="O709" s="94" t="s">
        <v>210</v>
      </c>
      <c r="P709" s="94">
        <v>-1</v>
      </c>
      <c r="Q709" s="94" t="s">
        <v>210</v>
      </c>
      <c r="R709" s="94"/>
      <c r="S709" s="94"/>
      <c r="T709" s="94"/>
      <c r="U709" s="94"/>
      <c r="V709" s="94"/>
      <c r="W709" s="94"/>
      <c r="X709" s="94"/>
      <c r="Y709" s="94"/>
      <c r="Z709" s="94"/>
      <c r="AA709" s="94"/>
      <c r="AB709" s="94"/>
      <c r="AC709" s="94"/>
      <c r="AD709" s="94"/>
      <c r="AE709" s="94"/>
      <c r="AF709" s="94"/>
      <c r="AG709" s="94"/>
      <c r="AH709" s="94"/>
      <c r="AI709" s="94"/>
      <c r="AJ709" s="94"/>
      <c r="AK709" s="94"/>
      <c r="AL709" s="94"/>
      <c r="AM709" s="94"/>
      <c r="AN709" s="94"/>
      <c r="AO709" s="94"/>
      <c r="AP709" s="94"/>
      <c r="AQ709" s="94"/>
      <c r="AR709" s="94"/>
      <c r="AS709" s="94"/>
      <c r="AT709" s="94"/>
      <c r="AU709" s="94"/>
      <c r="AV709" s="94"/>
      <c r="AW709" s="94"/>
      <c r="AX709" s="94"/>
      <c r="AY709" s="94"/>
      <c r="BA709" s="95"/>
    </row>
    <row r="710" spans="1:53" s="87" customFormat="1">
      <c r="A710" s="90" t="str">
        <f t="shared" si="58"/>
        <v/>
      </c>
      <c r="B710" s="98">
        <v>7</v>
      </c>
      <c r="C710" s="94" t="s">
        <v>210</v>
      </c>
      <c r="D710" s="94">
        <v>-4</v>
      </c>
      <c r="E710" s="94">
        <v>-1</v>
      </c>
      <c r="F710" s="94" t="s">
        <v>210</v>
      </c>
      <c r="G710" s="94">
        <v>-3</v>
      </c>
      <c r="H710" s="94" t="s">
        <v>210</v>
      </c>
      <c r="I710" s="94">
        <v>-2</v>
      </c>
      <c r="J710" s="94" t="s">
        <v>210</v>
      </c>
      <c r="K710" s="94">
        <v>5</v>
      </c>
      <c r="L710" s="94">
        <v>1</v>
      </c>
      <c r="M710" s="94" t="s">
        <v>210</v>
      </c>
      <c r="N710" s="94">
        <v>4</v>
      </c>
      <c r="O710" s="94" t="s">
        <v>210</v>
      </c>
      <c r="P710" s="94" t="s">
        <v>210</v>
      </c>
      <c r="Q710" s="94">
        <v>2</v>
      </c>
      <c r="R710" s="94"/>
      <c r="S710" s="94"/>
      <c r="T710" s="94"/>
      <c r="U710" s="94"/>
      <c r="V710" s="94"/>
      <c r="W710" s="94"/>
      <c r="X710" s="94"/>
      <c r="Y710" s="94"/>
      <c r="Z710" s="94"/>
      <c r="AA710" s="94"/>
      <c r="AB710" s="94"/>
      <c r="AC710" s="94"/>
      <c r="AD710" s="94"/>
      <c r="AE710" s="94"/>
      <c r="AF710" s="94"/>
      <c r="AG710" s="94"/>
      <c r="AH710" s="94"/>
      <c r="AI710" s="94"/>
      <c r="AJ710" s="94"/>
      <c r="AK710" s="94"/>
      <c r="AL710" s="94"/>
      <c r="AM710" s="94"/>
      <c r="AN710" s="94"/>
      <c r="AO710" s="94"/>
      <c r="AP710" s="94"/>
      <c r="AQ710" s="94"/>
      <c r="AR710" s="94"/>
      <c r="AS710" s="94"/>
      <c r="AT710" s="94"/>
      <c r="AU710" s="94"/>
      <c r="AV710" s="94"/>
      <c r="AW710" s="94"/>
      <c r="AX710" s="94"/>
      <c r="AY710" s="94"/>
      <c r="BA710" s="95"/>
    </row>
    <row r="711" spans="1:53" s="87" customFormat="1">
      <c r="A711" s="90" t="str">
        <f t="shared" si="58"/>
        <v/>
      </c>
      <c r="B711" s="98">
        <v>8</v>
      </c>
      <c r="C711" s="94" t="s">
        <v>210</v>
      </c>
      <c r="D711" s="94">
        <v>-5</v>
      </c>
      <c r="E711" s="94" t="s">
        <v>210</v>
      </c>
      <c r="F711" s="94">
        <v>4</v>
      </c>
      <c r="G711" s="94">
        <v>-2</v>
      </c>
      <c r="H711" s="94" t="s">
        <v>210</v>
      </c>
      <c r="I711" s="94" t="s">
        <v>210</v>
      </c>
      <c r="J711" s="94" t="s">
        <v>210</v>
      </c>
      <c r="K711" s="94">
        <v>-3</v>
      </c>
      <c r="L711" s="94">
        <v>-1</v>
      </c>
      <c r="M711" s="94" t="s">
        <v>210</v>
      </c>
      <c r="N711" s="94">
        <v>2</v>
      </c>
      <c r="O711" s="94">
        <v>5</v>
      </c>
      <c r="P711" s="94" t="s">
        <v>210</v>
      </c>
      <c r="Q711" s="94">
        <v>1</v>
      </c>
      <c r="R711" s="94"/>
      <c r="S711" s="94"/>
      <c r="T711" s="94"/>
      <c r="U711" s="94"/>
      <c r="V711" s="94"/>
      <c r="W711" s="94"/>
      <c r="X711" s="94"/>
      <c r="Y711" s="94"/>
      <c r="Z711" s="94"/>
      <c r="AA711" s="94"/>
      <c r="AB711" s="94"/>
      <c r="AC711" s="94"/>
      <c r="AD711" s="94"/>
      <c r="AE711" s="94"/>
      <c r="AF711" s="94"/>
      <c r="AG711" s="94"/>
      <c r="AH711" s="94"/>
      <c r="AI711" s="94"/>
      <c r="AJ711" s="94"/>
      <c r="AK711" s="94"/>
      <c r="AL711" s="94"/>
      <c r="AM711" s="94"/>
      <c r="AN711" s="94"/>
      <c r="AO711" s="94"/>
      <c r="AP711" s="94"/>
      <c r="AQ711" s="94"/>
      <c r="AR711" s="94"/>
      <c r="AS711" s="94"/>
      <c r="AT711" s="94"/>
      <c r="AU711" s="94"/>
      <c r="AV711" s="94"/>
      <c r="AW711" s="94"/>
      <c r="AX711" s="94"/>
      <c r="AY711" s="94"/>
      <c r="BA711" s="95"/>
    </row>
    <row r="712" spans="1:53" s="87" customFormat="1">
      <c r="A712" s="90" t="str">
        <f t="shared" si="58"/>
        <v/>
      </c>
      <c r="B712" s="99">
        <v>9</v>
      </c>
      <c r="C712" s="92" t="s">
        <v>210</v>
      </c>
      <c r="D712" s="92">
        <v>4</v>
      </c>
      <c r="E712" s="92" t="s">
        <v>210</v>
      </c>
      <c r="F712" s="92">
        <v>-2</v>
      </c>
      <c r="G712" s="92" t="s">
        <v>210</v>
      </c>
      <c r="H712" s="92">
        <v>5</v>
      </c>
      <c r="I712" s="92" t="s">
        <v>210</v>
      </c>
      <c r="J712" s="92" t="s">
        <v>210</v>
      </c>
      <c r="K712" s="92">
        <v>-1</v>
      </c>
      <c r="L712" s="92">
        <v>2</v>
      </c>
      <c r="M712" s="92">
        <v>3</v>
      </c>
      <c r="N712" s="92" t="s">
        <v>210</v>
      </c>
      <c r="O712" s="92">
        <v>-5</v>
      </c>
      <c r="P712" s="92" t="s">
        <v>210</v>
      </c>
      <c r="Q712" s="92">
        <v>-4</v>
      </c>
      <c r="R712" s="94"/>
      <c r="S712" s="94"/>
      <c r="T712" s="94"/>
      <c r="U712" s="94"/>
      <c r="V712" s="94"/>
      <c r="W712" s="94"/>
      <c r="X712" s="94"/>
      <c r="Y712" s="94"/>
      <c r="Z712" s="94"/>
      <c r="AA712" s="94"/>
      <c r="AB712" s="94"/>
      <c r="AC712" s="94"/>
      <c r="AD712" s="94"/>
      <c r="AE712" s="94"/>
      <c r="AF712" s="94"/>
      <c r="AG712" s="94"/>
      <c r="AH712" s="94"/>
      <c r="AI712" s="94"/>
      <c r="AJ712" s="94"/>
      <c r="AK712" s="94"/>
      <c r="AL712" s="94"/>
      <c r="AM712" s="94"/>
      <c r="AN712" s="94"/>
      <c r="AO712" s="94"/>
      <c r="AP712" s="94"/>
      <c r="AQ712" s="94"/>
      <c r="AR712" s="94"/>
      <c r="AS712" s="94"/>
      <c r="AT712" s="94"/>
      <c r="AU712" s="94"/>
      <c r="AV712" s="94"/>
      <c r="AW712" s="94"/>
      <c r="AX712" s="94"/>
      <c r="AY712" s="94"/>
      <c r="BA712" s="95"/>
    </row>
    <row r="713" spans="1:53" s="87" customFormat="1">
      <c r="A713" s="90" t="str">
        <f t="shared" si="58"/>
        <v/>
      </c>
      <c r="B713" s="98">
        <v>10</v>
      </c>
      <c r="C713" s="94">
        <v>-4</v>
      </c>
      <c r="D713" s="94" t="s">
        <v>210</v>
      </c>
      <c r="E713" s="94">
        <v>-5</v>
      </c>
      <c r="F713" s="94" t="s">
        <v>210</v>
      </c>
      <c r="G713" s="94">
        <v>-1</v>
      </c>
      <c r="H713" s="94" t="s">
        <v>210</v>
      </c>
      <c r="I713" s="94">
        <v>3</v>
      </c>
      <c r="J713" s="94">
        <v>2</v>
      </c>
      <c r="K713" s="94" t="s">
        <v>210</v>
      </c>
      <c r="L713" s="94" t="s">
        <v>210</v>
      </c>
      <c r="M713" s="94">
        <v>1</v>
      </c>
      <c r="N713" s="94">
        <v>5</v>
      </c>
      <c r="O713" s="94" t="s">
        <v>210</v>
      </c>
      <c r="P713" s="94">
        <v>-2</v>
      </c>
      <c r="Q713" s="94" t="s">
        <v>210</v>
      </c>
      <c r="R713" s="94"/>
      <c r="S713" s="94"/>
      <c r="T713" s="94"/>
      <c r="U713" s="94"/>
      <c r="V713" s="94"/>
      <c r="W713" s="94"/>
      <c r="X713" s="94"/>
      <c r="Y713" s="94"/>
      <c r="Z713" s="94"/>
      <c r="AA713" s="94"/>
      <c r="AB713" s="94"/>
      <c r="AC713" s="94"/>
      <c r="AD713" s="94"/>
      <c r="AE713" s="94"/>
      <c r="AF713" s="94"/>
      <c r="AG713" s="94"/>
      <c r="AH713" s="94"/>
      <c r="AI713" s="94"/>
      <c r="AJ713" s="94"/>
      <c r="AK713" s="94"/>
      <c r="AL713" s="94"/>
      <c r="AM713" s="94"/>
      <c r="AN713" s="94"/>
      <c r="AO713" s="94"/>
      <c r="AP713" s="94"/>
      <c r="AQ713" s="94"/>
      <c r="AR713" s="94"/>
      <c r="AS713" s="94"/>
      <c r="AT713" s="94"/>
      <c r="AU713" s="94"/>
      <c r="AV713" s="94"/>
      <c r="AW713" s="94"/>
      <c r="AX713" s="94"/>
      <c r="AY713" s="94"/>
      <c r="BA713" s="95"/>
    </row>
    <row r="714" spans="1:53" s="87" customFormat="1">
      <c r="A714" s="90" t="str">
        <f t="shared" si="58"/>
        <v/>
      </c>
      <c r="B714" s="98">
        <v>11</v>
      </c>
      <c r="C714" s="94">
        <v>5</v>
      </c>
      <c r="D714" s="94" t="s">
        <v>210</v>
      </c>
      <c r="E714" s="94">
        <v>2</v>
      </c>
      <c r="F714" s="94" t="s">
        <v>210</v>
      </c>
      <c r="G714" s="94">
        <v>-4</v>
      </c>
      <c r="H714" s="94">
        <v>-3</v>
      </c>
      <c r="I714" s="94" t="s">
        <v>210</v>
      </c>
      <c r="J714" s="94">
        <v>1</v>
      </c>
      <c r="K714" s="94">
        <v>4</v>
      </c>
      <c r="L714" s="94" t="s">
        <v>210</v>
      </c>
      <c r="M714" s="94">
        <v>-1</v>
      </c>
      <c r="N714" s="94" t="s">
        <v>210</v>
      </c>
      <c r="O714" s="94" t="s">
        <v>210</v>
      </c>
      <c r="P714" s="94">
        <v>-5</v>
      </c>
      <c r="Q714" s="94" t="s">
        <v>210</v>
      </c>
      <c r="R714" s="94"/>
      <c r="S714" s="94"/>
      <c r="T714" s="94"/>
      <c r="U714" s="94"/>
      <c r="V714" s="94"/>
      <c r="W714" s="94"/>
      <c r="X714" s="94"/>
      <c r="Y714" s="94"/>
      <c r="Z714" s="94"/>
      <c r="AA714" s="94"/>
      <c r="AB714" s="94"/>
      <c r="AC714" s="94"/>
      <c r="AD714" s="94"/>
      <c r="AE714" s="94"/>
      <c r="AF714" s="94"/>
      <c r="AG714" s="94"/>
      <c r="AH714" s="94"/>
      <c r="AI714" s="94"/>
      <c r="AJ714" s="94"/>
      <c r="AK714" s="94"/>
      <c r="AL714" s="94"/>
      <c r="AM714" s="94"/>
      <c r="AN714" s="94"/>
      <c r="AO714" s="94"/>
      <c r="AP714" s="94"/>
      <c r="AQ714" s="94"/>
      <c r="AR714" s="94"/>
      <c r="AS714" s="94"/>
      <c r="AT714" s="94"/>
      <c r="AU714" s="94"/>
      <c r="AV714" s="94"/>
      <c r="AW714" s="94"/>
      <c r="AX714" s="94"/>
      <c r="AY714" s="94"/>
      <c r="BA714" s="95"/>
    </row>
    <row r="715" spans="1:53" s="87" customFormat="1">
      <c r="A715" s="90" t="str">
        <f t="shared" si="58"/>
        <v/>
      </c>
      <c r="B715" s="98">
        <v>12</v>
      </c>
      <c r="C715" s="94">
        <v>4</v>
      </c>
      <c r="D715" s="94" t="s">
        <v>210</v>
      </c>
      <c r="E715" s="94">
        <v>-2</v>
      </c>
      <c r="F715" s="94">
        <v>-1</v>
      </c>
      <c r="G715" s="94" t="s">
        <v>210</v>
      </c>
      <c r="H715" s="94">
        <v>2</v>
      </c>
      <c r="I715" s="94" t="s">
        <v>210</v>
      </c>
      <c r="J715" s="94">
        <v>-4</v>
      </c>
      <c r="K715" s="94" t="s">
        <v>210</v>
      </c>
      <c r="L715" s="94" t="s">
        <v>210</v>
      </c>
      <c r="M715" s="94">
        <v>-5</v>
      </c>
      <c r="N715" s="94" t="s">
        <v>210</v>
      </c>
      <c r="O715" s="94">
        <v>3</v>
      </c>
      <c r="P715" s="94" t="s">
        <v>210</v>
      </c>
      <c r="Q715" s="94">
        <v>5</v>
      </c>
      <c r="R715" s="94"/>
      <c r="S715" s="94"/>
      <c r="T715" s="94"/>
      <c r="U715" s="94"/>
      <c r="V715" s="94"/>
      <c r="W715" s="94"/>
      <c r="X715" s="94"/>
      <c r="Y715" s="94"/>
      <c r="Z715" s="94"/>
      <c r="AA715" s="94"/>
      <c r="AB715" s="94"/>
      <c r="AC715" s="94"/>
      <c r="AD715" s="94"/>
      <c r="AE715" s="94"/>
      <c r="AF715" s="94"/>
      <c r="AG715" s="94"/>
      <c r="AH715" s="94"/>
      <c r="AI715" s="94"/>
      <c r="AJ715" s="94"/>
      <c r="AK715" s="94"/>
      <c r="AL715" s="94"/>
      <c r="AM715" s="94"/>
      <c r="AN715" s="94"/>
      <c r="AO715" s="94"/>
      <c r="AP715" s="94"/>
      <c r="AQ715" s="94"/>
      <c r="AR715" s="94"/>
      <c r="AS715" s="94"/>
      <c r="AT715" s="94"/>
      <c r="AU715" s="94"/>
      <c r="AV715" s="94"/>
      <c r="AW715" s="94"/>
      <c r="AX715" s="94"/>
      <c r="AY715" s="94"/>
      <c r="BA715" s="95"/>
    </row>
    <row r="716" spans="1:53" s="87" customFormat="1">
      <c r="A716" s="90" t="str">
        <f t="shared" ref="A716:A779" si="59">IF(MID(B716,3,2)="05",ROW(),"")</f>
        <v/>
      </c>
      <c r="B716" s="98">
        <v>13</v>
      </c>
      <c r="C716" s="94">
        <v>-5</v>
      </c>
      <c r="D716" s="94">
        <v>1</v>
      </c>
      <c r="E716" s="94" t="s">
        <v>210</v>
      </c>
      <c r="F716" s="94">
        <v>-3</v>
      </c>
      <c r="G716" s="94" t="s">
        <v>210</v>
      </c>
      <c r="H716" s="94">
        <v>-4</v>
      </c>
      <c r="I716" s="94" t="s">
        <v>210</v>
      </c>
      <c r="J716" s="94">
        <v>-2</v>
      </c>
      <c r="K716" s="94" t="s">
        <v>210</v>
      </c>
      <c r="L716" s="94">
        <v>3</v>
      </c>
      <c r="M716" s="94">
        <v>5</v>
      </c>
      <c r="N716" s="94" t="s">
        <v>210</v>
      </c>
      <c r="O716" s="94" t="s">
        <v>210</v>
      </c>
      <c r="P716" s="94">
        <v>4</v>
      </c>
      <c r="Q716" s="94" t="s">
        <v>210</v>
      </c>
      <c r="R716" s="94"/>
      <c r="S716" s="94"/>
      <c r="T716" s="94"/>
      <c r="U716" s="94"/>
      <c r="V716" s="94"/>
      <c r="W716" s="94"/>
      <c r="X716" s="94"/>
      <c r="Y716" s="94"/>
      <c r="Z716" s="94"/>
      <c r="AA716" s="94"/>
      <c r="AB716" s="94"/>
      <c r="AC716" s="94"/>
      <c r="AD716" s="94"/>
      <c r="AE716" s="94"/>
      <c r="AF716" s="94"/>
      <c r="AG716" s="94"/>
      <c r="AH716" s="94"/>
      <c r="AI716" s="94"/>
      <c r="AJ716" s="94"/>
      <c r="AK716" s="94"/>
      <c r="AL716" s="94"/>
      <c r="AM716" s="94"/>
      <c r="AN716" s="94"/>
      <c r="AO716" s="94"/>
      <c r="AP716" s="94"/>
      <c r="AQ716" s="94"/>
      <c r="AR716" s="94"/>
      <c r="AS716" s="94"/>
      <c r="AT716" s="94"/>
      <c r="AU716" s="94"/>
      <c r="AV716" s="94"/>
      <c r="AW716" s="94"/>
      <c r="AX716" s="94"/>
      <c r="AY716" s="94"/>
      <c r="BA716" s="95"/>
    </row>
    <row r="717" spans="1:53" s="87" customFormat="1">
      <c r="A717" s="90" t="str">
        <f t="shared" si="59"/>
        <v/>
      </c>
      <c r="B717" s="98">
        <v>14</v>
      </c>
      <c r="C717" s="94" t="s">
        <v>210</v>
      </c>
      <c r="D717" s="94">
        <v>-2</v>
      </c>
      <c r="E717" s="94" t="s">
        <v>210</v>
      </c>
      <c r="F717" s="94">
        <v>5</v>
      </c>
      <c r="G717" s="94" t="s">
        <v>210</v>
      </c>
      <c r="H717" s="94">
        <v>3</v>
      </c>
      <c r="I717" s="94" t="s">
        <v>210</v>
      </c>
      <c r="J717" s="94">
        <v>4</v>
      </c>
      <c r="K717" s="94" t="s">
        <v>210</v>
      </c>
      <c r="L717" s="94">
        <v>-3</v>
      </c>
      <c r="M717" s="94" t="s">
        <v>210</v>
      </c>
      <c r="N717" s="94">
        <v>-1</v>
      </c>
      <c r="O717" s="94" t="s">
        <v>210</v>
      </c>
      <c r="P717" s="94">
        <v>2</v>
      </c>
      <c r="Q717" s="94">
        <v>-3</v>
      </c>
      <c r="R717" s="94"/>
      <c r="S717" s="94"/>
      <c r="T717" s="94"/>
      <c r="U717" s="94"/>
      <c r="V717" s="94"/>
      <c r="W717" s="94"/>
      <c r="X717" s="94"/>
      <c r="Y717" s="94"/>
      <c r="Z717" s="94"/>
      <c r="AA717" s="94"/>
      <c r="AB717" s="94"/>
      <c r="AC717" s="94"/>
      <c r="AD717" s="94"/>
      <c r="AE717" s="94"/>
      <c r="AF717" s="94"/>
      <c r="AG717" s="94"/>
      <c r="AH717" s="94"/>
      <c r="AI717" s="94"/>
      <c r="AJ717" s="94"/>
      <c r="AK717" s="94"/>
      <c r="AL717" s="94"/>
      <c r="AM717" s="94"/>
      <c r="AN717" s="94"/>
      <c r="AO717" s="94"/>
      <c r="AP717" s="94"/>
      <c r="AQ717" s="94"/>
      <c r="AR717" s="94"/>
      <c r="AS717" s="94"/>
      <c r="AT717" s="94"/>
      <c r="AU717" s="94"/>
      <c r="AV717" s="94"/>
      <c r="AW717" s="94"/>
      <c r="AX717" s="94"/>
      <c r="AY717" s="94"/>
      <c r="BA717" s="95"/>
    </row>
    <row r="718" spans="1:53" s="87" customFormat="1">
      <c r="A718" s="90" t="str">
        <f t="shared" si="59"/>
        <v/>
      </c>
      <c r="B718" s="98">
        <v>15</v>
      </c>
      <c r="C718" s="94" t="s">
        <v>210</v>
      </c>
      <c r="D718" s="94">
        <v>-3</v>
      </c>
      <c r="E718" s="94" t="s">
        <v>210</v>
      </c>
      <c r="F718" s="94">
        <v>1</v>
      </c>
      <c r="G718" s="94" t="s">
        <v>210</v>
      </c>
      <c r="H718" s="94">
        <v>4</v>
      </c>
      <c r="I718" s="94" t="s">
        <v>210</v>
      </c>
      <c r="J718" s="94">
        <v>-1</v>
      </c>
      <c r="K718" s="94" t="s">
        <v>210</v>
      </c>
      <c r="L718" s="94">
        <v>-4</v>
      </c>
      <c r="M718" s="94" t="s">
        <v>210</v>
      </c>
      <c r="N718" s="94">
        <v>-5</v>
      </c>
      <c r="O718" s="94">
        <v>2</v>
      </c>
      <c r="P718" s="94" t="s">
        <v>210</v>
      </c>
      <c r="Q718" s="94">
        <v>3</v>
      </c>
      <c r="R718" s="94"/>
      <c r="S718" s="94"/>
      <c r="T718" s="94"/>
      <c r="U718" s="94"/>
      <c r="V718" s="94"/>
      <c r="W718" s="94"/>
      <c r="X718" s="94"/>
      <c r="Y718" s="94"/>
      <c r="Z718" s="94"/>
      <c r="AA718" s="94"/>
      <c r="AB718" s="94"/>
      <c r="AC718" s="94"/>
      <c r="AD718" s="94"/>
      <c r="AE718" s="94"/>
      <c r="AF718" s="94"/>
      <c r="AG718" s="94"/>
      <c r="AH718" s="94"/>
      <c r="AI718" s="94"/>
      <c r="AJ718" s="94"/>
      <c r="AK718" s="94"/>
      <c r="AL718" s="94"/>
      <c r="AM718" s="94"/>
      <c r="AN718" s="94"/>
      <c r="AO718" s="94"/>
      <c r="AP718" s="94"/>
      <c r="AQ718" s="94"/>
      <c r="AR718" s="94"/>
      <c r="AS718" s="94"/>
      <c r="AT718" s="94"/>
      <c r="AU718" s="94"/>
      <c r="AV718" s="94"/>
      <c r="AW718" s="94"/>
      <c r="AX718" s="94"/>
      <c r="AY718" s="94"/>
      <c r="BA718" s="95"/>
    </row>
    <row r="719" spans="1:53" s="87" customFormat="1">
      <c r="A719" s="90" t="str">
        <f t="shared" si="59"/>
        <v/>
      </c>
      <c r="B719" s="98">
        <v>16</v>
      </c>
      <c r="C719" s="94" t="s">
        <v>210</v>
      </c>
      <c r="D719" s="94">
        <v>-1</v>
      </c>
      <c r="E719" s="94" t="s">
        <v>210</v>
      </c>
      <c r="F719" s="94">
        <v>-5</v>
      </c>
      <c r="G719" s="94" t="s">
        <v>210</v>
      </c>
      <c r="H719" s="94">
        <v>-2</v>
      </c>
      <c r="I719" s="94">
        <v>-3</v>
      </c>
      <c r="J719" s="94" t="s">
        <v>210</v>
      </c>
      <c r="K719" s="94">
        <v>2</v>
      </c>
      <c r="L719" s="94">
        <v>4</v>
      </c>
      <c r="M719" s="94" t="s">
        <v>210</v>
      </c>
      <c r="N719" s="94">
        <v>3</v>
      </c>
      <c r="O719" s="94" t="s">
        <v>210</v>
      </c>
      <c r="P719" s="94">
        <v>5</v>
      </c>
      <c r="Q719" s="94" t="s">
        <v>210</v>
      </c>
      <c r="R719" s="94"/>
      <c r="S719" s="94"/>
      <c r="T719" s="94"/>
      <c r="U719" s="94"/>
      <c r="V719" s="94"/>
      <c r="W719" s="94"/>
      <c r="X719" s="94"/>
      <c r="Y719" s="94"/>
      <c r="Z719" s="94"/>
      <c r="AA719" s="94"/>
      <c r="AB719" s="94"/>
      <c r="AC719" s="94"/>
      <c r="AD719" s="94"/>
      <c r="AE719" s="94"/>
      <c r="AF719" s="94"/>
      <c r="AG719" s="94"/>
      <c r="AH719" s="94"/>
      <c r="AI719" s="94"/>
      <c r="AJ719" s="94"/>
      <c r="AK719" s="94"/>
      <c r="AL719" s="94"/>
      <c r="AM719" s="94"/>
      <c r="AN719" s="94"/>
      <c r="AO719" s="94"/>
      <c r="AP719" s="94"/>
      <c r="AQ719" s="94"/>
      <c r="AR719" s="94"/>
      <c r="AS719" s="94"/>
      <c r="AT719" s="94"/>
      <c r="AU719" s="94"/>
      <c r="AV719" s="94"/>
      <c r="AW719" s="94"/>
      <c r="AX719" s="94"/>
      <c r="AY719" s="94"/>
      <c r="BA719" s="95"/>
    </row>
    <row r="720" spans="1:53" s="87" customFormat="1">
      <c r="A720" s="90" t="str">
        <f t="shared" si="59"/>
        <v/>
      </c>
      <c r="B720" s="98">
        <v>17</v>
      </c>
      <c r="C720" s="94" t="s">
        <v>210</v>
      </c>
      <c r="D720" s="94">
        <v>2</v>
      </c>
      <c r="E720" s="94" t="s">
        <v>210</v>
      </c>
      <c r="F720" s="94">
        <v>3</v>
      </c>
      <c r="G720" s="94">
        <v>1</v>
      </c>
      <c r="H720" s="94" t="s">
        <v>210</v>
      </c>
      <c r="I720" s="94">
        <v>5</v>
      </c>
      <c r="J720" s="94" t="s">
        <v>210</v>
      </c>
      <c r="K720" s="94">
        <v>-4</v>
      </c>
      <c r="L720" s="94" t="s">
        <v>210</v>
      </c>
      <c r="M720" s="94" t="s">
        <v>210</v>
      </c>
      <c r="N720" s="94">
        <v>-3</v>
      </c>
      <c r="O720" s="94">
        <v>-2</v>
      </c>
      <c r="P720" s="94" t="s">
        <v>210</v>
      </c>
      <c r="Q720" s="94">
        <v>-5</v>
      </c>
      <c r="R720" s="94"/>
      <c r="S720" s="94"/>
      <c r="T720" s="94"/>
      <c r="U720" s="94"/>
      <c r="V720" s="94"/>
      <c r="W720" s="94"/>
      <c r="X720" s="94"/>
      <c r="Y720" s="94"/>
      <c r="Z720" s="94"/>
      <c r="AA720" s="94"/>
      <c r="AB720" s="94"/>
      <c r="AC720" s="94"/>
      <c r="AD720" s="94"/>
      <c r="AE720" s="94"/>
      <c r="AF720" s="94"/>
      <c r="AG720" s="94"/>
      <c r="AH720" s="94"/>
      <c r="AI720" s="94"/>
      <c r="AJ720" s="94"/>
      <c r="AK720" s="94"/>
      <c r="AL720" s="94"/>
      <c r="AM720" s="94"/>
      <c r="AN720" s="94"/>
      <c r="AO720" s="94"/>
      <c r="AP720" s="94"/>
      <c r="AQ720" s="94"/>
      <c r="AR720" s="94"/>
      <c r="AS720" s="94"/>
      <c r="AT720" s="94"/>
      <c r="AU720" s="94"/>
      <c r="AV720" s="94"/>
      <c r="AW720" s="94"/>
      <c r="AX720" s="94"/>
      <c r="AY720" s="94"/>
      <c r="BA720" s="95"/>
    </row>
    <row r="721" spans="1:53" s="87" customFormat="1">
      <c r="A721" s="90" t="str">
        <f t="shared" si="59"/>
        <v/>
      </c>
      <c r="B721" s="98">
        <v>18</v>
      </c>
      <c r="C721" s="94" t="s">
        <v>210</v>
      </c>
      <c r="D721" s="94">
        <v>3</v>
      </c>
      <c r="E721" s="94">
        <v>5</v>
      </c>
      <c r="F721" s="94" t="s">
        <v>210</v>
      </c>
      <c r="G721" s="94">
        <v>4</v>
      </c>
      <c r="H721" s="94" t="s">
        <v>210</v>
      </c>
      <c r="I721" s="94">
        <v>-5</v>
      </c>
      <c r="J721" s="94" t="s">
        <v>210</v>
      </c>
      <c r="K721" s="94">
        <v>-2</v>
      </c>
      <c r="L721" s="94" t="s">
        <v>210</v>
      </c>
      <c r="M721" s="94" t="s">
        <v>210</v>
      </c>
      <c r="N721" s="94">
        <v>1</v>
      </c>
      <c r="O721" s="94">
        <v>-3</v>
      </c>
      <c r="P721" s="94">
        <v>-4</v>
      </c>
      <c r="Q721" s="94" t="s">
        <v>210</v>
      </c>
      <c r="R721" s="94"/>
      <c r="S721" s="94"/>
      <c r="T721" s="94"/>
      <c r="U721" s="94"/>
      <c r="V721" s="94"/>
      <c r="W721" s="94"/>
      <c r="X721" s="94"/>
      <c r="Y721" s="94"/>
      <c r="Z721" s="94"/>
      <c r="AA721" s="94"/>
      <c r="AB721" s="94"/>
      <c r="AC721" s="94"/>
      <c r="AD721" s="94"/>
      <c r="AE721" s="94"/>
      <c r="AF721" s="94"/>
      <c r="AG721" s="94"/>
      <c r="AH721" s="94"/>
      <c r="AI721" s="94"/>
      <c r="AJ721" s="94"/>
      <c r="AK721" s="94"/>
      <c r="AL721" s="94"/>
      <c r="AM721" s="94"/>
      <c r="AN721" s="94"/>
      <c r="AO721" s="94"/>
      <c r="AP721" s="94"/>
      <c r="AQ721" s="94"/>
      <c r="AR721" s="94"/>
      <c r="AS721" s="94"/>
      <c r="AT721" s="94"/>
      <c r="AU721" s="94"/>
      <c r="AV721" s="94"/>
      <c r="AW721" s="94"/>
      <c r="AX721" s="94"/>
      <c r="AY721" s="94"/>
      <c r="BA721" s="95"/>
    </row>
    <row r="722" spans="1:53" s="87" customFormat="1">
      <c r="A722" s="90" t="str">
        <f t="shared" si="59"/>
        <v/>
      </c>
      <c r="B722" s="279" t="s">
        <v>840</v>
      </c>
      <c r="C722" s="94"/>
      <c r="D722" s="94"/>
      <c r="E722" s="94"/>
      <c r="F722" s="94"/>
      <c r="G722" s="94"/>
      <c r="H722" s="94"/>
      <c r="I722" s="94"/>
      <c r="J722" s="94"/>
      <c r="K722" s="94"/>
      <c r="L722" s="94"/>
      <c r="M722" s="94"/>
      <c r="N722" s="94"/>
      <c r="O722" s="94"/>
      <c r="P722" s="94"/>
      <c r="Q722" s="94"/>
      <c r="R722" s="94"/>
      <c r="S722" s="94"/>
      <c r="T722" s="94"/>
      <c r="U722" s="94"/>
      <c r="V722" s="94"/>
      <c r="W722" s="94"/>
      <c r="X722" s="94"/>
      <c r="Y722" s="94"/>
      <c r="Z722" s="94"/>
      <c r="AA722" s="94"/>
      <c r="AB722" s="94"/>
      <c r="AC722" s="94"/>
      <c r="AD722" s="94"/>
      <c r="AE722" s="94"/>
      <c r="AF722" s="94"/>
      <c r="AG722" s="94"/>
      <c r="AH722" s="94"/>
      <c r="AI722" s="94"/>
      <c r="AJ722" s="94"/>
      <c r="AK722" s="94"/>
      <c r="AL722" s="94"/>
      <c r="AM722" s="94"/>
      <c r="AN722" s="94"/>
      <c r="AO722" s="94"/>
      <c r="AP722" s="94"/>
      <c r="AQ722" s="94"/>
      <c r="AR722" s="94"/>
      <c r="AS722" s="94"/>
      <c r="AT722" s="94"/>
      <c r="AU722" s="94"/>
      <c r="AV722" s="94"/>
      <c r="AW722" s="94"/>
      <c r="AX722" s="94"/>
      <c r="AY722" s="94"/>
      <c r="BA722" s="95"/>
    </row>
    <row r="723" spans="1:53" s="87" customFormat="1">
      <c r="A723" s="90">
        <f t="shared" si="59"/>
        <v>723</v>
      </c>
      <c r="B723" s="317" t="s">
        <v>1269</v>
      </c>
      <c r="C723" s="94"/>
      <c r="D723" s="94"/>
      <c r="E723" s="94"/>
      <c r="F723" s="94"/>
      <c r="G723" s="94"/>
      <c r="H723" s="94"/>
      <c r="I723" s="94"/>
      <c r="J723" s="94"/>
      <c r="K723" s="94"/>
      <c r="L723" s="94"/>
      <c r="M723" s="94"/>
      <c r="N723" s="94"/>
      <c r="O723" s="94"/>
      <c r="P723" s="94"/>
      <c r="Q723" s="94"/>
      <c r="R723" s="94"/>
      <c r="S723" s="94"/>
      <c r="T723" s="94"/>
      <c r="U723" s="94"/>
      <c r="V723" s="94"/>
      <c r="W723" s="94"/>
      <c r="X723" s="94"/>
      <c r="Y723" s="94"/>
      <c r="Z723" s="94"/>
      <c r="AA723" s="94"/>
      <c r="AB723" s="94"/>
      <c r="AC723" s="94"/>
      <c r="AD723" s="94"/>
      <c r="AE723" s="94"/>
      <c r="AF723" s="94"/>
      <c r="AG723" s="94"/>
      <c r="AH723" s="94"/>
      <c r="AI723" s="94"/>
      <c r="AJ723" s="94"/>
      <c r="AK723" s="94"/>
      <c r="AL723" s="94"/>
      <c r="AM723" s="94"/>
      <c r="AN723" s="94"/>
      <c r="AO723" s="94"/>
      <c r="AP723" s="94"/>
      <c r="AQ723" s="94"/>
      <c r="AR723" s="94"/>
      <c r="AS723" s="94"/>
      <c r="AT723" s="94"/>
      <c r="AU723" s="94"/>
      <c r="AV723" s="94"/>
      <c r="AW723" s="94"/>
      <c r="AX723" s="94"/>
      <c r="AY723" s="94"/>
      <c r="BA723" s="95"/>
    </row>
    <row r="724" spans="1:53" s="87" customFormat="1">
      <c r="A724" s="90" t="str">
        <f t="shared" si="59"/>
        <v/>
      </c>
      <c r="B724" s="98">
        <v>1</v>
      </c>
      <c r="C724" s="94">
        <v>-4</v>
      </c>
      <c r="D724" s="94" t="s">
        <v>210</v>
      </c>
      <c r="E724" s="94">
        <v>-2</v>
      </c>
      <c r="F724" s="94" t="s">
        <v>210</v>
      </c>
      <c r="G724" s="94">
        <v>-1</v>
      </c>
      <c r="H724" s="94" t="s">
        <v>210</v>
      </c>
      <c r="I724" s="94">
        <v>5</v>
      </c>
      <c r="J724" s="94" t="s">
        <v>210</v>
      </c>
      <c r="K724" s="94">
        <v>2</v>
      </c>
      <c r="L724" s="94" t="s">
        <v>210</v>
      </c>
      <c r="M724" s="94" t="s">
        <v>210</v>
      </c>
      <c r="N724" s="94">
        <v>3</v>
      </c>
      <c r="O724" s="94" t="s">
        <v>210</v>
      </c>
      <c r="P724" s="94"/>
      <c r="Q724" s="94"/>
      <c r="R724" s="94"/>
      <c r="S724" s="94"/>
      <c r="T724" s="94"/>
      <c r="U724" s="94"/>
      <c r="V724" s="94"/>
      <c r="W724" s="94"/>
      <c r="X724" s="94"/>
      <c r="Y724" s="94"/>
      <c r="Z724" s="94"/>
      <c r="AA724" s="94"/>
      <c r="AB724" s="94"/>
      <c r="AC724" s="94"/>
      <c r="AD724" s="94"/>
      <c r="AE724" s="94"/>
      <c r="AF724" s="94"/>
      <c r="AG724" s="94"/>
      <c r="AH724" s="94"/>
      <c r="AI724" s="94"/>
      <c r="AJ724" s="94"/>
      <c r="AK724" s="94"/>
      <c r="AL724" s="94"/>
      <c r="AM724" s="94"/>
      <c r="AN724" s="94"/>
      <c r="AO724" s="94"/>
      <c r="AP724" s="94"/>
      <c r="AQ724" s="94"/>
      <c r="AR724" s="94"/>
      <c r="AS724" s="94"/>
      <c r="AT724" s="94"/>
      <c r="AU724" s="94"/>
      <c r="AV724" s="94"/>
      <c r="AW724" s="94"/>
      <c r="AX724" s="94"/>
      <c r="AY724" s="94"/>
      <c r="BA724" s="95"/>
    </row>
    <row r="725" spans="1:53" s="87" customFormat="1">
      <c r="A725" s="90" t="str">
        <f t="shared" si="59"/>
        <v/>
      </c>
      <c r="B725" s="98">
        <v>2</v>
      </c>
      <c r="C725" s="94" t="s">
        <v>210</v>
      </c>
      <c r="D725" s="94" t="s">
        <v>210</v>
      </c>
      <c r="E725" s="94">
        <v>5</v>
      </c>
      <c r="F725" s="94">
        <v>1</v>
      </c>
      <c r="G725" s="94" t="s">
        <v>210</v>
      </c>
      <c r="H725" s="94" t="s">
        <v>210</v>
      </c>
      <c r="I725" s="94">
        <v>2</v>
      </c>
      <c r="J725" s="94" t="s">
        <v>210</v>
      </c>
      <c r="K725" s="94">
        <v>-4</v>
      </c>
      <c r="L725" s="94" t="s">
        <v>210</v>
      </c>
      <c r="M725" s="94">
        <v>-5</v>
      </c>
      <c r="N725" s="94">
        <v>-3</v>
      </c>
      <c r="O725" s="94" t="s">
        <v>210</v>
      </c>
      <c r="P725" s="94"/>
      <c r="Q725" s="94"/>
      <c r="R725" s="94"/>
      <c r="S725" s="94"/>
      <c r="T725" s="94"/>
      <c r="U725" s="94"/>
      <c r="V725" s="94"/>
      <c r="W725" s="94"/>
      <c r="X725" s="94"/>
      <c r="Y725" s="94"/>
      <c r="Z725" s="94"/>
      <c r="AA725" s="94"/>
      <c r="AB725" s="94"/>
      <c r="AC725" s="94"/>
      <c r="AD725" s="94"/>
      <c r="AE725" s="94"/>
      <c r="AF725" s="94"/>
      <c r="AG725" s="94"/>
      <c r="AH725" s="94"/>
      <c r="AI725" s="94"/>
      <c r="AJ725" s="94"/>
      <c r="AK725" s="94"/>
      <c r="AL725" s="94"/>
      <c r="AM725" s="94"/>
      <c r="AN725" s="94"/>
      <c r="AO725" s="94"/>
      <c r="AP725" s="94"/>
      <c r="AQ725" s="94"/>
      <c r="AR725" s="94"/>
      <c r="AS725" s="94"/>
      <c r="AT725" s="94"/>
      <c r="AU725" s="94"/>
      <c r="AV725" s="94"/>
      <c r="AW725" s="94"/>
      <c r="AX725" s="94"/>
      <c r="AY725" s="94"/>
      <c r="BA725" s="95"/>
    </row>
    <row r="726" spans="1:53" s="87" customFormat="1">
      <c r="A726" s="90" t="str">
        <f t="shared" si="59"/>
        <v/>
      </c>
      <c r="B726" s="98">
        <v>3</v>
      </c>
      <c r="C726" s="94" t="s">
        <v>210</v>
      </c>
      <c r="D726" s="94">
        <v>1</v>
      </c>
      <c r="E726" s="94">
        <v>2</v>
      </c>
      <c r="F726" s="94" t="s">
        <v>210</v>
      </c>
      <c r="G726" s="94">
        <v>-3</v>
      </c>
      <c r="H726" s="94" t="s">
        <v>210</v>
      </c>
      <c r="I726" s="94">
        <v>-2</v>
      </c>
      <c r="J726" s="94" t="s">
        <v>210</v>
      </c>
      <c r="K726" s="94" t="s">
        <v>210</v>
      </c>
      <c r="L726" s="94">
        <v>-4</v>
      </c>
      <c r="M726" s="94" t="s">
        <v>210</v>
      </c>
      <c r="N726" s="94">
        <v>5</v>
      </c>
      <c r="O726" s="94" t="s">
        <v>210</v>
      </c>
      <c r="P726" s="94"/>
      <c r="Q726" s="94"/>
      <c r="R726" s="94"/>
      <c r="S726" s="94"/>
      <c r="T726" s="94"/>
      <c r="U726" s="94"/>
      <c r="V726" s="94"/>
      <c r="W726" s="94"/>
      <c r="X726" s="94"/>
      <c r="Y726" s="94"/>
      <c r="Z726" s="94"/>
      <c r="AA726" s="94"/>
      <c r="AB726" s="94"/>
      <c r="AC726" s="94"/>
      <c r="AD726" s="94"/>
      <c r="AE726" s="94"/>
      <c r="AF726" s="94"/>
      <c r="AG726" s="94"/>
      <c r="AH726" s="94"/>
      <c r="AI726" s="94"/>
      <c r="AJ726" s="94"/>
      <c r="AK726" s="94"/>
      <c r="AL726" s="94"/>
      <c r="AM726" s="94"/>
      <c r="AN726" s="94"/>
      <c r="AO726" s="94"/>
      <c r="AP726" s="94"/>
      <c r="AQ726" s="94"/>
      <c r="AR726" s="94"/>
      <c r="AS726" s="94"/>
      <c r="AT726" s="94"/>
      <c r="AU726" s="94"/>
      <c r="AV726" s="94"/>
      <c r="AW726" s="94"/>
      <c r="AX726" s="94"/>
      <c r="AY726" s="94"/>
      <c r="BA726" s="95"/>
    </row>
    <row r="727" spans="1:53" s="87" customFormat="1">
      <c r="A727" s="90" t="str">
        <f t="shared" si="59"/>
        <v/>
      </c>
      <c r="B727" s="98">
        <v>4</v>
      </c>
      <c r="C727" s="94">
        <v>4</v>
      </c>
      <c r="D727" s="94">
        <v>3</v>
      </c>
      <c r="E727" s="94" t="s">
        <v>210</v>
      </c>
      <c r="F727" s="94">
        <v>-1</v>
      </c>
      <c r="G727" s="94" t="s">
        <v>210</v>
      </c>
      <c r="H727" s="94">
        <v>-4</v>
      </c>
      <c r="I727" s="94" t="s">
        <v>210</v>
      </c>
      <c r="J727" s="94">
        <v>2</v>
      </c>
      <c r="K727" s="94" t="s">
        <v>210</v>
      </c>
      <c r="L727" s="94" t="s">
        <v>210</v>
      </c>
      <c r="M727" s="94" t="s">
        <v>210</v>
      </c>
      <c r="N727" s="94">
        <v>-5</v>
      </c>
      <c r="O727" s="94" t="s">
        <v>210</v>
      </c>
      <c r="P727" s="94"/>
      <c r="Q727" s="94"/>
      <c r="R727" s="94"/>
      <c r="S727" s="94"/>
      <c r="T727" s="94"/>
      <c r="U727" s="94"/>
      <c r="V727" s="94"/>
      <c r="W727" s="94"/>
      <c r="X727" s="94"/>
      <c r="Y727" s="94"/>
      <c r="Z727" s="94"/>
      <c r="AA727" s="94"/>
      <c r="AB727" s="94"/>
      <c r="AC727" s="94"/>
      <c r="AD727" s="94"/>
      <c r="AE727" s="94"/>
      <c r="AF727" s="94"/>
      <c r="AG727" s="94"/>
      <c r="AH727" s="94"/>
      <c r="AI727" s="94"/>
      <c r="AJ727" s="94"/>
      <c r="AK727" s="94"/>
      <c r="AL727" s="94"/>
      <c r="AM727" s="94"/>
      <c r="AN727" s="94"/>
      <c r="AO727" s="94"/>
      <c r="AP727" s="94"/>
      <c r="AQ727" s="94"/>
      <c r="AR727" s="94"/>
      <c r="AS727" s="94"/>
      <c r="AT727" s="94"/>
      <c r="AU727" s="94"/>
      <c r="AV727" s="94"/>
      <c r="AW727" s="94"/>
      <c r="AX727" s="94"/>
      <c r="AY727" s="94"/>
      <c r="BA727" s="95"/>
    </row>
    <row r="728" spans="1:53" s="87" customFormat="1">
      <c r="A728" s="90" t="str">
        <f t="shared" si="59"/>
        <v/>
      </c>
      <c r="B728" s="98">
        <v>5</v>
      </c>
      <c r="C728" s="94" t="s">
        <v>210</v>
      </c>
      <c r="D728" s="94">
        <v>-1</v>
      </c>
      <c r="E728" s="94" t="s">
        <v>210</v>
      </c>
      <c r="F728" s="94">
        <v>2</v>
      </c>
      <c r="G728" s="94" t="s">
        <v>210</v>
      </c>
      <c r="H728" s="94">
        <v>4</v>
      </c>
      <c r="I728" s="94" t="s">
        <v>210</v>
      </c>
      <c r="J728" s="94" t="s">
        <v>210</v>
      </c>
      <c r="K728" s="94">
        <v>-2</v>
      </c>
      <c r="L728" s="94" t="s">
        <v>210</v>
      </c>
      <c r="M728" s="94">
        <v>5</v>
      </c>
      <c r="N728" s="94" t="s">
        <v>210</v>
      </c>
      <c r="O728" s="94">
        <v>-3</v>
      </c>
      <c r="P728" s="94"/>
      <c r="Q728" s="94"/>
      <c r="R728" s="94"/>
      <c r="S728" s="94"/>
      <c r="T728" s="94"/>
      <c r="U728" s="94"/>
      <c r="V728" s="94"/>
      <c r="W728" s="94"/>
      <c r="X728" s="94"/>
      <c r="Y728" s="94"/>
      <c r="Z728" s="94"/>
      <c r="AA728" s="94"/>
      <c r="AB728" s="94"/>
      <c r="AC728" s="94"/>
      <c r="AD728" s="94"/>
      <c r="AE728" s="94"/>
      <c r="AF728" s="94"/>
      <c r="AG728" s="94"/>
      <c r="AH728" s="94"/>
      <c r="AI728" s="94"/>
      <c r="AJ728" s="94"/>
      <c r="AK728" s="94"/>
      <c r="AL728" s="94"/>
      <c r="AM728" s="94"/>
      <c r="AN728" s="94"/>
      <c r="AO728" s="94"/>
      <c r="AP728" s="94"/>
      <c r="AQ728" s="94"/>
      <c r="AR728" s="94"/>
      <c r="AS728" s="94"/>
      <c r="AT728" s="94"/>
      <c r="AU728" s="94"/>
      <c r="AV728" s="94"/>
      <c r="AW728" s="94"/>
      <c r="AX728" s="94"/>
      <c r="AY728" s="94"/>
      <c r="BA728" s="95"/>
    </row>
    <row r="729" spans="1:53" s="87" customFormat="1">
      <c r="A729" s="90" t="str">
        <f t="shared" si="59"/>
        <v/>
      </c>
      <c r="B729" s="98">
        <v>6</v>
      </c>
      <c r="C729" s="94" t="s">
        <v>210</v>
      </c>
      <c r="D729" s="94" t="s">
        <v>210</v>
      </c>
      <c r="E729" s="94">
        <v>-5</v>
      </c>
      <c r="F729" s="94" t="s">
        <v>210</v>
      </c>
      <c r="G729" s="94">
        <v>1</v>
      </c>
      <c r="H729" s="94" t="s">
        <v>210</v>
      </c>
      <c r="I729" s="94" t="s">
        <v>210</v>
      </c>
      <c r="J729" s="94">
        <v>-2</v>
      </c>
      <c r="K729" s="94" t="s">
        <v>210</v>
      </c>
      <c r="L729" s="94">
        <v>4</v>
      </c>
      <c r="M729" s="94">
        <v>-1</v>
      </c>
      <c r="N729" s="94" t="s">
        <v>210</v>
      </c>
      <c r="O729" s="94">
        <v>3</v>
      </c>
      <c r="P729" s="94"/>
      <c r="Q729" s="94"/>
      <c r="R729" s="94"/>
      <c r="S729" s="94"/>
      <c r="T729" s="94"/>
      <c r="U729" s="94"/>
      <c r="V729" s="94"/>
      <c r="W729" s="94"/>
      <c r="X729" s="94"/>
      <c r="Y729" s="94"/>
      <c r="Z729" s="94"/>
      <c r="AA729" s="94"/>
      <c r="AB729" s="94"/>
      <c r="AC729" s="94"/>
      <c r="AD729" s="94"/>
      <c r="AE729" s="94"/>
      <c r="AF729" s="94"/>
      <c r="AG729" s="94"/>
      <c r="AH729" s="94"/>
      <c r="AI729" s="94"/>
      <c r="AJ729" s="94"/>
      <c r="AK729" s="94"/>
      <c r="AL729" s="94"/>
      <c r="AM729" s="94"/>
      <c r="AN729" s="94"/>
      <c r="AO729" s="94"/>
      <c r="AP729" s="94"/>
      <c r="AQ729" s="94"/>
      <c r="AR729" s="94"/>
      <c r="AS729" s="94"/>
      <c r="AT729" s="94"/>
      <c r="AU729" s="94"/>
      <c r="AV729" s="94"/>
      <c r="AW729" s="94"/>
      <c r="AX729" s="94"/>
      <c r="AY729" s="94"/>
      <c r="BA729" s="95"/>
    </row>
    <row r="730" spans="1:53" s="87" customFormat="1">
      <c r="A730" s="90" t="str">
        <f t="shared" si="59"/>
        <v/>
      </c>
      <c r="B730" s="99">
        <v>7</v>
      </c>
      <c r="C730" s="92" t="s">
        <v>210</v>
      </c>
      <c r="D730" s="92">
        <v>-3</v>
      </c>
      <c r="E730" s="92" t="s">
        <v>210</v>
      </c>
      <c r="F730" s="92">
        <v>-2</v>
      </c>
      <c r="G730" s="92">
        <v>3</v>
      </c>
      <c r="H730" s="92" t="s">
        <v>210</v>
      </c>
      <c r="I730" s="92">
        <v>-5</v>
      </c>
      <c r="J730" s="92" t="s">
        <v>210</v>
      </c>
      <c r="K730" s="92">
        <v>4</v>
      </c>
      <c r="L730" s="92" t="s">
        <v>210</v>
      </c>
      <c r="M730" s="92">
        <v>1</v>
      </c>
      <c r="N730" s="92" t="s">
        <v>210</v>
      </c>
      <c r="O730" s="92" t="s">
        <v>210</v>
      </c>
      <c r="P730" s="94"/>
      <c r="Q730" s="94"/>
      <c r="R730" s="94"/>
      <c r="S730" s="94"/>
      <c r="T730" s="94"/>
      <c r="U730" s="94"/>
      <c r="V730" s="94"/>
      <c r="W730" s="94"/>
      <c r="X730" s="94"/>
      <c r="Y730" s="94"/>
      <c r="Z730" s="94"/>
      <c r="AA730" s="94"/>
      <c r="AB730" s="94"/>
      <c r="AC730" s="94"/>
      <c r="AD730" s="94"/>
      <c r="AE730" s="94"/>
      <c r="AF730" s="94"/>
      <c r="AG730" s="94"/>
      <c r="AH730" s="94"/>
      <c r="AI730" s="94"/>
      <c r="AJ730" s="94"/>
      <c r="AK730" s="94"/>
      <c r="AL730" s="94"/>
      <c r="AM730" s="94"/>
      <c r="AN730" s="94"/>
      <c r="AO730" s="94"/>
      <c r="AP730" s="94"/>
      <c r="AQ730" s="94"/>
      <c r="AR730" s="94"/>
      <c r="AS730" s="94"/>
      <c r="AT730" s="94"/>
      <c r="AU730" s="94"/>
      <c r="AV730" s="94"/>
      <c r="AW730" s="94"/>
      <c r="AX730" s="94"/>
      <c r="AY730" s="94"/>
      <c r="BA730" s="95"/>
    </row>
    <row r="731" spans="1:53" s="87" customFormat="1">
      <c r="A731" s="90" t="str">
        <f t="shared" si="59"/>
        <v/>
      </c>
      <c r="B731" s="98">
        <v>8</v>
      </c>
      <c r="C731" s="94">
        <v>3</v>
      </c>
      <c r="D731" s="94">
        <v>2</v>
      </c>
      <c r="E731" s="94" t="s">
        <v>210</v>
      </c>
      <c r="F731" s="94">
        <v>4</v>
      </c>
      <c r="G731" s="94" t="s">
        <v>210</v>
      </c>
      <c r="H731" s="94">
        <v>-1</v>
      </c>
      <c r="I731" s="94" t="s">
        <v>210</v>
      </c>
      <c r="J731" s="94" t="s">
        <v>210</v>
      </c>
      <c r="K731" s="94">
        <v>-3</v>
      </c>
      <c r="L731" s="94" t="s">
        <v>210</v>
      </c>
      <c r="M731" s="94" t="s">
        <v>210</v>
      </c>
      <c r="N731" s="94">
        <v>-2</v>
      </c>
      <c r="O731" s="94" t="s">
        <v>210</v>
      </c>
      <c r="P731" s="94"/>
      <c r="Q731" s="94"/>
      <c r="R731" s="94"/>
      <c r="S731" s="94"/>
      <c r="T731" s="94"/>
      <c r="U731" s="94"/>
      <c r="V731" s="94"/>
      <c r="W731" s="94"/>
      <c r="X731" s="94"/>
      <c r="Y731" s="94"/>
      <c r="Z731" s="94"/>
      <c r="AA731" s="94"/>
      <c r="AB731" s="94"/>
      <c r="AC731" s="94"/>
      <c r="AD731" s="94"/>
      <c r="AE731" s="94"/>
      <c r="AF731" s="94"/>
      <c r="AG731" s="94"/>
      <c r="AH731" s="94"/>
      <c r="AI731" s="94"/>
      <c r="AJ731" s="94"/>
      <c r="AK731" s="94"/>
      <c r="AL731" s="94"/>
      <c r="AM731" s="94"/>
      <c r="AN731" s="94"/>
      <c r="AO731" s="94"/>
      <c r="AP731" s="94"/>
      <c r="AQ731" s="94"/>
      <c r="AR731" s="94"/>
      <c r="AS731" s="94"/>
      <c r="AT731" s="94"/>
      <c r="AU731" s="94"/>
      <c r="AV731" s="94"/>
      <c r="AW731" s="94"/>
      <c r="AX731" s="94"/>
      <c r="AY731" s="94"/>
      <c r="BA731" s="95"/>
    </row>
    <row r="732" spans="1:53" s="87" customFormat="1">
      <c r="A732" s="90" t="str">
        <f t="shared" si="59"/>
        <v/>
      </c>
      <c r="B732" s="98">
        <v>9</v>
      </c>
      <c r="C732" s="94">
        <v>5</v>
      </c>
      <c r="D732" s="94" t="s">
        <v>210</v>
      </c>
      <c r="E732" s="94">
        <v>-1</v>
      </c>
      <c r="F732" s="94" t="s">
        <v>210</v>
      </c>
      <c r="G732" s="94">
        <v>-4</v>
      </c>
      <c r="H732" s="94" t="s">
        <v>210</v>
      </c>
      <c r="I732" s="94" t="s">
        <v>210</v>
      </c>
      <c r="J732" s="94">
        <v>-5</v>
      </c>
      <c r="K732" s="94" t="s">
        <v>210</v>
      </c>
      <c r="L732" s="94">
        <v>1</v>
      </c>
      <c r="M732" s="94" t="s">
        <v>210</v>
      </c>
      <c r="N732" s="94">
        <v>2</v>
      </c>
      <c r="O732" s="94" t="s">
        <v>210</v>
      </c>
      <c r="P732" s="94"/>
      <c r="Q732" s="94"/>
      <c r="R732" s="94"/>
      <c r="S732" s="94"/>
      <c r="T732" s="94"/>
      <c r="U732" s="94"/>
      <c r="V732" s="94"/>
      <c r="W732" s="94"/>
      <c r="X732" s="94"/>
      <c r="Y732" s="94"/>
      <c r="Z732" s="94"/>
      <c r="AA732" s="94"/>
      <c r="AB732" s="94"/>
      <c r="AC732" s="94"/>
      <c r="AD732" s="94"/>
      <c r="AE732" s="94"/>
      <c r="AF732" s="94"/>
      <c r="AG732" s="94"/>
      <c r="AH732" s="94"/>
      <c r="AI732" s="94"/>
      <c r="AJ732" s="94"/>
      <c r="AK732" s="94"/>
      <c r="AL732" s="94"/>
      <c r="AM732" s="94"/>
      <c r="AN732" s="94"/>
      <c r="AO732" s="94"/>
      <c r="AP732" s="94"/>
      <c r="AQ732" s="94"/>
      <c r="AR732" s="94"/>
      <c r="AS732" s="94"/>
      <c r="AT732" s="94"/>
      <c r="AU732" s="94"/>
      <c r="AV732" s="94"/>
      <c r="AW732" s="94"/>
      <c r="AX732" s="94"/>
      <c r="AY732" s="94"/>
      <c r="BA732" s="95"/>
    </row>
    <row r="733" spans="1:53" s="87" customFormat="1">
      <c r="A733" s="90" t="str">
        <f t="shared" si="59"/>
        <v/>
      </c>
      <c r="B733" s="98">
        <v>10</v>
      </c>
      <c r="C733" s="94" t="s">
        <v>210</v>
      </c>
      <c r="D733" s="94">
        <v>5</v>
      </c>
      <c r="E733" s="94" t="s">
        <v>210</v>
      </c>
      <c r="F733" s="94">
        <v>-4</v>
      </c>
      <c r="G733" s="94" t="s">
        <v>210</v>
      </c>
      <c r="H733" s="94">
        <v>2</v>
      </c>
      <c r="I733" s="94" t="s">
        <v>210</v>
      </c>
      <c r="J733" s="94">
        <v>-3</v>
      </c>
      <c r="K733" s="94" t="s">
        <v>210</v>
      </c>
      <c r="L733" s="94">
        <v>-1</v>
      </c>
      <c r="M733" s="94" t="s">
        <v>210</v>
      </c>
      <c r="N733" s="94">
        <v>4</v>
      </c>
      <c r="O733" s="94" t="s">
        <v>210</v>
      </c>
      <c r="P733" s="94"/>
      <c r="Q733" s="94"/>
      <c r="R733" s="94"/>
      <c r="S733" s="94"/>
      <c r="T733" s="94"/>
      <c r="U733" s="94"/>
      <c r="V733" s="94"/>
      <c r="W733" s="94"/>
      <c r="X733" s="94"/>
      <c r="Y733" s="94"/>
      <c r="Z733" s="94"/>
      <c r="AA733" s="94"/>
      <c r="AB733" s="94"/>
      <c r="AC733" s="94"/>
      <c r="AD733" s="94"/>
      <c r="AE733" s="94"/>
      <c r="AF733" s="94"/>
      <c r="AG733" s="94"/>
      <c r="AH733" s="94"/>
      <c r="AI733" s="94"/>
      <c r="AJ733" s="94"/>
      <c r="AK733" s="94"/>
      <c r="AL733" s="94"/>
      <c r="AM733" s="94"/>
      <c r="AN733" s="94"/>
      <c r="AO733" s="94"/>
      <c r="AP733" s="94"/>
      <c r="AQ733" s="94"/>
      <c r="AR733" s="94"/>
      <c r="AS733" s="94"/>
      <c r="AT733" s="94"/>
      <c r="AU733" s="94"/>
      <c r="AV733" s="94"/>
      <c r="AW733" s="94"/>
      <c r="AX733" s="94"/>
      <c r="AY733" s="94"/>
      <c r="BA733" s="95"/>
    </row>
    <row r="734" spans="1:53" s="87" customFormat="1">
      <c r="A734" s="90" t="str">
        <f t="shared" si="59"/>
        <v/>
      </c>
      <c r="B734" s="98">
        <v>11</v>
      </c>
      <c r="C734" s="94" t="s">
        <v>210</v>
      </c>
      <c r="D734" s="94">
        <v>-2</v>
      </c>
      <c r="E734" s="94" t="s">
        <v>210</v>
      </c>
      <c r="F734" s="94">
        <v>3</v>
      </c>
      <c r="G734" s="94" t="s">
        <v>210</v>
      </c>
      <c r="H734" s="94" t="s">
        <v>210</v>
      </c>
      <c r="I734" s="94">
        <v>1</v>
      </c>
      <c r="J734" s="94">
        <v>5</v>
      </c>
      <c r="K734" s="94" t="s">
        <v>210</v>
      </c>
      <c r="L734" s="94">
        <v>-3</v>
      </c>
      <c r="M734" s="94" t="s">
        <v>210</v>
      </c>
      <c r="N734" s="94">
        <v>-4</v>
      </c>
      <c r="O734" s="94" t="s">
        <v>210</v>
      </c>
      <c r="P734" s="94"/>
      <c r="Q734" s="94"/>
      <c r="R734" s="94"/>
      <c r="S734" s="94"/>
      <c r="T734" s="94"/>
      <c r="U734" s="94"/>
      <c r="V734" s="94"/>
      <c r="W734" s="94"/>
      <c r="X734" s="94"/>
      <c r="Y734" s="94"/>
      <c r="Z734" s="94"/>
      <c r="AA734" s="94"/>
      <c r="AB734" s="94"/>
      <c r="AC734" s="94"/>
      <c r="AD734" s="94"/>
      <c r="AE734" s="94"/>
      <c r="AF734" s="94"/>
      <c r="AG734" s="94"/>
      <c r="AH734" s="94"/>
      <c r="AI734" s="94"/>
      <c r="AJ734" s="94"/>
      <c r="AK734" s="94"/>
      <c r="AL734" s="94"/>
      <c r="AM734" s="94"/>
      <c r="AN734" s="94"/>
      <c r="AO734" s="94"/>
      <c r="AP734" s="94"/>
      <c r="AQ734" s="94"/>
      <c r="AR734" s="94"/>
      <c r="AS734" s="94"/>
      <c r="AT734" s="94"/>
      <c r="AU734" s="94"/>
      <c r="AV734" s="94"/>
      <c r="AW734" s="94"/>
      <c r="AX734" s="94"/>
      <c r="AY734" s="94"/>
      <c r="BA734" s="95"/>
    </row>
    <row r="735" spans="1:53" s="87" customFormat="1">
      <c r="A735" s="90" t="str">
        <f t="shared" si="59"/>
        <v/>
      </c>
      <c r="B735" s="98">
        <v>12</v>
      </c>
      <c r="C735" s="94" t="s">
        <v>210</v>
      </c>
      <c r="D735" s="94">
        <v>-5</v>
      </c>
      <c r="E735" s="94" t="s">
        <v>210</v>
      </c>
      <c r="F735" s="94" t="s">
        <v>210</v>
      </c>
      <c r="G735" s="94">
        <v>4</v>
      </c>
      <c r="H735" s="94" t="s">
        <v>210</v>
      </c>
      <c r="I735" s="94">
        <v>-1</v>
      </c>
      <c r="J735" s="94" t="s">
        <v>210</v>
      </c>
      <c r="K735" s="94">
        <v>3</v>
      </c>
      <c r="L735" s="94" t="s">
        <v>210</v>
      </c>
      <c r="M735" s="94">
        <v>2</v>
      </c>
      <c r="N735" s="94" t="s">
        <v>210</v>
      </c>
      <c r="O735" s="94">
        <v>-4</v>
      </c>
      <c r="P735" s="94"/>
      <c r="Q735" s="94"/>
      <c r="R735" s="94"/>
      <c r="S735" s="94"/>
      <c r="T735" s="94"/>
      <c r="U735" s="94"/>
      <c r="V735" s="94"/>
      <c r="W735" s="94"/>
      <c r="X735" s="94"/>
      <c r="Y735" s="94"/>
      <c r="Z735" s="94"/>
      <c r="AA735" s="94"/>
      <c r="AB735" s="94"/>
      <c r="AC735" s="94"/>
      <c r="AD735" s="94"/>
      <c r="AE735" s="94"/>
      <c r="AF735" s="94"/>
      <c r="AG735" s="94"/>
      <c r="AH735" s="94"/>
      <c r="AI735" s="94"/>
      <c r="AJ735" s="94"/>
      <c r="AK735" s="94"/>
      <c r="AL735" s="94"/>
      <c r="AM735" s="94"/>
      <c r="AN735" s="94"/>
      <c r="AO735" s="94"/>
      <c r="AP735" s="94"/>
      <c r="AQ735" s="94"/>
      <c r="AR735" s="94"/>
      <c r="AS735" s="94"/>
      <c r="AT735" s="94"/>
      <c r="AU735" s="94"/>
      <c r="AV735" s="94"/>
      <c r="AW735" s="94"/>
      <c r="AX735" s="94"/>
      <c r="AY735" s="94"/>
      <c r="BA735" s="95"/>
    </row>
    <row r="736" spans="1:53" s="87" customFormat="1">
      <c r="A736" s="90" t="str">
        <f t="shared" si="59"/>
        <v/>
      </c>
      <c r="B736" s="98">
        <v>13</v>
      </c>
      <c r="C736" s="94">
        <v>-3</v>
      </c>
      <c r="D736" s="94" t="s">
        <v>210</v>
      </c>
      <c r="E736" s="94">
        <v>1</v>
      </c>
      <c r="F736" s="94" t="s">
        <v>210</v>
      </c>
      <c r="G736" s="94" t="s">
        <v>210</v>
      </c>
      <c r="H736" s="94">
        <v>-2</v>
      </c>
      <c r="I736" s="94" t="s">
        <v>210</v>
      </c>
      <c r="J736" s="94" t="s">
        <v>210</v>
      </c>
      <c r="K736" s="94">
        <v>-5</v>
      </c>
      <c r="L736" s="94">
        <v>3</v>
      </c>
      <c r="M736" s="94" t="s">
        <v>210</v>
      </c>
      <c r="N736" s="94" t="s">
        <v>210</v>
      </c>
      <c r="O736" s="94">
        <v>4</v>
      </c>
      <c r="P736" s="94"/>
      <c r="Q736" s="94"/>
      <c r="R736" s="94"/>
      <c r="S736" s="94"/>
      <c r="T736" s="94"/>
      <c r="U736" s="94"/>
      <c r="V736" s="94"/>
      <c r="W736" s="94"/>
      <c r="X736" s="94"/>
      <c r="Y736" s="94"/>
      <c r="Z736" s="94"/>
      <c r="AA736" s="94"/>
      <c r="AB736" s="94"/>
      <c r="AC736" s="94"/>
      <c r="AD736" s="94"/>
      <c r="AE736" s="94"/>
      <c r="AF736" s="94"/>
      <c r="AG736" s="94"/>
      <c r="AH736" s="94"/>
      <c r="AI736" s="94"/>
      <c r="AJ736" s="94"/>
      <c r="AK736" s="94"/>
      <c r="AL736" s="94"/>
      <c r="AM736" s="94"/>
      <c r="AN736" s="94"/>
      <c r="AO736" s="94"/>
      <c r="AP736" s="94"/>
      <c r="AQ736" s="94"/>
      <c r="AR736" s="94"/>
      <c r="AS736" s="94"/>
      <c r="AT736" s="94"/>
      <c r="AU736" s="94"/>
      <c r="AV736" s="94"/>
      <c r="AW736" s="94"/>
      <c r="AX736" s="94"/>
      <c r="AY736" s="94"/>
      <c r="BA736" s="95"/>
    </row>
    <row r="737" spans="1:53" s="87" customFormat="1">
      <c r="A737" s="90" t="str">
        <f t="shared" si="59"/>
        <v/>
      </c>
      <c r="B737" s="99">
        <v>14</v>
      </c>
      <c r="C737" s="92">
        <v>-5</v>
      </c>
      <c r="D737" s="92" t="s">
        <v>210</v>
      </c>
      <c r="E737" s="92" t="s">
        <v>210</v>
      </c>
      <c r="F737" s="92">
        <v>-3</v>
      </c>
      <c r="G737" s="92" t="s">
        <v>210</v>
      </c>
      <c r="H737" s="92">
        <v>1</v>
      </c>
      <c r="I737" s="92" t="s">
        <v>210</v>
      </c>
      <c r="J737" s="92">
        <v>3</v>
      </c>
      <c r="K737" s="92">
        <v>5</v>
      </c>
      <c r="L737" s="92" t="s">
        <v>210</v>
      </c>
      <c r="M737" s="92">
        <v>-2</v>
      </c>
      <c r="N737" s="92" t="s">
        <v>210</v>
      </c>
      <c r="O737" s="92" t="s">
        <v>210</v>
      </c>
      <c r="P737" s="94"/>
      <c r="Q737" s="94"/>
      <c r="R737" s="94"/>
      <c r="S737" s="94"/>
      <c r="T737" s="94"/>
      <c r="U737" s="94"/>
      <c r="V737" s="94"/>
      <c r="W737" s="94"/>
      <c r="X737" s="94"/>
      <c r="Y737" s="94"/>
      <c r="Z737" s="94"/>
      <c r="AA737" s="94"/>
      <c r="AB737" s="94"/>
      <c r="AC737" s="94"/>
      <c r="AD737" s="94"/>
      <c r="AE737" s="94"/>
      <c r="AF737" s="94"/>
      <c r="AG737" s="94"/>
      <c r="AH737" s="94"/>
      <c r="AI737" s="94"/>
      <c r="AJ737" s="94"/>
      <c r="AK737" s="94"/>
      <c r="AL737" s="94"/>
      <c r="AM737" s="94"/>
      <c r="AN737" s="94"/>
      <c r="AO737" s="94"/>
      <c r="AP737" s="94"/>
      <c r="AQ737" s="94"/>
      <c r="AR737" s="94"/>
      <c r="AS737" s="94"/>
      <c r="AT737" s="94"/>
      <c r="AU737" s="94"/>
      <c r="AV737" s="94"/>
      <c r="AW737" s="94"/>
      <c r="AX737" s="94"/>
      <c r="AY737" s="94"/>
      <c r="BA737" s="95"/>
    </row>
    <row r="738" spans="1:53" s="87" customFormat="1">
      <c r="A738" s="90" t="str">
        <f t="shared" si="59"/>
        <v/>
      </c>
      <c r="B738" s="98">
        <v>15</v>
      </c>
      <c r="C738" s="94" t="s">
        <v>210</v>
      </c>
      <c r="D738" s="94" t="s">
        <v>210</v>
      </c>
      <c r="E738" s="94">
        <v>-4</v>
      </c>
      <c r="F738" s="94" t="s">
        <v>210</v>
      </c>
      <c r="G738" s="94">
        <v>-2</v>
      </c>
      <c r="H738" s="94" t="s">
        <v>210</v>
      </c>
      <c r="I738" s="94">
        <v>-3</v>
      </c>
      <c r="J738" s="94">
        <v>4</v>
      </c>
      <c r="K738" s="94" t="s">
        <v>210</v>
      </c>
      <c r="L738" s="94">
        <v>5</v>
      </c>
      <c r="M738" s="94" t="s">
        <v>210</v>
      </c>
      <c r="N738" s="94">
        <v>1</v>
      </c>
      <c r="O738" s="94" t="s">
        <v>210</v>
      </c>
      <c r="P738" s="94"/>
      <c r="Q738" s="94"/>
      <c r="R738" s="94"/>
      <c r="S738" s="94"/>
      <c r="T738" s="94"/>
      <c r="U738" s="94"/>
      <c r="V738" s="94"/>
      <c r="W738" s="94"/>
      <c r="X738" s="94"/>
      <c r="Y738" s="94"/>
      <c r="Z738" s="94"/>
      <c r="AA738" s="94"/>
      <c r="AB738" s="94"/>
      <c r="AC738" s="94"/>
      <c r="AD738" s="94"/>
      <c r="AE738" s="94"/>
      <c r="AF738" s="94"/>
      <c r="AG738" s="94"/>
      <c r="AH738" s="94"/>
      <c r="AI738" s="94"/>
      <c r="AJ738" s="94"/>
      <c r="AK738" s="94"/>
      <c r="AL738" s="94"/>
      <c r="AM738" s="94"/>
      <c r="AN738" s="94"/>
      <c r="AO738" s="94"/>
      <c r="AP738" s="94"/>
      <c r="AQ738" s="94"/>
      <c r="AR738" s="94"/>
      <c r="AS738" s="94"/>
      <c r="AT738" s="94"/>
      <c r="AU738" s="94"/>
      <c r="AV738" s="94"/>
      <c r="AW738" s="94"/>
      <c r="AX738" s="94"/>
      <c r="AY738" s="94"/>
      <c r="BA738" s="95"/>
    </row>
    <row r="739" spans="1:53" s="87" customFormat="1">
      <c r="A739" s="90" t="str">
        <f t="shared" si="59"/>
        <v/>
      </c>
      <c r="B739" s="98">
        <v>16</v>
      </c>
      <c r="C739" s="94">
        <v>2</v>
      </c>
      <c r="D739" s="94" t="s">
        <v>210</v>
      </c>
      <c r="E739" s="94">
        <v>3</v>
      </c>
      <c r="F739" s="94" t="s">
        <v>210</v>
      </c>
      <c r="G739" s="94" t="s">
        <v>210</v>
      </c>
      <c r="H739" s="94">
        <v>5</v>
      </c>
      <c r="I739" s="94">
        <v>-4</v>
      </c>
      <c r="J739" s="94" t="s">
        <v>210</v>
      </c>
      <c r="K739" s="94" t="s">
        <v>210</v>
      </c>
      <c r="L739" s="94">
        <v>-2</v>
      </c>
      <c r="M739" s="94" t="s">
        <v>210</v>
      </c>
      <c r="N739" s="94">
        <v>-1</v>
      </c>
      <c r="O739" s="94" t="s">
        <v>210</v>
      </c>
      <c r="P739" s="94"/>
      <c r="Q739" s="94"/>
      <c r="R739" s="94"/>
      <c r="S739" s="94"/>
      <c r="T739" s="94"/>
      <c r="U739" s="94"/>
      <c r="V739" s="94"/>
      <c r="W739" s="94"/>
      <c r="X739" s="94"/>
      <c r="Y739" s="94"/>
      <c r="Z739" s="94"/>
      <c r="AA739" s="94"/>
      <c r="AB739" s="94"/>
      <c r="AC739" s="94"/>
      <c r="AD739" s="94"/>
      <c r="AE739" s="94"/>
      <c r="AF739" s="94"/>
      <c r="AG739" s="94"/>
      <c r="AH739" s="94"/>
      <c r="AI739" s="94"/>
      <c r="AJ739" s="94"/>
      <c r="AK739" s="94"/>
      <c r="AL739" s="94"/>
      <c r="AM739" s="94"/>
      <c r="AN739" s="94"/>
      <c r="AO739" s="94"/>
      <c r="AP739" s="94"/>
      <c r="AQ739" s="94"/>
      <c r="AR739" s="94"/>
      <c r="AS739" s="94"/>
      <c r="AT739" s="94"/>
      <c r="AU739" s="94"/>
      <c r="AV739" s="94"/>
      <c r="AW739" s="94"/>
      <c r="AX739" s="94"/>
      <c r="AY739" s="94"/>
      <c r="BA739" s="95"/>
    </row>
    <row r="740" spans="1:53" s="87" customFormat="1">
      <c r="A740" s="90" t="str">
        <f t="shared" si="59"/>
        <v/>
      </c>
      <c r="B740" s="98">
        <v>17</v>
      </c>
      <c r="C740" s="94" t="s">
        <v>210</v>
      </c>
      <c r="D740" s="94">
        <v>-4</v>
      </c>
      <c r="E740" s="94" t="s">
        <v>210</v>
      </c>
      <c r="F740" s="94">
        <v>-5</v>
      </c>
      <c r="G740" s="94">
        <v>2</v>
      </c>
      <c r="H740" s="94" t="s">
        <v>210</v>
      </c>
      <c r="I740" s="94">
        <v>4</v>
      </c>
      <c r="J740" s="94" t="s">
        <v>210</v>
      </c>
      <c r="K740" s="94">
        <v>-1</v>
      </c>
      <c r="L740" s="94" t="s">
        <v>210</v>
      </c>
      <c r="M740" s="94">
        <v>3</v>
      </c>
      <c r="N740" s="94" t="s">
        <v>210</v>
      </c>
      <c r="O740" s="94" t="s">
        <v>210</v>
      </c>
      <c r="P740" s="94"/>
      <c r="Q740" s="94"/>
      <c r="R740" s="94"/>
      <c r="S740" s="94"/>
      <c r="T740" s="94"/>
      <c r="U740" s="94"/>
      <c r="V740" s="94"/>
      <c r="W740" s="94"/>
      <c r="X740" s="94"/>
      <c r="Y740" s="94"/>
      <c r="Z740" s="94"/>
      <c r="AA740" s="94"/>
      <c r="AB740" s="94"/>
      <c r="AC740" s="94"/>
      <c r="AD740" s="94"/>
      <c r="AE740" s="94"/>
      <c r="AF740" s="94"/>
      <c r="AG740" s="94"/>
      <c r="AH740" s="94"/>
      <c r="AI740" s="94"/>
      <c r="AJ740" s="94"/>
      <c r="AK740" s="94"/>
      <c r="AL740" s="94"/>
      <c r="AM740" s="94"/>
      <c r="AN740" s="94"/>
      <c r="AO740" s="94"/>
      <c r="AP740" s="94"/>
      <c r="AQ740" s="94"/>
      <c r="AR740" s="94"/>
      <c r="AS740" s="94"/>
      <c r="AT740" s="94"/>
      <c r="AU740" s="94"/>
      <c r="AV740" s="94"/>
      <c r="AW740" s="94"/>
      <c r="AX740" s="94"/>
      <c r="AY740" s="94"/>
      <c r="BA740" s="95"/>
    </row>
    <row r="741" spans="1:53" s="87" customFormat="1">
      <c r="A741" s="90" t="str">
        <f t="shared" si="59"/>
        <v/>
      </c>
      <c r="B741" s="98">
        <v>18</v>
      </c>
      <c r="C741" s="94">
        <v>-2</v>
      </c>
      <c r="D741" s="94" t="s">
        <v>210</v>
      </c>
      <c r="E741" s="94" t="s">
        <v>210</v>
      </c>
      <c r="F741" s="94">
        <v>5</v>
      </c>
      <c r="G741" s="94" t="s">
        <v>210</v>
      </c>
      <c r="H741" s="94">
        <v>3</v>
      </c>
      <c r="I741" s="94" t="s">
        <v>210</v>
      </c>
      <c r="J741" s="94">
        <v>1</v>
      </c>
      <c r="K741" s="94" t="s">
        <v>210</v>
      </c>
      <c r="L741" s="94">
        <v>-5</v>
      </c>
      <c r="M741" s="94">
        <v>-4</v>
      </c>
      <c r="N741" s="94" t="s">
        <v>210</v>
      </c>
      <c r="O741" s="94" t="s">
        <v>210</v>
      </c>
      <c r="P741" s="94"/>
      <c r="Q741" s="94"/>
      <c r="R741" s="94"/>
      <c r="S741" s="94"/>
      <c r="T741" s="94"/>
      <c r="U741" s="94"/>
      <c r="V741" s="94"/>
      <c r="W741" s="94"/>
      <c r="X741" s="94"/>
      <c r="Y741" s="94"/>
      <c r="Z741" s="94"/>
      <c r="AA741" s="94"/>
      <c r="AB741" s="94"/>
      <c r="AC741" s="94"/>
      <c r="AD741" s="94"/>
      <c r="AE741" s="94"/>
      <c r="AF741" s="94"/>
      <c r="AG741" s="94"/>
      <c r="AH741" s="94"/>
      <c r="AI741" s="94"/>
      <c r="AJ741" s="94"/>
      <c r="AK741" s="94"/>
      <c r="AL741" s="94"/>
      <c r="AM741" s="94"/>
      <c r="AN741" s="94"/>
      <c r="AO741" s="94"/>
      <c r="AP741" s="94"/>
      <c r="AQ741" s="94"/>
      <c r="AR741" s="94"/>
      <c r="AS741" s="94"/>
      <c r="AT741" s="94"/>
      <c r="AU741" s="94"/>
      <c r="AV741" s="94"/>
      <c r="AW741" s="94"/>
      <c r="AX741" s="94"/>
      <c r="AY741" s="94"/>
      <c r="BA741" s="95"/>
    </row>
    <row r="742" spans="1:53" s="87" customFormat="1">
      <c r="A742" s="90" t="str">
        <f t="shared" si="59"/>
        <v/>
      </c>
      <c r="B742" s="98">
        <v>19</v>
      </c>
      <c r="C742" s="94" t="s">
        <v>210</v>
      </c>
      <c r="D742" s="94" t="s">
        <v>210</v>
      </c>
      <c r="E742" s="94">
        <v>-3</v>
      </c>
      <c r="F742" s="94" t="s">
        <v>210</v>
      </c>
      <c r="G742" s="94">
        <v>-5</v>
      </c>
      <c r="H742" s="94" t="s">
        <v>210</v>
      </c>
      <c r="I742" s="94">
        <v>3</v>
      </c>
      <c r="J742" s="94" t="s">
        <v>210</v>
      </c>
      <c r="K742" s="94">
        <v>1</v>
      </c>
      <c r="L742" s="94" t="s">
        <v>210</v>
      </c>
      <c r="M742" s="94">
        <v>4</v>
      </c>
      <c r="N742" s="94" t="s">
        <v>210</v>
      </c>
      <c r="O742" s="94">
        <v>-2</v>
      </c>
      <c r="P742" s="94"/>
      <c r="Q742" s="94"/>
      <c r="R742" s="94"/>
      <c r="S742" s="94"/>
      <c r="T742" s="94"/>
      <c r="U742" s="94"/>
      <c r="V742" s="94"/>
      <c r="W742" s="94"/>
      <c r="X742" s="94"/>
      <c r="Y742" s="94"/>
      <c r="Z742" s="94"/>
      <c r="AA742" s="94"/>
      <c r="AB742" s="94"/>
      <c r="AC742" s="94"/>
      <c r="AD742" s="94"/>
      <c r="AE742" s="94"/>
      <c r="AF742" s="94"/>
      <c r="AG742" s="94"/>
      <c r="AH742" s="94"/>
      <c r="AI742" s="94"/>
      <c r="AJ742" s="94"/>
      <c r="AK742" s="94"/>
      <c r="AL742" s="94"/>
      <c r="AM742" s="94"/>
      <c r="AN742" s="94"/>
      <c r="AO742" s="94"/>
      <c r="AP742" s="94"/>
      <c r="AQ742" s="94"/>
      <c r="AR742" s="94"/>
      <c r="AS742" s="94"/>
      <c r="AT742" s="94"/>
      <c r="AU742" s="94"/>
      <c r="AV742" s="94"/>
      <c r="AW742" s="94"/>
      <c r="AX742" s="94"/>
      <c r="AY742" s="94"/>
      <c r="BA742" s="95"/>
    </row>
    <row r="743" spans="1:53" s="87" customFormat="1">
      <c r="A743" s="90" t="str">
        <f t="shared" si="59"/>
        <v/>
      </c>
      <c r="B743" s="98">
        <v>20</v>
      </c>
      <c r="C743" s="94">
        <v>1</v>
      </c>
      <c r="D743" s="94" t="s">
        <v>210</v>
      </c>
      <c r="E743" s="94">
        <v>4</v>
      </c>
      <c r="F743" s="94" t="s">
        <v>210</v>
      </c>
      <c r="G743" s="94" t="s">
        <v>210</v>
      </c>
      <c r="H743" s="94">
        <v>-5</v>
      </c>
      <c r="I743" s="94" t="s">
        <v>210</v>
      </c>
      <c r="J743" s="94">
        <v>-1</v>
      </c>
      <c r="K743" s="94" t="s">
        <v>210</v>
      </c>
      <c r="L743" s="94" t="s">
        <v>210</v>
      </c>
      <c r="M743" s="94">
        <v>-3</v>
      </c>
      <c r="N743" s="94" t="s">
        <v>210</v>
      </c>
      <c r="O743" s="94">
        <v>2</v>
      </c>
      <c r="P743" s="94"/>
      <c r="Q743" s="94"/>
      <c r="R743" s="94"/>
      <c r="S743" s="94"/>
      <c r="T743" s="94"/>
      <c r="U743" s="94"/>
      <c r="V743" s="94"/>
      <c r="W743" s="94"/>
      <c r="X743" s="94"/>
      <c r="Y743" s="94"/>
      <c r="Z743" s="94"/>
      <c r="AA743" s="94"/>
      <c r="AB743" s="94"/>
      <c r="AC743" s="94"/>
      <c r="AD743" s="94"/>
      <c r="AE743" s="94"/>
      <c r="AF743" s="94"/>
      <c r="AG743" s="94"/>
      <c r="AH743" s="94"/>
      <c r="AI743" s="94"/>
      <c r="AJ743" s="94"/>
      <c r="AK743" s="94"/>
      <c r="AL743" s="94"/>
      <c r="AM743" s="94"/>
      <c r="AN743" s="94"/>
      <c r="AO743" s="94"/>
      <c r="AP743" s="94"/>
      <c r="AQ743" s="94"/>
      <c r="AR743" s="94"/>
      <c r="AS743" s="94"/>
      <c r="AT743" s="94"/>
      <c r="AU743" s="94"/>
      <c r="AV743" s="94"/>
      <c r="AW743" s="94"/>
      <c r="AX743" s="94"/>
      <c r="AY743" s="94"/>
      <c r="BA743" s="95"/>
    </row>
    <row r="744" spans="1:53" s="87" customFormat="1">
      <c r="A744" s="90" t="str">
        <f t="shared" si="59"/>
        <v/>
      </c>
      <c r="B744" s="98">
        <v>21</v>
      </c>
      <c r="C744" s="94">
        <v>-1</v>
      </c>
      <c r="D744" s="94">
        <v>4</v>
      </c>
      <c r="E744" s="94" t="s">
        <v>210</v>
      </c>
      <c r="F744" s="94" t="s">
        <v>210</v>
      </c>
      <c r="G744" s="94">
        <v>5</v>
      </c>
      <c r="H744" s="94">
        <v>-3</v>
      </c>
      <c r="I744" s="94" t="s">
        <v>210</v>
      </c>
      <c r="J744" s="94">
        <v>-4</v>
      </c>
      <c r="K744" s="94" t="s">
        <v>210</v>
      </c>
      <c r="L744" s="94">
        <v>2</v>
      </c>
      <c r="M744" s="94" t="s">
        <v>210</v>
      </c>
      <c r="N744" s="94" t="s">
        <v>210</v>
      </c>
      <c r="O744" s="94" t="s">
        <v>210</v>
      </c>
      <c r="P744" s="94"/>
      <c r="Q744" s="94"/>
      <c r="R744" s="94"/>
      <c r="S744" s="94"/>
      <c r="T744" s="94"/>
      <c r="U744" s="94"/>
      <c r="V744" s="94"/>
      <c r="W744" s="94"/>
      <c r="X744" s="94"/>
      <c r="Y744" s="94"/>
      <c r="Z744" s="94"/>
      <c r="AA744" s="94"/>
      <c r="AB744" s="94"/>
      <c r="AC744" s="94"/>
      <c r="AD744" s="94"/>
      <c r="AE744" s="94"/>
      <c r="AF744" s="94"/>
      <c r="AG744" s="94"/>
      <c r="AH744" s="94"/>
      <c r="AI744" s="94"/>
      <c r="AJ744" s="94"/>
      <c r="AK744" s="94"/>
      <c r="AL744" s="94"/>
      <c r="AM744" s="94"/>
      <c r="AN744" s="94"/>
      <c r="AO744" s="94"/>
      <c r="AP744" s="94"/>
      <c r="AQ744" s="94"/>
      <c r="AR744" s="94"/>
      <c r="AS744" s="94"/>
      <c r="AT744" s="94"/>
      <c r="AU744" s="94"/>
      <c r="AV744" s="94"/>
      <c r="AW744" s="94"/>
      <c r="AX744" s="94"/>
      <c r="AY744" s="94"/>
      <c r="BA744" s="95"/>
    </row>
    <row r="745" spans="1:53" s="87" customFormat="1">
      <c r="A745" s="90" t="str">
        <f t="shared" si="59"/>
        <v/>
      </c>
      <c r="B745" s="317" t="s">
        <v>841</v>
      </c>
      <c r="C745" s="94"/>
      <c r="D745" s="94"/>
      <c r="E745" s="94"/>
      <c r="F745" s="94"/>
      <c r="G745" s="94"/>
      <c r="H745" s="94"/>
      <c r="I745" s="94"/>
      <c r="J745" s="94"/>
      <c r="K745" s="94"/>
      <c r="L745" s="94"/>
      <c r="M745" s="94"/>
      <c r="N745" s="94"/>
      <c r="O745" s="94"/>
      <c r="P745" s="94"/>
      <c r="Q745" s="94"/>
      <c r="R745" s="94"/>
      <c r="S745" s="94"/>
      <c r="T745" s="94"/>
      <c r="U745" s="94"/>
      <c r="V745" s="94"/>
      <c r="W745" s="94"/>
      <c r="X745" s="94"/>
      <c r="Y745" s="94"/>
      <c r="Z745" s="94"/>
      <c r="AA745" s="94"/>
      <c r="AB745" s="94"/>
      <c r="AC745" s="94"/>
      <c r="AD745" s="94"/>
      <c r="AE745" s="94"/>
      <c r="AF745" s="94"/>
      <c r="AG745" s="94"/>
      <c r="AH745" s="94"/>
      <c r="AI745" s="94"/>
      <c r="AJ745" s="94"/>
      <c r="AK745" s="94"/>
      <c r="AL745" s="94"/>
      <c r="AM745" s="94"/>
      <c r="AN745" s="94"/>
      <c r="AO745" s="94"/>
      <c r="AP745" s="94"/>
      <c r="AQ745" s="94"/>
      <c r="AR745" s="94"/>
      <c r="AS745" s="94"/>
      <c r="AT745" s="94"/>
      <c r="AU745" s="94"/>
      <c r="AV745" s="94"/>
      <c r="AW745" s="94"/>
      <c r="AX745" s="94"/>
      <c r="AY745" s="94"/>
      <c r="BA745" s="95"/>
    </row>
    <row r="746" spans="1:53" s="87" customFormat="1">
      <c r="A746" s="90">
        <f t="shared" si="59"/>
        <v>746</v>
      </c>
      <c r="B746" s="98" t="s">
        <v>865</v>
      </c>
      <c r="C746" s="94"/>
      <c r="D746" s="94"/>
      <c r="E746" s="94"/>
      <c r="F746" s="94"/>
      <c r="G746" s="94"/>
      <c r="H746" s="94"/>
      <c r="I746" s="94"/>
      <c r="J746" s="94"/>
      <c r="K746" s="94"/>
      <c r="L746" s="94"/>
      <c r="M746" s="94"/>
      <c r="N746" s="94"/>
      <c r="O746" s="94"/>
      <c r="P746" s="94"/>
      <c r="Q746" s="94"/>
      <c r="R746" s="94"/>
      <c r="S746" s="94"/>
      <c r="T746" s="94"/>
      <c r="U746" s="94"/>
      <c r="V746" s="94"/>
      <c r="W746" s="94"/>
      <c r="X746" s="94"/>
      <c r="Y746" s="94"/>
      <c r="Z746" s="94"/>
      <c r="AA746" s="94"/>
      <c r="AB746" s="94"/>
      <c r="AC746" s="94"/>
      <c r="AD746" s="94"/>
      <c r="AE746" s="94"/>
      <c r="AF746" s="94"/>
      <c r="AG746" s="94"/>
      <c r="AH746" s="94"/>
      <c r="AI746" s="94"/>
      <c r="AJ746" s="94"/>
      <c r="AK746" s="94"/>
      <c r="AL746" s="94"/>
      <c r="AM746" s="94"/>
      <c r="AN746" s="94"/>
      <c r="AO746" s="94"/>
      <c r="AP746" s="94"/>
      <c r="AQ746" s="94"/>
      <c r="AR746" s="94"/>
      <c r="AS746" s="94"/>
      <c r="AT746" s="94"/>
      <c r="AU746" s="94"/>
      <c r="AV746" s="94"/>
      <c r="AW746" s="94"/>
      <c r="AX746" s="94"/>
      <c r="AY746" s="94"/>
      <c r="BA746" s="95"/>
    </row>
    <row r="747" spans="1:53" s="87" customFormat="1">
      <c r="A747" s="90" t="str">
        <f t="shared" si="59"/>
        <v/>
      </c>
      <c r="B747" s="98">
        <v>1</v>
      </c>
      <c r="C747" s="94">
        <v>2</v>
      </c>
      <c r="D747" s="94" t="s">
        <v>210</v>
      </c>
      <c r="E747" s="94">
        <v>-3</v>
      </c>
      <c r="F747" s="94" t="s">
        <v>210</v>
      </c>
      <c r="G747" s="94" t="s">
        <v>210</v>
      </c>
      <c r="H747" s="94">
        <v>-4</v>
      </c>
      <c r="I747" s="94">
        <v>1</v>
      </c>
      <c r="J747" s="94" t="s">
        <v>210</v>
      </c>
      <c r="K747" s="94">
        <v>3</v>
      </c>
      <c r="L747" s="94" t="s">
        <v>210</v>
      </c>
      <c r="M747" s="94"/>
      <c r="N747" s="94"/>
      <c r="O747" s="94"/>
      <c r="P747" s="94"/>
      <c r="Q747" s="94"/>
      <c r="R747" s="94"/>
      <c r="S747" s="94"/>
      <c r="T747" s="94"/>
      <c r="U747" s="94"/>
      <c r="V747" s="94"/>
      <c r="W747" s="94"/>
      <c r="X747" s="94"/>
      <c r="Y747" s="94"/>
      <c r="Z747" s="94"/>
      <c r="AA747" s="94"/>
      <c r="AB747" s="94"/>
      <c r="AC747" s="94"/>
      <c r="AD747" s="94"/>
      <c r="AE747" s="94"/>
      <c r="AF747" s="94"/>
      <c r="AG747" s="94"/>
      <c r="AH747" s="94"/>
      <c r="AI747" s="94"/>
      <c r="AJ747" s="94"/>
      <c r="AK747" s="94"/>
      <c r="AL747" s="94"/>
      <c r="AM747" s="94"/>
      <c r="AN747" s="94"/>
      <c r="AO747" s="94"/>
      <c r="AP747" s="94"/>
      <c r="AQ747" s="94"/>
      <c r="AR747" s="94"/>
      <c r="AS747" s="94"/>
      <c r="AT747" s="94"/>
      <c r="AU747" s="94"/>
      <c r="AV747" s="94"/>
      <c r="AW747" s="94"/>
      <c r="AX747" s="94"/>
      <c r="AY747" s="94"/>
      <c r="BA747" s="95"/>
    </row>
    <row r="748" spans="1:53" s="87" customFormat="1">
      <c r="A748" s="90" t="str">
        <f t="shared" si="59"/>
        <v/>
      </c>
      <c r="B748" s="98">
        <v>2</v>
      </c>
      <c r="C748" s="94">
        <v>5</v>
      </c>
      <c r="D748" s="94" t="s">
        <v>210</v>
      </c>
      <c r="E748" s="94">
        <v>-4</v>
      </c>
      <c r="F748" s="94" t="s">
        <v>210</v>
      </c>
      <c r="G748" s="94">
        <v>-1</v>
      </c>
      <c r="H748" s="94" t="s">
        <v>210</v>
      </c>
      <c r="I748" s="94" t="s">
        <v>210</v>
      </c>
      <c r="J748" s="94">
        <v>4</v>
      </c>
      <c r="K748" s="94">
        <v>-3</v>
      </c>
      <c r="L748" s="94" t="s">
        <v>210</v>
      </c>
      <c r="M748" s="94"/>
      <c r="N748" s="94"/>
      <c r="O748" s="94"/>
      <c r="P748" s="94"/>
      <c r="Q748" s="94"/>
      <c r="R748" s="94"/>
      <c r="S748" s="94"/>
      <c r="T748" s="94"/>
      <c r="U748" s="94"/>
      <c r="V748" s="94"/>
      <c r="W748" s="94"/>
      <c r="X748" s="94"/>
      <c r="Y748" s="94"/>
      <c r="Z748" s="94"/>
      <c r="AA748" s="94"/>
      <c r="AB748" s="94"/>
      <c r="AC748" s="94"/>
      <c r="AD748" s="94"/>
      <c r="AE748" s="94"/>
      <c r="AF748" s="94"/>
      <c r="AG748" s="94"/>
      <c r="AH748" s="94"/>
      <c r="AI748" s="94"/>
      <c r="AJ748" s="94"/>
      <c r="AK748" s="94"/>
      <c r="AL748" s="94"/>
      <c r="AM748" s="94"/>
      <c r="AN748" s="94"/>
      <c r="AO748" s="94"/>
      <c r="AP748" s="94"/>
      <c r="AQ748" s="94"/>
      <c r="AR748" s="94"/>
      <c r="AS748" s="94"/>
      <c r="AT748" s="94"/>
      <c r="AU748" s="94"/>
      <c r="AV748" s="94"/>
      <c r="AW748" s="94"/>
      <c r="AX748" s="94"/>
      <c r="AY748" s="94"/>
      <c r="BA748" s="95"/>
    </row>
    <row r="749" spans="1:53" s="87" customFormat="1">
      <c r="A749" s="90" t="str">
        <f t="shared" si="59"/>
        <v/>
      </c>
      <c r="B749" s="98">
        <v>3</v>
      </c>
      <c r="C749" s="94" t="s">
        <v>210</v>
      </c>
      <c r="D749" s="94">
        <v>-4</v>
      </c>
      <c r="E749" s="94">
        <v>3</v>
      </c>
      <c r="F749" s="94" t="s">
        <v>210</v>
      </c>
      <c r="G749" s="94">
        <v>1</v>
      </c>
      <c r="H749" s="94" t="s">
        <v>210</v>
      </c>
      <c r="I749" s="94">
        <v>-2</v>
      </c>
      <c r="J749" s="94" t="s">
        <v>210</v>
      </c>
      <c r="K749" s="94">
        <v>4</v>
      </c>
      <c r="L749" s="94" t="s">
        <v>210</v>
      </c>
      <c r="M749" s="94"/>
      <c r="N749" s="94"/>
      <c r="O749" s="94"/>
      <c r="P749" s="94"/>
      <c r="Q749" s="94"/>
      <c r="R749" s="94"/>
      <c r="S749" s="94"/>
      <c r="T749" s="94"/>
      <c r="U749" s="94"/>
      <c r="V749" s="94"/>
      <c r="W749" s="94"/>
      <c r="X749" s="94"/>
      <c r="Y749" s="94"/>
      <c r="Z749" s="94"/>
      <c r="AA749" s="94"/>
      <c r="AB749" s="94"/>
      <c r="AC749" s="94"/>
      <c r="AD749" s="94"/>
      <c r="AE749" s="94"/>
      <c r="AF749" s="94"/>
      <c r="AG749" s="94"/>
      <c r="AH749" s="94"/>
      <c r="AI749" s="94"/>
      <c r="AJ749" s="94"/>
      <c r="AK749" s="94"/>
      <c r="AL749" s="94"/>
      <c r="AM749" s="94"/>
      <c r="AN749" s="94"/>
      <c r="AO749" s="94"/>
      <c r="AP749" s="94"/>
      <c r="AQ749" s="94"/>
      <c r="AR749" s="94"/>
      <c r="AS749" s="94"/>
      <c r="AT749" s="94"/>
      <c r="AU749" s="94"/>
      <c r="AV749" s="94"/>
      <c r="AW749" s="94"/>
      <c r="AX749" s="94"/>
      <c r="AY749" s="94"/>
      <c r="BA749" s="95"/>
    </row>
    <row r="750" spans="1:53" s="87" customFormat="1">
      <c r="A750" s="90" t="str">
        <f t="shared" si="59"/>
        <v/>
      </c>
      <c r="B750" s="98">
        <v>4</v>
      </c>
      <c r="C750" s="94">
        <v>-5</v>
      </c>
      <c r="D750" s="94" t="s">
        <v>210</v>
      </c>
      <c r="E750" s="94">
        <v>2</v>
      </c>
      <c r="F750" s="94" t="s">
        <v>210</v>
      </c>
      <c r="G750" s="94" t="s">
        <v>210</v>
      </c>
      <c r="H750" s="94">
        <v>3</v>
      </c>
      <c r="I750" s="94">
        <v>-1</v>
      </c>
      <c r="J750" s="94" t="s">
        <v>210</v>
      </c>
      <c r="K750" s="94">
        <v>-4</v>
      </c>
      <c r="L750" s="94" t="s">
        <v>210</v>
      </c>
      <c r="M750" s="94"/>
      <c r="N750" s="94"/>
      <c r="O750" s="94"/>
      <c r="P750" s="94"/>
      <c r="Q750" s="94"/>
      <c r="R750" s="94"/>
      <c r="S750" s="94"/>
      <c r="T750" s="94"/>
      <c r="U750" s="94"/>
      <c r="V750" s="94"/>
      <c r="W750" s="94"/>
      <c r="X750" s="94"/>
      <c r="Y750" s="94"/>
      <c r="Z750" s="94"/>
      <c r="AA750" s="94"/>
      <c r="AB750" s="94"/>
      <c r="AC750" s="94"/>
      <c r="AD750" s="94"/>
      <c r="AE750" s="94"/>
      <c r="AF750" s="94"/>
      <c r="AG750" s="94"/>
      <c r="AH750" s="94"/>
      <c r="AI750" s="94"/>
      <c r="AJ750" s="94"/>
      <c r="AK750" s="94"/>
      <c r="AL750" s="94"/>
      <c r="AM750" s="94"/>
      <c r="AN750" s="94"/>
      <c r="AO750" s="94"/>
      <c r="AP750" s="94"/>
      <c r="AQ750" s="94"/>
      <c r="AR750" s="94"/>
      <c r="AS750" s="94"/>
      <c r="AT750" s="94"/>
      <c r="AU750" s="94"/>
      <c r="AV750" s="94"/>
      <c r="AW750" s="94"/>
      <c r="AX750" s="94"/>
      <c r="AY750" s="94"/>
      <c r="BA750" s="95"/>
    </row>
    <row r="751" spans="1:53" s="87" customFormat="1">
      <c r="A751" s="90" t="str">
        <f t="shared" si="59"/>
        <v/>
      </c>
      <c r="B751" s="99">
        <v>5</v>
      </c>
      <c r="C751" s="92">
        <v>-2</v>
      </c>
      <c r="D751" s="92" t="s">
        <v>210</v>
      </c>
      <c r="E751" s="92">
        <v>4</v>
      </c>
      <c r="F751" s="92" t="s">
        <v>210</v>
      </c>
      <c r="G751" s="92" t="s">
        <v>210</v>
      </c>
      <c r="H751" s="92">
        <v>-3</v>
      </c>
      <c r="I751" s="92">
        <v>2</v>
      </c>
      <c r="J751" s="92" t="s">
        <v>210</v>
      </c>
      <c r="K751" s="92">
        <v>-1</v>
      </c>
      <c r="L751" s="92" t="s">
        <v>210</v>
      </c>
      <c r="M751" s="94"/>
      <c r="N751" s="94"/>
      <c r="O751" s="94"/>
      <c r="P751" s="94"/>
      <c r="Q751" s="94"/>
      <c r="R751" s="94"/>
      <c r="S751" s="94"/>
      <c r="T751" s="94"/>
      <c r="U751" s="94"/>
      <c r="V751" s="94"/>
      <c r="W751" s="94"/>
      <c r="X751" s="94"/>
      <c r="Y751" s="94"/>
      <c r="Z751" s="94"/>
      <c r="AA751" s="94"/>
      <c r="AB751" s="94"/>
      <c r="AC751" s="94"/>
      <c r="AD751" s="94"/>
      <c r="AE751" s="94"/>
      <c r="AF751" s="94"/>
      <c r="AG751" s="94"/>
      <c r="AH751" s="94"/>
      <c r="AI751" s="94"/>
      <c r="AJ751" s="94"/>
      <c r="AK751" s="94"/>
      <c r="AL751" s="94"/>
      <c r="AM751" s="94"/>
      <c r="AN751" s="94"/>
      <c r="AO751" s="94"/>
      <c r="AP751" s="94"/>
      <c r="AQ751" s="94"/>
      <c r="AR751" s="94"/>
      <c r="AS751" s="94"/>
      <c r="AT751" s="94"/>
      <c r="AU751" s="94"/>
      <c r="AV751" s="94"/>
      <c r="AW751" s="94"/>
      <c r="AX751" s="94"/>
      <c r="AY751" s="94"/>
      <c r="BA751" s="95"/>
    </row>
    <row r="752" spans="1:53" s="87" customFormat="1">
      <c r="A752" s="90" t="str">
        <f t="shared" si="59"/>
        <v/>
      </c>
      <c r="B752" s="98">
        <v>6</v>
      </c>
      <c r="C752" s="94">
        <v>-3</v>
      </c>
      <c r="D752" s="94" t="s">
        <v>210</v>
      </c>
      <c r="E752" s="94">
        <v>-1</v>
      </c>
      <c r="F752" s="94" t="s">
        <v>210</v>
      </c>
      <c r="G752" s="94" t="s">
        <v>210</v>
      </c>
      <c r="H752" s="94">
        <v>4</v>
      </c>
      <c r="I752" s="94">
        <v>3</v>
      </c>
      <c r="J752" s="94" t="s">
        <v>210</v>
      </c>
      <c r="K752" s="94">
        <v>-2</v>
      </c>
      <c r="L752" s="94" t="s">
        <v>210</v>
      </c>
      <c r="M752" s="94"/>
      <c r="N752" s="94"/>
      <c r="O752" s="94"/>
      <c r="P752" s="94"/>
      <c r="Q752" s="94"/>
      <c r="R752" s="94"/>
      <c r="S752" s="94"/>
      <c r="T752" s="94"/>
      <c r="U752" s="94"/>
      <c r="V752" s="94"/>
      <c r="W752" s="94"/>
      <c r="X752" s="94"/>
      <c r="Y752" s="94"/>
      <c r="Z752" s="94"/>
      <c r="AA752" s="94"/>
      <c r="AB752" s="94"/>
      <c r="AC752" s="94"/>
      <c r="AD752" s="94"/>
      <c r="AE752" s="94"/>
      <c r="AF752" s="94"/>
      <c r="AG752" s="94"/>
      <c r="AH752" s="94"/>
      <c r="AI752" s="94"/>
      <c r="AJ752" s="94"/>
      <c r="AK752" s="94"/>
      <c r="AL752" s="94"/>
      <c r="AM752" s="94"/>
      <c r="AN752" s="94"/>
      <c r="AO752" s="94"/>
      <c r="AP752" s="94"/>
      <c r="AQ752" s="94"/>
      <c r="AR752" s="94"/>
      <c r="AS752" s="94"/>
      <c r="AT752" s="94"/>
      <c r="AU752" s="94"/>
      <c r="AV752" s="94"/>
      <c r="AW752" s="94"/>
      <c r="AX752" s="94"/>
      <c r="AY752" s="94"/>
      <c r="BA752" s="95"/>
    </row>
    <row r="753" spans="1:53" s="87" customFormat="1">
      <c r="A753" s="90" t="str">
        <f t="shared" si="59"/>
        <v/>
      </c>
      <c r="B753" s="98">
        <v>7</v>
      </c>
      <c r="C753" s="94" t="s">
        <v>210</v>
      </c>
      <c r="D753" s="94">
        <v>-3</v>
      </c>
      <c r="E753" s="94">
        <v>5</v>
      </c>
      <c r="F753" s="94" t="s">
        <v>210</v>
      </c>
      <c r="G753" s="94">
        <v>3</v>
      </c>
      <c r="H753" s="94" t="s">
        <v>210</v>
      </c>
      <c r="I753" s="94" t="s">
        <v>210</v>
      </c>
      <c r="J753" s="94">
        <v>-4</v>
      </c>
      <c r="K753" s="94">
        <v>2</v>
      </c>
      <c r="L753" s="94" t="s">
        <v>210</v>
      </c>
      <c r="M753" s="94"/>
      <c r="N753" s="94"/>
      <c r="O753" s="94"/>
      <c r="P753" s="94"/>
      <c r="Q753" s="94"/>
      <c r="R753" s="94"/>
      <c r="S753" s="94"/>
      <c r="T753" s="94"/>
      <c r="U753" s="94"/>
      <c r="V753" s="94"/>
      <c r="W753" s="94"/>
      <c r="X753" s="94"/>
      <c r="Y753" s="94"/>
      <c r="Z753" s="94"/>
      <c r="AA753" s="94"/>
      <c r="AB753" s="94"/>
      <c r="AC753" s="94"/>
      <c r="AD753" s="94"/>
      <c r="AE753" s="94"/>
      <c r="AF753" s="94"/>
      <c r="AG753" s="94"/>
      <c r="AH753" s="94"/>
      <c r="AI753" s="94"/>
      <c r="AJ753" s="94"/>
      <c r="AK753" s="94"/>
      <c r="AL753" s="94"/>
      <c r="AM753" s="94"/>
      <c r="AN753" s="94"/>
      <c r="AO753" s="94"/>
      <c r="AP753" s="94"/>
      <c r="AQ753" s="94"/>
      <c r="AR753" s="94"/>
      <c r="AS753" s="94"/>
      <c r="AT753" s="94"/>
      <c r="AU753" s="94"/>
      <c r="AV753" s="94"/>
      <c r="AW753" s="94"/>
      <c r="AX753" s="94"/>
      <c r="AY753" s="94"/>
      <c r="BA753" s="95"/>
    </row>
    <row r="754" spans="1:53" s="87" customFormat="1">
      <c r="A754" s="90" t="str">
        <f t="shared" si="59"/>
        <v/>
      </c>
      <c r="B754" s="98">
        <v>8</v>
      </c>
      <c r="C754" s="94" t="s">
        <v>210</v>
      </c>
      <c r="D754" s="94">
        <v>4</v>
      </c>
      <c r="E754" s="94">
        <v>1</v>
      </c>
      <c r="F754" s="94" t="s">
        <v>210</v>
      </c>
      <c r="G754" s="94">
        <v>-3</v>
      </c>
      <c r="H754" s="94" t="s">
        <v>210</v>
      </c>
      <c r="I754" s="94" t="s">
        <v>210</v>
      </c>
      <c r="J754" s="94">
        <v>-2</v>
      </c>
      <c r="K754" s="94">
        <v>5</v>
      </c>
      <c r="L754" s="94" t="s">
        <v>210</v>
      </c>
      <c r="M754" s="94"/>
      <c r="N754" s="94"/>
      <c r="O754" s="94"/>
      <c r="P754" s="94"/>
      <c r="Q754" s="94"/>
      <c r="R754" s="94"/>
      <c r="S754" s="94"/>
      <c r="T754" s="94"/>
      <c r="U754" s="94"/>
      <c r="V754" s="94"/>
      <c r="W754" s="94"/>
      <c r="X754" s="94"/>
      <c r="Y754" s="94"/>
      <c r="Z754" s="94"/>
      <c r="AA754" s="94"/>
      <c r="AB754" s="94"/>
      <c r="AC754" s="94"/>
      <c r="AD754" s="94"/>
      <c r="AE754" s="94"/>
      <c r="AF754" s="94"/>
      <c r="AG754" s="94"/>
      <c r="AH754" s="94"/>
      <c r="AI754" s="94"/>
      <c r="AJ754" s="94"/>
      <c r="AK754" s="94"/>
      <c r="AL754" s="94"/>
      <c r="AM754" s="94"/>
      <c r="AN754" s="94"/>
      <c r="AO754" s="94"/>
      <c r="AP754" s="94"/>
      <c r="AQ754" s="94"/>
      <c r="AR754" s="94"/>
      <c r="AS754" s="94"/>
      <c r="AT754" s="94"/>
      <c r="AU754" s="94"/>
      <c r="AV754" s="94"/>
      <c r="AW754" s="94"/>
      <c r="AX754" s="94"/>
      <c r="AY754" s="94"/>
      <c r="BA754" s="95"/>
    </row>
    <row r="755" spans="1:53" s="87" customFormat="1">
      <c r="A755" s="90" t="str">
        <f t="shared" si="59"/>
        <v/>
      </c>
      <c r="B755" s="98">
        <v>9</v>
      </c>
      <c r="C755" s="94" t="s">
        <v>210</v>
      </c>
      <c r="D755" s="94">
        <v>3</v>
      </c>
      <c r="E755" s="94">
        <v>-2</v>
      </c>
      <c r="F755" s="94" t="s">
        <v>210</v>
      </c>
      <c r="G755" s="94">
        <v>4</v>
      </c>
      <c r="H755" s="94" t="s">
        <v>210</v>
      </c>
      <c r="I755" s="94">
        <v>-3</v>
      </c>
      <c r="J755" s="94" t="s">
        <v>210</v>
      </c>
      <c r="K755" s="94">
        <v>-5</v>
      </c>
      <c r="L755" s="94" t="s">
        <v>210</v>
      </c>
      <c r="M755" s="94"/>
      <c r="N755" s="94"/>
      <c r="O755" s="94"/>
      <c r="P755" s="94"/>
      <c r="Q755" s="94"/>
      <c r="R755" s="94"/>
      <c r="S755" s="94"/>
      <c r="T755" s="94"/>
      <c r="U755" s="94"/>
      <c r="V755" s="94"/>
      <c r="W755" s="94"/>
      <c r="X755" s="94"/>
      <c r="Y755" s="94"/>
      <c r="Z755" s="94"/>
      <c r="AA755" s="94"/>
      <c r="AB755" s="94"/>
      <c r="AC755" s="94"/>
      <c r="AD755" s="94"/>
      <c r="AE755" s="94"/>
      <c r="AF755" s="94"/>
      <c r="AG755" s="94"/>
      <c r="AH755" s="94"/>
      <c r="AI755" s="94"/>
      <c r="AJ755" s="94"/>
      <c r="AK755" s="94"/>
      <c r="AL755" s="94"/>
      <c r="AM755" s="94"/>
      <c r="AN755" s="94"/>
      <c r="AO755" s="94"/>
      <c r="AP755" s="94"/>
      <c r="AQ755" s="94"/>
      <c r="AR755" s="94"/>
      <c r="AS755" s="94"/>
      <c r="AT755" s="94"/>
      <c r="AU755" s="94"/>
      <c r="AV755" s="94"/>
      <c r="AW755" s="94"/>
      <c r="AX755" s="94"/>
      <c r="AY755" s="94"/>
      <c r="BA755" s="95"/>
    </row>
    <row r="756" spans="1:53" s="87" customFormat="1">
      <c r="A756" s="90" t="str">
        <f t="shared" si="59"/>
        <v/>
      </c>
      <c r="B756" s="99">
        <v>10</v>
      </c>
      <c r="C756" s="92">
        <v>3</v>
      </c>
      <c r="D756" s="92" t="s">
        <v>210</v>
      </c>
      <c r="E756" s="92">
        <v>-5</v>
      </c>
      <c r="F756" s="92" t="s">
        <v>210</v>
      </c>
      <c r="G756" s="92">
        <v>-4</v>
      </c>
      <c r="H756" s="92" t="s">
        <v>210</v>
      </c>
      <c r="I756" s="92" t="s">
        <v>210</v>
      </c>
      <c r="J756" s="92">
        <v>2</v>
      </c>
      <c r="K756" s="92">
        <v>1</v>
      </c>
      <c r="L756" s="92" t="s">
        <v>210</v>
      </c>
      <c r="M756" s="94"/>
      <c r="N756" s="94"/>
      <c r="O756" s="94"/>
      <c r="P756" s="94"/>
      <c r="Q756" s="94"/>
      <c r="R756" s="94"/>
      <c r="S756" s="94"/>
      <c r="T756" s="94"/>
      <c r="U756" s="94"/>
      <c r="V756" s="94"/>
      <c r="W756" s="94"/>
      <c r="X756" s="94"/>
      <c r="Y756" s="94"/>
      <c r="Z756" s="94"/>
      <c r="AA756" s="94"/>
      <c r="AB756" s="94"/>
      <c r="AC756" s="94"/>
      <c r="AD756" s="94"/>
      <c r="AE756" s="94"/>
      <c r="AF756" s="94"/>
      <c r="AG756" s="94"/>
      <c r="AH756" s="94"/>
      <c r="AI756" s="94"/>
      <c r="AJ756" s="94"/>
      <c r="AK756" s="94"/>
      <c r="AL756" s="94"/>
      <c r="AM756" s="94"/>
      <c r="AN756" s="94"/>
      <c r="AO756" s="94"/>
      <c r="AP756" s="94"/>
      <c r="AQ756" s="94"/>
      <c r="AR756" s="94"/>
      <c r="AS756" s="94"/>
      <c r="AT756" s="94"/>
      <c r="AU756" s="94"/>
      <c r="AV756" s="94"/>
      <c r="AW756" s="94"/>
      <c r="AX756" s="94"/>
      <c r="AY756" s="94"/>
      <c r="BA756" s="95"/>
    </row>
    <row r="757" spans="1:53" s="87" customFormat="1">
      <c r="A757" s="90" t="str">
        <f t="shared" si="59"/>
        <v/>
      </c>
      <c r="B757" s="98">
        <v>11</v>
      </c>
      <c r="C757" s="94">
        <v>-4</v>
      </c>
      <c r="D757" s="94" t="s">
        <v>210</v>
      </c>
      <c r="E757" s="94" t="s">
        <v>210</v>
      </c>
      <c r="F757" s="94" t="s">
        <v>202</v>
      </c>
      <c r="G757" s="94">
        <v>-5</v>
      </c>
      <c r="H757" s="94" t="s">
        <v>210</v>
      </c>
      <c r="I757" s="94">
        <v>4</v>
      </c>
      <c r="J757" s="94" t="s">
        <v>210</v>
      </c>
      <c r="K757" s="94" t="s">
        <v>210</v>
      </c>
      <c r="L757" s="94">
        <v>3</v>
      </c>
      <c r="M757" s="94"/>
      <c r="N757" s="94"/>
      <c r="O757" s="94"/>
      <c r="P757" s="94"/>
      <c r="Q757" s="94"/>
      <c r="R757" s="94"/>
      <c r="S757" s="94"/>
      <c r="T757" s="94"/>
      <c r="U757" s="94"/>
      <c r="V757" s="94"/>
      <c r="W757" s="94"/>
      <c r="X757" s="94"/>
      <c r="Y757" s="94"/>
      <c r="Z757" s="94"/>
      <c r="AA757" s="94"/>
      <c r="AB757" s="94"/>
      <c r="AC757" s="94"/>
      <c r="AD757" s="94"/>
      <c r="AE757" s="94"/>
      <c r="AF757" s="94"/>
      <c r="AG757" s="94"/>
      <c r="AH757" s="94"/>
      <c r="AI757" s="94"/>
      <c r="AJ757" s="94"/>
      <c r="AK757" s="94"/>
      <c r="AL757" s="94"/>
      <c r="AM757" s="94"/>
      <c r="AN757" s="94"/>
      <c r="AO757" s="94"/>
      <c r="AP757" s="94"/>
      <c r="AQ757" s="94"/>
      <c r="AR757" s="94"/>
      <c r="AS757" s="94"/>
      <c r="AT757" s="94"/>
      <c r="AU757" s="94"/>
      <c r="AV757" s="94"/>
      <c r="AW757" s="94"/>
      <c r="AX757" s="94"/>
      <c r="AY757" s="94"/>
      <c r="BA757" s="95"/>
    </row>
    <row r="758" spans="1:53" s="87" customFormat="1">
      <c r="A758" s="90" t="str">
        <f t="shared" si="59"/>
        <v/>
      </c>
      <c r="B758" s="98">
        <v>12</v>
      </c>
      <c r="C758" s="94" t="s">
        <v>202</v>
      </c>
      <c r="D758" s="94" t="s">
        <v>210</v>
      </c>
      <c r="E758" s="94" t="s">
        <v>210</v>
      </c>
      <c r="F758" s="94">
        <v>4</v>
      </c>
      <c r="G758" s="94">
        <v>-2</v>
      </c>
      <c r="H758" s="94" t="s">
        <v>210</v>
      </c>
      <c r="I758" s="94">
        <v>5</v>
      </c>
      <c r="J758" s="94" t="s">
        <v>210</v>
      </c>
      <c r="K758" s="94" t="s">
        <v>210</v>
      </c>
      <c r="L758" s="94">
        <v>-3</v>
      </c>
      <c r="M758" s="94"/>
      <c r="N758" s="94"/>
      <c r="O758" s="94"/>
      <c r="P758" s="94"/>
      <c r="Q758" s="94"/>
      <c r="R758" s="94"/>
      <c r="S758" s="94"/>
      <c r="T758" s="94"/>
      <c r="U758" s="94"/>
      <c r="V758" s="94"/>
      <c r="W758" s="94"/>
      <c r="X758" s="94"/>
      <c r="Y758" s="94"/>
      <c r="Z758" s="94"/>
      <c r="AA758" s="94"/>
      <c r="AB758" s="94"/>
      <c r="AC758" s="94"/>
      <c r="AD758" s="94"/>
      <c r="AE758" s="94"/>
      <c r="AF758" s="94"/>
      <c r="AG758" s="94"/>
      <c r="AH758" s="94"/>
      <c r="AI758" s="94"/>
      <c r="AJ758" s="94"/>
      <c r="AK758" s="94"/>
      <c r="AL758" s="94"/>
      <c r="AM758" s="94"/>
      <c r="AN758" s="94"/>
      <c r="AO758" s="94"/>
      <c r="AP758" s="94"/>
      <c r="AQ758" s="94"/>
      <c r="AR758" s="94"/>
      <c r="AS758" s="94"/>
      <c r="AT758" s="94"/>
      <c r="AU758" s="94"/>
      <c r="AV758" s="94"/>
      <c r="AW758" s="94"/>
      <c r="AX758" s="94"/>
      <c r="AY758" s="94"/>
      <c r="BA758" s="95"/>
    </row>
    <row r="759" spans="1:53" s="87" customFormat="1">
      <c r="A759" s="90" t="str">
        <f t="shared" si="59"/>
        <v/>
      </c>
      <c r="B759" s="98">
        <v>13</v>
      </c>
      <c r="C759" s="94">
        <v>4</v>
      </c>
      <c r="D759" s="94" t="s">
        <v>210</v>
      </c>
      <c r="E759" s="94" t="s">
        <v>210</v>
      </c>
      <c r="F759" s="94">
        <v>-3</v>
      </c>
      <c r="G759" s="94" t="s">
        <v>202</v>
      </c>
      <c r="H759" s="94" t="s">
        <v>210</v>
      </c>
      <c r="I759" s="94">
        <v>-5</v>
      </c>
      <c r="J759" s="94" t="s">
        <v>210</v>
      </c>
      <c r="K759" s="94" t="s">
        <v>210</v>
      </c>
      <c r="L759" s="94">
        <v>2</v>
      </c>
      <c r="M759" s="94"/>
      <c r="N759" s="94"/>
      <c r="O759" s="94"/>
      <c r="P759" s="94"/>
      <c r="Q759" s="94"/>
      <c r="R759" s="94"/>
      <c r="S759" s="94"/>
      <c r="T759" s="94"/>
      <c r="U759" s="94"/>
      <c r="V759" s="94"/>
      <c r="W759" s="94"/>
      <c r="X759" s="94"/>
      <c r="Y759" s="94"/>
      <c r="Z759" s="94"/>
      <c r="AA759" s="94"/>
      <c r="AB759" s="94"/>
      <c r="AC759" s="94"/>
      <c r="AD759" s="94"/>
      <c r="AE759" s="94"/>
      <c r="AF759" s="94"/>
      <c r="AG759" s="94"/>
      <c r="AH759" s="94"/>
      <c r="AI759" s="94"/>
      <c r="AJ759" s="94"/>
      <c r="AK759" s="94"/>
      <c r="AL759" s="94"/>
      <c r="AM759" s="94"/>
      <c r="AN759" s="94"/>
      <c r="AO759" s="94"/>
      <c r="AP759" s="94"/>
      <c r="AQ759" s="94"/>
      <c r="AR759" s="94"/>
      <c r="AS759" s="94"/>
      <c r="AT759" s="94"/>
      <c r="AU759" s="94"/>
      <c r="AV759" s="94"/>
      <c r="AW759" s="94"/>
      <c r="AX759" s="94"/>
      <c r="AY759" s="94"/>
      <c r="BA759" s="95"/>
    </row>
    <row r="760" spans="1:53" s="87" customFormat="1">
      <c r="A760" s="90" t="str">
        <f t="shared" si="59"/>
        <v/>
      </c>
      <c r="B760" s="98">
        <v>14</v>
      </c>
      <c r="C760" s="94">
        <v>1</v>
      </c>
      <c r="D760" s="94" t="s">
        <v>210</v>
      </c>
      <c r="E760" s="94" t="s">
        <v>210</v>
      </c>
      <c r="F760" s="94">
        <v>-4</v>
      </c>
      <c r="G760" s="94">
        <v>5</v>
      </c>
      <c r="H760" s="94" t="s">
        <v>210</v>
      </c>
      <c r="I760" s="94" t="s">
        <v>202</v>
      </c>
      <c r="J760" s="94" t="s">
        <v>210</v>
      </c>
      <c r="K760" s="94" t="s">
        <v>210</v>
      </c>
      <c r="L760" s="94">
        <v>-2</v>
      </c>
      <c r="M760" s="94"/>
      <c r="N760" s="94"/>
      <c r="O760" s="94"/>
      <c r="P760" s="94"/>
      <c r="Q760" s="94"/>
      <c r="R760" s="94"/>
      <c r="S760" s="94"/>
      <c r="T760" s="94"/>
      <c r="U760" s="94"/>
      <c r="V760" s="94"/>
      <c r="W760" s="94"/>
      <c r="X760" s="94"/>
      <c r="Y760" s="94"/>
      <c r="Z760" s="94"/>
      <c r="AA760" s="94"/>
      <c r="AB760" s="94"/>
      <c r="AC760" s="94"/>
      <c r="AD760" s="94"/>
      <c r="AE760" s="94"/>
      <c r="AF760" s="94"/>
      <c r="AG760" s="94"/>
      <c r="AH760" s="94"/>
      <c r="AI760" s="94"/>
      <c r="AJ760" s="94"/>
      <c r="AK760" s="94"/>
      <c r="AL760" s="94"/>
      <c r="AM760" s="94"/>
      <c r="AN760" s="94"/>
      <c r="AO760" s="94"/>
      <c r="AP760" s="94"/>
      <c r="AQ760" s="94"/>
      <c r="AR760" s="94"/>
      <c r="AS760" s="94"/>
      <c r="AT760" s="94"/>
      <c r="AU760" s="94"/>
      <c r="AV760" s="94"/>
      <c r="AW760" s="94"/>
      <c r="AX760" s="94"/>
      <c r="AY760" s="94"/>
      <c r="BA760" s="95"/>
    </row>
    <row r="761" spans="1:53" s="87" customFormat="1">
      <c r="A761" s="90" t="str">
        <f t="shared" si="59"/>
        <v/>
      </c>
      <c r="B761" s="98">
        <v>15</v>
      </c>
      <c r="C761" s="94">
        <v>-1</v>
      </c>
      <c r="D761" s="94" t="s">
        <v>210</v>
      </c>
      <c r="E761" s="94" t="s">
        <v>210</v>
      </c>
      <c r="F761" s="94">
        <v>3</v>
      </c>
      <c r="G761" s="94">
        <v>2</v>
      </c>
      <c r="H761" s="94" t="s">
        <v>210</v>
      </c>
      <c r="I761" s="94">
        <v>-4</v>
      </c>
      <c r="J761" s="94" t="s">
        <v>210</v>
      </c>
      <c r="K761" s="94" t="s">
        <v>210</v>
      </c>
      <c r="L761" s="94" t="s">
        <v>202</v>
      </c>
      <c r="M761" s="94"/>
      <c r="N761" s="94"/>
      <c r="O761" s="94"/>
      <c r="P761" s="94"/>
      <c r="Q761" s="94"/>
      <c r="R761" s="94"/>
      <c r="S761" s="94"/>
      <c r="T761" s="94"/>
      <c r="U761" s="94"/>
      <c r="V761" s="94"/>
      <c r="W761" s="94"/>
      <c r="X761" s="94"/>
      <c r="Y761" s="94"/>
      <c r="Z761" s="94"/>
      <c r="AA761" s="94"/>
      <c r="AB761" s="94"/>
      <c r="AC761" s="94"/>
      <c r="AD761" s="94"/>
      <c r="AE761" s="94"/>
      <c r="AF761" s="94"/>
      <c r="AG761" s="94"/>
      <c r="AH761" s="94"/>
      <c r="AI761" s="94"/>
      <c r="AJ761" s="94"/>
      <c r="AK761" s="94"/>
      <c r="AL761" s="94"/>
      <c r="AM761" s="94"/>
      <c r="AN761" s="94"/>
      <c r="AO761" s="94"/>
      <c r="AP761" s="94"/>
      <c r="AQ761" s="94"/>
      <c r="AR761" s="94"/>
      <c r="AS761" s="94"/>
      <c r="AT761" s="94"/>
      <c r="AU761" s="94"/>
      <c r="AV761" s="94"/>
      <c r="AW761" s="94"/>
      <c r="AX761" s="94"/>
      <c r="AY761" s="94"/>
      <c r="BA761" s="95"/>
    </row>
    <row r="762" spans="1:53" s="87" customFormat="1">
      <c r="A762" s="90" t="str">
        <f t="shared" si="59"/>
        <v/>
      </c>
      <c r="B762" s="317" t="s">
        <v>1018</v>
      </c>
      <c r="C762" s="94"/>
      <c r="D762" s="94"/>
      <c r="E762" s="94"/>
      <c r="F762" s="94"/>
      <c r="G762" s="94"/>
      <c r="H762" s="94"/>
      <c r="I762" s="94"/>
      <c r="J762" s="94"/>
      <c r="K762" s="94"/>
      <c r="L762" s="94"/>
      <c r="M762" s="94"/>
      <c r="N762" s="94"/>
      <c r="O762" s="94"/>
      <c r="P762" s="94"/>
      <c r="Q762" s="94"/>
      <c r="R762" s="94"/>
      <c r="S762" s="94"/>
      <c r="T762" s="94"/>
      <c r="U762" s="94"/>
      <c r="V762" s="94"/>
      <c r="W762" s="94"/>
      <c r="X762" s="94"/>
      <c r="Y762" s="94"/>
      <c r="Z762" s="94"/>
      <c r="AA762" s="94"/>
      <c r="AB762" s="94"/>
      <c r="AC762" s="94"/>
      <c r="AD762" s="94"/>
      <c r="AE762" s="94"/>
      <c r="AF762" s="94"/>
      <c r="AG762" s="94"/>
      <c r="AH762" s="94"/>
      <c r="AI762" s="94"/>
      <c r="AJ762" s="94"/>
      <c r="AK762" s="94"/>
      <c r="AL762" s="94"/>
      <c r="AM762" s="94"/>
      <c r="AN762" s="94"/>
      <c r="AO762" s="94"/>
      <c r="AP762" s="94"/>
      <c r="AQ762" s="94"/>
      <c r="AR762" s="94"/>
      <c r="AS762" s="94"/>
      <c r="AT762" s="94"/>
      <c r="AU762" s="94"/>
      <c r="AV762" s="94"/>
      <c r="AW762" s="94"/>
      <c r="AX762" s="94"/>
      <c r="AY762" s="94"/>
      <c r="BA762" s="95"/>
    </row>
    <row r="763" spans="1:53" s="87" customFormat="1">
      <c r="A763" s="90">
        <f t="shared" si="59"/>
        <v>763</v>
      </c>
      <c r="B763" s="98" t="s">
        <v>871</v>
      </c>
      <c r="C763" s="94"/>
      <c r="D763" s="94"/>
      <c r="E763" s="94"/>
      <c r="F763" s="94"/>
      <c r="G763" s="94"/>
      <c r="H763" s="94"/>
      <c r="I763" s="94"/>
      <c r="J763" s="94"/>
      <c r="K763" s="94"/>
      <c r="L763" s="94"/>
      <c r="M763" s="94"/>
      <c r="N763" s="94"/>
      <c r="O763" s="94"/>
      <c r="P763" s="94"/>
      <c r="Q763" s="94"/>
      <c r="R763" s="94"/>
      <c r="S763" s="94"/>
      <c r="T763" s="94"/>
      <c r="U763" s="94"/>
      <c r="V763" s="94"/>
      <c r="W763" s="94"/>
      <c r="X763" s="94"/>
      <c r="Y763" s="94"/>
      <c r="Z763" s="94"/>
      <c r="AA763" s="94"/>
      <c r="AB763" s="94"/>
      <c r="AC763" s="94"/>
      <c r="AD763" s="94"/>
      <c r="AE763" s="94"/>
      <c r="AF763" s="94"/>
      <c r="AG763" s="94"/>
      <c r="AH763" s="94"/>
      <c r="AI763" s="94"/>
      <c r="AJ763" s="94"/>
      <c r="AK763" s="94"/>
      <c r="AL763" s="94"/>
      <c r="AM763" s="94"/>
      <c r="AN763" s="94"/>
      <c r="AO763" s="94"/>
      <c r="AP763" s="94"/>
      <c r="AQ763" s="94"/>
      <c r="AR763" s="94"/>
      <c r="AS763" s="94"/>
      <c r="AT763" s="94"/>
      <c r="AU763" s="94"/>
      <c r="AV763" s="94"/>
      <c r="AW763" s="94"/>
      <c r="AX763" s="94"/>
      <c r="AY763" s="94"/>
      <c r="BA763" s="95"/>
    </row>
    <row r="764" spans="1:53" s="87" customFormat="1">
      <c r="A764" s="90" t="str">
        <f t="shared" si="59"/>
        <v/>
      </c>
      <c r="B764" s="98">
        <v>1</v>
      </c>
      <c r="C764" s="94">
        <v>-1</v>
      </c>
      <c r="D764" s="94" t="s">
        <v>210</v>
      </c>
      <c r="E764" s="94" t="s">
        <v>210</v>
      </c>
      <c r="F764" s="94" t="s">
        <v>210</v>
      </c>
      <c r="G764" s="94">
        <v>-5</v>
      </c>
      <c r="H764" s="94" t="s">
        <v>210</v>
      </c>
      <c r="I764" s="94" t="s">
        <v>210</v>
      </c>
      <c r="J764" s="94">
        <v>2</v>
      </c>
      <c r="K764" s="94">
        <v>3</v>
      </c>
      <c r="L764" s="94"/>
      <c r="M764" s="94"/>
      <c r="N764" s="94"/>
      <c r="O764" s="94"/>
      <c r="P764" s="94"/>
      <c r="Q764" s="94"/>
      <c r="R764" s="94"/>
      <c r="S764" s="94"/>
      <c r="T764" s="94"/>
      <c r="U764" s="94"/>
      <c r="V764" s="94"/>
      <c r="W764" s="94"/>
      <c r="X764" s="94"/>
      <c r="Y764" s="94"/>
      <c r="Z764" s="94"/>
      <c r="AA764" s="94"/>
      <c r="AB764" s="94"/>
      <c r="AC764" s="94"/>
      <c r="AD764" s="94"/>
      <c r="AE764" s="94"/>
      <c r="AF764" s="94"/>
      <c r="AG764" s="94"/>
      <c r="AH764" s="94"/>
      <c r="AI764" s="94"/>
      <c r="AJ764" s="94"/>
      <c r="AK764" s="94"/>
      <c r="AL764" s="94"/>
      <c r="AM764" s="94"/>
      <c r="AN764" s="94"/>
      <c r="AO764" s="94"/>
      <c r="AP764" s="94"/>
      <c r="AQ764" s="94"/>
      <c r="AR764" s="94"/>
      <c r="AS764" s="94"/>
      <c r="AT764" s="94"/>
      <c r="AU764" s="94"/>
      <c r="AV764" s="94"/>
      <c r="AW764" s="94"/>
      <c r="AX764" s="94"/>
      <c r="AY764" s="94"/>
      <c r="BA764" s="95"/>
    </row>
    <row r="765" spans="1:53" s="87" customFormat="1">
      <c r="A765" s="90" t="str">
        <f t="shared" si="59"/>
        <v/>
      </c>
      <c r="B765" s="98">
        <v>2</v>
      </c>
      <c r="C765" s="94" t="s">
        <v>210</v>
      </c>
      <c r="D765" s="94" t="s">
        <v>210</v>
      </c>
      <c r="E765" s="94" t="s">
        <v>210</v>
      </c>
      <c r="F765" s="94">
        <v>-1</v>
      </c>
      <c r="G765" s="94">
        <v>2</v>
      </c>
      <c r="H765" s="94" t="s">
        <v>210</v>
      </c>
      <c r="I765" s="94" t="s">
        <v>210</v>
      </c>
      <c r="J765" s="94">
        <v>4</v>
      </c>
      <c r="K765" s="94">
        <v>-3</v>
      </c>
      <c r="L765" s="94"/>
      <c r="M765" s="94"/>
      <c r="N765" s="94"/>
      <c r="O765" s="94"/>
      <c r="P765" s="94"/>
      <c r="Q765" s="94"/>
      <c r="R765" s="94"/>
      <c r="S765" s="94"/>
      <c r="T765" s="94"/>
      <c r="U765" s="94"/>
      <c r="V765" s="94"/>
      <c r="W765" s="94"/>
      <c r="X765" s="94"/>
      <c r="Y765" s="94"/>
      <c r="Z765" s="94"/>
      <c r="AA765" s="94"/>
      <c r="AB765" s="94"/>
      <c r="AC765" s="94"/>
      <c r="AD765" s="94"/>
      <c r="AE765" s="94"/>
      <c r="AF765" s="94"/>
      <c r="AG765" s="94"/>
      <c r="AH765" s="94"/>
      <c r="AI765" s="94"/>
      <c r="AJ765" s="94"/>
      <c r="AK765" s="94"/>
      <c r="AL765" s="94"/>
      <c r="AM765" s="94"/>
      <c r="AN765" s="94"/>
      <c r="AO765" s="94"/>
      <c r="AP765" s="94"/>
      <c r="AQ765" s="94"/>
      <c r="AR765" s="94"/>
      <c r="AS765" s="94"/>
      <c r="AT765" s="94"/>
      <c r="AU765" s="94"/>
      <c r="AV765" s="94"/>
      <c r="AW765" s="94"/>
      <c r="AX765" s="94"/>
      <c r="AY765" s="94"/>
      <c r="BA765" s="95"/>
    </row>
    <row r="766" spans="1:53" s="87" customFormat="1">
      <c r="A766" s="90" t="str">
        <f t="shared" si="59"/>
        <v/>
      </c>
      <c r="B766" s="98">
        <v>3</v>
      </c>
      <c r="C766" s="94">
        <v>1</v>
      </c>
      <c r="D766" s="94" t="s">
        <v>210</v>
      </c>
      <c r="E766" s="94" t="s">
        <v>210</v>
      </c>
      <c r="F766" s="94">
        <v>3</v>
      </c>
      <c r="G766" s="94">
        <v>-2</v>
      </c>
      <c r="H766" s="94" t="s">
        <v>210</v>
      </c>
      <c r="I766" s="94" t="s">
        <v>210</v>
      </c>
      <c r="J766" s="94" t="s">
        <v>210</v>
      </c>
      <c r="K766" s="94">
        <v>-4</v>
      </c>
      <c r="L766" s="94"/>
      <c r="M766" s="94"/>
      <c r="N766" s="94"/>
      <c r="O766" s="94"/>
      <c r="P766" s="94"/>
      <c r="Q766" s="94"/>
      <c r="R766" s="94"/>
      <c r="S766" s="94"/>
      <c r="T766" s="94"/>
      <c r="U766" s="94"/>
      <c r="V766" s="94"/>
      <c r="W766" s="94"/>
      <c r="X766" s="94"/>
      <c r="Y766" s="94"/>
      <c r="Z766" s="94"/>
      <c r="AA766" s="94"/>
      <c r="AB766" s="94"/>
      <c r="AC766" s="94"/>
      <c r="AD766" s="94"/>
      <c r="AE766" s="94"/>
      <c r="AF766" s="94"/>
      <c r="AG766" s="94"/>
      <c r="AH766" s="94"/>
      <c r="AI766" s="94"/>
      <c r="AJ766" s="94"/>
      <c r="AK766" s="94"/>
      <c r="AL766" s="94"/>
      <c r="AM766" s="94"/>
      <c r="AN766" s="94"/>
      <c r="AO766" s="94"/>
      <c r="AP766" s="94"/>
      <c r="AQ766" s="94"/>
      <c r="AR766" s="94"/>
      <c r="AS766" s="94"/>
      <c r="AT766" s="94"/>
      <c r="AU766" s="94"/>
      <c r="AV766" s="94"/>
      <c r="AW766" s="94"/>
      <c r="AX766" s="94"/>
      <c r="AY766" s="94"/>
      <c r="BA766" s="95"/>
    </row>
    <row r="767" spans="1:53" s="87" customFormat="1">
      <c r="A767" s="90" t="str">
        <f t="shared" si="59"/>
        <v/>
      </c>
      <c r="B767" s="98">
        <v>4</v>
      </c>
      <c r="C767" s="94">
        <v>-4</v>
      </c>
      <c r="D767" s="94" t="s">
        <v>210</v>
      </c>
      <c r="E767" s="94" t="s">
        <v>210</v>
      </c>
      <c r="F767" s="94">
        <v>1</v>
      </c>
      <c r="G767" s="94" t="s">
        <v>210</v>
      </c>
      <c r="H767" s="94" t="s">
        <v>210</v>
      </c>
      <c r="I767" s="94" t="s">
        <v>210</v>
      </c>
      <c r="J767" s="94">
        <v>-2</v>
      </c>
      <c r="K767" s="94">
        <v>4</v>
      </c>
      <c r="L767" s="94"/>
      <c r="M767" s="94"/>
      <c r="N767" s="94"/>
      <c r="O767" s="94"/>
      <c r="P767" s="94"/>
      <c r="Q767" s="94"/>
      <c r="R767" s="94"/>
      <c r="S767" s="94"/>
      <c r="T767" s="94"/>
      <c r="U767" s="94"/>
      <c r="V767" s="94"/>
      <c r="W767" s="94"/>
      <c r="X767" s="94"/>
      <c r="Y767" s="94"/>
      <c r="Z767" s="94"/>
      <c r="AA767" s="94"/>
      <c r="AB767" s="94"/>
      <c r="AC767" s="94"/>
      <c r="AD767" s="94"/>
      <c r="AE767" s="94"/>
      <c r="AF767" s="94"/>
      <c r="AG767" s="94"/>
      <c r="AH767" s="94"/>
      <c r="AI767" s="94"/>
      <c r="AJ767" s="94"/>
      <c r="AK767" s="94"/>
      <c r="AL767" s="94"/>
      <c r="AM767" s="94"/>
      <c r="AN767" s="94"/>
      <c r="AO767" s="94"/>
      <c r="AP767" s="94"/>
      <c r="AQ767" s="94"/>
      <c r="AR767" s="94"/>
      <c r="AS767" s="94"/>
      <c r="AT767" s="94"/>
      <c r="AU767" s="94"/>
      <c r="AV767" s="94"/>
      <c r="AW767" s="94"/>
      <c r="AX767" s="94"/>
      <c r="AY767" s="94"/>
      <c r="BA767" s="95"/>
    </row>
    <row r="768" spans="1:53" s="87" customFormat="1">
      <c r="A768" s="90" t="str">
        <f t="shared" si="59"/>
        <v/>
      </c>
      <c r="B768" s="99">
        <v>5</v>
      </c>
      <c r="C768" s="92">
        <v>4</v>
      </c>
      <c r="D768" s="92" t="s">
        <v>210</v>
      </c>
      <c r="E768" s="92" t="s">
        <v>210</v>
      </c>
      <c r="F768" s="92">
        <v>-3</v>
      </c>
      <c r="G768" s="92">
        <v>5</v>
      </c>
      <c r="H768" s="92" t="s">
        <v>210</v>
      </c>
      <c r="I768" s="92" t="s">
        <v>210</v>
      </c>
      <c r="J768" s="92">
        <v>-4</v>
      </c>
      <c r="K768" s="92" t="s">
        <v>210</v>
      </c>
      <c r="L768" s="94"/>
      <c r="M768" s="94"/>
      <c r="N768" s="94"/>
      <c r="O768" s="94"/>
      <c r="P768" s="94"/>
      <c r="Q768" s="94"/>
      <c r="R768" s="94"/>
      <c r="S768" s="94"/>
      <c r="T768" s="94"/>
      <c r="U768" s="94"/>
      <c r="V768" s="94"/>
      <c r="W768" s="94"/>
      <c r="X768" s="94"/>
      <c r="Y768" s="94"/>
      <c r="Z768" s="94"/>
      <c r="AA768" s="94"/>
      <c r="AB768" s="94"/>
      <c r="AC768" s="94"/>
      <c r="AD768" s="94"/>
      <c r="AE768" s="94"/>
      <c r="AF768" s="94"/>
      <c r="AG768" s="94"/>
      <c r="AH768" s="94"/>
      <c r="AI768" s="94"/>
      <c r="AJ768" s="94"/>
      <c r="AK768" s="94"/>
      <c r="AL768" s="94"/>
      <c r="AM768" s="94"/>
      <c r="AN768" s="94"/>
      <c r="AO768" s="94"/>
      <c r="AP768" s="94"/>
      <c r="AQ768" s="94"/>
      <c r="AR768" s="94"/>
      <c r="AS768" s="94"/>
      <c r="AT768" s="94"/>
      <c r="AU768" s="94"/>
      <c r="AV768" s="94"/>
      <c r="AW768" s="94"/>
      <c r="AX768" s="94"/>
      <c r="AY768" s="94"/>
      <c r="BA768" s="95"/>
    </row>
    <row r="769" spans="1:53" s="87" customFormat="1">
      <c r="A769" s="90" t="str">
        <f t="shared" si="59"/>
        <v/>
      </c>
      <c r="B769" s="98">
        <v>6</v>
      </c>
      <c r="C769" s="94" t="s">
        <v>210</v>
      </c>
      <c r="D769" s="94">
        <v>-4</v>
      </c>
      <c r="E769" s="94" t="s">
        <v>210</v>
      </c>
      <c r="F769" s="94">
        <v>-5</v>
      </c>
      <c r="G769" s="94">
        <v>1</v>
      </c>
      <c r="H769" s="94" t="s">
        <v>210</v>
      </c>
      <c r="I769" s="94" t="s">
        <v>210</v>
      </c>
      <c r="J769" s="94" t="s">
        <v>210</v>
      </c>
      <c r="K769" s="94">
        <v>2</v>
      </c>
      <c r="L769" s="94"/>
      <c r="M769" s="94"/>
      <c r="N769" s="94"/>
      <c r="O769" s="94"/>
      <c r="P769" s="94"/>
      <c r="Q769" s="94"/>
      <c r="R769" s="94"/>
      <c r="S769" s="94"/>
      <c r="T769" s="94"/>
      <c r="U769" s="94"/>
      <c r="V769" s="94"/>
      <c r="W769" s="94"/>
      <c r="X769" s="94"/>
      <c r="Y769" s="94"/>
      <c r="Z769" s="94"/>
      <c r="AA769" s="94"/>
      <c r="AB769" s="94"/>
      <c r="AC769" s="94"/>
      <c r="AD769" s="94"/>
      <c r="AE769" s="94"/>
      <c r="AF769" s="94"/>
      <c r="AG769" s="94"/>
      <c r="AH769" s="94"/>
      <c r="AI769" s="94"/>
      <c r="AJ769" s="94"/>
      <c r="AK769" s="94"/>
      <c r="AL769" s="94"/>
      <c r="AM769" s="94"/>
      <c r="AN769" s="94"/>
      <c r="AO769" s="94"/>
      <c r="AP769" s="94"/>
      <c r="AQ769" s="94"/>
      <c r="AR769" s="94"/>
      <c r="AS769" s="94"/>
      <c r="AT769" s="94"/>
      <c r="AU769" s="94"/>
      <c r="AV769" s="94"/>
      <c r="AW769" s="94"/>
      <c r="AX769" s="94"/>
      <c r="AY769" s="94"/>
      <c r="BA769" s="95"/>
    </row>
    <row r="770" spans="1:53" s="87" customFormat="1">
      <c r="A770" s="90" t="str">
        <f t="shared" si="59"/>
        <v/>
      </c>
      <c r="B770" s="98">
        <v>7</v>
      </c>
      <c r="C770" s="94">
        <v>5</v>
      </c>
      <c r="D770" s="94" t="s">
        <v>210</v>
      </c>
      <c r="E770" s="94" t="s">
        <v>210</v>
      </c>
      <c r="F770" s="94">
        <v>2</v>
      </c>
      <c r="G770" s="94">
        <v>-3</v>
      </c>
      <c r="H770" s="94" t="s">
        <v>210</v>
      </c>
      <c r="I770" s="94" t="s">
        <v>210</v>
      </c>
      <c r="J770" s="94" t="s">
        <v>210</v>
      </c>
      <c r="K770" s="94">
        <v>-2</v>
      </c>
      <c r="L770" s="94"/>
      <c r="M770" s="94"/>
      <c r="N770" s="94"/>
      <c r="O770" s="94"/>
      <c r="P770" s="94"/>
      <c r="Q770" s="94"/>
      <c r="R770" s="94"/>
      <c r="S770" s="94"/>
      <c r="T770" s="94"/>
      <c r="U770" s="94"/>
      <c r="V770" s="94"/>
      <c r="W770" s="94"/>
      <c r="X770" s="94"/>
      <c r="Y770" s="94"/>
      <c r="Z770" s="94"/>
      <c r="AA770" s="94"/>
      <c r="AB770" s="94"/>
      <c r="AC770" s="94"/>
      <c r="AD770" s="94"/>
      <c r="AE770" s="94"/>
      <c r="AF770" s="94"/>
      <c r="AG770" s="94"/>
      <c r="AH770" s="94"/>
      <c r="AI770" s="94"/>
      <c r="AJ770" s="94"/>
      <c r="AK770" s="94"/>
      <c r="AL770" s="94"/>
      <c r="AM770" s="94"/>
      <c r="AN770" s="94"/>
      <c r="AO770" s="94"/>
      <c r="AP770" s="94"/>
      <c r="AQ770" s="94"/>
      <c r="AR770" s="94"/>
      <c r="AS770" s="94"/>
      <c r="AT770" s="94"/>
      <c r="AU770" s="94"/>
      <c r="AV770" s="94"/>
      <c r="AW770" s="94"/>
      <c r="AX770" s="94"/>
      <c r="AY770" s="94"/>
      <c r="BA770" s="95"/>
    </row>
    <row r="771" spans="1:53" s="87" customFormat="1">
      <c r="A771" s="90" t="str">
        <f t="shared" si="59"/>
        <v/>
      </c>
      <c r="B771" s="98">
        <v>8</v>
      </c>
      <c r="C771" s="94">
        <v>3</v>
      </c>
      <c r="D771" s="94" t="s">
        <v>210</v>
      </c>
      <c r="E771" s="94" t="s">
        <v>210</v>
      </c>
      <c r="F771" s="94">
        <v>-2</v>
      </c>
      <c r="G771" s="94">
        <v>-1</v>
      </c>
      <c r="H771" s="94" t="s">
        <v>210</v>
      </c>
      <c r="I771" s="94" t="s">
        <v>210</v>
      </c>
      <c r="J771" s="94" t="s">
        <v>210</v>
      </c>
      <c r="K771" s="94">
        <v>5</v>
      </c>
      <c r="L771" s="94"/>
      <c r="M771" s="94"/>
      <c r="N771" s="94"/>
      <c r="O771" s="94"/>
      <c r="P771" s="94"/>
      <c r="Q771" s="94"/>
      <c r="R771" s="94"/>
      <c r="S771" s="94"/>
      <c r="T771" s="94"/>
      <c r="U771" s="94"/>
      <c r="V771" s="94"/>
      <c r="W771" s="94"/>
      <c r="X771" s="94"/>
      <c r="Y771" s="94"/>
      <c r="Z771" s="94"/>
      <c r="AA771" s="94"/>
      <c r="AB771" s="94"/>
      <c r="AC771" s="94"/>
      <c r="AD771" s="94"/>
      <c r="AE771" s="94"/>
      <c r="AF771" s="94"/>
      <c r="AG771" s="94"/>
      <c r="AH771" s="94"/>
      <c r="AI771" s="94"/>
      <c r="AJ771" s="94"/>
      <c r="AK771" s="94"/>
      <c r="AL771" s="94"/>
      <c r="AM771" s="94"/>
      <c r="AN771" s="94"/>
      <c r="AO771" s="94"/>
      <c r="AP771" s="94"/>
      <c r="AQ771" s="94"/>
      <c r="AR771" s="94"/>
      <c r="AS771" s="94"/>
      <c r="AT771" s="94"/>
      <c r="AU771" s="94"/>
      <c r="AV771" s="94"/>
      <c r="AW771" s="94"/>
      <c r="AX771" s="94"/>
      <c r="AY771" s="94"/>
      <c r="BA771" s="95"/>
    </row>
    <row r="772" spans="1:53" s="87" customFormat="1">
      <c r="A772" s="90" t="str">
        <f t="shared" si="59"/>
        <v/>
      </c>
      <c r="B772" s="99">
        <v>9</v>
      </c>
      <c r="C772" s="92">
        <v>-2</v>
      </c>
      <c r="D772" s="92" t="s">
        <v>210</v>
      </c>
      <c r="E772" s="92" t="s">
        <v>210</v>
      </c>
      <c r="F772" s="92">
        <v>5</v>
      </c>
      <c r="G772" s="92">
        <v>3</v>
      </c>
      <c r="H772" s="92" t="s">
        <v>210</v>
      </c>
      <c r="I772" s="92" t="s">
        <v>210</v>
      </c>
      <c r="J772" s="92" t="s">
        <v>210</v>
      </c>
      <c r="K772" s="92">
        <v>-5</v>
      </c>
      <c r="L772" s="94"/>
      <c r="M772" s="94"/>
      <c r="N772" s="94"/>
      <c r="O772" s="94"/>
      <c r="P772" s="94"/>
      <c r="Q772" s="94"/>
      <c r="R772" s="94"/>
      <c r="S772" s="94"/>
      <c r="T772" s="94"/>
      <c r="U772" s="94"/>
      <c r="V772" s="94"/>
      <c r="W772" s="94"/>
      <c r="X772" s="94"/>
      <c r="Y772" s="94"/>
      <c r="Z772" s="94"/>
      <c r="AA772" s="94"/>
      <c r="AB772" s="94"/>
      <c r="AC772" s="94"/>
      <c r="AD772" s="94"/>
      <c r="AE772" s="94"/>
      <c r="AF772" s="94"/>
      <c r="AG772" s="94"/>
      <c r="AH772" s="94"/>
      <c r="AI772" s="94"/>
      <c r="AJ772" s="94"/>
      <c r="AK772" s="94"/>
      <c r="AL772" s="94"/>
      <c r="AM772" s="94"/>
      <c r="AN772" s="94"/>
      <c r="AO772" s="94"/>
      <c r="AP772" s="94"/>
      <c r="AQ772" s="94"/>
      <c r="AR772" s="94"/>
      <c r="AS772" s="94"/>
      <c r="AT772" s="94"/>
      <c r="AU772" s="94"/>
      <c r="AV772" s="94"/>
      <c r="AW772" s="94"/>
      <c r="AX772" s="94"/>
      <c r="AY772" s="94"/>
      <c r="BA772" s="95"/>
    </row>
    <row r="773" spans="1:53" s="87" customFormat="1">
      <c r="A773" s="90" t="str">
        <f t="shared" si="59"/>
        <v/>
      </c>
      <c r="B773" s="98">
        <v>10</v>
      </c>
      <c r="C773" s="94" t="s">
        <v>210</v>
      </c>
      <c r="D773" s="94">
        <v>4</v>
      </c>
      <c r="E773" s="94">
        <v>5</v>
      </c>
      <c r="F773" s="94" t="s">
        <v>210</v>
      </c>
      <c r="G773" s="94" t="s">
        <v>210</v>
      </c>
      <c r="H773" s="94">
        <v>-2</v>
      </c>
      <c r="I773" s="94">
        <v>-1</v>
      </c>
      <c r="J773" s="94" t="s">
        <v>210</v>
      </c>
      <c r="K773" s="94" t="s">
        <v>210</v>
      </c>
      <c r="L773" s="94"/>
      <c r="M773" s="94"/>
      <c r="N773" s="94"/>
      <c r="O773" s="94"/>
      <c r="P773" s="94"/>
      <c r="Q773" s="94"/>
      <c r="R773" s="94"/>
      <c r="S773" s="94"/>
      <c r="T773" s="94"/>
      <c r="U773" s="94"/>
      <c r="V773" s="94"/>
      <c r="W773" s="94"/>
      <c r="X773" s="94"/>
      <c r="Y773" s="94"/>
      <c r="Z773" s="94"/>
      <c r="AA773" s="94"/>
      <c r="AB773" s="94"/>
      <c r="AC773" s="94"/>
      <c r="AD773" s="94"/>
      <c r="AE773" s="94"/>
      <c r="AF773" s="94"/>
      <c r="AG773" s="94"/>
      <c r="AH773" s="94"/>
      <c r="AI773" s="94"/>
      <c r="AJ773" s="94"/>
      <c r="AK773" s="94"/>
      <c r="AL773" s="94"/>
      <c r="AM773" s="94"/>
      <c r="AN773" s="94"/>
      <c r="AO773" s="94"/>
      <c r="AP773" s="94"/>
      <c r="AQ773" s="94"/>
      <c r="AR773" s="94"/>
      <c r="AS773" s="94"/>
      <c r="AT773" s="94"/>
      <c r="AU773" s="94"/>
      <c r="AV773" s="94"/>
      <c r="AW773" s="94"/>
      <c r="AX773" s="94"/>
      <c r="AY773" s="94"/>
      <c r="BA773" s="95"/>
    </row>
    <row r="774" spans="1:53" s="87" customFormat="1">
      <c r="A774" s="90" t="str">
        <f t="shared" si="59"/>
        <v/>
      </c>
      <c r="B774" s="98">
        <v>11</v>
      </c>
      <c r="C774" s="94">
        <v>-5</v>
      </c>
      <c r="D774" s="94" t="s">
        <v>210</v>
      </c>
      <c r="E774" s="94" t="s">
        <v>210</v>
      </c>
      <c r="F774" s="94">
        <v>-4</v>
      </c>
      <c r="G774" s="94" t="s">
        <v>210</v>
      </c>
      <c r="H774" s="94">
        <v>3</v>
      </c>
      <c r="I774" s="94">
        <v>1</v>
      </c>
      <c r="J774" s="94" t="s">
        <v>210</v>
      </c>
      <c r="K774" s="94" t="s">
        <v>210</v>
      </c>
      <c r="L774" s="94"/>
      <c r="M774" s="94"/>
      <c r="N774" s="94"/>
      <c r="O774" s="94"/>
      <c r="P774" s="94"/>
      <c r="Q774" s="94"/>
      <c r="R774" s="94"/>
      <c r="S774" s="94"/>
      <c r="T774" s="94"/>
      <c r="U774" s="94"/>
      <c r="V774" s="94"/>
      <c r="W774" s="94"/>
      <c r="X774" s="94"/>
      <c r="Y774" s="94"/>
      <c r="Z774" s="94"/>
      <c r="AA774" s="94"/>
      <c r="AB774" s="94"/>
      <c r="AC774" s="94"/>
      <c r="AD774" s="94"/>
      <c r="AE774" s="94"/>
      <c r="AF774" s="94"/>
      <c r="AG774" s="94"/>
      <c r="AH774" s="94"/>
      <c r="AI774" s="94"/>
      <c r="AJ774" s="94"/>
      <c r="AK774" s="94"/>
      <c r="AL774" s="94"/>
      <c r="AM774" s="94"/>
      <c r="AN774" s="94"/>
      <c r="AO774" s="94"/>
      <c r="AP774" s="94"/>
      <c r="AQ774" s="94"/>
      <c r="AR774" s="94"/>
      <c r="AS774" s="94"/>
      <c r="AT774" s="94"/>
      <c r="AU774" s="94"/>
      <c r="AV774" s="94"/>
      <c r="AW774" s="94"/>
      <c r="AX774" s="94"/>
      <c r="AY774" s="94"/>
      <c r="BA774" s="95"/>
    </row>
    <row r="775" spans="1:53" s="87" customFormat="1">
      <c r="A775" s="90" t="str">
        <f t="shared" si="59"/>
        <v/>
      </c>
      <c r="B775" s="98">
        <v>12</v>
      </c>
      <c r="C775" s="94">
        <v>-3</v>
      </c>
      <c r="D775" s="94" t="s">
        <v>210</v>
      </c>
      <c r="E775" s="94" t="s">
        <v>210</v>
      </c>
      <c r="F775" s="94">
        <v>4</v>
      </c>
      <c r="G775" s="94" t="s">
        <v>210</v>
      </c>
      <c r="H775" s="94">
        <v>2</v>
      </c>
      <c r="I775" s="94" t="s">
        <v>210</v>
      </c>
      <c r="J775" s="94" t="s">
        <v>210</v>
      </c>
      <c r="K775" s="94">
        <v>-1</v>
      </c>
      <c r="L775" s="94"/>
      <c r="M775" s="94"/>
      <c r="N775" s="94"/>
      <c r="O775" s="94"/>
      <c r="P775" s="94"/>
      <c r="Q775" s="94"/>
      <c r="R775" s="94"/>
      <c r="S775" s="94"/>
      <c r="T775" s="94"/>
      <c r="U775" s="94"/>
      <c r="V775" s="94"/>
      <c r="W775" s="94"/>
      <c r="X775" s="94"/>
      <c r="Y775" s="94"/>
      <c r="Z775" s="94"/>
      <c r="AA775" s="94"/>
      <c r="AB775" s="94"/>
      <c r="AC775" s="94"/>
      <c r="AD775" s="94"/>
      <c r="AE775" s="94"/>
      <c r="AF775" s="94"/>
      <c r="AG775" s="94"/>
      <c r="AH775" s="94"/>
      <c r="AI775" s="94"/>
      <c r="AJ775" s="94"/>
      <c r="AK775" s="94"/>
      <c r="AL775" s="94"/>
      <c r="AM775" s="94"/>
      <c r="AN775" s="94"/>
      <c r="AO775" s="94"/>
      <c r="AP775" s="94"/>
      <c r="AQ775" s="94"/>
      <c r="AR775" s="94"/>
      <c r="AS775" s="94"/>
      <c r="AT775" s="94"/>
      <c r="AU775" s="94"/>
      <c r="AV775" s="94"/>
      <c r="AW775" s="94"/>
      <c r="AX775" s="94"/>
      <c r="AY775" s="94"/>
      <c r="BA775" s="95"/>
    </row>
    <row r="776" spans="1:53" s="87" customFormat="1">
      <c r="A776" s="90" t="str">
        <f t="shared" si="59"/>
        <v/>
      </c>
      <c r="B776" s="99">
        <v>13</v>
      </c>
      <c r="C776" s="92">
        <v>2</v>
      </c>
      <c r="D776" s="92" t="s">
        <v>210</v>
      </c>
      <c r="E776" s="92">
        <v>-5</v>
      </c>
      <c r="F776" s="92" t="s">
        <v>210</v>
      </c>
      <c r="G776" s="92" t="s">
        <v>210</v>
      </c>
      <c r="H776" s="92">
        <v>-3</v>
      </c>
      <c r="I776" s="92" t="s">
        <v>210</v>
      </c>
      <c r="J776" s="92" t="s">
        <v>210</v>
      </c>
      <c r="K776" s="92">
        <v>1</v>
      </c>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BA776" s="95"/>
    </row>
    <row r="777" spans="1:53" s="87" customFormat="1">
      <c r="A777" s="90" t="str">
        <f t="shared" si="59"/>
        <v/>
      </c>
      <c r="B777" s="98">
        <v>14</v>
      </c>
      <c r="C777" s="94" t="s">
        <v>210</v>
      </c>
      <c r="D777" s="94">
        <v>1</v>
      </c>
      <c r="E777" s="94">
        <v>3</v>
      </c>
      <c r="F777" s="94" t="s">
        <v>210</v>
      </c>
      <c r="G777" s="94">
        <v>-4</v>
      </c>
      <c r="H777" s="94" t="s">
        <v>210</v>
      </c>
      <c r="I777" s="94">
        <v>-2</v>
      </c>
      <c r="J777" s="94" t="s">
        <v>210</v>
      </c>
      <c r="K777" s="94" t="s">
        <v>210</v>
      </c>
      <c r="L777" s="94"/>
      <c r="M777" s="94"/>
      <c r="N777" s="94"/>
      <c r="O777" s="94"/>
      <c r="P777" s="94"/>
      <c r="Q777" s="94"/>
      <c r="R777" s="94"/>
      <c r="S777" s="94"/>
      <c r="T777" s="94"/>
      <c r="U777" s="94"/>
      <c r="V777" s="94"/>
      <c r="W777" s="94"/>
      <c r="X777" s="94"/>
      <c r="Y777" s="94"/>
      <c r="Z777" s="94"/>
      <c r="AA777" s="94"/>
      <c r="AB777" s="94"/>
      <c r="AC777" s="94"/>
      <c r="AD777" s="94"/>
      <c r="AE777" s="94"/>
      <c r="AF777" s="94"/>
      <c r="AG777" s="94"/>
      <c r="AH777" s="94"/>
      <c r="AI777" s="94"/>
      <c r="AJ777" s="94"/>
      <c r="AK777" s="94"/>
      <c r="AL777" s="94"/>
      <c r="AM777" s="94"/>
      <c r="AN777" s="94"/>
      <c r="AO777" s="94"/>
      <c r="AP777" s="94"/>
      <c r="AQ777" s="94"/>
      <c r="AR777" s="94"/>
      <c r="AS777" s="94"/>
      <c r="AT777" s="94"/>
      <c r="AU777" s="94"/>
      <c r="AV777" s="94"/>
      <c r="AW777" s="94"/>
      <c r="AX777" s="94"/>
      <c r="AY777" s="94"/>
      <c r="BA777" s="95"/>
    </row>
    <row r="778" spans="1:53" s="87" customFormat="1">
      <c r="A778" s="90" t="str">
        <f t="shared" si="59"/>
        <v/>
      </c>
      <c r="B778" s="98">
        <v>15</v>
      </c>
      <c r="C778" s="94" t="s">
        <v>210</v>
      </c>
      <c r="D778" s="94">
        <v>-5</v>
      </c>
      <c r="E778" s="94">
        <v>-1</v>
      </c>
      <c r="F778" s="94" t="s">
        <v>210</v>
      </c>
      <c r="G778" s="94" t="s">
        <v>210</v>
      </c>
      <c r="H778" s="94">
        <v>4</v>
      </c>
      <c r="I778" s="94">
        <v>2</v>
      </c>
      <c r="J778" s="94" t="s">
        <v>210</v>
      </c>
      <c r="K778" s="94" t="s">
        <v>210</v>
      </c>
      <c r="L778" s="94"/>
      <c r="M778" s="94"/>
      <c r="N778" s="94"/>
      <c r="O778" s="94"/>
      <c r="P778" s="94"/>
      <c r="Q778" s="94"/>
      <c r="R778" s="94"/>
      <c r="S778" s="94"/>
      <c r="T778" s="94"/>
      <c r="U778" s="94"/>
      <c r="V778" s="94"/>
      <c r="W778" s="94"/>
      <c r="X778" s="94"/>
      <c r="Y778" s="94"/>
      <c r="Z778" s="94"/>
      <c r="AA778" s="94"/>
      <c r="AB778" s="94"/>
      <c r="AC778" s="94"/>
      <c r="AD778" s="94"/>
      <c r="AE778" s="94"/>
      <c r="AF778" s="94"/>
      <c r="AG778" s="94"/>
      <c r="AH778" s="94"/>
      <c r="AI778" s="94"/>
      <c r="AJ778" s="94"/>
      <c r="AK778" s="94"/>
      <c r="AL778" s="94"/>
      <c r="AM778" s="94"/>
      <c r="AN778" s="94"/>
      <c r="AO778" s="94"/>
      <c r="AP778" s="94"/>
      <c r="AQ778" s="94"/>
      <c r="AR778" s="94"/>
      <c r="AS778" s="94"/>
      <c r="AT778" s="94"/>
      <c r="AU778" s="94"/>
      <c r="AV778" s="94"/>
      <c r="AW778" s="94"/>
      <c r="AX778" s="94"/>
      <c r="AY778" s="94"/>
      <c r="BA778" s="95"/>
    </row>
    <row r="779" spans="1:53" s="87" customFormat="1">
      <c r="A779" s="90" t="str">
        <f t="shared" si="59"/>
        <v/>
      </c>
      <c r="B779" s="98">
        <v>16</v>
      </c>
      <c r="C779" s="94" t="s">
        <v>210</v>
      </c>
      <c r="D779" s="94">
        <v>-3</v>
      </c>
      <c r="E779" s="94">
        <v>1</v>
      </c>
      <c r="F779" s="94" t="s">
        <v>210</v>
      </c>
      <c r="G779" s="94">
        <v>4</v>
      </c>
      <c r="H779" s="94" t="s">
        <v>210</v>
      </c>
      <c r="I779" s="94">
        <v>-5</v>
      </c>
      <c r="J779" s="94" t="s">
        <v>210</v>
      </c>
      <c r="K779" s="94" t="s">
        <v>210</v>
      </c>
      <c r="L779" s="94"/>
      <c r="M779" s="94"/>
      <c r="N779" s="94"/>
      <c r="O779" s="94"/>
      <c r="P779" s="94"/>
      <c r="Q779" s="94"/>
      <c r="R779" s="94"/>
      <c r="S779" s="94"/>
      <c r="T779" s="94"/>
      <c r="U779" s="94"/>
      <c r="V779" s="94"/>
      <c r="W779" s="94"/>
      <c r="X779" s="94"/>
      <c r="Y779" s="94"/>
      <c r="Z779" s="94"/>
      <c r="AA779" s="94"/>
      <c r="AB779" s="94"/>
      <c r="AC779" s="94"/>
      <c r="AD779" s="94"/>
      <c r="AE779" s="94"/>
      <c r="AF779" s="94"/>
      <c r="AG779" s="94"/>
      <c r="AH779" s="94"/>
      <c r="AI779" s="94"/>
      <c r="AJ779" s="94"/>
      <c r="AK779" s="94"/>
      <c r="AL779" s="94"/>
      <c r="AM779" s="94"/>
      <c r="AN779" s="94"/>
      <c r="AO779" s="94"/>
      <c r="AP779" s="94"/>
      <c r="AQ779" s="94"/>
      <c r="AR779" s="94"/>
      <c r="AS779" s="94"/>
      <c r="AT779" s="94"/>
      <c r="AU779" s="94"/>
      <c r="AV779" s="94"/>
      <c r="AW779" s="94"/>
      <c r="AX779" s="94"/>
      <c r="AY779" s="94"/>
      <c r="BA779" s="95"/>
    </row>
    <row r="780" spans="1:53" s="87" customFormat="1">
      <c r="A780" s="90" t="str">
        <f t="shared" ref="A780:A843" si="60">IF(MID(B780,3,2)="05",ROW(),"")</f>
        <v/>
      </c>
      <c r="B780" s="99">
        <v>17</v>
      </c>
      <c r="C780" s="92" t="s">
        <v>210</v>
      </c>
      <c r="D780" s="92">
        <v>2</v>
      </c>
      <c r="E780" s="92">
        <v>-3</v>
      </c>
      <c r="F780" s="92" t="s">
        <v>210</v>
      </c>
      <c r="G780" s="92" t="s">
        <v>210</v>
      </c>
      <c r="H780" s="92">
        <v>-4</v>
      </c>
      <c r="I780" s="92">
        <v>5</v>
      </c>
      <c r="J780" s="92" t="s">
        <v>210</v>
      </c>
      <c r="K780" s="92" t="s">
        <v>210</v>
      </c>
      <c r="L780" s="94"/>
      <c r="M780" s="94"/>
      <c r="N780" s="94"/>
      <c r="O780" s="94"/>
      <c r="P780" s="94"/>
      <c r="Q780" s="94"/>
      <c r="R780" s="94"/>
      <c r="S780" s="94"/>
      <c r="T780" s="94"/>
      <c r="U780" s="94"/>
      <c r="V780" s="94"/>
      <c r="W780" s="94"/>
      <c r="X780" s="94"/>
      <c r="Y780" s="94"/>
      <c r="Z780" s="94"/>
      <c r="AA780" s="94"/>
      <c r="AB780" s="94"/>
      <c r="AC780" s="94"/>
      <c r="AD780" s="94"/>
      <c r="AE780" s="94"/>
      <c r="AF780" s="94"/>
      <c r="AG780" s="94"/>
      <c r="AH780" s="94"/>
      <c r="AI780" s="94"/>
      <c r="AJ780" s="94"/>
      <c r="AK780" s="94"/>
      <c r="AL780" s="94"/>
      <c r="AM780" s="94"/>
      <c r="AN780" s="94"/>
      <c r="AO780" s="94"/>
      <c r="AP780" s="94"/>
      <c r="AQ780" s="94"/>
      <c r="AR780" s="94"/>
      <c r="AS780" s="94"/>
      <c r="AT780" s="94"/>
      <c r="AU780" s="94"/>
      <c r="AV780" s="94"/>
      <c r="AW780" s="94"/>
      <c r="AX780" s="94"/>
      <c r="AY780" s="94"/>
      <c r="BA780" s="95"/>
    </row>
    <row r="781" spans="1:53" s="87" customFormat="1">
      <c r="A781" s="90" t="str">
        <f t="shared" si="60"/>
        <v/>
      </c>
      <c r="B781" s="98">
        <v>18</v>
      </c>
      <c r="C781" s="94" t="s">
        <v>210</v>
      </c>
      <c r="D781" s="94">
        <v>-1</v>
      </c>
      <c r="E781" s="94">
        <v>-4</v>
      </c>
      <c r="F781" s="94" t="s">
        <v>210</v>
      </c>
      <c r="G781" s="94" t="s">
        <v>210</v>
      </c>
      <c r="H781" s="94">
        <v>5</v>
      </c>
      <c r="I781" s="94">
        <v>3</v>
      </c>
      <c r="J781" s="94" t="s">
        <v>210</v>
      </c>
      <c r="K781" s="94" t="s">
        <v>210</v>
      </c>
      <c r="L781" s="94"/>
      <c r="M781" s="94"/>
      <c r="N781" s="94"/>
      <c r="O781" s="94"/>
      <c r="P781" s="94"/>
      <c r="Q781" s="94"/>
      <c r="R781" s="94"/>
      <c r="S781" s="94"/>
      <c r="T781" s="94"/>
      <c r="U781" s="94"/>
      <c r="V781" s="94"/>
      <c r="W781" s="94"/>
      <c r="X781" s="94"/>
      <c r="Y781" s="94"/>
      <c r="Z781" s="94"/>
      <c r="AA781" s="94"/>
      <c r="AB781" s="94"/>
      <c r="AC781" s="94"/>
      <c r="AD781" s="94"/>
      <c r="AE781" s="94"/>
      <c r="AF781" s="94"/>
      <c r="AG781" s="94"/>
      <c r="AH781" s="94"/>
      <c r="AI781" s="94"/>
      <c r="AJ781" s="94"/>
      <c r="AK781" s="94"/>
      <c r="AL781" s="94"/>
      <c r="AM781" s="94"/>
      <c r="AN781" s="94"/>
      <c r="AO781" s="94"/>
      <c r="AP781" s="94"/>
      <c r="AQ781" s="94"/>
      <c r="AR781" s="94"/>
      <c r="AS781" s="94"/>
      <c r="AT781" s="94"/>
      <c r="AU781" s="94"/>
      <c r="AV781" s="94"/>
      <c r="AW781" s="94"/>
      <c r="AX781" s="94"/>
      <c r="AY781" s="94"/>
      <c r="BA781" s="95"/>
    </row>
    <row r="782" spans="1:53" s="87" customFormat="1">
      <c r="A782" s="90" t="str">
        <f t="shared" si="60"/>
        <v/>
      </c>
      <c r="B782" s="98">
        <v>19</v>
      </c>
      <c r="C782" s="94" t="s">
        <v>210</v>
      </c>
      <c r="D782" s="94">
        <v>5</v>
      </c>
      <c r="E782" s="94">
        <v>2</v>
      </c>
      <c r="F782" s="94" t="s">
        <v>210</v>
      </c>
      <c r="G782" s="94" t="s">
        <v>210</v>
      </c>
      <c r="H782" s="94">
        <v>-1</v>
      </c>
      <c r="I782" s="94">
        <v>-3</v>
      </c>
      <c r="J782" s="94" t="s">
        <v>210</v>
      </c>
      <c r="K782" s="94" t="s">
        <v>210</v>
      </c>
      <c r="L782" s="94"/>
      <c r="M782" s="94"/>
      <c r="N782" s="94"/>
      <c r="O782" s="94"/>
      <c r="P782" s="94"/>
      <c r="Q782" s="94"/>
      <c r="R782" s="94"/>
      <c r="S782" s="94"/>
      <c r="T782" s="94"/>
      <c r="U782" s="94"/>
      <c r="V782" s="94"/>
      <c r="W782" s="94"/>
      <c r="X782" s="94"/>
      <c r="Y782" s="94"/>
      <c r="Z782" s="94"/>
      <c r="AA782" s="94"/>
      <c r="AB782" s="94"/>
      <c r="AC782" s="94"/>
      <c r="AD782" s="94"/>
      <c r="AE782" s="94"/>
      <c r="AF782" s="94"/>
      <c r="AG782" s="94"/>
      <c r="AH782" s="94"/>
      <c r="AI782" s="94"/>
      <c r="AJ782" s="94"/>
      <c r="AK782" s="94"/>
      <c r="AL782" s="94"/>
      <c r="AM782" s="94"/>
      <c r="AN782" s="94"/>
      <c r="AO782" s="94"/>
      <c r="AP782" s="94"/>
      <c r="AQ782" s="94"/>
      <c r="AR782" s="94"/>
      <c r="AS782" s="94"/>
      <c r="AT782" s="94"/>
      <c r="AU782" s="94"/>
      <c r="AV782" s="94"/>
      <c r="AW782" s="94"/>
      <c r="AX782" s="94"/>
      <c r="AY782" s="94"/>
      <c r="BA782" s="95"/>
    </row>
    <row r="783" spans="1:53" s="87" customFormat="1">
      <c r="A783" s="90" t="str">
        <f t="shared" si="60"/>
        <v/>
      </c>
      <c r="B783" s="98">
        <v>20</v>
      </c>
      <c r="C783" s="94" t="s">
        <v>210</v>
      </c>
      <c r="D783" s="94">
        <v>3</v>
      </c>
      <c r="E783" s="94">
        <v>-2</v>
      </c>
      <c r="F783" s="94" t="s">
        <v>210</v>
      </c>
      <c r="G783" s="94" t="s">
        <v>210</v>
      </c>
      <c r="H783" s="94">
        <v>-5</v>
      </c>
      <c r="I783" s="94">
        <v>4</v>
      </c>
      <c r="J783" s="94" t="s">
        <v>210</v>
      </c>
      <c r="K783" s="94" t="s">
        <v>210</v>
      </c>
      <c r="L783" s="94"/>
      <c r="M783" s="94"/>
      <c r="N783" s="94"/>
      <c r="O783" s="94"/>
      <c r="P783" s="94"/>
      <c r="Q783" s="94"/>
      <c r="R783" s="94"/>
      <c r="S783" s="94"/>
      <c r="T783" s="94"/>
      <c r="U783" s="94"/>
      <c r="V783" s="94"/>
      <c r="W783" s="94"/>
      <c r="X783" s="94"/>
      <c r="Y783" s="94"/>
      <c r="Z783" s="94"/>
      <c r="AA783" s="94"/>
      <c r="AB783" s="94"/>
      <c r="AC783" s="94"/>
      <c r="AD783" s="94"/>
      <c r="AE783" s="94"/>
      <c r="AF783" s="94"/>
      <c r="AG783" s="94"/>
      <c r="AH783" s="94"/>
      <c r="AI783" s="94"/>
      <c r="AJ783" s="94"/>
      <c r="AK783" s="94"/>
      <c r="AL783" s="94"/>
      <c r="AM783" s="94"/>
      <c r="AN783" s="94"/>
      <c r="AO783" s="94"/>
      <c r="AP783" s="94"/>
      <c r="AQ783" s="94"/>
      <c r="AR783" s="94"/>
      <c r="AS783" s="94"/>
      <c r="AT783" s="94"/>
      <c r="AU783" s="94"/>
      <c r="AV783" s="94"/>
      <c r="AW783" s="94"/>
      <c r="AX783" s="94"/>
      <c r="AY783" s="94"/>
      <c r="BA783" s="95"/>
    </row>
    <row r="784" spans="1:53" s="87" customFormat="1">
      <c r="A784" s="90" t="str">
        <f t="shared" si="60"/>
        <v/>
      </c>
      <c r="B784" s="98">
        <v>21</v>
      </c>
      <c r="C784" s="94" t="s">
        <v>210</v>
      </c>
      <c r="D784" s="94">
        <v>-2</v>
      </c>
      <c r="E784" s="94">
        <v>4</v>
      </c>
      <c r="F784" s="94" t="s">
        <v>210</v>
      </c>
      <c r="G784" s="94" t="s">
        <v>210</v>
      </c>
      <c r="H784" s="94">
        <v>1</v>
      </c>
      <c r="I784" s="94">
        <v>-4</v>
      </c>
      <c r="J784" s="94" t="s">
        <v>210</v>
      </c>
      <c r="K784" s="94" t="s">
        <v>210</v>
      </c>
      <c r="L784" s="94"/>
      <c r="M784" s="94"/>
      <c r="N784" s="94"/>
      <c r="O784" s="94"/>
      <c r="P784" s="94"/>
      <c r="Q784" s="94"/>
      <c r="R784" s="94"/>
      <c r="S784" s="94"/>
      <c r="T784" s="94"/>
      <c r="U784" s="94"/>
      <c r="V784" s="94"/>
      <c r="W784" s="94"/>
      <c r="X784" s="94"/>
      <c r="Y784" s="94"/>
      <c r="Z784" s="94"/>
      <c r="AA784" s="94"/>
      <c r="AB784" s="94"/>
      <c r="AC784" s="94"/>
      <c r="AD784" s="94"/>
      <c r="AE784" s="94"/>
      <c r="AF784" s="94"/>
      <c r="AG784" s="94"/>
      <c r="AH784" s="94"/>
      <c r="AI784" s="94"/>
      <c r="AJ784" s="94"/>
      <c r="AK784" s="94"/>
      <c r="AL784" s="94"/>
      <c r="AM784" s="94"/>
      <c r="AN784" s="94"/>
      <c r="AO784" s="94"/>
      <c r="AP784" s="94"/>
      <c r="AQ784" s="94"/>
      <c r="AR784" s="94"/>
      <c r="AS784" s="94"/>
      <c r="AT784" s="94"/>
      <c r="AU784" s="94"/>
      <c r="AV784" s="94"/>
      <c r="AW784" s="94"/>
      <c r="AX784" s="94"/>
      <c r="AY784" s="94"/>
      <c r="BA784" s="95"/>
    </row>
    <row r="785" spans="1:53" s="87" customFormat="1">
      <c r="A785" s="90" t="str">
        <f t="shared" si="60"/>
        <v/>
      </c>
      <c r="B785" s="317" t="s">
        <v>1011</v>
      </c>
      <c r="C785" s="94"/>
      <c r="D785" s="94"/>
      <c r="E785" s="94"/>
      <c r="F785" s="94"/>
      <c r="G785" s="94"/>
      <c r="H785" s="94"/>
      <c r="I785" s="94"/>
      <c r="J785" s="94"/>
      <c r="K785" s="94"/>
      <c r="L785" s="94"/>
      <c r="M785" s="94"/>
      <c r="N785" s="94"/>
      <c r="O785" s="94"/>
      <c r="P785" s="94"/>
      <c r="Q785" s="94"/>
      <c r="R785" s="94"/>
      <c r="S785" s="94"/>
      <c r="T785" s="94"/>
      <c r="U785" s="94"/>
      <c r="V785" s="94"/>
      <c r="W785" s="94"/>
      <c r="X785" s="94"/>
      <c r="Y785" s="94"/>
      <c r="Z785" s="94"/>
      <c r="AA785" s="94"/>
      <c r="AB785" s="94"/>
      <c r="AC785" s="94"/>
      <c r="AD785" s="94"/>
      <c r="AE785" s="94"/>
      <c r="AF785" s="94"/>
      <c r="AG785" s="94"/>
      <c r="AH785" s="94"/>
      <c r="AI785" s="94"/>
      <c r="AJ785" s="94"/>
      <c r="AK785" s="94"/>
      <c r="AL785" s="94"/>
      <c r="AM785" s="94"/>
      <c r="AN785" s="94"/>
      <c r="AO785" s="94"/>
      <c r="AP785" s="94"/>
      <c r="AQ785" s="94"/>
      <c r="AR785" s="94"/>
      <c r="AS785" s="94"/>
      <c r="AT785" s="94"/>
      <c r="AU785" s="94"/>
      <c r="AV785" s="94"/>
      <c r="AW785" s="94"/>
      <c r="AX785" s="94"/>
      <c r="AY785" s="94"/>
      <c r="BA785" s="95"/>
    </row>
    <row r="786" spans="1:53" s="87" customFormat="1">
      <c r="A786" s="90">
        <f t="shared" si="60"/>
        <v>786</v>
      </c>
      <c r="B786" s="317" t="s">
        <v>1202</v>
      </c>
      <c r="C786" s="94"/>
      <c r="D786" s="94"/>
      <c r="E786" s="94"/>
      <c r="F786" s="94"/>
      <c r="G786" s="94"/>
      <c r="H786" s="94"/>
      <c r="I786" s="94"/>
      <c r="J786" s="94"/>
      <c r="K786" s="94"/>
      <c r="L786" s="94"/>
      <c r="M786" s="94"/>
      <c r="N786" s="94"/>
      <c r="O786" s="94"/>
      <c r="P786" s="94"/>
      <c r="Q786" s="94"/>
      <c r="R786" s="94"/>
      <c r="S786" s="94"/>
      <c r="T786" s="94"/>
      <c r="U786" s="94"/>
      <c r="V786" s="94"/>
      <c r="W786" s="94"/>
      <c r="X786" s="94"/>
      <c r="Y786" s="94"/>
      <c r="Z786" s="94"/>
      <c r="AA786" s="94"/>
      <c r="AB786" s="94"/>
      <c r="AC786" s="94"/>
      <c r="AD786" s="94"/>
      <c r="AE786" s="94"/>
      <c r="AF786" s="94"/>
      <c r="AG786" s="94"/>
      <c r="AH786" s="94"/>
      <c r="AI786" s="94"/>
      <c r="AJ786" s="94"/>
      <c r="AK786" s="94"/>
      <c r="AL786" s="94"/>
      <c r="AM786" s="94"/>
      <c r="AN786" s="94"/>
      <c r="AO786" s="94"/>
      <c r="AP786" s="94"/>
      <c r="AQ786" s="94"/>
      <c r="AR786" s="94"/>
      <c r="AS786" s="94"/>
      <c r="AT786" s="94"/>
      <c r="AU786" s="94"/>
      <c r="AV786" s="94"/>
      <c r="AW786" s="94"/>
      <c r="AX786" s="94"/>
      <c r="AY786" s="94"/>
      <c r="BA786" s="95"/>
    </row>
    <row r="787" spans="1:53" s="87" customFormat="1">
      <c r="A787" s="90" t="str">
        <f t="shared" si="60"/>
        <v/>
      </c>
      <c r="B787" s="98">
        <v>1</v>
      </c>
      <c r="C787" s="94" t="s">
        <v>210</v>
      </c>
      <c r="D787" s="94">
        <v>-2</v>
      </c>
      <c r="E787" s="94" t="s">
        <v>210</v>
      </c>
      <c r="F787" s="94">
        <v>-5</v>
      </c>
      <c r="G787" s="94" t="s">
        <v>210</v>
      </c>
      <c r="H787" s="94">
        <v>-3</v>
      </c>
      <c r="I787" s="94">
        <v>4</v>
      </c>
      <c r="J787" s="94" t="s">
        <v>210</v>
      </c>
      <c r="K787" s="94">
        <v>-1</v>
      </c>
      <c r="L787" s="94" t="s">
        <v>210</v>
      </c>
      <c r="M787" s="94">
        <v>2</v>
      </c>
      <c r="N787" s="94">
        <v>3</v>
      </c>
      <c r="O787" s="94"/>
      <c r="P787" s="94"/>
      <c r="Q787" s="94"/>
      <c r="R787" s="94"/>
      <c r="S787" s="94"/>
      <c r="T787" s="94"/>
      <c r="U787" s="94"/>
      <c r="V787" s="94"/>
      <c r="W787" s="94"/>
      <c r="X787" s="94"/>
      <c r="Y787" s="94"/>
      <c r="Z787" s="94"/>
      <c r="AA787" s="94"/>
      <c r="AB787" s="94"/>
      <c r="AC787" s="94"/>
      <c r="AD787" s="94"/>
      <c r="AE787" s="94"/>
      <c r="AF787" s="94"/>
      <c r="AG787" s="94"/>
      <c r="AH787" s="94"/>
      <c r="AI787" s="94"/>
      <c r="AJ787" s="94"/>
      <c r="AK787" s="94"/>
      <c r="AL787" s="94"/>
      <c r="AM787" s="94"/>
      <c r="AN787" s="94"/>
      <c r="AO787" s="94"/>
      <c r="AP787" s="94"/>
      <c r="AQ787" s="94"/>
      <c r="AR787" s="94"/>
      <c r="AS787" s="94"/>
      <c r="AT787" s="94"/>
      <c r="AU787" s="94"/>
      <c r="AV787" s="94"/>
      <c r="AW787" s="94"/>
      <c r="AX787" s="94"/>
      <c r="AY787" s="94"/>
      <c r="BA787" s="95"/>
    </row>
    <row r="788" spans="1:53" s="87" customFormat="1">
      <c r="A788" s="90" t="str">
        <f t="shared" si="60"/>
        <v/>
      </c>
      <c r="B788" s="98">
        <v>2</v>
      </c>
      <c r="C788" s="94" t="s">
        <v>210</v>
      </c>
      <c r="D788" s="94">
        <v>5</v>
      </c>
      <c r="E788" s="94" t="s">
        <v>210</v>
      </c>
      <c r="F788" s="94">
        <v>-4</v>
      </c>
      <c r="G788" s="94">
        <v>1</v>
      </c>
      <c r="H788" s="94" t="s">
        <v>210</v>
      </c>
      <c r="I788" s="94">
        <v>2</v>
      </c>
      <c r="J788" s="94" t="s">
        <v>210</v>
      </c>
      <c r="K788" s="94">
        <v>-5</v>
      </c>
      <c r="L788" s="94" t="s">
        <v>210</v>
      </c>
      <c r="M788" s="94">
        <v>-1</v>
      </c>
      <c r="N788" s="94">
        <v>-3</v>
      </c>
      <c r="O788" s="94"/>
      <c r="P788" s="94"/>
      <c r="Q788" s="94"/>
      <c r="R788" s="94"/>
      <c r="S788" s="94"/>
      <c r="T788" s="94"/>
      <c r="U788" s="94"/>
      <c r="V788" s="94"/>
      <c r="W788" s="94"/>
      <c r="X788" s="94"/>
      <c r="Y788" s="94"/>
      <c r="Z788" s="94"/>
      <c r="AA788" s="94"/>
      <c r="AB788" s="94"/>
      <c r="AC788" s="94"/>
      <c r="AD788" s="94"/>
      <c r="AE788" s="94"/>
      <c r="AF788" s="94"/>
      <c r="AG788" s="94"/>
      <c r="AH788" s="94"/>
      <c r="AI788" s="94"/>
      <c r="AJ788" s="94"/>
      <c r="AK788" s="94"/>
      <c r="AL788" s="94"/>
      <c r="AM788" s="94"/>
      <c r="AN788" s="94"/>
      <c r="AO788" s="94"/>
      <c r="AP788" s="94"/>
      <c r="AQ788" s="94"/>
      <c r="AR788" s="94"/>
      <c r="AS788" s="94"/>
      <c r="AT788" s="94"/>
      <c r="AU788" s="94"/>
      <c r="AV788" s="94"/>
      <c r="AW788" s="94"/>
      <c r="AX788" s="94"/>
      <c r="AY788" s="94"/>
      <c r="BA788" s="95"/>
    </row>
    <row r="789" spans="1:53" s="87" customFormat="1">
      <c r="A789" s="90" t="str">
        <f t="shared" si="60"/>
        <v/>
      </c>
      <c r="B789" s="98">
        <v>3</v>
      </c>
      <c r="C789" s="94" t="s">
        <v>210</v>
      </c>
      <c r="D789" s="94">
        <v>-1</v>
      </c>
      <c r="E789" s="94" t="s">
        <v>210</v>
      </c>
      <c r="F789" s="94">
        <v>4</v>
      </c>
      <c r="G789" s="94">
        <v>3</v>
      </c>
      <c r="H789" s="94" t="s">
        <v>210</v>
      </c>
      <c r="I789" s="94">
        <v>1</v>
      </c>
      <c r="J789" s="94" t="s">
        <v>210</v>
      </c>
      <c r="K789" s="94">
        <v>-4</v>
      </c>
      <c r="L789" s="94" t="s">
        <v>210</v>
      </c>
      <c r="M789" s="94">
        <v>-2</v>
      </c>
      <c r="N789" s="94">
        <v>5</v>
      </c>
      <c r="O789" s="94"/>
      <c r="P789" s="94"/>
      <c r="Q789" s="94"/>
      <c r="R789" s="94"/>
      <c r="S789" s="94"/>
      <c r="T789" s="94"/>
      <c r="U789" s="94"/>
      <c r="V789" s="94"/>
      <c r="W789" s="94"/>
      <c r="X789" s="94"/>
      <c r="Y789" s="94"/>
      <c r="Z789" s="94"/>
      <c r="AA789" s="94"/>
      <c r="AB789" s="94"/>
      <c r="AC789" s="94"/>
      <c r="AD789" s="94"/>
      <c r="AE789" s="94"/>
      <c r="AF789" s="94"/>
      <c r="AG789" s="94"/>
      <c r="AH789" s="94"/>
      <c r="AI789" s="94"/>
      <c r="AJ789" s="94"/>
      <c r="AK789" s="94"/>
      <c r="AL789" s="94"/>
      <c r="AM789" s="94"/>
      <c r="AN789" s="94"/>
      <c r="AO789" s="94"/>
      <c r="AP789" s="94"/>
      <c r="AQ789" s="94"/>
      <c r="AR789" s="94"/>
      <c r="AS789" s="94"/>
      <c r="AT789" s="94"/>
      <c r="AU789" s="94"/>
      <c r="AV789" s="94"/>
      <c r="AW789" s="94"/>
      <c r="AX789" s="94"/>
      <c r="AY789" s="94"/>
      <c r="BA789" s="95"/>
    </row>
    <row r="790" spans="1:53" s="87" customFormat="1">
      <c r="A790" s="90" t="str">
        <f t="shared" si="60"/>
        <v/>
      </c>
      <c r="B790" s="98">
        <v>4</v>
      </c>
      <c r="C790" s="94" t="s">
        <v>210</v>
      </c>
      <c r="D790" s="94">
        <v>4</v>
      </c>
      <c r="E790" s="94" t="s">
        <v>210</v>
      </c>
      <c r="F790" s="94">
        <v>5</v>
      </c>
      <c r="G790" s="94">
        <v>2</v>
      </c>
      <c r="H790" s="94" t="s">
        <v>210</v>
      </c>
      <c r="I790" s="94">
        <v>-3</v>
      </c>
      <c r="J790" s="94">
        <v>-2</v>
      </c>
      <c r="K790" s="94" t="s">
        <v>210</v>
      </c>
      <c r="L790" s="94" t="s">
        <v>210</v>
      </c>
      <c r="M790" s="94">
        <v>1</v>
      </c>
      <c r="N790" s="94">
        <v>-5</v>
      </c>
      <c r="O790" s="94"/>
      <c r="P790" s="94"/>
      <c r="Q790" s="94"/>
      <c r="R790" s="94"/>
      <c r="S790" s="94"/>
      <c r="T790" s="94"/>
      <c r="U790" s="94"/>
      <c r="V790" s="94"/>
      <c r="W790" s="94"/>
      <c r="X790" s="94"/>
      <c r="Y790" s="94"/>
      <c r="Z790" s="94"/>
      <c r="AA790" s="94"/>
      <c r="AB790" s="94"/>
      <c r="AC790" s="94"/>
      <c r="AD790" s="94"/>
      <c r="AE790" s="94"/>
      <c r="AF790" s="94"/>
      <c r="AG790" s="94"/>
      <c r="AH790" s="94"/>
      <c r="AI790" s="94"/>
      <c r="AJ790" s="94"/>
      <c r="AK790" s="94"/>
      <c r="AL790" s="94"/>
      <c r="AM790" s="94"/>
      <c r="AN790" s="94"/>
      <c r="AO790" s="94"/>
      <c r="AP790" s="94"/>
      <c r="AQ790" s="94"/>
      <c r="AR790" s="94"/>
      <c r="AS790" s="94"/>
      <c r="AT790" s="94"/>
      <c r="AU790" s="94"/>
      <c r="AV790" s="94"/>
      <c r="AW790" s="94"/>
      <c r="AX790" s="94"/>
      <c r="AY790" s="94"/>
      <c r="BA790" s="95"/>
    </row>
    <row r="791" spans="1:53" s="87" customFormat="1">
      <c r="A791" s="90" t="str">
        <f t="shared" si="60"/>
        <v/>
      </c>
      <c r="B791" s="98">
        <v>5</v>
      </c>
      <c r="C791" s="94" t="s">
        <v>210</v>
      </c>
      <c r="D791" s="94">
        <v>-5</v>
      </c>
      <c r="E791" s="94">
        <v>4</v>
      </c>
      <c r="F791" s="94" t="s">
        <v>210</v>
      </c>
      <c r="G791" s="94" t="s">
        <v>210</v>
      </c>
      <c r="H791" s="94">
        <v>3</v>
      </c>
      <c r="I791" s="94">
        <v>-1</v>
      </c>
      <c r="J791" s="94">
        <v>2</v>
      </c>
      <c r="K791" s="94" t="s">
        <v>210</v>
      </c>
      <c r="L791" s="94">
        <v>-3</v>
      </c>
      <c r="M791" s="94" t="s">
        <v>210</v>
      </c>
      <c r="N791" s="94">
        <v>-4</v>
      </c>
      <c r="O791" s="94"/>
      <c r="P791" s="94"/>
      <c r="Q791" s="94"/>
      <c r="R791" s="94"/>
      <c r="S791" s="94"/>
      <c r="T791" s="94"/>
      <c r="U791" s="94"/>
      <c r="V791" s="94"/>
      <c r="W791" s="94"/>
      <c r="X791" s="94"/>
      <c r="Y791" s="94"/>
      <c r="Z791" s="94"/>
      <c r="AA791" s="94"/>
      <c r="AB791" s="94"/>
      <c r="AC791" s="94"/>
      <c r="AD791" s="94"/>
      <c r="AE791" s="94"/>
      <c r="AF791" s="94"/>
      <c r="AG791" s="94"/>
      <c r="AH791" s="94"/>
      <c r="AI791" s="94"/>
      <c r="AJ791" s="94"/>
      <c r="AK791" s="94"/>
      <c r="AL791" s="94"/>
      <c r="AM791" s="94"/>
      <c r="AN791" s="94"/>
      <c r="AO791" s="94"/>
      <c r="AP791" s="94"/>
      <c r="AQ791" s="94"/>
      <c r="AR791" s="94"/>
      <c r="AS791" s="94"/>
      <c r="AT791" s="94"/>
      <c r="AU791" s="94"/>
      <c r="AV791" s="94"/>
      <c r="AW791" s="94"/>
      <c r="AX791" s="94"/>
      <c r="AY791" s="94"/>
      <c r="BA791" s="95"/>
    </row>
    <row r="792" spans="1:53" s="87" customFormat="1">
      <c r="A792" s="90" t="str">
        <f t="shared" si="60"/>
        <v/>
      </c>
      <c r="B792" s="98">
        <v>6</v>
      </c>
      <c r="C792" s="94" t="s">
        <v>210</v>
      </c>
      <c r="D792" s="94">
        <v>-4</v>
      </c>
      <c r="E792" s="94">
        <v>5</v>
      </c>
      <c r="F792" s="94" t="s">
        <v>210</v>
      </c>
      <c r="G792" s="94">
        <v>-3</v>
      </c>
      <c r="H792" s="94" t="s">
        <v>210</v>
      </c>
      <c r="I792" s="94">
        <v>-2</v>
      </c>
      <c r="J792" s="94" t="s">
        <v>210</v>
      </c>
      <c r="K792" s="94">
        <v>1</v>
      </c>
      <c r="L792" s="94">
        <v>-5</v>
      </c>
      <c r="M792" s="94" t="s">
        <v>210</v>
      </c>
      <c r="N792" s="94">
        <v>4</v>
      </c>
      <c r="O792" s="94"/>
      <c r="P792" s="94"/>
      <c r="Q792" s="94"/>
      <c r="R792" s="94"/>
      <c r="S792" s="94"/>
      <c r="T792" s="94"/>
      <c r="U792" s="94"/>
      <c r="V792" s="94"/>
      <c r="W792" s="94"/>
      <c r="X792" s="94"/>
      <c r="Y792" s="94"/>
      <c r="Z792" s="94"/>
      <c r="AA792" s="94"/>
      <c r="AB792" s="94"/>
      <c r="AC792" s="94"/>
      <c r="AD792" s="94"/>
      <c r="AE792" s="94"/>
      <c r="AF792" s="94"/>
      <c r="AG792" s="94"/>
      <c r="AH792" s="94"/>
      <c r="AI792" s="94"/>
      <c r="AJ792" s="94"/>
      <c r="AK792" s="94"/>
      <c r="AL792" s="94"/>
      <c r="AM792" s="94"/>
      <c r="AN792" s="94"/>
      <c r="AO792" s="94"/>
      <c r="AP792" s="94"/>
      <c r="AQ792" s="94"/>
      <c r="AR792" s="94"/>
      <c r="AS792" s="94"/>
      <c r="AT792" s="94"/>
      <c r="AU792" s="94"/>
      <c r="AV792" s="94"/>
      <c r="AW792" s="94"/>
      <c r="AX792" s="94"/>
      <c r="AY792" s="94"/>
      <c r="BA792" s="95"/>
    </row>
    <row r="793" spans="1:53" s="87" customFormat="1">
      <c r="A793" s="90" t="str">
        <f t="shared" si="60"/>
        <v/>
      </c>
      <c r="B793" s="98">
        <v>7</v>
      </c>
      <c r="C793" s="94" t="s">
        <v>210</v>
      </c>
      <c r="D793" s="94">
        <v>1</v>
      </c>
      <c r="E793" s="94">
        <v>-5</v>
      </c>
      <c r="F793" s="94" t="s">
        <v>210</v>
      </c>
      <c r="G793" s="94">
        <v>-2</v>
      </c>
      <c r="H793" s="94" t="s">
        <v>210</v>
      </c>
      <c r="I793" s="94">
        <v>-4</v>
      </c>
      <c r="J793" s="94" t="s">
        <v>210</v>
      </c>
      <c r="K793" s="94">
        <v>5</v>
      </c>
      <c r="L793" s="94">
        <v>3</v>
      </c>
      <c r="M793" s="94" t="s">
        <v>210</v>
      </c>
      <c r="N793" s="94">
        <v>2</v>
      </c>
      <c r="O793" s="94"/>
      <c r="P793" s="94"/>
      <c r="Q793" s="94"/>
      <c r="R793" s="94"/>
      <c r="S793" s="94"/>
      <c r="T793" s="94"/>
      <c r="U793" s="94"/>
      <c r="V793" s="94"/>
      <c r="W793" s="94"/>
      <c r="X793" s="94"/>
      <c r="Y793" s="94"/>
      <c r="Z793" s="94"/>
      <c r="AA793" s="94"/>
      <c r="AB793" s="94"/>
      <c r="AC793" s="94"/>
      <c r="AD793" s="94"/>
      <c r="AE793" s="94"/>
      <c r="AF793" s="94"/>
      <c r="AG793" s="94"/>
      <c r="AH793" s="94"/>
      <c r="AI793" s="94"/>
      <c r="AJ793" s="94"/>
      <c r="AK793" s="94"/>
      <c r="AL793" s="94"/>
      <c r="AM793" s="94"/>
      <c r="AN793" s="94"/>
      <c r="AO793" s="94"/>
      <c r="AP793" s="94"/>
      <c r="AQ793" s="94"/>
      <c r="AR793" s="94"/>
      <c r="AS793" s="94"/>
      <c r="AT793" s="94"/>
      <c r="AU793" s="94"/>
      <c r="AV793" s="94"/>
      <c r="AW793" s="94"/>
      <c r="AX793" s="94"/>
      <c r="AY793" s="94"/>
      <c r="BA793" s="95"/>
    </row>
    <row r="794" spans="1:53" s="87" customFormat="1">
      <c r="A794" s="90" t="str">
        <f t="shared" si="60"/>
        <v/>
      </c>
      <c r="B794" s="99">
        <v>8</v>
      </c>
      <c r="C794" s="92" t="s">
        <v>210</v>
      </c>
      <c r="D794" s="92">
        <v>2</v>
      </c>
      <c r="E794" s="92">
        <v>-4</v>
      </c>
      <c r="F794" s="92" t="s">
        <v>210</v>
      </c>
      <c r="G794" s="92">
        <v>-1</v>
      </c>
      <c r="H794" s="92" t="s">
        <v>210</v>
      </c>
      <c r="I794" s="92">
        <v>3</v>
      </c>
      <c r="J794" s="92" t="s">
        <v>210</v>
      </c>
      <c r="K794" s="92">
        <v>4</v>
      </c>
      <c r="L794" s="92">
        <v>5</v>
      </c>
      <c r="M794" s="92" t="s">
        <v>210</v>
      </c>
      <c r="N794" s="92">
        <v>-2</v>
      </c>
      <c r="O794" s="94"/>
      <c r="P794" s="94"/>
      <c r="Q794" s="94"/>
      <c r="R794" s="94"/>
      <c r="S794" s="94"/>
      <c r="T794" s="94"/>
      <c r="U794" s="94"/>
      <c r="V794" s="94"/>
      <c r="W794" s="94"/>
      <c r="X794" s="94"/>
      <c r="Y794" s="94"/>
      <c r="Z794" s="94"/>
      <c r="AA794" s="94"/>
      <c r="AB794" s="94"/>
      <c r="AC794" s="94"/>
      <c r="AD794" s="94"/>
      <c r="AE794" s="94"/>
      <c r="AF794" s="94"/>
      <c r="AG794" s="94"/>
      <c r="AH794" s="94"/>
      <c r="AI794" s="94"/>
      <c r="AJ794" s="94"/>
      <c r="AK794" s="94"/>
      <c r="AL794" s="94"/>
      <c r="AM794" s="94"/>
      <c r="AN794" s="94"/>
      <c r="AO794" s="94"/>
      <c r="AP794" s="94"/>
      <c r="AQ794" s="94"/>
      <c r="AR794" s="94"/>
      <c r="AS794" s="94"/>
      <c r="AT794" s="94"/>
      <c r="AU794" s="94"/>
      <c r="AV794" s="94"/>
      <c r="AW794" s="94"/>
      <c r="AX794" s="94"/>
      <c r="AY794" s="94"/>
      <c r="BA794" s="95"/>
    </row>
    <row r="795" spans="1:53" s="87" customFormat="1">
      <c r="A795" s="90" t="str">
        <f t="shared" si="60"/>
        <v/>
      </c>
      <c r="B795" s="98">
        <v>9</v>
      </c>
      <c r="C795" s="94">
        <v>4</v>
      </c>
      <c r="D795" s="94" t="s">
        <v>210</v>
      </c>
      <c r="E795" s="94">
        <v>1</v>
      </c>
      <c r="F795" s="94" t="s">
        <v>210</v>
      </c>
      <c r="G795" s="94">
        <v>-5</v>
      </c>
      <c r="H795" s="94">
        <v>2</v>
      </c>
      <c r="I795" s="94" t="s">
        <v>210</v>
      </c>
      <c r="J795" s="94">
        <v>-3</v>
      </c>
      <c r="K795" s="94" t="s">
        <v>210</v>
      </c>
      <c r="L795" s="94">
        <v>-4</v>
      </c>
      <c r="M795" s="94" t="s">
        <v>210</v>
      </c>
      <c r="N795" s="94">
        <v>-1</v>
      </c>
      <c r="O795" s="94"/>
      <c r="P795" s="94"/>
      <c r="Q795" s="94"/>
      <c r="R795" s="94"/>
      <c r="S795" s="94"/>
      <c r="T795" s="94"/>
      <c r="U795" s="94"/>
      <c r="V795" s="94"/>
      <c r="W795" s="94"/>
      <c r="X795" s="94"/>
      <c r="Y795" s="94"/>
      <c r="Z795" s="94"/>
      <c r="AA795" s="94"/>
      <c r="AB795" s="94"/>
      <c r="AC795" s="94"/>
      <c r="AD795" s="94"/>
      <c r="AE795" s="94"/>
      <c r="AF795" s="94"/>
      <c r="AG795" s="94"/>
      <c r="AH795" s="94"/>
      <c r="AI795" s="94"/>
      <c r="AJ795" s="94"/>
      <c r="AK795" s="94"/>
      <c r="AL795" s="94"/>
      <c r="AM795" s="94"/>
      <c r="AN795" s="94"/>
      <c r="AO795" s="94"/>
      <c r="AP795" s="94"/>
      <c r="AQ795" s="94"/>
      <c r="AR795" s="94"/>
      <c r="AS795" s="94"/>
      <c r="AT795" s="94"/>
      <c r="AU795" s="94"/>
      <c r="AV795" s="94"/>
      <c r="AW795" s="94"/>
      <c r="AX795" s="94"/>
      <c r="AY795" s="94"/>
      <c r="BA795" s="95"/>
    </row>
    <row r="796" spans="1:53" s="87" customFormat="1">
      <c r="A796" s="90" t="str">
        <f t="shared" si="60"/>
        <v/>
      </c>
      <c r="B796" s="98">
        <v>10</v>
      </c>
      <c r="C796" s="94">
        <v>-5</v>
      </c>
      <c r="D796" s="94" t="s">
        <v>210</v>
      </c>
      <c r="E796" s="94">
        <v>3</v>
      </c>
      <c r="F796" s="94" t="s">
        <v>210</v>
      </c>
      <c r="G796" s="94">
        <v>4</v>
      </c>
      <c r="H796" s="94">
        <v>5</v>
      </c>
      <c r="I796" s="94" t="s">
        <v>210</v>
      </c>
      <c r="J796" s="94">
        <v>-4</v>
      </c>
      <c r="K796" s="94" t="s">
        <v>210</v>
      </c>
      <c r="L796" s="94">
        <v>-2</v>
      </c>
      <c r="M796" s="94" t="s">
        <v>210</v>
      </c>
      <c r="N796" s="94">
        <v>1</v>
      </c>
      <c r="O796" s="94"/>
      <c r="P796" s="94"/>
      <c r="Q796" s="94"/>
      <c r="R796" s="94"/>
      <c r="S796" s="94"/>
      <c r="T796" s="94"/>
      <c r="U796" s="94"/>
      <c r="V796" s="94"/>
      <c r="W796" s="94"/>
      <c r="X796" s="94"/>
      <c r="Y796" s="94"/>
      <c r="Z796" s="94"/>
      <c r="AA796" s="94"/>
      <c r="AB796" s="94"/>
      <c r="AC796" s="94"/>
      <c r="AD796" s="94"/>
      <c r="AE796" s="94"/>
      <c r="AF796" s="94"/>
      <c r="AG796" s="94"/>
      <c r="AH796" s="94"/>
      <c r="AI796" s="94"/>
      <c r="AJ796" s="94"/>
      <c r="AK796" s="94"/>
      <c r="AL796" s="94"/>
      <c r="AM796" s="94"/>
      <c r="AN796" s="94"/>
      <c r="AO796" s="94"/>
      <c r="AP796" s="94"/>
      <c r="AQ796" s="94"/>
      <c r="AR796" s="94"/>
      <c r="AS796" s="94"/>
      <c r="AT796" s="94"/>
      <c r="AU796" s="94"/>
      <c r="AV796" s="94"/>
      <c r="AW796" s="94"/>
      <c r="AX796" s="94"/>
      <c r="AY796" s="94"/>
      <c r="BA796" s="95"/>
    </row>
    <row r="797" spans="1:53" s="87" customFormat="1">
      <c r="A797" s="90" t="str">
        <f t="shared" si="60"/>
        <v/>
      </c>
      <c r="B797" s="98">
        <v>11</v>
      </c>
      <c r="C797" s="94">
        <v>3</v>
      </c>
      <c r="D797" s="94" t="s">
        <v>210</v>
      </c>
      <c r="E797" s="94">
        <v>2</v>
      </c>
      <c r="F797" s="94" t="s">
        <v>210</v>
      </c>
      <c r="G797" s="94">
        <v>-4</v>
      </c>
      <c r="H797" s="94">
        <v>-1</v>
      </c>
      <c r="I797" s="94" t="s">
        <v>210</v>
      </c>
      <c r="J797" s="94">
        <v>-5</v>
      </c>
      <c r="K797" s="94" t="s">
        <v>210</v>
      </c>
      <c r="L797" s="94">
        <v>4</v>
      </c>
      <c r="M797" s="94">
        <v>-3</v>
      </c>
      <c r="N797" s="94" t="s">
        <v>210</v>
      </c>
      <c r="O797" s="94"/>
      <c r="P797" s="94"/>
      <c r="Q797" s="94"/>
      <c r="R797" s="94"/>
      <c r="S797" s="94"/>
      <c r="T797" s="94"/>
      <c r="U797" s="94"/>
      <c r="V797" s="94"/>
      <c r="W797" s="94"/>
      <c r="X797" s="94"/>
      <c r="Y797" s="94"/>
      <c r="Z797" s="94"/>
      <c r="AA797" s="94"/>
      <c r="AB797" s="94"/>
      <c r="AC797" s="94"/>
      <c r="AD797" s="94"/>
      <c r="AE797" s="94"/>
      <c r="AF797" s="94"/>
      <c r="AG797" s="94"/>
      <c r="AH797" s="94"/>
      <c r="AI797" s="94"/>
      <c r="AJ797" s="94"/>
      <c r="AK797" s="94"/>
      <c r="AL797" s="94"/>
      <c r="AM797" s="94"/>
      <c r="AN797" s="94"/>
      <c r="AO797" s="94"/>
      <c r="AP797" s="94"/>
      <c r="AQ797" s="94"/>
      <c r="AR797" s="94"/>
      <c r="AS797" s="94"/>
      <c r="AT797" s="94"/>
      <c r="AU797" s="94"/>
      <c r="AV797" s="94"/>
      <c r="AW797" s="94"/>
      <c r="AX797" s="94"/>
      <c r="AY797" s="94"/>
      <c r="BA797" s="95"/>
    </row>
    <row r="798" spans="1:53" s="87" customFormat="1">
      <c r="A798" s="90" t="str">
        <f t="shared" si="60"/>
        <v/>
      </c>
      <c r="B798" s="98">
        <v>12</v>
      </c>
      <c r="C798" s="94">
        <v>-2</v>
      </c>
      <c r="D798" s="94">
        <v>-3</v>
      </c>
      <c r="E798" s="94" t="s">
        <v>210</v>
      </c>
      <c r="F798" s="94" t="s">
        <v>210</v>
      </c>
      <c r="G798" s="94">
        <v>5</v>
      </c>
      <c r="H798" s="94">
        <v>4</v>
      </c>
      <c r="I798" s="94" t="s">
        <v>210</v>
      </c>
      <c r="J798" s="94">
        <v>-1</v>
      </c>
      <c r="K798" s="94" t="s">
        <v>210</v>
      </c>
      <c r="L798" s="94">
        <v>2</v>
      </c>
      <c r="M798" s="94">
        <v>3</v>
      </c>
      <c r="N798" s="94" t="s">
        <v>210</v>
      </c>
      <c r="O798" s="94"/>
      <c r="P798" s="94"/>
      <c r="Q798" s="94"/>
      <c r="R798" s="94"/>
      <c r="S798" s="94"/>
      <c r="T798" s="94"/>
      <c r="U798" s="94"/>
      <c r="V798" s="94"/>
      <c r="W798" s="94"/>
      <c r="X798" s="94"/>
      <c r="Y798" s="94"/>
      <c r="Z798" s="94"/>
      <c r="AA798" s="94"/>
      <c r="AB798" s="94"/>
      <c r="AC798" s="94"/>
      <c r="AD798" s="94"/>
      <c r="AE798" s="94"/>
      <c r="AF798" s="94"/>
      <c r="AG798" s="94"/>
      <c r="AH798" s="94"/>
      <c r="AI798" s="94"/>
      <c r="AJ798" s="94"/>
      <c r="AK798" s="94"/>
      <c r="AL798" s="94"/>
      <c r="AM798" s="94"/>
      <c r="AN798" s="94"/>
      <c r="AO798" s="94"/>
      <c r="AP798" s="94"/>
      <c r="AQ798" s="94"/>
      <c r="AR798" s="94"/>
      <c r="AS798" s="94"/>
      <c r="AT798" s="94"/>
      <c r="AU798" s="94"/>
      <c r="AV798" s="94"/>
      <c r="AW798" s="94"/>
      <c r="AX798" s="94"/>
      <c r="AY798" s="94"/>
      <c r="BA798" s="95"/>
    </row>
    <row r="799" spans="1:53" s="87" customFormat="1">
      <c r="A799" s="90" t="str">
        <f t="shared" si="60"/>
        <v/>
      </c>
      <c r="B799" s="98">
        <v>13</v>
      </c>
      <c r="C799" s="94">
        <v>-4</v>
      </c>
      <c r="D799" s="94">
        <v>3</v>
      </c>
      <c r="E799" s="94" t="s">
        <v>210</v>
      </c>
      <c r="F799" s="94">
        <v>-2</v>
      </c>
      <c r="G799" s="94" t="s">
        <v>210</v>
      </c>
      <c r="H799" s="94">
        <v>1</v>
      </c>
      <c r="I799" s="94" t="s">
        <v>210</v>
      </c>
      <c r="J799" s="94">
        <v>4</v>
      </c>
      <c r="K799" s="94">
        <v>-3</v>
      </c>
      <c r="L799" s="94" t="s">
        <v>210</v>
      </c>
      <c r="M799" s="94">
        <v>5</v>
      </c>
      <c r="N799" s="94" t="s">
        <v>210</v>
      </c>
      <c r="O799" s="94"/>
      <c r="P799" s="94"/>
      <c r="Q799" s="94"/>
      <c r="R799" s="94"/>
      <c r="S799" s="94"/>
      <c r="T799" s="94"/>
      <c r="U799" s="94"/>
      <c r="V799" s="94"/>
      <c r="W799" s="94"/>
      <c r="X799" s="94"/>
      <c r="Y799" s="94"/>
      <c r="Z799" s="94"/>
      <c r="AA799" s="94"/>
      <c r="AB799" s="94"/>
      <c r="AC799" s="94"/>
      <c r="AD799" s="94"/>
      <c r="AE799" s="94"/>
      <c r="AF799" s="94"/>
      <c r="AG799" s="94"/>
      <c r="AH799" s="94"/>
      <c r="AI799" s="94"/>
      <c r="AJ799" s="94"/>
      <c r="AK799" s="94"/>
      <c r="AL799" s="94"/>
      <c r="AM799" s="94"/>
      <c r="AN799" s="94"/>
      <c r="AO799" s="94"/>
      <c r="AP799" s="94"/>
      <c r="AQ799" s="94"/>
      <c r="AR799" s="94"/>
      <c r="AS799" s="94"/>
      <c r="AT799" s="94"/>
      <c r="AU799" s="94"/>
      <c r="AV799" s="94"/>
      <c r="AW799" s="94"/>
      <c r="AX799" s="94"/>
      <c r="AY799" s="94"/>
      <c r="BA799" s="95"/>
    </row>
    <row r="800" spans="1:53" s="87" customFormat="1">
      <c r="A800" s="90" t="str">
        <f t="shared" si="60"/>
        <v/>
      </c>
      <c r="B800" s="98">
        <v>14</v>
      </c>
      <c r="C800" s="94">
        <v>5</v>
      </c>
      <c r="D800" s="94" t="s">
        <v>210</v>
      </c>
      <c r="E800" s="94">
        <v>-2</v>
      </c>
      <c r="F800" s="94">
        <v>1</v>
      </c>
      <c r="G800" s="94" t="s">
        <v>210</v>
      </c>
      <c r="H800" s="94">
        <v>-4</v>
      </c>
      <c r="I800" s="94" t="s">
        <v>210</v>
      </c>
      <c r="J800" s="94">
        <v>3</v>
      </c>
      <c r="K800" s="94">
        <v>2</v>
      </c>
      <c r="L800" s="94" t="s">
        <v>210</v>
      </c>
      <c r="M800" s="94">
        <v>-5</v>
      </c>
      <c r="N800" s="94" t="s">
        <v>210</v>
      </c>
      <c r="O800" s="94"/>
      <c r="P800" s="94"/>
      <c r="Q800" s="94"/>
      <c r="R800" s="94"/>
      <c r="S800" s="94"/>
      <c r="T800" s="94"/>
      <c r="U800" s="94"/>
      <c r="V800" s="94"/>
      <c r="W800" s="94"/>
      <c r="X800" s="94"/>
      <c r="Y800" s="94"/>
      <c r="Z800" s="94"/>
      <c r="AA800" s="94"/>
      <c r="AB800" s="94"/>
      <c r="AC800" s="94"/>
      <c r="AD800" s="94"/>
      <c r="AE800" s="94"/>
      <c r="AF800" s="94"/>
      <c r="AG800" s="94"/>
      <c r="AH800" s="94"/>
      <c r="AI800" s="94"/>
      <c r="AJ800" s="94"/>
      <c r="AK800" s="94"/>
      <c r="AL800" s="94"/>
      <c r="AM800" s="94"/>
      <c r="AN800" s="94"/>
      <c r="AO800" s="94"/>
      <c r="AP800" s="94"/>
      <c r="AQ800" s="94"/>
      <c r="AR800" s="94"/>
      <c r="AS800" s="94"/>
      <c r="AT800" s="94"/>
      <c r="AU800" s="94"/>
      <c r="AV800" s="94"/>
      <c r="AW800" s="94"/>
      <c r="AX800" s="94"/>
      <c r="AY800" s="94"/>
      <c r="BA800" s="95"/>
    </row>
    <row r="801" spans="1:53" s="87" customFormat="1">
      <c r="A801" s="90" t="str">
        <f t="shared" si="60"/>
        <v/>
      </c>
      <c r="B801" s="98">
        <v>15</v>
      </c>
      <c r="C801" s="94">
        <v>2</v>
      </c>
      <c r="D801" s="94" t="s">
        <v>210</v>
      </c>
      <c r="E801" s="94">
        <v>-3</v>
      </c>
      <c r="F801" s="94">
        <v>-1</v>
      </c>
      <c r="G801" s="94" t="s">
        <v>210</v>
      </c>
      <c r="H801" s="94">
        <v>-2</v>
      </c>
      <c r="I801" s="94" t="s">
        <v>210</v>
      </c>
      <c r="J801" s="94">
        <v>5</v>
      </c>
      <c r="K801" s="94">
        <v>3</v>
      </c>
      <c r="L801" s="94" t="s">
        <v>210</v>
      </c>
      <c r="M801" s="94">
        <v>-4</v>
      </c>
      <c r="N801" s="94" t="s">
        <v>210</v>
      </c>
      <c r="O801" s="94"/>
      <c r="P801" s="94"/>
      <c r="Q801" s="94"/>
      <c r="R801" s="94"/>
      <c r="S801" s="94"/>
      <c r="T801" s="94"/>
      <c r="U801" s="94"/>
      <c r="V801" s="94"/>
      <c r="W801" s="94"/>
      <c r="X801" s="94"/>
      <c r="Y801" s="94"/>
      <c r="Z801" s="94"/>
      <c r="AA801" s="94"/>
      <c r="AB801" s="94"/>
      <c r="AC801" s="94"/>
      <c r="AD801" s="94"/>
      <c r="AE801" s="94"/>
      <c r="AF801" s="94"/>
      <c r="AG801" s="94"/>
      <c r="AH801" s="94"/>
      <c r="AI801" s="94"/>
      <c r="AJ801" s="94"/>
      <c r="AK801" s="94"/>
      <c r="AL801" s="94"/>
      <c r="AM801" s="94"/>
      <c r="AN801" s="94"/>
      <c r="AO801" s="94"/>
      <c r="AP801" s="94"/>
      <c r="AQ801" s="94"/>
      <c r="AR801" s="94"/>
      <c r="AS801" s="94"/>
      <c r="AT801" s="94"/>
      <c r="AU801" s="94"/>
      <c r="AV801" s="94"/>
      <c r="AW801" s="94"/>
      <c r="AX801" s="94"/>
      <c r="AY801" s="94"/>
      <c r="BA801" s="95"/>
    </row>
    <row r="802" spans="1:53" s="87" customFormat="1">
      <c r="A802" s="90" t="str">
        <f t="shared" si="60"/>
        <v/>
      </c>
      <c r="B802" s="98">
        <v>16</v>
      </c>
      <c r="C802" s="94">
        <v>-3</v>
      </c>
      <c r="D802" s="94" t="s">
        <v>210</v>
      </c>
      <c r="E802" s="94">
        <v>-1</v>
      </c>
      <c r="F802" s="94">
        <v>2</v>
      </c>
      <c r="G802" s="94" t="s">
        <v>210</v>
      </c>
      <c r="H802" s="94">
        <v>-5</v>
      </c>
      <c r="I802" s="94" t="s">
        <v>210</v>
      </c>
      <c r="J802" s="94">
        <v>1</v>
      </c>
      <c r="K802" s="94">
        <v>-2</v>
      </c>
      <c r="L802" s="94" t="s">
        <v>210</v>
      </c>
      <c r="M802" s="94">
        <v>4</v>
      </c>
      <c r="N802" s="94" t="s">
        <v>210</v>
      </c>
      <c r="O802" s="94"/>
      <c r="P802" s="94"/>
      <c r="Q802" s="94"/>
      <c r="R802" s="94"/>
      <c r="S802" s="94"/>
      <c r="T802" s="94"/>
      <c r="U802" s="94"/>
      <c r="V802" s="94"/>
      <c r="W802" s="94"/>
      <c r="X802" s="94"/>
      <c r="Y802" s="94"/>
      <c r="Z802" s="94"/>
      <c r="AA802" s="94"/>
      <c r="AB802" s="94"/>
      <c r="AC802" s="94"/>
      <c r="AD802" s="94"/>
      <c r="AE802" s="94"/>
      <c r="AF802" s="94"/>
      <c r="AG802" s="94"/>
      <c r="AH802" s="94"/>
      <c r="AI802" s="94"/>
      <c r="AJ802" s="94"/>
      <c r="AK802" s="94"/>
      <c r="AL802" s="94"/>
      <c r="AM802" s="94"/>
      <c r="AN802" s="94"/>
      <c r="AO802" s="94"/>
      <c r="AP802" s="94"/>
      <c r="AQ802" s="94"/>
      <c r="AR802" s="94"/>
      <c r="AS802" s="94"/>
      <c r="AT802" s="94"/>
      <c r="AU802" s="94"/>
      <c r="AV802" s="94"/>
      <c r="AW802" s="94"/>
      <c r="AX802" s="94"/>
      <c r="AY802" s="94"/>
      <c r="BA802" s="95"/>
    </row>
    <row r="803" spans="1:53" s="87" customFormat="1">
      <c r="A803" s="90" t="str">
        <f t="shared" si="60"/>
        <v/>
      </c>
      <c r="B803" s="307" t="s">
        <v>873</v>
      </c>
      <c r="C803" s="94"/>
      <c r="D803" s="94"/>
      <c r="E803" s="94"/>
      <c r="F803" s="94"/>
      <c r="G803" s="94"/>
      <c r="H803" s="94"/>
      <c r="I803" s="94"/>
      <c r="J803" s="94"/>
      <c r="K803" s="94"/>
      <c r="L803" s="94"/>
      <c r="M803" s="94"/>
      <c r="N803" s="94"/>
      <c r="O803" s="94"/>
      <c r="P803" s="94"/>
      <c r="Q803" s="94"/>
      <c r="R803" s="94"/>
      <c r="S803" s="94"/>
      <c r="T803" s="94"/>
      <c r="U803" s="94"/>
      <c r="V803" s="94"/>
      <c r="W803" s="94"/>
      <c r="X803" s="94"/>
      <c r="Y803" s="94"/>
      <c r="Z803" s="94"/>
      <c r="AA803" s="94"/>
      <c r="AB803" s="94"/>
      <c r="AC803" s="94"/>
      <c r="AD803" s="94"/>
      <c r="AE803" s="94"/>
      <c r="AF803" s="94"/>
      <c r="AG803" s="94"/>
      <c r="AH803" s="94"/>
      <c r="AI803" s="94"/>
      <c r="AJ803" s="94"/>
      <c r="AK803" s="94"/>
      <c r="AL803" s="94"/>
      <c r="AM803" s="94"/>
      <c r="AN803" s="94"/>
      <c r="AO803" s="94"/>
      <c r="AP803" s="94"/>
      <c r="AQ803" s="94"/>
      <c r="AR803" s="94"/>
      <c r="AS803" s="94"/>
      <c r="AT803" s="94"/>
      <c r="AU803" s="94"/>
      <c r="AV803" s="94"/>
      <c r="AW803" s="94"/>
      <c r="AX803" s="94"/>
      <c r="AY803" s="94"/>
      <c r="BA803" s="95"/>
    </row>
    <row r="804" spans="1:53" s="87" customFormat="1">
      <c r="A804" s="90">
        <f t="shared" si="60"/>
        <v>804</v>
      </c>
      <c r="B804" s="98" t="s">
        <v>874</v>
      </c>
      <c r="C804" s="94"/>
      <c r="D804" s="94"/>
      <c r="E804" s="94"/>
      <c r="F804" s="94"/>
      <c r="G804" s="94"/>
      <c r="H804" s="94"/>
      <c r="I804" s="94"/>
      <c r="J804" s="94"/>
      <c r="K804" s="94"/>
      <c r="L804" s="94"/>
      <c r="M804" s="94"/>
      <c r="N804" s="94"/>
      <c r="O804" s="94"/>
      <c r="P804" s="94"/>
      <c r="Q804" s="94"/>
      <c r="R804" s="94"/>
      <c r="S804" s="94"/>
      <c r="T804" s="94"/>
      <c r="U804" s="94"/>
      <c r="V804" s="94"/>
      <c r="W804" s="94"/>
      <c r="X804" s="94"/>
      <c r="Y804" s="94"/>
      <c r="Z804" s="94"/>
      <c r="AA804" s="94"/>
      <c r="AB804" s="94"/>
      <c r="AC804" s="94"/>
      <c r="AD804" s="94"/>
      <c r="AE804" s="94"/>
      <c r="AF804" s="94"/>
      <c r="AG804" s="94"/>
      <c r="AH804" s="94"/>
      <c r="AI804" s="94"/>
      <c r="AJ804" s="94"/>
      <c r="AK804" s="94"/>
      <c r="AL804" s="94"/>
      <c r="AM804" s="94"/>
      <c r="AN804" s="94"/>
      <c r="AO804" s="94"/>
      <c r="AP804" s="94"/>
      <c r="AQ804" s="94"/>
      <c r="AR804" s="94"/>
      <c r="AS804" s="94"/>
      <c r="AT804" s="94"/>
      <c r="AU804" s="94"/>
      <c r="AV804" s="94"/>
      <c r="AW804" s="94"/>
      <c r="AX804" s="94"/>
      <c r="AY804" s="94"/>
      <c r="BA804" s="95"/>
    </row>
    <row r="805" spans="1:53" s="87" customFormat="1">
      <c r="A805" s="90" t="str">
        <f t="shared" si="60"/>
        <v/>
      </c>
      <c r="B805" s="98">
        <v>1</v>
      </c>
      <c r="C805" s="94">
        <v>1</v>
      </c>
      <c r="D805" s="94" t="s">
        <v>210</v>
      </c>
      <c r="E805" s="94">
        <v>4</v>
      </c>
      <c r="F805" s="94" t="s">
        <v>210</v>
      </c>
      <c r="G805" s="94">
        <v>3</v>
      </c>
      <c r="H805" s="94" t="s">
        <v>210</v>
      </c>
      <c r="I805" s="94" t="s">
        <v>210</v>
      </c>
      <c r="J805" s="94">
        <v>-4</v>
      </c>
      <c r="K805" s="94">
        <v>-5</v>
      </c>
      <c r="L805" s="94" t="s">
        <v>210</v>
      </c>
      <c r="M805" s="94" t="s">
        <v>210</v>
      </c>
      <c r="N805" s="94">
        <v>2</v>
      </c>
      <c r="O805" s="94">
        <v>-3</v>
      </c>
      <c r="P805" s="94" t="s">
        <v>210</v>
      </c>
      <c r="Q805" s="94"/>
      <c r="R805" s="94"/>
      <c r="S805" s="94"/>
      <c r="T805" s="94"/>
      <c r="U805" s="94"/>
      <c r="V805" s="94"/>
      <c r="W805" s="94"/>
      <c r="X805" s="94"/>
      <c r="Y805" s="94"/>
      <c r="Z805" s="94"/>
      <c r="AA805" s="94"/>
      <c r="AB805" s="94"/>
      <c r="AC805" s="94"/>
      <c r="AD805" s="94"/>
      <c r="AE805" s="94"/>
      <c r="AF805" s="94"/>
      <c r="AG805" s="94"/>
      <c r="AH805" s="94"/>
      <c r="AI805" s="94"/>
      <c r="AJ805" s="94"/>
      <c r="AK805" s="94"/>
      <c r="AL805" s="94"/>
      <c r="AM805" s="94"/>
      <c r="AN805" s="94"/>
      <c r="AO805" s="94"/>
      <c r="AP805" s="94"/>
      <c r="AQ805" s="94"/>
      <c r="AR805" s="94"/>
      <c r="AS805" s="94"/>
      <c r="AT805" s="94"/>
      <c r="AU805" s="94"/>
      <c r="AV805" s="94"/>
      <c r="AW805" s="94"/>
      <c r="AX805" s="94"/>
      <c r="AY805" s="94"/>
      <c r="BA805" s="95"/>
    </row>
    <row r="806" spans="1:53" s="87" customFormat="1">
      <c r="A806" s="90" t="str">
        <f t="shared" si="60"/>
        <v/>
      </c>
      <c r="B806" s="98">
        <v>2</v>
      </c>
      <c r="C806" s="94" t="s">
        <v>210</v>
      </c>
      <c r="D806" s="94">
        <v>2</v>
      </c>
      <c r="E806" s="94">
        <v>-3</v>
      </c>
      <c r="F806" s="94" t="s">
        <v>210</v>
      </c>
      <c r="G806" s="94">
        <v>-5</v>
      </c>
      <c r="H806" s="94" t="s">
        <v>210</v>
      </c>
      <c r="I806" s="94">
        <v>-2</v>
      </c>
      <c r="J806" s="94" t="s">
        <v>210</v>
      </c>
      <c r="K806" s="94">
        <v>1</v>
      </c>
      <c r="L806" s="94" t="s">
        <v>210</v>
      </c>
      <c r="M806" s="94" t="s">
        <v>210</v>
      </c>
      <c r="N806" s="94">
        <v>4</v>
      </c>
      <c r="O806" s="94">
        <v>3</v>
      </c>
      <c r="P806" s="94" t="s">
        <v>210</v>
      </c>
      <c r="Q806" s="94"/>
      <c r="R806" s="94"/>
      <c r="S806" s="94"/>
      <c r="T806" s="94"/>
      <c r="U806" s="94"/>
      <c r="V806" s="94"/>
      <c r="W806" s="94"/>
      <c r="X806" s="94"/>
      <c r="Y806" s="94"/>
      <c r="Z806" s="94"/>
      <c r="AA806" s="94"/>
      <c r="AB806" s="94"/>
      <c r="AC806" s="94"/>
      <c r="AD806" s="94"/>
      <c r="AE806" s="94"/>
      <c r="AF806" s="94"/>
      <c r="AG806" s="94"/>
      <c r="AH806" s="94"/>
      <c r="AI806" s="94"/>
      <c r="AJ806" s="94"/>
      <c r="AK806" s="94"/>
      <c r="AL806" s="94"/>
      <c r="AM806" s="94"/>
      <c r="AN806" s="94"/>
      <c r="AO806" s="94"/>
      <c r="AP806" s="94"/>
      <c r="AQ806" s="94"/>
      <c r="AR806" s="94"/>
      <c r="AS806" s="94"/>
      <c r="AT806" s="94"/>
      <c r="AU806" s="94"/>
      <c r="AV806" s="94"/>
      <c r="AW806" s="94"/>
      <c r="AX806" s="94"/>
      <c r="AY806" s="94"/>
      <c r="BA806" s="95"/>
    </row>
    <row r="807" spans="1:53" s="87" customFormat="1">
      <c r="A807" s="90" t="str">
        <f t="shared" si="60"/>
        <v/>
      </c>
      <c r="B807" s="98">
        <v>3</v>
      </c>
      <c r="C807" s="94" t="s">
        <v>210</v>
      </c>
      <c r="D807" s="94">
        <v>-2</v>
      </c>
      <c r="E807" s="94">
        <v>-4</v>
      </c>
      <c r="F807" s="94" t="s">
        <v>210</v>
      </c>
      <c r="G807" s="94" t="s">
        <v>210</v>
      </c>
      <c r="H807" s="94">
        <v>3</v>
      </c>
      <c r="I807" s="94">
        <v>1</v>
      </c>
      <c r="J807" s="94" t="s">
        <v>210</v>
      </c>
      <c r="K807" s="94">
        <v>-3</v>
      </c>
      <c r="L807" s="94" t="s">
        <v>210</v>
      </c>
      <c r="M807" s="94">
        <v>-5</v>
      </c>
      <c r="N807" s="94" t="s">
        <v>210</v>
      </c>
      <c r="O807" s="94">
        <v>4</v>
      </c>
      <c r="P807" s="94" t="s">
        <v>210</v>
      </c>
      <c r="Q807" s="94"/>
      <c r="R807" s="94"/>
      <c r="S807" s="94"/>
      <c r="T807" s="94"/>
      <c r="U807" s="94"/>
      <c r="V807" s="94"/>
      <c r="W807" s="94"/>
      <c r="X807" s="94"/>
      <c r="Y807" s="94"/>
      <c r="Z807" s="94"/>
      <c r="AA807" s="94"/>
      <c r="AB807" s="94"/>
      <c r="AC807" s="94"/>
      <c r="AD807" s="94"/>
      <c r="AE807" s="94"/>
      <c r="AF807" s="94"/>
      <c r="AG807" s="94"/>
      <c r="AH807" s="94"/>
      <c r="AI807" s="94"/>
      <c r="AJ807" s="94"/>
      <c r="AK807" s="94"/>
      <c r="AL807" s="94"/>
      <c r="AM807" s="94"/>
      <c r="AN807" s="94"/>
      <c r="AO807" s="94"/>
      <c r="AP807" s="94"/>
      <c r="AQ807" s="94"/>
      <c r="AR807" s="94"/>
      <c r="AS807" s="94"/>
      <c r="AT807" s="94"/>
      <c r="AU807" s="94"/>
      <c r="AV807" s="94"/>
      <c r="AW807" s="94"/>
      <c r="AX807" s="94"/>
      <c r="AY807" s="94"/>
      <c r="BA807" s="95"/>
    </row>
    <row r="808" spans="1:53" s="87" customFormat="1">
      <c r="A808" s="90" t="str">
        <f t="shared" si="60"/>
        <v/>
      </c>
      <c r="B808" s="98">
        <v>4</v>
      </c>
      <c r="C808" s="94">
        <v>-1</v>
      </c>
      <c r="D808" s="94" t="s">
        <v>210</v>
      </c>
      <c r="E808" s="94" t="s">
        <v>210</v>
      </c>
      <c r="F808" s="94">
        <v>3</v>
      </c>
      <c r="G808" s="94">
        <v>5</v>
      </c>
      <c r="H808" s="94" t="s">
        <v>210</v>
      </c>
      <c r="I808" s="94" t="s">
        <v>210</v>
      </c>
      <c r="J808" s="94">
        <v>-2</v>
      </c>
      <c r="K808" s="94">
        <v>4</v>
      </c>
      <c r="L808" s="94" t="s">
        <v>210</v>
      </c>
      <c r="M808" s="94">
        <v>-3</v>
      </c>
      <c r="N808" s="94" t="s">
        <v>210</v>
      </c>
      <c r="O808" s="94">
        <v>-4</v>
      </c>
      <c r="P808" s="94" t="s">
        <v>210</v>
      </c>
      <c r="Q808" s="94"/>
      <c r="R808" s="94"/>
      <c r="S808" s="94"/>
      <c r="T808" s="94"/>
      <c r="U808" s="94"/>
      <c r="V808" s="94"/>
      <c r="W808" s="94"/>
      <c r="X808" s="94"/>
      <c r="Y808" s="94"/>
      <c r="Z808" s="94"/>
      <c r="AA808" s="94"/>
      <c r="AB808" s="94"/>
      <c r="AC808" s="94"/>
      <c r="AD808" s="94"/>
      <c r="AE808" s="94"/>
      <c r="AF808" s="94"/>
      <c r="AG808" s="94"/>
      <c r="AH808" s="94"/>
      <c r="AI808" s="94"/>
      <c r="AJ808" s="94"/>
      <c r="AK808" s="94"/>
      <c r="AL808" s="94"/>
      <c r="AM808" s="94"/>
      <c r="AN808" s="94"/>
      <c r="AO808" s="94"/>
      <c r="AP808" s="94"/>
      <c r="AQ808" s="94"/>
      <c r="AR808" s="94"/>
      <c r="AS808" s="94"/>
      <c r="AT808" s="94"/>
      <c r="AU808" s="94"/>
      <c r="AV808" s="94"/>
      <c r="AW808" s="94"/>
      <c r="AX808" s="94"/>
      <c r="AY808" s="94"/>
      <c r="BA808" s="95"/>
    </row>
    <row r="809" spans="1:53" s="87" customFormat="1">
      <c r="A809" s="90" t="str">
        <f t="shared" si="60"/>
        <v/>
      </c>
      <c r="B809" s="98">
        <v>5</v>
      </c>
      <c r="C809" s="94" t="s">
        <v>210</v>
      </c>
      <c r="D809" s="94">
        <v>-4</v>
      </c>
      <c r="E809" s="94">
        <v>-1</v>
      </c>
      <c r="F809" s="94" t="s">
        <v>210</v>
      </c>
      <c r="G809" s="94" t="s">
        <v>210</v>
      </c>
      <c r="H809" s="94">
        <v>-3</v>
      </c>
      <c r="I809" s="94">
        <v>2</v>
      </c>
      <c r="J809" s="94" t="s">
        <v>210</v>
      </c>
      <c r="K809" s="94">
        <v>5</v>
      </c>
      <c r="L809" s="94" t="s">
        <v>210</v>
      </c>
      <c r="M809" s="94">
        <v>3</v>
      </c>
      <c r="N809" s="94" t="s">
        <v>210</v>
      </c>
      <c r="O809" s="94">
        <v>-2</v>
      </c>
      <c r="P809" s="94" t="s">
        <v>210</v>
      </c>
      <c r="Q809" s="94"/>
      <c r="R809" s="94"/>
      <c r="S809" s="94"/>
      <c r="T809" s="94"/>
      <c r="U809" s="94"/>
      <c r="V809" s="94"/>
      <c r="W809" s="94"/>
      <c r="X809" s="94"/>
      <c r="Y809" s="94"/>
      <c r="Z809" s="94"/>
      <c r="AA809" s="94"/>
      <c r="AB809" s="94"/>
      <c r="AC809" s="94"/>
      <c r="AD809" s="94"/>
      <c r="AE809" s="94"/>
      <c r="AF809" s="94"/>
      <c r="AG809" s="94"/>
      <c r="AH809" s="94"/>
      <c r="AI809" s="94"/>
      <c r="AJ809" s="94"/>
      <c r="AK809" s="94"/>
      <c r="AL809" s="94"/>
      <c r="AM809" s="94"/>
      <c r="AN809" s="94"/>
      <c r="AO809" s="94"/>
      <c r="AP809" s="94"/>
      <c r="AQ809" s="94"/>
      <c r="AR809" s="94"/>
      <c r="AS809" s="94"/>
      <c r="AT809" s="94"/>
      <c r="AU809" s="94"/>
      <c r="AV809" s="94"/>
      <c r="AW809" s="94"/>
      <c r="AX809" s="94"/>
      <c r="AY809" s="94"/>
      <c r="BA809" s="95"/>
    </row>
    <row r="810" spans="1:53" s="87" customFormat="1">
      <c r="A810" s="90" t="str">
        <f t="shared" si="60"/>
        <v/>
      </c>
      <c r="B810" s="98">
        <v>6</v>
      </c>
      <c r="C810" s="94">
        <v>-4</v>
      </c>
      <c r="D810" s="94" t="s">
        <v>210</v>
      </c>
      <c r="E810" s="94" t="s">
        <v>210</v>
      </c>
      <c r="F810" s="94">
        <v>-3</v>
      </c>
      <c r="G810" s="94">
        <v>-2</v>
      </c>
      <c r="H810" s="94" t="s">
        <v>210</v>
      </c>
      <c r="I810" s="94" t="s">
        <v>210</v>
      </c>
      <c r="J810" s="94">
        <v>4</v>
      </c>
      <c r="K810" s="94">
        <v>-1</v>
      </c>
      <c r="L810" s="94" t="s">
        <v>210</v>
      </c>
      <c r="M810" s="94">
        <v>5</v>
      </c>
      <c r="N810" s="94" t="s">
        <v>210</v>
      </c>
      <c r="O810" s="94">
        <v>2</v>
      </c>
      <c r="P810" s="94" t="s">
        <v>210</v>
      </c>
      <c r="Q810" s="94"/>
      <c r="R810" s="94"/>
      <c r="S810" s="94"/>
      <c r="T810" s="94"/>
      <c r="U810" s="94"/>
      <c r="V810" s="94"/>
      <c r="W810" s="94"/>
      <c r="X810" s="94"/>
      <c r="Y810" s="94"/>
      <c r="Z810" s="94"/>
      <c r="AA810" s="94"/>
      <c r="AB810" s="94"/>
      <c r="AC810" s="94"/>
      <c r="AD810" s="94"/>
      <c r="AE810" s="94"/>
      <c r="AF810" s="94"/>
      <c r="AG810" s="94"/>
      <c r="AH810" s="94"/>
      <c r="AI810" s="94"/>
      <c r="AJ810" s="94"/>
      <c r="AK810" s="94"/>
      <c r="AL810" s="94"/>
      <c r="AM810" s="94"/>
      <c r="AN810" s="94"/>
      <c r="AO810" s="94"/>
      <c r="AP810" s="94"/>
      <c r="AQ810" s="94"/>
      <c r="AR810" s="94"/>
      <c r="AS810" s="94"/>
      <c r="AT810" s="94"/>
      <c r="AU810" s="94"/>
      <c r="AV810" s="94"/>
      <c r="AW810" s="94"/>
      <c r="AX810" s="94"/>
      <c r="AY810" s="94"/>
      <c r="BA810" s="95"/>
    </row>
    <row r="811" spans="1:53" s="87" customFormat="1">
      <c r="A811" s="90" t="str">
        <f t="shared" si="60"/>
        <v/>
      </c>
      <c r="B811" s="98">
        <v>7</v>
      </c>
      <c r="C811" s="94" t="s">
        <v>210</v>
      </c>
      <c r="D811" s="94">
        <v>4</v>
      </c>
      <c r="E811" s="94">
        <v>3</v>
      </c>
      <c r="F811" s="94" t="s">
        <v>210</v>
      </c>
      <c r="G811" s="94">
        <v>2</v>
      </c>
      <c r="H811" s="94" t="s">
        <v>210</v>
      </c>
      <c r="I811" s="94">
        <v>-1</v>
      </c>
      <c r="J811" s="94" t="s">
        <v>210</v>
      </c>
      <c r="K811" s="94">
        <v>-4</v>
      </c>
      <c r="L811" s="94" t="s">
        <v>210</v>
      </c>
      <c r="M811" s="94" t="s">
        <v>210</v>
      </c>
      <c r="N811" s="94">
        <v>-2</v>
      </c>
      <c r="O811" s="94">
        <v>5</v>
      </c>
      <c r="P811" s="94" t="s">
        <v>210</v>
      </c>
      <c r="Q811" s="94"/>
      <c r="R811" s="94"/>
      <c r="S811" s="94"/>
      <c r="T811" s="94"/>
      <c r="U811" s="94"/>
      <c r="V811" s="94"/>
      <c r="W811" s="94"/>
      <c r="X811" s="94"/>
      <c r="Y811" s="94"/>
      <c r="Z811" s="94"/>
      <c r="AA811" s="94"/>
      <c r="AB811" s="94"/>
      <c r="AC811" s="94"/>
      <c r="AD811" s="94"/>
      <c r="AE811" s="94"/>
      <c r="AF811" s="94"/>
      <c r="AG811" s="94"/>
      <c r="AH811" s="94"/>
      <c r="AI811" s="94"/>
      <c r="AJ811" s="94"/>
      <c r="AK811" s="94"/>
      <c r="AL811" s="94"/>
      <c r="AM811" s="94"/>
      <c r="AN811" s="94"/>
      <c r="AO811" s="94"/>
      <c r="AP811" s="94"/>
      <c r="AQ811" s="94"/>
      <c r="AR811" s="94"/>
      <c r="AS811" s="94"/>
      <c r="AT811" s="94"/>
      <c r="AU811" s="94"/>
      <c r="AV811" s="94"/>
      <c r="AW811" s="94"/>
      <c r="AX811" s="94"/>
      <c r="AY811" s="94"/>
      <c r="BA811" s="95"/>
    </row>
    <row r="812" spans="1:53" s="87" customFormat="1">
      <c r="A812" s="90" t="str">
        <f t="shared" si="60"/>
        <v/>
      </c>
      <c r="B812" s="99">
        <v>8</v>
      </c>
      <c r="C812" s="92">
        <v>4</v>
      </c>
      <c r="D812" s="92" t="s">
        <v>210</v>
      </c>
      <c r="E812" s="92">
        <v>1</v>
      </c>
      <c r="F812" s="92" t="s">
        <v>210</v>
      </c>
      <c r="G812" s="92">
        <v>-3</v>
      </c>
      <c r="H812" s="92" t="s">
        <v>210</v>
      </c>
      <c r="I812" s="92" t="s">
        <v>210</v>
      </c>
      <c r="J812" s="92">
        <v>2</v>
      </c>
      <c r="K812" s="92">
        <v>3</v>
      </c>
      <c r="L812" s="92" t="s">
        <v>210</v>
      </c>
      <c r="M812" s="92" t="s">
        <v>210</v>
      </c>
      <c r="N812" s="92">
        <v>-4</v>
      </c>
      <c r="O812" s="92">
        <v>-5</v>
      </c>
      <c r="P812" s="92" t="s">
        <v>210</v>
      </c>
      <c r="Q812" s="94"/>
      <c r="R812" s="94"/>
      <c r="S812" s="94"/>
      <c r="T812" s="94"/>
      <c r="U812" s="94"/>
      <c r="V812" s="94"/>
      <c r="W812" s="94"/>
      <c r="X812" s="94"/>
      <c r="Y812" s="94"/>
      <c r="Z812" s="94"/>
      <c r="AA812" s="94"/>
      <c r="AB812" s="94"/>
      <c r="AC812" s="94"/>
      <c r="AD812" s="94"/>
      <c r="AE812" s="94"/>
      <c r="AF812" s="94"/>
      <c r="AG812" s="94"/>
      <c r="AH812" s="94"/>
      <c r="AI812" s="94"/>
      <c r="AJ812" s="94"/>
      <c r="AK812" s="94"/>
      <c r="AL812" s="94"/>
      <c r="AM812" s="94"/>
      <c r="AN812" s="94"/>
      <c r="AO812" s="94"/>
      <c r="AP812" s="94"/>
      <c r="AQ812" s="94"/>
      <c r="AR812" s="94"/>
      <c r="AS812" s="94"/>
      <c r="AT812" s="94"/>
      <c r="AU812" s="94"/>
      <c r="AV812" s="94"/>
      <c r="AW812" s="94"/>
      <c r="AX812" s="94"/>
      <c r="AY812" s="94"/>
      <c r="BA812" s="95"/>
    </row>
    <row r="813" spans="1:53" s="87" customFormat="1">
      <c r="A813" s="90" t="str">
        <f t="shared" si="60"/>
        <v/>
      </c>
      <c r="B813" s="98">
        <v>9</v>
      </c>
      <c r="C813" s="94">
        <v>-3</v>
      </c>
      <c r="D813" s="94" t="s">
        <v>210</v>
      </c>
      <c r="E813" s="94">
        <v>2</v>
      </c>
      <c r="F813" s="94" t="s">
        <v>210</v>
      </c>
      <c r="G813" s="94" t="s">
        <v>210</v>
      </c>
      <c r="H813" s="94">
        <v>4</v>
      </c>
      <c r="I813" s="94">
        <v>3</v>
      </c>
      <c r="J813" s="94" t="s">
        <v>210</v>
      </c>
      <c r="K813" s="94" t="s">
        <v>202</v>
      </c>
      <c r="L813" s="94" t="s">
        <v>210</v>
      </c>
      <c r="M813" s="94">
        <v>-4</v>
      </c>
      <c r="N813" s="94" t="s">
        <v>210</v>
      </c>
      <c r="O813" s="94">
        <v>-1</v>
      </c>
      <c r="P813" s="94" t="s">
        <v>210</v>
      </c>
      <c r="Q813" s="94"/>
      <c r="R813" s="94"/>
      <c r="S813" s="94"/>
      <c r="T813" s="94"/>
      <c r="U813" s="94"/>
      <c r="V813" s="94"/>
      <c r="W813" s="94"/>
      <c r="X813" s="94"/>
      <c r="Y813" s="94"/>
      <c r="Z813" s="94"/>
      <c r="AA813" s="94"/>
      <c r="AB813" s="94"/>
      <c r="AC813" s="94"/>
      <c r="AD813" s="94"/>
      <c r="AE813" s="94"/>
      <c r="AF813" s="94"/>
      <c r="AG813" s="94"/>
      <c r="AH813" s="94"/>
      <c r="AI813" s="94"/>
      <c r="AJ813" s="94"/>
      <c r="AK813" s="94"/>
      <c r="AL813" s="94"/>
      <c r="AM813" s="94"/>
      <c r="AN813" s="94"/>
      <c r="AO813" s="94"/>
      <c r="AP813" s="94"/>
      <c r="AQ813" s="94"/>
      <c r="AR813" s="94"/>
      <c r="AS813" s="94"/>
      <c r="AT813" s="94"/>
      <c r="AU813" s="94"/>
      <c r="AV813" s="94"/>
      <c r="AW813" s="94"/>
      <c r="AX813" s="94"/>
      <c r="AY813" s="94"/>
      <c r="BA813" s="95"/>
    </row>
    <row r="814" spans="1:53" s="87" customFormat="1">
      <c r="A814" s="90" t="str">
        <f t="shared" si="60"/>
        <v/>
      </c>
      <c r="B814" s="98">
        <v>10</v>
      </c>
      <c r="C814" s="94" t="s">
        <v>202</v>
      </c>
      <c r="D814" s="94" t="s">
        <v>210</v>
      </c>
      <c r="E814" s="94" t="s">
        <v>210</v>
      </c>
      <c r="F814" s="94">
        <v>-2</v>
      </c>
      <c r="G814" s="94">
        <v>-4</v>
      </c>
      <c r="H814" s="94" t="s">
        <v>210</v>
      </c>
      <c r="I814" s="94">
        <v>-5</v>
      </c>
      <c r="J814" s="94" t="s">
        <v>210</v>
      </c>
      <c r="K814" s="94" t="s">
        <v>210</v>
      </c>
      <c r="L814" s="94">
        <v>4</v>
      </c>
      <c r="M814" s="94">
        <v>2</v>
      </c>
      <c r="N814" s="94" t="s">
        <v>210</v>
      </c>
      <c r="O814" s="94">
        <v>1</v>
      </c>
      <c r="P814" s="94" t="s">
        <v>210</v>
      </c>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BA814" s="95"/>
    </row>
    <row r="815" spans="1:53" s="87" customFormat="1">
      <c r="A815" s="90" t="str">
        <f t="shared" si="60"/>
        <v/>
      </c>
      <c r="B815" s="98">
        <v>11</v>
      </c>
      <c r="C815" s="94">
        <v>3</v>
      </c>
      <c r="D815" s="94" t="s">
        <v>210</v>
      </c>
      <c r="E815" s="94">
        <v>5</v>
      </c>
      <c r="F815" s="94" t="s">
        <v>210</v>
      </c>
      <c r="G815" s="94" t="s">
        <v>202</v>
      </c>
      <c r="H815" s="94" t="s">
        <v>210</v>
      </c>
      <c r="I815" s="94">
        <v>4</v>
      </c>
      <c r="J815" s="94" t="s">
        <v>210</v>
      </c>
      <c r="K815" s="94" t="s">
        <v>210</v>
      </c>
      <c r="L815" s="94">
        <v>-3</v>
      </c>
      <c r="M815" s="94">
        <v>-2</v>
      </c>
      <c r="N815" s="94" t="s">
        <v>210</v>
      </c>
      <c r="O815" s="94" t="s">
        <v>210</v>
      </c>
      <c r="P815" s="94">
        <v>-4</v>
      </c>
      <c r="Q815" s="94"/>
      <c r="R815" s="94"/>
      <c r="S815" s="94"/>
      <c r="T815" s="94"/>
      <c r="U815" s="94"/>
      <c r="V815" s="94"/>
      <c r="W815" s="94"/>
      <c r="X815" s="94"/>
      <c r="Y815" s="94"/>
      <c r="Z815" s="94"/>
      <c r="AA815" s="94"/>
      <c r="AB815" s="94"/>
      <c r="AC815" s="94"/>
      <c r="AD815" s="94"/>
      <c r="AE815" s="94"/>
      <c r="AF815" s="94"/>
      <c r="AG815" s="94"/>
      <c r="AH815" s="94"/>
      <c r="AI815" s="94"/>
      <c r="AJ815" s="94"/>
      <c r="AK815" s="94"/>
      <c r="AL815" s="94"/>
      <c r="AM815" s="94"/>
      <c r="AN815" s="94"/>
      <c r="AO815" s="94"/>
      <c r="AP815" s="94"/>
      <c r="AQ815" s="94"/>
      <c r="AR815" s="94"/>
      <c r="AS815" s="94"/>
      <c r="AT815" s="94"/>
      <c r="AU815" s="94"/>
      <c r="AV815" s="94"/>
      <c r="AW815" s="94"/>
      <c r="AX815" s="94"/>
      <c r="AY815" s="94"/>
      <c r="BA815" s="95"/>
    </row>
    <row r="816" spans="1:53" s="87" customFormat="1">
      <c r="A816" s="90" t="str">
        <f t="shared" si="60"/>
        <v/>
      </c>
      <c r="B816" s="98">
        <v>12</v>
      </c>
      <c r="C816" s="94">
        <v>2</v>
      </c>
      <c r="D816" s="94" t="s">
        <v>210</v>
      </c>
      <c r="E816" s="94" t="s">
        <v>202</v>
      </c>
      <c r="F816" s="94" t="s">
        <v>210</v>
      </c>
      <c r="G816" s="94">
        <v>1</v>
      </c>
      <c r="H816" s="94" t="s">
        <v>210</v>
      </c>
      <c r="I816" s="94">
        <v>-3</v>
      </c>
      <c r="J816" s="94" t="s">
        <v>210</v>
      </c>
      <c r="K816" s="94" t="s">
        <v>210</v>
      </c>
      <c r="L816" s="94">
        <v>-4</v>
      </c>
      <c r="M816" s="94">
        <v>-1</v>
      </c>
      <c r="N816" s="94" t="s">
        <v>210</v>
      </c>
      <c r="O816" s="94" t="s">
        <v>210</v>
      </c>
      <c r="P816" s="94">
        <v>4</v>
      </c>
      <c r="Q816" s="94"/>
      <c r="R816" s="94"/>
      <c r="S816" s="94"/>
      <c r="T816" s="94"/>
      <c r="U816" s="94"/>
      <c r="V816" s="94"/>
      <c r="W816" s="94"/>
      <c r="X816" s="94"/>
      <c r="Y816" s="94"/>
      <c r="Z816" s="94"/>
      <c r="AA816" s="94"/>
      <c r="AB816" s="94"/>
      <c r="AC816" s="94"/>
      <c r="AD816" s="94"/>
      <c r="AE816" s="94"/>
      <c r="AF816" s="94"/>
      <c r="AG816" s="94"/>
      <c r="AH816" s="94"/>
      <c r="AI816" s="94"/>
      <c r="AJ816" s="94"/>
      <c r="AK816" s="94"/>
      <c r="AL816" s="94"/>
      <c r="AM816" s="94"/>
      <c r="AN816" s="94"/>
      <c r="AO816" s="94"/>
      <c r="AP816" s="94"/>
      <c r="AQ816" s="94"/>
      <c r="AR816" s="94"/>
      <c r="AS816" s="94"/>
      <c r="AT816" s="94"/>
      <c r="AU816" s="94"/>
      <c r="AV816" s="94"/>
      <c r="AW816" s="94"/>
      <c r="AX816" s="94"/>
      <c r="AY816" s="94"/>
      <c r="BA816" s="95"/>
    </row>
    <row r="817" spans="1:53" s="87" customFormat="1">
      <c r="A817" s="90" t="str">
        <f t="shared" si="60"/>
        <v/>
      </c>
      <c r="B817" s="98">
        <v>13</v>
      </c>
      <c r="C817" s="94">
        <v>-5</v>
      </c>
      <c r="D817" s="94" t="s">
        <v>210</v>
      </c>
      <c r="E817" s="94">
        <v>-2</v>
      </c>
      <c r="F817" s="94" t="s">
        <v>210</v>
      </c>
      <c r="G817" s="94">
        <v>4</v>
      </c>
      <c r="H817" s="94" t="s">
        <v>210</v>
      </c>
      <c r="I817" s="94" t="s">
        <v>202</v>
      </c>
      <c r="J817" s="94" t="s">
        <v>210</v>
      </c>
      <c r="K817" s="94" t="s">
        <v>210</v>
      </c>
      <c r="L817" s="94">
        <v>3</v>
      </c>
      <c r="M817" s="94">
        <v>1</v>
      </c>
      <c r="N817" s="94" t="s">
        <v>210</v>
      </c>
      <c r="O817" s="94" t="s">
        <v>210</v>
      </c>
      <c r="P817" s="94">
        <v>-3</v>
      </c>
      <c r="Q817" s="94"/>
      <c r="R817" s="94"/>
      <c r="S817" s="94"/>
      <c r="T817" s="94"/>
      <c r="U817" s="94"/>
      <c r="V817" s="94"/>
      <c r="W817" s="94"/>
      <c r="X817" s="94"/>
      <c r="Y817" s="94"/>
      <c r="Z817" s="94"/>
      <c r="AA817" s="94"/>
      <c r="AB817" s="94"/>
      <c r="AC817" s="94"/>
      <c r="AD817" s="94"/>
      <c r="AE817" s="94"/>
      <c r="AF817" s="94"/>
      <c r="AG817" s="94"/>
      <c r="AH817" s="94"/>
      <c r="AI817" s="94"/>
      <c r="AJ817" s="94"/>
      <c r="AK817" s="94"/>
      <c r="AL817" s="94"/>
      <c r="AM817" s="94"/>
      <c r="AN817" s="94"/>
      <c r="AO817" s="94"/>
      <c r="AP817" s="94"/>
      <c r="AQ817" s="94"/>
      <c r="AR817" s="94"/>
      <c r="AS817" s="94"/>
      <c r="AT817" s="94"/>
      <c r="AU817" s="94"/>
      <c r="AV817" s="94"/>
      <c r="AW817" s="94"/>
      <c r="AX817" s="94"/>
      <c r="AY817" s="94"/>
      <c r="BA817" s="95"/>
    </row>
    <row r="818" spans="1:53" s="87" customFormat="1">
      <c r="A818" s="90" t="str">
        <f t="shared" si="60"/>
        <v/>
      </c>
      <c r="B818" s="98">
        <v>14</v>
      </c>
      <c r="C818" s="94">
        <v>-2</v>
      </c>
      <c r="D818" s="94" t="s">
        <v>210</v>
      </c>
      <c r="E818" s="94">
        <v>-5</v>
      </c>
      <c r="F818" s="94" t="s">
        <v>210</v>
      </c>
      <c r="G818" s="94" t="s">
        <v>210</v>
      </c>
      <c r="H818" s="94">
        <v>-4</v>
      </c>
      <c r="I818" s="94">
        <v>5</v>
      </c>
      <c r="J818" s="94" t="s">
        <v>210</v>
      </c>
      <c r="K818" s="94">
        <v>2</v>
      </c>
      <c r="L818" s="94" t="s">
        <v>210</v>
      </c>
      <c r="M818" s="94" t="s">
        <v>202</v>
      </c>
      <c r="N818" s="94" t="s">
        <v>210</v>
      </c>
      <c r="O818" s="94" t="s">
        <v>210</v>
      </c>
      <c r="P818" s="94">
        <v>3</v>
      </c>
      <c r="Q818" s="94"/>
      <c r="R818" s="94"/>
      <c r="S818" s="94"/>
      <c r="T818" s="94"/>
      <c r="U818" s="94"/>
      <c r="V818" s="94"/>
      <c r="W818" s="94"/>
      <c r="X818" s="94"/>
      <c r="Y818" s="94"/>
      <c r="Z818" s="94"/>
      <c r="AA818" s="94"/>
      <c r="AB818" s="94"/>
      <c r="AC818" s="94"/>
      <c r="AD818" s="94"/>
      <c r="AE818" s="94"/>
      <c r="AF818" s="94"/>
      <c r="AG818" s="94"/>
      <c r="AH818" s="94"/>
      <c r="AI818" s="94"/>
      <c r="AJ818" s="94"/>
      <c r="AK818" s="94"/>
      <c r="AL818" s="94"/>
      <c r="AM818" s="94"/>
      <c r="AN818" s="94"/>
      <c r="AO818" s="94"/>
      <c r="AP818" s="94"/>
      <c r="AQ818" s="94"/>
      <c r="AR818" s="94"/>
      <c r="AS818" s="94"/>
      <c r="AT818" s="94"/>
      <c r="AU818" s="94"/>
      <c r="AV818" s="94"/>
      <c r="AW818" s="94"/>
      <c r="AX818" s="94"/>
      <c r="AY818" s="94"/>
      <c r="BA818" s="95"/>
    </row>
    <row r="819" spans="1:53" s="87" customFormat="1">
      <c r="A819" s="90" t="str">
        <f t="shared" si="60"/>
        <v/>
      </c>
      <c r="B819" s="98">
        <v>15</v>
      </c>
      <c r="C819" s="94">
        <v>5</v>
      </c>
      <c r="D819" s="94" t="s">
        <v>210</v>
      </c>
      <c r="E819" s="94" t="s">
        <v>210</v>
      </c>
      <c r="F819" s="94">
        <v>2</v>
      </c>
      <c r="G819" s="94">
        <v>-1</v>
      </c>
      <c r="H819" s="94" t="s">
        <v>210</v>
      </c>
      <c r="I819" s="94">
        <v>-4</v>
      </c>
      <c r="J819" s="94" t="s">
        <v>210</v>
      </c>
      <c r="K819" s="94">
        <v>-2</v>
      </c>
      <c r="L819" s="94" t="s">
        <v>210</v>
      </c>
      <c r="M819" s="94">
        <v>4</v>
      </c>
      <c r="N819" s="94" t="s">
        <v>210</v>
      </c>
      <c r="O819" s="94" t="s">
        <v>210</v>
      </c>
      <c r="P819" s="94" t="s">
        <v>202</v>
      </c>
      <c r="Q819" s="94"/>
      <c r="R819" s="94"/>
      <c r="S819" s="94"/>
      <c r="T819" s="94"/>
      <c r="U819" s="94"/>
      <c r="V819" s="94"/>
      <c r="W819" s="94"/>
      <c r="X819" s="94"/>
      <c r="Y819" s="94"/>
      <c r="Z819" s="94"/>
      <c r="AA819" s="94"/>
      <c r="AB819" s="94"/>
      <c r="AC819" s="94"/>
      <c r="AD819" s="94"/>
      <c r="AE819" s="94"/>
      <c r="AF819" s="94"/>
      <c r="AG819" s="94"/>
      <c r="AH819" s="94"/>
      <c r="AI819" s="94"/>
      <c r="AJ819" s="94"/>
      <c r="AK819" s="94"/>
      <c r="AL819" s="94"/>
      <c r="AM819" s="94"/>
      <c r="AN819" s="94"/>
      <c r="AO819" s="94"/>
      <c r="AP819" s="94"/>
      <c r="AQ819" s="94"/>
      <c r="AR819" s="94"/>
      <c r="AS819" s="94"/>
      <c r="AT819" s="94"/>
      <c r="AU819" s="94"/>
      <c r="AV819" s="94"/>
      <c r="AW819" s="94"/>
      <c r="AX819" s="94"/>
      <c r="AY819" s="94"/>
      <c r="BA819" s="95"/>
    </row>
    <row r="820" spans="1:53" s="87" customFormat="1">
      <c r="A820" s="90" t="str">
        <f t="shared" si="60"/>
        <v/>
      </c>
      <c r="B820" s="308" t="s">
        <v>274</v>
      </c>
      <c r="C820" s="94"/>
      <c r="D820" s="94"/>
      <c r="E820" s="94"/>
      <c r="F820" s="94"/>
      <c r="G820" s="94"/>
      <c r="H820" s="94"/>
      <c r="I820" s="94"/>
      <c r="J820" s="94"/>
      <c r="K820" s="94"/>
      <c r="L820" s="94"/>
      <c r="M820" s="94"/>
      <c r="N820" s="94"/>
      <c r="O820" s="94"/>
      <c r="P820" s="94"/>
      <c r="Q820" s="94"/>
      <c r="R820" s="94"/>
      <c r="S820" s="94"/>
      <c r="T820" s="94"/>
      <c r="U820" s="94"/>
      <c r="V820" s="94"/>
      <c r="W820" s="94"/>
      <c r="X820" s="94"/>
      <c r="Y820" s="94"/>
      <c r="Z820" s="94"/>
      <c r="AA820" s="94"/>
      <c r="AB820" s="94"/>
      <c r="AC820" s="94"/>
      <c r="AD820" s="94"/>
      <c r="AE820" s="94"/>
      <c r="AF820" s="94"/>
      <c r="AG820" s="94"/>
      <c r="AH820" s="94"/>
      <c r="AI820" s="94"/>
      <c r="AJ820" s="94"/>
      <c r="AK820" s="94"/>
      <c r="AL820" s="94"/>
      <c r="AM820" s="94"/>
      <c r="AN820" s="94"/>
      <c r="AO820" s="94"/>
      <c r="AP820" s="94"/>
      <c r="AQ820" s="94"/>
      <c r="AR820" s="94"/>
      <c r="AS820" s="94"/>
      <c r="AT820" s="94"/>
      <c r="AU820" s="94"/>
      <c r="AV820" s="94"/>
      <c r="AW820" s="94"/>
      <c r="AX820" s="94"/>
      <c r="AY820" s="94"/>
      <c r="BA820" s="95"/>
    </row>
    <row r="821" spans="1:53" s="87" customFormat="1">
      <c r="A821" s="90">
        <f t="shared" si="60"/>
        <v>821</v>
      </c>
      <c r="B821" s="98" t="s">
        <v>896</v>
      </c>
      <c r="C821" s="94"/>
      <c r="D821" s="94"/>
      <c r="E821" s="94"/>
      <c r="F821" s="94"/>
      <c r="G821" s="94"/>
      <c r="H821" s="94"/>
      <c r="I821" s="94"/>
      <c r="J821" s="94"/>
      <c r="K821" s="94"/>
      <c r="L821" s="94"/>
      <c r="M821" s="94"/>
      <c r="N821" s="94"/>
      <c r="O821" s="94"/>
      <c r="P821" s="94"/>
      <c r="Q821" s="94"/>
      <c r="R821" s="94"/>
      <c r="S821" s="94"/>
      <c r="T821" s="94"/>
      <c r="U821" s="94"/>
      <c r="V821" s="94"/>
      <c r="W821" s="94"/>
      <c r="X821" s="94"/>
      <c r="Y821" s="94"/>
      <c r="Z821" s="94"/>
      <c r="AA821" s="94"/>
      <c r="AB821" s="94"/>
      <c r="AC821" s="94"/>
      <c r="AD821" s="94"/>
      <c r="AE821" s="94"/>
      <c r="AF821" s="94"/>
      <c r="AG821" s="94"/>
      <c r="AH821" s="94"/>
      <c r="AI821" s="94"/>
      <c r="AJ821" s="94"/>
      <c r="AK821" s="94"/>
      <c r="AL821" s="94"/>
      <c r="AM821" s="94"/>
      <c r="AN821" s="94"/>
      <c r="AO821" s="94"/>
      <c r="AP821" s="94"/>
      <c r="AQ821" s="94"/>
      <c r="AR821" s="94"/>
      <c r="AS821" s="94"/>
      <c r="AT821" s="94"/>
      <c r="AU821" s="94"/>
      <c r="AV821" s="94"/>
      <c r="AW821" s="94"/>
      <c r="AX821" s="94"/>
      <c r="AY821" s="94"/>
      <c r="BA821" s="95"/>
    </row>
    <row r="822" spans="1:53" s="87" customFormat="1">
      <c r="A822" s="90" t="str">
        <f t="shared" si="60"/>
        <v/>
      </c>
      <c r="B822" s="98">
        <v>1</v>
      </c>
      <c r="C822" s="94">
        <v>3</v>
      </c>
      <c r="D822" s="94">
        <v>2</v>
      </c>
      <c r="E822" s="94">
        <v>-5</v>
      </c>
      <c r="F822" s="94" t="s">
        <v>210</v>
      </c>
      <c r="G822" s="94">
        <v>-1</v>
      </c>
      <c r="H822" s="94">
        <v>-4</v>
      </c>
      <c r="I822" s="94">
        <v>-2</v>
      </c>
      <c r="J822" s="94">
        <v>1</v>
      </c>
      <c r="K822" s="94">
        <v>-3</v>
      </c>
      <c r="L822" s="94">
        <v>5</v>
      </c>
      <c r="M822" s="94" t="s">
        <v>210</v>
      </c>
      <c r="N822" s="94">
        <v>4</v>
      </c>
      <c r="O822" s="94" t="s">
        <v>210</v>
      </c>
      <c r="P822" s="94">
        <v>3</v>
      </c>
      <c r="Q822" s="94"/>
      <c r="R822" s="94"/>
      <c r="S822" s="94"/>
      <c r="T822" s="94"/>
      <c r="U822" s="94"/>
      <c r="V822" s="94"/>
      <c r="W822" s="94"/>
      <c r="X822" s="94"/>
      <c r="Y822" s="94"/>
      <c r="Z822" s="94"/>
      <c r="AA822" s="94"/>
      <c r="AB822" s="94"/>
      <c r="AC822" s="94"/>
      <c r="AD822" s="94"/>
      <c r="AE822" s="94"/>
      <c r="AF822" s="94"/>
      <c r="AG822" s="94"/>
      <c r="AH822" s="94"/>
      <c r="AI822" s="94"/>
      <c r="AJ822" s="94"/>
      <c r="AK822" s="94"/>
      <c r="AL822" s="94"/>
      <c r="AM822" s="94"/>
      <c r="AN822" s="94"/>
      <c r="AO822" s="94"/>
      <c r="AP822" s="94"/>
      <c r="AQ822" s="94"/>
      <c r="AR822" s="94"/>
      <c r="AS822" s="94"/>
      <c r="AT822" s="94"/>
      <c r="AU822" s="94"/>
      <c r="AV822" s="94"/>
      <c r="AW822" s="94"/>
      <c r="AX822" s="94"/>
      <c r="AY822" s="94"/>
      <c r="BA822" s="95"/>
    </row>
    <row r="823" spans="1:53" s="87" customFormat="1">
      <c r="A823" s="90" t="str">
        <f t="shared" si="60"/>
        <v/>
      </c>
      <c r="B823" s="98">
        <v>2</v>
      </c>
      <c r="C823" s="94" t="s">
        <v>210</v>
      </c>
      <c r="D823" s="94">
        <v>-5</v>
      </c>
      <c r="E823" s="94">
        <v>-4</v>
      </c>
      <c r="F823" s="94">
        <v>-1</v>
      </c>
      <c r="G823" s="94">
        <v>2</v>
      </c>
      <c r="H823" s="94">
        <v>3</v>
      </c>
      <c r="I823" s="94" t="s">
        <v>210</v>
      </c>
      <c r="J823" s="94">
        <v>5</v>
      </c>
      <c r="K823" s="94">
        <v>-2</v>
      </c>
      <c r="L823" s="94">
        <v>3</v>
      </c>
      <c r="M823" s="94">
        <v>4</v>
      </c>
      <c r="N823" s="94">
        <v>1</v>
      </c>
      <c r="O823" s="94" t="s">
        <v>210</v>
      </c>
      <c r="P823" s="94">
        <v>-3</v>
      </c>
      <c r="Q823" s="94"/>
      <c r="R823" s="94"/>
      <c r="S823" s="94"/>
      <c r="T823" s="94"/>
      <c r="U823" s="94"/>
      <c r="V823" s="94"/>
      <c r="W823" s="94"/>
      <c r="X823" s="94"/>
      <c r="Y823" s="94"/>
      <c r="Z823" s="94"/>
      <c r="AA823" s="94"/>
      <c r="AB823" s="94"/>
      <c r="AC823" s="94"/>
      <c r="AD823" s="94"/>
      <c r="AE823" s="94"/>
      <c r="AF823" s="94"/>
      <c r="AG823" s="94"/>
      <c r="AH823" s="94"/>
      <c r="AI823" s="94"/>
      <c r="AJ823" s="94"/>
      <c r="AK823" s="94"/>
      <c r="AL823" s="94"/>
      <c r="AM823" s="94"/>
      <c r="AN823" s="94"/>
      <c r="AO823" s="94"/>
      <c r="AP823" s="94"/>
      <c r="AQ823" s="94"/>
      <c r="AR823" s="94"/>
      <c r="AS823" s="94"/>
      <c r="AT823" s="94"/>
      <c r="AU823" s="94"/>
      <c r="AV823" s="94"/>
      <c r="AW823" s="94"/>
      <c r="AX823" s="94"/>
      <c r="AY823" s="94"/>
      <c r="BA823" s="95"/>
    </row>
    <row r="824" spans="1:53" s="87" customFormat="1">
      <c r="A824" s="90" t="str">
        <f t="shared" si="60"/>
        <v/>
      </c>
      <c r="B824" s="98">
        <v>3</v>
      </c>
      <c r="C824" s="94">
        <v>-5</v>
      </c>
      <c r="D824" s="94">
        <v>4</v>
      </c>
      <c r="E824" s="94" t="s">
        <v>210</v>
      </c>
      <c r="F824" s="94">
        <v>1</v>
      </c>
      <c r="G824" s="94">
        <v>-3</v>
      </c>
      <c r="H824" s="94">
        <v>-2</v>
      </c>
      <c r="I824" s="94">
        <v>5</v>
      </c>
      <c r="J824" s="94" t="s">
        <v>210</v>
      </c>
      <c r="K824" s="94">
        <v>-1</v>
      </c>
      <c r="L824" s="94">
        <v>2</v>
      </c>
      <c r="M824" s="94">
        <v>3</v>
      </c>
      <c r="N824" s="94">
        <v>-4</v>
      </c>
      <c r="O824" s="94" t="s">
        <v>210</v>
      </c>
      <c r="P824" s="94">
        <v>-2</v>
      </c>
      <c r="Q824" s="94"/>
      <c r="R824" s="94"/>
      <c r="S824" s="94"/>
      <c r="T824" s="94"/>
      <c r="U824" s="94"/>
      <c r="V824" s="94"/>
      <c r="W824" s="94"/>
      <c r="X824" s="94"/>
      <c r="Y824" s="94"/>
      <c r="Z824" s="94"/>
      <c r="AA824" s="94"/>
      <c r="AB824" s="94"/>
      <c r="AC824" s="94"/>
      <c r="AD824" s="94"/>
      <c r="AE824" s="94"/>
      <c r="AF824" s="94"/>
      <c r="AG824" s="94"/>
      <c r="AH824" s="94"/>
      <c r="AI824" s="94"/>
      <c r="AJ824" s="94"/>
      <c r="AK824" s="94"/>
      <c r="AL824" s="94"/>
      <c r="AM824" s="94"/>
      <c r="AN824" s="94"/>
      <c r="AO824" s="94"/>
      <c r="AP824" s="94"/>
      <c r="AQ824" s="94"/>
      <c r="AR824" s="94"/>
      <c r="AS824" s="94"/>
      <c r="AT824" s="94"/>
      <c r="AU824" s="94"/>
      <c r="AV824" s="94"/>
      <c r="AW824" s="94"/>
      <c r="AX824" s="94"/>
      <c r="AY824" s="94"/>
      <c r="BA824" s="95"/>
    </row>
    <row r="825" spans="1:53" s="87" customFormat="1">
      <c r="A825" s="90" t="str">
        <f t="shared" si="60"/>
        <v/>
      </c>
      <c r="B825" s="98">
        <v>4</v>
      </c>
      <c r="C825" s="94">
        <v>-2</v>
      </c>
      <c r="D825" s="94" t="s">
        <v>210</v>
      </c>
      <c r="E825" s="94">
        <v>-1</v>
      </c>
      <c r="F825" s="94">
        <v>5</v>
      </c>
      <c r="G825" s="94">
        <v>4</v>
      </c>
      <c r="H825" s="94">
        <v>-3</v>
      </c>
      <c r="I825" s="94">
        <v>2</v>
      </c>
      <c r="J825" s="94">
        <v>-4</v>
      </c>
      <c r="K825" s="94" t="s">
        <v>210</v>
      </c>
      <c r="L825" s="94">
        <v>1</v>
      </c>
      <c r="M825" s="94">
        <v>-5</v>
      </c>
      <c r="N825" s="94">
        <v>3</v>
      </c>
      <c r="O825" s="94" t="s">
        <v>210</v>
      </c>
      <c r="P825" s="94">
        <v>2</v>
      </c>
      <c r="Q825" s="94"/>
      <c r="R825" s="94"/>
      <c r="S825" s="94"/>
      <c r="T825" s="94"/>
      <c r="U825" s="94"/>
      <c r="V825" s="94"/>
      <c r="W825" s="94"/>
      <c r="X825" s="94"/>
      <c r="Y825" s="94"/>
      <c r="Z825" s="94"/>
      <c r="AA825" s="94"/>
      <c r="AB825" s="94"/>
      <c r="AC825" s="94"/>
      <c r="AD825" s="94"/>
      <c r="AE825" s="94"/>
      <c r="AF825" s="94"/>
      <c r="AG825" s="94"/>
      <c r="AH825" s="94"/>
      <c r="AI825" s="94"/>
      <c r="AJ825" s="94"/>
      <c r="AK825" s="94"/>
      <c r="AL825" s="94"/>
      <c r="AM825" s="94"/>
      <c r="AN825" s="94"/>
      <c r="AO825" s="94"/>
      <c r="AP825" s="94"/>
      <c r="AQ825" s="94"/>
      <c r="AR825" s="94"/>
      <c r="AS825" s="94"/>
      <c r="AT825" s="94"/>
      <c r="AU825" s="94"/>
      <c r="AV825" s="94"/>
      <c r="AW825" s="94"/>
      <c r="AX825" s="94"/>
      <c r="AY825" s="94"/>
      <c r="BA825" s="95"/>
    </row>
    <row r="826" spans="1:53" s="87" customFormat="1">
      <c r="A826" s="90" t="str">
        <f t="shared" si="60"/>
        <v/>
      </c>
      <c r="B826" s="98">
        <v>5</v>
      </c>
      <c r="C826" s="94">
        <v>1</v>
      </c>
      <c r="D826" s="94">
        <v>3</v>
      </c>
      <c r="E826" s="94">
        <v>-2</v>
      </c>
      <c r="F826" s="94">
        <v>-4</v>
      </c>
      <c r="G826" s="94">
        <v>5</v>
      </c>
      <c r="H826" s="94" t="s">
        <v>210</v>
      </c>
      <c r="I826" s="94">
        <v>-1</v>
      </c>
      <c r="J826" s="94">
        <v>4</v>
      </c>
      <c r="K826" s="94">
        <v>2</v>
      </c>
      <c r="L826" s="94">
        <v>-5</v>
      </c>
      <c r="M826" s="94">
        <v>-3</v>
      </c>
      <c r="N826" s="94" t="s">
        <v>210</v>
      </c>
      <c r="O826" s="94">
        <v>-4</v>
      </c>
      <c r="P826" s="94" t="s">
        <v>210</v>
      </c>
      <c r="Q826" s="94"/>
      <c r="R826" s="94"/>
      <c r="S826" s="94"/>
      <c r="T826" s="94"/>
      <c r="U826" s="94"/>
      <c r="V826" s="94"/>
      <c r="W826" s="94"/>
      <c r="X826" s="94"/>
      <c r="Y826" s="94"/>
      <c r="Z826" s="94"/>
      <c r="AA826" s="94"/>
      <c r="AB826" s="94"/>
      <c r="AC826" s="94"/>
      <c r="AD826" s="94"/>
      <c r="AE826" s="94"/>
      <c r="AF826" s="94"/>
      <c r="AG826" s="94"/>
      <c r="AH826" s="94"/>
      <c r="AI826" s="94"/>
      <c r="AJ826" s="94"/>
      <c r="AK826" s="94"/>
      <c r="AL826" s="94"/>
      <c r="AM826" s="94"/>
      <c r="AN826" s="94"/>
      <c r="AO826" s="94"/>
      <c r="AP826" s="94"/>
      <c r="AQ826" s="94"/>
      <c r="AR826" s="94"/>
      <c r="AS826" s="94"/>
      <c r="AT826" s="94"/>
      <c r="AU826" s="94"/>
      <c r="AV826" s="94"/>
      <c r="AW826" s="94"/>
      <c r="AX826" s="94"/>
      <c r="AY826" s="94"/>
      <c r="BA826" s="95"/>
    </row>
    <row r="827" spans="1:53" s="87" customFormat="1">
      <c r="A827" s="90" t="str">
        <f t="shared" si="60"/>
        <v/>
      </c>
      <c r="B827" s="98">
        <v>6</v>
      </c>
      <c r="C827" s="94">
        <v>-4</v>
      </c>
      <c r="D827" s="94">
        <v>-2</v>
      </c>
      <c r="E827" s="94">
        <v>1</v>
      </c>
      <c r="F827" s="94" t="s">
        <v>210</v>
      </c>
      <c r="G827" s="94">
        <v>3</v>
      </c>
      <c r="H827" s="94">
        <v>5</v>
      </c>
      <c r="I827" s="94">
        <v>-4</v>
      </c>
      <c r="J827" s="94">
        <v>2</v>
      </c>
      <c r="K827" s="94" t="s">
        <v>210</v>
      </c>
      <c r="L827" s="94">
        <v>-3</v>
      </c>
      <c r="M827" s="94">
        <v>-1</v>
      </c>
      <c r="N827" s="94">
        <v>-5</v>
      </c>
      <c r="O827" s="94">
        <v>4</v>
      </c>
      <c r="P827" s="94" t="s">
        <v>210</v>
      </c>
      <c r="Q827" s="94"/>
      <c r="R827" s="94"/>
      <c r="S827" s="94"/>
      <c r="T827" s="94"/>
      <c r="U827" s="94"/>
      <c r="V827" s="94"/>
      <c r="W827" s="94"/>
      <c r="X827" s="94"/>
      <c r="Y827" s="94"/>
      <c r="Z827" s="94"/>
      <c r="AA827" s="94"/>
      <c r="AB827" s="94"/>
      <c r="AC827" s="94"/>
      <c r="AD827" s="94"/>
      <c r="AE827" s="94"/>
      <c r="AF827" s="94"/>
      <c r="AG827" s="94"/>
      <c r="AH827" s="94"/>
      <c r="AI827" s="94"/>
      <c r="AJ827" s="94"/>
      <c r="AK827" s="94"/>
      <c r="AL827" s="94"/>
      <c r="AM827" s="94"/>
      <c r="AN827" s="94"/>
      <c r="AO827" s="94"/>
      <c r="AP827" s="94"/>
      <c r="AQ827" s="94"/>
      <c r="AR827" s="94"/>
      <c r="AS827" s="94"/>
      <c r="AT827" s="94"/>
      <c r="AU827" s="94"/>
      <c r="AV827" s="94"/>
      <c r="AW827" s="94"/>
      <c r="AX827" s="94"/>
      <c r="AY827" s="94"/>
      <c r="BA827" s="95"/>
    </row>
    <row r="828" spans="1:53" s="87" customFormat="1">
      <c r="A828" s="90" t="str">
        <f t="shared" si="60"/>
        <v/>
      </c>
      <c r="B828" s="98">
        <v>7</v>
      </c>
      <c r="C828" s="94">
        <v>2</v>
      </c>
      <c r="D828" s="94">
        <v>1</v>
      </c>
      <c r="E828" s="94">
        <v>-3</v>
      </c>
      <c r="F828" s="94">
        <v>4</v>
      </c>
      <c r="G828" s="94" t="s">
        <v>210</v>
      </c>
      <c r="H828" s="94">
        <v>-5</v>
      </c>
      <c r="I828" s="94">
        <v>-3</v>
      </c>
      <c r="J828" s="94">
        <v>-1</v>
      </c>
      <c r="K828" s="94">
        <v>5</v>
      </c>
      <c r="L828" s="94">
        <v>-2</v>
      </c>
      <c r="M828" s="94">
        <v>-4</v>
      </c>
      <c r="N828" s="94" t="s">
        <v>210</v>
      </c>
      <c r="O828" s="94">
        <v>3</v>
      </c>
      <c r="P828" s="94" t="s">
        <v>210</v>
      </c>
      <c r="Q828" s="94"/>
      <c r="R828" s="94"/>
      <c r="S828" s="94"/>
      <c r="T828" s="94"/>
      <c r="U828" s="94"/>
      <c r="V828" s="94"/>
      <c r="W828" s="94"/>
      <c r="X828" s="94"/>
      <c r="Y828" s="94"/>
      <c r="Z828" s="94"/>
      <c r="AA828" s="94"/>
      <c r="AB828" s="94"/>
      <c r="AC828" s="94"/>
      <c r="AD828" s="94"/>
      <c r="AE828" s="94"/>
      <c r="AF828" s="94"/>
      <c r="AG828" s="94"/>
      <c r="AH828" s="94"/>
      <c r="AI828" s="94"/>
      <c r="AJ828" s="94"/>
      <c r="AK828" s="94"/>
      <c r="AL828" s="94"/>
      <c r="AM828" s="94"/>
      <c r="AN828" s="94"/>
      <c r="AO828" s="94"/>
      <c r="AP828" s="94"/>
      <c r="AQ828" s="94"/>
      <c r="AR828" s="94"/>
      <c r="AS828" s="94"/>
      <c r="AT828" s="94"/>
      <c r="AU828" s="94"/>
      <c r="AV828" s="94"/>
      <c r="AW828" s="94"/>
      <c r="AX828" s="94"/>
      <c r="AY828" s="94"/>
      <c r="BA828" s="95"/>
    </row>
    <row r="829" spans="1:53" s="87" customFormat="1">
      <c r="A829" s="90" t="str">
        <f t="shared" si="60"/>
        <v/>
      </c>
      <c r="B829" s="98">
        <v>8</v>
      </c>
      <c r="C829" s="94" t="s">
        <v>210</v>
      </c>
      <c r="D829" s="94">
        <v>5</v>
      </c>
      <c r="E829" s="94">
        <v>2</v>
      </c>
      <c r="F829" s="94">
        <v>-3</v>
      </c>
      <c r="G829" s="94">
        <v>-4</v>
      </c>
      <c r="H829" s="94">
        <v>-1</v>
      </c>
      <c r="I829" s="94">
        <v>-5</v>
      </c>
      <c r="J829" s="94" t="s">
        <v>210</v>
      </c>
      <c r="K829" s="94">
        <v>3</v>
      </c>
      <c r="L829" s="94">
        <v>4</v>
      </c>
      <c r="M829" s="94">
        <v>1</v>
      </c>
      <c r="N829" s="94">
        <v>-2</v>
      </c>
      <c r="O829" s="94">
        <v>-3</v>
      </c>
      <c r="P829" s="94" t="s">
        <v>210</v>
      </c>
      <c r="Q829" s="94"/>
      <c r="R829" s="94"/>
      <c r="S829" s="94"/>
      <c r="T829" s="94"/>
      <c r="U829" s="94"/>
      <c r="V829" s="94"/>
      <c r="W829" s="94"/>
      <c r="X829" s="94"/>
      <c r="Y829" s="94"/>
      <c r="Z829" s="94"/>
      <c r="AA829" s="94"/>
      <c r="AB829" s="94"/>
      <c r="AC829" s="94"/>
      <c r="AD829" s="94"/>
      <c r="AE829" s="94"/>
      <c r="AF829" s="94"/>
      <c r="AG829" s="94"/>
      <c r="AH829" s="94"/>
      <c r="AI829" s="94"/>
      <c r="AJ829" s="94"/>
      <c r="AK829" s="94"/>
      <c r="AL829" s="94"/>
      <c r="AM829" s="94"/>
      <c r="AN829" s="94"/>
      <c r="AO829" s="94"/>
      <c r="AP829" s="94"/>
      <c r="AQ829" s="94"/>
      <c r="AR829" s="94"/>
      <c r="AS829" s="94"/>
      <c r="AT829" s="94"/>
      <c r="AU829" s="94"/>
      <c r="AV829" s="94"/>
      <c r="AW829" s="94"/>
      <c r="AX829" s="94"/>
      <c r="AY829" s="94"/>
      <c r="BA829" s="95"/>
    </row>
    <row r="830" spans="1:53" s="87" customFormat="1">
      <c r="A830" s="90" t="str">
        <f t="shared" si="60"/>
        <v/>
      </c>
      <c r="B830" s="98">
        <v>9</v>
      </c>
      <c r="C830" s="94">
        <v>-1</v>
      </c>
      <c r="D830" s="94" t="s">
        <v>210</v>
      </c>
      <c r="E830" s="94">
        <v>3</v>
      </c>
      <c r="F830" s="94">
        <v>-5</v>
      </c>
      <c r="G830" s="94">
        <v>-2</v>
      </c>
      <c r="H830" s="94">
        <v>4</v>
      </c>
      <c r="I830" s="94" t="s">
        <v>210</v>
      </c>
      <c r="J830" s="94">
        <v>-3</v>
      </c>
      <c r="K830" s="94">
        <v>1</v>
      </c>
      <c r="L830" s="94">
        <v>-4</v>
      </c>
      <c r="M830" s="94">
        <v>2</v>
      </c>
      <c r="N830" s="94">
        <v>5</v>
      </c>
      <c r="O830" s="94">
        <v>2</v>
      </c>
      <c r="P830" s="94" t="s">
        <v>210</v>
      </c>
      <c r="Q830" s="94"/>
      <c r="R830" s="94"/>
      <c r="S830" s="94"/>
      <c r="T830" s="94"/>
      <c r="U830" s="94"/>
      <c r="V830" s="94"/>
      <c r="W830" s="94"/>
      <c r="X830" s="94"/>
      <c r="Y830" s="94"/>
      <c r="Z830" s="94"/>
      <c r="AA830" s="94"/>
      <c r="AB830" s="94"/>
      <c r="AC830" s="94"/>
      <c r="AD830" s="94"/>
      <c r="AE830" s="94"/>
      <c r="AF830" s="94"/>
      <c r="AG830" s="94"/>
      <c r="AH830" s="94"/>
      <c r="AI830" s="94"/>
      <c r="AJ830" s="94"/>
      <c r="AK830" s="94"/>
      <c r="AL830" s="94"/>
      <c r="AM830" s="94"/>
      <c r="AN830" s="94"/>
      <c r="AO830" s="94"/>
      <c r="AP830" s="94"/>
      <c r="AQ830" s="94"/>
      <c r="AR830" s="94"/>
      <c r="AS830" s="94"/>
      <c r="AT830" s="94"/>
      <c r="AU830" s="94"/>
      <c r="AV830" s="94"/>
      <c r="AW830" s="94"/>
      <c r="AX830" s="94"/>
      <c r="AY830" s="94"/>
      <c r="BA830" s="95"/>
    </row>
    <row r="831" spans="1:53" s="87" customFormat="1">
      <c r="A831" s="90" t="str">
        <f t="shared" si="60"/>
        <v/>
      </c>
      <c r="B831" s="98">
        <v>10</v>
      </c>
      <c r="C831" s="94">
        <v>-3</v>
      </c>
      <c r="D831" s="94">
        <v>-4</v>
      </c>
      <c r="E831" s="94" t="s">
        <v>210</v>
      </c>
      <c r="F831" s="94">
        <v>2</v>
      </c>
      <c r="G831" s="94">
        <v>-5</v>
      </c>
      <c r="H831" s="94">
        <v>1</v>
      </c>
      <c r="I831" s="94">
        <v>3</v>
      </c>
      <c r="J831" s="94">
        <v>-2</v>
      </c>
      <c r="K831" s="94">
        <v>4</v>
      </c>
      <c r="L831" s="94" t="s">
        <v>210</v>
      </c>
      <c r="M831" s="94">
        <v>5</v>
      </c>
      <c r="N831" s="94">
        <v>-1</v>
      </c>
      <c r="O831" s="94">
        <v>-2</v>
      </c>
      <c r="P831" s="94" t="s">
        <v>210</v>
      </c>
      <c r="Q831" s="94"/>
      <c r="R831" s="94"/>
      <c r="S831" s="94"/>
      <c r="T831" s="94"/>
      <c r="U831" s="94"/>
      <c r="V831" s="94"/>
      <c r="W831" s="94"/>
      <c r="X831" s="94"/>
      <c r="Y831" s="94"/>
      <c r="Z831" s="94"/>
      <c r="AA831" s="94"/>
      <c r="AB831" s="94"/>
      <c r="AC831" s="94"/>
      <c r="AD831" s="94"/>
      <c r="AE831" s="94"/>
      <c r="AF831" s="94"/>
      <c r="AG831" s="94"/>
      <c r="AH831" s="94"/>
      <c r="AI831" s="94"/>
      <c r="AJ831" s="94"/>
      <c r="AK831" s="94"/>
      <c r="AL831" s="94"/>
      <c r="AM831" s="94"/>
      <c r="AN831" s="94"/>
      <c r="AO831" s="94"/>
      <c r="AP831" s="94"/>
      <c r="AQ831" s="94"/>
      <c r="AR831" s="94"/>
      <c r="AS831" s="94"/>
      <c r="AT831" s="94"/>
      <c r="AU831" s="94"/>
      <c r="AV831" s="94"/>
      <c r="AW831" s="94"/>
      <c r="AX831" s="94"/>
      <c r="AY831" s="94"/>
      <c r="BA831" s="95"/>
    </row>
    <row r="832" spans="1:53" s="87" customFormat="1">
      <c r="A832" s="90" t="str">
        <f t="shared" si="60"/>
        <v/>
      </c>
      <c r="B832" s="98">
        <v>11</v>
      </c>
      <c r="C832" s="94">
        <v>5</v>
      </c>
      <c r="D832" s="94">
        <v>-3</v>
      </c>
      <c r="E832" s="94">
        <v>4</v>
      </c>
      <c r="F832" s="94">
        <v>-2</v>
      </c>
      <c r="G832" s="94">
        <v>1</v>
      </c>
      <c r="H832" s="94" t="s">
        <v>210</v>
      </c>
      <c r="I832" s="94">
        <v>4</v>
      </c>
      <c r="J832" s="94">
        <v>3</v>
      </c>
      <c r="K832" s="94">
        <v>-5</v>
      </c>
      <c r="L832" s="94">
        <v>-1</v>
      </c>
      <c r="M832" s="94" t="s">
        <v>210</v>
      </c>
      <c r="N832" s="94">
        <v>2</v>
      </c>
      <c r="O832" s="94" t="s">
        <v>210</v>
      </c>
      <c r="P832" s="94">
        <v>-4</v>
      </c>
      <c r="Q832" s="94"/>
      <c r="R832" s="94"/>
      <c r="S832" s="94"/>
      <c r="T832" s="94"/>
      <c r="U832" s="94"/>
      <c r="V832" s="94"/>
      <c r="W832" s="94"/>
      <c r="X832" s="94"/>
      <c r="Y832" s="94"/>
      <c r="Z832" s="94"/>
      <c r="AA832" s="94"/>
      <c r="AB832" s="94"/>
      <c r="AC832" s="94"/>
      <c r="AD832" s="94"/>
      <c r="AE832" s="94"/>
      <c r="AF832" s="94"/>
      <c r="AG832" s="94"/>
      <c r="AH832" s="94"/>
      <c r="AI832" s="94"/>
      <c r="AJ832" s="94"/>
      <c r="AK832" s="94"/>
      <c r="AL832" s="94"/>
      <c r="AM832" s="94"/>
      <c r="AN832" s="94"/>
      <c r="AO832" s="94"/>
      <c r="AP832" s="94"/>
      <c r="AQ832" s="94"/>
      <c r="AR832" s="94"/>
      <c r="AS832" s="94"/>
      <c r="AT832" s="94"/>
      <c r="AU832" s="94"/>
      <c r="AV832" s="94"/>
      <c r="AW832" s="94"/>
      <c r="AX832" s="94"/>
      <c r="AY832" s="94"/>
      <c r="BA832" s="95"/>
    </row>
    <row r="833" spans="1:53" s="87" customFormat="1">
      <c r="A833" s="90" t="str">
        <f t="shared" si="60"/>
        <v/>
      </c>
      <c r="B833" s="98">
        <v>12</v>
      </c>
      <c r="C833" s="94">
        <v>4</v>
      </c>
      <c r="D833" s="94">
        <v>-1</v>
      </c>
      <c r="E833" s="94">
        <v>5</v>
      </c>
      <c r="F833" s="94">
        <v>3</v>
      </c>
      <c r="G833" s="94" t="s">
        <v>210</v>
      </c>
      <c r="H833" s="94">
        <v>2</v>
      </c>
      <c r="I833" s="94">
        <v>1</v>
      </c>
      <c r="J833" s="94">
        <v>-5</v>
      </c>
      <c r="K833" s="94">
        <v>-4</v>
      </c>
      <c r="L833" s="94" t="s">
        <v>210</v>
      </c>
      <c r="M833" s="94">
        <v>-2</v>
      </c>
      <c r="N833" s="94">
        <v>-3</v>
      </c>
      <c r="O833" s="94" t="s">
        <v>210</v>
      </c>
      <c r="P833" s="94">
        <v>4</v>
      </c>
      <c r="Q833" s="94"/>
      <c r="R833" s="94"/>
      <c r="S833" s="94"/>
      <c r="T833" s="94"/>
      <c r="U833" s="94"/>
      <c r="V833" s="94"/>
      <c r="W833" s="94"/>
      <c r="X833" s="94"/>
      <c r="Y833" s="94"/>
      <c r="Z833" s="94"/>
      <c r="AA833" s="94"/>
      <c r="AB833" s="94"/>
      <c r="AC833" s="94"/>
      <c r="AD833" s="94"/>
      <c r="AE833" s="94"/>
      <c r="AF833" s="94"/>
      <c r="AG833" s="94"/>
      <c r="AH833" s="94"/>
      <c r="AI833" s="94"/>
      <c r="AJ833" s="94"/>
      <c r="AK833" s="94"/>
      <c r="AL833" s="94"/>
      <c r="AM833" s="94"/>
      <c r="AN833" s="94"/>
      <c r="AO833" s="94"/>
      <c r="AP833" s="94"/>
      <c r="AQ833" s="94"/>
      <c r="AR833" s="94"/>
      <c r="AS833" s="94"/>
      <c r="AT833" s="94"/>
      <c r="AU833" s="94"/>
      <c r="AV833" s="94"/>
      <c r="AW833" s="94"/>
      <c r="AX833" s="94"/>
      <c r="AY833" s="94"/>
      <c r="BA833" s="95"/>
    </row>
    <row r="834" spans="1:53" s="87" customFormat="1">
      <c r="A834" s="90" t="str">
        <f t="shared" si="60"/>
        <v/>
      </c>
      <c r="B834" s="317" t="s">
        <v>897</v>
      </c>
      <c r="C834" s="94"/>
      <c r="D834" s="94"/>
      <c r="E834" s="94"/>
      <c r="F834" s="94"/>
      <c r="G834" s="94"/>
      <c r="H834" s="94"/>
      <c r="I834" s="94"/>
      <c r="J834" s="94"/>
      <c r="K834" s="94"/>
      <c r="L834" s="94"/>
      <c r="M834" s="94"/>
      <c r="N834" s="94"/>
      <c r="O834" s="94"/>
      <c r="P834" s="94"/>
      <c r="Q834" s="94"/>
      <c r="R834" s="94"/>
      <c r="S834" s="94"/>
      <c r="T834" s="94"/>
      <c r="U834" s="94"/>
      <c r="V834" s="94"/>
      <c r="W834" s="94"/>
      <c r="X834" s="94"/>
      <c r="Y834" s="94"/>
      <c r="Z834" s="94"/>
      <c r="AA834" s="94"/>
      <c r="AB834" s="94"/>
      <c r="AC834" s="94"/>
      <c r="AD834" s="94"/>
      <c r="AE834" s="94"/>
      <c r="AF834" s="94"/>
      <c r="AG834" s="94"/>
      <c r="AH834" s="94"/>
      <c r="AI834" s="94"/>
      <c r="AJ834" s="94"/>
      <c r="AK834" s="94"/>
      <c r="AL834" s="94"/>
      <c r="AM834" s="94"/>
      <c r="AN834" s="94"/>
      <c r="AO834" s="94"/>
      <c r="AP834" s="94"/>
      <c r="AQ834" s="94"/>
      <c r="AR834" s="94"/>
      <c r="AS834" s="94"/>
      <c r="AT834" s="94"/>
      <c r="AU834" s="94"/>
      <c r="AV834" s="94"/>
      <c r="AW834" s="94"/>
      <c r="AX834" s="94"/>
      <c r="AY834" s="94"/>
      <c r="BA834" s="95"/>
    </row>
    <row r="835" spans="1:53" s="87" customFormat="1">
      <c r="A835" s="90">
        <f t="shared" si="60"/>
        <v>835</v>
      </c>
      <c r="B835" s="317" t="s">
        <v>1118</v>
      </c>
      <c r="C835" s="94"/>
      <c r="D835" s="94"/>
      <c r="E835" s="94"/>
      <c r="F835" s="94"/>
      <c r="G835" s="94"/>
      <c r="H835" s="94"/>
      <c r="I835" s="94"/>
      <c r="J835" s="94"/>
      <c r="K835" s="94"/>
      <c r="L835" s="94"/>
      <c r="M835" s="94"/>
      <c r="N835" s="94"/>
      <c r="O835" s="94"/>
      <c r="P835" s="94"/>
      <c r="Q835" s="94"/>
      <c r="R835" s="94"/>
      <c r="S835" s="94"/>
      <c r="T835" s="94"/>
      <c r="U835" s="94"/>
      <c r="V835" s="94"/>
      <c r="W835" s="94"/>
      <c r="X835" s="94"/>
      <c r="Y835" s="94"/>
      <c r="Z835" s="94"/>
      <c r="AA835" s="94"/>
      <c r="AB835" s="94"/>
      <c r="AC835" s="94"/>
      <c r="AD835" s="94"/>
      <c r="AE835" s="94"/>
      <c r="AF835" s="94"/>
      <c r="AG835" s="94"/>
      <c r="AH835" s="94"/>
      <c r="AI835" s="94"/>
      <c r="AJ835" s="94"/>
      <c r="AK835" s="94"/>
      <c r="AL835" s="94"/>
      <c r="AM835" s="94"/>
      <c r="AN835" s="94"/>
      <c r="AO835" s="94"/>
      <c r="AP835" s="94"/>
      <c r="AQ835" s="94"/>
      <c r="AR835" s="94"/>
      <c r="AS835" s="94"/>
      <c r="AT835" s="94"/>
      <c r="AU835" s="94"/>
      <c r="AV835" s="94"/>
      <c r="AW835" s="94"/>
      <c r="AX835" s="94"/>
      <c r="AY835" s="94"/>
      <c r="BA835" s="95"/>
    </row>
    <row r="836" spans="1:53" s="87" customFormat="1">
      <c r="A836" s="90" t="str">
        <f t="shared" si="60"/>
        <v/>
      </c>
      <c r="B836" s="98">
        <v>1</v>
      </c>
      <c r="C836" s="94">
        <v>5</v>
      </c>
      <c r="D836" s="94" t="s">
        <v>210</v>
      </c>
      <c r="E836" s="94" t="s">
        <v>210</v>
      </c>
      <c r="F836" s="94">
        <v>-2</v>
      </c>
      <c r="G836" s="94">
        <v>-1</v>
      </c>
      <c r="H836" s="94" t="s">
        <v>210</v>
      </c>
      <c r="I836" s="94" t="s">
        <v>210</v>
      </c>
      <c r="J836" s="94">
        <v>4</v>
      </c>
      <c r="K836" s="94">
        <v>3</v>
      </c>
      <c r="L836" s="94" t="s">
        <v>210</v>
      </c>
      <c r="M836" s="94"/>
      <c r="N836" s="94"/>
      <c r="O836" s="94"/>
      <c r="P836" s="94"/>
      <c r="Q836" s="94"/>
      <c r="R836" s="94"/>
      <c r="S836" s="94"/>
      <c r="T836" s="94"/>
      <c r="U836" s="94"/>
      <c r="V836" s="94"/>
      <c r="W836" s="94"/>
      <c r="X836" s="94"/>
      <c r="Y836" s="94"/>
      <c r="Z836" s="94"/>
      <c r="AA836" s="94"/>
      <c r="AB836" s="94"/>
      <c r="AC836" s="94"/>
      <c r="AD836" s="94"/>
      <c r="AE836" s="94"/>
      <c r="AF836" s="94"/>
      <c r="AG836" s="94"/>
      <c r="AH836" s="94"/>
      <c r="AI836" s="94"/>
      <c r="AJ836" s="94"/>
      <c r="AK836" s="94"/>
      <c r="AL836" s="94"/>
      <c r="AM836" s="94"/>
      <c r="AN836" s="94"/>
      <c r="AO836" s="94"/>
      <c r="AP836" s="94"/>
      <c r="AQ836" s="94"/>
      <c r="AR836" s="94"/>
      <c r="AS836" s="94"/>
      <c r="AT836" s="94"/>
      <c r="AU836" s="94"/>
      <c r="AV836" s="94"/>
      <c r="AW836" s="94"/>
      <c r="AX836" s="94"/>
      <c r="AY836" s="94"/>
      <c r="BA836" s="95"/>
    </row>
    <row r="837" spans="1:53" s="87" customFormat="1">
      <c r="A837" s="90" t="str">
        <f t="shared" si="60"/>
        <v/>
      </c>
      <c r="B837" s="98">
        <v>2</v>
      </c>
      <c r="C837" s="94">
        <v>3</v>
      </c>
      <c r="D837" s="94" t="s">
        <v>210</v>
      </c>
      <c r="E837" s="94" t="s">
        <v>210</v>
      </c>
      <c r="F837" s="94">
        <v>-5</v>
      </c>
      <c r="G837" s="94">
        <v>2</v>
      </c>
      <c r="H837" s="94" t="s">
        <v>210</v>
      </c>
      <c r="I837" s="94" t="s">
        <v>210</v>
      </c>
      <c r="J837" s="94">
        <v>1</v>
      </c>
      <c r="K837" s="94">
        <v>-3</v>
      </c>
      <c r="L837" s="94" t="s">
        <v>210</v>
      </c>
      <c r="M837" s="94"/>
      <c r="N837" s="94"/>
      <c r="O837" s="94"/>
      <c r="P837" s="94"/>
      <c r="Q837" s="94"/>
      <c r="R837" s="94"/>
      <c r="S837" s="94"/>
      <c r="T837" s="94"/>
      <c r="U837" s="94"/>
      <c r="V837" s="94"/>
      <c r="W837" s="94"/>
      <c r="X837" s="94"/>
      <c r="Y837" s="94"/>
      <c r="Z837" s="94"/>
      <c r="AA837" s="94"/>
      <c r="AB837" s="94"/>
      <c r="AC837" s="94"/>
      <c r="AD837" s="94"/>
      <c r="AE837" s="94"/>
      <c r="AF837" s="94"/>
      <c r="AG837" s="94"/>
      <c r="AH837" s="94"/>
      <c r="AI837" s="94"/>
      <c r="AJ837" s="94"/>
      <c r="AK837" s="94"/>
      <c r="AL837" s="94"/>
      <c r="AM837" s="94"/>
      <c r="AN837" s="94"/>
      <c r="AO837" s="94"/>
      <c r="AP837" s="94"/>
      <c r="AQ837" s="94"/>
      <c r="AR837" s="94"/>
      <c r="AS837" s="94"/>
      <c r="AT837" s="94"/>
      <c r="AU837" s="94"/>
      <c r="AV837" s="94"/>
      <c r="AW837" s="94"/>
      <c r="AX837" s="94"/>
      <c r="AY837" s="94"/>
      <c r="BA837" s="95"/>
    </row>
    <row r="838" spans="1:53" s="87" customFormat="1">
      <c r="A838" s="90" t="str">
        <f t="shared" si="60"/>
        <v/>
      </c>
      <c r="B838" s="98">
        <v>3</v>
      </c>
      <c r="C838" s="94">
        <v>-2</v>
      </c>
      <c r="D838" s="94" t="s">
        <v>210</v>
      </c>
      <c r="E838" s="94" t="s">
        <v>210</v>
      </c>
      <c r="F838" s="94">
        <v>5</v>
      </c>
      <c r="G838" s="94">
        <v>-3</v>
      </c>
      <c r="H838" s="94" t="s">
        <v>210</v>
      </c>
      <c r="I838" s="94" t="s">
        <v>210</v>
      </c>
      <c r="J838" s="94">
        <v>-4</v>
      </c>
      <c r="K838" s="94">
        <v>1</v>
      </c>
      <c r="L838" s="94" t="s">
        <v>210</v>
      </c>
      <c r="M838" s="94"/>
      <c r="N838" s="94"/>
      <c r="O838" s="94"/>
      <c r="P838" s="94"/>
      <c r="Q838" s="94"/>
      <c r="R838" s="94"/>
      <c r="S838" s="94"/>
      <c r="T838" s="94"/>
      <c r="U838" s="94"/>
      <c r="V838" s="94"/>
      <c r="W838" s="94"/>
      <c r="X838" s="94"/>
      <c r="Y838" s="94"/>
      <c r="Z838" s="94"/>
      <c r="AA838" s="94"/>
      <c r="AB838" s="94"/>
      <c r="AC838" s="94"/>
      <c r="AD838" s="94"/>
      <c r="AE838" s="94"/>
      <c r="AF838" s="94"/>
      <c r="AG838" s="94"/>
      <c r="AH838" s="94"/>
      <c r="AI838" s="94"/>
      <c r="AJ838" s="94"/>
      <c r="AK838" s="94"/>
      <c r="AL838" s="94"/>
      <c r="AM838" s="94"/>
      <c r="AN838" s="94"/>
      <c r="AO838" s="94"/>
      <c r="AP838" s="94"/>
      <c r="AQ838" s="94"/>
      <c r="AR838" s="94"/>
      <c r="AS838" s="94"/>
      <c r="AT838" s="94"/>
      <c r="AU838" s="94"/>
      <c r="AV838" s="94"/>
      <c r="AW838" s="94"/>
      <c r="AX838" s="94"/>
      <c r="AY838" s="94"/>
      <c r="BA838" s="95"/>
    </row>
    <row r="839" spans="1:53" s="87" customFormat="1">
      <c r="A839" s="90" t="str">
        <f t="shared" si="60"/>
        <v/>
      </c>
      <c r="B839" s="98">
        <v>4</v>
      </c>
      <c r="C839" s="94">
        <v>-3</v>
      </c>
      <c r="D839" s="94" t="s">
        <v>210</v>
      </c>
      <c r="E839" s="94" t="s">
        <v>210</v>
      </c>
      <c r="F839" s="94">
        <v>4</v>
      </c>
      <c r="G839" s="94">
        <v>1</v>
      </c>
      <c r="H839" s="94" t="s">
        <v>210</v>
      </c>
      <c r="I839" s="94" t="s">
        <v>210</v>
      </c>
      <c r="J839" s="94">
        <v>-2</v>
      </c>
      <c r="K839" s="94">
        <v>-1</v>
      </c>
      <c r="L839" s="94" t="s">
        <v>210</v>
      </c>
      <c r="M839" s="94"/>
      <c r="N839" s="94"/>
      <c r="O839" s="94"/>
      <c r="P839" s="94"/>
      <c r="Q839" s="94"/>
      <c r="R839" s="94"/>
      <c r="S839" s="94"/>
      <c r="T839" s="94"/>
      <c r="U839" s="94"/>
      <c r="V839" s="94"/>
      <c r="W839" s="94"/>
      <c r="X839" s="94"/>
      <c r="Y839" s="94"/>
      <c r="Z839" s="94"/>
      <c r="AA839" s="94"/>
      <c r="AB839" s="94"/>
      <c r="AC839" s="94"/>
      <c r="AD839" s="94"/>
      <c r="AE839" s="94"/>
      <c r="AF839" s="94"/>
      <c r="AG839" s="94"/>
      <c r="AH839" s="94"/>
      <c r="AI839" s="94"/>
      <c r="AJ839" s="94"/>
      <c r="AK839" s="94"/>
      <c r="AL839" s="94"/>
      <c r="AM839" s="94"/>
      <c r="AN839" s="94"/>
      <c r="AO839" s="94"/>
      <c r="AP839" s="94"/>
      <c r="AQ839" s="94"/>
      <c r="AR839" s="94"/>
      <c r="AS839" s="94"/>
      <c r="AT839" s="94"/>
      <c r="AU839" s="94"/>
      <c r="AV839" s="94"/>
      <c r="AW839" s="94"/>
      <c r="AX839" s="94"/>
      <c r="AY839" s="94"/>
      <c r="BA839" s="95"/>
    </row>
    <row r="840" spans="1:53" s="87" customFormat="1">
      <c r="A840" s="90" t="str">
        <f t="shared" si="60"/>
        <v/>
      </c>
      <c r="B840" s="99">
        <v>5</v>
      </c>
      <c r="C840" s="92">
        <v>-5</v>
      </c>
      <c r="D840" s="92" t="s">
        <v>210</v>
      </c>
      <c r="E840" s="92" t="s">
        <v>210</v>
      </c>
      <c r="F840" s="92">
        <v>-4</v>
      </c>
      <c r="G840" s="92">
        <v>3</v>
      </c>
      <c r="H840" s="92" t="s">
        <v>210</v>
      </c>
      <c r="I840" s="92" t="s">
        <v>210</v>
      </c>
      <c r="J840" s="92">
        <v>-1</v>
      </c>
      <c r="K840" s="92">
        <v>2</v>
      </c>
      <c r="L840" s="92" t="s">
        <v>210</v>
      </c>
      <c r="M840" s="94"/>
      <c r="N840" s="94"/>
      <c r="O840" s="94"/>
      <c r="P840" s="94"/>
      <c r="Q840" s="94"/>
      <c r="R840" s="94"/>
      <c r="S840" s="94"/>
      <c r="T840" s="94"/>
      <c r="U840" s="94"/>
      <c r="V840" s="94"/>
      <c r="W840" s="94"/>
      <c r="X840" s="94"/>
      <c r="Y840" s="94"/>
      <c r="Z840" s="94"/>
      <c r="AA840" s="94"/>
      <c r="AB840" s="94"/>
      <c r="AC840" s="94"/>
      <c r="AD840" s="94"/>
      <c r="AE840" s="94"/>
      <c r="AF840" s="94"/>
      <c r="AG840" s="94"/>
      <c r="AH840" s="94"/>
      <c r="AI840" s="94"/>
      <c r="AJ840" s="94"/>
      <c r="AK840" s="94"/>
      <c r="AL840" s="94"/>
      <c r="AM840" s="94"/>
      <c r="AN840" s="94"/>
      <c r="AO840" s="94"/>
      <c r="AP840" s="94"/>
      <c r="AQ840" s="94"/>
      <c r="AR840" s="94"/>
      <c r="AS840" s="94"/>
      <c r="AT840" s="94"/>
      <c r="AU840" s="94"/>
      <c r="AV840" s="94"/>
      <c r="AW840" s="94"/>
      <c r="AX840" s="94"/>
      <c r="AY840" s="94"/>
      <c r="BA840" s="95"/>
    </row>
    <row r="841" spans="1:53" s="87" customFormat="1">
      <c r="A841" s="90" t="str">
        <f t="shared" si="60"/>
        <v/>
      </c>
      <c r="B841" s="98">
        <v>6</v>
      </c>
      <c r="C841" s="94">
        <v>1</v>
      </c>
      <c r="D841" s="94" t="s">
        <v>210</v>
      </c>
      <c r="E841" s="94" t="s">
        <v>210</v>
      </c>
      <c r="F841" s="94">
        <v>2</v>
      </c>
      <c r="G841" s="94">
        <v>-5</v>
      </c>
      <c r="H841" s="94" t="s">
        <v>210</v>
      </c>
      <c r="I841" s="94" t="s">
        <v>210</v>
      </c>
      <c r="J841" s="94">
        <v>-3</v>
      </c>
      <c r="K841" s="94">
        <v>4</v>
      </c>
      <c r="L841" s="94" t="s">
        <v>210</v>
      </c>
      <c r="M841" s="94"/>
      <c r="N841" s="94"/>
      <c r="O841" s="94"/>
      <c r="P841" s="94"/>
      <c r="Q841" s="94"/>
      <c r="R841" s="94"/>
      <c r="S841" s="94"/>
      <c r="T841" s="94"/>
      <c r="U841" s="94"/>
      <c r="V841" s="94"/>
      <c r="W841" s="94"/>
      <c r="X841" s="94"/>
      <c r="Y841" s="94"/>
      <c r="Z841" s="94"/>
      <c r="AA841" s="94"/>
      <c r="AB841" s="94"/>
      <c r="AC841" s="94"/>
      <c r="AD841" s="94"/>
      <c r="AE841" s="94"/>
      <c r="AF841" s="94"/>
      <c r="AG841" s="94"/>
      <c r="AH841" s="94"/>
      <c r="AI841" s="94"/>
      <c r="AJ841" s="94"/>
      <c r="AK841" s="94"/>
      <c r="AL841" s="94"/>
      <c r="AM841" s="94"/>
      <c r="AN841" s="94"/>
      <c r="AO841" s="94"/>
      <c r="AP841" s="94"/>
      <c r="AQ841" s="94"/>
      <c r="AR841" s="94"/>
      <c r="AS841" s="94"/>
      <c r="AT841" s="94"/>
      <c r="AU841" s="94"/>
      <c r="AV841" s="94"/>
      <c r="AW841" s="94"/>
      <c r="AX841" s="94"/>
      <c r="AY841" s="94"/>
      <c r="BA841" s="95"/>
    </row>
    <row r="842" spans="1:53" s="87" customFormat="1">
      <c r="A842" s="90" t="str">
        <f t="shared" si="60"/>
        <v/>
      </c>
      <c r="B842" s="98">
        <v>7</v>
      </c>
      <c r="C842" s="94">
        <v>4</v>
      </c>
      <c r="D842" s="94" t="s">
        <v>210</v>
      </c>
      <c r="E842" s="94" t="s">
        <v>210</v>
      </c>
      <c r="F842" s="94">
        <v>1</v>
      </c>
      <c r="G842" s="94">
        <v>-2</v>
      </c>
      <c r="H842" s="94" t="s">
        <v>210</v>
      </c>
      <c r="I842" s="94" t="s">
        <v>210</v>
      </c>
      <c r="J842" s="94">
        <v>5</v>
      </c>
      <c r="K842" s="94">
        <v>-4</v>
      </c>
      <c r="L842" s="94" t="s">
        <v>210</v>
      </c>
      <c r="M842" s="94"/>
      <c r="N842" s="94"/>
      <c r="O842" s="94"/>
      <c r="P842" s="94"/>
      <c r="Q842" s="94"/>
      <c r="R842" s="94"/>
      <c r="S842" s="94"/>
      <c r="T842" s="94"/>
      <c r="U842" s="94"/>
      <c r="V842" s="94"/>
      <c r="W842" s="94"/>
      <c r="X842" s="94"/>
      <c r="Y842" s="94"/>
      <c r="Z842" s="94"/>
      <c r="AA842" s="94"/>
      <c r="AB842" s="94"/>
      <c r="AC842" s="94"/>
      <c r="AD842" s="94"/>
      <c r="AE842" s="94"/>
      <c r="AF842" s="94"/>
      <c r="AG842" s="94"/>
      <c r="AH842" s="94"/>
      <c r="AI842" s="94"/>
      <c r="AJ842" s="94"/>
      <c r="AK842" s="94"/>
      <c r="AL842" s="94"/>
      <c r="AM842" s="94"/>
      <c r="AN842" s="94"/>
      <c r="AO842" s="94"/>
      <c r="AP842" s="94"/>
      <c r="AQ842" s="94"/>
      <c r="AR842" s="94"/>
      <c r="AS842" s="94"/>
      <c r="AT842" s="94"/>
      <c r="AU842" s="94"/>
      <c r="AV842" s="94"/>
      <c r="AW842" s="94"/>
      <c r="AX842" s="94"/>
      <c r="AY842" s="94"/>
      <c r="BA842" s="95"/>
    </row>
    <row r="843" spans="1:53" s="87" customFormat="1">
      <c r="A843" s="90" t="str">
        <f t="shared" si="60"/>
        <v/>
      </c>
      <c r="B843" s="98">
        <v>8</v>
      </c>
      <c r="C843" s="94">
        <v>2</v>
      </c>
      <c r="D843" s="94" t="s">
        <v>210</v>
      </c>
      <c r="E843" s="94" t="s">
        <v>210</v>
      </c>
      <c r="F843" s="94">
        <v>-1</v>
      </c>
      <c r="G843" s="94">
        <v>-4</v>
      </c>
      <c r="H843" s="94" t="s">
        <v>210</v>
      </c>
      <c r="I843" s="94" t="s">
        <v>210</v>
      </c>
      <c r="J843" s="94">
        <v>3</v>
      </c>
      <c r="K843" s="94" t="s">
        <v>210</v>
      </c>
      <c r="L843" s="94">
        <v>5</v>
      </c>
      <c r="M843" s="94"/>
      <c r="N843" s="94"/>
      <c r="O843" s="94"/>
      <c r="P843" s="94"/>
      <c r="Q843" s="94"/>
      <c r="R843" s="94"/>
      <c r="S843" s="94"/>
      <c r="T843" s="94"/>
      <c r="U843" s="94"/>
      <c r="V843" s="94"/>
      <c r="W843" s="94"/>
      <c r="X843" s="94"/>
      <c r="Y843" s="94"/>
      <c r="Z843" s="94"/>
      <c r="AA843" s="94"/>
      <c r="AB843" s="94"/>
      <c r="AC843" s="94"/>
      <c r="AD843" s="94"/>
      <c r="AE843" s="94"/>
      <c r="AF843" s="94"/>
      <c r="AG843" s="94"/>
      <c r="AH843" s="94"/>
      <c r="AI843" s="94"/>
      <c r="AJ843" s="94"/>
      <c r="AK843" s="94"/>
      <c r="AL843" s="94"/>
      <c r="AM843" s="94"/>
      <c r="AN843" s="94"/>
      <c r="AO843" s="94"/>
      <c r="AP843" s="94"/>
      <c r="AQ843" s="94"/>
      <c r="AR843" s="94"/>
      <c r="AS843" s="94"/>
      <c r="AT843" s="94"/>
      <c r="AU843" s="94"/>
      <c r="AV843" s="94"/>
      <c r="AW843" s="94"/>
      <c r="AX843" s="94"/>
      <c r="AY843" s="94"/>
      <c r="BA843" s="95"/>
    </row>
    <row r="844" spans="1:53" s="87" customFormat="1">
      <c r="A844" s="90" t="str">
        <f t="shared" ref="A844:A907" si="61">IF(MID(B844,3,2)="05",ROW(),"")</f>
        <v/>
      </c>
      <c r="B844" s="98">
        <v>9</v>
      </c>
      <c r="C844" s="94">
        <v>-4</v>
      </c>
      <c r="D844" s="94" t="s">
        <v>210</v>
      </c>
      <c r="E844" s="94" t="s">
        <v>210</v>
      </c>
      <c r="F844" s="94">
        <v>-3</v>
      </c>
      <c r="G844" s="94">
        <v>5</v>
      </c>
      <c r="H844" s="94" t="s">
        <v>210</v>
      </c>
      <c r="I844" s="94" t="s">
        <v>210</v>
      </c>
      <c r="J844" s="94">
        <v>2</v>
      </c>
      <c r="K844" s="94" t="s">
        <v>210</v>
      </c>
      <c r="L844" s="94">
        <v>-5</v>
      </c>
      <c r="M844" s="94"/>
      <c r="N844" s="94"/>
      <c r="O844" s="94"/>
      <c r="P844" s="94"/>
      <c r="Q844" s="94"/>
      <c r="R844" s="94"/>
      <c r="S844" s="94"/>
      <c r="T844" s="94"/>
      <c r="U844" s="94"/>
      <c r="V844" s="94"/>
      <c r="W844" s="94"/>
      <c r="X844" s="94"/>
      <c r="Y844" s="94"/>
      <c r="Z844" s="94"/>
      <c r="AA844" s="94"/>
      <c r="AB844" s="94"/>
      <c r="AC844" s="94"/>
      <c r="AD844" s="94"/>
      <c r="AE844" s="94"/>
      <c r="AF844" s="94"/>
      <c r="AG844" s="94"/>
      <c r="AH844" s="94"/>
      <c r="AI844" s="94"/>
      <c r="AJ844" s="94"/>
      <c r="AK844" s="94"/>
      <c r="AL844" s="94"/>
      <c r="AM844" s="94"/>
      <c r="AN844" s="94"/>
      <c r="AO844" s="94"/>
      <c r="AP844" s="94"/>
      <c r="AQ844" s="94"/>
      <c r="AR844" s="94"/>
      <c r="AS844" s="94"/>
      <c r="AT844" s="94"/>
      <c r="AU844" s="94"/>
      <c r="AV844" s="94"/>
      <c r="AW844" s="94"/>
      <c r="AX844" s="94"/>
      <c r="AY844" s="94"/>
      <c r="BA844" s="95"/>
    </row>
    <row r="845" spans="1:53" s="87" customFormat="1">
      <c r="A845" s="90" t="str">
        <f t="shared" si="61"/>
        <v/>
      </c>
      <c r="B845" s="99">
        <v>10</v>
      </c>
      <c r="C845" s="92">
        <v>-1</v>
      </c>
      <c r="D845" s="92" t="s">
        <v>210</v>
      </c>
      <c r="E845" s="92" t="s">
        <v>210</v>
      </c>
      <c r="F845" s="92">
        <v>3</v>
      </c>
      <c r="G845" s="92">
        <v>4</v>
      </c>
      <c r="H845" s="92" t="s">
        <v>210</v>
      </c>
      <c r="I845" s="92" t="s">
        <v>210</v>
      </c>
      <c r="J845" s="92">
        <v>-5</v>
      </c>
      <c r="K845" s="92">
        <v>-2</v>
      </c>
      <c r="L845" s="92" t="s">
        <v>210</v>
      </c>
      <c r="M845" s="94"/>
      <c r="N845" s="94"/>
      <c r="O845" s="94"/>
      <c r="P845" s="94"/>
      <c r="Q845" s="94"/>
      <c r="R845" s="94"/>
      <c r="S845" s="94"/>
      <c r="T845" s="94"/>
      <c r="U845" s="94"/>
      <c r="V845" s="94"/>
      <c r="W845" s="94"/>
      <c r="X845" s="94"/>
      <c r="Y845" s="94"/>
      <c r="Z845" s="94"/>
      <c r="AA845" s="94"/>
      <c r="AB845" s="94"/>
      <c r="AC845" s="94"/>
      <c r="AD845" s="94"/>
      <c r="AE845" s="94"/>
      <c r="AF845" s="94"/>
      <c r="AG845" s="94"/>
      <c r="AH845" s="94"/>
      <c r="AI845" s="94"/>
      <c r="AJ845" s="94"/>
      <c r="AK845" s="94"/>
      <c r="AL845" s="94"/>
      <c r="AM845" s="94"/>
      <c r="AN845" s="94"/>
      <c r="AO845" s="94"/>
      <c r="AP845" s="94"/>
      <c r="AQ845" s="94"/>
      <c r="AR845" s="94"/>
      <c r="AS845" s="94"/>
      <c r="AT845" s="94"/>
      <c r="AU845" s="94"/>
      <c r="AV845" s="94"/>
      <c r="AW845" s="94"/>
      <c r="AX845" s="94"/>
      <c r="AY845" s="94"/>
      <c r="BA845" s="95"/>
    </row>
    <row r="846" spans="1:53" s="87" customFormat="1">
      <c r="A846" s="90" t="str">
        <f t="shared" si="61"/>
        <v/>
      </c>
      <c r="B846" s="98">
        <v>11</v>
      </c>
      <c r="C846" s="94" t="s">
        <v>210</v>
      </c>
      <c r="D846" s="94">
        <v>-2</v>
      </c>
      <c r="E846" s="94">
        <v>-4</v>
      </c>
      <c r="F846" s="94" t="s">
        <v>210</v>
      </c>
      <c r="G846" s="94" t="s">
        <v>210</v>
      </c>
      <c r="H846" s="94">
        <v>1</v>
      </c>
      <c r="I846" s="94">
        <v>3</v>
      </c>
      <c r="J846" s="94" t="s">
        <v>210</v>
      </c>
      <c r="K846" s="94" t="s">
        <v>210</v>
      </c>
      <c r="L846" s="94">
        <v>4</v>
      </c>
      <c r="M846" s="94"/>
      <c r="N846" s="94"/>
      <c r="O846" s="94"/>
      <c r="P846" s="94"/>
      <c r="Q846" s="94"/>
      <c r="R846" s="94"/>
      <c r="S846" s="94"/>
      <c r="T846" s="94"/>
      <c r="U846" s="94"/>
      <c r="V846" s="94"/>
      <c r="W846" s="94"/>
      <c r="X846" s="94"/>
      <c r="Y846" s="94"/>
      <c r="Z846" s="94"/>
      <c r="AA846" s="94"/>
      <c r="AB846" s="94"/>
      <c r="AC846" s="94"/>
      <c r="AD846" s="94"/>
      <c r="AE846" s="94"/>
      <c r="AF846" s="94"/>
      <c r="AG846" s="94"/>
      <c r="AH846" s="94"/>
      <c r="AI846" s="94"/>
      <c r="AJ846" s="94"/>
      <c r="AK846" s="94"/>
      <c r="AL846" s="94"/>
      <c r="AM846" s="94"/>
      <c r="AN846" s="94"/>
      <c r="AO846" s="94"/>
      <c r="AP846" s="94"/>
      <c r="AQ846" s="94"/>
      <c r="AR846" s="94"/>
      <c r="AS846" s="94"/>
      <c r="AT846" s="94"/>
      <c r="AU846" s="94"/>
      <c r="AV846" s="94"/>
      <c r="AW846" s="94"/>
      <c r="AX846" s="94"/>
      <c r="AY846" s="94"/>
      <c r="BA846" s="95"/>
    </row>
    <row r="847" spans="1:53" s="87" customFormat="1">
      <c r="A847" s="90" t="str">
        <f t="shared" si="61"/>
        <v/>
      </c>
      <c r="B847" s="98">
        <v>12</v>
      </c>
      <c r="C847" s="94" t="s">
        <v>210</v>
      </c>
      <c r="D847" s="94">
        <v>-3</v>
      </c>
      <c r="E847" s="94">
        <v>-1</v>
      </c>
      <c r="F847" s="94" t="s">
        <v>210</v>
      </c>
      <c r="G847" s="94" t="s">
        <v>210</v>
      </c>
      <c r="H847" s="94">
        <v>4</v>
      </c>
      <c r="I847" s="94">
        <v>2</v>
      </c>
      <c r="J847" s="94" t="s">
        <v>210</v>
      </c>
      <c r="K847" s="94" t="s">
        <v>210</v>
      </c>
      <c r="L847" s="94">
        <v>-4</v>
      </c>
      <c r="M847" s="94"/>
      <c r="N847" s="94"/>
      <c r="O847" s="94"/>
      <c r="P847" s="94"/>
      <c r="Q847" s="94"/>
      <c r="R847" s="94"/>
      <c r="S847" s="94"/>
      <c r="T847" s="94"/>
      <c r="U847" s="94"/>
      <c r="V847" s="94"/>
      <c r="W847" s="94"/>
      <c r="X847" s="94"/>
      <c r="Y847" s="94"/>
      <c r="Z847" s="94"/>
      <c r="AA847" s="94"/>
      <c r="AB847" s="94"/>
      <c r="AC847" s="94"/>
      <c r="AD847" s="94"/>
      <c r="AE847" s="94"/>
      <c r="AF847" s="94"/>
      <c r="AG847" s="94"/>
      <c r="AH847" s="94"/>
      <c r="AI847" s="94"/>
      <c r="AJ847" s="94"/>
      <c r="AK847" s="94"/>
      <c r="AL847" s="94"/>
      <c r="AM847" s="94"/>
      <c r="AN847" s="94"/>
      <c r="AO847" s="94"/>
      <c r="AP847" s="94"/>
      <c r="AQ847" s="94"/>
      <c r="AR847" s="94"/>
      <c r="AS847" s="94"/>
      <c r="AT847" s="94"/>
      <c r="AU847" s="94"/>
      <c r="AV847" s="94"/>
      <c r="AW847" s="94"/>
      <c r="AX847" s="94"/>
      <c r="AY847" s="94"/>
      <c r="BA847" s="95"/>
    </row>
    <row r="848" spans="1:53" s="87" customFormat="1">
      <c r="A848" s="90" t="str">
        <f t="shared" si="61"/>
        <v/>
      </c>
      <c r="B848" s="98">
        <v>13</v>
      </c>
      <c r="C848" s="94" t="s">
        <v>210</v>
      </c>
      <c r="D848" s="94">
        <v>4</v>
      </c>
      <c r="E848" s="94">
        <v>-3</v>
      </c>
      <c r="F848" s="94" t="s">
        <v>210</v>
      </c>
      <c r="G848" s="94" t="s">
        <v>210</v>
      </c>
      <c r="H848" s="94">
        <v>-1</v>
      </c>
      <c r="I848" s="94">
        <v>-2</v>
      </c>
      <c r="J848" s="94" t="s">
        <v>210</v>
      </c>
      <c r="K848" s="94" t="s">
        <v>210</v>
      </c>
      <c r="L848" s="94">
        <v>3</v>
      </c>
      <c r="M848" s="94"/>
      <c r="N848" s="94"/>
      <c r="O848" s="94"/>
      <c r="P848" s="94"/>
      <c r="Q848" s="94"/>
      <c r="R848" s="94"/>
      <c r="S848" s="94"/>
      <c r="T848" s="94"/>
      <c r="U848" s="94"/>
      <c r="V848" s="94"/>
      <c r="W848" s="94"/>
      <c r="X848" s="94"/>
      <c r="Y848" s="94"/>
      <c r="Z848" s="94"/>
      <c r="AA848" s="94"/>
      <c r="AB848" s="94"/>
      <c r="AC848" s="94"/>
      <c r="AD848" s="94"/>
      <c r="AE848" s="94"/>
      <c r="AF848" s="94"/>
      <c r="AG848" s="94"/>
      <c r="AH848" s="94"/>
      <c r="AI848" s="94"/>
      <c r="AJ848" s="94"/>
      <c r="AK848" s="94"/>
      <c r="AL848" s="94"/>
      <c r="AM848" s="94"/>
      <c r="AN848" s="94"/>
      <c r="AO848" s="94"/>
      <c r="AP848" s="94"/>
      <c r="AQ848" s="94"/>
      <c r="AR848" s="94"/>
      <c r="AS848" s="94"/>
      <c r="AT848" s="94"/>
      <c r="AU848" s="94"/>
      <c r="AV848" s="94"/>
      <c r="AW848" s="94"/>
      <c r="AX848" s="94"/>
      <c r="AY848" s="94"/>
      <c r="BA848" s="95"/>
    </row>
    <row r="849" spans="1:53" s="87" customFormat="1">
      <c r="A849" s="90" t="str">
        <f t="shared" si="61"/>
        <v/>
      </c>
      <c r="B849" s="98">
        <v>14</v>
      </c>
      <c r="C849" s="94" t="s">
        <v>210</v>
      </c>
      <c r="D849" s="94">
        <v>3</v>
      </c>
      <c r="E849" s="94">
        <v>4</v>
      </c>
      <c r="F849" s="94" t="s">
        <v>210</v>
      </c>
      <c r="G849" s="94" t="s">
        <v>210</v>
      </c>
      <c r="H849" s="94">
        <v>-2</v>
      </c>
      <c r="I849" s="94">
        <v>1</v>
      </c>
      <c r="J849" s="94" t="s">
        <v>210</v>
      </c>
      <c r="K849" s="94" t="s">
        <v>210</v>
      </c>
      <c r="L849" s="94">
        <v>-3</v>
      </c>
      <c r="M849" s="94"/>
      <c r="N849" s="94"/>
      <c r="O849" s="94"/>
      <c r="P849" s="94"/>
      <c r="Q849" s="94"/>
      <c r="R849" s="94"/>
      <c r="S849" s="94"/>
      <c r="T849" s="94"/>
      <c r="U849" s="94"/>
      <c r="V849" s="94"/>
      <c r="W849" s="94"/>
      <c r="X849" s="94"/>
      <c r="Y849" s="94"/>
      <c r="Z849" s="94"/>
      <c r="AA849" s="94"/>
      <c r="AB849" s="94"/>
      <c r="AC849" s="94"/>
      <c r="AD849" s="94"/>
      <c r="AE849" s="94"/>
      <c r="AF849" s="94"/>
      <c r="AG849" s="94"/>
      <c r="AH849" s="94"/>
      <c r="AI849" s="94"/>
      <c r="AJ849" s="94"/>
      <c r="AK849" s="94"/>
      <c r="AL849" s="94"/>
      <c r="AM849" s="94"/>
      <c r="AN849" s="94"/>
      <c r="AO849" s="94"/>
      <c r="AP849" s="94"/>
      <c r="AQ849" s="94"/>
      <c r="AR849" s="94"/>
      <c r="AS849" s="94"/>
      <c r="AT849" s="94"/>
      <c r="AU849" s="94"/>
      <c r="AV849" s="94"/>
      <c r="AW849" s="94"/>
      <c r="AX849" s="94"/>
      <c r="AY849" s="94"/>
      <c r="BA849" s="95"/>
    </row>
    <row r="850" spans="1:53" s="87" customFormat="1">
      <c r="A850" s="90" t="str">
        <f t="shared" si="61"/>
        <v/>
      </c>
      <c r="B850" s="99">
        <v>15</v>
      </c>
      <c r="C850" s="92" t="s">
        <v>210</v>
      </c>
      <c r="D850" s="92">
        <v>-4</v>
      </c>
      <c r="E850" s="92">
        <v>1</v>
      </c>
      <c r="F850" s="92" t="s">
        <v>210</v>
      </c>
      <c r="G850" s="92" t="s">
        <v>210</v>
      </c>
      <c r="H850" s="92">
        <v>2</v>
      </c>
      <c r="I850" s="92">
        <v>-3</v>
      </c>
      <c r="J850" s="92" t="s">
        <v>210</v>
      </c>
      <c r="K850" s="92" t="s">
        <v>202</v>
      </c>
      <c r="L850" s="92" t="s">
        <v>202</v>
      </c>
      <c r="M850" s="94"/>
      <c r="N850" s="94"/>
      <c r="O850" s="94"/>
      <c r="P850" s="94"/>
      <c r="Q850" s="94"/>
      <c r="R850" s="94"/>
      <c r="S850" s="94"/>
      <c r="T850" s="94"/>
      <c r="U850" s="94"/>
      <c r="V850" s="94"/>
      <c r="W850" s="94"/>
      <c r="X850" s="94"/>
      <c r="Y850" s="94"/>
      <c r="Z850" s="94"/>
      <c r="AA850" s="94"/>
      <c r="AB850" s="94"/>
      <c r="AC850" s="94"/>
      <c r="AD850" s="94"/>
      <c r="AE850" s="94"/>
      <c r="AF850" s="94"/>
      <c r="AG850" s="94"/>
      <c r="AH850" s="94"/>
      <c r="AI850" s="94"/>
      <c r="AJ850" s="94"/>
      <c r="AK850" s="94"/>
      <c r="AL850" s="94"/>
      <c r="AM850" s="94"/>
      <c r="AN850" s="94"/>
      <c r="AO850" s="94"/>
      <c r="AP850" s="94"/>
      <c r="AQ850" s="94"/>
      <c r="AR850" s="94"/>
      <c r="AS850" s="94"/>
      <c r="AT850" s="94"/>
      <c r="AU850" s="94"/>
      <c r="AV850" s="94"/>
      <c r="AW850" s="94"/>
      <c r="AX850" s="94"/>
      <c r="AY850" s="94"/>
      <c r="BA850" s="95"/>
    </row>
    <row r="851" spans="1:53" s="87" customFormat="1">
      <c r="A851" s="90" t="str">
        <f t="shared" si="61"/>
        <v/>
      </c>
      <c r="B851" s="98">
        <v>16</v>
      </c>
      <c r="C851" s="94" t="s">
        <v>210</v>
      </c>
      <c r="D851" s="94">
        <v>2</v>
      </c>
      <c r="E851" s="94" t="s">
        <v>202</v>
      </c>
      <c r="F851" s="94" t="s">
        <v>202</v>
      </c>
      <c r="G851" s="94" t="s">
        <v>210</v>
      </c>
      <c r="H851" s="94">
        <v>-3</v>
      </c>
      <c r="I851" s="94">
        <v>4</v>
      </c>
      <c r="J851" s="94" t="s">
        <v>210</v>
      </c>
      <c r="K851" s="94">
        <v>-5</v>
      </c>
      <c r="L851" s="94" t="s">
        <v>210</v>
      </c>
      <c r="M851" s="94"/>
      <c r="N851" s="94"/>
      <c r="O851" s="94"/>
      <c r="P851" s="94"/>
      <c r="Q851" s="94"/>
      <c r="R851" s="94"/>
      <c r="S851" s="94"/>
      <c r="T851" s="94"/>
      <c r="U851" s="94"/>
      <c r="V851" s="94"/>
      <c r="W851" s="94"/>
      <c r="X851" s="94"/>
      <c r="Y851" s="94"/>
      <c r="Z851" s="94"/>
      <c r="AA851" s="94"/>
      <c r="AB851" s="94"/>
      <c r="AC851" s="94"/>
      <c r="AD851" s="94"/>
      <c r="AE851" s="94"/>
      <c r="AF851" s="94"/>
      <c r="AG851" s="94"/>
      <c r="AH851" s="94"/>
      <c r="AI851" s="94"/>
      <c r="AJ851" s="94"/>
      <c r="AK851" s="94"/>
      <c r="AL851" s="94"/>
      <c r="AM851" s="94"/>
      <c r="AN851" s="94"/>
      <c r="AO851" s="94"/>
      <c r="AP851" s="94"/>
      <c r="AQ851" s="94"/>
      <c r="AR851" s="94"/>
      <c r="AS851" s="94"/>
      <c r="AT851" s="94"/>
      <c r="AU851" s="94"/>
      <c r="AV851" s="94"/>
      <c r="AW851" s="94"/>
      <c r="AX851" s="94"/>
      <c r="AY851" s="94"/>
      <c r="BA851" s="95"/>
    </row>
    <row r="852" spans="1:53" s="87" customFormat="1">
      <c r="A852" s="90" t="str">
        <f t="shared" si="61"/>
        <v/>
      </c>
      <c r="B852" s="98">
        <v>17</v>
      </c>
      <c r="C852" s="94" t="s">
        <v>210</v>
      </c>
      <c r="D852" s="94">
        <v>-1</v>
      </c>
      <c r="E852" s="94">
        <v>2</v>
      </c>
      <c r="F852" s="94" t="s">
        <v>210</v>
      </c>
      <c r="G852" s="94" t="s">
        <v>210</v>
      </c>
      <c r="H852" s="94">
        <v>-4</v>
      </c>
      <c r="I852" s="94" t="s">
        <v>202</v>
      </c>
      <c r="J852" s="94" t="s">
        <v>202</v>
      </c>
      <c r="K852" s="94">
        <v>5</v>
      </c>
      <c r="L852" s="94" t="s">
        <v>210</v>
      </c>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BA852" s="95"/>
    </row>
    <row r="853" spans="1:53" s="87" customFormat="1">
      <c r="A853" s="90" t="str">
        <f t="shared" si="61"/>
        <v/>
      </c>
      <c r="B853" s="98">
        <v>18</v>
      </c>
      <c r="C853" s="94" t="s">
        <v>210</v>
      </c>
      <c r="D853" s="94">
        <v>1</v>
      </c>
      <c r="E853" s="94">
        <v>3</v>
      </c>
      <c r="F853" s="94" t="s">
        <v>210</v>
      </c>
      <c r="G853" s="94" t="s">
        <v>202</v>
      </c>
      <c r="H853" s="94" t="s">
        <v>202</v>
      </c>
      <c r="I853" s="94">
        <v>-4</v>
      </c>
      <c r="J853" s="94" t="s">
        <v>210</v>
      </c>
      <c r="K853" s="94" t="s">
        <v>210</v>
      </c>
      <c r="L853" s="94">
        <v>-2</v>
      </c>
      <c r="M853" s="94"/>
      <c r="N853" s="94"/>
      <c r="O853" s="94"/>
      <c r="P853" s="94"/>
      <c r="Q853" s="94"/>
      <c r="R853" s="94"/>
      <c r="S853" s="94"/>
      <c r="T853" s="94"/>
      <c r="U853" s="94"/>
      <c r="V853" s="94"/>
      <c r="W853" s="94"/>
      <c r="X853" s="94"/>
      <c r="Y853" s="94"/>
      <c r="Z853" s="94"/>
      <c r="AA853" s="94"/>
      <c r="AB853" s="94"/>
      <c r="AC853" s="94"/>
      <c r="AD853" s="94"/>
      <c r="AE853" s="94"/>
      <c r="AF853" s="94"/>
      <c r="AG853" s="94"/>
      <c r="AH853" s="94"/>
      <c r="AI853" s="94"/>
      <c r="AJ853" s="94"/>
      <c r="AK853" s="94"/>
      <c r="AL853" s="94"/>
      <c r="AM853" s="94"/>
      <c r="AN853" s="94"/>
      <c r="AO853" s="94"/>
      <c r="AP853" s="94"/>
      <c r="AQ853" s="94"/>
      <c r="AR853" s="94"/>
      <c r="AS853" s="94"/>
      <c r="AT853" s="94"/>
      <c r="AU853" s="94"/>
      <c r="AV853" s="94"/>
      <c r="AW853" s="94"/>
      <c r="AX853" s="94"/>
      <c r="AY853" s="94"/>
      <c r="BA853" s="95"/>
    </row>
    <row r="854" spans="1:53" s="87" customFormat="1">
      <c r="A854" s="90" t="str">
        <f t="shared" si="61"/>
        <v/>
      </c>
      <c r="B854" s="98">
        <v>19</v>
      </c>
      <c r="C854" s="94" t="s">
        <v>202</v>
      </c>
      <c r="D854" s="94" t="s">
        <v>202</v>
      </c>
      <c r="E854" s="94">
        <v>-2</v>
      </c>
      <c r="F854" s="94" t="s">
        <v>210</v>
      </c>
      <c r="G854" s="94" t="s">
        <v>210</v>
      </c>
      <c r="H854" s="94">
        <v>3</v>
      </c>
      <c r="I854" s="94">
        <v>-1</v>
      </c>
      <c r="J854" s="94" t="s">
        <v>210</v>
      </c>
      <c r="K854" s="94" t="s">
        <v>210</v>
      </c>
      <c r="L854" s="94">
        <v>2</v>
      </c>
      <c r="M854" s="94"/>
      <c r="N854" s="94"/>
      <c r="O854" s="94"/>
      <c r="P854" s="94"/>
      <c r="Q854" s="94"/>
      <c r="R854" s="94"/>
      <c r="S854" s="94"/>
      <c r="T854" s="94"/>
      <c r="U854" s="94"/>
      <c r="V854" s="94"/>
      <c r="W854" s="94"/>
      <c r="X854" s="94"/>
      <c r="Y854" s="94"/>
      <c r="Z854" s="94"/>
      <c r="AA854" s="94"/>
      <c r="AB854" s="94"/>
      <c r="AC854" s="94"/>
      <c r="AD854" s="94"/>
      <c r="AE854" s="94"/>
      <c r="AF854" s="94"/>
      <c r="AG854" s="94"/>
      <c r="AH854" s="94"/>
      <c r="AI854" s="94"/>
      <c r="AJ854" s="94"/>
      <c r="AK854" s="94"/>
      <c r="AL854" s="94"/>
      <c r="AM854" s="94"/>
      <c r="AN854" s="94"/>
      <c r="AO854" s="94"/>
      <c r="AP854" s="94"/>
      <c r="AQ854" s="94"/>
      <c r="AR854" s="94"/>
      <c r="AS854" s="94"/>
      <c r="AT854" s="94"/>
      <c r="AU854" s="94"/>
      <c r="AV854" s="94"/>
      <c r="AW854" s="94"/>
      <c r="AX854" s="94"/>
      <c r="AY854" s="94"/>
      <c r="BA854" s="95"/>
    </row>
    <row r="855" spans="1:53" s="87" customFormat="1">
      <c r="A855" s="90" t="str">
        <f t="shared" si="61"/>
        <v/>
      </c>
      <c r="B855" s="317" t="s">
        <v>356</v>
      </c>
      <c r="C855" s="94"/>
      <c r="D855" s="94"/>
      <c r="E855" s="94"/>
      <c r="F855" s="94"/>
      <c r="G855" s="94"/>
      <c r="H855" s="94"/>
      <c r="I855" s="94"/>
      <c r="J855" s="94"/>
      <c r="K855" s="94"/>
      <c r="L855" s="94"/>
      <c r="M855" s="94"/>
      <c r="N855" s="94"/>
      <c r="O855" s="94"/>
      <c r="P855" s="94"/>
      <c r="Q855" s="94"/>
      <c r="R855" s="94"/>
      <c r="S855" s="94"/>
      <c r="T855" s="94"/>
      <c r="U855" s="94"/>
      <c r="V855" s="94"/>
      <c r="W855" s="94"/>
      <c r="X855" s="94"/>
      <c r="Y855" s="94"/>
      <c r="Z855" s="94"/>
      <c r="AA855" s="94"/>
      <c r="AB855" s="94"/>
      <c r="AC855" s="94"/>
      <c r="AD855" s="94"/>
      <c r="AE855" s="94"/>
      <c r="AF855" s="94"/>
      <c r="AG855" s="94"/>
      <c r="AH855" s="94"/>
      <c r="AI855" s="94"/>
      <c r="AJ855" s="94"/>
      <c r="AK855" s="94"/>
      <c r="AL855" s="94"/>
      <c r="AM855" s="94"/>
      <c r="AN855" s="94"/>
      <c r="AO855" s="94"/>
      <c r="AP855" s="94"/>
      <c r="AQ855" s="94"/>
      <c r="AR855" s="94"/>
      <c r="AS855" s="94"/>
      <c r="AT855" s="94"/>
      <c r="AU855" s="94"/>
      <c r="AV855" s="94"/>
      <c r="AW855" s="94"/>
      <c r="AX855" s="94"/>
      <c r="AY855" s="94"/>
      <c r="BA855" s="95"/>
    </row>
    <row r="856" spans="1:53" s="87" customFormat="1">
      <c r="A856" s="90">
        <f t="shared" si="61"/>
        <v>856</v>
      </c>
      <c r="B856" s="317" t="s">
        <v>907</v>
      </c>
      <c r="C856" s="94"/>
      <c r="D856" s="94"/>
      <c r="E856" s="94"/>
      <c r="F856" s="94"/>
      <c r="G856" s="94"/>
      <c r="H856" s="94"/>
      <c r="I856" s="94"/>
      <c r="J856" s="94"/>
      <c r="K856" s="94"/>
      <c r="L856" s="94"/>
      <c r="M856" s="94"/>
      <c r="N856" s="94"/>
      <c r="O856" s="94"/>
      <c r="P856" s="94"/>
      <c r="Q856" s="94"/>
      <c r="R856" s="94"/>
      <c r="S856" s="94"/>
      <c r="T856" s="94"/>
      <c r="U856" s="94"/>
      <c r="V856" s="94"/>
      <c r="W856" s="94"/>
      <c r="X856" s="94"/>
      <c r="Y856" s="94"/>
      <c r="Z856" s="94"/>
      <c r="AA856" s="94"/>
      <c r="AB856" s="94"/>
      <c r="AC856" s="94"/>
      <c r="AD856" s="94"/>
      <c r="AE856" s="94"/>
      <c r="AF856" s="94"/>
      <c r="AG856" s="94"/>
      <c r="AH856" s="94"/>
      <c r="AI856" s="94"/>
      <c r="AJ856" s="94"/>
      <c r="AK856" s="94"/>
      <c r="AL856" s="94"/>
      <c r="AM856" s="94"/>
      <c r="AN856" s="94"/>
      <c r="AO856" s="94"/>
      <c r="AP856" s="94"/>
      <c r="AQ856" s="94"/>
      <c r="AR856" s="94"/>
      <c r="AS856" s="94"/>
      <c r="AT856" s="94"/>
      <c r="AU856" s="94"/>
      <c r="AV856" s="94"/>
      <c r="AW856" s="94"/>
      <c r="AX856" s="94"/>
      <c r="AY856" s="94"/>
      <c r="BA856" s="95"/>
    </row>
    <row r="857" spans="1:53" s="87" customFormat="1">
      <c r="A857" s="90" t="str">
        <f t="shared" si="61"/>
        <v/>
      </c>
      <c r="B857" s="98">
        <v>1</v>
      </c>
      <c r="C857" s="94" t="s">
        <v>210</v>
      </c>
      <c r="D857" s="94">
        <v>-1</v>
      </c>
      <c r="E857" s="94">
        <v>4</v>
      </c>
      <c r="F857" s="94" t="s">
        <v>210</v>
      </c>
      <c r="G857" s="94" t="s">
        <v>210</v>
      </c>
      <c r="H857" s="94">
        <v>5</v>
      </c>
      <c r="I857" s="94">
        <v>-1</v>
      </c>
      <c r="J857" s="94" t="s">
        <v>210</v>
      </c>
      <c r="K857" s="94" t="s">
        <v>210</v>
      </c>
      <c r="L857" s="94">
        <v>-4</v>
      </c>
      <c r="M857" s="94">
        <v>-5</v>
      </c>
      <c r="N857" s="94" t="s">
        <v>210</v>
      </c>
      <c r="O857" s="94" t="s">
        <v>210</v>
      </c>
      <c r="P857" s="94">
        <v>-3</v>
      </c>
      <c r="Q857" s="94">
        <v>-2</v>
      </c>
      <c r="R857" s="94" t="s">
        <v>210</v>
      </c>
      <c r="S857" s="94" t="s">
        <v>202</v>
      </c>
      <c r="T857" s="94" t="s">
        <v>210</v>
      </c>
      <c r="U857" s="94">
        <v>1</v>
      </c>
      <c r="V857" s="94" t="s">
        <v>210</v>
      </c>
      <c r="W857" s="94"/>
      <c r="X857" s="94"/>
      <c r="Y857" s="94"/>
      <c r="Z857" s="94"/>
      <c r="AA857" s="94"/>
      <c r="AB857" s="94"/>
      <c r="AC857" s="94"/>
      <c r="AD857" s="94"/>
      <c r="AE857" s="94"/>
      <c r="AF857" s="94"/>
      <c r="AG857" s="94"/>
      <c r="AH857" s="94"/>
      <c r="AI857" s="94"/>
      <c r="AJ857" s="94"/>
      <c r="AK857" s="94"/>
      <c r="AL857" s="94"/>
      <c r="AM857" s="94"/>
      <c r="AN857" s="94"/>
      <c r="AO857" s="94"/>
      <c r="AP857" s="94"/>
      <c r="AQ857" s="94"/>
      <c r="AR857" s="94"/>
      <c r="AS857" s="94"/>
      <c r="AT857" s="94"/>
      <c r="AU857" s="94"/>
      <c r="AV857" s="94"/>
      <c r="AW857" s="94"/>
      <c r="AX857" s="94"/>
      <c r="AY857" s="94"/>
      <c r="BA857" s="95"/>
    </row>
    <row r="858" spans="1:53" s="87" customFormat="1">
      <c r="A858" s="90" t="str">
        <f t="shared" si="61"/>
        <v/>
      </c>
      <c r="B858" s="98">
        <v>2</v>
      </c>
      <c r="C858" s="94" t="s">
        <v>210</v>
      </c>
      <c r="D858" s="94">
        <v>-2</v>
      </c>
      <c r="E858" s="94" t="s">
        <v>210</v>
      </c>
      <c r="F858" s="94">
        <v>5</v>
      </c>
      <c r="G858" s="94">
        <v>1</v>
      </c>
      <c r="H858" s="94" t="s">
        <v>210</v>
      </c>
      <c r="I858" s="94" t="s">
        <v>210</v>
      </c>
      <c r="J858" s="94">
        <v>2</v>
      </c>
      <c r="K858" s="94">
        <v>4</v>
      </c>
      <c r="L858" s="94" t="s">
        <v>210</v>
      </c>
      <c r="M858" s="94" t="s">
        <v>210</v>
      </c>
      <c r="N858" s="94">
        <v>-1</v>
      </c>
      <c r="O858" s="94">
        <v>3</v>
      </c>
      <c r="P858" s="94" t="s">
        <v>210</v>
      </c>
      <c r="Q858" s="94" t="s">
        <v>210</v>
      </c>
      <c r="R858" s="94">
        <v>-4</v>
      </c>
      <c r="S858" s="94">
        <v>-5</v>
      </c>
      <c r="T858" s="94" t="s">
        <v>210</v>
      </c>
      <c r="U858" s="94" t="s">
        <v>210</v>
      </c>
      <c r="V858" s="94">
        <v>-3</v>
      </c>
      <c r="W858" s="94"/>
      <c r="X858" s="94"/>
      <c r="Y858" s="94"/>
      <c r="Z858" s="94"/>
      <c r="AA858" s="94"/>
      <c r="AB858" s="94"/>
      <c r="AC858" s="94"/>
      <c r="AD858" s="94"/>
      <c r="AE858" s="94"/>
      <c r="AF858" s="94"/>
      <c r="AG858" s="94"/>
      <c r="AH858" s="94"/>
      <c r="AI858" s="94"/>
      <c r="AJ858" s="94"/>
      <c r="AK858" s="94"/>
      <c r="AL858" s="94"/>
      <c r="AM858" s="94"/>
      <c r="AN858" s="94"/>
      <c r="AO858" s="94"/>
      <c r="AP858" s="94"/>
      <c r="AQ858" s="94"/>
      <c r="AR858" s="94"/>
      <c r="AS858" s="94"/>
      <c r="AT858" s="94"/>
      <c r="AU858" s="94"/>
      <c r="AV858" s="94"/>
      <c r="AW858" s="94"/>
      <c r="AX858" s="94"/>
      <c r="AY858" s="94"/>
      <c r="BA858" s="95"/>
    </row>
    <row r="859" spans="1:53" s="87" customFormat="1">
      <c r="A859" s="90" t="str">
        <f t="shared" si="61"/>
        <v/>
      </c>
      <c r="B859" s="98">
        <v>3</v>
      </c>
      <c r="C859" s="94" t="s">
        <v>210</v>
      </c>
      <c r="D859" s="94">
        <v>5</v>
      </c>
      <c r="E859" s="94">
        <v>-2</v>
      </c>
      <c r="F859" s="94" t="s">
        <v>210</v>
      </c>
      <c r="G859" s="94" t="s">
        <v>210</v>
      </c>
      <c r="H859" s="94">
        <v>-4</v>
      </c>
      <c r="I859" s="94">
        <v>-5</v>
      </c>
      <c r="J859" s="94" t="s">
        <v>210</v>
      </c>
      <c r="K859" s="94" t="s">
        <v>210</v>
      </c>
      <c r="L859" s="94">
        <v>-3</v>
      </c>
      <c r="M859" s="94">
        <v>1</v>
      </c>
      <c r="N859" s="94" t="s">
        <v>210</v>
      </c>
      <c r="O859" s="94" t="s">
        <v>202</v>
      </c>
      <c r="P859" s="94" t="s">
        <v>210</v>
      </c>
      <c r="Q859" s="94">
        <v>2</v>
      </c>
      <c r="R859" s="94" t="s">
        <v>210</v>
      </c>
      <c r="S859" s="94" t="s">
        <v>210</v>
      </c>
      <c r="T859" s="94">
        <v>3</v>
      </c>
      <c r="U859" s="94">
        <v>5</v>
      </c>
      <c r="V859" s="94" t="s">
        <v>210</v>
      </c>
      <c r="W859" s="94"/>
      <c r="X859" s="94"/>
      <c r="Y859" s="94"/>
      <c r="Z859" s="94"/>
      <c r="AA859" s="94"/>
      <c r="AB859" s="94"/>
      <c r="AC859" s="94"/>
      <c r="AD859" s="94"/>
      <c r="AE859" s="94"/>
      <c r="AF859" s="94"/>
      <c r="AG859" s="94"/>
      <c r="AH859" s="94"/>
      <c r="AI859" s="94"/>
      <c r="AJ859" s="94"/>
      <c r="AK859" s="94"/>
      <c r="AL859" s="94"/>
      <c r="AM859" s="94"/>
      <c r="AN859" s="94"/>
      <c r="AO859" s="94"/>
      <c r="AP859" s="94"/>
      <c r="AQ859" s="94"/>
      <c r="AR859" s="94"/>
      <c r="AS859" s="94"/>
      <c r="AT859" s="94"/>
      <c r="AU859" s="94"/>
      <c r="AV859" s="94"/>
      <c r="AW859" s="94"/>
      <c r="AX859" s="94"/>
      <c r="AY859" s="94"/>
      <c r="BA859" s="95"/>
    </row>
    <row r="860" spans="1:53" s="87" customFormat="1">
      <c r="A860" s="90" t="str">
        <f t="shared" si="61"/>
        <v/>
      </c>
      <c r="B860" s="98">
        <v>4</v>
      </c>
      <c r="C860" s="94" t="s">
        <v>210</v>
      </c>
      <c r="D860" s="94">
        <v>1</v>
      </c>
      <c r="E860" s="94">
        <v>-3</v>
      </c>
      <c r="F860" s="94" t="s">
        <v>210</v>
      </c>
      <c r="G860" s="94" t="s">
        <v>210</v>
      </c>
      <c r="H860" s="94">
        <v>-2</v>
      </c>
      <c r="I860" s="94" t="s">
        <v>210</v>
      </c>
      <c r="J860" s="94">
        <v>5</v>
      </c>
      <c r="K860" s="94">
        <v>3</v>
      </c>
      <c r="L860" s="94" t="s">
        <v>210</v>
      </c>
      <c r="M860" s="94" t="s">
        <v>210</v>
      </c>
      <c r="N860" s="94">
        <v>2</v>
      </c>
      <c r="O860" s="94">
        <v>4</v>
      </c>
      <c r="P860" s="94" t="s">
        <v>210</v>
      </c>
      <c r="Q860" s="94" t="s">
        <v>210</v>
      </c>
      <c r="R860" s="94">
        <v>-1</v>
      </c>
      <c r="S860" s="94">
        <v>-2</v>
      </c>
      <c r="T860" s="94" t="s">
        <v>210</v>
      </c>
      <c r="U860" s="94" t="s">
        <v>210</v>
      </c>
      <c r="V860" s="94">
        <v>-4</v>
      </c>
      <c r="W860" s="94"/>
      <c r="X860" s="94"/>
      <c r="Y860" s="94"/>
      <c r="Z860" s="94"/>
      <c r="AA860" s="94"/>
      <c r="AB860" s="94"/>
      <c r="AC860" s="94"/>
      <c r="AD860" s="94"/>
      <c r="AE860" s="94"/>
      <c r="AF860" s="94"/>
      <c r="AG860" s="94"/>
      <c r="AH860" s="94"/>
      <c r="AI860" s="94"/>
      <c r="AJ860" s="94"/>
      <c r="AK860" s="94"/>
      <c r="AL860" s="94"/>
      <c r="AM860" s="94"/>
      <c r="AN860" s="94"/>
      <c r="AO860" s="94"/>
      <c r="AP860" s="94"/>
      <c r="AQ860" s="94"/>
      <c r="AR860" s="94"/>
      <c r="AS860" s="94"/>
      <c r="AT860" s="94"/>
      <c r="AU860" s="94"/>
      <c r="AV860" s="94"/>
      <c r="AW860" s="94"/>
      <c r="AX860" s="94"/>
      <c r="AY860" s="94"/>
      <c r="BA860" s="95"/>
    </row>
    <row r="861" spans="1:53" s="87" customFormat="1">
      <c r="A861" s="90" t="str">
        <f t="shared" si="61"/>
        <v/>
      </c>
      <c r="B861" s="98">
        <v>5</v>
      </c>
      <c r="C861" s="94" t="s">
        <v>210</v>
      </c>
      <c r="D861" s="94">
        <v>-4</v>
      </c>
      <c r="E861" s="94">
        <v>-5</v>
      </c>
      <c r="F861" s="94" t="s">
        <v>210</v>
      </c>
      <c r="G861" s="94" t="s">
        <v>210</v>
      </c>
      <c r="H861" s="94">
        <v>-3</v>
      </c>
      <c r="I861" s="94">
        <v>-2</v>
      </c>
      <c r="J861" s="94" t="s">
        <v>210</v>
      </c>
      <c r="K861" s="94" t="s">
        <v>202</v>
      </c>
      <c r="L861" s="94" t="s">
        <v>210</v>
      </c>
      <c r="M861" s="94">
        <v>-1</v>
      </c>
      <c r="N861" s="94" t="s">
        <v>210</v>
      </c>
      <c r="O861" s="94" t="s">
        <v>210</v>
      </c>
      <c r="P861" s="94">
        <v>3</v>
      </c>
      <c r="Q861" s="94">
        <v>5</v>
      </c>
      <c r="R861" s="94" t="s">
        <v>210</v>
      </c>
      <c r="S861" s="94" t="s">
        <v>210</v>
      </c>
      <c r="T861" s="94">
        <v>4</v>
      </c>
      <c r="U861" s="94">
        <v>2</v>
      </c>
      <c r="V861" s="94" t="s">
        <v>210</v>
      </c>
      <c r="W861" s="94"/>
      <c r="X861" s="94"/>
      <c r="Y861" s="94"/>
      <c r="Z861" s="94"/>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c r="AW861" s="94"/>
      <c r="AX861" s="94"/>
      <c r="AY861" s="94"/>
      <c r="BA861" s="95"/>
    </row>
    <row r="862" spans="1:53" s="87" customFormat="1">
      <c r="A862" s="90" t="str">
        <f t="shared" si="61"/>
        <v/>
      </c>
      <c r="B862" s="98">
        <v>6</v>
      </c>
      <c r="C862" s="94" t="s">
        <v>210</v>
      </c>
      <c r="D862" s="94">
        <v>-5</v>
      </c>
      <c r="E862" s="94">
        <v>-4</v>
      </c>
      <c r="F862" s="94" t="s">
        <v>210</v>
      </c>
      <c r="G862" s="94" t="s">
        <v>210</v>
      </c>
      <c r="H862" s="94">
        <v>-1</v>
      </c>
      <c r="I862" s="94">
        <v>-3</v>
      </c>
      <c r="J862" s="94" t="s">
        <v>210</v>
      </c>
      <c r="K862" s="94" t="s">
        <v>210</v>
      </c>
      <c r="L862" s="94">
        <v>-2</v>
      </c>
      <c r="M862" s="94" t="s">
        <v>210</v>
      </c>
      <c r="N862" s="94">
        <v>5</v>
      </c>
      <c r="O862" s="94">
        <v>1</v>
      </c>
      <c r="P862" s="94" t="s">
        <v>210</v>
      </c>
      <c r="Q862" s="94" t="s">
        <v>210</v>
      </c>
      <c r="R862" s="94">
        <v>2</v>
      </c>
      <c r="S862" s="94">
        <v>4</v>
      </c>
      <c r="T862" s="94" t="s">
        <v>210</v>
      </c>
      <c r="U862" s="94" t="s">
        <v>210</v>
      </c>
      <c r="V862" s="94">
        <v>1</v>
      </c>
      <c r="W862" s="94"/>
      <c r="X862" s="94"/>
      <c r="Y862" s="94"/>
      <c r="Z862" s="94"/>
      <c r="AA862" s="94"/>
      <c r="AB862" s="94"/>
      <c r="AC862" s="94"/>
      <c r="AD862" s="94"/>
      <c r="AE862" s="94"/>
      <c r="AF862" s="94"/>
      <c r="AG862" s="94"/>
      <c r="AH862" s="94"/>
      <c r="AI862" s="94"/>
      <c r="AJ862" s="94"/>
      <c r="AK862" s="94"/>
      <c r="AL862" s="94"/>
      <c r="AM862" s="94"/>
      <c r="AN862" s="94"/>
      <c r="AO862" s="94"/>
      <c r="AP862" s="94"/>
      <c r="AQ862" s="94"/>
      <c r="AR862" s="94"/>
      <c r="AS862" s="94"/>
      <c r="AT862" s="94"/>
      <c r="AU862" s="94"/>
      <c r="AV862" s="94"/>
      <c r="AW862" s="94"/>
      <c r="AX862" s="94"/>
      <c r="AY862" s="94"/>
      <c r="BA862" s="95"/>
    </row>
    <row r="863" spans="1:53" s="87" customFormat="1">
      <c r="A863" s="90" t="str">
        <f t="shared" si="61"/>
        <v/>
      </c>
      <c r="B863" s="98">
        <v>7</v>
      </c>
      <c r="C863" s="94" t="s">
        <v>210</v>
      </c>
      <c r="D863" s="94">
        <v>-3</v>
      </c>
      <c r="E863" s="94">
        <v>1</v>
      </c>
      <c r="F863" s="94" t="s">
        <v>210</v>
      </c>
      <c r="G863" s="94" t="s">
        <v>202</v>
      </c>
      <c r="H863" s="94" t="s">
        <v>210</v>
      </c>
      <c r="I863" s="94">
        <v>2</v>
      </c>
      <c r="J863" s="94" t="s">
        <v>210</v>
      </c>
      <c r="K863" s="94" t="s">
        <v>210</v>
      </c>
      <c r="L863" s="94">
        <v>3</v>
      </c>
      <c r="M863" s="94">
        <v>5</v>
      </c>
      <c r="N863" s="94" t="s">
        <v>210</v>
      </c>
      <c r="O863" s="94" t="s">
        <v>210</v>
      </c>
      <c r="P863" s="94">
        <v>4</v>
      </c>
      <c r="Q863" s="94">
        <v>-1</v>
      </c>
      <c r="R863" s="94" t="s">
        <v>210</v>
      </c>
      <c r="S863" s="94" t="s">
        <v>210</v>
      </c>
      <c r="T863" s="94">
        <v>-5</v>
      </c>
      <c r="U863" s="94">
        <v>-4</v>
      </c>
      <c r="V863" s="94" t="s">
        <v>210</v>
      </c>
      <c r="W863" s="94"/>
      <c r="X863" s="94"/>
      <c r="Y863" s="94"/>
      <c r="Z863" s="94"/>
      <c r="AA863" s="94"/>
      <c r="AB863" s="94"/>
      <c r="AC863" s="94"/>
      <c r="AD863" s="94"/>
      <c r="AE863" s="94"/>
      <c r="AF863" s="94"/>
      <c r="AG863" s="94"/>
      <c r="AH863" s="94"/>
      <c r="AI863" s="94"/>
      <c r="AJ863" s="94"/>
      <c r="AK863" s="94"/>
      <c r="AL863" s="94"/>
      <c r="AM863" s="94"/>
      <c r="AN863" s="94"/>
      <c r="AO863" s="94"/>
      <c r="AP863" s="94"/>
      <c r="AQ863" s="94"/>
      <c r="AR863" s="94"/>
      <c r="AS863" s="94"/>
      <c r="AT863" s="94"/>
      <c r="AU863" s="94"/>
      <c r="AV863" s="94"/>
      <c r="AW863" s="94"/>
      <c r="AX863" s="94"/>
      <c r="AY863" s="94"/>
      <c r="BA863" s="95"/>
    </row>
    <row r="864" spans="1:53" s="87" customFormat="1">
      <c r="A864" s="90" t="str">
        <f t="shared" si="61"/>
        <v/>
      </c>
      <c r="B864" s="98">
        <v>8</v>
      </c>
      <c r="C864" s="94" t="s">
        <v>210</v>
      </c>
      <c r="D864" s="94">
        <v>4</v>
      </c>
      <c r="E864" s="94">
        <v>2</v>
      </c>
      <c r="F864" s="94" t="s">
        <v>210</v>
      </c>
      <c r="G864" s="94" t="s">
        <v>210</v>
      </c>
      <c r="H864" s="94">
        <v>-5</v>
      </c>
      <c r="I864" s="94">
        <v>-4</v>
      </c>
      <c r="J864" s="94" t="s">
        <v>210</v>
      </c>
      <c r="K864" s="94" t="s">
        <v>210</v>
      </c>
      <c r="L864" s="94">
        <v>1</v>
      </c>
      <c r="M864" s="94">
        <v>-3</v>
      </c>
      <c r="N864" s="94" t="s">
        <v>210</v>
      </c>
      <c r="O864" s="94" t="s">
        <v>210</v>
      </c>
      <c r="P864" s="94">
        <v>-2</v>
      </c>
      <c r="Q864" s="94" t="s">
        <v>210</v>
      </c>
      <c r="R864" s="94">
        <v>5</v>
      </c>
      <c r="S864" s="94">
        <v>3</v>
      </c>
      <c r="T864" s="94" t="s">
        <v>210</v>
      </c>
      <c r="U864" s="94" t="s">
        <v>210</v>
      </c>
      <c r="V864" s="94">
        <v>2</v>
      </c>
      <c r="W864" s="94"/>
      <c r="X864" s="94"/>
      <c r="Y864" s="94"/>
      <c r="Z864" s="94"/>
      <c r="AA864" s="94"/>
      <c r="AB864" s="94"/>
      <c r="AC864" s="94"/>
      <c r="AD864" s="94"/>
      <c r="AE864" s="94"/>
      <c r="AF864" s="94"/>
      <c r="AG864" s="94"/>
      <c r="AH864" s="94"/>
      <c r="AI864" s="94"/>
      <c r="AJ864" s="94"/>
      <c r="AK864" s="94"/>
      <c r="AL864" s="94"/>
      <c r="AM864" s="94"/>
      <c r="AN864" s="94"/>
      <c r="AO864" s="94"/>
      <c r="AP864" s="94"/>
      <c r="AQ864" s="94"/>
      <c r="AR864" s="94"/>
      <c r="AS864" s="94"/>
      <c r="AT864" s="94"/>
      <c r="AU864" s="94"/>
      <c r="AV864" s="94"/>
      <c r="AW864" s="94"/>
      <c r="AX864" s="94"/>
      <c r="AY864" s="94"/>
      <c r="BA864" s="95"/>
    </row>
    <row r="865" spans="1:53" s="87" customFormat="1">
      <c r="A865" s="90" t="str">
        <f t="shared" si="61"/>
        <v/>
      </c>
      <c r="B865" s="98">
        <v>9</v>
      </c>
      <c r="C865" s="94" t="s">
        <v>202</v>
      </c>
      <c r="D865" s="94" t="s">
        <v>210</v>
      </c>
      <c r="E865" s="94">
        <v>-1</v>
      </c>
      <c r="F865" s="94" t="s">
        <v>210</v>
      </c>
      <c r="G865" s="94" t="s">
        <v>210</v>
      </c>
      <c r="H865" s="94">
        <v>3</v>
      </c>
      <c r="I865" s="94">
        <v>5</v>
      </c>
      <c r="J865" s="94" t="s">
        <v>210</v>
      </c>
      <c r="K865" s="94" t="s">
        <v>210</v>
      </c>
      <c r="L865" s="94">
        <v>4</v>
      </c>
      <c r="M865" s="94">
        <v>2</v>
      </c>
      <c r="N865" s="94" t="s">
        <v>210</v>
      </c>
      <c r="O865" s="94" t="s">
        <v>210</v>
      </c>
      <c r="P865" s="94">
        <v>-5</v>
      </c>
      <c r="Q865" s="94">
        <v>-4</v>
      </c>
      <c r="R865" s="94" t="s">
        <v>210</v>
      </c>
      <c r="S865" s="94" t="s">
        <v>210</v>
      </c>
      <c r="T865" s="94">
        <v>1</v>
      </c>
      <c r="U865" s="94">
        <v>-3</v>
      </c>
      <c r="V865" s="94" t="s">
        <v>210</v>
      </c>
      <c r="W865" s="94"/>
      <c r="X865" s="94"/>
      <c r="Y865" s="94"/>
      <c r="Z865" s="94"/>
      <c r="AA865" s="94"/>
      <c r="AB865" s="94"/>
      <c r="AC865" s="94"/>
      <c r="AD865" s="94"/>
      <c r="AE865" s="94"/>
      <c r="AF865" s="94"/>
      <c r="AG865" s="94"/>
      <c r="AH865" s="94"/>
      <c r="AI865" s="94"/>
      <c r="AJ865" s="94"/>
      <c r="AK865" s="94"/>
      <c r="AL865" s="94"/>
      <c r="AM865" s="94"/>
      <c r="AN865" s="94"/>
      <c r="AO865" s="94"/>
      <c r="AP865" s="94"/>
      <c r="AQ865" s="94"/>
      <c r="AR865" s="94"/>
      <c r="AS865" s="94"/>
      <c r="AT865" s="94"/>
      <c r="AU865" s="94"/>
      <c r="AV865" s="94"/>
      <c r="AW865" s="94"/>
      <c r="AX865" s="94"/>
      <c r="AY865" s="94"/>
      <c r="BA865" s="95"/>
    </row>
    <row r="866" spans="1:53" s="87" customFormat="1">
      <c r="A866" s="90" t="str">
        <f t="shared" si="61"/>
        <v/>
      </c>
      <c r="B866" s="98">
        <v>10</v>
      </c>
      <c r="C866" s="94" t="s">
        <v>210</v>
      </c>
      <c r="D866" s="94">
        <v>3</v>
      </c>
      <c r="E866" s="94">
        <v>5</v>
      </c>
      <c r="F866" s="94" t="s">
        <v>210</v>
      </c>
      <c r="G866" s="94" t="s">
        <v>210</v>
      </c>
      <c r="H866" s="94">
        <v>4</v>
      </c>
      <c r="I866" s="94">
        <v>1</v>
      </c>
      <c r="J866" s="94" t="s">
        <v>210</v>
      </c>
      <c r="K866" s="94" t="s">
        <v>210</v>
      </c>
      <c r="L866" s="94">
        <v>-5</v>
      </c>
      <c r="M866" s="94">
        <v>-4</v>
      </c>
      <c r="N866" s="94" t="s">
        <v>210</v>
      </c>
      <c r="O866" s="94" t="s">
        <v>210</v>
      </c>
      <c r="P866" s="94">
        <v>-1</v>
      </c>
      <c r="Q866" s="94">
        <v>-3</v>
      </c>
      <c r="R866" s="94" t="s">
        <v>210</v>
      </c>
      <c r="S866" s="94" t="s">
        <v>210</v>
      </c>
      <c r="T866" s="94">
        <v>-2</v>
      </c>
      <c r="U866" s="94" t="s">
        <v>210</v>
      </c>
      <c r="V866" s="94">
        <v>5</v>
      </c>
      <c r="W866" s="94"/>
      <c r="X866" s="94"/>
      <c r="Y866" s="94"/>
      <c r="Z866" s="94"/>
      <c r="AA866" s="94"/>
      <c r="AB866" s="94"/>
      <c r="AC866" s="94"/>
      <c r="AD866" s="94"/>
      <c r="AE866" s="94"/>
      <c r="AF866" s="94"/>
      <c r="AG866" s="94"/>
      <c r="AH866" s="94"/>
      <c r="AI866" s="94"/>
      <c r="AJ866" s="94"/>
      <c r="AK866" s="94"/>
      <c r="AL866" s="94"/>
      <c r="AM866" s="94"/>
      <c r="AN866" s="94"/>
      <c r="AO866" s="94"/>
      <c r="AP866" s="94"/>
      <c r="AQ866" s="94"/>
      <c r="AR866" s="94"/>
      <c r="AS866" s="94"/>
      <c r="AT866" s="94"/>
      <c r="AU866" s="94"/>
      <c r="AV866" s="94"/>
      <c r="AW866" s="94"/>
      <c r="AX866" s="94"/>
      <c r="AY866" s="94"/>
      <c r="BA866" s="95"/>
    </row>
    <row r="867" spans="1:53" s="87" customFormat="1">
      <c r="A867" s="90" t="str">
        <f t="shared" si="61"/>
        <v/>
      </c>
      <c r="B867" s="98">
        <v>11</v>
      </c>
      <c r="C867" s="94">
        <v>5</v>
      </c>
      <c r="D867" s="94" t="s">
        <v>210</v>
      </c>
      <c r="E867" s="94" t="s">
        <v>210</v>
      </c>
      <c r="F867" s="94">
        <v>4</v>
      </c>
      <c r="G867" s="94">
        <v>-3</v>
      </c>
      <c r="H867" s="94" t="s">
        <v>210</v>
      </c>
      <c r="I867" s="94" t="s">
        <v>210</v>
      </c>
      <c r="J867" s="94">
        <v>-1</v>
      </c>
      <c r="K867" s="94">
        <v>-4</v>
      </c>
      <c r="L867" s="94" t="s">
        <v>210</v>
      </c>
      <c r="M867" s="94" t="s">
        <v>210</v>
      </c>
      <c r="N867" s="94">
        <v>-2</v>
      </c>
      <c r="O867" s="94">
        <v>-1</v>
      </c>
      <c r="P867" s="94" t="s">
        <v>210</v>
      </c>
      <c r="Q867" s="94" t="s">
        <v>210</v>
      </c>
      <c r="R867" s="94">
        <v>-5</v>
      </c>
      <c r="S867" s="94" t="s">
        <v>210</v>
      </c>
      <c r="T867" s="94">
        <v>2</v>
      </c>
      <c r="U867" s="94">
        <v>3</v>
      </c>
      <c r="V867" s="94" t="s">
        <v>210</v>
      </c>
      <c r="W867" s="94"/>
      <c r="X867" s="94"/>
      <c r="Y867" s="94"/>
      <c r="Z867" s="94"/>
      <c r="AA867" s="94"/>
      <c r="AB867" s="94"/>
      <c r="AC867" s="94"/>
      <c r="AD867" s="94"/>
      <c r="AE867" s="94"/>
      <c r="AF867" s="94"/>
      <c r="AG867" s="94"/>
      <c r="AH867" s="94"/>
      <c r="AI867" s="94"/>
      <c r="AJ867" s="94"/>
      <c r="AK867" s="94"/>
      <c r="AL867" s="94"/>
      <c r="AM867" s="94"/>
      <c r="AN867" s="94"/>
      <c r="AO867" s="94"/>
      <c r="AP867" s="94"/>
      <c r="AQ867" s="94"/>
      <c r="AR867" s="94"/>
      <c r="AS867" s="94"/>
      <c r="AT867" s="94"/>
      <c r="AU867" s="94"/>
      <c r="AV867" s="94"/>
      <c r="AW867" s="94"/>
      <c r="AX867" s="94"/>
      <c r="AY867" s="94"/>
      <c r="BA867" s="95"/>
    </row>
    <row r="868" spans="1:53" s="87" customFormat="1">
      <c r="A868" s="90" t="str">
        <f t="shared" si="61"/>
        <v/>
      </c>
      <c r="B868" s="98">
        <v>12</v>
      </c>
      <c r="C868" s="94">
        <v>1</v>
      </c>
      <c r="D868" s="94" t="s">
        <v>210</v>
      </c>
      <c r="E868" s="94" t="s">
        <v>202</v>
      </c>
      <c r="F868" s="94" t="s">
        <v>210</v>
      </c>
      <c r="G868" s="94">
        <v>2</v>
      </c>
      <c r="H868" s="94" t="s">
        <v>210</v>
      </c>
      <c r="I868" s="94" t="s">
        <v>210</v>
      </c>
      <c r="J868" s="94">
        <v>3</v>
      </c>
      <c r="K868" s="94">
        <v>5</v>
      </c>
      <c r="L868" s="94" t="s">
        <v>210</v>
      </c>
      <c r="M868" s="94" t="s">
        <v>210</v>
      </c>
      <c r="N868" s="94">
        <v>4</v>
      </c>
      <c r="O868" s="94">
        <v>-3</v>
      </c>
      <c r="P868" s="94" t="s">
        <v>210</v>
      </c>
      <c r="Q868" s="94" t="s">
        <v>210</v>
      </c>
      <c r="R868" s="94">
        <v>1</v>
      </c>
      <c r="S868" s="94">
        <v>-4</v>
      </c>
      <c r="T868" s="94" t="s">
        <v>210</v>
      </c>
      <c r="U868" s="94" t="s">
        <v>210</v>
      </c>
      <c r="V868" s="94">
        <v>-2</v>
      </c>
      <c r="W868" s="94"/>
      <c r="X868" s="94"/>
      <c r="Y868" s="94"/>
      <c r="Z868" s="94"/>
      <c r="AA868" s="94"/>
      <c r="AB868" s="94"/>
      <c r="AC868" s="94"/>
      <c r="AD868" s="94"/>
      <c r="AE868" s="94"/>
      <c r="AF868" s="94"/>
      <c r="AG868" s="94"/>
      <c r="AH868" s="94"/>
      <c r="AI868" s="94"/>
      <c r="AJ868" s="94"/>
      <c r="AK868" s="94"/>
      <c r="AL868" s="94"/>
      <c r="AM868" s="94"/>
      <c r="AN868" s="94"/>
      <c r="AO868" s="94"/>
      <c r="AP868" s="94"/>
      <c r="AQ868" s="94"/>
      <c r="AR868" s="94"/>
      <c r="AS868" s="94"/>
      <c r="AT868" s="94"/>
      <c r="AU868" s="94"/>
      <c r="AV868" s="94"/>
      <c r="AW868" s="94"/>
      <c r="AX868" s="94"/>
      <c r="AY868" s="94"/>
      <c r="BA868" s="95"/>
    </row>
    <row r="869" spans="1:53" s="87" customFormat="1">
      <c r="A869" s="90" t="str">
        <f t="shared" si="61"/>
        <v/>
      </c>
      <c r="B869" s="98">
        <v>13</v>
      </c>
      <c r="C869" s="94">
        <v>2</v>
      </c>
      <c r="D869" s="94" t="s">
        <v>210</v>
      </c>
      <c r="E869" s="94" t="s">
        <v>210</v>
      </c>
      <c r="F869" s="94">
        <v>1</v>
      </c>
      <c r="G869" s="94">
        <v>-4</v>
      </c>
      <c r="H869" s="94" t="s">
        <v>210</v>
      </c>
      <c r="I869" s="94" t="s">
        <v>210</v>
      </c>
      <c r="J869" s="94">
        <v>-2</v>
      </c>
      <c r="K869" s="94">
        <v>-3</v>
      </c>
      <c r="L869" s="94" t="s">
        <v>210</v>
      </c>
      <c r="M869" s="94" t="s">
        <v>210</v>
      </c>
      <c r="N869" s="94">
        <v>-5</v>
      </c>
      <c r="O869" s="94" t="s">
        <v>210</v>
      </c>
      <c r="P869" s="94">
        <v>2</v>
      </c>
      <c r="Q869" s="94">
        <v>3</v>
      </c>
      <c r="R869" s="94" t="s">
        <v>210</v>
      </c>
      <c r="S869" s="94" t="s">
        <v>210</v>
      </c>
      <c r="T869" s="94">
        <v>-1</v>
      </c>
      <c r="U869" s="94">
        <v>4</v>
      </c>
      <c r="V869" s="94" t="s">
        <v>210</v>
      </c>
      <c r="W869" s="94"/>
      <c r="X869" s="94"/>
      <c r="Y869" s="94"/>
      <c r="Z869" s="94"/>
      <c r="AA869" s="94"/>
      <c r="AB869" s="94"/>
      <c r="AC869" s="94"/>
      <c r="AD869" s="94"/>
      <c r="AE869" s="94"/>
      <c r="AF869" s="94"/>
      <c r="AG869" s="94"/>
      <c r="AH869" s="94"/>
      <c r="AI869" s="94"/>
      <c r="AJ869" s="94"/>
      <c r="AK869" s="94"/>
      <c r="AL869" s="94"/>
      <c r="AM869" s="94"/>
      <c r="AN869" s="94"/>
      <c r="AO869" s="94"/>
      <c r="AP869" s="94"/>
      <c r="AQ869" s="94"/>
      <c r="AR869" s="94"/>
      <c r="AS869" s="94"/>
      <c r="AT869" s="94"/>
      <c r="AU869" s="94"/>
      <c r="AV869" s="94"/>
      <c r="AW869" s="94"/>
      <c r="AX869" s="94"/>
      <c r="AY869" s="94"/>
      <c r="BA869" s="95"/>
    </row>
    <row r="870" spans="1:53" s="87" customFormat="1">
      <c r="A870" s="90" t="str">
        <f t="shared" si="61"/>
        <v/>
      </c>
      <c r="B870" s="98">
        <v>14</v>
      </c>
      <c r="C870" s="94">
        <v>-5</v>
      </c>
      <c r="D870" s="94" t="s">
        <v>210</v>
      </c>
      <c r="E870" s="94" t="s">
        <v>210</v>
      </c>
      <c r="F870" s="94">
        <v>-3</v>
      </c>
      <c r="G870" s="94">
        <v>-2</v>
      </c>
      <c r="H870" s="94" t="s">
        <v>210</v>
      </c>
      <c r="I870" s="94" t="s">
        <v>202</v>
      </c>
      <c r="J870" s="94" t="s">
        <v>210</v>
      </c>
      <c r="K870" s="94">
        <v>1</v>
      </c>
      <c r="L870" s="94" t="s">
        <v>210</v>
      </c>
      <c r="M870" s="94" t="s">
        <v>210</v>
      </c>
      <c r="N870" s="94">
        <v>3</v>
      </c>
      <c r="O870" s="94">
        <v>5</v>
      </c>
      <c r="P870" s="94" t="s">
        <v>210</v>
      </c>
      <c r="Q870" s="94" t="s">
        <v>210</v>
      </c>
      <c r="R870" s="94">
        <v>4</v>
      </c>
      <c r="S870" s="94">
        <v>2</v>
      </c>
      <c r="T870" s="94" t="s">
        <v>210</v>
      </c>
      <c r="U870" s="94" t="s">
        <v>210</v>
      </c>
      <c r="V870" s="94">
        <v>-1</v>
      </c>
      <c r="W870" s="94"/>
      <c r="X870" s="94"/>
      <c r="Y870" s="94"/>
      <c r="Z870" s="94"/>
      <c r="AA870" s="94"/>
      <c r="AB870" s="94"/>
      <c r="AC870" s="94"/>
      <c r="AD870" s="94"/>
      <c r="AE870" s="94"/>
      <c r="AF870" s="94"/>
      <c r="AG870" s="94"/>
      <c r="AH870" s="94"/>
      <c r="AI870" s="94"/>
      <c r="AJ870" s="94"/>
      <c r="AK870" s="94"/>
      <c r="AL870" s="94"/>
      <c r="AM870" s="94"/>
      <c r="AN870" s="94"/>
      <c r="AO870" s="94"/>
      <c r="AP870" s="94"/>
      <c r="AQ870" s="94"/>
      <c r="AR870" s="94"/>
      <c r="AS870" s="94"/>
      <c r="AT870" s="94"/>
      <c r="AU870" s="94"/>
      <c r="AV870" s="94"/>
      <c r="AW870" s="94"/>
      <c r="AX870" s="94"/>
      <c r="AY870" s="94"/>
      <c r="BA870" s="95"/>
    </row>
    <row r="871" spans="1:53" s="87" customFormat="1">
      <c r="A871" s="90" t="str">
        <f t="shared" si="61"/>
        <v/>
      </c>
      <c r="B871" s="98">
        <v>15</v>
      </c>
      <c r="C871" s="94" t="s">
        <v>210</v>
      </c>
      <c r="D871" s="94">
        <v>2</v>
      </c>
      <c r="E871" s="94">
        <v>3</v>
      </c>
      <c r="F871" s="94" t="s">
        <v>210</v>
      </c>
      <c r="G871" s="94" t="s">
        <v>210</v>
      </c>
      <c r="H871" s="94">
        <v>1</v>
      </c>
      <c r="I871" s="94">
        <v>4</v>
      </c>
      <c r="J871" s="94" t="s">
        <v>210</v>
      </c>
      <c r="K871" s="94" t="s">
        <v>210</v>
      </c>
      <c r="L871" s="94">
        <v>5</v>
      </c>
      <c r="M871" s="94">
        <v>-2</v>
      </c>
      <c r="N871" s="94" t="s">
        <v>210</v>
      </c>
      <c r="O871" s="94" t="s">
        <v>210</v>
      </c>
      <c r="P871" s="94">
        <v>-4</v>
      </c>
      <c r="Q871" s="94">
        <v>-5</v>
      </c>
      <c r="R871" s="94" t="s">
        <v>210</v>
      </c>
      <c r="S871" s="94" t="s">
        <v>210</v>
      </c>
      <c r="T871" s="94">
        <v>-3</v>
      </c>
      <c r="U871" s="94">
        <v>-1</v>
      </c>
      <c r="V871" s="94" t="s">
        <v>210</v>
      </c>
      <c r="W871" s="94"/>
      <c r="X871" s="94"/>
      <c r="Y871" s="94"/>
      <c r="Z871" s="94"/>
      <c r="AA871" s="94"/>
      <c r="AB871" s="94"/>
      <c r="AC871" s="94"/>
      <c r="AD871" s="94"/>
      <c r="AE871" s="94"/>
      <c r="AF871" s="94"/>
      <c r="AG871" s="94"/>
      <c r="AH871" s="94"/>
      <c r="AI871" s="94"/>
      <c r="AJ871" s="94"/>
      <c r="AK871" s="94"/>
      <c r="AL871" s="94"/>
      <c r="AM871" s="94"/>
      <c r="AN871" s="94"/>
      <c r="AO871" s="94"/>
      <c r="AP871" s="94"/>
      <c r="AQ871" s="94"/>
      <c r="AR871" s="94"/>
      <c r="AS871" s="94"/>
      <c r="AT871" s="94"/>
      <c r="AU871" s="94"/>
      <c r="AV871" s="94"/>
      <c r="AW871" s="94"/>
      <c r="AX871" s="94"/>
      <c r="AY871" s="94"/>
      <c r="BA871" s="95"/>
    </row>
    <row r="872" spans="1:53" s="87" customFormat="1">
      <c r="A872" s="90" t="str">
        <f t="shared" si="61"/>
        <v/>
      </c>
      <c r="B872" s="98">
        <v>16</v>
      </c>
      <c r="C872" s="94">
        <v>3</v>
      </c>
      <c r="D872" s="94" t="s">
        <v>210</v>
      </c>
      <c r="E872" s="94" t="s">
        <v>210</v>
      </c>
      <c r="F872" s="94">
        <v>2</v>
      </c>
      <c r="G872" s="94">
        <v>4</v>
      </c>
      <c r="H872" s="94" t="s">
        <v>210</v>
      </c>
      <c r="I872" s="94" t="s">
        <v>210</v>
      </c>
      <c r="J872" s="94">
        <v>1</v>
      </c>
      <c r="K872" s="94">
        <v>-2</v>
      </c>
      <c r="L872" s="94" t="s">
        <v>210</v>
      </c>
      <c r="M872" s="94" t="s">
        <v>210</v>
      </c>
      <c r="N872" s="94">
        <v>-4</v>
      </c>
      <c r="O872" s="94">
        <v>-5</v>
      </c>
      <c r="P872" s="94" t="s">
        <v>210</v>
      </c>
      <c r="Q872" s="94" t="s">
        <v>210</v>
      </c>
      <c r="R872" s="94">
        <v>-3</v>
      </c>
      <c r="S872" s="94">
        <v>-1</v>
      </c>
      <c r="T872" s="94" t="s">
        <v>210</v>
      </c>
      <c r="U872" s="94" t="s">
        <v>202</v>
      </c>
      <c r="V872" s="94" t="s">
        <v>210</v>
      </c>
      <c r="W872" s="94"/>
      <c r="X872" s="94"/>
      <c r="Y872" s="94"/>
      <c r="Z872" s="94"/>
      <c r="AA872" s="94"/>
      <c r="AB872" s="94"/>
      <c r="AC872" s="94"/>
      <c r="AD872" s="94"/>
      <c r="AE872" s="94"/>
      <c r="AF872" s="94"/>
      <c r="AG872" s="94"/>
      <c r="AH872" s="94"/>
      <c r="AI872" s="94"/>
      <c r="AJ872" s="94"/>
      <c r="AK872" s="94"/>
      <c r="AL872" s="94"/>
      <c r="AM872" s="94"/>
      <c r="AN872" s="94"/>
      <c r="AO872" s="94"/>
      <c r="AP872" s="94"/>
      <c r="AQ872" s="94"/>
      <c r="AR872" s="94"/>
      <c r="AS872" s="94"/>
      <c r="AT872" s="94"/>
      <c r="AU872" s="94"/>
      <c r="AV872" s="94"/>
      <c r="AW872" s="94"/>
      <c r="AX872" s="94"/>
      <c r="AY872" s="94"/>
      <c r="BA872" s="95"/>
    </row>
    <row r="873" spans="1:53" s="87" customFormat="1">
      <c r="A873" s="90" t="str">
        <f t="shared" si="61"/>
        <v/>
      </c>
      <c r="B873" s="98">
        <v>17</v>
      </c>
      <c r="C873" s="94">
        <v>-4</v>
      </c>
      <c r="D873" s="94" t="s">
        <v>210</v>
      </c>
      <c r="E873" s="94" t="s">
        <v>210</v>
      </c>
      <c r="F873" s="94">
        <v>-2</v>
      </c>
      <c r="G873" s="94">
        <v>-1</v>
      </c>
      <c r="H873" s="94" t="s">
        <v>210</v>
      </c>
      <c r="I873" s="94" t="s">
        <v>210</v>
      </c>
      <c r="J873" s="94">
        <v>-5</v>
      </c>
      <c r="K873" s="94" t="s">
        <v>210</v>
      </c>
      <c r="L873" s="94">
        <v>2</v>
      </c>
      <c r="M873" s="94">
        <v>3</v>
      </c>
      <c r="N873" s="94" t="s">
        <v>210</v>
      </c>
      <c r="O873" s="94" t="s">
        <v>210</v>
      </c>
      <c r="P873" s="94">
        <v>1</v>
      </c>
      <c r="Q873" s="94">
        <v>4</v>
      </c>
      <c r="R873" s="94" t="s">
        <v>210</v>
      </c>
      <c r="S873" s="94" t="s">
        <v>210</v>
      </c>
      <c r="T873" s="94">
        <v>5</v>
      </c>
      <c r="U873" s="94">
        <v>-2</v>
      </c>
      <c r="V873" s="94" t="s">
        <v>210</v>
      </c>
      <c r="W873" s="94"/>
      <c r="X873" s="94"/>
      <c r="Y873" s="94"/>
      <c r="Z873" s="94"/>
      <c r="AA873" s="94"/>
      <c r="AB873" s="94"/>
      <c r="AC873" s="94"/>
      <c r="AD873" s="94"/>
      <c r="AE873" s="94"/>
      <c r="AF873" s="94"/>
      <c r="AG873" s="94"/>
      <c r="AH873" s="94"/>
      <c r="AI873" s="94"/>
      <c r="AJ873" s="94"/>
      <c r="AK873" s="94"/>
      <c r="AL873" s="94"/>
      <c r="AM873" s="94"/>
      <c r="AN873" s="94"/>
      <c r="AO873" s="94"/>
      <c r="AP873" s="94"/>
      <c r="AQ873" s="94"/>
      <c r="AR873" s="94"/>
      <c r="AS873" s="94"/>
      <c r="AT873" s="94"/>
      <c r="AU873" s="94"/>
      <c r="AV873" s="94"/>
      <c r="AW873" s="94"/>
      <c r="AX873" s="94"/>
      <c r="AY873" s="94"/>
      <c r="BA873" s="95"/>
    </row>
    <row r="874" spans="1:53" s="87" customFormat="1">
      <c r="A874" s="90" t="str">
        <f t="shared" si="61"/>
        <v/>
      </c>
      <c r="B874" s="98">
        <v>18</v>
      </c>
      <c r="C874" s="94">
        <v>-2</v>
      </c>
      <c r="D874" s="94" t="s">
        <v>210</v>
      </c>
      <c r="E874" s="94" t="s">
        <v>210</v>
      </c>
      <c r="F874" s="94">
        <v>-4</v>
      </c>
      <c r="G874" s="94">
        <v>-5</v>
      </c>
      <c r="H874" s="94" t="s">
        <v>210</v>
      </c>
      <c r="I874" s="94" t="s">
        <v>210</v>
      </c>
      <c r="J874" s="94">
        <v>-3</v>
      </c>
      <c r="K874" s="94">
        <v>-1</v>
      </c>
      <c r="L874" s="94" t="s">
        <v>210</v>
      </c>
      <c r="M874" s="94" t="s">
        <v>202</v>
      </c>
      <c r="N874" s="94" t="s">
        <v>210</v>
      </c>
      <c r="O874" s="94">
        <v>2</v>
      </c>
      <c r="P874" s="94" t="s">
        <v>210</v>
      </c>
      <c r="Q874" s="94" t="s">
        <v>210</v>
      </c>
      <c r="R874" s="94">
        <v>3</v>
      </c>
      <c r="S874" s="94">
        <v>5</v>
      </c>
      <c r="T874" s="94" t="s">
        <v>210</v>
      </c>
      <c r="U874" s="94" t="s">
        <v>210</v>
      </c>
      <c r="V874" s="94">
        <v>4</v>
      </c>
      <c r="W874" s="94"/>
      <c r="X874" s="94"/>
      <c r="Y874" s="94"/>
      <c r="Z874" s="94"/>
      <c r="AA874" s="94"/>
      <c r="AB874" s="94"/>
      <c r="AC874" s="94"/>
      <c r="AD874" s="94"/>
      <c r="AE874" s="94"/>
      <c r="AF874" s="94"/>
      <c r="AG874" s="94"/>
      <c r="AH874" s="94"/>
      <c r="AI874" s="94"/>
      <c r="AJ874" s="94"/>
      <c r="AK874" s="94"/>
      <c r="AL874" s="94"/>
      <c r="AM874" s="94"/>
      <c r="AN874" s="94"/>
      <c r="AO874" s="94"/>
      <c r="AP874" s="94"/>
      <c r="AQ874" s="94"/>
      <c r="AR874" s="94"/>
      <c r="AS874" s="94"/>
      <c r="AT874" s="94"/>
      <c r="AU874" s="94"/>
      <c r="AV874" s="94"/>
      <c r="AW874" s="94"/>
      <c r="AX874" s="94"/>
      <c r="AY874" s="94"/>
      <c r="BA874" s="95"/>
    </row>
    <row r="875" spans="1:53" s="87" customFormat="1">
      <c r="A875" s="90" t="str">
        <f t="shared" si="61"/>
        <v/>
      </c>
      <c r="B875" s="98">
        <v>19</v>
      </c>
      <c r="C875" s="94">
        <v>-3</v>
      </c>
      <c r="D875" s="94" t="s">
        <v>210</v>
      </c>
      <c r="E875" s="94" t="s">
        <v>210</v>
      </c>
      <c r="F875" s="94">
        <v>-5</v>
      </c>
      <c r="G875" s="94" t="s">
        <v>210</v>
      </c>
      <c r="H875" s="94">
        <v>2</v>
      </c>
      <c r="I875" s="94">
        <v>3</v>
      </c>
      <c r="J875" s="94" t="s">
        <v>210</v>
      </c>
      <c r="K875" s="94" t="s">
        <v>210</v>
      </c>
      <c r="L875" s="94">
        <v>-1</v>
      </c>
      <c r="M875" s="94">
        <v>4</v>
      </c>
      <c r="N875" s="94" t="s">
        <v>210</v>
      </c>
      <c r="O875" s="94" t="s">
        <v>210</v>
      </c>
      <c r="P875" s="94">
        <v>5</v>
      </c>
      <c r="Q875" s="94">
        <v>1</v>
      </c>
      <c r="R875" s="94" t="s">
        <v>210</v>
      </c>
      <c r="S875" s="94" t="s">
        <v>210</v>
      </c>
      <c r="T875" s="94">
        <v>-4</v>
      </c>
      <c r="U875" s="94">
        <v>-5</v>
      </c>
      <c r="V875" s="94" t="s">
        <v>210</v>
      </c>
      <c r="W875" s="94"/>
      <c r="X875" s="94"/>
      <c r="Y875" s="94"/>
      <c r="Z875" s="94"/>
      <c r="AA875" s="94"/>
      <c r="AB875" s="94"/>
      <c r="AC875" s="94"/>
      <c r="AD875" s="94"/>
      <c r="AE875" s="94"/>
      <c r="AF875" s="94"/>
      <c r="AG875" s="94"/>
      <c r="AH875" s="94"/>
      <c r="AI875" s="94"/>
      <c r="AJ875" s="94"/>
      <c r="AK875" s="94"/>
      <c r="AL875" s="94"/>
      <c r="AM875" s="94"/>
      <c r="AN875" s="94"/>
      <c r="AO875" s="94"/>
      <c r="AP875" s="94"/>
      <c r="AQ875" s="94"/>
      <c r="AR875" s="94"/>
      <c r="AS875" s="94"/>
      <c r="AT875" s="94"/>
      <c r="AU875" s="94"/>
      <c r="AV875" s="94"/>
      <c r="AW875" s="94"/>
      <c r="AX875" s="94"/>
      <c r="AY875" s="94"/>
      <c r="BA875" s="95"/>
    </row>
    <row r="876" spans="1:53" s="87" customFormat="1">
      <c r="A876" s="90" t="str">
        <f t="shared" si="61"/>
        <v/>
      </c>
      <c r="B876" s="98">
        <v>20</v>
      </c>
      <c r="C876" s="94">
        <v>4</v>
      </c>
      <c r="D876" s="94" t="s">
        <v>210</v>
      </c>
      <c r="E876" s="94" t="s">
        <v>210</v>
      </c>
      <c r="F876" s="94">
        <v>-1</v>
      </c>
      <c r="G876" s="94">
        <v>3</v>
      </c>
      <c r="H876" s="94" t="s">
        <v>210</v>
      </c>
      <c r="I876" s="94" t="s">
        <v>210</v>
      </c>
      <c r="J876" s="94">
        <v>-4</v>
      </c>
      <c r="K876" s="94">
        <v>-5</v>
      </c>
      <c r="L876" s="94" t="s">
        <v>210</v>
      </c>
      <c r="M876" s="94" t="s">
        <v>210</v>
      </c>
      <c r="N876" s="94">
        <v>-3</v>
      </c>
      <c r="O876" s="94">
        <v>-2</v>
      </c>
      <c r="P876" s="94" t="s">
        <v>210</v>
      </c>
      <c r="Q876" s="94" t="s">
        <v>202</v>
      </c>
      <c r="R876" s="94" t="s">
        <v>210</v>
      </c>
      <c r="S876" s="94">
        <v>1</v>
      </c>
      <c r="T876" s="94" t="s">
        <v>210</v>
      </c>
      <c r="U876" s="94" t="s">
        <v>210</v>
      </c>
      <c r="V876" s="94">
        <v>3</v>
      </c>
      <c r="W876" s="94"/>
      <c r="X876" s="94"/>
      <c r="Y876" s="94"/>
      <c r="Z876" s="94"/>
      <c r="AA876" s="94"/>
      <c r="AB876" s="94"/>
      <c r="AC876" s="94"/>
      <c r="AD876" s="94"/>
      <c r="AE876" s="94"/>
      <c r="AF876" s="94"/>
      <c r="AG876" s="94"/>
      <c r="AH876" s="94"/>
      <c r="AI876" s="94"/>
      <c r="AJ876" s="94"/>
      <c r="AK876" s="94"/>
      <c r="AL876" s="94"/>
      <c r="AM876" s="94"/>
      <c r="AN876" s="94"/>
      <c r="AO876" s="94"/>
      <c r="AP876" s="94"/>
      <c r="AQ876" s="94"/>
      <c r="AR876" s="94"/>
      <c r="AS876" s="94"/>
      <c r="AT876" s="94"/>
      <c r="AU876" s="94"/>
      <c r="AV876" s="94"/>
      <c r="AW876" s="94"/>
      <c r="AX876" s="94"/>
      <c r="AY876" s="94"/>
      <c r="BA876" s="95"/>
    </row>
    <row r="877" spans="1:53" s="87" customFormat="1">
      <c r="A877" s="90" t="str">
        <f t="shared" si="61"/>
        <v/>
      </c>
      <c r="B877" s="98">
        <v>21</v>
      </c>
      <c r="C877" s="94">
        <v>-1</v>
      </c>
      <c r="D877" s="94" t="s">
        <v>210</v>
      </c>
      <c r="E877" s="94" t="s">
        <v>210</v>
      </c>
      <c r="F877" s="94">
        <v>3</v>
      </c>
      <c r="G877" s="94">
        <v>5</v>
      </c>
      <c r="H877" s="94" t="s">
        <v>210</v>
      </c>
      <c r="I877" s="94" t="s">
        <v>210</v>
      </c>
      <c r="J877" s="94">
        <v>4</v>
      </c>
      <c r="K877" s="94">
        <v>2</v>
      </c>
      <c r="L877" s="94" t="s">
        <v>210</v>
      </c>
      <c r="M877" s="94" t="s">
        <v>210</v>
      </c>
      <c r="N877" s="94">
        <v>1</v>
      </c>
      <c r="O877" s="94">
        <v>-4</v>
      </c>
      <c r="P877" s="94" t="s">
        <v>210</v>
      </c>
      <c r="Q877" s="94" t="s">
        <v>210</v>
      </c>
      <c r="R877" s="94">
        <v>-2</v>
      </c>
      <c r="S877" s="94">
        <v>-3</v>
      </c>
      <c r="T877" s="94" t="s">
        <v>210</v>
      </c>
      <c r="U877" s="94" t="s">
        <v>210</v>
      </c>
      <c r="V877" s="94">
        <v>-5</v>
      </c>
      <c r="W877" s="94"/>
      <c r="X877" s="94"/>
      <c r="Y877" s="94"/>
      <c r="Z877" s="94"/>
      <c r="AA877" s="94"/>
      <c r="AB877" s="94"/>
      <c r="AC877" s="94"/>
      <c r="AD877" s="94"/>
      <c r="AE877" s="94"/>
      <c r="AF877" s="94"/>
      <c r="AG877" s="94"/>
      <c r="AH877" s="94"/>
      <c r="AI877" s="94"/>
      <c r="AJ877" s="94"/>
      <c r="AK877" s="94"/>
      <c r="AL877" s="94"/>
      <c r="AM877" s="94"/>
      <c r="AN877" s="94"/>
      <c r="AO877" s="94"/>
      <c r="AP877" s="94"/>
      <c r="AQ877" s="94"/>
      <c r="AR877" s="94"/>
      <c r="AS877" s="94"/>
      <c r="AT877" s="94"/>
      <c r="AU877" s="94"/>
      <c r="AV877" s="94"/>
      <c r="AW877" s="94"/>
      <c r="AX877" s="94"/>
      <c r="AY877" s="94"/>
      <c r="BA877" s="95"/>
    </row>
    <row r="878" spans="1:53" s="87" customFormat="1">
      <c r="A878" s="90" t="str">
        <f t="shared" si="61"/>
        <v/>
      </c>
      <c r="B878" s="317" t="s">
        <v>905</v>
      </c>
      <c r="C878" s="94"/>
      <c r="D878" s="94"/>
      <c r="E878" s="94"/>
      <c r="F878" s="94"/>
      <c r="G878" s="94"/>
      <c r="H878" s="94"/>
      <c r="I878" s="94"/>
      <c r="J878" s="94"/>
      <c r="K878" s="94"/>
      <c r="L878" s="94"/>
      <c r="M878" s="94"/>
      <c r="N878" s="94"/>
      <c r="O878" s="94"/>
      <c r="P878" s="94"/>
      <c r="Q878" s="94"/>
      <c r="R878" s="94"/>
      <c r="S878" s="94"/>
      <c r="T878" s="94"/>
      <c r="U878" s="94"/>
      <c r="V878" s="94"/>
      <c r="W878" s="94"/>
      <c r="X878" s="94"/>
      <c r="Y878" s="94"/>
      <c r="Z878" s="94"/>
      <c r="AA878" s="94"/>
      <c r="AB878" s="94"/>
      <c r="AC878" s="94"/>
      <c r="AD878" s="94"/>
      <c r="AE878" s="94"/>
      <c r="AF878" s="94"/>
      <c r="AG878" s="94"/>
      <c r="AH878" s="94"/>
      <c r="AI878" s="94"/>
      <c r="AJ878" s="94"/>
      <c r="AK878" s="94"/>
      <c r="AL878" s="94"/>
      <c r="AM878" s="94"/>
      <c r="AN878" s="94"/>
      <c r="AO878" s="94"/>
      <c r="AP878" s="94"/>
      <c r="AQ878" s="94"/>
      <c r="AR878" s="94"/>
      <c r="AS878" s="94"/>
      <c r="AT878" s="94"/>
      <c r="AU878" s="94"/>
      <c r="AV878" s="94"/>
      <c r="AW878" s="94"/>
      <c r="AX878" s="94"/>
      <c r="AY878" s="94"/>
      <c r="BA878" s="95"/>
    </row>
    <row r="879" spans="1:53" s="87" customFormat="1">
      <c r="A879" s="90">
        <f t="shared" si="61"/>
        <v>879</v>
      </c>
      <c r="B879" s="317" t="s">
        <v>904</v>
      </c>
      <c r="C879" s="94"/>
      <c r="D879" s="94"/>
      <c r="E879" s="94"/>
      <c r="F879" s="94"/>
      <c r="G879" s="94"/>
      <c r="H879" s="94"/>
      <c r="I879" s="94"/>
      <c r="J879" s="94"/>
      <c r="K879" s="94"/>
      <c r="L879" s="94"/>
      <c r="M879" s="94"/>
      <c r="N879" s="94"/>
      <c r="O879" s="94"/>
      <c r="P879" s="94"/>
      <c r="Q879" s="94"/>
      <c r="R879" s="94"/>
      <c r="S879" s="94"/>
      <c r="T879" s="94"/>
      <c r="U879" s="94"/>
      <c r="V879" s="94"/>
      <c r="W879" s="94"/>
      <c r="X879" s="94"/>
      <c r="Y879" s="94"/>
      <c r="Z879" s="94"/>
      <c r="AA879" s="94"/>
      <c r="AB879" s="94"/>
      <c r="AC879" s="94"/>
      <c r="AD879" s="94"/>
      <c r="AE879" s="94"/>
      <c r="AF879" s="94"/>
      <c r="AG879" s="94"/>
      <c r="AH879" s="94"/>
      <c r="AI879" s="94"/>
      <c r="AJ879" s="94"/>
      <c r="AK879" s="94"/>
      <c r="AL879" s="94"/>
      <c r="AM879" s="94"/>
      <c r="AN879" s="94"/>
      <c r="AO879" s="94"/>
      <c r="AP879" s="94"/>
      <c r="AQ879" s="94"/>
      <c r="AR879" s="94"/>
      <c r="AS879" s="94"/>
      <c r="AT879" s="94"/>
      <c r="AU879" s="94"/>
      <c r="AV879" s="94"/>
      <c r="AW879" s="94"/>
      <c r="AX879" s="94"/>
      <c r="AY879" s="94"/>
      <c r="BA879" s="95"/>
    </row>
    <row r="880" spans="1:53" s="87" customFormat="1">
      <c r="A880" s="90" t="str">
        <f t="shared" si="61"/>
        <v/>
      </c>
      <c r="B880" s="98">
        <v>1</v>
      </c>
      <c r="C880" s="94" t="s">
        <v>210</v>
      </c>
      <c r="D880" s="94">
        <v>3</v>
      </c>
      <c r="E880" s="94">
        <v>5</v>
      </c>
      <c r="F880" s="94" t="s">
        <v>210</v>
      </c>
      <c r="G880" s="94" t="s">
        <v>210</v>
      </c>
      <c r="H880" s="94">
        <v>4</v>
      </c>
      <c r="I880" s="94">
        <v>2</v>
      </c>
      <c r="J880" s="94" t="s">
        <v>210</v>
      </c>
      <c r="K880" s="94" t="s">
        <v>210</v>
      </c>
      <c r="L880" s="94">
        <v>-5</v>
      </c>
      <c r="M880" s="94">
        <v>-4</v>
      </c>
      <c r="N880" s="94" t="s">
        <v>210</v>
      </c>
      <c r="O880" s="94" t="s">
        <v>210</v>
      </c>
      <c r="P880" s="94">
        <v>1</v>
      </c>
      <c r="Q880" s="94">
        <v>-3</v>
      </c>
      <c r="R880" s="94" t="s">
        <v>210</v>
      </c>
      <c r="S880" s="94" t="s">
        <v>210</v>
      </c>
      <c r="T880" s="94">
        <v>-2</v>
      </c>
      <c r="U880" s="94" t="s">
        <v>210</v>
      </c>
      <c r="V880" s="94">
        <v>5</v>
      </c>
      <c r="W880" s="94">
        <v>3</v>
      </c>
      <c r="X880" s="94" t="s">
        <v>210</v>
      </c>
      <c r="Y880" s="94"/>
      <c r="Z880" s="94"/>
      <c r="AA880" s="94"/>
      <c r="AB880" s="94"/>
      <c r="AC880" s="94"/>
      <c r="AD880" s="94"/>
      <c r="AE880" s="94"/>
      <c r="AF880" s="94"/>
      <c r="AG880" s="94"/>
      <c r="AH880" s="94"/>
      <c r="AI880" s="94"/>
      <c r="AJ880" s="94"/>
      <c r="AK880" s="94"/>
      <c r="AL880" s="94"/>
      <c r="AM880" s="94"/>
      <c r="AN880" s="94"/>
      <c r="AO880" s="94"/>
      <c r="AP880" s="94"/>
      <c r="AQ880" s="94"/>
      <c r="AR880" s="94"/>
      <c r="AS880" s="94"/>
      <c r="AT880" s="94"/>
      <c r="AU880" s="94"/>
      <c r="AV880" s="94"/>
      <c r="AW880" s="94"/>
      <c r="AX880" s="94"/>
      <c r="AY880" s="94"/>
      <c r="BA880" s="95"/>
    </row>
    <row r="881" spans="1:53" s="87" customFormat="1">
      <c r="A881" s="90" t="str">
        <f t="shared" si="61"/>
        <v/>
      </c>
      <c r="B881" s="98">
        <v>2</v>
      </c>
      <c r="C881" s="94">
        <v>-2</v>
      </c>
      <c r="D881" s="94" t="s">
        <v>210</v>
      </c>
      <c r="E881" s="94" t="s">
        <v>202</v>
      </c>
      <c r="F881" s="94" t="s">
        <v>210</v>
      </c>
      <c r="G881" s="94">
        <v>-1</v>
      </c>
      <c r="H881" s="94" t="s">
        <v>210</v>
      </c>
      <c r="I881" s="94" t="s">
        <v>210</v>
      </c>
      <c r="J881" s="94">
        <v>3</v>
      </c>
      <c r="K881" s="94">
        <v>5</v>
      </c>
      <c r="L881" s="94" t="s">
        <v>210</v>
      </c>
      <c r="M881" s="94" t="s">
        <v>210</v>
      </c>
      <c r="N881" s="94">
        <v>4</v>
      </c>
      <c r="O881" s="94">
        <v>2</v>
      </c>
      <c r="P881" s="94" t="s">
        <v>210</v>
      </c>
      <c r="Q881" s="94" t="s">
        <v>210</v>
      </c>
      <c r="R881" s="94">
        <v>1</v>
      </c>
      <c r="S881" s="94">
        <v>-4</v>
      </c>
      <c r="T881" s="94" t="s">
        <v>210</v>
      </c>
      <c r="U881" s="94" t="s">
        <v>210</v>
      </c>
      <c r="V881" s="94">
        <v>-2</v>
      </c>
      <c r="W881" s="94">
        <v>-3</v>
      </c>
      <c r="X881" s="94" t="s">
        <v>210</v>
      </c>
      <c r="Y881" s="94"/>
      <c r="Z881" s="94"/>
      <c r="AA881" s="94"/>
      <c r="AB881" s="94"/>
      <c r="AC881" s="94"/>
      <c r="AD881" s="94"/>
      <c r="AE881" s="94"/>
      <c r="AF881" s="94"/>
      <c r="AG881" s="94"/>
      <c r="AH881" s="94"/>
      <c r="AI881" s="94"/>
      <c r="AJ881" s="94"/>
      <c r="AK881" s="94"/>
      <c r="AL881" s="94"/>
      <c r="AM881" s="94"/>
      <c r="AN881" s="94"/>
      <c r="AO881" s="94"/>
      <c r="AP881" s="94"/>
      <c r="AQ881" s="94"/>
      <c r="AR881" s="94"/>
      <c r="AS881" s="94"/>
      <c r="AT881" s="94"/>
      <c r="AU881" s="94"/>
      <c r="AV881" s="94"/>
      <c r="AW881" s="94"/>
      <c r="AX881" s="94"/>
      <c r="AY881" s="94"/>
      <c r="BA881" s="95"/>
    </row>
    <row r="882" spans="1:53" s="87" customFormat="1">
      <c r="A882" s="90" t="str">
        <f t="shared" si="61"/>
        <v/>
      </c>
      <c r="B882" s="98">
        <v>3</v>
      </c>
      <c r="C882" s="94" t="s">
        <v>210</v>
      </c>
      <c r="D882" s="94">
        <v>4</v>
      </c>
      <c r="E882" s="94">
        <v>-1</v>
      </c>
      <c r="F882" s="94" t="s">
        <v>210</v>
      </c>
      <c r="G882" s="94" t="s">
        <v>210</v>
      </c>
      <c r="H882" s="94">
        <v>-5</v>
      </c>
      <c r="I882" s="94">
        <v>-4</v>
      </c>
      <c r="J882" s="94" t="s">
        <v>210</v>
      </c>
      <c r="K882" s="94" t="s">
        <v>210</v>
      </c>
      <c r="L882" s="94">
        <v>1</v>
      </c>
      <c r="M882" s="94">
        <v>-3</v>
      </c>
      <c r="N882" s="94" t="s">
        <v>210</v>
      </c>
      <c r="O882" s="94" t="s">
        <v>210</v>
      </c>
      <c r="P882" s="94">
        <v>-2</v>
      </c>
      <c r="Q882" s="94" t="s">
        <v>210</v>
      </c>
      <c r="R882" s="94">
        <v>5</v>
      </c>
      <c r="S882" s="94">
        <v>-1</v>
      </c>
      <c r="T882" s="94" t="s">
        <v>210</v>
      </c>
      <c r="U882" s="94" t="s">
        <v>210</v>
      </c>
      <c r="V882" s="94">
        <v>2</v>
      </c>
      <c r="W882" s="94">
        <v>4</v>
      </c>
      <c r="X882" s="94" t="s">
        <v>210</v>
      </c>
      <c r="Y882" s="94"/>
      <c r="Z882" s="94"/>
      <c r="AA882" s="94"/>
      <c r="AB882" s="94"/>
      <c r="AC882" s="94"/>
      <c r="AD882" s="94"/>
      <c r="AE882" s="94"/>
      <c r="AF882" s="94"/>
      <c r="AG882" s="94"/>
      <c r="AH882" s="94"/>
      <c r="AI882" s="94"/>
      <c r="AJ882" s="94"/>
      <c r="AK882" s="94"/>
      <c r="AL882" s="94"/>
      <c r="AM882" s="94"/>
      <c r="AN882" s="94"/>
      <c r="AO882" s="94"/>
      <c r="AP882" s="94"/>
      <c r="AQ882" s="94"/>
      <c r="AR882" s="94"/>
      <c r="AS882" s="94"/>
      <c r="AT882" s="94"/>
      <c r="AU882" s="94"/>
      <c r="AV882" s="94"/>
      <c r="AW882" s="94"/>
      <c r="AX882" s="94"/>
      <c r="AY882" s="94"/>
      <c r="BA882" s="95"/>
    </row>
    <row r="883" spans="1:53" s="87" customFormat="1">
      <c r="A883" s="90" t="str">
        <f t="shared" si="61"/>
        <v/>
      </c>
      <c r="B883" s="98">
        <v>4</v>
      </c>
      <c r="C883" s="94">
        <v>-5</v>
      </c>
      <c r="D883" s="94" t="s">
        <v>210</v>
      </c>
      <c r="E883" s="94" t="s">
        <v>210</v>
      </c>
      <c r="F883" s="94">
        <v>-3</v>
      </c>
      <c r="G883" s="94">
        <v>1</v>
      </c>
      <c r="H883" s="94" t="s">
        <v>210</v>
      </c>
      <c r="I883" s="94" t="s">
        <v>202</v>
      </c>
      <c r="J883" s="94" t="s">
        <v>210</v>
      </c>
      <c r="K883" s="94">
        <v>-2</v>
      </c>
      <c r="L883" s="94" t="s">
        <v>210</v>
      </c>
      <c r="M883" s="94" t="s">
        <v>210</v>
      </c>
      <c r="N883" s="94">
        <v>3</v>
      </c>
      <c r="O883" s="94">
        <v>5</v>
      </c>
      <c r="P883" s="94" t="s">
        <v>210</v>
      </c>
      <c r="Q883" s="94" t="s">
        <v>210</v>
      </c>
      <c r="R883" s="94">
        <v>4</v>
      </c>
      <c r="S883" s="94">
        <v>-3</v>
      </c>
      <c r="T883" s="94" t="s">
        <v>210</v>
      </c>
      <c r="U883" s="94" t="s">
        <v>210</v>
      </c>
      <c r="V883" s="94">
        <v>-1</v>
      </c>
      <c r="W883" s="94">
        <v>-4</v>
      </c>
      <c r="X883" s="94" t="s">
        <v>210</v>
      </c>
      <c r="Y883" s="94"/>
      <c r="Z883" s="94"/>
      <c r="AA883" s="94"/>
      <c r="AB883" s="94"/>
      <c r="AC883" s="94"/>
      <c r="AD883" s="94"/>
      <c r="AE883" s="94"/>
      <c r="AF883" s="94"/>
      <c r="AG883" s="94"/>
      <c r="AH883" s="94"/>
      <c r="AI883" s="94"/>
      <c r="AJ883" s="94"/>
      <c r="AK883" s="94"/>
      <c r="AL883" s="94"/>
      <c r="AM883" s="94"/>
      <c r="AN883" s="94"/>
      <c r="AO883" s="94"/>
      <c r="AP883" s="94"/>
      <c r="AQ883" s="94"/>
      <c r="AR883" s="94"/>
      <c r="AS883" s="94"/>
      <c r="AT883" s="94"/>
      <c r="AU883" s="94"/>
      <c r="AV883" s="94"/>
      <c r="AW883" s="94"/>
      <c r="AX883" s="94"/>
      <c r="AY883" s="94"/>
      <c r="BA883" s="95"/>
    </row>
    <row r="884" spans="1:53" s="87" customFormat="1">
      <c r="A884" s="90" t="str">
        <f t="shared" si="61"/>
        <v/>
      </c>
      <c r="B884" s="98">
        <v>5</v>
      </c>
      <c r="C884" s="94" t="s">
        <v>210</v>
      </c>
      <c r="D884" s="94">
        <v>-5</v>
      </c>
      <c r="E884" s="94">
        <v>-4</v>
      </c>
      <c r="F884" s="94" t="s">
        <v>210</v>
      </c>
      <c r="G884" s="94" t="s">
        <v>210</v>
      </c>
      <c r="H884" s="94">
        <v>-1</v>
      </c>
      <c r="I884" s="94">
        <v>-3</v>
      </c>
      <c r="J884" s="94" t="s">
        <v>210</v>
      </c>
      <c r="K884" s="94" t="s">
        <v>210</v>
      </c>
      <c r="L884" s="94">
        <v>-2</v>
      </c>
      <c r="M884" s="94" t="s">
        <v>210</v>
      </c>
      <c r="N884" s="94">
        <v>5</v>
      </c>
      <c r="O884" s="94">
        <v>3</v>
      </c>
      <c r="P884" s="94" t="s">
        <v>210</v>
      </c>
      <c r="Q884" s="94" t="s">
        <v>210</v>
      </c>
      <c r="R884" s="94">
        <v>2</v>
      </c>
      <c r="S884" s="94">
        <v>4</v>
      </c>
      <c r="T884" s="94" t="s">
        <v>210</v>
      </c>
      <c r="U884" s="94" t="s">
        <v>210</v>
      </c>
      <c r="V884" s="94">
        <v>1</v>
      </c>
      <c r="W884" s="94">
        <v>2</v>
      </c>
      <c r="X884" s="94" t="s">
        <v>210</v>
      </c>
      <c r="Y884" s="94"/>
      <c r="Z884" s="94"/>
      <c r="AA884" s="94"/>
      <c r="AB884" s="94"/>
      <c r="AC884" s="94"/>
      <c r="AD884" s="94"/>
      <c r="AE884" s="94"/>
      <c r="AF884" s="94"/>
      <c r="AG884" s="94"/>
      <c r="AH884" s="94"/>
      <c r="AI884" s="94"/>
      <c r="AJ884" s="94"/>
      <c r="AK884" s="94"/>
      <c r="AL884" s="94"/>
      <c r="AM884" s="94"/>
      <c r="AN884" s="94"/>
      <c r="AO884" s="94"/>
      <c r="AP884" s="94"/>
      <c r="AQ884" s="94"/>
      <c r="AR884" s="94"/>
      <c r="AS884" s="94"/>
      <c r="AT884" s="94"/>
      <c r="AU884" s="94"/>
      <c r="AV884" s="94"/>
      <c r="AW884" s="94"/>
      <c r="AX884" s="94"/>
      <c r="AY884" s="94"/>
      <c r="BA884" s="95"/>
    </row>
    <row r="885" spans="1:53" s="87" customFormat="1">
      <c r="A885" s="90" t="str">
        <f t="shared" si="61"/>
        <v/>
      </c>
      <c r="B885" s="98">
        <v>6</v>
      </c>
      <c r="C885" s="94">
        <v>3</v>
      </c>
      <c r="D885" s="94" t="s">
        <v>210</v>
      </c>
      <c r="E885" s="94" t="s">
        <v>210</v>
      </c>
      <c r="F885" s="94">
        <v>-4</v>
      </c>
      <c r="G885" s="94">
        <v>-5</v>
      </c>
      <c r="H885" s="94" t="s">
        <v>210</v>
      </c>
      <c r="I885" s="94" t="s">
        <v>210</v>
      </c>
      <c r="J885" s="94">
        <v>-3</v>
      </c>
      <c r="K885" s="94">
        <v>2</v>
      </c>
      <c r="L885" s="94" t="s">
        <v>210</v>
      </c>
      <c r="M885" s="94" t="s">
        <v>202</v>
      </c>
      <c r="N885" s="94" t="s">
        <v>210</v>
      </c>
      <c r="O885" s="94">
        <v>-1</v>
      </c>
      <c r="P885" s="94" t="s">
        <v>210</v>
      </c>
      <c r="Q885" s="94" t="s">
        <v>210</v>
      </c>
      <c r="R885" s="94">
        <v>3</v>
      </c>
      <c r="S885" s="94">
        <v>5</v>
      </c>
      <c r="T885" s="94" t="s">
        <v>210</v>
      </c>
      <c r="U885" s="94" t="s">
        <v>210</v>
      </c>
      <c r="V885" s="94">
        <v>4</v>
      </c>
      <c r="W885" s="94">
        <v>-2</v>
      </c>
      <c r="X885" s="94" t="s">
        <v>210</v>
      </c>
      <c r="Y885" s="94"/>
      <c r="Z885" s="94"/>
      <c r="AA885" s="94"/>
      <c r="AB885" s="94"/>
      <c r="AC885" s="94"/>
      <c r="AD885" s="94"/>
      <c r="AE885" s="94"/>
      <c r="AF885" s="94"/>
      <c r="AG885" s="94"/>
      <c r="AH885" s="94"/>
      <c r="AI885" s="94"/>
      <c r="AJ885" s="94"/>
      <c r="AK885" s="94"/>
      <c r="AL885" s="94"/>
      <c r="AM885" s="94"/>
      <c r="AN885" s="94"/>
      <c r="AO885" s="94"/>
      <c r="AP885" s="94"/>
      <c r="AQ885" s="94"/>
      <c r="AR885" s="94"/>
      <c r="AS885" s="94"/>
      <c r="AT885" s="94"/>
      <c r="AU885" s="94"/>
      <c r="AV885" s="94"/>
      <c r="AW885" s="94"/>
      <c r="AX885" s="94"/>
      <c r="AY885" s="94"/>
      <c r="BA885" s="95"/>
    </row>
    <row r="886" spans="1:53" s="87" customFormat="1">
      <c r="A886" s="90" t="str">
        <f t="shared" si="61"/>
        <v/>
      </c>
      <c r="B886" s="98">
        <v>7</v>
      </c>
      <c r="C886" s="94" t="s">
        <v>210</v>
      </c>
      <c r="D886" s="94">
        <v>-1</v>
      </c>
      <c r="E886" s="94">
        <v>-3</v>
      </c>
      <c r="F886" s="94" t="s">
        <v>210</v>
      </c>
      <c r="G886" s="94" t="s">
        <v>210</v>
      </c>
      <c r="H886" s="94">
        <v>-2</v>
      </c>
      <c r="I886" s="94" t="s">
        <v>210</v>
      </c>
      <c r="J886" s="94">
        <v>5</v>
      </c>
      <c r="K886" s="94">
        <v>1</v>
      </c>
      <c r="L886" s="94" t="s">
        <v>210</v>
      </c>
      <c r="M886" s="94" t="s">
        <v>210</v>
      </c>
      <c r="N886" s="94">
        <v>2</v>
      </c>
      <c r="O886" s="94">
        <v>4</v>
      </c>
      <c r="P886" s="94" t="s">
        <v>210</v>
      </c>
      <c r="Q886" s="94" t="s">
        <v>210</v>
      </c>
      <c r="R886" s="94">
        <v>-1</v>
      </c>
      <c r="S886" s="94">
        <v>3</v>
      </c>
      <c r="T886" s="94" t="s">
        <v>210</v>
      </c>
      <c r="U886" s="94" t="s">
        <v>210</v>
      </c>
      <c r="V886" s="94">
        <v>-4</v>
      </c>
      <c r="W886" s="94">
        <v>-5</v>
      </c>
      <c r="X886" s="94" t="s">
        <v>210</v>
      </c>
      <c r="Y886" s="94"/>
      <c r="Z886" s="94"/>
      <c r="AA886" s="94"/>
      <c r="AB886" s="94"/>
      <c r="AC886" s="94"/>
      <c r="AD886" s="94"/>
      <c r="AE886" s="94"/>
      <c r="AF886" s="94"/>
      <c r="AG886" s="94"/>
      <c r="AH886" s="94"/>
      <c r="AI886" s="94"/>
      <c r="AJ886" s="94"/>
      <c r="AK886" s="94"/>
      <c r="AL886" s="94"/>
      <c r="AM886" s="94"/>
      <c r="AN886" s="94"/>
      <c r="AO886" s="94"/>
      <c r="AP886" s="94"/>
      <c r="AQ886" s="94"/>
      <c r="AR886" s="94"/>
      <c r="AS886" s="94"/>
      <c r="AT886" s="94"/>
      <c r="AU886" s="94"/>
      <c r="AV886" s="94"/>
      <c r="AW886" s="94"/>
      <c r="AX886" s="94"/>
      <c r="AY886" s="94"/>
      <c r="BA886" s="95"/>
    </row>
    <row r="887" spans="1:53" s="87" customFormat="1">
      <c r="A887" s="90" t="str">
        <f t="shared" si="61"/>
        <v/>
      </c>
      <c r="B887" s="98">
        <v>8</v>
      </c>
      <c r="C887" s="94">
        <v>4</v>
      </c>
      <c r="D887" s="94" t="s">
        <v>210</v>
      </c>
      <c r="E887" s="94" t="s">
        <v>210</v>
      </c>
      <c r="F887" s="94">
        <v>-1</v>
      </c>
      <c r="G887" s="94">
        <v>-2</v>
      </c>
      <c r="H887" s="94" t="s">
        <v>210</v>
      </c>
      <c r="I887" s="94" t="s">
        <v>210</v>
      </c>
      <c r="J887" s="94">
        <v>-4</v>
      </c>
      <c r="K887" s="94">
        <v>-5</v>
      </c>
      <c r="L887" s="94" t="s">
        <v>210</v>
      </c>
      <c r="M887" s="94" t="s">
        <v>210</v>
      </c>
      <c r="N887" s="94">
        <v>-3</v>
      </c>
      <c r="O887" s="94">
        <v>1</v>
      </c>
      <c r="P887" s="94" t="s">
        <v>210</v>
      </c>
      <c r="Q887" s="94" t="s">
        <v>202</v>
      </c>
      <c r="R887" s="94" t="s">
        <v>210</v>
      </c>
      <c r="S887" s="94">
        <v>2</v>
      </c>
      <c r="T887" s="94" t="s">
        <v>210</v>
      </c>
      <c r="U887" s="94" t="s">
        <v>210</v>
      </c>
      <c r="V887" s="94">
        <v>3</v>
      </c>
      <c r="W887" s="94">
        <v>5</v>
      </c>
      <c r="X887" s="94" t="s">
        <v>210</v>
      </c>
      <c r="Y887" s="94"/>
      <c r="Z887" s="94"/>
      <c r="AA887" s="94"/>
      <c r="AB887" s="94"/>
      <c r="AC887" s="94"/>
      <c r="AD887" s="94"/>
      <c r="AE887" s="94"/>
      <c r="AF887" s="94"/>
      <c r="AG887" s="94"/>
      <c r="AH887" s="94"/>
      <c r="AI887" s="94"/>
      <c r="AJ887" s="94"/>
      <c r="AK887" s="94"/>
      <c r="AL887" s="94"/>
      <c r="AM887" s="94"/>
      <c r="AN887" s="94"/>
      <c r="AO887" s="94"/>
      <c r="AP887" s="94"/>
      <c r="AQ887" s="94"/>
      <c r="AR887" s="94"/>
      <c r="AS887" s="94"/>
      <c r="AT887" s="94"/>
      <c r="AU887" s="94"/>
      <c r="AV887" s="94"/>
      <c r="AW887" s="94"/>
      <c r="AX887" s="94"/>
      <c r="AY887" s="94"/>
      <c r="BA887" s="95"/>
    </row>
    <row r="888" spans="1:53" s="87" customFormat="1">
      <c r="A888" s="90" t="str">
        <f t="shared" si="61"/>
        <v/>
      </c>
      <c r="B888" s="98">
        <v>9</v>
      </c>
      <c r="C888" s="94" t="s">
        <v>210</v>
      </c>
      <c r="D888" s="94">
        <v>-2</v>
      </c>
      <c r="E888" s="94" t="s">
        <v>210</v>
      </c>
      <c r="F888" s="94">
        <v>5</v>
      </c>
      <c r="G888" s="94">
        <v>3</v>
      </c>
      <c r="H888" s="94" t="s">
        <v>210</v>
      </c>
      <c r="I888" s="94" t="s">
        <v>210</v>
      </c>
      <c r="J888" s="94">
        <v>2</v>
      </c>
      <c r="K888" s="94">
        <v>4</v>
      </c>
      <c r="L888" s="94" t="s">
        <v>210</v>
      </c>
      <c r="M888" s="94" t="s">
        <v>210</v>
      </c>
      <c r="N888" s="94">
        <v>1</v>
      </c>
      <c r="O888" s="94">
        <v>-2</v>
      </c>
      <c r="P888" s="94" t="s">
        <v>210</v>
      </c>
      <c r="Q888" s="94" t="s">
        <v>210</v>
      </c>
      <c r="R888" s="94">
        <v>-4</v>
      </c>
      <c r="S888" s="94">
        <v>-5</v>
      </c>
      <c r="T888" s="94" t="s">
        <v>210</v>
      </c>
      <c r="U888" s="94" t="s">
        <v>210</v>
      </c>
      <c r="V888" s="94">
        <v>-3</v>
      </c>
      <c r="W888" s="94">
        <v>-1</v>
      </c>
      <c r="X888" s="94" t="s">
        <v>210</v>
      </c>
      <c r="Y888" s="94"/>
      <c r="Z888" s="94"/>
      <c r="AA888" s="94"/>
      <c r="AB888" s="94"/>
      <c r="AC888" s="94"/>
      <c r="AD888" s="94"/>
      <c r="AE888" s="94"/>
      <c r="AF888" s="94"/>
      <c r="AG888" s="94"/>
      <c r="AH888" s="94"/>
      <c r="AI888" s="94"/>
      <c r="AJ888" s="94"/>
      <c r="AK888" s="94"/>
      <c r="AL888" s="94"/>
      <c r="AM888" s="94"/>
      <c r="AN888" s="94"/>
      <c r="AO888" s="94"/>
      <c r="AP888" s="94"/>
      <c r="AQ888" s="94"/>
      <c r="AR888" s="94"/>
      <c r="AS888" s="94"/>
      <c r="AT888" s="94"/>
      <c r="AU888" s="94"/>
      <c r="AV888" s="94"/>
      <c r="AW888" s="94"/>
      <c r="AX888" s="94"/>
      <c r="AY888" s="94"/>
      <c r="BA888" s="95"/>
    </row>
    <row r="889" spans="1:53" s="87" customFormat="1">
      <c r="A889" s="90" t="str">
        <f t="shared" si="61"/>
        <v/>
      </c>
      <c r="B889" s="98">
        <v>10</v>
      </c>
      <c r="C889" s="94">
        <v>1</v>
      </c>
      <c r="D889" s="94" t="s">
        <v>210</v>
      </c>
      <c r="E889" s="94" t="s">
        <v>210</v>
      </c>
      <c r="F889" s="94">
        <v>2</v>
      </c>
      <c r="G889" s="94">
        <v>4</v>
      </c>
      <c r="H889" s="94" t="s">
        <v>210</v>
      </c>
      <c r="I889" s="94" t="s">
        <v>210</v>
      </c>
      <c r="J889" s="94">
        <v>-1</v>
      </c>
      <c r="K889" s="94">
        <v>3</v>
      </c>
      <c r="L889" s="94" t="s">
        <v>210</v>
      </c>
      <c r="M889" s="94" t="s">
        <v>210</v>
      </c>
      <c r="N889" s="94">
        <v>-4</v>
      </c>
      <c r="O889" s="94">
        <v>-5</v>
      </c>
      <c r="P889" s="94" t="s">
        <v>210</v>
      </c>
      <c r="Q889" s="94" t="s">
        <v>210</v>
      </c>
      <c r="R889" s="94">
        <v>-3</v>
      </c>
      <c r="S889" s="94">
        <v>-2</v>
      </c>
      <c r="T889" s="94" t="s">
        <v>210</v>
      </c>
      <c r="U889" s="94" t="s">
        <v>202</v>
      </c>
      <c r="V889" s="94" t="s">
        <v>210</v>
      </c>
      <c r="W889" s="94">
        <v>1</v>
      </c>
      <c r="X889" s="94" t="s">
        <v>210</v>
      </c>
      <c r="Y889" s="94"/>
      <c r="Z889" s="94"/>
      <c r="AA889" s="94"/>
      <c r="AB889" s="94"/>
      <c r="AC889" s="94"/>
      <c r="AD889" s="94"/>
      <c r="AE889" s="94"/>
      <c r="AF889" s="94"/>
      <c r="AG889" s="94"/>
      <c r="AH889" s="94"/>
      <c r="AI889" s="94"/>
      <c r="AJ889" s="94"/>
      <c r="AK889" s="94"/>
      <c r="AL889" s="94"/>
      <c r="AM889" s="94"/>
      <c r="AN889" s="94"/>
      <c r="AO889" s="94"/>
      <c r="AP889" s="94"/>
      <c r="AQ889" s="94"/>
      <c r="AR889" s="94"/>
      <c r="AS889" s="94"/>
      <c r="AT889" s="94"/>
      <c r="AU889" s="94"/>
      <c r="AV889" s="94"/>
      <c r="AW889" s="94"/>
      <c r="AX889" s="94"/>
      <c r="AY889" s="94"/>
      <c r="BA889" s="95"/>
    </row>
    <row r="890" spans="1:53" s="87" customFormat="1">
      <c r="A890" s="90" t="str">
        <f t="shared" si="61"/>
        <v/>
      </c>
      <c r="B890" s="98">
        <v>11</v>
      </c>
      <c r="C890" s="94" t="s">
        <v>210</v>
      </c>
      <c r="D890" s="94">
        <v>1</v>
      </c>
      <c r="E890" s="94">
        <v>4</v>
      </c>
      <c r="F890" s="94" t="s">
        <v>210</v>
      </c>
      <c r="G890" s="94" t="s">
        <v>210</v>
      </c>
      <c r="H890" s="94">
        <v>5</v>
      </c>
      <c r="I890" s="94">
        <v>-2</v>
      </c>
      <c r="J890" s="94" t="s">
        <v>210</v>
      </c>
      <c r="K890" s="94" t="s">
        <v>210</v>
      </c>
      <c r="L890" s="94">
        <v>-4</v>
      </c>
      <c r="M890" s="94">
        <v>-5</v>
      </c>
      <c r="N890" s="94" t="s">
        <v>210</v>
      </c>
      <c r="O890" s="94" t="s">
        <v>210</v>
      </c>
      <c r="P890" s="94">
        <v>-3</v>
      </c>
      <c r="Q890" s="94">
        <v>1</v>
      </c>
      <c r="R890" s="94" t="s">
        <v>210</v>
      </c>
      <c r="S890" s="94" t="s">
        <v>202</v>
      </c>
      <c r="T890" s="94" t="s">
        <v>210</v>
      </c>
      <c r="U890" s="94">
        <v>2</v>
      </c>
      <c r="V890" s="94" t="s">
        <v>210</v>
      </c>
      <c r="W890" s="94" t="s">
        <v>210</v>
      </c>
      <c r="X890" s="94">
        <v>3</v>
      </c>
      <c r="Y890" s="94"/>
      <c r="Z890" s="94"/>
      <c r="AA890" s="94"/>
      <c r="AB890" s="94"/>
      <c r="AC890" s="94"/>
      <c r="AD890" s="94"/>
      <c r="AE890" s="94"/>
      <c r="AF890" s="94"/>
      <c r="AG890" s="94"/>
      <c r="AH890" s="94"/>
      <c r="AI890" s="94"/>
      <c r="AJ890" s="94"/>
      <c r="AK890" s="94"/>
      <c r="AL890" s="94"/>
      <c r="AM890" s="94"/>
      <c r="AN890" s="94"/>
      <c r="AO890" s="94"/>
      <c r="AP890" s="94"/>
      <c r="AQ890" s="94"/>
      <c r="AR890" s="94"/>
      <c r="AS890" s="94"/>
      <c r="AT890" s="94"/>
      <c r="AU890" s="94"/>
      <c r="AV890" s="94"/>
      <c r="AW890" s="94"/>
      <c r="AX890" s="94"/>
      <c r="AY890" s="94"/>
      <c r="BA890" s="95"/>
    </row>
    <row r="891" spans="1:53" s="87" customFormat="1">
      <c r="A891" s="90" t="str">
        <f t="shared" si="61"/>
        <v/>
      </c>
      <c r="B891" s="98">
        <v>12</v>
      </c>
      <c r="C891" s="94">
        <v>-1</v>
      </c>
      <c r="D891" s="94" t="s">
        <v>210</v>
      </c>
      <c r="E891" s="94" t="s">
        <v>210</v>
      </c>
      <c r="F891" s="94">
        <v>-5</v>
      </c>
      <c r="G891" s="94" t="s">
        <v>210</v>
      </c>
      <c r="H891" s="94">
        <v>2</v>
      </c>
      <c r="I891" s="94">
        <v>3</v>
      </c>
      <c r="J891" s="94" t="s">
        <v>210</v>
      </c>
      <c r="K891" s="94" t="s">
        <v>210</v>
      </c>
      <c r="L891" s="94">
        <v>-1</v>
      </c>
      <c r="M891" s="94">
        <v>4</v>
      </c>
      <c r="N891" s="94" t="s">
        <v>210</v>
      </c>
      <c r="O891" s="94" t="s">
        <v>210</v>
      </c>
      <c r="P891" s="94">
        <v>5</v>
      </c>
      <c r="Q891" s="94">
        <v>-2</v>
      </c>
      <c r="R891" s="94" t="s">
        <v>210</v>
      </c>
      <c r="S891" s="94" t="s">
        <v>210</v>
      </c>
      <c r="T891" s="94">
        <v>-4</v>
      </c>
      <c r="U891" s="94">
        <v>-5</v>
      </c>
      <c r="V891" s="94" t="s">
        <v>210</v>
      </c>
      <c r="W891" s="94" t="s">
        <v>210</v>
      </c>
      <c r="X891" s="94">
        <v>-3</v>
      </c>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BA891" s="95"/>
    </row>
    <row r="892" spans="1:53" s="87" customFormat="1">
      <c r="A892" s="90" t="str">
        <f t="shared" si="61"/>
        <v/>
      </c>
      <c r="B892" s="98">
        <v>13</v>
      </c>
      <c r="C892" s="94" t="s">
        <v>210</v>
      </c>
      <c r="D892" s="94">
        <v>5</v>
      </c>
      <c r="E892" s="94">
        <v>1</v>
      </c>
      <c r="F892" s="94" t="s">
        <v>210</v>
      </c>
      <c r="G892" s="94" t="s">
        <v>210</v>
      </c>
      <c r="H892" s="94">
        <v>-4</v>
      </c>
      <c r="I892" s="94">
        <v>-5</v>
      </c>
      <c r="J892" s="94" t="s">
        <v>210</v>
      </c>
      <c r="K892" s="94" t="s">
        <v>210</v>
      </c>
      <c r="L892" s="94">
        <v>-3</v>
      </c>
      <c r="M892" s="94">
        <v>-2</v>
      </c>
      <c r="N892" s="94" t="s">
        <v>210</v>
      </c>
      <c r="O892" s="94" t="s">
        <v>202</v>
      </c>
      <c r="P892" s="94" t="s">
        <v>210</v>
      </c>
      <c r="Q892" s="94">
        <v>-1</v>
      </c>
      <c r="R892" s="94" t="s">
        <v>210</v>
      </c>
      <c r="S892" s="94" t="s">
        <v>210</v>
      </c>
      <c r="T892" s="94">
        <v>3</v>
      </c>
      <c r="U892" s="94">
        <v>5</v>
      </c>
      <c r="V892" s="94" t="s">
        <v>210</v>
      </c>
      <c r="W892" s="94" t="s">
        <v>210</v>
      </c>
      <c r="X892" s="94">
        <v>4</v>
      </c>
      <c r="Y892" s="94"/>
      <c r="Z892" s="94"/>
      <c r="AA892" s="94"/>
      <c r="AB892" s="94"/>
      <c r="AC892" s="94"/>
      <c r="AD892" s="94"/>
      <c r="AE892" s="94"/>
      <c r="AF892" s="94"/>
      <c r="AG892" s="94"/>
      <c r="AH892" s="94"/>
      <c r="AI892" s="94"/>
      <c r="AJ892" s="94"/>
      <c r="AK892" s="94"/>
      <c r="AL892" s="94"/>
      <c r="AM892" s="94"/>
      <c r="AN892" s="94"/>
      <c r="AO892" s="94"/>
      <c r="AP892" s="94"/>
      <c r="AQ892" s="94"/>
      <c r="AR892" s="94"/>
      <c r="AS892" s="94"/>
      <c r="AT892" s="94"/>
      <c r="AU892" s="94"/>
      <c r="AV892" s="94"/>
      <c r="AW892" s="94"/>
      <c r="AX892" s="94"/>
      <c r="AY892" s="94"/>
      <c r="BA892" s="95"/>
    </row>
    <row r="893" spans="1:53" s="87" customFormat="1">
      <c r="A893" s="90" t="str">
        <f t="shared" si="61"/>
        <v/>
      </c>
      <c r="B893" s="98">
        <v>14</v>
      </c>
      <c r="C893" s="94">
        <v>-4</v>
      </c>
      <c r="D893" s="94" t="s">
        <v>210</v>
      </c>
      <c r="E893" s="94" t="s">
        <v>210</v>
      </c>
      <c r="F893" s="94">
        <v>-2</v>
      </c>
      <c r="G893" s="94">
        <v>-3</v>
      </c>
      <c r="H893" s="94" t="s">
        <v>210</v>
      </c>
      <c r="I893" s="94" t="s">
        <v>210</v>
      </c>
      <c r="J893" s="94">
        <v>-5</v>
      </c>
      <c r="K893" s="94" t="s">
        <v>210</v>
      </c>
      <c r="L893" s="94">
        <v>2</v>
      </c>
      <c r="M893" s="94">
        <v>3</v>
      </c>
      <c r="N893" s="94" t="s">
        <v>210</v>
      </c>
      <c r="O893" s="94" t="s">
        <v>210</v>
      </c>
      <c r="P893" s="94">
        <v>-1</v>
      </c>
      <c r="Q893" s="94">
        <v>4</v>
      </c>
      <c r="R893" s="94" t="s">
        <v>210</v>
      </c>
      <c r="S893" s="94" t="s">
        <v>210</v>
      </c>
      <c r="T893" s="94">
        <v>5</v>
      </c>
      <c r="U893" s="94">
        <v>1</v>
      </c>
      <c r="V893" s="94" t="s">
        <v>210</v>
      </c>
      <c r="W893" s="94" t="s">
        <v>210</v>
      </c>
      <c r="X893" s="94">
        <v>-4</v>
      </c>
      <c r="Y893" s="94"/>
      <c r="Z893" s="94"/>
      <c r="AA893" s="94"/>
      <c r="AB893" s="94"/>
      <c r="AC893" s="94"/>
      <c r="AD893" s="94"/>
      <c r="AE893" s="94"/>
      <c r="AF893" s="94"/>
      <c r="AG893" s="94"/>
      <c r="AH893" s="94"/>
      <c r="AI893" s="94"/>
      <c r="AJ893" s="94"/>
      <c r="AK893" s="94"/>
      <c r="AL893" s="94"/>
      <c r="AM893" s="94"/>
      <c r="AN893" s="94"/>
      <c r="AO893" s="94"/>
      <c r="AP893" s="94"/>
      <c r="AQ893" s="94"/>
      <c r="AR893" s="94"/>
      <c r="AS893" s="94"/>
      <c r="AT893" s="94"/>
      <c r="AU893" s="94"/>
      <c r="AV893" s="94"/>
      <c r="AW893" s="94"/>
      <c r="AX893" s="94"/>
      <c r="AY893" s="94"/>
      <c r="BA893" s="95"/>
    </row>
    <row r="894" spans="1:53" s="87" customFormat="1">
      <c r="A894" s="90" t="str">
        <f t="shared" si="61"/>
        <v/>
      </c>
      <c r="B894" s="98">
        <v>15</v>
      </c>
      <c r="C894" s="94" t="s">
        <v>202</v>
      </c>
      <c r="D894" s="94" t="s">
        <v>210</v>
      </c>
      <c r="E894" s="94">
        <v>2</v>
      </c>
      <c r="F894" s="94" t="s">
        <v>210</v>
      </c>
      <c r="G894" s="94" t="s">
        <v>210</v>
      </c>
      <c r="H894" s="94">
        <v>3</v>
      </c>
      <c r="I894" s="94">
        <v>5</v>
      </c>
      <c r="J894" s="94" t="s">
        <v>210</v>
      </c>
      <c r="K894" s="94" t="s">
        <v>210</v>
      </c>
      <c r="L894" s="94">
        <v>4</v>
      </c>
      <c r="M894" s="94">
        <v>1</v>
      </c>
      <c r="N894" s="94" t="s">
        <v>210</v>
      </c>
      <c r="O894" s="94" t="s">
        <v>210</v>
      </c>
      <c r="P894" s="94">
        <v>-5</v>
      </c>
      <c r="Q894" s="94">
        <v>-4</v>
      </c>
      <c r="R894" s="94" t="s">
        <v>210</v>
      </c>
      <c r="S894" s="94" t="s">
        <v>210</v>
      </c>
      <c r="T894" s="94">
        <v>-1</v>
      </c>
      <c r="U894" s="94">
        <v>-3</v>
      </c>
      <c r="V894" s="94" t="s">
        <v>210</v>
      </c>
      <c r="W894" s="94" t="s">
        <v>210</v>
      </c>
      <c r="X894" s="94">
        <v>-2</v>
      </c>
      <c r="Y894" s="94"/>
      <c r="Z894" s="94"/>
      <c r="AA894" s="94"/>
      <c r="AB894" s="94"/>
      <c r="AC894" s="94"/>
      <c r="AD894" s="94"/>
      <c r="AE894" s="94"/>
      <c r="AF894" s="94"/>
      <c r="AG894" s="94"/>
      <c r="AH894" s="94"/>
      <c r="AI894" s="94"/>
      <c r="AJ894" s="94"/>
      <c r="AK894" s="94"/>
      <c r="AL894" s="94"/>
      <c r="AM894" s="94"/>
      <c r="AN894" s="94"/>
      <c r="AO894" s="94"/>
      <c r="AP894" s="94"/>
      <c r="AQ894" s="94"/>
      <c r="AR894" s="94"/>
      <c r="AS894" s="94"/>
      <c r="AT894" s="94"/>
      <c r="AU894" s="94"/>
      <c r="AV894" s="94"/>
      <c r="AW894" s="94"/>
      <c r="AX894" s="94"/>
      <c r="AY894" s="94"/>
      <c r="BA894" s="95"/>
    </row>
    <row r="895" spans="1:53" s="87" customFormat="1">
      <c r="A895" s="90" t="str">
        <f t="shared" si="61"/>
        <v/>
      </c>
      <c r="B895" s="98">
        <v>16</v>
      </c>
      <c r="C895" s="94">
        <v>2</v>
      </c>
      <c r="D895" s="94" t="s">
        <v>210</v>
      </c>
      <c r="E895" s="94" t="s">
        <v>210</v>
      </c>
      <c r="F895" s="94">
        <v>3</v>
      </c>
      <c r="G895" s="94">
        <v>5</v>
      </c>
      <c r="H895" s="94" t="s">
        <v>210</v>
      </c>
      <c r="I895" s="94" t="s">
        <v>210</v>
      </c>
      <c r="J895" s="94">
        <v>4</v>
      </c>
      <c r="K895" s="94">
        <v>-3</v>
      </c>
      <c r="L895" s="94" t="s">
        <v>210</v>
      </c>
      <c r="M895" s="94" t="s">
        <v>210</v>
      </c>
      <c r="N895" s="94">
        <v>-1</v>
      </c>
      <c r="O895" s="94">
        <v>-4</v>
      </c>
      <c r="P895" s="94" t="s">
        <v>210</v>
      </c>
      <c r="Q895" s="94" t="s">
        <v>210</v>
      </c>
      <c r="R895" s="94">
        <v>-2</v>
      </c>
      <c r="S895" s="94">
        <v>1</v>
      </c>
      <c r="T895" s="94" t="s">
        <v>210</v>
      </c>
      <c r="U895" s="94" t="s">
        <v>210</v>
      </c>
      <c r="V895" s="94">
        <v>-5</v>
      </c>
      <c r="W895" s="94" t="s">
        <v>210</v>
      </c>
      <c r="X895" s="94">
        <v>2</v>
      </c>
      <c r="Y895" s="94"/>
      <c r="Z895" s="94"/>
      <c r="AA895" s="94"/>
      <c r="AB895" s="94"/>
      <c r="AC895" s="94"/>
      <c r="AD895" s="94"/>
      <c r="AE895" s="94"/>
      <c r="AF895" s="94"/>
      <c r="AG895" s="94"/>
      <c r="AH895" s="94"/>
      <c r="AI895" s="94"/>
      <c r="AJ895" s="94"/>
      <c r="AK895" s="94"/>
      <c r="AL895" s="94"/>
      <c r="AM895" s="94"/>
      <c r="AN895" s="94"/>
      <c r="AO895" s="94"/>
      <c r="AP895" s="94"/>
      <c r="AQ895" s="94"/>
      <c r="AR895" s="94"/>
      <c r="AS895" s="94"/>
      <c r="AT895" s="94"/>
      <c r="AU895" s="94"/>
      <c r="AV895" s="94"/>
      <c r="AW895" s="94"/>
      <c r="AX895" s="94"/>
      <c r="AY895" s="94"/>
      <c r="BA895" s="95"/>
    </row>
    <row r="896" spans="1:53" s="87" customFormat="1">
      <c r="A896" s="90" t="str">
        <f t="shared" si="61"/>
        <v/>
      </c>
      <c r="B896" s="98">
        <v>17</v>
      </c>
      <c r="C896" s="94" t="s">
        <v>210</v>
      </c>
      <c r="D896" s="94">
        <v>-4</v>
      </c>
      <c r="E896" s="94">
        <v>-5</v>
      </c>
      <c r="F896" s="94" t="s">
        <v>210</v>
      </c>
      <c r="G896" s="94" t="s">
        <v>210</v>
      </c>
      <c r="H896" s="94">
        <v>-3</v>
      </c>
      <c r="I896" s="94">
        <v>1</v>
      </c>
      <c r="J896" s="94" t="s">
        <v>210</v>
      </c>
      <c r="K896" s="94" t="s">
        <v>202</v>
      </c>
      <c r="L896" s="94" t="s">
        <v>210</v>
      </c>
      <c r="M896" s="94">
        <v>2</v>
      </c>
      <c r="N896" s="94" t="s">
        <v>210</v>
      </c>
      <c r="O896" s="94" t="s">
        <v>210</v>
      </c>
      <c r="P896" s="94">
        <v>3</v>
      </c>
      <c r="Q896" s="94">
        <v>5</v>
      </c>
      <c r="R896" s="94" t="s">
        <v>210</v>
      </c>
      <c r="S896" s="94" t="s">
        <v>210</v>
      </c>
      <c r="T896" s="94">
        <v>4</v>
      </c>
      <c r="U896" s="94">
        <v>-1</v>
      </c>
      <c r="V896" s="94" t="s">
        <v>210</v>
      </c>
      <c r="W896" s="94" t="s">
        <v>210</v>
      </c>
      <c r="X896" s="94">
        <v>-5</v>
      </c>
      <c r="Y896" s="94"/>
      <c r="Z896" s="94"/>
      <c r="AA896" s="94"/>
      <c r="AB896" s="94"/>
      <c r="AC896" s="94"/>
      <c r="AD896" s="94"/>
      <c r="AE896" s="94"/>
      <c r="AF896" s="94"/>
      <c r="AG896" s="94"/>
      <c r="AH896" s="94"/>
      <c r="AI896" s="94"/>
      <c r="AJ896" s="94"/>
      <c r="AK896" s="94"/>
      <c r="AL896" s="94"/>
      <c r="AM896" s="94"/>
      <c r="AN896" s="94"/>
      <c r="AO896" s="94"/>
      <c r="AP896" s="94"/>
      <c r="AQ896" s="94"/>
      <c r="AR896" s="94"/>
      <c r="AS896" s="94"/>
      <c r="AT896" s="94"/>
      <c r="AU896" s="94"/>
      <c r="AV896" s="94"/>
      <c r="AW896" s="94"/>
      <c r="AX896" s="94"/>
      <c r="AY896" s="94"/>
      <c r="BA896" s="95"/>
    </row>
    <row r="897" spans="1:53" s="87" customFormat="1">
      <c r="A897" s="90" t="str">
        <f t="shared" si="61"/>
        <v/>
      </c>
      <c r="B897" s="98">
        <v>18</v>
      </c>
      <c r="C897" s="94">
        <v>-3</v>
      </c>
      <c r="D897" s="94" t="s">
        <v>210</v>
      </c>
      <c r="E897" s="94" t="s">
        <v>210</v>
      </c>
      <c r="F897" s="94">
        <v>1</v>
      </c>
      <c r="G897" s="94">
        <v>-4</v>
      </c>
      <c r="H897" s="94" t="s">
        <v>210</v>
      </c>
      <c r="I897" s="94" t="s">
        <v>210</v>
      </c>
      <c r="J897" s="94">
        <v>-2</v>
      </c>
      <c r="K897" s="94">
        <v>-1</v>
      </c>
      <c r="L897" s="94" t="s">
        <v>210</v>
      </c>
      <c r="M897" s="94" t="s">
        <v>210</v>
      </c>
      <c r="N897" s="94">
        <v>-5</v>
      </c>
      <c r="O897" s="94" t="s">
        <v>210</v>
      </c>
      <c r="P897" s="94">
        <v>2</v>
      </c>
      <c r="Q897" s="94">
        <v>3</v>
      </c>
      <c r="R897" s="94" t="s">
        <v>210</v>
      </c>
      <c r="S897" s="94" t="s">
        <v>210</v>
      </c>
      <c r="T897" s="94">
        <v>1</v>
      </c>
      <c r="U897" s="94">
        <v>4</v>
      </c>
      <c r="V897" s="94" t="s">
        <v>210</v>
      </c>
      <c r="W897" s="94" t="s">
        <v>210</v>
      </c>
      <c r="X897" s="94">
        <v>5</v>
      </c>
      <c r="Y897" s="94"/>
      <c r="Z897" s="94"/>
      <c r="AA897" s="94"/>
      <c r="AB897" s="94"/>
      <c r="AC897" s="94"/>
      <c r="AD897" s="94"/>
      <c r="AE897" s="94"/>
      <c r="AF897" s="94"/>
      <c r="AG897" s="94"/>
      <c r="AH897" s="94"/>
      <c r="AI897" s="94"/>
      <c r="AJ897" s="94"/>
      <c r="AK897" s="94"/>
      <c r="AL897" s="94"/>
      <c r="AM897" s="94"/>
      <c r="AN897" s="94"/>
      <c r="AO897" s="94"/>
      <c r="AP897" s="94"/>
      <c r="AQ897" s="94"/>
      <c r="AR897" s="94"/>
      <c r="AS897" s="94"/>
      <c r="AT897" s="94"/>
      <c r="AU897" s="94"/>
      <c r="AV897" s="94"/>
      <c r="AW897" s="94"/>
      <c r="AX897" s="94"/>
      <c r="AY897" s="94"/>
      <c r="BA897" s="95"/>
    </row>
    <row r="898" spans="1:53" s="87" customFormat="1">
      <c r="A898" s="90" t="str">
        <f t="shared" si="61"/>
        <v/>
      </c>
      <c r="B898" s="98">
        <v>19</v>
      </c>
      <c r="C898" s="94" t="s">
        <v>210</v>
      </c>
      <c r="D898" s="94">
        <v>-3</v>
      </c>
      <c r="E898" s="94">
        <v>-2</v>
      </c>
      <c r="F898" s="94" t="s">
        <v>210</v>
      </c>
      <c r="G898" s="94" t="s">
        <v>202</v>
      </c>
      <c r="H898" s="94" t="s">
        <v>210</v>
      </c>
      <c r="I898" s="94">
        <v>-1</v>
      </c>
      <c r="J898" s="94" t="s">
        <v>210</v>
      </c>
      <c r="K898" s="94" t="s">
        <v>210</v>
      </c>
      <c r="L898" s="94">
        <v>3</v>
      </c>
      <c r="M898" s="94">
        <v>5</v>
      </c>
      <c r="N898" s="94" t="s">
        <v>210</v>
      </c>
      <c r="O898" s="94" t="s">
        <v>210</v>
      </c>
      <c r="P898" s="94">
        <v>4</v>
      </c>
      <c r="Q898" s="94">
        <v>2</v>
      </c>
      <c r="R898" s="94" t="s">
        <v>210</v>
      </c>
      <c r="S898" s="94" t="s">
        <v>210</v>
      </c>
      <c r="T898" s="94">
        <v>-5</v>
      </c>
      <c r="U898" s="94">
        <v>-4</v>
      </c>
      <c r="V898" s="94" t="s">
        <v>210</v>
      </c>
      <c r="W898" s="94" t="s">
        <v>210</v>
      </c>
      <c r="X898" s="94">
        <v>1</v>
      </c>
      <c r="Y898" s="94"/>
      <c r="Z898" s="94"/>
      <c r="AA898" s="94"/>
      <c r="AB898" s="94"/>
      <c r="AC898" s="94"/>
      <c r="AD898" s="94"/>
      <c r="AE898" s="94"/>
      <c r="AF898" s="94"/>
      <c r="AG898" s="94"/>
      <c r="AH898" s="94"/>
      <c r="AI898" s="94"/>
      <c r="AJ898" s="94"/>
      <c r="AK898" s="94"/>
      <c r="AL898" s="94"/>
      <c r="AM898" s="94"/>
      <c r="AN898" s="94"/>
      <c r="AO898" s="94"/>
      <c r="AP898" s="94"/>
      <c r="AQ898" s="94"/>
      <c r="AR898" s="94"/>
      <c r="AS898" s="94"/>
      <c r="AT898" s="94"/>
      <c r="AU898" s="94"/>
      <c r="AV898" s="94"/>
      <c r="AW898" s="94"/>
      <c r="AX898" s="94"/>
      <c r="AY898" s="94"/>
      <c r="BA898" s="95"/>
    </row>
    <row r="899" spans="1:53" s="87" customFormat="1">
      <c r="A899" s="90" t="str">
        <f t="shared" si="61"/>
        <v/>
      </c>
      <c r="B899" s="98">
        <v>20</v>
      </c>
      <c r="C899" s="94">
        <v>5</v>
      </c>
      <c r="D899" s="94" t="s">
        <v>210</v>
      </c>
      <c r="E899" s="94" t="s">
        <v>210</v>
      </c>
      <c r="F899" s="94">
        <v>4</v>
      </c>
      <c r="G899" s="94">
        <v>2</v>
      </c>
      <c r="H899" s="94" t="s">
        <v>210</v>
      </c>
      <c r="I899" s="94" t="s">
        <v>210</v>
      </c>
      <c r="J899" s="94">
        <v>1</v>
      </c>
      <c r="K899" s="94">
        <v>-4</v>
      </c>
      <c r="L899" s="94" t="s">
        <v>210</v>
      </c>
      <c r="M899" s="94" t="s">
        <v>210</v>
      </c>
      <c r="N899" s="94">
        <v>-2</v>
      </c>
      <c r="O899" s="94">
        <v>-3</v>
      </c>
      <c r="P899" s="94" t="s">
        <v>210</v>
      </c>
      <c r="Q899" s="94" t="s">
        <v>210</v>
      </c>
      <c r="R899" s="94">
        <v>-5</v>
      </c>
      <c r="S899" s="94" t="s">
        <v>210</v>
      </c>
      <c r="T899" s="94">
        <v>2</v>
      </c>
      <c r="U899" s="94">
        <v>3</v>
      </c>
      <c r="V899" s="94" t="s">
        <v>210</v>
      </c>
      <c r="W899" s="94" t="s">
        <v>210</v>
      </c>
      <c r="X899" s="94">
        <v>-1</v>
      </c>
      <c r="Y899" s="94"/>
      <c r="Z899" s="94"/>
      <c r="AA899" s="94"/>
      <c r="AB899" s="94"/>
      <c r="AC899" s="94"/>
      <c r="AD899" s="94"/>
      <c r="AE899" s="94"/>
      <c r="AF899" s="94"/>
      <c r="AG899" s="94"/>
      <c r="AH899" s="94"/>
      <c r="AI899" s="94"/>
      <c r="AJ899" s="94"/>
      <c r="AK899" s="94"/>
      <c r="AL899" s="94"/>
      <c r="AM899" s="94"/>
      <c r="AN899" s="94"/>
      <c r="AO899" s="94"/>
      <c r="AP899" s="94"/>
      <c r="AQ899" s="94"/>
      <c r="AR899" s="94"/>
      <c r="AS899" s="94"/>
      <c r="AT899" s="94"/>
      <c r="AU899" s="94"/>
      <c r="AV899" s="94"/>
      <c r="AW899" s="94"/>
      <c r="AX899" s="94"/>
      <c r="AY899" s="94"/>
      <c r="BA899" s="95"/>
    </row>
    <row r="900" spans="1:53" s="87" customFormat="1">
      <c r="A900" s="90" t="str">
        <f t="shared" si="61"/>
        <v/>
      </c>
      <c r="B900" s="98">
        <v>21</v>
      </c>
      <c r="C900" s="94" t="s">
        <v>210</v>
      </c>
      <c r="D900" s="94">
        <v>2</v>
      </c>
      <c r="E900" s="94">
        <v>3</v>
      </c>
      <c r="F900" s="94" t="s">
        <v>210</v>
      </c>
      <c r="G900" s="94" t="s">
        <v>210</v>
      </c>
      <c r="H900" s="94">
        <v>1</v>
      </c>
      <c r="I900" s="94">
        <v>4</v>
      </c>
      <c r="J900" s="94" t="s">
        <v>210</v>
      </c>
      <c r="K900" s="94" t="s">
        <v>210</v>
      </c>
      <c r="L900" s="94">
        <v>5</v>
      </c>
      <c r="M900" s="94">
        <v>-1</v>
      </c>
      <c r="N900" s="94" t="s">
        <v>210</v>
      </c>
      <c r="O900" s="94" t="s">
        <v>210</v>
      </c>
      <c r="P900" s="94">
        <v>-4</v>
      </c>
      <c r="Q900" s="94">
        <v>-5</v>
      </c>
      <c r="R900" s="94" t="s">
        <v>210</v>
      </c>
      <c r="S900" s="94" t="s">
        <v>210</v>
      </c>
      <c r="T900" s="94">
        <v>-3</v>
      </c>
      <c r="U900" s="94">
        <v>-2</v>
      </c>
      <c r="V900" s="94" t="s">
        <v>210</v>
      </c>
      <c r="W900" s="94" t="s">
        <v>202</v>
      </c>
      <c r="X900" s="94" t="s">
        <v>210</v>
      </c>
      <c r="Y900" s="94"/>
      <c r="Z900" s="94"/>
      <c r="AA900" s="94"/>
      <c r="AB900" s="94"/>
      <c r="AC900" s="94"/>
      <c r="AD900" s="94"/>
      <c r="AE900" s="94"/>
      <c r="AF900" s="94"/>
      <c r="AG900" s="94"/>
      <c r="AH900" s="94"/>
      <c r="AI900" s="94"/>
      <c r="AJ900" s="94"/>
      <c r="AK900" s="94"/>
      <c r="AL900" s="94"/>
      <c r="AM900" s="94"/>
      <c r="AN900" s="94"/>
      <c r="AO900" s="94"/>
      <c r="AP900" s="94"/>
      <c r="AQ900" s="94"/>
      <c r="AR900" s="94"/>
      <c r="AS900" s="94"/>
      <c r="AT900" s="94"/>
      <c r="AU900" s="94"/>
      <c r="AV900" s="94"/>
      <c r="AW900" s="94"/>
      <c r="AX900" s="94"/>
      <c r="AY900" s="94"/>
      <c r="BA900" s="95"/>
    </row>
    <row r="901" spans="1:53" s="87" customFormat="1">
      <c r="A901" s="90" t="str">
        <f t="shared" si="61"/>
        <v/>
      </c>
      <c r="B901" s="317" t="s">
        <v>906</v>
      </c>
      <c r="C901" s="94"/>
      <c r="D901" s="94"/>
      <c r="E901" s="94"/>
      <c r="F901" s="94"/>
      <c r="G901" s="94"/>
      <c r="H901" s="94"/>
      <c r="I901" s="94"/>
      <c r="J901" s="94"/>
      <c r="K901" s="94"/>
      <c r="L901" s="94"/>
      <c r="M901" s="94"/>
      <c r="N901" s="94"/>
      <c r="O901" s="94"/>
      <c r="P901" s="94"/>
      <c r="Q901" s="94"/>
      <c r="R901" s="94"/>
      <c r="S901" s="94"/>
      <c r="T901" s="94"/>
      <c r="U901" s="94"/>
      <c r="V901" s="94"/>
      <c r="W901" s="94"/>
      <c r="X901" s="94"/>
      <c r="Y901" s="94"/>
      <c r="Z901" s="94"/>
      <c r="AA901" s="94"/>
      <c r="AB901" s="94"/>
      <c r="AC901" s="94"/>
      <c r="AD901" s="94"/>
      <c r="AE901" s="94"/>
      <c r="AF901" s="94"/>
      <c r="AG901" s="94"/>
      <c r="AH901" s="94"/>
      <c r="AI901" s="94"/>
      <c r="AJ901" s="94"/>
      <c r="AK901" s="94"/>
      <c r="AL901" s="94"/>
      <c r="AM901" s="94"/>
      <c r="AN901" s="94"/>
      <c r="AO901" s="94"/>
      <c r="AP901" s="94"/>
      <c r="AQ901" s="94"/>
      <c r="AR901" s="94"/>
      <c r="AS901" s="94"/>
      <c r="AT901" s="94"/>
      <c r="AU901" s="94"/>
      <c r="AV901" s="94"/>
      <c r="AW901" s="94"/>
      <c r="AX901" s="94"/>
      <c r="AY901" s="94"/>
      <c r="BA901" s="95"/>
    </row>
    <row r="902" spans="1:53" s="87" customFormat="1">
      <c r="A902" s="90">
        <f t="shared" si="61"/>
        <v>902</v>
      </c>
      <c r="B902" s="317" t="s">
        <v>1027</v>
      </c>
      <c r="C902" s="94"/>
      <c r="D902" s="94"/>
      <c r="E902" s="94"/>
      <c r="F902" s="94"/>
      <c r="G902" s="94"/>
      <c r="H902" s="94"/>
      <c r="I902" s="94"/>
      <c r="J902" s="94"/>
      <c r="K902" s="94"/>
      <c r="L902" s="94"/>
      <c r="M902" s="94"/>
      <c r="N902" s="94"/>
      <c r="O902" s="94"/>
      <c r="P902" s="94"/>
      <c r="Q902" s="94"/>
      <c r="R902" s="94"/>
      <c r="S902" s="94"/>
      <c r="T902" s="94"/>
      <c r="U902" s="94"/>
      <c r="V902" s="94"/>
      <c r="W902" s="94"/>
      <c r="X902" s="94"/>
      <c r="Y902" s="94"/>
      <c r="Z902" s="94"/>
      <c r="AA902" s="94"/>
      <c r="AB902" s="94"/>
      <c r="AC902" s="94"/>
      <c r="AD902" s="94"/>
      <c r="AE902" s="94"/>
      <c r="AF902" s="94"/>
      <c r="AG902" s="94"/>
      <c r="AH902" s="94"/>
      <c r="AI902" s="94"/>
      <c r="AJ902" s="94"/>
      <c r="AK902" s="94"/>
      <c r="AL902" s="94"/>
      <c r="AM902" s="94"/>
      <c r="AN902" s="94"/>
      <c r="AO902" s="94"/>
      <c r="AP902" s="94"/>
      <c r="AQ902" s="94"/>
      <c r="AR902" s="94"/>
      <c r="AS902" s="94"/>
      <c r="AT902" s="94"/>
      <c r="AU902" s="94"/>
      <c r="AV902" s="94"/>
      <c r="AW902" s="94"/>
      <c r="AX902" s="94"/>
      <c r="AY902" s="94"/>
      <c r="BA902" s="95"/>
    </row>
    <row r="903" spans="1:53" s="87" customFormat="1">
      <c r="A903" s="90" t="str">
        <f t="shared" si="61"/>
        <v/>
      </c>
      <c r="B903" s="98">
        <v>1</v>
      </c>
      <c r="C903" s="94">
        <v>-1</v>
      </c>
      <c r="D903" s="94" t="s">
        <v>210</v>
      </c>
      <c r="E903" s="94">
        <v>2</v>
      </c>
      <c r="F903" s="94" t="s">
        <v>210</v>
      </c>
      <c r="G903" s="94" t="s">
        <v>210</v>
      </c>
      <c r="H903" s="94">
        <v>-4</v>
      </c>
      <c r="I903" s="94" t="s">
        <v>210</v>
      </c>
      <c r="J903" s="94">
        <v>5</v>
      </c>
      <c r="K903" s="94" t="s">
        <v>210</v>
      </c>
      <c r="L903" s="94" t="s">
        <v>210</v>
      </c>
      <c r="M903" s="94">
        <v>-3</v>
      </c>
      <c r="N903" s="94" t="s">
        <v>210</v>
      </c>
      <c r="O903" s="94">
        <v>1</v>
      </c>
      <c r="P903" s="94" t="s">
        <v>210</v>
      </c>
      <c r="Q903" s="94" t="s">
        <v>210</v>
      </c>
      <c r="R903" s="94">
        <v>-2</v>
      </c>
      <c r="S903" s="94" t="s">
        <v>210</v>
      </c>
      <c r="T903" s="94">
        <v>4</v>
      </c>
      <c r="U903" s="94" t="s">
        <v>210</v>
      </c>
      <c r="V903" s="94" t="s">
        <v>210</v>
      </c>
      <c r="W903" s="94">
        <v>-5</v>
      </c>
      <c r="X903" s="94" t="s">
        <v>210</v>
      </c>
      <c r="Y903" s="94">
        <v>3</v>
      </c>
      <c r="Z903" s="94" t="s">
        <v>210</v>
      </c>
      <c r="AA903" s="94" t="s">
        <v>210</v>
      </c>
      <c r="AB903" s="94">
        <v>-1</v>
      </c>
      <c r="AC903" s="94" t="s">
        <v>210</v>
      </c>
      <c r="AD903" s="94" t="s">
        <v>210</v>
      </c>
      <c r="AE903" s="94">
        <v>2</v>
      </c>
      <c r="AF903" s="94" t="s">
        <v>210</v>
      </c>
      <c r="AG903" s="94"/>
      <c r="AH903" s="94"/>
      <c r="AI903" s="94"/>
      <c r="AJ903" s="94"/>
      <c r="AK903" s="94"/>
      <c r="AL903" s="94"/>
      <c r="AM903" s="94"/>
      <c r="AN903" s="94"/>
      <c r="AO903" s="94"/>
      <c r="AP903" s="94"/>
      <c r="AQ903" s="94"/>
      <c r="AR903" s="94"/>
      <c r="AS903" s="94"/>
      <c r="AT903" s="94"/>
      <c r="AU903" s="94"/>
      <c r="AV903" s="94"/>
      <c r="AW903" s="94"/>
      <c r="AX903" s="94"/>
      <c r="AY903" s="94"/>
      <c r="BA903" s="95"/>
    </row>
    <row r="904" spans="1:53" s="87" customFormat="1">
      <c r="A904" s="90" t="str">
        <f t="shared" si="61"/>
        <v/>
      </c>
      <c r="B904" s="98">
        <v>2</v>
      </c>
      <c r="C904" s="94">
        <v>-5</v>
      </c>
      <c r="D904" s="94" t="s">
        <v>210</v>
      </c>
      <c r="E904" s="94">
        <v>4</v>
      </c>
      <c r="F904" s="94" t="s">
        <v>210</v>
      </c>
      <c r="G904" s="94" t="s">
        <v>210</v>
      </c>
      <c r="H904" s="94">
        <v>-3</v>
      </c>
      <c r="I904" s="94" t="s">
        <v>210</v>
      </c>
      <c r="J904" s="94">
        <v>2</v>
      </c>
      <c r="K904" s="94" t="s">
        <v>210</v>
      </c>
      <c r="L904" s="94" t="s">
        <v>210</v>
      </c>
      <c r="M904" s="94">
        <v>-1</v>
      </c>
      <c r="N904" s="94" t="s">
        <v>210</v>
      </c>
      <c r="O904" s="94">
        <v>5</v>
      </c>
      <c r="P904" s="94" t="s">
        <v>210</v>
      </c>
      <c r="Q904" s="94" t="s">
        <v>210</v>
      </c>
      <c r="R904" s="94">
        <v>-4</v>
      </c>
      <c r="S904" s="94" t="s">
        <v>210</v>
      </c>
      <c r="T904" s="94">
        <v>3</v>
      </c>
      <c r="U904" s="94" t="s">
        <v>210</v>
      </c>
      <c r="V904" s="94" t="s">
        <v>210</v>
      </c>
      <c r="W904" s="94">
        <v>-2</v>
      </c>
      <c r="X904" s="94" t="s">
        <v>210</v>
      </c>
      <c r="Y904" s="94">
        <v>1</v>
      </c>
      <c r="Z904" s="94" t="s">
        <v>210</v>
      </c>
      <c r="AA904" s="94" t="s">
        <v>210</v>
      </c>
      <c r="AB904" s="94">
        <v>-5</v>
      </c>
      <c r="AC904" s="94" t="s">
        <v>210</v>
      </c>
      <c r="AD904" s="94" t="s">
        <v>210</v>
      </c>
      <c r="AE904" s="94">
        <v>4</v>
      </c>
      <c r="AF904" s="94" t="s">
        <v>210</v>
      </c>
      <c r="AG904" s="94"/>
      <c r="AH904" s="94"/>
      <c r="AI904" s="94"/>
      <c r="AJ904" s="94"/>
      <c r="AK904" s="94"/>
      <c r="AL904" s="94"/>
      <c r="AM904" s="94"/>
      <c r="AN904" s="94"/>
      <c r="AO904" s="94"/>
      <c r="AP904" s="94"/>
      <c r="AQ904" s="94"/>
      <c r="AR904" s="94"/>
      <c r="AS904" s="94"/>
      <c r="AT904" s="94"/>
      <c r="AU904" s="94"/>
      <c r="AV904" s="94"/>
      <c r="AW904" s="94"/>
      <c r="AX904" s="94"/>
      <c r="AY904" s="94"/>
      <c r="BA904" s="95"/>
    </row>
    <row r="905" spans="1:53" s="87" customFormat="1">
      <c r="A905" s="90" t="str">
        <f t="shared" si="61"/>
        <v/>
      </c>
      <c r="B905" s="98">
        <v>3</v>
      </c>
      <c r="C905" s="94">
        <v>-2</v>
      </c>
      <c r="D905" s="94" t="s">
        <v>210</v>
      </c>
      <c r="E905" s="94">
        <v>3</v>
      </c>
      <c r="F905" s="94" t="s">
        <v>210</v>
      </c>
      <c r="G905" s="94" t="s">
        <v>210</v>
      </c>
      <c r="H905" s="94">
        <v>-1</v>
      </c>
      <c r="I905" s="94" t="s">
        <v>210</v>
      </c>
      <c r="J905" s="94">
        <v>4</v>
      </c>
      <c r="K905" s="94" t="s">
        <v>210</v>
      </c>
      <c r="L905" s="94" t="s">
        <v>210</v>
      </c>
      <c r="M905" s="94">
        <v>-5</v>
      </c>
      <c r="N905" s="94" t="s">
        <v>210</v>
      </c>
      <c r="O905" s="94">
        <v>2</v>
      </c>
      <c r="P905" s="94" t="s">
        <v>210</v>
      </c>
      <c r="Q905" s="94" t="s">
        <v>210</v>
      </c>
      <c r="R905" s="94">
        <v>-3</v>
      </c>
      <c r="S905" s="94" t="s">
        <v>210</v>
      </c>
      <c r="T905" s="94">
        <v>1</v>
      </c>
      <c r="U905" s="94" t="s">
        <v>210</v>
      </c>
      <c r="V905" s="94" t="s">
        <v>210</v>
      </c>
      <c r="W905" s="94">
        <v>-4</v>
      </c>
      <c r="X905" s="94" t="s">
        <v>210</v>
      </c>
      <c r="Y905" s="94">
        <v>5</v>
      </c>
      <c r="Z905" s="94" t="s">
        <v>210</v>
      </c>
      <c r="AA905" s="94" t="s">
        <v>210</v>
      </c>
      <c r="AB905" s="94">
        <v>-2</v>
      </c>
      <c r="AC905" s="94" t="s">
        <v>210</v>
      </c>
      <c r="AD905" s="94" t="s">
        <v>210</v>
      </c>
      <c r="AE905" s="94">
        <v>3</v>
      </c>
      <c r="AF905" s="94" t="s">
        <v>210</v>
      </c>
      <c r="AG905" s="94"/>
      <c r="AH905" s="94"/>
      <c r="AI905" s="94"/>
      <c r="AJ905" s="94"/>
      <c r="AK905" s="94"/>
      <c r="AL905" s="94"/>
      <c r="AM905" s="94"/>
      <c r="AN905" s="94"/>
      <c r="AO905" s="94"/>
      <c r="AP905" s="94"/>
      <c r="AQ905" s="94"/>
      <c r="AR905" s="94"/>
      <c r="AS905" s="94"/>
      <c r="AT905" s="94"/>
      <c r="AU905" s="94"/>
      <c r="AV905" s="94"/>
      <c r="AW905" s="94"/>
      <c r="AX905" s="94"/>
      <c r="AY905" s="94"/>
      <c r="BA905" s="95"/>
    </row>
    <row r="906" spans="1:53" s="87" customFormat="1">
      <c r="A906" s="90" t="str">
        <f t="shared" si="61"/>
        <v/>
      </c>
      <c r="B906" s="98">
        <v>4</v>
      </c>
      <c r="C906" s="94">
        <v>-4</v>
      </c>
      <c r="D906" s="94" t="s">
        <v>210</v>
      </c>
      <c r="E906" s="94">
        <v>1</v>
      </c>
      <c r="F906" s="94" t="s">
        <v>210</v>
      </c>
      <c r="G906" s="94" t="s">
        <v>210</v>
      </c>
      <c r="H906" s="94">
        <v>-5</v>
      </c>
      <c r="I906" s="94" t="s">
        <v>210</v>
      </c>
      <c r="J906" s="94">
        <v>3</v>
      </c>
      <c r="K906" s="94" t="s">
        <v>210</v>
      </c>
      <c r="L906" s="94" t="s">
        <v>210</v>
      </c>
      <c r="M906" s="94">
        <v>-2</v>
      </c>
      <c r="N906" s="94" t="s">
        <v>210</v>
      </c>
      <c r="O906" s="94">
        <v>4</v>
      </c>
      <c r="P906" s="94" t="s">
        <v>210</v>
      </c>
      <c r="Q906" s="94" t="s">
        <v>210</v>
      </c>
      <c r="R906" s="94">
        <v>-1</v>
      </c>
      <c r="S906" s="94" t="s">
        <v>210</v>
      </c>
      <c r="T906" s="94">
        <v>5</v>
      </c>
      <c r="U906" s="94" t="s">
        <v>210</v>
      </c>
      <c r="V906" s="94" t="s">
        <v>210</v>
      </c>
      <c r="W906" s="94">
        <v>-3</v>
      </c>
      <c r="X906" s="94" t="s">
        <v>210</v>
      </c>
      <c r="Y906" s="94">
        <v>2</v>
      </c>
      <c r="Z906" s="94" t="s">
        <v>210</v>
      </c>
      <c r="AA906" s="94" t="s">
        <v>210</v>
      </c>
      <c r="AB906" s="94">
        <v>-4</v>
      </c>
      <c r="AC906" s="94" t="s">
        <v>210</v>
      </c>
      <c r="AD906" s="94" t="s">
        <v>210</v>
      </c>
      <c r="AE906" s="94">
        <v>1</v>
      </c>
      <c r="AF906" s="94" t="s">
        <v>210</v>
      </c>
      <c r="AG906" s="94"/>
      <c r="AH906" s="94"/>
      <c r="AI906" s="94"/>
      <c r="AJ906" s="94"/>
      <c r="AK906" s="94"/>
      <c r="AL906" s="94"/>
      <c r="AM906" s="94"/>
      <c r="AN906" s="94"/>
      <c r="AO906" s="94"/>
      <c r="AP906" s="94"/>
      <c r="AQ906" s="94"/>
      <c r="AR906" s="94"/>
      <c r="AS906" s="94"/>
      <c r="AT906" s="94"/>
      <c r="AU906" s="94"/>
      <c r="AV906" s="94"/>
      <c r="AW906" s="94"/>
      <c r="AX906" s="94"/>
      <c r="AY906" s="94"/>
      <c r="BA906" s="95"/>
    </row>
    <row r="907" spans="1:53" s="87" customFormat="1">
      <c r="A907" s="90" t="str">
        <f t="shared" si="61"/>
        <v/>
      </c>
      <c r="B907" s="99">
        <v>5</v>
      </c>
      <c r="C907" s="92">
        <v>-3</v>
      </c>
      <c r="D907" s="92" t="s">
        <v>210</v>
      </c>
      <c r="E907" s="92">
        <v>5</v>
      </c>
      <c r="F907" s="92" t="s">
        <v>210</v>
      </c>
      <c r="G907" s="92" t="s">
        <v>210</v>
      </c>
      <c r="H907" s="92">
        <v>-2</v>
      </c>
      <c r="I907" s="92" t="s">
        <v>210</v>
      </c>
      <c r="J907" s="92">
        <v>1</v>
      </c>
      <c r="K907" s="92" t="s">
        <v>210</v>
      </c>
      <c r="L907" s="92" t="s">
        <v>210</v>
      </c>
      <c r="M907" s="92">
        <v>-4</v>
      </c>
      <c r="N907" s="92" t="s">
        <v>210</v>
      </c>
      <c r="O907" s="92">
        <v>3</v>
      </c>
      <c r="P907" s="92" t="s">
        <v>210</v>
      </c>
      <c r="Q907" s="92" t="s">
        <v>210</v>
      </c>
      <c r="R907" s="92">
        <v>-5</v>
      </c>
      <c r="S907" s="92" t="s">
        <v>210</v>
      </c>
      <c r="T907" s="92">
        <v>2</v>
      </c>
      <c r="U907" s="92" t="s">
        <v>210</v>
      </c>
      <c r="V907" s="92" t="s">
        <v>210</v>
      </c>
      <c r="W907" s="92">
        <v>-1</v>
      </c>
      <c r="X907" s="92" t="s">
        <v>210</v>
      </c>
      <c r="Y907" s="92">
        <v>4</v>
      </c>
      <c r="Z907" s="92" t="s">
        <v>210</v>
      </c>
      <c r="AA907" s="92" t="s">
        <v>210</v>
      </c>
      <c r="AB907" s="92">
        <v>-3</v>
      </c>
      <c r="AC907" s="92" t="s">
        <v>210</v>
      </c>
      <c r="AD907" s="92" t="s">
        <v>210</v>
      </c>
      <c r="AE907" s="92">
        <v>5</v>
      </c>
      <c r="AF907" s="92" t="s">
        <v>210</v>
      </c>
      <c r="AG907" s="94"/>
      <c r="AH907" s="94"/>
      <c r="AI907" s="94"/>
      <c r="AJ907" s="94"/>
      <c r="AK907" s="94"/>
      <c r="AL907" s="94"/>
      <c r="AM907" s="94"/>
      <c r="AN907" s="94"/>
      <c r="AO907" s="94"/>
      <c r="AP907" s="94"/>
      <c r="AQ907" s="94"/>
      <c r="AR907" s="94"/>
      <c r="AS907" s="94"/>
      <c r="AT907" s="94"/>
      <c r="AU907" s="94"/>
      <c r="AV907" s="94"/>
      <c r="AW907" s="94"/>
      <c r="AX907" s="94"/>
      <c r="AY907" s="94"/>
      <c r="BA907" s="95"/>
    </row>
    <row r="908" spans="1:53" s="87" customFormat="1">
      <c r="A908" s="90" t="str">
        <f t="shared" ref="A908:A971" si="62">IF(MID(B908,3,2)="05",ROW(),"")</f>
        <v/>
      </c>
      <c r="B908" s="98">
        <v>6</v>
      </c>
      <c r="C908" s="94">
        <v>1</v>
      </c>
      <c r="D908" s="94" t="s">
        <v>210</v>
      </c>
      <c r="E908" s="94" t="s">
        <v>210</v>
      </c>
      <c r="F908" s="94">
        <v>-4</v>
      </c>
      <c r="G908" s="94" t="s">
        <v>210</v>
      </c>
      <c r="H908" s="94">
        <v>2</v>
      </c>
      <c r="I908" s="94" t="s">
        <v>210</v>
      </c>
      <c r="J908" s="94" t="s">
        <v>210</v>
      </c>
      <c r="K908" s="94">
        <v>-3</v>
      </c>
      <c r="L908" s="94" t="s">
        <v>210</v>
      </c>
      <c r="M908" s="94">
        <v>5</v>
      </c>
      <c r="N908" s="94" t="s">
        <v>210</v>
      </c>
      <c r="O908" s="94" t="s">
        <v>210</v>
      </c>
      <c r="P908" s="94">
        <v>-2</v>
      </c>
      <c r="Q908" s="94" t="s">
        <v>210</v>
      </c>
      <c r="R908" s="94">
        <v>4</v>
      </c>
      <c r="S908" s="94" t="s">
        <v>210</v>
      </c>
      <c r="T908" s="94" t="s">
        <v>210</v>
      </c>
      <c r="U908" s="94">
        <v>-1</v>
      </c>
      <c r="V908" s="94" t="s">
        <v>210</v>
      </c>
      <c r="W908" s="94">
        <v>3</v>
      </c>
      <c r="X908" s="94" t="s">
        <v>210</v>
      </c>
      <c r="Y908" s="94" t="s">
        <v>210</v>
      </c>
      <c r="Z908" s="94">
        <v>-5</v>
      </c>
      <c r="AA908" s="94" t="s">
        <v>210</v>
      </c>
      <c r="AB908" s="94" t="s">
        <v>210</v>
      </c>
      <c r="AC908" s="94">
        <v>-4</v>
      </c>
      <c r="AD908" s="94" t="s">
        <v>210</v>
      </c>
      <c r="AE908" s="94" t="s">
        <v>210</v>
      </c>
      <c r="AF908" s="94">
        <v>2</v>
      </c>
      <c r="AG908" s="94"/>
      <c r="AH908" s="94"/>
      <c r="AI908" s="94"/>
      <c r="AJ908" s="94"/>
      <c r="AK908" s="94"/>
      <c r="AL908" s="94"/>
      <c r="AM908" s="94"/>
      <c r="AN908" s="94"/>
      <c r="AO908" s="94"/>
      <c r="AP908" s="94"/>
      <c r="AQ908" s="94"/>
      <c r="AR908" s="94"/>
      <c r="AS908" s="94"/>
      <c r="AT908" s="94"/>
      <c r="AU908" s="94"/>
      <c r="AV908" s="94"/>
      <c r="AW908" s="94"/>
      <c r="AX908" s="94"/>
      <c r="AY908" s="94"/>
      <c r="BA908" s="95"/>
    </row>
    <row r="909" spans="1:53" s="87" customFormat="1">
      <c r="A909" s="90" t="str">
        <f t="shared" si="62"/>
        <v/>
      </c>
      <c r="B909" s="98">
        <v>7</v>
      </c>
      <c r="C909" s="94">
        <v>5</v>
      </c>
      <c r="D909" s="94" t="s">
        <v>210</v>
      </c>
      <c r="E909" s="94" t="s">
        <v>210</v>
      </c>
      <c r="F909" s="94">
        <v>-3</v>
      </c>
      <c r="G909" s="94" t="s">
        <v>210</v>
      </c>
      <c r="H909" s="94">
        <v>4</v>
      </c>
      <c r="I909" s="94" t="s">
        <v>210</v>
      </c>
      <c r="J909" s="94" t="s">
        <v>210</v>
      </c>
      <c r="K909" s="94">
        <v>-1</v>
      </c>
      <c r="L909" s="94" t="s">
        <v>210</v>
      </c>
      <c r="M909" s="94">
        <v>2</v>
      </c>
      <c r="N909" s="94" t="s">
        <v>210</v>
      </c>
      <c r="O909" s="94" t="s">
        <v>210</v>
      </c>
      <c r="P909" s="94">
        <v>-4</v>
      </c>
      <c r="Q909" s="94" t="s">
        <v>210</v>
      </c>
      <c r="R909" s="94">
        <v>3</v>
      </c>
      <c r="S909" s="94" t="s">
        <v>210</v>
      </c>
      <c r="T909" s="94" t="s">
        <v>210</v>
      </c>
      <c r="U909" s="94">
        <v>-5</v>
      </c>
      <c r="V909" s="94" t="s">
        <v>210</v>
      </c>
      <c r="W909" s="94">
        <v>1</v>
      </c>
      <c r="X909" s="94" t="s">
        <v>210</v>
      </c>
      <c r="Y909" s="94" t="s">
        <v>210</v>
      </c>
      <c r="Z909" s="94">
        <v>-2</v>
      </c>
      <c r="AA909" s="94" t="s">
        <v>210</v>
      </c>
      <c r="AB909" s="94" t="s">
        <v>210</v>
      </c>
      <c r="AC909" s="94">
        <v>-3</v>
      </c>
      <c r="AD909" s="94" t="s">
        <v>210</v>
      </c>
      <c r="AE909" s="94" t="s">
        <v>210</v>
      </c>
      <c r="AF909" s="94">
        <v>4</v>
      </c>
      <c r="AG909" s="94"/>
      <c r="AH909" s="94"/>
      <c r="AI909" s="94"/>
      <c r="AJ909" s="94"/>
      <c r="AK909" s="94"/>
      <c r="AL909" s="94"/>
      <c r="AM909" s="94"/>
      <c r="AN909" s="94"/>
      <c r="AO909" s="94"/>
      <c r="AP909" s="94"/>
      <c r="AQ909" s="94"/>
      <c r="AR909" s="94"/>
      <c r="AS909" s="94"/>
      <c r="AT909" s="94"/>
      <c r="AU909" s="94"/>
      <c r="AV909" s="94"/>
      <c r="AW909" s="94"/>
      <c r="AX909" s="94"/>
      <c r="AY909" s="94"/>
      <c r="BA909" s="95"/>
    </row>
    <row r="910" spans="1:53" s="87" customFormat="1">
      <c r="A910" s="90" t="str">
        <f t="shared" si="62"/>
        <v/>
      </c>
      <c r="B910" s="98">
        <v>8</v>
      </c>
      <c r="C910" s="94">
        <v>2</v>
      </c>
      <c r="D910" s="94" t="s">
        <v>210</v>
      </c>
      <c r="E910" s="94" t="s">
        <v>210</v>
      </c>
      <c r="F910" s="94">
        <v>-1</v>
      </c>
      <c r="G910" s="94" t="s">
        <v>210</v>
      </c>
      <c r="H910" s="94">
        <v>3</v>
      </c>
      <c r="I910" s="94" t="s">
        <v>210</v>
      </c>
      <c r="J910" s="94" t="s">
        <v>210</v>
      </c>
      <c r="K910" s="94">
        <v>-5</v>
      </c>
      <c r="L910" s="94" t="s">
        <v>210</v>
      </c>
      <c r="M910" s="94">
        <v>4</v>
      </c>
      <c r="N910" s="94" t="s">
        <v>210</v>
      </c>
      <c r="O910" s="94" t="s">
        <v>210</v>
      </c>
      <c r="P910" s="94">
        <v>-3</v>
      </c>
      <c r="Q910" s="94" t="s">
        <v>210</v>
      </c>
      <c r="R910" s="94">
        <v>1</v>
      </c>
      <c r="S910" s="94" t="s">
        <v>210</v>
      </c>
      <c r="T910" s="94" t="s">
        <v>210</v>
      </c>
      <c r="U910" s="94">
        <v>-2</v>
      </c>
      <c r="V910" s="94" t="s">
        <v>210</v>
      </c>
      <c r="W910" s="94">
        <v>5</v>
      </c>
      <c r="X910" s="94" t="s">
        <v>210</v>
      </c>
      <c r="Y910" s="94" t="s">
        <v>210</v>
      </c>
      <c r="Z910" s="94">
        <v>-4</v>
      </c>
      <c r="AA910" s="94" t="s">
        <v>210</v>
      </c>
      <c r="AB910" s="94" t="s">
        <v>210</v>
      </c>
      <c r="AC910" s="94">
        <v>-1</v>
      </c>
      <c r="AD910" s="94" t="s">
        <v>210</v>
      </c>
      <c r="AE910" s="94" t="s">
        <v>210</v>
      </c>
      <c r="AF910" s="94">
        <v>3</v>
      </c>
      <c r="AG910" s="94"/>
      <c r="AH910" s="94"/>
      <c r="AI910" s="94"/>
      <c r="AJ910" s="94"/>
      <c r="AK910" s="94"/>
      <c r="AL910" s="94"/>
      <c r="AM910" s="94"/>
      <c r="AN910" s="94"/>
      <c r="AO910" s="94"/>
      <c r="AP910" s="94"/>
      <c r="AQ910" s="94"/>
      <c r="AR910" s="94"/>
      <c r="AS910" s="94"/>
      <c r="AT910" s="94"/>
      <c r="AU910" s="94"/>
      <c r="AV910" s="94"/>
      <c r="AW910" s="94"/>
      <c r="AX910" s="94"/>
      <c r="AY910" s="94"/>
      <c r="BA910" s="95"/>
    </row>
    <row r="911" spans="1:53" s="87" customFormat="1">
      <c r="A911" s="90" t="str">
        <f t="shared" si="62"/>
        <v/>
      </c>
      <c r="B911" s="98">
        <v>9</v>
      </c>
      <c r="C911" s="94">
        <v>4</v>
      </c>
      <c r="D911" s="94" t="s">
        <v>210</v>
      </c>
      <c r="E911" s="94" t="s">
        <v>210</v>
      </c>
      <c r="F911" s="94">
        <v>-5</v>
      </c>
      <c r="G911" s="94" t="s">
        <v>210</v>
      </c>
      <c r="H911" s="94">
        <v>1</v>
      </c>
      <c r="I911" s="94" t="s">
        <v>210</v>
      </c>
      <c r="J911" s="94" t="s">
        <v>210</v>
      </c>
      <c r="K911" s="94">
        <v>-2</v>
      </c>
      <c r="L911" s="94" t="s">
        <v>210</v>
      </c>
      <c r="M911" s="94">
        <v>3</v>
      </c>
      <c r="N911" s="94" t="s">
        <v>210</v>
      </c>
      <c r="O911" s="94" t="s">
        <v>210</v>
      </c>
      <c r="P911" s="94">
        <v>-1</v>
      </c>
      <c r="Q911" s="94" t="s">
        <v>210</v>
      </c>
      <c r="R911" s="94">
        <v>5</v>
      </c>
      <c r="S911" s="94" t="s">
        <v>210</v>
      </c>
      <c r="T911" s="94" t="s">
        <v>210</v>
      </c>
      <c r="U911" s="94">
        <v>-4</v>
      </c>
      <c r="V911" s="94" t="s">
        <v>210</v>
      </c>
      <c r="W911" s="94">
        <v>2</v>
      </c>
      <c r="X911" s="94" t="s">
        <v>210</v>
      </c>
      <c r="Y911" s="94" t="s">
        <v>210</v>
      </c>
      <c r="Z911" s="94">
        <v>-3</v>
      </c>
      <c r="AA911" s="94" t="s">
        <v>210</v>
      </c>
      <c r="AB911" s="94" t="s">
        <v>210</v>
      </c>
      <c r="AC911" s="94">
        <v>-5</v>
      </c>
      <c r="AD911" s="94" t="s">
        <v>210</v>
      </c>
      <c r="AE911" s="94" t="s">
        <v>210</v>
      </c>
      <c r="AF911" s="94">
        <v>1</v>
      </c>
      <c r="AG911" s="94"/>
      <c r="AH911" s="94"/>
      <c r="AI911" s="94"/>
      <c r="AJ911" s="94"/>
      <c r="AK911" s="94"/>
      <c r="AL911" s="94"/>
      <c r="AM911" s="94"/>
      <c r="AN911" s="94"/>
      <c r="AO911" s="94"/>
      <c r="AP911" s="94"/>
      <c r="AQ911" s="94"/>
      <c r="AR911" s="94"/>
      <c r="AS911" s="94"/>
      <c r="AT911" s="94"/>
      <c r="AU911" s="94"/>
      <c r="AV911" s="94"/>
      <c r="AW911" s="94"/>
      <c r="AX911" s="94"/>
      <c r="AY911" s="94"/>
      <c r="BA911" s="95"/>
    </row>
    <row r="912" spans="1:53" s="87" customFormat="1">
      <c r="A912" s="90" t="str">
        <f t="shared" si="62"/>
        <v/>
      </c>
      <c r="B912" s="99">
        <v>10</v>
      </c>
      <c r="C912" s="92">
        <v>3</v>
      </c>
      <c r="D912" s="92" t="s">
        <v>210</v>
      </c>
      <c r="E912" s="92" t="s">
        <v>210</v>
      </c>
      <c r="F912" s="92">
        <v>-2</v>
      </c>
      <c r="G912" s="92" t="s">
        <v>210</v>
      </c>
      <c r="H912" s="92">
        <v>5</v>
      </c>
      <c r="I912" s="92" t="s">
        <v>210</v>
      </c>
      <c r="J912" s="92" t="s">
        <v>210</v>
      </c>
      <c r="K912" s="92">
        <v>-4</v>
      </c>
      <c r="L912" s="92" t="s">
        <v>210</v>
      </c>
      <c r="M912" s="92">
        <v>1</v>
      </c>
      <c r="N912" s="92" t="s">
        <v>210</v>
      </c>
      <c r="O912" s="92" t="s">
        <v>210</v>
      </c>
      <c r="P912" s="92">
        <v>-5</v>
      </c>
      <c r="Q912" s="92" t="s">
        <v>210</v>
      </c>
      <c r="R912" s="92">
        <v>2</v>
      </c>
      <c r="S912" s="92" t="s">
        <v>210</v>
      </c>
      <c r="T912" s="92" t="s">
        <v>210</v>
      </c>
      <c r="U912" s="92">
        <v>-3</v>
      </c>
      <c r="V912" s="92" t="s">
        <v>210</v>
      </c>
      <c r="W912" s="92">
        <v>4</v>
      </c>
      <c r="X912" s="92" t="s">
        <v>210</v>
      </c>
      <c r="Y912" s="92" t="s">
        <v>210</v>
      </c>
      <c r="Z912" s="92">
        <v>-1</v>
      </c>
      <c r="AA912" s="92" t="s">
        <v>210</v>
      </c>
      <c r="AB912" s="92" t="s">
        <v>210</v>
      </c>
      <c r="AC912" s="92">
        <v>-2</v>
      </c>
      <c r="AD912" s="92" t="s">
        <v>210</v>
      </c>
      <c r="AE912" s="92" t="s">
        <v>210</v>
      </c>
      <c r="AF912" s="92">
        <v>5</v>
      </c>
      <c r="AG912" s="94"/>
      <c r="AH912" s="94"/>
      <c r="AI912" s="94"/>
      <c r="AJ912" s="94"/>
      <c r="AK912" s="94"/>
      <c r="AL912" s="94"/>
      <c r="AM912" s="94"/>
      <c r="AN912" s="94"/>
      <c r="AO912" s="94"/>
      <c r="AP912" s="94"/>
      <c r="AQ912" s="94"/>
      <c r="AR912" s="94"/>
      <c r="AS912" s="94"/>
      <c r="AT912" s="94"/>
      <c r="AU912" s="94"/>
      <c r="AV912" s="94"/>
      <c r="AW912" s="94"/>
      <c r="AX912" s="94"/>
      <c r="AY912" s="94"/>
      <c r="BA912" s="95"/>
    </row>
    <row r="913" spans="1:53" s="87" customFormat="1">
      <c r="A913" s="90" t="str">
        <f t="shared" si="62"/>
        <v/>
      </c>
      <c r="B913" s="98">
        <v>11</v>
      </c>
      <c r="C913" s="94" t="s">
        <v>210</v>
      </c>
      <c r="D913" s="94">
        <v>-4</v>
      </c>
      <c r="E913" s="94" t="s">
        <v>210</v>
      </c>
      <c r="F913" s="94">
        <v>2</v>
      </c>
      <c r="G913" s="94" t="s">
        <v>210</v>
      </c>
      <c r="H913" s="94" t="s">
        <v>210</v>
      </c>
      <c r="I913" s="94">
        <v>-1</v>
      </c>
      <c r="J913" s="94" t="s">
        <v>210</v>
      </c>
      <c r="K913" s="94">
        <v>5</v>
      </c>
      <c r="L913" s="94" t="s">
        <v>210</v>
      </c>
      <c r="M913" s="94" t="s">
        <v>210</v>
      </c>
      <c r="N913" s="94">
        <v>-3</v>
      </c>
      <c r="O913" s="94" t="s">
        <v>210</v>
      </c>
      <c r="P913" s="94">
        <v>4</v>
      </c>
      <c r="Q913" s="94" t="s">
        <v>210</v>
      </c>
      <c r="R913" s="94" t="s">
        <v>210</v>
      </c>
      <c r="S913" s="94">
        <v>-2</v>
      </c>
      <c r="T913" s="94" t="s">
        <v>210</v>
      </c>
      <c r="U913" s="94">
        <v>1</v>
      </c>
      <c r="V913" s="94" t="s">
        <v>210</v>
      </c>
      <c r="W913" s="94" t="s">
        <v>210</v>
      </c>
      <c r="X913" s="94">
        <v>-5</v>
      </c>
      <c r="Y913" s="94" t="s">
        <v>210</v>
      </c>
      <c r="Z913" s="94">
        <v>3</v>
      </c>
      <c r="AA913" s="94" t="s">
        <v>210</v>
      </c>
      <c r="AB913" s="94">
        <v>1</v>
      </c>
      <c r="AC913" s="94" t="s">
        <v>210</v>
      </c>
      <c r="AD913" s="94">
        <v>-4</v>
      </c>
      <c r="AE913" s="94" t="s">
        <v>210</v>
      </c>
      <c r="AF913" s="94" t="s">
        <v>210</v>
      </c>
      <c r="AG913" s="94"/>
      <c r="AH913" s="94"/>
      <c r="AI913" s="94"/>
      <c r="AJ913" s="94"/>
      <c r="AK913" s="94"/>
      <c r="AL913" s="94"/>
      <c r="AM913" s="94"/>
      <c r="AN913" s="94"/>
      <c r="AO913" s="94"/>
      <c r="AP913" s="94"/>
      <c r="AQ913" s="94"/>
      <c r="AR913" s="94"/>
      <c r="AS913" s="94"/>
      <c r="AT913" s="94"/>
      <c r="AU913" s="94"/>
      <c r="AV913" s="94"/>
      <c r="AW913" s="94"/>
      <c r="AX913" s="94"/>
      <c r="AY913" s="94"/>
      <c r="BA913" s="95"/>
    </row>
    <row r="914" spans="1:53" s="87" customFormat="1">
      <c r="A914" s="90" t="str">
        <f t="shared" si="62"/>
        <v/>
      </c>
      <c r="B914" s="98">
        <v>12</v>
      </c>
      <c r="C914" s="94" t="s">
        <v>210</v>
      </c>
      <c r="D914" s="94">
        <v>-3</v>
      </c>
      <c r="E914" s="94" t="s">
        <v>210</v>
      </c>
      <c r="F914" s="94">
        <v>4</v>
      </c>
      <c r="G914" s="94" t="s">
        <v>210</v>
      </c>
      <c r="H914" s="94" t="s">
        <v>210</v>
      </c>
      <c r="I914" s="94">
        <v>-5</v>
      </c>
      <c r="J914" s="94" t="s">
        <v>210</v>
      </c>
      <c r="K914" s="94">
        <v>2</v>
      </c>
      <c r="L914" s="94" t="s">
        <v>210</v>
      </c>
      <c r="M914" s="94" t="s">
        <v>210</v>
      </c>
      <c r="N914" s="94">
        <v>-1</v>
      </c>
      <c r="O914" s="94" t="s">
        <v>210</v>
      </c>
      <c r="P914" s="94">
        <v>3</v>
      </c>
      <c r="Q914" s="94" t="s">
        <v>210</v>
      </c>
      <c r="R914" s="94" t="s">
        <v>210</v>
      </c>
      <c r="S914" s="94">
        <v>-4</v>
      </c>
      <c r="T914" s="94" t="s">
        <v>210</v>
      </c>
      <c r="U914" s="94">
        <v>5</v>
      </c>
      <c r="V914" s="94" t="s">
        <v>210</v>
      </c>
      <c r="W914" s="94" t="s">
        <v>210</v>
      </c>
      <c r="X914" s="94">
        <v>-2</v>
      </c>
      <c r="Y914" s="94" t="s">
        <v>210</v>
      </c>
      <c r="Z914" s="94">
        <v>1</v>
      </c>
      <c r="AA914" s="94" t="s">
        <v>210</v>
      </c>
      <c r="AB914" s="94">
        <v>5</v>
      </c>
      <c r="AC914" s="94" t="s">
        <v>210</v>
      </c>
      <c r="AD914" s="94">
        <v>-3</v>
      </c>
      <c r="AE914" s="94" t="s">
        <v>210</v>
      </c>
      <c r="AF914" s="94" t="s">
        <v>210</v>
      </c>
      <c r="AG914" s="94"/>
      <c r="AH914" s="94"/>
      <c r="AI914" s="94"/>
      <c r="AJ914" s="94"/>
      <c r="AK914" s="94"/>
      <c r="AL914" s="94"/>
      <c r="AM914" s="94"/>
      <c r="AN914" s="94"/>
      <c r="AO914" s="94"/>
      <c r="AP914" s="94"/>
      <c r="AQ914" s="94"/>
      <c r="AR914" s="94"/>
      <c r="AS914" s="94"/>
      <c r="AT914" s="94"/>
      <c r="AU914" s="94"/>
      <c r="AV914" s="94"/>
      <c r="AW914" s="94"/>
      <c r="AX914" s="94"/>
      <c r="AY914" s="94"/>
      <c r="BA914" s="95"/>
    </row>
    <row r="915" spans="1:53" s="87" customFormat="1">
      <c r="A915" s="90" t="str">
        <f t="shared" si="62"/>
        <v/>
      </c>
      <c r="B915" s="98">
        <v>13</v>
      </c>
      <c r="C915" s="94" t="s">
        <v>210</v>
      </c>
      <c r="D915" s="94">
        <v>-1</v>
      </c>
      <c r="E915" s="94" t="s">
        <v>210</v>
      </c>
      <c r="F915" s="94">
        <v>3</v>
      </c>
      <c r="G915" s="94" t="s">
        <v>210</v>
      </c>
      <c r="H915" s="94" t="s">
        <v>210</v>
      </c>
      <c r="I915" s="94">
        <v>-2</v>
      </c>
      <c r="J915" s="94" t="s">
        <v>210</v>
      </c>
      <c r="K915" s="94">
        <v>4</v>
      </c>
      <c r="L915" s="94" t="s">
        <v>210</v>
      </c>
      <c r="M915" s="94" t="s">
        <v>210</v>
      </c>
      <c r="N915" s="94">
        <v>-5</v>
      </c>
      <c r="O915" s="94" t="s">
        <v>210</v>
      </c>
      <c r="P915" s="94">
        <v>1</v>
      </c>
      <c r="Q915" s="94" t="s">
        <v>210</v>
      </c>
      <c r="R915" s="94" t="s">
        <v>210</v>
      </c>
      <c r="S915" s="94">
        <v>-3</v>
      </c>
      <c r="T915" s="94" t="s">
        <v>210</v>
      </c>
      <c r="U915" s="94">
        <v>2</v>
      </c>
      <c r="V915" s="94" t="s">
        <v>210</v>
      </c>
      <c r="W915" s="94" t="s">
        <v>210</v>
      </c>
      <c r="X915" s="94">
        <v>-4</v>
      </c>
      <c r="Y915" s="94" t="s">
        <v>210</v>
      </c>
      <c r="Z915" s="94">
        <v>5</v>
      </c>
      <c r="AA915" s="94" t="s">
        <v>210</v>
      </c>
      <c r="AB915" s="94">
        <v>2</v>
      </c>
      <c r="AC915" s="94" t="s">
        <v>210</v>
      </c>
      <c r="AD915" s="94">
        <v>-1</v>
      </c>
      <c r="AE915" s="94" t="s">
        <v>210</v>
      </c>
      <c r="AF915" s="94" t="s">
        <v>210</v>
      </c>
      <c r="AG915" s="94"/>
      <c r="AH915" s="94"/>
      <c r="AI915" s="94"/>
      <c r="AJ915" s="94"/>
      <c r="AK915" s="94"/>
      <c r="AL915" s="94"/>
      <c r="AM915" s="94"/>
      <c r="AN915" s="94"/>
      <c r="AO915" s="94"/>
      <c r="AP915" s="94"/>
      <c r="AQ915" s="94"/>
      <c r="AR915" s="94"/>
      <c r="AS915" s="94"/>
      <c r="AT915" s="94"/>
      <c r="AU915" s="94"/>
      <c r="AV915" s="94"/>
      <c r="AW915" s="94"/>
      <c r="AX915" s="94"/>
      <c r="AY915" s="94"/>
      <c r="BA915" s="95"/>
    </row>
    <row r="916" spans="1:53" s="87" customFormat="1">
      <c r="A916" s="90" t="str">
        <f t="shared" si="62"/>
        <v/>
      </c>
      <c r="B916" s="98">
        <v>14</v>
      </c>
      <c r="C916" s="94" t="s">
        <v>210</v>
      </c>
      <c r="D916" s="94">
        <v>-5</v>
      </c>
      <c r="E916" s="94" t="s">
        <v>210</v>
      </c>
      <c r="F916" s="94">
        <v>1</v>
      </c>
      <c r="G916" s="94" t="s">
        <v>210</v>
      </c>
      <c r="H916" s="94" t="s">
        <v>210</v>
      </c>
      <c r="I916" s="94">
        <v>-4</v>
      </c>
      <c r="J916" s="94" t="s">
        <v>210</v>
      </c>
      <c r="K916" s="94">
        <v>3</v>
      </c>
      <c r="L916" s="94" t="s">
        <v>210</v>
      </c>
      <c r="M916" s="94" t="s">
        <v>210</v>
      </c>
      <c r="N916" s="94">
        <v>-2</v>
      </c>
      <c r="O916" s="94" t="s">
        <v>210</v>
      </c>
      <c r="P916" s="94">
        <v>5</v>
      </c>
      <c r="Q916" s="94" t="s">
        <v>210</v>
      </c>
      <c r="R916" s="94" t="s">
        <v>210</v>
      </c>
      <c r="S916" s="94">
        <v>-1</v>
      </c>
      <c r="T916" s="94" t="s">
        <v>210</v>
      </c>
      <c r="U916" s="94">
        <v>4</v>
      </c>
      <c r="V916" s="94" t="s">
        <v>210</v>
      </c>
      <c r="W916" s="94" t="s">
        <v>210</v>
      </c>
      <c r="X916" s="94">
        <v>-3</v>
      </c>
      <c r="Y916" s="94" t="s">
        <v>210</v>
      </c>
      <c r="Z916" s="94">
        <v>2</v>
      </c>
      <c r="AA916" s="94" t="s">
        <v>210</v>
      </c>
      <c r="AB916" s="94">
        <v>4</v>
      </c>
      <c r="AC916" s="94" t="s">
        <v>210</v>
      </c>
      <c r="AD916" s="94">
        <v>-5</v>
      </c>
      <c r="AE916" s="94" t="s">
        <v>210</v>
      </c>
      <c r="AF916" s="94" t="s">
        <v>210</v>
      </c>
      <c r="AG916" s="94"/>
      <c r="AH916" s="94"/>
      <c r="AI916" s="94"/>
      <c r="AJ916" s="94"/>
      <c r="AK916" s="94"/>
      <c r="AL916" s="94"/>
      <c r="AM916" s="94"/>
      <c r="AN916" s="94"/>
      <c r="AO916" s="94"/>
      <c r="AP916" s="94"/>
      <c r="AQ916" s="94"/>
      <c r="AR916" s="94"/>
      <c r="AS916" s="94"/>
      <c r="AT916" s="94"/>
      <c r="AU916" s="94"/>
      <c r="AV916" s="94"/>
      <c r="AW916" s="94"/>
      <c r="AX916" s="94"/>
      <c r="AY916" s="94"/>
      <c r="BA916" s="95"/>
    </row>
    <row r="917" spans="1:53" s="87" customFormat="1">
      <c r="A917" s="90" t="str">
        <f t="shared" si="62"/>
        <v/>
      </c>
      <c r="B917" s="99">
        <v>15</v>
      </c>
      <c r="C917" s="92" t="s">
        <v>210</v>
      </c>
      <c r="D917" s="92">
        <v>-2</v>
      </c>
      <c r="E917" s="92" t="s">
        <v>210</v>
      </c>
      <c r="F917" s="92">
        <v>5</v>
      </c>
      <c r="G917" s="92" t="s">
        <v>210</v>
      </c>
      <c r="H917" s="92" t="s">
        <v>210</v>
      </c>
      <c r="I917" s="92">
        <v>-3</v>
      </c>
      <c r="J917" s="92" t="s">
        <v>210</v>
      </c>
      <c r="K917" s="92">
        <v>1</v>
      </c>
      <c r="L917" s="92" t="s">
        <v>210</v>
      </c>
      <c r="M917" s="92" t="s">
        <v>210</v>
      </c>
      <c r="N917" s="92">
        <v>-4</v>
      </c>
      <c r="O917" s="92" t="s">
        <v>210</v>
      </c>
      <c r="P917" s="92">
        <v>2</v>
      </c>
      <c r="Q917" s="92" t="s">
        <v>210</v>
      </c>
      <c r="R917" s="92" t="s">
        <v>210</v>
      </c>
      <c r="S917" s="92">
        <v>-5</v>
      </c>
      <c r="T917" s="92" t="s">
        <v>210</v>
      </c>
      <c r="U917" s="92">
        <v>3</v>
      </c>
      <c r="V917" s="92" t="s">
        <v>210</v>
      </c>
      <c r="W917" s="92" t="s">
        <v>210</v>
      </c>
      <c r="X917" s="92">
        <v>-1</v>
      </c>
      <c r="Y917" s="92" t="s">
        <v>210</v>
      </c>
      <c r="Z917" s="92">
        <v>4</v>
      </c>
      <c r="AA917" s="92" t="s">
        <v>210</v>
      </c>
      <c r="AB917" s="92">
        <v>3</v>
      </c>
      <c r="AC917" s="92" t="s">
        <v>210</v>
      </c>
      <c r="AD917" s="92">
        <v>-2</v>
      </c>
      <c r="AE917" s="92" t="s">
        <v>210</v>
      </c>
      <c r="AF917" s="92" t="s">
        <v>210</v>
      </c>
      <c r="AG917" s="94"/>
      <c r="AH917" s="94"/>
      <c r="AI917" s="94"/>
      <c r="AJ917" s="94"/>
      <c r="AK917" s="94"/>
      <c r="AL917" s="94"/>
      <c r="AM917" s="94"/>
      <c r="AN917" s="94"/>
      <c r="AO917" s="94"/>
      <c r="AP917" s="94"/>
      <c r="AQ917" s="94"/>
      <c r="AR917" s="94"/>
      <c r="AS917" s="94"/>
      <c r="AT917" s="94"/>
      <c r="AU917" s="94"/>
      <c r="AV917" s="94"/>
      <c r="AW917" s="94"/>
      <c r="AX917" s="94"/>
      <c r="AY917" s="94"/>
      <c r="BA917" s="95"/>
    </row>
    <row r="918" spans="1:53" s="87" customFormat="1">
      <c r="A918" s="90" t="str">
        <f t="shared" si="62"/>
        <v/>
      </c>
      <c r="B918" s="98">
        <v>16</v>
      </c>
      <c r="C918" s="94" t="s">
        <v>210</v>
      </c>
      <c r="D918" s="94">
        <v>2</v>
      </c>
      <c r="E918" s="94" t="s">
        <v>210</v>
      </c>
      <c r="F918" s="94" t="s">
        <v>210</v>
      </c>
      <c r="G918" s="94">
        <v>-4</v>
      </c>
      <c r="H918" s="94" t="s">
        <v>210</v>
      </c>
      <c r="I918" s="94">
        <v>1</v>
      </c>
      <c r="J918" s="94" t="s">
        <v>210</v>
      </c>
      <c r="K918" s="94" t="s">
        <v>210</v>
      </c>
      <c r="L918" s="94">
        <v>-3</v>
      </c>
      <c r="M918" s="94" t="s">
        <v>210</v>
      </c>
      <c r="N918" s="94">
        <v>5</v>
      </c>
      <c r="O918" s="94" t="s">
        <v>210</v>
      </c>
      <c r="P918" s="94" t="s">
        <v>210</v>
      </c>
      <c r="Q918" s="94">
        <v>-2</v>
      </c>
      <c r="R918" s="94" t="s">
        <v>210</v>
      </c>
      <c r="S918" s="94">
        <v>4</v>
      </c>
      <c r="T918" s="94" t="s">
        <v>210</v>
      </c>
      <c r="U918" s="94" t="s">
        <v>210</v>
      </c>
      <c r="V918" s="94">
        <v>-5</v>
      </c>
      <c r="W918" s="94" t="s">
        <v>210</v>
      </c>
      <c r="X918" s="94">
        <v>3</v>
      </c>
      <c r="Y918" s="94" t="s">
        <v>210</v>
      </c>
      <c r="Z918" s="94" t="s">
        <v>210</v>
      </c>
      <c r="AA918" s="94">
        <v>-1</v>
      </c>
      <c r="AB918" s="94" t="s">
        <v>210</v>
      </c>
      <c r="AC918" s="94">
        <v>2</v>
      </c>
      <c r="AD918" s="94" t="s">
        <v>210</v>
      </c>
      <c r="AE918" s="94">
        <v>-4</v>
      </c>
      <c r="AF918" s="94" t="s">
        <v>210</v>
      </c>
      <c r="AG918" s="94"/>
      <c r="AH918" s="94"/>
      <c r="AI918" s="94"/>
      <c r="AJ918" s="94"/>
      <c r="AK918" s="94"/>
      <c r="AL918" s="94"/>
      <c r="AM918" s="94"/>
      <c r="AN918" s="94"/>
      <c r="AO918" s="94"/>
      <c r="AP918" s="94"/>
      <c r="AQ918" s="94"/>
      <c r="AR918" s="94"/>
      <c r="AS918" s="94"/>
      <c r="AT918" s="94"/>
      <c r="AU918" s="94"/>
      <c r="AV918" s="94"/>
      <c r="AW918" s="94"/>
      <c r="AX918" s="94"/>
      <c r="AY918" s="94"/>
      <c r="BA918" s="95"/>
    </row>
    <row r="919" spans="1:53" s="87" customFormat="1">
      <c r="A919" s="90" t="str">
        <f t="shared" si="62"/>
        <v/>
      </c>
      <c r="B919" s="98">
        <v>17</v>
      </c>
      <c r="C919" s="94" t="s">
        <v>210</v>
      </c>
      <c r="D919" s="94">
        <v>4</v>
      </c>
      <c r="E919" s="94" t="s">
        <v>210</v>
      </c>
      <c r="F919" s="94" t="s">
        <v>210</v>
      </c>
      <c r="G919" s="94">
        <v>-3</v>
      </c>
      <c r="H919" s="94" t="s">
        <v>210</v>
      </c>
      <c r="I919" s="94">
        <v>5</v>
      </c>
      <c r="J919" s="94" t="s">
        <v>210</v>
      </c>
      <c r="K919" s="94" t="s">
        <v>210</v>
      </c>
      <c r="L919" s="94">
        <v>-1</v>
      </c>
      <c r="M919" s="94" t="s">
        <v>210</v>
      </c>
      <c r="N919" s="94">
        <v>2</v>
      </c>
      <c r="O919" s="94" t="s">
        <v>210</v>
      </c>
      <c r="P919" s="94" t="s">
        <v>210</v>
      </c>
      <c r="Q919" s="94">
        <v>-4</v>
      </c>
      <c r="R919" s="94" t="s">
        <v>210</v>
      </c>
      <c r="S919" s="94">
        <v>3</v>
      </c>
      <c r="T919" s="94" t="s">
        <v>210</v>
      </c>
      <c r="U919" s="94" t="s">
        <v>210</v>
      </c>
      <c r="V919" s="94">
        <v>-2</v>
      </c>
      <c r="W919" s="94" t="s">
        <v>210</v>
      </c>
      <c r="X919" s="94">
        <v>1</v>
      </c>
      <c r="Y919" s="94" t="s">
        <v>210</v>
      </c>
      <c r="Z919" s="94" t="s">
        <v>210</v>
      </c>
      <c r="AA919" s="94">
        <v>-5</v>
      </c>
      <c r="AB919" s="94" t="s">
        <v>210</v>
      </c>
      <c r="AC919" s="94">
        <v>4</v>
      </c>
      <c r="AD919" s="94" t="s">
        <v>210</v>
      </c>
      <c r="AE919" s="94">
        <v>-3</v>
      </c>
      <c r="AF919" s="94" t="s">
        <v>210</v>
      </c>
      <c r="AG919" s="94"/>
      <c r="AH919" s="94"/>
      <c r="AI919" s="94"/>
      <c r="AJ919" s="94"/>
      <c r="AK919" s="94"/>
      <c r="AL919" s="94"/>
      <c r="AM919" s="94"/>
      <c r="AN919" s="94"/>
      <c r="AO919" s="94"/>
      <c r="AP919" s="94"/>
      <c r="AQ919" s="94"/>
      <c r="AR919" s="94"/>
      <c r="AS919" s="94"/>
      <c r="AT919" s="94"/>
      <c r="AU919" s="94"/>
      <c r="AV919" s="94"/>
      <c r="AW919" s="94"/>
      <c r="AX919" s="94"/>
      <c r="AY919" s="94"/>
      <c r="BA919" s="95"/>
    </row>
    <row r="920" spans="1:53" s="87" customFormat="1">
      <c r="A920" s="90" t="str">
        <f t="shared" si="62"/>
        <v/>
      </c>
      <c r="B920" s="98">
        <v>18</v>
      </c>
      <c r="C920" s="94" t="s">
        <v>210</v>
      </c>
      <c r="D920" s="94">
        <v>3</v>
      </c>
      <c r="E920" s="94" t="s">
        <v>210</v>
      </c>
      <c r="F920" s="94" t="s">
        <v>210</v>
      </c>
      <c r="G920" s="94">
        <v>-1</v>
      </c>
      <c r="H920" s="94" t="s">
        <v>210</v>
      </c>
      <c r="I920" s="94">
        <v>2</v>
      </c>
      <c r="J920" s="94" t="s">
        <v>210</v>
      </c>
      <c r="K920" s="94" t="s">
        <v>210</v>
      </c>
      <c r="L920" s="94">
        <v>-5</v>
      </c>
      <c r="M920" s="94" t="s">
        <v>210</v>
      </c>
      <c r="N920" s="94">
        <v>4</v>
      </c>
      <c r="O920" s="94" t="s">
        <v>210</v>
      </c>
      <c r="P920" s="94" t="s">
        <v>210</v>
      </c>
      <c r="Q920" s="94">
        <v>-3</v>
      </c>
      <c r="R920" s="94" t="s">
        <v>210</v>
      </c>
      <c r="S920" s="94">
        <v>1</v>
      </c>
      <c r="T920" s="94" t="s">
        <v>210</v>
      </c>
      <c r="U920" s="94" t="s">
        <v>210</v>
      </c>
      <c r="V920" s="94">
        <v>-4</v>
      </c>
      <c r="W920" s="94" t="s">
        <v>210</v>
      </c>
      <c r="X920" s="94">
        <v>5</v>
      </c>
      <c r="Y920" s="94" t="s">
        <v>210</v>
      </c>
      <c r="Z920" s="94" t="s">
        <v>210</v>
      </c>
      <c r="AA920" s="94">
        <v>-2</v>
      </c>
      <c r="AB920" s="94" t="s">
        <v>210</v>
      </c>
      <c r="AC920" s="94">
        <v>3</v>
      </c>
      <c r="AD920" s="94" t="s">
        <v>210</v>
      </c>
      <c r="AE920" s="94">
        <v>-1</v>
      </c>
      <c r="AF920" s="94" t="s">
        <v>210</v>
      </c>
      <c r="AG920" s="94"/>
      <c r="AH920" s="94"/>
      <c r="AI920" s="94"/>
      <c r="AJ920" s="94"/>
      <c r="AK920" s="94"/>
      <c r="AL920" s="94"/>
      <c r="AM920" s="94"/>
      <c r="AN920" s="94"/>
      <c r="AO920" s="94"/>
      <c r="AP920" s="94"/>
      <c r="AQ920" s="94"/>
      <c r="AR920" s="94"/>
      <c r="AS920" s="94"/>
      <c r="AT920" s="94"/>
      <c r="AU920" s="94"/>
      <c r="AV920" s="94"/>
      <c r="AW920" s="94"/>
      <c r="AX920" s="94"/>
      <c r="AY920" s="94"/>
      <c r="BA920" s="95"/>
    </row>
    <row r="921" spans="1:53" s="87" customFormat="1">
      <c r="A921" s="90" t="str">
        <f t="shared" si="62"/>
        <v/>
      </c>
      <c r="B921" s="98">
        <v>19</v>
      </c>
      <c r="C921" s="94" t="s">
        <v>210</v>
      </c>
      <c r="D921" s="94">
        <v>1</v>
      </c>
      <c r="E921" s="94" t="s">
        <v>210</v>
      </c>
      <c r="F921" s="94" t="s">
        <v>210</v>
      </c>
      <c r="G921" s="94">
        <v>-5</v>
      </c>
      <c r="H921" s="94" t="s">
        <v>210</v>
      </c>
      <c r="I921" s="94">
        <v>4</v>
      </c>
      <c r="J921" s="94" t="s">
        <v>210</v>
      </c>
      <c r="K921" s="94" t="s">
        <v>210</v>
      </c>
      <c r="L921" s="94">
        <v>-2</v>
      </c>
      <c r="M921" s="94" t="s">
        <v>210</v>
      </c>
      <c r="N921" s="94">
        <v>3</v>
      </c>
      <c r="O921" s="94" t="s">
        <v>210</v>
      </c>
      <c r="P921" s="94" t="s">
        <v>210</v>
      </c>
      <c r="Q921" s="94">
        <v>-1</v>
      </c>
      <c r="R921" s="94" t="s">
        <v>210</v>
      </c>
      <c r="S921" s="94">
        <v>5</v>
      </c>
      <c r="T921" s="94" t="s">
        <v>210</v>
      </c>
      <c r="U921" s="94" t="s">
        <v>210</v>
      </c>
      <c r="V921" s="94">
        <v>-3</v>
      </c>
      <c r="W921" s="94" t="s">
        <v>210</v>
      </c>
      <c r="X921" s="94">
        <v>2</v>
      </c>
      <c r="Y921" s="94" t="s">
        <v>210</v>
      </c>
      <c r="Z921" s="94" t="s">
        <v>210</v>
      </c>
      <c r="AA921" s="94">
        <v>-4</v>
      </c>
      <c r="AB921" s="94" t="s">
        <v>210</v>
      </c>
      <c r="AC921" s="94">
        <v>1</v>
      </c>
      <c r="AD921" s="94" t="s">
        <v>210</v>
      </c>
      <c r="AE921" s="94">
        <v>-5</v>
      </c>
      <c r="AF921" s="94" t="s">
        <v>210</v>
      </c>
      <c r="AG921" s="94"/>
      <c r="AH921" s="94"/>
      <c r="AI921" s="94"/>
      <c r="AJ921" s="94"/>
      <c r="AK921" s="94"/>
      <c r="AL921" s="94"/>
      <c r="AM921" s="94"/>
      <c r="AN921" s="94"/>
      <c r="AO921" s="94"/>
      <c r="AP921" s="94"/>
      <c r="AQ921" s="94"/>
      <c r="AR921" s="94"/>
      <c r="AS921" s="94"/>
      <c r="AT921" s="94"/>
      <c r="AU921" s="94"/>
      <c r="AV921" s="94"/>
      <c r="AW921" s="94"/>
      <c r="AX921" s="94"/>
      <c r="AY921" s="94"/>
      <c r="BA921" s="95"/>
    </row>
    <row r="922" spans="1:53" s="87" customFormat="1">
      <c r="A922" s="90" t="str">
        <f t="shared" si="62"/>
        <v/>
      </c>
      <c r="B922" s="99">
        <v>20</v>
      </c>
      <c r="C922" s="92" t="s">
        <v>210</v>
      </c>
      <c r="D922" s="92">
        <v>5</v>
      </c>
      <c r="E922" s="92" t="s">
        <v>210</v>
      </c>
      <c r="F922" s="92" t="s">
        <v>210</v>
      </c>
      <c r="G922" s="92">
        <v>-2</v>
      </c>
      <c r="H922" s="92" t="s">
        <v>210</v>
      </c>
      <c r="I922" s="92">
        <v>3</v>
      </c>
      <c r="J922" s="92" t="s">
        <v>210</v>
      </c>
      <c r="K922" s="92" t="s">
        <v>210</v>
      </c>
      <c r="L922" s="92">
        <v>-4</v>
      </c>
      <c r="M922" s="92" t="s">
        <v>210</v>
      </c>
      <c r="N922" s="92">
        <v>1</v>
      </c>
      <c r="O922" s="92" t="s">
        <v>210</v>
      </c>
      <c r="P922" s="92" t="s">
        <v>210</v>
      </c>
      <c r="Q922" s="92">
        <v>-5</v>
      </c>
      <c r="R922" s="92" t="s">
        <v>210</v>
      </c>
      <c r="S922" s="92">
        <v>2</v>
      </c>
      <c r="T922" s="92" t="s">
        <v>210</v>
      </c>
      <c r="U922" s="92" t="s">
        <v>210</v>
      </c>
      <c r="V922" s="92">
        <v>-1</v>
      </c>
      <c r="W922" s="92" t="s">
        <v>210</v>
      </c>
      <c r="X922" s="92">
        <v>4</v>
      </c>
      <c r="Y922" s="92" t="s">
        <v>210</v>
      </c>
      <c r="Z922" s="92" t="s">
        <v>210</v>
      </c>
      <c r="AA922" s="92">
        <v>-3</v>
      </c>
      <c r="AB922" s="92" t="s">
        <v>210</v>
      </c>
      <c r="AC922" s="92">
        <v>5</v>
      </c>
      <c r="AD922" s="92" t="s">
        <v>210</v>
      </c>
      <c r="AE922" s="92">
        <v>-2</v>
      </c>
      <c r="AF922" s="92" t="s">
        <v>210</v>
      </c>
      <c r="AG922" s="94"/>
      <c r="AH922" s="94"/>
      <c r="AI922" s="94"/>
      <c r="AJ922" s="94"/>
      <c r="AK922" s="94"/>
      <c r="AL922" s="94"/>
      <c r="AM922" s="94"/>
      <c r="AN922" s="94"/>
      <c r="AO922" s="94"/>
      <c r="AP922" s="94"/>
      <c r="AQ922" s="94"/>
      <c r="AR922" s="94"/>
      <c r="AS922" s="94"/>
      <c r="AT922" s="94"/>
      <c r="AU922" s="94"/>
      <c r="AV922" s="94"/>
      <c r="AW922" s="94"/>
      <c r="AX922" s="94"/>
      <c r="AY922" s="94"/>
      <c r="BA922" s="95"/>
    </row>
    <row r="923" spans="1:53" s="87" customFormat="1">
      <c r="A923" s="90" t="str">
        <f t="shared" si="62"/>
        <v/>
      </c>
      <c r="B923" s="98">
        <v>21</v>
      </c>
      <c r="C923" s="94" t="s">
        <v>210</v>
      </c>
      <c r="D923" s="94" t="s">
        <v>210</v>
      </c>
      <c r="E923" s="94">
        <v>-4</v>
      </c>
      <c r="F923" s="94" t="s">
        <v>210</v>
      </c>
      <c r="G923" s="94">
        <v>2</v>
      </c>
      <c r="H923" s="94" t="s">
        <v>210</v>
      </c>
      <c r="I923" s="94" t="s">
        <v>210</v>
      </c>
      <c r="J923" s="94">
        <v>-3</v>
      </c>
      <c r="K923" s="94" t="s">
        <v>210</v>
      </c>
      <c r="L923" s="94">
        <v>5</v>
      </c>
      <c r="M923" s="94" t="s">
        <v>210</v>
      </c>
      <c r="N923" s="94" t="s">
        <v>210</v>
      </c>
      <c r="O923" s="94">
        <v>-1</v>
      </c>
      <c r="P923" s="94" t="s">
        <v>210</v>
      </c>
      <c r="Q923" s="94">
        <v>4</v>
      </c>
      <c r="R923" s="94" t="s">
        <v>210</v>
      </c>
      <c r="S923" s="94" t="s">
        <v>210</v>
      </c>
      <c r="T923" s="94">
        <v>-2</v>
      </c>
      <c r="U923" s="94" t="s">
        <v>210</v>
      </c>
      <c r="V923" s="94">
        <v>3</v>
      </c>
      <c r="W923" s="94" t="s">
        <v>210</v>
      </c>
      <c r="X923" s="94" t="s">
        <v>210</v>
      </c>
      <c r="Y923" s="94">
        <v>-5</v>
      </c>
      <c r="Z923" s="94" t="s">
        <v>210</v>
      </c>
      <c r="AA923" s="94">
        <v>1</v>
      </c>
      <c r="AB923" s="94" t="s">
        <v>210</v>
      </c>
      <c r="AC923" s="94" t="s">
        <v>210</v>
      </c>
      <c r="AD923" s="94">
        <v>2</v>
      </c>
      <c r="AE923" s="94" t="s">
        <v>210</v>
      </c>
      <c r="AF923" s="94">
        <v>-4</v>
      </c>
      <c r="AG923" s="94"/>
      <c r="AH923" s="94"/>
      <c r="AI923" s="94"/>
      <c r="AJ923" s="94"/>
      <c r="AK923" s="94"/>
      <c r="AL923" s="94"/>
      <c r="AM923" s="94"/>
      <c r="AN923" s="94"/>
      <c r="AO923" s="94"/>
      <c r="AP923" s="94"/>
      <c r="AQ923" s="94"/>
      <c r="AR923" s="94"/>
      <c r="AS923" s="94"/>
      <c r="AT923" s="94"/>
      <c r="AU923" s="94"/>
      <c r="AV923" s="94"/>
      <c r="AW923" s="94"/>
      <c r="AX923" s="94"/>
      <c r="AY923" s="94"/>
      <c r="BA923" s="95"/>
    </row>
    <row r="924" spans="1:53" s="87" customFormat="1">
      <c r="A924" s="90" t="str">
        <f t="shared" si="62"/>
        <v/>
      </c>
      <c r="B924" s="98">
        <v>22</v>
      </c>
      <c r="C924" s="94" t="s">
        <v>210</v>
      </c>
      <c r="D924" s="94" t="s">
        <v>210</v>
      </c>
      <c r="E924" s="94">
        <v>-3</v>
      </c>
      <c r="F924" s="94" t="s">
        <v>210</v>
      </c>
      <c r="G924" s="94">
        <v>4</v>
      </c>
      <c r="H924" s="94" t="s">
        <v>210</v>
      </c>
      <c r="I924" s="94" t="s">
        <v>210</v>
      </c>
      <c r="J924" s="94">
        <v>-1</v>
      </c>
      <c r="K924" s="94" t="s">
        <v>210</v>
      </c>
      <c r="L924" s="94">
        <v>2</v>
      </c>
      <c r="M924" s="94" t="s">
        <v>210</v>
      </c>
      <c r="N924" s="94" t="s">
        <v>210</v>
      </c>
      <c r="O924" s="94">
        <v>-5</v>
      </c>
      <c r="P924" s="94" t="s">
        <v>210</v>
      </c>
      <c r="Q924" s="94">
        <v>3</v>
      </c>
      <c r="R924" s="94" t="s">
        <v>210</v>
      </c>
      <c r="S924" s="94" t="s">
        <v>210</v>
      </c>
      <c r="T924" s="94">
        <v>-4</v>
      </c>
      <c r="U924" s="94" t="s">
        <v>210</v>
      </c>
      <c r="V924" s="94">
        <v>1</v>
      </c>
      <c r="W924" s="94" t="s">
        <v>210</v>
      </c>
      <c r="X924" s="94" t="s">
        <v>210</v>
      </c>
      <c r="Y924" s="94">
        <v>-2</v>
      </c>
      <c r="Z924" s="94" t="s">
        <v>210</v>
      </c>
      <c r="AA924" s="94">
        <v>5</v>
      </c>
      <c r="AB924" s="94" t="s">
        <v>210</v>
      </c>
      <c r="AC924" s="94" t="s">
        <v>210</v>
      </c>
      <c r="AD924" s="94">
        <v>4</v>
      </c>
      <c r="AE924" s="94" t="s">
        <v>210</v>
      </c>
      <c r="AF924" s="94">
        <v>-3</v>
      </c>
      <c r="AG924" s="94"/>
      <c r="AH924" s="94"/>
      <c r="AI924" s="94"/>
      <c r="AJ924" s="94"/>
      <c r="AK924" s="94"/>
      <c r="AL924" s="94"/>
      <c r="AM924" s="94"/>
      <c r="AN924" s="94"/>
      <c r="AO924" s="94"/>
      <c r="AP924" s="94"/>
      <c r="AQ924" s="94"/>
      <c r="AR924" s="94"/>
      <c r="AS924" s="94"/>
      <c r="AT924" s="94"/>
      <c r="AU924" s="94"/>
      <c r="AV924" s="94"/>
      <c r="AW924" s="94"/>
      <c r="AX924" s="94"/>
      <c r="AY924" s="94"/>
      <c r="BA924" s="95"/>
    </row>
    <row r="925" spans="1:53" s="87" customFormat="1">
      <c r="A925" s="90" t="str">
        <f t="shared" si="62"/>
        <v/>
      </c>
      <c r="B925" s="98">
        <v>23</v>
      </c>
      <c r="C925" s="94" t="s">
        <v>210</v>
      </c>
      <c r="D925" s="94" t="s">
        <v>210</v>
      </c>
      <c r="E925" s="94">
        <v>-1</v>
      </c>
      <c r="F925" s="94" t="s">
        <v>210</v>
      </c>
      <c r="G925" s="94">
        <v>3</v>
      </c>
      <c r="H925" s="94" t="s">
        <v>210</v>
      </c>
      <c r="I925" s="94" t="s">
        <v>210</v>
      </c>
      <c r="J925" s="94">
        <v>-5</v>
      </c>
      <c r="K925" s="94" t="s">
        <v>210</v>
      </c>
      <c r="L925" s="94">
        <v>4</v>
      </c>
      <c r="M925" s="94" t="s">
        <v>210</v>
      </c>
      <c r="N925" s="94" t="s">
        <v>210</v>
      </c>
      <c r="O925" s="94">
        <v>-2</v>
      </c>
      <c r="P925" s="94" t="s">
        <v>210</v>
      </c>
      <c r="Q925" s="94">
        <v>1</v>
      </c>
      <c r="R925" s="94" t="s">
        <v>210</v>
      </c>
      <c r="S925" s="94" t="s">
        <v>210</v>
      </c>
      <c r="T925" s="94">
        <v>-3</v>
      </c>
      <c r="U925" s="94" t="s">
        <v>210</v>
      </c>
      <c r="V925" s="94">
        <v>5</v>
      </c>
      <c r="W925" s="94" t="s">
        <v>210</v>
      </c>
      <c r="X925" s="94" t="s">
        <v>210</v>
      </c>
      <c r="Y925" s="94">
        <v>-4</v>
      </c>
      <c r="Z925" s="94" t="s">
        <v>210</v>
      </c>
      <c r="AA925" s="94">
        <v>2</v>
      </c>
      <c r="AB925" s="94" t="s">
        <v>210</v>
      </c>
      <c r="AC925" s="94" t="s">
        <v>210</v>
      </c>
      <c r="AD925" s="94">
        <v>3</v>
      </c>
      <c r="AE925" s="94" t="s">
        <v>210</v>
      </c>
      <c r="AF925" s="94">
        <v>-1</v>
      </c>
      <c r="AG925" s="94"/>
      <c r="AH925" s="94"/>
      <c r="AI925" s="94"/>
      <c r="AJ925" s="94"/>
      <c r="AK925" s="94"/>
      <c r="AL925" s="94"/>
      <c r="AM925" s="94"/>
      <c r="AN925" s="94"/>
      <c r="AO925" s="94"/>
      <c r="AP925" s="94"/>
      <c r="AQ925" s="94"/>
      <c r="AR925" s="94"/>
      <c r="AS925" s="94"/>
      <c r="AT925" s="94"/>
      <c r="AU925" s="94"/>
      <c r="AV925" s="94"/>
      <c r="AW925" s="94"/>
      <c r="AX925" s="94"/>
      <c r="AY925" s="94"/>
      <c r="BA925" s="95"/>
    </row>
    <row r="926" spans="1:53" s="87" customFormat="1">
      <c r="A926" s="90" t="str">
        <f t="shared" si="62"/>
        <v/>
      </c>
      <c r="B926" s="98">
        <v>24</v>
      </c>
      <c r="C926" s="94" t="s">
        <v>210</v>
      </c>
      <c r="D926" s="94" t="s">
        <v>210</v>
      </c>
      <c r="E926" s="94">
        <v>-5</v>
      </c>
      <c r="F926" s="94" t="s">
        <v>210</v>
      </c>
      <c r="G926" s="94">
        <v>1</v>
      </c>
      <c r="H926" s="94" t="s">
        <v>210</v>
      </c>
      <c r="I926" s="94" t="s">
        <v>210</v>
      </c>
      <c r="J926" s="94">
        <v>-2</v>
      </c>
      <c r="K926" s="94" t="s">
        <v>210</v>
      </c>
      <c r="L926" s="94">
        <v>3</v>
      </c>
      <c r="M926" s="94" t="s">
        <v>210</v>
      </c>
      <c r="N926" s="94" t="s">
        <v>210</v>
      </c>
      <c r="O926" s="94">
        <v>-4</v>
      </c>
      <c r="P926" s="94" t="s">
        <v>210</v>
      </c>
      <c r="Q926" s="94">
        <v>5</v>
      </c>
      <c r="R926" s="94" t="s">
        <v>210</v>
      </c>
      <c r="S926" s="94" t="s">
        <v>210</v>
      </c>
      <c r="T926" s="94">
        <v>-1</v>
      </c>
      <c r="U926" s="94" t="s">
        <v>210</v>
      </c>
      <c r="V926" s="94">
        <v>2</v>
      </c>
      <c r="W926" s="94" t="s">
        <v>210</v>
      </c>
      <c r="X926" s="94" t="s">
        <v>210</v>
      </c>
      <c r="Y926" s="94">
        <v>-3</v>
      </c>
      <c r="Z926" s="94" t="s">
        <v>210</v>
      </c>
      <c r="AA926" s="94">
        <v>4</v>
      </c>
      <c r="AB926" s="94" t="s">
        <v>210</v>
      </c>
      <c r="AC926" s="94" t="s">
        <v>210</v>
      </c>
      <c r="AD926" s="94">
        <v>1</v>
      </c>
      <c r="AE926" s="94" t="s">
        <v>210</v>
      </c>
      <c r="AF926" s="94">
        <v>-5</v>
      </c>
      <c r="AG926" s="94"/>
      <c r="AH926" s="94"/>
      <c r="AI926" s="94"/>
      <c r="AJ926" s="94"/>
      <c r="AK926" s="94"/>
      <c r="AL926" s="94"/>
      <c r="AM926" s="94"/>
      <c r="AN926" s="94"/>
      <c r="AO926" s="94"/>
      <c r="AP926" s="94"/>
      <c r="AQ926" s="94"/>
      <c r="AR926" s="94"/>
      <c r="AS926" s="94"/>
      <c r="AT926" s="94"/>
      <c r="AU926" s="94"/>
      <c r="AV926" s="94"/>
      <c r="AW926" s="94"/>
      <c r="AX926" s="94"/>
      <c r="AY926" s="94"/>
      <c r="BA926" s="95"/>
    </row>
    <row r="927" spans="1:53" s="87" customFormat="1">
      <c r="A927" s="90" t="str">
        <f t="shared" si="62"/>
        <v/>
      </c>
      <c r="B927" s="98">
        <v>25</v>
      </c>
      <c r="C927" s="94" t="s">
        <v>210</v>
      </c>
      <c r="D927" s="94" t="s">
        <v>210</v>
      </c>
      <c r="E927" s="94">
        <v>-2</v>
      </c>
      <c r="F927" s="94" t="s">
        <v>210</v>
      </c>
      <c r="G927" s="94">
        <v>5</v>
      </c>
      <c r="H927" s="94" t="s">
        <v>210</v>
      </c>
      <c r="I927" s="94" t="s">
        <v>210</v>
      </c>
      <c r="J927" s="94">
        <v>-4</v>
      </c>
      <c r="K927" s="94" t="s">
        <v>210</v>
      </c>
      <c r="L927" s="94">
        <v>1</v>
      </c>
      <c r="M927" s="94" t="s">
        <v>210</v>
      </c>
      <c r="N927" s="94" t="s">
        <v>210</v>
      </c>
      <c r="O927" s="94">
        <v>-3</v>
      </c>
      <c r="P927" s="94" t="s">
        <v>210</v>
      </c>
      <c r="Q927" s="94">
        <v>2</v>
      </c>
      <c r="R927" s="94" t="s">
        <v>210</v>
      </c>
      <c r="S927" s="94" t="s">
        <v>210</v>
      </c>
      <c r="T927" s="94">
        <v>-5</v>
      </c>
      <c r="U927" s="94" t="s">
        <v>210</v>
      </c>
      <c r="V927" s="94">
        <v>4</v>
      </c>
      <c r="W927" s="94" t="s">
        <v>210</v>
      </c>
      <c r="X927" s="94" t="s">
        <v>210</v>
      </c>
      <c r="Y927" s="94">
        <v>-1</v>
      </c>
      <c r="Z927" s="94" t="s">
        <v>210</v>
      </c>
      <c r="AA927" s="94">
        <v>3</v>
      </c>
      <c r="AB927" s="94" t="s">
        <v>210</v>
      </c>
      <c r="AC927" s="94" t="s">
        <v>210</v>
      </c>
      <c r="AD927" s="94">
        <v>5</v>
      </c>
      <c r="AE927" s="94" t="s">
        <v>210</v>
      </c>
      <c r="AF927" s="94">
        <v>-2</v>
      </c>
      <c r="AG927" s="94"/>
      <c r="AH927" s="94"/>
      <c r="AI927" s="94"/>
      <c r="AJ927" s="94"/>
      <c r="AK927" s="94"/>
      <c r="AL927" s="94"/>
      <c r="AM927" s="94"/>
      <c r="AN927" s="94"/>
      <c r="AO927" s="94"/>
      <c r="AP927" s="94"/>
      <c r="AQ927" s="94"/>
      <c r="AR927" s="94"/>
      <c r="AS927" s="94"/>
      <c r="AT927" s="94"/>
      <c r="AU927" s="94"/>
      <c r="AV927" s="94"/>
      <c r="AW927" s="94"/>
      <c r="AX927" s="94"/>
      <c r="AY927" s="94"/>
      <c r="BA927" s="95"/>
    </row>
    <row r="928" spans="1:53" s="87" customFormat="1">
      <c r="A928" s="90" t="str">
        <f t="shared" si="62"/>
        <v/>
      </c>
      <c r="B928" s="317" t="s">
        <v>908</v>
      </c>
      <c r="C928" s="94"/>
      <c r="D928" s="94"/>
      <c r="E928" s="94"/>
      <c r="F928" s="94"/>
      <c r="G928" s="94"/>
      <c r="H928" s="94"/>
      <c r="I928" s="94"/>
      <c r="J928" s="94"/>
      <c r="K928" s="94"/>
      <c r="L928" s="94"/>
      <c r="M928" s="94"/>
      <c r="N928" s="94"/>
      <c r="O928" s="94"/>
      <c r="P928" s="94"/>
      <c r="Q928" s="94"/>
      <c r="R928" s="94"/>
      <c r="S928" s="94"/>
      <c r="T928" s="94"/>
      <c r="U928" s="94"/>
      <c r="V928" s="94"/>
      <c r="W928" s="94"/>
      <c r="X928" s="94"/>
      <c r="Y928" s="94"/>
      <c r="Z928" s="94"/>
      <c r="AA928" s="94"/>
      <c r="AB928" s="94"/>
      <c r="AC928" s="94"/>
      <c r="AD928" s="94"/>
      <c r="AE928" s="94"/>
      <c r="AF928" s="94"/>
      <c r="AG928" s="94"/>
      <c r="AH928" s="94"/>
      <c r="AI928" s="94"/>
      <c r="AJ928" s="94"/>
      <c r="AK928" s="94"/>
      <c r="AL928" s="94"/>
      <c r="AM928" s="94"/>
      <c r="AN928" s="94"/>
      <c r="AO928" s="94"/>
      <c r="AP928" s="94"/>
      <c r="AQ928" s="94"/>
      <c r="AR928" s="94"/>
      <c r="AS928" s="94"/>
      <c r="AT928" s="94"/>
      <c r="AU928" s="94"/>
      <c r="AV928" s="94"/>
      <c r="AW928" s="94"/>
      <c r="AX928" s="94"/>
      <c r="AY928" s="94"/>
      <c r="BA928" s="95"/>
    </row>
    <row r="929" spans="1:53" s="87" customFormat="1">
      <c r="A929" s="90">
        <f t="shared" si="62"/>
        <v>929</v>
      </c>
      <c r="B929" s="317" t="s">
        <v>1026</v>
      </c>
      <c r="C929" s="94"/>
      <c r="D929" s="94"/>
      <c r="E929" s="94"/>
      <c r="F929" s="94"/>
      <c r="G929" s="94"/>
      <c r="H929" s="94"/>
      <c r="I929" s="94"/>
      <c r="J929" s="94"/>
      <c r="K929" s="94"/>
      <c r="L929" s="94"/>
      <c r="M929" s="94"/>
      <c r="N929" s="94"/>
      <c r="O929" s="94"/>
      <c r="P929" s="94"/>
      <c r="Q929" s="94"/>
      <c r="R929" s="94"/>
      <c r="S929" s="94"/>
      <c r="T929" s="94"/>
      <c r="U929" s="94"/>
      <c r="V929" s="94"/>
      <c r="W929" s="94"/>
      <c r="X929" s="94"/>
      <c r="Y929" s="94"/>
      <c r="Z929" s="94"/>
      <c r="AA929" s="94"/>
      <c r="AB929" s="94"/>
      <c r="AC929" s="94"/>
      <c r="AD929" s="94"/>
      <c r="AE929" s="94"/>
      <c r="AF929" s="94"/>
      <c r="AG929" s="94"/>
      <c r="AH929" s="94"/>
      <c r="AI929" s="94"/>
      <c r="AJ929" s="94"/>
      <c r="AK929" s="94"/>
      <c r="AL929" s="94"/>
      <c r="AM929" s="94"/>
      <c r="AN929" s="94"/>
      <c r="AO929" s="94"/>
      <c r="AP929" s="94"/>
      <c r="AQ929" s="94"/>
      <c r="AR929" s="94"/>
      <c r="AS929" s="94"/>
      <c r="AT929" s="94"/>
      <c r="AU929" s="94"/>
      <c r="AV929" s="94"/>
      <c r="AW929" s="94"/>
      <c r="AX929" s="94"/>
      <c r="AY929" s="94"/>
      <c r="BA929" s="95"/>
    </row>
    <row r="930" spans="1:53" s="87" customFormat="1">
      <c r="A930" s="90" t="str">
        <f t="shared" si="62"/>
        <v/>
      </c>
      <c r="B930" s="98">
        <v>1</v>
      </c>
      <c r="C930" s="94">
        <v>-4</v>
      </c>
      <c r="D930" s="94" t="s">
        <v>210</v>
      </c>
      <c r="E930" s="94" t="s">
        <v>210</v>
      </c>
      <c r="F930" s="94">
        <v>3</v>
      </c>
      <c r="G930" s="94" t="s">
        <v>210</v>
      </c>
      <c r="H930" s="94">
        <v>-5</v>
      </c>
      <c r="I930" s="94" t="s">
        <v>210</v>
      </c>
      <c r="J930" s="94" t="s">
        <v>210</v>
      </c>
      <c r="K930" s="94">
        <v>4</v>
      </c>
      <c r="L930" s="94" t="s">
        <v>210</v>
      </c>
      <c r="M930" s="94">
        <v>-2</v>
      </c>
      <c r="N930" s="94" t="s">
        <v>210</v>
      </c>
      <c r="O930" s="94" t="s">
        <v>210</v>
      </c>
      <c r="P930" s="94">
        <v>1</v>
      </c>
      <c r="Q930" s="94" t="s">
        <v>210</v>
      </c>
      <c r="R930" s="94">
        <v>-3</v>
      </c>
      <c r="S930" s="94" t="s">
        <v>210</v>
      </c>
      <c r="T930" s="94" t="s">
        <v>210</v>
      </c>
      <c r="U930" s="94">
        <v>5</v>
      </c>
      <c r="V930" s="94" t="s">
        <v>210</v>
      </c>
      <c r="W930" s="94">
        <v>-1</v>
      </c>
      <c r="X930" s="94" t="s">
        <v>210</v>
      </c>
      <c r="Y930" s="94" t="s">
        <v>210</v>
      </c>
      <c r="Z930" s="94">
        <v>-2</v>
      </c>
      <c r="AA930" s="94" t="s">
        <v>210</v>
      </c>
      <c r="AB930" s="94" t="s">
        <v>210</v>
      </c>
      <c r="AC930" s="94">
        <v>4</v>
      </c>
      <c r="AD930" s="94" t="s">
        <v>210</v>
      </c>
      <c r="AE930" s="94" t="s">
        <v>210</v>
      </c>
      <c r="AF930" s="94">
        <v>5</v>
      </c>
      <c r="AG930" s="94"/>
      <c r="AH930" s="94"/>
      <c r="AI930" s="94"/>
      <c r="AJ930" s="94"/>
      <c r="AK930" s="94"/>
      <c r="AL930" s="94"/>
      <c r="AM930" s="94"/>
      <c r="AN930" s="94"/>
      <c r="AO930" s="94"/>
      <c r="AP930" s="94"/>
      <c r="AQ930" s="94"/>
      <c r="AR930" s="94"/>
      <c r="AS930" s="94"/>
      <c r="AT930" s="94"/>
      <c r="AU930" s="94"/>
      <c r="AV930" s="94"/>
      <c r="AW930" s="94"/>
      <c r="AX930" s="94"/>
      <c r="AY930" s="94"/>
      <c r="BA930" s="95"/>
    </row>
    <row r="931" spans="1:53" s="87" customFormat="1">
      <c r="A931" s="90" t="str">
        <f t="shared" si="62"/>
        <v/>
      </c>
      <c r="B931" s="98">
        <v>2</v>
      </c>
      <c r="C931" s="94">
        <v>-3</v>
      </c>
      <c r="D931" s="94" t="s">
        <v>210</v>
      </c>
      <c r="E931" s="94" t="s">
        <v>210</v>
      </c>
      <c r="F931" s="94">
        <v>1</v>
      </c>
      <c r="G931" s="94" t="s">
        <v>210</v>
      </c>
      <c r="H931" s="94">
        <v>-2</v>
      </c>
      <c r="I931" s="94" t="s">
        <v>210</v>
      </c>
      <c r="J931" s="94" t="s">
        <v>210</v>
      </c>
      <c r="K931" s="94">
        <v>3</v>
      </c>
      <c r="L931" s="94" t="s">
        <v>210</v>
      </c>
      <c r="M931" s="94">
        <v>-4</v>
      </c>
      <c r="N931" s="94" t="s">
        <v>210</v>
      </c>
      <c r="O931" s="94" t="s">
        <v>210</v>
      </c>
      <c r="P931" s="94">
        <v>5</v>
      </c>
      <c r="Q931" s="94" t="s">
        <v>210</v>
      </c>
      <c r="R931" s="94">
        <v>-1</v>
      </c>
      <c r="S931" s="94" t="s">
        <v>210</v>
      </c>
      <c r="T931" s="94" t="s">
        <v>210</v>
      </c>
      <c r="U931" s="94">
        <v>2</v>
      </c>
      <c r="V931" s="94" t="s">
        <v>210</v>
      </c>
      <c r="W931" s="94" t="s">
        <v>210</v>
      </c>
      <c r="X931" s="94">
        <v>1</v>
      </c>
      <c r="Y931" s="94" t="s">
        <v>210</v>
      </c>
      <c r="Z931" s="94" t="s">
        <v>210</v>
      </c>
      <c r="AA931" s="94">
        <v>3</v>
      </c>
      <c r="AB931" s="94" t="s">
        <v>210</v>
      </c>
      <c r="AC931" s="94" t="s">
        <v>210</v>
      </c>
      <c r="AD931" s="94">
        <v>-4</v>
      </c>
      <c r="AE931" s="94" t="s">
        <v>210</v>
      </c>
      <c r="AF931" s="94">
        <v>-5</v>
      </c>
      <c r="AG931" s="94"/>
      <c r="AH931" s="94"/>
      <c r="AI931" s="94"/>
      <c r="AJ931" s="94"/>
      <c r="AK931" s="94"/>
      <c r="AL931" s="94"/>
      <c r="AM931" s="94"/>
      <c r="AN931" s="94"/>
      <c r="AO931" s="94"/>
      <c r="AP931" s="94"/>
      <c r="AQ931" s="94"/>
      <c r="AR931" s="94"/>
      <c r="AS931" s="94"/>
      <c r="AT931" s="94"/>
      <c r="AU931" s="94"/>
      <c r="AV931" s="94"/>
      <c r="AW931" s="94"/>
      <c r="AX931" s="94"/>
      <c r="AY931" s="94"/>
      <c r="BA931" s="95"/>
    </row>
    <row r="932" spans="1:53" s="87" customFormat="1">
      <c r="A932" s="90" t="str">
        <f t="shared" si="62"/>
        <v/>
      </c>
      <c r="B932" s="98">
        <v>3</v>
      </c>
      <c r="C932" s="94">
        <v>-1</v>
      </c>
      <c r="D932" s="94" t="s">
        <v>210</v>
      </c>
      <c r="E932" s="94" t="s">
        <v>210</v>
      </c>
      <c r="F932" s="94">
        <v>5</v>
      </c>
      <c r="G932" s="94" t="s">
        <v>210</v>
      </c>
      <c r="H932" s="94">
        <v>-4</v>
      </c>
      <c r="I932" s="94" t="s">
        <v>210</v>
      </c>
      <c r="J932" s="94" t="s">
        <v>210</v>
      </c>
      <c r="K932" s="94">
        <v>1</v>
      </c>
      <c r="L932" s="94" t="s">
        <v>210</v>
      </c>
      <c r="M932" s="94">
        <v>-3</v>
      </c>
      <c r="N932" s="94" t="s">
        <v>210</v>
      </c>
      <c r="O932" s="94" t="s">
        <v>210</v>
      </c>
      <c r="P932" s="94">
        <v>2</v>
      </c>
      <c r="Q932" s="94" t="s">
        <v>210</v>
      </c>
      <c r="R932" s="94">
        <v>-5</v>
      </c>
      <c r="S932" s="94" t="s">
        <v>210</v>
      </c>
      <c r="T932" s="94" t="s">
        <v>210</v>
      </c>
      <c r="U932" s="94">
        <v>4</v>
      </c>
      <c r="V932" s="94" t="s">
        <v>210</v>
      </c>
      <c r="W932" s="94">
        <v>1</v>
      </c>
      <c r="X932" s="94" t="s">
        <v>210</v>
      </c>
      <c r="Y932" s="94">
        <v>-2</v>
      </c>
      <c r="Z932" s="94" t="s">
        <v>210</v>
      </c>
      <c r="AA932" s="94" t="s">
        <v>210</v>
      </c>
      <c r="AB932" s="94">
        <v>-3</v>
      </c>
      <c r="AC932" s="94" t="s">
        <v>210</v>
      </c>
      <c r="AD932" s="94">
        <v>4</v>
      </c>
      <c r="AE932" s="94" t="s">
        <v>210</v>
      </c>
      <c r="AF932" s="94" t="s">
        <v>210</v>
      </c>
      <c r="AG932" s="94"/>
      <c r="AH932" s="94"/>
      <c r="AI932" s="94"/>
      <c r="AJ932" s="94"/>
      <c r="AK932" s="94"/>
      <c r="AL932" s="94"/>
      <c r="AM932" s="94"/>
      <c r="AN932" s="94"/>
      <c r="AO932" s="94"/>
      <c r="AP932" s="94"/>
      <c r="AQ932" s="94"/>
      <c r="AR932" s="94"/>
      <c r="AS932" s="94"/>
      <c r="AT932" s="94"/>
      <c r="AU932" s="94"/>
      <c r="AV932" s="94"/>
      <c r="AW932" s="94"/>
      <c r="AX932" s="94"/>
      <c r="AY932" s="94"/>
      <c r="BA932" s="95"/>
    </row>
    <row r="933" spans="1:53" s="87" customFormat="1">
      <c r="A933" s="90" t="str">
        <f t="shared" si="62"/>
        <v/>
      </c>
      <c r="B933" s="98">
        <v>4</v>
      </c>
      <c r="C933" s="94">
        <v>-5</v>
      </c>
      <c r="D933" s="94" t="s">
        <v>210</v>
      </c>
      <c r="E933" s="94" t="s">
        <v>210</v>
      </c>
      <c r="F933" s="94">
        <v>2</v>
      </c>
      <c r="G933" s="94" t="s">
        <v>210</v>
      </c>
      <c r="H933" s="94">
        <v>-3</v>
      </c>
      <c r="I933" s="94" t="s">
        <v>210</v>
      </c>
      <c r="J933" s="94" t="s">
        <v>210</v>
      </c>
      <c r="K933" s="94">
        <v>5</v>
      </c>
      <c r="L933" s="94" t="s">
        <v>210</v>
      </c>
      <c r="M933" s="94">
        <v>-1</v>
      </c>
      <c r="N933" s="94" t="s">
        <v>210</v>
      </c>
      <c r="O933" s="94" t="s">
        <v>210</v>
      </c>
      <c r="P933" s="94">
        <v>4</v>
      </c>
      <c r="Q933" s="94" t="s">
        <v>210</v>
      </c>
      <c r="R933" s="94">
        <v>-2</v>
      </c>
      <c r="S933" s="94" t="s">
        <v>210</v>
      </c>
      <c r="T933" s="94" t="s">
        <v>210</v>
      </c>
      <c r="U933" s="94">
        <v>3</v>
      </c>
      <c r="V933" s="94" t="s">
        <v>210</v>
      </c>
      <c r="W933" s="94" t="s">
        <v>210</v>
      </c>
      <c r="X933" s="94">
        <v>-1</v>
      </c>
      <c r="Y933" s="94" t="s">
        <v>210</v>
      </c>
      <c r="Z933" s="94">
        <v>2</v>
      </c>
      <c r="AA933" s="94" t="s">
        <v>210</v>
      </c>
      <c r="AB933" s="94">
        <v>3</v>
      </c>
      <c r="AC933" s="94" t="s">
        <v>210</v>
      </c>
      <c r="AD933" s="94" t="s">
        <v>210</v>
      </c>
      <c r="AE933" s="94">
        <v>-5</v>
      </c>
      <c r="AF933" s="94" t="s">
        <v>210</v>
      </c>
      <c r="AG933" s="94"/>
      <c r="AH933" s="94"/>
      <c r="AI933" s="94"/>
      <c r="AJ933" s="94"/>
      <c r="AK933" s="94"/>
      <c r="AL933" s="94"/>
      <c r="AM933" s="94"/>
      <c r="AN933" s="94"/>
      <c r="AO933" s="94"/>
      <c r="AP933" s="94"/>
      <c r="AQ933" s="94"/>
      <c r="AR933" s="94"/>
      <c r="AS933" s="94"/>
      <c r="AT933" s="94"/>
      <c r="AU933" s="94"/>
      <c r="AV933" s="94"/>
      <c r="AW933" s="94"/>
      <c r="AX933" s="94"/>
      <c r="AY933" s="94"/>
      <c r="BA933" s="95"/>
    </row>
    <row r="934" spans="1:53" s="87" customFormat="1">
      <c r="A934" s="90" t="str">
        <f t="shared" si="62"/>
        <v/>
      </c>
      <c r="B934" s="99">
        <v>5</v>
      </c>
      <c r="C934" s="92">
        <v>-2</v>
      </c>
      <c r="D934" s="92" t="s">
        <v>210</v>
      </c>
      <c r="E934" s="92" t="s">
        <v>210</v>
      </c>
      <c r="F934" s="92">
        <v>4</v>
      </c>
      <c r="G934" s="92" t="s">
        <v>210</v>
      </c>
      <c r="H934" s="92">
        <v>-1</v>
      </c>
      <c r="I934" s="92" t="s">
        <v>210</v>
      </c>
      <c r="J934" s="92" t="s">
        <v>210</v>
      </c>
      <c r="K934" s="92">
        <v>2</v>
      </c>
      <c r="L934" s="92" t="s">
        <v>210</v>
      </c>
      <c r="M934" s="92">
        <v>-5</v>
      </c>
      <c r="N934" s="92" t="s">
        <v>210</v>
      </c>
      <c r="O934" s="92" t="s">
        <v>210</v>
      </c>
      <c r="P934" s="92">
        <v>3</v>
      </c>
      <c r="Q934" s="92" t="s">
        <v>210</v>
      </c>
      <c r="R934" s="92">
        <v>-4</v>
      </c>
      <c r="S934" s="92" t="s">
        <v>210</v>
      </c>
      <c r="T934" s="92" t="s">
        <v>210</v>
      </c>
      <c r="U934" s="92">
        <v>1</v>
      </c>
      <c r="V934" s="92" t="s">
        <v>210</v>
      </c>
      <c r="W934" s="92" t="s">
        <v>210</v>
      </c>
      <c r="X934" s="92" t="s">
        <v>210</v>
      </c>
      <c r="Y934" s="92">
        <v>2</v>
      </c>
      <c r="Z934" s="92" t="s">
        <v>210</v>
      </c>
      <c r="AA934" s="92">
        <v>-3</v>
      </c>
      <c r="AB934" s="92" t="s">
        <v>210</v>
      </c>
      <c r="AC934" s="92">
        <v>-4</v>
      </c>
      <c r="AD934" s="92" t="s">
        <v>210</v>
      </c>
      <c r="AE934" s="92">
        <v>5</v>
      </c>
      <c r="AF934" s="92" t="s">
        <v>210</v>
      </c>
      <c r="AG934" s="94"/>
      <c r="AH934" s="94"/>
      <c r="AI934" s="94"/>
      <c r="AJ934" s="94"/>
      <c r="AK934" s="94"/>
      <c r="AL934" s="94"/>
      <c r="AM934" s="94"/>
      <c r="AN934" s="94"/>
      <c r="AO934" s="94"/>
      <c r="AP934" s="94"/>
      <c r="AQ934" s="94"/>
      <c r="AR934" s="94"/>
      <c r="AS934" s="94"/>
      <c r="AT934" s="94"/>
      <c r="AU934" s="94"/>
      <c r="AV934" s="94"/>
      <c r="AW934" s="94"/>
      <c r="AX934" s="94"/>
      <c r="AY934" s="94"/>
      <c r="BA934" s="95"/>
    </row>
    <row r="935" spans="1:53" s="87" customFormat="1">
      <c r="A935" s="90" t="str">
        <f t="shared" si="62"/>
        <v/>
      </c>
      <c r="B935" s="98">
        <v>6</v>
      </c>
      <c r="C935" s="94" t="s">
        <v>210</v>
      </c>
      <c r="D935" s="94">
        <v>-1</v>
      </c>
      <c r="E935" s="94" t="s">
        <v>210</v>
      </c>
      <c r="F935" s="94" t="s">
        <v>210</v>
      </c>
      <c r="G935" s="94">
        <v>3</v>
      </c>
      <c r="H935" s="94" t="s">
        <v>210</v>
      </c>
      <c r="I935" s="94">
        <v>-5</v>
      </c>
      <c r="J935" s="94" t="s">
        <v>210</v>
      </c>
      <c r="K935" s="94" t="s">
        <v>210</v>
      </c>
      <c r="L935" s="94">
        <v>4</v>
      </c>
      <c r="M935" s="94" t="s">
        <v>210</v>
      </c>
      <c r="N935" s="94">
        <v>-2</v>
      </c>
      <c r="O935" s="94" t="s">
        <v>210</v>
      </c>
      <c r="P935" s="94" t="s">
        <v>210</v>
      </c>
      <c r="Q935" s="94">
        <v>5</v>
      </c>
      <c r="R935" s="94" t="s">
        <v>210</v>
      </c>
      <c r="S935" s="94">
        <v>-3</v>
      </c>
      <c r="T935" s="94" t="s">
        <v>210</v>
      </c>
      <c r="U935" s="94" t="s">
        <v>210</v>
      </c>
      <c r="V935" s="94">
        <v>1</v>
      </c>
      <c r="W935" s="94" t="s">
        <v>210</v>
      </c>
      <c r="X935" s="94">
        <v>5</v>
      </c>
      <c r="Y935" s="94" t="s">
        <v>210</v>
      </c>
      <c r="Z935" s="94">
        <v>3</v>
      </c>
      <c r="AA935" s="94" t="s">
        <v>210</v>
      </c>
      <c r="AB935" s="94" t="s">
        <v>210</v>
      </c>
      <c r="AC935" s="94" t="s">
        <v>210</v>
      </c>
      <c r="AD935" s="94">
        <v>-1</v>
      </c>
      <c r="AE935" s="94" t="s">
        <v>210</v>
      </c>
      <c r="AF935" s="94">
        <v>-4</v>
      </c>
      <c r="AG935" s="94"/>
      <c r="AH935" s="94"/>
      <c r="AI935" s="94"/>
      <c r="AJ935" s="94"/>
      <c r="AK935" s="94"/>
      <c r="AL935" s="94"/>
      <c r="AM935" s="94"/>
      <c r="AN935" s="94"/>
      <c r="AO935" s="94"/>
      <c r="AP935" s="94"/>
      <c r="AQ935" s="94"/>
      <c r="AR935" s="94"/>
      <c r="AS935" s="94"/>
      <c r="AT935" s="94"/>
      <c r="AU935" s="94"/>
      <c r="AV935" s="94"/>
      <c r="AW935" s="94"/>
      <c r="AX935" s="94"/>
      <c r="AY935" s="94"/>
      <c r="BA935" s="95"/>
    </row>
    <row r="936" spans="1:53" s="87" customFormat="1">
      <c r="A936" s="90" t="str">
        <f t="shared" si="62"/>
        <v/>
      </c>
      <c r="B936" s="98">
        <v>7</v>
      </c>
      <c r="C936" s="94" t="s">
        <v>210</v>
      </c>
      <c r="D936" s="94">
        <v>-5</v>
      </c>
      <c r="E936" s="94" t="s">
        <v>210</v>
      </c>
      <c r="F936" s="94" t="s">
        <v>210</v>
      </c>
      <c r="G936" s="94">
        <v>1</v>
      </c>
      <c r="H936" s="94" t="s">
        <v>210</v>
      </c>
      <c r="I936" s="94">
        <v>-2</v>
      </c>
      <c r="J936" s="94" t="s">
        <v>210</v>
      </c>
      <c r="K936" s="94" t="s">
        <v>210</v>
      </c>
      <c r="L936" s="94">
        <v>3</v>
      </c>
      <c r="M936" s="94" t="s">
        <v>210</v>
      </c>
      <c r="N936" s="94">
        <v>-4</v>
      </c>
      <c r="O936" s="94" t="s">
        <v>210</v>
      </c>
      <c r="P936" s="94" t="s">
        <v>210</v>
      </c>
      <c r="Q936" s="94">
        <v>2</v>
      </c>
      <c r="R936" s="94" t="s">
        <v>210</v>
      </c>
      <c r="S936" s="94">
        <v>-1</v>
      </c>
      <c r="T936" s="94" t="s">
        <v>210</v>
      </c>
      <c r="U936" s="94" t="s">
        <v>210</v>
      </c>
      <c r="V936" s="94">
        <v>5</v>
      </c>
      <c r="W936" s="94" t="s">
        <v>210</v>
      </c>
      <c r="X936" s="94" t="s">
        <v>210</v>
      </c>
      <c r="Y936" s="94" t="s">
        <v>210</v>
      </c>
      <c r="Z936" s="94">
        <v>-3</v>
      </c>
      <c r="AA936" s="94" t="s">
        <v>210</v>
      </c>
      <c r="AB936" s="94">
        <v>-2</v>
      </c>
      <c r="AC936" s="94" t="s">
        <v>210</v>
      </c>
      <c r="AD936" s="94">
        <v>5</v>
      </c>
      <c r="AE936" s="94" t="s">
        <v>210</v>
      </c>
      <c r="AF936" s="94">
        <v>3</v>
      </c>
      <c r="AG936" s="94"/>
      <c r="AH936" s="94"/>
      <c r="AI936" s="94"/>
      <c r="AJ936" s="94"/>
      <c r="AK936" s="94"/>
      <c r="AL936" s="94"/>
      <c r="AM936" s="94"/>
      <c r="AN936" s="94"/>
      <c r="AO936" s="94"/>
      <c r="AP936" s="94"/>
      <c r="AQ936" s="94"/>
      <c r="AR936" s="94"/>
      <c r="AS936" s="94"/>
      <c r="AT936" s="94"/>
      <c r="AU936" s="94"/>
      <c r="AV936" s="94"/>
      <c r="AW936" s="94"/>
      <c r="AX936" s="94"/>
      <c r="AY936" s="94"/>
      <c r="BA936" s="95"/>
    </row>
    <row r="937" spans="1:53" s="87" customFormat="1">
      <c r="A937" s="90" t="str">
        <f t="shared" si="62"/>
        <v/>
      </c>
      <c r="B937" s="98">
        <v>8</v>
      </c>
      <c r="C937" s="94" t="s">
        <v>210</v>
      </c>
      <c r="D937" s="94">
        <v>-2</v>
      </c>
      <c r="E937" s="94" t="s">
        <v>210</v>
      </c>
      <c r="F937" s="94" t="s">
        <v>210</v>
      </c>
      <c r="G937" s="94">
        <v>5</v>
      </c>
      <c r="H937" s="94" t="s">
        <v>210</v>
      </c>
      <c r="I937" s="94">
        <v>-4</v>
      </c>
      <c r="J937" s="94" t="s">
        <v>210</v>
      </c>
      <c r="K937" s="94" t="s">
        <v>210</v>
      </c>
      <c r="L937" s="94">
        <v>1</v>
      </c>
      <c r="M937" s="94" t="s">
        <v>210</v>
      </c>
      <c r="N937" s="94">
        <v>-3</v>
      </c>
      <c r="O937" s="94" t="s">
        <v>210</v>
      </c>
      <c r="P937" s="94" t="s">
        <v>210</v>
      </c>
      <c r="Q937" s="94">
        <v>4</v>
      </c>
      <c r="R937" s="94" t="s">
        <v>210</v>
      </c>
      <c r="S937" s="94">
        <v>-5</v>
      </c>
      <c r="T937" s="94" t="s">
        <v>210</v>
      </c>
      <c r="U937" s="94" t="s">
        <v>210</v>
      </c>
      <c r="V937" s="94">
        <v>2</v>
      </c>
      <c r="W937" s="94" t="s">
        <v>210</v>
      </c>
      <c r="X937" s="94">
        <v>-3</v>
      </c>
      <c r="Y937" s="94" t="s">
        <v>210</v>
      </c>
      <c r="Z937" s="94">
        <v>-4</v>
      </c>
      <c r="AA937" s="94" t="s">
        <v>210</v>
      </c>
      <c r="AB937" s="94">
        <v>2</v>
      </c>
      <c r="AC937" s="94" t="s">
        <v>210</v>
      </c>
      <c r="AD937" s="94">
        <v>1</v>
      </c>
      <c r="AE937" s="94" t="s">
        <v>210</v>
      </c>
      <c r="AF937" s="94" t="s">
        <v>210</v>
      </c>
      <c r="AG937" s="94"/>
      <c r="AH937" s="94"/>
      <c r="AI937" s="94"/>
      <c r="AJ937" s="94"/>
      <c r="AK937" s="94"/>
      <c r="AL937" s="94"/>
      <c r="AM937" s="94"/>
      <c r="AN937" s="94"/>
      <c r="AO937" s="94"/>
      <c r="AP937" s="94"/>
      <c r="AQ937" s="94"/>
      <c r="AR937" s="94"/>
      <c r="AS937" s="94"/>
      <c r="AT937" s="94"/>
      <c r="AU937" s="94"/>
      <c r="AV937" s="94"/>
      <c r="AW937" s="94"/>
      <c r="AX937" s="94"/>
      <c r="AY937" s="94"/>
      <c r="BA937" s="95"/>
    </row>
    <row r="938" spans="1:53" s="87" customFormat="1">
      <c r="A938" s="90" t="str">
        <f t="shared" si="62"/>
        <v/>
      </c>
      <c r="B938" s="98">
        <v>9</v>
      </c>
      <c r="C938" s="94" t="s">
        <v>210</v>
      </c>
      <c r="D938" s="94">
        <v>-4</v>
      </c>
      <c r="E938" s="94" t="s">
        <v>210</v>
      </c>
      <c r="F938" s="94" t="s">
        <v>210</v>
      </c>
      <c r="G938" s="94">
        <v>2</v>
      </c>
      <c r="H938" s="94" t="s">
        <v>210</v>
      </c>
      <c r="I938" s="94">
        <v>-3</v>
      </c>
      <c r="J938" s="94" t="s">
        <v>210</v>
      </c>
      <c r="K938" s="94" t="s">
        <v>210</v>
      </c>
      <c r="L938" s="94">
        <v>5</v>
      </c>
      <c r="M938" s="94" t="s">
        <v>210</v>
      </c>
      <c r="N938" s="94">
        <v>-1</v>
      </c>
      <c r="O938" s="94" t="s">
        <v>210</v>
      </c>
      <c r="P938" s="94" t="s">
        <v>210</v>
      </c>
      <c r="Q938" s="94">
        <v>3</v>
      </c>
      <c r="R938" s="94" t="s">
        <v>210</v>
      </c>
      <c r="S938" s="94">
        <v>-2</v>
      </c>
      <c r="T938" s="94" t="s">
        <v>210</v>
      </c>
      <c r="U938" s="94" t="s">
        <v>210</v>
      </c>
      <c r="V938" s="94">
        <v>4</v>
      </c>
      <c r="W938" s="94" t="s">
        <v>210</v>
      </c>
      <c r="X938" s="94">
        <v>3</v>
      </c>
      <c r="Y938" s="94" t="s">
        <v>210</v>
      </c>
      <c r="Z938" s="94" t="s">
        <v>210</v>
      </c>
      <c r="AA938" s="94" t="s">
        <v>210</v>
      </c>
      <c r="AB938" s="94">
        <v>-1</v>
      </c>
      <c r="AC938" s="94" t="s">
        <v>210</v>
      </c>
      <c r="AD938" s="94">
        <v>-5</v>
      </c>
      <c r="AE938" s="94" t="s">
        <v>210</v>
      </c>
      <c r="AF938" s="94">
        <v>4</v>
      </c>
      <c r="AG938" s="94"/>
      <c r="AH938" s="94"/>
      <c r="AI938" s="94"/>
      <c r="AJ938" s="94"/>
      <c r="AK938" s="94"/>
      <c r="AL938" s="94"/>
      <c r="AM938" s="94"/>
      <c r="AN938" s="94"/>
      <c r="AO938" s="94"/>
      <c r="AP938" s="94"/>
      <c r="AQ938" s="94"/>
      <c r="AR938" s="94"/>
      <c r="AS938" s="94"/>
      <c r="AT938" s="94"/>
      <c r="AU938" s="94"/>
      <c r="AV938" s="94"/>
      <c r="AW938" s="94"/>
      <c r="AX938" s="94"/>
      <c r="AY938" s="94"/>
      <c r="BA938" s="95"/>
    </row>
    <row r="939" spans="1:53" s="87" customFormat="1">
      <c r="A939" s="90" t="str">
        <f t="shared" si="62"/>
        <v/>
      </c>
      <c r="B939" s="99">
        <v>10</v>
      </c>
      <c r="C939" s="92" t="s">
        <v>210</v>
      </c>
      <c r="D939" s="92">
        <v>-3</v>
      </c>
      <c r="E939" s="92" t="s">
        <v>210</v>
      </c>
      <c r="F939" s="92" t="s">
        <v>210</v>
      </c>
      <c r="G939" s="92">
        <v>4</v>
      </c>
      <c r="H939" s="92" t="s">
        <v>210</v>
      </c>
      <c r="I939" s="92">
        <v>-1</v>
      </c>
      <c r="J939" s="92" t="s">
        <v>210</v>
      </c>
      <c r="K939" s="92" t="s">
        <v>210</v>
      </c>
      <c r="L939" s="92">
        <v>2</v>
      </c>
      <c r="M939" s="92" t="s">
        <v>210</v>
      </c>
      <c r="N939" s="92">
        <v>-5</v>
      </c>
      <c r="O939" s="92" t="s">
        <v>210</v>
      </c>
      <c r="P939" s="92" t="s">
        <v>210</v>
      </c>
      <c r="Q939" s="92">
        <v>1</v>
      </c>
      <c r="R939" s="92" t="s">
        <v>210</v>
      </c>
      <c r="S939" s="92">
        <v>-4</v>
      </c>
      <c r="T939" s="92" t="s">
        <v>210</v>
      </c>
      <c r="U939" s="92" t="s">
        <v>210</v>
      </c>
      <c r="V939" s="92">
        <v>3</v>
      </c>
      <c r="W939" s="92" t="s">
        <v>210</v>
      </c>
      <c r="X939" s="92">
        <v>-5</v>
      </c>
      <c r="Y939" s="92" t="s">
        <v>210</v>
      </c>
      <c r="Z939" s="92">
        <v>4</v>
      </c>
      <c r="AA939" s="92" t="s">
        <v>210</v>
      </c>
      <c r="AB939" s="92">
        <v>1</v>
      </c>
      <c r="AC939" s="92" t="s">
        <v>210</v>
      </c>
      <c r="AD939" s="92" t="s">
        <v>210</v>
      </c>
      <c r="AE939" s="92" t="s">
        <v>210</v>
      </c>
      <c r="AF939" s="92">
        <v>-3</v>
      </c>
      <c r="AG939" s="94"/>
      <c r="AH939" s="94"/>
      <c r="AI939" s="94"/>
      <c r="AJ939" s="94"/>
      <c r="AK939" s="94"/>
      <c r="AL939" s="94"/>
      <c r="AM939" s="94"/>
      <c r="AN939" s="94"/>
      <c r="AO939" s="94"/>
      <c r="AP939" s="94"/>
      <c r="AQ939" s="94"/>
      <c r="AR939" s="94"/>
      <c r="AS939" s="94"/>
      <c r="AT939" s="94"/>
      <c r="AU939" s="94"/>
      <c r="AV939" s="94"/>
      <c r="AW939" s="94"/>
      <c r="AX939" s="94"/>
      <c r="AY939" s="94"/>
      <c r="BA939" s="95"/>
    </row>
    <row r="940" spans="1:53" s="87" customFormat="1">
      <c r="A940" s="90" t="str">
        <f t="shared" si="62"/>
        <v/>
      </c>
      <c r="B940" s="98">
        <v>11</v>
      </c>
      <c r="C940" s="94">
        <v>2</v>
      </c>
      <c r="D940" s="94" t="s">
        <v>210</v>
      </c>
      <c r="E940" s="94">
        <v>-5</v>
      </c>
      <c r="F940" s="94" t="s">
        <v>210</v>
      </c>
      <c r="G940" s="94" t="s">
        <v>210</v>
      </c>
      <c r="H940" s="94">
        <v>3</v>
      </c>
      <c r="I940" s="94" t="s">
        <v>210</v>
      </c>
      <c r="J940" s="94">
        <v>-1</v>
      </c>
      <c r="K940" s="94" t="s">
        <v>210</v>
      </c>
      <c r="L940" s="94" t="s">
        <v>210</v>
      </c>
      <c r="M940" s="94">
        <v>4</v>
      </c>
      <c r="N940" s="94" t="s">
        <v>210</v>
      </c>
      <c r="O940" s="94">
        <v>-2</v>
      </c>
      <c r="P940" s="94" t="s">
        <v>210</v>
      </c>
      <c r="Q940" s="94" t="s">
        <v>210</v>
      </c>
      <c r="R940" s="94">
        <v>5</v>
      </c>
      <c r="S940" s="94" t="s">
        <v>210</v>
      </c>
      <c r="T940" s="94">
        <v>-3</v>
      </c>
      <c r="U940" s="94" t="s">
        <v>210</v>
      </c>
      <c r="V940" s="94" t="s">
        <v>210</v>
      </c>
      <c r="W940" s="94">
        <v>5</v>
      </c>
      <c r="X940" s="94" t="s">
        <v>210</v>
      </c>
      <c r="Y940" s="94">
        <v>4</v>
      </c>
      <c r="Z940" s="94" t="s">
        <v>210</v>
      </c>
      <c r="AA940" s="94">
        <v>-1</v>
      </c>
      <c r="AB940" s="94" t="s">
        <v>210</v>
      </c>
      <c r="AC940" s="94" t="s">
        <v>210</v>
      </c>
      <c r="AD940" s="94" t="s">
        <v>210</v>
      </c>
      <c r="AE940" s="94">
        <v>-3</v>
      </c>
      <c r="AF940" s="94" t="s">
        <v>210</v>
      </c>
      <c r="AG940" s="94"/>
      <c r="AH940" s="94"/>
      <c r="AI940" s="94"/>
      <c r="AJ940" s="94"/>
      <c r="AK940" s="94"/>
      <c r="AL940" s="94"/>
      <c r="AM940" s="94"/>
      <c r="AN940" s="94"/>
      <c r="AO940" s="94"/>
      <c r="AP940" s="94"/>
      <c r="AQ940" s="94"/>
      <c r="AR940" s="94"/>
      <c r="AS940" s="94"/>
      <c r="AT940" s="94"/>
      <c r="AU940" s="94"/>
      <c r="AV940" s="94"/>
      <c r="AW940" s="94"/>
      <c r="AX940" s="94"/>
      <c r="AY940" s="94"/>
      <c r="BA940" s="95"/>
    </row>
    <row r="941" spans="1:53" s="87" customFormat="1">
      <c r="A941" s="90" t="str">
        <f t="shared" si="62"/>
        <v/>
      </c>
      <c r="B941" s="98">
        <v>12</v>
      </c>
      <c r="C941" s="94">
        <v>4</v>
      </c>
      <c r="D941" s="94" t="s">
        <v>210</v>
      </c>
      <c r="E941" s="94">
        <v>-2</v>
      </c>
      <c r="F941" s="94" t="s">
        <v>210</v>
      </c>
      <c r="G941" s="94" t="s">
        <v>210</v>
      </c>
      <c r="H941" s="94">
        <v>1</v>
      </c>
      <c r="I941" s="94" t="s">
        <v>210</v>
      </c>
      <c r="J941" s="94">
        <v>-5</v>
      </c>
      <c r="K941" s="94" t="s">
        <v>210</v>
      </c>
      <c r="L941" s="94" t="s">
        <v>210</v>
      </c>
      <c r="M941" s="94">
        <v>3</v>
      </c>
      <c r="N941" s="94" t="s">
        <v>210</v>
      </c>
      <c r="O941" s="94">
        <v>-4</v>
      </c>
      <c r="P941" s="94" t="s">
        <v>210</v>
      </c>
      <c r="Q941" s="94" t="s">
        <v>210</v>
      </c>
      <c r="R941" s="94">
        <v>2</v>
      </c>
      <c r="S941" s="94" t="s">
        <v>210</v>
      </c>
      <c r="T941" s="94">
        <v>-1</v>
      </c>
      <c r="U941" s="94" t="s">
        <v>210</v>
      </c>
      <c r="V941" s="94" t="s">
        <v>210</v>
      </c>
      <c r="W941" s="94">
        <v>-3</v>
      </c>
      <c r="X941" s="94" t="s">
        <v>210</v>
      </c>
      <c r="Y941" s="94">
        <v>-4</v>
      </c>
      <c r="Z941" s="94" t="s">
        <v>210</v>
      </c>
      <c r="AA941" s="94">
        <v>2</v>
      </c>
      <c r="AB941" s="94" t="s">
        <v>210</v>
      </c>
      <c r="AC941" s="94">
        <v>1</v>
      </c>
      <c r="AD941" s="94" t="s">
        <v>210</v>
      </c>
      <c r="AE941" s="94" t="s">
        <v>210</v>
      </c>
      <c r="AF941" s="94" t="s">
        <v>210</v>
      </c>
      <c r="AG941" s="94"/>
      <c r="AH941" s="94"/>
      <c r="AI941" s="94"/>
      <c r="AJ941" s="94"/>
      <c r="AK941" s="94"/>
      <c r="AL941" s="94"/>
      <c r="AM941" s="94"/>
      <c r="AN941" s="94"/>
      <c r="AO941" s="94"/>
      <c r="AP941" s="94"/>
      <c r="AQ941" s="94"/>
      <c r="AR941" s="94"/>
      <c r="AS941" s="94"/>
      <c r="AT941" s="94"/>
      <c r="AU941" s="94"/>
      <c r="AV941" s="94"/>
      <c r="AW941" s="94"/>
      <c r="AX941" s="94"/>
      <c r="AY941" s="94"/>
      <c r="BA941" s="95"/>
    </row>
    <row r="942" spans="1:53" s="87" customFormat="1">
      <c r="A942" s="90" t="str">
        <f t="shared" si="62"/>
        <v/>
      </c>
      <c r="B942" s="98">
        <v>13</v>
      </c>
      <c r="C942" s="94">
        <v>3</v>
      </c>
      <c r="D942" s="94" t="s">
        <v>210</v>
      </c>
      <c r="E942" s="94">
        <v>-4</v>
      </c>
      <c r="F942" s="94" t="s">
        <v>210</v>
      </c>
      <c r="G942" s="94" t="s">
        <v>210</v>
      </c>
      <c r="H942" s="94">
        <v>5</v>
      </c>
      <c r="I942" s="94" t="s">
        <v>210</v>
      </c>
      <c r="J942" s="94">
        <v>-2</v>
      </c>
      <c r="K942" s="94" t="s">
        <v>210</v>
      </c>
      <c r="L942" s="94" t="s">
        <v>210</v>
      </c>
      <c r="M942" s="94">
        <v>1</v>
      </c>
      <c r="N942" s="94" t="s">
        <v>210</v>
      </c>
      <c r="O942" s="94">
        <v>-3</v>
      </c>
      <c r="P942" s="94" t="s">
        <v>210</v>
      </c>
      <c r="Q942" s="94" t="s">
        <v>210</v>
      </c>
      <c r="R942" s="94">
        <v>4</v>
      </c>
      <c r="S942" s="94" t="s">
        <v>210</v>
      </c>
      <c r="T942" s="94">
        <v>-5</v>
      </c>
      <c r="U942" s="94" t="s">
        <v>210</v>
      </c>
      <c r="V942" s="94" t="s">
        <v>210</v>
      </c>
      <c r="W942" s="94">
        <v>3</v>
      </c>
      <c r="X942" s="94" t="s">
        <v>210</v>
      </c>
      <c r="Y942" s="94" t="s">
        <v>210</v>
      </c>
      <c r="Z942" s="94" t="s">
        <v>210</v>
      </c>
      <c r="AA942" s="94">
        <v>1</v>
      </c>
      <c r="AB942" s="94" t="s">
        <v>210</v>
      </c>
      <c r="AC942" s="94">
        <v>-5</v>
      </c>
      <c r="AD942" s="94" t="s">
        <v>210</v>
      </c>
      <c r="AE942" s="94">
        <v>-4</v>
      </c>
      <c r="AF942" s="94" t="s">
        <v>210</v>
      </c>
      <c r="AG942" s="94"/>
      <c r="AH942" s="94"/>
      <c r="AI942" s="94"/>
      <c r="AJ942" s="94"/>
      <c r="AK942" s="94"/>
      <c r="AL942" s="94"/>
      <c r="AM942" s="94"/>
      <c r="AN942" s="94"/>
      <c r="AO942" s="94"/>
      <c r="AP942" s="94"/>
      <c r="AQ942" s="94"/>
      <c r="AR942" s="94"/>
      <c r="AS942" s="94"/>
      <c r="AT942" s="94"/>
      <c r="AU942" s="94"/>
      <c r="AV942" s="94"/>
      <c r="AW942" s="94"/>
      <c r="AX942" s="94"/>
      <c r="AY942" s="94"/>
      <c r="BA942" s="95"/>
    </row>
    <row r="943" spans="1:53" s="87" customFormat="1">
      <c r="A943" s="90" t="str">
        <f t="shared" si="62"/>
        <v/>
      </c>
      <c r="B943" s="98">
        <v>14</v>
      </c>
      <c r="C943" s="94">
        <v>1</v>
      </c>
      <c r="D943" s="94" t="s">
        <v>210</v>
      </c>
      <c r="E943" s="94">
        <v>-3</v>
      </c>
      <c r="F943" s="94" t="s">
        <v>210</v>
      </c>
      <c r="G943" s="94" t="s">
        <v>210</v>
      </c>
      <c r="H943" s="94">
        <v>2</v>
      </c>
      <c r="I943" s="94" t="s">
        <v>210</v>
      </c>
      <c r="J943" s="94">
        <v>-4</v>
      </c>
      <c r="K943" s="94" t="s">
        <v>210</v>
      </c>
      <c r="L943" s="94" t="s">
        <v>210</v>
      </c>
      <c r="M943" s="94">
        <v>5</v>
      </c>
      <c r="N943" s="94" t="s">
        <v>210</v>
      </c>
      <c r="O943" s="94">
        <v>-1</v>
      </c>
      <c r="P943" s="94" t="s">
        <v>210</v>
      </c>
      <c r="Q943" s="94" t="s">
        <v>210</v>
      </c>
      <c r="R943" s="94">
        <v>3</v>
      </c>
      <c r="S943" s="94" t="s">
        <v>210</v>
      </c>
      <c r="T943" s="94">
        <v>-2</v>
      </c>
      <c r="U943" s="94" t="s">
        <v>210</v>
      </c>
      <c r="V943" s="94" t="s">
        <v>210</v>
      </c>
      <c r="W943" s="94">
        <v>-5</v>
      </c>
      <c r="X943" s="94" t="s">
        <v>210</v>
      </c>
      <c r="Y943" s="94">
        <v>3</v>
      </c>
      <c r="Z943" s="94" t="s">
        <v>210</v>
      </c>
      <c r="AA943" s="94" t="s">
        <v>210</v>
      </c>
      <c r="AB943" s="94" t="s">
        <v>210</v>
      </c>
      <c r="AC943" s="94">
        <v>-1</v>
      </c>
      <c r="AD943" s="94" t="s">
        <v>210</v>
      </c>
      <c r="AE943" s="94">
        <v>4</v>
      </c>
      <c r="AF943" s="94" t="s">
        <v>210</v>
      </c>
      <c r="AG943" s="94"/>
      <c r="AH943" s="94"/>
      <c r="AI943" s="94"/>
      <c r="AJ943" s="94"/>
      <c r="AK943" s="94"/>
      <c r="AL943" s="94"/>
      <c r="AM943" s="94"/>
      <c r="AN943" s="94"/>
      <c r="AO943" s="94"/>
      <c r="AP943" s="94"/>
      <c r="AQ943" s="94"/>
      <c r="AR943" s="94"/>
      <c r="AS943" s="94"/>
      <c r="AT943" s="94"/>
      <c r="AU943" s="94"/>
      <c r="AV943" s="94"/>
      <c r="AW943" s="94"/>
      <c r="AX943" s="94"/>
      <c r="AY943" s="94"/>
      <c r="BA943" s="95"/>
    </row>
    <row r="944" spans="1:53" s="87" customFormat="1">
      <c r="A944" s="90" t="str">
        <f t="shared" si="62"/>
        <v/>
      </c>
      <c r="B944" s="99">
        <v>15</v>
      </c>
      <c r="C944" s="92">
        <v>5</v>
      </c>
      <c r="D944" s="92" t="s">
        <v>210</v>
      </c>
      <c r="E944" s="92">
        <v>-1</v>
      </c>
      <c r="F944" s="92" t="s">
        <v>210</v>
      </c>
      <c r="G944" s="92" t="s">
        <v>210</v>
      </c>
      <c r="H944" s="92">
        <v>4</v>
      </c>
      <c r="I944" s="92" t="s">
        <v>210</v>
      </c>
      <c r="J944" s="92">
        <v>-3</v>
      </c>
      <c r="K944" s="92" t="s">
        <v>210</v>
      </c>
      <c r="L944" s="92" t="s">
        <v>210</v>
      </c>
      <c r="M944" s="92">
        <v>2</v>
      </c>
      <c r="N944" s="92" t="s">
        <v>210</v>
      </c>
      <c r="O944" s="92">
        <v>-5</v>
      </c>
      <c r="P944" s="92" t="s">
        <v>210</v>
      </c>
      <c r="Q944" s="92" t="s">
        <v>210</v>
      </c>
      <c r="R944" s="92">
        <v>1</v>
      </c>
      <c r="S944" s="92" t="s">
        <v>210</v>
      </c>
      <c r="T944" s="92">
        <v>-4</v>
      </c>
      <c r="U944" s="92" t="s">
        <v>210</v>
      </c>
      <c r="V944" s="92" t="s">
        <v>210</v>
      </c>
      <c r="W944" s="92" t="s">
        <v>210</v>
      </c>
      <c r="X944" s="92" t="s">
        <v>210</v>
      </c>
      <c r="Y944" s="92">
        <v>-3</v>
      </c>
      <c r="Z944" s="92" t="s">
        <v>210</v>
      </c>
      <c r="AA944" s="92">
        <v>-2</v>
      </c>
      <c r="AB944" s="92" t="s">
        <v>210</v>
      </c>
      <c r="AC944" s="92">
        <v>5</v>
      </c>
      <c r="AD944" s="92" t="s">
        <v>210</v>
      </c>
      <c r="AE944" s="92">
        <v>3</v>
      </c>
      <c r="AF944" s="92" t="s">
        <v>210</v>
      </c>
      <c r="AG944" s="94"/>
      <c r="AH944" s="94"/>
      <c r="AI944" s="94"/>
      <c r="AJ944" s="94"/>
      <c r="AK944" s="94"/>
      <c r="AL944" s="94"/>
      <c r="AM944" s="94"/>
      <c r="AN944" s="94"/>
      <c r="AO944" s="94"/>
      <c r="AP944" s="94"/>
      <c r="AQ944" s="94"/>
      <c r="AR944" s="94"/>
      <c r="AS944" s="94"/>
      <c r="AT944" s="94"/>
      <c r="AU944" s="94"/>
      <c r="AV944" s="94"/>
      <c r="AW944" s="94"/>
      <c r="AX944" s="94"/>
      <c r="AY944" s="94"/>
      <c r="BA944" s="95"/>
    </row>
    <row r="945" spans="1:53" s="87" customFormat="1">
      <c r="A945" s="90" t="str">
        <f t="shared" si="62"/>
        <v/>
      </c>
      <c r="B945" s="98">
        <v>16</v>
      </c>
      <c r="C945" s="94" t="s">
        <v>210</v>
      </c>
      <c r="D945" s="94">
        <v>1</v>
      </c>
      <c r="E945" s="94" t="s">
        <v>210</v>
      </c>
      <c r="F945" s="94">
        <v>-5</v>
      </c>
      <c r="G945" s="94" t="s">
        <v>210</v>
      </c>
      <c r="H945" s="94" t="s">
        <v>210</v>
      </c>
      <c r="I945" s="94">
        <v>3</v>
      </c>
      <c r="J945" s="94" t="s">
        <v>210</v>
      </c>
      <c r="K945" s="94">
        <v>-2</v>
      </c>
      <c r="L945" s="94" t="s">
        <v>210</v>
      </c>
      <c r="M945" s="94" t="s">
        <v>210</v>
      </c>
      <c r="N945" s="94">
        <v>4</v>
      </c>
      <c r="O945" s="94" t="s">
        <v>210</v>
      </c>
      <c r="P945" s="94">
        <v>-1</v>
      </c>
      <c r="Q945" s="94" t="s">
        <v>210</v>
      </c>
      <c r="R945" s="94" t="s">
        <v>210</v>
      </c>
      <c r="S945" s="94">
        <v>5</v>
      </c>
      <c r="T945" s="94" t="s">
        <v>210</v>
      </c>
      <c r="U945" s="94">
        <v>-3</v>
      </c>
      <c r="V945" s="94" t="s">
        <v>210</v>
      </c>
      <c r="W945" s="94">
        <v>4</v>
      </c>
      <c r="X945" s="94" t="s">
        <v>210</v>
      </c>
      <c r="Y945" s="94">
        <v>1</v>
      </c>
      <c r="Z945" s="94" t="s">
        <v>210</v>
      </c>
      <c r="AA945" s="94">
        <v>-5</v>
      </c>
      <c r="AB945" s="94" t="s">
        <v>210</v>
      </c>
      <c r="AC945" s="94" t="s">
        <v>210</v>
      </c>
      <c r="AD945" s="94" t="s">
        <v>210</v>
      </c>
      <c r="AE945" s="94">
        <v>-2</v>
      </c>
      <c r="AF945" s="94" t="s">
        <v>210</v>
      </c>
      <c r="AG945" s="94"/>
      <c r="AH945" s="94"/>
      <c r="AI945" s="94"/>
      <c r="AJ945" s="94"/>
      <c r="AK945" s="94"/>
      <c r="AL945" s="94"/>
      <c r="AM945" s="94"/>
      <c r="AN945" s="94"/>
      <c r="AO945" s="94"/>
      <c r="AP945" s="94"/>
      <c r="AQ945" s="94"/>
      <c r="AR945" s="94"/>
      <c r="AS945" s="94"/>
      <c r="AT945" s="94"/>
      <c r="AU945" s="94"/>
      <c r="AV945" s="94"/>
      <c r="AW945" s="94"/>
      <c r="AX945" s="94"/>
      <c r="AY945" s="94"/>
      <c r="BA945" s="95"/>
    </row>
    <row r="946" spans="1:53" s="87" customFormat="1">
      <c r="A946" s="90" t="str">
        <f t="shared" si="62"/>
        <v/>
      </c>
      <c r="B946" s="98">
        <v>17</v>
      </c>
      <c r="C946" s="94" t="s">
        <v>210</v>
      </c>
      <c r="D946" s="94">
        <v>5</v>
      </c>
      <c r="E946" s="94" t="s">
        <v>210</v>
      </c>
      <c r="F946" s="94">
        <v>-2</v>
      </c>
      <c r="G946" s="94" t="s">
        <v>210</v>
      </c>
      <c r="H946" s="94" t="s">
        <v>210</v>
      </c>
      <c r="I946" s="94">
        <v>1</v>
      </c>
      <c r="J946" s="94" t="s">
        <v>210</v>
      </c>
      <c r="K946" s="94">
        <v>-4</v>
      </c>
      <c r="L946" s="94" t="s">
        <v>210</v>
      </c>
      <c r="M946" s="94" t="s">
        <v>210</v>
      </c>
      <c r="N946" s="94">
        <v>3</v>
      </c>
      <c r="O946" s="94" t="s">
        <v>210</v>
      </c>
      <c r="P946" s="94">
        <v>-5</v>
      </c>
      <c r="Q946" s="94" t="s">
        <v>210</v>
      </c>
      <c r="R946" s="94" t="s">
        <v>210</v>
      </c>
      <c r="S946" s="94">
        <v>2</v>
      </c>
      <c r="T946" s="94" t="s">
        <v>210</v>
      </c>
      <c r="U946" s="94">
        <v>-1</v>
      </c>
      <c r="V946" s="94" t="s">
        <v>210</v>
      </c>
      <c r="W946" s="94" t="s">
        <v>210</v>
      </c>
      <c r="X946" s="94" t="s">
        <v>210</v>
      </c>
      <c r="Y946" s="94">
        <v>-5</v>
      </c>
      <c r="Z946" s="94" t="s">
        <v>210</v>
      </c>
      <c r="AA946" s="94">
        <v>-4</v>
      </c>
      <c r="AB946" s="94" t="s">
        <v>210</v>
      </c>
      <c r="AC946" s="94">
        <v>3</v>
      </c>
      <c r="AD946" s="94" t="s">
        <v>210</v>
      </c>
      <c r="AE946" s="94">
        <v>2</v>
      </c>
      <c r="AF946" s="94" t="s">
        <v>210</v>
      </c>
      <c r="AG946" s="94"/>
      <c r="AH946" s="94"/>
      <c r="AI946" s="94"/>
      <c r="AJ946" s="94"/>
      <c r="AK946" s="94"/>
      <c r="AL946" s="94"/>
      <c r="AM946" s="94"/>
      <c r="AN946" s="94"/>
      <c r="AO946" s="94"/>
      <c r="AP946" s="94"/>
      <c r="AQ946" s="94"/>
      <c r="AR946" s="94"/>
      <c r="AS946" s="94"/>
      <c r="AT946" s="94"/>
      <c r="AU946" s="94"/>
      <c r="AV946" s="94"/>
      <c r="AW946" s="94"/>
      <c r="AX946" s="94"/>
      <c r="AY946" s="94"/>
      <c r="BA946" s="95"/>
    </row>
    <row r="947" spans="1:53" s="87" customFormat="1">
      <c r="A947" s="90" t="str">
        <f t="shared" si="62"/>
        <v/>
      </c>
      <c r="B947" s="98">
        <v>18</v>
      </c>
      <c r="C947" s="94" t="s">
        <v>210</v>
      </c>
      <c r="D947" s="94">
        <v>2</v>
      </c>
      <c r="E947" s="94" t="s">
        <v>210</v>
      </c>
      <c r="F947" s="94">
        <v>-4</v>
      </c>
      <c r="G947" s="94" t="s">
        <v>210</v>
      </c>
      <c r="H947" s="94" t="s">
        <v>210</v>
      </c>
      <c r="I947" s="94">
        <v>5</v>
      </c>
      <c r="J947" s="94" t="s">
        <v>210</v>
      </c>
      <c r="K947" s="94">
        <v>-3</v>
      </c>
      <c r="L947" s="94" t="s">
        <v>210</v>
      </c>
      <c r="M947" s="94" t="s">
        <v>210</v>
      </c>
      <c r="N947" s="94">
        <v>1</v>
      </c>
      <c r="O947" s="94" t="s">
        <v>210</v>
      </c>
      <c r="P947" s="94">
        <v>-2</v>
      </c>
      <c r="Q947" s="94" t="s">
        <v>210</v>
      </c>
      <c r="R947" s="94" t="s">
        <v>210</v>
      </c>
      <c r="S947" s="94">
        <v>4</v>
      </c>
      <c r="T947" s="94" t="s">
        <v>210</v>
      </c>
      <c r="U947" s="94">
        <v>-5</v>
      </c>
      <c r="V947" s="94" t="s">
        <v>210</v>
      </c>
      <c r="W947" s="94">
        <v>2</v>
      </c>
      <c r="X947" s="94" t="s">
        <v>210</v>
      </c>
      <c r="Y947" s="94">
        <v>-1</v>
      </c>
      <c r="Z947" s="94" t="s">
        <v>210</v>
      </c>
      <c r="AA947" s="94">
        <v>4</v>
      </c>
      <c r="AB947" s="94" t="s">
        <v>210</v>
      </c>
      <c r="AC947" s="94">
        <v>-2</v>
      </c>
      <c r="AD947" s="94" t="s">
        <v>210</v>
      </c>
      <c r="AE947" s="94" t="s">
        <v>210</v>
      </c>
      <c r="AF947" s="94" t="s">
        <v>210</v>
      </c>
      <c r="AG947" s="94"/>
      <c r="AH947" s="94"/>
      <c r="AI947" s="94"/>
      <c r="AJ947" s="94"/>
      <c r="AK947" s="94"/>
      <c r="AL947" s="94"/>
      <c r="AM947" s="94"/>
      <c r="AN947" s="94"/>
      <c r="AO947" s="94"/>
      <c r="AP947" s="94"/>
      <c r="AQ947" s="94"/>
      <c r="AR947" s="94"/>
      <c r="AS947" s="94"/>
      <c r="AT947" s="94"/>
      <c r="AU947" s="94"/>
      <c r="AV947" s="94"/>
      <c r="AW947" s="94"/>
      <c r="AX947" s="94"/>
      <c r="AY947" s="94"/>
      <c r="BA947" s="95"/>
    </row>
    <row r="948" spans="1:53" s="87" customFormat="1">
      <c r="A948" s="90" t="str">
        <f t="shared" si="62"/>
        <v/>
      </c>
      <c r="B948" s="98">
        <v>19</v>
      </c>
      <c r="C948" s="94" t="s">
        <v>210</v>
      </c>
      <c r="D948" s="94">
        <v>4</v>
      </c>
      <c r="E948" s="94" t="s">
        <v>210</v>
      </c>
      <c r="F948" s="94">
        <v>-3</v>
      </c>
      <c r="G948" s="94" t="s">
        <v>210</v>
      </c>
      <c r="H948" s="94" t="s">
        <v>210</v>
      </c>
      <c r="I948" s="94">
        <v>2</v>
      </c>
      <c r="J948" s="94" t="s">
        <v>210</v>
      </c>
      <c r="K948" s="94">
        <v>-1</v>
      </c>
      <c r="L948" s="94" t="s">
        <v>210</v>
      </c>
      <c r="M948" s="94" t="s">
        <v>210</v>
      </c>
      <c r="N948" s="94">
        <v>5</v>
      </c>
      <c r="O948" s="94" t="s">
        <v>210</v>
      </c>
      <c r="P948" s="94">
        <v>-4</v>
      </c>
      <c r="Q948" s="94" t="s">
        <v>210</v>
      </c>
      <c r="R948" s="94" t="s">
        <v>210</v>
      </c>
      <c r="S948" s="94">
        <v>3</v>
      </c>
      <c r="T948" s="94" t="s">
        <v>210</v>
      </c>
      <c r="U948" s="94">
        <v>-2</v>
      </c>
      <c r="V948" s="94" t="s">
        <v>210</v>
      </c>
      <c r="W948" s="94">
        <v>-4</v>
      </c>
      <c r="X948" s="94" t="s">
        <v>210</v>
      </c>
      <c r="Y948" s="94">
        <v>5</v>
      </c>
      <c r="Z948" s="94" t="s">
        <v>210</v>
      </c>
      <c r="AA948" s="94" t="s">
        <v>210</v>
      </c>
      <c r="AB948" s="94" t="s">
        <v>210</v>
      </c>
      <c r="AC948" s="94">
        <v>2</v>
      </c>
      <c r="AD948" s="94" t="s">
        <v>210</v>
      </c>
      <c r="AE948" s="94">
        <v>-1</v>
      </c>
      <c r="AF948" s="94" t="s">
        <v>210</v>
      </c>
      <c r="AG948" s="94"/>
      <c r="AH948" s="94"/>
      <c r="AI948" s="94"/>
      <c r="AJ948" s="94"/>
      <c r="AK948" s="94"/>
      <c r="AL948" s="94"/>
      <c r="AM948" s="94"/>
      <c r="AN948" s="94"/>
      <c r="AO948" s="94"/>
      <c r="AP948" s="94"/>
      <c r="AQ948" s="94"/>
      <c r="AR948" s="94"/>
      <c r="AS948" s="94"/>
      <c r="AT948" s="94"/>
      <c r="AU948" s="94"/>
      <c r="AV948" s="94"/>
      <c r="AW948" s="94"/>
      <c r="AX948" s="94"/>
      <c r="AY948" s="94"/>
      <c r="BA948" s="95"/>
    </row>
    <row r="949" spans="1:53" s="87" customFormat="1">
      <c r="A949" s="90" t="str">
        <f t="shared" si="62"/>
        <v/>
      </c>
      <c r="B949" s="99">
        <v>20</v>
      </c>
      <c r="C949" s="92" t="s">
        <v>210</v>
      </c>
      <c r="D949" s="92">
        <v>3</v>
      </c>
      <c r="E949" s="92" t="s">
        <v>210</v>
      </c>
      <c r="F949" s="92">
        <v>-1</v>
      </c>
      <c r="G949" s="92" t="s">
        <v>210</v>
      </c>
      <c r="H949" s="92" t="s">
        <v>210</v>
      </c>
      <c r="I949" s="92">
        <v>4</v>
      </c>
      <c r="J949" s="92" t="s">
        <v>210</v>
      </c>
      <c r="K949" s="92">
        <v>-5</v>
      </c>
      <c r="L949" s="92" t="s">
        <v>210</v>
      </c>
      <c r="M949" s="92" t="s">
        <v>210</v>
      </c>
      <c r="N949" s="92">
        <v>2</v>
      </c>
      <c r="O949" s="92" t="s">
        <v>210</v>
      </c>
      <c r="P949" s="92">
        <v>-3</v>
      </c>
      <c r="Q949" s="92" t="s">
        <v>210</v>
      </c>
      <c r="R949" s="92" t="s">
        <v>210</v>
      </c>
      <c r="S949" s="92">
        <v>1</v>
      </c>
      <c r="T949" s="92" t="s">
        <v>210</v>
      </c>
      <c r="U949" s="92">
        <v>-4</v>
      </c>
      <c r="V949" s="92" t="s">
        <v>210</v>
      </c>
      <c r="W949" s="92">
        <v>-2</v>
      </c>
      <c r="X949" s="92" t="s">
        <v>210</v>
      </c>
      <c r="Y949" s="92" t="s">
        <v>210</v>
      </c>
      <c r="Z949" s="92" t="s">
        <v>210</v>
      </c>
      <c r="AA949" s="92">
        <v>5</v>
      </c>
      <c r="AB949" s="92" t="s">
        <v>210</v>
      </c>
      <c r="AC949" s="92">
        <v>-3</v>
      </c>
      <c r="AD949" s="92" t="s">
        <v>210</v>
      </c>
      <c r="AE949" s="92">
        <v>1</v>
      </c>
      <c r="AF949" s="92" t="s">
        <v>210</v>
      </c>
      <c r="AG949" s="94"/>
      <c r="AH949" s="94"/>
      <c r="AI949" s="94"/>
      <c r="AJ949" s="94"/>
      <c r="AK949" s="94"/>
      <c r="AL949" s="94"/>
      <c r="AM949" s="94"/>
      <c r="AN949" s="94"/>
      <c r="AO949" s="94"/>
      <c r="AP949" s="94"/>
      <c r="AQ949" s="94"/>
      <c r="AR949" s="94"/>
      <c r="AS949" s="94"/>
      <c r="AT949" s="94"/>
      <c r="AU949" s="94"/>
      <c r="AV949" s="94"/>
      <c r="AW949" s="94"/>
      <c r="AX949" s="94"/>
      <c r="AY949" s="94"/>
      <c r="BA949" s="95"/>
    </row>
    <row r="950" spans="1:53" s="87" customFormat="1">
      <c r="A950" s="90" t="str">
        <f t="shared" si="62"/>
        <v/>
      </c>
      <c r="B950" s="98">
        <v>21</v>
      </c>
      <c r="C950" s="94" t="s">
        <v>210</v>
      </c>
      <c r="D950" s="94" t="s">
        <v>210</v>
      </c>
      <c r="E950" s="94">
        <v>3</v>
      </c>
      <c r="F950" s="94" t="s">
        <v>210</v>
      </c>
      <c r="G950" s="94">
        <v>-5</v>
      </c>
      <c r="H950" s="94" t="s">
        <v>210</v>
      </c>
      <c r="I950" s="94" t="s">
        <v>210</v>
      </c>
      <c r="J950" s="94">
        <v>1</v>
      </c>
      <c r="K950" s="94" t="s">
        <v>210</v>
      </c>
      <c r="L950" s="94">
        <v>-2</v>
      </c>
      <c r="M950" s="94" t="s">
        <v>210</v>
      </c>
      <c r="N950" s="94" t="s">
        <v>210</v>
      </c>
      <c r="O950" s="94">
        <v>4</v>
      </c>
      <c r="P950" s="94" t="s">
        <v>210</v>
      </c>
      <c r="Q950" s="94">
        <v>-3</v>
      </c>
      <c r="R950" s="94" t="s">
        <v>210</v>
      </c>
      <c r="S950" s="94" t="s">
        <v>210</v>
      </c>
      <c r="T950" s="94">
        <v>5</v>
      </c>
      <c r="U950" s="94" t="s">
        <v>210</v>
      </c>
      <c r="V950" s="94">
        <v>-1</v>
      </c>
      <c r="W950" s="94" t="s">
        <v>210</v>
      </c>
      <c r="X950" s="94">
        <v>2</v>
      </c>
      <c r="Y950" s="94" t="s">
        <v>210</v>
      </c>
      <c r="Z950" s="94" t="s">
        <v>210</v>
      </c>
      <c r="AA950" s="94" t="s">
        <v>210</v>
      </c>
      <c r="AB950" s="94">
        <v>5</v>
      </c>
      <c r="AC950" s="94" t="s">
        <v>210</v>
      </c>
      <c r="AD950" s="94">
        <v>-3</v>
      </c>
      <c r="AE950" s="94" t="s">
        <v>210</v>
      </c>
      <c r="AF950" s="94">
        <v>-1</v>
      </c>
      <c r="AG950" s="94"/>
      <c r="AH950" s="94"/>
      <c r="AI950" s="94"/>
      <c r="AJ950" s="94"/>
      <c r="AK950" s="94"/>
      <c r="AL950" s="94"/>
      <c r="AM950" s="94"/>
      <c r="AN950" s="94"/>
      <c r="AO950" s="94"/>
      <c r="AP950" s="94"/>
      <c r="AQ950" s="94"/>
      <c r="AR950" s="94"/>
      <c r="AS950" s="94"/>
      <c r="AT950" s="94"/>
      <c r="AU950" s="94"/>
      <c r="AV950" s="94"/>
      <c r="AW950" s="94"/>
      <c r="AX950" s="94"/>
      <c r="AY950" s="94"/>
      <c r="BA950" s="95"/>
    </row>
    <row r="951" spans="1:53" s="87" customFormat="1">
      <c r="A951" s="90" t="str">
        <f t="shared" si="62"/>
        <v/>
      </c>
      <c r="B951" s="98">
        <v>22</v>
      </c>
      <c r="C951" s="94" t="s">
        <v>210</v>
      </c>
      <c r="D951" s="94" t="s">
        <v>210</v>
      </c>
      <c r="E951" s="94">
        <v>1</v>
      </c>
      <c r="F951" s="94" t="s">
        <v>210</v>
      </c>
      <c r="G951" s="94">
        <v>-2</v>
      </c>
      <c r="H951" s="94" t="s">
        <v>210</v>
      </c>
      <c r="I951" s="94" t="s">
        <v>210</v>
      </c>
      <c r="J951" s="94">
        <v>5</v>
      </c>
      <c r="K951" s="94" t="s">
        <v>210</v>
      </c>
      <c r="L951" s="94">
        <v>-4</v>
      </c>
      <c r="M951" s="94" t="s">
        <v>210</v>
      </c>
      <c r="N951" s="94" t="s">
        <v>210</v>
      </c>
      <c r="O951" s="94">
        <v>3</v>
      </c>
      <c r="P951" s="94" t="s">
        <v>210</v>
      </c>
      <c r="Q951" s="94">
        <v>-1</v>
      </c>
      <c r="R951" s="94" t="s">
        <v>210</v>
      </c>
      <c r="S951" s="94" t="s">
        <v>210</v>
      </c>
      <c r="T951" s="94">
        <v>2</v>
      </c>
      <c r="U951" s="94" t="s">
        <v>210</v>
      </c>
      <c r="V951" s="94">
        <v>-5</v>
      </c>
      <c r="W951" s="94" t="s">
        <v>210</v>
      </c>
      <c r="X951" s="94">
        <v>-4</v>
      </c>
      <c r="Y951" s="94" t="s">
        <v>210</v>
      </c>
      <c r="Z951" s="94">
        <v>1</v>
      </c>
      <c r="AA951" s="94" t="s">
        <v>210</v>
      </c>
      <c r="AB951" s="94">
        <v>-5</v>
      </c>
      <c r="AC951" s="94" t="s">
        <v>210</v>
      </c>
      <c r="AD951" s="94" t="s">
        <v>210</v>
      </c>
      <c r="AE951" s="94" t="s">
        <v>210</v>
      </c>
      <c r="AF951" s="94">
        <v>2</v>
      </c>
      <c r="AG951" s="94"/>
      <c r="AH951" s="94"/>
      <c r="AI951" s="94"/>
      <c r="AJ951" s="94"/>
      <c r="AK951" s="94"/>
      <c r="AL951" s="94"/>
      <c r="AM951" s="94"/>
      <c r="AN951" s="94"/>
      <c r="AO951" s="94"/>
      <c r="AP951" s="94"/>
      <c r="AQ951" s="94"/>
      <c r="AR951" s="94"/>
      <c r="AS951" s="94"/>
      <c r="AT951" s="94"/>
      <c r="AU951" s="94"/>
      <c r="AV951" s="94"/>
      <c r="AW951" s="94"/>
      <c r="AX951" s="94"/>
      <c r="AY951" s="94"/>
      <c r="BA951" s="95"/>
    </row>
    <row r="952" spans="1:53" s="87" customFormat="1">
      <c r="A952" s="90" t="str">
        <f t="shared" si="62"/>
        <v/>
      </c>
      <c r="B952" s="98">
        <v>23</v>
      </c>
      <c r="C952" s="94" t="s">
        <v>210</v>
      </c>
      <c r="D952" s="94" t="s">
        <v>210</v>
      </c>
      <c r="E952" s="94">
        <v>5</v>
      </c>
      <c r="F952" s="94" t="s">
        <v>210</v>
      </c>
      <c r="G952" s="94">
        <v>-4</v>
      </c>
      <c r="H952" s="94" t="s">
        <v>210</v>
      </c>
      <c r="I952" s="94" t="s">
        <v>210</v>
      </c>
      <c r="J952" s="94">
        <v>2</v>
      </c>
      <c r="K952" s="94" t="s">
        <v>210</v>
      </c>
      <c r="L952" s="94">
        <v>-3</v>
      </c>
      <c r="M952" s="94" t="s">
        <v>210</v>
      </c>
      <c r="N952" s="94" t="s">
        <v>210</v>
      </c>
      <c r="O952" s="94">
        <v>1</v>
      </c>
      <c r="P952" s="94" t="s">
        <v>210</v>
      </c>
      <c r="Q952" s="94">
        <v>-5</v>
      </c>
      <c r="R952" s="94" t="s">
        <v>210</v>
      </c>
      <c r="S952" s="94" t="s">
        <v>210</v>
      </c>
      <c r="T952" s="94">
        <v>4</v>
      </c>
      <c r="U952" s="94" t="s">
        <v>210</v>
      </c>
      <c r="V952" s="94">
        <v>-2</v>
      </c>
      <c r="W952" s="94" t="s">
        <v>210</v>
      </c>
      <c r="X952" s="94" t="s">
        <v>210</v>
      </c>
      <c r="Y952" s="94" t="s">
        <v>210</v>
      </c>
      <c r="Z952" s="94">
        <v>5</v>
      </c>
      <c r="AA952" s="94" t="s">
        <v>210</v>
      </c>
      <c r="AB952" s="94">
        <v>-4</v>
      </c>
      <c r="AC952" s="94" t="s">
        <v>210</v>
      </c>
      <c r="AD952" s="94">
        <v>3</v>
      </c>
      <c r="AE952" s="94" t="s">
        <v>210</v>
      </c>
      <c r="AF952" s="94">
        <v>-2</v>
      </c>
      <c r="AG952" s="94"/>
      <c r="AH952" s="94"/>
      <c r="AI952" s="94"/>
      <c r="AJ952" s="94"/>
      <c r="AK952" s="94"/>
      <c r="AL952" s="94"/>
      <c r="AM952" s="94"/>
      <c r="AN952" s="94"/>
      <c r="AO952" s="94"/>
      <c r="AP952" s="94"/>
      <c r="AQ952" s="94"/>
      <c r="AR952" s="94"/>
      <c r="AS952" s="94"/>
      <c r="AT952" s="94"/>
      <c r="AU952" s="94"/>
      <c r="AV952" s="94"/>
      <c r="AW952" s="94"/>
      <c r="AX952" s="94"/>
      <c r="AY952" s="94"/>
      <c r="BA952" s="95"/>
    </row>
    <row r="953" spans="1:53" s="87" customFormat="1">
      <c r="A953" s="90" t="str">
        <f t="shared" si="62"/>
        <v/>
      </c>
      <c r="B953" s="98">
        <v>24</v>
      </c>
      <c r="C953" s="94" t="s">
        <v>210</v>
      </c>
      <c r="D953" s="94" t="s">
        <v>210</v>
      </c>
      <c r="E953" s="94">
        <v>2</v>
      </c>
      <c r="F953" s="94" t="s">
        <v>210</v>
      </c>
      <c r="G953" s="94">
        <v>-3</v>
      </c>
      <c r="H953" s="94" t="s">
        <v>210</v>
      </c>
      <c r="I953" s="94" t="s">
        <v>210</v>
      </c>
      <c r="J953" s="94">
        <v>4</v>
      </c>
      <c r="K953" s="94" t="s">
        <v>210</v>
      </c>
      <c r="L953" s="94">
        <v>-1</v>
      </c>
      <c r="M953" s="94" t="s">
        <v>210</v>
      </c>
      <c r="N953" s="94" t="s">
        <v>210</v>
      </c>
      <c r="O953" s="94">
        <v>5</v>
      </c>
      <c r="P953" s="94" t="s">
        <v>210</v>
      </c>
      <c r="Q953" s="94">
        <v>-2</v>
      </c>
      <c r="R953" s="94" t="s">
        <v>210</v>
      </c>
      <c r="S953" s="94" t="s">
        <v>210</v>
      </c>
      <c r="T953" s="94">
        <v>3</v>
      </c>
      <c r="U953" s="94" t="s">
        <v>210</v>
      </c>
      <c r="V953" s="94">
        <v>-4</v>
      </c>
      <c r="W953" s="94" t="s">
        <v>210</v>
      </c>
      <c r="X953" s="94">
        <v>-2</v>
      </c>
      <c r="Y953" s="94" t="s">
        <v>210</v>
      </c>
      <c r="Z953" s="94">
        <v>-1</v>
      </c>
      <c r="AA953" s="94" t="s">
        <v>210</v>
      </c>
      <c r="AB953" s="94">
        <v>4</v>
      </c>
      <c r="AC953" s="94" t="s">
        <v>210</v>
      </c>
      <c r="AD953" s="94">
        <v>2</v>
      </c>
      <c r="AE953" s="94" t="s">
        <v>210</v>
      </c>
      <c r="AF953" s="94" t="s">
        <v>210</v>
      </c>
      <c r="AG953" s="94"/>
      <c r="AH953" s="94"/>
      <c r="AI953" s="94"/>
      <c r="AJ953" s="94"/>
      <c r="AK953" s="94"/>
      <c r="AL953" s="94"/>
      <c r="AM953" s="94"/>
      <c r="AN953" s="94"/>
      <c r="AO953" s="94"/>
      <c r="AP953" s="94"/>
      <c r="AQ953" s="94"/>
      <c r="AR953" s="94"/>
      <c r="AS953" s="94"/>
      <c r="AT953" s="94"/>
      <c r="AU953" s="94"/>
      <c r="AV953" s="94"/>
      <c r="AW953" s="94"/>
      <c r="AX953" s="94"/>
      <c r="AY953" s="94"/>
      <c r="BA953" s="95"/>
    </row>
    <row r="954" spans="1:53" s="87" customFormat="1">
      <c r="A954" s="90" t="str">
        <f t="shared" si="62"/>
        <v/>
      </c>
      <c r="B954" s="98">
        <v>25</v>
      </c>
      <c r="C954" s="94" t="s">
        <v>210</v>
      </c>
      <c r="D954" s="94" t="s">
        <v>210</v>
      </c>
      <c r="E954" s="94">
        <v>4</v>
      </c>
      <c r="F954" s="94" t="s">
        <v>210</v>
      </c>
      <c r="G954" s="94">
        <v>-1</v>
      </c>
      <c r="H954" s="94" t="s">
        <v>210</v>
      </c>
      <c r="I954" s="94" t="s">
        <v>210</v>
      </c>
      <c r="J954" s="94">
        <v>3</v>
      </c>
      <c r="K954" s="94" t="s">
        <v>210</v>
      </c>
      <c r="L954" s="94">
        <v>-5</v>
      </c>
      <c r="M954" s="94" t="s">
        <v>210</v>
      </c>
      <c r="N954" s="94" t="s">
        <v>210</v>
      </c>
      <c r="O954" s="94">
        <v>2</v>
      </c>
      <c r="P954" s="94" t="s">
        <v>210</v>
      </c>
      <c r="Q954" s="94">
        <v>-4</v>
      </c>
      <c r="R954" s="94" t="s">
        <v>210</v>
      </c>
      <c r="S954" s="94" t="s">
        <v>210</v>
      </c>
      <c r="T954" s="94">
        <v>1</v>
      </c>
      <c r="U954" s="94" t="s">
        <v>210</v>
      </c>
      <c r="V954" s="94">
        <v>-3</v>
      </c>
      <c r="W954" s="94" t="s">
        <v>210</v>
      </c>
      <c r="X954" s="94">
        <v>4</v>
      </c>
      <c r="Y954" s="94" t="s">
        <v>210</v>
      </c>
      <c r="Z954" s="94">
        <v>-5</v>
      </c>
      <c r="AA954" s="94" t="s">
        <v>210</v>
      </c>
      <c r="AB954" s="94" t="s">
        <v>210</v>
      </c>
      <c r="AC954" s="94" t="s">
        <v>210</v>
      </c>
      <c r="AD954" s="94">
        <v>-2</v>
      </c>
      <c r="AE954" s="94" t="s">
        <v>210</v>
      </c>
      <c r="AF954" s="94">
        <v>1</v>
      </c>
      <c r="AG954" s="94"/>
      <c r="AH954" s="94"/>
      <c r="AI954" s="94"/>
      <c r="AJ954" s="94"/>
      <c r="AK954" s="94"/>
      <c r="AL954" s="94"/>
      <c r="AM954" s="94"/>
      <c r="AN954" s="94"/>
      <c r="AO954" s="94"/>
      <c r="AP954" s="94"/>
      <c r="AQ954" s="94"/>
      <c r="AR954" s="94"/>
      <c r="AS954" s="94"/>
      <c r="AT954" s="94"/>
      <c r="AU954" s="94"/>
      <c r="AV954" s="94"/>
      <c r="AW954" s="94"/>
      <c r="AX954" s="94"/>
      <c r="AY954" s="94"/>
      <c r="BA954" s="95"/>
    </row>
    <row r="955" spans="1:53" s="87" customFormat="1">
      <c r="A955" s="90" t="str">
        <f t="shared" si="62"/>
        <v/>
      </c>
      <c r="B955" s="317" t="s">
        <v>908</v>
      </c>
      <c r="C955" s="94"/>
      <c r="D955" s="94"/>
      <c r="E955" s="94"/>
      <c r="F955" s="94"/>
      <c r="G955" s="94"/>
      <c r="H955" s="94"/>
      <c r="I955" s="94"/>
      <c r="J955" s="94"/>
      <c r="K955" s="94"/>
      <c r="L955" s="94"/>
      <c r="M955" s="94"/>
      <c r="N955" s="94"/>
      <c r="O955" s="94"/>
      <c r="P955" s="94"/>
      <c r="Q955" s="94"/>
      <c r="R955" s="94"/>
      <c r="S955" s="94"/>
      <c r="T955" s="94"/>
      <c r="U955" s="94"/>
      <c r="V955" s="94"/>
      <c r="W955" s="94"/>
      <c r="X955" s="94"/>
      <c r="Y955" s="94"/>
      <c r="Z955" s="94"/>
      <c r="AA955" s="94"/>
      <c r="AB955" s="94"/>
      <c r="AC955" s="94"/>
      <c r="AD955" s="94"/>
      <c r="AE955" s="94"/>
      <c r="AF955" s="94"/>
      <c r="AG955" s="94"/>
      <c r="AH955" s="94"/>
      <c r="AI955" s="94"/>
      <c r="AJ955" s="94"/>
      <c r="AK955" s="94"/>
      <c r="AL955" s="94"/>
      <c r="AM955" s="94"/>
      <c r="AN955" s="94"/>
      <c r="AO955" s="94"/>
      <c r="AP955" s="94"/>
      <c r="AQ955" s="94"/>
      <c r="AR955" s="94"/>
      <c r="AS955" s="94"/>
      <c r="AT955" s="94"/>
      <c r="AU955" s="94"/>
      <c r="AV955" s="94"/>
      <c r="AW955" s="94"/>
      <c r="AX955" s="94"/>
      <c r="AY955" s="94"/>
      <c r="BA955" s="95"/>
    </row>
    <row r="956" spans="1:53" s="87" customFormat="1">
      <c r="A956" s="90">
        <f t="shared" si="62"/>
        <v>956</v>
      </c>
      <c r="B956" s="98" t="s">
        <v>1020</v>
      </c>
      <c r="C956" s="94"/>
      <c r="D956" s="94"/>
      <c r="E956" s="94"/>
      <c r="F956" s="94"/>
      <c r="G956" s="94"/>
      <c r="H956" s="94"/>
      <c r="I956" s="94"/>
      <c r="J956" s="94"/>
      <c r="K956" s="94"/>
      <c r="L956" s="94"/>
      <c r="M956" s="94"/>
      <c r="N956" s="94"/>
      <c r="O956" s="94"/>
      <c r="P956" s="94"/>
      <c r="Q956" s="94"/>
      <c r="R956" s="94"/>
      <c r="S956" s="94"/>
      <c r="T956" s="94"/>
      <c r="U956" s="94"/>
      <c r="V956" s="94"/>
      <c r="W956" s="94"/>
      <c r="X956" s="94"/>
      <c r="Y956" s="94"/>
      <c r="Z956" s="94"/>
      <c r="AA956" s="94"/>
      <c r="AB956" s="94"/>
      <c r="AC956" s="94"/>
      <c r="AD956" s="94"/>
      <c r="AE956" s="94"/>
      <c r="AF956" s="94"/>
      <c r="AG956" s="94"/>
      <c r="AH956" s="94"/>
      <c r="AI956" s="94"/>
      <c r="AJ956" s="94"/>
      <c r="AK956" s="94"/>
      <c r="AL956" s="94"/>
      <c r="AM956" s="94"/>
      <c r="AN956" s="94"/>
      <c r="AO956" s="94"/>
      <c r="AP956" s="94"/>
      <c r="AQ956" s="94"/>
      <c r="AR956" s="94"/>
      <c r="AS956" s="94"/>
      <c r="AT956" s="94"/>
      <c r="AU956" s="94"/>
      <c r="AV956" s="94"/>
      <c r="AW956" s="94"/>
      <c r="AX956" s="94"/>
      <c r="AY956" s="94"/>
      <c r="BA956" s="95"/>
    </row>
    <row r="957" spans="1:53" s="87" customFormat="1">
      <c r="A957" s="90" t="str">
        <f t="shared" si="62"/>
        <v/>
      </c>
      <c r="B957" s="98">
        <v>1</v>
      </c>
      <c r="C957" s="94">
        <v>3</v>
      </c>
      <c r="D957" s="94" t="s">
        <v>210</v>
      </c>
      <c r="E957" s="94" t="s">
        <v>210</v>
      </c>
      <c r="F957" s="94" t="s">
        <v>202</v>
      </c>
      <c r="G957" s="94">
        <v>1</v>
      </c>
      <c r="H957" s="94" t="s">
        <v>210</v>
      </c>
      <c r="I957" s="94" t="s">
        <v>210</v>
      </c>
      <c r="J957" s="94">
        <v>-5</v>
      </c>
      <c r="K957" s="94">
        <v>-4</v>
      </c>
      <c r="L957" s="94" t="s">
        <v>210</v>
      </c>
      <c r="M957" s="94" t="s">
        <v>210</v>
      </c>
      <c r="N957" s="94">
        <v>-3</v>
      </c>
      <c r="O957" s="94">
        <v>-1</v>
      </c>
      <c r="P957" s="94" t="s">
        <v>210</v>
      </c>
      <c r="Q957" s="94" t="s">
        <v>210</v>
      </c>
      <c r="R957" s="94">
        <v>2</v>
      </c>
      <c r="S957" s="94">
        <v>4</v>
      </c>
      <c r="T957" s="94" t="s">
        <v>210</v>
      </c>
      <c r="U957" s="94" t="s">
        <v>210</v>
      </c>
      <c r="V957" s="94">
        <v>5</v>
      </c>
      <c r="W957" s="94"/>
      <c r="X957" s="94"/>
      <c r="Y957" s="94"/>
      <c r="Z957" s="94"/>
      <c r="AA957" s="94"/>
      <c r="AB957" s="94"/>
      <c r="AC957" s="94"/>
      <c r="AD957" s="94"/>
      <c r="AE957" s="94"/>
      <c r="AF957" s="94"/>
      <c r="AG957" s="94"/>
      <c r="AH957" s="94"/>
      <c r="AI957" s="94"/>
      <c r="AJ957" s="94"/>
      <c r="AK957" s="94"/>
      <c r="AL957" s="94"/>
      <c r="AM957" s="94"/>
      <c r="AN957" s="94"/>
      <c r="AO957" s="94"/>
      <c r="AP957" s="94"/>
      <c r="AQ957" s="94"/>
      <c r="AR957" s="94"/>
      <c r="AS957" s="94"/>
      <c r="AT957" s="94"/>
      <c r="AU957" s="94"/>
      <c r="AV957" s="94"/>
      <c r="AW957" s="94"/>
      <c r="AX957" s="94"/>
      <c r="AY957" s="94"/>
      <c r="BA957" s="95"/>
    </row>
    <row r="958" spans="1:53" s="87" customFormat="1">
      <c r="A958" s="90" t="str">
        <f t="shared" si="62"/>
        <v/>
      </c>
      <c r="B958" s="98">
        <v>2</v>
      </c>
      <c r="C958" s="94" t="s">
        <v>202</v>
      </c>
      <c r="D958" s="94" t="s">
        <v>210</v>
      </c>
      <c r="E958" s="94" t="s">
        <v>210</v>
      </c>
      <c r="F958" s="94">
        <v>5</v>
      </c>
      <c r="G958" s="94">
        <v>-4</v>
      </c>
      <c r="H958" s="94" t="s">
        <v>210</v>
      </c>
      <c r="I958" s="94" t="s">
        <v>210</v>
      </c>
      <c r="J958" s="94">
        <v>3</v>
      </c>
      <c r="K958" s="94">
        <v>-2</v>
      </c>
      <c r="L958" s="94" t="s">
        <v>210</v>
      </c>
      <c r="M958" s="94" t="s">
        <v>210</v>
      </c>
      <c r="N958" s="94">
        <v>4</v>
      </c>
      <c r="O958" s="94">
        <v>-5</v>
      </c>
      <c r="P958" s="94" t="s">
        <v>210</v>
      </c>
      <c r="Q958" s="94">
        <v>-3</v>
      </c>
      <c r="R958" s="94" t="s">
        <v>210</v>
      </c>
      <c r="S958" s="94">
        <v>1</v>
      </c>
      <c r="T958" s="94" t="s">
        <v>210</v>
      </c>
      <c r="U958" s="94" t="s">
        <v>210</v>
      </c>
      <c r="V958" s="94">
        <v>2</v>
      </c>
      <c r="W958" s="94"/>
      <c r="X958" s="94"/>
      <c r="Y958" s="94"/>
      <c r="Z958" s="94"/>
      <c r="AA958" s="94"/>
      <c r="AB958" s="94"/>
      <c r="AC958" s="94"/>
      <c r="AD958" s="94"/>
      <c r="AE958" s="94"/>
      <c r="AF958" s="94"/>
      <c r="AG958" s="94"/>
      <c r="AH958" s="94"/>
      <c r="AI958" s="94"/>
      <c r="AJ958" s="94"/>
      <c r="AK958" s="94"/>
      <c r="AL958" s="94"/>
      <c r="AM958" s="94"/>
      <c r="AN958" s="94"/>
      <c r="AO958" s="94"/>
      <c r="AP958" s="94"/>
      <c r="AQ958" s="94"/>
      <c r="AR958" s="94"/>
      <c r="AS958" s="94"/>
      <c r="AT958" s="94"/>
      <c r="AU958" s="94"/>
      <c r="AV958" s="94"/>
      <c r="AW958" s="94"/>
      <c r="AX958" s="94"/>
      <c r="AY958" s="94"/>
      <c r="BA958" s="95"/>
    </row>
    <row r="959" spans="1:53" s="87" customFormat="1">
      <c r="A959" s="90" t="str">
        <f t="shared" si="62"/>
        <v/>
      </c>
      <c r="B959" s="98">
        <v>3</v>
      </c>
      <c r="C959" s="94">
        <v>-2</v>
      </c>
      <c r="D959" s="94" t="s">
        <v>210</v>
      </c>
      <c r="E959" s="94" t="s">
        <v>210</v>
      </c>
      <c r="F959" s="94">
        <v>1</v>
      </c>
      <c r="G959" s="94">
        <v>5</v>
      </c>
      <c r="H959" s="94" t="s">
        <v>210</v>
      </c>
      <c r="I959" s="94" t="s">
        <v>210</v>
      </c>
      <c r="J959" s="94" t="s">
        <v>202</v>
      </c>
      <c r="K959" s="94">
        <v>3</v>
      </c>
      <c r="L959" s="94" t="s">
        <v>210</v>
      </c>
      <c r="M959" s="94" t="s">
        <v>210</v>
      </c>
      <c r="N959" s="94">
        <v>-1</v>
      </c>
      <c r="O959" s="94">
        <v>2</v>
      </c>
      <c r="P959" s="94" t="s">
        <v>210</v>
      </c>
      <c r="Q959" s="94" t="s">
        <v>210</v>
      </c>
      <c r="R959" s="94">
        <v>4</v>
      </c>
      <c r="S959" s="94">
        <v>-5</v>
      </c>
      <c r="T959" s="94" t="s">
        <v>210</v>
      </c>
      <c r="U959" s="94" t="s">
        <v>210</v>
      </c>
      <c r="V959" s="94">
        <v>-3</v>
      </c>
      <c r="W959" s="94"/>
      <c r="X959" s="94"/>
      <c r="Y959" s="94"/>
      <c r="Z959" s="94"/>
      <c r="AA959" s="94"/>
      <c r="AB959" s="94"/>
      <c r="AC959" s="94"/>
      <c r="AD959" s="94"/>
      <c r="AE959" s="94"/>
      <c r="AF959" s="94"/>
      <c r="AG959" s="94"/>
      <c r="AH959" s="94"/>
      <c r="AI959" s="94"/>
      <c r="AJ959" s="94"/>
      <c r="AK959" s="94"/>
      <c r="AL959" s="94"/>
      <c r="AM959" s="94"/>
      <c r="AN959" s="94"/>
      <c r="AO959" s="94"/>
      <c r="AP959" s="94"/>
      <c r="AQ959" s="94"/>
      <c r="AR959" s="94"/>
      <c r="AS959" s="94"/>
      <c r="AT959" s="94"/>
      <c r="AU959" s="94"/>
      <c r="AV959" s="94"/>
      <c r="AW959" s="94"/>
      <c r="AX959" s="94"/>
      <c r="AY959" s="94"/>
      <c r="BA959" s="95"/>
    </row>
    <row r="960" spans="1:53" s="87" customFormat="1">
      <c r="A960" s="90" t="str">
        <f t="shared" si="62"/>
        <v/>
      </c>
      <c r="B960" s="98">
        <v>4</v>
      </c>
      <c r="C960" s="94">
        <v>-5</v>
      </c>
      <c r="D960" s="94" t="s">
        <v>210</v>
      </c>
      <c r="E960" s="94" t="s">
        <v>210</v>
      </c>
      <c r="F960" s="94">
        <v>-4</v>
      </c>
      <c r="G960" s="94" t="s">
        <v>202</v>
      </c>
      <c r="H960" s="94" t="s">
        <v>210</v>
      </c>
      <c r="I960" s="94" t="s">
        <v>210</v>
      </c>
      <c r="J960" s="94">
        <v>-2</v>
      </c>
      <c r="K960" s="94">
        <v>1</v>
      </c>
      <c r="L960" s="94" t="s">
        <v>210</v>
      </c>
      <c r="M960" s="94">
        <v>5</v>
      </c>
      <c r="N960" s="94" t="s">
        <v>210</v>
      </c>
      <c r="O960" s="94">
        <v>-3</v>
      </c>
      <c r="P960" s="94" t="s">
        <v>210</v>
      </c>
      <c r="Q960" s="94" t="s">
        <v>210</v>
      </c>
      <c r="R960" s="94">
        <v>-1</v>
      </c>
      <c r="S960" s="94">
        <v>2</v>
      </c>
      <c r="T960" s="94" t="s">
        <v>210</v>
      </c>
      <c r="U960" s="94" t="s">
        <v>210</v>
      </c>
      <c r="V960" s="94">
        <v>4</v>
      </c>
      <c r="W960" s="94"/>
      <c r="X960" s="94"/>
      <c r="Y960" s="94"/>
      <c r="Z960" s="94"/>
      <c r="AA960" s="94"/>
      <c r="AB960" s="94"/>
      <c r="AC960" s="94"/>
      <c r="AD960" s="94"/>
      <c r="AE960" s="94"/>
      <c r="AF960" s="94"/>
      <c r="AG960" s="94"/>
      <c r="AH960" s="94"/>
      <c r="AI960" s="94"/>
      <c r="AJ960" s="94"/>
      <c r="AK960" s="94"/>
      <c r="AL960" s="94"/>
      <c r="AM960" s="94"/>
      <c r="AN960" s="94"/>
      <c r="AO960" s="94"/>
      <c r="AP960" s="94"/>
      <c r="AQ960" s="94"/>
      <c r="AR960" s="94"/>
      <c r="AS960" s="94"/>
      <c r="AT960" s="94"/>
      <c r="AU960" s="94"/>
      <c r="AV960" s="94"/>
      <c r="AW960" s="94"/>
      <c r="AX960" s="94"/>
      <c r="AY960" s="94"/>
      <c r="BA960" s="95"/>
    </row>
    <row r="961" spans="1:53" s="87" customFormat="1">
      <c r="A961" s="90" t="str">
        <f t="shared" si="62"/>
        <v/>
      </c>
      <c r="B961" s="98">
        <v>5</v>
      </c>
      <c r="C961" s="94">
        <v>-4</v>
      </c>
      <c r="D961" s="94" t="s">
        <v>210</v>
      </c>
      <c r="E961" s="94" t="s">
        <v>210</v>
      </c>
      <c r="F961" s="94">
        <v>3</v>
      </c>
      <c r="G961" s="94">
        <v>-2</v>
      </c>
      <c r="H961" s="94" t="s">
        <v>210</v>
      </c>
      <c r="I961" s="94" t="s">
        <v>210</v>
      </c>
      <c r="J961" s="94">
        <v>-1</v>
      </c>
      <c r="K961" s="94" t="s">
        <v>202</v>
      </c>
      <c r="L961" s="94" t="s">
        <v>210</v>
      </c>
      <c r="M961" s="94" t="s">
        <v>210</v>
      </c>
      <c r="N961" s="94">
        <v>2</v>
      </c>
      <c r="O961" s="94">
        <v>4</v>
      </c>
      <c r="P961" s="94" t="s">
        <v>210</v>
      </c>
      <c r="Q961" s="94" t="s">
        <v>210</v>
      </c>
      <c r="R961" s="94">
        <v>-5</v>
      </c>
      <c r="S961" s="94">
        <v>-3</v>
      </c>
      <c r="T961" s="94" t="s">
        <v>210</v>
      </c>
      <c r="U961" s="94">
        <v>1</v>
      </c>
      <c r="V961" s="94" t="s">
        <v>210</v>
      </c>
      <c r="W961" s="94"/>
      <c r="X961" s="94"/>
      <c r="Y961" s="94"/>
      <c r="Z961" s="94"/>
      <c r="AA961" s="94"/>
      <c r="AB961" s="94"/>
      <c r="AC961" s="94"/>
      <c r="AD961" s="94"/>
      <c r="AE961" s="94"/>
      <c r="AF961" s="94"/>
      <c r="AG961" s="94"/>
      <c r="AH961" s="94"/>
      <c r="AI961" s="94"/>
      <c r="AJ961" s="94"/>
      <c r="AK961" s="94"/>
      <c r="AL961" s="94"/>
      <c r="AM961" s="94"/>
      <c r="AN961" s="94"/>
      <c r="AO961" s="94"/>
      <c r="AP961" s="94"/>
      <c r="AQ961" s="94"/>
      <c r="AR961" s="94"/>
      <c r="AS961" s="94"/>
      <c r="AT961" s="94"/>
      <c r="AU961" s="94"/>
      <c r="AV961" s="94"/>
      <c r="AW961" s="94"/>
      <c r="AX961" s="94"/>
      <c r="AY961" s="94"/>
      <c r="BA961" s="95"/>
    </row>
    <row r="962" spans="1:53" s="87" customFormat="1">
      <c r="A962" s="90" t="str">
        <f t="shared" si="62"/>
        <v/>
      </c>
      <c r="B962" s="98">
        <v>6</v>
      </c>
      <c r="C962" s="94">
        <v>1</v>
      </c>
      <c r="D962" s="94" t="s">
        <v>210</v>
      </c>
      <c r="E962" s="94">
        <v>3</v>
      </c>
      <c r="F962" s="94" t="s">
        <v>210</v>
      </c>
      <c r="G962" s="94" t="s">
        <v>210</v>
      </c>
      <c r="H962" s="94">
        <v>5</v>
      </c>
      <c r="I962" s="94">
        <v>-2</v>
      </c>
      <c r="J962" s="94" t="s">
        <v>210</v>
      </c>
      <c r="K962" s="94" t="s">
        <v>210</v>
      </c>
      <c r="L962" s="94">
        <v>-4</v>
      </c>
      <c r="M962" s="94" t="s">
        <v>202</v>
      </c>
      <c r="N962" s="94" t="s">
        <v>210</v>
      </c>
      <c r="O962" s="94" t="s">
        <v>210</v>
      </c>
      <c r="P962" s="94">
        <v>-1</v>
      </c>
      <c r="Q962" s="94">
        <v>4</v>
      </c>
      <c r="R962" s="94" t="s">
        <v>210</v>
      </c>
      <c r="S962" s="94" t="s">
        <v>210</v>
      </c>
      <c r="T962" s="94">
        <v>-3</v>
      </c>
      <c r="U962" s="94">
        <v>2</v>
      </c>
      <c r="V962" s="94" t="s">
        <v>210</v>
      </c>
      <c r="W962" s="94"/>
      <c r="X962" s="94"/>
      <c r="Y962" s="94"/>
      <c r="Z962" s="94"/>
      <c r="AA962" s="94"/>
      <c r="AB962" s="94"/>
      <c r="AC962" s="94"/>
      <c r="AD962" s="94"/>
      <c r="AE962" s="94"/>
      <c r="AF962" s="94"/>
      <c r="AG962" s="94"/>
      <c r="AH962" s="94"/>
      <c r="AI962" s="94"/>
      <c r="AJ962" s="94"/>
      <c r="AK962" s="94"/>
      <c r="AL962" s="94"/>
      <c r="AM962" s="94"/>
      <c r="AN962" s="94"/>
      <c r="AO962" s="94"/>
      <c r="AP962" s="94"/>
      <c r="AQ962" s="94"/>
      <c r="AR962" s="94"/>
      <c r="AS962" s="94"/>
      <c r="AT962" s="94"/>
      <c r="AU962" s="94"/>
      <c r="AV962" s="94"/>
      <c r="AW962" s="94"/>
      <c r="AX962" s="94"/>
      <c r="AY962" s="94"/>
      <c r="BA962" s="95"/>
    </row>
    <row r="963" spans="1:53" s="87" customFormat="1">
      <c r="A963" s="90" t="str">
        <f t="shared" si="62"/>
        <v/>
      </c>
      <c r="B963" s="98">
        <v>7</v>
      </c>
      <c r="C963" s="94" t="s">
        <v>210</v>
      </c>
      <c r="D963" s="94">
        <v>-5</v>
      </c>
      <c r="E963" s="94">
        <v>-2</v>
      </c>
      <c r="F963" s="94" t="s">
        <v>210</v>
      </c>
      <c r="G963" s="94" t="s">
        <v>210</v>
      </c>
      <c r="H963" s="94">
        <v>-4</v>
      </c>
      <c r="I963" s="94">
        <v>-1</v>
      </c>
      <c r="J963" s="94" t="s">
        <v>210</v>
      </c>
      <c r="K963" s="94" t="s">
        <v>210</v>
      </c>
      <c r="L963" s="94">
        <v>3</v>
      </c>
      <c r="M963" s="94">
        <v>2</v>
      </c>
      <c r="N963" s="94" t="s">
        <v>210</v>
      </c>
      <c r="O963" s="94" t="s">
        <v>210</v>
      </c>
      <c r="P963" s="94">
        <v>5</v>
      </c>
      <c r="Q963" s="94">
        <v>1</v>
      </c>
      <c r="R963" s="94" t="s">
        <v>210</v>
      </c>
      <c r="S963" s="94" t="s">
        <v>210</v>
      </c>
      <c r="T963" s="94" t="s">
        <v>202</v>
      </c>
      <c r="U963" s="94">
        <v>-3</v>
      </c>
      <c r="V963" s="94" t="s">
        <v>210</v>
      </c>
      <c r="W963" s="94"/>
      <c r="X963" s="94"/>
      <c r="Y963" s="94"/>
      <c r="Z963" s="94"/>
      <c r="AA963" s="94"/>
      <c r="AB963" s="94"/>
      <c r="AC963" s="94"/>
      <c r="AD963" s="94"/>
      <c r="AE963" s="94"/>
      <c r="AF963" s="94"/>
      <c r="AG963" s="94"/>
      <c r="AH963" s="94"/>
      <c r="AI963" s="94"/>
      <c r="AJ963" s="94"/>
      <c r="AK963" s="94"/>
      <c r="AL963" s="94"/>
      <c r="AM963" s="94"/>
      <c r="AN963" s="94"/>
      <c r="AO963" s="94"/>
      <c r="AP963" s="94"/>
      <c r="AQ963" s="94"/>
      <c r="AR963" s="94"/>
      <c r="AS963" s="94"/>
      <c r="AT963" s="94"/>
      <c r="AU963" s="94"/>
      <c r="AV963" s="94"/>
      <c r="AW963" s="94"/>
      <c r="AX963" s="94"/>
      <c r="AY963" s="94"/>
      <c r="BA963" s="95"/>
    </row>
    <row r="964" spans="1:53" s="87" customFormat="1">
      <c r="A964" s="90" t="str">
        <f t="shared" si="62"/>
        <v/>
      </c>
      <c r="B964" s="98">
        <v>8</v>
      </c>
      <c r="C964" s="94" t="s">
        <v>210</v>
      </c>
      <c r="D964" s="94">
        <v>-4</v>
      </c>
      <c r="E964" s="94">
        <v>1</v>
      </c>
      <c r="F964" s="94" t="s">
        <v>210</v>
      </c>
      <c r="G964" s="94">
        <v>3</v>
      </c>
      <c r="H964" s="94" t="s">
        <v>210</v>
      </c>
      <c r="I964" s="94">
        <v>-5</v>
      </c>
      <c r="J964" s="94" t="s">
        <v>210</v>
      </c>
      <c r="K964" s="94" t="s">
        <v>210</v>
      </c>
      <c r="L964" s="94">
        <v>-2</v>
      </c>
      <c r="M964" s="94">
        <v>-1</v>
      </c>
      <c r="N964" s="94" t="s">
        <v>210</v>
      </c>
      <c r="O964" s="94" t="s">
        <v>210</v>
      </c>
      <c r="P964" s="94">
        <v>4</v>
      </c>
      <c r="Q964" s="94" t="s">
        <v>202</v>
      </c>
      <c r="R964" s="94" t="s">
        <v>210</v>
      </c>
      <c r="S964" s="94" t="s">
        <v>210</v>
      </c>
      <c r="T964" s="94">
        <v>2</v>
      </c>
      <c r="U964" s="94">
        <v>5</v>
      </c>
      <c r="V964" s="94" t="s">
        <v>210</v>
      </c>
      <c r="W964" s="94"/>
      <c r="X964" s="94"/>
      <c r="Y964" s="94"/>
      <c r="Z964" s="94"/>
      <c r="AA964" s="94"/>
      <c r="AB964" s="94"/>
      <c r="AC964" s="94"/>
      <c r="AD964" s="94"/>
      <c r="AE964" s="94"/>
      <c r="AF964" s="94"/>
      <c r="AG964" s="94"/>
      <c r="AH964" s="94"/>
      <c r="AI964" s="94"/>
      <c r="AJ964" s="94"/>
      <c r="AK964" s="94"/>
      <c r="AL964" s="94"/>
      <c r="AM964" s="94"/>
      <c r="AN964" s="94"/>
      <c r="AO964" s="94"/>
      <c r="AP964" s="94"/>
      <c r="AQ964" s="94"/>
      <c r="AR964" s="94"/>
      <c r="AS964" s="94"/>
      <c r="AT964" s="94"/>
      <c r="AU964" s="94"/>
      <c r="AV964" s="94"/>
      <c r="AW964" s="94"/>
      <c r="AX964" s="94"/>
      <c r="AY964" s="94"/>
      <c r="BA964" s="95"/>
    </row>
    <row r="965" spans="1:53" s="87" customFormat="1">
      <c r="A965" s="90" t="str">
        <f t="shared" si="62"/>
        <v/>
      </c>
      <c r="B965" s="98">
        <v>9</v>
      </c>
      <c r="C965" s="94" t="s">
        <v>210</v>
      </c>
      <c r="D965" s="94">
        <v>-2</v>
      </c>
      <c r="E965" s="94">
        <v>-4</v>
      </c>
      <c r="F965" s="94" t="s">
        <v>210</v>
      </c>
      <c r="G965" s="94" t="s">
        <v>210</v>
      </c>
      <c r="H965" s="94">
        <v>-1</v>
      </c>
      <c r="I965" s="94">
        <v>3</v>
      </c>
      <c r="J965" s="94" t="s">
        <v>210</v>
      </c>
      <c r="K965" s="94">
        <v>5</v>
      </c>
      <c r="L965" s="94" t="s">
        <v>210</v>
      </c>
      <c r="M965" s="94">
        <v>4</v>
      </c>
      <c r="N965" s="94" t="s">
        <v>210</v>
      </c>
      <c r="O965" s="94" t="s">
        <v>210</v>
      </c>
      <c r="P965" s="94">
        <v>-3</v>
      </c>
      <c r="Q965" s="94">
        <v>2</v>
      </c>
      <c r="R965" s="94" t="s">
        <v>210</v>
      </c>
      <c r="S965" s="94" t="s">
        <v>210</v>
      </c>
      <c r="T965" s="94">
        <v>-5</v>
      </c>
      <c r="U965" s="94" t="s">
        <v>202</v>
      </c>
      <c r="V965" s="94" t="s">
        <v>210</v>
      </c>
      <c r="W965" s="94"/>
      <c r="X965" s="94"/>
      <c r="Y965" s="94"/>
      <c r="Z965" s="94"/>
      <c r="AA965" s="94"/>
      <c r="AB965" s="94"/>
      <c r="AC965" s="94"/>
      <c r="AD965" s="94"/>
      <c r="AE965" s="94"/>
      <c r="AF965" s="94"/>
      <c r="AG965" s="94"/>
      <c r="AH965" s="94"/>
      <c r="AI965" s="94"/>
      <c r="AJ965" s="94"/>
      <c r="AK965" s="94"/>
      <c r="AL965" s="94"/>
      <c r="AM965" s="94"/>
      <c r="AN965" s="94"/>
      <c r="AO965" s="94"/>
      <c r="AP965" s="94"/>
      <c r="AQ965" s="94"/>
      <c r="AR965" s="94"/>
      <c r="AS965" s="94"/>
      <c r="AT965" s="94"/>
      <c r="AU965" s="94"/>
      <c r="AV965" s="94"/>
      <c r="AW965" s="94"/>
      <c r="AX965" s="94"/>
      <c r="AY965" s="94"/>
      <c r="BA965" s="95"/>
    </row>
    <row r="966" spans="1:53" s="87" customFormat="1">
      <c r="A966" s="90" t="str">
        <f t="shared" si="62"/>
        <v/>
      </c>
      <c r="B966" s="98">
        <v>10</v>
      </c>
      <c r="C966" s="94" t="s">
        <v>210</v>
      </c>
      <c r="D966" s="94">
        <v>3</v>
      </c>
      <c r="E966" s="94">
        <v>5</v>
      </c>
      <c r="F966" s="94" t="s">
        <v>210</v>
      </c>
      <c r="G966" s="94" t="s">
        <v>210</v>
      </c>
      <c r="H966" s="94">
        <v>-2</v>
      </c>
      <c r="I966" s="94">
        <v>-4</v>
      </c>
      <c r="J966" s="94" t="s">
        <v>210</v>
      </c>
      <c r="K966" s="94" t="s">
        <v>210</v>
      </c>
      <c r="L966" s="94">
        <v>1</v>
      </c>
      <c r="M966" s="94">
        <v>-3</v>
      </c>
      <c r="N966" s="94" t="s">
        <v>210</v>
      </c>
      <c r="O966" s="94" t="s">
        <v>210</v>
      </c>
      <c r="P966" s="94" t="s">
        <v>202</v>
      </c>
      <c r="Q966" s="94">
        <v>-5</v>
      </c>
      <c r="R966" s="94" t="s">
        <v>210</v>
      </c>
      <c r="S966" s="94" t="s">
        <v>210</v>
      </c>
      <c r="T966" s="94">
        <v>-1</v>
      </c>
      <c r="U966" s="94">
        <v>4</v>
      </c>
      <c r="V966" s="94" t="s">
        <v>210</v>
      </c>
      <c r="W966" s="94"/>
      <c r="X966" s="94"/>
      <c r="Y966" s="94"/>
      <c r="Z966" s="94"/>
      <c r="AA966" s="94"/>
      <c r="AB966" s="94"/>
      <c r="AC966" s="94"/>
      <c r="AD966" s="94"/>
      <c r="AE966" s="94"/>
      <c r="AF966" s="94"/>
      <c r="AG966" s="94"/>
      <c r="AH966" s="94"/>
      <c r="AI966" s="94"/>
      <c r="AJ966" s="94"/>
      <c r="AK966" s="94"/>
      <c r="AL966" s="94"/>
      <c r="AM966" s="94"/>
      <c r="AN966" s="94"/>
      <c r="AO966" s="94"/>
      <c r="AP966" s="94"/>
      <c r="AQ966" s="94"/>
      <c r="AR966" s="94"/>
      <c r="AS966" s="94"/>
      <c r="AT966" s="94"/>
      <c r="AU966" s="94"/>
      <c r="AV966" s="94"/>
      <c r="AW966" s="94"/>
      <c r="AX966" s="94"/>
      <c r="AY966" s="94"/>
      <c r="BA966" s="95"/>
    </row>
    <row r="967" spans="1:53" s="87" customFormat="1">
      <c r="A967" s="90" t="str">
        <f t="shared" si="62"/>
        <v/>
      </c>
      <c r="B967" s="98">
        <v>11</v>
      </c>
      <c r="C967" s="94" t="s">
        <v>210</v>
      </c>
      <c r="D967" s="94">
        <v>4</v>
      </c>
      <c r="E967" s="94">
        <v>2</v>
      </c>
      <c r="F967" s="94" t="s">
        <v>210</v>
      </c>
      <c r="G967" s="94" t="s">
        <v>210</v>
      </c>
      <c r="H967" s="94">
        <v>-5</v>
      </c>
      <c r="I967" s="94">
        <v>-3</v>
      </c>
      <c r="J967" s="94" t="s">
        <v>210</v>
      </c>
      <c r="K967" s="94" t="s">
        <v>210</v>
      </c>
      <c r="L967" s="94">
        <v>-1</v>
      </c>
      <c r="M967" s="94" t="s">
        <v>210</v>
      </c>
      <c r="N967" s="94">
        <v>-2</v>
      </c>
      <c r="O967" s="94">
        <v>1</v>
      </c>
      <c r="P967" s="94" t="s">
        <v>210</v>
      </c>
      <c r="Q967" s="94">
        <v>3</v>
      </c>
      <c r="R967" s="94" t="s">
        <v>210</v>
      </c>
      <c r="S967" s="94">
        <v>5</v>
      </c>
      <c r="T967" s="94" t="s">
        <v>210</v>
      </c>
      <c r="U967" s="94" t="s">
        <v>210</v>
      </c>
      <c r="V967" s="94">
        <v>-4</v>
      </c>
      <c r="W967" s="94"/>
      <c r="X967" s="94"/>
      <c r="Y967" s="94"/>
      <c r="Z967" s="94"/>
      <c r="AA967" s="94"/>
      <c r="AB967" s="94"/>
      <c r="AC967" s="94"/>
      <c r="AD967" s="94"/>
      <c r="AE967" s="94"/>
      <c r="AF967" s="94"/>
      <c r="AG967" s="94"/>
      <c r="AH967" s="94"/>
      <c r="AI967" s="94"/>
      <c r="AJ967" s="94"/>
      <c r="AK967" s="94"/>
      <c r="AL967" s="94"/>
      <c r="AM967" s="94"/>
      <c r="AN967" s="94"/>
      <c r="AO967" s="94"/>
      <c r="AP967" s="94"/>
      <c r="AQ967" s="94"/>
      <c r="AR967" s="94"/>
      <c r="AS967" s="94"/>
      <c r="AT967" s="94"/>
      <c r="AU967" s="94"/>
      <c r="AV967" s="94"/>
      <c r="AW967" s="94"/>
      <c r="AX967" s="94"/>
      <c r="AY967" s="94"/>
      <c r="BA967" s="95"/>
    </row>
    <row r="968" spans="1:53" s="87" customFormat="1">
      <c r="A968" s="90" t="str">
        <f t="shared" si="62"/>
        <v/>
      </c>
      <c r="B968" s="98">
        <v>12</v>
      </c>
      <c r="C968" s="94">
        <v>-1</v>
      </c>
      <c r="D968" s="94" t="s">
        <v>210</v>
      </c>
      <c r="E968" s="94">
        <v>4</v>
      </c>
      <c r="F968" s="94" t="s">
        <v>210</v>
      </c>
      <c r="G968" s="94" t="s">
        <v>210</v>
      </c>
      <c r="H968" s="94">
        <v>2</v>
      </c>
      <c r="I968" s="94">
        <v>5</v>
      </c>
      <c r="J968" s="94" t="s">
        <v>210</v>
      </c>
      <c r="K968" s="94" t="s">
        <v>210</v>
      </c>
      <c r="L968" s="94">
        <v>-3</v>
      </c>
      <c r="M968" s="94" t="s">
        <v>210</v>
      </c>
      <c r="N968" s="94">
        <v>-4</v>
      </c>
      <c r="O968" s="94">
        <v>-2</v>
      </c>
      <c r="P968" s="94" t="s">
        <v>210</v>
      </c>
      <c r="Q968" s="94" t="s">
        <v>210</v>
      </c>
      <c r="R968" s="94">
        <v>1</v>
      </c>
      <c r="S968" s="94">
        <v>3</v>
      </c>
      <c r="T968" s="94" t="s">
        <v>210</v>
      </c>
      <c r="U968" s="94" t="s">
        <v>210</v>
      </c>
      <c r="V968" s="94">
        <v>-5</v>
      </c>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BA968" s="95"/>
    </row>
    <row r="969" spans="1:53" s="87" customFormat="1">
      <c r="A969" s="90" t="str">
        <f t="shared" si="62"/>
        <v/>
      </c>
      <c r="B969" s="98">
        <v>13</v>
      </c>
      <c r="C969" s="94" t="s">
        <v>210</v>
      </c>
      <c r="D969" s="94">
        <v>2</v>
      </c>
      <c r="E969" s="94">
        <v>-5</v>
      </c>
      <c r="F969" s="94" t="s">
        <v>210</v>
      </c>
      <c r="G969" s="94">
        <v>-3</v>
      </c>
      <c r="H969" s="94" t="s">
        <v>210</v>
      </c>
      <c r="I969" s="94">
        <v>1</v>
      </c>
      <c r="J969" s="94" t="s">
        <v>210</v>
      </c>
      <c r="K969" s="94" t="s">
        <v>210</v>
      </c>
      <c r="L969" s="94">
        <v>4</v>
      </c>
      <c r="M969" s="94" t="s">
        <v>210</v>
      </c>
      <c r="N969" s="94">
        <v>3</v>
      </c>
      <c r="O969" s="94">
        <v>5</v>
      </c>
      <c r="P969" s="94" t="s">
        <v>210</v>
      </c>
      <c r="Q969" s="94" t="s">
        <v>210</v>
      </c>
      <c r="R969" s="94">
        <v>-4</v>
      </c>
      <c r="S969" s="94">
        <v>-2</v>
      </c>
      <c r="T969" s="94" t="s">
        <v>210</v>
      </c>
      <c r="U969" s="94">
        <v>-1</v>
      </c>
      <c r="V969" s="94" t="s">
        <v>210</v>
      </c>
      <c r="W969" s="94"/>
      <c r="X969" s="94"/>
      <c r="Y969" s="94"/>
      <c r="Z969" s="94"/>
      <c r="AA969" s="94"/>
      <c r="AB969" s="94"/>
      <c r="AC969" s="94"/>
      <c r="AD969" s="94"/>
      <c r="AE969" s="94"/>
      <c r="AF969" s="94"/>
      <c r="AG969" s="94"/>
      <c r="AH969" s="94"/>
      <c r="AI969" s="94"/>
      <c r="AJ969" s="94"/>
      <c r="AK969" s="94"/>
      <c r="AL969" s="94"/>
      <c r="AM969" s="94"/>
      <c r="AN969" s="94"/>
      <c r="AO969" s="94"/>
      <c r="AP969" s="94"/>
      <c r="AQ969" s="94"/>
      <c r="AR969" s="94"/>
      <c r="AS969" s="94"/>
      <c r="AT969" s="94"/>
      <c r="AU969" s="94"/>
      <c r="AV969" s="94"/>
      <c r="AW969" s="94"/>
      <c r="AX969" s="94"/>
      <c r="AY969" s="94"/>
      <c r="BA969" s="95"/>
    </row>
    <row r="970" spans="1:53" s="87" customFormat="1">
      <c r="A970" s="90" t="str">
        <f t="shared" si="62"/>
        <v/>
      </c>
      <c r="B970" s="98">
        <v>14</v>
      </c>
      <c r="C970" s="94" t="s">
        <v>210</v>
      </c>
      <c r="D970" s="94">
        <v>5</v>
      </c>
      <c r="E970" s="94">
        <v>-3</v>
      </c>
      <c r="F970" s="94" t="s">
        <v>210</v>
      </c>
      <c r="G970" s="94" t="s">
        <v>210</v>
      </c>
      <c r="H970" s="94">
        <v>1</v>
      </c>
      <c r="I970" s="94">
        <v>4</v>
      </c>
      <c r="J970" s="94" t="s">
        <v>210</v>
      </c>
      <c r="K970" s="94" t="s">
        <v>210</v>
      </c>
      <c r="L970" s="94">
        <v>2</v>
      </c>
      <c r="M970" s="94">
        <v>-5</v>
      </c>
      <c r="N970" s="94" t="s">
        <v>210</v>
      </c>
      <c r="O970" s="94">
        <v>-4</v>
      </c>
      <c r="P970" s="94" t="s">
        <v>210</v>
      </c>
      <c r="Q970" s="94" t="s">
        <v>210</v>
      </c>
      <c r="R970" s="94">
        <v>-2</v>
      </c>
      <c r="S970" s="94">
        <v>-1</v>
      </c>
      <c r="T970" s="94" t="s">
        <v>210</v>
      </c>
      <c r="U970" s="94" t="s">
        <v>210</v>
      </c>
      <c r="V970" s="94">
        <v>3</v>
      </c>
      <c r="W970" s="94"/>
      <c r="X970" s="94"/>
      <c r="Y970" s="94"/>
      <c r="Z970" s="94"/>
      <c r="AA970" s="94"/>
      <c r="AB970" s="94"/>
      <c r="AC970" s="94"/>
      <c r="AD970" s="94"/>
      <c r="AE970" s="94"/>
      <c r="AF970" s="94"/>
      <c r="AG970" s="94"/>
      <c r="AH970" s="94"/>
      <c r="AI970" s="94"/>
      <c r="AJ970" s="94"/>
      <c r="AK970" s="94"/>
      <c r="AL970" s="94"/>
      <c r="AM970" s="94"/>
      <c r="AN970" s="94"/>
      <c r="AO970" s="94"/>
      <c r="AP970" s="94"/>
      <c r="AQ970" s="94"/>
      <c r="AR970" s="94"/>
      <c r="AS970" s="94"/>
      <c r="AT970" s="94"/>
      <c r="AU970" s="94"/>
      <c r="AV970" s="94"/>
      <c r="AW970" s="94"/>
      <c r="AX970" s="94"/>
      <c r="AY970" s="94"/>
      <c r="BA970" s="95"/>
    </row>
    <row r="971" spans="1:53" s="87" customFormat="1">
      <c r="A971" s="90" t="str">
        <f t="shared" si="62"/>
        <v/>
      </c>
      <c r="B971" s="98">
        <v>15</v>
      </c>
      <c r="C971" s="94" t="s">
        <v>210</v>
      </c>
      <c r="D971" s="94">
        <v>-3</v>
      </c>
      <c r="E971" s="94">
        <v>-1</v>
      </c>
      <c r="F971" s="94" t="s">
        <v>210</v>
      </c>
      <c r="G971" s="94" t="s">
        <v>210</v>
      </c>
      <c r="H971" s="94">
        <v>4</v>
      </c>
      <c r="I971" s="94">
        <v>2</v>
      </c>
      <c r="J971" s="94" t="s">
        <v>210</v>
      </c>
      <c r="K971" s="94">
        <v>-5</v>
      </c>
      <c r="L971" s="94" t="s">
        <v>210</v>
      </c>
      <c r="M971" s="94" t="s">
        <v>210</v>
      </c>
      <c r="N971" s="94">
        <v>1</v>
      </c>
      <c r="O971" s="94">
        <v>3</v>
      </c>
      <c r="P971" s="94" t="s">
        <v>210</v>
      </c>
      <c r="Q971" s="94" t="s">
        <v>210</v>
      </c>
      <c r="R971" s="94">
        <v>5</v>
      </c>
      <c r="S971" s="94">
        <v>-4</v>
      </c>
      <c r="T971" s="94" t="s">
        <v>210</v>
      </c>
      <c r="U971" s="94" t="s">
        <v>210</v>
      </c>
      <c r="V971" s="94">
        <v>-2</v>
      </c>
      <c r="W971" s="94"/>
      <c r="X971" s="94"/>
      <c r="Y971" s="94"/>
      <c r="Z971" s="94"/>
      <c r="AA971" s="94"/>
      <c r="AB971" s="94"/>
      <c r="AC971" s="94"/>
      <c r="AD971" s="94"/>
      <c r="AE971" s="94"/>
      <c r="AF971" s="94"/>
      <c r="AG971" s="94"/>
      <c r="AH971" s="94"/>
      <c r="AI971" s="94"/>
      <c r="AJ971" s="94"/>
      <c r="AK971" s="94"/>
      <c r="AL971" s="94"/>
      <c r="AM971" s="94"/>
      <c r="AN971" s="94"/>
      <c r="AO971" s="94"/>
      <c r="AP971" s="94"/>
      <c r="AQ971" s="94"/>
      <c r="AR971" s="94"/>
      <c r="AS971" s="94"/>
      <c r="AT971" s="94"/>
      <c r="AU971" s="94"/>
      <c r="AV971" s="94"/>
      <c r="AW971" s="94"/>
      <c r="AX971" s="94"/>
      <c r="AY971" s="94"/>
      <c r="BA971" s="95"/>
    </row>
    <row r="972" spans="1:53" s="87" customFormat="1">
      <c r="A972" s="90" t="str">
        <f t="shared" ref="A972:A1035" si="63">IF(MID(B972,3,2)="05",ROW(),"")</f>
        <v/>
      </c>
      <c r="B972" s="98">
        <v>16</v>
      </c>
      <c r="C972" s="94">
        <v>5</v>
      </c>
      <c r="D972" s="94" t="s">
        <v>210</v>
      </c>
      <c r="E972" s="94" t="s">
        <v>210</v>
      </c>
      <c r="F972" s="94">
        <v>-1</v>
      </c>
      <c r="G972" s="94">
        <v>2</v>
      </c>
      <c r="H972" s="94" t="s">
        <v>210</v>
      </c>
      <c r="I972" s="94" t="s">
        <v>210</v>
      </c>
      <c r="J972" s="94">
        <v>-3</v>
      </c>
      <c r="K972" s="94">
        <v>4</v>
      </c>
      <c r="L972" s="94" t="s">
        <v>210</v>
      </c>
      <c r="M972" s="94">
        <v>1</v>
      </c>
      <c r="N972" s="94" t="s">
        <v>210</v>
      </c>
      <c r="O972" s="94" t="s">
        <v>210</v>
      </c>
      <c r="P972" s="94">
        <v>-5</v>
      </c>
      <c r="Q972" s="94">
        <v>-2</v>
      </c>
      <c r="R972" s="94" t="s">
        <v>210</v>
      </c>
      <c r="S972" s="94" t="s">
        <v>210</v>
      </c>
      <c r="T972" s="94">
        <v>3</v>
      </c>
      <c r="U972" s="94">
        <v>-4</v>
      </c>
      <c r="V972" s="94" t="s">
        <v>210</v>
      </c>
      <c r="W972" s="94"/>
      <c r="X972" s="94"/>
      <c r="Y972" s="94"/>
      <c r="Z972" s="94"/>
      <c r="AA972" s="94"/>
      <c r="AB972" s="94"/>
      <c r="AC972" s="94"/>
      <c r="AD972" s="94"/>
      <c r="AE972" s="94"/>
      <c r="AF972" s="94"/>
      <c r="AG972" s="94"/>
      <c r="AH972" s="94"/>
      <c r="AI972" s="94"/>
      <c r="AJ972" s="94"/>
      <c r="AK972" s="94"/>
      <c r="AL972" s="94"/>
      <c r="AM972" s="94"/>
      <c r="AN972" s="94"/>
      <c r="AO972" s="94"/>
      <c r="AP972" s="94"/>
      <c r="AQ972" s="94"/>
      <c r="AR972" s="94"/>
      <c r="AS972" s="94"/>
      <c r="AT972" s="94"/>
      <c r="AU972" s="94"/>
      <c r="AV972" s="94"/>
      <c r="AW972" s="94"/>
      <c r="AX972" s="94"/>
      <c r="AY972" s="94"/>
      <c r="BA972" s="95"/>
    </row>
    <row r="973" spans="1:53" s="87" customFormat="1">
      <c r="A973" s="90" t="str">
        <f t="shared" si="63"/>
        <v/>
      </c>
      <c r="B973" s="98">
        <v>17</v>
      </c>
      <c r="C973" s="94">
        <v>-3</v>
      </c>
      <c r="D973" s="94" t="s">
        <v>210</v>
      </c>
      <c r="E973" s="94" t="s">
        <v>210</v>
      </c>
      <c r="F973" s="94">
        <v>4</v>
      </c>
      <c r="G973" s="94">
        <v>-5</v>
      </c>
      <c r="H973" s="94" t="s">
        <v>210</v>
      </c>
      <c r="I973" s="94" t="s">
        <v>210</v>
      </c>
      <c r="J973" s="94">
        <v>1</v>
      </c>
      <c r="K973" s="94">
        <v>2</v>
      </c>
      <c r="L973" s="94" t="s">
        <v>210</v>
      </c>
      <c r="M973" s="94">
        <v>3</v>
      </c>
      <c r="N973" s="94" t="s">
        <v>210</v>
      </c>
      <c r="O973" s="94" t="s">
        <v>210</v>
      </c>
      <c r="P973" s="94">
        <v>-4</v>
      </c>
      <c r="Q973" s="94">
        <v>-1</v>
      </c>
      <c r="R973" s="94" t="s">
        <v>210</v>
      </c>
      <c r="S973" s="94" t="s">
        <v>210</v>
      </c>
      <c r="T973" s="94">
        <v>5</v>
      </c>
      <c r="U973" s="94">
        <v>-2</v>
      </c>
      <c r="V973" s="94" t="s">
        <v>210</v>
      </c>
      <c r="W973" s="94"/>
      <c r="X973" s="94"/>
      <c r="Y973" s="94"/>
      <c r="Z973" s="94"/>
      <c r="AA973" s="94"/>
      <c r="AB973" s="94"/>
      <c r="AC973" s="94"/>
      <c r="AD973" s="94"/>
      <c r="AE973" s="94"/>
      <c r="AF973" s="94"/>
      <c r="AG973" s="94"/>
      <c r="AH973" s="94"/>
      <c r="AI973" s="94"/>
      <c r="AJ973" s="94"/>
      <c r="AK973" s="94"/>
      <c r="AL973" s="94"/>
      <c r="AM973" s="94"/>
      <c r="AN973" s="94"/>
      <c r="AO973" s="94"/>
      <c r="AP973" s="94"/>
      <c r="AQ973" s="94"/>
      <c r="AR973" s="94"/>
      <c r="AS973" s="94"/>
      <c r="AT973" s="94"/>
      <c r="AU973" s="94"/>
      <c r="AV973" s="94"/>
      <c r="AW973" s="94"/>
      <c r="AX973" s="94"/>
      <c r="AY973" s="94"/>
      <c r="BA973" s="95"/>
    </row>
    <row r="974" spans="1:53" s="87" customFormat="1">
      <c r="A974" s="90" t="str">
        <f t="shared" si="63"/>
        <v/>
      </c>
      <c r="B974" s="98">
        <v>18</v>
      </c>
      <c r="C974" s="94">
        <v>2</v>
      </c>
      <c r="D974" s="94" t="s">
        <v>210</v>
      </c>
      <c r="E974" s="94" t="s">
        <v>210</v>
      </c>
      <c r="F974" s="94">
        <v>-3</v>
      </c>
      <c r="G974" s="94">
        <v>4</v>
      </c>
      <c r="H974" s="94" t="s">
        <v>210</v>
      </c>
      <c r="I974" s="94" t="s">
        <v>210</v>
      </c>
      <c r="J974" s="94">
        <v>5</v>
      </c>
      <c r="K974" s="94">
        <v>-1</v>
      </c>
      <c r="L974" s="94" t="s">
        <v>210</v>
      </c>
      <c r="M974" s="94">
        <v>-2</v>
      </c>
      <c r="N974" s="94" t="s">
        <v>210</v>
      </c>
      <c r="O974" s="94" t="s">
        <v>210</v>
      </c>
      <c r="P974" s="94">
        <v>3</v>
      </c>
      <c r="Q974" s="94">
        <v>-4</v>
      </c>
      <c r="R974" s="94" t="s">
        <v>210</v>
      </c>
      <c r="S974" s="94" t="s">
        <v>210</v>
      </c>
      <c r="T974" s="94">
        <v>1</v>
      </c>
      <c r="U974" s="94">
        <v>-5</v>
      </c>
      <c r="V974" s="94" t="s">
        <v>210</v>
      </c>
      <c r="W974" s="94"/>
      <c r="X974" s="94"/>
      <c r="Y974" s="94"/>
      <c r="Z974" s="94"/>
      <c r="AA974" s="94"/>
      <c r="AB974" s="94"/>
      <c r="AC974" s="94"/>
      <c r="AD974" s="94"/>
      <c r="AE974" s="94"/>
      <c r="AF974" s="94"/>
      <c r="AG974" s="94"/>
      <c r="AH974" s="94"/>
      <c r="AI974" s="94"/>
      <c r="AJ974" s="94"/>
      <c r="AK974" s="94"/>
      <c r="AL974" s="94"/>
      <c r="AM974" s="94"/>
      <c r="AN974" s="94"/>
      <c r="AO974" s="94"/>
      <c r="AP974" s="94"/>
      <c r="AQ974" s="94"/>
      <c r="AR974" s="94"/>
      <c r="AS974" s="94"/>
      <c r="AT974" s="94"/>
      <c r="AU974" s="94"/>
      <c r="AV974" s="94"/>
      <c r="AW974" s="94"/>
      <c r="AX974" s="94"/>
      <c r="AY974" s="94"/>
      <c r="BA974" s="95"/>
    </row>
    <row r="975" spans="1:53" s="87" customFormat="1">
      <c r="A975" s="90" t="str">
        <f t="shared" si="63"/>
        <v/>
      </c>
      <c r="B975" s="98">
        <v>19</v>
      </c>
      <c r="C975" s="94">
        <v>4</v>
      </c>
      <c r="D975" s="94" t="s">
        <v>210</v>
      </c>
      <c r="E975" s="94" t="s">
        <v>210</v>
      </c>
      <c r="F975" s="94">
        <v>-5</v>
      </c>
      <c r="G975" s="94">
        <v>-1</v>
      </c>
      <c r="H975" s="94" t="s">
        <v>210</v>
      </c>
      <c r="I975" s="94" t="s">
        <v>210</v>
      </c>
      <c r="J975" s="94">
        <v>2</v>
      </c>
      <c r="K975" s="94">
        <v>-3</v>
      </c>
      <c r="L975" s="94" t="s">
        <v>210</v>
      </c>
      <c r="M975" s="94">
        <v>-4</v>
      </c>
      <c r="N975" s="94" t="s">
        <v>210</v>
      </c>
      <c r="O975" s="94" t="s">
        <v>210</v>
      </c>
      <c r="P975" s="94">
        <v>1</v>
      </c>
      <c r="Q975" s="94">
        <v>5</v>
      </c>
      <c r="R975" s="94" t="s">
        <v>210</v>
      </c>
      <c r="S975" s="94" t="s">
        <v>210</v>
      </c>
      <c r="T975" s="94">
        <v>-2</v>
      </c>
      <c r="U975" s="94">
        <v>3</v>
      </c>
      <c r="V975" s="94" t="s">
        <v>210</v>
      </c>
      <c r="W975" s="94"/>
      <c r="X975" s="94"/>
      <c r="Y975" s="94"/>
      <c r="Z975" s="94"/>
      <c r="AA975" s="94"/>
      <c r="AB975" s="94"/>
      <c r="AC975" s="94"/>
      <c r="AD975" s="94"/>
      <c r="AE975" s="94"/>
      <c r="AF975" s="94"/>
      <c r="AG975" s="94"/>
      <c r="AH975" s="94"/>
      <c r="AI975" s="94"/>
      <c r="AJ975" s="94"/>
      <c r="AK975" s="94"/>
      <c r="AL975" s="94"/>
      <c r="AM975" s="94"/>
      <c r="AN975" s="94"/>
      <c r="AO975" s="94"/>
      <c r="AP975" s="94"/>
      <c r="AQ975" s="94"/>
      <c r="AR975" s="94"/>
      <c r="AS975" s="94"/>
      <c r="AT975" s="94"/>
      <c r="AU975" s="94"/>
      <c r="AV975" s="94"/>
      <c r="AW975" s="94"/>
      <c r="AX975" s="94"/>
      <c r="AY975" s="94"/>
      <c r="BA975" s="95"/>
    </row>
    <row r="976" spans="1:53" s="87" customFormat="1">
      <c r="A976" s="90" t="str">
        <f t="shared" si="63"/>
        <v/>
      </c>
      <c r="B976" s="317" t="s">
        <v>1021</v>
      </c>
      <c r="C976" s="94"/>
      <c r="D976" s="94"/>
      <c r="E976" s="94"/>
      <c r="F976" s="94"/>
      <c r="G976" s="94"/>
      <c r="H976" s="94"/>
      <c r="I976" s="94"/>
      <c r="J976" s="94"/>
      <c r="K976" s="94"/>
      <c r="L976" s="94"/>
      <c r="M976" s="94"/>
      <c r="N976" s="94"/>
      <c r="O976" s="94"/>
      <c r="P976" s="94"/>
      <c r="Q976" s="94"/>
      <c r="R976" s="94"/>
      <c r="S976" s="94"/>
      <c r="T976" s="94"/>
      <c r="U976" s="94"/>
      <c r="V976" s="94"/>
      <c r="W976" s="94"/>
      <c r="X976" s="94"/>
      <c r="Y976" s="94"/>
      <c r="Z976" s="94"/>
      <c r="AA976" s="94"/>
      <c r="AB976" s="94"/>
      <c r="AC976" s="94"/>
      <c r="AD976" s="94"/>
      <c r="AE976" s="94"/>
      <c r="AF976" s="94"/>
      <c r="AG976" s="94"/>
      <c r="AH976" s="94"/>
      <c r="AI976" s="94"/>
      <c r="AJ976" s="94"/>
      <c r="AK976" s="94"/>
      <c r="AL976" s="94"/>
      <c r="AM976" s="94"/>
      <c r="AN976" s="94"/>
      <c r="AO976" s="94"/>
      <c r="AP976" s="94"/>
      <c r="AQ976" s="94"/>
      <c r="AR976" s="94"/>
      <c r="AS976" s="94"/>
      <c r="AT976" s="94"/>
      <c r="AU976" s="94"/>
      <c r="AV976" s="94"/>
      <c r="AW976" s="94"/>
      <c r="AX976" s="94"/>
      <c r="AY976" s="94"/>
      <c r="BA976" s="95"/>
    </row>
    <row r="977" spans="1:53" s="87" customFormat="1">
      <c r="A977" s="90">
        <f t="shared" si="63"/>
        <v>977</v>
      </c>
      <c r="B977" s="317" t="s">
        <v>1019</v>
      </c>
      <c r="C977" s="94"/>
      <c r="D977" s="94"/>
      <c r="E977" s="94"/>
      <c r="F977" s="94"/>
      <c r="G977" s="94"/>
      <c r="H977" s="94"/>
      <c r="I977" s="94"/>
      <c r="J977" s="94"/>
      <c r="K977" s="94"/>
      <c r="L977" s="94"/>
      <c r="M977" s="94"/>
      <c r="N977" s="94"/>
      <c r="O977" s="94"/>
      <c r="P977" s="94"/>
      <c r="Q977" s="94"/>
      <c r="R977" s="94"/>
      <c r="S977" s="94"/>
      <c r="T977" s="94"/>
      <c r="U977" s="94"/>
      <c r="V977" s="94"/>
      <c r="W977" s="94"/>
      <c r="X977" s="94"/>
      <c r="Y977" s="94"/>
      <c r="Z977" s="94"/>
      <c r="AA977" s="94"/>
      <c r="AB977" s="94"/>
      <c r="AC977" s="94"/>
      <c r="AD977" s="94"/>
      <c r="AE977" s="94"/>
      <c r="AF977" s="94"/>
      <c r="AG977" s="94"/>
      <c r="AH977" s="94"/>
      <c r="AI977" s="94"/>
      <c r="AJ977" s="94"/>
      <c r="AK977" s="94"/>
      <c r="AL977" s="94"/>
      <c r="AM977" s="94"/>
      <c r="AN977" s="94"/>
      <c r="AO977" s="94"/>
      <c r="AP977" s="94"/>
      <c r="AQ977" s="94"/>
      <c r="AR977" s="94"/>
      <c r="AS977" s="94"/>
      <c r="AT977" s="94"/>
      <c r="AU977" s="94"/>
      <c r="AV977" s="94"/>
      <c r="AW977" s="94"/>
      <c r="AX977" s="94"/>
      <c r="AY977" s="94"/>
      <c r="BA977" s="95"/>
    </row>
    <row r="978" spans="1:53" s="87" customFormat="1">
      <c r="A978" s="90" t="str">
        <f t="shared" si="63"/>
        <v/>
      </c>
      <c r="B978" s="98">
        <v>1</v>
      </c>
      <c r="C978" s="94">
        <v>-2</v>
      </c>
      <c r="D978" s="94" t="s">
        <v>210</v>
      </c>
      <c r="E978" s="94">
        <v>-3</v>
      </c>
      <c r="F978" s="94" t="s">
        <v>210</v>
      </c>
      <c r="G978" s="94" t="s">
        <v>210</v>
      </c>
      <c r="H978" s="94">
        <v>-4</v>
      </c>
      <c r="I978" s="94">
        <v>1</v>
      </c>
      <c r="J978" s="94" t="s">
        <v>210</v>
      </c>
      <c r="K978" s="94" t="s">
        <v>210</v>
      </c>
      <c r="L978" s="94">
        <v>2</v>
      </c>
      <c r="M978" s="94">
        <v>-5</v>
      </c>
      <c r="N978" s="94" t="s">
        <v>210</v>
      </c>
      <c r="O978" s="94" t="s">
        <v>210</v>
      </c>
      <c r="P978" s="94">
        <v>4</v>
      </c>
      <c r="Q978" s="94">
        <v>3</v>
      </c>
      <c r="R978" s="94" t="s">
        <v>210</v>
      </c>
      <c r="S978" s="94"/>
      <c r="T978" s="94"/>
      <c r="U978" s="94"/>
      <c r="V978" s="94"/>
      <c r="W978" s="94"/>
      <c r="X978" s="94"/>
      <c r="Y978" s="94"/>
      <c r="Z978" s="94"/>
      <c r="AA978" s="94"/>
      <c r="AB978" s="94"/>
      <c r="AC978" s="94"/>
      <c r="AD978" s="94"/>
      <c r="AE978" s="94"/>
      <c r="AF978" s="94"/>
      <c r="AG978" s="94"/>
      <c r="AH978" s="94"/>
      <c r="AI978" s="94"/>
      <c r="AJ978" s="94"/>
      <c r="AK978" s="94"/>
      <c r="AL978" s="94"/>
      <c r="AM978" s="94"/>
      <c r="AN978" s="94"/>
      <c r="AO978" s="94"/>
      <c r="AP978" s="94"/>
      <c r="AQ978" s="94"/>
      <c r="AR978" s="94"/>
      <c r="AS978" s="94"/>
      <c r="AT978" s="94"/>
      <c r="AU978" s="94"/>
      <c r="AV978" s="94"/>
      <c r="AW978" s="94"/>
      <c r="AX978" s="94"/>
      <c r="AY978" s="94"/>
      <c r="BA978" s="95"/>
    </row>
    <row r="979" spans="1:53" s="87" customFormat="1">
      <c r="A979" s="90" t="str">
        <f t="shared" si="63"/>
        <v/>
      </c>
      <c r="B979" s="98">
        <v>2</v>
      </c>
      <c r="C979" s="94" t="s">
        <v>210</v>
      </c>
      <c r="D979" s="94">
        <v>-3</v>
      </c>
      <c r="E979" s="94">
        <v>-5</v>
      </c>
      <c r="F979" s="94" t="s">
        <v>210</v>
      </c>
      <c r="G979" s="94" t="s">
        <v>210</v>
      </c>
      <c r="H979" s="94">
        <v>2</v>
      </c>
      <c r="I979" s="94">
        <v>4</v>
      </c>
      <c r="J979" s="94" t="s">
        <v>210</v>
      </c>
      <c r="K979" s="94">
        <v>-1</v>
      </c>
      <c r="L979" s="94" t="s">
        <v>210</v>
      </c>
      <c r="M979" s="94" t="s">
        <v>210</v>
      </c>
      <c r="N979" s="94">
        <v>-4</v>
      </c>
      <c r="O979" s="94">
        <v>3</v>
      </c>
      <c r="P979" s="94" t="s">
        <v>210</v>
      </c>
      <c r="Q979" s="94">
        <v>1</v>
      </c>
      <c r="R979" s="94" t="s">
        <v>210</v>
      </c>
      <c r="S979" s="94"/>
      <c r="T979" s="94"/>
      <c r="U979" s="94"/>
      <c r="V979" s="94"/>
      <c r="W979" s="94"/>
      <c r="X979" s="94"/>
      <c r="Y979" s="94"/>
      <c r="Z979" s="94"/>
      <c r="AA979" s="94"/>
      <c r="AB979" s="94"/>
      <c r="AC979" s="94"/>
      <c r="AD979" s="94"/>
      <c r="AE979" s="94"/>
      <c r="AF979" s="94"/>
      <c r="AG979" s="94"/>
      <c r="AH979" s="94"/>
      <c r="AI979" s="94"/>
      <c r="AJ979" s="94"/>
      <c r="AK979" s="94"/>
      <c r="AL979" s="94"/>
      <c r="AM979" s="94"/>
      <c r="AN979" s="94"/>
      <c r="AO979" s="94"/>
      <c r="AP979" s="94"/>
      <c r="AQ979" s="94"/>
      <c r="AR979" s="94"/>
      <c r="AS979" s="94"/>
      <c r="AT979" s="94"/>
      <c r="AU979" s="94"/>
      <c r="AV979" s="94"/>
      <c r="AW979" s="94"/>
      <c r="AX979" s="94"/>
      <c r="AY979" s="94"/>
      <c r="BA979" s="95"/>
    </row>
    <row r="980" spans="1:53" s="87" customFormat="1">
      <c r="A980" s="90" t="str">
        <f t="shared" si="63"/>
        <v/>
      </c>
      <c r="B980" s="98">
        <v>3</v>
      </c>
      <c r="C980" s="94" t="s">
        <v>210</v>
      </c>
      <c r="D980" s="94">
        <v>-4</v>
      </c>
      <c r="E980" s="94">
        <v>1</v>
      </c>
      <c r="F980" s="94" t="s">
        <v>210</v>
      </c>
      <c r="G980" s="94" t="s">
        <v>210</v>
      </c>
      <c r="H980" s="94">
        <v>3</v>
      </c>
      <c r="I980" s="94">
        <v>5</v>
      </c>
      <c r="J980" s="94" t="s">
        <v>210</v>
      </c>
      <c r="K980" s="94">
        <v>2</v>
      </c>
      <c r="L980" s="94" t="s">
        <v>210</v>
      </c>
      <c r="M980" s="94">
        <v>-1</v>
      </c>
      <c r="N980" s="94" t="s">
        <v>210</v>
      </c>
      <c r="O980" s="94" t="s">
        <v>210</v>
      </c>
      <c r="P980" s="94">
        <v>-2</v>
      </c>
      <c r="Q980" s="94">
        <v>-5</v>
      </c>
      <c r="R980" s="94" t="s">
        <v>210</v>
      </c>
      <c r="S980" s="94"/>
      <c r="T980" s="94"/>
      <c r="U980" s="94"/>
      <c r="V980" s="94"/>
      <c r="W980" s="94"/>
      <c r="X980" s="94"/>
      <c r="Y980" s="94"/>
      <c r="Z980" s="94"/>
      <c r="AA980" s="94"/>
      <c r="AB980" s="94"/>
      <c r="AC980" s="94"/>
      <c r="AD980" s="94"/>
      <c r="AE980" s="94"/>
      <c r="AF980" s="94"/>
      <c r="AG980" s="94"/>
      <c r="AH980" s="94"/>
      <c r="AI980" s="94"/>
      <c r="AJ980" s="94"/>
      <c r="AK980" s="94"/>
      <c r="AL980" s="94"/>
      <c r="AM980" s="94"/>
      <c r="AN980" s="94"/>
      <c r="AO980" s="94"/>
      <c r="AP980" s="94"/>
      <c r="AQ980" s="94"/>
      <c r="AR980" s="94"/>
      <c r="AS980" s="94"/>
      <c r="AT980" s="94"/>
      <c r="AU980" s="94"/>
      <c r="AV980" s="94"/>
      <c r="AW980" s="94"/>
      <c r="AX980" s="94"/>
      <c r="AY980" s="94"/>
      <c r="BA980" s="95"/>
    </row>
    <row r="981" spans="1:53" s="87" customFormat="1">
      <c r="A981" s="90" t="str">
        <f t="shared" si="63"/>
        <v/>
      </c>
      <c r="B981" s="98">
        <v>4</v>
      </c>
      <c r="C981" s="94">
        <v>1</v>
      </c>
      <c r="D981" s="94" t="s">
        <v>210</v>
      </c>
      <c r="E981" s="94" t="s">
        <v>210</v>
      </c>
      <c r="F981" s="94">
        <v>2</v>
      </c>
      <c r="G981" s="94">
        <v>5</v>
      </c>
      <c r="H981" s="94" t="s">
        <v>210</v>
      </c>
      <c r="I981" s="94" t="s">
        <v>210</v>
      </c>
      <c r="J981" s="94">
        <v>-4</v>
      </c>
      <c r="K981" s="94">
        <v>-3</v>
      </c>
      <c r="L981" s="94" t="s">
        <v>210</v>
      </c>
      <c r="M981" s="94" t="s">
        <v>210</v>
      </c>
      <c r="N981" s="94">
        <v>-1</v>
      </c>
      <c r="O981" s="94">
        <v>4</v>
      </c>
      <c r="P981" s="94" t="s">
        <v>210</v>
      </c>
      <c r="Q981" s="94" t="s">
        <v>210</v>
      </c>
      <c r="R981" s="94">
        <v>-2</v>
      </c>
      <c r="S981" s="94"/>
      <c r="T981" s="94"/>
      <c r="U981" s="94"/>
      <c r="V981" s="94"/>
      <c r="W981" s="94"/>
      <c r="X981" s="94"/>
      <c r="Y981" s="94"/>
      <c r="Z981" s="94"/>
      <c r="AA981" s="94"/>
      <c r="AB981" s="94"/>
      <c r="AC981" s="94"/>
      <c r="AD981" s="94"/>
      <c r="AE981" s="94"/>
      <c r="AF981" s="94"/>
      <c r="AG981" s="94"/>
      <c r="AH981" s="94"/>
      <c r="AI981" s="94"/>
      <c r="AJ981" s="94"/>
      <c r="AK981" s="94"/>
      <c r="AL981" s="94"/>
      <c r="AM981" s="94"/>
      <c r="AN981" s="94"/>
      <c r="AO981" s="94"/>
      <c r="AP981" s="94"/>
      <c r="AQ981" s="94"/>
      <c r="AR981" s="94"/>
      <c r="AS981" s="94"/>
      <c r="AT981" s="94"/>
      <c r="AU981" s="94"/>
      <c r="AV981" s="94"/>
      <c r="AW981" s="94"/>
      <c r="AX981" s="94"/>
      <c r="AY981" s="94"/>
      <c r="BA981" s="95"/>
    </row>
    <row r="982" spans="1:53" s="87" customFormat="1">
      <c r="A982" s="90" t="str">
        <f t="shared" si="63"/>
        <v/>
      </c>
      <c r="B982" s="98">
        <v>5</v>
      </c>
      <c r="C982" s="94">
        <v>-3</v>
      </c>
      <c r="D982" s="94" t="s">
        <v>210</v>
      </c>
      <c r="E982" s="94" t="s">
        <v>210</v>
      </c>
      <c r="F982" s="94">
        <v>4</v>
      </c>
      <c r="G982" s="94">
        <v>1</v>
      </c>
      <c r="H982" s="94" t="s">
        <v>210</v>
      </c>
      <c r="I982" s="94">
        <v>2</v>
      </c>
      <c r="J982" s="94" t="s">
        <v>210</v>
      </c>
      <c r="K982" s="94" t="s">
        <v>210</v>
      </c>
      <c r="L982" s="94">
        <v>-4</v>
      </c>
      <c r="M982" s="94">
        <v>3</v>
      </c>
      <c r="N982" s="94" t="s">
        <v>210</v>
      </c>
      <c r="O982" s="94" t="s">
        <v>210</v>
      </c>
      <c r="P982" s="94">
        <v>-5</v>
      </c>
      <c r="Q982" s="94">
        <v>-2</v>
      </c>
      <c r="R982" s="94" t="s">
        <v>210</v>
      </c>
      <c r="S982" s="94"/>
      <c r="T982" s="94"/>
      <c r="U982" s="94"/>
      <c r="V982" s="94"/>
      <c r="W982" s="94"/>
      <c r="X982" s="94"/>
      <c r="Y982" s="94"/>
      <c r="Z982" s="94"/>
      <c r="AA982" s="94"/>
      <c r="AB982" s="94"/>
      <c r="AC982" s="94"/>
      <c r="AD982" s="94"/>
      <c r="AE982" s="94"/>
      <c r="AF982" s="94"/>
      <c r="AG982" s="94"/>
      <c r="AH982" s="94"/>
      <c r="AI982" s="94"/>
      <c r="AJ982" s="94"/>
      <c r="AK982" s="94"/>
      <c r="AL982" s="94"/>
      <c r="AM982" s="94"/>
      <c r="AN982" s="94"/>
      <c r="AO982" s="94"/>
      <c r="AP982" s="94"/>
      <c r="AQ982" s="94"/>
      <c r="AR982" s="94"/>
      <c r="AS982" s="94"/>
      <c r="AT982" s="94"/>
      <c r="AU982" s="94"/>
      <c r="AV982" s="94"/>
      <c r="AW982" s="94"/>
      <c r="AX982" s="94"/>
      <c r="AY982" s="94"/>
      <c r="BA982" s="95"/>
    </row>
    <row r="983" spans="1:53" s="87" customFormat="1">
      <c r="A983" s="90" t="str">
        <f t="shared" si="63"/>
        <v/>
      </c>
      <c r="B983" s="98">
        <v>6</v>
      </c>
      <c r="C983" s="94" t="s">
        <v>210</v>
      </c>
      <c r="D983" s="94">
        <v>-1</v>
      </c>
      <c r="E983" s="94">
        <v>2</v>
      </c>
      <c r="F983" s="94" t="s">
        <v>210</v>
      </c>
      <c r="G983" s="94">
        <v>-4</v>
      </c>
      <c r="H983" s="94" t="s">
        <v>210</v>
      </c>
      <c r="I983" s="94" t="s">
        <v>210</v>
      </c>
      <c r="J983" s="94">
        <v>-3</v>
      </c>
      <c r="K983" s="94">
        <v>4</v>
      </c>
      <c r="L983" s="94" t="s">
        <v>210</v>
      </c>
      <c r="M983" s="94" t="s">
        <v>210</v>
      </c>
      <c r="N983" s="94">
        <v>-2</v>
      </c>
      <c r="O983" s="94">
        <v>5</v>
      </c>
      <c r="P983" s="94" t="s">
        <v>210</v>
      </c>
      <c r="Q983" s="94" t="s">
        <v>210</v>
      </c>
      <c r="R983" s="94">
        <v>3</v>
      </c>
      <c r="S983" s="94"/>
      <c r="T983" s="94"/>
      <c r="U983" s="94"/>
      <c r="V983" s="94"/>
      <c r="W983" s="94"/>
      <c r="X983" s="94"/>
      <c r="Y983" s="94"/>
      <c r="Z983" s="94"/>
      <c r="AA983" s="94"/>
      <c r="AB983" s="94"/>
      <c r="AC983" s="94"/>
      <c r="AD983" s="94"/>
      <c r="AE983" s="94"/>
      <c r="AF983" s="94"/>
      <c r="AG983" s="94"/>
      <c r="AH983" s="94"/>
      <c r="AI983" s="94"/>
      <c r="AJ983" s="94"/>
      <c r="AK983" s="94"/>
      <c r="AL983" s="94"/>
      <c r="AM983" s="94"/>
      <c r="AN983" s="94"/>
      <c r="AO983" s="94"/>
      <c r="AP983" s="94"/>
      <c r="AQ983" s="94"/>
      <c r="AR983" s="94"/>
      <c r="AS983" s="94"/>
      <c r="AT983" s="94"/>
      <c r="AU983" s="94"/>
      <c r="AV983" s="94"/>
      <c r="AW983" s="94"/>
      <c r="AX983" s="94"/>
      <c r="AY983" s="94"/>
      <c r="BA983" s="95"/>
    </row>
    <row r="984" spans="1:53" s="87" customFormat="1">
      <c r="A984" s="90" t="str">
        <f t="shared" si="63"/>
        <v/>
      </c>
      <c r="B984" s="98">
        <v>7</v>
      </c>
      <c r="C984" s="94">
        <v>4</v>
      </c>
      <c r="D984" s="94" t="s">
        <v>210</v>
      </c>
      <c r="E984" s="94" t="s">
        <v>210</v>
      </c>
      <c r="F984" s="94">
        <v>5</v>
      </c>
      <c r="G984" s="94">
        <v>-3</v>
      </c>
      <c r="H984" s="94" t="s">
        <v>210</v>
      </c>
      <c r="I984" s="94" t="s">
        <v>210</v>
      </c>
      <c r="J984" s="94">
        <v>2</v>
      </c>
      <c r="K984" s="94" t="s">
        <v>210</v>
      </c>
      <c r="L984" s="94">
        <v>-1</v>
      </c>
      <c r="M984" s="94">
        <v>-2</v>
      </c>
      <c r="N984" s="94" t="s">
        <v>210</v>
      </c>
      <c r="O984" s="94" t="s">
        <v>210</v>
      </c>
      <c r="P984" s="94">
        <v>3</v>
      </c>
      <c r="Q984" s="94">
        <v>-4</v>
      </c>
      <c r="R984" s="94" t="s">
        <v>210</v>
      </c>
      <c r="S984" s="94"/>
      <c r="T984" s="94"/>
      <c r="U984" s="94"/>
      <c r="V984" s="94"/>
      <c r="W984" s="94"/>
      <c r="X984" s="94"/>
      <c r="Y984" s="94"/>
      <c r="Z984" s="94"/>
      <c r="AA984" s="94"/>
      <c r="AB984" s="94"/>
      <c r="AC984" s="94"/>
      <c r="AD984" s="94"/>
      <c r="AE984" s="94"/>
      <c r="AF984" s="94"/>
      <c r="AG984" s="94"/>
      <c r="AH984" s="94"/>
      <c r="AI984" s="94"/>
      <c r="AJ984" s="94"/>
      <c r="AK984" s="94"/>
      <c r="AL984" s="94"/>
      <c r="AM984" s="94"/>
      <c r="AN984" s="94"/>
      <c r="AO984" s="94"/>
      <c r="AP984" s="94"/>
      <c r="AQ984" s="94"/>
      <c r="AR984" s="94"/>
      <c r="AS984" s="94"/>
      <c r="AT984" s="94"/>
      <c r="AU984" s="94"/>
      <c r="AV984" s="94"/>
      <c r="AW984" s="94"/>
      <c r="AX984" s="94"/>
      <c r="AY984" s="94"/>
      <c r="BA984" s="95"/>
    </row>
    <row r="985" spans="1:53" s="87" customFormat="1">
      <c r="A985" s="90" t="str">
        <f t="shared" si="63"/>
        <v/>
      </c>
      <c r="B985" s="98">
        <v>8</v>
      </c>
      <c r="C985" s="94" t="s">
        <v>210</v>
      </c>
      <c r="D985" s="94">
        <v>-2</v>
      </c>
      <c r="E985" s="94">
        <v>-4</v>
      </c>
      <c r="F985" s="94" t="s">
        <v>210</v>
      </c>
      <c r="G985" s="94" t="s">
        <v>210</v>
      </c>
      <c r="H985" s="94">
        <v>-1</v>
      </c>
      <c r="I985" s="94">
        <v>-3</v>
      </c>
      <c r="J985" s="94" t="s">
        <v>210</v>
      </c>
      <c r="K985" s="94">
        <v>5</v>
      </c>
      <c r="L985" s="94" t="s">
        <v>210</v>
      </c>
      <c r="M985" s="94" t="s">
        <v>210</v>
      </c>
      <c r="N985" s="94">
        <v>3</v>
      </c>
      <c r="O985" s="94">
        <v>1</v>
      </c>
      <c r="P985" s="94" t="s">
        <v>210</v>
      </c>
      <c r="Q985" s="94" t="s">
        <v>210</v>
      </c>
      <c r="R985" s="94">
        <v>4</v>
      </c>
      <c r="S985" s="94"/>
      <c r="T985" s="94"/>
      <c r="U985" s="94"/>
      <c r="V985" s="94"/>
      <c r="W985" s="94"/>
      <c r="X985" s="94"/>
      <c r="Y985" s="94"/>
      <c r="Z985" s="94"/>
      <c r="AA985" s="94"/>
      <c r="AB985" s="94"/>
      <c r="AC985" s="94"/>
      <c r="AD985" s="94"/>
      <c r="AE985" s="94"/>
      <c r="AF985" s="94"/>
      <c r="AG985" s="94"/>
      <c r="AH985" s="94"/>
      <c r="AI985" s="94"/>
      <c r="AJ985" s="94"/>
      <c r="AK985" s="94"/>
      <c r="AL985" s="94"/>
      <c r="AM985" s="94"/>
      <c r="AN985" s="94"/>
      <c r="AO985" s="94"/>
      <c r="AP985" s="94"/>
      <c r="AQ985" s="94"/>
      <c r="AR985" s="94"/>
      <c r="AS985" s="94"/>
      <c r="AT985" s="94"/>
      <c r="AU985" s="94"/>
      <c r="AV985" s="94"/>
      <c r="AW985" s="94"/>
      <c r="AX985" s="94"/>
      <c r="AY985" s="94"/>
      <c r="BA985" s="95"/>
    </row>
    <row r="986" spans="1:53" s="87" customFormat="1">
      <c r="A986" s="90" t="str">
        <f t="shared" si="63"/>
        <v/>
      </c>
      <c r="B986" s="98">
        <v>9</v>
      </c>
      <c r="C986" s="94">
        <v>5</v>
      </c>
      <c r="D986" s="94" t="s">
        <v>210</v>
      </c>
      <c r="E986" s="94" t="s">
        <v>210</v>
      </c>
      <c r="F986" s="94">
        <v>3</v>
      </c>
      <c r="G986" s="94">
        <v>-2</v>
      </c>
      <c r="H986" s="94" t="s">
        <v>210</v>
      </c>
      <c r="I986" s="94" t="s">
        <v>210</v>
      </c>
      <c r="J986" s="94">
        <v>-5</v>
      </c>
      <c r="K986" s="94" t="s">
        <v>210</v>
      </c>
      <c r="L986" s="94">
        <v>-3</v>
      </c>
      <c r="M986" s="94">
        <v>4</v>
      </c>
      <c r="N986" s="94" t="s">
        <v>210</v>
      </c>
      <c r="O986" s="94">
        <v>2</v>
      </c>
      <c r="P986" s="94" t="s">
        <v>210</v>
      </c>
      <c r="Q986" s="94" t="s">
        <v>210</v>
      </c>
      <c r="R986" s="94">
        <v>-1</v>
      </c>
      <c r="S986" s="94"/>
      <c r="T986" s="94"/>
      <c r="U986" s="94"/>
      <c r="V986" s="94"/>
      <c r="W986" s="94"/>
      <c r="X986" s="94"/>
      <c r="Y986" s="94"/>
      <c r="Z986" s="94"/>
      <c r="AA986" s="94"/>
      <c r="AB986" s="94"/>
      <c r="AC986" s="94"/>
      <c r="AD986" s="94"/>
      <c r="AE986" s="94"/>
      <c r="AF986" s="94"/>
      <c r="AG986" s="94"/>
      <c r="AH986" s="94"/>
      <c r="AI986" s="94"/>
      <c r="AJ986" s="94"/>
      <c r="AK986" s="94"/>
      <c r="AL986" s="94"/>
      <c r="AM986" s="94"/>
      <c r="AN986" s="94"/>
      <c r="AO986" s="94"/>
      <c r="AP986" s="94"/>
      <c r="AQ986" s="94"/>
      <c r="AR986" s="94"/>
      <c r="AS986" s="94"/>
      <c r="AT986" s="94"/>
      <c r="AU986" s="94"/>
      <c r="AV986" s="94"/>
      <c r="AW986" s="94"/>
      <c r="AX986" s="94"/>
      <c r="AY986" s="94"/>
      <c r="BA986" s="95"/>
    </row>
    <row r="987" spans="1:53" s="87" customFormat="1">
      <c r="A987" s="90" t="str">
        <f t="shared" si="63"/>
        <v/>
      </c>
      <c r="B987" s="98">
        <v>10</v>
      </c>
      <c r="C987" s="94" t="s">
        <v>210</v>
      </c>
      <c r="D987" s="94">
        <v>1</v>
      </c>
      <c r="E987" s="94">
        <v>4</v>
      </c>
      <c r="F987" s="94" t="s">
        <v>210</v>
      </c>
      <c r="G987" s="94" t="s">
        <v>210</v>
      </c>
      <c r="H987" s="94">
        <v>-2</v>
      </c>
      <c r="I987" s="94">
        <v>-5</v>
      </c>
      <c r="J987" s="94" t="s">
        <v>210</v>
      </c>
      <c r="K987" s="94">
        <v>3</v>
      </c>
      <c r="L987" s="94" t="s">
        <v>210</v>
      </c>
      <c r="M987" s="94">
        <v>-4</v>
      </c>
      <c r="N987" s="94" t="s">
        <v>210</v>
      </c>
      <c r="O987" s="94" t="s">
        <v>210</v>
      </c>
      <c r="P987" s="94">
        <v>-3</v>
      </c>
      <c r="Q987" s="94">
        <v>2</v>
      </c>
      <c r="R987" s="94" t="s">
        <v>210</v>
      </c>
      <c r="S987" s="94"/>
      <c r="T987" s="94"/>
      <c r="U987" s="94"/>
      <c r="V987" s="94"/>
      <c r="W987" s="94"/>
      <c r="X987" s="94"/>
      <c r="Y987" s="94"/>
      <c r="Z987" s="94"/>
      <c r="AA987" s="94"/>
      <c r="AB987" s="94"/>
      <c r="AC987" s="94"/>
      <c r="AD987" s="94"/>
      <c r="AE987" s="94"/>
      <c r="AF987" s="94"/>
      <c r="AG987" s="94"/>
      <c r="AH987" s="94"/>
      <c r="AI987" s="94"/>
      <c r="AJ987" s="94"/>
      <c r="AK987" s="94"/>
      <c r="AL987" s="94"/>
      <c r="AM987" s="94"/>
      <c r="AN987" s="94"/>
      <c r="AO987" s="94"/>
      <c r="AP987" s="94"/>
      <c r="AQ987" s="94"/>
      <c r="AR987" s="94"/>
      <c r="AS987" s="94"/>
      <c r="AT987" s="94"/>
      <c r="AU987" s="94"/>
      <c r="AV987" s="94"/>
      <c r="AW987" s="94"/>
      <c r="AX987" s="94"/>
      <c r="AY987" s="94"/>
      <c r="BA987" s="95"/>
    </row>
    <row r="988" spans="1:53" s="87" customFormat="1">
      <c r="A988" s="90" t="str">
        <f t="shared" si="63"/>
        <v/>
      </c>
      <c r="B988" s="98">
        <v>11</v>
      </c>
      <c r="C988" s="94">
        <v>-5</v>
      </c>
      <c r="D988" s="94" t="s">
        <v>210</v>
      </c>
      <c r="E988" s="94" t="s">
        <v>210</v>
      </c>
      <c r="F988" s="94">
        <v>-2</v>
      </c>
      <c r="G988" s="94">
        <v>4</v>
      </c>
      <c r="H988" s="94" t="s">
        <v>210</v>
      </c>
      <c r="I988" s="94">
        <v>3</v>
      </c>
      <c r="J988" s="94" t="s">
        <v>210</v>
      </c>
      <c r="K988" s="94" t="s">
        <v>210</v>
      </c>
      <c r="L988" s="94">
        <v>1</v>
      </c>
      <c r="M988" s="94">
        <v>-3</v>
      </c>
      <c r="N988" s="94" t="s">
        <v>210</v>
      </c>
      <c r="O988" s="94" t="s">
        <v>210</v>
      </c>
      <c r="P988" s="94">
        <v>-4</v>
      </c>
      <c r="Q988" s="94">
        <v>5</v>
      </c>
      <c r="R988" s="94" t="s">
        <v>210</v>
      </c>
      <c r="S988" s="94"/>
      <c r="T988" s="94"/>
      <c r="U988" s="94"/>
      <c r="V988" s="94"/>
      <c r="W988" s="94"/>
      <c r="X988" s="94"/>
      <c r="Y988" s="94"/>
      <c r="Z988" s="94"/>
      <c r="AA988" s="94"/>
      <c r="AB988" s="94"/>
      <c r="AC988" s="94"/>
      <c r="AD988" s="94"/>
      <c r="AE988" s="94"/>
      <c r="AF988" s="94"/>
      <c r="AG988" s="94"/>
      <c r="AH988" s="94"/>
      <c r="AI988" s="94"/>
      <c r="AJ988" s="94"/>
      <c r="AK988" s="94"/>
      <c r="AL988" s="94"/>
      <c r="AM988" s="94"/>
      <c r="AN988" s="94"/>
      <c r="AO988" s="94"/>
      <c r="AP988" s="94"/>
      <c r="AQ988" s="94"/>
      <c r="AR988" s="94"/>
      <c r="AS988" s="94"/>
      <c r="AT988" s="94"/>
      <c r="AU988" s="94"/>
      <c r="AV988" s="94"/>
      <c r="AW988" s="94"/>
      <c r="AX988" s="94"/>
      <c r="AY988" s="94"/>
      <c r="BA988" s="95"/>
    </row>
    <row r="989" spans="1:53" s="87" customFormat="1">
      <c r="A989" s="90" t="str">
        <f t="shared" si="63"/>
        <v/>
      </c>
      <c r="B989" s="98">
        <v>12</v>
      </c>
      <c r="C989" s="94">
        <v>-1</v>
      </c>
      <c r="D989" s="94" t="s">
        <v>210</v>
      </c>
      <c r="E989" s="94">
        <v>-2</v>
      </c>
      <c r="F989" s="94" t="s">
        <v>210</v>
      </c>
      <c r="G989" s="94" t="s">
        <v>210</v>
      </c>
      <c r="H989" s="94">
        <v>1</v>
      </c>
      <c r="I989" s="94">
        <v>-4</v>
      </c>
      <c r="J989" s="94" t="s">
        <v>210</v>
      </c>
      <c r="K989" s="94" t="s">
        <v>210</v>
      </c>
      <c r="L989" s="94">
        <v>3</v>
      </c>
      <c r="M989" s="94">
        <v>2</v>
      </c>
      <c r="N989" s="94" t="s">
        <v>210</v>
      </c>
      <c r="O989" s="94" t="s">
        <v>210</v>
      </c>
      <c r="P989" s="94">
        <v>5</v>
      </c>
      <c r="Q989" s="94">
        <v>-3</v>
      </c>
      <c r="R989" s="94" t="s">
        <v>210</v>
      </c>
      <c r="S989" s="94"/>
      <c r="T989" s="94"/>
      <c r="U989" s="94"/>
      <c r="V989" s="94"/>
      <c r="W989" s="94"/>
      <c r="X989" s="94"/>
      <c r="Y989" s="94"/>
      <c r="Z989" s="94"/>
      <c r="AA989" s="94"/>
      <c r="AB989" s="94"/>
      <c r="AC989" s="94"/>
      <c r="AD989" s="94"/>
      <c r="AE989" s="94"/>
      <c r="AF989" s="94"/>
      <c r="AG989" s="94"/>
      <c r="AH989" s="94"/>
      <c r="AI989" s="94"/>
      <c r="AJ989" s="94"/>
      <c r="AK989" s="94"/>
      <c r="AL989" s="94"/>
      <c r="AM989" s="94"/>
      <c r="AN989" s="94"/>
      <c r="AO989" s="94"/>
      <c r="AP989" s="94"/>
      <c r="AQ989" s="94"/>
      <c r="AR989" s="94"/>
      <c r="AS989" s="94"/>
      <c r="AT989" s="94"/>
      <c r="AU989" s="94"/>
      <c r="AV989" s="94"/>
      <c r="AW989" s="94"/>
      <c r="AX989" s="94"/>
      <c r="AY989" s="94"/>
      <c r="BA989" s="95"/>
    </row>
    <row r="990" spans="1:53" s="87" customFormat="1">
      <c r="A990" s="90" t="str">
        <f t="shared" si="63"/>
        <v/>
      </c>
      <c r="B990" s="98">
        <v>13</v>
      </c>
      <c r="C990" s="94">
        <v>2</v>
      </c>
      <c r="D990" s="94" t="s">
        <v>210</v>
      </c>
      <c r="E990" s="94" t="s">
        <v>210</v>
      </c>
      <c r="F990" s="94">
        <v>-4</v>
      </c>
      <c r="G990" s="94">
        <v>3</v>
      </c>
      <c r="H990" s="94" t="s">
        <v>210</v>
      </c>
      <c r="I990" s="94" t="s">
        <v>210</v>
      </c>
      <c r="J990" s="94">
        <v>5</v>
      </c>
      <c r="K990" s="94">
        <v>-2</v>
      </c>
      <c r="L990" s="94" t="s">
        <v>210</v>
      </c>
      <c r="M990" s="94" t="s">
        <v>210</v>
      </c>
      <c r="N990" s="94">
        <v>4</v>
      </c>
      <c r="O990" s="94">
        <v>-1</v>
      </c>
      <c r="P990" s="94" t="s">
        <v>210</v>
      </c>
      <c r="Q990" s="94" t="s">
        <v>210</v>
      </c>
      <c r="R990" s="94">
        <v>-3</v>
      </c>
      <c r="S990" s="94"/>
      <c r="T990" s="94"/>
      <c r="U990" s="94"/>
      <c r="V990" s="94"/>
      <c r="W990" s="94"/>
      <c r="X990" s="94"/>
      <c r="Y990" s="94"/>
      <c r="Z990" s="94"/>
      <c r="AA990" s="94"/>
      <c r="AB990" s="94"/>
      <c r="AC990" s="94"/>
      <c r="AD990" s="94"/>
      <c r="AE990" s="94"/>
      <c r="AF990" s="94"/>
      <c r="AG990" s="94"/>
      <c r="AH990" s="94"/>
      <c r="AI990" s="94"/>
      <c r="AJ990" s="94"/>
      <c r="AK990" s="94"/>
      <c r="AL990" s="94"/>
      <c r="AM990" s="94"/>
      <c r="AN990" s="94"/>
      <c r="AO990" s="94"/>
      <c r="AP990" s="94"/>
      <c r="AQ990" s="94"/>
      <c r="AR990" s="94"/>
      <c r="AS990" s="94"/>
      <c r="AT990" s="94"/>
      <c r="AU990" s="94"/>
      <c r="AV990" s="94"/>
      <c r="AW990" s="94"/>
      <c r="AX990" s="94"/>
      <c r="AY990" s="94"/>
      <c r="BA990" s="95"/>
    </row>
    <row r="991" spans="1:53" s="87" customFormat="1">
      <c r="A991" s="90" t="str">
        <f t="shared" si="63"/>
        <v/>
      </c>
      <c r="B991" s="98">
        <v>14</v>
      </c>
      <c r="C991" s="94" t="s">
        <v>210</v>
      </c>
      <c r="D991" s="94">
        <v>2</v>
      </c>
      <c r="E991" s="94">
        <v>5</v>
      </c>
      <c r="F991" s="94" t="s">
        <v>210</v>
      </c>
      <c r="G991" s="94" t="s">
        <v>210</v>
      </c>
      <c r="H991" s="94">
        <v>-3</v>
      </c>
      <c r="I991" s="94">
        <v>-1</v>
      </c>
      <c r="J991" s="94" t="s">
        <v>210</v>
      </c>
      <c r="K991" s="94">
        <v>-4</v>
      </c>
      <c r="L991" s="94" t="s">
        <v>210</v>
      </c>
      <c r="M991" s="94" t="s">
        <v>210</v>
      </c>
      <c r="N991" s="94">
        <v>1</v>
      </c>
      <c r="O991" s="94">
        <v>-2</v>
      </c>
      <c r="P991" s="94" t="s">
        <v>210</v>
      </c>
      <c r="Q991" s="94">
        <v>4</v>
      </c>
      <c r="R991" s="94" t="s">
        <v>210</v>
      </c>
      <c r="S991" s="94"/>
      <c r="T991" s="94"/>
      <c r="U991" s="94"/>
      <c r="V991" s="94"/>
      <c r="W991" s="94"/>
      <c r="X991" s="94"/>
      <c r="Y991" s="94"/>
      <c r="Z991" s="94"/>
      <c r="AA991" s="94"/>
      <c r="AB991" s="94"/>
      <c r="AC991" s="94"/>
      <c r="AD991" s="94"/>
      <c r="AE991" s="94"/>
      <c r="AF991" s="94"/>
      <c r="AG991" s="94"/>
      <c r="AH991" s="94"/>
      <c r="AI991" s="94"/>
      <c r="AJ991" s="94"/>
      <c r="AK991" s="94"/>
      <c r="AL991" s="94"/>
      <c r="AM991" s="94"/>
      <c r="AN991" s="94"/>
      <c r="AO991" s="94"/>
      <c r="AP991" s="94"/>
      <c r="AQ991" s="94"/>
      <c r="AR991" s="94"/>
      <c r="AS991" s="94"/>
      <c r="AT991" s="94"/>
      <c r="AU991" s="94"/>
      <c r="AV991" s="94"/>
      <c r="AW991" s="94"/>
      <c r="AX991" s="94"/>
      <c r="AY991" s="94"/>
      <c r="BA991" s="95"/>
    </row>
    <row r="992" spans="1:53" s="87" customFormat="1">
      <c r="A992" s="90" t="str">
        <f t="shared" si="63"/>
        <v/>
      </c>
      <c r="B992" s="98">
        <v>15</v>
      </c>
      <c r="C992" s="94">
        <v>3</v>
      </c>
      <c r="D992" s="94" t="s">
        <v>210</v>
      </c>
      <c r="E992" s="94" t="s">
        <v>210</v>
      </c>
      <c r="F992" s="94">
        <v>-5</v>
      </c>
      <c r="G992" s="94">
        <v>2</v>
      </c>
      <c r="H992" s="94" t="s">
        <v>210</v>
      </c>
      <c r="I992" s="94" t="s">
        <v>210</v>
      </c>
      <c r="J992" s="94">
        <v>4</v>
      </c>
      <c r="K992" s="94" t="s">
        <v>210</v>
      </c>
      <c r="L992" s="94">
        <v>-2</v>
      </c>
      <c r="M992" s="94">
        <v>1</v>
      </c>
      <c r="N992" s="94" t="s">
        <v>210</v>
      </c>
      <c r="O992" s="94">
        <v>-3</v>
      </c>
      <c r="P992" s="94" t="s">
        <v>210</v>
      </c>
      <c r="Q992" s="94" t="s">
        <v>210</v>
      </c>
      <c r="R992" s="94">
        <v>-4</v>
      </c>
      <c r="S992" s="94"/>
      <c r="T992" s="94"/>
      <c r="U992" s="94"/>
      <c r="V992" s="94"/>
      <c r="W992" s="94"/>
      <c r="X992" s="94"/>
      <c r="Y992" s="94"/>
      <c r="Z992" s="94"/>
      <c r="AA992" s="94"/>
      <c r="AB992" s="94"/>
      <c r="AC992" s="94"/>
      <c r="AD992" s="94"/>
      <c r="AE992" s="94"/>
      <c r="AF992" s="94"/>
      <c r="AG992" s="94"/>
      <c r="AH992" s="94"/>
      <c r="AI992" s="94"/>
      <c r="AJ992" s="94"/>
      <c r="AK992" s="94"/>
      <c r="AL992" s="94"/>
      <c r="AM992" s="94"/>
      <c r="AN992" s="94"/>
      <c r="AO992" s="94"/>
      <c r="AP992" s="94"/>
      <c r="AQ992" s="94"/>
      <c r="AR992" s="94"/>
      <c r="AS992" s="94"/>
      <c r="AT992" s="94"/>
      <c r="AU992" s="94"/>
      <c r="AV992" s="94"/>
      <c r="AW992" s="94"/>
      <c r="AX992" s="94"/>
      <c r="AY992" s="94"/>
      <c r="BA992" s="95"/>
    </row>
    <row r="993" spans="1:53" s="87" customFormat="1">
      <c r="A993" s="90" t="str">
        <f t="shared" si="63"/>
        <v/>
      </c>
      <c r="B993" s="98">
        <v>16</v>
      </c>
      <c r="C993" s="94" t="s">
        <v>210</v>
      </c>
      <c r="D993" s="94">
        <v>3</v>
      </c>
      <c r="E993" s="94">
        <v>-1</v>
      </c>
      <c r="F993" s="94" t="s">
        <v>210</v>
      </c>
      <c r="G993" s="94" t="s">
        <v>210</v>
      </c>
      <c r="H993" s="94">
        <v>4</v>
      </c>
      <c r="I993" s="94">
        <v>-2</v>
      </c>
      <c r="J993" s="94" t="s">
        <v>210</v>
      </c>
      <c r="K993" s="94">
        <v>-5</v>
      </c>
      <c r="L993" s="94" t="s">
        <v>210</v>
      </c>
      <c r="M993" s="94" t="s">
        <v>210</v>
      </c>
      <c r="N993" s="94">
        <v>2</v>
      </c>
      <c r="O993" s="94">
        <v>-4</v>
      </c>
      <c r="P993" s="94" t="s">
        <v>210</v>
      </c>
      <c r="Q993" s="94" t="s">
        <v>210</v>
      </c>
      <c r="R993" s="94">
        <v>1</v>
      </c>
      <c r="S993" s="94"/>
      <c r="T993" s="94"/>
      <c r="U993" s="94"/>
      <c r="V993" s="94"/>
      <c r="W993" s="94"/>
      <c r="X993" s="94"/>
      <c r="Y993" s="94"/>
      <c r="Z993" s="94"/>
      <c r="AA993" s="94"/>
      <c r="AB993" s="94"/>
      <c r="AC993" s="94"/>
      <c r="AD993" s="94"/>
      <c r="AE993" s="94"/>
      <c r="AF993" s="94"/>
      <c r="AG993" s="94"/>
      <c r="AH993" s="94"/>
      <c r="AI993" s="94"/>
      <c r="AJ993" s="94"/>
      <c r="AK993" s="94"/>
      <c r="AL993" s="94"/>
      <c r="AM993" s="94"/>
      <c r="AN993" s="94"/>
      <c r="AO993" s="94"/>
      <c r="AP993" s="94"/>
      <c r="AQ993" s="94"/>
      <c r="AR993" s="94"/>
      <c r="AS993" s="94"/>
      <c r="AT993" s="94"/>
      <c r="AU993" s="94"/>
      <c r="AV993" s="94"/>
      <c r="AW993" s="94"/>
      <c r="AX993" s="94"/>
      <c r="AY993" s="94"/>
      <c r="BA993" s="95"/>
    </row>
    <row r="994" spans="1:53" s="87" customFormat="1">
      <c r="A994" s="90" t="str">
        <f t="shared" si="63"/>
        <v/>
      </c>
      <c r="B994" s="98">
        <v>17</v>
      </c>
      <c r="C994" s="94">
        <v>-4</v>
      </c>
      <c r="D994" s="94" t="s">
        <v>210</v>
      </c>
      <c r="E994" s="94" t="s">
        <v>210</v>
      </c>
      <c r="F994" s="94">
        <v>-3</v>
      </c>
      <c r="G994" s="94">
        <v>-5</v>
      </c>
      <c r="H994" s="94" t="s">
        <v>210</v>
      </c>
      <c r="I994" s="94" t="s">
        <v>210</v>
      </c>
      <c r="J994" s="94">
        <v>3</v>
      </c>
      <c r="K994" s="94" t="s">
        <v>210</v>
      </c>
      <c r="L994" s="94">
        <v>4</v>
      </c>
      <c r="M994" s="94">
        <v>5</v>
      </c>
      <c r="N994" s="94" t="s">
        <v>210</v>
      </c>
      <c r="O994" s="94" t="s">
        <v>210</v>
      </c>
      <c r="P994" s="94">
        <v>2</v>
      </c>
      <c r="Q994" s="94">
        <v>-1</v>
      </c>
      <c r="R994" s="94" t="s">
        <v>210</v>
      </c>
      <c r="S994" s="94"/>
      <c r="T994" s="94"/>
      <c r="U994" s="94"/>
      <c r="V994" s="94"/>
      <c r="W994" s="94"/>
      <c r="X994" s="94"/>
      <c r="Y994" s="94"/>
      <c r="Z994" s="94"/>
      <c r="AA994" s="94"/>
      <c r="AB994" s="94"/>
      <c r="AC994" s="94"/>
      <c r="AD994" s="94"/>
      <c r="AE994" s="94"/>
      <c r="AF994" s="94"/>
      <c r="AG994" s="94"/>
      <c r="AH994" s="94"/>
      <c r="AI994" s="94"/>
      <c r="AJ994" s="94"/>
      <c r="AK994" s="94"/>
      <c r="AL994" s="94"/>
      <c r="AM994" s="94"/>
      <c r="AN994" s="94"/>
      <c r="AO994" s="94"/>
      <c r="AP994" s="94"/>
      <c r="AQ994" s="94"/>
      <c r="AR994" s="94"/>
      <c r="AS994" s="94"/>
      <c r="AT994" s="94"/>
      <c r="AU994" s="94"/>
      <c r="AV994" s="94"/>
      <c r="AW994" s="94"/>
      <c r="AX994" s="94"/>
      <c r="AY994" s="94"/>
      <c r="BA994" s="95"/>
    </row>
    <row r="995" spans="1:53" s="87" customFormat="1">
      <c r="A995" s="90" t="str">
        <f t="shared" si="63"/>
        <v/>
      </c>
      <c r="B995" s="98">
        <v>18</v>
      </c>
      <c r="C995" s="94" t="s">
        <v>210</v>
      </c>
      <c r="D995" s="94">
        <v>4</v>
      </c>
      <c r="E995" s="94">
        <v>3</v>
      </c>
      <c r="F995" s="94" t="s">
        <v>210</v>
      </c>
      <c r="G995" s="94">
        <v>-1</v>
      </c>
      <c r="H995" s="94" t="s">
        <v>210</v>
      </c>
      <c r="I995" s="94" t="s">
        <v>210</v>
      </c>
      <c r="J995" s="94">
        <v>-2</v>
      </c>
      <c r="K995" s="94">
        <v>1</v>
      </c>
      <c r="L995" s="94" t="s">
        <v>210</v>
      </c>
      <c r="M995" s="94" t="s">
        <v>210</v>
      </c>
      <c r="N995" s="94">
        <v>-3</v>
      </c>
      <c r="O995" s="94">
        <v>-5</v>
      </c>
      <c r="P995" s="94" t="s">
        <v>210</v>
      </c>
      <c r="Q995" s="94" t="s">
        <v>210</v>
      </c>
      <c r="R995" s="94">
        <v>2</v>
      </c>
      <c r="S995" s="94"/>
      <c r="T995" s="94"/>
      <c r="U995" s="94"/>
      <c r="V995" s="94"/>
      <c r="W995" s="94"/>
      <c r="X995" s="94"/>
      <c r="Y995" s="94"/>
      <c r="Z995" s="94"/>
      <c r="AA995" s="94"/>
      <c r="AB995" s="94"/>
      <c r="AC995" s="94"/>
      <c r="AD995" s="94"/>
      <c r="AE995" s="94"/>
      <c r="AF995" s="94"/>
      <c r="AG995" s="94"/>
      <c r="AH995" s="94"/>
      <c r="AI995" s="94"/>
      <c r="AJ995" s="94"/>
      <c r="AK995" s="94"/>
      <c r="AL995" s="94"/>
      <c r="AM995" s="94"/>
      <c r="AN995" s="94"/>
      <c r="AO995" s="94"/>
      <c r="AP995" s="94"/>
      <c r="AQ995" s="94"/>
      <c r="AR995" s="94"/>
      <c r="AS995" s="94"/>
      <c r="AT995" s="94"/>
      <c r="AU995" s="94"/>
      <c r="AV995" s="94"/>
      <c r="AW995" s="94"/>
      <c r="AX995" s="94"/>
      <c r="AY995" s="94"/>
      <c r="BA995" s="95"/>
    </row>
    <row r="996" spans="1:53" s="87" customFormat="1">
      <c r="A996" s="90" t="str">
        <f t="shared" si="63"/>
        <v/>
      </c>
      <c r="B996" s="317" t="s">
        <v>916</v>
      </c>
      <c r="C996" s="94"/>
      <c r="D996" s="94"/>
      <c r="E996" s="94"/>
      <c r="F996" s="94"/>
      <c r="G996" s="94"/>
      <c r="H996" s="94"/>
      <c r="I996" s="94"/>
      <c r="J996" s="94"/>
      <c r="K996" s="94"/>
      <c r="L996" s="94"/>
      <c r="M996" s="94"/>
      <c r="N996" s="94"/>
      <c r="O996" s="94"/>
      <c r="P996" s="94"/>
      <c r="Q996" s="94"/>
      <c r="R996" s="94"/>
      <c r="S996" s="94"/>
      <c r="T996" s="94"/>
      <c r="U996" s="94"/>
      <c r="V996" s="94"/>
      <c r="W996" s="94"/>
      <c r="X996" s="94"/>
      <c r="Y996" s="94"/>
      <c r="Z996" s="94"/>
      <c r="AA996" s="94"/>
      <c r="AB996" s="94"/>
      <c r="AC996" s="94"/>
      <c r="AD996" s="94"/>
      <c r="AE996" s="94"/>
      <c r="AF996" s="94"/>
      <c r="AG996" s="94"/>
      <c r="AH996" s="94"/>
      <c r="AI996" s="94"/>
      <c r="AJ996" s="94"/>
      <c r="AK996" s="94"/>
      <c r="AL996" s="94"/>
      <c r="AM996" s="94"/>
      <c r="AN996" s="94"/>
      <c r="AO996" s="94"/>
      <c r="AP996" s="94"/>
      <c r="AQ996" s="94"/>
      <c r="AR996" s="94"/>
      <c r="AS996" s="94"/>
      <c r="AT996" s="94"/>
      <c r="AU996" s="94"/>
      <c r="AV996" s="94"/>
      <c r="AW996" s="94"/>
      <c r="AX996" s="94"/>
      <c r="AY996" s="94"/>
      <c r="BA996" s="95"/>
    </row>
    <row r="997" spans="1:53" s="87" customFormat="1">
      <c r="A997" s="90">
        <f t="shared" si="63"/>
        <v>997</v>
      </c>
      <c r="B997" s="317" t="s">
        <v>1198</v>
      </c>
      <c r="C997" s="94"/>
      <c r="D997" s="94"/>
      <c r="E997" s="94"/>
      <c r="F997" s="94"/>
      <c r="G997" s="94"/>
      <c r="H997" s="94"/>
      <c r="I997" s="94"/>
      <c r="J997" s="94"/>
      <c r="K997" s="94"/>
      <c r="L997" s="94"/>
      <c r="M997" s="94"/>
      <c r="N997" s="94"/>
      <c r="O997" s="94"/>
      <c r="P997" s="94"/>
      <c r="Q997" s="94"/>
      <c r="R997" s="94"/>
      <c r="S997" s="94"/>
      <c r="T997" s="94"/>
      <c r="U997" s="94"/>
      <c r="V997" s="94"/>
      <c r="W997" s="94"/>
      <c r="X997" s="94"/>
      <c r="Y997" s="94"/>
      <c r="Z997" s="94"/>
      <c r="AA997" s="94"/>
      <c r="AB997" s="94"/>
      <c r="AC997" s="94"/>
      <c r="AD997" s="94"/>
      <c r="AE997" s="94"/>
      <c r="AF997" s="94"/>
      <c r="AG997" s="94"/>
      <c r="AH997" s="94"/>
      <c r="AI997" s="94"/>
      <c r="AJ997" s="94"/>
      <c r="AK997" s="94"/>
      <c r="AL997" s="94"/>
      <c r="AM997" s="94"/>
      <c r="AN997" s="94"/>
      <c r="AO997" s="94"/>
      <c r="AP997" s="94"/>
      <c r="AQ997" s="94"/>
      <c r="AR997" s="94"/>
      <c r="AS997" s="94"/>
      <c r="AT997" s="94"/>
      <c r="AU997" s="94"/>
      <c r="AV997" s="94"/>
      <c r="AW997" s="94"/>
      <c r="AX997" s="94"/>
      <c r="AY997" s="94"/>
      <c r="BA997" s="95"/>
    </row>
    <row r="998" spans="1:53" s="87" customFormat="1">
      <c r="A998" s="90" t="str">
        <f t="shared" si="63"/>
        <v/>
      </c>
      <c r="B998" s="98">
        <v>1</v>
      </c>
      <c r="C998" s="94">
        <v>-2</v>
      </c>
      <c r="D998" s="94">
        <v>1</v>
      </c>
      <c r="E998" s="94" t="s">
        <v>210</v>
      </c>
      <c r="F998" s="94" t="s">
        <v>210</v>
      </c>
      <c r="G998" s="94">
        <v>-4</v>
      </c>
      <c r="H998" s="94">
        <v>2</v>
      </c>
      <c r="I998" s="94" t="s">
        <v>210</v>
      </c>
      <c r="J998" s="94">
        <v>-3</v>
      </c>
      <c r="K998" s="94">
        <v>-1</v>
      </c>
      <c r="L998" s="94">
        <v>4</v>
      </c>
      <c r="M998" s="94" t="s">
        <v>210</v>
      </c>
      <c r="N998" s="94">
        <v>-2</v>
      </c>
      <c r="O998" s="94">
        <v>-4</v>
      </c>
      <c r="P998" s="94">
        <v>3</v>
      </c>
      <c r="Q998" s="94" t="s">
        <v>210</v>
      </c>
      <c r="R998" s="94" t="s">
        <v>210</v>
      </c>
      <c r="S998" s="94">
        <v>5</v>
      </c>
      <c r="T998" s="94">
        <v>4</v>
      </c>
      <c r="U998" s="94"/>
      <c r="V998" s="94"/>
      <c r="W998" s="94"/>
      <c r="X998" s="94"/>
      <c r="Y998" s="94"/>
      <c r="Z998" s="94"/>
      <c r="AA998" s="94"/>
      <c r="AB998" s="94"/>
      <c r="AC998" s="94"/>
      <c r="AD998" s="94"/>
      <c r="AE998" s="94"/>
      <c r="AF998" s="94"/>
      <c r="AG998" s="94"/>
      <c r="AH998" s="94"/>
      <c r="AI998" s="94"/>
      <c r="AJ998" s="94"/>
      <c r="AK998" s="94"/>
      <c r="AL998" s="94"/>
      <c r="AM998" s="94"/>
      <c r="AN998" s="94"/>
      <c r="AO998" s="94"/>
      <c r="AP998" s="94"/>
      <c r="AQ998" s="94"/>
      <c r="AR998" s="94"/>
      <c r="AS998" s="94"/>
      <c r="AT998" s="94"/>
      <c r="AU998" s="94"/>
      <c r="AV998" s="94"/>
      <c r="AW998" s="94"/>
      <c r="AX998" s="94"/>
      <c r="AY998" s="94"/>
      <c r="BA998" s="95"/>
    </row>
    <row r="999" spans="1:53" s="87" customFormat="1">
      <c r="A999" s="90" t="str">
        <f t="shared" si="63"/>
        <v/>
      </c>
      <c r="B999" s="98">
        <v>2</v>
      </c>
      <c r="C999" s="94">
        <v>-4</v>
      </c>
      <c r="D999" s="94">
        <v>-1</v>
      </c>
      <c r="E999" s="94" t="s">
        <v>210</v>
      </c>
      <c r="F999" s="94" t="s">
        <v>210</v>
      </c>
      <c r="G999" s="94">
        <v>5</v>
      </c>
      <c r="H999" s="94">
        <v>3</v>
      </c>
      <c r="I999" s="94" t="s">
        <v>210</v>
      </c>
      <c r="J999" s="94">
        <v>2</v>
      </c>
      <c r="K999" s="94">
        <v>-5</v>
      </c>
      <c r="L999" s="94">
        <v>-3</v>
      </c>
      <c r="M999" s="94" t="s">
        <v>210</v>
      </c>
      <c r="N999" s="94">
        <v>4</v>
      </c>
      <c r="O999" s="94">
        <v>3</v>
      </c>
      <c r="P999" s="94">
        <v>-2</v>
      </c>
      <c r="Q999" s="94" t="s">
        <v>210</v>
      </c>
      <c r="R999" s="94" t="s">
        <v>210</v>
      </c>
      <c r="S999" s="94">
        <v>-4</v>
      </c>
      <c r="T999" s="94">
        <v>1</v>
      </c>
      <c r="U999" s="94"/>
      <c r="V999" s="94"/>
      <c r="W999" s="94"/>
      <c r="X999" s="94"/>
      <c r="Y999" s="94"/>
      <c r="Z999" s="94"/>
      <c r="AA999" s="94"/>
      <c r="AB999" s="94"/>
      <c r="AC999" s="94"/>
      <c r="AD999" s="94"/>
      <c r="AE999" s="94"/>
      <c r="AF999" s="94"/>
      <c r="AG999" s="94"/>
      <c r="AH999" s="94"/>
      <c r="AI999" s="94"/>
      <c r="AJ999" s="94"/>
      <c r="AK999" s="94"/>
      <c r="AL999" s="94"/>
      <c r="AM999" s="94"/>
      <c r="AN999" s="94"/>
      <c r="AO999" s="94"/>
      <c r="AP999" s="94"/>
      <c r="AQ999" s="94"/>
      <c r="AR999" s="94"/>
      <c r="AS999" s="94"/>
      <c r="AT999" s="94"/>
      <c r="AU999" s="94"/>
      <c r="AV999" s="94"/>
      <c r="AW999" s="94"/>
      <c r="AX999" s="94"/>
      <c r="AY999" s="94"/>
      <c r="BA999" s="95"/>
    </row>
    <row r="1000" spans="1:53" s="87" customFormat="1">
      <c r="A1000" s="90" t="str">
        <f t="shared" si="63"/>
        <v/>
      </c>
      <c r="B1000" s="98">
        <v>3</v>
      </c>
      <c r="C1000" s="94">
        <v>3</v>
      </c>
      <c r="D1000" s="94">
        <v>-2</v>
      </c>
      <c r="E1000" s="94" t="s">
        <v>210</v>
      </c>
      <c r="F1000" s="94" t="s">
        <v>210</v>
      </c>
      <c r="G1000" s="94">
        <v>4</v>
      </c>
      <c r="H1000" s="94">
        <v>5</v>
      </c>
      <c r="I1000" s="94" t="s">
        <v>210</v>
      </c>
      <c r="J1000" s="94">
        <v>-1</v>
      </c>
      <c r="K1000" s="94">
        <v>-3</v>
      </c>
      <c r="L1000" s="94" t="s">
        <v>210</v>
      </c>
      <c r="M1000" s="94">
        <v>2</v>
      </c>
      <c r="N1000" s="94">
        <v>-4</v>
      </c>
      <c r="O1000" s="94">
        <v>-2</v>
      </c>
      <c r="P1000" s="94" t="s">
        <v>210</v>
      </c>
      <c r="Q1000" s="94">
        <v>-5</v>
      </c>
      <c r="R1000" s="94">
        <v>4</v>
      </c>
      <c r="S1000" s="94">
        <v>-3</v>
      </c>
      <c r="T1000" s="94" t="s">
        <v>210</v>
      </c>
      <c r="U1000" s="94"/>
      <c r="V1000" s="94"/>
      <c r="W1000" s="94"/>
      <c r="X1000" s="94"/>
      <c r="Y1000" s="94"/>
      <c r="Z1000" s="94"/>
      <c r="AA1000" s="94"/>
      <c r="AB1000" s="94"/>
      <c r="AC1000" s="94"/>
      <c r="AD1000" s="94"/>
      <c r="AE1000" s="94"/>
      <c r="AF1000" s="94"/>
      <c r="AG1000" s="94"/>
      <c r="AH1000" s="94"/>
      <c r="AI1000" s="94"/>
      <c r="AJ1000" s="94"/>
      <c r="AK1000" s="94"/>
      <c r="AL1000" s="94"/>
      <c r="AM1000" s="94"/>
      <c r="AN1000" s="94"/>
      <c r="AO1000" s="94"/>
      <c r="AP1000" s="94"/>
      <c r="AQ1000" s="94"/>
      <c r="AR1000" s="94"/>
      <c r="AS1000" s="94"/>
      <c r="AT1000" s="94"/>
      <c r="AU1000" s="94"/>
      <c r="AV1000" s="94"/>
      <c r="AW1000" s="94"/>
      <c r="AX1000" s="94"/>
      <c r="AY1000" s="94"/>
      <c r="BA1000" s="95"/>
    </row>
    <row r="1001" spans="1:53" s="87" customFormat="1">
      <c r="A1001" s="90" t="str">
        <f t="shared" si="63"/>
        <v/>
      </c>
      <c r="B1001" s="98">
        <v>4</v>
      </c>
      <c r="C1001" s="94">
        <v>-3</v>
      </c>
      <c r="D1001" s="94" t="s">
        <v>210</v>
      </c>
      <c r="E1001" s="94">
        <v>1</v>
      </c>
      <c r="F1001" s="94">
        <v>-2</v>
      </c>
      <c r="G1001" s="94">
        <v>-5</v>
      </c>
      <c r="H1001" s="94" t="s">
        <v>210</v>
      </c>
      <c r="I1001" s="94" t="s">
        <v>210</v>
      </c>
      <c r="J1001" s="94">
        <v>-4</v>
      </c>
      <c r="K1001" s="94">
        <v>2</v>
      </c>
      <c r="L1001" s="94" t="s">
        <v>210</v>
      </c>
      <c r="M1001" s="94">
        <v>5</v>
      </c>
      <c r="N1001" s="94">
        <v>-1</v>
      </c>
      <c r="O1001" s="94">
        <v>4</v>
      </c>
      <c r="P1001" s="94" t="s">
        <v>210</v>
      </c>
      <c r="Q1001" s="94">
        <v>3</v>
      </c>
      <c r="R1001" s="94" t="s">
        <v>210</v>
      </c>
      <c r="S1001" s="94">
        <v>-2</v>
      </c>
      <c r="T1001" s="94">
        <v>3</v>
      </c>
      <c r="U1001" s="94"/>
      <c r="V1001" s="94"/>
      <c r="W1001" s="94"/>
      <c r="X1001" s="94"/>
      <c r="Y1001" s="94"/>
      <c r="Z1001" s="94"/>
      <c r="AA1001" s="94"/>
      <c r="AB1001" s="94"/>
      <c r="AC1001" s="94"/>
      <c r="AD1001" s="94"/>
      <c r="AE1001" s="94"/>
      <c r="AF1001" s="94"/>
      <c r="AG1001" s="94"/>
      <c r="AH1001" s="94"/>
      <c r="AI1001" s="94"/>
      <c r="AJ1001" s="94"/>
      <c r="AK1001" s="94"/>
      <c r="AL1001" s="94"/>
      <c r="AM1001" s="94"/>
      <c r="AN1001" s="94"/>
      <c r="AO1001" s="94"/>
      <c r="AP1001" s="94"/>
      <c r="AQ1001" s="94"/>
      <c r="AR1001" s="94"/>
      <c r="AS1001" s="94"/>
      <c r="AT1001" s="94"/>
      <c r="AU1001" s="94"/>
      <c r="AV1001" s="94"/>
      <c r="AW1001" s="94"/>
      <c r="AX1001" s="94"/>
      <c r="AY1001" s="94"/>
      <c r="BA1001" s="95"/>
    </row>
    <row r="1002" spans="1:53" s="87" customFormat="1">
      <c r="A1002" s="90" t="str">
        <f t="shared" si="63"/>
        <v/>
      </c>
      <c r="B1002" s="98">
        <v>5</v>
      </c>
      <c r="C1002" s="94">
        <v>2</v>
      </c>
      <c r="D1002" s="94" t="s">
        <v>210</v>
      </c>
      <c r="E1002" s="94">
        <v>-1</v>
      </c>
      <c r="F1002" s="94">
        <v>-3</v>
      </c>
      <c r="G1002" s="94">
        <v>-2</v>
      </c>
      <c r="H1002" s="94" t="s">
        <v>210</v>
      </c>
      <c r="I1002" s="94" t="s">
        <v>210</v>
      </c>
      <c r="J1002" s="94">
        <v>5</v>
      </c>
      <c r="K1002" s="94">
        <v>4</v>
      </c>
      <c r="L1002" s="94" t="s">
        <v>210</v>
      </c>
      <c r="M1002" s="94">
        <v>1</v>
      </c>
      <c r="N1002" s="94">
        <v>-5</v>
      </c>
      <c r="O1002" s="94">
        <v>-3</v>
      </c>
      <c r="P1002" s="94" t="s">
        <v>210</v>
      </c>
      <c r="Q1002" s="94">
        <v>-4</v>
      </c>
      <c r="R1002" s="94" t="s">
        <v>210</v>
      </c>
      <c r="S1002" s="94">
        <v>3</v>
      </c>
      <c r="T1002" s="94">
        <v>-2</v>
      </c>
      <c r="U1002" s="94"/>
      <c r="V1002" s="94"/>
      <c r="W1002" s="94"/>
      <c r="X1002" s="94"/>
      <c r="Y1002" s="94"/>
      <c r="Z1002" s="94"/>
      <c r="AA1002" s="94"/>
      <c r="AB1002" s="94"/>
      <c r="AC1002" s="94"/>
      <c r="AD1002" s="94"/>
      <c r="AE1002" s="94"/>
      <c r="AF1002" s="94"/>
      <c r="AG1002" s="94"/>
      <c r="AH1002" s="94"/>
      <c r="AI1002" s="94"/>
      <c r="AJ1002" s="94"/>
      <c r="AK1002" s="94"/>
      <c r="AL1002" s="94"/>
      <c r="AM1002" s="94"/>
      <c r="AN1002" s="94"/>
      <c r="AO1002" s="94"/>
      <c r="AP1002" s="94"/>
      <c r="AQ1002" s="94"/>
      <c r="AR1002" s="94"/>
      <c r="AS1002" s="94"/>
      <c r="AT1002" s="94"/>
      <c r="AU1002" s="94"/>
      <c r="AV1002" s="94"/>
      <c r="AW1002" s="94"/>
      <c r="AX1002" s="94"/>
      <c r="AY1002" s="94"/>
      <c r="BA1002" s="95"/>
    </row>
    <row r="1003" spans="1:53" s="87" customFormat="1">
      <c r="A1003" s="90" t="str">
        <f t="shared" si="63"/>
        <v/>
      </c>
      <c r="B1003" s="98">
        <v>6</v>
      </c>
      <c r="C1003" s="94">
        <v>4</v>
      </c>
      <c r="D1003" s="94" t="s">
        <v>210</v>
      </c>
      <c r="E1003" s="94">
        <v>2</v>
      </c>
      <c r="F1003" s="94">
        <v>-4</v>
      </c>
      <c r="G1003" s="94">
        <v>-1</v>
      </c>
      <c r="H1003" s="94" t="s">
        <v>210</v>
      </c>
      <c r="I1003" s="94" t="s">
        <v>210</v>
      </c>
      <c r="J1003" s="94">
        <v>-5</v>
      </c>
      <c r="K1003" s="94">
        <v>3</v>
      </c>
      <c r="L1003" s="94" t="s">
        <v>210</v>
      </c>
      <c r="M1003" s="94">
        <v>4</v>
      </c>
      <c r="N1003" s="94">
        <v>2</v>
      </c>
      <c r="O1003" s="94" t="s">
        <v>210</v>
      </c>
      <c r="P1003" s="94">
        <v>-4</v>
      </c>
      <c r="Q1003" s="94">
        <v>1</v>
      </c>
      <c r="R1003" s="94">
        <v>-2</v>
      </c>
      <c r="S1003" s="94" t="s">
        <v>210</v>
      </c>
      <c r="T1003" s="94">
        <v>-3</v>
      </c>
      <c r="U1003" s="94"/>
      <c r="V1003" s="94"/>
      <c r="W1003" s="94"/>
      <c r="X1003" s="94"/>
      <c r="Y1003" s="94"/>
      <c r="Z1003" s="94"/>
      <c r="AA1003" s="94"/>
      <c r="AB1003" s="94"/>
      <c r="AC1003" s="94"/>
      <c r="AD1003" s="94"/>
      <c r="AE1003" s="94"/>
      <c r="AF1003" s="94"/>
      <c r="AG1003" s="94"/>
      <c r="AH1003" s="94"/>
      <c r="AI1003" s="94"/>
      <c r="AJ1003" s="94"/>
      <c r="AK1003" s="94"/>
      <c r="AL1003" s="94"/>
      <c r="AM1003" s="94"/>
      <c r="AN1003" s="94"/>
      <c r="AO1003" s="94"/>
      <c r="AP1003" s="94"/>
      <c r="AQ1003" s="94"/>
      <c r="AR1003" s="94"/>
      <c r="AS1003" s="94"/>
      <c r="AT1003" s="94"/>
      <c r="AU1003" s="94"/>
      <c r="AV1003" s="94"/>
      <c r="AW1003" s="94"/>
      <c r="AX1003" s="94"/>
      <c r="AY1003" s="94"/>
      <c r="BA1003" s="95"/>
    </row>
    <row r="1004" spans="1:53" s="87" customFormat="1">
      <c r="A1004" s="90" t="str">
        <f t="shared" si="63"/>
        <v/>
      </c>
      <c r="B1004" s="98">
        <v>7</v>
      </c>
      <c r="C1004" s="94" t="s">
        <v>210</v>
      </c>
      <c r="D1004" s="94">
        <v>-3</v>
      </c>
      <c r="E1004" s="94">
        <v>-4</v>
      </c>
      <c r="F1004" s="94">
        <v>3</v>
      </c>
      <c r="G1004" s="94" t="s">
        <v>210</v>
      </c>
      <c r="H1004" s="94">
        <v>-2</v>
      </c>
      <c r="I1004" s="94">
        <v>4</v>
      </c>
      <c r="J1004" s="94">
        <v>1</v>
      </c>
      <c r="K1004" s="94" t="s">
        <v>210</v>
      </c>
      <c r="L1004" s="94" t="s">
        <v>210</v>
      </c>
      <c r="M1004" s="94">
        <v>-5</v>
      </c>
      <c r="N1004" s="94">
        <v>-3</v>
      </c>
      <c r="O1004" s="94" t="s">
        <v>210</v>
      </c>
      <c r="P1004" s="94">
        <v>2</v>
      </c>
      <c r="Q1004" s="94">
        <v>-1</v>
      </c>
      <c r="R1004" s="94">
        <v>3</v>
      </c>
      <c r="S1004" s="94" t="s">
        <v>210</v>
      </c>
      <c r="T1004" s="94">
        <v>5</v>
      </c>
      <c r="U1004" s="94"/>
      <c r="V1004" s="94"/>
      <c r="W1004" s="94"/>
      <c r="X1004" s="94"/>
      <c r="Y1004" s="94"/>
      <c r="Z1004" s="94"/>
      <c r="AA1004" s="94"/>
      <c r="AB1004" s="94"/>
      <c r="AC1004" s="94"/>
      <c r="AD1004" s="94"/>
      <c r="AE1004" s="94"/>
      <c r="AF1004" s="94"/>
      <c r="AG1004" s="94"/>
      <c r="AH1004" s="94"/>
      <c r="AI1004" s="94"/>
      <c r="AJ1004" s="94"/>
      <c r="AK1004" s="94"/>
      <c r="AL1004" s="94"/>
      <c r="AM1004" s="94"/>
      <c r="AN1004" s="94"/>
      <c r="AO1004" s="94"/>
      <c r="AP1004" s="94"/>
      <c r="AQ1004" s="94"/>
      <c r="AR1004" s="94"/>
      <c r="AS1004" s="94"/>
      <c r="AT1004" s="94"/>
      <c r="AU1004" s="94"/>
      <c r="AV1004" s="94"/>
      <c r="AW1004" s="94"/>
      <c r="AX1004" s="94"/>
      <c r="AY1004" s="94"/>
      <c r="BA1004" s="95"/>
    </row>
    <row r="1005" spans="1:53" s="87" customFormat="1">
      <c r="A1005" s="90" t="str">
        <f t="shared" si="63"/>
        <v/>
      </c>
      <c r="B1005" s="98">
        <v>8</v>
      </c>
      <c r="C1005" s="94" t="s">
        <v>210</v>
      </c>
      <c r="D1005" s="94">
        <v>4</v>
      </c>
      <c r="E1005" s="94">
        <v>-3</v>
      </c>
      <c r="F1005" s="94">
        <v>2</v>
      </c>
      <c r="G1005" s="94" t="s">
        <v>210</v>
      </c>
      <c r="H1005" s="94">
        <v>1</v>
      </c>
      <c r="I1005" s="94">
        <v>3</v>
      </c>
      <c r="J1005" s="94">
        <v>-2</v>
      </c>
      <c r="K1005" s="94" t="s">
        <v>210</v>
      </c>
      <c r="L1005" s="94" t="s">
        <v>210</v>
      </c>
      <c r="M1005" s="94">
        <v>-4</v>
      </c>
      <c r="N1005" s="94">
        <v>5</v>
      </c>
      <c r="O1005" s="94" t="s">
        <v>210</v>
      </c>
      <c r="P1005" s="94">
        <v>-3</v>
      </c>
      <c r="Q1005" s="94">
        <v>2</v>
      </c>
      <c r="R1005" s="94">
        <v>-4</v>
      </c>
      <c r="S1005" s="94" t="s">
        <v>210</v>
      </c>
      <c r="T1005" s="94">
        <v>-5</v>
      </c>
      <c r="U1005" s="94"/>
      <c r="V1005" s="94"/>
      <c r="W1005" s="94"/>
      <c r="X1005" s="94"/>
      <c r="Y1005" s="94"/>
      <c r="Z1005" s="94"/>
      <c r="AA1005" s="94"/>
      <c r="AB1005" s="94"/>
      <c r="AC1005" s="94"/>
      <c r="AD1005" s="94"/>
      <c r="AE1005" s="94"/>
      <c r="AF1005" s="94"/>
      <c r="AG1005" s="94"/>
      <c r="AH1005" s="94"/>
      <c r="AI1005" s="94"/>
      <c r="AJ1005" s="94"/>
      <c r="AK1005" s="94"/>
      <c r="AL1005" s="94"/>
      <c r="AM1005" s="94"/>
      <c r="AN1005" s="94"/>
      <c r="AO1005" s="94"/>
      <c r="AP1005" s="94"/>
      <c r="AQ1005" s="94"/>
      <c r="AR1005" s="94"/>
      <c r="AS1005" s="94"/>
      <c r="AT1005" s="94"/>
      <c r="AU1005" s="94"/>
      <c r="AV1005" s="94"/>
      <c r="AW1005" s="94"/>
      <c r="AX1005" s="94"/>
      <c r="AY1005" s="94"/>
      <c r="BA1005" s="95"/>
    </row>
    <row r="1006" spans="1:53" s="87" customFormat="1">
      <c r="A1006" s="90" t="str">
        <f t="shared" si="63"/>
        <v/>
      </c>
      <c r="B1006" s="98">
        <v>9</v>
      </c>
      <c r="C1006" s="94" t="s">
        <v>210</v>
      </c>
      <c r="D1006" s="94">
        <v>2</v>
      </c>
      <c r="E1006" s="94">
        <v>5</v>
      </c>
      <c r="F1006" s="94">
        <v>4</v>
      </c>
      <c r="G1006" s="94" t="s">
        <v>210</v>
      </c>
      <c r="H1006" s="94">
        <v>-3</v>
      </c>
      <c r="I1006" s="94">
        <v>-2</v>
      </c>
      <c r="J1006" s="94">
        <v>4</v>
      </c>
      <c r="K1006" s="94" t="s">
        <v>210</v>
      </c>
      <c r="L1006" s="94" t="s">
        <v>210</v>
      </c>
      <c r="M1006" s="94">
        <v>-1</v>
      </c>
      <c r="N1006" s="94">
        <v>3</v>
      </c>
      <c r="O1006" s="94" t="s">
        <v>210</v>
      </c>
      <c r="P1006" s="94">
        <v>-5</v>
      </c>
      <c r="Q1006" s="94">
        <v>-2</v>
      </c>
      <c r="R1006" s="94" t="s">
        <v>210</v>
      </c>
      <c r="S1006" s="94">
        <v>1</v>
      </c>
      <c r="T1006" s="94">
        <v>-4</v>
      </c>
      <c r="U1006" s="94"/>
      <c r="V1006" s="94"/>
      <c r="W1006" s="94"/>
      <c r="X1006" s="94"/>
      <c r="Y1006" s="94"/>
      <c r="Z1006" s="94"/>
      <c r="AA1006" s="94"/>
      <c r="AB1006" s="94"/>
      <c r="AC1006" s="94"/>
      <c r="AD1006" s="94"/>
      <c r="AE1006" s="94"/>
      <c r="AF1006" s="94"/>
      <c r="AG1006" s="94"/>
      <c r="AH1006" s="94"/>
      <c r="AI1006" s="94"/>
      <c r="AJ1006" s="94"/>
      <c r="AK1006" s="94"/>
      <c r="AL1006" s="94"/>
      <c r="AM1006" s="94"/>
      <c r="AN1006" s="94"/>
      <c r="AO1006" s="94"/>
      <c r="AP1006" s="94"/>
      <c r="AQ1006" s="94"/>
      <c r="AR1006" s="94"/>
      <c r="AS1006" s="94"/>
      <c r="AT1006" s="94"/>
      <c r="AU1006" s="94"/>
      <c r="AV1006" s="94"/>
      <c r="AW1006" s="94"/>
      <c r="AX1006" s="94"/>
      <c r="AY1006" s="94"/>
      <c r="BA1006" s="95"/>
    </row>
    <row r="1007" spans="1:53" s="87" customFormat="1">
      <c r="A1007" s="90" t="str">
        <f t="shared" si="63"/>
        <v/>
      </c>
      <c r="B1007" s="98">
        <v>10</v>
      </c>
      <c r="C1007" s="94" t="s">
        <v>210</v>
      </c>
      <c r="D1007" s="94">
        <v>-4</v>
      </c>
      <c r="E1007" s="94">
        <v>-2</v>
      </c>
      <c r="F1007" s="94" t="s">
        <v>210</v>
      </c>
      <c r="G1007" s="94">
        <v>3</v>
      </c>
      <c r="H1007" s="94">
        <v>-5</v>
      </c>
      <c r="I1007" s="94">
        <v>-4</v>
      </c>
      <c r="J1007" s="94" t="s">
        <v>210</v>
      </c>
      <c r="K1007" s="94">
        <v>1</v>
      </c>
      <c r="L1007" s="94">
        <v>2</v>
      </c>
      <c r="M1007" s="94">
        <v>-3</v>
      </c>
      <c r="N1007" s="94" t="s">
        <v>210</v>
      </c>
      <c r="O1007" s="94" t="s">
        <v>210</v>
      </c>
      <c r="P1007" s="94">
        <v>5</v>
      </c>
      <c r="Q1007" s="94">
        <v>4</v>
      </c>
      <c r="R1007" s="94" t="s">
        <v>210</v>
      </c>
      <c r="S1007" s="94">
        <v>2</v>
      </c>
      <c r="T1007" s="94">
        <v>-1</v>
      </c>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BA1007" s="95"/>
    </row>
    <row r="1008" spans="1:53" s="87" customFormat="1">
      <c r="A1008" s="90" t="str">
        <f t="shared" si="63"/>
        <v/>
      </c>
      <c r="B1008" s="98">
        <v>11</v>
      </c>
      <c r="C1008" s="94" t="s">
        <v>210</v>
      </c>
      <c r="D1008" s="94">
        <v>3</v>
      </c>
      <c r="E1008" s="94">
        <v>-5</v>
      </c>
      <c r="F1008" s="94" t="s">
        <v>210</v>
      </c>
      <c r="G1008" s="94">
        <v>1</v>
      </c>
      <c r="H1008" s="94">
        <v>4</v>
      </c>
      <c r="I1008" s="94">
        <v>-3</v>
      </c>
      <c r="J1008" s="94" t="s">
        <v>210</v>
      </c>
      <c r="K1008" s="94">
        <v>-2</v>
      </c>
      <c r="L1008" s="94">
        <v>-4</v>
      </c>
      <c r="M1008" s="94">
        <v>3</v>
      </c>
      <c r="N1008" s="94" t="s">
        <v>210</v>
      </c>
      <c r="O1008" s="94" t="s">
        <v>210</v>
      </c>
      <c r="P1008" s="94">
        <v>-1</v>
      </c>
      <c r="Q1008" s="94">
        <v>5</v>
      </c>
      <c r="R1008" s="94" t="s">
        <v>210</v>
      </c>
      <c r="S1008" s="94">
        <v>4</v>
      </c>
      <c r="T1008" s="94">
        <v>2</v>
      </c>
      <c r="U1008" s="94"/>
      <c r="V1008" s="94"/>
      <c r="W1008" s="94"/>
      <c r="X1008" s="94"/>
      <c r="Y1008" s="94"/>
      <c r="Z1008" s="94"/>
      <c r="AA1008" s="94"/>
      <c r="AB1008" s="94"/>
      <c r="AC1008" s="94"/>
      <c r="AD1008" s="94"/>
      <c r="AE1008" s="94"/>
      <c r="AF1008" s="94"/>
      <c r="AG1008" s="94"/>
      <c r="AH1008" s="94"/>
      <c r="AI1008" s="94"/>
      <c r="AJ1008" s="94"/>
      <c r="AK1008" s="94"/>
      <c r="AL1008" s="94"/>
      <c r="AM1008" s="94"/>
      <c r="AN1008" s="94"/>
      <c r="AO1008" s="94"/>
      <c r="AP1008" s="94"/>
      <c r="AQ1008" s="94"/>
      <c r="AR1008" s="94"/>
      <c r="AS1008" s="94"/>
      <c r="AT1008" s="94"/>
      <c r="AU1008" s="94"/>
      <c r="AV1008" s="94"/>
      <c r="AW1008" s="94"/>
      <c r="AX1008" s="94"/>
      <c r="AY1008" s="94"/>
      <c r="BA1008" s="95"/>
    </row>
    <row r="1009" spans="1:53" s="87" customFormat="1">
      <c r="A1009" s="90" t="str">
        <f t="shared" si="63"/>
        <v/>
      </c>
      <c r="B1009" s="98">
        <v>12</v>
      </c>
      <c r="C1009" s="94" t="s">
        <v>210</v>
      </c>
      <c r="D1009" s="94">
        <v>5</v>
      </c>
      <c r="E1009" s="94">
        <v>4</v>
      </c>
      <c r="F1009" s="94" t="s">
        <v>210</v>
      </c>
      <c r="G1009" s="94">
        <v>-3</v>
      </c>
      <c r="H1009" s="94">
        <v>-1</v>
      </c>
      <c r="I1009" s="94">
        <v>2</v>
      </c>
      <c r="J1009" s="94" t="s">
        <v>210</v>
      </c>
      <c r="K1009" s="94">
        <v>-4</v>
      </c>
      <c r="L1009" s="94">
        <v>3</v>
      </c>
      <c r="M1009" s="94">
        <v>-2</v>
      </c>
      <c r="N1009" s="94" t="s">
        <v>210</v>
      </c>
      <c r="O1009" s="94" t="s">
        <v>210</v>
      </c>
      <c r="P1009" s="94">
        <v>1</v>
      </c>
      <c r="Q1009" s="94">
        <v>-3</v>
      </c>
      <c r="R1009" s="94">
        <v>2</v>
      </c>
      <c r="S1009" s="94">
        <v>-5</v>
      </c>
      <c r="T1009" s="94" t="s">
        <v>210</v>
      </c>
      <c r="U1009" s="94"/>
      <c r="V1009" s="94"/>
      <c r="W1009" s="94"/>
      <c r="X1009" s="94"/>
      <c r="Y1009" s="94"/>
      <c r="Z1009" s="94"/>
      <c r="AA1009" s="94"/>
      <c r="AB1009" s="94"/>
      <c r="AC1009" s="94"/>
      <c r="AD1009" s="94"/>
      <c r="AE1009" s="94"/>
      <c r="AF1009" s="94"/>
      <c r="AG1009" s="94"/>
      <c r="AH1009" s="94"/>
      <c r="AI1009" s="94"/>
      <c r="AJ1009" s="94"/>
      <c r="AK1009" s="94"/>
      <c r="AL1009" s="94"/>
      <c r="AM1009" s="94"/>
      <c r="AN1009" s="94"/>
      <c r="AO1009" s="94"/>
      <c r="AP1009" s="94"/>
      <c r="AQ1009" s="94"/>
      <c r="AR1009" s="94"/>
      <c r="AS1009" s="94"/>
      <c r="AT1009" s="94"/>
      <c r="AU1009" s="94"/>
      <c r="AV1009" s="94"/>
      <c r="AW1009" s="94"/>
      <c r="AX1009" s="94"/>
      <c r="AY1009" s="94"/>
      <c r="BA1009" s="95"/>
    </row>
    <row r="1010" spans="1:53" s="87" customFormat="1">
      <c r="A1010" s="90" t="str">
        <f t="shared" si="63"/>
        <v/>
      </c>
      <c r="B1010" s="98">
        <v>13</v>
      </c>
      <c r="C1010" s="94" t="s">
        <v>210</v>
      </c>
      <c r="D1010" s="94">
        <v>-5</v>
      </c>
      <c r="E1010" s="94">
        <v>3</v>
      </c>
      <c r="F1010" s="94" t="s">
        <v>210</v>
      </c>
      <c r="G1010" s="94">
        <v>2</v>
      </c>
      <c r="H1010" s="94">
        <v>-4</v>
      </c>
      <c r="I1010" s="94" t="s">
        <v>210</v>
      </c>
      <c r="J1010" s="94">
        <v>3</v>
      </c>
      <c r="K1010" s="94">
        <v>5</v>
      </c>
      <c r="L1010" s="94">
        <v>-2</v>
      </c>
      <c r="M1010" s="94" t="s">
        <v>210</v>
      </c>
      <c r="N1010" s="94">
        <v>1</v>
      </c>
      <c r="O1010" s="94">
        <v>2</v>
      </c>
      <c r="P1010" s="94">
        <v>4</v>
      </c>
      <c r="Q1010" s="94" t="s">
        <v>210</v>
      </c>
      <c r="R1010" s="94">
        <v>-3</v>
      </c>
      <c r="S1010" s="94">
        <v>-1</v>
      </c>
      <c r="T1010" s="94" t="s">
        <v>210</v>
      </c>
      <c r="U1010" s="94"/>
      <c r="V1010" s="94"/>
      <c r="W1010" s="94"/>
      <c r="X1010" s="94"/>
      <c r="Y1010" s="94"/>
      <c r="Z1010" s="94"/>
      <c r="AA1010" s="94"/>
      <c r="AB1010" s="94"/>
      <c r="AC1010" s="94"/>
      <c r="AD1010" s="94"/>
      <c r="AE1010" s="94"/>
      <c r="AF1010" s="94"/>
      <c r="AG1010" s="94"/>
      <c r="AH1010" s="94"/>
      <c r="AI1010" s="94"/>
      <c r="AJ1010" s="94"/>
      <c r="AK1010" s="94"/>
      <c r="AL1010" s="94"/>
      <c r="AM1010" s="94"/>
      <c r="AN1010" s="94"/>
      <c r="AO1010" s="94"/>
      <c r="AP1010" s="94"/>
      <c r="AQ1010" s="94"/>
      <c r="AR1010" s="94"/>
      <c r="AS1010" s="94"/>
      <c r="AT1010" s="94"/>
      <c r="AU1010" s="94"/>
      <c r="AV1010" s="94"/>
      <c r="AW1010" s="94"/>
      <c r="AX1010" s="94"/>
      <c r="AY1010" s="94"/>
      <c r="BA1010" s="95"/>
    </row>
    <row r="1011" spans="1:53" s="87" customFormat="1">
      <c r="A1011" s="90" t="str">
        <f t="shared" si="63"/>
        <v/>
      </c>
      <c r="B1011" s="317" t="s">
        <v>920</v>
      </c>
      <c r="C1011" s="94"/>
      <c r="D1011" s="94"/>
      <c r="E1011" s="94"/>
      <c r="F1011" s="94"/>
      <c r="G1011" s="94"/>
      <c r="H1011" s="94"/>
      <c r="I1011" s="94"/>
      <c r="J1011" s="94"/>
      <c r="K1011" s="94"/>
      <c r="L1011" s="94"/>
      <c r="M1011" s="94"/>
      <c r="N1011" s="94"/>
      <c r="O1011" s="94"/>
      <c r="P1011" s="94"/>
      <c r="Q1011" s="94"/>
      <c r="R1011" s="94"/>
      <c r="S1011" s="94"/>
      <c r="T1011" s="94"/>
      <c r="U1011" s="94"/>
      <c r="V1011" s="94"/>
      <c r="W1011" s="94"/>
      <c r="X1011" s="94"/>
      <c r="Y1011" s="94"/>
      <c r="Z1011" s="94"/>
      <c r="AA1011" s="94"/>
      <c r="AB1011" s="94"/>
      <c r="AC1011" s="94"/>
      <c r="AD1011" s="94"/>
      <c r="AE1011" s="94"/>
      <c r="AF1011" s="94"/>
      <c r="AG1011" s="94"/>
      <c r="AH1011" s="94"/>
      <c r="AI1011" s="94"/>
      <c r="AJ1011" s="94"/>
      <c r="AK1011" s="94"/>
      <c r="AL1011" s="94"/>
      <c r="AM1011" s="94"/>
      <c r="AN1011" s="94"/>
      <c r="AO1011" s="94"/>
      <c r="AP1011" s="94"/>
      <c r="AQ1011" s="94"/>
      <c r="AR1011" s="94"/>
      <c r="AS1011" s="94"/>
      <c r="AT1011" s="94"/>
      <c r="AU1011" s="94"/>
      <c r="AV1011" s="94"/>
      <c r="AW1011" s="94"/>
      <c r="AX1011" s="94"/>
      <c r="AY1011" s="94"/>
      <c r="BA1011" s="95"/>
    </row>
    <row r="1012" spans="1:53" s="87" customFormat="1">
      <c r="A1012" s="90">
        <f t="shared" si="63"/>
        <v>1012</v>
      </c>
      <c r="B1012" s="317" t="s">
        <v>1208</v>
      </c>
      <c r="C1012" s="94"/>
      <c r="D1012" s="94"/>
      <c r="E1012" s="94"/>
      <c r="F1012" s="94"/>
      <c r="G1012" s="94"/>
      <c r="H1012" s="94"/>
      <c r="I1012" s="94"/>
      <c r="J1012" s="94"/>
      <c r="K1012" s="94"/>
      <c r="L1012" s="94"/>
      <c r="M1012" s="94"/>
      <c r="N1012" s="94"/>
      <c r="O1012" s="94"/>
      <c r="P1012" s="94"/>
      <c r="Q1012" s="94"/>
      <c r="R1012" s="94"/>
      <c r="S1012" s="94"/>
      <c r="T1012" s="94"/>
      <c r="U1012" s="94"/>
      <c r="V1012" s="94"/>
      <c r="W1012" s="94"/>
      <c r="X1012" s="94"/>
      <c r="Y1012" s="94"/>
      <c r="Z1012" s="94"/>
      <c r="AA1012" s="94"/>
      <c r="AB1012" s="94"/>
      <c r="AC1012" s="94"/>
      <c r="AD1012" s="94"/>
      <c r="AE1012" s="94"/>
      <c r="AF1012" s="94"/>
      <c r="AG1012" s="94"/>
      <c r="AH1012" s="94"/>
      <c r="AI1012" s="94"/>
      <c r="AJ1012" s="94"/>
      <c r="AK1012" s="94"/>
      <c r="AL1012" s="94"/>
      <c r="AM1012" s="94"/>
      <c r="AN1012" s="94"/>
      <c r="AO1012" s="94"/>
      <c r="AP1012" s="94"/>
      <c r="AQ1012" s="94"/>
      <c r="AR1012" s="94"/>
      <c r="AS1012" s="94"/>
      <c r="AT1012" s="94"/>
      <c r="AU1012" s="94"/>
      <c r="AV1012" s="94"/>
      <c r="AW1012" s="94"/>
      <c r="AX1012" s="94"/>
      <c r="AY1012" s="94"/>
      <c r="BA1012" s="95"/>
    </row>
    <row r="1013" spans="1:53" s="87" customFormat="1">
      <c r="A1013" s="90" t="str">
        <f t="shared" si="63"/>
        <v/>
      </c>
      <c r="B1013" s="98">
        <v>1</v>
      </c>
      <c r="C1013" s="94" t="s">
        <v>210</v>
      </c>
      <c r="D1013" s="94">
        <v>4</v>
      </c>
      <c r="E1013" s="94" t="s">
        <v>210</v>
      </c>
      <c r="F1013" s="94" t="s">
        <v>210</v>
      </c>
      <c r="G1013" s="94">
        <v>-5</v>
      </c>
      <c r="H1013" s="94" t="s">
        <v>210</v>
      </c>
      <c r="I1013" s="94" t="s">
        <v>210</v>
      </c>
      <c r="J1013" s="94">
        <v>-2</v>
      </c>
      <c r="K1013" s="94" t="s">
        <v>210</v>
      </c>
      <c r="L1013" s="94">
        <v>1</v>
      </c>
      <c r="M1013" s="94" t="s">
        <v>210</v>
      </c>
      <c r="N1013" s="94">
        <v>3</v>
      </c>
      <c r="O1013" s="94"/>
      <c r="P1013" s="94"/>
      <c r="Q1013" s="94"/>
      <c r="R1013" s="94"/>
      <c r="S1013" s="94"/>
      <c r="T1013" s="94"/>
      <c r="U1013" s="94"/>
      <c r="V1013" s="94"/>
      <c r="W1013" s="94"/>
      <c r="X1013" s="94"/>
      <c r="Y1013" s="94"/>
      <c r="Z1013" s="94"/>
      <c r="AA1013" s="94"/>
      <c r="AB1013" s="94"/>
      <c r="AC1013" s="94"/>
      <c r="AD1013" s="94"/>
      <c r="AE1013" s="94"/>
      <c r="AF1013" s="94"/>
      <c r="AG1013" s="94"/>
      <c r="AH1013" s="94"/>
      <c r="AI1013" s="94"/>
      <c r="AJ1013" s="94"/>
      <c r="AK1013" s="94"/>
      <c r="AL1013" s="94"/>
      <c r="AM1013" s="94"/>
      <c r="AN1013" s="94"/>
      <c r="AO1013" s="94"/>
      <c r="AP1013" s="94"/>
      <c r="AQ1013" s="94"/>
      <c r="AR1013" s="94"/>
      <c r="AS1013" s="94"/>
      <c r="AT1013" s="94"/>
      <c r="AU1013" s="94"/>
      <c r="AV1013" s="94"/>
      <c r="AW1013" s="94"/>
      <c r="AX1013" s="94"/>
      <c r="AY1013" s="94"/>
      <c r="BA1013" s="95"/>
    </row>
    <row r="1014" spans="1:53" s="87" customFormat="1">
      <c r="A1014" s="90" t="str">
        <f t="shared" si="63"/>
        <v/>
      </c>
      <c r="B1014" s="98">
        <v>2</v>
      </c>
      <c r="C1014" s="94" t="s">
        <v>210</v>
      </c>
      <c r="D1014" s="94" t="s">
        <v>210</v>
      </c>
      <c r="E1014" s="94">
        <v>3</v>
      </c>
      <c r="F1014" s="94" t="s">
        <v>210</v>
      </c>
      <c r="G1014" s="94">
        <v>4</v>
      </c>
      <c r="H1014" s="94" t="s">
        <v>210</v>
      </c>
      <c r="I1014" s="94">
        <v>-5</v>
      </c>
      <c r="J1014" s="94" t="s">
        <v>210</v>
      </c>
      <c r="K1014" s="94" t="s">
        <v>210</v>
      </c>
      <c r="L1014" s="94">
        <v>2</v>
      </c>
      <c r="M1014" s="94" t="s">
        <v>210</v>
      </c>
      <c r="N1014" s="94">
        <v>-3</v>
      </c>
      <c r="O1014" s="94"/>
      <c r="P1014" s="94"/>
      <c r="Q1014" s="94"/>
      <c r="R1014" s="94"/>
      <c r="S1014" s="94"/>
      <c r="T1014" s="94"/>
      <c r="U1014" s="94"/>
      <c r="V1014" s="94"/>
      <c r="W1014" s="94"/>
      <c r="X1014" s="94"/>
      <c r="Y1014" s="94"/>
      <c r="Z1014" s="94"/>
      <c r="AA1014" s="94"/>
      <c r="AB1014" s="94"/>
      <c r="AC1014" s="94"/>
      <c r="AD1014" s="94"/>
      <c r="AE1014" s="94"/>
      <c r="AF1014" s="94"/>
      <c r="AG1014" s="94"/>
      <c r="AH1014" s="94"/>
      <c r="AI1014" s="94"/>
      <c r="AJ1014" s="94"/>
      <c r="AK1014" s="94"/>
      <c r="AL1014" s="94"/>
      <c r="AM1014" s="94"/>
      <c r="AN1014" s="94"/>
      <c r="AO1014" s="94"/>
      <c r="AP1014" s="94"/>
      <c r="AQ1014" s="94"/>
      <c r="AR1014" s="94"/>
      <c r="AS1014" s="94"/>
      <c r="AT1014" s="94"/>
      <c r="AU1014" s="94"/>
      <c r="AV1014" s="94"/>
      <c r="AW1014" s="94"/>
      <c r="AX1014" s="94"/>
      <c r="AY1014" s="94"/>
      <c r="BA1014" s="95"/>
    </row>
    <row r="1015" spans="1:53" s="87" customFormat="1">
      <c r="A1015" s="90" t="str">
        <f t="shared" si="63"/>
        <v/>
      </c>
      <c r="B1015" s="98">
        <v>3</v>
      </c>
      <c r="C1015" s="94" t="s">
        <v>210</v>
      </c>
      <c r="D1015" s="94" t="s">
        <v>210</v>
      </c>
      <c r="E1015" s="94">
        <v>1</v>
      </c>
      <c r="F1015" s="94" t="s">
        <v>210</v>
      </c>
      <c r="G1015" s="94">
        <v>-4</v>
      </c>
      <c r="H1015" s="94" t="s">
        <v>210</v>
      </c>
      <c r="I1015" s="94" t="s">
        <v>210</v>
      </c>
      <c r="J1015" s="94">
        <v>2</v>
      </c>
      <c r="K1015" s="94" t="s">
        <v>210</v>
      </c>
      <c r="L1015" s="94">
        <v>-3</v>
      </c>
      <c r="M1015" s="94" t="s">
        <v>210</v>
      </c>
      <c r="N1015" s="94">
        <v>5</v>
      </c>
      <c r="O1015" s="94"/>
      <c r="P1015" s="94"/>
      <c r="Q1015" s="94"/>
      <c r="R1015" s="94"/>
      <c r="S1015" s="94"/>
      <c r="T1015" s="94"/>
      <c r="U1015" s="94"/>
      <c r="V1015" s="94"/>
      <c r="W1015" s="94"/>
      <c r="X1015" s="94"/>
      <c r="Y1015" s="94"/>
      <c r="Z1015" s="94"/>
      <c r="AA1015" s="94"/>
      <c r="AB1015" s="94"/>
      <c r="AC1015" s="94"/>
      <c r="AD1015" s="94"/>
      <c r="AE1015" s="94"/>
      <c r="AF1015" s="94"/>
      <c r="AG1015" s="94"/>
      <c r="AH1015" s="94"/>
      <c r="AI1015" s="94"/>
      <c r="AJ1015" s="94"/>
      <c r="AK1015" s="94"/>
      <c r="AL1015" s="94"/>
      <c r="AM1015" s="94"/>
      <c r="AN1015" s="94"/>
      <c r="AO1015" s="94"/>
      <c r="AP1015" s="94"/>
      <c r="AQ1015" s="94"/>
      <c r="AR1015" s="94"/>
      <c r="AS1015" s="94"/>
      <c r="AT1015" s="94"/>
      <c r="AU1015" s="94"/>
      <c r="AV1015" s="94"/>
      <c r="AW1015" s="94"/>
      <c r="AX1015" s="94"/>
      <c r="AY1015" s="94"/>
      <c r="BA1015" s="95"/>
    </row>
    <row r="1016" spans="1:53" s="87" customFormat="1">
      <c r="A1016" s="90" t="str">
        <f t="shared" si="63"/>
        <v/>
      </c>
      <c r="B1016" s="98">
        <v>4</v>
      </c>
      <c r="C1016" s="94" t="s">
        <v>210</v>
      </c>
      <c r="D1016" s="94" t="s">
        <v>210</v>
      </c>
      <c r="E1016" s="94">
        <v>-3</v>
      </c>
      <c r="F1016" s="94" t="s">
        <v>210</v>
      </c>
      <c r="G1016" s="94">
        <v>2</v>
      </c>
      <c r="H1016" s="94" t="s">
        <v>210</v>
      </c>
      <c r="I1016" s="94">
        <v>4</v>
      </c>
      <c r="J1016" s="94" t="s">
        <v>210</v>
      </c>
      <c r="K1016" s="94" t="s">
        <v>210</v>
      </c>
      <c r="L1016" s="94">
        <v>-1</v>
      </c>
      <c r="M1016" s="94" t="s">
        <v>210</v>
      </c>
      <c r="N1016" s="94">
        <v>-5</v>
      </c>
      <c r="O1016" s="94"/>
      <c r="P1016" s="94"/>
      <c r="Q1016" s="94"/>
      <c r="R1016" s="94"/>
      <c r="S1016" s="94"/>
      <c r="T1016" s="94"/>
      <c r="U1016" s="94"/>
      <c r="V1016" s="94"/>
      <c r="W1016" s="94"/>
      <c r="X1016" s="94"/>
      <c r="Y1016" s="94"/>
      <c r="Z1016" s="94"/>
      <c r="AA1016" s="94"/>
      <c r="AB1016" s="94"/>
      <c r="AC1016" s="94"/>
      <c r="AD1016" s="94"/>
      <c r="AE1016" s="94"/>
      <c r="AF1016" s="94"/>
      <c r="AG1016" s="94"/>
      <c r="AH1016" s="94"/>
      <c r="AI1016" s="94"/>
      <c r="AJ1016" s="94"/>
      <c r="AK1016" s="94"/>
      <c r="AL1016" s="94"/>
      <c r="AM1016" s="94"/>
      <c r="AN1016" s="94"/>
      <c r="AO1016" s="94"/>
      <c r="AP1016" s="94"/>
      <c r="AQ1016" s="94"/>
      <c r="AR1016" s="94"/>
      <c r="AS1016" s="94"/>
      <c r="AT1016" s="94"/>
      <c r="AU1016" s="94"/>
      <c r="AV1016" s="94"/>
      <c r="AW1016" s="94"/>
      <c r="AX1016" s="94"/>
      <c r="AY1016" s="94"/>
      <c r="BA1016" s="95"/>
    </row>
    <row r="1017" spans="1:53" s="87" customFormat="1">
      <c r="A1017" s="90" t="str">
        <f t="shared" si="63"/>
        <v/>
      </c>
      <c r="B1017" s="98">
        <v>5</v>
      </c>
      <c r="C1017" s="94" t="s">
        <v>210</v>
      </c>
      <c r="D1017" s="94">
        <v>-4</v>
      </c>
      <c r="E1017" s="94" t="s">
        <v>210</v>
      </c>
      <c r="F1017" s="94" t="s">
        <v>210</v>
      </c>
      <c r="G1017" s="94">
        <v>-2</v>
      </c>
      <c r="H1017" s="94" t="s">
        <v>210</v>
      </c>
      <c r="I1017" s="94">
        <v>5</v>
      </c>
      <c r="J1017" s="94" t="s">
        <v>210</v>
      </c>
      <c r="K1017" s="94" t="s">
        <v>210</v>
      </c>
      <c r="L1017" s="94">
        <v>3</v>
      </c>
      <c r="M1017" s="94" t="s">
        <v>210</v>
      </c>
      <c r="N1017" s="94">
        <v>-1</v>
      </c>
      <c r="O1017" s="94"/>
      <c r="P1017" s="94"/>
      <c r="Q1017" s="94"/>
      <c r="R1017" s="94"/>
      <c r="S1017" s="94"/>
      <c r="T1017" s="94"/>
      <c r="U1017" s="94"/>
      <c r="V1017" s="94"/>
      <c r="W1017" s="94"/>
      <c r="X1017" s="94"/>
      <c r="Y1017" s="94"/>
      <c r="Z1017" s="94"/>
      <c r="AA1017" s="94"/>
      <c r="AB1017" s="94"/>
      <c r="AC1017" s="94"/>
      <c r="AD1017" s="94"/>
      <c r="AE1017" s="94"/>
      <c r="AF1017" s="94"/>
      <c r="AG1017" s="94"/>
      <c r="AH1017" s="94"/>
      <c r="AI1017" s="94"/>
      <c r="AJ1017" s="94"/>
      <c r="AK1017" s="94"/>
      <c r="AL1017" s="94"/>
      <c r="AM1017" s="94"/>
      <c r="AN1017" s="94"/>
      <c r="AO1017" s="94"/>
      <c r="AP1017" s="94"/>
      <c r="AQ1017" s="94"/>
      <c r="AR1017" s="94"/>
      <c r="AS1017" s="94"/>
      <c r="AT1017" s="94"/>
      <c r="AU1017" s="94"/>
      <c r="AV1017" s="94"/>
      <c r="AW1017" s="94"/>
      <c r="AX1017" s="94"/>
      <c r="AY1017" s="94"/>
      <c r="BA1017" s="95"/>
    </row>
    <row r="1018" spans="1:53" s="87" customFormat="1">
      <c r="A1018" s="90" t="str">
        <f t="shared" si="63"/>
        <v/>
      </c>
      <c r="B1018" s="99">
        <v>6</v>
      </c>
      <c r="C1018" s="92" t="s">
        <v>210</v>
      </c>
      <c r="D1018" s="92" t="s">
        <v>210</v>
      </c>
      <c r="E1018" s="92">
        <v>-1</v>
      </c>
      <c r="F1018" s="92" t="s">
        <v>210</v>
      </c>
      <c r="G1018" s="92">
        <v>5</v>
      </c>
      <c r="H1018" s="92" t="s">
        <v>210</v>
      </c>
      <c r="I1018" s="92">
        <v>-4</v>
      </c>
      <c r="J1018" s="92" t="s">
        <v>210</v>
      </c>
      <c r="K1018" s="92" t="s">
        <v>210</v>
      </c>
      <c r="L1018" s="92">
        <v>-2</v>
      </c>
      <c r="M1018" s="92" t="s">
        <v>210</v>
      </c>
      <c r="N1018" s="92">
        <v>1</v>
      </c>
      <c r="O1018" s="94"/>
      <c r="P1018" s="94"/>
      <c r="Q1018" s="94"/>
      <c r="R1018" s="94"/>
      <c r="S1018" s="94"/>
      <c r="T1018" s="94"/>
      <c r="U1018" s="94"/>
      <c r="V1018" s="94"/>
      <c r="W1018" s="94"/>
      <c r="X1018" s="94"/>
      <c r="Y1018" s="94"/>
      <c r="Z1018" s="94"/>
      <c r="AA1018" s="94"/>
      <c r="AB1018" s="94"/>
      <c r="AC1018" s="94"/>
      <c r="AD1018" s="94"/>
      <c r="AE1018" s="94"/>
      <c r="AF1018" s="94"/>
      <c r="AG1018" s="94"/>
      <c r="AH1018" s="94"/>
      <c r="AI1018" s="94"/>
      <c r="AJ1018" s="94"/>
      <c r="AK1018" s="94"/>
      <c r="AL1018" s="94"/>
      <c r="AM1018" s="94"/>
      <c r="AN1018" s="94"/>
      <c r="AO1018" s="94"/>
      <c r="AP1018" s="94"/>
      <c r="AQ1018" s="94"/>
      <c r="AR1018" s="94"/>
      <c r="AS1018" s="94"/>
      <c r="AT1018" s="94"/>
      <c r="AU1018" s="94"/>
      <c r="AV1018" s="94"/>
      <c r="AW1018" s="94"/>
      <c r="AX1018" s="94"/>
      <c r="AY1018" s="94"/>
      <c r="BA1018" s="95"/>
    </row>
    <row r="1019" spans="1:53" s="87" customFormat="1">
      <c r="A1019" s="90" t="str">
        <f t="shared" si="63"/>
        <v/>
      </c>
      <c r="B1019" s="98">
        <v>7</v>
      </c>
      <c r="C1019" s="94" t="s">
        <v>210</v>
      </c>
      <c r="D1019" s="94">
        <v>-2</v>
      </c>
      <c r="E1019" s="94" t="s">
        <v>210</v>
      </c>
      <c r="F1019" s="94">
        <v>5</v>
      </c>
      <c r="G1019" s="94" t="s">
        <v>210</v>
      </c>
      <c r="H1019" s="94" t="s">
        <v>210</v>
      </c>
      <c r="I1019" s="94">
        <v>-3</v>
      </c>
      <c r="J1019" s="94" t="s">
        <v>210</v>
      </c>
      <c r="K1019" s="94">
        <v>4</v>
      </c>
      <c r="L1019" s="94" t="s">
        <v>210</v>
      </c>
      <c r="M1019" s="94" t="s">
        <v>210</v>
      </c>
      <c r="N1019" s="94">
        <v>2</v>
      </c>
      <c r="O1019" s="94"/>
      <c r="P1019" s="94"/>
      <c r="Q1019" s="94"/>
      <c r="R1019" s="94"/>
      <c r="S1019" s="94"/>
      <c r="T1019" s="94"/>
      <c r="U1019" s="94"/>
      <c r="V1019" s="94"/>
      <c r="W1019" s="94"/>
      <c r="X1019" s="94"/>
      <c r="Y1019" s="94"/>
      <c r="Z1019" s="94"/>
      <c r="AA1019" s="94"/>
      <c r="AB1019" s="94"/>
      <c r="AC1019" s="94"/>
      <c r="AD1019" s="94"/>
      <c r="AE1019" s="94"/>
      <c r="AF1019" s="94"/>
      <c r="AG1019" s="94"/>
      <c r="AH1019" s="94"/>
      <c r="AI1019" s="94"/>
      <c r="AJ1019" s="94"/>
      <c r="AK1019" s="94"/>
      <c r="AL1019" s="94"/>
      <c r="AM1019" s="94"/>
      <c r="AN1019" s="94"/>
      <c r="AO1019" s="94"/>
      <c r="AP1019" s="94"/>
      <c r="AQ1019" s="94"/>
      <c r="AR1019" s="94"/>
      <c r="AS1019" s="94"/>
      <c r="AT1019" s="94"/>
      <c r="AU1019" s="94"/>
      <c r="AV1019" s="94"/>
      <c r="AW1019" s="94"/>
      <c r="AX1019" s="94"/>
      <c r="AY1019" s="94"/>
      <c r="BA1019" s="95"/>
    </row>
    <row r="1020" spans="1:53" s="87" customFormat="1">
      <c r="A1020" s="90" t="str">
        <f t="shared" si="63"/>
        <v/>
      </c>
      <c r="B1020" s="98">
        <v>8</v>
      </c>
      <c r="C1020" s="94" t="s">
        <v>210</v>
      </c>
      <c r="D1020" s="94">
        <v>-5</v>
      </c>
      <c r="E1020" s="94" t="s">
        <v>210</v>
      </c>
      <c r="F1020" s="94">
        <v>4</v>
      </c>
      <c r="G1020" s="94" t="s">
        <v>210</v>
      </c>
      <c r="H1020" s="94" t="s">
        <v>210</v>
      </c>
      <c r="I1020" s="94">
        <v>1</v>
      </c>
      <c r="J1020" s="94" t="s">
        <v>210</v>
      </c>
      <c r="K1020" s="94">
        <v>-3</v>
      </c>
      <c r="L1020" s="94" t="s">
        <v>210</v>
      </c>
      <c r="M1020" s="94" t="s">
        <v>210</v>
      </c>
      <c r="N1020" s="94">
        <v>-2</v>
      </c>
      <c r="O1020" s="94"/>
      <c r="P1020" s="94"/>
      <c r="Q1020" s="94"/>
      <c r="R1020" s="94"/>
      <c r="S1020" s="94"/>
      <c r="T1020" s="94"/>
      <c r="U1020" s="94"/>
      <c r="V1020" s="94"/>
      <c r="W1020" s="94"/>
      <c r="X1020" s="94"/>
      <c r="Y1020" s="94"/>
      <c r="Z1020" s="94"/>
      <c r="AA1020" s="94"/>
      <c r="AB1020" s="94"/>
      <c r="AC1020" s="94"/>
      <c r="AD1020" s="94"/>
      <c r="AE1020" s="94"/>
      <c r="AF1020" s="94"/>
      <c r="AG1020" s="94"/>
      <c r="AH1020" s="94"/>
      <c r="AI1020" s="94"/>
      <c r="AJ1020" s="94"/>
      <c r="AK1020" s="94"/>
      <c r="AL1020" s="94"/>
      <c r="AM1020" s="94"/>
      <c r="AN1020" s="94"/>
      <c r="AO1020" s="94"/>
      <c r="AP1020" s="94"/>
      <c r="AQ1020" s="94"/>
      <c r="AR1020" s="94"/>
      <c r="AS1020" s="94"/>
      <c r="AT1020" s="94"/>
      <c r="AU1020" s="94"/>
      <c r="AV1020" s="94"/>
      <c r="AW1020" s="94"/>
      <c r="AX1020" s="94"/>
      <c r="AY1020" s="94"/>
      <c r="BA1020" s="95"/>
    </row>
    <row r="1021" spans="1:53" s="87" customFormat="1">
      <c r="A1021" s="90" t="str">
        <f t="shared" si="63"/>
        <v/>
      </c>
      <c r="B1021" s="98">
        <v>9</v>
      </c>
      <c r="C1021" s="94" t="s">
        <v>210</v>
      </c>
      <c r="D1021" s="94">
        <v>-1</v>
      </c>
      <c r="E1021" s="94" t="s">
        <v>210</v>
      </c>
      <c r="F1021" s="94">
        <v>-5</v>
      </c>
      <c r="G1021" s="94" t="s">
        <v>210</v>
      </c>
      <c r="H1021" s="94" t="s">
        <v>210</v>
      </c>
      <c r="I1021" s="94">
        <v>2</v>
      </c>
      <c r="J1021" s="94" t="s">
        <v>210</v>
      </c>
      <c r="K1021" s="94">
        <v>3</v>
      </c>
      <c r="L1021" s="94" t="s">
        <v>210</v>
      </c>
      <c r="M1021" s="94" t="s">
        <v>210</v>
      </c>
      <c r="N1021" s="94">
        <v>-4</v>
      </c>
      <c r="O1021" s="94"/>
      <c r="P1021" s="94"/>
      <c r="Q1021" s="94"/>
      <c r="R1021" s="94"/>
      <c r="S1021" s="94"/>
      <c r="T1021" s="94"/>
      <c r="U1021" s="94"/>
      <c r="V1021" s="94"/>
      <c r="W1021" s="94"/>
      <c r="X1021" s="94"/>
      <c r="Y1021" s="94"/>
      <c r="Z1021" s="94"/>
      <c r="AA1021" s="94"/>
      <c r="AB1021" s="94"/>
      <c r="AC1021" s="94"/>
      <c r="AD1021" s="94"/>
      <c r="AE1021" s="94"/>
      <c r="AF1021" s="94"/>
      <c r="AG1021" s="94"/>
      <c r="AH1021" s="94"/>
      <c r="AI1021" s="94"/>
      <c r="AJ1021" s="94"/>
      <c r="AK1021" s="94"/>
      <c r="AL1021" s="94"/>
      <c r="AM1021" s="94"/>
      <c r="AN1021" s="94"/>
      <c r="AO1021" s="94"/>
      <c r="AP1021" s="94"/>
      <c r="AQ1021" s="94"/>
      <c r="AR1021" s="94"/>
      <c r="AS1021" s="94"/>
      <c r="AT1021" s="94"/>
      <c r="AU1021" s="94"/>
      <c r="AV1021" s="94"/>
      <c r="AW1021" s="94"/>
      <c r="AX1021" s="94"/>
      <c r="AY1021" s="94"/>
      <c r="BA1021" s="95"/>
    </row>
    <row r="1022" spans="1:53" s="87" customFormat="1">
      <c r="A1022" s="90" t="str">
        <f t="shared" si="63"/>
        <v/>
      </c>
      <c r="B1022" s="98">
        <v>10</v>
      </c>
      <c r="C1022" s="94" t="s">
        <v>210</v>
      </c>
      <c r="D1022" s="94">
        <v>2</v>
      </c>
      <c r="E1022" s="94" t="s">
        <v>210</v>
      </c>
      <c r="F1022" s="94" t="s">
        <v>210</v>
      </c>
      <c r="G1022" s="94">
        <v>-3</v>
      </c>
      <c r="H1022" s="94" t="s">
        <v>210</v>
      </c>
      <c r="I1022" s="94">
        <v>-1</v>
      </c>
      <c r="J1022" s="94" t="s">
        <v>210</v>
      </c>
      <c r="K1022" s="94">
        <v>5</v>
      </c>
      <c r="L1022" s="94" t="s">
        <v>210</v>
      </c>
      <c r="M1022" s="94" t="s">
        <v>210</v>
      </c>
      <c r="N1022" s="94">
        <v>4</v>
      </c>
      <c r="O1022" s="94"/>
      <c r="P1022" s="94"/>
      <c r="Q1022" s="94"/>
      <c r="R1022" s="94"/>
      <c r="S1022" s="94"/>
      <c r="T1022" s="94"/>
      <c r="U1022" s="94"/>
      <c r="V1022" s="94"/>
      <c r="W1022" s="94"/>
      <c r="X1022" s="94"/>
      <c r="Y1022" s="94"/>
      <c r="Z1022" s="94"/>
      <c r="AA1022" s="94"/>
      <c r="AB1022" s="94"/>
      <c r="AC1022" s="94"/>
      <c r="AD1022" s="94"/>
      <c r="AE1022" s="94"/>
      <c r="AF1022" s="94"/>
      <c r="AG1022" s="94"/>
      <c r="AH1022" s="94"/>
      <c r="AI1022" s="94"/>
      <c r="AJ1022" s="94"/>
      <c r="AK1022" s="94"/>
      <c r="AL1022" s="94"/>
      <c r="AM1022" s="94"/>
      <c r="AN1022" s="94"/>
      <c r="AO1022" s="94"/>
      <c r="AP1022" s="94"/>
      <c r="AQ1022" s="94"/>
      <c r="AR1022" s="94"/>
      <c r="AS1022" s="94"/>
      <c r="AT1022" s="94"/>
      <c r="AU1022" s="94"/>
      <c r="AV1022" s="94"/>
      <c r="AW1022" s="94"/>
      <c r="AX1022" s="94"/>
      <c r="AY1022" s="94"/>
      <c r="BA1022" s="95"/>
    </row>
    <row r="1023" spans="1:53" s="87" customFormat="1">
      <c r="A1023" s="90" t="str">
        <f t="shared" si="63"/>
        <v/>
      </c>
      <c r="B1023" s="98">
        <v>11</v>
      </c>
      <c r="C1023" s="94" t="s">
        <v>210</v>
      </c>
      <c r="D1023" s="94">
        <v>1</v>
      </c>
      <c r="E1023" s="94" t="s">
        <v>210</v>
      </c>
      <c r="F1023" s="94">
        <v>-4</v>
      </c>
      <c r="G1023" s="94" t="s">
        <v>210</v>
      </c>
      <c r="H1023" s="94" t="s">
        <v>210</v>
      </c>
      <c r="I1023" s="94">
        <v>3</v>
      </c>
      <c r="J1023" s="94" t="s">
        <v>210</v>
      </c>
      <c r="K1023" s="94">
        <v>-5</v>
      </c>
      <c r="L1023" s="94" t="s">
        <v>210</v>
      </c>
      <c r="M1023" s="94">
        <v>-1</v>
      </c>
      <c r="N1023" s="94" t="s">
        <v>210</v>
      </c>
      <c r="O1023" s="94"/>
      <c r="P1023" s="94"/>
      <c r="Q1023" s="94"/>
      <c r="R1023" s="94"/>
      <c r="S1023" s="94"/>
      <c r="T1023" s="94"/>
      <c r="U1023" s="94"/>
      <c r="V1023" s="94"/>
      <c r="W1023" s="94"/>
      <c r="X1023" s="94"/>
      <c r="Y1023" s="94"/>
      <c r="Z1023" s="94"/>
      <c r="AA1023" s="94"/>
      <c r="AB1023" s="94"/>
      <c r="AC1023" s="94"/>
      <c r="AD1023" s="94"/>
      <c r="AE1023" s="94"/>
      <c r="AF1023" s="94"/>
      <c r="AG1023" s="94"/>
      <c r="AH1023" s="94"/>
      <c r="AI1023" s="94"/>
      <c r="AJ1023" s="94"/>
      <c r="AK1023" s="94"/>
      <c r="AL1023" s="94"/>
      <c r="AM1023" s="94"/>
      <c r="AN1023" s="94"/>
      <c r="AO1023" s="94"/>
      <c r="AP1023" s="94"/>
      <c r="AQ1023" s="94"/>
      <c r="AR1023" s="94"/>
      <c r="AS1023" s="94"/>
      <c r="AT1023" s="94"/>
      <c r="AU1023" s="94"/>
      <c r="AV1023" s="94"/>
      <c r="AW1023" s="94"/>
      <c r="AX1023" s="94"/>
      <c r="AY1023" s="94"/>
      <c r="BA1023" s="95"/>
    </row>
    <row r="1024" spans="1:53" s="87" customFormat="1">
      <c r="A1024" s="90" t="str">
        <f t="shared" si="63"/>
        <v/>
      </c>
      <c r="B1024" s="99">
        <v>12</v>
      </c>
      <c r="C1024" s="92" t="s">
        <v>210</v>
      </c>
      <c r="D1024" s="92">
        <v>5</v>
      </c>
      <c r="E1024" s="92" t="s">
        <v>210</v>
      </c>
      <c r="F1024" s="92" t="s">
        <v>210</v>
      </c>
      <c r="G1024" s="92">
        <v>3</v>
      </c>
      <c r="H1024" s="92" t="s">
        <v>210</v>
      </c>
      <c r="I1024" s="92">
        <v>-2</v>
      </c>
      <c r="J1024" s="92" t="s">
        <v>210</v>
      </c>
      <c r="K1024" s="92">
        <v>-4</v>
      </c>
      <c r="L1024" s="92" t="s">
        <v>210</v>
      </c>
      <c r="M1024" s="92">
        <v>1</v>
      </c>
      <c r="N1024" s="92" t="s">
        <v>210</v>
      </c>
      <c r="O1024" s="94"/>
      <c r="P1024" s="94"/>
      <c r="Q1024" s="94"/>
      <c r="R1024" s="94"/>
      <c r="S1024" s="94"/>
      <c r="T1024" s="94"/>
      <c r="U1024" s="94"/>
      <c r="V1024" s="94"/>
      <c r="W1024" s="94"/>
      <c r="X1024" s="94"/>
      <c r="Y1024" s="94"/>
      <c r="Z1024" s="94"/>
      <c r="AA1024" s="94"/>
      <c r="AB1024" s="94"/>
      <c r="AC1024" s="94"/>
      <c r="AD1024" s="94"/>
      <c r="AE1024" s="94"/>
      <c r="AF1024" s="94"/>
      <c r="AG1024" s="94"/>
      <c r="AH1024" s="94"/>
      <c r="AI1024" s="94"/>
      <c r="AJ1024" s="94"/>
      <c r="AK1024" s="94"/>
      <c r="AL1024" s="94"/>
      <c r="AM1024" s="94"/>
      <c r="AN1024" s="94"/>
      <c r="AO1024" s="94"/>
      <c r="AP1024" s="94"/>
      <c r="AQ1024" s="94"/>
      <c r="AR1024" s="94"/>
      <c r="AS1024" s="94"/>
      <c r="AT1024" s="94"/>
      <c r="AU1024" s="94"/>
      <c r="AV1024" s="94"/>
      <c r="AW1024" s="94"/>
      <c r="AX1024" s="94"/>
      <c r="AY1024" s="94"/>
      <c r="BA1024" s="95"/>
    </row>
    <row r="1025" spans="1:53" s="87" customFormat="1">
      <c r="A1025" s="90" t="str">
        <f t="shared" si="63"/>
        <v/>
      </c>
      <c r="B1025" s="98">
        <v>13</v>
      </c>
      <c r="C1025" s="94">
        <v>-5</v>
      </c>
      <c r="D1025" s="94" t="s">
        <v>210</v>
      </c>
      <c r="E1025" s="94" t="s">
        <v>210</v>
      </c>
      <c r="F1025" s="94">
        <v>1</v>
      </c>
      <c r="G1025" s="94" t="s">
        <v>210</v>
      </c>
      <c r="H1025" s="94">
        <v>4</v>
      </c>
      <c r="I1025" s="94" t="s">
        <v>210</v>
      </c>
      <c r="J1025" s="94">
        <v>-3</v>
      </c>
      <c r="K1025" s="94" t="s">
        <v>210</v>
      </c>
      <c r="L1025" s="94" t="s">
        <v>210</v>
      </c>
      <c r="M1025" s="94">
        <v>-2</v>
      </c>
      <c r="N1025" s="94" t="s">
        <v>210</v>
      </c>
      <c r="O1025" s="94"/>
      <c r="P1025" s="94"/>
      <c r="Q1025" s="94"/>
      <c r="R1025" s="94"/>
      <c r="S1025" s="94"/>
      <c r="T1025" s="94"/>
      <c r="U1025" s="94"/>
      <c r="V1025" s="94"/>
      <c r="W1025" s="94"/>
      <c r="X1025" s="94"/>
      <c r="Y1025" s="94"/>
      <c r="Z1025" s="94"/>
      <c r="AA1025" s="94"/>
      <c r="AB1025" s="94"/>
      <c r="AC1025" s="94"/>
      <c r="AD1025" s="94"/>
      <c r="AE1025" s="94"/>
      <c r="AF1025" s="94"/>
      <c r="AG1025" s="94"/>
      <c r="AH1025" s="94"/>
      <c r="AI1025" s="94"/>
      <c r="AJ1025" s="94"/>
      <c r="AK1025" s="94"/>
      <c r="AL1025" s="94"/>
      <c r="AM1025" s="94"/>
      <c r="AN1025" s="94"/>
      <c r="AO1025" s="94"/>
      <c r="AP1025" s="94"/>
      <c r="AQ1025" s="94"/>
      <c r="AR1025" s="94"/>
      <c r="AS1025" s="94"/>
      <c r="AT1025" s="94"/>
      <c r="AU1025" s="94"/>
      <c r="AV1025" s="94"/>
      <c r="AW1025" s="94"/>
      <c r="AX1025" s="94"/>
      <c r="AY1025" s="94"/>
      <c r="BA1025" s="95"/>
    </row>
    <row r="1026" spans="1:53" s="87" customFormat="1">
      <c r="A1026" s="90" t="str">
        <f t="shared" si="63"/>
        <v/>
      </c>
      <c r="B1026" s="98">
        <v>14</v>
      </c>
      <c r="C1026" s="94">
        <v>4</v>
      </c>
      <c r="D1026" s="94" t="s">
        <v>210</v>
      </c>
      <c r="E1026" s="94" t="s">
        <v>210</v>
      </c>
      <c r="F1026" s="94">
        <v>3</v>
      </c>
      <c r="G1026" s="94" t="s">
        <v>210</v>
      </c>
      <c r="H1026" s="94">
        <v>-5</v>
      </c>
      <c r="I1026" s="94" t="s">
        <v>210</v>
      </c>
      <c r="J1026" s="94" t="s">
        <v>210</v>
      </c>
      <c r="K1026" s="94">
        <v>-1</v>
      </c>
      <c r="L1026" s="94" t="s">
        <v>210</v>
      </c>
      <c r="M1026" s="94">
        <v>2</v>
      </c>
      <c r="N1026" s="94" t="s">
        <v>210</v>
      </c>
      <c r="O1026" s="94"/>
      <c r="P1026" s="94"/>
      <c r="Q1026" s="94"/>
      <c r="R1026" s="94"/>
      <c r="S1026" s="94"/>
      <c r="T1026" s="94"/>
      <c r="U1026" s="94"/>
      <c r="V1026" s="94"/>
      <c r="W1026" s="94"/>
      <c r="X1026" s="94"/>
      <c r="Y1026" s="94"/>
      <c r="Z1026" s="94"/>
      <c r="AA1026" s="94"/>
      <c r="AB1026" s="94"/>
      <c r="AC1026" s="94"/>
      <c r="AD1026" s="94"/>
      <c r="AE1026" s="94"/>
      <c r="AF1026" s="94"/>
      <c r="AG1026" s="94"/>
      <c r="AH1026" s="94"/>
      <c r="AI1026" s="94"/>
      <c r="AJ1026" s="94"/>
      <c r="AK1026" s="94"/>
      <c r="AL1026" s="94"/>
      <c r="AM1026" s="94"/>
      <c r="AN1026" s="94"/>
      <c r="AO1026" s="94"/>
      <c r="AP1026" s="94"/>
      <c r="AQ1026" s="94"/>
      <c r="AR1026" s="94"/>
      <c r="AS1026" s="94"/>
      <c r="AT1026" s="94"/>
      <c r="AU1026" s="94"/>
      <c r="AV1026" s="94"/>
      <c r="AW1026" s="94"/>
      <c r="AX1026" s="94"/>
      <c r="AY1026" s="94"/>
      <c r="BA1026" s="95"/>
    </row>
    <row r="1027" spans="1:53" s="87" customFormat="1">
      <c r="A1027" s="90" t="str">
        <f t="shared" si="63"/>
        <v/>
      </c>
      <c r="B1027" s="98">
        <v>15</v>
      </c>
      <c r="C1027" s="94">
        <v>-4</v>
      </c>
      <c r="D1027" s="94" t="s">
        <v>210</v>
      </c>
      <c r="E1027" s="94" t="s">
        <v>210</v>
      </c>
      <c r="F1027" s="94">
        <v>2</v>
      </c>
      <c r="G1027" s="94" t="s">
        <v>210</v>
      </c>
      <c r="H1027" s="94">
        <v>-1</v>
      </c>
      <c r="I1027" s="94" t="s">
        <v>210</v>
      </c>
      <c r="J1027" s="94">
        <v>3</v>
      </c>
      <c r="K1027" s="94" t="s">
        <v>210</v>
      </c>
      <c r="L1027" s="94" t="s">
        <v>210</v>
      </c>
      <c r="M1027" s="94">
        <v>4</v>
      </c>
      <c r="N1027" s="94" t="s">
        <v>210</v>
      </c>
      <c r="O1027" s="94"/>
      <c r="P1027" s="94"/>
      <c r="Q1027" s="94"/>
      <c r="R1027" s="94"/>
      <c r="S1027" s="94"/>
      <c r="T1027" s="94"/>
      <c r="U1027" s="94"/>
      <c r="V1027" s="94"/>
      <c r="W1027" s="94"/>
      <c r="X1027" s="94"/>
      <c r="Y1027" s="94"/>
      <c r="Z1027" s="94"/>
      <c r="AA1027" s="94"/>
      <c r="AB1027" s="94"/>
      <c r="AC1027" s="94"/>
      <c r="AD1027" s="94"/>
      <c r="AE1027" s="94"/>
      <c r="AF1027" s="94"/>
      <c r="AG1027" s="94"/>
      <c r="AH1027" s="94"/>
      <c r="AI1027" s="94"/>
      <c r="AJ1027" s="94"/>
      <c r="AK1027" s="94"/>
      <c r="AL1027" s="94"/>
      <c r="AM1027" s="94"/>
      <c r="AN1027" s="94"/>
      <c r="AO1027" s="94"/>
      <c r="AP1027" s="94"/>
      <c r="AQ1027" s="94"/>
      <c r="AR1027" s="94"/>
      <c r="AS1027" s="94"/>
      <c r="AT1027" s="94"/>
      <c r="AU1027" s="94"/>
      <c r="AV1027" s="94"/>
      <c r="AW1027" s="94"/>
      <c r="AX1027" s="94"/>
      <c r="AY1027" s="94"/>
      <c r="BA1027" s="95"/>
    </row>
    <row r="1028" spans="1:53" s="87" customFormat="1">
      <c r="A1028" s="90" t="str">
        <f t="shared" si="63"/>
        <v/>
      </c>
      <c r="B1028" s="98">
        <v>16</v>
      </c>
      <c r="C1028" s="94" t="s">
        <v>210</v>
      </c>
      <c r="D1028" s="94">
        <v>-3</v>
      </c>
      <c r="E1028" s="94" t="s">
        <v>210</v>
      </c>
      <c r="F1028" s="94">
        <v>-1</v>
      </c>
      <c r="G1028" s="94" t="s">
        <v>210</v>
      </c>
      <c r="H1028" s="94">
        <v>5</v>
      </c>
      <c r="I1028" s="94" t="s">
        <v>210</v>
      </c>
      <c r="J1028" s="94" t="s">
        <v>210</v>
      </c>
      <c r="K1028" s="94">
        <v>2</v>
      </c>
      <c r="L1028" s="94" t="s">
        <v>210</v>
      </c>
      <c r="M1028" s="94">
        <v>-4</v>
      </c>
      <c r="N1028" s="94" t="s">
        <v>210</v>
      </c>
      <c r="O1028" s="94"/>
      <c r="P1028" s="94"/>
      <c r="Q1028" s="94"/>
      <c r="R1028" s="94"/>
      <c r="S1028" s="94"/>
      <c r="T1028" s="94"/>
      <c r="U1028" s="94"/>
      <c r="V1028" s="94"/>
      <c r="W1028" s="94"/>
      <c r="X1028" s="94"/>
      <c r="Y1028" s="94"/>
      <c r="Z1028" s="94"/>
      <c r="AA1028" s="94"/>
      <c r="AB1028" s="94"/>
      <c r="AC1028" s="94"/>
      <c r="AD1028" s="94"/>
      <c r="AE1028" s="94"/>
      <c r="AF1028" s="94"/>
      <c r="AG1028" s="94"/>
      <c r="AH1028" s="94"/>
      <c r="AI1028" s="94"/>
      <c r="AJ1028" s="94"/>
      <c r="AK1028" s="94"/>
      <c r="AL1028" s="94"/>
      <c r="AM1028" s="94"/>
      <c r="AN1028" s="94"/>
      <c r="AO1028" s="94"/>
      <c r="AP1028" s="94"/>
      <c r="AQ1028" s="94"/>
      <c r="AR1028" s="94"/>
      <c r="AS1028" s="94"/>
      <c r="AT1028" s="94"/>
      <c r="AU1028" s="94"/>
      <c r="AV1028" s="94"/>
      <c r="AW1028" s="94"/>
      <c r="AX1028" s="94"/>
      <c r="AY1028" s="94"/>
      <c r="BA1028" s="95"/>
    </row>
    <row r="1029" spans="1:53" s="87" customFormat="1">
      <c r="A1029" s="90" t="str">
        <f t="shared" si="63"/>
        <v/>
      </c>
      <c r="B1029" s="98">
        <v>17</v>
      </c>
      <c r="C1029" s="94" t="s">
        <v>210</v>
      </c>
      <c r="D1029" s="94">
        <v>3</v>
      </c>
      <c r="E1029" s="94" t="s">
        <v>210</v>
      </c>
      <c r="F1029" s="94">
        <v>-2</v>
      </c>
      <c r="G1029" s="94" t="s">
        <v>210</v>
      </c>
      <c r="H1029" s="94">
        <v>-4</v>
      </c>
      <c r="I1029" s="94" t="s">
        <v>210</v>
      </c>
      <c r="J1029" s="94" t="s">
        <v>210</v>
      </c>
      <c r="K1029" s="94">
        <v>1</v>
      </c>
      <c r="L1029" s="94" t="s">
        <v>210</v>
      </c>
      <c r="M1029" s="94">
        <v>5</v>
      </c>
      <c r="N1029" s="94" t="s">
        <v>210</v>
      </c>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c r="AM1029" s="94"/>
      <c r="AN1029" s="94"/>
      <c r="AO1029" s="94"/>
      <c r="AP1029" s="94"/>
      <c r="AQ1029" s="94"/>
      <c r="AR1029" s="94"/>
      <c r="AS1029" s="94"/>
      <c r="AT1029" s="94"/>
      <c r="AU1029" s="94"/>
      <c r="AV1029" s="94"/>
      <c r="AW1029" s="94"/>
      <c r="AX1029" s="94"/>
      <c r="AY1029" s="94"/>
      <c r="BA1029" s="95"/>
    </row>
    <row r="1030" spans="1:53" s="87" customFormat="1">
      <c r="A1030" s="90" t="str">
        <f t="shared" si="63"/>
        <v/>
      </c>
      <c r="B1030" s="99">
        <v>18</v>
      </c>
      <c r="C1030" s="92">
        <v>5</v>
      </c>
      <c r="D1030" s="92" t="s">
        <v>210</v>
      </c>
      <c r="E1030" s="92" t="s">
        <v>210</v>
      </c>
      <c r="F1030" s="92">
        <v>-3</v>
      </c>
      <c r="G1030" s="92" t="s">
        <v>210</v>
      </c>
      <c r="H1030" s="92">
        <v>1</v>
      </c>
      <c r="I1030" s="92" t="s">
        <v>210</v>
      </c>
      <c r="J1030" s="92" t="s">
        <v>210</v>
      </c>
      <c r="K1030" s="92">
        <v>-2</v>
      </c>
      <c r="L1030" s="92" t="s">
        <v>210</v>
      </c>
      <c r="M1030" s="92">
        <v>-5</v>
      </c>
      <c r="N1030" s="92" t="s">
        <v>210</v>
      </c>
      <c r="O1030" s="94"/>
      <c r="P1030" s="94"/>
      <c r="Q1030" s="94"/>
      <c r="R1030" s="94"/>
      <c r="S1030" s="94"/>
      <c r="T1030" s="94"/>
      <c r="U1030" s="94"/>
      <c r="V1030" s="94"/>
      <c r="W1030" s="94"/>
      <c r="X1030" s="94"/>
      <c r="Y1030" s="94"/>
      <c r="Z1030" s="94"/>
      <c r="AA1030" s="94"/>
      <c r="AB1030" s="94"/>
      <c r="AC1030" s="94"/>
      <c r="AD1030" s="94"/>
      <c r="AE1030" s="94"/>
      <c r="AF1030" s="94"/>
      <c r="AG1030" s="94"/>
      <c r="AH1030" s="94"/>
      <c r="AI1030" s="94"/>
      <c r="AJ1030" s="94"/>
      <c r="AK1030" s="94"/>
      <c r="AL1030" s="94"/>
      <c r="AM1030" s="94"/>
      <c r="AN1030" s="94"/>
      <c r="AO1030" s="94"/>
      <c r="AP1030" s="94"/>
      <c r="AQ1030" s="94"/>
      <c r="AR1030" s="94"/>
      <c r="AS1030" s="94"/>
      <c r="AT1030" s="94"/>
      <c r="AU1030" s="94"/>
      <c r="AV1030" s="94"/>
      <c r="AW1030" s="94"/>
      <c r="AX1030" s="94"/>
      <c r="AY1030" s="94"/>
      <c r="BA1030" s="95"/>
    </row>
    <row r="1031" spans="1:53" s="87" customFormat="1">
      <c r="A1031" s="90" t="str">
        <f t="shared" si="63"/>
        <v/>
      </c>
      <c r="B1031" s="98">
        <v>19</v>
      </c>
      <c r="C1031" s="94">
        <v>-1</v>
      </c>
      <c r="D1031" s="94" t="s">
        <v>210</v>
      </c>
      <c r="E1031" s="94">
        <v>5</v>
      </c>
      <c r="F1031" s="94" t="s">
        <v>210</v>
      </c>
      <c r="G1031" s="94" t="s">
        <v>210</v>
      </c>
      <c r="H1031" s="94">
        <v>2</v>
      </c>
      <c r="I1031" s="94" t="s">
        <v>210</v>
      </c>
      <c r="J1031" s="94">
        <v>-4</v>
      </c>
      <c r="K1031" s="94" t="s">
        <v>210</v>
      </c>
      <c r="L1031" s="94" t="s">
        <v>210</v>
      </c>
      <c r="M1031" s="94">
        <v>-3</v>
      </c>
      <c r="N1031" s="94" t="s">
        <v>210</v>
      </c>
      <c r="O1031" s="94"/>
      <c r="P1031" s="94"/>
      <c r="Q1031" s="94"/>
      <c r="R1031" s="94"/>
      <c r="S1031" s="94"/>
      <c r="T1031" s="94"/>
      <c r="U1031" s="94"/>
      <c r="V1031" s="94"/>
      <c r="W1031" s="94"/>
      <c r="X1031" s="94"/>
      <c r="Y1031" s="94"/>
      <c r="Z1031" s="94"/>
      <c r="AA1031" s="94"/>
      <c r="AB1031" s="94"/>
      <c r="AC1031" s="94"/>
      <c r="AD1031" s="94"/>
      <c r="AE1031" s="94"/>
      <c r="AF1031" s="94"/>
      <c r="AG1031" s="94"/>
      <c r="AH1031" s="94"/>
      <c r="AI1031" s="94"/>
      <c r="AJ1031" s="94"/>
      <c r="AK1031" s="94"/>
      <c r="AL1031" s="94"/>
      <c r="AM1031" s="94"/>
      <c r="AN1031" s="94"/>
      <c r="AO1031" s="94"/>
      <c r="AP1031" s="94"/>
      <c r="AQ1031" s="94"/>
      <c r="AR1031" s="94"/>
      <c r="AS1031" s="94"/>
      <c r="AT1031" s="94"/>
      <c r="AU1031" s="94"/>
      <c r="AV1031" s="94"/>
      <c r="AW1031" s="94"/>
      <c r="AX1031" s="94"/>
      <c r="AY1031" s="94"/>
      <c r="BA1031" s="95"/>
    </row>
    <row r="1032" spans="1:53" s="87" customFormat="1">
      <c r="A1032" s="90" t="str">
        <f t="shared" si="63"/>
        <v/>
      </c>
      <c r="B1032" s="98">
        <v>20</v>
      </c>
      <c r="C1032" s="94">
        <v>2</v>
      </c>
      <c r="D1032" s="94" t="s">
        <v>210</v>
      </c>
      <c r="E1032" s="94">
        <v>4</v>
      </c>
      <c r="F1032" s="94" t="s">
        <v>210</v>
      </c>
      <c r="G1032" s="94">
        <v>-1</v>
      </c>
      <c r="H1032" s="94" t="s">
        <v>210</v>
      </c>
      <c r="I1032" s="94" t="s">
        <v>210</v>
      </c>
      <c r="J1032" s="94">
        <v>-5</v>
      </c>
      <c r="K1032" s="94" t="s">
        <v>210</v>
      </c>
      <c r="L1032" s="94" t="s">
        <v>210</v>
      </c>
      <c r="M1032" s="94">
        <v>3</v>
      </c>
      <c r="N1032" s="94" t="s">
        <v>210</v>
      </c>
      <c r="O1032" s="94"/>
      <c r="P1032" s="94"/>
      <c r="Q1032" s="94"/>
      <c r="R1032" s="94"/>
      <c r="S1032" s="94"/>
      <c r="T1032" s="94"/>
      <c r="U1032" s="94"/>
      <c r="V1032" s="94"/>
      <c r="W1032" s="94"/>
      <c r="X1032" s="94"/>
      <c r="Y1032" s="94"/>
      <c r="Z1032" s="94"/>
      <c r="AA1032" s="94"/>
      <c r="AB1032" s="94"/>
      <c r="AC1032" s="94"/>
      <c r="AD1032" s="94"/>
      <c r="AE1032" s="94"/>
      <c r="AF1032" s="94"/>
      <c r="AG1032" s="94"/>
      <c r="AH1032" s="94"/>
      <c r="AI1032" s="94"/>
      <c r="AJ1032" s="94"/>
      <c r="AK1032" s="94"/>
      <c r="AL1032" s="94"/>
      <c r="AM1032" s="94"/>
      <c r="AN1032" s="94"/>
      <c r="AO1032" s="94"/>
      <c r="AP1032" s="94"/>
      <c r="AQ1032" s="94"/>
      <c r="AR1032" s="94"/>
      <c r="AS1032" s="94"/>
      <c r="AT1032" s="94"/>
      <c r="AU1032" s="94"/>
      <c r="AV1032" s="94"/>
      <c r="AW1032" s="94"/>
      <c r="AX1032" s="94"/>
      <c r="AY1032" s="94"/>
      <c r="BA1032" s="95"/>
    </row>
    <row r="1033" spans="1:53" s="87" customFormat="1">
      <c r="A1033" s="90" t="str">
        <f t="shared" si="63"/>
        <v/>
      </c>
      <c r="B1033" s="98">
        <v>21</v>
      </c>
      <c r="C1033" s="94">
        <v>3</v>
      </c>
      <c r="D1033" s="94" t="s">
        <v>210</v>
      </c>
      <c r="E1033" s="94">
        <v>-4</v>
      </c>
      <c r="F1033" s="94" t="s">
        <v>210</v>
      </c>
      <c r="G1033" s="94" t="s">
        <v>210</v>
      </c>
      <c r="H1033" s="94">
        <v>-2</v>
      </c>
      <c r="I1033" s="94" t="s">
        <v>210</v>
      </c>
      <c r="J1033" s="94">
        <v>1</v>
      </c>
      <c r="K1033" s="94" t="s">
        <v>210</v>
      </c>
      <c r="L1033" s="94">
        <v>4</v>
      </c>
      <c r="M1033" s="94" t="s">
        <v>210</v>
      </c>
      <c r="N1033" s="94" t="s">
        <v>210</v>
      </c>
      <c r="O1033" s="94"/>
      <c r="P1033" s="94"/>
      <c r="Q1033" s="94"/>
      <c r="R1033" s="94"/>
      <c r="S1033" s="94"/>
      <c r="T1033" s="94"/>
      <c r="U1033" s="94"/>
      <c r="V1033" s="94"/>
      <c r="W1033" s="94"/>
      <c r="X1033" s="94"/>
      <c r="Y1033" s="94"/>
      <c r="Z1033" s="94"/>
      <c r="AA1033" s="94"/>
      <c r="AB1033" s="94"/>
      <c r="AC1033" s="94"/>
      <c r="AD1033" s="94"/>
      <c r="AE1033" s="94"/>
      <c r="AF1033" s="94"/>
      <c r="AG1033" s="94"/>
      <c r="AH1033" s="94"/>
      <c r="AI1033" s="94"/>
      <c r="AJ1033" s="94"/>
      <c r="AK1033" s="94"/>
      <c r="AL1033" s="94"/>
      <c r="AM1033" s="94"/>
      <c r="AN1033" s="94"/>
      <c r="AO1033" s="94"/>
      <c r="AP1033" s="94"/>
      <c r="AQ1033" s="94"/>
      <c r="AR1033" s="94"/>
      <c r="AS1033" s="94"/>
      <c r="AT1033" s="94"/>
      <c r="AU1033" s="94"/>
      <c r="AV1033" s="94"/>
      <c r="AW1033" s="94"/>
      <c r="AX1033" s="94"/>
      <c r="AY1033" s="94"/>
      <c r="BA1033" s="95"/>
    </row>
    <row r="1034" spans="1:53" s="87" customFormat="1">
      <c r="A1034" s="90" t="str">
        <f t="shared" si="63"/>
        <v/>
      </c>
      <c r="B1034" s="98">
        <v>22</v>
      </c>
      <c r="C1034" s="94">
        <v>1</v>
      </c>
      <c r="D1034" s="94" t="s">
        <v>210</v>
      </c>
      <c r="E1034" s="94">
        <v>2</v>
      </c>
      <c r="F1034" s="94" t="s">
        <v>210</v>
      </c>
      <c r="G1034" s="94" t="s">
        <v>210</v>
      </c>
      <c r="H1034" s="94">
        <v>-3</v>
      </c>
      <c r="I1034" s="94" t="s">
        <v>210</v>
      </c>
      <c r="J1034" s="94">
        <v>5</v>
      </c>
      <c r="K1034" s="94" t="s">
        <v>210</v>
      </c>
      <c r="L1034" s="94">
        <v>-4</v>
      </c>
      <c r="M1034" s="94" t="s">
        <v>210</v>
      </c>
      <c r="N1034" s="94" t="s">
        <v>210</v>
      </c>
      <c r="O1034" s="94"/>
      <c r="P1034" s="94"/>
      <c r="Q1034" s="94"/>
      <c r="R1034" s="94"/>
      <c r="S1034" s="94"/>
      <c r="T1034" s="94"/>
      <c r="U1034" s="94"/>
      <c r="V1034" s="94"/>
      <c r="W1034" s="94"/>
      <c r="X1034" s="94"/>
      <c r="Y1034" s="94"/>
      <c r="Z1034" s="94"/>
      <c r="AA1034" s="94"/>
      <c r="AB1034" s="94"/>
      <c r="AC1034" s="94"/>
      <c r="AD1034" s="94"/>
      <c r="AE1034" s="94"/>
      <c r="AF1034" s="94"/>
      <c r="AG1034" s="94"/>
      <c r="AH1034" s="94"/>
      <c r="AI1034" s="94"/>
      <c r="AJ1034" s="94"/>
      <c r="AK1034" s="94"/>
      <c r="AL1034" s="94"/>
      <c r="AM1034" s="94"/>
      <c r="AN1034" s="94"/>
      <c r="AO1034" s="94"/>
      <c r="AP1034" s="94"/>
      <c r="AQ1034" s="94"/>
      <c r="AR1034" s="94"/>
      <c r="AS1034" s="94"/>
      <c r="AT1034" s="94"/>
      <c r="AU1034" s="94"/>
      <c r="AV1034" s="94"/>
      <c r="AW1034" s="94"/>
      <c r="AX1034" s="94"/>
      <c r="AY1034" s="94"/>
      <c r="BA1034" s="95"/>
    </row>
    <row r="1035" spans="1:53" s="87" customFormat="1">
      <c r="A1035" s="90" t="str">
        <f t="shared" si="63"/>
        <v/>
      </c>
      <c r="B1035" s="98">
        <v>23</v>
      </c>
      <c r="C1035" s="94">
        <v>-2</v>
      </c>
      <c r="D1035" s="94" t="s">
        <v>210</v>
      </c>
      <c r="E1035" s="94">
        <v>-5</v>
      </c>
      <c r="F1035" s="94" t="s">
        <v>210</v>
      </c>
      <c r="G1035" s="94" t="s">
        <v>210</v>
      </c>
      <c r="H1035" s="94">
        <v>3</v>
      </c>
      <c r="I1035" s="94" t="s">
        <v>210</v>
      </c>
      <c r="J1035" s="94">
        <v>-1</v>
      </c>
      <c r="K1035" s="94" t="s">
        <v>210</v>
      </c>
      <c r="L1035" s="94">
        <v>5</v>
      </c>
      <c r="M1035" s="94" t="s">
        <v>210</v>
      </c>
      <c r="N1035" s="94" t="s">
        <v>210</v>
      </c>
      <c r="O1035" s="94"/>
      <c r="P1035" s="94"/>
      <c r="Q1035" s="94"/>
      <c r="R1035" s="94"/>
      <c r="S1035" s="94"/>
      <c r="T1035" s="94"/>
      <c r="U1035" s="94"/>
      <c r="V1035" s="94"/>
      <c r="W1035" s="94"/>
      <c r="X1035" s="94"/>
      <c r="Y1035" s="94"/>
      <c r="Z1035" s="94"/>
      <c r="AA1035" s="94"/>
      <c r="AB1035" s="94"/>
      <c r="AC1035" s="94"/>
      <c r="AD1035" s="94"/>
      <c r="AE1035" s="94"/>
      <c r="AF1035" s="94"/>
      <c r="AG1035" s="94"/>
      <c r="AH1035" s="94"/>
      <c r="AI1035" s="94"/>
      <c r="AJ1035" s="94"/>
      <c r="AK1035" s="94"/>
      <c r="AL1035" s="94"/>
      <c r="AM1035" s="94"/>
      <c r="AN1035" s="94"/>
      <c r="AO1035" s="94"/>
      <c r="AP1035" s="94"/>
      <c r="AQ1035" s="94"/>
      <c r="AR1035" s="94"/>
      <c r="AS1035" s="94"/>
      <c r="AT1035" s="94"/>
      <c r="AU1035" s="94"/>
      <c r="AV1035" s="94"/>
      <c r="AW1035" s="94"/>
      <c r="AX1035" s="94"/>
      <c r="AY1035" s="94"/>
      <c r="BA1035" s="95"/>
    </row>
    <row r="1036" spans="1:53" s="87" customFormat="1">
      <c r="A1036" s="90" t="str">
        <f t="shared" ref="A1036:A1099" si="64">IF(MID(B1036,3,2)="05",ROW(),"")</f>
        <v/>
      </c>
      <c r="B1036" s="98">
        <v>24</v>
      </c>
      <c r="C1036" s="94">
        <v>-3</v>
      </c>
      <c r="D1036" s="94" t="s">
        <v>210</v>
      </c>
      <c r="E1036" s="94">
        <v>-2</v>
      </c>
      <c r="F1036" s="94" t="s">
        <v>210</v>
      </c>
      <c r="G1036" s="94">
        <v>1</v>
      </c>
      <c r="H1036" s="94" t="s">
        <v>210</v>
      </c>
      <c r="I1036" s="94" t="s">
        <v>210</v>
      </c>
      <c r="J1036" s="94">
        <v>4</v>
      </c>
      <c r="K1036" s="94" t="s">
        <v>210</v>
      </c>
      <c r="L1036" s="94">
        <v>-5</v>
      </c>
      <c r="M1036" s="94" t="s">
        <v>210</v>
      </c>
      <c r="N1036" s="94" t="s">
        <v>210</v>
      </c>
      <c r="O1036" s="94"/>
      <c r="P1036" s="94"/>
      <c r="Q1036" s="94"/>
      <c r="R1036" s="94"/>
      <c r="S1036" s="94"/>
      <c r="T1036" s="94"/>
      <c r="U1036" s="94"/>
      <c r="V1036" s="94"/>
      <c r="W1036" s="94"/>
      <c r="X1036" s="94"/>
      <c r="Y1036" s="94"/>
      <c r="Z1036" s="94"/>
      <c r="AA1036" s="94"/>
      <c r="AB1036" s="94"/>
      <c r="AC1036" s="94"/>
      <c r="AD1036" s="94"/>
      <c r="AE1036" s="94"/>
      <c r="AF1036" s="94"/>
      <c r="AG1036" s="94"/>
      <c r="AH1036" s="94"/>
      <c r="AI1036" s="94"/>
      <c r="AJ1036" s="94"/>
      <c r="AK1036" s="94"/>
      <c r="AL1036" s="94"/>
      <c r="AM1036" s="94"/>
      <c r="AN1036" s="94"/>
      <c r="AO1036" s="94"/>
      <c r="AP1036" s="94"/>
      <c r="AQ1036" s="94"/>
      <c r="AR1036" s="94"/>
      <c r="AS1036" s="94"/>
      <c r="AT1036" s="94"/>
      <c r="AU1036" s="94"/>
      <c r="AV1036" s="94"/>
      <c r="AW1036" s="94"/>
      <c r="AX1036" s="94"/>
      <c r="AY1036" s="94"/>
      <c r="BA1036" s="95"/>
    </row>
    <row r="1037" spans="1:53" s="87" customFormat="1">
      <c r="A1037" s="90" t="str">
        <f t="shared" si="64"/>
        <v/>
      </c>
      <c r="B1037" s="317" t="s">
        <v>1000</v>
      </c>
      <c r="C1037" s="94"/>
      <c r="D1037" s="94"/>
      <c r="E1037" s="94"/>
      <c r="F1037" s="94"/>
      <c r="G1037" s="94"/>
      <c r="H1037" s="94"/>
      <c r="I1037" s="94"/>
      <c r="J1037" s="94"/>
      <c r="K1037" s="94"/>
      <c r="L1037" s="94"/>
      <c r="M1037" s="94"/>
      <c r="N1037" s="94"/>
      <c r="O1037" s="94"/>
      <c r="P1037" s="94"/>
      <c r="Q1037" s="94"/>
      <c r="R1037" s="94"/>
      <c r="S1037" s="94"/>
      <c r="T1037" s="94"/>
      <c r="U1037" s="94"/>
      <c r="V1037" s="94"/>
      <c r="W1037" s="94"/>
      <c r="X1037" s="94"/>
      <c r="Y1037" s="94"/>
      <c r="Z1037" s="94"/>
      <c r="AA1037" s="94"/>
      <c r="AB1037" s="94"/>
      <c r="AC1037" s="94"/>
      <c r="AD1037" s="94"/>
      <c r="AE1037" s="94"/>
      <c r="AF1037" s="94"/>
      <c r="AG1037" s="94"/>
      <c r="AH1037" s="94"/>
      <c r="AI1037" s="94"/>
      <c r="AJ1037" s="94"/>
      <c r="AK1037" s="94"/>
      <c r="AL1037" s="94"/>
      <c r="AM1037" s="94"/>
      <c r="AN1037" s="94"/>
      <c r="AO1037" s="94"/>
      <c r="AP1037" s="94"/>
      <c r="AQ1037" s="94"/>
      <c r="AR1037" s="94"/>
      <c r="AS1037" s="94"/>
      <c r="AT1037" s="94"/>
      <c r="AU1037" s="94"/>
      <c r="AV1037" s="94"/>
      <c r="AW1037" s="94"/>
      <c r="AX1037" s="94"/>
      <c r="AY1037" s="94"/>
      <c r="BA1037" s="95"/>
    </row>
    <row r="1038" spans="1:53" s="87" customFormat="1">
      <c r="A1038" s="90">
        <f t="shared" si="64"/>
        <v>1038</v>
      </c>
      <c r="B1038" s="317" t="s">
        <v>1002</v>
      </c>
      <c r="C1038" s="94"/>
      <c r="D1038" s="94"/>
      <c r="E1038" s="94"/>
      <c r="F1038" s="94"/>
      <c r="G1038" s="94"/>
      <c r="H1038" s="94"/>
      <c r="I1038" s="94"/>
      <c r="J1038" s="94"/>
      <c r="K1038" s="94"/>
      <c r="L1038" s="94"/>
      <c r="M1038" s="94"/>
      <c r="N1038" s="94"/>
      <c r="O1038" s="94"/>
      <c r="P1038" s="94"/>
      <c r="Q1038" s="94"/>
      <c r="R1038" s="94"/>
      <c r="S1038" s="94"/>
      <c r="T1038" s="94"/>
      <c r="U1038" s="94"/>
      <c r="V1038" s="94"/>
      <c r="W1038" s="94"/>
      <c r="X1038" s="94"/>
      <c r="Y1038" s="94"/>
      <c r="Z1038" s="94"/>
      <c r="AA1038" s="94"/>
      <c r="AB1038" s="94"/>
      <c r="AC1038" s="94"/>
      <c r="AD1038" s="94"/>
      <c r="AE1038" s="94"/>
      <c r="AF1038" s="94"/>
      <c r="AG1038" s="94"/>
      <c r="AH1038" s="94"/>
      <c r="AI1038" s="94"/>
      <c r="AJ1038" s="94"/>
      <c r="AK1038" s="94"/>
      <c r="AL1038" s="94"/>
      <c r="AM1038" s="94"/>
      <c r="AN1038" s="94"/>
      <c r="AO1038" s="94"/>
      <c r="AP1038" s="94"/>
      <c r="AQ1038" s="94"/>
      <c r="AR1038" s="94"/>
      <c r="AS1038" s="94"/>
      <c r="AT1038" s="94"/>
      <c r="AU1038" s="94"/>
      <c r="AV1038" s="94"/>
      <c r="AW1038" s="94"/>
      <c r="AX1038" s="94"/>
      <c r="AY1038" s="94"/>
      <c r="BA1038" s="95"/>
    </row>
    <row r="1039" spans="1:53" s="87" customFormat="1">
      <c r="A1039" s="90" t="str">
        <f t="shared" si="64"/>
        <v/>
      </c>
      <c r="B1039" s="98">
        <v>1</v>
      </c>
      <c r="C1039" s="94">
        <v>5</v>
      </c>
      <c r="D1039" s="94" t="s">
        <v>210</v>
      </c>
      <c r="E1039" s="94">
        <v>4</v>
      </c>
      <c r="F1039" s="94">
        <v>-1</v>
      </c>
      <c r="G1039" s="94" t="s">
        <v>210</v>
      </c>
      <c r="H1039" s="94">
        <v>-3</v>
      </c>
      <c r="I1039" s="94"/>
      <c r="J1039" s="94"/>
      <c r="K1039" s="94"/>
      <c r="L1039" s="94"/>
      <c r="M1039" s="94"/>
      <c r="N1039" s="94"/>
      <c r="O1039" s="94"/>
      <c r="P1039" s="94"/>
      <c r="Q1039" s="94"/>
      <c r="R1039" s="94"/>
      <c r="S1039" s="94"/>
      <c r="T1039" s="94"/>
      <c r="U1039" s="94"/>
      <c r="V1039" s="94"/>
      <c r="W1039" s="94"/>
      <c r="X1039" s="94"/>
      <c r="Y1039" s="94"/>
      <c r="Z1039" s="94"/>
      <c r="AA1039" s="94"/>
      <c r="AB1039" s="94"/>
      <c r="AC1039" s="94"/>
      <c r="AD1039" s="94"/>
      <c r="AE1039" s="94"/>
      <c r="AF1039" s="94"/>
      <c r="AG1039" s="94"/>
      <c r="AH1039" s="94"/>
      <c r="AI1039" s="94"/>
      <c r="AJ1039" s="94"/>
      <c r="AK1039" s="94"/>
      <c r="AL1039" s="94"/>
      <c r="AM1039" s="94"/>
      <c r="AN1039" s="94"/>
      <c r="AO1039" s="94"/>
      <c r="AP1039" s="94"/>
      <c r="AQ1039" s="94"/>
      <c r="AR1039" s="94"/>
      <c r="AS1039" s="94"/>
      <c r="AT1039" s="94"/>
      <c r="AU1039" s="94"/>
      <c r="AV1039" s="94"/>
      <c r="AW1039" s="94"/>
      <c r="AX1039" s="94"/>
      <c r="AY1039" s="94"/>
      <c r="BA1039" s="95"/>
    </row>
    <row r="1040" spans="1:53" s="87" customFormat="1">
      <c r="A1040" s="90" t="str">
        <f t="shared" si="64"/>
        <v/>
      </c>
      <c r="B1040" s="98">
        <v>2</v>
      </c>
      <c r="C1040" s="94" t="s">
        <v>210</v>
      </c>
      <c r="D1040" s="94">
        <v>-5</v>
      </c>
      <c r="E1040" s="94">
        <v>-2</v>
      </c>
      <c r="F1040" s="94" t="s">
        <v>210</v>
      </c>
      <c r="G1040" s="94">
        <v>1</v>
      </c>
      <c r="H1040" s="94">
        <v>3</v>
      </c>
      <c r="I1040" s="94"/>
      <c r="J1040" s="94"/>
      <c r="K1040" s="94"/>
      <c r="L1040" s="94"/>
      <c r="M1040" s="94"/>
      <c r="N1040" s="94"/>
      <c r="O1040" s="94"/>
      <c r="P1040" s="94"/>
      <c r="Q1040" s="94"/>
      <c r="R1040" s="94"/>
      <c r="S1040" s="94"/>
      <c r="T1040" s="94"/>
      <c r="U1040" s="94"/>
      <c r="V1040" s="94"/>
      <c r="W1040" s="94"/>
      <c r="X1040" s="94"/>
      <c r="Y1040" s="94"/>
      <c r="Z1040" s="94"/>
      <c r="AA1040" s="94"/>
      <c r="AB1040" s="94"/>
      <c r="AC1040" s="94"/>
      <c r="AD1040" s="94"/>
      <c r="AE1040" s="94"/>
      <c r="AF1040" s="94"/>
      <c r="AG1040" s="94"/>
      <c r="AH1040" s="94"/>
      <c r="AI1040" s="94"/>
      <c r="AJ1040" s="94"/>
      <c r="AK1040" s="94"/>
      <c r="AL1040" s="94"/>
      <c r="AM1040" s="94"/>
      <c r="AN1040" s="94"/>
      <c r="AO1040" s="94"/>
      <c r="AP1040" s="94"/>
      <c r="AQ1040" s="94"/>
      <c r="AR1040" s="94"/>
      <c r="AS1040" s="94"/>
      <c r="AT1040" s="94"/>
      <c r="AU1040" s="94"/>
      <c r="AV1040" s="94"/>
      <c r="AW1040" s="94"/>
      <c r="AX1040" s="94"/>
      <c r="AY1040" s="94"/>
      <c r="BA1040" s="95"/>
    </row>
    <row r="1041" spans="1:53" s="87" customFormat="1">
      <c r="A1041" s="90" t="str">
        <f t="shared" si="64"/>
        <v/>
      </c>
      <c r="B1041" s="98">
        <v>3</v>
      </c>
      <c r="C1041" s="94">
        <v>-2</v>
      </c>
      <c r="D1041" s="94">
        <v>5</v>
      </c>
      <c r="E1041" s="94" t="s">
        <v>210</v>
      </c>
      <c r="F1041" s="94">
        <v>1</v>
      </c>
      <c r="G1041" s="94">
        <v>-4</v>
      </c>
      <c r="H1041" s="94" t="s">
        <v>210</v>
      </c>
      <c r="I1041" s="94"/>
      <c r="J1041" s="94"/>
      <c r="K1041" s="94"/>
      <c r="L1041" s="94"/>
      <c r="M1041" s="94"/>
      <c r="N1041" s="94"/>
      <c r="O1041" s="94"/>
      <c r="P1041" s="94"/>
      <c r="Q1041" s="94"/>
      <c r="R1041" s="94"/>
      <c r="S1041" s="94"/>
      <c r="T1041" s="94"/>
      <c r="U1041" s="94"/>
      <c r="V1041" s="94"/>
      <c r="W1041" s="94"/>
      <c r="X1041" s="94"/>
      <c r="Y1041" s="94"/>
      <c r="Z1041" s="94"/>
      <c r="AA1041" s="94"/>
      <c r="AB1041" s="94"/>
      <c r="AC1041" s="94"/>
      <c r="AD1041" s="94"/>
      <c r="AE1041" s="94"/>
      <c r="AF1041" s="94"/>
      <c r="AG1041" s="94"/>
      <c r="AH1041" s="94"/>
      <c r="AI1041" s="94"/>
      <c r="AJ1041" s="94"/>
      <c r="AK1041" s="94"/>
      <c r="AL1041" s="94"/>
      <c r="AM1041" s="94"/>
      <c r="AN1041" s="94"/>
      <c r="AO1041" s="94"/>
      <c r="AP1041" s="94"/>
      <c r="AQ1041" s="94"/>
      <c r="AR1041" s="94"/>
      <c r="AS1041" s="94"/>
      <c r="AT1041" s="94"/>
      <c r="AU1041" s="94"/>
      <c r="AV1041" s="94"/>
      <c r="AW1041" s="94"/>
      <c r="AX1041" s="94"/>
      <c r="AY1041" s="94"/>
      <c r="BA1041" s="95"/>
    </row>
    <row r="1042" spans="1:53" s="87" customFormat="1">
      <c r="A1042" s="90" t="str">
        <f t="shared" si="64"/>
        <v/>
      </c>
      <c r="B1042" s="98">
        <v>4</v>
      </c>
      <c r="C1042" s="94">
        <v>-5</v>
      </c>
      <c r="D1042" s="94" t="s">
        <v>210</v>
      </c>
      <c r="E1042" s="94">
        <v>2</v>
      </c>
      <c r="F1042" s="94">
        <v>-3</v>
      </c>
      <c r="G1042" s="94">
        <v>4</v>
      </c>
      <c r="H1042" s="94" t="s">
        <v>210</v>
      </c>
      <c r="I1042" s="94"/>
      <c r="J1042" s="94"/>
      <c r="K1042" s="94"/>
      <c r="L1042" s="94"/>
      <c r="M1042" s="94"/>
      <c r="N1042" s="94"/>
      <c r="O1042" s="94"/>
      <c r="P1042" s="94"/>
      <c r="Q1042" s="94"/>
      <c r="R1042" s="94"/>
      <c r="S1042" s="94"/>
      <c r="T1042" s="94"/>
      <c r="U1042" s="94"/>
      <c r="V1042" s="94"/>
      <c r="W1042" s="94"/>
      <c r="X1042" s="94"/>
      <c r="Y1042" s="94"/>
      <c r="Z1042" s="94"/>
      <c r="AA1042" s="94"/>
      <c r="AB1042" s="94"/>
      <c r="AC1042" s="94"/>
      <c r="AD1042" s="94"/>
      <c r="AE1042" s="94"/>
      <c r="AF1042" s="94"/>
      <c r="AG1042" s="94"/>
      <c r="AH1042" s="94"/>
      <c r="AI1042" s="94"/>
      <c r="AJ1042" s="94"/>
      <c r="AK1042" s="94"/>
      <c r="AL1042" s="94"/>
      <c r="AM1042" s="94"/>
      <c r="AN1042" s="94"/>
      <c r="AO1042" s="94"/>
      <c r="AP1042" s="94"/>
      <c r="AQ1042" s="94"/>
      <c r="AR1042" s="94"/>
      <c r="AS1042" s="94"/>
      <c r="AT1042" s="94"/>
      <c r="AU1042" s="94"/>
      <c r="AV1042" s="94"/>
      <c r="AW1042" s="94"/>
      <c r="AX1042" s="94"/>
      <c r="AY1042" s="94"/>
      <c r="BA1042" s="95"/>
    </row>
    <row r="1043" spans="1:53" s="87" customFormat="1">
      <c r="A1043" s="90" t="str">
        <f t="shared" si="64"/>
        <v/>
      </c>
      <c r="B1043" s="99">
        <v>5</v>
      </c>
      <c r="C1043" s="92">
        <v>2</v>
      </c>
      <c r="D1043" s="92" t="s">
        <v>210</v>
      </c>
      <c r="E1043" s="92">
        <v>-4</v>
      </c>
      <c r="F1043" s="92">
        <v>3</v>
      </c>
      <c r="G1043" s="92">
        <v>-1</v>
      </c>
      <c r="H1043" s="92" t="s">
        <v>210</v>
      </c>
      <c r="I1043" s="94"/>
      <c r="J1043" s="94"/>
      <c r="K1043" s="94"/>
      <c r="L1043" s="94"/>
      <c r="M1043" s="94"/>
      <c r="N1043" s="94"/>
      <c r="O1043" s="94"/>
      <c r="P1043" s="94"/>
      <c r="Q1043" s="94"/>
      <c r="R1043" s="94"/>
      <c r="S1043" s="94"/>
      <c r="T1043" s="94"/>
      <c r="U1043" s="94"/>
      <c r="V1043" s="94"/>
      <c r="W1043" s="94"/>
      <c r="X1043" s="94"/>
      <c r="Y1043" s="94"/>
      <c r="Z1043" s="94"/>
      <c r="AA1043" s="94"/>
      <c r="AB1043" s="94"/>
      <c r="AC1043" s="94"/>
      <c r="AD1043" s="94"/>
      <c r="AE1043" s="94"/>
      <c r="AF1043" s="94"/>
      <c r="AG1043" s="94"/>
      <c r="AH1043" s="94"/>
      <c r="AI1043" s="94"/>
      <c r="AJ1043" s="94"/>
      <c r="AK1043" s="94"/>
      <c r="AL1043" s="94"/>
      <c r="AM1043" s="94"/>
      <c r="AN1043" s="94"/>
      <c r="AO1043" s="94"/>
      <c r="AP1043" s="94"/>
      <c r="AQ1043" s="94"/>
      <c r="AR1043" s="94"/>
      <c r="AS1043" s="94"/>
      <c r="AT1043" s="94"/>
      <c r="AU1043" s="94"/>
      <c r="AV1043" s="94"/>
      <c r="AW1043" s="94"/>
      <c r="AX1043" s="94"/>
      <c r="AY1043" s="94"/>
      <c r="BA1043" s="95"/>
    </row>
    <row r="1044" spans="1:53" s="87" customFormat="1">
      <c r="A1044" s="90" t="str">
        <f t="shared" si="64"/>
        <v/>
      </c>
      <c r="B1044" s="98">
        <v>6</v>
      </c>
      <c r="C1044" s="94">
        <v>3</v>
      </c>
      <c r="D1044" s="94">
        <v>1</v>
      </c>
      <c r="E1044" s="94">
        <v>-5</v>
      </c>
      <c r="F1044" s="94" t="s">
        <v>210</v>
      </c>
      <c r="G1044" s="94" t="s">
        <v>210</v>
      </c>
      <c r="H1044" s="94">
        <v>-2</v>
      </c>
      <c r="I1044" s="94"/>
      <c r="J1044" s="94"/>
      <c r="K1044" s="94"/>
      <c r="L1044" s="94"/>
      <c r="M1044" s="94"/>
      <c r="N1044" s="94"/>
      <c r="O1044" s="94"/>
      <c r="P1044" s="94"/>
      <c r="Q1044" s="94"/>
      <c r="R1044" s="94"/>
      <c r="S1044" s="94"/>
      <c r="T1044" s="94"/>
      <c r="U1044" s="94"/>
      <c r="V1044" s="94"/>
      <c r="W1044" s="94"/>
      <c r="X1044" s="94"/>
      <c r="Y1044" s="94"/>
      <c r="Z1044" s="94"/>
      <c r="AA1044" s="94"/>
      <c r="AB1044" s="94"/>
      <c r="AC1044" s="94"/>
      <c r="AD1044" s="94"/>
      <c r="AE1044" s="94"/>
      <c r="AF1044" s="94"/>
      <c r="AG1044" s="94"/>
      <c r="AH1044" s="94"/>
      <c r="AI1044" s="94"/>
      <c r="AJ1044" s="94"/>
      <c r="AK1044" s="94"/>
      <c r="AL1044" s="94"/>
      <c r="AM1044" s="94"/>
      <c r="AN1044" s="94"/>
      <c r="AO1044" s="94"/>
      <c r="AP1044" s="94"/>
      <c r="AQ1044" s="94"/>
      <c r="AR1044" s="94"/>
      <c r="AS1044" s="94"/>
      <c r="AT1044" s="94"/>
      <c r="AU1044" s="94"/>
      <c r="AV1044" s="94"/>
      <c r="AW1044" s="94"/>
      <c r="AX1044" s="94"/>
      <c r="AY1044" s="94"/>
      <c r="BA1044" s="95"/>
    </row>
    <row r="1045" spans="1:53" s="87" customFormat="1">
      <c r="A1045" s="90" t="str">
        <f t="shared" si="64"/>
        <v/>
      </c>
      <c r="B1045" s="98">
        <v>7</v>
      </c>
      <c r="C1045" s="94" t="s">
        <v>210</v>
      </c>
      <c r="D1045" s="94">
        <v>-4</v>
      </c>
      <c r="E1045" s="94">
        <v>-1</v>
      </c>
      <c r="F1045" s="94" t="s">
        <v>210</v>
      </c>
      <c r="G1045" s="94">
        <v>3</v>
      </c>
      <c r="H1045" s="94">
        <v>2</v>
      </c>
      <c r="I1045" s="94"/>
      <c r="J1045" s="94"/>
      <c r="K1045" s="94"/>
      <c r="L1045" s="94"/>
      <c r="M1045" s="94"/>
      <c r="N1045" s="94"/>
      <c r="O1045" s="94"/>
      <c r="P1045" s="94"/>
      <c r="Q1045" s="94"/>
      <c r="R1045" s="94"/>
      <c r="S1045" s="94"/>
      <c r="T1045" s="94"/>
      <c r="U1045" s="94"/>
      <c r="V1045" s="94"/>
      <c r="W1045" s="94"/>
      <c r="X1045" s="94"/>
      <c r="Y1045" s="94"/>
      <c r="Z1045" s="94"/>
      <c r="AA1045" s="94"/>
      <c r="AB1045" s="94"/>
      <c r="AC1045" s="94"/>
      <c r="AD1045" s="94"/>
      <c r="AE1045" s="94"/>
      <c r="AF1045" s="94"/>
      <c r="AG1045" s="94"/>
      <c r="AH1045" s="94"/>
      <c r="AI1045" s="94"/>
      <c r="AJ1045" s="94"/>
      <c r="AK1045" s="94"/>
      <c r="AL1045" s="94"/>
      <c r="AM1045" s="94"/>
      <c r="AN1045" s="94"/>
      <c r="AO1045" s="94"/>
      <c r="AP1045" s="94"/>
      <c r="AQ1045" s="94"/>
      <c r="AR1045" s="94"/>
      <c r="AS1045" s="94"/>
      <c r="AT1045" s="94"/>
      <c r="AU1045" s="94"/>
      <c r="AV1045" s="94"/>
      <c r="AW1045" s="94"/>
      <c r="AX1045" s="94"/>
      <c r="AY1045" s="94"/>
      <c r="BA1045" s="95"/>
    </row>
    <row r="1046" spans="1:53" s="87" customFormat="1">
      <c r="A1046" s="90" t="str">
        <f t="shared" si="64"/>
        <v/>
      </c>
      <c r="B1046" s="98">
        <v>8</v>
      </c>
      <c r="C1046" s="94" t="s">
        <v>210</v>
      </c>
      <c r="D1046" s="94">
        <v>-1</v>
      </c>
      <c r="E1046" s="94" t="s">
        <v>210</v>
      </c>
      <c r="F1046" s="94">
        <v>5</v>
      </c>
      <c r="G1046" s="94">
        <v>-3</v>
      </c>
      <c r="H1046" s="94">
        <v>4</v>
      </c>
      <c r="I1046" s="94"/>
      <c r="J1046" s="94"/>
      <c r="K1046" s="94"/>
      <c r="L1046" s="94"/>
      <c r="M1046" s="94"/>
      <c r="N1046" s="94"/>
      <c r="O1046" s="94"/>
      <c r="P1046" s="94"/>
      <c r="Q1046" s="94"/>
      <c r="R1046" s="94"/>
      <c r="S1046" s="94"/>
      <c r="T1046" s="94"/>
      <c r="U1046" s="94"/>
      <c r="V1046" s="94"/>
      <c r="W1046" s="94"/>
      <c r="X1046" s="94"/>
      <c r="Y1046" s="94"/>
      <c r="Z1046" s="94"/>
      <c r="AA1046" s="94"/>
      <c r="AB1046" s="94"/>
      <c r="AC1046" s="94"/>
      <c r="AD1046" s="94"/>
      <c r="AE1046" s="94"/>
      <c r="AF1046" s="94"/>
      <c r="AG1046" s="94"/>
      <c r="AH1046" s="94"/>
      <c r="AI1046" s="94"/>
      <c r="AJ1046" s="94"/>
      <c r="AK1046" s="94"/>
      <c r="AL1046" s="94"/>
      <c r="AM1046" s="94"/>
      <c r="AN1046" s="94"/>
      <c r="AO1046" s="94"/>
      <c r="AP1046" s="94"/>
      <c r="AQ1046" s="94"/>
      <c r="AR1046" s="94"/>
      <c r="AS1046" s="94"/>
      <c r="AT1046" s="94"/>
      <c r="AU1046" s="94"/>
      <c r="AV1046" s="94"/>
      <c r="AW1046" s="94"/>
      <c r="AX1046" s="94"/>
      <c r="AY1046" s="94"/>
      <c r="BA1046" s="95"/>
    </row>
    <row r="1047" spans="1:53" s="87" customFormat="1">
      <c r="A1047" s="90" t="str">
        <f t="shared" si="64"/>
        <v/>
      </c>
      <c r="B1047" s="98">
        <v>9</v>
      </c>
      <c r="C1047" s="94" t="s">
        <v>210</v>
      </c>
      <c r="D1047" s="94">
        <v>4</v>
      </c>
      <c r="E1047" s="94">
        <v>5</v>
      </c>
      <c r="F1047" s="94" t="s">
        <v>210</v>
      </c>
      <c r="G1047" s="94">
        <v>-2</v>
      </c>
      <c r="H1047" s="94">
        <v>-4</v>
      </c>
      <c r="I1047" s="94"/>
      <c r="J1047" s="94"/>
      <c r="K1047" s="94"/>
      <c r="L1047" s="94"/>
      <c r="M1047" s="94"/>
      <c r="N1047" s="94"/>
      <c r="O1047" s="94"/>
      <c r="P1047" s="94"/>
      <c r="Q1047" s="94"/>
      <c r="R1047" s="94"/>
      <c r="S1047" s="94"/>
      <c r="T1047" s="94"/>
      <c r="U1047" s="94"/>
      <c r="V1047" s="94"/>
      <c r="W1047" s="94"/>
      <c r="X1047" s="94"/>
      <c r="Y1047" s="94"/>
      <c r="Z1047" s="94"/>
      <c r="AA1047" s="94"/>
      <c r="AB1047" s="94"/>
      <c r="AC1047" s="94"/>
      <c r="AD1047" s="94"/>
      <c r="AE1047" s="94"/>
      <c r="AF1047" s="94"/>
      <c r="AG1047" s="94"/>
      <c r="AH1047" s="94"/>
      <c r="AI1047" s="94"/>
      <c r="AJ1047" s="94"/>
      <c r="AK1047" s="94"/>
      <c r="AL1047" s="94"/>
      <c r="AM1047" s="94"/>
      <c r="AN1047" s="94"/>
      <c r="AO1047" s="94"/>
      <c r="AP1047" s="94"/>
      <c r="AQ1047" s="94"/>
      <c r="AR1047" s="94"/>
      <c r="AS1047" s="94"/>
      <c r="AT1047" s="94"/>
      <c r="AU1047" s="94"/>
      <c r="AV1047" s="94"/>
      <c r="AW1047" s="94"/>
      <c r="AX1047" s="94"/>
      <c r="AY1047" s="94"/>
      <c r="BA1047" s="95"/>
    </row>
    <row r="1048" spans="1:53" s="87" customFormat="1">
      <c r="A1048" s="90" t="str">
        <f t="shared" si="64"/>
        <v/>
      </c>
      <c r="B1048" s="99">
        <v>10</v>
      </c>
      <c r="C1048" s="92">
        <v>-3</v>
      </c>
      <c r="D1048" s="92" t="s">
        <v>210</v>
      </c>
      <c r="E1048" s="92">
        <v>1</v>
      </c>
      <c r="F1048" s="92">
        <v>-5</v>
      </c>
      <c r="G1048" s="92">
        <v>2</v>
      </c>
      <c r="H1048" s="92" t="s">
        <v>210</v>
      </c>
      <c r="I1048" s="94"/>
      <c r="J1048" s="94"/>
      <c r="K1048" s="94"/>
      <c r="L1048" s="94"/>
      <c r="M1048" s="94"/>
      <c r="N1048" s="94"/>
      <c r="O1048" s="94"/>
      <c r="P1048" s="94"/>
      <c r="Q1048" s="94"/>
      <c r="R1048" s="94"/>
      <c r="S1048" s="94"/>
      <c r="T1048" s="94"/>
      <c r="U1048" s="94"/>
      <c r="V1048" s="94"/>
      <c r="W1048" s="94"/>
      <c r="X1048" s="94"/>
      <c r="Y1048" s="94"/>
      <c r="Z1048" s="94"/>
      <c r="AA1048" s="94"/>
      <c r="AB1048" s="94"/>
      <c r="AC1048" s="94"/>
      <c r="AD1048" s="94"/>
      <c r="AE1048" s="94"/>
      <c r="AF1048" s="94"/>
      <c r="AG1048" s="94"/>
      <c r="AH1048" s="94"/>
      <c r="AI1048" s="94"/>
      <c r="AJ1048" s="94"/>
      <c r="AK1048" s="94"/>
      <c r="AL1048" s="94"/>
      <c r="AM1048" s="94"/>
      <c r="AN1048" s="94"/>
      <c r="AO1048" s="94"/>
      <c r="AP1048" s="94"/>
      <c r="AQ1048" s="94"/>
      <c r="AR1048" s="94"/>
      <c r="AS1048" s="94"/>
      <c r="AT1048" s="94"/>
      <c r="AU1048" s="94"/>
      <c r="AV1048" s="94"/>
      <c r="AW1048" s="94"/>
      <c r="AX1048" s="94"/>
      <c r="AY1048" s="94"/>
      <c r="BA1048" s="95"/>
    </row>
    <row r="1049" spans="1:53" s="87" customFormat="1">
      <c r="A1049" s="90" t="str">
        <f t="shared" si="64"/>
        <v/>
      </c>
      <c r="B1049" s="98">
        <v>11</v>
      </c>
      <c r="C1049" s="94">
        <v>4</v>
      </c>
      <c r="D1049" s="94">
        <v>3</v>
      </c>
      <c r="E1049" s="94" t="s">
        <v>210</v>
      </c>
      <c r="F1049" s="94">
        <v>-2</v>
      </c>
      <c r="G1049" s="94" t="s">
        <v>210</v>
      </c>
      <c r="H1049" s="94">
        <v>-1</v>
      </c>
      <c r="I1049" s="94"/>
      <c r="J1049" s="94"/>
      <c r="K1049" s="94"/>
      <c r="L1049" s="94"/>
      <c r="M1049" s="94"/>
      <c r="N1049" s="94"/>
      <c r="O1049" s="94"/>
      <c r="P1049" s="94"/>
      <c r="Q1049" s="94"/>
      <c r="R1049" s="94"/>
      <c r="S1049" s="94"/>
      <c r="T1049" s="94"/>
      <c r="U1049" s="94"/>
      <c r="V1049" s="94"/>
      <c r="W1049" s="94"/>
      <c r="X1049" s="94"/>
      <c r="Y1049" s="94"/>
      <c r="Z1049" s="94"/>
      <c r="AA1049" s="94"/>
      <c r="AB1049" s="94"/>
      <c r="AC1049" s="94"/>
      <c r="AD1049" s="94"/>
      <c r="AE1049" s="94"/>
      <c r="AF1049" s="94"/>
      <c r="AG1049" s="94"/>
      <c r="AH1049" s="94"/>
      <c r="AI1049" s="94"/>
      <c r="AJ1049" s="94"/>
      <c r="AK1049" s="94"/>
      <c r="AL1049" s="94"/>
      <c r="AM1049" s="94"/>
      <c r="AN1049" s="94"/>
      <c r="AO1049" s="94"/>
      <c r="AP1049" s="94"/>
      <c r="AQ1049" s="94"/>
      <c r="AR1049" s="94"/>
      <c r="AS1049" s="94"/>
      <c r="AT1049" s="94"/>
      <c r="AU1049" s="94"/>
      <c r="AV1049" s="94"/>
      <c r="AW1049" s="94"/>
      <c r="AX1049" s="94"/>
      <c r="AY1049" s="94"/>
      <c r="BA1049" s="95"/>
    </row>
    <row r="1050" spans="1:53" s="87" customFormat="1">
      <c r="A1050" s="90" t="str">
        <f t="shared" si="64"/>
        <v/>
      </c>
      <c r="B1050" s="98">
        <v>12</v>
      </c>
      <c r="C1050" s="94" t="s">
        <v>210</v>
      </c>
      <c r="D1050" s="94">
        <v>-2</v>
      </c>
      <c r="E1050" s="94" t="s">
        <v>210</v>
      </c>
      <c r="F1050" s="94">
        <v>-4</v>
      </c>
      <c r="G1050" s="94">
        <v>5</v>
      </c>
      <c r="H1050" s="94">
        <v>1</v>
      </c>
      <c r="I1050" s="94"/>
      <c r="J1050" s="94"/>
      <c r="K1050" s="94"/>
      <c r="L1050" s="94"/>
      <c r="M1050" s="94"/>
      <c r="N1050" s="94"/>
      <c r="O1050" s="94"/>
      <c r="P1050" s="94"/>
      <c r="Q1050" s="94"/>
      <c r="R1050" s="94"/>
      <c r="S1050" s="94"/>
      <c r="T1050" s="94"/>
      <c r="U1050" s="94"/>
      <c r="V1050" s="94"/>
      <c r="W1050" s="94"/>
      <c r="X1050" s="94"/>
      <c r="Y1050" s="94"/>
      <c r="Z1050" s="94"/>
      <c r="AA1050" s="94"/>
      <c r="AB1050" s="94"/>
      <c r="AC1050" s="94"/>
      <c r="AD1050" s="94"/>
      <c r="AE1050" s="94"/>
      <c r="AF1050" s="94"/>
      <c r="AG1050" s="94"/>
      <c r="AH1050" s="94"/>
      <c r="AI1050" s="94"/>
      <c r="AJ1050" s="94"/>
      <c r="AK1050" s="94"/>
      <c r="AL1050" s="94"/>
      <c r="AM1050" s="94"/>
      <c r="AN1050" s="94"/>
      <c r="AO1050" s="94"/>
      <c r="AP1050" s="94"/>
      <c r="AQ1050" s="94"/>
      <c r="AR1050" s="94"/>
      <c r="AS1050" s="94"/>
      <c r="AT1050" s="94"/>
      <c r="AU1050" s="94"/>
      <c r="AV1050" s="94"/>
      <c r="AW1050" s="94"/>
      <c r="AX1050" s="94"/>
      <c r="AY1050" s="94"/>
      <c r="BA1050" s="95"/>
    </row>
    <row r="1051" spans="1:53" s="87" customFormat="1">
      <c r="A1051" s="90" t="str">
        <f t="shared" si="64"/>
        <v/>
      </c>
      <c r="B1051" s="98">
        <v>13</v>
      </c>
      <c r="C1051" s="94">
        <v>1</v>
      </c>
      <c r="D1051" s="94" t="s">
        <v>210</v>
      </c>
      <c r="E1051" s="94">
        <v>-3</v>
      </c>
      <c r="F1051" s="94">
        <v>2</v>
      </c>
      <c r="G1051" s="94">
        <v>-5</v>
      </c>
      <c r="H1051" s="94" t="s">
        <v>210</v>
      </c>
      <c r="I1051" s="94"/>
      <c r="J1051" s="94"/>
      <c r="K1051" s="94"/>
      <c r="L1051" s="94"/>
      <c r="M1051" s="94"/>
      <c r="N1051" s="94"/>
      <c r="O1051" s="94"/>
      <c r="P1051" s="94"/>
      <c r="Q1051" s="94"/>
      <c r="R1051" s="94"/>
      <c r="S1051" s="94"/>
      <c r="T1051" s="94"/>
      <c r="U1051" s="94"/>
      <c r="V1051" s="94"/>
      <c r="W1051" s="94"/>
      <c r="X1051" s="94"/>
      <c r="Y1051" s="94"/>
      <c r="Z1051" s="94"/>
      <c r="AA1051" s="94"/>
      <c r="AB1051" s="94"/>
      <c r="AC1051" s="94"/>
      <c r="AD1051" s="94"/>
      <c r="AE1051" s="94"/>
      <c r="AF1051" s="94"/>
      <c r="AG1051" s="94"/>
      <c r="AH1051" s="94"/>
      <c r="AI1051" s="94"/>
      <c r="AJ1051" s="94"/>
      <c r="AK1051" s="94"/>
      <c r="AL1051" s="94"/>
      <c r="AM1051" s="94"/>
      <c r="AN1051" s="94"/>
      <c r="AO1051" s="94"/>
      <c r="AP1051" s="94"/>
      <c r="AQ1051" s="94"/>
      <c r="AR1051" s="94"/>
      <c r="AS1051" s="94"/>
      <c r="AT1051" s="94"/>
      <c r="AU1051" s="94"/>
      <c r="AV1051" s="94"/>
      <c r="AW1051" s="94"/>
      <c r="AX1051" s="94"/>
      <c r="AY1051" s="94"/>
      <c r="BA1051" s="95"/>
    </row>
    <row r="1052" spans="1:53" s="87" customFormat="1">
      <c r="A1052" s="90" t="str">
        <f t="shared" si="64"/>
        <v/>
      </c>
      <c r="B1052" s="98">
        <v>14</v>
      </c>
      <c r="C1052" s="94">
        <v>-4</v>
      </c>
      <c r="D1052" s="94">
        <v>2</v>
      </c>
      <c r="E1052" s="94">
        <v>3</v>
      </c>
      <c r="F1052" s="94" t="s">
        <v>210</v>
      </c>
      <c r="G1052" s="94" t="s">
        <v>210</v>
      </c>
      <c r="H1052" s="94">
        <v>-5</v>
      </c>
      <c r="I1052" s="94"/>
      <c r="J1052" s="94"/>
      <c r="K1052" s="94"/>
      <c r="L1052" s="94"/>
      <c r="M1052" s="94"/>
      <c r="N1052" s="94"/>
      <c r="O1052" s="94"/>
      <c r="P1052" s="94"/>
      <c r="Q1052" s="94"/>
      <c r="R1052" s="94"/>
      <c r="S1052" s="94"/>
      <c r="T1052" s="94"/>
      <c r="U1052" s="94"/>
      <c r="V1052" s="94"/>
      <c r="W1052" s="94"/>
      <c r="X1052" s="94"/>
      <c r="Y1052" s="94"/>
      <c r="Z1052" s="94"/>
      <c r="AA1052" s="94"/>
      <c r="AB1052" s="94"/>
      <c r="AC1052" s="94"/>
      <c r="AD1052" s="94"/>
      <c r="AE1052" s="94"/>
      <c r="AF1052" s="94"/>
      <c r="AG1052" s="94"/>
      <c r="AH1052" s="94"/>
      <c r="AI1052" s="94"/>
      <c r="AJ1052" s="94"/>
      <c r="AK1052" s="94"/>
      <c r="AL1052" s="94"/>
      <c r="AM1052" s="94"/>
      <c r="AN1052" s="94"/>
      <c r="AO1052" s="94"/>
      <c r="AP1052" s="94"/>
      <c r="AQ1052" s="94"/>
      <c r="AR1052" s="94"/>
      <c r="AS1052" s="94"/>
      <c r="AT1052" s="94"/>
      <c r="AU1052" s="94"/>
      <c r="AV1052" s="94"/>
      <c r="AW1052" s="94"/>
      <c r="AX1052" s="94"/>
      <c r="AY1052" s="94"/>
      <c r="BA1052" s="95"/>
    </row>
    <row r="1053" spans="1:53" s="87" customFormat="1">
      <c r="A1053" s="90" t="str">
        <f t="shared" si="64"/>
        <v/>
      </c>
      <c r="B1053" s="98">
        <v>15</v>
      </c>
      <c r="C1053" s="94">
        <v>-1</v>
      </c>
      <c r="D1053" s="94">
        <v>-3</v>
      </c>
      <c r="E1053" s="94" t="s">
        <v>210</v>
      </c>
      <c r="F1053" s="94">
        <v>4</v>
      </c>
      <c r="G1053" s="94" t="s">
        <v>210</v>
      </c>
      <c r="H1053" s="94">
        <v>5</v>
      </c>
      <c r="I1053" s="94"/>
      <c r="J1053" s="94"/>
      <c r="K1053" s="94"/>
      <c r="L1053" s="94"/>
      <c r="M1053" s="94"/>
      <c r="N1053" s="94"/>
      <c r="O1053" s="94"/>
      <c r="P1053" s="94"/>
      <c r="Q1053" s="94"/>
      <c r="R1053" s="94"/>
      <c r="S1053" s="94"/>
      <c r="T1053" s="94"/>
      <c r="U1053" s="94"/>
      <c r="V1053" s="94"/>
      <c r="W1053" s="94"/>
      <c r="X1053" s="94"/>
      <c r="Y1053" s="94"/>
      <c r="Z1053" s="94"/>
      <c r="AA1053" s="94"/>
      <c r="AB1053" s="94"/>
      <c r="AC1053" s="94"/>
      <c r="AD1053" s="94"/>
      <c r="AE1053" s="94"/>
      <c r="AF1053" s="94"/>
      <c r="AG1053" s="94"/>
      <c r="AH1053" s="94"/>
      <c r="AI1053" s="94"/>
      <c r="AJ1053" s="94"/>
      <c r="AK1053" s="94"/>
      <c r="AL1053" s="94"/>
      <c r="AM1053" s="94"/>
      <c r="AN1053" s="94"/>
      <c r="AO1053" s="94"/>
      <c r="AP1053" s="94"/>
      <c r="AQ1053" s="94"/>
      <c r="AR1053" s="94"/>
      <c r="AS1053" s="94"/>
      <c r="AT1053" s="94"/>
      <c r="AU1053" s="94"/>
      <c r="AV1053" s="94"/>
      <c r="AW1053" s="94"/>
      <c r="AX1053" s="94"/>
      <c r="AY1053" s="94"/>
      <c r="BA1053" s="95"/>
    </row>
    <row r="1054" spans="1:53" s="87" customFormat="1">
      <c r="A1054" s="90" t="str">
        <f t="shared" si="64"/>
        <v/>
      </c>
      <c r="B1054" s="317" t="s">
        <v>1001</v>
      </c>
      <c r="C1054" s="94"/>
      <c r="D1054" s="94"/>
      <c r="E1054" s="94"/>
      <c r="F1054" s="94"/>
      <c r="G1054" s="94"/>
      <c r="H1054" s="94"/>
      <c r="I1054" s="94"/>
      <c r="J1054" s="94"/>
      <c r="K1054" s="94"/>
      <c r="L1054" s="94"/>
      <c r="M1054" s="94"/>
      <c r="N1054" s="94"/>
      <c r="O1054" s="94"/>
      <c r="P1054" s="94"/>
      <c r="Q1054" s="94"/>
      <c r="R1054" s="94"/>
      <c r="S1054" s="94"/>
      <c r="T1054" s="94"/>
      <c r="U1054" s="94"/>
      <c r="V1054" s="94"/>
      <c r="W1054" s="94"/>
      <c r="X1054" s="94"/>
      <c r="Y1054" s="94"/>
      <c r="Z1054" s="94"/>
      <c r="AA1054" s="94"/>
      <c r="AB1054" s="94"/>
      <c r="AC1054" s="94"/>
      <c r="AD1054" s="94"/>
      <c r="AE1054" s="94"/>
      <c r="AF1054" s="94"/>
      <c r="AG1054" s="94"/>
      <c r="AH1054" s="94"/>
      <c r="AI1054" s="94"/>
      <c r="AJ1054" s="94"/>
      <c r="AK1054" s="94"/>
      <c r="AL1054" s="94"/>
      <c r="AM1054" s="94"/>
      <c r="AN1054" s="94"/>
      <c r="AO1054" s="94"/>
      <c r="AP1054" s="94"/>
      <c r="AQ1054" s="94"/>
      <c r="AR1054" s="94"/>
      <c r="AS1054" s="94"/>
      <c r="AT1054" s="94"/>
      <c r="AU1054" s="94"/>
      <c r="AV1054" s="94"/>
      <c r="AW1054" s="94"/>
      <c r="AX1054" s="94"/>
      <c r="AY1054" s="94"/>
      <c r="BA1054" s="95"/>
    </row>
    <row r="1055" spans="1:53" s="87" customFormat="1">
      <c r="A1055" s="90">
        <f t="shared" si="64"/>
        <v>1055</v>
      </c>
      <c r="B1055" s="317" t="s">
        <v>1211</v>
      </c>
      <c r="C1055" s="94"/>
      <c r="D1055" s="94"/>
      <c r="E1055" s="94"/>
      <c r="F1055" s="94"/>
      <c r="G1055" s="94"/>
      <c r="H1055" s="94"/>
      <c r="I1055" s="94"/>
      <c r="J1055" s="94"/>
      <c r="K1055" s="94"/>
      <c r="L1055" s="94"/>
      <c r="M1055" s="94"/>
      <c r="N1055" s="94"/>
      <c r="O1055" s="94"/>
      <c r="P1055" s="94"/>
      <c r="Q1055" s="94"/>
      <c r="R1055" s="94"/>
      <c r="S1055" s="94"/>
      <c r="T1055" s="94"/>
      <c r="U1055" s="94"/>
      <c r="V1055" s="94"/>
      <c r="W1055" s="94"/>
      <c r="X1055" s="94"/>
      <c r="Y1055" s="94"/>
      <c r="Z1055" s="94"/>
      <c r="AA1055" s="94"/>
      <c r="AB1055" s="94"/>
      <c r="AC1055" s="94"/>
      <c r="AD1055" s="94"/>
      <c r="AE1055" s="94"/>
      <c r="AF1055" s="94"/>
      <c r="AG1055" s="94"/>
      <c r="AH1055" s="94"/>
      <c r="AI1055" s="94"/>
      <c r="AJ1055" s="94"/>
      <c r="AK1055" s="94"/>
      <c r="AL1055" s="94"/>
      <c r="AM1055" s="94"/>
      <c r="AN1055" s="94"/>
      <c r="AO1055" s="94"/>
      <c r="AP1055" s="94"/>
      <c r="AQ1055" s="94"/>
      <c r="AR1055" s="94"/>
      <c r="AS1055" s="94"/>
      <c r="AT1055" s="94"/>
      <c r="AU1055" s="94"/>
      <c r="AV1055" s="94"/>
      <c r="AW1055" s="94"/>
      <c r="AX1055" s="94"/>
      <c r="AY1055" s="94"/>
      <c r="BA1055" s="95"/>
    </row>
    <row r="1056" spans="1:53" s="87" customFormat="1">
      <c r="A1056" s="90" t="str">
        <f t="shared" si="64"/>
        <v/>
      </c>
      <c r="B1056" s="98">
        <v>1</v>
      </c>
      <c r="C1056" s="94">
        <v>-3</v>
      </c>
      <c r="D1056" s="94" t="s">
        <v>210</v>
      </c>
      <c r="E1056" s="94" t="s">
        <v>210</v>
      </c>
      <c r="F1056" s="94">
        <v>-1</v>
      </c>
      <c r="G1056" s="94" t="s">
        <v>210</v>
      </c>
      <c r="H1056" s="94" t="s">
        <v>210</v>
      </c>
      <c r="I1056" s="94">
        <v>2</v>
      </c>
      <c r="J1056" s="94" t="s">
        <v>210</v>
      </c>
      <c r="K1056" s="94" t="s">
        <v>210</v>
      </c>
      <c r="L1056" s="94">
        <v>5</v>
      </c>
      <c r="M1056" s="94" t="s">
        <v>210</v>
      </c>
      <c r="N1056" s="94" t="s">
        <v>210</v>
      </c>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c r="AM1056" s="94"/>
      <c r="AN1056" s="94"/>
      <c r="AO1056" s="94"/>
      <c r="AP1056" s="94"/>
      <c r="AQ1056" s="94"/>
      <c r="AR1056" s="94"/>
      <c r="AS1056" s="94"/>
      <c r="AT1056" s="94"/>
      <c r="AU1056" s="94"/>
      <c r="AV1056" s="94"/>
      <c r="AW1056" s="94"/>
      <c r="AX1056" s="94"/>
      <c r="AY1056" s="94"/>
      <c r="BA1056" s="95"/>
    </row>
    <row r="1057" spans="1:53" s="87" customFormat="1">
      <c r="A1057" s="90" t="str">
        <f t="shared" si="64"/>
        <v/>
      </c>
      <c r="B1057" s="98">
        <v>2</v>
      </c>
      <c r="C1057" s="94">
        <v>3</v>
      </c>
      <c r="D1057" s="94" t="s">
        <v>210</v>
      </c>
      <c r="E1057" s="94" t="s">
        <v>210</v>
      </c>
      <c r="F1057" s="94">
        <v>4</v>
      </c>
      <c r="G1057" s="94" t="s">
        <v>210</v>
      </c>
      <c r="H1057" s="94" t="s">
        <v>210</v>
      </c>
      <c r="I1057" s="94" t="s">
        <v>210</v>
      </c>
      <c r="J1057" s="94">
        <v>-1</v>
      </c>
      <c r="K1057" s="94" t="s">
        <v>210</v>
      </c>
      <c r="L1057" s="94" t="s">
        <v>210</v>
      </c>
      <c r="M1057" s="94">
        <v>-2</v>
      </c>
      <c r="N1057" s="94" t="s">
        <v>210</v>
      </c>
      <c r="O1057" s="94"/>
      <c r="P1057" s="94"/>
      <c r="Q1057" s="94"/>
      <c r="R1057" s="94"/>
      <c r="S1057" s="94"/>
      <c r="T1057" s="94"/>
      <c r="U1057" s="94"/>
      <c r="V1057" s="94"/>
      <c r="W1057" s="94"/>
      <c r="X1057" s="94"/>
      <c r="Y1057" s="94"/>
      <c r="Z1057" s="94"/>
      <c r="AA1057" s="94"/>
      <c r="AB1057" s="94"/>
      <c r="AC1057" s="94"/>
      <c r="AD1057" s="94"/>
      <c r="AE1057" s="94"/>
      <c r="AF1057" s="94"/>
      <c r="AG1057" s="94"/>
      <c r="AH1057" s="94"/>
      <c r="AI1057" s="94"/>
      <c r="AJ1057" s="94"/>
      <c r="AK1057" s="94"/>
      <c r="AL1057" s="94"/>
      <c r="AM1057" s="94"/>
      <c r="AN1057" s="94"/>
      <c r="AO1057" s="94"/>
      <c r="AP1057" s="94"/>
      <c r="AQ1057" s="94"/>
      <c r="AR1057" s="94"/>
      <c r="AS1057" s="94"/>
      <c r="AT1057" s="94"/>
      <c r="AU1057" s="94"/>
      <c r="AV1057" s="94"/>
      <c r="AW1057" s="94"/>
      <c r="AX1057" s="94"/>
      <c r="AY1057" s="94"/>
      <c r="BA1057" s="95"/>
    </row>
    <row r="1058" spans="1:53" s="87" customFormat="1">
      <c r="A1058" s="90" t="str">
        <f t="shared" si="64"/>
        <v/>
      </c>
      <c r="B1058" s="98">
        <v>3</v>
      </c>
      <c r="C1058" s="94" t="s">
        <v>210</v>
      </c>
      <c r="D1058" s="94">
        <v>3</v>
      </c>
      <c r="E1058" s="94" t="s">
        <v>210</v>
      </c>
      <c r="F1058" s="94">
        <v>-4</v>
      </c>
      <c r="G1058" s="94" t="s">
        <v>210</v>
      </c>
      <c r="H1058" s="94" t="s">
        <v>210</v>
      </c>
      <c r="I1058" s="94">
        <v>-2</v>
      </c>
      <c r="J1058" s="94" t="s">
        <v>210</v>
      </c>
      <c r="K1058" s="94">
        <v>5</v>
      </c>
      <c r="L1058" s="94" t="s">
        <v>210</v>
      </c>
      <c r="M1058" s="94" t="s">
        <v>210</v>
      </c>
      <c r="N1058" s="94" t="s">
        <v>210</v>
      </c>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BA1058" s="95"/>
    </row>
    <row r="1059" spans="1:53" s="87" customFormat="1">
      <c r="A1059" s="90" t="str">
        <f t="shared" si="64"/>
        <v/>
      </c>
      <c r="B1059" s="98">
        <v>4</v>
      </c>
      <c r="C1059" s="94" t="s">
        <v>210</v>
      </c>
      <c r="D1059" s="94">
        <v>-3</v>
      </c>
      <c r="E1059" s="94" t="s">
        <v>210</v>
      </c>
      <c r="F1059" s="94" t="s">
        <v>210</v>
      </c>
      <c r="G1059" s="94" t="s">
        <v>210</v>
      </c>
      <c r="H1059" s="94">
        <v>4</v>
      </c>
      <c r="I1059" s="94" t="s">
        <v>210</v>
      </c>
      <c r="J1059" s="94">
        <v>1</v>
      </c>
      <c r="K1059" s="94" t="s">
        <v>210</v>
      </c>
      <c r="L1059" s="94">
        <v>-5</v>
      </c>
      <c r="M1059" s="94" t="s">
        <v>210</v>
      </c>
      <c r="N1059" s="94" t="s">
        <v>210</v>
      </c>
      <c r="O1059" s="94"/>
      <c r="P1059" s="94"/>
      <c r="Q1059" s="94"/>
      <c r="R1059" s="94"/>
      <c r="S1059" s="94"/>
      <c r="T1059" s="94"/>
      <c r="U1059" s="94"/>
      <c r="V1059" s="94"/>
      <c r="W1059" s="94"/>
      <c r="X1059" s="94"/>
      <c r="Y1059" s="94"/>
      <c r="Z1059" s="94"/>
      <c r="AA1059" s="94"/>
      <c r="AB1059" s="94"/>
      <c r="AC1059" s="94"/>
      <c r="AD1059" s="94"/>
      <c r="AE1059" s="94"/>
      <c r="AF1059" s="94"/>
      <c r="AG1059" s="94"/>
      <c r="AH1059" s="94"/>
      <c r="AI1059" s="94"/>
      <c r="AJ1059" s="94"/>
      <c r="AK1059" s="94"/>
      <c r="AL1059" s="94"/>
      <c r="AM1059" s="94"/>
      <c r="AN1059" s="94"/>
      <c r="AO1059" s="94"/>
      <c r="AP1059" s="94"/>
      <c r="AQ1059" s="94"/>
      <c r="AR1059" s="94"/>
      <c r="AS1059" s="94"/>
      <c r="AT1059" s="94"/>
      <c r="AU1059" s="94"/>
      <c r="AV1059" s="94"/>
      <c r="AW1059" s="94"/>
      <c r="AX1059" s="94"/>
      <c r="AY1059" s="94"/>
      <c r="BA1059" s="95"/>
    </row>
    <row r="1060" spans="1:53" s="87" customFormat="1">
      <c r="A1060" s="90" t="str">
        <f t="shared" si="64"/>
        <v/>
      </c>
      <c r="B1060" s="99">
        <v>5</v>
      </c>
      <c r="C1060" s="92" t="s">
        <v>210</v>
      </c>
      <c r="D1060" s="92" t="s">
        <v>210</v>
      </c>
      <c r="E1060" s="92" t="s">
        <v>210</v>
      </c>
      <c r="F1060" s="92">
        <v>1</v>
      </c>
      <c r="G1060" s="92" t="s">
        <v>210</v>
      </c>
      <c r="H1060" s="92">
        <v>-4</v>
      </c>
      <c r="I1060" s="92" t="s">
        <v>210</v>
      </c>
      <c r="J1060" s="92" t="s">
        <v>210</v>
      </c>
      <c r="K1060" s="92">
        <v>-5</v>
      </c>
      <c r="L1060" s="92" t="s">
        <v>210</v>
      </c>
      <c r="M1060" s="92">
        <v>2</v>
      </c>
      <c r="N1060" s="92" t="s">
        <v>210</v>
      </c>
      <c r="O1060" s="94"/>
      <c r="P1060" s="94"/>
      <c r="Q1060" s="94"/>
      <c r="R1060" s="94"/>
      <c r="S1060" s="94"/>
      <c r="T1060" s="94"/>
      <c r="U1060" s="94"/>
      <c r="V1060" s="94"/>
      <c r="W1060" s="94"/>
      <c r="X1060" s="94"/>
      <c r="Y1060" s="94"/>
      <c r="Z1060" s="94"/>
      <c r="AA1060" s="94"/>
      <c r="AB1060" s="94"/>
      <c r="AC1060" s="94"/>
      <c r="AD1060" s="94"/>
      <c r="AE1060" s="94"/>
      <c r="AF1060" s="94"/>
      <c r="AG1060" s="94"/>
      <c r="AH1060" s="94"/>
      <c r="AI1060" s="94"/>
      <c r="AJ1060" s="94"/>
      <c r="AK1060" s="94"/>
      <c r="AL1060" s="94"/>
      <c r="AM1060" s="94"/>
      <c r="AN1060" s="94"/>
      <c r="AO1060" s="94"/>
      <c r="AP1060" s="94"/>
      <c r="AQ1060" s="94"/>
      <c r="AR1060" s="94"/>
      <c r="AS1060" s="94"/>
      <c r="AT1060" s="94"/>
      <c r="AU1060" s="94"/>
      <c r="AV1060" s="94"/>
      <c r="AW1060" s="94"/>
      <c r="AX1060" s="94"/>
      <c r="AY1060" s="94"/>
      <c r="BA1060" s="95"/>
    </row>
    <row r="1061" spans="1:53" s="87" customFormat="1">
      <c r="A1061" s="90" t="str">
        <f t="shared" si="64"/>
        <v/>
      </c>
      <c r="B1061" s="98">
        <v>6</v>
      </c>
      <c r="C1061" s="94" t="s">
        <v>210</v>
      </c>
      <c r="D1061" s="94">
        <v>-5</v>
      </c>
      <c r="E1061" s="94" t="s">
        <v>210</v>
      </c>
      <c r="F1061" s="94" t="s">
        <v>210</v>
      </c>
      <c r="G1061" s="94">
        <v>-2</v>
      </c>
      <c r="H1061" s="94" t="s">
        <v>210</v>
      </c>
      <c r="I1061" s="94">
        <v>4</v>
      </c>
      <c r="J1061" s="94" t="s">
        <v>210</v>
      </c>
      <c r="K1061" s="94" t="s">
        <v>210</v>
      </c>
      <c r="L1061" s="94" t="s">
        <v>210</v>
      </c>
      <c r="M1061" s="94">
        <v>1</v>
      </c>
      <c r="N1061" s="94" t="s">
        <v>210</v>
      </c>
      <c r="O1061" s="94"/>
      <c r="P1061" s="94"/>
      <c r="Q1061" s="94"/>
      <c r="R1061" s="94"/>
      <c r="S1061" s="94"/>
      <c r="T1061" s="94"/>
      <c r="U1061" s="94"/>
      <c r="V1061" s="94"/>
      <c r="W1061" s="94"/>
      <c r="X1061" s="94"/>
      <c r="Y1061" s="94"/>
      <c r="Z1061" s="94"/>
      <c r="AA1061" s="94"/>
      <c r="AB1061" s="94"/>
      <c r="AC1061" s="94"/>
      <c r="AD1061" s="94"/>
      <c r="AE1061" s="94"/>
      <c r="AF1061" s="94"/>
      <c r="AG1061" s="94"/>
      <c r="AH1061" s="94"/>
      <c r="AI1061" s="94"/>
      <c r="AJ1061" s="94"/>
      <c r="AK1061" s="94"/>
      <c r="AL1061" s="94"/>
      <c r="AM1061" s="94"/>
      <c r="AN1061" s="94"/>
      <c r="AO1061" s="94"/>
      <c r="AP1061" s="94"/>
      <c r="AQ1061" s="94"/>
      <c r="AR1061" s="94"/>
      <c r="AS1061" s="94"/>
      <c r="AT1061" s="94"/>
      <c r="AU1061" s="94"/>
      <c r="AV1061" s="94"/>
      <c r="AW1061" s="94"/>
      <c r="AX1061" s="94"/>
      <c r="AY1061" s="94"/>
      <c r="BA1061" s="95"/>
    </row>
    <row r="1062" spans="1:53" s="87" customFormat="1">
      <c r="A1062" s="90" t="str">
        <f t="shared" si="64"/>
        <v/>
      </c>
      <c r="B1062" s="98">
        <v>7</v>
      </c>
      <c r="C1062" s="94" t="s">
        <v>210</v>
      </c>
      <c r="D1062" s="94" t="s">
        <v>210</v>
      </c>
      <c r="E1062" s="94">
        <v>1</v>
      </c>
      <c r="F1062" s="94" t="s">
        <v>210</v>
      </c>
      <c r="G1062" s="94">
        <v>2</v>
      </c>
      <c r="H1062" s="94" t="s">
        <v>210</v>
      </c>
      <c r="I1062" s="94" t="s">
        <v>210</v>
      </c>
      <c r="J1062" s="94">
        <v>-3</v>
      </c>
      <c r="K1062" s="94" t="s">
        <v>210</v>
      </c>
      <c r="L1062" s="94" t="s">
        <v>210</v>
      </c>
      <c r="M1062" s="94" t="s">
        <v>210</v>
      </c>
      <c r="N1062" s="94">
        <v>-4</v>
      </c>
      <c r="O1062" s="94"/>
      <c r="P1062" s="94"/>
      <c r="Q1062" s="94"/>
      <c r="R1062" s="94"/>
      <c r="S1062" s="94"/>
      <c r="T1062" s="94"/>
      <c r="U1062" s="94"/>
      <c r="V1062" s="94"/>
      <c r="W1062" s="94"/>
      <c r="X1062" s="94"/>
      <c r="Y1062" s="94"/>
      <c r="Z1062" s="94"/>
      <c r="AA1062" s="94"/>
      <c r="AB1062" s="94"/>
      <c r="AC1062" s="94"/>
      <c r="AD1062" s="94"/>
      <c r="AE1062" s="94"/>
      <c r="AF1062" s="94"/>
      <c r="AG1062" s="94"/>
      <c r="AH1062" s="94"/>
      <c r="AI1062" s="94"/>
      <c r="AJ1062" s="94"/>
      <c r="AK1062" s="94"/>
      <c r="AL1062" s="94"/>
      <c r="AM1062" s="94"/>
      <c r="AN1062" s="94"/>
      <c r="AO1062" s="94"/>
      <c r="AP1062" s="94"/>
      <c r="AQ1062" s="94"/>
      <c r="AR1062" s="94"/>
      <c r="AS1062" s="94"/>
      <c r="AT1062" s="94"/>
      <c r="AU1062" s="94"/>
      <c r="AV1062" s="94"/>
      <c r="AW1062" s="94"/>
      <c r="AX1062" s="94"/>
      <c r="AY1062" s="94"/>
      <c r="BA1062" s="95"/>
    </row>
    <row r="1063" spans="1:53" s="87" customFormat="1">
      <c r="A1063" s="90" t="str">
        <f t="shared" si="64"/>
        <v/>
      </c>
      <c r="B1063" s="98">
        <v>8</v>
      </c>
      <c r="C1063" s="94">
        <v>-5</v>
      </c>
      <c r="D1063" s="94" t="s">
        <v>210</v>
      </c>
      <c r="E1063" s="94" t="s">
        <v>210</v>
      </c>
      <c r="F1063" s="94" t="s">
        <v>210</v>
      </c>
      <c r="G1063" s="94" t="s">
        <v>210</v>
      </c>
      <c r="H1063" s="94">
        <v>2</v>
      </c>
      <c r="I1063" s="94" t="s">
        <v>210</v>
      </c>
      <c r="J1063" s="94">
        <v>3</v>
      </c>
      <c r="K1063" s="94" t="s">
        <v>210</v>
      </c>
      <c r="L1063" s="94" t="s">
        <v>210</v>
      </c>
      <c r="M1063" s="94">
        <v>-1</v>
      </c>
      <c r="N1063" s="94" t="s">
        <v>210</v>
      </c>
      <c r="O1063" s="94"/>
      <c r="P1063" s="94"/>
      <c r="Q1063" s="94"/>
      <c r="R1063" s="94"/>
      <c r="S1063" s="94"/>
      <c r="T1063" s="94"/>
      <c r="U1063" s="94"/>
      <c r="V1063" s="94"/>
      <c r="W1063" s="94"/>
      <c r="X1063" s="94"/>
      <c r="Y1063" s="94"/>
      <c r="Z1063" s="94"/>
      <c r="AA1063" s="94"/>
      <c r="AB1063" s="94"/>
      <c r="AC1063" s="94"/>
      <c r="AD1063" s="94"/>
      <c r="AE1063" s="94"/>
      <c r="AF1063" s="94"/>
      <c r="AG1063" s="94"/>
      <c r="AH1063" s="94"/>
      <c r="AI1063" s="94"/>
      <c r="AJ1063" s="94"/>
      <c r="AK1063" s="94"/>
      <c r="AL1063" s="94"/>
      <c r="AM1063" s="94"/>
      <c r="AN1063" s="94"/>
      <c r="AO1063" s="94"/>
      <c r="AP1063" s="94"/>
      <c r="AQ1063" s="94"/>
      <c r="AR1063" s="94"/>
      <c r="AS1063" s="94"/>
      <c r="AT1063" s="94"/>
      <c r="AU1063" s="94"/>
      <c r="AV1063" s="94"/>
      <c r="AW1063" s="94"/>
      <c r="AX1063" s="94"/>
      <c r="AY1063" s="94"/>
      <c r="BA1063" s="95"/>
    </row>
    <row r="1064" spans="1:53" s="87" customFormat="1">
      <c r="A1064" s="90" t="str">
        <f t="shared" si="64"/>
        <v/>
      </c>
      <c r="B1064" s="98">
        <v>9</v>
      </c>
      <c r="C1064" s="94" t="s">
        <v>210</v>
      </c>
      <c r="D1064" s="94">
        <v>5</v>
      </c>
      <c r="E1064" s="94" t="s">
        <v>210</v>
      </c>
      <c r="F1064" s="94" t="s">
        <v>210</v>
      </c>
      <c r="G1064" s="94" t="s">
        <v>210</v>
      </c>
      <c r="H1064" s="94">
        <v>-2</v>
      </c>
      <c r="I1064" s="94" t="s">
        <v>210</v>
      </c>
      <c r="J1064" s="94" t="s">
        <v>210</v>
      </c>
      <c r="K1064" s="94" t="s">
        <v>210</v>
      </c>
      <c r="L1064" s="94">
        <v>-3</v>
      </c>
      <c r="M1064" s="94" t="s">
        <v>210</v>
      </c>
      <c r="N1064" s="94">
        <v>4</v>
      </c>
      <c r="O1064" s="94"/>
      <c r="P1064" s="94"/>
      <c r="Q1064" s="94"/>
      <c r="R1064" s="94"/>
      <c r="S1064" s="94"/>
      <c r="T1064" s="94"/>
      <c r="U1064" s="94"/>
      <c r="V1064" s="94"/>
      <c r="W1064" s="94"/>
      <c r="X1064" s="94"/>
      <c r="Y1064" s="94"/>
      <c r="Z1064" s="94"/>
      <c r="AA1064" s="94"/>
      <c r="AB1064" s="94"/>
      <c r="AC1064" s="94"/>
      <c r="AD1064" s="94"/>
      <c r="AE1064" s="94"/>
      <c r="AF1064" s="94"/>
      <c r="AG1064" s="94"/>
      <c r="AH1064" s="94"/>
      <c r="AI1064" s="94"/>
      <c r="AJ1064" s="94"/>
      <c r="AK1064" s="94"/>
      <c r="AL1064" s="94"/>
      <c r="AM1064" s="94"/>
      <c r="AN1064" s="94"/>
      <c r="AO1064" s="94"/>
      <c r="AP1064" s="94"/>
      <c r="AQ1064" s="94"/>
      <c r="AR1064" s="94"/>
      <c r="AS1064" s="94"/>
      <c r="AT1064" s="94"/>
      <c r="AU1064" s="94"/>
      <c r="AV1064" s="94"/>
      <c r="AW1064" s="94"/>
      <c r="AX1064" s="94"/>
      <c r="AY1064" s="94"/>
      <c r="BA1064" s="95"/>
    </row>
    <row r="1065" spans="1:53" s="87" customFormat="1">
      <c r="A1065" s="90" t="str">
        <f t="shared" si="64"/>
        <v/>
      </c>
      <c r="B1065" s="99">
        <v>10</v>
      </c>
      <c r="C1065" s="92">
        <v>5</v>
      </c>
      <c r="D1065" s="92" t="s">
        <v>210</v>
      </c>
      <c r="E1065" s="92">
        <v>-1</v>
      </c>
      <c r="F1065" s="92" t="s">
        <v>210</v>
      </c>
      <c r="G1065" s="92" t="s">
        <v>210</v>
      </c>
      <c r="H1065" s="92" t="s">
        <v>210</v>
      </c>
      <c r="I1065" s="92">
        <v>-4</v>
      </c>
      <c r="J1065" s="92" t="s">
        <v>210</v>
      </c>
      <c r="K1065" s="92" t="s">
        <v>210</v>
      </c>
      <c r="L1065" s="92">
        <v>3</v>
      </c>
      <c r="M1065" s="92" t="s">
        <v>210</v>
      </c>
      <c r="N1065" s="92" t="s">
        <v>210</v>
      </c>
      <c r="O1065" s="94"/>
      <c r="P1065" s="94"/>
      <c r="Q1065" s="94"/>
      <c r="R1065" s="94"/>
      <c r="S1065" s="94"/>
      <c r="T1065" s="94"/>
      <c r="U1065" s="94"/>
      <c r="V1065" s="94"/>
      <c r="W1065" s="94"/>
      <c r="X1065" s="94"/>
      <c r="Y1065" s="94"/>
      <c r="Z1065" s="94"/>
      <c r="AA1065" s="94"/>
      <c r="AB1065" s="94"/>
      <c r="AC1065" s="94"/>
      <c r="AD1065" s="94"/>
      <c r="AE1065" s="94"/>
      <c r="AF1065" s="94"/>
      <c r="AG1065" s="94"/>
      <c r="AH1065" s="94"/>
      <c r="AI1065" s="94"/>
      <c r="AJ1065" s="94"/>
      <c r="AK1065" s="94"/>
      <c r="AL1065" s="94"/>
      <c r="AM1065" s="94"/>
      <c r="AN1065" s="94"/>
      <c r="AO1065" s="94"/>
      <c r="AP1065" s="94"/>
      <c r="AQ1065" s="94"/>
      <c r="AR1065" s="94"/>
      <c r="AS1065" s="94"/>
      <c r="AT1065" s="94"/>
      <c r="AU1065" s="94"/>
      <c r="AV1065" s="94"/>
      <c r="AW1065" s="94"/>
      <c r="AX1065" s="94"/>
      <c r="AY1065" s="94"/>
      <c r="BA1065" s="95"/>
    </row>
    <row r="1066" spans="1:53" s="87" customFormat="1">
      <c r="A1066" s="90" t="str">
        <f t="shared" si="64"/>
        <v/>
      </c>
      <c r="B1066" s="98">
        <v>11</v>
      </c>
      <c r="C1066" s="94" t="s">
        <v>210</v>
      </c>
      <c r="D1066" s="94" t="s">
        <v>210</v>
      </c>
      <c r="E1066" s="94">
        <v>2</v>
      </c>
      <c r="F1066" s="94" t="s">
        <v>210</v>
      </c>
      <c r="G1066" s="94" t="s">
        <v>210</v>
      </c>
      <c r="H1066" s="94">
        <v>5</v>
      </c>
      <c r="I1066" s="94" t="s">
        <v>210</v>
      </c>
      <c r="J1066" s="94" t="s">
        <v>210</v>
      </c>
      <c r="K1066" s="94">
        <v>-4</v>
      </c>
      <c r="L1066" s="94" t="s">
        <v>210</v>
      </c>
      <c r="M1066" s="94">
        <v>-3</v>
      </c>
      <c r="N1066" s="94" t="s">
        <v>210</v>
      </c>
      <c r="O1066" s="94"/>
      <c r="P1066" s="94"/>
      <c r="Q1066" s="94"/>
      <c r="R1066" s="94"/>
      <c r="S1066" s="94"/>
      <c r="T1066" s="94"/>
      <c r="U1066" s="94"/>
      <c r="V1066" s="94"/>
      <c r="W1066" s="94"/>
      <c r="X1066" s="94"/>
      <c r="Y1066" s="94"/>
      <c r="Z1066" s="94"/>
      <c r="AA1066" s="94"/>
      <c r="AB1066" s="94"/>
      <c r="AC1066" s="94"/>
      <c r="AD1066" s="94"/>
      <c r="AE1066" s="94"/>
      <c r="AF1066" s="94"/>
      <c r="AG1066" s="94"/>
      <c r="AH1066" s="94"/>
      <c r="AI1066" s="94"/>
      <c r="AJ1066" s="94"/>
      <c r="AK1066" s="94"/>
      <c r="AL1066" s="94"/>
      <c r="AM1066" s="94"/>
      <c r="AN1066" s="94"/>
      <c r="AO1066" s="94"/>
      <c r="AP1066" s="94"/>
      <c r="AQ1066" s="94"/>
      <c r="AR1066" s="94"/>
      <c r="AS1066" s="94"/>
      <c r="AT1066" s="94"/>
      <c r="AU1066" s="94"/>
      <c r="AV1066" s="94"/>
      <c r="AW1066" s="94"/>
      <c r="AX1066" s="94"/>
      <c r="AY1066" s="94"/>
      <c r="BA1066" s="95"/>
    </row>
    <row r="1067" spans="1:53" s="87" customFormat="1">
      <c r="A1067" s="90" t="str">
        <f t="shared" si="64"/>
        <v/>
      </c>
      <c r="B1067" s="98">
        <v>12</v>
      </c>
      <c r="C1067" s="94" t="s">
        <v>210</v>
      </c>
      <c r="D1067" s="94" t="s">
        <v>210</v>
      </c>
      <c r="E1067" s="94" t="s">
        <v>210</v>
      </c>
      <c r="F1067" s="94">
        <v>-2</v>
      </c>
      <c r="G1067" s="94" t="s">
        <v>210</v>
      </c>
      <c r="H1067" s="94" t="s">
        <v>210</v>
      </c>
      <c r="I1067" s="94">
        <v>-5</v>
      </c>
      <c r="J1067" s="94" t="s">
        <v>210</v>
      </c>
      <c r="K1067" s="94">
        <v>4</v>
      </c>
      <c r="L1067" s="94" t="s">
        <v>210</v>
      </c>
      <c r="M1067" s="94" t="s">
        <v>210</v>
      </c>
      <c r="N1067" s="94">
        <v>1</v>
      </c>
      <c r="O1067" s="94"/>
      <c r="P1067" s="94"/>
      <c r="Q1067" s="94"/>
      <c r="R1067" s="94"/>
      <c r="S1067" s="94"/>
      <c r="T1067" s="94"/>
      <c r="U1067" s="94"/>
      <c r="V1067" s="94"/>
      <c r="W1067" s="94"/>
      <c r="X1067" s="94"/>
      <c r="Y1067" s="94"/>
      <c r="Z1067" s="94"/>
      <c r="AA1067" s="94"/>
      <c r="AB1067" s="94"/>
      <c r="AC1067" s="94"/>
      <c r="AD1067" s="94"/>
      <c r="AE1067" s="94"/>
      <c r="AF1067" s="94"/>
      <c r="AG1067" s="94"/>
      <c r="AH1067" s="94"/>
      <c r="AI1067" s="94"/>
      <c r="AJ1067" s="94"/>
      <c r="AK1067" s="94"/>
      <c r="AL1067" s="94"/>
      <c r="AM1067" s="94"/>
      <c r="AN1067" s="94"/>
      <c r="AO1067" s="94"/>
      <c r="AP1067" s="94"/>
      <c r="AQ1067" s="94"/>
      <c r="AR1067" s="94"/>
      <c r="AS1067" s="94"/>
      <c r="AT1067" s="94"/>
      <c r="AU1067" s="94"/>
      <c r="AV1067" s="94"/>
      <c r="AW1067" s="94"/>
      <c r="AX1067" s="94"/>
      <c r="AY1067" s="94"/>
      <c r="BA1067" s="95"/>
    </row>
    <row r="1068" spans="1:53" s="87" customFormat="1">
      <c r="A1068" s="90" t="str">
        <f t="shared" si="64"/>
        <v/>
      </c>
      <c r="B1068" s="98">
        <v>13</v>
      </c>
      <c r="C1068" s="94" t="s">
        <v>210</v>
      </c>
      <c r="D1068" s="94" t="s">
        <v>210</v>
      </c>
      <c r="E1068" s="94">
        <v>-2</v>
      </c>
      <c r="F1068" s="94" t="s">
        <v>210</v>
      </c>
      <c r="G1068" s="94">
        <v>4</v>
      </c>
      <c r="H1068" s="94" t="s">
        <v>210</v>
      </c>
      <c r="I1068" s="94" t="s">
        <v>210</v>
      </c>
      <c r="J1068" s="94" t="s">
        <v>210</v>
      </c>
      <c r="K1068" s="94">
        <v>3</v>
      </c>
      <c r="L1068" s="94" t="s">
        <v>210</v>
      </c>
      <c r="M1068" s="94" t="s">
        <v>210</v>
      </c>
      <c r="N1068" s="94">
        <v>-1</v>
      </c>
      <c r="O1068" s="94"/>
      <c r="P1068" s="94"/>
      <c r="Q1068" s="94"/>
      <c r="R1068" s="94"/>
      <c r="S1068" s="94"/>
      <c r="T1068" s="94"/>
      <c r="U1068" s="94"/>
      <c r="V1068" s="94"/>
      <c r="W1068" s="94"/>
      <c r="X1068" s="94"/>
      <c r="Y1068" s="94"/>
      <c r="Z1068" s="94"/>
      <c r="AA1068" s="94"/>
      <c r="AB1068" s="94"/>
      <c r="AC1068" s="94"/>
      <c r="AD1068" s="94"/>
      <c r="AE1068" s="94"/>
      <c r="AF1068" s="94"/>
      <c r="AG1068" s="94"/>
      <c r="AH1068" s="94"/>
      <c r="AI1068" s="94"/>
      <c r="AJ1068" s="94"/>
      <c r="AK1068" s="94"/>
      <c r="AL1068" s="94"/>
      <c r="AM1068" s="94"/>
      <c r="AN1068" s="94"/>
      <c r="AO1068" s="94"/>
      <c r="AP1068" s="94"/>
      <c r="AQ1068" s="94"/>
      <c r="AR1068" s="94"/>
      <c r="AS1068" s="94"/>
      <c r="AT1068" s="94"/>
      <c r="AU1068" s="94"/>
      <c r="AV1068" s="94"/>
      <c r="AW1068" s="94"/>
      <c r="AX1068" s="94"/>
      <c r="AY1068" s="94"/>
      <c r="BA1068" s="95"/>
    </row>
    <row r="1069" spans="1:53" s="87" customFormat="1">
      <c r="A1069" s="90" t="str">
        <f t="shared" si="64"/>
        <v/>
      </c>
      <c r="B1069" s="98">
        <v>14</v>
      </c>
      <c r="C1069" s="94" t="s">
        <v>210</v>
      </c>
      <c r="D1069" s="94">
        <v>1</v>
      </c>
      <c r="E1069" s="94" t="s">
        <v>210</v>
      </c>
      <c r="F1069" s="94">
        <v>2</v>
      </c>
      <c r="G1069" s="94" t="s">
        <v>210</v>
      </c>
      <c r="H1069" s="94">
        <v>-5</v>
      </c>
      <c r="I1069" s="94" t="s">
        <v>210</v>
      </c>
      <c r="J1069" s="94" t="s">
        <v>210</v>
      </c>
      <c r="K1069" s="94">
        <v>-3</v>
      </c>
      <c r="L1069" s="94" t="s">
        <v>210</v>
      </c>
      <c r="M1069" s="94" t="s">
        <v>210</v>
      </c>
      <c r="N1069" s="94" t="s">
        <v>210</v>
      </c>
      <c r="O1069" s="94"/>
      <c r="P1069" s="94"/>
      <c r="Q1069" s="94"/>
      <c r="R1069" s="94"/>
      <c r="S1069" s="94"/>
      <c r="T1069" s="94"/>
      <c r="U1069" s="94"/>
      <c r="V1069" s="94"/>
      <c r="W1069" s="94"/>
      <c r="X1069" s="94"/>
      <c r="Y1069" s="94"/>
      <c r="Z1069" s="94"/>
      <c r="AA1069" s="94"/>
      <c r="AB1069" s="94"/>
      <c r="AC1069" s="94"/>
      <c r="AD1069" s="94"/>
      <c r="AE1069" s="94"/>
      <c r="AF1069" s="94"/>
      <c r="AG1069" s="94"/>
      <c r="AH1069" s="94"/>
      <c r="AI1069" s="94"/>
      <c r="AJ1069" s="94"/>
      <c r="AK1069" s="94"/>
      <c r="AL1069" s="94"/>
      <c r="AM1069" s="94"/>
      <c r="AN1069" s="94"/>
      <c r="AO1069" s="94"/>
      <c r="AP1069" s="94"/>
      <c r="AQ1069" s="94"/>
      <c r="AR1069" s="94"/>
      <c r="AS1069" s="94"/>
      <c r="AT1069" s="94"/>
      <c r="AU1069" s="94"/>
      <c r="AV1069" s="94"/>
      <c r="AW1069" s="94"/>
      <c r="AX1069" s="94"/>
      <c r="AY1069" s="94"/>
      <c r="BA1069" s="95"/>
    </row>
    <row r="1070" spans="1:53" s="87" customFormat="1">
      <c r="A1070" s="90" t="str">
        <f t="shared" si="64"/>
        <v/>
      </c>
      <c r="B1070" s="99">
        <v>15</v>
      </c>
      <c r="C1070" s="92" t="s">
        <v>210</v>
      </c>
      <c r="D1070" s="92">
        <v>-1</v>
      </c>
      <c r="E1070" s="92" t="s">
        <v>210</v>
      </c>
      <c r="F1070" s="92" t="s">
        <v>210</v>
      </c>
      <c r="G1070" s="92">
        <v>-4</v>
      </c>
      <c r="H1070" s="92" t="s">
        <v>210</v>
      </c>
      <c r="I1070" s="92">
        <v>5</v>
      </c>
      <c r="J1070" s="92" t="s">
        <v>210</v>
      </c>
      <c r="K1070" s="92" t="s">
        <v>210</v>
      </c>
      <c r="L1070" s="92" t="s">
        <v>210</v>
      </c>
      <c r="M1070" s="92">
        <v>3</v>
      </c>
      <c r="N1070" s="92" t="s">
        <v>210</v>
      </c>
      <c r="O1070" s="94"/>
      <c r="P1070" s="94"/>
      <c r="Q1070" s="94"/>
      <c r="R1070" s="94"/>
      <c r="S1070" s="94"/>
      <c r="T1070" s="94"/>
      <c r="U1070" s="94"/>
      <c r="V1070" s="94"/>
      <c r="W1070" s="94"/>
      <c r="X1070" s="94"/>
      <c r="Y1070" s="94"/>
      <c r="Z1070" s="94"/>
      <c r="AA1070" s="94"/>
      <c r="AB1070" s="94"/>
      <c r="AC1070" s="94"/>
      <c r="AD1070" s="94"/>
      <c r="AE1070" s="94"/>
      <c r="AF1070" s="94"/>
      <c r="AG1070" s="94"/>
      <c r="AH1070" s="94"/>
      <c r="AI1070" s="94"/>
      <c r="AJ1070" s="94"/>
      <c r="AK1070" s="94"/>
      <c r="AL1070" s="94"/>
      <c r="AM1070" s="94"/>
      <c r="AN1070" s="94"/>
      <c r="AO1070" s="94"/>
      <c r="AP1070" s="94"/>
      <c r="AQ1070" s="94"/>
      <c r="AR1070" s="94"/>
      <c r="AS1070" s="94"/>
      <c r="AT1070" s="94"/>
      <c r="AU1070" s="94"/>
      <c r="AV1070" s="94"/>
      <c r="AW1070" s="94"/>
      <c r="AX1070" s="94"/>
      <c r="AY1070" s="94"/>
      <c r="BA1070" s="95"/>
    </row>
    <row r="1071" spans="1:53" s="87" customFormat="1">
      <c r="A1071" s="90" t="str">
        <f t="shared" si="64"/>
        <v/>
      </c>
      <c r="B1071" s="98">
        <v>16</v>
      </c>
      <c r="C1071" s="94">
        <v>-1</v>
      </c>
      <c r="D1071" s="94" t="s">
        <v>210</v>
      </c>
      <c r="E1071" s="94">
        <v>-5</v>
      </c>
      <c r="F1071" s="94" t="s">
        <v>210</v>
      </c>
      <c r="G1071" s="94" t="s">
        <v>210</v>
      </c>
      <c r="H1071" s="94" t="s">
        <v>210</v>
      </c>
      <c r="I1071" s="94">
        <v>3</v>
      </c>
      <c r="J1071" s="94" t="s">
        <v>210</v>
      </c>
      <c r="K1071" s="94" t="s">
        <v>210</v>
      </c>
      <c r="L1071" s="94">
        <v>4</v>
      </c>
      <c r="M1071" s="94" t="s">
        <v>210</v>
      </c>
      <c r="N1071" s="94" t="s">
        <v>210</v>
      </c>
      <c r="O1071" s="94"/>
      <c r="P1071" s="94"/>
      <c r="Q1071" s="94"/>
      <c r="R1071" s="94"/>
      <c r="S1071" s="94"/>
      <c r="T1071" s="94"/>
      <c r="U1071" s="94"/>
      <c r="V1071" s="94"/>
      <c r="W1071" s="94"/>
      <c r="X1071" s="94"/>
      <c r="Y1071" s="94"/>
      <c r="Z1071" s="94"/>
      <c r="AA1071" s="94"/>
      <c r="AB1071" s="94"/>
      <c r="AC1071" s="94"/>
      <c r="AD1071" s="94"/>
      <c r="AE1071" s="94"/>
      <c r="AF1071" s="94"/>
      <c r="AG1071" s="94"/>
      <c r="AH1071" s="94"/>
      <c r="AI1071" s="94"/>
      <c r="AJ1071" s="94"/>
      <c r="AK1071" s="94"/>
      <c r="AL1071" s="94"/>
      <c r="AM1071" s="94"/>
      <c r="AN1071" s="94"/>
      <c r="AO1071" s="94"/>
      <c r="AP1071" s="94"/>
      <c r="AQ1071" s="94"/>
      <c r="AR1071" s="94"/>
      <c r="AS1071" s="94"/>
      <c r="AT1071" s="94"/>
      <c r="AU1071" s="94"/>
      <c r="AV1071" s="94"/>
      <c r="AW1071" s="94"/>
      <c r="AX1071" s="94"/>
      <c r="AY1071" s="94"/>
      <c r="BA1071" s="95"/>
    </row>
    <row r="1072" spans="1:53" s="87" customFormat="1">
      <c r="A1072" s="90" t="str">
        <f t="shared" si="64"/>
        <v/>
      </c>
      <c r="B1072" s="98">
        <v>17</v>
      </c>
      <c r="C1072" s="94">
        <v>1</v>
      </c>
      <c r="D1072" s="94" t="s">
        <v>210</v>
      </c>
      <c r="E1072" s="94" t="s">
        <v>210</v>
      </c>
      <c r="F1072" s="94">
        <v>-5</v>
      </c>
      <c r="G1072" s="94" t="s">
        <v>210</v>
      </c>
      <c r="H1072" s="94" t="s">
        <v>210</v>
      </c>
      <c r="I1072" s="94" t="s">
        <v>210</v>
      </c>
      <c r="J1072" s="94">
        <v>2</v>
      </c>
      <c r="K1072" s="94" t="s">
        <v>210</v>
      </c>
      <c r="L1072" s="94" t="s">
        <v>210</v>
      </c>
      <c r="M1072" s="94">
        <v>-4</v>
      </c>
      <c r="N1072" s="94" t="s">
        <v>210</v>
      </c>
      <c r="O1072" s="94"/>
      <c r="P1072" s="94"/>
      <c r="Q1072" s="94"/>
      <c r="R1072" s="94"/>
      <c r="S1072" s="94"/>
      <c r="T1072" s="94"/>
      <c r="U1072" s="94"/>
      <c r="V1072" s="94"/>
      <c r="W1072" s="94"/>
      <c r="X1072" s="94"/>
      <c r="Y1072" s="94"/>
      <c r="Z1072" s="94"/>
      <c r="AA1072" s="94"/>
      <c r="AB1072" s="94"/>
      <c r="AC1072" s="94"/>
      <c r="AD1072" s="94"/>
      <c r="AE1072" s="94"/>
      <c r="AF1072" s="94"/>
      <c r="AG1072" s="94"/>
      <c r="AH1072" s="94"/>
      <c r="AI1072" s="94"/>
      <c r="AJ1072" s="94"/>
      <c r="AK1072" s="94"/>
      <c r="AL1072" s="94"/>
      <c r="AM1072" s="94"/>
      <c r="AN1072" s="94"/>
      <c r="AO1072" s="94"/>
      <c r="AP1072" s="94"/>
      <c r="AQ1072" s="94"/>
      <c r="AR1072" s="94"/>
      <c r="AS1072" s="94"/>
      <c r="AT1072" s="94"/>
      <c r="AU1072" s="94"/>
      <c r="AV1072" s="94"/>
      <c r="AW1072" s="94"/>
      <c r="AX1072" s="94"/>
      <c r="AY1072" s="94"/>
      <c r="BA1072" s="95"/>
    </row>
    <row r="1073" spans="1:53" s="87" customFormat="1">
      <c r="A1073" s="90" t="str">
        <f t="shared" si="64"/>
        <v/>
      </c>
      <c r="B1073" s="98">
        <v>18</v>
      </c>
      <c r="C1073" s="94">
        <v>-4</v>
      </c>
      <c r="D1073" s="94" t="s">
        <v>210</v>
      </c>
      <c r="E1073" s="94" t="s">
        <v>210</v>
      </c>
      <c r="F1073" s="94">
        <v>5</v>
      </c>
      <c r="G1073" s="94" t="s">
        <v>210</v>
      </c>
      <c r="H1073" s="94" t="s">
        <v>210</v>
      </c>
      <c r="I1073" s="94">
        <v>-3</v>
      </c>
      <c r="J1073" s="94" t="s">
        <v>210</v>
      </c>
      <c r="K1073" s="94">
        <v>1</v>
      </c>
      <c r="L1073" s="94" t="s">
        <v>210</v>
      </c>
      <c r="M1073" s="94" t="s">
        <v>210</v>
      </c>
      <c r="N1073" s="94" t="s">
        <v>210</v>
      </c>
      <c r="O1073" s="94"/>
      <c r="P1073" s="94"/>
      <c r="Q1073" s="94"/>
      <c r="R1073" s="94"/>
      <c r="S1073" s="94"/>
      <c r="T1073" s="94"/>
      <c r="U1073" s="94"/>
      <c r="V1073" s="94"/>
      <c r="W1073" s="94"/>
      <c r="X1073" s="94"/>
      <c r="Y1073" s="94"/>
      <c r="Z1073" s="94"/>
      <c r="AA1073" s="94"/>
      <c r="AB1073" s="94"/>
      <c r="AC1073" s="94"/>
      <c r="AD1073" s="94"/>
      <c r="AE1073" s="94"/>
      <c r="AF1073" s="94"/>
      <c r="AG1073" s="94"/>
      <c r="AH1073" s="94"/>
      <c r="AI1073" s="94"/>
      <c r="AJ1073" s="94"/>
      <c r="AK1073" s="94"/>
      <c r="AL1073" s="94"/>
      <c r="AM1073" s="94"/>
      <c r="AN1073" s="94"/>
      <c r="AO1073" s="94"/>
      <c r="AP1073" s="94"/>
      <c r="AQ1073" s="94"/>
      <c r="AR1073" s="94"/>
      <c r="AS1073" s="94"/>
      <c r="AT1073" s="94"/>
      <c r="AU1073" s="94"/>
      <c r="AV1073" s="94"/>
      <c r="AW1073" s="94"/>
      <c r="AX1073" s="94"/>
      <c r="AY1073" s="94"/>
      <c r="BA1073" s="95"/>
    </row>
    <row r="1074" spans="1:53" s="87" customFormat="1">
      <c r="A1074" s="90" t="str">
        <f t="shared" si="64"/>
        <v/>
      </c>
      <c r="B1074" s="98">
        <v>19</v>
      </c>
      <c r="C1074" s="94">
        <v>4</v>
      </c>
      <c r="D1074" s="94" t="s">
        <v>210</v>
      </c>
      <c r="E1074" s="94" t="s">
        <v>210</v>
      </c>
      <c r="F1074" s="94" t="s">
        <v>210</v>
      </c>
      <c r="G1074" s="94" t="s">
        <v>210</v>
      </c>
      <c r="H1074" s="94">
        <v>3</v>
      </c>
      <c r="I1074" s="94" t="s">
        <v>210</v>
      </c>
      <c r="J1074" s="94">
        <v>-2</v>
      </c>
      <c r="K1074" s="94" t="s">
        <v>210</v>
      </c>
      <c r="L1074" s="94">
        <v>-4</v>
      </c>
      <c r="M1074" s="94" t="s">
        <v>210</v>
      </c>
      <c r="N1074" s="94" t="s">
        <v>210</v>
      </c>
      <c r="O1074" s="94"/>
      <c r="P1074" s="94"/>
      <c r="Q1074" s="94"/>
      <c r="R1074" s="94"/>
      <c r="S1074" s="94"/>
      <c r="T1074" s="94"/>
      <c r="U1074" s="94"/>
      <c r="V1074" s="94"/>
      <c r="W1074" s="94"/>
      <c r="X1074" s="94"/>
      <c r="Y1074" s="94"/>
      <c r="Z1074" s="94"/>
      <c r="AA1074" s="94"/>
      <c r="AB1074" s="94"/>
      <c r="AC1074" s="94"/>
      <c r="AD1074" s="94"/>
      <c r="AE1074" s="94"/>
      <c r="AF1074" s="94"/>
      <c r="AG1074" s="94"/>
      <c r="AH1074" s="94"/>
      <c r="AI1074" s="94"/>
      <c r="AJ1074" s="94"/>
      <c r="AK1074" s="94"/>
      <c r="AL1074" s="94"/>
      <c r="AM1074" s="94"/>
      <c r="AN1074" s="94"/>
      <c r="AO1074" s="94"/>
      <c r="AP1074" s="94"/>
      <c r="AQ1074" s="94"/>
      <c r="AR1074" s="94"/>
      <c r="AS1074" s="94"/>
      <c r="AT1074" s="94"/>
      <c r="AU1074" s="94"/>
      <c r="AV1074" s="94"/>
      <c r="AW1074" s="94"/>
      <c r="AX1074" s="94"/>
      <c r="AY1074" s="94"/>
      <c r="BA1074" s="95"/>
    </row>
    <row r="1075" spans="1:53" s="87" customFormat="1">
      <c r="A1075" s="90" t="str">
        <f t="shared" si="64"/>
        <v/>
      </c>
      <c r="B1075" s="99">
        <v>20</v>
      </c>
      <c r="C1075" s="92" t="s">
        <v>210</v>
      </c>
      <c r="D1075" s="92" t="s">
        <v>210</v>
      </c>
      <c r="E1075" s="92">
        <v>5</v>
      </c>
      <c r="F1075" s="92" t="s">
        <v>210</v>
      </c>
      <c r="G1075" s="92" t="s">
        <v>210</v>
      </c>
      <c r="H1075" s="92">
        <v>-3</v>
      </c>
      <c r="I1075" s="92" t="s">
        <v>210</v>
      </c>
      <c r="J1075" s="92" t="s">
        <v>210</v>
      </c>
      <c r="K1075" s="92">
        <v>-1</v>
      </c>
      <c r="L1075" s="92" t="s">
        <v>210</v>
      </c>
      <c r="M1075" s="92">
        <v>4</v>
      </c>
      <c r="N1075" s="92" t="s">
        <v>210</v>
      </c>
      <c r="O1075" s="94"/>
      <c r="P1075" s="94"/>
      <c r="Q1075" s="94"/>
      <c r="R1075" s="94"/>
      <c r="S1075" s="94"/>
      <c r="T1075" s="94"/>
      <c r="U1075" s="94"/>
      <c r="V1075" s="94"/>
      <c r="W1075" s="94"/>
      <c r="X1075" s="94"/>
      <c r="Y1075" s="94"/>
      <c r="Z1075" s="94"/>
      <c r="AA1075" s="94"/>
      <c r="AB1075" s="94"/>
      <c r="AC1075" s="94"/>
      <c r="AD1075" s="94"/>
      <c r="AE1075" s="94"/>
      <c r="AF1075" s="94"/>
      <c r="AG1075" s="94"/>
      <c r="AH1075" s="94"/>
      <c r="AI1075" s="94"/>
      <c r="AJ1075" s="94"/>
      <c r="AK1075" s="94"/>
      <c r="AL1075" s="94"/>
      <c r="AM1075" s="94"/>
      <c r="AN1075" s="94"/>
      <c r="AO1075" s="94"/>
      <c r="AP1075" s="94"/>
      <c r="AQ1075" s="94"/>
      <c r="AR1075" s="94"/>
      <c r="AS1075" s="94"/>
      <c r="AT1075" s="94"/>
      <c r="AU1075" s="94"/>
      <c r="AV1075" s="94"/>
      <c r="AW1075" s="94"/>
      <c r="AX1075" s="94"/>
      <c r="AY1075" s="94"/>
      <c r="BA1075" s="95"/>
    </row>
    <row r="1076" spans="1:53" s="87" customFormat="1">
      <c r="A1076" s="90" t="str">
        <f t="shared" si="64"/>
        <v/>
      </c>
      <c r="B1076" s="98">
        <v>21</v>
      </c>
      <c r="C1076" s="94" t="s">
        <v>210</v>
      </c>
      <c r="D1076" s="94">
        <v>-4</v>
      </c>
      <c r="E1076" s="94" t="s">
        <v>210</v>
      </c>
      <c r="F1076" s="94" t="s">
        <v>210</v>
      </c>
      <c r="G1076" s="94">
        <v>-1</v>
      </c>
      <c r="H1076" s="94" t="s">
        <v>210</v>
      </c>
      <c r="I1076" s="94" t="s">
        <v>210</v>
      </c>
      <c r="J1076" s="94">
        <v>5</v>
      </c>
      <c r="K1076" s="94" t="s">
        <v>210</v>
      </c>
      <c r="L1076" s="94" t="s">
        <v>210</v>
      </c>
      <c r="M1076" s="94" t="s">
        <v>210</v>
      </c>
      <c r="N1076" s="94">
        <v>3</v>
      </c>
      <c r="O1076" s="94"/>
      <c r="P1076" s="94"/>
      <c r="Q1076" s="94"/>
      <c r="R1076" s="94"/>
      <c r="S1076" s="94"/>
      <c r="T1076" s="94"/>
      <c r="U1076" s="94"/>
      <c r="V1076" s="94"/>
      <c r="W1076" s="94"/>
      <c r="X1076" s="94"/>
      <c r="Y1076" s="94"/>
      <c r="Z1076" s="94"/>
      <c r="AA1076" s="94"/>
      <c r="AB1076" s="94"/>
      <c r="AC1076" s="94"/>
      <c r="AD1076" s="94"/>
      <c r="AE1076" s="94"/>
      <c r="AF1076" s="94"/>
      <c r="AG1076" s="94"/>
      <c r="AH1076" s="94"/>
      <c r="AI1076" s="94"/>
      <c r="AJ1076" s="94"/>
      <c r="AK1076" s="94"/>
      <c r="AL1076" s="94"/>
      <c r="AM1076" s="94"/>
      <c r="AN1076" s="94"/>
      <c r="AO1076" s="94"/>
      <c r="AP1076" s="94"/>
      <c r="AQ1076" s="94"/>
      <c r="AR1076" s="94"/>
      <c r="AS1076" s="94"/>
      <c r="AT1076" s="94"/>
      <c r="AU1076" s="94"/>
      <c r="AV1076" s="94"/>
      <c r="AW1076" s="94"/>
      <c r="AX1076" s="94"/>
      <c r="AY1076" s="94"/>
      <c r="BA1076" s="95"/>
    </row>
    <row r="1077" spans="1:53" s="87" customFormat="1">
      <c r="A1077" s="90" t="str">
        <f t="shared" si="64"/>
        <v/>
      </c>
      <c r="B1077" s="98">
        <v>22</v>
      </c>
      <c r="C1077" s="94" t="s">
        <v>210</v>
      </c>
      <c r="D1077" s="94" t="s">
        <v>210</v>
      </c>
      <c r="E1077" s="94">
        <v>3</v>
      </c>
      <c r="F1077" s="94" t="s">
        <v>210</v>
      </c>
      <c r="G1077" s="94">
        <v>1</v>
      </c>
      <c r="H1077" s="94" t="s">
        <v>210</v>
      </c>
      <c r="I1077" s="94" t="s">
        <v>210</v>
      </c>
      <c r="J1077" s="94">
        <v>-4</v>
      </c>
      <c r="K1077" s="94" t="s">
        <v>210</v>
      </c>
      <c r="L1077" s="94" t="s">
        <v>210</v>
      </c>
      <c r="M1077" s="94" t="s">
        <v>210</v>
      </c>
      <c r="N1077" s="94">
        <v>-2</v>
      </c>
      <c r="O1077" s="94"/>
      <c r="P1077" s="94"/>
      <c r="Q1077" s="94"/>
      <c r="R1077" s="94"/>
      <c r="S1077" s="94"/>
      <c r="T1077" s="94"/>
      <c r="U1077" s="94"/>
      <c r="V1077" s="94"/>
      <c r="W1077" s="94"/>
      <c r="X1077" s="94"/>
      <c r="Y1077" s="94"/>
      <c r="Z1077" s="94"/>
      <c r="AA1077" s="94"/>
      <c r="AB1077" s="94"/>
      <c r="AC1077" s="94"/>
      <c r="AD1077" s="94"/>
      <c r="AE1077" s="94"/>
      <c r="AF1077" s="94"/>
      <c r="AG1077" s="94"/>
      <c r="AH1077" s="94"/>
      <c r="AI1077" s="94"/>
      <c r="AJ1077" s="94"/>
      <c r="AK1077" s="94"/>
      <c r="AL1077" s="94"/>
      <c r="AM1077" s="94"/>
      <c r="AN1077" s="94"/>
      <c r="AO1077" s="94"/>
      <c r="AP1077" s="94"/>
      <c r="AQ1077" s="94"/>
      <c r="AR1077" s="94"/>
      <c r="AS1077" s="94"/>
      <c r="AT1077" s="94"/>
      <c r="AU1077" s="94"/>
      <c r="AV1077" s="94"/>
      <c r="AW1077" s="94"/>
      <c r="AX1077" s="94"/>
      <c r="AY1077" s="94"/>
      <c r="BA1077" s="95"/>
    </row>
    <row r="1078" spans="1:53" s="87" customFormat="1">
      <c r="A1078" s="90" t="str">
        <f t="shared" si="64"/>
        <v/>
      </c>
      <c r="B1078" s="98">
        <v>23</v>
      </c>
      <c r="C1078" s="94">
        <v>-2</v>
      </c>
      <c r="D1078" s="94" t="s">
        <v>210</v>
      </c>
      <c r="E1078" s="94" t="s">
        <v>210</v>
      </c>
      <c r="F1078" s="94" t="s">
        <v>210</v>
      </c>
      <c r="G1078" s="94">
        <v>5</v>
      </c>
      <c r="H1078" s="94" t="s">
        <v>210</v>
      </c>
      <c r="I1078" s="94" t="s">
        <v>210</v>
      </c>
      <c r="J1078" s="94">
        <v>4</v>
      </c>
      <c r="K1078" s="94" t="s">
        <v>210</v>
      </c>
      <c r="L1078" s="94" t="s">
        <v>210</v>
      </c>
      <c r="M1078" s="94" t="s">
        <v>210</v>
      </c>
      <c r="N1078" s="94">
        <v>-3</v>
      </c>
      <c r="O1078" s="94"/>
      <c r="P1078" s="94"/>
      <c r="Q1078" s="94"/>
      <c r="R1078" s="94"/>
      <c r="S1078" s="94"/>
      <c r="T1078" s="94"/>
      <c r="U1078" s="94"/>
      <c r="V1078" s="94"/>
      <c r="W1078" s="94"/>
      <c r="X1078" s="94"/>
      <c r="Y1078" s="94"/>
      <c r="Z1078" s="94"/>
      <c r="AA1078" s="94"/>
      <c r="AB1078" s="94"/>
      <c r="AC1078" s="94"/>
      <c r="AD1078" s="94"/>
      <c r="AE1078" s="94"/>
      <c r="AF1078" s="94"/>
      <c r="AG1078" s="94"/>
      <c r="AH1078" s="94"/>
      <c r="AI1078" s="94"/>
      <c r="AJ1078" s="94"/>
      <c r="AK1078" s="94"/>
      <c r="AL1078" s="94"/>
      <c r="AM1078" s="94"/>
      <c r="AN1078" s="94"/>
      <c r="AO1078" s="94"/>
      <c r="AP1078" s="94"/>
      <c r="AQ1078" s="94"/>
      <c r="AR1078" s="94"/>
      <c r="AS1078" s="94"/>
      <c r="AT1078" s="94"/>
      <c r="AU1078" s="94"/>
      <c r="AV1078" s="94"/>
      <c r="AW1078" s="94"/>
      <c r="AX1078" s="94"/>
      <c r="AY1078" s="94"/>
      <c r="BA1078" s="95"/>
    </row>
    <row r="1079" spans="1:53" s="87" customFormat="1">
      <c r="A1079" s="90" t="str">
        <f t="shared" si="64"/>
        <v/>
      </c>
      <c r="B1079" s="98">
        <v>24</v>
      </c>
      <c r="C1079" s="94" t="s">
        <v>210</v>
      </c>
      <c r="D1079" s="94">
        <v>4</v>
      </c>
      <c r="E1079" s="94" t="s">
        <v>210</v>
      </c>
      <c r="F1079" s="94" t="s">
        <v>210</v>
      </c>
      <c r="G1079" s="94">
        <v>-5</v>
      </c>
      <c r="H1079" s="94" t="s">
        <v>210</v>
      </c>
      <c r="I1079" s="94" t="s">
        <v>210</v>
      </c>
      <c r="J1079" s="94" t="s">
        <v>210</v>
      </c>
      <c r="K1079" s="94" t="s">
        <v>210</v>
      </c>
      <c r="L1079" s="94">
        <v>-1</v>
      </c>
      <c r="M1079" s="94" t="s">
        <v>210</v>
      </c>
      <c r="N1079" s="94">
        <v>2</v>
      </c>
      <c r="O1079" s="94"/>
      <c r="P1079" s="94"/>
      <c r="Q1079" s="94"/>
      <c r="R1079" s="94"/>
      <c r="S1079" s="94"/>
      <c r="T1079" s="94"/>
      <c r="U1079" s="94"/>
      <c r="V1079" s="94"/>
      <c r="W1079" s="94"/>
      <c r="X1079" s="94"/>
      <c r="Y1079" s="94"/>
      <c r="Z1079" s="94"/>
      <c r="AA1079" s="94"/>
      <c r="AB1079" s="94"/>
      <c r="AC1079" s="94"/>
      <c r="AD1079" s="94"/>
      <c r="AE1079" s="94"/>
      <c r="AF1079" s="94"/>
      <c r="AG1079" s="94"/>
      <c r="AH1079" s="94"/>
      <c r="AI1079" s="94"/>
      <c r="AJ1079" s="94"/>
      <c r="AK1079" s="94"/>
      <c r="AL1079" s="94"/>
      <c r="AM1079" s="94"/>
      <c r="AN1079" s="94"/>
      <c r="AO1079" s="94"/>
      <c r="AP1079" s="94"/>
      <c r="AQ1079" s="94"/>
      <c r="AR1079" s="94"/>
      <c r="AS1079" s="94"/>
      <c r="AT1079" s="94"/>
      <c r="AU1079" s="94"/>
      <c r="AV1079" s="94"/>
      <c r="AW1079" s="94"/>
      <c r="AX1079" s="94"/>
      <c r="AY1079" s="94"/>
      <c r="BA1079" s="95"/>
    </row>
    <row r="1080" spans="1:53" s="87" customFormat="1">
      <c r="A1080" s="90" t="str">
        <f t="shared" si="64"/>
        <v/>
      </c>
      <c r="B1080" s="99">
        <v>25</v>
      </c>
      <c r="C1080" s="92">
        <v>2</v>
      </c>
      <c r="D1080" s="92" t="s">
        <v>210</v>
      </c>
      <c r="E1080" s="92">
        <v>-3</v>
      </c>
      <c r="F1080" s="92" t="s">
        <v>210</v>
      </c>
      <c r="G1080" s="92" t="s">
        <v>210</v>
      </c>
      <c r="H1080" s="92" t="s">
        <v>210</v>
      </c>
      <c r="I1080" s="92" t="s">
        <v>210</v>
      </c>
      <c r="J1080" s="92">
        <v>-5</v>
      </c>
      <c r="K1080" s="92" t="s">
        <v>210</v>
      </c>
      <c r="L1080" s="92">
        <v>1</v>
      </c>
      <c r="M1080" s="92" t="s">
        <v>210</v>
      </c>
      <c r="N1080" s="92" t="s">
        <v>210</v>
      </c>
      <c r="O1080" s="94"/>
      <c r="P1080" s="94"/>
      <c r="Q1080" s="94"/>
      <c r="R1080" s="94"/>
      <c r="S1080" s="94"/>
      <c r="T1080" s="94"/>
      <c r="U1080" s="94"/>
      <c r="V1080" s="94"/>
      <c r="W1080" s="94"/>
      <c r="X1080" s="94"/>
      <c r="Y1080" s="94"/>
      <c r="Z1080" s="94"/>
      <c r="AA1080" s="94"/>
      <c r="AB1080" s="94"/>
      <c r="AC1080" s="94"/>
      <c r="AD1080" s="94"/>
      <c r="AE1080" s="94"/>
      <c r="AF1080" s="94"/>
      <c r="AG1080" s="94"/>
      <c r="AH1080" s="94"/>
      <c r="AI1080" s="94"/>
      <c r="AJ1080" s="94"/>
      <c r="AK1080" s="94"/>
      <c r="AL1080" s="94"/>
      <c r="AM1080" s="94"/>
      <c r="AN1080" s="94"/>
      <c r="AO1080" s="94"/>
      <c r="AP1080" s="94"/>
      <c r="AQ1080" s="94"/>
      <c r="AR1080" s="94"/>
      <c r="AS1080" s="94"/>
      <c r="AT1080" s="94"/>
      <c r="AU1080" s="94"/>
      <c r="AV1080" s="94"/>
      <c r="AW1080" s="94"/>
      <c r="AX1080" s="94"/>
      <c r="AY1080" s="94"/>
      <c r="BA1080" s="95"/>
    </row>
    <row r="1081" spans="1:53" s="87" customFormat="1">
      <c r="A1081" s="90" t="str">
        <f t="shared" si="64"/>
        <v/>
      </c>
      <c r="B1081" s="98">
        <v>26</v>
      </c>
      <c r="C1081" s="94" t="s">
        <v>210</v>
      </c>
      <c r="D1081" s="94" t="s">
        <v>210</v>
      </c>
      <c r="E1081" s="94">
        <v>4</v>
      </c>
      <c r="F1081" s="94" t="s">
        <v>210</v>
      </c>
      <c r="G1081" s="94" t="s">
        <v>210</v>
      </c>
      <c r="H1081" s="94">
        <v>1</v>
      </c>
      <c r="I1081" s="94" t="s">
        <v>210</v>
      </c>
      <c r="J1081" s="94" t="s">
        <v>210</v>
      </c>
      <c r="K1081" s="94">
        <v>-2</v>
      </c>
      <c r="L1081" s="94" t="s">
        <v>210</v>
      </c>
      <c r="M1081" s="94">
        <v>-5</v>
      </c>
      <c r="N1081" s="94" t="s">
        <v>210</v>
      </c>
      <c r="O1081" s="94"/>
      <c r="P1081" s="94"/>
      <c r="Q1081" s="94"/>
      <c r="R1081" s="94"/>
      <c r="S1081" s="94"/>
      <c r="T1081" s="94"/>
      <c r="U1081" s="94"/>
      <c r="V1081" s="94"/>
      <c r="W1081" s="94"/>
      <c r="X1081" s="94"/>
      <c r="Y1081" s="94"/>
      <c r="Z1081" s="94"/>
      <c r="AA1081" s="94"/>
      <c r="AB1081" s="94"/>
      <c r="AC1081" s="94"/>
      <c r="AD1081" s="94"/>
      <c r="AE1081" s="94"/>
      <c r="AF1081" s="94"/>
      <c r="AG1081" s="94"/>
      <c r="AH1081" s="94"/>
      <c r="AI1081" s="94"/>
      <c r="AJ1081" s="94"/>
      <c r="AK1081" s="94"/>
      <c r="AL1081" s="94"/>
      <c r="AM1081" s="94"/>
      <c r="AN1081" s="94"/>
      <c r="AO1081" s="94"/>
      <c r="AP1081" s="94"/>
      <c r="AQ1081" s="94"/>
      <c r="AR1081" s="94"/>
      <c r="AS1081" s="94"/>
      <c r="AT1081" s="94"/>
      <c r="AU1081" s="94"/>
      <c r="AV1081" s="94"/>
      <c r="AW1081" s="94"/>
      <c r="AX1081" s="94"/>
      <c r="AY1081" s="94"/>
      <c r="BA1081" s="95"/>
    </row>
    <row r="1082" spans="1:53" s="87" customFormat="1">
      <c r="A1082" s="90" t="str">
        <f t="shared" si="64"/>
        <v/>
      </c>
      <c r="B1082" s="98">
        <v>27</v>
      </c>
      <c r="C1082" s="94" t="s">
        <v>210</v>
      </c>
      <c r="D1082" s="94" t="s">
        <v>210</v>
      </c>
      <c r="E1082" s="94" t="s">
        <v>210</v>
      </c>
      <c r="F1082" s="94">
        <v>-3</v>
      </c>
      <c r="G1082" s="94" t="s">
        <v>210</v>
      </c>
      <c r="H1082" s="94" t="s">
        <v>210</v>
      </c>
      <c r="I1082" s="94">
        <v>-1</v>
      </c>
      <c r="J1082" s="94" t="s">
        <v>210</v>
      </c>
      <c r="K1082" s="94">
        <v>2</v>
      </c>
      <c r="L1082" s="94" t="s">
        <v>210</v>
      </c>
      <c r="M1082" s="94" t="s">
        <v>210</v>
      </c>
      <c r="N1082" s="94">
        <v>5</v>
      </c>
      <c r="O1082" s="94"/>
      <c r="P1082" s="94"/>
      <c r="Q1082" s="94"/>
      <c r="R1082" s="94"/>
      <c r="S1082" s="94"/>
      <c r="T1082" s="94"/>
      <c r="U1082" s="94"/>
      <c r="V1082" s="94"/>
      <c r="W1082" s="94"/>
      <c r="X1082" s="94"/>
      <c r="Y1082" s="94"/>
      <c r="Z1082" s="94"/>
      <c r="AA1082" s="94"/>
      <c r="AB1082" s="94"/>
      <c r="AC1082" s="94"/>
      <c r="AD1082" s="94"/>
      <c r="AE1082" s="94"/>
      <c r="AF1082" s="94"/>
      <c r="AG1082" s="94"/>
      <c r="AH1082" s="94"/>
      <c r="AI1082" s="94"/>
      <c r="AJ1082" s="94"/>
      <c r="AK1082" s="94"/>
      <c r="AL1082" s="94"/>
      <c r="AM1082" s="94"/>
      <c r="AN1082" s="94"/>
      <c r="AO1082" s="94"/>
      <c r="AP1082" s="94"/>
      <c r="AQ1082" s="94"/>
      <c r="AR1082" s="94"/>
      <c r="AS1082" s="94"/>
      <c r="AT1082" s="94"/>
      <c r="AU1082" s="94"/>
      <c r="AV1082" s="94"/>
      <c r="AW1082" s="94"/>
      <c r="AX1082" s="94"/>
      <c r="AY1082" s="94"/>
      <c r="BA1082" s="95"/>
    </row>
    <row r="1083" spans="1:53" s="87" customFormat="1">
      <c r="A1083" s="90" t="str">
        <f t="shared" si="64"/>
        <v/>
      </c>
      <c r="B1083" s="98">
        <v>28</v>
      </c>
      <c r="C1083" s="94" t="s">
        <v>210</v>
      </c>
      <c r="D1083" s="94" t="s">
        <v>210</v>
      </c>
      <c r="E1083" s="94">
        <v>-4</v>
      </c>
      <c r="F1083" s="94" t="s">
        <v>210</v>
      </c>
      <c r="G1083" s="94">
        <v>3</v>
      </c>
      <c r="H1083" s="94" t="s">
        <v>210</v>
      </c>
      <c r="I1083" s="94" t="s">
        <v>210</v>
      </c>
      <c r="J1083" s="94" t="s">
        <v>210</v>
      </c>
      <c r="K1083" s="94" t="s">
        <v>210</v>
      </c>
      <c r="L1083" s="94">
        <v>2</v>
      </c>
      <c r="M1083" s="94" t="s">
        <v>210</v>
      </c>
      <c r="N1083" s="94">
        <v>-5</v>
      </c>
      <c r="O1083" s="94"/>
      <c r="P1083" s="94"/>
      <c r="Q1083" s="94"/>
      <c r="R1083" s="94"/>
      <c r="S1083" s="94"/>
      <c r="T1083" s="94"/>
      <c r="U1083" s="94"/>
      <c r="V1083" s="94"/>
      <c r="W1083" s="94"/>
      <c r="X1083" s="94"/>
      <c r="Y1083" s="94"/>
      <c r="Z1083" s="94"/>
      <c r="AA1083" s="94"/>
      <c r="AB1083" s="94"/>
      <c r="AC1083" s="94"/>
      <c r="AD1083" s="94"/>
      <c r="AE1083" s="94"/>
      <c r="AF1083" s="94"/>
      <c r="AG1083" s="94"/>
      <c r="AH1083" s="94"/>
      <c r="AI1083" s="94"/>
      <c r="AJ1083" s="94"/>
      <c r="AK1083" s="94"/>
      <c r="AL1083" s="94"/>
      <c r="AM1083" s="94"/>
      <c r="AN1083" s="94"/>
      <c r="AO1083" s="94"/>
      <c r="AP1083" s="94"/>
      <c r="AQ1083" s="94"/>
      <c r="AR1083" s="94"/>
      <c r="AS1083" s="94"/>
      <c r="AT1083" s="94"/>
      <c r="AU1083" s="94"/>
      <c r="AV1083" s="94"/>
      <c r="AW1083" s="94"/>
      <c r="AX1083" s="94"/>
      <c r="AY1083" s="94"/>
      <c r="BA1083" s="95"/>
    </row>
    <row r="1084" spans="1:53" s="87" customFormat="1">
      <c r="A1084" s="90" t="str">
        <f t="shared" si="64"/>
        <v/>
      </c>
      <c r="B1084" s="98">
        <v>29</v>
      </c>
      <c r="C1084" s="94" t="s">
        <v>210</v>
      </c>
      <c r="D1084" s="94">
        <v>2</v>
      </c>
      <c r="E1084" s="94" t="s">
        <v>210</v>
      </c>
      <c r="F1084" s="94">
        <v>3</v>
      </c>
      <c r="G1084" s="94" t="s">
        <v>210</v>
      </c>
      <c r="H1084" s="94">
        <v>-1</v>
      </c>
      <c r="I1084" s="94" t="s">
        <v>210</v>
      </c>
      <c r="J1084" s="94" t="s">
        <v>210</v>
      </c>
      <c r="K1084" s="94" t="s">
        <v>210</v>
      </c>
      <c r="L1084" s="94">
        <v>-2</v>
      </c>
      <c r="M1084" s="94" t="s">
        <v>210</v>
      </c>
      <c r="N1084" s="94" t="s">
        <v>210</v>
      </c>
      <c r="O1084" s="94"/>
      <c r="P1084" s="94"/>
      <c r="Q1084" s="94"/>
      <c r="R1084" s="94"/>
      <c r="S1084" s="94"/>
      <c r="T1084" s="94"/>
      <c r="U1084" s="94"/>
      <c r="V1084" s="94"/>
      <c r="W1084" s="94"/>
      <c r="X1084" s="94"/>
      <c r="Y1084" s="94"/>
      <c r="Z1084" s="94"/>
      <c r="AA1084" s="94"/>
      <c r="AB1084" s="94"/>
      <c r="AC1084" s="94"/>
      <c r="AD1084" s="94"/>
      <c r="AE1084" s="94"/>
      <c r="AF1084" s="94"/>
      <c r="AG1084" s="94"/>
      <c r="AH1084" s="94"/>
      <c r="AI1084" s="94"/>
      <c r="AJ1084" s="94"/>
      <c r="AK1084" s="94"/>
      <c r="AL1084" s="94"/>
      <c r="AM1084" s="94"/>
      <c r="AN1084" s="94"/>
      <c r="AO1084" s="94"/>
      <c r="AP1084" s="94"/>
      <c r="AQ1084" s="94"/>
      <c r="AR1084" s="94"/>
      <c r="AS1084" s="94"/>
      <c r="AT1084" s="94"/>
      <c r="AU1084" s="94"/>
      <c r="AV1084" s="94"/>
      <c r="AW1084" s="94"/>
      <c r="AX1084" s="94"/>
      <c r="AY1084" s="94"/>
      <c r="BA1084" s="95"/>
    </row>
    <row r="1085" spans="1:53" s="87" customFormat="1">
      <c r="A1085" s="90" t="str">
        <f t="shared" si="64"/>
        <v/>
      </c>
      <c r="B1085" s="98">
        <v>30</v>
      </c>
      <c r="C1085" s="94" t="s">
        <v>210</v>
      </c>
      <c r="D1085" s="94">
        <v>-2</v>
      </c>
      <c r="E1085" s="94" t="s">
        <v>210</v>
      </c>
      <c r="F1085" s="94" t="s">
        <v>210</v>
      </c>
      <c r="G1085" s="94">
        <v>-3</v>
      </c>
      <c r="H1085" s="94" t="s">
        <v>210</v>
      </c>
      <c r="I1085" s="94">
        <v>1</v>
      </c>
      <c r="J1085" s="94" t="s">
        <v>210</v>
      </c>
      <c r="K1085" s="94" t="s">
        <v>210</v>
      </c>
      <c r="L1085" s="94" t="s">
        <v>210</v>
      </c>
      <c r="M1085" s="94">
        <v>5</v>
      </c>
      <c r="N1085" s="94" t="s">
        <v>210</v>
      </c>
      <c r="O1085" s="94"/>
      <c r="P1085" s="94"/>
      <c r="Q1085" s="94"/>
      <c r="R1085" s="94"/>
      <c r="S1085" s="94"/>
      <c r="T1085" s="94"/>
      <c r="U1085" s="94"/>
      <c r="V1085" s="94"/>
      <c r="W1085" s="94"/>
      <c r="X1085" s="94"/>
      <c r="Y1085" s="94"/>
      <c r="Z1085" s="94"/>
      <c r="AA1085" s="94"/>
      <c r="AB1085" s="94"/>
      <c r="AC1085" s="94"/>
      <c r="AD1085" s="94"/>
      <c r="AE1085" s="94"/>
      <c r="AF1085" s="94"/>
      <c r="AG1085" s="94"/>
      <c r="AH1085" s="94"/>
      <c r="AI1085" s="94"/>
      <c r="AJ1085" s="94"/>
      <c r="AK1085" s="94"/>
      <c r="AL1085" s="94"/>
      <c r="AM1085" s="94"/>
      <c r="AN1085" s="94"/>
      <c r="AO1085" s="94"/>
      <c r="AP1085" s="94"/>
      <c r="AQ1085" s="94"/>
      <c r="AR1085" s="94"/>
      <c r="AS1085" s="94"/>
      <c r="AT1085" s="94"/>
      <c r="AU1085" s="94"/>
      <c r="AV1085" s="94"/>
      <c r="AW1085" s="94"/>
      <c r="AX1085" s="94"/>
      <c r="AY1085" s="94"/>
      <c r="BA1085" s="95"/>
    </row>
    <row r="1086" spans="1:53" s="87" customFormat="1">
      <c r="A1086" s="90" t="str">
        <f t="shared" si="64"/>
        <v/>
      </c>
      <c r="B1086" s="317" t="s">
        <v>1003</v>
      </c>
      <c r="C1086" s="94"/>
      <c r="D1086" s="94"/>
      <c r="E1086" s="94"/>
      <c r="F1086" s="94"/>
      <c r="G1086" s="94"/>
      <c r="H1086" s="94"/>
      <c r="I1086" s="94"/>
      <c r="J1086" s="94"/>
      <c r="K1086" s="94"/>
      <c r="L1086" s="94"/>
      <c r="M1086" s="94"/>
      <c r="N1086" s="94"/>
      <c r="O1086" s="94"/>
      <c r="P1086" s="94"/>
      <c r="Q1086" s="94"/>
      <c r="R1086" s="94"/>
      <c r="S1086" s="94"/>
      <c r="T1086" s="94"/>
      <c r="U1086" s="94"/>
      <c r="V1086" s="94"/>
      <c r="W1086" s="94"/>
      <c r="X1086" s="94"/>
      <c r="Y1086" s="94"/>
      <c r="Z1086" s="94"/>
      <c r="AA1086" s="94"/>
      <c r="AB1086" s="94"/>
      <c r="AC1086" s="94"/>
      <c r="AD1086" s="94"/>
      <c r="AE1086" s="94"/>
      <c r="AF1086" s="94"/>
      <c r="AG1086" s="94"/>
      <c r="AH1086" s="94"/>
      <c r="AI1086" s="94"/>
      <c r="AJ1086" s="94"/>
      <c r="AK1086" s="94"/>
      <c r="AL1086" s="94"/>
      <c r="AM1086" s="94"/>
      <c r="AN1086" s="94"/>
      <c r="AO1086" s="94"/>
      <c r="AP1086" s="94"/>
      <c r="AQ1086" s="94"/>
      <c r="AR1086" s="94"/>
      <c r="AS1086" s="94"/>
      <c r="AT1086" s="94"/>
      <c r="AU1086" s="94"/>
      <c r="AV1086" s="94"/>
      <c r="AW1086" s="94"/>
      <c r="AX1086" s="94"/>
      <c r="AY1086" s="94"/>
      <c r="BA1086" s="95"/>
    </row>
    <row r="1087" spans="1:53" s="87" customFormat="1">
      <c r="A1087" s="90">
        <f t="shared" si="64"/>
        <v>1087</v>
      </c>
      <c r="B1087" s="98" t="s">
        <v>1029</v>
      </c>
      <c r="C1087" s="94"/>
      <c r="D1087" s="94"/>
      <c r="E1087" s="94"/>
      <c r="F1087" s="94"/>
      <c r="G1087" s="94"/>
      <c r="H1087" s="94"/>
      <c r="I1087" s="94"/>
      <c r="J1087" s="94"/>
      <c r="K1087" s="94"/>
      <c r="L1087" s="94"/>
      <c r="M1087" s="94"/>
      <c r="N1087" s="94"/>
      <c r="O1087" s="94"/>
      <c r="P1087" s="94"/>
      <c r="Q1087" s="94"/>
      <c r="R1087" s="94"/>
      <c r="S1087" s="94"/>
      <c r="T1087" s="94"/>
      <c r="U1087" s="94"/>
      <c r="V1087" s="94"/>
      <c r="W1087" s="94"/>
      <c r="X1087" s="94"/>
      <c r="Y1087" s="94"/>
      <c r="Z1087" s="94"/>
      <c r="AA1087" s="94"/>
      <c r="AB1087" s="94"/>
      <c r="AC1087" s="94"/>
      <c r="AD1087" s="94"/>
      <c r="AE1087" s="94"/>
      <c r="AF1087" s="94"/>
      <c r="AG1087" s="94"/>
      <c r="AH1087" s="94"/>
      <c r="AI1087" s="94"/>
      <c r="AJ1087" s="94"/>
      <c r="AK1087" s="94"/>
      <c r="AL1087" s="94"/>
      <c r="AM1087" s="94"/>
      <c r="AN1087" s="94"/>
      <c r="AO1087" s="94"/>
      <c r="AP1087" s="94"/>
      <c r="AQ1087" s="94"/>
      <c r="AR1087" s="94"/>
      <c r="AS1087" s="94"/>
      <c r="AT1087" s="94"/>
      <c r="AU1087" s="94"/>
      <c r="AV1087" s="94"/>
      <c r="AW1087" s="94"/>
      <c r="AX1087" s="94"/>
      <c r="AY1087" s="94"/>
      <c r="BA1087" s="95"/>
    </row>
    <row r="1088" spans="1:53" s="87" customFormat="1">
      <c r="A1088" s="90" t="str">
        <f t="shared" si="64"/>
        <v/>
      </c>
      <c r="B1088" s="98">
        <v>1</v>
      </c>
      <c r="C1088" s="94">
        <v>-2</v>
      </c>
      <c r="D1088" s="94" t="s">
        <v>210</v>
      </c>
      <c r="E1088" s="94" t="s">
        <v>210</v>
      </c>
      <c r="F1088" s="94">
        <v>-4</v>
      </c>
      <c r="G1088" s="94">
        <v>-3</v>
      </c>
      <c r="H1088" s="94" t="s">
        <v>210</v>
      </c>
      <c r="I1088" s="94" t="s">
        <v>202</v>
      </c>
      <c r="J1088" s="94" t="s">
        <v>210</v>
      </c>
      <c r="K1088" s="94">
        <v>1</v>
      </c>
      <c r="L1088" s="94" t="s">
        <v>210</v>
      </c>
      <c r="M1088" s="94" t="s">
        <v>210</v>
      </c>
      <c r="N1088" s="94">
        <v>2</v>
      </c>
      <c r="O1088" s="94">
        <v>-5</v>
      </c>
      <c r="P1088" s="94" t="s">
        <v>210</v>
      </c>
      <c r="Q1088" s="94" t="s">
        <v>210</v>
      </c>
      <c r="R1088" s="94">
        <v>-3</v>
      </c>
      <c r="S1088" s="94">
        <v>4</v>
      </c>
      <c r="T1088" s="94" t="s">
        <v>210</v>
      </c>
      <c r="U1088" s="94" t="s">
        <v>202</v>
      </c>
      <c r="V1088" s="94" t="s">
        <v>210</v>
      </c>
      <c r="W1088" s="94" t="s">
        <v>210</v>
      </c>
      <c r="X1088" s="94">
        <v>-1</v>
      </c>
      <c r="Y1088" s="94" t="s">
        <v>210</v>
      </c>
      <c r="Z1088" s="94">
        <v>5</v>
      </c>
      <c r="AA1088" s="94">
        <v>3</v>
      </c>
      <c r="AB1088" s="94" t="s">
        <v>210</v>
      </c>
      <c r="AC1088" s="94">
        <v>2</v>
      </c>
      <c r="AD1088" s="94" t="s">
        <v>210</v>
      </c>
      <c r="AE1088" s="94"/>
      <c r="AF1088" s="94"/>
      <c r="AG1088" s="94"/>
      <c r="AH1088" s="94"/>
      <c r="AI1088" s="94"/>
      <c r="AJ1088" s="94"/>
      <c r="AK1088" s="94"/>
      <c r="AL1088" s="94"/>
      <c r="AM1088" s="94"/>
      <c r="AN1088" s="94"/>
      <c r="AO1088" s="94"/>
      <c r="AP1088" s="94"/>
      <c r="AQ1088" s="94"/>
      <c r="AR1088" s="94"/>
      <c r="AS1088" s="94"/>
      <c r="AT1088" s="94"/>
      <c r="AU1088" s="94"/>
      <c r="AV1088" s="94"/>
      <c r="AW1088" s="94"/>
      <c r="AX1088" s="94"/>
      <c r="AY1088" s="94"/>
      <c r="BA1088" s="95"/>
    </row>
    <row r="1089" spans="1:53" s="87" customFormat="1">
      <c r="A1089" s="90" t="str">
        <f t="shared" si="64"/>
        <v/>
      </c>
      <c r="B1089" s="98">
        <v>2</v>
      </c>
      <c r="C1089" s="94" t="s">
        <v>210</v>
      </c>
      <c r="D1089" s="94">
        <v>-1</v>
      </c>
      <c r="E1089" s="94">
        <v>-4</v>
      </c>
      <c r="F1089" s="94" t="s">
        <v>210</v>
      </c>
      <c r="G1089" s="94" t="s">
        <v>202</v>
      </c>
      <c r="H1089" s="94" t="s">
        <v>210</v>
      </c>
      <c r="I1089" s="94">
        <v>3</v>
      </c>
      <c r="J1089" s="94" t="s">
        <v>210</v>
      </c>
      <c r="K1089" s="94" t="s">
        <v>210</v>
      </c>
      <c r="L1089" s="94">
        <v>-5</v>
      </c>
      <c r="M1089" s="94">
        <v>1</v>
      </c>
      <c r="N1089" s="94" t="s">
        <v>210</v>
      </c>
      <c r="O1089" s="94" t="s">
        <v>210</v>
      </c>
      <c r="P1089" s="94">
        <v>4</v>
      </c>
      <c r="Q1089" s="94">
        <v>5</v>
      </c>
      <c r="R1089" s="94" t="s">
        <v>210</v>
      </c>
      <c r="S1089" s="94" t="s">
        <v>202</v>
      </c>
      <c r="T1089" s="94" t="s">
        <v>210</v>
      </c>
      <c r="U1089" s="94">
        <v>-2</v>
      </c>
      <c r="V1089" s="94" t="s">
        <v>210</v>
      </c>
      <c r="W1089" s="94" t="s">
        <v>210</v>
      </c>
      <c r="X1089" s="94">
        <v>-3</v>
      </c>
      <c r="Y1089" s="94" t="s">
        <v>210</v>
      </c>
      <c r="Z1089" s="94">
        <v>2</v>
      </c>
      <c r="AA1089" s="94">
        <v>4</v>
      </c>
      <c r="AB1089" s="94" t="s">
        <v>210</v>
      </c>
      <c r="AC1089" s="94" t="s">
        <v>210</v>
      </c>
      <c r="AD1089" s="94">
        <v>-1</v>
      </c>
      <c r="AE1089" s="94"/>
      <c r="AF1089" s="94"/>
      <c r="AG1089" s="94"/>
      <c r="AH1089" s="94"/>
      <c r="AI1089" s="94"/>
      <c r="AJ1089" s="94"/>
      <c r="AK1089" s="94"/>
      <c r="AL1089" s="94"/>
      <c r="AM1089" s="94"/>
      <c r="AN1089" s="94"/>
      <c r="AO1089" s="94"/>
      <c r="AP1089" s="94"/>
      <c r="AQ1089" s="94"/>
      <c r="AR1089" s="94"/>
      <c r="AS1089" s="94"/>
      <c r="AT1089" s="94"/>
      <c r="AU1089" s="94"/>
      <c r="AV1089" s="94"/>
      <c r="AW1089" s="94"/>
      <c r="AX1089" s="94"/>
      <c r="AY1089" s="94"/>
      <c r="BA1089" s="95"/>
    </row>
    <row r="1090" spans="1:53" s="87" customFormat="1">
      <c r="A1090" s="90" t="str">
        <f t="shared" si="64"/>
        <v/>
      </c>
      <c r="B1090" s="98">
        <v>3</v>
      </c>
      <c r="C1090" s="94">
        <v>5</v>
      </c>
      <c r="D1090" s="94" t="s">
        <v>210</v>
      </c>
      <c r="E1090" s="94" t="s">
        <v>210</v>
      </c>
      <c r="F1090" s="94">
        <v>-3</v>
      </c>
      <c r="G1090" s="94">
        <v>-4</v>
      </c>
      <c r="H1090" s="94" t="s">
        <v>210</v>
      </c>
      <c r="I1090" s="94" t="s">
        <v>202</v>
      </c>
      <c r="J1090" s="94" t="s">
        <v>210</v>
      </c>
      <c r="K1090" s="94" t="s">
        <v>210</v>
      </c>
      <c r="L1090" s="94">
        <v>1</v>
      </c>
      <c r="M1090" s="94" t="s">
        <v>210</v>
      </c>
      <c r="N1090" s="94">
        <v>-5</v>
      </c>
      <c r="O1090" s="94">
        <v>2</v>
      </c>
      <c r="P1090" s="94" t="s">
        <v>210</v>
      </c>
      <c r="Q1090" s="94" t="s">
        <v>210</v>
      </c>
      <c r="R1090" s="94">
        <v>4</v>
      </c>
      <c r="S1090" s="94">
        <v>3</v>
      </c>
      <c r="T1090" s="94" t="s">
        <v>210</v>
      </c>
      <c r="U1090" s="94" t="s">
        <v>202</v>
      </c>
      <c r="V1090" s="94" t="s">
        <v>210</v>
      </c>
      <c r="W1090" s="94">
        <v>-1</v>
      </c>
      <c r="X1090" s="94" t="s">
        <v>210</v>
      </c>
      <c r="Y1090" s="94" t="s">
        <v>210</v>
      </c>
      <c r="Z1090" s="94">
        <v>4</v>
      </c>
      <c r="AA1090" s="94">
        <v>-1</v>
      </c>
      <c r="AB1090" s="94" t="s">
        <v>210</v>
      </c>
      <c r="AC1090" s="94" t="s">
        <v>210</v>
      </c>
      <c r="AD1090" s="94">
        <v>-2</v>
      </c>
      <c r="AE1090" s="94"/>
      <c r="AF1090" s="94"/>
      <c r="AG1090" s="94"/>
      <c r="AH1090" s="94"/>
      <c r="AI1090" s="94"/>
      <c r="AJ1090" s="94"/>
      <c r="AK1090" s="94"/>
      <c r="AL1090" s="94"/>
      <c r="AM1090" s="94"/>
      <c r="AN1090" s="94"/>
      <c r="AO1090" s="94"/>
      <c r="AP1090" s="94"/>
      <c r="AQ1090" s="94"/>
      <c r="AR1090" s="94"/>
      <c r="AS1090" s="94"/>
      <c r="AT1090" s="94"/>
      <c r="AU1090" s="94"/>
      <c r="AV1090" s="94"/>
      <c r="AW1090" s="94"/>
      <c r="AX1090" s="94"/>
      <c r="AY1090" s="94"/>
      <c r="BA1090" s="95"/>
    </row>
    <row r="1091" spans="1:53" s="87" customFormat="1">
      <c r="A1091" s="90" t="str">
        <f t="shared" si="64"/>
        <v/>
      </c>
      <c r="B1091" s="98">
        <v>4</v>
      </c>
      <c r="C1091" s="94" t="s">
        <v>210</v>
      </c>
      <c r="D1091" s="94">
        <v>5</v>
      </c>
      <c r="E1091" s="94">
        <v>3</v>
      </c>
      <c r="F1091" s="94" t="s">
        <v>210</v>
      </c>
      <c r="G1091" s="94" t="s">
        <v>202</v>
      </c>
      <c r="H1091" s="94" t="s">
        <v>210</v>
      </c>
      <c r="I1091" s="94">
        <v>-4</v>
      </c>
      <c r="J1091" s="94" t="s">
        <v>210</v>
      </c>
      <c r="K1091" s="94" t="s">
        <v>210</v>
      </c>
      <c r="L1091" s="94">
        <v>-2</v>
      </c>
      <c r="M1091" s="94" t="s">
        <v>210</v>
      </c>
      <c r="N1091" s="94">
        <v>1</v>
      </c>
      <c r="O1091" s="94" t="s">
        <v>210</v>
      </c>
      <c r="P1091" s="94">
        <v>-3</v>
      </c>
      <c r="Q1091" s="94">
        <v>2</v>
      </c>
      <c r="R1091" s="94" t="s">
        <v>210</v>
      </c>
      <c r="S1091" s="94" t="s">
        <v>202</v>
      </c>
      <c r="T1091" s="94" t="s">
        <v>210</v>
      </c>
      <c r="U1091" s="94">
        <v>-5</v>
      </c>
      <c r="V1091" s="94" t="s">
        <v>210</v>
      </c>
      <c r="W1091" s="94" t="s">
        <v>210</v>
      </c>
      <c r="X1091" s="94">
        <v>-4</v>
      </c>
      <c r="Y1091" s="94">
        <v>-1</v>
      </c>
      <c r="Z1091" s="94" t="s">
        <v>210</v>
      </c>
      <c r="AA1091" s="94">
        <v>5</v>
      </c>
      <c r="AB1091" s="94" t="s">
        <v>210</v>
      </c>
      <c r="AC1091" s="94" t="s">
        <v>210</v>
      </c>
      <c r="AD1091" s="94">
        <v>4</v>
      </c>
      <c r="AE1091" s="94"/>
      <c r="AF1091" s="94"/>
      <c r="AG1091" s="94"/>
      <c r="AH1091" s="94"/>
      <c r="AI1091" s="94"/>
      <c r="AJ1091" s="94"/>
      <c r="AK1091" s="94"/>
      <c r="AL1091" s="94"/>
      <c r="AM1091" s="94"/>
      <c r="AN1091" s="94"/>
      <c r="AO1091" s="94"/>
      <c r="AP1091" s="94"/>
      <c r="AQ1091" s="94"/>
      <c r="AR1091" s="94"/>
      <c r="AS1091" s="94"/>
      <c r="AT1091" s="94"/>
      <c r="AU1091" s="94"/>
      <c r="AV1091" s="94"/>
      <c r="AW1091" s="94"/>
      <c r="AX1091" s="94"/>
      <c r="AY1091" s="94"/>
      <c r="BA1091" s="95"/>
    </row>
    <row r="1092" spans="1:53" s="87" customFormat="1">
      <c r="A1092" s="90" t="str">
        <f t="shared" si="64"/>
        <v/>
      </c>
      <c r="B1092" s="98">
        <v>5</v>
      </c>
      <c r="C1092" s="94">
        <v>3</v>
      </c>
      <c r="D1092" s="94" t="s">
        <v>210</v>
      </c>
      <c r="E1092" s="94" t="s">
        <v>202</v>
      </c>
      <c r="F1092" s="94" t="s">
        <v>210</v>
      </c>
      <c r="G1092" s="94">
        <v>1</v>
      </c>
      <c r="H1092" s="94" t="s">
        <v>210</v>
      </c>
      <c r="I1092" s="94" t="s">
        <v>210</v>
      </c>
      <c r="J1092" s="94">
        <v>-5</v>
      </c>
      <c r="K1092" s="94">
        <v>2</v>
      </c>
      <c r="L1092" s="94" t="s">
        <v>210</v>
      </c>
      <c r="M1092" s="94" t="s">
        <v>210</v>
      </c>
      <c r="N1092" s="94">
        <v>-3</v>
      </c>
      <c r="O1092" s="94">
        <v>-4</v>
      </c>
      <c r="P1092" s="94" t="s">
        <v>210</v>
      </c>
      <c r="Q1092" s="94" t="s">
        <v>202</v>
      </c>
      <c r="R1092" s="94" t="s">
        <v>210</v>
      </c>
      <c r="S1092" s="94" t="s">
        <v>210</v>
      </c>
      <c r="T1092" s="94">
        <v>1</v>
      </c>
      <c r="U1092" s="94" t="s">
        <v>210</v>
      </c>
      <c r="V1092" s="94">
        <v>5</v>
      </c>
      <c r="W1092" s="94">
        <v>-2</v>
      </c>
      <c r="X1092" s="94" t="s">
        <v>210</v>
      </c>
      <c r="Y1092" s="94" t="s">
        <v>210</v>
      </c>
      <c r="Z1092" s="94">
        <v>-1</v>
      </c>
      <c r="AA1092" s="94" t="s">
        <v>202</v>
      </c>
      <c r="AB1092" s="94" t="s">
        <v>210</v>
      </c>
      <c r="AC1092" s="94" t="s">
        <v>210</v>
      </c>
      <c r="AD1092" s="94">
        <v>-3</v>
      </c>
      <c r="AE1092" s="94"/>
      <c r="AF1092" s="94"/>
      <c r="AG1092" s="94"/>
      <c r="AH1092" s="94"/>
      <c r="AI1092" s="94"/>
      <c r="AJ1092" s="94"/>
      <c r="AK1092" s="94"/>
      <c r="AL1092" s="94"/>
      <c r="AM1092" s="94"/>
      <c r="AN1092" s="94"/>
      <c r="AO1092" s="94"/>
      <c r="AP1092" s="94"/>
      <c r="AQ1092" s="94"/>
      <c r="AR1092" s="94"/>
      <c r="AS1092" s="94"/>
      <c r="AT1092" s="94"/>
      <c r="AU1092" s="94"/>
      <c r="AV1092" s="94"/>
      <c r="AW1092" s="94"/>
      <c r="AX1092" s="94"/>
      <c r="AY1092" s="94"/>
      <c r="BA1092" s="95"/>
    </row>
    <row r="1093" spans="1:53" s="87" customFormat="1">
      <c r="A1093" s="90" t="str">
        <f t="shared" si="64"/>
        <v/>
      </c>
      <c r="B1093" s="98">
        <v>6</v>
      </c>
      <c r="C1093" s="94" t="s">
        <v>202</v>
      </c>
      <c r="D1093" s="94" t="s">
        <v>210</v>
      </c>
      <c r="E1093" s="94">
        <v>2</v>
      </c>
      <c r="F1093" s="94" t="s">
        <v>210</v>
      </c>
      <c r="G1093" s="94" t="s">
        <v>210</v>
      </c>
      <c r="H1093" s="94">
        <v>-5</v>
      </c>
      <c r="I1093" s="94">
        <v>1</v>
      </c>
      <c r="J1093" s="94" t="s">
        <v>210</v>
      </c>
      <c r="K1093" s="94" t="s">
        <v>210</v>
      </c>
      <c r="L1093" s="94">
        <v>-3</v>
      </c>
      <c r="M1093" s="94">
        <v>2</v>
      </c>
      <c r="N1093" s="94" t="s">
        <v>210</v>
      </c>
      <c r="O1093" s="94" t="s">
        <v>202</v>
      </c>
      <c r="P1093" s="94" t="s">
        <v>210</v>
      </c>
      <c r="Q1093" s="94">
        <v>4</v>
      </c>
      <c r="R1093" s="94" t="s">
        <v>210</v>
      </c>
      <c r="S1093" s="94" t="s">
        <v>210</v>
      </c>
      <c r="T1093" s="94">
        <v>-3</v>
      </c>
      <c r="U1093" s="94" t="s">
        <v>210</v>
      </c>
      <c r="V1093" s="94">
        <v>-1</v>
      </c>
      <c r="W1093" s="94" t="s">
        <v>210</v>
      </c>
      <c r="X1093" s="94">
        <v>-2</v>
      </c>
      <c r="Y1093" s="94">
        <v>3</v>
      </c>
      <c r="Z1093" s="94" t="s">
        <v>210</v>
      </c>
      <c r="AA1093" s="94" t="s">
        <v>210</v>
      </c>
      <c r="AB1093" s="94">
        <v>-4</v>
      </c>
      <c r="AC1093" s="94" t="s">
        <v>202</v>
      </c>
      <c r="AD1093" s="94" t="s">
        <v>210</v>
      </c>
      <c r="AE1093" s="94"/>
      <c r="AF1093" s="94"/>
      <c r="AG1093" s="94"/>
      <c r="AH1093" s="94"/>
      <c r="AI1093" s="94"/>
      <c r="AJ1093" s="94"/>
      <c r="AK1093" s="94"/>
      <c r="AL1093" s="94"/>
      <c r="AM1093" s="94"/>
      <c r="AN1093" s="94"/>
      <c r="AO1093" s="94"/>
      <c r="AP1093" s="94"/>
      <c r="AQ1093" s="94"/>
      <c r="AR1093" s="94"/>
      <c r="AS1093" s="94"/>
      <c r="AT1093" s="94"/>
      <c r="AU1093" s="94"/>
      <c r="AV1093" s="94"/>
      <c r="AW1093" s="94"/>
      <c r="AX1093" s="94"/>
      <c r="AY1093" s="94"/>
      <c r="BA1093" s="95"/>
    </row>
    <row r="1094" spans="1:53" s="87" customFormat="1">
      <c r="A1094" s="90" t="str">
        <f t="shared" si="64"/>
        <v/>
      </c>
      <c r="B1094" s="98">
        <v>7</v>
      </c>
      <c r="C1094" s="94">
        <v>4</v>
      </c>
      <c r="D1094" s="94" t="s">
        <v>210</v>
      </c>
      <c r="E1094" s="94" t="s">
        <v>202</v>
      </c>
      <c r="F1094" s="94" t="s">
        <v>210</v>
      </c>
      <c r="G1094" s="94" t="s">
        <v>210</v>
      </c>
      <c r="H1094" s="94">
        <v>-1</v>
      </c>
      <c r="I1094" s="94" t="s">
        <v>210</v>
      </c>
      <c r="J1094" s="94">
        <v>2</v>
      </c>
      <c r="K1094" s="94">
        <v>5</v>
      </c>
      <c r="L1094" s="94" t="s">
        <v>210</v>
      </c>
      <c r="M1094" s="94" t="s">
        <v>210</v>
      </c>
      <c r="N1094" s="94">
        <v>-4</v>
      </c>
      <c r="O1094" s="94">
        <v>3</v>
      </c>
      <c r="P1094" s="94" t="s">
        <v>210</v>
      </c>
      <c r="Q1094" s="94" t="s">
        <v>202</v>
      </c>
      <c r="R1094" s="94" t="s">
        <v>210</v>
      </c>
      <c r="S1094" s="94">
        <v>1</v>
      </c>
      <c r="T1094" s="94" t="s">
        <v>210</v>
      </c>
      <c r="U1094" s="94" t="s">
        <v>210</v>
      </c>
      <c r="V1094" s="94">
        <v>-2</v>
      </c>
      <c r="W1094" s="94">
        <v>-5</v>
      </c>
      <c r="X1094" s="94" t="s">
        <v>210</v>
      </c>
      <c r="Y1094" s="94" t="s">
        <v>210</v>
      </c>
      <c r="Z1094" s="94">
        <v>-3</v>
      </c>
      <c r="AA1094" s="94" t="s">
        <v>202</v>
      </c>
      <c r="AB1094" s="94" t="s">
        <v>210</v>
      </c>
      <c r="AC1094" s="94" t="s">
        <v>210</v>
      </c>
      <c r="AD1094" s="94">
        <v>5</v>
      </c>
      <c r="AE1094" s="94"/>
      <c r="AF1094" s="94"/>
      <c r="AG1094" s="94"/>
      <c r="AH1094" s="94"/>
      <c r="AI1094" s="94"/>
      <c r="AJ1094" s="94"/>
      <c r="AK1094" s="94"/>
      <c r="AL1094" s="94"/>
      <c r="AM1094" s="94"/>
      <c r="AN1094" s="94"/>
      <c r="AO1094" s="94"/>
      <c r="AP1094" s="94"/>
      <c r="AQ1094" s="94"/>
      <c r="AR1094" s="94"/>
      <c r="AS1094" s="94"/>
      <c r="AT1094" s="94"/>
      <c r="AU1094" s="94"/>
      <c r="AV1094" s="94"/>
      <c r="AW1094" s="94"/>
      <c r="AX1094" s="94"/>
      <c r="AY1094" s="94"/>
      <c r="BA1094" s="95"/>
    </row>
    <row r="1095" spans="1:53" s="87" customFormat="1">
      <c r="A1095" s="90" t="str">
        <f t="shared" si="64"/>
        <v/>
      </c>
      <c r="B1095" s="98">
        <v>8</v>
      </c>
      <c r="C1095" s="94" t="s">
        <v>202</v>
      </c>
      <c r="D1095" s="94" t="s">
        <v>210</v>
      </c>
      <c r="E1095" s="94">
        <v>-5</v>
      </c>
      <c r="F1095" s="94" t="s">
        <v>210</v>
      </c>
      <c r="G1095" s="94" t="s">
        <v>210</v>
      </c>
      <c r="H1095" s="94">
        <v>2</v>
      </c>
      <c r="I1095" s="94" t="s">
        <v>210</v>
      </c>
      <c r="J1095" s="94">
        <v>1</v>
      </c>
      <c r="K1095" s="94" t="s">
        <v>210</v>
      </c>
      <c r="L1095" s="94">
        <v>-4</v>
      </c>
      <c r="M1095" s="94">
        <v>5</v>
      </c>
      <c r="N1095" s="94" t="s">
        <v>210</v>
      </c>
      <c r="O1095" s="94" t="s">
        <v>202</v>
      </c>
      <c r="P1095" s="94" t="s">
        <v>210</v>
      </c>
      <c r="Q1095" s="94">
        <v>3</v>
      </c>
      <c r="R1095" s="94" t="s">
        <v>210</v>
      </c>
      <c r="S1095" s="94" t="s">
        <v>210</v>
      </c>
      <c r="T1095" s="94">
        <v>4</v>
      </c>
      <c r="U1095" s="94">
        <v>-1</v>
      </c>
      <c r="V1095" s="94" t="s">
        <v>210</v>
      </c>
      <c r="W1095" s="94" t="s">
        <v>210</v>
      </c>
      <c r="X1095" s="94">
        <v>-5</v>
      </c>
      <c r="Y1095" s="94">
        <v>4</v>
      </c>
      <c r="Z1095" s="94" t="s">
        <v>210</v>
      </c>
      <c r="AA1095" s="94" t="s">
        <v>210</v>
      </c>
      <c r="AB1095" s="94">
        <v>-3</v>
      </c>
      <c r="AC1095" s="94" t="s">
        <v>202</v>
      </c>
      <c r="AD1095" s="94" t="s">
        <v>210</v>
      </c>
      <c r="AE1095" s="94"/>
      <c r="AF1095" s="94"/>
      <c r="AG1095" s="94"/>
      <c r="AH1095" s="94"/>
      <c r="AI1095" s="94"/>
      <c r="AJ1095" s="94"/>
      <c r="AK1095" s="94"/>
      <c r="AL1095" s="94"/>
      <c r="AM1095" s="94"/>
      <c r="AN1095" s="94"/>
      <c r="AO1095" s="94"/>
      <c r="AP1095" s="94"/>
      <c r="AQ1095" s="94"/>
      <c r="AR1095" s="94"/>
      <c r="AS1095" s="94"/>
      <c r="AT1095" s="94"/>
      <c r="AU1095" s="94"/>
      <c r="AV1095" s="94"/>
      <c r="AW1095" s="94"/>
      <c r="AX1095" s="94"/>
      <c r="AY1095" s="94"/>
      <c r="BA1095" s="95"/>
    </row>
    <row r="1096" spans="1:53" s="87" customFormat="1">
      <c r="A1096" s="90" t="str">
        <f t="shared" si="64"/>
        <v/>
      </c>
      <c r="B1096" s="98">
        <v>9</v>
      </c>
      <c r="C1096" s="94">
        <v>-1</v>
      </c>
      <c r="D1096" s="94" t="s">
        <v>210</v>
      </c>
      <c r="E1096" s="94" t="s">
        <v>210</v>
      </c>
      <c r="F1096" s="94">
        <v>2</v>
      </c>
      <c r="G1096" s="94">
        <v>5</v>
      </c>
      <c r="H1096" s="94" t="s">
        <v>210</v>
      </c>
      <c r="I1096" s="94" t="s">
        <v>210</v>
      </c>
      <c r="J1096" s="94">
        <v>-3</v>
      </c>
      <c r="K1096" s="94">
        <v>-4</v>
      </c>
      <c r="L1096" s="94" t="s">
        <v>210</v>
      </c>
      <c r="M1096" s="94" t="s">
        <v>202</v>
      </c>
      <c r="N1096" s="94" t="s">
        <v>210</v>
      </c>
      <c r="O1096" s="94" t="s">
        <v>210</v>
      </c>
      <c r="P1096" s="94">
        <v>1</v>
      </c>
      <c r="Q1096" s="94" t="s">
        <v>210</v>
      </c>
      <c r="R1096" s="94">
        <v>-2</v>
      </c>
      <c r="S1096" s="94">
        <v>-5</v>
      </c>
      <c r="T1096" s="94" t="s">
        <v>210</v>
      </c>
      <c r="U1096" s="94" t="s">
        <v>210</v>
      </c>
      <c r="V1096" s="94">
        <v>4</v>
      </c>
      <c r="W1096" s="94">
        <v>3</v>
      </c>
      <c r="X1096" s="94" t="s">
        <v>210</v>
      </c>
      <c r="Y1096" s="94" t="s">
        <v>202</v>
      </c>
      <c r="Z1096" s="94" t="s">
        <v>210</v>
      </c>
      <c r="AA1096" s="94" t="s">
        <v>210</v>
      </c>
      <c r="AB1096" s="94">
        <v>1</v>
      </c>
      <c r="AC1096" s="94">
        <v>-5</v>
      </c>
      <c r="AD1096" s="94" t="s">
        <v>210</v>
      </c>
      <c r="AE1096" s="94"/>
      <c r="AF1096" s="94"/>
      <c r="AG1096" s="94"/>
      <c r="AH1096" s="94"/>
      <c r="AI1096" s="94"/>
      <c r="AJ1096" s="94"/>
      <c r="AK1096" s="94"/>
      <c r="AL1096" s="94"/>
      <c r="AM1096" s="94"/>
      <c r="AN1096" s="94"/>
      <c r="AO1096" s="94"/>
      <c r="AP1096" s="94"/>
      <c r="AQ1096" s="94"/>
      <c r="AR1096" s="94"/>
      <c r="AS1096" s="94"/>
      <c r="AT1096" s="94"/>
      <c r="AU1096" s="94"/>
      <c r="AV1096" s="94"/>
      <c r="AW1096" s="94"/>
      <c r="AX1096" s="94"/>
      <c r="AY1096" s="94"/>
      <c r="BA1096" s="95"/>
    </row>
    <row r="1097" spans="1:53" s="87" customFormat="1">
      <c r="A1097" s="90" t="str">
        <f t="shared" si="64"/>
        <v/>
      </c>
      <c r="B1097" s="98">
        <v>10</v>
      </c>
      <c r="C1097" s="94" t="s">
        <v>210</v>
      </c>
      <c r="D1097" s="94">
        <v>2</v>
      </c>
      <c r="E1097" s="94">
        <v>-1</v>
      </c>
      <c r="F1097" s="94" t="s">
        <v>210</v>
      </c>
      <c r="G1097" s="94" t="s">
        <v>210</v>
      </c>
      <c r="H1097" s="94">
        <v>-4</v>
      </c>
      <c r="I1097" s="94">
        <v>5</v>
      </c>
      <c r="J1097" s="94" t="s">
        <v>210</v>
      </c>
      <c r="K1097" s="94" t="s">
        <v>202</v>
      </c>
      <c r="L1097" s="94" t="s">
        <v>210</v>
      </c>
      <c r="M1097" s="94">
        <v>-3</v>
      </c>
      <c r="N1097" s="94" t="s">
        <v>210</v>
      </c>
      <c r="O1097" s="94" t="s">
        <v>210</v>
      </c>
      <c r="P1097" s="94">
        <v>2</v>
      </c>
      <c r="Q1097" s="94" t="s">
        <v>210</v>
      </c>
      <c r="R1097" s="94">
        <v>1</v>
      </c>
      <c r="S1097" s="94" t="s">
        <v>210</v>
      </c>
      <c r="T1097" s="94">
        <v>-5</v>
      </c>
      <c r="U1097" s="94">
        <v>3</v>
      </c>
      <c r="V1097" s="94" t="s">
        <v>210</v>
      </c>
      <c r="W1097" s="94" t="s">
        <v>202</v>
      </c>
      <c r="X1097" s="94" t="s">
        <v>210</v>
      </c>
      <c r="Y1097" s="94">
        <v>-5</v>
      </c>
      <c r="Z1097" s="94" t="s">
        <v>210</v>
      </c>
      <c r="AA1097" s="94">
        <v>-2</v>
      </c>
      <c r="AB1097" s="94" t="s">
        <v>210</v>
      </c>
      <c r="AC1097" s="94">
        <v>4</v>
      </c>
      <c r="AD1097" s="94" t="s">
        <v>210</v>
      </c>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BA1097" s="95"/>
    </row>
    <row r="1098" spans="1:53" s="87" customFormat="1">
      <c r="A1098" s="90" t="str">
        <f t="shared" si="64"/>
        <v/>
      </c>
      <c r="B1098" s="98">
        <v>11</v>
      </c>
      <c r="C1098" s="94" t="s">
        <v>210</v>
      </c>
      <c r="D1098" s="94">
        <v>-3</v>
      </c>
      <c r="E1098" s="94" t="s">
        <v>210</v>
      </c>
      <c r="F1098" s="94">
        <v>5</v>
      </c>
      <c r="G1098" s="94">
        <v>-2</v>
      </c>
      <c r="H1098" s="94" t="s">
        <v>210</v>
      </c>
      <c r="I1098" s="94" t="s">
        <v>210</v>
      </c>
      <c r="J1098" s="94">
        <v>-4</v>
      </c>
      <c r="K1098" s="94">
        <v>3</v>
      </c>
      <c r="L1098" s="94" t="s">
        <v>210</v>
      </c>
      <c r="M1098" s="94" t="s">
        <v>202</v>
      </c>
      <c r="N1098" s="94" t="s">
        <v>210</v>
      </c>
      <c r="O1098" s="94">
        <v>1</v>
      </c>
      <c r="P1098" s="94" t="s">
        <v>210</v>
      </c>
      <c r="Q1098" s="94" t="s">
        <v>210</v>
      </c>
      <c r="R1098" s="94">
        <v>-5</v>
      </c>
      <c r="S1098" s="94">
        <v>-2</v>
      </c>
      <c r="T1098" s="94" t="s">
        <v>210</v>
      </c>
      <c r="U1098" s="94" t="s">
        <v>210</v>
      </c>
      <c r="V1098" s="94">
        <v>3</v>
      </c>
      <c r="W1098" s="94">
        <v>4</v>
      </c>
      <c r="X1098" s="94" t="s">
        <v>210</v>
      </c>
      <c r="Y1098" s="94" t="s">
        <v>202</v>
      </c>
      <c r="Z1098" s="94" t="s">
        <v>210</v>
      </c>
      <c r="AA1098" s="94" t="s">
        <v>210</v>
      </c>
      <c r="AB1098" s="94">
        <v>2</v>
      </c>
      <c r="AC1098" s="94">
        <v>-1</v>
      </c>
      <c r="AD1098" s="94" t="s">
        <v>210</v>
      </c>
      <c r="AE1098" s="94"/>
      <c r="AF1098" s="94"/>
      <c r="AG1098" s="94"/>
      <c r="AH1098" s="94"/>
      <c r="AI1098" s="94"/>
      <c r="AJ1098" s="94"/>
      <c r="AK1098" s="94"/>
      <c r="AL1098" s="94"/>
      <c r="AM1098" s="94"/>
      <c r="AN1098" s="94"/>
      <c r="AO1098" s="94"/>
      <c r="AP1098" s="94"/>
      <c r="AQ1098" s="94"/>
      <c r="AR1098" s="94"/>
      <c r="AS1098" s="94"/>
      <c r="AT1098" s="94"/>
      <c r="AU1098" s="94"/>
      <c r="AV1098" s="94"/>
      <c r="AW1098" s="94"/>
      <c r="AX1098" s="94"/>
      <c r="AY1098" s="94"/>
      <c r="BA1098" s="95"/>
    </row>
    <row r="1099" spans="1:53" s="87" customFormat="1">
      <c r="A1099" s="90" t="str">
        <f t="shared" si="64"/>
        <v/>
      </c>
      <c r="B1099" s="98">
        <v>12</v>
      </c>
      <c r="C1099" s="94" t="s">
        <v>210</v>
      </c>
      <c r="D1099" s="94">
        <v>4</v>
      </c>
      <c r="E1099" s="94" t="s">
        <v>210</v>
      </c>
      <c r="F1099" s="94">
        <v>-1</v>
      </c>
      <c r="G1099" s="94" t="s">
        <v>210</v>
      </c>
      <c r="H1099" s="94">
        <v>-3</v>
      </c>
      <c r="I1099" s="94">
        <v>2</v>
      </c>
      <c r="J1099" s="94" t="s">
        <v>210</v>
      </c>
      <c r="K1099" s="94" t="s">
        <v>202</v>
      </c>
      <c r="L1099" s="94" t="s">
        <v>210</v>
      </c>
      <c r="M1099" s="94">
        <v>-4</v>
      </c>
      <c r="N1099" s="94" t="s">
        <v>210</v>
      </c>
      <c r="O1099" s="94" t="s">
        <v>210</v>
      </c>
      <c r="P1099" s="94">
        <v>5</v>
      </c>
      <c r="Q1099" s="94">
        <v>1</v>
      </c>
      <c r="R1099" s="94" t="s">
        <v>210</v>
      </c>
      <c r="S1099" s="94" t="s">
        <v>210</v>
      </c>
      <c r="T1099" s="94">
        <v>-2</v>
      </c>
      <c r="U1099" s="94">
        <v>4</v>
      </c>
      <c r="V1099" s="94" t="s">
        <v>210</v>
      </c>
      <c r="W1099" s="94" t="s">
        <v>202</v>
      </c>
      <c r="X1099" s="94" t="s">
        <v>210</v>
      </c>
      <c r="Y1099" s="94">
        <v>-2</v>
      </c>
      <c r="Z1099" s="94" t="s">
        <v>210</v>
      </c>
      <c r="AA1099" s="94" t="s">
        <v>210</v>
      </c>
      <c r="AB1099" s="94">
        <v>-5</v>
      </c>
      <c r="AC1099" s="94">
        <v>3</v>
      </c>
      <c r="AD1099" s="94" t="s">
        <v>210</v>
      </c>
      <c r="AE1099" s="94"/>
      <c r="AF1099" s="94"/>
      <c r="AG1099" s="94"/>
      <c r="AH1099" s="94"/>
      <c r="AI1099" s="94"/>
      <c r="AJ1099" s="94"/>
      <c r="AK1099" s="94"/>
      <c r="AL1099" s="94"/>
      <c r="AM1099" s="94"/>
      <c r="AN1099" s="94"/>
      <c r="AO1099" s="94"/>
      <c r="AP1099" s="94"/>
      <c r="AQ1099" s="94"/>
      <c r="AR1099" s="94"/>
      <c r="AS1099" s="94"/>
      <c r="AT1099" s="94"/>
      <c r="AU1099" s="94"/>
      <c r="AV1099" s="94"/>
      <c r="AW1099" s="94"/>
      <c r="AX1099" s="94"/>
      <c r="AY1099" s="94"/>
      <c r="BA1099" s="95"/>
    </row>
    <row r="1100" spans="1:53" s="87" customFormat="1">
      <c r="A1100" s="90" t="str">
        <f t="shared" ref="A1100:A1163" si="65">IF(MID(B1100,3,2)="05",ROW(),"")</f>
        <v/>
      </c>
      <c r="B1100" s="98">
        <v>13</v>
      </c>
      <c r="C1100" s="94" t="s">
        <v>202</v>
      </c>
      <c r="D1100" s="94" t="s">
        <v>210</v>
      </c>
      <c r="E1100" s="94">
        <v>-2</v>
      </c>
      <c r="F1100" s="94" t="s">
        <v>210</v>
      </c>
      <c r="G1100" s="94" t="s">
        <v>210</v>
      </c>
      <c r="H1100" s="94">
        <v>3</v>
      </c>
      <c r="I1100" s="94">
        <v>-5</v>
      </c>
      <c r="J1100" s="94" t="s">
        <v>210</v>
      </c>
      <c r="K1100" s="94" t="s">
        <v>210</v>
      </c>
      <c r="L1100" s="94">
        <v>2</v>
      </c>
      <c r="M1100" s="94">
        <v>-1</v>
      </c>
      <c r="N1100" s="94" t="s">
        <v>210</v>
      </c>
      <c r="O1100" s="94">
        <v>4</v>
      </c>
      <c r="P1100" s="94" t="s">
        <v>210</v>
      </c>
      <c r="Q1100" s="94" t="s">
        <v>202</v>
      </c>
      <c r="R1100" s="94" t="s">
        <v>210</v>
      </c>
      <c r="S1100" s="94">
        <v>5</v>
      </c>
      <c r="T1100" s="94" t="s">
        <v>210</v>
      </c>
      <c r="U1100" s="94" t="s">
        <v>210</v>
      </c>
      <c r="V1100" s="94">
        <v>-3</v>
      </c>
      <c r="W1100" s="94" t="s">
        <v>210</v>
      </c>
      <c r="X1100" s="94">
        <v>1</v>
      </c>
      <c r="Y1100" s="94" t="s">
        <v>210</v>
      </c>
      <c r="Z1100" s="94">
        <v>-4</v>
      </c>
      <c r="AA1100" s="94" t="s">
        <v>202</v>
      </c>
      <c r="AB1100" s="94" t="s">
        <v>210</v>
      </c>
      <c r="AC1100" s="94" t="s">
        <v>210</v>
      </c>
      <c r="AD1100" s="94">
        <v>-5</v>
      </c>
      <c r="AE1100" s="94"/>
      <c r="AF1100" s="94"/>
      <c r="AG1100" s="94"/>
      <c r="AH1100" s="94"/>
      <c r="AI1100" s="94"/>
      <c r="AJ1100" s="94"/>
      <c r="AK1100" s="94"/>
      <c r="AL1100" s="94"/>
      <c r="AM1100" s="94"/>
      <c r="AN1100" s="94"/>
      <c r="AO1100" s="94"/>
      <c r="AP1100" s="94"/>
      <c r="AQ1100" s="94"/>
      <c r="AR1100" s="94"/>
      <c r="AS1100" s="94"/>
      <c r="AT1100" s="94"/>
      <c r="AU1100" s="94"/>
      <c r="AV1100" s="94"/>
      <c r="AW1100" s="94"/>
      <c r="AX1100" s="94"/>
      <c r="AY1100" s="94"/>
      <c r="BA1100" s="95"/>
    </row>
    <row r="1101" spans="1:53" s="87" customFormat="1">
      <c r="A1101" s="90" t="str">
        <f t="shared" si="65"/>
        <v/>
      </c>
      <c r="B1101" s="98">
        <v>14</v>
      </c>
      <c r="C1101" s="94">
        <v>-4</v>
      </c>
      <c r="D1101" s="94" t="s">
        <v>210</v>
      </c>
      <c r="E1101" s="94" t="s">
        <v>202</v>
      </c>
      <c r="F1101" s="94" t="s">
        <v>210</v>
      </c>
      <c r="G1101" s="94">
        <v>2</v>
      </c>
      <c r="H1101" s="94" t="s">
        <v>210</v>
      </c>
      <c r="I1101" s="94" t="s">
        <v>210</v>
      </c>
      <c r="J1101" s="94">
        <v>3</v>
      </c>
      <c r="K1101" s="94" t="s">
        <v>210</v>
      </c>
      <c r="L1101" s="94">
        <v>-1</v>
      </c>
      <c r="M1101" s="94" t="s">
        <v>210</v>
      </c>
      <c r="N1101" s="94">
        <v>-2</v>
      </c>
      <c r="O1101" s="94" t="s">
        <v>202</v>
      </c>
      <c r="P1101" s="94" t="s">
        <v>210</v>
      </c>
      <c r="Q1101" s="94">
        <v>-3</v>
      </c>
      <c r="R1101" s="94" t="s">
        <v>210</v>
      </c>
      <c r="S1101" s="94" t="s">
        <v>210</v>
      </c>
      <c r="T1101" s="94">
        <v>5</v>
      </c>
      <c r="U1101" s="94">
        <v>-4</v>
      </c>
      <c r="V1101" s="94" t="s">
        <v>210</v>
      </c>
      <c r="W1101" s="94" t="s">
        <v>210</v>
      </c>
      <c r="X1101" s="94">
        <v>3</v>
      </c>
      <c r="Y1101" s="94">
        <v>1</v>
      </c>
      <c r="Z1101" s="94" t="s">
        <v>210</v>
      </c>
      <c r="AA1101" s="94" t="s">
        <v>210</v>
      </c>
      <c r="AB1101" s="94">
        <v>4</v>
      </c>
      <c r="AC1101" s="94" t="s">
        <v>202</v>
      </c>
      <c r="AD1101" s="94" t="s">
        <v>210</v>
      </c>
      <c r="AE1101" s="94"/>
      <c r="AF1101" s="94"/>
      <c r="AG1101" s="94"/>
      <c r="AH1101" s="94"/>
      <c r="AI1101" s="94"/>
      <c r="AJ1101" s="94"/>
      <c r="AK1101" s="94"/>
      <c r="AL1101" s="94"/>
      <c r="AM1101" s="94"/>
      <c r="AN1101" s="94"/>
      <c r="AO1101" s="94"/>
      <c r="AP1101" s="94"/>
      <c r="AQ1101" s="94"/>
      <c r="AR1101" s="94"/>
      <c r="AS1101" s="94"/>
      <c r="AT1101" s="94"/>
      <c r="AU1101" s="94"/>
      <c r="AV1101" s="94"/>
      <c r="AW1101" s="94"/>
      <c r="AX1101" s="94"/>
      <c r="AY1101" s="94"/>
      <c r="BA1101" s="95"/>
    </row>
    <row r="1102" spans="1:53" s="87" customFormat="1">
      <c r="A1102" s="90" t="str">
        <f t="shared" si="65"/>
        <v/>
      </c>
      <c r="B1102" s="98">
        <v>15</v>
      </c>
      <c r="C1102" s="94" t="s">
        <v>202</v>
      </c>
      <c r="D1102" s="94" t="s">
        <v>210</v>
      </c>
      <c r="E1102" s="94">
        <v>5</v>
      </c>
      <c r="F1102" s="94" t="s">
        <v>210</v>
      </c>
      <c r="G1102" s="94" t="s">
        <v>210</v>
      </c>
      <c r="H1102" s="94">
        <v>4</v>
      </c>
      <c r="I1102" s="94">
        <v>-2</v>
      </c>
      <c r="J1102" s="94" t="s">
        <v>210</v>
      </c>
      <c r="K1102" s="94" t="s">
        <v>210</v>
      </c>
      <c r="L1102" s="94">
        <v>5</v>
      </c>
      <c r="M1102" s="94" t="s">
        <v>210</v>
      </c>
      <c r="N1102" s="94">
        <v>-1</v>
      </c>
      <c r="O1102" s="94">
        <v>-3</v>
      </c>
      <c r="P1102" s="94" t="s">
        <v>210</v>
      </c>
      <c r="Q1102" s="94" t="s">
        <v>202</v>
      </c>
      <c r="R1102" s="94" t="s">
        <v>210</v>
      </c>
      <c r="S1102" s="94">
        <v>2</v>
      </c>
      <c r="T1102" s="94" t="s">
        <v>210</v>
      </c>
      <c r="U1102" s="94" t="s">
        <v>210</v>
      </c>
      <c r="V1102" s="94">
        <v>-4</v>
      </c>
      <c r="W1102" s="94">
        <v>1</v>
      </c>
      <c r="X1102" s="94" t="s">
        <v>210</v>
      </c>
      <c r="Y1102" s="94" t="s">
        <v>210</v>
      </c>
      <c r="Z1102" s="94">
        <v>-5</v>
      </c>
      <c r="AA1102" s="94" t="s">
        <v>202</v>
      </c>
      <c r="AB1102" s="94" t="s">
        <v>210</v>
      </c>
      <c r="AC1102" s="94" t="s">
        <v>210</v>
      </c>
      <c r="AD1102" s="94">
        <v>3</v>
      </c>
      <c r="AE1102" s="94"/>
      <c r="AF1102" s="94"/>
      <c r="AG1102" s="94"/>
      <c r="AH1102" s="94"/>
      <c r="AI1102" s="94"/>
      <c r="AJ1102" s="94"/>
      <c r="AK1102" s="94"/>
      <c r="AL1102" s="94"/>
      <c r="AM1102" s="94"/>
      <c r="AN1102" s="94"/>
      <c r="AO1102" s="94"/>
      <c r="AP1102" s="94"/>
      <c r="AQ1102" s="94"/>
      <c r="AR1102" s="94"/>
      <c r="AS1102" s="94"/>
      <c r="AT1102" s="94"/>
      <c r="AU1102" s="94"/>
      <c r="AV1102" s="94"/>
      <c r="AW1102" s="94"/>
      <c r="AX1102" s="94"/>
      <c r="AY1102" s="94"/>
      <c r="BA1102" s="95"/>
    </row>
    <row r="1103" spans="1:53" s="87" customFormat="1">
      <c r="A1103" s="90" t="str">
        <f t="shared" si="65"/>
        <v/>
      </c>
      <c r="B1103" s="98">
        <v>16</v>
      </c>
      <c r="C1103" s="94">
        <v>-3</v>
      </c>
      <c r="D1103" s="94" t="s">
        <v>210</v>
      </c>
      <c r="E1103" s="94" t="s">
        <v>202</v>
      </c>
      <c r="F1103" s="94" t="s">
        <v>210</v>
      </c>
      <c r="G1103" s="94">
        <v>-5</v>
      </c>
      <c r="H1103" s="94" t="s">
        <v>210</v>
      </c>
      <c r="I1103" s="94" t="s">
        <v>210</v>
      </c>
      <c r="J1103" s="94">
        <v>4</v>
      </c>
      <c r="K1103" s="94">
        <v>-1</v>
      </c>
      <c r="L1103" s="94" t="s">
        <v>210</v>
      </c>
      <c r="M1103" s="94" t="s">
        <v>210</v>
      </c>
      <c r="N1103" s="94">
        <v>5</v>
      </c>
      <c r="O1103" s="94" t="s">
        <v>202</v>
      </c>
      <c r="P1103" s="94" t="s">
        <v>210</v>
      </c>
      <c r="Q1103" s="94">
        <v>-4</v>
      </c>
      <c r="R1103" s="94" t="s">
        <v>210</v>
      </c>
      <c r="S1103" s="94" t="s">
        <v>210</v>
      </c>
      <c r="T1103" s="94">
        <v>2</v>
      </c>
      <c r="U1103" s="94">
        <v>-3</v>
      </c>
      <c r="V1103" s="94" t="s">
        <v>210</v>
      </c>
      <c r="W1103" s="94" t="s">
        <v>210</v>
      </c>
      <c r="X1103" s="94">
        <v>4</v>
      </c>
      <c r="Y1103" s="94" t="s">
        <v>210</v>
      </c>
      <c r="Z1103" s="94">
        <v>-2</v>
      </c>
      <c r="AA1103" s="94" t="s">
        <v>210</v>
      </c>
      <c r="AB1103" s="94">
        <v>3</v>
      </c>
      <c r="AC1103" s="94" t="s">
        <v>202</v>
      </c>
      <c r="AD1103" s="94" t="s">
        <v>210</v>
      </c>
      <c r="AE1103" s="94"/>
      <c r="AF1103" s="94"/>
      <c r="AG1103" s="94"/>
      <c r="AH1103" s="94"/>
      <c r="AI1103" s="94"/>
      <c r="AJ1103" s="94"/>
      <c r="AK1103" s="94"/>
      <c r="AL1103" s="94"/>
      <c r="AM1103" s="94"/>
      <c r="AN1103" s="94"/>
      <c r="AO1103" s="94"/>
      <c r="AP1103" s="94"/>
      <c r="AQ1103" s="94"/>
      <c r="AR1103" s="94"/>
      <c r="AS1103" s="94"/>
      <c r="AT1103" s="94"/>
      <c r="AU1103" s="94"/>
      <c r="AV1103" s="94"/>
      <c r="AW1103" s="94"/>
      <c r="AX1103" s="94"/>
      <c r="AY1103" s="94"/>
      <c r="BA1103" s="95"/>
    </row>
    <row r="1104" spans="1:53" s="87" customFormat="1">
      <c r="A1104" s="90" t="str">
        <f t="shared" si="65"/>
        <v/>
      </c>
      <c r="B1104" s="98">
        <v>17</v>
      </c>
      <c r="C1104" s="94" t="s">
        <v>210</v>
      </c>
      <c r="D1104" s="94">
        <v>-4</v>
      </c>
      <c r="E1104" s="94">
        <v>1</v>
      </c>
      <c r="F1104" s="94" t="s">
        <v>210</v>
      </c>
      <c r="G1104" s="94" t="s">
        <v>202</v>
      </c>
      <c r="H1104" s="94" t="s">
        <v>210</v>
      </c>
      <c r="I1104" s="94">
        <v>-3</v>
      </c>
      <c r="J1104" s="94" t="s">
        <v>210</v>
      </c>
      <c r="K1104" s="94" t="s">
        <v>210</v>
      </c>
      <c r="L1104" s="94">
        <v>4</v>
      </c>
      <c r="M1104" s="94">
        <v>-2</v>
      </c>
      <c r="N1104" s="94" t="s">
        <v>210</v>
      </c>
      <c r="O1104" s="94" t="s">
        <v>210</v>
      </c>
      <c r="P1104" s="94">
        <v>-1</v>
      </c>
      <c r="Q1104" s="94" t="s">
        <v>210</v>
      </c>
      <c r="R1104" s="94">
        <v>5</v>
      </c>
      <c r="S1104" s="94">
        <v>-4</v>
      </c>
      <c r="T1104" s="94" t="s">
        <v>210</v>
      </c>
      <c r="U1104" s="94" t="s">
        <v>202</v>
      </c>
      <c r="V1104" s="94" t="s">
        <v>210</v>
      </c>
      <c r="W1104" s="94">
        <v>2</v>
      </c>
      <c r="X1104" s="94" t="s">
        <v>210</v>
      </c>
      <c r="Y1104" s="94" t="s">
        <v>210</v>
      </c>
      <c r="Z1104" s="94">
        <v>3</v>
      </c>
      <c r="AA1104" s="94">
        <v>-5</v>
      </c>
      <c r="AB1104" s="94" t="s">
        <v>210</v>
      </c>
      <c r="AC1104" s="94" t="s">
        <v>210</v>
      </c>
      <c r="AD1104" s="94">
        <v>2</v>
      </c>
      <c r="AE1104" s="94"/>
      <c r="AF1104" s="94"/>
      <c r="AG1104" s="94"/>
      <c r="AH1104" s="94"/>
      <c r="AI1104" s="94"/>
      <c r="AJ1104" s="94"/>
      <c r="AK1104" s="94"/>
      <c r="AL1104" s="94"/>
      <c r="AM1104" s="94"/>
      <c r="AN1104" s="94"/>
      <c r="AO1104" s="94"/>
      <c r="AP1104" s="94"/>
      <c r="AQ1104" s="94"/>
      <c r="AR1104" s="94"/>
      <c r="AS1104" s="94"/>
      <c r="AT1104" s="94"/>
      <c r="AU1104" s="94"/>
      <c r="AV1104" s="94"/>
      <c r="AW1104" s="94"/>
      <c r="AX1104" s="94"/>
      <c r="AY1104" s="94"/>
      <c r="BA1104" s="95"/>
    </row>
    <row r="1105" spans="1:53" s="87" customFormat="1">
      <c r="A1105" s="90" t="str">
        <f t="shared" si="65"/>
        <v/>
      </c>
      <c r="B1105" s="98">
        <v>18</v>
      </c>
      <c r="C1105" s="94" t="s">
        <v>210</v>
      </c>
      <c r="D1105" s="94">
        <v>3</v>
      </c>
      <c r="E1105" s="94" t="s">
        <v>210</v>
      </c>
      <c r="F1105" s="94">
        <v>-2</v>
      </c>
      <c r="G1105" s="94">
        <v>4</v>
      </c>
      <c r="H1105" s="94" t="s">
        <v>210</v>
      </c>
      <c r="I1105" s="94" t="s">
        <v>202</v>
      </c>
      <c r="J1105" s="94" t="s">
        <v>210</v>
      </c>
      <c r="K1105" s="94">
        <v>-5</v>
      </c>
      <c r="L1105" s="94" t="s">
        <v>210</v>
      </c>
      <c r="M1105" s="94" t="s">
        <v>210</v>
      </c>
      <c r="N1105" s="94">
        <v>3</v>
      </c>
      <c r="O1105" s="94" t="s">
        <v>210</v>
      </c>
      <c r="P1105" s="94">
        <v>-2</v>
      </c>
      <c r="Q1105" s="94">
        <v>-1</v>
      </c>
      <c r="R1105" s="94" t="s">
        <v>210</v>
      </c>
      <c r="S1105" s="94" t="s">
        <v>202</v>
      </c>
      <c r="T1105" s="94" t="s">
        <v>210</v>
      </c>
      <c r="U1105" s="94">
        <v>5</v>
      </c>
      <c r="V1105" s="94" t="s">
        <v>210</v>
      </c>
      <c r="W1105" s="94" t="s">
        <v>210</v>
      </c>
      <c r="X1105" s="94">
        <v>2</v>
      </c>
      <c r="Y1105" s="94">
        <v>-4</v>
      </c>
      <c r="Z1105" s="94" t="s">
        <v>210</v>
      </c>
      <c r="AA1105" s="94">
        <v>-3</v>
      </c>
      <c r="AB1105" s="94" t="s">
        <v>210</v>
      </c>
      <c r="AC1105" s="94" t="s">
        <v>210</v>
      </c>
      <c r="AD1105" s="94">
        <v>1</v>
      </c>
      <c r="AE1105" s="94"/>
      <c r="AF1105" s="94"/>
      <c r="AG1105" s="94"/>
      <c r="AH1105" s="94"/>
      <c r="AI1105" s="94"/>
      <c r="AJ1105" s="94"/>
      <c r="AK1105" s="94"/>
      <c r="AL1105" s="94"/>
      <c r="AM1105" s="94"/>
      <c r="AN1105" s="94"/>
      <c r="AO1105" s="94"/>
      <c r="AP1105" s="94"/>
      <c r="AQ1105" s="94"/>
      <c r="AR1105" s="94"/>
      <c r="AS1105" s="94"/>
      <c r="AT1105" s="94"/>
      <c r="AU1105" s="94"/>
      <c r="AV1105" s="94"/>
      <c r="AW1105" s="94"/>
      <c r="AX1105" s="94"/>
      <c r="AY1105" s="94"/>
      <c r="BA1105" s="95"/>
    </row>
    <row r="1106" spans="1:53" s="87" customFormat="1">
      <c r="A1106" s="90" t="str">
        <f t="shared" si="65"/>
        <v/>
      </c>
      <c r="B1106" s="98">
        <v>19</v>
      </c>
      <c r="C1106" s="94" t="s">
        <v>210</v>
      </c>
      <c r="D1106" s="94">
        <v>-2</v>
      </c>
      <c r="E1106" s="94" t="s">
        <v>210</v>
      </c>
      <c r="F1106" s="94">
        <v>1</v>
      </c>
      <c r="G1106" s="94" t="s">
        <v>202</v>
      </c>
      <c r="H1106" s="94" t="s">
        <v>210</v>
      </c>
      <c r="I1106" s="94">
        <v>4</v>
      </c>
      <c r="J1106" s="94" t="s">
        <v>210</v>
      </c>
      <c r="K1106" s="94" t="s">
        <v>210</v>
      </c>
      <c r="L1106" s="94">
        <v>3</v>
      </c>
      <c r="M1106" s="94">
        <v>-5</v>
      </c>
      <c r="N1106" s="94" t="s">
        <v>210</v>
      </c>
      <c r="O1106" s="94">
        <v>-1</v>
      </c>
      <c r="P1106" s="94" t="s">
        <v>210</v>
      </c>
      <c r="Q1106" s="94" t="s">
        <v>210</v>
      </c>
      <c r="R1106" s="94">
        <v>2</v>
      </c>
      <c r="S1106" s="94">
        <v>-3</v>
      </c>
      <c r="T1106" s="94" t="s">
        <v>210</v>
      </c>
      <c r="U1106" s="94" t="s">
        <v>202</v>
      </c>
      <c r="V1106" s="94" t="s">
        <v>210</v>
      </c>
      <c r="W1106" s="94">
        <v>5</v>
      </c>
      <c r="X1106" s="94" t="s">
        <v>210</v>
      </c>
      <c r="Y1106" s="94" t="s">
        <v>210</v>
      </c>
      <c r="Z1106" s="94">
        <v>1</v>
      </c>
      <c r="AA1106" s="94">
        <v>-4</v>
      </c>
      <c r="AB1106" s="94" t="s">
        <v>210</v>
      </c>
      <c r="AC1106" s="94">
        <v>-2</v>
      </c>
      <c r="AD1106" s="94" t="s">
        <v>210</v>
      </c>
      <c r="AE1106" s="94"/>
      <c r="AF1106" s="94"/>
      <c r="AG1106" s="94"/>
      <c r="AH1106" s="94"/>
      <c r="AI1106" s="94"/>
      <c r="AJ1106" s="94"/>
      <c r="AK1106" s="94"/>
      <c r="AL1106" s="94"/>
      <c r="AM1106" s="94"/>
      <c r="AN1106" s="94"/>
      <c r="AO1106" s="94"/>
      <c r="AP1106" s="94"/>
      <c r="AQ1106" s="94"/>
      <c r="AR1106" s="94"/>
      <c r="AS1106" s="94"/>
      <c r="AT1106" s="94"/>
      <c r="AU1106" s="94"/>
      <c r="AV1106" s="94"/>
      <c r="AW1106" s="94"/>
      <c r="AX1106" s="94"/>
      <c r="AY1106" s="94"/>
      <c r="BA1106" s="95"/>
    </row>
    <row r="1107" spans="1:53" s="87" customFormat="1">
      <c r="A1107" s="90" t="str">
        <f t="shared" si="65"/>
        <v/>
      </c>
      <c r="B1107" s="98">
        <v>20</v>
      </c>
      <c r="C1107" s="94">
        <v>1</v>
      </c>
      <c r="D1107" s="94" t="s">
        <v>210</v>
      </c>
      <c r="E1107" s="94" t="s">
        <v>210</v>
      </c>
      <c r="F1107" s="94">
        <v>-5</v>
      </c>
      <c r="G1107" s="94">
        <v>3</v>
      </c>
      <c r="H1107" s="94" t="s">
        <v>210</v>
      </c>
      <c r="I1107" s="94" t="s">
        <v>202</v>
      </c>
      <c r="J1107" s="94" t="s">
        <v>210</v>
      </c>
      <c r="K1107" s="94">
        <v>-2</v>
      </c>
      <c r="L1107" s="94" t="s">
        <v>210</v>
      </c>
      <c r="M1107" s="94" t="s">
        <v>210</v>
      </c>
      <c r="N1107" s="94">
        <v>4</v>
      </c>
      <c r="O1107" s="94" t="s">
        <v>210</v>
      </c>
      <c r="P1107" s="94">
        <v>-5</v>
      </c>
      <c r="Q1107" s="94" t="s">
        <v>210</v>
      </c>
      <c r="R1107" s="94">
        <v>-1</v>
      </c>
      <c r="S1107" s="94" t="s">
        <v>202</v>
      </c>
      <c r="T1107" s="94" t="s">
        <v>210</v>
      </c>
      <c r="U1107" s="94">
        <v>2</v>
      </c>
      <c r="V1107" s="94" t="s">
        <v>210</v>
      </c>
      <c r="W1107" s="94" t="s">
        <v>210</v>
      </c>
      <c r="X1107" s="94">
        <v>5</v>
      </c>
      <c r="Y1107" s="94">
        <v>-3</v>
      </c>
      <c r="Z1107" s="94" t="s">
        <v>210</v>
      </c>
      <c r="AA1107" s="94">
        <v>1</v>
      </c>
      <c r="AB1107" s="94" t="s">
        <v>210</v>
      </c>
      <c r="AC1107" s="94" t="s">
        <v>210</v>
      </c>
      <c r="AD1107" s="94">
        <v>-4</v>
      </c>
      <c r="AE1107" s="94"/>
      <c r="AF1107" s="94"/>
      <c r="AG1107" s="94"/>
      <c r="AH1107" s="94"/>
      <c r="AI1107" s="94"/>
      <c r="AJ1107" s="94"/>
      <c r="AK1107" s="94"/>
      <c r="AL1107" s="94"/>
      <c r="AM1107" s="94"/>
      <c r="AN1107" s="94"/>
      <c r="AO1107" s="94"/>
      <c r="AP1107" s="94"/>
      <c r="AQ1107" s="94"/>
      <c r="AR1107" s="94"/>
      <c r="AS1107" s="94"/>
      <c r="AT1107" s="94"/>
      <c r="AU1107" s="94"/>
      <c r="AV1107" s="94"/>
      <c r="AW1107" s="94"/>
      <c r="AX1107" s="94"/>
      <c r="AY1107" s="94"/>
      <c r="BA1107" s="95"/>
    </row>
    <row r="1108" spans="1:53" s="87" customFormat="1">
      <c r="A1108" s="90" t="str">
        <f t="shared" si="65"/>
        <v/>
      </c>
      <c r="B1108" s="98">
        <v>21</v>
      </c>
      <c r="C1108" s="94" t="s">
        <v>210</v>
      </c>
      <c r="D1108" s="94">
        <v>-5</v>
      </c>
      <c r="E1108" s="94">
        <v>4</v>
      </c>
      <c r="F1108" s="94" t="s">
        <v>210</v>
      </c>
      <c r="G1108" s="94" t="s">
        <v>210</v>
      </c>
      <c r="H1108" s="94">
        <v>-2</v>
      </c>
      <c r="I1108" s="94">
        <v>-1</v>
      </c>
      <c r="J1108" s="94" t="s">
        <v>210</v>
      </c>
      <c r="K1108" s="94" t="s">
        <v>202</v>
      </c>
      <c r="L1108" s="94" t="s">
        <v>210</v>
      </c>
      <c r="M1108" s="94">
        <v>3</v>
      </c>
      <c r="N1108" s="94" t="s">
        <v>210</v>
      </c>
      <c r="O1108" s="94">
        <v>5</v>
      </c>
      <c r="P1108" s="94" t="s">
        <v>210</v>
      </c>
      <c r="Q1108" s="94" t="s">
        <v>210</v>
      </c>
      <c r="R1108" s="94">
        <v>-4</v>
      </c>
      <c r="S1108" s="94" t="s">
        <v>210</v>
      </c>
      <c r="T1108" s="94">
        <v>-1</v>
      </c>
      <c r="U1108" s="94" t="s">
        <v>210</v>
      </c>
      <c r="V1108" s="94">
        <v>2</v>
      </c>
      <c r="W1108" s="94">
        <v>-3</v>
      </c>
      <c r="X1108" s="94" t="s">
        <v>210</v>
      </c>
      <c r="Y1108" s="94" t="s">
        <v>202</v>
      </c>
      <c r="Z1108" s="94" t="s">
        <v>210</v>
      </c>
      <c r="AA1108" s="94" t="s">
        <v>210</v>
      </c>
      <c r="AB1108" s="94">
        <v>5</v>
      </c>
      <c r="AC1108" s="94">
        <v>1</v>
      </c>
      <c r="AD1108" s="94" t="s">
        <v>210</v>
      </c>
      <c r="AE1108" s="94"/>
      <c r="AF1108" s="94"/>
      <c r="AG1108" s="94"/>
      <c r="AH1108" s="94"/>
      <c r="AI1108" s="94"/>
      <c r="AJ1108" s="94"/>
      <c r="AK1108" s="94"/>
      <c r="AL1108" s="94"/>
      <c r="AM1108" s="94"/>
      <c r="AN1108" s="94"/>
      <c r="AO1108" s="94"/>
      <c r="AP1108" s="94"/>
      <c r="AQ1108" s="94"/>
      <c r="AR1108" s="94"/>
      <c r="AS1108" s="94"/>
      <c r="AT1108" s="94"/>
      <c r="AU1108" s="94"/>
      <c r="AV1108" s="94"/>
      <c r="AW1108" s="94"/>
      <c r="AX1108" s="94"/>
      <c r="AY1108" s="94"/>
      <c r="BA1108" s="95"/>
    </row>
    <row r="1109" spans="1:53" s="87" customFormat="1">
      <c r="A1109" s="90" t="str">
        <f t="shared" si="65"/>
        <v/>
      </c>
      <c r="B1109" s="98">
        <v>22</v>
      </c>
      <c r="C1109" s="94">
        <v>-5</v>
      </c>
      <c r="D1109" s="94" t="s">
        <v>210</v>
      </c>
      <c r="E1109" s="94" t="s">
        <v>210</v>
      </c>
      <c r="F1109" s="94">
        <v>4</v>
      </c>
      <c r="G1109" s="94" t="s">
        <v>210</v>
      </c>
      <c r="H1109" s="94">
        <v>1</v>
      </c>
      <c r="I1109" s="94" t="s">
        <v>210</v>
      </c>
      <c r="J1109" s="94">
        <v>5</v>
      </c>
      <c r="K1109" s="94">
        <v>-3</v>
      </c>
      <c r="L1109" s="94" t="s">
        <v>210</v>
      </c>
      <c r="M1109" s="94" t="s">
        <v>202</v>
      </c>
      <c r="N1109" s="94" t="s">
        <v>210</v>
      </c>
      <c r="O1109" s="94" t="s">
        <v>210</v>
      </c>
      <c r="P1109" s="94">
        <v>-4</v>
      </c>
      <c r="Q1109" s="94">
        <v>-2</v>
      </c>
      <c r="R1109" s="94" t="s">
        <v>210</v>
      </c>
      <c r="S1109" s="94" t="s">
        <v>210</v>
      </c>
      <c r="T1109" s="94">
        <v>3</v>
      </c>
      <c r="U1109" s="94">
        <v>1</v>
      </c>
      <c r="V1109" s="94" t="s">
        <v>210</v>
      </c>
      <c r="W1109" s="94" t="s">
        <v>202</v>
      </c>
      <c r="X1109" s="94" t="s">
        <v>210</v>
      </c>
      <c r="Y1109" s="94">
        <v>2</v>
      </c>
      <c r="Z1109" s="94" t="s">
        <v>210</v>
      </c>
      <c r="AA1109" s="94" t="s">
        <v>210</v>
      </c>
      <c r="AB1109" s="94">
        <v>-1</v>
      </c>
      <c r="AC1109" s="94">
        <v>-4</v>
      </c>
      <c r="AD1109" s="94" t="s">
        <v>210</v>
      </c>
      <c r="AE1109" s="94"/>
      <c r="AF1109" s="94"/>
      <c r="AG1109" s="94"/>
      <c r="AH1109" s="94"/>
      <c r="AI1109" s="94"/>
      <c r="AJ1109" s="94"/>
      <c r="AK1109" s="94"/>
      <c r="AL1109" s="94"/>
      <c r="AM1109" s="94"/>
      <c r="AN1109" s="94"/>
      <c r="AO1109" s="94"/>
      <c r="AP1109" s="94"/>
      <c r="AQ1109" s="94"/>
      <c r="AR1109" s="94"/>
      <c r="AS1109" s="94"/>
      <c r="AT1109" s="94"/>
      <c r="AU1109" s="94"/>
      <c r="AV1109" s="94"/>
      <c r="AW1109" s="94"/>
      <c r="AX1109" s="94"/>
      <c r="AY1109" s="94"/>
      <c r="BA1109" s="95"/>
    </row>
    <row r="1110" spans="1:53" s="87" customFormat="1">
      <c r="A1110" s="90" t="str">
        <f t="shared" si="65"/>
        <v/>
      </c>
      <c r="B1110" s="98">
        <v>23</v>
      </c>
      <c r="C1110" s="94" t="s">
        <v>210</v>
      </c>
      <c r="D1110" s="94">
        <v>1</v>
      </c>
      <c r="E1110" s="94">
        <v>-3</v>
      </c>
      <c r="F1110" s="94" t="s">
        <v>210</v>
      </c>
      <c r="G1110" s="94" t="s">
        <v>210</v>
      </c>
      <c r="H1110" s="94">
        <v>5</v>
      </c>
      <c r="I1110" s="94" t="s">
        <v>210</v>
      </c>
      <c r="J1110" s="94">
        <v>-1</v>
      </c>
      <c r="K1110" s="94" t="s">
        <v>202</v>
      </c>
      <c r="L1110" s="94" t="s">
        <v>210</v>
      </c>
      <c r="M1110" s="94">
        <v>4</v>
      </c>
      <c r="N1110" s="94" t="s">
        <v>210</v>
      </c>
      <c r="O1110" s="94">
        <v>-2</v>
      </c>
      <c r="P1110" s="94" t="s">
        <v>210</v>
      </c>
      <c r="Q1110" s="94" t="s">
        <v>210</v>
      </c>
      <c r="R1110" s="94">
        <v>3</v>
      </c>
      <c r="S1110" s="94">
        <v>-1</v>
      </c>
      <c r="T1110" s="94" t="s">
        <v>210</v>
      </c>
      <c r="U1110" s="94" t="s">
        <v>210</v>
      </c>
      <c r="V1110" s="94">
        <v>-5</v>
      </c>
      <c r="W1110" s="94">
        <v>-4</v>
      </c>
      <c r="X1110" s="94" t="s">
        <v>210</v>
      </c>
      <c r="Y1110" s="94" t="s">
        <v>202</v>
      </c>
      <c r="Z1110" s="94" t="s">
        <v>210</v>
      </c>
      <c r="AA1110" s="94">
        <v>2</v>
      </c>
      <c r="AB1110" s="94" t="s">
        <v>210</v>
      </c>
      <c r="AC1110" s="94">
        <v>5</v>
      </c>
      <c r="AD1110" s="94" t="s">
        <v>210</v>
      </c>
      <c r="AE1110" s="94"/>
      <c r="AF1110" s="94"/>
      <c r="AG1110" s="94"/>
      <c r="AH1110" s="94"/>
      <c r="AI1110" s="94"/>
      <c r="AJ1110" s="94"/>
      <c r="AK1110" s="94"/>
      <c r="AL1110" s="94"/>
      <c r="AM1110" s="94"/>
      <c r="AN1110" s="94"/>
      <c r="AO1110" s="94"/>
      <c r="AP1110" s="94"/>
      <c r="AQ1110" s="94"/>
      <c r="AR1110" s="94"/>
      <c r="AS1110" s="94"/>
      <c r="AT1110" s="94"/>
      <c r="AU1110" s="94"/>
      <c r="AV1110" s="94"/>
      <c r="AW1110" s="94"/>
      <c r="AX1110" s="94"/>
      <c r="AY1110" s="94"/>
      <c r="BA1110" s="95"/>
    </row>
    <row r="1111" spans="1:53" s="87" customFormat="1">
      <c r="A1111" s="90" t="str">
        <f t="shared" si="65"/>
        <v/>
      </c>
      <c r="B1111" s="98">
        <v>24</v>
      </c>
      <c r="C1111" s="94">
        <v>2</v>
      </c>
      <c r="D1111" s="94" t="s">
        <v>210</v>
      </c>
      <c r="E1111" s="94" t="s">
        <v>210</v>
      </c>
      <c r="F1111" s="94">
        <v>3</v>
      </c>
      <c r="G1111" s="94">
        <v>-1</v>
      </c>
      <c r="H1111" s="94" t="s">
        <v>210</v>
      </c>
      <c r="I1111" s="94" t="s">
        <v>210</v>
      </c>
      <c r="J1111" s="94">
        <v>-2</v>
      </c>
      <c r="K1111" s="94">
        <v>4</v>
      </c>
      <c r="L1111" s="94" t="s">
        <v>210</v>
      </c>
      <c r="M1111" s="94" t="s">
        <v>202</v>
      </c>
      <c r="N1111" s="94" t="s">
        <v>210</v>
      </c>
      <c r="O1111" s="94" t="s">
        <v>210</v>
      </c>
      <c r="P1111" s="94">
        <v>3</v>
      </c>
      <c r="Q1111" s="94">
        <v>-5</v>
      </c>
      <c r="R1111" s="94" t="s">
        <v>210</v>
      </c>
      <c r="S1111" s="94" t="s">
        <v>210</v>
      </c>
      <c r="T1111" s="94">
        <v>-4</v>
      </c>
      <c r="U1111" s="94" t="s">
        <v>210</v>
      </c>
      <c r="V1111" s="94">
        <v>1</v>
      </c>
      <c r="W1111" s="94" t="s">
        <v>202</v>
      </c>
      <c r="X1111" s="94" t="s">
        <v>210</v>
      </c>
      <c r="Y1111" s="94">
        <v>5</v>
      </c>
      <c r="Z1111" s="94" t="s">
        <v>210</v>
      </c>
      <c r="AA1111" s="94" t="s">
        <v>210</v>
      </c>
      <c r="AB1111" s="94">
        <v>-2</v>
      </c>
      <c r="AC1111" s="94">
        <v>-3</v>
      </c>
      <c r="AD1111" s="94" t="s">
        <v>210</v>
      </c>
      <c r="AE1111" s="94"/>
      <c r="AF1111" s="94"/>
      <c r="AG1111" s="94"/>
      <c r="AH1111" s="94"/>
      <c r="AI1111" s="94"/>
      <c r="AJ1111" s="94"/>
      <c r="AK1111" s="94"/>
      <c r="AL1111" s="94"/>
      <c r="AM1111" s="94"/>
      <c r="AN1111" s="94"/>
      <c r="AO1111" s="94"/>
      <c r="AP1111" s="94"/>
      <c r="AQ1111" s="94"/>
      <c r="AR1111" s="94"/>
      <c r="AS1111" s="94"/>
      <c r="AT1111" s="94"/>
      <c r="AU1111" s="94"/>
      <c r="AV1111" s="94"/>
      <c r="AW1111" s="94"/>
      <c r="AX1111" s="94"/>
      <c r="AY1111" s="94"/>
      <c r="BA1111" s="95"/>
    </row>
    <row r="1112" spans="1:53" s="87" customFormat="1">
      <c r="A1112" s="90" t="str">
        <f t="shared" si="65"/>
        <v/>
      </c>
      <c r="B1112" s="317" t="s">
        <v>1030</v>
      </c>
      <c r="C1112" s="94"/>
      <c r="D1112" s="94"/>
      <c r="E1112" s="94"/>
      <c r="F1112" s="94"/>
      <c r="G1112" s="94"/>
      <c r="H1112" s="94"/>
      <c r="I1112" s="94"/>
      <c r="J1112" s="94"/>
      <c r="K1112" s="94"/>
      <c r="L1112" s="94"/>
      <c r="M1112" s="94"/>
      <c r="N1112" s="94"/>
      <c r="O1112" s="94"/>
      <c r="P1112" s="94"/>
      <c r="Q1112" s="94"/>
      <c r="R1112" s="94"/>
      <c r="S1112" s="94"/>
      <c r="T1112" s="94"/>
      <c r="U1112" s="94"/>
      <c r="V1112" s="94"/>
      <c r="W1112" s="94"/>
      <c r="X1112" s="94"/>
      <c r="Y1112" s="94"/>
      <c r="Z1112" s="94"/>
      <c r="AA1112" s="94"/>
      <c r="AB1112" s="94"/>
      <c r="AC1112" s="94"/>
      <c r="AD1112" s="94"/>
      <c r="AE1112" s="94"/>
      <c r="AF1112" s="94"/>
      <c r="AG1112" s="94"/>
      <c r="AH1112" s="94"/>
      <c r="AI1112" s="94"/>
      <c r="AJ1112" s="94"/>
      <c r="AK1112" s="94"/>
      <c r="AL1112" s="94"/>
      <c r="AM1112" s="94"/>
      <c r="AN1112" s="94"/>
      <c r="AO1112" s="94"/>
      <c r="AP1112" s="94"/>
      <c r="AQ1112" s="94"/>
      <c r="AR1112" s="94"/>
      <c r="AS1112" s="94"/>
      <c r="AT1112" s="94"/>
      <c r="AU1112" s="94"/>
      <c r="AV1112" s="94"/>
      <c r="AW1112" s="94"/>
      <c r="AX1112" s="94"/>
      <c r="AY1112" s="94"/>
      <c r="BA1112" s="95"/>
    </row>
    <row r="1113" spans="1:53" s="87" customFormat="1">
      <c r="A1113" s="90">
        <f t="shared" si="65"/>
        <v>1113</v>
      </c>
      <c r="B1113" s="98" t="s">
        <v>1031</v>
      </c>
      <c r="C1113" s="94"/>
      <c r="D1113" s="94"/>
      <c r="E1113" s="94"/>
      <c r="F1113" s="94"/>
      <c r="G1113" s="94"/>
      <c r="H1113" s="94"/>
      <c r="I1113" s="94"/>
      <c r="J1113" s="94"/>
      <c r="K1113" s="94"/>
      <c r="L1113" s="94"/>
      <c r="M1113" s="94"/>
      <c r="N1113" s="94"/>
      <c r="O1113" s="94"/>
      <c r="P1113" s="94"/>
      <c r="Q1113" s="94"/>
      <c r="R1113" s="94"/>
      <c r="S1113" s="94"/>
      <c r="T1113" s="94"/>
      <c r="U1113" s="94"/>
      <c r="V1113" s="94"/>
      <c r="W1113" s="94"/>
      <c r="X1113" s="94"/>
      <c r="Y1113" s="94"/>
      <c r="Z1113" s="94"/>
      <c r="AA1113" s="94"/>
      <c r="AB1113" s="94"/>
      <c r="AC1113" s="94"/>
      <c r="AD1113" s="94"/>
      <c r="AE1113" s="94"/>
      <c r="AF1113" s="94"/>
      <c r="AG1113" s="94"/>
      <c r="AH1113" s="94"/>
      <c r="AI1113" s="94"/>
      <c r="AJ1113" s="94"/>
      <c r="AK1113" s="94"/>
      <c r="AL1113" s="94"/>
      <c r="AM1113" s="94"/>
      <c r="AN1113" s="94"/>
      <c r="AO1113" s="94"/>
      <c r="AP1113" s="94"/>
      <c r="AQ1113" s="94"/>
      <c r="AR1113" s="94"/>
      <c r="AS1113" s="94"/>
      <c r="AT1113" s="94"/>
      <c r="AU1113" s="94"/>
      <c r="AV1113" s="94"/>
      <c r="AW1113" s="94"/>
      <c r="AX1113" s="94"/>
      <c r="AY1113" s="94"/>
      <c r="BA1113" s="95"/>
    </row>
    <row r="1114" spans="1:53" s="87" customFormat="1">
      <c r="A1114" s="90" t="str">
        <f t="shared" si="65"/>
        <v/>
      </c>
      <c r="B1114" s="98">
        <v>1</v>
      </c>
      <c r="C1114" s="94" t="s">
        <v>202</v>
      </c>
      <c r="D1114" s="94" t="s">
        <v>210</v>
      </c>
      <c r="E1114" s="94" t="s">
        <v>210</v>
      </c>
      <c r="F1114" s="94">
        <v>-4</v>
      </c>
      <c r="G1114" s="94" t="s">
        <v>202</v>
      </c>
      <c r="H1114" s="94" t="s">
        <v>210</v>
      </c>
      <c r="I1114" s="94">
        <v>3</v>
      </c>
      <c r="J1114" s="94" t="s">
        <v>210</v>
      </c>
      <c r="K1114" s="94" t="s">
        <v>210</v>
      </c>
      <c r="L1114" s="94">
        <v>1</v>
      </c>
      <c r="M1114" s="94" t="s">
        <v>210</v>
      </c>
      <c r="N1114" s="94">
        <v>-2</v>
      </c>
      <c r="O1114" s="94">
        <v>-5</v>
      </c>
      <c r="P1114" s="94" t="s">
        <v>210</v>
      </c>
      <c r="Q1114" s="94" t="s">
        <v>210</v>
      </c>
      <c r="R1114" s="94">
        <v>-1</v>
      </c>
      <c r="S1114" s="94" t="s">
        <v>202</v>
      </c>
      <c r="T1114" s="94" t="s">
        <v>210</v>
      </c>
      <c r="U1114" s="94">
        <v>2</v>
      </c>
      <c r="V1114" s="94" t="s">
        <v>210</v>
      </c>
      <c r="W1114" s="94" t="s">
        <v>210</v>
      </c>
      <c r="X1114" s="94">
        <v>-3</v>
      </c>
      <c r="Y1114" s="94">
        <v>5</v>
      </c>
      <c r="Z1114" s="94" t="s">
        <v>210</v>
      </c>
      <c r="AA1114" s="94">
        <v>2</v>
      </c>
      <c r="AB1114" s="94" t="s">
        <v>210</v>
      </c>
      <c r="AC1114" s="94" t="s">
        <v>210</v>
      </c>
      <c r="AD1114" s="94">
        <v>4</v>
      </c>
      <c r="AE1114" s="94"/>
      <c r="AF1114" s="94"/>
      <c r="AG1114" s="94"/>
      <c r="AH1114" s="94"/>
      <c r="AI1114" s="94"/>
      <c r="AJ1114" s="94"/>
      <c r="AK1114" s="94"/>
      <c r="AL1114" s="94"/>
      <c r="AM1114" s="94"/>
      <c r="AN1114" s="94"/>
      <c r="AO1114" s="94"/>
      <c r="AP1114" s="94"/>
      <c r="AQ1114" s="94"/>
      <c r="AR1114" s="94"/>
      <c r="AS1114" s="94"/>
      <c r="AT1114" s="94"/>
      <c r="AU1114" s="94"/>
      <c r="AV1114" s="94"/>
      <c r="AW1114" s="94"/>
      <c r="AX1114" s="94"/>
      <c r="AY1114" s="94"/>
      <c r="BA1114" s="95"/>
    </row>
    <row r="1115" spans="1:53" s="87" customFormat="1">
      <c r="A1115" s="90" t="str">
        <f t="shared" si="65"/>
        <v/>
      </c>
      <c r="B1115" s="98">
        <v>2</v>
      </c>
      <c r="C1115" s="94" t="s">
        <v>202</v>
      </c>
      <c r="D1115" s="94" t="s">
        <v>210</v>
      </c>
      <c r="E1115" s="94" t="s">
        <v>210</v>
      </c>
      <c r="F1115" s="94">
        <v>5</v>
      </c>
      <c r="G1115" s="94">
        <v>-2</v>
      </c>
      <c r="H1115" s="94" t="s">
        <v>210</v>
      </c>
      <c r="I1115" s="94" t="s">
        <v>202</v>
      </c>
      <c r="J1115" s="94" t="s">
        <v>210</v>
      </c>
      <c r="K1115" s="94" t="s">
        <v>210</v>
      </c>
      <c r="L1115" s="94">
        <v>3</v>
      </c>
      <c r="M1115" s="94">
        <v>-5</v>
      </c>
      <c r="N1115" s="94" t="s">
        <v>210</v>
      </c>
      <c r="O1115" s="94">
        <v>2</v>
      </c>
      <c r="P1115" s="94" t="s">
        <v>210</v>
      </c>
      <c r="Q1115" s="94" t="s">
        <v>210</v>
      </c>
      <c r="R1115" s="94">
        <v>-3</v>
      </c>
      <c r="S1115" s="94" t="s">
        <v>202</v>
      </c>
      <c r="T1115" s="94" t="s">
        <v>210</v>
      </c>
      <c r="U1115" s="94">
        <v>4</v>
      </c>
      <c r="V1115" s="94" t="s">
        <v>210</v>
      </c>
      <c r="W1115" s="94" t="s">
        <v>210</v>
      </c>
      <c r="X1115" s="94">
        <v>-1</v>
      </c>
      <c r="Y1115" s="94" t="s">
        <v>210</v>
      </c>
      <c r="Z1115" s="94">
        <v>5</v>
      </c>
      <c r="AA1115" s="94">
        <v>3</v>
      </c>
      <c r="AB1115" s="94" t="s">
        <v>210</v>
      </c>
      <c r="AC1115" s="94" t="s">
        <v>210</v>
      </c>
      <c r="AD1115" s="94">
        <v>-4</v>
      </c>
      <c r="AE1115" s="94"/>
      <c r="AF1115" s="94"/>
      <c r="AG1115" s="94"/>
      <c r="AH1115" s="94"/>
      <c r="AI1115" s="94"/>
      <c r="AJ1115" s="94"/>
      <c r="AK1115" s="94"/>
      <c r="AL1115" s="94"/>
      <c r="AM1115" s="94"/>
      <c r="AN1115" s="94"/>
      <c r="AO1115" s="94"/>
      <c r="AP1115" s="94"/>
      <c r="AQ1115" s="94"/>
      <c r="AR1115" s="94"/>
      <c r="AS1115" s="94"/>
      <c r="AT1115" s="94"/>
      <c r="AU1115" s="94"/>
      <c r="AV1115" s="94"/>
      <c r="AW1115" s="94"/>
      <c r="AX1115" s="94"/>
      <c r="AY1115" s="94"/>
      <c r="BA1115" s="95"/>
    </row>
    <row r="1116" spans="1:53" s="87" customFormat="1">
      <c r="A1116" s="90" t="str">
        <f t="shared" si="65"/>
        <v/>
      </c>
      <c r="B1116" s="98">
        <v>3</v>
      </c>
      <c r="C1116" s="94" t="s">
        <v>202</v>
      </c>
      <c r="D1116" s="94" t="s">
        <v>210</v>
      </c>
      <c r="E1116" s="94">
        <v>-5</v>
      </c>
      <c r="F1116" s="94" t="s">
        <v>210</v>
      </c>
      <c r="G1116" s="94" t="s">
        <v>202</v>
      </c>
      <c r="H1116" s="94" t="s">
        <v>210</v>
      </c>
      <c r="I1116" s="94">
        <v>2</v>
      </c>
      <c r="J1116" s="94" t="s">
        <v>210</v>
      </c>
      <c r="K1116" s="94" t="s">
        <v>210</v>
      </c>
      <c r="L1116" s="94">
        <v>-4</v>
      </c>
      <c r="M1116" s="94">
        <v>-3</v>
      </c>
      <c r="N1116" s="94" t="s">
        <v>210</v>
      </c>
      <c r="O1116" s="94">
        <v>-1</v>
      </c>
      <c r="P1116" s="94" t="s">
        <v>210</v>
      </c>
      <c r="Q1116" s="94" t="s">
        <v>210</v>
      </c>
      <c r="R1116" s="94">
        <v>5</v>
      </c>
      <c r="S1116" s="94">
        <v>3</v>
      </c>
      <c r="T1116" s="94" t="s">
        <v>210</v>
      </c>
      <c r="U1116" s="94" t="s">
        <v>202</v>
      </c>
      <c r="V1116" s="94" t="s">
        <v>210</v>
      </c>
      <c r="W1116" s="94" t="s">
        <v>210</v>
      </c>
      <c r="X1116" s="94">
        <v>4</v>
      </c>
      <c r="Y1116" s="94" t="s">
        <v>210</v>
      </c>
      <c r="Z1116" s="94">
        <v>-5</v>
      </c>
      <c r="AA1116" s="94">
        <v>-2</v>
      </c>
      <c r="AB1116" s="94" t="s">
        <v>210</v>
      </c>
      <c r="AC1116" s="94" t="s">
        <v>210</v>
      </c>
      <c r="AD1116" s="94">
        <v>1</v>
      </c>
      <c r="AE1116" s="94"/>
      <c r="AF1116" s="94"/>
      <c r="AG1116" s="94"/>
      <c r="AH1116" s="94"/>
      <c r="AI1116" s="94"/>
      <c r="AJ1116" s="94"/>
      <c r="AK1116" s="94"/>
      <c r="AL1116" s="94"/>
      <c r="AM1116" s="94"/>
      <c r="AN1116" s="94"/>
      <c r="AO1116" s="94"/>
      <c r="AP1116" s="94"/>
      <c r="AQ1116" s="94"/>
      <c r="AR1116" s="94"/>
      <c r="AS1116" s="94"/>
      <c r="AT1116" s="94"/>
      <c r="AU1116" s="94"/>
      <c r="AV1116" s="94"/>
      <c r="AW1116" s="94"/>
      <c r="AX1116" s="94"/>
      <c r="AY1116" s="94"/>
      <c r="BA1116" s="95"/>
    </row>
    <row r="1117" spans="1:53" s="87" customFormat="1">
      <c r="A1117" s="90" t="str">
        <f t="shared" si="65"/>
        <v/>
      </c>
      <c r="B1117" s="98">
        <v>4</v>
      </c>
      <c r="C1117" s="94" t="s">
        <v>202</v>
      </c>
      <c r="D1117" s="94" t="s">
        <v>210</v>
      </c>
      <c r="E1117" s="94" t="s">
        <v>210</v>
      </c>
      <c r="F1117" s="94">
        <v>2</v>
      </c>
      <c r="G1117" s="94">
        <v>3</v>
      </c>
      <c r="H1117" s="94" t="s">
        <v>210</v>
      </c>
      <c r="I1117" s="94" t="s">
        <v>202</v>
      </c>
      <c r="J1117" s="94" t="s">
        <v>210</v>
      </c>
      <c r="K1117" s="94" t="s">
        <v>210</v>
      </c>
      <c r="L1117" s="94">
        <v>5</v>
      </c>
      <c r="M1117" s="94">
        <v>-2</v>
      </c>
      <c r="N1117" s="94" t="s">
        <v>210</v>
      </c>
      <c r="O1117" s="94" t="s">
        <v>210</v>
      </c>
      <c r="P1117" s="94">
        <v>-3</v>
      </c>
      <c r="Q1117" s="94" t="s">
        <v>210</v>
      </c>
      <c r="R1117" s="94">
        <v>4</v>
      </c>
      <c r="S1117" s="94">
        <v>1</v>
      </c>
      <c r="T1117" s="94" t="s">
        <v>210</v>
      </c>
      <c r="U1117" s="94" t="s">
        <v>202</v>
      </c>
      <c r="V1117" s="94" t="s">
        <v>210</v>
      </c>
      <c r="W1117" s="94" t="s">
        <v>210</v>
      </c>
      <c r="X1117" s="94">
        <v>2</v>
      </c>
      <c r="Y1117" s="94">
        <v>-5</v>
      </c>
      <c r="Z1117" s="94" t="s">
        <v>210</v>
      </c>
      <c r="AA1117" s="94">
        <v>-3</v>
      </c>
      <c r="AB1117" s="94" t="s">
        <v>210</v>
      </c>
      <c r="AC1117" s="94" t="s">
        <v>210</v>
      </c>
      <c r="AD1117" s="94">
        <v>-1</v>
      </c>
      <c r="AE1117" s="94"/>
      <c r="AF1117" s="94"/>
      <c r="AG1117" s="94"/>
      <c r="AH1117" s="94"/>
      <c r="AI1117" s="94"/>
      <c r="AJ1117" s="94"/>
      <c r="AK1117" s="94"/>
      <c r="AL1117" s="94"/>
      <c r="AM1117" s="94"/>
      <c r="AN1117" s="94"/>
      <c r="AO1117" s="94"/>
      <c r="AP1117" s="94"/>
      <c r="AQ1117" s="94"/>
      <c r="AR1117" s="94"/>
      <c r="AS1117" s="94"/>
      <c r="AT1117" s="94"/>
      <c r="AU1117" s="94"/>
      <c r="AV1117" s="94"/>
      <c r="AW1117" s="94"/>
      <c r="AX1117" s="94"/>
      <c r="AY1117" s="94"/>
      <c r="BA1117" s="95"/>
    </row>
    <row r="1118" spans="1:53" s="87" customFormat="1">
      <c r="A1118" s="90" t="str">
        <f t="shared" si="65"/>
        <v/>
      </c>
      <c r="B1118" s="98">
        <v>5</v>
      </c>
      <c r="C1118" s="94">
        <v>2</v>
      </c>
      <c r="D1118" s="94" t="s">
        <v>210</v>
      </c>
      <c r="E1118" s="94" t="s">
        <v>210</v>
      </c>
      <c r="F1118" s="94">
        <v>-1</v>
      </c>
      <c r="G1118" s="94">
        <v>-3</v>
      </c>
      <c r="H1118" s="94" t="s">
        <v>210</v>
      </c>
      <c r="I1118" s="94" t="s">
        <v>210</v>
      </c>
      <c r="J1118" s="94">
        <v>5</v>
      </c>
      <c r="K1118" s="94" t="s">
        <v>202</v>
      </c>
      <c r="L1118" s="94" t="s">
        <v>210</v>
      </c>
      <c r="M1118" s="94">
        <v>1</v>
      </c>
      <c r="N1118" s="94" t="s">
        <v>210</v>
      </c>
      <c r="O1118" s="94" t="s">
        <v>210</v>
      </c>
      <c r="P1118" s="94">
        <v>-2</v>
      </c>
      <c r="Q1118" s="94" t="s">
        <v>210</v>
      </c>
      <c r="R1118" s="94">
        <v>-5</v>
      </c>
      <c r="S1118" s="94" t="s">
        <v>202</v>
      </c>
      <c r="T1118" s="94" t="s">
        <v>210</v>
      </c>
      <c r="U1118" s="94">
        <v>-4</v>
      </c>
      <c r="V1118" s="94" t="s">
        <v>210</v>
      </c>
      <c r="W1118" s="94" t="s">
        <v>210</v>
      </c>
      <c r="X1118" s="94">
        <v>3</v>
      </c>
      <c r="Y1118" s="94">
        <v>-4</v>
      </c>
      <c r="Z1118" s="94" t="s">
        <v>210</v>
      </c>
      <c r="AA1118" s="94">
        <v>1</v>
      </c>
      <c r="AB1118" s="94" t="s">
        <v>210</v>
      </c>
      <c r="AC1118" s="94">
        <v>4</v>
      </c>
      <c r="AD1118" s="94" t="s">
        <v>210</v>
      </c>
      <c r="AE1118" s="94"/>
      <c r="AF1118" s="94"/>
      <c r="AG1118" s="94"/>
      <c r="AH1118" s="94"/>
      <c r="AI1118" s="94"/>
      <c r="AJ1118" s="94"/>
      <c r="AK1118" s="94"/>
      <c r="AL1118" s="94"/>
      <c r="AM1118" s="94"/>
      <c r="AN1118" s="94"/>
      <c r="AO1118" s="94"/>
      <c r="AP1118" s="94"/>
      <c r="AQ1118" s="94"/>
      <c r="AR1118" s="94"/>
      <c r="AS1118" s="94"/>
      <c r="AT1118" s="94"/>
      <c r="AU1118" s="94"/>
      <c r="AV1118" s="94"/>
      <c r="AW1118" s="94"/>
      <c r="AX1118" s="94"/>
      <c r="AY1118" s="94"/>
      <c r="BA1118" s="95"/>
    </row>
    <row r="1119" spans="1:53" s="87" customFormat="1">
      <c r="A1119" s="90" t="str">
        <f t="shared" si="65"/>
        <v/>
      </c>
      <c r="B1119" s="98">
        <v>6</v>
      </c>
      <c r="C1119" s="94" t="s">
        <v>202</v>
      </c>
      <c r="D1119" s="94">
        <v>3</v>
      </c>
      <c r="E1119" s="94">
        <v>5</v>
      </c>
      <c r="F1119" s="94" t="s">
        <v>210</v>
      </c>
      <c r="G1119" s="94">
        <v>4</v>
      </c>
      <c r="H1119" s="94" t="s">
        <v>210</v>
      </c>
      <c r="I1119" s="94" t="s">
        <v>210</v>
      </c>
      <c r="J1119" s="94">
        <v>-3</v>
      </c>
      <c r="K1119" s="94" t="s">
        <v>202</v>
      </c>
      <c r="L1119" s="94" t="s">
        <v>210</v>
      </c>
      <c r="M1119" s="94">
        <v>2</v>
      </c>
      <c r="N1119" s="94" t="s">
        <v>210</v>
      </c>
      <c r="O1119" s="94" t="s">
        <v>210</v>
      </c>
      <c r="P1119" s="94">
        <v>-1</v>
      </c>
      <c r="Q1119" s="94">
        <v>-5</v>
      </c>
      <c r="R1119" s="94" t="s">
        <v>210</v>
      </c>
      <c r="S1119" s="94" t="s">
        <v>202</v>
      </c>
      <c r="T1119" s="94" t="s">
        <v>210</v>
      </c>
      <c r="U1119" s="94">
        <v>-2</v>
      </c>
      <c r="V1119" s="94" t="s">
        <v>210</v>
      </c>
      <c r="W1119" s="94" t="s">
        <v>210</v>
      </c>
      <c r="X1119" s="94">
        <v>1</v>
      </c>
      <c r="Y1119" s="94">
        <v>3</v>
      </c>
      <c r="Z1119" s="94" t="s">
        <v>210</v>
      </c>
      <c r="AA1119" s="94" t="s">
        <v>210</v>
      </c>
      <c r="AB1119" s="94">
        <v>-2</v>
      </c>
      <c r="AC1119" s="94">
        <v>-4</v>
      </c>
      <c r="AD1119" s="94" t="s">
        <v>210</v>
      </c>
      <c r="AE1119" s="94"/>
      <c r="AF1119" s="94"/>
      <c r="AG1119" s="94"/>
      <c r="AH1119" s="94"/>
      <c r="AI1119" s="94"/>
      <c r="AJ1119" s="94"/>
      <c r="AK1119" s="94"/>
      <c r="AL1119" s="94"/>
      <c r="AM1119" s="94"/>
      <c r="AN1119" s="94"/>
      <c r="AO1119" s="94"/>
      <c r="AP1119" s="94"/>
      <c r="AQ1119" s="94"/>
      <c r="AR1119" s="94"/>
      <c r="AS1119" s="94"/>
      <c r="AT1119" s="94"/>
      <c r="AU1119" s="94"/>
      <c r="AV1119" s="94"/>
      <c r="AW1119" s="94"/>
      <c r="AX1119" s="94"/>
      <c r="AY1119" s="94"/>
      <c r="BA1119" s="95"/>
    </row>
    <row r="1120" spans="1:53" s="87" customFormat="1">
      <c r="A1120" s="90" t="str">
        <f t="shared" si="65"/>
        <v/>
      </c>
      <c r="B1120" s="98">
        <v>7</v>
      </c>
      <c r="C1120" s="94">
        <v>-4</v>
      </c>
      <c r="D1120" s="94" t="s">
        <v>210</v>
      </c>
      <c r="E1120" s="94" t="s">
        <v>210</v>
      </c>
      <c r="F1120" s="94">
        <v>3</v>
      </c>
      <c r="G1120" s="94" t="s">
        <v>202</v>
      </c>
      <c r="H1120" s="94" t="s">
        <v>210</v>
      </c>
      <c r="I1120" s="94">
        <v>-2</v>
      </c>
      <c r="J1120" s="94" t="s">
        <v>210</v>
      </c>
      <c r="K1120" s="94" t="s">
        <v>210</v>
      </c>
      <c r="L1120" s="94">
        <v>-5</v>
      </c>
      <c r="M1120" s="94">
        <v>4</v>
      </c>
      <c r="N1120" s="94" t="s">
        <v>210</v>
      </c>
      <c r="O1120" s="94">
        <v>-2</v>
      </c>
      <c r="P1120" s="94" t="s">
        <v>210</v>
      </c>
      <c r="Q1120" s="94" t="s">
        <v>210</v>
      </c>
      <c r="R1120" s="94">
        <v>1</v>
      </c>
      <c r="S1120" s="94">
        <v>4</v>
      </c>
      <c r="T1120" s="94" t="s">
        <v>210</v>
      </c>
      <c r="U1120" s="94" t="s">
        <v>210</v>
      </c>
      <c r="V1120" s="94">
        <v>2</v>
      </c>
      <c r="W1120" s="94" t="s">
        <v>202</v>
      </c>
      <c r="X1120" s="94" t="s">
        <v>210</v>
      </c>
      <c r="Y1120" s="94">
        <v>-3</v>
      </c>
      <c r="Z1120" s="94" t="s">
        <v>210</v>
      </c>
      <c r="AA1120" s="94">
        <v>-1</v>
      </c>
      <c r="AB1120" s="94" t="s">
        <v>210</v>
      </c>
      <c r="AC1120" s="94" t="s">
        <v>210</v>
      </c>
      <c r="AD1120" s="94">
        <v>5</v>
      </c>
      <c r="AE1120" s="94"/>
      <c r="AF1120" s="94"/>
      <c r="AG1120" s="94"/>
      <c r="AH1120" s="94"/>
      <c r="AI1120" s="94"/>
      <c r="AJ1120" s="94"/>
      <c r="AK1120" s="94"/>
      <c r="AL1120" s="94"/>
      <c r="AM1120" s="94"/>
      <c r="AN1120" s="94"/>
      <c r="AO1120" s="94"/>
      <c r="AP1120" s="94"/>
      <c r="AQ1120" s="94"/>
      <c r="AR1120" s="94"/>
      <c r="AS1120" s="94"/>
      <c r="AT1120" s="94"/>
      <c r="AU1120" s="94"/>
      <c r="AV1120" s="94"/>
      <c r="AW1120" s="94"/>
      <c r="AX1120" s="94"/>
      <c r="AY1120" s="94"/>
      <c r="BA1120" s="95"/>
    </row>
    <row r="1121" spans="1:53" s="87" customFormat="1">
      <c r="A1121" s="90" t="str">
        <f t="shared" si="65"/>
        <v/>
      </c>
      <c r="B1121" s="98">
        <v>8</v>
      </c>
      <c r="C1121" s="94">
        <v>3</v>
      </c>
      <c r="D1121" s="94" t="s">
        <v>210</v>
      </c>
      <c r="E1121" s="94" t="s">
        <v>210</v>
      </c>
      <c r="F1121" s="94">
        <v>-2</v>
      </c>
      <c r="G1121" s="94">
        <v>5</v>
      </c>
      <c r="H1121" s="94" t="s">
        <v>210</v>
      </c>
      <c r="I1121" s="94" t="s">
        <v>202</v>
      </c>
      <c r="J1121" s="94" t="s">
        <v>210</v>
      </c>
      <c r="K1121" s="94" t="s">
        <v>210</v>
      </c>
      <c r="L1121" s="94">
        <v>-3</v>
      </c>
      <c r="M1121" s="94" t="s">
        <v>210</v>
      </c>
      <c r="N1121" s="94">
        <v>2</v>
      </c>
      <c r="O1121" s="94">
        <v>1</v>
      </c>
      <c r="P1121" s="94" t="s">
        <v>210</v>
      </c>
      <c r="Q1121" s="94">
        <v>-4</v>
      </c>
      <c r="R1121" s="94" t="s">
        <v>210</v>
      </c>
      <c r="S1121" s="94">
        <v>-5</v>
      </c>
      <c r="T1121" s="94" t="s">
        <v>210</v>
      </c>
      <c r="U1121" s="94" t="s">
        <v>210</v>
      </c>
      <c r="V1121" s="94">
        <v>-1</v>
      </c>
      <c r="W1121" s="94" t="s">
        <v>202</v>
      </c>
      <c r="X1121" s="94" t="s">
        <v>210</v>
      </c>
      <c r="Y1121" s="94">
        <v>4</v>
      </c>
      <c r="Z1121" s="94" t="s">
        <v>210</v>
      </c>
      <c r="AA1121" s="94" t="s">
        <v>210</v>
      </c>
      <c r="AB1121" s="94">
        <v>2</v>
      </c>
      <c r="AC1121" s="94" t="s">
        <v>210</v>
      </c>
      <c r="AD1121" s="94">
        <v>-5</v>
      </c>
      <c r="AE1121" s="94"/>
      <c r="AF1121" s="94"/>
      <c r="AG1121" s="94"/>
      <c r="AH1121" s="94"/>
      <c r="AI1121" s="94"/>
      <c r="AJ1121" s="94"/>
      <c r="AK1121" s="94"/>
      <c r="AL1121" s="94"/>
      <c r="AM1121" s="94"/>
      <c r="AN1121" s="94"/>
      <c r="AO1121" s="94"/>
      <c r="AP1121" s="94"/>
      <c r="AQ1121" s="94"/>
      <c r="AR1121" s="94"/>
      <c r="AS1121" s="94"/>
      <c r="AT1121" s="94"/>
      <c r="AU1121" s="94"/>
      <c r="AV1121" s="94"/>
      <c r="AW1121" s="94"/>
      <c r="AX1121" s="94"/>
      <c r="AY1121" s="94"/>
      <c r="BA1121" s="95"/>
    </row>
    <row r="1122" spans="1:53" s="87" customFormat="1">
      <c r="A1122" s="90" t="str">
        <f t="shared" si="65"/>
        <v/>
      </c>
      <c r="B1122" s="98">
        <v>9</v>
      </c>
      <c r="C1122" s="94" t="s">
        <v>202</v>
      </c>
      <c r="D1122" s="94" t="s">
        <v>210</v>
      </c>
      <c r="E1122" s="94" t="s">
        <v>210</v>
      </c>
      <c r="F1122" s="94">
        <v>1</v>
      </c>
      <c r="G1122" s="94">
        <v>-5</v>
      </c>
      <c r="H1122" s="94" t="s">
        <v>210</v>
      </c>
      <c r="I1122" s="94" t="s">
        <v>210</v>
      </c>
      <c r="J1122" s="94">
        <v>3</v>
      </c>
      <c r="K1122" s="94" t="s">
        <v>202</v>
      </c>
      <c r="L1122" s="94" t="s">
        <v>210</v>
      </c>
      <c r="M1122" s="94">
        <v>-4</v>
      </c>
      <c r="N1122" s="94" t="s">
        <v>210</v>
      </c>
      <c r="O1122" s="94">
        <v>5</v>
      </c>
      <c r="P1122" s="94" t="s">
        <v>210</v>
      </c>
      <c r="Q1122" s="94" t="s">
        <v>210</v>
      </c>
      <c r="R1122" s="94">
        <v>3</v>
      </c>
      <c r="S1122" s="94">
        <v>-1</v>
      </c>
      <c r="T1122" s="94" t="s">
        <v>210</v>
      </c>
      <c r="U1122" s="94" t="s">
        <v>202</v>
      </c>
      <c r="V1122" s="94" t="s">
        <v>210</v>
      </c>
      <c r="W1122" s="94" t="s">
        <v>210</v>
      </c>
      <c r="X1122" s="94">
        <v>-4</v>
      </c>
      <c r="Y1122" s="94">
        <v>-2</v>
      </c>
      <c r="Z1122" s="94" t="s">
        <v>210</v>
      </c>
      <c r="AA1122" s="94" t="s">
        <v>210</v>
      </c>
      <c r="AB1122" s="94">
        <v>4</v>
      </c>
      <c r="AC1122" s="94" t="s">
        <v>210</v>
      </c>
      <c r="AD1122" s="94">
        <v>-3</v>
      </c>
      <c r="AE1122" s="94"/>
      <c r="AF1122" s="94"/>
      <c r="AG1122" s="94"/>
      <c r="AH1122" s="94"/>
      <c r="AI1122" s="94"/>
      <c r="AJ1122" s="94"/>
      <c r="AK1122" s="94"/>
      <c r="AL1122" s="94"/>
      <c r="AM1122" s="94"/>
      <c r="AN1122" s="94"/>
      <c r="AO1122" s="94"/>
      <c r="AP1122" s="94"/>
      <c r="AQ1122" s="94"/>
      <c r="AR1122" s="94"/>
      <c r="AS1122" s="94"/>
      <c r="AT1122" s="94"/>
      <c r="AU1122" s="94"/>
      <c r="AV1122" s="94"/>
      <c r="AW1122" s="94"/>
      <c r="AX1122" s="94"/>
      <c r="AY1122" s="94"/>
      <c r="BA1122" s="95"/>
    </row>
    <row r="1123" spans="1:53" s="87" customFormat="1">
      <c r="A1123" s="90" t="str">
        <f t="shared" si="65"/>
        <v/>
      </c>
      <c r="B1123" s="98">
        <v>10</v>
      </c>
      <c r="C1123" s="94" t="s">
        <v>202</v>
      </c>
      <c r="D1123" s="94" t="s">
        <v>210</v>
      </c>
      <c r="E1123" s="94" t="s">
        <v>210</v>
      </c>
      <c r="F1123" s="94">
        <v>-3</v>
      </c>
      <c r="G1123" s="94">
        <v>-4</v>
      </c>
      <c r="H1123" s="94" t="s">
        <v>210</v>
      </c>
      <c r="I1123" s="94" t="s">
        <v>202</v>
      </c>
      <c r="J1123" s="94" t="s">
        <v>210</v>
      </c>
      <c r="K1123" s="94" t="s">
        <v>210</v>
      </c>
      <c r="L1123" s="94">
        <v>-1</v>
      </c>
      <c r="M1123" s="94">
        <v>5</v>
      </c>
      <c r="N1123" s="94" t="s">
        <v>210</v>
      </c>
      <c r="O1123" s="94" t="s">
        <v>210</v>
      </c>
      <c r="P1123" s="94">
        <v>2</v>
      </c>
      <c r="Q1123" s="94">
        <v>4</v>
      </c>
      <c r="R1123" s="94" t="s">
        <v>210</v>
      </c>
      <c r="S1123" s="94">
        <v>-3</v>
      </c>
      <c r="T1123" s="94" t="s">
        <v>210</v>
      </c>
      <c r="U1123" s="94" t="s">
        <v>202</v>
      </c>
      <c r="V1123" s="94" t="s">
        <v>210</v>
      </c>
      <c r="W1123" s="94" t="s">
        <v>210</v>
      </c>
      <c r="X1123" s="94">
        <v>-2</v>
      </c>
      <c r="Y1123" s="94">
        <v>1</v>
      </c>
      <c r="Z1123" s="94" t="s">
        <v>210</v>
      </c>
      <c r="AA1123" s="94" t="s">
        <v>210</v>
      </c>
      <c r="AB1123" s="94">
        <v>-5</v>
      </c>
      <c r="AC1123" s="94" t="s">
        <v>210</v>
      </c>
      <c r="AD1123" s="94">
        <v>3</v>
      </c>
      <c r="AE1123" s="94"/>
      <c r="AF1123" s="94"/>
      <c r="AG1123" s="94"/>
      <c r="AH1123" s="94"/>
      <c r="AI1123" s="94"/>
      <c r="AJ1123" s="94"/>
      <c r="AK1123" s="94"/>
      <c r="AL1123" s="94"/>
      <c r="AM1123" s="94"/>
      <c r="AN1123" s="94"/>
      <c r="AO1123" s="94"/>
      <c r="AP1123" s="94"/>
      <c r="AQ1123" s="94"/>
      <c r="AR1123" s="94"/>
      <c r="AS1123" s="94"/>
      <c r="AT1123" s="94"/>
      <c r="AU1123" s="94"/>
      <c r="AV1123" s="94"/>
      <c r="AW1123" s="94"/>
      <c r="AX1123" s="94"/>
      <c r="AY1123" s="94"/>
      <c r="BA1123" s="95"/>
    </row>
    <row r="1124" spans="1:53" s="87" customFormat="1">
      <c r="A1124" s="90" t="str">
        <f t="shared" si="65"/>
        <v/>
      </c>
      <c r="B1124" s="98">
        <v>11</v>
      </c>
      <c r="C1124" s="94" t="s">
        <v>202</v>
      </c>
      <c r="D1124" s="94" t="s">
        <v>210</v>
      </c>
      <c r="E1124" s="94" t="s">
        <v>210</v>
      </c>
      <c r="F1124" s="94">
        <v>4</v>
      </c>
      <c r="G1124" s="94">
        <v>2</v>
      </c>
      <c r="H1124" s="94" t="s">
        <v>210</v>
      </c>
      <c r="I1124" s="94" t="s">
        <v>210</v>
      </c>
      <c r="J1124" s="94">
        <v>-5</v>
      </c>
      <c r="K1124" s="94" t="s">
        <v>202</v>
      </c>
      <c r="L1124" s="94" t="s">
        <v>210</v>
      </c>
      <c r="M1124" s="94">
        <v>3</v>
      </c>
      <c r="N1124" s="94" t="s">
        <v>210</v>
      </c>
      <c r="O1124" s="94" t="s">
        <v>210</v>
      </c>
      <c r="P1124" s="94">
        <v>1</v>
      </c>
      <c r="Q1124" s="94" t="s">
        <v>210</v>
      </c>
      <c r="R1124" s="94">
        <v>-4</v>
      </c>
      <c r="S1124" s="94">
        <v>5</v>
      </c>
      <c r="T1124" s="94" t="s">
        <v>210</v>
      </c>
      <c r="U1124" s="94" t="s">
        <v>210</v>
      </c>
      <c r="V1124" s="94">
        <v>-2</v>
      </c>
      <c r="W1124" s="94" t="s">
        <v>202</v>
      </c>
      <c r="X1124" s="94" t="s">
        <v>210</v>
      </c>
      <c r="Y1124" s="94">
        <v>-1</v>
      </c>
      <c r="Z1124" s="94" t="s">
        <v>210</v>
      </c>
      <c r="AA1124" s="94" t="s">
        <v>210</v>
      </c>
      <c r="AB1124" s="94">
        <v>-4</v>
      </c>
      <c r="AC1124" s="94">
        <v>2</v>
      </c>
      <c r="AD1124" s="94" t="s">
        <v>210</v>
      </c>
      <c r="AE1124" s="94"/>
      <c r="AF1124" s="94"/>
      <c r="AG1124" s="94"/>
      <c r="AH1124" s="94"/>
      <c r="AI1124" s="94"/>
      <c r="AJ1124" s="94"/>
      <c r="AK1124" s="94"/>
      <c r="AL1124" s="94"/>
      <c r="AM1124" s="94"/>
      <c r="AN1124" s="94"/>
      <c r="AO1124" s="94"/>
      <c r="AP1124" s="94"/>
      <c r="AQ1124" s="94"/>
      <c r="AR1124" s="94"/>
      <c r="AS1124" s="94"/>
      <c r="AT1124" s="94"/>
      <c r="AU1124" s="94"/>
      <c r="AV1124" s="94"/>
      <c r="AW1124" s="94"/>
      <c r="AX1124" s="94"/>
      <c r="AY1124" s="94"/>
      <c r="BA1124" s="95"/>
    </row>
    <row r="1125" spans="1:53" s="87" customFormat="1">
      <c r="A1125" s="90" t="str">
        <f t="shared" si="65"/>
        <v/>
      </c>
      <c r="B1125" s="98">
        <v>12</v>
      </c>
      <c r="C1125" s="94" t="s">
        <v>202</v>
      </c>
      <c r="D1125" s="94" t="s">
        <v>210</v>
      </c>
      <c r="E1125" s="94" t="s">
        <v>210</v>
      </c>
      <c r="F1125" s="94">
        <v>-5</v>
      </c>
      <c r="G1125" s="94" t="s">
        <v>202</v>
      </c>
      <c r="H1125" s="94" t="s">
        <v>210</v>
      </c>
      <c r="I1125" s="94">
        <v>-3</v>
      </c>
      <c r="J1125" s="94" t="s">
        <v>210</v>
      </c>
      <c r="K1125" s="94" t="s">
        <v>210</v>
      </c>
      <c r="L1125" s="94">
        <v>4</v>
      </c>
      <c r="M1125" s="94">
        <v>-1</v>
      </c>
      <c r="N1125" s="94" t="s">
        <v>210</v>
      </c>
      <c r="O1125" s="94" t="s">
        <v>210</v>
      </c>
      <c r="P1125" s="94">
        <v>3</v>
      </c>
      <c r="Q1125" s="94">
        <v>5</v>
      </c>
      <c r="R1125" s="94" t="s">
        <v>210</v>
      </c>
      <c r="S1125" s="94">
        <v>-4</v>
      </c>
      <c r="T1125" s="94" t="s">
        <v>210</v>
      </c>
      <c r="U1125" s="94" t="s">
        <v>210</v>
      </c>
      <c r="V1125" s="94">
        <v>1</v>
      </c>
      <c r="W1125" s="94" t="s">
        <v>202</v>
      </c>
      <c r="X1125" s="94" t="s">
        <v>210</v>
      </c>
      <c r="Y1125" s="94">
        <v>2</v>
      </c>
      <c r="Z1125" s="94" t="s">
        <v>210</v>
      </c>
      <c r="AA1125" s="94" t="s">
        <v>210</v>
      </c>
      <c r="AB1125" s="94">
        <v>5</v>
      </c>
      <c r="AC1125" s="94">
        <v>-2</v>
      </c>
      <c r="AD1125" s="94" t="s">
        <v>210</v>
      </c>
      <c r="AE1125" s="94"/>
      <c r="AF1125" s="94"/>
      <c r="AG1125" s="94"/>
      <c r="AH1125" s="94"/>
      <c r="AI1125" s="94"/>
      <c r="AJ1125" s="94"/>
      <c r="AK1125" s="94"/>
      <c r="AL1125" s="94"/>
      <c r="AM1125" s="94"/>
      <c r="AN1125" s="94"/>
      <c r="AO1125" s="94"/>
      <c r="AP1125" s="94"/>
      <c r="AQ1125" s="94"/>
      <c r="AR1125" s="94"/>
      <c r="AS1125" s="94"/>
      <c r="AT1125" s="94"/>
      <c r="AU1125" s="94"/>
      <c r="AV1125" s="94"/>
      <c r="AW1125" s="94"/>
      <c r="AX1125" s="94"/>
      <c r="AY1125" s="94"/>
      <c r="BA1125" s="95"/>
    </row>
    <row r="1126" spans="1:53" s="87" customFormat="1">
      <c r="A1126" s="90" t="str">
        <f t="shared" si="65"/>
        <v/>
      </c>
      <c r="B1126" s="98">
        <v>13</v>
      </c>
      <c r="C1126" s="94">
        <v>-3</v>
      </c>
      <c r="D1126" s="94" t="s">
        <v>210</v>
      </c>
      <c r="E1126" s="94">
        <v>-4</v>
      </c>
      <c r="F1126" s="94" t="s">
        <v>210</v>
      </c>
      <c r="G1126" s="94" t="s">
        <v>210</v>
      </c>
      <c r="H1126" s="94">
        <v>2</v>
      </c>
      <c r="I1126" s="94" t="s">
        <v>210</v>
      </c>
      <c r="J1126" s="94">
        <v>-1</v>
      </c>
      <c r="K1126" s="94">
        <v>3</v>
      </c>
      <c r="L1126" s="94" t="s">
        <v>210</v>
      </c>
      <c r="M1126" s="94" t="s">
        <v>202</v>
      </c>
      <c r="N1126" s="94" t="s">
        <v>210</v>
      </c>
      <c r="O1126" s="94" t="s">
        <v>210</v>
      </c>
      <c r="P1126" s="94">
        <v>4</v>
      </c>
      <c r="Q1126" s="94">
        <v>1</v>
      </c>
      <c r="R1126" s="94" t="s">
        <v>210</v>
      </c>
      <c r="S1126" s="94">
        <v>-2</v>
      </c>
      <c r="T1126" s="94" t="s">
        <v>210</v>
      </c>
      <c r="U1126" s="94" t="s">
        <v>210</v>
      </c>
      <c r="V1126" s="94">
        <v>3</v>
      </c>
      <c r="W1126" s="94" t="s">
        <v>210</v>
      </c>
      <c r="X1126" s="94">
        <v>5</v>
      </c>
      <c r="Y1126" s="94" t="s">
        <v>202</v>
      </c>
      <c r="Z1126" s="94" t="s">
        <v>210</v>
      </c>
      <c r="AA1126" s="94">
        <v>-4</v>
      </c>
      <c r="AB1126" s="94" t="s">
        <v>210</v>
      </c>
      <c r="AC1126" s="94">
        <v>-5</v>
      </c>
      <c r="AD1126" s="94" t="s">
        <v>210</v>
      </c>
      <c r="AE1126" s="94"/>
      <c r="AF1126" s="94"/>
      <c r="AG1126" s="94"/>
      <c r="AH1126" s="94"/>
      <c r="AI1126" s="94"/>
      <c r="AJ1126" s="94"/>
      <c r="AK1126" s="94"/>
      <c r="AL1126" s="94"/>
      <c r="AM1126" s="94"/>
      <c r="AN1126" s="94"/>
      <c r="AO1126" s="94"/>
      <c r="AP1126" s="94"/>
      <c r="AQ1126" s="94"/>
      <c r="AR1126" s="94"/>
      <c r="AS1126" s="94"/>
      <c r="AT1126" s="94"/>
      <c r="AU1126" s="94"/>
      <c r="AV1126" s="94"/>
      <c r="AW1126" s="94"/>
      <c r="AX1126" s="94"/>
      <c r="AY1126" s="94"/>
      <c r="BA1126" s="95"/>
    </row>
    <row r="1127" spans="1:53" s="87" customFormat="1">
      <c r="A1127" s="90" t="str">
        <f t="shared" si="65"/>
        <v/>
      </c>
      <c r="B1127" s="98">
        <v>14</v>
      </c>
      <c r="C1127" s="94">
        <v>-2</v>
      </c>
      <c r="D1127" s="94" t="s">
        <v>210</v>
      </c>
      <c r="E1127" s="94">
        <v>-3</v>
      </c>
      <c r="F1127" s="94" t="s">
        <v>210</v>
      </c>
      <c r="G1127" s="94" t="s">
        <v>210</v>
      </c>
      <c r="H1127" s="94">
        <v>1</v>
      </c>
      <c r="I1127" s="94" t="s">
        <v>210</v>
      </c>
      <c r="J1127" s="94">
        <v>4</v>
      </c>
      <c r="K1127" s="94">
        <v>-2</v>
      </c>
      <c r="L1127" s="94" t="s">
        <v>210</v>
      </c>
      <c r="M1127" s="94" t="s">
        <v>202</v>
      </c>
      <c r="N1127" s="94" t="s">
        <v>210</v>
      </c>
      <c r="O1127" s="94" t="s">
        <v>210</v>
      </c>
      <c r="P1127" s="94">
        <v>5</v>
      </c>
      <c r="Q1127" s="94">
        <v>3</v>
      </c>
      <c r="R1127" s="94" t="s">
        <v>210</v>
      </c>
      <c r="S1127" s="94" t="s">
        <v>210</v>
      </c>
      <c r="T1127" s="94">
        <v>-4</v>
      </c>
      <c r="U1127" s="94" t="s">
        <v>210</v>
      </c>
      <c r="V1127" s="94">
        <v>-5</v>
      </c>
      <c r="W1127" s="94">
        <v>2</v>
      </c>
      <c r="X1127" s="94" t="s">
        <v>210</v>
      </c>
      <c r="Y1127" s="94" t="s">
        <v>202</v>
      </c>
      <c r="Z1127" s="94" t="s">
        <v>210</v>
      </c>
      <c r="AA1127" s="94" t="s">
        <v>210</v>
      </c>
      <c r="AB1127" s="94">
        <v>-1</v>
      </c>
      <c r="AC1127" s="94">
        <v>5</v>
      </c>
      <c r="AD1127" s="94" t="s">
        <v>210</v>
      </c>
      <c r="AE1127" s="94"/>
      <c r="AF1127" s="94"/>
      <c r="AG1127" s="94"/>
      <c r="AH1127" s="94"/>
      <c r="AI1127" s="94"/>
      <c r="AJ1127" s="94"/>
      <c r="AK1127" s="94"/>
      <c r="AL1127" s="94"/>
      <c r="AM1127" s="94"/>
      <c r="AN1127" s="94"/>
      <c r="AO1127" s="94"/>
      <c r="AP1127" s="94"/>
      <c r="AQ1127" s="94"/>
      <c r="AR1127" s="94"/>
      <c r="AS1127" s="94"/>
      <c r="AT1127" s="94"/>
      <c r="AU1127" s="94"/>
      <c r="AV1127" s="94"/>
      <c r="AW1127" s="94"/>
      <c r="AX1127" s="94"/>
      <c r="AY1127" s="94"/>
      <c r="BA1127" s="95"/>
    </row>
    <row r="1128" spans="1:53" s="87" customFormat="1">
      <c r="A1128" s="90" t="str">
        <f t="shared" si="65"/>
        <v/>
      </c>
      <c r="B1128" s="98">
        <v>15</v>
      </c>
      <c r="C1128" s="94" t="s">
        <v>210</v>
      </c>
      <c r="D1128" s="94">
        <v>-3</v>
      </c>
      <c r="E1128" s="94">
        <v>1</v>
      </c>
      <c r="F1128" s="94" t="s">
        <v>210</v>
      </c>
      <c r="G1128" s="94" t="s">
        <v>210</v>
      </c>
      <c r="H1128" s="94">
        <v>4</v>
      </c>
      <c r="I1128" s="94" t="s">
        <v>210</v>
      </c>
      <c r="J1128" s="94">
        <v>-2</v>
      </c>
      <c r="K1128" s="94">
        <v>-5</v>
      </c>
      <c r="L1128" s="94" t="s">
        <v>210</v>
      </c>
      <c r="M1128" s="94" t="s">
        <v>210</v>
      </c>
      <c r="N1128" s="94">
        <v>-1</v>
      </c>
      <c r="O1128" s="94" t="s">
        <v>202</v>
      </c>
      <c r="P1128" s="94" t="s">
        <v>210</v>
      </c>
      <c r="Q1128" s="94">
        <v>2</v>
      </c>
      <c r="R1128" s="94" t="s">
        <v>210</v>
      </c>
      <c r="S1128" s="94" t="s">
        <v>210</v>
      </c>
      <c r="T1128" s="94">
        <v>5</v>
      </c>
      <c r="U1128" s="94" t="s">
        <v>210</v>
      </c>
      <c r="V1128" s="94">
        <v>-4</v>
      </c>
      <c r="W1128" s="94">
        <v>-2</v>
      </c>
      <c r="X1128" s="94" t="s">
        <v>210</v>
      </c>
      <c r="Y1128" s="94" t="s">
        <v>202</v>
      </c>
      <c r="Z1128" s="94" t="s">
        <v>210</v>
      </c>
      <c r="AA1128" s="94">
        <v>4</v>
      </c>
      <c r="AB1128" s="94" t="s">
        <v>210</v>
      </c>
      <c r="AC1128" s="94">
        <v>3</v>
      </c>
      <c r="AD1128" s="94" t="s">
        <v>210</v>
      </c>
      <c r="AE1128" s="94"/>
      <c r="AF1128" s="94"/>
      <c r="AG1128" s="94"/>
      <c r="AH1128" s="94"/>
      <c r="AI1128" s="94"/>
      <c r="AJ1128" s="94"/>
      <c r="AK1128" s="94"/>
      <c r="AL1128" s="94"/>
      <c r="AM1128" s="94"/>
      <c r="AN1128" s="94"/>
      <c r="AO1128" s="94"/>
      <c r="AP1128" s="94"/>
      <c r="AQ1128" s="94"/>
      <c r="AR1128" s="94"/>
      <c r="AS1128" s="94"/>
      <c r="AT1128" s="94"/>
      <c r="AU1128" s="94"/>
      <c r="AV1128" s="94"/>
      <c r="AW1128" s="94"/>
      <c r="AX1128" s="94"/>
      <c r="AY1128" s="94"/>
      <c r="BA1128" s="95"/>
    </row>
    <row r="1129" spans="1:53" s="87" customFormat="1">
      <c r="A1129" s="90" t="str">
        <f t="shared" si="65"/>
        <v/>
      </c>
      <c r="B1129" s="98">
        <v>16</v>
      </c>
      <c r="C1129" s="94">
        <v>4</v>
      </c>
      <c r="D1129" s="94" t="s">
        <v>210</v>
      </c>
      <c r="E1129" s="94">
        <v>2</v>
      </c>
      <c r="F1129" s="94" t="s">
        <v>210</v>
      </c>
      <c r="G1129" s="94" t="s">
        <v>210</v>
      </c>
      <c r="H1129" s="94">
        <v>5</v>
      </c>
      <c r="I1129" s="94">
        <v>-4</v>
      </c>
      <c r="J1129" s="94" t="s">
        <v>210</v>
      </c>
      <c r="K1129" s="94">
        <v>-1</v>
      </c>
      <c r="L1129" s="94" t="s">
        <v>210</v>
      </c>
      <c r="M1129" s="94" t="s">
        <v>210</v>
      </c>
      <c r="N1129" s="94">
        <v>5</v>
      </c>
      <c r="O1129" s="94" t="s">
        <v>202</v>
      </c>
      <c r="P1129" s="94" t="s">
        <v>210</v>
      </c>
      <c r="Q1129" s="94" t="s">
        <v>210</v>
      </c>
      <c r="R1129" s="94">
        <v>-2</v>
      </c>
      <c r="S1129" s="94" t="s">
        <v>210</v>
      </c>
      <c r="T1129" s="94">
        <v>-1</v>
      </c>
      <c r="U1129" s="94">
        <v>3</v>
      </c>
      <c r="V1129" s="94" t="s">
        <v>210</v>
      </c>
      <c r="W1129" s="94" t="s">
        <v>210</v>
      </c>
      <c r="X1129" s="94">
        <v>-5</v>
      </c>
      <c r="Y1129" s="94" t="s">
        <v>202</v>
      </c>
      <c r="Z1129" s="94" t="s">
        <v>210</v>
      </c>
      <c r="AA1129" s="94" t="s">
        <v>210</v>
      </c>
      <c r="AB1129" s="94">
        <v>1</v>
      </c>
      <c r="AC1129" s="94">
        <v>-3</v>
      </c>
      <c r="AD1129" s="94" t="s">
        <v>210</v>
      </c>
      <c r="AE1129" s="94"/>
      <c r="AF1129" s="94"/>
      <c r="AG1129" s="94"/>
      <c r="AH1129" s="94"/>
      <c r="AI1129" s="94"/>
      <c r="AJ1129" s="94"/>
      <c r="AK1129" s="94"/>
      <c r="AL1129" s="94"/>
      <c r="AM1129" s="94"/>
      <c r="AN1129" s="94"/>
      <c r="AO1129" s="94"/>
      <c r="AP1129" s="94"/>
      <c r="AQ1129" s="94"/>
      <c r="AR1129" s="94"/>
      <c r="AS1129" s="94"/>
      <c r="AT1129" s="94"/>
      <c r="AU1129" s="94"/>
      <c r="AV1129" s="94"/>
      <c r="AW1129" s="94"/>
      <c r="AX1129" s="94"/>
      <c r="AY1129" s="94"/>
      <c r="BA1129" s="95"/>
    </row>
    <row r="1130" spans="1:53" s="87" customFormat="1">
      <c r="A1130" s="90" t="str">
        <f t="shared" si="65"/>
        <v/>
      </c>
      <c r="B1130" s="98">
        <v>17</v>
      </c>
      <c r="C1130" s="94" t="s">
        <v>210</v>
      </c>
      <c r="D1130" s="94">
        <v>-4</v>
      </c>
      <c r="E1130" s="94" t="s">
        <v>202</v>
      </c>
      <c r="F1130" s="94" t="s">
        <v>210</v>
      </c>
      <c r="G1130" s="94" t="s">
        <v>210</v>
      </c>
      <c r="H1130" s="94">
        <v>-5</v>
      </c>
      <c r="I1130" s="94">
        <v>1</v>
      </c>
      <c r="J1130" s="94" t="s">
        <v>210</v>
      </c>
      <c r="K1130" s="94">
        <v>4</v>
      </c>
      <c r="L1130" s="94" t="s">
        <v>210</v>
      </c>
      <c r="M1130" s="94" t="s">
        <v>210</v>
      </c>
      <c r="N1130" s="94">
        <v>-3</v>
      </c>
      <c r="O1130" s="94" t="s">
        <v>202</v>
      </c>
      <c r="P1130" s="94" t="s">
        <v>210</v>
      </c>
      <c r="Q1130" s="94">
        <v>-2</v>
      </c>
      <c r="R1130" s="94" t="s">
        <v>210</v>
      </c>
      <c r="S1130" s="94" t="s">
        <v>210</v>
      </c>
      <c r="T1130" s="94">
        <v>4</v>
      </c>
      <c r="U1130" s="94" t="s">
        <v>210</v>
      </c>
      <c r="V1130" s="94">
        <v>-3</v>
      </c>
      <c r="W1130" s="94">
        <v>5</v>
      </c>
      <c r="X1130" s="94" t="s">
        <v>210</v>
      </c>
      <c r="Y1130" s="94" t="s">
        <v>210</v>
      </c>
      <c r="Z1130" s="94">
        <v>3</v>
      </c>
      <c r="AA1130" s="94" t="s">
        <v>202</v>
      </c>
      <c r="AB1130" s="94" t="s">
        <v>210</v>
      </c>
      <c r="AC1130" s="94">
        <v>-1</v>
      </c>
      <c r="AD1130" s="94" t="s">
        <v>210</v>
      </c>
      <c r="AE1130" s="94"/>
      <c r="AF1130" s="94"/>
      <c r="AG1130" s="94"/>
      <c r="AH1130" s="94"/>
      <c r="AI1130" s="94"/>
      <c r="AJ1130" s="94"/>
      <c r="AK1130" s="94"/>
      <c r="AL1130" s="94"/>
      <c r="AM1130" s="94"/>
      <c r="AN1130" s="94"/>
      <c r="AO1130" s="94"/>
      <c r="AP1130" s="94"/>
      <c r="AQ1130" s="94"/>
      <c r="AR1130" s="94"/>
      <c r="AS1130" s="94"/>
      <c r="AT1130" s="94"/>
      <c r="AU1130" s="94"/>
      <c r="AV1130" s="94"/>
      <c r="AW1130" s="94"/>
      <c r="AX1130" s="94"/>
      <c r="AY1130" s="94"/>
      <c r="BA1130" s="95"/>
    </row>
    <row r="1131" spans="1:53" s="87" customFormat="1">
      <c r="A1131" s="90" t="str">
        <f t="shared" si="65"/>
        <v/>
      </c>
      <c r="B1131" s="98">
        <v>18</v>
      </c>
      <c r="C1131" s="94" t="s">
        <v>210</v>
      </c>
      <c r="D1131" s="94">
        <v>-2</v>
      </c>
      <c r="E1131" s="94" t="s">
        <v>202</v>
      </c>
      <c r="F1131" s="94" t="s">
        <v>210</v>
      </c>
      <c r="G1131" s="94" t="s">
        <v>210</v>
      </c>
      <c r="H1131" s="94">
        <v>-4</v>
      </c>
      <c r="I1131" s="94">
        <v>-5</v>
      </c>
      <c r="J1131" s="94" t="s">
        <v>210</v>
      </c>
      <c r="K1131" s="94">
        <v>1</v>
      </c>
      <c r="L1131" s="94" t="s">
        <v>210</v>
      </c>
      <c r="M1131" s="94" t="s">
        <v>210</v>
      </c>
      <c r="N1131" s="94">
        <v>-4</v>
      </c>
      <c r="O1131" s="94">
        <v>-3</v>
      </c>
      <c r="P1131" s="94" t="s">
        <v>210</v>
      </c>
      <c r="Q1131" s="94" t="s">
        <v>202</v>
      </c>
      <c r="R1131" s="94" t="s">
        <v>210</v>
      </c>
      <c r="S1131" s="94">
        <v>2</v>
      </c>
      <c r="T1131" s="94" t="s">
        <v>210</v>
      </c>
      <c r="U1131" s="94" t="s">
        <v>210</v>
      </c>
      <c r="V1131" s="94">
        <v>5</v>
      </c>
      <c r="W1131" s="94">
        <v>-1</v>
      </c>
      <c r="X1131" s="94" t="s">
        <v>210</v>
      </c>
      <c r="Y1131" s="94" t="s">
        <v>210</v>
      </c>
      <c r="Z1131" s="94">
        <v>4</v>
      </c>
      <c r="AA1131" s="94" t="s">
        <v>202</v>
      </c>
      <c r="AB1131" s="94" t="s">
        <v>210</v>
      </c>
      <c r="AC1131" s="94">
        <v>1</v>
      </c>
      <c r="AD1131" s="94" t="s">
        <v>210</v>
      </c>
      <c r="AE1131" s="94"/>
      <c r="AF1131" s="94"/>
      <c r="AG1131" s="94"/>
      <c r="AH1131" s="94"/>
      <c r="AI1131" s="94"/>
      <c r="AJ1131" s="94"/>
      <c r="AK1131" s="94"/>
      <c r="AL1131" s="94"/>
      <c r="AM1131" s="94"/>
      <c r="AN1131" s="94"/>
      <c r="AO1131" s="94"/>
      <c r="AP1131" s="94"/>
      <c r="AQ1131" s="94"/>
      <c r="AR1131" s="94"/>
      <c r="AS1131" s="94"/>
      <c r="AT1131" s="94"/>
      <c r="AU1131" s="94"/>
      <c r="AV1131" s="94"/>
      <c r="AW1131" s="94"/>
      <c r="AX1131" s="94"/>
      <c r="AY1131" s="94"/>
      <c r="BA1131" s="95"/>
    </row>
    <row r="1132" spans="1:53" s="87" customFormat="1">
      <c r="A1132" s="90" t="str">
        <f t="shared" si="65"/>
        <v/>
      </c>
      <c r="B1132" s="98">
        <v>19</v>
      </c>
      <c r="C1132" s="94" t="s">
        <v>202</v>
      </c>
      <c r="D1132" s="94" t="s">
        <v>210</v>
      </c>
      <c r="E1132" s="94">
        <v>-1</v>
      </c>
      <c r="F1132" s="94" t="s">
        <v>210</v>
      </c>
      <c r="G1132" s="94" t="s">
        <v>210</v>
      </c>
      <c r="H1132" s="94">
        <v>3</v>
      </c>
      <c r="I1132" s="94">
        <v>4</v>
      </c>
      <c r="J1132" s="94" t="s">
        <v>210</v>
      </c>
      <c r="K1132" s="94" t="s">
        <v>210</v>
      </c>
      <c r="L1132" s="94">
        <v>-2</v>
      </c>
      <c r="M1132" s="94" t="s">
        <v>202</v>
      </c>
      <c r="N1132" s="94" t="s">
        <v>210</v>
      </c>
      <c r="O1132" s="94" t="s">
        <v>210</v>
      </c>
      <c r="P1132" s="94">
        <v>-5</v>
      </c>
      <c r="Q1132" s="94">
        <v>-1</v>
      </c>
      <c r="R1132" s="94" t="s">
        <v>210</v>
      </c>
      <c r="S1132" s="94" t="s">
        <v>210</v>
      </c>
      <c r="T1132" s="94">
        <v>2</v>
      </c>
      <c r="U1132" s="94">
        <v>5</v>
      </c>
      <c r="V1132" s="94" t="s">
        <v>210</v>
      </c>
      <c r="W1132" s="94">
        <v>1</v>
      </c>
      <c r="X1132" s="94" t="s">
        <v>210</v>
      </c>
      <c r="Y1132" s="94" t="s">
        <v>210</v>
      </c>
      <c r="Z1132" s="94">
        <v>-3</v>
      </c>
      <c r="AA1132" s="94" t="s">
        <v>202</v>
      </c>
      <c r="AB1132" s="94" t="s">
        <v>210</v>
      </c>
      <c r="AC1132" s="94" t="s">
        <v>210</v>
      </c>
      <c r="AD1132" s="94">
        <v>-2</v>
      </c>
      <c r="AE1132" s="94"/>
      <c r="AF1132" s="94"/>
      <c r="AG1132" s="94"/>
      <c r="AH1132" s="94"/>
      <c r="AI1132" s="94"/>
      <c r="AJ1132" s="94"/>
      <c r="AK1132" s="94"/>
      <c r="AL1132" s="94"/>
      <c r="AM1132" s="94"/>
      <c r="AN1132" s="94"/>
      <c r="AO1132" s="94"/>
      <c r="AP1132" s="94"/>
      <c r="AQ1132" s="94"/>
      <c r="AR1132" s="94"/>
      <c r="AS1132" s="94"/>
      <c r="AT1132" s="94"/>
      <c r="AU1132" s="94"/>
      <c r="AV1132" s="94"/>
      <c r="AW1132" s="94"/>
      <c r="AX1132" s="94"/>
      <c r="AY1132" s="94"/>
      <c r="BA1132" s="95"/>
    </row>
    <row r="1133" spans="1:53" s="87" customFormat="1">
      <c r="A1133" s="90" t="str">
        <f t="shared" si="65"/>
        <v/>
      </c>
      <c r="B1133" s="98">
        <v>20</v>
      </c>
      <c r="C1133" s="94" t="s">
        <v>202</v>
      </c>
      <c r="D1133" s="94" t="s">
        <v>210</v>
      </c>
      <c r="E1133" s="94">
        <v>-2</v>
      </c>
      <c r="F1133" s="94" t="s">
        <v>210</v>
      </c>
      <c r="G1133" s="94">
        <v>1</v>
      </c>
      <c r="H1133" s="94" t="s">
        <v>210</v>
      </c>
      <c r="I1133" s="94" t="s">
        <v>210</v>
      </c>
      <c r="J1133" s="94">
        <v>-4</v>
      </c>
      <c r="K1133" s="94">
        <v>-3</v>
      </c>
      <c r="L1133" s="94" t="s">
        <v>210</v>
      </c>
      <c r="M1133" s="94" t="s">
        <v>210</v>
      </c>
      <c r="N1133" s="94">
        <v>1</v>
      </c>
      <c r="O1133" s="94">
        <v>4</v>
      </c>
      <c r="P1133" s="94" t="s">
        <v>210</v>
      </c>
      <c r="Q1133" s="94" t="s">
        <v>202</v>
      </c>
      <c r="R1133" s="94" t="s">
        <v>210</v>
      </c>
      <c r="S1133" s="94" t="s">
        <v>210</v>
      </c>
      <c r="T1133" s="94">
        <v>3</v>
      </c>
      <c r="U1133" s="94">
        <v>-1</v>
      </c>
      <c r="V1133" s="94" t="s">
        <v>210</v>
      </c>
      <c r="W1133" s="94">
        <v>-5</v>
      </c>
      <c r="X1133" s="94" t="s">
        <v>210</v>
      </c>
      <c r="Y1133" s="94" t="s">
        <v>210</v>
      </c>
      <c r="Z1133" s="94">
        <v>-4</v>
      </c>
      <c r="AA1133" s="94" t="s">
        <v>202</v>
      </c>
      <c r="AB1133" s="94" t="s">
        <v>210</v>
      </c>
      <c r="AC1133" s="94" t="s">
        <v>210</v>
      </c>
      <c r="AD1133" s="94">
        <v>2</v>
      </c>
      <c r="AE1133" s="94"/>
      <c r="AF1133" s="94"/>
      <c r="AG1133" s="94"/>
      <c r="AH1133" s="94"/>
      <c r="AI1133" s="94"/>
      <c r="AJ1133" s="94"/>
      <c r="AK1133" s="94"/>
      <c r="AL1133" s="94"/>
      <c r="AM1133" s="94"/>
      <c r="AN1133" s="94"/>
      <c r="AO1133" s="94"/>
      <c r="AP1133" s="94"/>
      <c r="AQ1133" s="94"/>
      <c r="AR1133" s="94"/>
      <c r="AS1133" s="94"/>
      <c r="AT1133" s="94"/>
      <c r="AU1133" s="94"/>
      <c r="AV1133" s="94"/>
      <c r="AW1133" s="94"/>
      <c r="AX1133" s="94"/>
      <c r="AY1133" s="94"/>
      <c r="BA1133" s="95"/>
    </row>
    <row r="1134" spans="1:53" s="87" customFormat="1">
      <c r="A1134" s="90" t="str">
        <f t="shared" si="65"/>
        <v/>
      </c>
      <c r="B1134" s="98">
        <v>21</v>
      </c>
      <c r="C1134" s="94" t="s">
        <v>210</v>
      </c>
      <c r="D1134" s="94">
        <v>4</v>
      </c>
      <c r="E1134" s="94" t="s">
        <v>202</v>
      </c>
      <c r="F1134" s="94" t="s">
        <v>210</v>
      </c>
      <c r="G1134" s="94">
        <v>-1</v>
      </c>
      <c r="H1134" s="94" t="s">
        <v>210</v>
      </c>
      <c r="I1134" s="94">
        <v>5</v>
      </c>
      <c r="J1134" s="94" t="s">
        <v>210</v>
      </c>
      <c r="K1134" s="94" t="s">
        <v>210</v>
      </c>
      <c r="L1134" s="94">
        <v>2</v>
      </c>
      <c r="M1134" s="94" t="s">
        <v>202</v>
      </c>
      <c r="N1134" s="94" t="s">
        <v>210</v>
      </c>
      <c r="O1134" s="94" t="s">
        <v>210</v>
      </c>
      <c r="P1134" s="94">
        <v>-4</v>
      </c>
      <c r="Q1134" s="94">
        <v>-3</v>
      </c>
      <c r="R1134" s="94" t="s">
        <v>210</v>
      </c>
      <c r="S1134" s="94" t="s">
        <v>210</v>
      </c>
      <c r="T1134" s="94">
        <v>1</v>
      </c>
      <c r="U1134" s="94" t="s">
        <v>210</v>
      </c>
      <c r="V1134" s="94">
        <v>4</v>
      </c>
      <c r="W1134" s="94">
        <v>3</v>
      </c>
      <c r="X1134" s="94" t="s">
        <v>210</v>
      </c>
      <c r="Y1134" s="94" t="s">
        <v>210</v>
      </c>
      <c r="Z1134" s="94">
        <v>-1</v>
      </c>
      <c r="AA1134" s="94">
        <v>-5</v>
      </c>
      <c r="AB1134" s="94" t="s">
        <v>210</v>
      </c>
      <c r="AC1134" s="94" t="s">
        <v>202</v>
      </c>
      <c r="AD1134" s="94" t="s">
        <v>210</v>
      </c>
      <c r="AE1134" s="94"/>
      <c r="AF1134" s="94"/>
      <c r="AG1134" s="94"/>
      <c r="AH1134" s="94"/>
      <c r="AI1134" s="94"/>
      <c r="AJ1134" s="94"/>
      <c r="AK1134" s="94"/>
      <c r="AL1134" s="94"/>
      <c r="AM1134" s="94"/>
      <c r="AN1134" s="94"/>
      <c r="AO1134" s="94"/>
      <c r="AP1134" s="94"/>
      <c r="AQ1134" s="94"/>
      <c r="AR1134" s="94"/>
      <c r="AS1134" s="94"/>
      <c r="AT1134" s="94"/>
      <c r="AU1134" s="94"/>
      <c r="AV1134" s="94"/>
      <c r="AW1134" s="94"/>
      <c r="AX1134" s="94"/>
      <c r="AY1134" s="94"/>
      <c r="BA1134" s="95"/>
    </row>
    <row r="1135" spans="1:53" s="87" customFormat="1">
      <c r="A1135" s="90" t="str">
        <f t="shared" si="65"/>
        <v/>
      </c>
      <c r="B1135" s="98">
        <v>22</v>
      </c>
      <c r="C1135" s="94" t="s">
        <v>210</v>
      </c>
      <c r="D1135" s="94">
        <v>2</v>
      </c>
      <c r="E1135" s="94" t="s">
        <v>202</v>
      </c>
      <c r="F1135" s="94" t="s">
        <v>210</v>
      </c>
      <c r="G1135" s="94" t="s">
        <v>210</v>
      </c>
      <c r="H1135" s="94">
        <v>-3</v>
      </c>
      <c r="I1135" s="94" t="s">
        <v>210</v>
      </c>
      <c r="J1135" s="94">
        <v>1</v>
      </c>
      <c r="K1135" s="94">
        <v>2</v>
      </c>
      <c r="L1135" s="94" t="s">
        <v>210</v>
      </c>
      <c r="M1135" s="94" t="s">
        <v>210</v>
      </c>
      <c r="N1135" s="94">
        <v>3</v>
      </c>
      <c r="O1135" s="94">
        <v>-4</v>
      </c>
      <c r="P1135" s="94" t="s">
        <v>210</v>
      </c>
      <c r="Q1135" s="94" t="s">
        <v>202</v>
      </c>
      <c r="R1135" s="94" t="s">
        <v>210</v>
      </c>
      <c r="S1135" s="94" t="s">
        <v>210</v>
      </c>
      <c r="T1135" s="94">
        <v>-5</v>
      </c>
      <c r="U1135" s="94">
        <v>-3</v>
      </c>
      <c r="V1135" s="94" t="s">
        <v>210</v>
      </c>
      <c r="W1135" s="94">
        <v>4</v>
      </c>
      <c r="X1135" s="94" t="s">
        <v>210</v>
      </c>
      <c r="Y1135" s="94" t="s">
        <v>210</v>
      </c>
      <c r="Z1135" s="94">
        <v>-2</v>
      </c>
      <c r="AA1135" s="94">
        <v>5</v>
      </c>
      <c r="AB1135" s="94" t="s">
        <v>210</v>
      </c>
      <c r="AC1135" s="94" t="s">
        <v>202</v>
      </c>
      <c r="AD1135" s="94" t="s">
        <v>210</v>
      </c>
      <c r="AE1135" s="94"/>
      <c r="AF1135" s="94"/>
      <c r="AG1135" s="94"/>
      <c r="AH1135" s="94"/>
      <c r="AI1135" s="94"/>
      <c r="AJ1135" s="94"/>
      <c r="AK1135" s="94"/>
      <c r="AL1135" s="94"/>
      <c r="AM1135" s="94"/>
      <c r="AN1135" s="94"/>
      <c r="AO1135" s="94"/>
      <c r="AP1135" s="94"/>
      <c r="AQ1135" s="94"/>
      <c r="AR1135" s="94"/>
      <c r="AS1135" s="94"/>
      <c r="AT1135" s="94"/>
      <c r="AU1135" s="94"/>
      <c r="AV1135" s="94"/>
      <c r="AW1135" s="94"/>
      <c r="AX1135" s="94"/>
      <c r="AY1135" s="94"/>
      <c r="BA1135" s="95"/>
    </row>
    <row r="1136" spans="1:53" s="87" customFormat="1">
      <c r="A1136" s="90" t="str">
        <f t="shared" si="65"/>
        <v/>
      </c>
      <c r="B1136" s="98">
        <v>23</v>
      </c>
      <c r="C1136" s="94" t="s">
        <v>202</v>
      </c>
      <c r="D1136" s="94" t="s">
        <v>210</v>
      </c>
      <c r="E1136" s="94">
        <v>3</v>
      </c>
      <c r="F1136" s="94" t="s">
        <v>210</v>
      </c>
      <c r="G1136" s="94" t="s">
        <v>210</v>
      </c>
      <c r="H1136" s="94">
        <v>-2</v>
      </c>
      <c r="I1136" s="94">
        <v>-1</v>
      </c>
      <c r="J1136" s="94" t="s">
        <v>210</v>
      </c>
      <c r="K1136" s="94">
        <v>5</v>
      </c>
      <c r="L1136" s="94" t="s">
        <v>210</v>
      </c>
      <c r="M1136" s="94" t="s">
        <v>210</v>
      </c>
      <c r="N1136" s="94">
        <v>4</v>
      </c>
      <c r="O1136" s="94" t="s">
        <v>202</v>
      </c>
      <c r="P1136" s="94" t="s">
        <v>210</v>
      </c>
      <c r="Q1136" s="94" t="s">
        <v>210</v>
      </c>
      <c r="R1136" s="94">
        <v>2</v>
      </c>
      <c r="S1136" s="94" t="s">
        <v>210</v>
      </c>
      <c r="T1136" s="94">
        <v>-3</v>
      </c>
      <c r="U1136" s="94">
        <v>-5</v>
      </c>
      <c r="V1136" s="94" t="s">
        <v>210</v>
      </c>
      <c r="W1136" s="94">
        <v>-4</v>
      </c>
      <c r="X1136" s="94" t="s">
        <v>210</v>
      </c>
      <c r="Y1136" s="94" t="s">
        <v>210</v>
      </c>
      <c r="Z1136" s="94">
        <v>1</v>
      </c>
      <c r="AA1136" s="94" t="s">
        <v>210</v>
      </c>
      <c r="AB1136" s="94">
        <v>3</v>
      </c>
      <c r="AC1136" s="94" t="s">
        <v>202</v>
      </c>
      <c r="AD1136" s="94" t="s">
        <v>210</v>
      </c>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BA1136" s="95"/>
    </row>
    <row r="1137" spans="1:53" s="87" customFormat="1">
      <c r="A1137" s="90" t="str">
        <f t="shared" si="65"/>
        <v/>
      </c>
      <c r="B1137" s="98">
        <v>24</v>
      </c>
      <c r="C1137" s="94" t="s">
        <v>202</v>
      </c>
      <c r="D1137" s="94" t="s">
        <v>210</v>
      </c>
      <c r="E1137" s="94">
        <v>4</v>
      </c>
      <c r="F1137" s="94" t="s">
        <v>210</v>
      </c>
      <c r="G1137" s="94" t="s">
        <v>210</v>
      </c>
      <c r="H1137" s="94">
        <v>-1</v>
      </c>
      <c r="I1137" s="94" t="s">
        <v>210</v>
      </c>
      <c r="J1137" s="94">
        <v>2</v>
      </c>
      <c r="K1137" s="94">
        <v>-4</v>
      </c>
      <c r="L1137" s="94" t="s">
        <v>210</v>
      </c>
      <c r="M1137" s="94" t="s">
        <v>210</v>
      </c>
      <c r="N1137" s="94">
        <v>-5</v>
      </c>
      <c r="O1137" s="94">
        <v>3</v>
      </c>
      <c r="P1137" s="94" t="s">
        <v>210</v>
      </c>
      <c r="Q1137" s="94" t="s">
        <v>202</v>
      </c>
      <c r="R1137" s="94" t="s">
        <v>210</v>
      </c>
      <c r="S1137" s="94" t="s">
        <v>210</v>
      </c>
      <c r="T1137" s="94">
        <v>-2</v>
      </c>
      <c r="U1137" s="94">
        <v>1</v>
      </c>
      <c r="V1137" s="94" t="s">
        <v>210</v>
      </c>
      <c r="W1137" s="94">
        <v>-3</v>
      </c>
      <c r="X1137" s="94" t="s">
        <v>210</v>
      </c>
      <c r="Y1137" s="94" t="s">
        <v>210</v>
      </c>
      <c r="Z1137" s="94">
        <v>2</v>
      </c>
      <c r="AA1137" s="94" t="s">
        <v>210</v>
      </c>
      <c r="AB1137" s="94">
        <v>-3</v>
      </c>
      <c r="AC1137" s="94" t="s">
        <v>202</v>
      </c>
      <c r="AD1137" s="94" t="s">
        <v>210</v>
      </c>
      <c r="AE1137" s="94"/>
      <c r="AF1137" s="94"/>
      <c r="AG1137" s="94"/>
      <c r="AH1137" s="94"/>
      <c r="AI1137" s="94"/>
      <c r="AJ1137" s="94"/>
      <c r="AK1137" s="94"/>
      <c r="AL1137" s="94"/>
      <c r="AM1137" s="94"/>
      <c r="AN1137" s="94"/>
      <c r="AO1137" s="94"/>
      <c r="AP1137" s="94"/>
      <c r="AQ1137" s="94"/>
      <c r="AR1137" s="94"/>
      <c r="AS1137" s="94"/>
      <c r="AT1137" s="94"/>
      <c r="AU1137" s="94"/>
      <c r="AV1137" s="94"/>
      <c r="AW1137" s="94"/>
      <c r="AX1137" s="94"/>
      <c r="AY1137" s="94"/>
      <c r="BA1137" s="95"/>
    </row>
    <row r="1138" spans="1:53" s="87" customFormat="1">
      <c r="A1138" s="90" t="str">
        <f t="shared" si="65"/>
        <v/>
      </c>
      <c r="B1138" s="317" t="s">
        <v>1030</v>
      </c>
      <c r="C1138" s="94"/>
      <c r="D1138" s="94"/>
      <c r="E1138" s="94"/>
      <c r="F1138" s="94"/>
      <c r="G1138" s="94"/>
      <c r="H1138" s="94"/>
      <c r="I1138" s="94"/>
      <c r="J1138" s="94"/>
      <c r="K1138" s="94"/>
      <c r="L1138" s="94"/>
      <c r="M1138" s="94"/>
      <c r="N1138" s="94"/>
      <c r="O1138" s="94"/>
      <c r="P1138" s="94"/>
      <c r="Q1138" s="94"/>
      <c r="R1138" s="94"/>
      <c r="S1138" s="94"/>
      <c r="T1138" s="94"/>
      <c r="U1138" s="94"/>
      <c r="V1138" s="94"/>
      <c r="W1138" s="94"/>
      <c r="X1138" s="94"/>
      <c r="Y1138" s="94"/>
      <c r="Z1138" s="94"/>
      <c r="AA1138" s="94"/>
      <c r="AB1138" s="94"/>
      <c r="AC1138" s="94"/>
      <c r="AD1138" s="94"/>
      <c r="AE1138" s="94"/>
      <c r="AF1138" s="94"/>
      <c r="AG1138" s="94"/>
      <c r="AH1138" s="94"/>
      <c r="AI1138" s="94"/>
      <c r="AJ1138" s="94"/>
      <c r="AK1138" s="94"/>
      <c r="AL1138" s="94"/>
      <c r="AM1138" s="94"/>
      <c r="AN1138" s="94"/>
      <c r="AO1138" s="94"/>
      <c r="AP1138" s="94"/>
      <c r="AQ1138" s="94"/>
      <c r="AR1138" s="94"/>
      <c r="AS1138" s="94"/>
      <c r="AT1138" s="94"/>
      <c r="AU1138" s="94"/>
      <c r="AV1138" s="94"/>
      <c r="AW1138" s="94"/>
      <c r="AX1138" s="94"/>
      <c r="AY1138" s="94"/>
      <c r="BA1138" s="95"/>
    </row>
    <row r="1139" spans="1:53" s="87" customFormat="1">
      <c r="A1139" s="90">
        <f t="shared" si="65"/>
        <v>1139</v>
      </c>
      <c r="B1139" s="317" t="s">
        <v>1210</v>
      </c>
      <c r="C1139" s="94"/>
      <c r="D1139" s="94"/>
      <c r="E1139" s="94"/>
      <c r="F1139" s="94"/>
      <c r="G1139" s="94"/>
      <c r="H1139" s="94"/>
      <c r="I1139" s="94"/>
      <c r="J1139" s="94"/>
      <c r="K1139" s="94"/>
      <c r="L1139" s="94"/>
      <c r="M1139" s="94"/>
      <c r="N1139" s="94"/>
      <c r="O1139" s="94"/>
      <c r="P1139" s="94"/>
      <c r="Q1139" s="94"/>
      <c r="R1139" s="94"/>
      <c r="S1139" s="94"/>
      <c r="T1139" s="94"/>
      <c r="U1139" s="94"/>
      <c r="V1139" s="94"/>
      <c r="W1139" s="94"/>
      <c r="X1139" s="94"/>
      <c r="Y1139" s="94"/>
      <c r="Z1139" s="94"/>
      <c r="AA1139" s="94"/>
      <c r="AB1139" s="94"/>
      <c r="AC1139" s="94"/>
      <c r="AD1139" s="94"/>
      <c r="AE1139" s="94"/>
      <c r="AF1139" s="94"/>
      <c r="AG1139" s="94"/>
      <c r="AH1139" s="94"/>
      <c r="AI1139" s="94"/>
      <c r="AJ1139" s="94"/>
      <c r="AK1139" s="94"/>
      <c r="AL1139" s="94"/>
      <c r="AM1139" s="94"/>
      <c r="AN1139" s="94"/>
      <c r="AO1139" s="94"/>
      <c r="AP1139" s="94"/>
      <c r="AQ1139" s="94"/>
      <c r="AR1139" s="94"/>
      <c r="AS1139" s="94"/>
      <c r="AT1139" s="94"/>
      <c r="AU1139" s="94"/>
      <c r="AV1139" s="94"/>
      <c r="AW1139" s="94"/>
      <c r="AX1139" s="94"/>
      <c r="AY1139" s="94"/>
      <c r="BA1139" s="95"/>
    </row>
    <row r="1140" spans="1:53" s="87" customFormat="1">
      <c r="A1140" s="90" t="str">
        <f t="shared" si="65"/>
        <v/>
      </c>
      <c r="B1140" s="98">
        <v>1</v>
      </c>
      <c r="C1140" s="94" t="s">
        <v>210</v>
      </c>
      <c r="D1140" s="94">
        <v>-1</v>
      </c>
      <c r="E1140" s="94" t="s">
        <v>210</v>
      </c>
      <c r="F1140" s="94">
        <v>2</v>
      </c>
      <c r="G1140" s="94" t="s">
        <v>210</v>
      </c>
      <c r="H1140" s="94" t="s">
        <v>210</v>
      </c>
      <c r="I1140" s="94" t="s">
        <v>210</v>
      </c>
      <c r="J1140" s="94">
        <v>-5</v>
      </c>
      <c r="K1140" s="94" t="s">
        <v>210</v>
      </c>
      <c r="L1140" s="94" t="s">
        <v>210</v>
      </c>
      <c r="M1140" s="94">
        <v>4</v>
      </c>
      <c r="N1140" s="94" t="s">
        <v>210</v>
      </c>
      <c r="O1140" s="94" t="s">
        <v>210</v>
      </c>
      <c r="P1140" s="94" t="s">
        <v>210</v>
      </c>
      <c r="Q1140" s="94">
        <v>1</v>
      </c>
      <c r="R1140" s="94" t="s">
        <v>210</v>
      </c>
      <c r="S1140" s="94" t="s">
        <v>210</v>
      </c>
      <c r="T1140" s="94">
        <v>-4</v>
      </c>
      <c r="U1140" s="94"/>
      <c r="V1140" s="94"/>
      <c r="W1140" s="94"/>
      <c r="X1140" s="94"/>
      <c r="Y1140" s="94"/>
      <c r="Z1140" s="94"/>
      <c r="AA1140" s="94"/>
      <c r="AB1140" s="94"/>
      <c r="AC1140" s="94"/>
      <c r="AD1140" s="94"/>
      <c r="AE1140" s="94"/>
      <c r="AF1140" s="94"/>
      <c r="AG1140" s="94"/>
      <c r="AH1140" s="94"/>
      <c r="AI1140" s="94"/>
      <c r="AJ1140" s="94"/>
      <c r="AK1140" s="94"/>
      <c r="AL1140" s="94"/>
      <c r="AM1140" s="94"/>
      <c r="AN1140" s="94"/>
      <c r="AO1140" s="94"/>
      <c r="AP1140" s="94"/>
      <c r="AQ1140" s="94"/>
      <c r="AR1140" s="94"/>
      <c r="AS1140" s="94"/>
      <c r="AT1140" s="94"/>
      <c r="AU1140" s="94"/>
      <c r="AV1140" s="94"/>
      <c r="AW1140" s="94"/>
      <c r="AX1140" s="94"/>
      <c r="AY1140" s="94"/>
      <c r="BA1140" s="95"/>
    </row>
    <row r="1141" spans="1:53" s="87" customFormat="1">
      <c r="A1141" s="90" t="str">
        <f t="shared" si="65"/>
        <v/>
      </c>
      <c r="B1141" s="98">
        <v>2</v>
      </c>
      <c r="C1141" s="94" t="s">
        <v>210</v>
      </c>
      <c r="D1141" s="94">
        <v>-5</v>
      </c>
      <c r="E1141" s="94" t="s">
        <v>210</v>
      </c>
      <c r="F1141" s="94" t="s">
        <v>210</v>
      </c>
      <c r="G1141" s="94">
        <v>-3</v>
      </c>
      <c r="H1141" s="94" t="s">
        <v>210</v>
      </c>
      <c r="I1141" s="94" t="s">
        <v>210</v>
      </c>
      <c r="J1141" s="94" t="s">
        <v>210</v>
      </c>
      <c r="K1141" s="94" t="s">
        <v>210</v>
      </c>
      <c r="L1141" s="94">
        <v>1</v>
      </c>
      <c r="M1141" s="94" t="s">
        <v>210</v>
      </c>
      <c r="N1141" s="94" t="s">
        <v>210</v>
      </c>
      <c r="O1141" s="94">
        <v>3</v>
      </c>
      <c r="P1141" s="94" t="s">
        <v>210</v>
      </c>
      <c r="Q1141" s="94">
        <v>-2</v>
      </c>
      <c r="R1141" s="94" t="s">
        <v>210</v>
      </c>
      <c r="S1141" s="94" t="s">
        <v>210</v>
      </c>
      <c r="T1141" s="94">
        <v>4</v>
      </c>
      <c r="U1141" s="94"/>
      <c r="V1141" s="94"/>
      <c r="W1141" s="94"/>
      <c r="X1141" s="94"/>
      <c r="Y1141" s="94"/>
      <c r="Z1141" s="94"/>
      <c r="AA1141" s="94"/>
      <c r="AB1141" s="94"/>
      <c r="AC1141" s="94"/>
      <c r="AD1141" s="94"/>
      <c r="AE1141" s="94"/>
      <c r="AF1141" s="94"/>
      <c r="AG1141" s="94"/>
      <c r="AH1141" s="94"/>
      <c r="AI1141" s="94"/>
      <c r="AJ1141" s="94"/>
      <c r="AK1141" s="94"/>
      <c r="AL1141" s="94"/>
      <c r="AM1141" s="94"/>
      <c r="AN1141" s="94"/>
      <c r="AO1141" s="94"/>
      <c r="AP1141" s="94"/>
      <c r="AQ1141" s="94"/>
      <c r="AR1141" s="94"/>
      <c r="AS1141" s="94"/>
      <c r="AT1141" s="94"/>
      <c r="AU1141" s="94"/>
      <c r="AV1141" s="94"/>
      <c r="AW1141" s="94"/>
      <c r="AX1141" s="94"/>
      <c r="AY1141" s="94"/>
      <c r="BA1141" s="95"/>
    </row>
    <row r="1142" spans="1:53" s="87" customFormat="1">
      <c r="A1142" s="90" t="str">
        <f t="shared" si="65"/>
        <v/>
      </c>
      <c r="B1142" s="98">
        <v>3</v>
      </c>
      <c r="C1142" s="94" t="s">
        <v>210</v>
      </c>
      <c r="D1142" s="94" t="s">
        <v>210</v>
      </c>
      <c r="E1142" s="94" t="s">
        <v>210</v>
      </c>
      <c r="F1142" s="94" t="s">
        <v>210</v>
      </c>
      <c r="G1142" s="94" t="s">
        <v>210</v>
      </c>
      <c r="H1142" s="94">
        <v>-3</v>
      </c>
      <c r="I1142" s="94" t="s">
        <v>210</v>
      </c>
      <c r="J1142" s="94">
        <v>5</v>
      </c>
      <c r="K1142" s="94" t="s">
        <v>210</v>
      </c>
      <c r="L1142" s="94">
        <v>-2</v>
      </c>
      <c r="M1142" s="94" t="s">
        <v>210</v>
      </c>
      <c r="N1142" s="94" t="s">
        <v>210</v>
      </c>
      <c r="O1142" s="94">
        <v>4</v>
      </c>
      <c r="P1142" s="94" t="s">
        <v>210</v>
      </c>
      <c r="Q1142" s="94">
        <v>2</v>
      </c>
      <c r="R1142" s="94" t="s">
        <v>210</v>
      </c>
      <c r="S1142" s="94" t="s">
        <v>210</v>
      </c>
      <c r="T1142" s="94">
        <v>-1</v>
      </c>
      <c r="U1142" s="94"/>
      <c r="V1142" s="94"/>
      <c r="W1142" s="94"/>
      <c r="X1142" s="94"/>
      <c r="Y1142" s="94"/>
      <c r="Z1142" s="94"/>
      <c r="AA1142" s="94"/>
      <c r="AB1142" s="94"/>
      <c r="AC1142" s="94"/>
      <c r="AD1142" s="94"/>
      <c r="AE1142" s="94"/>
      <c r="AF1142" s="94"/>
      <c r="AG1142" s="94"/>
      <c r="AH1142" s="94"/>
      <c r="AI1142" s="94"/>
      <c r="AJ1142" s="94"/>
      <c r="AK1142" s="94"/>
      <c r="AL1142" s="94"/>
      <c r="AM1142" s="94"/>
      <c r="AN1142" s="94"/>
      <c r="AO1142" s="94"/>
      <c r="AP1142" s="94"/>
      <c r="AQ1142" s="94"/>
      <c r="AR1142" s="94"/>
      <c r="AS1142" s="94"/>
      <c r="AT1142" s="94"/>
      <c r="AU1142" s="94"/>
      <c r="AV1142" s="94"/>
      <c r="AW1142" s="94"/>
      <c r="AX1142" s="94"/>
      <c r="AY1142" s="94"/>
      <c r="BA1142" s="95"/>
    </row>
    <row r="1143" spans="1:53" s="87" customFormat="1">
      <c r="A1143" s="90" t="str">
        <f t="shared" si="65"/>
        <v/>
      </c>
      <c r="B1143" s="98">
        <v>4</v>
      </c>
      <c r="C1143" s="94" t="s">
        <v>210</v>
      </c>
      <c r="D1143" s="94" t="s">
        <v>210</v>
      </c>
      <c r="E1143" s="94" t="s">
        <v>210</v>
      </c>
      <c r="F1143" s="94" t="s">
        <v>210</v>
      </c>
      <c r="G1143" s="94">
        <v>3</v>
      </c>
      <c r="H1143" s="94" t="s">
        <v>210</v>
      </c>
      <c r="I1143" s="94" t="s">
        <v>210</v>
      </c>
      <c r="J1143" s="94">
        <v>-2</v>
      </c>
      <c r="K1143" s="94" t="s">
        <v>210</v>
      </c>
      <c r="L1143" s="94" t="s">
        <v>210</v>
      </c>
      <c r="M1143" s="94">
        <v>-4</v>
      </c>
      <c r="N1143" s="94" t="s">
        <v>210</v>
      </c>
      <c r="O1143" s="94">
        <v>-1</v>
      </c>
      <c r="P1143" s="94" t="s">
        <v>210</v>
      </c>
      <c r="Q1143" s="94" t="s">
        <v>210</v>
      </c>
      <c r="R1143" s="94">
        <v>2</v>
      </c>
      <c r="S1143" s="94" t="s">
        <v>210</v>
      </c>
      <c r="T1143" s="94">
        <v>1</v>
      </c>
      <c r="U1143" s="94"/>
      <c r="V1143" s="94"/>
      <c r="W1143" s="94"/>
      <c r="X1143" s="94"/>
      <c r="Y1143" s="94"/>
      <c r="Z1143" s="94"/>
      <c r="AA1143" s="94"/>
      <c r="AB1143" s="94"/>
      <c r="AC1143" s="94"/>
      <c r="AD1143" s="94"/>
      <c r="AE1143" s="94"/>
      <c r="AF1143" s="94"/>
      <c r="AG1143" s="94"/>
      <c r="AH1143" s="94"/>
      <c r="AI1143" s="94"/>
      <c r="AJ1143" s="94"/>
      <c r="AK1143" s="94"/>
      <c r="AL1143" s="94"/>
      <c r="AM1143" s="94"/>
      <c r="AN1143" s="94"/>
      <c r="AO1143" s="94"/>
      <c r="AP1143" s="94"/>
      <c r="AQ1143" s="94"/>
      <c r="AR1143" s="94"/>
      <c r="AS1143" s="94"/>
      <c r="AT1143" s="94"/>
      <c r="AU1143" s="94"/>
      <c r="AV1143" s="94"/>
      <c r="AW1143" s="94"/>
      <c r="AX1143" s="94"/>
      <c r="AY1143" s="94"/>
      <c r="BA1143" s="95"/>
    </row>
    <row r="1144" spans="1:53" s="87" customFormat="1">
      <c r="A1144" s="90" t="str">
        <f t="shared" si="65"/>
        <v/>
      </c>
      <c r="B1144" s="98">
        <v>5</v>
      </c>
      <c r="C1144" s="94" t="s">
        <v>210</v>
      </c>
      <c r="D1144" s="94">
        <v>1</v>
      </c>
      <c r="E1144" s="94" t="s">
        <v>210</v>
      </c>
      <c r="F1144" s="94">
        <v>5</v>
      </c>
      <c r="G1144" s="94" t="s">
        <v>210</v>
      </c>
      <c r="H1144" s="94" t="s">
        <v>210</v>
      </c>
      <c r="I1144" s="94">
        <v>3</v>
      </c>
      <c r="J1144" s="94" t="s">
        <v>210</v>
      </c>
      <c r="K1144" s="94" t="s">
        <v>210</v>
      </c>
      <c r="L1144" s="94">
        <v>-1</v>
      </c>
      <c r="M1144" s="94" t="s">
        <v>210</v>
      </c>
      <c r="N1144" s="94" t="s">
        <v>210</v>
      </c>
      <c r="O1144" s="94">
        <v>-4</v>
      </c>
      <c r="P1144" s="94" t="s">
        <v>210</v>
      </c>
      <c r="Q1144" s="94" t="s">
        <v>210</v>
      </c>
      <c r="R1144" s="94">
        <v>-2</v>
      </c>
      <c r="S1144" s="94" t="s">
        <v>210</v>
      </c>
      <c r="T1144" s="94" t="s">
        <v>210</v>
      </c>
      <c r="U1144" s="94"/>
      <c r="V1144" s="94"/>
      <c r="W1144" s="94"/>
      <c r="X1144" s="94"/>
      <c r="Y1144" s="94"/>
      <c r="Z1144" s="94"/>
      <c r="AA1144" s="94"/>
      <c r="AB1144" s="94"/>
      <c r="AC1144" s="94"/>
      <c r="AD1144" s="94"/>
      <c r="AE1144" s="94"/>
      <c r="AF1144" s="94"/>
      <c r="AG1144" s="94"/>
      <c r="AH1144" s="94"/>
      <c r="AI1144" s="94"/>
      <c r="AJ1144" s="94"/>
      <c r="AK1144" s="94"/>
      <c r="AL1144" s="94"/>
      <c r="AM1144" s="94"/>
      <c r="AN1144" s="94"/>
      <c r="AO1144" s="94"/>
      <c r="AP1144" s="94"/>
      <c r="AQ1144" s="94"/>
      <c r="AR1144" s="94"/>
      <c r="AS1144" s="94"/>
      <c r="AT1144" s="94"/>
      <c r="AU1144" s="94"/>
      <c r="AV1144" s="94"/>
      <c r="AW1144" s="94"/>
      <c r="AX1144" s="94"/>
      <c r="AY1144" s="94"/>
      <c r="BA1144" s="95"/>
    </row>
    <row r="1145" spans="1:53" s="87" customFormat="1">
      <c r="A1145" s="90" t="str">
        <f t="shared" si="65"/>
        <v/>
      </c>
      <c r="B1145" s="98">
        <v>6</v>
      </c>
      <c r="C1145" s="94" t="s">
        <v>210</v>
      </c>
      <c r="D1145" s="94" t="s">
        <v>210</v>
      </c>
      <c r="E1145" s="94" t="s">
        <v>210</v>
      </c>
      <c r="F1145" s="94">
        <v>-5</v>
      </c>
      <c r="G1145" s="94" t="s">
        <v>210</v>
      </c>
      <c r="H1145" s="94">
        <v>3</v>
      </c>
      <c r="I1145" s="94" t="s">
        <v>210</v>
      </c>
      <c r="J1145" s="94">
        <v>2</v>
      </c>
      <c r="K1145" s="94" t="s">
        <v>210</v>
      </c>
      <c r="L1145" s="94" t="s">
        <v>210</v>
      </c>
      <c r="M1145" s="94" t="s">
        <v>210</v>
      </c>
      <c r="N1145" s="94" t="s">
        <v>210</v>
      </c>
      <c r="O1145" s="94">
        <v>-3</v>
      </c>
      <c r="P1145" s="94" t="s">
        <v>210</v>
      </c>
      <c r="Q1145" s="94">
        <v>-1</v>
      </c>
      <c r="R1145" s="94" t="s">
        <v>210</v>
      </c>
      <c r="S1145" s="94">
        <v>4</v>
      </c>
      <c r="T1145" s="94" t="s">
        <v>210</v>
      </c>
      <c r="U1145" s="94"/>
      <c r="V1145" s="94"/>
      <c r="W1145" s="94"/>
      <c r="X1145" s="94"/>
      <c r="Y1145" s="94"/>
      <c r="Z1145" s="94"/>
      <c r="AA1145" s="94"/>
      <c r="AB1145" s="94"/>
      <c r="AC1145" s="94"/>
      <c r="AD1145" s="94"/>
      <c r="AE1145" s="94"/>
      <c r="AF1145" s="94"/>
      <c r="AG1145" s="94"/>
      <c r="AH1145" s="94"/>
      <c r="AI1145" s="94"/>
      <c r="AJ1145" s="94"/>
      <c r="AK1145" s="94"/>
      <c r="AL1145" s="94"/>
      <c r="AM1145" s="94"/>
      <c r="AN1145" s="94"/>
      <c r="AO1145" s="94"/>
      <c r="AP1145" s="94"/>
      <c r="AQ1145" s="94"/>
      <c r="AR1145" s="94"/>
      <c r="AS1145" s="94"/>
      <c r="AT1145" s="94"/>
      <c r="AU1145" s="94"/>
      <c r="AV1145" s="94"/>
      <c r="AW1145" s="94"/>
      <c r="AX1145" s="94"/>
      <c r="AY1145" s="94"/>
      <c r="BA1145" s="95"/>
    </row>
    <row r="1146" spans="1:53" s="87" customFormat="1">
      <c r="A1146" s="90" t="str">
        <f t="shared" si="65"/>
        <v/>
      </c>
      <c r="B1146" s="99">
        <v>7</v>
      </c>
      <c r="C1146" s="92" t="s">
        <v>210</v>
      </c>
      <c r="D1146" s="92">
        <v>5</v>
      </c>
      <c r="E1146" s="92" t="s">
        <v>210</v>
      </c>
      <c r="F1146" s="92">
        <v>-2</v>
      </c>
      <c r="G1146" s="92" t="s">
        <v>210</v>
      </c>
      <c r="H1146" s="92" t="s">
        <v>210</v>
      </c>
      <c r="I1146" s="92">
        <v>-3</v>
      </c>
      <c r="J1146" s="92" t="s">
        <v>210</v>
      </c>
      <c r="K1146" s="92" t="s">
        <v>210</v>
      </c>
      <c r="L1146" s="92">
        <v>2</v>
      </c>
      <c r="M1146" s="92" t="s">
        <v>210</v>
      </c>
      <c r="N1146" s="92" t="s">
        <v>210</v>
      </c>
      <c r="O1146" s="92">
        <v>1</v>
      </c>
      <c r="P1146" s="92" t="s">
        <v>210</v>
      </c>
      <c r="Q1146" s="92" t="s">
        <v>210</v>
      </c>
      <c r="R1146" s="92" t="s">
        <v>210</v>
      </c>
      <c r="S1146" s="92">
        <v>-4</v>
      </c>
      <c r="T1146" s="92" t="s">
        <v>210</v>
      </c>
      <c r="U1146" s="94"/>
      <c r="V1146" s="94"/>
      <c r="W1146" s="94"/>
      <c r="X1146" s="94"/>
      <c r="Y1146" s="94"/>
      <c r="Z1146" s="94"/>
      <c r="AA1146" s="94"/>
      <c r="AB1146" s="94"/>
      <c r="AC1146" s="94"/>
      <c r="AD1146" s="94"/>
      <c r="AE1146" s="94"/>
      <c r="AF1146" s="94"/>
      <c r="AG1146" s="94"/>
      <c r="AH1146" s="94"/>
      <c r="AI1146" s="94"/>
      <c r="AJ1146" s="94"/>
      <c r="AK1146" s="94"/>
      <c r="AL1146" s="94"/>
      <c r="AM1146" s="94"/>
      <c r="AN1146" s="94"/>
      <c r="AO1146" s="94"/>
      <c r="AP1146" s="94"/>
      <c r="AQ1146" s="94"/>
      <c r="AR1146" s="94"/>
      <c r="AS1146" s="94"/>
      <c r="AT1146" s="94"/>
      <c r="AU1146" s="94"/>
      <c r="AV1146" s="94"/>
      <c r="AW1146" s="94"/>
      <c r="AX1146" s="94"/>
      <c r="AY1146" s="94"/>
      <c r="BA1146" s="95"/>
    </row>
    <row r="1147" spans="1:53" s="87" customFormat="1">
      <c r="A1147" s="90" t="str">
        <f t="shared" si="65"/>
        <v/>
      </c>
      <c r="B1147" s="98">
        <v>8</v>
      </c>
      <c r="C1147" s="94" t="s">
        <v>210</v>
      </c>
      <c r="D1147" s="94" t="s">
        <v>210</v>
      </c>
      <c r="E1147" s="94">
        <v>4</v>
      </c>
      <c r="F1147" s="94" t="s">
        <v>210</v>
      </c>
      <c r="G1147" s="94">
        <v>2</v>
      </c>
      <c r="H1147" s="94" t="s">
        <v>210</v>
      </c>
      <c r="I1147" s="94" t="s">
        <v>210</v>
      </c>
      <c r="J1147" s="94">
        <v>-1</v>
      </c>
      <c r="K1147" s="94" t="s">
        <v>210</v>
      </c>
      <c r="L1147" s="94" t="s">
        <v>210</v>
      </c>
      <c r="M1147" s="94" t="s">
        <v>210</v>
      </c>
      <c r="N1147" s="94">
        <v>-5</v>
      </c>
      <c r="O1147" s="94" t="s">
        <v>210</v>
      </c>
      <c r="P1147" s="94" t="s">
        <v>210</v>
      </c>
      <c r="Q1147" s="94">
        <v>-4</v>
      </c>
      <c r="R1147" s="94" t="s">
        <v>210</v>
      </c>
      <c r="S1147" s="94" t="s">
        <v>210</v>
      </c>
      <c r="T1147" s="94">
        <v>3</v>
      </c>
      <c r="U1147" s="94"/>
      <c r="V1147" s="94"/>
      <c r="W1147" s="94"/>
      <c r="X1147" s="94"/>
      <c r="Y1147" s="94"/>
      <c r="Z1147" s="94"/>
      <c r="AA1147" s="94"/>
      <c r="AB1147" s="94"/>
      <c r="AC1147" s="94"/>
      <c r="AD1147" s="94"/>
      <c r="AE1147" s="94"/>
      <c r="AF1147" s="94"/>
      <c r="AG1147" s="94"/>
      <c r="AH1147" s="94"/>
      <c r="AI1147" s="94"/>
      <c r="AJ1147" s="94"/>
      <c r="AK1147" s="94"/>
      <c r="AL1147" s="94"/>
      <c r="AM1147" s="94"/>
      <c r="AN1147" s="94"/>
      <c r="AO1147" s="94"/>
      <c r="AP1147" s="94"/>
      <c r="AQ1147" s="94"/>
      <c r="AR1147" s="94"/>
      <c r="AS1147" s="94"/>
      <c r="AT1147" s="94"/>
      <c r="AU1147" s="94"/>
      <c r="AV1147" s="94"/>
      <c r="AW1147" s="94"/>
      <c r="AX1147" s="94"/>
      <c r="AY1147" s="94"/>
      <c r="BA1147" s="95"/>
    </row>
    <row r="1148" spans="1:53" s="87" customFormat="1">
      <c r="A1148" s="90" t="str">
        <f t="shared" si="65"/>
        <v/>
      </c>
      <c r="B1148" s="98">
        <v>9</v>
      </c>
      <c r="C1148" s="94">
        <v>5</v>
      </c>
      <c r="D1148" s="94" t="s">
        <v>210</v>
      </c>
      <c r="E1148" s="94" t="s">
        <v>210</v>
      </c>
      <c r="F1148" s="94">
        <v>4</v>
      </c>
      <c r="G1148" s="94" t="s">
        <v>210</v>
      </c>
      <c r="H1148" s="94" t="s">
        <v>210</v>
      </c>
      <c r="I1148" s="94">
        <v>1</v>
      </c>
      <c r="J1148" s="94" t="s">
        <v>210</v>
      </c>
      <c r="K1148" s="94" t="s">
        <v>210</v>
      </c>
      <c r="L1148" s="94">
        <v>-4</v>
      </c>
      <c r="M1148" s="94" t="s">
        <v>210</v>
      </c>
      <c r="N1148" s="94" t="s">
        <v>210</v>
      </c>
      <c r="O1148" s="94" t="s">
        <v>210</v>
      </c>
      <c r="P1148" s="94">
        <v>-2</v>
      </c>
      <c r="Q1148" s="94" t="s">
        <v>210</v>
      </c>
      <c r="R1148" s="94" t="s">
        <v>210</v>
      </c>
      <c r="S1148" s="94" t="s">
        <v>210</v>
      </c>
      <c r="T1148" s="94">
        <v>-3</v>
      </c>
      <c r="U1148" s="94"/>
      <c r="V1148" s="94"/>
      <c r="W1148" s="94"/>
      <c r="X1148" s="94"/>
      <c r="Y1148" s="94"/>
      <c r="Z1148" s="94"/>
      <c r="AA1148" s="94"/>
      <c r="AB1148" s="94"/>
      <c r="AC1148" s="94"/>
      <c r="AD1148" s="94"/>
      <c r="AE1148" s="94"/>
      <c r="AF1148" s="94"/>
      <c r="AG1148" s="94"/>
      <c r="AH1148" s="94"/>
      <c r="AI1148" s="94"/>
      <c r="AJ1148" s="94"/>
      <c r="AK1148" s="94"/>
      <c r="AL1148" s="94"/>
      <c r="AM1148" s="94"/>
      <c r="AN1148" s="94"/>
      <c r="AO1148" s="94"/>
      <c r="AP1148" s="94"/>
      <c r="AQ1148" s="94"/>
      <c r="AR1148" s="94"/>
      <c r="AS1148" s="94"/>
      <c r="AT1148" s="94"/>
      <c r="AU1148" s="94"/>
      <c r="AV1148" s="94"/>
      <c r="AW1148" s="94"/>
      <c r="AX1148" s="94"/>
      <c r="AY1148" s="94"/>
      <c r="BA1148" s="95"/>
    </row>
    <row r="1149" spans="1:53" s="87" customFormat="1">
      <c r="A1149" s="90" t="str">
        <f t="shared" si="65"/>
        <v/>
      </c>
      <c r="B1149" s="98">
        <v>10</v>
      </c>
      <c r="C1149" s="94">
        <v>1</v>
      </c>
      <c r="D1149" s="94" t="s">
        <v>210</v>
      </c>
      <c r="E1149" s="94">
        <v>-3</v>
      </c>
      <c r="F1149" s="94" t="s">
        <v>210</v>
      </c>
      <c r="G1149" s="94" t="s">
        <v>210</v>
      </c>
      <c r="H1149" s="94" t="s">
        <v>210</v>
      </c>
      <c r="I1149" s="94" t="s">
        <v>210</v>
      </c>
      <c r="J1149" s="94" t="s">
        <v>210</v>
      </c>
      <c r="K1149" s="94">
        <v>-1</v>
      </c>
      <c r="L1149" s="94" t="s">
        <v>210</v>
      </c>
      <c r="M1149" s="94" t="s">
        <v>210</v>
      </c>
      <c r="N1149" s="94">
        <v>5</v>
      </c>
      <c r="O1149" s="94" t="s">
        <v>210</v>
      </c>
      <c r="P1149" s="94">
        <v>2</v>
      </c>
      <c r="Q1149" s="94" t="s">
        <v>210</v>
      </c>
      <c r="R1149" s="94">
        <v>-4</v>
      </c>
      <c r="S1149" s="94" t="s">
        <v>210</v>
      </c>
      <c r="T1149" s="94" t="s">
        <v>210</v>
      </c>
      <c r="U1149" s="94"/>
      <c r="V1149" s="94"/>
      <c r="W1149" s="94"/>
      <c r="X1149" s="94"/>
      <c r="Y1149" s="94"/>
      <c r="Z1149" s="94"/>
      <c r="AA1149" s="94"/>
      <c r="AB1149" s="94"/>
      <c r="AC1149" s="94"/>
      <c r="AD1149" s="94"/>
      <c r="AE1149" s="94"/>
      <c r="AF1149" s="94"/>
      <c r="AG1149" s="94"/>
      <c r="AH1149" s="94"/>
      <c r="AI1149" s="94"/>
      <c r="AJ1149" s="94"/>
      <c r="AK1149" s="94"/>
      <c r="AL1149" s="94"/>
      <c r="AM1149" s="94"/>
      <c r="AN1149" s="94"/>
      <c r="AO1149" s="94"/>
      <c r="AP1149" s="94"/>
      <c r="AQ1149" s="94"/>
      <c r="AR1149" s="94"/>
      <c r="AS1149" s="94"/>
      <c r="AT1149" s="94"/>
      <c r="AU1149" s="94"/>
      <c r="AV1149" s="94"/>
      <c r="AW1149" s="94"/>
      <c r="AX1149" s="94"/>
      <c r="AY1149" s="94"/>
      <c r="BA1149" s="95"/>
    </row>
    <row r="1150" spans="1:53" s="87" customFormat="1">
      <c r="A1150" s="90" t="str">
        <f t="shared" si="65"/>
        <v/>
      </c>
      <c r="B1150" s="98">
        <v>11</v>
      </c>
      <c r="C1150" s="94" t="s">
        <v>210</v>
      </c>
      <c r="D1150" s="94" t="s">
        <v>210</v>
      </c>
      <c r="E1150" s="94" t="s">
        <v>210</v>
      </c>
      <c r="F1150" s="94" t="s">
        <v>210</v>
      </c>
      <c r="G1150" s="94">
        <v>-2</v>
      </c>
      <c r="H1150" s="94" t="s">
        <v>210</v>
      </c>
      <c r="I1150" s="94">
        <v>-1</v>
      </c>
      <c r="J1150" s="94" t="s">
        <v>210</v>
      </c>
      <c r="K1150" s="94" t="s">
        <v>210</v>
      </c>
      <c r="L1150" s="94">
        <v>-3</v>
      </c>
      <c r="M1150" s="94" t="s">
        <v>210</v>
      </c>
      <c r="N1150" s="94">
        <v>2</v>
      </c>
      <c r="O1150" s="94" t="s">
        <v>210</v>
      </c>
      <c r="P1150" s="94" t="s">
        <v>210</v>
      </c>
      <c r="Q1150" s="94" t="s">
        <v>210</v>
      </c>
      <c r="R1150" s="94">
        <v>4</v>
      </c>
      <c r="S1150" s="94" t="s">
        <v>210</v>
      </c>
      <c r="T1150" s="94">
        <v>5</v>
      </c>
      <c r="U1150" s="94"/>
      <c r="V1150" s="94"/>
      <c r="W1150" s="94"/>
      <c r="X1150" s="94"/>
      <c r="Y1150" s="94"/>
      <c r="Z1150" s="94"/>
      <c r="AA1150" s="94"/>
      <c r="AB1150" s="94"/>
      <c r="AC1150" s="94"/>
      <c r="AD1150" s="94"/>
      <c r="AE1150" s="94"/>
      <c r="AF1150" s="94"/>
      <c r="AG1150" s="94"/>
      <c r="AH1150" s="94"/>
      <c r="AI1150" s="94"/>
      <c r="AJ1150" s="94"/>
      <c r="AK1150" s="94"/>
      <c r="AL1150" s="94"/>
      <c r="AM1150" s="94"/>
      <c r="AN1150" s="94"/>
      <c r="AO1150" s="94"/>
      <c r="AP1150" s="94"/>
      <c r="AQ1150" s="94"/>
      <c r="AR1150" s="94"/>
      <c r="AS1150" s="94"/>
      <c r="AT1150" s="94"/>
      <c r="AU1150" s="94"/>
      <c r="AV1150" s="94"/>
      <c r="AW1150" s="94"/>
      <c r="AX1150" s="94"/>
      <c r="AY1150" s="94"/>
      <c r="BA1150" s="95"/>
    </row>
    <row r="1151" spans="1:53" s="87" customFormat="1">
      <c r="A1151" s="90" t="str">
        <f t="shared" si="65"/>
        <v/>
      </c>
      <c r="B1151" s="98">
        <v>12</v>
      </c>
      <c r="C1151" s="94" t="s">
        <v>210</v>
      </c>
      <c r="D1151" s="94" t="s">
        <v>210</v>
      </c>
      <c r="E1151" s="94">
        <v>3</v>
      </c>
      <c r="F1151" s="94" t="s">
        <v>210</v>
      </c>
      <c r="G1151" s="94" t="s">
        <v>210</v>
      </c>
      <c r="H1151" s="94" t="s">
        <v>210</v>
      </c>
      <c r="I1151" s="94" t="s">
        <v>210</v>
      </c>
      <c r="J1151" s="94">
        <v>1</v>
      </c>
      <c r="K1151" s="94" t="s">
        <v>210</v>
      </c>
      <c r="L1151" s="94">
        <v>4</v>
      </c>
      <c r="M1151" s="94" t="s">
        <v>210</v>
      </c>
      <c r="N1151" s="94" t="s">
        <v>210</v>
      </c>
      <c r="O1151" s="94">
        <v>-2</v>
      </c>
      <c r="P1151" s="94" t="s">
        <v>210</v>
      </c>
      <c r="Q1151" s="94" t="s">
        <v>210</v>
      </c>
      <c r="R1151" s="94">
        <v>-3</v>
      </c>
      <c r="S1151" s="94" t="s">
        <v>210</v>
      </c>
      <c r="T1151" s="94">
        <v>-5</v>
      </c>
      <c r="U1151" s="94"/>
      <c r="V1151" s="94"/>
      <c r="W1151" s="94"/>
      <c r="X1151" s="94"/>
      <c r="Y1151" s="94"/>
      <c r="Z1151" s="94"/>
      <c r="AA1151" s="94"/>
      <c r="AB1151" s="94"/>
      <c r="AC1151" s="94"/>
      <c r="AD1151" s="94"/>
      <c r="AE1151" s="94"/>
      <c r="AF1151" s="94"/>
      <c r="AG1151" s="94"/>
      <c r="AH1151" s="94"/>
      <c r="AI1151" s="94"/>
      <c r="AJ1151" s="94"/>
      <c r="AK1151" s="94"/>
      <c r="AL1151" s="94"/>
      <c r="AM1151" s="94"/>
      <c r="AN1151" s="94"/>
      <c r="AO1151" s="94"/>
      <c r="AP1151" s="94"/>
      <c r="AQ1151" s="94"/>
      <c r="AR1151" s="94"/>
      <c r="AS1151" s="94"/>
      <c r="AT1151" s="94"/>
      <c r="AU1151" s="94"/>
      <c r="AV1151" s="94"/>
      <c r="AW1151" s="94"/>
      <c r="AX1151" s="94"/>
      <c r="AY1151" s="94"/>
      <c r="BA1151" s="95"/>
    </row>
    <row r="1152" spans="1:53" s="87" customFormat="1">
      <c r="A1152" s="90" t="str">
        <f t="shared" si="65"/>
        <v/>
      </c>
      <c r="B1152" s="98">
        <v>13</v>
      </c>
      <c r="C1152" s="94">
        <v>-5</v>
      </c>
      <c r="D1152" s="94" t="s">
        <v>210</v>
      </c>
      <c r="E1152" s="94">
        <v>-4</v>
      </c>
      <c r="F1152" s="94" t="s">
        <v>210</v>
      </c>
      <c r="G1152" s="94" t="s">
        <v>210</v>
      </c>
      <c r="H1152" s="94">
        <v>5</v>
      </c>
      <c r="I1152" s="94" t="s">
        <v>210</v>
      </c>
      <c r="J1152" s="94" t="s">
        <v>210</v>
      </c>
      <c r="K1152" s="94">
        <v>1</v>
      </c>
      <c r="L1152" s="94" t="s">
        <v>210</v>
      </c>
      <c r="M1152" s="94" t="s">
        <v>210</v>
      </c>
      <c r="N1152" s="94">
        <v>-2</v>
      </c>
      <c r="O1152" s="94" t="s">
        <v>210</v>
      </c>
      <c r="P1152" s="94" t="s">
        <v>210</v>
      </c>
      <c r="Q1152" s="94" t="s">
        <v>210</v>
      </c>
      <c r="R1152" s="94">
        <v>3</v>
      </c>
      <c r="S1152" s="94" t="s">
        <v>210</v>
      </c>
      <c r="T1152" s="94" t="s">
        <v>210</v>
      </c>
      <c r="U1152" s="94"/>
      <c r="V1152" s="94"/>
      <c r="W1152" s="94"/>
      <c r="X1152" s="94"/>
      <c r="Y1152" s="94"/>
      <c r="Z1152" s="94"/>
      <c r="AA1152" s="94"/>
      <c r="AB1152" s="94"/>
      <c r="AC1152" s="94"/>
      <c r="AD1152" s="94"/>
      <c r="AE1152" s="94"/>
      <c r="AF1152" s="94"/>
      <c r="AG1152" s="94"/>
      <c r="AH1152" s="94"/>
      <c r="AI1152" s="94"/>
      <c r="AJ1152" s="94"/>
      <c r="AK1152" s="94"/>
      <c r="AL1152" s="94"/>
      <c r="AM1152" s="94"/>
      <c r="AN1152" s="94"/>
      <c r="AO1152" s="94"/>
      <c r="AP1152" s="94"/>
      <c r="AQ1152" s="94"/>
      <c r="AR1152" s="94"/>
      <c r="AS1152" s="94"/>
      <c r="AT1152" s="94"/>
      <c r="AU1152" s="94"/>
      <c r="AV1152" s="94"/>
      <c r="AW1152" s="94"/>
      <c r="AX1152" s="94"/>
      <c r="AY1152" s="94"/>
      <c r="BA1152" s="95"/>
    </row>
    <row r="1153" spans="1:53" s="87" customFormat="1">
      <c r="A1153" s="90" t="str">
        <f t="shared" si="65"/>
        <v/>
      </c>
      <c r="B1153" s="99">
        <v>14</v>
      </c>
      <c r="C1153" s="92">
        <v>-1</v>
      </c>
      <c r="D1153" s="92" t="s">
        <v>210</v>
      </c>
      <c r="E1153" s="92" t="s">
        <v>210</v>
      </c>
      <c r="F1153" s="92">
        <v>-4</v>
      </c>
      <c r="G1153" s="92" t="s">
        <v>210</v>
      </c>
      <c r="H1153" s="92">
        <v>-5</v>
      </c>
      <c r="I1153" s="92" t="s">
        <v>210</v>
      </c>
      <c r="J1153" s="92" t="s">
        <v>210</v>
      </c>
      <c r="K1153" s="92" t="s">
        <v>210</v>
      </c>
      <c r="L1153" s="92">
        <v>3</v>
      </c>
      <c r="M1153" s="92" t="s">
        <v>210</v>
      </c>
      <c r="N1153" s="92" t="s">
        <v>210</v>
      </c>
      <c r="O1153" s="92">
        <v>2</v>
      </c>
      <c r="P1153" s="92" t="s">
        <v>210</v>
      </c>
      <c r="Q1153" s="92">
        <v>4</v>
      </c>
      <c r="R1153" s="92" t="s">
        <v>210</v>
      </c>
      <c r="S1153" s="92" t="s">
        <v>210</v>
      </c>
      <c r="T1153" s="92" t="s">
        <v>210</v>
      </c>
      <c r="U1153" s="94"/>
      <c r="V1153" s="94"/>
      <c r="W1153" s="94"/>
      <c r="X1153" s="94"/>
      <c r="Y1153" s="94"/>
      <c r="Z1153" s="94"/>
      <c r="AA1153" s="94"/>
      <c r="AB1153" s="94"/>
      <c r="AC1153" s="94"/>
      <c r="AD1153" s="94"/>
      <c r="AE1153" s="94"/>
      <c r="AF1153" s="94"/>
      <c r="AG1153" s="94"/>
      <c r="AH1153" s="94"/>
      <c r="AI1153" s="94"/>
      <c r="AJ1153" s="94"/>
      <c r="AK1153" s="94"/>
      <c r="AL1153" s="94"/>
      <c r="AM1153" s="94"/>
      <c r="AN1153" s="94"/>
      <c r="AO1153" s="94"/>
      <c r="AP1153" s="94"/>
      <c r="AQ1153" s="94"/>
      <c r="AR1153" s="94"/>
      <c r="AS1153" s="94"/>
      <c r="AT1153" s="94"/>
      <c r="AU1153" s="94"/>
      <c r="AV1153" s="94"/>
      <c r="AW1153" s="94"/>
      <c r="AX1153" s="94"/>
      <c r="AY1153" s="94"/>
      <c r="BA1153" s="95"/>
    </row>
    <row r="1154" spans="1:53" s="87" customFormat="1">
      <c r="A1154" s="90" t="str">
        <f t="shared" si="65"/>
        <v/>
      </c>
      <c r="B1154" s="98">
        <v>15</v>
      </c>
      <c r="C1154" s="94" t="s">
        <v>210</v>
      </c>
      <c r="D1154" s="94" t="s">
        <v>210</v>
      </c>
      <c r="E1154" s="94" t="s">
        <v>210</v>
      </c>
      <c r="F1154" s="94" t="s">
        <v>210</v>
      </c>
      <c r="G1154" s="94">
        <v>4</v>
      </c>
      <c r="H1154" s="94" t="s">
        <v>210</v>
      </c>
      <c r="I1154" s="94" t="s">
        <v>210</v>
      </c>
      <c r="J1154" s="94">
        <v>-3</v>
      </c>
      <c r="K1154" s="94" t="s">
        <v>210</v>
      </c>
      <c r="L1154" s="94">
        <v>-5</v>
      </c>
      <c r="M1154" s="94" t="s">
        <v>210</v>
      </c>
      <c r="N1154" s="94">
        <v>-1</v>
      </c>
      <c r="O1154" s="94" t="s">
        <v>210</v>
      </c>
      <c r="P1154" s="94" t="s">
        <v>210</v>
      </c>
      <c r="Q1154" s="94">
        <v>5</v>
      </c>
      <c r="R1154" s="94" t="s">
        <v>210</v>
      </c>
      <c r="S1154" s="94">
        <v>1</v>
      </c>
      <c r="T1154" s="94" t="s">
        <v>210</v>
      </c>
      <c r="U1154" s="94"/>
      <c r="V1154" s="94"/>
      <c r="W1154" s="94"/>
      <c r="X1154" s="94"/>
      <c r="Y1154" s="94"/>
      <c r="Z1154" s="94"/>
      <c r="AA1154" s="94"/>
      <c r="AB1154" s="94"/>
      <c r="AC1154" s="94"/>
      <c r="AD1154" s="94"/>
      <c r="AE1154" s="94"/>
      <c r="AF1154" s="94"/>
      <c r="AG1154" s="94"/>
      <c r="AH1154" s="94"/>
      <c r="AI1154" s="94"/>
      <c r="AJ1154" s="94"/>
      <c r="AK1154" s="94"/>
      <c r="AL1154" s="94"/>
      <c r="AM1154" s="94"/>
      <c r="AN1154" s="94"/>
      <c r="AO1154" s="94"/>
      <c r="AP1154" s="94"/>
      <c r="AQ1154" s="94"/>
      <c r="AR1154" s="94"/>
      <c r="AS1154" s="94"/>
      <c r="AT1154" s="94"/>
      <c r="AU1154" s="94"/>
      <c r="AV1154" s="94"/>
      <c r="AW1154" s="94"/>
      <c r="AX1154" s="94"/>
      <c r="AY1154" s="94"/>
      <c r="BA1154" s="95"/>
    </row>
    <row r="1155" spans="1:53" s="87" customFormat="1">
      <c r="A1155" s="90" t="str">
        <f t="shared" si="65"/>
        <v/>
      </c>
      <c r="B1155" s="98">
        <v>16</v>
      </c>
      <c r="C1155" s="94">
        <v>2</v>
      </c>
      <c r="D1155" s="94" t="s">
        <v>210</v>
      </c>
      <c r="E1155" s="94">
        <v>1</v>
      </c>
      <c r="F1155" s="94" t="s">
        <v>210</v>
      </c>
      <c r="G1155" s="94" t="s">
        <v>210</v>
      </c>
      <c r="H1155" s="94" t="s">
        <v>210</v>
      </c>
      <c r="I1155" s="94" t="s">
        <v>210</v>
      </c>
      <c r="J1155" s="94" t="s">
        <v>210</v>
      </c>
      <c r="K1155" s="94">
        <v>4</v>
      </c>
      <c r="L1155" s="94" t="s">
        <v>210</v>
      </c>
      <c r="M1155" s="94" t="s">
        <v>210</v>
      </c>
      <c r="N1155" s="94">
        <v>-3</v>
      </c>
      <c r="O1155" s="94" t="s">
        <v>210</v>
      </c>
      <c r="P1155" s="94">
        <v>-5</v>
      </c>
      <c r="Q1155" s="94" t="s">
        <v>210</v>
      </c>
      <c r="R1155" s="94" t="s">
        <v>210</v>
      </c>
      <c r="S1155" s="94">
        <v>-1</v>
      </c>
      <c r="T1155" s="94" t="s">
        <v>210</v>
      </c>
      <c r="U1155" s="94"/>
      <c r="V1155" s="94"/>
      <c r="W1155" s="94"/>
      <c r="X1155" s="94"/>
      <c r="Y1155" s="94"/>
      <c r="Z1155" s="94"/>
      <c r="AA1155" s="94"/>
      <c r="AB1155" s="94"/>
      <c r="AC1155" s="94"/>
      <c r="AD1155" s="94"/>
      <c r="AE1155" s="94"/>
      <c r="AF1155" s="94"/>
      <c r="AG1155" s="94"/>
      <c r="AH1155" s="94"/>
      <c r="AI1155" s="94"/>
      <c r="AJ1155" s="94"/>
      <c r="AK1155" s="94"/>
      <c r="AL1155" s="94"/>
      <c r="AM1155" s="94"/>
      <c r="AN1155" s="94"/>
      <c r="AO1155" s="94"/>
      <c r="AP1155" s="94"/>
      <c r="AQ1155" s="94"/>
      <c r="AR1155" s="94"/>
      <c r="AS1155" s="94"/>
      <c r="AT1155" s="94"/>
      <c r="AU1155" s="94"/>
      <c r="AV1155" s="94"/>
      <c r="AW1155" s="94"/>
      <c r="AX1155" s="94"/>
      <c r="AY1155" s="94"/>
      <c r="BA1155" s="95"/>
    </row>
    <row r="1156" spans="1:53" s="87" customFormat="1">
      <c r="A1156" s="90" t="str">
        <f t="shared" si="65"/>
        <v/>
      </c>
      <c r="B1156" s="98">
        <v>17</v>
      </c>
      <c r="C1156" s="94" t="s">
        <v>210</v>
      </c>
      <c r="D1156" s="94">
        <v>-2</v>
      </c>
      <c r="E1156" s="94" t="s">
        <v>210</v>
      </c>
      <c r="F1156" s="94" t="s">
        <v>210</v>
      </c>
      <c r="G1156" s="94">
        <v>-4</v>
      </c>
      <c r="H1156" s="94" t="s">
        <v>210</v>
      </c>
      <c r="I1156" s="94" t="s">
        <v>210</v>
      </c>
      <c r="J1156" s="94" t="s">
        <v>210</v>
      </c>
      <c r="K1156" s="94">
        <v>2</v>
      </c>
      <c r="L1156" s="94" t="s">
        <v>210</v>
      </c>
      <c r="M1156" s="94">
        <v>-1</v>
      </c>
      <c r="N1156" s="94" t="s">
        <v>210</v>
      </c>
      <c r="O1156" s="94" t="s">
        <v>210</v>
      </c>
      <c r="P1156" s="94">
        <v>5</v>
      </c>
      <c r="Q1156" s="94" t="s">
        <v>210</v>
      </c>
      <c r="R1156" s="94" t="s">
        <v>210</v>
      </c>
      <c r="S1156" s="94">
        <v>3</v>
      </c>
      <c r="T1156" s="94" t="s">
        <v>210</v>
      </c>
      <c r="U1156" s="94"/>
      <c r="V1156" s="94"/>
      <c r="W1156" s="94"/>
      <c r="X1156" s="94"/>
      <c r="Y1156" s="94"/>
      <c r="Z1156" s="94"/>
      <c r="AA1156" s="94"/>
      <c r="AB1156" s="94"/>
      <c r="AC1156" s="94"/>
      <c r="AD1156" s="94"/>
      <c r="AE1156" s="94"/>
      <c r="AF1156" s="94"/>
      <c r="AG1156" s="94"/>
      <c r="AH1156" s="94"/>
      <c r="AI1156" s="94"/>
      <c r="AJ1156" s="94"/>
      <c r="AK1156" s="94"/>
      <c r="AL1156" s="94"/>
      <c r="AM1156" s="94"/>
      <c r="AN1156" s="94"/>
      <c r="AO1156" s="94"/>
      <c r="AP1156" s="94"/>
      <c r="AQ1156" s="94"/>
      <c r="AR1156" s="94"/>
      <c r="AS1156" s="94"/>
      <c r="AT1156" s="94"/>
      <c r="AU1156" s="94"/>
      <c r="AV1156" s="94"/>
      <c r="AW1156" s="94"/>
      <c r="AX1156" s="94"/>
      <c r="AY1156" s="94"/>
      <c r="BA1156" s="95"/>
    </row>
    <row r="1157" spans="1:53" s="87" customFormat="1">
      <c r="A1157" s="90" t="str">
        <f t="shared" si="65"/>
        <v/>
      </c>
      <c r="B1157" s="98">
        <v>18</v>
      </c>
      <c r="C1157" s="94">
        <v>-4</v>
      </c>
      <c r="D1157" s="94" t="s">
        <v>210</v>
      </c>
      <c r="E1157" s="94">
        <v>-1</v>
      </c>
      <c r="F1157" s="94" t="s">
        <v>210</v>
      </c>
      <c r="G1157" s="94" t="s">
        <v>210</v>
      </c>
      <c r="H1157" s="94">
        <v>2</v>
      </c>
      <c r="I1157" s="94" t="s">
        <v>210</v>
      </c>
      <c r="J1157" s="94" t="s">
        <v>210</v>
      </c>
      <c r="K1157" s="94" t="s">
        <v>210</v>
      </c>
      <c r="L1157" s="94">
        <v>5</v>
      </c>
      <c r="M1157" s="94" t="s">
        <v>210</v>
      </c>
      <c r="N1157" s="94" t="s">
        <v>210</v>
      </c>
      <c r="O1157" s="94" t="s">
        <v>210</v>
      </c>
      <c r="P1157" s="94">
        <v>4</v>
      </c>
      <c r="Q1157" s="94" t="s">
        <v>210</v>
      </c>
      <c r="R1157" s="94" t="s">
        <v>210</v>
      </c>
      <c r="S1157" s="94">
        <v>-3</v>
      </c>
      <c r="T1157" s="94" t="s">
        <v>210</v>
      </c>
      <c r="U1157" s="94"/>
      <c r="V1157" s="94"/>
      <c r="W1157" s="94"/>
      <c r="X1157" s="94"/>
      <c r="Y1157" s="94"/>
      <c r="Z1157" s="94"/>
      <c r="AA1157" s="94"/>
      <c r="AB1157" s="94"/>
      <c r="AC1157" s="94"/>
      <c r="AD1157" s="94"/>
      <c r="AE1157" s="94"/>
      <c r="AF1157" s="94"/>
      <c r="AG1157" s="94"/>
      <c r="AH1157" s="94"/>
      <c r="AI1157" s="94"/>
      <c r="AJ1157" s="94"/>
      <c r="AK1157" s="94"/>
      <c r="AL1157" s="94"/>
      <c r="AM1157" s="94"/>
      <c r="AN1157" s="94"/>
      <c r="AO1157" s="94"/>
      <c r="AP1157" s="94"/>
      <c r="AQ1157" s="94"/>
      <c r="AR1157" s="94"/>
      <c r="AS1157" s="94"/>
      <c r="AT1157" s="94"/>
      <c r="AU1157" s="94"/>
      <c r="AV1157" s="94"/>
      <c r="AW1157" s="94"/>
      <c r="AX1157" s="94"/>
      <c r="AY1157" s="94"/>
      <c r="BA1157" s="95"/>
    </row>
    <row r="1158" spans="1:53" s="87" customFormat="1">
      <c r="A1158" s="90" t="str">
        <f t="shared" si="65"/>
        <v/>
      </c>
      <c r="B1158" s="98">
        <v>19</v>
      </c>
      <c r="C1158" s="94">
        <v>-2</v>
      </c>
      <c r="D1158" s="94" t="s">
        <v>210</v>
      </c>
      <c r="E1158" s="94" t="s">
        <v>210</v>
      </c>
      <c r="F1158" s="94" t="s">
        <v>210</v>
      </c>
      <c r="G1158" s="94" t="s">
        <v>210</v>
      </c>
      <c r="H1158" s="94">
        <v>-1</v>
      </c>
      <c r="I1158" s="94" t="s">
        <v>210</v>
      </c>
      <c r="J1158" s="94">
        <v>3</v>
      </c>
      <c r="K1158" s="94" t="s">
        <v>210</v>
      </c>
      <c r="L1158" s="94" t="s">
        <v>210</v>
      </c>
      <c r="M1158" s="94">
        <v>1</v>
      </c>
      <c r="N1158" s="94" t="s">
        <v>210</v>
      </c>
      <c r="O1158" s="94" t="s">
        <v>210</v>
      </c>
      <c r="P1158" s="94">
        <v>-4</v>
      </c>
      <c r="Q1158" s="94" t="s">
        <v>210</v>
      </c>
      <c r="R1158" s="94" t="s">
        <v>210</v>
      </c>
      <c r="S1158" s="94">
        <v>5</v>
      </c>
      <c r="T1158" s="94" t="s">
        <v>210</v>
      </c>
      <c r="U1158" s="94"/>
      <c r="V1158" s="94"/>
      <c r="W1158" s="94"/>
      <c r="X1158" s="94"/>
      <c r="Y1158" s="94"/>
      <c r="Z1158" s="94"/>
      <c r="AA1158" s="94"/>
      <c r="AB1158" s="94"/>
      <c r="AC1158" s="94"/>
      <c r="AD1158" s="94"/>
      <c r="AE1158" s="94"/>
      <c r="AF1158" s="94"/>
      <c r="AG1158" s="94"/>
      <c r="AH1158" s="94"/>
      <c r="AI1158" s="94"/>
      <c r="AJ1158" s="94"/>
      <c r="AK1158" s="94"/>
      <c r="AL1158" s="94"/>
      <c r="AM1158" s="94"/>
      <c r="AN1158" s="94"/>
      <c r="AO1158" s="94"/>
      <c r="AP1158" s="94"/>
      <c r="AQ1158" s="94"/>
      <c r="AR1158" s="94"/>
      <c r="AS1158" s="94"/>
      <c r="AT1158" s="94"/>
      <c r="AU1158" s="94"/>
      <c r="AV1158" s="94"/>
      <c r="AW1158" s="94"/>
      <c r="AX1158" s="94"/>
      <c r="AY1158" s="94"/>
      <c r="BA1158" s="95"/>
    </row>
    <row r="1159" spans="1:53" s="87" customFormat="1">
      <c r="A1159" s="90" t="str">
        <f t="shared" si="65"/>
        <v/>
      </c>
      <c r="B1159" s="98">
        <v>20</v>
      </c>
      <c r="C1159" s="94" t="s">
        <v>210</v>
      </c>
      <c r="D1159" s="94">
        <v>2</v>
      </c>
      <c r="E1159" s="94" t="s">
        <v>210</v>
      </c>
      <c r="F1159" s="94">
        <v>3</v>
      </c>
      <c r="G1159" s="94" t="s">
        <v>210</v>
      </c>
      <c r="H1159" s="94">
        <v>-2</v>
      </c>
      <c r="I1159" s="94" t="s">
        <v>210</v>
      </c>
      <c r="J1159" s="94" t="s">
        <v>210</v>
      </c>
      <c r="K1159" s="94">
        <v>-4</v>
      </c>
      <c r="L1159" s="94" t="s">
        <v>210</v>
      </c>
      <c r="M1159" s="94" t="s">
        <v>210</v>
      </c>
      <c r="N1159" s="94">
        <v>1</v>
      </c>
      <c r="O1159" s="94" t="s">
        <v>210</v>
      </c>
      <c r="P1159" s="94" t="s">
        <v>210</v>
      </c>
      <c r="Q1159" s="94" t="s">
        <v>210</v>
      </c>
      <c r="R1159" s="94" t="s">
        <v>210</v>
      </c>
      <c r="S1159" s="94">
        <v>-5</v>
      </c>
      <c r="T1159" s="94" t="s">
        <v>210</v>
      </c>
      <c r="U1159" s="94"/>
      <c r="V1159" s="94"/>
      <c r="W1159" s="94"/>
      <c r="X1159" s="94"/>
      <c r="Y1159" s="94"/>
      <c r="Z1159" s="94"/>
      <c r="AA1159" s="94"/>
      <c r="AB1159" s="94"/>
      <c r="AC1159" s="94"/>
      <c r="AD1159" s="94"/>
      <c r="AE1159" s="94"/>
      <c r="AF1159" s="94"/>
      <c r="AG1159" s="94"/>
      <c r="AH1159" s="94"/>
      <c r="AI1159" s="94"/>
      <c r="AJ1159" s="94"/>
      <c r="AK1159" s="94"/>
      <c r="AL1159" s="94"/>
      <c r="AM1159" s="94"/>
      <c r="AN1159" s="94"/>
      <c r="AO1159" s="94"/>
      <c r="AP1159" s="94"/>
      <c r="AQ1159" s="94"/>
      <c r="AR1159" s="94"/>
      <c r="AS1159" s="94"/>
      <c r="AT1159" s="94"/>
      <c r="AU1159" s="94"/>
      <c r="AV1159" s="94"/>
      <c r="AW1159" s="94"/>
      <c r="AX1159" s="94"/>
      <c r="AY1159" s="94"/>
      <c r="BA1159" s="95"/>
    </row>
    <row r="1160" spans="1:53" s="87" customFormat="1">
      <c r="A1160" s="90" t="str">
        <f t="shared" si="65"/>
        <v/>
      </c>
      <c r="B1160" s="99">
        <v>21</v>
      </c>
      <c r="C1160" s="92">
        <v>4</v>
      </c>
      <c r="D1160" s="92" t="s">
        <v>210</v>
      </c>
      <c r="E1160" s="92" t="s">
        <v>210</v>
      </c>
      <c r="F1160" s="92">
        <v>-3</v>
      </c>
      <c r="G1160" s="92" t="s">
        <v>210</v>
      </c>
      <c r="H1160" s="92">
        <v>1</v>
      </c>
      <c r="I1160" s="92" t="s">
        <v>210</v>
      </c>
      <c r="J1160" s="92" t="s">
        <v>210</v>
      </c>
      <c r="K1160" s="92">
        <v>-2</v>
      </c>
      <c r="L1160" s="92" t="s">
        <v>210</v>
      </c>
      <c r="M1160" s="92" t="s">
        <v>210</v>
      </c>
      <c r="N1160" s="92">
        <v>3</v>
      </c>
      <c r="O1160" s="92" t="s">
        <v>210</v>
      </c>
      <c r="P1160" s="92" t="s">
        <v>210</v>
      </c>
      <c r="Q1160" s="92">
        <v>-5</v>
      </c>
      <c r="R1160" s="92" t="s">
        <v>210</v>
      </c>
      <c r="S1160" s="92" t="s">
        <v>210</v>
      </c>
      <c r="T1160" s="92" t="s">
        <v>210</v>
      </c>
      <c r="U1160" s="94"/>
      <c r="V1160" s="94"/>
      <c r="W1160" s="94"/>
      <c r="X1160" s="94"/>
      <c r="Y1160" s="94"/>
      <c r="Z1160" s="94"/>
      <c r="AA1160" s="94"/>
      <c r="AB1160" s="94"/>
      <c r="AC1160" s="94"/>
      <c r="AD1160" s="94"/>
      <c r="AE1160" s="94"/>
      <c r="AF1160" s="94"/>
      <c r="AG1160" s="94"/>
      <c r="AH1160" s="94"/>
      <c r="AI1160" s="94"/>
      <c r="AJ1160" s="94"/>
      <c r="AK1160" s="94"/>
      <c r="AL1160" s="94"/>
      <c r="AM1160" s="94"/>
      <c r="AN1160" s="94"/>
      <c r="AO1160" s="94"/>
      <c r="AP1160" s="94"/>
      <c r="AQ1160" s="94"/>
      <c r="AR1160" s="94"/>
      <c r="AS1160" s="94"/>
      <c r="AT1160" s="94"/>
      <c r="AU1160" s="94"/>
      <c r="AV1160" s="94"/>
      <c r="AW1160" s="94"/>
      <c r="AX1160" s="94"/>
      <c r="AY1160" s="94"/>
      <c r="BA1160" s="95"/>
    </row>
    <row r="1161" spans="1:53" s="87" customFormat="1">
      <c r="A1161" s="90" t="str">
        <f t="shared" si="65"/>
        <v/>
      </c>
      <c r="B1161" s="98">
        <v>22</v>
      </c>
      <c r="C1161" s="94" t="s">
        <v>210</v>
      </c>
      <c r="D1161" s="94">
        <v>4</v>
      </c>
      <c r="E1161" s="94" t="s">
        <v>210</v>
      </c>
      <c r="F1161" s="94">
        <v>1</v>
      </c>
      <c r="G1161" s="94" t="s">
        <v>210</v>
      </c>
      <c r="H1161" s="94" t="s">
        <v>210</v>
      </c>
      <c r="I1161" s="94">
        <v>-2</v>
      </c>
      <c r="J1161" s="94" t="s">
        <v>210</v>
      </c>
      <c r="K1161" s="94">
        <v>-3</v>
      </c>
      <c r="L1161" s="94" t="s">
        <v>210</v>
      </c>
      <c r="M1161" s="94" t="s">
        <v>210</v>
      </c>
      <c r="N1161" s="94" t="s">
        <v>210</v>
      </c>
      <c r="O1161" s="94">
        <v>-5</v>
      </c>
      <c r="P1161" s="94" t="s">
        <v>210</v>
      </c>
      <c r="Q1161" s="94" t="s">
        <v>210</v>
      </c>
      <c r="R1161" s="94" t="s">
        <v>210</v>
      </c>
      <c r="S1161" s="94">
        <v>2</v>
      </c>
      <c r="T1161" s="94" t="s">
        <v>210</v>
      </c>
      <c r="U1161" s="94"/>
      <c r="V1161" s="94"/>
      <c r="W1161" s="94"/>
      <c r="X1161" s="94"/>
      <c r="Y1161" s="94"/>
      <c r="Z1161" s="94"/>
      <c r="AA1161" s="94"/>
      <c r="AB1161" s="94"/>
      <c r="AC1161" s="94"/>
      <c r="AD1161" s="94"/>
      <c r="AE1161" s="94"/>
      <c r="AF1161" s="94"/>
      <c r="AG1161" s="94"/>
      <c r="AH1161" s="94"/>
      <c r="AI1161" s="94"/>
      <c r="AJ1161" s="94"/>
      <c r="AK1161" s="94"/>
      <c r="AL1161" s="94"/>
      <c r="AM1161" s="94"/>
      <c r="AN1161" s="94"/>
      <c r="AO1161" s="94"/>
      <c r="AP1161" s="94"/>
      <c r="AQ1161" s="94"/>
      <c r="AR1161" s="94"/>
      <c r="AS1161" s="94"/>
      <c r="AT1161" s="94"/>
      <c r="AU1161" s="94"/>
      <c r="AV1161" s="94"/>
      <c r="AW1161" s="94"/>
      <c r="AX1161" s="94"/>
      <c r="AY1161" s="94"/>
      <c r="BA1161" s="95"/>
    </row>
    <row r="1162" spans="1:53" s="87" customFormat="1">
      <c r="A1162" s="90" t="str">
        <f t="shared" si="65"/>
        <v/>
      </c>
      <c r="B1162" s="98">
        <v>23</v>
      </c>
      <c r="C1162" s="94" t="s">
        <v>210</v>
      </c>
      <c r="D1162" s="94">
        <v>-3</v>
      </c>
      <c r="E1162" s="94" t="s">
        <v>210</v>
      </c>
      <c r="F1162" s="94" t="s">
        <v>210</v>
      </c>
      <c r="G1162" s="94">
        <v>-5</v>
      </c>
      <c r="H1162" s="94" t="s">
        <v>210</v>
      </c>
      <c r="I1162" s="94" t="s">
        <v>210</v>
      </c>
      <c r="J1162" s="94">
        <v>4</v>
      </c>
      <c r="K1162" s="94" t="s">
        <v>210</v>
      </c>
      <c r="L1162" s="94" t="s">
        <v>210</v>
      </c>
      <c r="M1162" s="94">
        <v>2</v>
      </c>
      <c r="N1162" s="94" t="s">
        <v>210</v>
      </c>
      <c r="O1162" s="94" t="s">
        <v>210</v>
      </c>
      <c r="P1162" s="94">
        <v>1</v>
      </c>
      <c r="Q1162" s="94" t="s">
        <v>210</v>
      </c>
      <c r="R1162" s="94" t="s">
        <v>210</v>
      </c>
      <c r="S1162" s="94">
        <v>-2</v>
      </c>
      <c r="T1162" s="94" t="s">
        <v>210</v>
      </c>
      <c r="U1162" s="94"/>
      <c r="V1162" s="94"/>
      <c r="W1162" s="94"/>
      <c r="X1162" s="94"/>
      <c r="Y1162" s="94"/>
      <c r="Z1162" s="94"/>
      <c r="AA1162" s="94"/>
      <c r="AB1162" s="94"/>
      <c r="AC1162" s="94"/>
      <c r="AD1162" s="94"/>
      <c r="AE1162" s="94"/>
      <c r="AF1162" s="94"/>
      <c r="AG1162" s="94"/>
      <c r="AH1162" s="94"/>
      <c r="AI1162" s="94"/>
      <c r="AJ1162" s="94"/>
      <c r="AK1162" s="94"/>
      <c r="AL1162" s="94"/>
      <c r="AM1162" s="94"/>
      <c r="AN1162" s="94"/>
      <c r="AO1162" s="94"/>
      <c r="AP1162" s="94"/>
      <c r="AQ1162" s="94"/>
      <c r="AR1162" s="94"/>
      <c r="AS1162" s="94"/>
      <c r="AT1162" s="94"/>
      <c r="AU1162" s="94"/>
      <c r="AV1162" s="94"/>
      <c r="AW1162" s="94"/>
      <c r="AX1162" s="94"/>
      <c r="AY1162" s="94"/>
      <c r="BA1162" s="95"/>
    </row>
    <row r="1163" spans="1:53" s="87" customFormat="1">
      <c r="A1163" s="90" t="str">
        <f t="shared" si="65"/>
        <v/>
      </c>
      <c r="B1163" s="98">
        <v>24</v>
      </c>
      <c r="C1163" s="94">
        <v>-3</v>
      </c>
      <c r="D1163" s="94" t="s">
        <v>210</v>
      </c>
      <c r="E1163" s="94">
        <v>2</v>
      </c>
      <c r="F1163" s="94" t="s">
        <v>210</v>
      </c>
      <c r="G1163" s="94" t="s">
        <v>210</v>
      </c>
      <c r="H1163" s="94">
        <v>4</v>
      </c>
      <c r="I1163" s="94" t="s">
        <v>210</v>
      </c>
      <c r="J1163" s="94" t="s">
        <v>210</v>
      </c>
      <c r="K1163" s="94">
        <v>3</v>
      </c>
      <c r="L1163" s="94" t="s">
        <v>210</v>
      </c>
      <c r="M1163" s="94" t="s">
        <v>210</v>
      </c>
      <c r="N1163" s="94" t="s">
        <v>210</v>
      </c>
      <c r="O1163" s="94" t="s">
        <v>210</v>
      </c>
      <c r="P1163" s="94">
        <v>-1</v>
      </c>
      <c r="Q1163" s="94" t="s">
        <v>210</v>
      </c>
      <c r="R1163" s="94">
        <v>-5</v>
      </c>
      <c r="S1163" s="94" t="s">
        <v>210</v>
      </c>
      <c r="T1163" s="94" t="s">
        <v>210</v>
      </c>
      <c r="U1163" s="94"/>
      <c r="V1163" s="94"/>
      <c r="W1163" s="94"/>
      <c r="X1163" s="94"/>
      <c r="Y1163" s="94"/>
      <c r="Z1163" s="94"/>
      <c r="AA1163" s="94"/>
      <c r="AB1163" s="94"/>
      <c r="AC1163" s="94"/>
      <c r="AD1163" s="94"/>
      <c r="AE1163" s="94"/>
      <c r="AF1163" s="94"/>
      <c r="AG1163" s="94"/>
      <c r="AH1163" s="94"/>
      <c r="AI1163" s="94"/>
      <c r="AJ1163" s="94"/>
      <c r="AK1163" s="94"/>
      <c r="AL1163" s="94"/>
      <c r="AM1163" s="94"/>
      <c r="AN1163" s="94"/>
      <c r="AO1163" s="94"/>
      <c r="AP1163" s="94"/>
      <c r="AQ1163" s="94"/>
      <c r="AR1163" s="94"/>
      <c r="AS1163" s="94"/>
      <c r="AT1163" s="94"/>
      <c r="AU1163" s="94"/>
      <c r="AV1163" s="94"/>
      <c r="AW1163" s="94"/>
      <c r="AX1163" s="94"/>
      <c r="AY1163" s="94"/>
      <c r="BA1163" s="95"/>
    </row>
    <row r="1164" spans="1:53" s="87" customFormat="1">
      <c r="A1164" s="90" t="str">
        <f t="shared" ref="A1164:A1227" si="66">IF(MID(B1164,3,2)="05",ROW(),"")</f>
        <v/>
      </c>
      <c r="B1164" s="98">
        <v>25</v>
      </c>
      <c r="C1164" s="94" t="s">
        <v>210</v>
      </c>
      <c r="D1164" s="94">
        <v>-4</v>
      </c>
      <c r="E1164" s="94" t="s">
        <v>210</v>
      </c>
      <c r="F1164" s="94" t="s">
        <v>210</v>
      </c>
      <c r="G1164" s="94">
        <v>1</v>
      </c>
      <c r="H1164" s="94" t="s">
        <v>210</v>
      </c>
      <c r="I1164" s="94" t="s">
        <v>210</v>
      </c>
      <c r="J1164" s="94" t="s">
        <v>210</v>
      </c>
      <c r="K1164" s="94">
        <v>-5</v>
      </c>
      <c r="L1164" s="94" t="s">
        <v>210</v>
      </c>
      <c r="M1164" s="94">
        <v>-2</v>
      </c>
      <c r="N1164" s="94" t="s">
        <v>210</v>
      </c>
      <c r="O1164" s="94" t="s">
        <v>210</v>
      </c>
      <c r="P1164" s="94">
        <v>3</v>
      </c>
      <c r="Q1164" s="94" t="s">
        <v>210</v>
      </c>
      <c r="R1164" s="94">
        <v>5</v>
      </c>
      <c r="S1164" s="94" t="s">
        <v>210</v>
      </c>
      <c r="T1164" s="94" t="s">
        <v>210</v>
      </c>
      <c r="U1164" s="94"/>
      <c r="V1164" s="94"/>
      <c r="W1164" s="94"/>
      <c r="X1164" s="94"/>
      <c r="Y1164" s="94"/>
      <c r="Z1164" s="94"/>
      <c r="AA1164" s="94"/>
      <c r="AB1164" s="94"/>
      <c r="AC1164" s="94"/>
      <c r="AD1164" s="94"/>
      <c r="AE1164" s="94"/>
      <c r="AF1164" s="94"/>
      <c r="AG1164" s="94"/>
      <c r="AH1164" s="94"/>
      <c r="AI1164" s="94"/>
      <c r="AJ1164" s="94"/>
      <c r="AK1164" s="94"/>
      <c r="AL1164" s="94"/>
      <c r="AM1164" s="94"/>
      <c r="AN1164" s="94"/>
      <c r="AO1164" s="94"/>
      <c r="AP1164" s="94"/>
      <c r="AQ1164" s="94"/>
      <c r="AR1164" s="94"/>
      <c r="AS1164" s="94"/>
      <c r="AT1164" s="94"/>
      <c r="AU1164" s="94"/>
      <c r="AV1164" s="94"/>
      <c r="AW1164" s="94"/>
      <c r="AX1164" s="94"/>
      <c r="AY1164" s="94"/>
      <c r="BA1164" s="95"/>
    </row>
    <row r="1165" spans="1:53" s="87" customFormat="1">
      <c r="A1165" s="90" t="str">
        <f t="shared" si="66"/>
        <v/>
      </c>
      <c r="B1165" s="98">
        <v>26</v>
      </c>
      <c r="C1165" s="94">
        <v>3</v>
      </c>
      <c r="D1165" s="94" t="s">
        <v>210</v>
      </c>
      <c r="E1165" s="94" t="s">
        <v>210</v>
      </c>
      <c r="F1165" s="94" t="s">
        <v>210</v>
      </c>
      <c r="G1165" s="94">
        <v>5</v>
      </c>
      <c r="H1165" s="94" t="s">
        <v>210</v>
      </c>
      <c r="I1165" s="94">
        <v>2</v>
      </c>
      <c r="J1165" s="94" t="s">
        <v>210</v>
      </c>
      <c r="K1165" s="94" t="s">
        <v>210</v>
      </c>
      <c r="L1165" s="94" t="s">
        <v>210</v>
      </c>
      <c r="M1165" s="94" t="s">
        <v>210</v>
      </c>
      <c r="N1165" s="94">
        <v>-4</v>
      </c>
      <c r="O1165" s="94" t="s">
        <v>210</v>
      </c>
      <c r="P1165" s="94">
        <v>-3</v>
      </c>
      <c r="Q1165" s="94" t="s">
        <v>210</v>
      </c>
      <c r="R1165" s="94">
        <v>-1</v>
      </c>
      <c r="S1165" s="94" t="s">
        <v>210</v>
      </c>
      <c r="T1165" s="94" t="s">
        <v>210</v>
      </c>
      <c r="U1165" s="94"/>
      <c r="V1165" s="94"/>
      <c r="W1165" s="94"/>
      <c r="X1165" s="94"/>
      <c r="Y1165" s="94"/>
      <c r="Z1165" s="94"/>
      <c r="AA1165" s="94"/>
      <c r="AB1165" s="94"/>
      <c r="AC1165" s="94"/>
      <c r="AD1165" s="94"/>
      <c r="AE1165" s="94"/>
      <c r="AF1165" s="94"/>
      <c r="AG1165" s="94"/>
      <c r="AH1165" s="94"/>
      <c r="AI1165" s="94"/>
      <c r="AJ1165" s="94"/>
      <c r="AK1165" s="94"/>
      <c r="AL1165" s="94"/>
      <c r="AM1165" s="94"/>
      <c r="AN1165" s="94"/>
      <c r="AO1165" s="94"/>
      <c r="AP1165" s="94"/>
      <c r="AQ1165" s="94"/>
      <c r="AR1165" s="94"/>
      <c r="AS1165" s="94"/>
      <c r="AT1165" s="94"/>
      <c r="AU1165" s="94"/>
      <c r="AV1165" s="94"/>
      <c r="AW1165" s="94"/>
      <c r="AX1165" s="94"/>
      <c r="AY1165" s="94"/>
      <c r="BA1165" s="95"/>
    </row>
    <row r="1166" spans="1:53" s="87" customFormat="1">
      <c r="A1166" s="90" t="str">
        <f t="shared" si="66"/>
        <v/>
      </c>
      <c r="B1166" s="98">
        <v>27</v>
      </c>
      <c r="C1166" s="94" t="s">
        <v>210</v>
      </c>
      <c r="D1166" s="94" t="s">
        <v>210</v>
      </c>
      <c r="E1166" s="94">
        <v>-2</v>
      </c>
      <c r="F1166" s="94" t="s">
        <v>210</v>
      </c>
      <c r="G1166" s="94">
        <v>-1</v>
      </c>
      <c r="H1166" s="94" t="s">
        <v>210</v>
      </c>
      <c r="I1166" s="94" t="s">
        <v>210</v>
      </c>
      <c r="J1166" s="94">
        <v>-4</v>
      </c>
      <c r="K1166" s="94" t="s">
        <v>210</v>
      </c>
      <c r="L1166" s="94" t="s">
        <v>210</v>
      </c>
      <c r="M1166" s="94" t="s">
        <v>210</v>
      </c>
      <c r="N1166" s="94" t="s">
        <v>210</v>
      </c>
      <c r="O1166" s="94">
        <v>5</v>
      </c>
      <c r="P1166" s="94" t="s">
        <v>210</v>
      </c>
      <c r="Q1166" s="94" t="s">
        <v>210</v>
      </c>
      <c r="R1166" s="94">
        <v>1</v>
      </c>
      <c r="S1166" s="94" t="s">
        <v>210</v>
      </c>
      <c r="T1166" s="94">
        <v>2</v>
      </c>
      <c r="U1166" s="94"/>
      <c r="V1166" s="94"/>
      <c r="W1166" s="94"/>
      <c r="X1166" s="94"/>
      <c r="Y1166" s="94"/>
      <c r="Z1166" s="94"/>
      <c r="AA1166" s="94"/>
      <c r="AB1166" s="94"/>
      <c r="AC1166" s="94"/>
      <c r="AD1166" s="94"/>
      <c r="AE1166" s="94"/>
      <c r="AF1166" s="94"/>
      <c r="AG1166" s="94"/>
      <c r="AH1166" s="94"/>
      <c r="AI1166" s="94"/>
      <c r="AJ1166" s="94"/>
      <c r="AK1166" s="94"/>
      <c r="AL1166" s="94"/>
      <c r="AM1166" s="94"/>
      <c r="AN1166" s="94"/>
      <c r="AO1166" s="94"/>
      <c r="AP1166" s="94"/>
      <c r="AQ1166" s="94"/>
      <c r="AR1166" s="94"/>
      <c r="AS1166" s="94"/>
      <c r="AT1166" s="94"/>
      <c r="AU1166" s="94"/>
      <c r="AV1166" s="94"/>
      <c r="AW1166" s="94"/>
      <c r="AX1166" s="94"/>
      <c r="AY1166" s="94"/>
      <c r="BA1166" s="95"/>
    </row>
    <row r="1167" spans="1:53" s="87" customFormat="1">
      <c r="A1167" s="90" t="str">
        <f t="shared" si="66"/>
        <v/>
      </c>
      <c r="B1167" s="98">
        <v>28</v>
      </c>
      <c r="C1167" s="94" t="s">
        <v>210</v>
      </c>
      <c r="D1167" s="94">
        <v>3</v>
      </c>
      <c r="E1167" s="94" t="s">
        <v>210</v>
      </c>
      <c r="F1167" s="94">
        <v>-1</v>
      </c>
      <c r="G1167" s="94" t="s">
        <v>210</v>
      </c>
      <c r="H1167" s="94">
        <v>-4</v>
      </c>
      <c r="I1167" s="94" t="s">
        <v>210</v>
      </c>
      <c r="J1167" s="94" t="s">
        <v>210</v>
      </c>
      <c r="K1167" s="94">
        <v>5</v>
      </c>
      <c r="L1167" s="94" t="s">
        <v>210</v>
      </c>
      <c r="M1167" s="94" t="s">
        <v>210</v>
      </c>
      <c r="N1167" s="94">
        <v>4</v>
      </c>
      <c r="O1167" s="94" t="s">
        <v>210</v>
      </c>
      <c r="P1167" s="94" t="s">
        <v>210</v>
      </c>
      <c r="Q1167" s="94" t="s">
        <v>210</v>
      </c>
      <c r="R1167" s="94" t="s">
        <v>210</v>
      </c>
      <c r="S1167" s="94" t="s">
        <v>210</v>
      </c>
      <c r="T1167" s="94">
        <v>-2</v>
      </c>
      <c r="U1167" s="94"/>
      <c r="V1167" s="94"/>
      <c r="W1167" s="94"/>
      <c r="X1167" s="94"/>
      <c r="Y1167" s="94"/>
      <c r="Z1167" s="94"/>
      <c r="AA1167" s="94"/>
      <c r="AB1167" s="94"/>
      <c r="AC1167" s="94"/>
      <c r="AD1167" s="94"/>
      <c r="AE1167" s="94"/>
      <c r="AF1167" s="94"/>
      <c r="AG1167" s="94"/>
      <c r="AH1167" s="94"/>
      <c r="AI1167" s="94"/>
      <c r="AJ1167" s="94"/>
      <c r="AK1167" s="94"/>
      <c r="AL1167" s="94"/>
      <c r="AM1167" s="94"/>
      <c r="AN1167" s="94"/>
      <c r="AO1167" s="94"/>
      <c r="AP1167" s="94"/>
      <c r="AQ1167" s="94"/>
      <c r="AR1167" s="94"/>
      <c r="AS1167" s="94"/>
      <c r="AT1167" s="94"/>
      <c r="AU1167" s="94"/>
      <c r="AV1167" s="94"/>
      <c r="AW1167" s="94"/>
      <c r="AX1167" s="94"/>
      <c r="AY1167" s="94"/>
      <c r="BA1167" s="95"/>
    </row>
    <row r="1168" spans="1:53" s="87" customFormat="1">
      <c r="A1168" s="90" t="str">
        <f t="shared" si="66"/>
        <v/>
      </c>
      <c r="B1168" s="317" t="s">
        <v>1044</v>
      </c>
      <c r="C1168" s="94"/>
      <c r="D1168" s="94"/>
      <c r="E1168" s="94"/>
      <c r="F1168" s="94"/>
      <c r="G1168" s="94"/>
      <c r="H1168" s="94"/>
      <c r="I1168" s="94"/>
      <c r="J1168" s="94"/>
      <c r="K1168" s="94"/>
      <c r="L1168" s="94"/>
      <c r="M1168" s="94"/>
      <c r="N1168" s="94"/>
      <c r="O1168" s="94"/>
      <c r="P1168" s="94"/>
      <c r="Q1168" s="94"/>
      <c r="R1168" s="94"/>
      <c r="S1168" s="94"/>
      <c r="T1168" s="94"/>
      <c r="U1168" s="94"/>
      <c r="V1168" s="94"/>
      <c r="W1168" s="94"/>
      <c r="X1168" s="94"/>
      <c r="Y1168" s="94"/>
      <c r="Z1168" s="94"/>
      <c r="AA1168" s="94"/>
      <c r="AB1168" s="94"/>
      <c r="AC1168" s="94"/>
      <c r="AD1168" s="94"/>
      <c r="AE1168" s="94"/>
      <c r="AF1168" s="94"/>
      <c r="AG1168" s="94"/>
      <c r="AH1168" s="94"/>
      <c r="AI1168" s="94"/>
      <c r="AJ1168" s="94"/>
      <c r="AK1168" s="94"/>
      <c r="AL1168" s="94"/>
      <c r="AM1168" s="94"/>
      <c r="AN1168" s="94"/>
      <c r="AO1168" s="94"/>
      <c r="AP1168" s="94"/>
      <c r="AQ1168" s="94"/>
      <c r="AR1168" s="94"/>
      <c r="AS1168" s="94"/>
      <c r="AT1168" s="94"/>
      <c r="AU1168" s="94"/>
      <c r="AV1168" s="94"/>
      <c r="AW1168" s="94"/>
      <c r="AX1168" s="94"/>
      <c r="AY1168" s="94"/>
      <c r="BA1168" s="95"/>
    </row>
    <row r="1169" spans="1:53" s="87" customFormat="1">
      <c r="A1169" s="90">
        <f t="shared" si="66"/>
        <v>1169</v>
      </c>
      <c r="B1169" s="98" t="s">
        <v>1046</v>
      </c>
      <c r="C1169" s="94"/>
      <c r="D1169" s="94"/>
      <c r="E1169" s="94"/>
      <c r="F1169" s="94"/>
      <c r="G1169" s="94"/>
      <c r="H1169" s="94"/>
      <c r="I1169" s="94"/>
      <c r="J1169" s="94"/>
      <c r="K1169" s="94"/>
      <c r="L1169" s="94"/>
      <c r="M1169" s="94"/>
      <c r="N1169" s="94"/>
      <c r="O1169" s="94"/>
      <c r="P1169" s="94"/>
      <c r="Q1169" s="94"/>
      <c r="R1169" s="94"/>
      <c r="S1169" s="94"/>
      <c r="T1169" s="94"/>
      <c r="U1169" s="94"/>
      <c r="V1169" s="94"/>
      <c r="W1169" s="94"/>
      <c r="X1169" s="94"/>
      <c r="Y1169" s="94"/>
      <c r="Z1169" s="94"/>
      <c r="AA1169" s="94"/>
      <c r="AB1169" s="94"/>
      <c r="AC1169" s="94"/>
      <c r="AD1169" s="94"/>
      <c r="AE1169" s="94"/>
      <c r="AF1169" s="94"/>
      <c r="AG1169" s="94"/>
      <c r="AH1169" s="94"/>
      <c r="AI1169" s="94"/>
      <c r="AJ1169" s="94"/>
      <c r="AK1169" s="94"/>
      <c r="AL1169" s="94"/>
      <c r="AM1169" s="94"/>
      <c r="AN1169" s="94"/>
      <c r="AO1169" s="94"/>
      <c r="AP1169" s="94"/>
      <c r="AQ1169" s="94"/>
      <c r="AR1169" s="94"/>
      <c r="AS1169" s="94"/>
      <c r="AT1169" s="94"/>
      <c r="AU1169" s="94"/>
      <c r="AV1169" s="94"/>
      <c r="AW1169" s="94"/>
      <c r="AX1169" s="94"/>
      <c r="AY1169" s="94"/>
      <c r="BA1169" s="95"/>
    </row>
    <row r="1170" spans="1:53" s="87" customFormat="1">
      <c r="A1170" s="90" t="str">
        <f t="shared" si="66"/>
        <v/>
      </c>
      <c r="B1170" s="98">
        <v>1</v>
      </c>
      <c r="C1170" s="94" t="s">
        <v>210</v>
      </c>
      <c r="D1170" s="94">
        <v>5</v>
      </c>
      <c r="E1170" s="94">
        <v>-2</v>
      </c>
      <c r="F1170" s="94">
        <v>4</v>
      </c>
      <c r="G1170" s="94" t="s">
        <v>210</v>
      </c>
      <c r="H1170" s="94">
        <v>2</v>
      </c>
      <c r="I1170" s="94">
        <v>-1</v>
      </c>
      <c r="J1170" s="94">
        <v>-5</v>
      </c>
      <c r="K1170" s="94" t="s">
        <v>210</v>
      </c>
      <c r="L1170" s="94">
        <v>-4</v>
      </c>
      <c r="M1170" s="94">
        <v>3</v>
      </c>
      <c r="N1170" s="94">
        <v>-2</v>
      </c>
      <c r="O1170" s="94">
        <v>1</v>
      </c>
      <c r="P1170" s="94" t="s">
        <v>210</v>
      </c>
      <c r="Q1170" s="94">
        <v>5</v>
      </c>
      <c r="R1170" s="94">
        <v>-3</v>
      </c>
      <c r="S1170" s="94"/>
      <c r="T1170" s="94"/>
      <c r="U1170" s="94"/>
      <c r="V1170" s="94"/>
      <c r="W1170" s="94"/>
      <c r="X1170" s="94"/>
      <c r="Y1170" s="94"/>
      <c r="Z1170" s="94"/>
      <c r="AA1170" s="94"/>
      <c r="AB1170" s="94"/>
      <c r="AC1170" s="94"/>
      <c r="AD1170" s="94"/>
      <c r="AE1170" s="94"/>
      <c r="AF1170" s="94"/>
      <c r="AG1170" s="94"/>
      <c r="AH1170" s="94"/>
      <c r="AI1170" s="94"/>
      <c r="AJ1170" s="94"/>
      <c r="AK1170" s="94"/>
      <c r="AL1170" s="94"/>
      <c r="AM1170" s="94"/>
      <c r="AN1170" s="94"/>
      <c r="AO1170" s="94"/>
      <c r="AP1170" s="94"/>
      <c r="AQ1170" s="94"/>
      <c r="AR1170" s="94"/>
      <c r="AS1170" s="94"/>
      <c r="AT1170" s="94"/>
      <c r="AU1170" s="94"/>
      <c r="AV1170" s="94"/>
      <c r="AW1170" s="94"/>
      <c r="AX1170" s="94"/>
      <c r="AY1170" s="94"/>
      <c r="BA1170" s="95"/>
    </row>
    <row r="1171" spans="1:53" s="87" customFormat="1">
      <c r="A1171" s="90" t="str">
        <f t="shared" si="66"/>
        <v/>
      </c>
      <c r="B1171" s="98">
        <v>2</v>
      </c>
      <c r="C1171" s="94" t="s">
        <v>210</v>
      </c>
      <c r="D1171" s="94">
        <v>-4</v>
      </c>
      <c r="E1171" s="94">
        <v>1</v>
      </c>
      <c r="F1171" s="94">
        <v>-2</v>
      </c>
      <c r="G1171" s="94" t="s">
        <v>210</v>
      </c>
      <c r="H1171" s="94">
        <v>5</v>
      </c>
      <c r="I1171" s="94">
        <v>-4</v>
      </c>
      <c r="J1171" s="94">
        <v>-1</v>
      </c>
      <c r="K1171" s="94">
        <v>2</v>
      </c>
      <c r="L1171" s="94" t="s">
        <v>210</v>
      </c>
      <c r="M1171" s="94">
        <v>-5</v>
      </c>
      <c r="N1171" s="94">
        <v>-3</v>
      </c>
      <c r="O1171" s="94">
        <v>4</v>
      </c>
      <c r="P1171" s="94" t="s">
        <v>210</v>
      </c>
      <c r="Q1171" s="94">
        <v>2</v>
      </c>
      <c r="R1171" s="94">
        <v>3</v>
      </c>
      <c r="S1171" s="94"/>
      <c r="T1171" s="94"/>
      <c r="U1171" s="94"/>
      <c r="V1171" s="94"/>
      <c r="W1171" s="94"/>
      <c r="X1171" s="94"/>
      <c r="Y1171" s="94"/>
      <c r="Z1171" s="94"/>
      <c r="AA1171" s="94"/>
      <c r="AB1171" s="94"/>
      <c r="AC1171" s="94"/>
      <c r="AD1171" s="94"/>
      <c r="AE1171" s="94"/>
      <c r="AF1171" s="94"/>
      <c r="AG1171" s="94"/>
      <c r="AH1171" s="94"/>
      <c r="AI1171" s="94"/>
      <c r="AJ1171" s="94"/>
      <c r="AK1171" s="94"/>
      <c r="AL1171" s="94"/>
      <c r="AM1171" s="94"/>
      <c r="AN1171" s="94"/>
      <c r="AO1171" s="94"/>
      <c r="AP1171" s="94"/>
      <c r="AQ1171" s="94"/>
      <c r="AR1171" s="94"/>
      <c r="AS1171" s="94"/>
      <c r="AT1171" s="94"/>
      <c r="AU1171" s="94"/>
      <c r="AV1171" s="94"/>
      <c r="AW1171" s="94"/>
      <c r="AX1171" s="94"/>
      <c r="AY1171" s="94"/>
      <c r="BA1171" s="95"/>
    </row>
    <row r="1172" spans="1:53" s="87" customFormat="1">
      <c r="A1172" s="90" t="str">
        <f t="shared" si="66"/>
        <v/>
      </c>
      <c r="B1172" s="98">
        <v>3</v>
      </c>
      <c r="C1172" s="94" t="s">
        <v>210</v>
      </c>
      <c r="D1172" s="94">
        <v>-1</v>
      </c>
      <c r="E1172" s="94">
        <v>3</v>
      </c>
      <c r="F1172" s="94">
        <v>2</v>
      </c>
      <c r="G1172" s="94">
        <v>4</v>
      </c>
      <c r="H1172" s="94" t="s">
        <v>210</v>
      </c>
      <c r="I1172" s="94">
        <v>-2</v>
      </c>
      <c r="J1172" s="94">
        <v>-3</v>
      </c>
      <c r="K1172" s="94">
        <v>5</v>
      </c>
      <c r="L1172" s="94" t="s">
        <v>210</v>
      </c>
      <c r="M1172" s="94">
        <v>4</v>
      </c>
      <c r="N1172" s="94">
        <v>1</v>
      </c>
      <c r="O1172" s="94">
        <v>-3</v>
      </c>
      <c r="P1172" s="94" t="s">
        <v>210</v>
      </c>
      <c r="Q1172" s="94">
        <v>-5</v>
      </c>
      <c r="R1172" s="94">
        <v>-4</v>
      </c>
      <c r="S1172" s="94"/>
      <c r="T1172" s="94"/>
      <c r="U1172" s="94"/>
      <c r="V1172" s="94"/>
      <c r="W1172" s="94"/>
      <c r="X1172" s="94"/>
      <c r="Y1172" s="94"/>
      <c r="Z1172" s="94"/>
      <c r="AA1172" s="94"/>
      <c r="AB1172" s="94"/>
      <c r="AC1172" s="94"/>
      <c r="AD1172" s="94"/>
      <c r="AE1172" s="94"/>
      <c r="AF1172" s="94"/>
      <c r="AG1172" s="94"/>
      <c r="AH1172" s="94"/>
      <c r="AI1172" s="94"/>
      <c r="AJ1172" s="94"/>
      <c r="AK1172" s="94"/>
      <c r="AL1172" s="94"/>
      <c r="AM1172" s="94"/>
      <c r="AN1172" s="94"/>
      <c r="AO1172" s="94"/>
      <c r="AP1172" s="94"/>
      <c r="AQ1172" s="94"/>
      <c r="AR1172" s="94"/>
      <c r="AS1172" s="94"/>
      <c r="AT1172" s="94"/>
      <c r="AU1172" s="94"/>
      <c r="AV1172" s="94"/>
      <c r="AW1172" s="94"/>
      <c r="AX1172" s="94"/>
      <c r="AY1172" s="94"/>
      <c r="BA1172" s="95"/>
    </row>
    <row r="1173" spans="1:53" s="87" customFormat="1">
      <c r="A1173" s="90" t="str">
        <f t="shared" si="66"/>
        <v/>
      </c>
      <c r="B1173" s="98">
        <v>4</v>
      </c>
      <c r="C1173" s="94">
        <v>-2</v>
      </c>
      <c r="D1173" s="94" t="s">
        <v>210</v>
      </c>
      <c r="E1173" s="94">
        <v>-5</v>
      </c>
      <c r="F1173" s="94">
        <v>1</v>
      </c>
      <c r="G1173" s="94">
        <v>2</v>
      </c>
      <c r="H1173" s="94" t="s">
        <v>210</v>
      </c>
      <c r="I1173" s="94">
        <v>-3</v>
      </c>
      <c r="J1173" s="94">
        <v>-4</v>
      </c>
      <c r="K1173" s="94">
        <v>-1</v>
      </c>
      <c r="L1173" s="94" t="s">
        <v>210</v>
      </c>
      <c r="M1173" s="94">
        <v>2</v>
      </c>
      <c r="N1173" s="94">
        <v>3</v>
      </c>
      <c r="O1173" s="94">
        <v>-1</v>
      </c>
      <c r="P1173" s="94">
        <v>5</v>
      </c>
      <c r="Q1173" s="94" t="s">
        <v>210</v>
      </c>
      <c r="R1173" s="94">
        <v>4</v>
      </c>
      <c r="S1173" s="94"/>
      <c r="T1173" s="94"/>
      <c r="U1173" s="94"/>
      <c r="V1173" s="94"/>
      <c r="W1173" s="94"/>
      <c r="X1173" s="94"/>
      <c r="Y1173" s="94"/>
      <c r="Z1173" s="94"/>
      <c r="AA1173" s="94"/>
      <c r="AB1173" s="94"/>
      <c r="AC1173" s="94"/>
      <c r="AD1173" s="94"/>
      <c r="AE1173" s="94"/>
      <c r="AF1173" s="94"/>
      <c r="AG1173" s="94"/>
      <c r="AH1173" s="94"/>
      <c r="AI1173" s="94"/>
      <c r="AJ1173" s="94"/>
      <c r="AK1173" s="94"/>
      <c r="AL1173" s="94"/>
      <c r="AM1173" s="94"/>
      <c r="AN1173" s="94"/>
      <c r="AO1173" s="94"/>
      <c r="AP1173" s="94"/>
      <c r="AQ1173" s="94"/>
      <c r="AR1173" s="94"/>
      <c r="AS1173" s="94"/>
      <c r="AT1173" s="94"/>
      <c r="AU1173" s="94"/>
      <c r="AV1173" s="94"/>
      <c r="AW1173" s="94"/>
      <c r="AX1173" s="94"/>
      <c r="AY1173" s="94"/>
      <c r="BA1173" s="95"/>
    </row>
    <row r="1174" spans="1:53" s="87" customFormat="1">
      <c r="A1174" s="90" t="str">
        <f t="shared" si="66"/>
        <v/>
      </c>
      <c r="B1174" s="98">
        <v>5</v>
      </c>
      <c r="C1174" s="94">
        <v>1</v>
      </c>
      <c r="D1174" s="94" t="s">
        <v>210</v>
      </c>
      <c r="E1174" s="94">
        <v>4</v>
      </c>
      <c r="F1174" s="94">
        <v>-3</v>
      </c>
      <c r="G1174" s="94">
        <v>-4</v>
      </c>
      <c r="H1174" s="94" t="s">
        <v>210</v>
      </c>
      <c r="I1174" s="94">
        <v>5</v>
      </c>
      <c r="J1174" s="94">
        <v>2</v>
      </c>
      <c r="K1174" s="94">
        <v>3</v>
      </c>
      <c r="L1174" s="94">
        <v>-1</v>
      </c>
      <c r="M1174" s="94" t="s">
        <v>210</v>
      </c>
      <c r="N1174" s="94">
        <v>2</v>
      </c>
      <c r="O1174" s="94">
        <v>-4</v>
      </c>
      <c r="P1174" s="94">
        <v>-5</v>
      </c>
      <c r="Q1174" s="94" t="s">
        <v>210</v>
      </c>
      <c r="R1174" s="94">
        <v>-2</v>
      </c>
      <c r="S1174" s="94"/>
      <c r="T1174" s="94"/>
      <c r="U1174" s="94"/>
      <c r="V1174" s="94"/>
      <c r="W1174" s="94"/>
      <c r="X1174" s="94"/>
      <c r="Y1174" s="94"/>
      <c r="Z1174" s="94"/>
      <c r="AA1174" s="94"/>
      <c r="AB1174" s="94"/>
      <c r="AC1174" s="94"/>
      <c r="AD1174" s="94"/>
      <c r="AE1174" s="94"/>
      <c r="AF1174" s="94"/>
      <c r="AG1174" s="94"/>
      <c r="AH1174" s="94"/>
      <c r="AI1174" s="94"/>
      <c r="AJ1174" s="94"/>
      <c r="AK1174" s="94"/>
      <c r="AL1174" s="94"/>
      <c r="AM1174" s="94"/>
      <c r="AN1174" s="94"/>
      <c r="AO1174" s="94"/>
      <c r="AP1174" s="94"/>
      <c r="AQ1174" s="94"/>
      <c r="AR1174" s="94"/>
      <c r="AS1174" s="94"/>
      <c r="AT1174" s="94"/>
      <c r="AU1174" s="94"/>
      <c r="AV1174" s="94"/>
      <c r="AW1174" s="94"/>
      <c r="AX1174" s="94"/>
      <c r="AY1174" s="94"/>
      <c r="BA1174" s="95"/>
    </row>
    <row r="1175" spans="1:53" s="87" customFormat="1">
      <c r="A1175" s="90" t="str">
        <f t="shared" si="66"/>
        <v/>
      </c>
      <c r="B1175" s="98">
        <v>6</v>
      </c>
      <c r="C1175" s="94">
        <v>-3</v>
      </c>
      <c r="D1175" s="94" t="s">
        <v>210</v>
      </c>
      <c r="E1175" s="94">
        <v>-1</v>
      </c>
      <c r="F1175" s="94">
        <v>5</v>
      </c>
      <c r="G1175" s="94">
        <v>-2</v>
      </c>
      <c r="H1175" s="94">
        <v>1</v>
      </c>
      <c r="I1175" s="94" t="s">
        <v>210</v>
      </c>
      <c r="J1175" s="94">
        <v>5</v>
      </c>
      <c r="K1175" s="94">
        <v>4</v>
      </c>
      <c r="L1175" s="94">
        <v>-2</v>
      </c>
      <c r="M1175" s="94" t="s">
        <v>210</v>
      </c>
      <c r="N1175" s="94">
        <v>-5</v>
      </c>
      <c r="O1175" s="94">
        <v>3</v>
      </c>
      <c r="P1175" s="94">
        <v>-4</v>
      </c>
      <c r="Q1175" s="94" t="s">
        <v>210</v>
      </c>
      <c r="R1175" s="94">
        <v>2</v>
      </c>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BA1175" s="95"/>
    </row>
    <row r="1176" spans="1:53" s="87" customFormat="1">
      <c r="A1176" s="90" t="str">
        <f t="shared" si="66"/>
        <v/>
      </c>
      <c r="B1176" s="98">
        <v>7</v>
      </c>
      <c r="C1176" s="94">
        <v>4</v>
      </c>
      <c r="D1176" s="94">
        <v>-5</v>
      </c>
      <c r="E1176" s="94" t="s">
        <v>210</v>
      </c>
      <c r="F1176" s="94">
        <v>3</v>
      </c>
      <c r="G1176" s="94">
        <v>1</v>
      </c>
      <c r="H1176" s="94">
        <v>-3</v>
      </c>
      <c r="I1176" s="94" t="s">
        <v>210</v>
      </c>
      <c r="J1176" s="94">
        <v>4</v>
      </c>
      <c r="K1176" s="94">
        <v>-5</v>
      </c>
      <c r="L1176" s="94">
        <v>2</v>
      </c>
      <c r="M1176" s="94" t="s">
        <v>210</v>
      </c>
      <c r="N1176" s="94">
        <v>-4</v>
      </c>
      <c r="O1176" s="94">
        <v>5</v>
      </c>
      <c r="P1176" s="94">
        <v>-1</v>
      </c>
      <c r="Q1176" s="94">
        <v>-2</v>
      </c>
      <c r="R1176" s="94" t="s">
        <v>210</v>
      </c>
      <c r="S1176" s="94"/>
      <c r="T1176" s="94"/>
      <c r="U1176" s="94"/>
      <c r="V1176" s="94"/>
      <c r="W1176" s="94"/>
      <c r="X1176" s="94"/>
      <c r="Y1176" s="94"/>
      <c r="Z1176" s="94"/>
      <c r="AA1176" s="94"/>
      <c r="AB1176" s="94"/>
      <c r="AC1176" s="94"/>
      <c r="AD1176" s="94"/>
      <c r="AE1176" s="94"/>
      <c r="AF1176" s="94"/>
      <c r="AG1176" s="94"/>
      <c r="AH1176" s="94"/>
      <c r="AI1176" s="94"/>
      <c r="AJ1176" s="94"/>
      <c r="AK1176" s="94"/>
      <c r="AL1176" s="94"/>
      <c r="AM1176" s="94"/>
      <c r="AN1176" s="94"/>
      <c r="AO1176" s="94"/>
      <c r="AP1176" s="94"/>
      <c r="AQ1176" s="94"/>
      <c r="AR1176" s="94"/>
      <c r="AS1176" s="94"/>
      <c r="AT1176" s="94"/>
      <c r="AU1176" s="94"/>
      <c r="AV1176" s="94"/>
      <c r="AW1176" s="94"/>
      <c r="AX1176" s="94"/>
      <c r="AY1176" s="94"/>
      <c r="BA1176" s="95"/>
    </row>
    <row r="1177" spans="1:53" s="87" customFormat="1">
      <c r="A1177" s="90" t="str">
        <f t="shared" si="66"/>
        <v/>
      </c>
      <c r="B1177" s="98">
        <v>8</v>
      </c>
      <c r="C1177" s="94">
        <v>-5</v>
      </c>
      <c r="D1177" s="94">
        <v>2</v>
      </c>
      <c r="E1177" s="94" t="s">
        <v>210</v>
      </c>
      <c r="F1177" s="94">
        <v>-1</v>
      </c>
      <c r="G1177" s="94">
        <v>5</v>
      </c>
      <c r="H1177" s="94">
        <v>-4</v>
      </c>
      <c r="I1177" s="94" t="s">
        <v>210</v>
      </c>
      <c r="J1177" s="94">
        <v>3</v>
      </c>
      <c r="K1177" s="94">
        <v>-2</v>
      </c>
      <c r="L1177" s="94">
        <v>1</v>
      </c>
      <c r="M1177" s="94">
        <v>-3</v>
      </c>
      <c r="N1177" s="94" t="s">
        <v>210</v>
      </c>
      <c r="O1177" s="94">
        <v>-5</v>
      </c>
      <c r="P1177" s="94">
        <v>4</v>
      </c>
      <c r="Q1177" s="94">
        <v>3</v>
      </c>
      <c r="R1177" s="94" t="s">
        <v>210</v>
      </c>
      <c r="S1177" s="94"/>
      <c r="T1177" s="94"/>
      <c r="U1177" s="94"/>
      <c r="V1177" s="94"/>
      <c r="W1177" s="94"/>
      <c r="X1177" s="94"/>
      <c r="Y1177" s="94"/>
      <c r="Z1177" s="94"/>
      <c r="AA1177" s="94"/>
      <c r="AB1177" s="94"/>
      <c r="AC1177" s="94"/>
      <c r="AD1177" s="94"/>
      <c r="AE1177" s="94"/>
      <c r="AF1177" s="94"/>
      <c r="AG1177" s="94"/>
      <c r="AH1177" s="94"/>
      <c r="AI1177" s="94"/>
      <c r="AJ1177" s="94"/>
      <c r="AK1177" s="94"/>
      <c r="AL1177" s="94"/>
      <c r="AM1177" s="94"/>
      <c r="AN1177" s="94"/>
      <c r="AO1177" s="94"/>
      <c r="AP1177" s="94"/>
      <c r="AQ1177" s="94"/>
      <c r="AR1177" s="94"/>
      <c r="AS1177" s="94"/>
      <c r="AT1177" s="94"/>
      <c r="AU1177" s="94"/>
      <c r="AV1177" s="94"/>
      <c r="AW1177" s="94"/>
      <c r="AX1177" s="94"/>
      <c r="AY1177" s="94"/>
      <c r="BA1177" s="95"/>
    </row>
    <row r="1178" spans="1:53" s="87" customFormat="1">
      <c r="A1178" s="90" t="str">
        <f t="shared" si="66"/>
        <v/>
      </c>
      <c r="B1178" s="98">
        <v>9</v>
      </c>
      <c r="C1178" s="94">
        <v>-1</v>
      </c>
      <c r="D1178" s="94">
        <v>-3</v>
      </c>
      <c r="E1178" s="94" t="s">
        <v>210</v>
      </c>
      <c r="F1178" s="94">
        <v>-5</v>
      </c>
      <c r="G1178" s="94">
        <v>3</v>
      </c>
      <c r="H1178" s="94">
        <v>-2</v>
      </c>
      <c r="I1178" s="94">
        <v>4</v>
      </c>
      <c r="J1178" s="94" t="s">
        <v>210</v>
      </c>
      <c r="K1178" s="94">
        <v>1</v>
      </c>
      <c r="L1178" s="94">
        <v>5</v>
      </c>
      <c r="M1178" s="94">
        <v>-4</v>
      </c>
      <c r="N1178" s="94" t="s">
        <v>210</v>
      </c>
      <c r="O1178" s="94">
        <v>2</v>
      </c>
      <c r="P1178" s="94">
        <v>1</v>
      </c>
      <c r="Q1178" s="94">
        <v>-3</v>
      </c>
      <c r="R1178" s="94" t="s">
        <v>210</v>
      </c>
      <c r="S1178" s="94"/>
      <c r="T1178" s="94"/>
      <c r="U1178" s="94"/>
      <c r="V1178" s="94"/>
      <c r="W1178" s="94"/>
      <c r="X1178" s="94"/>
      <c r="Y1178" s="94"/>
      <c r="Z1178" s="94"/>
      <c r="AA1178" s="94"/>
      <c r="AB1178" s="94"/>
      <c r="AC1178" s="94"/>
      <c r="AD1178" s="94"/>
      <c r="AE1178" s="94"/>
      <c r="AF1178" s="94"/>
      <c r="AG1178" s="94"/>
      <c r="AH1178" s="94"/>
      <c r="AI1178" s="94"/>
      <c r="AJ1178" s="94"/>
      <c r="AK1178" s="94"/>
      <c r="AL1178" s="94"/>
      <c r="AM1178" s="94"/>
      <c r="AN1178" s="94"/>
      <c r="AO1178" s="94"/>
      <c r="AP1178" s="94"/>
      <c r="AQ1178" s="94"/>
      <c r="AR1178" s="94"/>
      <c r="AS1178" s="94"/>
      <c r="AT1178" s="94"/>
      <c r="AU1178" s="94"/>
      <c r="AV1178" s="94"/>
      <c r="AW1178" s="94"/>
      <c r="AX1178" s="94"/>
      <c r="AY1178" s="94"/>
      <c r="BA1178" s="95"/>
    </row>
    <row r="1179" spans="1:53" s="87" customFormat="1">
      <c r="A1179" s="90" t="str">
        <f t="shared" si="66"/>
        <v/>
      </c>
      <c r="B1179" s="98">
        <v>10</v>
      </c>
      <c r="C1179" s="94">
        <v>3</v>
      </c>
      <c r="D1179" s="94">
        <v>-2</v>
      </c>
      <c r="E1179" s="94">
        <v>5</v>
      </c>
      <c r="F1179" s="94" t="s">
        <v>210</v>
      </c>
      <c r="G1179" s="94">
        <v>-1</v>
      </c>
      <c r="H1179" s="94">
        <v>-5</v>
      </c>
      <c r="I1179" s="94">
        <v>2</v>
      </c>
      <c r="J1179" s="94" t="s">
        <v>210</v>
      </c>
      <c r="K1179" s="94">
        <v>-3</v>
      </c>
      <c r="L1179" s="94">
        <v>4</v>
      </c>
      <c r="M1179" s="94">
        <v>1</v>
      </c>
      <c r="N1179" s="94" t="s">
        <v>210</v>
      </c>
      <c r="O1179" s="94">
        <v>-2</v>
      </c>
      <c r="P1179" s="94">
        <v>3</v>
      </c>
      <c r="Q1179" s="94">
        <v>-4</v>
      </c>
      <c r="R1179" s="94" t="s">
        <v>210</v>
      </c>
      <c r="S1179" s="94"/>
      <c r="T1179" s="94"/>
      <c r="U1179" s="94"/>
      <c r="V1179" s="94"/>
      <c r="W1179" s="94"/>
      <c r="X1179" s="94"/>
      <c r="Y1179" s="94"/>
      <c r="Z1179" s="94"/>
      <c r="AA1179" s="94"/>
      <c r="AB1179" s="94"/>
      <c r="AC1179" s="94"/>
      <c r="AD1179" s="94"/>
      <c r="AE1179" s="94"/>
      <c r="AF1179" s="94"/>
      <c r="AG1179" s="94"/>
      <c r="AH1179" s="94"/>
      <c r="AI1179" s="94"/>
      <c r="AJ1179" s="94"/>
      <c r="AK1179" s="94"/>
      <c r="AL1179" s="94"/>
      <c r="AM1179" s="94"/>
      <c r="AN1179" s="94"/>
      <c r="AO1179" s="94"/>
      <c r="AP1179" s="94"/>
      <c r="AQ1179" s="94"/>
      <c r="AR1179" s="94"/>
      <c r="AS1179" s="94"/>
      <c r="AT1179" s="94"/>
      <c r="AU1179" s="94"/>
      <c r="AV1179" s="94"/>
      <c r="AW1179" s="94"/>
      <c r="AX1179" s="94"/>
      <c r="AY1179" s="94"/>
      <c r="BA1179" s="95"/>
    </row>
    <row r="1180" spans="1:53" s="87" customFormat="1">
      <c r="A1180" s="90" t="str">
        <f t="shared" si="66"/>
        <v/>
      </c>
      <c r="B1180" s="98">
        <v>11</v>
      </c>
      <c r="C1180" s="94">
        <v>2</v>
      </c>
      <c r="D1180" s="94">
        <v>3</v>
      </c>
      <c r="E1180" s="94">
        <v>-4</v>
      </c>
      <c r="F1180" s="94" t="s">
        <v>210</v>
      </c>
      <c r="G1180" s="94">
        <v>-5</v>
      </c>
      <c r="H1180" s="94">
        <v>3</v>
      </c>
      <c r="I1180" s="94">
        <v>1</v>
      </c>
      <c r="J1180" s="94" t="s">
        <v>210</v>
      </c>
      <c r="K1180" s="94">
        <v>-4</v>
      </c>
      <c r="L1180" s="94">
        <v>-3</v>
      </c>
      <c r="M1180" s="94">
        <v>5</v>
      </c>
      <c r="N1180" s="94">
        <v>-1</v>
      </c>
      <c r="O1180" s="94" t="s">
        <v>210</v>
      </c>
      <c r="P1180" s="94">
        <v>-2</v>
      </c>
      <c r="Q1180" s="94">
        <v>4</v>
      </c>
      <c r="R1180" s="94" t="s">
        <v>210</v>
      </c>
      <c r="S1180" s="94"/>
      <c r="T1180" s="94"/>
      <c r="U1180" s="94"/>
      <c r="V1180" s="94"/>
      <c r="W1180" s="94"/>
      <c r="X1180" s="94"/>
      <c r="Y1180" s="94"/>
      <c r="Z1180" s="94"/>
      <c r="AA1180" s="94"/>
      <c r="AB1180" s="94"/>
      <c r="AC1180" s="94"/>
      <c r="AD1180" s="94"/>
      <c r="AE1180" s="94"/>
      <c r="AF1180" s="94"/>
      <c r="AG1180" s="94"/>
      <c r="AH1180" s="94"/>
      <c r="AI1180" s="94"/>
      <c r="AJ1180" s="94"/>
      <c r="AK1180" s="94"/>
      <c r="AL1180" s="94"/>
      <c r="AM1180" s="94"/>
      <c r="AN1180" s="94"/>
      <c r="AO1180" s="94"/>
      <c r="AP1180" s="94"/>
      <c r="AQ1180" s="94"/>
      <c r="AR1180" s="94"/>
      <c r="AS1180" s="94"/>
      <c r="AT1180" s="94"/>
      <c r="AU1180" s="94"/>
      <c r="AV1180" s="94"/>
      <c r="AW1180" s="94"/>
      <c r="AX1180" s="94"/>
      <c r="AY1180" s="94"/>
      <c r="BA1180" s="95"/>
    </row>
    <row r="1181" spans="1:53" s="87" customFormat="1">
      <c r="A1181" s="90" t="str">
        <f t="shared" si="66"/>
        <v/>
      </c>
      <c r="B1181" s="98">
        <v>12</v>
      </c>
      <c r="C1181" s="94">
        <v>-4</v>
      </c>
      <c r="D1181" s="94">
        <v>1</v>
      </c>
      <c r="E1181" s="94">
        <v>2</v>
      </c>
      <c r="F1181" s="94" t="s">
        <v>210</v>
      </c>
      <c r="G1181" s="94">
        <v>-3</v>
      </c>
      <c r="H1181" s="94">
        <v>4</v>
      </c>
      <c r="I1181" s="94">
        <v>-5</v>
      </c>
      <c r="J1181" s="94">
        <v>1</v>
      </c>
      <c r="K1181" s="94" t="s">
        <v>210</v>
      </c>
      <c r="L1181" s="94">
        <v>3</v>
      </c>
      <c r="M1181" s="94">
        <v>-2</v>
      </c>
      <c r="N1181" s="94">
        <v>5</v>
      </c>
      <c r="O1181" s="94" t="s">
        <v>210</v>
      </c>
      <c r="P1181" s="94">
        <v>-3</v>
      </c>
      <c r="Q1181" s="94">
        <v>-1</v>
      </c>
      <c r="R1181" s="94" t="s">
        <v>210</v>
      </c>
      <c r="S1181" s="94"/>
      <c r="T1181" s="94"/>
      <c r="U1181" s="94"/>
      <c r="V1181" s="94"/>
      <c r="W1181" s="94"/>
      <c r="X1181" s="94"/>
      <c r="Y1181" s="94"/>
      <c r="Z1181" s="94"/>
      <c r="AA1181" s="94"/>
      <c r="AB1181" s="94"/>
      <c r="AC1181" s="94"/>
      <c r="AD1181" s="94"/>
      <c r="AE1181" s="94"/>
      <c r="AF1181" s="94"/>
      <c r="AG1181" s="94"/>
      <c r="AH1181" s="94"/>
      <c r="AI1181" s="94"/>
      <c r="AJ1181" s="94"/>
      <c r="AK1181" s="94"/>
      <c r="AL1181" s="94"/>
      <c r="AM1181" s="94"/>
      <c r="AN1181" s="94"/>
      <c r="AO1181" s="94"/>
      <c r="AP1181" s="94"/>
      <c r="AQ1181" s="94"/>
      <c r="AR1181" s="94"/>
      <c r="AS1181" s="94"/>
      <c r="AT1181" s="94"/>
      <c r="AU1181" s="94"/>
      <c r="AV1181" s="94"/>
      <c r="AW1181" s="94"/>
      <c r="AX1181" s="94"/>
      <c r="AY1181" s="94"/>
      <c r="BA1181" s="95"/>
    </row>
    <row r="1182" spans="1:53" s="87" customFormat="1">
      <c r="A1182" s="90" t="str">
        <f t="shared" si="66"/>
        <v/>
      </c>
      <c r="B1182" s="98">
        <v>13</v>
      </c>
      <c r="C1182" s="94">
        <v>5</v>
      </c>
      <c r="D1182" s="94">
        <v>4</v>
      </c>
      <c r="E1182" s="94">
        <v>-3</v>
      </c>
      <c r="F1182" s="94">
        <v>-4</v>
      </c>
      <c r="G1182" s="94" t="s">
        <v>210</v>
      </c>
      <c r="H1182" s="94">
        <v>-1</v>
      </c>
      <c r="I1182" s="94">
        <v>3</v>
      </c>
      <c r="J1182" s="94">
        <v>-2</v>
      </c>
      <c r="K1182" s="94" t="s">
        <v>210</v>
      </c>
      <c r="L1182" s="94">
        <v>-5</v>
      </c>
      <c r="M1182" s="94">
        <v>-1</v>
      </c>
      <c r="N1182" s="94">
        <v>4</v>
      </c>
      <c r="O1182" s="94" t="s">
        <v>210</v>
      </c>
      <c r="P1182" s="94">
        <v>2</v>
      </c>
      <c r="Q1182" s="94">
        <v>1</v>
      </c>
      <c r="R1182" s="94" t="s">
        <v>210</v>
      </c>
      <c r="S1182" s="94"/>
      <c r="T1182" s="94"/>
      <c r="U1182" s="94"/>
      <c r="V1182" s="94"/>
      <c r="W1182" s="94"/>
      <c r="X1182" s="94"/>
      <c r="Y1182" s="94"/>
      <c r="Z1182" s="94"/>
      <c r="AA1182" s="94"/>
      <c r="AB1182" s="94"/>
      <c r="AC1182" s="94"/>
      <c r="AD1182" s="94"/>
      <c r="AE1182" s="94"/>
      <c r="AF1182" s="94"/>
      <c r="AG1182" s="94"/>
      <c r="AH1182" s="94"/>
      <c r="AI1182" s="94"/>
      <c r="AJ1182" s="94"/>
      <c r="AK1182" s="94"/>
      <c r="AL1182" s="94"/>
      <c r="AM1182" s="94"/>
      <c r="AN1182" s="94"/>
      <c r="AO1182" s="94"/>
      <c r="AP1182" s="94"/>
      <c r="AQ1182" s="94"/>
      <c r="AR1182" s="94"/>
      <c r="AS1182" s="94"/>
      <c r="AT1182" s="94"/>
      <c r="AU1182" s="94"/>
      <c r="AV1182" s="94"/>
      <c r="AW1182" s="94"/>
      <c r="AX1182" s="94"/>
      <c r="AY1182" s="94"/>
      <c r="BA1182" s="95"/>
    </row>
    <row r="1183" spans="1:53" s="87" customFormat="1">
      <c r="A1183" s="90" t="str">
        <f t="shared" si="66"/>
        <v/>
      </c>
      <c r="B1183" s="317" t="s">
        <v>1047</v>
      </c>
      <c r="C1183" s="94"/>
      <c r="D1183" s="94"/>
      <c r="E1183" s="94"/>
      <c r="F1183" s="94"/>
      <c r="G1183" s="94"/>
      <c r="H1183" s="94"/>
      <c r="I1183" s="94"/>
      <c r="J1183" s="94"/>
      <c r="K1183" s="94"/>
      <c r="L1183" s="94"/>
      <c r="M1183" s="94"/>
      <c r="N1183" s="94"/>
      <c r="O1183" s="94"/>
      <c r="P1183" s="94"/>
      <c r="Q1183" s="94"/>
      <c r="R1183" s="94"/>
      <c r="S1183" s="94"/>
      <c r="T1183" s="94"/>
      <c r="U1183" s="94"/>
      <c r="V1183" s="94"/>
      <c r="W1183" s="94"/>
      <c r="X1183" s="94"/>
      <c r="Y1183" s="94"/>
      <c r="Z1183" s="94"/>
      <c r="AA1183" s="94"/>
      <c r="AB1183" s="94"/>
      <c r="AC1183" s="94"/>
      <c r="AD1183" s="94"/>
      <c r="AE1183" s="94"/>
      <c r="AF1183" s="94"/>
      <c r="AG1183" s="94"/>
      <c r="AH1183" s="94"/>
      <c r="AI1183" s="94"/>
      <c r="AJ1183" s="94"/>
      <c r="AK1183" s="94"/>
      <c r="AL1183" s="94"/>
      <c r="AM1183" s="94"/>
      <c r="AN1183" s="94"/>
      <c r="AO1183" s="94"/>
      <c r="AP1183" s="94"/>
      <c r="AQ1183" s="94"/>
      <c r="AR1183" s="94"/>
      <c r="AS1183" s="94"/>
      <c r="AT1183" s="94"/>
      <c r="AU1183" s="94"/>
      <c r="AV1183" s="94"/>
      <c r="AW1183" s="94"/>
      <c r="AX1183" s="94"/>
      <c r="AY1183" s="94"/>
      <c r="BA1183" s="95"/>
    </row>
    <row r="1184" spans="1:53" s="87" customFormat="1">
      <c r="A1184" s="90">
        <f t="shared" si="66"/>
        <v>1184</v>
      </c>
      <c r="B1184" s="317" t="s">
        <v>1203</v>
      </c>
      <c r="C1184" s="94"/>
      <c r="D1184" s="94"/>
      <c r="E1184" s="94"/>
      <c r="F1184" s="94"/>
      <c r="G1184" s="94"/>
      <c r="H1184" s="94"/>
      <c r="I1184" s="94"/>
      <c r="J1184" s="94"/>
      <c r="K1184" s="94"/>
      <c r="L1184" s="94"/>
      <c r="M1184" s="94"/>
      <c r="N1184" s="94"/>
      <c r="O1184" s="94"/>
      <c r="P1184" s="94"/>
      <c r="Q1184" s="94"/>
      <c r="R1184" s="94"/>
      <c r="S1184" s="94"/>
      <c r="T1184" s="94"/>
      <c r="U1184" s="94"/>
      <c r="V1184" s="94"/>
      <c r="W1184" s="94"/>
      <c r="X1184" s="94"/>
      <c r="Y1184" s="94"/>
      <c r="Z1184" s="94"/>
      <c r="AA1184" s="94"/>
      <c r="AB1184" s="94"/>
      <c r="AC1184" s="94"/>
      <c r="AD1184" s="94"/>
      <c r="AE1184" s="94"/>
      <c r="AF1184" s="94"/>
      <c r="AG1184" s="94"/>
      <c r="AH1184" s="94"/>
      <c r="AI1184" s="94"/>
      <c r="AJ1184" s="94"/>
      <c r="AK1184" s="94"/>
      <c r="AL1184" s="94"/>
      <c r="AM1184" s="94"/>
      <c r="AN1184" s="94"/>
      <c r="AO1184" s="94"/>
      <c r="AP1184" s="94"/>
      <c r="AQ1184" s="94"/>
      <c r="AR1184" s="94"/>
      <c r="AS1184" s="94"/>
      <c r="AT1184" s="94"/>
      <c r="AU1184" s="94"/>
      <c r="AV1184" s="94"/>
      <c r="AW1184" s="94"/>
      <c r="AX1184" s="94"/>
      <c r="AY1184" s="94"/>
      <c r="BA1184" s="95"/>
    </row>
    <row r="1185" spans="1:53" s="87" customFormat="1">
      <c r="A1185" s="90" t="str">
        <f t="shared" si="66"/>
        <v/>
      </c>
      <c r="B1185" s="98">
        <v>1</v>
      </c>
      <c r="C1185" s="94" t="s">
        <v>210</v>
      </c>
      <c r="D1185" s="94">
        <v>5</v>
      </c>
      <c r="E1185" s="94" t="s">
        <v>210</v>
      </c>
      <c r="F1185" s="94">
        <v>-2</v>
      </c>
      <c r="G1185" s="94">
        <v>-3</v>
      </c>
      <c r="H1185" s="94" t="s">
        <v>210</v>
      </c>
      <c r="I1185" s="94">
        <v>1</v>
      </c>
      <c r="J1185" s="94">
        <v>4</v>
      </c>
      <c r="K1185" s="94"/>
      <c r="L1185" s="94"/>
      <c r="M1185" s="94"/>
      <c r="N1185" s="94"/>
      <c r="O1185" s="94"/>
      <c r="P1185" s="94"/>
      <c r="Q1185" s="94"/>
      <c r="R1185" s="94"/>
      <c r="S1185" s="94"/>
      <c r="T1185" s="94"/>
      <c r="U1185" s="94"/>
      <c r="V1185" s="94"/>
      <c r="W1185" s="94"/>
      <c r="X1185" s="94"/>
      <c r="Y1185" s="94"/>
      <c r="Z1185" s="94"/>
      <c r="AA1185" s="94"/>
      <c r="AB1185" s="94"/>
      <c r="AC1185" s="94"/>
      <c r="AD1185" s="94"/>
      <c r="AE1185" s="94"/>
      <c r="AF1185" s="94"/>
      <c r="AG1185" s="94"/>
      <c r="AH1185" s="94"/>
      <c r="AI1185" s="94"/>
      <c r="AJ1185" s="94"/>
      <c r="AK1185" s="94"/>
      <c r="AL1185" s="94"/>
      <c r="AM1185" s="94"/>
      <c r="AN1185" s="94"/>
      <c r="AO1185" s="94"/>
      <c r="AP1185" s="94"/>
      <c r="AQ1185" s="94"/>
      <c r="AR1185" s="94"/>
      <c r="AS1185" s="94"/>
      <c r="AT1185" s="94"/>
      <c r="AU1185" s="94"/>
      <c r="AV1185" s="94"/>
      <c r="AW1185" s="94"/>
      <c r="AX1185" s="94"/>
      <c r="AY1185" s="94"/>
      <c r="BA1185" s="95"/>
    </row>
    <row r="1186" spans="1:53" s="87" customFormat="1">
      <c r="A1186" s="90" t="str">
        <f t="shared" si="66"/>
        <v/>
      </c>
      <c r="B1186" s="98">
        <v>2</v>
      </c>
      <c r="C1186" s="94">
        <v>-1</v>
      </c>
      <c r="D1186" s="94">
        <v>3</v>
      </c>
      <c r="E1186" s="94" t="s">
        <v>210</v>
      </c>
      <c r="F1186" s="94">
        <v>-5</v>
      </c>
      <c r="G1186" s="94" t="s">
        <v>210</v>
      </c>
      <c r="H1186" s="94">
        <v>2</v>
      </c>
      <c r="I1186" s="94" t="s">
        <v>210</v>
      </c>
      <c r="J1186" s="94">
        <v>-4</v>
      </c>
      <c r="K1186" s="94"/>
      <c r="L1186" s="94"/>
      <c r="M1186" s="94"/>
      <c r="N1186" s="94"/>
      <c r="O1186" s="94"/>
      <c r="P1186" s="94"/>
      <c r="Q1186" s="94"/>
      <c r="R1186" s="94"/>
      <c r="S1186" s="94"/>
      <c r="T1186" s="94"/>
      <c r="U1186" s="94"/>
      <c r="V1186" s="94"/>
      <c r="W1186" s="94"/>
      <c r="X1186" s="94"/>
      <c r="Y1186" s="94"/>
      <c r="Z1186" s="94"/>
      <c r="AA1186" s="94"/>
      <c r="AB1186" s="94"/>
      <c r="AC1186" s="94"/>
      <c r="AD1186" s="94"/>
      <c r="AE1186" s="94"/>
      <c r="AF1186" s="94"/>
      <c r="AG1186" s="94"/>
      <c r="AH1186" s="94"/>
      <c r="AI1186" s="94"/>
      <c r="AJ1186" s="94"/>
      <c r="AK1186" s="94"/>
      <c r="AL1186" s="94"/>
      <c r="AM1186" s="94"/>
      <c r="AN1186" s="94"/>
      <c r="AO1186" s="94"/>
      <c r="AP1186" s="94"/>
      <c r="AQ1186" s="94"/>
      <c r="AR1186" s="94"/>
      <c r="AS1186" s="94"/>
      <c r="AT1186" s="94"/>
      <c r="AU1186" s="94"/>
      <c r="AV1186" s="94"/>
      <c r="AW1186" s="94"/>
      <c r="AX1186" s="94"/>
      <c r="AY1186" s="94"/>
      <c r="BA1186" s="95"/>
    </row>
    <row r="1187" spans="1:53" s="87" customFormat="1">
      <c r="A1187" s="90" t="str">
        <f t="shared" si="66"/>
        <v/>
      </c>
      <c r="B1187" s="98">
        <v>3</v>
      </c>
      <c r="C1187" s="94" t="s">
        <v>210</v>
      </c>
      <c r="D1187" s="94">
        <v>-2</v>
      </c>
      <c r="E1187" s="94">
        <v>4</v>
      </c>
      <c r="F1187" s="94">
        <v>5</v>
      </c>
      <c r="G1187" s="94" t="s">
        <v>210</v>
      </c>
      <c r="H1187" s="94" t="s">
        <v>210</v>
      </c>
      <c r="I1187" s="94">
        <v>-1</v>
      </c>
      <c r="J1187" s="94">
        <v>3</v>
      </c>
      <c r="K1187" s="94"/>
      <c r="L1187" s="94"/>
      <c r="M1187" s="94"/>
      <c r="N1187" s="94"/>
      <c r="O1187" s="94"/>
      <c r="P1187" s="94"/>
      <c r="Q1187" s="94"/>
      <c r="R1187" s="94"/>
      <c r="S1187" s="94"/>
      <c r="T1187" s="94"/>
      <c r="U1187" s="94"/>
      <c r="V1187" s="94"/>
      <c r="W1187" s="94"/>
      <c r="X1187" s="94"/>
      <c r="Y1187" s="94"/>
      <c r="Z1187" s="94"/>
      <c r="AA1187" s="94"/>
      <c r="AB1187" s="94"/>
      <c r="AC1187" s="94"/>
      <c r="AD1187" s="94"/>
      <c r="AE1187" s="94"/>
      <c r="AF1187" s="94"/>
      <c r="AG1187" s="94"/>
      <c r="AH1187" s="94"/>
      <c r="AI1187" s="94"/>
      <c r="AJ1187" s="94"/>
      <c r="AK1187" s="94"/>
      <c r="AL1187" s="94"/>
      <c r="AM1187" s="94"/>
      <c r="AN1187" s="94"/>
      <c r="AO1187" s="94"/>
      <c r="AP1187" s="94"/>
      <c r="AQ1187" s="94"/>
      <c r="AR1187" s="94"/>
      <c r="AS1187" s="94"/>
      <c r="AT1187" s="94"/>
      <c r="AU1187" s="94"/>
      <c r="AV1187" s="94"/>
      <c r="AW1187" s="94"/>
      <c r="AX1187" s="94"/>
      <c r="AY1187" s="94"/>
      <c r="BA1187" s="95"/>
    </row>
    <row r="1188" spans="1:53" s="87" customFormat="1">
      <c r="A1188" s="90" t="str">
        <f t="shared" si="66"/>
        <v/>
      </c>
      <c r="B1188" s="98">
        <v>4</v>
      </c>
      <c r="C1188" s="94">
        <v>1</v>
      </c>
      <c r="D1188" s="94">
        <v>-5</v>
      </c>
      <c r="E1188" s="94" t="s">
        <v>210</v>
      </c>
      <c r="F1188" s="94">
        <v>4</v>
      </c>
      <c r="G1188" s="94" t="s">
        <v>210</v>
      </c>
      <c r="H1188" s="94">
        <v>5</v>
      </c>
      <c r="I1188" s="94" t="s">
        <v>210</v>
      </c>
      <c r="J1188" s="94">
        <v>-3</v>
      </c>
      <c r="K1188" s="94"/>
      <c r="L1188" s="94"/>
      <c r="M1188" s="94"/>
      <c r="N1188" s="94"/>
      <c r="O1188" s="94"/>
      <c r="P1188" s="94"/>
      <c r="Q1188" s="94"/>
      <c r="R1188" s="94"/>
      <c r="S1188" s="94"/>
      <c r="T1188" s="94"/>
      <c r="U1188" s="94"/>
      <c r="V1188" s="94"/>
      <c r="W1188" s="94"/>
      <c r="X1188" s="94"/>
      <c r="Y1188" s="94"/>
      <c r="Z1188" s="94"/>
      <c r="AA1188" s="94"/>
      <c r="AB1188" s="94"/>
      <c r="AC1188" s="94"/>
      <c r="AD1188" s="94"/>
      <c r="AE1188" s="94"/>
      <c r="AF1188" s="94"/>
      <c r="AG1188" s="94"/>
      <c r="AH1188" s="94"/>
      <c r="AI1188" s="94"/>
      <c r="AJ1188" s="94"/>
      <c r="AK1188" s="94"/>
      <c r="AL1188" s="94"/>
      <c r="AM1188" s="94"/>
      <c r="AN1188" s="94"/>
      <c r="AO1188" s="94"/>
      <c r="AP1188" s="94"/>
      <c r="AQ1188" s="94"/>
      <c r="AR1188" s="94"/>
      <c r="AS1188" s="94"/>
      <c r="AT1188" s="94"/>
      <c r="AU1188" s="94"/>
      <c r="AV1188" s="94"/>
      <c r="AW1188" s="94"/>
      <c r="AX1188" s="94"/>
      <c r="AY1188" s="94"/>
      <c r="BA1188" s="95"/>
    </row>
    <row r="1189" spans="1:53" s="87" customFormat="1">
      <c r="A1189" s="90" t="str">
        <f t="shared" si="66"/>
        <v/>
      </c>
      <c r="B1189" s="98">
        <v>5</v>
      </c>
      <c r="C1189" s="94" t="s">
        <v>210</v>
      </c>
      <c r="D1189" s="94">
        <v>-3</v>
      </c>
      <c r="E1189" s="94">
        <v>-4</v>
      </c>
      <c r="F1189" s="94">
        <v>2</v>
      </c>
      <c r="G1189" s="94" t="s">
        <v>210</v>
      </c>
      <c r="H1189" s="94">
        <v>-5</v>
      </c>
      <c r="I1189" s="94" t="s">
        <v>210</v>
      </c>
      <c r="J1189" s="94">
        <v>1</v>
      </c>
      <c r="K1189" s="94"/>
      <c r="L1189" s="94"/>
      <c r="M1189" s="94"/>
      <c r="N1189" s="94"/>
      <c r="O1189" s="94"/>
      <c r="P1189" s="94"/>
      <c r="Q1189" s="94"/>
      <c r="R1189" s="94"/>
      <c r="S1189" s="94"/>
      <c r="T1189" s="94"/>
      <c r="U1189" s="94"/>
      <c r="V1189" s="94"/>
      <c r="W1189" s="94"/>
      <c r="X1189" s="94"/>
      <c r="Y1189" s="94"/>
      <c r="Z1189" s="94"/>
      <c r="AA1189" s="94"/>
      <c r="AB1189" s="94"/>
      <c r="AC1189" s="94"/>
      <c r="AD1189" s="94"/>
      <c r="AE1189" s="94"/>
      <c r="AF1189" s="94"/>
      <c r="AG1189" s="94"/>
      <c r="AH1189" s="94"/>
      <c r="AI1189" s="94"/>
      <c r="AJ1189" s="94"/>
      <c r="AK1189" s="94"/>
      <c r="AL1189" s="94"/>
      <c r="AM1189" s="94"/>
      <c r="AN1189" s="94"/>
      <c r="AO1189" s="94"/>
      <c r="AP1189" s="94"/>
      <c r="AQ1189" s="94"/>
      <c r="AR1189" s="94"/>
      <c r="AS1189" s="94"/>
      <c r="AT1189" s="94"/>
      <c r="AU1189" s="94"/>
      <c r="AV1189" s="94"/>
      <c r="AW1189" s="94"/>
      <c r="AX1189" s="94"/>
      <c r="AY1189" s="94"/>
      <c r="BA1189" s="95"/>
    </row>
    <row r="1190" spans="1:53" s="87" customFormat="1">
      <c r="A1190" s="90" t="str">
        <f t="shared" si="66"/>
        <v/>
      </c>
      <c r="B1190" s="99">
        <v>6</v>
      </c>
      <c r="C1190" s="92" t="s">
        <v>210</v>
      </c>
      <c r="D1190" s="92">
        <v>2</v>
      </c>
      <c r="E1190" s="92" t="s">
        <v>210</v>
      </c>
      <c r="F1190" s="92">
        <v>-4</v>
      </c>
      <c r="G1190" s="92">
        <v>3</v>
      </c>
      <c r="H1190" s="92">
        <v>-2</v>
      </c>
      <c r="I1190" s="92" t="s">
        <v>210</v>
      </c>
      <c r="J1190" s="92">
        <v>-1</v>
      </c>
      <c r="K1190" s="94"/>
      <c r="L1190" s="94"/>
      <c r="M1190" s="94"/>
      <c r="N1190" s="94"/>
      <c r="O1190" s="94"/>
      <c r="P1190" s="94"/>
      <c r="Q1190" s="94"/>
      <c r="R1190" s="94"/>
      <c r="S1190" s="94"/>
      <c r="T1190" s="94"/>
      <c r="U1190" s="94"/>
      <c r="V1190" s="94"/>
      <c r="W1190" s="94"/>
      <c r="X1190" s="94"/>
      <c r="Y1190" s="94"/>
      <c r="Z1190" s="94"/>
      <c r="AA1190" s="94"/>
      <c r="AB1190" s="94"/>
      <c r="AC1190" s="94"/>
      <c r="AD1190" s="94"/>
      <c r="AE1190" s="94"/>
      <c r="AF1190" s="94"/>
      <c r="AG1190" s="94"/>
      <c r="AH1190" s="94"/>
      <c r="AI1190" s="94"/>
      <c r="AJ1190" s="94"/>
      <c r="AK1190" s="94"/>
      <c r="AL1190" s="94"/>
      <c r="AM1190" s="94"/>
      <c r="AN1190" s="94"/>
      <c r="AO1190" s="94"/>
      <c r="AP1190" s="94"/>
      <c r="AQ1190" s="94"/>
      <c r="AR1190" s="94"/>
      <c r="AS1190" s="94"/>
      <c r="AT1190" s="94"/>
      <c r="AU1190" s="94"/>
      <c r="AV1190" s="94"/>
      <c r="AW1190" s="94"/>
      <c r="AX1190" s="94"/>
      <c r="AY1190" s="94"/>
      <c r="BA1190" s="95"/>
    </row>
    <row r="1191" spans="1:53" s="87" customFormat="1">
      <c r="A1191" s="90" t="str">
        <f t="shared" si="66"/>
        <v/>
      </c>
      <c r="B1191" s="98">
        <v>7</v>
      </c>
      <c r="C1191" s="94" t="s">
        <v>210</v>
      </c>
      <c r="D1191" s="94">
        <v>1</v>
      </c>
      <c r="E1191" s="94">
        <v>-5</v>
      </c>
      <c r="F1191" s="94" t="s">
        <v>210</v>
      </c>
      <c r="G1191" s="94">
        <v>-4</v>
      </c>
      <c r="H1191" s="94" t="s">
        <v>210</v>
      </c>
      <c r="I1191" s="94">
        <v>3</v>
      </c>
      <c r="J1191" s="94">
        <v>2</v>
      </c>
      <c r="K1191" s="94"/>
      <c r="L1191" s="94"/>
      <c r="M1191" s="94"/>
      <c r="N1191" s="94"/>
      <c r="O1191" s="94"/>
      <c r="P1191" s="94"/>
      <c r="Q1191" s="94"/>
      <c r="R1191" s="94"/>
      <c r="S1191" s="94"/>
      <c r="T1191" s="94"/>
      <c r="U1191" s="94"/>
      <c r="V1191" s="94"/>
      <c r="W1191" s="94"/>
      <c r="X1191" s="94"/>
      <c r="Y1191" s="94"/>
      <c r="Z1191" s="94"/>
      <c r="AA1191" s="94"/>
      <c r="AB1191" s="94"/>
      <c r="AC1191" s="94"/>
      <c r="AD1191" s="94"/>
      <c r="AE1191" s="94"/>
      <c r="AF1191" s="94"/>
      <c r="AG1191" s="94"/>
      <c r="AH1191" s="94"/>
      <c r="AI1191" s="94"/>
      <c r="AJ1191" s="94"/>
      <c r="AK1191" s="94"/>
      <c r="AL1191" s="94"/>
      <c r="AM1191" s="94"/>
      <c r="AN1191" s="94"/>
      <c r="AO1191" s="94"/>
      <c r="AP1191" s="94"/>
      <c r="AQ1191" s="94"/>
      <c r="AR1191" s="94"/>
      <c r="AS1191" s="94"/>
      <c r="AT1191" s="94"/>
      <c r="AU1191" s="94"/>
      <c r="AV1191" s="94"/>
      <c r="AW1191" s="94"/>
      <c r="AX1191" s="94"/>
      <c r="AY1191" s="94"/>
      <c r="BA1191" s="95"/>
    </row>
    <row r="1192" spans="1:53" s="87" customFormat="1">
      <c r="A1192" s="90" t="str">
        <f t="shared" si="66"/>
        <v/>
      </c>
      <c r="B1192" s="98">
        <v>8</v>
      </c>
      <c r="C1192" s="94">
        <v>-4</v>
      </c>
      <c r="D1192" s="94" t="s">
        <v>210</v>
      </c>
      <c r="E1192" s="94">
        <v>-1</v>
      </c>
      <c r="F1192" s="94" t="s">
        <v>210</v>
      </c>
      <c r="G1192" s="94">
        <v>5</v>
      </c>
      <c r="H1192" s="94" t="s">
        <v>210</v>
      </c>
      <c r="I1192" s="94">
        <v>4</v>
      </c>
      <c r="J1192" s="94">
        <v>-2</v>
      </c>
      <c r="K1192" s="94"/>
      <c r="L1192" s="94"/>
      <c r="M1192" s="94"/>
      <c r="N1192" s="94"/>
      <c r="O1192" s="94"/>
      <c r="P1192" s="94"/>
      <c r="Q1192" s="94"/>
      <c r="R1192" s="94"/>
      <c r="S1192" s="94"/>
      <c r="T1192" s="94"/>
      <c r="U1192" s="94"/>
      <c r="V1192" s="94"/>
      <c r="W1192" s="94"/>
      <c r="X1192" s="94"/>
      <c r="Y1192" s="94"/>
      <c r="Z1192" s="94"/>
      <c r="AA1192" s="94"/>
      <c r="AB1192" s="94"/>
      <c r="AC1192" s="94"/>
      <c r="AD1192" s="94"/>
      <c r="AE1192" s="94"/>
      <c r="AF1192" s="94"/>
      <c r="AG1192" s="94"/>
      <c r="AH1192" s="94"/>
      <c r="AI1192" s="94"/>
      <c r="AJ1192" s="94"/>
      <c r="AK1192" s="94"/>
      <c r="AL1192" s="94"/>
      <c r="AM1192" s="94"/>
      <c r="AN1192" s="94"/>
      <c r="AO1192" s="94"/>
      <c r="AP1192" s="94"/>
      <c r="AQ1192" s="94"/>
      <c r="AR1192" s="94"/>
      <c r="AS1192" s="94"/>
      <c r="AT1192" s="94"/>
      <c r="AU1192" s="94"/>
      <c r="AV1192" s="94"/>
      <c r="AW1192" s="94"/>
      <c r="AX1192" s="94"/>
      <c r="AY1192" s="94"/>
      <c r="BA1192" s="95"/>
    </row>
    <row r="1193" spans="1:53" s="87" customFormat="1">
      <c r="A1193" s="90" t="str">
        <f t="shared" si="66"/>
        <v/>
      </c>
      <c r="B1193" s="98">
        <v>9</v>
      </c>
      <c r="C1193" s="94" t="s">
        <v>210</v>
      </c>
      <c r="D1193" s="94">
        <v>-1</v>
      </c>
      <c r="E1193" s="94">
        <v>2</v>
      </c>
      <c r="F1193" s="94">
        <v>3</v>
      </c>
      <c r="G1193" s="94" t="s">
        <v>210</v>
      </c>
      <c r="H1193" s="94" t="s">
        <v>210</v>
      </c>
      <c r="I1193" s="94">
        <v>-4</v>
      </c>
      <c r="J1193" s="94">
        <v>-5</v>
      </c>
      <c r="K1193" s="94"/>
      <c r="L1193" s="94"/>
      <c r="M1193" s="94"/>
      <c r="N1193" s="94"/>
      <c r="O1193" s="94"/>
      <c r="P1193" s="94"/>
      <c r="Q1193" s="94"/>
      <c r="R1193" s="94"/>
      <c r="S1193" s="94"/>
      <c r="T1193" s="94"/>
      <c r="U1193" s="94"/>
      <c r="V1193" s="94"/>
      <c r="W1193" s="94"/>
      <c r="X1193" s="94"/>
      <c r="Y1193" s="94"/>
      <c r="Z1193" s="94"/>
      <c r="AA1193" s="94"/>
      <c r="AB1193" s="94"/>
      <c r="AC1193" s="94"/>
      <c r="AD1193" s="94"/>
      <c r="AE1193" s="94"/>
      <c r="AF1193" s="94"/>
      <c r="AG1193" s="94"/>
      <c r="AH1193" s="94"/>
      <c r="AI1193" s="94"/>
      <c r="AJ1193" s="94"/>
      <c r="AK1193" s="94"/>
      <c r="AL1193" s="94"/>
      <c r="AM1193" s="94"/>
      <c r="AN1193" s="94"/>
      <c r="AO1193" s="94"/>
      <c r="AP1193" s="94"/>
      <c r="AQ1193" s="94"/>
      <c r="AR1193" s="94"/>
      <c r="AS1193" s="94"/>
      <c r="AT1193" s="94"/>
      <c r="AU1193" s="94"/>
      <c r="AV1193" s="94"/>
      <c r="AW1193" s="94"/>
      <c r="AX1193" s="94"/>
      <c r="AY1193" s="94"/>
      <c r="BA1193" s="95"/>
    </row>
    <row r="1194" spans="1:53" s="87" customFormat="1">
      <c r="A1194" s="90" t="str">
        <f t="shared" si="66"/>
        <v/>
      </c>
      <c r="B1194" s="98">
        <v>10</v>
      </c>
      <c r="C1194" s="94">
        <v>-3</v>
      </c>
      <c r="D1194" s="94" t="s">
        <v>210</v>
      </c>
      <c r="E1194" s="94">
        <v>1</v>
      </c>
      <c r="F1194" s="94" t="s">
        <v>210</v>
      </c>
      <c r="G1194" s="94">
        <v>4</v>
      </c>
      <c r="H1194" s="94" t="s">
        <v>210</v>
      </c>
      <c r="I1194" s="94">
        <v>-2</v>
      </c>
      <c r="J1194" s="94">
        <v>5</v>
      </c>
      <c r="K1194" s="94"/>
      <c r="L1194" s="94"/>
      <c r="M1194" s="94"/>
      <c r="N1194" s="94"/>
      <c r="O1194" s="94"/>
      <c r="P1194" s="94"/>
      <c r="Q1194" s="94"/>
      <c r="R1194" s="94"/>
      <c r="S1194" s="94"/>
      <c r="T1194" s="94"/>
      <c r="U1194" s="94"/>
      <c r="V1194" s="94"/>
      <c r="W1194" s="94"/>
      <c r="X1194" s="94"/>
      <c r="Y1194" s="94"/>
      <c r="Z1194" s="94"/>
      <c r="AA1194" s="94"/>
      <c r="AB1194" s="94"/>
      <c r="AC1194" s="94"/>
      <c r="AD1194" s="94"/>
      <c r="AE1194" s="94"/>
      <c r="AF1194" s="94"/>
      <c r="AG1194" s="94"/>
      <c r="AH1194" s="94"/>
      <c r="AI1194" s="94"/>
      <c r="AJ1194" s="94"/>
      <c r="AK1194" s="94"/>
      <c r="AL1194" s="94"/>
      <c r="AM1194" s="94"/>
      <c r="AN1194" s="94"/>
      <c r="AO1194" s="94"/>
      <c r="AP1194" s="94"/>
      <c r="AQ1194" s="94"/>
      <c r="AR1194" s="94"/>
      <c r="AS1194" s="94"/>
      <c r="AT1194" s="94"/>
      <c r="AU1194" s="94"/>
      <c r="AV1194" s="94"/>
      <c r="AW1194" s="94"/>
      <c r="AX1194" s="94"/>
      <c r="AY1194" s="94"/>
      <c r="BA1194" s="95"/>
    </row>
    <row r="1195" spans="1:53" s="87" customFormat="1">
      <c r="A1195" s="90" t="str">
        <f t="shared" si="66"/>
        <v/>
      </c>
      <c r="B1195" s="98">
        <v>11</v>
      </c>
      <c r="C1195" s="94">
        <v>3</v>
      </c>
      <c r="D1195" s="94" t="s">
        <v>210</v>
      </c>
      <c r="E1195" s="94">
        <v>-2</v>
      </c>
      <c r="F1195" s="94" t="s">
        <v>210</v>
      </c>
      <c r="G1195" s="94">
        <v>-5</v>
      </c>
      <c r="H1195" s="94">
        <v>1</v>
      </c>
      <c r="I1195" s="94">
        <v>-3</v>
      </c>
      <c r="J1195" s="94" t="s">
        <v>210</v>
      </c>
      <c r="K1195" s="94"/>
      <c r="L1195" s="94"/>
      <c r="M1195" s="94"/>
      <c r="N1195" s="94"/>
      <c r="O1195" s="94"/>
      <c r="P1195" s="94"/>
      <c r="Q1195" s="94"/>
      <c r="R1195" s="94"/>
      <c r="S1195" s="94"/>
      <c r="T1195" s="94"/>
      <c r="U1195" s="94"/>
      <c r="V1195" s="94"/>
      <c r="W1195" s="94"/>
      <c r="X1195" s="94"/>
      <c r="Y1195" s="94"/>
      <c r="Z1195" s="94"/>
      <c r="AA1195" s="94"/>
      <c r="AB1195" s="94"/>
      <c r="AC1195" s="94"/>
      <c r="AD1195" s="94"/>
      <c r="AE1195" s="94"/>
      <c r="AF1195" s="94"/>
      <c r="AG1195" s="94"/>
      <c r="AH1195" s="94"/>
      <c r="AI1195" s="94"/>
      <c r="AJ1195" s="94"/>
      <c r="AK1195" s="94"/>
      <c r="AL1195" s="94"/>
      <c r="AM1195" s="94"/>
      <c r="AN1195" s="94"/>
      <c r="AO1195" s="94"/>
      <c r="AP1195" s="94"/>
      <c r="AQ1195" s="94"/>
      <c r="AR1195" s="94"/>
      <c r="AS1195" s="94"/>
      <c r="AT1195" s="94"/>
      <c r="AU1195" s="94"/>
      <c r="AV1195" s="94"/>
      <c r="AW1195" s="94"/>
      <c r="AX1195" s="94"/>
      <c r="AY1195" s="94"/>
      <c r="BA1195" s="95"/>
    </row>
    <row r="1196" spans="1:53" s="87" customFormat="1">
      <c r="A1196" s="90" t="str">
        <f t="shared" si="66"/>
        <v/>
      </c>
      <c r="B1196" s="99">
        <v>12</v>
      </c>
      <c r="C1196" s="92">
        <v>4</v>
      </c>
      <c r="D1196" s="92" t="s">
        <v>210</v>
      </c>
      <c r="E1196" s="92">
        <v>5</v>
      </c>
      <c r="F1196" s="92">
        <v>-3</v>
      </c>
      <c r="G1196" s="92" t="s">
        <v>210</v>
      </c>
      <c r="H1196" s="92">
        <v>-1</v>
      </c>
      <c r="I1196" s="92">
        <v>2</v>
      </c>
      <c r="J1196" s="92" t="s">
        <v>210</v>
      </c>
      <c r="K1196" s="94"/>
      <c r="L1196" s="94"/>
      <c r="M1196" s="94"/>
      <c r="N1196" s="94"/>
      <c r="O1196" s="94"/>
      <c r="P1196" s="94"/>
      <c r="Q1196" s="94"/>
      <c r="R1196" s="94"/>
      <c r="S1196" s="94"/>
      <c r="T1196" s="94"/>
      <c r="U1196" s="94"/>
      <c r="V1196" s="94"/>
      <c r="W1196" s="94"/>
      <c r="X1196" s="94"/>
      <c r="Y1196" s="94"/>
      <c r="Z1196" s="94"/>
      <c r="AA1196" s="94"/>
      <c r="AB1196" s="94"/>
      <c r="AC1196" s="94"/>
      <c r="AD1196" s="94"/>
      <c r="AE1196" s="94"/>
      <c r="AF1196" s="94"/>
      <c r="AG1196" s="94"/>
      <c r="AH1196" s="94"/>
      <c r="AI1196" s="94"/>
      <c r="AJ1196" s="94"/>
      <c r="AK1196" s="94"/>
      <c r="AL1196" s="94"/>
      <c r="AM1196" s="94"/>
      <c r="AN1196" s="94"/>
      <c r="AO1196" s="94"/>
      <c r="AP1196" s="94"/>
      <c r="AQ1196" s="94"/>
      <c r="AR1196" s="94"/>
      <c r="AS1196" s="94"/>
      <c r="AT1196" s="94"/>
      <c r="AU1196" s="94"/>
      <c r="AV1196" s="94"/>
      <c r="AW1196" s="94"/>
      <c r="AX1196" s="94"/>
      <c r="AY1196" s="94"/>
      <c r="BA1196" s="95"/>
    </row>
    <row r="1197" spans="1:53" s="87" customFormat="1">
      <c r="A1197" s="90" t="str">
        <f t="shared" si="66"/>
        <v/>
      </c>
      <c r="B1197" s="98">
        <v>13</v>
      </c>
      <c r="C1197" s="94" t="s">
        <v>210</v>
      </c>
      <c r="D1197" s="94">
        <v>4</v>
      </c>
      <c r="E1197" s="94">
        <v>3</v>
      </c>
      <c r="F1197" s="94" t="s">
        <v>210</v>
      </c>
      <c r="G1197" s="94">
        <v>-2</v>
      </c>
      <c r="H1197" s="94" t="s">
        <v>210</v>
      </c>
      <c r="I1197" s="94">
        <v>-5</v>
      </c>
      <c r="J1197" s="94" t="s">
        <v>210</v>
      </c>
      <c r="K1197" s="94"/>
      <c r="L1197" s="94"/>
      <c r="M1197" s="94"/>
      <c r="N1197" s="94"/>
      <c r="O1197" s="94"/>
      <c r="P1197" s="94"/>
      <c r="Q1197" s="94"/>
      <c r="R1197" s="94"/>
      <c r="S1197" s="94"/>
      <c r="T1197" s="94"/>
      <c r="U1197" s="94"/>
      <c r="V1197" s="94"/>
      <c r="W1197" s="94"/>
      <c r="X1197" s="94"/>
      <c r="Y1197" s="94"/>
      <c r="Z1197" s="94"/>
      <c r="AA1197" s="94"/>
      <c r="AB1197" s="94"/>
      <c r="AC1197" s="94"/>
      <c r="AD1197" s="94"/>
      <c r="AE1197" s="94"/>
      <c r="AF1197" s="94"/>
      <c r="AG1197" s="94"/>
      <c r="AH1197" s="94"/>
      <c r="AI1197" s="94"/>
      <c r="AJ1197" s="94"/>
      <c r="AK1197" s="94"/>
      <c r="AL1197" s="94"/>
      <c r="AM1197" s="94"/>
      <c r="AN1197" s="94"/>
      <c r="AO1197" s="94"/>
      <c r="AP1197" s="94"/>
      <c r="AQ1197" s="94"/>
      <c r="AR1197" s="94"/>
      <c r="AS1197" s="94"/>
      <c r="AT1197" s="94"/>
      <c r="AU1197" s="94"/>
      <c r="AV1197" s="94"/>
      <c r="AW1197" s="94"/>
      <c r="AX1197" s="94"/>
      <c r="AY1197" s="94"/>
      <c r="BA1197" s="95"/>
    </row>
    <row r="1198" spans="1:53" s="87" customFormat="1">
      <c r="A1198" s="90" t="str">
        <f t="shared" si="66"/>
        <v/>
      </c>
      <c r="B1198" s="98">
        <v>14</v>
      </c>
      <c r="C1198" s="94">
        <v>-2</v>
      </c>
      <c r="D1198" s="94" t="s">
        <v>210</v>
      </c>
      <c r="E1198" s="94" t="s">
        <v>210</v>
      </c>
      <c r="F1198" s="94">
        <v>-1</v>
      </c>
      <c r="G1198" s="94" t="s">
        <v>210</v>
      </c>
      <c r="H1198" s="94">
        <v>4</v>
      </c>
      <c r="I1198" s="94">
        <v>5</v>
      </c>
      <c r="J1198" s="94" t="s">
        <v>210</v>
      </c>
      <c r="K1198" s="94"/>
      <c r="L1198" s="94"/>
      <c r="M1198" s="94"/>
      <c r="N1198" s="94"/>
      <c r="O1198" s="94"/>
      <c r="P1198" s="94"/>
      <c r="Q1198" s="94"/>
      <c r="R1198" s="94"/>
      <c r="S1198" s="94"/>
      <c r="T1198" s="94"/>
      <c r="U1198" s="94"/>
      <c r="V1198" s="94"/>
      <c r="W1198" s="94"/>
      <c r="X1198" s="94"/>
      <c r="Y1198" s="94"/>
      <c r="Z1198" s="94"/>
      <c r="AA1198" s="94"/>
      <c r="AB1198" s="94"/>
      <c r="AC1198" s="94"/>
      <c r="AD1198" s="94"/>
      <c r="AE1198" s="94"/>
      <c r="AF1198" s="94"/>
      <c r="AG1198" s="94"/>
      <c r="AH1198" s="94"/>
      <c r="AI1198" s="94"/>
      <c r="AJ1198" s="94"/>
      <c r="AK1198" s="94"/>
      <c r="AL1198" s="94"/>
      <c r="AM1198" s="94"/>
      <c r="AN1198" s="94"/>
      <c r="AO1198" s="94"/>
      <c r="AP1198" s="94"/>
      <c r="AQ1198" s="94"/>
      <c r="AR1198" s="94"/>
      <c r="AS1198" s="94"/>
      <c r="AT1198" s="94"/>
      <c r="AU1198" s="94"/>
      <c r="AV1198" s="94"/>
      <c r="AW1198" s="94"/>
      <c r="AX1198" s="94"/>
      <c r="AY1198" s="94"/>
      <c r="BA1198" s="95"/>
    </row>
    <row r="1199" spans="1:53" s="87" customFormat="1">
      <c r="A1199" s="90" t="str">
        <f t="shared" si="66"/>
        <v/>
      </c>
      <c r="B1199" s="98">
        <v>15</v>
      </c>
      <c r="C1199" s="94">
        <v>5</v>
      </c>
      <c r="D1199" s="94" t="s">
        <v>210</v>
      </c>
      <c r="E1199" s="94">
        <v>-3</v>
      </c>
      <c r="F1199" s="94" t="s">
        <v>210</v>
      </c>
      <c r="G1199" s="94">
        <v>1</v>
      </c>
      <c r="H1199" s="94">
        <v>-4</v>
      </c>
      <c r="I1199" s="94" t="s">
        <v>210</v>
      </c>
      <c r="J1199" s="94" t="s">
        <v>210</v>
      </c>
      <c r="K1199" s="94"/>
      <c r="L1199" s="94"/>
      <c r="M1199" s="94"/>
      <c r="N1199" s="94"/>
      <c r="O1199" s="94"/>
      <c r="P1199" s="94"/>
      <c r="Q1199" s="94"/>
      <c r="R1199" s="94"/>
      <c r="S1199" s="94"/>
      <c r="T1199" s="94"/>
      <c r="U1199" s="94"/>
      <c r="V1199" s="94"/>
      <c r="W1199" s="94"/>
      <c r="X1199" s="94"/>
      <c r="Y1199" s="94"/>
      <c r="Z1199" s="94"/>
      <c r="AA1199" s="94"/>
      <c r="AB1199" s="94"/>
      <c r="AC1199" s="94"/>
      <c r="AD1199" s="94"/>
      <c r="AE1199" s="94"/>
      <c r="AF1199" s="94"/>
      <c r="AG1199" s="94"/>
      <c r="AH1199" s="94"/>
      <c r="AI1199" s="94"/>
      <c r="AJ1199" s="94"/>
      <c r="AK1199" s="94"/>
      <c r="AL1199" s="94"/>
      <c r="AM1199" s="94"/>
      <c r="AN1199" s="94"/>
      <c r="AO1199" s="94"/>
      <c r="AP1199" s="94"/>
      <c r="AQ1199" s="94"/>
      <c r="AR1199" s="94"/>
      <c r="AS1199" s="94"/>
      <c r="AT1199" s="94"/>
      <c r="AU1199" s="94"/>
      <c r="AV1199" s="94"/>
      <c r="AW1199" s="94"/>
      <c r="AX1199" s="94"/>
      <c r="AY1199" s="94"/>
      <c r="BA1199" s="95"/>
    </row>
    <row r="1200" spans="1:53" s="87" customFormat="1">
      <c r="A1200" s="90" t="str">
        <f t="shared" si="66"/>
        <v/>
      </c>
      <c r="B1200" s="98">
        <v>16</v>
      </c>
      <c r="C1200" s="94">
        <v>2</v>
      </c>
      <c r="D1200" s="94">
        <v>-4</v>
      </c>
      <c r="E1200" s="94" t="s">
        <v>210</v>
      </c>
      <c r="F1200" s="94" t="s">
        <v>210</v>
      </c>
      <c r="G1200" s="94">
        <v>-1</v>
      </c>
      <c r="H1200" s="94">
        <v>3</v>
      </c>
      <c r="I1200" s="94" t="s">
        <v>210</v>
      </c>
      <c r="J1200" s="94" t="s">
        <v>210</v>
      </c>
      <c r="K1200" s="94"/>
      <c r="L1200" s="94"/>
      <c r="M1200" s="94"/>
      <c r="N1200" s="94"/>
      <c r="O1200" s="94"/>
      <c r="P1200" s="94"/>
      <c r="Q1200" s="94"/>
      <c r="R1200" s="94"/>
      <c r="S1200" s="94"/>
      <c r="T1200" s="94"/>
      <c r="U1200" s="94"/>
      <c r="V1200" s="94"/>
      <c r="W1200" s="94"/>
      <c r="X1200" s="94"/>
      <c r="Y1200" s="94"/>
      <c r="Z1200" s="94"/>
      <c r="AA1200" s="94"/>
      <c r="AB1200" s="94"/>
      <c r="AC1200" s="94"/>
      <c r="AD1200" s="94"/>
      <c r="AE1200" s="94"/>
      <c r="AF1200" s="94"/>
      <c r="AG1200" s="94"/>
      <c r="AH1200" s="94"/>
      <c r="AI1200" s="94"/>
      <c r="AJ1200" s="94"/>
      <c r="AK1200" s="94"/>
      <c r="AL1200" s="94"/>
      <c r="AM1200" s="94"/>
      <c r="AN1200" s="94"/>
      <c r="AO1200" s="94"/>
      <c r="AP1200" s="94"/>
      <c r="AQ1200" s="94"/>
      <c r="AR1200" s="94"/>
      <c r="AS1200" s="94"/>
      <c r="AT1200" s="94"/>
      <c r="AU1200" s="94"/>
      <c r="AV1200" s="94"/>
      <c r="AW1200" s="94"/>
      <c r="AX1200" s="94"/>
      <c r="AY1200" s="94"/>
      <c r="BA1200" s="95"/>
    </row>
    <row r="1201" spans="1:53" s="87" customFormat="1">
      <c r="A1201" s="90" t="str">
        <f t="shared" si="66"/>
        <v/>
      </c>
      <c r="B1201" s="87">
        <v>17</v>
      </c>
      <c r="C1201" s="87">
        <v>-5</v>
      </c>
      <c r="D1201" s="87" t="s">
        <v>210</v>
      </c>
      <c r="E1201" s="87" t="s">
        <v>210</v>
      </c>
      <c r="F1201" s="87">
        <v>1</v>
      </c>
      <c r="G1201" s="87">
        <v>2</v>
      </c>
      <c r="H1201" s="87">
        <v>-3</v>
      </c>
      <c r="I1201" s="87" t="s">
        <v>210</v>
      </c>
      <c r="J1201" s="87" t="s">
        <v>210</v>
      </c>
      <c r="BA1201" s="95"/>
    </row>
    <row r="1202" spans="1:53" s="87" customFormat="1">
      <c r="A1202" s="90" t="str">
        <f t="shared" si="66"/>
        <v/>
      </c>
      <c r="B1202" s="318" t="s">
        <v>1093</v>
      </c>
      <c r="BA1202" s="95"/>
    </row>
    <row r="1203" spans="1:53" s="87" customFormat="1">
      <c r="A1203" s="90">
        <f t="shared" si="66"/>
        <v>1203</v>
      </c>
      <c r="B1203" s="318" t="s">
        <v>1204</v>
      </c>
      <c r="BA1203" s="95"/>
    </row>
    <row r="1204" spans="1:53" s="87" customFormat="1">
      <c r="A1204" s="90" t="str">
        <f t="shared" si="66"/>
        <v/>
      </c>
      <c r="B1204" s="87">
        <v>1</v>
      </c>
      <c r="C1204" s="87" t="s">
        <v>210</v>
      </c>
      <c r="D1204" s="87">
        <v>-5</v>
      </c>
      <c r="E1204" s="87" t="s">
        <v>210</v>
      </c>
      <c r="F1204" s="87">
        <v>2</v>
      </c>
      <c r="G1204" s="87" t="s">
        <v>210</v>
      </c>
      <c r="H1204" s="87">
        <v>4</v>
      </c>
      <c r="I1204" s="87" t="s">
        <v>210</v>
      </c>
      <c r="J1204" s="87">
        <v>-1</v>
      </c>
      <c r="K1204" s="87">
        <v>-3</v>
      </c>
      <c r="BA1204" s="95"/>
    </row>
    <row r="1205" spans="1:53" s="87" customFormat="1">
      <c r="A1205" s="90" t="str">
        <f t="shared" si="66"/>
        <v/>
      </c>
      <c r="B1205" s="87">
        <v>2</v>
      </c>
      <c r="C1205" s="87" t="s">
        <v>210</v>
      </c>
      <c r="D1205" s="87">
        <v>-1</v>
      </c>
      <c r="E1205" s="87" t="s">
        <v>210</v>
      </c>
      <c r="F1205" s="87">
        <v>-4</v>
      </c>
      <c r="G1205" s="87" t="s">
        <v>210</v>
      </c>
      <c r="H1205" s="87">
        <v>2</v>
      </c>
      <c r="I1205" s="87" t="s">
        <v>210</v>
      </c>
      <c r="J1205" s="87">
        <v>-5</v>
      </c>
      <c r="K1205" s="87">
        <v>3</v>
      </c>
      <c r="BA1205" s="95"/>
    </row>
    <row r="1206" spans="1:53" s="87" customFormat="1">
      <c r="A1206" s="90" t="str">
        <f t="shared" si="66"/>
        <v/>
      </c>
      <c r="B1206" s="87">
        <v>3</v>
      </c>
      <c r="C1206" s="87" t="s">
        <v>210</v>
      </c>
      <c r="D1206" s="87">
        <v>2</v>
      </c>
      <c r="E1206" s="87" t="s">
        <v>210</v>
      </c>
      <c r="F1206" s="87">
        <v>-3</v>
      </c>
      <c r="G1206" s="87" t="s">
        <v>210</v>
      </c>
      <c r="H1206" s="87">
        <v>-4</v>
      </c>
      <c r="I1206" s="87" t="s">
        <v>210</v>
      </c>
      <c r="J1206" s="87">
        <v>5</v>
      </c>
      <c r="K1206" s="87">
        <v>1</v>
      </c>
      <c r="BA1206" s="95"/>
    </row>
    <row r="1207" spans="1:53" s="87" customFormat="1">
      <c r="A1207" s="90" t="str">
        <f t="shared" si="66"/>
        <v/>
      </c>
      <c r="B1207" s="87">
        <v>4</v>
      </c>
      <c r="C1207" s="87" t="s">
        <v>210</v>
      </c>
      <c r="D1207" s="87">
        <v>1</v>
      </c>
      <c r="E1207" s="87" t="s">
        <v>210</v>
      </c>
      <c r="F1207" s="87">
        <v>-2</v>
      </c>
      <c r="G1207" s="87" t="s">
        <v>210</v>
      </c>
      <c r="H1207" s="87">
        <v>3</v>
      </c>
      <c r="I1207" s="87" t="s">
        <v>210</v>
      </c>
      <c r="J1207" s="87">
        <v>-4</v>
      </c>
      <c r="K1207" s="87">
        <v>-1</v>
      </c>
      <c r="BA1207" s="95"/>
    </row>
    <row r="1208" spans="1:53">
      <c r="A1208" s="90" t="str">
        <f t="shared" si="66"/>
        <v/>
      </c>
      <c r="B1208" s="87">
        <v>5</v>
      </c>
      <c r="C1208" s="87" t="s">
        <v>210</v>
      </c>
      <c r="D1208" s="87">
        <v>-2</v>
      </c>
      <c r="E1208" s="87" t="s">
        <v>210</v>
      </c>
      <c r="F1208" s="87">
        <v>4</v>
      </c>
      <c r="G1208" s="87" t="s">
        <v>210</v>
      </c>
      <c r="H1208" s="87">
        <v>-3</v>
      </c>
      <c r="I1208" s="87" t="s">
        <v>210</v>
      </c>
      <c r="J1208" s="87">
        <v>1</v>
      </c>
      <c r="K1208" s="87">
        <v>5</v>
      </c>
    </row>
    <row r="1209" spans="1:53">
      <c r="A1209" s="90" t="str">
        <f t="shared" si="66"/>
        <v/>
      </c>
      <c r="B1209" s="232">
        <v>6</v>
      </c>
      <c r="C1209" s="233" t="s">
        <v>210</v>
      </c>
      <c r="D1209" s="233">
        <v>5</v>
      </c>
      <c r="E1209" s="233" t="s">
        <v>210</v>
      </c>
      <c r="F1209" s="233">
        <v>3</v>
      </c>
      <c r="G1209" s="233" t="s">
        <v>210</v>
      </c>
      <c r="H1209" s="233">
        <v>-2</v>
      </c>
      <c r="I1209" s="233" t="s">
        <v>210</v>
      </c>
      <c r="J1209" s="233">
        <v>4</v>
      </c>
      <c r="K1209" s="233">
        <v>-5</v>
      </c>
    </row>
    <row r="1210" spans="1:53">
      <c r="A1210" s="90" t="str">
        <f t="shared" si="66"/>
        <v/>
      </c>
      <c r="B1210" s="87">
        <v>7</v>
      </c>
      <c r="C1210" s="87" t="s">
        <v>210</v>
      </c>
      <c r="D1210" s="87">
        <v>-3</v>
      </c>
      <c r="E1210" s="87">
        <v>-5</v>
      </c>
      <c r="F1210" s="87" t="s">
        <v>210</v>
      </c>
      <c r="G1210" s="87">
        <v>2</v>
      </c>
      <c r="H1210" s="87" t="s">
        <v>210</v>
      </c>
      <c r="I1210" s="87">
        <v>1</v>
      </c>
      <c r="J1210" s="87" t="s">
        <v>210</v>
      </c>
      <c r="K1210" s="87">
        <v>-4</v>
      </c>
    </row>
    <row r="1211" spans="1:53">
      <c r="A1211" s="90" t="str">
        <f t="shared" si="66"/>
        <v/>
      </c>
      <c r="B1211" s="87">
        <v>8</v>
      </c>
      <c r="C1211" s="87" t="s">
        <v>210</v>
      </c>
      <c r="D1211" s="87">
        <v>-4</v>
      </c>
      <c r="E1211" s="87">
        <v>1</v>
      </c>
      <c r="F1211" s="87" t="s">
        <v>210</v>
      </c>
      <c r="G1211" s="87">
        <v>-5</v>
      </c>
      <c r="H1211" s="87" t="s">
        <v>210</v>
      </c>
      <c r="I1211" s="87">
        <v>2</v>
      </c>
      <c r="J1211" s="87" t="s">
        <v>210</v>
      </c>
      <c r="K1211" s="87">
        <v>4</v>
      </c>
    </row>
    <row r="1212" spans="1:53">
      <c r="A1212" s="90" t="str">
        <f t="shared" si="66"/>
        <v/>
      </c>
      <c r="B1212" s="87">
        <v>9</v>
      </c>
      <c r="C1212" s="87" t="s">
        <v>210</v>
      </c>
      <c r="D1212" s="87">
        <v>3</v>
      </c>
      <c r="E1212" s="87">
        <v>-1</v>
      </c>
      <c r="F1212" s="87" t="s">
        <v>210</v>
      </c>
      <c r="G1212" s="87">
        <v>4</v>
      </c>
      <c r="H1212" s="87" t="s">
        <v>210</v>
      </c>
      <c r="I1212" s="87">
        <v>-5</v>
      </c>
      <c r="J1212" s="87" t="s">
        <v>210</v>
      </c>
      <c r="K1212" s="87">
        <v>-2</v>
      </c>
    </row>
    <row r="1213" spans="1:53">
      <c r="A1213" s="90" t="str">
        <f t="shared" si="66"/>
        <v/>
      </c>
      <c r="B1213" s="87">
        <v>10</v>
      </c>
      <c r="C1213" s="87">
        <v>-2</v>
      </c>
      <c r="D1213" s="87" t="s">
        <v>210</v>
      </c>
      <c r="E1213" s="87">
        <v>-3</v>
      </c>
      <c r="F1213" s="87" t="s">
        <v>210</v>
      </c>
      <c r="G1213" s="87">
        <v>5</v>
      </c>
      <c r="H1213" s="87" t="s">
        <v>210</v>
      </c>
      <c r="I1213" s="87">
        <v>-1</v>
      </c>
      <c r="J1213" s="87" t="s">
        <v>210</v>
      </c>
      <c r="K1213" s="87">
        <v>2</v>
      </c>
    </row>
    <row r="1214" spans="1:53">
      <c r="A1214" s="90" t="str">
        <f t="shared" si="66"/>
        <v/>
      </c>
      <c r="B1214" s="87">
        <v>11</v>
      </c>
      <c r="C1214" s="87" t="s">
        <v>210</v>
      </c>
      <c r="D1214" s="87">
        <v>4</v>
      </c>
      <c r="E1214" s="87">
        <v>3</v>
      </c>
      <c r="F1214" s="87" t="s">
        <v>210</v>
      </c>
      <c r="G1214" s="87">
        <v>-2</v>
      </c>
      <c r="H1214" s="87" t="s">
        <v>210</v>
      </c>
      <c r="I1214" s="87">
        <v>5</v>
      </c>
      <c r="J1214" s="87">
        <v>-3</v>
      </c>
      <c r="K1214" s="87" t="s">
        <v>210</v>
      </c>
    </row>
    <row r="1215" spans="1:53">
      <c r="A1215" s="90" t="str">
        <f t="shared" si="66"/>
        <v/>
      </c>
      <c r="B1215" s="232">
        <v>12</v>
      </c>
      <c r="C1215" s="233">
        <v>2</v>
      </c>
      <c r="D1215" s="233" t="s">
        <v>210</v>
      </c>
      <c r="E1215" s="233">
        <v>5</v>
      </c>
      <c r="F1215" s="233" t="s">
        <v>210</v>
      </c>
      <c r="G1215" s="233">
        <v>-4</v>
      </c>
      <c r="H1215" s="233" t="s">
        <v>210</v>
      </c>
      <c r="I1215" s="233">
        <v>-2</v>
      </c>
      <c r="J1215" s="233">
        <v>3</v>
      </c>
      <c r="K1215" s="233" t="s">
        <v>210</v>
      </c>
    </row>
    <row r="1216" spans="1:53">
      <c r="A1216" s="90" t="str">
        <f t="shared" si="66"/>
        <v/>
      </c>
      <c r="B1216" s="87">
        <v>13</v>
      </c>
      <c r="C1216" s="87">
        <v>3</v>
      </c>
      <c r="D1216" s="87" t="s">
        <v>210</v>
      </c>
      <c r="E1216" s="87">
        <v>-4</v>
      </c>
      <c r="F1216" s="87" t="s">
        <v>210</v>
      </c>
      <c r="G1216" s="87" t="s">
        <v>210</v>
      </c>
      <c r="H1216" s="87">
        <v>1</v>
      </c>
      <c r="I1216" s="87" t="s">
        <v>210</v>
      </c>
      <c r="J1216" s="87">
        <v>-2</v>
      </c>
      <c r="K1216" s="87" t="s">
        <v>210</v>
      </c>
    </row>
    <row r="1217" spans="1:14">
      <c r="A1217" s="90" t="str">
        <f t="shared" si="66"/>
        <v/>
      </c>
      <c r="B1217" s="87">
        <v>14</v>
      </c>
      <c r="C1217" s="87">
        <v>-4</v>
      </c>
      <c r="D1217" s="87" t="s">
        <v>210</v>
      </c>
      <c r="E1217" s="87" t="s">
        <v>210</v>
      </c>
      <c r="F1217" s="87" t="s">
        <v>210</v>
      </c>
      <c r="G1217" s="87">
        <v>-1</v>
      </c>
      <c r="H1217" s="87">
        <v>5</v>
      </c>
      <c r="I1217" s="87" t="s">
        <v>210</v>
      </c>
      <c r="J1217" s="87">
        <v>2</v>
      </c>
      <c r="K1217" s="87" t="s">
        <v>210</v>
      </c>
    </row>
    <row r="1218" spans="1:14">
      <c r="A1218" s="90" t="str">
        <f t="shared" si="66"/>
        <v/>
      </c>
      <c r="B1218" s="87">
        <v>15</v>
      </c>
      <c r="C1218" s="87">
        <v>-3</v>
      </c>
      <c r="D1218" s="87" t="s">
        <v>210</v>
      </c>
      <c r="E1218" s="87">
        <v>-2</v>
      </c>
      <c r="F1218" s="87" t="s">
        <v>210</v>
      </c>
      <c r="G1218" s="87">
        <v>1</v>
      </c>
      <c r="H1218" s="87" t="s">
        <v>210</v>
      </c>
      <c r="I1218" s="87">
        <v>4</v>
      </c>
      <c r="J1218" s="87" t="s">
        <v>210</v>
      </c>
      <c r="K1218" s="87" t="s">
        <v>210</v>
      </c>
    </row>
    <row r="1219" spans="1:14">
      <c r="A1219" s="90" t="str">
        <f t="shared" si="66"/>
        <v/>
      </c>
      <c r="B1219" s="87">
        <v>16</v>
      </c>
      <c r="C1219" s="87" t="s">
        <v>210</v>
      </c>
      <c r="D1219" s="87" t="s">
        <v>210</v>
      </c>
      <c r="E1219" s="87">
        <v>4</v>
      </c>
      <c r="F1219" s="87" t="s">
        <v>210</v>
      </c>
      <c r="G1219" s="87">
        <v>3</v>
      </c>
      <c r="H1219" s="87">
        <v>-5</v>
      </c>
      <c r="I1219" s="87">
        <v>-4</v>
      </c>
      <c r="J1219" s="87" t="s">
        <v>210</v>
      </c>
      <c r="K1219" s="87" t="s">
        <v>210</v>
      </c>
    </row>
    <row r="1220" spans="1:14">
      <c r="A1220" s="90" t="str">
        <f t="shared" si="66"/>
        <v/>
      </c>
      <c r="B1220" s="87">
        <v>17</v>
      </c>
      <c r="C1220" s="87">
        <v>4</v>
      </c>
      <c r="D1220" s="87" t="s">
        <v>210</v>
      </c>
      <c r="E1220" s="87">
        <v>2</v>
      </c>
      <c r="F1220" s="87" t="s">
        <v>210</v>
      </c>
      <c r="G1220" s="87">
        <v>-3</v>
      </c>
      <c r="H1220" s="87">
        <v>-1</v>
      </c>
      <c r="I1220" s="87" t="s">
        <v>210</v>
      </c>
      <c r="J1220" s="87" t="s">
        <v>210</v>
      </c>
      <c r="K1220" s="87" t="s">
        <v>210</v>
      </c>
    </row>
    <row r="1221" spans="1:14">
      <c r="A1221" s="90" t="str">
        <f t="shared" si="66"/>
        <v/>
      </c>
      <c r="B1221" s="318" t="s">
        <v>1094</v>
      </c>
    </row>
    <row r="1222" spans="1:14">
      <c r="A1222" s="90">
        <f t="shared" si="66"/>
        <v>1222</v>
      </c>
      <c r="B1222" s="318" t="s">
        <v>1209</v>
      </c>
    </row>
    <row r="1223" spans="1:14">
      <c r="A1223" s="90" t="str">
        <f t="shared" si="66"/>
        <v/>
      </c>
      <c r="B1223" s="87">
        <v>1</v>
      </c>
      <c r="C1223" s="87" t="s">
        <v>210</v>
      </c>
      <c r="D1223" s="87" t="s">
        <v>210</v>
      </c>
      <c r="E1223" s="87">
        <v>4</v>
      </c>
      <c r="F1223" s="87" t="s">
        <v>210</v>
      </c>
      <c r="G1223" s="87">
        <v>-2</v>
      </c>
      <c r="H1223" s="87" t="s">
        <v>210</v>
      </c>
      <c r="I1223" s="87" t="s">
        <v>210</v>
      </c>
      <c r="J1223" s="87">
        <v>-5</v>
      </c>
      <c r="K1223" s="87" t="s">
        <v>210</v>
      </c>
      <c r="L1223" s="87">
        <v>1</v>
      </c>
      <c r="M1223" s="87" t="s">
        <v>210</v>
      </c>
      <c r="N1223" s="87">
        <v>3</v>
      </c>
    </row>
    <row r="1224" spans="1:14">
      <c r="A1224" s="90" t="str">
        <f t="shared" si="66"/>
        <v/>
      </c>
      <c r="B1224" s="87">
        <v>2</v>
      </c>
      <c r="C1224" s="87" t="s">
        <v>210</v>
      </c>
      <c r="D1224" s="87" t="s">
        <v>210</v>
      </c>
      <c r="E1224" s="87">
        <v>-2</v>
      </c>
      <c r="F1224" s="87" t="s">
        <v>210</v>
      </c>
      <c r="G1224" s="87">
        <v>-5</v>
      </c>
      <c r="H1224" s="87" t="s">
        <v>210</v>
      </c>
      <c r="I1224" s="87">
        <v>1</v>
      </c>
      <c r="J1224" s="87" t="s">
        <v>210</v>
      </c>
      <c r="K1224" s="87" t="s">
        <v>210</v>
      </c>
      <c r="L1224" s="87">
        <v>2</v>
      </c>
      <c r="M1224" s="87" t="s">
        <v>210</v>
      </c>
      <c r="N1224" s="87">
        <v>-3</v>
      </c>
    </row>
    <row r="1225" spans="1:14">
      <c r="A1225" s="90" t="str">
        <f t="shared" si="66"/>
        <v/>
      </c>
      <c r="B1225" s="87">
        <v>3</v>
      </c>
      <c r="C1225" s="87" t="s">
        <v>210</v>
      </c>
      <c r="D1225" s="87">
        <v>-3</v>
      </c>
      <c r="E1225" s="87" t="s">
        <v>210</v>
      </c>
      <c r="F1225" s="87" t="s">
        <v>210</v>
      </c>
      <c r="G1225" s="87">
        <v>4</v>
      </c>
      <c r="H1225" s="87" t="s">
        <v>210</v>
      </c>
      <c r="I1225" s="87" t="s">
        <v>210</v>
      </c>
      <c r="J1225" s="87">
        <v>5</v>
      </c>
      <c r="K1225" s="87" t="s">
        <v>210</v>
      </c>
      <c r="L1225" s="87">
        <v>-2</v>
      </c>
      <c r="M1225" s="87" t="s">
        <v>210</v>
      </c>
      <c r="N1225" s="87">
        <v>-1</v>
      </c>
    </row>
    <row r="1226" spans="1:14">
      <c r="A1226" s="90" t="str">
        <f t="shared" si="66"/>
        <v/>
      </c>
      <c r="B1226" s="87">
        <v>4</v>
      </c>
      <c r="C1226" s="87" t="s">
        <v>210</v>
      </c>
      <c r="D1226" s="87" t="s">
        <v>210</v>
      </c>
      <c r="E1226" s="87">
        <v>-4</v>
      </c>
      <c r="F1226" s="87" t="s">
        <v>210</v>
      </c>
      <c r="G1226" s="87">
        <v>5</v>
      </c>
      <c r="H1226" s="87" t="s">
        <v>210</v>
      </c>
      <c r="I1226" s="87">
        <v>-3</v>
      </c>
      <c r="J1226" s="87" t="s">
        <v>210</v>
      </c>
      <c r="K1226" s="87" t="s">
        <v>210</v>
      </c>
      <c r="L1226" s="87">
        <v>4</v>
      </c>
      <c r="M1226" s="87" t="s">
        <v>210</v>
      </c>
      <c r="N1226" s="87">
        <v>1</v>
      </c>
    </row>
    <row r="1227" spans="1:14">
      <c r="A1227" s="90" t="str">
        <f t="shared" si="66"/>
        <v/>
      </c>
      <c r="B1227" s="87">
        <v>5</v>
      </c>
      <c r="C1227" s="87" t="s">
        <v>210</v>
      </c>
      <c r="D1227" s="87" t="s">
        <v>210</v>
      </c>
      <c r="E1227" s="87">
        <v>2</v>
      </c>
      <c r="F1227" s="87" t="s">
        <v>210</v>
      </c>
      <c r="G1227" s="87">
        <v>-4</v>
      </c>
      <c r="H1227" s="87" t="s">
        <v>210</v>
      </c>
      <c r="I1227" s="87">
        <v>3</v>
      </c>
      <c r="J1227" s="87" t="s">
        <v>210</v>
      </c>
      <c r="K1227" s="87" t="s">
        <v>210</v>
      </c>
      <c r="L1227" s="87">
        <v>-1</v>
      </c>
      <c r="M1227" s="87" t="s">
        <v>210</v>
      </c>
      <c r="N1227" s="87">
        <v>-5</v>
      </c>
    </row>
    <row r="1228" spans="1:14">
      <c r="A1228" s="90" t="str">
        <f t="shared" ref="A1228:A1291" si="67">IF(MID(B1228,3,2)="05",ROW(),"")</f>
        <v/>
      </c>
      <c r="B1228" s="232">
        <v>6</v>
      </c>
      <c r="C1228" s="233" t="s">
        <v>210</v>
      </c>
      <c r="D1228" s="233">
        <v>3</v>
      </c>
      <c r="E1228" s="233" t="s">
        <v>210</v>
      </c>
      <c r="F1228" s="233" t="s">
        <v>210</v>
      </c>
      <c r="G1228" s="233">
        <v>2</v>
      </c>
      <c r="H1228" s="233" t="s">
        <v>210</v>
      </c>
      <c r="I1228" s="233">
        <v>-1</v>
      </c>
      <c r="J1228" s="233" t="s">
        <v>210</v>
      </c>
      <c r="K1228" s="233" t="s">
        <v>210</v>
      </c>
      <c r="L1228" s="233">
        <v>-4</v>
      </c>
      <c r="M1228" s="233" t="s">
        <v>210</v>
      </c>
      <c r="N1228" s="233">
        <v>5</v>
      </c>
    </row>
    <row r="1229" spans="1:14">
      <c r="A1229" s="90" t="str">
        <f t="shared" si="67"/>
        <v/>
      </c>
      <c r="B1229" s="87">
        <v>7</v>
      </c>
      <c r="C1229" s="87" t="s">
        <v>210</v>
      </c>
      <c r="D1229" s="87">
        <v>-1</v>
      </c>
      <c r="E1229" s="87" t="s">
        <v>210</v>
      </c>
      <c r="F1229" s="87" t="s">
        <v>210</v>
      </c>
      <c r="G1229" s="87">
        <v>3</v>
      </c>
      <c r="H1229" s="87" t="s">
        <v>210</v>
      </c>
      <c r="I1229" s="87">
        <v>2</v>
      </c>
      <c r="J1229" s="87" t="s">
        <v>210</v>
      </c>
      <c r="K1229" s="87">
        <v>-5</v>
      </c>
      <c r="L1229" s="87" t="s">
        <v>210</v>
      </c>
      <c r="M1229" s="87" t="s">
        <v>210</v>
      </c>
      <c r="N1229" s="87">
        <v>-4</v>
      </c>
    </row>
    <row r="1230" spans="1:14">
      <c r="A1230" s="90" t="str">
        <f t="shared" si="67"/>
        <v/>
      </c>
      <c r="B1230" s="87">
        <v>8</v>
      </c>
      <c r="C1230" s="87" t="s">
        <v>210</v>
      </c>
      <c r="D1230" s="87">
        <v>-4</v>
      </c>
      <c r="E1230" s="87" t="s">
        <v>210</v>
      </c>
      <c r="F1230" s="87">
        <v>1</v>
      </c>
      <c r="G1230" s="87" t="s">
        <v>210</v>
      </c>
      <c r="H1230" s="87" t="s">
        <v>210</v>
      </c>
      <c r="I1230" s="87">
        <v>-5</v>
      </c>
      <c r="J1230" s="87" t="s">
        <v>210</v>
      </c>
      <c r="K1230" s="87">
        <v>-3</v>
      </c>
      <c r="L1230" s="87" t="s">
        <v>210</v>
      </c>
      <c r="M1230" s="87" t="s">
        <v>210</v>
      </c>
      <c r="N1230" s="87">
        <v>4</v>
      </c>
    </row>
    <row r="1231" spans="1:14">
      <c r="A1231" s="90" t="str">
        <f t="shared" si="67"/>
        <v/>
      </c>
      <c r="B1231" s="87">
        <v>9</v>
      </c>
      <c r="C1231" s="87" t="s">
        <v>210</v>
      </c>
      <c r="D1231" s="87">
        <v>-2</v>
      </c>
      <c r="E1231" s="87" t="s">
        <v>210</v>
      </c>
      <c r="F1231" s="87" t="s">
        <v>210</v>
      </c>
      <c r="G1231" s="87">
        <v>-3</v>
      </c>
      <c r="H1231" s="87" t="s">
        <v>210</v>
      </c>
      <c r="I1231" s="87">
        <v>5</v>
      </c>
      <c r="J1231" s="87" t="s">
        <v>210</v>
      </c>
      <c r="K1231" s="87">
        <v>-1</v>
      </c>
      <c r="L1231" s="87" t="s">
        <v>210</v>
      </c>
      <c r="M1231" s="87" t="s">
        <v>210</v>
      </c>
      <c r="N1231" s="87">
        <v>2</v>
      </c>
    </row>
    <row r="1232" spans="1:14">
      <c r="A1232" s="90" t="str">
        <f t="shared" si="67"/>
        <v/>
      </c>
      <c r="B1232" s="87">
        <v>10</v>
      </c>
      <c r="C1232" s="87" t="s">
        <v>210</v>
      </c>
      <c r="D1232" s="87">
        <v>1</v>
      </c>
      <c r="E1232" s="87" t="s">
        <v>210</v>
      </c>
      <c r="F1232" s="87">
        <v>5</v>
      </c>
      <c r="G1232" s="87" t="s">
        <v>210</v>
      </c>
      <c r="H1232" s="87" t="s">
        <v>210</v>
      </c>
      <c r="I1232" s="87">
        <v>-4</v>
      </c>
      <c r="J1232" s="87" t="s">
        <v>210</v>
      </c>
      <c r="K1232" s="87">
        <v>3</v>
      </c>
      <c r="L1232" s="87" t="s">
        <v>210</v>
      </c>
      <c r="M1232" s="87" t="s">
        <v>210</v>
      </c>
      <c r="N1232" s="87">
        <v>-2</v>
      </c>
    </row>
    <row r="1233" spans="1:14">
      <c r="A1233" s="90" t="str">
        <f t="shared" si="67"/>
        <v/>
      </c>
      <c r="B1233" s="87">
        <v>11</v>
      </c>
      <c r="C1233" s="87" t="s">
        <v>210</v>
      </c>
      <c r="D1233" s="87">
        <v>4</v>
      </c>
      <c r="E1233" s="87" t="s">
        <v>210</v>
      </c>
      <c r="F1233" s="87">
        <v>-5</v>
      </c>
      <c r="G1233" s="87" t="s">
        <v>210</v>
      </c>
      <c r="H1233" s="87" t="s">
        <v>210</v>
      </c>
      <c r="I1233" s="87">
        <v>-2</v>
      </c>
      <c r="J1233" s="87" t="s">
        <v>210</v>
      </c>
      <c r="K1233" s="87">
        <v>1</v>
      </c>
      <c r="L1233" s="87" t="s">
        <v>210</v>
      </c>
      <c r="M1233" s="87">
        <v>3</v>
      </c>
      <c r="N1233" s="87" t="s">
        <v>210</v>
      </c>
    </row>
    <row r="1234" spans="1:14">
      <c r="A1234" s="90" t="str">
        <f t="shared" si="67"/>
        <v/>
      </c>
      <c r="B1234" s="232">
        <v>12</v>
      </c>
      <c r="C1234" s="233" t="s">
        <v>210</v>
      </c>
      <c r="D1234" s="233">
        <v>2</v>
      </c>
      <c r="E1234" s="233" t="s">
        <v>210</v>
      </c>
      <c r="F1234" s="233">
        <v>-1</v>
      </c>
      <c r="G1234" s="233" t="s">
        <v>210</v>
      </c>
      <c r="H1234" s="233" t="s">
        <v>210</v>
      </c>
      <c r="I1234" s="233">
        <v>4</v>
      </c>
      <c r="J1234" s="233" t="s">
        <v>210</v>
      </c>
      <c r="K1234" s="233">
        <v>5</v>
      </c>
      <c r="L1234" s="233" t="s">
        <v>210</v>
      </c>
      <c r="M1234" s="233">
        <v>-3</v>
      </c>
      <c r="N1234" s="233" t="s">
        <v>210</v>
      </c>
    </row>
    <row r="1235" spans="1:14">
      <c r="A1235" s="90" t="str">
        <f t="shared" si="67"/>
        <v/>
      </c>
      <c r="B1235" s="87">
        <v>13</v>
      </c>
      <c r="C1235" s="87" t="s">
        <v>210</v>
      </c>
      <c r="D1235" s="87">
        <v>5</v>
      </c>
      <c r="E1235" s="87" t="s">
        <v>210</v>
      </c>
      <c r="F1235" s="87">
        <v>-2</v>
      </c>
      <c r="G1235" s="87" t="s">
        <v>210</v>
      </c>
      <c r="H1235" s="87">
        <v>-1</v>
      </c>
      <c r="I1235" s="87" t="s">
        <v>210</v>
      </c>
      <c r="J1235" s="87">
        <v>3</v>
      </c>
      <c r="K1235" s="87" t="s">
        <v>210</v>
      </c>
      <c r="L1235" s="87" t="s">
        <v>210</v>
      </c>
      <c r="M1235" s="87">
        <v>4</v>
      </c>
      <c r="N1235" s="87" t="s">
        <v>210</v>
      </c>
    </row>
    <row r="1236" spans="1:14">
      <c r="A1236" s="90" t="str">
        <f t="shared" si="67"/>
        <v/>
      </c>
      <c r="B1236" s="87">
        <v>14</v>
      </c>
      <c r="C1236" s="87">
        <v>-1</v>
      </c>
      <c r="D1236" s="87" t="s">
        <v>210</v>
      </c>
      <c r="E1236" s="87" t="s">
        <v>210</v>
      </c>
      <c r="F1236" s="87">
        <v>-3</v>
      </c>
      <c r="G1236" s="87" t="s">
        <v>210</v>
      </c>
      <c r="H1236" s="87">
        <v>5</v>
      </c>
      <c r="I1236" s="87" t="s">
        <v>210</v>
      </c>
      <c r="J1236" s="87" t="s">
        <v>210</v>
      </c>
      <c r="K1236" s="87">
        <v>2</v>
      </c>
      <c r="L1236" s="87" t="s">
        <v>210</v>
      </c>
      <c r="M1236" s="87">
        <v>-4</v>
      </c>
      <c r="N1236" s="87" t="s">
        <v>210</v>
      </c>
    </row>
    <row r="1237" spans="1:14">
      <c r="A1237" s="90" t="str">
        <f t="shared" si="67"/>
        <v/>
      </c>
      <c r="B1237" s="87">
        <v>15</v>
      </c>
      <c r="C1237" s="87" t="s">
        <v>210</v>
      </c>
      <c r="D1237" s="87">
        <v>-5</v>
      </c>
      <c r="E1237" s="87" t="s">
        <v>210</v>
      </c>
      <c r="F1237" s="87">
        <v>-4</v>
      </c>
      <c r="G1237" s="87" t="s">
        <v>210</v>
      </c>
      <c r="H1237" s="87">
        <v>3</v>
      </c>
      <c r="I1237" s="87" t="s">
        <v>210</v>
      </c>
      <c r="J1237" s="87" t="s">
        <v>210</v>
      </c>
      <c r="K1237" s="87">
        <v>-2</v>
      </c>
      <c r="L1237" s="87" t="s">
        <v>210</v>
      </c>
      <c r="M1237" s="87">
        <v>5</v>
      </c>
      <c r="N1237" s="87" t="s">
        <v>210</v>
      </c>
    </row>
    <row r="1238" spans="1:14">
      <c r="A1238" s="90" t="str">
        <f t="shared" si="67"/>
        <v/>
      </c>
      <c r="B1238" s="87">
        <v>16</v>
      </c>
      <c r="C1238" s="87">
        <v>-2</v>
      </c>
      <c r="D1238" s="87" t="s">
        <v>210</v>
      </c>
      <c r="E1238" s="87" t="s">
        <v>210</v>
      </c>
      <c r="F1238" s="87">
        <v>3</v>
      </c>
      <c r="G1238" s="87" t="s">
        <v>210</v>
      </c>
      <c r="H1238" s="87">
        <v>1</v>
      </c>
      <c r="I1238" s="87" t="s">
        <v>210</v>
      </c>
      <c r="J1238" s="87" t="s">
        <v>210</v>
      </c>
      <c r="K1238" s="87">
        <v>-4</v>
      </c>
      <c r="L1238" s="87" t="s">
        <v>210</v>
      </c>
      <c r="M1238" s="87">
        <v>-5</v>
      </c>
      <c r="N1238" s="87" t="s">
        <v>210</v>
      </c>
    </row>
    <row r="1239" spans="1:14">
      <c r="A1239" s="90" t="str">
        <f t="shared" si="67"/>
        <v/>
      </c>
      <c r="B1239" s="87">
        <v>17</v>
      </c>
      <c r="C1239" s="87">
        <v>1</v>
      </c>
      <c r="D1239" s="87" t="s">
        <v>210</v>
      </c>
      <c r="E1239" s="87" t="s">
        <v>210</v>
      </c>
      <c r="F1239" s="87">
        <v>2</v>
      </c>
      <c r="G1239" s="87" t="s">
        <v>210</v>
      </c>
      <c r="H1239" s="87">
        <v>-3</v>
      </c>
      <c r="I1239" s="87" t="s">
        <v>210</v>
      </c>
      <c r="J1239" s="87" t="s">
        <v>210</v>
      </c>
      <c r="K1239" s="87">
        <v>4</v>
      </c>
      <c r="L1239" s="87" t="s">
        <v>210</v>
      </c>
      <c r="M1239" s="87">
        <v>-1</v>
      </c>
      <c r="N1239" s="87" t="s">
        <v>210</v>
      </c>
    </row>
    <row r="1240" spans="1:14">
      <c r="A1240" s="90" t="str">
        <f t="shared" si="67"/>
        <v/>
      </c>
      <c r="B1240" s="232">
        <v>18</v>
      </c>
      <c r="C1240" s="233">
        <v>2</v>
      </c>
      <c r="D1240" s="233" t="s">
        <v>210</v>
      </c>
      <c r="E1240" s="233" t="s">
        <v>210</v>
      </c>
      <c r="F1240" s="233">
        <v>4</v>
      </c>
      <c r="G1240" s="233" t="s">
        <v>210</v>
      </c>
      <c r="H1240" s="233">
        <v>-5</v>
      </c>
      <c r="I1240" s="233" t="s">
        <v>210</v>
      </c>
      <c r="J1240" s="233">
        <v>-3</v>
      </c>
      <c r="K1240" s="233" t="s">
        <v>210</v>
      </c>
      <c r="L1240" s="233" t="s">
        <v>210</v>
      </c>
      <c r="M1240" s="233">
        <v>1</v>
      </c>
      <c r="N1240" s="233" t="s">
        <v>210</v>
      </c>
    </row>
    <row r="1241" spans="1:14">
      <c r="A1241" s="90" t="str">
        <f t="shared" si="67"/>
        <v/>
      </c>
      <c r="B1241" s="87">
        <v>19</v>
      </c>
      <c r="C1241" s="87">
        <v>-5</v>
      </c>
      <c r="D1241" s="87" t="s">
        <v>210</v>
      </c>
      <c r="E1241" s="87">
        <v>3</v>
      </c>
      <c r="F1241" s="87" t="s">
        <v>210</v>
      </c>
      <c r="G1241" s="87" t="s">
        <v>210</v>
      </c>
      <c r="H1241" s="87">
        <v>4</v>
      </c>
      <c r="I1241" s="87" t="s">
        <v>210</v>
      </c>
      <c r="J1241" s="87">
        <v>-1</v>
      </c>
      <c r="K1241" s="87" t="s">
        <v>210</v>
      </c>
      <c r="L1241" s="87" t="s">
        <v>210</v>
      </c>
      <c r="M1241" s="87">
        <v>-2</v>
      </c>
      <c r="N1241" s="87" t="s">
        <v>210</v>
      </c>
    </row>
    <row r="1242" spans="1:14">
      <c r="A1242" s="90" t="str">
        <f t="shared" si="67"/>
        <v/>
      </c>
      <c r="B1242" s="87">
        <v>20</v>
      </c>
      <c r="C1242" s="87">
        <v>3</v>
      </c>
      <c r="D1242" s="87" t="s">
        <v>210</v>
      </c>
      <c r="E1242" s="87">
        <v>5</v>
      </c>
      <c r="F1242" s="87" t="s">
        <v>210</v>
      </c>
      <c r="G1242" s="87">
        <v>-1</v>
      </c>
      <c r="H1242" s="87" t="s">
        <v>210</v>
      </c>
      <c r="I1242" s="87" t="s">
        <v>210</v>
      </c>
      <c r="J1242" s="87">
        <v>-4</v>
      </c>
      <c r="K1242" s="87" t="s">
        <v>210</v>
      </c>
      <c r="L1242" s="87" t="s">
        <v>210</v>
      </c>
      <c r="M1242" s="87">
        <v>2</v>
      </c>
      <c r="N1242" s="87" t="s">
        <v>210</v>
      </c>
    </row>
    <row r="1243" spans="1:14">
      <c r="A1243" s="90" t="str">
        <f t="shared" si="67"/>
        <v/>
      </c>
      <c r="B1243" s="87">
        <v>21</v>
      </c>
      <c r="C1243" s="87">
        <v>4</v>
      </c>
      <c r="D1243" s="87" t="s">
        <v>210</v>
      </c>
      <c r="E1243" s="87">
        <v>-5</v>
      </c>
      <c r="F1243" s="87" t="s">
        <v>210</v>
      </c>
      <c r="G1243" s="87" t="s">
        <v>210</v>
      </c>
      <c r="H1243" s="87">
        <v>2</v>
      </c>
      <c r="I1243" s="87" t="s">
        <v>210</v>
      </c>
      <c r="J1243" s="87">
        <v>1</v>
      </c>
      <c r="K1243" s="87" t="s">
        <v>210</v>
      </c>
      <c r="L1243" s="87">
        <v>-3</v>
      </c>
      <c r="M1243" s="87" t="s">
        <v>210</v>
      </c>
      <c r="N1243" s="87" t="s">
        <v>210</v>
      </c>
    </row>
    <row r="1244" spans="1:14">
      <c r="A1244" s="90" t="str">
        <f t="shared" si="67"/>
        <v/>
      </c>
      <c r="B1244" s="87">
        <v>22</v>
      </c>
      <c r="C1244" s="87">
        <v>-3</v>
      </c>
      <c r="D1244" s="87" t="s">
        <v>210</v>
      </c>
      <c r="E1244" s="87">
        <v>1</v>
      </c>
      <c r="F1244" s="87" t="s">
        <v>210</v>
      </c>
      <c r="G1244" s="87" t="s">
        <v>210</v>
      </c>
      <c r="H1244" s="87">
        <v>-4</v>
      </c>
      <c r="I1244" s="87" t="s">
        <v>210</v>
      </c>
      <c r="J1244" s="87">
        <v>2</v>
      </c>
      <c r="K1244" s="87" t="s">
        <v>210</v>
      </c>
      <c r="L1244" s="87">
        <v>3</v>
      </c>
      <c r="M1244" s="87" t="s">
        <v>210</v>
      </c>
      <c r="N1244" s="87" t="s">
        <v>210</v>
      </c>
    </row>
    <row r="1245" spans="1:14">
      <c r="A1245" s="90" t="str">
        <f t="shared" si="67"/>
        <v/>
      </c>
      <c r="B1245" s="87">
        <v>23</v>
      </c>
      <c r="C1245" s="87">
        <v>-4</v>
      </c>
      <c r="D1245" s="87" t="s">
        <v>210</v>
      </c>
      <c r="E1245" s="87">
        <v>-3</v>
      </c>
      <c r="F1245" s="87" t="s">
        <v>210</v>
      </c>
      <c r="G1245" s="87">
        <v>1</v>
      </c>
      <c r="H1245" s="87" t="s">
        <v>210</v>
      </c>
      <c r="I1245" s="87" t="s">
        <v>210</v>
      </c>
      <c r="J1245" s="87">
        <v>-2</v>
      </c>
      <c r="K1245" s="87" t="s">
        <v>210</v>
      </c>
      <c r="L1245" s="87">
        <v>5</v>
      </c>
      <c r="M1245" s="87" t="s">
        <v>210</v>
      </c>
      <c r="N1245" s="87" t="s">
        <v>210</v>
      </c>
    </row>
    <row r="1246" spans="1:14">
      <c r="A1246" s="90" t="str">
        <f t="shared" si="67"/>
        <v/>
      </c>
      <c r="B1246" s="87">
        <v>24</v>
      </c>
      <c r="C1246" s="87">
        <v>5</v>
      </c>
      <c r="D1246" s="87" t="s">
        <v>210</v>
      </c>
      <c r="E1246" s="87">
        <v>-1</v>
      </c>
      <c r="F1246" s="87" t="s">
        <v>210</v>
      </c>
      <c r="G1246" s="87" t="s">
        <v>210</v>
      </c>
      <c r="H1246" s="87">
        <v>-2</v>
      </c>
      <c r="I1246" s="87" t="s">
        <v>210</v>
      </c>
      <c r="J1246" s="87">
        <v>4</v>
      </c>
      <c r="K1246" s="87" t="s">
        <v>210</v>
      </c>
      <c r="L1246" s="87">
        <v>-5</v>
      </c>
      <c r="M1246" s="87" t="s">
        <v>210</v>
      </c>
      <c r="N1246" s="87" t="s">
        <v>210</v>
      </c>
    </row>
    <row r="1247" spans="1:14">
      <c r="A1247" s="90" t="str">
        <f t="shared" si="67"/>
        <v/>
      </c>
      <c r="B1247" s="318" t="s">
        <v>1095</v>
      </c>
    </row>
    <row r="1248" spans="1:14">
      <c r="A1248" s="90">
        <f t="shared" si="67"/>
        <v>1248</v>
      </c>
      <c r="B1248" s="87" t="s">
        <v>1101</v>
      </c>
    </row>
    <row r="1249" spans="1:8">
      <c r="A1249" s="90" t="str">
        <f t="shared" si="67"/>
        <v/>
      </c>
      <c r="B1249" s="87">
        <v>1</v>
      </c>
      <c r="C1249" s="87">
        <v>-3</v>
      </c>
      <c r="D1249" s="87">
        <v>5</v>
      </c>
      <c r="E1249" s="87">
        <v>3</v>
      </c>
    </row>
    <row r="1250" spans="1:8">
      <c r="A1250" s="90" t="str">
        <f t="shared" si="67"/>
        <v/>
      </c>
      <c r="B1250" s="87">
        <v>2</v>
      </c>
      <c r="C1250" s="87">
        <v>4</v>
      </c>
      <c r="D1250" s="87">
        <v>-1</v>
      </c>
      <c r="E1250" s="87">
        <v>-3</v>
      </c>
    </row>
    <row r="1251" spans="1:8">
      <c r="A1251" s="90" t="str">
        <f t="shared" si="67"/>
        <v/>
      </c>
      <c r="B1251" s="87">
        <v>3</v>
      </c>
      <c r="C1251" s="87">
        <v>-4</v>
      </c>
      <c r="D1251" s="87">
        <v>-5</v>
      </c>
      <c r="E1251" s="87">
        <v>4</v>
      </c>
    </row>
    <row r="1252" spans="1:8">
      <c r="A1252" s="90" t="str">
        <f t="shared" si="67"/>
        <v/>
      </c>
      <c r="B1252" s="232">
        <v>4</v>
      </c>
      <c r="C1252" s="233">
        <v>3</v>
      </c>
      <c r="D1252" s="233">
        <v>1</v>
      </c>
      <c r="E1252" s="233">
        <v>-4</v>
      </c>
    </row>
    <row r="1253" spans="1:8">
      <c r="A1253" s="90" t="str">
        <f t="shared" si="67"/>
        <v/>
      </c>
      <c r="B1253" s="87">
        <v>5</v>
      </c>
      <c r="C1253" s="87">
        <v>-1</v>
      </c>
      <c r="D1253" s="87">
        <v>3</v>
      </c>
      <c r="E1253" s="87">
        <v>2</v>
      </c>
    </row>
    <row r="1254" spans="1:8">
      <c r="A1254" s="90" t="str">
        <f t="shared" si="67"/>
        <v/>
      </c>
      <c r="B1254" s="87">
        <v>6</v>
      </c>
      <c r="C1254" s="87">
        <v>-2</v>
      </c>
      <c r="D1254" s="87">
        <v>-3</v>
      </c>
      <c r="E1254" s="87">
        <v>5</v>
      </c>
    </row>
    <row r="1255" spans="1:8">
      <c r="A1255" s="90" t="str">
        <f t="shared" si="67"/>
        <v/>
      </c>
      <c r="B1255" s="232">
        <v>7</v>
      </c>
      <c r="C1255" s="233">
        <v>1</v>
      </c>
      <c r="D1255" s="233">
        <v>-2</v>
      </c>
      <c r="E1255" s="233">
        <v>-5</v>
      </c>
    </row>
    <row r="1256" spans="1:8">
      <c r="A1256" s="90" t="str">
        <f t="shared" si="67"/>
        <v/>
      </c>
      <c r="B1256" s="87">
        <v>8</v>
      </c>
      <c r="C1256" s="87">
        <v>5</v>
      </c>
      <c r="D1256" s="87">
        <v>-4</v>
      </c>
      <c r="E1256" s="87">
        <v>-2</v>
      </c>
    </row>
    <row r="1257" spans="1:8">
      <c r="A1257" s="90" t="str">
        <f t="shared" si="67"/>
        <v/>
      </c>
      <c r="B1257" s="87">
        <v>9</v>
      </c>
      <c r="C1257" s="87">
        <v>2</v>
      </c>
      <c r="D1257" s="87">
        <v>4</v>
      </c>
      <c r="E1257" s="87">
        <v>-1</v>
      </c>
    </row>
    <row r="1258" spans="1:8">
      <c r="A1258" s="90" t="str">
        <f t="shared" si="67"/>
        <v/>
      </c>
      <c r="B1258" s="87">
        <v>10</v>
      </c>
      <c r="C1258" s="87">
        <v>-5</v>
      </c>
      <c r="D1258" s="87">
        <v>2</v>
      </c>
      <c r="E1258" s="87">
        <v>1</v>
      </c>
    </row>
    <row r="1259" spans="1:8">
      <c r="A1259" s="90" t="str">
        <f t="shared" si="67"/>
        <v/>
      </c>
      <c r="B1259" s="318" t="s">
        <v>1102</v>
      </c>
    </row>
    <row r="1260" spans="1:8">
      <c r="A1260" s="90">
        <f t="shared" si="67"/>
        <v>1260</v>
      </c>
      <c r="B1260" s="87" t="s">
        <v>1262</v>
      </c>
    </row>
    <row r="1261" spans="1:8">
      <c r="A1261" s="90" t="str">
        <f t="shared" si="67"/>
        <v/>
      </c>
      <c r="B1261" s="87">
        <v>1</v>
      </c>
      <c r="C1261" s="87" t="s">
        <v>210</v>
      </c>
      <c r="D1261" s="87">
        <v>5</v>
      </c>
      <c r="E1261" s="87">
        <v>-2</v>
      </c>
      <c r="F1261" s="87" t="s">
        <v>210</v>
      </c>
      <c r="G1261" s="87">
        <v>3</v>
      </c>
      <c r="H1261" s="87">
        <v>-5</v>
      </c>
    </row>
    <row r="1262" spans="1:8">
      <c r="A1262" s="90" t="str">
        <f t="shared" si="67"/>
        <v/>
      </c>
      <c r="B1262" s="87">
        <v>2</v>
      </c>
      <c r="C1262" s="87" t="s">
        <v>210</v>
      </c>
      <c r="D1262" s="87">
        <v>-3</v>
      </c>
      <c r="E1262" s="87">
        <v>4</v>
      </c>
      <c r="F1262" s="87">
        <v>-1</v>
      </c>
      <c r="G1262" s="87" t="s">
        <v>210</v>
      </c>
      <c r="H1262" s="87">
        <v>5</v>
      </c>
    </row>
    <row r="1263" spans="1:8">
      <c r="A1263" s="90" t="str">
        <f t="shared" si="67"/>
        <v/>
      </c>
      <c r="B1263" s="87">
        <v>3</v>
      </c>
      <c r="C1263" s="87" t="s">
        <v>210</v>
      </c>
      <c r="D1263" s="87">
        <v>-5</v>
      </c>
      <c r="E1263" s="87">
        <v>-4</v>
      </c>
      <c r="F1263" s="87">
        <v>2</v>
      </c>
      <c r="G1263" s="87" t="s">
        <v>210</v>
      </c>
      <c r="H1263" s="87">
        <v>3</v>
      </c>
    </row>
    <row r="1264" spans="1:8">
      <c r="A1264" s="90" t="str">
        <f t="shared" si="67"/>
        <v/>
      </c>
      <c r="B1264" s="87">
        <v>4</v>
      </c>
      <c r="C1264" s="87">
        <v>-5</v>
      </c>
      <c r="D1264" s="87" t="s">
        <v>210</v>
      </c>
      <c r="E1264" s="87">
        <v>2</v>
      </c>
      <c r="F1264" s="87">
        <v>1</v>
      </c>
      <c r="G1264" s="87" t="s">
        <v>210</v>
      </c>
      <c r="H1264" s="87">
        <v>-3</v>
      </c>
    </row>
    <row r="1265" spans="1:8">
      <c r="A1265" s="90" t="str">
        <f t="shared" si="67"/>
        <v/>
      </c>
      <c r="B1265" s="232">
        <v>5</v>
      </c>
      <c r="C1265" s="233">
        <v>5</v>
      </c>
      <c r="D1265" s="233">
        <v>3</v>
      </c>
      <c r="E1265" s="233" t="s">
        <v>210</v>
      </c>
      <c r="F1265" s="233">
        <v>-2</v>
      </c>
      <c r="G1265" s="233">
        <v>-3</v>
      </c>
      <c r="H1265" s="233" t="s">
        <v>210</v>
      </c>
    </row>
    <row r="1266" spans="1:8">
      <c r="A1266" s="90" t="str">
        <f t="shared" si="67"/>
        <v/>
      </c>
      <c r="B1266" s="87">
        <v>6</v>
      </c>
      <c r="C1266" s="87" t="s">
        <v>210</v>
      </c>
      <c r="D1266" s="87">
        <v>-1</v>
      </c>
      <c r="E1266" s="87">
        <v>3</v>
      </c>
      <c r="F1266" s="87">
        <v>4</v>
      </c>
      <c r="G1266" s="87" t="s">
        <v>210</v>
      </c>
      <c r="H1266" s="87">
        <v>-2</v>
      </c>
    </row>
    <row r="1267" spans="1:8">
      <c r="A1267" s="90" t="str">
        <f t="shared" si="67"/>
        <v/>
      </c>
      <c r="B1267" s="87">
        <v>7</v>
      </c>
      <c r="C1267" s="87">
        <v>-3</v>
      </c>
      <c r="D1267" s="87" t="s">
        <v>210</v>
      </c>
      <c r="E1267" s="87">
        <v>-1</v>
      </c>
      <c r="F1267" s="87" t="s">
        <v>210</v>
      </c>
      <c r="G1267" s="87">
        <v>4</v>
      </c>
      <c r="H1267" s="87">
        <v>2</v>
      </c>
    </row>
    <row r="1268" spans="1:8">
      <c r="A1268" s="90" t="str">
        <f t="shared" si="67"/>
        <v/>
      </c>
      <c r="B1268" s="87">
        <v>8</v>
      </c>
      <c r="C1268" s="87">
        <v>2</v>
      </c>
      <c r="D1268" s="87" t="s">
        <v>210</v>
      </c>
      <c r="E1268" s="87">
        <v>-3</v>
      </c>
      <c r="F1268" s="87">
        <v>5</v>
      </c>
      <c r="G1268" s="87">
        <v>-4</v>
      </c>
      <c r="H1268" s="87" t="s">
        <v>210</v>
      </c>
    </row>
    <row r="1269" spans="1:8">
      <c r="A1269" s="90" t="str">
        <f t="shared" si="67"/>
        <v/>
      </c>
      <c r="B1269" s="87">
        <v>9</v>
      </c>
      <c r="C1269" s="87">
        <v>3</v>
      </c>
      <c r="D1269" s="87">
        <v>1</v>
      </c>
      <c r="E1269" s="87" t="s">
        <v>210</v>
      </c>
      <c r="F1269" s="87">
        <v>-5</v>
      </c>
      <c r="G1269" s="87">
        <v>-2</v>
      </c>
      <c r="H1269" s="87" t="s">
        <v>210</v>
      </c>
    </row>
    <row r="1270" spans="1:8">
      <c r="A1270" s="90" t="str">
        <f t="shared" si="67"/>
        <v/>
      </c>
      <c r="B1270" s="232">
        <v>10</v>
      </c>
      <c r="C1270" s="233">
        <v>-2</v>
      </c>
      <c r="D1270" s="233" t="s">
        <v>210</v>
      </c>
      <c r="E1270" s="233">
        <v>1</v>
      </c>
      <c r="F1270" s="233">
        <v>-4</v>
      </c>
      <c r="G1270" s="233">
        <v>2</v>
      </c>
      <c r="H1270" s="233" t="s">
        <v>210</v>
      </c>
    </row>
    <row r="1271" spans="1:8">
      <c r="A1271" s="90" t="str">
        <f t="shared" si="67"/>
        <v/>
      </c>
      <c r="B1271" s="87">
        <v>11</v>
      </c>
      <c r="C1271" s="87" t="s">
        <v>210</v>
      </c>
      <c r="D1271" s="87">
        <v>4</v>
      </c>
      <c r="E1271" s="87">
        <v>5</v>
      </c>
      <c r="F1271" s="87">
        <v>-3</v>
      </c>
      <c r="G1271" s="87" t="s">
        <v>210</v>
      </c>
      <c r="H1271" s="87">
        <v>-1</v>
      </c>
    </row>
    <row r="1272" spans="1:8">
      <c r="A1272" s="90" t="str">
        <f t="shared" si="67"/>
        <v/>
      </c>
      <c r="B1272" s="87">
        <v>12</v>
      </c>
      <c r="C1272" s="87">
        <v>4</v>
      </c>
      <c r="D1272" s="87">
        <v>2</v>
      </c>
      <c r="E1272" s="87" t="s">
        <v>210</v>
      </c>
      <c r="F1272" s="87" t="s">
        <v>210</v>
      </c>
      <c r="G1272" s="87">
        <v>5</v>
      </c>
      <c r="H1272" s="87">
        <v>-1</v>
      </c>
    </row>
    <row r="1273" spans="1:8">
      <c r="A1273" s="90" t="str">
        <f t="shared" si="67"/>
        <v/>
      </c>
      <c r="B1273" s="87">
        <v>13</v>
      </c>
      <c r="C1273" s="87">
        <v>-4</v>
      </c>
      <c r="D1273" s="87" t="s">
        <v>210</v>
      </c>
      <c r="E1273" s="87">
        <v>5</v>
      </c>
      <c r="F1273" s="87" t="s">
        <v>210</v>
      </c>
      <c r="G1273" s="87">
        <v>-1</v>
      </c>
      <c r="H1273" s="87">
        <v>4</v>
      </c>
    </row>
    <row r="1274" spans="1:8">
      <c r="A1274" s="90" t="str">
        <f t="shared" si="67"/>
        <v/>
      </c>
      <c r="B1274" s="87">
        <v>14</v>
      </c>
      <c r="C1274" s="87">
        <v>-1</v>
      </c>
      <c r="D1274" s="87">
        <v>-4</v>
      </c>
      <c r="E1274" s="87" t="s">
        <v>210</v>
      </c>
      <c r="F1274" s="87" t="s">
        <v>210</v>
      </c>
      <c r="G1274" s="87">
        <v>5</v>
      </c>
      <c r="H1274" s="87">
        <v>4</v>
      </c>
    </row>
    <row r="1275" spans="1:8">
      <c r="A1275" s="90" t="str">
        <f t="shared" si="67"/>
        <v/>
      </c>
      <c r="B1275" s="87">
        <v>15</v>
      </c>
      <c r="C1275" s="87">
        <v>1</v>
      </c>
      <c r="D1275" s="87">
        <v>-2</v>
      </c>
      <c r="E1275" s="87" t="s">
        <v>210</v>
      </c>
      <c r="F1275" s="87">
        <v>3</v>
      </c>
      <c r="G1275" s="87">
        <v>-1</v>
      </c>
      <c r="H1275" s="87" t="s">
        <v>210</v>
      </c>
    </row>
    <row r="1276" spans="1:8">
      <c r="A1276" s="90" t="str">
        <f t="shared" si="67"/>
        <v/>
      </c>
      <c r="B1276" s="318" t="s">
        <v>1001</v>
      </c>
    </row>
    <row r="1277" spans="1:8">
      <c r="A1277" s="90" t="str">
        <f t="shared" si="67"/>
        <v/>
      </c>
    </row>
    <row r="1278" spans="1:8">
      <c r="A1278" s="90" t="str">
        <f t="shared" si="67"/>
        <v/>
      </c>
    </row>
    <row r="1279" spans="1:8">
      <c r="A1279" s="90" t="str">
        <f t="shared" si="67"/>
        <v/>
      </c>
    </row>
    <row r="1280" spans="1:8">
      <c r="A1280" s="90" t="str">
        <f t="shared" si="67"/>
        <v/>
      </c>
    </row>
    <row r="1281" spans="1:1">
      <c r="A1281" s="90" t="str">
        <f t="shared" si="67"/>
        <v/>
      </c>
    </row>
    <row r="1282" spans="1:1">
      <c r="A1282" s="90" t="str">
        <f t="shared" si="67"/>
        <v/>
      </c>
    </row>
    <row r="1283" spans="1:1">
      <c r="A1283" s="90" t="str">
        <f t="shared" si="67"/>
        <v/>
      </c>
    </row>
    <row r="1284" spans="1:1">
      <c r="A1284" s="90" t="str">
        <f t="shared" si="67"/>
        <v/>
      </c>
    </row>
    <row r="1285" spans="1:1">
      <c r="A1285" s="90" t="str">
        <f t="shared" si="67"/>
        <v/>
      </c>
    </row>
    <row r="1286" spans="1:1">
      <c r="A1286" s="90" t="str">
        <f t="shared" si="67"/>
        <v/>
      </c>
    </row>
    <row r="1287" spans="1:1">
      <c r="A1287" s="90" t="str">
        <f t="shared" si="67"/>
        <v/>
      </c>
    </row>
    <row r="1288" spans="1:1">
      <c r="A1288" s="90" t="str">
        <f t="shared" si="67"/>
        <v/>
      </c>
    </row>
    <row r="1289" spans="1:1">
      <c r="A1289" s="90" t="str">
        <f t="shared" si="67"/>
        <v/>
      </c>
    </row>
    <row r="1290" spans="1:1">
      <c r="A1290" s="90" t="str">
        <f t="shared" si="67"/>
        <v/>
      </c>
    </row>
    <row r="1291" spans="1:1">
      <c r="A1291" s="90" t="str">
        <f t="shared" si="67"/>
        <v/>
      </c>
    </row>
    <row r="1292" spans="1:1">
      <c r="A1292" s="90" t="str">
        <f t="shared" ref="A1292:A1300" si="68">IF(MID(B1292,3,2)="05",ROW(),"")</f>
        <v/>
      </c>
    </row>
    <row r="1293" spans="1:1">
      <c r="A1293" s="90" t="str">
        <f t="shared" si="68"/>
        <v/>
      </c>
    </row>
    <row r="1294" spans="1:1">
      <c r="A1294" s="90" t="str">
        <f t="shared" si="68"/>
        <v/>
      </c>
    </row>
    <row r="1295" spans="1:1">
      <c r="A1295" s="90" t="str">
        <f t="shared" si="68"/>
        <v/>
      </c>
    </row>
    <row r="1296" spans="1:1">
      <c r="A1296" s="90" t="str">
        <f t="shared" si="68"/>
        <v/>
      </c>
    </row>
    <row r="1297" spans="1:2">
      <c r="A1297" s="90" t="str">
        <f t="shared" si="68"/>
        <v/>
      </c>
    </row>
    <row r="1298" spans="1:2">
      <c r="A1298" s="90" t="str">
        <f t="shared" si="68"/>
        <v/>
      </c>
    </row>
    <row r="1299" spans="1:2">
      <c r="A1299" s="90" t="str">
        <f t="shared" si="68"/>
        <v/>
      </c>
      <c r="B1299" s="318"/>
    </row>
    <row r="1300" spans="1:2">
      <c r="A1300" s="90" t="str">
        <f t="shared" si="68"/>
        <v/>
      </c>
    </row>
  </sheetData>
  <sheetProtection password="FFF0" sheet="1" objects="1" scenarios="1"/>
  <conditionalFormatting sqref="BG11:BG100">
    <cfRule type="cellIs" dxfId="58" priority="3" operator="equal">
      <formula>$BG$9</formula>
    </cfRule>
  </conditionalFormatting>
  <conditionalFormatting sqref="A11:A1300">
    <cfRule type="expression" dxfId="57" priority="1">
      <formula>A11=$BA$7</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600"/>
  <sheetViews>
    <sheetView workbookViewId="0">
      <selection activeCell="BB1" sqref="BB1"/>
    </sheetView>
  </sheetViews>
  <sheetFormatPr baseColWidth="10" defaultRowHeight="12" x14ac:dyDescent="0"/>
  <cols>
    <col min="1" max="1" width="5.140625" style="87" customWidth="1"/>
    <col min="2" max="52" width="2.5703125" style="87" customWidth="1"/>
    <col min="53" max="53" width="4.140625" style="87" customWidth="1"/>
    <col min="54" max="54" width="10.28515625" style="87" customWidth="1"/>
    <col min="55" max="55" width="5.140625" style="87" customWidth="1"/>
    <col min="56" max="56" width="4.140625" style="87" customWidth="1"/>
    <col min="57" max="57" width="7.140625" style="89" customWidth="1"/>
    <col min="58" max="58" width="10.28515625" style="89" customWidth="1"/>
    <col min="59" max="60" width="3.140625" style="87" customWidth="1"/>
    <col min="61" max="61" width="5.140625" style="87" customWidth="1"/>
    <col min="62" max="65" width="3.140625" style="87" customWidth="1"/>
    <col min="66" max="66" width="10.7109375" style="87"/>
    <col min="67" max="74" width="3.140625" style="87" customWidth="1"/>
    <col min="75" max="75" width="10.28515625" style="87" customWidth="1"/>
    <col min="76" max="79" width="5.140625" style="87" customWidth="1"/>
    <col min="80" max="16384" width="10.7109375" style="87"/>
  </cols>
  <sheetData>
    <row r="1" spans="1:76">
      <c r="B1" s="88">
        <f>COLUMN()</f>
        <v>2</v>
      </c>
      <c r="C1" s="88">
        <f>COLUMN()</f>
        <v>3</v>
      </c>
      <c r="D1" s="88">
        <f>COLUMN()</f>
        <v>4</v>
      </c>
      <c r="E1" s="88">
        <f>COLUMN()</f>
        <v>5</v>
      </c>
      <c r="F1" s="88">
        <f>COLUMN()</f>
        <v>6</v>
      </c>
      <c r="G1" s="88">
        <f>COLUMN()</f>
        <v>7</v>
      </c>
      <c r="H1" s="88">
        <f>COLUMN()</f>
        <v>8</v>
      </c>
      <c r="I1" s="88">
        <f>COLUMN()</f>
        <v>9</v>
      </c>
      <c r="J1" s="88">
        <f>COLUMN()</f>
        <v>10</v>
      </c>
      <c r="K1" s="88">
        <f>COLUMN()</f>
        <v>11</v>
      </c>
      <c r="L1" s="88">
        <f>COLUMN()</f>
        <v>12</v>
      </c>
      <c r="M1" s="88">
        <f>COLUMN()</f>
        <v>13</v>
      </c>
      <c r="N1" s="88">
        <f>COLUMN()</f>
        <v>14</v>
      </c>
      <c r="O1" s="88">
        <f>COLUMN()</f>
        <v>15</v>
      </c>
      <c r="P1" s="88">
        <f>COLUMN()</f>
        <v>16</v>
      </c>
      <c r="Q1" s="88">
        <f>COLUMN()</f>
        <v>17</v>
      </c>
      <c r="R1" s="88">
        <f>COLUMN()</f>
        <v>18</v>
      </c>
      <c r="S1" s="88">
        <f>COLUMN()</f>
        <v>19</v>
      </c>
      <c r="T1" s="88">
        <f>COLUMN()</f>
        <v>20</v>
      </c>
      <c r="U1" s="88">
        <f>COLUMN()</f>
        <v>21</v>
      </c>
      <c r="V1" s="88">
        <f>COLUMN()</f>
        <v>22</v>
      </c>
      <c r="W1" s="88">
        <f>COLUMN()</f>
        <v>23</v>
      </c>
      <c r="X1" s="88">
        <f>COLUMN()</f>
        <v>24</v>
      </c>
      <c r="Y1" s="88">
        <f>COLUMN()</f>
        <v>25</v>
      </c>
      <c r="Z1" s="88">
        <f>COLUMN()</f>
        <v>26</v>
      </c>
      <c r="AA1" s="88">
        <f>COLUMN()</f>
        <v>27</v>
      </c>
      <c r="AB1" s="88">
        <f>COLUMN()</f>
        <v>28</v>
      </c>
      <c r="AC1" s="88">
        <f>COLUMN()</f>
        <v>29</v>
      </c>
      <c r="AD1" s="88">
        <f>COLUMN()</f>
        <v>30</v>
      </c>
      <c r="AE1" s="88">
        <f>COLUMN()</f>
        <v>31</v>
      </c>
      <c r="AF1" s="88">
        <f>COLUMN()</f>
        <v>32</v>
      </c>
      <c r="AG1" s="88">
        <f>COLUMN()</f>
        <v>33</v>
      </c>
      <c r="AH1" s="88">
        <f>COLUMN()</f>
        <v>34</v>
      </c>
      <c r="AI1" s="88">
        <f>COLUMN()</f>
        <v>35</v>
      </c>
      <c r="AJ1" s="88">
        <f>COLUMN()</f>
        <v>36</v>
      </c>
      <c r="AK1" s="88">
        <f>COLUMN()</f>
        <v>37</v>
      </c>
      <c r="AL1" s="88">
        <f>COLUMN()</f>
        <v>38</v>
      </c>
      <c r="AM1" s="88">
        <f>COLUMN()</f>
        <v>39</v>
      </c>
      <c r="AN1" s="88">
        <f>COLUMN()</f>
        <v>40</v>
      </c>
      <c r="AO1" s="88">
        <f>COLUMN()</f>
        <v>41</v>
      </c>
      <c r="AP1" s="88">
        <f>COLUMN()</f>
        <v>42</v>
      </c>
      <c r="AQ1" s="88">
        <f>COLUMN()</f>
        <v>43</v>
      </c>
      <c r="AR1" s="88">
        <f>COLUMN()</f>
        <v>44</v>
      </c>
      <c r="AS1" s="88">
        <f>COLUMN()</f>
        <v>45</v>
      </c>
      <c r="AT1" s="88">
        <f>COLUMN()</f>
        <v>46</v>
      </c>
      <c r="AU1" s="88">
        <f>COLUMN()</f>
        <v>47</v>
      </c>
      <c r="AV1" s="88">
        <f>COLUMN()</f>
        <v>48</v>
      </c>
      <c r="AW1" s="88">
        <f>COLUMN()</f>
        <v>49</v>
      </c>
      <c r="AX1" s="88">
        <f>COLUMN()</f>
        <v>50</v>
      </c>
      <c r="AY1" s="88">
        <f>COLUMN()</f>
        <v>51</v>
      </c>
      <c r="AZ1" s="88">
        <f>COLUMN()</f>
        <v>52</v>
      </c>
      <c r="BB1" s="88" t="str">
        <f>Intro!D46</f>
        <v/>
      </c>
    </row>
    <row r="2" spans="1:76">
      <c r="B2" s="88" t="str">
        <f>CHAR(B1+64)</f>
        <v>B</v>
      </c>
      <c r="C2" s="88" t="str">
        <f t="shared" ref="C2:Z2" si="0">CHAR(C1+64)</f>
        <v>C</v>
      </c>
      <c r="D2" s="88" t="str">
        <f t="shared" si="0"/>
        <v>D</v>
      </c>
      <c r="E2" s="88" t="str">
        <f t="shared" si="0"/>
        <v>E</v>
      </c>
      <c r="F2" s="88" t="str">
        <f t="shared" si="0"/>
        <v>F</v>
      </c>
      <c r="G2" s="88" t="str">
        <f t="shared" si="0"/>
        <v>G</v>
      </c>
      <c r="H2" s="88" t="str">
        <f t="shared" si="0"/>
        <v>H</v>
      </c>
      <c r="I2" s="88" t="str">
        <f t="shared" si="0"/>
        <v>I</v>
      </c>
      <c r="J2" s="88" t="str">
        <f t="shared" si="0"/>
        <v>J</v>
      </c>
      <c r="K2" s="88" t="str">
        <f t="shared" si="0"/>
        <v>K</v>
      </c>
      <c r="L2" s="88" t="str">
        <f t="shared" si="0"/>
        <v>L</v>
      </c>
      <c r="M2" s="88" t="str">
        <f t="shared" si="0"/>
        <v>M</v>
      </c>
      <c r="N2" s="88" t="str">
        <f t="shared" si="0"/>
        <v>N</v>
      </c>
      <c r="O2" s="88" t="str">
        <f t="shared" si="0"/>
        <v>O</v>
      </c>
      <c r="P2" s="88" t="str">
        <f t="shared" si="0"/>
        <v>P</v>
      </c>
      <c r="Q2" s="88" t="str">
        <f t="shared" si="0"/>
        <v>Q</v>
      </c>
      <c r="R2" s="88" t="str">
        <f t="shared" si="0"/>
        <v>R</v>
      </c>
      <c r="S2" s="88" t="str">
        <f t="shared" si="0"/>
        <v>S</v>
      </c>
      <c r="T2" s="88" t="str">
        <f t="shared" si="0"/>
        <v>T</v>
      </c>
      <c r="U2" s="88" t="str">
        <f t="shared" si="0"/>
        <v>U</v>
      </c>
      <c r="V2" s="88" t="str">
        <f t="shared" si="0"/>
        <v>V</v>
      </c>
      <c r="W2" s="88" t="str">
        <f t="shared" si="0"/>
        <v>W</v>
      </c>
      <c r="X2" s="88" t="str">
        <f t="shared" si="0"/>
        <v>X</v>
      </c>
      <c r="Y2" s="88" t="str">
        <f t="shared" si="0"/>
        <v>Y</v>
      </c>
      <c r="Z2" s="88" t="str">
        <f t="shared" si="0"/>
        <v>Z</v>
      </c>
      <c r="AA2" s="88" t="str">
        <f>CONCATENATE("A",CHAR(AA1+38))</f>
        <v>AA</v>
      </c>
      <c r="AB2" s="88" t="str">
        <f t="shared" ref="AB2:AZ2" si="1">CONCATENATE("A",CHAR(AB1+38))</f>
        <v>AB</v>
      </c>
      <c r="AC2" s="88" t="str">
        <f t="shared" si="1"/>
        <v>AC</v>
      </c>
      <c r="AD2" s="88" t="str">
        <f t="shared" si="1"/>
        <v>AD</v>
      </c>
      <c r="AE2" s="88" t="str">
        <f t="shared" si="1"/>
        <v>AE</v>
      </c>
      <c r="AF2" s="88" t="str">
        <f t="shared" si="1"/>
        <v>AF</v>
      </c>
      <c r="AG2" s="88" t="str">
        <f t="shared" si="1"/>
        <v>AG</v>
      </c>
      <c r="AH2" s="88" t="str">
        <f t="shared" si="1"/>
        <v>AH</v>
      </c>
      <c r="AI2" s="88" t="str">
        <f t="shared" si="1"/>
        <v>AI</v>
      </c>
      <c r="AJ2" s="88" t="str">
        <f t="shared" si="1"/>
        <v>AJ</v>
      </c>
      <c r="AK2" s="88" t="str">
        <f t="shared" si="1"/>
        <v>AK</v>
      </c>
      <c r="AL2" s="88" t="str">
        <f t="shared" si="1"/>
        <v>AL</v>
      </c>
      <c r="AM2" s="88" t="str">
        <f t="shared" si="1"/>
        <v>AM</v>
      </c>
      <c r="AN2" s="88" t="str">
        <f t="shared" si="1"/>
        <v>AN</v>
      </c>
      <c r="AO2" s="88" t="str">
        <f t="shared" si="1"/>
        <v>AO</v>
      </c>
      <c r="AP2" s="88" t="str">
        <f t="shared" si="1"/>
        <v>AP</v>
      </c>
      <c r="AQ2" s="88" t="str">
        <f t="shared" si="1"/>
        <v>AQ</v>
      </c>
      <c r="AR2" s="88" t="str">
        <f t="shared" si="1"/>
        <v>AR</v>
      </c>
      <c r="AS2" s="88" t="str">
        <f t="shared" si="1"/>
        <v>AS</v>
      </c>
      <c r="AT2" s="88" t="str">
        <f t="shared" si="1"/>
        <v>AT</v>
      </c>
      <c r="AU2" s="88" t="str">
        <f t="shared" si="1"/>
        <v>AU</v>
      </c>
      <c r="AV2" s="88" t="str">
        <f t="shared" si="1"/>
        <v>AV</v>
      </c>
      <c r="AW2" s="88" t="str">
        <f t="shared" si="1"/>
        <v>AW</v>
      </c>
      <c r="AX2" s="88" t="str">
        <f t="shared" si="1"/>
        <v>AX</v>
      </c>
      <c r="AY2" s="88" t="str">
        <f t="shared" si="1"/>
        <v>AY</v>
      </c>
      <c r="AZ2" s="88" t="str">
        <f t="shared" si="1"/>
        <v>AZ</v>
      </c>
    </row>
    <row r="6" spans="1:76">
      <c r="BD6" s="471"/>
      <c r="BE6" s="87"/>
      <c r="BF6" s="87"/>
    </row>
    <row r="7" spans="1:76">
      <c r="BA7" s="88">
        <f ca="1">VALUE(INDIRECT(CONCATENATE("BA",BE7+10)))</f>
        <v>517</v>
      </c>
      <c r="BD7" s="473">
        <f ca="1">IF(BD6&gt;0,BD6,DrawFinder!H10)</f>
        <v>25</v>
      </c>
      <c r="BE7" s="88">
        <f ca="1">MATCH(BD7,BD11:BD100,0)</f>
        <v>25</v>
      </c>
    </row>
    <row r="8" spans="1:76">
      <c r="BD8" s="87" t="s">
        <v>190</v>
      </c>
    </row>
    <row r="9" spans="1:76" ht="13">
      <c r="BD9" s="89">
        <f ca="1">LARGE(BD11:BD100,1)</f>
        <v>61</v>
      </c>
      <c r="BG9"/>
    </row>
    <row r="10" spans="1:76">
      <c r="BA10" s="93">
        <v>1</v>
      </c>
      <c r="BB10" s="88">
        <v>1600</v>
      </c>
      <c r="BD10" s="87" t="s">
        <v>191</v>
      </c>
      <c r="BG10" s="87" t="s">
        <v>192</v>
      </c>
      <c r="BH10" s="87" t="s">
        <v>193</v>
      </c>
      <c r="BJ10" s="87" t="s">
        <v>194</v>
      </c>
      <c r="BK10" s="89" t="s">
        <v>195</v>
      </c>
      <c r="BL10" s="89" t="s">
        <v>196</v>
      </c>
      <c r="BM10" s="87" t="s">
        <v>197</v>
      </c>
      <c r="BN10" s="87" t="s">
        <v>198</v>
      </c>
      <c r="BO10" s="89" t="s">
        <v>199</v>
      </c>
      <c r="BP10" s="89" t="s">
        <v>200</v>
      </c>
      <c r="BQ10" s="89" t="s">
        <v>201</v>
      </c>
      <c r="BR10" s="87" t="s">
        <v>202</v>
      </c>
      <c r="BS10" s="89" t="s">
        <v>203</v>
      </c>
      <c r="BT10" s="89" t="s">
        <v>90</v>
      </c>
      <c r="BU10" s="89" t="s">
        <v>14</v>
      </c>
      <c r="BV10" s="97" t="s">
        <v>204</v>
      </c>
      <c r="BX10" s="285" t="s">
        <v>843</v>
      </c>
    </row>
    <row r="11" spans="1:76">
      <c r="A11" s="374">
        <f>IF(MID(B11,3,2)="06",ROW(),"")</f>
        <v>11</v>
      </c>
      <c r="B11" s="98" t="s">
        <v>337</v>
      </c>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1">
        <f ca="1">IF(BA10=0,0,MIN(INDIRECT(BB11)))</f>
        <v>11</v>
      </c>
      <c r="BB11" s="88" t="str">
        <f>IF(BA10=0,"",CONCATENATE("A",BA10+1,":A",BB$10))</f>
        <v>A2:A1600</v>
      </c>
      <c r="BC11" s="89" t="str">
        <f ca="1">IF(BA11=0,0,CONCATENATE("B",BA11))</f>
        <v>B11</v>
      </c>
      <c r="BD11" s="89">
        <f ca="1">IF(BC11=0,0,RANK(BF11,$BF$11:$BF$100,0)+(COUNTIF($BF11:$BF$100,BF11)-1))</f>
        <v>61</v>
      </c>
      <c r="BE11" s="89" t="str">
        <f ca="1">IF(BC11=0,0,LEFT(INDIRECT(BC11),6))</f>
        <v>120601</v>
      </c>
      <c r="BF11" s="89">
        <f ca="1">VALUE(BW11)</f>
        <v>12060111</v>
      </c>
      <c r="BG11" s="89">
        <f ca="1">IF(BA11=0,0,VALUE(LEFT(BE11,2)))</f>
        <v>12</v>
      </c>
      <c r="BH11" s="89">
        <f ca="1">IF(BA11=0,0,VALUE(MID(BE11,5,2)))</f>
        <v>1</v>
      </c>
      <c r="BI11" s="89" t="str">
        <f ca="1">IF(BA11=0,0,CONCATENATE("B",BA11+BG11+1))</f>
        <v>B24</v>
      </c>
      <c r="BJ11" s="89">
        <f ca="1">IF(BA11=0,0,VALUE(MID(INDIRECT(BI11),4,2)))</f>
        <v>11</v>
      </c>
      <c r="BK11" s="89">
        <f ca="1">IF(BA11=0,0,VALUE(MID(INDIRECT(BI11),9,2)))</f>
        <v>11</v>
      </c>
      <c r="BL11" s="89">
        <f ca="1">IF(BA11=0,0,VALUE(MID(INDIRECT(BI11),14,3)))</f>
        <v>66</v>
      </c>
      <c r="BM11" s="89">
        <f ca="1">IF(BA11=0,0,2+BK11)</f>
        <v>13</v>
      </c>
      <c r="BN11" s="89" t="str">
        <f ca="1">IF(BA11=0,0,CONCATENATE("S6!B",BA11+1,":",HLOOKUP(BM11,$B$1:$AZ$2,2,FALSE),BA11+BG11))</f>
        <v>S6!B12:M23</v>
      </c>
      <c r="BO11" s="89" t="str">
        <f ca="1">IF(BA11=0,0,IF(BV11="c","c",IF(ISERROR(FIND("s",INDIRECT($BC11))),IF(ISERROR(FIND("e",INDIRECT($BC11))),"L","e"),"s")))</f>
        <v>s</v>
      </c>
      <c r="BP11" s="89" t="str">
        <f ca="1">IF(BA11=0,0,IF(ISERROR(FIND("b",INDIRECT($BC11))),IF(ISERROR(FIND("w",INDIRECT($BC11))),"","w"),"b"))</f>
        <v/>
      </c>
      <c r="BQ11" s="89" t="str">
        <f ca="1">IF(BA11=0,0,IF(ISERROR(FIND("w",INDIRECT($BC11))),"","w"))</f>
        <v/>
      </c>
      <c r="BR11" s="87" t="str">
        <f ca="1">IF(BA11=0,0,IF(ISERROR(FIND("x",INDIRECT($BC11))),IF(ISERROR(FIND("E",INDIRECT($BC11))),"","E"),"x"))</f>
        <v/>
      </c>
      <c r="BS11" s="89" t="str">
        <f t="shared" ref="BS11:BS70" ca="1" si="2">IF(BA11=0,0,IF(ISERROR(FIND("a",INDIRECT($BC11))),"","a"))</f>
        <v/>
      </c>
      <c r="BT11" s="89" t="str">
        <f t="shared" ref="BT11:BT70" ca="1" si="3">IF(BA11=0,0,IF(ISERROR(FIND("E",INDIRECT($BC11))),"","E"))</f>
        <v/>
      </c>
      <c r="BU11" s="89" t="str">
        <f t="shared" ref="BU11:BU70" ca="1" si="4">IF(BA11=0,0,IF(ISERROR(FIND("X",INDIRECT($BC11))),"","X"))</f>
        <v/>
      </c>
      <c r="BV11" s="87" t="str">
        <f ca="1">IF(BA11=0,0,IF(ISERROR(FIND("c",INDIRECT($BC11))),"","c"))</f>
        <v/>
      </c>
      <c r="BW11" s="87" t="str">
        <f ca="1">CONCATENATE(BE11,IF(BK11&lt;10,"0",""),BK11)</f>
        <v>12060111</v>
      </c>
      <c r="BX11" s="89">
        <f ca="1">IF(BV11="c",RIGHT(INDIRECT(BC11),2),0)</f>
        <v>0</v>
      </c>
    </row>
    <row r="12" spans="1:76">
      <c r="A12" s="374" t="str">
        <f t="shared" ref="A12:A75" si="5">IF(MID(B12,3,2)="06",ROW(),"")</f>
        <v/>
      </c>
      <c r="B12" s="98">
        <v>1</v>
      </c>
      <c r="C12" s="94">
        <v>5</v>
      </c>
      <c r="D12" s="94">
        <v>-2</v>
      </c>
      <c r="E12" s="94">
        <v>1</v>
      </c>
      <c r="F12" s="94">
        <v>3</v>
      </c>
      <c r="G12" s="94">
        <v>4</v>
      </c>
      <c r="H12" s="94">
        <v>-6</v>
      </c>
      <c r="I12" s="94">
        <v>2</v>
      </c>
      <c r="J12" s="94">
        <v>-1</v>
      </c>
      <c r="K12" s="94">
        <v>-4</v>
      </c>
      <c r="L12" s="94">
        <v>-5</v>
      </c>
      <c r="M12" s="94">
        <v>-3</v>
      </c>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1">
        <f t="shared" ref="BA12:BA70" ca="1" si="6">IF(BA11=0,0,MIN(INDIRECT(BB12)))</f>
        <v>25</v>
      </c>
      <c r="BB12" s="88" t="str">
        <f t="shared" ref="BB12:BB70" ca="1" si="7">IF(BA11=0,"",CONCATENATE("A",BA11+1,":A",BB$10))</f>
        <v>A12:A1600</v>
      </c>
      <c r="BC12" s="89" t="str">
        <f t="shared" ref="BC12:BC70" ca="1" si="8">IF(BA12=0,0,CONCATENATE("B",BA12))</f>
        <v>B25</v>
      </c>
      <c r="BD12" s="89">
        <f ca="1">IF(BC12=0,0,RANK(BF12,$BF$11:$BF$100,0)+(COUNTIF($BF12:$BF$100,BF12)-1))</f>
        <v>60</v>
      </c>
      <c r="BE12" s="89" t="str">
        <f t="shared" ref="BE12:BE70" ca="1" si="9">IF(BC12=0,0,LEFT(INDIRECT(BC12),6))</f>
        <v>120602</v>
      </c>
      <c r="BF12" s="89">
        <f t="shared" ref="BF12:BF70" ca="1" si="10">VALUE(BW12)</f>
        <v>12060205</v>
      </c>
      <c r="BG12" s="89">
        <f t="shared" ref="BG12:BG70" ca="1" si="11">IF(BA12=0,0,VALUE(LEFT(BE12,2)))</f>
        <v>12</v>
      </c>
      <c r="BH12" s="89">
        <f t="shared" ref="BH12:BH70" ca="1" si="12">IF(BA12=0,0,VALUE(MID(BE12,5,2)))</f>
        <v>2</v>
      </c>
      <c r="BI12" s="89" t="str">
        <f t="shared" ref="BI12:BI70" ca="1" si="13">IF(BA12=0,0,CONCATENATE("B",BA12+BG12+1))</f>
        <v>B38</v>
      </c>
      <c r="BJ12" s="89">
        <f t="shared" ref="BJ12:BJ70" ca="1" si="14">IF(BA12=0,0,VALUE(MID(INDIRECT(BI12),4,2)))</f>
        <v>5</v>
      </c>
      <c r="BK12" s="89">
        <f t="shared" ref="BK12:BK70" ca="1" si="15">IF(BA12=0,0,VALUE(MID(INDIRECT(BI12),9,2)))</f>
        <v>5</v>
      </c>
      <c r="BL12" s="89">
        <f t="shared" ref="BL12:BL70" ca="1" si="16">IF(BA12=0,0,VALUE(MID(INDIRECT(BI12),14,3)))</f>
        <v>30</v>
      </c>
      <c r="BM12" s="89">
        <f t="shared" ref="BM12:BM70" ca="1" si="17">IF(BA12=0,0,2+BK12)</f>
        <v>7</v>
      </c>
      <c r="BN12" s="89" t="str">
        <f t="shared" ref="BN12:BN70" ca="1" si="18">IF(BA12=0,0,CONCATENATE("S6!B",BA12+1,":",HLOOKUP(BM12,$B$1:$AZ$2,2,FALSE),BA12+BG12))</f>
        <v>S6!B26:G37</v>
      </c>
      <c r="BO12" s="89" t="str">
        <f t="shared" ref="BO12:BO70" ca="1" si="19">IF(BA12=0,0,IF(BV12="c","c",IF(ISERROR(FIND("s",INDIRECT($BC12))),IF(ISERROR(FIND("e",INDIRECT($BC12))),"L","e"),"s")))</f>
        <v>s</v>
      </c>
      <c r="BP12" s="89" t="str">
        <f t="shared" ref="BP12:BP70" ca="1" si="20">IF(BA12=0,0,IF(ISERROR(FIND("b",INDIRECT($BC12))),IF(ISERROR(FIND("w",INDIRECT($BC12))),"","w"),"b"))</f>
        <v/>
      </c>
      <c r="BQ12" s="89" t="str">
        <f t="shared" ref="BQ12:BQ70" ca="1" si="21">IF(BA12=0,0,IF(ISERROR(FIND("w",INDIRECT($BC12))),"","w"))</f>
        <v/>
      </c>
      <c r="BR12" s="87" t="str">
        <f t="shared" ref="BR12:BR70" ca="1" si="22">IF(BA12=0,0,IF(ISERROR(FIND("x",INDIRECT($BC12))),IF(ISERROR(FIND("E",INDIRECT($BC12))),"","E"),"x"))</f>
        <v/>
      </c>
      <c r="BS12" s="89" t="str">
        <f t="shared" ca="1" si="2"/>
        <v/>
      </c>
      <c r="BT12" s="89" t="str">
        <f t="shared" ca="1" si="3"/>
        <v/>
      </c>
      <c r="BU12" s="89" t="str">
        <f t="shared" ca="1" si="4"/>
        <v/>
      </c>
      <c r="BV12" s="87" t="str">
        <f t="shared" ref="BV12:BV70" ca="1" si="23">IF(BA12=0,0,IF(ISERROR(FIND("c",INDIRECT($BC12))),"","c"))</f>
        <v/>
      </c>
      <c r="BW12" s="87" t="str">
        <f t="shared" ref="BW12:BW70" ca="1" si="24">CONCATENATE(BE12,IF(BK12&lt;10,"0",""),BK12)</f>
        <v>12060205</v>
      </c>
      <c r="BX12" s="89">
        <f t="shared" ref="BX12:BX70" ca="1" si="25">IF(BV12="c",RIGHT(INDIRECT(BC12),2),0)</f>
        <v>0</v>
      </c>
    </row>
    <row r="13" spans="1:76">
      <c r="A13" s="374" t="str">
        <f t="shared" si="5"/>
        <v/>
      </c>
      <c r="B13" s="98">
        <v>2</v>
      </c>
      <c r="C13" s="94">
        <v>-3</v>
      </c>
      <c r="D13" s="94">
        <v>5</v>
      </c>
      <c r="E13" s="94">
        <v>-6</v>
      </c>
      <c r="F13" s="94">
        <v>4</v>
      </c>
      <c r="G13" s="94">
        <v>2</v>
      </c>
      <c r="H13" s="94">
        <v>-5</v>
      </c>
      <c r="I13" s="94">
        <v>-1</v>
      </c>
      <c r="J13" s="94">
        <v>-4</v>
      </c>
      <c r="K13" s="94">
        <v>6</v>
      </c>
      <c r="L13" s="94">
        <v>-2</v>
      </c>
      <c r="M13" s="94">
        <v>3</v>
      </c>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1">
        <f t="shared" ca="1" si="6"/>
        <v>39</v>
      </c>
      <c r="BB13" s="88" t="str">
        <f t="shared" ca="1" si="7"/>
        <v>A26:A1600</v>
      </c>
      <c r="BC13" s="89" t="str">
        <f t="shared" ca="1" si="8"/>
        <v>B39</v>
      </c>
      <c r="BD13" s="89">
        <f ca="1">IF(BC13=0,0,RANK(BF13,$BF$11:$BF$100,0)+(COUNTIF($BF13:$BF$100,BF13)-1))</f>
        <v>59</v>
      </c>
      <c r="BE13" s="89" t="str">
        <f t="shared" ca="1" si="9"/>
        <v>120603</v>
      </c>
      <c r="BF13" s="89">
        <f t="shared" ca="1" si="10"/>
        <v>12060303</v>
      </c>
      <c r="BG13" s="89">
        <f t="shared" ca="1" si="11"/>
        <v>12</v>
      </c>
      <c r="BH13" s="89">
        <f t="shared" ca="1" si="12"/>
        <v>3</v>
      </c>
      <c r="BI13" s="89" t="str">
        <f t="shared" ca="1" si="13"/>
        <v>B52</v>
      </c>
      <c r="BJ13" s="89">
        <f t="shared" ca="1" si="14"/>
        <v>3</v>
      </c>
      <c r="BK13" s="89">
        <f t="shared" ca="1" si="15"/>
        <v>3</v>
      </c>
      <c r="BL13" s="89">
        <f t="shared" ca="1" si="16"/>
        <v>18</v>
      </c>
      <c r="BM13" s="89">
        <f t="shared" ca="1" si="17"/>
        <v>5</v>
      </c>
      <c r="BN13" s="89" t="str">
        <f t="shared" ca="1" si="18"/>
        <v>S6!B40:E51</v>
      </c>
      <c r="BO13" s="89" t="str">
        <f t="shared" ca="1" si="19"/>
        <v>s</v>
      </c>
      <c r="BP13" s="89" t="str">
        <f t="shared" ca="1" si="20"/>
        <v/>
      </c>
      <c r="BQ13" s="89" t="str">
        <f t="shared" ca="1" si="21"/>
        <v/>
      </c>
      <c r="BR13" s="87" t="str">
        <f t="shared" ca="1" si="22"/>
        <v/>
      </c>
      <c r="BS13" s="89" t="str">
        <f t="shared" ca="1" si="2"/>
        <v/>
      </c>
      <c r="BT13" s="89" t="str">
        <f t="shared" ca="1" si="3"/>
        <v/>
      </c>
      <c r="BU13" s="89" t="str">
        <f t="shared" ca="1" si="4"/>
        <v/>
      </c>
      <c r="BV13" s="87" t="str">
        <f t="shared" ca="1" si="23"/>
        <v/>
      </c>
      <c r="BW13" s="87" t="str">
        <f t="shared" ca="1" si="24"/>
        <v>12060303</v>
      </c>
      <c r="BX13" s="89">
        <f t="shared" ca="1" si="25"/>
        <v>0</v>
      </c>
    </row>
    <row r="14" spans="1:76">
      <c r="A14" s="374" t="str">
        <f t="shared" si="5"/>
        <v/>
      </c>
      <c r="B14" s="98">
        <v>3</v>
      </c>
      <c r="C14" s="94">
        <v>6</v>
      </c>
      <c r="D14" s="94">
        <v>-3</v>
      </c>
      <c r="E14" s="94">
        <v>-2</v>
      </c>
      <c r="F14" s="94">
        <v>1</v>
      </c>
      <c r="G14" s="94">
        <v>-4</v>
      </c>
      <c r="H14" s="94">
        <v>3</v>
      </c>
      <c r="I14" s="94">
        <v>-6</v>
      </c>
      <c r="J14" s="94">
        <v>-5</v>
      </c>
      <c r="K14" s="94">
        <v>-1</v>
      </c>
      <c r="L14" s="94">
        <v>2</v>
      </c>
      <c r="M14" s="94">
        <v>4</v>
      </c>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1">
        <f t="shared" ca="1" si="6"/>
        <v>53</v>
      </c>
      <c r="BB14" s="88" t="str">
        <f t="shared" ca="1" si="7"/>
        <v>A40:A1600</v>
      </c>
      <c r="BC14" s="89" t="str">
        <f t="shared" ca="1" si="8"/>
        <v>B53</v>
      </c>
      <c r="BD14" s="89">
        <f ca="1">IF(BC14=0,0,RANK(BF14,$BF$11:$BF$100,0)+(COUNTIF($BF14:$BF$100,BF14)-1))</f>
        <v>58</v>
      </c>
      <c r="BE14" s="89" t="str">
        <f t="shared" ca="1" si="9"/>
        <v>130601</v>
      </c>
      <c r="BF14" s="89">
        <f t="shared" ca="1" si="10"/>
        <v>13060113</v>
      </c>
      <c r="BG14" s="89">
        <f t="shared" ca="1" si="11"/>
        <v>13</v>
      </c>
      <c r="BH14" s="89">
        <f t="shared" ca="1" si="12"/>
        <v>1</v>
      </c>
      <c r="BI14" s="89" t="str">
        <f t="shared" ca="1" si="13"/>
        <v>B67</v>
      </c>
      <c r="BJ14" s="89">
        <f t="shared" ca="1" si="14"/>
        <v>12</v>
      </c>
      <c r="BK14" s="89">
        <f t="shared" ca="1" si="15"/>
        <v>13</v>
      </c>
      <c r="BL14" s="89">
        <f t="shared" ca="1" si="16"/>
        <v>78</v>
      </c>
      <c r="BM14" s="89">
        <f t="shared" ca="1" si="17"/>
        <v>15</v>
      </c>
      <c r="BN14" s="89" t="str">
        <f t="shared" ca="1" si="18"/>
        <v>S6!B54:O66</v>
      </c>
      <c r="BO14" s="89" t="str">
        <f t="shared" ca="1" si="19"/>
        <v>s</v>
      </c>
      <c r="BP14" s="89" t="str">
        <f t="shared" ca="1" si="20"/>
        <v>b</v>
      </c>
      <c r="BQ14" s="89" t="str">
        <f t="shared" ca="1" si="21"/>
        <v/>
      </c>
      <c r="BR14" s="87" t="str">
        <f t="shared" ca="1" si="22"/>
        <v/>
      </c>
      <c r="BS14" s="89" t="str">
        <f t="shared" ca="1" si="2"/>
        <v/>
      </c>
      <c r="BT14" s="89" t="str">
        <f t="shared" ca="1" si="3"/>
        <v/>
      </c>
      <c r="BU14" s="89" t="str">
        <f t="shared" ca="1" si="4"/>
        <v/>
      </c>
      <c r="BV14" s="87" t="str">
        <f t="shared" ca="1" si="23"/>
        <v/>
      </c>
      <c r="BW14" s="87" t="str">
        <f t="shared" ca="1" si="24"/>
        <v>13060113</v>
      </c>
      <c r="BX14" s="89">
        <f t="shared" ca="1" si="25"/>
        <v>0</v>
      </c>
    </row>
    <row r="15" spans="1:76">
      <c r="A15" s="374" t="str">
        <f t="shared" si="5"/>
        <v/>
      </c>
      <c r="B15" s="98">
        <v>4</v>
      </c>
      <c r="C15" s="94">
        <v>2</v>
      </c>
      <c r="D15" s="94">
        <v>1</v>
      </c>
      <c r="E15" s="94">
        <v>-3</v>
      </c>
      <c r="F15" s="94">
        <v>6</v>
      </c>
      <c r="G15" s="94">
        <v>-5</v>
      </c>
      <c r="H15" s="94">
        <v>-1</v>
      </c>
      <c r="I15" s="94">
        <v>3</v>
      </c>
      <c r="J15" s="94">
        <v>-2</v>
      </c>
      <c r="K15" s="94">
        <v>-6</v>
      </c>
      <c r="L15" s="94">
        <v>5</v>
      </c>
      <c r="M15" s="94">
        <v>-4</v>
      </c>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1">
        <f t="shared" ca="1" si="6"/>
        <v>68</v>
      </c>
      <c r="BB15" s="88" t="str">
        <f t="shared" ca="1" si="7"/>
        <v>A54:A1600</v>
      </c>
      <c r="BC15" s="89" t="str">
        <f t="shared" ca="1" si="8"/>
        <v>B68</v>
      </c>
      <c r="BD15" s="89">
        <f ca="1">IF(BC15=0,0,RANK(BF15,$BF$11:$BF$100,0)+(COUNTIF($BF15:$BF$100,BF15)-1))</f>
        <v>57</v>
      </c>
      <c r="BE15" s="89" t="str">
        <f t="shared" ca="1" si="9"/>
        <v>130602</v>
      </c>
      <c r="BF15" s="89">
        <f t="shared" ca="1" si="10"/>
        <v>13060207</v>
      </c>
      <c r="BG15" s="89">
        <f t="shared" ca="1" si="11"/>
        <v>13</v>
      </c>
      <c r="BH15" s="89">
        <f t="shared" ca="1" si="12"/>
        <v>2</v>
      </c>
      <c r="BI15" s="89" t="str">
        <f t="shared" ca="1" si="13"/>
        <v>B82</v>
      </c>
      <c r="BJ15" s="89">
        <f t="shared" ca="1" si="14"/>
        <v>6</v>
      </c>
      <c r="BK15" s="89">
        <f t="shared" ca="1" si="15"/>
        <v>7</v>
      </c>
      <c r="BL15" s="89">
        <f t="shared" ca="1" si="16"/>
        <v>39</v>
      </c>
      <c r="BM15" s="89">
        <f t="shared" ca="1" si="17"/>
        <v>9</v>
      </c>
      <c r="BN15" s="89" t="str">
        <f t="shared" ca="1" si="18"/>
        <v>S6!B69:I81</v>
      </c>
      <c r="BO15" s="89" t="str">
        <f t="shared" ca="1" si="19"/>
        <v>s</v>
      </c>
      <c r="BP15" s="89" t="str">
        <f t="shared" ca="1" si="20"/>
        <v>b</v>
      </c>
      <c r="BQ15" s="89" t="str">
        <f t="shared" ca="1" si="21"/>
        <v/>
      </c>
      <c r="BR15" s="87" t="str">
        <f t="shared" ca="1" si="22"/>
        <v/>
      </c>
      <c r="BS15" s="89" t="str">
        <f t="shared" ca="1" si="2"/>
        <v/>
      </c>
      <c r="BT15" s="89" t="str">
        <f t="shared" ca="1" si="3"/>
        <v/>
      </c>
      <c r="BU15" s="89" t="str">
        <f t="shared" ca="1" si="4"/>
        <v/>
      </c>
      <c r="BV15" s="87" t="str">
        <f t="shared" ca="1" si="23"/>
        <v/>
      </c>
      <c r="BW15" s="87" t="str">
        <f t="shared" ca="1" si="24"/>
        <v>13060207</v>
      </c>
      <c r="BX15" s="89">
        <f t="shared" ca="1" si="25"/>
        <v>0</v>
      </c>
    </row>
    <row r="16" spans="1:76">
      <c r="A16" s="374" t="str">
        <f t="shared" si="5"/>
        <v/>
      </c>
      <c r="B16" s="98">
        <v>5</v>
      </c>
      <c r="C16" s="94">
        <v>-2</v>
      </c>
      <c r="D16" s="94">
        <v>-4</v>
      </c>
      <c r="E16" s="94">
        <v>5</v>
      </c>
      <c r="F16" s="94">
        <v>-1</v>
      </c>
      <c r="G16" s="94">
        <v>-3</v>
      </c>
      <c r="H16" s="94">
        <v>6</v>
      </c>
      <c r="I16" s="94">
        <v>-5</v>
      </c>
      <c r="J16" s="94">
        <v>4</v>
      </c>
      <c r="K16" s="94">
        <v>3</v>
      </c>
      <c r="L16" s="94">
        <v>1</v>
      </c>
      <c r="M16" s="94">
        <v>2</v>
      </c>
      <c r="N16" s="94"/>
      <c r="O16" s="9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1">
        <f t="shared" ca="1" si="6"/>
        <v>83</v>
      </c>
      <c r="BB16" s="88" t="str">
        <f t="shared" ca="1" si="7"/>
        <v>A69:A1600</v>
      </c>
      <c r="BC16" s="89" t="str">
        <f t="shared" ca="1" si="8"/>
        <v>B83</v>
      </c>
      <c r="BD16" s="89">
        <f ca="1">IF(BC16=0,0,RANK(BF16,$BF$11:$BF$100,0)+(COUNTIF($BF16:$BF$100,BF16)-1))</f>
        <v>56</v>
      </c>
      <c r="BE16" s="89" t="str">
        <f t="shared" ca="1" si="9"/>
        <v>130603</v>
      </c>
      <c r="BF16" s="89">
        <f t="shared" ca="1" si="10"/>
        <v>13060305</v>
      </c>
      <c r="BG16" s="89">
        <f t="shared" ca="1" si="11"/>
        <v>13</v>
      </c>
      <c r="BH16" s="89">
        <f t="shared" ca="1" si="12"/>
        <v>3</v>
      </c>
      <c r="BI16" s="89" t="str">
        <f t="shared" ca="1" si="13"/>
        <v>B97</v>
      </c>
      <c r="BJ16" s="89">
        <f t="shared" ca="1" si="14"/>
        <v>4</v>
      </c>
      <c r="BK16" s="89">
        <f t="shared" ca="1" si="15"/>
        <v>5</v>
      </c>
      <c r="BL16" s="89">
        <f t="shared" ca="1" si="16"/>
        <v>26</v>
      </c>
      <c r="BM16" s="89">
        <f t="shared" ca="1" si="17"/>
        <v>7</v>
      </c>
      <c r="BN16" s="89" t="str">
        <f t="shared" ca="1" si="18"/>
        <v>S6!B84:G96</v>
      </c>
      <c r="BO16" s="89" t="str">
        <f t="shared" ca="1" si="19"/>
        <v>s</v>
      </c>
      <c r="BP16" s="89" t="str">
        <f t="shared" ca="1" si="20"/>
        <v>b</v>
      </c>
      <c r="BQ16" s="89" t="str">
        <f t="shared" ca="1" si="21"/>
        <v/>
      </c>
      <c r="BR16" s="87" t="str">
        <f t="shared" ca="1" si="22"/>
        <v/>
      </c>
      <c r="BS16" s="89" t="str">
        <f t="shared" ca="1" si="2"/>
        <v>a</v>
      </c>
      <c r="BT16" s="89" t="str">
        <f t="shared" ca="1" si="3"/>
        <v/>
      </c>
      <c r="BU16" s="89" t="str">
        <f t="shared" ca="1" si="4"/>
        <v/>
      </c>
      <c r="BV16" s="87" t="str">
        <f t="shared" ca="1" si="23"/>
        <v/>
      </c>
      <c r="BW16" s="87" t="str">
        <f t="shared" ca="1" si="24"/>
        <v>13060305</v>
      </c>
      <c r="BX16" s="89">
        <f t="shared" ca="1" si="25"/>
        <v>0</v>
      </c>
    </row>
    <row r="17" spans="1:76">
      <c r="A17" s="374" t="str">
        <f t="shared" si="5"/>
        <v/>
      </c>
      <c r="B17" s="98">
        <v>6</v>
      </c>
      <c r="C17" s="94">
        <v>3</v>
      </c>
      <c r="D17" s="94">
        <v>-1</v>
      </c>
      <c r="E17" s="94">
        <v>-4</v>
      </c>
      <c r="F17" s="94">
        <v>5</v>
      </c>
      <c r="G17" s="94">
        <v>6</v>
      </c>
      <c r="H17" s="94">
        <v>-3</v>
      </c>
      <c r="I17" s="94">
        <v>4</v>
      </c>
      <c r="J17" s="94">
        <v>1</v>
      </c>
      <c r="K17" s="94">
        <v>-5</v>
      </c>
      <c r="L17" s="94">
        <v>-6</v>
      </c>
      <c r="M17" s="94">
        <v>-2</v>
      </c>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1">
        <f t="shared" ca="1" si="6"/>
        <v>98</v>
      </c>
      <c r="BB17" s="88" t="str">
        <f t="shared" ca="1" si="7"/>
        <v>A84:A1600</v>
      </c>
      <c r="BC17" s="89" t="str">
        <f t="shared" ca="1" si="8"/>
        <v>B98</v>
      </c>
      <c r="BD17" s="89">
        <f ca="1">IF(BC17=0,0,RANK(BF17,$BF$11:$BF$100,0)+(COUNTIF($BF17:$BF$100,BF17)-1))</f>
        <v>54</v>
      </c>
      <c r="BE17" s="89" t="str">
        <f t="shared" ca="1" si="9"/>
        <v>140602</v>
      </c>
      <c r="BF17" s="89">
        <f t="shared" ca="1" si="10"/>
        <v>14060207</v>
      </c>
      <c r="BG17" s="89">
        <f t="shared" ca="1" si="11"/>
        <v>14</v>
      </c>
      <c r="BH17" s="89">
        <f t="shared" ca="1" si="12"/>
        <v>2</v>
      </c>
      <c r="BI17" s="89" t="str">
        <f t="shared" ca="1" si="13"/>
        <v>B113</v>
      </c>
      <c r="BJ17" s="89">
        <f t="shared" ca="1" si="14"/>
        <v>6</v>
      </c>
      <c r="BK17" s="89">
        <f t="shared" ca="1" si="15"/>
        <v>7</v>
      </c>
      <c r="BL17" s="89">
        <f t="shared" ca="1" si="16"/>
        <v>42</v>
      </c>
      <c r="BM17" s="89">
        <f t="shared" ca="1" si="17"/>
        <v>9</v>
      </c>
      <c r="BN17" s="89" t="str">
        <f t="shared" ca="1" si="18"/>
        <v>S6!B99:I112</v>
      </c>
      <c r="BO17" s="89" t="str">
        <f t="shared" ca="1" si="19"/>
        <v>s</v>
      </c>
      <c r="BP17" s="89" t="str">
        <f t="shared" ca="1" si="20"/>
        <v>b</v>
      </c>
      <c r="BQ17" s="89" t="str">
        <f t="shared" ca="1" si="21"/>
        <v/>
      </c>
      <c r="BR17" s="87" t="str">
        <f t="shared" ca="1" si="22"/>
        <v/>
      </c>
      <c r="BS17" s="89" t="str">
        <f t="shared" ca="1" si="2"/>
        <v/>
      </c>
      <c r="BT17" s="89" t="str">
        <f t="shared" ca="1" si="3"/>
        <v/>
      </c>
      <c r="BU17" s="89" t="str">
        <f t="shared" ca="1" si="4"/>
        <v/>
      </c>
      <c r="BV17" s="87" t="str">
        <f t="shared" ca="1" si="23"/>
        <v/>
      </c>
      <c r="BW17" s="87" t="str">
        <f t="shared" ca="1" si="24"/>
        <v>14060207</v>
      </c>
      <c r="BX17" s="89">
        <f t="shared" ca="1" si="25"/>
        <v>0</v>
      </c>
    </row>
    <row r="18" spans="1:76">
      <c r="A18" s="374" t="str">
        <f t="shared" si="5"/>
        <v/>
      </c>
      <c r="B18" s="98">
        <v>7</v>
      </c>
      <c r="C18" s="94">
        <v>-6</v>
      </c>
      <c r="D18" s="94">
        <v>4</v>
      </c>
      <c r="E18" s="94">
        <v>-1</v>
      </c>
      <c r="F18" s="94">
        <v>2</v>
      </c>
      <c r="G18" s="94">
        <v>5</v>
      </c>
      <c r="H18" s="94">
        <v>-4</v>
      </c>
      <c r="I18" s="94">
        <v>1</v>
      </c>
      <c r="J18" s="94">
        <v>3</v>
      </c>
      <c r="K18" s="94">
        <v>-2</v>
      </c>
      <c r="L18" s="94">
        <v>6</v>
      </c>
      <c r="M18" s="94">
        <v>-5</v>
      </c>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1">
        <f t="shared" ca="1" si="6"/>
        <v>114</v>
      </c>
      <c r="BB18" s="88" t="str">
        <f t="shared" ca="1" si="7"/>
        <v>A99:A1600</v>
      </c>
      <c r="BC18" s="89" t="str">
        <f t="shared" ca="1" si="8"/>
        <v>B114</v>
      </c>
      <c r="BD18" s="89">
        <f ca="1">IF(BC18=0,0,RANK(BF18,$BF$11:$BF$100,0)+(COUNTIF($BF18:$BF$100,BF18)-1))</f>
        <v>53</v>
      </c>
      <c r="BE18" s="89" t="str">
        <f t="shared" ca="1" si="9"/>
        <v>140603</v>
      </c>
      <c r="BF18" s="89">
        <f t="shared" ca="1" si="10"/>
        <v>14060306</v>
      </c>
      <c r="BG18" s="89">
        <f t="shared" ca="1" si="11"/>
        <v>14</v>
      </c>
      <c r="BH18" s="89">
        <f t="shared" ca="1" si="12"/>
        <v>3</v>
      </c>
      <c r="BI18" s="89" t="str">
        <f t="shared" ca="1" si="13"/>
        <v>B129</v>
      </c>
      <c r="BJ18" s="89">
        <f t="shared" ca="1" si="14"/>
        <v>5</v>
      </c>
      <c r="BK18" s="89">
        <f t="shared" ca="1" si="15"/>
        <v>6</v>
      </c>
      <c r="BL18" s="89">
        <f t="shared" ca="1" si="16"/>
        <v>35</v>
      </c>
      <c r="BM18" s="89">
        <f t="shared" ca="1" si="17"/>
        <v>8</v>
      </c>
      <c r="BN18" s="89" t="str">
        <f t="shared" ca="1" si="18"/>
        <v>S6!B115:H128</v>
      </c>
      <c r="BO18" s="89" t="str">
        <f t="shared" ca="1" si="19"/>
        <v>s</v>
      </c>
      <c r="BP18" s="89" t="str">
        <f t="shared" ca="1" si="20"/>
        <v/>
      </c>
      <c r="BQ18" s="89" t="str">
        <f t="shared" ca="1" si="21"/>
        <v/>
      </c>
      <c r="BR18" s="87" t="str">
        <f t="shared" ca="1" si="22"/>
        <v>x</v>
      </c>
      <c r="BS18" s="89" t="str">
        <f t="shared" ca="1" si="2"/>
        <v>a</v>
      </c>
      <c r="BT18" s="89" t="str">
        <f t="shared" ca="1" si="3"/>
        <v>E</v>
      </c>
      <c r="BU18" s="89" t="str">
        <f t="shared" ca="1" si="4"/>
        <v/>
      </c>
      <c r="BV18" s="87" t="str">
        <f t="shared" ca="1" si="23"/>
        <v/>
      </c>
      <c r="BW18" s="87" t="str">
        <f t="shared" ca="1" si="24"/>
        <v>14060306</v>
      </c>
      <c r="BX18" s="89">
        <f t="shared" ca="1" si="25"/>
        <v>0</v>
      </c>
    </row>
    <row r="19" spans="1:76">
      <c r="A19" s="374" t="str">
        <f t="shared" si="5"/>
        <v/>
      </c>
      <c r="B19" s="98">
        <v>8</v>
      </c>
      <c r="C19" s="94">
        <v>-4</v>
      </c>
      <c r="D19" s="94">
        <v>3</v>
      </c>
      <c r="E19" s="94">
        <v>6</v>
      </c>
      <c r="F19" s="94">
        <v>-5</v>
      </c>
      <c r="G19" s="94">
        <v>1</v>
      </c>
      <c r="H19" s="94">
        <v>2</v>
      </c>
      <c r="I19" s="94">
        <v>-3</v>
      </c>
      <c r="J19" s="94">
        <v>-6</v>
      </c>
      <c r="K19" s="94">
        <v>4</v>
      </c>
      <c r="L19" s="94">
        <v>-1</v>
      </c>
      <c r="M19" s="94">
        <v>5</v>
      </c>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1">
        <f t="shared" ca="1" si="6"/>
        <v>130</v>
      </c>
      <c r="BB19" s="88" t="str">
        <f t="shared" ca="1" si="7"/>
        <v>A115:A1600</v>
      </c>
      <c r="BC19" s="89" t="str">
        <f t="shared" ca="1" si="8"/>
        <v>B130</v>
      </c>
      <c r="BD19" s="89">
        <f ca="1">IF(BC19=0,0,RANK(BF19,$BF$11:$BF$100,0)+(COUNTIF($BF19:$BF$100,BF19)-1))</f>
        <v>52</v>
      </c>
      <c r="BE19" s="89" t="str">
        <f t="shared" ca="1" si="9"/>
        <v>150603</v>
      </c>
      <c r="BF19" s="89">
        <f t="shared" ca="1" si="10"/>
        <v>15060305</v>
      </c>
      <c r="BG19" s="89">
        <f t="shared" ca="1" si="11"/>
        <v>15</v>
      </c>
      <c r="BH19" s="89">
        <f t="shared" ca="1" si="12"/>
        <v>3</v>
      </c>
      <c r="BI19" s="89" t="str">
        <f t="shared" ca="1" si="13"/>
        <v>B146</v>
      </c>
      <c r="BJ19" s="89">
        <f t="shared" ca="1" si="14"/>
        <v>4</v>
      </c>
      <c r="BK19" s="89">
        <f t="shared" ca="1" si="15"/>
        <v>5</v>
      </c>
      <c r="BL19" s="89">
        <f t="shared" ca="1" si="16"/>
        <v>30</v>
      </c>
      <c r="BM19" s="89">
        <f t="shared" ca="1" si="17"/>
        <v>7</v>
      </c>
      <c r="BN19" s="89" t="str">
        <f t="shared" ca="1" si="18"/>
        <v>S6!B131:G145</v>
      </c>
      <c r="BO19" s="89" t="str">
        <f t="shared" ca="1" si="19"/>
        <v>s</v>
      </c>
      <c r="BP19" s="89" t="str">
        <f t="shared" ca="1" si="20"/>
        <v>b</v>
      </c>
      <c r="BQ19" s="89" t="str">
        <f t="shared" ca="1" si="21"/>
        <v/>
      </c>
      <c r="BR19" s="87" t="str">
        <f t="shared" ca="1" si="22"/>
        <v/>
      </c>
      <c r="BS19" s="89" t="str">
        <f t="shared" ca="1" si="2"/>
        <v/>
      </c>
      <c r="BT19" s="89" t="str">
        <f t="shared" ca="1" si="3"/>
        <v/>
      </c>
      <c r="BU19" s="89" t="str">
        <f t="shared" ca="1" si="4"/>
        <v/>
      </c>
      <c r="BV19" s="87" t="str">
        <f t="shared" ca="1" si="23"/>
        <v/>
      </c>
      <c r="BW19" s="87" t="str">
        <f t="shared" ca="1" si="24"/>
        <v>15060305</v>
      </c>
      <c r="BX19" s="89">
        <f t="shared" ca="1" si="25"/>
        <v>0</v>
      </c>
    </row>
    <row r="20" spans="1:76">
      <c r="A20" s="374" t="str">
        <f t="shared" si="5"/>
        <v/>
      </c>
      <c r="B20" s="98">
        <v>9</v>
      </c>
      <c r="C20" s="94">
        <v>-5</v>
      </c>
      <c r="D20" s="94">
        <v>-6</v>
      </c>
      <c r="E20" s="94">
        <v>4</v>
      </c>
      <c r="F20" s="94">
        <v>-2</v>
      </c>
      <c r="G20" s="94">
        <v>-1</v>
      </c>
      <c r="H20" s="94">
        <v>5</v>
      </c>
      <c r="I20" s="94">
        <v>6</v>
      </c>
      <c r="J20" s="94">
        <v>2</v>
      </c>
      <c r="K20" s="94">
        <v>-3</v>
      </c>
      <c r="L20" s="94">
        <v>-4</v>
      </c>
      <c r="M20" s="94">
        <v>1</v>
      </c>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1">
        <f t="shared" ca="1" si="6"/>
        <v>147</v>
      </c>
      <c r="BB20" s="88" t="str">
        <f t="shared" ca="1" si="7"/>
        <v>A131:A1600</v>
      </c>
      <c r="BC20" s="89" t="str">
        <f t="shared" ca="1" si="8"/>
        <v>B147</v>
      </c>
      <c r="BD20" s="89">
        <f ca="1">IF(BC20=0,0,RANK(BF20,$BF$11:$BF$100,0)+(COUNTIF($BF20:$BF$100,BF20)-1))</f>
        <v>51</v>
      </c>
      <c r="BE20" s="89" t="str">
        <f t="shared" ca="1" si="9"/>
        <v>160601</v>
      </c>
      <c r="BF20" s="89">
        <f t="shared" ca="1" si="10"/>
        <v>16060120</v>
      </c>
      <c r="BG20" s="89">
        <f t="shared" ca="1" si="11"/>
        <v>16</v>
      </c>
      <c r="BH20" s="89">
        <f t="shared" ca="1" si="12"/>
        <v>1</v>
      </c>
      <c r="BI20" s="89" t="str">
        <f t="shared" ca="1" si="13"/>
        <v>B164</v>
      </c>
      <c r="BJ20" s="89">
        <f t="shared" ca="1" si="14"/>
        <v>15</v>
      </c>
      <c r="BK20" s="89">
        <f t="shared" ca="1" si="15"/>
        <v>20</v>
      </c>
      <c r="BL20" s="89">
        <f t="shared" ca="1" si="16"/>
        <v>120</v>
      </c>
      <c r="BM20" s="89">
        <f t="shared" ca="1" si="17"/>
        <v>22</v>
      </c>
      <c r="BN20" s="89" t="str">
        <f t="shared" ca="1" si="18"/>
        <v>S6!B148:V163</v>
      </c>
      <c r="BO20" s="89" t="str">
        <f t="shared" ca="1" si="19"/>
        <v>s</v>
      </c>
      <c r="BP20" s="89" t="str">
        <f t="shared" ca="1" si="20"/>
        <v/>
      </c>
      <c r="BQ20" s="89" t="str">
        <f t="shared" ca="1" si="21"/>
        <v/>
      </c>
      <c r="BR20" s="87" t="str">
        <f t="shared" ca="1" si="22"/>
        <v/>
      </c>
      <c r="BS20" s="89" t="str">
        <f t="shared" ca="1" si="2"/>
        <v/>
      </c>
      <c r="BT20" s="89" t="str">
        <f t="shared" ca="1" si="3"/>
        <v/>
      </c>
      <c r="BU20" s="89" t="str">
        <f t="shared" ca="1" si="4"/>
        <v/>
      </c>
      <c r="BV20" s="87" t="str">
        <f t="shared" ca="1" si="23"/>
        <v/>
      </c>
      <c r="BW20" s="87" t="str">
        <f t="shared" ca="1" si="24"/>
        <v>16060120</v>
      </c>
      <c r="BX20" s="89">
        <f t="shared" ca="1" si="25"/>
        <v>0</v>
      </c>
    </row>
    <row r="21" spans="1:76">
      <c r="A21" s="374" t="str">
        <f t="shared" si="5"/>
        <v/>
      </c>
      <c r="B21" s="98">
        <v>10</v>
      </c>
      <c r="C21" s="94">
        <v>1</v>
      </c>
      <c r="D21" s="94">
        <v>-5</v>
      </c>
      <c r="E21" s="94">
        <v>2</v>
      </c>
      <c r="F21" s="94">
        <v>-6</v>
      </c>
      <c r="G21" s="94">
        <v>3</v>
      </c>
      <c r="H21" s="94">
        <v>4</v>
      </c>
      <c r="I21" s="94">
        <v>-2</v>
      </c>
      <c r="J21" s="94">
        <v>6</v>
      </c>
      <c r="K21" s="94">
        <v>5</v>
      </c>
      <c r="L21" s="94">
        <v>-3</v>
      </c>
      <c r="M21" s="94">
        <v>-1</v>
      </c>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1">
        <f t="shared" ca="1" si="6"/>
        <v>165</v>
      </c>
      <c r="BB21" s="88" t="str">
        <f t="shared" ca="1" si="7"/>
        <v>A148:A1600</v>
      </c>
      <c r="BC21" s="89" t="str">
        <f t="shared" ca="1" si="8"/>
        <v>B165</v>
      </c>
      <c r="BD21" s="89">
        <f ca="1">IF(BC21=0,0,RANK(BF21,$BF$11:$BF$100,0)+(COUNTIF($BF21:$BF$100,BF21)-1))</f>
        <v>48</v>
      </c>
      <c r="BE21" s="89" t="str">
        <f t="shared" ca="1" si="9"/>
        <v>160603</v>
      </c>
      <c r="BF21" s="89">
        <f t="shared" ca="1" si="10"/>
        <v>16060310</v>
      </c>
      <c r="BG21" s="89">
        <f t="shared" ca="1" si="11"/>
        <v>16</v>
      </c>
      <c r="BH21" s="89">
        <f t="shared" ca="1" si="12"/>
        <v>3</v>
      </c>
      <c r="BI21" s="89" t="str">
        <f t="shared" ca="1" si="13"/>
        <v>B182</v>
      </c>
      <c r="BJ21" s="89">
        <f t="shared" ca="1" si="14"/>
        <v>5</v>
      </c>
      <c r="BK21" s="89">
        <f t="shared" ca="1" si="15"/>
        <v>10</v>
      </c>
      <c r="BL21" s="89">
        <f t="shared" ca="1" si="16"/>
        <v>40</v>
      </c>
      <c r="BM21" s="89">
        <f t="shared" ca="1" si="17"/>
        <v>12</v>
      </c>
      <c r="BN21" s="89" t="str">
        <f t="shared" ca="1" si="18"/>
        <v>S6!B166:L181</v>
      </c>
      <c r="BO21" s="89" t="str">
        <f t="shared" ca="1" si="19"/>
        <v>e</v>
      </c>
      <c r="BP21" s="89" t="str">
        <f t="shared" ca="1" si="20"/>
        <v/>
      </c>
      <c r="BQ21" s="89" t="str">
        <f t="shared" ca="1" si="21"/>
        <v/>
      </c>
      <c r="BR21" s="87" t="str">
        <f t="shared" ca="1" si="22"/>
        <v>x</v>
      </c>
      <c r="BS21" s="89" t="str">
        <f t="shared" ca="1" si="2"/>
        <v/>
      </c>
      <c r="BT21" s="89" t="str">
        <f t="shared" ca="1" si="3"/>
        <v/>
      </c>
      <c r="BU21" s="89" t="str">
        <f t="shared" ca="1" si="4"/>
        <v/>
      </c>
      <c r="BV21" s="87" t="str">
        <f t="shared" ca="1" si="23"/>
        <v/>
      </c>
      <c r="BW21" s="87" t="str">
        <f t="shared" ca="1" si="24"/>
        <v>16060310</v>
      </c>
      <c r="BX21" s="89">
        <f t="shared" ca="1" si="25"/>
        <v>0</v>
      </c>
    </row>
    <row r="22" spans="1:76">
      <c r="A22" s="374" t="str">
        <f t="shared" si="5"/>
        <v/>
      </c>
      <c r="B22" s="98">
        <v>11</v>
      </c>
      <c r="C22" s="94">
        <v>-1</v>
      </c>
      <c r="D22" s="94">
        <v>2</v>
      </c>
      <c r="E22" s="94">
        <v>3</v>
      </c>
      <c r="F22" s="94">
        <v>-4</v>
      </c>
      <c r="G22" s="94">
        <v>-6</v>
      </c>
      <c r="H22" s="94">
        <v>-2</v>
      </c>
      <c r="I22" s="94">
        <v>5</v>
      </c>
      <c r="J22" s="94">
        <v>-3</v>
      </c>
      <c r="K22" s="94">
        <v>1</v>
      </c>
      <c r="L22" s="94">
        <v>4</v>
      </c>
      <c r="M22" s="94">
        <v>6</v>
      </c>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1">
        <f t="shared" ca="1" si="6"/>
        <v>183</v>
      </c>
      <c r="BB22" s="88" t="str">
        <f t="shared" ca="1" si="7"/>
        <v>A166:A1600</v>
      </c>
      <c r="BC22" s="89" t="str">
        <f t="shared" ca="1" si="8"/>
        <v>B183</v>
      </c>
      <c r="BD22" s="89">
        <f ca="1">IF(BC22=0,0,RANK(BF22,$BF$11:$BF$100,0)+(COUNTIF($BF22:$BF$100,BF22)-1))</f>
        <v>45</v>
      </c>
      <c r="BE22" s="89" t="str">
        <f t="shared" ca="1" si="9"/>
        <v>180603</v>
      </c>
      <c r="BF22" s="89">
        <f t="shared" ca="1" si="10"/>
        <v>18060310</v>
      </c>
      <c r="BG22" s="89">
        <f t="shared" ca="1" si="11"/>
        <v>18</v>
      </c>
      <c r="BH22" s="89">
        <f t="shared" ca="1" si="12"/>
        <v>3</v>
      </c>
      <c r="BI22" s="89" t="str">
        <f t="shared" ca="1" si="13"/>
        <v>B202</v>
      </c>
      <c r="BJ22" s="89">
        <f t="shared" ca="1" si="14"/>
        <v>5</v>
      </c>
      <c r="BK22" s="89">
        <f t="shared" ca="1" si="15"/>
        <v>10</v>
      </c>
      <c r="BL22" s="89">
        <f t="shared" ca="1" si="16"/>
        <v>45</v>
      </c>
      <c r="BM22" s="89">
        <f t="shared" ca="1" si="17"/>
        <v>12</v>
      </c>
      <c r="BN22" s="89" t="str">
        <f t="shared" ca="1" si="18"/>
        <v>S6!B184:L201</v>
      </c>
      <c r="BO22" s="89" t="str">
        <f t="shared" ca="1" si="19"/>
        <v>e</v>
      </c>
      <c r="BP22" s="89" t="str">
        <f t="shared" ca="1" si="20"/>
        <v/>
      </c>
      <c r="BQ22" s="89" t="str">
        <f t="shared" ca="1" si="21"/>
        <v/>
      </c>
      <c r="BR22" s="87" t="str">
        <f t="shared" ca="1" si="22"/>
        <v/>
      </c>
      <c r="BS22" s="89" t="str">
        <f t="shared" ca="1" si="2"/>
        <v/>
      </c>
      <c r="BT22" s="89" t="str">
        <f t="shared" ca="1" si="3"/>
        <v/>
      </c>
      <c r="BU22" s="89" t="str">
        <f t="shared" ca="1" si="4"/>
        <v/>
      </c>
      <c r="BV22" s="87" t="str">
        <f t="shared" ca="1" si="23"/>
        <v/>
      </c>
      <c r="BW22" s="87" t="str">
        <f t="shared" ca="1" si="24"/>
        <v>18060310</v>
      </c>
      <c r="BX22" s="89">
        <f t="shared" ca="1" si="25"/>
        <v>0</v>
      </c>
    </row>
    <row r="23" spans="1:76">
      <c r="A23" s="374" t="str">
        <f t="shared" si="5"/>
        <v/>
      </c>
      <c r="B23" s="98">
        <v>12</v>
      </c>
      <c r="C23" s="94">
        <v>4</v>
      </c>
      <c r="D23" s="94">
        <v>6</v>
      </c>
      <c r="E23" s="94">
        <v>-5</v>
      </c>
      <c r="F23" s="94">
        <v>-3</v>
      </c>
      <c r="G23" s="94">
        <v>-2</v>
      </c>
      <c r="H23" s="94">
        <v>1</v>
      </c>
      <c r="I23" s="94">
        <v>-4</v>
      </c>
      <c r="J23" s="94">
        <v>5</v>
      </c>
      <c r="K23" s="94">
        <v>2</v>
      </c>
      <c r="L23" s="94">
        <v>3</v>
      </c>
      <c r="M23" s="94">
        <v>-6</v>
      </c>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1">
        <f t="shared" ca="1" si="6"/>
        <v>203</v>
      </c>
      <c r="BB23" s="88" t="str">
        <f t="shared" ca="1" si="7"/>
        <v>A184:A1600</v>
      </c>
      <c r="BC23" s="89" t="str">
        <f t="shared" ca="1" si="8"/>
        <v>B203</v>
      </c>
      <c r="BD23" s="89">
        <f ca="1">IF(BC23=0,0,RANK(BF23,$BF$11:$BF$100,0)+(COUNTIF($BF23:$BF$100,BF23)-1))</f>
        <v>41</v>
      </c>
      <c r="BE23" s="89" t="str">
        <f t="shared" ca="1" si="9"/>
        <v>200604</v>
      </c>
      <c r="BF23" s="89">
        <f t="shared" ca="1" si="10"/>
        <v>20060410</v>
      </c>
      <c r="BG23" s="89">
        <f t="shared" ca="1" si="11"/>
        <v>20</v>
      </c>
      <c r="BH23" s="89">
        <f t="shared" ca="1" si="12"/>
        <v>4</v>
      </c>
      <c r="BI23" s="89" t="str">
        <f t="shared" ca="1" si="13"/>
        <v>B224</v>
      </c>
      <c r="BJ23" s="89">
        <f t="shared" ca="1" si="14"/>
        <v>5</v>
      </c>
      <c r="BK23" s="89">
        <f t="shared" ca="1" si="15"/>
        <v>10</v>
      </c>
      <c r="BL23" s="89">
        <f t="shared" ca="1" si="16"/>
        <v>50</v>
      </c>
      <c r="BM23" s="89">
        <f t="shared" ca="1" si="17"/>
        <v>12</v>
      </c>
      <c r="BN23" s="89" t="str">
        <f t="shared" ca="1" si="18"/>
        <v>S6!B204:L223</v>
      </c>
      <c r="BO23" s="89" t="str">
        <f t="shared" ca="1" si="19"/>
        <v>e</v>
      </c>
      <c r="BP23" s="89" t="str">
        <f t="shared" ca="1" si="20"/>
        <v/>
      </c>
      <c r="BQ23" s="89" t="str">
        <f t="shared" ca="1" si="21"/>
        <v/>
      </c>
      <c r="BR23" s="87" t="str">
        <f t="shared" ca="1" si="22"/>
        <v>x</v>
      </c>
      <c r="BS23" s="89" t="str">
        <f t="shared" ca="1" si="2"/>
        <v/>
      </c>
      <c r="BT23" s="89" t="str">
        <f t="shared" ca="1" si="3"/>
        <v/>
      </c>
      <c r="BU23" s="89" t="str">
        <f t="shared" ca="1" si="4"/>
        <v/>
      </c>
      <c r="BV23" s="87" t="str">
        <f t="shared" ca="1" si="23"/>
        <v/>
      </c>
      <c r="BW23" s="87" t="str">
        <f t="shared" ca="1" si="24"/>
        <v>20060410</v>
      </c>
      <c r="BX23" s="89">
        <f t="shared" ca="1" si="25"/>
        <v>0</v>
      </c>
    </row>
    <row r="24" spans="1:76">
      <c r="A24" s="374" t="str">
        <f t="shared" si="5"/>
        <v/>
      </c>
      <c r="B24" s="98" t="s">
        <v>338</v>
      </c>
      <c r="C24" s="94"/>
      <c r="D24" s="94"/>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1">
        <f t="shared" ca="1" si="6"/>
        <v>225</v>
      </c>
      <c r="BB24" s="88" t="str">
        <f t="shared" ca="1" si="7"/>
        <v>A204:A1600</v>
      </c>
      <c r="BC24" s="89" t="str">
        <f t="shared" ca="1" si="8"/>
        <v>B225</v>
      </c>
      <c r="BD24" s="89">
        <f ca="1">IF(BC24=0,0,RANK(BF24,$BF$11:$BF$100,0)+(COUNTIF($BF24:$BF$100,BF24)-1))</f>
        <v>40</v>
      </c>
      <c r="BE24" s="89" t="str">
        <f t="shared" ca="1" si="9"/>
        <v>210603</v>
      </c>
      <c r="BF24" s="89">
        <f t="shared" ca="1" si="10"/>
        <v>21060314</v>
      </c>
      <c r="BG24" s="89">
        <f t="shared" ca="1" si="11"/>
        <v>21</v>
      </c>
      <c r="BH24" s="89">
        <f t="shared" ca="1" si="12"/>
        <v>3</v>
      </c>
      <c r="BI24" s="89" t="str">
        <f t="shared" ca="1" si="13"/>
        <v>B247</v>
      </c>
      <c r="BJ24" s="89">
        <f t="shared" ca="1" si="14"/>
        <v>7</v>
      </c>
      <c r="BK24" s="89">
        <f t="shared" ca="1" si="15"/>
        <v>14</v>
      </c>
      <c r="BL24" s="89">
        <f t="shared" ca="1" si="16"/>
        <v>70</v>
      </c>
      <c r="BM24" s="89">
        <f t="shared" ca="1" si="17"/>
        <v>16</v>
      </c>
      <c r="BN24" s="89" t="str">
        <f t="shared" ca="1" si="18"/>
        <v>S6!B226:P246</v>
      </c>
      <c r="BO24" s="89" t="str">
        <f t="shared" ca="1" si="19"/>
        <v>e</v>
      </c>
      <c r="BP24" s="89" t="str">
        <f t="shared" ca="1" si="20"/>
        <v>w</v>
      </c>
      <c r="BQ24" s="89" t="str">
        <f t="shared" ca="1" si="21"/>
        <v>w</v>
      </c>
      <c r="BR24" s="87" t="str">
        <f t="shared" ca="1" si="22"/>
        <v>x</v>
      </c>
      <c r="BS24" s="89" t="str">
        <f t="shared" ca="1" si="2"/>
        <v/>
      </c>
      <c r="BT24" s="89" t="str">
        <f t="shared" ca="1" si="3"/>
        <v/>
      </c>
      <c r="BU24" s="89" t="str">
        <f t="shared" ca="1" si="4"/>
        <v/>
      </c>
      <c r="BV24" s="87" t="str">
        <f t="shared" ca="1" si="23"/>
        <v/>
      </c>
      <c r="BW24" s="87" t="str">
        <f t="shared" ca="1" si="24"/>
        <v>21060314</v>
      </c>
      <c r="BX24" s="89">
        <f t="shared" ca="1" si="25"/>
        <v>0</v>
      </c>
    </row>
    <row r="25" spans="1:76">
      <c r="A25" s="374">
        <f t="shared" si="5"/>
        <v>25</v>
      </c>
      <c r="B25" s="98" t="s">
        <v>339</v>
      </c>
      <c r="C25" s="94"/>
      <c r="D25" s="94"/>
      <c r="E25" s="94"/>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1">
        <f t="shared" ca="1" si="6"/>
        <v>248</v>
      </c>
      <c r="BB25" s="88" t="str">
        <f t="shared" ca="1" si="7"/>
        <v>A226:A1600</v>
      </c>
      <c r="BC25" s="89" t="str">
        <f t="shared" ca="1" si="8"/>
        <v>B248</v>
      </c>
      <c r="BD25" s="89">
        <f ca="1">IF(BC25=0,0,RANK(BF25,$BF$11:$BF$100,0)+(COUNTIF($BF25:$BF$100,BF25)-1))</f>
        <v>30</v>
      </c>
      <c r="BE25" s="89" t="str">
        <f t="shared" ca="1" si="9"/>
        <v>230604</v>
      </c>
      <c r="BF25" s="89">
        <f t="shared" ca="1" si="10"/>
        <v>23060410</v>
      </c>
      <c r="BG25" s="89">
        <f t="shared" ca="1" si="11"/>
        <v>23</v>
      </c>
      <c r="BH25" s="89">
        <f t="shared" ca="1" si="12"/>
        <v>4</v>
      </c>
      <c r="BI25" s="89" t="str">
        <f t="shared" ca="1" si="13"/>
        <v>B272</v>
      </c>
      <c r="BJ25" s="89">
        <f t="shared" ca="1" si="14"/>
        <v>5</v>
      </c>
      <c r="BK25" s="89">
        <f t="shared" ca="1" si="15"/>
        <v>10</v>
      </c>
      <c r="BL25" s="89">
        <f t="shared" ca="1" si="16"/>
        <v>55</v>
      </c>
      <c r="BM25" s="89">
        <f t="shared" ca="1" si="17"/>
        <v>12</v>
      </c>
      <c r="BN25" s="89" t="str">
        <f t="shared" ca="1" si="18"/>
        <v>S6!B249:L271</v>
      </c>
      <c r="BO25" s="89" t="str">
        <f t="shared" ca="1" si="19"/>
        <v>e</v>
      </c>
      <c r="BP25" s="89" t="str">
        <f t="shared" ca="1" si="20"/>
        <v>w</v>
      </c>
      <c r="BQ25" s="89" t="str">
        <f t="shared" ca="1" si="21"/>
        <v>w</v>
      </c>
      <c r="BR25" s="87" t="str">
        <f t="shared" ca="1" si="22"/>
        <v/>
      </c>
      <c r="BS25" s="89" t="str">
        <f t="shared" ca="1" si="2"/>
        <v/>
      </c>
      <c r="BT25" s="89" t="str">
        <f t="shared" ca="1" si="3"/>
        <v/>
      </c>
      <c r="BU25" s="89" t="str">
        <f t="shared" ca="1" si="4"/>
        <v/>
      </c>
      <c r="BV25" s="87" t="str">
        <f t="shared" ca="1" si="23"/>
        <v/>
      </c>
      <c r="BW25" s="87" t="str">
        <f t="shared" ca="1" si="24"/>
        <v>23060410</v>
      </c>
      <c r="BX25" s="89">
        <f t="shared" ca="1" si="25"/>
        <v>0</v>
      </c>
    </row>
    <row r="26" spans="1:76">
      <c r="A26" s="374" t="str">
        <f t="shared" si="5"/>
        <v/>
      </c>
      <c r="B26" s="98">
        <v>1</v>
      </c>
      <c r="C26" s="94">
        <v>-5</v>
      </c>
      <c r="D26" s="94">
        <v>4</v>
      </c>
      <c r="E26" s="94">
        <v>-6</v>
      </c>
      <c r="F26" s="94">
        <v>2</v>
      </c>
      <c r="G26" s="94">
        <v>-3</v>
      </c>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1">
        <f t="shared" ca="1" si="6"/>
        <v>294</v>
      </c>
      <c r="BB26" s="88" t="str">
        <f t="shared" ca="1" si="7"/>
        <v>A249:A1600</v>
      </c>
      <c r="BC26" s="89" t="str">
        <f t="shared" ca="1" si="8"/>
        <v>B294</v>
      </c>
      <c r="BD26" s="89">
        <f ca="1">IF(BC26=0,0,RANK(BF26,$BF$11:$BF$100,0)+(COUNTIF($BF26:$BF$100,BF26)-1))</f>
        <v>39</v>
      </c>
      <c r="BE26" s="89" t="str">
        <f t="shared" ca="1" si="9"/>
        <v>220601</v>
      </c>
      <c r="BF26" s="89">
        <f t="shared" ca="1" si="10"/>
        <v>22060120</v>
      </c>
      <c r="BG26" s="89">
        <f t="shared" ca="1" si="11"/>
        <v>22</v>
      </c>
      <c r="BH26" s="89">
        <f t="shared" ca="1" si="12"/>
        <v>1</v>
      </c>
      <c r="BI26" s="89" t="str">
        <f t="shared" ca="1" si="13"/>
        <v>B317</v>
      </c>
      <c r="BJ26" s="89">
        <f t="shared" ca="1" si="14"/>
        <v>10</v>
      </c>
      <c r="BK26" s="89">
        <f t="shared" ca="1" si="15"/>
        <v>20</v>
      </c>
      <c r="BL26" s="89">
        <f t="shared" ca="1" si="16"/>
        <v>110</v>
      </c>
      <c r="BM26" s="89">
        <f t="shared" ca="1" si="17"/>
        <v>22</v>
      </c>
      <c r="BN26" s="89" t="str">
        <f t="shared" ca="1" si="18"/>
        <v>S6!B295:V316</v>
      </c>
      <c r="BO26" s="89" t="str">
        <f t="shared" ca="1" si="19"/>
        <v>e</v>
      </c>
      <c r="BP26" s="89" t="str">
        <f t="shared" ca="1" si="20"/>
        <v/>
      </c>
      <c r="BQ26" s="89" t="str">
        <f t="shared" ca="1" si="21"/>
        <v/>
      </c>
      <c r="BR26" s="87" t="str">
        <f t="shared" ca="1" si="22"/>
        <v/>
      </c>
      <c r="BS26" s="89" t="str">
        <f t="shared" ca="1" si="2"/>
        <v/>
      </c>
      <c r="BT26" s="89" t="str">
        <f t="shared" ca="1" si="3"/>
        <v/>
      </c>
      <c r="BU26" s="89" t="str">
        <f t="shared" ca="1" si="4"/>
        <v>X</v>
      </c>
      <c r="BV26" s="87" t="str">
        <f t="shared" ca="1" si="23"/>
        <v/>
      </c>
      <c r="BW26" s="87" t="str">
        <f t="shared" ca="1" si="24"/>
        <v>22060120</v>
      </c>
      <c r="BX26" s="89">
        <f t="shared" ca="1" si="25"/>
        <v>0</v>
      </c>
    </row>
    <row r="27" spans="1:76">
      <c r="A27" s="374" t="str">
        <f t="shared" si="5"/>
        <v/>
      </c>
      <c r="B27" s="98">
        <v>2</v>
      </c>
      <c r="C27" s="94">
        <v>-6</v>
      </c>
      <c r="D27" s="94">
        <v>2</v>
      </c>
      <c r="E27" s="94">
        <v>5</v>
      </c>
      <c r="F27" s="94">
        <v>-1</v>
      </c>
      <c r="G27" s="94">
        <v>3</v>
      </c>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1">
        <f t="shared" ca="1" si="6"/>
        <v>318</v>
      </c>
      <c r="BB27" s="88" t="str">
        <f t="shared" ca="1" si="7"/>
        <v>A295:A1600</v>
      </c>
      <c r="BC27" s="89" t="str">
        <f t="shared" ca="1" si="8"/>
        <v>B318</v>
      </c>
      <c r="BD27" s="89">
        <f ca="1">IF(BC27=0,0,RANK(BF27,$BF$11:$BF$100,0)+(COUNTIF($BF27:$BF$100,BF27)-1))</f>
        <v>38</v>
      </c>
      <c r="BE27" s="89" t="str">
        <f t="shared" ca="1" si="9"/>
        <v>220602</v>
      </c>
      <c r="BF27" s="89">
        <f t="shared" ca="1" si="10"/>
        <v>22060222</v>
      </c>
      <c r="BG27" s="89">
        <f t="shared" ca="1" si="11"/>
        <v>22</v>
      </c>
      <c r="BH27" s="89">
        <f t="shared" ca="1" si="12"/>
        <v>2</v>
      </c>
      <c r="BI27" s="89" t="str">
        <f t="shared" ca="1" si="13"/>
        <v>B341</v>
      </c>
      <c r="BJ27" s="89">
        <f t="shared" ca="1" si="14"/>
        <v>11</v>
      </c>
      <c r="BK27" s="89">
        <f t="shared" ca="1" si="15"/>
        <v>22</v>
      </c>
      <c r="BL27" s="89">
        <f t="shared" ca="1" si="16"/>
        <v>121</v>
      </c>
      <c r="BM27" s="89">
        <f t="shared" ca="1" si="17"/>
        <v>24</v>
      </c>
      <c r="BN27" s="89" t="str">
        <f t="shared" ca="1" si="18"/>
        <v>S6!B319:X340</v>
      </c>
      <c r="BO27" s="89" t="str">
        <f t="shared" ca="1" si="19"/>
        <v>e</v>
      </c>
      <c r="BP27" s="89" t="str">
        <f t="shared" ca="1" si="20"/>
        <v/>
      </c>
      <c r="BQ27" s="89" t="str">
        <f t="shared" ca="1" si="21"/>
        <v/>
      </c>
      <c r="BR27" s="87" t="str">
        <f t="shared" ca="1" si="22"/>
        <v>x</v>
      </c>
      <c r="BS27" s="89" t="str">
        <f t="shared" ca="1" si="2"/>
        <v/>
      </c>
      <c r="BT27" s="89" t="str">
        <f t="shared" ca="1" si="3"/>
        <v/>
      </c>
      <c r="BU27" s="89" t="str">
        <f t="shared" ca="1" si="4"/>
        <v/>
      </c>
      <c r="BV27" s="87" t="str">
        <f t="shared" ca="1" si="23"/>
        <v/>
      </c>
      <c r="BW27" s="87" t="str">
        <f t="shared" ca="1" si="24"/>
        <v>22060222</v>
      </c>
      <c r="BX27" s="89">
        <f t="shared" ca="1" si="25"/>
        <v>0</v>
      </c>
    </row>
    <row r="28" spans="1:76">
      <c r="A28" s="374" t="str">
        <f t="shared" si="5"/>
        <v/>
      </c>
      <c r="B28" s="98">
        <v>3</v>
      </c>
      <c r="C28" s="94">
        <v>-3</v>
      </c>
      <c r="D28" s="94">
        <v>-2</v>
      </c>
      <c r="E28" s="94">
        <v>6</v>
      </c>
      <c r="F28" s="94">
        <v>-5</v>
      </c>
      <c r="G28" s="94">
        <v>4</v>
      </c>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1">
        <f t="shared" ca="1" si="6"/>
        <v>342</v>
      </c>
      <c r="BB28" s="88" t="str">
        <f t="shared" ca="1" si="7"/>
        <v>A319:A1600</v>
      </c>
      <c r="BC28" s="89" t="str">
        <f t="shared" ca="1" si="8"/>
        <v>B342</v>
      </c>
      <c r="BD28" s="89">
        <f ca="1">IF(BC28=0,0,RANK(BF28,$BF$11:$BF$100,0)+(COUNTIF($BF28:$BF$100,BF28)-1))</f>
        <v>37</v>
      </c>
      <c r="BE28" s="89" t="str">
        <f t="shared" ca="1" si="9"/>
        <v>220603</v>
      </c>
      <c r="BF28" s="89">
        <f t="shared" ca="1" si="10"/>
        <v>22060314</v>
      </c>
      <c r="BG28" s="89">
        <f t="shared" ca="1" si="11"/>
        <v>22</v>
      </c>
      <c r="BH28" s="89">
        <f t="shared" ca="1" si="12"/>
        <v>3</v>
      </c>
      <c r="BI28" s="89" t="str">
        <f t="shared" ca="1" si="13"/>
        <v>B365</v>
      </c>
      <c r="BJ28" s="89">
        <f t="shared" ca="1" si="14"/>
        <v>7</v>
      </c>
      <c r="BK28" s="89">
        <f t="shared" ca="1" si="15"/>
        <v>14</v>
      </c>
      <c r="BL28" s="89">
        <f t="shared" ca="1" si="16"/>
        <v>77</v>
      </c>
      <c r="BM28" s="89">
        <f t="shared" ca="1" si="17"/>
        <v>16</v>
      </c>
      <c r="BN28" s="89" t="str">
        <f t="shared" ca="1" si="18"/>
        <v>S6!B343:P364</v>
      </c>
      <c r="BO28" s="89" t="str">
        <f t="shared" ca="1" si="19"/>
        <v>e</v>
      </c>
      <c r="BP28" s="89" t="str">
        <f t="shared" ca="1" si="20"/>
        <v/>
      </c>
      <c r="BQ28" s="89" t="str">
        <f t="shared" ca="1" si="21"/>
        <v/>
      </c>
      <c r="BR28" s="87" t="str">
        <f t="shared" ca="1" si="22"/>
        <v>x</v>
      </c>
      <c r="BS28" s="89" t="str">
        <f t="shared" ca="1" si="2"/>
        <v/>
      </c>
      <c r="BT28" s="89" t="str">
        <f t="shared" ca="1" si="3"/>
        <v/>
      </c>
      <c r="BU28" s="89" t="str">
        <f t="shared" ca="1" si="4"/>
        <v/>
      </c>
      <c r="BV28" s="87" t="str">
        <f t="shared" ca="1" si="23"/>
        <v/>
      </c>
      <c r="BW28" s="87" t="str">
        <f t="shared" ca="1" si="24"/>
        <v>22060314</v>
      </c>
      <c r="BX28" s="89">
        <f t="shared" ca="1" si="25"/>
        <v>0</v>
      </c>
    </row>
    <row r="29" spans="1:76">
      <c r="A29" s="374" t="str">
        <f t="shared" si="5"/>
        <v/>
      </c>
      <c r="B29" s="98">
        <v>4</v>
      </c>
      <c r="C29" s="94">
        <v>5</v>
      </c>
      <c r="D29" s="94">
        <v>-6</v>
      </c>
      <c r="E29" s="94">
        <v>2</v>
      </c>
      <c r="F29" s="94">
        <v>1</v>
      </c>
      <c r="G29" s="94">
        <v>-4</v>
      </c>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1">
        <f t="shared" ca="1" si="6"/>
        <v>366</v>
      </c>
      <c r="BB29" s="88" t="str">
        <f t="shared" ca="1" si="7"/>
        <v>A343:A1600</v>
      </c>
      <c r="BC29" s="89" t="str">
        <f t="shared" ca="1" si="8"/>
        <v>B366</v>
      </c>
      <c r="BD29" s="89">
        <f ca="1">IF(BC29=0,0,RANK(BF29,$BF$11:$BF$100,0)+(COUNTIF($BF29:$BF$100,BF29)-1))</f>
        <v>36</v>
      </c>
      <c r="BE29" s="89" t="str">
        <f t="shared" ca="1" si="9"/>
        <v>220604</v>
      </c>
      <c r="BF29" s="89">
        <f t="shared" ca="1" si="10"/>
        <v>22060410</v>
      </c>
      <c r="BG29" s="89">
        <f t="shared" ca="1" si="11"/>
        <v>22</v>
      </c>
      <c r="BH29" s="89">
        <f t="shared" ca="1" si="12"/>
        <v>4</v>
      </c>
      <c r="BI29" s="89" t="str">
        <f t="shared" ca="1" si="13"/>
        <v>B389</v>
      </c>
      <c r="BJ29" s="89">
        <f t="shared" ca="1" si="14"/>
        <v>5</v>
      </c>
      <c r="BK29" s="89">
        <f t="shared" ca="1" si="15"/>
        <v>10</v>
      </c>
      <c r="BL29" s="89">
        <f t="shared" ca="1" si="16"/>
        <v>55</v>
      </c>
      <c r="BM29" s="89">
        <f t="shared" ca="1" si="17"/>
        <v>12</v>
      </c>
      <c r="BN29" s="89" t="str">
        <f t="shared" ca="1" si="18"/>
        <v>S6!B367:L388</v>
      </c>
      <c r="BO29" s="89" t="str">
        <f t="shared" ca="1" si="19"/>
        <v>e</v>
      </c>
      <c r="BP29" s="89" t="str">
        <f t="shared" ca="1" si="20"/>
        <v/>
      </c>
      <c r="BQ29" s="89" t="str">
        <f t="shared" ca="1" si="21"/>
        <v/>
      </c>
      <c r="BR29" s="87" t="str">
        <f t="shared" ca="1" si="22"/>
        <v>x</v>
      </c>
      <c r="BS29" s="89" t="str">
        <f t="shared" ca="1" si="2"/>
        <v/>
      </c>
      <c r="BT29" s="89" t="str">
        <f t="shared" ca="1" si="3"/>
        <v/>
      </c>
      <c r="BU29" s="89" t="str">
        <f t="shared" ca="1" si="4"/>
        <v/>
      </c>
      <c r="BV29" s="87" t="str">
        <f t="shared" ca="1" si="23"/>
        <v/>
      </c>
      <c r="BW29" s="87" t="str">
        <f t="shared" ca="1" si="24"/>
        <v>22060410</v>
      </c>
      <c r="BX29" s="89">
        <f t="shared" ca="1" si="25"/>
        <v>0</v>
      </c>
    </row>
    <row r="30" spans="1:76">
      <c r="A30" s="374" t="str">
        <f t="shared" si="5"/>
        <v/>
      </c>
      <c r="B30" s="98">
        <v>5</v>
      </c>
      <c r="C30" s="94">
        <v>6</v>
      </c>
      <c r="D30" s="94">
        <v>-4</v>
      </c>
      <c r="E30" s="94">
        <v>-2</v>
      </c>
      <c r="F30" s="94">
        <v>5</v>
      </c>
      <c r="G30" s="94">
        <v>-1</v>
      </c>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1">
        <f t="shared" ca="1" si="6"/>
        <v>390</v>
      </c>
      <c r="BB30" s="88" t="str">
        <f t="shared" ca="1" si="7"/>
        <v>A367:A1600</v>
      </c>
      <c r="BC30" s="89" t="str">
        <f t="shared" ca="1" si="8"/>
        <v>B390</v>
      </c>
      <c r="BD30" s="89">
        <f ca="1">IF(BC30=0,0,RANK(BF30,$BF$11:$BF$100,0)+(COUNTIF($BF30:$BF$100,BF30)-1))</f>
        <v>31</v>
      </c>
      <c r="BE30" s="89" t="str">
        <f t="shared" ca="1" si="9"/>
        <v>230603</v>
      </c>
      <c r="BF30" s="89">
        <f t="shared" ca="1" si="10"/>
        <v>23060314</v>
      </c>
      <c r="BG30" s="89">
        <f t="shared" ca="1" si="11"/>
        <v>23</v>
      </c>
      <c r="BH30" s="89">
        <f t="shared" ca="1" si="12"/>
        <v>3</v>
      </c>
      <c r="BI30" s="89" t="str">
        <f t="shared" ca="1" si="13"/>
        <v>B414</v>
      </c>
      <c r="BJ30" s="89">
        <f t="shared" ca="1" si="14"/>
        <v>7</v>
      </c>
      <c r="BK30" s="89">
        <f t="shared" ca="1" si="15"/>
        <v>14</v>
      </c>
      <c r="BL30" s="89">
        <f t="shared" ca="1" si="16"/>
        <v>77</v>
      </c>
      <c r="BM30" s="89">
        <f t="shared" ca="1" si="17"/>
        <v>16</v>
      </c>
      <c r="BN30" s="89" t="str">
        <f t="shared" ca="1" si="18"/>
        <v>S6!B391:P413</v>
      </c>
      <c r="BO30" s="89" t="str">
        <f t="shared" ca="1" si="19"/>
        <v>e</v>
      </c>
      <c r="BP30" s="89" t="str">
        <f t="shared" ca="1" si="20"/>
        <v>w</v>
      </c>
      <c r="BQ30" s="89" t="str">
        <f t="shared" ca="1" si="21"/>
        <v>w</v>
      </c>
      <c r="BR30" s="87" t="str">
        <f t="shared" ca="1" si="22"/>
        <v/>
      </c>
      <c r="BS30" s="89" t="str">
        <f t="shared" ca="1" si="2"/>
        <v/>
      </c>
      <c r="BT30" s="89" t="str">
        <f t="shared" ca="1" si="3"/>
        <v/>
      </c>
      <c r="BU30" s="89" t="str">
        <f t="shared" ca="1" si="4"/>
        <v/>
      </c>
      <c r="BV30" s="87" t="str">
        <f t="shared" ca="1" si="23"/>
        <v/>
      </c>
      <c r="BW30" s="87" t="str">
        <f t="shared" ca="1" si="24"/>
        <v>23060314</v>
      </c>
      <c r="BX30" s="89">
        <f t="shared" ca="1" si="25"/>
        <v>0</v>
      </c>
    </row>
    <row r="31" spans="1:76">
      <c r="A31" s="374" t="str">
        <f t="shared" si="5"/>
        <v/>
      </c>
      <c r="B31" s="99">
        <v>6</v>
      </c>
      <c r="C31" s="92">
        <v>3</v>
      </c>
      <c r="D31" s="92">
        <v>6</v>
      </c>
      <c r="E31" s="92">
        <v>-5</v>
      </c>
      <c r="F31" s="92">
        <v>-2</v>
      </c>
      <c r="G31" s="92">
        <v>1</v>
      </c>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1">
        <f t="shared" ca="1" si="6"/>
        <v>415</v>
      </c>
      <c r="BB31" s="88" t="str">
        <f t="shared" ca="1" si="7"/>
        <v>A391:A1600</v>
      </c>
      <c r="BC31" s="89" t="str">
        <f t="shared" ca="1" si="8"/>
        <v>B415</v>
      </c>
      <c r="BD31" s="89">
        <f ca="1">IF(BC31=0,0,RANK(BF31,$BF$11:$BF$100,0)+(COUNTIF($BF31:$BF$100,BF31)-1))</f>
        <v>29</v>
      </c>
      <c r="BE31" s="89" t="str">
        <f t="shared" ca="1" si="9"/>
        <v>230604</v>
      </c>
      <c r="BF31" s="89">
        <f t="shared" ca="1" si="10"/>
        <v>23060410</v>
      </c>
      <c r="BG31" s="89">
        <f t="shared" ca="1" si="11"/>
        <v>23</v>
      </c>
      <c r="BH31" s="89">
        <f t="shared" ca="1" si="12"/>
        <v>4</v>
      </c>
      <c r="BI31" s="89" t="str">
        <f t="shared" ca="1" si="13"/>
        <v>B439</v>
      </c>
      <c r="BJ31" s="89">
        <f t="shared" ca="1" si="14"/>
        <v>5</v>
      </c>
      <c r="BK31" s="89">
        <f t="shared" ca="1" si="15"/>
        <v>10</v>
      </c>
      <c r="BL31" s="89">
        <f t="shared" ca="1" si="16"/>
        <v>55</v>
      </c>
      <c r="BM31" s="89">
        <f t="shared" ca="1" si="17"/>
        <v>12</v>
      </c>
      <c r="BN31" s="89" t="str">
        <f t="shared" ca="1" si="18"/>
        <v>S6!B416:L438</v>
      </c>
      <c r="BO31" s="89" t="str">
        <f t="shared" ca="1" si="19"/>
        <v>e</v>
      </c>
      <c r="BP31" s="89" t="str">
        <f t="shared" ca="1" si="20"/>
        <v>w</v>
      </c>
      <c r="BQ31" s="89" t="str">
        <f t="shared" ca="1" si="21"/>
        <v>w</v>
      </c>
      <c r="BR31" s="87" t="str">
        <f t="shared" ca="1" si="22"/>
        <v/>
      </c>
      <c r="BS31" s="89" t="str">
        <f t="shared" ca="1" si="2"/>
        <v/>
      </c>
      <c r="BT31" s="89" t="str">
        <f t="shared" ca="1" si="3"/>
        <v/>
      </c>
      <c r="BU31" s="89" t="str">
        <f t="shared" ca="1" si="4"/>
        <v/>
      </c>
      <c r="BV31" s="87" t="str">
        <f t="shared" ca="1" si="23"/>
        <v/>
      </c>
      <c r="BW31" s="87" t="str">
        <f t="shared" ca="1" si="24"/>
        <v>23060410</v>
      </c>
      <c r="BX31" s="89">
        <f t="shared" ca="1" si="25"/>
        <v>0</v>
      </c>
    </row>
    <row r="32" spans="1:76">
      <c r="A32" s="374" t="str">
        <f t="shared" si="5"/>
        <v/>
      </c>
      <c r="B32" s="98">
        <v>7</v>
      </c>
      <c r="C32" s="94">
        <v>-4</v>
      </c>
      <c r="D32" s="94">
        <v>5</v>
      </c>
      <c r="E32" s="94">
        <v>-1</v>
      </c>
      <c r="F32" s="94">
        <v>3</v>
      </c>
      <c r="G32" s="94">
        <v>2</v>
      </c>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1">
        <f t="shared" ca="1" si="6"/>
        <v>440</v>
      </c>
      <c r="BB32" s="88" t="str">
        <f t="shared" ca="1" si="7"/>
        <v>A416:A1600</v>
      </c>
      <c r="BC32" s="89" t="str">
        <f t="shared" ca="1" si="8"/>
        <v>B440</v>
      </c>
      <c r="BD32" s="89">
        <f ca="1">IF(BC32=0,0,RANK(BF32,$BF$11:$BF$100,0)+(COUNTIF($BF32:$BF$100,BF32)-1))</f>
        <v>28</v>
      </c>
      <c r="BE32" s="89" t="str">
        <f t="shared" ca="1" si="9"/>
        <v>230606</v>
      </c>
      <c r="BF32" s="89">
        <f t="shared" ca="1" si="10"/>
        <v>23060606</v>
      </c>
      <c r="BG32" s="89">
        <f t="shared" ca="1" si="11"/>
        <v>23</v>
      </c>
      <c r="BH32" s="89">
        <f t="shared" ca="1" si="12"/>
        <v>6</v>
      </c>
      <c r="BI32" s="89" t="str">
        <f t="shared" ca="1" si="13"/>
        <v>B464</v>
      </c>
      <c r="BJ32" s="89">
        <f t="shared" ca="1" si="14"/>
        <v>3</v>
      </c>
      <c r="BK32" s="89">
        <f t="shared" ca="1" si="15"/>
        <v>6</v>
      </c>
      <c r="BL32" s="89">
        <f t="shared" ca="1" si="16"/>
        <v>33</v>
      </c>
      <c r="BM32" s="89">
        <f t="shared" ca="1" si="17"/>
        <v>8</v>
      </c>
      <c r="BN32" s="89" t="str">
        <f t="shared" ca="1" si="18"/>
        <v>S6!B441:H463</v>
      </c>
      <c r="BO32" s="89" t="str">
        <f t="shared" ca="1" si="19"/>
        <v>e</v>
      </c>
      <c r="BP32" s="89" t="str">
        <f t="shared" ca="1" si="20"/>
        <v>w</v>
      </c>
      <c r="BQ32" s="89" t="str">
        <f t="shared" ca="1" si="21"/>
        <v>w</v>
      </c>
      <c r="BR32" s="87" t="str">
        <f t="shared" ca="1" si="22"/>
        <v/>
      </c>
      <c r="BS32" s="89" t="str">
        <f t="shared" ca="1" si="2"/>
        <v/>
      </c>
      <c r="BT32" s="89" t="str">
        <f t="shared" ca="1" si="3"/>
        <v/>
      </c>
      <c r="BU32" s="89" t="str">
        <f t="shared" ca="1" si="4"/>
        <v/>
      </c>
      <c r="BV32" s="87" t="str">
        <f t="shared" ca="1" si="23"/>
        <v/>
      </c>
      <c r="BW32" s="87" t="str">
        <f t="shared" ca="1" si="24"/>
        <v>23060606</v>
      </c>
      <c r="BX32" s="89">
        <f t="shared" ca="1" si="25"/>
        <v>0</v>
      </c>
    </row>
    <row r="33" spans="1:76">
      <c r="A33" s="374" t="str">
        <f t="shared" si="5"/>
        <v/>
      </c>
      <c r="B33" s="98">
        <v>8</v>
      </c>
      <c r="C33" s="94">
        <v>-1</v>
      </c>
      <c r="D33" s="94">
        <v>3</v>
      </c>
      <c r="E33" s="94">
        <v>4</v>
      </c>
      <c r="F33" s="94">
        <v>-6</v>
      </c>
      <c r="G33" s="94">
        <v>-2</v>
      </c>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1">
        <f t="shared" ca="1" si="6"/>
        <v>465</v>
      </c>
      <c r="BB33" s="88" t="str">
        <f t="shared" ca="1" si="7"/>
        <v>A441:A1600</v>
      </c>
      <c r="BC33" s="89" t="str">
        <f t="shared" ca="1" si="8"/>
        <v>B465</v>
      </c>
      <c r="BD33" s="89">
        <f ca="1">IF(BC33=0,0,RANK(BF33,$BF$11:$BF$100,0)+(COUNTIF($BF33:$BF$100,BF33)-1))</f>
        <v>27</v>
      </c>
      <c r="BE33" s="89" t="str">
        <f t="shared" ca="1" si="9"/>
        <v>240601</v>
      </c>
      <c r="BF33" s="89">
        <f t="shared" ca="1" si="10"/>
        <v>24060124</v>
      </c>
      <c r="BG33" s="89">
        <f t="shared" ca="1" si="11"/>
        <v>24</v>
      </c>
      <c r="BH33" s="89">
        <f t="shared" ca="1" si="12"/>
        <v>1</v>
      </c>
      <c r="BI33" s="89" t="str">
        <f t="shared" ca="1" si="13"/>
        <v>B490</v>
      </c>
      <c r="BJ33" s="89">
        <f t="shared" ca="1" si="14"/>
        <v>23</v>
      </c>
      <c r="BK33" s="89">
        <f t="shared" ca="1" si="15"/>
        <v>24</v>
      </c>
      <c r="BL33" s="89">
        <f t="shared" ca="1" si="16"/>
        <v>276</v>
      </c>
      <c r="BM33" s="89">
        <f t="shared" ca="1" si="17"/>
        <v>26</v>
      </c>
      <c r="BN33" s="89" t="str">
        <f t="shared" ca="1" si="18"/>
        <v>S6!B466:Z489</v>
      </c>
      <c r="BO33" s="89" t="str">
        <f t="shared" ca="1" si="19"/>
        <v>e</v>
      </c>
      <c r="BP33" s="89" t="str">
        <f t="shared" ca="1" si="20"/>
        <v/>
      </c>
      <c r="BQ33" s="89" t="str">
        <f t="shared" ca="1" si="21"/>
        <v/>
      </c>
      <c r="BR33" s="87" t="str">
        <f t="shared" ca="1" si="22"/>
        <v/>
      </c>
      <c r="BS33" s="89" t="str">
        <f t="shared" ca="1" si="2"/>
        <v/>
      </c>
      <c r="BT33" s="89" t="str">
        <f t="shared" ca="1" si="3"/>
        <v/>
      </c>
      <c r="BU33" s="89" t="str">
        <f t="shared" ca="1" si="4"/>
        <v>X</v>
      </c>
      <c r="BV33" s="87" t="str">
        <f t="shared" ca="1" si="23"/>
        <v/>
      </c>
      <c r="BW33" s="87" t="str">
        <f t="shared" ca="1" si="24"/>
        <v>24060124</v>
      </c>
      <c r="BX33" s="89">
        <f t="shared" ca="1" si="25"/>
        <v>0</v>
      </c>
    </row>
    <row r="34" spans="1:76">
      <c r="A34" s="374" t="str">
        <f t="shared" si="5"/>
        <v/>
      </c>
      <c r="B34" s="98">
        <v>9</v>
      </c>
      <c r="C34" s="94">
        <v>2</v>
      </c>
      <c r="D34" s="94">
        <v>-3</v>
      </c>
      <c r="E34" s="94">
        <v>1</v>
      </c>
      <c r="F34" s="94">
        <v>-4</v>
      </c>
      <c r="G34" s="94">
        <v>5</v>
      </c>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1">
        <f t="shared" ca="1" si="6"/>
        <v>491</v>
      </c>
      <c r="BB34" s="88" t="str">
        <f t="shared" ca="1" si="7"/>
        <v>A466:A1600</v>
      </c>
      <c r="BC34" s="89" t="str">
        <f t="shared" ca="1" si="8"/>
        <v>B491</v>
      </c>
      <c r="BD34" s="89">
        <f ca="1">IF(BC34=0,0,RANK(BF34,$BF$11:$BF$100,0)+(COUNTIF($BF34:$BF$100,BF34)-1))</f>
        <v>26</v>
      </c>
      <c r="BE34" s="89" t="str">
        <f t="shared" ca="1" si="9"/>
        <v>240602</v>
      </c>
      <c r="BF34" s="89">
        <f t="shared" ca="1" si="10"/>
        <v>24060222</v>
      </c>
      <c r="BG34" s="89">
        <f t="shared" ca="1" si="11"/>
        <v>24</v>
      </c>
      <c r="BH34" s="89">
        <f t="shared" ca="1" si="12"/>
        <v>2</v>
      </c>
      <c r="BI34" s="89" t="str">
        <f t="shared" ca="1" si="13"/>
        <v>B516</v>
      </c>
      <c r="BJ34" s="89">
        <f t="shared" ca="1" si="14"/>
        <v>11</v>
      </c>
      <c r="BK34" s="89">
        <f t="shared" ca="1" si="15"/>
        <v>22</v>
      </c>
      <c r="BL34" s="89">
        <f t="shared" ca="1" si="16"/>
        <v>132</v>
      </c>
      <c r="BM34" s="89">
        <f t="shared" ca="1" si="17"/>
        <v>24</v>
      </c>
      <c r="BN34" s="89" t="str">
        <f t="shared" ca="1" si="18"/>
        <v>S6!B492:X515</v>
      </c>
      <c r="BO34" s="89" t="str">
        <f t="shared" ca="1" si="19"/>
        <v>e</v>
      </c>
      <c r="BP34" s="89" t="str">
        <f t="shared" ca="1" si="20"/>
        <v/>
      </c>
      <c r="BQ34" s="89" t="str">
        <f t="shared" ca="1" si="21"/>
        <v/>
      </c>
      <c r="BR34" s="87" t="str">
        <f t="shared" ca="1" si="22"/>
        <v/>
      </c>
      <c r="BS34" s="89" t="str">
        <f t="shared" ca="1" si="2"/>
        <v/>
      </c>
      <c r="BT34" s="89" t="str">
        <f t="shared" ca="1" si="3"/>
        <v/>
      </c>
      <c r="BU34" s="89" t="str">
        <f t="shared" ca="1" si="4"/>
        <v/>
      </c>
      <c r="BV34" s="87" t="str">
        <f t="shared" ca="1" si="23"/>
        <v/>
      </c>
      <c r="BW34" s="87" t="str">
        <f t="shared" ca="1" si="24"/>
        <v>24060222</v>
      </c>
      <c r="BX34" s="89">
        <f t="shared" ca="1" si="25"/>
        <v>0</v>
      </c>
    </row>
    <row r="35" spans="1:76">
      <c r="A35" s="374" t="str">
        <f t="shared" si="5"/>
        <v/>
      </c>
      <c r="B35" s="98">
        <v>10</v>
      </c>
      <c r="C35" s="94">
        <v>4</v>
      </c>
      <c r="D35" s="94">
        <v>-1</v>
      </c>
      <c r="E35" s="94">
        <v>-3</v>
      </c>
      <c r="F35" s="94">
        <v>6</v>
      </c>
      <c r="G35" s="94">
        <v>-5</v>
      </c>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1">
        <f t="shared" ca="1" si="6"/>
        <v>517</v>
      </c>
      <c r="BB35" s="88" t="str">
        <f t="shared" ca="1" si="7"/>
        <v>A492:A1600</v>
      </c>
      <c r="BC35" s="89" t="str">
        <f t="shared" ca="1" si="8"/>
        <v>B517</v>
      </c>
      <c r="BD35" s="89">
        <f ca="1">IF(BC35=0,0,RANK(BF35,$BF$11:$BF$100,0)+(COUNTIF($BF35:$BF$100,BF35)-1))</f>
        <v>25</v>
      </c>
      <c r="BE35" s="89" t="str">
        <f t="shared" ca="1" si="9"/>
        <v>240603</v>
      </c>
      <c r="BF35" s="89">
        <f t="shared" ca="1" si="10"/>
        <v>24060314</v>
      </c>
      <c r="BG35" s="89">
        <f t="shared" ca="1" si="11"/>
        <v>24</v>
      </c>
      <c r="BH35" s="89">
        <f t="shared" ca="1" si="12"/>
        <v>3</v>
      </c>
      <c r="BI35" s="89" t="str">
        <f t="shared" ca="1" si="13"/>
        <v>B542</v>
      </c>
      <c r="BJ35" s="89">
        <f t="shared" ca="1" si="14"/>
        <v>7</v>
      </c>
      <c r="BK35" s="89">
        <f t="shared" ca="1" si="15"/>
        <v>14</v>
      </c>
      <c r="BL35" s="89">
        <f t="shared" ca="1" si="16"/>
        <v>84</v>
      </c>
      <c r="BM35" s="89">
        <f t="shared" ca="1" si="17"/>
        <v>16</v>
      </c>
      <c r="BN35" s="89" t="str">
        <f t="shared" ca="1" si="18"/>
        <v>S6!B518:P541</v>
      </c>
      <c r="BO35" s="89" t="str">
        <f t="shared" ca="1" si="19"/>
        <v>e</v>
      </c>
      <c r="BP35" s="89" t="str">
        <f t="shared" ca="1" si="20"/>
        <v/>
      </c>
      <c r="BQ35" s="89" t="str">
        <f t="shared" ca="1" si="21"/>
        <v/>
      </c>
      <c r="BR35" s="87" t="str">
        <f t="shared" ca="1" si="22"/>
        <v/>
      </c>
      <c r="BS35" s="89" t="str">
        <f t="shared" ca="1" si="2"/>
        <v/>
      </c>
      <c r="BT35" s="89" t="str">
        <f t="shared" ca="1" si="3"/>
        <v/>
      </c>
      <c r="BU35" s="89" t="str">
        <f t="shared" ca="1" si="4"/>
        <v/>
      </c>
      <c r="BV35" s="87" t="str">
        <f t="shared" ca="1" si="23"/>
        <v/>
      </c>
      <c r="BW35" s="87" t="str">
        <f t="shared" ca="1" si="24"/>
        <v>24060314</v>
      </c>
      <c r="BX35" s="89">
        <f t="shared" ca="1" si="25"/>
        <v>0</v>
      </c>
    </row>
    <row r="36" spans="1:76">
      <c r="A36" s="374" t="str">
        <f t="shared" si="5"/>
        <v/>
      </c>
      <c r="B36" s="98">
        <v>11</v>
      </c>
      <c r="C36" s="94">
        <v>1</v>
      </c>
      <c r="D36" s="94">
        <v>-5</v>
      </c>
      <c r="E36" s="94">
        <v>3</v>
      </c>
      <c r="F36" s="94">
        <v>4</v>
      </c>
      <c r="G36" s="94">
        <v>-6</v>
      </c>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1">
        <f t="shared" ca="1" si="6"/>
        <v>543</v>
      </c>
      <c r="BB36" s="88" t="str">
        <f t="shared" ca="1" si="7"/>
        <v>A518:A1600</v>
      </c>
      <c r="BC36" s="89" t="str">
        <f t="shared" ca="1" si="8"/>
        <v>B543</v>
      </c>
      <c r="BD36" s="89">
        <f ca="1">IF(BC36=0,0,RANK(BF36,$BF$11:$BF$100,0)+(COUNTIF($BF36:$BF$100,BF36)-1))</f>
        <v>24</v>
      </c>
      <c r="BE36" s="89" t="str">
        <f t="shared" ca="1" si="9"/>
        <v>240604</v>
      </c>
      <c r="BF36" s="89">
        <f t="shared" ca="1" si="10"/>
        <v>24060410</v>
      </c>
      <c r="BG36" s="89">
        <f t="shared" ca="1" si="11"/>
        <v>24</v>
      </c>
      <c r="BH36" s="89">
        <f t="shared" ca="1" si="12"/>
        <v>4</v>
      </c>
      <c r="BI36" s="89" t="str">
        <f t="shared" ca="1" si="13"/>
        <v>B568</v>
      </c>
      <c r="BJ36" s="89">
        <f t="shared" ca="1" si="14"/>
        <v>5</v>
      </c>
      <c r="BK36" s="89">
        <f t="shared" ca="1" si="15"/>
        <v>10</v>
      </c>
      <c r="BL36" s="89">
        <f t="shared" ca="1" si="16"/>
        <v>60</v>
      </c>
      <c r="BM36" s="89">
        <f t="shared" ca="1" si="17"/>
        <v>12</v>
      </c>
      <c r="BN36" s="89" t="str">
        <f t="shared" ca="1" si="18"/>
        <v>S6!B544:L567</v>
      </c>
      <c r="BO36" s="89" t="str">
        <f t="shared" ca="1" si="19"/>
        <v>e</v>
      </c>
      <c r="BP36" s="89" t="str">
        <f t="shared" ca="1" si="20"/>
        <v/>
      </c>
      <c r="BQ36" s="89" t="str">
        <f t="shared" ca="1" si="21"/>
        <v/>
      </c>
      <c r="BR36" s="87" t="str">
        <f t="shared" ca="1" si="22"/>
        <v/>
      </c>
      <c r="BS36" s="89" t="str">
        <f t="shared" ca="1" si="2"/>
        <v/>
      </c>
      <c r="BT36" s="89" t="str">
        <f t="shared" ca="1" si="3"/>
        <v/>
      </c>
      <c r="BU36" s="89" t="str">
        <f t="shared" ca="1" si="4"/>
        <v/>
      </c>
      <c r="BV36" s="87" t="str">
        <f t="shared" ca="1" si="23"/>
        <v/>
      </c>
      <c r="BW36" s="87" t="str">
        <f t="shared" ca="1" si="24"/>
        <v>24060410</v>
      </c>
      <c r="BX36" s="89">
        <f t="shared" ca="1" si="25"/>
        <v>0</v>
      </c>
    </row>
    <row r="37" spans="1:76">
      <c r="A37" s="374" t="str">
        <f t="shared" si="5"/>
        <v/>
      </c>
      <c r="B37" s="98">
        <v>12</v>
      </c>
      <c r="C37" s="94">
        <v>-2</v>
      </c>
      <c r="D37" s="94">
        <v>1</v>
      </c>
      <c r="E37" s="94">
        <v>-4</v>
      </c>
      <c r="F37" s="94">
        <v>-3</v>
      </c>
      <c r="G37" s="94">
        <v>6</v>
      </c>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1">
        <f t="shared" ca="1" si="6"/>
        <v>569</v>
      </c>
      <c r="BB37" s="88" t="str">
        <f t="shared" ca="1" si="7"/>
        <v>A544:A1600</v>
      </c>
      <c r="BC37" s="89" t="str">
        <f t="shared" ca="1" si="8"/>
        <v>B569</v>
      </c>
      <c r="BD37" s="89">
        <f ca="1">IF(BC37=0,0,RANK(BF37,$BF$11:$BF$100,0)+(COUNTIF($BF37:$BF$100,BF37)-1))</f>
        <v>23</v>
      </c>
      <c r="BE37" s="89" t="str">
        <f t="shared" ca="1" si="9"/>
        <v>240605</v>
      </c>
      <c r="BF37" s="89">
        <f t="shared" ca="1" si="10"/>
        <v>24060510</v>
      </c>
      <c r="BG37" s="89">
        <f t="shared" ca="1" si="11"/>
        <v>24</v>
      </c>
      <c r="BH37" s="89">
        <f t="shared" ca="1" si="12"/>
        <v>5</v>
      </c>
      <c r="BI37" s="89" t="str">
        <f t="shared" ca="1" si="13"/>
        <v>B594</v>
      </c>
      <c r="BJ37" s="89">
        <f t="shared" ca="1" si="14"/>
        <v>5</v>
      </c>
      <c r="BK37" s="89">
        <f t="shared" ca="1" si="15"/>
        <v>10</v>
      </c>
      <c r="BL37" s="89">
        <f t="shared" ca="1" si="16"/>
        <v>60</v>
      </c>
      <c r="BM37" s="89">
        <f t="shared" ca="1" si="17"/>
        <v>12</v>
      </c>
      <c r="BN37" s="89" t="str">
        <f t="shared" ca="1" si="18"/>
        <v>S6!B570:L593</v>
      </c>
      <c r="BO37" s="89" t="str">
        <f t="shared" ca="1" si="19"/>
        <v>e</v>
      </c>
      <c r="BP37" s="89" t="str">
        <f t="shared" ca="1" si="20"/>
        <v/>
      </c>
      <c r="BQ37" s="89" t="str">
        <f t="shared" ca="1" si="21"/>
        <v/>
      </c>
      <c r="BR37" s="87" t="str">
        <f t="shared" ca="1" si="22"/>
        <v>x</v>
      </c>
      <c r="BS37" s="89" t="str">
        <f t="shared" ca="1" si="2"/>
        <v>a</v>
      </c>
      <c r="BT37" s="89" t="str">
        <f t="shared" ca="1" si="3"/>
        <v>E</v>
      </c>
      <c r="BU37" s="89" t="str">
        <f t="shared" ca="1" si="4"/>
        <v/>
      </c>
      <c r="BV37" s="87" t="str">
        <f t="shared" ca="1" si="23"/>
        <v/>
      </c>
      <c r="BW37" s="87" t="str">
        <f t="shared" ca="1" si="24"/>
        <v>24060510</v>
      </c>
      <c r="BX37" s="89">
        <f t="shared" ca="1" si="25"/>
        <v>0</v>
      </c>
    </row>
    <row r="38" spans="1:76">
      <c r="A38" s="374" t="str">
        <f t="shared" si="5"/>
        <v/>
      </c>
      <c r="B38" s="98" t="s">
        <v>340</v>
      </c>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c r="BA38" s="91">
        <f t="shared" ca="1" si="6"/>
        <v>595</v>
      </c>
      <c r="BB38" s="88" t="str">
        <f t="shared" ca="1" si="7"/>
        <v>A570:A1600</v>
      </c>
      <c r="BC38" s="89" t="str">
        <f t="shared" ca="1" si="8"/>
        <v>B595</v>
      </c>
      <c r="BD38" s="89">
        <f ca="1">IF(BC38=0,0,RANK(BF38,$BF$11:$BF$100,0)+(COUNTIF($BF38:$BF$100,BF38)-1))</f>
        <v>22</v>
      </c>
      <c r="BE38" s="89" t="str">
        <f t="shared" ca="1" si="9"/>
        <v>240606</v>
      </c>
      <c r="BF38" s="89">
        <f t="shared" ca="1" si="10"/>
        <v>24060606</v>
      </c>
      <c r="BG38" s="89">
        <f t="shared" ca="1" si="11"/>
        <v>24</v>
      </c>
      <c r="BH38" s="89">
        <f t="shared" ca="1" si="12"/>
        <v>6</v>
      </c>
      <c r="BI38" s="89" t="str">
        <f t="shared" ca="1" si="13"/>
        <v>B620</v>
      </c>
      <c r="BJ38" s="89">
        <f t="shared" ca="1" si="14"/>
        <v>3</v>
      </c>
      <c r="BK38" s="89">
        <f t="shared" ca="1" si="15"/>
        <v>6</v>
      </c>
      <c r="BL38" s="89">
        <f t="shared" ca="1" si="16"/>
        <v>36</v>
      </c>
      <c r="BM38" s="89">
        <f t="shared" ca="1" si="17"/>
        <v>8</v>
      </c>
      <c r="BN38" s="89" t="str">
        <f t="shared" ca="1" si="18"/>
        <v>S6!B596:H619</v>
      </c>
      <c r="BO38" s="89" t="str">
        <f t="shared" ca="1" si="19"/>
        <v>e</v>
      </c>
      <c r="BP38" s="89" t="str">
        <f t="shared" ca="1" si="20"/>
        <v/>
      </c>
      <c r="BQ38" s="89" t="str">
        <f t="shared" ca="1" si="21"/>
        <v/>
      </c>
      <c r="BR38" s="87" t="str">
        <f t="shared" ca="1" si="22"/>
        <v/>
      </c>
      <c r="BS38" s="89" t="str">
        <f t="shared" ca="1" si="2"/>
        <v/>
      </c>
      <c r="BT38" s="89" t="str">
        <f t="shared" ca="1" si="3"/>
        <v/>
      </c>
      <c r="BU38" s="89" t="str">
        <f t="shared" ca="1" si="4"/>
        <v/>
      </c>
      <c r="BV38" s="87" t="str">
        <f t="shared" ca="1" si="23"/>
        <v/>
      </c>
      <c r="BW38" s="87" t="str">
        <f t="shared" ca="1" si="24"/>
        <v>24060606</v>
      </c>
      <c r="BX38" s="89">
        <f t="shared" ca="1" si="25"/>
        <v>0</v>
      </c>
    </row>
    <row r="39" spans="1:76">
      <c r="A39" s="374">
        <f t="shared" si="5"/>
        <v>39</v>
      </c>
      <c r="B39" s="98" t="s">
        <v>341</v>
      </c>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1">
        <f t="shared" ca="1" si="6"/>
        <v>621</v>
      </c>
      <c r="BB39" s="88" t="str">
        <f t="shared" ca="1" si="7"/>
        <v>A596:A1600</v>
      </c>
      <c r="BC39" s="89" t="str">
        <f t="shared" ca="1" si="8"/>
        <v>B621</v>
      </c>
      <c r="BD39" s="89">
        <f ca="1">IF(BC39=0,0,RANK(BF39,$BF$11:$BF$100,0)+(COUNTIF($BF39:$BF$100,BF39)-1))</f>
        <v>19</v>
      </c>
      <c r="BE39" s="89" t="str">
        <f t="shared" ca="1" si="9"/>
        <v>250602</v>
      </c>
      <c r="BF39" s="89">
        <f t="shared" ca="1" si="10"/>
        <v>25060225</v>
      </c>
      <c r="BG39" s="89">
        <f t="shared" ca="1" si="11"/>
        <v>25</v>
      </c>
      <c r="BH39" s="89">
        <f t="shared" ca="1" si="12"/>
        <v>2</v>
      </c>
      <c r="BI39" s="89" t="str">
        <f t="shared" ca="1" si="13"/>
        <v>B647</v>
      </c>
      <c r="BJ39" s="89">
        <f t="shared" ca="1" si="14"/>
        <v>7</v>
      </c>
      <c r="BK39" s="89">
        <f t="shared" ca="1" si="15"/>
        <v>25</v>
      </c>
      <c r="BL39" s="89">
        <f t="shared" ca="1" si="16"/>
        <v>150</v>
      </c>
      <c r="BM39" s="89">
        <f t="shared" ca="1" si="17"/>
        <v>27</v>
      </c>
      <c r="BN39" s="89" t="str">
        <f t="shared" ca="1" si="18"/>
        <v>S6!B622:AA646</v>
      </c>
      <c r="BO39" s="89" t="str">
        <f t="shared" ca="1" si="19"/>
        <v>e</v>
      </c>
      <c r="BP39" s="89" t="str">
        <f t="shared" ca="1" si="20"/>
        <v>b</v>
      </c>
      <c r="BQ39" s="89" t="str">
        <f t="shared" ca="1" si="21"/>
        <v/>
      </c>
      <c r="BR39" s="87" t="str">
        <f t="shared" ca="1" si="22"/>
        <v/>
      </c>
      <c r="BS39" s="89" t="str">
        <f t="shared" ca="1" si="2"/>
        <v>a</v>
      </c>
      <c r="BT39" s="89" t="str">
        <f t="shared" ca="1" si="3"/>
        <v/>
      </c>
      <c r="BU39" s="89" t="str">
        <f t="shared" ca="1" si="4"/>
        <v/>
      </c>
      <c r="BV39" s="87" t="str">
        <f t="shared" ca="1" si="23"/>
        <v/>
      </c>
      <c r="BW39" s="87" t="str">
        <f t="shared" ca="1" si="24"/>
        <v>25060225</v>
      </c>
      <c r="BX39" s="89">
        <f t="shared" ca="1" si="25"/>
        <v>0</v>
      </c>
    </row>
    <row r="40" spans="1:76">
      <c r="A40" s="374" t="str">
        <f t="shared" si="5"/>
        <v/>
      </c>
      <c r="B40" s="98">
        <v>1</v>
      </c>
      <c r="C40" s="94">
        <v>-1</v>
      </c>
      <c r="D40" s="94">
        <v>2</v>
      </c>
      <c r="E40" s="94">
        <v>3</v>
      </c>
      <c r="F40" s="94"/>
      <c r="G40" s="94"/>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1">
        <f t="shared" ca="1" si="6"/>
        <v>648</v>
      </c>
      <c r="BB40" s="88" t="str">
        <f t="shared" ca="1" si="7"/>
        <v>A622:A1600</v>
      </c>
      <c r="BC40" s="89" t="str">
        <f t="shared" ca="1" si="8"/>
        <v>B648</v>
      </c>
      <c r="BD40" s="89">
        <f ca="1">IF(BC40=0,0,RANK(BF40,$BF$11:$BF$100,0)+(COUNTIF($BF40:$BF$100,BF40)-1))</f>
        <v>18</v>
      </c>
      <c r="BE40" s="89" t="str">
        <f t="shared" ca="1" si="9"/>
        <v>250603</v>
      </c>
      <c r="BF40" s="89">
        <f t="shared" ca="1" si="10"/>
        <v>25060317</v>
      </c>
      <c r="BG40" s="89">
        <f t="shared" ca="1" si="11"/>
        <v>25</v>
      </c>
      <c r="BH40" s="89">
        <f t="shared" ca="1" si="12"/>
        <v>3</v>
      </c>
      <c r="BI40" s="89" t="str">
        <f t="shared" ca="1" si="13"/>
        <v>B674</v>
      </c>
      <c r="BJ40" s="89">
        <f t="shared" ca="1" si="14"/>
        <v>8</v>
      </c>
      <c r="BK40" s="89">
        <f t="shared" ca="1" si="15"/>
        <v>17</v>
      </c>
      <c r="BL40" s="89">
        <f t="shared" ca="1" si="16"/>
        <v>100</v>
      </c>
      <c r="BM40" s="89">
        <f t="shared" ca="1" si="17"/>
        <v>19</v>
      </c>
      <c r="BN40" s="89" t="str">
        <f t="shared" ca="1" si="18"/>
        <v>S6!B649:S673</v>
      </c>
      <c r="BO40" s="89" t="str">
        <f t="shared" ca="1" si="19"/>
        <v>e</v>
      </c>
      <c r="BP40" s="89" t="str">
        <f t="shared" ca="1" si="20"/>
        <v>b</v>
      </c>
      <c r="BQ40" s="89" t="str">
        <f t="shared" ca="1" si="21"/>
        <v/>
      </c>
      <c r="BR40" s="87" t="str">
        <f t="shared" ca="1" si="22"/>
        <v/>
      </c>
      <c r="BS40" s="89" t="str">
        <f t="shared" ca="1" si="2"/>
        <v>a</v>
      </c>
      <c r="BT40" s="89" t="str">
        <f t="shared" ca="1" si="3"/>
        <v/>
      </c>
      <c r="BU40" s="89" t="str">
        <f t="shared" ca="1" si="4"/>
        <v/>
      </c>
      <c r="BV40" s="87" t="str">
        <f t="shared" ca="1" si="23"/>
        <v/>
      </c>
      <c r="BW40" s="87" t="str">
        <f t="shared" ca="1" si="24"/>
        <v>25060317</v>
      </c>
      <c r="BX40" s="89">
        <f t="shared" ca="1" si="25"/>
        <v>0</v>
      </c>
    </row>
    <row r="41" spans="1:76">
      <c r="A41" s="374" t="str">
        <f t="shared" si="5"/>
        <v/>
      </c>
      <c r="B41" s="98">
        <v>2</v>
      </c>
      <c r="C41" s="94">
        <v>6</v>
      </c>
      <c r="D41" s="94">
        <v>-5</v>
      </c>
      <c r="E41" s="94">
        <v>-3</v>
      </c>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1">
        <f t="shared" ca="1" si="6"/>
        <v>675</v>
      </c>
      <c r="BB41" s="88" t="str">
        <f t="shared" ca="1" si="7"/>
        <v>A649:A1600</v>
      </c>
      <c r="BC41" s="89" t="str">
        <f t="shared" ca="1" si="8"/>
        <v>B675</v>
      </c>
      <c r="BD41" s="89">
        <f ca="1">IF(BC41=0,0,RANK(BF41,$BF$11:$BF$100,0)+(COUNTIF($BF41:$BF$100,BF41)-1))</f>
        <v>17</v>
      </c>
      <c r="BE41" s="89" t="str">
        <f t="shared" ca="1" si="9"/>
        <v>250604</v>
      </c>
      <c r="BF41" s="89">
        <f t="shared" ca="1" si="10"/>
        <v>25060413</v>
      </c>
      <c r="BG41" s="89">
        <f t="shared" ca="1" si="11"/>
        <v>25</v>
      </c>
      <c r="BH41" s="89">
        <f t="shared" ca="1" si="12"/>
        <v>4</v>
      </c>
      <c r="BI41" s="89" t="str">
        <f t="shared" ca="1" si="13"/>
        <v>B701</v>
      </c>
      <c r="BJ41" s="89">
        <f t="shared" ca="1" si="14"/>
        <v>6</v>
      </c>
      <c r="BK41" s="89">
        <f t="shared" ca="1" si="15"/>
        <v>13</v>
      </c>
      <c r="BL41" s="89">
        <f t="shared" ca="1" si="16"/>
        <v>75</v>
      </c>
      <c r="BM41" s="89">
        <f t="shared" ca="1" si="17"/>
        <v>15</v>
      </c>
      <c r="BN41" s="89" t="str">
        <f t="shared" ca="1" si="18"/>
        <v>S6!B676:O700</v>
      </c>
      <c r="BO41" s="89" t="str">
        <f t="shared" ca="1" si="19"/>
        <v>e</v>
      </c>
      <c r="BP41" s="89" t="str">
        <f t="shared" ca="1" si="20"/>
        <v>b</v>
      </c>
      <c r="BQ41" s="89" t="str">
        <f t="shared" ca="1" si="21"/>
        <v/>
      </c>
      <c r="BR41" s="87" t="str">
        <f t="shared" ca="1" si="22"/>
        <v/>
      </c>
      <c r="BS41" s="89" t="str">
        <f t="shared" ca="1" si="2"/>
        <v>a</v>
      </c>
      <c r="BT41" s="89" t="str">
        <f t="shared" ca="1" si="3"/>
        <v/>
      </c>
      <c r="BU41" s="89" t="str">
        <f t="shared" ca="1" si="4"/>
        <v/>
      </c>
      <c r="BV41" s="87" t="str">
        <f t="shared" ca="1" si="23"/>
        <v/>
      </c>
      <c r="BW41" s="87" t="str">
        <f t="shared" ca="1" si="24"/>
        <v>25060413</v>
      </c>
      <c r="BX41" s="89">
        <f t="shared" ca="1" si="25"/>
        <v>0</v>
      </c>
    </row>
    <row r="42" spans="1:76">
      <c r="A42" s="374" t="str">
        <f t="shared" si="5"/>
        <v/>
      </c>
      <c r="B42" s="98">
        <v>3</v>
      </c>
      <c r="C42" s="94">
        <v>-6</v>
      </c>
      <c r="D42" s="94">
        <v>-2</v>
      </c>
      <c r="E42" s="94">
        <v>4</v>
      </c>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1">
        <f t="shared" ca="1" si="6"/>
        <v>702</v>
      </c>
      <c r="BB42" s="88" t="str">
        <f t="shared" ca="1" si="7"/>
        <v>A676:A1600</v>
      </c>
      <c r="BC42" s="89" t="str">
        <f t="shared" ca="1" si="8"/>
        <v>B702</v>
      </c>
      <c r="BD42" s="89">
        <f ca="1">IF(BC42=0,0,RANK(BF42,$BF$11:$BF$100,0)+(COUNTIF($BF42:$BF$100,BF42)-1))</f>
        <v>16</v>
      </c>
      <c r="BE42" s="89" t="str">
        <f t="shared" ca="1" si="9"/>
        <v>250606</v>
      </c>
      <c r="BF42" s="89">
        <f t="shared" ca="1" si="10"/>
        <v>25060609</v>
      </c>
      <c r="BG42" s="89">
        <f t="shared" ca="1" si="11"/>
        <v>25</v>
      </c>
      <c r="BH42" s="89">
        <f t="shared" ca="1" si="12"/>
        <v>6</v>
      </c>
      <c r="BI42" s="89" t="str">
        <f t="shared" ca="1" si="13"/>
        <v>B728</v>
      </c>
      <c r="BJ42" s="89">
        <f t="shared" ca="1" si="14"/>
        <v>4</v>
      </c>
      <c r="BK42" s="89">
        <f t="shared" ca="1" si="15"/>
        <v>9</v>
      </c>
      <c r="BL42" s="89">
        <f t="shared" ca="1" si="16"/>
        <v>50</v>
      </c>
      <c r="BM42" s="89">
        <f t="shared" ca="1" si="17"/>
        <v>11</v>
      </c>
      <c r="BN42" s="89" t="str">
        <f t="shared" ca="1" si="18"/>
        <v>S6!B703:K727</v>
      </c>
      <c r="BO42" s="89" t="str">
        <f t="shared" ca="1" si="19"/>
        <v>e</v>
      </c>
      <c r="BP42" s="89" t="str">
        <f t="shared" ca="1" si="20"/>
        <v>b</v>
      </c>
      <c r="BQ42" s="89" t="str">
        <f t="shared" ca="1" si="21"/>
        <v/>
      </c>
      <c r="BR42" s="87" t="str">
        <f t="shared" ca="1" si="22"/>
        <v/>
      </c>
      <c r="BS42" s="89" t="str">
        <f t="shared" ca="1" si="2"/>
        <v>a</v>
      </c>
      <c r="BT42" s="89" t="str">
        <f t="shared" ca="1" si="3"/>
        <v/>
      </c>
      <c r="BU42" s="89" t="str">
        <f t="shared" ca="1" si="4"/>
        <v/>
      </c>
      <c r="BV42" s="87" t="str">
        <f t="shared" ca="1" si="23"/>
        <v/>
      </c>
      <c r="BW42" s="87" t="str">
        <f t="shared" ca="1" si="24"/>
        <v>25060609</v>
      </c>
      <c r="BX42" s="89">
        <f t="shared" ca="1" si="25"/>
        <v>0</v>
      </c>
    </row>
    <row r="43" spans="1:76">
      <c r="A43" s="374" t="str">
        <f t="shared" si="5"/>
        <v/>
      </c>
      <c r="B43" s="99">
        <v>4</v>
      </c>
      <c r="C43" s="92">
        <v>1</v>
      </c>
      <c r="D43" s="92">
        <v>5</v>
      </c>
      <c r="E43" s="92">
        <v>-4</v>
      </c>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1">
        <f t="shared" ca="1" si="6"/>
        <v>729</v>
      </c>
      <c r="BB43" s="88" t="str">
        <f t="shared" ca="1" si="7"/>
        <v>A703:A1600</v>
      </c>
      <c r="BC43" s="89" t="str">
        <f t="shared" ca="1" si="8"/>
        <v>B729</v>
      </c>
      <c r="BD43" s="89">
        <f ca="1">IF(BC43=0,0,RANK(BF43,$BF$11:$BF$100,0)+(COUNTIF($BF43:$BF$100,BF43)-1))</f>
        <v>15</v>
      </c>
      <c r="BE43" s="89" t="str">
        <f t="shared" ca="1" si="9"/>
        <v>260602</v>
      </c>
      <c r="BF43" s="89">
        <f t="shared" ca="1" si="10"/>
        <v>26060226</v>
      </c>
      <c r="BG43" s="89">
        <f t="shared" ca="1" si="11"/>
        <v>26</v>
      </c>
      <c r="BH43" s="89">
        <f t="shared" ca="1" si="12"/>
        <v>2</v>
      </c>
      <c r="BI43" s="89" t="str">
        <f t="shared" ca="1" si="13"/>
        <v>B756</v>
      </c>
      <c r="BJ43" s="89">
        <f t="shared" ca="1" si="14"/>
        <v>12</v>
      </c>
      <c r="BK43" s="89">
        <f t="shared" ca="1" si="15"/>
        <v>26</v>
      </c>
      <c r="BL43" s="89">
        <f t="shared" ca="1" si="16"/>
        <v>156</v>
      </c>
      <c r="BM43" s="89">
        <f t="shared" ca="1" si="17"/>
        <v>28</v>
      </c>
      <c r="BN43" s="89" t="str">
        <f t="shared" ca="1" si="18"/>
        <v>S6!B730:AB755</v>
      </c>
      <c r="BO43" s="89" t="str">
        <f t="shared" ca="1" si="19"/>
        <v>e</v>
      </c>
      <c r="BP43" s="89" t="str">
        <f t="shared" ca="1" si="20"/>
        <v>b</v>
      </c>
      <c r="BQ43" s="89" t="str">
        <f t="shared" ca="1" si="21"/>
        <v/>
      </c>
      <c r="BR43" s="87" t="str">
        <f t="shared" ca="1" si="22"/>
        <v/>
      </c>
      <c r="BS43" s="89" t="str">
        <f t="shared" ca="1" si="2"/>
        <v/>
      </c>
      <c r="BT43" s="89" t="str">
        <f t="shared" ca="1" si="3"/>
        <v/>
      </c>
      <c r="BU43" s="89" t="str">
        <f t="shared" ca="1" si="4"/>
        <v/>
      </c>
      <c r="BV43" s="87" t="str">
        <f t="shared" ca="1" si="23"/>
        <v/>
      </c>
      <c r="BW43" s="87" t="str">
        <f t="shared" ca="1" si="24"/>
        <v>26060226</v>
      </c>
      <c r="BX43" s="89">
        <f t="shared" ca="1" si="25"/>
        <v>0</v>
      </c>
    </row>
    <row r="44" spans="1:76">
      <c r="A44" s="374" t="str">
        <f t="shared" si="5"/>
        <v/>
      </c>
      <c r="B44" s="98">
        <v>5</v>
      </c>
      <c r="C44" s="94">
        <v>-3</v>
      </c>
      <c r="D44" s="94">
        <v>1</v>
      </c>
      <c r="E44" s="94">
        <v>2</v>
      </c>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1">
        <f t="shared" ca="1" si="6"/>
        <v>757</v>
      </c>
      <c r="BB44" s="88" t="str">
        <f t="shared" ca="1" si="7"/>
        <v>A730:A1600</v>
      </c>
      <c r="BC44" s="89" t="str">
        <f t="shared" ca="1" si="8"/>
        <v>B757</v>
      </c>
      <c r="BD44" s="89">
        <f ca="1">IF(BC44=0,0,RANK(BF44,$BF$11:$BF$100,0)+(COUNTIF($BF44:$BF$100,BF44)-1))</f>
        <v>14</v>
      </c>
      <c r="BE44" s="89" t="str">
        <f t="shared" ca="1" si="9"/>
        <v>260603</v>
      </c>
      <c r="BF44" s="89">
        <f t="shared" ca="1" si="10"/>
        <v>26060318</v>
      </c>
      <c r="BG44" s="89">
        <f t="shared" ca="1" si="11"/>
        <v>26</v>
      </c>
      <c r="BH44" s="89">
        <f t="shared" ca="1" si="12"/>
        <v>3</v>
      </c>
      <c r="BI44" s="89" t="str">
        <f t="shared" ca="1" si="13"/>
        <v>B784</v>
      </c>
      <c r="BJ44" s="89">
        <f t="shared" ca="1" si="14"/>
        <v>8</v>
      </c>
      <c r="BK44" s="89">
        <f t="shared" ca="1" si="15"/>
        <v>18</v>
      </c>
      <c r="BL44" s="89">
        <f t="shared" ca="1" si="16"/>
        <v>104</v>
      </c>
      <c r="BM44" s="89">
        <f t="shared" ca="1" si="17"/>
        <v>20</v>
      </c>
      <c r="BN44" s="89" t="str">
        <f t="shared" ca="1" si="18"/>
        <v>S6!B758:T783</v>
      </c>
      <c r="BO44" s="89" t="str">
        <f t="shared" ca="1" si="19"/>
        <v>e</v>
      </c>
      <c r="BP44" s="89" t="str">
        <f t="shared" ca="1" si="20"/>
        <v>b</v>
      </c>
      <c r="BQ44" s="89" t="str">
        <f t="shared" ca="1" si="21"/>
        <v/>
      </c>
      <c r="BR44" s="87" t="str">
        <f t="shared" ca="1" si="22"/>
        <v/>
      </c>
      <c r="BS44" s="89" t="str">
        <f t="shared" ca="1" si="2"/>
        <v>a</v>
      </c>
      <c r="BT44" s="89" t="str">
        <f t="shared" ca="1" si="3"/>
        <v/>
      </c>
      <c r="BU44" s="89" t="str">
        <f t="shared" ca="1" si="4"/>
        <v/>
      </c>
      <c r="BV44" s="87" t="str">
        <f t="shared" ca="1" si="23"/>
        <v/>
      </c>
      <c r="BW44" s="87" t="str">
        <f t="shared" ca="1" si="24"/>
        <v>26060318</v>
      </c>
      <c r="BX44" s="89">
        <f t="shared" ca="1" si="25"/>
        <v>0</v>
      </c>
    </row>
    <row r="45" spans="1:76">
      <c r="A45" s="374" t="str">
        <f t="shared" si="5"/>
        <v/>
      </c>
      <c r="B45" s="98">
        <v>6</v>
      </c>
      <c r="C45" s="94">
        <v>4</v>
      </c>
      <c r="D45" s="94">
        <v>-6</v>
      </c>
      <c r="E45" s="94">
        <v>-2</v>
      </c>
      <c r="F45" s="94"/>
      <c r="G45" s="94"/>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1">
        <f t="shared" ca="1" si="6"/>
        <v>785</v>
      </c>
      <c r="BB45" s="88" t="str">
        <f t="shared" ca="1" si="7"/>
        <v>A758:A1600</v>
      </c>
      <c r="BC45" s="89" t="str">
        <f t="shared" ca="1" si="8"/>
        <v>B785</v>
      </c>
      <c r="BD45" s="89">
        <f ca="1">IF(BC45=0,0,RANK(BF45,$BF$11:$BF$100,0)+(COUNTIF($BF45:$BF$100,BF45)-1))</f>
        <v>13</v>
      </c>
      <c r="BE45" s="89" t="str">
        <f t="shared" ca="1" si="9"/>
        <v>260604</v>
      </c>
      <c r="BF45" s="89">
        <f t="shared" ca="1" si="10"/>
        <v>26060413</v>
      </c>
      <c r="BG45" s="89">
        <f t="shared" ca="1" si="11"/>
        <v>26</v>
      </c>
      <c r="BH45" s="89">
        <f t="shared" ca="1" si="12"/>
        <v>4</v>
      </c>
      <c r="BI45" s="89" t="str">
        <f t="shared" ca="1" si="13"/>
        <v>B812</v>
      </c>
      <c r="BJ45" s="89">
        <f t="shared" ca="1" si="14"/>
        <v>6</v>
      </c>
      <c r="BK45" s="89">
        <f t="shared" ca="1" si="15"/>
        <v>13</v>
      </c>
      <c r="BL45" s="89">
        <f t="shared" ca="1" si="16"/>
        <v>78</v>
      </c>
      <c r="BM45" s="89">
        <f t="shared" ca="1" si="17"/>
        <v>15</v>
      </c>
      <c r="BN45" s="89" t="str">
        <f t="shared" ca="1" si="18"/>
        <v>S6!B786:O811</v>
      </c>
      <c r="BO45" s="89" t="str">
        <f t="shared" ca="1" si="19"/>
        <v>e</v>
      </c>
      <c r="BP45" s="89" t="str">
        <f t="shared" ca="1" si="20"/>
        <v>b</v>
      </c>
      <c r="BQ45" s="89" t="str">
        <f t="shared" ca="1" si="21"/>
        <v/>
      </c>
      <c r="BR45" s="87" t="str">
        <f t="shared" ca="1" si="22"/>
        <v/>
      </c>
      <c r="BS45" s="89" t="str">
        <f t="shared" ca="1" si="2"/>
        <v>a</v>
      </c>
      <c r="BT45" s="89" t="str">
        <f t="shared" ca="1" si="3"/>
        <v/>
      </c>
      <c r="BU45" s="89" t="str">
        <f t="shared" ca="1" si="4"/>
        <v/>
      </c>
      <c r="BV45" s="87" t="str">
        <f t="shared" ca="1" si="23"/>
        <v/>
      </c>
      <c r="BW45" s="87" t="str">
        <f t="shared" ca="1" si="24"/>
        <v>26060413</v>
      </c>
      <c r="BX45" s="89">
        <f t="shared" ca="1" si="25"/>
        <v>0</v>
      </c>
    </row>
    <row r="46" spans="1:76">
      <c r="A46" s="374" t="str">
        <f t="shared" si="5"/>
        <v/>
      </c>
      <c r="B46" s="98">
        <v>7</v>
      </c>
      <c r="C46" s="94">
        <v>-4</v>
      </c>
      <c r="D46" s="94">
        <v>-1</v>
      </c>
      <c r="E46" s="94">
        <v>5</v>
      </c>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1">
        <f t="shared" ca="1" si="6"/>
        <v>813</v>
      </c>
      <c r="BB46" s="88" t="str">
        <f t="shared" ca="1" si="7"/>
        <v>A786:A1600</v>
      </c>
      <c r="BC46" s="89" t="str">
        <f t="shared" ca="1" si="8"/>
        <v>B813</v>
      </c>
      <c r="BD46" s="89">
        <f ca="1">IF(BC46=0,0,RANK(BF46,$BF$11:$BF$100,0)+(COUNTIF($BF46:$BF$100,BF46)-1))</f>
        <v>10</v>
      </c>
      <c r="BE46" s="89" t="str">
        <f t="shared" ca="1" si="9"/>
        <v>260606</v>
      </c>
      <c r="BF46" s="89">
        <f t="shared" ca="1" si="10"/>
        <v>26060609</v>
      </c>
      <c r="BG46" s="89">
        <f t="shared" ca="1" si="11"/>
        <v>26</v>
      </c>
      <c r="BH46" s="89">
        <f t="shared" ca="1" si="12"/>
        <v>6</v>
      </c>
      <c r="BI46" s="89" t="str">
        <f t="shared" ca="1" si="13"/>
        <v>B840</v>
      </c>
      <c r="BJ46" s="89">
        <f t="shared" ca="1" si="14"/>
        <v>4</v>
      </c>
      <c r="BK46" s="89">
        <f t="shared" ca="1" si="15"/>
        <v>9</v>
      </c>
      <c r="BL46" s="89">
        <f t="shared" ca="1" si="16"/>
        <v>52</v>
      </c>
      <c r="BM46" s="89">
        <f t="shared" ca="1" si="17"/>
        <v>11</v>
      </c>
      <c r="BN46" s="89" t="str">
        <f t="shared" ca="1" si="18"/>
        <v>S6!B814:K839</v>
      </c>
      <c r="BO46" s="89" t="str">
        <f t="shared" ca="1" si="19"/>
        <v>e</v>
      </c>
      <c r="BP46" s="89" t="str">
        <f t="shared" ca="1" si="20"/>
        <v>b</v>
      </c>
      <c r="BQ46" s="89" t="str">
        <f t="shared" ca="1" si="21"/>
        <v/>
      </c>
      <c r="BR46" s="87" t="str">
        <f t="shared" ca="1" si="22"/>
        <v/>
      </c>
      <c r="BS46" s="89" t="str">
        <f t="shared" ca="1" si="2"/>
        <v>a</v>
      </c>
      <c r="BT46" s="89" t="str">
        <f t="shared" ca="1" si="3"/>
        <v/>
      </c>
      <c r="BU46" s="89" t="str">
        <f t="shared" ca="1" si="4"/>
        <v/>
      </c>
      <c r="BV46" s="87" t="str">
        <f t="shared" ca="1" si="23"/>
        <v/>
      </c>
      <c r="BW46" s="87" t="str">
        <f t="shared" ca="1" si="24"/>
        <v>26060609</v>
      </c>
      <c r="BX46" s="89">
        <f t="shared" ca="1" si="25"/>
        <v>0</v>
      </c>
    </row>
    <row r="47" spans="1:76">
      <c r="A47" s="374" t="str">
        <f t="shared" si="5"/>
        <v/>
      </c>
      <c r="B47" s="99">
        <v>8</v>
      </c>
      <c r="C47" s="92">
        <v>3</v>
      </c>
      <c r="D47" s="92">
        <v>6</v>
      </c>
      <c r="E47" s="92">
        <v>-5</v>
      </c>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1">
        <f t="shared" ca="1" si="6"/>
        <v>841</v>
      </c>
      <c r="BB47" s="88" t="str">
        <f t="shared" ca="1" si="7"/>
        <v>A814:A1600</v>
      </c>
      <c r="BC47" s="89" t="str">
        <f t="shared" ca="1" si="8"/>
        <v>B841</v>
      </c>
      <c r="BD47" s="89">
        <f ca="1">IF(BC47=0,0,RANK(BF47,$BF$11:$BF$100,0)+(COUNTIF($BF47:$BF$100,BF47)-1))</f>
        <v>9</v>
      </c>
      <c r="BE47" s="89" t="str">
        <f t="shared" ca="1" si="9"/>
        <v>270603</v>
      </c>
      <c r="BF47" s="89">
        <f t="shared" ca="1" si="10"/>
        <v>27060318</v>
      </c>
      <c r="BG47" s="89">
        <f t="shared" ca="1" si="11"/>
        <v>27</v>
      </c>
      <c r="BH47" s="89">
        <f t="shared" ca="1" si="12"/>
        <v>3</v>
      </c>
      <c r="BI47" s="89" t="str">
        <f t="shared" ca="1" si="13"/>
        <v>B869</v>
      </c>
      <c r="BJ47" s="89">
        <f t="shared" ca="1" si="14"/>
        <v>8</v>
      </c>
      <c r="BK47" s="89">
        <f t="shared" ca="1" si="15"/>
        <v>18</v>
      </c>
      <c r="BL47" s="89">
        <f t="shared" ca="1" si="16"/>
        <v>108</v>
      </c>
      <c r="BM47" s="89">
        <f t="shared" ca="1" si="17"/>
        <v>20</v>
      </c>
      <c r="BN47" s="89" t="str">
        <f t="shared" ca="1" si="18"/>
        <v>S6!B842:T868</v>
      </c>
      <c r="BO47" s="89" t="str">
        <f t="shared" ca="1" si="19"/>
        <v>e</v>
      </c>
      <c r="BP47" s="89" t="str">
        <f t="shared" ca="1" si="20"/>
        <v>b</v>
      </c>
      <c r="BQ47" s="89" t="str">
        <f t="shared" ca="1" si="21"/>
        <v/>
      </c>
      <c r="BR47" s="87" t="str">
        <f t="shared" ca="1" si="22"/>
        <v/>
      </c>
      <c r="BS47" s="89" t="str">
        <f t="shared" ca="1" si="2"/>
        <v/>
      </c>
      <c r="BT47" s="89" t="str">
        <f t="shared" ca="1" si="3"/>
        <v/>
      </c>
      <c r="BU47" s="89" t="str">
        <f t="shared" ca="1" si="4"/>
        <v/>
      </c>
      <c r="BV47" s="87" t="str">
        <f t="shared" ca="1" si="23"/>
        <v/>
      </c>
      <c r="BW47" s="87" t="str">
        <f t="shared" ca="1" si="24"/>
        <v>27060318</v>
      </c>
      <c r="BX47" s="89">
        <f t="shared" ca="1" si="25"/>
        <v>0</v>
      </c>
    </row>
    <row r="48" spans="1:76">
      <c r="A48" s="374" t="str">
        <f t="shared" si="5"/>
        <v/>
      </c>
      <c r="B48" s="98">
        <v>9</v>
      </c>
      <c r="C48" s="94">
        <v>-2</v>
      </c>
      <c r="D48" s="94">
        <v>3</v>
      </c>
      <c r="E48" s="94">
        <v>1</v>
      </c>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c r="AZ48" s="94"/>
      <c r="BA48" s="91">
        <f t="shared" ca="1" si="6"/>
        <v>870</v>
      </c>
      <c r="BB48" s="88" t="str">
        <f t="shared" ca="1" si="7"/>
        <v>A842:A1600</v>
      </c>
      <c r="BC48" s="89" t="str">
        <f t="shared" ca="1" si="8"/>
        <v>B870</v>
      </c>
      <c r="BD48" s="89">
        <f ca="1">IF(BC48=0,0,RANK(BF48,$BF$11:$BF$100,0)+(COUNTIF($BF48:$BF$100,BF48)-1))</f>
        <v>8</v>
      </c>
      <c r="BE48" s="89" t="str">
        <f t="shared" ca="1" si="9"/>
        <v>270604</v>
      </c>
      <c r="BF48" s="89">
        <f t="shared" ca="1" si="10"/>
        <v>27060414</v>
      </c>
      <c r="BG48" s="89">
        <f t="shared" ca="1" si="11"/>
        <v>27</v>
      </c>
      <c r="BH48" s="89">
        <f t="shared" ca="1" si="12"/>
        <v>4</v>
      </c>
      <c r="BI48" s="89" t="str">
        <f t="shared" ca="1" si="13"/>
        <v>B898</v>
      </c>
      <c r="BJ48" s="89">
        <f t="shared" ca="1" si="14"/>
        <v>6</v>
      </c>
      <c r="BK48" s="89">
        <f t="shared" ca="1" si="15"/>
        <v>14</v>
      </c>
      <c r="BL48" s="89">
        <f t="shared" ca="1" si="16"/>
        <v>81</v>
      </c>
      <c r="BM48" s="89">
        <f t="shared" ca="1" si="17"/>
        <v>16</v>
      </c>
      <c r="BN48" s="89" t="str">
        <f t="shared" ca="1" si="18"/>
        <v>S6!B871:P897</v>
      </c>
      <c r="BO48" s="89" t="str">
        <f t="shared" ca="1" si="19"/>
        <v>e</v>
      </c>
      <c r="BP48" s="89" t="str">
        <f t="shared" ca="1" si="20"/>
        <v>b</v>
      </c>
      <c r="BQ48" s="89" t="str">
        <f t="shared" ca="1" si="21"/>
        <v/>
      </c>
      <c r="BR48" s="87" t="str">
        <f t="shared" ca="1" si="22"/>
        <v/>
      </c>
      <c r="BS48" s="89" t="str">
        <f t="shared" ca="1" si="2"/>
        <v>a</v>
      </c>
      <c r="BT48" s="89" t="str">
        <f t="shared" ca="1" si="3"/>
        <v/>
      </c>
      <c r="BU48" s="89" t="str">
        <f t="shared" ca="1" si="4"/>
        <v/>
      </c>
      <c r="BV48" s="87" t="str">
        <f t="shared" ca="1" si="23"/>
        <v/>
      </c>
      <c r="BW48" s="87" t="str">
        <f t="shared" ca="1" si="24"/>
        <v>27060414</v>
      </c>
      <c r="BX48" s="89">
        <f t="shared" ca="1" si="25"/>
        <v>0</v>
      </c>
    </row>
    <row r="49" spans="1:76">
      <c r="A49" s="374" t="str">
        <f t="shared" si="5"/>
        <v/>
      </c>
      <c r="B49" s="98">
        <v>10</v>
      </c>
      <c r="C49" s="94">
        <v>5</v>
      </c>
      <c r="D49" s="94">
        <v>-4</v>
      </c>
      <c r="E49" s="94">
        <v>-1</v>
      </c>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1">
        <f t="shared" ca="1" si="6"/>
        <v>899</v>
      </c>
      <c r="BB49" s="88" t="str">
        <f t="shared" ca="1" si="7"/>
        <v>A871:A1600</v>
      </c>
      <c r="BC49" s="89" t="str">
        <f t="shared" ca="1" si="8"/>
        <v>B899</v>
      </c>
      <c r="BD49" s="89">
        <f ca="1">IF(BC49=0,0,RANK(BF49,$BF$11:$BF$100,0)+(COUNTIF($BF49:$BF$100,BF49)-1))</f>
        <v>7</v>
      </c>
      <c r="BE49" s="89" t="str">
        <f t="shared" ca="1" si="9"/>
        <v>270605</v>
      </c>
      <c r="BF49" s="89">
        <f t="shared" ca="1" si="10"/>
        <v>27060510</v>
      </c>
      <c r="BG49" s="89">
        <f t="shared" ca="1" si="11"/>
        <v>27</v>
      </c>
      <c r="BH49" s="89">
        <f t="shared" ca="1" si="12"/>
        <v>5</v>
      </c>
      <c r="BI49" s="89" t="str">
        <f t="shared" ca="1" si="13"/>
        <v>B927</v>
      </c>
      <c r="BJ49" s="89">
        <f t="shared" ca="1" si="14"/>
        <v>5</v>
      </c>
      <c r="BK49" s="89">
        <f t="shared" ca="1" si="15"/>
        <v>10</v>
      </c>
      <c r="BL49" s="89">
        <f t="shared" ca="1" si="16"/>
        <v>60</v>
      </c>
      <c r="BM49" s="89">
        <f t="shared" ca="1" si="17"/>
        <v>12</v>
      </c>
      <c r="BN49" s="89" t="str">
        <f t="shared" ca="1" si="18"/>
        <v>S6!B900:L926</v>
      </c>
      <c r="BO49" s="89" t="str">
        <f t="shared" ca="1" si="19"/>
        <v>e</v>
      </c>
      <c r="BP49" s="89" t="str">
        <f t="shared" ca="1" si="20"/>
        <v>w</v>
      </c>
      <c r="BQ49" s="89" t="str">
        <f t="shared" ca="1" si="21"/>
        <v>w</v>
      </c>
      <c r="BR49" s="87" t="str">
        <f t="shared" ca="1" si="22"/>
        <v/>
      </c>
      <c r="BS49" s="89" t="str">
        <f t="shared" ca="1" si="2"/>
        <v/>
      </c>
      <c r="BT49" s="89" t="str">
        <f t="shared" ca="1" si="3"/>
        <v/>
      </c>
      <c r="BU49" s="89" t="str">
        <f t="shared" ca="1" si="4"/>
        <v/>
      </c>
      <c r="BV49" s="87" t="str">
        <f t="shared" ca="1" si="23"/>
        <v/>
      </c>
      <c r="BW49" s="87" t="str">
        <f t="shared" ca="1" si="24"/>
        <v>27060510</v>
      </c>
      <c r="BX49" s="89">
        <f t="shared" ca="1" si="25"/>
        <v>0</v>
      </c>
    </row>
    <row r="50" spans="1:76">
      <c r="A50" s="374" t="str">
        <f t="shared" si="5"/>
        <v/>
      </c>
      <c r="B50" s="98">
        <v>11</v>
      </c>
      <c r="C50" s="94">
        <v>-5</v>
      </c>
      <c r="D50" s="94">
        <v>-3</v>
      </c>
      <c r="E50" s="94">
        <v>6</v>
      </c>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1">
        <f t="shared" ca="1" si="6"/>
        <v>928</v>
      </c>
      <c r="BB50" s="88" t="str">
        <f t="shared" ca="1" si="7"/>
        <v>A900:A1600</v>
      </c>
      <c r="BC50" s="89" t="str">
        <f t="shared" ca="1" si="8"/>
        <v>B928</v>
      </c>
      <c r="BD50" s="89">
        <f ca="1">IF(BC50=0,0,RANK(BF50,$BF$11:$BF$100,0)+(COUNTIF($BF50:$BF$100,BF50)-1))</f>
        <v>6</v>
      </c>
      <c r="BE50" s="89" t="str">
        <f t="shared" ca="1" si="9"/>
        <v>270606</v>
      </c>
      <c r="BF50" s="89">
        <f t="shared" ca="1" si="10"/>
        <v>27060609</v>
      </c>
      <c r="BG50" s="89">
        <f t="shared" ca="1" si="11"/>
        <v>27</v>
      </c>
      <c r="BH50" s="89">
        <f t="shared" ca="1" si="12"/>
        <v>6</v>
      </c>
      <c r="BI50" s="89" t="str">
        <f t="shared" ca="1" si="13"/>
        <v>B956</v>
      </c>
      <c r="BJ50" s="89">
        <f t="shared" ca="1" si="14"/>
        <v>4</v>
      </c>
      <c r="BK50" s="89">
        <f t="shared" ca="1" si="15"/>
        <v>9</v>
      </c>
      <c r="BL50" s="89">
        <f t="shared" ca="1" si="16"/>
        <v>54</v>
      </c>
      <c r="BM50" s="89">
        <f t="shared" ca="1" si="17"/>
        <v>11</v>
      </c>
      <c r="BN50" s="89" t="str">
        <f t="shared" ca="1" si="18"/>
        <v>S6!B929:K955</v>
      </c>
      <c r="BO50" s="89" t="str">
        <f t="shared" ca="1" si="19"/>
        <v>e</v>
      </c>
      <c r="BP50" s="89" t="str">
        <f t="shared" ca="1" si="20"/>
        <v>b</v>
      </c>
      <c r="BQ50" s="89" t="str">
        <f t="shared" ca="1" si="21"/>
        <v/>
      </c>
      <c r="BR50" s="87" t="str">
        <f t="shared" ca="1" si="22"/>
        <v/>
      </c>
      <c r="BS50" s="89" t="str">
        <f t="shared" ca="1" si="2"/>
        <v>a</v>
      </c>
      <c r="BT50" s="89" t="str">
        <f t="shared" ca="1" si="3"/>
        <v/>
      </c>
      <c r="BU50" s="89" t="str">
        <f t="shared" ca="1" si="4"/>
        <v/>
      </c>
      <c r="BV50" s="87" t="str">
        <f t="shared" ca="1" si="23"/>
        <v/>
      </c>
      <c r="BW50" s="87" t="str">
        <f t="shared" ca="1" si="24"/>
        <v>27060609</v>
      </c>
      <c r="BX50" s="89">
        <f t="shared" ca="1" si="25"/>
        <v>0</v>
      </c>
    </row>
    <row r="51" spans="1:76">
      <c r="A51" s="374" t="str">
        <f t="shared" si="5"/>
        <v/>
      </c>
      <c r="B51" s="98">
        <v>12</v>
      </c>
      <c r="C51" s="94">
        <v>2</v>
      </c>
      <c r="D51" s="94">
        <v>4</v>
      </c>
      <c r="E51" s="94">
        <v>-6</v>
      </c>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1">
        <f t="shared" ca="1" si="6"/>
        <v>957</v>
      </c>
      <c r="BB51" s="88" t="str">
        <f t="shared" ca="1" si="7"/>
        <v>A929:A1600</v>
      </c>
      <c r="BC51" s="89" t="str">
        <f t="shared" ca="1" si="8"/>
        <v>B957</v>
      </c>
      <c r="BD51" s="89">
        <f ca="1">IF(BC51=0,0,RANK(BF51,$BF$11:$BF$100,0)+(COUNTIF($BF51:$BF$100,BF51)-1))</f>
        <v>5</v>
      </c>
      <c r="BE51" s="89" t="str">
        <f t="shared" ca="1" si="9"/>
        <v>280604</v>
      </c>
      <c r="BF51" s="89">
        <f t="shared" ca="1" si="10"/>
        <v>28060414</v>
      </c>
      <c r="BG51" s="89">
        <f t="shared" ca="1" si="11"/>
        <v>28</v>
      </c>
      <c r="BH51" s="89">
        <f t="shared" ca="1" si="12"/>
        <v>4</v>
      </c>
      <c r="BI51" s="89" t="str">
        <f t="shared" ca="1" si="13"/>
        <v>B986</v>
      </c>
      <c r="BJ51" s="89">
        <f t="shared" ca="1" si="14"/>
        <v>6</v>
      </c>
      <c r="BK51" s="89">
        <f t="shared" ca="1" si="15"/>
        <v>14</v>
      </c>
      <c r="BL51" s="89">
        <f t="shared" ca="1" si="16"/>
        <v>84</v>
      </c>
      <c r="BM51" s="89">
        <f t="shared" ca="1" si="17"/>
        <v>16</v>
      </c>
      <c r="BN51" s="89" t="str">
        <f t="shared" ca="1" si="18"/>
        <v>S6!B958:P985</v>
      </c>
      <c r="BO51" s="89" t="str">
        <f t="shared" ca="1" si="19"/>
        <v>e</v>
      </c>
      <c r="BP51" s="89" t="str">
        <f t="shared" ca="1" si="20"/>
        <v>b</v>
      </c>
      <c r="BQ51" s="89" t="str">
        <f t="shared" ca="1" si="21"/>
        <v/>
      </c>
      <c r="BR51" s="87" t="str">
        <f t="shared" ca="1" si="22"/>
        <v/>
      </c>
      <c r="BS51" s="89" t="str">
        <f t="shared" ca="1" si="2"/>
        <v/>
      </c>
      <c r="BT51" s="89" t="str">
        <f t="shared" ca="1" si="3"/>
        <v/>
      </c>
      <c r="BU51" s="89" t="str">
        <f t="shared" ca="1" si="4"/>
        <v/>
      </c>
      <c r="BV51" s="87" t="str">
        <f t="shared" ca="1" si="23"/>
        <v/>
      </c>
      <c r="BW51" s="87" t="str">
        <f t="shared" ca="1" si="24"/>
        <v>28060414</v>
      </c>
      <c r="BX51" s="89">
        <f t="shared" ca="1" si="25"/>
        <v>0</v>
      </c>
    </row>
    <row r="52" spans="1:76">
      <c r="A52" s="374" t="str">
        <f t="shared" si="5"/>
        <v/>
      </c>
      <c r="B52" s="98" t="s">
        <v>342</v>
      </c>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1">
        <f t="shared" ca="1" si="6"/>
        <v>987</v>
      </c>
      <c r="BB52" s="88" t="str">
        <f t="shared" ca="1" si="7"/>
        <v>A958:A1600</v>
      </c>
      <c r="BC52" s="89" t="str">
        <f t="shared" ca="1" si="8"/>
        <v>B987</v>
      </c>
      <c r="BD52" s="89">
        <f ca="1">IF(BC52=0,0,RANK(BF52,$BF$11:$BF$100,0)+(COUNTIF($BF52:$BF$100,BF52)-1))</f>
        <v>4</v>
      </c>
      <c r="BE52" s="89" t="str">
        <f t="shared" ca="1" si="9"/>
        <v>280606</v>
      </c>
      <c r="BF52" s="89">
        <f t="shared" ca="1" si="10"/>
        <v>28060610</v>
      </c>
      <c r="BG52" s="89">
        <f t="shared" ca="1" si="11"/>
        <v>28</v>
      </c>
      <c r="BH52" s="89">
        <f t="shared" ca="1" si="12"/>
        <v>6</v>
      </c>
      <c r="BI52" s="89" t="str">
        <f t="shared" ca="1" si="13"/>
        <v>B1016</v>
      </c>
      <c r="BJ52" s="89">
        <f t="shared" ca="1" si="14"/>
        <v>4</v>
      </c>
      <c r="BK52" s="89">
        <f t="shared" ca="1" si="15"/>
        <v>10</v>
      </c>
      <c r="BL52" s="89">
        <f t="shared" ca="1" si="16"/>
        <v>56</v>
      </c>
      <c r="BM52" s="89">
        <f t="shared" ca="1" si="17"/>
        <v>12</v>
      </c>
      <c r="BN52" s="89" t="str">
        <f t="shared" ca="1" si="18"/>
        <v>S6!B988:L1015</v>
      </c>
      <c r="BO52" s="89" t="str">
        <f t="shared" ca="1" si="19"/>
        <v>e</v>
      </c>
      <c r="BP52" s="89" t="str">
        <f t="shared" ca="1" si="20"/>
        <v>b</v>
      </c>
      <c r="BQ52" s="89" t="str">
        <f t="shared" ca="1" si="21"/>
        <v/>
      </c>
      <c r="BR52" s="87" t="str">
        <f t="shared" ca="1" si="22"/>
        <v/>
      </c>
      <c r="BS52" s="89" t="str">
        <f t="shared" ca="1" si="2"/>
        <v>a</v>
      </c>
      <c r="BT52" s="89" t="str">
        <f t="shared" ca="1" si="3"/>
        <v/>
      </c>
      <c r="BU52" s="89" t="str">
        <f t="shared" ca="1" si="4"/>
        <v/>
      </c>
      <c r="BV52" s="87" t="str">
        <f t="shared" ca="1" si="23"/>
        <v/>
      </c>
      <c r="BW52" s="87" t="str">
        <f t="shared" ca="1" si="24"/>
        <v>28060610</v>
      </c>
      <c r="BX52" s="89">
        <f t="shared" ca="1" si="25"/>
        <v>0</v>
      </c>
    </row>
    <row r="53" spans="1:76">
      <c r="A53" s="374">
        <f t="shared" si="5"/>
        <v>53</v>
      </c>
      <c r="B53" s="98" t="s">
        <v>343</v>
      </c>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1">
        <f t="shared" ca="1" si="6"/>
        <v>1017</v>
      </c>
      <c r="BB53" s="88" t="str">
        <f t="shared" ca="1" si="7"/>
        <v>A988:A1600</v>
      </c>
      <c r="BC53" s="89" t="str">
        <f t="shared" ca="1" si="8"/>
        <v>B1017</v>
      </c>
      <c r="BD53" s="89">
        <f ca="1">IF(BC53=0,0,RANK(BF53,$BF$11:$BF$100,0)+(COUNTIF($BF53:$BF$100,BF53)-1))</f>
        <v>3</v>
      </c>
      <c r="BE53" s="89" t="str">
        <f t="shared" ca="1" si="9"/>
        <v>290606</v>
      </c>
      <c r="BF53" s="89">
        <f t="shared" ca="1" si="10"/>
        <v>29060610</v>
      </c>
      <c r="BG53" s="89">
        <f t="shared" ca="1" si="11"/>
        <v>29</v>
      </c>
      <c r="BH53" s="89">
        <f t="shared" ca="1" si="12"/>
        <v>6</v>
      </c>
      <c r="BI53" s="89" t="str">
        <f t="shared" ca="1" si="13"/>
        <v>B1047</v>
      </c>
      <c r="BJ53" s="89">
        <f t="shared" ca="1" si="14"/>
        <v>4</v>
      </c>
      <c r="BK53" s="89">
        <f t="shared" ca="1" si="15"/>
        <v>10</v>
      </c>
      <c r="BL53" s="89">
        <f t="shared" ca="1" si="16"/>
        <v>58</v>
      </c>
      <c r="BM53" s="89">
        <f t="shared" ca="1" si="17"/>
        <v>12</v>
      </c>
      <c r="BN53" s="89" t="str">
        <f t="shared" ca="1" si="18"/>
        <v>S6!B1018:L1046</v>
      </c>
      <c r="BO53" s="89" t="str">
        <f t="shared" ca="1" si="19"/>
        <v>e</v>
      </c>
      <c r="BP53" s="89" t="str">
        <f t="shared" ca="1" si="20"/>
        <v>b</v>
      </c>
      <c r="BQ53" s="89" t="str">
        <f t="shared" ca="1" si="21"/>
        <v/>
      </c>
      <c r="BR53" s="87" t="str">
        <f t="shared" ca="1" si="22"/>
        <v/>
      </c>
      <c r="BS53" s="89" t="str">
        <f t="shared" ca="1" si="2"/>
        <v>a</v>
      </c>
      <c r="BT53" s="89" t="str">
        <f t="shared" ca="1" si="3"/>
        <v/>
      </c>
      <c r="BU53" s="89" t="str">
        <f t="shared" ca="1" si="4"/>
        <v/>
      </c>
      <c r="BV53" s="87" t="str">
        <f t="shared" ca="1" si="23"/>
        <v/>
      </c>
      <c r="BW53" s="87" t="str">
        <f t="shared" ca="1" si="24"/>
        <v>29060610</v>
      </c>
      <c r="BX53" s="89">
        <f t="shared" ca="1" si="25"/>
        <v>0</v>
      </c>
    </row>
    <row r="54" spans="1:76">
      <c r="A54" s="374" t="str">
        <f t="shared" si="5"/>
        <v/>
      </c>
      <c r="B54" s="98">
        <v>1</v>
      </c>
      <c r="C54" s="94">
        <v>-6</v>
      </c>
      <c r="D54" s="94">
        <v>-4</v>
      </c>
      <c r="E54" s="94">
        <v>2</v>
      </c>
      <c r="F54" s="94">
        <v>1</v>
      </c>
      <c r="G54" s="94" t="s">
        <v>202</v>
      </c>
      <c r="H54" s="94">
        <v>-5</v>
      </c>
      <c r="I54" s="94">
        <v>-3</v>
      </c>
      <c r="J54" s="94">
        <v>6</v>
      </c>
      <c r="K54" s="94">
        <v>4</v>
      </c>
      <c r="L54" s="94">
        <v>-2</v>
      </c>
      <c r="M54" s="94">
        <v>-1</v>
      </c>
      <c r="N54" s="94">
        <v>5</v>
      </c>
      <c r="O54" s="94">
        <v>3</v>
      </c>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1">
        <f t="shared" ca="1" si="6"/>
        <v>1048</v>
      </c>
      <c r="BB54" s="88" t="str">
        <f t="shared" ca="1" si="7"/>
        <v>A1018:A1600</v>
      </c>
      <c r="BC54" s="89" t="str">
        <f t="shared" ca="1" si="8"/>
        <v>B1048</v>
      </c>
      <c r="BD54" s="89">
        <f ca="1">IF(BC54=0,0,RANK(BF54,$BF$11:$BF$100,0)+(COUNTIF($BF54:$BF$100,BF54)-1))</f>
        <v>2</v>
      </c>
      <c r="BE54" s="89" t="str">
        <f t="shared" ca="1" si="9"/>
        <v>300606</v>
      </c>
      <c r="BF54" s="89">
        <f t="shared" ca="1" si="10"/>
        <v>30060610</v>
      </c>
      <c r="BG54" s="89">
        <f t="shared" ca="1" si="11"/>
        <v>30</v>
      </c>
      <c r="BH54" s="89">
        <f t="shared" ca="1" si="12"/>
        <v>6</v>
      </c>
      <c r="BI54" s="89" t="str">
        <f t="shared" ca="1" si="13"/>
        <v>B1079</v>
      </c>
      <c r="BJ54" s="89">
        <f t="shared" ca="1" si="14"/>
        <v>4</v>
      </c>
      <c r="BK54" s="89">
        <f t="shared" ca="1" si="15"/>
        <v>10</v>
      </c>
      <c r="BL54" s="89">
        <f t="shared" ca="1" si="16"/>
        <v>60</v>
      </c>
      <c r="BM54" s="89">
        <f t="shared" ca="1" si="17"/>
        <v>12</v>
      </c>
      <c r="BN54" s="89" t="str">
        <f t="shared" ca="1" si="18"/>
        <v>S6!B1049:L1078</v>
      </c>
      <c r="BO54" s="89" t="str">
        <f t="shared" ca="1" si="19"/>
        <v>e</v>
      </c>
      <c r="BP54" s="89" t="str">
        <f t="shared" ca="1" si="20"/>
        <v>b</v>
      </c>
      <c r="BQ54" s="89" t="str">
        <f t="shared" ca="1" si="21"/>
        <v/>
      </c>
      <c r="BR54" s="87" t="str">
        <f t="shared" ca="1" si="22"/>
        <v/>
      </c>
      <c r="BS54" s="89" t="str">
        <f t="shared" ca="1" si="2"/>
        <v/>
      </c>
      <c r="BT54" s="89" t="str">
        <f t="shared" ca="1" si="3"/>
        <v/>
      </c>
      <c r="BU54" s="89" t="str">
        <f t="shared" ca="1" si="4"/>
        <v/>
      </c>
      <c r="BV54" s="87" t="str">
        <f t="shared" ca="1" si="23"/>
        <v/>
      </c>
      <c r="BW54" s="87" t="str">
        <f t="shared" ca="1" si="24"/>
        <v>30060610</v>
      </c>
      <c r="BX54" s="89">
        <f t="shared" ca="1" si="25"/>
        <v>0</v>
      </c>
    </row>
    <row r="55" spans="1:76">
      <c r="A55" s="374" t="str">
        <f t="shared" si="5"/>
        <v/>
      </c>
      <c r="B55" s="98">
        <v>2</v>
      </c>
      <c r="C55" s="94">
        <v>4</v>
      </c>
      <c r="D55" s="94">
        <v>3</v>
      </c>
      <c r="E55" s="94" t="s">
        <v>202</v>
      </c>
      <c r="F55" s="94">
        <v>-5</v>
      </c>
      <c r="G55" s="94">
        <v>-6</v>
      </c>
      <c r="H55" s="94">
        <v>2</v>
      </c>
      <c r="I55" s="94">
        <v>-1</v>
      </c>
      <c r="J55" s="94">
        <v>5</v>
      </c>
      <c r="K55" s="94">
        <v>-2</v>
      </c>
      <c r="L55" s="94">
        <v>6</v>
      </c>
      <c r="M55" s="94">
        <v>-4</v>
      </c>
      <c r="N55" s="94">
        <v>1</v>
      </c>
      <c r="O55" s="94">
        <v>-3</v>
      </c>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1">
        <f t="shared" ca="1" si="6"/>
        <v>1080</v>
      </c>
      <c r="BB55" s="88" t="str">
        <f t="shared" ca="1" si="7"/>
        <v>A1049:A1600</v>
      </c>
      <c r="BC55" s="89" t="str">
        <f t="shared" ca="1" si="8"/>
        <v>B1080</v>
      </c>
      <c r="BD55" s="89">
        <f ca="1">IF(BC55=0,0,RANK(BF55,$BF$11:$BF$100,0)+(COUNTIF($BF55:$BF$100,BF55)-1))</f>
        <v>50</v>
      </c>
      <c r="BE55" s="89" t="str">
        <f t="shared" ca="1" si="9"/>
        <v>160602</v>
      </c>
      <c r="BF55" s="89">
        <f t="shared" ca="1" si="10"/>
        <v>16060211</v>
      </c>
      <c r="BG55" s="89">
        <f t="shared" ca="1" si="11"/>
        <v>16</v>
      </c>
      <c r="BH55" s="89">
        <f t="shared" ca="1" si="12"/>
        <v>2</v>
      </c>
      <c r="BI55" s="89" t="str">
        <f t="shared" ca="1" si="13"/>
        <v>B1097</v>
      </c>
      <c r="BJ55" s="89">
        <f t="shared" ca="1" si="14"/>
        <v>7</v>
      </c>
      <c r="BK55" s="89">
        <f t="shared" ca="1" si="15"/>
        <v>11</v>
      </c>
      <c r="BL55" s="89">
        <f t="shared" ca="1" si="16"/>
        <v>56</v>
      </c>
      <c r="BM55" s="89">
        <f t="shared" ca="1" si="17"/>
        <v>13</v>
      </c>
      <c r="BN55" s="89" t="str">
        <f t="shared" ca="1" si="18"/>
        <v>S6!B1081:M1096</v>
      </c>
      <c r="BO55" s="89" t="str">
        <f t="shared" ca="1" si="19"/>
        <v>c</v>
      </c>
      <c r="BP55" s="89" t="str">
        <f t="shared" ca="1" si="20"/>
        <v/>
      </c>
      <c r="BQ55" s="89" t="str">
        <f t="shared" ca="1" si="21"/>
        <v/>
      </c>
      <c r="BR55" s="87" t="str">
        <f t="shared" ca="1" si="22"/>
        <v/>
      </c>
      <c r="BS55" s="89" t="str">
        <f t="shared" ca="1" si="2"/>
        <v/>
      </c>
      <c r="BT55" s="89" t="str">
        <f t="shared" ca="1" si="3"/>
        <v/>
      </c>
      <c r="BU55" s="89" t="str">
        <f t="shared" ca="1" si="4"/>
        <v/>
      </c>
      <c r="BV55" s="87" t="str">
        <f t="shared" ca="1" si="23"/>
        <v>c</v>
      </c>
      <c r="BW55" s="87" t="str">
        <f t="shared" ca="1" si="24"/>
        <v>16060211</v>
      </c>
      <c r="BX55" s="89" t="str">
        <f t="shared" ca="1" si="25"/>
        <v>23</v>
      </c>
    </row>
    <row r="56" spans="1:76">
      <c r="A56" s="374" t="str">
        <f t="shared" si="5"/>
        <v/>
      </c>
      <c r="B56" s="98">
        <v>3</v>
      </c>
      <c r="C56" s="94">
        <v>-2</v>
      </c>
      <c r="D56" s="94">
        <v>1</v>
      </c>
      <c r="E56" s="94">
        <v>-3</v>
      </c>
      <c r="F56" s="94">
        <v>-6</v>
      </c>
      <c r="G56" s="94">
        <v>-5</v>
      </c>
      <c r="H56" s="94">
        <v>-4</v>
      </c>
      <c r="I56" s="94">
        <v>3</v>
      </c>
      <c r="J56" s="94" t="s">
        <v>202</v>
      </c>
      <c r="K56" s="94">
        <v>6</v>
      </c>
      <c r="L56" s="94">
        <v>5</v>
      </c>
      <c r="M56" s="94">
        <v>2</v>
      </c>
      <c r="N56" s="94">
        <v>-1</v>
      </c>
      <c r="O56" s="94">
        <v>4</v>
      </c>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1">
        <f t="shared" ca="1" si="6"/>
        <v>1098</v>
      </c>
      <c r="BB56" s="88" t="str">
        <f t="shared" ca="1" si="7"/>
        <v>A1081:A1600</v>
      </c>
      <c r="BC56" s="89" t="str">
        <f t="shared" ca="1" si="8"/>
        <v>B1098</v>
      </c>
      <c r="BD56" s="89">
        <f ca="1">IF(BC56=0,0,RANK(BF56,$BF$11:$BF$100,0)+(COUNTIF($BF56:$BF$100,BF56)-1))</f>
        <v>35</v>
      </c>
      <c r="BE56" s="89" t="str">
        <f t="shared" ca="1" si="9"/>
        <v>220605</v>
      </c>
      <c r="BF56" s="89">
        <f t="shared" ca="1" si="10"/>
        <v>22060510</v>
      </c>
      <c r="BG56" s="89">
        <f t="shared" ca="1" si="11"/>
        <v>22</v>
      </c>
      <c r="BH56" s="89">
        <f t="shared" ca="1" si="12"/>
        <v>5</v>
      </c>
      <c r="BI56" s="89" t="str">
        <f t="shared" ca="1" si="13"/>
        <v>B1121</v>
      </c>
      <c r="BJ56" s="89">
        <f t="shared" ca="1" si="14"/>
        <v>5</v>
      </c>
      <c r="BK56" s="89">
        <f t="shared" ca="1" si="15"/>
        <v>10</v>
      </c>
      <c r="BL56" s="89">
        <f t="shared" ca="1" si="16"/>
        <v>55</v>
      </c>
      <c r="BM56" s="89">
        <f t="shared" ca="1" si="17"/>
        <v>12</v>
      </c>
      <c r="BN56" s="89" t="str">
        <f t="shared" ca="1" si="18"/>
        <v>S6!B1099:L1120</v>
      </c>
      <c r="BO56" s="89" t="str">
        <f t="shared" ca="1" si="19"/>
        <v>e</v>
      </c>
      <c r="BP56" s="89" t="str">
        <f t="shared" ca="1" si="20"/>
        <v/>
      </c>
      <c r="BQ56" s="89" t="str">
        <f t="shared" ca="1" si="21"/>
        <v/>
      </c>
      <c r="BR56" s="87" t="str">
        <f t="shared" ca="1" si="22"/>
        <v>x</v>
      </c>
      <c r="BS56" s="89" t="str">
        <f t="shared" ca="1" si="2"/>
        <v>a</v>
      </c>
      <c r="BT56" s="89" t="str">
        <f t="shared" ca="1" si="3"/>
        <v>E</v>
      </c>
      <c r="BU56" s="89" t="str">
        <f t="shared" ca="1" si="4"/>
        <v/>
      </c>
      <c r="BV56" s="87" t="str">
        <f t="shared" ca="1" si="23"/>
        <v/>
      </c>
      <c r="BW56" s="87" t="str">
        <f t="shared" ca="1" si="24"/>
        <v>22060510</v>
      </c>
      <c r="BX56" s="89">
        <f t="shared" ca="1" si="25"/>
        <v>0</v>
      </c>
    </row>
    <row r="57" spans="1:76">
      <c r="A57" s="374" t="str">
        <f t="shared" si="5"/>
        <v/>
      </c>
      <c r="B57" s="98">
        <v>4</v>
      </c>
      <c r="C57" s="94">
        <v>6</v>
      </c>
      <c r="D57" s="94">
        <v>-5</v>
      </c>
      <c r="E57" s="94">
        <v>4</v>
      </c>
      <c r="F57" s="94" t="s">
        <v>202</v>
      </c>
      <c r="G57" s="94">
        <v>-1</v>
      </c>
      <c r="H57" s="94">
        <v>-3</v>
      </c>
      <c r="I57" s="94">
        <v>2</v>
      </c>
      <c r="J57" s="94">
        <v>1</v>
      </c>
      <c r="K57" s="94">
        <v>5</v>
      </c>
      <c r="L57" s="94">
        <v>-6</v>
      </c>
      <c r="M57" s="94">
        <v>3</v>
      </c>
      <c r="N57" s="94">
        <v>-2</v>
      </c>
      <c r="O57" s="94">
        <v>-4</v>
      </c>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1">
        <f t="shared" ca="1" si="6"/>
        <v>1122</v>
      </c>
      <c r="BB57" s="88" t="str">
        <f t="shared" ca="1" si="7"/>
        <v>A1099:A1600</v>
      </c>
      <c r="BC57" s="89" t="str">
        <f t="shared" ca="1" si="8"/>
        <v>B1122</v>
      </c>
      <c r="BD57" s="89">
        <f ca="1">IF(BC57=0,0,RANK(BF57,$BF$11:$BF$100,0)+(COUNTIF($BF57:$BF$100,BF57)-1))</f>
        <v>43</v>
      </c>
      <c r="BE57" s="89" t="str">
        <f t="shared" ca="1" si="9"/>
        <v>200604</v>
      </c>
      <c r="BF57" s="89">
        <f t="shared" ca="1" si="10"/>
        <v>20060407</v>
      </c>
      <c r="BG57" s="89">
        <f t="shared" ca="1" si="11"/>
        <v>20</v>
      </c>
      <c r="BH57" s="89">
        <f t="shared" ca="1" si="12"/>
        <v>4</v>
      </c>
      <c r="BI57" s="89" t="str">
        <f t="shared" ca="1" si="13"/>
        <v>B1143</v>
      </c>
      <c r="BJ57" s="89">
        <f t="shared" ca="1" si="14"/>
        <v>4</v>
      </c>
      <c r="BK57" s="89">
        <f t="shared" ca="1" si="15"/>
        <v>7</v>
      </c>
      <c r="BL57" s="89">
        <f t="shared" ca="1" si="16"/>
        <v>40</v>
      </c>
      <c r="BM57" s="89">
        <f t="shared" ca="1" si="17"/>
        <v>9</v>
      </c>
      <c r="BN57" s="89" t="str">
        <f t="shared" ca="1" si="18"/>
        <v>S6!B1123:I1142</v>
      </c>
      <c r="BO57" s="89" t="str">
        <f t="shared" ca="1" si="19"/>
        <v>c</v>
      </c>
      <c r="BP57" s="89" t="str">
        <f t="shared" ca="1" si="20"/>
        <v/>
      </c>
      <c r="BQ57" s="89" t="str">
        <f t="shared" ca="1" si="21"/>
        <v/>
      </c>
      <c r="BR57" s="87" t="str">
        <f t="shared" ca="1" si="22"/>
        <v/>
      </c>
      <c r="BS57" s="89" t="str">
        <f t="shared" ca="1" si="2"/>
        <v/>
      </c>
      <c r="BT57" s="89" t="str">
        <f t="shared" ca="1" si="3"/>
        <v/>
      </c>
      <c r="BU57" s="89" t="str">
        <f t="shared" ca="1" si="4"/>
        <v/>
      </c>
      <c r="BV57" s="87" t="str">
        <f t="shared" ca="1" si="23"/>
        <v>c</v>
      </c>
      <c r="BW57" s="87" t="str">
        <f t="shared" ca="1" si="24"/>
        <v>20060407</v>
      </c>
      <c r="BX57" s="89" t="str">
        <f t="shared" ca="1" si="25"/>
        <v>33</v>
      </c>
    </row>
    <row r="58" spans="1:76">
      <c r="A58" s="374" t="str">
        <f t="shared" si="5"/>
        <v/>
      </c>
      <c r="B58" s="98">
        <v>5</v>
      </c>
      <c r="C58" s="94">
        <v>3</v>
      </c>
      <c r="D58" s="94">
        <v>4</v>
      </c>
      <c r="E58" s="94">
        <v>-6</v>
      </c>
      <c r="F58" s="94">
        <v>-2</v>
      </c>
      <c r="G58" s="94">
        <v>5</v>
      </c>
      <c r="H58" s="94">
        <v>-1</v>
      </c>
      <c r="I58" s="94">
        <v>-4</v>
      </c>
      <c r="J58" s="94">
        <v>-5</v>
      </c>
      <c r="K58" s="94">
        <v>1</v>
      </c>
      <c r="L58" s="94" t="s">
        <v>202</v>
      </c>
      <c r="M58" s="94">
        <v>-3</v>
      </c>
      <c r="N58" s="94">
        <v>6</v>
      </c>
      <c r="O58" s="94">
        <v>2</v>
      </c>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c r="AZ58" s="94"/>
      <c r="BA58" s="91">
        <f t="shared" ca="1" si="6"/>
        <v>1144</v>
      </c>
      <c r="BB58" s="88" t="str">
        <f t="shared" ca="1" si="7"/>
        <v>A1123:A1600</v>
      </c>
      <c r="BC58" s="89" t="str">
        <f t="shared" ca="1" si="8"/>
        <v>B1144</v>
      </c>
      <c r="BD58" s="89">
        <f ca="1">IF(BC58=0,0,RANK(BF58,$BF$11:$BF$100,0)+(COUNTIF($BF58:$BF$100,BF58)-1))</f>
        <v>34</v>
      </c>
      <c r="BE58" s="89" t="str">
        <f t="shared" ca="1" si="9"/>
        <v>220605</v>
      </c>
      <c r="BF58" s="89">
        <f t="shared" ca="1" si="10"/>
        <v>22060510</v>
      </c>
      <c r="BG58" s="89">
        <f t="shared" ca="1" si="11"/>
        <v>22</v>
      </c>
      <c r="BH58" s="89">
        <f t="shared" ca="1" si="12"/>
        <v>5</v>
      </c>
      <c r="BI58" s="89" t="str">
        <f t="shared" ca="1" si="13"/>
        <v>B1167</v>
      </c>
      <c r="BJ58" s="89">
        <f t="shared" ca="1" si="14"/>
        <v>5</v>
      </c>
      <c r="BK58" s="89">
        <f t="shared" ca="1" si="15"/>
        <v>10</v>
      </c>
      <c r="BL58" s="89">
        <f t="shared" ca="1" si="16"/>
        <v>55</v>
      </c>
      <c r="BM58" s="89">
        <f t="shared" ca="1" si="17"/>
        <v>12</v>
      </c>
      <c r="BN58" s="89" t="str">
        <f t="shared" ca="1" si="18"/>
        <v>S6!B1145:L1166</v>
      </c>
      <c r="BO58" s="89" t="str">
        <f t="shared" ca="1" si="19"/>
        <v>e</v>
      </c>
      <c r="BP58" s="89" t="str">
        <f t="shared" ca="1" si="20"/>
        <v/>
      </c>
      <c r="BQ58" s="89" t="str">
        <f t="shared" ca="1" si="21"/>
        <v/>
      </c>
      <c r="BR58" s="87" t="str">
        <f t="shared" ca="1" si="22"/>
        <v>x</v>
      </c>
      <c r="BS58" s="89" t="str">
        <f t="shared" ca="1" si="2"/>
        <v>a</v>
      </c>
      <c r="BT58" s="89" t="str">
        <f t="shared" ca="1" si="3"/>
        <v/>
      </c>
      <c r="BU58" s="89" t="str">
        <f t="shared" ca="1" si="4"/>
        <v/>
      </c>
      <c r="BV58" s="87" t="str">
        <f t="shared" ca="1" si="23"/>
        <v/>
      </c>
      <c r="BW58" s="87" t="str">
        <f t="shared" ca="1" si="24"/>
        <v>22060510</v>
      </c>
      <c r="BX58" s="89">
        <f t="shared" ca="1" si="25"/>
        <v>0</v>
      </c>
    </row>
    <row r="59" spans="1:76">
      <c r="A59" s="374" t="str">
        <f t="shared" si="5"/>
        <v/>
      </c>
      <c r="B59" s="98">
        <v>6</v>
      </c>
      <c r="C59" s="94">
        <v>-5</v>
      </c>
      <c r="D59" s="94">
        <v>2</v>
      </c>
      <c r="E59" s="94">
        <v>1</v>
      </c>
      <c r="F59" s="94">
        <v>-3</v>
      </c>
      <c r="G59" s="94">
        <v>6</v>
      </c>
      <c r="H59" s="94">
        <v>4</v>
      </c>
      <c r="I59" s="94">
        <v>5</v>
      </c>
      <c r="J59" s="94">
        <v>-1</v>
      </c>
      <c r="K59" s="94">
        <v>-4</v>
      </c>
      <c r="L59" s="94">
        <v>3</v>
      </c>
      <c r="M59" s="94">
        <v>-6</v>
      </c>
      <c r="N59" s="94" t="s">
        <v>202</v>
      </c>
      <c r="O59" s="94">
        <v>-2</v>
      </c>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1">
        <f t="shared" ca="1" si="6"/>
        <v>1168</v>
      </c>
      <c r="BB59" s="88" t="str">
        <f t="shared" ca="1" si="7"/>
        <v>A1145:A1600</v>
      </c>
      <c r="BC59" s="89" t="str">
        <f t="shared" ca="1" si="8"/>
        <v>B1168</v>
      </c>
      <c r="BD59" s="89">
        <f ca="1">IF(BC59=0,0,RANK(BF59,$BF$11:$BF$100,0)+(COUNTIF($BF59:$BF$100,BF59)-1))</f>
        <v>1</v>
      </c>
      <c r="BE59" s="89" t="str">
        <f t="shared" ca="1" si="9"/>
        <v>320604</v>
      </c>
      <c r="BF59" s="89">
        <f t="shared" ca="1" si="10"/>
        <v>32060419</v>
      </c>
      <c r="BG59" s="89">
        <f t="shared" ca="1" si="11"/>
        <v>32</v>
      </c>
      <c r="BH59" s="89">
        <f t="shared" ca="1" si="12"/>
        <v>4</v>
      </c>
      <c r="BI59" s="89" t="str">
        <f t="shared" ca="1" si="13"/>
        <v>B1201</v>
      </c>
      <c r="BJ59" s="89">
        <f t="shared" ca="1" si="14"/>
        <v>7</v>
      </c>
      <c r="BK59" s="89">
        <f t="shared" ca="1" si="15"/>
        <v>19</v>
      </c>
      <c r="BL59" s="89">
        <f t="shared" ca="1" si="16"/>
        <v>112</v>
      </c>
      <c r="BM59" s="89">
        <f t="shared" ca="1" si="17"/>
        <v>21</v>
      </c>
      <c r="BN59" s="89" t="str">
        <f t="shared" ca="1" si="18"/>
        <v>S6!B1169:U1200</v>
      </c>
      <c r="BO59" s="89" t="str">
        <f t="shared" ca="1" si="19"/>
        <v>c</v>
      </c>
      <c r="BP59" s="89" t="str">
        <f t="shared" ca="1" si="20"/>
        <v/>
      </c>
      <c r="BQ59" s="89" t="str">
        <f t="shared" ca="1" si="21"/>
        <v/>
      </c>
      <c r="BR59" s="87" t="str">
        <f t="shared" ca="1" si="22"/>
        <v/>
      </c>
      <c r="BS59" s="89" t="str">
        <f t="shared" ca="1" si="2"/>
        <v/>
      </c>
      <c r="BT59" s="89" t="str">
        <f t="shared" ca="1" si="3"/>
        <v/>
      </c>
      <c r="BU59" s="89" t="str">
        <f t="shared" ca="1" si="4"/>
        <v/>
      </c>
      <c r="BV59" s="87" t="str">
        <f t="shared" ca="1" si="23"/>
        <v>c</v>
      </c>
      <c r="BW59" s="87" t="str">
        <f t="shared" ca="1" si="24"/>
        <v>32060419</v>
      </c>
      <c r="BX59" s="89" t="str">
        <f t="shared" ca="1" si="25"/>
        <v>34</v>
      </c>
    </row>
    <row r="60" spans="1:76">
      <c r="A60" s="374" t="str">
        <f t="shared" si="5"/>
        <v/>
      </c>
      <c r="B60" s="98">
        <v>7</v>
      </c>
      <c r="C60" s="94">
        <v>-1</v>
      </c>
      <c r="D60" s="94">
        <v>-2</v>
      </c>
      <c r="E60" s="94">
        <v>6</v>
      </c>
      <c r="F60" s="94">
        <v>-4</v>
      </c>
      <c r="G60" s="94">
        <v>-3</v>
      </c>
      <c r="H60" s="94">
        <v>5</v>
      </c>
      <c r="I60" s="94">
        <v>1</v>
      </c>
      <c r="J60" s="94">
        <v>3</v>
      </c>
      <c r="K60" s="94">
        <v>-6</v>
      </c>
      <c r="L60" s="94">
        <v>4</v>
      </c>
      <c r="M60" s="94" t="s">
        <v>202</v>
      </c>
      <c r="N60" s="94">
        <v>2</v>
      </c>
      <c r="O60" s="94">
        <v>-5</v>
      </c>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1">
        <f t="shared" ca="1" si="6"/>
        <v>1202</v>
      </c>
      <c r="BB60" s="88" t="str">
        <f t="shared" ca="1" si="7"/>
        <v>A1169:A1600</v>
      </c>
      <c r="BC60" s="89" t="str">
        <f t="shared" ca="1" si="8"/>
        <v>B1202</v>
      </c>
      <c r="BD60" s="89">
        <f ca="1">IF(BC60=0,0,RANK(BF60,$BF$11:$BF$100,0)+(COUNTIF($BF60:$BF$100,BF60)-1))</f>
        <v>47</v>
      </c>
      <c r="BE60" s="89" t="str">
        <f t="shared" ca="1" si="9"/>
        <v>160604</v>
      </c>
      <c r="BF60" s="89">
        <f t="shared" ca="1" si="10"/>
        <v>16060404</v>
      </c>
      <c r="BG60" s="89">
        <f t="shared" ca="1" si="11"/>
        <v>16</v>
      </c>
      <c r="BH60" s="89">
        <f t="shared" ca="1" si="12"/>
        <v>4</v>
      </c>
      <c r="BI60" s="89" t="str">
        <f t="shared" ca="1" si="13"/>
        <v>B1219</v>
      </c>
      <c r="BJ60" s="89">
        <f t="shared" ca="1" si="14"/>
        <v>3</v>
      </c>
      <c r="BK60" s="89">
        <f t="shared" ca="1" si="15"/>
        <v>4</v>
      </c>
      <c r="BL60" s="89">
        <f t="shared" ca="1" si="16"/>
        <v>24</v>
      </c>
      <c r="BM60" s="89">
        <f t="shared" ca="1" si="17"/>
        <v>6</v>
      </c>
      <c r="BN60" s="89" t="str">
        <f t="shared" ca="1" si="18"/>
        <v>S6!B1203:F1218</v>
      </c>
      <c r="BO60" s="89" t="str">
        <f t="shared" ca="1" si="19"/>
        <v>s</v>
      </c>
      <c r="BP60" s="89" t="str">
        <f t="shared" ca="1" si="20"/>
        <v/>
      </c>
      <c r="BQ60" s="89" t="str">
        <f t="shared" ca="1" si="21"/>
        <v/>
      </c>
      <c r="BR60" s="87" t="str">
        <f t="shared" ca="1" si="22"/>
        <v/>
      </c>
      <c r="BS60" s="89" t="str">
        <f t="shared" ca="1" si="2"/>
        <v/>
      </c>
      <c r="BT60" s="89" t="str">
        <f t="shared" ca="1" si="3"/>
        <v/>
      </c>
      <c r="BU60" s="89" t="str">
        <f t="shared" ca="1" si="4"/>
        <v/>
      </c>
      <c r="BV60" s="87" t="str">
        <f t="shared" ca="1" si="23"/>
        <v/>
      </c>
      <c r="BW60" s="87" t="str">
        <f t="shared" ca="1" si="24"/>
        <v>16060404</v>
      </c>
      <c r="BX60" s="89">
        <f t="shared" ca="1" si="25"/>
        <v>0</v>
      </c>
    </row>
    <row r="61" spans="1:76">
      <c r="A61" s="374" t="str">
        <f t="shared" si="5"/>
        <v/>
      </c>
      <c r="B61" s="98">
        <v>8</v>
      </c>
      <c r="C61" s="94" t="s">
        <v>202</v>
      </c>
      <c r="D61" s="94">
        <v>-3</v>
      </c>
      <c r="E61" s="94">
        <v>-4</v>
      </c>
      <c r="F61" s="94">
        <v>-1</v>
      </c>
      <c r="G61" s="94">
        <v>2</v>
      </c>
      <c r="H61" s="94">
        <v>6</v>
      </c>
      <c r="I61" s="94">
        <v>-5</v>
      </c>
      <c r="J61" s="94">
        <v>4</v>
      </c>
      <c r="K61" s="94">
        <v>3</v>
      </c>
      <c r="L61" s="94">
        <v>1</v>
      </c>
      <c r="M61" s="94">
        <v>-2</v>
      </c>
      <c r="N61" s="94">
        <v>-6</v>
      </c>
      <c r="O61" s="94">
        <v>5</v>
      </c>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AZ61" s="94"/>
      <c r="BA61" s="91">
        <f t="shared" ca="1" si="6"/>
        <v>1220</v>
      </c>
      <c r="BB61" s="88" t="str">
        <f t="shared" ca="1" si="7"/>
        <v>A1203:A1600</v>
      </c>
      <c r="BC61" s="89" t="str">
        <f t="shared" ca="1" si="8"/>
        <v>B1220</v>
      </c>
      <c r="BD61" s="89">
        <f ca="1">IF(BC61=0,0,RANK(BF61,$BF$11:$BF$100,0)+(COUNTIF($BF61:$BF$100,BF61)-1))</f>
        <v>42</v>
      </c>
      <c r="BE61" s="89" t="str">
        <f t="shared" ca="1" si="9"/>
        <v>200604</v>
      </c>
      <c r="BF61" s="89">
        <f t="shared" ca="1" si="10"/>
        <v>20060409</v>
      </c>
      <c r="BG61" s="89">
        <f t="shared" ca="1" si="11"/>
        <v>20</v>
      </c>
      <c r="BH61" s="89">
        <f t="shared" ca="1" si="12"/>
        <v>4</v>
      </c>
      <c r="BI61" s="89" t="str">
        <f t="shared" ca="1" si="13"/>
        <v>B1241</v>
      </c>
      <c r="BJ61" s="89">
        <f t="shared" ca="1" si="14"/>
        <v>5</v>
      </c>
      <c r="BK61" s="89">
        <f t="shared" ca="1" si="15"/>
        <v>9</v>
      </c>
      <c r="BL61" s="89">
        <f t="shared" ca="1" si="16"/>
        <v>50</v>
      </c>
      <c r="BM61" s="89">
        <f t="shared" ca="1" si="17"/>
        <v>11</v>
      </c>
      <c r="BN61" s="89" t="str">
        <f t="shared" ca="1" si="18"/>
        <v>S6!B1221:K1240</v>
      </c>
      <c r="BO61" s="89" t="str">
        <f t="shared" ca="1" si="19"/>
        <v>c</v>
      </c>
      <c r="BP61" s="89" t="str">
        <f t="shared" ca="1" si="20"/>
        <v/>
      </c>
      <c r="BQ61" s="89" t="str">
        <f t="shared" ca="1" si="21"/>
        <v/>
      </c>
      <c r="BR61" s="87" t="str">
        <f t="shared" ca="1" si="22"/>
        <v>x</v>
      </c>
      <c r="BS61" s="89" t="str">
        <f t="shared" ca="1" si="2"/>
        <v/>
      </c>
      <c r="BT61" s="89" t="str">
        <f t="shared" ca="1" si="3"/>
        <v/>
      </c>
      <c r="BU61" s="89" t="str">
        <f t="shared" ca="1" si="4"/>
        <v/>
      </c>
      <c r="BV61" s="87" t="str">
        <f t="shared" ca="1" si="23"/>
        <v>c</v>
      </c>
      <c r="BW61" s="87" t="str">
        <f t="shared" ca="1" si="24"/>
        <v>20060409</v>
      </c>
      <c r="BX61" s="89" t="str">
        <f t="shared" ca="1" si="25"/>
        <v>33</v>
      </c>
    </row>
    <row r="62" spans="1:76">
      <c r="A62" s="374" t="str">
        <f t="shared" si="5"/>
        <v/>
      </c>
      <c r="B62" s="98">
        <v>9</v>
      </c>
      <c r="C62" s="94">
        <v>-4</v>
      </c>
      <c r="D62" s="94">
        <v>5</v>
      </c>
      <c r="E62" s="94">
        <v>-1</v>
      </c>
      <c r="F62" s="94">
        <v>2</v>
      </c>
      <c r="G62" s="94">
        <v>3</v>
      </c>
      <c r="H62" s="94" t="s">
        <v>202</v>
      </c>
      <c r="I62" s="94">
        <v>-6</v>
      </c>
      <c r="J62" s="94">
        <v>-2</v>
      </c>
      <c r="K62" s="94">
        <v>-3</v>
      </c>
      <c r="L62" s="94">
        <v>-5</v>
      </c>
      <c r="M62" s="94">
        <v>1</v>
      </c>
      <c r="N62" s="94">
        <v>4</v>
      </c>
      <c r="O62" s="94">
        <v>6</v>
      </c>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1">
        <f t="shared" ca="1" si="6"/>
        <v>1242</v>
      </c>
      <c r="BB62" s="88" t="str">
        <f t="shared" ca="1" si="7"/>
        <v>A1221:A1600</v>
      </c>
      <c r="BC62" s="89" t="str">
        <f t="shared" ca="1" si="8"/>
        <v>B1242</v>
      </c>
      <c r="BD62" s="89">
        <f ca="1">IF(BC62=0,0,RANK(BF62,$BF$11:$BF$100,0)+(COUNTIF($BF62:$BF$100,BF62)-1))</f>
        <v>32</v>
      </c>
      <c r="BE62" s="89" t="str">
        <f t="shared" ca="1" si="9"/>
        <v>230602</v>
      </c>
      <c r="BF62" s="89">
        <f t="shared" ca="1" si="10"/>
        <v>23060222</v>
      </c>
      <c r="BG62" s="89">
        <f t="shared" ca="1" si="11"/>
        <v>23</v>
      </c>
      <c r="BH62" s="89">
        <f t="shared" ca="1" si="12"/>
        <v>2</v>
      </c>
      <c r="BI62" s="89" t="str">
        <f t="shared" ca="1" si="13"/>
        <v>B1266</v>
      </c>
      <c r="BJ62" s="89">
        <f t="shared" ca="1" si="14"/>
        <v>11</v>
      </c>
      <c r="BK62" s="89">
        <f t="shared" ca="1" si="15"/>
        <v>22</v>
      </c>
      <c r="BL62" s="89">
        <f t="shared" ca="1" si="16"/>
        <v>121</v>
      </c>
      <c r="BM62" s="89">
        <f t="shared" ca="1" si="17"/>
        <v>24</v>
      </c>
      <c r="BN62" s="89" t="str">
        <f t="shared" ca="1" si="18"/>
        <v>S6!B1243:X1265</v>
      </c>
      <c r="BO62" s="89" t="str">
        <f t="shared" ca="1" si="19"/>
        <v>e</v>
      </c>
      <c r="BP62" s="89" t="str">
        <f t="shared" ca="1" si="20"/>
        <v>w</v>
      </c>
      <c r="BQ62" s="89" t="str">
        <f t="shared" ca="1" si="21"/>
        <v>w</v>
      </c>
      <c r="BR62" s="87" t="str">
        <f t="shared" ca="1" si="22"/>
        <v/>
      </c>
      <c r="BS62" s="89" t="str">
        <f t="shared" ca="1" si="2"/>
        <v/>
      </c>
      <c r="BT62" s="89" t="str">
        <f t="shared" ca="1" si="3"/>
        <v/>
      </c>
      <c r="BU62" s="89" t="str">
        <f t="shared" ca="1" si="4"/>
        <v/>
      </c>
      <c r="BV62" s="87" t="str">
        <f t="shared" ca="1" si="23"/>
        <v/>
      </c>
      <c r="BW62" s="87" t="str">
        <f t="shared" ca="1" si="24"/>
        <v>23060222</v>
      </c>
      <c r="BX62" s="89">
        <f t="shared" ca="1" si="25"/>
        <v>0</v>
      </c>
    </row>
    <row r="63" spans="1:76">
      <c r="A63" s="374" t="str">
        <f t="shared" si="5"/>
        <v/>
      </c>
      <c r="B63" s="98">
        <v>10</v>
      </c>
      <c r="C63" s="94">
        <v>2</v>
      </c>
      <c r="D63" s="94">
        <v>6</v>
      </c>
      <c r="E63" s="94">
        <v>5</v>
      </c>
      <c r="F63" s="94">
        <v>3</v>
      </c>
      <c r="G63" s="94">
        <v>-4</v>
      </c>
      <c r="H63" s="94">
        <v>1</v>
      </c>
      <c r="I63" s="94">
        <v>-2</v>
      </c>
      <c r="J63" s="94">
        <v>-3</v>
      </c>
      <c r="K63" s="94" t="s">
        <v>202</v>
      </c>
      <c r="L63" s="94">
        <v>-1</v>
      </c>
      <c r="M63" s="94">
        <v>4</v>
      </c>
      <c r="N63" s="94">
        <v>-5</v>
      </c>
      <c r="O63" s="94">
        <v>-6</v>
      </c>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1">
        <f t="shared" ca="1" si="6"/>
        <v>1267</v>
      </c>
      <c r="BB63" s="88" t="str">
        <f t="shared" ca="1" si="7"/>
        <v>A1243:A1600</v>
      </c>
      <c r="BC63" s="89" t="str">
        <f t="shared" ca="1" si="8"/>
        <v>B1267</v>
      </c>
      <c r="BD63" s="89">
        <f ca="1">IF(BC63=0,0,RANK(BF63,$BF$11:$BF$100,0)+(COUNTIF($BF63:$BF$100,BF63)-1))</f>
        <v>12</v>
      </c>
      <c r="BE63" s="89" t="str">
        <f t="shared" ca="1" si="9"/>
        <v>260605</v>
      </c>
      <c r="BF63" s="89">
        <f t="shared" ca="1" si="10"/>
        <v>26060510</v>
      </c>
      <c r="BG63" s="89">
        <f t="shared" ca="1" si="11"/>
        <v>26</v>
      </c>
      <c r="BH63" s="89">
        <f t="shared" ca="1" si="12"/>
        <v>5</v>
      </c>
      <c r="BI63" s="89" t="str">
        <f t="shared" ca="1" si="13"/>
        <v>B1294</v>
      </c>
      <c r="BJ63" s="89">
        <f t="shared" ca="1" si="14"/>
        <v>5</v>
      </c>
      <c r="BK63" s="89">
        <f t="shared" ca="1" si="15"/>
        <v>10</v>
      </c>
      <c r="BL63" s="89">
        <f t="shared" ca="1" si="16"/>
        <v>55</v>
      </c>
      <c r="BM63" s="89">
        <f t="shared" ca="1" si="17"/>
        <v>12</v>
      </c>
      <c r="BN63" s="89" t="str">
        <f t="shared" ca="1" si="18"/>
        <v>S6!B1268:L1293</v>
      </c>
      <c r="BO63" s="89" t="str">
        <f t="shared" ca="1" si="19"/>
        <v>e</v>
      </c>
      <c r="BP63" s="89" t="str">
        <f t="shared" ca="1" si="20"/>
        <v>w</v>
      </c>
      <c r="BQ63" s="89" t="str">
        <f t="shared" ca="1" si="21"/>
        <v>w</v>
      </c>
      <c r="BR63" s="87" t="str">
        <f t="shared" ca="1" si="22"/>
        <v/>
      </c>
      <c r="BS63" s="89" t="str">
        <f t="shared" ca="1" si="2"/>
        <v/>
      </c>
      <c r="BT63" s="89" t="str">
        <f t="shared" ca="1" si="3"/>
        <v/>
      </c>
      <c r="BU63" s="89" t="str">
        <f t="shared" ca="1" si="4"/>
        <v/>
      </c>
      <c r="BV63" s="87" t="str">
        <f t="shared" ca="1" si="23"/>
        <v/>
      </c>
      <c r="BW63" s="87" t="str">
        <f t="shared" ca="1" si="24"/>
        <v>26060510</v>
      </c>
      <c r="BX63" s="89">
        <f t="shared" ca="1" si="25"/>
        <v>0</v>
      </c>
    </row>
    <row r="64" spans="1:76">
      <c r="A64" s="374" t="str">
        <f t="shared" si="5"/>
        <v/>
      </c>
      <c r="B64" s="98">
        <v>11</v>
      </c>
      <c r="C64" s="94">
        <v>-3</v>
      </c>
      <c r="D64" s="94">
        <v>-1</v>
      </c>
      <c r="E64" s="94">
        <v>-2</v>
      </c>
      <c r="F64" s="94">
        <v>5</v>
      </c>
      <c r="G64" s="94">
        <v>4</v>
      </c>
      <c r="H64" s="94">
        <v>-6</v>
      </c>
      <c r="I64" s="94" t="s">
        <v>202</v>
      </c>
      <c r="J64" s="94">
        <v>2</v>
      </c>
      <c r="K64" s="94">
        <v>-5</v>
      </c>
      <c r="L64" s="94">
        <v>-4</v>
      </c>
      <c r="M64" s="94">
        <v>6</v>
      </c>
      <c r="N64" s="94">
        <v>3</v>
      </c>
      <c r="O64" s="94">
        <v>1</v>
      </c>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1">
        <f t="shared" ca="1" si="6"/>
        <v>1295</v>
      </c>
      <c r="BB64" s="88" t="str">
        <f t="shared" ca="1" si="7"/>
        <v>A1268:A1600</v>
      </c>
      <c r="BC64" s="89" t="str">
        <f t="shared" ca="1" si="8"/>
        <v>B1295</v>
      </c>
      <c r="BD64" s="89">
        <f ca="1">IF(BC64=0,0,RANK(BF64,$BF$11:$BF$100,0)+(COUNTIF($BF64:$BF$100,BF64)-1))</f>
        <v>20</v>
      </c>
      <c r="BE64" s="89" t="str">
        <f t="shared" ca="1" si="9"/>
        <v>250601</v>
      </c>
      <c r="BF64" s="89">
        <f t="shared" ca="1" si="10"/>
        <v>25060126</v>
      </c>
      <c r="BG64" s="89">
        <f t="shared" ca="1" si="11"/>
        <v>25</v>
      </c>
      <c r="BH64" s="89">
        <f t="shared" ca="1" si="12"/>
        <v>1</v>
      </c>
      <c r="BI64" s="89" t="str">
        <f t="shared" ca="1" si="13"/>
        <v>B1321</v>
      </c>
      <c r="BJ64" s="89">
        <f t="shared" ca="1" si="14"/>
        <v>24</v>
      </c>
      <c r="BK64" s="89">
        <f t="shared" ca="1" si="15"/>
        <v>26</v>
      </c>
      <c r="BL64" s="89">
        <f t="shared" ca="1" si="16"/>
        <v>300</v>
      </c>
      <c r="BM64" s="89">
        <f t="shared" ca="1" si="17"/>
        <v>28</v>
      </c>
      <c r="BN64" s="89" t="str">
        <f t="shared" ca="1" si="18"/>
        <v>S6!B1296:AB1320</v>
      </c>
      <c r="BO64" s="89" t="str">
        <f t="shared" ca="1" si="19"/>
        <v>e</v>
      </c>
      <c r="BP64" s="89" t="str">
        <f t="shared" ca="1" si="20"/>
        <v>b</v>
      </c>
      <c r="BQ64" s="89" t="str">
        <f t="shared" ca="1" si="21"/>
        <v/>
      </c>
      <c r="BR64" s="87" t="str">
        <f t="shared" ca="1" si="22"/>
        <v/>
      </c>
      <c r="BS64" s="89" t="str">
        <f t="shared" ca="1" si="2"/>
        <v/>
      </c>
      <c r="BT64" s="89" t="str">
        <f t="shared" ca="1" si="3"/>
        <v/>
      </c>
      <c r="BU64" s="89" t="str">
        <f t="shared" ca="1" si="4"/>
        <v/>
      </c>
      <c r="BV64" s="87" t="str">
        <f t="shared" ca="1" si="23"/>
        <v/>
      </c>
      <c r="BW64" s="87" t="str">
        <f t="shared" ca="1" si="24"/>
        <v>25060126</v>
      </c>
      <c r="BX64" s="89">
        <f t="shared" ca="1" si="25"/>
        <v>0</v>
      </c>
    </row>
    <row r="65" spans="1:76">
      <c r="A65" s="374" t="str">
        <f t="shared" si="5"/>
        <v/>
      </c>
      <c r="B65" s="98">
        <v>12</v>
      </c>
      <c r="C65" s="94">
        <v>1</v>
      </c>
      <c r="D65" s="94" t="s">
        <v>202</v>
      </c>
      <c r="E65" s="94">
        <v>-5</v>
      </c>
      <c r="F65" s="94">
        <v>6</v>
      </c>
      <c r="G65" s="94">
        <v>-2</v>
      </c>
      <c r="H65" s="94">
        <v>3</v>
      </c>
      <c r="I65" s="94">
        <v>4</v>
      </c>
      <c r="J65" s="94">
        <v>-6</v>
      </c>
      <c r="K65" s="94">
        <v>2</v>
      </c>
      <c r="L65" s="94">
        <v>-3</v>
      </c>
      <c r="M65" s="94">
        <v>5</v>
      </c>
      <c r="N65" s="94">
        <v>-4</v>
      </c>
      <c r="O65" s="94">
        <v>-1</v>
      </c>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1">
        <f t="shared" ca="1" si="6"/>
        <v>1322</v>
      </c>
      <c r="BB65" s="88" t="str">
        <f ca="1">IF(BA64=0,"",CONCATENATE("A",BA64+1,":A",BB$10))</f>
        <v>A1296:A1600</v>
      </c>
      <c r="BC65" s="89" t="str">
        <f t="shared" ca="1" si="8"/>
        <v>B1322</v>
      </c>
      <c r="BD65" s="89">
        <f ca="1">IF(BC65=0,0,RANK(BF65,$BF$11:$BF$100,0)+(COUNTIF($BF65:$BF$100,BF65)-1))</f>
        <v>21</v>
      </c>
      <c r="BE65" s="89" t="str">
        <f t="shared" ca="1" si="9"/>
        <v>250601</v>
      </c>
      <c r="BF65" s="89">
        <f t="shared" ca="1" si="10"/>
        <v>25060124</v>
      </c>
      <c r="BG65" s="89">
        <f t="shared" ca="1" si="11"/>
        <v>25</v>
      </c>
      <c r="BH65" s="89">
        <f t="shared" ca="1" si="12"/>
        <v>1</v>
      </c>
      <c r="BI65" s="89" t="str">
        <f t="shared" ca="1" si="13"/>
        <v>B1348</v>
      </c>
      <c r="BJ65" s="89">
        <f t="shared" ca="1" si="14"/>
        <v>24</v>
      </c>
      <c r="BK65" s="89">
        <f t="shared" ca="1" si="15"/>
        <v>24</v>
      </c>
      <c r="BL65" s="89">
        <f t="shared" ca="1" si="16"/>
        <v>300</v>
      </c>
      <c r="BM65" s="89">
        <f t="shared" ca="1" si="17"/>
        <v>26</v>
      </c>
      <c r="BN65" s="89" t="str">
        <f t="shared" ca="1" si="18"/>
        <v>S6!B1323:Z1347</v>
      </c>
      <c r="BO65" s="89" t="str">
        <f t="shared" ca="1" si="19"/>
        <v>e</v>
      </c>
      <c r="BP65" s="89" t="str">
        <f t="shared" ca="1" si="20"/>
        <v>b</v>
      </c>
      <c r="BQ65" s="89" t="str">
        <f t="shared" ca="1" si="21"/>
        <v/>
      </c>
      <c r="BR65" s="87" t="str">
        <f t="shared" ca="1" si="22"/>
        <v/>
      </c>
      <c r="BS65" s="89" t="str">
        <f t="shared" ca="1" si="2"/>
        <v/>
      </c>
      <c r="BT65" s="89" t="str">
        <f t="shared" ca="1" si="3"/>
        <v/>
      </c>
      <c r="BU65" s="89" t="str">
        <f t="shared" ca="1" si="4"/>
        <v>X</v>
      </c>
      <c r="BV65" s="87" t="str">
        <f t="shared" ca="1" si="23"/>
        <v/>
      </c>
      <c r="BW65" s="87" t="str">
        <f t="shared" ca="1" si="24"/>
        <v>25060124</v>
      </c>
      <c r="BX65" s="89">
        <f t="shared" ca="1" si="25"/>
        <v>0</v>
      </c>
    </row>
    <row r="66" spans="1:76">
      <c r="A66" s="374" t="str">
        <f t="shared" si="5"/>
        <v/>
      </c>
      <c r="B66" s="98">
        <v>13</v>
      </c>
      <c r="C66" s="94">
        <v>5</v>
      </c>
      <c r="D66" s="94">
        <v>-6</v>
      </c>
      <c r="E66" s="94">
        <v>3</v>
      </c>
      <c r="F66" s="94">
        <v>4</v>
      </c>
      <c r="G66" s="94">
        <v>1</v>
      </c>
      <c r="H66" s="94">
        <v>-2</v>
      </c>
      <c r="I66" s="94">
        <v>6</v>
      </c>
      <c r="J66" s="94">
        <v>-4</v>
      </c>
      <c r="K66" s="94">
        <v>-1</v>
      </c>
      <c r="L66" s="94">
        <v>2</v>
      </c>
      <c r="M66" s="94">
        <v>-5</v>
      </c>
      <c r="N66" s="94">
        <v>-3</v>
      </c>
      <c r="O66" s="94" t="s">
        <v>202</v>
      </c>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1">
        <f t="shared" ca="1" si="6"/>
        <v>1349</v>
      </c>
      <c r="BB66" s="88" t="str">
        <f t="shared" ca="1" si="7"/>
        <v>A1323:A1600</v>
      </c>
      <c r="BC66" s="89" t="str">
        <f t="shared" ca="1" si="8"/>
        <v>B1349</v>
      </c>
      <c r="BD66" s="89">
        <f ca="1">IF(BC66=0,0,RANK(BF66,$BF$11:$BF$100,0)+(COUNTIF($BF66:$BF$100,BF66)-1))</f>
        <v>33</v>
      </c>
      <c r="BE66" s="89" t="str">
        <f t="shared" ca="1" si="9"/>
        <v>230601</v>
      </c>
      <c r="BF66" s="89">
        <f t="shared" ca="1" si="10"/>
        <v>23060124</v>
      </c>
      <c r="BG66" s="89">
        <f t="shared" ca="1" si="11"/>
        <v>23</v>
      </c>
      <c r="BH66" s="89">
        <f t="shared" ca="1" si="12"/>
        <v>1</v>
      </c>
      <c r="BI66" s="89" t="str">
        <f t="shared" ca="1" si="13"/>
        <v>B1373</v>
      </c>
      <c r="BJ66" s="89">
        <f t="shared" ca="1" si="14"/>
        <v>22</v>
      </c>
      <c r="BK66" s="89">
        <f t="shared" ca="1" si="15"/>
        <v>24</v>
      </c>
      <c r="BL66" s="89">
        <f t="shared" ca="1" si="16"/>
        <v>132</v>
      </c>
      <c r="BM66" s="89">
        <f t="shared" ca="1" si="17"/>
        <v>26</v>
      </c>
      <c r="BN66" s="89" t="str">
        <f t="shared" ca="1" si="18"/>
        <v>S6!B1350:Z1372</v>
      </c>
      <c r="BO66" s="89" t="str">
        <f t="shared" ca="1" si="19"/>
        <v>e</v>
      </c>
      <c r="BP66" s="89" t="str">
        <f t="shared" ca="1" si="20"/>
        <v>b</v>
      </c>
      <c r="BQ66" s="89" t="str">
        <f t="shared" ca="1" si="21"/>
        <v/>
      </c>
      <c r="BR66" s="87" t="str">
        <f t="shared" ca="1" si="22"/>
        <v/>
      </c>
      <c r="BS66" s="89" t="str">
        <f t="shared" ca="1" si="2"/>
        <v/>
      </c>
      <c r="BT66" s="89" t="str">
        <f t="shared" ca="1" si="3"/>
        <v/>
      </c>
      <c r="BU66" s="89" t="str">
        <f t="shared" ca="1" si="4"/>
        <v>X</v>
      </c>
      <c r="BV66" s="87" t="str">
        <f t="shared" ca="1" si="23"/>
        <v/>
      </c>
      <c r="BW66" s="87" t="str">
        <f t="shared" ca="1" si="24"/>
        <v>23060124</v>
      </c>
      <c r="BX66" s="89">
        <f t="shared" ca="1" si="25"/>
        <v>0</v>
      </c>
    </row>
    <row r="67" spans="1:76">
      <c r="A67" s="374" t="str">
        <f t="shared" si="5"/>
        <v/>
      </c>
      <c r="B67" s="98" t="s">
        <v>344</v>
      </c>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1">
        <f t="shared" ca="1" si="6"/>
        <v>1374</v>
      </c>
      <c r="BB67" s="88" t="str">
        <f t="shared" ca="1" si="7"/>
        <v>A1350:A1600</v>
      </c>
      <c r="BC67" s="89" t="str">
        <f t="shared" ca="1" si="8"/>
        <v>B1374</v>
      </c>
      <c r="BD67" s="89">
        <f ca="1">IF(BC67=0,0,RANK(BF67,$BF$11:$BF$100,0)+(COUNTIF($BF67:$BF$100,BF67)-1))</f>
        <v>11</v>
      </c>
      <c r="BE67" s="89" t="str">
        <f t="shared" ca="1" si="9"/>
        <v>260605</v>
      </c>
      <c r="BF67" s="89">
        <f t="shared" ca="1" si="10"/>
        <v>26060511</v>
      </c>
      <c r="BG67" s="89">
        <f t="shared" ca="1" si="11"/>
        <v>26</v>
      </c>
      <c r="BH67" s="89">
        <f t="shared" ca="1" si="12"/>
        <v>5</v>
      </c>
      <c r="BI67" s="89" t="str">
        <f t="shared" ca="1" si="13"/>
        <v>B1401</v>
      </c>
      <c r="BJ67" s="89">
        <f t="shared" ca="1" si="14"/>
        <v>5</v>
      </c>
      <c r="BK67" s="89">
        <f t="shared" ca="1" si="15"/>
        <v>11</v>
      </c>
      <c r="BL67" s="89">
        <f t="shared" ca="1" si="16"/>
        <v>65</v>
      </c>
      <c r="BM67" s="89">
        <f t="shared" ca="1" si="17"/>
        <v>13</v>
      </c>
      <c r="BN67" s="89" t="str">
        <f t="shared" ca="1" si="18"/>
        <v>S6!B1375:M1400</v>
      </c>
      <c r="BO67" s="89" t="str">
        <f t="shared" ca="1" si="19"/>
        <v>e</v>
      </c>
      <c r="BP67" s="89" t="str">
        <f t="shared" ca="1" si="20"/>
        <v/>
      </c>
      <c r="BQ67" s="89" t="str">
        <f t="shared" ca="1" si="21"/>
        <v/>
      </c>
      <c r="BR67" s="87" t="str">
        <f t="shared" ca="1" si="22"/>
        <v>x</v>
      </c>
      <c r="BS67" s="89" t="str">
        <f t="shared" ca="1" si="2"/>
        <v/>
      </c>
      <c r="BT67" s="89" t="str">
        <f t="shared" ca="1" si="3"/>
        <v/>
      </c>
      <c r="BU67" s="89" t="str">
        <f t="shared" ca="1" si="4"/>
        <v/>
      </c>
      <c r="BV67" s="87" t="str">
        <f t="shared" ca="1" si="23"/>
        <v/>
      </c>
      <c r="BW67" s="87" t="str">
        <f t="shared" ca="1" si="24"/>
        <v>26060511</v>
      </c>
      <c r="BX67" s="89">
        <f t="shared" ca="1" si="25"/>
        <v>0</v>
      </c>
    </row>
    <row r="68" spans="1:76">
      <c r="A68" s="374">
        <f t="shared" si="5"/>
        <v>68</v>
      </c>
      <c r="B68" s="98" t="s">
        <v>1103</v>
      </c>
      <c r="C68" s="94"/>
      <c r="D68" s="94"/>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1">
        <f t="shared" ca="1" si="6"/>
        <v>1402</v>
      </c>
      <c r="BB68" s="88" t="str">
        <f t="shared" ca="1" si="7"/>
        <v>A1375:A1600</v>
      </c>
      <c r="BC68" s="89" t="str">
        <f t="shared" ca="1" si="8"/>
        <v>B1402</v>
      </c>
      <c r="BD68" s="89">
        <f ca="1">IF(BC68=0,0,RANK(BF68,$BF$11:$BF$100,0)+(COUNTIF($BF68:$BF$100,BF68)-1))</f>
        <v>46</v>
      </c>
      <c r="BE68" s="89" t="str">
        <f t="shared" ca="1" si="9"/>
        <v>170603</v>
      </c>
      <c r="BF68" s="89">
        <f t="shared" ca="1" si="10"/>
        <v>17060310</v>
      </c>
      <c r="BG68" s="89">
        <f t="shared" ca="1" si="11"/>
        <v>17</v>
      </c>
      <c r="BH68" s="89">
        <f t="shared" ca="1" si="12"/>
        <v>3</v>
      </c>
      <c r="BI68" s="89" t="str">
        <f t="shared" ca="1" si="13"/>
        <v>B1420</v>
      </c>
      <c r="BJ68" s="89">
        <f t="shared" ca="1" si="14"/>
        <v>5</v>
      </c>
      <c r="BK68" s="89">
        <f t="shared" ca="1" si="15"/>
        <v>10</v>
      </c>
      <c r="BL68" s="89">
        <f t="shared" ca="1" si="16"/>
        <v>40</v>
      </c>
      <c r="BM68" s="89">
        <f t="shared" ca="1" si="17"/>
        <v>12</v>
      </c>
      <c r="BN68" s="89" t="str">
        <f t="shared" ca="1" si="18"/>
        <v>S6!B1403:L1419</v>
      </c>
      <c r="BO68" s="89" t="str">
        <f t="shared" ca="1" si="19"/>
        <v>e</v>
      </c>
      <c r="BP68" s="89" t="str">
        <f t="shared" ca="1" si="20"/>
        <v>w</v>
      </c>
      <c r="BQ68" s="89" t="str">
        <f t="shared" ca="1" si="21"/>
        <v>w</v>
      </c>
      <c r="BR68" s="87" t="str">
        <f t="shared" ca="1" si="22"/>
        <v/>
      </c>
      <c r="BS68" s="89" t="str">
        <f t="shared" ca="1" si="2"/>
        <v/>
      </c>
      <c r="BT68" s="89" t="str">
        <f t="shared" ca="1" si="3"/>
        <v/>
      </c>
      <c r="BU68" s="89" t="str">
        <f t="shared" ca="1" si="4"/>
        <v/>
      </c>
      <c r="BV68" s="87" t="str">
        <f t="shared" ca="1" si="23"/>
        <v/>
      </c>
      <c r="BW68" s="87" t="str">
        <f t="shared" ca="1" si="24"/>
        <v>17060310</v>
      </c>
      <c r="BX68" s="89">
        <f t="shared" ca="1" si="25"/>
        <v>0</v>
      </c>
    </row>
    <row r="69" spans="1:76">
      <c r="A69" s="374" t="str">
        <f t="shared" si="5"/>
        <v/>
      </c>
      <c r="B69" s="98">
        <v>1</v>
      </c>
      <c r="C69" s="94" t="s">
        <v>202</v>
      </c>
      <c r="D69" s="94">
        <v>-3</v>
      </c>
      <c r="E69" s="94">
        <v>5</v>
      </c>
      <c r="F69" s="94">
        <v>-6</v>
      </c>
      <c r="G69" s="94">
        <v>-4</v>
      </c>
      <c r="H69" s="94">
        <v>2</v>
      </c>
      <c r="I69" s="94">
        <v>3</v>
      </c>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1">
        <f t="shared" ca="1" si="6"/>
        <v>1421</v>
      </c>
      <c r="BB69" s="88" t="str">
        <f t="shared" ca="1" si="7"/>
        <v>A1403:A1600</v>
      </c>
      <c r="BC69" s="89" t="str">
        <f t="shared" ca="1" si="8"/>
        <v>B1421</v>
      </c>
      <c r="BD69" s="89">
        <f ca="1">IF(BC69=0,0,RANK(BF69,$BF$11:$BF$100,0)+(COUNTIF($BF69:$BF$100,BF69)-1))</f>
        <v>44</v>
      </c>
      <c r="BE69" s="89" t="str">
        <f t="shared" ca="1" si="9"/>
        <v>190604</v>
      </c>
      <c r="BF69" s="89">
        <f t="shared" ca="1" si="10"/>
        <v>19060410</v>
      </c>
      <c r="BG69" s="89">
        <f t="shared" ca="1" si="11"/>
        <v>19</v>
      </c>
      <c r="BH69" s="89">
        <f t="shared" ca="1" si="12"/>
        <v>4</v>
      </c>
      <c r="BI69" s="89" t="str">
        <f t="shared" ca="1" si="13"/>
        <v>B1441</v>
      </c>
      <c r="BJ69" s="89">
        <f t="shared" ca="1" si="14"/>
        <v>6</v>
      </c>
      <c r="BK69" s="89">
        <f t="shared" ca="1" si="15"/>
        <v>10</v>
      </c>
      <c r="BL69" s="89">
        <f t="shared" ca="1" si="16"/>
        <v>45</v>
      </c>
      <c r="BM69" s="89">
        <f t="shared" ca="1" si="17"/>
        <v>12</v>
      </c>
      <c r="BN69" s="89" t="str">
        <f t="shared" ca="1" si="18"/>
        <v>S6!B1422:L1440</v>
      </c>
      <c r="BO69" s="89" t="str">
        <f t="shared" ca="1" si="19"/>
        <v>e</v>
      </c>
      <c r="BP69" s="89" t="str">
        <f t="shared" ca="1" si="20"/>
        <v>w</v>
      </c>
      <c r="BQ69" s="89" t="str">
        <f t="shared" ca="1" si="21"/>
        <v>w</v>
      </c>
      <c r="BR69" s="87" t="str">
        <f t="shared" ca="1" si="22"/>
        <v>x</v>
      </c>
      <c r="BS69" s="89" t="str">
        <f t="shared" ca="1" si="2"/>
        <v/>
      </c>
      <c r="BT69" s="89" t="str">
        <f t="shared" ca="1" si="3"/>
        <v/>
      </c>
      <c r="BU69" s="89" t="str">
        <f t="shared" ca="1" si="4"/>
        <v/>
      </c>
      <c r="BV69" s="87" t="str">
        <f t="shared" ca="1" si="23"/>
        <v/>
      </c>
      <c r="BW69" s="87" t="str">
        <f t="shared" ca="1" si="24"/>
        <v>19060410</v>
      </c>
      <c r="BX69" s="89">
        <f t="shared" ca="1" si="25"/>
        <v>0</v>
      </c>
    </row>
    <row r="70" spans="1:76">
      <c r="A70" s="374" t="str">
        <f t="shared" si="5"/>
        <v/>
      </c>
      <c r="B70" s="98">
        <v>2</v>
      </c>
      <c r="C70" s="94">
        <v>2</v>
      </c>
      <c r="D70" s="94">
        <v>-5</v>
      </c>
      <c r="E70" s="94">
        <v>1</v>
      </c>
      <c r="F70" s="94">
        <v>4</v>
      </c>
      <c r="G70" s="94">
        <v>-6</v>
      </c>
      <c r="H70" s="94" t="s">
        <v>202</v>
      </c>
      <c r="I70" s="94">
        <v>-3</v>
      </c>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1">
        <f t="shared" ca="1" si="6"/>
        <v>1442</v>
      </c>
      <c r="BB70" s="93" t="str">
        <f t="shared" ca="1" si="7"/>
        <v>A1422:A1600</v>
      </c>
      <c r="BC70" s="94" t="str">
        <f t="shared" ca="1" si="8"/>
        <v>B1442</v>
      </c>
      <c r="BD70" s="89">
        <f ca="1">IF(BC70=0,0,RANK(BF70,$BF$11:$BF$100,0)+(COUNTIF($BF70:$BF$100,BF70)-1))</f>
        <v>55</v>
      </c>
      <c r="BE70" s="94" t="str">
        <f t="shared" ca="1" si="9"/>
        <v>130604</v>
      </c>
      <c r="BF70" s="94">
        <f t="shared" ca="1" si="10"/>
        <v>13060403</v>
      </c>
      <c r="BG70" s="94">
        <f t="shared" ca="1" si="11"/>
        <v>13</v>
      </c>
      <c r="BH70" s="94">
        <f t="shared" ca="1" si="12"/>
        <v>4</v>
      </c>
      <c r="BI70" s="94" t="str">
        <f t="shared" ca="1" si="13"/>
        <v>B1456</v>
      </c>
      <c r="BJ70" s="94">
        <f t="shared" ca="1" si="14"/>
        <v>3</v>
      </c>
      <c r="BK70" s="94">
        <f t="shared" ca="1" si="15"/>
        <v>3</v>
      </c>
      <c r="BL70" s="94">
        <f t="shared" ca="1" si="16"/>
        <v>15</v>
      </c>
      <c r="BM70" s="94">
        <f t="shared" ca="1" si="17"/>
        <v>5</v>
      </c>
      <c r="BN70" s="94" t="str">
        <f t="shared" ca="1" si="18"/>
        <v>S6!B1443:E1455</v>
      </c>
      <c r="BO70" s="94" t="str">
        <f t="shared" ca="1" si="19"/>
        <v>s</v>
      </c>
      <c r="BP70" s="94" t="str">
        <f t="shared" ca="1" si="20"/>
        <v>w</v>
      </c>
      <c r="BQ70" s="94" t="str">
        <f t="shared" ca="1" si="21"/>
        <v>w</v>
      </c>
      <c r="BR70" s="95" t="str">
        <f t="shared" ca="1" si="22"/>
        <v>x</v>
      </c>
      <c r="BS70" s="94" t="str">
        <f t="shared" ca="1" si="2"/>
        <v/>
      </c>
      <c r="BT70" s="94" t="str">
        <f t="shared" ca="1" si="3"/>
        <v/>
      </c>
      <c r="BU70" s="94" t="str">
        <f t="shared" ca="1" si="4"/>
        <v/>
      </c>
      <c r="BV70" s="95" t="str">
        <f t="shared" ca="1" si="23"/>
        <v/>
      </c>
      <c r="BW70" s="95" t="str">
        <f t="shared" ca="1" si="24"/>
        <v>13060403</v>
      </c>
      <c r="BX70" s="94">
        <f t="shared" ca="1" si="25"/>
        <v>0</v>
      </c>
    </row>
    <row r="71" spans="1:76">
      <c r="A71" s="374" t="str">
        <f t="shared" si="5"/>
        <v/>
      </c>
      <c r="B71" s="98">
        <v>3</v>
      </c>
      <c r="C71" s="94">
        <v>-4</v>
      </c>
      <c r="D71" s="94">
        <v>-1</v>
      </c>
      <c r="E71" s="94">
        <v>3</v>
      </c>
      <c r="F71" s="94" t="s">
        <v>202</v>
      </c>
      <c r="G71" s="94">
        <v>6</v>
      </c>
      <c r="H71" s="94">
        <v>-2</v>
      </c>
      <c r="I71" s="94">
        <v>4</v>
      </c>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1">
        <f t="shared" ref="BA71:BA100" ca="1" si="26">IF(BA70=0,0,MIN(INDIRECT(BB71)))</f>
        <v>1457</v>
      </c>
      <c r="BB71" s="93" t="str">
        <f t="shared" ref="BB71:BB100" ca="1" si="27">IF(BA70=0,"",CONCATENATE("A",BA70+1,":A",BB$10))</f>
        <v>A1443:A1600</v>
      </c>
      <c r="BC71" s="94" t="str">
        <f t="shared" ref="BC71:BC100" ca="1" si="28">IF(BA71=0,0,CONCATENATE("B",BA71))</f>
        <v>B1457</v>
      </c>
      <c r="BD71" s="89">
        <f ca="1">IF(BC71=0,0,RANK(BF71,$BF$11:$BF$100,0)+(COUNTIF($BF71:$BF$100,BF71)-1))</f>
        <v>49</v>
      </c>
      <c r="BE71" s="94" t="str">
        <f t="shared" ref="BE71:BE100" ca="1" si="29">IF(BC71=0,0,LEFT(INDIRECT(BC71),6))</f>
        <v>160603</v>
      </c>
      <c r="BF71" s="94">
        <f t="shared" ref="BF71:BF100" ca="1" si="30">VALUE(BW71)</f>
        <v>16060307</v>
      </c>
      <c r="BG71" s="94">
        <f t="shared" ref="BG71:BG100" ca="1" si="31">IF(BA71=0,0,VALUE(LEFT(BE71,2)))</f>
        <v>16</v>
      </c>
      <c r="BH71" s="94">
        <f t="shared" ref="BH71:BH100" ca="1" si="32">IF(BA71=0,0,VALUE(MID(BE71,5,2)))</f>
        <v>3</v>
      </c>
      <c r="BI71" s="94" t="str">
        <f t="shared" ref="BI71:BI100" ca="1" si="33">IF(BA71=0,0,CONCATENATE("B",BA71+BG71+1))</f>
        <v>B1474</v>
      </c>
      <c r="BJ71" s="94">
        <f t="shared" ref="BJ71:BJ100" ca="1" si="34">IF(BA71=0,0,VALUE(MID(INDIRECT(BI71),4,2)))</f>
        <v>5</v>
      </c>
      <c r="BK71" s="94">
        <f t="shared" ref="BK71:BK100" ca="1" si="35">IF(BA71=0,0,VALUE(MID(INDIRECT(BI71),9,2)))</f>
        <v>7</v>
      </c>
      <c r="BL71" s="94">
        <f t="shared" ref="BL71:BL100" ca="1" si="36">IF(BA71=0,0,VALUE(MID(INDIRECT(BI71),14,3)))</f>
        <v>40</v>
      </c>
      <c r="BM71" s="94">
        <f t="shared" ref="BM71:BM100" ca="1" si="37">IF(BA71=0,0,2+BK71)</f>
        <v>9</v>
      </c>
      <c r="BN71" s="94" t="str">
        <f t="shared" ref="BN71:BN100" ca="1" si="38">IF(BA71=0,0,CONCATENATE("S6!B",BA71+1,":",HLOOKUP(BM71,$B$1:$AZ$2,2,FALSE),BA71+BG71))</f>
        <v>S6!B1458:I1473</v>
      </c>
      <c r="BO71" s="94" t="str">
        <f t="shared" ref="BO71:BO100" ca="1" si="39">IF(BA71=0,0,IF(BV71="c","c",IF(ISERROR(FIND("s",INDIRECT($BC71))),IF(ISERROR(FIND("e",INDIRECT($BC71))),"L","e"),"s")))</f>
        <v>s</v>
      </c>
      <c r="BP71" s="94" t="str">
        <f t="shared" ref="BP71:BP100" ca="1" si="40">IF(BA71=0,0,IF(ISERROR(FIND("b",INDIRECT($BC71))),IF(ISERROR(FIND("w",INDIRECT($BC71))),"","w"),"b"))</f>
        <v/>
      </c>
      <c r="BQ71" s="94" t="str">
        <f t="shared" ref="BQ71:BQ100" ca="1" si="41">IF(BA71=0,0,IF(ISERROR(FIND("w",INDIRECT($BC71))),"","w"))</f>
        <v/>
      </c>
      <c r="BR71" s="95" t="str">
        <f t="shared" ref="BR71:BR100" ca="1" si="42">IF(BA71=0,0,IF(ISERROR(FIND("x",INDIRECT($BC71))),IF(ISERROR(FIND("E",INDIRECT($BC71))),"","E"),"x"))</f>
        <v>x</v>
      </c>
      <c r="BS71" s="94" t="str">
        <f t="shared" ref="BS71:BS100" ca="1" si="43">IF(BA71=0,0,IF(ISERROR(FIND("a",INDIRECT($BC71))),"","a"))</f>
        <v/>
      </c>
      <c r="BT71" s="94" t="str">
        <f t="shared" ref="BT71:BT100" ca="1" si="44">IF(BA71=0,0,IF(ISERROR(FIND("E",INDIRECT($BC71))),"","E"))</f>
        <v/>
      </c>
      <c r="BU71" s="94" t="str">
        <f t="shared" ref="BU71:BU100" ca="1" si="45">IF(BA71=0,0,IF(ISERROR(FIND("X",INDIRECT($BC71))),"","X"))</f>
        <v/>
      </c>
      <c r="BV71" s="95" t="str">
        <f t="shared" ref="BV71:BV100" ca="1" si="46">IF(BA71=0,0,IF(ISERROR(FIND("c",INDIRECT($BC71))),"","c"))</f>
        <v/>
      </c>
      <c r="BW71" s="95" t="str">
        <f t="shared" ref="BW71:BW100" ca="1" si="47">CONCATENATE(BE71,IF(BK71&lt;10,"0",""),BK71)</f>
        <v>16060307</v>
      </c>
      <c r="BX71" s="94">
        <f t="shared" ref="BX71:BX100" ca="1" si="48">IF(BV71="c",RIGHT(INDIRECT(BC71),2),0)</f>
        <v>0</v>
      </c>
    </row>
    <row r="72" spans="1:76">
      <c r="A72" s="374" t="str">
        <f t="shared" si="5"/>
        <v/>
      </c>
      <c r="B72" s="98">
        <v>4</v>
      </c>
      <c r="C72" s="94">
        <v>-3</v>
      </c>
      <c r="D72" s="94">
        <v>5</v>
      </c>
      <c r="E72" s="94" t="s">
        <v>202</v>
      </c>
      <c r="F72" s="94">
        <v>6</v>
      </c>
      <c r="G72" s="94">
        <v>-2</v>
      </c>
      <c r="H72" s="94">
        <v>1</v>
      </c>
      <c r="I72" s="94">
        <v>-4</v>
      </c>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1">
        <f t="shared" ca="1" si="26"/>
        <v>0</v>
      </c>
      <c r="BB72" s="93" t="str">
        <f ca="1">IF(BA71=0,"",CONCATENATE("A",BA71+1,":A",BB$10))</f>
        <v>A1458:A1600</v>
      </c>
      <c r="BC72" s="94">
        <f t="shared" ca="1" si="28"/>
        <v>0</v>
      </c>
      <c r="BD72" s="89">
        <f ca="1">IF(BC72=0,0,RANK(BF72,$BF$11:$BF$100,0)+(COUNTIF($BF72:$BF$100,BF72)-1))</f>
        <v>0</v>
      </c>
      <c r="BE72" s="94">
        <f t="shared" ca="1" si="29"/>
        <v>0</v>
      </c>
      <c r="BF72" s="94">
        <f t="shared" ca="1" si="30"/>
        <v>0</v>
      </c>
      <c r="BG72" s="94">
        <f t="shared" ca="1" si="31"/>
        <v>0</v>
      </c>
      <c r="BH72" s="94">
        <f t="shared" ca="1" si="32"/>
        <v>0</v>
      </c>
      <c r="BI72" s="94">
        <f t="shared" ca="1" si="33"/>
        <v>0</v>
      </c>
      <c r="BJ72" s="94">
        <f t="shared" ca="1" si="34"/>
        <v>0</v>
      </c>
      <c r="BK72" s="94">
        <f t="shared" ca="1" si="35"/>
        <v>0</v>
      </c>
      <c r="BL72" s="94">
        <f t="shared" ca="1" si="36"/>
        <v>0</v>
      </c>
      <c r="BM72" s="94">
        <f t="shared" ca="1" si="37"/>
        <v>0</v>
      </c>
      <c r="BN72" s="94">
        <f t="shared" ca="1" si="38"/>
        <v>0</v>
      </c>
      <c r="BO72" s="94">
        <f t="shared" ca="1" si="39"/>
        <v>0</v>
      </c>
      <c r="BP72" s="94">
        <f t="shared" ca="1" si="40"/>
        <v>0</v>
      </c>
      <c r="BQ72" s="94">
        <f t="shared" ca="1" si="41"/>
        <v>0</v>
      </c>
      <c r="BR72" s="95">
        <f t="shared" ca="1" si="42"/>
        <v>0</v>
      </c>
      <c r="BS72" s="94">
        <f t="shared" ca="1" si="43"/>
        <v>0</v>
      </c>
      <c r="BT72" s="94">
        <f t="shared" ca="1" si="44"/>
        <v>0</v>
      </c>
      <c r="BU72" s="94">
        <f t="shared" ca="1" si="45"/>
        <v>0</v>
      </c>
      <c r="BV72" s="95">
        <f t="shared" ca="1" si="46"/>
        <v>0</v>
      </c>
      <c r="BW72" s="95" t="str">
        <f t="shared" ca="1" si="47"/>
        <v>000</v>
      </c>
      <c r="BX72" s="94">
        <f t="shared" ca="1" si="48"/>
        <v>0</v>
      </c>
    </row>
    <row r="73" spans="1:76">
      <c r="A73" s="374" t="str">
        <f t="shared" si="5"/>
        <v/>
      </c>
      <c r="B73" s="98">
        <v>5</v>
      </c>
      <c r="C73" s="94">
        <v>-2</v>
      </c>
      <c r="D73" s="94" t="s">
        <v>202</v>
      </c>
      <c r="E73" s="94">
        <v>-3</v>
      </c>
      <c r="F73" s="94">
        <v>5</v>
      </c>
      <c r="G73" s="94">
        <v>4</v>
      </c>
      <c r="H73" s="94">
        <v>-1</v>
      </c>
      <c r="I73" s="94">
        <v>2</v>
      </c>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1">
        <f t="shared" ca="1" si="26"/>
        <v>0</v>
      </c>
      <c r="BB73" s="93" t="str">
        <f t="shared" ca="1" si="27"/>
        <v/>
      </c>
      <c r="BC73" s="94">
        <f t="shared" ca="1" si="28"/>
        <v>0</v>
      </c>
      <c r="BD73" s="89">
        <f ca="1">IF(BC73=0,0,RANK(BF73,$BF$11:$BF$100,0)+(COUNTIF($BF73:$BF$100,BF73)-1))</f>
        <v>0</v>
      </c>
      <c r="BE73" s="94">
        <f t="shared" ca="1" si="29"/>
        <v>0</v>
      </c>
      <c r="BF73" s="94">
        <f t="shared" ca="1" si="30"/>
        <v>0</v>
      </c>
      <c r="BG73" s="94">
        <f t="shared" ca="1" si="31"/>
        <v>0</v>
      </c>
      <c r="BH73" s="94">
        <f t="shared" ca="1" si="32"/>
        <v>0</v>
      </c>
      <c r="BI73" s="94">
        <f t="shared" ca="1" si="33"/>
        <v>0</v>
      </c>
      <c r="BJ73" s="94">
        <f t="shared" ca="1" si="34"/>
        <v>0</v>
      </c>
      <c r="BK73" s="94">
        <f t="shared" ca="1" si="35"/>
        <v>0</v>
      </c>
      <c r="BL73" s="94">
        <f t="shared" ca="1" si="36"/>
        <v>0</v>
      </c>
      <c r="BM73" s="94">
        <f t="shared" ca="1" si="37"/>
        <v>0</v>
      </c>
      <c r="BN73" s="94">
        <f t="shared" ca="1" si="38"/>
        <v>0</v>
      </c>
      <c r="BO73" s="94">
        <f t="shared" ca="1" si="39"/>
        <v>0</v>
      </c>
      <c r="BP73" s="94">
        <f t="shared" ca="1" si="40"/>
        <v>0</v>
      </c>
      <c r="BQ73" s="94">
        <f t="shared" ca="1" si="41"/>
        <v>0</v>
      </c>
      <c r="BR73" s="95">
        <f t="shared" ca="1" si="42"/>
        <v>0</v>
      </c>
      <c r="BS73" s="94">
        <f t="shared" ca="1" si="43"/>
        <v>0</v>
      </c>
      <c r="BT73" s="94">
        <f t="shared" ca="1" si="44"/>
        <v>0</v>
      </c>
      <c r="BU73" s="94">
        <f t="shared" ca="1" si="45"/>
        <v>0</v>
      </c>
      <c r="BV73" s="95">
        <f t="shared" ca="1" si="46"/>
        <v>0</v>
      </c>
      <c r="BW73" s="95" t="str">
        <f t="shared" ca="1" si="47"/>
        <v>000</v>
      </c>
      <c r="BX73" s="94">
        <f t="shared" ca="1" si="48"/>
        <v>0</v>
      </c>
    </row>
    <row r="74" spans="1:76">
      <c r="A74" s="374" t="str">
        <f t="shared" si="5"/>
        <v/>
      </c>
      <c r="B74" s="98">
        <v>6</v>
      </c>
      <c r="C74" s="94">
        <v>3</v>
      </c>
      <c r="D74" s="94">
        <v>1</v>
      </c>
      <c r="E74" s="94">
        <v>-5</v>
      </c>
      <c r="F74" s="94">
        <v>-4</v>
      </c>
      <c r="G74" s="94" t="s">
        <v>202</v>
      </c>
      <c r="H74" s="94">
        <v>6</v>
      </c>
      <c r="I74" s="94">
        <v>-2</v>
      </c>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1">
        <f t="shared" ca="1" si="26"/>
        <v>0</v>
      </c>
      <c r="BB74" s="93" t="str">
        <f t="shared" ca="1" si="27"/>
        <v/>
      </c>
      <c r="BC74" s="94">
        <f t="shared" ca="1" si="28"/>
        <v>0</v>
      </c>
      <c r="BD74" s="89">
        <f ca="1">IF(BC74=0,0,RANK(BF74,$BF$11:$BF$100,0)+(COUNTIF($BF74:$BF$100,BF74)-1))</f>
        <v>0</v>
      </c>
      <c r="BE74" s="94">
        <f t="shared" ca="1" si="29"/>
        <v>0</v>
      </c>
      <c r="BF74" s="94">
        <f t="shared" ca="1" si="30"/>
        <v>0</v>
      </c>
      <c r="BG74" s="94">
        <f t="shared" ca="1" si="31"/>
        <v>0</v>
      </c>
      <c r="BH74" s="94">
        <f t="shared" ca="1" si="32"/>
        <v>0</v>
      </c>
      <c r="BI74" s="94">
        <f t="shared" ca="1" si="33"/>
        <v>0</v>
      </c>
      <c r="BJ74" s="94">
        <f t="shared" ca="1" si="34"/>
        <v>0</v>
      </c>
      <c r="BK74" s="94">
        <f t="shared" ca="1" si="35"/>
        <v>0</v>
      </c>
      <c r="BL74" s="94">
        <f t="shared" ca="1" si="36"/>
        <v>0</v>
      </c>
      <c r="BM74" s="94">
        <f t="shared" ca="1" si="37"/>
        <v>0</v>
      </c>
      <c r="BN74" s="94">
        <f t="shared" ca="1" si="38"/>
        <v>0</v>
      </c>
      <c r="BO74" s="94">
        <f t="shared" ca="1" si="39"/>
        <v>0</v>
      </c>
      <c r="BP74" s="94">
        <f t="shared" ca="1" si="40"/>
        <v>0</v>
      </c>
      <c r="BQ74" s="94">
        <f t="shared" ca="1" si="41"/>
        <v>0</v>
      </c>
      <c r="BR74" s="95">
        <f t="shared" ca="1" si="42"/>
        <v>0</v>
      </c>
      <c r="BS74" s="94">
        <f t="shared" ca="1" si="43"/>
        <v>0</v>
      </c>
      <c r="BT74" s="94">
        <f t="shared" ca="1" si="44"/>
        <v>0</v>
      </c>
      <c r="BU74" s="94">
        <f t="shared" ca="1" si="45"/>
        <v>0</v>
      </c>
      <c r="BV74" s="95">
        <f t="shared" ca="1" si="46"/>
        <v>0</v>
      </c>
      <c r="BW74" s="95" t="str">
        <f t="shared" ca="1" si="47"/>
        <v>000</v>
      </c>
      <c r="BX74" s="94">
        <f t="shared" ca="1" si="48"/>
        <v>0</v>
      </c>
    </row>
    <row r="75" spans="1:76">
      <c r="A75" s="374" t="str">
        <f t="shared" si="5"/>
        <v/>
      </c>
      <c r="B75" s="99">
        <v>7</v>
      </c>
      <c r="C75" s="92">
        <v>4</v>
      </c>
      <c r="D75" s="92">
        <v>3</v>
      </c>
      <c r="E75" s="92">
        <v>-1</v>
      </c>
      <c r="F75" s="92">
        <v>-5</v>
      </c>
      <c r="G75" s="92">
        <v>2</v>
      </c>
      <c r="H75" s="92">
        <v>-6</v>
      </c>
      <c r="I75" s="92" t="s">
        <v>202</v>
      </c>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1">
        <f t="shared" ca="1" si="26"/>
        <v>0</v>
      </c>
      <c r="BB75" s="93" t="str">
        <f t="shared" ca="1" si="27"/>
        <v/>
      </c>
      <c r="BC75" s="94">
        <f t="shared" ca="1" si="28"/>
        <v>0</v>
      </c>
      <c r="BD75" s="89">
        <f ca="1">IF(BC75=0,0,RANK(BF75,$BF$11:$BF$100,0)+(COUNTIF($BF75:$BF$100,BF75)-1))</f>
        <v>0</v>
      </c>
      <c r="BE75" s="94">
        <f t="shared" ca="1" si="29"/>
        <v>0</v>
      </c>
      <c r="BF75" s="94">
        <f t="shared" ca="1" si="30"/>
        <v>0</v>
      </c>
      <c r="BG75" s="94">
        <f t="shared" ca="1" si="31"/>
        <v>0</v>
      </c>
      <c r="BH75" s="94">
        <f t="shared" ca="1" si="32"/>
        <v>0</v>
      </c>
      <c r="BI75" s="94">
        <f t="shared" ca="1" si="33"/>
        <v>0</v>
      </c>
      <c r="BJ75" s="94">
        <f t="shared" ca="1" si="34"/>
        <v>0</v>
      </c>
      <c r="BK75" s="94">
        <f t="shared" ca="1" si="35"/>
        <v>0</v>
      </c>
      <c r="BL75" s="94">
        <f t="shared" ca="1" si="36"/>
        <v>0</v>
      </c>
      <c r="BM75" s="94">
        <f t="shared" ca="1" si="37"/>
        <v>0</v>
      </c>
      <c r="BN75" s="94">
        <f t="shared" ca="1" si="38"/>
        <v>0</v>
      </c>
      <c r="BO75" s="94">
        <f t="shared" ca="1" si="39"/>
        <v>0</v>
      </c>
      <c r="BP75" s="94">
        <f t="shared" ca="1" si="40"/>
        <v>0</v>
      </c>
      <c r="BQ75" s="94">
        <f t="shared" ca="1" si="41"/>
        <v>0</v>
      </c>
      <c r="BR75" s="95">
        <f t="shared" ca="1" si="42"/>
        <v>0</v>
      </c>
      <c r="BS75" s="94">
        <f t="shared" ca="1" si="43"/>
        <v>0</v>
      </c>
      <c r="BT75" s="94">
        <f t="shared" ca="1" si="44"/>
        <v>0</v>
      </c>
      <c r="BU75" s="94">
        <f t="shared" ca="1" si="45"/>
        <v>0</v>
      </c>
      <c r="BV75" s="95">
        <f t="shared" ca="1" si="46"/>
        <v>0</v>
      </c>
      <c r="BW75" s="95" t="str">
        <f t="shared" ca="1" si="47"/>
        <v>000</v>
      </c>
      <c r="BX75" s="94">
        <f t="shared" ca="1" si="48"/>
        <v>0</v>
      </c>
    </row>
    <row r="76" spans="1:76">
      <c r="A76" s="374" t="str">
        <f t="shared" ref="A76:A139" si="49">IF(MID(B76,3,2)="06",ROW(),"")</f>
        <v/>
      </c>
      <c r="B76" s="98">
        <v>8</v>
      </c>
      <c r="C76" s="94" t="s">
        <v>202</v>
      </c>
      <c r="D76" s="94">
        <v>-6</v>
      </c>
      <c r="E76" s="94">
        <v>2</v>
      </c>
      <c r="F76" s="94">
        <v>-1</v>
      </c>
      <c r="G76" s="94">
        <v>-3</v>
      </c>
      <c r="H76" s="94">
        <v>4</v>
      </c>
      <c r="I76" s="94">
        <v>5</v>
      </c>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1">
        <f t="shared" ca="1" si="26"/>
        <v>0</v>
      </c>
      <c r="BB76" s="93" t="str">
        <f t="shared" ca="1" si="27"/>
        <v/>
      </c>
      <c r="BC76" s="94">
        <f t="shared" ca="1" si="28"/>
        <v>0</v>
      </c>
      <c r="BD76" s="89">
        <f ca="1">IF(BC76=0,0,RANK(BF76,$BF$11:$BF$100,0)+(COUNTIF($BF76:$BF$100,BF76)-1))</f>
        <v>0</v>
      </c>
      <c r="BE76" s="94">
        <f t="shared" ca="1" si="29"/>
        <v>0</v>
      </c>
      <c r="BF76" s="94">
        <f t="shared" ca="1" si="30"/>
        <v>0</v>
      </c>
      <c r="BG76" s="94">
        <f t="shared" ca="1" si="31"/>
        <v>0</v>
      </c>
      <c r="BH76" s="94">
        <f t="shared" ca="1" si="32"/>
        <v>0</v>
      </c>
      <c r="BI76" s="94">
        <f t="shared" ca="1" si="33"/>
        <v>0</v>
      </c>
      <c r="BJ76" s="94">
        <f t="shared" ca="1" si="34"/>
        <v>0</v>
      </c>
      <c r="BK76" s="94">
        <f t="shared" ca="1" si="35"/>
        <v>0</v>
      </c>
      <c r="BL76" s="94">
        <f t="shared" ca="1" si="36"/>
        <v>0</v>
      </c>
      <c r="BM76" s="94">
        <f t="shared" ca="1" si="37"/>
        <v>0</v>
      </c>
      <c r="BN76" s="94">
        <f t="shared" ca="1" si="38"/>
        <v>0</v>
      </c>
      <c r="BO76" s="94">
        <f t="shared" ca="1" si="39"/>
        <v>0</v>
      </c>
      <c r="BP76" s="94">
        <f t="shared" ca="1" si="40"/>
        <v>0</v>
      </c>
      <c r="BQ76" s="94">
        <f t="shared" ca="1" si="41"/>
        <v>0</v>
      </c>
      <c r="BR76" s="95">
        <f t="shared" ca="1" si="42"/>
        <v>0</v>
      </c>
      <c r="BS76" s="94">
        <f t="shared" ca="1" si="43"/>
        <v>0</v>
      </c>
      <c r="BT76" s="94">
        <f t="shared" ca="1" si="44"/>
        <v>0</v>
      </c>
      <c r="BU76" s="94">
        <f t="shared" ca="1" si="45"/>
        <v>0</v>
      </c>
      <c r="BV76" s="95">
        <f t="shared" ca="1" si="46"/>
        <v>0</v>
      </c>
      <c r="BW76" s="95" t="str">
        <f t="shared" ca="1" si="47"/>
        <v>000</v>
      </c>
      <c r="BX76" s="94">
        <f t="shared" ca="1" si="48"/>
        <v>0</v>
      </c>
    </row>
    <row r="77" spans="1:76">
      <c r="A77" s="374" t="str">
        <f t="shared" si="49"/>
        <v/>
      </c>
      <c r="B77" s="98">
        <v>9</v>
      </c>
      <c r="C77" s="94" t="s">
        <v>202</v>
      </c>
      <c r="D77" s="94">
        <v>4</v>
      </c>
      <c r="E77" s="94">
        <v>-6</v>
      </c>
      <c r="F77" s="94">
        <v>2</v>
      </c>
      <c r="G77" s="94">
        <v>1</v>
      </c>
      <c r="H77" s="94">
        <v>-3</v>
      </c>
      <c r="I77" s="94">
        <v>-5</v>
      </c>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1">
        <f t="shared" ca="1" si="26"/>
        <v>0</v>
      </c>
      <c r="BB77" s="93" t="str">
        <f t="shared" ca="1" si="27"/>
        <v/>
      </c>
      <c r="BC77" s="94">
        <f t="shared" ca="1" si="28"/>
        <v>0</v>
      </c>
      <c r="BD77" s="89">
        <f ca="1">IF(BC77=0,0,RANK(BF77,$BF$11:$BF$100,0)+(COUNTIF($BF77:$BF$100,BF77)-1))</f>
        <v>0</v>
      </c>
      <c r="BE77" s="94">
        <f t="shared" ca="1" si="29"/>
        <v>0</v>
      </c>
      <c r="BF77" s="94">
        <f t="shared" ca="1" si="30"/>
        <v>0</v>
      </c>
      <c r="BG77" s="94">
        <f t="shared" ca="1" si="31"/>
        <v>0</v>
      </c>
      <c r="BH77" s="94">
        <f t="shared" ca="1" si="32"/>
        <v>0</v>
      </c>
      <c r="BI77" s="94">
        <f t="shared" ca="1" si="33"/>
        <v>0</v>
      </c>
      <c r="BJ77" s="94">
        <f t="shared" ca="1" si="34"/>
        <v>0</v>
      </c>
      <c r="BK77" s="94">
        <f t="shared" ca="1" si="35"/>
        <v>0</v>
      </c>
      <c r="BL77" s="94">
        <f t="shared" ca="1" si="36"/>
        <v>0</v>
      </c>
      <c r="BM77" s="94">
        <f t="shared" ca="1" si="37"/>
        <v>0</v>
      </c>
      <c r="BN77" s="94">
        <f t="shared" ca="1" si="38"/>
        <v>0</v>
      </c>
      <c r="BO77" s="94">
        <f t="shared" ca="1" si="39"/>
        <v>0</v>
      </c>
      <c r="BP77" s="94">
        <f t="shared" ca="1" si="40"/>
        <v>0</v>
      </c>
      <c r="BQ77" s="94">
        <f t="shared" ca="1" si="41"/>
        <v>0</v>
      </c>
      <c r="BR77" s="95">
        <f t="shared" ca="1" si="42"/>
        <v>0</v>
      </c>
      <c r="BS77" s="94">
        <f t="shared" ca="1" si="43"/>
        <v>0</v>
      </c>
      <c r="BT77" s="94">
        <f t="shared" ca="1" si="44"/>
        <v>0</v>
      </c>
      <c r="BU77" s="94">
        <f t="shared" ca="1" si="45"/>
        <v>0</v>
      </c>
      <c r="BV77" s="95">
        <f t="shared" ca="1" si="46"/>
        <v>0</v>
      </c>
      <c r="BW77" s="95" t="str">
        <f t="shared" ca="1" si="47"/>
        <v>000</v>
      </c>
      <c r="BX77" s="94">
        <f t="shared" ca="1" si="48"/>
        <v>0</v>
      </c>
    </row>
    <row r="78" spans="1:76">
      <c r="A78" s="374" t="str">
        <f t="shared" si="49"/>
        <v/>
      </c>
      <c r="B78" s="98">
        <v>10</v>
      </c>
      <c r="C78" s="94" t="s">
        <v>202</v>
      </c>
      <c r="D78" s="94">
        <v>-2</v>
      </c>
      <c r="E78" s="94">
        <v>6</v>
      </c>
      <c r="F78" s="94">
        <v>-3</v>
      </c>
      <c r="G78" s="94">
        <v>5</v>
      </c>
      <c r="H78" s="94">
        <v>-4</v>
      </c>
      <c r="I78" s="94">
        <v>1</v>
      </c>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1">
        <f t="shared" ca="1" si="26"/>
        <v>0</v>
      </c>
      <c r="BB78" s="93" t="str">
        <f t="shared" ca="1" si="27"/>
        <v/>
      </c>
      <c r="BC78" s="94">
        <f t="shared" ca="1" si="28"/>
        <v>0</v>
      </c>
      <c r="BD78" s="89">
        <f ca="1">IF(BC78=0,0,RANK(BF78,$BF$11:$BF$100,0)+(COUNTIF($BF78:$BF$100,BF78)-1))</f>
        <v>0</v>
      </c>
      <c r="BE78" s="94">
        <f t="shared" ca="1" si="29"/>
        <v>0</v>
      </c>
      <c r="BF78" s="94">
        <f t="shared" ca="1" si="30"/>
        <v>0</v>
      </c>
      <c r="BG78" s="94">
        <f t="shared" ca="1" si="31"/>
        <v>0</v>
      </c>
      <c r="BH78" s="94">
        <f t="shared" ca="1" si="32"/>
        <v>0</v>
      </c>
      <c r="BI78" s="94">
        <f t="shared" ca="1" si="33"/>
        <v>0</v>
      </c>
      <c r="BJ78" s="94">
        <f t="shared" ca="1" si="34"/>
        <v>0</v>
      </c>
      <c r="BK78" s="94">
        <f t="shared" ca="1" si="35"/>
        <v>0</v>
      </c>
      <c r="BL78" s="94">
        <f t="shared" ca="1" si="36"/>
        <v>0</v>
      </c>
      <c r="BM78" s="94">
        <f t="shared" ca="1" si="37"/>
        <v>0</v>
      </c>
      <c r="BN78" s="94">
        <f t="shared" ca="1" si="38"/>
        <v>0</v>
      </c>
      <c r="BO78" s="94">
        <f t="shared" ca="1" si="39"/>
        <v>0</v>
      </c>
      <c r="BP78" s="94">
        <f t="shared" ca="1" si="40"/>
        <v>0</v>
      </c>
      <c r="BQ78" s="94">
        <f t="shared" ca="1" si="41"/>
        <v>0</v>
      </c>
      <c r="BR78" s="95">
        <f t="shared" ca="1" si="42"/>
        <v>0</v>
      </c>
      <c r="BS78" s="94">
        <f t="shared" ca="1" si="43"/>
        <v>0</v>
      </c>
      <c r="BT78" s="94">
        <f t="shared" ca="1" si="44"/>
        <v>0</v>
      </c>
      <c r="BU78" s="94">
        <f t="shared" ca="1" si="45"/>
        <v>0</v>
      </c>
      <c r="BV78" s="95">
        <f t="shared" ca="1" si="46"/>
        <v>0</v>
      </c>
      <c r="BW78" s="95" t="str">
        <f t="shared" ca="1" si="47"/>
        <v>000</v>
      </c>
      <c r="BX78" s="94">
        <f t="shared" ca="1" si="48"/>
        <v>0</v>
      </c>
    </row>
    <row r="79" spans="1:76">
      <c r="A79" s="374" t="str">
        <f t="shared" si="49"/>
        <v/>
      </c>
      <c r="B79" s="98">
        <v>11</v>
      </c>
      <c r="C79" s="94" t="s">
        <v>202</v>
      </c>
      <c r="D79" s="94">
        <v>6</v>
      </c>
      <c r="E79" s="94">
        <v>4</v>
      </c>
      <c r="F79" s="94">
        <v>-2</v>
      </c>
      <c r="G79" s="94">
        <v>3</v>
      </c>
      <c r="H79" s="94">
        <v>-5</v>
      </c>
      <c r="I79" s="94">
        <v>-1</v>
      </c>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1">
        <f t="shared" ca="1" si="26"/>
        <v>0</v>
      </c>
      <c r="BB79" s="93" t="str">
        <f t="shared" ca="1" si="27"/>
        <v/>
      </c>
      <c r="BC79" s="94">
        <f t="shared" ca="1" si="28"/>
        <v>0</v>
      </c>
      <c r="BD79" s="89">
        <f ca="1">IF(BC79=0,0,RANK(BF79,$BF$11:$BF$100,0)+(COUNTIF($BF79:$BF$100,BF79)-1))</f>
        <v>0</v>
      </c>
      <c r="BE79" s="94">
        <f t="shared" ca="1" si="29"/>
        <v>0</v>
      </c>
      <c r="BF79" s="94">
        <f t="shared" ca="1" si="30"/>
        <v>0</v>
      </c>
      <c r="BG79" s="94">
        <f t="shared" ca="1" si="31"/>
        <v>0</v>
      </c>
      <c r="BH79" s="94">
        <f t="shared" ca="1" si="32"/>
        <v>0</v>
      </c>
      <c r="BI79" s="94">
        <f t="shared" ca="1" si="33"/>
        <v>0</v>
      </c>
      <c r="BJ79" s="94">
        <f t="shared" ca="1" si="34"/>
        <v>0</v>
      </c>
      <c r="BK79" s="94">
        <f t="shared" ca="1" si="35"/>
        <v>0</v>
      </c>
      <c r="BL79" s="94">
        <f t="shared" ca="1" si="36"/>
        <v>0</v>
      </c>
      <c r="BM79" s="94">
        <f t="shared" ca="1" si="37"/>
        <v>0</v>
      </c>
      <c r="BN79" s="94">
        <f t="shared" ca="1" si="38"/>
        <v>0</v>
      </c>
      <c r="BO79" s="94">
        <f t="shared" ca="1" si="39"/>
        <v>0</v>
      </c>
      <c r="BP79" s="94">
        <f t="shared" ca="1" si="40"/>
        <v>0</v>
      </c>
      <c r="BQ79" s="94">
        <f t="shared" ca="1" si="41"/>
        <v>0</v>
      </c>
      <c r="BR79" s="95">
        <f t="shared" ca="1" si="42"/>
        <v>0</v>
      </c>
      <c r="BS79" s="94">
        <f t="shared" ca="1" si="43"/>
        <v>0</v>
      </c>
      <c r="BT79" s="94">
        <f t="shared" ca="1" si="44"/>
        <v>0</v>
      </c>
      <c r="BU79" s="94">
        <f t="shared" ca="1" si="45"/>
        <v>0</v>
      </c>
      <c r="BV79" s="95">
        <f t="shared" ca="1" si="46"/>
        <v>0</v>
      </c>
      <c r="BW79" s="95" t="str">
        <f t="shared" ca="1" si="47"/>
        <v>000</v>
      </c>
      <c r="BX79" s="94">
        <f t="shared" ca="1" si="48"/>
        <v>0</v>
      </c>
    </row>
    <row r="80" spans="1:76">
      <c r="A80" s="374" t="str">
        <f t="shared" si="49"/>
        <v/>
      </c>
      <c r="B80" s="98">
        <v>12</v>
      </c>
      <c r="C80" s="94" t="s">
        <v>202</v>
      </c>
      <c r="D80" s="94">
        <v>-4</v>
      </c>
      <c r="E80" s="94">
        <v>-2</v>
      </c>
      <c r="F80" s="94">
        <v>3</v>
      </c>
      <c r="G80" s="94">
        <v>-1</v>
      </c>
      <c r="H80" s="94">
        <v>5</v>
      </c>
      <c r="I80" s="94">
        <v>6</v>
      </c>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1">
        <f t="shared" ca="1" si="26"/>
        <v>0</v>
      </c>
      <c r="BB80" s="93" t="str">
        <f t="shared" ca="1" si="27"/>
        <v/>
      </c>
      <c r="BC80" s="94">
        <f t="shared" ca="1" si="28"/>
        <v>0</v>
      </c>
      <c r="BD80" s="89">
        <f ca="1">IF(BC80=0,0,RANK(BF80,$BF$11:$BF$100,0)+(COUNTIF($BF80:$BF$100,BF80)-1))</f>
        <v>0</v>
      </c>
      <c r="BE80" s="94">
        <f t="shared" ca="1" si="29"/>
        <v>0</v>
      </c>
      <c r="BF80" s="94">
        <f t="shared" ca="1" si="30"/>
        <v>0</v>
      </c>
      <c r="BG80" s="94">
        <f t="shared" ca="1" si="31"/>
        <v>0</v>
      </c>
      <c r="BH80" s="94">
        <f t="shared" ca="1" si="32"/>
        <v>0</v>
      </c>
      <c r="BI80" s="94">
        <f t="shared" ca="1" si="33"/>
        <v>0</v>
      </c>
      <c r="BJ80" s="94">
        <f t="shared" ca="1" si="34"/>
        <v>0</v>
      </c>
      <c r="BK80" s="94">
        <f t="shared" ca="1" si="35"/>
        <v>0</v>
      </c>
      <c r="BL80" s="94">
        <f t="shared" ca="1" si="36"/>
        <v>0</v>
      </c>
      <c r="BM80" s="94">
        <f t="shared" ca="1" si="37"/>
        <v>0</v>
      </c>
      <c r="BN80" s="94">
        <f t="shared" ca="1" si="38"/>
        <v>0</v>
      </c>
      <c r="BO80" s="94">
        <f t="shared" ca="1" si="39"/>
        <v>0</v>
      </c>
      <c r="BP80" s="94">
        <f t="shared" ca="1" si="40"/>
        <v>0</v>
      </c>
      <c r="BQ80" s="94">
        <f t="shared" ca="1" si="41"/>
        <v>0</v>
      </c>
      <c r="BR80" s="95">
        <f t="shared" ca="1" si="42"/>
        <v>0</v>
      </c>
      <c r="BS80" s="94">
        <f t="shared" ca="1" si="43"/>
        <v>0</v>
      </c>
      <c r="BT80" s="94">
        <f t="shared" ca="1" si="44"/>
        <v>0</v>
      </c>
      <c r="BU80" s="94">
        <f t="shared" ca="1" si="45"/>
        <v>0</v>
      </c>
      <c r="BV80" s="95">
        <f t="shared" ca="1" si="46"/>
        <v>0</v>
      </c>
      <c r="BW80" s="95" t="str">
        <f t="shared" ca="1" si="47"/>
        <v>000</v>
      </c>
      <c r="BX80" s="94">
        <f t="shared" ca="1" si="48"/>
        <v>0</v>
      </c>
    </row>
    <row r="81" spans="1:76">
      <c r="A81" s="374" t="str">
        <f t="shared" si="49"/>
        <v/>
      </c>
      <c r="B81" s="98">
        <v>13</v>
      </c>
      <c r="C81" s="94" t="s">
        <v>202</v>
      </c>
      <c r="D81" s="94">
        <v>2</v>
      </c>
      <c r="E81" s="94">
        <v>-4</v>
      </c>
      <c r="F81" s="94">
        <v>1</v>
      </c>
      <c r="G81" s="94">
        <v>-5</v>
      </c>
      <c r="H81" s="94">
        <v>3</v>
      </c>
      <c r="I81" s="94">
        <v>-6</v>
      </c>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1">
        <f t="shared" ca="1" si="26"/>
        <v>0</v>
      </c>
      <c r="BB81" s="93" t="str">
        <f t="shared" ca="1" si="27"/>
        <v/>
      </c>
      <c r="BC81" s="94">
        <f t="shared" ca="1" si="28"/>
        <v>0</v>
      </c>
      <c r="BD81" s="89">
        <f ca="1">IF(BC81=0,0,RANK(BF81,$BF$11:$BF$100,0)+(COUNTIF($BF81:$BF$100,BF81)-1))</f>
        <v>0</v>
      </c>
      <c r="BE81" s="94">
        <f t="shared" ca="1" si="29"/>
        <v>0</v>
      </c>
      <c r="BF81" s="94">
        <f t="shared" ca="1" si="30"/>
        <v>0</v>
      </c>
      <c r="BG81" s="94">
        <f t="shared" ca="1" si="31"/>
        <v>0</v>
      </c>
      <c r="BH81" s="94">
        <f t="shared" ca="1" si="32"/>
        <v>0</v>
      </c>
      <c r="BI81" s="94">
        <f t="shared" ca="1" si="33"/>
        <v>0</v>
      </c>
      <c r="BJ81" s="94">
        <f t="shared" ca="1" si="34"/>
        <v>0</v>
      </c>
      <c r="BK81" s="94">
        <f t="shared" ca="1" si="35"/>
        <v>0</v>
      </c>
      <c r="BL81" s="94">
        <f t="shared" ca="1" si="36"/>
        <v>0</v>
      </c>
      <c r="BM81" s="94">
        <f t="shared" ca="1" si="37"/>
        <v>0</v>
      </c>
      <c r="BN81" s="94">
        <f t="shared" ca="1" si="38"/>
        <v>0</v>
      </c>
      <c r="BO81" s="94">
        <f t="shared" ca="1" si="39"/>
        <v>0</v>
      </c>
      <c r="BP81" s="94">
        <f t="shared" ca="1" si="40"/>
        <v>0</v>
      </c>
      <c r="BQ81" s="94">
        <f t="shared" ca="1" si="41"/>
        <v>0</v>
      </c>
      <c r="BR81" s="95">
        <f t="shared" ca="1" si="42"/>
        <v>0</v>
      </c>
      <c r="BS81" s="94">
        <f t="shared" ca="1" si="43"/>
        <v>0</v>
      </c>
      <c r="BT81" s="94">
        <f t="shared" ca="1" si="44"/>
        <v>0</v>
      </c>
      <c r="BU81" s="94">
        <f t="shared" ca="1" si="45"/>
        <v>0</v>
      </c>
      <c r="BV81" s="95">
        <f t="shared" ca="1" si="46"/>
        <v>0</v>
      </c>
      <c r="BW81" s="95" t="str">
        <f t="shared" ca="1" si="47"/>
        <v>000</v>
      </c>
      <c r="BX81" s="94">
        <f t="shared" ca="1" si="48"/>
        <v>0</v>
      </c>
    </row>
    <row r="82" spans="1:76">
      <c r="A82" s="374" t="str">
        <f t="shared" si="49"/>
        <v/>
      </c>
      <c r="B82" s="98" t="s">
        <v>345</v>
      </c>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1">
        <f t="shared" ca="1" si="26"/>
        <v>0</v>
      </c>
      <c r="BB82" s="93" t="str">
        <f t="shared" ca="1" si="27"/>
        <v/>
      </c>
      <c r="BC82" s="94">
        <f t="shared" ca="1" si="28"/>
        <v>0</v>
      </c>
      <c r="BD82" s="89">
        <f ca="1">IF(BC82=0,0,RANK(BF82,$BF$11:$BF$100,0)+(COUNTIF($BF82:$BF$100,BF82)-1))</f>
        <v>0</v>
      </c>
      <c r="BE82" s="94">
        <f t="shared" ca="1" si="29"/>
        <v>0</v>
      </c>
      <c r="BF82" s="94">
        <f t="shared" ca="1" si="30"/>
        <v>0</v>
      </c>
      <c r="BG82" s="94">
        <f t="shared" ca="1" si="31"/>
        <v>0</v>
      </c>
      <c r="BH82" s="94">
        <f t="shared" ca="1" si="32"/>
        <v>0</v>
      </c>
      <c r="BI82" s="94">
        <f t="shared" ca="1" si="33"/>
        <v>0</v>
      </c>
      <c r="BJ82" s="94">
        <f t="shared" ca="1" si="34"/>
        <v>0</v>
      </c>
      <c r="BK82" s="94">
        <f t="shared" ca="1" si="35"/>
        <v>0</v>
      </c>
      <c r="BL82" s="94">
        <f t="shared" ca="1" si="36"/>
        <v>0</v>
      </c>
      <c r="BM82" s="94">
        <f t="shared" ca="1" si="37"/>
        <v>0</v>
      </c>
      <c r="BN82" s="94">
        <f t="shared" ca="1" si="38"/>
        <v>0</v>
      </c>
      <c r="BO82" s="94">
        <f t="shared" ca="1" si="39"/>
        <v>0</v>
      </c>
      <c r="BP82" s="94">
        <f t="shared" ca="1" si="40"/>
        <v>0</v>
      </c>
      <c r="BQ82" s="94">
        <f t="shared" ca="1" si="41"/>
        <v>0</v>
      </c>
      <c r="BR82" s="95">
        <f t="shared" ca="1" si="42"/>
        <v>0</v>
      </c>
      <c r="BS82" s="94">
        <f t="shared" ca="1" si="43"/>
        <v>0</v>
      </c>
      <c r="BT82" s="94">
        <f t="shared" ca="1" si="44"/>
        <v>0</v>
      </c>
      <c r="BU82" s="94">
        <f t="shared" ca="1" si="45"/>
        <v>0</v>
      </c>
      <c r="BV82" s="95">
        <f t="shared" ca="1" si="46"/>
        <v>0</v>
      </c>
      <c r="BW82" s="95" t="str">
        <f t="shared" ca="1" si="47"/>
        <v>000</v>
      </c>
      <c r="BX82" s="94">
        <f t="shared" ca="1" si="48"/>
        <v>0</v>
      </c>
    </row>
    <row r="83" spans="1:76">
      <c r="A83" s="374">
        <f t="shared" si="49"/>
        <v>83</v>
      </c>
      <c r="B83" s="98" t="s">
        <v>346</v>
      </c>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1">
        <f t="shared" ca="1" si="26"/>
        <v>0</v>
      </c>
      <c r="BB83" s="93" t="str">
        <f t="shared" ca="1" si="27"/>
        <v/>
      </c>
      <c r="BC83" s="94">
        <f t="shared" ca="1" si="28"/>
        <v>0</v>
      </c>
      <c r="BD83" s="89">
        <f ca="1">IF(BC83=0,0,RANK(BF83,$BF$11:$BF$100,0)+(COUNTIF($BF83:$BF$100,BF83)-1))</f>
        <v>0</v>
      </c>
      <c r="BE83" s="94">
        <f t="shared" ca="1" si="29"/>
        <v>0</v>
      </c>
      <c r="BF83" s="94">
        <f t="shared" ca="1" si="30"/>
        <v>0</v>
      </c>
      <c r="BG83" s="94">
        <f t="shared" ca="1" si="31"/>
        <v>0</v>
      </c>
      <c r="BH83" s="94">
        <f t="shared" ca="1" si="32"/>
        <v>0</v>
      </c>
      <c r="BI83" s="94">
        <f t="shared" ca="1" si="33"/>
        <v>0</v>
      </c>
      <c r="BJ83" s="94">
        <f t="shared" ca="1" si="34"/>
        <v>0</v>
      </c>
      <c r="BK83" s="94">
        <f t="shared" ca="1" si="35"/>
        <v>0</v>
      </c>
      <c r="BL83" s="94">
        <f t="shared" ca="1" si="36"/>
        <v>0</v>
      </c>
      <c r="BM83" s="94">
        <f t="shared" ca="1" si="37"/>
        <v>0</v>
      </c>
      <c r="BN83" s="94">
        <f t="shared" ca="1" si="38"/>
        <v>0</v>
      </c>
      <c r="BO83" s="94">
        <f t="shared" ca="1" si="39"/>
        <v>0</v>
      </c>
      <c r="BP83" s="94">
        <f t="shared" ca="1" si="40"/>
        <v>0</v>
      </c>
      <c r="BQ83" s="94">
        <f t="shared" ca="1" si="41"/>
        <v>0</v>
      </c>
      <c r="BR83" s="95">
        <f t="shared" ca="1" si="42"/>
        <v>0</v>
      </c>
      <c r="BS83" s="94">
        <f t="shared" ca="1" si="43"/>
        <v>0</v>
      </c>
      <c r="BT83" s="94">
        <f t="shared" ca="1" si="44"/>
        <v>0</v>
      </c>
      <c r="BU83" s="94">
        <f t="shared" ca="1" si="45"/>
        <v>0</v>
      </c>
      <c r="BV83" s="95">
        <f t="shared" ca="1" si="46"/>
        <v>0</v>
      </c>
      <c r="BW83" s="95" t="str">
        <f t="shared" ca="1" si="47"/>
        <v>000</v>
      </c>
      <c r="BX83" s="94">
        <f t="shared" ca="1" si="48"/>
        <v>0</v>
      </c>
    </row>
    <row r="84" spans="1:76">
      <c r="A84" s="374" t="str">
        <f t="shared" si="49"/>
        <v/>
      </c>
      <c r="B84" s="98">
        <v>1</v>
      </c>
      <c r="C84" s="94">
        <v>-2</v>
      </c>
      <c r="D84" s="94">
        <v>-4</v>
      </c>
      <c r="E84" s="94" t="s">
        <v>202</v>
      </c>
      <c r="F84" s="94">
        <v>5</v>
      </c>
      <c r="G84" s="94">
        <v>3</v>
      </c>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1">
        <f t="shared" ca="1" si="26"/>
        <v>0</v>
      </c>
      <c r="BB84" s="93" t="str">
        <f t="shared" ca="1" si="27"/>
        <v/>
      </c>
      <c r="BC84" s="94">
        <f t="shared" ca="1" si="28"/>
        <v>0</v>
      </c>
      <c r="BD84" s="89">
        <f ca="1">IF(BC84=0,0,RANK(BF84,$BF$11:$BF$100,0)+(COUNTIF($BF84:$BF$100,BF84)-1))</f>
        <v>0</v>
      </c>
      <c r="BE84" s="94">
        <f t="shared" ca="1" si="29"/>
        <v>0</v>
      </c>
      <c r="BF84" s="94">
        <f t="shared" ca="1" si="30"/>
        <v>0</v>
      </c>
      <c r="BG84" s="94">
        <f t="shared" ca="1" si="31"/>
        <v>0</v>
      </c>
      <c r="BH84" s="94">
        <f t="shared" ca="1" si="32"/>
        <v>0</v>
      </c>
      <c r="BI84" s="94">
        <f t="shared" ca="1" si="33"/>
        <v>0</v>
      </c>
      <c r="BJ84" s="94">
        <f t="shared" ca="1" si="34"/>
        <v>0</v>
      </c>
      <c r="BK84" s="94">
        <f t="shared" ca="1" si="35"/>
        <v>0</v>
      </c>
      <c r="BL84" s="94">
        <f t="shared" ca="1" si="36"/>
        <v>0</v>
      </c>
      <c r="BM84" s="94">
        <f t="shared" ca="1" si="37"/>
        <v>0</v>
      </c>
      <c r="BN84" s="94">
        <f t="shared" ca="1" si="38"/>
        <v>0</v>
      </c>
      <c r="BO84" s="94">
        <f t="shared" ca="1" si="39"/>
        <v>0</v>
      </c>
      <c r="BP84" s="94">
        <f t="shared" ca="1" si="40"/>
        <v>0</v>
      </c>
      <c r="BQ84" s="94">
        <f t="shared" ca="1" si="41"/>
        <v>0</v>
      </c>
      <c r="BR84" s="95">
        <f t="shared" ca="1" si="42"/>
        <v>0</v>
      </c>
      <c r="BS84" s="94">
        <f t="shared" ca="1" si="43"/>
        <v>0</v>
      </c>
      <c r="BT84" s="94">
        <f t="shared" ca="1" si="44"/>
        <v>0</v>
      </c>
      <c r="BU84" s="94">
        <f t="shared" ca="1" si="45"/>
        <v>0</v>
      </c>
      <c r="BV84" s="95">
        <f t="shared" ca="1" si="46"/>
        <v>0</v>
      </c>
      <c r="BW84" s="95" t="str">
        <f t="shared" ca="1" si="47"/>
        <v>000</v>
      </c>
      <c r="BX84" s="94">
        <f t="shared" ca="1" si="48"/>
        <v>0</v>
      </c>
    </row>
    <row r="85" spans="1:76">
      <c r="A85" s="374" t="str">
        <f t="shared" si="49"/>
        <v/>
      </c>
      <c r="B85" s="98">
        <v>2</v>
      </c>
      <c r="C85" s="94" t="s">
        <v>202</v>
      </c>
      <c r="D85" s="94">
        <v>5</v>
      </c>
      <c r="E85" s="94">
        <v>6</v>
      </c>
      <c r="F85" s="94">
        <v>-2</v>
      </c>
      <c r="G85" s="94">
        <v>-3</v>
      </c>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1">
        <f t="shared" ca="1" si="26"/>
        <v>0</v>
      </c>
      <c r="BB85" s="93" t="str">
        <f t="shared" ca="1" si="27"/>
        <v/>
      </c>
      <c r="BC85" s="94">
        <f t="shared" ca="1" si="28"/>
        <v>0</v>
      </c>
      <c r="BD85" s="89">
        <f ca="1">IF(BC85=0,0,RANK(BF85,$BF$11:$BF$100,0)+(COUNTIF($BF85:$BF$100,BF85)-1))</f>
        <v>0</v>
      </c>
      <c r="BE85" s="94">
        <f t="shared" ca="1" si="29"/>
        <v>0</v>
      </c>
      <c r="BF85" s="94">
        <f t="shared" ca="1" si="30"/>
        <v>0</v>
      </c>
      <c r="BG85" s="94">
        <f t="shared" ca="1" si="31"/>
        <v>0</v>
      </c>
      <c r="BH85" s="94">
        <f t="shared" ca="1" si="32"/>
        <v>0</v>
      </c>
      <c r="BI85" s="94">
        <f t="shared" ca="1" si="33"/>
        <v>0</v>
      </c>
      <c r="BJ85" s="94">
        <f t="shared" ca="1" si="34"/>
        <v>0</v>
      </c>
      <c r="BK85" s="94">
        <f t="shared" ca="1" si="35"/>
        <v>0</v>
      </c>
      <c r="BL85" s="94">
        <f t="shared" ca="1" si="36"/>
        <v>0</v>
      </c>
      <c r="BM85" s="94">
        <f t="shared" ca="1" si="37"/>
        <v>0</v>
      </c>
      <c r="BN85" s="94">
        <f t="shared" ca="1" si="38"/>
        <v>0</v>
      </c>
      <c r="BO85" s="94">
        <f t="shared" ca="1" si="39"/>
        <v>0</v>
      </c>
      <c r="BP85" s="94">
        <f t="shared" ca="1" si="40"/>
        <v>0</v>
      </c>
      <c r="BQ85" s="94">
        <f t="shared" ca="1" si="41"/>
        <v>0</v>
      </c>
      <c r="BR85" s="95">
        <f t="shared" ca="1" si="42"/>
        <v>0</v>
      </c>
      <c r="BS85" s="94">
        <f t="shared" ca="1" si="43"/>
        <v>0</v>
      </c>
      <c r="BT85" s="94">
        <f t="shared" ca="1" si="44"/>
        <v>0</v>
      </c>
      <c r="BU85" s="94">
        <f t="shared" ca="1" si="45"/>
        <v>0</v>
      </c>
      <c r="BV85" s="95">
        <f t="shared" ca="1" si="46"/>
        <v>0</v>
      </c>
      <c r="BW85" s="95" t="str">
        <f t="shared" ca="1" si="47"/>
        <v>000</v>
      </c>
      <c r="BX85" s="94">
        <f t="shared" ca="1" si="48"/>
        <v>0</v>
      </c>
    </row>
    <row r="86" spans="1:76">
      <c r="A86" s="374" t="str">
        <f t="shared" si="49"/>
        <v/>
      </c>
      <c r="B86" s="98">
        <v>3</v>
      </c>
      <c r="C86" s="94">
        <v>2</v>
      </c>
      <c r="D86" s="94">
        <v>-5</v>
      </c>
      <c r="E86" s="94">
        <v>1</v>
      </c>
      <c r="F86" s="94" t="s">
        <v>202</v>
      </c>
      <c r="G86" s="94">
        <v>-4</v>
      </c>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1">
        <f t="shared" ca="1" si="26"/>
        <v>0</v>
      </c>
      <c r="BB86" s="93" t="str">
        <f t="shared" ca="1" si="27"/>
        <v/>
      </c>
      <c r="BC86" s="94">
        <f t="shared" ca="1" si="28"/>
        <v>0</v>
      </c>
      <c r="BD86" s="89">
        <f ca="1">IF(BC86=0,0,RANK(BF86,$BF$11:$BF$100,0)+(COUNTIF($BF86:$BF$100,BF86)-1))</f>
        <v>0</v>
      </c>
      <c r="BE86" s="94">
        <f t="shared" ca="1" si="29"/>
        <v>0</v>
      </c>
      <c r="BF86" s="94">
        <f t="shared" ca="1" si="30"/>
        <v>0</v>
      </c>
      <c r="BG86" s="94">
        <f t="shared" ca="1" si="31"/>
        <v>0</v>
      </c>
      <c r="BH86" s="94">
        <f t="shared" ca="1" si="32"/>
        <v>0</v>
      </c>
      <c r="BI86" s="94">
        <f t="shared" ca="1" si="33"/>
        <v>0</v>
      </c>
      <c r="BJ86" s="94">
        <f t="shared" ca="1" si="34"/>
        <v>0</v>
      </c>
      <c r="BK86" s="94">
        <f t="shared" ca="1" si="35"/>
        <v>0</v>
      </c>
      <c r="BL86" s="94">
        <f t="shared" ca="1" si="36"/>
        <v>0</v>
      </c>
      <c r="BM86" s="94">
        <f t="shared" ca="1" si="37"/>
        <v>0</v>
      </c>
      <c r="BN86" s="94">
        <f t="shared" ca="1" si="38"/>
        <v>0</v>
      </c>
      <c r="BO86" s="94">
        <f t="shared" ca="1" si="39"/>
        <v>0</v>
      </c>
      <c r="BP86" s="94">
        <f t="shared" ca="1" si="40"/>
        <v>0</v>
      </c>
      <c r="BQ86" s="94">
        <f t="shared" ca="1" si="41"/>
        <v>0</v>
      </c>
      <c r="BR86" s="95">
        <f t="shared" ca="1" si="42"/>
        <v>0</v>
      </c>
      <c r="BS86" s="94">
        <f t="shared" ca="1" si="43"/>
        <v>0</v>
      </c>
      <c r="BT86" s="94">
        <f t="shared" ca="1" si="44"/>
        <v>0</v>
      </c>
      <c r="BU86" s="94">
        <f t="shared" ca="1" si="45"/>
        <v>0</v>
      </c>
      <c r="BV86" s="95">
        <f t="shared" ca="1" si="46"/>
        <v>0</v>
      </c>
      <c r="BW86" s="95" t="str">
        <f t="shared" ca="1" si="47"/>
        <v>000</v>
      </c>
      <c r="BX86" s="94">
        <f t="shared" ca="1" si="48"/>
        <v>0</v>
      </c>
    </row>
    <row r="87" spans="1:76">
      <c r="A87" s="374" t="str">
        <f t="shared" si="49"/>
        <v/>
      </c>
      <c r="B87" s="98">
        <v>4</v>
      </c>
      <c r="C87" s="94">
        <v>3</v>
      </c>
      <c r="D87" s="94" t="s">
        <v>202</v>
      </c>
      <c r="E87" s="94">
        <v>-6</v>
      </c>
      <c r="F87" s="94">
        <v>-5</v>
      </c>
      <c r="G87" s="94">
        <v>4</v>
      </c>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1">
        <f t="shared" ca="1" si="26"/>
        <v>0</v>
      </c>
      <c r="BB87" s="93" t="str">
        <f t="shared" ca="1" si="27"/>
        <v/>
      </c>
      <c r="BC87" s="94">
        <f t="shared" ca="1" si="28"/>
        <v>0</v>
      </c>
      <c r="BD87" s="89">
        <f ca="1">IF(BC87=0,0,RANK(BF87,$BF$11:$BF$100,0)+(COUNTIF($BF87:$BF$100,BF87)-1))</f>
        <v>0</v>
      </c>
      <c r="BE87" s="94">
        <f t="shared" ca="1" si="29"/>
        <v>0</v>
      </c>
      <c r="BF87" s="94">
        <f t="shared" ca="1" si="30"/>
        <v>0</v>
      </c>
      <c r="BG87" s="94">
        <f t="shared" ca="1" si="31"/>
        <v>0</v>
      </c>
      <c r="BH87" s="94">
        <f t="shared" ca="1" si="32"/>
        <v>0</v>
      </c>
      <c r="BI87" s="94">
        <f t="shared" ca="1" si="33"/>
        <v>0</v>
      </c>
      <c r="BJ87" s="94">
        <f t="shared" ca="1" si="34"/>
        <v>0</v>
      </c>
      <c r="BK87" s="94">
        <f t="shared" ca="1" si="35"/>
        <v>0</v>
      </c>
      <c r="BL87" s="94">
        <f t="shared" ca="1" si="36"/>
        <v>0</v>
      </c>
      <c r="BM87" s="94">
        <f t="shared" ca="1" si="37"/>
        <v>0</v>
      </c>
      <c r="BN87" s="94">
        <f t="shared" ca="1" si="38"/>
        <v>0</v>
      </c>
      <c r="BO87" s="94">
        <f t="shared" ca="1" si="39"/>
        <v>0</v>
      </c>
      <c r="BP87" s="94">
        <f t="shared" ca="1" si="40"/>
        <v>0</v>
      </c>
      <c r="BQ87" s="94">
        <f t="shared" ca="1" si="41"/>
        <v>0</v>
      </c>
      <c r="BR87" s="95">
        <f t="shared" ca="1" si="42"/>
        <v>0</v>
      </c>
      <c r="BS87" s="94">
        <f t="shared" ca="1" si="43"/>
        <v>0</v>
      </c>
      <c r="BT87" s="94">
        <f t="shared" ca="1" si="44"/>
        <v>0</v>
      </c>
      <c r="BU87" s="94">
        <f t="shared" ca="1" si="45"/>
        <v>0</v>
      </c>
      <c r="BV87" s="95">
        <f t="shared" ca="1" si="46"/>
        <v>0</v>
      </c>
      <c r="BW87" s="95" t="str">
        <f t="shared" ca="1" si="47"/>
        <v>000</v>
      </c>
      <c r="BX87" s="94">
        <f t="shared" ca="1" si="48"/>
        <v>0</v>
      </c>
    </row>
    <row r="88" spans="1:76">
      <c r="A88" s="374" t="str">
        <f t="shared" si="49"/>
        <v/>
      </c>
      <c r="B88" s="99">
        <v>5</v>
      </c>
      <c r="C88" s="92">
        <v>-3</v>
      </c>
      <c r="D88" s="92">
        <v>4</v>
      </c>
      <c r="E88" s="92">
        <v>-1</v>
      </c>
      <c r="F88" s="92">
        <v>2</v>
      </c>
      <c r="G88" s="92" t="s">
        <v>202</v>
      </c>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1">
        <f t="shared" ca="1" si="26"/>
        <v>0</v>
      </c>
      <c r="BB88" s="93" t="str">
        <f t="shared" ca="1" si="27"/>
        <v/>
      </c>
      <c r="BC88" s="94">
        <f t="shared" ca="1" si="28"/>
        <v>0</v>
      </c>
      <c r="BD88" s="89">
        <f ca="1">IF(BC88=0,0,RANK(BF88,$BF$11:$BF$100,0)+(COUNTIF($BF88:$BF$100,BF88)-1))</f>
        <v>0</v>
      </c>
      <c r="BE88" s="94">
        <f t="shared" ca="1" si="29"/>
        <v>0</v>
      </c>
      <c r="BF88" s="94">
        <f t="shared" ca="1" si="30"/>
        <v>0</v>
      </c>
      <c r="BG88" s="94">
        <f t="shared" ca="1" si="31"/>
        <v>0</v>
      </c>
      <c r="BH88" s="94">
        <f t="shared" ca="1" si="32"/>
        <v>0</v>
      </c>
      <c r="BI88" s="94">
        <f t="shared" ca="1" si="33"/>
        <v>0</v>
      </c>
      <c r="BJ88" s="94">
        <f t="shared" ca="1" si="34"/>
        <v>0</v>
      </c>
      <c r="BK88" s="94">
        <f t="shared" ca="1" si="35"/>
        <v>0</v>
      </c>
      <c r="BL88" s="94">
        <f t="shared" ca="1" si="36"/>
        <v>0</v>
      </c>
      <c r="BM88" s="94">
        <f t="shared" ca="1" si="37"/>
        <v>0</v>
      </c>
      <c r="BN88" s="94">
        <f t="shared" ca="1" si="38"/>
        <v>0</v>
      </c>
      <c r="BO88" s="94">
        <f t="shared" ca="1" si="39"/>
        <v>0</v>
      </c>
      <c r="BP88" s="94">
        <f t="shared" ca="1" si="40"/>
        <v>0</v>
      </c>
      <c r="BQ88" s="94">
        <f t="shared" ca="1" si="41"/>
        <v>0</v>
      </c>
      <c r="BR88" s="95">
        <f t="shared" ca="1" si="42"/>
        <v>0</v>
      </c>
      <c r="BS88" s="94">
        <f t="shared" ca="1" si="43"/>
        <v>0</v>
      </c>
      <c r="BT88" s="94">
        <f t="shared" ca="1" si="44"/>
        <v>0</v>
      </c>
      <c r="BU88" s="94">
        <f t="shared" ca="1" si="45"/>
        <v>0</v>
      </c>
      <c r="BV88" s="95">
        <f t="shared" ca="1" si="46"/>
        <v>0</v>
      </c>
      <c r="BW88" s="95" t="str">
        <f t="shared" ca="1" si="47"/>
        <v>000</v>
      </c>
      <c r="BX88" s="94">
        <f t="shared" ca="1" si="48"/>
        <v>0</v>
      </c>
    </row>
    <row r="89" spans="1:76">
      <c r="A89" s="374" t="str">
        <f t="shared" si="49"/>
        <v/>
      </c>
      <c r="B89" s="98">
        <v>6</v>
      </c>
      <c r="C89" s="94" t="s">
        <v>202</v>
      </c>
      <c r="D89" s="94">
        <v>-3</v>
      </c>
      <c r="E89" s="94">
        <v>-4</v>
      </c>
      <c r="F89" s="94">
        <v>6</v>
      </c>
      <c r="G89" s="94">
        <v>2</v>
      </c>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1">
        <f t="shared" ca="1" si="26"/>
        <v>0</v>
      </c>
      <c r="BB89" s="93" t="str">
        <f t="shared" ca="1" si="27"/>
        <v/>
      </c>
      <c r="BC89" s="94">
        <f t="shared" ca="1" si="28"/>
        <v>0</v>
      </c>
      <c r="BD89" s="89">
        <f ca="1">IF(BC89=0,0,RANK(BF89,$BF$11:$BF$100,0)+(COUNTIF($BF89:$BF$100,BF89)-1))</f>
        <v>0</v>
      </c>
      <c r="BE89" s="94">
        <f t="shared" ca="1" si="29"/>
        <v>0</v>
      </c>
      <c r="BF89" s="94">
        <f t="shared" ca="1" si="30"/>
        <v>0</v>
      </c>
      <c r="BG89" s="94">
        <f t="shared" ca="1" si="31"/>
        <v>0</v>
      </c>
      <c r="BH89" s="94">
        <f t="shared" ca="1" si="32"/>
        <v>0</v>
      </c>
      <c r="BI89" s="94">
        <f t="shared" ca="1" si="33"/>
        <v>0</v>
      </c>
      <c r="BJ89" s="94">
        <f t="shared" ca="1" si="34"/>
        <v>0</v>
      </c>
      <c r="BK89" s="94">
        <f t="shared" ca="1" si="35"/>
        <v>0</v>
      </c>
      <c r="BL89" s="94">
        <f t="shared" ca="1" si="36"/>
        <v>0</v>
      </c>
      <c r="BM89" s="94">
        <f t="shared" ca="1" si="37"/>
        <v>0</v>
      </c>
      <c r="BN89" s="94">
        <f t="shared" ca="1" si="38"/>
        <v>0</v>
      </c>
      <c r="BO89" s="94">
        <f t="shared" ca="1" si="39"/>
        <v>0</v>
      </c>
      <c r="BP89" s="94">
        <f t="shared" ca="1" si="40"/>
        <v>0</v>
      </c>
      <c r="BQ89" s="94">
        <f t="shared" ca="1" si="41"/>
        <v>0</v>
      </c>
      <c r="BR89" s="95">
        <f t="shared" ca="1" si="42"/>
        <v>0</v>
      </c>
      <c r="BS89" s="94">
        <f t="shared" ca="1" si="43"/>
        <v>0</v>
      </c>
      <c r="BT89" s="94">
        <f t="shared" ca="1" si="44"/>
        <v>0</v>
      </c>
      <c r="BU89" s="94">
        <f t="shared" ca="1" si="45"/>
        <v>0</v>
      </c>
      <c r="BV89" s="95">
        <f t="shared" ca="1" si="46"/>
        <v>0</v>
      </c>
      <c r="BW89" s="95" t="str">
        <f t="shared" ca="1" si="47"/>
        <v>000</v>
      </c>
      <c r="BX89" s="94">
        <f t="shared" ca="1" si="48"/>
        <v>0</v>
      </c>
    </row>
    <row r="90" spans="1:76">
      <c r="A90" s="374" t="str">
        <f t="shared" si="49"/>
        <v/>
      </c>
      <c r="B90" s="98">
        <v>7</v>
      </c>
      <c r="C90" s="94">
        <v>4</v>
      </c>
      <c r="D90" s="94" t="s">
        <v>202</v>
      </c>
      <c r="E90" s="94">
        <v>-3</v>
      </c>
      <c r="F90" s="94">
        <v>1</v>
      </c>
      <c r="G90" s="94">
        <v>-2</v>
      </c>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1">
        <f t="shared" ca="1" si="26"/>
        <v>0</v>
      </c>
      <c r="BB90" s="93" t="str">
        <f t="shared" ca="1" si="27"/>
        <v/>
      </c>
      <c r="BC90" s="94">
        <f t="shared" ca="1" si="28"/>
        <v>0</v>
      </c>
      <c r="BD90" s="89">
        <f ca="1">IF(BC90=0,0,RANK(BF90,$BF$11:$BF$100,0)+(COUNTIF($BF90:$BF$100,BF90)-1))</f>
        <v>0</v>
      </c>
      <c r="BE90" s="94">
        <f t="shared" ca="1" si="29"/>
        <v>0</v>
      </c>
      <c r="BF90" s="94">
        <f t="shared" ca="1" si="30"/>
        <v>0</v>
      </c>
      <c r="BG90" s="94">
        <f t="shared" ca="1" si="31"/>
        <v>0</v>
      </c>
      <c r="BH90" s="94">
        <f t="shared" ca="1" si="32"/>
        <v>0</v>
      </c>
      <c r="BI90" s="94">
        <f t="shared" ca="1" si="33"/>
        <v>0</v>
      </c>
      <c r="BJ90" s="94">
        <f t="shared" ca="1" si="34"/>
        <v>0</v>
      </c>
      <c r="BK90" s="94">
        <f t="shared" ca="1" si="35"/>
        <v>0</v>
      </c>
      <c r="BL90" s="94">
        <f t="shared" ca="1" si="36"/>
        <v>0</v>
      </c>
      <c r="BM90" s="94">
        <f t="shared" ca="1" si="37"/>
        <v>0</v>
      </c>
      <c r="BN90" s="94">
        <f t="shared" ca="1" si="38"/>
        <v>0</v>
      </c>
      <c r="BO90" s="94">
        <f t="shared" ca="1" si="39"/>
        <v>0</v>
      </c>
      <c r="BP90" s="94">
        <f t="shared" ca="1" si="40"/>
        <v>0</v>
      </c>
      <c r="BQ90" s="94">
        <f t="shared" ca="1" si="41"/>
        <v>0</v>
      </c>
      <c r="BR90" s="95">
        <f t="shared" ca="1" si="42"/>
        <v>0</v>
      </c>
      <c r="BS90" s="94">
        <f t="shared" ca="1" si="43"/>
        <v>0</v>
      </c>
      <c r="BT90" s="94">
        <f t="shared" ca="1" si="44"/>
        <v>0</v>
      </c>
      <c r="BU90" s="94">
        <f t="shared" ca="1" si="45"/>
        <v>0</v>
      </c>
      <c r="BV90" s="95">
        <f t="shared" ca="1" si="46"/>
        <v>0</v>
      </c>
      <c r="BW90" s="95" t="str">
        <f t="shared" ca="1" si="47"/>
        <v>000</v>
      </c>
      <c r="BX90" s="94">
        <f t="shared" ca="1" si="48"/>
        <v>0</v>
      </c>
    </row>
    <row r="91" spans="1:76">
      <c r="A91" s="374" t="str">
        <f t="shared" si="49"/>
        <v/>
      </c>
      <c r="B91" s="98">
        <v>8</v>
      </c>
      <c r="C91" s="94" t="s">
        <v>202</v>
      </c>
      <c r="D91" s="94">
        <v>-2</v>
      </c>
      <c r="E91" s="94">
        <v>4</v>
      </c>
      <c r="F91" s="94">
        <v>-1</v>
      </c>
      <c r="G91" s="94">
        <v>5</v>
      </c>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1">
        <f t="shared" ca="1" si="26"/>
        <v>0</v>
      </c>
      <c r="BB91" s="93" t="str">
        <f t="shared" ca="1" si="27"/>
        <v/>
      </c>
      <c r="BC91" s="94">
        <f t="shared" ca="1" si="28"/>
        <v>0</v>
      </c>
      <c r="BD91" s="89">
        <f ca="1">IF(BC91=0,0,RANK(BF91,$BF$11:$BF$100,0)+(COUNTIF($BF91:$BF$100,BF91)-1))</f>
        <v>0</v>
      </c>
      <c r="BE91" s="94">
        <f t="shared" ca="1" si="29"/>
        <v>0</v>
      </c>
      <c r="BF91" s="94">
        <f t="shared" ca="1" si="30"/>
        <v>0</v>
      </c>
      <c r="BG91" s="94">
        <f t="shared" ca="1" si="31"/>
        <v>0</v>
      </c>
      <c r="BH91" s="94">
        <f t="shared" ca="1" si="32"/>
        <v>0</v>
      </c>
      <c r="BI91" s="94">
        <f t="shared" ca="1" si="33"/>
        <v>0</v>
      </c>
      <c r="BJ91" s="94">
        <f t="shared" ca="1" si="34"/>
        <v>0</v>
      </c>
      <c r="BK91" s="94">
        <f t="shared" ca="1" si="35"/>
        <v>0</v>
      </c>
      <c r="BL91" s="94">
        <f t="shared" ca="1" si="36"/>
        <v>0</v>
      </c>
      <c r="BM91" s="94">
        <f t="shared" ca="1" si="37"/>
        <v>0</v>
      </c>
      <c r="BN91" s="94">
        <f t="shared" ca="1" si="38"/>
        <v>0</v>
      </c>
      <c r="BO91" s="94">
        <f t="shared" ca="1" si="39"/>
        <v>0</v>
      </c>
      <c r="BP91" s="94">
        <f t="shared" ca="1" si="40"/>
        <v>0</v>
      </c>
      <c r="BQ91" s="94">
        <f t="shared" ca="1" si="41"/>
        <v>0</v>
      </c>
      <c r="BR91" s="95">
        <f t="shared" ca="1" si="42"/>
        <v>0</v>
      </c>
      <c r="BS91" s="94">
        <f t="shared" ca="1" si="43"/>
        <v>0</v>
      </c>
      <c r="BT91" s="94">
        <f t="shared" ca="1" si="44"/>
        <v>0</v>
      </c>
      <c r="BU91" s="94">
        <f t="shared" ca="1" si="45"/>
        <v>0</v>
      </c>
      <c r="BV91" s="95">
        <f t="shared" ca="1" si="46"/>
        <v>0</v>
      </c>
      <c r="BW91" s="95" t="str">
        <f t="shared" ca="1" si="47"/>
        <v>000</v>
      </c>
      <c r="BX91" s="94">
        <f t="shared" ca="1" si="48"/>
        <v>0</v>
      </c>
    </row>
    <row r="92" spans="1:76">
      <c r="A92" s="374" t="str">
        <f t="shared" si="49"/>
        <v/>
      </c>
      <c r="B92" s="99">
        <v>9</v>
      </c>
      <c r="C92" s="92">
        <v>5</v>
      </c>
      <c r="D92" s="92" t="s">
        <v>202</v>
      </c>
      <c r="E92" s="92">
        <v>3</v>
      </c>
      <c r="F92" s="92">
        <v>-6</v>
      </c>
      <c r="G92" s="92">
        <v>-5</v>
      </c>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1">
        <f t="shared" ca="1" si="26"/>
        <v>0</v>
      </c>
      <c r="BB92" s="93" t="str">
        <f t="shared" ca="1" si="27"/>
        <v/>
      </c>
      <c r="BC92" s="94">
        <f t="shared" ca="1" si="28"/>
        <v>0</v>
      </c>
      <c r="BD92" s="89">
        <f ca="1">IF(BC92=0,0,RANK(BF92,$BF$11:$BF$100,0)+(COUNTIF($BF92:$BF$100,BF92)-1))</f>
        <v>0</v>
      </c>
      <c r="BE92" s="94">
        <f t="shared" ca="1" si="29"/>
        <v>0</v>
      </c>
      <c r="BF92" s="94">
        <f t="shared" ca="1" si="30"/>
        <v>0</v>
      </c>
      <c r="BG92" s="94">
        <f t="shared" ca="1" si="31"/>
        <v>0</v>
      </c>
      <c r="BH92" s="94">
        <f t="shared" ca="1" si="32"/>
        <v>0</v>
      </c>
      <c r="BI92" s="94">
        <f t="shared" ca="1" si="33"/>
        <v>0</v>
      </c>
      <c r="BJ92" s="94">
        <f t="shared" ca="1" si="34"/>
        <v>0</v>
      </c>
      <c r="BK92" s="94">
        <f t="shared" ca="1" si="35"/>
        <v>0</v>
      </c>
      <c r="BL92" s="94">
        <f t="shared" ca="1" si="36"/>
        <v>0</v>
      </c>
      <c r="BM92" s="94">
        <f t="shared" ca="1" si="37"/>
        <v>0</v>
      </c>
      <c r="BN92" s="94">
        <f t="shared" ca="1" si="38"/>
        <v>0</v>
      </c>
      <c r="BO92" s="94">
        <f t="shared" ca="1" si="39"/>
        <v>0</v>
      </c>
      <c r="BP92" s="94">
        <f t="shared" ca="1" si="40"/>
        <v>0</v>
      </c>
      <c r="BQ92" s="94">
        <f t="shared" ca="1" si="41"/>
        <v>0</v>
      </c>
      <c r="BR92" s="95">
        <f t="shared" ca="1" si="42"/>
        <v>0</v>
      </c>
      <c r="BS92" s="94">
        <f t="shared" ca="1" si="43"/>
        <v>0</v>
      </c>
      <c r="BT92" s="94">
        <f t="shared" ca="1" si="44"/>
        <v>0</v>
      </c>
      <c r="BU92" s="94">
        <f t="shared" ca="1" si="45"/>
        <v>0</v>
      </c>
      <c r="BV92" s="95">
        <f t="shared" ca="1" si="46"/>
        <v>0</v>
      </c>
      <c r="BW92" s="95" t="str">
        <f t="shared" ca="1" si="47"/>
        <v>000</v>
      </c>
      <c r="BX92" s="94">
        <f t="shared" ca="1" si="48"/>
        <v>0</v>
      </c>
    </row>
    <row r="93" spans="1:76">
      <c r="A93" s="374" t="str">
        <f t="shared" si="49"/>
        <v/>
      </c>
      <c r="B93" s="98">
        <v>10</v>
      </c>
      <c r="C93" s="94" t="s">
        <v>202</v>
      </c>
      <c r="D93" s="94">
        <v>3</v>
      </c>
      <c r="E93" s="94">
        <v>5</v>
      </c>
      <c r="F93" s="94">
        <v>-4</v>
      </c>
      <c r="G93" s="94">
        <v>-1</v>
      </c>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1">
        <f t="shared" ca="1" si="26"/>
        <v>0</v>
      </c>
      <c r="BB93" s="93" t="str">
        <f t="shared" ca="1" si="27"/>
        <v/>
      </c>
      <c r="BC93" s="94">
        <f t="shared" ca="1" si="28"/>
        <v>0</v>
      </c>
      <c r="BD93" s="89">
        <f ca="1">IF(BC93=0,0,RANK(BF93,$BF$11:$BF$100,0)+(COUNTIF($BF93:$BF$100,BF93)-1))</f>
        <v>0</v>
      </c>
      <c r="BE93" s="94">
        <f t="shared" ca="1" si="29"/>
        <v>0</v>
      </c>
      <c r="BF93" s="94">
        <f t="shared" ca="1" si="30"/>
        <v>0</v>
      </c>
      <c r="BG93" s="94">
        <f t="shared" ca="1" si="31"/>
        <v>0</v>
      </c>
      <c r="BH93" s="94">
        <f t="shared" ca="1" si="32"/>
        <v>0</v>
      </c>
      <c r="BI93" s="94">
        <f t="shared" ca="1" si="33"/>
        <v>0</v>
      </c>
      <c r="BJ93" s="94">
        <f t="shared" ca="1" si="34"/>
        <v>0</v>
      </c>
      <c r="BK93" s="94">
        <f t="shared" ca="1" si="35"/>
        <v>0</v>
      </c>
      <c r="BL93" s="94">
        <f t="shared" ca="1" si="36"/>
        <v>0</v>
      </c>
      <c r="BM93" s="94">
        <f t="shared" ca="1" si="37"/>
        <v>0</v>
      </c>
      <c r="BN93" s="94">
        <f t="shared" ca="1" si="38"/>
        <v>0</v>
      </c>
      <c r="BO93" s="94">
        <f t="shared" ca="1" si="39"/>
        <v>0</v>
      </c>
      <c r="BP93" s="94">
        <f t="shared" ca="1" si="40"/>
        <v>0</v>
      </c>
      <c r="BQ93" s="94">
        <f t="shared" ca="1" si="41"/>
        <v>0</v>
      </c>
      <c r="BR93" s="95">
        <f t="shared" ca="1" si="42"/>
        <v>0</v>
      </c>
      <c r="BS93" s="94">
        <f t="shared" ca="1" si="43"/>
        <v>0</v>
      </c>
      <c r="BT93" s="94">
        <f t="shared" ca="1" si="44"/>
        <v>0</v>
      </c>
      <c r="BU93" s="94">
        <f t="shared" ca="1" si="45"/>
        <v>0</v>
      </c>
      <c r="BV93" s="95">
        <f t="shared" ca="1" si="46"/>
        <v>0</v>
      </c>
      <c r="BW93" s="95" t="str">
        <f t="shared" ca="1" si="47"/>
        <v>000</v>
      </c>
      <c r="BX93" s="94">
        <f t="shared" ca="1" si="48"/>
        <v>0</v>
      </c>
    </row>
    <row r="94" spans="1:76">
      <c r="A94" s="374" t="str">
        <f t="shared" si="49"/>
        <v/>
      </c>
      <c r="B94" s="98">
        <v>11</v>
      </c>
      <c r="C94" s="94">
        <v>-4</v>
      </c>
      <c r="D94" s="94" t="s">
        <v>202</v>
      </c>
      <c r="E94" s="94">
        <v>-2</v>
      </c>
      <c r="F94" s="94">
        <v>3</v>
      </c>
      <c r="G94" s="94">
        <v>1</v>
      </c>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1">
        <f t="shared" ca="1" si="26"/>
        <v>0</v>
      </c>
      <c r="BB94" s="93" t="str">
        <f t="shared" ca="1" si="27"/>
        <v/>
      </c>
      <c r="BC94" s="94">
        <f t="shared" ca="1" si="28"/>
        <v>0</v>
      </c>
      <c r="BD94" s="89">
        <f ca="1">IF(BC94=0,0,RANK(BF94,$BF$11:$BF$100,0)+(COUNTIF($BF94:$BF$100,BF94)-1))</f>
        <v>0</v>
      </c>
      <c r="BE94" s="94">
        <f t="shared" ca="1" si="29"/>
        <v>0</v>
      </c>
      <c r="BF94" s="94">
        <f t="shared" ca="1" si="30"/>
        <v>0</v>
      </c>
      <c r="BG94" s="94">
        <f t="shared" ca="1" si="31"/>
        <v>0</v>
      </c>
      <c r="BH94" s="94">
        <f t="shared" ca="1" si="32"/>
        <v>0</v>
      </c>
      <c r="BI94" s="94">
        <f t="shared" ca="1" si="33"/>
        <v>0</v>
      </c>
      <c r="BJ94" s="94">
        <f t="shared" ca="1" si="34"/>
        <v>0</v>
      </c>
      <c r="BK94" s="94">
        <f t="shared" ca="1" si="35"/>
        <v>0</v>
      </c>
      <c r="BL94" s="94">
        <f t="shared" ca="1" si="36"/>
        <v>0</v>
      </c>
      <c r="BM94" s="94">
        <f t="shared" ca="1" si="37"/>
        <v>0</v>
      </c>
      <c r="BN94" s="94">
        <f t="shared" ca="1" si="38"/>
        <v>0</v>
      </c>
      <c r="BO94" s="94">
        <f t="shared" ca="1" si="39"/>
        <v>0</v>
      </c>
      <c r="BP94" s="94">
        <f t="shared" ca="1" si="40"/>
        <v>0</v>
      </c>
      <c r="BQ94" s="94">
        <f t="shared" ca="1" si="41"/>
        <v>0</v>
      </c>
      <c r="BR94" s="95">
        <f t="shared" ca="1" si="42"/>
        <v>0</v>
      </c>
      <c r="BS94" s="94">
        <f t="shared" ca="1" si="43"/>
        <v>0</v>
      </c>
      <c r="BT94" s="94">
        <f t="shared" ca="1" si="44"/>
        <v>0</v>
      </c>
      <c r="BU94" s="94">
        <f t="shared" ca="1" si="45"/>
        <v>0</v>
      </c>
      <c r="BV94" s="95">
        <f t="shared" ca="1" si="46"/>
        <v>0</v>
      </c>
      <c r="BW94" s="95" t="str">
        <f t="shared" ca="1" si="47"/>
        <v>000</v>
      </c>
      <c r="BX94" s="94">
        <f t="shared" ca="1" si="48"/>
        <v>0</v>
      </c>
    </row>
    <row r="95" spans="1:76">
      <c r="A95" s="374" t="str">
        <f t="shared" si="49"/>
        <v/>
      </c>
      <c r="B95" s="98">
        <v>12</v>
      </c>
      <c r="C95" s="94" t="s">
        <v>202</v>
      </c>
      <c r="D95" s="94">
        <v>2</v>
      </c>
      <c r="E95" s="94">
        <v>-5</v>
      </c>
      <c r="F95" s="94">
        <v>-3</v>
      </c>
      <c r="G95" s="94">
        <v>6</v>
      </c>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1">
        <f t="shared" ca="1" si="26"/>
        <v>0</v>
      </c>
      <c r="BB95" s="93" t="str">
        <f t="shared" ca="1" si="27"/>
        <v/>
      </c>
      <c r="BC95" s="94">
        <f t="shared" ca="1" si="28"/>
        <v>0</v>
      </c>
      <c r="BD95" s="89">
        <f ca="1">IF(BC95=0,0,RANK(BF95,$BF$11:$BF$100,0)+(COUNTIF($BF95:$BF$100,BF95)-1))</f>
        <v>0</v>
      </c>
      <c r="BE95" s="94">
        <f t="shared" ca="1" si="29"/>
        <v>0</v>
      </c>
      <c r="BF95" s="94">
        <f t="shared" ca="1" si="30"/>
        <v>0</v>
      </c>
      <c r="BG95" s="94">
        <f t="shared" ca="1" si="31"/>
        <v>0</v>
      </c>
      <c r="BH95" s="94">
        <f t="shared" ca="1" si="32"/>
        <v>0</v>
      </c>
      <c r="BI95" s="94">
        <f t="shared" ca="1" si="33"/>
        <v>0</v>
      </c>
      <c r="BJ95" s="94">
        <f t="shared" ca="1" si="34"/>
        <v>0</v>
      </c>
      <c r="BK95" s="94">
        <f t="shared" ca="1" si="35"/>
        <v>0</v>
      </c>
      <c r="BL95" s="94">
        <f t="shared" ca="1" si="36"/>
        <v>0</v>
      </c>
      <c r="BM95" s="94">
        <f t="shared" ca="1" si="37"/>
        <v>0</v>
      </c>
      <c r="BN95" s="94">
        <f t="shared" ca="1" si="38"/>
        <v>0</v>
      </c>
      <c r="BO95" s="94">
        <f t="shared" ca="1" si="39"/>
        <v>0</v>
      </c>
      <c r="BP95" s="94">
        <f t="shared" ca="1" si="40"/>
        <v>0</v>
      </c>
      <c r="BQ95" s="94">
        <f t="shared" ca="1" si="41"/>
        <v>0</v>
      </c>
      <c r="BR95" s="95">
        <f t="shared" ca="1" si="42"/>
        <v>0</v>
      </c>
      <c r="BS95" s="94">
        <f t="shared" ca="1" si="43"/>
        <v>0</v>
      </c>
      <c r="BT95" s="94">
        <f t="shared" ca="1" si="44"/>
        <v>0</v>
      </c>
      <c r="BU95" s="94">
        <f t="shared" ca="1" si="45"/>
        <v>0</v>
      </c>
      <c r="BV95" s="95">
        <f t="shared" ca="1" si="46"/>
        <v>0</v>
      </c>
      <c r="BW95" s="95" t="str">
        <f t="shared" ca="1" si="47"/>
        <v>000</v>
      </c>
      <c r="BX95" s="94">
        <f t="shared" ca="1" si="48"/>
        <v>0</v>
      </c>
    </row>
    <row r="96" spans="1:76">
      <c r="A96" s="374" t="str">
        <f t="shared" si="49"/>
        <v/>
      </c>
      <c r="B96" s="98">
        <v>13</v>
      </c>
      <c r="C96" s="94">
        <v>-5</v>
      </c>
      <c r="D96" s="94" t="s">
        <v>202</v>
      </c>
      <c r="E96" s="94">
        <v>2</v>
      </c>
      <c r="F96" s="94">
        <v>4</v>
      </c>
      <c r="G96" s="94">
        <v>-6</v>
      </c>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1">
        <f t="shared" ca="1" si="26"/>
        <v>0</v>
      </c>
      <c r="BB96" s="93" t="str">
        <f t="shared" ca="1" si="27"/>
        <v/>
      </c>
      <c r="BC96" s="94">
        <f t="shared" ca="1" si="28"/>
        <v>0</v>
      </c>
      <c r="BD96" s="89">
        <f ca="1">IF(BC96=0,0,RANK(BF96,$BF$11:$BF$100,0)+(COUNTIF($BF96:$BF$100,BF96)-1))</f>
        <v>0</v>
      </c>
      <c r="BE96" s="94">
        <f t="shared" ca="1" si="29"/>
        <v>0</v>
      </c>
      <c r="BF96" s="94">
        <f t="shared" ca="1" si="30"/>
        <v>0</v>
      </c>
      <c r="BG96" s="94">
        <f t="shared" ca="1" si="31"/>
        <v>0</v>
      </c>
      <c r="BH96" s="94">
        <f t="shared" ca="1" si="32"/>
        <v>0</v>
      </c>
      <c r="BI96" s="94">
        <f t="shared" ca="1" si="33"/>
        <v>0</v>
      </c>
      <c r="BJ96" s="94">
        <f t="shared" ca="1" si="34"/>
        <v>0</v>
      </c>
      <c r="BK96" s="94">
        <f t="shared" ca="1" si="35"/>
        <v>0</v>
      </c>
      <c r="BL96" s="94">
        <f t="shared" ca="1" si="36"/>
        <v>0</v>
      </c>
      <c r="BM96" s="94">
        <f t="shared" ca="1" si="37"/>
        <v>0</v>
      </c>
      <c r="BN96" s="94">
        <f t="shared" ca="1" si="38"/>
        <v>0</v>
      </c>
      <c r="BO96" s="94">
        <f t="shared" ca="1" si="39"/>
        <v>0</v>
      </c>
      <c r="BP96" s="94">
        <f t="shared" ca="1" si="40"/>
        <v>0</v>
      </c>
      <c r="BQ96" s="94">
        <f t="shared" ca="1" si="41"/>
        <v>0</v>
      </c>
      <c r="BR96" s="95">
        <f t="shared" ca="1" si="42"/>
        <v>0</v>
      </c>
      <c r="BS96" s="94">
        <f t="shared" ca="1" si="43"/>
        <v>0</v>
      </c>
      <c r="BT96" s="94">
        <f t="shared" ca="1" si="44"/>
        <v>0</v>
      </c>
      <c r="BU96" s="94">
        <f t="shared" ca="1" si="45"/>
        <v>0</v>
      </c>
      <c r="BV96" s="95">
        <f t="shared" ca="1" si="46"/>
        <v>0</v>
      </c>
      <c r="BW96" s="95" t="str">
        <f t="shared" ca="1" si="47"/>
        <v>000</v>
      </c>
      <c r="BX96" s="94">
        <f t="shared" ca="1" si="48"/>
        <v>0</v>
      </c>
    </row>
    <row r="97" spans="1:76">
      <c r="A97" s="374" t="str">
        <f t="shared" si="49"/>
        <v/>
      </c>
      <c r="B97" s="98" t="s">
        <v>347</v>
      </c>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1">
        <f t="shared" ca="1" si="26"/>
        <v>0</v>
      </c>
      <c r="BB97" s="93" t="str">
        <f t="shared" ca="1" si="27"/>
        <v/>
      </c>
      <c r="BC97" s="94">
        <f t="shared" ca="1" si="28"/>
        <v>0</v>
      </c>
      <c r="BD97" s="89">
        <f ca="1">IF(BC97=0,0,RANK(BF97,$BF$11:$BF$100,0)+(COUNTIF($BF97:$BF$100,BF97)-1))</f>
        <v>0</v>
      </c>
      <c r="BE97" s="94">
        <f t="shared" ca="1" si="29"/>
        <v>0</v>
      </c>
      <c r="BF97" s="94">
        <f t="shared" ca="1" si="30"/>
        <v>0</v>
      </c>
      <c r="BG97" s="94">
        <f t="shared" ca="1" si="31"/>
        <v>0</v>
      </c>
      <c r="BH97" s="94">
        <f t="shared" ca="1" si="32"/>
        <v>0</v>
      </c>
      <c r="BI97" s="94">
        <f t="shared" ca="1" si="33"/>
        <v>0</v>
      </c>
      <c r="BJ97" s="94">
        <f t="shared" ca="1" si="34"/>
        <v>0</v>
      </c>
      <c r="BK97" s="94">
        <f t="shared" ca="1" si="35"/>
        <v>0</v>
      </c>
      <c r="BL97" s="94">
        <f t="shared" ca="1" si="36"/>
        <v>0</v>
      </c>
      <c r="BM97" s="94">
        <f t="shared" ca="1" si="37"/>
        <v>0</v>
      </c>
      <c r="BN97" s="94">
        <f t="shared" ca="1" si="38"/>
        <v>0</v>
      </c>
      <c r="BO97" s="94">
        <f t="shared" ca="1" si="39"/>
        <v>0</v>
      </c>
      <c r="BP97" s="94">
        <f t="shared" ca="1" si="40"/>
        <v>0</v>
      </c>
      <c r="BQ97" s="94">
        <f t="shared" ca="1" si="41"/>
        <v>0</v>
      </c>
      <c r="BR97" s="95">
        <f t="shared" ca="1" si="42"/>
        <v>0</v>
      </c>
      <c r="BS97" s="94">
        <f t="shared" ca="1" si="43"/>
        <v>0</v>
      </c>
      <c r="BT97" s="94">
        <f t="shared" ca="1" si="44"/>
        <v>0</v>
      </c>
      <c r="BU97" s="94">
        <f t="shared" ca="1" si="45"/>
        <v>0</v>
      </c>
      <c r="BV97" s="95">
        <f t="shared" ca="1" si="46"/>
        <v>0</v>
      </c>
      <c r="BW97" s="95" t="str">
        <f t="shared" ca="1" si="47"/>
        <v>000</v>
      </c>
      <c r="BX97" s="94">
        <f t="shared" ca="1" si="48"/>
        <v>0</v>
      </c>
    </row>
    <row r="98" spans="1:76">
      <c r="A98" s="374">
        <f t="shared" si="49"/>
        <v>98</v>
      </c>
      <c r="B98" s="98" t="s">
        <v>348</v>
      </c>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1">
        <f t="shared" ca="1" si="26"/>
        <v>0</v>
      </c>
      <c r="BB98" s="93" t="str">
        <f t="shared" ca="1" si="27"/>
        <v/>
      </c>
      <c r="BC98" s="94">
        <f t="shared" ca="1" si="28"/>
        <v>0</v>
      </c>
      <c r="BD98" s="89">
        <f ca="1">IF(BC98=0,0,RANK(BF98,$BF$11:$BF$100,0)+(COUNTIF($BF98:$BF$100,BF98)-1))</f>
        <v>0</v>
      </c>
      <c r="BE98" s="94">
        <f t="shared" ca="1" si="29"/>
        <v>0</v>
      </c>
      <c r="BF98" s="94">
        <f t="shared" ca="1" si="30"/>
        <v>0</v>
      </c>
      <c r="BG98" s="94">
        <f t="shared" ca="1" si="31"/>
        <v>0</v>
      </c>
      <c r="BH98" s="94">
        <f t="shared" ca="1" si="32"/>
        <v>0</v>
      </c>
      <c r="BI98" s="94">
        <f t="shared" ca="1" si="33"/>
        <v>0</v>
      </c>
      <c r="BJ98" s="94">
        <f t="shared" ca="1" si="34"/>
        <v>0</v>
      </c>
      <c r="BK98" s="94">
        <f t="shared" ca="1" si="35"/>
        <v>0</v>
      </c>
      <c r="BL98" s="94">
        <f t="shared" ca="1" si="36"/>
        <v>0</v>
      </c>
      <c r="BM98" s="94">
        <f t="shared" ca="1" si="37"/>
        <v>0</v>
      </c>
      <c r="BN98" s="94">
        <f t="shared" ca="1" si="38"/>
        <v>0</v>
      </c>
      <c r="BO98" s="94">
        <f t="shared" ca="1" si="39"/>
        <v>0</v>
      </c>
      <c r="BP98" s="94">
        <f t="shared" ca="1" si="40"/>
        <v>0</v>
      </c>
      <c r="BQ98" s="94">
        <f t="shared" ca="1" si="41"/>
        <v>0</v>
      </c>
      <c r="BR98" s="95">
        <f t="shared" ca="1" si="42"/>
        <v>0</v>
      </c>
      <c r="BS98" s="94">
        <f t="shared" ca="1" si="43"/>
        <v>0</v>
      </c>
      <c r="BT98" s="94">
        <f t="shared" ca="1" si="44"/>
        <v>0</v>
      </c>
      <c r="BU98" s="94">
        <f t="shared" ca="1" si="45"/>
        <v>0</v>
      </c>
      <c r="BV98" s="95">
        <f t="shared" ca="1" si="46"/>
        <v>0</v>
      </c>
      <c r="BW98" s="95" t="str">
        <f t="shared" ca="1" si="47"/>
        <v>000</v>
      </c>
      <c r="BX98" s="94">
        <f t="shared" ca="1" si="48"/>
        <v>0</v>
      </c>
    </row>
    <row r="99" spans="1:76">
      <c r="A99" s="374" t="str">
        <f t="shared" si="49"/>
        <v/>
      </c>
      <c r="B99" s="98">
        <v>1</v>
      </c>
      <c r="C99" s="94">
        <v>-4</v>
      </c>
      <c r="D99" s="94" t="s">
        <v>202</v>
      </c>
      <c r="E99" s="94">
        <v>1</v>
      </c>
      <c r="F99" s="94">
        <v>5</v>
      </c>
      <c r="G99" s="94">
        <v>-6</v>
      </c>
      <c r="H99" s="94">
        <v>2</v>
      </c>
      <c r="I99" s="94">
        <v>-3</v>
      </c>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1">
        <f t="shared" ca="1" si="26"/>
        <v>0</v>
      </c>
      <c r="BB99" s="93" t="str">
        <f t="shared" ca="1" si="27"/>
        <v/>
      </c>
      <c r="BC99" s="94">
        <f t="shared" ca="1" si="28"/>
        <v>0</v>
      </c>
      <c r="BD99" s="89">
        <f ca="1">IF(BC99=0,0,RANK(BF99,$BF$11:$BF$100,0)+(COUNTIF($BF99:$BF$100,BF99)-1))</f>
        <v>0</v>
      </c>
      <c r="BE99" s="94">
        <f t="shared" ca="1" si="29"/>
        <v>0</v>
      </c>
      <c r="BF99" s="94">
        <f t="shared" ca="1" si="30"/>
        <v>0</v>
      </c>
      <c r="BG99" s="94">
        <f t="shared" ca="1" si="31"/>
        <v>0</v>
      </c>
      <c r="BH99" s="94">
        <f t="shared" ca="1" si="32"/>
        <v>0</v>
      </c>
      <c r="BI99" s="94">
        <f t="shared" ca="1" si="33"/>
        <v>0</v>
      </c>
      <c r="BJ99" s="94">
        <f t="shared" ca="1" si="34"/>
        <v>0</v>
      </c>
      <c r="BK99" s="94">
        <f t="shared" ca="1" si="35"/>
        <v>0</v>
      </c>
      <c r="BL99" s="94">
        <f t="shared" ca="1" si="36"/>
        <v>0</v>
      </c>
      <c r="BM99" s="94">
        <f t="shared" ca="1" si="37"/>
        <v>0</v>
      </c>
      <c r="BN99" s="94">
        <f t="shared" ca="1" si="38"/>
        <v>0</v>
      </c>
      <c r="BO99" s="94">
        <f t="shared" ca="1" si="39"/>
        <v>0</v>
      </c>
      <c r="BP99" s="94">
        <f t="shared" ca="1" si="40"/>
        <v>0</v>
      </c>
      <c r="BQ99" s="94">
        <f t="shared" ca="1" si="41"/>
        <v>0</v>
      </c>
      <c r="BR99" s="95">
        <f t="shared" ca="1" si="42"/>
        <v>0</v>
      </c>
      <c r="BS99" s="94">
        <f t="shared" ca="1" si="43"/>
        <v>0</v>
      </c>
      <c r="BT99" s="94">
        <f t="shared" ca="1" si="44"/>
        <v>0</v>
      </c>
      <c r="BU99" s="94">
        <f t="shared" ca="1" si="45"/>
        <v>0</v>
      </c>
      <c r="BV99" s="95">
        <f t="shared" ca="1" si="46"/>
        <v>0</v>
      </c>
      <c r="BW99" s="95" t="str">
        <f t="shared" ca="1" si="47"/>
        <v>000</v>
      </c>
      <c r="BX99" s="94">
        <f t="shared" ca="1" si="48"/>
        <v>0</v>
      </c>
    </row>
    <row r="100" spans="1:76">
      <c r="A100" s="374" t="str">
        <f t="shared" si="49"/>
        <v/>
      </c>
      <c r="B100" s="98">
        <v>2</v>
      </c>
      <c r="C100" s="94">
        <v>6</v>
      </c>
      <c r="D100" s="94">
        <v>-2</v>
      </c>
      <c r="E100" s="94">
        <v>5</v>
      </c>
      <c r="F100" s="94">
        <v>-1</v>
      </c>
      <c r="G100" s="94" t="s">
        <v>202</v>
      </c>
      <c r="H100" s="94">
        <v>-4</v>
      </c>
      <c r="I100" s="94">
        <v>3</v>
      </c>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368">
        <f t="shared" ca="1" si="26"/>
        <v>0</v>
      </c>
      <c r="BB100" s="369" t="str">
        <f t="shared" ca="1" si="27"/>
        <v/>
      </c>
      <c r="BC100" s="92">
        <f t="shared" ca="1" si="28"/>
        <v>0</v>
      </c>
      <c r="BD100" s="92">
        <f ca="1">IF(BC100=0,0,RANK(BF100,$BF$11:$BF$100,0)+(COUNTIF($BF100:$BF$100,BF100)-1))</f>
        <v>0</v>
      </c>
      <c r="BE100" s="92">
        <f t="shared" ca="1" si="29"/>
        <v>0</v>
      </c>
      <c r="BF100" s="92">
        <f t="shared" ca="1" si="30"/>
        <v>0</v>
      </c>
      <c r="BG100" s="92">
        <f t="shared" ca="1" si="31"/>
        <v>0</v>
      </c>
      <c r="BH100" s="92">
        <f t="shared" ca="1" si="32"/>
        <v>0</v>
      </c>
      <c r="BI100" s="92">
        <f t="shared" ca="1" si="33"/>
        <v>0</v>
      </c>
      <c r="BJ100" s="92">
        <f t="shared" ca="1" si="34"/>
        <v>0</v>
      </c>
      <c r="BK100" s="92">
        <f t="shared" ca="1" si="35"/>
        <v>0</v>
      </c>
      <c r="BL100" s="92">
        <f t="shared" ca="1" si="36"/>
        <v>0</v>
      </c>
      <c r="BM100" s="92">
        <f t="shared" ca="1" si="37"/>
        <v>0</v>
      </c>
      <c r="BN100" s="92">
        <f t="shared" ca="1" si="38"/>
        <v>0</v>
      </c>
      <c r="BO100" s="92">
        <f t="shared" ca="1" si="39"/>
        <v>0</v>
      </c>
      <c r="BP100" s="92">
        <f t="shared" ca="1" si="40"/>
        <v>0</v>
      </c>
      <c r="BQ100" s="92">
        <f t="shared" ca="1" si="41"/>
        <v>0</v>
      </c>
      <c r="BR100" s="233">
        <f t="shared" ca="1" si="42"/>
        <v>0</v>
      </c>
      <c r="BS100" s="92">
        <f t="shared" ca="1" si="43"/>
        <v>0</v>
      </c>
      <c r="BT100" s="92">
        <f t="shared" ca="1" si="44"/>
        <v>0</v>
      </c>
      <c r="BU100" s="92">
        <f t="shared" ca="1" si="45"/>
        <v>0</v>
      </c>
      <c r="BV100" s="233">
        <f t="shared" ca="1" si="46"/>
        <v>0</v>
      </c>
      <c r="BW100" s="233" t="str">
        <f t="shared" ca="1" si="47"/>
        <v>000</v>
      </c>
      <c r="BX100" s="92">
        <f t="shared" ca="1" si="48"/>
        <v>0</v>
      </c>
    </row>
    <row r="101" spans="1:76">
      <c r="A101" s="374" t="str">
        <f t="shared" si="49"/>
        <v/>
      </c>
      <c r="B101" s="98">
        <v>3</v>
      </c>
      <c r="C101" s="94">
        <v>-3</v>
      </c>
      <c r="D101" s="94">
        <v>2</v>
      </c>
      <c r="E101" s="94">
        <v>-1</v>
      </c>
      <c r="F101" s="94" t="s">
        <v>202</v>
      </c>
      <c r="G101" s="94">
        <v>3</v>
      </c>
      <c r="H101" s="94">
        <v>6</v>
      </c>
      <c r="I101" s="94">
        <v>-4</v>
      </c>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5"/>
      <c r="BE101" s="87"/>
      <c r="BF101" s="87"/>
    </row>
    <row r="102" spans="1:76">
      <c r="A102" s="374" t="str">
        <f t="shared" si="49"/>
        <v/>
      </c>
      <c r="B102" s="98">
        <v>4</v>
      </c>
      <c r="C102" s="94">
        <v>-6</v>
      </c>
      <c r="D102" s="94">
        <v>5</v>
      </c>
      <c r="E102" s="94">
        <v>-2</v>
      </c>
      <c r="F102" s="94">
        <v>-3</v>
      </c>
      <c r="G102" s="94">
        <v>6</v>
      </c>
      <c r="H102" s="94" t="s">
        <v>202</v>
      </c>
      <c r="I102" s="94">
        <v>4</v>
      </c>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5"/>
      <c r="BE102" s="87"/>
      <c r="BF102" s="87"/>
    </row>
    <row r="103" spans="1:76">
      <c r="A103" s="374" t="str">
        <f t="shared" si="49"/>
        <v/>
      </c>
      <c r="B103" s="98">
        <v>5</v>
      </c>
      <c r="C103" s="94">
        <v>3</v>
      </c>
      <c r="D103" s="94">
        <v>-5</v>
      </c>
      <c r="E103" s="94" t="s">
        <v>202</v>
      </c>
      <c r="F103" s="94">
        <v>1</v>
      </c>
      <c r="G103" s="94">
        <v>4</v>
      </c>
      <c r="H103" s="94">
        <v>-2</v>
      </c>
      <c r="I103" s="94">
        <v>-6</v>
      </c>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5"/>
      <c r="BE103" s="87"/>
      <c r="BF103" s="87"/>
    </row>
    <row r="104" spans="1:76">
      <c r="A104" s="374" t="str">
        <f t="shared" si="49"/>
        <v/>
      </c>
      <c r="B104" s="98">
        <v>6</v>
      </c>
      <c r="C104" s="94" t="s">
        <v>202</v>
      </c>
      <c r="D104" s="94">
        <v>-1</v>
      </c>
      <c r="E104" s="94">
        <v>2</v>
      </c>
      <c r="F104" s="94">
        <v>-5</v>
      </c>
      <c r="G104" s="94">
        <v>-3</v>
      </c>
      <c r="H104" s="94">
        <v>4</v>
      </c>
      <c r="I104" s="94">
        <v>6</v>
      </c>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5"/>
      <c r="BE104" s="87"/>
      <c r="BF104" s="87"/>
    </row>
    <row r="105" spans="1:76">
      <c r="A105" s="374" t="str">
        <f t="shared" si="49"/>
        <v/>
      </c>
      <c r="B105" s="99">
        <v>7</v>
      </c>
      <c r="C105" s="92">
        <v>4</v>
      </c>
      <c r="D105" s="92">
        <v>1</v>
      </c>
      <c r="E105" s="92">
        <v>-5</v>
      </c>
      <c r="F105" s="92">
        <v>3</v>
      </c>
      <c r="G105" s="92">
        <v>-4</v>
      </c>
      <c r="H105" s="92">
        <v>-6</v>
      </c>
      <c r="I105" s="92" t="s">
        <v>202</v>
      </c>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5"/>
      <c r="BE105" s="87"/>
      <c r="BF105" s="87"/>
    </row>
    <row r="106" spans="1:76">
      <c r="A106" s="374" t="str">
        <f t="shared" si="49"/>
        <v/>
      </c>
      <c r="B106" s="98">
        <v>8</v>
      </c>
      <c r="C106" s="94">
        <v>-5</v>
      </c>
      <c r="D106" s="94">
        <v>6</v>
      </c>
      <c r="E106" s="94" t="s">
        <v>202</v>
      </c>
      <c r="F106" s="94">
        <v>-4</v>
      </c>
      <c r="G106" s="94">
        <v>-1</v>
      </c>
      <c r="H106" s="94">
        <v>3</v>
      </c>
      <c r="I106" s="94">
        <v>2</v>
      </c>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5"/>
      <c r="BE106" s="87"/>
      <c r="BF106" s="87"/>
    </row>
    <row r="107" spans="1:76">
      <c r="A107" s="374" t="str">
        <f t="shared" si="49"/>
        <v/>
      </c>
      <c r="B107" s="98">
        <v>9</v>
      </c>
      <c r="C107" s="94">
        <v>1</v>
      </c>
      <c r="D107" s="94">
        <v>4</v>
      </c>
      <c r="E107" s="94">
        <v>-3</v>
      </c>
      <c r="F107" s="94">
        <v>-6</v>
      </c>
      <c r="G107" s="94" t="s">
        <v>202</v>
      </c>
      <c r="H107" s="94">
        <v>5</v>
      </c>
      <c r="I107" s="94">
        <v>-2</v>
      </c>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5"/>
      <c r="BE107" s="87"/>
      <c r="BF107" s="87"/>
    </row>
    <row r="108" spans="1:76">
      <c r="A108" s="374" t="str">
        <f t="shared" si="49"/>
        <v/>
      </c>
      <c r="B108" s="98">
        <v>10</v>
      </c>
      <c r="C108" s="94">
        <v>-2</v>
      </c>
      <c r="D108" s="94">
        <v>-6</v>
      </c>
      <c r="E108" s="94">
        <v>3</v>
      </c>
      <c r="F108" s="94" t="s">
        <v>202</v>
      </c>
      <c r="G108" s="94">
        <v>2</v>
      </c>
      <c r="H108" s="94">
        <v>-1</v>
      </c>
      <c r="I108" s="94">
        <v>5</v>
      </c>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5"/>
      <c r="BE108" s="87"/>
      <c r="BF108" s="87"/>
    </row>
    <row r="109" spans="1:76">
      <c r="A109" s="374" t="str">
        <f t="shared" si="49"/>
        <v/>
      </c>
      <c r="B109" s="98">
        <v>11</v>
      </c>
      <c r="C109" s="94">
        <v>-1</v>
      </c>
      <c r="D109" s="94">
        <v>3</v>
      </c>
      <c r="E109" s="94">
        <v>4</v>
      </c>
      <c r="F109" s="94">
        <v>-2</v>
      </c>
      <c r="G109" s="94">
        <v>1</v>
      </c>
      <c r="H109" s="94" t="s">
        <v>202</v>
      </c>
      <c r="I109" s="94">
        <v>-5</v>
      </c>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5"/>
      <c r="BE109" s="87"/>
      <c r="BF109" s="87"/>
    </row>
    <row r="110" spans="1:76">
      <c r="A110" s="374" t="str">
        <f t="shared" si="49"/>
        <v/>
      </c>
      <c r="B110" s="98">
        <v>12</v>
      </c>
      <c r="C110" s="94">
        <v>2</v>
      </c>
      <c r="D110" s="94" t="s">
        <v>202</v>
      </c>
      <c r="E110" s="94">
        <v>-4</v>
      </c>
      <c r="F110" s="94">
        <v>6</v>
      </c>
      <c r="G110" s="94">
        <v>5</v>
      </c>
      <c r="H110" s="94">
        <v>-3</v>
      </c>
      <c r="I110" s="94">
        <v>-1</v>
      </c>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5"/>
      <c r="BE110" s="87"/>
      <c r="BF110" s="87"/>
    </row>
    <row r="111" spans="1:76">
      <c r="A111" s="374" t="str">
        <f t="shared" si="49"/>
        <v/>
      </c>
      <c r="B111" s="98">
        <v>13</v>
      </c>
      <c r="C111" s="94" t="s">
        <v>202</v>
      </c>
      <c r="D111" s="94">
        <v>-3</v>
      </c>
      <c r="E111" s="94">
        <v>6</v>
      </c>
      <c r="F111" s="94">
        <v>4</v>
      </c>
      <c r="G111" s="94">
        <v>-2</v>
      </c>
      <c r="H111" s="94">
        <v>-5</v>
      </c>
      <c r="I111" s="94">
        <v>1</v>
      </c>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5"/>
      <c r="BE111" s="87"/>
      <c r="BF111" s="87"/>
    </row>
    <row r="112" spans="1:76">
      <c r="A112" s="374" t="str">
        <f t="shared" si="49"/>
        <v/>
      </c>
      <c r="B112" s="98">
        <v>14</v>
      </c>
      <c r="C112" s="94">
        <v>5</v>
      </c>
      <c r="D112" s="94">
        <v>-4</v>
      </c>
      <c r="E112" s="94">
        <v>-6</v>
      </c>
      <c r="F112" s="94">
        <v>2</v>
      </c>
      <c r="G112" s="94">
        <v>-5</v>
      </c>
      <c r="H112" s="94">
        <v>1</v>
      </c>
      <c r="I112" s="94" t="s">
        <v>202</v>
      </c>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5"/>
      <c r="BE112" s="87"/>
      <c r="BF112" s="87"/>
    </row>
    <row r="113" spans="1:53" s="87" customFormat="1">
      <c r="A113" s="374" t="str">
        <f t="shared" si="49"/>
        <v/>
      </c>
      <c r="B113" s="98" t="s">
        <v>349</v>
      </c>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5"/>
    </row>
    <row r="114" spans="1:53" s="87" customFormat="1">
      <c r="A114" s="374">
        <f t="shared" si="49"/>
        <v>114</v>
      </c>
      <c r="B114" s="98" t="s">
        <v>1126</v>
      </c>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5"/>
    </row>
    <row r="115" spans="1:53" s="87" customFormat="1">
      <c r="A115" s="374" t="str">
        <f t="shared" si="49"/>
        <v/>
      </c>
      <c r="B115" s="98">
        <v>1</v>
      </c>
      <c r="C115" s="94">
        <v>2</v>
      </c>
      <c r="D115" s="94">
        <v>6</v>
      </c>
      <c r="E115" s="94">
        <v>-5</v>
      </c>
      <c r="F115" s="94">
        <v>-1</v>
      </c>
      <c r="G115" s="94">
        <v>3</v>
      </c>
      <c r="H115" s="94" t="s">
        <v>202</v>
      </c>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5"/>
    </row>
    <row r="116" spans="1:53" s="87" customFormat="1">
      <c r="A116" s="374" t="str">
        <f t="shared" si="49"/>
        <v/>
      </c>
      <c r="B116" s="98">
        <v>2</v>
      </c>
      <c r="C116" s="94">
        <v>5</v>
      </c>
      <c r="D116" s="94">
        <v>1</v>
      </c>
      <c r="E116" s="94">
        <v>-2</v>
      </c>
      <c r="F116" s="94">
        <v>6</v>
      </c>
      <c r="G116" s="94">
        <v>-3</v>
      </c>
      <c r="H116" s="94" t="s">
        <v>202</v>
      </c>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5"/>
    </row>
    <row r="117" spans="1:53" s="87" customFormat="1">
      <c r="A117" s="374" t="str">
        <f t="shared" si="49"/>
        <v/>
      </c>
      <c r="B117" s="98">
        <v>3</v>
      </c>
      <c r="C117" s="94">
        <v>6</v>
      </c>
      <c r="D117" s="94">
        <v>-3</v>
      </c>
      <c r="E117" s="94">
        <v>2</v>
      </c>
      <c r="F117" s="94">
        <v>1</v>
      </c>
      <c r="G117" s="94">
        <v>-4</v>
      </c>
      <c r="H117" s="94" t="s">
        <v>202</v>
      </c>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5"/>
    </row>
    <row r="118" spans="1:53" s="87" customFormat="1">
      <c r="A118" s="374" t="str">
        <f t="shared" si="49"/>
        <v/>
      </c>
      <c r="B118" s="98">
        <v>4</v>
      </c>
      <c r="C118" s="94">
        <v>-5</v>
      </c>
      <c r="D118" s="94">
        <v>-6</v>
      </c>
      <c r="E118" s="94">
        <v>1</v>
      </c>
      <c r="F118" s="94">
        <v>-3</v>
      </c>
      <c r="G118" s="94">
        <v>4</v>
      </c>
      <c r="H118" s="94" t="s">
        <v>202</v>
      </c>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5"/>
    </row>
    <row r="119" spans="1:53" s="87" customFormat="1">
      <c r="A119" s="374" t="str">
        <f t="shared" si="49"/>
        <v/>
      </c>
      <c r="B119" s="98">
        <v>5</v>
      </c>
      <c r="C119" s="94">
        <v>-2</v>
      </c>
      <c r="D119" s="94">
        <v>3</v>
      </c>
      <c r="E119" s="94">
        <v>-1</v>
      </c>
      <c r="F119" s="94">
        <v>-6</v>
      </c>
      <c r="G119" s="94" t="s">
        <v>202</v>
      </c>
      <c r="H119" s="94">
        <v>4</v>
      </c>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5"/>
    </row>
    <row r="120" spans="1:53" s="87" customFormat="1">
      <c r="A120" s="374" t="str">
        <f t="shared" si="49"/>
        <v/>
      </c>
      <c r="B120" s="99">
        <v>6</v>
      </c>
      <c r="C120" s="92">
        <v>-6</v>
      </c>
      <c r="D120" s="92">
        <v>-1</v>
      </c>
      <c r="E120" s="92">
        <v>5</v>
      </c>
      <c r="F120" s="92">
        <v>3</v>
      </c>
      <c r="G120" s="92" t="s">
        <v>202</v>
      </c>
      <c r="H120" s="94">
        <v>-4</v>
      </c>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5"/>
    </row>
    <row r="121" spans="1:53" s="87" customFormat="1">
      <c r="A121" s="374" t="str">
        <f t="shared" si="49"/>
        <v/>
      </c>
      <c r="B121" s="98">
        <v>7</v>
      </c>
      <c r="C121" s="94">
        <v>-4</v>
      </c>
      <c r="D121" s="94" t="s">
        <v>202</v>
      </c>
      <c r="E121" s="94">
        <v>3</v>
      </c>
      <c r="F121" s="94">
        <v>5</v>
      </c>
      <c r="G121" s="94">
        <v>-2</v>
      </c>
      <c r="H121" s="94">
        <v>-6</v>
      </c>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5"/>
    </row>
    <row r="122" spans="1:53" s="87" customFormat="1">
      <c r="A122" s="374" t="str">
        <f t="shared" si="49"/>
        <v/>
      </c>
      <c r="B122" s="98">
        <v>8</v>
      </c>
      <c r="C122" s="94">
        <v>4</v>
      </c>
      <c r="D122" s="94" t="s">
        <v>202</v>
      </c>
      <c r="E122" s="94">
        <v>6</v>
      </c>
      <c r="F122" s="94">
        <v>-2</v>
      </c>
      <c r="G122" s="94">
        <v>-5</v>
      </c>
      <c r="H122" s="94">
        <v>3</v>
      </c>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5"/>
    </row>
    <row r="123" spans="1:53" s="87" customFormat="1">
      <c r="A123" s="374" t="str">
        <f t="shared" si="49"/>
        <v/>
      </c>
      <c r="B123" s="98">
        <v>9</v>
      </c>
      <c r="C123" s="94" t="s">
        <v>202</v>
      </c>
      <c r="D123" s="94">
        <v>4</v>
      </c>
      <c r="E123" s="94">
        <v>-6</v>
      </c>
      <c r="F123" s="94">
        <v>-5</v>
      </c>
      <c r="G123" s="94">
        <v>1</v>
      </c>
      <c r="H123" s="94">
        <v>2</v>
      </c>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5"/>
    </row>
    <row r="124" spans="1:53" s="87" customFormat="1">
      <c r="A124" s="374" t="str">
        <f t="shared" si="49"/>
        <v/>
      </c>
      <c r="B124" s="99">
        <v>10</v>
      </c>
      <c r="C124" s="92" t="s">
        <v>202</v>
      </c>
      <c r="D124" s="92">
        <v>-4</v>
      </c>
      <c r="E124" s="92">
        <v>-3</v>
      </c>
      <c r="F124" s="92">
        <v>2</v>
      </c>
      <c r="G124" s="92">
        <v>-6</v>
      </c>
      <c r="H124" s="94">
        <v>5</v>
      </c>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5"/>
    </row>
    <row r="125" spans="1:53" s="87" customFormat="1">
      <c r="A125" s="374" t="str">
        <f t="shared" si="49"/>
        <v/>
      </c>
      <c r="B125" s="98">
        <v>11</v>
      </c>
      <c r="C125" s="94">
        <v>1</v>
      </c>
      <c r="D125" s="94">
        <v>5</v>
      </c>
      <c r="E125" s="94">
        <v>-4</v>
      </c>
      <c r="F125" s="94" t="s">
        <v>202</v>
      </c>
      <c r="G125" s="94">
        <v>2</v>
      </c>
      <c r="H125" s="94">
        <v>-3</v>
      </c>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5"/>
    </row>
    <row r="126" spans="1:53" s="87" customFormat="1">
      <c r="A126" s="374" t="str">
        <f t="shared" si="49"/>
        <v/>
      </c>
      <c r="B126" s="98">
        <v>12</v>
      </c>
      <c r="C126" s="94">
        <v>-1</v>
      </c>
      <c r="D126" s="94">
        <v>2</v>
      </c>
      <c r="E126" s="94" t="s">
        <v>202</v>
      </c>
      <c r="F126" s="94">
        <v>-4</v>
      </c>
      <c r="G126" s="94">
        <v>5</v>
      </c>
      <c r="H126" s="94">
        <v>6</v>
      </c>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c r="AW126" s="94"/>
      <c r="AX126" s="94"/>
      <c r="AY126" s="94"/>
      <c r="AZ126" s="94"/>
      <c r="BA126" s="95"/>
    </row>
    <row r="127" spans="1:53" s="87" customFormat="1">
      <c r="A127" s="374" t="str">
        <f t="shared" si="49"/>
        <v/>
      </c>
      <c r="B127" s="98">
        <v>13</v>
      </c>
      <c r="C127" s="94">
        <v>3</v>
      </c>
      <c r="D127" s="94">
        <v>-2</v>
      </c>
      <c r="E127" s="94">
        <v>4</v>
      </c>
      <c r="F127" s="94" t="s">
        <v>202</v>
      </c>
      <c r="G127" s="94">
        <v>-1</v>
      </c>
      <c r="H127" s="94">
        <v>-5</v>
      </c>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AZ127" s="94"/>
      <c r="BA127" s="95"/>
    </row>
    <row r="128" spans="1:53" s="87" customFormat="1">
      <c r="A128" s="374" t="str">
        <f t="shared" si="49"/>
        <v/>
      </c>
      <c r="B128" s="98">
        <v>14</v>
      </c>
      <c r="C128" s="94">
        <v>-3</v>
      </c>
      <c r="D128" s="94">
        <v>-5</v>
      </c>
      <c r="E128" s="94" t="s">
        <v>202</v>
      </c>
      <c r="F128" s="94">
        <v>4</v>
      </c>
      <c r="G128" s="94">
        <v>6</v>
      </c>
      <c r="H128" s="94">
        <v>-2</v>
      </c>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5"/>
    </row>
    <row r="129" spans="1:53" s="87" customFormat="1">
      <c r="A129" s="374" t="str">
        <f t="shared" si="49"/>
        <v/>
      </c>
      <c r="B129" s="317" t="s">
        <v>1127</v>
      </c>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5"/>
    </row>
    <row r="130" spans="1:53" s="87" customFormat="1">
      <c r="A130" s="374">
        <f t="shared" si="49"/>
        <v>130</v>
      </c>
      <c r="B130" s="98" t="s">
        <v>350</v>
      </c>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5"/>
    </row>
    <row r="131" spans="1:53" s="87" customFormat="1">
      <c r="A131" s="374" t="str">
        <f t="shared" si="49"/>
        <v/>
      </c>
      <c r="B131" s="98">
        <v>1</v>
      </c>
      <c r="C131" s="94">
        <v>4</v>
      </c>
      <c r="D131" s="94">
        <v>-5</v>
      </c>
      <c r="E131" s="94" t="s">
        <v>202</v>
      </c>
      <c r="F131" s="94">
        <v>-1</v>
      </c>
      <c r="G131" s="94">
        <v>3</v>
      </c>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5"/>
    </row>
    <row r="132" spans="1:53" s="87" customFormat="1">
      <c r="A132" s="374" t="str">
        <f t="shared" si="49"/>
        <v/>
      </c>
      <c r="B132" s="98">
        <v>2</v>
      </c>
      <c r="C132" s="94">
        <v>6</v>
      </c>
      <c r="D132" s="94">
        <v>2</v>
      </c>
      <c r="E132" s="94">
        <v>-1</v>
      </c>
      <c r="F132" s="94" t="s">
        <v>202</v>
      </c>
      <c r="G132" s="94">
        <v>-3</v>
      </c>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5"/>
    </row>
    <row r="133" spans="1:53" s="87" customFormat="1">
      <c r="A133" s="374" t="str">
        <f t="shared" si="49"/>
        <v/>
      </c>
      <c r="B133" s="98">
        <v>3</v>
      </c>
      <c r="C133" s="94" t="s">
        <v>202</v>
      </c>
      <c r="D133" s="94">
        <v>5</v>
      </c>
      <c r="E133" s="94">
        <v>1</v>
      </c>
      <c r="F133" s="94">
        <v>-3</v>
      </c>
      <c r="G133" s="94">
        <v>-4</v>
      </c>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c r="AW133" s="94"/>
      <c r="AX133" s="94"/>
      <c r="AY133" s="94"/>
      <c r="AZ133" s="94"/>
      <c r="BA133" s="95"/>
    </row>
    <row r="134" spans="1:53" s="87" customFormat="1">
      <c r="A134" s="374" t="str">
        <f t="shared" si="49"/>
        <v/>
      </c>
      <c r="B134" s="98">
        <v>4</v>
      </c>
      <c r="C134" s="94">
        <v>-6</v>
      </c>
      <c r="D134" s="94" t="s">
        <v>202</v>
      </c>
      <c r="E134" s="94">
        <v>-5</v>
      </c>
      <c r="F134" s="94">
        <v>1</v>
      </c>
      <c r="G134" s="94">
        <v>4</v>
      </c>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c r="AZ134" s="94"/>
      <c r="BA134" s="95"/>
    </row>
    <row r="135" spans="1:53" s="87" customFormat="1">
      <c r="A135" s="374" t="str">
        <f t="shared" si="49"/>
        <v/>
      </c>
      <c r="B135" s="99">
        <v>5</v>
      </c>
      <c r="C135" s="92">
        <v>-4</v>
      </c>
      <c r="D135" s="92">
        <v>-2</v>
      </c>
      <c r="E135" s="92">
        <v>5</v>
      </c>
      <c r="F135" s="92">
        <v>3</v>
      </c>
      <c r="G135" s="92" t="s">
        <v>202</v>
      </c>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5"/>
    </row>
    <row r="136" spans="1:53" s="87" customFormat="1">
      <c r="A136" s="374" t="str">
        <f t="shared" si="49"/>
        <v/>
      </c>
      <c r="B136" s="98">
        <v>6</v>
      </c>
      <c r="C136" s="94">
        <v>-3</v>
      </c>
      <c r="D136" s="94">
        <v>-6</v>
      </c>
      <c r="E136" s="94">
        <v>4</v>
      </c>
      <c r="F136" s="94" t="s">
        <v>202</v>
      </c>
      <c r="G136" s="94">
        <v>2</v>
      </c>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5"/>
    </row>
    <row r="137" spans="1:53" s="87" customFormat="1">
      <c r="A137" s="374" t="str">
        <f t="shared" si="49"/>
        <v/>
      </c>
      <c r="B137" s="98">
        <v>7</v>
      </c>
      <c r="C137" s="94" t="s">
        <v>202</v>
      </c>
      <c r="D137" s="94">
        <v>1</v>
      </c>
      <c r="E137" s="94">
        <v>3</v>
      </c>
      <c r="F137" s="94">
        <v>-6</v>
      </c>
      <c r="G137" s="94">
        <v>-2</v>
      </c>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5"/>
    </row>
    <row r="138" spans="1:53" s="87" customFormat="1">
      <c r="A138" s="374" t="str">
        <f t="shared" si="49"/>
        <v/>
      </c>
      <c r="B138" s="98">
        <v>8</v>
      </c>
      <c r="C138" s="94">
        <v>3</v>
      </c>
      <c r="D138" s="94">
        <v>-1</v>
      </c>
      <c r="E138" s="94" t="s">
        <v>202</v>
      </c>
      <c r="F138" s="94">
        <v>4</v>
      </c>
      <c r="G138" s="94">
        <v>-5</v>
      </c>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5"/>
    </row>
    <row r="139" spans="1:53" s="87" customFormat="1">
      <c r="A139" s="374" t="str">
        <f t="shared" si="49"/>
        <v/>
      </c>
      <c r="B139" s="98">
        <v>9</v>
      </c>
      <c r="C139" s="94">
        <v>-2</v>
      </c>
      <c r="D139" s="94" t="s">
        <v>202</v>
      </c>
      <c r="E139" s="94">
        <v>-4</v>
      </c>
      <c r="F139" s="94">
        <v>6</v>
      </c>
      <c r="G139" s="94">
        <v>5</v>
      </c>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5"/>
    </row>
    <row r="140" spans="1:53" s="87" customFormat="1">
      <c r="A140" s="374" t="str">
        <f t="shared" ref="A140:A203" si="50">IF(MID(B140,3,2)="06",ROW(),"")</f>
        <v/>
      </c>
      <c r="B140" s="99">
        <v>10</v>
      </c>
      <c r="C140" s="92">
        <v>2</v>
      </c>
      <c r="D140" s="92">
        <v>6</v>
      </c>
      <c r="E140" s="92">
        <v>-3</v>
      </c>
      <c r="F140" s="92">
        <v>-4</v>
      </c>
      <c r="G140" s="92" t="s">
        <v>202</v>
      </c>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c r="AZ140" s="94"/>
      <c r="BA140" s="95"/>
    </row>
    <row r="141" spans="1:53" s="87" customFormat="1">
      <c r="A141" s="374" t="str">
        <f t="shared" si="50"/>
        <v/>
      </c>
      <c r="B141" s="98">
        <v>11</v>
      </c>
      <c r="C141" s="94">
        <v>-5</v>
      </c>
      <c r="D141" s="94">
        <v>-3</v>
      </c>
      <c r="E141" s="94">
        <v>2</v>
      </c>
      <c r="F141" s="94" t="s">
        <v>202</v>
      </c>
      <c r="G141" s="94">
        <v>1</v>
      </c>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5"/>
    </row>
    <row r="142" spans="1:53" s="87" customFormat="1">
      <c r="A142" s="374" t="str">
        <f t="shared" si="50"/>
        <v/>
      </c>
      <c r="B142" s="98">
        <v>12</v>
      </c>
      <c r="C142" s="94" t="s">
        <v>202</v>
      </c>
      <c r="D142" s="94">
        <v>4</v>
      </c>
      <c r="E142" s="94">
        <v>6</v>
      </c>
      <c r="F142" s="94">
        <v>-5</v>
      </c>
      <c r="G142" s="94">
        <v>-1</v>
      </c>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5"/>
    </row>
    <row r="143" spans="1:53" s="87" customFormat="1">
      <c r="A143" s="374" t="str">
        <f t="shared" si="50"/>
        <v/>
      </c>
      <c r="B143" s="98">
        <v>13</v>
      </c>
      <c r="C143" s="94">
        <v>5</v>
      </c>
      <c r="D143" s="94">
        <v>-4</v>
      </c>
      <c r="E143" s="94" t="s">
        <v>202</v>
      </c>
      <c r="F143" s="94">
        <v>2</v>
      </c>
      <c r="G143" s="94">
        <v>-6</v>
      </c>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5"/>
    </row>
    <row r="144" spans="1:53" s="87" customFormat="1">
      <c r="A144" s="374" t="str">
        <f t="shared" si="50"/>
        <v/>
      </c>
      <c r="B144" s="98">
        <v>14</v>
      </c>
      <c r="C144" s="94">
        <v>-1</v>
      </c>
      <c r="D144" s="94" t="s">
        <v>202</v>
      </c>
      <c r="E144" s="94">
        <v>-2</v>
      </c>
      <c r="F144" s="94">
        <v>5</v>
      </c>
      <c r="G144" s="94">
        <v>6</v>
      </c>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5"/>
    </row>
    <row r="145" spans="1:53" s="87" customFormat="1">
      <c r="A145" s="374" t="str">
        <f t="shared" si="50"/>
        <v/>
      </c>
      <c r="B145" s="98">
        <v>15</v>
      </c>
      <c r="C145" s="94">
        <v>1</v>
      </c>
      <c r="D145" s="94">
        <v>3</v>
      </c>
      <c r="E145" s="94">
        <v>-6</v>
      </c>
      <c r="F145" s="94">
        <v>-2</v>
      </c>
      <c r="G145" s="94" t="s">
        <v>202</v>
      </c>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5"/>
    </row>
    <row r="146" spans="1:53" s="87" customFormat="1">
      <c r="A146" s="374" t="str">
        <f t="shared" si="50"/>
        <v/>
      </c>
      <c r="B146" s="98" t="s">
        <v>351</v>
      </c>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5"/>
    </row>
    <row r="147" spans="1:53" s="87" customFormat="1">
      <c r="A147" s="374">
        <f t="shared" si="50"/>
        <v>147</v>
      </c>
      <c r="B147" s="98" t="s">
        <v>1097</v>
      </c>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5"/>
    </row>
    <row r="148" spans="1:53" s="87" customFormat="1">
      <c r="A148" s="374" t="str">
        <f t="shared" si="50"/>
        <v/>
      </c>
      <c r="B148" s="98">
        <v>1</v>
      </c>
      <c r="C148" s="94" t="s">
        <v>210</v>
      </c>
      <c r="D148" s="94">
        <v>-1</v>
      </c>
      <c r="E148" s="94">
        <v>-3</v>
      </c>
      <c r="F148" s="94">
        <v>-4</v>
      </c>
      <c r="G148" s="94" t="s">
        <v>210</v>
      </c>
      <c r="H148" s="94">
        <v>5</v>
      </c>
      <c r="I148" s="94">
        <v>-2</v>
      </c>
      <c r="J148" s="94">
        <v>1</v>
      </c>
      <c r="K148" s="94" t="s">
        <v>210</v>
      </c>
      <c r="L148" s="94">
        <v>2</v>
      </c>
      <c r="M148" s="94">
        <v>-6</v>
      </c>
      <c r="N148" s="94">
        <v>3</v>
      </c>
      <c r="O148" s="94">
        <v>-2</v>
      </c>
      <c r="P148" s="94">
        <v>-1</v>
      </c>
      <c r="Q148" s="94" t="s">
        <v>210</v>
      </c>
      <c r="R148" s="94">
        <v>-5</v>
      </c>
      <c r="S148" s="94">
        <v>6</v>
      </c>
      <c r="T148" s="94">
        <v>4</v>
      </c>
      <c r="U148" s="94" t="s">
        <v>210</v>
      </c>
      <c r="V148" s="94">
        <v>3</v>
      </c>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5"/>
    </row>
    <row r="149" spans="1:53" s="87" customFormat="1">
      <c r="A149" s="374" t="str">
        <f t="shared" si="50"/>
        <v/>
      </c>
      <c r="B149" s="98">
        <v>2</v>
      </c>
      <c r="C149" s="94">
        <v>-3</v>
      </c>
      <c r="D149" s="94">
        <v>-2</v>
      </c>
      <c r="E149" s="94" t="s">
        <v>210</v>
      </c>
      <c r="F149" s="94">
        <v>-1</v>
      </c>
      <c r="G149" s="94">
        <v>4</v>
      </c>
      <c r="H149" s="94">
        <v>6</v>
      </c>
      <c r="I149" s="94" t="s">
        <v>210</v>
      </c>
      <c r="J149" s="94">
        <v>-5</v>
      </c>
      <c r="K149" s="94">
        <v>-1</v>
      </c>
      <c r="L149" s="94">
        <v>3</v>
      </c>
      <c r="M149" s="94" t="s">
        <v>210</v>
      </c>
      <c r="N149" s="94">
        <v>-4</v>
      </c>
      <c r="O149" s="94">
        <v>5</v>
      </c>
      <c r="P149" s="94" t="s">
        <v>210</v>
      </c>
      <c r="Q149" s="94">
        <v>-4</v>
      </c>
      <c r="R149" s="94">
        <v>6</v>
      </c>
      <c r="S149" s="94">
        <v>2</v>
      </c>
      <c r="T149" s="94" t="s">
        <v>210</v>
      </c>
      <c r="U149" s="94">
        <v>1</v>
      </c>
      <c r="V149" s="94">
        <v>-3</v>
      </c>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5"/>
    </row>
    <row r="150" spans="1:53" s="87" customFormat="1">
      <c r="A150" s="374" t="str">
        <f t="shared" si="50"/>
        <v/>
      </c>
      <c r="B150" s="98">
        <v>3</v>
      </c>
      <c r="C150" s="94" t="s">
        <v>210</v>
      </c>
      <c r="D150" s="94">
        <v>6</v>
      </c>
      <c r="E150" s="94">
        <v>5</v>
      </c>
      <c r="F150" s="94">
        <v>2</v>
      </c>
      <c r="G150" s="94" t="s">
        <v>210</v>
      </c>
      <c r="H150" s="94">
        <v>-3</v>
      </c>
      <c r="I150" s="94">
        <v>-4</v>
      </c>
      <c r="J150" s="94">
        <v>-6</v>
      </c>
      <c r="K150" s="94" t="s">
        <v>210</v>
      </c>
      <c r="L150" s="94">
        <v>4</v>
      </c>
      <c r="M150" s="94">
        <v>-1</v>
      </c>
      <c r="N150" s="94">
        <v>-3</v>
      </c>
      <c r="O150" s="94">
        <v>-5</v>
      </c>
      <c r="P150" s="94">
        <v>6</v>
      </c>
      <c r="Q150" s="94" t="s">
        <v>210</v>
      </c>
      <c r="R150" s="94">
        <v>-2</v>
      </c>
      <c r="S150" s="94">
        <v>1</v>
      </c>
      <c r="T150" s="94">
        <v>3</v>
      </c>
      <c r="U150" s="94" t="s">
        <v>210</v>
      </c>
      <c r="V150" s="94">
        <v>4</v>
      </c>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c r="AW150" s="94"/>
      <c r="AX150" s="94"/>
      <c r="AY150" s="94"/>
      <c r="AZ150" s="94"/>
      <c r="BA150" s="95"/>
    </row>
    <row r="151" spans="1:53" s="87" customFormat="1">
      <c r="A151" s="374" t="str">
        <f t="shared" si="50"/>
        <v/>
      </c>
      <c r="B151" s="98">
        <v>4</v>
      </c>
      <c r="C151" s="94">
        <v>1</v>
      </c>
      <c r="D151" s="94">
        <v>5</v>
      </c>
      <c r="E151" s="94">
        <v>-2</v>
      </c>
      <c r="F151" s="94" t="s">
        <v>210</v>
      </c>
      <c r="G151" s="94">
        <v>3</v>
      </c>
      <c r="H151" s="94">
        <v>4</v>
      </c>
      <c r="I151" s="94">
        <v>-6</v>
      </c>
      <c r="J151" s="94" t="s">
        <v>210</v>
      </c>
      <c r="K151" s="94">
        <v>-3</v>
      </c>
      <c r="L151" s="94">
        <v>-1</v>
      </c>
      <c r="M151" s="94" t="s">
        <v>210</v>
      </c>
      <c r="N151" s="94">
        <v>4</v>
      </c>
      <c r="O151" s="94">
        <v>2</v>
      </c>
      <c r="P151" s="94" t="s">
        <v>210</v>
      </c>
      <c r="Q151" s="94">
        <v>3</v>
      </c>
      <c r="R151" s="94">
        <v>-1</v>
      </c>
      <c r="S151" s="94">
        <v>-5</v>
      </c>
      <c r="T151" s="94" t="s">
        <v>210</v>
      </c>
      <c r="U151" s="94">
        <v>6</v>
      </c>
      <c r="V151" s="94">
        <v>-4</v>
      </c>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5"/>
    </row>
    <row r="152" spans="1:53" s="87" customFormat="1">
      <c r="A152" s="374" t="str">
        <f t="shared" si="50"/>
        <v/>
      </c>
      <c r="B152" s="98">
        <v>5</v>
      </c>
      <c r="C152" s="94">
        <v>-4</v>
      </c>
      <c r="D152" s="94" t="s">
        <v>210</v>
      </c>
      <c r="E152" s="94">
        <v>6</v>
      </c>
      <c r="F152" s="94">
        <v>-5</v>
      </c>
      <c r="G152" s="94">
        <v>-1</v>
      </c>
      <c r="H152" s="94" t="s">
        <v>210</v>
      </c>
      <c r="I152" s="94">
        <v>5</v>
      </c>
      <c r="J152" s="94">
        <v>-4</v>
      </c>
      <c r="K152" s="94">
        <v>2</v>
      </c>
      <c r="L152" s="94" t="s">
        <v>210</v>
      </c>
      <c r="M152" s="94">
        <v>3</v>
      </c>
      <c r="N152" s="94">
        <v>-6</v>
      </c>
      <c r="O152" s="94">
        <v>4</v>
      </c>
      <c r="P152" s="94">
        <v>1</v>
      </c>
      <c r="Q152" s="94" t="s">
        <v>210</v>
      </c>
      <c r="R152" s="94">
        <v>-6</v>
      </c>
      <c r="S152" s="94">
        <v>5</v>
      </c>
      <c r="T152" s="94">
        <v>-3</v>
      </c>
      <c r="U152" s="94" t="s">
        <v>210</v>
      </c>
      <c r="V152" s="94">
        <v>-2</v>
      </c>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5"/>
    </row>
    <row r="153" spans="1:53" s="87" customFormat="1">
      <c r="A153" s="374" t="str">
        <f t="shared" si="50"/>
        <v/>
      </c>
      <c r="B153" s="98">
        <v>6</v>
      </c>
      <c r="C153" s="94">
        <v>6</v>
      </c>
      <c r="D153" s="94">
        <v>-3</v>
      </c>
      <c r="E153" s="94">
        <v>-4</v>
      </c>
      <c r="F153" s="94" t="s">
        <v>210</v>
      </c>
      <c r="G153" s="94">
        <v>5</v>
      </c>
      <c r="H153" s="94">
        <v>-2</v>
      </c>
      <c r="I153" s="94">
        <v>-1</v>
      </c>
      <c r="J153" s="94" t="s">
        <v>210</v>
      </c>
      <c r="K153" s="94">
        <v>-5</v>
      </c>
      <c r="L153" s="94">
        <v>6</v>
      </c>
      <c r="M153" s="94" t="s">
        <v>210</v>
      </c>
      <c r="N153" s="94">
        <v>-2</v>
      </c>
      <c r="O153" s="94">
        <v>3</v>
      </c>
      <c r="P153" s="94" t="s">
        <v>210</v>
      </c>
      <c r="Q153" s="94">
        <v>4</v>
      </c>
      <c r="R153" s="94">
        <v>5</v>
      </c>
      <c r="S153" s="94">
        <v>-1</v>
      </c>
      <c r="T153" s="94" t="s">
        <v>210</v>
      </c>
      <c r="U153" s="94">
        <v>-6</v>
      </c>
      <c r="V153" s="94">
        <v>2</v>
      </c>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5"/>
    </row>
    <row r="154" spans="1:53" s="87" customFormat="1">
      <c r="A154" s="374" t="str">
        <f t="shared" si="50"/>
        <v/>
      </c>
      <c r="B154" s="98">
        <v>7</v>
      </c>
      <c r="C154" s="94">
        <v>-2</v>
      </c>
      <c r="D154" s="94" t="s">
        <v>210</v>
      </c>
      <c r="E154" s="94">
        <v>-1</v>
      </c>
      <c r="F154" s="94">
        <v>3</v>
      </c>
      <c r="G154" s="94">
        <v>-6</v>
      </c>
      <c r="H154" s="94" t="s">
        <v>210</v>
      </c>
      <c r="I154" s="94">
        <v>3</v>
      </c>
      <c r="J154" s="94">
        <v>2</v>
      </c>
      <c r="K154" s="94">
        <v>4</v>
      </c>
      <c r="L154" s="94" t="s">
        <v>210</v>
      </c>
      <c r="M154" s="94">
        <v>-5</v>
      </c>
      <c r="N154" s="94">
        <v>6</v>
      </c>
      <c r="O154" s="94">
        <v>-3</v>
      </c>
      <c r="P154" s="94">
        <v>-6</v>
      </c>
      <c r="Q154" s="94" t="s">
        <v>210</v>
      </c>
      <c r="R154" s="94">
        <v>1</v>
      </c>
      <c r="S154" s="94">
        <v>-2</v>
      </c>
      <c r="T154" s="94">
        <v>-4</v>
      </c>
      <c r="U154" s="94" t="s">
        <v>210</v>
      </c>
      <c r="V154" s="94">
        <v>5</v>
      </c>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5"/>
    </row>
    <row r="155" spans="1:53" s="87" customFormat="1">
      <c r="A155" s="374" t="str">
        <f t="shared" si="50"/>
        <v/>
      </c>
      <c r="B155" s="98">
        <v>8</v>
      </c>
      <c r="C155" s="94">
        <v>5</v>
      </c>
      <c r="D155" s="94">
        <v>4</v>
      </c>
      <c r="E155" s="94" t="s">
        <v>210</v>
      </c>
      <c r="F155" s="94">
        <v>6</v>
      </c>
      <c r="G155" s="94">
        <v>-2</v>
      </c>
      <c r="H155" s="94">
        <v>1</v>
      </c>
      <c r="I155" s="94" t="s">
        <v>210</v>
      </c>
      <c r="J155" s="94">
        <v>3</v>
      </c>
      <c r="K155" s="94">
        <v>6</v>
      </c>
      <c r="L155" s="94">
        <v>-5</v>
      </c>
      <c r="M155" s="94" t="s">
        <v>210</v>
      </c>
      <c r="N155" s="94">
        <v>2</v>
      </c>
      <c r="O155" s="94">
        <v>-4</v>
      </c>
      <c r="P155" s="94" t="s">
        <v>210</v>
      </c>
      <c r="Q155" s="94">
        <v>-3</v>
      </c>
      <c r="R155" s="94">
        <v>2</v>
      </c>
      <c r="S155" s="94">
        <v>-6</v>
      </c>
      <c r="T155" s="94" t="s">
        <v>210</v>
      </c>
      <c r="U155" s="94">
        <v>-1</v>
      </c>
      <c r="V155" s="94">
        <v>-5</v>
      </c>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5"/>
    </row>
    <row r="156" spans="1:53" s="87" customFormat="1">
      <c r="A156" s="374" t="str">
        <f t="shared" si="50"/>
        <v/>
      </c>
      <c r="B156" s="98">
        <v>9</v>
      </c>
      <c r="C156" s="94" t="s">
        <v>210</v>
      </c>
      <c r="D156" s="94">
        <v>2</v>
      </c>
      <c r="E156" s="94">
        <v>1</v>
      </c>
      <c r="F156" s="94">
        <v>5</v>
      </c>
      <c r="G156" s="94" t="s">
        <v>210</v>
      </c>
      <c r="H156" s="94">
        <v>-4</v>
      </c>
      <c r="I156" s="94">
        <v>1</v>
      </c>
      <c r="J156" s="94">
        <v>-3</v>
      </c>
      <c r="K156" s="94" t="s">
        <v>210</v>
      </c>
      <c r="L156" s="94">
        <v>-4</v>
      </c>
      <c r="M156" s="94">
        <v>6</v>
      </c>
      <c r="N156" s="94">
        <v>5</v>
      </c>
      <c r="O156" s="94" t="s">
        <v>210</v>
      </c>
      <c r="P156" s="94">
        <v>4</v>
      </c>
      <c r="Q156" s="94">
        <v>-6</v>
      </c>
      <c r="R156" s="94">
        <v>3</v>
      </c>
      <c r="S156" s="94" t="s">
        <v>210</v>
      </c>
      <c r="T156" s="94">
        <v>-2</v>
      </c>
      <c r="U156" s="94">
        <v>-5</v>
      </c>
      <c r="V156" s="94">
        <v>-1</v>
      </c>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5"/>
    </row>
    <row r="157" spans="1:53" s="87" customFormat="1">
      <c r="A157" s="374" t="str">
        <f t="shared" si="50"/>
        <v/>
      </c>
      <c r="B157" s="98">
        <v>10</v>
      </c>
      <c r="C157" s="94">
        <v>-5</v>
      </c>
      <c r="D157" s="94" t="s">
        <v>210</v>
      </c>
      <c r="E157" s="94">
        <v>4</v>
      </c>
      <c r="F157" s="94">
        <v>1</v>
      </c>
      <c r="G157" s="94">
        <v>-3</v>
      </c>
      <c r="H157" s="94" t="s">
        <v>210</v>
      </c>
      <c r="I157" s="94">
        <v>2</v>
      </c>
      <c r="J157" s="94">
        <v>6</v>
      </c>
      <c r="K157" s="94">
        <v>-2</v>
      </c>
      <c r="L157" s="94" t="s">
        <v>210</v>
      </c>
      <c r="M157" s="94">
        <v>5</v>
      </c>
      <c r="N157" s="94">
        <v>-1</v>
      </c>
      <c r="O157" s="94" t="s">
        <v>210</v>
      </c>
      <c r="P157" s="94">
        <v>2</v>
      </c>
      <c r="Q157" s="94">
        <v>-5</v>
      </c>
      <c r="R157" s="94">
        <v>-4</v>
      </c>
      <c r="S157" s="94" t="s">
        <v>210</v>
      </c>
      <c r="T157" s="94">
        <v>-6</v>
      </c>
      <c r="U157" s="94">
        <v>3</v>
      </c>
      <c r="V157" s="94">
        <v>1</v>
      </c>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c r="AW157" s="94"/>
      <c r="AX157" s="94"/>
      <c r="AY157" s="94"/>
      <c r="AZ157" s="94"/>
      <c r="BA157" s="95"/>
    </row>
    <row r="158" spans="1:53" s="87" customFormat="1">
      <c r="A158" s="374" t="str">
        <f t="shared" si="50"/>
        <v/>
      </c>
      <c r="B158" s="98">
        <v>11</v>
      </c>
      <c r="C158" s="94">
        <v>3</v>
      </c>
      <c r="D158" s="94" t="s">
        <v>210</v>
      </c>
      <c r="E158" s="94">
        <v>2</v>
      </c>
      <c r="F158" s="94">
        <v>-6</v>
      </c>
      <c r="G158" s="94">
        <v>-5</v>
      </c>
      <c r="H158" s="94" t="s">
        <v>210</v>
      </c>
      <c r="I158" s="94">
        <v>4</v>
      </c>
      <c r="J158" s="94">
        <v>-1</v>
      </c>
      <c r="K158" s="94">
        <v>-4</v>
      </c>
      <c r="L158" s="94" t="s">
        <v>210</v>
      </c>
      <c r="M158" s="94">
        <v>-3</v>
      </c>
      <c r="N158" s="94">
        <v>1</v>
      </c>
      <c r="O158" s="94" t="s">
        <v>210</v>
      </c>
      <c r="P158" s="94">
        <v>5</v>
      </c>
      <c r="Q158" s="94">
        <v>-2</v>
      </c>
      <c r="R158" s="94">
        <v>-3</v>
      </c>
      <c r="S158" s="94" t="s">
        <v>210</v>
      </c>
      <c r="T158" s="94">
        <v>1</v>
      </c>
      <c r="U158" s="94">
        <v>-4</v>
      </c>
      <c r="V158" s="94">
        <v>6</v>
      </c>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5"/>
    </row>
    <row r="159" spans="1:53" s="87" customFormat="1">
      <c r="A159" s="374" t="str">
        <f t="shared" si="50"/>
        <v/>
      </c>
      <c r="B159" s="98">
        <v>12</v>
      </c>
      <c r="C159" s="94" t="s">
        <v>210</v>
      </c>
      <c r="D159" s="94">
        <v>-4</v>
      </c>
      <c r="E159" s="94">
        <v>-6</v>
      </c>
      <c r="F159" s="94">
        <v>-3</v>
      </c>
      <c r="G159" s="94" t="s">
        <v>210</v>
      </c>
      <c r="H159" s="94">
        <v>2</v>
      </c>
      <c r="I159" s="94">
        <v>6</v>
      </c>
      <c r="J159" s="94">
        <v>5</v>
      </c>
      <c r="K159" s="94" t="s">
        <v>210</v>
      </c>
      <c r="L159" s="94">
        <v>-2</v>
      </c>
      <c r="M159" s="94">
        <v>1</v>
      </c>
      <c r="N159" s="94">
        <v>-5</v>
      </c>
      <c r="O159" s="94" t="s">
        <v>210</v>
      </c>
      <c r="P159" s="94">
        <v>3</v>
      </c>
      <c r="Q159" s="94">
        <v>-1</v>
      </c>
      <c r="R159" s="94">
        <v>4</v>
      </c>
      <c r="S159" s="94" t="s">
        <v>210</v>
      </c>
      <c r="T159" s="94">
        <v>-5</v>
      </c>
      <c r="U159" s="94">
        <v>2</v>
      </c>
      <c r="V159" s="94">
        <v>-6</v>
      </c>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5"/>
    </row>
    <row r="160" spans="1:53" s="87" customFormat="1">
      <c r="A160" s="374" t="str">
        <f t="shared" si="50"/>
        <v/>
      </c>
      <c r="B160" s="98">
        <v>13</v>
      </c>
      <c r="C160" s="94">
        <v>-6</v>
      </c>
      <c r="D160" s="94">
        <v>-5</v>
      </c>
      <c r="E160" s="94" t="s">
        <v>210</v>
      </c>
      <c r="F160" s="94">
        <v>4</v>
      </c>
      <c r="G160" s="94">
        <v>1</v>
      </c>
      <c r="H160" s="94">
        <v>3</v>
      </c>
      <c r="I160" s="94" t="s">
        <v>210</v>
      </c>
      <c r="J160" s="94">
        <v>-2</v>
      </c>
      <c r="K160" s="94">
        <v>-6</v>
      </c>
      <c r="L160" s="94">
        <v>-3</v>
      </c>
      <c r="M160" s="94">
        <v>2</v>
      </c>
      <c r="N160" s="94" t="s">
        <v>210</v>
      </c>
      <c r="O160" s="94">
        <v>-1</v>
      </c>
      <c r="P160" s="94">
        <v>-3</v>
      </c>
      <c r="Q160" s="94">
        <v>2</v>
      </c>
      <c r="R160" s="94" t="s">
        <v>210</v>
      </c>
      <c r="S160" s="94">
        <v>-4</v>
      </c>
      <c r="T160" s="94">
        <v>6</v>
      </c>
      <c r="U160" s="94">
        <v>5</v>
      </c>
      <c r="V160" s="94" t="s">
        <v>210</v>
      </c>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5"/>
    </row>
    <row r="161" spans="1:53" s="87" customFormat="1">
      <c r="A161" s="374" t="str">
        <f t="shared" si="50"/>
        <v/>
      </c>
      <c r="B161" s="98">
        <v>14</v>
      </c>
      <c r="C161" s="94">
        <v>-1</v>
      </c>
      <c r="D161" s="94">
        <v>3</v>
      </c>
      <c r="E161" s="94" t="s">
        <v>210</v>
      </c>
      <c r="F161" s="94">
        <v>-2</v>
      </c>
      <c r="G161" s="94">
        <v>6</v>
      </c>
      <c r="H161" s="94">
        <v>-5</v>
      </c>
      <c r="I161" s="94" t="s">
        <v>210</v>
      </c>
      <c r="J161" s="94">
        <v>4</v>
      </c>
      <c r="K161" s="94">
        <v>1</v>
      </c>
      <c r="L161" s="94">
        <v>5</v>
      </c>
      <c r="M161" s="94">
        <v>-4</v>
      </c>
      <c r="N161" s="94" t="s">
        <v>210</v>
      </c>
      <c r="O161" s="94">
        <v>-6</v>
      </c>
      <c r="P161" s="94">
        <v>-5</v>
      </c>
      <c r="Q161" s="94">
        <v>1</v>
      </c>
      <c r="R161" s="94" t="s">
        <v>210</v>
      </c>
      <c r="S161" s="94">
        <v>4</v>
      </c>
      <c r="T161" s="94">
        <v>2</v>
      </c>
      <c r="U161" s="94">
        <v>-3</v>
      </c>
      <c r="V161" s="94" t="s">
        <v>210</v>
      </c>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5"/>
    </row>
    <row r="162" spans="1:53" s="87" customFormat="1">
      <c r="A162" s="374" t="str">
        <f t="shared" si="50"/>
        <v/>
      </c>
      <c r="B162" s="98">
        <v>15</v>
      </c>
      <c r="C162" s="94">
        <v>2</v>
      </c>
      <c r="D162" s="94">
        <v>-6</v>
      </c>
      <c r="E162" s="94">
        <v>3</v>
      </c>
      <c r="F162" s="94" t="s">
        <v>210</v>
      </c>
      <c r="G162" s="94">
        <v>-4</v>
      </c>
      <c r="H162" s="94">
        <v>-1</v>
      </c>
      <c r="I162" s="94">
        <v>-5</v>
      </c>
      <c r="J162" s="94" t="s">
        <v>210</v>
      </c>
      <c r="K162" s="94">
        <v>3</v>
      </c>
      <c r="L162" s="94">
        <v>-6</v>
      </c>
      <c r="M162" s="94">
        <v>4</v>
      </c>
      <c r="N162" s="94" t="s">
        <v>210</v>
      </c>
      <c r="O162" s="94">
        <v>1</v>
      </c>
      <c r="P162" s="94">
        <v>-2</v>
      </c>
      <c r="Q162" s="94">
        <v>6</v>
      </c>
      <c r="R162" s="94" t="s">
        <v>210</v>
      </c>
      <c r="S162" s="94">
        <v>-3</v>
      </c>
      <c r="T162" s="94">
        <v>5</v>
      </c>
      <c r="U162" s="94">
        <v>4</v>
      </c>
      <c r="V162" s="94" t="s">
        <v>210</v>
      </c>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5"/>
    </row>
    <row r="163" spans="1:53" s="87" customFormat="1">
      <c r="A163" s="374" t="str">
        <f t="shared" si="50"/>
        <v/>
      </c>
      <c r="B163" s="98">
        <v>16</v>
      </c>
      <c r="C163" s="94">
        <v>4</v>
      </c>
      <c r="D163" s="94">
        <v>1</v>
      </c>
      <c r="E163" s="94">
        <v>-5</v>
      </c>
      <c r="F163" s="94" t="s">
        <v>210</v>
      </c>
      <c r="G163" s="94">
        <v>2</v>
      </c>
      <c r="H163" s="94">
        <v>-6</v>
      </c>
      <c r="I163" s="94">
        <v>-3</v>
      </c>
      <c r="J163" s="94" t="s">
        <v>210</v>
      </c>
      <c r="K163" s="94">
        <v>5</v>
      </c>
      <c r="L163" s="94">
        <v>1</v>
      </c>
      <c r="M163" s="94">
        <v>-2</v>
      </c>
      <c r="N163" s="94" t="s">
        <v>210</v>
      </c>
      <c r="O163" s="94">
        <v>6</v>
      </c>
      <c r="P163" s="94">
        <v>-4</v>
      </c>
      <c r="Q163" s="94">
        <v>5</v>
      </c>
      <c r="R163" s="94" t="s">
        <v>210</v>
      </c>
      <c r="S163" s="94">
        <v>3</v>
      </c>
      <c r="T163" s="94">
        <v>-1</v>
      </c>
      <c r="U163" s="94">
        <v>-2</v>
      </c>
      <c r="V163" s="94" t="s">
        <v>210</v>
      </c>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5"/>
    </row>
    <row r="164" spans="1:53" s="87" customFormat="1">
      <c r="A164" s="374" t="str">
        <f t="shared" si="50"/>
        <v/>
      </c>
      <c r="B164" s="98" t="s">
        <v>352</v>
      </c>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5"/>
    </row>
    <row r="165" spans="1:53" s="87" customFormat="1">
      <c r="A165" s="374">
        <f t="shared" si="50"/>
        <v>165</v>
      </c>
      <c r="B165" s="98" t="s">
        <v>353</v>
      </c>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5"/>
    </row>
    <row r="166" spans="1:53" s="87" customFormat="1">
      <c r="A166" s="374" t="str">
        <f t="shared" si="50"/>
        <v/>
      </c>
      <c r="B166" s="98">
        <v>1</v>
      </c>
      <c r="C166" s="94" t="s">
        <v>210</v>
      </c>
      <c r="D166" s="94">
        <v>3</v>
      </c>
      <c r="E166" s="94">
        <v>-4</v>
      </c>
      <c r="F166" s="94" t="s">
        <v>210</v>
      </c>
      <c r="G166" s="94">
        <v>2</v>
      </c>
      <c r="H166" s="94" t="s">
        <v>210</v>
      </c>
      <c r="I166" s="94">
        <v>6</v>
      </c>
      <c r="J166" s="94" t="s">
        <v>210</v>
      </c>
      <c r="K166" s="94">
        <v>-3</v>
      </c>
      <c r="L166" s="94" t="s">
        <v>210</v>
      </c>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c r="AW166" s="94"/>
      <c r="AX166" s="94"/>
      <c r="AY166" s="94"/>
      <c r="AZ166" s="94"/>
      <c r="BA166" s="95"/>
    </row>
    <row r="167" spans="1:53" s="87" customFormat="1">
      <c r="A167" s="374" t="str">
        <f t="shared" si="50"/>
        <v/>
      </c>
      <c r="B167" s="98">
        <v>2</v>
      </c>
      <c r="C167" s="94">
        <v>-2</v>
      </c>
      <c r="D167" s="94" t="s">
        <v>210</v>
      </c>
      <c r="E167" s="94">
        <v>-5</v>
      </c>
      <c r="F167" s="94" t="s">
        <v>210</v>
      </c>
      <c r="G167" s="94">
        <v>-1</v>
      </c>
      <c r="H167" s="94" t="s">
        <v>210</v>
      </c>
      <c r="I167" s="94" t="s">
        <v>210</v>
      </c>
      <c r="J167" s="94">
        <v>4</v>
      </c>
      <c r="K167" s="94">
        <v>3</v>
      </c>
      <c r="L167" s="94" t="s">
        <v>210</v>
      </c>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5"/>
    </row>
    <row r="168" spans="1:53" s="87" customFormat="1">
      <c r="A168" s="374" t="str">
        <f t="shared" si="50"/>
        <v/>
      </c>
      <c r="B168" s="98">
        <v>3</v>
      </c>
      <c r="C168" s="94" t="s">
        <v>210</v>
      </c>
      <c r="D168" s="94">
        <v>2</v>
      </c>
      <c r="E168" s="94">
        <v>5</v>
      </c>
      <c r="F168" s="94" t="s">
        <v>210</v>
      </c>
      <c r="G168" s="94">
        <v>-3</v>
      </c>
      <c r="H168" s="94" t="s">
        <v>210</v>
      </c>
      <c r="I168" s="94">
        <v>-6</v>
      </c>
      <c r="J168" s="94" t="s">
        <v>210</v>
      </c>
      <c r="K168" s="94">
        <v>4</v>
      </c>
      <c r="L168" s="94" t="s">
        <v>210</v>
      </c>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5"/>
    </row>
    <row r="169" spans="1:53" s="87" customFormat="1">
      <c r="A169" s="374" t="str">
        <f t="shared" si="50"/>
        <v/>
      </c>
      <c r="B169" s="98">
        <v>4</v>
      </c>
      <c r="C169" s="94">
        <v>2</v>
      </c>
      <c r="D169" s="94" t="s">
        <v>210</v>
      </c>
      <c r="E169" s="94">
        <v>-6</v>
      </c>
      <c r="F169" s="94" t="s">
        <v>210</v>
      </c>
      <c r="G169" s="94">
        <v>-2</v>
      </c>
      <c r="H169" s="94" t="s">
        <v>210</v>
      </c>
      <c r="I169" s="94" t="s">
        <v>210</v>
      </c>
      <c r="J169" s="94">
        <v>3</v>
      </c>
      <c r="K169" s="94">
        <v>-4</v>
      </c>
      <c r="L169" s="94" t="s">
        <v>210</v>
      </c>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5"/>
    </row>
    <row r="170" spans="1:53" s="87" customFormat="1">
      <c r="A170" s="374" t="str">
        <f t="shared" si="50"/>
        <v/>
      </c>
      <c r="B170" s="98">
        <v>5</v>
      </c>
      <c r="C170" s="94" t="s">
        <v>210</v>
      </c>
      <c r="D170" s="94">
        <v>-2</v>
      </c>
      <c r="E170" s="94">
        <v>4</v>
      </c>
      <c r="F170" s="94" t="s">
        <v>210</v>
      </c>
      <c r="G170" s="94">
        <v>1</v>
      </c>
      <c r="H170" s="94" t="s">
        <v>210</v>
      </c>
      <c r="I170" s="94" t="s">
        <v>210</v>
      </c>
      <c r="J170" s="94">
        <v>-3</v>
      </c>
      <c r="K170" s="94">
        <v>2</v>
      </c>
      <c r="L170" s="94" t="s">
        <v>210</v>
      </c>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5"/>
    </row>
    <row r="171" spans="1:53" s="87" customFormat="1">
      <c r="A171" s="374" t="str">
        <f t="shared" si="50"/>
        <v/>
      </c>
      <c r="B171" s="99">
        <v>6</v>
      </c>
      <c r="C171" s="92" t="s">
        <v>210</v>
      </c>
      <c r="D171" s="92">
        <v>-3</v>
      </c>
      <c r="E171" s="92">
        <v>6</v>
      </c>
      <c r="F171" s="92" t="s">
        <v>210</v>
      </c>
      <c r="G171" s="92">
        <v>3</v>
      </c>
      <c r="H171" s="92" t="s">
        <v>210</v>
      </c>
      <c r="I171" s="92" t="s">
        <v>210</v>
      </c>
      <c r="J171" s="92">
        <v>-4</v>
      </c>
      <c r="K171" s="92">
        <v>-2</v>
      </c>
      <c r="L171" s="92" t="s">
        <v>210</v>
      </c>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5"/>
    </row>
    <row r="172" spans="1:53" s="87" customFormat="1">
      <c r="A172" s="374" t="str">
        <f t="shared" si="50"/>
        <v/>
      </c>
      <c r="B172" s="98">
        <v>7</v>
      </c>
      <c r="C172" s="94">
        <v>-5</v>
      </c>
      <c r="D172" s="94" t="s">
        <v>210</v>
      </c>
      <c r="E172" s="94" t="s">
        <v>210</v>
      </c>
      <c r="F172" s="94">
        <v>3</v>
      </c>
      <c r="G172" s="94">
        <v>4</v>
      </c>
      <c r="H172" s="94" t="s">
        <v>210</v>
      </c>
      <c r="I172" s="94">
        <v>-1</v>
      </c>
      <c r="J172" s="94" t="s">
        <v>210</v>
      </c>
      <c r="K172" s="94">
        <v>5</v>
      </c>
      <c r="L172" s="94" t="s">
        <v>210</v>
      </c>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5"/>
    </row>
    <row r="173" spans="1:53" s="87" customFormat="1">
      <c r="A173" s="374" t="str">
        <f t="shared" si="50"/>
        <v/>
      </c>
      <c r="B173" s="98">
        <v>8</v>
      </c>
      <c r="C173" s="94">
        <v>-4</v>
      </c>
      <c r="D173" s="94" t="s">
        <v>210</v>
      </c>
      <c r="E173" s="94">
        <v>1</v>
      </c>
      <c r="F173" s="94" t="s">
        <v>210</v>
      </c>
      <c r="G173" s="94" t="s">
        <v>210</v>
      </c>
      <c r="H173" s="94">
        <v>4</v>
      </c>
      <c r="I173" s="94">
        <v>-2</v>
      </c>
      <c r="J173" s="94" t="s">
        <v>210</v>
      </c>
      <c r="K173" s="94">
        <v>-5</v>
      </c>
      <c r="L173" s="94" t="s">
        <v>210</v>
      </c>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5"/>
    </row>
    <row r="174" spans="1:53" s="87" customFormat="1">
      <c r="A174" s="374" t="str">
        <f t="shared" si="50"/>
        <v/>
      </c>
      <c r="B174" s="98">
        <v>9</v>
      </c>
      <c r="C174" s="94">
        <v>5</v>
      </c>
      <c r="D174" s="94" t="s">
        <v>210</v>
      </c>
      <c r="E174" s="94">
        <v>-1</v>
      </c>
      <c r="F174" s="94" t="s">
        <v>210</v>
      </c>
      <c r="G174" s="94">
        <v>-5</v>
      </c>
      <c r="H174" s="94" t="s">
        <v>210</v>
      </c>
      <c r="I174" s="94">
        <v>3</v>
      </c>
      <c r="J174" s="94" t="s">
        <v>210</v>
      </c>
      <c r="K174" s="94" t="s">
        <v>210</v>
      </c>
      <c r="L174" s="94">
        <v>2</v>
      </c>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5"/>
    </row>
    <row r="175" spans="1:53" s="87" customFormat="1">
      <c r="A175" s="374" t="str">
        <f t="shared" si="50"/>
        <v/>
      </c>
      <c r="B175" s="98">
        <v>10</v>
      </c>
      <c r="C175" s="94">
        <v>4</v>
      </c>
      <c r="D175" s="94" t="s">
        <v>210</v>
      </c>
      <c r="E175" s="94" t="s">
        <v>210</v>
      </c>
      <c r="F175" s="94">
        <v>2</v>
      </c>
      <c r="G175" s="94">
        <v>-4</v>
      </c>
      <c r="H175" s="94" t="s">
        <v>210</v>
      </c>
      <c r="I175" s="94">
        <v>-3</v>
      </c>
      <c r="J175" s="94" t="s">
        <v>210</v>
      </c>
      <c r="K175" s="94">
        <v>1</v>
      </c>
      <c r="L175" s="94" t="s">
        <v>210</v>
      </c>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5"/>
    </row>
    <row r="176" spans="1:53" s="87" customFormat="1">
      <c r="A176" s="374" t="str">
        <f t="shared" si="50"/>
        <v/>
      </c>
      <c r="B176" s="99">
        <v>11</v>
      </c>
      <c r="C176" s="92">
        <v>6</v>
      </c>
      <c r="D176" s="92" t="s">
        <v>210</v>
      </c>
      <c r="E176" s="92" t="s">
        <v>210</v>
      </c>
      <c r="F176" s="92">
        <v>-3</v>
      </c>
      <c r="G176" s="92">
        <v>5</v>
      </c>
      <c r="H176" s="92" t="s">
        <v>210</v>
      </c>
      <c r="I176" s="92">
        <v>2</v>
      </c>
      <c r="J176" s="92" t="s">
        <v>210</v>
      </c>
      <c r="K176" s="92">
        <v>-1</v>
      </c>
      <c r="L176" s="92" t="s">
        <v>210</v>
      </c>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5"/>
    </row>
    <row r="177" spans="1:53" s="87" customFormat="1">
      <c r="A177" s="374" t="str">
        <f t="shared" si="50"/>
        <v/>
      </c>
      <c r="B177" s="98">
        <v>12</v>
      </c>
      <c r="C177" s="94">
        <v>-3</v>
      </c>
      <c r="D177" s="94" t="s">
        <v>210</v>
      </c>
      <c r="E177" s="94">
        <v>-2</v>
      </c>
      <c r="F177" s="94" t="s">
        <v>210</v>
      </c>
      <c r="G177" s="94" t="s">
        <v>210</v>
      </c>
      <c r="H177" s="94">
        <v>5</v>
      </c>
      <c r="I177" s="94">
        <v>1</v>
      </c>
      <c r="J177" s="94" t="s">
        <v>210</v>
      </c>
      <c r="K177" s="94">
        <v>-6</v>
      </c>
      <c r="L177" s="94" t="s">
        <v>210</v>
      </c>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c r="AZ177" s="94"/>
      <c r="BA177" s="95"/>
    </row>
    <row r="178" spans="1:53" s="87" customFormat="1">
      <c r="A178" s="374" t="str">
        <f t="shared" si="50"/>
        <v/>
      </c>
      <c r="B178" s="98">
        <v>13</v>
      </c>
      <c r="C178" s="94">
        <v>-1</v>
      </c>
      <c r="D178" s="94" t="s">
        <v>210</v>
      </c>
      <c r="E178" s="94">
        <v>3</v>
      </c>
      <c r="F178" s="94" t="s">
        <v>210</v>
      </c>
      <c r="G178" s="94" t="s">
        <v>210</v>
      </c>
      <c r="H178" s="94">
        <v>-4</v>
      </c>
      <c r="I178" s="94">
        <v>-5</v>
      </c>
      <c r="J178" s="94" t="s">
        <v>210</v>
      </c>
      <c r="K178" s="94">
        <v>6</v>
      </c>
      <c r="L178" s="94" t="s">
        <v>210</v>
      </c>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5"/>
    </row>
    <row r="179" spans="1:53" s="87" customFormat="1">
      <c r="A179" s="374" t="str">
        <f t="shared" si="50"/>
        <v/>
      </c>
      <c r="B179" s="98">
        <v>14</v>
      </c>
      <c r="C179" s="94">
        <v>1</v>
      </c>
      <c r="D179" s="94" t="s">
        <v>210</v>
      </c>
      <c r="E179" s="94">
        <v>2</v>
      </c>
      <c r="F179" s="94" t="s">
        <v>210</v>
      </c>
      <c r="G179" s="94">
        <v>6</v>
      </c>
      <c r="H179" s="94" t="s">
        <v>210</v>
      </c>
      <c r="I179" s="94">
        <v>-4</v>
      </c>
      <c r="J179" s="94" t="s">
        <v>210</v>
      </c>
      <c r="K179" s="94" t="s">
        <v>210</v>
      </c>
      <c r="L179" s="94">
        <v>-2</v>
      </c>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5"/>
    </row>
    <row r="180" spans="1:53" s="87" customFormat="1">
      <c r="A180" s="374" t="str">
        <f t="shared" si="50"/>
        <v/>
      </c>
      <c r="B180" s="98">
        <v>15</v>
      </c>
      <c r="C180" s="94">
        <v>3</v>
      </c>
      <c r="D180" s="94" t="s">
        <v>210</v>
      </c>
      <c r="E180" s="94" t="s">
        <v>210</v>
      </c>
      <c r="F180" s="94">
        <v>-2</v>
      </c>
      <c r="G180" s="94">
        <v>-6</v>
      </c>
      <c r="H180" s="94" t="s">
        <v>210</v>
      </c>
      <c r="I180" s="94">
        <v>5</v>
      </c>
      <c r="J180" s="94" t="s">
        <v>210</v>
      </c>
      <c r="K180" s="94" t="s">
        <v>210</v>
      </c>
      <c r="L180" s="94">
        <v>-3</v>
      </c>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5"/>
    </row>
    <row r="181" spans="1:53" s="87" customFormat="1">
      <c r="A181" s="374" t="str">
        <f t="shared" si="50"/>
        <v/>
      </c>
      <c r="B181" s="89">
        <v>16</v>
      </c>
      <c r="C181" s="89">
        <v>-6</v>
      </c>
      <c r="D181" s="89" t="s">
        <v>210</v>
      </c>
      <c r="E181" s="89">
        <v>-3</v>
      </c>
      <c r="F181" s="89" t="s">
        <v>210</v>
      </c>
      <c r="G181" s="89" t="s">
        <v>210</v>
      </c>
      <c r="H181" s="89">
        <v>-5</v>
      </c>
      <c r="I181" s="89">
        <v>4</v>
      </c>
      <c r="J181" s="89" t="s">
        <v>210</v>
      </c>
      <c r="K181" s="89" t="s">
        <v>210</v>
      </c>
      <c r="L181" s="89">
        <v>3</v>
      </c>
      <c r="M181" s="89"/>
      <c r="N181" s="89"/>
      <c r="O181" s="89"/>
      <c r="P181" s="89"/>
      <c r="Q181" s="89"/>
      <c r="R181" s="89"/>
      <c r="S181" s="89"/>
      <c r="T181" s="89"/>
      <c r="U181" s="89"/>
      <c r="V181" s="89"/>
      <c r="W181" s="89"/>
      <c r="X181" s="89"/>
      <c r="Y181" s="89"/>
      <c r="Z181" s="89"/>
      <c r="AA181" s="89"/>
      <c r="AB181" s="89"/>
      <c r="AC181" s="89"/>
      <c r="AD181" s="89"/>
      <c r="AE181" s="89"/>
      <c r="AF181" s="89"/>
      <c r="AG181" s="89"/>
      <c r="AH181" s="89"/>
      <c r="AI181" s="89"/>
      <c r="AJ181" s="89"/>
      <c r="AK181" s="89"/>
      <c r="AL181" s="89"/>
      <c r="AM181" s="89"/>
      <c r="AN181" s="89"/>
      <c r="AO181" s="89"/>
      <c r="AP181" s="89"/>
      <c r="AQ181" s="89"/>
      <c r="AR181" s="89"/>
      <c r="AS181" s="89"/>
      <c r="AT181" s="89"/>
      <c r="AU181" s="89"/>
      <c r="AV181" s="89"/>
      <c r="AW181" s="89"/>
      <c r="AX181" s="89"/>
      <c r="AY181" s="89"/>
      <c r="AZ181" s="89"/>
      <c r="BA181" s="95"/>
    </row>
    <row r="182" spans="1:53" s="87" customFormat="1">
      <c r="A182" s="374" t="str">
        <f t="shared" si="50"/>
        <v/>
      </c>
      <c r="B182" s="89" t="s">
        <v>354</v>
      </c>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c r="AA182" s="89"/>
      <c r="AB182" s="89"/>
      <c r="AC182" s="89"/>
      <c r="AD182" s="89"/>
      <c r="AE182" s="89"/>
      <c r="AF182" s="89"/>
      <c r="AG182" s="89"/>
      <c r="AH182" s="89"/>
      <c r="AI182" s="89"/>
      <c r="AJ182" s="89"/>
      <c r="AK182" s="89"/>
      <c r="AL182" s="89"/>
      <c r="AM182" s="89"/>
      <c r="AN182" s="89"/>
      <c r="AO182" s="89"/>
      <c r="AP182" s="89"/>
      <c r="AQ182" s="89"/>
      <c r="AR182" s="89"/>
      <c r="AS182" s="89"/>
      <c r="AT182" s="89"/>
      <c r="AU182" s="89"/>
      <c r="AV182" s="89"/>
      <c r="AW182" s="89"/>
      <c r="AX182" s="89"/>
      <c r="AY182" s="89"/>
      <c r="AZ182" s="89"/>
      <c r="BA182" s="95"/>
    </row>
    <row r="183" spans="1:53" s="87" customFormat="1">
      <c r="A183" s="374">
        <f t="shared" si="50"/>
        <v>183</v>
      </c>
      <c r="B183" s="89" t="s">
        <v>355</v>
      </c>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C183" s="89"/>
      <c r="AD183" s="89"/>
      <c r="AE183" s="89"/>
      <c r="AF183" s="89"/>
      <c r="AG183" s="89"/>
      <c r="AH183" s="89"/>
      <c r="AI183" s="89"/>
      <c r="AJ183" s="89"/>
      <c r="AK183" s="89"/>
      <c r="AL183" s="89"/>
      <c r="AM183" s="89"/>
      <c r="AN183" s="89"/>
      <c r="AO183" s="89"/>
      <c r="AP183" s="89"/>
      <c r="AQ183" s="89"/>
      <c r="AR183" s="89"/>
      <c r="AS183" s="89"/>
      <c r="AT183" s="89"/>
      <c r="AU183" s="89"/>
      <c r="AV183" s="89"/>
      <c r="AW183" s="89"/>
      <c r="AX183" s="89"/>
      <c r="AY183" s="89"/>
      <c r="AZ183" s="89"/>
      <c r="BA183" s="95"/>
    </row>
    <row r="184" spans="1:53" s="87" customFormat="1">
      <c r="A184" s="374" t="str">
        <f t="shared" si="50"/>
        <v/>
      </c>
      <c r="B184" s="89">
        <v>1</v>
      </c>
      <c r="C184" s="89">
        <v>1</v>
      </c>
      <c r="D184" s="89" t="s">
        <v>210</v>
      </c>
      <c r="E184" s="89">
        <v>-2</v>
      </c>
      <c r="F184" s="89" t="s">
        <v>210</v>
      </c>
      <c r="G184" s="89" t="s">
        <v>210</v>
      </c>
      <c r="H184" s="89">
        <v>-4</v>
      </c>
      <c r="I184" s="89">
        <v>5</v>
      </c>
      <c r="J184" s="89" t="s">
        <v>210</v>
      </c>
      <c r="K184" s="89">
        <v>3</v>
      </c>
      <c r="L184" s="89" t="s">
        <v>210</v>
      </c>
      <c r="M184" s="89"/>
      <c r="N184" s="89"/>
      <c r="O184" s="89"/>
      <c r="P184" s="89"/>
      <c r="Q184" s="89"/>
      <c r="R184" s="89"/>
      <c r="S184" s="89"/>
      <c r="T184" s="89"/>
      <c r="U184" s="89"/>
      <c r="V184" s="89"/>
      <c r="W184" s="89"/>
      <c r="X184" s="89"/>
      <c r="Y184" s="89"/>
      <c r="Z184" s="89"/>
      <c r="AA184" s="89"/>
      <c r="AB184" s="89"/>
      <c r="AC184" s="89"/>
      <c r="AD184" s="89"/>
      <c r="AE184" s="89"/>
      <c r="AF184" s="89"/>
      <c r="AG184" s="89"/>
      <c r="AH184" s="89"/>
      <c r="AI184" s="89"/>
      <c r="AJ184" s="89"/>
      <c r="AK184" s="89"/>
      <c r="AL184" s="89"/>
      <c r="AM184" s="89"/>
      <c r="AN184" s="89"/>
      <c r="AO184" s="89"/>
      <c r="AP184" s="89"/>
      <c r="AQ184" s="89"/>
      <c r="AR184" s="89"/>
      <c r="AS184" s="89"/>
      <c r="AT184" s="89"/>
      <c r="AU184" s="89"/>
      <c r="AV184" s="89"/>
      <c r="AW184" s="89"/>
      <c r="AX184" s="89"/>
      <c r="AY184" s="89"/>
      <c r="AZ184" s="89"/>
      <c r="BA184" s="95"/>
    </row>
    <row r="185" spans="1:53" s="87" customFormat="1">
      <c r="A185" s="374" t="str">
        <f t="shared" si="50"/>
        <v/>
      </c>
      <c r="B185" s="89">
        <v>2</v>
      </c>
      <c r="C185" s="89">
        <v>-2</v>
      </c>
      <c r="D185" s="89" t="s">
        <v>210</v>
      </c>
      <c r="E185" s="89">
        <v>-4</v>
      </c>
      <c r="F185" s="89" t="s">
        <v>210</v>
      </c>
      <c r="G185" s="89" t="s">
        <v>210</v>
      </c>
      <c r="H185" s="89">
        <v>5</v>
      </c>
      <c r="I185" s="89">
        <v>1</v>
      </c>
      <c r="J185" s="89" t="s">
        <v>210</v>
      </c>
      <c r="K185" s="89">
        <v>-3</v>
      </c>
      <c r="L185" s="89" t="s">
        <v>210</v>
      </c>
      <c r="M185" s="89"/>
      <c r="N185" s="89"/>
      <c r="O185" s="89"/>
      <c r="P185" s="89"/>
      <c r="Q185" s="89"/>
      <c r="R185" s="89"/>
      <c r="S185" s="89"/>
      <c r="T185" s="89"/>
      <c r="U185" s="89"/>
      <c r="V185" s="89"/>
      <c r="W185" s="89"/>
      <c r="X185" s="89"/>
      <c r="Y185" s="89"/>
      <c r="Z185" s="89"/>
      <c r="AA185" s="89"/>
      <c r="AB185" s="89"/>
      <c r="AC185" s="89"/>
      <c r="AD185" s="89"/>
      <c r="AE185" s="89"/>
      <c r="AF185" s="89"/>
      <c r="AG185" s="89"/>
      <c r="AH185" s="89"/>
      <c r="AI185" s="89"/>
      <c r="AJ185" s="89"/>
      <c r="AK185" s="89"/>
      <c r="AL185" s="89"/>
      <c r="AM185" s="89"/>
      <c r="AN185" s="89"/>
      <c r="AO185" s="89"/>
      <c r="AP185" s="89"/>
      <c r="AQ185" s="89"/>
      <c r="AR185" s="89"/>
      <c r="AS185" s="89"/>
      <c r="AT185" s="89"/>
      <c r="AU185" s="89"/>
      <c r="AV185" s="89"/>
      <c r="AW185" s="89"/>
      <c r="AX185" s="89"/>
      <c r="AY185" s="89"/>
      <c r="AZ185" s="89"/>
      <c r="BA185" s="95"/>
    </row>
    <row r="186" spans="1:53" s="87" customFormat="1">
      <c r="A186" s="374" t="str">
        <f t="shared" si="50"/>
        <v/>
      </c>
      <c r="B186" s="89">
        <v>3</v>
      </c>
      <c r="C186" s="89">
        <v>2</v>
      </c>
      <c r="D186" s="89" t="s">
        <v>210</v>
      </c>
      <c r="E186" s="89">
        <v>-6</v>
      </c>
      <c r="F186" s="89" t="s">
        <v>210</v>
      </c>
      <c r="G186" s="89" t="s">
        <v>210</v>
      </c>
      <c r="H186" s="89">
        <v>3</v>
      </c>
      <c r="I186" s="89">
        <v>-5</v>
      </c>
      <c r="J186" s="89" t="s">
        <v>210</v>
      </c>
      <c r="K186" s="89">
        <v>-4</v>
      </c>
      <c r="L186" s="89" t="s">
        <v>210</v>
      </c>
      <c r="M186" s="89"/>
      <c r="N186" s="89"/>
      <c r="O186" s="89"/>
      <c r="P186" s="89"/>
      <c r="Q186" s="89"/>
      <c r="R186" s="89"/>
      <c r="S186" s="89"/>
      <c r="T186" s="89"/>
      <c r="U186" s="89"/>
      <c r="V186" s="89"/>
      <c r="W186" s="89"/>
      <c r="X186" s="89"/>
      <c r="Y186" s="89"/>
      <c r="Z186" s="89"/>
      <c r="AA186" s="89"/>
      <c r="AB186" s="89"/>
      <c r="AC186" s="89"/>
      <c r="AD186" s="89"/>
      <c r="AE186" s="89"/>
      <c r="AF186" s="89"/>
      <c r="AG186" s="89"/>
      <c r="AH186" s="89"/>
      <c r="AI186" s="89"/>
      <c r="AJ186" s="89"/>
      <c r="AK186" s="89"/>
      <c r="AL186" s="89"/>
      <c r="AM186" s="89"/>
      <c r="AN186" s="89"/>
      <c r="AO186" s="89"/>
      <c r="AP186" s="89"/>
      <c r="AQ186" s="89"/>
      <c r="AR186" s="89"/>
      <c r="AS186" s="89"/>
      <c r="AT186" s="89"/>
      <c r="AU186" s="89"/>
      <c r="AV186" s="89"/>
      <c r="AW186" s="89"/>
      <c r="AX186" s="89"/>
      <c r="AY186" s="89"/>
      <c r="AZ186" s="89"/>
      <c r="BA186" s="95"/>
    </row>
    <row r="187" spans="1:53" s="87" customFormat="1">
      <c r="A187" s="374" t="str">
        <f t="shared" si="50"/>
        <v/>
      </c>
      <c r="B187" s="89">
        <v>4</v>
      </c>
      <c r="C187" s="89">
        <v>3</v>
      </c>
      <c r="D187" s="89" t="s">
        <v>210</v>
      </c>
      <c r="E187" s="89">
        <v>2</v>
      </c>
      <c r="F187" s="89" t="s">
        <v>210</v>
      </c>
      <c r="G187" s="89" t="s">
        <v>210</v>
      </c>
      <c r="H187" s="89">
        <v>-5</v>
      </c>
      <c r="I187" s="89">
        <v>-6</v>
      </c>
      <c r="J187" s="89" t="s">
        <v>210</v>
      </c>
      <c r="K187" s="89">
        <v>4</v>
      </c>
      <c r="L187" s="89" t="s">
        <v>210</v>
      </c>
      <c r="M187" s="89"/>
      <c r="N187" s="89"/>
      <c r="O187" s="89"/>
      <c r="P187" s="89"/>
      <c r="Q187" s="89"/>
      <c r="R187" s="89"/>
      <c r="S187" s="89"/>
      <c r="T187" s="89"/>
      <c r="U187" s="89"/>
      <c r="V187" s="89"/>
      <c r="W187" s="89"/>
      <c r="X187" s="89"/>
      <c r="Y187" s="89"/>
      <c r="Z187" s="89"/>
      <c r="AA187" s="89"/>
      <c r="AB187" s="89"/>
      <c r="AC187" s="89"/>
      <c r="AD187" s="89"/>
      <c r="AE187" s="89"/>
      <c r="AF187" s="89"/>
      <c r="AG187" s="89"/>
      <c r="AH187" s="89"/>
      <c r="AI187" s="89"/>
      <c r="AJ187" s="89"/>
      <c r="AK187" s="89"/>
      <c r="AL187" s="89"/>
      <c r="AM187" s="89"/>
      <c r="AN187" s="89"/>
      <c r="AO187" s="89"/>
      <c r="AP187" s="89"/>
      <c r="AQ187" s="89"/>
      <c r="AR187" s="89"/>
      <c r="AS187" s="89"/>
      <c r="AT187" s="89"/>
      <c r="AU187" s="89"/>
      <c r="AV187" s="89"/>
      <c r="AW187" s="89"/>
      <c r="AX187" s="89"/>
      <c r="AY187" s="89"/>
      <c r="AZ187" s="89"/>
      <c r="BA187" s="95"/>
    </row>
    <row r="188" spans="1:53" s="87" customFormat="1">
      <c r="A188" s="374" t="str">
        <f t="shared" si="50"/>
        <v/>
      </c>
      <c r="B188" s="89">
        <v>5</v>
      </c>
      <c r="C188" s="89">
        <v>-1</v>
      </c>
      <c r="D188" s="89" t="s">
        <v>210</v>
      </c>
      <c r="E188" s="89">
        <v>4</v>
      </c>
      <c r="F188" s="89" t="s">
        <v>210</v>
      </c>
      <c r="G188" s="89" t="s">
        <v>210</v>
      </c>
      <c r="H188" s="89">
        <v>-3</v>
      </c>
      <c r="I188" s="89">
        <v>6</v>
      </c>
      <c r="J188" s="89" t="s">
        <v>210</v>
      </c>
      <c r="K188" s="89">
        <v>5</v>
      </c>
      <c r="L188" s="89" t="s">
        <v>210</v>
      </c>
      <c r="M188" s="89"/>
      <c r="N188" s="89"/>
      <c r="O188" s="89"/>
      <c r="P188" s="89"/>
      <c r="Q188" s="89"/>
      <c r="R188" s="89"/>
      <c r="S188" s="89"/>
      <c r="T188" s="89"/>
      <c r="U188" s="89"/>
      <c r="V188" s="89"/>
      <c r="W188" s="89"/>
      <c r="X188" s="89"/>
      <c r="Y188" s="89"/>
      <c r="Z188" s="89"/>
      <c r="AA188" s="89"/>
      <c r="AB188" s="89"/>
      <c r="AC188" s="89"/>
      <c r="AD188" s="89"/>
      <c r="AE188" s="89"/>
      <c r="AF188" s="89"/>
      <c r="AG188" s="89"/>
      <c r="AH188" s="89"/>
      <c r="AI188" s="89"/>
      <c r="AJ188" s="89"/>
      <c r="AK188" s="89"/>
      <c r="AL188" s="89"/>
      <c r="AM188" s="89"/>
      <c r="AN188" s="89"/>
      <c r="AO188" s="89"/>
      <c r="AP188" s="89"/>
      <c r="AQ188" s="89"/>
      <c r="AR188" s="89"/>
      <c r="AS188" s="89"/>
      <c r="AT188" s="89"/>
      <c r="AU188" s="89"/>
      <c r="AV188" s="89"/>
      <c r="AW188" s="89"/>
      <c r="AX188" s="89"/>
      <c r="AY188" s="89"/>
      <c r="AZ188" s="89"/>
      <c r="BA188" s="95"/>
    </row>
    <row r="189" spans="1:53" s="87" customFormat="1">
      <c r="A189" s="374" t="str">
        <f t="shared" si="50"/>
        <v/>
      </c>
      <c r="B189" s="99">
        <v>6</v>
      </c>
      <c r="C189" s="92">
        <v>-3</v>
      </c>
      <c r="D189" s="92" t="s">
        <v>210</v>
      </c>
      <c r="E189" s="92">
        <v>6</v>
      </c>
      <c r="F189" s="92" t="s">
        <v>210</v>
      </c>
      <c r="G189" s="92" t="s">
        <v>210</v>
      </c>
      <c r="H189" s="92">
        <v>4</v>
      </c>
      <c r="I189" s="92">
        <v>-1</v>
      </c>
      <c r="J189" s="92" t="s">
        <v>210</v>
      </c>
      <c r="K189" s="92">
        <v>-5</v>
      </c>
      <c r="L189" s="92" t="s">
        <v>210</v>
      </c>
      <c r="M189" s="89"/>
      <c r="N189" s="89"/>
      <c r="O189" s="89"/>
      <c r="P189" s="89"/>
      <c r="Q189" s="89"/>
      <c r="R189" s="89"/>
      <c r="S189" s="89"/>
      <c r="T189" s="89"/>
      <c r="U189" s="89"/>
      <c r="V189" s="89"/>
      <c r="W189" s="89"/>
      <c r="X189" s="89"/>
      <c r="Y189" s="89"/>
      <c r="Z189" s="89"/>
      <c r="AA189" s="89"/>
      <c r="AB189" s="89"/>
      <c r="AC189" s="89"/>
      <c r="AD189" s="89"/>
      <c r="AE189" s="89"/>
      <c r="AF189" s="89"/>
      <c r="AG189" s="89"/>
      <c r="AH189" s="89"/>
      <c r="AI189" s="89"/>
      <c r="AJ189" s="89"/>
      <c r="AK189" s="89"/>
      <c r="AL189" s="89"/>
      <c r="AM189" s="89"/>
      <c r="AN189" s="89"/>
      <c r="AO189" s="89"/>
      <c r="AP189" s="89"/>
      <c r="AQ189" s="89"/>
      <c r="AR189" s="89"/>
      <c r="AS189" s="89"/>
      <c r="AT189" s="89"/>
      <c r="AU189" s="89"/>
      <c r="AV189" s="89"/>
      <c r="AW189" s="89"/>
      <c r="AX189" s="89"/>
      <c r="AY189" s="89"/>
      <c r="AZ189" s="89"/>
      <c r="BA189" s="95"/>
    </row>
    <row r="190" spans="1:53" s="87" customFormat="1">
      <c r="A190" s="374" t="str">
        <f t="shared" si="50"/>
        <v/>
      </c>
      <c r="B190" s="89">
        <v>7</v>
      </c>
      <c r="C190" s="89" t="s">
        <v>210</v>
      </c>
      <c r="D190" s="89">
        <v>5</v>
      </c>
      <c r="E190" s="89">
        <v>-1</v>
      </c>
      <c r="F190" s="89" t="s">
        <v>210</v>
      </c>
      <c r="G190" s="89">
        <v>-3</v>
      </c>
      <c r="H190" s="89" t="s">
        <v>210</v>
      </c>
      <c r="I190" s="89" t="s">
        <v>210</v>
      </c>
      <c r="J190" s="89">
        <v>4</v>
      </c>
      <c r="K190" s="89">
        <v>2</v>
      </c>
      <c r="L190" s="89" t="s">
        <v>210</v>
      </c>
      <c r="M190" s="89"/>
      <c r="N190" s="89"/>
      <c r="O190" s="89"/>
      <c r="P190" s="89"/>
      <c r="Q190" s="89"/>
      <c r="R190" s="89"/>
      <c r="S190" s="89"/>
      <c r="T190" s="89"/>
      <c r="U190" s="89"/>
      <c r="V190" s="89"/>
      <c r="W190" s="89"/>
      <c r="X190" s="89"/>
      <c r="Y190" s="89"/>
      <c r="Z190" s="89"/>
      <c r="AA190" s="89"/>
      <c r="AB190" s="89"/>
      <c r="AC190" s="89"/>
      <c r="AD190" s="89"/>
      <c r="AE190" s="89"/>
      <c r="AF190" s="89"/>
      <c r="AG190" s="89"/>
      <c r="AH190" s="89"/>
      <c r="AI190" s="89"/>
      <c r="AJ190" s="89"/>
      <c r="AK190" s="89"/>
      <c r="AL190" s="89"/>
      <c r="AM190" s="89"/>
      <c r="AN190" s="89"/>
      <c r="AO190" s="89"/>
      <c r="AP190" s="89"/>
      <c r="AQ190" s="89"/>
      <c r="AR190" s="89"/>
      <c r="AS190" s="89"/>
      <c r="AT190" s="89"/>
      <c r="AU190" s="89"/>
      <c r="AV190" s="89"/>
      <c r="AW190" s="89"/>
      <c r="AX190" s="89"/>
      <c r="AY190" s="89"/>
      <c r="AZ190" s="89"/>
      <c r="BA190" s="95"/>
    </row>
    <row r="191" spans="1:53" s="87" customFormat="1">
      <c r="A191" s="374" t="str">
        <f t="shared" si="50"/>
        <v/>
      </c>
      <c r="B191" s="89">
        <v>8</v>
      </c>
      <c r="C191" s="89" t="s">
        <v>210</v>
      </c>
      <c r="D191" s="89">
        <v>-4</v>
      </c>
      <c r="E191" s="89">
        <v>-3</v>
      </c>
      <c r="F191" s="89" t="s">
        <v>210</v>
      </c>
      <c r="G191" s="89">
        <v>6</v>
      </c>
      <c r="H191" s="89" t="s">
        <v>210</v>
      </c>
      <c r="I191" s="89" t="s">
        <v>210</v>
      </c>
      <c r="J191" s="89">
        <v>5</v>
      </c>
      <c r="K191" s="89">
        <v>-2</v>
      </c>
      <c r="L191" s="89" t="s">
        <v>210</v>
      </c>
      <c r="M191" s="89"/>
      <c r="N191" s="89"/>
      <c r="O191" s="89"/>
      <c r="P191" s="89"/>
      <c r="Q191" s="89"/>
      <c r="R191" s="89"/>
      <c r="S191" s="89"/>
      <c r="T191" s="89"/>
      <c r="U191" s="89"/>
      <c r="V191" s="89"/>
      <c r="W191" s="89"/>
      <c r="X191" s="89"/>
      <c r="Y191" s="89"/>
      <c r="Z191" s="89"/>
      <c r="AA191" s="89"/>
      <c r="AB191" s="89"/>
      <c r="AC191" s="89"/>
      <c r="AD191" s="89"/>
      <c r="AE191" s="89"/>
      <c r="AF191" s="89"/>
      <c r="AG191" s="89"/>
      <c r="AH191" s="89"/>
      <c r="AI191" s="89"/>
      <c r="AJ191" s="89"/>
      <c r="AK191" s="89"/>
      <c r="AL191" s="89"/>
      <c r="AM191" s="89"/>
      <c r="AN191" s="89"/>
      <c r="AO191" s="89"/>
      <c r="AP191" s="89"/>
      <c r="AQ191" s="89"/>
      <c r="AR191" s="89"/>
      <c r="AS191" s="89"/>
      <c r="AT191" s="89"/>
      <c r="AU191" s="89"/>
      <c r="AV191" s="89"/>
      <c r="AW191" s="89"/>
      <c r="AX191" s="89"/>
      <c r="AY191" s="89"/>
      <c r="AZ191" s="89"/>
      <c r="BA191" s="95"/>
    </row>
    <row r="192" spans="1:53" s="87" customFormat="1">
      <c r="A192" s="374" t="str">
        <f t="shared" si="50"/>
        <v/>
      </c>
      <c r="B192" s="89">
        <v>9</v>
      </c>
      <c r="C192" s="89" t="s">
        <v>210</v>
      </c>
      <c r="D192" s="89">
        <v>-5</v>
      </c>
      <c r="E192" s="89">
        <v>3</v>
      </c>
      <c r="F192" s="89" t="s">
        <v>210</v>
      </c>
      <c r="G192" s="89">
        <v>4</v>
      </c>
      <c r="H192" s="89" t="s">
        <v>210</v>
      </c>
      <c r="I192" s="89" t="s">
        <v>210</v>
      </c>
      <c r="J192" s="89">
        <v>-2</v>
      </c>
      <c r="K192" s="89">
        <v>-1</v>
      </c>
      <c r="L192" s="89" t="s">
        <v>210</v>
      </c>
      <c r="M192" s="89"/>
      <c r="N192" s="89"/>
      <c r="O192" s="89"/>
      <c r="P192" s="89"/>
      <c r="Q192" s="89"/>
      <c r="R192" s="89"/>
      <c r="S192" s="89"/>
      <c r="T192" s="89"/>
      <c r="U192" s="89"/>
      <c r="V192" s="89"/>
      <c r="W192" s="89"/>
      <c r="X192" s="89"/>
      <c r="Y192" s="89"/>
      <c r="Z192" s="89"/>
      <c r="AA192" s="89"/>
      <c r="AB192" s="89"/>
      <c r="AC192" s="89"/>
      <c r="AD192" s="89"/>
      <c r="AE192" s="89"/>
      <c r="AF192" s="89"/>
      <c r="AG192" s="89"/>
      <c r="AH192" s="89"/>
      <c r="AI192" s="89"/>
      <c r="AJ192" s="89"/>
      <c r="AK192" s="89"/>
      <c r="AL192" s="89"/>
      <c r="AM192" s="89"/>
      <c r="AN192" s="89"/>
      <c r="AO192" s="89"/>
      <c r="AP192" s="89"/>
      <c r="AQ192" s="89"/>
      <c r="AR192" s="89"/>
      <c r="AS192" s="89"/>
      <c r="AT192" s="89"/>
      <c r="AU192" s="89"/>
      <c r="AV192" s="89"/>
      <c r="AW192" s="89"/>
      <c r="AX192" s="89"/>
      <c r="AY192" s="89"/>
      <c r="AZ192" s="89"/>
      <c r="BA192" s="95"/>
    </row>
    <row r="193" spans="1:53" s="87" customFormat="1">
      <c r="A193" s="374" t="str">
        <f t="shared" si="50"/>
        <v/>
      </c>
      <c r="B193" s="89">
        <v>10</v>
      </c>
      <c r="C193" s="89" t="s">
        <v>210</v>
      </c>
      <c r="D193" s="89">
        <v>2</v>
      </c>
      <c r="E193" s="89">
        <v>5</v>
      </c>
      <c r="F193" s="89" t="s">
        <v>210</v>
      </c>
      <c r="G193" s="89">
        <v>-6</v>
      </c>
      <c r="H193" s="89" t="s">
        <v>210</v>
      </c>
      <c r="I193" s="89" t="s">
        <v>210</v>
      </c>
      <c r="J193" s="89">
        <v>-4</v>
      </c>
      <c r="K193" s="89">
        <v>1</v>
      </c>
      <c r="L193" s="89" t="s">
        <v>210</v>
      </c>
      <c r="M193" s="89"/>
      <c r="N193" s="89"/>
      <c r="O193" s="89"/>
      <c r="P193" s="89"/>
      <c r="Q193" s="89"/>
      <c r="R193" s="89"/>
      <c r="S193" s="89"/>
      <c r="T193" s="89"/>
      <c r="U193" s="89"/>
      <c r="V193" s="89"/>
      <c r="W193" s="89"/>
      <c r="X193" s="89"/>
      <c r="Y193" s="89"/>
      <c r="Z193" s="89"/>
      <c r="AA193" s="89"/>
      <c r="AB193" s="89"/>
      <c r="AC193" s="89"/>
      <c r="AD193" s="89"/>
      <c r="AE193" s="89"/>
      <c r="AF193" s="89"/>
      <c r="AG193" s="89"/>
      <c r="AH193" s="89"/>
      <c r="AI193" s="89"/>
      <c r="AJ193" s="89"/>
      <c r="AK193" s="89"/>
      <c r="AL193" s="89"/>
      <c r="AM193" s="89"/>
      <c r="AN193" s="89"/>
      <c r="AO193" s="89"/>
      <c r="AP193" s="89"/>
      <c r="AQ193" s="89"/>
      <c r="AR193" s="89"/>
      <c r="AS193" s="89"/>
      <c r="AT193" s="89"/>
      <c r="AU193" s="89"/>
      <c r="AV193" s="89"/>
      <c r="AW193" s="89"/>
      <c r="AX193" s="89"/>
      <c r="AY193" s="89"/>
      <c r="AZ193" s="89"/>
      <c r="BA193" s="95"/>
    </row>
    <row r="194" spans="1:53" s="87" customFormat="1">
      <c r="A194" s="374" t="str">
        <f t="shared" si="50"/>
        <v/>
      </c>
      <c r="B194" s="89">
        <v>11</v>
      </c>
      <c r="C194" s="89" t="s">
        <v>210</v>
      </c>
      <c r="D194" s="89">
        <v>4</v>
      </c>
      <c r="E194" s="89">
        <v>-5</v>
      </c>
      <c r="F194" s="89" t="s">
        <v>210</v>
      </c>
      <c r="G194" s="89">
        <v>3</v>
      </c>
      <c r="H194" s="89" t="s">
        <v>210</v>
      </c>
      <c r="I194" s="89" t="s">
        <v>210</v>
      </c>
      <c r="J194" s="89">
        <v>2</v>
      </c>
      <c r="K194" s="89">
        <v>-6</v>
      </c>
      <c r="L194" s="89" t="s">
        <v>210</v>
      </c>
      <c r="M194" s="89"/>
      <c r="N194" s="89"/>
      <c r="O194" s="89"/>
      <c r="P194" s="89"/>
      <c r="Q194" s="89"/>
      <c r="R194" s="89"/>
      <c r="S194" s="89"/>
      <c r="T194" s="89"/>
      <c r="U194" s="89"/>
      <c r="V194" s="89"/>
      <c r="W194" s="89"/>
      <c r="X194" s="89"/>
      <c r="Y194" s="89"/>
      <c r="Z194" s="89"/>
      <c r="AA194" s="89"/>
      <c r="AB194" s="89"/>
      <c r="AC194" s="89"/>
      <c r="AD194" s="89"/>
      <c r="AE194" s="89"/>
      <c r="AF194" s="89"/>
      <c r="AG194" s="89"/>
      <c r="AH194" s="89"/>
      <c r="AI194" s="89"/>
      <c r="AJ194" s="89"/>
      <c r="AK194" s="89"/>
      <c r="AL194" s="89"/>
      <c r="AM194" s="89"/>
      <c r="AN194" s="89"/>
      <c r="AO194" s="89"/>
      <c r="AP194" s="89"/>
      <c r="AQ194" s="89"/>
      <c r="AR194" s="89"/>
      <c r="AS194" s="89"/>
      <c r="AT194" s="89"/>
      <c r="AU194" s="89"/>
      <c r="AV194" s="89"/>
      <c r="AW194" s="89"/>
      <c r="AX194" s="89"/>
      <c r="AY194" s="89"/>
      <c r="AZ194" s="89"/>
      <c r="BA194" s="95"/>
    </row>
    <row r="195" spans="1:53" s="87" customFormat="1">
      <c r="A195" s="374" t="str">
        <f t="shared" si="50"/>
        <v/>
      </c>
      <c r="B195" s="99">
        <v>12</v>
      </c>
      <c r="C195" s="92" t="s">
        <v>210</v>
      </c>
      <c r="D195" s="92">
        <v>-2</v>
      </c>
      <c r="E195" s="92">
        <v>1</v>
      </c>
      <c r="F195" s="92" t="s">
        <v>210</v>
      </c>
      <c r="G195" s="92">
        <v>-4</v>
      </c>
      <c r="H195" s="92" t="s">
        <v>210</v>
      </c>
      <c r="I195" s="92" t="s">
        <v>210</v>
      </c>
      <c r="J195" s="92">
        <v>-5</v>
      </c>
      <c r="K195" s="92">
        <v>6</v>
      </c>
      <c r="L195" s="92" t="s">
        <v>210</v>
      </c>
      <c r="M195" s="89"/>
      <c r="N195" s="89"/>
      <c r="O195" s="89"/>
      <c r="P195" s="89"/>
      <c r="Q195" s="89"/>
      <c r="R195" s="89"/>
      <c r="S195" s="89"/>
      <c r="T195" s="89"/>
      <c r="U195" s="89"/>
      <c r="V195" s="89"/>
      <c r="W195" s="89"/>
      <c r="X195" s="89"/>
      <c r="Y195" s="89"/>
      <c r="Z195" s="89"/>
      <c r="AA195" s="89"/>
      <c r="AB195" s="89"/>
      <c r="AC195" s="89"/>
      <c r="AD195" s="89"/>
      <c r="AE195" s="89"/>
      <c r="AF195" s="89"/>
      <c r="AG195" s="89"/>
      <c r="AH195" s="89"/>
      <c r="AI195" s="89"/>
      <c r="AJ195" s="89"/>
      <c r="AK195" s="89"/>
      <c r="AL195" s="89"/>
      <c r="AM195" s="89"/>
      <c r="AN195" s="89"/>
      <c r="AO195" s="89"/>
      <c r="AP195" s="89"/>
      <c r="AQ195" s="89"/>
      <c r="AR195" s="89"/>
      <c r="AS195" s="89"/>
      <c r="AT195" s="89"/>
      <c r="AU195" s="89"/>
      <c r="AV195" s="89"/>
      <c r="AW195" s="89"/>
      <c r="AX195" s="89"/>
      <c r="AY195" s="89"/>
      <c r="AZ195" s="89"/>
      <c r="BA195" s="95"/>
    </row>
    <row r="196" spans="1:53" s="87" customFormat="1">
      <c r="A196" s="374" t="str">
        <f t="shared" si="50"/>
        <v/>
      </c>
      <c r="B196" s="89">
        <v>13</v>
      </c>
      <c r="C196" s="89">
        <v>4</v>
      </c>
      <c r="D196" s="89" t="s">
        <v>210</v>
      </c>
      <c r="E196" s="89" t="s">
        <v>210</v>
      </c>
      <c r="F196" s="89">
        <v>-3</v>
      </c>
      <c r="G196" s="89">
        <v>5</v>
      </c>
      <c r="H196" s="89" t="s">
        <v>210</v>
      </c>
      <c r="I196" s="89">
        <v>-2</v>
      </c>
      <c r="J196" s="89" t="s">
        <v>210</v>
      </c>
      <c r="K196" s="89" t="s">
        <v>210</v>
      </c>
      <c r="L196" s="89">
        <v>-4</v>
      </c>
      <c r="M196" s="89"/>
      <c r="N196" s="89"/>
      <c r="O196" s="89"/>
      <c r="P196" s="89"/>
      <c r="Q196" s="89"/>
      <c r="R196" s="89"/>
      <c r="S196" s="89"/>
      <c r="T196" s="89"/>
      <c r="U196" s="89"/>
      <c r="V196" s="89"/>
      <c r="W196" s="89"/>
      <c r="X196" s="89"/>
      <c r="Y196" s="89"/>
      <c r="Z196" s="89"/>
      <c r="AA196" s="89"/>
      <c r="AB196" s="89"/>
      <c r="AC196" s="89"/>
      <c r="AD196" s="89"/>
      <c r="AE196" s="89"/>
      <c r="AF196" s="89"/>
      <c r="AG196" s="89"/>
      <c r="AH196" s="89"/>
      <c r="AI196" s="89"/>
      <c r="AJ196" s="89"/>
      <c r="AK196" s="89"/>
      <c r="AL196" s="89"/>
      <c r="AM196" s="89"/>
      <c r="AN196" s="89"/>
      <c r="AO196" s="89"/>
      <c r="AP196" s="89"/>
      <c r="AQ196" s="89"/>
      <c r="AR196" s="89"/>
      <c r="AS196" s="89"/>
      <c r="AT196" s="89"/>
      <c r="AU196" s="89"/>
      <c r="AV196" s="89"/>
      <c r="AW196" s="89"/>
      <c r="AX196" s="89"/>
      <c r="AY196" s="89"/>
      <c r="AZ196" s="89"/>
      <c r="BA196" s="95"/>
    </row>
    <row r="197" spans="1:53" s="87" customFormat="1">
      <c r="A197" s="374" t="str">
        <f t="shared" si="50"/>
        <v/>
      </c>
      <c r="B197" s="89">
        <v>14</v>
      </c>
      <c r="C197" s="89">
        <v>6</v>
      </c>
      <c r="D197" s="89" t="s">
        <v>210</v>
      </c>
      <c r="E197" s="89" t="s">
        <v>210</v>
      </c>
      <c r="F197" s="89">
        <v>-4</v>
      </c>
      <c r="G197" s="89">
        <v>2</v>
      </c>
      <c r="H197" s="89" t="s">
        <v>210</v>
      </c>
      <c r="I197" s="89">
        <v>-3</v>
      </c>
      <c r="J197" s="89" t="s">
        <v>210</v>
      </c>
      <c r="K197" s="89" t="s">
        <v>210</v>
      </c>
      <c r="L197" s="89">
        <v>4</v>
      </c>
      <c r="M197" s="89"/>
      <c r="N197" s="89"/>
      <c r="O197" s="89"/>
      <c r="P197" s="89"/>
      <c r="Q197" s="89"/>
      <c r="R197" s="89"/>
      <c r="S197" s="89"/>
      <c r="T197" s="89"/>
      <c r="U197" s="89"/>
      <c r="V197" s="89"/>
      <c r="W197" s="89"/>
      <c r="X197" s="89"/>
      <c r="Y197" s="89"/>
      <c r="Z197" s="89"/>
      <c r="AA197" s="89"/>
      <c r="AB197" s="89"/>
      <c r="AC197" s="89"/>
      <c r="AD197" s="89"/>
      <c r="AE197" s="89"/>
      <c r="AF197" s="89"/>
      <c r="AG197" s="89"/>
      <c r="AH197" s="89"/>
      <c r="AI197" s="89"/>
      <c r="AJ197" s="89"/>
      <c r="AK197" s="89"/>
      <c r="AL197" s="89"/>
      <c r="AM197" s="89"/>
      <c r="AN197" s="89"/>
      <c r="AO197" s="89"/>
      <c r="AP197" s="89"/>
      <c r="AQ197" s="89"/>
      <c r="AR197" s="89"/>
      <c r="AS197" s="89"/>
      <c r="AT197" s="89"/>
      <c r="AU197" s="89"/>
      <c r="AV197" s="89"/>
      <c r="AW197" s="89"/>
      <c r="AX197" s="89"/>
      <c r="AY197" s="89"/>
      <c r="AZ197" s="89"/>
      <c r="BA197" s="95"/>
    </row>
    <row r="198" spans="1:53" s="87" customFormat="1">
      <c r="A198" s="374" t="str">
        <f t="shared" si="50"/>
        <v/>
      </c>
      <c r="B198" s="89">
        <v>15</v>
      </c>
      <c r="C198" s="89">
        <v>-5</v>
      </c>
      <c r="D198" s="89" t="s">
        <v>210</v>
      </c>
      <c r="E198" s="89" t="s">
        <v>210</v>
      </c>
      <c r="F198" s="89">
        <v>3</v>
      </c>
      <c r="G198" s="89">
        <v>-2</v>
      </c>
      <c r="H198" s="89" t="s">
        <v>210</v>
      </c>
      <c r="I198" s="89">
        <v>4</v>
      </c>
      <c r="J198" s="89" t="s">
        <v>210</v>
      </c>
      <c r="K198" s="89" t="s">
        <v>210</v>
      </c>
      <c r="L198" s="89">
        <v>5</v>
      </c>
      <c r="M198" s="89"/>
      <c r="N198" s="89"/>
      <c r="O198" s="89"/>
      <c r="P198" s="89"/>
      <c r="Q198" s="89"/>
      <c r="R198" s="89"/>
      <c r="S198" s="89"/>
      <c r="T198" s="89"/>
      <c r="U198" s="89"/>
      <c r="V198" s="89"/>
      <c r="W198" s="89"/>
      <c r="X198" s="89"/>
      <c r="Y198" s="89"/>
      <c r="Z198" s="89"/>
      <c r="AA198" s="89"/>
      <c r="AB198" s="89"/>
      <c r="AC198" s="89"/>
      <c r="AD198" s="89"/>
      <c r="AE198" s="89"/>
      <c r="AF198" s="89"/>
      <c r="AG198" s="89"/>
      <c r="AH198" s="89"/>
      <c r="AI198" s="89"/>
      <c r="AJ198" s="89"/>
      <c r="AK198" s="89"/>
      <c r="AL198" s="89"/>
      <c r="AM198" s="89"/>
      <c r="AN198" s="89"/>
      <c r="AO198" s="89"/>
      <c r="AP198" s="89"/>
      <c r="AQ198" s="89"/>
      <c r="AR198" s="89"/>
      <c r="AS198" s="89"/>
      <c r="AT198" s="89"/>
      <c r="AU198" s="89"/>
      <c r="AV198" s="89"/>
      <c r="AW198" s="89"/>
      <c r="AX198" s="89"/>
      <c r="AY198" s="89"/>
      <c r="AZ198" s="89"/>
      <c r="BA198" s="95"/>
    </row>
    <row r="199" spans="1:53" s="87" customFormat="1">
      <c r="A199" s="374" t="str">
        <f t="shared" si="50"/>
        <v/>
      </c>
      <c r="B199" s="89">
        <v>16</v>
      </c>
      <c r="C199" s="89">
        <v>-4</v>
      </c>
      <c r="D199" s="89" t="s">
        <v>210</v>
      </c>
      <c r="E199" s="89" t="s">
        <v>210</v>
      </c>
      <c r="F199" s="89">
        <v>-2</v>
      </c>
      <c r="G199" s="89">
        <v>1</v>
      </c>
      <c r="H199" s="89" t="s">
        <v>210</v>
      </c>
      <c r="I199" s="89">
        <v>3</v>
      </c>
      <c r="J199" s="89" t="s">
        <v>210</v>
      </c>
      <c r="K199" s="89" t="s">
        <v>210</v>
      </c>
      <c r="L199" s="89">
        <v>-5</v>
      </c>
      <c r="M199" s="89"/>
      <c r="N199" s="89"/>
      <c r="O199" s="89"/>
      <c r="P199" s="89"/>
      <c r="Q199" s="89"/>
      <c r="R199" s="89"/>
      <c r="S199" s="89"/>
      <c r="T199" s="89"/>
      <c r="U199" s="89"/>
      <c r="V199" s="89"/>
      <c r="W199" s="89"/>
      <c r="X199" s="89"/>
      <c r="Y199" s="89"/>
      <c r="Z199" s="89"/>
      <c r="AA199" s="89"/>
      <c r="AB199" s="89"/>
      <c r="AC199" s="89"/>
      <c r="AD199" s="89"/>
      <c r="AE199" s="89"/>
      <c r="AF199" s="89"/>
      <c r="AG199" s="89"/>
      <c r="AH199" s="89"/>
      <c r="AI199" s="89"/>
      <c r="AJ199" s="89"/>
      <c r="AK199" s="89"/>
      <c r="AL199" s="89"/>
      <c r="AM199" s="89"/>
      <c r="AN199" s="89"/>
      <c r="AO199" s="89"/>
      <c r="AP199" s="89"/>
      <c r="AQ199" s="89"/>
      <c r="AR199" s="89"/>
      <c r="AS199" s="89"/>
      <c r="AT199" s="89"/>
      <c r="AU199" s="89"/>
      <c r="AV199" s="89"/>
      <c r="AW199" s="89"/>
      <c r="AX199" s="89"/>
      <c r="AY199" s="89"/>
      <c r="AZ199" s="89"/>
      <c r="BA199" s="95"/>
    </row>
    <row r="200" spans="1:53" s="87" customFormat="1">
      <c r="A200" s="374" t="str">
        <f t="shared" si="50"/>
        <v/>
      </c>
      <c r="B200" s="89">
        <v>17</v>
      </c>
      <c r="C200" s="89">
        <v>-6</v>
      </c>
      <c r="D200" s="89" t="s">
        <v>210</v>
      </c>
      <c r="E200" s="89" t="s">
        <v>210</v>
      </c>
      <c r="F200" s="89">
        <v>2</v>
      </c>
      <c r="G200" s="89">
        <v>-5</v>
      </c>
      <c r="H200" s="89" t="s">
        <v>210</v>
      </c>
      <c r="I200" s="89">
        <v>-4</v>
      </c>
      <c r="J200" s="89" t="s">
        <v>210</v>
      </c>
      <c r="K200" s="89" t="s">
        <v>210</v>
      </c>
      <c r="L200" s="89">
        <v>3</v>
      </c>
      <c r="M200" s="89"/>
      <c r="N200" s="89"/>
      <c r="O200" s="89"/>
      <c r="P200" s="89"/>
      <c r="Q200" s="89"/>
      <c r="R200" s="89"/>
      <c r="S200" s="89"/>
      <c r="T200" s="89"/>
      <c r="U200" s="89"/>
      <c r="V200" s="89"/>
      <c r="W200" s="89"/>
      <c r="X200" s="89"/>
      <c r="Y200" s="89"/>
      <c r="Z200" s="89"/>
      <c r="AA200" s="89"/>
      <c r="AB200" s="89"/>
      <c r="AC200" s="89"/>
      <c r="AD200" s="89"/>
      <c r="AE200" s="89"/>
      <c r="AF200" s="89"/>
      <c r="AG200" s="89"/>
      <c r="AH200" s="89"/>
      <c r="AI200" s="89"/>
      <c r="AJ200" s="89"/>
      <c r="AK200" s="89"/>
      <c r="AL200" s="89"/>
      <c r="AM200" s="89"/>
      <c r="AN200" s="89"/>
      <c r="AO200" s="89"/>
      <c r="AP200" s="89"/>
      <c r="AQ200" s="89"/>
      <c r="AR200" s="89"/>
      <c r="AS200" s="89"/>
      <c r="AT200" s="89"/>
      <c r="AU200" s="89"/>
      <c r="AV200" s="89"/>
      <c r="AW200" s="89"/>
      <c r="AX200" s="89"/>
      <c r="AY200" s="89"/>
      <c r="AZ200" s="89"/>
      <c r="BA200" s="95"/>
    </row>
    <row r="201" spans="1:53" s="87" customFormat="1">
      <c r="A201" s="374" t="str">
        <f t="shared" si="50"/>
        <v/>
      </c>
      <c r="B201" s="89">
        <v>18</v>
      </c>
      <c r="C201" s="89">
        <v>5</v>
      </c>
      <c r="D201" s="89" t="s">
        <v>210</v>
      </c>
      <c r="E201" s="89" t="s">
        <v>210</v>
      </c>
      <c r="F201" s="89">
        <v>4</v>
      </c>
      <c r="G201" s="89">
        <v>-1</v>
      </c>
      <c r="H201" s="89" t="s">
        <v>210</v>
      </c>
      <c r="I201" s="89">
        <v>2</v>
      </c>
      <c r="J201" s="89" t="s">
        <v>210</v>
      </c>
      <c r="K201" s="89" t="s">
        <v>210</v>
      </c>
      <c r="L201" s="89">
        <v>-3</v>
      </c>
      <c r="M201" s="89"/>
      <c r="N201" s="89"/>
      <c r="O201" s="89"/>
      <c r="P201" s="89"/>
      <c r="Q201" s="89"/>
      <c r="R201" s="89"/>
      <c r="S201" s="89"/>
      <c r="T201" s="89"/>
      <c r="U201" s="89"/>
      <c r="V201" s="89"/>
      <c r="W201" s="89"/>
      <c r="X201" s="89"/>
      <c r="Y201" s="89"/>
      <c r="Z201" s="89"/>
      <c r="AA201" s="89"/>
      <c r="AB201" s="89"/>
      <c r="AC201" s="89"/>
      <c r="AD201" s="89"/>
      <c r="AE201" s="89"/>
      <c r="AF201" s="89"/>
      <c r="AG201" s="89"/>
      <c r="AH201" s="89"/>
      <c r="AI201" s="89"/>
      <c r="AJ201" s="89"/>
      <c r="AK201" s="89"/>
      <c r="AL201" s="89"/>
      <c r="AM201" s="89"/>
      <c r="AN201" s="89"/>
      <c r="AO201" s="89"/>
      <c r="AP201" s="89"/>
      <c r="AQ201" s="89"/>
      <c r="AR201" s="89"/>
      <c r="AS201" s="89"/>
      <c r="AT201" s="89"/>
      <c r="AU201" s="89"/>
      <c r="AV201" s="89"/>
      <c r="AW201" s="89"/>
      <c r="AX201" s="89"/>
      <c r="AY201" s="89"/>
      <c r="AZ201" s="89"/>
      <c r="BA201" s="95"/>
    </row>
    <row r="202" spans="1:53" s="87" customFormat="1">
      <c r="A202" s="374" t="str">
        <f t="shared" si="50"/>
        <v/>
      </c>
      <c r="B202" s="89" t="s">
        <v>356</v>
      </c>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c r="AA202" s="89"/>
      <c r="AB202" s="89"/>
      <c r="AC202" s="89"/>
      <c r="AD202" s="89"/>
      <c r="AE202" s="89"/>
      <c r="AF202" s="89"/>
      <c r="AG202" s="89"/>
      <c r="AH202" s="89"/>
      <c r="AI202" s="89"/>
      <c r="AJ202" s="89"/>
      <c r="AK202" s="89"/>
      <c r="AL202" s="89"/>
      <c r="AM202" s="89"/>
      <c r="AN202" s="89"/>
      <c r="AO202" s="89"/>
      <c r="AP202" s="89"/>
      <c r="AQ202" s="89"/>
      <c r="AR202" s="89"/>
      <c r="AS202" s="89"/>
      <c r="AT202" s="89"/>
      <c r="AU202" s="89"/>
      <c r="AV202" s="89"/>
      <c r="AW202" s="89"/>
      <c r="AX202" s="89"/>
      <c r="AY202" s="89"/>
      <c r="AZ202" s="89"/>
      <c r="BA202" s="95"/>
    </row>
    <row r="203" spans="1:53" s="87" customFormat="1">
      <c r="A203" s="374">
        <f t="shared" si="50"/>
        <v>203</v>
      </c>
      <c r="B203" s="89" t="s">
        <v>357</v>
      </c>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95"/>
    </row>
    <row r="204" spans="1:53" s="87" customFormat="1">
      <c r="A204" s="374" t="str">
        <f t="shared" ref="A204:A267" si="51">IF(MID(B204,3,2)="06",ROW(),"")</f>
        <v/>
      </c>
      <c r="B204" s="89">
        <v>1</v>
      </c>
      <c r="C204" s="89">
        <v>4</v>
      </c>
      <c r="D204" s="89" t="s">
        <v>210</v>
      </c>
      <c r="E204" s="89">
        <v>6</v>
      </c>
      <c r="F204" s="89" t="s">
        <v>210</v>
      </c>
      <c r="G204" s="89">
        <v>-3</v>
      </c>
      <c r="H204" s="89" t="s">
        <v>210</v>
      </c>
      <c r="I204" s="89" t="s">
        <v>210</v>
      </c>
      <c r="J204" s="89">
        <v>-5</v>
      </c>
      <c r="K204" s="89" t="s">
        <v>210</v>
      </c>
      <c r="L204" s="89">
        <v>3</v>
      </c>
      <c r="M204" s="89"/>
      <c r="N204" s="89"/>
      <c r="O204" s="89"/>
      <c r="P204" s="89"/>
      <c r="Q204" s="89"/>
      <c r="R204" s="89"/>
      <c r="S204" s="89"/>
      <c r="T204" s="89"/>
      <c r="U204" s="89"/>
      <c r="V204" s="89"/>
      <c r="W204" s="89"/>
      <c r="X204" s="89"/>
      <c r="Y204" s="89"/>
      <c r="Z204" s="89"/>
      <c r="AA204" s="89"/>
      <c r="AB204" s="89"/>
      <c r="AC204" s="89"/>
      <c r="AD204" s="89"/>
      <c r="AE204" s="89"/>
      <c r="AF204" s="89"/>
      <c r="AG204" s="89"/>
      <c r="AH204" s="89"/>
      <c r="AI204" s="89"/>
      <c r="AJ204" s="89"/>
      <c r="AK204" s="89"/>
      <c r="AL204" s="89"/>
      <c r="AM204" s="89"/>
      <c r="AN204" s="89"/>
      <c r="AO204" s="89"/>
      <c r="AP204" s="89"/>
      <c r="AQ204" s="89"/>
      <c r="AR204" s="89"/>
      <c r="AS204" s="89"/>
      <c r="AT204" s="89"/>
      <c r="AU204" s="89"/>
      <c r="AV204" s="89"/>
      <c r="AW204" s="89"/>
      <c r="AX204" s="89"/>
      <c r="AY204" s="89"/>
      <c r="AZ204" s="89"/>
      <c r="BA204" s="95"/>
    </row>
    <row r="205" spans="1:53" s="87" customFormat="1">
      <c r="A205" s="374" t="str">
        <f t="shared" si="51"/>
        <v/>
      </c>
      <c r="B205" s="89">
        <v>2</v>
      </c>
      <c r="C205" s="89">
        <v>-2</v>
      </c>
      <c r="D205" s="89" t="s">
        <v>210</v>
      </c>
      <c r="E205" s="89" t="s">
        <v>210</v>
      </c>
      <c r="F205" s="89">
        <v>5</v>
      </c>
      <c r="G205" s="89">
        <v>-4</v>
      </c>
      <c r="H205" s="89" t="s">
        <v>210</v>
      </c>
      <c r="I205" s="89">
        <v>6</v>
      </c>
      <c r="J205" s="89" t="s">
        <v>210</v>
      </c>
      <c r="K205" s="89" t="s">
        <v>210</v>
      </c>
      <c r="L205" s="89">
        <v>-3</v>
      </c>
      <c r="M205" s="89"/>
      <c r="N205" s="89"/>
      <c r="O205" s="89"/>
      <c r="P205" s="89"/>
      <c r="Q205" s="89"/>
      <c r="R205" s="89"/>
      <c r="S205" s="89"/>
      <c r="T205" s="89"/>
      <c r="U205" s="89"/>
      <c r="V205" s="89"/>
      <c r="W205" s="89"/>
      <c r="X205" s="89"/>
      <c r="Y205" s="89"/>
      <c r="Z205" s="89"/>
      <c r="AA205" s="89"/>
      <c r="AB205" s="89"/>
      <c r="AC205" s="89"/>
      <c r="AD205" s="89"/>
      <c r="AE205" s="89"/>
      <c r="AF205" s="89"/>
      <c r="AG205" s="89"/>
      <c r="AH205" s="89"/>
      <c r="AI205" s="89"/>
      <c r="AJ205" s="89"/>
      <c r="AK205" s="89"/>
      <c r="AL205" s="89"/>
      <c r="AM205" s="89"/>
      <c r="AN205" s="89"/>
      <c r="AO205" s="89"/>
      <c r="AP205" s="89"/>
      <c r="AQ205" s="89"/>
      <c r="AR205" s="89"/>
      <c r="AS205" s="89"/>
      <c r="AT205" s="89"/>
      <c r="AU205" s="89"/>
      <c r="AV205" s="89"/>
      <c r="AW205" s="89"/>
      <c r="AX205" s="89"/>
      <c r="AY205" s="89"/>
      <c r="AZ205" s="89"/>
      <c r="BA205" s="95"/>
    </row>
    <row r="206" spans="1:53" s="87" customFormat="1">
      <c r="A206" s="374" t="str">
        <f t="shared" si="51"/>
        <v/>
      </c>
      <c r="B206" s="89">
        <v>3</v>
      </c>
      <c r="C206" s="89">
        <v>-1</v>
      </c>
      <c r="D206" s="89" t="s">
        <v>210</v>
      </c>
      <c r="E206" s="89" t="s">
        <v>210</v>
      </c>
      <c r="F206" s="89">
        <v>-5</v>
      </c>
      <c r="G206" s="89">
        <v>3</v>
      </c>
      <c r="H206" s="89" t="s">
        <v>210</v>
      </c>
      <c r="I206" s="89" t="s">
        <v>210</v>
      </c>
      <c r="J206" s="89">
        <v>2</v>
      </c>
      <c r="K206" s="89">
        <v>-4</v>
      </c>
      <c r="L206" s="89" t="s">
        <v>210</v>
      </c>
      <c r="M206" s="89"/>
      <c r="N206" s="89"/>
      <c r="O206" s="89"/>
      <c r="P206" s="89"/>
      <c r="Q206" s="89"/>
      <c r="R206" s="89"/>
      <c r="S206" s="89"/>
      <c r="T206" s="89"/>
      <c r="U206" s="89"/>
      <c r="V206" s="89"/>
      <c r="W206" s="89"/>
      <c r="X206" s="89"/>
      <c r="Y206" s="89"/>
      <c r="Z206" s="89"/>
      <c r="AA206" s="89"/>
      <c r="AB206" s="89"/>
      <c r="AC206" s="89"/>
      <c r="AD206" s="89"/>
      <c r="AE206" s="89"/>
      <c r="AF206" s="89"/>
      <c r="AG206" s="89"/>
      <c r="AH206" s="89"/>
      <c r="AI206" s="89"/>
      <c r="AJ206" s="89"/>
      <c r="AK206" s="89"/>
      <c r="AL206" s="89"/>
      <c r="AM206" s="89"/>
      <c r="AN206" s="89"/>
      <c r="AO206" s="89"/>
      <c r="AP206" s="89"/>
      <c r="AQ206" s="89"/>
      <c r="AR206" s="89"/>
      <c r="AS206" s="89"/>
      <c r="AT206" s="89"/>
      <c r="AU206" s="89"/>
      <c r="AV206" s="89"/>
      <c r="AW206" s="89"/>
      <c r="AX206" s="89"/>
      <c r="AY206" s="89"/>
      <c r="AZ206" s="89"/>
      <c r="BA206" s="95"/>
    </row>
    <row r="207" spans="1:53" s="87" customFormat="1">
      <c r="A207" s="374" t="str">
        <f t="shared" si="51"/>
        <v/>
      </c>
      <c r="B207" s="89">
        <v>4</v>
      </c>
      <c r="C207" s="89">
        <v>2</v>
      </c>
      <c r="D207" s="89" t="s">
        <v>210</v>
      </c>
      <c r="E207" s="89" t="s">
        <v>210</v>
      </c>
      <c r="F207" s="89">
        <v>-3</v>
      </c>
      <c r="G207" s="89">
        <v>-1</v>
      </c>
      <c r="H207" s="89" t="s">
        <v>210</v>
      </c>
      <c r="I207" s="89" t="s">
        <v>210</v>
      </c>
      <c r="J207" s="89">
        <v>5</v>
      </c>
      <c r="K207" s="89">
        <v>4</v>
      </c>
      <c r="L207" s="89" t="s">
        <v>210</v>
      </c>
      <c r="M207" s="89"/>
      <c r="N207" s="89"/>
      <c r="O207" s="89"/>
      <c r="P207" s="89"/>
      <c r="Q207" s="89"/>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95"/>
    </row>
    <row r="208" spans="1:53" s="87" customFormat="1">
      <c r="A208" s="374" t="str">
        <f t="shared" si="51"/>
        <v/>
      </c>
      <c r="B208" s="99">
        <v>5</v>
      </c>
      <c r="C208" s="92">
        <v>-4</v>
      </c>
      <c r="D208" s="92" t="s">
        <v>210</v>
      </c>
      <c r="E208" s="92" t="s">
        <v>210</v>
      </c>
      <c r="F208" s="92">
        <v>3</v>
      </c>
      <c r="G208" s="92">
        <v>4</v>
      </c>
      <c r="H208" s="92" t="s">
        <v>210</v>
      </c>
      <c r="I208" s="92" t="s">
        <v>210</v>
      </c>
      <c r="J208" s="92">
        <v>-2</v>
      </c>
      <c r="K208" s="92">
        <v>-1</v>
      </c>
      <c r="L208" s="92" t="s">
        <v>210</v>
      </c>
      <c r="M208" s="89"/>
      <c r="N208" s="89"/>
      <c r="O208" s="89"/>
      <c r="P208" s="89"/>
      <c r="Q208" s="89"/>
      <c r="R208" s="89"/>
      <c r="S208" s="89"/>
      <c r="T208" s="89"/>
      <c r="U208" s="89"/>
      <c r="V208" s="89"/>
      <c r="W208" s="89"/>
      <c r="X208" s="89"/>
      <c r="Y208" s="89"/>
      <c r="Z208" s="89"/>
      <c r="AA208" s="89"/>
      <c r="AB208" s="89"/>
      <c r="AC208" s="89"/>
      <c r="AD208" s="89"/>
      <c r="AE208" s="89"/>
      <c r="AF208" s="89"/>
      <c r="AG208" s="89"/>
      <c r="AH208" s="89"/>
      <c r="AI208" s="89"/>
      <c r="AJ208" s="89"/>
      <c r="AK208" s="89"/>
      <c r="AL208" s="89"/>
      <c r="AM208" s="89"/>
      <c r="AN208" s="89"/>
      <c r="AO208" s="89"/>
      <c r="AP208" s="89"/>
      <c r="AQ208" s="89"/>
      <c r="AR208" s="89"/>
      <c r="AS208" s="89"/>
      <c r="AT208" s="89"/>
      <c r="AU208" s="89"/>
      <c r="AV208" s="89"/>
      <c r="AW208" s="89"/>
      <c r="AX208" s="89"/>
      <c r="AY208" s="89"/>
      <c r="AZ208" s="89"/>
      <c r="BA208" s="95"/>
    </row>
    <row r="209" spans="1:53" s="87" customFormat="1">
      <c r="A209" s="374" t="str">
        <f t="shared" si="51"/>
        <v/>
      </c>
      <c r="B209" s="89">
        <v>6</v>
      </c>
      <c r="C209" s="89">
        <v>-5</v>
      </c>
      <c r="D209" s="89" t="s">
        <v>210</v>
      </c>
      <c r="E209" s="89">
        <v>-6</v>
      </c>
      <c r="F209" s="89" t="s">
        <v>210</v>
      </c>
      <c r="G209" s="89">
        <v>2</v>
      </c>
      <c r="H209" s="89" t="s">
        <v>210</v>
      </c>
      <c r="I209" s="89" t="s">
        <v>210</v>
      </c>
      <c r="J209" s="89">
        <v>4</v>
      </c>
      <c r="K209" s="89" t="s">
        <v>210</v>
      </c>
      <c r="L209" s="89">
        <v>-2</v>
      </c>
      <c r="M209" s="89"/>
      <c r="N209" s="89"/>
      <c r="O209" s="89"/>
      <c r="P209" s="89"/>
      <c r="Q209" s="89"/>
      <c r="R209" s="89"/>
      <c r="S209" s="89"/>
      <c r="T209" s="89"/>
      <c r="U209" s="89"/>
      <c r="V209" s="89"/>
      <c r="W209" s="89"/>
      <c r="X209" s="89"/>
      <c r="Y209" s="89"/>
      <c r="Z209" s="89"/>
      <c r="AA209" s="89"/>
      <c r="AB209" s="89"/>
      <c r="AC209" s="89"/>
      <c r="AD209" s="89"/>
      <c r="AE209" s="89"/>
      <c r="AF209" s="89"/>
      <c r="AG209" s="89"/>
      <c r="AH209" s="89"/>
      <c r="AI209" s="89"/>
      <c r="AJ209" s="89"/>
      <c r="AK209" s="89"/>
      <c r="AL209" s="89"/>
      <c r="AM209" s="89"/>
      <c r="AN209" s="89"/>
      <c r="AO209" s="89"/>
      <c r="AP209" s="89"/>
      <c r="AQ209" s="89"/>
      <c r="AR209" s="89"/>
      <c r="AS209" s="89"/>
      <c r="AT209" s="89"/>
      <c r="AU209" s="89"/>
      <c r="AV209" s="89"/>
      <c r="AW209" s="89"/>
      <c r="AX209" s="89"/>
      <c r="AY209" s="89"/>
      <c r="AZ209" s="89"/>
      <c r="BA209" s="95"/>
    </row>
    <row r="210" spans="1:53" s="87" customFormat="1">
      <c r="A210" s="374" t="str">
        <f t="shared" si="51"/>
        <v/>
      </c>
      <c r="B210" s="89">
        <v>7</v>
      </c>
      <c r="C210" s="89">
        <v>3</v>
      </c>
      <c r="D210" s="89" t="s">
        <v>210</v>
      </c>
      <c r="E210" s="89" t="s">
        <v>210</v>
      </c>
      <c r="F210" s="89">
        <v>-4</v>
      </c>
      <c r="G210" s="89">
        <v>5</v>
      </c>
      <c r="H210" s="89" t="s">
        <v>210</v>
      </c>
      <c r="I210" s="89">
        <v>-6</v>
      </c>
      <c r="J210" s="89" t="s">
        <v>210</v>
      </c>
      <c r="K210" s="89" t="s">
        <v>210</v>
      </c>
      <c r="L210" s="89">
        <v>2</v>
      </c>
      <c r="M210" s="89"/>
      <c r="N210" s="89"/>
      <c r="O210" s="89"/>
      <c r="P210" s="89"/>
      <c r="Q210" s="89"/>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95"/>
    </row>
    <row r="211" spans="1:53" s="87" customFormat="1">
      <c r="A211" s="374" t="str">
        <f t="shared" si="51"/>
        <v/>
      </c>
      <c r="B211" s="89">
        <v>8</v>
      </c>
      <c r="C211" s="89">
        <v>1</v>
      </c>
      <c r="D211" s="89" t="s">
        <v>210</v>
      </c>
      <c r="E211" s="89" t="s">
        <v>210</v>
      </c>
      <c r="F211" s="89">
        <v>4</v>
      </c>
      <c r="G211" s="89">
        <v>-2</v>
      </c>
      <c r="H211" s="89" t="s">
        <v>210</v>
      </c>
      <c r="I211" s="89" t="s">
        <v>210</v>
      </c>
      <c r="J211" s="89">
        <v>-3</v>
      </c>
      <c r="K211" s="89">
        <v>5</v>
      </c>
      <c r="L211" s="89" t="s">
        <v>210</v>
      </c>
      <c r="M211" s="89"/>
      <c r="N211" s="89"/>
      <c r="O211" s="89"/>
      <c r="P211" s="89"/>
      <c r="Q211" s="89"/>
      <c r="R211" s="89"/>
      <c r="S211" s="89"/>
      <c r="T211" s="89"/>
      <c r="U211" s="89"/>
      <c r="V211" s="89"/>
      <c r="W211" s="89"/>
      <c r="X211" s="89"/>
      <c r="Y211" s="89"/>
      <c r="Z211" s="89"/>
      <c r="AA211" s="89"/>
      <c r="AB211" s="89"/>
      <c r="AC211" s="89"/>
      <c r="AD211" s="89"/>
      <c r="AE211" s="89"/>
      <c r="AF211" s="89"/>
      <c r="AG211" s="89"/>
      <c r="AH211" s="89"/>
      <c r="AI211" s="89"/>
      <c r="AJ211" s="89"/>
      <c r="AK211" s="89"/>
      <c r="AL211" s="89"/>
      <c r="AM211" s="89"/>
      <c r="AN211" s="89"/>
      <c r="AO211" s="89"/>
      <c r="AP211" s="89"/>
      <c r="AQ211" s="89"/>
      <c r="AR211" s="89"/>
      <c r="AS211" s="89"/>
      <c r="AT211" s="89"/>
      <c r="AU211" s="89"/>
      <c r="AV211" s="89"/>
      <c r="AW211" s="89"/>
      <c r="AX211" s="89"/>
      <c r="AY211" s="89"/>
      <c r="AZ211" s="89"/>
      <c r="BA211" s="95"/>
    </row>
    <row r="212" spans="1:53" s="87" customFormat="1">
      <c r="A212" s="374" t="str">
        <f t="shared" si="51"/>
        <v/>
      </c>
      <c r="B212" s="89">
        <v>9</v>
      </c>
      <c r="C212" s="89">
        <v>-3</v>
      </c>
      <c r="D212" s="89" t="s">
        <v>210</v>
      </c>
      <c r="E212" s="89" t="s">
        <v>210</v>
      </c>
      <c r="F212" s="89">
        <v>2</v>
      </c>
      <c r="G212" s="89">
        <v>1</v>
      </c>
      <c r="H212" s="89" t="s">
        <v>210</v>
      </c>
      <c r="I212" s="89" t="s">
        <v>210</v>
      </c>
      <c r="J212" s="89">
        <v>-4</v>
      </c>
      <c r="K212" s="89">
        <v>-5</v>
      </c>
      <c r="L212" s="89" t="s">
        <v>210</v>
      </c>
      <c r="M212" s="89"/>
      <c r="N212" s="89"/>
      <c r="O212" s="89"/>
      <c r="P212" s="89"/>
      <c r="Q212" s="89"/>
      <c r="R212" s="89"/>
      <c r="S212" s="89"/>
      <c r="T212" s="89"/>
      <c r="U212" s="89"/>
      <c r="V212" s="89"/>
      <c r="W212" s="89"/>
      <c r="X212" s="89"/>
      <c r="Y212" s="89"/>
      <c r="Z212" s="89"/>
      <c r="AA212" s="89"/>
      <c r="AB212" s="89"/>
      <c r="AC212" s="89"/>
      <c r="AD212" s="89"/>
      <c r="AE212" s="89"/>
      <c r="AF212" s="89"/>
      <c r="AG212" s="89"/>
      <c r="AH212" s="89"/>
      <c r="AI212" s="89"/>
      <c r="AJ212" s="89"/>
      <c r="AK212" s="89"/>
      <c r="AL212" s="89"/>
      <c r="AM212" s="89"/>
      <c r="AN212" s="89"/>
      <c r="AO212" s="89"/>
      <c r="AP212" s="89"/>
      <c r="AQ212" s="89"/>
      <c r="AR212" s="89"/>
      <c r="AS212" s="89"/>
      <c r="AT212" s="89"/>
      <c r="AU212" s="89"/>
      <c r="AV212" s="89"/>
      <c r="AW212" s="89"/>
      <c r="AX212" s="89"/>
      <c r="AY212" s="89"/>
      <c r="AZ212" s="89"/>
      <c r="BA212" s="95"/>
    </row>
    <row r="213" spans="1:53" s="87" customFormat="1">
      <c r="A213" s="374" t="str">
        <f t="shared" si="51"/>
        <v/>
      </c>
      <c r="B213" s="99">
        <v>10</v>
      </c>
      <c r="C213" s="92">
        <v>5</v>
      </c>
      <c r="D213" s="92" t="s">
        <v>210</v>
      </c>
      <c r="E213" s="92" t="s">
        <v>210</v>
      </c>
      <c r="F213" s="92">
        <v>-2</v>
      </c>
      <c r="G213" s="92">
        <v>-5</v>
      </c>
      <c r="H213" s="92" t="s">
        <v>210</v>
      </c>
      <c r="I213" s="92" t="s">
        <v>210</v>
      </c>
      <c r="J213" s="92">
        <v>3</v>
      </c>
      <c r="K213" s="92">
        <v>1</v>
      </c>
      <c r="L213" s="92" t="s">
        <v>210</v>
      </c>
      <c r="M213" s="89"/>
      <c r="N213" s="89"/>
      <c r="O213" s="89"/>
      <c r="P213" s="89"/>
      <c r="Q213" s="89"/>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95"/>
    </row>
    <row r="214" spans="1:53" s="87" customFormat="1">
      <c r="A214" s="374" t="str">
        <f t="shared" si="51"/>
        <v/>
      </c>
      <c r="B214" s="89">
        <v>11</v>
      </c>
      <c r="C214" s="89" t="s">
        <v>210</v>
      </c>
      <c r="D214" s="89">
        <v>4</v>
      </c>
      <c r="E214" s="89">
        <v>1</v>
      </c>
      <c r="F214" s="89" t="s">
        <v>210</v>
      </c>
      <c r="G214" s="89" t="s">
        <v>210</v>
      </c>
      <c r="H214" s="89">
        <v>-3</v>
      </c>
      <c r="I214" s="89">
        <v>-5</v>
      </c>
      <c r="J214" s="89" t="s">
        <v>210</v>
      </c>
      <c r="K214" s="89">
        <v>3</v>
      </c>
      <c r="L214" s="89" t="s">
        <v>210</v>
      </c>
      <c r="M214" s="89"/>
      <c r="N214" s="89"/>
      <c r="O214" s="89"/>
      <c r="P214" s="89"/>
      <c r="Q214" s="89"/>
      <c r="R214" s="89"/>
      <c r="S214" s="89"/>
      <c r="T214" s="89"/>
      <c r="U214" s="89"/>
      <c r="V214" s="89"/>
      <c r="W214" s="89"/>
      <c r="X214" s="89"/>
      <c r="Y214" s="89"/>
      <c r="Z214" s="89"/>
      <c r="AA214" s="89"/>
      <c r="AB214" s="89"/>
      <c r="AC214" s="89"/>
      <c r="AD214" s="89"/>
      <c r="AE214" s="89"/>
      <c r="AF214" s="89"/>
      <c r="AG214" s="89"/>
      <c r="AH214" s="89"/>
      <c r="AI214" s="89"/>
      <c r="AJ214" s="89"/>
      <c r="AK214" s="89"/>
      <c r="AL214" s="89"/>
      <c r="AM214" s="89"/>
      <c r="AN214" s="89"/>
      <c r="AO214" s="89"/>
      <c r="AP214" s="89"/>
      <c r="AQ214" s="89"/>
      <c r="AR214" s="89"/>
      <c r="AS214" s="89"/>
      <c r="AT214" s="89"/>
      <c r="AU214" s="89"/>
      <c r="AV214" s="89"/>
      <c r="AW214" s="89"/>
      <c r="AX214" s="89"/>
      <c r="AY214" s="89"/>
      <c r="AZ214" s="89"/>
      <c r="BA214" s="95"/>
    </row>
    <row r="215" spans="1:53" s="87" customFormat="1">
      <c r="A215" s="374" t="str">
        <f t="shared" si="51"/>
        <v/>
      </c>
      <c r="B215" s="89">
        <v>12</v>
      </c>
      <c r="C215" s="89" t="s">
        <v>210</v>
      </c>
      <c r="D215" s="89">
        <v>-2</v>
      </c>
      <c r="E215" s="89">
        <v>5</v>
      </c>
      <c r="F215" s="89" t="s">
        <v>210</v>
      </c>
      <c r="G215" s="89" t="s">
        <v>210</v>
      </c>
      <c r="H215" s="89">
        <v>-4</v>
      </c>
      <c r="I215" s="89">
        <v>1</v>
      </c>
      <c r="J215" s="89" t="s">
        <v>210</v>
      </c>
      <c r="K215" s="89">
        <v>-3</v>
      </c>
      <c r="L215" s="89" t="s">
        <v>210</v>
      </c>
      <c r="M215" s="89"/>
      <c r="N215" s="89"/>
      <c r="O215" s="89"/>
      <c r="P215" s="89"/>
      <c r="Q215" s="89"/>
      <c r="R215" s="89"/>
      <c r="S215" s="89"/>
      <c r="T215" s="89"/>
      <c r="U215" s="89"/>
      <c r="V215" s="89"/>
      <c r="W215" s="89"/>
      <c r="X215" s="89"/>
      <c r="Y215" s="89"/>
      <c r="Z215" s="89"/>
      <c r="AA215" s="89"/>
      <c r="AB215" s="89"/>
      <c r="AC215" s="89"/>
      <c r="AD215" s="89"/>
      <c r="AE215" s="89"/>
      <c r="AF215" s="89"/>
      <c r="AG215" s="89"/>
      <c r="AH215" s="89"/>
      <c r="AI215" s="89"/>
      <c r="AJ215" s="89"/>
      <c r="AK215" s="89"/>
      <c r="AL215" s="89"/>
      <c r="AM215" s="89"/>
      <c r="AN215" s="89"/>
      <c r="AO215" s="89"/>
      <c r="AP215" s="89"/>
      <c r="AQ215" s="89"/>
      <c r="AR215" s="89"/>
      <c r="AS215" s="89"/>
      <c r="AT215" s="89"/>
      <c r="AU215" s="89"/>
      <c r="AV215" s="89"/>
      <c r="AW215" s="89"/>
      <c r="AX215" s="89"/>
      <c r="AY215" s="89"/>
      <c r="AZ215" s="89"/>
      <c r="BA215" s="95"/>
    </row>
    <row r="216" spans="1:53" s="87" customFormat="1">
      <c r="A216" s="374" t="str">
        <f t="shared" si="51"/>
        <v/>
      </c>
      <c r="B216" s="89">
        <v>13</v>
      </c>
      <c r="C216" s="89">
        <v>-6</v>
      </c>
      <c r="D216" s="89" t="s">
        <v>210</v>
      </c>
      <c r="E216" s="89">
        <v>-5</v>
      </c>
      <c r="F216" s="89" t="s">
        <v>210</v>
      </c>
      <c r="G216" s="89" t="s">
        <v>210</v>
      </c>
      <c r="H216" s="89">
        <v>3</v>
      </c>
      <c r="I216" s="89">
        <v>2</v>
      </c>
      <c r="J216" s="89" t="s">
        <v>210</v>
      </c>
      <c r="K216" s="89" t="s">
        <v>210</v>
      </c>
      <c r="L216" s="89">
        <v>-4</v>
      </c>
      <c r="M216" s="89"/>
      <c r="N216" s="89"/>
      <c r="O216" s="89"/>
      <c r="P216" s="89"/>
      <c r="Q216" s="89"/>
      <c r="R216" s="89"/>
      <c r="S216" s="89"/>
      <c r="T216" s="89"/>
      <c r="U216" s="89"/>
      <c r="V216" s="89"/>
      <c r="W216" s="89"/>
      <c r="X216" s="89"/>
      <c r="Y216" s="89"/>
      <c r="Z216" s="89"/>
      <c r="AA216" s="89"/>
      <c r="AB216" s="89"/>
      <c r="AC216" s="89"/>
      <c r="AD216" s="89"/>
      <c r="AE216" s="89"/>
      <c r="AF216" s="89"/>
      <c r="AG216" s="89"/>
      <c r="AH216" s="89"/>
      <c r="AI216" s="89"/>
      <c r="AJ216" s="89"/>
      <c r="AK216" s="89"/>
      <c r="AL216" s="89"/>
      <c r="AM216" s="89"/>
      <c r="AN216" s="89"/>
      <c r="AO216" s="89"/>
      <c r="AP216" s="89"/>
      <c r="AQ216" s="89"/>
      <c r="AR216" s="89"/>
      <c r="AS216" s="89"/>
      <c r="AT216" s="89"/>
      <c r="AU216" s="89"/>
      <c r="AV216" s="89"/>
      <c r="AW216" s="89"/>
      <c r="AX216" s="89"/>
      <c r="AY216" s="89"/>
      <c r="AZ216" s="89"/>
      <c r="BA216" s="95"/>
    </row>
    <row r="217" spans="1:53" s="87" customFormat="1">
      <c r="A217" s="374" t="str">
        <f t="shared" si="51"/>
        <v/>
      </c>
      <c r="B217" s="89">
        <v>14</v>
      </c>
      <c r="C217" s="89" t="s">
        <v>210</v>
      </c>
      <c r="D217" s="89">
        <v>2</v>
      </c>
      <c r="E217" s="89">
        <v>-3</v>
      </c>
      <c r="F217" s="89" t="s">
        <v>210</v>
      </c>
      <c r="G217" s="89">
        <v>-6</v>
      </c>
      <c r="H217" s="89" t="s">
        <v>210</v>
      </c>
      <c r="I217" s="89">
        <v>5</v>
      </c>
      <c r="J217" s="89" t="s">
        <v>210</v>
      </c>
      <c r="K217" s="89" t="s">
        <v>210</v>
      </c>
      <c r="L217" s="89">
        <v>4</v>
      </c>
      <c r="M217" s="89"/>
      <c r="N217" s="89"/>
      <c r="O217" s="89"/>
      <c r="P217" s="89"/>
      <c r="Q217" s="89"/>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95"/>
    </row>
    <row r="218" spans="1:53" s="87" customFormat="1">
      <c r="A218" s="374" t="str">
        <f t="shared" si="51"/>
        <v/>
      </c>
      <c r="B218" s="99">
        <v>15</v>
      </c>
      <c r="C218" s="92" t="s">
        <v>210</v>
      </c>
      <c r="D218" s="92">
        <v>-4</v>
      </c>
      <c r="E218" s="92">
        <v>3</v>
      </c>
      <c r="F218" s="92" t="s">
        <v>210</v>
      </c>
      <c r="G218" s="92" t="s">
        <v>210</v>
      </c>
      <c r="H218" s="92">
        <v>4</v>
      </c>
      <c r="I218" s="92">
        <v>-2</v>
      </c>
      <c r="J218" s="92" t="s">
        <v>210</v>
      </c>
      <c r="K218" s="92">
        <v>-6</v>
      </c>
      <c r="L218" s="92" t="s">
        <v>210</v>
      </c>
      <c r="M218" s="89"/>
      <c r="N218" s="89"/>
      <c r="O218" s="89"/>
      <c r="P218" s="89"/>
      <c r="Q218" s="89"/>
      <c r="R218" s="89"/>
      <c r="S218" s="89"/>
      <c r="T218" s="89"/>
      <c r="U218" s="89"/>
      <c r="V218" s="89"/>
      <c r="W218" s="89"/>
      <c r="X218" s="89"/>
      <c r="Y218" s="89"/>
      <c r="Z218" s="89"/>
      <c r="AA218" s="89"/>
      <c r="AB218" s="89"/>
      <c r="AC218" s="89"/>
      <c r="AD218" s="89"/>
      <c r="AE218" s="89"/>
      <c r="AF218" s="89"/>
      <c r="AG218" s="89"/>
      <c r="AH218" s="89"/>
      <c r="AI218" s="89"/>
      <c r="AJ218" s="89"/>
      <c r="AK218" s="89"/>
      <c r="AL218" s="89"/>
      <c r="AM218" s="89"/>
      <c r="AN218" s="89"/>
      <c r="AO218" s="89"/>
      <c r="AP218" s="89"/>
      <c r="AQ218" s="89"/>
      <c r="AR218" s="89"/>
      <c r="AS218" s="89"/>
      <c r="AT218" s="89"/>
      <c r="AU218" s="89"/>
      <c r="AV218" s="89"/>
      <c r="AW218" s="89"/>
      <c r="AX218" s="89"/>
      <c r="AY218" s="89"/>
      <c r="AZ218" s="89"/>
      <c r="BA218" s="95"/>
    </row>
    <row r="219" spans="1:53" s="87" customFormat="1">
      <c r="A219" s="374" t="str">
        <f t="shared" si="51"/>
        <v/>
      </c>
      <c r="B219" s="89">
        <v>16</v>
      </c>
      <c r="C219" s="89" t="s">
        <v>210</v>
      </c>
      <c r="D219" s="89">
        <v>-5</v>
      </c>
      <c r="E219" s="89">
        <v>-1</v>
      </c>
      <c r="F219" s="89" t="s">
        <v>210</v>
      </c>
      <c r="G219" s="89" t="s">
        <v>210</v>
      </c>
      <c r="H219" s="89">
        <v>2</v>
      </c>
      <c r="I219" s="89">
        <v>4</v>
      </c>
      <c r="J219" s="89" t="s">
        <v>210</v>
      </c>
      <c r="K219" s="89">
        <v>-2</v>
      </c>
      <c r="L219" s="89" t="s">
        <v>210</v>
      </c>
      <c r="M219" s="89"/>
      <c r="N219" s="89"/>
      <c r="O219" s="89"/>
      <c r="P219" s="89"/>
      <c r="Q219" s="89"/>
      <c r="R219" s="89"/>
      <c r="S219" s="89"/>
      <c r="T219" s="89"/>
      <c r="U219" s="89"/>
      <c r="V219" s="89"/>
      <c r="W219" s="89"/>
      <c r="X219" s="89"/>
      <c r="Y219" s="89"/>
      <c r="Z219" s="89"/>
      <c r="AA219" s="89"/>
      <c r="AB219" s="89"/>
      <c r="AC219" s="89"/>
      <c r="AD219" s="89"/>
      <c r="AE219" s="89"/>
      <c r="AF219" s="89"/>
      <c r="AG219" s="89"/>
      <c r="AH219" s="89"/>
      <c r="AI219" s="89"/>
      <c r="AJ219" s="89"/>
      <c r="AK219" s="89"/>
      <c r="AL219" s="89"/>
      <c r="AM219" s="89"/>
      <c r="AN219" s="89"/>
      <c r="AO219" s="89"/>
      <c r="AP219" s="89"/>
      <c r="AQ219" s="89"/>
      <c r="AR219" s="89"/>
      <c r="AS219" s="89"/>
      <c r="AT219" s="89"/>
      <c r="AU219" s="89"/>
      <c r="AV219" s="89"/>
      <c r="AW219" s="89"/>
      <c r="AX219" s="89"/>
      <c r="AY219" s="89"/>
      <c r="AZ219" s="89"/>
      <c r="BA219" s="95"/>
    </row>
    <row r="220" spans="1:53" s="87" customFormat="1">
      <c r="A220" s="374" t="str">
        <f t="shared" si="51"/>
        <v/>
      </c>
      <c r="B220" s="89">
        <v>17</v>
      </c>
      <c r="C220" s="89" t="s">
        <v>210</v>
      </c>
      <c r="D220" s="89">
        <v>3</v>
      </c>
      <c r="E220" s="89">
        <v>-4</v>
      </c>
      <c r="F220" s="89" t="s">
        <v>210</v>
      </c>
      <c r="G220" s="89" t="s">
        <v>210</v>
      </c>
      <c r="H220" s="89">
        <v>5</v>
      </c>
      <c r="I220" s="89">
        <v>-1</v>
      </c>
      <c r="J220" s="89" t="s">
        <v>210</v>
      </c>
      <c r="K220" s="89">
        <v>2</v>
      </c>
      <c r="L220" s="89" t="s">
        <v>210</v>
      </c>
      <c r="M220" s="89"/>
      <c r="N220" s="89"/>
      <c r="O220" s="89"/>
      <c r="P220" s="89"/>
      <c r="Q220" s="89"/>
      <c r="R220" s="89"/>
      <c r="S220" s="89"/>
      <c r="T220" s="89"/>
      <c r="U220" s="89"/>
      <c r="V220" s="89"/>
      <c r="W220" s="89"/>
      <c r="X220" s="89"/>
      <c r="Y220" s="89"/>
      <c r="Z220" s="89"/>
      <c r="AA220" s="89"/>
      <c r="AB220" s="89"/>
      <c r="AC220" s="89"/>
      <c r="AD220" s="89"/>
      <c r="AE220" s="89"/>
      <c r="AF220" s="89"/>
      <c r="AG220" s="89"/>
      <c r="AH220" s="89"/>
      <c r="AI220" s="89"/>
      <c r="AJ220" s="89"/>
      <c r="AK220" s="89"/>
      <c r="AL220" s="89"/>
      <c r="AM220" s="89"/>
      <c r="AN220" s="89"/>
      <c r="AO220" s="89"/>
      <c r="AP220" s="89"/>
      <c r="AQ220" s="89"/>
      <c r="AR220" s="89"/>
      <c r="AS220" s="89"/>
      <c r="AT220" s="89"/>
      <c r="AU220" s="89"/>
      <c r="AV220" s="89"/>
      <c r="AW220" s="89"/>
      <c r="AX220" s="89"/>
      <c r="AY220" s="89"/>
      <c r="AZ220" s="89"/>
      <c r="BA220" s="95"/>
    </row>
    <row r="221" spans="1:53" s="87" customFormat="1">
      <c r="A221" s="374" t="str">
        <f t="shared" si="51"/>
        <v/>
      </c>
      <c r="B221" s="89">
        <v>18</v>
      </c>
      <c r="C221" s="89">
        <v>6</v>
      </c>
      <c r="D221" s="89" t="s">
        <v>210</v>
      </c>
      <c r="E221" s="89">
        <v>4</v>
      </c>
      <c r="F221" s="89" t="s">
        <v>210</v>
      </c>
      <c r="G221" s="89" t="s">
        <v>210</v>
      </c>
      <c r="H221" s="89">
        <v>-2</v>
      </c>
      <c r="I221" s="89">
        <v>-3</v>
      </c>
      <c r="J221" s="89" t="s">
        <v>210</v>
      </c>
      <c r="K221" s="89" t="s">
        <v>210</v>
      </c>
      <c r="L221" s="89">
        <v>5</v>
      </c>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89"/>
      <c r="AN221" s="89"/>
      <c r="AO221" s="89"/>
      <c r="AP221" s="89"/>
      <c r="AQ221" s="89"/>
      <c r="AR221" s="89"/>
      <c r="AS221" s="89"/>
      <c r="AT221" s="89"/>
      <c r="AU221" s="89"/>
      <c r="AV221" s="89"/>
      <c r="AW221" s="89"/>
      <c r="AX221" s="89"/>
      <c r="AY221" s="89"/>
      <c r="AZ221" s="89"/>
      <c r="BA221" s="95"/>
    </row>
    <row r="222" spans="1:53" s="87" customFormat="1">
      <c r="A222" s="374" t="str">
        <f t="shared" si="51"/>
        <v/>
      </c>
      <c r="B222" s="89">
        <v>19</v>
      </c>
      <c r="C222" s="89" t="s">
        <v>210</v>
      </c>
      <c r="D222" s="89">
        <v>-3</v>
      </c>
      <c r="E222" s="89">
        <v>2</v>
      </c>
      <c r="F222" s="89" t="s">
        <v>210</v>
      </c>
      <c r="G222" s="89">
        <v>6</v>
      </c>
      <c r="H222" s="89" t="s">
        <v>210</v>
      </c>
      <c r="I222" s="89">
        <v>-4</v>
      </c>
      <c r="J222" s="89" t="s">
        <v>210</v>
      </c>
      <c r="K222" s="89" t="s">
        <v>210</v>
      </c>
      <c r="L222" s="89">
        <v>-5</v>
      </c>
      <c r="M222" s="89"/>
      <c r="N222" s="89"/>
      <c r="O222" s="89"/>
      <c r="P222" s="89"/>
      <c r="Q222" s="89"/>
      <c r="R222" s="89"/>
      <c r="S222" s="89"/>
      <c r="T222" s="89"/>
      <c r="U222" s="89"/>
      <c r="V222" s="89"/>
      <c r="W222" s="89"/>
      <c r="X222" s="89"/>
      <c r="Y222" s="89"/>
      <c r="Z222" s="89"/>
      <c r="AA222" s="89"/>
      <c r="AB222" s="89"/>
      <c r="AC222" s="89"/>
      <c r="AD222" s="89"/>
      <c r="AE222" s="89"/>
      <c r="AF222" s="89"/>
      <c r="AG222" s="89"/>
      <c r="AH222" s="89"/>
      <c r="AI222" s="89"/>
      <c r="AJ222" s="89"/>
      <c r="AK222" s="89"/>
      <c r="AL222" s="89"/>
      <c r="AM222" s="89"/>
      <c r="AN222" s="89"/>
      <c r="AO222" s="89"/>
      <c r="AP222" s="89"/>
      <c r="AQ222" s="89"/>
      <c r="AR222" s="89"/>
      <c r="AS222" s="89"/>
      <c r="AT222" s="89"/>
      <c r="AU222" s="89"/>
      <c r="AV222" s="89"/>
      <c r="AW222" s="89"/>
      <c r="AX222" s="89"/>
      <c r="AY222" s="89"/>
      <c r="AZ222" s="89"/>
      <c r="BA222" s="95"/>
    </row>
    <row r="223" spans="1:53" s="87" customFormat="1">
      <c r="A223" s="374" t="str">
        <f t="shared" si="51"/>
        <v/>
      </c>
      <c r="B223" s="89">
        <v>20</v>
      </c>
      <c r="C223" s="89" t="s">
        <v>210</v>
      </c>
      <c r="D223" s="89">
        <v>5</v>
      </c>
      <c r="E223" s="89">
        <v>-2</v>
      </c>
      <c r="F223" s="89" t="s">
        <v>210</v>
      </c>
      <c r="G223" s="89" t="s">
        <v>210</v>
      </c>
      <c r="H223" s="89">
        <v>-5</v>
      </c>
      <c r="I223" s="89">
        <v>3</v>
      </c>
      <c r="J223" s="89" t="s">
        <v>210</v>
      </c>
      <c r="K223" s="89">
        <v>6</v>
      </c>
      <c r="L223" s="89" t="s">
        <v>210</v>
      </c>
      <c r="M223" s="89"/>
      <c r="N223" s="89"/>
      <c r="O223" s="89"/>
      <c r="P223" s="89"/>
      <c r="Q223" s="89"/>
      <c r="R223" s="89"/>
      <c r="S223" s="89"/>
      <c r="T223" s="89"/>
      <c r="U223" s="89"/>
      <c r="V223" s="89"/>
      <c r="W223" s="89"/>
      <c r="X223" s="89"/>
      <c r="Y223" s="89"/>
      <c r="Z223" s="89"/>
      <c r="AA223" s="89"/>
      <c r="AB223" s="89"/>
      <c r="AC223" s="89"/>
      <c r="AD223" s="89"/>
      <c r="AE223" s="89"/>
      <c r="AF223" s="89"/>
      <c r="AG223" s="89"/>
      <c r="AH223" s="89"/>
      <c r="AI223" s="89"/>
      <c r="AJ223" s="89"/>
      <c r="AK223" s="89"/>
      <c r="AL223" s="89"/>
      <c r="AM223" s="89"/>
      <c r="AN223" s="89"/>
      <c r="AO223" s="89"/>
      <c r="AP223" s="89"/>
      <c r="AQ223" s="89"/>
      <c r="AR223" s="89"/>
      <c r="AS223" s="89"/>
      <c r="AT223" s="89"/>
      <c r="AU223" s="89"/>
      <c r="AV223" s="89"/>
      <c r="AW223" s="89"/>
      <c r="AX223" s="89"/>
      <c r="AY223" s="89"/>
      <c r="AZ223" s="89"/>
      <c r="BA223" s="95"/>
    </row>
    <row r="224" spans="1:53" s="87" customFormat="1">
      <c r="A224" s="374" t="str">
        <f t="shared" si="51"/>
        <v/>
      </c>
      <c r="B224" s="89" t="s">
        <v>358</v>
      </c>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c r="AA224" s="89"/>
      <c r="AB224" s="89"/>
      <c r="AC224" s="89"/>
      <c r="AD224" s="89"/>
      <c r="AE224" s="89"/>
      <c r="AF224" s="89"/>
      <c r="AG224" s="89"/>
      <c r="AH224" s="89"/>
      <c r="AI224" s="89"/>
      <c r="AJ224" s="89"/>
      <c r="AK224" s="89"/>
      <c r="AL224" s="89"/>
      <c r="AM224" s="89"/>
      <c r="AN224" s="89"/>
      <c r="AO224" s="89"/>
      <c r="AP224" s="89"/>
      <c r="AQ224" s="89"/>
      <c r="AR224" s="89"/>
      <c r="AS224" s="89"/>
      <c r="AT224" s="89"/>
      <c r="AU224" s="89"/>
      <c r="AV224" s="89"/>
      <c r="AW224" s="89"/>
      <c r="AX224" s="89"/>
      <c r="AY224" s="89"/>
      <c r="AZ224" s="89"/>
      <c r="BA224" s="95"/>
    </row>
    <row r="225" spans="1:53" s="87" customFormat="1">
      <c r="A225" s="374">
        <f t="shared" si="51"/>
        <v>225</v>
      </c>
      <c r="B225" s="89" t="s">
        <v>359</v>
      </c>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c r="AA225" s="89"/>
      <c r="AB225" s="89"/>
      <c r="AC225" s="89"/>
      <c r="AD225" s="89"/>
      <c r="AE225" s="89"/>
      <c r="AF225" s="89"/>
      <c r="AG225" s="89"/>
      <c r="AH225" s="89"/>
      <c r="AI225" s="89"/>
      <c r="AJ225" s="89"/>
      <c r="AK225" s="89"/>
      <c r="AL225" s="89"/>
      <c r="AM225" s="89"/>
      <c r="AN225" s="89"/>
      <c r="AO225" s="89"/>
      <c r="AP225" s="89"/>
      <c r="AQ225" s="89"/>
      <c r="AR225" s="89"/>
      <c r="AS225" s="89"/>
      <c r="AT225" s="89"/>
      <c r="AU225" s="89"/>
      <c r="AV225" s="89"/>
      <c r="AW225" s="89"/>
      <c r="AX225" s="89"/>
      <c r="AY225" s="89"/>
      <c r="AZ225" s="89"/>
      <c r="BA225" s="95"/>
    </row>
    <row r="226" spans="1:53" s="87" customFormat="1">
      <c r="A226" s="374" t="str">
        <f t="shared" si="51"/>
        <v/>
      </c>
      <c r="B226" s="89">
        <v>1</v>
      </c>
      <c r="C226" s="89">
        <v>3</v>
      </c>
      <c r="D226" s="89" t="s">
        <v>210</v>
      </c>
      <c r="E226" s="89">
        <v>-5</v>
      </c>
      <c r="F226" s="89" t="s">
        <v>210</v>
      </c>
      <c r="G226" s="89" t="s">
        <v>210</v>
      </c>
      <c r="H226" s="89">
        <v>-4</v>
      </c>
      <c r="I226" s="89">
        <v>2</v>
      </c>
      <c r="J226" s="89" t="s">
        <v>210</v>
      </c>
      <c r="K226" s="89">
        <v>-6</v>
      </c>
      <c r="L226" s="89" t="s">
        <v>210</v>
      </c>
      <c r="M226" s="89" t="s">
        <v>210</v>
      </c>
      <c r="N226" s="89">
        <v>4</v>
      </c>
      <c r="O226" s="89">
        <v>-3</v>
      </c>
      <c r="P226" s="89" t="s">
        <v>210</v>
      </c>
      <c r="Q226" s="89"/>
      <c r="R226" s="89"/>
      <c r="S226" s="89"/>
      <c r="T226" s="89"/>
      <c r="U226" s="89"/>
      <c r="V226" s="89"/>
      <c r="W226" s="89"/>
      <c r="X226" s="89"/>
      <c r="Y226" s="89"/>
      <c r="Z226" s="89"/>
      <c r="AA226" s="89"/>
      <c r="AB226" s="89"/>
      <c r="AC226" s="89"/>
      <c r="AD226" s="89"/>
      <c r="AE226" s="89"/>
      <c r="AF226" s="89"/>
      <c r="AG226" s="89"/>
      <c r="AH226" s="89"/>
      <c r="AI226" s="89"/>
      <c r="AJ226" s="89"/>
      <c r="AK226" s="89"/>
      <c r="AL226" s="89"/>
      <c r="AM226" s="89"/>
      <c r="AN226" s="89"/>
      <c r="AO226" s="89"/>
      <c r="AP226" s="89"/>
      <c r="AQ226" s="89"/>
      <c r="AR226" s="89"/>
      <c r="AS226" s="89"/>
      <c r="AT226" s="89"/>
      <c r="AU226" s="89"/>
      <c r="AV226" s="89"/>
      <c r="AW226" s="89"/>
      <c r="AX226" s="89"/>
      <c r="AY226" s="89"/>
      <c r="AZ226" s="89"/>
      <c r="BA226" s="95"/>
    </row>
    <row r="227" spans="1:53" s="87" customFormat="1">
      <c r="A227" s="374" t="str">
        <f t="shared" si="51"/>
        <v/>
      </c>
      <c r="B227" s="89">
        <v>2</v>
      </c>
      <c r="C227" s="89">
        <v>4</v>
      </c>
      <c r="D227" s="89" t="s">
        <v>210</v>
      </c>
      <c r="E227" s="89">
        <v>-6</v>
      </c>
      <c r="F227" s="89" t="s">
        <v>210</v>
      </c>
      <c r="G227" s="89" t="s">
        <v>210</v>
      </c>
      <c r="H227" s="89">
        <v>5</v>
      </c>
      <c r="I227" s="89">
        <v>-3</v>
      </c>
      <c r="J227" s="89" t="s">
        <v>210</v>
      </c>
      <c r="K227" s="89" t="s">
        <v>210</v>
      </c>
      <c r="L227" s="89">
        <v>-5</v>
      </c>
      <c r="M227" s="89" t="s">
        <v>210</v>
      </c>
      <c r="N227" s="89">
        <v>2</v>
      </c>
      <c r="O227" s="89">
        <v>3</v>
      </c>
      <c r="P227" s="89" t="s">
        <v>210</v>
      </c>
      <c r="Q227" s="89"/>
      <c r="R227" s="89"/>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95"/>
    </row>
    <row r="228" spans="1:53" s="87" customFormat="1">
      <c r="A228" s="374" t="str">
        <f t="shared" si="51"/>
        <v/>
      </c>
      <c r="B228" s="89">
        <v>3</v>
      </c>
      <c r="C228" s="89">
        <v>-4</v>
      </c>
      <c r="D228" s="89" t="s">
        <v>210</v>
      </c>
      <c r="E228" s="89">
        <v>-1</v>
      </c>
      <c r="F228" s="89" t="s">
        <v>210</v>
      </c>
      <c r="G228" s="89" t="s">
        <v>210</v>
      </c>
      <c r="H228" s="89">
        <v>3</v>
      </c>
      <c r="I228" s="89">
        <v>-2</v>
      </c>
      <c r="J228" s="89" t="s">
        <v>210</v>
      </c>
      <c r="K228" s="89">
        <v>-3</v>
      </c>
      <c r="L228" s="89" t="s">
        <v>210</v>
      </c>
      <c r="M228" s="89" t="s">
        <v>210</v>
      </c>
      <c r="N228" s="89">
        <v>5</v>
      </c>
      <c r="O228" s="89">
        <v>4</v>
      </c>
      <c r="P228" s="89" t="s">
        <v>210</v>
      </c>
      <c r="Q228" s="89"/>
      <c r="R228" s="89"/>
      <c r="S228" s="89"/>
      <c r="T228" s="89"/>
      <c r="U228" s="89"/>
      <c r="V228" s="89"/>
      <c r="W228" s="89"/>
      <c r="X228" s="89"/>
      <c r="Y228" s="89"/>
      <c r="Z228" s="89"/>
      <c r="AA228" s="89"/>
      <c r="AB228" s="89"/>
      <c r="AC228" s="89"/>
      <c r="AD228" s="89"/>
      <c r="AE228" s="89"/>
      <c r="AF228" s="89"/>
      <c r="AG228" s="89"/>
      <c r="AH228" s="89"/>
      <c r="AI228" s="89"/>
      <c r="AJ228" s="89"/>
      <c r="AK228" s="89"/>
      <c r="AL228" s="89"/>
      <c r="AM228" s="89"/>
      <c r="AN228" s="89"/>
      <c r="AO228" s="89"/>
      <c r="AP228" s="89"/>
      <c r="AQ228" s="89"/>
      <c r="AR228" s="89"/>
      <c r="AS228" s="89"/>
      <c r="AT228" s="89"/>
      <c r="AU228" s="89"/>
      <c r="AV228" s="89"/>
      <c r="AW228" s="89"/>
      <c r="AX228" s="89"/>
      <c r="AY228" s="89"/>
      <c r="AZ228" s="89"/>
      <c r="BA228" s="95"/>
    </row>
    <row r="229" spans="1:53" s="87" customFormat="1">
      <c r="A229" s="374" t="str">
        <f t="shared" si="51"/>
        <v/>
      </c>
      <c r="B229" s="89">
        <v>4</v>
      </c>
      <c r="C229" s="89">
        <v>-3</v>
      </c>
      <c r="D229" s="89" t="s">
        <v>210</v>
      </c>
      <c r="E229" s="89">
        <v>6</v>
      </c>
      <c r="F229" s="89" t="s">
        <v>210</v>
      </c>
      <c r="G229" s="89" t="s">
        <v>210</v>
      </c>
      <c r="H229" s="89">
        <v>-2</v>
      </c>
      <c r="I229" s="89" t="s">
        <v>210</v>
      </c>
      <c r="J229" s="89">
        <v>-5</v>
      </c>
      <c r="K229" s="89">
        <v>1</v>
      </c>
      <c r="L229" s="89" t="s">
        <v>210</v>
      </c>
      <c r="M229" s="89" t="s">
        <v>210</v>
      </c>
      <c r="N229" s="89">
        <v>3</v>
      </c>
      <c r="O229" s="89">
        <v>-4</v>
      </c>
      <c r="P229" s="89" t="s">
        <v>210</v>
      </c>
      <c r="Q229" s="89"/>
      <c r="R229" s="89"/>
      <c r="S229" s="89"/>
      <c r="T229" s="89"/>
      <c r="U229" s="89"/>
      <c r="V229" s="89"/>
      <c r="W229" s="89"/>
      <c r="X229" s="89"/>
      <c r="Y229" s="89"/>
      <c r="Z229" s="89"/>
      <c r="AA229" s="89"/>
      <c r="AB229" s="89"/>
      <c r="AC229" s="89"/>
      <c r="AD229" s="89"/>
      <c r="AE229" s="89"/>
      <c r="AF229" s="89"/>
      <c r="AG229" s="89"/>
      <c r="AH229" s="89"/>
      <c r="AI229" s="89"/>
      <c r="AJ229" s="89"/>
      <c r="AK229" s="89"/>
      <c r="AL229" s="89"/>
      <c r="AM229" s="89"/>
      <c r="AN229" s="89"/>
      <c r="AO229" s="89"/>
      <c r="AP229" s="89"/>
      <c r="AQ229" s="89"/>
      <c r="AR229" s="89"/>
      <c r="AS229" s="89"/>
      <c r="AT229" s="89"/>
      <c r="AU229" s="89"/>
      <c r="AV229" s="89"/>
      <c r="AW229" s="89"/>
      <c r="AX229" s="89"/>
      <c r="AY229" s="89"/>
      <c r="AZ229" s="89"/>
      <c r="BA229" s="95"/>
    </row>
    <row r="230" spans="1:53" s="87" customFormat="1">
      <c r="A230" s="374" t="str">
        <f t="shared" si="51"/>
        <v/>
      </c>
      <c r="B230" s="89">
        <v>5</v>
      </c>
      <c r="C230" s="89">
        <v>6</v>
      </c>
      <c r="D230" s="89" t="s">
        <v>210</v>
      </c>
      <c r="E230" s="89" t="s">
        <v>210</v>
      </c>
      <c r="F230" s="89">
        <v>-2</v>
      </c>
      <c r="G230" s="89" t="s">
        <v>210</v>
      </c>
      <c r="H230" s="89">
        <v>4</v>
      </c>
      <c r="I230" s="89">
        <v>3</v>
      </c>
      <c r="J230" s="89" t="s">
        <v>210</v>
      </c>
      <c r="K230" s="89">
        <v>-1</v>
      </c>
      <c r="L230" s="89" t="s">
        <v>210</v>
      </c>
      <c r="M230" s="89" t="s">
        <v>210</v>
      </c>
      <c r="N230" s="89">
        <v>-5</v>
      </c>
      <c r="O230" s="89">
        <v>2</v>
      </c>
      <c r="P230" s="89" t="s">
        <v>210</v>
      </c>
      <c r="Q230" s="89"/>
      <c r="R230" s="89"/>
      <c r="S230" s="89"/>
      <c r="T230" s="89"/>
      <c r="U230" s="89"/>
      <c r="V230" s="89"/>
      <c r="W230" s="89"/>
      <c r="X230" s="89"/>
      <c r="Y230" s="89"/>
      <c r="Z230" s="89"/>
      <c r="AA230" s="89"/>
      <c r="AB230" s="89"/>
      <c r="AC230" s="89"/>
      <c r="AD230" s="89"/>
      <c r="AE230" s="89"/>
      <c r="AF230" s="89"/>
      <c r="AG230" s="89"/>
      <c r="AH230" s="89"/>
      <c r="AI230" s="89"/>
      <c r="AJ230" s="89"/>
      <c r="AK230" s="89"/>
      <c r="AL230" s="89"/>
      <c r="AM230" s="89"/>
      <c r="AN230" s="89"/>
      <c r="AO230" s="89"/>
      <c r="AP230" s="89"/>
      <c r="AQ230" s="89"/>
      <c r="AR230" s="89"/>
      <c r="AS230" s="89"/>
      <c r="AT230" s="89"/>
      <c r="AU230" s="89"/>
      <c r="AV230" s="89"/>
      <c r="AW230" s="89"/>
      <c r="AX230" s="89"/>
      <c r="AY230" s="89"/>
      <c r="AZ230" s="89"/>
      <c r="BA230" s="95"/>
    </row>
    <row r="231" spans="1:53" s="87" customFormat="1">
      <c r="A231" s="374" t="str">
        <f t="shared" si="51"/>
        <v/>
      </c>
      <c r="B231" s="89">
        <v>6</v>
      </c>
      <c r="C231" s="89" t="s">
        <v>210</v>
      </c>
      <c r="D231" s="89">
        <v>-4</v>
      </c>
      <c r="E231" s="89">
        <v>1</v>
      </c>
      <c r="F231" s="89" t="s">
        <v>210</v>
      </c>
      <c r="G231" s="89" t="s">
        <v>210</v>
      </c>
      <c r="H231" s="89">
        <v>-5</v>
      </c>
      <c r="I231" s="89">
        <v>4</v>
      </c>
      <c r="J231" s="89" t="s">
        <v>210</v>
      </c>
      <c r="K231" s="89">
        <v>6</v>
      </c>
      <c r="L231" s="89" t="s">
        <v>210</v>
      </c>
      <c r="M231" s="89" t="s">
        <v>210</v>
      </c>
      <c r="N231" s="89">
        <v>-3</v>
      </c>
      <c r="O231" s="89">
        <v>-2</v>
      </c>
      <c r="P231" s="89" t="s">
        <v>210</v>
      </c>
      <c r="Q231" s="89"/>
      <c r="R231" s="89"/>
      <c r="S231" s="89"/>
      <c r="T231" s="89"/>
      <c r="U231" s="89"/>
      <c r="V231" s="89"/>
      <c r="W231" s="89"/>
      <c r="X231" s="89"/>
      <c r="Y231" s="89"/>
      <c r="Z231" s="89"/>
      <c r="AA231" s="89"/>
      <c r="AB231" s="89"/>
      <c r="AC231" s="89"/>
      <c r="AD231" s="89"/>
      <c r="AE231" s="89"/>
      <c r="AF231" s="89"/>
      <c r="AG231" s="89"/>
      <c r="AH231" s="89"/>
      <c r="AI231" s="89"/>
      <c r="AJ231" s="89"/>
      <c r="AK231" s="89"/>
      <c r="AL231" s="89"/>
      <c r="AM231" s="89"/>
      <c r="AN231" s="89"/>
      <c r="AO231" s="89"/>
      <c r="AP231" s="89"/>
      <c r="AQ231" s="89"/>
      <c r="AR231" s="89"/>
      <c r="AS231" s="89"/>
      <c r="AT231" s="89"/>
      <c r="AU231" s="89"/>
      <c r="AV231" s="89"/>
      <c r="AW231" s="89"/>
      <c r="AX231" s="89"/>
      <c r="AY231" s="89"/>
      <c r="AZ231" s="89"/>
      <c r="BA231" s="95"/>
    </row>
    <row r="232" spans="1:53" s="87" customFormat="1">
      <c r="A232" s="374" t="str">
        <f t="shared" si="51"/>
        <v/>
      </c>
      <c r="B232" s="99">
        <v>7</v>
      </c>
      <c r="C232" s="92">
        <v>-6</v>
      </c>
      <c r="D232" s="92" t="s">
        <v>210</v>
      </c>
      <c r="E232" s="92">
        <v>5</v>
      </c>
      <c r="F232" s="92" t="s">
        <v>210</v>
      </c>
      <c r="G232" s="92" t="s">
        <v>210</v>
      </c>
      <c r="H232" s="92">
        <v>2</v>
      </c>
      <c r="I232" s="92">
        <v>-4</v>
      </c>
      <c r="J232" s="92" t="s">
        <v>210</v>
      </c>
      <c r="K232" s="92">
        <v>3</v>
      </c>
      <c r="L232" s="92" t="s">
        <v>210</v>
      </c>
      <c r="M232" s="92" t="s">
        <v>210</v>
      </c>
      <c r="N232" s="92">
        <v>-2</v>
      </c>
      <c r="O232" s="92" t="s">
        <v>210</v>
      </c>
      <c r="P232" s="92">
        <v>-5</v>
      </c>
      <c r="Q232" s="89"/>
      <c r="R232" s="89"/>
      <c r="S232" s="89"/>
      <c r="T232" s="89"/>
      <c r="U232" s="89"/>
      <c r="V232" s="89"/>
      <c r="W232" s="89"/>
      <c r="X232" s="89"/>
      <c r="Y232" s="89"/>
      <c r="Z232" s="89"/>
      <c r="AA232" s="89"/>
      <c r="AB232" s="89"/>
      <c r="AC232" s="89"/>
      <c r="AD232" s="89"/>
      <c r="AE232" s="89"/>
      <c r="AF232" s="89"/>
      <c r="AG232" s="89"/>
      <c r="AH232" s="89"/>
      <c r="AI232" s="89"/>
      <c r="AJ232" s="89"/>
      <c r="AK232" s="89"/>
      <c r="AL232" s="89"/>
      <c r="AM232" s="89"/>
      <c r="AN232" s="89"/>
      <c r="AO232" s="89"/>
      <c r="AP232" s="89"/>
      <c r="AQ232" s="89"/>
      <c r="AR232" s="89"/>
      <c r="AS232" s="89"/>
      <c r="AT232" s="89"/>
      <c r="AU232" s="89"/>
      <c r="AV232" s="89"/>
      <c r="AW232" s="89"/>
      <c r="AX232" s="89"/>
      <c r="AY232" s="89"/>
      <c r="AZ232" s="89"/>
      <c r="BA232" s="95"/>
    </row>
    <row r="233" spans="1:53" s="87" customFormat="1">
      <c r="A233" s="374" t="str">
        <f t="shared" si="51"/>
        <v/>
      </c>
      <c r="B233" s="89">
        <v>8</v>
      </c>
      <c r="C233" s="89">
        <v>1</v>
      </c>
      <c r="D233" s="89" t="s">
        <v>210</v>
      </c>
      <c r="E233" s="89" t="s">
        <v>210</v>
      </c>
      <c r="F233" s="89">
        <v>-3</v>
      </c>
      <c r="G233" s="89">
        <v>4</v>
      </c>
      <c r="H233" s="89" t="s">
        <v>210</v>
      </c>
      <c r="I233" s="89">
        <v>5</v>
      </c>
      <c r="J233" s="89" t="s">
        <v>210</v>
      </c>
      <c r="K233" s="89" t="s">
        <v>210</v>
      </c>
      <c r="L233" s="89">
        <v>-2</v>
      </c>
      <c r="M233" s="89" t="s">
        <v>210</v>
      </c>
      <c r="N233" s="89">
        <v>-4</v>
      </c>
      <c r="O233" s="89">
        <v>6</v>
      </c>
      <c r="P233" s="89" t="s">
        <v>210</v>
      </c>
      <c r="Q233" s="89"/>
      <c r="R233" s="89"/>
      <c r="S233" s="89"/>
      <c r="T233" s="89"/>
      <c r="U233" s="89"/>
      <c r="V233" s="89"/>
      <c r="W233" s="89"/>
      <c r="X233" s="89"/>
      <c r="Y233" s="89"/>
      <c r="Z233" s="89"/>
      <c r="AA233" s="89"/>
      <c r="AB233" s="89"/>
      <c r="AC233" s="89"/>
      <c r="AD233" s="89"/>
      <c r="AE233" s="89"/>
      <c r="AF233" s="89"/>
      <c r="AG233" s="89"/>
      <c r="AH233" s="89"/>
      <c r="AI233" s="89"/>
      <c r="AJ233" s="89"/>
      <c r="AK233" s="89"/>
      <c r="AL233" s="89"/>
      <c r="AM233" s="89"/>
      <c r="AN233" s="89"/>
      <c r="AO233" s="89"/>
      <c r="AP233" s="89"/>
      <c r="AQ233" s="89"/>
      <c r="AR233" s="89"/>
      <c r="AS233" s="89"/>
      <c r="AT233" s="89"/>
      <c r="AU233" s="89"/>
      <c r="AV233" s="89"/>
      <c r="AW233" s="89"/>
      <c r="AX233" s="89"/>
      <c r="AY233" s="89"/>
      <c r="AZ233" s="89"/>
      <c r="BA233" s="95"/>
    </row>
    <row r="234" spans="1:53" s="87" customFormat="1">
      <c r="A234" s="374" t="str">
        <f t="shared" si="51"/>
        <v/>
      </c>
      <c r="B234" s="89">
        <v>9</v>
      </c>
      <c r="C234" s="89">
        <v>2</v>
      </c>
      <c r="D234" s="89" t="s">
        <v>210</v>
      </c>
      <c r="E234" s="89" t="s">
        <v>210</v>
      </c>
      <c r="F234" s="89">
        <v>4</v>
      </c>
      <c r="G234" s="89">
        <v>-3</v>
      </c>
      <c r="H234" s="89" t="s">
        <v>210</v>
      </c>
      <c r="I234" s="89">
        <v>-1</v>
      </c>
      <c r="J234" s="89" t="s">
        <v>210</v>
      </c>
      <c r="K234" s="89" t="s">
        <v>210</v>
      </c>
      <c r="L234" s="89">
        <v>5</v>
      </c>
      <c r="M234" s="89">
        <v>3</v>
      </c>
      <c r="N234" s="89" t="s">
        <v>210</v>
      </c>
      <c r="O234" s="89">
        <v>-6</v>
      </c>
      <c r="P234" s="89" t="s">
        <v>210</v>
      </c>
      <c r="Q234" s="89"/>
      <c r="R234" s="89"/>
      <c r="S234" s="89"/>
      <c r="T234" s="89"/>
      <c r="U234" s="89"/>
      <c r="V234" s="89"/>
      <c r="W234" s="89"/>
      <c r="X234" s="89"/>
      <c r="Y234" s="89"/>
      <c r="Z234" s="89"/>
      <c r="AA234" s="89"/>
      <c r="AB234" s="89"/>
      <c r="AC234" s="89"/>
      <c r="AD234" s="89"/>
      <c r="AE234" s="89"/>
      <c r="AF234" s="89"/>
      <c r="AG234" s="89"/>
      <c r="AH234" s="89"/>
      <c r="AI234" s="89"/>
      <c r="AJ234" s="89"/>
      <c r="AK234" s="89"/>
      <c r="AL234" s="89"/>
      <c r="AM234" s="89"/>
      <c r="AN234" s="89"/>
      <c r="AO234" s="89"/>
      <c r="AP234" s="89"/>
      <c r="AQ234" s="89"/>
      <c r="AR234" s="89"/>
      <c r="AS234" s="89"/>
      <c r="AT234" s="89"/>
      <c r="AU234" s="89"/>
      <c r="AV234" s="89"/>
      <c r="AW234" s="89"/>
      <c r="AX234" s="89"/>
      <c r="AY234" s="89"/>
      <c r="AZ234" s="89"/>
      <c r="BA234" s="95"/>
    </row>
    <row r="235" spans="1:53" s="87" customFormat="1">
      <c r="A235" s="374" t="str">
        <f t="shared" si="51"/>
        <v/>
      </c>
      <c r="B235" s="89">
        <v>10</v>
      </c>
      <c r="C235" s="89">
        <v>-2</v>
      </c>
      <c r="D235" s="89" t="s">
        <v>210</v>
      </c>
      <c r="E235" s="89" t="s">
        <v>210</v>
      </c>
      <c r="F235" s="89">
        <v>5</v>
      </c>
      <c r="G235" s="89" t="s">
        <v>210</v>
      </c>
      <c r="H235" s="89">
        <v>-3</v>
      </c>
      <c r="I235" s="89">
        <v>-5</v>
      </c>
      <c r="J235" s="89" t="s">
        <v>210</v>
      </c>
      <c r="K235" s="89" t="s">
        <v>210</v>
      </c>
      <c r="L235" s="89">
        <v>4</v>
      </c>
      <c r="M235" s="89">
        <v>2</v>
      </c>
      <c r="N235" s="89" t="s">
        <v>210</v>
      </c>
      <c r="O235" s="89">
        <v>-1</v>
      </c>
      <c r="P235" s="89" t="s">
        <v>210</v>
      </c>
      <c r="Q235" s="89"/>
      <c r="R235" s="89"/>
      <c r="S235" s="89"/>
      <c r="T235" s="89"/>
      <c r="U235" s="89"/>
      <c r="V235" s="89"/>
      <c r="W235" s="89"/>
      <c r="X235" s="89"/>
      <c r="Y235" s="89"/>
      <c r="Z235" s="89"/>
      <c r="AA235" s="89"/>
      <c r="AB235" s="89"/>
      <c r="AC235" s="89"/>
      <c r="AD235" s="89"/>
      <c r="AE235" s="89"/>
      <c r="AF235" s="89"/>
      <c r="AG235" s="89"/>
      <c r="AH235" s="89"/>
      <c r="AI235" s="89"/>
      <c r="AJ235" s="89"/>
      <c r="AK235" s="89"/>
      <c r="AL235" s="89"/>
      <c r="AM235" s="89"/>
      <c r="AN235" s="89"/>
      <c r="AO235" s="89"/>
      <c r="AP235" s="89"/>
      <c r="AQ235" s="89"/>
      <c r="AR235" s="89"/>
      <c r="AS235" s="89"/>
      <c r="AT235" s="89"/>
      <c r="AU235" s="89"/>
      <c r="AV235" s="89"/>
      <c r="AW235" s="89"/>
      <c r="AX235" s="89"/>
      <c r="AY235" s="89"/>
      <c r="AZ235" s="89"/>
      <c r="BA235" s="95"/>
    </row>
    <row r="236" spans="1:53" s="87" customFormat="1">
      <c r="A236" s="374" t="str">
        <f t="shared" si="51"/>
        <v/>
      </c>
      <c r="B236" s="89">
        <v>11</v>
      </c>
      <c r="C236" s="89">
        <v>-1</v>
      </c>
      <c r="D236" s="89" t="s">
        <v>210</v>
      </c>
      <c r="E236" s="89" t="s">
        <v>210</v>
      </c>
      <c r="F236" s="89">
        <v>-4</v>
      </c>
      <c r="G236" s="89">
        <v>2</v>
      </c>
      <c r="H236" s="89" t="s">
        <v>210</v>
      </c>
      <c r="I236" s="89" t="s">
        <v>210</v>
      </c>
      <c r="J236" s="89">
        <v>5</v>
      </c>
      <c r="K236" s="89" t="s">
        <v>210</v>
      </c>
      <c r="L236" s="89">
        <v>-3</v>
      </c>
      <c r="M236" s="89">
        <v>4</v>
      </c>
      <c r="N236" s="89" t="s">
        <v>210</v>
      </c>
      <c r="O236" s="89">
        <v>1</v>
      </c>
      <c r="P236" s="89" t="s">
        <v>210</v>
      </c>
      <c r="Q236" s="89"/>
      <c r="R236" s="89"/>
      <c r="S236" s="89"/>
      <c r="T236" s="89"/>
      <c r="U236" s="89"/>
      <c r="V236" s="89"/>
      <c r="W236" s="89"/>
      <c r="X236" s="89"/>
      <c r="Y236" s="89"/>
      <c r="Z236" s="89"/>
      <c r="AA236" s="89"/>
      <c r="AB236" s="89"/>
      <c r="AC236" s="89"/>
      <c r="AD236" s="89"/>
      <c r="AE236" s="89"/>
      <c r="AF236" s="89"/>
      <c r="AG236" s="89"/>
      <c r="AH236" s="89"/>
      <c r="AI236" s="89"/>
      <c r="AJ236" s="89"/>
      <c r="AK236" s="89"/>
      <c r="AL236" s="89"/>
      <c r="AM236" s="89"/>
      <c r="AN236" s="89"/>
      <c r="AO236" s="89"/>
      <c r="AP236" s="89"/>
      <c r="AQ236" s="89"/>
      <c r="AR236" s="89"/>
      <c r="AS236" s="89"/>
      <c r="AT236" s="89"/>
      <c r="AU236" s="89"/>
      <c r="AV236" s="89"/>
      <c r="AW236" s="89"/>
      <c r="AX236" s="89"/>
      <c r="AY236" s="89"/>
      <c r="AZ236" s="89"/>
      <c r="BA236" s="95"/>
    </row>
    <row r="237" spans="1:53" s="87" customFormat="1">
      <c r="A237" s="374" t="str">
        <f t="shared" si="51"/>
        <v/>
      </c>
      <c r="B237" s="89">
        <v>12</v>
      </c>
      <c r="C237" s="89">
        <v>5</v>
      </c>
      <c r="D237" s="89" t="s">
        <v>210</v>
      </c>
      <c r="E237" s="89" t="s">
        <v>210</v>
      </c>
      <c r="F237" s="89">
        <v>2</v>
      </c>
      <c r="G237" s="89">
        <v>-4</v>
      </c>
      <c r="H237" s="89" t="s">
        <v>210</v>
      </c>
      <c r="I237" s="89">
        <v>1</v>
      </c>
      <c r="J237" s="89" t="s">
        <v>210</v>
      </c>
      <c r="K237" s="89" t="s">
        <v>210</v>
      </c>
      <c r="L237" s="89">
        <v>3</v>
      </c>
      <c r="M237" s="89">
        <v>-2</v>
      </c>
      <c r="N237" s="89" t="s">
        <v>210</v>
      </c>
      <c r="O237" s="89">
        <v>-5</v>
      </c>
      <c r="P237" s="89" t="s">
        <v>210</v>
      </c>
      <c r="Q237" s="89"/>
      <c r="R237" s="89"/>
      <c r="S237" s="89"/>
      <c r="T237" s="89"/>
      <c r="U237" s="89"/>
      <c r="V237" s="89"/>
      <c r="W237" s="89"/>
      <c r="X237" s="89"/>
      <c r="Y237" s="89"/>
      <c r="Z237" s="89"/>
      <c r="AA237" s="89"/>
      <c r="AB237" s="89"/>
      <c r="AC237" s="89"/>
      <c r="AD237" s="89"/>
      <c r="AE237" s="89"/>
      <c r="AF237" s="89"/>
      <c r="AG237" s="89"/>
      <c r="AH237" s="89"/>
      <c r="AI237" s="89"/>
      <c r="AJ237" s="89"/>
      <c r="AK237" s="89"/>
      <c r="AL237" s="89"/>
      <c r="AM237" s="89"/>
      <c r="AN237" s="89"/>
      <c r="AO237" s="89"/>
      <c r="AP237" s="89"/>
      <c r="AQ237" s="89"/>
      <c r="AR237" s="89"/>
      <c r="AS237" s="89"/>
      <c r="AT237" s="89"/>
      <c r="AU237" s="89"/>
      <c r="AV237" s="89"/>
      <c r="AW237" s="89"/>
      <c r="AX237" s="89"/>
      <c r="AY237" s="89"/>
      <c r="AZ237" s="89"/>
      <c r="BA237" s="95"/>
    </row>
    <row r="238" spans="1:53" s="87" customFormat="1">
      <c r="A238" s="374" t="str">
        <f t="shared" si="51"/>
        <v/>
      </c>
      <c r="B238" s="89">
        <v>13</v>
      </c>
      <c r="C238" s="89" t="s">
        <v>210</v>
      </c>
      <c r="D238" s="89">
        <v>4</v>
      </c>
      <c r="E238" s="89" t="s">
        <v>210</v>
      </c>
      <c r="F238" s="89">
        <v>-5</v>
      </c>
      <c r="G238" s="89">
        <v>3</v>
      </c>
      <c r="H238" s="89" t="s">
        <v>210</v>
      </c>
      <c r="I238" s="89">
        <v>-6</v>
      </c>
      <c r="J238" s="89" t="s">
        <v>210</v>
      </c>
      <c r="K238" s="89" t="s">
        <v>210</v>
      </c>
      <c r="L238" s="89">
        <v>2</v>
      </c>
      <c r="M238" s="89">
        <v>-4</v>
      </c>
      <c r="N238" s="89" t="s">
        <v>210</v>
      </c>
      <c r="O238" s="89">
        <v>5</v>
      </c>
      <c r="P238" s="89" t="s">
        <v>210</v>
      </c>
      <c r="Q238" s="89"/>
      <c r="R238" s="89"/>
      <c r="S238" s="89"/>
      <c r="T238" s="89"/>
      <c r="U238" s="89"/>
      <c r="V238" s="89"/>
      <c r="W238" s="89"/>
      <c r="X238" s="89"/>
      <c r="Y238" s="89"/>
      <c r="Z238" s="89"/>
      <c r="AA238" s="89"/>
      <c r="AB238" s="89"/>
      <c r="AC238" s="89"/>
      <c r="AD238" s="89"/>
      <c r="AE238" s="89"/>
      <c r="AF238" s="89"/>
      <c r="AG238" s="89"/>
      <c r="AH238" s="89"/>
      <c r="AI238" s="89"/>
      <c r="AJ238" s="89"/>
      <c r="AK238" s="89"/>
      <c r="AL238" s="89"/>
      <c r="AM238" s="89"/>
      <c r="AN238" s="89"/>
      <c r="AO238" s="89"/>
      <c r="AP238" s="89"/>
      <c r="AQ238" s="89"/>
      <c r="AR238" s="89"/>
      <c r="AS238" s="89"/>
      <c r="AT238" s="89"/>
      <c r="AU238" s="89"/>
      <c r="AV238" s="89"/>
      <c r="AW238" s="89"/>
      <c r="AX238" s="89"/>
      <c r="AY238" s="89"/>
      <c r="AZ238" s="89"/>
      <c r="BA238" s="95"/>
    </row>
    <row r="239" spans="1:53" s="87" customFormat="1">
      <c r="A239" s="374" t="str">
        <f t="shared" si="51"/>
        <v/>
      </c>
      <c r="B239" s="99">
        <v>14</v>
      </c>
      <c r="C239" s="92">
        <v>-5</v>
      </c>
      <c r="D239" s="92" t="s">
        <v>210</v>
      </c>
      <c r="E239" s="92" t="s">
        <v>210</v>
      </c>
      <c r="F239" s="92">
        <v>3</v>
      </c>
      <c r="G239" s="92">
        <v>-2</v>
      </c>
      <c r="H239" s="92" t="s">
        <v>210</v>
      </c>
      <c r="I239" s="92">
        <v>6</v>
      </c>
      <c r="J239" s="92" t="s">
        <v>210</v>
      </c>
      <c r="K239" s="92" t="s">
        <v>210</v>
      </c>
      <c r="L239" s="92">
        <v>-4</v>
      </c>
      <c r="M239" s="92">
        <v>-3</v>
      </c>
      <c r="N239" s="92" t="s">
        <v>210</v>
      </c>
      <c r="O239" s="92" t="s">
        <v>210</v>
      </c>
      <c r="P239" s="92">
        <v>5</v>
      </c>
      <c r="Q239" s="89"/>
      <c r="R239" s="89"/>
      <c r="S239" s="89"/>
      <c r="T239" s="89"/>
      <c r="U239" s="89"/>
      <c r="V239" s="89"/>
      <c r="W239" s="89"/>
      <c r="X239" s="89"/>
      <c r="Y239" s="89"/>
      <c r="Z239" s="89"/>
      <c r="AA239" s="89"/>
      <c r="AB239" s="89"/>
      <c r="AC239" s="89"/>
      <c r="AD239" s="89"/>
      <c r="AE239" s="89"/>
      <c r="AF239" s="89"/>
      <c r="AG239" s="89"/>
      <c r="AH239" s="89"/>
      <c r="AI239" s="89"/>
      <c r="AJ239" s="89"/>
      <c r="AK239" s="89"/>
      <c r="AL239" s="89"/>
      <c r="AM239" s="89"/>
      <c r="AN239" s="89"/>
      <c r="AO239" s="89"/>
      <c r="AP239" s="89"/>
      <c r="AQ239" s="89"/>
      <c r="AR239" s="89"/>
      <c r="AS239" s="89"/>
      <c r="AT239" s="89"/>
      <c r="AU239" s="89"/>
      <c r="AV239" s="89"/>
      <c r="AW239" s="89"/>
      <c r="AX239" s="89"/>
      <c r="AY239" s="89"/>
      <c r="AZ239" s="89"/>
      <c r="BA239" s="95"/>
    </row>
    <row r="240" spans="1:53" s="87" customFormat="1">
      <c r="A240" s="374" t="str">
        <f t="shared" si="51"/>
        <v/>
      </c>
      <c r="B240" s="89">
        <v>15</v>
      </c>
      <c r="C240" s="89" t="s">
        <v>210</v>
      </c>
      <c r="D240" s="89" t="s">
        <v>202</v>
      </c>
      <c r="E240" s="89">
        <v>3</v>
      </c>
      <c r="F240" s="89" t="s">
        <v>210</v>
      </c>
      <c r="G240" s="89">
        <v>-6</v>
      </c>
      <c r="H240" s="89" t="s">
        <v>210</v>
      </c>
      <c r="I240" s="89" t="s">
        <v>210</v>
      </c>
      <c r="J240" s="89">
        <v>4</v>
      </c>
      <c r="K240" s="89">
        <v>2</v>
      </c>
      <c r="L240" s="89" t="s">
        <v>210</v>
      </c>
      <c r="M240" s="89">
        <v>-5</v>
      </c>
      <c r="N240" s="89" t="s">
        <v>210</v>
      </c>
      <c r="O240" s="89" t="s">
        <v>210</v>
      </c>
      <c r="P240" s="89">
        <v>-3</v>
      </c>
      <c r="Q240" s="89"/>
      <c r="R240" s="89"/>
      <c r="S240" s="89"/>
      <c r="T240" s="89"/>
      <c r="U240" s="89"/>
      <c r="V240" s="89"/>
      <c r="W240" s="89"/>
      <c r="X240" s="89"/>
      <c r="Y240" s="89"/>
      <c r="Z240" s="89"/>
      <c r="AA240" s="89"/>
      <c r="AB240" s="89"/>
      <c r="AC240" s="89"/>
      <c r="AD240" s="89"/>
      <c r="AE240" s="89"/>
      <c r="AF240" s="89"/>
      <c r="AG240" s="89"/>
      <c r="AH240" s="89"/>
      <c r="AI240" s="89"/>
      <c r="AJ240" s="89"/>
      <c r="AK240" s="89"/>
      <c r="AL240" s="89"/>
      <c r="AM240" s="89"/>
      <c r="AN240" s="89"/>
      <c r="AO240" s="89"/>
      <c r="AP240" s="89"/>
      <c r="AQ240" s="89"/>
      <c r="AR240" s="89"/>
      <c r="AS240" s="89"/>
      <c r="AT240" s="89"/>
      <c r="AU240" s="89"/>
      <c r="AV240" s="89"/>
      <c r="AW240" s="89"/>
      <c r="AX240" s="89"/>
      <c r="AY240" s="89"/>
      <c r="AZ240" s="89"/>
      <c r="BA240" s="95"/>
    </row>
    <row r="241" spans="1:53" s="87" customFormat="1">
      <c r="A241" s="374" t="str">
        <f t="shared" si="51"/>
        <v/>
      </c>
      <c r="B241" s="89">
        <v>16</v>
      </c>
      <c r="C241" s="89" t="s">
        <v>210</v>
      </c>
      <c r="D241" s="89">
        <v>5</v>
      </c>
      <c r="E241" s="89">
        <v>-4</v>
      </c>
      <c r="F241" s="89" t="s">
        <v>210</v>
      </c>
      <c r="G241" s="89" t="s">
        <v>202</v>
      </c>
      <c r="H241" s="89" t="s">
        <v>210</v>
      </c>
      <c r="I241" s="89" t="s">
        <v>210</v>
      </c>
      <c r="J241" s="89">
        <v>2</v>
      </c>
      <c r="K241" s="89">
        <v>-5</v>
      </c>
      <c r="L241" s="89" t="s">
        <v>210</v>
      </c>
      <c r="M241" s="89">
        <v>-1</v>
      </c>
      <c r="N241" s="89" t="s">
        <v>210</v>
      </c>
      <c r="O241" s="89" t="s">
        <v>210</v>
      </c>
      <c r="P241" s="89">
        <v>3</v>
      </c>
      <c r="Q241" s="89"/>
      <c r="R241" s="89"/>
      <c r="S241" s="89"/>
      <c r="T241" s="89"/>
      <c r="U241" s="89"/>
      <c r="V241" s="89"/>
      <c r="W241" s="89"/>
      <c r="X241" s="89"/>
      <c r="Y241" s="89"/>
      <c r="Z241" s="89"/>
      <c r="AA241" s="89"/>
      <c r="AB241" s="89"/>
      <c r="AC241" s="89"/>
      <c r="AD241" s="89"/>
      <c r="AE241" s="89"/>
      <c r="AF241" s="89"/>
      <c r="AG241" s="89"/>
      <c r="AH241" s="89"/>
      <c r="AI241" s="89"/>
      <c r="AJ241" s="89"/>
      <c r="AK241" s="89"/>
      <c r="AL241" s="89"/>
      <c r="AM241" s="89"/>
      <c r="AN241" s="89"/>
      <c r="AO241" s="89"/>
      <c r="AP241" s="89"/>
      <c r="AQ241" s="89"/>
      <c r="AR241" s="89"/>
      <c r="AS241" s="89"/>
      <c r="AT241" s="89"/>
      <c r="AU241" s="89"/>
      <c r="AV241" s="89"/>
      <c r="AW241" s="89"/>
      <c r="AX241" s="89"/>
      <c r="AY241" s="89"/>
      <c r="AZ241" s="89"/>
      <c r="BA241" s="95"/>
    </row>
    <row r="242" spans="1:53" s="87" customFormat="1">
      <c r="A242" s="374" t="str">
        <f t="shared" si="51"/>
        <v/>
      </c>
      <c r="B242" s="89">
        <v>17</v>
      </c>
      <c r="C242" s="89" t="s">
        <v>210</v>
      </c>
      <c r="D242" s="89">
        <v>-3</v>
      </c>
      <c r="E242" s="89">
        <v>2</v>
      </c>
      <c r="F242" s="89" t="s">
        <v>210</v>
      </c>
      <c r="G242" s="89">
        <v>-5</v>
      </c>
      <c r="H242" s="89" t="s">
        <v>210</v>
      </c>
      <c r="I242" s="89" t="s">
        <v>210</v>
      </c>
      <c r="J242" s="89" t="s">
        <v>202</v>
      </c>
      <c r="K242" s="89">
        <v>-2</v>
      </c>
      <c r="L242" s="89" t="s">
        <v>210</v>
      </c>
      <c r="M242" s="89">
        <v>1</v>
      </c>
      <c r="N242" s="89" t="s">
        <v>210</v>
      </c>
      <c r="O242" s="89" t="s">
        <v>210</v>
      </c>
      <c r="P242" s="89">
        <v>4</v>
      </c>
      <c r="Q242" s="89"/>
      <c r="R242" s="89"/>
      <c r="S242" s="89"/>
      <c r="T242" s="89"/>
      <c r="U242" s="89"/>
      <c r="V242" s="89"/>
      <c r="W242" s="89"/>
      <c r="X242" s="89"/>
      <c r="Y242" s="89"/>
      <c r="Z242" s="89"/>
      <c r="AA242" s="89"/>
      <c r="AB242" s="89"/>
      <c r="AC242" s="89"/>
      <c r="AD242" s="89"/>
      <c r="AE242" s="89"/>
      <c r="AF242" s="89"/>
      <c r="AG242" s="89"/>
      <c r="AH242" s="89"/>
      <c r="AI242" s="89"/>
      <c r="AJ242" s="89"/>
      <c r="AK242" s="89"/>
      <c r="AL242" s="89"/>
      <c r="AM242" s="89"/>
      <c r="AN242" s="89"/>
      <c r="AO242" s="89"/>
      <c r="AP242" s="89"/>
      <c r="AQ242" s="89"/>
      <c r="AR242" s="89"/>
      <c r="AS242" s="89"/>
      <c r="AT242" s="89"/>
      <c r="AU242" s="89"/>
      <c r="AV242" s="89"/>
      <c r="AW242" s="89"/>
      <c r="AX242" s="89"/>
      <c r="AY242" s="89"/>
      <c r="AZ242" s="89"/>
      <c r="BA242" s="95"/>
    </row>
    <row r="243" spans="1:53" s="87" customFormat="1">
      <c r="A243" s="374" t="str">
        <f t="shared" si="51"/>
        <v/>
      </c>
      <c r="B243" s="89">
        <v>18</v>
      </c>
      <c r="C243" s="89" t="s">
        <v>210</v>
      </c>
      <c r="D243" s="89">
        <v>-2</v>
      </c>
      <c r="E243" s="89">
        <v>4</v>
      </c>
      <c r="F243" s="89" t="s">
        <v>210</v>
      </c>
      <c r="G243" s="89">
        <v>-1</v>
      </c>
      <c r="H243" s="89" t="s">
        <v>210</v>
      </c>
      <c r="I243" s="89" t="s">
        <v>210</v>
      </c>
      <c r="J243" s="89">
        <v>3</v>
      </c>
      <c r="K243" s="89" t="s">
        <v>202</v>
      </c>
      <c r="L243" s="89" t="s">
        <v>210</v>
      </c>
      <c r="M243" s="89">
        <v>5</v>
      </c>
      <c r="N243" s="89" t="s">
        <v>210</v>
      </c>
      <c r="O243" s="89" t="s">
        <v>210</v>
      </c>
      <c r="P243" s="89">
        <v>-4</v>
      </c>
      <c r="Q243" s="89"/>
      <c r="R243" s="89"/>
      <c r="S243" s="89"/>
      <c r="T243" s="89"/>
      <c r="U243" s="89"/>
      <c r="V243" s="89"/>
      <c r="W243" s="89"/>
      <c r="X243" s="89"/>
      <c r="Y243" s="89"/>
      <c r="Z243" s="89"/>
      <c r="AA243" s="89"/>
      <c r="AB243" s="89"/>
      <c r="AC243" s="89"/>
      <c r="AD243" s="89"/>
      <c r="AE243" s="89"/>
      <c r="AF243" s="89"/>
      <c r="AG243" s="89"/>
      <c r="AH243" s="89"/>
      <c r="AI243" s="89"/>
      <c r="AJ243" s="89"/>
      <c r="AK243" s="89"/>
      <c r="AL243" s="89"/>
      <c r="AM243" s="89"/>
      <c r="AN243" s="89"/>
      <c r="AO243" s="89"/>
      <c r="AP243" s="89"/>
      <c r="AQ243" s="89"/>
      <c r="AR243" s="89"/>
      <c r="AS243" s="89"/>
      <c r="AT243" s="89"/>
      <c r="AU243" s="89"/>
      <c r="AV243" s="89"/>
      <c r="AW243" s="89"/>
      <c r="AX243" s="89"/>
      <c r="AY243" s="89"/>
      <c r="AZ243" s="89"/>
      <c r="BA243" s="95"/>
    </row>
    <row r="244" spans="1:53" s="87" customFormat="1">
      <c r="A244" s="374" t="str">
        <f t="shared" si="51"/>
        <v/>
      </c>
      <c r="B244" s="89">
        <v>19</v>
      </c>
      <c r="C244" s="89" t="s">
        <v>210</v>
      </c>
      <c r="D244" s="89">
        <v>3</v>
      </c>
      <c r="E244" s="89" t="s">
        <v>202</v>
      </c>
      <c r="F244" s="89" t="s">
        <v>210</v>
      </c>
      <c r="G244" s="89">
        <v>1</v>
      </c>
      <c r="H244" s="89" t="s">
        <v>210</v>
      </c>
      <c r="I244" s="89" t="s">
        <v>210</v>
      </c>
      <c r="J244" s="89">
        <v>-4</v>
      </c>
      <c r="K244" s="89">
        <v>5</v>
      </c>
      <c r="L244" s="89" t="s">
        <v>210</v>
      </c>
      <c r="M244" s="89">
        <v>-6</v>
      </c>
      <c r="N244" s="89" t="s">
        <v>210</v>
      </c>
      <c r="O244" s="89" t="s">
        <v>210</v>
      </c>
      <c r="P244" s="89">
        <v>-2</v>
      </c>
      <c r="Q244" s="89"/>
      <c r="R244" s="89"/>
      <c r="S244" s="89"/>
      <c r="T244" s="89"/>
      <c r="U244" s="89"/>
      <c r="V244" s="89"/>
      <c r="W244" s="89"/>
      <c r="X244" s="89"/>
      <c r="Y244" s="89"/>
      <c r="Z244" s="89"/>
      <c r="AA244" s="89"/>
      <c r="AB244" s="89"/>
      <c r="AC244" s="89"/>
      <c r="AD244" s="89"/>
      <c r="AE244" s="89"/>
      <c r="AF244" s="89"/>
      <c r="AG244" s="89"/>
      <c r="AH244" s="89"/>
      <c r="AI244" s="89"/>
      <c r="AJ244" s="89"/>
      <c r="AK244" s="89"/>
      <c r="AL244" s="89"/>
      <c r="AM244" s="89"/>
      <c r="AN244" s="89"/>
      <c r="AO244" s="89"/>
      <c r="AP244" s="89"/>
      <c r="AQ244" s="89"/>
      <c r="AR244" s="89"/>
      <c r="AS244" s="89"/>
      <c r="AT244" s="89"/>
      <c r="AU244" s="89"/>
      <c r="AV244" s="89"/>
      <c r="AW244" s="89"/>
      <c r="AX244" s="89"/>
      <c r="AY244" s="89"/>
      <c r="AZ244" s="89"/>
      <c r="BA244" s="95"/>
    </row>
    <row r="245" spans="1:53" s="87" customFormat="1">
      <c r="A245" s="374" t="str">
        <f t="shared" si="51"/>
        <v/>
      </c>
      <c r="B245" s="89">
        <v>20</v>
      </c>
      <c r="C245" s="89" t="s">
        <v>210</v>
      </c>
      <c r="D245" s="89">
        <v>-5</v>
      </c>
      <c r="E245" s="89">
        <v>-2</v>
      </c>
      <c r="F245" s="89" t="s">
        <v>210</v>
      </c>
      <c r="G245" s="89">
        <v>6</v>
      </c>
      <c r="H245" s="89" t="s">
        <v>210</v>
      </c>
      <c r="I245" s="89" t="s">
        <v>210</v>
      </c>
      <c r="J245" s="89">
        <v>-3</v>
      </c>
      <c r="K245" s="89">
        <v>4</v>
      </c>
      <c r="L245" s="89" t="s">
        <v>210</v>
      </c>
      <c r="M245" s="89" t="s">
        <v>202</v>
      </c>
      <c r="N245" s="89" t="s">
        <v>210</v>
      </c>
      <c r="O245" s="89" t="s">
        <v>210</v>
      </c>
      <c r="P245" s="89">
        <v>2</v>
      </c>
      <c r="Q245" s="89"/>
      <c r="R245" s="89"/>
      <c r="S245" s="89"/>
      <c r="T245" s="89"/>
      <c r="U245" s="89"/>
      <c r="V245" s="89"/>
      <c r="W245" s="89"/>
      <c r="X245" s="89"/>
      <c r="Y245" s="89"/>
      <c r="Z245" s="89"/>
      <c r="AA245" s="89"/>
      <c r="AB245" s="89"/>
      <c r="AC245" s="89"/>
      <c r="AD245" s="89"/>
      <c r="AE245" s="89"/>
      <c r="AF245" s="89"/>
      <c r="AG245" s="89"/>
      <c r="AH245" s="89"/>
      <c r="AI245" s="89"/>
      <c r="AJ245" s="89"/>
      <c r="AK245" s="89"/>
      <c r="AL245" s="89"/>
      <c r="AM245" s="89"/>
      <c r="AN245" s="89"/>
      <c r="AO245" s="89"/>
      <c r="AP245" s="89"/>
      <c r="AQ245" s="89"/>
      <c r="AR245" s="89"/>
      <c r="AS245" s="89"/>
      <c r="AT245" s="89"/>
      <c r="AU245" s="89"/>
      <c r="AV245" s="89"/>
      <c r="AW245" s="89"/>
      <c r="AX245" s="89"/>
      <c r="AY245" s="89"/>
      <c r="AZ245" s="89"/>
      <c r="BA245" s="95"/>
    </row>
    <row r="246" spans="1:53" s="87" customFormat="1">
      <c r="A246" s="374" t="str">
        <f t="shared" si="51"/>
        <v/>
      </c>
      <c r="B246" s="89">
        <v>21</v>
      </c>
      <c r="C246" s="89" t="s">
        <v>210</v>
      </c>
      <c r="D246" s="89">
        <v>2</v>
      </c>
      <c r="E246" s="89">
        <v>-3</v>
      </c>
      <c r="F246" s="89" t="s">
        <v>210</v>
      </c>
      <c r="G246" s="89">
        <v>5</v>
      </c>
      <c r="H246" s="89" t="s">
        <v>210</v>
      </c>
      <c r="I246" s="89" t="s">
        <v>210</v>
      </c>
      <c r="J246" s="89">
        <v>-2</v>
      </c>
      <c r="K246" s="89">
        <v>-4</v>
      </c>
      <c r="L246" s="89" t="s">
        <v>210</v>
      </c>
      <c r="M246" s="89">
        <v>6</v>
      </c>
      <c r="N246" s="89" t="s">
        <v>210</v>
      </c>
      <c r="O246" s="89" t="s">
        <v>210</v>
      </c>
      <c r="P246" s="89" t="s">
        <v>202</v>
      </c>
      <c r="Q246" s="89"/>
      <c r="R246" s="89"/>
      <c r="S246" s="89"/>
      <c r="T246" s="89"/>
      <c r="U246" s="89"/>
      <c r="V246" s="89"/>
      <c r="W246" s="89"/>
      <c r="X246" s="89"/>
      <c r="Y246" s="89"/>
      <c r="Z246" s="89"/>
      <c r="AA246" s="89"/>
      <c r="AB246" s="89"/>
      <c r="AC246" s="89"/>
      <c r="AD246" s="89"/>
      <c r="AE246" s="89"/>
      <c r="AF246" s="89"/>
      <c r="AG246" s="89"/>
      <c r="AH246" s="89"/>
      <c r="AI246" s="89"/>
      <c r="AJ246" s="89"/>
      <c r="AK246" s="89"/>
      <c r="AL246" s="89"/>
      <c r="AM246" s="89"/>
      <c r="AN246" s="89"/>
      <c r="AO246" s="89"/>
      <c r="AP246" s="89"/>
      <c r="AQ246" s="89"/>
      <c r="AR246" s="89"/>
      <c r="AS246" s="89"/>
      <c r="AT246" s="89"/>
      <c r="AU246" s="89"/>
      <c r="AV246" s="89"/>
      <c r="AW246" s="89"/>
      <c r="AX246" s="89"/>
      <c r="AY246" s="89"/>
      <c r="AZ246" s="89"/>
      <c r="BA246" s="95"/>
    </row>
    <row r="247" spans="1:53" s="87" customFormat="1">
      <c r="A247" s="374" t="str">
        <f t="shared" si="51"/>
        <v/>
      </c>
      <c r="B247" s="89" t="s">
        <v>329</v>
      </c>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c r="AA247" s="89"/>
      <c r="AB247" s="89"/>
      <c r="AC247" s="89"/>
      <c r="AD247" s="89"/>
      <c r="AE247" s="89"/>
      <c r="AF247" s="89"/>
      <c r="AG247" s="89"/>
      <c r="AH247" s="89"/>
      <c r="AI247" s="89"/>
      <c r="AJ247" s="89"/>
      <c r="AK247" s="89"/>
      <c r="AL247" s="89"/>
      <c r="AM247" s="89"/>
      <c r="AN247" s="89"/>
      <c r="AO247" s="89"/>
      <c r="AP247" s="89"/>
      <c r="AQ247" s="89"/>
      <c r="AR247" s="89"/>
      <c r="AS247" s="89"/>
      <c r="AT247" s="89"/>
      <c r="AU247" s="89"/>
      <c r="AV247" s="89"/>
      <c r="AW247" s="89"/>
      <c r="AX247" s="89"/>
      <c r="AY247" s="89"/>
      <c r="AZ247" s="89"/>
      <c r="BA247" s="95"/>
    </row>
    <row r="248" spans="1:53" s="87" customFormat="1">
      <c r="A248" s="374">
        <f t="shared" si="51"/>
        <v>248</v>
      </c>
      <c r="B248" s="89" t="s">
        <v>368</v>
      </c>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c r="AA248" s="89"/>
      <c r="AB248" s="89"/>
      <c r="AC248" s="89"/>
      <c r="AD248" s="89"/>
      <c r="AE248" s="89"/>
      <c r="AF248" s="89"/>
      <c r="AG248" s="89"/>
      <c r="AH248" s="89"/>
      <c r="AI248" s="89"/>
      <c r="AJ248" s="89"/>
      <c r="AK248" s="89"/>
      <c r="AL248" s="89"/>
      <c r="AM248" s="89"/>
      <c r="AN248" s="89"/>
      <c r="AO248" s="89"/>
      <c r="AP248" s="89"/>
      <c r="AQ248" s="89"/>
      <c r="AR248" s="89"/>
      <c r="AS248" s="89"/>
      <c r="AT248" s="89"/>
      <c r="AU248" s="89"/>
      <c r="AV248" s="89"/>
      <c r="AW248" s="89"/>
      <c r="AX248" s="89"/>
      <c r="AY248" s="89"/>
      <c r="AZ248" s="89"/>
      <c r="BA248" s="95"/>
    </row>
    <row r="249" spans="1:53" s="87" customFormat="1">
      <c r="A249" s="374" t="str">
        <f t="shared" si="51"/>
        <v/>
      </c>
      <c r="B249" s="89">
        <v>1</v>
      </c>
      <c r="C249" s="89">
        <v>-3</v>
      </c>
      <c r="D249" s="89" t="s">
        <v>210</v>
      </c>
      <c r="E249" s="89" t="s">
        <v>210</v>
      </c>
      <c r="F249" s="89">
        <v>5</v>
      </c>
      <c r="G249" s="89">
        <v>-1</v>
      </c>
      <c r="H249" s="89" t="s">
        <v>210</v>
      </c>
      <c r="I249" s="89" t="s">
        <v>210</v>
      </c>
      <c r="J249" s="89">
        <v>4</v>
      </c>
      <c r="K249" s="89">
        <v>2</v>
      </c>
      <c r="L249" s="89" t="s">
        <v>210</v>
      </c>
      <c r="M249" s="89"/>
      <c r="N249" s="89"/>
      <c r="O249" s="89"/>
      <c r="P249" s="89"/>
      <c r="Q249" s="89"/>
      <c r="R249" s="89"/>
      <c r="S249" s="89"/>
      <c r="T249" s="89"/>
      <c r="U249" s="89"/>
      <c r="V249" s="89"/>
      <c r="W249" s="89"/>
      <c r="X249" s="89"/>
      <c r="Y249" s="89"/>
      <c r="Z249" s="89"/>
      <c r="AA249" s="89"/>
      <c r="AB249" s="89"/>
      <c r="AC249" s="89"/>
      <c r="AD249" s="89"/>
      <c r="AE249" s="89"/>
      <c r="AF249" s="89"/>
      <c r="AG249" s="89"/>
      <c r="AH249" s="89"/>
      <c r="AI249" s="89"/>
      <c r="AJ249" s="89"/>
      <c r="AK249" s="89"/>
      <c r="AL249" s="89"/>
      <c r="AM249" s="89"/>
      <c r="AN249" s="89"/>
      <c r="AO249" s="89"/>
      <c r="AP249" s="89"/>
      <c r="AQ249" s="89"/>
      <c r="AR249" s="89"/>
      <c r="AS249" s="89"/>
      <c r="AT249" s="89"/>
      <c r="AU249" s="89"/>
      <c r="AV249" s="89"/>
      <c r="AW249" s="89"/>
      <c r="AX249" s="89"/>
      <c r="AY249" s="89"/>
      <c r="AZ249" s="89"/>
      <c r="BA249" s="95"/>
    </row>
    <row r="250" spans="1:53" s="87" customFormat="1">
      <c r="A250" s="374" t="str">
        <f t="shared" si="51"/>
        <v/>
      </c>
      <c r="B250" s="89">
        <v>2</v>
      </c>
      <c r="C250" s="89">
        <v>6</v>
      </c>
      <c r="D250" s="89" t="s">
        <v>210</v>
      </c>
      <c r="E250" s="89" t="s">
        <v>210</v>
      </c>
      <c r="F250" s="89">
        <v>-4</v>
      </c>
      <c r="G250" s="89">
        <v>-3</v>
      </c>
      <c r="H250" s="89" t="s">
        <v>210</v>
      </c>
      <c r="I250" s="89" t="s">
        <v>210</v>
      </c>
      <c r="J250" s="89">
        <v>1</v>
      </c>
      <c r="K250" s="89">
        <v>-2</v>
      </c>
      <c r="L250" s="89" t="s">
        <v>210</v>
      </c>
      <c r="M250" s="89"/>
      <c r="N250" s="89"/>
      <c r="O250" s="89"/>
      <c r="P250" s="89"/>
      <c r="Q250" s="89"/>
      <c r="R250" s="89"/>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95"/>
    </row>
    <row r="251" spans="1:53" s="87" customFormat="1">
      <c r="A251" s="374" t="str">
        <f t="shared" si="51"/>
        <v/>
      </c>
      <c r="B251" s="89">
        <v>3</v>
      </c>
      <c r="C251" s="89">
        <v>1</v>
      </c>
      <c r="D251" s="89" t="s">
        <v>210</v>
      </c>
      <c r="E251" s="89" t="s">
        <v>210</v>
      </c>
      <c r="F251" s="89">
        <v>-5</v>
      </c>
      <c r="G251" s="89">
        <v>2</v>
      </c>
      <c r="H251" s="89" t="s">
        <v>210</v>
      </c>
      <c r="I251" s="89" t="s">
        <v>210</v>
      </c>
      <c r="J251" s="89">
        <v>-1</v>
      </c>
      <c r="K251" s="89">
        <v>4</v>
      </c>
      <c r="L251" s="89" t="s">
        <v>210</v>
      </c>
      <c r="M251" s="89"/>
      <c r="N251" s="89"/>
      <c r="O251" s="89"/>
      <c r="P251" s="89"/>
      <c r="Q251" s="89"/>
      <c r="R251" s="89"/>
      <c r="S251" s="89"/>
      <c r="T251" s="89"/>
      <c r="U251" s="89"/>
      <c r="V251" s="89"/>
      <c r="W251" s="89"/>
      <c r="X251" s="89"/>
      <c r="Y251" s="89"/>
      <c r="Z251" s="89"/>
      <c r="AA251" s="89"/>
      <c r="AB251" s="89"/>
      <c r="AC251" s="89"/>
      <c r="AD251" s="89"/>
      <c r="AE251" s="89"/>
      <c r="AF251" s="89"/>
      <c r="AG251" s="89"/>
      <c r="AH251" s="89"/>
      <c r="AI251" s="89"/>
      <c r="AJ251" s="89"/>
      <c r="AK251" s="89"/>
      <c r="AL251" s="89"/>
      <c r="AM251" s="89"/>
      <c r="AN251" s="89"/>
      <c r="AO251" s="89"/>
      <c r="AP251" s="89"/>
      <c r="AQ251" s="89"/>
      <c r="AR251" s="89"/>
      <c r="AS251" s="89"/>
      <c r="AT251" s="89"/>
      <c r="AU251" s="89"/>
      <c r="AV251" s="89"/>
      <c r="AW251" s="89"/>
      <c r="AX251" s="89"/>
      <c r="AY251" s="89"/>
      <c r="AZ251" s="89"/>
      <c r="BA251" s="95"/>
    </row>
    <row r="252" spans="1:53" s="87" customFormat="1">
      <c r="A252" s="374" t="str">
        <f t="shared" si="51"/>
        <v/>
      </c>
      <c r="B252" s="89">
        <v>4</v>
      </c>
      <c r="C252" s="89">
        <v>-6</v>
      </c>
      <c r="D252" s="89" t="s">
        <v>210</v>
      </c>
      <c r="E252" s="89" t="s">
        <v>210</v>
      </c>
      <c r="F252" s="89">
        <v>-2</v>
      </c>
      <c r="G252" s="89">
        <v>1</v>
      </c>
      <c r="H252" s="89" t="s">
        <v>210</v>
      </c>
      <c r="I252" s="89" t="s">
        <v>210</v>
      </c>
      <c r="J252" s="89">
        <v>5</v>
      </c>
      <c r="K252" s="89">
        <v>-4</v>
      </c>
      <c r="L252" s="89" t="s">
        <v>210</v>
      </c>
      <c r="M252" s="89"/>
      <c r="N252" s="89"/>
      <c r="O252" s="89"/>
      <c r="P252" s="89"/>
      <c r="Q252" s="89"/>
      <c r="R252" s="89"/>
      <c r="S252" s="89"/>
      <c r="T252" s="89"/>
      <c r="U252" s="89"/>
      <c r="V252" s="89"/>
      <c r="W252" s="89"/>
      <c r="X252" s="89"/>
      <c r="Y252" s="89"/>
      <c r="Z252" s="89"/>
      <c r="AA252" s="89"/>
      <c r="AB252" s="89"/>
      <c r="AC252" s="89"/>
      <c r="AD252" s="89"/>
      <c r="AE252" s="89"/>
      <c r="AF252" s="89"/>
      <c r="AG252" s="89"/>
      <c r="AH252" s="89"/>
      <c r="AI252" s="89"/>
      <c r="AJ252" s="89"/>
      <c r="AK252" s="89"/>
      <c r="AL252" s="89"/>
      <c r="AM252" s="89"/>
      <c r="AN252" s="89"/>
      <c r="AO252" s="89"/>
      <c r="AP252" s="89"/>
      <c r="AQ252" s="89"/>
      <c r="AR252" s="89"/>
      <c r="AS252" s="89"/>
      <c r="AT252" s="89"/>
      <c r="AU252" s="89"/>
      <c r="AV252" s="89"/>
      <c r="AW252" s="89"/>
      <c r="AX252" s="89"/>
      <c r="AY252" s="89"/>
      <c r="AZ252" s="89"/>
      <c r="BA252" s="95"/>
    </row>
    <row r="253" spans="1:53" s="87" customFormat="1">
      <c r="A253" s="374" t="str">
        <f t="shared" si="51"/>
        <v/>
      </c>
      <c r="B253" s="89">
        <v>5</v>
      </c>
      <c r="C253" s="89">
        <v>3</v>
      </c>
      <c r="D253" s="89" t="s">
        <v>210</v>
      </c>
      <c r="E253" s="89" t="s">
        <v>210</v>
      </c>
      <c r="F253" s="89">
        <v>4</v>
      </c>
      <c r="G253" s="89">
        <v>-2</v>
      </c>
      <c r="H253" s="89" t="s">
        <v>210</v>
      </c>
      <c r="I253" s="89" t="s">
        <v>210</v>
      </c>
      <c r="J253" s="89">
        <v>-5</v>
      </c>
      <c r="K253" s="89">
        <v>6</v>
      </c>
      <c r="L253" s="89" t="s">
        <v>210</v>
      </c>
      <c r="M253" s="89"/>
      <c r="N253" s="89"/>
      <c r="O253" s="89"/>
      <c r="P253" s="89"/>
      <c r="Q253" s="89"/>
      <c r="R253" s="89"/>
      <c r="S253" s="89"/>
      <c r="T253" s="89"/>
      <c r="U253" s="89"/>
      <c r="V253" s="89"/>
      <c r="W253" s="89"/>
      <c r="X253" s="89"/>
      <c r="Y253" s="89"/>
      <c r="Z253" s="89"/>
      <c r="AA253" s="89"/>
      <c r="AB253" s="89"/>
      <c r="AC253" s="89"/>
      <c r="AD253" s="89"/>
      <c r="AE253" s="89"/>
      <c r="AF253" s="89"/>
      <c r="AG253" s="89"/>
      <c r="AH253" s="89"/>
      <c r="AI253" s="89"/>
      <c r="AJ253" s="89"/>
      <c r="AK253" s="89"/>
      <c r="AL253" s="89"/>
      <c r="AM253" s="89"/>
      <c r="AN253" s="89"/>
      <c r="AO253" s="89"/>
      <c r="AP253" s="89"/>
      <c r="AQ253" s="89"/>
      <c r="AR253" s="89"/>
      <c r="AS253" s="89"/>
      <c r="AT253" s="89"/>
      <c r="AU253" s="89"/>
      <c r="AV253" s="89"/>
      <c r="AW253" s="89"/>
      <c r="AX253" s="89"/>
      <c r="AY253" s="89"/>
      <c r="AZ253" s="89"/>
      <c r="BA253" s="95"/>
    </row>
    <row r="254" spans="1:53" s="87" customFormat="1">
      <c r="A254" s="374" t="str">
        <f t="shared" si="51"/>
        <v/>
      </c>
      <c r="B254" s="99">
        <v>6</v>
      </c>
      <c r="C254" s="92">
        <v>-1</v>
      </c>
      <c r="D254" s="92" t="s">
        <v>210</v>
      </c>
      <c r="E254" s="92" t="s">
        <v>210</v>
      </c>
      <c r="F254" s="92">
        <v>2</v>
      </c>
      <c r="G254" s="92">
        <v>3</v>
      </c>
      <c r="H254" s="92" t="s">
        <v>210</v>
      </c>
      <c r="I254" s="92" t="s">
        <v>210</v>
      </c>
      <c r="J254" s="92">
        <v>-4</v>
      </c>
      <c r="K254" s="92">
        <v>-6</v>
      </c>
      <c r="L254" s="92" t="s">
        <v>210</v>
      </c>
      <c r="M254" s="89"/>
      <c r="N254" s="89"/>
      <c r="O254" s="89"/>
      <c r="P254" s="89"/>
      <c r="Q254" s="89"/>
      <c r="R254" s="89"/>
      <c r="S254" s="89"/>
      <c r="T254" s="89"/>
      <c r="U254" s="89"/>
      <c r="V254" s="89"/>
      <c r="W254" s="89"/>
      <c r="X254" s="89"/>
      <c r="Y254" s="89"/>
      <c r="Z254" s="89"/>
      <c r="AA254" s="89"/>
      <c r="AB254" s="89"/>
      <c r="AC254" s="89"/>
      <c r="AD254" s="89"/>
      <c r="AE254" s="89"/>
      <c r="AF254" s="89"/>
      <c r="AG254" s="89"/>
      <c r="AH254" s="89"/>
      <c r="AI254" s="89"/>
      <c r="AJ254" s="89"/>
      <c r="AK254" s="89"/>
      <c r="AL254" s="89"/>
      <c r="AM254" s="89"/>
      <c r="AN254" s="89"/>
      <c r="AO254" s="89"/>
      <c r="AP254" s="89"/>
      <c r="AQ254" s="89"/>
      <c r="AR254" s="89"/>
      <c r="AS254" s="89"/>
      <c r="AT254" s="89"/>
      <c r="AU254" s="89"/>
      <c r="AV254" s="89"/>
      <c r="AW254" s="89"/>
      <c r="AX254" s="89"/>
      <c r="AY254" s="89"/>
      <c r="AZ254" s="89"/>
      <c r="BA254" s="95"/>
    </row>
    <row r="255" spans="1:53" s="87" customFormat="1">
      <c r="A255" s="374" t="str">
        <f t="shared" si="51"/>
        <v/>
      </c>
      <c r="B255" s="89">
        <v>7</v>
      </c>
      <c r="C255" s="89">
        <v>-5</v>
      </c>
      <c r="D255" s="89" t="s">
        <v>210</v>
      </c>
      <c r="E255" s="89">
        <v>4</v>
      </c>
      <c r="F255" s="89" t="s">
        <v>210</v>
      </c>
      <c r="G255" s="89">
        <v>-6</v>
      </c>
      <c r="H255" s="89" t="s">
        <v>210</v>
      </c>
      <c r="I255" s="89" t="s">
        <v>210</v>
      </c>
      <c r="J255" s="89">
        <v>-3</v>
      </c>
      <c r="K255" s="89" t="s">
        <v>210</v>
      </c>
      <c r="L255" s="89">
        <v>5</v>
      </c>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c r="AZ255" s="89"/>
      <c r="BA255" s="95"/>
    </row>
    <row r="256" spans="1:53" s="87" customFormat="1">
      <c r="A256" s="374" t="str">
        <f t="shared" si="51"/>
        <v/>
      </c>
      <c r="B256" s="89">
        <v>8</v>
      </c>
      <c r="C256" s="89">
        <v>-2</v>
      </c>
      <c r="D256" s="89" t="s">
        <v>210</v>
      </c>
      <c r="E256" s="89" t="s">
        <v>210</v>
      </c>
      <c r="F256" s="89">
        <v>-6</v>
      </c>
      <c r="G256" s="89">
        <v>4</v>
      </c>
      <c r="H256" s="89" t="s">
        <v>210</v>
      </c>
      <c r="I256" s="89">
        <v>2</v>
      </c>
      <c r="J256" s="89" t="s">
        <v>210</v>
      </c>
      <c r="K256" s="89" t="s">
        <v>210</v>
      </c>
      <c r="L256" s="89">
        <v>-5</v>
      </c>
      <c r="M256" s="89"/>
      <c r="N256" s="89"/>
      <c r="O256" s="89"/>
      <c r="P256" s="89"/>
      <c r="Q256" s="89"/>
      <c r="R256" s="89"/>
      <c r="S256" s="89"/>
      <c r="T256" s="89"/>
      <c r="U256" s="89"/>
      <c r="V256" s="89"/>
      <c r="W256" s="89"/>
      <c r="X256" s="89"/>
      <c r="Y256" s="89"/>
      <c r="Z256" s="89"/>
      <c r="AA256" s="89"/>
      <c r="AB256" s="89"/>
      <c r="AC256" s="89"/>
      <c r="AD256" s="89"/>
      <c r="AE256" s="89"/>
      <c r="AF256" s="89"/>
      <c r="AG256" s="89"/>
      <c r="AH256" s="89"/>
      <c r="AI256" s="89"/>
      <c r="AJ256" s="89"/>
      <c r="AK256" s="89"/>
      <c r="AL256" s="89"/>
      <c r="AM256" s="89"/>
      <c r="AN256" s="89"/>
      <c r="AO256" s="89"/>
      <c r="AP256" s="89"/>
      <c r="AQ256" s="89"/>
      <c r="AR256" s="89"/>
      <c r="AS256" s="89"/>
      <c r="AT256" s="89"/>
      <c r="AU256" s="89"/>
      <c r="AV256" s="89"/>
      <c r="AW256" s="89"/>
      <c r="AX256" s="89"/>
      <c r="AY256" s="89"/>
      <c r="AZ256" s="89"/>
      <c r="BA256" s="95"/>
    </row>
    <row r="257" spans="1:53" s="87" customFormat="1">
      <c r="A257" s="374" t="str">
        <f t="shared" si="51"/>
        <v/>
      </c>
      <c r="B257" s="89">
        <v>9</v>
      </c>
      <c r="C257" s="89">
        <v>4</v>
      </c>
      <c r="D257" s="89" t="s">
        <v>210</v>
      </c>
      <c r="E257" s="89" t="s">
        <v>210</v>
      </c>
      <c r="F257" s="89">
        <v>6</v>
      </c>
      <c r="G257" s="89">
        <v>-5</v>
      </c>
      <c r="H257" s="89" t="s">
        <v>210</v>
      </c>
      <c r="I257" s="89" t="s">
        <v>210</v>
      </c>
      <c r="J257" s="89">
        <v>3</v>
      </c>
      <c r="K257" s="89">
        <v>-1</v>
      </c>
      <c r="L257" s="89" t="s">
        <v>210</v>
      </c>
      <c r="M257" s="89"/>
      <c r="N257" s="89"/>
      <c r="O257" s="89"/>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c r="AZ257" s="89"/>
      <c r="BA257" s="95"/>
    </row>
    <row r="258" spans="1:53" s="87" customFormat="1">
      <c r="A258" s="374" t="str">
        <f t="shared" si="51"/>
        <v/>
      </c>
      <c r="B258" s="89">
        <v>10</v>
      </c>
      <c r="C258" s="89">
        <v>5</v>
      </c>
      <c r="D258" s="89" t="s">
        <v>210</v>
      </c>
      <c r="E258" s="89" t="s">
        <v>210</v>
      </c>
      <c r="F258" s="89">
        <v>-3</v>
      </c>
      <c r="G258" s="89">
        <v>-4</v>
      </c>
      <c r="H258" s="89" t="s">
        <v>210</v>
      </c>
      <c r="I258" s="89" t="s">
        <v>210</v>
      </c>
      <c r="J258" s="89">
        <v>2</v>
      </c>
      <c r="K258" s="89">
        <v>1</v>
      </c>
      <c r="L258" s="89" t="s">
        <v>210</v>
      </c>
      <c r="M258" s="89"/>
      <c r="N258" s="89"/>
      <c r="O258" s="89"/>
      <c r="P258" s="89"/>
      <c r="Q258" s="89"/>
      <c r="R258" s="89"/>
      <c r="S258" s="89"/>
      <c r="T258" s="89"/>
      <c r="U258" s="89"/>
      <c r="V258" s="89"/>
      <c r="W258" s="89"/>
      <c r="X258" s="89"/>
      <c r="Y258" s="89"/>
      <c r="Z258" s="89"/>
      <c r="AA258" s="89"/>
      <c r="AB258" s="89"/>
      <c r="AC258" s="89"/>
      <c r="AD258" s="89"/>
      <c r="AE258" s="89"/>
      <c r="AF258" s="89"/>
      <c r="AG258" s="89"/>
      <c r="AH258" s="89"/>
      <c r="AI258" s="89"/>
      <c r="AJ258" s="89"/>
      <c r="AK258" s="89"/>
      <c r="AL258" s="89"/>
      <c r="AM258" s="89"/>
      <c r="AN258" s="89"/>
      <c r="AO258" s="89"/>
      <c r="AP258" s="89"/>
      <c r="AQ258" s="89"/>
      <c r="AR258" s="89"/>
      <c r="AS258" s="89"/>
      <c r="AT258" s="89"/>
      <c r="AU258" s="89"/>
      <c r="AV258" s="89"/>
      <c r="AW258" s="89"/>
      <c r="AX258" s="89"/>
      <c r="AY258" s="89"/>
      <c r="AZ258" s="89"/>
      <c r="BA258" s="95"/>
    </row>
    <row r="259" spans="1:53" s="87" customFormat="1">
      <c r="A259" s="374" t="str">
        <f t="shared" si="51"/>
        <v/>
      </c>
      <c r="B259" s="99">
        <v>11</v>
      </c>
      <c r="C259" s="92">
        <v>2</v>
      </c>
      <c r="D259" s="92" t="s">
        <v>210</v>
      </c>
      <c r="E259" s="92">
        <v>-4</v>
      </c>
      <c r="F259" s="92" t="s">
        <v>210</v>
      </c>
      <c r="G259" s="92">
        <v>5</v>
      </c>
      <c r="H259" s="92" t="s">
        <v>210</v>
      </c>
      <c r="I259" s="92" t="s">
        <v>210</v>
      </c>
      <c r="J259" s="92">
        <v>-2</v>
      </c>
      <c r="K259" s="92" t="s">
        <v>210</v>
      </c>
      <c r="L259" s="92">
        <v>-1</v>
      </c>
      <c r="M259" s="89"/>
      <c r="N259" s="89"/>
      <c r="O259" s="89"/>
      <c r="P259" s="89"/>
      <c r="Q259" s="89"/>
      <c r="R259" s="89"/>
      <c r="S259" s="89"/>
      <c r="T259" s="89"/>
      <c r="U259" s="89"/>
      <c r="V259" s="89"/>
      <c r="W259" s="89"/>
      <c r="X259" s="89"/>
      <c r="Y259" s="89"/>
      <c r="Z259" s="89"/>
      <c r="AA259" s="89"/>
      <c r="AB259" s="89"/>
      <c r="AC259" s="89"/>
      <c r="AD259" s="89"/>
      <c r="AE259" s="89"/>
      <c r="AF259" s="89"/>
      <c r="AG259" s="89"/>
      <c r="AH259" s="89"/>
      <c r="AI259" s="89"/>
      <c r="AJ259" s="89"/>
      <c r="AK259" s="89"/>
      <c r="AL259" s="89"/>
      <c r="AM259" s="89"/>
      <c r="AN259" s="89"/>
      <c r="AO259" s="89"/>
      <c r="AP259" s="89"/>
      <c r="AQ259" s="89"/>
      <c r="AR259" s="89"/>
      <c r="AS259" s="89"/>
      <c r="AT259" s="89"/>
      <c r="AU259" s="89"/>
      <c r="AV259" s="89"/>
      <c r="AW259" s="89"/>
      <c r="AX259" s="89"/>
      <c r="AY259" s="89"/>
      <c r="AZ259" s="89"/>
      <c r="BA259" s="95"/>
    </row>
    <row r="260" spans="1:53" s="87" customFormat="1">
      <c r="A260" s="374" t="str">
        <f t="shared" si="51"/>
        <v/>
      </c>
      <c r="B260" s="89">
        <v>12</v>
      </c>
      <c r="C260" s="89">
        <v>-4</v>
      </c>
      <c r="D260" s="89" t="s">
        <v>210</v>
      </c>
      <c r="E260" s="89" t="s">
        <v>210</v>
      </c>
      <c r="F260" s="89">
        <v>3</v>
      </c>
      <c r="G260" s="89">
        <v>6</v>
      </c>
      <c r="H260" s="89" t="s">
        <v>210</v>
      </c>
      <c r="I260" s="89">
        <v>-2</v>
      </c>
      <c r="J260" s="89" t="s">
        <v>210</v>
      </c>
      <c r="K260" s="89" t="s">
        <v>210</v>
      </c>
      <c r="L260" s="89">
        <v>1</v>
      </c>
      <c r="M260" s="89"/>
      <c r="N260" s="89"/>
      <c r="O260" s="89"/>
      <c r="P260" s="89"/>
      <c r="Q260" s="89"/>
      <c r="R260" s="89"/>
      <c r="S260" s="89"/>
      <c r="T260" s="89"/>
      <c r="U260" s="89"/>
      <c r="V260" s="89"/>
      <c r="W260" s="89"/>
      <c r="X260" s="89"/>
      <c r="Y260" s="89"/>
      <c r="Z260" s="89"/>
      <c r="AA260" s="89"/>
      <c r="AB260" s="89"/>
      <c r="AC260" s="89"/>
      <c r="AD260" s="89"/>
      <c r="AE260" s="89"/>
      <c r="AF260" s="89"/>
      <c r="AG260" s="89"/>
      <c r="AH260" s="89"/>
      <c r="AI260" s="89"/>
      <c r="AJ260" s="89"/>
      <c r="AK260" s="89"/>
      <c r="AL260" s="89"/>
      <c r="AM260" s="89"/>
      <c r="AN260" s="89"/>
      <c r="AO260" s="89"/>
      <c r="AP260" s="89"/>
      <c r="AQ260" s="89"/>
      <c r="AR260" s="89"/>
      <c r="AS260" s="89"/>
      <c r="AT260" s="89"/>
      <c r="AU260" s="89"/>
      <c r="AV260" s="89"/>
      <c r="AW260" s="89"/>
      <c r="AX260" s="89"/>
      <c r="AY260" s="89"/>
      <c r="AZ260" s="89"/>
      <c r="BA260" s="95"/>
    </row>
    <row r="261" spans="1:53" s="87" customFormat="1">
      <c r="A261" s="374" t="str">
        <f t="shared" si="51"/>
        <v/>
      </c>
      <c r="B261" s="89">
        <v>13</v>
      </c>
      <c r="C261" s="89" t="s">
        <v>210</v>
      </c>
      <c r="D261" s="89">
        <v>5</v>
      </c>
      <c r="E261" s="89">
        <v>-6</v>
      </c>
      <c r="F261" s="89" t="s">
        <v>210</v>
      </c>
      <c r="G261" s="89" t="s">
        <v>210</v>
      </c>
      <c r="H261" s="89">
        <v>3</v>
      </c>
      <c r="I261" s="89">
        <v>-4</v>
      </c>
      <c r="J261" s="89" t="s">
        <v>210</v>
      </c>
      <c r="K261" s="89">
        <v>-5</v>
      </c>
      <c r="L261" s="89" t="s">
        <v>210</v>
      </c>
      <c r="M261" s="89"/>
      <c r="N261" s="89"/>
      <c r="O261" s="89"/>
      <c r="P261" s="89"/>
      <c r="Q261" s="89"/>
      <c r="R261" s="89"/>
      <c r="S261" s="89"/>
      <c r="T261" s="89"/>
      <c r="U261" s="89"/>
      <c r="V261" s="89"/>
      <c r="W261" s="89"/>
      <c r="X261" s="89"/>
      <c r="Y261" s="89"/>
      <c r="Z261" s="89"/>
      <c r="AA261" s="89"/>
      <c r="AB261" s="89"/>
      <c r="AC261" s="89"/>
      <c r="AD261" s="89"/>
      <c r="AE261" s="89"/>
      <c r="AF261" s="89"/>
      <c r="AG261" s="89"/>
      <c r="AH261" s="89"/>
      <c r="AI261" s="89"/>
      <c r="AJ261" s="89"/>
      <c r="AK261" s="89"/>
      <c r="AL261" s="89"/>
      <c r="AM261" s="89"/>
      <c r="AN261" s="89"/>
      <c r="AO261" s="89"/>
      <c r="AP261" s="89"/>
      <c r="AQ261" s="89"/>
      <c r="AR261" s="89"/>
      <c r="AS261" s="89"/>
      <c r="AT261" s="89"/>
      <c r="AU261" s="89"/>
      <c r="AV261" s="89"/>
      <c r="AW261" s="89"/>
      <c r="AX261" s="89"/>
      <c r="AY261" s="89"/>
      <c r="AZ261" s="89"/>
      <c r="BA261" s="95"/>
    </row>
    <row r="262" spans="1:53" s="87" customFormat="1">
      <c r="A262" s="374" t="str">
        <f t="shared" si="51"/>
        <v/>
      </c>
      <c r="B262" s="89">
        <v>14</v>
      </c>
      <c r="C262" s="89" t="s">
        <v>210</v>
      </c>
      <c r="D262" s="89">
        <v>4</v>
      </c>
      <c r="E262" s="89">
        <v>-1</v>
      </c>
      <c r="F262" s="89" t="s">
        <v>210</v>
      </c>
      <c r="G262" s="89" t="s">
        <v>210</v>
      </c>
      <c r="H262" s="89">
        <v>2</v>
      </c>
      <c r="I262" s="89">
        <v>-3</v>
      </c>
      <c r="J262" s="89" t="s">
        <v>210</v>
      </c>
      <c r="K262" s="89">
        <v>5</v>
      </c>
      <c r="L262" s="89" t="s">
        <v>210</v>
      </c>
      <c r="M262" s="89"/>
      <c r="N262" s="89"/>
      <c r="O262" s="89"/>
      <c r="P262" s="89"/>
      <c r="Q262" s="89"/>
      <c r="R262" s="89"/>
      <c r="S262" s="89"/>
      <c r="T262" s="89"/>
      <c r="U262" s="89"/>
      <c r="V262" s="89"/>
      <c r="W262" s="89"/>
      <c r="X262" s="89"/>
      <c r="Y262" s="89"/>
      <c r="Z262" s="89"/>
      <c r="AA262" s="89"/>
      <c r="AB262" s="89"/>
      <c r="AC262" s="89"/>
      <c r="AD262" s="89"/>
      <c r="AE262" s="89"/>
      <c r="AF262" s="89"/>
      <c r="AG262" s="89"/>
      <c r="AH262" s="89"/>
      <c r="AI262" s="89"/>
      <c r="AJ262" s="89"/>
      <c r="AK262" s="89"/>
      <c r="AL262" s="89"/>
      <c r="AM262" s="89"/>
      <c r="AN262" s="89"/>
      <c r="AO262" s="89"/>
      <c r="AP262" s="89"/>
      <c r="AQ262" s="89"/>
      <c r="AR262" s="89"/>
      <c r="AS262" s="89"/>
      <c r="AT262" s="89"/>
      <c r="AU262" s="89"/>
      <c r="AV262" s="89"/>
      <c r="AW262" s="89"/>
      <c r="AX262" s="89"/>
      <c r="AY262" s="89"/>
      <c r="AZ262" s="89"/>
      <c r="BA262" s="95"/>
    </row>
    <row r="263" spans="1:53" s="87" customFormat="1">
      <c r="A263" s="374" t="str">
        <f t="shared" si="51"/>
        <v/>
      </c>
      <c r="B263" s="89">
        <v>15</v>
      </c>
      <c r="C263" s="89" t="s">
        <v>210</v>
      </c>
      <c r="D263" s="89">
        <v>-4</v>
      </c>
      <c r="E263" s="89">
        <v>-3</v>
      </c>
      <c r="F263" s="89" t="s">
        <v>210</v>
      </c>
      <c r="G263" s="89" t="s">
        <v>210</v>
      </c>
      <c r="H263" s="89">
        <v>5</v>
      </c>
      <c r="I263" s="89">
        <v>4</v>
      </c>
      <c r="J263" s="89" t="s">
        <v>210</v>
      </c>
      <c r="K263" s="89" t="s">
        <v>210</v>
      </c>
      <c r="L263" s="89">
        <v>-2</v>
      </c>
      <c r="M263" s="89"/>
      <c r="N263" s="89"/>
      <c r="O263" s="89"/>
      <c r="P263" s="89"/>
      <c r="Q263" s="89"/>
      <c r="R263" s="89"/>
      <c r="S263" s="89"/>
      <c r="T263" s="89"/>
      <c r="U263" s="89"/>
      <c r="V263" s="89"/>
      <c r="W263" s="89"/>
      <c r="X263" s="89"/>
      <c r="Y263" s="89"/>
      <c r="Z263" s="89"/>
      <c r="AA263" s="89"/>
      <c r="AB263" s="89"/>
      <c r="AC263" s="89"/>
      <c r="AD263" s="89"/>
      <c r="AE263" s="89"/>
      <c r="AF263" s="89"/>
      <c r="AG263" s="89"/>
      <c r="AH263" s="89"/>
      <c r="AI263" s="89"/>
      <c r="AJ263" s="89"/>
      <c r="AK263" s="89"/>
      <c r="AL263" s="89"/>
      <c r="AM263" s="89"/>
      <c r="AN263" s="89"/>
      <c r="AO263" s="89"/>
      <c r="AP263" s="89"/>
      <c r="AQ263" s="89"/>
      <c r="AR263" s="89"/>
      <c r="AS263" s="89"/>
      <c r="AT263" s="89"/>
      <c r="AU263" s="89"/>
      <c r="AV263" s="89"/>
      <c r="AW263" s="89"/>
      <c r="AX263" s="89"/>
      <c r="AY263" s="89"/>
      <c r="AZ263" s="89"/>
      <c r="BA263" s="95"/>
    </row>
    <row r="264" spans="1:53" s="87" customFormat="1">
      <c r="A264" s="374" t="str">
        <f t="shared" si="51"/>
        <v/>
      </c>
      <c r="B264" s="99">
        <v>16</v>
      </c>
      <c r="C264" s="92" t="s">
        <v>210</v>
      </c>
      <c r="D264" s="92">
        <v>3</v>
      </c>
      <c r="E264" s="92">
        <v>1</v>
      </c>
      <c r="F264" s="92" t="s">
        <v>210</v>
      </c>
      <c r="G264" s="92" t="s">
        <v>210</v>
      </c>
      <c r="H264" s="92">
        <v>-3</v>
      </c>
      <c r="I264" s="92">
        <v>-6</v>
      </c>
      <c r="J264" s="92" t="s">
        <v>210</v>
      </c>
      <c r="K264" s="92" t="s">
        <v>210</v>
      </c>
      <c r="L264" s="92">
        <v>2</v>
      </c>
      <c r="M264" s="89"/>
      <c r="N264" s="89"/>
      <c r="O264" s="89"/>
      <c r="P264" s="89"/>
      <c r="Q264" s="89"/>
      <c r="R264" s="89"/>
      <c r="S264" s="89"/>
      <c r="T264" s="89"/>
      <c r="U264" s="89"/>
      <c r="V264" s="89"/>
      <c r="W264" s="89"/>
      <c r="X264" s="89"/>
      <c r="Y264" s="89"/>
      <c r="Z264" s="89"/>
      <c r="AA264" s="89"/>
      <c r="AB264" s="89"/>
      <c r="AC264" s="89"/>
      <c r="AD264" s="89"/>
      <c r="AE264" s="89"/>
      <c r="AF264" s="89"/>
      <c r="AG264" s="89"/>
      <c r="AH264" s="89"/>
      <c r="AI264" s="89"/>
      <c r="AJ264" s="89"/>
      <c r="AK264" s="89"/>
      <c r="AL264" s="89"/>
      <c r="AM264" s="89"/>
      <c r="AN264" s="89"/>
      <c r="AO264" s="89"/>
      <c r="AP264" s="89"/>
      <c r="AQ264" s="89"/>
      <c r="AR264" s="89"/>
      <c r="AS264" s="89"/>
      <c r="AT264" s="89"/>
      <c r="AU264" s="89"/>
      <c r="AV264" s="89"/>
      <c r="AW264" s="89"/>
      <c r="AX264" s="89"/>
      <c r="AY264" s="89"/>
      <c r="AZ264" s="89"/>
      <c r="BA264" s="95"/>
    </row>
    <row r="265" spans="1:53" s="87" customFormat="1">
      <c r="A265" s="374" t="str">
        <f t="shared" si="51"/>
        <v/>
      </c>
      <c r="B265" s="89">
        <v>17</v>
      </c>
      <c r="C265" s="89" t="s">
        <v>210</v>
      </c>
      <c r="D265" s="89">
        <v>-3</v>
      </c>
      <c r="E265" s="89">
        <v>6</v>
      </c>
      <c r="F265" s="89" t="s">
        <v>210</v>
      </c>
      <c r="G265" s="89" t="s">
        <v>210</v>
      </c>
      <c r="H265" s="89">
        <v>-5</v>
      </c>
      <c r="I265" s="89">
        <v>3</v>
      </c>
      <c r="J265" s="89" t="s">
        <v>210</v>
      </c>
      <c r="K265" s="89" t="s">
        <v>210</v>
      </c>
      <c r="L265" s="89">
        <v>-4</v>
      </c>
      <c r="M265" s="89"/>
      <c r="N265" s="89"/>
      <c r="O265" s="89"/>
      <c r="P265" s="89"/>
      <c r="Q265" s="89"/>
      <c r="R265" s="89"/>
      <c r="S265" s="89"/>
      <c r="T265" s="89"/>
      <c r="U265" s="89"/>
      <c r="V265" s="89"/>
      <c r="W265" s="89"/>
      <c r="X265" s="89"/>
      <c r="Y265" s="89"/>
      <c r="Z265" s="89"/>
      <c r="AA265" s="89"/>
      <c r="AB265" s="89"/>
      <c r="AC265" s="89"/>
      <c r="AD265" s="89"/>
      <c r="AE265" s="89"/>
      <c r="AF265" s="89"/>
      <c r="AG265" s="89"/>
      <c r="AH265" s="89"/>
      <c r="AI265" s="89"/>
      <c r="AJ265" s="89"/>
      <c r="AK265" s="89"/>
      <c r="AL265" s="89"/>
      <c r="AM265" s="89"/>
      <c r="AN265" s="89"/>
      <c r="AO265" s="89"/>
      <c r="AP265" s="89"/>
      <c r="AQ265" s="89"/>
      <c r="AR265" s="89"/>
      <c r="AS265" s="89"/>
      <c r="AT265" s="89"/>
      <c r="AU265" s="89"/>
      <c r="AV265" s="89"/>
      <c r="AW265" s="89"/>
      <c r="AX265" s="89"/>
      <c r="AY265" s="89"/>
      <c r="AZ265" s="89"/>
      <c r="BA265" s="95"/>
    </row>
    <row r="266" spans="1:53" s="87" customFormat="1">
      <c r="A266" s="374" t="str">
        <f t="shared" si="51"/>
        <v/>
      </c>
      <c r="B266" s="89">
        <v>18</v>
      </c>
      <c r="C266" s="89" t="s">
        <v>210</v>
      </c>
      <c r="D266" s="89">
        <v>-5</v>
      </c>
      <c r="E266" s="89">
        <v>3</v>
      </c>
      <c r="F266" s="89" t="s">
        <v>210</v>
      </c>
      <c r="G266" s="89" t="s">
        <v>210</v>
      </c>
      <c r="H266" s="89">
        <v>-2</v>
      </c>
      <c r="I266" s="89">
        <v>6</v>
      </c>
      <c r="J266" s="89" t="s">
        <v>210</v>
      </c>
      <c r="K266" s="89" t="s">
        <v>210</v>
      </c>
      <c r="L266" s="89">
        <v>4</v>
      </c>
      <c r="M266" s="89"/>
      <c r="N266" s="89"/>
      <c r="O266" s="89"/>
      <c r="P266" s="89"/>
      <c r="Q266" s="89"/>
      <c r="R266" s="89"/>
      <c r="S266" s="89"/>
      <c r="T266" s="89"/>
      <c r="U266" s="89"/>
      <c r="V266" s="89"/>
      <c r="W266" s="89"/>
      <c r="X266" s="89"/>
      <c r="Y266" s="89"/>
      <c r="Z266" s="89"/>
      <c r="AA266" s="89"/>
      <c r="AB266" s="89"/>
      <c r="AC266" s="89"/>
      <c r="AD266" s="89"/>
      <c r="AE266" s="89"/>
      <c r="AF266" s="89"/>
      <c r="AG266" s="89"/>
      <c r="AH266" s="89"/>
      <c r="AI266" s="89"/>
      <c r="AJ266" s="89"/>
      <c r="AK266" s="89"/>
      <c r="AL266" s="89"/>
      <c r="AM266" s="89"/>
      <c r="AN266" s="89"/>
      <c r="AO266" s="89"/>
      <c r="AP266" s="89"/>
      <c r="AQ266" s="89"/>
      <c r="AR266" s="89"/>
      <c r="AS266" s="89"/>
      <c r="AT266" s="89"/>
      <c r="AU266" s="89"/>
      <c r="AV266" s="89"/>
      <c r="AW266" s="89"/>
      <c r="AX266" s="89"/>
      <c r="AY266" s="89"/>
      <c r="AZ266" s="89"/>
      <c r="BA266" s="95"/>
    </row>
    <row r="267" spans="1:53" s="87" customFormat="1">
      <c r="A267" s="374" t="str">
        <f t="shared" si="51"/>
        <v/>
      </c>
      <c r="B267" s="89">
        <v>19</v>
      </c>
      <c r="C267" s="89" t="s">
        <v>210</v>
      </c>
      <c r="D267" s="89">
        <v>2</v>
      </c>
      <c r="E267" s="89" t="s">
        <v>202</v>
      </c>
      <c r="F267" s="89" t="s">
        <v>202</v>
      </c>
      <c r="G267" s="89" t="s">
        <v>210</v>
      </c>
      <c r="H267" s="89">
        <v>4</v>
      </c>
      <c r="I267" s="89">
        <v>-5</v>
      </c>
      <c r="J267" s="89" t="s">
        <v>210</v>
      </c>
      <c r="K267" s="89">
        <v>-3</v>
      </c>
      <c r="L267" s="89" t="s">
        <v>210</v>
      </c>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c r="AZ267" s="89"/>
      <c r="BA267" s="95"/>
    </row>
    <row r="268" spans="1:53" s="87" customFormat="1">
      <c r="A268" s="374" t="str">
        <f t="shared" ref="A268:A331" si="52">IF(MID(B268,3,2)="06",ROW(),"")</f>
        <v/>
      </c>
      <c r="B268" s="89">
        <v>20</v>
      </c>
      <c r="C268" s="89" t="s">
        <v>210</v>
      </c>
      <c r="D268" s="89">
        <v>-6</v>
      </c>
      <c r="E268" s="89">
        <v>-5</v>
      </c>
      <c r="F268" s="89" t="s">
        <v>210</v>
      </c>
      <c r="G268" s="89" t="s">
        <v>210</v>
      </c>
      <c r="H268" s="89">
        <v>1</v>
      </c>
      <c r="I268" s="89" t="s">
        <v>202</v>
      </c>
      <c r="J268" s="89" t="s">
        <v>202</v>
      </c>
      <c r="K268" s="89">
        <v>3</v>
      </c>
      <c r="L268" s="89" t="s">
        <v>210</v>
      </c>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c r="AZ268" s="89"/>
      <c r="BA268" s="95"/>
    </row>
    <row r="269" spans="1:53" s="87" customFormat="1">
      <c r="A269" s="374" t="str">
        <f t="shared" si="52"/>
        <v/>
      </c>
      <c r="B269" s="89">
        <v>21</v>
      </c>
      <c r="C269" s="89" t="s">
        <v>202</v>
      </c>
      <c r="D269" s="89" t="s">
        <v>202</v>
      </c>
      <c r="E269" s="89">
        <v>-2</v>
      </c>
      <c r="F269" s="89" t="s">
        <v>210</v>
      </c>
      <c r="G269" s="89" t="s">
        <v>210</v>
      </c>
      <c r="H269" s="89">
        <v>-1</v>
      </c>
      <c r="I269" s="89">
        <v>5</v>
      </c>
      <c r="J269" s="89" t="s">
        <v>210</v>
      </c>
      <c r="K269" s="89" t="s">
        <v>210</v>
      </c>
      <c r="L269" s="89">
        <v>3</v>
      </c>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95"/>
    </row>
    <row r="270" spans="1:53" s="87" customFormat="1">
      <c r="A270" s="374" t="str">
        <f t="shared" si="52"/>
        <v/>
      </c>
      <c r="B270" s="319">
        <v>22</v>
      </c>
      <c r="C270" s="89" t="s">
        <v>210</v>
      </c>
      <c r="D270" s="89">
        <v>-2</v>
      </c>
      <c r="E270" s="89">
        <v>5</v>
      </c>
      <c r="F270" s="89" t="s">
        <v>210</v>
      </c>
      <c r="G270" s="89" t="s">
        <v>202</v>
      </c>
      <c r="H270" s="89" t="s">
        <v>202</v>
      </c>
      <c r="I270" s="89">
        <v>1</v>
      </c>
      <c r="J270" s="89" t="s">
        <v>210</v>
      </c>
      <c r="K270" s="89" t="s">
        <v>210</v>
      </c>
      <c r="L270" s="89">
        <v>-3</v>
      </c>
      <c r="M270" s="89"/>
      <c r="N270" s="89"/>
      <c r="O270" s="89"/>
      <c r="P270" s="89"/>
      <c r="Q270" s="89"/>
      <c r="R270" s="89"/>
      <c r="S270" s="89"/>
      <c r="T270" s="89"/>
      <c r="U270" s="89"/>
      <c r="V270" s="89"/>
      <c r="W270" s="89"/>
      <c r="X270" s="89"/>
      <c r="Y270" s="89"/>
      <c r="Z270" s="89"/>
      <c r="AA270" s="89"/>
      <c r="AB270" s="89"/>
      <c r="AC270" s="89"/>
      <c r="AD270" s="89"/>
      <c r="AE270" s="89"/>
      <c r="AF270" s="89"/>
      <c r="AG270" s="89"/>
      <c r="AH270" s="89"/>
      <c r="AI270" s="89"/>
      <c r="AJ270" s="89"/>
      <c r="AK270" s="89"/>
      <c r="AL270" s="89"/>
      <c r="AM270" s="89"/>
      <c r="AN270" s="89"/>
      <c r="AO270" s="89"/>
      <c r="AP270" s="89"/>
      <c r="AQ270" s="89"/>
      <c r="AR270" s="89"/>
      <c r="AS270" s="89"/>
      <c r="AT270" s="89"/>
      <c r="AU270" s="89"/>
      <c r="AV270" s="89"/>
      <c r="AW270" s="89"/>
      <c r="AX270" s="89"/>
      <c r="AY270" s="89"/>
      <c r="AZ270" s="89"/>
      <c r="BA270" s="95"/>
    </row>
    <row r="271" spans="1:53" s="87" customFormat="1">
      <c r="A271" s="374" t="str">
        <f t="shared" si="52"/>
        <v/>
      </c>
      <c r="B271" s="89">
        <v>23</v>
      </c>
      <c r="C271" s="89" t="s">
        <v>210</v>
      </c>
      <c r="D271" s="89">
        <v>6</v>
      </c>
      <c r="E271" s="89">
        <v>2</v>
      </c>
      <c r="F271" s="89" t="s">
        <v>210</v>
      </c>
      <c r="G271" s="89" t="s">
        <v>210</v>
      </c>
      <c r="H271" s="89">
        <v>-4</v>
      </c>
      <c r="I271" s="89">
        <v>-1</v>
      </c>
      <c r="J271" s="89" t="s">
        <v>210</v>
      </c>
      <c r="K271" s="89" t="s">
        <v>202</v>
      </c>
      <c r="L271" s="89" t="s">
        <v>202</v>
      </c>
      <c r="M271" s="89"/>
      <c r="N271" s="89"/>
      <c r="O271" s="89"/>
      <c r="P271" s="89"/>
      <c r="Q271" s="89"/>
      <c r="R271" s="89"/>
      <c r="S271" s="89"/>
      <c r="T271" s="89"/>
      <c r="U271" s="89"/>
      <c r="V271" s="89"/>
      <c r="W271" s="89"/>
      <c r="X271" s="89"/>
      <c r="Y271" s="89"/>
      <c r="Z271" s="89"/>
      <c r="AA271" s="89"/>
      <c r="AB271" s="89"/>
      <c r="AC271" s="89"/>
      <c r="AD271" s="89"/>
      <c r="AE271" s="89"/>
      <c r="AF271" s="89"/>
      <c r="AG271" s="89"/>
      <c r="AH271" s="89"/>
      <c r="AI271" s="89"/>
      <c r="AJ271" s="89"/>
      <c r="AK271" s="89"/>
      <c r="AL271" s="89"/>
      <c r="AM271" s="89"/>
      <c r="AN271" s="89"/>
      <c r="AO271" s="89"/>
      <c r="AP271" s="89"/>
      <c r="AQ271" s="89"/>
      <c r="AR271" s="89"/>
      <c r="AS271" s="89"/>
      <c r="AT271" s="89"/>
      <c r="AU271" s="89"/>
      <c r="AV271" s="89"/>
      <c r="AW271" s="89"/>
      <c r="AX271" s="89"/>
      <c r="AY271" s="89"/>
      <c r="AZ271" s="89"/>
      <c r="BA271" s="95"/>
    </row>
    <row r="272" spans="1:53" s="87" customFormat="1">
      <c r="A272" s="374" t="str">
        <f t="shared" si="52"/>
        <v/>
      </c>
      <c r="B272" s="319" t="s">
        <v>366</v>
      </c>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c r="AA272" s="89"/>
      <c r="AB272" s="89"/>
      <c r="AC272" s="89"/>
      <c r="AD272" s="89"/>
      <c r="AE272" s="89"/>
      <c r="AF272" s="89"/>
      <c r="AG272" s="89"/>
      <c r="AH272" s="89"/>
      <c r="AI272" s="89"/>
      <c r="AJ272" s="89"/>
      <c r="AK272" s="89"/>
      <c r="AL272" s="89"/>
      <c r="AM272" s="89"/>
      <c r="AN272" s="89"/>
      <c r="AO272" s="89"/>
      <c r="AP272" s="89"/>
      <c r="AQ272" s="89"/>
      <c r="AR272" s="89"/>
      <c r="AS272" s="89"/>
      <c r="AT272" s="89"/>
      <c r="AU272" s="89"/>
      <c r="AV272" s="89"/>
      <c r="AW272" s="89"/>
      <c r="AX272" s="89"/>
      <c r="AY272" s="89"/>
      <c r="AZ272" s="89"/>
      <c r="BA272" s="95"/>
    </row>
    <row r="273" spans="1:53" s="87" customFormat="1">
      <c r="A273" s="374" t="str">
        <f t="shared" si="52"/>
        <v/>
      </c>
      <c r="B273" s="89">
        <v>2</v>
      </c>
      <c r="C273" s="89">
        <v>1</v>
      </c>
      <c r="D273" s="89" t="s">
        <v>210</v>
      </c>
      <c r="E273" s="89" t="s">
        <v>210</v>
      </c>
      <c r="F273" s="89" t="s">
        <v>210</v>
      </c>
      <c r="G273" s="89" t="s">
        <v>210</v>
      </c>
      <c r="H273" s="89">
        <v>2</v>
      </c>
      <c r="I273" s="89">
        <v>-5</v>
      </c>
      <c r="J273" s="89" t="s">
        <v>210</v>
      </c>
      <c r="K273" s="89">
        <v>-4</v>
      </c>
      <c r="L273" s="89"/>
      <c r="M273" s="89"/>
      <c r="N273" s="89"/>
      <c r="O273" s="89"/>
      <c r="P273" s="89"/>
      <c r="Q273" s="89"/>
      <c r="R273" s="89"/>
      <c r="S273" s="89"/>
      <c r="T273" s="89"/>
      <c r="U273" s="89"/>
      <c r="V273" s="89"/>
      <c r="W273" s="89"/>
      <c r="X273" s="89"/>
      <c r="Y273" s="89"/>
      <c r="Z273" s="89"/>
      <c r="AA273" s="89"/>
      <c r="AB273" s="89"/>
      <c r="AC273" s="89"/>
      <c r="AD273" s="89"/>
      <c r="AE273" s="89"/>
      <c r="AF273" s="89"/>
      <c r="AG273" s="89"/>
      <c r="AH273" s="89"/>
      <c r="AI273" s="89"/>
      <c r="AJ273" s="89"/>
      <c r="AK273" s="89"/>
      <c r="AL273" s="89"/>
      <c r="AM273" s="89"/>
      <c r="AN273" s="89"/>
      <c r="AO273" s="89"/>
      <c r="AP273" s="89"/>
      <c r="AQ273" s="89"/>
      <c r="AR273" s="89"/>
      <c r="AS273" s="89"/>
      <c r="AT273" s="89"/>
      <c r="AU273" s="89"/>
      <c r="AV273" s="89"/>
      <c r="AW273" s="89"/>
      <c r="AX273" s="89"/>
      <c r="AY273" s="89"/>
      <c r="AZ273" s="89"/>
      <c r="BA273" s="95"/>
    </row>
    <row r="274" spans="1:53" s="87" customFormat="1">
      <c r="A274" s="374" t="str">
        <f t="shared" si="52"/>
        <v/>
      </c>
      <c r="B274" s="89">
        <v>3</v>
      </c>
      <c r="C274" s="89">
        <v>6</v>
      </c>
      <c r="D274" s="89" t="s">
        <v>210</v>
      </c>
      <c r="E274" s="89">
        <v>-5</v>
      </c>
      <c r="F274" s="89" t="s">
        <v>210</v>
      </c>
      <c r="G274" s="89" t="s">
        <v>210</v>
      </c>
      <c r="H274" s="89">
        <v>-2</v>
      </c>
      <c r="I274" s="89" t="s">
        <v>210</v>
      </c>
      <c r="J274" s="89" t="s">
        <v>210</v>
      </c>
      <c r="K274" s="89">
        <v>3</v>
      </c>
      <c r="L274" s="89"/>
      <c r="M274" s="89"/>
      <c r="N274" s="89"/>
      <c r="O274" s="89"/>
      <c r="P274" s="89"/>
      <c r="Q274" s="89"/>
      <c r="R274" s="89"/>
      <c r="S274" s="89"/>
      <c r="T274" s="89"/>
      <c r="U274" s="89"/>
      <c r="V274" s="89"/>
      <c r="W274" s="89"/>
      <c r="X274" s="89"/>
      <c r="Y274" s="89"/>
      <c r="Z274" s="89"/>
      <c r="AA274" s="89"/>
      <c r="AB274" s="89"/>
      <c r="AC274" s="89"/>
      <c r="AD274" s="89"/>
      <c r="AE274" s="89"/>
      <c r="AF274" s="89"/>
      <c r="AG274" s="89"/>
      <c r="AH274" s="89"/>
      <c r="AI274" s="89"/>
      <c r="AJ274" s="89"/>
      <c r="AK274" s="89"/>
      <c r="AL274" s="89"/>
      <c r="AM274" s="89"/>
      <c r="AN274" s="89"/>
      <c r="AO274" s="89"/>
      <c r="AP274" s="89"/>
      <c r="AQ274" s="89"/>
      <c r="AR274" s="89"/>
      <c r="AS274" s="89"/>
      <c r="AT274" s="89"/>
      <c r="AU274" s="89"/>
      <c r="AV274" s="89"/>
      <c r="AW274" s="89"/>
      <c r="AX274" s="89"/>
      <c r="AY274" s="89"/>
      <c r="AZ274" s="89"/>
      <c r="BA274" s="95"/>
    </row>
    <row r="275" spans="1:53" s="87" customFormat="1">
      <c r="A275" s="374" t="str">
        <f t="shared" si="52"/>
        <v/>
      </c>
      <c r="B275" s="89">
        <v>4</v>
      </c>
      <c r="C275" s="89" t="s">
        <v>210</v>
      </c>
      <c r="D275" s="89" t="s">
        <v>210</v>
      </c>
      <c r="E275" s="89">
        <v>2</v>
      </c>
      <c r="F275" s="89" t="s">
        <v>210</v>
      </c>
      <c r="G275" s="89" t="s">
        <v>210</v>
      </c>
      <c r="H275" s="89">
        <v>-4</v>
      </c>
      <c r="I275" s="89">
        <v>5</v>
      </c>
      <c r="J275" s="89" t="s">
        <v>210</v>
      </c>
      <c r="K275" s="89">
        <v>-3</v>
      </c>
      <c r="L275" s="89"/>
      <c r="M275" s="89"/>
      <c r="N275" s="89"/>
      <c r="O275" s="89"/>
      <c r="P275" s="89"/>
      <c r="Q275" s="89"/>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95"/>
    </row>
    <row r="276" spans="1:53" s="87" customFormat="1">
      <c r="A276" s="374" t="str">
        <f t="shared" si="52"/>
        <v/>
      </c>
      <c r="B276" s="99">
        <v>5</v>
      </c>
      <c r="C276" s="92">
        <v>-1</v>
      </c>
      <c r="D276" s="92" t="s">
        <v>210</v>
      </c>
      <c r="E276" s="92">
        <v>5</v>
      </c>
      <c r="F276" s="92" t="s">
        <v>210</v>
      </c>
      <c r="G276" s="92" t="s">
        <v>210</v>
      </c>
      <c r="H276" s="92">
        <v>4</v>
      </c>
      <c r="I276" s="92">
        <v>-3</v>
      </c>
      <c r="J276" s="92" t="s">
        <v>210</v>
      </c>
      <c r="K276" s="92" t="s">
        <v>210</v>
      </c>
      <c r="L276" s="89"/>
      <c r="M276" s="89"/>
      <c r="N276" s="89"/>
      <c r="O276" s="89"/>
      <c r="P276" s="89"/>
      <c r="Q276" s="89"/>
      <c r="R276" s="89"/>
      <c r="S276" s="89"/>
      <c r="T276" s="89"/>
      <c r="U276" s="89"/>
      <c r="V276" s="89"/>
      <c r="W276" s="89"/>
      <c r="X276" s="89"/>
      <c r="Y276" s="89"/>
      <c r="Z276" s="89"/>
      <c r="AA276" s="89"/>
      <c r="AB276" s="89"/>
      <c r="AC276" s="89"/>
      <c r="AD276" s="89"/>
      <c r="AE276" s="89"/>
      <c r="AF276" s="89"/>
      <c r="AG276" s="89"/>
      <c r="AH276" s="89"/>
      <c r="AI276" s="89"/>
      <c r="AJ276" s="89"/>
      <c r="AK276" s="89"/>
      <c r="AL276" s="89"/>
      <c r="AM276" s="89"/>
      <c r="AN276" s="89"/>
      <c r="AO276" s="89"/>
      <c r="AP276" s="89"/>
      <c r="AQ276" s="89"/>
      <c r="AR276" s="89"/>
      <c r="AS276" s="89"/>
      <c r="AT276" s="89"/>
      <c r="AU276" s="89"/>
      <c r="AV276" s="89"/>
      <c r="AW276" s="89"/>
      <c r="AX276" s="89"/>
      <c r="AY276" s="89"/>
      <c r="AZ276" s="89"/>
      <c r="BA276" s="95"/>
    </row>
    <row r="277" spans="1:53" s="87" customFormat="1">
      <c r="A277" s="374" t="str">
        <f t="shared" si="52"/>
        <v/>
      </c>
      <c r="B277" s="89">
        <v>6</v>
      </c>
      <c r="C277" s="89">
        <v>5</v>
      </c>
      <c r="D277" s="89" t="s">
        <v>210</v>
      </c>
      <c r="E277" s="89" t="s">
        <v>210</v>
      </c>
      <c r="F277" s="89">
        <v>4</v>
      </c>
      <c r="G277" s="89">
        <v>-3</v>
      </c>
      <c r="H277" s="89" t="s">
        <v>210</v>
      </c>
      <c r="I277" s="89" t="s">
        <v>210</v>
      </c>
      <c r="J277" s="89" t="s">
        <v>210</v>
      </c>
      <c r="K277" s="89">
        <v>-1</v>
      </c>
      <c r="L277" s="89"/>
      <c r="M277" s="89"/>
      <c r="N277" s="89"/>
      <c r="O277" s="89"/>
      <c r="P277" s="89"/>
      <c r="Q277" s="89"/>
      <c r="R277" s="89"/>
      <c r="S277" s="89"/>
      <c r="T277" s="89"/>
      <c r="U277" s="89"/>
      <c r="V277" s="89"/>
      <c r="W277" s="89"/>
      <c r="X277" s="89"/>
      <c r="Y277" s="89"/>
      <c r="Z277" s="89"/>
      <c r="AA277" s="89"/>
      <c r="AB277" s="89"/>
      <c r="AC277" s="89"/>
      <c r="AD277" s="89"/>
      <c r="AE277" s="89"/>
      <c r="AF277" s="89"/>
      <c r="AG277" s="89"/>
      <c r="AH277" s="89"/>
      <c r="AI277" s="89"/>
      <c r="AJ277" s="89"/>
      <c r="AK277" s="89"/>
      <c r="AL277" s="89"/>
      <c r="AM277" s="89"/>
      <c r="AN277" s="89"/>
      <c r="AO277" s="89"/>
      <c r="AP277" s="89"/>
      <c r="AQ277" s="89"/>
      <c r="AR277" s="89"/>
      <c r="AS277" s="89"/>
      <c r="AT277" s="89"/>
      <c r="AU277" s="89"/>
      <c r="AV277" s="89"/>
      <c r="AW277" s="89"/>
      <c r="AX277" s="89"/>
      <c r="AY277" s="89"/>
      <c r="AZ277" s="89"/>
      <c r="BA277" s="95"/>
    </row>
    <row r="278" spans="1:53" s="87" customFormat="1">
      <c r="A278" s="374" t="str">
        <f t="shared" si="52"/>
        <v/>
      </c>
      <c r="B278" s="89">
        <v>7</v>
      </c>
      <c r="C278" s="89">
        <v>-2</v>
      </c>
      <c r="D278" s="89" t="s">
        <v>210</v>
      </c>
      <c r="E278" s="89" t="s">
        <v>210</v>
      </c>
      <c r="F278" s="89">
        <v>-5</v>
      </c>
      <c r="G278" s="89">
        <v>6</v>
      </c>
      <c r="H278" s="89" t="s">
        <v>210</v>
      </c>
      <c r="I278" s="89" t="s">
        <v>210</v>
      </c>
      <c r="J278" s="89" t="s">
        <v>210</v>
      </c>
      <c r="K278" s="89">
        <v>1</v>
      </c>
      <c r="L278" s="89"/>
      <c r="M278" s="89"/>
      <c r="N278" s="89"/>
      <c r="O278" s="89"/>
      <c r="P278" s="89"/>
      <c r="Q278" s="89"/>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95"/>
    </row>
    <row r="279" spans="1:53" s="87" customFormat="1">
      <c r="A279" s="374" t="str">
        <f t="shared" si="52"/>
        <v/>
      </c>
      <c r="B279" s="89">
        <v>8</v>
      </c>
      <c r="C279" s="89">
        <v>-4</v>
      </c>
      <c r="D279" s="89" t="s">
        <v>210</v>
      </c>
      <c r="E279" s="89" t="s">
        <v>210</v>
      </c>
      <c r="F279" s="89">
        <v>5</v>
      </c>
      <c r="G279" s="89">
        <v>3</v>
      </c>
      <c r="H279" s="89" t="s">
        <v>210</v>
      </c>
      <c r="I279" s="89" t="s">
        <v>210</v>
      </c>
      <c r="J279" s="89" t="s">
        <v>210</v>
      </c>
      <c r="K279" s="89">
        <v>-2</v>
      </c>
      <c r="L279" s="89"/>
      <c r="M279" s="89"/>
      <c r="N279" s="89"/>
      <c r="O279" s="89"/>
      <c r="P279" s="89"/>
      <c r="Q279" s="89"/>
      <c r="R279" s="89"/>
      <c r="S279" s="89"/>
      <c r="T279" s="89"/>
      <c r="U279" s="89"/>
      <c r="V279" s="89"/>
      <c r="W279" s="89"/>
      <c r="X279" s="89"/>
      <c r="Y279" s="89"/>
      <c r="Z279" s="89"/>
      <c r="AA279" s="89"/>
      <c r="AB279" s="89"/>
      <c r="AC279" s="89"/>
      <c r="AD279" s="89"/>
      <c r="AE279" s="89"/>
      <c r="AF279" s="89"/>
      <c r="AG279" s="89"/>
      <c r="AH279" s="89"/>
      <c r="AI279" s="89"/>
      <c r="AJ279" s="89"/>
      <c r="AK279" s="89"/>
      <c r="AL279" s="89"/>
      <c r="AM279" s="89"/>
      <c r="AN279" s="89"/>
      <c r="AO279" s="89"/>
      <c r="AP279" s="89"/>
      <c r="AQ279" s="89"/>
      <c r="AR279" s="89"/>
      <c r="AS279" s="89"/>
      <c r="AT279" s="89"/>
      <c r="AU279" s="89"/>
      <c r="AV279" s="89"/>
      <c r="AW279" s="89"/>
      <c r="AX279" s="89"/>
      <c r="AY279" s="89"/>
      <c r="AZ279" s="89"/>
      <c r="BA279" s="95"/>
    </row>
    <row r="280" spans="1:53" s="87" customFormat="1">
      <c r="A280" s="374" t="str">
        <f t="shared" si="52"/>
        <v/>
      </c>
      <c r="B280" s="99">
        <v>9</v>
      </c>
      <c r="C280" s="92">
        <v>3</v>
      </c>
      <c r="D280" s="92" t="s">
        <v>210</v>
      </c>
      <c r="E280" s="92" t="s">
        <v>210</v>
      </c>
      <c r="F280" s="92">
        <v>-4</v>
      </c>
      <c r="G280" s="92">
        <v>-6</v>
      </c>
      <c r="H280" s="92" t="s">
        <v>210</v>
      </c>
      <c r="I280" s="92" t="s">
        <v>210</v>
      </c>
      <c r="J280" s="92" t="s">
        <v>210</v>
      </c>
      <c r="K280" s="92">
        <v>2</v>
      </c>
      <c r="L280" s="89"/>
      <c r="M280" s="89"/>
      <c r="N280" s="89"/>
      <c r="O280" s="89"/>
      <c r="P280" s="89"/>
      <c r="Q280" s="89"/>
      <c r="R280" s="89"/>
      <c r="S280" s="89"/>
      <c r="T280" s="89"/>
      <c r="U280" s="89"/>
      <c r="V280" s="89"/>
      <c r="W280" s="89"/>
      <c r="X280" s="89"/>
      <c r="Y280" s="89"/>
      <c r="Z280" s="89"/>
      <c r="AA280" s="89"/>
      <c r="AB280" s="89"/>
      <c r="AC280" s="89"/>
      <c r="AD280" s="89"/>
      <c r="AE280" s="89"/>
      <c r="AF280" s="89"/>
      <c r="AG280" s="89"/>
      <c r="AH280" s="89"/>
      <c r="AI280" s="89"/>
      <c r="AJ280" s="89"/>
      <c r="AK280" s="89"/>
      <c r="AL280" s="89"/>
      <c r="AM280" s="89"/>
      <c r="AN280" s="89"/>
      <c r="AO280" s="89"/>
      <c r="AP280" s="89"/>
      <c r="AQ280" s="89"/>
      <c r="AR280" s="89"/>
      <c r="AS280" s="89"/>
      <c r="AT280" s="89"/>
      <c r="AU280" s="89"/>
      <c r="AV280" s="89"/>
      <c r="AW280" s="89"/>
      <c r="AX280" s="89"/>
      <c r="AY280" s="89"/>
      <c r="AZ280" s="89"/>
      <c r="BA280" s="95"/>
    </row>
    <row r="281" spans="1:53" s="87" customFormat="1">
      <c r="A281" s="374" t="str">
        <f t="shared" si="52"/>
        <v/>
      </c>
      <c r="B281" s="89">
        <v>10</v>
      </c>
      <c r="C281" s="89">
        <v>-5</v>
      </c>
      <c r="D281" s="89" t="s">
        <v>210</v>
      </c>
      <c r="E281" s="89" t="s">
        <v>210</v>
      </c>
      <c r="F281" s="89">
        <v>-2</v>
      </c>
      <c r="G281" s="89">
        <v>1</v>
      </c>
      <c r="H281" s="89" t="s">
        <v>210</v>
      </c>
      <c r="I281" s="89" t="s">
        <v>210</v>
      </c>
      <c r="J281" s="89" t="s">
        <v>210</v>
      </c>
      <c r="K281" s="89">
        <v>6</v>
      </c>
      <c r="L281" s="89"/>
      <c r="M281" s="89"/>
      <c r="N281" s="89"/>
      <c r="O281" s="89"/>
      <c r="P281" s="89"/>
      <c r="Q281" s="89"/>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95"/>
    </row>
    <row r="282" spans="1:53" s="87" customFormat="1">
      <c r="A282" s="374" t="str">
        <f t="shared" si="52"/>
        <v/>
      </c>
      <c r="B282" s="89">
        <v>11</v>
      </c>
      <c r="C282" s="89">
        <v>2</v>
      </c>
      <c r="D282" s="89" t="s">
        <v>210</v>
      </c>
      <c r="E282" s="89" t="s">
        <v>210</v>
      </c>
      <c r="F282" s="89">
        <v>3</v>
      </c>
      <c r="G282" s="89">
        <v>-4</v>
      </c>
      <c r="H282" s="89" t="s">
        <v>210</v>
      </c>
      <c r="I282" s="89" t="s">
        <v>210</v>
      </c>
      <c r="J282" s="89" t="s">
        <v>210</v>
      </c>
      <c r="K282" s="89">
        <v>-6</v>
      </c>
      <c r="L282" s="89"/>
      <c r="M282" s="89"/>
      <c r="N282" s="89"/>
      <c r="O282" s="89"/>
      <c r="P282" s="89"/>
      <c r="Q282" s="89"/>
      <c r="R282" s="89"/>
      <c r="S282" s="89"/>
      <c r="T282" s="89"/>
      <c r="U282" s="89"/>
      <c r="V282" s="89"/>
      <c r="W282" s="89"/>
      <c r="X282" s="89"/>
      <c r="Y282" s="89"/>
      <c r="Z282" s="89"/>
      <c r="AA282" s="89"/>
      <c r="AB282" s="89"/>
      <c r="AC282" s="89"/>
      <c r="AD282" s="89"/>
      <c r="AE282" s="89"/>
      <c r="AF282" s="89"/>
      <c r="AG282" s="89"/>
      <c r="AH282" s="89"/>
      <c r="AI282" s="89"/>
      <c r="AJ282" s="89"/>
      <c r="AK282" s="89"/>
      <c r="AL282" s="89"/>
      <c r="AM282" s="89"/>
      <c r="AN282" s="89"/>
      <c r="AO282" s="89"/>
      <c r="AP282" s="89"/>
      <c r="AQ282" s="89"/>
      <c r="AR282" s="89"/>
      <c r="AS282" s="89"/>
      <c r="AT282" s="89"/>
      <c r="AU282" s="89"/>
      <c r="AV282" s="89"/>
      <c r="AW282" s="89"/>
      <c r="AX282" s="89"/>
      <c r="AY282" s="89"/>
      <c r="AZ282" s="89"/>
      <c r="BA282" s="95"/>
    </row>
    <row r="283" spans="1:53" s="87" customFormat="1">
      <c r="A283" s="374" t="str">
        <f t="shared" si="52"/>
        <v/>
      </c>
      <c r="B283" s="89">
        <v>12</v>
      </c>
      <c r="C283" s="89">
        <v>4</v>
      </c>
      <c r="D283" s="89" t="s">
        <v>210</v>
      </c>
      <c r="E283" s="89" t="s">
        <v>210</v>
      </c>
      <c r="F283" s="89">
        <v>-3</v>
      </c>
      <c r="G283" s="89">
        <v>-1</v>
      </c>
      <c r="H283" s="89" t="s">
        <v>210</v>
      </c>
      <c r="I283" s="89" t="s">
        <v>210</v>
      </c>
      <c r="J283" s="89" t="s">
        <v>210</v>
      </c>
      <c r="K283" s="89">
        <v>5</v>
      </c>
      <c r="L283" s="89"/>
      <c r="M283" s="89"/>
      <c r="N283" s="89"/>
      <c r="O283" s="89"/>
      <c r="P283" s="89"/>
      <c r="Q283" s="89"/>
      <c r="R283" s="89"/>
      <c r="S283" s="89"/>
      <c r="T283" s="89"/>
      <c r="U283" s="89"/>
      <c r="V283" s="89"/>
      <c r="W283" s="89"/>
      <c r="X283" s="89"/>
      <c r="Y283" s="89"/>
      <c r="Z283" s="89"/>
      <c r="AA283" s="89"/>
      <c r="AB283" s="89"/>
      <c r="AC283" s="89"/>
      <c r="AD283" s="89"/>
      <c r="AE283" s="89"/>
      <c r="AF283" s="89"/>
      <c r="AG283" s="89"/>
      <c r="AH283" s="89"/>
      <c r="AI283" s="89"/>
      <c r="AJ283" s="89"/>
      <c r="AK283" s="89"/>
      <c r="AL283" s="89"/>
      <c r="AM283" s="89"/>
      <c r="AN283" s="89"/>
      <c r="AO283" s="89"/>
      <c r="AP283" s="89"/>
      <c r="AQ283" s="89"/>
      <c r="AR283" s="89"/>
      <c r="AS283" s="89"/>
      <c r="AT283" s="89"/>
      <c r="AU283" s="89"/>
      <c r="AV283" s="89"/>
      <c r="AW283" s="89"/>
      <c r="AX283" s="89"/>
      <c r="AY283" s="89"/>
      <c r="AZ283" s="89"/>
      <c r="BA283" s="95"/>
    </row>
    <row r="284" spans="1:53" s="87" customFormat="1">
      <c r="A284" s="374" t="str">
        <f t="shared" si="52"/>
        <v/>
      </c>
      <c r="B284" s="99">
        <v>13</v>
      </c>
      <c r="C284" s="92">
        <v>-3</v>
      </c>
      <c r="D284" s="92" t="s">
        <v>210</v>
      </c>
      <c r="E284" s="92" t="s">
        <v>210</v>
      </c>
      <c r="F284" s="92">
        <v>2</v>
      </c>
      <c r="G284" s="92">
        <v>4</v>
      </c>
      <c r="H284" s="92" t="s">
        <v>210</v>
      </c>
      <c r="I284" s="92" t="s">
        <v>210</v>
      </c>
      <c r="J284" s="92" t="s">
        <v>210</v>
      </c>
      <c r="K284" s="92">
        <v>-5</v>
      </c>
      <c r="L284" s="89"/>
      <c r="M284" s="89"/>
      <c r="N284" s="89"/>
      <c r="O284" s="89"/>
      <c r="P284" s="89"/>
      <c r="Q284" s="89"/>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95"/>
    </row>
    <row r="285" spans="1:53" s="87" customFormat="1">
      <c r="A285" s="374" t="str">
        <f t="shared" si="52"/>
        <v/>
      </c>
      <c r="B285" s="89">
        <v>14</v>
      </c>
      <c r="C285" s="89" t="s">
        <v>210</v>
      </c>
      <c r="D285" s="89">
        <v>-5</v>
      </c>
      <c r="E285" s="89">
        <v>-6</v>
      </c>
      <c r="F285" s="89" t="s">
        <v>210</v>
      </c>
      <c r="G285" s="89">
        <v>2</v>
      </c>
      <c r="H285" s="89" t="s">
        <v>210</v>
      </c>
      <c r="I285" s="89">
        <v>4</v>
      </c>
      <c r="J285" s="89" t="s">
        <v>210</v>
      </c>
      <c r="K285" s="89" t="s">
        <v>210</v>
      </c>
      <c r="L285" s="89"/>
      <c r="M285" s="89"/>
      <c r="N285" s="89"/>
      <c r="O285" s="89"/>
      <c r="P285" s="89"/>
      <c r="Q285" s="89"/>
      <c r="R285" s="89"/>
      <c r="S285" s="89"/>
      <c r="T285" s="89"/>
      <c r="U285" s="89"/>
      <c r="V285" s="89"/>
      <c r="W285" s="89"/>
      <c r="X285" s="89"/>
      <c r="Y285" s="89"/>
      <c r="Z285" s="89"/>
      <c r="AA285" s="89"/>
      <c r="AB285" s="89"/>
      <c r="AC285" s="89"/>
      <c r="AD285" s="89"/>
      <c r="AE285" s="89"/>
      <c r="AF285" s="89"/>
      <c r="AG285" s="89"/>
      <c r="AH285" s="89"/>
      <c r="AI285" s="89"/>
      <c r="AJ285" s="89"/>
      <c r="AK285" s="89"/>
      <c r="AL285" s="89"/>
      <c r="AM285" s="89"/>
      <c r="AN285" s="89"/>
      <c r="AO285" s="89"/>
      <c r="AP285" s="89"/>
      <c r="AQ285" s="89"/>
      <c r="AR285" s="89"/>
      <c r="AS285" s="89"/>
      <c r="AT285" s="89"/>
      <c r="AU285" s="89"/>
      <c r="AV285" s="89"/>
      <c r="AW285" s="89"/>
      <c r="AX285" s="89"/>
      <c r="AY285" s="89"/>
      <c r="AZ285" s="89"/>
      <c r="BA285" s="95"/>
    </row>
    <row r="286" spans="1:53" s="87" customFormat="1">
      <c r="A286" s="374" t="str">
        <f t="shared" si="52"/>
        <v/>
      </c>
      <c r="B286" s="89">
        <v>15</v>
      </c>
      <c r="C286" s="89" t="s">
        <v>210</v>
      </c>
      <c r="D286" s="89">
        <v>2</v>
      </c>
      <c r="E286" s="89">
        <v>3</v>
      </c>
      <c r="F286" s="89" t="s">
        <v>210</v>
      </c>
      <c r="G286" s="89">
        <v>-5</v>
      </c>
      <c r="H286" s="89" t="s">
        <v>210</v>
      </c>
      <c r="I286" s="89">
        <v>-4</v>
      </c>
      <c r="J286" s="89" t="s">
        <v>210</v>
      </c>
      <c r="K286" s="89" t="s">
        <v>210</v>
      </c>
      <c r="L286" s="89"/>
      <c r="M286" s="89"/>
      <c r="N286" s="89"/>
      <c r="O286" s="89"/>
      <c r="P286" s="89"/>
      <c r="Q286" s="89"/>
      <c r="R286" s="89"/>
      <c r="S286" s="89"/>
      <c r="T286" s="89"/>
      <c r="U286" s="89"/>
      <c r="V286" s="89"/>
      <c r="W286" s="89"/>
      <c r="X286" s="89"/>
      <c r="Y286" s="89"/>
      <c r="Z286" s="89"/>
      <c r="AA286" s="89"/>
      <c r="AB286" s="89"/>
      <c r="AC286" s="89"/>
      <c r="AD286" s="89"/>
      <c r="AE286" s="89"/>
      <c r="AF286" s="89"/>
      <c r="AG286" s="89"/>
      <c r="AH286" s="89"/>
      <c r="AI286" s="89"/>
      <c r="AJ286" s="89"/>
      <c r="AK286" s="89"/>
      <c r="AL286" s="89"/>
      <c r="AM286" s="89"/>
      <c r="AN286" s="89"/>
      <c r="AO286" s="89"/>
      <c r="AP286" s="89"/>
      <c r="AQ286" s="89"/>
      <c r="AR286" s="89"/>
      <c r="AS286" s="89"/>
      <c r="AT286" s="89"/>
      <c r="AU286" s="89"/>
      <c r="AV286" s="89"/>
      <c r="AW286" s="89"/>
      <c r="AX286" s="89"/>
      <c r="AY286" s="89"/>
      <c r="AZ286" s="89"/>
      <c r="BA286" s="95"/>
    </row>
    <row r="287" spans="1:53" s="87" customFormat="1">
      <c r="A287" s="374" t="str">
        <f t="shared" si="52"/>
        <v/>
      </c>
      <c r="B287" s="89">
        <v>16</v>
      </c>
      <c r="C287" s="89" t="s">
        <v>210</v>
      </c>
      <c r="D287" s="89">
        <v>4</v>
      </c>
      <c r="E287" s="89">
        <v>-3</v>
      </c>
      <c r="F287" s="89" t="s">
        <v>210</v>
      </c>
      <c r="G287" s="89">
        <v>-2</v>
      </c>
      <c r="H287" s="89" t="s">
        <v>210</v>
      </c>
      <c r="I287" s="89">
        <v>1</v>
      </c>
      <c r="J287" s="89" t="s">
        <v>210</v>
      </c>
      <c r="K287" s="89" t="s">
        <v>210</v>
      </c>
      <c r="L287" s="89"/>
      <c r="M287" s="89"/>
      <c r="N287" s="89"/>
      <c r="O287" s="89"/>
      <c r="P287" s="89"/>
      <c r="Q287" s="89"/>
      <c r="R287" s="89"/>
      <c r="S287" s="89"/>
      <c r="T287" s="89"/>
      <c r="U287" s="89"/>
      <c r="V287" s="89"/>
      <c r="W287" s="89"/>
      <c r="X287" s="89"/>
      <c r="Y287" s="89"/>
      <c r="Z287" s="89"/>
      <c r="AA287" s="89"/>
      <c r="AB287" s="89"/>
      <c r="AC287" s="89"/>
      <c r="AD287" s="89"/>
      <c r="AE287" s="89"/>
      <c r="AF287" s="89"/>
      <c r="AG287" s="89"/>
      <c r="AH287" s="89"/>
      <c r="AI287" s="89"/>
      <c r="AJ287" s="89"/>
      <c r="AK287" s="89"/>
      <c r="AL287" s="89"/>
      <c r="AM287" s="89"/>
      <c r="AN287" s="89"/>
      <c r="AO287" s="89"/>
      <c r="AP287" s="89"/>
      <c r="AQ287" s="89"/>
      <c r="AR287" s="89"/>
      <c r="AS287" s="89"/>
      <c r="AT287" s="89"/>
      <c r="AU287" s="89"/>
      <c r="AV287" s="89"/>
      <c r="AW287" s="89"/>
      <c r="AX287" s="89"/>
      <c r="AY287" s="89"/>
      <c r="AZ287" s="89"/>
      <c r="BA287" s="95"/>
    </row>
    <row r="288" spans="1:53" s="87" customFormat="1">
      <c r="A288" s="374" t="str">
        <f t="shared" si="52"/>
        <v/>
      </c>
      <c r="B288" s="99">
        <v>17</v>
      </c>
      <c r="C288" s="92" t="s">
        <v>210</v>
      </c>
      <c r="D288" s="92">
        <v>-3</v>
      </c>
      <c r="E288" s="92">
        <v>6</v>
      </c>
      <c r="F288" s="92" t="s">
        <v>210</v>
      </c>
      <c r="G288" s="92">
        <v>5</v>
      </c>
      <c r="H288" s="92" t="s">
        <v>210</v>
      </c>
      <c r="I288" s="92">
        <v>-1</v>
      </c>
      <c r="J288" s="92" t="s">
        <v>210</v>
      </c>
      <c r="K288" s="92" t="s">
        <v>210</v>
      </c>
      <c r="L288" s="89"/>
      <c r="M288" s="89"/>
      <c r="N288" s="89"/>
      <c r="O288" s="89"/>
      <c r="P288" s="89"/>
      <c r="Q288" s="89"/>
      <c r="R288" s="89"/>
      <c r="S288" s="89"/>
      <c r="T288" s="89"/>
      <c r="U288" s="89"/>
      <c r="V288" s="89"/>
      <c r="W288" s="89"/>
      <c r="X288" s="89"/>
      <c r="Y288" s="89"/>
      <c r="Z288" s="89"/>
      <c r="AA288" s="89"/>
      <c r="AB288" s="89"/>
      <c r="AC288" s="89"/>
      <c r="AD288" s="89"/>
      <c r="AE288" s="89"/>
      <c r="AF288" s="89"/>
      <c r="AG288" s="89"/>
      <c r="AH288" s="89"/>
      <c r="AI288" s="89"/>
      <c r="AJ288" s="89"/>
      <c r="AK288" s="89"/>
      <c r="AL288" s="89"/>
      <c r="AM288" s="89"/>
      <c r="AN288" s="89"/>
      <c r="AO288" s="89"/>
      <c r="AP288" s="89"/>
      <c r="AQ288" s="89"/>
      <c r="AR288" s="89"/>
      <c r="AS288" s="89"/>
      <c r="AT288" s="89"/>
      <c r="AU288" s="89"/>
      <c r="AV288" s="89"/>
      <c r="AW288" s="89"/>
      <c r="AX288" s="89"/>
      <c r="AY288" s="89"/>
      <c r="AZ288" s="89"/>
      <c r="BA288" s="95"/>
    </row>
    <row r="289" spans="1:53" s="87" customFormat="1">
      <c r="A289" s="374" t="str">
        <f t="shared" si="52"/>
        <v/>
      </c>
      <c r="B289" s="89">
        <v>18</v>
      </c>
      <c r="C289" s="89" t="s">
        <v>210</v>
      </c>
      <c r="D289" s="89">
        <v>5</v>
      </c>
      <c r="E289" s="89">
        <v>4</v>
      </c>
      <c r="F289" s="89" t="s">
        <v>210</v>
      </c>
      <c r="G289" s="89" t="s">
        <v>210</v>
      </c>
      <c r="H289" s="89">
        <v>-3</v>
      </c>
      <c r="I289" s="89">
        <v>-6</v>
      </c>
      <c r="J289" s="89" t="s">
        <v>210</v>
      </c>
      <c r="K289" s="89" t="s">
        <v>210</v>
      </c>
      <c r="L289" s="89"/>
      <c r="M289" s="89"/>
      <c r="N289" s="89"/>
      <c r="O289" s="89"/>
      <c r="P289" s="89"/>
      <c r="Q289" s="89"/>
      <c r="R289" s="89"/>
      <c r="S289" s="89"/>
      <c r="T289" s="89"/>
      <c r="U289" s="89"/>
      <c r="V289" s="89"/>
      <c r="W289" s="89"/>
      <c r="X289" s="89"/>
      <c r="Y289" s="89"/>
      <c r="Z289" s="89"/>
      <c r="AA289" s="89"/>
      <c r="AB289" s="89"/>
      <c r="AC289" s="89"/>
      <c r="AD289" s="89"/>
      <c r="AE289" s="89"/>
      <c r="AF289" s="89"/>
      <c r="AG289" s="89"/>
      <c r="AH289" s="89"/>
      <c r="AI289" s="89"/>
      <c r="AJ289" s="89"/>
      <c r="AK289" s="89"/>
      <c r="AL289" s="89"/>
      <c r="AM289" s="89"/>
      <c r="AN289" s="89"/>
      <c r="AO289" s="89"/>
      <c r="AP289" s="89"/>
      <c r="AQ289" s="89"/>
      <c r="AR289" s="89"/>
      <c r="AS289" s="89"/>
      <c r="AT289" s="89"/>
      <c r="AU289" s="89"/>
      <c r="AV289" s="89"/>
      <c r="AW289" s="89"/>
      <c r="AX289" s="89"/>
      <c r="AY289" s="89"/>
      <c r="AZ289" s="89"/>
      <c r="BA289" s="95"/>
    </row>
    <row r="290" spans="1:53" s="87" customFormat="1">
      <c r="A290" s="374" t="str">
        <f t="shared" si="52"/>
        <v/>
      </c>
      <c r="B290" s="89">
        <v>19</v>
      </c>
      <c r="C290" s="89" t="s">
        <v>210</v>
      </c>
      <c r="D290" s="89">
        <v>-2</v>
      </c>
      <c r="E290" s="89">
        <v>-1</v>
      </c>
      <c r="F290" s="89" t="s">
        <v>210</v>
      </c>
      <c r="G290" s="89" t="s">
        <v>210</v>
      </c>
      <c r="H290" s="89">
        <v>5</v>
      </c>
      <c r="I290" s="89">
        <v>6</v>
      </c>
      <c r="J290" s="89" t="s">
        <v>210</v>
      </c>
      <c r="K290" s="89" t="s">
        <v>210</v>
      </c>
      <c r="L290" s="89"/>
      <c r="M290" s="89"/>
      <c r="N290" s="89"/>
      <c r="O290" s="89"/>
      <c r="P290" s="89"/>
      <c r="Q290" s="89"/>
      <c r="R290" s="89"/>
      <c r="S290" s="89"/>
      <c r="T290" s="89"/>
      <c r="U290" s="89"/>
      <c r="V290" s="89"/>
      <c r="W290" s="89"/>
      <c r="X290" s="89"/>
      <c r="Y290" s="89"/>
      <c r="Z290" s="89"/>
      <c r="AA290" s="89"/>
      <c r="AB290" s="89"/>
      <c r="AC290" s="89"/>
      <c r="AD290" s="89"/>
      <c r="AE290" s="89"/>
      <c r="AF290" s="89"/>
      <c r="AG290" s="89"/>
      <c r="AH290" s="89"/>
      <c r="AI290" s="89"/>
      <c r="AJ290" s="89"/>
      <c r="AK290" s="89"/>
      <c r="AL290" s="89"/>
      <c r="AM290" s="89"/>
      <c r="AN290" s="89"/>
      <c r="AO290" s="89"/>
      <c r="AP290" s="89"/>
      <c r="AQ290" s="89"/>
      <c r="AR290" s="89"/>
      <c r="AS290" s="89"/>
      <c r="AT290" s="89"/>
      <c r="AU290" s="89"/>
      <c r="AV290" s="89"/>
      <c r="AW290" s="89"/>
      <c r="AX290" s="89"/>
      <c r="AY290" s="89"/>
      <c r="AZ290" s="89"/>
      <c r="BA290" s="95"/>
    </row>
    <row r="291" spans="1:53" s="87" customFormat="1">
      <c r="A291" s="374" t="str">
        <f t="shared" si="52"/>
        <v/>
      </c>
      <c r="B291" s="89">
        <v>20</v>
      </c>
      <c r="C291" s="89" t="s">
        <v>210</v>
      </c>
      <c r="D291" s="89">
        <v>-4</v>
      </c>
      <c r="E291" s="89">
        <v>1</v>
      </c>
      <c r="F291" s="89" t="s">
        <v>210</v>
      </c>
      <c r="G291" s="89" t="s">
        <v>210</v>
      </c>
      <c r="H291" s="89">
        <v>3</v>
      </c>
      <c r="I291" s="89">
        <v>-2</v>
      </c>
      <c r="J291" s="89" t="s">
        <v>210</v>
      </c>
      <c r="K291" s="89" t="s">
        <v>210</v>
      </c>
      <c r="L291" s="89"/>
      <c r="M291" s="89"/>
      <c r="N291" s="89"/>
      <c r="O291" s="89"/>
      <c r="P291" s="89"/>
      <c r="Q291" s="89"/>
      <c r="R291" s="89"/>
      <c r="S291" s="89"/>
      <c r="T291" s="89"/>
      <c r="U291" s="89"/>
      <c r="V291" s="89"/>
      <c r="W291" s="89"/>
      <c r="X291" s="89"/>
      <c r="Y291" s="89"/>
      <c r="Z291" s="89"/>
      <c r="AA291" s="89"/>
      <c r="AB291" s="89"/>
      <c r="AC291" s="89"/>
      <c r="AD291" s="89"/>
      <c r="AE291" s="89"/>
      <c r="AF291" s="89"/>
      <c r="AG291" s="89"/>
      <c r="AH291" s="89"/>
      <c r="AI291" s="89"/>
      <c r="AJ291" s="89"/>
      <c r="AK291" s="89"/>
      <c r="AL291" s="89"/>
      <c r="AM291" s="89"/>
      <c r="AN291" s="89"/>
      <c r="AO291" s="89"/>
      <c r="AP291" s="89"/>
      <c r="AQ291" s="89"/>
      <c r="AR291" s="89"/>
      <c r="AS291" s="89"/>
      <c r="AT291" s="89"/>
      <c r="AU291" s="89"/>
      <c r="AV291" s="89"/>
      <c r="AW291" s="89"/>
      <c r="AX291" s="89"/>
      <c r="AY291" s="89"/>
      <c r="AZ291" s="89"/>
      <c r="BA291" s="95"/>
    </row>
    <row r="292" spans="1:53" s="87" customFormat="1">
      <c r="A292" s="374" t="str">
        <f t="shared" si="52"/>
        <v/>
      </c>
      <c r="B292" s="89">
        <v>21</v>
      </c>
      <c r="C292" s="89" t="s">
        <v>210</v>
      </c>
      <c r="D292" s="89">
        <v>3</v>
      </c>
      <c r="E292" s="89">
        <v>-4</v>
      </c>
      <c r="F292" s="89" t="s">
        <v>210</v>
      </c>
      <c r="G292" s="89" t="s">
        <v>210</v>
      </c>
      <c r="H292" s="89">
        <v>-5</v>
      </c>
      <c r="I292" s="89">
        <v>2</v>
      </c>
      <c r="J292" s="89" t="s">
        <v>210</v>
      </c>
      <c r="K292" s="89" t="s">
        <v>210</v>
      </c>
      <c r="L292" s="89"/>
      <c r="M292" s="89"/>
      <c r="N292" s="89"/>
      <c r="O292" s="89"/>
      <c r="P292" s="89"/>
      <c r="Q292" s="89"/>
      <c r="R292" s="89"/>
      <c r="S292" s="89"/>
      <c r="T292" s="89"/>
      <c r="U292" s="89"/>
      <c r="V292" s="89"/>
      <c r="W292" s="89"/>
      <c r="X292" s="89"/>
      <c r="Y292" s="89"/>
      <c r="Z292" s="89"/>
      <c r="AA292" s="89"/>
      <c r="AB292" s="89"/>
      <c r="AC292" s="89"/>
      <c r="AD292" s="89"/>
      <c r="AE292" s="89"/>
      <c r="AF292" s="89"/>
      <c r="AG292" s="89"/>
      <c r="AH292" s="89"/>
      <c r="AI292" s="89"/>
      <c r="AJ292" s="89"/>
      <c r="AK292" s="89"/>
      <c r="AL292" s="89"/>
      <c r="AM292" s="89"/>
      <c r="AN292" s="89"/>
      <c r="AO292" s="89"/>
      <c r="AP292" s="89"/>
      <c r="AQ292" s="89"/>
      <c r="AR292" s="89"/>
      <c r="AS292" s="89"/>
      <c r="AT292" s="89"/>
      <c r="AU292" s="89"/>
      <c r="AV292" s="89"/>
      <c r="AW292" s="89"/>
      <c r="AX292" s="89"/>
      <c r="AY292" s="89"/>
      <c r="AZ292" s="89"/>
      <c r="BA292" s="95"/>
    </row>
    <row r="293" spans="1:53" s="87" customFormat="1">
      <c r="A293" s="374" t="str">
        <f t="shared" si="52"/>
        <v/>
      </c>
      <c r="B293" s="319" t="s">
        <v>1011</v>
      </c>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c r="AA293" s="89"/>
      <c r="AB293" s="89"/>
      <c r="AC293" s="89"/>
      <c r="AD293" s="89"/>
      <c r="AE293" s="89"/>
      <c r="AF293" s="89"/>
      <c r="AG293" s="89"/>
      <c r="AH293" s="89"/>
      <c r="AI293" s="89"/>
      <c r="AJ293" s="89"/>
      <c r="AK293" s="89"/>
      <c r="AL293" s="89"/>
      <c r="AM293" s="89"/>
      <c r="AN293" s="89"/>
      <c r="AO293" s="89"/>
      <c r="AP293" s="89"/>
      <c r="AQ293" s="89"/>
      <c r="AR293" s="89"/>
      <c r="AS293" s="89"/>
      <c r="AT293" s="89"/>
      <c r="AU293" s="89"/>
      <c r="AV293" s="89"/>
      <c r="AW293" s="89"/>
      <c r="AX293" s="89"/>
      <c r="AY293" s="89"/>
      <c r="AZ293" s="89"/>
      <c r="BA293" s="95"/>
    </row>
    <row r="294" spans="1:53" s="87" customFormat="1">
      <c r="A294" s="374">
        <f t="shared" si="52"/>
        <v>294</v>
      </c>
      <c r="B294" s="89" t="s">
        <v>360</v>
      </c>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c r="AA294" s="89"/>
      <c r="AB294" s="89"/>
      <c r="AC294" s="89"/>
      <c r="AD294" s="89"/>
      <c r="AE294" s="89"/>
      <c r="AF294" s="89"/>
      <c r="AG294" s="89"/>
      <c r="AH294" s="89"/>
      <c r="AI294" s="89"/>
      <c r="AJ294" s="89"/>
      <c r="AK294" s="89"/>
      <c r="AL294" s="89"/>
      <c r="AM294" s="89"/>
      <c r="AN294" s="89"/>
      <c r="AO294" s="89"/>
      <c r="AP294" s="89"/>
      <c r="AQ294" s="89"/>
      <c r="AR294" s="89"/>
      <c r="AS294" s="89"/>
      <c r="AT294" s="89"/>
      <c r="AU294" s="89"/>
      <c r="AV294" s="89"/>
      <c r="AW294" s="89"/>
      <c r="AX294" s="89"/>
      <c r="AY294" s="89"/>
      <c r="AZ294" s="89"/>
      <c r="BA294" s="95"/>
    </row>
    <row r="295" spans="1:53" s="87" customFormat="1">
      <c r="A295" s="374" t="str">
        <f t="shared" si="52"/>
        <v/>
      </c>
      <c r="B295" s="89">
        <v>1</v>
      </c>
      <c r="C295" s="89">
        <v>1</v>
      </c>
      <c r="D295" s="89" t="s">
        <v>210</v>
      </c>
      <c r="E295" s="89">
        <v>-3</v>
      </c>
      <c r="F295" s="89" t="s">
        <v>210</v>
      </c>
      <c r="G295" s="89" t="s">
        <v>210</v>
      </c>
      <c r="H295" s="89">
        <v>6</v>
      </c>
      <c r="I295" s="89">
        <v>-5</v>
      </c>
      <c r="J295" s="89" t="s">
        <v>210</v>
      </c>
      <c r="K295" s="89" t="s">
        <v>210</v>
      </c>
      <c r="L295" s="89">
        <v>-2</v>
      </c>
      <c r="M295" s="89">
        <v>4</v>
      </c>
      <c r="N295" s="89" t="s">
        <v>210</v>
      </c>
      <c r="O295" s="89" t="s">
        <v>210</v>
      </c>
      <c r="P295" s="89">
        <v>-6</v>
      </c>
      <c r="Q295" s="89">
        <v>3</v>
      </c>
      <c r="R295" s="89" t="s">
        <v>210</v>
      </c>
      <c r="S295" s="89" t="s">
        <v>210</v>
      </c>
      <c r="T295" s="89">
        <v>-4</v>
      </c>
      <c r="U295" s="89">
        <v>2</v>
      </c>
      <c r="V295" s="89" t="s">
        <v>210</v>
      </c>
      <c r="W295" s="89"/>
      <c r="X295" s="89"/>
      <c r="Y295" s="89"/>
      <c r="Z295" s="89"/>
      <c r="AA295" s="89"/>
      <c r="AB295" s="89"/>
      <c r="AC295" s="89"/>
      <c r="AD295" s="89"/>
      <c r="AE295" s="89"/>
      <c r="AF295" s="89"/>
      <c r="AG295" s="89"/>
      <c r="AH295" s="89"/>
      <c r="AI295" s="89"/>
      <c r="AJ295" s="89"/>
      <c r="AK295" s="89"/>
      <c r="AL295" s="89"/>
      <c r="AM295" s="89"/>
      <c r="AN295" s="89"/>
      <c r="AO295" s="89"/>
      <c r="AP295" s="89"/>
      <c r="AQ295" s="89"/>
      <c r="AR295" s="89"/>
      <c r="AS295" s="89"/>
      <c r="AT295" s="89"/>
      <c r="AU295" s="89"/>
      <c r="AV295" s="89"/>
      <c r="AW295" s="89"/>
      <c r="AX295" s="89"/>
      <c r="AY295" s="89"/>
      <c r="AZ295" s="89"/>
      <c r="BA295" s="95"/>
    </row>
    <row r="296" spans="1:53" s="87" customFormat="1">
      <c r="A296" s="374" t="str">
        <f t="shared" si="52"/>
        <v/>
      </c>
      <c r="B296" s="89">
        <v>2</v>
      </c>
      <c r="C296" s="89">
        <v>2</v>
      </c>
      <c r="D296" s="89" t="s">
        <v>210</v>
      </c>
      <c r="E296" s="89" t="s">
        <v>210</v>
      </c>
      <c r="F296" s="89">
        <v>6</v>
      </c>
      <c r="G296" s="89">
        <v>1</v>
      </c>
      <c r="H296" s="89" t="s">
        <v>210</v>
      </c>
      <c r="I296" s="89">
        <v>-4</v>
      </c>
      <c r="J296" s="89" t="s">
        <v>210</v>
      </c>
      <c r="K296" s="89" t="s">
        <v>210</v>
      </c>
      <c r="L296" s="89">
        <v>-3</v>
      </c>
      <c r="M296" s="89">
        <v>5</v>
      </c>
      <c r="N296" s="89" t="s">
        <v>210</v>
      </c>
      <c r="O296" s="89" t="s">
        <v>210</v>
      </c>
      <c r="P296" s="89">
        <v>-2</v>
      </c>
      <c r="Q296" s="89">
        <v>4</v>
      </c>
      <c r="R296" s="89" t="s">
        <v>210</v>
      </c>
      <c r="S296" s="89" t="s">
        <v>210</v>
      </c>
      <c r="T296" s="89">
        <v>-5</v>
      </c>
      <c r="U296" s="89">
        <v>-6</v>
      </c>
      <c r="V296" s="89" t="s">
        <v>210</v>
      </c>
      <c r="W296" s="89"/>
      <c r="X296" s="89"/>
      <c r="Y296" s="89"/>
      <c r="Z296" s="89"/>
      <c r="AA296" s="89"/>
      <c r="AB296" s="89"/>
      <c r="AC296" s="89"/>
      <c r="AD296" s="89"/>
      <c r="AE296" s="89"/>
      <c r="AF296" s="89"/>
      <c r="AG296" s="89"/>
      <c r="AH296" s="89"/>
      <c r="AI296" s="89"/>
      <c r="AJ296" s="89"/>
      <c r="AK296" s="89"/>
      <c r="AL296" s="89"/>
      <c r="AM296" s="89"/>
      <c r="AN296" s="89"/>
      <c r="AO296" s="89"/>
      <c r="AP296" s="89"/>
      <c r="AQ296" s="89"/>
      <c r="AR296" s="89"/>
      <c r="AS296" s="89"/>
      <c r="AT296" s="89"/>
      <c r="AU296" s="89"/>
      <c r="AV296" s="89"/>
      <c r="AW296" s="89"/>
      <c r="AX296" s="89"/>
      <c r="AY296" s="89"/>
      <c r="AZ296" s="89"/>
      <c r="BA296" s="95"/>
    </row>
    <row r="297" spans="1:53" s="87" customFormat="1">
      <c r="A297" s="374" t="str">
        <f t="shared" si="52"/>
        <v/>
      </c>
      <c r="B297" s="89">
        <v>3</v>
      </c>
      <c r="C297" s="89">
        <v>-6</v>
      </c>
      <c r="D297" s="89" t="s">
        <v>210</v>
      </c>
      <c r="E297" s="89" t="s">
        <v>210</v>
      </c>
      <c r="F297" s="89">
        <v>-3</v>
      </c>
      <c r="G297" s="89">
        <v>-4</v>
      </c>
      <c r="H297" s="89" t="s">
        <v>210</v>
      </c>
      <c r="I297" s="89" t="s">
        <v>210</v>
      </c>
      <c r="J297" s="89">
        <v>-5</v>
      </c>
      <c r="K297" s="89">
        <v>2</v>
      </c>
      <c r="L297" s="89" t="s">
        <v>210</v>
      </c>
      <c r="M297" s="89">
        <v>6</v>
      </c>
      <c r="N297" s="89" t="s">
        <v>210</v>
      </c>
      <c r="O297" s="89" t="s">
        <v>210</v>
      </c>
      <c r="P297" s="89">
        <v>3</v>
      </c>
      <c r="Q297" s="89">
        <v>5</v>
      </c>
      <c r="R297" s="89" t="s">
        <v>210</v>
      </c>
      <c r="S297" s="89" t="s">
        <v>210</v>
      </c>
      <c r="T297" s="89">
        <v>-2</v>
      </c>
      <c r="U297" s="89">
        <v>1</v>
      </c>
      <c r="V297" s="89" t="s">
        <v>210</v>
      </c>
      <c r="W297" s="89"/>
      <c r="X297" s="89"/>
      <c r="Y297" s="89"/>
      <c r="Z297" s="89"/>
      <c r="AA297" s="89"/>
      <c r="AB297" s="89"/>
      <c r="AC297" s="89"/>
      <c r="AD297" s="89"/>
      <c r="AE297" s="89"/>
      <c r="AF297" s="89"/>
      <c r="AG297" s="89"/>
      <c r="AH297" s="89"/>
      <c r="AI297" s="89"/>
      <c r="AJ297" s="89"/>
      <c r="AK297" s="89"/>
      <c r="AL297" s="89"/>
      <c r="AM297" s="89"/>
      <c r="AN297" s="89"/>
      <c r="AO297" s="89"/>
      <c r="AP297" s="89"/>
      <c r="AQ297" s="89"/>
      <c r="AR297" s="89"/>
      <c r="AS297" s="89"/>
      <c r="AT297" s="89"/>
      <c r="AU297" s="89"/>
      <c r="AV297" s="89"/>
      <c r="AW297" s="89"/>
      <c r="AX297" s="89"/>
      <c r="AY297" s="89"/>
      <c r="AZ297" s="89"/>
      <c r="BA297" s="95"/>
    </row>
    <row r="298" spans="1:53" s="87" customFormat="1">
      <c r="A298" s="374" t="str">
        <f t="shared" si="52"/>
        <v/>
      </c>
      <c r="B298" s="89">
        <v>4</v>
      </c>
      <c r="C298" s="89">
        <v>3</v>
      </c>
      <c r="D298" s="89" t="s">
        <v>210</v>
      </c>
      <c r="E298" s="89" t="s">
        <v>210</v>
      </c>
      <c r="F298" s="89">
        <v>4</v>
      </c>
      <c r="G298" s="89">
        <v>-5</v>
      </c>
      <c r="H298" s="89" t="s">
        <v>210</v>
      </c>
      <c r="I298" s="89" t="s">
        <v>210</v>
      </c>
      <c r="J298" s="89">
        <v>2</v>
      </c>
      <c r="K298" s="89">
        <v>6</v>
      </c>
      <c r="L298" s="89" t="s">
        <v>210</v>
      </c>
      <c r="M298" s="89" t="s">
        <v>210</v>
      </c>
      <c r="N298" s="89">
        <v>-3</v>
      </c>
      <c r="O298" s="89">
        <v>-4</v>
      </c>
      <c r="P298" s="89" t="s">
        <v>210</v>
      </c>
      <c r="Q298" s="89">
        <v>-1</v>
      </c>
      <c r="R298" s="89" t="s">
        <v>210</v>
      </c>
      <c r="S298" s="89" t="s">
        <v>210</v>
      </c>
      <c r="T298" s="89">
        <v>-6</v>
      </c>
      <c r="U298" s="89">
        <v>5</v>
      </c>
      <c r="V298" s="89" t="s">
        <v>210</v>
      </c>
      <c r="W298" s="89"/>
      <c r="X298" s="89"/>
      <c r="Y298" s="89"/>
      <c r="Z298" s="89"/>
      <c r="AA298" s="89"/>
      <c r="AB298" s="89"/>
      <c r="AC298" s="89"/>
      <c r="AD298" s="89"/>
      <c r="AE298" s="89"/>
      <c r="AF298" s="89"/>
      <c r="AG298" s="89"/>
      <c r="AH298" s="89"/>
      <c r="AI298" s="89"/>
      <c r="AJ298" s="89"/>
      <c r="AK298" s="89"/>
      <c r="AL298" s="89"/>
      <c r="AM298" s="89"/>
      <c r="AN298" s="89"/>
      <c r="AO298" s="89"/>
      <c r="AP298" s="89"/>
      <c r="AQ298" s="89"/>
      <c r="AR298" s="89"/>
      <c r="AS298" s="89"/>
      <c r="AT298" s="89"/>
      <c r="AU298" s="89"/>
      <c r="AV298" s="89"/>
      <c r="AW298" s="89"/>
      <c r="AX298" s="89"/>
      <c r="AY298" s="89"/>
      <c r="AZ298" s="89"/>
      <c r="BA298" s="95"/>
    </row>
    <row r="299" spans="1:53" s="87" customFormat="1">
      <c r="A299" s="374" t="str">
        <f t="shared" si="52"/>
        <v/>
      </c>
      <c r="B299" s="89">
        <v>5</v>
      </c>
      <c r="C299" s="89">
        <v>4</v>
      </c>
      <c r="D299" s="89" t="s">
        <v>210</v>
      </c>
      <c r="E299" s="89" t="s">
        <v>210</v>
      </c>
      <c r="F299" s="89">
        <v>-5</v>
      </c>
      <c r="G299" s="89">
        <v>-2</v>
      </c>
      <c r="H299" s="89" t="s">
        <v>210</v>
      </c>
      <c r="I299" s="89" t="s">
        <v>210</v>
      </c>
      <c r="J299" s="89">
        <v>1</v>
      </c>
      <c r="K299" s="89">
        <v>3</v>
      </c>
      <c r="L299" s="89" t="s">
        <v>210</v>
      </c>
      <c r="M299" s="89" t="s">
        <v>210</v>
      </c>
      <c r="N299" s="89">
        <v>2</v>
      </c>
      <c r="O299" s="89">
        <v>-6</v>
      </c>
      <c r="P299" s="89" t="s">
        <v>210</v>
      </c>
      <c r="Q299" s="89" t="s">
        <v>210</v>
      </c>
      <c r="R299" s="89">
        <v>5</v>
      </c>
      <c r="S299" s="89">
        <v>-4</v>
      </c>
      <c r="T299" s="89" t="s">
        <v>210</v>
      </c>
      <c r="U299" s="89">
        <v>-3</v>
      </c>
      <c r="V299" s="89" t="s">
        <v>210</v>
      </c>
      <c r="W299" s="89"/>
      <c r="X299" s="89"/>
      <c r="Y299" s="89"/>
      <c r="Z299" s="89"/>
      <c r="AA299" s="89"/>
      <c r="AB299" s="89"/>
      <c r="AC299" s="89"/>
      <c r="AD299" s="89"/>
      <c r="AE299" s="89"/>
      <c r="AF299" s="89"/>
      <c r="AG299" s="89"/>
      <c r="AH299" s="89"/>
      <c r="AI299" s="89"/>
      <c r="AJ299" s="89"/>
      <c r="AK299" s="89"/>
      <c r="AL299" s="89"/>
      <c r="AM299" s="89"/>
      <c r="AN299" s="89"/>
      <c r="AO299" s="89"/>
      <c r="AP299" s="89"/>
      <c r="AQ299" s="89"/>
      <c r="AR299" s="89"/>
      <c r="AS299" s="89"/>
      <c r="AT299" s="89"/>
      <c r="AU299" s="89"/>
      <c r="AV299" s="89"/>
      <c r="AW299" s="89"/>
      <c r="AX299" s="89"/>
      <c r="AY299" s="89"/>
      <c r="AZ299" s="89"/>
      <c r="BA299" s="95"/>
    </row>
    <row r="300" spans="1:53" s="87" customFormat="1">
      <c r="A300" s="374" t="str">
        <f t="shared" si="52"/>
        <v/>
      </c>
      <c r="B300" s="89">
        <v>6</v>
      </c>
      <c r="C300" s="89">
        <v>-5</v>
      </c>
      <c r="D300" s="89" t="s">
        <v>210</v>
      </c>
      <c r="E300" s="89" t="s">
        <v>210</v>
      </c>
      <c r="F300" s="89">
        <v>-2</v>
      </c>
      <c r="G300" s="89">
        <v>6</v>
      </c>
      <c r="H300" s="89" t="s">
        <v>210</v>
      </c>
      <c r="I300" s="89" t="s">
        <v>210</v>
      </c>
      <c r="J300" s="89">
        <v>-3</v>
      </c>
      <c r="K300" s="89">
        <v>-4</v>
      </c>
      <c r="L300" s="89" t="s">
        <v>210</v>
      </c>
      <c r="M300" s="89" t="s">
        <v>210</v>
      </c>
      <c r="N300" s="89">
        <v>5</v>
      </c>
      <c r="O300" s="89">
        <v>3</v>
      </c>
      <c r="P300" s="89" t="s">
        <v>210</v>
      </c>
      <c r="Q300" s="89" t="s">
        <v>210</v>
      </c>
      <c r="R300" s="89">
        <v>1</v>
      </c>
      <c r="S300" s="89">
        <v>-6</v>
      </c>
      <c r="T300" s="89" t="s">
        <v>210</v>
      </c>
      <c r="U300" s="89" t="s">
        <v>210</v>
      </c>
      <c r="V300" s="89">
        <v>2</v>
      </c>
      <c r="W300" s="89"/>
      <c r="X300" s="89"/>
      <c r="Y300" s="89"/>
      <c r="Z300" s="89"/>
      <c r="AA300" s="89"/>
      <c r="AB300" s="89"/>
      <c r="AC300" s="89"/>
      <c r="AD300" s="89"/>
      <c r="AE300" s="89"/>
      <c r="AF300" s="89"/>
      <c r="AG300" s="89"/>
      <c r="AH300" s="89"/>
      <c r="AI300" s="89"/>
      <c r="AJ300" s="89"/>
      <c r="AK300" s="89"/>
      <c r="AL300" s="89"/>
      <c r="AM300" s="89"/>
      <c r="AN300" s="89"/>
      <c r="AO300" s="89"/>
      <c r="AP300" s="89"/>
      <c r="AQ300" s="89"/>
      <c r="AR300" s="89"/>
      <c r="AS300" s="89"/>
      <c r="AT300" s="89"/>
      <c r="AU300" s="89"/>
      <c r="AV300" s="89"/>
      <c r="AW300" s="89"/>
      <c r="AX300" s="89"/>
      <c r="AY300" s="89"/>
      <c r="AZ300" s="89"/>
      <c r="BA300" s="95"/>
    </row>
    <row r="301" spans="1:53" s="87" customFormat="1">
      <c r="A301" s="374" t="str">
        <f t="shared" si="52"/>
        <v/>
      </c>
      <c r="B301" s="89">
        <v>7</v>
      </c>
      <c r="C301" s="89" t="s">
        <v>210</v>
      </c>
      <c r="D301" s="89">
        <v>-5</v>
      </c>
      <c r="E301" s="89">
        <v>1</v>
      </c>
      <c r="F301" s="89" t="s">
        <v>210</v>
      </c>
      <c r="G301" s="89">
        <v>-3</v>
      </c>
      <c r="H301" s="89" t="s">
        <v>210</v>
      </c>
      <c r="I301" s="89" t="s">
        <v>210</v>
      </c>
      <c r="J301" s="89">
        <v>4</v>
      </c>
      <c r="K301" s="89">
        <v>5</v>
      </c>
      <c r="L301" s="89" t="s">
        <v>210</v>
      </c>
      <c r="M301" s="89" t="s">
        <v>210</v>
      </c>
      <c r="N301" s="89">
        <v>6</v>
      </c>
      <c r="O301" s="89">
        <v>-2</v>
      </c>
      <c r="P301" s="89" t="s">
        <v>210</v>
      </c>
      <c r="Q301" s="89" t="s">
        <v>210</v>
      </c>
      <c r="R301" s="89">
        <v>-4</v>
      </c>
      <c r="S301" s="89">
        <v>3</v>
      </c>
      <c r="T301" s="89" t="s">
        <v>210</v>
      </c>
      <c r="U301" s="89" t="s">
        <v>210</v>
      </c>
      <c r="V301" s="89">
        <v>-1</v>
      </c>
      <c r="W301" s="89"/>
      <c r="X301" s="89"/>
      <c r="Y301" s="89"/>
      <c r="Z301" s="89"/>
      <c r="AA301" s="89"/>
      <c r="AB301" s="89"/>
      <c r="AC301" s="89"/>
      <c r="AD301" s="89"/>
      <c r="AE301" s="89"/>
      <c r="AF301" s="89"/>
      <c r="AG301" s="89"/>
      <c r="AH301" s="89"/>
      <c r="AI301" s="89"/>
      <c r="AJ301" s="89"/>
      <c r="AK301" s="89"/>
      <c r="AL301" s="89"/>
      <c r="AM301" s="89"/>
      <c r="AN301" s="89"/>
      <c r="AO301" s="89"/>
      <c r="AP301" s="89"/>
      <c r="AQ301" s="89"/>
      <c r="AR301" s="89"/>
      <c r="AS301" s="89"/>
      <c r="AT301" s="89"/>
      <c r="AU301" s="89"/>
      <c r="AV301" s="89"/>
      <c r="AW301" s="89"/>
      <c r="AX301" s="89"/>
      <c r="AY301" s="89"/>
      <c r="AZ301" s="89"/>
      <c r="BA301" s="95"/>
    </row>
    <row r="302" spans="1:53" s="87" customFormat="1">
      <c r="A302" s="374" t="str">
        <f t="shared" si="52"/>
        <v/>
      </c>
      <c r="B302" s="89">
        <v>8</v>
      </c>
      <c r="C302" s="89" t="s">
        <v>210</v>
      </c>
      <c r="D302" s="89">
        <v>4</v>
      </c>
      <c r="E302" s="89">
        <v>2</v>
      </c>
      <c r="F302" s="89" t="s">
        <v>210</v>
      </c>
      <c r="G302" s="89" t="s">
        <v>210</v>
      </c>
      <c r="H302" s="89">
        <v>3</v>
      </c>
      <c r="I302" s="89">
        <v>-6</v>
      </c>
      <c r="J302" s="89" t="s">
        <v>210</v>
      </c>
      <c r="K302" s="89">
        <v>1</v>
      </c>
      <c r="L302" s="89" t="s">
        <v>210</v>
      </c>
      <c r="M302" s="89" t="s">
        <v>210</v>
      </c>
      <c r="N302" s="89">
        <v>-4</v>
      </c>
      <c r="O302" s="89">
        <v>5</v>
      </c>
      <c r="P302" s="89" t="s">
        <v>210</v>
      </c>
      <c r="Q302" s="89" t="s">
        <v>210</v>
      </c>
      <c r="R302" s="89">
        <v>-3</v>
      </c>
      <c r="S302" s="89">
        <v>-2</v>
      </c>
      <c r="T302" s="89" t="s">
        <v>210</v>
      </c>
      <c r="U302" s="89" t="s">
        <v>210</v>
      </c>
      <c r="V302" s="89">
        <v>-5</v>
      </c>
      <c r="W302" s="89"/>
      <c r="X302" s="89"/>
      <c r="Y302" s="89"/>
      <c r="Z302" s="89"/>
      <c r="AA302" s="89"/>
      <c r="AB302" s="89"/>
      <c r="AC302" s="89"/>
      <c r="AD302" s="89"/>
      <c r="AE302" s="89"/>
      <c r="AF302" s="89"/>
      <c r="AG302" s="89"/>
      <c r="AH302" s="89"/>
      <c r="AI302" s="89"/>
      <c r="AJ302" s="89"/>
      <c r="AK302" s="89"/>
      <c r="AL302" s="89"/>
      <c r="AM302" s="89"/>
      <c r="AN302" s="89"/>
      <c r="AO302" s="89"/>
      <c r="AP302" s="89"/>
      <c r="AQ302" s="89"/>
      <c r="AR302" s="89"/>
      <c r="AS302" s="89"/>
      <c r="AT302" s="89"/>
      <c r="AU302" s="89"/>
      <c r="AV302" s="89"/>
      <c r="AW302" s="89"/>
      <c r="AX302" s="89"/>
      <c r="AY302" s="89"/>
      <c r="AZ302" s="89"/>
      <c r="BA302" s="95"/>
    </row>
    <row r="303" spans="1:53" s="87" customFormat="1">
      <c r="A303" s="374" t="str">
        <f t="shared" si="52"/>
        <v/>
      </c>
      <c r="B303" s="89">
        <v>9</v>
      </c>
      <c r="C303" s="89" t="s">
        <v>210</v>
      </c>
      <c r="D303" s="89">
        <v>3</v>
      </c>
      <c r="E303" s="89">
        <v>6</v>
      </c>
      <c r="F303" s="89" t="s">
        <v>210</v>
      </c>
      <c r="G303" s="89" t="s">
        <v>210</v>
      </c>
      <c r="H303" s="89">
        <v>-4</v>
      </c>
      <c r="I303" s="89">
        <v>2</v>
      </c>
      <c r="J303" s="89" t="s">
        <v>210</v>
      </c>
      <c r="K303" s="89" t="s">
        <v>210</v>
      </c>
      <c r="L303" s="89">
        <v>5</v>
      </c>
      <c r="M303" s="89">
        <v>-3</v>
      </c>
      <c r="N303" s="89" t="s">
        <v>210</v>
      </c>
      <c r="O303" s="89">
        <v>-1</v>
      </c>
      <c r="P303" s="89" t="s">
        <v>210</v>
      </c>
      <c r="Q303" s="89" t="s">
        <v>210</v>
      </c>
      <c r="R303" s="89">
        <v>-2</v>
      </c>
      <c r="S303" s="89">
        <v>-5</v>
      </c>
      <c r="T303" s="89" t="s">
        <v>210</v>
      </c>
      <c r="U303" s="89" t="s">
        <v>210</v>
      </c>
      <c r="V303" s="89">
        <v>4</v>
      </c>
      <c r="W303" s="89"/>
      <c r="X303" s="89"/>
      <c r="Y303" s="89"/>
      <c r="Z303" s="89"/>
      <c r="AA303" s="89"/>
      <c r="AB303" s="89"/>
      <c r="AC303" s="89"/>
      <c r="AD303" s="89"/>
      <c r="AE303" s="89"/>
      <c r="AF303" s="89"/>
      <c r="AG303" s="89"/>
      <c r="AH303" s="89"/>
      <c r="AI303" s="89"/>
      <c r="AJ303" s="89"/>
      <c r="AK303" s="89"/>
      <c r="AL303" s="89"/>
      <c r="AM303" s="89"/>
      <c r="AN303" s="89"/>
      <c r="AO303" s="89"/>
      <c r="AP303" s="89"/>
      <c r="AQ303" s="89"/>
      <c r="AR303" s="89"/>
      <c r="AS303" s="89"/>
      <c r="AT303" s="89"/>
      <c r="AU303" s="89"/>
      <c r="AV303" s="89"/>
      <c r="AW303" s="89"/>
      <c r="AX303" s="89"/>
      <c r="AY303" s="89"/>
      <c r="AZ303" s="89"/>
      <c r="BA303" s="95"/>
    </row>
    <row r="304" spans="1:53" s="87" customFormat="1">
      <c r="A304" s="374" t="str">
        <f t="shared" si="52"/>
        <v/>
      </c>
      <c r="B304" s="89">
        <v>10</v>
      </c>
      <c r="C304" s="89" t="s">
        <v>210</v>
      </c>
      <c r="D304" s="89">
        <v>-2</v>
      </c>
      <c r="E304" s="89">
        <v>4</v>
      </c>
      <c r="F304" s="89" t="s">
        <v>210</v>
      </c>
      <c r="G304" s="89" t="s">
        <v>210</v>
      </c>
      <c r="H304" s="89">
        <v>-5</v>
      </c>
      <c r="I304" s="89">
        <v>1</v>
      </c>
      <c r="J304" s="89" t="s">
        <v>210</v>
      </c>
      <c r="K304" s="89" t="s">
        <v>210</v>
      </c>
      <c r="L304" s="89">
        <v>-4</v>
      </c>
      <c r="M304" s="89">
        <v>2</v>
      </c>
      <c r="N304" s="89" t="s">
        <v>210</v>
      </c>
      <c r="O304" s="89" t="s">
        <v>210</v>
      </c>
      <c r="P304" s="89">
        <v>5</v>
      </c>
      <c r="Q304" s="89">
        <v>6</v>
      </c>
      <c r="R304" s="89" t="s">
        <v>210</v>
      </c>
      <c r="S304" s="89">
        <v>-1</v>
      </c>
      <c r="T304" s="89" t="s">
        <v>210</v>
      </c>
      <c r="U304" s="89" t="s">
        <v>210</v>
      </c>
      <c r="V304" s="89">
        <v>-3</v>
      </c>
      <c r="W304" s="89"/>
      <c r="X304" s="89"/>
      <c r="Y304" s="89"/>
      <c r="Z304" s="89"/>
      <c r="AA304" s="89"/>
      <c r="AB304" s="89"/>
      <c r="AC304" s="89"/>
      <c r="AD304" s="89"/>
      <c r="AE304" s="89"/>
      <c r="AF304" s="89"/>
      <c r="AG304" s="89"/>
      <c r="AH304" s="89"/>
      <c r="AI304" s="89"/>
      <c r="AJ304" s="89"/>
      <c r="AK304" s="89"/>
      <c r="AL304" s="89"/>
      <c r="AM304" s="89"/>
      <c r="AN304" s="89"/>
      <c r="AO304" s="89"/>
      <c r="AP304" s="89"/>
      <c r="AQ304" s="89"/>
      <c r="AR304" s="89"/>
      <c r="AS304" s="89"/>
      <c r="AT304" s="89"/>
      <c r="AU304" s="89"/>
      <c r="AV304" s="89"/>
      <c r="AW304" s="89"/>
      <c r="AX304" s="89"/>
      <c r="AY304" s="89"/>
      <c r="AZ304" s="89"/>
      <c r="BA304" s="95"/>
    </row>
    <row r="305" spans="1:53" s="87" customFormat="1">
      <c r="A305" s="374" t="str">
        <f t="shared" si="52"/>
        <v/>
      </c>
      <c r="B305" s="89">
        <v>11</v>
      </c>
      <c r="C305" s="89" t="s">
        <v>210</v>
      </c>
      <c r="D305" s="89">
        <v>-6</v>
      </c>
      <c r="E305" s="89">
        <v>5</v>
      </c>
      <c r="F305" s="89" t="s">
        <v>210</v>
      </c>
      <c r="G305" s="89" t="s">
        <v>210</v>
      </c>
      <c r="H305" s="89">
        <v>2</v>
      </c>
      <c r="I305" s="89">
        <v>-3</v>
      </c>
      <c r="J305" s="89" t="s">
        <v>210</v>
      </c>
      <c r="K305" s="89" t="s">
        <v>210</v>
      </c>
      <c r="L305" s="89">
        <v>6</v>
      </c>
      <c r="M305" s="89">
        <v>-1</v>
      </c>
      <c r="N305" s="89" t="s">
        <v>210</v>
      </c>
      <c r="O305" s="89" t="s">
        <v>210</v>
      </c>
      <c r="P305" s="89">
        <v>-4</v>
      </c>
      <c r="Q305" s="89">
        <v>-2</v>
      </c>
      <c r="R305" s="89" t="s">
        <v>210</v>
      </c>
      <c r="S305" s="89" t="s">
        <v>210</v>
      </c>
      <c r="T305" s="89">
        <v>3</v>
      </c>
      <c r="U305" s="89">
        <v>4</v>
      </c>
      <c r="V305" s="89" t="s">
        <v>210</v>
      </c>
      <c r="W305" s="89"/>
      <c r="X305" s="89"/>
      <c r="Y305" s="89"/>
      <c r="Z305" s="89"/>
      <c r="AA305" s="89"/>
      <c r="AB305" s="89"/>
      <c r="AC305" s="89"/>
      <c r="AD305" s="89"/>
      <c r="AE305" s="89"/>
      <c r="AF305" s="89"/>
      <c r="AG305" s="89"/>
      <c r="AH305" s="89"/>
      <c r="AI305" s="89"/>
      <c r="AJ305" s="89"/>
      <c r="AK305" s="89"/>
      <c r="AL305" s="89"/>
      <c r="AM305" s="89"/>
      <c r="AN305" s="89"/>
      <c r="AO305" s="89"/>
      <c r="AP305" s="89"/>
      <c r="AQ305" s="89"/>
      <c r="AR305" s="89"/>
      <c r="AS305" s="89"/>
      <c r="AT305" s="89"/>
      <c r="AU305" s="89"/>
      <c r="AV305" s="89"/>
      <c r="AW305" s="89"/>
      <c r="AX305" s="89"/>
      <c r="AY305" s="89"/>
      <c r="AZ305" s="89"/>
      <c r="BA305" s="95"/>
    </row>
    <row r="306" spans="1:53" s="87" customFormat="1">
      <c r="A306" s="374" t="str">
        <f t="shared" si="52"/>
        <v/>
      </c>
      <c r="B306" s="89">
        <v>12</v>
      </c>
      <c r="C306" s="89">
        <v>-2</v>
      </c>
      <c r="D306" s="89" t="s">
        <v>210</v>
      </c>
      <c r="E306" s="89" t="s">
        <v>210</v>
      </c>
      <c r="F306" s="89">
        <v>3</v>
      </c>
      <c r="G306" s="89">
        <v>5</v>
      </c>
      <c r="H306" s="89" t="s">
        <v>210</v>
      </c>
      <c r="I306" s="89" t="s">
        <v>210</v>
      </c>
      <c r="J306" s="89">
        <v>-1</v>
      </c>
      <c r="K306" s="89">
        <v>4</v>
      </c>
      <c r="L306" s="89" t="s">
        <v>210</v>
      </c>
      <c r="M306" s="89" t="s">
        <v>210</v>
      </c>
      <c r="N306" s="89">
        <v>-6</v>
      </c>
      <c r="O306" s="89">
        <v>-5</v>
      </c>
      <c r="P306" s="89" t="s">
        <v>210</v>
      </c>
      <c r="Q306" s="89" t="s">
        <v>210</v>
      </c>
      <c r="R306" s="89">
        <v>2</v>
      </c>
      <c r="S306" s="89">
        <v>1</v>
      </c>
      <c r="T306" s="89" t="s">
        <v>210</v>
      </c>
      <c r="U306" s="89">
        <v>-4</v>
      </c>
      <c r="V306" s="89" t="s">
        <v>210</v>
      </c>
      <c r="W306" s="89"/>
      <c r="X306" s="89"/>
      <c r="Y306" s="89"/>
      <c r="Z306" s="89"/>
      <c r="AA306" s="89"/>
      <c r="AB306" s="89"/>
      <c r="AC306" s="89"/>
      <c r="AD306" s="89"/>
      <c r="AE306" s="89"/>
      <c r="AF306" s="89"/>
      <c r="AG306" s="89"/>
      <c r="AH306" s="89"/>
      <c r="AI306" s="89"/>
      <c r="AJ306" s="89"/>
      <c r="AK306" s="89"/>
      <c r="AL306" s="89"/>
      <c r="AM306" s="89"/>
      <c r="AN306" s="89"/>
      <c r="AO306" s="89"/>
      <c r="AP306" s="89"/>
      <c r="AQ306" s="89"/>
      <c r="AR306" s="89"/>
      <c r="AS306" s="89"/>
      <c r="AT306" s="89"/>
      <c r="AU306" s="89"/>
      <c r="AV306" s="89"/>
      <c r="AW306" s="89"/>
      <c r="AX306" s="89"/>
      <c r="AY306" s="89"/>
      <c r="AZ306" s="89"/>
      <c r="BA306" s="95"/>
    </row>
    <row r="307" spans="1:53" s="87" customFormat="1">
      <c r="A307" s="374" t="str">
        <f t="shared" si="52"/>
        <v/>
      </c>
      <c r="B307" s="89">
        <v>13</v>
      </c>
      <c r="C307" s="89">
        <v>6</v>
      </c>
      <c r="D307" s="89" t="s">
        <v>210</v>
      </c>
      <c r="E307" s="89" t="s">
        <v>210</v>
      </c>
      <c r="F307" s="89">
        <v>-4</v>
      </c>
      <c r="G307" s="89">
        <v>2</v>
      </c>
      <c r="H307" s="89" t="s">
        <v>210</v>
      </c>
      <c r="I307" s="89" t="s">
        <v>210</v>
      </c>
      <c r="J307" s="89">
        <v>3</v>
      </c>
      <c r="K307" s="89">
        <v>-5</v>
      </c>
      <c r="L307" s="89" t="s">
        <v>210</v>
      </c>
      <c r="M307" s="89" t="s">
        <v>210</v>
      </c>
      <c r="N307" s="89">
        <v>4</v>
      </c>
      <c r="O307" s="89">
        <v>1</v>
      </c>
      <c r="P307" s="89" t="s">
        <v>210</v>
      </c>
      <c r="Q307" s="89">
        <v>-6</v>
      </c>
      <c r="R307" s="89" t="s">
        <v>210</v>
      </c>
      <c r="S307" s="89" t="s">
        <v>210</v>
      </c>
      <c r="T307" s="89">
        <v>-3</v>
      </c>
      <c r="U307" s="89">
        <v>-2</v>
      </c>
      <c r="V307" s="89" t="s">
        <v>210</v>
      </c>
      <c r="W307" s="89"/>
      <c r="X307" s="89"/>
      <c r="Y307" s="89"/>
      <c r="Z307" s="89"/>
      <c r="AA307" s="89"/>
      <c r="AB307" s="89"/>
      <c r="AC307" s="89"/>
      <c r="AD307" s="89"/>
      <c r="AE307" s="89"/>
      <c r="AF307" s="89"/>
      <c r="AG307" s="89"/>
      <c r="AH307" s="89"/>
      <c r="AI307" s="89"/>
      <c r="AJ307" s="89"/>
      <c r="AK307" s="89"/>
      <c r="AL307" s="89"/>
      <c r="AM307" s="89"/>
      <c r="AN307" s="89"/>
      <c r="AO307" s="89"/>
      <c r="AP307" s="89"/>
      <c r="AQ307" s="89"/>
      <c r="AR307" s="89"/>
      <c r="AS307" s="89"/>
      <c r="AT307" s="89"/>
      <c r="AU307" s="89"/>
      <c r="AV307" s="89"/>
      <c r="AW307" s="89"/>
      <c r="AX307" s="89"/>
      <c r="AY307" s="89"/>
      <c r="AZ307" s="89"/>
      <c r="BA307" s="95"/>
    </row>
    <row r="308" spans="1:53" s="87" customFormat="1">
      <c r="A308" s="374" t="str">
        <f t="shared" si="52"/>
        <v/>
      </c>
      <c r="B308" s="89">
        <v>14</v>
      </c>
      <c r="C308" s="89">
        <v>-3</v>
      </c>
      <c r="D308" s="89" t="s">
        <v>210</v>
      </c>
      <c r="E308" s="89" t="s">
        <v>210</v>
      </c>
      <c r="F308" s="89">
        <v>5</v>
      </c>
      <c r="G308" s="89">
        <v>-6</v>
      </c>
      <c r="H308" s="89" t="s">
        <v>210</v>
      </c>
      <c r="I308" s="89" t="s">
        <v>210</v>
      </c>
      <c r="J308" s="89">
        <v>-4</v>
      </c>
      <c r="K308" s="89">
        <v>-1</v>
      </c>
      <c r="L308" s="89" t="s">
        <v>210</v>
      </c>
      <c r="M308" s="89">
        <v>3</v>
      </c>
      <c r="N308" s="89" t="s">
        <v>210</v>
      </c>
      <c r="O308" s="89" t="s">
        <v>210</v>
      </c>
      <c r="P308" s="89">
        <v>-5</v>
      </c>
      <c r="Q308" s="89">
        <v>2</v>
      </c>
      <c r="R308" s="89" t="s">
        <v>210</v>
      </c>
      <c r="S308" s="89" t="s">
        <v>210</v>
      </c>
      <c r="T308" s="89">
        <v>4</v>
      </c>
      <c r="U308" s="89">
        <v>6</v>
      </c>
      <c r="V308" s="89" t="s">
        <v>210</v>
      </c>
      <c r="W308" s="89"/>
      <c r="X308" s="89"/>
      <c r="Y308" s="89"/>
      <c r="Z308" s="89"/>
      <c r="AA308" s="89"/>
      <c r="AB308" s="89"/>
      <c r="AC308" s="89"/>
      <c r="AD308" s="89"/>
      <c r="AE308" s="89"/>
      <c r="AF308" s="89"/>
      <c r="AG308" s="89"/>
      <c r="AH308" s="89"/>
      <c r="AI308" s="89"/>
      <c r="AJ308" s="89"/>
      <c r="AK308" s="89"/>
      <c r="AL308" s="89"/>
      <c r="AM308" s="89"/>
      <c r="AN308" s="89"/>
      <c r="AO308" s="89"/>
      <c r="AP308" s="89"/>
      <c r="AQ308" s="89"/>
      <c r="AR308" s="89"/>
      <c r="AS308" s="89"/>
      <c r="AT308" s="89"/>
      <c r="AU308" s="89"/>
      <c r="AV308" s="89"/>
      <c r="AW308" s="89"/>
      <c r="AX308" s="89"/>
      <c r="AY308" s="89"/>
      <c r="AZ308" s="89"/>
      <c r="BA308" s="95"/>
    </row>
    <row r="309" spans="1:53" s="87" customFormat="1">
      <c r="A309" s="374" t="str">
        <f t="shared" si="52"/>
        <v/>
      </c>
      <c r="B309" s="89">
        <v>15</v>
      </c>
      <c r="C309" s="89">
        <v>-4</v>
      </c>
      <c r="D309" s="89" t="s">
        <v>210</v>
      </c>
      <c r="E309" s="89" t="s">
        <v>210</v>
      </c>
      <c r="F309" s="89">
        <v>2</v>
      </c>
      <c r="G309" s="89">
        <v>3</v>
      </c>
      <c r="H309" s="89" t="s">
        <v>210</v>
      </c>
      <c r="I309" s="89">
        <v>6</v>
      </c>
      <c r="J309" s="89" t="s">
        <v>210</v>
      </c>
      <c r="K309" s="89" t="s">
        <v>210</v>
      </c>
      <c r="L309" s="89">
        <v>-5</v>
      </c>
      <c r="M309" s="89">
        <v>-2</v>
      </c>
      <c r="N309" s="89" t="s">
        <v>210</v>
      </c>
      <c r="O309" s="89" t="s">
        <v>210</v>
      </c>
      <c r="P309" s="89">
        <v>4</v>
      </c>
      <c r="Q309" s="89">
        <v>-3</v>
      </c>
      <c r="R309" s="89" t="s">
        <v>210</v>
      </c>
      <c r="S309" s="89" t="s">
        <v>210</v>
      </c>
      <c r="T309" s="89">
        <v>5</v>
      </c>
      <c r="U309" s="89">
        <v>-1</v>
      </c>
      <c r="V309" s="89" t="s">
        <v>210</v>
      </c>
      <c r="W309" s="89"/>
      <c r="X309" s="89"/>
      <c r="Y309" s="89"/>
      <c r="Z309" s="89"/>
      <c r="AA309" s="89"/>
      <c r="AB309" s="89"/>
      <c r="AC309" s="89"/>
      <c r="AD309" s="89"/>
      <c r="AE309" s="89"/>
      <c r="AF309" s="89"/>
      <c r="AG309" s="89"/>
      <c r="AH309" s="89"/>
      <c r="AI309" s="89"/>
      <c r="AJ309" s="89"/>
      <c r="AK309" s="89"/>
      <c r="AL309" s="89"/>
      <c r="AM309" s="89"/>
      <c r="AN309" s="89"/>
      <c r="AO309" s="89"/>
      <c r="AP309" s="89"/>
      <c r="AQ309" s="89"/>
      <c r="AR309" s="89"/>
      <c r="AS309" s="89"/>
      <c r="AT309" s="89"/>
      <c r="AU309" s="89"/>
      <c r="AV309" s="89"/>
      <c r="AW309" s="89"/>
      <c r="AX309" s="89"/>
      <c r="AY309" s="89"/>
      <c r="AZ309" s="89"/>
      <c r="BA309" s="95"/>
    </row>
    <row r="310" spans="1:53" s="87" customFormat="1">
      <c r="A310" s="374" t="str">
        <f t="shared" si="52"/>
        <v/>
      </c>
      <c r="B310" s="89">
        <v>16</v>
      </c>
      <c r="C310" s="89">
        <v>5</v>
      </c>
      <c r="D310" s="89" t="s">
        <v>210</v>
      </c>
      <c r="E310" s="89">
        <v>-1</v>
      </c>
      <c r="F310" s="89" t="s">
        <v>210</v>
      </c>
      <c r="G310" s="89" t="s">
        <v>210</v>
      </c>
      <c r="H310" s="89">
        <v>-3</v>
      </c>
      <c r="I310" s="89">
        <v>-2</v>
      </c>
      <c r="J310" s="89" t="s">
        <v>210</v>
      </c>
      <c r="K310" s="89" t="s">
        <v>210</v>
      </c>
      <c r="L310" s="89">
        <v>4</v>
      </c>
      <c r="M310" s="89">
        <v>1</v>
      </c>
      <c r="N310" s="89" t="s">
        <v>210</v>
      </c>
      <c r="O310" s="89" t="s">
        <v>210</v>
      </c>
      <c r="P310" s="89">
        <v>6</v>
      </c>
      <c r="Q310" s="89">
        <v>-4</v>
      </c>
      <c r="R310" s="89" t="s">
        <v>210</v>
      </c>
      <c r="S310" s="89" t="s">
        <v>210</v>
      </c>
      <c r="T310" s="89">
        <v>2</v>
      </c>
      <c r="U310" s="89">
        <v>-5</v>
      </c>
      <c r="V310" s="89" t="s">
        <v>210</v>
      </c>
      <c r="W310" s="89"/>
      <c r="X310" s="89"/>
      <c r="Y310" s="89"/>
      <c r="Z310" s="89"/>
      <c r="AA310" s="89"/>
      <c r="AB310" s="89"/>
      <c r="AC310" s="89"/>
      <c r="AD310" s="89"/>
      <c r="AE310" s="89"/>
      <c r="AF310" s="89"/>
      <c r="AG310" s="89"/>
      <c r="AH310" s="89"/>
      <c r="AI310" s="89"/>
      <c r="AJ310" s="89"/>
      <c r="AK310" s="89"/>
      <c r="AL310" s="89"/>
      <c r="AM310" s="89"/>
      <c r="AN310" s="89"/>
      <c r="AO310" s="89"/>
      <c r="AP310" s="89"/>
      <c r="AQ310" s="89"/>
      <c r="AR310" s="89"/>
      <c r="AS310" s="89"/>
      <c r="AT310" s="89"/>
      <c r="AU310" s="89"/>
      <c r="AV310" s="89"/>
      <c r="AW310" s="89"/>
      <c r="AX310" s="89"/>
      <c r="AY310" s="89"/>
      <c r="AZ310" s="89"/>
      <c r="BA310" s="95"/>
    </row>
    <row r="311" spans="1:53" s="87" customFormat="1">
      <c r="A311" s="374" t="str">
        <f t="shared" si="52"/>
        <v/>
      </c>
      <c r="B311" s="89">
        <v>17</v>
      </c>
      <c r="C311" s="89" t="s">
        <v>210</v>
      </c>
      <c r="D311" s="89">
        <v>5</v>
      </c>
      <c r="E311" s="89">
        <v>-2</v>
      </c>
      <c r="F311" s="89" t="s">
        <v>210</v>
      </c>
      <c r="G311" s="89" t="s">
        <v>210</v>
      </c>
      <c r="H311" s="89">
        <v>4</v>
      </c>
      <c r="I311" s="89">
        <v>-1</v>
      </c>
      <c r="J311" s="89" t="s">
        <v>210</v>
      </c>
      <c r="K311" s="89" t="s">
        <v>210</v>
      </c>
      <c r="L311" s="89">
        <v>-6</v>
      </c>
      <c r="M311" s="89">
        <v>-4</v>
      </c>
      <c r="N311" s="89" t="s">
        <v>210</v>
      </c>
      <c r="O311" s="89" t="s">
        <v>210</v>
      </c>
      <c r="P311" s="89">
        <v>2</v>
      </c>
      <c r="Q311" s="89">
        <v>-5</v>
      </c>
      <c r="R311" s="89" t="s">
        <v>210</v>
      </c>
      <c r="S311" s="89" t="s">
        <v>210</v>
      </c>
      <c r="T311" s="89">
        <v>6</v>
      </c>
      <c r="U311" s="89">
        <v>3</v>
      </c>
      <c r="V311" s="89" t="s">
        <v>210</v>
      </c>
      <c r="W311" s="89"/>
      <c r="X311" s="89"/>
      <c r="Y311" s="89"/>
      <c r="Z311" s="89"/>
      <c r="AA311" s="89"/>
      <c r="AB311" s="89"/>
      <c r="AC311" s="89"/>
      <c r="AD311" s="89"/>
      <c r="AE311" s="89"/>
      <c r="AF311" s="89"/>
      <c r="AG311" s="89"/>
      <c r="AH311" s="89"/>
      <c r="AI311" s="89"/>
      <c r="AJ311" s="89"/>
      <c r="AK311" s="89"/>
      <c r="AL311" s="89"/>
      <c r="AM311" s="89"/>
      <c r="AN311" s="89"/>
      <c r="AO311" s="89"/>
      <c r="AP311" s="89"/>
      <c r="AQ311" s="89"/>
      <c r="AR311" s="89"/>
      <c r="AS311" s="89"/>
      <c r="AT311" s="89"/>
      <c r="AU311" s="89"/>
      <c r="AV311" s="89"/>
      <c r="AW311" s="89"/>
      <c r="AX311" s="89"/>
      <c r="AY311" s="89"/>
      <c r="AZ311" s="89"/>
      <c r="BA311" s="95"/>
    </row>
    <row r="312" spans="1:53" s="87" customFormat="1">
      <c r="A312" s="374" t="str">
        <f t="shared" si="52"/>
        <v/>
      </c>
      <c r="B312" s="89">
        <v>18</v>
      </c>
      <c r="C312" s="89" t="s">
        <v>210</v>
      </c>
      <c r="D312" s="89">
        <v>-4</v>
      </c>
      <c r="E312" s="89">
        <v>-6</v>
      </c>
      <c r="F312" s="89" t="s">
        <v>210</v>
      </c>
      <c r="G312" s="89" t="s">
        <v>210</v>
      </c>
      <c r="H312" s="89">
        <v>5</v>
      </c>
      <c r="I312" s="89">
        <v>3</v>
      </c>
      <c r="J312" s="89" t="s">
        <v>210</v>
      </c>
      <c r="K312" s="89" t="s">
        <v>210</v>
      </c>
      <c r="L312" s="89">
        <v>2</v>
      </c>
      <c r="M312" s="89">
        <v>-5</v>
      </c>
      <c r="N312" s="89" t="s">
        <v>210</v>
      </c>
      <c r="O312" s="89" t="s">
        <v>210</v>
      </c>
      <c r="P312" s="89">
        <v>-3</v>
      </c>
      <c r="Q312" s="89">
        <v>1</v>
      </c>
      <c r="R312" s="89" t="s">
        <v>210</v>
      </c>
      <c r="S312" s="89">
        <v>4</v>
      </c>
      <c r="T312" s="89" t="s">
        <v>210</v>
      </c>
      <c r="U312" s="89" t="s">
        <v>210</v>
      </c>
      <c r="V312" s="89">
        <v>-2</v>
      </c>
      <c r="W312" s="89"/>
      <c r="X312" s="89"/>
      <c r="Y312" s="89"/>
      <c r="Z312" s="89"/>
      <c r="AA312" s="89"/>
      <c r="AB312" s="89"/>
      <c r="AC312" s="89"/>
      <c r="AD312" s="89"/>
      <c r="AE312" s="89"/>
      <c r="AF312" s="89"/>
      <c r="AG312" s="89"/>
      <c r="AH312" s="89"/>
      <c r="AI312" s="89"/>
      <c r="AJ312" s="89"/>
      <c r="AK312" s="89"/>
      <c r="AL312" s="89"/>
      <c r="AM312" s="89"/>
      <c r="AN312" s="89"/>
      <c r="AO312" s="89"/>
      <c r="AP312" s="89"/>
      <c r="AQ312" s="89"/>
      <c r="AR312" s="89"/>
      <c r="AS312" s="89"/>
      <c r="AT312" s="89"/>
      <c r="AU312" s="89"/>
      <c r="AV312" s="89"/>
      <c r="AW312" s="89"/>
      <c r="AX312" s="89"/>
      <c r="AY312" s="89"/>
      <c r="AZ312" s="89"/>
      <c r="BA312" s="95"/>
    </row>
    <row r="313" spans="1:53" s="87" customFormat="1">
      <c r="A313" s="374" t="str">
        <f t="shared" si="52"/>
        <v/>
      </c>
      <c r="B313" s="89">
        <v>19</v>
      </c>
      <c r="C313" s="89" t="s">
        <v>210</v>
      </c>
      <c r="D313" s="89">
        <v>-3</v>
      </c>
      <c r="E313" s="89">
        <v>-4</v>
      </c>
      <c r="F313" s="89" t="s">
        <v>210</v>
      </c>
      <c r="G313" s="89" t="s">
        <v>210</v>
      </c>
      <c r="H313" s="89">
        <v>-2</v>
      </c>
      <c r="I313" s="89">
        <v>5</v>
      </c>
      <c r="J313" s="89" t="s">
        <v>210</v>
      </c>
      <c r="K313" s="89" t="s">
        <v>210</v>
      </c>
      <c r="L313" s="89">
        <v>3</v>
      </c>
      <c r="M313" s="89">
        <v>-6</v>
      </c>
      <c r="N313" s="89" t="s">
        <v>210</v>
      </c>
      <c r="O313" s="89">
        <v>4</v>
      </c>
      <c r="P313" s="89" t="s">
        <v>210</v>
      </c>
      <c r="Q313" s="89" t="s">
        <v>210</v>
      </c>
      <c r="R313" s="89">
        <v>-5</v>
      </c>
      <c r="S313" s="89">
        <v>6</v>
      </c>
      <c r="T313" s="89" t="s">
        <v>210</v>
      </c>
      <c r="U313" s="89" t="s">
        <v>210</v>
      </c>
      <c r="V313" s="89">
        <v>1</v>
      </c>
      <c r="W313" s="89"/>
      <c r="X313" s="89"/>
      <c r="Y313" s="89"/>
      <c r="Z313" s="89"/>
      <c r="AA313" s="89"/>
      <c r="AB313" s="89"/>
      <c r="AC313" s="89"/>
      <c r="AD313" s="89"/>
      <c r="AE313" s="89"/>
      <c r="AF313" s="89"/>
      <c r="AG313" s="89"/>
      <c r="AH313" s="89"/>
      <c r="AI313" s="89"/>
      <c r="AJ313" s="89"/>
      <c r="AK313" s="89"/>
      <c r="AL313" s="89"/>
      <c r="AM313" s="89"/>
      <c r="AN313" s="89"/>
      <c r="AO313" s="89"/>
      <c r="AP313" s="89"/>
      <c r="AQ313" s="89"/>
      <c r="AR313" s="89"/>
      <c r="AS313" s="89"/>
      <c r="AT313" s="89"/>
      <c r="AU313" s="89"/>
      <c r="AV313" s="89"/>
      <c r="AW313" s="89"/>
      <c r="AX313" s="89"/>
      <c r="AY313" s="89"/>
      <c r="AZ313" s="89"/>
      <c r="BA313" s="95"/>
    </row>
    <row r="314" spans="1:53" s="87" customFormat="1">
      <c r="A314" s="374" t="str">
        <f t="shared" si="52"/>
        <v/>
      </c>
      <c r="B314" s="89">
        <v>20</v>
      </c>
      <c r="C314" s="89" t="s">
        <v>210</v>
      </c>
      <c r="D314" s="89">
        <v>2</v>
      </c>
      <c r="E314" s="89">
        <v>-5</v>
      </c>
      <c r="F314" s="89" t="s">
        <v>210</v>
      </c>
      <c r="G314" s="89" t="s">
        <v>210</v>
      </c>
      <c r="H314" s="89">
        <v>-6</v>
      </c>
      <c r="I314" s="89">
        <v>4</v>
      </c>
      <c r="J314" s="89" t="s">
        <v>210</v>
      </c>
      <c r="K314" s="89">
        <v>-2</v>
      </c>
      <c r="L314" s="89" t="s">
        <v>210</v>
      </c>
      <c r="M314" s="89" t="s">
        <v>210</v>
      </c>
      <c r="N314" s="89">
        <v>3</v>
      </c>
      <c r="O314" s="89">
        <v>6</v>
      </c>
      <c r="P314" s="89" t="s">
        <v>210</v>
      </c>
      <c r="Q314" s="89" t="s">
        <v>210</v>
      </c>
      <c r="R314" s="89">
        <v>-1</v>
      </c>
      <c r="S314" s="89">
        <v>-3</v>
      </c>
      <c r="T314" s="89" t="s">
        <v>210</v>
      </c>
      <c r="U314" s="89" t="s">
        <v>210</v>
      </c>
      <c r="V314" s="89">
        <v>5</v>
      </c>
      <c r="W314" s="89"/>
      <c r="X314" s="89"/>
      <c r="Y314" s="89"/>
      <c r="Z314" s="89"/>
      <c r="AA314" s="89"/>
      <c r="AB314" s="89"/>
      <c r="AC314" s="89"/>
      <c r="AD314" s="89"/>
      <c r="AE314" s="89"/>
      <c r="AF314" s="89"/>
      <c r="AG314" s="89"/>
      <c r="AH314" s="89"/>
      <c r="AI314" s="89"/>
      <c r="AJ314" s="89"/>
      <c r="AK314" s="89"/>
      <c r="AL314" s="89"/>
      <c r="AM314" s="89"/>
      <c r="AN314" s="89"/>
      <c r="AO314" s="89"/>
      <c r="AP314" s="89"/>
      <c r="AQ314" s="89"/>
      <c r="AR314" s="89"/>
      <c r="AS314" s="89"/>
      <c r="AT314" s="89"/>
      <c r="AU314" s="89"/>
      <c r="AV314" s="89"/>
      <c r="AW314" s="89"/>
      <c r="AX314" s="89"/>
      <c r="AY314" s="89"/>
      <c r="AZ314" s="89"/>
      <c r="BA314" s="95"/>
    </row>
    <row r="315" spans="1:53" s="87" customFormat="1">
      <c r="A315" s="374" t="str">
        <f t="shared" si="52"/>
        <v/>
      </c>
      <c r="B315" s="89">
        <v>21</v>
      </c>
      <c r="C315" s="89" t="s">
        <v>210</v>
      </c>
      <c r="D315" s="89">
        <v>6</v>
      </c>
      <c r="E315" s="89">
        <v>3</v>
      </c>
      <c r="F315" s="89" t="s">
        <v>210</v>
      </c>
      <c r="G315" s="89">
        <v>-1</v>
      </c>
      <c r="H315" s="89" t="s">
        <v>210</v>
      </c>
      <c r="I315" s="89" t="s">
        <v>210</v>
      </c>
      <c r="J315" s="89">
        <v>5</v>
      </c>
      <c r="K315" s="89">
        <v>-6</v>
      </c>
      <c r="L315" s="89" t="s">
        <v>210</v>
      </c>
      <c r="M315" s="89" t="s">
        <v>210</v>
      </c>
      <c r="N315" s="89">
        <v>-2</v>
      </c>
      <c r="O315" s="89">
        <v>-3</v>
      </c>
      <c r="P315" s="89" t="s">
        <v>210</v>
      </c>
      <c r="Q315" s="89" t="s">
        <v>210</v>
      </c>
      <c r="R315" s="89">
        <v>4</v>
      </c>
      <c r="S315" s="89">
        <v>2</v>
      </c>
      <c r="T315" s="89" t="s">
        <v>210</v>
      </c>
      <c r="U315" s="89" t="s">
        <v>210</v>
      </c>
      <c r="V315" s="89">
        <v>-4</v>
      </c>
      <c r="W315" s="89"/>
      <c r="X315" s="89"/>
      <c r="Y315" s="89"/>
      <c r="Z315" s="89"/>
      <c r="AA315" s="89"/>
      <c r="AB315" s="89"/>
      <c r="AC315" s="89"/>
      <c r="AD315" s="89"/>
      <c r="AE315" s="89"/>
      <c r="AF315" s="89"/>
      <c r="AG315" s="89"/>
      <c r="AH315" s="89"/>
      <c r="AI315" s="89"/>
      <c r="AJ315" s="89"/>
      <c r="AK315" s="89"/>
      <c r="AL315" s="89"/>
      <c r="AM315" s="89"/>
      <c r="AN315" s="89"/>
      <c r="AO315" s="89"/>
      <c r="AP315" s="89"/>
      <c r="AQ315" s="89"/>
      <c r="AR315" s="89"/>
      <c r="AS315" s="89"/>
      <c r="AT315" s="89"/>
      <c r="AU315" s="89"/>
      <c r="AV315" s="89"/>
      <c r="AW315" s="89"/>
      <c r="AX315" s="89"/>
      <c r="AY315" s="89"/>
      <c r="AZ315" s="89"/>
      <c r="BA315" s="95"/>
    </row>
    <row r="316" spans="1:53" s="87" customFormat="1">
      <c r="A316" s="374" t="str">
        <f t="shared" si="52"/>
        <v/>
      </c>
      <c r="B316" s="89">
        <v>22</v>
      </c>
      <c r="C316" s="89">
        <v>-1</v>
      </c>
      <c r="D316" s="89" t="s">
        <v>210</v>
      </c>
      <c r="E316" s="89" t="s">
        <v>210</v>
      </c>
      <c r="F316" s="89">
        <v>-6</v>
      </c>
      <c r="G316" s="89">
        <v>4</v>
      </c>
      <c r="H316" s="89" t="s">
        <v>210</v>
      </c>
      <c r="I316" s="89" t="s">
        <v>210</v>
      </c>
      <c r="J316" s="89">
        <v>-2</v>
      </c>
      <c r="K316" s="89">
        <v>-3</v>
      </c>
      <c r="L316" s="89" t="s">
        <v>210</v>
      </c>
      <c r="M316" s="89" t="s">
        <v>210</v>
      </c>
      <c r="N316" s="89">
        <v>-5</v>
      </c>
      <c r="O316" s="89">
        <v>2</v>
      </c>
      <c r="P316" s="89" t="s">
        <v>210</v>
      </c>
      <c r="Q316" s="89" t="s">
        <v>210</v>
      </c>
      <c r="R316" s="89">
        <v>3</v>
      </c>
      <c r="S316" s="89">
        <v>5</v>
      </c>
      <c r="T316" s="89" t="s">
        <v>210</v>
      </c>
      <c r="U316" s="89" t="s">
        <v>210</v>
      </c>
      <c r="V316" s="89">
        <v>3</v>
      </c>
      <c r="W316" s="89"/>
      <c r="X316" s="89"/>
      <c r="Y316" s="89"/>
      <c r="Z316" s="89"/>
      <c r="AA316" s="89"/>
      <c r="AB316" s="89"/>
      <c r="AC316" s="89"/>
      <c r="AD316" s="89"/>
      <c r="AE316" s="89"/>
      <c r="AF316" s="89"/>
      <c r="AG316" s="89"/>
      <c r="AH316" s="89"/>
      <c r="AI316" s="89"/>
      <c r="AJ316" s="89"/>
      <c r="AK316" s="89"/>
      <c r="AL316" s="89"/>
      <c r="AM316" s="89"/>
      <c r="AN316" s="89"/>
      <c r="AO316" s="89"/>
      <c r="AP316" s="89"/>
      <c r="AQ316" s="89"/>
      <c r="AR316" s="89"/>
      <c r="AS316" s="89"/>
      <c r="AT316" s="89"/>
      <c r="AU316" s="89"/>
      <c r="AV316" s="89"/>
      <c r="AW316" s="89"/>
      <c r="AX316" s="89"/>
      <c r="AY316" s="89"/>
      <c r="AZ316" s="89"/>
      <c r="BA316" s="95"/>
    </row>
    <row r="317" spans="1:53" s="87" customFormat="1">
      <c r="A317" s="374" t="str">
        <f t="shared" si="52"/>
        <v/>
      </c>
      <c r="B317" s="319" t="s">
        <v>1032</v>
      </c>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c r="AA317" s="89"/>
      <c r="AB317" s="89"/>
      <c r="AC317" s="89"/>
      <c r="AD317" s="89"/>
      <c r="AE317" s="89"/>
      <c r="AF317" s="89"/>
      <c r="AG317" s="89"/>
      <c r="AH317" s="89"/>
      <c r="AI317" s="89"/>
      <c r="AJ317" s="89"/>
      <c r="AK317" s="89"/>
      <c r="AL317" s="89"/>
      <c r="AM317" s="89"/>
      <c r="AN317" s="89"/>
      <c r="AO317" s="89"/>
      <c r="AP317" s="89"/>
      <c r="AQ317" s="89"/>
      <c r="AR317" s="89"/>
      <c r="AS317" s="89"/>
      <c r="AT317" s="89"/>
      <c r="AU317" s="89"/>
      <c r="AV317" s="89"/>
      <c r="AW317" s="89"/>
      <c r="AX317" s="89"/>
      <c r="AY317" s="89"/>
      <c r="AZ317" s="89"/>
      <c r="BA317" s="95"/>
    </row>
    <row r="318" spans="1:53" s="87" customFormat="1">
      <c r="A318" s="374">
        <f t="shared" si="52"/>
        <v>318</v>
      </c>
      <c r="B318" s="89" t="s">
        <v>361</v>
      </c>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c r="AA318" s="89"/>
      <c r="AB318" s="89"/>
      <c r="AC318" s="89"/>
      <c r="AD318" s="89"/>
      <c r="AE318" s="89"/>
      <c r="AF318" s="89"/>
      <c r="AG318" s="89"/>
      <c r="AH318" s="89"/>
      <c r="AI318" s="89"/>
      <c r="AJ318" s="89"/>
      <c r="AK318" s="89"/>
      <c r="AL318" s="89"/>
      <c r="AM318" s="89"/>
      <c r="AN318" s="89"/>
      <c r="AO318" s="89"/>
      <c r="AP318" s="89"/>
      <c r="AQ318" s="89"/>
      <c r="AR318" s="89"/>
      <c r="AS318" s="89"/>
      <c r="AT318" s="89"/>
      <c r="AU318" s="89"/>
      <c r="AV318" s="89"/>
      <c r="AW318" s="89"/>
      <c r="AX318" s="89"/>
      <c r="AY318" s="89"/>
      <c r="AZ318" s="89"/>
      <c r="BA318" s="95"/>
    </row>
    <row r="319" spans="1:53" s="87" customFormat="1">
      <c r="A319" s="374" t="str">
        <f t="shared" si="52"/>
        <v/>
      </c>
      <c r="B319" s="89">
        <v>1</v>
      </c>
      <c r="C319" s="89">
        <v>-5</v>
      </c>
      <c r="D319" s="89" t="s">
        <v>210</v>
      </c>
      <c r="E319" s="89">
        <v>-1</v>
      </c>
      <c r="F319" s="89" t="s">
        <v>210</v>
      </c>
      <c r="G319" s="89">
        <v>-3</v>
      </c>
      <c r="H319" s="89" t="s">
        <v>210</v>
      </c>
      <c r="I319" s="89" t="s">
        <v>210</v>
      </c>
      <c r="J319" s="89">
        <v>2</v>
      </c>
      <c r="K319" s="89">
        <v>-6</v>
      </c>
      <c r="L319" s="89" t="s">
        <v>210</v>
      </c>
      <c r="M319" s="89" t="s">
        <v>210</v>
      </c>
      <c r="N319" s="89">
        <v>-4</v>
      </c>
      <c r="O319" s="89">
        <v>-2</v>
      </c>
      <c r="P319" s="89" t="s">
        <v>210</v>
      </c>
      <c r="Q319" s="89" t="s">
        <v>210</v>
      </c>
      <c r="R319" s="89">
        <v>6</v>
      </c>
      <c r="S319" s="89">
        <v>5</v>
      </c>
      <c r="T319" s="89" t="s">
        <v>210</v>
      </c>
      <c r="U319" s="89" t="s">
        <v>210</v>
      </c>
      <c r="V319" s="89">
        <v>4</v>
      </c>
      <c r="W319" s="89">
        <v>3</v>
      </c>
      <c r="X319" s="89" t="s">
        <v>210</v>
      </c>
      <c r="Y319" s="89"/>
      <c r="Z319" s="89"/>
      <c r="AA319" s="89"/>
      <c r="AB319" s="89"/>
      <c r="AC319" s="89"/>
      <c r="AD319" s="89"/>
      <c r="AE319" s="89"/>
      <c r="AF319" s="89"/>
      <c r="AG319" s="89"/>
      <c r="AH319" s="89"/>
      <c r="AI319" s="89"/>
      <c r="AJ319" s="89"/>
      <c r="AK319" s="89"/>
      <c r="AL319" s="89"/>
      <c r="AM319" s="89"/>
      <c r="AN319" s="89"/>
      <c r="AO319" s="89"/>
      <c r="AP319" s="89"/>
      <c r="AQ319" s="89"/>
      <c r="AR319" s="89"/>
      <c r="AS319" s="89"/>
      <c r="AT319" s="89"/>
      <c r="AU319" s="89"/>
      <c r="AV319" s="89"/>
      <c r="AW319" s="89"/>
      <c r="AX319" s="89"/>
      <c r="AY319" s="89"/>
      <c r="AZ319" s="89"/>
      <c r="BA319" s="95"/>
    </row>
    <row r="320" spans="1:53" s="87" customFormat="1">
      <c r="A320" s="374" t="str">
        <f t="shared" si="52"/>
        <v/>
      </c>
      <c r="B320" s="89">
        <v>2</v>
      </c>
      <c r="C320" s="89">
        <v>-1</v>
      </c>
      <c r="D320" s="89" t="s">
        <v>210</v>
      </c>
      <c r="E320" s="89" t="s">
        <v>210</v>
      </c>
      <c r="F320" s="89">
        <v>-5</v>
      </c>
      <c r="G320" s="89">
        <v>2</v>
      </c>
      <c r="H320" s="89" t="s">
        <v>210</v>
      </c>
      <c r="I320" s="89" t="s">
        <v>210</v>
      </c>
      <c r="J320" s="89">
        <v>4</v>
      </c>
      <c r="K320" s="89">
        <v>3</v>
      </c>
      <c r="L320" s="89" t="s">
        <v>210</v>
      </c>
      <c r="M320" s="89" t="s">
        <v>210</v>
      </c>
      <c r="N320" s="89">
        <v>-6</v>
      </c>
      <c r="O320" s="89">
        <v>5</v>
      </c>
      <c r="P320" s="89" t="s">
        <v>210</v>
      </c>
      <c r="Q320" s="89" t="s">
        <v>210</v>
      </c>
      <c r="R320" s="89">
        <v>-4</v>
      </c>
      <c r="S320" s="89">
        <v>6</v>
      </c>
      <c r="T320" s="89" t="s">
        <v>210</v>
      </c>
      <c r="U320" s="89" t="s">
        <v>210</v>
      </c>
      <c r="V320" s="89">
        <v>-2</v>
      </c>
      <c r="W320" s="89">
        <v>-3</v>
      </c>
      <c r="X320" s="89" t="s">
        <v>210</v>
      </c>
      <c r="Y320" s="89"/>
      <c r="Z320" s="89"/>
      <c r="AA320" s="89"/>
      <c r="AB320" s="89"/>
      <c r="AC320" s="89"/>
      <c r="AD320" s="89"/>
      <c r="AE320" s="89"/>
      <c r="AF320" s="89"/>
      <c r="AG320" s="89"/>
      <c r="AH320" s="89"/>
      <c r="AI320" s="89"/>
      <c r="AJ320" s="89"/>
      <c r="AK320" s="89"/>
      <c r="AL320" s="89"/>
      <c r="AM320" s="89"/>
      <c r="AN320" s="89"/>
      <c r="AO320" s="89"/>
      <c r="AP320" s="89"/>
      <c r="AQ320" s="89"/>
      <c r="AR320" s="89"/>
      <c r="AS320" s="89"/>
      <c r="AT320" s="89"/>
      <c r="AU320" s="89"/>
      <c r="AV320" s="89"/>
      <c r="AW320" s="89"/>
      <c r="AX320" s="89"/>
      <c r="AY320" s="89"/>
      <c r="AZ320" s="89"/>
      <c r="BA320" s="95"/>
    </row>
    <row r="321" spans="1:53" s="87" customFormat="1">
      <c r="A321" s="374" t="str">
        <f t="shared" si="52"/>
        <v/>
      </c>
      <c r="B321" s="89">
        <v>3</v>
      </c>
      <c r="C321" s="89">
        <v>-3</v>
      </c>
      <c r="D321" s="89" t="s">
        <v>210</v>
      </c>
      <c r="E321" s="89" t="s">
        <v>210</v>
      </c>
      <c r="F321" s="89">
        <v>6</v>
      </c>
      <c r="G321" s="89">
        <v>-2</v>
      </c>
      <c r="H321" s="89" t="s">
        <v>210</v>
      </c>
      <c r="I321" s="89">
        <v>-1</v>
      </c>
      <c r="J321" s="89" t="s">
        <v>210</v>
      </c>
      <c r="K321" s="89">
        <v>-4</v>
      </c>
      <c r="L321" s="89" t="s">
        <v>210</v>
      </c>
      <c r="M321" s="89" t="s">
        <v>210</v>
      </c>
      <c r="N321" s="89">
        <v>5</v>
      </c>
      <c r="O321" s="89" t="s">
        <v>210</v>
      </c>
      <c r="P321" s="89">
        <v>3</v>
      </c>
      <c r="Q321" s="89" t="s">
        <v>210</v>
      </c>
      <c r="R321" s="89">
        <v>-6</v>
      </c>
      <c r="S321" s="89">
        <v>2</v>
      </c>
      <c r="T321" s="89" t="s">
        <v>210</v>
      </c>
      <c r="U321" s="89" t="s">
        <v>210</v>
      </c>
      <c r="V321" s="89">
        <v>-5</v>
      </c>
      <c r="W321" s="89">
        <v>4</v>
      </c>
      <c r="X321" s="89" t="s">
        <v>210</v>
      </c>
      <c r="Y321" s="89"/>
      <c r="Z321" s="89"/>
      <c r="AA321" s="89"/>
      <c r="AB321" s="89"/>
      <c r="AC321" s="89"/>
      <c r="AD321" s="89"/>
      <c r="AE321" s="89"/>
      <c r="AF321" s="89"/>
      <c r="AG321" s="89"/>
      <c r="AH321" s="89"/>
      <c r="AI321" s="89"/>
      <c r="AJ321" s="89"/>
      <c r="AK321" s="89"/>
      <c r="AL321" s="89"/>
      <c r="AM321" s="89"/>
      <c r="AN321" s="89"/>
      <c r="AO321" s="89"/>
      <c r="AP321" s="89"/>
      <c r="AQ321" s="89"/>
      <c r="AR321" s="89"/>
      <c r="AS321" s="89"/>
      <c r="AT321" s="89"/>
      <c r="AU321" s="89"/>
      <c r="AV321" s="89"/>
      <c r="AW321" s="89"/>
      <c r="AX321" s="89"/>
      <c r="AY321" s="89"/>
      <c r="AZ321" s="89"/>
      <c r="BA321" s="95"/>
    </row>
    <row r="322" spans="1:53" s="87" customFormat="1">
      <c r="A322" s="374" t="str">
        <f t="shared" si="52"/>
        <v/>
      </c>
      <c r="B322" s="89">
        <v>4</v>
      </c>
      <c r="C322" s="89">
        <v>4</v>
      </c>
      <c r="D322" s="89" t="s">
        <v>210</v>
      </c>
      <c r="E322" s="89" t="s">
        <v>210</v>
      </c>
      <c r="F322" s="89">
        <v>3</v>
      </c>
      <c r="G322" s="89">
        <v>-6</v>
      </c>
      <c r="H322" s="89" t="s">
        <v>210</v>
      </c>
      <c r="I322" s="89" t="s">
        <v>210</v>
      </c>
      <c r="J322" s="89">
        <v>5</v>
      </c>
      <c r="K322" s="89">
        <v>-1</v>
      </c>
      <c r="L322" s="89" t="s">
        <v>210</v>
      </c>
      <c r="M322" s="89" t="s">
        <v>210</v>
      </c>
      <c r="N322" s="89">
        <v>-2</v>
      </c>
      <c r="O322" s="89">
        <v>6</v>
      </c>
      <c r="P322" s="89" t="s">
        <v>210</v>
      </c>
      <c r="Q322" s="89" t="s">
        <v>210</v>
      </c>
      <c r="R322" s="89">
        <v>-3</v>
      </c>
      <c r="S322" s="89">
        <v>-5</v>
      </c>
      <c r="T322" s="89" t="s">
        <v>210</v>
      </c>
      <c r="U322" s="89" t="s">
        <v>210</v>
      </c>
      <c r="V322" s="89">
        <v>2</v>
      </c>
      <c r="W322" s="89">
        <v>-4</v>
      </c>
      <c r="X322" s="89" t="s">
        <v>210</v>
      </c>
      <c r="Y322" s="89"/>
      <c r="Z322" s="89"/>
      <c r="AA322" s="89"/>
      <c r="AB322" s="89"/>
      <c r="AC322" s="89"/>
      <c r="AD322" s="89"/>
      <c r="AE322" s="89"/>
      <c r="AF322" s="89"/>
      <c r="AG322" s="89"/>
      <c r="AH322" s="89"/>
      <c r="AI322" s="89"/>
      <c r="AJ322" s="89"/>
      <c r="AK322" s="89"/>
      <c r="AL322" s="89"/>
      <c r="AM322" s="89"/>
      <c r="AN322" s="89"/>
      <c r="AO322" s="89"/>
      <c r="AP322" s="89"/>
      <c r="AQ322" s="89"/>
      <c r="AR322" s="89"/>
      <c r="AS322" s="89"/>
      <c r="AT322" s="89"/>
      <c r="AU322" s="89"/>
      <c r="AV322" s="89"/>
      <c r="AW322" s="89"/>
      <c r="AX322" s="89"/>
      <c r="AY322" s="89"/>
      <c r="AZ322" s="89"/>
      <c r="BA322" s="95"/>
    </row>
    <row r="323" spans="1:53" s="87" customFormat="1">
      <c r="A323" s="374" t="str">
        <f t="shared" si="52"/>
        <v/>
      </c>
      <c r="B323" s="89">
        <v>5</v>
      </c>
      <c r="C323" s="89">
        <v>-4</v>
      </c>
      <c r="D323" s="89" t="s">
        <v>210</v>
      </c>
      <c r="E323" s="89" t="s">
        <v>210</v>
      </c>
      <c r="F323" s="89">
        <v>5</v>
      </c>
      <c r="G323" s="89">
        <v>3</v>
      </c>
      <c r="H323" s="89" t="s">
        <v>210</v>
      </c>
      <c r="I323" s="89" t="s">
        <v>210</v>
      </c>
      <c r="J323" s="89">
        <v>-6</v>
      </c>
      <c r="K323" s="89">
        <v>2</v>
      </c>
      <c r="L323" s="89" t="s">
        <v>210</v>
      </c>
      <c r="M323" s="89">
        <v>-1</v>
      </c>
      <c r="N323" s="89" t="s">
        <v>210</v>
      </c>
      <c r="O323" s="89" t="s">
        <v>210</v>
      </c>
      <c r="P323" s="89">
        <v>-3</v>
      </c>
      <c r="Q323" s="89" t="s">
        <v>210</v>
      </c>
      <c r="R323" s="89">
        <v>-5</v>
      </c>
      <c r="S323" s="89">
        <v>4</v>
      </c>
      <c r="T323" s="89" t="s">
        <v>210</v>
      </c>
      <c r="U323" s="89" t="s">
        <v>210</v>
      </c>
      <c r="V323" s="89">
        <v>6</v>
      </c>
      <c r="W323" s="89">
        <v>-2</v>
      </c>
      <c r="X323" s="89" t="s">
        <v>210</v>
      </c>
      <c r="Y323" s="89"/>
      <c r="Z323" s="89"/>
      <c r="AA323" s="89"/>
      <c r="AB323" s="89"/>
      <c r="AC323" s="89"/>
      <c r="AD323" s="89"/>
      <c r="AE323" s="89"/>
      <c r="AF323" s="89"/>
      <c r="AG323" s="89"/>
      <c r="AH323" s="89"/>
      <c r="AI323" s="89"/>
      <c r="AJ323" s="89"/>
      <c r="AK323" s="89"/>
      <c r="AL323" s="89"/>
      <c r="AM323" s="89"/>
      <c r="AN323" s="89"/>
      <c r="AO323" s="89"/>
      <c r="AP323" s="89"/>
      <c r="AQ323" s="89"/>
      <c r="AR323" s="89"/>
      <c r="AS323" s="89"/>
      <c r="AT323" s="89"/>
      <c r="AU323" s="89"/>
      <c r="AV323" s="89"/>
      <c r="AW323" s="89"/>
      <c r="AX323" s="89"/>
      <c r="AY323" s="89"/>
      <c r="AZ323" s="89"/>
      <c r="BA323" s="95"/>
    </row>
    <row r="324" spans="1:53" s="87" customFormat="1">
      <c r="A324" s="374" t="str">
        <f t="shared" si="52"/>
        <v/>
      </c>
      <c r="B324" s="89">
        <v>6</v>
      </c>
      <c r="C324" s="89">
        <v>6</v>
      </c>
      <c r="D324" s="89" t="s">
        <v>210</v>
      </c>
      <c r="E324" s="89" t="s">
        <v>210</v>
      </c>
      <c r="F324" s="89">
        <v>-4</v>
      </c>
      <c r="G324" s="89">
        <v>1</v>
      </c>
      <c r="H324" s="89" t="s">
        <v>210</v>
      </c>
      <c r="I324" s="89" t="s">
        <v>210</v>
      </c>
      <c r="J324" s="89">
        <v>-2</v>
      </c>
      <c r="K324" s="89">
        <v>-5</v>
      </c>
      <c r="L324" s="89" t="s">
        <v>210</v>
      </c>
      <c r="M324" s="89" t="s">
        <v>210</v>
      </c>
      <c r="N324" s="89">
        <v>-3</v>
      </c>
      <c r="O324" s="89">
        <v>-6</v>
      </c>
      <c r="P324" s="89" t="s">
        <v>210</v>
      </c>
      <c r="Q324" s="89" t="s">
        <v>210</v>
      </c>
      <c r="R324" s="89">
        <v>4</v>
      </c>
      <c r="S324" s="89">
        <v>3</v>
      </c>
      <c r="T324" s="89" t="s">
        <v>210</v>
      </c>
      <c r="U324" s="89" t="s">
        <v>210</v>
      </c>
      <c r="V324" s="89">
        <v>5</v>
      </c>
      <c r="W324" s="89">
        <v>2</v>
      </c>
      <c r="X324" s="89" t="s">
        <v>210</v>
      </c>
      <c r="Y324" s="89"/>
      <c r="Z324" s="89"/>
      <c r="AA324" s="89"/>
      <c r="AB324" s="89"/>
      <c r="AC324" s="89"/>
      <c r="AD324" s="89"/>
      <c r="AE324" s="89"/>
      <c r="AF324" s="89"/>
      <c r="AG324" s="89"/>
      <c r="AH324" s="89"/>
      <c r="AI324" s="89"/>
      <c r="AJ324" s="89"/>
      <c r="AK324" s="89"/>
      <c r="AL324" s="89"/>
      <c r="AM324" s="89"/>
      <c r="AN324" s="89"/>
      <c r="AO324" s="89"/>
      <c r="AP324" s="89"/>
      <c r="AQ324" s="89"/>
      <c r="AR324" s="89"/>
      <c r="AS324" s="89"/>
      <c r="AT324" s="89"/>
      <c r="AU324" s="89"/>
      <c r="AV324" s="89"/>
      <c r="AW324" s="89"/>
      <c r="AX324" s="89"/>
      <c r="AY324" s="89"/>
      <c r="AZ324" s="89"/>
      <c r="BA324" s="95"/>
    </row>
    <row r="325" spans="1:53" s="87" customFormat="1">
      <c r="A325" s="374" t="str">
        <f t="shared" si="52"/>
        <v/>
      </c>
      <c r="B325" s="89">
        <v>7</v>
      </c>
      <c r="C325" s="89">
        <v>3</v>
      </c>
      <c r="D325" s="89" t="s">
        <v>210</v>
      </c>
      <c r="E325" s="89" t="s">
        <v>210</v>
      </c>
      <c r="F325" s="89">
        <v>-2</v>
      </c>
      <c r="G325" s="89">
        <v>-5</v>
      </c>
      <c r="H325" s="89" t="s">
        <v>210</v>
      </c>
      <c r="I325" s="89" t="s">
        <v>210</v>
      </c>
      <c r="J325" s="89">
        <v>-4</v>
      </c>
      <c r="K325" s="89">
        <v>6</v>
      </c>
      <c r="L325" s="89" t="s">
        <v>210</v>
      </c>
      <c r="M325" s="89" t="s">
        <v>210</v>
      </c>
      <c r="N325" s="89">
        <v>2</v>
      </c>
      <c r="O325" s="89">
        <v>4</v>
      </c>
      <c r="P325" s="89" t="s">
        <v>210</v>
      </c>
      <c r="Q325" s="89">
        <v>1</v>
      </c>
      <c r="R325" s="89" t="s">
        <v>210</v>
      </c>
      <c r="S325" s="89">
        <v>-3</v>
      </c>
      <c r="T325" s="89" t="s">
        <v>210</v>
      </c>
      <c r="U325" s="89" t="s">
        <v>210</v>
      </c>
      <c r="V325" s="89">
        <v>-6</v>
      </c>
      <c r="W325" s="89" t="s">
        <v>210</v>
      </c>
      <c r="X325" s="89">
        <v>5</v>
      </c>
      <c r="Y325" s="89"/>
      <c r="Z325" s="89"/>
      <c r="AA325" s="89"/>
      <c r="AB325" s="89"/>
      <c r="AC325" s="89"/>
      <c r="AD325" s="89"/>
      <c r="AE325" s="89"/>
      <c r="AF325" s="89"/>
      <c r="AG325" s="89"/>
      <c r="AH325" s="89"/>
      <c r="AI325" s="89"/>
      <c r="AJ325" s="89"/>
      <c r="AK325" s="89"/>
      <c r="AL325" s="89"/>
      <c r="AM325" s="89"/>
      <c r="AN325" s="89"/>
      <c r="AO325" s="89"/>
      <c r="AP325" s="89"/>
      <c r="AQ325" s="89"/>
      <c r="AR325" s="89"/>
      <c r="AS325" s="89"/>
      <c r="AT325" s="89"/>
      <c r="AU325" s="89"/>
      <c r="AV325" s="89"/>
      <c r="AW325" s="89"/>
      <c r="AX325" s="89"/>
      <c r="AY325" s="89"/>
      <c r="AZ325" s="89"/>
      <c r="BA325" s="95"/>
    </row>
    <row r="326" spans="1:53" s="87" customFormat="1">
      <c r="A326" s="374" t="str">
        <f t="shared" si="52"/>
        <v/>
      </c>
      <c r="B326" s="89">
        <v>8</v>
      </c>
      <c r="C326" s="89">
        <v>-2</v>
      </c>
      <c r="D326" s="89" t="s">
        <v>210</v>
      </c>
      <c r="E326" s="89" t="s">
        <v>210</v>
      </c>
      <c r="F326" s="89">
        <v>-6</v>
      </c>
      <c r="G326" s="89">
        <v>4</v>
      </c>
      <c r="H326" s="89" t="s">
        <v>210</v>
      </c>
      <c r="I326" s="89" t="s">
        <v>210</v>
      </c>
      <c r="J326" s="89">
        <v>-3</v>
      </c>
      <c r="K326" s="89">
        <v>5</v>
      </c>
      <c r="L326" s="89" t="s">
        <v>210</v>
      </c>
      <c r="M326" s="89" t="s">
        <v>210</v>
      </c>
      <c r="N326" s="89">
        <v>6</v>
      </c>
      <c r="O326" s="89">
        <v>2</v>
      </c>
      <c r="P326" s="89" t="s">
        <v>210</v>
      </c>
      <c r="Q326" s="89" t="s">
        <v>210</v>
      </c>
      <c r="R326" s="89">
        <v>3</v>
      </c>
      <c r="S326" s="89">
        <v>-4</v>
      </c>
      <c r="T326" s="89" t="s">
        <v>210</v>
      </c>
      <c r="U326" s="89">
        <v>1</v>
      </c>
      <c r="V326" s="89" t="s">
        <v>210</v>
      </c>
      <c r="W326" s="89" t="s">
        <v>210</v>
      </c>
      <c r="X326" s="89">
        <v>-5</v>
      </c>
      <c r="Y326" s="89"/>
      <c r="Z326" s="89"/>
      <c r="AA326" s="89"/>
      <c r="AB326" s="89"/>
      <c r="AC326" s="89"/>
      <c r="AD326" s="89"/>
      <c r="AE326" s="89"/>
      <c r="AF326" s="89"/>
      <c r="AG326" s="89"/>
      <c r="AH326" s="89"/>
      <c r="AI326" s="89"/>
      <c r="AJ326" s="89"/>
      <c r="AK326" s="89"/>
      <c r="AL326" s="89"/>
      <c r="AM326" s="89"/>
      <c r="AN326" s="89"/>
      <c r="AO326" s="89"/>
      <c r="AP326" s="89"/>
      <c r="AQ326" s="89"/>
      <c r="AR326" s="89"/>
      <c r="AS326" s="89"/>
      <c r="AT326" s="89"/>
      <c r="AU326" s="89"/>
      <c r="AV326" s="89"/>
      <c r="AW326" s="89"/>
      <c r="AX326" s="89"/>
      <c r="AY326" s="89"/>
      <c r="AZ326" s="89"/>
      <c r="BA326" s="95"/>
    </row>
    <row r="327" spans="1:53" s="87" customFormat="1">
      <c r="A327" s="374" t="str">
        <f t="shared" si="52"/>
        <v/>
      </c>
      <c r="B327" s="89">
        <v>9</v>
      </c>
      <c r="C327" s="89">
        <v>2</v>
      </c>
      <c r="D327" s="89" t="s">
        <v>210</v>
      </c>
      <c r="E327" s="89" t="s">
        <v>210</v>
      </c>
      <c r="F327" s="89">
        <v>-3</v>
      </c>
      <c r="G327" s="89">
        <v>5</v>
      </c>
      <c r="H327" s="89" t="s">
        <v>210</v>
      </c>
      <c r="I327" s="89" t="s">
        <v>210</v>
      </c>
      <c r="J327" s="89">
        <v>6</v>
      </c>
      <c r="K327" s="89">
        <v>4</v>
      </c>
      <c r="L327" s="89" t="s">
        <v>210</v>
      </c>
      <c r="M327" s="89" t="s">
        <v>210</v>
      </c>
      <c r="N327" s="89">
        <v>3</v>
      </c>
      <c r="O327" s="89">
        <v>-5</v>
      </c>
      <c r="P327" s="89" t="s">
        <v>210</v>
      </c>
      <c r="Q327" s="89" t="s">
        <v>210</v>
      </c>
      <c r="R327" s="89">
        <v>-2</v>
      </c>
      <c r="S327" s="89">
        <v>1</v>
      </c>
      <c r="T327" s="89" t="s">
        <v>210</v>
      </c>
      <c r="U327" s="89" t="s">
        <v>210</v>
      </c>
      <c r="V327" s="89">
        <v>-4</v>
      </c>
      <c r="W327" s="89">
        <v>-6</v>
      </c>
      <c r="X327" s="89" t="s">
        <v>210</v>
      </c>
      <c r="Y327" s="89"/>
      <c r="Z327" s="89"/>
      <c r="AA327" s="89"/>
      <c r="AB327" s="89"/>
      <c r="AC327" s="89"/>
      <c r="AD327" s="89"/>
      <c r="AE327" s="89"/>
      <c r="AF327" s="89"/>
      <c r="AG327" s="89"/>
      <c r="AH327" s="89"/>
      <c r="AI327" s="89"/>
      <c r="AJ327" s="89"/>
      <c r="AK327" s="89"/>
      <c r="AL327" s="89"/>
      <c r="AM327" s="89"/>
      <c r="AN327" s="89"/>
      <c r="AO327" s="89"/>
      <c r="AP327" s="89"/>
      <c r="AQ327" s="89"/>
      <c r="AR327" s="89"/>
      <c r="AS327" s="89"/>
      <c r="AT327" s="89"/>
      <c r="AU327" s="89"/>
      <c r="AV327" s="89"/>
      <c r="AW327" s="89"/>
      <c r="AX327" s="89"/>
      <c r="AY327" s="89"/>
      <c r="AZ327" s="89"/>
      <c r="BA327" s="95"/>
    </row>
    <row r="328" spans="1:53" s="87" customFormat="1">
      <c r="A328" s="374" t="str">
        <f t="shared" si="52"/>
        <v/>
      </c>
      <c r="B328" s="89">
        <v>10</v>
      </c>
      <c r="C328" s="89">
        <v>-6</v>
      </c>
      <c r="D328" s="89" t="s">
        <v>210</v>
      </c>
      <c r="E328" s="89" t="s">
        <v>210</v>
      </c>
      <c r="F328" s="89">
        <v>2</v>
      </c>
      <c r="G328" s="89">
        <v>-4</v>
      </c>
      <c r="H328" s="89" t="s">
        <v>210</v>
      </c>
      <c r="I328" s="89" t="s">
        <v>210</v>
      </c>
      <c r="J328" s="89">
        <v>-5</v>
      </c>
      <c r="K328" s="89">
        <v>-3</v>
      </c>
      <c r="L328" s="89" t="s">
        <v>210</v>
      </c>
      <c r="M328" s="89" t="s">
        <v>210</v>
      </c>
      <c r="N328" s="89">
        <v>4</v>
      </c>
      <c r="O328" s="89">
        <v>1</v>
      </c>
      <c r="P328" s="89" t="s">
        <v>210</v>
      </c>
      <c r="Q328" s="89" t="s">
        <v>210</v>
      </c>
      <c r="R328" s="89">
        <v>5</v>
      </c>
      <c r="S328" s="89">
        <v>-2</v>
      </c>
      <c r="T328" s="89" t="s">
        <v>210</v>
      </c>
      <c r="U328" s="89" t="s">
        <v>210</v>
      </c>
      <c r="V328" s="89">
        <v>3</v>
      </c>
      <c r="W328" s="89">
        <v>6</v>
      </c>
      <c r="X328" s="89" t="s">
        <v>210</v>
      </c>
      <c r="Y328" s="89"/>
      <c r="Z328" s="89"/>
      <c r="AA328" s="89"/>
      <c r="AB328" s="89"/>
      <c r="AC328" s="89"/>
      <c r="AD328" s="89"/>
      <c r="AE328" s="89"/>
      <c r="AF328" s="89"/>
      <c r="AG328" s="89"/>
      <c r="AH328" s="89"/>
      <c r="AI328" s="89"/>
      <c r="AJ328" s="89"/>
      <c r="AK328" s="89"/>
      <c r="AL328" s="89"/>
      <c r="AM328" s="89"/>
      <c r="AN328" s="89"/>
      <c r="AO328" s="89"/>
      <c r="AP328" s="89"/>
      <c r="AQ328" s="89"/>
      <c r="AR328" s="89"/>
      <c r="AS328" s="89"/>
      <c r="AT328" s="89"/>
      <c r="AU328" s="89"/>
      <c r="AV328" s="89"/>
      <c r="AW328" s="89"/>
      <c r="AX328" s="89"/>
      <c r="AY328" s="89"/>
      <c r="AZ328" s="89"/>
      <c r="BA328" s="95"/>
    </row>
    <row r="329" spans="1:53" s="87" customFormat="1">
      <c r="A329" s="374" t="str">
        <f t="shared" si="52"/>
        <v/>
      </c>
      <c r="B329" s="99">
        <v>11</v>
      </c>
      <c r="C329" s="92">
        <v>5</v>
      </c>
      <c r="D329" s="92" t="s">
        <v>210</v>
      </c>
      <c r="E329" s="92" t="s">
        <v>210</v>
      </c>
      <c r="F329" s="92">
        <v>4</v>
      </c>
      <c r="G329" s="92">
        <v>6</v>
      </c>
      <c r="H329" s="92" t="s">
        <v>210</v>
      </c>
      <c r="I329" s="92" t="s">
        <v>210</v>
      </c>
      <c r="J329" s="92">
        <v>3</v>
      </c>
      <c r="K329" s="92">
        <v>-2</v>
      </c>
      <c r="L329" s="92" t="s">
        <v>210</v>
      </c>
      <c r="M329" s="92" t="s">
        <v>210</v>
      </c>
      <c r="N329" s="92">
        <v>-5</v>
      </c>
      <c r="O329" s="92">
        <v>-4</v>
      </c>
      <c r="P329" s="92" t="s">
        <v>210</v>
      </c>
      <c r="Q329" s="92" t="s">
        <v>210</v>
      </c>
      <c r="R329" s="92">
        <v>2</v>
      </c>
      <c r="S329" s="92">
        <v>-6</v>
      </c>
      <c r="T329" s="92" t="s">
        <v>210</v>
      </c>
      <c r="U329" s="92" t="s">
        <v>210</v>
      </c>
      <c r="V329" s="92">
        <v>-3</v>
      </c>
      <c r="W329" s="92">
        <v>1</v>
      </c>
      <c r="X329" s="92" t="s">
        <v>210</v>
      </c>
      <c r="Y329" s="89"/>
      <c r="Z329" s="89"/>
      <c r="AA329" s="89"/>
      <c r="AB329" s="89"/>
      <c r="AC329" s="89"/>
      <c r="AD329" s="89"/>
      <c r="AE329" s="89"/>
      <c r="AF329" s="89"/>
      <c r="AG329" s="89"/>
      <c r="AH329" s="89"/>
      <c r="AI329" s="89"/>
      <c r="AJ329" s="89"/>
      <c r="AK329" s="89"/>
      <c r="AL329" s="89"/>
      <c r="AM329" s="89"/>
      <c r="AN329" s="89"/>
      <c r="AO329" s="89"/>
      <c r="AP329" s="89"/>
      <c r="AQ329" s="89"/>
      <c r="AR329" s="89"/>
      <c r="AS329" s="89"/>
      <c r="AT329" s="89"/>
      <c r="AU329" s="89"/>
      <c r="AV329" s="89"/>
      <c r="AW329" s="89"/>
      <c r="AX329" s="89"/>
      <c r="AY329" s="89"/>
      <c r="AZ329" s="89"/>
      <c r="BA329" s="95"/>
    </row>
    <row r="330" spans="1:53" s="87" customFormat="1">
      <c r="A330" s="374" t="str">
        <f t="shared" si="52"/>
        <v/>
      </c>
      <c r="B330" s="89">
        <v>12</v>
      </c>
      <c r="C330" s="89" t="s">
        <v>210</v>
      </c>
      <c r="D330" s="89">
        <v>-5</v>
      </c>
      <c r="E330" s="89">
        <v>1</v>
      </c>
      <c r="F330" s="89" t="s">
        <v>210</v>
      </c>
      <c r="G330" s="89" t="s">
        <v>210</v>
      </c>
      <c r="H330" s="89">
        <v>3</v>
      </c>
      <c r="I330" s="89">
        <v>-2</v>
      </c>
      <c r="J330" s="89" t="s">
        <v>210</v>
      </c>
      <c r="K330" s="89" t="s">
        <v>210</v>
      </c>
      <c r="L330" s="89">
        <v>6</v>
      </c>
      <c r="M330" s="89">
        <v>4</v>
      </c>
      <c r="N330" s="89" t="s">
        <v>210</v>
      </c>
      <c r="O330" s="89" t="s">
        <v>210</v>
      </c>
      <c r="P330" s="89">
        <v>2</v>
      </c>
      <c r="Q330" s="89">
        <v>-6</v>
      </c>
      <c r="R330" s="89" t="s">
        <v>210</v>
      </c>
      <c r="S330" s="89" t="s">
        <v>210</v>
      </c>
      <c r="T330" s="89">
        <v>5</v>
      </c>
      <c r="U330" s="89">
        <v>-4</v>
      </c>
      <c r="V330" s="89" t="s">
        <v>210</v>
      </c>
      <c r="W330" s="89" t="s">
        <v>210</v>
      </c>
      <c r="X330" s="89">
        <v>-3</v>
      </c>
      <c r="Y330" s="89"/>
      <c r="Z330" s="89"/>
      <c r="AA330" s="89"/>
      <c r="AB330" s="89"/>
      <c r="AC330" s="89"/>
      <c r="AD330" s="89"/>
      <c r="AE330" s="89"/>
      <c r="AF330" s="89"/>
      <c r="AG330" s="89"/>
      <c r="AH330" s="89"/>
      <c r="AI330" s="89"/>
      <c r="AJ330" s="89"/>
      <c r="AK330" s="89"/>
      <c r="AL330" s="89"/>
      <c r="AM330" s="89"/>
      <c r="AN330" s="89"/>
      <c r="AO330" s="89"/>
      <c r="AP330" s="89"/>
      <c r="AQ330" s="89"/>
      <c r="AR330" s="89"/>
      <c r="AS330" s="89"/>
      <c r="AT330" s="89"/>
      <c r="AU330" s="89"/>
      <c r="AV330" s="89"/>
      <c r="AW330" s="89"/>
      <c r="AX330" s="89"/>
      <c r="AY330" s="89"/>
      <c r="AZ330" s="89"/>
      <c r="BA330" s="95"/>
    </row>
    <row r="331" spans="1:53" s="87" customFormat="1">
      <c r="A331" s="374" t="str">
        <f t="shared" si="52"/>
        <v/>
      </c>
      <c r="B331" s="89">
        <v>13</v>
      </c>
      <c r="C331" s="89">
        <v>1</v>
      </c>
      <c r="D331" s="89" t="s">
        <v>210</v>
      </c>
      <c r="E331" s="89">
        <v>-5</v>
      </c>
      <c r="F331" s="89" t="s">
        <v>210</v>
      </c>
      <c r="G331" s="89" t="s">
        <v>210</v>
      </c>
      <c r="H331" s="89">
        <v>-2</v>
      </c>
      <c r="I331" s="89">
        <v>4</v>
      </c>
      <c r="J331" s="89" t="s">
        <v>210</v>
      </c>
      <c r="K331" s="89" t="s">
        <v>210</v>
      </c>
      <c r="L331" s="89">
        <v>-3</v>
      </c>
      <c r="M331" s="89">
        <v>6</v>
      </c>
      <c r="N331" s="89" t="s">
        <v>210</v>
      </c>
      <c r="O331" s="89" t="s">
        <v>210</v>
      </c>
      <c r="P331" s="89">
        <v>5</v>
      </c>
      <c r="Q331" s="89">
        <v>-4</v>
      </c>
      <c r="R331" s="89" t="s">
        <v>210</v>
      </c>
      <c r="S331" s="89" t="s">
        <v>210</v>
      </c>
      <c r="T331" s="89">
        <v>-6</v>
      </c>
      <c r="U331" s="89">
        <v>2</v>
      </c>
      <c r="V331" s="89" t="s">
        <v>210</v>
      </c>
      <c r="W331" s="89" t="s">
        <v>210</v>
      </c>
      <c r="X331" s="89">
        <v>3</v>
      </c>
      <c r="Y331" s="89"/>
      <c r="Z331" s="89"/>
      <c r="AA331" s="89"/>
      <c r="AB331" s="89"/>
      <c r="AC331" s="89"/>
      <c r="AD331" s="89"/>
      <c r="AE331" s="89"/>
      <c r="AF331" s="89"/>
      <c r="AG331" s="89"/>
      <c r="AH331" s="89"/>
      <c r="AI331" s="89"/>
      <c r="AJ331" s="89"/>
      <c r="AK331" s="89"/>
      <c r="AL331" s="89"/>
      <c r="AM331" s="89"/>
      <c r="AN331" s="89"/>
      <c r="AO331" s="89"/>
      <c r="AP331" s="89"/>
      <c r="AQ331" s="89"/>
      <c r="AR331" s="89"/>
      <c r="AS331" s="89"/>
      <c r="AT331" s="89"/>
      <c r="AU331" s="89"/>
      <c r="AV331" s="89"/>
      <c r="AW331" s="89"/>
      <c r="AX331" s="89"/>
      <c r="AY331" s="89"/>
      <c r="AZ331" s="89"/>
      <c r="BA331" s="95"/>
    </row>
    <row r="332" spans="1:53" s="87" customFormat="1">
      <c r="A332" s="374" t="str">
        <f t="shared" ref="A332:A395" si="53">IF(MID(B332,3,2)="06",ROW(),"")</f>
        <v/>
      </c>
      <c r="B332" s="89">
        <v>14</v>
      </c>
      <c r="C332" s="89" t="s">
        <v>210</v>
      </c>
      <c r="D332" s="89">
        <v>3</v>
      </c>
      <c r="E332" s="89">
        <v>-6</v>
      </c>
      <c r="F332" s="89" t="s">
        <v>210</v>
      </c>
      <c r="G332" s="89" t="s">
        <v>210</v>
      </c>
      <c r="H332" s="89">
        <v>2</v>
      </c>
      <c r="I332" s="89">
        <v>1</v>
      </c>
      <c r="J332" s="89" t="s">
        <v>210</v>
      </c>
      <c r="K332" s="89" t="s">
        <v>210</v>
      </c>
      <c r="L332" s="89">
        <v>4</v>
      </c>
      <c r="M332" s="89">
        <v>5</v>
      </c>
      <c r="N332" s="89" t="s">
        <v>210</v>
      </c>
      <c r="O332" s="89">
        <v>-3</v>
      </c>
      <c r="P332" s="89" t="s">
        <v>210</v>
      </c>
      <c r="Q332" s="89">
        <v>6</v>
      </c>
      <c r="R332" s="89" t="s">
        <v>210</v>
      </c>
      <c r="S332" s="89" t="s">
        <v>210</v>
      </c>
      <c r="T332" s="89">
        <v>-2</v>
      </c>
      <c r="U332" s="89">
        <v>-5</v>
      </c>
      <c r="V332" s="89" t="s">
        <v>210</v>
      </c>
      <c r="W332" s="89" t="s">
        <v>210</v>
      </c>
      <c r="X332" s="89">
        <v>-4</v>
      </c>
      <c r="Y332" s="89"/>
      <c r="Z332" s="89"/>
      <c r="AA332" s="89"/>
      <c r="AB332" s="89"/>
      <c r="AC332" s="89"/>
      <c r="AD332" s="89"/>
      <c r="AE332" s="89"/>
      <c r="AF332" s="89"/>
      <c r="AG332" s="89"/>
      <c r="AH332" s="89"/>
      <c r="AI332" s="89"/>
      <c r="AJ332" s="89"/>
      <c r="AK332" s="89"/>
      <c r="AL332" s="89"/>
      <c r="AM332" s="89"/>
      <c r="AN332" s="89"/>
      <c r="AO332" s="89"/>
      <c r="AP332" s="89"/>
      <c r="AQ332" s="89"/>
      <c r="AR332" s="89"/>
      <c r="AS332" s="89"/>
      <c r="AT332" s="89"/>
      <c r="AU332" s="89"/>
      <c r="AV332" s="89"/>
      <c r="AW332" s="89"/>
      <c r="AX332" s="89"/>
      <c r="AY332" s="89"/>
      <c r="AZ332" s="89"/>
      <c r="BA332" s="95"/>
    </row>
    <row r="333" spans="1:53" s="87" customFormat="1">
      <c r="A333" s="374" t="str">
        <f t="shared" si="53"/>
        <v/>
      </c>
      <c r="B333" s="89">
        <v>15</v>
      </c>
      <c r="C333" s="89" t="s">
        <v>210</v>
      </c>
      <c r="D333" s="89">
        <v>-4</v>
      </c>
      <c r="E333" s="89">
        <v>-3</v>
      </c>
      <c r="F333" s="89" t="s">
        <v>210</v>
      </c>
      <c r="G333" s="89" t="s">
        <v>210</v>
      </c>
      <c r="H333" s="89">
        <v>6</v>
      </c>
      <c r="I333" s="89">
        <v>5</v>
      </c>
      <c r="J333" s="89" t="s">
        <v>210</v>
      </c>
      <c r="K333" s="89">
        <v>1</v>
      </c>
      <c r="L333" s="89" t="s">
        <v>210</v>
      </c>
      <c r="M333" s="89">
        <v>2</v>
      </c>
      <c r="N333" s="89" t="s">
        <v>210</v>
      </c>
      <c r="O333" s="89" t="s">
        <v>210</v>
      </c>
      <c r="P333" s="89">
        <v>-6</v>
      </c>
      <c r="Q333" s="89">
        <v>3</v>
      </c>
      <c r="R333" s="89" t="s">
        <v>210</v>
      </c>
      <c r="S333" s="89" t="s">
        <v>210</v>
      </c>
      <c r="T333" s="89">
        <v>-5</v>
      </c>
      <c r="U333" s="89">
        <v>-2</v>
      </c>
      <c r="V333" s="89" t="s">
        <v>210</v>
      </c>
      <c r="W333" s="89" t="s">
        <v>210</v>
      </c>
      <c r="X333" s="89">
        <v>4</v>
      </c>
      <c r="Y333" s="89"/>
      <c r="Z333" s="89"/>
      <c r="AA333" s="89"/>
      <c r="AB333" s="89"/>
      <c r="AC333" s="89"/>
      <c r="AD333" s="89"/>
      <c r="AE333" s="89"/>
      <c r="AF333" s="89"/>
      <c r="AG333" s="89"/>
      <c r="AH333" s="89"/>
      <c r="AI333" s="89"/>
      <c r="AJ333" s="89"/>
      <c r="AK333" s="89"/>
      <c r="AL333" s="89"/>
      <c r="AM333" s="89"/>
      <c r="AN333" s="89"/>
      <c r="AO333" s="89"/>
      <c r="AP333" s="89"/>
      <c r="AQ333" s="89"/>
      <c r="AR333" s="89"/>
      <c r="AS333" s="89"/>
      <c r="AT333" s="89"/>
      <c r="AU333" s="89"/>
      <c r="AV333" s="89"/>
      <c r="AW333" s="89"/>
      <c r="AX333" s="89"/>
      <c r="AY333" s="89"/>
      <c r="AZ333" s="89"/>
      <c r="BA333" s="95"/>
    </row>
    <row r="334" spans="1:53" s="87" customFormat="1">
      <c r="A334" s="374" t="str">
        <f t="shared" si="53"/>
        <v/>
      </c>
      <c r="B334" s="89">
        <v>16</v>
      </c>
      <c r="C334" s="89" t="s">
        <v>210</v>
      </c>
      <c r="D334" s="89">
        <v>4</v>
      </c>
      <c r="E334" s="89">
        <v>5</v>
      </c>
      <c r="F334" s="89" t="s">
        <v>210</v>
      </c>
      <c r="G334" s="89" t="s">
        <v>210</v>
      </c>
      <c r="H334" s="89">
        <v>-3</v>
      </c>
      <c r="I334" s="89">
        <v>6</v>
      </c>
      <c r="J334" s="89" t="s">
        <v>210</v>
      </c>
      <c r="K334" s="89" t="s">
        <v>210</v>
      </c>
      <c r="L334" s="89">
        <v>-2</v>
      </c>
      <c r="M334" s="89">
        <v>1</v>
      </c>
      <c r="N334" s="89" t="s">
        <v>210</v>
      </c>
      <c r="O334" s="89">
        <v>3</v>
      </c>
      <c r="P334" s="89" t="s">
        <v>210</v>
      </c>
      <c r="Q334" s="89">
        <v>-5</v>
      </c>
      <c r="R334" s="89" t="s">
        <v>210</v>
      </c>
      <c r="S334" s="89" t="s">
        <v>210</v>
      </c>
      <c r="T334" s="89">
        <v>-4</v>
      </c>
      <c r="U334" s="89">
        <v>-6</v>
      </c>
      <c r="V334" s="89" t="s">
        <v>210</v>
      </c>
      <c r="W334" s="89" t="s">
        <v>210</v>
      </c>
      <c r="X334" s="89">
        <v>2</v>
      </c>
      <c r="Y334" s="89"/>
      <c r="Z334" s="89"/>
      <c r="AA334" s="89"/>
      <c r="AB334" s="89"/>
      <c r="AC334" s="89"/>
      <c r="AD334" s="89"/>
      <c r="AE334" s="89"/>
      <c r="AF334" s="89"/>
      <c r="AG334" s="89"/>
      <c r="AH334" s="89"/>
      <c r="AI334" s="89"/>
      <c r="AJ334" s="89"/>
      <c r="AK334" s="89"/>
      <c r="AL334" s="89"/>
      <c r="AM334" s="89"/>
      <c r="AN334" s="89"/>
      <c r="AO334" s="89"/>
      <c r="AP334" s="89"/>
      <c r="AQ334" s="89"/>
      <c r="AR334" s="89"/>
      <c r="AS334" s="89"/>
      <c r="AT334" s="89"/>
      <c r="AU334" s="89"/>
      <c r="AV334" s="89"/>
      <c r="AW334" s="89"/>
      <c r="AX334" s="89"/>
      <c r="AY334" s="89"/>
      <c r="AZ334" s="89"/>
      <c r="BA334" s="95"/>
    </row>
    <row r="335" spans="1:53" s="87" customFormat="1">
      <c r="A335" s="374" t="str">
        <f t="shared" si="53"/>
        <v/>
      </c>
      <c r="B335" s="89">
        <v>17</v>
      </c>
      <c r="C335" s="89" t="s">
        <v>210</v>
      </c>
      <c r="D335" s="89">
        <v>-6</v>
      </c>
      <c r="E335" s="89">
        <v>-4</v>
      </c>
      <c r="F335" s="89" t="s">
        <v>210</v>
      </c>
      <c r="G335" s="89">
        <v>-1</v>
      </c>
      <c r="H335" s="89" t="s">
        <v>210</v>
      </c>
      <c r="I335" s="89">
        <v>2</v>
      </c>
      <c r="J335" s="89" t="s">
        <v>210</v>
      </c>
      <c r="K335" s="89" t="s">
        <v>210</v>
      </c>
      <c r="L335" s="89">
        <v>-5</v>
      </c>
      <c r="M335" s="89">
        <v>3</v>
      </c>
      <c r="N335" s="89" t="s">
        <v>210</v>
      </c>
      <c r="O335" s="89" t="s">
        <v>210</v>
      </c>
      <c r="P335" s="89">
        <v>6</v>
      </c>
      <c r="Q335" s="89">
        <v>4</v>
      </c>
      <c r="R335" s="89" t="s">
        <v>210</v>
      </c>
      <c r="S335" s="89" t="s">
        <v>210</v>
      </c>
      <c r="T335" s="89">
        <v>-3</v>
      </c>
      <c r="U335" s="89">
        <v>5</v>
      </c>
      <c r="V335" s="89" t="s">
        <v>210</v>
      </c>
      <c r="W335" s="89" t="s">
        <v>210</v>
      </c>
      <c r="X335" s="89">
        <v>-2</v>
      </c>
      <c r="Y335" s="89"/>
      <c r="Z335" s="89"/>
      <c r="AA335" s="89"/>
      <c r="AB335" s="89"/>
      <c r="AC335" s="89"/>
      <c r="AD335" s="89"/>
      <c r="AE335" s="89"/>
      <c r="AF335" s="89"/>
      <c r="AG335" s="89"/>
      <c r="AH335" s="89"/>
      <c r="AI335" s="89"/>
      <c r="AJ335" s="89"/>
      <c r="AK335" s="89"/>
      <c r="AL335" s="89"/>
      <c r="AM335" s="89"/>
      <c r="AN335" s="89"/>
      <c r="AO335" s="89"/>
      <c r="AP335" s="89"/>
      <c r="AQ335" s="89"/>
      <c r="AR335" s="89"/>
      <c r="AS335" s="89"/>
      <c r="AT335" s="89"/>
      <c r="AU335" s="89"/>
      <c r="AV335" s="89"/>
      <c r="AW335" s="89"/>
      <c r="AX335" s="89"/>
      <c r="AY335" s="89"/>
      <c r="AZ335" s="89"/>
      <c r="BA335" s="95"/>
    </row>
    <row r="336" spans="1:53" s="87" customFormat="1">
      <c r="A336" s="374" t="str">
        <f t="shared" si="53"/>
        <v/>
      </c>
      <c r="B336" s="89">
        <v>18</v>
      </c>
      <c r="C336" s="89" t="s">
        <v>210</v>
      </c>
      <c r="D336" s="89">
        <v>-3</v>
      </c>
      <c r="E336" s="89">
        <v>2</v>
      </c>
      <c r="F336" s="89" t="s">
        <v>210</v>
      </c>
      <c r="G336" s="89" t="s">
        <v>210</v>
      </c>
      <c r="H336" s="89">
        <v>-5</v>
      </c>
      <c r="I336" s="89">
        <v>-4</v>
      </c>
      <c r="J336" s="89" t="s">
        <v>210</v>
      </c>
      <c r="K336" s="89" t="s">
        <v>210</v>
      </c>
      <c r="L336" s="89">
        <v>-6</v>
      </c>
      <c r="M336" s="89">
        <v>-2</v>
      </c>
      <c r="N336" s="89" t="s">
        <v>210</v>
      </c>
      <c r="O336" s="89" t="s">
        <v>210</v>
      </c>
      <c r="P336" s="89">
        <v>4</v>
      </c>
      <c r="Q336" s="89">
        <v>-1</v>
      </c>
      <c r="R336" s="89" t="s">
        <v>210</v>
      </c>
      <c r="S336" s="89" t="s">
        <v>210</v>
      </c>
      <c r="T336" s="89">
        <v>3</v>
      </c>
      <c r="U336" s="89">
        <v>6</v>
      </c>
      <c r="V336" s="89" t="s">
        <v>210</v>
      </c>
      <c r="W336" s="89">
        <v>5</v>
      </c>
      <c r="X336" s="89" t="s">
        <v>210</v>
      </c>
      <c r="Y336" s="89"/>
      <c r="Z336" s="89"/>
      <c r="AA336" s="89"/>
      <c r="AB336" s="89"/>
      <c r="AC336" s="89"/>
      <c r="AD336" s="89"/>
      <c r="AE336" s="89"/>
      <c r="AF336" s="89"/>
      <c r="AG336" s="89"/>
      <c r="AH336" s="89"/>
      <c r="AI336" s="89"/>
      <c r="AJ336" s="89"/>
      <c r="AK336" s="89"/>
      <c r="AL336" s="89"/>
      <c r="AM336" s="89"/>
      <c r="AN336" s="89"/>
      <c r="AO336" s="89"/>
      <c r="AP336" s="89"/>
      <c r="AQ336" s="89"/>
      <c r="AR336" s="89"/>
      <c r="AS336" s="89"/>
      <c r="AT336" s="89"/>
      <c r="AU336" s="89"/>
      <c r="AV336" s="89"/>
      <c r="AW336" s="89"/>
      <c r="AX336" s="89"/>
      <c r="AY336" s="89"/>
      <c r="AZ336" s="89"/>
      <c r="BA336" s="95"/>
    </row>
    <row r="337" spans="1:53" s="87" customFormat="1">
      <c r="A337" s="374" t="str">
        <f t="shared" si="53"/>
        <v/>
      </c>
      <c r="B337" s="89">
        <v>19</v>
      </c>
      <c r="C337" s="89" t="s">
        <v>210</v>
      </c>
      <c r="D337" s="89">
        <v>2</v>
      </c>
      <c r="E337" s="89">
        <v>6</v>
      </c>
      <c r="F337" s="89" t="s">
        <v>210</v>
      </c>
      <c r="G337" s="89" t="s">
        <v>210</v>
      </c>
      <c r="H337" s="89">
        <v>-4</v>
      </c>
      <c r="I337" s="89">
        <v>3</v>
      </c>
      <c r="J337" s="89" t="s">
        <v>210</v>
      </c>
      <c r="K337" s="89" t="s">
        <v>210</v>
      </c>
      <c r="L337" s="89">
        <v>5</v>
      </c>
      <c r="M337" s="89">
        <v>-6</v>
      </c>
      <c r="N337" s="89" t="s">
        <v>210</v>
      </c>
      <c r="O337" s="89" t="s">
        <v>210</v>
      </c>
      <c r="P337" s="89">
        <v>-2</v>
      </c>
      <c r="Q337" s="89">
        <v>-3</v>
      </c>
      <c r="R337" s="89" t="s">
        <v>210</v>
      </c>
      <c r="S337" s="89" t="s">
        <v>210</v>
      </c>
      <c r="T337" s="89">
        <v>4</v>
      </c>
      <c r="U337" s="89">
        <v>-1</v>
      </c>
      <c r="V337" s="89" t="s">
        <v>210</v>
      </c>
      <c r="W337" s="89">
        <v>-5</v>
      </c>
      <c r="X337" s="89" t="s">
        <v>210</v>
      </c>
      <c r="Y337" s="89"/>
      <c r="Z337" s="89"/>
      <c r="AA337" s="89"/>
      <c r="AB337" s="89"/>
      <c r="AC337" s="89"/>
      <c r="AD337" s="89"/>
      <c r="AE337" s="89"/>
      <c r="AF337" s="89"/>
      <c r="AG337" s="89"/>
      <c r="AH337" s="89"/>
      <c r="AI337" s="89"/>
      <c r="AJ337" s="89"/>
      <c r="AK337" s="89"/>
      <c r="AL337" s="89"/>
      <c r="AM337" s="89"/>
      <c r="AN337" s="89"/>
      <c r="AO337" s="89"/>
      <c r="AP337" s="89"/>
      <c r="AQ337" s="89"/>
      <c r="AR337" s="89"/>
      <c r="AS337" s="89"/>
      <c r="AT337" s="89"/>
      <c r="AU337" s="89"/>
      <c r="AV337" s="89"/>
      <c r="AW337" s="89"/>
      <c r="AX337" s="89"/>
      <c r="AY337" s="89"/>
      <c r="AZ337" s="89"/>
      <c r="BA337" s="95"/>
    </row>
    <row r="338" spans="1:53" s="87" customFormat="1">
      <c r="A338" s="374" t="str">
        <f t="shared" si="53"/>
        <v/>
      </c>
      <c r="B338" s="89">
        <v>20</v>
      </c>
      <c r="C338" s="89" t="s">
        <v>210</v>
      </c>
      <c r="D338" s="89">
        <v>-2</v>
      </c>
      <c r="E338" s="89">
        <v>3</v>
      </c>
      <c r="F338" s="89" t="s">
        <v>210</v>
      </c>
      <c r="G338" s="89" t="s">
        <v>210</v>
      </c>
      <c r="H338" s="89">
        <v>5</v>
      </c>
      <c r="I338" s="89">
        <v>-6</v>
      </c>
      <c r="J338" s="89" t="s">
        <v>210</v>
      </c>
      <c r="K338" s="89" t="s">
        <v>210</v>
      </c>
      <c r="L338" s="89">
        <v>-4</v>
      </c>
      <c r="M338" s="89">
        <v>-3</v>
      </c>
      <c r="N338" s="89" t="s">
        <v>210</v>
      </c>
      <c r="O338" s="89" t="s">
        <v>210</v>
      </c>
      <c r="P338" s="89">
        <v>-5</v>
      </c>
      <c r="Q338" s="89">
        <v>2</v>
      </c>
      <c r="R338" s="89" t="s">
        <v>210</v>
      </c>
      <c r="S338" s="89">
        <v>-1</v>
      </c>
      <c r="T338" s="89" t="s">
        <v>210</v>
      </c>
      <c r="U338" s="89">
        <v>4</v>
      </c>
      <c r="V338" s="89" t="s">
        <v>210</v>
      </c>
      <c r="W338" s="89" t="s">
        <v>210</v>
      </c>
      <c r="X338" s="89">
        <v>6</v>
      </c>
      <c r="Y338" s="89"/>
      <c r="Z338" s="89"/>
      <c r="AA338" s="89"/>
      <c r="AB338" s="89"/>
      <c r="AC338" s="89"/>
      <c r="AD338" s="89"/>
      <c r="AE338" s="89"/>
      <c r="AF338" s="89"/>
      <c r="AG338" s="89"/>
      <c r="AH338" s="89"/>
      <c r="AI338" s="89"/>
      <c r="AJ338" s="89"/>
      <c r="AK338" s="89"/>
      <c r="AL338" s="89"/>
      <c r="AM338" s="89"/>
      <c r="AN338" s="89"/>
      <c r="AO338" s="89"/>
      <c r="AP338" s="89"/>
      <c r="AQ338" s="89"/>
      <c r="AR338" s="89"/>
      <c r="AS338" s="89"/>
      <c r="AT338" s="89"/>
      <c r="AU338" s="89"/>
      <c r="AV338" s="89"/>
      <c r="AW338" s="89"/>
      <c r="AX338" s="89"/>
      <c r="AY338" s="89"/>
      <c r="AZ338" s="89"/>
      <c r="BA338" s="95"/>
    </row>
    <row r="339" spans="1:53" s="87" customFormat="1">
      <c r="A339" s="374" t="str">
        <f t="shared" si="53"/>
        <v/>
      </c>
      <c r="B339" s="89">
        <v>21</v>
      </c>
      <c r="C339" s="89" t="s">
        <v>210</v>
      </c>
      <c r="D339" s="89">
        <v>6</v>
      </c>
      <c r="E339" s="89">
        <v>-2</v>
      </c>
      <c r="F339" s="89" t="s">
        <v>210</v>
      </c>
      <c r="G339" s="89" t="s">
        <v>210</v>
      </c>
      <c r="H339" s="89">
        <v>4</v>
      </c>
      <c r="I339" s="89">
        <v>-5</v>
      </c>
      <c r="J339" s="89" t="s">
        <v>210</v>
      </c>
      <c r="K339" s="89" t="s">
        <v>210</v>
      </c>
      <c r="L339" s="89">
        <v>3</v>
      </c>
      <c r="M339" s="89">
        <v>-4</v>
      </c>
      <c r="N339" s="89" t="s">
        <v>210</v>
      </c>
      <c r="O339" s="89">
        <v>-1</v>
      </c>
      <c r="P339" s="89" t="s">
        <v>210</v>
      </c>
      <c r="Q339" s="89">
        <v>5</v>
      </c>
      <c r="R339" s="89" t="s">
        <v>210</v>
      </c>
      <c r="S339" s="89" t="s">
        <v>210</v>
      </c>
      <c r="T339" s="89">
        <v>2</v>
      </c>
      <c r="U339" s="89">
        <v>-3</v>
      </c>
      <c r="V339" s="89" t="s">
        <v>210</v>
      </c>
      <c r="W339" s="89" t="s">
        <v>210</v>
      </c>
      <c r="X339" s="89">
        <v>-6</v>
      </c>
      <c r="Y339" s="89"/>
      <c r="Z339" s="89"/>
      <c r="AA339" s="89"/>
      <c r="AB339" s="89"/>
      <c r="AC339" s="89"/>
      <c r="AD339" s="89"/>
      <c r="AE339" s="89"/>
      <c r="AF339" s="89"/>
      <c r="AG339" s="89"/>
      <c r="AH339" s="89"/>
      <c r="AI339" s="89"/>
      <c r="AJ339" s="89"/>
      <c r="AK339" s="89"/>
      <c r="AL339" s="89"/>
      <c r="AM339" s="89"/>
      <c r="AN339" s="89"/>
      <c r="AO339" s="89"/>
      <c r="AP339" s="89"/>
      <c r="AQ339" s="89"/>
      <c r="AR339" s="89"/>
      <c r="AS339" s="89"/>
      <c r="AT339" s="89"/>
      <c r="AU339" s="89"/>
      <c r="AV339" s="89"/>
      <c r="AW339" s="89"/>
      <c r="AX339" s="89"/>
      <c r="AY339" s="89"/>
      <c r="AZ339" s="89"/>
      <c r="BA339" s="95"/>
    </row>
    <row r="340" spans="1:53" s="87" customFormat="1">
      <c r="A340" s="374" t="str">
        <f t="shared" si="53"/>
        <v/>
      </c>
      <c r="B340" s="89">
        <v>22</v>
      </c>
      <c r="C340" s="89" t="s">
        <v>210</v>
      </c>
      <c r="D340" s="89">
        <v>5</v>
      </c>
      <c r="E340" s="89">
        <v>4</v>
      </c>
      <c r="F340" s="89" t="s">
        <v>210</v>
      </c>
      <c r="G340" s="89" t="s">
        <v>210</v>
      </c>
      <c r="H340" s="89">
        <v>-6</v>
      </c>
      <c r="I340" s="89">
        <v>-3</v>
      </c>
      <c r="J340" s="89" t="s">
        <v>210</v>
      </c>
      <c r="K340" s="89" t="s">
        <v>210</v>
      </c>
      <c r="L340" s="89">
        <v>2</v>
      </c>
      <c r="M340" s="89">
        <v>-5</v>
      </c>
      <c r="N340" s="89" t="s">
        <v>210</v>
      </c>
      <c r="O340" s="89" t="s">
        <v>210</v>
      </c>
      <c r="P340" s="89">
        <v>-4</v>
      </c>
      <c r="Q340" s="89">
        <v>-2</v>
      </c>
      <c r="R340" s="89" t="s">
        <v>210</v>
      </c>
      <c r="S340" s="89" t="s">
        <v>210</v>
      </c>
      <c r="T340" s="89">
        <v>6</v>
      </c>
      <c r="U340" s="89">
        <v>3</v>
      </c>
      <c r="V340" s="89" t="s">
        <v>210</v>
      </c>
      <c r="W340" s="89">
        <v>-1</v>
      </c>
      <c r="X340" s="89" t="s">
        <v>210</v>
      </c>
      <c r="Y340" s="89"/>
      <c r="Z340" s="89"/>
      <c r="AA340" s="89"/>
      <c r="AB340" s="89"/>
      <c r="AC340" s="89"/>
      <c r="AD340" s="89"/>
      <c r="AE340" s="89"/>
      <c r="AF340" s="89"/>
      <c r="AG340" s="89"/>
      <c r="AH340" s="89"/>
      <c r="AI340" s="89"/>
      <c r="AJ340" s="89"/>
      <c r="AK340" s="89"/>
      <c r="AL340" s="89"/>
      <c r="AM340" s="89"/>
      <c r="AN340" s="89"/>
      <c r="AO340" s="89"/>
      <c r="AP340" s="89"/>
      <c r="AQ340" s="89"/>
      <c r="AR340" s="89"/>
      <c r="AS340" s="89"/>
      <c r="AT340" s="89"/>
      <c r="AU340" s="89"/>
      <c r="AV340" s="89"/>
      <c r="AW340" s="89"/>
      <c r="AX340" s="89"/>
      <c r="AY340" s="89"/>
      <c r="AZ340" s="89"/>
      <c r="BA340" s="95"/>
    </row>
    <row r="341" spans="1:53" s="87" customFormat="1">
      <c r="A341" s="374" t="str">
        <f t="shared" si="53"/>
        <v/>
      </c>
      <c r="B341" s="319" t="s">
        <v>362</v>
      </c>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c r="AA341" s="89"/>
      <c r="AB341" s="89"/>
      <c r="AC341" s="89"/>
      <c r="AD341" s="89"/>
      <c r="AE341" s="89"/>
      <c r="AF341" s="89"/>
      <c r="AG341" s="89"/>
      <c r="AH341" s="89"/>
      <c r="AI341" s="89"/>
      <c r="AJ341" s="89"/>
      <c r="AK341" s="89"/>
      <c r="AL341" s="89"/>
      <c r="AM341" s="89"/>
      <c r="AN341" s="89"/>
      <c r="AO341" s="89"/>
      <c r="AP341" s="89"/>
      <c r="AQ341" s="89"/>
      <c r="AR341" s="89"/>
      <c r="AS341" s="89"/>
      <c r="AT341" s="89"/>
      <c r="AU341" s="89"/>
      <c r="AV341" s="89"/>
      <c r="AW341" s="89"/>
      <c r="AX341" s="89"/>
      <c r="AY341" s="89"/>
      <c r="AZ341" s="89"/>
      <c r="BA341" s="95"/>
    </row>
    <row r="342" spans="1:53" s="87" customFormat="1">
      <c r="A342" s="374">
        <f t="shared" si="53"/>
        <v>342</v>
      </c>
      <c r="B342" s="89" t="s">
        <v>363</v>
      </c>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c r="AA342" s="89"/>
      <c r="AB342" s="89"/>
      <c r="AC342" s="89"/>
      <c r="AD342" s="89"/>
      <c r="AE342" s="89"/>
      <c r="AF342" s="89"/>
      <c r="AG342" s="89"/>
      <c r="AH342" s="89"/>
      <c r="AI342" s="89"/>
      <c r="AJ342" s="89"/>
      <c r="AK342" s="89"/>
      <c r="AL342" s="89"/>
      <c r="AM342" s="89"/>
      <c r="AN342" s="89"/>
      <c r="AO342" s="89"/>
      <c r="AP342" s="89"/>
      <c r="AQ342" s="89"/>
      <c r="AR342" s="89"/>
      <c r="AS342" s="89"/>
      <c r="AT342" s="89"/>
      <c r="AU342" s="89"/>
      <c r="AV342" s="89"/>
      <c r="AW342" s="89"/>
      <c r="AX342" s="89"/>
      <c r="AY342" s="89"/>
      <c r="AZ342" s="89"/>
      <c r="BA342" s="95"/>
    </row>
    <row r="343" spans="1:53" s="87" customFormat="1">
      <c r="A343" s="374" t="str">
        <f t="shared" si="53"/>
        <v/>
      </c>
      <c r="B343" s="89">
        <v>1</v>
      </c>
      <c r="C343" s="89">
        <v>-3</v>
      </c>
      <c r="D343" s="89" t="s">
        <v>210</v>
      </c>
      <c r="E343" s="89" t="s">
        <v>210</v>
      </c>
      <c r="F343" s="89">
        <v>-5</v>
      </c>
      <c r="G343" s="89">
        <v>4</v>
      </c>
      <c r="H343" s="89" t="s">
        <v>210</v>
      </c>
      <c r="I343" s="89" t="s">
        <v>210</v>
      </c>
      <c r="J343" s="89">
        <v>-2</v>
      </c>
      <c r="K343" s="89">
        <v>1</v>
      </c>
      <c r="L343" s="89" t="s">
        <v>210</v>
      </c>
      <c r="M343" s="89" t="s">
        <v>210</v>
      </c>
      <c r="N343" s="89">
        <v>5</v>
      </c>
      <c r="O343" s="89">
        <v>3</v>
      </c>
      <c r="P343" s="89" t="s">
        <v>210</v>
      </c>
      <c r="Q343" s="89"/>
      <c r="R343" s="89"/>
      <c r="S343" s="89"/>
      <c r="T343" s="89"/>
      <c r="U343" s="89"/>
      <c r="V343" s="89"/>
      <c r="W343" s="89"/>
      <c r="X343" s="89"/>
      <c r="Y343" s="89"/>
      <c r="Z343" s="89"/>
      <c r="AA343" s="89"/>
      <c r="AB343" s="89"/>
      <c r="AC343" s="89"/>
      <c r="AD343" s="89"/>
      <c r="AE343" s="89"/>
      <c r="AF343" s="89"/>
      <c r="AG343" s="89"/>
      <c r="AH343" s="89"/>
      <c r="AI343" s="89"/>
      <c r="AJ343" s="89"/>
      <c r="AK343" s="89"/>
      <c r="AL343" s="89"/>
      <c r="AM343" s="89"/>
      <c r="AN343" s="89"/>
      <c r="AO343" s="89"/>
      <c r="AP343" s="89"/>
      <c r="AQ343" s="89"/>
      <c r="AR343" s="89"/>
      <c r="AS343" s="89"/>
      <c r="AT343" s="89"/>
      <c r="AU343" s="89"/>
      <c r="AV343" s="89"/>
      <c r="AW343" s="89"/>
      <c r="AX343" s="89"/>
      <c r="AY343" s="89"/>
      <c r="AZ343" s="89"/>
      <c r="BA343" s="95"/>
    </row>
    <row r="344" spans="1:53" s="87" customFormat="1">
      <c r="A344" s="374" t="str">
        <f t="shared" si="53"/>
        <v/>
      </c>
      <c r="B344" s="89">
        <v>2</v>
      </c>
      <c r="C344" s="89">
        <v>4</v>
      </c>
      <c r="D344" s="89" t="s">
        <v>210</v>
      </c>
      <c r="E344" s="89" t="s">
        <v>210</v>
      </c>
      <c r="F344" s="89">
        <v>-1</v>
      </c>
      <c r="G344" s="89">
        <v>3</v>
      </c>
      <c r="H344" s="89" t="s">
        <v>210</v>
      </c>
      <c r="I344" s="89" t="s">
        <v>210</v>
      </c>
      <c r="J344" s="89">
        <v>-5</v>
      </c>
      <c r="K344" s="89">
        <v>-6</v>
      </c>
      <c r="L344" s="89" t="s">
        <v>210</v>
      </c>
      <c r="M344" s="89" t="s">
        <v>210</v>
      </c>
      <c r="N344" s="89">
        <v>2</v>
      </c>
      <c r="O344" s="89">
        <v>-3</v>
      </c>
      <c r="P344" s="89" t="s">
        <v>210</v>
      </c>
      <c r="Q344" s="89"/>
      <c r="R344" s="89"/>
      <c r="S344" s="89"/>
      <c r="T344" s="89"/>
      <c r="U344" s="89"/>
      <c r="V344" s="89"/>
      <c r="W344" s="89"/>
      <c r="X344" s="89"/>
      <c r="Y344" s="89"/>
      <c r="Z344" s="89"/>
      <c r="AA344" s="89"/>
      <c r="AB344" s="89"/>
      <c r="AC344" s="89"/>
      <c r="AD344" s="89"/>
      <c r="AE344" s="89"/>
      <c r="AF344" s="89"/>
      <c r="AG344" s="89"/>
      <c r="AH344" s="89"/>
      <c r="AI344" s="89"/>
      <c r="AJ344" s="89"/>
      <c r="AK344" s="89"/>
      <c r="AL344" s="89"/>
      <c r="AM344" s="89"/>
      <c r="AN344" s="89"/>
      <c r="AO344" s="89"/>
      <c r="AP344" s="89"/>
      <c r="AQ344" s="89"/>
      <c r="AR344" s="89"/>
      <c r="AS344" s="89"/>
      <c r="AT344" s="89"/>
      <c r="AU344" s="89"/>
      <c r="AV344" s="89"/>
      <c r="AW344" s="89"/>
      <c r="AX344" s="89"/>
      <c r="AY344" s="89"/>
      <c r="AZ344" s="89"/>
      <c r="BA344" s="95"/>
    </row>
    <row r="345" spans="1:53" s="87" customFormat="1">
      <c r="A345" s="374" t="str">
        <f t="shared" si="53"/>
        <v/>
      </c>
      <c r="B345" s="89">
        <v>3</v>
      </c>
      <c r="C345" s="89">
        <v>-6</v>
      </c>
      <c r="D345" s="89" t="s">
        <v>210</v>
      </c>
      <c r="E345" s="89" t="s">
        <v>210</v>
      </c>
      <c r="F345" s="89">
        <v>-4</v>
      </c>
      <c r="G345" s="89">
        <v>2</v>
      </c>
      <c r="H345" s="89" t="s">
        <v>210</v>
      </c>
      <c r="I345" s="89" t="s">
        <v>210</v>
      </c>
      <c r="J345" s="89">
        <v>3</v>
      </c>
      <c r="K345" s="89">
        <v>6</v>
      </c>
      <c r="L345" s="89" t="s">
        <v>210</v>
      </c>
      <c r="M345" s="89" t="s">
        <v>210</v>
      </c>
      <c r="N345" s="89">
        <v>-5</v>
      </c>
      <c r="O345" s="89">
        <v>4</v>
      </c>
      <c r="P345" s="89" t="s">
        <v>210</v>
      </c>
      <c r="Q345" s="89"/>
      <c r="R345" s="89"/>
      <c r="S345" s="89"/>
      <c r="T345" s="89"/>
      <c r="U345" s="89"/>
      <c r="V345" s="89"/>
      <c r="W345" s="89"/>
      <c r="X345" s="89"/>
      <c r="Y345" s="89"/>
      <c r="Z345" s="89"/>
      <c r="AA345" s="89"/>
      <c r="AB345" s="89"/>
      <c r="AC345" s="89"/>
      <c r="AD345" s="89"/>
      <c r="AE345" s="89"/>
      <c r="AF345" s="89"/>
      <c r="AG345" s="89"/>
      <c r="AH345" s="89"/>
      <c r="AI345" s="89"/>
      <c r="AJ345" s="89"/>
      <c r="AK345" s="89"/>
      <c r="AL345" s="89"/>
      <c r="AM345" s="89"/>
      <c r="AN345" s="89"/>
      <c r="AO345" s="89"/>
      <c r="AP345" s="89"/>
      <c r="AQ345" s="89"/>
      <c r="AR345" s="89"/>
      <c r="AS345" s="89"/>
      <c r="AT345" s="89"/>
      <c r="AU345" s="89"/>
      <c r="AV345" s="89"/>
      <c r="AW345" s="89"/>
      <c r="AX345" s="89"/>
      <c r="AY345" s="89"/>
      <c r="AZ345" s="89"/>
      <c r="BA345" s="95"/>
    </row>
    <row r="346" spans="1:53" s="87" customFormat="1">
      <c r="A346" s="374" t="str">
        <f t="shared" si="53"/>
        <v/>
      </c>
      <c r="B346" s="89">
        <v>4</v>
      </c>
      <c r="C346" s="89">
        <v>2</v>
      </c>
      <c r="D346" s="89" t="s">
        <v>210</v>
      </c>
      <c r="E346" s="89" t="s">
        <v>210</v>
      </c>
      <c r="F346" s="89">
        <v>3</v>
      </c>
      <c r="G346" s="89">
        <v>-6</v>
      </c>
      <c r="H346" s="89" t="s">
        <v>210</v>
      </c>
      <c r="I346" s="89" t="s">
        <v>210</v>
      </c>
      <c r="J346" s="89">
        <v>4</v>
      </c>
      <c r="K346" s="89">
        <v>-1</v>
      </c>
      <c r="L346" s="89" t="s">
        <v>210</v>
      </c>
      <c r="M346" s="89" t="s">
        <v>210</v>
      </c>
      <c r="N346" s="89">
        <v>-2</v>
      </c>
      <c r="O346" s="89">
        <v>-4</v>
      </c>
      <c r="P346" s="89" t="s">
        <v>210</v>
      </c>
      <c r="Q346" s="89"/>
      <c r="R346" s="89"/>
      <c r="S346" s="89"/>
      <c r="T346" s="89"/>
      <c r="U346" s="89"/>
      <c r="V346" s="89"/>
      <c r="W346" s="89"/>
      <c r="X346" s="89"/>
      <c r="Y346" s="89"/>
      <c r="Z346" s="89"/>
      <c r="AA346" s="89"/>
      <c r="AB346" s="89"/>
      <c r="AC346" s="89"/>
      <c r="AD346" s="89"/>
      <c r="AE346" s="89"/>
      <c r="AF346" s="89"/>
      <c r="AG346" s="89"/>
      <c r="AH346" s="89"/>
      <c r="AI346" s="89"/>
      <c r="AJ346" s="89"/>
      <c r="AK346" s="89"/>
      <c r="AL346" s="89"/>
      <c r="AM346" s="89"/>
      <c r="AN346" s="89"/>
      <c r="AO346" s="89"/>
      <c r="AP346" s="89"/>
      <c r="AQ346" s="89"/>
      <c r="AR346" s="89"/>
      <c r="AS346" s="89"/>
      <c r="AT346" s="89"/>
      <c r="AU346" s="89"/>
      <c r="AV346" s="89"/>
      <c r="AW346" s="89"/>
      <c r="AX346" s="89"/>
      <c r="AY346" s="89"/>
      <c r="AZ346" s="89"/>
      <c r="BA346" s="95"/>
    </row>
    <row r="347" spans="1:53" s="87" customFormat="1">
      <c r="A347" s="374" t="str">
        <f t="shared" si="53"/>
        <v/>
      </c>
      <c r="B347" s="89">
        <v>5</v>
      </c>
      <c r="C347" s="89">
        <v>-2</v>
      </c>
      <c r="D347" s="89" t="s">
        <v>210</v>
      </c>
      <c r="E347" s="89" t="s">
        <v>210</v>
      </c>
      <c r="F347" s="89">
        <v>4</v>
      </c>
      <c r="G347" s="89">
        <v>-3</v>
      </c>
      <c r="H347" s="89" t="s">
        <v>210</v>
      </c>
      <c r="I347" s="89" t="s">
        <v>210</v>
      </c>
      <c r="J347" s="89">
        <v>2</v>
      </c>
      <c r="K347" s="89">
        <v>-5</v>
      </c>
      <c r="L347" s="89" t="s">
        <v>210</v>
      </c>
      <c r="M347" s="89" t="s">
        <v>210</v>
      </c>
      <c r="N347" s="89">
        <v>-4</v>
      </c>
      <c r="O347" s="89">
        <v>6</v>
      </c>
      <c r="P347" s="89" t="s">
        <v>210</v>
      </c>
      <c r="Q347" s="89"/>
      <c r="R347" s="89"/>
      <c r="S347" s="89"/>
      <c r="T347" s="89"/>
      <c r="U347" s="89"/>
      <c r="V347" s="89"/>
      <c r="W347" s="89"/>
      <c r="X347" s="89"/>
      <c r="Y347" s="89"/>
      <c r="Z347" s="89"/>
      <c r="AA347" s="89"/>
      <c r="AB347" s="89"/>
      <c r="AC347" s="89"/>
      <c r="AD347" s="89"/>
      <c r="AE347" s="89"/>
      <c r="AF347" s="89"/>
      <c r="AG347" s="89"/>
      <c r="AH347" s="89"/>
      <c r="AI347" s="89"/>
      <c r="AJ347" s="89"/>
      <c r="AK347" s="89"/>
      <c r="AL347" s="89"/>
      <c r="AM347" s="89"/>
      <c r="AN347" s="89"/>
      <c r="AO347" s="89"/>
      <c r="AP347" s="89"/>
      <c r="AQ347" s="89"/>
      <c r="AR347" s="89"/>
      <c r="AS347" s="89"/>
      <c r="AT347" s="89"/>
      <c r="AU347" s="89"/>
      <c r="AV347" s="89"/>
      <c r="AW347" s="89"/>
      <c r="AX347" s="89"/>
      <c r="AY347" s="89"/>
      <c r="AZ347" s="89"/>
      <c r="BA347" s="95"/>
    </row>
    <row r="348" spans="1:53" s="87" customFormat="1">
      <c r="A348" s="374" t="str">
        <f t="shared" si="53"/>
        <v/>
      </c>
      <c r="B348" s="89">
        <v>6</v>
      </c>
      <c r="C348" s="89">
        <v>6</v>
      </c>
      <c r="D348" s="89" t="s">
        <v>210</v>
      </c>
      <c r="E348" s="89" t="s">
        <v>210</v>
      </c>
      <c r="F348" s="89">
        <v>-3</v>
      </c>
      <c r="G348" s="89">
        <v>-4</v>
      </c>
      <c r="H348" s="89" t="s">
        <v>210</v>
      </c>
      <c r="I348" s="89" t="s">
        <v>210</v>
      </c>
      <c r="J348" s="89">
        <v>5</v>
      </c>
      <c r="K348" s="89">
        <v>2</v>
      </c>
      <c r="L348" s="89" t="s">
        <v>210</v>
      </c>
      <c r="M348" s="89" t="s">
        <v>210</v>
      </c>
      <c r="N348" s="89">
        <v>3</v>
      </c>
      <c r="O348" s="89">
        <v>-6</v>
      </c>
      <c r="P348" s="89" t="s">
        <v>210</v>
      </c>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c r="AZ348" s="89"/>
      <c r="BA348" s="95"/>
    </row>
    <row r="349" spans="1:53" s="87" customFormat="1">
      <c r="A349" s="374" t="str">
        <f t="shared" si="53"/>
        <v/>
      </c>
      <c r="B349" s="89">
        <v>7</v>
      </c>
      <c r="C349" s="89">
        <v>-4</v>
      </c>
      <c r="D349" s="89" t="s">
        <v>210</v>
      </c>
      <c r="E349" s="89" t="s">
        <v>210</v>
      </c>
      <c r="F349" s="89">
        <v>5</v>
      </c>
      <c r="G349" s="89">
        <v>6</v>
      </c>
      <c r="H349" s="89" t="s">
        <v>210</v>
      </c>
      <c r="I349" s="89" t="s">
        <v>210</v>
      </c>
      <c r="J349" s="89">
        <v>-3</v>
      </c>
      <c r="K349" s="89">
        <v>-2</v>
      </c>
      <c r="L349" s="89" t="s">
        <v>210</v>
      </c>
      <c r="M349" s="89" t="s">
        <v>210</v>
      </c>
      <c r="N349" s="89">
        <v>4</v>
      </c>
      <c r="O349" s="89">
        <v>1</v>
      </c>
      <c r="P349" s="89" t="s">
        <v>210</v>
      </c>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c r="AZ349" s="89"/>
      <c r="BA349" s="95"/>
    </row>
    <row r="350" spans="1:53" s="87" customFormat="1">
      <c r="A350" s="374" t="str">
        <f t="shared" si="53"/>
        <v/>
      </c>
      <c r="B350" s="99">
        <v>8</v>
      </c>
      <c r="C350" s="92">
        <v>3</v>
      </c>
      <c r="D350" s="92" t="s">
        <v>210</v>
      </c>
      <c r="E350" s="92" t="s">
        <v>210</v>
      </c>
      <c r="F350" s="92">
        <v>1</v>
      </c>
      <c r="G350" s="92">
        <v>-2</v>
      </c>
      <c r="H350" s="92" t="s">
        <v>210</v>
      </c>
      <c r="I350" s="92" t="s">
        <v>210</v>
      </c>
      <c r="J350" s="92">
        <v>-4</v>
      </c>
      <c r="K350" s="92">
        <v>5</v>
      </c>
      <c r="L350" s="92" t="s">
        <v>210</v>
      </c>
      <c r="M350" s="92" t="s">
        <v>210</v>
      </c>
      <c r="N350" s="92">
        <v>-3</v>
      </c>
      <c r="O350" s="92">
        <v>-1</v>
      </c>
      <c r="P350" s="92" t="s">
        <v>210</v>
      </c>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95"/>
    </row>
    <row r="351" spans="1:53" s="87" customFormat="1">
      <c r="A351" s="374" t="str">
        <f t="shared" si="53"/>
        <v/>
      </c>
      <c r="B351" s="89">
        <v>9</v>
      </c>
      <c r="C351" s="89">
        <v>5</v>
      </c>
      <c r="D351" s="89" t="s">
        <v>210</v>
      </c>
      <c r="E351" s="89">
        <v>-2</v>
      </c>
      <c r="F351" s="89" t="s">
        <v>210</v>
      </c>
      <c r="G351" s="89" t="s">
        <v>210</v>
      </c>
      <c r="H351" s="89">
        <v>-3</v>
      </c>
      <c r="I351" s="89" t="s">
        <v>210</v>
      </c>
      <c r="J351" s="89">
        <v>-6</v>
      </c>
      <c r="K351" s="89">
        <v>4</v>
      </c>
      <c r="L351" s="89" t="s">
        <v>210</v>
      </c>
      <c r="M351" s="89" t="s">
        <v>210</v>
      </c>
      <c r="N351" s="89">
        <v>1</v>
      </c>
      <c r="O351" s="89">
        <v>2</v>
      </c>
      <c r="P351" s="89" t="s">
        <v>210</v>
      </c>
      <c r="Q351" s="89"/>
      <c r="R351" s="89"/>
      <c r="S351" s="89"/>
      <c r="T351" s="89"/>
      <c r="U351" s="89"/>
      <c r="V351" s="89"/>
      <c r="W351" s="89"/>
      <c r="X351" s="89"/>
      <c r="Y351" s="89"/>
      <c r="Z351" s="89"/>
      <c r="AA351" s="89"/>
      <c r="AB351" s="89"/>
      <c r="AC351" s="89"/>
      <c r="AD351" s="89"/>
      <c r="AE351" s="89"/>
      <c r="AF351" s="89"/>
      <c r="AG351" s="89"/>
      <c r="AH351" s="89"/>
      <c r="AI351" s="89"/>
      <c r="AJ351" s="89"/>
      <c r="AK351" s="89"/>
      <c r="AL351" s="89"/>
      <c r="AM351" s="89"/>
      <c r="AN351" s="89"/>
      <c r="AO351" s="89"/>
      <c r="AP351" s="89"/>
      <c r="AQ351" s="89"/>
      <c r="AR351" s="89"/>
      <c r="AS351" s="89"/>
      <c r="AT351" s="89"/>
      <c r="AU351" s="89"/>
      <c r="AV351" s="89"/>
      <c r="AW351" s="89"/>
      <c r="AX351" s="89"/>
      <c r="AY351" s="89"/>
      <c r="AZ351" s="89"/>
      <c r="BA351" s="95"/>
    </row>
    <row r="352" spans="1:53" s="87" customFormat="1">
      <c r="A352" s="374" t="str">
        <f t="shared" si="53"/>
        <v/>
      </c>
      <c r="B352" s="89">
        <v>10</v>
      </c>
      <c r="C352" s="89">
        <v>-1</v>
      </c>
      <c r="D352" s="89" t="s">
        <v>210</v>
      </c>
      <c r="E352" s="89" t="s">
        <v>210</v>
      </c>
      <c r="F352" s="89">
        <v>2</v>
      </c>
      <c r="G352" s="89" t="s">
        <v>210</v>
      </c>
      <c r="H352" s="89">
        <v>-5</v>
      </c>
      <c r="I352" s="89">
        <v>4</v>
      </c>
      <c r="J352" s="89" t="s">
        <v>210</v>
      </c>
      <c r="K352" s="89" t="s">
        <v>210</v>
      </c>
      <c r="L352" s="89">
        <v>6</v>
      </c>
      <c r="M352" s="89">
        <v>5</v>
      </c>
      <c r="N352" s="89" t="s">
        <v>210</v>
      </c>
      <c r="O352" s="89">
        <v>-2</v>
      </c>
      <c r="P352" s="89" t="s">
        <v>210</v>
      </c>
      <c r="Q352" s="89"/>
      <c r="R352" s="89"/>
      <c r="S352" s="89"/>
      <c r="T352" s="89"/>
      <c r="U352" s="89"/>
      <c r="V352" s="89"/>
      <c r="W352" s="89"/>
      <c r="X352" s="89"/>
      <c r="Y352" s="89"/>
      <c r="Z352" s="89"/>
      <c r="AA352" s="89"/>
      <c r="AB352" s="89"/>
      <c r="AC352" s="89"/>
      <c r="AD352" s="89"/>
      <c r="AE352" s="89"/>
      <c r="AF352" s="89"/>
      <c r="AG352" s="89"/>
      <c r="AH352" s="89"/>
      <c r="AI352" s="89"/>
      <c r="AJ352" s="89"/>
      <c r="AK352" s="89"/>
      <c r="AL352" s="89"/>
      <c r="AM352" s="89"/>
      <c r="AN352" s="89"/>
      <c r="AO352" s="89"/>
      <c r="AP352" s="89"/>
      <c r="AQ352" s="89"/>
      <c r="AR352" s="89"/>
      <c r="AS352" s="89"/>
      <c r="AT352" s="89"/>
      <c r="AU352" s="89"/>
      <c r="AV352" s="89"/>
      <c r="AW352" s="89"/>
      <c r="AX352" s="89"/>
      <c r="AY352" s="89"/>
      <c r="AZ352" s="89"/>
      <c r="BA352" s="95"/>
    </row>
    <row r="353" spans="1:53" s="87" customFormat="1">
      <c r="A353" s="374" t="str">
        <f t="shared" si="53"/>
        <v/>
      </c>
      <c r="B353" s="89">
        <v>11</v>
      </c>
      <c r="C353" s="89" t="s">
        <v>210</v>
      </c>
      <c r="D353" s="89">
        <v>2</v>
      </c>
      <c r="E353" s="89">
        <v>5</v>
      </c>
      <c r="F353" s="89" t="s">
        <v>210</v>
      </c>
      <c r="G353" s="89" t="s">
        <v>210</v>
      </c>
      <c r="H353" s="89">
        <v>6</v>
      </c>
      <c r="I353" s="89">
        <v>-4</v>
      </c>
      <c r="J353" s="89" t="s">
        <v>210</v>
      </c>
      <c r="K353" s="89">
        <v>3</v>
      </c>
      <c r="L353" s="89" t="s">
        <v>210</v>
      </c>
      <c r="M353" s="89" t="s">
        <v>210</v>
      </c>
      <c r="N353" s="89">
        <v>-1</v>
      </c>
      <c r="O353" s="89">
        <v>-5</v>
      </c>
      <c r="P353" s="89" t="s">
        <v>210</v>
      </c>
      <c r="Q353" s="89"/>
      <c r="R353" s="89"/>
      <c r="S353" s="89"/>
      <c r="T353" s="89"/>
      <c r="U353" s="89"/>
      <c r="V353" s="89"/>
      <c r="W353" s="89"/>
      <c r="X353" s="89"/>
      <c r="Y353" s="89"/>
      <c r="Z353" s="89"/>
      <c r="AA353" s="89"/>
      <c r="AB353" s="89"/>
      <c r="AC353" s="89"/>
      <c r="AD353" s="89"/>
      <c r="AE353" s="89"/>
      <c r="AF353" s="89"/>
      <c r="AG353" s="89"/>
      <c r="AH353" s="89"/>
      <c r="AI353" s="89"/>
      <c r="AJ353" s="89"/>
      <c r="AK353" s="89"/>
      <c r="AL353" s="89"/>
      <c r="AM353" s="89"/>
      <c r="AN353" s="89"/>
      <c r="AO353" s="89"/>
      <c r="AP353" s="89"/>
      <c r="AQ353" s="89"/>
      <c r="AR353" s="89"/>
      <c r="AS353" s="89"/>
      <c r="AT353" s="89"/>
      <c r="AU353" s="89"/>
      <c r="AV353" s="89"/>
      <c r="AW353" s="89"/>
      <c r="AX353" s="89"/>
      <c r="AY353" s="89"/>
      <c r="AZ353" s="89"/>
      <c r="BA353" s="95"/>
    </row>
    <row r="354" spans="1:53" s="87" customFormat="1">
      <c r="A354" s="374" t="str">
        <f t="shared" si="53"/>
        <v/>
      </c>
      <c r="B354" s="89">
        <v>12</v>
      </c>
      <c r="C354" s="89" t="s">
        <v>210</v>
      </c>
      <c r="D354" s="89">
        <v>6</v>
      </c>
      <c r="E354" s="89">
        <v>2</v>
      </c>
      <c r="F354" s="89" t="s">
        <v>210</v>
      </c>
      <c r="G354" s="89" t="s">
        <v>210</v>
      </c>
      <c r="H354" s="89">
        <v>4</v>
      </c>
      <c r="I354" s="89">
        <v>-5</v>
      </c>
      <c r="J354" s="89" t="s">
        <v>210</v>
      </c>
      <c r="K354" s="89" t="s">
        <v>210</v>
      </c>
      <c r="L354" s="89">
        <v>-6</v>
      </c>
      <c r="M354" s="89">
        <v>-3</v>
      </c>
      <c r="N354" s="89" t="s">
        <v>210</v>
      </c>
      <c r="O354" s="89">
        <v>5</v>
      </c>
      <c r="P354" s="89" t="s">
        <v>210</v>
      </c>
      <c r="Q354" s="89"/>
      <c r="R354" s="89"/>
      <c r="S354" s="89"/>
      <c r="T354" s="89"/>
      <c r="U354" s="89"/>
      <c r="V354" s="89"/>
      <c r="W354" s="89"/>
      <c r="X354" s="89"/>
      <c r="Y354" s="89"/>
      <c r="Z354" s="89"/>
      <c r="AA354" s="89"/>
      <c r="AB354" s="89"/>
      <c r="AC354" s="89"/>
      <c r="AD354" s="89"/>
      <c r="AE354" s="89"/>
      <c r="AF354" s="89"/>
      <c r="AG354" s="89"/>
      <c r="AH354" s="89"/>
      <c r="AI354" s="89"/>
      <c r="AJ354" s="89"/>
      <c r="AK354" s="89"/>
      <c r="AL354" s="89"/>
      <c r="AM354" s="89"/>
      <c r="AN354" s="89"/>
      <c r="AO354" s="89"/>
      <c r="AP354" s="89"/>
      <c r="AQ354" s="89"/>
      <c r="AR354" s="89"/>
      <c r="AS354" s="89"/>
      <c r="AT354" s="89"/>
      <c r="AU354" s="89"/>
      <c r="AV354" s="89"/>
      <c r="AW354" s="89"/>
      <c r="AX354" s="89"/>
      <c r="AY354" s="89"/>
      <c r="AZ354" s="89"/>
      <c r="BA354" s="95"/>
    </row>
    <row r="355" spans="1:53" s="87" customFormat="1">
      <c r="A355" s="374" t="str">
        <f t="shared" si="53"/>
        <v/>
      </c>
      <c r="B355" s="89">
        <v>13</v>
      </c>
      <c r="C355" s="89" t="s">
        <v>210</v>
      </c>
      <c r="D355" s="89">
        <v>-2</v>
      </c>
      <c r="E355" s="89">
        <v>-3</v>
      </c>
      <c r="F355" s="89" t="s">
        <v>210</v>
      </c>
      <c r="G355" s="89" t="s">
        <v>210</v>
      </c>
      <c r="H355" s="89">
        <v>5</v>
      </c>
      <c r="I355" s="89">
        <v>1</v>
      </c>
      <c r="J355" s="89" t="s">
        <v>210</v>
      </c>
      <c r="K355" s="89">
        <v>-4</v>
      </c>
      <c r="L355" s="89" t="s">
        <v>210</v>
      </c>
      <c r="M355" s="89">
        <v>3</v>
      </c>
      <c r="N355" s="89" t="s">
        <v>210</v>
      </c>
      <c r="O355" s="89" t="s">
        <v>210</v>
      </c>
      <c r="P355" s="89">
        <v>-6</v>
      </c>
      <c r="Q355" s="89"/>
      <c r="R355" s="89"/>
      <c r="S355" s="89"/>
      <c r="T355" s="89"/>
      <c r="U355" s="89"/>
      <c r="V355" s="89"/>
      <c r="W355" s="89"/>
      <c r="X355" s="89"/>
      <c r="Y355" s="89"/>
      <c r="Z355" s="89"/>
      <c r="AA355" s="89"/>
      <c r="AB355" s="89"/>
      <c r="AC355" s="89"/>
      <c r="AD355" s="89"/>
      <c r="AE355" s="89"/>
      <c r="AF355" s="89"/>
      <c r="AG355" s="89"/>
      <c r="AH355" s="89"/>
      <c r="AI355" s="89"/>
      <c r="AJ355" s="89"/>
      <c r="AK355" s="89"/>
      <c r="AL355" s="89"/>
      <c r="AM355" s="89"/>
      <c r="AN355" s="89"/>
      <c r="AO355" s="89"/>
      <c r="AP355" s="89"/>
      <c r="AQ355" s="89"/>
      <c r="AR355" s="89"/>
      <c r="AS355" s="89"/>
      <c r="AT355" s="89"/>
      <c r="AU355" s="89"/>
      <c r="AV355" s="89"/>
      <c r="AW355" s="89"/>
      <c r="AX355" s="89"/>
      <c r="AY355" s="89"/>
      <c r="AZ355" s="89"/>
      <c r="BA355" s="95"/>
    </row>
    <row r="356" spans="1:53" s="87" customFormat="1">
      <c r="A356" s="374" t="str">
        <f t="shared" si="53"/>
        <v/>
      </c>
      <c r="B356" s="89">
        <v>14</v>
      </c>
      <c r="C356" s="89">
        <v>-5</v>
      </c>
      <c r="D356" s="89" t="s">
        <v>210</v>
      </c>
      <c r="E356" s="89" t="s">
        <v>210</v>
      </c>
      <c r="F356" s="89">
        <v>-2</v>
      </c>
      <c r="G356" s="89" t="s">
        <v>210</v>
      </c>
      <c r="H356" s="89">
        <v>-6</v>
      </c>
      <c r="I356" s="89">
        <v>5</v>
      </c>
      <c r="J356" s="89" t="s">
        <v>210</v>
      </c>
      <c r="K356" s="89" t="s">
        <v>210</v>
      </c>
      <c r="L356" s="89">
        <v>3</v>
      </c>
      <c r="M356" s="89">
        <v>-4</v>
      </c>
      <c r="N356" s="89" t="s">
        <v>210</v>
      </c>
      <c r="O356" s="89" t="s">
        <v>210</v>
      </c>
      <c r="P356" s="89">
        <v>6</v>
      </c>
      <c r="Q356" s="89"/>
      <c r="R356" s="89"/>
      <c r="S356" s="89"/>
      <c r="T356" s="89"/>
      <c r="U356" s="89"/>
      <c r="V356" s="89"/>
      <c r="W356" s="89"/>
      <c r="X356" s="89"/>
      <c r="Y356" s="89"/>
      <c r="Z356" s="89"/>
      <c r="AA356" s="89"/>
      <c r="AB356" s="89"/>
      <c r="AC356" s="89"/>
      <c r="AD356" s="89"/>
      <c r="AE356" s="89"/>
      <c r="AF356" s="89"/>
      <c r="AG356" s="89"/>
      <c r="AH356" s="89"/>
      <c r="AI356" s="89"/>
      <c r="AJ356" s="89"/>
      <c r="AK356" s="89"/>
      <c r="AL356" s="89"/>
      <c r="AM356" s="89"/>
      <c r="AN356" s="89"/>
      <c r="AO356" s="89"/>
      <c r="AP356" s="89"/>
      <c r="AQ356" s="89"/>
      <c r="AR356" s="89"/>
      <c r="AS356" s="89"/>
      <c r="AT356" s="89"/>
      <c r="AU356" s="89"/>
      <c r="AV356" s="89"/>
      <c r="AW356" s="89"/>
      <c r="AX356" s="89"/>
      <c r="AY356" s="89"/>
      <c r="AZ356" s="89"/>
      <c r="BA356" s="95"/>
    </row>
    <row r="357" spans="1:53" s="87" customFormat="1">
      <c r="A357" s="374" t="str">
        <f t="shared" si="53"/>
        <v/>
      </c>
      <c r="B357" s="99">
        <v>15</v>
      </c>
      <c r="C357" s="92">
        <v>1</v>
      </c>
      <c r="D357" s="92" t="s">
        <v>210</v>
      </c>
      <c r="E357" s="92">
        <v>3</v>
      </c>
      <c r="F357" s="92" t="s">
        <v>210</v>
      </c>
      <c r="G357" s="92" t="s">
        <v>210</v>
      </c>
      <c r="H357" s="92">
        <v>-4</v>
      </c>
      <c r="I357" s="92" t="s">
        <v>210</v>
      </c>
      <c r="J357" s="92">
        <v>6</v>
      </c>
      <c r="K357" s="92">
        <v>-3</v>
      </c>
      <c r="L357" s="92" t="s">
        <v>210</v>
      </c>
      <c r="M357" s="92">
        <v>4</v>
      </c>
      <c r="N357" s="92" t="s">
        <v>210</v>
      </c>
      <c r="O357" s="92" t="s">
        <v>210</v>
      </c>
      <c r="P357" s="92">
        <v>-2</v>
      </c>
      <c r="Q357" s="89"/>
      <c r="R357" s="89"/>
      <c r="S357" s="89"/>
      <c r="T357" s="89"/>
      <c r="U357" s="89"/>
      <c r="V357" s="89"/>
      <c r="W357" s="89"/>
      <c r="X357" s="89"/>
      <c r="Y357" s="89"/>
      <c r="Z357" s="89"/>
      <c r="AA357" s="89"/>
      <c r="AB357" s="89"/>
      <c r="AC357" s="89"/>
      <c r="AD357" s="89"/>
      <c r="AE357" s="89"/>
      <c r="AF357" s="89"/>
      <c r="AG357" s="89"/>
      <c r="AH357" s="89"/>
      <c r="AI357" s="89"/>
      <c r="AJ357" s="89"/>
      <c r="AK357" s="89"/>
      <c r="AL357" s="89"/>
      <c r="AM357" s="89"/>
      <c r="AN357" s="89"/>
      <c r="AO357" s="89"/>
      <c r="AP357" s="89"/>
      <c r="AQ357" s="89"/>
      <c r="AR357" s="89"/>
      <c r="AS357" s="89"/>
      <c r="AT357" s="89"/>
      <c r="AU357" s="89"/>
      <c r="AV357" s="89"/>
      <c r="AW357" s="89"/>
      <c r="AX357" s="89"/>
      <c r="AY357" s="89"/>
      <c r="AZ357" s="89"/>
      <c r="BA357" s="95"/>
    </row>
    <row r="358" spans="1:53" s="87" customFormat="1">
      <c r="A358" s="374" t="str">
        <f t="shared" si="53"/>
        <v/>
      </c>
      <c r="B358" s="89">
        <v>16</v>
      </c>
      <c r="C358" s="89" t="s">
        <v>210</v>
      </c>
      <c r="D358" s="89">
        <v>-5</v>
      </c>
      <c r="E358" s="89">
        <v>-6</v>
      </c>
      <c r="F358" s="89" t="s">
        <v>210</v>
      </c>
      <c r="G358" s="89" t="s">
        <v>210</v>
      </c>
      <c r="H358" s="89">
        <v>3</v>
      </c>
      <c r="I358" s="89">
        <v>2</v>
      </c>
      <c r="J358" s="89" t="s">
        <v>210</v>
      </c>
      <c r="K358" s="89" t="s">
        <v>210</v>
      </c>
      <c r="L358" s="89">
        <v>5</v>
      </c>
      <c r="M358" s="89">
        <v>-1</v>
      </c>
      <c r="N358" s="89" t="s">
        <v>210</v>
      </c>
      <c r="O358" s="89" t="s">
        <v>210</v>
      </c>
      <c r="P358" s="89">
        <v>-4</v>
      </c>
      <c r="Q358" s="89"/>
      <c r="R358" s="89"/>
      <c r="S358" s="89"/>
      <c r="T358" s="89"/>
      <c r="U358" s="89"/>
      <c r="V358" s="89"/>
      <c r="W358" s="89"/>
      <c r="X358" s="89"/>
      <c r="Y358" s="89"/>
      <c r="Z358" s="89"/>
      <c r="AA358" s="89"/>
      <c r="AB358" s="89"/>
      <c r="AC358" s="89"/>
      <c r="AD358" s="89"/>
      <c r="AE358" s="89"/>
      <c r="AF358" s="89"/>
      <c r="AG358" s="89"/>
      <c r="AH358" s="89"/>
      <c r="AI358" s="89"/>
      <c r="AJ358" s="89"/>
      <c r="AK358" s="89"/>
      <c r="AL358" s="89"/>
      <c r="AM358" s="89"/>
      <c r="AN358" s="89"/>
      <c r="AO358" s="89"/>
      <c r="AP358" s="89"/>
      <c r="AQ358" s="89"/>
      <c r="AR358" s="89"/>
      <c r="AS358" s="89"/>
      <c r="AT358" s="89"/>
      <c r="AU358" s="89"/>
      <c r="AV358" s="89"/>
      <c r="AW358" s="89"/>
      <c r="AX358" s="89"/>
      <c r="AY358" s="89"/>
      <c r="AZ358" s="89"/>
      <c r="BA358" s="95"/>
    </row>
    <row r="359" spans="1:53" s="87" customFormat="1">
      <c r="A359" s="374" t="str">
        <f t="shared" si="53"/>
        <v/>
      </c>
      <c r="B359" s="89">
        <v>17</v>
      </c>
      <c r="C359" s="89" t="s">
        <v>210</v>
      </c>
      <c r="D359" s="89">
        <v>-3</v>
      </c>
      <c r="E359" s="89">
        <v>1</v>
      </c>
      <c r="F359" s="89" t="s">
        <v>210</v>
      </c>
      <c r="G359" s="89">
        <v>5</v>
      </c>
      <c r="H359" s="89" t="s">
        <v>210</v>
      </c>
      <c r="I359" s="89">
        <v>-6</v>
      </c>
      <c r="J359" s="89" t="s">
        <v>210</v>
      </c>
      <c r="K359" s="89" t="s">
        <v>210</v>
      </c>
      <c r="L359" s="89">
        <v>-2</v>
      </c>
      <c r="M359" s="89">
        <v>-5</v>
      </c>
      <c r="N359" s="89" t="s">
        <v>210</v>
      </c>
      <c r="O359" s="89" t="s">
        <v>210</v>
      </c>
      <c r="P359" s="89">
        <v>4</v>
      </c>
      <c r="Q359" s="89"/>
      <c r="R359" s="89"/>
      <c r="S359" s="89"/>
      <c r="T359" s="89"/>
      <c r="U359" s="89"/>
      <c r="V359" s="89"/>
      <c r="W359" s="89"/>
      <c r="X359" s="89"/>
      <c r="Y359" s="89"/>
      <c r="Z359" s="89"/>
      <c r="AA359" s="89"/>
      <c r="AB359" s="89"/>
      <c r="AC359" s="89"/>
      <c r="AD359" s="89"/>
      <c r="AE359" s="89"/>
      <c r="AF359" s="89"/>
      <c r="AG359" s="89"/>
      <c r="AH359" s="89"/>
      <c r="AI359" s="89"/>
      <c r="AJ359" s="89"/>
      <c r="AK359" s="89"/>
      <c r="AL359" s="89"/>
      <c r="AM359" s="89"/>
      <c r="AN359" s="89"/>
      <c r="AO359" s="89"/>
      <c r="AP359" s="89"/>
      <c r="AQ359" s="89"/>
      <c r="AR359" s="89"/>
      <c r="AS359" s="89"/>
      <c r="AT359" s="89"/>
      <c r="AU359" s="89"/>
      <c r="AV359" s="89"/>
      <c r="AW359" s="89"/>
      <c r="AX359" s="89"/>
      <c r="AY359" s="89"/>
      <c r="AZ359" s="89"/>
      <c r="BA359" s="95"/>
    </row>
    <row r="360" spans="1:53" s="87" customFormat="1">
      <c r="A360" s="374" t="str">
        <f t="shared" si="53"/>
        <v/>
      </c>
      <c r="B360" s="89">
        <v>18</v>
      </c>
      <c r="C360" s="89" t="s">
        <v>210</v>
      </c>
      <c r="D360" s="89">
        <v>4</v>
      </c>
      <c r="E360" s="89">
        <v>-5</v>
      </c>
      <c r="F360" s="89" t="s">
        <v>210</v>
      </c>
      <c r="G360" s="89">
        <v>-1</v>
      </c>
      <c r="H360" s="89" t="s">
        <v>210</v>
      </c>
      <c r="I360" s="89">
        <v>-3</v>
      </c>
      <c r="J360" s="89" t="s">
        <v>210</v>
      </c>
      <c r="K360" s="89" t="s">
        <v>210</v>
      </c>
      <c r="L360" s="89">
        <v>2</v>
      </c>
      <c r="M360" s="89">
        <v>1</v>
      </c>
      <c r="N360" s="89" t="s">
        <v>210</v>
      </c>
      <c r="O360" s="89" t="s">
        <v>210</v>
      </c>
      <c r="P360" s="89">
        <v>3</v>
      </c>
      <c r="Q360" s="89"/>
      <c r="R360" s="89"/>
      <c r="S360" s="89"/>
      <c r="T360" s="89"/>
      <c r="U360" s="89"/>
      <c r="V360" s="89"/>
      <c r="W360" s="89"/>
      <c r="X360" s="89"/>
      <c r="Y360" s="89"/>
      <c r="Z360" s="89"/>
      <c r="AA360" s="89"/>
      <c r="AB360" s="89"/>
      <c r="AC360" s="89"/>
      <c r="AD360" s="89"/>
      <c r="AE360" s="89"/>
      <c r="AF360" s="89"/>
      <c r="AG360" s="89"/>
      <c r="AH360" s="89"/>
      <c r="AI360" s="89"/>
      <c r="AJ360" s="89"/>
      <c r="AK360" s="89"/>
      <c r="AL360" s="89"/>
      <c r="AM360" s="89"/>
      <c r="AN360" s="89"/>
      <c r="AO360" s="89"/>
      <c r="AP360" s="89"/>
      <c r="AQ360" s="89"/>
      <c r="AR360" s="89"/>
      <c r="AS360" s="89"/>
      <c r="AT360" s="89"/>
      <c r="AU360" s="89"/>
      <c r="AV360" s="89"/>
      <c r="AW360" s="89"/>
      <c r="AX360" s="89"/>
      <c r="AY360" s="89"/>
      <c r="AZ360" s="89"/>
      <c r="BA360" s="95"/>
    </row>
    <row r="361" spans="1:53" s="87" customFormat="1">
      <c r="A361" s="374" t="str">
        <f t="shared" si="53"/>
        <v/>
      </c>
      <c r="B361" s="89">
        <v>19</v>
      </c>
      <c r="C361" s="89" t="s">
        <v>210</v>
      </c>
      <c r="D361" s="89">
        <v>-6</v>
      </c>
      <c r="E361" s="89">
        <v>4</v>
      </c>
      <c r="F361" s="89" t="s">
        <v>210</v>
      </c>
      <c r="G361" s="89" t="s">
        <v>210</v>
      </c>
      <c r="H361" s="89">
        <v>2</v>
      </c>
      <c r="I361" s="89">
        <v>6</v>
      </c>
      <c r="J361" s="89" t="s">
        <v>210</v>
      </c>
      <c r="K361" s="89" t="s">
        <v>210</v>
      </c>
      <c r="L361" s="89">
        <v>-5</v>
      </c>
      <c r="M361" s="89">
        <v>-2</v>
      </c>
      <c r="N361" s="89" t="s">
        <v>210</v>
      </c>
      <c r="O361" s="89" t="s">
        <v>210</v>
      </c>
      <c r="P361" s="89">
        <v>-3</v>
      </c>
      <c r="Q361" s="89"/>
      <c r="R361" s="89"/>
      <c r="S361" s="89"/>
      <c r="T361" s="89"/>
      <c r="U361" s="89"/>
      <c r="V361" s="89"/>
      <c r="W361" s="89"/>
      <c r="X361" s="89"/>
      <c r="Y361" s="89"/>
      <c r="Z361" s="89"/>
      <c r="AA361" s="89"/>
      <c r="AB361" s="89"/>
      <c r="AC361" s="89"/>
      <c r="AD361" s="89"/>
      <c r="AE361" s="89"/>
      <c r="AF361" s="89"/>
      <c r="AG361" s="89"/>
      <c r="AH361" s="89"/>
      <c r="AI361" s="89"/>
      <c r="AJ361" s="89"/>
      <c r="AK361" s="89"/>
      <c r="AL361" s="89"/>
      <c r="AM361" s="89"/>
      <c r="AN361" s="89"/>
      <c r="AO361" s="89"/>
      <c r="AP361" s="89"/>
      <c r="AQ361" s="89"/>
      <c r="AR361" s="89"/>
      <c r="AS361" s="89"/>
      <c r="AT361" s="89"/>
      <c r="AU361" s="89"/>
      <c r="AV361" s="89"/>
      <c r="AW361" s="89"/>
      <c r="AX361" s="89"/>
      <c r="AY361" s="89"/>
      <c r="AZ361" s="89"/>
      <c r="BA361" s="95"/>
    </row>
    <row r="362" spans="1:53" s="87" customFormat="1">
      <c r="A362" s="374" t="str">
        <f t="shared" si="53"/>
        <v/>
      </c>
      <c r="B362" s="89">
        <v>20</v>
      </c>
      <c r="C362" s="89" t="s">
        <v>210</v>
      </c>
      <c r="D362" s="89">
        <v>-4</v>
      </c>
      <c r="E362" s="89">
        <v>6</v>
      </c>
      <c r="F362" s="89" t="s">
        <v>210</v>
      </c>
      <c r="G362" s="89">
        <v>-5</v>
      </c>
      <c r="H362" s="89" t="s">
        <v>210</v>
      </c>
      <c r="I362" s="89">
        <v>-1</v>
      </c>
      <c r="J362" s="89" t="s">
        <v>210</v>
      </c>
      <c r="K362" s="89" t="s">
        <v>210</v>
      </c>
      <c r="L362" s="89">
        <v>4</v>
      </c>
      <c r="M362" s="89">
        <v>2</v>
      </c>
      <c r="N362" s="89" t="s">
        <v>210</v>
      </c>
      <c r="O362" s="89" t="s">
        <v>210</v>
      </c>
      <c r="P362" s="89">
        <v>5</v>
      </c>
      <c r="Q362" s="89"/>
      <c r="R362" s="89"/>
      <c r="S362" s="89"/>
      <c r="T362" s="89"/>
      <c r="U362" s="89"/>
      <c r="V362" s="89"/>
      <c r="W362" s="89"/>
      <c r="X362" s="89"/>
      <c r="Y362" s="89"/>
      <c r="Z362" s="89"/>
      <c r="AA362" s="89"/>
      <c r="AB362" s="89"/>
      <c r="AC362" s="89"/>
      <c r="AD362" s="89"/>
      <c r="AE362" s="89"/>
      <c r="AF362" s="89"/>
      <c r="AG362" s="89"/>
      <c r="AH362" s="89"/>
      <c r="AI362" s="89"/>
      <c r="AJ362" s="89"/>
      <c r="AK362" s="89"/>
      <c r="AL362" s="89"/>
      <c r="AM362" s="89"/>
      <c r="AN362" s="89"/>
      <c r="AO362" s="89"/>
      <c r="AP362" s="89"/>
      <c r="AQ362" s="89"/>
      <c r="AR362" s="89"/>
      <c r="AS362" s="89"/>
      <c r="AT362" s="89"/>
      <c r="AU362" s="89"/>
      <c r="AV362" s="89"/>
      <c r="AW362" s="89"/>
      <c r="AX362" s="89"/>
      <c r="AY362" s="89"/>
      <c r="AZ362" s="89"/>
      <c r="BA362" s="95"/>
    </row>
    <row r="363" spans="1:53" s="87" customFormat="1">
      <c r="A363" s="374" t="str">
        <f t="shared" si="53"/>
        <v/>
      </c>
      <c r="B363" s="89">
        <v>21</v>
      </c>
      <c r="C363" s="89" t="s">
        <v>210</v>
      </c>
      <c r="D363" s="89">
        <v>3</v>
      </c>
      <c r="E363" s="89">
        <v>-4</v>
      </c>
      <c r="F363" s="89" t="s">
        <v>210</v>
      </c>
      <c r="G363" s="89">
        <v>1</v>
      </c>
      <c r="H363" s="89" t="s">
        <v>210</v>
      </c>
      <c r="I363" s="89">
        <v>-2</v>
      </c>
      <c r="J363" s="89" t="s">
        <v>210</v>
      </c>
      <c r="K363" s="89" t="s">
        <v>210</v>
      </c>
      <c r="L363" s="89">
        <v>-3</v>
      </c>
      <c r="M363" s="89">
        <v>6</v>
      </c>
      <c r="N363" s="89" t="s">
        <v>210</v>
      </c>
      <c r="O363" s="89" t="s">
        <v>210</v>
      </c>
      <c r="P363" s="89">
        <v>-5</v>
      </c>
      <c r="Q363" s="89"/>
      <c r="R363" s="89"/>
      <c r="S363" s="89"/>
      <c r="T363" s="89"/>
      <c r="U363" s="89"/>
      <c r="V363" s="89"/>
      <c r="W363" s="89"/>
      <c r="X363" s="89"/>
      <c r="Y363" s="89"/>
      <c r="Z363" s="89"/>
      <c r="AA363" s="89"/>
      <c r="AB363" s="89"/>
      <c r="AC363" s="89"/>
      <c r="AD363" s="89"/>
      <c r="AE363" s="89"/>
      <c r="AF363" s="89"/>
      <c r="AG363" s="89"/>
      <c r="AH363" s="89"/>
      <c r="AI363" s="89"/>
      <c r="AJ363" s="89"/>
      <c r="AK363" s="89"/>
      <c r="AL363" s="89"/>
      <c r="AM363" s="89"/>
      <c r="AN363" s="89"/>
      <c r="AO363" s="89"/>
      <c r="AP363" s="89"/>
      <c r="AQ363" s="89"/>
      <c r="AR363" s="89"/>
      <c r="AS363" s="89"/>
      <c r="AT363" s="89"/>
      <c r="AU363" s="89"/>
      <c r="AV363" s="89"/>
      <c r="AW363" s="89"/>
      <c r="AX363" s="89"/>
      <c r="AY363" s="89"/>
      <c r="AZ363" s="89"/>
      <c r="BA363" s="95"/>
    </row>
    <row r="364" spans="1:53" s="87" customFormat="1">
      <c r="A364" s="374" t="str">
        <f t="shared" si="53"/>
        <v/>
      </c>
      <c r="B364" s="89">
        <v>22</v>
      </c>
      <c r="C364" s="89" t="s">
        <v>210</v>
      </c>
      <c r="D364" s="89">
        <v>5</v>
      </c>
      <c r="E364" s="89">
        <v>-1</v>
      </c>
      <c r="F364" s="89" t="s">
        <v>210</v>
      </c>
      <c r="G364" s="89" t="s">
        <v>210</v>
      </c>
      <c r="H364" s="89">
        <v>-2</v>
      </c>
      <c r="I364" s="89">
        <v>3</v>
      </c>
      <c r="J364" s="89" t="s">
        <v>210</v>
      </c>
      <c r="K364" s="89" t="s">
        <v>210</v>
      </c>
      <c r="L364" s="89">
        <v>-4</v>
      </c>
      <c r="M364" s="89">
        <v>-6</v>
      </c>
      <c r="N364" s="89" t="s">
        <v>210</v>
      </c>
      <c r="O364" s="89" t="s">
        <v>210</v>
      </c>
      <c r="P364" s="89">
        <v>2</v>
      </c>
      <c r="Q364" s="89"/>
      <c r="R364" s="89"/>
      <c r="S364" s="89"/>
      <c r="T364" s="89"/>
      <c r="U364" s="89"/>
      <c r="V364" s="89"/>
      <c r="W364" s="89"/>
      <c r="X364" s="89"/>
      <c r="Y364" s="89"/>
      <c r="Z364" s="89"/>
      <c r="AA364" s="89"/>
      <c r="AB364" s="89"/>
      <c r="AC364" s="89"/>
      <c r="AD364" s="89"/>
      <c r="AE364" s="89"/>
      <c r="AF364" s="89"/>
      <c r="AG364" s="89"/>
      <c r="AH364" s="89"/>
      <c r="AI364" s="89"/>
      <c r="AJ364" s="89"/>
      <c r="AK364" s="89"/>
      <c r="AL364" s="89"/>
      <c r="AM364" s="89"/>
      <c r="AN364" s="89"/>
      <c r="AO364" s="89"/>
      <c r="AP364" s="89"/>
      <c r="AQ364" s="89"/>
      <c r="AR364" s="89"/>
      <c r="AS364" s="89"/>
      <c r="AT364" s="89"/>
      <c r="AU364" s="89"/>
      <c r="AV364" s="89"/>
      <c r="AW364" s="89"/>
      <c r="AX364" s="89"/>
      <c r="AY364" s="89"/>
      <c r="AZ364" s="89"/>
      <c r="BA364" s="95"/>
    </row>
    <row r="365" spans="1:53" s="87" customFormat="1">
      <c r="A365" s="374" t="str">
        <f t="shared" si="53"/>
        <v/>
      </c>
      <c r="B365" s="89" t="s">
        <v>364</v>
      </c>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c r="AA365" s="89"/>
      <c r="AB365" s="89"/>
      <c r="AC365" s="89"/>
      <c r="AD365" s="89"/>
      <c r="AE365" s="89"/>
      <c r="AF365" s="89"/>
      <c r="AG365" s="89"/>
      <c r="AH365" s="89"/>
      <c r="AI365" s="89"/>
      <c r="AJ365" s="89"/>
      <c r="AK365" s="89"/>
      <c r="AL365" s="89"/>
      <c r="AM365" s="89"/>
      <c r="AN365" s="89"/>
      <c r="AO365" s="89"/>
      <c r="AP365" s="89"/>
      <c r="AQ365" s="89"/>
      <c r="AR365" s="89"/>
      <c r="AS365" s="89"/>
      <c r="AT365" s="89"/>
      <c r="AU365" s="89"/>
      <c r="AV365" s="89"/>
      <c r="AW365" s="89"/>
      <c r="AX365" s="89"/>
      <c r="AY365" s="89"/>
      <c r="AZ365" s="89"/>
      <c r="BA365" s="95"/>
    </row>
    <row r="366" spans="1:53" s="87" customFormat="1">
      <c r="A366" s="374">
        <f t="shared" si="53"/>
        <v>366</v>
      </c>
      <c r="B366" s="89" t="s">
        <v>365</v>
      </c>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c r="AA366" s="89"/>
      <c r="AB366" s="89"/>
      <c r="AC366" s="89"/>
      <c r="AD366" s="89"/>
      <c r="AE366" s="89"/>
      <c r="AF366" s="89"/>
      <c r="AG366" s="89"/>
      <c r="AH366" s="89"/>
      <c r="AI366" s="89"/>
      <c r="AJ366" s="89"/>
      <c r="AK366" s="89"/>
      <c r="AL366" s="89"/>
      <c r="AM366" s="89"/>
      <c r="AN366" s="89"/>
      <c r="AO366" s="89"/>
      <c r="AP366" s="89"/>
      <c r="AQ366" s="89"/>
      <c r="AR366" s="89"/>
      <c r="AS366" s="89"/>
      <c r="AT366" s="89"/>
      <c r="AU366" s="89"/>
      <c r="AV366" s="89"/>
      <c r="AW366" s="89"/>
      <c r="AX366" s="89"/>
      <c r="AY366" s="89"/>
      <c r="AZ366" s="89"/>
      <c r="BA366" s="95"/>
    </row>
    <row r="367" spans="1:53" s="87" customFormat="1">
      <c r="A367" s="374" t="str">
        <f t="shared" si="53"/>
        <v/>
      </c>
      <c r="B367" s="89">
        <v>1</v>
      </c>
      <c r="C367" s="89">
        <v>-1</v>
      </c>
      <c r="D367" s="89" t="s">
        <v>210</v>
      </c>
      <c r="E367" s="89" t="s">
        <v>210</v>
      </c>
      <c r="F367" s="89">
        <v>-2</v>
      </c>
      <c r="G367" s="89">
        <v>4</v>
      </c>
      <c r="H367" s="89" t="s">
        <v>210</v>
      </c>
      <c r="I367" s="89" t="s">
        <v>210</v>
      </c>
      <c r="J367" s="89">
        <v>6</v>
      </c>
      <c r="K367" s="89">
        <v>-3</v>
      </c>
      <c r="L367" s="89" t="s">
        <v>210</v>
      </c>
      <c r="M367" s="89"/>
      <c r="N367" s="89"/>
      <c r="O367" s="89"/>
      <c r="P367" s="89"/>
      <c r="Q367" s="89"/>
      <c r="R367" s="89"/>
      <c r="S367" s="89"/>
      <c r="T367" s="89"/>
      <c r="U367" s="89"/>
      <c r="V367" s="89"/>
      <c r="W367" s="89"/>
      <c r="X367" s="89"/>
      <c r="Y367" s="89"/>
      <c r="Z367" s="89"/>
      <c r="AA367" s="89"/>
      <c r="AB367" s="89"/>
      <c r="AC367" s="89"/>
      <c r="AD367" s="89"/>
      <c r="AE367" s="89"/>
      <c r="AF367" s="89"/>
      <c r="AG367" s="89"/>
      <c r="AH367" s="89"/>
      <c r="AI367" s="89"/>
      <c r="AJ367" s="89"/>
      <c r="AK367" s="89"/>
      <c r="AL367" s="89"/>
      <c r="AM367" s="89"/>
      <c r="AN367" s="89"/>
      <c r="AO367" s="89"/>
      <c r="AP367" s="89"/>
      <c r="AQ367" s="89"/>
      <c r="AR367" s="89"/>
      <c r="AS367" s="89"/>
      <c r="AT367" s="89"/>
      <c r="AU367" s="89"/>
      <c r="AV367" s="89"/>
      <c r="AW367" s="89"/>
      <c r="AX367" s="89"/>
      <c r="AY367" s="89"/>
      <c r="AZ367" s="89"/>
      <c r="BA367" s="95"/>
    </row>
    <row r="368" spans="1:53" s="87" customFormat="1">
      <c r="A368" s="374" t="str">
        <f t="shared" si="53"/>
        <v/>
      </c>
      <c r="B368" s="89">
        <v>2</v>
      </c>
      <c r="C368" s="89">
        <v>5</v>
      </c>
      <c r="D368" s="89" t="s">
        <v>210</v>
      </c>
      <c r="E368" s="89" t="s">
        <v>210</v>
      </c>
      <c r="F368" s="89">
        <v>-4</v>
      </c>
      <c r="G368" s="89">
        <v>-6</v>
      </c>
      <c r="H368" s="89" t="s">
        <v>210</v>
      </c>
      <c r="I368" s="89" t="s">
        <v>210</v>
      </c>
      <c r="J368" s="89">
        <v>2</v>
      </c>
      <c r="K368" s="89">
        <v>3</v>
      </c>
      <c r="L368" s="89" t="s">
        <v>210</v>
      </c>
      <c r="M368" s="89"/>
      <c r="N368" s="89"/>
      <c r="O368" s="89"/>
      <c r="P368" s="89"/>
      <c r="Q368" s="89"/>
      <c r="R368" s="89"/>
      <c r="S368" s="89"/>
      <c r="T368" s="89"/>
      <c r="U368" s="89"/>
      <c r="V368" s="89"/>
      <c r="W368" s="89"/>
      <c r="X368" s="89"/>
      <c r="Y368" s="89"/>
      <c r="Z368" s="89"/>
      <c r="AA368" s="89"/>
      <c r="AB368" s="89"/>
      <c r="AC368" s="89"/>
      <c r="AD368" s="89"/>
      <c r="AE368" s="89"/>
      <c r="AF368" s="89"/>
      <c r="AG368" s="89"/>
      <c r="AH368" s="89"/>
      <c r="AI368" s="89"/>
      <c r="AJ368" s="89"/>
      <c r="AK368" s="89"/>
      <c r="AL368" s="89"/>
      <c r="AM368" s="89"/>
      <c r="AN368" s="89"/>
      <c r="AO368" s="89"/>
      <c r="AP368" s="89"/>
      <c r="AQ368" s="89"/>
      <c r="AR368" s="89"/>
      <c r="AS368" s="89"/>
      <c r="AT368" s="89"/>
      <c r="AU368" s="89"/>
      <c r="AV368" s="89"/>
      <c r="AW368" s="89"/>
      <c r="AX368" s="89"/>
      <c r="AY368" s="89"/>
      <c r="AZ368" s="89"/>
      <c r="BA368" s="95"/>
    </row>
    <row r="369" spans="1:53" s="87" customFormat="1">
      <c r="A369" s="374" t="str">
        <f t="shared" si="53"/>
        <v/>
      </c>
      <c r="B369" s="89">
        <v>3</v>
      </c>
      <c r="C369" s="89">
        <v>-5</v>
      </c>
      <c r="D369" s="89" t="s">
        <v>210</v>
      </c>
      <c r="E369" s="89" t="s">
        <v>210</v>
      </c>
      <c r="F369" s="89">
        <v>-1</v>
      </c>
      <c r="G369" s="89">
        <v>3</v>
      </c>
      <c r="H369" s="89" t="s">
        <v>210</v>
      </c>
      <c r="I369" s="89" t="s">
        <v>210</v>
      </c>
      <c r="J369" s="89">
        <v>-6</v>
      </c>
      <c r="K369" s="89">
        <v>4</v>
      </c>
      <c r="L369" s="89" t="s">
        <v>210</v>
      </c>
      <c r="M369" s="89"/>
      <c r="N369" s="89"/>
      <c r="O369" s="89"/>
      <c r="P369" s="89"/>
      <c r="Q369" s="89"/>
      <c r="R369" s="89"/>
      <c r="S369" s="89"/>
      <c r="T369" s="89"/>
      <c r="U369" s="89"/>
      <c r="V369" s="89"/>
      <c r="W369" s="89"/>
      <c r="X369" s="89"/>
      <c r="Y369" s="89"/>
      <c r="Z369" s="89"/>
      <c r="AA369" s="89"/>
      <c r="AB369" s="89"/>
      <c r="AC369" s="89"/>
      <c r="AD369" s="89"/>
      <c r="AE369" s="89"/>
      <c r="AF369" s="89"/>
      <c r="AG369" s="89"/>
      <c r="AH369" s="89"/>
      <c r="AI369" s="89"/>
      <c r="AJ369" s="89"/>
      <c r="AK369" s="89"/>
      <c r="AL369" s="89"/>
      <c r="AM369" s="89"/>
      <c r="AN369" s="89"/>
      <c r="AO369" s="89"/>
      <c r="AP369" s="89"/>
      <c r="AQ369" s="89"/>
      <c r="AR369" s="89"/>
      <c r="AS369" s="89"/>
      <c r="AT369" s="89"/>
      <c r="AU369" s="89"/>
      <c r="AV369" s="89"/>
      <c r="AW369" s="89"/>
      <c r="AX369" s="89"/>
      <c r="AY369" s="89"/>
      <c r="AZ369" s="89"/>
      <c r="BA369" s="95"/>
    </row>
    <row r="370" spans="1:53" s="87" customFormat="1">
      <c r="A370" s="374" t="str">
        <f t="shared" si="53"/>
        <v/>
      </c>
      <c r="B370" s="89">
        <v>4</v>
      </c>
      <c r="C370" s="89">
        <v>-3</v>
      </c>
      <c r="D370" s="89" t="s">
        <v>210</v>
      </c>
      <c r="E370" s="89" t="s">
        <v>210</v>
      </c>
      <c r="F370" s="89">
        <v>2</v>
      </c>
      <c r="G370" s="89">
        <v>6</v>
      </c>
      <c r="H370" s="89" t="s">
        <v>210</v>
      </c>
      <c r="I370" s="89" t="s">
        <v>210</v>
      </c>
      <c r="J370" s="89">
        <v>-5</v>
      </c>
      <c r="K370" s="89">
        <v>-4</v>
      </c>
      <c r="L370" s="89" t="s">
        <v>210</v>
      </c>
      <c r="M370" s="89"/>
      <c r="N370" s="89"/>
      <c r="O370" s="89"/>
      <c r="P370" s="89"/>
      <c r="Q370" s="89"/>
      <c r="R370" s="89"/>
      <c r="S370" s="89"/>
      <c r="T370" s="89"/>
      <c r="U370" s="89"/>
      <c r="V370" s="89"/>
      <c r="W370" s="89"/>
      <c r="X370" s="89"/>
      <c r="Y370" s="89"/>
      <c r="Z370" s="89"/>
      <c r="AA370" s="89"/>
      <c r="AB370" s="89"/>
      <c r="AC370" s="89"/>
      <c r="AD370" s="89"/>
      <c r="AE370" s="89"/>
      <c r="AF370" s="89"/>
      <c r="AG370" s="89"/>
      <c r="AH370" s="89"/>
      <c r="AI370" s="89"/>
      <c r="AJ370" s="89"/>
      <c r="AK370" s="89"/>
      <c r="AL370" s="89"/>
      <c r="AM370" s="89"/>
      <c r="AN370" s="89"/>
      <c r="AO370" s="89"/>
      <c r="AP370" s="89"/>
      <c r="AQ370" s="89"/>
      <c r="AR370" s="89"/>
      <c r="AS370" s="89"/>
      <c r="AT370" s="89"/>
      <c r="AU370" s="89"/>
      <c r="AV370" s="89"/>
      <c r="AW370" s="89"/>
      <c r="AX370" s="89"/>
      <c r="AY370" s="89"/>
      <c r="AZ370" s="89"/>
      <c r="BA370" s="95"/>
    </row>
    <row r="371" spans="1:53" s="87" customFormat="1">
      <c r="A371" s="374" t="str">
        <f t="shared" si="53"/>
        <v/>
      </c>
      <c r="B371" s="89">
        <v>5</v>
      </c>
      <c r="C371" s="89">
        <v>1</v>
      </c>
      <c r="D371" s="89" t="s">
        <v>210</v>
      </c>
      <c r="E371" s="89" t="s">
        <v>210</v>
      </c>
      <c r="F371" s="89">
        <v>4</v>
      </c>
      <c r="G371" s="89">
        <v>-3</v>
      </c>
      <c r="H371" s="89" t="s">
        <v>210</v>
      </c>
      <c r="I371" s="89" t="s">
        <v>210</v>
      </c>
      <c r="J371" s="89">
        <v>5</v>
      </c>
      <c r="K371" s="89">
        <v>-6</v>
      </c>
      <c r="L371" s="89" t="s">
        <v>210</v>
      </c>
      <c r="M371" s="89"/>
      <c r="N371" s="89"/>
      <c r="O371" s="89"/>
      <c r="P371" s="89"/>
      <c r="Q371" s="89"/>
      <c r="R371" s="89"/>
      <c r="S371" s="89"/>
      <c r="T371" s="89"/>
      <c r="U371" s="89"/>
      <c r="V371" s="89"/>
      <c r="W371" s="89"/>
      <c r="X371" s="89"/>
      <c r="Y371" s="89"/>
      <c r="Z371" s="89"/>
      <c r="AA371" s="89"/>
      <c r="AB371" s="89"/>
      <c r="AC371" s="89"/>
      <c r="AD371" s="89"/>
      <c r="AE371" s="89"/>
      <c r="AF371" s="89"/>
      <c r="AG371" s="89"/>
      <c r="AH371" s="89"/>
      <c r="AI371" s="89"/>
      <c r="AJ371" s="89"/>
      <c r="AK371" s="89"/>
      <c r="AL371" s="89"/>
      <c r="AM371" s="89"/>
      <c r="AN371" s="89"/>
      <c r="AO371" s="89"/>
      <c r="AP371" s="89"/>
      <c r="AQ371" s="89"/>
      <c r="AR371" s="89"/>
      <c r="AS371" s="89"/>
      <c r="AT371" s="89"/>
      <c r="AU371" s="89"/>
      <c r="AV371" s="89"/>
      <c r="AW371" s="89"/>
      <c r="AX371" s="89"/>
      <c r="AY371" s="89"/>
      <c r="AZ371" s="89"/>
      <c r="BA371" s="95"/>
    </row>
    <row r="372" spans="1:53" s="87" customFormat="1">
      <c r="A372" s="374" t="str">
        <f t="shared" si="53"/>
        <v/>
      </c>
      <c r="B372" s="99">
        <v>6</v>
      </c>
      <c r="C372" s="92">
        <v>3</v>
      </c>
      <c r="D372" s="92" t="s">
        <v>210</v>
      </c>
      <c r="E372" s="92" t="s">
        <v>210</v>
      </c>
      <c r="F372" s="92">
        <v>1</v>
      </c>
      <c r="G372" s="92">
        <v>-4</v>
      </c>
      <c r="H372" s="92" t="s">
        <v>210</v>
      </c>
      <c r="I372" s="92" t="s">
        <v>210</v>
      </c>
      <c r="J372" s="92">
        <v>-2</v>
      </c>
      <c r="K372" s="92">
        <v>6</v>
      </c>
      <c r="L372" s="92" t="s">
        <v>210</v>
      </c>
      <c r="M372" s="89"/>
      <c r="N372" s="89"/>
      <c r="O372" s="89"/>
      <c r="P372" s="89"/>
      <c r="Q372" s="89"/>
      <c r="R372" s="89"/>
      <c r="S372" s="89"/>
      <c r="T372" s="89"/>
      <c r="U372" s="89"/>
      <c r="V372" s="89"/>
      <c r="W372" s="89"/>
      <c r="X372" s="89"/>
      <c r="Y372" s="89"/>
      <c r="Z372" s="89"/>
      <c r="AA372" s="89"/>
      <c r="AB372" s="89"/>
      <c r="AC372" s="89"/>
      <c r="AD372" s="89"/>
      <c r="AE372" s="89"/>
      <c r="AF372" s="89"/>
      <c r="AG372" s="89"/>
      <c r="AH372" s="89"/>
      <c r="AI372" s="89"/>
      <c r="AJ372" s="89"/>
      <c r="AK372" s="89"/>
      <c r="AL372" s="89"/>
      <c r="AM372" s="89"/>
      <c r="AN372" s="89"/>
      <c r="AO372" s="89"/>
      <c r="AP372" s="89"/>
      <c r="AQ372" s="89"/>
      <c r="AR372" s="89"/>
      <c r="AS372" s="89"/>
      <c r="AT372" s="89"/>
      <c r="AU372" s="89"/>
      <c r="AV372" s="89"/>
      <c r="AW372" s="89"/>
      <c r="AX372" s="89"/>
      <c r="AY372" s="89"/>
      <c r="AZ372" s="89"/>
      <c r="BA372" s="95"/>
    </row>
    <row r="373" spans="1:53" s="87" customFormat="1">
      <c r="A373" s="374" t="str">
        <f t="shared" si="53"/>
        <v/>
      </c>
      <c r="B373" s="89">
        <v>7</v>
      </c>
      <c r="C373" s="89">
        <v>-4</v>
      </c>
      <c r="D373" s="89" t="s">
        <v>210</v>
      </c>
      <c r="E373" s="89" t="s">
        <v>210</v>
      </c>
      <c r="F373" s="89">
        <v>5</v>
      </c>
      <c r="G373" s="89">
        <v>1</v>
      </c>
      <c r="H373" s="89" t="s">
        <v>210</v>
      </c>
      <c r="I373" s="89" t="s">
        <v>210</v>
      </c>
      <c r="J373" s="89">
        <v>-3</v>
      </c>
      <c r="K373" s="89">
        <v>-2</v>
      </c>
      <c r="L373" s="89" t="s">
        <v>210</v>
      </c>
      <c r="M373" s="89"/>
      <c r="N373" s="89"/>
      <c r="O373" s="89"/>
      <c r="P373" s="89"/>
      <c r="Q373" s="89"/>
      <c r="R373" s="89"/>
      <c r="S373" s="89"/>
      <c r="T373" s="89"/>
      <c r="U373" s="89"/>
      <c r="V373" s="89"/>
      <c r="W373" s="89"/>
      <c r="X373" s="89"/>
      <c r="Y373" s="89"/>
      <c r="Z373" s="89"/>
      <c r="AA373" s="89"/>
      <c r="AB373" s="89"/>
      <c r="AC373" s="89"/>
      <c r="AD373" s="89"/>
      <c r="AE373" s="89"/>
      <c r="AF373" s="89"/>
      <c r="AG373" s="89"/>
      <c r="AH373" s="89"/>
      <c r="AI373" s="89"/>
      <c r="AJ373" s="89"/>
      <c r="AK373" s="89"/>
      <c r="AL373" s="89"/>
      <c r="AM373" s="89"/>
      <c r="AN373" s="89"/>
      <c r="AO373" s="89"/>
      <c r="AP373" s="89"/>
      <c r="AQ373" s="89"/>
      <c r="AR373" s="89"/>
      <c r="AS373" s="89"/>
      <c r="AT373" s="89"/>
      <c r="AU373" s="89"/>
      <c r="AV373" s="89"/>
      <c r="AW373" s="89"/>
      <c r="AX373" s="89"/>
      <c r="AY373" s="89"/>
      <c r="AZ373" s="89"/>
      <c r="BA373" s="95"/>
    </row>
    <row r="374" spans="1:53" s="87" customFormat="1">
      <c r="A374" s="374" t="str">
        <f t="shared" si="53"/>
        <v/>
      </c>
      <c r="B374" s="89">
        <v>8</v>
      </c>
      <c r="C374" s="89">
        <v>6</v>
      </c>
      <c r="D374" s="89" t="s">
        <v>210</v>
      </c>
      <c r="E374" s="89" t="s">
        <v>210</v>
      </c>
      <c r="F374" s="89">
        <v>3</v>
      </c>
      <c r="G374" s="89">
        <v>-5</v>
      </c>
      <c r="H374" s="89" t="s">
        <v>210</v>
      </c>
      <c r="I374" s="89" t="s">
        <v>210</v>
      </c>
      <c r="J374" s="89">
        <v>-1</v>
      </c>
      <c r="K374" s="89">
        <v>2</v>
      </c>
      <c r="L374" s="89" t="s">
        <v>210</v>
      </c>
      <c r="M374" s="89"/>
      <c r="N374" s="89"/>
      <c r="O374" s="89"/>
      <c r="P374" s="89"/>
      <c r="Q374" s="89"/>
      <c r="R374" s="89"/>
      <c r="S374" s="89"/>
      <c r="T374" s="89"/>
      <c r="U374" s="89"/>
      <c r="V374" s="89"/>
      <c r="W374" s="89"/>
      <c r="X374" s="89"/>
      <c r="Y374" s="89"/>
      <c r="Z374" s="89"/>
      <c r="AA374" s="89"/>
      <c r="AB374" s="89"/>
      <c r="AC374" s="89"/>
      <c r="AD374" s="89"/>
      <c r="AE374" s="89"/>
      <c r="AF374" s="89"/>
      <c r="AG374" s="89"/>
      <c r="AH374" s="89"/>
      <c r="AI374" s="89"/>
      <c r="AJ374" s="89"/>
      <c r="AK374" s="89"/>
      <c r="AL374" s="89"/>
      <c r="AM374" s="89"/>
      <c r="AN374" s="89"/>
      <c r="AO374" s="89"/>
      <c r="AP374" s="89"/>
      <c r="AQ374" s="89"/>
      <c r="AR374" s="89"/>
      <c r="AS374" s="89"/>
      <c r="AT374" s="89"/>
      <c r="AU374" s="89"/>
      <c r="AV374" s="89"/>
      <c r="AW374" s="89"/>
      <c r="AX374" s="89"/>
      <c r="AY374" s="89"/>
      <c r="AZ374" s="89"/>
      <c r="BA374" s="95"/>
    </row>
    <row r="375" spans="1:53" s="87" customFormat="1">
      <c r="A375" s="374" t="str">
        <f t="shared" si="53"/>
        <v/>
      </c>
      <c r="B375" s="89">
        <v>9</v>
      </c>
      <c r="C375" s="89">
        <v>4</v>
      </c>
      <c r="D375" s="89" t="s">
        <v>210</v>
      </c>
      <c r="E375" s="89" t="s">
        <v>210</v>
      </c>
      <c r="F375" s="89">
        <v>6</v>
      </c>
      <c r="G375" s="89">
        <v>-2</v>
      </c>
      <c r="H375" s="89" t="s">
        <v>210</v>
      </c>
      <c r="I375" s="89" t="s">
        <v>210</v>
      </c>
      <c r="J375" s="89">
        <v>1</v>
      </c>
      <c r="K375" s="89">
        <v>-5</v>
      </c>
      <c r="L375" s="89" t="s">
        <v>210</v>
      </c>
      <c r="M375" s="89"/>
      <c r="N375" s="89"/>
      <c r="O375" s="89"/>
      <c r="P375" s="89"/>
      <c r="Q375" s="89"/>
      <c r="R375" s="89"/>
      <c r="S375" s="89"/>
      <c r="T375" s="89"/>
      <c r="U375" s="89"/>
      <c r="V375" s="89"/>
      <c r="W375" s="89"/>
      <c r="X375" s="89"/>
      <c r="Y375" s="89"/>
      <c r="Z375" s="89"/>
      <c r="AA375" s="89"/>
      <c r="AB375" s="89"/>
      <c r="AC375" s="89"/>
      <c r="AD375" s="89"/>
      <c r="AE375" s="89"/>
      <c r="AF375" s="89"/>
      <c r="AG375" s="89"/>
      <c r="AH375" s="89"/>
      <c r="AI375" s="89"/>
      <c r="AJ375" s="89"/>
      <c r="AK375" s="89"/>
      <c r="AL375" s="89"/>
      <c r="AM375" s="89"/>
      <c r="AN375" s="89"/>
      <c r="AO375" s="89"/>
      <c r="AP375" s="89"/>
      <c r="AQ375" s="89"/>
      <c r="AR375" s="89"/>
      <c r="AS375" s="89"/>
      <c r="AT375" s="89"/>
      <c r="AU375" s="89"/>
      <c r="AV375" s="89"/>
      <c r="AW375" s="89"/>
      <c r="AX375" s="89"/>
      <c r="AY375" s="89"/>
      <c r="AZ375" s="89"/>
      <c r="BA375" s="95"/>
    </row>
    <row r="376" spans="1:53" s="87" customFormat="1">
      <c r="A376" s="374" t="str">
        <f t="shared" si="53"/>
        <v/>
      </c>
      <c r="B376" s="89">
        <v>10</v>
      </c>
      <c r="C376" s="89">
        <v>2</v>
      </c>
      <c r="D376" s="89" t="s">
        <v>210</v>
      </c>
      <c r="E376" s="89" t="s">
        <v>210</v>
      </c>
      <c r="F376" s="89">
        <v>-3</v>
      </c>
      <c r="G376" s="89">
        <v>-1</v>
      </c>
      <c r="H376" s="89" t="s">
        <v>210</v>
      </c>
      <c r="I376" s="89" t="s">
        <v>210</v>
      </c>
      <c r="J376" s="89">
        <v>4</v>
      </c>
      <c r="K376" s="89">
        <v>5</v>
      </c>
      <c r="L376" s="89" t="s">
        <v>210</v>
      </c>
      <c r="M376" s="89"/>
      <c r="N376" s="89"/>
      <c r="O376" s="89"/>
      <c r="P376" s="89"/>
      <c r="Q376" s="89"/>
      <c r="R376" s="89"/>
      <c r="S376" s="89"/>
      <c r="T376" s="89"/>
      <c r="U376" s="89"/>
      <c r="V376" s="89"/>
      <c r="W376" s="89"/>
      <c r="X376" s="89"/>
      <c r="Y376" s="89"/>
      <c r="Z376" s="89"/>
      <c r="AA376" s="89"/>
      <c r="AB376" s="89"/>
      <c r="AC376" s="89"/>
      <c r="AD376" s="89"/>
      <c r="AE376" s="89"/>
      <c r="AF376" s="89"/>
      <c r="AG376" s="89"/>
      <c r="AH376" s="89"/>
      <c r="AI376" s="89"/>
      <c r="AJ376" s="89"/>
      <c r="AK376" s="89"/>
      <c r="AL376" s="89"/>
      <c r="AM376" s="89"/>
      <c r="AN376" s="89"/>
      <c r="AO376" s="89"/>
      <c r="AP376" s="89"/>
      <c r="AQ376" s="89"/>
      <c r="AR376" s="89"/>
      <c r="AS376" s="89"/>
      <c r="AT376" s="89"/>
      <c r="AU376" s="89"/>
      <c r="AV376" s="89"/>
      <c r="AW376" s="89"/>
      <c r="AX376" s="89"/>
      <c r="AY376" s="89"/>
      <c r="AZ376" s="89"/>
      <c r="BA376" s="95"/>
    </row>
    <row r="377" spans="1:53" s="87" customFormat="1">
      <c r="A377" s="374" t="str">
        <f t="shared" si="53"/>
        <v/>
      </c>
      <c r="B377" s="89">
        <v>11</v>
      </c>
      <c r="C377" s="89">
        <v>-6</v>
      </c>
      <c r="D377" s="89" t="s">
        <v>210</v>
      </c>
      <c r="E377" s="89" t="s">
        <v>210</v>
      </c>
      <c r="F377" s="89">
        <v>-5</v>
      </c>
      <c r="G377" s="89">
        <v>2</v>
      </c>
      <c r="H377" s="89" t="s">
        <v>210</v>
      </c>
      <c r="I377" s="89" t="s">
        <v>210</v>
      </c>
      <c r="J377" s="89">
        <v>-4</v>
      </c>
      <c r="K377" s="89">
        <v>1</v>
      </c>
      <c r="L377" s="89" t="s">
        <v>210</v>
      </c>
      <c r="M377" s="89"/>
      <c r="N377" s="89"/>
      <c r="O377" s="89"/>
      <c r="P377" s="89"/>
      <c r="Q377" s="89"/>
      <c r="R377" s="89"/>
      <c r="S377" s="89"/>
      <c r="T377" s="89"/>
      <c r="U377" s="89"/>
      <c r="V377" s="89"/>
      <c r="W377" s="89"/>
      <c r="X377" s="89"/>
      <c r="Y377" s="89"/>
      <c r="Z377" s="89"/>
      <c r="AA377" s="89"/>
      <c r="AB377" s="89"/>
      <c r="AC377" s="89"/>
      <c r="AD377" s="89"/>
      <c r="AE377" s="89"/>
      <c r="AF377" s="89"/>
      <c r="AG377" s="89"/>
      <c r="AH377" s="89"/>
      <c r="AI377" s="89"/>
      <c r="AJ377" s="89"/>
      <c r="AK377" s="89"/>
      <c r="AL377" s="89"/>
      <c r="AM377" s="89"/>
      <c r="AN377" s="89"/>
      <c r="AO377" s="89"/>
      <c r="AP377" s="89"/>
      <c r="AQ377" s="89"/>
      <c r="AR377" s="89"/>
      <c r="AS377" s="89"/>
      <c r="AT377" s="89"/>
      <c r="AU377" s="89"/>
      <c r="AV377" s="89"/>
      <c r="AW377" s="89"/>
      <c r="AX377" s="89"/>
      <c r="AY377" s="89"/>
      <c r="AZ377" s="89"/>
      <c r="BA377" s="95"/>
    </row>
    <row r="378" spans="1:53" s="87" customFormat="1">
      <c r="A378" s="374" t="str">
        <f t="shared" si="53"/>
        <v/>
      </c>
      <c r="B378" s="99">
        <v>12</v>
      </c>
      <c r="C378" s="92">
        <v>-2</v>
      </c>
      <c r="D378" s="92" t="s">
        <v>210</v>
      </c>
      <c r="E378" s="92" t="s">
        <v>210</v>
      </c>
      <c r="F378" s="92">
        <v>-6</v>
      </c>
      <c r="G378" s="92">
        <v>5</v>
      </c>
      <c r="H378" s="92" t="s">
        <v>210</v>
      </c>
      <c r="I378" s="92" t="s">
        <v>210</v>
      </c>
      <c r="J378" s="92">
        <v>3</v>
      </c>
      <c r="K378" s="92">
        <v>-1</v>
      </c>
      <c r="L378" s="92" t="s">
        <v>210</v>
      </c>
      <c r="M378" s="89"/>
      <c r="N378" s="89"/>
      <c r="O378" s="89"/>
      <c r="P378" s="89"/>
      <c r="Q378" s="89"/>
      <c r="R378" s="89"/>
      <c r="S378" s="89"/>
      <c r="T378" s="89"/>
      <c r="U378" s="89"/>
      <c r="V378" s="89"/>
      <c r="W378" s="89"/>
      <c r="X378" s="89"/>
      <c r="Y378" s="89"/>
      <c r="Z378" s="89"/>
      <c r="AA378" s="89"/>
      <c r="AB378" s="89"/>
      <c r="AC378" s="89"/>
      <c r="AD378" s="89"/>
      <c r="AE378" s="89"/>
      <c r="AF378" s="89"/>
      <c r="AG378" s="89"/>
      <c r="AH378" s="89"/>
      <c r="AI378" s="89"/>
      <c r="AJ378" s="89"/>
      <c r="AK378" s="89"/>
      <c r="AL378" s="89"/>
      <c r="AM378" s="89"/>
      <c r="AN378" s="89"/>
      <c r="AO378" s="89"/>
      <c r="AP378" s="89"/>
      <c r="AQ378" s="89"/>
      <c r="AR378" s="89"/>
      <c r="AS378" s="89"/>
      <c r="AT378" s="89"/>
      <c r="AU378" s="89"/>
      <c r="AV378" s="89"/>
      <c r="AW378" s="89"/>
      <c r="AX378" s="89"/>
      <c r="AY378" s="89"/>
      <c r="AZ378" s="89"/>
      <c r="BA378" s="95"/>
    </row>
    <row r="379" spans="1:53" s="87" customFormat="1">
      <c r="A379" s="374" t="str">
        <f t="shared" si="53"/>
        <v/>
      </c>
      <c r="B379" s="89">
        <v>13</v>
      </c>
      <c r="C379" s="89" t="s">
        <v>210</v>
      </c>
      <c r="D379" s="89">
        <v>1</v>
      </c>
      <c r="E379" s="89">
        <v>3</v>
      </c>
      <c r="F379" s="89" t="s">
        <v>210</v>
      </c>
      <c r="G379" s="89" t="s">
        <v>210</v>
      </c>
      <c r="H379" s="89">
        <v>-4</v>
      </c>
      <c r="I379" s="89">
        <v>5</v>
      </c>
      <c r="J379" s="89" t="s">
        <v>210</v>
      </c>
      <c r="K379" s="89" t="s">
        <v>210</v>
      </c>
      <c r="L379" s="89">
        <v>-3</v>
      </c>
      <c r="M379" s="89"/>
      <c r="N379" s="89"/>
      <c r="O379" s="89"/>
      <c r="P379" s="89"/>
      <c r="Q379" s="89"/>
      <c r="R379" s="89"/>
      <c r="S379" s="89"/>
      <c r="T379" s="89"/>
      <c r="U379" s="89"/>
      <c r="V379" s="89"/>
      <c r="W379" s="89"/>
      <c r="X379" s="89"/>
      <c r="Y379" s="89"/>
      <c r="Z379" s="89"/>
      <c r="AA379" s="89"/>
      <c r="AB379" s="89"/>
      <c r="AC379" s="89"/>
      <c r="AD379" s="89"/>
      <c r="AE379" s="89"/>
      <c r="AF379" s="89"/>
      <c r="AG379" s="89"/>
      <c r="AH379" s="89"/>
      <c r="AI379" s="89"/>
      <c r="AJ379" s="89"/>
      <c r="AK379" s="89"/>
      <c r="AL379" s="89"/>
      <c r="AM379" s="89"/>
      <c r="AN379" s="89"/>
      <c r="AO379" s="89"/>
      <c r="AP379" s="89"/>
      <c r="AQ379" s="89"/>
      <c r="AR379" s="89"/>
      <c r="AS379" s="89"/>
      <c r="AT379" s="89"/>
      <c r="AU379" s="89"/>
      <c r="AV379" s="89"/>
      <c r="AW379" s="89"/>
      <c r="AX379" s="89"/>
      <c r="AY379" s="89"/>
      <c r="AZ379" s="89"/>
      <c r="BA379" s="95"/>
    </row>
    <row r="380" spans="1:53" s="87" customFormat="1">
      <c r="A380" s="374" t="str">
        <f t="shared" si="53"/>
        <v/>
      </c>
      <c r="B380" s="89">
        <v>14</v>
      </c>
      <c r="C380" s="89" t="s">
        <v>210</v>
      </c>
      <c r="D380" s="89">
        <v>-4</v>
      </c>
      <c r="E380" s="89">
        <v>5</v>
      </c>
      <c r="F380" s="89" t="s">
        <v>210</v>
      </c>
      <c r="G380" s="89" t="s">
        <v>210</v>
      </c>
      <c r="H380" s="89">
        <v>-2</v>
      </c>
      <c r="I380" s="89">
        <v>1</v>
      </c>
      <c r="J380" s="89" t="s">
        <v>210</v>
      </c>
      <c r="K380" s="89" t="s">
        <v>210</v>
      </c>
      <c r="L380" s="89">
        <v>3</v>
      </c>
      <c r="M380" s="89"/>
      <c r="N380" s="89"/>
      <c r="O380" s="89"/>
      <c r="P380" s="89"/>
      <c r="Q380" s="89"/>
      <c r="R380" s="89"/>
      <c r="S380" s="89"/>
      <c r="T380" s="89"/>
      <c r="U380" s="89"/>
      <c r="V380" s="89"/>
      <c r="W380" s="89"/>
      <c r="X380" s="89"/>
      <c r="Y380" s="89"/>
      <c r="Z380" s="89"/>
      <c r="AA380" s="89"/>
      <c r="AB380" s="89"/>
      <c r="AC380" s="89"/>
      <c r="AD380" s="89"/>
      <c r="AE380" s="89"/>
      <c r="AF380" s="89"/>
      <c r="AG380" s="89"/>
      <c r="AH380" s="89"/>
      <c r="AI380" s="89"/>
      <c r="AJ380" s="89"/>
      <c r="AK380" s="89"/>
      <c r="AL380" s="89"/>
      <c r="AM380" s="89"/>
      <c r="AN380" s="89"/>
      <c r="AO380" s="89"/>
      <c r="AP380" s="89"/>
      <c r="AQ380" s="89"/>
      <c r="AR380" s="89"/>
      <c r="AS380" s="89"/>
      <c r="AT380" s="89"/>
      <c r="AU380" s="89"/>
      <c r="AV380" s="89"/>
      <c r="AW380" s="89"/>
      <c r="AX380" s="89"/>
      <c r="AY380" s="89"/>
      <c r="AZ380" s="89"/>
      <c r="BA380" s="95"/>
    </row>
    <row r="381" spans="1:53" s="87" customFormat="1">
      <c r="A381" s="374" t="str">
        <f t="shared" si="53"/>
        <v/>
      </c>
      <c r="B381" s="89">
        <v>15</v>
      </c>
      <c r="C381" s="89" t="s">
        <v>210</v>
      </c>
      <c r="D381" s="89">
        <v>-3</v>
      </c>
      <c r="E381" s="89">
        <v>1</v>
      </c>
      <c r="F381" s="89" t="s">
        <v>210</v>
      </c>
      <c r="G381" s="89" t="s">
        <v>210</v>
      </c>
      <c r="H381" s="89">
        <v>2</v>
      </c>
      <c r="I381" s="89">
        <v>-5</v>
      </c>
      <c r="J381" s="89" t="s">
        <v>210</v>
      </c>
      <c r="K381" s="89" t="s">
        <v>210</v>
      </c>
      <c r="L381" s="89">
        <v>4</v>
      </c>
      <c r="M381" s="89"/>
      <c r="N381" s="89"/>
      <c r="O381" s="89"/>
      <c r="P381" s="89"/>
      <c r="Q381" s="89"/>
      <c r="R381" s="89"/>
      <c r="S381" s="89"/>
      <c r="T381" s="89"/>
      <c r="U381" s="89"/>
      <c r="V381" s="89"/>
      <c r="W381" s="89"/>
      <c r="X381" s="89"/>
      <c r="Y381" s="89"/>
      <c r="Z381" s="89"/>
      <c r="AA381" s="89"/>
      <c r="AB381" s="89"/>
      <c r="AC381" s="89"/>
      <c r="AD381" s="89"/>
      <c r="AE381" s="89"/>
      <c r="AF381" s="89"/>
      <c r="AG381" s="89"/>
      <c r="AH381" s="89"/>
      <c r="AI381" s="89"/>
      <c r="AJ381" s="89"/>
      <c r="AK381" s="89"/>
      <c r="AL381" s="89"/>
      <c r="AM381" s="89"/>
      <c r="AN381" s="89"/>
      <c r="AO381" s="89"/>
      <c r="AP381" s="89"/>
      <c r="AQ381" s="89"/>
      <c r="AR381" s="89"/>
      <c r="AS381" s="89"/>
      <c r="AT381" s="89"/>
      <c r="AU381" s="89"/>
      <c r="AV381" s="89"/>
      <c r="AW381" s="89"/>
      <c r="AX381" s="89"/>
      <c r="AY381" s="89"/>
      <c r="AZ381" s="89"/>
      <c r="BA381" s="95"/>
    </row>
    <row r="382" spans="1:53" s="87" customFormat="1">
      <c r="A382" s="374" t="str">
        <f t="shared" si="53"/>
        <v/>
      </c>
      <c r="B382" s="89">
        <v>16</v>
      </c>
      <c r="C382" s="89" t="s">
        <v>210</v>
      </c>
      <c r="D382" s="89">
        <v>4</v>
      </c>
      <c r="E382" s="89">
        <v>-3</v>
      </c>
      <c r="F382" s="89" t="s">
        <v>210</v>
      </c>
      <c r="G382" s="89" t="s">
        <v>210</v>
      </c>
      <c r="H382" s="89">
        <v>1</v>
      </c>
      <c r="I382" s="89">
        <v>2</v>
      </c>
      <c r="J382" s="89" t="s">
        <v>210</v>
      </c>
      <c r="K382" s="89" t="s">
        <v>210</v>
      </c>
      <c r="L382" s="89">
        <v>-4</v>
      </c>
      <c r="M382" s="89"/>
      <c r="N382" s="89"/>
      <c r="O382" s="89"/>
      <c r="P382" s="89"/>
      <c r="Q382" s="89"/>
      <c r="R382" s="89"/>
      <c r="S382" s="89"/>
      <c r="T382" s="89"/>
      <c r="U382" s="89"/>
      <c r="V382" s="89"/>
      <c r="W382" s="89"/>
      <c r="X382" s="89"/>
      <c r="Y382" s="89"/>
      <c r="Z382" s="89"/>
      <c r="AA382" s="89"/>
      <c r="AB382" s="89"/>
      <c r="AC382" s="89"/>
      <c r="AD382" s="89"/>
      <c r="AE382" s="89"/>
      <c r="AF382" s="89"/>
      <c r="AG382" s="89"/>
      <c r="AH382" s="89"/>
      <c r="AI382" s="89"/>
      <c r="AJ382" s="89"/>
      <c r="AK382" s="89"/>
      <c r="AL382" s="89"/>
      <c r="AM382" s="89"/>
      <c r="AN382" s="89"/>
      <c r="AO382" s="89"/>
      <c r="AP382" s="89"/>
      <c r="AQ382" s="89"/>
      <c r="AR382" s="89"/>
      <c r="AS382" s="89"/>
      <c r="AT382" s="89"/>
      <c r="AU382" s="89"/>
      <c r="AV382" s="89"/>
      <c r="AW382" s="89"/>
      <c r="AX382" s="89"/>
      <c r="AY382" s="89"/>
      <c r="AZ382" s="89"/>
      <c r="BA382" s="95"/>
    </row>
    <row r="383" spans="1:53" s="87" customFormat="1">
      <c r="A383" s="374" t="str">
        <f t="shared" si="53"/>
        <v/>
      </c>
      <c r="B383" s="99">
        <v>17</v>
      </c>
      <c r="C383" s="92" t="s">
        <v>210</v>
      </c>
      <c r="D383" s="92">
        <v>3</v>
      </c>
      <c r="E383" s="92">
        <v>-5</v>
      </c>
      <c r="F383" s="92" t="s">
        <v>210</v>
      </c>
      <c r="G383" s="92" t="s">
        <v>210</v>
      </c>
      <c r="H383" s="92">
        <v>4</v>
      </c>
      <c r="I383" s="92">
        <v>-2</v>
      </c>
      <c r="J383" s="92" t="s">
        <v>210</v>
      </c>
      <c r="K383" s="92" t="s">
        <v>210</v>
      </c>
      <c r="L383" s="92">
        <v>1</v>
      </c>
      <c r="M383" s="89"/>
      <c r="N383" s="89"/>
      <c r="O383" s="89"/>
      <c r="P383" s="89"/>
      <c r="Q383" s="89"/>
      <c r="R383" s="89"/>
      <c r="S383" s="89"/>
      <c r="T383" s="89"/>
      <c r="U383" s="89"/>
      <c r="V383" s="89"/>
      <c r="W383" s="89"/>
      <c r="X383" s="89"/>
      <c r="Y383" s="89"/>
      <c r="Z383" s="89"/>
      <c r="AA383" s="89"/>
      <c r="AB383" s="89"/>
      <c r="AC383" s="89"/>
      <c r="AD383" s="89"/>
      <c r="AE383" s="89"/>
      <c r="AF383" s="89"/>
      <c r="AG383" s="89"/>
      <c r="AH383" s="89"/>
      <c r="AI383" s="89"/>
      <c r="AJ383" s="89"/>
      <c r="AK383" s="89"/>
      <c r="AL383" s="89"/>
      <c r="AM383" s="89"/>
      <c r="AN383" s="89"/>
      <c r="AO383" s="89"/>
      <c r="AP383" s="89"/>
      <c r="AQ383" s="89"/>
      <c r="AR383" s="89"/>
      <c r="AS383" s="89"/>
      <c r="AT383" s="89"/>
      <c r="AU383" s="89"/>
      <c r="AV383" s="89"/>
      <c r="AW383" s="89"/>
      <c r="AX383" s="89"/>
      <c r="AY383" s="89"/>
      <c r="AZ383" s="89"/>
      <c r="BA383" s="95"/>
    </row>
    <row r="384" spans="1:53" s="87" customFormat="1">
      <c r="A384" s="374" t="str">
        <f t="shared" si="53"/>
        <v/>
      </c>
      <c r="B384" s="89">
        <v>18</v>
      </c>
      <c r="C384" s="89" t="s">
        <v>210</v>
      </c>
      <c r="D384" s="89">
        <v>-1</v>
      </c>
      <c r="E384" s="89">
        <v>-2</v>
      </c>
      <c r="F384" s="89" t="s">
        <v>210</v>
      </c>
      <c r="G384" s="89" t="s">
        <v>210</v>
      </c>
      <c r="H384" s="89">
        <v>5</v>
      </c>
      <c r="I384" s="89">
        <v>-4</v>
      </c>
      <c r="J384" s="89" t="s">
        <v>210</v>
      </c>
      <c r="K384" s="89" t="s">
        <v>210</v>
      </c>
      <c r="L384" s="89">
        <v>2</v>
      </c>
      <c r="M384" s="89"/>
      <c r="N384" s="89"/>
      <c r="O384" s="89"/>
      <c r="P384" s="89"/>
      <c r="Q384" s="89"/>
      <c r="R384" s="89"/>
      <c r="S384" s="89"/>
      <c r="T384" s="89"/>
      <c r="U384" s="89"/>
      <c r="V384" s="89"/>
      <c r="W384" s="89"/>
      <c r="X384" s="89"/>
      <c r="Y384" s="89"/>
      <c r="Z384" s="89"/>
      <c r="AA384" s="89"/>
      <c r="AB384" s="89"/>
      <c r="AC384" s="89"/>
      <c r="AD384" s="89"/>
      <c r="AE384" s="89"/>
      <c r="AF384" s="89"/>
      <c r="AG384" s="89"/>
      <c r="AH384" s="89"/>
      <c r="AI384" s="89"/>
      <c r="AJ384" s="89"/>
      <c r="AK384" s="89"/>
      <c r="AL384" s="89"/>
      <c r="AM384" s="89"/>
      <c r="AN384" s="89"/>
      <c r="AO384" s="89"/>
      <c r="AP384" s="89"/>
      <c r="AQ384" s="89"/>
      <c r="AR384" s="89"/>
      <c r="AS384" s="89"/>
      <c r="AT384" s="89"/>
      <c r="AU384" s="89"/>
      <c r="AV384" s="89"/>
      <c r="AW384" s="89"/>
      <c r="AX384" s="89"/>
      <c r="AY384" s="89"/>
      <c r="AZ384" s="89"/>
      <c r="BA384" s="95"/>
    </row>
    <row r="385" spans="1:53" s="87" customFormat="1">
      <c r="A385" s="374" t="str">
        <f t="shared" si="53"/>
        <v/>
      </c>
      <c r="B385" s="89">
        <v>19</v>
      </c>
      <c r="C385" s="89" t="s">
        <v>210</v>
      </c>
      <c r="D385" s="89">
        <v>5</v>
      </c>
      <c r="E385" s="89">
        <v>-4</v>
      </c>
      <c r="F385" s="89" t="s">
        <v>210</v>
      </c>
      <c r="G385" s="89" t="s">
        <v>210</v>
      </c>
      <c r="H385" s="89">
        <v>3</v>
      </c>
      <c r="I385" s="89">
        <v>-1</v>
      </c>
      <c r="J385" s="89" t="s">
        <v>210</v>
      </c>
      <c r="K385" s="89" t="s">
        <v>210</v>
      </c>
      <c r="L385" s="89">
        <v>-2</v>
      </c>
      <c r="M385" s="89"/>
      <c r="N385" s="89"/>
      <c r="O385" s="89"/>
      <c r="P385" s="89"/>
      <c r="Q385" s="89"/>
      <c r="R385" s="89"/>
      <c r="S385" s="89"/>
      <c r="T385" s="89"/>
      <c r="U385" s="89"/>
      <c r="V385" s="89"/>
      <c r="W385" s="89"/>
      <c r="X385" s="89"/>
      <c r="Y385" s="89"/>
      <c r="Z385" s="89"/>
      <c r="AA385" s="89"/>
      <c r="AB385" s="89"/>
      <c r="AC385" s="89"/>
      <c r="AD385" s="89"/>
      <c r="AE385" s="89"/>
      <c r="AF385" s="89"/>
      <c r="AG385" s="89"/>
      <c r="AH385" s="89"/>
      <c r="AI385" s="89"/>
      <c r="AJ385" s="89"/>
      <c r="AK385" s="89"/>
      <c r="AL385" s="89"/>
      <c r="AM385" s="89"/>
      <c r="AN385" s="89"/>
      <c r="AO385" s="89"/>
      <c r="AP385" s="89"/>
      <c r="AQ385" s="89"/>
      <c r="AR385" s="89"/>
      <c r="AS385" s="89"/>
      <c r="AT385" s="89"/>
      <c r="AU385" s="89"/>
      <c r="AV385" s="89"/>
      <c r="AW385" s="89"/>
      <c r="AX385" s="89"/>
      <c r="AY385" s="89"/>
      <c r="AZ385" s="89"/>
      <c r="BA385" s="95"/>
    </row>
    <row r="386" spans="1:53" s="87" customFormat="1">
      <c r="A386" s="374" t="str">
        <f t="shared" si="53"/>
        <v/>
      </c>
      <c r="B386" s="89">
        <v>20</v>
      </c>
      <c r="C386" s="89" t="s">
        <v>210</v>
      </c>
      <c r="D386" s="89">
        <v>2</v>
      </c>
      <c r="E386" s="89">
        <v>-1</v>
      </c>
      <c r="F386" s="89" t="s">
        <v>210</v>
      </c>
      <c r="G386" s="89" t="s">
        <v>210</v>
      </c>
      <c r="H386" s="89">
        <v>-3</v>
      </c>
      <c r="I386" s="89">
        <v>4</v>
      </c>
      <c r="J386" s="89" t="s">
        <v>210</v>
      </c>
      <c r="K386" s="89" t="s">
        <v>210</v>
      </c>
      <c r="L386" s="89">
        <v>-5</v>
      </c>
      <c r="M386" s="89"/>
      <c r="N386" s="89"/>
      <c r="O386" s="89"/>
      <c r="P386" s="89"/>
      <c r="Q386" s="89"/>
      <c r="R386" s="89"/>
      <c r="S386" s="89"/>
      <c r="T386" s="89"/>
      <c r="U386" s="89"/>
      <c r="V386" s="89"/>
      <c r="W386" s="89"/>
      <c r="X386" s="89"/>
      <c r="Y386" s="89"/>
      <c r="Z386" s="89"/>
      <c r="AA386" s="89"/>
      <c r="AB386" s="89"/>
      <c r="AC386" s="89"/>
      <c r="AD386" s="89"/>
      <c r="AE386" s="89"/>
      <c r="AF386" s="89"/>
      <c r="AG386" s="89"/>
      <c r="AH386" s="89"/>
      <c r="AI386" s="89"/>
      <c r="AJ386" s="89"/>
      <c r="AK386" s="89"/>
      <c r="AL386" s="89"/>
      <c r="AM386" s="89"/>
      <c r="AN386" s="89"/>
      <c r="AO386" s="89"/>
      <c r="AP386" s="89"/>
      <c r="AQ386" s="89"/>
      <c r="AR386" s="89"/>
      <c r="AS386" s="89"/>
      <c r="AT386" s="89"/>
      <c r="AU386" s="89"/>
      <c r="AV386" s="89"/>
      <c r="AW386" s="89"/>
      <c r="AX386" s="89"/>
      <c r="AY386" s="89"/>
      <c r="AZ386" s="89"/>
      <c r="BA386" s="95"/>
    </row>
    <row r="387" spans="1:53" s="87" customFormat="1">
      <c r="A387" s="374" t="str">
        <f t="shared" si="53"/>
        <v/>
      </c>
      <c r="B387" s="89">
        <v>21</v>
      </c>
      <c r="C387" s="89" t="s">
        <v>210</v>
      </c>
      <c r="D387" s="89">
        <v>-5</v>
      </c>
      <c r="E387" s="89">
        <v>2</v>
      </c>
      <c r="F387" s="89" t="s">
        <v>210</v>
      </c>
      <c r="G387" s="89" t="s">
        <v>210</v>
      </c>
      <c r="H387" s="89">
        <v>-1</v>
      </c>
      <c r="I387" s="89">
        <v>-3</v>
      </c>
      <c r="J387" s="89" t="s">
        <v>210</v>
      </c>
      <c r="K387" s="89" t="s">
        <v>210</v>
      </c>
      <c r="L387" s="89">
        <v>5</v>
      </c>
      <c r="M387" s="89"/>
      <c r="N387" s="89"/>
      <c r="O387" s="89"/>
      <c r="P387" s="89"/>
      <c r="Q387" s="89"/>
      <c r="R387" s="89"/>
      <c r="S387" s="89"/>
      <c r="T387" s="89"/>
      <c r="U387" s="89"/>
      <c r="V387" s="89"/>
      <c r="W387" s="89"/>
      <c r="X387" s="89"/>
      <c r="Y387" s="89"/>
      <c r="Z387" s="89"/>
      <c r="AA387" s="89"/>
      <c r="AB387" s="89"/>
      <c r="AC387" s="89"/>
      <c r="AD387" s="89"/>
      <c r="AE387" s="89"/>
      <c r="AF387" s="89"/>
      <c r="AG387" s="89"/>
      <c r="AH387" s="89"/>
      <c r="AI387" s="89"/>
      <c r="AJ387" s="89"/>
      <c r="AK387" s="89"/>
      <c r="AL387" s="89"/>
      <c r="AM387" s="89"/>
      <c r="AN387" s="89"/>
      <c r="AO387" s="89"/>
      <c r="AP387" s="89"/>
      <c r="AQ387" s="89"/>
      <c r="AR387" s="89"/>
      <c r="AS387" s="89"/>
      <c r="AT387" s="89"/>
      <c r="AU387" s="89"/>
      <c r="AV387" s="89"/>
      <c r="AW387" s="89"/>
      <c r="AX387" s="89"/>
      <c r="AY387" s="89"/>
      <c r="AZ387" s="89"/>
      <c r="BA387" s="95"/>
    </row>
    <row r="388" spans="1:53" s="87" customFormat="1">
      <c r="A388" s="374" t="str">
        <f t="shared" si="53"/>
        <v/>
      </c>
      <c r="B388" s="89">
        <v>22</v>
      </c>
      <c r="C388" s="89" t="s">
        <v>210</v>
      </c>
      <c r="D388" s="89">
        <v>-2</v>
      </c>
      <c r="E388" s="89">
        <v>4</v>
      </c>
      <c r="F388" s="89" t="s">
        <v>210</v>
      </c>
      <c r="G388" s="89" t="s">
        <v>210</v>
      </c>
      <c r="H388" s="89">
        <v>-5</v>
      </c>
      <c r="I388" s="89">
        <v>3</v>
      </c>
      <c r="J388" s="89" t="s">
        <v>210</v>
      </c>
      <c r="K388" s="89" t="s">
        <v>210</v>
      </c>
      <c r="L388" s="89">
        <v>-1</v>
      </c>
      <c r="M388" s="89"/>
      <c r="N388" s="89"/>
      <c r="O388" s="89"/>
      <c r="P388" s="89"/>
      <c r="Q388" s="89"/>
      <c r="R388" s="89"/>
      <c r="S388" s="89"/>
      <c r="T388" s="89"/>
      <c r="U388" s="89"/>
      <c r="V388" s="89"/>
      <c r="W388" s="89"/>
      <c r="X388" s="89"/>
      <c r="Y388" s="89"/>
      <c r="Z388" s="89"/>
      <c r="AA388" s="89"/>
      <c r="AB388" s="89"/>
      <c r="AC388" s="89"/>
      <c r="AD388" s="89"/>
      <c r="AE388" s="89"/>
      <c r="AF388" s="89"/>
      <c r="AG388" s="89"/>
      <c r="AH388" s="89"/>
      <c r="AI388" s="89"/>
      <c r="AJ388" s="89"/>
      <c r="AK388" s="89"/>
      <c r="AL388" s="89"/>
      <c r="AM388" s="89"/>
      <c r="AN388" s="89"/>
      <c r="AO388" s="89"/>
      <c r="AP388" s="89"/>
      <c r="AQ388" s="89"/>
      <c r="AR388" s="89"/>
      <c r="AS388" s="89"/>
      <c r="AT388" s="89"/>
      <c r="AU388" s="89"/>
      <c r="AV388" s="89"/>
      <c r="AW388" s="89"/>
      <c r="AX388" s="89"/>
      <c r="AY388" s="89"/>
      <c r="AZ388" s="89"/>
      <c r="BA388" s="95"/>
    </row>
    <row r="389" spans="1:53" s="87" customFormat="1">
      <c r="A389" s="374" t="str">
        <f t="shared" si="53"/>
        <v/>
      </c>
      <c r="B389" s="89" t="s">
        <v>366</v>
      </c>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c r="AA389" s="89"/>
      <c r="AB389" s="89"/>
      <c r="AC389" s="89"/>
      <c r="AD389" s="89"/>
      <c r="AE389" s="89"/>
      <c r="AF389" s="89"/>
      <c r="AG389" s="89"/>
      <c r="AH389" s="89"/>
      <c r="AI389" s="89"/>
      <c r="AJ389" s="89"/>
      <c r="AK389" s="89"/>
      <c r="AL389" s="89"/>
      <c r="AM389" s="89"/>
      <c r="AN389" s="89"/>
      <c r="AO389" s="89"/>
      <c r="AP389" s="89"/>
      <c r="AQ389" s="89"/>
      <c r="AR389" s="89"/>
      <c r="AS389" s="89"/>
      <c r="AT389" s="89"/>
      <c r="AU389" s="89"/>
      <c r="AV389" s="89"/>
      <c r="AW389" s="89"/>
      <c r="AX389" s="89"/>
      <c r="AY389" s="89"/>
      <c r="AZ389" s="89"/>
      <c r="BA389" s="95"/>
    </row>
    <row r="390" spans="1:53" s="87" customFormat="1">
      <c r="A390" s="374">
        <f t="shared" si="53"/>
        <v>390</v>
      </c>
      <c r="B390" s="89" t="s">
        <v>367</v>
      </c>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c r="AA390" s="89"/>
      <c r="AB390" s="89"/>
      <c r="AC390" s="89"/>
      <c r="AD390" s="89"/>
      <c r="AE390" s="89"/>
      <c r="AF390" s="89"/>
      <c r="AG390" s="89"/>
      <c r="AH390" s="89"/>
      <c r="AI390" s="89"/>
      <c r="AJ390" s="89"/>
      <c r="AK390" s="89"/>
      <c r="AL390" s="89"/>
      <c r="AM390" s="89"/>
      <c r="AN390" s="89"/>
      <c r="AO390" s="89"/>
      <c r="AP390" s="89"/>
      <c r="AQ390" s="89"/>
      <c r="AR390" s="89"/>
      <c r="AS390" s="89"/>
      <c r="AT390" s="89"/>
      <c r="AU390" s="89"/>
      <c r="AV390" s="89"/>
      <c r="AW390" s="89"/>
      <c r="AX390" s="89"/>
      <c r="AY390" s="89"/>
      <c r="AZ390" s="89"/>
      <c r="BA390" s="95"/>
    </row>
    <row r="391" spans="1:53" s="87" customFormat="1">
      <c r="A391" s="374" t="str">
        <f t="shared" si="53"/>
        <v/>
      </c>
      <c r="B391" s="89">
        <v>1</v>
      </c>
      <c r="C391" s="89">
        <v>6</v>
      </c>
      <c r="D391" s="89" t="s">
        <v>210</v>
      </c>
      <c r="E391" s="89" t="s">
        <v>210</v>
      </c>
      <c r="F391" s="89">
        <v>-2</v>
      </c>
      <c r="G391" s="89">
        <v>-3</v>
      </c>
      <c r="H391" s="89" t="s">
        <v>210</v>
      </c>
      <c r="I391" s="89" t="s">
        <v>210</v>
      </c>
      <c r="J391" s="89">
        <v>-4</v>
      </c>
      <c r="K391" s="89">
        <v>1</v>
      </c>
      <c r="L391" s="89" t="s">
        <v>210</v>
      </c>
      <c r="M391" s="89" t="s">
        <v>210</v>
      </c>
      <c r="N391" s="89">
        <v>2</v>
      </c>
      <c r="O391" s="89">
        <v>3</v>
      </c>
      <c r="P391" s="89" t="s">
        <v>210</v>
      </c>
      <c r="Q391" s="89"/>
      <c r="R391" s="89"/>
      <c r="S391" s="89"/>
      <c r="T391" s="89"/>
      <c r="U391" s="89"/>
      <c r="V391" s="89"/>
      <c r="W391" s="89"/>
      <c r="X391" s="89"/>
      <c r="Y391" s="89"/>
      <c r="Z391" s="89"/>
      <c r="AA391" s="89"/>
      <c r="AB391" s="89"/>
      <c r="AC391" s="89"/>
      <c r="AD391" s="89"/>
      <c r="AE391" s="89"/>
      <c r="AF391" s="89"/>
      <c r="AG391" s="89"/>
      <c r="AH391" s="89"/>
      <c r="AI391" s="89"/>
      <c r="AJ391" s="89"/>
      <c r="AK391" s="89"/>
      <c r="AL391" s="89"/>
      <c r="AM391" s="89"/>
      <c r="AN391" s="89"/>
      <c r="AO391" s="89"/>
      <c r="AP391" s="89"/>
      <c r="AQ391" s="89"/>
      <c r="AR391" s="89"/>
      <c r="AS391" s="89"/>
      <c r="AT391" s="89"/>
      <c r="AU391" s="89"/>
      <c r="AV391" s="89"/>
      <c r="AW391" s="89"/>
      <c r="AX391" s="89"/>
      <c r="AY391" s="89"/>
      <c r="AZ391" s="89"/>
      <c r="BA391" s="95"/>
    </row>
    <row r="392" spans="1:53" s="87" customFormat="1">
      <c r="A392" s="374" t="str">
        <f t="shared" si="53"/>
        <v/>
      </c>
      <c r="B392" s="89">
        <v>2</v>
      </c>
      <c r="C392" s="89">
        <v>-1</v>
      </c>
      <c r="D392" s="89" t="s">
        <v>210</v>
      </c>
      <c r="E392" s="89" t="s">
        <v>210</v>
      </c>
      <c r="F392" s="89">
        <v>3</v>
      </c>
      <c r="G392" s="89">
        <v>-5</v>
      </c>
      <c r="H392" s="89" t="s">
        <v>210</v>
      </c>
      <c r="I392" s="89" t="s">
        <v>210</v>
      </c>
      <c r="J392" s="89">
        <v>-2</v>
      </c>
      <c r="K392" s="89">
        <v>5</v>
      </c>
      <c r="L392" s="89" t="s">
        <v>210</v>
      </c>
      <c r="M392" s="89" t="s">
        <v>210</v>
      </c>
      <c r="N392" s="89">
        <v>1</v>
      </c>
      <c r="O392" s="89">
        <v>-3</v>
      </c>
      <c r="P392" s="89" t="s">
        <v>210</v>
      </c>
      <c r="Q392" s="89"/>
      <c r="R392" s="89"/>
      <c r="S392" s="89"/>
      <c r="T392" s="89"/>
      <c r="U392" s="89"/>
      <c r="V392" s="89"/>
      <c r="W392" s="89"/>
      <c r="X392" s="89"/>
      <c r="Y392" s="89"/>
      <c r="Z392" s="89"/>
      <c r="AA392" s="89"/>
      <c r="AB392" s="89"/>
      <c r="AC392" s="89"/>
      <c r="AD392" s="89"/>
      <c r="AE392" s="89"/>
      <c r="AF392" s="89"/>
      <c r="AG392" s="89"/>
      <c r="AH392" s="89"/>
      <c r="AI392" s="89"/>
      <c r="AJ392" s="89"/>
      <c r="AK392" s="89"/>
      <c r="AL392" s="89"/>
      <c r="AM392" s="89"/>
      <c r="AN392" s="89"/>
      <c r="AO392" s="89"/>
      <c r="AP392" s="89"/>
      <c r="AQ392" s="89"/>
      <c r="AR392" s="89"/>
      <c r="AS392" s="89"/>
      <c r="AT392" s="89"/>
      <c r="AU392" s="89"/>
      <c r="AV392" s="89"/>
      <c r="AW392" s="89"/>
      <c r="AX392" s="89"/>
      <c r="AY392" s="89"/>
      <c r="AZ392" s="89"/>
      <c r="BA392" s="95"/>
    </row>
    <row r="393" spans="1:53" s="87" customFormat="1">
      <c r="A393" s="374" t="str">
        <f t="shared" si="53"/>
        <v/>
      </c>
      <c r="B393" s="89">
        <v>3</v>
      </c>
      <c r="C393" s="89">
        <v>5</v>
      </c>
      <c r="D393" s="89" t="s">
        <v>210</v>
      </c>
      <c r="E393" s="89" t="s">
        <v>210</v>
      </c>
      <c r="F393" s="89">
        <v>-4</v>
      </c>
      <c r="G393" s="89">
        <v>-1</v>
      </c>
      <c r="H393" s="89" t="s">
        <v>210</v>
      </c>
      <c r="I393" s="89" t="s">
        <v>210</v>
      </c>
      <c r="J393" s="89">
        <v>2</v>
      </c>
      <c r="K393" s="89">
        <v>6</v>
      </c>
      <c r="L393" s="89" t="s">
        <v>210</v>
      </c>
      <c r="M393" s="89" t="s">
        <v>210</v>
      </c>
      <c r="N393" s="89">
        <v>-2</v>
      </c>
      <c r="O393" s="89">
        <v>4</v>
      </c>
      <c r="P393" s="89" t="s">
        <v>210</v>
      </c>
      <c r="Q393" s="89"/>
      <c r="R393" s="89"/>
      <c r="S393" s="89"/>
      <c r="T393" s="89"/>
      <c r="U393" s="89"/>
      <c r="V393" s="89"/>
      <c r="W393" s="89"/>
      <c r="X393" s="89"/>
      <c r="Y393" s="89"/>
      <c r="Z393" s="89"/>
      <c r="AA393" s="89"/>
      <c r="AB393" s="89"/>
      <c r="AC393" s="89"/>
      <c r="AD393" s="89"/>
      <c r="AE393" s="89"/>
      <c r="AF393" s="89"/>
      <c r="AG393" s="89"/>
      <c r="AH393" s="89"/>
      <c r="AI393" s="89"/>
      <c r="AJ393" s="89"/>
      <c r="AK393" s="89"/>
      <c r="AL393" s="89"/>
      <c r="AM393" s="89"/>
      <c r="AN393" s="89"/>
      <c r="AO393" s="89"/>
      <c r="AP393" s="89"/>
      <c r="AQ393" s="89"/>
      <c r="AR393" s="89"/>
      <c r="AS393" s="89"/>
      <c r="AT393" s="89"/>
      <c r="AU393" s="89"/>
      <c r="AV393" s="89"/>
      <c r="AW393" s="89"/>
      <c r="AX393" s="89"/>
      <c r="AY393" s="89"/>
      <c r="AZ393" s="89"/>
      <c r="BA393" s="95"/>
    </row>
    <row r="394" spans="1:53" s="87" customFormat="1">
      <c r="A394" s="374" t="str">
        <f t="shared" si="53"/>
        <v/>
      </c>
      <c r="B394" s="89">
        <v>4</v>
      </c>
      <c r="C394" s="89">
        <v>3</v>
      </c>
      <c r="D394" s="89" t="s">
        <v>210</v>
      </c>
      <c r="E394" s="89" t="s">
        <v>210</v>
      </c>
      <c r="F394" s="89">
        <v>-5</v>
      </c>
      <c r="G394" s="89">
        <v>6</v>
      </c>
      <c r="H394" s="89" t="s">
        <v>210</v>
      </c>
      <c r="I394" s="89" t="s">
        <v>210</v>
      </c>
      <c r="J394" s="89">
        <v>4</v>
      </c>
      <c r="K394" s="89">
        <v>-2</v>
      </c>
      <c r="L394" s="89" t="s">
        <v>210</v>
      </c>
      <c r="M394" s="89" t="s">
        <v>210</v>
      </c>
      <c r="N394" s="89">
        <v>-1</v>
      </c>
      <c r="O394" s="89">
        <v>-4</v>
      </c>
      <c r="P394" s="89" t="s">
        <v>210</v>
      </c>
      <c r="Q394" s="89"/>
      <c r="R394" s="89"/>
      <c r="S394" s="89"/>
      <c r="T394" s="89"/>
      <c r="U394" s="89"/>
      <c r="V394" s="89"/>
      <c r="W394" s="89"/>
      <c r="X394" s="89"/>
      <c r="Y394" s="89"/>
      <c r="Z394" s="89"/>
      <c r="AA394" s="89"/>
      <c r="AB394" s="89"/>
      <c r="AC394" s="89"/>
      <c r="AD394" s="89"/>
      <c r="AE394" s="89"/>
      <c r="AF394" s="89"/>
      <c r="AG394" s="89"/>
      <c r="AH394" s="89"/>
      <c r="AI394" s="89"/>
      <c r="AJ394" s="89"/>
      <c r="AK394" s="89"/>
      <c r="AL394" s="89"/>
      <c r="AM394" s="89"/>
      <c r="AN394" s="89"/>
      <c r="AO394" s="89"/>
      <c r="AP394" s="89"/>
      <c r="AQ394" s="89"/>
      <c r="AR394" s="89"/>
      <c r="AS394" s="89"/>
      <c r="AT394" s="89"/>
      <c r="AU394" s="89"/>
      <c r="AV394" s="89"/>
      <c r="AW394" s="89"/>
      <c r="AX394" s="89"/>
      <c r="AY394" s="89"/>
      <c r="AZ394" s="89"/>
      <c r="BA394" s="95"/>
    </row>
    <row r="395" spans="1:53" s="87" customFormat="1">
      <c r="A395" s="374" t="str">
        <f t="shared" si="53"/>
        <v/>
      </c>
      <c r="B395" s="89">
        <v>5</v>
      </c>
      <c r="C395" s="89">
        <v>-6</v>
      </c>
      <c r="D395" s="89" t="s">
        <v>210</v>
      </c>
      <c r="E395" s="89" t="s">
        <v>210</v>
      </c>
      <c r="F395" s="89">
        <v>5</v>
      </c>
      <c r="G395" s="89">
        <v>1</v>
      </c>
      <c r="H395" s="89" t="s">
        <v>210</v>
      </c>
      <c r="I395" s="89" t="s">
        <v>210</v>
      </c>
      <c r="J395" s="89">
        <v>-3</v>
      </c>
      <c r="K395" s="89">
        <v>-5</v>
      </c>
      <c r="L395" s="89" t="s">
        <v>210</v>
      </c>
      <c r="M395" s="89" t="s">
        <v>210</v>
      </c>
      <c r="N395" s="89">
        <v>3</v>
      </c>
      <c r="O395" s="89">
        <v>-2</v>
      </c>
      <c r="P395" s="89" t="s">
        <v>210</v>
      </c>
      <c r="Q395" s="89"/>
      <c r="R395" s="89"/>
      <c r="S395" s="89"/>
      <c r="T395" s="89"/>
      <c r="U395" s="89"/>
      <c r="V395" s="89"/>
      <c r="W395" s="89"/>
      <c r="X395" s="89"/>
      <c r="Y395" s="89"/>
      <c r="Z395" s="89"/>
      <c r="AA395" s="89"/>
      <c r="AB395" s="89"/>
      <c r="AC395" s="89"/>
      <c r="AD395" s="89"/>
      <c r="AE395" s="89"/>
      <c r="AF395" s="89"/>
      <c r="AG395" s="89"/>
      <c r="AH395" s="89"/>
      <c r="AI395" s="89"/>
      <c r="AJ395" s="89"/>
      <c r="AK395" s="89"/>
      <c r="AL395" s="89"/>
      <c r="AM395" s="89"/>
      <c r="AN395" s="89"/>
      <c r="AO395" s="89"/>
      <c r="AP395" s="89"/>
      <c r="AQ395" s="89"/>
      <c r="AR395" s="89"/>
      <c r="AS395" s="89"/>
      <c r="AT395" s="89"/>
      <c r="AU395" s="89"/>
      <c r="AV395" s="89"/>
      <c r="AW395" s="89"/>
      <c r="AX395" s="89"/>
      <c r="AY395" s="89"/>
      <c r="AZ395" s="89"/>
      <c r="BA395" s="95"/>
    </row>
    <row r="396" spans="1:53" s="87" customFormat="1">
      <c r="A396" s="374" t="str">
        <f t="shared" ref="A396:A459" si="54">IF(MID(B396,3,2)="06",ROW(),"")</f>
        <v/>
      </c>
      <c r="B396" s="89">
        <v>6</v>
      </c>
      <c r="C396" s="89">
        <v>-5</v>
      </c>
      <c r="D396" s="89" t="s">
        <v>210</v>
      </c>
      <c r="E396" s="89" t="s">
        <v>210</v>
      </c>
      <c r="F396" s="89">
        <v>-3</v>
      </c>
      <c r="G396" s="89">
        <v>-6</v>
      </c>
      <c r="H396" s="89" t="s">
        <v>210</v>
      </c>
      <c r="I396" s="89" t="s">
        <v>210</v>
      </c>
      <c r="J396" s="89">
        <v>5</v>
      </c>
      <c r="K396" s="89">
        <v>-1</v>
      </c>
      <c r="L396" s="89" t="s">
        <v>210</v>
      </c>
      <c r="M396" s="89" t="s">
        <v>210</v>
      </c>
      <c r="N396" s="89">
        <v>4</v>
      </c>
      <c r="O396" s="89">
        <v>2</v>
      </c>
      <c r="P396" s="89" t="s">
        <v>210</v>
      </c>
      <c r="Q396" s="89"/>
      <c r="R396" s="89"/>
      <c r="S396" s="89"/>
      <c r="T396" s="89"/>
      <c r="U396" s="89"/>
      <c r="V396" s="89"/>
      <c r="W396" s="89"/>
      <c r="X396" s="89"/>
      <c r="Y396" s="89"/>
      <c r="Z396" s="89"/>
      <c r="AA396" s="89"/>
      <c r="AB396" s="89"/>
      <c r="AC396" s="89"/>
      <c r="AD396" s="89"/>
      <c r="AE396" s="89"/>
      <c r="AF396" s="89"/>
      <c r="AG396" s="89"/>
      <c r="AH396" s="89"/>
      <c r="AI396" s="89"/>
      <c r="AJ396" s="89"/>
      <c r="AK396" s="89"/>
      <c r="AL396" s="89"/>
      <c r="AM396" s="89"/>
      <c r="AN396" s="89"/>
      <c r="AO396" s="89"/>
      <c r="AP396" s="89"/>
      <c r="AQ396" s="89"/>
      <c r="AR396" s="89"/>
      <c r="AS396" s="89"/>
      <c r="AT396" s="89"/>
      <c r="AU396" s="89"/>
      <c r="AV396" s="89"/>
      <c r="AW396" s="89"/>
      <c r="AX396" s="89"/>
      <c r="AY396" s="89"/>
      <c r="AZ396" s="89"/>
      <c r="BA396" s="95"/>
    </row>
    <row r="397" spans="1:53" s="87" customFormat="1">
      <c r="A397" s="374" t="str">
        <f t="shared" si="54"/>
        <v/>
      </c>
      <c r="B397" s="89">
        <v>7</v>
      </c>
      <c r="C397" s="89">
        <v>1</v>
      </c>
      <c r="D397" s="89" t="s">
        <v>210</v>
      </c>
      <c r="E397" s="89" t="s">
        <v>210</v>
      </c>
      <c r="F397" s="89">
        <v>4</v>
      </c>
      <c r="G397" s="89">
        <v>3</v>
      </c>
      <c r="H397" s="89" t="s">
        <v>210</v>
      </c>
      <c r="I397" s="89" t="s">
        <v>210</v>
      </c>
      <c r="J397" s="89">
        <v>-5</v>
      </c>
      <c r="K397" s="89">
        <v>2</v>
      </c>
      <c r="L397" s="89" t="s">
        <v>210</v>
      </c>
      <c r="M397" s="89" t="s">
        <v>210</v>
      </c>
      <c r="N397" s="89">
        <v>-3</v>
      </c>
      <c r="O397" s="89">
        <v>-6</v>
      </c>
      <c r="P397" s="89" t="s">
        <v>210</v>
      </c>
      <c r="Q397" s="89"/>
      <c r="R397" s="89"/>
      <c r="S397" s="89"/>
      <c r="T397" s="89"/>
      <c r="U397" s="89"/>
      <c r="V397" s="89"/>
      <c r="W397" s="89"/>
      <c r="X397" s="89"/>
      <c r="Y397" s="89"/>
      <c r="Z397" s="89"/>
      <c r="AA397" s="89"/>
      <c r="AB397" s="89"/>
      <c r="AC397" s="89"/>
      <c r="AD397" s="89"/>
      <c r="AE397" s="89"/>
      <c r="AF397" s="89"/>
      <c r="AG397" s="89"/>
      <c r="AH397" s="89"/>
      <c r="AI397" s="89"/>
      <c r="AJ397" s="89"/>
      <c r="AK397" s="89"/>
      <c r="AL397" s="89"/>
      <c r="AM397" s="89"/>
      <c r="AN397" s="89"/>
      <c r="AO397" s="89"/>
      <c r="AP397" s="89"/>
      <c r="AQ397" s="89"/>
      <c r="AR397" s="89"/>
      <c r="AS397" s="89"/>
      <c r="AT397" s="89"/>
      <c r="AU397" s="89"/>
      <c r="AV397" s="89"/>
      <c r="AW397" s="89"/>
      <c r="AX397" s="89"/>
      <c r="AY397" s="89"/>
      <c r="AZ397" s="89"/>
      <c r="BA397" s="95"/>
    </row>
    <row r="398" spans="1:53" s="87" customFormat="1">
      <c r="A398" s="374" t="str">
        <f t="shared" si="54"/>
        <v/>
      </c>
      <c r="B398" s="99">
        <v>8</v>
      </c>
      <c r="C398" s="92">
        <v>-3</v>
      </c>
      <c r="D398" s="92" t="s">
        <v>210</v>
      </c>
      <c r="E398" s="92" t="s">
        <v>210</v>
      </c>
      <c r="F398" s="92">
        <v>2</v>
      </c>
      <c r="G398" s="92">
        <v>5</v>
      </c>
      <c r="H398" s="92" t="s">
        <v>210</v>
      </c>
      <c r="I398" s="92" t="s">
        <v>210</v>
      </c>
      <c r="J398" s="92">
        <v>3</v>
      </c>
      <c r="K398" s="92">
        <v>-6</v>
      </c>
      <c r="L398" s="92" t="s">
        <v>210</v>
      </c>
      <c r="M398" s="92" t="s">
        <v>210</v>
      </c>
      <c r="N398" s="92">
        <v>-4</v>
      </c>
      <c r="O398" s="92">
        <v>6</v>
      </c>
      <c r="P398" s="92" t="s">
        <v>210</v>
      </c>
      <c r="Q398" s="89"/>
      <c r="R398" s="89"/>
      <c r="S398" s="89"/>
      <c r="T398" s="89"/>
      <c r="U398" s="89"/>
      <c r="V398" s="89"/>
      <c r="W398" s="89"/>
      <c r="X398" s="89"/>
      <c r="Y398" s="89"/>
      <c r="Z398" s="89"/>
      <c r="AA398" s="89"/>
      <c r="AB398" s="89"/>
      <c r="AC398" s="89"/>
      <c r="AD398" s="89"/>
      <c r="AE398" s="89"/>
      <c r="AF398" s="89"/>
      <c r="AG398" s="89"/>
      <c r="AH398" s="89"/>
      <c r="AI398" s="89"/>
      <c r="AJ398" s="89"/>
      <c r="AK398" s="89"/>
      <c r="AL398" s="89"/>
      <c r="AM398" s="89"/>
      <c r="AN398" s="89"/>
      <c r="AO398" s="89"/>
      <c r="AP398" s="89"/>
      <c r="AQ398" s="89"/>
      <c r="AR398" s="89"/>
      <c r="AS398" s="89"/>
      <c r="AT398" s="89"/>
      <c r="AU398" s="89"/>
      <c r="AV398" s="89"/>
      <c r="AW398" s="89"/>
      <c r="AX398" s="89"/>
      <c r="AY398" s="89"/>
      <c r="AZ398" s="89"/>
      <c r="BA398" s="95"/>
    </row>
    <row r="399" spans="1:53" s="87" customFormat="1">
      <c r="A399" s="374" t="str">
        <f t="shared" si="54"/>
        <v/>
      </c>
      <c r="B399" s="89">
        <v>9</v>
      </c>
      <c r="C399" s="89" t="s">
        <v>210</v>
      </c>
      <c r="D399" s="89">
        <v>6</v>
      </c>
      <c r="E399" s="89">
        <v>-4</v>
      </c>
      <c r="F399" s="89" t="s">
        <v>210</v>
      </c>
      <c r="G399" s="89" t="s">
        <v>210</v>
      </c>
      <c r="H399" s="89">
        <v>-2</v>
      </c>
      <c r="I399" s="89">
        <v>-3</v>
      </c>
      <c r="J399" s="89" t="s">
        <v>210</v>
      </c>
      <c r="K399" s="89" t="s">
        <v>210</v>
      </c>
      <c r="L399" s="89">
        <v>2</v>
      </c>
      <c r="M399" s="89">
        <v>5</v>
      </c>
      <c r="N399" s="89" t="s">
        <v>210</v>
      </c>
      <c r="O399" s="89" t="s">
        <v>210</v>
      </c>
      <c r="P399" s="89">
        <v>4</v>
      </c>
      <c r="Q399" s="89"/>
      <c r="R399" s="89"/>
      <c r="S399" s="89"/>
      <c r="T399" s="89"/>
      <c r="U399" s="89"/>
      <c r="V399" s="89"/>
      <c r="W399" s="89"/>
      <c r="X399" s="89"/>
      <c r="Y399" s="89"/>
      <c r="Z399" s="89"/>
      <c r="AA399" s="89"/>
      <c r="AB399" s="89"/>
      <c r="AC399" s="89"/>
      <c r="AD399" s="89"/>
      <c r="AE399" s="89"/>
      <c r="AF399" s="89"/>
      <c r="AG399" s="89"/>
      <c r="AH399" s="89"/>
      <c r="AI399" s="89"/>
      <c r="AJ399" s="89"/>
      <c r="AK399" s="89"/>
      <c r="AL399" s="89"/>
      <c r="AM399" s="89"/>
      <c r="AN399" s="89"/>
      <c r="AO399" s="89"/>
      <c r="AP399" s="89"/>
      <c r="AQ399" s="89"/>
      <c r="AR399" s="89"/>
      <c r="AS399" s="89"/>
      <c r="AT399" s="89"/>
      <c r="AU399" s="89"/>
      <c r="AV399" s="89"/>
      <c r="AW399" s="89"/>
      <c r="AX399" s="89"/>
      <c r="AY399" s="89"/>
      <c r="AZ399" s="89"/>
      <c r="BA399" s="95"/>
    </row>
    <row r="400" spans="1:53" s="87" customFormat="1">
      <c r="A400" s="374" t="str">
        <f t="shared" si="54"/>
        <v/>
      </c>
      <c r="B400" s="89">
        <v>10</v>
      </c>
      <c r="C400" s="89" t="s">
        <v>210</v>
      </c>
      <c r="D400" s="89">
        <v>2</v>
      </c>
      <c r="E400" s="89">
        <v>-1</v>
      </c>
      <c r="F400" s="89" t="s">
        <v>210</v>
      </c>
      <c r="G400" s="89" t="s">
        <v>210</v>
      </c>
      <c r="H400" s="89">
        <v>-3</v>
      </c>
      <c r="I400" s="89">
        <v>4</v>
      </c>
      <c r="J400" s="89" t="s">
        <v>210</v>
      </c>
      <c r="K400" s="89" t="s">
        <v>210</v>
      </c>
      <c r="L400" s="89">
        <v>5</v>
      </c>
      <c r="M400" s="89">
        <v>6</v>
      </c>
      <c r="N400" s="89" t="s">
        <v>210</v>
      </c>
      <c r="O400" s="89" t="s">
        <v>210</v>
      </c>
      <c r="P400" s="89">
        <v>-4</v>
      </c>
      <c r="Q400" s="89"/>
      <c r="R400" s="89"/>
      <c r="S400" s="89"/>
      <c r="T400" s="89"/>
      <c r="U400" s="89"/>
      <c r="V400" s="89"/>
      <c r="W400" s="89"/>
      <c r="X400" s="89"/>
      <c r="Y400" s="89"/>
      <c r="Z400" s="89"/>
      <c r="AA400" s="89"/>
      <c r="AB400" s="89"/>
      <c r="AC400" s="89"/>
      <c r="AD400" s="89"/>
      <c r="AE400" s="89"/>
      <c r="AF400" s="89"/>
      <c r="AG400" s="89"/>
      <c r="AH400" s="89"/>
      <c r="AI400" s="89"/>
      <c r="AJ400" s="89"/>
      <c r="AK400" s="89"/>
      <c r="AL400" s="89"/>
      <c r="AM400" s="89"/>
      <c r="AN400" s="89"/>
      <c r="AO400" s="89"/>
      <c r="AP400" s="89"/>
      <c r="AQ400" s="89"/>
      <c r="AR400" s="89"/>
      <c r="AS400" s="89"/>
      <c r="AT400" s="89"/>
      <c r="AU400" s="89"/>
      <c r="AV400" s="89"/>
      <c r="AW400" s="89"/>
      <c r="AX400" s="89"/>
      <c r="AY400" s="89"/>
      <c r="AZ400" s="89"/>
      <c r="BA400" s="95"/>
    </row>
    <row r="401" spans="1:53" s="87" customFormat="1">
      <c r="A401" s="374" t="str">
        <f t="shared" si="54"/>
        <v/>
      </c>
      <c r="B401" s="89">
        <v>11</v>
      </c>
      <c r="C401" s="89" t="s">
        <v>210</v>
      </c>
      <c r="D401" s="89">
        <v>4</v>
      </c>
      <c r="E401" s="89">
        <v>3</v>
      </c>
      <c r="F401" s="89" t="s">
        <v>210</v>
      </c>
      <c r="G401" s="89" t="s">
        <v>210</v>
      </c>
      <c r="H401" s="89">
        <v>-1</v>
      </c>
      <c r="I401" s="89">
        <v>-4</v>
      </c>
      <c r="J401" s="89" t="s">
        <v>210</v>
      </c>
      <c r="K401" s="89" t="s">
        <v>210</v>
      </c>
      <c r="L401" s="89">
        <v>6</v>
      </c>
      <c r="M401" s="89">
        <v>-5</v>
      </c>
      <c r="N401" s="89" t="s">
        <v>210</v>
      </c>
      <c r="O401" s="89" t="s">
        <v>210</v>
      </c>
      <c r="P401" s="89">
        <v>-2</v>
      </c>
      <c r="Q401" s="89"/>
      <c r="R401" s="89"/>
      <c r="S401" s="89"/>
      <c r="T401" s="89"/>
      <c r="U401" s="89"/>
      <c r="V401" s="89"/>
      <c r="W401" s="89"/>
      <c r="X401" s="89"/>
      <c r="Y401" s="89"/>
      <c r="Z401" s="89"/>
      <c r="AA401" s="89"/>
      <c r="AB401" s="89"/>
      <c r="AC401" s="89"/>
      <c r="AD401" s="89"/>
      <c r="AE401" s="89"/>
      <c r="AF401" s="89"/>
      <c r="AG401" s="89"/>
      <c r="AH401" s="89"/>
      <c r="AI401" s="89"/>
      <c r="AJ401" s="89"/>
      <c r="AK401" s="89"/>
      <c r="AL401" s="89"/>
      <c r="AM401" s="89"/>
      <c r="AN401" s="89"/>
      <c r="AO401" s="89"/>
      <c r="AP401" s="89"/>
      <c r="AQ401" s="89"/>
      <c r="AR401" s="89"/>
      <c r="AS401" s="89"/>
      <c r="AT401" s="89"/>
      <c r="AU401" s="89"/>
      <c r="AV401" s="89"/>
      <c r="AW401" s="89"/>
      <c r="AX401" s="89"/>
      <c r="AY401" s="89"/>
      <c r="AZ401" s="89"/>
      <c r="BA401" s="95"/>
    </row>
    <row r="402" spans="1:53" s="87" customFormat="1">
      <c r="A402" s="374" t="str">
        <f t="shared" si="54"/>
        <v/>
      </c>
      <c r="B402" s="89">
        <v>12</v>
      </c>
      <c r="C402" s="89" t="s">
        <v>210</v>
      </c>
      <c r="D402" s="89">
        <v>5</v>
      </c>
      <c r="E402" s="89">
        <v>-2</v>
      </c>
      <c r="F402" s="89" t="s">
        <v>210</v>
      </c>
      <c r="G402" s="89" t="s">
        <v>210</v>
      </c>
      <c r="H402" s="89">
        <v>-5</v>
      </c>
      <c r="I402" s="89">
        <v>3</v>
      </c>
      <c r="J402" s="89" t="s">
        <v>210</v>
      </c>
      <c r="K402" s="89" t="s">
        <v>210</v>
      </c>
      <c r="L402" s="89">
        <v>4</v>
      </c>
      <c r="M402" s="89">
        <v>-6</v>
      </c>
      <c r="N402" s="89" t="s">
        <v>210</v>
      </c>
      <c r="O402" s="89" t="s">
        <v>210</v>
      </c>
      <c r="P402" s="89">
        <v>2</v>
      </c>
      <c r="Q402" s="89"/>
      <c r="R402" s="89"/>
      <c r="S402" s="89"/>
      <c r="T402" s="89"/>
      <c r="U402" s="89"/>
      <c r="V402" s="89"/>
      <c r="W402" s="89"/>
      <c r="X402" s="89"/>
      <c r="Y402" s="89"/>
      <c r="Z402" s="89"/>
      <c r="AA402" s="89"/>
      <c r="AB402" s="89"/>
      <c r="AC402" s="89"/>
      <c r="AD402" s="89"/>
      <c r="AE402" s="89"/>
      <c r="AF402" s="89"/>
      <c r="AG402" s="89"/>
      <c r="AH402" s="89"/>
      <c r="AI402" s="89"/>
      <c r="AJ402" s="89"/>
      <c r="AK402" s="89"/>
      <c r="AL402" s="89"/>
      <c r="AM402" s="89"/>
      <c r="AN402" s="89"/>
      <c r="AO402" s="89"/>
      <c r="AP402" s="89"/>
      <c r="AQ402" s="89"/>
      <c r="AR402" s="89"/>
      <c r="AS402" s="89"/>
      <c r="AT402" s="89"/>
      <c r="AU402" s="89"/>
      <c r="AV402" s="89"/>
      <c r="AW402" s="89"/>
      <c r="AX402" s="89"/>
      <c r="AY402" s="89"/>
      <c r="AZ402" s="89"/>
      <c r="BA402" s="95"/>
    </row>
    <row r="403" spans="1:53" s="87" customFormat="1">
      <c r="A403" s="374" t="str">
        <f t="shared" si="54"/>
        <v/>
      </c>
      <c r="B403" s="89">
        <v>13</v>
      </c>
      <c r="C403" s="89" t="s">
        <v>210</v>
      </c>
      <c r="D403" s="89">
        <v>-6</v>
      </c>
      <c r="E403" s="89">
        <v>2</v>
      </c>
      <c r="F403" s="89" t="s">
        <v>210</v>
      </c>
      <c r="G403" s="89" t="s">
        <v>210</v>
      </c>
      <c r="H403" s="89">
        <v>1</v>
      </c>
      <c r="I403" s="89">
        <v>-2</v>
      </c>
      <c r="J403" s="89" t="s">
        <v>210</v>
      </c>
      <c r="K403" s="89" t="s">
        <v>210</v>
      </c>
      <c r="L403" s="89">
        <v>-5</v>
      </c>
      <c r="M403" s="89">
        <v>-3</v>
      </c>
      <c r="N403" s="89" t="s">
        <v>210</v>
      </c>
      <c r="O403" s="89" t="s">
        <v>210</v>
      </c>
      <c r="P403" s="89">
        <v>5</v>
      </c>
      <c r="Q403" s="89"/>
      <c r="R403" s="89"/>
      <c r="S403" s="89"/>
      <c r="T403" s="89"/>
      <c r="U403" s="89"/>
      <c r="V403" s="89"/>
      <c r="W403" s="89"/>
      <c r="X403" s="89"/>
      <c r="Y403" s="89"/>
      <c r="Z403" s="89"/>
      <c r="AA403" s="89"/>
      <c r="AB403" s="89"/>
      <c r="AC403" s="89"/>
      <c r="AD403" s="89"/>
      <c r="AE403" s="89"/>
      <c r="AF403" s="89"/>
      <c r="AG403" s="89"/>
      <c r="AH403" s="89"/>
      <c r="AI403" s="89"/>
      <c r="AJ403" s="89"/>
      <c r="AK403" s="89"/>
      <c r="AL403" s="89"/>
      <c r="AM403" s="89"/>
      <c r="AN403" s="89"/>
      <c r="AO403" s="89"/>
      <c r="AP403" s="89"/>
      <c r="AQ403" s="89"/>
      <c r="AR403" s="89"/>
      <c r="AS403" s="89"/>
      <c r="AT403" s="89"/>
      <c r="AU403" s="89"/>
      <c r="AV403" s="89"/>
      <c r="AW403" s="89"/>
      <c r="AX403" s="89"/>
      <c r="AY403" s="89"/>
      <c r="AZ403" s="89"/>
      <c r="BA403" s="95"/>
    </row>
    <row r="404" spans="1:53" s="87" customFormat="1">
      <c r="A404" s="374" t="str">
        <f t="shared" si="54"/>
        <v/>
      </c>
      <c r="B404" s="89">
        <v>14</v>
      </c>
      <c r="C404" s="89" t="s">
        <v>210</v>
      </c>
      <c r="D404" s="89">
        <v>-4</v>
      </c>
      <c r="E404" s="89">
        <v>1</v>
      </c>
      <c r="F404" s="89" t="s">
        <v>210</v>
      </c>
      <c r="G404" s="89" t="s">
        <v>210</v>
      </c>
      <c r="H404" s="89">
        <v>5</v>
      </c>
      <c r="I404" s="89">
        <v>-6</v>
      </c>
      <c r="J404" s="89" t="s">
        <v>210</v>
      </c>
      <c r="K404" s="89" t="s">
        <v>210</v>
      </c>
      <c r="L404" s="89">
        <v>-2</v>
      </c>
      <c r="M404" s="89">
        <v>4</v>
      </c>
      <c r="N404" s="89" t="s">
        <v>210</v>
      </c>
      <c r="O404" s="89" t="s">
        <v>210</v>
      </c>
      <c r="P404" s="89">
        <v>-5</v>
      </c>
      <c r="Q404" s="89"/>
      <c r="R404" s="89"/>
      <c r="S404" s="89"/>
      <c r="T404" s="89"/>
      <c r="U404" s="89"/>
      <c r="V404" s="89"/>
      <c r="W404" s="89"/>
      <c r="X404" s="89"/>
      <c r="Y404" s="89"/>
      <c r="Z404" s="89"/>
      <c r="AA404" s="89"/>
      <c r="AB404" s="89"/>
      <c r="AC404" s="89"/>
      <c r="AD404" s="89"/>
      <c r="AE404" s="89"/>
      <c r="AF404" s="89"/>
      <c r="AG404" s="89"/>
      <c r="AH404" s="89"/>
      <c r="AI404" s="89"/>
      <c r="AJ404" s="89"/>
      <c r="AK404" s="89"/>
      <c r="AL404" s="89"/>
      <c r="AM404" s="89"/>
      <c r="AN404" s="89"/>
      <c r="AO404" s="89"/>
      <c r="AP404" s="89"/>
      <c r="AQ404" s="89"/>
      <c r="AR404" s="89"/>
      <c r="AS404" s="89"/>
      <c r="AT404" s="89"/>
      <c r="AU404" s="89"/>
      <c r="AV404" s="89"/>
      <c r="AW404" s="89"/>
      <c r="AX404" s="89"/>
      <c r="AY404" s="89"/>
      <c r="AZ404" s="89"/>
      <c r="BA404" s="95"/>
    </row>
    <row r="405" spans="1:53" s="87" customFormat="1">
      <c r="A405" s="374" t="str">
        <f t="shared" si="54"/>
        <v/>
      </c>
      <c r="B405" s="89">
        <v>15</v>
      </c>
      <c r="C405" s="89" t="s">
        <v>210</v>
      </c>
      <c r="D405" s="89">
        <v>-2</v>
      </c>
      <c r="E405" s="89">
        <v>-3</v>
      </c>
      <c r="F405" s="89" t="s">
        <v>210</v>
      </c>
      <c r="G405" s="89" t="s">
        <v>210</v>
      </c>
      <c r="H405" s="89">
        <v>2</v>
      </c>
      <c r="I405" s="89">
        <v>6</v>
      </c>
      <c r="J405" s="89" t="s">
        <v>210</v>
      </c>
      <c r="K405" s="89" t="s">
        <v>210</v>
      </c>
      <c r="L405" s="89">
        <v>-4</v>
      </c>
      <c r="M405" s="89">
        <v>3</v>
      </c>
      <c r="N405" s="89" t="s">
        <v>210</v>
      </c>
      <c r="O405" s="89" t="s">
        <v>210</v>
      </c>
      <c r="P405" s="89">
        <v>-1</v>
      </c>
      <c r="Q405" s="89"/>
      <c r="R405" s="89"/>
      <c r="S405" s="89"/>
      <c r="T405" s="89"/>
      <c r="U405" s="89"/>
      <c r="V405" s="89"/>
      <c r="W405" s="89"/>
      <c r="X405" s="89"/>
      <c r="Y405" s="89"/>
      <c r="Z405" s="89"/>
      <c r="AA405" s="89"/>
      <c r="AB405" s="89"/>
      <c r="AC405" s="89"/>
      <c r="AD405" s="89"/>
      <c r="AE405" s="89"/>
      <c r="AF405" s="89"/>
      <c r="AG405" s="89"/>
      <c r="AH405" s="89"/>
      <c r="AI405" s="89"/>
      <c r="AJ405" s="89"/>
      <c r="AK405" s="89"/>
      <c r="AL405" s="89"/>
      <c r="AM405" s="89"/>
      <c r="AN405" s="89"/>
      <c r="AO405" s="89"/>
      <c r="AP405" s="89"/>
      <c r="AQ405" s="89"/>
      <c r="AR405" s="89"/>
      <c r="AS405" s="89"/>
      <c r="AT405" s="89"/>
      <c r="AU405" s="89"/>
      <c r="AV405" s="89"/>
      <c r="AW405" s="89"/>
      <c r="AX405" s="89"/>
      <c r="AY405" s="89"/>
      <c r="AZ405" s="89"/>
      <c r="BA405" s="95"/>
    </row>
    <row r="406" spans="1:53" s="87" customFormat="1">
      <c r="A406" s="374" t="str">
        <f t="shared" si="54"/>
        <v/>
      </c>
      <c r="B406" s="99">
        <v>16</v>
      </c>
      <c r="C406" s="92" t="s">
        <v>210</v>
      </c>
      <c r="D406" s="92">
        <v>-5</v>
      </c>
      <c r="E406" s="92">
        <v>4</v>
      </c>
      <c r="F406" s="92" t="s">
        <v>210</v>
      </c>
      <c r="G406" s="92" t="s">
        <v>210</v>
      </c>
      <c r="H406" s="92">
        <v>3</v>
      </c>
      <c r="I406" s="92">
        <v>2</v>
      </c>
      <c r="J406" s="92" t="s">
        <v>210</v>
      </c>
      <c r="K406" s="92" t="s">
        <v>210</v>
      </c>
      <c r="L406" s="92">
        <v>-6</v>
      </c>
      <c r="M406" s="92">
        <v>-4</v>
      </c>
      <c r="N406" s="92" t="s">
        <v>210</v>
      </c>
      <c r="O406" s="92" t="s">
        <v>210</v>
      </c>
      <c r="P406" s="92">
        <v>1</v>
      </c>
      <c r="Q406" s="89"/>
      <c r="R406" s="89"/>
      <c r="S406" s="89"/>
      <c r="T406" s="89"/>
      <c r="U406" s="89"/>
      <c r="V406" s="89"/>
      <c r="W406" s="89"/>
      <c r="X406" s="89"/>
      <c r="Y406" s="89"/>
      <c r="Z406" s="89"/>
      <c r="AA406" s="89"/>
      <c r="AB406" s="89"/>
      <c r="AC406" s="89"/>
      <c r="AD406" s="89"/>
      <c r="AE406" s="89"/>
      <c r="AF406" s="89"/>
      <c r="AG406" s="89"/>
      <c r="AH406" s="89"/>
      <c r="AI406" s="89"/>
      <c r="AJ406" s="89"/>
      <c r="AK406" s="89"/>
      <c r="AL406" s="89"/>
      <c r="AM406" s="89"/>
      <c r="AN406" s="89"/>
      <c r="AO406" s="89"/>
      <c r="AP406" s="89"/>
      <c r="AQ406" s="89"/>
      <c r="AR406" s="89"/>
      <c r="AS406" s="89"/>
      <c r="AT406" s="89"/>
      <c r="AU406" s="89"/>
      <c r="AV406" s="89"/>
      <c r="AW406" s="89"/>
      <c r="AX406" s="89"/>
      <c r="AY406" s="89"/>
      <c r="AZ406" s="89"/>
      <c r="BA406" s="95"/>
    </row>
    <row r="407" spans="1:53" s="87" customFormat="1">
      <c r="A407" s="374" t="str">
        <f t="shared" si="54"/>
        <v/>
      </c>
      <c r="B407" s="89">
        <v>17</v>
      </c>
      <c r="C407" s="89">
        <v>4</v>
      </c>
      <c r="D407" s="89" t="s">
        <v>210</v>
      </c>
      <c r="E407" s="89">
        <v>6</v>
      </c>
      <c r="F407" s="89" t="s">
        <v>210</v>
      </c>
      <c r="G407" s="89">
        <v>2</v>
      </c>
      <c r="H407" s="89" t="s">
        <v>210</v>
      </c>
      <c r="I407" s="89" t="s">
        <v>210</v>
      </c>
      <c r="J407" s="89">
        <v>-6</v>
      </c>
      <c r="K407" s="89">
        <v>-4</v>
      </c>
      <c r="L407" s="89" t="s">
        <v>210</v>
      </c>
      <c r="M407" s="89" t="s">
        <v>210</v>
      </c>
      <c r="N407" s="89" t="s">
        <v>202</v>
      </c>
      <c r="O407" s="89" t="s">
        <v>210</v>
      </c>
      <c r="P407" s="89">
        <v>-3</v>
      </c>
      <c r="Q407" s="89"/>
      <c r="R407" s="89"/>
      <c r="S407" s="89"/>
      <c r="T407" s="89"/>
      <c r="U407" s="89"/>
      <c r="V407" s="89"/>
      <c r="W407" s="89"/>
      <c r="X407" s="89"/>
      <c r="Y407" s="89"/>
      <c r="Z407" s="89"/>
      <c r="AA407" s="89"/>
      <c r="AB407" s="89"/>
      <c r="AC407" s="89"/>
      <c r="AD407" s="89"/>
      <c r="AE407" s="89"/>
      <c r="AF407" s="89"/>
      <c r="AG407" s="89"/>
      <c r="AH407" s="89"/>
      <c r="AI407" s="89"/>
      <c r="AJ407" s="89"/>
      <c r="AK407" s="89"/>
      <c r="AL407" s="89"/>
      <c r="AM407" s="89"/>
      <c r="AN407" s="89"/>
      <c r="AO407" s="89"/>
      <c r="AP407" s="89"/>
      <c r="AQ407" s="89"/>
      <c r="AR407" s="89"/>
      <c r="AS407" s="89"/>
      <c r="AT407" s="89"/>
      <c r="AU407" s="89"/>
      <c r="AV407" s="89"/>
      <c r="AW407" s="89"/>
      <c r="AX407" s="89"/>
      <c r="AY407" s="89"/>
      <c r="AZ407" s="89"/>
      <c r="BA407" s="95"/>
    </row>
    <row r="408" spans="1:53" s="87" customFormat="1">
      <c r="A408" s="374" t="str">
        <f t="shared" si="54"/>
        <v/>
      </c>
      <c r="B408" s="89">
        <v>18</v>
      </c>
      <c r="C408" s="89">
        <v>2</v>
      </c>
      <c r="D408" s="89" t="s">
        <v>210</v>
      </c>
      <c r="E408" s="89" t="s">
        <v>210</v>
      </c>
      <c r="F408" s="89" t="s">
        <v>202</v>
      </c>
      <c r="G408" s="89">
        <v>-4</v>
      </c>
      <c r="H408" s="89" t="s">
        <v>210</v>
      </c>
      <c r="I408" s="89">
        <v>5</v>
      </c>
      <c r="J408" s="89" t="s">
        <v>210</v>
      </c>
      <c r="K408" s="89" t="s">
        <v>210</v>
      </c>
      <c r="L408" s="89">
        <v>-3</v>
      </c>
      <c r="M408" s="89">
        <v>-1</v>
      </c>
      <c r="N408" s="89" t="s">
        <v>210</v>
      </c>
      <c r="O408" s="89" t="s">
        <v>210</v>
      </c>
      <c r="P408" s="89">
        <v>3</v>
      </c>
      <c r="Q408" s="89"/>
      <c r="R408" s="89"/>
      <c r="S408" s="89"/>
      <c r="T408" s="89"/>
      <c r="U408" s="89"/>
      <c r="V408" s="89"/>
      <c r="W408" s="89"/>
      <c r="X408" s="89"/>
      <c r="Y408" s="89"/>
      <c r="Z408" s="89"/>
      <c r="AA408" s="89"/>
      <c r="AB408" s="89"/>
      <c r="AC408" s="89"/>
      <c r="AD408" s="89"/>
      <c r="AE408" s="89"/>
      <c r="AF408" s="89"/>
      <c r="AG408" s="89"/>
      <c r="AH408" s="89"/>
      <c r="AI408" s="89"/>
      <c r="AJ408" s="89"/>
      <c r="AK408" s="89"/>
      <c r="AL408" s="89"/>
      <c r="AM408" s="89"/>
      <c r="AN408" s="89"/>
      <c r="AO408" s="89"/>
      <c r="AP408" s="89"/>
      <c r="AQ408" s="89"/>
      <c r="AR408" s="89"/>
      <c r="AS408" s="89"/>
      <c r="AT408" s="89"/>
      <c r="AU408" s="89"/>
      <c r="AV408" s="89"/>
      <c r="AW408" s="89"/>
      <c r="AX408" s="89"/>
      <c r="AY408" s="89"/>
      <c r="AZ408" s="89"/>
      <c r="BA408" s="95"/>
    </row>
    <row r="409" spans="1:53" s="87" customFormat="1">
      <c r="A409" s="374" t="str">
        <f t="shared" si="54"/>
        <v/>
      </c>
      <c r="B409" s="89">
        <v>19</v>
      </c>
      <c r="C409" s="89" t="s">
        <v>210</v>
      </c>
      <c r="D409" s="89">
        <v>3</v>
      </c>
      <c r="E409" s="89">
        <v>-6</v>
      </c>
      <c r="F409" s="89" t="s">
        <v>210</v>
      </c>
      <c r="G409" s="89" t="s">
        <v>210</v>
      </c>
      <c r="H409" s="89">
        <v>4</v>
      </c>
      <c r="I409" s="89" t="s">
        <v>210</v>
      </c>
      <c r="J409" s="89" t="s">
        <v>202</v>
      </c>
      <c r="K409" s="89">
        <v>-3</v>
      </c>
      <c r="L409" s="89" t="s">
        <v>210</v>
      </c>
      <c r="M409" s="89">
        <v>1</v>
      </c>
      <c r="N409" s="89" t="s">
        <v>210</v>
      </c>
      <c r="O409" s="89">
        <v>-5</v>
      </c>
      <c r="P409" s="89" t="s">
        <v>210</v>
      </c>
      <c r="Q409" s="89"/>
      <c r="R409" s="89"/>
      <c r="S409" s="89"/>
      <c r="T409" s="89"/>
      <c r="U409" s="89"/>
      <c r="V409" s="89"/>
      <c r="W409" s="89"/>
      <c r="X409" s="89"/>
      <c r="Y409" s="89"/>
      <c r="Z409" s="89"/>
      <c r="AA409" s="89"/>
      <c r="AB409" s="89"/>
      <c r="AC409" s="89"/>
      <c r="AD409" s="89"/>
      <c r="AE409" s="89"/>
      <c r="AF409" s="89"/>
      <c r="AG409" s="89"/>
      <c r="AH409" s="89"/>
      <c r="AI409" s="89"/>
      <c r="AJ409" s="89"/>
      <c r="AK409" s="89"/>
      <c r="AL409" s="89"/>
      <c r="AM409" s="89"/>
      <c r="AN409" s="89"/>
      <c r="AO409" s="89"/>
      <c r="AP409" s="89"/>
      <c r="AQ409" s="89"/>
      <c r="AR409" s="89"/>
      <c r="AS409" s="89"/>
      <c r="AT409" s="89"/>
      <c r="AU409" s="89"/>
      <c r="AV409" s="89"/>
      <c r="AW409" s="89"/>
      <c r="AX409" s="89"/>
      <c r="AY409" s="89"/>
      <c r="AZ409" s="89"/>
      <c r="BA409" s="95"/>
    </row>
    <row r="410" spans="1:53" s="87" customFormat="1">
      <c r="A410" s="374" t="str">
        <f t="shared" si="54"/>
        <v/>
      </c>
      <c r="B410" s="89">
        <v>20</v>
      </c>
      <c r="C410" s="89" t="s">
        <v>210</v>
      </c>
      <c r="D410" s="89" t="s">
        <v>202</v>
      </c>
      <c r="E410" s="89" t="s">
        <v>210</v>
      </c>
      <c r="F410" s="89">
        <v>-6</v>
      </c>
      <c r="G410" s="89">
        <v>-2</v>
      </c>
      <c r="H410" s="89" t="s">
        <v>210</v>
      </c>
      <c r="I410" s="89">
        <v>-1</v>
      </c>
      <c r="J410" s="89" t="s">
        <v>210</v>
      </c>
      <c r="K410" s="89" t="s">
        <v>210</v>
      </c>
      <c r="L410" s="89">
        <v>3</v>
      </c>
      <c r="M410" s="89">
        <v>2</v>
      </c>
      <c r="N410" s="89" t="s">
        <v>210</v>
      </c>
      <c r="O410" s="89">
        <v>5</v>
      </c>
      <c r="P410" s="89" t="s">
        <v>210</v>
      </c>
      <c r="Q410" s="89"/>
      <c r="R410" s="89"/>
      <c r="S410" s="89"/>
      <c r="T410" s="89"/>
      <c r="U410" s="89"/>
      <c r="V410" s="89"/>
      <c r="W410" s="89"/>
      <c r="X410" s="89"/>
      <c r="Y410" s="89"/>
      <c r="Z410" s="89"/>
      <c r="AA410" s="89"/>
      <c r="AB410" s="89"/>
      <c r="AC410" s="89"/>
      <c r="AD410" s="89"/>
      <c r="AE410" s="89"/>
      <c r="AF410" s="89"/>
      <c r="AG410" s="89"/>
      <c r="AH410" s="89"/>
      <c r="AI410" s="89"/>
      <c r="AJ410" s="89"/>
      <c r="AK410" s="89"/>
      <c r="AL410" s="89"/>
      <c r="AM410" s="89"/>
      <c r="AN410" s="89"/>
      <c r="AO410" s="89"/>
      <c r="AP410" s="89"/>
      <c r="AQ410" s="89"/>
      <c r="AR410" s="89"/>
      <c r="AS410" s="89"/>
      <c r="AT410" s="89"/>
      <c r="AU410" s="89"/>
      <c r="AV410" s="89"/>
      <c r="AW410" s="89"/>
      <c r="AX410" s="89"/>
      <c r="AY410" s="89"/>
      <c r="AZ410" s="89"/>
      <c r="BA410" s="95"/>
    </row>
    <row r="411" spans="1:53" s="87" customFormat="1">
      <c r="A411" s="374" t="str">
        <f t="shared" si="54"/>
        <v/>
      </c>
      <c r="B411" s="89">
        <v>21</v>
      </c>
      <c r="C411" s="89" t="s">
        <v>210</v>
      </c>
      <c r="D411" s="89">
        <v>-3</v>
      </c>
      <c r="E411" s="89">
        <v>-5</v>
      </c>
      <c r="F411" s="89" t="s">
        <v>210</v>
      </c>
      <c r="G411" s="89">
        <v>4</v>
      </c>
      <c r="H411" s="89" t="s">
        <v>210</v>
      </c>
      <c r="I411" s="89" t="s">
        <v>210</v>
      </c>
      <c r="J411" s="89">
        <v>6</v>
      </c>
      <c r="K411" s="89" t="s">
        <v>210</v>
      </c>
      <c r="L411" s="89" t="s">
        <v>202</v>
      </c>
      <c r="M411" s="89">
        <v>-2</v>
      </c>
      <c r="N411" s="89" t="s">
        <v>210</v>
      </c>
      <c r="O411" s="89">
        <v>1</v>
      </c>
      <c r="P411" s="89" t="s">
        <v>210</v>
      </c>
      <c r="Q411" s="89"/>
      <c r="R411" s="89"/>
      <c r="S411" s="89"/>
      <c r="T411" s="89"/>
      <c r="U411" s="89"/>
      <c r="V411" s="89"/>
      <c r="W411" s="89"/>
      <c r="X411" s="89"/>
      <c r="Y411" s="89"/>
      <c r="Z411" s="89"/>
      <c r="AA411" s="89"/>
      <c r="AB411" s="89"/>
      <c r="AC411" s="89"/>
      <c r="AD411" s="89"/>
      <c r="AE411" s="89"/>
      <c r="AF411" s="89"/>
      <c r="AG411" s="89"/>
      <c r="AH411" s="89"/>
      <c r="AI411" s="89"/>
      <c r="AJ411" s="89"/>
      <c r="AK411" s="89"/>
      <c r="AL411" s="89"/>
      <c r="AM411" s="89"/>
      <c r="AN411" s="89"/>
      <c r="AO411" s="89"/>
      <c r="AP411" s="89"/>
      <c r="AQ411" s="89"/>
      <c r="AR411" s="89"/>
      <c r="AS411" s="89"/>
      <c r="AT411" s="89"/>
      <c r="AU411" s="89"/>
      <c r="AV411" s="89"/>
      <c r="AW411" s="89"/>
      <c r="AX411" s="89"/>
      <c r="AY411" s="89"/>
      <c r="AZ411" s="89"/>
      <c r="BA411" s="95"/>
    </row>
    <row r="412" spans="1:53" s="87" customFormat="1">
      <c r="A412" s="374" t="str">
        <f t="shared" si="54"/>
        <v/>
      </c>
      <c r="B412" s="89">
        <v>22</v>
      </c>
      <c r="C412" s="89">
        <v>-4</v>
      </c>
      <c r="D412" s="89" t="s">
        <v>210</v>
      </c>
      <c r="E412" s="89" t="s">
        <v>210</v>
      </c>
      <c r="F412" s="89">
        <v>6</v>
      </c>
      <c r="G412" s="89" t="s">
        <v>210</v>
      </c>
      <c r="H412" s="89" t="s">
        <v>202</v>
      </c>
      <c r="I412" s="89">
        <v>-5</v>
      </c>
      <c r="J412" s="89" t="s">
        <v>210</v>
      </c>
      <c r="K412" s="89">
        <v>3</v>
      </c>
      <c r="L412" s="89" t="s">
        <v>210</v>
      </c>
      <c r="M412" s="89" t="s">
        <v>210</v>
      </c>
      <c r="N412" s="89">
        <v>5</v>
      </c>
      <c r="O412" s="89">
        <v>-1</v>
      </c>
      <c r="P412" s="89" t="s">
        <v>210</v>
      </c>
      <c r="Q412" s="89"/>
      <c r="R412" s="89"/>
      <c r="S412" s="89"/>
      <c r="T412" s="89"/>
      <c r="U412" s="89"/>
      <c r="V412" s="89"/>
      <c r="W412" s="89"/>
      <c r="X412" s="89"/>
      <c r="Y412" s="89"/>
      <c r="Z412" s="89"/>
      <c r="AA412" s="89"/>
      <c r="AB412" s="89"/>
      <c r="AC412" s="89"/>
      <c r="AD412" s="89"/>
      <c r="AE412" s="89"/>
      <c r="AF412" s="89"/>
      <c r="AG412" s="89"/>
      <c r="AH412" s="89"/>
      <c r="AI412" s="89"/>
      <c r="AJ412" s="89"/>
      <c r="AK412" s="89"/>
      <c r="AL412" s="89"/>
      <c r="AM412" s="89"/>
      <c r="AN412" s="89"/>
      <c r="AO412" s="89"/>
      <c r="AP412" s="89"/>
      <c r="AQ412" s="89"/>
      <c r="AR412" s="89"/>
      <c r="AS412" s="89"/>
      <c r="AT412" s="89"/>
      <c r="AU412" s="89"/>
      <c r="AV412" s="89"/>
      <c r="AW412" s="89"/>
      <c r="AX412" s="89"/>
      <c r="AY412" s="89"/>
      <c r="AZ412" s="89"/>
      <c r="BA412" s="95"/>
    </row>
    <row r="413" spans="1:53" s="87" customFormat="1">
      <c r="A413" s="374" t="str">
        <f t="shared" si="54"/>
        <v/>
      </c>
      <c r="B413" s="89">
        <v>23</v>
      </c>
      <c r="C413" s="89">
        <v>-2</v>
      </c>
      <c r="D413" s="89" t="s">
        <v>210</v>
      </c>
      <c r="E413" s="89">
        <v>5</v>
      </c>
      <c r="F413" s="89" t="s">
        <v>210</v>
      </c>
      <c r="G413" s="89" t="s">
        <v>210</v>
      </c>
      <c r="H413" s="89">
        <v>-4</v>
      </c>
      <c r="I413" s="89">
        <v>1</v>
      </c>
      <c r="J413" s="89" t="s">
        <v>210</v>
      </c>
      <c r="K413" s="89">
        <v>4</v>
      </c>
      <c r="L413" s="89" t="s">
        <v>210</v>
      </c>
      <c r="M413" s="89" t="s">
        <v>210</v>
      </c>
      <c r="N413" s="89">
        <v>-5</v>
      </c>
      <c r="O413" s="89" t="s">
        <v>210</v>
      </c>
      <c r="P413" s="89" t="s">
        <v>202</v>
      </c>
      <c r="Q413" s="89"/>
      <c r="R413" s="89"/>
      <c r="S413" s="89"/>
      <c r="T413" s="89"/>
      <c r="U413" s="89"/>
      <c r="V413" s="89"/>
      <c r="W413" s="89"/>
      <c r="X413" s="89"/>
      <c r="Y413" s="89"/>
      <c r="Z413" s="89"/>
      <c r="AA413" s="89"/>
      <c r="AB413" s="89"/>
      <c r="AC413" s="89"/>
      <c r="AD413" s="89"/>
      <c r="AE413" s="89"/>
      <c r="AF413" s="89"/>
      <c r="AG413" s="89"/>
      <c r="AH413" s="89"/>
      <c r="AI413" s="89"/>
      <c r="AJ413" s="89"/>
      <c r="AK413" s="89"/>
      <c r="AL413" s="89"/>
      <c r="AM413" s="89"/>
      <c r="AN413" s="89"/>
      <c r="AO413" s="89"/>
      <c r="AP413" s="89"/>
      <c r="AQ413" s="89"/>
      <c r="AR413" s="89"/>
      <c r="AS413" s="89"/>
      <c r="AT413" s="89"/>
      <c r="AU413" s="89"/>
      <c r="AV413" s="89"/>
      <c r="AW413" s="89"/>
      <c r="AX413" s="89"/>
      <c r="AY413" s="89"/>
      <c r="AZ413" s="89"/>
      <c r="BA413" s="95"/>
    </row>
    <row r="414" spans="1:53" s="87" customFormat="1">
      <c r="A414" s="374" t="str">
        <f t="shared" si="54"/>
        <v/>
      </c>
      <c r="B414" s="89" t="s">
        <v>364</v>
      </c>
      <c r="C414" s="89"/>
      <c r="D414" s="89"/>
      <c r="E414" s="89"/>
      <c r="F414" s="89"/>
      <c r="G414" s="89"/>
      <c r="H414" s="89"/>
      <c r="I414" s="89"/>
      <c r="J414" s="89"/>
      <c r="K414" s="89"/>
      <c r="L414" s="89"/>
      <c r="M414" s="89"/>
      <c r="N414" s="89"/>
      <c r="O414" s="89"/>
      <c r="P414" s="89"/>
      <c r="Q414" s="89"/>
      <c r="R414" s="89"/>
      <c r="S414" s="89"/>
      <c r="T414" s="89"/>
      <c r="U414" s="89"/>
      <c r="V414" s="89"/>
      <c r="W414" s="89"/>
      <c r="X414" s="89"/>
      <c r="Y414" s="89"/>
      <c r="Z414" s="89"/>
      <c r="AA414" s="89"/>
      <c r="AB414" s="89"/>
      <c r="AC414" s="89"/>
      <c r="AD414" s="89"/>
      <c r="AE414" s="89"/>
      <c r="AF414" s="89"/>
      <c r="AG414" s="89"/>
      <c r="AH414" s="89"/>
      <c r="AI414" s="89"/>
      <c r="AJ414" s="89"/>
      <c r="AK414" s="89"/>
      <c r="AL414" s="89"/>
      <c r="AM414" s="89"/>
      <c r="AN414" s="89"/>
      <c r="AO414" s="89"/>
      <c r="AP414" s="89"/>
      <c r="AQ414" s="89"/>
      <c r="AR414" s="89"/>
      <c r="AS414" s="89"/>
      <c r="AT414" s="89"/>
      <c r="AU414" s="89"/>
      <c r="AV414" s="89"/>
      <c r="AW414" s="89"/>
      <c r="AX414" s="89"/>
      <c r="AY414" s="89"/>
      <c r="AZ414" s="89"/>
      <c r="BA414" s="95"/>
    </row>
    <row r="415" spans="1:53" s="87" customFormat="1">
      <c r="A415" s="374">
        <f t="shared" si="54"/>
        <v>415</v>
      </c>
      <c r="B415" s="89" t="s">
        <v>368</v>
      </c>
      <c r="C415" s="89"/>
      <c r="D415" s="89"/>
      <c r="E415" s="89"/>
      <c r="F415" s="89"/>
      <c r="G415" s="89"/>
      <c r="H415" s="89"/>
      <c r="I415" s="89"/>
      <c r="J415" s="89"/>
      <c r="K415" s="89"/>
      <c r="L415" s="89"/>
      <c r="M415" s="89"/>
      <c r="N415" s="89"/>
      <c r="O415" s="89"/>
      <c r="P415" s="89"/>
      <c r="Q415" s="89"/>
      <c r="R415" s="89"/>
      <c r="S415" s="89"/>
      <c r="T415" s="89"/>
      <c r="U415" s="89"/>
      <c r="V415" s="89"/>
      <c r="W415" s="89"/>
      <c r="X415" s="89"/>
      <c r="Y415" s="89"/>
      <c r="Z415" s="89"/>
      <c r="AA415" s="89"/>
      <c r="AB415" s="89"/>
      <c r="AC415" s="89"/>
      <c r="AD415" s="89"/>
      <c r="AE415" s="89"/>
      <c r="AF415" s="89"/>
      <c r="AG415" s="89"/>
      <c r="AH415" s="89"/>
      <c r="AI415" s="89"/>
      <c r="AJ415" s="89"/>
      <c r="AK415" s="89"/>
      <c r="AL415" s="89"/>
      <c r="AM415" s="89"/>
      <c r="AN415" s="89"/>
      <c r="AO415" s="89"/>
      <c r="AP415" s="89"/>
      <c r="AQ415" s="89"/>
      <c r="AR415" s="89"/>
      <c r="AS415" s="89"/>
      <c r="AT415" s="89"/>
      <c r="AU415" s="89"/>
      <c r="AV415" s="89"/>
      <c r="AW415" s="89"/>
      <c r="AX415" s="89"/>
      <c r="AY415" s="89"/>
      <c r="AZ415" s="89"/>
      <c r="BA415" s="95"/>
    </row>
    <row r="416" spans="1:53" s="87" customFormat="1">
      <c r="A416" s="374" t="str">
        <f t="shared" si="54"/>
        <v/>
      </c>
      <c r="B416" s="89">
        <v>1</v>
      </c>
      <c r="C416" s="89">
        <v>5</v>
      </c>
      <c r="D416" s="89" t="s">
        <v>210</v>
      </c>
      <c r="E416" s="89" t="s">
        <v>210</v>
      </c>
      <c r="F416" s="89">
        <v>-4</v>
      </c>
      <c r="G416" s="89">
        <v>-6</v>
      </c>
      <c r="H416" s="89" t="s">
        <v>210</v>
      </c>
      <c r="I416" s="89" t="s">
        <v>210</v>
      </c>
      <c r="J416" s="89">
        <v>2</v>
      </c>
      <c r="K416" s="89">
        <v>3</v>
      </c>
      <c r="L416" s="89" t="s">
        <v>210</v>
      </c>
      <c r="M416" s="89"/>
      <c r="N416" s="89"/>
      <c r="O416" s="89"/>
      <c r="P416" s="89"/>
      <c r="Q416" s="89"/>
      <c r="R416" s="89"/>
      <c r="S416" s="89"/>
      <c r="T416" s="89"/>
      <c r="U416" s="89"/>
      <c r="V416" s="89"/>
      <c r="W416" s="89"/>
      <c r="X416" s="89"/>
      <c r="Y416" s="89"/>
      <c r="Z416" s="89"/>
      <c r="AA416" s="89"/>
      <c r="AB416" s="89"/>
      <c r="AC416" s="89"/>
      <c r="AD416" s="89"/>
      <c r="AE416" s="89"/>
      <c r="AF416" s="89"/>
      <c r="AG416" s="89"/>
      <c r="AH416" s="89"/>
      <c r="AI416" s="89"/>
      <c r="AJ416" s="89"/>
      <c r="AK416" s="89"/>
      <c r="AL416" s="89"/>
      <c r="AM416" s="89"/>
      <c r="AN416" s="89"/>
      <c r="AO416" s="89"/>
      <c r="AP416" s="89"/>
      <c r="AQ416" s="89"/>
      <c r="AR416" s="89"/>
      <c r="AS416" s="89"/>
      <c r="AT416" s="89"/>
      <c r="AU416" s="89"/>
      <c r="AV416" s="89"/>
      <c r="AW416" s="89"/>
      <c r="AX416" s="89"/>
      <c r="AY416" s="89"/>
      <c r="AZ416" s="89"/>
      <c r="BA416" s="95"/>
    </row>
    <row r="417" spans="1:53" s="87" customFormat="1">
      <c r="A417" s="374" t="str">
        <f t="shared" si="54"/>
        <v/>
      </c>
      <c r="B417" s="89">
        <v>2</v>
      </c>
      <c r="C417" s="89">
        <v>-6</v>
      </c>
      <c r="D417" s="89" t="s">
        <v>210</v>
      </c>
      <c r="E417" s="89" t="s">
        <v>210</v>
      </c>
      <c r="F417" s="89">
        <v>-2</v>
      </c>
      <c r="G417" s="89">
        <v>5</v>
      </c>
      <c r="H417" s="89" t="s">
        <v>210</v>
      </c>
      <c r="I417" s="89" t="s">
        <v>210</v>
      </c>
      <c r="J417" s="89">
        <v>1</v>
      </c>
      <c r="K417" s="89">
        <v>-3</v>
      </c>
      <c r="L417" s="89" t="s">
        <v>210</v>
      </c>
      <c r="M417" s="89"/>
      <c r="N417" s="89"/>
      <c r="O417" s="89"/>
      <c r="P417" s="89"/>
      <c r="Q417" s="89"/>
      <c r="R417" s="89"/>
      <c r="S417" s="89"/>
      <c r="T417" s="89"/>
      <c r="U417" s="89"/>
      <c r="V417" s="89"/>
      <c r="W417" s="89"/>
      <c r="X417" s="89"/>
      <c r="Y417" s="89"/>
      <c r="Z417" s="89"/>
      <c r="AA417" s="89"/>
      <c r="AB417" s="89"/>
      <c r="AC417" s="89"/>
      <c r="AD417" s="89"/>
      <c r="AE417" s="89"/>
      <c r="AF417" s="89"/>
      <c r="AG417" s="89"/>
      <c r="AH417" s="89"/>
      <c r="AI417" s="89"/>
      <c r="AJ417" s="89"/>
      <c r="AK417" s="89"/>
      <c r="AL417" s="89"/>
      <c r="AM417" s="89"/>
      <c r="AN417" s="89"/>
      <c r="AO417" s="89"/>
      <c r="AP417" s="89"/>
      <c r="AQ417" s="89"/>
      <c r="AR417" s="89"/>
      <c r="AS417" s="89"/>
      <c r="AT417" s="89"/>
      <c r="AU417" s="89"/>
      <c r="AV417" s="89"/>
      <c r="AW417" s="89"/>
      <c r="AX417" s="89"/>
      <c r="AY417" s="89"/>
      <c r="AZ417" s="89"/>
      <c r="BA417" s="95"/>
    </row>
    <row r="418" spans="1:53" s="87" customFormat="1">
      <c r="A418" s="374" t="str">
        <f t="shared" si="54"/>
        <v/>
      </c>
      <c r="B418" s="89">
        <v>3</v>
      </c>
      <c r="C418" s="89">
        <v>-3</v>
      </c>
      <c r="D418" s="89" t="s">
        <v>210</v>
      </c>
      <c r="E418" s="89" t="s">
        <v>210</v>
      </c>
      <c r="F418" s="89">
        <v>2</v>
      </c>
      <c r="G418" s="89">
        <v>6</v>
      </c>
      <c r="H418" s="89" t="s">
        <v>210</v>
      </c>
      <c r="I418" s="89" t="s">
        <v>210</v>
      </c>
      <c r="J418" s="89">
        <v>-5</v>
      </c>
      <c r="K418" s="89">
        <v>-4</v>
      </c>
      <c r="L418" s="89" t="s">
        <v>210</v>
      </c>
      <c r="M418" s="89"/>
      <c r="N418" s="89"/>
      <c r="O418" s="89"/>
      <c r="P418" s="89"/>
      <c r="Q418" s="89"/>
      <c r="R418" s="89"/>
      <c r="S418" s="89"/>
      <c r="T418" s="89"/>
      <c r="U418" s="89"/>
      <c r="V418" s="89"/>
      <c r="W418" s="89"/>
      <c r="X418" s="89"/>
      <c r="Y418" s="89"/>
      <c r="Z418" s="89"/>
      <c r="AA418" s="89"/>
      <c r="AB418" s="89"/>
      <c r="AC418" s="89"/>
      <c r="AD418" s="89"/>
      <c r="AE418" s="89"/>
      <c r="AF418" s="89"/>
      <c r="AG418" s="89"/>
      <c r="AH418" s="89"/>
      <c r="AI418" s="89"/>
      <c r="AJ418" s="89"/>
      <c r="AK418" s="89"/>
      <c r="AL418" s="89"/>
      <c r="AM418" s="89"/>
      <c r="AN418" s="89"/>
      <c r="AO418" s="89"/>
      <c r="AP418" s="89"/>
      <c r="AQ418" s="89"/>
      <c r="AR418" s="89"/>
      <c r="AS418" s="89"/>
      <c r="AT418" s="89"/>
      <c r="AU418" s="89"/>
      <c r="AV418" s="89"/>
      <c r="AW418" s="89"/>
      <c r="AX418" s="89"/>
      <c r="AY418" s="89"/>
      <c r="AZ418" s="89"/>
      <c r="BA418" s="95"/>
    </row>
    <row r="419" spans="1:53" s="87" customFormat="1">
      <c r="A419" s="374" t="str">
        <f t="shared" si="54"/>
        <v/>
      </c>
      <c r="B419" s="89">
        <v>4</v>
      </c>
      <c r="C419" s="89">
        <v>-5</v>
      </c>
      <c r="D419" s="89" t="s">
        <v>210</v>
      </c>
      <c r="E419" s="89" t="s">
        <v>210</v>
      </c>
      <c r="F419" s="89">
        <v>-6</v>
      </c>
      <c r="G419" s="89">
        <v>2</v>
      </c>
      <c r="H419" s="89" t="s">
        <v>210</v>
      </c>
      <c r="I419" s="89" t="s">
        <v>210</v>
      </c>
      <c r="J419" s="89">
        <v>-1</v>
      </c>
      <c r="K419" s="89">
        <v>4</v>
      </c>
      <c r="L419" s="89" t="s">
        <v>210</v>
      </c>
      <c r="M419" s="89"/>
      <c r="N419" s="89"/>
      <c r="O419" s="89"/>
      <c r="P419" s="89"/>
      <c r="Q419" s="89"/>
      <c r="R419" s="89"/>
      <c r="S419" s="89"/>
      <c r="T419" s="89"/>
      <c r="U419" s="89"/>
      <c r="V419" s="89"/>
      <c r="W419" s="89"/>
      <c r="X419" s="89"/>
      <c r="Y419" s="89"/>
      <c r="Z419" s="89"/>
      <c r="AA419" s="89"/>
      <c r="AB419" s="89"/>
      <c r="AC419" s="89"/>
      <c r="AD419" s="89"/>
      <c r="AE419" s="89"/>
      <c r="AF419" s="89"/>
      <c r="AG419" s="89"/>
      <c r="AH419" s="89"/>
      <c r="AI419" s="89"/>
      <c r="AJ419" s="89"/>
      <c r="AK419" s="89"/>
      <c r="AL419" s="89"/>
      <c r="AM419" s="89"/>
      <c r="AN419" s="89"/>
      <c r="AO419" s="89"/>
      <c r="AP419" s="89"/>
      <c r="AQ419" s="89"/>
      <c r="AR419" s="89"/>
      <c r="AS419" s="89"/>
      <c r="AT419" s="89"/>
      <c r="AU419" s="89"/>
      <c r="AV419" s="89"/>
      <c r="AW419" s="89"/>
      <c r="AX419" s="89"/>
      <c r="AY419" s="89"/>
      <c r="AZ419" s="89"/>
      <c r="BA419" s="95"/>
    </row>
    <row r="420" spans="1:53" s="87" customFormat="1">
      <c r="A420" s="374" t="str">
        <f t="shared" si="54"/>
        <v/>
      </c>
      <c r="B420" s="89">
        <v>5</v>
      </c>
      <c r="C420" s="89">
        <v>3</v>
      </c>
      <c r="D420" s="89" t="s">
        <v>210</v>
      </c>
      <c r="E420" s="89" t="s">
        <v>210</v>
      </c>
      <c r="F420" s="89">
        <v>6</v>
      </c>
      <c r="G420" s="89">
        <v>-5</v>
      </c>
      <c r="H420" s="89" t="s">
        <v>210</v>
      </c>
      <c r="I420" s="89" t="s">
        <v>210</v>
      </c>
      <c r="J420" s="89">
        <v>-2</v>
      </c>
      <c r="K420" s="89">
        <v>1</v>
      </c>
      <c r="L420" s="89" t="s">
        <v>210</v>
      </c>
      <c r="M420" s="89"/>
      <c r="N420" s="89"/>
      <c r="O420" s="89"/>
      <c r="P420" s="89"/>
      <c r="Q420" s="89"/>
      <c r="R420" s="89"/>
      <c r="S420" s="89"/>
      <c r="T420" s="89"/>
      <c r="U420" s="89"/>
      <c r="V420" s="89"/>
      <c r="W420" s="89"/>
      <c r="X420" s="89"/>
      <c r="Y420" s="89"/>
      <c r="Z420" s="89"/>
      <c r="AA420" s="89"/>
      <c r="AB420" s="89"/>
      <c r="AC420" s="89"/>
      <c r="AD420" s="89"/>
      <c r="AE420" s="89"/>
      <c r="AF420" s="89"/>
      <c r="AG420" s="89"/>
      <c r="AH420" s="89"/>
      <c r="AI420" s="89"/>
      <c r="AJ420" s="89"/>
      <c r="AK420" s="89"/>
      <c r="AL420" s="89"/>
      <c r="AM420" s="89"/>
      <c r="AN420" s="89"/>
      <c r="AO420" s="89"/>
      <c r="AP420" s="89"/>
      <c r="AQ420" s="89"/>
      <c r="AR420" s="89"/>
      <c r="AS420" s="89"/>
      <c r="AT420" s="89"/>
      <c r="AU420" s="89"/>
      <c r="AV420" s="89"/>
      <c r="AW420" s="89"/>
      <c r="AX420" s="89"/>
      <c r="AY420" s="89"/>
      <c r="AZ420" s="89"/>
      <c r="BA420" s="95"/>
    </row>
    <row r="421" spans="1:53" s="87" customFormat="1">
      <c r="A421" s="374" t="str">
        <f t="shared" si="54"/>
        <v/>
      </c>
      <c r="B421" s="99">
        <v>6</v>
      </c>
      <c r="C421" s="92">
        <v>6</v>
      </c>
      <c r="D421" s="92" t="s">
        <v>210</v>
      </c>
      <c r="E421" s="92" t="s">
        <v>210</v>
      </c>
      <c r="F421" s="92">
        <v>4</v>
      </c>
      <c r="G421" s="92">
        <v>-2</v>
      </c>
      <c r="H421" s="92" t="s">
        <v>210</v>
      </c>
      <c r="I421" s="92" t="s">
        <v>210</v>
      </c>
      <c r="J421" s="92">
        <v>5</v>
      </c>
      <c r="K421" s="92">
        <v>-1</v>
      </c>
      <c r="L421" s="92" t="s">
        <v>210</v>
      </c>
      <c r="M421" s="89"/>
      <c r="N421" s="89"/>
      <c r="O421" s="89"/>
      <c r="P421" s="89"/>
      <c r="Q421" s="89"/>
      <c r="R421" s="89"/>
      <c r="S421" s="89"/>
      <c r="T421" s="89"/>
      <c r="U421" s="89"/>
      <c r="V421" s="89"/>
      <c r="W421" s="89"/>
      <c r="X421" s="89"/>
      <c r="Y421" s="89"/>
      <c r="Z421" s="89"/>
      <c r="AA421" s="89"/>
      <c r="AB421" s="89"/>
      <c r="AC421" s="89"/>
      <c r="AD421" s="89"/>
      <c r="AE421" s="89"/>
      <c r="AF421" s="89"/>
      <c r="AG421" s="89"/>
      <c r="AH421" s="89"/>
      <c r="AI421" s="89"/>
      <c r="AJ421" s="89"/>
      <c r="AK421" s="89"/>
      <c r="AL421" s="89"/>
      <c r="AM421" s="89"/>
      <c r="AN421" s="89"/>
      <c r="AO421" s="89"/>
      <c r="AP421" s="89"/>
      <c r="AQ421" s="89"/>
      <c r="AR421" s="89"/>
      <c r="AS421" s="89"/>
      <c r="AT421" s="89"/>
      <c r="AU421" s="89"/>
      <c r="AV421" s="89"/>
      <c r="AW421" s="89"/>
      <c r="AX421" s="89"/>
      <c r="AY421" s="89"/>
      <c r="AZ421" s="89"/>
      <c r="BA421" s="95"/>
    </row>
    <row r="422" spans="1:53" s="87" customFormat="1">
      <c r="A422" s="374" t="str">
        <f t="shared" si="54"/>
        <v/>
      </c>
      <c r="B422" s="89">
        <v>7</v>
      </c>
      <c r="C422" s="89">
        <v>4</v>
      </c>
      <c r="D422" s="89" t="s">
        <v>210</v>
      </c>
      <c r="E422" s="89" t="s">
        <v>210</v>
      </c>
      <c r="F422" s="89">
        <v>-5</v>
      </c>
      <c r="G422" s="89">
        <v>-1</v>
      </c>
      <c r="H422" s="89" t="s">
        <v>210</v>
      </c>
      <c r="I422" s="89" t="s">
        <v>210</v>
      </c>
      <c r="J422" s="89">
        <v>3</v>
      </c>
      <c r="K422" s="89">
        <v>2</v>
      </c>
      <c r="L422" s="89" t="s">
        <v>210</v>
      </c>
      <c r="M422" s="89"/>
      <c r="N422" s="89"/>
      <c r="O422" s="89"/>
      <c r="P422" s="89"/>
      <c r="Q422" s="89"/>
      <c r="R422" s="89"/>
      <c r="S422" s="89"/>
      <c r="T422" s="89"/>
      <c r="U422" s="89"/>
      <c r="V422" s="89"/>
      <c r="W422" s="89"/>
      <c r="X422" s="89"/>
      <c r="Y422" s="89"/>
      <c r="Z422" s="89"/>
      <c r="AA422" s="89"/>
      <c r="AB422" s="89"/>
      <c r="AC422" s="89"/>
      <c r="AD422" s="89"/>
      <c r="AE422" s="89"/>
      <c r="AF422" s="89"/>
      <c r="AG422" s="89"/>
      <c r="AH422" s="89"/>
      <c r="AI422" s="89"/>
      <c r="AJ422" s="89"/>
      <c r="AK422" s="89"/>
      <c r="AL422" s="89"/>
      <c r="AM422" s="89"/>
      <c r="AN422" s="89"/>
      <c r="AO422" s="89"/>
      <c r="AP422" s="89"/>
      <c r="AQ422" s="89"/>
      <c r="AR422" s="89"/>
      <c r="AS422" s="89"/>
      <c r="AT422" s="89"/>
      <c r="AU422" s="89"/>
      <c r="AV422" s="89"/>
      <c r="AW422" s="89"/>
      <c r="AX422" s="89"/>
      <c r="AY422" s="89"/>
      <c r="AZ422" s="89"/>
      <c r="BA422" s="95"/>
    </row>
    <row r="423" spans="1:53" s="87" customFormat="1">
      <c r="A423" s="374" t="str">
        <f t="shared" si="54"/>
        <v/>
      </c>
      <c r="B423" s="89">
        <v>8</v>
      </c>
      <c r="C423" s="89">
        <v>-1</v>
      </c>
      <c r="D423" s="89" t="s">
        <v>210</v>
      </c>
      <c r="E423" s="89" t="s">
        <v>210</v>
      </c>
      <c r="F423" s="89">
        <v>-3</v>
      </c>
      <c r="G423" s="89">
        <v>4</v>
      </c>
      <c r="H423" s="89" t="s">
        <v>210</v>
      </c>
      <c r="I423" s="89" t="s">
        <v>210</v>
      </c>
      <c r="J423" s="89">
        <v>6</v>
      </c>
      <c r="K423" s="89">
        <v>-2</v>
      </c>
      <c r="L423" s="89" t="s">
        <v>210</v>
      </c>
      <c r="M423" s="89"/>
      <c r="N423" s="89"/>
      <c r="O423" s="89"/>
      <c r="P423" s="89"/>
      <c r="Q423" s="89"/>
      <c r="R423" s="89"/>
      <c r="S423" s="89"/>
      <c r="T423" s="89"/>
      <c r="U423" s="89"/>
      <c r="V423" s="89"/>
      <c r="W423" s="89"/>
      <c r="X423" s="89"/>
      <c r="Y423" s="89"/>
      <c r="Z423" s="89"/>
      <c r="AA423" s="89"/>
      <c r="AB423" s="89"/>
      <c r="AC423" s="89"/>
      <c r="AD423" s="89"/>
      <c r="AE423" s="89"/>
      <c r="AF423" s="89"/>
      <c r="AG423" s="89"/>
      <c r="AH423" s="89"/>
      <c r="AI423" s="89"/>
      <c r="AJ423" s="89"/>
      <c r="AK423" s="89"/>
      <c r="AL423" s="89"/>
      <c r="AM423" s="89"/>
      <c r="AN423" s="89"/>
      <c r="AO423" s="89"/>
      <c r="AP423" s="89"/>
      <c r="AQ423" s="89"/>
      <c r="AR423" s="89"/>
      <c r="AS423" s="89"/>
      <c r="AT423" s="89"/>
      <c r="AU423" s="89"/>
      <c r="AV423" s="89"/>
      <c r="AW423" s="89"/>
      <c r="AX423" s="89"/>
      <c r="AY423" s="89"/>
      <c r="AZ423" s="89"/>
      <c r="BA423" s="95"/>
    </row>
    <row r="424" spans="1:53" s="87" customFormat="1">
      <c r="A424" s="374" t="str">
        <f t="shared" si="54"/>
        <v/>
      </c>
      <c r="B424" s="89">
        <v>9</v>
      </c>
      <c r="C424" s="89">
        <v>-4</v>
      </c>
      <c r="D424" s="89" t="s">
        <v>210</v>
      </c>
      <c r="E424" s="89" t="s">
        <v>210</v>
      </c>
      <c r="F424" s="89">
        <v>-1</v>
      </c>
      <c r="G424" s="89">
        <v>3</v>
      </c>
      <c r="H424" s="89" t="s">
        <v>210</v>
      </c>
      <c r="I424" s="89" t="s">
        <v>210</v>
      </c>
      <c r="J424" s="89">
        <v>-6</v>
      </c>
      <c r="K424" s="89">
        <v>5</v>
      </c>
      <c r="L424" s="89" t="s">
        <v>210</v>
      </c>
      <c r="M424" s="89"/>
      <c r="N424" s="89"/>
      <c r="O424" s="89"/>
      <c r="P424" s="89"/>
      <c r="Q424" s="89"/>
      <c r="R424" s="89"/>
      <c r="S424" s="89"/>
      <c r="T424" s="89"/>
      <c r="U424" s="89"/>
      <c r="V424" s="89"/>
      <c r="W424" s="89"/>
      <c r="X424" s="89"/>
      <c r="Y424" s="89"/>
      <c r="Z424" s="89"/>
      <c r="AA424" s="89"/>
      <c r="AB424" s="89"/>
      <c r="AC424" s="89"/>
      <c r="AD424" s="89"/>
      <c r="AE424" s="89"/>
      <c r="AF424" s="89"/>
      <c r="AG424" s="89"/>
      <c r="AH424" s="89"/>
      <c r="AI424" s="89"/>
      <c r="AJ424" s="89"/>
      <c r="AK424" s="89"/>
      <c r="AL424" s="89"/>
      <c r="AM424" s="89"/>
      <c r="AN424" s="89"/>
      <c r="AO424" s="89"/>
      <c r="AP424" s="89"/>
      <c r="AQ424" s="89"/>
      <c r="AR424" s="89"/>
      <c r="AS424" s="89"/>
      <c r="AT424" s="89"/>
      <c r="AU424" s="89"/>
      <c r="AV424" s="89"/>
      <c r="AW424" s="89"/>
      <c r="AX424" s="89"/>
      <c r="AY424" s="89"/>
      <c r="AZ424" s="89"/>
      <c r="BA424" s="95"/>
    </row>
    <row r="425" spans="1:53" s="87" customFormat="1">
      <c r="A425" s="374" t="str">
        <f t="shared" si="54"/>
        <v/>
      </c>
      <c r="B425" s="89">
        <v>10</v>
      </c>
      <c r="C425" s="89" t="s">
        <v>210</v>
      </c>
      <c r="D425" s="89">
        <v>-2</v>
      </c>
      <c r="E425" s="89" t="s">
        <v>210</v>
      </c>
      <c r="F425" s="89">
        <v>3</v>
      </c>
      <c r="G425" s="89">
        <v>1</v>
      </c>
      <c r="H425" s="89" t="s">
        <v>210</v>
      </c>
      <c r="I425" s="89" t="s">
        <v>210</v>
      </c>
      <c r="J425" s="89">
        <v>-4</v>
      </c>
      <c r="K425" s="89">
        <v>-5</v>
      </c>
      <c r="L425" s="89" t="s">
        <v>210</v>
      </c>
      <c r="M425" s="89"/>
      <c r="N425" s="89"/>
      <c r="O425" s="89"/>
      <c r="P425" s="89"/>
      <c r="Q425" s="89"/>
      <c r="R425" s="89"/>
      <c r="S425" s="89"/>
      <c r="T425" s="89"/>
      <c r="U425" s="89"/>
      <c r="V425" s="89"/>
      <c r="W425" s="89"/>
      <c r="X425" s="89"/>
      <c r="Y425" s="89"/>
      <c r="Z425" s="89"/>
      <c r="AA425" s="89"/>
      <c r="AB425" s="89"/>
      <c r="AC425" s="89"/>
      <c r="AD425" s="89"/>
      <c r="AE425" s="89"/>
      <c r="AF425" s="89"/>
      <c r="AG425" s="89"/>
      <c r="AH425" s="89"/>
      <c r="AI425" s="89"/>
      <c r="AJ425" s="89"/>
      <c r="AK425" s="89"/>
      <c r="AL425" s="89"/>
      <c r="AM425" s="89"/>
      <c r="AN425" s="89"/>
      <c r="AO425" s="89"/>
      <c r="AP425" s="89"/>
      <c r="AQ425" s="89"/>
      <c r="AR425" s="89"/>
      <c r="AS425" s="89"/>
      <c r="AT425" s="89"/>
      <c r="AU425" s="89"/>
      <c r="AV425" s="89"/>
      <c r="AW425" s="89"/>
      <c r="AX425" s="89"/>
      <c r="AY425" s="89"/>
      <c r="AZ425" s="89"/>
      <c r="BA425" s="95"/>
    </row>
    <row r="426" spans="1:53" s="87" customFormat="1">
      <c r="A426" s="374" t="str">
        <f t="shared" si="54"/>
        <v/>
      </c>
      <c r="B426" s="89">
        <v>11</v>
      </c>
      <c r="C426" s="89">
        <v>1</v>
      </c>
      <c r="D426" s="89" t="s">
        <v>210</v>
      </c>
      <c r="E426" s="89" t="s">
        <v>210</v>
      </c>
      <c r="F426" s="89">
        <v>5</v>
      </c>
      <c r="G426" s="89">
        <v>-3</v>
      </c>
      <c r="H426" s="89" t="s">
        <v>210</v>
      </c>
      <c r="I426" s="89" t="s">
        <v>210</v>
      </c>
      <c r="J426" s="89">
        <v>4</v>
      </c>
      <c r="K426" s="89">
        <v>-6</v>
      </c>
      <c r="L426" s="89" t="s">
        <v>210</v>
      </c>
      <c r="M426" s="89"/>
      <c r="N426" s="89"/>
      <c r="O426" s="89"/>
      <c r="P426" s="89"/>
      <c r="Q426" s="89"/>
      <c r="R426" s="89"/>
      <c r="S426" s="89"/>
      <c r="T426" s="89"/>
      <c r="U426" s="89"/>
      <c r="V426" s="89"/>
      <c r="W426" s="89"/>
      <c r="X426" s="89"/>
      <c r="Y426" s="89"/>
      <c r="Z426" s="89"/>
      <c r="AA426" s="89"/>
      <c r="AB426" s="89"/>
      <c r="AC426" s="89"/>
      <c r="AD426" s="89"/>
      <c r="AE426" s="89"/>
      <c r="AF426" s="89"/>
      <c r="AG426" s="89"/>
      <c r="AH426" s="89"/>
      <c r="AI426" s="89"/>
      <c r="AJ426" s="89"/>
      <c r="AK426" s="89"/>
      <c r="AL426" s="89"/>
      <c r="AM426" s="89"/>
      <c r="AN426" s="89"/>
      <c r="AO426" s="89"/>
      <c r="AP426" s="89"/>
      <c r="AQ426" s="89"/>
      <c r="AR426" s="89"/>
      <c r="AS426" s="89"/>
      <c r="AT426" s="89"/>
      <c r="AU426" s="89"/>
      <c r="AV426" s="89"/>
      <c r="AW426" s="89"/>
      <c r="AX426" s="89"/>
      <c r="AY426" s="89"/>
      <c r="AZ426" s="89"/>
      <c r="BA426" s="95"/>
    </row>
    <row r="427" spans="1:53" s="87" customFormat="1">
      <c r="A427" s="374" t="str">
        <f t="shared" si="54"/>
        <v/>
      </c>
      <c r="B427" s="99">
        <v>12</v>
      </c>
      <c r="C427" s="92" t="s">
        <v>210</v>
      </c>
      <c r="D427" s="92">
        <v>2</v>
      </c>
      <c r="E427" s="92" t="s">
        <v>210</v>
      </c>
      <c r="F427" s="92">
        <v>1</v>
      </c>
      <c r="G427" s="92">
        <v>-4</v>
      </c>
      <c r="H427" s="92" t="s">
        <v>210</v>
      </c>
      <c r="I427" s="92" t="s">
        <v>210</v>
      </c>
      <c r="J427" s="92">
        <v>-3</v>
      </c>
      <c r="K427" s="92">
        <v>6</v>
      </c>
      <c r="L427" s="92" t="s">
        <v>210</v>
      </c>
      <c r="M427" s="89"/>
      <c r="N427" s="89"/>
      <c r="O427" s="89"/>
      <c r="P427" s="89"/>
      <c r="Q427" s="89"/>
      <c r="R427" s="89"/>
      <c r="S427" s="89"/>
      <c r="T427" s="89"/>
      <c r="U427" s="89"/>
      <c r="V427" s="89"/>
      <c r="W427" s="89"/>
      <c r="X427" s="89"/>
      <c r="Y427" s="89"/>
      <c r="Z427" s="89"/>
      <c r="AA427" s="89"/>
      <c r="AB427" s="89"/>
      <c r="AC427" s="89"/>
      <c r="AD427" s="89"/>
      <c r="AE427" s="89"/>
      <c r="AF427" s="89"/>
      <c r="AG427" s="89"/>
      <c r="AH427" s="89"/>
      <c r="AI427" s="89"/>
      <c r="AJ427" s="89"/>
      <c r="AK427" s="89"/>
      <c r="AL427" s="89"/>
      <c r="AM427" s="89"/>
      <c r="AN427" s="89"/>
      <c r="AO427" s="89"/>
      <c r="AP427" s="89"/>
      <c r="AQ427" s="89"/>
      <c r="AR427" s="89"/>
      <c r="AS427" s="89"/>
      <c r="AT427" s="89"/>
      <c r="AU427" s="89"/>
      <c r="AV427" s="89"/>
      <c r="AW427" s="89"/>
      <c r="AX427" s="89"/>
      <c r="AY427" s="89"/>
      <c r="AZ427" s="89"/>
      <c r="BA427" s="95"/>
    </row>
    <row r="428" spans="1:53" s="87" customFormat="1">
      <c r="A428" s="374" t="str">
        <f t="shared" si="54"/>
        <v/>
      </c>
      <c r="B428" s="89">
        <v>13</v>
      </c>
      <c r="C428" s="89" t="s">
        <v>210</v>
      </c>
      <c r="D428" s="89">
        <v>3</v>
      </c>
      <c r="E428" s="89">
        <v>-5</v>
      </c>
      <c r="F428" s="89" t="s">
        <v>210</v>
      </c>
      <c r="G428" s="89" t="s">
        <v>210</v>
      </c>
      <c r="H428" s="89">
        <v>2</v>
      </c>
      <c r="I428" s="89">
        <v>-3</v>
      </c>
      <c r="J428" s="89" t="s">
        <v>210</v>
      </c>
      <c r="K428" s="89" t="s">
        <v>210</v>
      </c>
      <c r="L428" s="89">
        <v>-4</v>
      </c>
      <c r="M428" s="89"/>
      <c r="N428" s="89"/>
      <c r="O428" s="89"/>
      <c r="P428" s="89"/>
      <c r="Q428" s="89"/>
      <c r="R428" s="89"/>
      <c r="S428" s="89"/>
      <c r="T428" s="89"/>
      <c r="U428" s="89"/>
      <c r="V428" s="89"/>
      <c r="W428" s="89"/>
      <c r="X428" s="89"/>
      <c r="Y428" s="89"/>
      <c r="Z428" s="89"/>
      <c r="AA428" s="89"/>
      <c r="AB428" s="89"/>
      <c r="AC428" s="89"/>
      <c r="AD428" s="89"/>
      <c r="AE428" s="89"/>
      <c r="AF428" s="89"/>
      <c r="AG428" s="89"/>
      <c r="AH428" s="89"/>
      <c r="AI428" s="89"/>
      <c r="AJ428" s="89"/>
      <c r="AK428" s="89"/>
      <c r="AL428" s="89"/>
      <c r="AM428" s="89"/>
      <c r="AN428" s="89"/>
      <c r="AO428" s="89"/>
      <c r="AP428" s="89"/>
      <c r="AQ428" s="89"/>
      <c r="AR428" s="89"/>
      <c r="AS428" s="89"/>
      <c r="AT428" s="89"/>
      <c r="AU428" s="89"/>
      <c r="AV428" s="89"/>
      <c r="AW428" s="89"/>
      <c r="AX428" s="89"/>
      <c r="AY428" s="89"/>
      <c r="AZ428" s="89"/>
      <c r="BA428" s="95"/>
    </row>
    <row r="429" spans="1:53" s="87" customFormat="1">
      <c r="A429" s="374" t="str">
        <f t="shared" si="54"/>
        <v/>
      </c>
      <c r="B429" s="89">
        <v>14</v>
      </c>
      <c r="C429" s="89" t="s">
        <v>210</v>
      </c>
      <c r="D429" s="89">
        <v>6</v>
      </c>
      <c r="E429" s="89">
        <v>-4</v>
      </c>
      <c r="F429" s="89" t="s">
        <v>210</v>
      </c>
      <c r="G429" s="89" t="s">
        <v>210</v>
      </c>
      <c r="H429" s="89">
        <v>-5</v>
      </c>
      <c r="I429" s="89">
        <v>2</v>
      </c>
      <c r="J429" s="89" t="s">
        <v>210</v>
      </c>
      <c r="K429" s="89" t="s">
        <v>210</v>
      </c>
      <c r="L429" s="89">
        <v>4</v>
      </c>
      <c r="M429" s="89"/>
      <c r="N429" s="89"/>
      <c r="O429" s="89"/>
      <c r="P429" s="89"/>
      <c r="Q429" s="89"/>
      <c r="R429" s="89"/>
      <c r="S429" s="89"/>
      <c r="T429" s="89"/>
      <c r="U429" s="89"/>
      <c r="V429" s="89"/>
      <c r="W429" s="89"/>
      <c r="X429" s="89"/>
      <c r="Y429" s="89"/>
      <c r="Z429" s="89"/>
      <c r="AA429" s="89"/>
      <c r="AB429" s="89"/>
      <c r="AC429" s="89"/>
      <c r="AD429" s="89"/>
      <c r="AE429" s="89"/>
      <c r="AF429" s="89"/>
      <c r="AG429" s="89"/>
      <c r="AH429" s="89"/>
      <c r="AI429" s="89"/>
      <c r="AJ429" s="89"/>
      <c r="AK429" s="89"/>
      <c r="AL429" s="89"/>
      <c r="AM429" s="89"/>
      <c r="AN429" s="89"/>
      <c r="AO429" s="89"/>
      <c r="AP429" s="89"/>
      <c r="AQ429" s="89"/>
      <c r="AR429" s="89"/>
      <c r="AS429" s="89"/>
      <c r="AT429" s="89"/>
      <c r="AU429" s="89"/>
      <c r="AV429" s="89"/>
      <c r="AW429" s="89"/>
      <c r="AX429" s="89"/>
      <c r="AY429" s="89"/>
      <c r="AZ429" s="89"/>
      <c r="BA429" s="95"/>
    </row>
    <row r="430" spans="1:53" s="87" customFormat="1">
      <c r="A430" s="374" t="str">
        <f t="shared" si="54"/>
        <v/>
      </c>
      <c r="B430" s="89">
        <v>15</v>
      </c>
      <c r="C430" s="89" t="s">
        <v>210</v>
      </c>
      <c r="D430" s="89">
        <v>-4</v>
      </c>
      <c r="E430" s="89">
        <v>-1</v>
      </c>
      <c r="F430" s="89" t="s">
        <v>210</v>
      </c>
      <c r="G430" s="89" t="s">
        <v>210</v>
      </c>
      <c r="H430" s="89">
        <v>5</v>
      </c>
      <c r="I430" s="89">
        <v>3</v>
      </c>
      <c r="J430" s="89" t="s">
        <v>210</v>
      </c>
      <c r="K430" s="89" t="s">
        <v>210</v>
      </c>
      <c r="L430" s="89">
        <v>-2</v>
      </c>
      <c r="M430" s="89"/>
      <c r="N430" s="89"/>
      <c r="O430" s="89"/>
      <c r="P430" s="89"/>
      <c r="Q430" s="89"/>
      <c r="R430" s="89"/>
      <c r="S430" s="89"/>
      <c r="T430" s="89"/>
      <c r="U430" s="89"/>
      <c r="V430" s="89"/>
      <c r="W430" s="89"/>
      <c r="X430" s="89"/>
      <c r="Y430" s="89"/>
      <c r="Z430" s="89"/>
      <c r="AA430" s="89"/>
      <c r="AB430" s="89"/>
      <c r="AC430" s="89"/>
      <c r="AD430" s="89"/>
      <c r="AE430" s="89"/>
      <c r="AF430" s="89"/>
      <c r="AG430" s="89"/>
      <c r="AH430" s="89"/>
      <c r="AI430" s="89"/>
      <c r="AJ430" s="89"/>
      <c r="AK430" s="89"/>
      <c r="AL430" s="89"/>
      <c r="AM430" s="89"/>
      <c r="AN430" s="89"/>
      <c r="AO430" s="89"/>
      <c r="AP430" s="89"/>
      <c r="AQ430" s="89"/>
      <c r="AR430" s="89"/>
      <c r="AS430" s="89"/>
      <c r="AT430" s="89"/>
      <c r="AU430" s="89"/>
      <c r="AV430" s="89"/>
      <c r="AW430" s="89"/>
      <c r="AX430" s="89"/>
      <c r="AY430" s="89"/>
      <c r="AZ430" s="89"/>
      <c r="BA430" s="95"/>
    </row>
    <row r="431" spans="1:53" s="87" customFormat="1">
      <c r="A431" s="374" t="str">
        <f t="shared" si="54"/>
        <v/>
      </c>
      <c r="B431" s="89">
        <v>16</v>
      </c>
      <c r="C431" s="89" t="s">
        <v>210</v>
      </c>
      <c r="D431" s="89">
        <v>-3</v>
      </c>
      <c r="E431" s="89">
        <v>4</v>
      </c>
      <c r="F431" s="89" t="s">
        <v>210</v>
      </c>
      <c r="G431" s="89" t="s">
        <v>210</v>
      </c>
      <c r="H431" s="89">
        <v>6</v>
      </c>
      <c r="I431" s="89">
        <v>-5</v>
      </c>
      <c r="J431" s="89" t="s">
        <v>210</v>
      </c>
      <c r="K431" s="89" t="s">
        <v>210</v>
      </c>
      <c r="L431" s="89">
        <v>2</v>
      </c>
      <c r="M431" s="89"/>
      <c r="N431" s="89"/>
      <c r="O431" s="89"/>
      <c r="P431" s="89"/>
      <c r="Q431" s="89"/>
      <c r="R431" s="89"/>
      <c r="S431" s="89"/>
      <c r="T431" s="89"/>
      <c r="U431" s="89"/>
      <c r="V431" s="89"/>
      <c r="W431" s="89"/>
      <c r="X431" s="89"/>
      <c r="Y431" s="89"/>
      <c r="Z431" s="89"/>
      <c r="AA431" s="89"/>
      <c r="AB431" s="89"/>
      <c r="AC431" s="89"/>
      <c r="AD431" s="89"/>
      <c r="AE431" s="89"/>
      <c r="AF431" s="89"/>
      <c r="AG431" s="89"/>
      <c r="AH431" s="89"/>
      <c r="AI431" s="89"/>
      <c r="AJ431" s="89"/>
      <c r="AK431" s="89"/>
      <c r="AL431" s="89"/>
      <c r="AM431" s="89"/>
      <c r="AN431" s="89"/>
      <c r="AO431" s="89"/>
      <c r="AP431" s="89"/>
      <c r="AQ431" s="89"/>
      <c r="AR431" s="89"/>
      <c r="AS431" s="89"/>
      <c r="AT431" s="89"/>
      <c r="AU431" s="89"/>
      <c r="AV431" s="89"/>
      <c r="AW431" s="89"/>
      <c r="AX431" s="89"/>
      <c r="AY431" s="89"/>
      <c r="AZ431" s="89"/>
      <c r="BA431" s="95"/>
    </row>
    <row r="432" spans="1:53" s="87" customFormat="1">
      <c r="A432" s="374" t="str">
        <f t="shared" si="54"/>
        <v/>
      </c>
      <c r="B432" s="89">
        <v>17</v>
      </c>
      <c r="C432" s="89" t="s">
        <v>210</v>
      </c>
      <c r="D432" s="89">
        <v>4</v>
      </c>
      <c r="E432" s="89">
        <v>5</v>
      </c>
      <c r="F432" s="89" t="s">
        <v>210</v>
      </c>
      <c r="G432" s="89" t="s">
        <v>210</v>
      </c>
      <c r="H432" s="89">
        <v>-6</v>
      </c>
      <c r="I432" s="89">
        <v>-2</v>
      </c>
      <c r="J432" s="89" t="s">
        <v>210</v>
      </c>
      <c r="K432" s="89" t="s">
        <v>210</v>
      </c>
      <c r="L432" s="89">
        <v>3</v>
      </c>
      <c r="M432" s="89"/>
      <c r="N432" s="89"/>
      <c r="O432" s="89"/>
      <c r="P432" s="89"/>
      <c r="Q432" s="89"/>
      <c r="R432" s="89"/>
      <c r="S432" s="89"/>
      <c r="T432" s="89"/>
      <c r="U432" s="89"/>
      <c r="V432" s="89"/>
      <c r="W432" s="89"/>
      <c r="X432" s="89"/>
      <c r="Y432" s="89"/>
      <c r="Z432" s="89"/>
      <c r="AA432" s="89"/>
      <c r="AB432" s="89"/>
      <c r="AC432" s="89"/>
      <c r="AD432" s="89"/>
      <c r="AE432" s="89"/>
      <c r="AF432" s="89"/>
      <c r="AG432" s="89"/>
      <c r="AH432" s="89"/>
      <c r="AI432" s="89"/>
      <c r="AJ432" s="89"/>
      <c r="AK432" s="89"/>
      <c r="AL432" s="89"/>
      <c r="AM432" s="89"/>
      <c r="AN432" s="89"/>
      <c r="AO432" s="89"/>
      <c r="AP432" s="89"/>
      <c r="AQ432" s="89"/>
      <c r="AR432" s="89"/>
      <c r="AS432" s="89"/>
      <c r="AT432" s="89"/>
      <c r="AU432" s="89"/>
      <c r="AV432" s="89"/>
      <c r="AW432" s="89"/>
      <c r="AX432" s="89"/>
      <c r="AY432" s="89"/>
      <c r="AZ432" s="89"/>
      <c r="BA432" s="95"/>
    </row>
    <row r="433" spans="1:53" s="87" customFormat="1">
      <c r="A433" s="374" t="str">
        <f t="shared" si="54"/>
        <v/>
      </c>
      <c r="B433" s="99">
        <v>18</v>
      </c>
      <c r="C433" s="92" t="s">
        <v>210</v>
      </c>
      <c r="D433" s="92">
        <v>-6</v>
      </c>
      <c r="E433" s="92">
        <v>1</v>
      </c>
      <c r="F433" s="92" t="s">
        <v>210</v>
      </c>
      <c r="G433" s="92" t="s">
        <v>210</v>
      </c>
      <c r="H433" s="92">
        <v>-2</v>
      </c>
      <c r="I433" s="92">
        <v>5</v>
      </c>
      <c r="J433" s="92" t="s">
        <v>210</v>
      </c>
      <c r="K433" s="92" t="s">
        <v>210</v>
      </c>
      <c r="L433" s="92">
        <v>-3</v>
      </c>
      <c r="M433" s="89"/>
      <c r="N433" s="89"/>
      <c r="O433" s="89"/>
      <c r="P433" s="89"/>
      <c r="Q433" s="89"/>
      <c r="R433" s="89"/>
      <c r="S433" s="89"/>
      <c r="T433" s="89"/>
      <c r="U433" s="89"/>
      <c r="V433" s="89"/>
      <c r="W433" s="89"/>
      <c r="X433" s="89"/>
      <c r="Y433" s="89"/>
      <c r="Z433" s="89"/>
      <c r="AA433" s="89"/>
      <c r="AB433" s="89"/>
      <c r="AC433" s="89"/>
      <c r="AD433" s="89"/>
      <c r="AE433" s="89"/>
      <c r="AF433" s="89"/>
      <c r="AG433" s="89"/>
      <c r="AH433" s="89"/>
      <c r="AI433" s="89"/>
      <c r="AJ433" s="89"/>
      <c r="AK433" s="89"/>
      <c r="AL433" s="89"/>
      <c r="AM433" s="89"/>
      <c r="AN433" s="89"/>
      <c r="AO433" s="89"/>
      <c r="AP433" s="89"/>
      <c r="AQ433" s="89"/>
      <c r="AR433" s="89"/>
      <c r="AS433" s="89"/>
      <c r="AT433" s="89"/>
      <c r="AU433" s="89"/>
      <c r="AV433" s="89"/>
      <c r="AW433" s="89"/>
      <c r="AX433" s="89"/>
      <c r="AY433" s="89"/>
      <c r="AZ433" s="89"/>
      <c r="BA433" s="95"/>
    </row>
    <row r="434" spans="1:53" s="87" customFormat="1">
      <c r="A434" s="374" t="str">
        <f t="shared" si="54"/>
        <v/>
      </c>
      <c r="B434" s="89">
        <v>19</v>
      </c>
      <c r="C434" s="89" t="s">
        <v>202</v>
      </c>
      <c r="D434" s="89" t="s">
        <v>202</v>
      </c>
      <c r="E434" s="89">
        <v>-2</v>
      </c>
      <c r="F434" s="89" t="s">
        <v>210</v>
      </c>
      <c r="G434" s="89" t="s">
        <v>210</v>
      </c>
      <c r="H434" s="89">
        <v>-3</v>
      </c>
      <c r="I434" s="89">
        <v>4</v>
      </c>
      <c r="J434" s="89" t="s">
        <v>210</v>
      </c>
      <c r="K434" s="89" t="s">
        <v>210</v>
      </c>
      <c r="L434" s="89">
        <v>5</v>
      </c>
      <c r="M434" s="89"/>
      <c r="N434" s="89"/>
      <c r="O434" s="89"/>
      <c r="P434" s="89"/>
      <c r="Q434" s="89"/>
      <c r="R434" s="89"/>
      <c r="S434" s="89"/>
      <c r="T434" s="89"/>
      <c r="U434" s="89"/>
      <c r="V434" s="89"/>
      <c r="W434" s="89"/>
      <c r="X434" s="89"/>
      <c r="Y434" s="89"/>
      <c r="Z434" s="89"/>
      <c r="AA434" s="89"/>
      <c r="AB434" s="89"/>
      <c r="AC434" s="89"/>
      <c r="AD434" s="89"/>
      <c r="AE434" s="89"/>
      <c r="AF434" s="89"/>
      <c r="AG434" s="89"/>
      <c r="AH434" s="89"/>
      <c r="AI434" s="89"/>
      <c r="AJ434" s="89"/>
      <c r="AK434" s="89"/>
      <c r="AL434" s="89"/>
      <c r="AM434" s="89"/>
      <c r="AN434" s="89"/>
      <c r="AO434" s="89"/>
      <c r="AP434" s="89"/>
      <c r="AQ434" s="89"/>
      <c r="AR434" s="89"/>
      <c r="AS434" s="89"/>
      <c r="AT434" s="89"/>
      <c r="AU434" s="89"/>
      <c r="AV434" s="89"/>
      <c r="AW434" s="89"/>
      <c r="AX434" s="89"/>
      <c r="AY434" s="89"/>
      <c r="AZ434" s="89"/>
      <c r="BA434" s="95"/>
    </row>
    <row r="435" spans="1:53" s="87" customFormat="1">
      <c r="A435" s="374" t="str">
        <f t="shared" si="54"/>
        <v/>
      </c>
      <c r="B435" s="89">
        <v>20</v>
      </c>
      <c r="C435" s="89">
        <v>2</v>
      </c>
      <c r="D435" s="89" t="s">
        <v>210</v>
      </c>
      <c r="E435" s="89">
        <v>3</v>
      </c>
      <c r="F435" s="89" t="s">
        <v>210</v>
      </c>
      <c r="G435" s="89" t="s">
        <v>210</v>
      </c>
      <c r="H435" s="89">
        <v>-4</v>
      </c>
      <c r="I435" s="89" t="s">
        <v>202</v>
      </c>
      <c r="J435" s="89" t="s">
        <v>202</v>
      </c>
      <c r="K435" s="89" t="s">
        <v>210</v>
      </c>
      <c r="L435" s="89">
        <v>-5</v>
      </c>
      <c r="M435" s="89"/>
      <c r="N435" s="89"/>
      <c r="O435" s="89"/>
      <c r="P435" s="89"/>
      <c r="Q435" s="89"/>
      <c r="R435" s="89"/>
      <c r="S435" s="89"/>
      <c r="T435" s="89"/>
      <c r="U435" s="89"/>
      <c r="V435" s="89"/>
      <c r="W435" s="89"/>
      <c r="X435" s="89"/>
      <c r="Y435" s="89"/>
      <c r="Z435" s="89"/>
      <c r="AA435" s="89"/>
      <c r="AB435" s="89"/>
      <c r="AC435" s="89"/>
      <c r="AD435" s="89"/>
      <c r="AE435" s="89"/>
      <c r="AF435" s="89"/>
      <c r="AG435" s="89"/>
      <c r="AH435" s="89"/>
      <c r="AI435" s="89"/>
      <c r="AJ435" s="89"/>
      <c r="AK435" s="89"/>
      <c r="AL435" s="89"/>
      <c r="AM435" s="89"/>
      <c r="AN435" s="89"/>
      <c r="AO435" s="89"/>
      <c r="AP435" s="89"/>
      <c r="AQ435" s="89"/>
      <c r="AR435" s="89"/>
      <c r="AS435" s="89"/>
      <c r="AT435" s="89"/>
      <c r="AU435" s="89"/>
      <c r="AV435" s="89"/>
      <c r="AW435" s="89"/>
      <c r="AX435" s="89"/>
      <c r="AY435" s="89"/>
      <c r="AZ435" s="89"/>
      <c r="BA435" s="95"/>
    </row>
    <row r="436" spans="1:53" s="87" customFormat="1">
      <c r="A436" s="374" t="str">
        <f t="shared" si="54"/>
        <v/>
      </c>
      <c r="B436" s="89">
        <v>21</v>
      </c>
      <c r="C436" s="89" t="s">
        <v>210</v>
      </c>
      <c r="D436" s="89">
        <v>5</v>
      </c>
      <c r="E436" s="89">
        <v>-3</v>
      </c>
      <c r="F436" s="89" t="s">
        <v>210</v>
      </c>
      <c r="G436" s="89" t="s">
        <v>202</v>
      </c>
      <c r="H436" s="89" t="s">
        <v>202</v>
      </c>
      <c r="I436" s="89">
        <v>-4</v>
      </c>
      <c r="J436" s="89" t="s">
        <v>210</v>
      </c>
      <c r="K436" s="89" t="s">
        <v>210</v>
      </c>
      <c r="L436" s="89">
        <v>6</v>
      </c>
      <c r="M436" s="89"/>
      <c r="N436" s="89"/>
      <c r="O436" s="89"/>
      <c r="P436" s="89"/>
      <c r="Q436" s="89"/>
      <c r="R436" s="89"/>
      <c r="S436" s="89"/>
      <c r="T436" s="89"/>
      <c r="U436" s="89"/>
      <c r="V436" s="89"/>
      <c r="W436" s="89"/>
      <c r="X436" s="89"/>
      <c r="Y436" s="89"/>
      <c r="Z436" s="89"/>
      <c r="AA436" s="89"/>
      <c r="AB436" s="89"/>
      <c r="AC436" s="89"/>
      <c r="AD436" s="89"/>
      <c r="AE436" s="89"/>
      <c r="AF436" s="89"/>
      <c r="AG436" s="89"/>
      <c r="AH436" s="89"/>
      <c r="AI436" s="89"/>
      <c r="AJ436" s="89"/>
      <c r="AK436" s="89"/>
      <c r="AL436" s="89"/>
      <c r="AM436" s="89"/>
      <c r="AN436" s="89"/>
      <c r="AO436" s="89"/>
      <c r="AP436" s="89"/>
      <c r="AQ436" s="89"/>
      <c r="AR436" s="89"/>
      <c r="AS436" s="89"/>
      <c r="AT436" s="89"/>
      <c r="AU436" s="89"/>
      <c r="AV436" s="89"/>
      <c r="AW436" s="89"/>
      <c r="AX436" s="89"/>
      <c r="AY436" s="89"/>
      <c r="AZ436" s="89"/>
      <c r="BA436" s="95"/>
    </row>
    <row r="437" spans="1:53" s="87" customFormat="1">
      <c r="A437" s="374" t="str">
        <f t="shared" si="54"/>
        <v/>
      </c>
      <c r="B437" s="89">
        <v>22</v>
      </c>
      <c r="C437" s="89">
        <v>-2</v>
      </c>
      <c r="D437" s="89" t="s">
        <v>210</v>
      </c>
      <c r="E437" s="89" t="s">
        <v>202</v>
      </c>
      <c r="F437" s="89" t="s">
        <v>202</v>
      </c>
      <c r="G437" s="89" t="s">
        <v>210</v>
      </c>
      <c r="H437" s="89">
        <v>3</v>
      </c>
      <c r="I437" s="89">
        <v>1</v>
      </c>
      <c r="J437" s="89" t="s">
        <v>210</v>
      </c>
      <c r="K437" s="89" t="s">
        <v>210</v>
      </c>
      <c r="L437" s="89">
        <v>-6</v>
      </c>
      <c r="M437" s="89"/>
      <c r="N437" s="89"/>
      <c r="O437" s="89"/>
      <c r="P437" s="89"/>
      <c r="Q437" s="89"/>
      <c r="R437" s="89"/>
      <c r="S437" s="89"/>
      <c r="T437" s="89"/>
      <c r="U437" s="89"/>
      <c r="V437" s="89"/>
      <c r="W437" s="89"/>
      <c r="X437" s="89"/>
      <c r="Y437" s="89"/>
      <c r="Z437" s="89"/>
      <c r="AA437" s="89"/>
      <c r="AB437" s="89"/>
      <c r="AC437" s="89"/>
      <c r="AD437" s="89"/>
      <c r="AE437" s="89"/>
      <c r="AF437" s="89"/>
      <c r="AG437" s="89"/>
      <c r="AH437" s="89"/>
      <c r="AI437" s="89"/>
      <c r="AJ437" s="89"/>
      <c r="AK437" s="89"/>
      <c r="AL437" s="89"/>
      <c r="AM437" s="89"/>
      <c r="AN437" s="89"/>
      <c r="AO437" s="89"/>
      <c r="AP437" s="89"/>
      <c r="AQ437" s="89"/>
      <c r="AR437" s="89"/>
      <c r="AS437" s="89"/>
      <c r="AT437" s="89"/>
      <c r="AU437" s="89"/>
      <c r="AV437" s="89"/>
      <c r="AW437" s="89"/>
      <c r="AX437" s="89"/>
      <c r="AY437" s="89"/>
      <c r="AZ437" s="89"/>
      <c r="BA437" s="95"/>
    </row>
    <row r="438" spans="1:53" s="87" customFormat="1">
      <c r="A438" s="374" t="str">
        <f t="shared" si="54"/>
        <v/>
      </c>
      <c r="B438" s="89">
        <v>23</v>
      </c>
      <c r="C438" s="89" t="s">
        <v>210</v>
      </c>
      <c r="D438" s="89">
        <v>-5</v>
      </c>
      <c r="E438" s="89">
        <v>2</v>
      </c>
      <c r="F438" s="89" t="s">
        <v>210</v>
      </c>
      <c r="G438" s="89" t="s">
        <v>210</v>
      </c>
      <c r="H438" s="89">
        <v>4</v>
      </c>
      <c r="I438" s="89">
        <v>-1</v>
      </c>
      <c r="J438" s="89" t="s">
        <v>210</v>
      </c>
      <c r="K438" s="89" t="s">
        <v>202</v>
      </c>
      <c r="L438" s="89" t="s">
        <v>202</v>
      </c>
      <c r="M438" s="89"/>
      <c r="N438" s="89"/>
      <c r="O438" s="89"/>
      <c r="P438" s="89"/>
      <c r="Q438" s="89"/>
      <c r="R438" s="89"/>
      <c r="S438" s="89"/>
      <c r="T438" s="89"/>
      <c r="U438" s="89"/>
      <c r="V438" s="89"/>
      <c r="W438" s="89"/>
      <c r="X438" s="89"/>
      <c r="Y438" s="89"/>
      <c r="Z438" s="89"/>
      <c r="AA438" s="89"/>
      <c r="AB438" s="89"/>
      <c r="AC438" s="89"/>
      <c r="AD438" s="89"/>
      <c r="AE438" s="89"/>
      <c r="AF438" s="89"/>
      <c r="AG438" s="89"/>
      <c r="AH438" s="89"/>
      <c r="AI438" s="89"/>
      <c r="AJ438" s="89"/>
      <c r="AK438" s="89"/>
      <c r="AL438" s="89"/>
      <c r="AM438" s="89"/>
      <c r="AN438" s="89"/>
      <c r="AO438" s="89"/>
      <c r="AP438" s="89"/>
      <c r="AQ438" s="89"/>
      <c r="AR438" s="89"/>
      <c r="AS438" s="89"/>
      <c r="AT438" s="89"/>
      <c r="AU438" s="89"/>
      <c r="AV438" s="89"/>
      <c r="AW438" s="89"/>
      <c r="AX438" s="89"/>
      <c r="AY438" s="89"/>
      <c r="AZ438" s="89"/>
      <c r="BA438" s="95"/>
    </row>
    <row r="439" spans="1:53" s="87" customFormat="1">
      <c r="A439" s="374" t="str">
        <f t="shared" si="54"/>
        <v/>
      </c>
      <c r="B439" s="89" t="s">
        <v>366</v>
      </c>
      <c r="C439" s="89"/>
      <c r="D439" s="89"/>
      <c r="E439" s="89"/>
      <c r="F439" s="89"/>
      <c r="G439" s="89"/>
      <c r="H439" s="89"/>
      <c r="I439" s="89"/>
      <c r="J439" s="89"/>
      <c r="K439" s="89"/>
      <c r="L439" s="89"/>
      <c r="M439" s="89"/>
      <c r="N439" s="89"/>
      <c r="O439" s="89"/>
      <c r="P439" s="89"/>
      <c r="Q439" s="89"/>
      <c r="R439" s="89"/>
      <c r="S439" s="89"/>
      <c r="T439" s="89"/>
      <c r="U439" s="89"/>
      <c r="V439" s="89"/>
      <c r="W439" s="89"/>
      <c r="X439" s="89"/>
      <c r="Y439" s="89"/>
      <c r="Z439" s="89"/>
      <c r="AA439" s="89"/>
      <c r="AB439" s="89"/>
      <c r="AC439" s="89"/>
      <c r="AD439" s="89"/>
      <c r="AE439" s="89"/>
      <c r="AF439" s="89"/>
      <c r="AG439" s="89"/>
      <c r="AH439" s="89"/>
      <c r="AI439" s="89"/>
      <c r="AJ439" s="89"/>
      <c r="AK439" s="89"/>
      <c r="AL439" s="89"/>
      <c r="AM439" s="89"/>
      <c r="AN439" s="89"/>
      <c r="AO439" s="89"/>
      <c r="AP439" s="89"/>
      <c r="AQ439" s="89"/>
      <c r="AR439" s="89"/>
      <c r="AS439" s="89"/>
      <c r="AT439" s="89"/>
      <c r="AU439" s="89"/>
      <c r="AV439" s="89"/>
      <c r="AW439" s="89"/>
      <c r="AX439" s="89"/>
      <c r="AY439" s="89"/>
      <c r="AZ439" s="89"/>
      <c r="BA439" s="95"/>
    </row>
    <row r="440" spans="1:53" s="87" customFormat="1">
      <c r="A440" s="374">
        <f t="shared" si="54"/>
        <v>440</v>
      </c>
      <c r="B440" s="89" t="s">
        <v>369</v>
      </c>
      <c r="C440" s="89"/>
      <c r="D440" s="89"/>
      <c r="E440" s="89"/>
      <c r="F440" s="89"/>
      <c r="G440" s="89"/>
      <c r="H440" s="89"/>
      <c r="I440" s="89"/>
      <c r="J440" s="89"/>
      <c r="K440" s="89"/>
      <c r="L440" s="89"/>
      <c r="M440" s="89"/>
      <c r="N440" s="89"/>
      <c r="O440" s="89"/>
      <c r="P440" s="89"/>
      <c r="Q440" s="89"/>
      <c r="R440" s="89"/>
      <c r="S440" s="89"/>
      <c r="T440" s="89"/>
      <c r="U440" s="89"/>
      <c r="V440" s="89"/>
      <c r="W440" s="89"/>
      <c r="X440" s="89"/>
      <c r="Y440" s="89"/>
      <c r="Z440" s="89"/>
      <c r="AA440" s="89"/>
      <c r="AB440" s="89"/>
      <c r="AC440" s="89"/>
      <c r="AD440" s="89"/>
      <c r="AE440" s="89"/>
      <c r="AF440" s="89"/>
      <c r="AG440" s="89"/>
      <c r="AH440" s="89"/>
      <c r="AI440" s="89"/>
      <c r="AJ440" s="89"/>
      <c r="AK440" s="89"/>
      <c r="AL440" s="89"/>
      <c r="AM440" s="89"/>
      <c r="AN440" s="89"/>
      <c r="AO440" s="89"/>
      <c r="AP440" s="89"/>
      <c r="AQ440" s="89"/>
      <c r="AR440" s="89"/>
      <c r="AS440" s="89"/>
      <c r="AT440" s="89"/>
      <c r="AU440" s="89"/>
      <c r="AV440" s="89"/>
      <c r="AW440" s="89"/>
      <c r="AX440" s="89"/>
      <c r="AY440" s="89"/>
      <c r="AZ440" s="89"/>
      <c r="BA440" s="95"/>
    </row>
    <row r="441" spans="1:53" s="87" customFormat="1">
      <c r="A441" s="374" t="str">
        <f t="shared" si="54"/>
        <v/>
      </c>
      <c r="B441" s="89">
        <v>1</v>
      </c>
      <c r="C441" s="89" t="s">
        <v>210</v>
      </c>
      <c r="D441" s="89">
        <v>-2</v>
      </c>
      <c r="E441" s="89">
        <v>-1</v>
      </c>
      <c r="F441" s="89" t="s">
        <v>210</v>
      </c>
      <c r="G441" s="89">
        <v>3</v>
      </c>
      <c r="H441" s="89" t="s">
        <v>210</v>
      </c>
      <c r="I441" s="89"/>
      <c r="J441" s="89"/>
      <c r="K441" s="89"/>
      <c r="L441" s="89"/>
      <c r="M441" s="89"/>
      <c r="N441" s="89"/>
      <c r="O441" s="89"/>
      <c r="P441" s="89"/>
      <c r="Q441" s="89"/>
      <c r="R441" s="89"/>
      <c r="S441" s="89"/>
      <c r="T441" s="89"/>
      <c r="U441" s="89"/>
      <c r="V441" s="89"/>
      <c r="W441" s="89"/>
      <c r="X441" s="89"/>
      <c r="Y441" s="89"/>
      <c r="Z441" s="89"/>
      <c r="AA441" s="89"/>
      <c r="AB441" s="89"/>
      <c r="AC441" s="89"/>
      <c r="AD441" s="89"/>
      <c r="AE441" s="89"/>
      <c r="AF441" s="89"/>
      <c r="AG441" s="89"/>
      <c r="AH441" s="89"/>
      <c r="AI441" s="89"/>
      <c r="AJ441" s="89"/>
      <c r="AK441" s="89"/>
      <c r="AL441" s="89"/>
      <c r="AM441" s="89"/>
      <c r="AN441" s="89"/>
      <c r="AO441" s="89"/>
      <c r="AP441" s="89"/>
      <c r="AQ441" s="89"/>
      <c r="AR441" s="89"/>
      <c r="AS441" s="89"/>
      <c r="AT441" s="89"/>
      <c r="AU441" s="89"/>
      <c r="AV441" s="89"/>
      <c r="AW441" s="89"/>
      <c r="AX441" s="89"/>
      <c r="AY441" s="89"/>
      <c r="AZ441" s="89"/>
      <c r="BA441" s="95"/>
    </row>
    <row r="442" spans="1:53" s="87" customFormat="1">
      <c r="A442" s="374" t="str">
        <f t="shared" si="54"/>
        <v/>
      </c>
      <c r="B442" s="89">
        <v>2</v>
      </c>
      <c r="C442" s="89" t="s">
        <v>210</v>
      </c>
      <c r="D442" s="89">
        <v>5</v>
      </c>
      <c r="E442" s="89">
        <v>6</v>
      </c>
      <c r="F442" s="89" t="s">
        <v>210</v>
      </c>
      <c r="G442" s="89">
        <v>-3</v>
      </c>
      <c r="H442" s="89" t="s">
        <v>210</v>
      </c>
      <c r="I442" s="89"/>
      <c r="J442" s="89"/>
      <c r="K442" s="89"/>
      <c r="L442" s="89"/>
      <c r="M442" s="89"/>
      <c r="N442" s="89"/>
      <c r="O442" s="89"/>
      <c r="P442" s="89"/>
      <c r="Q442" s="89"/>
      <c r="R442" s="89"/>
      <c r="S442" s="89"/>
      <c r="T442" s="89"/>
      <c r="U442" s="89"/>
      <c r="V442" s="89"/>
      <c r="W442" s="89"/>
      <c r="X442" s="89"/>
      <c r="Y442" s="89"/>
      <c r="Z442" s="89"/>
      <c r="AA442" s="89"/>
      <c r="AB442" s="89"/>
      <c r="AC442" s="89"/>
      <c r="AD442" s="89"/>
      <c r="AE442" s="89"/>
      <c r="AF442" s="89"/>
      <c r="AG442" s="89"/>
      <c r="AH442" s="89"/>
      <c r="AI442" s="89"/>
      <c r="AJ442" s="89"/>
      <c r="AK442" s="89"/>
      <c r="AL442" s="89"/>
      <c r="AM442" s="89"/>
      <c r="AN442" s="89"/>
      <c r="AO442" s="89"/>
      <c r="AP442" s="89"/>
      <c r="AQ442" s="89"/>
      <c r="AR442" s="89"/>
      <c r="AS442" s="89"/>
      <c r="AT442" s="89"/>
      <c r="AU442" s="89"/>
      <c r="AV442" s="89"/>
      <c r="AW442" s="89"/>
      <c r="AX442" s="89"/>
      <c r="AY442" s="89"/>
      <c r="AZ442" s="89"/>
      <c r="BA442" s="95"/>
    </row>
    <row r="443" spans="1:53" s="87" customFormat="1">
      <c r="A443" s="374" t="str">
        <f t="shared" si="54"/>
        <v/>
      </c>
      <c r="B443" s="89">
        <v>3</v>
      </c>
      <c r="C443" s="89" t="s">
        <v>210</v>
      </c>
      <c r="D443" s="89">
        <v>-5</v>
      </c>
      <c r="E443" s="89">
        <v>1</v>
      </c>
      <c r="F443" s="89" t="s">
        <v>210</v>
      </c>
      <c r="G443" s="89">
        <v>4</v>
      </c>
      <c r="H443" s="89" t="s">
        <v>210</v>
      </c>
      <c r="I443" s="89"/>
      <c r="J443" s="89"/>
      <c r="K443" s="89"/>
      <c r="L443" s="89"/>
      <c r="M443" s="89"/>
      <c r="N443" s="89"/>
      <c r="O443" s="89"/>
      <c r="P443" s="89"/>
      <c r="Q443" s="89"/>
      <c r="R443" s="89"/>
      <c r="S443" s="89"/>
      <c r="T443" s="89"/>
      <c r="U443" s="89"/>
      <c r="V443" s="89"/>
      <c r="W443" s="89"/>
      <c r="X443" s="89"/>
      <c r="Y443" s="89"/>
      <c r="Z443" s="89"/>
      <c r="AA443" s="89"/>
      <c r="AB443" s="89"/>
      <c r="AC443" s="89"/>
      <c r="AD443" s="89"/>
      <c r="AE443" s="89"/>
      <c r="AF443" s="89"/>
      <c r="AG443" s="89"/>
      <c r="AH443" s="89"/>
      <c r="AI443" s="89"/>
      <c r="AJ443" s="89"/>
      <c r="AK443" s="89"/>
      <c r="AL443" s="89"/>
      <c r="AM443" s="89"/>
      <c r="AN443" s="89"/>
      <c r="AO443" s="89"/>
      <c r="AP443" s="89"/>
      <c r="AQ443" s="89"/>
      <c r="AR443" s="89"/>
      <c r="AS443" s="89"/>
      <c r="AT443" s="89"/>
      <c r="AU443" s="89"/>
      <c r="AV443" s="89"/>
      <c r="AW443" s="89"/>
      <c r="AX443" s="89"/>
      <c r="AY443" s="89"/>
      <c r="AZ443" s="89"/>
      <c r="BA443" s="95"/>
    </row>
    <row r="444" spans="1:53" s="87" customFormat="1">
      <c r="A444" s="374" t="str">
        <f t="shared" si="54"/>
        <v/>
      </c>
      <c r="B444" s="99">
        <v>4</v>
      </c>
      <c r="C444" s="92" t="s">
        <v>210</v>
      </c>
      <c r="D444" s="92">
        <v>2</v>
      </c>
      <c r="E444" s="92">
        <v>-6</v>
      </c>
      <c r="F444" s="92" t="s">
        <v>210</v>
      </c>
      <c r="G444" s="92">
        <v>-4</v>
      </c>
      <c r="H444" s="92" t="s">
        <v>210</v>
      </c>
      <c r="I444" s="89"/>
      <c r="J444" s="89"/>
      <c r="K444" s="89"/>
      <c r="L444" s="89"/>
      <c r="M444" s="89"/>
      <c r="N444" s="89"/>
      <c r="O444" s="89"/>
      <c r="P444" s="89"/>
      <c r="Q444" s="89"/>
      <c r="R444" s="89"/>
      <c r="S444" s="89"/>
      <c r="T444" s="89"/>
      <c r="U444" s="89"/>
      <c r="V444" s="89"/>
      <c r="W444" s="89"/>
      <c r="X444" s="89"/>
      <c r="Y444" s="89"/>
      <c r="Z444" s="89"/>
      <c r="AA444" s="89"/>
      <c r="AB444" s="89"/>
      <c r="AC444" s="89"/>
      <c r="AD444" s="89"/>
      <c r="AE444" s="89"/>
      <c r="AF444" s="89"/>
      <c r="AG444" s="89"/>
      <c r="AH444" s="89"/>
      <c r="AI444" s="89"/>
      <c r="AJ444" s="89"/>
      <c r="AK444" s="89"/>
      <c r="AL444" s="89"/>
      <c r="AM444" s="89"/>
      <c r="AN444" s="89"/>
      <c r="AO444" s="89"/>
      <c r="AP444" s="89"/>
      <c r="AQ444" s="89"/>
      <c r="AR444" s="89"/>
      <c r="AS444" s="89"/>
      <c r="AT444" s="89"/>
      <c r="AU444" s="89"/>
      <c r="AV444" s="89"/>
      <c r="AW444" s="89"/>
      <c r="AX444" s="89"/>
      <c r="AY444" s="89"/>
      <c r="AZ444" s="89"/>
      <c r="BA444" s="95"/>
    </row>
    <row r="445" spans="1:53" s="87" customFormat="1">
      <c r="A445" s="374" t="str">
        <f t="shared" si="54"/>
        <v/>
      </c>
      <c r="B445" s="89">
        <v>5</v>
      </c>
      <c r="C445" s="89" t="s">
        <v>210</v>
      </c>
      <c r="D445" s="89">
        <v>-4</v>
      </c>
      <c r="E445" s="89">
        <v>-3</v>
      </c>
      <c r="F445" s="89" t="s">
        <v>210</v>
      </c>
      <c r="G445" s="89">
        <v>2</v>
      </c>
      <c r="H445" s="89" t="s">
        <v>210</v>
      </c>
      <c r="I445" s="89"/>
      <c r="J445" s="89"/>
      <c r="K445" s="89"/>
      <c r="L445" s="89"/>
      <c r="M445" s="89"/>
      <c r="N445" s="89"/>
      <c r="O445" s="89"/>
      <c r="P445" s="89"/>
      <c r="Q445" s="89"/>
      <c r="R445" s="89"/>
      <c r="S445" s="89"/>
      <c r="T445" s="89"/>
      <c r="U445" s="89"/>
      <c r="V445" s="89"/>
      <c r="W445" s="89"/>
      <c r="X445" s="89"/>
      <c r="Y445" s="89"/>
      <c r="Z445" s="89"/>
      <c r="AA445" s="89"/>
      <c r="AB445" s="89"/>
      <c r="AC445" s="89"/>
      <c r="AD445" s="89"/>
      <c r="AE445" s="89"/>
      <c r="AF445" s="89"/>
      <c r="AG445" s="89"/>
      <c r="AH445" s="89"/>
      <c r="AI445" s="89"/>
      <c r="AJ445" s="89"/>
      <c r="AK445" s="89"/>
      <c r="AL445" s="89"/>
      <c r="AM445" s="89"/>
      <c r="AN445" s="89"/>
      <c r="AO445" s="89"/>
      <c r="AP445" s="89"/>
      <c r="AQ445" s="89"/>
      <c r="AR445" s="89"/>
      <c r="AS445" s="89"/>
      <c r="AT445" s="89"/>
      <c r="AU445" s="89"/>
      <c r="AV445" s="89"/>
      <c r="AW445" s="89"/>
      <c r="AX445" s="89"/>
      <c r="AY445" s="89"/>
      <c r="AZ445" s="89"/>
      <c r="BA445" s="95"/>
    </row>
    <row r="446" spans="1:53" s="87" customFormat="1">
      <c r="A446" s="374" t="str">
        <f t="shared" si="54"/>
        <v/>
      </c>
      <c r="B446" s="89">
        <v>6</v>
      </c>
      <c r="C446" s="89" t="s">
        <v>210</v>
      </c>
      <c r="D446" s="89">
        <v>6</v>
      </c>
      <c r="E446" s="89">
        <v>5</v>
      </c>
      <c r="F446" s="89" t="s">
        <v>210</v>
      </c>
      <c r="G446" s="89">
        <v>-2</v>
      </c>
      <c r="H446" s="89" t="s">
        <v>210</v>
      </c>
      <c r="I446" s="89"/>
      <c r="J446" s="89"/>
      <c r="K446" s="89"/>
      <c r="L446" s="89"/>
      <c r="M446" s="89"/>
      <c r="N446" s="89"/>
      <c r="O446" s="89"/>
      <c r="P446" s="89"/>
      <c r="Q446" s="89"/>
      <c r="R446" s="89"/>
      <c r="S446" s="89"/>
      <c r="T446" s="89"/>
      <c r="U446" s="89"/>
      <c r="V446" s="89"/>
      <c r="W446" s="89"/>
      <c r="X446" s="89"/>
      <c r="Y446" s="89"/>
      <c r="Z446" s="89"/>
      <c r="AA446" s="89"/>
      <c r="AB446" s="89"/>
      <c r="AC446" s="89"/>
      <c r="AD446" s="89"/>
      <c r="AE446" s="89"/>
      <c r="AF446" s="89"/>
      <c r="AG446" s="89"/>
      <c r="AH446" s="89"/>
      <c r="AI446" s="89"/>
      <c r="AJ446" s="89"/>
      <c r="AK446" s="89"/>
      <c r="AL446" s="89"/>
      <c r="AM446" s="89"/>
      <c r="AN446" s="89"/>
      <c r="AO446" s="89"/>
      <c r="AP446" s="89"/>
      <c r="AQ446" s="89"/>
      <c r="AR446" s="89"/>
      <c r="AS446" s="89"/>
      <c r="AT446" s="89"/>
      <c r="AU446" s="89"/>
      <c r="AV446" s="89"/>
      <c r="AW446" s="89"/>
      <c r="AX446" s="89"/>
      <c r="AY446" s="89"/>
      <c r="AZ446" s="89"/>
      <c r="BA446" s="95"/>
    </row>
    <row r="447" spans="1:53" s="87" customFormat="1">
      <c r="A447" s="374" t="str">
        <f t="shared" si="54"/>
        <v/>
      </c>
      <c r="B447" s="89">
        <v>7</v>
      </c>
      <c r="C447" s="89" t="s">
        <v>210</v>
      </c>
      <c r="D447" s="89">
        <v>-6</v>
      </c>
      <c r="E447" s="89">
        <v>3</v>
      </c>
      <c r="F447" s="89" t="s">
        <v>210</v>
      </c>
      <c r="G447" s="89" t="s">
        <v>210</v>
      </c>
      <c r="H447" s="89">
        <v>2</v>
      </c>
      <c r="I447" s="89"/>
      <c r="J447" s="89"/>
      <c r="K447" s="89"/>
      <c r="L447" s="89"/>
      <c r="M447" s="89"/>
      <c r="N447" s="89"/>
      <c r="O447" s="89"/>
      <c r="P447" s="89"/>
      <c r="Q447" s="89"/>
      <c r="R447" s="89"/>
      <c r="S447" s="89"/>
      <c r="T447" s="89"/>
      <c r="U447" s="89"/>
      <c r="V447" s="89"/>
      <c r="W447" s="89"/>
      <c r="X447" s="89"/>
      <c r="Y447" s="89"/>
      <c r="Z447" s="89"/>
      <c r="AA447" s="89"/>
      <c r="AB447" s="89"/>
      <c r="AC447" s="89"/>
      <c r="AD447" s="89"/>
      <c r="AE447" s="89"/>
      <c r="AF447" s="89"/>
      <c r="AG447" s="89"/>
      <c r="AH447" s="89"/>
      <c r="AI447" s="89"/>
      <c r="AJ447" s="89"/>
      <c r="AK447" s="89"/>
      <c r="AL447" s="89"/>
      <c r="AM447" s="89"/>
      <c r="AN447" s="89"/>
      <c r="AO447" s="89"/>
      <c r="AP447" s="89"/>
      <c r="AQ447" s="89"/>
      <c r="AR447" s="89"/>
      <c r="AS447" s="89"/>
      <c r="AT447" s="89"/>
      <c r="AU447" s="89"/>
      <c r="AV447" s="89"/>
      <c r="AW447" s="89"/>
      <c r="AX447" s="89"/>
      <c r="AY447" s="89"/>
      <c r="AZ447" s="89"/>
      <c r="BA447" s="95"/>
    </row>
    <row r="448" spans="1:53" s="87" customFormat="1">
      <c r="A448" s="374" t="str">
        <f t="shared" si="54"/>
        <v/>
      </c>
      <c r="B448" s="99">
        <v>8</v>
      </c>
      <c r="C448" s="92" t="s">
        <v>210</v>
      </c>
      <c r="D448" s="92">
        <v>4</v>
      </c>
      <c r="E448" s="92">
        <v>-5</v>
      </c>
      <c r="F448" s="92" t="s">
        <v>210</v>
      </c>
      <c r="G448" s="92" t="s">
        <v>210</v>
      </c>
      <c r="H448" s="92">
        <v>-2</v>
      </c>
      <c r="I448" s="89"/>
      <c r="J448" s="89"/>
      <c r="K448" s="89"/>
      <c r="L448" s="89"/>
      <c r="M448" s="89"/>
      <c r="N448" s="89"/>
      <c r="O448" s="89"/>
      <c r="P448" s="89"/>
      <c r="Q448" s="89"/>
      <c r="R448" s="89"/>
      <c r="S448" s="89"/>
      <c r="T448" s="89"/>
      <c r="U448" s="89"/>
      <c r="V448" s="89"/>
      <c r="W448" s="89"/>
      <c r="X448" s="89"/>
      <c r="Y448" s="89"/>
      <c r="Z448" s="89"/>
      <c r="AA448" s="89"/>
      <c r="AB448" s="89"/>
      <c r="AC448" s="89"/>
      <c r="AD448" s="89"/>
      <c r="AE448" s="89"/>
      <c r="AF448" s="89"/>
      <c r="AG448" s="89"/>
      <c r="AH448" s="89"/>
      <c r="AI448" s="89"/>
      <c r="AJ448" s="89"/>
      <c r="AK448" s="89"/>
      <c r="AL448" s="89"/>
      <c r="AM448" s="89"/>
      <c r="AN448" s="89"/>
      <c r="AO448" s="89"/>
      <c r="AP448" s="89"/>
      <c r="AQ448" s="89"/>
      <c r="AR448" s="89"/>
      <c r="AS448" s="89"/>
      <c r="AT448" s="89"/>
      <c r="AU448" s="89"/>
      <c r="AV448" s="89"/>
      <c r="AW448" s="89"/>
      <c r="AX448" s="89"/>
      <c r="AY448" s="89"/>
      <c r="AZ448" s="89"/>
      <c r="BA448" s="95"/>
    </row>
    <row r="449" spans="1:53" s="87" customFormat="1">
      <c r="A449" s="374" t="str">
        <f t="shared" si="54"/>
        <v/>
      </c>
      <c r="B449" s="89">
        <v>9</v>
      </c>
      <c r="C449" s="89">
        <v>-6</v>
      </c>
      <c r="D449" s="89" t="s">
        <v>210</v>
      </c>
      <c r="E449" s="89">
        <v>2</v>
      </c>
      <c r="F449" s="89" t="s">
        <v>210</v>
      </c>
      <c r="G449" s="89" t="s">
        <v>210</v>
      </c>
      <c r="H449" s="89">
        <v>5</v>
      </c>
      <c r="I449" s="89"/>
      <c r="J449" s="89"/>
      <c r="K449" s="89"/>
      <c r="L449" s="89"/>
      <c r="M449" s="89"/>
      <c r="N449" s="89"/>
      <c r="O449" s="89"/>
      <c r="P449" s="89"/>
      <c r="Q449" s="89"/>
      <c r="R449" s="89"/>
      <c r="S449" s="89"/>
      <c r="T449" s="89"/>
      <c r="U449" s="89"/>
      <c r="V449" s="89"/>
      <c r="W449" s="89"/>
      <c r="X449" s="89"/>
      <c r="Y449" s="89"/>
      <c r="Z449" s="89"/>
      <c r="AA449" s="89"/>
      <c r="AB449" s="89"/>
      <c r="AC449" s="89"/>
      <c r="AD449" s="89"/>
      <c r="AE449" s="89"/>
      <c r="AF449" s="89"/>
      <c r="AG449" s="89"/>
      <c r="AH449" s="89"/>
      <c r="AI449" s="89"/>
      <c r="AJ449" s="89"/>
      <c r="AK449" s="89"/>
      <c r="AL449" s="89"/>
      <c r="AM449" s="89"/>
      <c r="AN449" s="89"/>
      <c r="AO449" s="89"/>
      <c r="AP449" s="89"/>
      <c r="AQ449" s="89"/>
      <c r="AR449" s="89"/>
      <c r="AS449" s="89"/>
      <c r="AT449" s="89"/>
      <c r="AU449" s="89"/>
      <c r="AV449" s="89"/>
      <c r="AW449" s="89"/>
      <c r="AX449" s="89"/>
      <c r="AY449" s="89"/>
      <c r="AZ449" s="89"/>
      <c r="BA449" s="95"/>
    </row>
    <row r="450" spans="1:53" s="87" customFormat="1">
      <c r="A450" s="374" t="str">
        <f t="shared" si="54"/>
        <v/>
      </c>
      <c r="B450" s="89">
        <v>10</v>
      </c>
      <c r="C450" s="89">
        <v>1</v>
      </c>
      <c r="D450" s="89" t="s">
        <v>210</v>
      </c>
      <c r="E450" s="89" t="s">
        <v>210</v>
      </c>
      <c r="F450" s="89">
        <v>-3</v>
      </c>
      <c r="G450" s="89" t="s">
        <v>210</v>
      </c>
      <c r="H450" s="89">
        <v>-5</v>
      </c>
      <c r="I450" s="89"/>
      <c r="J450" s="89"/>
      <c r="K450" s="89"/>
      <c r="L450" s="89"/>
      <c r="M450" s="89"/>
      <c r="N450" s="89"/>
      <c r="O450" s="89"/>
      <c r="P450" s="89"/>
      <c r="Q450" s="89"/>
      <c r="R450" s="89"/>
      <c r="S450" s="89"/>
      <c r="T450" s="89"/>
      <c r="U450" s="89"/>
      <c r="V450" s="89"/>
      <c r="W450" s="89"/>
      <c r="X450" s="89"/>
      <c r="Y450" s="89"/>
      <c r="Z450" s="89"/>
      <c r="AA450" s="89"/>
      <c r="AB450" s="89"/>
      <c r="AC450" s="89"/>
      <c r="AD450" s="89"/>
      <c r="AE450" s="89"/>
      <c r="AF450" s="89"/>
      <c r="AG450" s="89"/>
      <c r="AH450" s="89"/>
      <c r="AI450" s="89"/>
      <c r="AJ450" s="89"/>
      <c r="AK450" s="89"/>
      <c r="AL450" s="89"/>
      <c r="AM450" s="89"/>
      <c r="AN450" s="89"/>
      <c r="AO450" s="89"/>
      <c r="AP450" s="89"/>
      <c r="AQ450" s="89"/>
      <c r="AR450" s="89"/>
      <c r="AS450" s="89"/>
      <c r="AT450" s="89"/>
      <c r="AU450" s="89"/>
      <c r="AV450" s="89"/>
      <c r="AW450" s="89"/>
      <c r="AX450" s="89"/>
      <c r="AY450" s="89"/>
      <c r="AZ450" s="89"/>
      <c r="BA450" s="95"/>
    </row>
    <row r="451" spans="1:53" s="87" customFormat="1">
      <c r="A451" s="374" t="str">
        <f t="shared" si="54"/>
        <v/>
      </c>
      <c r="B451" s="89">
        <v>11</v>
      </c>
      <c r="C451" s="89">
        <v>-1</v>
      </c>
      <c r="D451" s="89" t="s">
        <v>210</v>
      </c>
      <c r="E451" s="89">
        <v>-2</v>
      </c>
      <c r="F451" s="89" t="s">
        <v>210</v>
      </c>
      <c r="G451" s="89" t="s">
        <v>210</v>
      </c>
      <c r="H451" s="89">
        <v>4</v>
      </c>
      <c r="I451" s="89"/>
      <c r="J451" s="89"/>
      <c r="K451" s="89"/>
      <c r="L451" s="89"/>
      <c r="M451" s="89"/>
      <c r="N451" s="89"/>
      <c r="O451" s="89"/>
      <c r="P451" s="89"/>
      <c r="Q451" s="89"/>
      <c r="R451" s="89"/>
      <c r="S451" s="89"/>
      <c r="T451" s="89"/>
      <c r="U451" s="89"/>
      <c r="V451" s="89"/>
      <c r="W451" s="89"/>
      <c r="X451" s="89"/>
      <c r="Y451" s="89"/>
      <c r="Z451" s="89"/>
      <c r="AA451" s="89"/>
      <c r="AB451" s="89"/>
      <c r="AC451" s="89"/>
      <c r="AD451" s="89"/>
      <c r="AE451" s="89"/>
      <c r="AF451" s="89"/>
      <c r="AG451" s="89"/>
      <c r="AH451" s="89"/>
      <c r="AI451" s="89"/>
      <c r="AJ451" s="89"/>
      <c r="AK451" s="89"/>
      <c r="AL451" s="89"/>
      <c r="AM451" s="89"/>
      <c r="AN451" s="89"/>
      <c r="AO451" s="89"/>
      <c r="AP451" s="89"/>
      <c r="AQ451" s="89"/>
      <c r="AR451" s="89"/>
      <c r="AS451" s="89"/>
      <c r="AT451" s="89"/>
      <c r="AU451" s="89"/>
      <c r="AV451" s="89"/>
      <c r="AW451" s="89"/>
      <c r="AX451" s="89"/>
      <c r="AY451" s="89"/>
      <c r="AZ451" s="89"/>
      <c r="BA451" s="95"/>
    </row>
    <row r="452" spans="1:53" s="87" customFormat="1">
      <c r="A452" s="374" t="str">
        <f t="shared" si="54"/>
        <v/>
      </c>
      <c r="B452" s="99">
        <v>12</v>
      </c>
      <c r="C452" s="92">
        <v>6</v>
      </c>
      <c r="D452" s="92" t="s">
        <v>210</v>
      </c>
      <c r="E452" s="92" t="s">
        <v>210</v>
      </c>
      <c r="F452" s="92">
        <v>3</v>
      </c>
      <c r="G452" s="92" t="s">
        <v>210</v>
      </c>
      <c r="H452" s="92">
        <v>-4</v>
      </c>
      <c r="I452" s="89"/>
      <c r="J452" s="89"/>
      <c r="K452" s="89"/>
      <c r="L452" s="89"/>
      <c r="M452" s="89"/>
      <c r="N452" s="89"/>
      <c r="O452" s="89"/>
      <c r="P452" s="89"/>
      <c r="Q452" s="89"/>
      <c r="R452" s="89"/>
      <c r="S452" s="89"/>
      <c r="T452" s="89"/>
      <c r="U452" s="89"/>
      <c r="V452" s="89"/>
      <c r="W452" s="89"/>
      <c r="X452" s="89"/>
      <c r="Y452" s="89"/>
      <c r="Z452" s="89"/>
      <c r="AA452" s="89"/>
      <c r="AB452" s="89"/>
      <c r="AC452" s="89"/>
      <c r="AD452" s="89"/>
      <c r="AE452" s="89"/>
      <c r="AF452" s="89"/>
      <c r="AG452" s="89"/>
      <c r="AH452" s="89"/>
      <c r="AI452" s="89"/>
      <c r="AJ452" s="89"/>
      <c r="AK452" s="89"/>
      <c r="AL452" s="89"/>
      <c r="AM452" s="89"/>
      <c r="AN452" s="89"/>
      <c r="AO452" s="89"/>
      <c r="AP452" s="89"/>
      <c r="AQ452" s="89"/>
      <c r="AR452" s="89"/>
      <c r="AS452" s="89"/>
      <c r="AT452" s="89"/>
      <c r="AU452" s="89"/>
      <c r="AV452" s="89"/>
      <c r="AW452" s="89"/>
      <c r="AX452" s="89"/>
      <c r="AY452" s="89"/>
      <c r="AZ452" s="89"/>
      <c r="BA452" s="95"/>
    </row>
    <row r="453" spans="1:53" s="87" customFormat="1">
      <c r="A453" s="374" t="str">
        <f t="shared" si="54"/>
        <v/>
      </c>
      <c r="B453" s="89">
        <v>13</v>
      </c>
      <c r="C453" s="89">
        <v>-2</v>
      </c>
      <c r="D453" s="89" t="s">
        <v>210</v>
      </c>
      <c r="E453" s="89">
        <v>-4</v>
      </c>
      <c r="F453" s="89" t="s">
        <v>210</v>
      </c>
      <c r="G453" s="89" t="s">
        <v>210</v>
      </c>
      <c r="H453" s="89">
        <v>3</v>
      </c>
      <c r="I453" s="89"/>
      <c r="J453" s="89"/>
      <c r="K453" s="89"/>
      <c r="L453" s="89"/>
      <c r="M453" s="89"/>
      <c r="N453" s="89"/>
      <c r="O453" s="89"/>
      <c r="P453" s="89"/>
      <c r="Q453" s="89"/>
      <c r="R453" s="89"/>
      <c r="S453" s="89"/>
      <c r="T453" s="89"/>
      <c r="U453" s="89"/>
      <c r="V453" s="89"/>
      <c r="W453" s="89"/>
      <c r="X453" s="89"/>
      <c r="Y453" s="89"/>
      <c r="Z453" s="89"/>
      <c r="AA453" s="89"/>
      <c r="AB453" s="89"/>
      <c r="AC453" s="89"/>
      <c r="AD453" s="89"/>
      <c r="AE453" s="89"/>
      <c r="AF453" s="89"/>
      <c r="AG453" s="89"/>
      <c r="AH453" s="89"/>
      <c r="AI453" s="89"/>
      <c r="AJ453" s="89"/>
      <c r="AK453" s="89"/>
      <c r="AL453" s="89"/>
      <c r="AM453" s="89"/>
      <c r="AN453" s="89"/>
      <c r="AO453" s="89"/>
      <c r="AP453" s="89"/>
      <c r="AQ453" s="89"/>
      <c r="AR453" s="89"/>
      <c r="AS453" s="89"/>
      <c r="AT453" s="89"/>
      <c r="AU453" s="89"/>
      <c r="AV453" s="89"/>
      <c r="AW453" s="89"/>
      <c r="AX453" s="89"/>
      <c r="AY453" s="89"/>
      <c r="AZ453" s="89"/>
      <c r="BA453" s="95"/>
    </row>
    <row r="454" spans="1:53" s="87" customFormat="1">
      <c r="A454" s="374" t="str">
        <f t="shared" si="54"/>
        <v/>
      </c>
      <c r="B454" s="89">
        <v>14</v>
      </c>
      <c r="C454" s="89">
        <v>5</v>
      </c>
      <c r="D454" s="89" t="s">
        <v>210</v>
      </c>
      <c r="E454" s="89" t="s">
        <v>210</v>
      </c>
      <c r="F454" s="89">
        <v>4</v>
      </c>
      <c r="G454" s="89" t="s">
        <v>210</v>
      </c>
      <c r="H454" s="89">
        <v>-3</v>
      </c>
      <c r="I454" s="89"/>
      <c r="J454" s="89"/>
      <c r="K454" s="89"/>
      <c r="L454" s="89"/>
      <c r="M454" s="89"/>
      <c r="N454" s="89"/>
      <c r="O454" s="89"/>
      <c r="P454" s="89"/>
      <c r="Q454" s="89"/>
      <c r="R454" s="89"/>
      <c r="S454" s="89"/>
      <c r="T454" s="89"/>
      <c r="U454" s="89"/>
      <c r="V454" s="89"/>
      <c r="W454" s="89"/>
      <c r="X454" s="89"/>
      <c r="Y454" s="89"/>
      <c r="Z454" s="89"/>
      <c r="AA454" s="89"/>
      <c r="AB454" s="89"/>
      <c r="AC454" s="89"/>
      <c r="AD454" s="89"/>
      <c r="AE454" s="89"/>
      <c r="AF454" s="89"/>
      <c r="AG454" s="89"/>
      <c r="AH454" s="89"/>
      <c r="AI454" s="89"/>
      <c r="AJ454" s="89"/>
      <c r="AK454" s="89"/>
      <c r="AL454" s="89"/>
      <c r="AM454" s="89"/>
      <c r="AN454" s="89"/>
      <c r="AO454" s="89"/>
      <c r="AP454" s="89"/>
      <c r="AQ454" s="89"/>
      <c r="AR454" s="89"/>
      <c r="AS454" s="89"/>
      <c r="AT454" s="89"/>
      <c r="AU454" s="89"/>
      <c r="AV454" s="89"/>
      <c r="AW454" s="89"/>
      <c r="AX454" s="89"/>
      <c r="AY454" s="89"/>
      <c r="AZ454" s="89"/>
      <c r="BA454" s="95"/>
    </row>
    <row r="455" spans="1:53" s="87" customFormat="1">
      <c r="A455" s="374" t="str">
        <f t="shared" si="54"/>
        <v/>
      </c>
      <c r="B455" s="89">
        <v>15</v>
      </c>
      <c r="C455" s="89">
        <v>-5</v>
      </c>
      <c r="D455" s="89" t="s">
        <v>210</v>
      </c>
      <c r="E455" s="89">
        <v>4</v>
      </c>
      <c r="F455" s="89" t="s">
        <v>210</v>
      </c>
      <c r="G455" s="89" t="s">
        <v>210</v>
      </c>
      <c r="H455" s="89">
        <v>6</v>
      </c>
      <c r="I455" s="89"/>
      <c r="J455" s="89"/>
      <c r="K455" s="89"/>
      <c r="L455" s="89"/>
      <c r="M455" s="89"/>
      <c r="N455" s="89"/>
      <c r="O455" s="89"/>
      <c r="P455" s="89"/>
      <c r="Q455" s="89"/>
      <c r="R455" s="89"/>
      <c r="S455" s="89"/>
      <c r="T455" s="89"/>
      <c r="U455" s="89"/>
      <c r="V455" s="89"/>
      <c r="W455" s="89"/>
      <c r="X455" s="89"/>
      <c r="Y455" s="89"/>
      <c r="Z455" s="89"/>
      <c r="AA455" s="89"/>
      <c r="AB455" s="89"/>
      <c r="AC455" s="89"/>
      <c r="AD455" s="89"/>
      <c r="AE455" s="89"/>
      <c r="AF455" s="89"/>
      <c r="AG455" s="89"/>
      <c r="AH455" s="89"/>
      <c r="AI455" s="89"/>
      <c r="AJ455" s="89"/>
      <c r="AK455" s="89"/>
      <c r="AL455" s="89"/>
      <c r="AM455" s="89"/>
      <c r="AN455" s="89"/>
      <c r="AO455" s="89"/>
      <c r="AP455" s="89"/>
      <c r="AQ455" s="89"/>
      <c r="AR455" s="89"/>
      <c r="AS455" s="89"/>
      <c r="AT455" s="89"/>
      <c r="AU455" s="89"/>
      <c r="AV455" s="89"/>
      <c r="AW455" s="89"/>
      <c r="AX455" s="89"/>
      <c r="AY455" s="89"/>
      <c r="AZ455" s="89"/>
      <c r="BA455" s="95"/>
    </row>
    <row r="456" spans="1:53" s="87" customFormat="1">
      <c r="A456" s="374" t="str">
        <f t="shared" si="54"/>
        <v/>
      </c>
      <c r="B456" s="99">
        <v>16</v>
      </c>
      <c r="C456" s="92">
        <v>2</v>
      </c>
      <c r="D456" s="92" t="s">
        <v>210</v>
      </c>
      <c r="E456" s="92" t="s">
        <v>210</v>
      </c>
      <c r="F456" s="92">
        <v>-4</v>
      </c>
      <c r="G456" s="92" t="s">
        <v>210</v>
      </c>
      <c r="H456" s="92">
        <v>-6</v>
      </c>
      <c r="I456" s="89"/>
      <c r="J456" s="89"/>
      <c r="K456" s="89"/>
      <c r="L456" s="89"/>
      <c r="M456" s="89"/>
      <c r="N456" s="89"/>
      <c r="O456" s="89"/>
      <c r="P456" s="89"/>
      <c r="Q456" s="89"/>
      <c r="R456" s="89"/>
      <c r="S456" s="89"/>
      <c r="T456" s="89"/>
      <c r="U456" s="89"/>
      <c r="V456" s="89"/>
      <c r="W456" s="89"/>
      <c r="X456" s="89"/>
      <c r="Y456" s="89"/>
      <c r="Z456" s="89"/>
      <c r="AA456" s="89"/>
      <c r="AB456" s="89"/>
      <c r="AC456" s="89"/>
      <c r="AD456" s="89"/>
      <c r="AE456" s="89"/>
      <c r="AF456" s="89"/>
      <c r="AG456" s="89"/>
      <c r="AH456" s="89"/>
      <c r="AI456" s="89"/>
      <c r="AJ456" s="89"/>
      <c r="AK456" s="89"/>
      <c r="AL456" s="89"/>
      <c r="AM456" s="89"/>
      <c r="AN456" s="89"/>
      <c r="AO456" s="89"/>
      <c r="AP456" s="89"/>
      <c r="AQ456" s="89"/>
      <c r="AR456" s="89"/>
      <c r="AS456" s="89"/>
      <c r="AT456" s="89"/>
      <c r="AU456" s="89"/>
      <c r="AV456" s="89"/>
      <c r="AW456" s="89"/>
      <c r="AX456" s="89"/>
      <c r="AY456" s="89"/>
      <c r="AZ456" s="89"/>
      <c r="BA456" s="95"/>
    </row>
    <row r="457" spans="1:53" s="87" customFormat="1">
      <c r="A457" s="374" t="str">
        <f t="shared" si="54"/>
        <v/>
      </c>
      <c r="B457" s="89">
        <v>17</v>
      </c>
      <c r="C457" s="89">
        <v>-4</v>
      </c>
      <c r="D457" s="89" t="s">
        <v>210</v>
      </c>
      <c r="E457" s="89" t="s">
        <v>210</v>
      </c>
      <c r="F457" s="89">
        <v>-2</v>
      </c>
      <c r="G457" s="89">
        <v>1</v>
      </c>
      <c r="H457" s="89" t="s">
        <v>210</v>
      </c>
      <c r="I457" s="89"/>
      <c r="J457" s="89"/>
      <c r="K457" s="89"/>
      <c r="L457" s="89"/>
      <c r="M457" s="89"/>
      <c r="N457" s="89"/>
      <c r="O457" s="89"/>
      <c r="P457" s="89"/>
      <c r="Q457" s="89"/>
      <c r="R457" s="89"/>
      <c r="S457" s="89"/>
      <c r="T457" s="89"/>
      <c r="U457" s="89"/>
      <c r="V457" s="89"/>
      <c r="W457" s="89"/>
      <c r="X457" s="89"/>
      <c r="Y457" s="89"/>
      <c r="Z457" s="89"/>
      <c r="AA457" s="89"/>
      <c r="AB457" s="89"/>
      <c r="AC457" s="89"/>
      <c r="AD457" s="89"/>
      <c r="AE457" s="89"/>
      <c r="AF457" s="89"/>
      <c r="AG457" s="89"/>
      <c r="AH457" s="89"/>
      <c r="AI457" s="89"/>
      <c r="AJ457" s="89"/>
      <c r="AK457" s="89"/>
      <c r="AL457" s="89"/>
      <c r="AM457" s="89"/>
      <c r="AN457" s="89"/>
      <c r="AO457" s="89"/>
      <c r="AP457" s="89"/>
      <c r="AQ457" s="89"/>
      <c r="AR457" s="89"/>
      <c r="AS457" s="89"/>
      <c r="AT457" s="89"/>
      <c r="AU457" s="89"/>
      <c r="AV457" s="89"/>
      <c r="AW457" s="89"/>
      <c r="AX457" s="89"/>
      <c r="AY457" s="89"/>
      <c r="AZ457" s="89"/>
      <c r="BA457" s="95"/>
    </row>
    <row r="458" spans="1:53" s="87" customFormat="1">
      <c r="A458" s="374" t="str">
        <f t="shared" si="54"/>
        <v/>
      </c>
      <c r="B458" s="89">
        <v>18</v>
      </c>
      <c r="C458" s="89" t="s">
        <v>210</v>
      </c>
      <c r="D458" s="89">
        <v>3</v>
      </c>
      <c r="E458" s="89" t="s">
        <v>210</v>
      </c>
      <c r="F458" s="89">
        <v>5</v>
      </c>
      <c r="G458" s="89">
        <v>-1</v>
      </c>
      <c r="H458" s="89" t="s">
        <v>210</v>
      </c>
      <c r="I458" s="89"/>
      <c r="J458" s="89"/>
      <c r="K458" s="89"/>
      <c r="L458" s="89"/>
      <c r="M458" s="89"/>
      <c r="N458" s="89"/>
      <c r="O458" s="89"/>
      <c r="P458" s="89"/>
      <c r="Q458" s="89"/>
      <c r="R458" s="89"/>
      <c r="S458" s="89"/>
      <c r="T458" s="89"/>
      <c r="U458" s="89"/>
      <c r="V458" s="89"/>
      <c r="W458" s="89"/>
      <c r="X458" s="89"/>
      <c r="Y458" s="89"/>
      <c r="Z458" s="89"/>
      <c r="AA458" s="89"/>
      <c r="AB458" s="89"/>
      <c r="AC458" s="89"/>
      <c r="AD458" s="89"/>
      <c r="AE458" s="89"/>
      <c r="AF458" s="89"/>
      <c r="AG458" s="89"/>
      <c r="AH458" s="89"/>
      <c r="AI458" s="89"/>
      <c r="AJ458" s="89"/>
      <c r="AK458" s="89"/>
      <c r="AL458" s="89"/>
      <c r="AM458" s="89"/>
      <c r="AN458" s="89"/>
      <c r="AO458" s="89"/>
      <c r="AP458" s="89"/>
      <c r="AQ458" s="89"/>
      <c r="AR458" s="89"/>
      <c r="AS458" s="89"/>
      <c r="AT458" s="89"/>
      <c r="AU458" s="89"/>
      <c r="AV458" s="89"/>
      <c r="AW458" s="89"/>
      <c r="AX458" s="89"/>
      <c r="AY458" s="89"/>
      <c r="AZ458" s="89"/>
      <c r="BA458" s="95"/>
    </row>
    <row r="459" spans="1:53" s="87" customFormat="1">
      <c r="A459" s="374" t="str">
        <f t="shared" si="54"/>
        <v/>
      </c>
      <c r="B459" s="89">
        <v>19</v>
      </c>
      <c r="C459" s="89" t="s">
        <v>210</v>
      </c>
      <c r="D459" s="89">
        <v>-3</v>
      </c>
      <c r="E459" s="89" t="s">
        <v>210</v>
      </c>
      <c r="F459" s="89">
        <v>2</v>
      </c>
      <c r="G459" s="89">
        <v>6</v>
      </c>
      <c r="H459" s="89" t="s">
        <v>210</v>
      </c>
      <c r="I459" s="89"/>
      <c r="J459" s="89"/>
      <c r="K459" s="89"/>
      <c r="L459" s="89"/>
      <c r="M459" s="89"/>
      <c r="N459" s="89"/>
      <c r="O459" s="89"/>
      <c r="P459" s="89"/>
      <c r="Q459" s="89"/>
      <c r="R459" s="89"/>
      <c r="S459" s="89"/>
      <c r="T459" s="89"/>
      <c r="U459" s="89"/>
      <c r="V459" s="89"/>
      <c r="W459" s="89"/>
      <c r="X459" s="89"/>
      <c r="Y459" s="89"/>
      <c r="Z459" s="89"/>
      <c r="AA459" s="89"/>
      <c r="AB459" s="89"/>
      <c r="AC459" s="89"/>
      <c r="AD459" s="89"/>
      <c r="AE459" s="89"/>
      <c r="AF459" s="89"/>
      <c r="AG459" s="89"/>
      <c r="AH459" s="89"/>
      <c r="AI459" s="89"/>
      <c r="AJ459" s="89"/>
      <c r="AK459" s="89"/>
      <c r="AL459" s="89"/>
      <c r="AM459" s="89"/>
      <c r="AN459" s="89"/>
      <c r="AO459" s="89"/>
      <c r="AP459" s="89"/>
      <c r="AQ459" s="89"/>
      <c r="AR459" s="89"/>
      <c r="AS459" s="89"/>
      <c r="AT459" s="89"/>
      <c r="AU459" s="89"/>
      <c r="AV459" s="89"/>
      <c r="AW459" s="89"/>
      <c r="AX459" s="89"/>
      <c r="AY459" s="89"/>
      <c r="AZ459" s="89"/>
      <c r="BA459" s="95"/>
    </row>
    <row r="460" spans="1:53" s="87" customFormat="1">
      <c r="A460" s="374" t="str">
        <f t="shared" ref="A460:A523" si="55">IF(MID(B460,3,2)="06",ROW(),"")</f>
        <v/>
      </c>
      <c r="B460" s="99">
        <v>20</v>
      </c>
      <c r="C460" s="92">
        <v>4</v>
      </c>
      <c r="D460" s="92" t="s">
        <v>210</v>
      </c>
      <c r="E460" s="92" t="s">
        <v>210</v>
      </c>
      <c r="F460" s="92">
        <v>-5</v>
      </c>
      <c r="G460" s="92">
        <v>-6</v>
      </c>
      <c r="H460" s="92" t="s">
        <v>210</v>
      </c>
      <c r="I460" s="89"/>
      <c r="J460" s="89"/>
      <c r="K460" s="89"/>
      <c r="L460" s="89"/>
      <c r="M460" s="89"/>
      <c r="N460" s="89"/>
      <c r="O460" s="89"/>
      <c r="P460" s="89"/>
      <c r="Q460" s="89"/>
      <c r="R460" s="89"/>
      <c r="S460" s="89"/>
      <c r="T460" s="89"/>
      <c r="U460" s="89"/>
      <c r="V460" s="89"/>
      <c r="W460" s="89"/>
      <c r="X460" s="89"/>
      <c r="Y460" s="89"/>
      <c r="Z460" s="89"/>
      <c r="AA460" s="89"/>
      <c r="AB460" s="89"/>
      <c r="AC460" s="89"/>
      <c r="AD460" s="89"/>
      <c r="AE460" s="89"/>
      <c r="AF460" s="89"/>
      <c r="AG460" s="89"/>
      <c r="AH460" s="89"/>
      <c r="AI460" s="89"/>
      <c r="AJ460" s="89"/>
      <c r="AK460" s="89"/>
      <c r="AL460" s="89"/>
      <c r="AM460" s="89"/>
      <c r="AN460" s="89"/>
      <c r="AO460" s="89"/>
      <c r="AP460" s="89"/>
      <c r="AQ460" s="89"/>
      <c r="AR460" s="89"/>
      <c r="AS460" s="89"/>
      <c r="AT460" s="89"/>
      <c r="AU460" s="89"/>
      <c r="AV460" s="89"/>
      <c r="AW460" s="89"/>
      <c r="AX460" s="89"/>
      <c r="AY460" s="89"/>
      <c r="AZ460" s="89"/>
      <c r="BA460" s="95"/>
    </row>
    <row r="461" spans="1:53" s="87" customFormat="1">
      <c r="A461" s="374" t="str">
        <f t="shared" si="55"/>
        <v/>
      </c>
      <c r="B461" s="89">
        <v>21</v>
      </c>
      <c r="C461" s="89">
        <v>3</v>
      </c>
      <c r="D461" s="89" t="s">
        <v>210</v>
      </c>
      <c r="E461" s="89" t="s">
        <v>210</v>
      </c>
      <c r="F461" s="89">
        <v>-6</v>
      </c>
      <c r="G461" s="89" t="s">
        <v>210</v>
      </c>
      <c r="H461" s="89" t="s">
        <v>210</v>
      </c>
      <c r="I461" s="89"/>
      <c r="J461" s="89"/>
      <c r="K461" s="89"/>
      <c r="L461" s="89"/>
      <c r="M461" s="89"/>
      <c r="N461" s="89"/>
      <c r="O461" s="89"/>
      <c r="P461" s="89"/>
      <c r="Q461" s="89"/>
      <c r="R461" s="89"/>
      <c r="S461" s="89"/>
      <c r="T461" s="89"/>
      <c r="U461" s="89"/>
      <c r="V461" s="89"/>
      <c r="W461" s="89"/>
      <c r="X461" s="89"/>
      <c r="Y461" s="89"/>
      <c r="Z461" s="89"/>
      <c r="AA461" s="89"/>
      <c r="AB461" s="89"/>
      <c r="AC461" s="89"/>
      <c r="AD461" s="89"/>
      <c r="AE461" s="89"/>
      <c r="AF461" s="89"/>
      <c r="AG461" s="89"/>
      <c r="AH461" s="89"/>
      <c r="AI461" s="89"/>
      <c r="AJ461" s="89"/>
      <c r="AK461" s="89"/>
      <c r="AL461" s="89"/>
      <c r="AM461" s="89"/>
      <c r="AN461" s="89"/>
      <c r="AO461" s="89"/>
      <c r="AP461" s="89"/>
      <c r="AQ461" s="89"/>
      <c r="AR461" s="89"/>
      <c r="AS461" s="89"/>
      <c r="AT461" s="89"/>
      <c r="AU461" s="89"/>
      <c r="AV461" s="89"/>
      <c r="AW461" s="89"/>
      <c r="AX461" s="89"/>
      <c r="AY461" s="89"/>
      <c r="AZ461" s="89"/>
      <c r="BA461" s="95"/>
    </row>
    <row r="462" spans="1:53" s="87" customFormat="1">
      <c r="A462" s="374" t="str">
        <f t="shared" si="55"/>
        <v/>
      </c>
      <c r="B462" s="89">
        <v>22</v>
      </c>
      <c r="C462" s="89" t="s">
        <v>210</v>
      </c>
      <c r="D462" s="89" t="s">
        <v>210</v>
      </c>
      <c r="E462" s="89" t="s">
        <v>210</v>
      </c>
      <c r="F462" s="89">
        <v>6</v>
      </c>
      <c r="G462" s="89">
        <v>-5</v>
      </c>
      <c r="H462" s="89" t="s">
        <v>210</v>
      </c>
      <c r="I462" s="89"/>
      <c r="J462" s="89"/>
      <c r="K462" s="89"/>
      <c r="L462" s="89"/>
      <c r="M462" s="89"/>
      <c r="N462" s="89"/>
      <c r="O462" s="89"/>
      <c r="P462" s="89"/>
      <c r="Q462" s="89"/>
      <c r="R462" s="89"/>
      <c r="S462" s="89"/>
      <c r="T462" s="89"/>
      <c r="U462" s="89"/>
      <c r="V462" s="89"/>
      <c r="W462" s="89"/>
      <c r="X462" s="89"/>
      <c r="Y462" s="89"/>
      <c r="Z462" s="89"/>
      <c r="AA462" s="89"/>
      <c r="AB462" s="89"/>
      <c r="AC462" s="89"/>
      <c r="AD462" s="89"/>
      <c r="AE462" s="89"/>
      <c r="AF462" s="89"/>
      <c r="AG462" s="89"/>
      <c r="AH462" s="89"/>
      <c r="AI462" s="89"/>
      <c r="AJ462" s="89"/>
      <c r="AK462" s="89"/>
      <c r="AL462" s="89"/>
      <c r="AM462" s="89"/>
      <c r="AN462" s="89"/>
      <c r="AO462" s="89"/>
      <c r="AP462" s="89"/>
      <c r="AQ462" s="89"/>
      <c r="AR462" s="89"/>
      <c r="AS462" s="89"/>
      <c r="AT462" s="89"/>
      <c r="AU462" s="89"/>
      <c r="AV462" s="89"/>
      <c r="AW462" s="89"/>
      <c r="AX462" s="89"/>
      <c r="AY462" s="89"/>
      <c r="AZ462" s="89"/>
      <c r="BA462" s="95"/>
    </row>
    <row r="463" spans="1:53" s="87" customFormat="1">
      <c r="A463" s="374" t="str">
        <f t="shared" si="55"/>
        <v/>
      </c>
      <c r="B463" s="89">
        <v>23</v>
      </c>
      <c r="C463" s="89">
        <v>-3</v>
      </c>
      <c r="D463" s="89" t="s">
        <v>210</v>
      </c>
      <c r="E463" s="89" t="s">
        <v>210</v>
      </c>
      <c r="F463" s="89" t="s">
        <v>210</v>
      </c>
      <c r="G463" s="89">
        <v>5</v>
      </c>
      <c r="H463" s="89" t="s">
        <v>210</v>
      </c>
      <c r="I463" s="89"/>
      <c r="J463" s="89"/>
      <c r="K463" s="89"/>
      <c r="L463" s="89"/>
      <c r="M463" s="89"/>
      <c r="N463" s="89"/>
      <c r="O463" s="89"/>
      <c r="P463" s="89"/>
      <c r="Q463" s="89"/>
      <c r="R463" s="89"/>
      <c r="S463" s="89"/>
      <c r="T463" s="89"/>
      <c r="U463" s="89"/>
      <c r="V463" s="89"/>
      <c r="W463" s="89"/>
      <c r="X463" s="89"/>
      <c r="Y463" s="89"/>
      <c r="Z463" s="89"/>
      <c r="AA463" s="89"/>
      <c r="AB463" s="89"/>
      <c r="AC463" s="89"/>
      <c r="AD463" s="89"/>
      <c r="AE463" s="89"/>
      <c r="AF463" s="89"/>
      <c r="AG463" s="89"/>
      <c r="AH463" s="89"/>
      <c r="AI463" s="89"/>
      <c r="AJ463" s="89"/>
      <c r="AK463" s="89"/>
      <c r="AL463" s="89"/>
      <c r="AM463" s="89"/>
      <c r="AN463" s="89"/>
      <c r="AO463" s="89"/>
      <c r="AP463" s="89"/>
      <c r="AQ463" s="89"/>
      <c r="AR463" s="89"/>
      <c r="AS463" s="89"/>
      <c r="AT463" s="89"/>
      <c r="AU463" s="89"/>
      <c r="AV463" s="89"/>
      <c r="AW463" s="89"/>
      <c r="AX463" s="89"/>
      <c r="AY463" s="89"/>
      <c r="AZ463" s="89"/>
      <c r="BA463" s="95"/>
    </row>
    <row r="464" spans="1:53" s="87" customFormat="1">
      <c r="A464" s="374" t="str">
        <f t="shared" si="55"/>
        <v/>
      </c>
      <c r="B464" s="89" t="s">
        <v>370</v>
      </c>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c r="AA464" s="89"/>
      <c r="AB464" s="89"/>
      <c r="AC464" s="89"/>
      <c r="AD464" s="89"/>
      <c r="AE464" s="89"/>
      <c r="AF464" s="89"/>
      <c r="AG464" s="89"/>
      <c r="AH464" s="89"/>
      <c r="AI464" s="89"/>
      <c r="AJ464" s="89"/>
      <c r="AK464" s="89"/>
      <c r="AL464" s="89"/>
      <c r="AM464" s="89"/>
      <c r="AN464" s="89"/>
      <c r="AO464" s="89"/>
      <c r="AP464" s="89"/>
      <c r="AQ464" s="89"/>
      <c r="AR464" s="89"/>
      <c r="AS464" s="89"/>
      <c r="AT464" s="89"/>
      <c r="AU464" s="89"/>
      <c r="AV464" s="89"/>
      <c r="AW464" s="89"/>
      <c r="AX464" s="89"/>
      <c r="AY464" s="89"/>
      <c r="AZ464" s="89"/>
      <c r="BA464" s="95"/>
    </row>
    <row r="465" spans="1:53" s="87" customFormat="1">
      <c r="A465" s="374">
        <f t="shared" si="55"/>
        <v>465</v>
      </c>
      <c r="B465" s="89" t="s">
        <v>371</v>
      </c>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c r="AA465" s="89"/>
      <c r="AB465" s="89"/>
      <c r="AC465" s="89"/>
      <c r="AD465" s="89"/>
      <c r="AE465" s="89"/>
      <c r="AF465" s="89"/>
      <c r="AG465" s="89"/>
      <c r="AH465" s="89"/>
      <c r="AI465" s="89"/>
      <c r="AJ465" s="89"/>
      <c r="AK465" s="89"/>
      <c r="AL465" s="89"/>
      <c r="AM465" s="89"/>
      <c r="AN465" s="89"/>
      <c r="AO465" s="89"/>
      <c r="AP465" s="89"/>
      <c r="AQ465" s="89"/>
      <c r="AR465" s="89"/>
      <c r="AS465" s="89"/>
      <c r="AT465" s="89"/>
      <c r="AU465" s="89"/>
      <c r="AV465" s="89"/>
      <c r="AW465" s="89"/>
      <c r="AX465" s="89"/>
      <c r="AY465" s="89"/>
      <c r="AZ465" s="89"/>
      <c r="BA465" s="95"/>
    </row>
    <row r="466" spans="1:53" s="87" customFormat="1">
      <c r="A466" s="374" t="str">
        <f t="shared" si="55"/>
        <v/>
      </c>
      <c r="B466" s="89">
        <v>1</v>
      </c>
      <c r="C466" s="89">
        <v>-1</v>
      </c>
      <c r="D466" s="89" t="s">
        <v>210</v>
      </c>
      <c r="E466" s="89" t="s">
        <v>210</v>
      </c>
      <c r="F466" s="89">
        <v>5</v>
      </c>
      <c r="G466" s="89">
        <v>-4</v>
      </c>
      <c r="H466" s="89" t="s">
        <v>210</v>
      </c>
      <c r="I466" s="89" t="s">
        <v>210</v>
      </c>
      <c r="J466" s="89">
        <v>2</v>
      </c>
      <c r="K466" s="89">
        <v>-6</v>
      </c>
      <c r="L466" s="89" t="s">
        <v>210</v>
      </c>
      <c r="M466" s="89" t="s">
        <v>210</v>
      </c>
      <c r="N466" s="89">
        <v>-3</v>
      </c>
      <c r="O466" s="89">
        <v>1</v>
      </c>
      <c r="P466" s="89" t="s">
        <v>210</v>
      </c>
      <c r="Q466" s="89" t="s">
        <v>210</v>
      </c>
      <c r="R466" s="89">
        <v>-2</v>
      </c>
      <c r="S466" s="89">
        <v>4</v>
      </c>
      <c r="T466" s="89" t="s">
        <v>210</v>
      </c>
      <c r="U466" s="89" t="s">
        <v>210</v>
      </c>
      <c r="V466" s="89">
        <v>-5</v>
      </c>
      <c r="W466" s="89">
        <v>6</v>
      </c>
      <c r="X466" s="89" t="s">
        <v>210</v>
      </c>
      <c r="Y466" s="89" t="s">
        <v>210</v>
      </c>
      <c r="Z466" s="89">
        <v>3</v>
      </c>
      <c r="AA466" s="89"/>
      <c r="AB466" s="89"/>
      <c r="AC466" s="89"/>
      <c r="AD466" s="89"/>
      <c r="AE466" s="89"/>
      <c r="AF466" s="89"/>
      <c r="AG466" s="89"/>
      <c r="AH466" s="89"/>
      <c r="AI466" s="89"/>
      <c r="AJ466" s="89"/>
      <c r="AK466" s="89"/>
      <c r="AL466" s="89"/>
      <c r="AM466" s="89"/>
      <c r="AN466" s="89"/>
      <c r="AO466" s="89"/>
      <c r="AP466" s="89"/>
      <c r="AQ466" s="89"/>
      <c r="AR466" s="89"/>
      <c r="AS466" s="89"/>
      <c r="AT466" s="89"/>
      <c r="AU466" s="89"/>
      <c r="AV466" s="89"/>
      <c r="AW466" s="89"/>
      <c r="AX466" s="89"/>
      <c r="AY466" s="89"/>
      <c r="AZ466" s="89"/>
      <c r="BA466" s="95"/>
    </row>
    <row r="467" spans="1:53" s="87" customFormat="1">
      <c r="A467" s="374" t="str">
        <f t="shared" si="55"/>
        <v/>
      </c>
      <c r="B467" s="89">
        <v>2</v>
      </c>
      <c r="C467" s="89">
        <v>-5</v>
      </c>
      <c r="D467" s="89" t="s">
        <v>210</v>
      </c>
      <c r="E467" s="89" t="s">
        <v>210</v>
      </c>
      <c r="F467" s="89">
        <v>4</v>
      </c>
      <c r="G467" s="89">
        <v>-6</v>
      </c>
      <c r="H467" s="89" t="s">
        <v>210</v>
      </c>
      <c r="I467" s="89" t="s">
        <v>210</v>
      </c>
      <c r="J467" s="89">
        <v>3</v>
      </c>
      <c r="K467" s="89">
        <v>-2</v>
      </c>
      <c r="L467" s="89" t="s">
        <v>210</v>
      </c>
      <c r="M467" s="89" t="s">
        <v>210</v>
      </c>
      <c r="N467" s="89">
        <v>-1</v>
      </c>
      <c r="O467" s="89">
        <v>2</v>
      </c>
      <c r="P467" s="89" t="s">
        <v>210</v>
      </c>
      <c r="Q467" s="89" t="s">
        <v>210</v>
      </c>
      <c r="R467" s="89">
        <v>-4</v>
      </c>
      <c r="S467" s="89">
        <v>6</v>
      </c>
      <c r="T467" s="89" t="s">
        <v>210</v>
      </c>
      <c r="U467" s="89" t="s">
        <v>210</v>
      </c>
      <c r="V467" s="89">
        <v>-3</v>
      </c>
      <c r="W467" s="89">
        <v>5</v>
      </c>
      <c r="X467" s="89" t="s">
        <v>210</v>
      </c>
      <c r="Y467" s="89" t="s">
        <v>210</v>
      </c>
      <c r="Z467" s="89">
        <v>1</v>
      </c>
      <c r="AA467" s="89"/>
      <c r="AB467" s="89"/>
      <c r="AC467" s="89"/>
      <c r="AD467" s="89"/>
      <c r="AE467" s="89"/>
      <c r="AF467" s="89"/>
      <c r="AG467" s="89"/>
      <c r="AH467" s="89"/>
      <c r="AI467" s="89"/>
      <c r="AJ467" s="89"/>
      <c r="AK467" s="89"/>
      <c r="AL467" s="89"/>
      <c r="AM467" s="89"/>
      <c r="AN467" s="89"/>
      <c r="AO467" s="89"/>
      <c r="AP467" s="89"/>
      <c r="AQ467" s="89"/>
      <c r="AR467" s="89"/>
      <c r="AS467" s="89"/>
      <c r="AT467" s="89"/>
      <c r="AU467" s="89"/>
      <c r="AV467" s="89"/>
      <c r="AW467" s="89"/>
      <c r="AX467" s="89"/>
      <c r="AY467" s="89"/>
      <c r="AZ467" s="89"/>
      <c r="BA467" s="95"/>
    </row>
    <row r="468" spans="1:53" s="87" customFormat="1">
      <c r="A468" s="374" t="str">
        <f t="shared" si="55"/>
        <v/>
      </c>
      <c r="B468" s="89">
        <v>3</v>
      </c>
      <c r="C468" s="89">
        <v>-4</v>
      </c>
      <c r="D468" s="89" t="s">
        <v>210</v>
      </c>
      <c r="E468" s="89" t="s">
        <v>210</v>
      </c>
      <c r="F468" s="89">
        <v>1</v>
      </c>
      <c r="G468" s="89">
        <v>-2</v>
      </c>
      <c r="H468" s="89" t="s">
        <v>210</v>
      </c>
      <c r="I468" s="89" t="s">
        <v>210</v>
      </c>
      <c r="J468" s="89">
        <v>6</v>
      </c>
      <c r="K468" s="89">
        <v>4</v>
      </c>
      <c r="L468" s="89" t="s">
        <v>210</v>
      </c>
      <c r="M468" s="89" t="s">
        <v>210</v>
      </c>
      <c r="N468" s="89">
        <v>-5</v>
      </c>
      <c r="O468" s="89">
        <v>3</v>
      </c>
      <c r="P468" s="89" t="s">
        <v>210</v>
      </c>
      <c r="Q468" s="89" t="s">
        <v>210</v>
      </c>
      <c r="R468" s="89">
        <v>-6</v>
      </c>
      <c r="S468" s="89">
        <v>2</v>
      </c>
      <c r="T468" s="89" t="s">
        <v>210</v>
      </c>
      <c r="U468" s="89" t="s">
        <v>210</v>
      </c>
      <c r="V468" s="89">
        <v>-1</v>
      </c>
      <c r="W468" s="89">
        <v>-3</v>
      </c>
      <c r="X468" s="89" t="s">
        <v>210</v>
      </c>
      <c r="Y468" s="89" t="s">
        <v>210</v>
      </c>
      <c r="Z468" s="89">
        <v>5</v>
      </c>
      <c r="AA468" s="89"/>
      <c r="AB468" s="89"/>
      <c r="AC468" s="89"/>
      <c r="AD468" s="89"/>
      <c r="AE468" s="89"/>
      <c r="AF468" s="89"/>
      <c r="AG468" s="89"/>
      <c r="AH468" s="89"/>
      <c r="AI468" s="89"/>
      <c r="AJ468" s="89"/>
      <c r="AK468" s="89"/>
      <c r="AL468" s="89"/>
      <c r="AM468" s="89"/>
      <c r="AN468" s="89"/>
      <c r="AO468" s="89"/>
      <c r="AP468" s="89"/>
      <c r="AQ468" s="89"/>
      <c r="AR468" s="89"/>
      <c r="AS468" s="89"/>
      <c r="AT468" s="89"/>
      <c r="AU468" s="89"/>
      <c r="AV468" s="89"/>
      <c r="AW468" s="89"/>
      <c r="AX468" s="89"/>
      <c r="AY468" s="89"/>
      <c r="AZ468" s="89"/>
      <c r="BA468" s="95"/>
    </row>
    <row r="469" spans="1:53" s="87" customFormat="1">
      <c r="A469" s="374" t="str">
        <f t="shared" si="55"/>
        <v/>
      </c>
      <c r="B469" s="89">
        <v>4</v>
      </c>
      <c r="C469" s="89">
        <v>-3</v>
      </c>
      <c r="D469" s="89" t="s">
        <v>210</v>
      </c>
      <c r="E469" s="89" t="s">
        <v>210</v>
      </c>
      <c r="F469" s="89">
        <v>6</v>
      </c>
      <c r="G469" s="89">
        <v>-5</v>
      </c>
      <c r="H469" s="89" t="s">
        <v>210</v>
      </c>
      <c r="I469" s="89" t="s">
        <v>210</v>
      </c>
      <c r="J469" s="89">
        <v>1</v>
      </c>
      <c r="K469" s="89">
        <v>3</v>
      </c>
      <c r="L469" s="89" t="s">
        <v>210</v>
      </c>
      <c r="M469" s="89" t="s">
        <v>210</v>
      </c>
      <c r="N469" s="89">
        <v>-2</v>
      </c>
      <c r="O469" s="89">
        <v>4</v>
      </c>
      <c r="P469" s="89" t="s">
        <v>210</v>
      </c>
      <c r="Q469" s="89" t="s">
        <v>210</v>
      </c>
      <c r="R469" s="89">
        <v>-1</v>
      </c>
      <c r="S469" s="89">
        <v>5</v>
      </c>
      <c r="T469" s="89" t="s">
        <v>210</v>
      </c>
      <c r="U469" s="89" t="s">
        <v>210</v>
      </c>
      <c r="V469" s="89">
        <v>-6</v>
      </c>
      <c r="W469" s="89">
        <v>-4</v>
      </c>
      <c r="X469" s="89" t="s">
        <v>210</v>
      </c>
      <c r="Y469" s="89" t="s">
        <v>210</v>
      </c>
      <c r="Z469" s="89">
        <v>2</v>
      </c>
      <c r="AA469" s="89"/>
      <c r="AB469" s="89"/>
      <c r="AC469" s="89"/>
      <c r="AD469" s="89"/>
      <c r="AE469" s="89"/>
      <c r="AF469" s="89"/>
      <c r="AG469" s="89"/>
      <c r="AH469" s="89"/>
      <c r="AI469" s="89"/>
      <c r="AJ469" s="89"/>
      <c r="AK469" s="89"/>
      <c r="AL469" s="89"/>
      <c r="AM469" s="89"/>
      <c r="AN469" s="89"/>
      <c r="AO469" s="89"/>
      <c r="AP469" s="89"/>
      <c r="AQ469" s="89"/>
      <c r="AR469" s="89"/>
      <c r="AS469" s="89"/>
      <c r="AT469" s="89"/>
      <c r="AU469" s="89"/>
      <c r="AV469" s="89"/>
      <c r="AW469" s="89"/>
      <c r="AX469" s="89"/>
      <c r="AY469" s="89"/>
      <c r="AZ469" s="89"/>
      <c r="BA469" s="95"/>
    </row>
    <row r="470" spans="1:53" s="87" customFormat="1">
      <c r="A470" s="374" t="str">
        <f t="shared" si="55"/>
        <v/>
      </c>
      <c r="B470" s="89">
        <v>5</v>
      </c>
      <c r="C470" s="89">
        <v>-2</v>
      </c>
      <c r="D470" s="89" t="s">
        <v>210</v>
      </c>
      <c r="E470" s="89" t="s">
        <v>210</v>
      </c>
      <c r="F470" s="89">
        <v>3</v>
      </c>
      <c r="G470" s="89">
        <v>-1</v>
      </c>
      <c r="H470" s="89" t="s">
        <v>210</v>
      </c>
      <c r="I470" s="89" t="s">
        <v>210</v>
      </c>
      <c r="J470" s="89">
        <v>4</v>
      </c>
      <c r="K470" s="89">
        <v>-5</v>
      </c>
      <c r="L470" s="89" t="s">
        <v>210</v>
      </c>
      <c r="M470" s="89" t="s">
        <v>210</v>
      </c>
      <c r="N470" s="89">
        <v>-6</v>
      </c>
      <c r="O470" s="89">
        <v>5</v>
      </c>
      <c r="P470" s="89" t="s">
        <v>210</v>
      </c>
      <c r="Q470" s="89" t="s">
        <v>210</v>
      </c>
      <c r="R470" s="89">
        <v>-3</v>
      </c>
      <c r="S470" s="89">
        <v>1</v>
      </c>
      <c r="T470" s="89" t="s">
        <v>210</v>
      </c>
      <c r="U470" s="89" t="s">
        <v>210</v>
      </c>
      <c r="V470" s="89">
        <v>-4</v>
      </c>
      <c r="W470" s="89">
        <v>2</v>
      </c>
      <c r="X470" s="89" t="s">
        <v>210</v>
      </c>
      <c r="Y470" s="89" t="s">
        <v>210</v>
      </c>
      <c r="Z470" s="89">
        <v>6</v>
      </c>
      <c r="AA470" s="89"/>
      <c r="AB470" s="89"/>
      <c r="AC470" s="89"/>
      <c r="AD470" s="89"/>
      <c r="AE470" s="89"/>
      <c r="AF470" s="89"/>
      <c r="AG470" s="89"/>
      <c r="AH470" s="89"/>
      <c r="AI470" s="89"/>
      <c r="AJ470" s="89"/>
      <c r="AK470" s="89"/>
      <c r="AL470" s="89"/>
      <c r="AM470" s="89"/>
      <c r="AN470" s="89"/>
      <c r="AO470" s="89"/>
      <c r="AP470" s="89"/>
      <c r="AQ470" s="89"/>
      <c r="AR470" s="89"/>
      <c r="AS470" s="89"/>
      <c r="AT470" s="89"/>
      <c r="AU470" s="89"/>
      <c r="AV470" s="89"/>
      <c r="AW470" s="89"/>
      <c r="AX470" s="89"/>
      <c r="AY470" s="89"/>
      <c r="AZ470" s="89"/>
      <c r="BA470" s="95"/>
    </row>
    <row r="471" spans="1:53" s="87" customFormat="1">
      <c r="A471" s="374" t="str">
        <f t="shared" si="55"/>
        <v/>
      </c>
      <c r="B471" s="89">
        <v>6</v>
      </c>
      <c r="C471" s="89">
        <v>-6</v>
      </c>
      <c r="D471" s="89" t="s">
        <v>210</v>
      </c>
      <c r="E471" s="89" t="s">
        <v>210</v>
      </c>
      <c r="F471" s="89">
        <v>2</v>
      </c>
      <c r="G471" s="89">
        <v>-3</v>
      </c>
      <c r="H471" s="89" t="s">
        <v>210</v>
      </c>
      <c r="I471" s="89" t="s">
        <v>210</v>
      </c>
      <c r="J471" s="89">
        <v>5</v>
      </c>
      <c r="K471" s="89">
        <v>-1</v>
      </c>
      <c r="L471" s="89" t="s">
        <v>210</v>
      </c>
      <c r="M471" s="89" t="s">
        <v>210</v>
      </c>
      <c r="N471" s="89">
        <v>-4</v>
      </c>
      <c r="O471" s="89">
        <v>6</v>
      </c>
      <c r="P471" s="89" t="s">
        <v>210</v>
      </c>
      <c r="Q471" s="89" t="s">
        <v>210</v>
      </c>
      <c r="R471" s="89">
        <v>-5</v>
      </c>
      <c r="S471" s="89">
        <v>3</v>
      </c>
      <c r="T471" s="89" t="s">
        <v>210</v>
      </c>
      <c r="U471" s="89" t="s">
        <v>210</v>
      </c>
      <c r="V471" s="89">
        <v>-2</v>
      </c>
      <c r="W471" s="89">
        <v>1</v>
      </c>
      <c r="X471" s="89" t="s">
        <v>210</v>
      </c>
      <c r="Y471" s="89" t="s">
        <v>210</v>
      </c>
      <c r="Z471" s="89">
        <v>4</v>
      </c>
      <c r="AA471" s="89"/>
      <c r="AB471" s="89"/>
      <c r="AC471" s="89"/>
      <c r="AD471" s="89"/>
      <c r="AE471" s="89"/>
      <c r="AF471" s="89"/>
      <c r="AG471" s="89"/>
      <c r="AH471" s="89"/>
      <c r="AI471" s="89"/>
      <c r="AJ471" s="89"/>
      <c r="AK471" s="89"/>
      <c r="AL471" s="89"/>
      <c r="AM471" s="89"/>
      <c r="AN471" s="89"/>
      <c r="AO471" s="89"/>
      <c r="AP471" s="89"/>
      <c r="AQ471" s="89"/>
      <c r="AR471" s="89"/>
      <c r="AS471" s="89"/>
      <c r="AT471" s="89"/>
      <c r="AU471" s="89"/>
      <c r="AV471" s="89"/>
      <c r="AW471" s="89"/>
      <c r="AX471" s="89"/>
      <c r="AY471" s="89"/>
      <c r="AZ471" s="89"/>
      <c r="BA471" s="95"/>
    </row>
    <row r="472" spans="1:53" s="87" customFormat="1">
      <c r="A472" s="374" t="str">
        <f t="shared" si="55"/>
        <v/>
      </c>
      <c r="B472" s="89">
        <v>7</v>
      </c>
      <c r="C472" s="89" t="s">
        <v>210</v>
      </c>
      <c r="D472" s="89">
        <v>-3</v>
      </c>
      <c r="E472" s="89">
        <v>6</v>
      </c>
      <c r="F472" s="89" t="s">
        <v>210</v>
      </c>
      <c r="G472" s="89" t="s">
        <v>210</v>
      </c>
      <c r="H472" s="89">
        <v>-2</v>
      </c>
      <c r="I472" s="89">
        <v>1</v>
      </c>
      <c r="J472" s="89" t="s">
        <v>210</v>
      </c>
      <c r="K472" s="89" t="s">
        <v>210</v>
      </c>
      <c r="L472" s="89">
        <v>3</v>
      </c>
      <c r="M472" s="89">
        <v>-5</v>
      </c>
      <c r="N472" s="89" t="s">
        <v>210</v>
      </c>
      <c r="O472" s="89" t="s">
        <v>210</v>
      </c>
      <c r="P472" s="89">
        <v>4</v>
      </c>
      <c r="Q472" s="89">
        <v>-1</v>
      </c>
      <c r="R472" s="89" t="s">
        <v>210</v>
      </c>
      <c r="S472" s="89" t="s">
        <v>210</v>
      </c>
      <c r="T472" s="89">
        <v>2</v>
      </c>
      <c r="U472" s="89">
        <v>-6</v>
      </c>
      <c r="V472" s="89" t="s">
        <v>210</v>
      </c>
      <c r="W472" s="89" t="s">
        <v>210</v>
      </c>
      <c r="X472" s="89">
        <v>-4</v>
      </c>
      <c r="Y472" s="89">
        <v>5</v>
      </c>
      <c r="Z472" s="89" t="s">
        <v>210</v>
      </c>
      <c r="AA472" s="89"/>
      <c r="AB472" s="89"/>
      <c r="AC472" s="89"/>
      <c r="AD472" s="89"/>
      <c r="AE472" s="89"/>
      <c r="AF472" s="89"/>
      <c r="AG472" s="89"/>
      <c r="AH472" s="89"/>
      <c r="AI472" s="89"/>
      <c r="AJ472" s="89"/>
      <c r="AK472" s="89"/>
      <c r="AL472" s="89"/>
      <c r="AM472" s="89"/>
      <c r="AN472" s="89"/>
      <c r="AO472" s="89"/>
      <c r="AP472" s="89"/>
      <c r="AQ472" s="89"/>
      <c r="AR472" s="89"/>
      <c r="AS472" s="89"/>
      <c r="AT472" s="89"/>
      <c r="AU472" s="89"/>
      <c r="AV472" s="89"/>
      <c r="AW472" s="89"/>
      <c r="AX472" s="89"/>
      <c r="AY472" s="89"/>
      <c r="AZ472" s="89"/>
      <c r="BA472" s="95"/>
    </row>
    <row r="473" spans="1:53" s="87" customFormat="1">
      <c r="A473" s="374" t="str">
        <f t="shared" si="55"/>
        <v/>
      </c>
      <c r="B473" s="89">
        <v>8</v>
      </c>
      <c r="C473" s="89" t="s">
        <v>210</v>
      </c>
      <c r="D473" s="89">
        <v>-6</v>
      </c>
      <c r="E473" s="89">
        <v>5</v>
      </c>
      <c r="F473" s="89" t="s">
        <v>210</v>
      </c>
      <c r="G473" s="89" t="s">
        <v>210</v>
      </c>
      <c r="H473" s="89">
        <v>-3</v>
      </c>
      <c r="I473" s="89">
        <v>2</v>
      </c>
      <c r="J473" s="89" t="s">
        <v>210</v>
      </c>
      <c r="K473" s="89" t="s">
        <v>210</v>
      </c>
      <c r="L473" s="89">
        <v>-1</v>
      </c>
      <c r="M473" s="89">
        <v>-4</v>
      </c>
      <c r="N473" s="89" t="s">
        <v>210</v>
      </c>
      <c r="O473" s="89" t="s">
        <v>210</v>
      </c>
      <c r="P473" s="89">
        <v>6</v>
      </c>
      <c r="Q473" s="89">
        <v>-2</v>
      </c>
      <c r="R473" s="89" t="s">
        <v>210</v>
      </c>
      <c r="S473" s="89" t="s">
        <v>210</v>
      </c>
      <c r="T473" s="89">
        <v>3</v>
      </c>
      <c r="U473" s="89">
        <v>-5</v>
      </c>
      <c r="V473" s="89" t="s">
        <v>210</v>
      </c>
      <c r="W473" s="89" t="s">
        <v>210</v>
      </c>
      <c r="X473" s="89">
        <v>1</v>
      </c>
      <c r="Y473" s="89">
        <v>4</v>
      </c>
      <c r="Z473" s="89" t="s">
        <v>210</v>
      </c>
      <c r="AA473" s="89"/>
      <c r="AB473" s="89"/>
      <c r="AC473" s="89"/>
      <c r="AD473" s="89"/>
      <c r="AE473" s="89"/>
      <c r="AF473" s="89"/>
      <c r="AG473" s="89"/>
      <c r="AH473" s="89"/>
      <c r="AI473" s="89"/>
      <c r="AJ473" s="89"/>
      <c r="AK473" s="89"/>
      <c r="AL473" s="89"/>
      <c r="AM473" s="89"/>
      <c r="AN473" s="89"/>
      <c r="AO473" s="89"/>
      <c r="AP473" s="89"/>
      <c r="AQ473" s="89"/>
      <c r="AR473" s="89"/>
      <c r="AS473" s="89"/>
      <c r="AT473" s="89"/>
      <c r="AU473" s="89"/>
      <c r="AV473" s="89"/>
      <c r="AW473" s="89"/>
      <c r="AX473" s="89"/>
      <c r="AY473" s="89"/>
      <c r="AZ473" s="89"/>
      <c r="BA473" s="95"/>
    </row>
    <row r="474" spans="1:53" s="87" customFormat="1">
      <c r="A474" s="374" t="str">
        <f t="shared" si="55"/>
        <v/>
      </c>
      <c r="B474" s="89">
        <v>9</v>
      </c>
      <c r="C474" s="89" t="s">
        <v>210</v>
      </c>
      <c r="D474" s="89">
        <v>-1</v>
      </c>
      <c r="E474" s="89">
        <v>2</v>
      </c>
      <c r="F474" s="89" t="s">
        <v>210</v>
      </c>
      <c r="G474" s="89" t="s">
        <v>210</v>
      </c>
      <c r="H474" s="89">
        <v>-4</v>
      </c>
      <c r="I474" s="89">
        <v>5</v>
      </c>
      <c r="J474" s="89" t="s">
        <v>210</v>
      </c>
      <c r="K474" s="89" t="s">
        <v>210</v>
      </c>
      <c r="L474" s="89">
        <v>-6</v>
      </c>
      <c r="M474" s="89">
        <v>-3</v>
      </c>
      <c r="N474" s="89" t="s">
        <v>210</v>
      </c>
      <c r="O474" s="89" t="s">
        <v>210</v>
      </c>
      <c r="P474" s="89">
        <v>1</v>
      </c>
      <c r="Q474" s="89">
        <v>-5</v>
      </c>
      <c r="R474" s="89" t="s">
        <v>210</v>
      </c>
      <c r="S474" s="89" t="s">
        <v>210</v>
      </c>
      <c r="T474" s="89">
        <v>4</v>
      </c>
      <c r="U474" s="89">
        <v>-2</v>
      </c>
      <c r="V474" s="89" t="s">
        <v>210</v>
      </c>
      <c r="W474" s="89" t="s">
        <v>210</v>
      </c>
      <c r="X474" s="89">
        <v>6</v>
      </c>
      <c r="Y474" s="89">
        <v>3</v>
      </c>
      <c r="Z474" s="89" t="s">
        <v>210</v>
      </c>
      <c r="AA474" s="89"/>
      <c r="AB474" s="89"/>
      <c r="AC474" s="89"/>
      <c r="AD474" s="89"/>
      <c r="AE474" s="89"/>
      <c r="AF474" s="89"/>
      <c r="AG474" s="89"/>
      <c r="AH474" s="89"/>
      <c r="AI474" s="89"/>
      <c r="AJ474" s="89"/>
      <c r="AK474" s="89"/>
      <c r="AL474" s="89"/>
      <c r="AM474" s="89"/>
      <c r="AN474" s="89"/>
      <c r="AO474" s="89"/>
      <c r="AP474" s="89"/>
      <c r="AQ474" s="89"/>
      <c r="AR474" s="89"/>
      <c r="AS474" s="89"/>
      <c r="AT474" s="89"/>
      <c r="AU474" s="89"/>
      <c r="AV474" s="89"/>
      <c r="AW474" s="89"/>
      <c r="AX474" s="89"/>
      <c r="AY474" s="89"/>
      <c r="AZ474" s="89"/>
      <c r="BA474" s="95"/>
    </row>
    <row r="475" spans="1:53" s="87" customFormat="1">
      <c r="A475" s="374" t="str">
        <f t="shared" si="55"/>
        <v/>
      </c>
      <c r="B475" s="89">
        <v>10</v>
      </c>
      <c r="C475" s="89" t="s">
        <v>210</v>
      </c>
      <c r="D475" s="89">
        <v>-5</v>
      </c>
      <c r="E475" s="89">
        <v>3</v>
      </c>
      <c r="F475" s="89" t="s">
        <v>210</v>
      </c>
      <c r="G475" s="89" t="s">
        <v>210</v>
      </c>
      <c r="H475" s="89">
        <v>-1</v>
      </c>
      <c r="I475" s="89">
        <v>4</v>
      </c>
      <c r="J475" s="89" t="s">
        <v>210</v>
      </c>
      <c r="K475" s="89" t="s">
        <v>210</v>
      </c>
      <c r="L475" s="89">
        <v>-2</v>
      </c>
      <c r="M475" s="89">
        <v>-6</v>
      </c>
      <c r="N475" s="89" t="s">
        <v>210</v>
      </c>
      <c r="O475" s="89" t="s">
        <v>210</v>
      </c>
      <c r="P475" s="89">
        <v>2</v>
      </c>
      <c r="Q475" s="89">
        <v>-3</v>
      </c>
      <c r="R475" s="89" t="s">
        <v>210</v>
      </c>
      <c r="S475" s="89" t="s">
        <v>210</v>
      </c>
      <c r="T475" s="89">
        <v>1</v>
      </c>
      <c r="U475" s="89">
        <v>-4</v>
      </c>
      <c r="V475" s="89" t="s">
        <v>210</v>
      </c>
      <c r="W475" s="89" t="s">
        <v>210</v>
      </c>
      <c r="X475" s="89">
        <v>5</v>
      </c>
      <c r="Y475" s="89">
        <v>6</v>
      </c>
      <c r="Z475" s="89" t="s">
        <v>210</v>
      </c>
      <c r="AA475" s="89"/>
      <c r="AB475" s="89"/>
      <c r="AC475" s="89"/>
      <c r="AD475" s="89"/>
      <c r="AE475" s="89"/>
      <c r="AF475" s="89"/>
      <c r="AG475" s="89"/>
      <c r="AH475" s="89"/>
      <c r="AI475" s="89"/>
      <c r="AJ475" s="89"/>
      <c r="AK475" s="89"/>
      <c r="AL475" s="89"/>
      <c r="AM475" s="89"/>
      <c r="AN475" s="89"/>
      <c r="AO475" s="89"/>
      <c r="AP475" s="89"/>
      <c r="AQ475" s="89"/>
      <c r="AR475" s="89"/>
      <c r="AS475" s="89"/>
      <c r="AT475" s="89"/>
      <c r="AU475" s="89"/>
      <c r="AV475" s="89"/>
      <c r="AW475" s="89"/>
      <c r="AX475" s="89"/>
      <c r="AY475" s="89"/>
      <c r="AZ475" s="89"/>
      <c r="BA475" s="95"/>
    </row>
    <row r="476" spans="1:53" s="87" customFormat="1">
      <c r="A476" s="374" t="str">
        <f t="shared" si="55"/>
        <v/>
      </c>
      <c r="B476" s="89">
        <v>11</v>
      </c>
      <c r="C476" s="89" t="s">
        <v>210</v>
      </c>
      <c r="D476" s="89">
        <v>-4</v>
      </c>
      <c r="E476" s="89">
        <v>1</v>
      </c>
      <c r="F476" s="89" t="s">
        <v>210</v>
      </c>
      <c r="G476" s="89" t="s">
        <v>210</v>
      </c>
      <c r="H476" s="89">
        <v>-5</v>
      </c>
      <c r="I476" s="89">
        <v>6</v>
      </c>
      <c r="J476" s="89" t="s">
        <v>210</v>
      </c>
      <c r="K476" s="89" t="s">
        <v>210</v>
      </c>
      <c r="L476" s="89">
        <v>4</v>
      </c>
      <c r="M476" s="89">
        <v>-2</v>
      </c>
      <c r="N476" s="89" t="s">
        <v>210</v>
      </c>
      <c r="O476" s="89" t="s">
        <v>210</v>
      </c>
      <c r="P476" s="89">
        <v>3</v>
      </c>
      <c r="Q476" s="89">
        <v>-6</v>
      </c>
      <c r="R476" s="89" t="s">
        <v>210</v>
      </c>
      <c r="S476" s="89" t="s">
        <v>210</v>
      </c>
      <c r="T476" s="89">
        <v>5</v>
      </c>
      <c r="U476" s="89">
        <v>-1</v>
      </c>
      <c r="V476" s="89" t="s">
        <v>210</v>
      </c>
      <c r="W476" s="89" t="s">
        <v>210</v>
      </c>
      <c r="X476" s="89">
        <v>-3</v>
      </c>
      <c r="Y476" s="89">
        <v>2</v>
      </c>
      <c r="Z476" s="89" t="s">
        <v>210</v>
      </c>
      <c r="AA476" s="89"/>
      <c r="AB476" s="89"/>
      <c r="AC476" s="89"/>
      <c r="AD476" s="89"/>
      <c r="AE476" s="89"/>
      <c r="AF476" s="89"/>
      <c r="AG476" s="89"/>
      <c r="AH476" s="89"/>
      <c r="AI476" s="89"/>
      <c r="AJ476" s="89"/>
      <c r="AK476" s="89"/>
      <c r="AL476" s="89"/>
      <c r="AM476" s="89"/>
      <c r="AN476" s="89"/>
      <c r="AO476" s="89"/>
      <c r="AP476" s="89"/>
      <c r="AQ476" s="89"/>
      <c r="AR476" s="89"/>
      <c r="AS476" s="89"/>
      <c r="AT476" s="89"/>
      <c r="AU476" s="89"/>
      <c r="AV476" s="89"/>
      <c r="AW476" s="89"/>
      <c r="AX476" s="89"/>
      <c r="AY476" s="89"/>
      <c r="AZ476" s="89"/>
      <c r="BA476" s="95"/>
    </row>
    <row r="477" spans="1:53" s="87" customFormat="1">
      <c r="A477" s="374" t="str">
        <f t="shared" si="55"/>
        <v/>
      </c>
      <c r="B477" s="89">
        <v>12</v>
      </c>
      <c r="C477" s="89" t="s">
        <v>210</v>
      </c>
      <c r="D477" s="89">
        <v>-2</v>
      </c>
      <c r="E477" s="89">
        <v>4</v>
      </c>
      <c r="F477" s="89" t="s">
        <v>210</v>
      </c>
      <c r="G477" s="89" t="s">
        <v>210</v>
      </c>
      <c r="H477" s="89">
        <v>-6</v>
      </c>
      <c r="I477" s="89">
        <v>3</v>
      </c>
      <c r="J477" s="89" t="s">
        <v>210</v>
      </c>
      <c r="K477" s="89" t="s">
        <v>210</v>
      </c>
      <c r="L477" s="89">
        <v>-5</v>
      </c>
      <c r="M477" s="89">
        <v>-1</v>
      </c>
      <c r="N477" s="89" t="s">
        <v>210</v>
      </c>
      <c r="O477" s="89" t="s">
        <v>210</v>
      </c>
      <c r="P477" s="89">
        <v>5</v>
      </c>
      <c r="Q477" s="89">
        <v>-4</v>
      </c>
      <c r="R477" s="89" t="s">
        <v>210</v>
      </c>
      <c r="S477" s="89" t="s">
        <v>210</v>
      </c>
      <c r="T477" s="89">
        <v>6</v>
      </c>
      <c r="U477" s="89">
        <v>-3</v>
      </c>
      <c r="V477" s="89" t="s">
        <v>210</v>
      </c>
      <c r="W477" s="89" t="s">
        <v>210</v>
      </c>
      <c r="X477" s="89">
        <v>2</v>
      </c>
      <c r="Y477" s="89">
        <v>1</v>
      </c>
      <c r="Z477" s="89" t="s">
        <v>210</v>
      </c>
      <c r="AA477" s="89"/>
      <c r="AB477" s="89"/>
      <c r="AC477" s="89"/>
      <c r="AD477" s="89"/>
      <c r="AE477" s="89"/>
      <c r="AF477" s="89"/>
      <c r="AG477" s="89"/>
      <c r="AH477" s="89"/>
      <c r="AI477" s="89"/>
      <c r="AJ477" s="89"/>
      <c r="AK477" s="89"/>
      <c r="AL477" s="89"/>
      <c r="AM477" s="89"/>
      <c r="AN477" s="89"/>
      <c r="AO477" s="89"/>
      <c r="AP477" s="89"/>
      <c r="AQ477" s="89"/>
      <c r="AR477" s="89"/>
      <c r="AS477" s="89"/>
      <c r="AT477" s="89"/>
      <c r="AU477" s="89"/>
      <c r="AV477" s="89"/>
      <c r="AW477" s="89"/>
      <c r="AX477" s="89"/>
      <c r="AY477" s="89"/>
      <c r="AZ477" s="89"/>
      <c r="BA477" s="95"/>
    </row>
    <row r="478" spans="1:53" s="87" customFormat="1">
      <c r="A478" s="374" t="str">
        <f t="shared" si="55"/>
        <v/>
      </c>
      <c r="B478" s="89">
        <v>13</v>
      </c>
      <c r="C478" s="89" t="s">
        <v>210</v>
      </c>
      <c r="D478" s="89">
        <v>6</v>
      </c>
      <c r="E478" s="89">
        <v>-4</v>
      </c>
      <c r="F478" s="89" t="s">
        <v>210</v>
      </c>
      <c r="G478" s="89" t="s">
        <v>210</v>
      </c>
      <c r="H478" s="89">
        <v>1</v>
      </c>
      <c r="I478" s="89">
        <v>-5</v>
      </c>
      <c r="J478" s="89" t="s">
        <v>210</v>
      </c>
      <c r="K478" s="89" t="s">
        <v>210</v>
      </c>
      <c r="L478" s="89">
        <v>-3</v>
      </c>
      <c r="M478" s="89">
        <v>2</v>
      </c>
      <c r="N478" s="89" t="s">
        <v>210</v>
      </c>
      <c r="O478" s="89">
        <v>-6</v>
      </c>
      <c r="P478" s="89" t="s">
        <v>210</v>
      </c>
      <c r="Q478" s="89" t="s">
        <v>210</v>
      </c>
      <c r="R478" s="89">
        <v>4</v>
      </c>
      <c r="S478" s="89">
        <v>-1</v>
      </c>
      <c r="T478" s="89" t="s">
        <v>210</v>
      </c>
      <c r="U478" s="89" t="s">
        <v>210</v>
      </c>
      <c r="V478" s="89">
        <v>5</v>
      </c>
      <c r="W478" s="89">
        <v>3</v>
      </c>
      <c r="X478" s="89" t="s">
        <v>210</v>
      </c>
      <c r="Y478" s="89" t="s">
        <v>210</v>
      </c>
      <c r="Z478" s="89">
        <v>-2</v>
      </c>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95"/>
    </row>
    <row r="479" spans="1:53" s="87" customFormat="1">
      <c r="A479" s="374" t="str">
        <f t="shared" si="55"/>
        <v/>
      </c>
      <c r="B479" s="89">
        <v>14</v>
      </c>
      <c r="C479" s="89" t="s">
        <v>210</v>
      </c>
      <c r="D479" s="89">
        <v>3</v>
      </c>
      <c r="E479" s="89">
        <v>-5</v>
      </c>
      <c r="F479" s="89" t="s">
        <v>210</v>
      </c>
      <c r="G479" s="89" t="s">
        <v>210</v>
      </c>
      <c r="H479" s="89">
        <v>4</v>
      </c>
      <c r="I479" s="89">
        <v>-6</v>
      </c>
      <c r="J479" s="89" t="s">
        <v>210</v>
      </c>
      <c r="K479" s="89" t="s">
        <v>210</v>
      </c>
      <c r="L479" s="89">
        <v>2</v>
      </c>
      <c r="M479" s="89">
        <v>1</v>
      </c>
      <c r="N479" s="89" t="s">
        <v>210</v>
      </c>
      <c r="O479" s="89">
        <v>-3</v>
      </c>
      <c r="P479" s="89" t="s">
        <v>210</v>
      </c>
      <c r="Q479" s="89" t="s">
        <v>210</v>
      </c>
      <c r="R479" s="89">
        <v>5</v>
      </c>
      <c r="S479" s="89">
        <v>-4</v>
      </c>
      <c r="T479" s="89" t="s">
        <v>210</v>
      </c>
      <c r="U479" s="89" t="s">
        <v>210</v>
      </c>
      <c r="V479" s="89">
        <v>6</v>
      </c>
      <c r="W479" s="89">
        <v>-2</v>
      </c>
      <c r="X479" s="89" t="s">
        <v>210</v>
      </c>
      <c r="Y479" s="89" t="s">
        <v>210</v>
      </c>
      <c r="Z479" s="89">
        <v>-1</v>
      </c>
      <c r="AA479" s="89"/>
      <c r="AB479" s="89"/>
      <c r="AC479" s="89"/>
      <c r="AD479" s="89"/>
      <c r="AE479" s="89"/>
      <c r="AF479" s="89"/>
      <c r="AG479" s="89"/>
      <c r="AH479" s="89"/>
      <c r="AI479" s="89"/>
      <c r="AJ479" s="89"/>
      <c r="AK479" s="89"/>
      <c r="AL479" s="89"/>
      <c r="AM479" s="89"/>
      <c r="AN479" s="89"/>
      <c r="AO479" s="89"/>
      <c r="AP479" s="89"/>
      <c r="AQ479" s="89"/>
      <c r="AR479" s="89"/>
      <c r="AS479" s="89"/>
      <c r="AT479" s="89"/>
      <c r="AU479" s="89"/>
      <c r="AV479" s="89"/>
      <c r="AW479" s="89"/>
      <c r="AX479" s="89"/>
      <c r="AY479" s="89"/>
      <c r="AZ479" s="89"/>
      <c r="BA479" s="95"/>
    </row>
    <row r="480" spans="1:53" s="87" customFormat="1">
      <c r="A480" s="374" t="str">
        <f t="shared" si="55"/>
        <v/>
      </c>
      <c r="B480" s="89">
        <v>15</v>
      </c>
      <c r="C480" s="89" t="s">
        <v>210</v>
      </c>
      <c r="D480" s="89">
        <v>2</v>
      </c>
      <c r="E480" s="89">
        <v>-6</v>
      </c>
      <c r="F480" s="89" t="s">
        <v>210</v>
      </c>
      <c r="G480" s="89" t="s">
        <v>210</v>
      </c>
      <c r="H480" s="89">
        <v>5</v>
      </c>
      <c r="I480" s="89">
        <v>-4</v>
      </c>
      <c r="J480" s="89" t="s">
        <v>210</v>
      </c>
      <c r="K480" s="89" t="s">
        <v>210</v>
      </c>
      <c r="L480" s="89">
        <v>1</v>
      </c>
      <c r="M480" s="89">
        <v>3</v>
      </c>
      <c r="N480" s="89" t="s">
        <v>210</v>
      </c>
      <c r="O480" s="89">
        <v>-2</v>
      </c>
      <c r="P480" s="89" t="s">
        <v>210</v>
      </c>
      <c r="Q480" s="89" t="s">
        <v>210</v>
      </c>
      <c r="R480" s="89">
        <v>6</v>
      </c>
      <c r="S480" s="89">
        <v>-5</v>
      </c>
      <c r="T480" s="89" t="s">
        <v>210</v>
      </c>
      <c r="U480" s="89" t="s">
        <v>210</v>
      </c>
      <c r="V480" s="89">
        <v>4</v>
      </c>
      <c r="W480" s="89">
        <v>-1</v>
      </c>
      <c r="X480" s="89" t="s">
        <v>210</v>
      </c>
      <c r="Y480" s="89" t="s">
        <v>210</v>
      </c>
      <c r="Z480" s="89">
        <v>-3</v>
      </c>
      <c r="AA480" s="89"/>
      <c r="AB480" s="89"/>
      <c r="AC480" s="89"/>
      <c r="AD480" s="89"/>
      <c r="AE480" s="89"/>
      <c r="AF480" s="89"/>
      <c r="AG480" s="89"/>
      <c r="AH480" s="89"/>
      <c r="AI480" s="89"/>
      <c r="AJ480" s="89"/>
      <c r="AK480" s="89"/>
      <c r="AL480" s="89"/>
      <c r="AM480" s="89"/>
      <c r="AN480" s="89"/>
      <c r="AO480" s="89"/>
      <c r="AP480" s="89"/>
      <c r="AQ480" s="89"/>
      <c r="AR480" s="89"/>
      <c r="AS480" s="89"/>
      <c r="AT480" s="89"/>
      <c r="AU480" s="89"/>
      <c r="AV480" s="89"/>
      <c r="AW480" s="89"/>
      <c r="AX480" s="89"/>
      <c r="AY480" s="89"/>
      <c r="AZ480" s="89"/>
      <c r="BA480" s="95"/>
    </row>
    <row r="481" spans="1:53" s="87" customFormat="1">
      <c r="A481" s="374" t="str">
        <f t="shared" si="55"/>
        <v/>
      </c>
      <c r="B481" s="89">
        <v>16</v>
      </c>
      <c r="C481" s="89" t="s">
        <v>210</v>
      </c>
      <c r="D481" s="89">
        <v>5</v>
      </c>
      <c r="E481" s="89">
        <v>-1</v>
      </c>
      <c r="F481" s="89" t="s">
        <v>210</v>
      </c>
      <c r="G481" s="89" t="s">
        <v>210</v>
      </c>
      <c r="H481" s="89">
        <v>2</v>
      </c>
      <c r="I481" s="89">
        <v>-3</v>
      </c>
      <c r="J481" s="89" t="s">
        <v>210</v>
      </c>
      <c r="K481" s="89" t="s">
        <v>210</v>
      </c>
      <c r="L481" s="89">
        <v>6</v>
      </c>
      <c r="M481" s="89">
        <v>4</v>
      </c>
      <c r="N481" s="89" t="s">
        <v>210</v>
      </c>
      <c r="O481" s="89">
        <v>-5</v>
      </c>
      <c r="P481" s="89" t="s">
        <v>210</v>
      </c>
      <c r="Q481" s="89" t="s">
        <v>210</v>
      </c>
      <c r="R481" s="89">
        <v>1</v>
      </c>
      <c r="S481" s="89">
        <v>-2</v>
      </c>
      <c r="T481" s="89" t="s">
        <v>210</v>
      </c>
      <c r="U481" s="89" t="s">
        <v>210</v>
      </c>
      <c r="V481" s="89">
        <v>3</v>
      </c>
      <c r="W481" s="89">
        <v>-6</v>
      </c>
      <c r="X481" s="89" t="s">
        <v>210</v>
      </c>
      <c r="Y481" s="89" t="s">
        <v>210</v>
      </c>
      <c r="Z481" s="89">
        <v>-4</v>
      </c>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95"/>
    </row>
    <row r="482" spans="1:53" s="87" customFormat="1">
      <c r="A482" s="374" t="str">
        <f t="shared" si="55"/>
        <v/>
      </c>
      <c r="B482" s="89">
        <v>17</v>
      </c>
      <c r="C482" s="89" t="s">
        <v>210</v>
      </c>
      <c r="D482" s="89">
        <v>4</v>
      </c>
      <c r="E482" s="89">
        <v>-2</v>
      </c>
      <c r="F482" s="89" t="s">
        <v>210</v>
      </c>
      <c r="G482" s="89" t="s">
        <v>210</v>
      </c>
      <c r="H482" s="89">
        <v>3</v>
      </c>
      <c r="I482" s="89">
        <v>-1</v>
      </c>
      <c r="J482" s="89" t="s">
        <v>210</v>
      </c>
      <c r="K482" s="89" t="s">
        <v>210</v>
      </c>
      <c r="L482" s="89">
        <v>5</v>
      </c>
      <c r="M482" s="89">
        <v>6</v>
      </c>
      <c r="N482" s="89" t="s">
        <v>210</v>
      </c>
      <c r="O482" s="89">
        <v>-4</v>
      </c>
      <c r="P482" s="89" t="s">
        <v>210</v>
      </c>
      <c r="Q482" s="89" t="s">
        <v>210</v>
      </c>
      <c r="R482" s="89">
        <v>2</v>
      </c>
      <c r="S482" s="89">
        <v>-3</v>
      </c>
      <c r="T482" s="89" t="s">
        <v>210</v>
      </c>
      <c r="U482" s="89" t="s">
        <v>210</v>
      </c>
      <c r="V482" s="89">
        <v>1</v>
      </c>
      <c r="W482" s="89">
        <v>-5</v>
      </c>
      <c r="X482" s="89" t="s">
        <v>210</v>
      </c>
      <c r="Y482" s="89" t="s">
        <v>210</v>
      </c>
      <c r="Z482" s="89">
        <v>-6</v>
      </c>
      <c r="AA482" s="89"/>
      <c r="AB482" s="89"/>
      <c r="AC482" s="89"/>
      <c r="AD482" s="89"/>
      <c r="AE482" s="89"/>
      <c r="AF482" s="89"/>
      <c r="AG482" s="89"/>
      <c r="AH482" s="89"/>
      <c r="AI482" s="89"/>
      <c r="AJ482" s="89"/>
      <c r="AK482" s="89"/>
      <c r="AL482" s="89"/>
      <c r="AM482" s="89"/>
      <c r="AN482" s="89"/>
      <c r="AO482" s="89"/>
      <c r="AP482" s="89"/>
      <c r="AQ482" s="89"/>
      <c r="AR482" s="89"/>
      <c r="AS482" s="89"/>
      <c r="AT482" s="89"/>
      <c r="AU482" s="89"/>
      <c r="AV482" s="89"/>
      <c r="AW482" s="89"/>
      <c r="AX482" s="89"/>
      <c r="AY482" s="89"/>
      <c r="AZ482" s="89"/>
      <c r="BA482" s="95"/>
    </row>
    <row r="483" spans="1:53" s="87" customFormat="1">
      <c r="A483" s="374" t="str">
        <f t="shared" si="55"/>
        <v/>
      </c>
      <c r="B483" s="89">
        <v>18</v>
      </c>
      <c r="C483" s="89" t="s">
        <v>210</v>
      </c>
      <c r="D483" s="89">
        <v>1</v>
      </c>
      <c r="E483" s="89">
        <v>-3</v>
      </c>
      <c r="F483" s="89" t="s">
        <v>210</v>
      </c>
      <c r="G483" s="89" t="s">
        <v>210</v>
      </c>
      <c r="H483" s="89">
        <v>6</v>
      </c>
      <c r="I483" s="89">
        <v>-2</v>
      </c>
      <c r="J483" s="89" t="s">
        <v>210</v>
      </c>
      <c r="K483" s="89" t="s">
        <v>210</v>
      </c>
      <c r="L483" s="89">
        <v>-4</v>
      </c>
      <c r="M483" s="89">
        <v>5</v>
      </c>
      <c r="N483" s="89" t="s">
        <v>210</v>
      </c>
      <c r="O483" s="89">
        <v>-1</v>
      </c>
      <c r="P483" s="89" t="s">
        <v>210</v>
      </c>
      <c r="Q483" s="89" t="s">
        <v>210</v>
      </c>
      <c r="R483" s="89">
        <v>3</v>
      </c>
      <c r="S483" s="89">
        <v>-6</v>
      </c>
      <c r="T483" s="89" t="s">
        <v>210</v>
      </c>
      <c r="U483" s="89" t="s">
        <v>210</v>
      </c>
      <c r="V483" s="89">
        <v>2</v>
      </c>
      <c r="W483" s="89">
        <v>4</v>
      </c>
      <c r="X483" s="89" t="s">
        <v>210</v>
      </c>
      <c r="Y483" s="89" t="s">
        <v>210</v>
      </c>
      <c r="Z483" s="89">
        <v>-5</v>
      </c>
      <c r="AA483" s="89"/>
      <c r="AB483" s="89"/>
      <c r="AC483" s="89"/>
      <c r="AD483" s="89"/>
      <c r="AE483" s="89"/>
      <c r="AF483" s="89"/>
      <c r="AG483" s="89"/>
      <c r="AH483" s="89"/>
      <c r="AI483" s="89"/>
      <c r="AJ483" s="89"/>
      <c r="AK483" s="89"/>
      <c r="AL483" s="89"/>
      <c r="AM483" s="89"/>
      <c r="AN483" s="89"/>
      <c r="AO483" s="89"/>
      <c r="AP483" s="89"/>
      <c r="AQ483" s="89"/>
      <c r="AR483" s="89"/>
      <c r="AS483" s="89"/>
      <c r="AT483" s="89"/>
      <c r="AU483" s="89"/>
      <c r="AV483" s="89"/>
      <c r="AW483" s="89"/>
      <c r="AX483" s="89"/>
      <c r="AY483" s="89"/>
      <c r="AZ483" s="89"/>
      <c r="BA483" s="95"/>
    </row>
    <row r="484" spans="1:53" s="87" customFormat="1">
      <c r="A484" s="374" t="str">
        <f t="shared" si="55"/>
        <v/>
      </c>
      <c r="B484" s="89">
        <v>19</v>
      </c>
      <c r="C484" s="89">
        <v>5</v>
      </c>
      <c r="D484" s="89" t="s">
        <v>210</v>
      </c>
      <c r="E484" s="89" t="s">
        <v>210</v>
      </c>
      <c r="F484" s="89">
        <v>-6</v>
      </c>
      <c r="G484" s="89">
        <v>2</v>
      </c>
      <c r="H484" s="89" t="s">
        <v>210</v>
      </c>
      <c r="I484" s="89" t="s">
        <v>210</v>
      </c>
      <c r="J484" s="89">
        <v>-4</v>
      </c>
      <c r="K484" s="89">
        <v>1</v>
      </c>
      <c r="L484" s="89" t="s">
        <v>210</v>
      </c>
      <c r="M484" s="89" t="s">
        <v>210</v>
      </c>
      <c r="N484" s="89">
        <v>3</v>
      </c>
      <c r="O484" s="89" t="s">
        <v>210</v>
      </c>
      <c r="P484" s="89">
        <v>-5</v>
      </c>
      <c r="Q484" s="89">
        <v>6</v>
      </c>
      <c r="R484" s="89" t="s">
        <v>210</v>
      </c>
      <c r="S484" s="89" t="s">
        <v>210</v>
      </c>
      <c r="T484" s="89">
        <v>-2</v>
      </c>
      <c r="U484" s="89">
        <v>4</v>
      </c>
      <c r="V484" s="89" t="s">
        <v>210</v>
      </c>
      <c r="W484" s="89" t="s">
        <v>210</v>
      </c>
      <c r="X484" s="89">
        <v>-1</v>
      </c>
      <c r="Y484" s="89">
        <v>-3</v>
      </c>
      <c r="Z484" s="89" t="s">
        <v>210</v>
      </c>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95"/>
    </row>
    <row r="485" spans="1:53" s="87" customFormat="1">
      <c r="A485" s="374" t="str">
        <f t="shared" si="55"/>
        <v/>
      </c>
      <c r="B485" s="89">
        <v>20</v>
      </c>
      <c r="C485" s="89">
        <v>3</v>
      </c>
      <c r="D485" s="89" t="s">
        <v>210</v>
      </c>
      <c r="E485" s="89" t="s">
        <v>210</v>
      </c>
      <c r="F485" s="89">
        <v>-2</v>
      </c>
      <c r="G485" s="89">
        <v>4</v>
      </c>
      <c r="H485" s="89" t="s">
        <v>210</v>
      </c>
      <c r="I485" s="89" t="s">
        <v>210</v>
      </c>
      <c r="J485" s="89">
        <v>-6</v>
      </c>
      <c r="K485" s="89">
        <v>5</v>
      </c>
      <c r="L485" s="89" t="s">
        <v>210</v>
      </c>
      <c r="M485" s="89" t="s">
        <v>210</v>
      </c>
      <c r="N485" s="89">
        <v>1</v>
      </c>
      <c r="O485" s="89" t="s">
        <v>210</v>
      </c>
      <c r="P485" s="89">
        <v>-3</v>
      </c>
      <c r="Q485" s="89">
        <v>2</v>
      </c>
      <c r="R485" s="89" t="s">
        <v>210</v>
      </c>
      <c r="S485" s="89" t="s">
        <v>210</v>
      </c>
      <c r="T485" s="89">
        <v>-4</v>
      </c>
      <c r="U485" s="89">
        <v>6</v>
      </c>
      <c r="V485" s="89" t="s">
        <v>210</v>
      </c>
      <c r="W485" s="89" t="s">
        <v>210</v>
      </c>
      <c r="X485" s="89">
        <v>-5</v>
      </c>
      <c r="Y485" s="89">
        <v>-1</v>
      </c>
      <c r="Z485" s="89" t="s">
        <v>210</v>
      </c>
      <c r="AA485" s="89"/>
      <c r="AB485" s="89"/>
      <c r="AC485" s="89"/>
      <c r="AD485" s="89"/>
      <c r="AE485" s="89"/>
      <c r="AF485" s="89"/>
      <c r="AG485" s="89"/>
      <c r="AH485" s="89"/>
      <c r="AI485" s="89"/>
      <c r="AJ485" s="89"/>
      <c r="AK485" s="89"/>
      <c r="AL485" s="89"/>
      <c r="AM485" s="89"/>
      <c r="AN485" s="89"/>
      <c r="AO485" s="89"/>
      <c r="AP485" s="89"/>
      <c r="AQ485" s="89"/>
      <c r="AR485" s="89"/>
      <c r="AS485" s="89"/>
      <c r="AT485" s="89"/>
      <c r="AU485" s="89"/>
      <c r="AV485" s="89"/>
      <c r="AW485" s="89"/>
      <c r="AX485" s="89"/>
      <c r="AY485" s="89"/>
      <c r="AZ485" s="89"/>
      <c r="BA485" s="95"/>
    </row>
    <row r="486" spans="1:53" s="87" customFormat="1">
      <c r="A486" s="374" t="str">
        <f t="shared" si="55"/>
        <v/>
      </c>
      <c r="B486" s="89">
        <v>21</v>
      </c>
      <c r="C486" s="89">
        <v>4</v>
      </c>
      <c r="D486" s="89" t="s">
        <v>210</v>
      </c>
      <c r="E486" s="89" t="s">
        <v>210</v>
      </c>
      <c r="F486" s="89">
        <v>-5</v>
      </c>
      <c r="G486" s="89">
        <v>3</v>
      </c>
      <c r="H486" s="89" t="s">
        <v>210</v>
      </c>
      <c r="I486" s="89" t="s">
        <v>210</v>
      </c>
      <c r="J486" s="89">
        <v>-1</v>
      </c>
      <c r="K486" s="89">
        <v>2</v>
      </c>
      <c r="L486" s="89" t="s">
        <v>210</v>
      </c>
      <c r="M486" s="89" t="s">
        <v>210</v>
      </c>
      <c r="N486" s="89">
        <v>6</v>
      </c>
      <c r="O486" s="89" t="s">
        <v>210</v>
      </c>
      <c r="P486" s="89">
        <v>-4</v>
      </c>
      <c r="Q486" s="89">
        <v>5</v>
      </c>
      <c r="R486" s="89" t="s">
        <v>210</v>
      </c>
      <c r="S486" s="89" t="s">
        <v>210</v>
      </c>
      <c r="T486" s="89">
        <v>-3</v>
      </c>
      <c r="U486" s="89">
        <v>1</v>
      </c>
      <c r="V486" s="89" t="s">
        <v>210</v>
      </c>
      <c r="W486" s="89" t="s">
        <v>210</v>
      </c>
      <c r="X486" s="89">
        <v>-2</v>
      </c>
      <c r="Y486" s="89">
        <v>-6</v>
      </c>
      <c r="Z486" s="89" t="s">
        <v>210</v>
      </c>
      <c r="AA486" s="89"/>
      <c r="AB486" s="89"/>
      <c r="AC486" s="89"/>
      <c r="AD486" s="89"/>
      <c r="AE486" s="89"/>
      <c r="AF486" s="89"/>
      <c r="AG486" s="89"/>
      <c r="AH486" s="89"/>
      <c r="AI486" s="89"/>
      <c r="AJ486" s="89"/>
      <c r="AK486" s="89"/>
      <c r="AL486" s="89"/>
      <c r="AM486" s="89"/>
      <c r="AN486" s="89"/>
      <c r="AO486" s="89"/>
      <c r="AP486" s="89"/>
      <c r="AQ486" s="89"/>
      <c r="AR486" s="89"/>
      <c r="AS486" s="89"/>
      <c r="AT486" s="89"/>
      <c r="AU486" s="89"/>
      <c r="AV486" s="89"/>
      <c r="AW486" s="89"/>
      <c r="AX486" s="89"/>
      <c r="AY486" s="89"/>
      <c r="AZ486" s="89"/>
      <c r="BA486" s="95"/>
    </row>
    <row r="487" spans="1:53" s="87" customFormat="1">
      <c r="A487" s="374" t="str">
        <f t="shared" si="55"/>
        <v/>
      </c>
      <c r="B487" s="89">
        <v>22</v>
      </c>
      <c r="C487" s="89">
        <v>1</v>
      </c>
      <c r="D487" s="89" t="s">
        <v>210</v>
      </c>
      <c r="E487" s="89" t="s">
        <v>210</v>
      </c>
      <c r="F487" s="89">
        <v>-3</v>
      </c>
      <c r="G487" s="89">
        <v>6</v>
      </c>
      <c r="H487" s="89" t="s">
        <v>210</v>
      </c>
      <c r="I487" s="89" t="s">
        <v>210</v>
      </c>
      <c r="J487" s="89">
        <v>-5</v>
      </c>
      <c r="K487" s="89">
        <v>-4</v>
      </c>
      <c r="L487" s="89" t="s">
        <v>210</v>
      </c>
      <c r="M487" s="89" t="s">
        <v>210</v>
      </c>
      <c r="N487" s="89">
        <v>2</v>
      </c>
      <c r="O487" s="89" t="s">
        <v>210</v>
      </c>
      <c r="P487" s="89">
        <v>-1</v>
      </c>
      <c r="Q487" s="89">
        <v>3</v>
      </c>
      <c r="R487" s="89" t="s">
        <v>210</v>
      </c>
      <c r="S487" s="89" t="s">
        <v>210</v>
      </c>
      <c r="T487" s="89">
        <v>-6</v>
      </c>
      <c r="U487" s="89">
        <v>5</v>
      </c>
      <c r="V487" s="89" t="s">
        <v>210</v>
      </c>
      <c r="W487" s="89" t="s">
        <v>210</v>
      </c>
      <c r="X487" s="89">
        <v>4</v>
      </c>
      <c r="Y487" s="89">
        <v>-2</v>
      </c>
      <c r="Z487" s="89" t="s">
        <v>210</v>
      </c>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95"/>
    </row>
    <row r="488" spans="1:53" s="87" customFormat="1">
      <c r="A488" s="374" t="str">
        <f t="shared" si="55"/>
        <v/>
      </c>
      <c r="B488" s="89">
        <v>23</v>
      </c>
      <c r="C488" s="89">
        <v>2</v>
      </c>
      <c r="D488" s="89" t="s">
        <v>210</v>
      </c>
      <c r="E488" s="89" t="s">
        <v>210</v>
      </c>
      <c r="F488" s="89">
        <v>-1</v>
      </c>
      <c r="G488" s="89">
        <v>5</v>
      </c>
      <c r="H488" s="89" t="s">
        <v>210</v>
      </c>
      <c r="I488" s="89" t="s">
        <v>210</v>
      </c>
      <c r="J488" s="89">
        <v>-3</v>
      </c>
      <c r="K488" s="89">
        <v>6</v>
      </c>
      <c r="L488" s="89" t="s">
        <v>210</v>
      </c>
      <c r="M488" s="89" t="s">
        <v>210</v>
      </c>
      <c r="N488" s="89">
        <v>4</v>
      </c>
      <c r="O488" s="89" t="s">
        <v>210</v>
      </c>
      <c r="P488" s="89">
        <v>-2</v>
      </c>
      <c r="Q488" s="89">
        <v>1</v>
      </c>
      <c r="R488" s="89" t="s">
        <v>210</v>
      </c>
      <c r="S488" s="89" t="s">
        <v>210</v>
      </c>
      <c r="T488" s="89">
        <v>-5</v>
      </c>
      <c r="U488" s="89">
        <v>3</v>
      </c>
      <c r="V488" s="89" t="s">
        <v>210</v>
      </c>
      <c r="W488" s="89" t="s">
        <v>210</v>
      </c>
      <c r="X488" s="89">
        <v>-6</v>
      </c>
      <c r="Y488" s="89">
        <v>-4</v>
      </c>
      <c r="Z488" s="89" t="s">
        <v>210</v>
      </c>
      <c r="AA488" s="89"/>
      <c r="AB488" s="89"/>
      <c r="AC488" s="89"/>
      <c r="AD488" s="89"/>
      <c r="AE488" s="89"/>
      <c r="AF488" s="89"/>
      <c r="AG488" s="89"/>
      <c r="AH488" s="89"/>
      <c r="AI488" s="89"/>
      <c r="AJ488" s="89"/>
      <c r="AK488" s="89"/>
      <c r="AL488" s="89"/>
      <c r="AM488" s="89"/>
      <c r="AN488" s="89"/>
      <c r="AO488" s="89"/>
      <c r="AP488" s="89"/>
      <c r="AQ488" s="89"/>
      <c r="AR488" s="89"/>
      <c r="AS488" s="89"/>
      <c r="AT488" s="89"/>
      <c r="AU488" s="89"/>
      <c r="AV488" s="89"/>
      <c r="AW488" s="89"/>
      <c r="AX488" s="89"/>
      <c r="AY488" s="89"/>
      <c r="AZ488" s="89"/>
      <c r="BA488" s="95"/>
    </row>
    <row r="489" spans="1:53" s="87" customFormat="1">
      <c r="A489" s="374" t="str">
        <f t="shared" si="55"/>
        <v/>
      </c>
      <c r="B489" s="89">
        <v>24</v>
      </c>
      <c r="C489" s="89">
        <v>6</v>
      </c>
      <c r="D489" s="89" t="s">
        <v>210</v>
      </c>
      <c r="E489" s="89" t="s">
        <v>210</v>
      </c>
      <c r="F489" s="89">
        <v>-4</v>
      </c>
      <c r="G489" s="89">
        <v>1</v>
      </c>
      <c r="H489" s="89" t="s">
        <v>210</v>
      </c>
      <c r="I489" s="89" t="s">
        <v>210</v>
      </c>
      <c r="J489" s="89">
        <v>-2</v>
      </c>
      <c r="K489" s="89">
        <v>-3</v>
      </c>
      <c r="L489" s="89" t="s">
        <v>210</v>
      </c>
      <c r="M489" s="89" t="s">
        <v>210</v>
      </c>
      <c r="N489" s="89">
        <v>5</v>
      </c>
      <c r="O489" s="89" t="s">
        <v>210</v>
      </c>
      <c r="P489" s="89">
        <v>-6</v>
      </c>
      <c r="Q489" s="89">
        <v>4</v>
      </c>
      <c r="R489" s="89" t="s">
        <v>210</v>
      </c>
      <c r="S489" s="89" t="s">
        <v>210</v>
      </c>
      <c r="T489" s="89">
        <v>-1</v>
      </c>
      <c r="U489" s="89">
        <v>2</v>
      </c>
      <c r="V489" s="89" t="s">
        <v>210</v>
      </c>
      <c r="W489" s="89" t="s">
        <v>210</v>
      </c>
      <c r="X489" s="89">
        <v>3</v>
      </c>
      <c r="Y489" s="89">
        <v>-5</v>
      </c>
      <c r="Z489" s="89" t="s">
        <v>210</v>
      </c>
      <c r="AA489" s="89"/>
      <c r="AB489" s="89"/>
      <c r="AC489" s="89"/>
      <c r="AD489" s="89"/>
      <c r="AE489" s="89"/>
      <c r="AF489" s="89"/>
      <c r="AG489" s="89"/>
      <c r="AH489" s="89"/>
      <c r="AI489" s="89"/>
      <c r="AJ489" s="89"/>
      <c r="AK489" s="89"/>
      <c r="AL489" s="89"/>
      <c r="AM489" s="89"/>
      <c r="AN489" s="89"/>
      <c r="AO489" s="89"/>
      <c r="AP489" s="89"/>
      <c r="AQ489" s="89"/>
      <c r="AR489" s="89"/>
      <c r="AS489" s="89"/>
      <c r="AT489" s="89"/>
      <c r="AU489" s="89"/>
      <c r="AV489" s="89"/>
      <c r="AW489" s="89"/>
      <c r="AX489" s="89"/>
      <c r="AY489" s="89"/>
      <c r="AZ489" s="89"/>
      <c r="BA489" s="95"/>
    </row>
    <row r="490" spans="1:53" s="87" customFormat="1">
      <c r="A490" s="374" t="str">
        <f t="shared" si="55"/>
        <v/>
      </c>
      <c r="B490" s="89" t="s">
        <v>372</v>
      </c>
      <c r="C490" s="89"/>
      <c r="D490" s="89"/>
      <c r="E490" s="89"/>
      <c r="F490" s="89"/>
      <c r="G490" s="89"/>
      <c r="H490" s="89"/>
      <c r="I490" s="89"/>
      <c r="J490" s="89"/>
      <c r="K490" s="89"/>
      <c r="L490" s="89"/>
      <c r="M490" s="89"/>
      <c r="N490" s="89"/>
      <c r="O490" s="89"/>
      <c r="P490" s="89"/>
      <c r="Q490" s="89"/>
      <c r="R490" s="89"/>
      <c r="S490" s="89"/>
      <c r="T490" s="89"/>
      <c r="U490" s="89"/>
      <c r="V490" s="89"/>
      <c r="W490" s="89"/>
      <c r="X490" s="89"/>
      <c r="Y490" s="89"/>
      <c r="Z490" s="89"/>
      <c r="AA490" s="89"/>
      <c r="AB490" s="89"/>
      <c r="AC490" s="89"/>
      <c r="AD490" s="89"/>
      <c r="AE490" s="89"/>
      <c r="AF490" s="89"/>
      <c r="AG490" s="89"/>
      <c r="AH490" s="89"/>
      <c r="AI490" s="89"/>
      <c r="AJ490" s="89"/>
      <c r="AK490" s="89"/>
      <c r="AL490" s="89"/>
      <c r="AM490" s="89"/>
      <c r="AN490" s="89"/>
      <c r="AO490" s="89"/>
      <c r="AP490" s="89"/>
      <c r="AQ490" s="89"/>
      <c r="AR490" s="89"/>
      <c r="AS490" s="89"/>
      <c r="AT490" s="89"/>
      <c r="AU490" s="89"/>
      <c r="AV490" s="89"/>
      <c r="AW490" s="89"/>
      <c r="AX490" s="89"/>
      <c r="AY490" s="89"/>
      <c r="AZ490" s="89"/>
      <c r="BA490" s="95"/>
    </row>
    <row r="491" spans="1:53" s="87" customFormat="1">
      <c r="A491" s="374">
        <f t="shared" si="55"/>
        <v>491</v>
      </c>
      <c r="B491" s="89" t="s">
        <v>373</v>
      </c>
      <c r="C491" s="89"/>
      <c r="D491" s="89"/>
      <c r="E491" s="89"/>
      <c r="F491" s="89"/>
      <c r="G491" s="89"/>
      <c r="H491" s="89"/>
      <c r="I491" s="89"/>
      <c r="J491" s="89"/>
      <c r="K491" s="89"/>
      <c r="L491" s="89"/>
      <c r="M491" s="89"/>
      <c r="N491" s="89"/>
      <c r="O491" s="89"/>
      <c r="P491" s="89"/>
      <c r="Q491" s="89"/>
      <c r="R491" s="89"/>
      <c r="S491" s="89"/>
      <c r="T491" s="89"/>
      <c r="U491" s="89"/>
      <c r="V491" s="89"/>
      <c r="W491" s="89"/>
      <c r="X491" s="89"/>
      <c r="Y491" s="89"/>
      <c r="Z491" s="89"/>
      <c r="AA491" s="89"/>
      <c r="AB491" s="89"/>
      <c r="AC491" s="89"/>
      <c r="AD491" s="89"/>
      <c r="AE491" s="89"/>
      <c r="AF491" s="89"/>
      <c r="AG491" s="89"/>
      <c r="AH491" s="89"/>
      <c r="AI491" s="89"/>
      <c r="AJ491" s="89"/>
      <c r="AK491" s="89"/>
      <c r="AL491" s="89"/>
      <c r="AM491" s="89"/>
      <c r="AN491" s="89"/>
      <c r="AO491" s="89"/>
      <c r="AP491" s="89"/>
      <c r="AQ491" s="89"/>
      <c r="AR491" s="89"/>
      <c r="AS491" s="89"/>
      <c r="AT491" s="89"/>
      <c r="AU491" s="89"/>
      <c r="AV491" s="89"/>
      <c r="AW491" s="89"/>
      <c r="AX491" s="89"/>
      <c r="AY491" s="89"/>
      <c r="AZ491" s="89"/>
      <c r="BA491" s="95"/>
    </row>
    <row r="492" spans="1:53" s="87" customFormat="1">
      <c r="A492" s="374" t="str">
        <f t="shared" si="55"/>
        <v/>
      </c>
      <c r="B492" s="89">
        <v>1</v>
      </c>
      <c r="C492" s="89">
        <v>-5</v>
      </c>
      <c r="D492" s="89" t="s">
        <v>210</v>
      </c>
      <c r="E492" s="89" t="s">
        <v>210</v>
      </c>
      <c r="F492" s="89">
        <v>1</v>
      </c>
      <c r="G492" s="89">
        <v>-4</v>
      </c>
      <c r="H492" s="89" t="s">
        <v>210</v>
      </c>
      <c r="I492" s="89" t="s">
        <v>210</v>
      </c>
      <c r="J492" s="89">
        <v>-3</v>
      </c>
      <c r="K492" s="89">
        <v>2</v>
      </c>
      <c r="L492" s="89" t="s">
        <v>210</v>
      </c>
      <c r="M492" s="89" t="s">
        <v>210</v>
      </c>
      <c r="N492" s="89">
        <v>4</v>
      </c>
      <c r="O492" s="89">
        <v>-1</v>
      </c>
      <c r="P492" s="89" t="s">
        <v>210</v>
      </c>
      <c r="Q492" s="89" t="s">
        <v>210</v>
      </c>
      <c r="R492" s="89">
        <v>5</v>
      </c>
      <c r="S492" s="89">
        <v>-6</v>
      </c>
      <c r="T492" s="89" t="s">
        <v>210</v>
      </c>
      <c r="U492" s="89" t="s">
        <v>210</v>
      </c>
      <c r="V492" s="89">
        <v>-2</v>
      </c>
      <c r="W492" s="89">
        <v>3</v>
      </c>
      <c r="X492" s="89" t="s">
        <v>210</v>
      </c>
      <c r="Y492" s="89"/>
      <c r="Z492" s="89"/>
      <c r="AA492" s="89"/>
      <c r="AB492" s="89"/>
      <c r="AC492" s="89"/>
      <c r="AD492" s="89"/>
      <c r="AE492" s="89"/>
      <c r="AF492" s="89"/>
      <c r="AG492" s="89"/>
      <c r="AH492" s="89"/>
      <c r="AI492" s="89"/>
      <c r="AJ492" s="89"/>
      <c r="AK492" s="89"/>
      <c r="AL492" s="89"/>
      <c r="AM492" s="89"/>
      <c r="AN492" s="89"/>
      <c r="AO492" s="89"/>
      <c r="AP492" s="89"/>
      <c r="AQ492" s="89"/>
      <c r="AR492" s="89"/>
      <c r="AS492" s="89"/>
      <c r="AT492" s="89"/>
      <c r="AU492" s="89"/>
      <c r="AV492" s="89"/>
      <c r="AW492" s="89"/>
      <c r="AX492" s="89"/>
      <c r="AY492" s="89"/>
      <c r="AZ492" s="89"/>
      <c r="BA492" s="95"/>
    </row>
    <row r="493" spans="1:53" s="87" customFormat="1">
      <c r="A493" s="374" t="str">
        <f t="shared" si="55"/>
        <v/>
      </c>
      <c r="B493" s="89">
        <v>2</v>
      </c>
      <c r="C493" s="89">
        <v>-2</v>
      </c>
      <c r="D493" s="89" t="s">
        <v>210</v>
      </c>
      <c r="E493" s="89" t="s">
        <v>210</v>
      </c>
      <c r="F493" s="89">
        <v>-5</v>
      </c>
      <c r="G493" s="89">
        <v>6</v>
      </c>
      <c r="H493" s="89" t="s">
        <v>210</v>
      </c>
      <c r="I493" s="89" t="s">
        <v>210</v>
      </c>
      <c r="J493" s="89">
        <v>4</v>
      </c>
      <c r="K493" s="89">
        <v>3</v>
      </c>
      <c r="L493" s="89" t="s">
        <v>210</v>
      </c>
      <c r="M493" s="89" t="s">
        <v>210</v>
      </c>
      <c r="N493" s="89">
        <v>-6</v>
      </c>
      <c r="O493" s="89">
        <v>2</v>
      </c>
      <c r="P493" s="89" t="s">
        <v>210</v>
      </c>
      <c r="Q493" s="89" t="s">
        <v>210</v>
      </c>
      <c r="R493" s="89">
        <v>-4</v>
      </c>
      <c r="S493" s="89">
        <v>-1</v>
      </c>
      <c r="T493" s="89" t="s">
        <v>210</v>
      </c>
      <c r="U493" s="89" t="s">
        <v>210</v>
      </c>
      <c r="V493" s="89">
        <v>5</v>
      </c>
      <c r="W493" s="89">
        <v>-3</v>
      </c>
      <c r="X493" s="89" t="s">
        <v>210</v>
      </c>
      <c r="Y493" s="89"/>
      <c r="Z493" s="89"/>
      <c r="AA493" s="89"/>
      <c r="AB493" s="89"/>
      <c r="AC493" s="89"/>
      <c r="AD493" s="89"/>
      <c r="AE493" s="89"/>
      <c r="AF493" s="89"/>
      <c r="AG493" s="89"/>
      <c r="AH493" s="89"/>
      <c r="AI493" s="89"/>
      <c r="AJ493" s="89"/>
      <c r="AK493" s="89"/>
      <c r="AL493" s="89"/>
      <c r="AM493" s="89"/>
      <c r="AN493" s="89"/>
      <c r="AO493" s="89"/>
      <c r="AP493" s="89"/>
      <c r="AQ493" s="89"/>
      <c r="AR493" s="89"/>
      <c r="AS493" s="89"/>
      <c r="AT493" s="89"/>
      <c r="AU493" s="89"/>
      <c r="AV493" s="89"/>
      <c r="AW493" s="89"/>
      <c r="AX493" s="89"/>
      <c r="AY493" s="89"/>
      <c r="AZ493" s="89"/>
      <c r="BA493" s="95"/>
    </row>
    <row r="494" spans="1:53" s="87" customFormat="1">
      <c r="A494" s="374" t="str">
        <f t="shared" si="55"/>
        <v/>
      </c>
      <c r="B494" s="89">
        <v>3</v>
      </c>
      <c r="C494" s="89">
        <v>6</v>
      </c>
      <c r="D494" s="89" t="s">
        <v>210</v>
      </c>
      <c r="E494" s="89" t="s">
        <v>210</v>
      </c>
      <c r="F494" s="89">
        <v>-2</v>
      </c>
      <c r="G494" s="89">
        <v>-5</v>
      </c>
      <c r="H494" s="89" t="s">
        <v>210</v>
      </c>
      <c r="I494" s="89" t="s">
        <v>210</v>
      </c>
      <c r="J494" s="89">
        <v>-1</v>
      </c>
      <c r="K494" s="89">
        <v>-4</v>
      </c>
      <c r="L494" s="89" t="s">
        <v>210</v>
      </c>
      <c r="M494" s="89" t="s">
        <v>210</v>
      </c>
      <c r="N494" s="89">
        <v>5</v>
      </c>
      <c r="O494" s="89">
        <v>-6</v>
      </c>
      <c r="P494" s="89" t="s">
        <v>210</v>
      </c>
      <c r="Q494" s="89" t="s">
        <v>210</v>
      </c>
      <c r="R494" s="89">
        <v>3</v>
      </c>
      <c r="S494" s="89">
        <v>1</v>
      </c>
      <c r="T494" s="89" t="s">
        <v>210</v>
      </c>
      <c r="U494" s="89" t="s">
        <v>210</v>
      </c>
      <c r="V494" s="89">
        <v>2</v>
      </c>
      <c r="W494" s="89">
        <v>4</v>
      </c>
      <c r="X494" s="89" t="s">
        <v>210</v>
      </c>
      <c r="Y494" s="89"/>
      <c r="Z494" s="89"/>
      <c r="AA494" s="89"/>
      <c r="AB494" s="89"/>
      <c r="AC494" s="89"/>
      <c r="AD494" s="89"/>
      <c r="AE494" s="89"/>
      <c r="AF494" s="89"/>
      <c r="AG494" s="89"/>
      <c r="AH494" s="89"/>
      <c r="AI494" s="89"/>
      <c r="AJ494" s="89"/>
      <c r="AK494" s="89"/>
      <c r="AL494" s="89"/>
      <c r="AM494" s="89"/>
      <c r="AN494" s="89"/>
      <c r="AO494" s="89"/>
      <c r="AP494" s="89"/>
      <c r="AQ494" s="89"/>
      <c r="AR494" s="89"/>
      <c r="AS494" s="89"/>
      <c r="AT494" s="89"/>
      <c r="AU494" s="89"/>
      <c r="AV494" s="89"/>
      <c r="AW494" s="89"/>
      <c r="AX494" s="89"/>
      <c r="AY494" s="89"/>
      <c r="AZ494" s="89"/>
      <c r="BA494" s="95"/>
    </row>
    <row r="495" spans="1:53" s="87" customFormat="1">
      <c r="A495" s="374" t="str">
        <f t="shared" si="55"/>
        <v/>
      </c>
      <c r="B495" s="89">
        <v>4</v>
      </c>
      <c r="C495" s="89">
        <v>1</v>
      </c>
      <c r="D495" s="89" t="s">
        <v>210</v>
      </c>
      <c r="E495" s="89" t="s">
        <v>210</v>
      </c>
      <c r="F495" s="89">
        <v>-3</v>
      </c>
      <c r="G495" s="89">
        <v>2</v>
      </c>
      <c r="H495" s="89" t="s">
        <v>210</v>
      </c>
      <c r="I495" s="89" t="s">
        <v>210</v>
      </c>
      <c r="J495" s="89">
        <v>-6</v>
      </c>
      <c r="K495" s="89">
        <v>5</v>
      </c>
      <c r="L495" s="89" t="s">
        <v>210</v>
      </c>
      <c r="M495" s="89" t="s">
        <v>210</v>
      </c>
      <c r="N495" s="89">
        <v>-1</v>
      </c>
      <c r="O495" s="89">
        <v>3</v>
      </c>
      <c r="P495" s="89" t="s">
        <v>210</v>
      </c>
      <c r="Q495" s="89" t="s">
        <v>210</v>
      </c>
      <c r="R495" s="89">
        <v>-2</v>
      </c>
      <c r="S495" s="89">
        <v>6</v>
      </c>
      <c r="T495" s="89" t="s">
        <v>210</v>
      </c>
      <c r="U495" s="89" t="s">
        <v>210</v>
      </c>
      <c r="V495" s="89">
        <v>-5</v>
      </c>
      <c r="W495" s="89">
        <v>-4</v>
      </c>
      <c r="X495" s="89" t="s">
        <v>210</v>
      </c>
      <c r="Y495" s="89"/>
      <c r="Z495" s="89"/>
      <c r="AA495" s="89"/>
      <c r="AB495" s="89"/>
      <c r="AC495" s="89"/>
      <c r="AD495" s="89"/>
      <c r="AE495" s="89"/>
      <c r="AF495" s="89"/>
      <c r="AG495" s="89"/>
      <c r="AH495" s="89"/>
      <c r="AI495" s="89"/>
      <c r="AJ495" s="89"/>
      <c r="AK495" s="89"/>
      <c r="AL495" s="89"/>
      <c r="AM495" s="89"/>
      <c r="AN495" s="89"/>
      <c r="AO495" s="89"/>
      <c r="AP495" s="89"/>
      <c r="AQ495" s="89"/>
      <c r="AR495" s="89"/>
      <c r="AS495" s="89"/>
      <c r="AT495" s="89"/>
      <c r="AU495" s="89"/>
      <c r="AV495" s="89"/>
      <c r="AW495" s="89"/>
      <c r="AX495" s="89"/>
      <c r="AY495" s="89"/>
      <c r="AZ495" s="89"/>
      <c r="BA495" s="95"/>
    </row>
    <row r="496" spans="1:53" s="87" customFormat="1">
      <c r="A496" s="374" t="str">
        <f t="shared" si="55"/>
        <v/>
      </c>
      <c r="B496" s="89">
        <v>5</v>
      </c>
      <c r="C496" s="89">
        <v>-4</v>
      </c>
      <c r="D496" s="89" t="s">
        <v>210</v>
      </c>
      <c r="E496" s="89" t="s">
        <v>210</v>
      </c>
      <c r="F496" s="89">
        <v>3</v>
      </c>
      <c r="G496" s="89">
        <v>1</v>
      </c>
      <c r="H496" s="89" t="s">
        <v>210</v>
      </c>
      <c r="I496" s="89" t="s">
        <v>210</v>
      </c>
      <c r="J496" s="89">
        <v>5</v>
      </c>
      <c r="K496" s="89">
        <v>-2</v>
      </c>
      <c r="L496" s="89" t="s">
        <v>210</v>
      </c>
      <c r="M496" s="89" t="s">
        <v>210</v>
      </c>
      <c r="N496" s="89">
        <v>6</v>
      </c>
      <c r="O496" s="89">
        <v>-5</v>
      </c>
      <c r="P496" s="89" t="s">
        <v>210</v>
      </c>
      <c r="Q496" s="89" t="s">
        <v>210</v>
      </c>
      <c r="R496" s="89">
        <v>-3</v>
      </c>
      <c r="S496" s="89">
        <v>4</v>
      </c>
      <c r="T496" s="89" t="s">
        <v>210</v>
      </c>
      <c r="U496" s="89" t="s">
        <v>210</v>
      </c>
      <c r="V496" s="89">
        <v>-1</v>
      </c>
      <c r="W496" s="89">
        <v>2</v>
      </c>
      <c r="X496" s="89" t="s">
        <v>210</v>
      </c>
      <c r="Y496" s="89"/>
      <c r="Z496" s="89"/>
      <c r="AA496" s="89"/>
      <c r="AB496" s="89"/>
      <c r="AC496" s="89"/>
      <c r="AD496" s="89"/>
      <c r="AE496" s="89"/>
      <c r="AF496" s="89"/>
      <c r="AG496" s="89"/>
      <c r="AH496" s="89"/>
      <c r="AI496" s="89"/>
      <c r="AJ496" s="89"/>
      <c r="AK496" s="89"/>
      <c r="AL496" s="89"/>
      <c r="AM496" s="89"/>
      <c r="AN496" s="89"/>
      <c r="AO496" s="89"/>
      <c r="AP496" s="89"/>
      <c r="AQ496" s="89"/>
      <c r="AR496" s="89"/>
      <c r="AS496" s="89"/>
      <c r="AT496" s="89"/>
      <c r="AU496" s="89"/>
      <c r="AV496" s="89"/>
      <c r="AW496" s="89"/>
      <c r="AX496" s="89"/>
      <c r="AY496" s="89"/>
      <c r="AZ496" s="89"/>
      <c r="BA496" s="95"/>
    </row>
    <row r="497" spans="1:53" s="87" customFormat="1">
      <c r="A497" s="374" t="str">
        <f t="shared" si="55"/>
        <v/>
      </c>
      <c r="B497" s="89">
        <v>6</v>
      </c>
      <c r="C497" s="89">
        <v>-1</v>
      </c>
      <c r="D497" s="89" t="s">
        <v>210</v>
      </c>
      <c r="E497" s="89" t="s">
        <v>210</v>
      </c>
      <c r="F497" s="89">
        <v>-4</v>
      </c>
      <c r="G497" s="89">
        <v>-3</v>
      </c>
      <c r="H497" s="89" t="s">
        <v>210</v>
      </c>
      <c r="I497" s="89" t="s">
        <v>210</v>
      </c>
      <c r="J497" s="89">
        <v>2</v>
      </c>
      <c r="K497" s="89">
        <v>-6</v>
      </c>
      <c r="L497" s="89" t="s">
        <v>210</v>
      </c>
      <c r="M497" s="89" t="s">
        <v>210</v>
      </c>
      <c r="N497" s="89">
        <v>-5</v>
      </c>
      <c r="O497" s="89">
        <v>1</v>
      </c>
      <c r="P497" s="89" t="s">
        <v>210</v>
      </c>
      <c r="Q497" s="89" t="s">
        <v>210</v>
      </c>
      <c r="R497" s="89">
        <v>4</v>
      </c>
      <c r="S497" s="89">
        <v>3</v>
      </c>
      <c r="T497" s="89" t="s">
        <v>210</v>
      </c>
      <c r="U497" s="89" t="s">
        <v>210</v>
      </c>
      <c r="V497" s="89">
        <v>6</v>
      </c>
      <c r="W497" s="89">
        <v>-2</v>
      </c>
      <c r="X497" s="89" t="s">
        <v>210</v>
      </c>
      <c r="Y497" s="89"/>
      <c r="Z497" s="89"/>
      <c r="AA497" s="89"/>
      <c r="AB497" s="89"/>
      <c r="AC497" s="89"/>
      <c r="AD497" s="89"/>
      <c r="AE497" s="89"/>
      <c r="AF497" s="89"/>
      <c r="AG497" s="89"/>
      <c r="AH497" s="89"/>
      <c r="AI497" s="89"/>
      <c r="AJ497" s="89"/>
      <c r="AK497" s="89"/>
      <c r="AL497" s="89"/>
      <c r="AM497" s="89"/>
      <c r="AN497" s="89"/>
      <c r="AO497" s="89"/>
      <c r="AP497" s="89"/>
      <c r="AQ497" s="89"/>
      <c r="AR497" s="89"/>
      <c r="AS497" s="89"/>
      <c r="AT497" s="89"/>
      <c r="AU497" s="89"/>
      <c r="AV497" s="89"/>
      <c r="AW497" s="89"/>
      <c r="AX497" s="89"/>
      <c r="AY497" s="89"/>
      <c r="AZ497" s="89"/>
      <c r="BA497" s="95"/>
    </row>
    <row r="498" spans="1:53" s="87" customFormat="1">
      <c r="A498" s="374" t="str">
        <f t="shared" si="55"/>
        <v/>
      </c>
      <c r="B498" s="89">
        <v>7</v>
      </c>
      <c r="C498" s="89">
        <v>-6</v>
      </c>
      <c r="D498" s="89" t="s">
        <v>210</v>
      </c>
      <c r="E498" s="89" t="s">
        <v>210</v>
      </c>
      <c r="F498" s="89">
        <v>5</v>
      </c>
      <c r="G498" s="89">
        <v>-2</v>
      </c>
      <c r="H498" s="89" t="s">
        <v>210</v>
      </c>
      <c r="I498" s="89" t="s">
        <v>210</v>
      </c>
      <c r="J498" s="89">
        <v>3</v>
      </c>
      <c r="K498" s="89">
        <v>-1</v>
      </c>
      <c r="L498" s="89" t="s">
        <v>210</v>
      </c>
      <c r="M498" s="89" t="s">
        <v>210</v>
      </c>
      <c r="N498" s="89">
        <v>2</v>
      </c>
      <c r="O498" s="89">
        <v>4</v>
      </c>
      <c r="P498" s="89" t="s">
        <v>210</v>
      </c>
      <c r="Q498" s="89" t="s">
        <v>210</v>
      </c>
      <c r="R498" s="89">
        <v>6</v>
      </c>
      <c r="S498" s="89">
        <v>-3</v>
      </c>
      <c r="T498" s="89" t="s">
        <v>210</v>
      </c>
      <c r="U498" s="89" t="s">
        <v>210</v>
      </c>
      <c r="V498" s="89">
        <v>1</v>
      </c>
      <c r="W498" s="89">
        <v>-5</v>
      </c>
      <c r="X498" s="89" t="s">
        <v>210</v>
      </c>
      <c r="Y498" s="89"/>
      <c r="Z498" s="89"/>
      <c r="AA498" s="89"/>
      <c r="AB498" s="89"/>
      <c r="AC498" s="89"/>
      <c r="AD498" s="89"/>
      <c r="AE498" s="89"/>
      <c r="AF498" s="89"/>
      <c r="AG498" s="89"/>
      <c r="AH498" s="89"/>
      <c r="AI498" s="89"/>
      <c r="AJ498" s="89"/>
      <c r="AK498" s="89"/>
      <c r="AL498" s="89"/>
      <c r="AM498" s="89"/>
      <c r="AN498" s="89"/>
      <c r="AO498" s="89"/>
      <c r="AP498" s="89"/>
      <c r="AQ498" s="89"/>
      <c r="AR498" s="89"/>
      <c r="AS498" s="89"/>
      <c r="AT498" s="89"/>
      <c r="AU498" s="89"/>
      <c r="AV498" s="89"/>
      <c r="AW498" s="89"/>
      <c r="AX498" s="89"/>
      <c r="AY498" s="89"/>
      <c r="AZ498" s="89"/>
      <c r="BA498" s="95"/>
    </row>
    <row r="499" spans="1:53" s="87" customFormat="1">
      <c r="A499" s="374" t="str">
        <f t="shared" si="55"/>
        <v/>
      </c>
      <c r="B499" s="89">
        <v>8</v>
      </c>
      <c r="C499" s="89">
        <v>-3</v>
      </c>
      <c r="D499" s="89" t="s">
        <v>210</v>
      </c>
      <c r="E499" s="89" t="s">
        <v>210</v>
      </c>
      <c r="F499" s="89">
        <v>6</v>
      </c>
      <c r="G499" s="89">
        <v>4</v>
      </c>
      <c r="H499" s="89" t="s">
        <v>210</v>
      </c>
      <c r="I499" s="89" t="s">
        <v>210</v>
      </c>
      <c r="J499" s="89">
        <v>1</v>
      </c>
      <c r="K499" s="89">
        <v>-5</v>
      </c>
      <c r="L499" s="89" t="s">
        <v>210</v>
      </c>
      <c r="M499" s="89" t="s">
        <v>210</v>
      </c>
      <c r="N499" s="89">
        <v>3</v>
      </c>
      <c r="O499" s="89">
        <v>-2</v>
      </c>
      <c r="P499" s="89" t="s">
        <v>210</v>
      </c>
      <c r="Q499" s="89" t="s">
        <v>210</v>
      </c>
      <c r="R499" s="89">
        <v>-1</v>
      </c>
      <c r="S499" s="89">
        <v>-4</v>
      </c>
      <c r="T499" s="89" t="s">
        <v>210</v>
      </c>
      <c r="U499" s="89" t="s">
        <v>210</v>
      </c>
      <c r="V499" s="89">
        <v>-6</v>
      </c>
      <c r="W499" s="89">
        <v>5</v>
      </c>
      <c r="X499" s="89" t="s">
        <v>210</v>
      </c>
      <c r="Y499" s="89"/>
      <c r="Z499" s="89"/>
      <c r="AA499" s="89"/>
      <c r="AB499" s="89"/>
      <c r="AC499" s="89"/>
      <c r="AD499" s="89"/>
      <c r="AE499" s="89"/>
      <c r="AF499" s="89"/>
      <c r="AG499" s="89"/>
      <c r="AH499" s="89"/>
      <c r="AI499" s="89"/>
      <c r="AJ499" s="89"/>
      <c r="AK499" s="89"/>
      <c r="AL499" s="89"/>
      <c r="AM499" s="89"/>
      <c r="AN499" s="89"/>
      <c r="AO499" s="89"/>
      <c r="AP499" s="89"/>
      <c r="AQ499" s="89"/>
      <c r="AR499" s="89"/>
      <c r="AS499" s="89"/>
      <c r="AT499" s="89"/>
      <c r="AU499" s="89"/>
      <c r="AV499" s="89"/>
      <c r="AW499" s="89"/>
      <c r="AX499" s="89"/>
      <c r="AY499" s="89"/>
      <c r="AZ499" s="89"/>
      <c r="BA499" s="95"/>
    </row>
    <row r="500" spans="1:53" s="87" customFormat="1">
      <c r="A500" s="374" t="str">
        <f t="shared" si="55"/>
        <v/>
      </c>
      <c r="B500" s="89">
        <v>9</v>
      </c>
      <c r="C500" s="89">
        <v>2</v>
      </c>
      <c r="D500" s="89" t="s">
        <v>210</v>
      </c>
      <c r="E500" s="89" t="s">
        <v>210</v>
      </c>
      <c r="F500" s="89">
        <v>-1</v>
      </c>
      <c r="G500" s="89">
        <v>3</v>
      </c>
      <c r="H500" s="89" t="s">
        <v>210</v>
      </c>
      <c r="I500" s="89" t="s">
        <v>210</v>
      </c>
      <c r="J500" s="89">
        <v>6</v>
      </c>
      <c r="K500" s="89">
        <v>4</v>
      </c>
      <c r="L500" s="89" t="s">
        <v>210</v>
      </c>
      <c r="M500" s="89" t="s">
        <v>210</v>
      </c>
      <c r="N500" s="89">
        <v>-3</v>
      </c>
      <c r="O500" s="89">
        <v>5</v>
      </c>
      <c r="P500" s="89" t="s">
        <v>210</v>
      </c>
      <c r="Q500" s="89" t="s">
        <v>210</v>
      </c>
      <c r="R500" s="89">
        <v>-6</v>
      </c>
      <c r="S500" s="89">
        <v>-2</v>
      </c>
      <c r="T500" s="89" t="s">
        <v>210</v>
      </c>
      <c r="U500" s="89" t="s">
        <v>210</v>
      </c>
      <c r="V500" s="89">
        <v>-4</v>
      </c>
      <c r="W500" s="89">
        <v>1</v>
      </c>
      <c r="X500" s="89" t="s">
        <v>210</v>
      </c>
      <c r="Y500" s="89"/>
      <c r="Z500" s="89"/>
      <c r="AA500" s="89"/>
      <c r="AB500" s="89"/>
      <c r="AC500" s="89"/>
      <c r="AD500" s="89"/>
      <c r="AE500" s="89"/>
      <c r="AF500" s="89"/>
      <c r="AG500" s="89"/>
      <c r="AH500" s="89"/>
      <c r="AI500" s="89"/>
      <c r="AJ500" s="89"/>
      <c r="AK500" s="89"/>
      <c r="AL500" s="89"/>
      <c r="AM500" s="89"/>
      <c r="AN500" s="89"/>
      <c r="AO500" s="89"/>
      <c r="AP500" s="89"/>
      <c r="AQ500" s="89"/>
      <c r="AR500" s="89"/>
      <c r="AS500" s="89"/>
      <c r="AT500" s="89"/>
      <c r="AU500" s="89"/>
      <c r="AV500" s="89"/>
      <c r="AW500" s="89"/>
      <c r="AX500" s="89"/>
      <c r="AY500" s="89"/>
      <c r="AZ500" s="89"/>
      <c r="BA500" s="95"/>
    </row>
    <row r="501" spans="1:53" s="87" customFormat="1">
      <c r="A501" s="374" t="str">
        <f t="shared" si="55"/>
        <v/>
      </c>
      <c r="B501" s="89">
        <v>10</v>
      </c>
      <c r="C501" s="89">
        <v>3</v>
      </c>
      <c r="D501" s="89" t="s">
        <v>210</v>
      </c>
      <c r="E501" s="89" t="s">
        <v>210</v>
      </c>
      <c r="F501" s="89">
        <v>4</v>
      </c>
      <c r="G501" s="89">
        <v>-6</v>
      </c>
      <c r="H501" s="89" t="s">
        <v>210</v>
      </c>
      <c r="I501" s="89" t="s">
        <v>210</v>
      </c>
      <c r="J501" s="89">
        <v>-5</v>
      </c>
      <c r="K501" s="89">
        <v>1</v>
      </c>
      <c r="L501" s="89" t="s">
        <v>210</v>
      </c>
      <c r="M501" s="89" t="s">
        <v>210</v>
      </c>
      <c r="N501" s="89">
        <v>-4</v>
      </c>
      <c r="O501" s="89">
        <v>6</v>
      </c>
      <c r="P501" s="89" t="s">
        <v>210</v>
      </c>
      <c r="Q501" s="89" t="s">
        <v>210</v>
      </c>
      <c r="R501" s="89">
        <v>2</v>
      </c>
      <c r="S501" s="89">
        <v>5</v>
      </c>
      <c r="T501" s="89" t="s">
        <v>210</v>
      </c>
      <c r="U501" s="89" t="s">
        <v>210</v>
      </c>
      <c r="V501" s="89">
        <v>-3</v>
      </c>
      <c r="W501" s="89">
        <v>-1</v>
      </c>
      <c r="X501" s="89" t="s">
        <v>210</v>
      </c>
      <c r="Y501" s="89"/>
      <c r="Z501" s="89"/>
      <c r="AA501" s="89"/>
      <c r="AB501" s="89"/>
      <c r="AC501" s="89"/>
      <c r="AD501" s="89"/>
      <c r="AE501" s="89"/>
      <c r="AF501" s="89"/>
      <c r="AG501" s="89"/>
      <c r="AH501" s="89"/>
      <c r="AI501" s="89"/>
      <c r="AJ501" s="89"/>
      <c r="AK501" s="89"/>
      <c r="AL501" s="89"/>
      <c r="AM501" s="89"/>
      <c r="AN501" s="89"/>
      <c r="AO501" s="89"/>
      <c r="AP501" s="89"/>
      <c r="AQ501" s="89"/>
      <c r="AR501" s="89"/>
      <c r="AS501" s="89"/>
      <c r="AT501" s="89"/>
      <c r="AU501" s="89"/>
      <c r="AV501" s="89"/>
      <c r="AW501" s="89"/>
      <c r="AX501" s="89"/>
      <c r="AY501" s="89"/>
      <c r="AZ501" s="89"/>
      <c r="BA501" s="95"/>
    </row>
    <row r="502" spans="1:53" s="87" customFormat="1">
      <c r="A502" s="374" t="str">
        <f t="shared" si="55"/>
        <v/>
      </c>
      <c r="B502" s="89">
        <v>11</v>
      </c>
      <c r="C502" s="89">
        <v>5</v>
      </c>
      <c r="D502" s="89" t="s">
        <v>210</v>
      </c>
      <c r="E502" s="89" t="s">
        <v>210</v>
      </c>
      <c r="F502" s="89">
        <v>2</v>
      </c>
      <c r="G502" s="89">
        <v>-1</v>
      </c>
      <c r="H502" s="89" t="s">
        <v>210</v>
      </c>
      <c r="I502" s="89" t="s">
        <v>210</v>
      </c>
      <c r="J502" s="89">
        <v>-4</v>
      </c>
      <c r="K502" s="89">
        <v>6</v>
      </c>
      <c r="L502" s="89" t="s">
        <v>210</v>
      </c>
      <c r="M502" s="89" t="s">
        <v>210</v>
      </c>
      <c r="N502" s="89">
        <v>-2</v>
      </c>
      <c r="O502" s="89">
        <v>-3</v>
      </c>
      <c r="P502" s="89" t="s">
        <v>210</v>
      </c>
      <c r="Q502" s="89" t="s">
        <v>210</v>
      </c>
      <c r="R502" s="89">
        <v>1</v>
      </c>
      <c r="S502" s="89">
        <v>-5</v>
      </c>
      <c r="T502" s="89" t="s">
        <v>210</v>
      </c>
      <c r="U502" s="89" t="s">
        <v>210</v>
      </c>
      <c r="V502" s="89">
        <v>4</v>
      </c>
      <c r="W502" s="89">
        <v>-6</v>
      </c>
      <c r="X502" s="89" t="s">
        <v>210</v>
      </c>
      <c r="Y502" s="89"/>
      <c r="Z502" s="89"/>
      <c r="AA502" s="89"/>
      <c r="AB502" s="89"/>
      <c r="AC502" s="89"/>
      <c r="AD502" s="89"/>
      <c r="AE502" s="89"/>
      <c r="AF502" s="89"/>
      <c r="AG502" s="89"/>
      <c r="AH502" s="89"/>
      <c r="AI502" s="89"/>
      <c r="AJ502" s="89"/>
      <c r="AK502" s="89"/>
      <c r="AL502" s="89"/>
      <c r="AM502" s="89"/>
      <c r="AN502" s="89"/>
      <c r="AO502" s="89"/>
      <c r="AP502" s="89"/>
      <c r="AQ502" s="89"/>
      <c r="AR502" s="89"/>
      <c r="AS502" s="89"/>
      <c r="AT502" s="89"/>
      <c r="AU502" s="89"/>
      <c r="AV502" s="89"/>
      <c r="AW502" s="89"/>
      <c r="AX502" s="89"/>
      <c r="AY502" s="89"/>
      <c r="AZ502" s="89"/>
      <c r="BA502" s="95"/>
    </row>
    <row r="503" spans="1:53" s="87" customFormat="1">
      <c r="A503" s="374" t="str">
        <f t="shared" si="55"/>
        <v/>
      </c>
      <c r="B503" s="99">
        <v>12</v>
      </c>
      <c r="C503" s="92">
        <v>4</v>
      </c>
      <c r="D503" s="92" t="s">
        <v>210</v>
      </c>
      <c r="E503" s="92" t="s">
        <v>210</v>
      </c>
      <c r="F503" s="92">
        <v>-6</v>
      </c>
      <c r="G503" s="92">
        <v>5</v>
      </c>
      <c r="H503" s="92" t="s">
        <v>210</v>
      </c>
      <c r="I503" s="92" t="s">
        <v>210</v>
      </c>
      <c r="J503" s="92">
        <v>-2</v>
      </c>
      <c r="K503" s="92">
        <v>-3</v>
      </c>
      <c r="L503" s="92" t="s">
        <v>210</v>
      </c>
      <c r="M503" s="92" t="s">
        <v>210</v>
      </c>
      <c r="N503" s="92">
        <v>1</v>
      </c>
      <c r="O503" s="92">
        <v>-4</v>
      </c>
      <c r="P503" s="92" t="s">
        <v>210</v>
      </c>
      <c r="Q503" s="92" t="s">
        <v>210</v>
      </c>
      <c r="R503" s="92">
        <v>-5</v>
      </c>
      <c r="S503" s="92">
        <v>2</v>
      </c>
      <c r="T503" s="92" t="s">
        <v>210</v>
      </c>
      <c r="U503" s="92" t="s">
        <v>210</v>
      </c>
      <c r="V503" s="92">
        <v>3</v>
      </c>
      <c r="W503" s="92">
        <v>6</v>
      </c>
      <c r="X503" s="92" t="s">
        <v>210</v>
      </c>
      <c r="Y503" s="89"/>
      <c r="Z503" s="89"/>
      <c r="AA503" s="89"/>
      <c r="AB503" s="89"/>
      <c r="AC503" s="89"/>
      <c r="AD503" s="89"/>
      <c r="AE503" s="89"/>
      <c r="AF503" s="89"/>
      <c r="AG503" s="89"/>
      <c r="AH503" s="89"/>
      <c r="AI503" s="89"/>
      <c r="AJ503" s="89"/>
      <c r="AK503" s="89"/>
      <c r="AL503" s="89"/>
      <c r="AM503" s="89"/>
      <c r="AN503" s="89"/>
      <c r="AO503" s="89"/>
      <c r="AP503" s="89"/>
      <c r="AQ503" s="89"/>
      <c r="AR503" s="89"/>
      <c r="AS503" s="89"/>
      <c r="AT503" s="89"/>
      <c r="AU503" s="89"/>
      <c r="AV503" s="89"/>
      <c r="AW503" s="89"/>
      <c r="AX503" s="89"/>
      <c r="AY503" s="89"/>
      <c r="AZ503" s="89"/>
      <c r="BA503" s="95"/>
    </row>
    <row r="504" spans="1:53" s="87" customFormat="1">
      <c r="A504" s="374" t="str">
        <f t="shared" si="55"/>
        <v/>
      </c>
      <c r="B504" s="89">
        <v>13</v>
      </c>
      <c r="C504" s="89" t="s">
        <v>210</v>
      </c>
      <c r="D504" s="89">
        <v>-5</v>
      </c>
      <c r="E504" s="89">
        <v>1</v>
      </c>
      <c r="F504" s="89" t="s">
        <v>210</v>
      </c>
      <c r="G504" s="89" t="s">
        <v>210</v>
      </c>
      <c r="H504" s="89">
        <v>-4</v>
      </c>
      <c r="I504" s="89">
        <v>-3</v>
      </c>
      <c r="J504" s="89" t="s">
        <v>210</v>
      </c>
      <c r="K504" s="89" t="s">
        <v>210</v>
      </c>
      <c r="L504" s="89">
        <v>2</v>
      </c>
      <c r="M504" s="89">
        <v>4</v>
      </c>
      <c r="N504" s="89" t="s">
        <v>210</v>
      </c>
      <c r="O504" s="89" t="s">
        <v>210</v>
      </c>
      <c r="P504" s="89">
        <v>-1</v>
      </c>
      <c r="Q504" s="89">
        <v>5</v>
      </c>
      <c r="R504" s="89" t="s">
        <v>210</v>
      </c>
      <c r="S504" s="89" t="s">
        <v>210</v>
      </c>
      <c r="T504" s="89">
        <v>-6</v>
      </c>
      <c r="U504" s="89">
        <v>-2</v>
      </c>
      <c r="V504" s="89" t="s">
        <v>210</v>
      </c>
      <c r="W504" s="89" t="s">
        <v>210</v>
      </c>
      <c r="X504" s="89">
        <v>3</v>
      </c>
      <c r="Y504" s="89"/>
      <c r="Z504" s="89"/>
      <c r="AA504" s="89"/>
      <c r="AB504" s="89"/>
      <c r="AC504" s="89"/>
      <c r="AD504" s="89"/>
      <c r="AE504" s="89"/>
      <c r="AF504" s="89"/>
      <c r="AG504" s="89"/>
      <c r="AH504" s="89"/>
      <c r="AI504" s="89"/>
      <c r="AJ504" s="89"/>
      <c r="AK504" s="89"/>
      <c r="AL504" s="89"/>
      <c r="AM504" s="89"/>
      <c r="AN504" s="89"/>
      <c r="AO504" s="89"/>
      <c r="AP504" s="89"/>
      <c r="AQ504" s="89"/>
      <c r="AR504" s="89"/>
      <c r="AS504" s="89"/>
      <c r="AT504" s="89"/>
      <c r="AU504" s="89"/>
      <c r="AV504" s="89"/>
      <c r="AW504" s="89"/>
      <c r="AX504" s="89"/>
      <c r="AY504" s="89"/>
      <c r="AZ504" s="89"/>
      <c r="BA504" s="95"/>
    </row>
    <row r="505" spans="1:53" s="87" customFormat="1">
      <c r="A505" s="374" t="str">
        <f t="shared" si="55"/>
        <v/>
      </c>
      <c r="B505" s="89">
        <v>14</v>
      </c>
      <c r="C505" s="89" t="s">
        <v>210</v>
      </c>
      <c r="D505" s="89">
        <v>-2</v>
      </c>
      <c r="E505" s="89">
        <v>-5</v>
      </c>
      <c r="F505" s="89" t="s">
        <v>210</v>
      </c>
      <c r="G505" s="89" t="s">
        <v>210</v>
      </c>
      <c r="H505" s="89">
        <v>6</v>
      </c>
      <c r="I505" s="89">
        <v>4</v>
      </c>
      <c r="J505" s="89" t="s">
        <v>210</v>
      </c>
      <c r="K505" s="89" t="s">
        <v>210</v>
      </c>
      <c r="L505" s="89">
        <v>3</v>
      </c>
      <c r="M505" s="89">
        <v>-6</v>
      </c>
      <c r="N505" s="89" t="s">
        <v>210</v>
      </c>
      <c r="O505" s="89" t="s">
        <v>210</v>
      </c>
      <c r="P505" s="89">
        <v>2</v>
      </c>
      <c r="Q505" s="89">
        <v>-4</v>
      </c>
      <c r="R505" s="89" t="s">
        <v>210</v>
      </c>
      <c r="S505" s="89" t="s">
        <v>210</v>
      </c>
      <c r="T505" s="89">
        <v>-1</v>
      </c>
      <c r="U505" s="89">
        <v>5</v>
      </c>
      <c r="V505" s="89" t="s">
        <v>210</v>
      </c>
      <c r="W505" s="89" t="s">
        <v>210</v>
      </c>
      <c r="X505" s="89">
        <v>-3</v>
      </c>
      <c r="Y505" s="89"/>
      <c r="Z505" s="89"/>
      <c r="AA505" s="89"/>
      <c r="AB505" s="89"/>
      <c r="AC505" s="89"/>
      <c r="AD505" s="89"/>
      <c r="AE505" s="89"/>
      <c r="AF505" s="89"/>
      <c r="AG505" s="89"/>
      <c r="AH505" s="89"/>
      <c r="AI505" s="89"/>
      <c r="AJ505" s="89"/>
      <c r="AK505" s="89"/>
      <c r="AL505" s="89"/>
      <c r="AM505" s="89"/>
      <c r="AN505" s="89"/>
      <c r="AO505" s="89"/>
      <c r="AP505" s="89"/>
      <c r="AQ505" s="89"/>
      <c r="AR505" s="89"/>
      <c r="AS505" s="89"/>
      <c r="AT505" s="89"/>
      <c r="AU505" s="89"/>
      <c r="AV505" s="89"/>
      <c r="AW505" s="89"/>
      <c r="AX505" s="89"/>
      <c r="AY505" s="89"/>
      <c r="AZ505" s="89"/>
      <c r="BA505" s="95"/>
    </row>
    <row r="506" spans="1:53" s="87" customFormat="1">
      <c r="A506" s="374" t="str">
        <f t="shared" si="55"/>
        <v/>
      </c>
      <c r="B506" s="89">
        <v>15</v>
      </c>
      <c r="C506" s="89" t="s">
        <v>210</v>
      </c>
      <c r="D506" s="89">
        <v>6</v>
      </c>
      <c r="E506" s="89">
        <v>-2</v>
      </c>
      <c r="F506" s="89" t="s">
        <v>210</v>
      </c>
      <c r="G506" s="89" t="s">
        <v>210</v>
      </c>
      <c r="H506" s="89">
        <v>-5</v>
      </c>
      <c r="I506" s="89">
        <v>-1</v>
      </c>
      <c r="J506" s="89" t="s">
        <v>210</v>
      </c>
      <c r="K506" s="89" t="s">
        <v>210</v>
      </c>
      <c r="L506" s="89">
        <v>-4</v>
      </c>
      <c r="M506" s="89">
        <v>5</v>
      </c>
      <c r="N506" s="89" t="s">
        <v>210</v>
      </c>
      <c r="O506" s="89" t="s">
        <v>210</v>
      </c>
      <c r="P506" s="89">
        <v>-6</v>
      </c>
      <c r="Q506" s="89">
        <v>3</v>
      </c>
      <c r="R506" s="89" t="s">
        <v>210</v>
      </c>
      <c r="S506" s="89" t="s">
        <v>210</v>
      </c>
      <c r="T506" s="89">
        <v>1</v>
      </c>
      <c r="U506" s="89">
        <v>2</v>
      </c>
      <c r="V506" s="89" t="s">
        <v>210</v>
      </c>
      <c r="W506" s="89" t="s">
        <v>210</v>
      </c>
      <c r="X506" s="89">
        <v>4</v>
      </c>
      <c r="Y506" s="89"/>
      <c r="Z506" s="89"/>
      <c r="AA506" s="89"/>
      <c r="AB506" s="89"/>
      <c r="AC506" s="89"/>
      <c r="AD506" s="89"/>
      <c r="AE506" s="89"/>
      <c r="AF506" s="89"/>
      <c r="AG506" s="89"/>
      <c r="AH506" s="89"/>
      <c r="AI506" s="89"/>
      <c r="AJ506" s="89"/>
      <c r="AK506" s="89"/>
      <c r="AL506" s="89"/>
      <c r="AM506" s="89"/>
      <c r="AN506" s="89"/>
      <c r="AO506" s="89"/>
      <c r="AP506" s="89"/>
      <c r="AQ506" s="89"/>
      <c r="AR506" s="89"/>
      <c r="AS506" s="89"/>
      <c r="AT506" s="89"/>
      <c r="AU506" s="89"/>
      <c r="AV506" s="89"/>
      <c r="AW506" s="89"/>
      <c r="AX506" s="89"/>
      <c r="AY506" s="89"/>
      <c r="AZ506" s="89"/>
      <c r="BA506" s="95"/>
    </row>
    <row r="507" spans="1:53" s="87" customFormat="1">
      <c r="A507" s="374" t="str">
        <f t="shared" si="55"/>
        <v/>
      </c>
      <c r="B507" s="89">
        <v>16</v>
      </c>
      <c r="C507" s="89" t="s">
        <v>210</v>
      </c>
      <c r="D507" s="89">
        <v>1</v>
      </c>
      <c r="E507" s="89">
        <v>-3</v>
      </c>
      <c r="F507" s="89" t="s">
        <v>210</v>
      </c>
      <c r="G507" s="89" t="s">
        <v>210</v>
      </c>
      <c r="H507" s="89">
        <v>2</v>
      </c>
      <c r="I507" s="89">
        <v>-6</v>
      </c>
      <c r="J507" s="89" t="s">
        <v>210</v>
      </c>
      <c r="K507" s="89" t="s">
        <v>210</v>
      </c>
      <c r="L507" s="89">
        <v>5</v>
      </c>
      <c r="M507" s="89">
        <v>-1</v>
      </c>
      <c r="N507" s="89" t="s">
        <v>210</v>
      </c>
      <c r="O507" s="89" t="s">
        <v>210</v>
      </c>
      <c r="P507" s="89">
        <v>3</v>
      </c>
      <c r="Q507" s="89">
        <v>-2</v>
      </c>
      <c r="R507" s="89" t="s">
        <v>210</v>
      </c>
      <c r="S507" s="89" t="s">
        <v>210</v>
      </c>
      <c r="T507" s="89">
        <v>6</v>
      </c>
      <c r="U507" s="89">
        <v>-5</v>
      </c>
      <c r="V507" s="89" t="s">
        <v>210</v>
      </c>
      <c r="W507" s="89" t="s">
        <v>210</v>
      </c>
      <c r="X507" s="89">
        <v>-4</v>
      </c>
      <c r="Y507" s="89"/>
      <c r="Z507" s="89"/>
      <c r="AA507" s="89"/>
      <c r="AB507" s="89"/>
      <c r="AC507" s="89"/>
      <c r="AD507" s="89"/>
      <c r="AE507" s="89"/>
      <c r="AF507" s="89"/>
      <c r="AG507" s="89"/>
      <c r="AH507" s="89"/>
      <c r="AI507" s="89"/>
      <c r="AJ507" s="89"/>
      <c r="AK507" s="89"/>
      <c r="AL507" s="89"/>
      <c r="AM507" s="89"/>
      <c r="AN507" s="89"/>
      <c r="AO507" s="89"/>
      <c r="AP507" s="89"/>
      <c r="AQ507" s="89"/>
      <c r="AR507" s="89"/>
      <c r="AS507" s="89"/>
      <c r="AT507" s="89"/>
      <c r="AU507" s="89"/>
      <c r="AV507" s="89"/>
      <c r="AW507" s="89"/>
      <c r="AX507" s="89"/>
      <c r="AY507" s="89"/>
      <c r="AZ507" s="89"/>
      <c r="BA507" s="95"/>
    </row>
    <row r="508" spans="1:53" s="87" customFormat="1">
      <c r="A508" s="374" t="str">
        <f t="shared" si="55"/>
        <v/>
      </c>
      <c r="B508" s="89">
        <v>17</v>
      </c>
      <c r="C508" s="89" t="s">
        <v>210</v>
      </c>
      <c r="D508" s="89">
        <v>-4</v>
      </c>
      <c r="E508" s="89">
        <v>3</v>
      </c>
      <c r="F508" s="89" t="s">
        <v>210</v>
      </c>
      <c r="G508" s="89" t="s">
        <v>210</v>
      </c>
      <c r="H508" s="89">
        <v>1</v>
      </c>
      <c r="I508" s="89">
        <v>5</v>
      </c>
      <c r="J508" s="89" t="s">
        <v>210</v>
      </c>
      <c r="K508" s="89" t="s">
        <v>210</v>
      </c>
      <c r="L508" s="89">
        <v>-2</v>
      </c>
      <c r="M508" s="89">
        <v>6</v>
      </c>
      <c r="N508" s="89" t="s">
        <v>210</v>
      </c>
      <c r="O508" s="89" t="s">
        <v>210</v>
      </c>
      <c r="P508" s="89">
        <v>-5</v>
      </c>
      <c r="Q508" s="89">
        <v>-3</v>
      </c>
      <c r="R508" s="89" t="s">
        <v>210</v>
      </c>
      <c r="S508" s="89" t="s">
        <v>210</v>
      </c>
      <c r="T508" s="89">
        <v>4</v>
      </c>
      <c r="U508" s="89">
        <v>-1</v>
      </c>
      <c r="V508" s="89" t="s">
        <v>210</v>
      </c>
      <c r="W508" s="89" t="s">
        <v>210</v>
      </c>
      <c r="X508" s="89">
        <v>2</v>
      </c>
      <c r="Y508" s="89"/>
      <c r="Z508" s="89"/>
      <c r="AA508" s="89"/>
      <c r="AB508" s="89"/>
      <c r="AC508" s="89"/>
      <c r="AD508" s="89"/>
      <c r="AE508" s="89"/>
      <c r="AF508" s="89"/>
      <c r="AG508" s="89"/>
      <c r="AH508" s="89"/>
      <c r="AI508" s="89"/>
      <c r="AJ508" s="89"/>
      <c r="AK508" s="89"/>
      <c r="AL508" s="89"/>
      <c r="AM508" s="89"/>
      <c r="AN508" s="89"/>
      <c r="AO508" s="89"/>
      <c r="AP508" s="89"/>
      <c r="AQ508" s="89"/>
      <c r="AR508" s="89"/>
      <c r="AS508" s="89"/>
      <c r="AT508" s="89"/>
      <c r="AU508" s="89"/>
      <c r="AV508" s="89"/>
      <c r="AW508" s="89"/>
      <c r="AX508" s="89"/>
      <c r="AY508" s="89"/>
      <c r="AZ508" s="89"/>
      <c r="BA508" s="95"/>
    </row>
    <row r="509" spans="1:53" s="87" customFormat="1">
      <c r="A509" s="374" t="str">
        <f t="shared" si="55"/>
        <v/>
      </c>
      <c r="B509" s="89">
        <v>18</v>
      </c>
      <c r="C509" s="89" t="s">
        <v>210</v>
      </c>
      <c r="D509" s="89">
        <v>-1</v>
      </c>
      <c r="E509" s="89">
        <v>-4</v>
      </c>
      <c r="F509" s="89" t="s">
        <v>210</v>
      </c>
      <c r="G509" s="89" t="s">
        <v>210</v>
      </c>
      <c r="H509" s="89">
        <v>-3</v>
      </c>
      <c r="I509" s="89">
        <v>2</v>
      </c>
      <c r="J509" s="89" t="s">
        <v>210</v>
      </c>
      <c r="K509" s="89" t="s">
        <v>210</v>
      </c>
      <c r="L509" s="89">
        <v>-6</v>
      </c>
      <c r="M509" s="89">
        <v>-5</v>
      </c>
      <c r="N509" s="89" t="s">
        <v>210</v>
      </c>
      <c r="O509" s="89" t="s">
        <v>210</v>
      </c>
      <c r="P509" s="89">
        <v>1</v>
      </c>
      <c r="Q509" s="89">
        <v>4</v>
      </c>
      <c r="R509" s="89" t="s">
        <v>210</v>
      </c>
      <c r="S509" s="89" t="s">
        <v>210</v>
      </c>
      <c r="T509" s="89">
        <v>3</v>
      </c>
      <c r="U509" s="89">
        <v>6</v>
      </c>
      <c r="V509" s="89" t="s">
        <v>210</v>
      </c>
      <c r="W509" s="89" t="s">
        <v>210</v>
      </c>
      <c r="X509" s="89">
        <v>-2</v>
      </c>
      <c r="Y509" s="89"/>
      <c r="Z509" s="89"/>
      <c r="AA509" s="89"/>
      <c r="AB509" s="89"/>
      <c r="AC509" s="89"/>
      <c r="AD509" s="89"/>
      <c r="AE509" s="89"/>
      <c r="AF509" s="89"/>
      <c r="AG509" s="89"/>
      <c r="AH509" s="89"/>
      <c r="AI509" s="89"/>
      <c r="AJ509" s="89"/>
      <c r="AK509" s="89"/>
      <c r="AL509" s="89"/>
      <c r="AM509" s="89"/>
      <c r="AN509" s="89"/>
      <c r="AO509" s="89"/>
      <c r="AP509" s="89"/>
      <c r="AQ509" s="89"/>
      <c r="AR509" s="89"/>
      <c r="AS509" s="89"/>
      <c r="AT509" s="89"/>
      <c r="AU509" s="89"/>
      <c r="AV509" s="89"/>
      <c r="AW509" s="89"/>
      <c r="AX509" s="89"/>
      <c r="AY509" s="89"/>
      <c r="AZ509" s="89"/>
      <c r="BA509" s="95"/>
    </row>
    <row r="510" spans="1:53" s="87" customFormat="1">
      <c r="A510" s="374" t="str">
        <f t="shared" si="55"/>
        <v/>
      </c>
      <c r="B510" s="89">
        <v>19</v>
      </c>
      <c r="C510" s="89" t="s">
        <v>210</v>
      </c>
      <c r="D510" s="89">
        <v>-6</v>
      </c>
      <c r="E510" s="89">
        <v>5</v>
      </c>
      <c r="F510" s="89" t="s">
        <v>210</v>
      </c>
      <c r="G510" s="89" t="s">
        <v>210</v>
      </c>
      <c r="H510" s="89">
        <v>-2</v>
      </c>
      <c r="I510" s="89">
        <v>3</v>
      </c>
      <c r="J510" s="89" t="s">
        <v>210</v>
      </c>
      <c r="K510" s="89" t="s">
        <v>210</v>
      </c>
      <c r="L510" s="89">
        <v>-1</v>
      </c>
      <c r="M510" s="89">
        <v>2</v>
      </c>
      <c r="N510" s="89" t="s">
        <v>210</v>
      </c>
      <c r="O510" s="89" t="s">
        <v>210</v>
      </c>
      <c r="P510" s="89">
        <v>4</v>
      </c>
      <c r="Q510" s="89">
        <v>6</v>
      </c>
      <c r="R510" s="89" t="s">
        <v>210</v>
      </c>
      <c r="S510" s="89" t="s">
        <v>210</v>
      </c>
      <c r="T510" s="89">
        <v>-3</v>
      </c>
      <c r="U510" s="89">
        <v>1</v>
      </c>
      <c r="V510" s="89" t="s">
        <v>210</v>
      </c>
      <c r="W510" s="89" t="s">
        <v>210</v>
      </c>
      <c r="X510" s="89">
        <v>-5</v>
      </c>
      <c r="Y510" s="89"/>
      <c r="Z510" s="89"/>
      <c r="AA510" s="89"/>
      <c r="AB510" s="89"/>
      <c r="AC510" s="89"/>
      <c r="AD510" s="89"/>
      <c r="AE510" s="89"/>
      <c r="AF510" s="89"/>
      <c r="AG510" s="89"/>
      <c r="AH510" s="89"/>
      <c r="AI510" s="89"/>
      <c r="AJ510" s="89"/>
      <c r="AK510" s="89"/>
      <c r="AL510" s="89"/>
      <c r="AM510" s="89"/>
      <c r="AN510" s="89"/>
      <c r="AO510" s="89"/>
      <c r="AP510" s="89"/>
      <c r="AQ510" s="89"/>
      <c r="AR510" s="89"/>
      <c r="AS510" s="89"/>
      <c r="AT510" s="89"/>
      <c r="AU510" s="89"/>
      <c r="AV510" s="89"/>
      <c r="AW510" s="89"/>
      <c r="AX510" s="89"/>
      <c r="AY510" s="89"/>
      <c r="AZ510" s="89"/>
      <c r="BA510" s="95"/>
    </row>
    <row r="511" spans="1:53" s="87" customFormat="1">
      <c r="A511" s="374" t="str">
        <f t="shared" si="55"/>
        <v/>
      </c>
      <c r="B511" s="89">
        <v>20</v>
      </c>
      <c r="C511" s="89" t="s">
        <v>210</v>
      </c>
      <c r="D511" s="89">
        <v>-3</v>
      </c>
      <c r="E511" s="89">
        <v>6</v>
      </c>
      <c r="F511" s="89" t="s">
        <v>210</v>
      </c>
      <c r="G511" s="89" t="s">
        <v>210</v>
      </c>
      <c r="H511" s="89">
        <v>4</v>
      </c>
      <c r="I511" s="89">
        <v>1</v>
      </c>
      <c r="J511" s="89" t="s">
        <v>210</v>
      </c>
      <c r="K511" s="89" t="s">
        <v>210</v>
      </c>
      <c r="L511" s="89">
        <v>-5</v>
      </c>
      <c r="M511" s="89">
        <v>3</v>
      </c>
      <c r="N511" s="89" t="s">
        <v>210</v>
      </c>
      <c r="O511" s="89" t="s">
        <v>210</v>
      </c>
      <c r="P511" s="89">
        <v>-2</v>
      </c>
      <c r="Q511" s="89">
        <v>-1</v>
      </c>
      <c r="R511" s="89" t="s">
        <v>210</v>
      </c>
      <c r="S511" s="89" t="s">
        <v>210</v>
      </c>
      <c r="T511" s="89">
        <v>-4</v>
      </c>
      <c r="U511" s="89">
        <v>-6</v>
      </c>
      <c r="V511" s="89" t="s">
        <v>210</v>
      </c>
      <c r="W511" s="89" t="s">
        <v>210</v>
      </c>
      <c r="X511" s="89">
        <v>5</v>
      </c>
      <c r="Y511" s="89"/>
      <c r="Z511" s="89"/>
      <c r="AA511" s="89"/>
      <c r="AB511" s="89"/>
      <c r="AC511" s="89"/>
      <c r="AD511" s="89"/>
      <c r="AE511" s="89"/>
      <c r="AF511" s="89"/>
      <c r="AG511" s="89"/>
      <c r="AH511" s="89"/>
      <c r="AI511" s="89"/>
      <c r="AJ511" s="89"/>
      <c r="AK511" s="89"/>
      <c r="AL511" s="89"/>
      <c r="AM511" s="89"/>
      <c r="AN511" s="89"/>
      <c r="AO511" s="89"/>
      <c r="AP511" s="89"/>
      <c r="AQ511" s="89"/>
      <c r="AR511" s="89"/>
      <c r="AS511" s="89"/>
      <c r="AT511" s="89"/>
      <c r="AU511" s="89"/>
      <c r="AV511" s="89"/>
      <c r="AW511" s="89"/>
      <c r="AX511" s="89"/>
      <c r="AY511" s="89"/>
      <c r="AZ511" s="89"/>
      <c r="BA511" s="95"/>
    </row>
    <row r="512" spans="1:53" s="87" customFormat="1">
      <c r="A512" s="374" t="str">
        <f t="shared" si="55"/>
        <v/>
      </c>
      <c r="B512" s="89">
        <v>21</v>
      </c>
      <c r="C512" s="89" t="s">
        <v>210</v>
      </c>
      <c r="D512" s="89">
        <v>2</v>
      </c>
      <c r="E512" s="89">
        <v>-1</v>
      </c>
      <c r="F512" s="89" t="s">
        <v>210</v>
      </c>
      <c r="G512" s="89" t="s">
        <v>210</v>
      </c>
      <c r="H512" s="89">
        <v>3</v>
      </c>
      <c r="I512" s="89">
        <v>6</v>
      </c>
      <c r="J512" s="89" t="s">
        <v>210</v>
      </c>
      <c r="K512" s="89" t="s">
        <v>210</v>
      </c>
      <c r="L512" s="89">
        <v>4</v>
      </c>
      <c r="M512" s="89">
        <v>-3</v>
      </c>
      <c r="N512" s="89" t="s">
        <v>210</v>
      </c>
      <c r="O512" s="89" t="s">
        <v>210</v>
      </c>
      <c r="P512" s="89">
        <v>5</v>
      </c>
      <c r="Q512" s="89">
        <v>-6</v>
      </c>
      <c r="R512" s="89" t="s">
        <v>210</v>
      </c>
      <c r="S512" s="89" t="s">
        <v>210</v>
      </c>
      <c r="T512" s="89">
        <v>-2</v>
      </c>
      <c r="U512" s="89">
        <v>-4</v>
      </c>
      <c r="V512" s="89" t="s">
        <v>210</v>
      </c>
      <c r="W512" s="89" t="s">
        <v>210</v>
      </c>
      <c r="X512" s="89">
        <v>1</v>
      </c>
      <c r="Y512" s="89"/>
      <c r="Z512" s="89"/>
      <c r="AA512" s="89"/>
      <c r="AB512" s="89"/>
      <c r="AC512" s="89"/>
      <c r="AD512" s="89"/>
      <c r="AE512" s="89"/>
      <c r="AF512" s="89"/>
      <c r="AG512" s="89"/>
      <c r="AH512" s="89"/>
      <c r="AI512" s="89"/>
      <c r="AJ512" s="89"/>
      <c r="AK512" s="89"/>
      <c r="AL512" s="89"/>
      <c r="AM512" s="89"/>
      <c r="AN512" s="89"/>
      <c r="AO512" s="89"/>
      <c r="AP512" s="89"/>
      <c r="AQ512" s="89"/>
      <c r="AR512" s="89"/>
      <c r="AS512" s="89"/>
      <c r="AT512" s="89"/>
      <c r="AU512" s="89"/>
      <c r="AV512" s="89"/>
      <c r="AW512" s="89"/>
      <c r="AX512" s="89"/>
      <c r="AY512" s="89"/>
      <c r="AZ512" s="89"/>
      <c r="BA512" s="95"/>
    </row>
    <row r="513" spans="1:53" s="87" customFormat="1">
      <c r="A513" s="374" t="str">
        <f t="shared" si="55"/>
        <v/>
      </c>
      <c r="B513" s="89">
        <v>22</v>
      </c>
      <c r="C513" s="89" t="s">
        <v>210</v>
      </c>
      <c r="D513" s="89">
        <v>3</v>
      </c>
      <c r="E513" s="89">
        <v>4</v>
      </c>
      <c r="F513" s="89" t="s">
        <v>210</v>
      </c>
      <c r="G513" s="89" t="s">
        <v>210</v>
      </c>
      <c r="H513" s="89">
        <v>-6</v>
      </c>
      <c r="I513" s="89">
        <v>-5</v>
      </c>
      <c r="J513" s="89" t="s">
        <v>210</v>
      </c>
      <c r="K513" s="89" t="s">
        <v>210</v>
      </c>
      <c r="L513" s="89">
        <v>1</v>
      </c>
      <c r="M513" s="89">
        <v>-4</v>
      </c>
      <c r="N513" s="89" t="s">
        <v>210</v>
      </c>
      <c r="O513" s="89" t="s">
        <v>210</v>
      </c>
      <c r="P513" s="89">
        <v>6</v>
      </c>
      <c r="Q513" s="89">
        <v>2</v>
      </c>
      <c r="R513" s="89" t="s">
        <v>210</v>
      </c>
      <c r="S513" s="89" t="s">
        <v>210</v>
      </c>
      <c r="T513" s="89">
        <v>5</v>
      </c>
      <c r="U513" s="89">
        <v>-3</v>
      </c>
      <c r="V513" s="89" t="s">
        <v>210</v>
      </c>
      <c r="W513" s="89" t="s">
        <v>210</v>
      </c>
      <c r="X513" s="89">
        <v>-1</v>
      </c>
      <c r="Y513" s="89"/>
      <c r="Z513" s="89"/>
      <c r="AA513" s="89"/>
      <c r="AB513" s="89"/>
      <c r="AC513" s="89"/>
      <c r="AD513" s="89"/>
      <c r="AE513" s="89"/>
      <c r="AF513" s="89"/>
      <c r="AG513" s="89"/>
      <c r="AH513" s="89"/>
      <c r="AI513" s="89"/>
      <c r="AJ513" s="89"/>
      <c r="AK513" s="89"/>
      <c r="AL513" s="89"/>
      <c r="AM513" s="89"/>
      <c r="AN513" s="89"/>
      <c r="AO513" s="89"/>
      <c r="AP513" s="89"/>
      <c r="AQ513" s="89"/>
      <c r="AR513" s="89"/>
      <c r="AS513" s="89"/>
      <c r="AT513" s="89"/>
      <c r="AU513" s="89"/>
      <c r="AV513" s="89"/>
      <c r="AW513" s="89"/>
      <c r="AX513" s="89"/>
      <c r="AY513" s="89"/>
      <c r="AZ513" s="89"/>
      <c r="BA513" s="95"/>
    </row>
    <row r="514" spans="1:53" s="87" customFormat="1">
      <c r="A514" s="374" t="str">
        <f t="shared" si="55"/>
        <v/>
      </c>
      <c r="B514" s="89">
        <v>23</v>
      </c>
      <c r="C514" s="89" t="s">
        <v>210</v>
      </c>
      <c r="D514" s="89">
        <v>5</v>
      </c>
      <c r="E514" s="89">
        <v>2</v>
      </c>
      <c r="F514" s="89" t="s">
        <v>210</v>
      </c>
      <c r="G514" s="89" t="s">
        <v>210</v>
      </c>
      <c r="H514" s="89">
        <v>-1</v>
      </c>
      <c r="I514" s="89">
        <v>-4</v>
      </c>
      <c r="J514" s="89" t="s">
        <v>210</v>
      </c>
      <c r="K514" s="89" t="s">
        <v>210</v>
      </c>
      <c r="L514" s="89">
        <v>6</v>
      </c>
      <c r="M514" s="89">
        <v>-2</v>
      </c>
      <c r="N514" s="89" t="s">
        <v>210</v>
      </c>
      <c r="O514" s="89" t="s">
        <v>210</v>
      </c>
      <c r="P514" s="89">
        <v>-3</v>
      </c>
      <c r="Q514" s="89">
        <v>1</v>
      </c>
      <c r="R514" s="89" t="s">
        <v>210</v>
      </c>
      <c r="S514" s="89" t="s">
        <v>210</v>
      </c>
      <c r="T514" s="89">
        <v>-5</v>
      </c>
      <c r="U514" s="89">
        <v>4</v>
      </c>
      <c r="V514" s="89" t="s">
        <v>210</v>
      </c>
      <c r="W514" s="89" t="s">
        <v>210</v>
      </c>
      <c r="X514" s="89">
        <v>-6</v>
      </c>
      <c r="Y514" s="89"/>
      <c r="Z514" s="89"/>
      <c r="AA514" s="89"/>
      <c r="AB514" s="89"/>
      <c r="AC514" s="89"/>
      <c r="AD514" s="89"/>
      <c r="AE514" s="89"/>
      <c r="AF514" s="89"/>
      <c r="AG514" s="89"/>
      <c r="AH514" s="89"/>
      <c r="AI514" s="89"/>
      <c r="AJ514" s="89"/>
      <c r="AK514" s="89"/>
      <c r="AL514" s="89"/>
      <c r="AM514" s="89"/>
      <c r="AN514" s="89"/>
      <c r="AO514" s="89"/>
      <c r="AP514" s="89"/>
      <c r="AQ514" s="89"/>
      <c r="AR514" s="89"/>
      <c r="AS514" s="89"/>
      <c r="AT514" s="89"/>
      <c r="AU514" s="89"/>
      <c r="AV514" s="89"/>
      <c r="AW514" s="89"/>
      <c r="AX514" s="89"/>
      <c r="AY514" s="89"/>
      <c r="AZ514" s="89"/>
      <c r="BA514" s="95"/>
    </row>
    <row r="515" spans="1:53" s="87" customFormat="1">
      <c r="A515" s="374" t="str">
        <f t="shared" si="55"/>
        <v/>
      </c>
      <c r="B515" s="89">
        <v>24</v>
      </c>
      <c r="C515" s="89" t="s">
        <v>210</v>
      </c>
      <c r="D515" s="89">
        <v>4</v>
      </c>
      <c r="E515" s="89">
        <v>-6</v>
      </c>
      <c r="F515" s="89" t="s">
        <v>210</v>
      </c>
      <c r="G515" s="89" t="s">
        <v>210</v>
      </c>
      <c r="H515" s="89">
        <v>5</v>
      </c>
      <c r="I515" s="89">
        <v>-2</v>
      </c>
      <c r="J515" s="89" t="s">
        <v>210</v>
      </c>
      <c r="K515" s="89" t="s">
        <v>210</v>
      </c>
      <c r="L515" s="89">
        <v>-3</v>
      </c>
      <c r="M515" s="89">
        <v>1</v>
      </c>
      <c r="N515" s="89" t="s">
        <v>210</v>
      </c>
      <c r="O515" s="89" t="s">
        <v>210</v>
      </c>
      <c r="P515" s="89">
        <v>-4</v>
      </c>
      <c r="Q515" s="89">
        <v>-5</v>
      </c>
      <c r="R515" s="89" t="s">
        <v>210</v>
      </c>
      <c r="S515" s="89" t="s">
        <v>210</v>
      </c>
      <c r="T515" s="89">
        <v>2</v>
      </c>
      <c r="U515" s="89">
        <v>3</v>
      </c>
      <c r="V515" s="89" t="s">
        <v>210</v>
      </c>
      <c r="W515" s="89" t="s">
        <v>210</v>
      </c>
      <c r="X515" s="89">
        <v>6</v>
      </c>
      <c r="Y515" s="89"/>
      <c r="Z515" s="89"/>
      <c r="AA515" s="89"/>
      <c r="AB515" s="89"/>
      <c r="AC515" s="89"/>
      <c r="AD515" s="89"/>
      <c r="AE515" s="89"/>
      <c r="AF515" s="89"/>
      <c r="AG515" s="89"/>
      <c r="AH515" s="89"/>
      <c r="AI515" s="89"/>
      <c r="AJ515" s="89"/>
      <c r="AK515" s="89"/>
      <c r="AL515" s="89"/>
      <c r="AM515" s="89"/>
      <c r="AN515" s="89"/>
      <c r="AO515" s="89"/>
      <c r="AP515" s="89"/>
      <c r="AQ515" s="89"/>
      <c r="AR515" s="89"/>
      <c r="AS515" s="89"/>
      <c r="AT515" s="89"/>
      <c r="AU515" s="89"/>
      <c r="AV515" s="89"/>
      <c r="AW515" s="89"/>
      <c r="AX515" s="89"/>
      <c r="AY515" s="89"/>
      <c r="AZ515" s="89"/>
      <c r="BA515" s="95"/>
    </row>
    <row r="516" spans="1:53" s="87" customFormat="1">
      <c r="A516" s="374" t="str">
        <f t="shared" si="55"/>
        <v/>
      </c>
      <c r="B516" s="89" t="s">
        <v>374</v>
      </c>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c r="AA516" s="89"/>
      <c r="AB516" s="89"/>
      <c r="AC516" s="89"/>
      <c r="AD516" s="89"/>
      <c r="AE516" s="89"/>
      <c r="AF516" s="89"/>
      <c r="AG516" s="89"/>
      <c r="AH516" s="89"/>
      <c r="AI516" s="89"/>
      <c r="AJ516" s="89"/>
      <c r="AK516" s="89"/>
      <c r="AL516" s="89"/>
      <c r="AM516" s="89"/>
      <c r="AN516" s="89"/>
      <c r="AO516" s="89"/>
      <c r="AP516" s="89"/>
      <c r="AQ516" s="89"/>
      <c r="AR516" s="89"/>
      <c r="AS516" s="89"/>
      <c r="AT516" s="89"/>
      <c r="AU516" s="89"/>
      <c r="AV516" s="89"/>
      <c r="AW516" s="89"/>
      <c r="AX516" s="89"/>
      <c r="AY516" s="89"/>
      <c r="AZ516" s="89"/>
      <c r="BA516" s="95"/>
    </row>
    <row r="517" spans="1:53" s="87" customFormat="1">
      <c r="A517" s="374">
        <f t="shared" si="55"/>
        <v>517</v>
      </c>
      <c r="B517" s="89" t="s">
        <v>375</v>
      </c>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c r="AA517" s="89"/>
      <c r="AB517" s="89"/>
      <c r="AC517" s="89"/>
      <c r="AD517" s="89"/>
      <c r="AE517" s="89"/>
      <c r="AF517" s="89"/>
      <c r="AG517" s="89"/>
      <c r="AH517" s="89"/>
      <c r="AI517" s="89"/>
      <c r="AJ517" s="89"/>
      <c r="AK517" s="89"/>
      <c r="AL517" s="89"/>
      <c r="AM517" s="89"/>
      <c r="AN517" s="89"/>
      <c r="AO517" s="89"/>
      <c r="AP517" s="89"/>
      <c r="AQ517" s="89"/>
      <c r="AR517" s="89"/>
      <c r="AS517" s="89"/>
      <c r="AT517" s="89"/>
      <c r="AU517" s="89"/>
      <c r="AV517" s="89"/>
      <c r="AW517" s="89"/>
      <c r="AX517" s="89"/>
      <c r="AY517" s="89"/>
      <c r="AZ517" s="89"/>
      <c r="BA517" s="95"/>
    </row>
    <row r="518" spans="1:53" s="87" customFormat="1">
      <c r="A518" s="374" t="str">
        <f t="shared" si="55"/>
        <v/>
      </c>
      <c r="B518" s="89">
        <v>1</v>
      </c>
      <c r="C518" s="89">
        <v>3</v>
      </c>
      <c r="D518" s="89" t="s">
        <v>210</v>
      </c>
      <c r="E518" s="89" t="s">
        <v>210</v>
      </c>
      <c r="F518" s="89">
        <v>4</v>
      </c>
      <c r="G518" s="89">
        <v>-6</v>
      </c>
      <c r="H518" s="89" t="s">
        <v>210</v>
      </c>
      <c r="I518" s="89" t="s">
        <v>210</v>
      </c>
      <c r="J518" s="89">
        <v>-2</v>
      </c>
      <c r="K518" s="89">
        <v>1</v>
      </c>
      <c r="L518" s="89" t="s">
        <v>210</v>
      </c>
      <c r="M518" s="89" t="s">
        <v>210</v>
      </c>
      <c r="N518" s="89">
        <v>5</v>
      </c>
      <c r="O518" s="89">
        <v>-3</v>
      </c>
      <c r="P518" s="89" t="s">
        <v>210</v>
      </c>
      <c r="Q518" s="89"/>
      <c r="R518" s="89"/>
      <c r="S518" s="89"/>
      <c r="T518" s="89"/>
      <c r="U518" s="89"/>
      <c r="V518" s="89"/>
      <c r="W518" s="89"/>
      <c r="X518" s="89"/>
      <c r="Y518" s="89"/>
      <c r="Z518" s="89"/>
      <c r="AA518" s="89"/>
      <c r="AB518" s="89"/>
      <c r="AC518" s="89"/>
      <c r="AD518" s="89"/>
      <c r="AE518" s="89"/>
      <c r="AF518" s="89"/>
      <c r="AG518" s="89"/>
      <c r="AH518" s="89"/>
      <c r="AI518" s="89"/>
      <c r="AJ518" s="89"/>
      <c r="AK518" s="89"/>
      <c r="AL518" s="89"/>
      <c r="AM518" s="89"/>
      <c r="AN518" s="89"/>
      <c r="AO518" s="89"/>
      <c r="AP518" s="89"/>
      <c r="AQ518" s="89"/>
      <c r="AR518" s="89"/>
      <c r="AS518" s="89"/>
      <c r="AT518" s="89"/>
      <c r="AU518" s="89"/>
      <c r="AV518" s="89"/>
      <c r="AW518" s="89"/>
      <c r="AX518" s="89"/>
      <c r="AY518" s="89"/>
      <c r="AZ518" s="89"/>
      <c r="BA518" s="95"/>
    </row>
    <row r="519" spans="1:53" s="87" customFormat="1">
      <c r="A519" s="374" t="str">
        <f t="shared" si="55"/>
        <v/>
      </c>
      <c r="B519" s="89">
        <v>2</v>
      </c>
      <c r="C519" s="89">
        <v>-4</v>
      </c>
      <c r="D519" s="89" t="s">
        <v>210</v>
      </c>
      <c r="E519" s="89" t="s">
        <v>210</v>
      </c>
      <c r="F519" s="89">
        <v>5</v>
      </c>
      <c r="G519" s="89">
        <v>-1</v>
      </c>
      <c r="H519" s="89" t="s">
        <v>210</v>
      </c>
      <c r="I519" s="89" t="s">
        <v>210</v>
      </c>
      <c r="J519" s="89">
        <v>4</v>
      </c>
      <c r="K519" s="89">
        <v>-6</v>
      </c>
      <c r="L519" s="89" t="s">
        <v>210</v>
      </c>
      <c r="M519" s="89" t="s">
        <v>210</v>
      </c>
      <c r="N519" s="89">
        <v>-2</v>
      </c>
      <c r="O519" s="89">
        <v>3</v>
      </c>
      <c r="P519" s="89" t="s">
        <v>210</v>
      </c>
      <c r="Q519" s="89"/>
      <c r="R519" s="89"/>
      <c r="S519" s="89"/>
      <c r="T519" s="89"/>
      <c r="U519" s="89"/>
      <c r="V519" s="89"/>
      <c r="W519" s="89"/>
      <c r="X519" s="89"/>
      <c r="Y519" s="89"/>
      <c r="Z519" s="89"/>
      <c r="AA519" s="89"/>
      <c r="AB519" s="89"/>
      <c r="AC519" s="89"/>
      <c r="AD519" s="89"/>
      <c r="AE519" s="89"/>
      <c r="AF519" s="89"/>
      <c r="AG519" s="89"/>
      <c r="AH519" s="89"/>
      <c r="AI519" s="89"/>
      <c r="AJ519" s="89"/>
      <c r="AK519" s="89"/>
      <c r="AL519" s="89"/>
      <c r="AM519" s="89"/>
      <c r="AN519" s="89"/>
      <c r="AO519" s="89"/>
      <c r="AP519" s="89"/>
      <c r="AQ519" s="89"/>
      <c r="AR519" s="89"/>
      <c r="AS519" s="89"/>
      <c r="AT519" s="89"/>
      <c r="AU519" s="89"/>
      <c r="AV519" s="89"/>
      <c r="AW519" s="89"/>
      <c r="AX519" s="89"/>
      <c r="AY519" s="89"/>
      <c r="AZ519" s="89"/>
      <c r="BA519" s="95"/>
    </row>
    <row r="520" spans="1:53" s="87" customFormat="1">
      <c r="A520" s="374" t="str">
        <f t="shared" si="55"/>
        <v/>
      </c>
      <c r="B520" s="89">
        <v>3</v>
      </c>
      <c r="C520" s="89">
        <v>5</v>
      </c>
      <c r="D520" s="89" t="s">
        <v>210</v>
      </c>
      <c r="E520" s="89" t="s">
        <v>210</v>
      </c>
      <c r="F520" s="89">
        <v>-1</v>
      </c>
      <c r="G520" s="89">
        <v>-2</v>
      </c>
      <c r="H520" s="89" t="s">
        <v>210</v>
      </c>
      <c r="I520" s="89" t="s">
        <v>210</v>
      </c>
      <c r="J520" s="89">
        <v>3</v>
      </c>
      <c r="K520" s="89">
        <v>6</v>
      </c>
      <c r="L520" s="89" t="s">
        <v>210</v>
      </c>
      <c r="M520" s="89" t="s">
        <v>210</v>
      </c>
      <c r="N520" s="89">
        <v>-5</v>
      </c>
      <c r="O520" s="89">
        <v>4</v>
      </c>
      <c r="P520" s="89" t="s">
        <v>210</v>
      </c>
      <c r="Q520" s="89"/>
      <c r="R520" s="89"/>
      <c r="S520" s="89"/>
      <c r="T520" s="89"/>
      <c r="U520" s="89"/>
      <c r="V520" s="89"/>
      <c r="W520" s="89"/>
      <c r="X520" s="89"/>
      <c r="Y520" s="89"/>
      <c r="Z520" s="89"/>
      <c r="AA520" s="89"/>
      <c r="AB520" s="89"/>
      <c r="AC520" s="89"/>
      <c r="AD520" s="89"/>
      <c r="AE520" s="89"/>
      <c r="AF520" s="89"/>
      <c r="AG520" s="89"/>
      <c r="AH520" s="89"/>
      <c r="AI520" s="89"/>
      <c r="AJ520" s="89"/>
      <c r="AK520" s="89"/>
      <c r="AL520" s="89"/>
      <c r="AM520" s="89"/>
      <c r="AN520" s="89"/>
      <c r="AO520" s="89"/>
      <c r="AP520" s="89"/>
      <c r="AQ520" s="89"/>
      <c r="AR520" s="89"/>
      <c r="AS520" s="89"/>
      <c r="AT520" s="89"/>
      <c r="AU520" s="89"/>
      <c r="AV520" s="89"/>
      <c r="AW520" s="89"/>
      <c r="AX520" s="89"/>
      <c r="AY520" s="89"/>
      <c r="AZ520" s="89"/>
      <c r="BA520" s="95"/>
    </row>
    <row r="521" spans="1:53" s="87" customFormat="1">
      <c r="A521" s="374" t="str">
        <f t="shared" si="55"/>
        <v/>
      </c>
      <c r="B521" s="89">
        <v>4</v>
      </c>
      <c r="C521" s="89">
        <v>-2</v>
      </c>
      <c r="D521" s="89" t="s">
        <v>210</v>
      </c>
      <c r="E521" s="89" t="s">
        <v>210</v>
      </c>
      <c r="F521" s="89">
        <v>6</v>
      </c>
      <c r="G521" s="89">
        <v>3</v>
      </c>
      <c r="H521" s="89" t="s">
        <v>210</v>
      </c>
      <c r="I521" s="89" t="s">
        <v>210</v>
      </c>
      <c r="J521" s="89">
        <v>-5</v>
      </c>
      <c r="K521" s="89">
        <v>-1</v>
      </c>
      <c r="L521" s="89" t="s">
        <v>210</v>
      </c>
      <c r="M521" s="89" t="s">
        <v>210</v>
      </c>
      <c r="N521" s="89">
        <v>2</v>
      </c>
      <c r="O521" s="89">
        <v>-4</v>
      </c>
      <c r="P521" s="89" t="s">
        <v>210</v>
      </c>
      <c r="Q521" s="89"/>
      <c r="R521" s="89"/>
      <c r="S521" s="89"/>
      <c r="T521" s="89"/>
      <c r="U521" s="89"/>
      <c r="V521" s="89"/>
      <c r="W521" s="89"/>
      <c r="X521" s="89"/>
      <c r="Y521" s="89"/>
      <c r="Z521" s="89"/>
      <c r="AA521" s="89"/>
      <c r="AB521" s="89"/>
      <c r="AC521" s="89"/>
      <c r="AD521" s="89"/>
      <c r="AE521" s="89"/>
      <c r="AF521" s="89"/>
      <c r="AG521" s="89"/>
      <c r="AH521" s="89"/>
      <c r="AI521" s="89"/>
      <c r="AJ521" s="89"/>
      <c r="AK521" s="89"/>
      <c r="AL521" s="89"/>
      <c r="AM521" s="89"/>
      <c r="AN521" s="89"/>
      <c r="AO521" s="89"/>
      <c r="AP521" s="89"/>
      <c r="AQ521" s="89"/>
      <c r="AR521" s="89"/>
      <c r="AS521" s="89"/>
      <c r="AT521" s="89"/>
      <c r="AU521" s="89"/>
      <c r="AV521" s="89"/>
      <c r="AW521" s="89"/>
      <c r="AX521" s="89"/>
      <c r="AY521" s="89"/>
      <c r="AZ521" s="89"/>
      <c r="BA521" s="95"/>
    </row>
    <row r="522" spans="1:53" s="87" customFormat="1">
      <c r="A522" s="374" t="str">
        <f t="shared" si="55"/>
        <v/>
      </c>
      <c r="B522" s="89">
        <v>5</v>
      </c>
      <c r="C522" s="89">
        <v>-5</v>
      </c>
      <c r="D522" s="89" t="s">
        <v>210</v>
      </c>
      <c r="E522" s="89" t="s">
        <v>210</v>
      </c>
      <c r="F522" s="89">
        <v>-4</v>
      </c>
      <c r="G522" s="89">
        <v>1</v>
      </c>
      <c r="H522" s="89" t="s">
        <v>210</v>
      </c>
      <c r="I522" s="89" t="s">
        <v>210</v>
      </c>
      <c r="J522" s="89">
        <v>5</v>
      </c>
      <c r="K522" s="89">
        <v>-3</v>
      </c>
      <c r="L522" s="89" t="s">
        <v>210</v>
      </c>
      <c r="M522" s="89" t="s">
        <v>210</v>
      </c>
      <c r="N522" s="89">
        <v>6</v>
      </c>
      <c r="O522" s="89">
        <v>2</v>
      </c>
      <c r="P522" s="89" t="s">
        <v>210</v>
      </c>
      <c r="Q522" s="89"/>
      <c r="R522" s="89"/>
      <c r="S522" s="89"/>
      <c r="T522" s="89"/>
      <c r="U522" s="89"/>
      <c r="V522" s="89"/>
      <c r="W522" s="89"/>
      <c r="X522" s="89"/>
      <c r="Y522" s="89"/>
      <c r="Z522" s="89"/>
      <c r="AA522" s="89"/>
      <c r="AB522" s="89"/>
      <c r="AC522" s="89"/>
      <c r="AD522" s="89"/>
      <c r="AE522" s="89"/>
      <c r="AF522" s="89"/>
      <c r="AG522" s="89"/>
      <c r="AH522" s="89"/>
      <c r="AI522" s="89"/>
      <c r="AJ522" s="89"/>
      <c r="AK522" s="89"/>
      <c r="AL522" s="89"/>
      <c r="AM522" s="89"/>
      <c r="AN522" s="89"/>
      <c r="AO522" s="89"/>
      <c r="AP522" s="89"/>
      <c r="AQ522" s="89"/>
      <c r="AR522" s="89"/>
      <c r="AS522" s="89"/>
      <c r="AT522" s="89"/>
      <c r="AU522" s="89"/>
      <c r="AV522" s="89"/>
      <c r="AW522" s="89"/>
      <c r="AX522" s="89"/>
      <c r="AY522" s="89"/>
      <c r="AZ522" s="89"/>
      <c r="BA522" s="95"/>
    </row>
    <row r="523" spans="1:53" s="87" customFormat="1">
      <c r="A523" s="374" t="str">
        <f t="shared" si="55"/>
        <v/>
      </c>
      <c r="B523" s="89">
        <v>6</v>
      </c>
      <c r="C523" s="89">
        <v>2</v>
      </c>
      <c r="D523" s="89" t="s">
        <v>210</v>
      </c>
      <c r="E523" s="89" t="s">
        <v>210</v>
      </c>
      <c r="F523" s="89">
        <v>-5</v>
      </c>
      <c r="G523" s="89">
        <v>6</v>
      </c>
      <c r="H523" s="89" t="s">
        <v>210</v>
      </c>
      <c r="I523" s="89" t="s">
        <v>210</v>
      </c>
      <c r="J523" s="89">
        <v>-3</v>
      </c>
      <c r="K523" s="89">
        <v>4</v>
      </c>
      <c r="L523" s="89" t="s">
        <v>210</v>
      </c>
      <c r="M523" s="89" t="s">
        <v>210</v>
      </c>
      <c r="N523" s="89">
        <v>-1</v>
      </c>
      <c r="O523" s="89">
        <v>-2</v>
      </c>
      <c r="P523" s="89" t="s">
        <v>210</v>
      </c>
      <c r="Q523" s="89"/>
      <c r="R523" s="89"/>
      <c r="S523" s="89"/>
      <c r="T523" s="89"/>
      <c r="U523" s="89"/>
      <c r="V523" s="89"/>
      <c r="W523" s="89"/>
      <c r="X523" s="89"/>
      <c r="Y523" s="89"/>
      <c r="Z523" s="89"/>
      <c r="AA523" s="89"/>
      <c r="AB523" s="89"/>
      <c r="AC523" s="89"/>
      <c r="AD523" s="89"/>
      <c r="AE523" s="89"/>
      <c r="AF523" s="89"/>
      <c r="AG523" s="89"/>
      <c r="AH523" s="89"/>
      <c r="AI523" s="89"/>
      <c r="AJ523" s="89"/>
      <c r="AK523" s="89"/>
      <c r="AL523" s="89"/>
      <c r="AM523" s="89"/>
      <c r="AN523" s="89"/>
      <c r="AO523" s="89"/>
      <c r="AP523" s="89"/>
      <c r="AQ523" s="89"/>
      <c r="AR523" s="89"/>
      <c r="AS523" s="89"/>
      <c r="AT523" s="89"/>
      <c r="AU523" s="89"/>
      <c r="AV523" s="89"/>
      <c r="AW523" s="89"/>
      <c r="AX523" s="89"/>
      <c r="AY523" s="89"/>
      <c r="AZ523" s="89"/>
      <c r="BA523" s="95"/>
    </row>
    <row r="524" spans="1:53" s="87" customFormat="1">
      <c r="A524" s="374" t="str">
        <f t="shared" ref="A524:A587" si="56">IF(MID(B524,3,2)="06",ROW(),"")</f>
        <v/>
      </c>
      <c r="B524" s="89">
        <v>7</v>
      </c>
      <c r="C524" s="89">
        <v>4</v>
      </c>
      <c r="D524" s="89" t="s">
        <v>210</v>
      </c>
      <c r="E524" s="89" t="s">
        <v>210</v>
      </c>
      <c r="F524" s="89">
        <v>1</v>
      </c>
      <c r="G524" s="89">
        <v>-3</v>
      </c>
      <c r="H524" s="89" t="s">
        <v>210</v>
      </c>
      <c r="I524" s="89" t="s">
        <v>210</v>
      </c>
      <c r="J524" s="89">
        <v>2</v>
      </c>
      <c r="K524" s="89">
        <v>-4</v>
      </c>
      <c r="L524" s="89" t="s">
        <v>210</v>
      </c>
      <c r="M524" s="89" t="s">
        <v>210</v>
      </c>
      <c r="N524" s="89">
        <v>-6</v>
      </c>
      <c r="O524" s="89">
        <v>5</v>
      </c>
      <c r="P524" s="89" t="s">
        <v>210</v>
      </c>
      <c r="Q524" s="89"/>
      <c r="R524" s="89"/>
      <c r="S524" s="89"/>
      <c r="T524" s="89"/>
      <c r="U524" s="89"/>
      <c r="V524" s="89"/>
      <c r="W524" s="89"/>
      <c r="X524" s="89"/>
      <c r="Y524" s="89"/>
      <c r="Z524" s="89"/>
      <c r="AA524" s="89"/>
      <c r="AB524" s="89"/>
      <c r="AC524" s="89"/>
      <c r="AD524" s="89"/>
      <c r="AE524" s="89"/>
      <c r="AF524" s="89"/>
      <c r="AG524" s="89"/>
      <c r="AH524" s="89"/>
      <c r="AI524" s="89"/>
      <c r="AJ524" s="89"/>
      <c r="AK524" s="89"/>
      <c r="AL524" s="89"/>
      <c r="AM524" s="89"/>
      <c r="AN524" s="89"/>
      <c r="AO524" s="89"/>
      <c r="AP524" s="89"/>
      <c r="AQ524" s="89"/>
      <c r="AR524" s="89"/>
      <c r="AS524" s="89"/>
      <c r="AT524" s="89"/>
      <c r="AU524" s="89"/>
      <c r="AV524" s="89"/>
      <c r="AW524" s="89"/>
      <c r="AX524" s="89"/>
      <c r="AY524" s="89"/>
      <c r="AZ524" s="89"/>
      <c r="BA524" s="95"/>
    </row>
    <row r="525" spans="1:53" s="87" customFormat="1">
      <c r="A525" s="374" t="str">
        <f t="shared" si="56"/>
        <v/>
      </c>
      <c r="B525" s="99">
        <v>8</v>
      </c>
      <c r="C525" s="92">
        <v>-3</v>
      </c>
      <c r="D525" s="92" t="s">
        <v>210</v>
      </c>
      <c r="E525" s="92" t="s">
        <v>210</v>
      </c>
      <c r="F525" s="92">
        <v>-6</v>
      </c>
      <c r="G525" s="92">
        <v>2</v>
      </c>
      <c r="H525" s="92" t="s">
        <v>210</v>
      </c>
      <c r="I525" s="92" t="s">
        <v>210</v>
      </c>
      <c r="J525" s="92">
        <v>-4</v>
      </c>
      <c r="K525" s="92">
        <v>3</v>
      </c>
      <c r="L525" s="92" t="s">
        <v>210</v>
      </c>
      <c r="M525" s="92" t="s">
        <v>210</v>
      </c>
      <c r="N525" s="92">
        <v>1</v>
      </c>
      <c r="O525" s="92">
        <v>-5</v>
      </c>
      <c r="P525" s="92" t="s">
        <v>210</v>
      </c>
      <c r="Q525" s="89"/>
      <c r="R525" s="89"/>
      <c r="S525" s="89"/>
      <c r="T525" s="89"/>
      <c r="U525" s="89"/>
      <c r="V525" s="89"/>
      <c r="W525" s="89"/>
      <c r="X525" s="89"/>
      <c r="Y525" s="89"/>
      <c r="Z525" s="89"/>
      <c r="AA525" s="89"/>
      <c r="AB525" s="89"/>
      <c r="AC525" s="89"/>
      <c r="AD525" s="89"/>
      <c r="AE525" s="89"/>
      <c r="AF525" s="89"/>
      <c r="AG525" s="89"/>
      <c r="AH525" s="89"/>
      <c r="AI525" s="89"/>
      <c r="AJ525" s="89"/>
      <c r="AK525" s="89"/>
      <c r="AL525" s="89"/>
      <c r="AM525" s="89"/>
      <c r="AN525" s="89"/>
      <c r="AO525" s="89"/>
      <c r="AP525" s="89"/>
      <c r="AQ525" s="89"/>
      <c r="AR525" s="89"/>
      <c r="AS525" s="89"/>
      <c r="AT525" s="89"/>
      <c r="AU525" s="89"/>
      <c r="AV525" s="89"/>
      <c r="AW525" s="89"/>
      <c r="AX525" s="89"/>
      <c r="AY525" s="89"/>
      <c r="AZ525" s="89"/>
      <c r="BA525" s="95"/>
    </row>
    <row r="526" spans="1:53" s="87" customFormat="1">
      <c r="A526" s="374" t="str">
        <f t="shared" si="56"/>
        <v/>
      </c>
      <c r="B526" s="89">
        <v>9</v>
      </c>
      <c r="C526" s="89" t="s">
        <v>210</v>
      </c>
      <c r="D526" s="89">
        <v>4</v>
      </c>
      <c r="E526" s="89">
        <v>-2</v>
      </c>
      <c r="F526" s="89" t="s">
        <v>210</v>
      </c>
      <c r="G526" s="89" t="s">
        <v>210</v>
      </c>
      <c r="H526" s="89">
        <v>6</v>
      </c>
      <c r="I526" s="89">
        <v>-4</v>
      </c>
      <c r="J526" s="89" t="s">
        <v>210</v>
      </c>
      <c r="K526" s="89" t="s">
        <v>210</v>
      </c>
      <c r="L526" s="89">
        <v>-1</v>
      </c>
      <c r="M526" s="89">
        <v>5</v>
      </c>
      <c r="N526" s="89" t="s">
        <v>210</v>
      </c>
      <c r="O526" s="89" t="s">
        <v>210</v>
      </c>
      <c r="P526" s="89">
        <v>3</v>
      </c>
      <c r="Q526" s="89"/>
      <c r="R526" s="89"/>
      <c r="S526" s="89"/>
      <c r="T526" s="89"/>
      <c r="U526" s="89"/>
      <c r="V526" s="89"/>
      <c r="W526" s="89"/>
      <c r="X526" s="89"/>
      <c r="Y526" s="89"/>
      <c r="Z526" s="89"/>
      <c r="AA526" s="89"/>
      <c r="AB526" s="89"/>
      <c r="AC526" s="89"/>
      <c r="AD526" s="89"/>
      <c r="AE526" s="89"/>
      <c r="AF526" s="89"/>
      <c r="AG526" s="89"/>
      <c r="AH526" s="89"/>
      <c r="AI526" s="89"/>
      <c r="AJ526" s="89"/>
      <c r="AK526" s="89"/>
      <c r="AL526" s="89"/>
      <c r="AM526" s="89"/>
      <c r="AN526" s="89"/>
      <c r="AO526" s="89"/>
      <c r="AP526" s="89"/>
      <c r="AQ526" s="89"/>
      <c r="AR526" s="89"/>
      <c r="AS526" s="89"/>
      <c r="AT526" s="89"/>
      <c r="AU526" s="89"/>
      <c r="AV526" s="89"/>
      <c r="AW526" s="89"/>
      <c r="AX526" s="89"/>
      <c r="AY526" s="89"/>
      <c r="AZ526" s="89"/>
      <c r="BA526" s="95"/>
    </row>
    <row r="527" spans="1:53" s="87" customFormat="1">
      <c r="A527" s="374" t="str">
        <f t="shared" si="56"/>
        <v/>
      </c>
      <c r="B527" s="89">
        <v>10</v>
      </c>
      <c r="C527" s="89" t="s">
        <v>210</v>
      </c>
      <c r="D527" s="89">
        <v>3</v>
      </c>
      <c r="E527" s="89">
        <v>-4</v>
      </c>
      <c r="F527" s="89" t="s">
        <v>210</v>
      </c>
      <c r="G527" s="89" t="s">
        <v>210</v>
      </c>
      <c r="H527" s="89">
        <v>1</v>
      </c>
      <c r="I527" s="89">
        <v>-5</v>
      </c>
      <c r="J527" s="89" t="s">
        <v>210</v>
      </c>
      <c r="K527" s="89" t="s">
        <v>210</v>
      </c>
      <c r="L527" s="89">
        <v>-6</v>
      </c>
      <c r="M527" s="89">
        <v>2</v>
      </c>
      <c r="N527" s="89" t="s">
        <v>210</v>
      </c>
      <c r="O527" s="89" t="s">
        <v>210</v>
      </c>
      <c r="P527" s="89">
        <v>-3</v>
      </c>
      <c r="Q527" s="89"/>
      <c r="R527" s="89"/>
      <c r="S527" s="89"/>
      <c r="T527" s="89"/>
      <c r="U527" s="89"/>
      <c r="V527" s="89"/>
      <c r="W527" s="89"/>
      <c r="X527" s="89"/>
      <c r="Y527" s="89"/>
      <c r="Z527" s="89"/>
      <c r="AA527" s="89"/>
      <c r="AB527" s="89"/>
      <c r="AC527" s="89"/>
      <c r="AD527" s="89"/>
      <c r="AE527" s="89"/>
      <c r="AF527" s="89"/>
      <c r="AG527" s="89"/>
      <c r="AH527" s="89"/>
      <c r="AI527" s="89"/>
      <c r="AJ527" s="89"/>
      <c r="AK527" s="89"/>
      <c r="AL527" s="89"/>
      <c r="AM527" s="89"/>
      <c r="AN527" s="89"/>
      <c r="AO527" s="89"/>
      <c r="AP527" s="89"/>
      <c r="AQ527" s="89"/>
      <c r="AR527" s="89"/>
      <c r="AS527" s="89"/>
      <c r="AT527" s="89"/>
      <c r="AU527" s="89"/>
      <c r="AV527" s="89"/>
      <c r="AW527" s="89"/>
      <c r="AX527" s="89"/>
      <c r="AY527" s="89"/>
      <c r="AZ527" s="89"/>
      <c r="BA527" s="95"/>
    </row>
    <row r="528" spans="1:53" s="87" customFormat="1">
      <c r="A528" s="374" t="str">
        <f t="shared" si="56"/>
        <v/>
      </c>
      <c r="B528" s="89">
        <v>11</v>
      </c>
      <c r="C528" s="89" t="s">
        <v>210</v>
      </c>
      <c r="D528" s="89">
        <v>5</v>
      </c>
      <c r="E528" s="89">
        <v>-1</v>
      </c>
      <c r="F528" s="89" t="s">
        <v>210</v>
      </c>
      <c r="G528" s="89" t="s">
        <v>210</v>
      </c>
      <c r="H528" s="89">
        <v>3</v>
      </c>
      <c r="I528" s="89">
        <v>-2</v>
      </c>
      <c r="J528" s="89" t="s">
        <v>210</v>
      </c>
      <c r="K528" s="89" t="s">
        <v>210</v>
      </c>
      <c r="L528" s="89">
        <v>6</v>
      </c>
      <c r="M528" s="89">
        <v>-5</v>
      </c>
      <c r="N528" s="89" t="s">
        <v>210</v>
      </c>
      <c r="O528" s="89" t="s">
        <v>210</v>
      </c>
      <c r="P528" s="89">
        <v>-4</v>
      </c>
      <c r="Q528" s="89"/>
      <c r="R528" s="89"/>
      <c r="S528" s="89"/>
      <c r="T528" s="89"/>
      <c r="U528" s="89"/>
      <c r="V528" s="89"/>
      <c r="W528" s="89"/>
      <c r="X528" s="89"/>
      <c r="Y528" s="89"/>
      <c r="Z528" s="89"/>
      <c r="AA528" s="89"/>
      <c r="AB528" s="89"/>
      <c r="AC528" s="89"/>
      <c r="AD528" s="89"/>
      <c r="AE528" s="89"/>
      <c r="AF528" s="89"/>
      <c r="AG528" s="89"/>
      <c r="AH528" s="89"/>
      <c r="AI528" s="89"/>
      <c r="AJ528" s="89"/>
      <c r="AK528" s="89"/>
      <c r="AL528" s="89"/>
      <c r="AM528" s="89"/>
      <c r="AN528" s="89"/>
      <c r="AO528" s="89"/>
      <c r="AP528" s="89"/>
      <c r="AQ528" s="89"/>
      <c r="AR528" s="89"/>
      <c r="AS528" s="89"/>
      <c r="AT528" s="89"/>
      <c r="AU528" s="89"/>
      <c r="AV528" s="89"/>
      <c r="AW528" s="89"/>
      <c r="AX528" s="89"/>
      <c r="AY528" s="89"/>
      <c r="AZ528" s="89"/>
      <c r="BA528" s="95"/>
    </row>
    <row r="529" spans="1:53" s="87" customFormat="1">
      <c r="A529" s="374" t="str">
        <f t="shared" si="56"/>
        <v/>
      </c>
      <c r="B529" s="89">
        <v>12</v>
      </c>
      <c r="C529" s="89" t="s">
        <v>210</v>
      </c>
      <c r="D529" s="89">
        <v>2</v>
      </c>
      <c r="E529" s="89">
        <v>-6</v>
      </c>
      <c r="F529" s="89" t="s">
        <v>210</v>
      </c>
      <c r="G529" s="89" t="s">
        <v>210</v>
      </c>
      <c r="H529" s="89">
        <v>5</v>
      </c>
      <c r="I529" s="89">
        <v>-3</v>
      </c>
      <c r="J529" s="89" t="s">
        <v>210</v>
      </c>
      <c r="K529" s="89" t="s">
        <v>210</v>
      </c>
      <c r="L529" s="89">
        <v>1</v>
      </c>
      <c r="M529" s="89">
        <v>-2</v>
      </c>
      <c r="N529" s="89" t="s">
        <v>210</v>
      </c>
      <c r="O529" s="89" t="s">
        <v>210</v>
      </c>
      <c r="P529" s="89">
        <v>4</v>
      </c>
      <c r="Q529" s="89"/>
      <c r="R529" s="89"/>
      <c r="S529" s="89"/>
      <c r="T529" s="89"/>
      <c r="U529" s="89"/>
      <c r="V529" s="89"/>
      <c r="W529" s="89"/>
      <c r="X529" s="89"/>
      <c r="Y529" s="89"/>
      <c r="Z529" s="89"/>
      <c r="AA529" s="89"/>
      <c r="AB529" s="89"/>
      <c r="AC529" s="89"/>
      <c r="AD529" s="89"/>
      <c r="AE529" s="89"/>
      <c r="AF529" s="89"/>
      <c r="AG529" s="89"/>
      <c r="AH529" s="89"/>
      <c r="AI529" s="89"/>
      <c r="AJ529" s="89"/>
      <c r="AK529" s="89"/>
      <c r="AL529" s="89"/>
      <c r="AM529" s="89"/>
      <c r="AN529" s="89"/>
      <c r="AO529" s="89"/>
      <c r="AP529" s="89"/>
      <c r="AQ529" s="89"/>
      <c r="AR529" s="89"/>
      <c r="AS529" s="89"/>
      <c r="AT529" s="89"/>
      <c r="AU529" s="89"/>
      <c r="AV529" s="89"/>
      <c r="AW529" s="89"/>
      <c r="AX529" s="89"/>
      <c r="AY529" s="89"/>
      <c r="AZ529" s="89"/>
      <c r="BA529" s="95"/>
    </row>
    <row r="530" spans="1:53" s="87" customFormat="1">
      <c r="A530" s="374" t="str">
        <f t="shared" si="56"/>
        <v/>
      </c>
      <c r="B530" s="89">
        <v>13</v>
      </c>
      <c r="C530" s="89" t="s">
        <v>210</v>
      </c>
      <c r="D530" s="89">
        <v>-3</v>
      </c>
      <c r="E530" s="89">
        <v>1</v>
      </c>
      <c r="F530" s="89" t="s">
        <v>210</v>
      </c>
      <c r="G530" s="89" t="s">
        <v>210</v>
      </c>
      <c r="H530" s="89">
        <v>-5</v>
      </c>
      <c r="I530" s="89">
        <v>4</v>
      </c>
      <c r="J530" s="89" t="s">
        <v>210</v>
      </c>
      <c r="K530" s="89" t="s">
        <v>210</v>
      </c>
      <c r="L530" s="89">
        <v>3</v>
      </c>
      <c r="M530" s="89">
        <v>-6</v>
      </c>
      <c r="N530" s="89" t="s">
        <v>210</v>
      </c>
      <c r="O530" s="89" t="s">
        <v>210</v>
      </c>
      <c r="P530" s="89">
        <v>-2</v>
      </c>
      <c r="Q530" s="89"/>
      <c r="R530" s="89"/>
      <c r="S530" s="89"/>
      <c r="T530" s="89"/>
      <c r="U530" s="89"/>
      <c r="V530" s="89"/>
      <c r="W530" s="89"/>
      <c r="X530" s="89"/>
      <c r="Y530" s="89"/>
      <c r="Z530" s="89"/>
      <c r="AA530" s="89"/>
      <c r="AB530" s="89"/>
      <c r="AC530" s="89"/>
      <c r="AD530" s="89"/>
      <c r="AE530" s="89"/>
      <c r="AF530" s="89"/>
      <c r="AG530" s="89"/>
      <c r="AH530" s="89"/>
      <c r="AI530" s="89"/>
      <c r="AJ530" s="89"/>
      <c r="AK530" s="89"/>
      <c r="AL530" s="89"/>
      <c r="AM530" s="89"/>
      <c r="AN530" s="89"/>
      <c r="AO530" s="89"/>
      <c r="AP530" s="89"/>
      <c r="AQ530" s="89"/>
      <c r="AR530" s="89"/>
      <c r="AS530" s="89"/>
      <c r="AT530" s="89"/>
      <c r="AU530" s="89"/>
      <c r="AV530" s="89"/>
      <c r="AW530" s="89"/>
      <c r="AX530" s="89"/>
      <c r="AY530" s="89"/>
      <c r="AZ530" s="89"/>
      <c r="BA530" s="95"/>
    </row>
    <row r="531" spans="1:53" s="87" customFormat="1">
      <c r="A531" s="374" t="str">
        <f t="shared" si="56"/>
        <v/>
      </c>
      <c r="B531" s="89">
        <v>14</v>
      </c>
      <c r="C531" s="89" t="s">
        <v>210</v>
      </c>
      <c r="D531" s="89">
        <v>-4</v>
      </c>
      <c r="E531" s="89">
        <v>6</v>
      </c>
      <c r="F531" s="89" t="s">
        <v>210</v>
      </c>
      <c r="G531" s="89" t="s">
        <v>210</v>
      </c>
      <c r="H531" s="89">
        <v>-3</v>
      </c>
      <c r="I531" s="89">
        <v>5</v>
      </c>
      <c r="J531" s="89" t="s">
        <v>210</v>
      </c>
      <c r="K531" s="89" t="s">
        <v>210</v>
      </c>
      <c r="L531" s="89">
        <v>4</v>
      </c>
      <c r="M531" s="89">
        <v>-1</v>
      </c>
      <c r="N531" s="89" t="s">
        <v>210</v>
      </c>
      <c r="O531" s="89" t="s">
        <v>210</v>
      </c>
      <c r="P531" s="89">
        <v>2</v>
      </c>
      <c r="Q531" s="89"/>
      <c r="R531" s="89"/>
      <c r="S531" s="89"/>
      <c r="T531" s="89"/>
      <c r="U531" s="89"/>
      <c r="V531" s="89"/>
      <c r="W531" s="89"/>
      <c r="X531" s="89"/>
      <c r="Y531" s="89"/>
      <c r="Z531" s="89"/>
      <c r="AA531" s="89"/>
      <c r="AB531" s="89"/>
      <c r="AC531" s="89"/>
      <c r="AD531" s="89"/>
      <c r="AE531" s="89"/>
      <c r="AF531" s="89"/>
      <c r="AG531" s="89"/>
      <c r="AH531" s="89"/>
      <c r="AI531" s="89"/>
      <c r="AJ531" s="89"/>
      <c r="AK531" s="89"/>
      <c r="AL531" s="89"/>
      <c r="AM531" s="89"/>
      <c r="AN531" s="89"/>
      <c r="AO531" s="89"/>
      <c r="AP531" s="89"/>
      <c r="AQ531" s="89"/>
      <c r="AR531" s="89"/>
      <c r="AS531" s="89"/>
      <c r="AT531" s="89"/>
      <c r="AU531" s="89"/>
      <c r="AV531" s="89"/>
      <c r="AW531" s="89"/>
      <c r="AX531" s="89"/>
      <c r="AY531" s="89"/>
      <c r="AZ531" s="89"/>
      <c r="BA531" s="95"/>
    </row>
    <row r="532" spans="1:53" s="87" customFormat="1">
      <c r="A532" s="374" t="str">
        <f t="shared" si="56"/>
        <v/>
      </c>
      <c r="B532" s="89">
        <v>15</v>
      </c>
      <c r="C532" s="89" t="s">
        <v>210</v>
      </c>
      <c r="D532" s="89">
        <v>-5</v>
      </c>
      <c r="E532" s="89">
        <v>2</v>
      </c>
      <c r="F532" s="89" t="s">
        <v>210</v>
      </c>
      <c r="G532" s="89" t="s">
        <v>210</v>
      </c>
      <c r="H532" s="89">
        <v>-1</v>
      </c>
      <c r="I532" s="89">
        <v>3</v>
      </c>
      <c r="J532" s="89" t="s">
        <v>210</v>
      </c>
      <c r="K532" s="89" t="s">
        <v>210</v>
      </c>
      <c r="L532" s="89">
        <v>-4</v>
      </c>
      <c r="M532" s="89">
        <v>6</v>
      </c>
      <c r="N532" s="89" t="s">
        <v>210</v>
      </c>
      <c r="O532" s="89" t="s">
        <v>210</v>
      </c>
      <c r="P532" s="89">
        <v>5</v>
      </c>
      <c r="Q532" s="89"/>
      <c r="R532" s="89"/>
      <c r="S532" s="89"/>
      <c r="T532" s="89"/>
      <c r="U532" s="89"/>
      <c r="V532" s="89"/>
      <c r="W532" s="89"/>
      <c r="X532" s="89"/>
      <c r="Y532" s="89"/>
      <c r="Z532" s="89"/>
      <c r="AA532" s="89"/>
      <c r="AB532" s="89"/>
      <c r="AC532" s="89"/>
      <c r="AD532" s="89"/>
      <c r="AE532" s="89"/>
      <c r="AF532" s="89"/>
      <c r="AG532" s="89"/>
      <c r="AH532" s="89"/>
      <c r="AI532" s="89"/>
      <c r="AJ532" s="89"/>
      <c r="AK532" s="89"/>
      <c r="AL532" s="89"/>
      <c r="AM532" s="89"/>
      <c r="AN532" s="89"/>
      <c r="AO532" s="89"/>
      <c r="AP532" s="89"/>
      <c r="AQ532" s="89"/>
      <c r="AR532" s="89"/>
      <c r="AS532" s="89"/>
      <c r="AT532" s="89"/>
      <c r="AU532" s="89"/>
      <c r="AV532" s="89"/>
      <c r="AW532" s="89"/>
      <c r="AX532" s="89"/>
      <c r="AY532" s="89"/>
      <c r="AZ532" s="89"/>
      <c r="BA532" s="95"/>
    </row>
    <row r="533" spans="1:53" s="87" customFormat="1">
      <c r="A533" s="374" t="str">
        <f t="shared" si="56"/>
        <v/>
      </c>
      <c r="B533" s="99">
        <v>16</v>
      </c>
      <c r="C533" s="92" t="s">
        <v>210</v>
      </c>
      <c r="D533" s="92">
        <v>-2</v>
      </c>
      <c r="E533" s="92">
        <v>4</v>
      </c>
      <c r="F533" s="92" t="s">
        <v>210</v>
      </c>
      <c r="G533" s="92" t="s">
        <v>210</v>
      </c>
      <c r="H533" s="92">
        <v>-6</v>
      </c>
      <c r="I533" s="92">
        <v>2</v>
      </c>
      <c r="J533" s="92" t="s">
        <v>210</v>
      </c>
      <c r="K533" s="92" t="s">
        <v>210</v>
      </c>
      <c r="L533" s="92">
        <v>-3</v>
      </c>
      <c r="M533" s="92">
        <v>1</v>
      </c>
      <c r="N533" s="92" t="s">
        <v>210</v>
      </c>
      <c r="O533" s="92" t="s">
        <v>210</v>
      </c>
      <c r="P533" s="92">
        <v>-5</v>
      </c>
      <c r="Q533" s="89"/>
      <c r="R533" s="89"/>
      <c r="S533" s="89"/>
      <c r="T533" s="89"/>
      <c r="U533" s="89"/>
      <c r="V533" s="89"/>
      <c r="W533" s="89"/>
      <c r="X533" s="89"/>
      <c r="Y533" s="89"/>
      <c r="Z533" s="89"/>
      <c r="AA533" s="89"/>
      <c r="AB533" s="89"/>
      <c r="AC533" s="89"/>
      <c r="AD533" s="89"/>
      <c r="AE533" s="89"/>
      <c r="AF533" s="89"/>
      <c r="AG533" s="89"/>
      <c r="AH533" s="89"/>
      <c r="AI533" s="89"/>
      <c r="AJ533" s="89"/>
      <c r="AK533" s="89"/>
      <c r="AL533" s="89"/>
      <c r="AM533" s="89"/>
      <c r="AN533" s="89"/>
      <c r="AO533" s="89"/>
      <c r="AP533" s="89"/>
      <c r="AQ533" s="89"/>
      <c r="AR533" s="89"/>
      <c r="AS533" s="89"/>
      <c r="AT533" s="89"/>
      <c r="AU533" s="89"/>
      <c r="AV533" s="89"/>
      <c r="AW533" s="89"/>
      <c r="AX533" s="89"/>
      <c r="AY533" s="89"/>
      <c r="AZ533" s="89"/>
      <c r="BA533" s="95"/>
    </row>
    <row r="534" spans="1:53" s="87" customFormat="1">
      <c r="A534" s="374" t="str">
        <f t="shared" si="56"/>
        <v/>
      </c>
      <c r="B534" s="89">
        <v>17</v>
      </c>
      <c r="C534" s="89" t="s">
        <v>210</v>
      </c>
      <c r="D534" s="89">
        <v>-6</v>
      </c>
      <c r="E534" s="89" t="s">
        <v>210</v>
      </c>
      <c r="F534" s="89">
        <v>3</v>
      </c>
      <c r="G534" s="89">
        <v>-5</v>
      </c>
      <c r="H534" s="89" t="s">
        <v>210</v>
      </c>
      <c r="I534" s="89">
        <v>6</v>
      </c>
      <c r="J534" s="89" t="s">
        <v>210</v>
      </c>
      <c r="K534" s="89">
        <v>-2</v>
      </c>
      <c r="L534" s="89" t="s">
        <v>210</v>
      </c>
      <c r="M534" s="89" t="s">
        <v>210</v>
      </c>
      <c r="N534" s="89">
        <v>4</v>
      </c>
      <c r="O534" s="89">
        <v>-1</v>
      </c>
      <c r="P534" s="89" t="s">
        <v>210</v>
      </c>
      <c r="Q534" s="89"/>
      <c r="R534" s="89"/>
      <c r="S534" s="89"/>
      <c r="T534" s="89"/>
      <c r="U534" s="89"/>
      <c r="V534" s="89"/>
      <c r="W534" s="89"/>
      <c r="X534" s="89"/>
      <c r="Y534" s="89"/>
      <c r="Z534" s="89"/>
      <c r="AA534" s="89"/>
      <c r="AB534" s="89"/>
      <c r="AC534" s="89"/>
      <c r="AD534" s="89"/>
      <c r="AE534" s="89"/>
      <c r="AF534" s="89"/>
      <c r="AG534" s="89"/>
      <c r="AH534" s="89"/>
      <c r="AI534" s="89"/>
      <c r="AJ534" s="89"/>
      <c r="AK534" s="89"/>
      <c r="AL534" s="89"/>
      <c r="AM534" s="89"/>
      <c r="AN534" s="89"/>
      <c r="AO534" s="89"/>
      <c r="AP534" s="89"/>
      <c r="AQ534" s="89"/>
      <c r="AR534" s="89"/>
      <c r="AS534" s="89"/>
      <c r="AT534" s="89"/>
      <c r="AU534" s="89"/>
      <c r="AV534" s="89"/>
      <c r="AW534" s="89"/>
      <c r="AX534" s="89"/>
      <c r="AY534" s="89"/>
      <c r="AZ534" s="89"/>
      <c r="BA534" s="95"/>
    </row>
    <row r="535" spans="1:53" s="87" customFormat="1">
      <c r="A535" s="374" t="str">
        <f t="shared" si="56"/>
        <v/>
      </c>
      <c r="B535" s="89">
        <v>18</v>
      </c>
      <c r="C535" s="89">
        <v>6</v>
      </c>
      <c r="D535" s="89" t="s">
        <v>210</v>
      </c>
      <c r="E535" s="89" t="s">
        <v>210</v>
      </c>
      <c r="F535" s="89">
        <v>2</v>
      </c>
      <c r="G535" s="89">
        <v>-4</v>
      </c>
      <c r="H535" s="89" t="s">
        <v>210</v>
      </c>
      <c r="I535" s="89" t="s">
        <v>210</v>
      </c>
      <c r="J535" s="89">
        <v>-6</v>
      </c>
      <c r="K535" s="89">
        <v>5</v>
      </c>
      <c r="L535" s="89" t="s">
        <v>210</v>
      </c>
      <c r="M535" s="89" t="s">
        <v>210</v>
      </c>
      <c r="N535" s="89">
        <v>-3</v>
      </c>
      <c r="O535" s="89">
        <v>1</v>
      </c>
      <c r="P535" s="89" t="s">
        <v>210</v>
      </c>
      <c r="Q535" s="89"/>
      <c r="R535" s="89"/>
      <c r="S535" s="89"/>
      <c r="T535" s="89"/>
      <c r="U535" s="89"/>
      <c r="V535" s="89"/>
      <c r="W535" s="89"/>
      <c r="X535" s="89"/>
      <c r="Y535" s="89"/>
      <c r="Z535" s="89"/>
      <c r="AA535" s="89"/>
      <c r="AB535" s="89"/>
      <c r="AC535" s="89"/>
      <c r="AD535" s="89"/>
      <c r="AE535" s="89"/>
      <c r="AF535" s="89"/>
      <c r="AG535" s="89"/>
      <c r="AH535" s="89"/>
      <c r="AI535" s="89"/>
      <c r="AJ535" s="89"/>
      <c r="AK535" s="89"/>
      <c r="AL535" s="89"/>
      <c r="AM535" s="89"/>
      <c r="AN535" s="89"/>
      <c r="AO535" s="89"/>
      <c r="AP535" s="89"/>
      <c r="AQ535" s="89"/>
      <c r="AR535" s="89"/>
      <c r="AS535" s="89"/>
      <c r="AT535" s="89"/>
      <c r="AU535" s="89"/>
      <c r="AV535" s="89"/>
      <c r="AW535" s="89"/>
      <c r="AX535" s="89"/>
      <c r="AY535" s="89"/>
      <c r="AZ535" s="89"/>
      <c r="BA535" s="95"/>
    </row>
    <row r="536" spans="1:53" s="87" customFormat="1">
      <c r="A536" s="374" t="str">
        <f t="shared" si="56"/>
        <v/>
      </c>
      <c r="B536" s="89">
        <v>19</v>
      </c>
      <c r="C536" s="89">
        <v>-1</v>
      </c>
      <c r="D536" s="89" t="s">
        <v>210</v>
      </c>
      <c r="E536" s="89">
        <v>3</v>
      </c>
      <c r="F536" s="89" t="s">
        <v>210</v>
      </c>
      <c r="G536" s="89" t="s">
        <v>210</v>
      </c>
      <c r="H536" s="89">
        <v>-2</v>
      </c>
      <c r="I536" s="89" t="s">
        <v>210</v>
      </c>
      <c r="J536" s="89">
        <v>1</v>
      </c>
      <c r="K536" s="89">
        <v>-5</v>
      </c>
      <c r="L536" s="89" t="s">
        <v>210</v>
      </c>
      <c r="M536" s="89" t="s">
        <v>210</v>
      </c>
      <c r="N536" s="89">
        <v>-4</v>
      </c>
      <c r="O536" s="89">
        <v>6</v>
      </c>
      <c r="P536" s="89" t="s">
        <v>210</v>
      </c>
      <c r="Q536" s="89"/>
      <c r="R536" s="89"/>
      <c r="S536" s="89"/>
      <c r="T536" s="89"/>
      <c r="U536" s="89"/>
      <c r="V536" s="89"/>
      <c r="W536" s="89"/>
      <c r="X536" s="89"/>
      <c r="Y536" s="89"/>
      <c r="Z536" s="89"/>
      <c r="AA536" s="89"/>
      <c r="AB536" s="89"/>
      <c r="AC536" s="89"/>
      <c r="AD536" s="89"/>
      <c r="AE536" s="89"/>
      <c r="AF536" s="89"/>
      <c r="AG536" s="89"/>
      <c r="AH536" s="89"/>
      <c r="AI536" s="89"/>
      <c r="AJ536" s="89"/>
      <c r="AK536" s="89"/>
      <c r="AL536" s="89"/>
      <c r="AM536" s="89"/>
      <c r="AN536" s="89"/>
      <c r="AO536" s="89"/>
      <c r="AP536" s="89"/>
      <c r="AQ536" s="89"/>
      <c r="AR536" s="89"/>
      <c r="AS536" s="89"/>
      <c r="AT536" s="89"/>
      <c r="AU536" s="89"/>
      <c r="AV536" s="89"/>
      <c r="AW536" s="89"/>
      <c r="AX536" s="89"/>
      <c r="AY536" s="89"/>
      <c r="AZ536" s="89"/>
      <c r="BA536" s="95"/>
    </row>
    <row r="537" spans="1:53" s="87" customFormat="1">
      <c r="A537" s="374" t="str">
        <f t="shared" si="56"/>
        <v/>
      </c>
      <c r="B537" s="89">
        <v>20</v>
      </c>
      <c r="C537" s="89" t="s">
        <v>210</v>
      </c>
      <c r="D537" s="89">
        <v>1</v>
      </c>
      <c r="E537" s="89">
        <v>5</v>
      </c>
      <c r="F537" s="89" t="s">
        <v>210</v>
      </c>
      <c r="G537" s="89" t="s">
        <v>210</v>
      </c>
      <c r="H537" s="89">
        <v>-4</v>
      </c>
      <c r="I537" s="89">
        <v>-1</v>
      </c>
      <c r="J537" s="89" t="s">
        <v>210</v>
      </c>
      <c r="K537" s="89">
        <v>2</v>
      </c>
      <c r="L537" s="89" t="s">
        <v>210</v>
      </c>
      <c r="M537" s="89" t="s">
        <v>210</v>
      </c>
      <c r="N537" s="89">
        <v>3</v>
      </c>
      <c r="O537" s="89">
        <v>-6</v>
      </c>
      <c r="P537" s="89" t="s">
        <v>210</v>
      </c>
      <c r="Q537" s="89"/>
      <c r="R537" s="89"/>
      <c r="S537" s="89"/>
      <c r="T537" s="89"/>
      <c r="U537" s="89"/>
      <c r="V537" s="89"/>
      <c r="W537" s="89"/>
      <c r="X537" s="89"/>
      <c r="Y537" s="89"/>
      <c r="Z537" s="89"/>
      <c r="AA537" s="89"/>
      <c r="AB537" s="89"/>
      <c r="AC537" s="89"/>
      <c r="AD537" s="89"/>
      <c r="AE537" s="89"/>
      <c r="AF537" s="89"/>
      <c r="AG537" s="89"/>
      <c r="AH537" s="89"/>
      <c r="AI537" s="89"/>
      <c r="AJ537" s="89"/>
      <c r="AK537" s="89"/>
      <c r="AL537" s="89"/>
      <c r="AM537" s="89"/>
      <c r="AN537" s="89"/>
      <c r="AO537" s="89"/>
      <c r="AP537" s="89"/>
      <c r="AQ537" s="89"/>
      <c r="AR537" s="89"/>
      <c r="AS537" s="89"/>
      <c r="AT537" s="89"/>
      <c r="AU537" s="89"/>
      <c r="AV537" s="89"/>
      <c r="AW537" s="89"/>
      <c r="AX537" s="89"/>
      <c r="AY537" s="89"/>
      <c r="AZ537" s="89"/>
      <c r="BA537" s="95"/>
    </row>
    <row r="538" spans="1:53" s="87" customFormat="1">
      <c r="A538" s="374" t="str">
        <f t="shared" si="56"/>
        <v/>
      </c>
      <c r="B538" s="89">
        <v>21</v>
      </c>
      <c r="C538" s="89" t="s">
        <v>210</v>
      </c>
      <c r="D538" s="89">
        <v>-1</v>
      </c>
      <c r="E538" s="89">
        <v>-3</v>
      </c>
      <c r="F538" s="89" t="s">
        <v>210</v>
      </c>
      <c r="G538" s="89">
        <v>5</v>
      </c>
      <c r="H538" s="89" t="s">
        <v>210</v>
      </c>
      <c r="I538" s="89" t="s">
        <v>210</v>
      </c>
      <c r="J538" s="89">
        <v>6</v>
      </c>
      <c r="K538" s="89" t="s">
        <v>210</v>
      </c>
      <c r="L538" s="89">
        <v>-2</v>
      </c>
      <c r="M538" s="89">
        <v>-4</v>
      </c>
      <c r="N538" s="89" t="s">
        <v>210</v>
      </c>
      <c r="O538" s="89" t="s">
        <v>210</v>
      </c>
      <c r="P538" s="89">
        <v>1</v>
      </c>
      <c r="Q538" s="89"/>
      <c r="R538" s="89"/>
      <c r="S538" s="89"/>
      <c r="T538" s="89"/>
      <c r="U538" s="89"/>
      <c r="V538" s="89"/>
      <c r="W538" s="89"/>
      <c r="X538" s="89"/>
      <c r="Y538" s="89"/>
      <c r="Z538" s="89"/>
      <c r="AA538" s="89"/>
      <c r="AB538" s="89"/>
      <c r="AC538" s="89"/>
      <c r="AD538" s="89"/>
      <c r="AE538" s="89"/>
      <c r="AF538" s="89"/>
      <c r="AG538" s="89"/>
      <c r="AH538" s="89"/>
      <c r="AI538" s="89"/>
      <c r="AJ538" s="89"/>
      <c r="AK538" s="89"/>
      <c r="AL538" s="89"/>
      <c r="AM538" s="89"/>
      <c r="AN538" s="89"/>
      <c r="AO538" s="89"/>
      <c r="AP538" s="89"/>
      <c r="AQ538" s="89"/>
      <c r="AR538" s="89"/>
      <c r="AS538" s="89"/>
      <c r="AT538" s="89"/>
      <c r="AU538" s="89"/>
      <c r="AV538" s="89"/>
      <c r="AW538" s="89"/>
      <c r="AX538" s="89"/>
      <c r="AY538" s="89"/>
      <c r="AZ538" s="89"/>
      <c r="BA538" s="95"/>
    </row>
    <row r="539" spans="1:53" s="87" customFormat="1">
      <c r="A539" s="374" t="str">
        <f t="shared" si="56"/>
        <v/>
      </c>
      <c r="B539" s="89">
        <v>22</v>
      </c>
      <c r="C539" s="89">
        <v>1</v>
      </c>
      <c r="D539" s="89" t="s">
        <v>210</v>
      </c>
      <c r="E539" s="89" t="s">
        <v>210</v>
      </c>
      <c r="F539" s="89">
        <v>-2</v>
      </c>
      <c r="G539" s="89" t="s">
        <v>210</v>
      </c>
      <c r="H539" s="89">
        <v>4</v>
      </c>
      <c r="I539" s="89">
        <v>-6</v>
      </c>
      <c r="J539" s="89" t="s">
        <v>210</v>
      </c>
      <c r="K539" s="89" t="s">
        <v>210</v>
      </c>
      <c r="L539" s="89">
        <v>5</v>
      </c>
      <c r="M539" s="89">
        <v>-3</v>
      </c>
      <c r="N539" s="89" t="s">
        <v>210</v>
      </c>
      <c r="O539" s="89" t="s">
        <v>210</v>
      </c>
      <c r="P539" s="89">
        <v>-1</v>
      </c>
      <c r="Q539" s="89"/>
      <c r="R539" s="89"/>
      <c r="S539" s="89"/>
      <c r="T539" s="89"/>
      <c r="U539" s="89"/>
      <c r="V539" s="89"/>
      <c r="W539" s="89"/>
      <c r="X539" s="89"/>
      <c r="Y539" s="89"/>
      <c r="Z539" s="89"/>
      <c r="AA539" s="89"/>
      <c r="AB539" s="89"/>
      <c r="AC539" s="89"/>
      <c r="AD539" s="89"/>
      <c r="AE539" s="89"/>
      <c r="AF539" s="89"/>
      <c r="AG539" s="89"/>
      <c r="AH539" s="89"/>
      <c r="AI539" s="89"/>
      <c r="AJ539" s="89"/>
      <c r="AK539" s="89"/>
      <c r="AL539" s="89"/>
      <c r="AM539" s="89"/>
      <c r="AN539" s="89"/>
      <c r="AO539" s="89"/>
      <c r="AP539" s="89"/>
      <c r="AQ539" s="89"/>
      <c r="AR539" s="89"/>
      <c r="AS539" s="89"/>
      <c r="AT539" s="89"/>
      <c r="AU539" s="89"/>
      <c r="AV539" s="89"/>
      <c r="AW539" s="89"/>
      <c r="AX539" s="89"/>
      <c r="AY539" s="89"/>
      <c r="AZ539" s="89"/>
      <c r="BA539" s="95"/>
    </row>
    <row r="540" spans="1:53" s="87" customFormat="1">
      <c r="A540" s="374" t="str">
        <f t="shared" si="56"/>
        <v/>
      </c>
      <c r="B540" s="89">
        <v>23</v>
      </c>
      <c r="C540" s="89">
        <v>-6</v>
      </c>
      <c r="D540" s="89" t="s">
        <v>210</v>
      </c>
      <c r="E540" s="89" t="s">
        <v>210</v>
      </c>
      <c r="F540" s="89">
        <v>-3</v>
      </c>
      <c r="G540" s="89" t="s">
        <v>210</v>
      </c>
      <c r="H540" s="89">
        <v>2</v>
      </c>
      <c r="I540" s="89">
        <v>1</v>
      </c>
      <c r="J540" s="89" t="s">
        <v>210</v>
      </c>
      <c r="K540" s="89" t="s">
        <v>210</v>
      </c>
      <c r="L540" s="89">
        <v>-5</v>
      </c>
      <c r="M540" s="89">
        <v>4</v>
      </c>
      <c r="N540" s="89" t="s">
        <v>210</v>
      </c>
      <c r="O540" s="89" t="s">
        <v>210</v>
      </c>
      <c r="P540" s="89">
        <v>6</v>
      </c>
      <c r="Q540" s="89"/>
      <c r="R540" s="89"/>
      <c r="S540" s="89"/>
      <c r="T540" s="89"/>
      <c r="U540" s="89"/>
      <c r="V540" s="89"/>
      <c r="W540" s="89"/>
      <c r="X540" s="89"/>
      <c r="Y540" s="89"/>
      <c r="Z540" s="89"/>
      <c r="AA540" s="89"/>
      <c r="AB540" s="89"/>
      <c r="AC540" s="89"/>
      <c r="AD540" s="89"/>
      <c r="AE540" s="89"/>
      <c r="AF540" s="89"/>
      <c r="AG540" s="89"/>
      <c r="AH540" s="89"/>
      <c r="AI540" s="89"/>
      <c r="AJ540" s="89"/>
      <c r="AK540" s="89"/>
      <c r="AL540" s="89"/>
      <c r="AM540" s="89"/>
      <c r="AN540" s="89"/>
      <c r="AO540" s="89"/>
      <c r="AP540" s="89"/>
      <c r="AQ540" s="89"/>
      <c r="AR540" s="89"/>
      <c r="AS540" s="89"/>
      <c r="AT540" s="89"/>
      <c r="AU540" s="89"/>
      <c r="AV540" s="89"/>
      <c r="AW540" s="89"/>
      <c r="AX540" s="89"/>
      <c r="AY540" s="89"/>
      <c r="AZ540" s="89"/>
      <c r="BA540" s="95"/>
    </row>
    <row r="541" spans="1:53" s="87" customFormat="1">
      <c r="A541" s="374" t="str">
        <f t="shared" si="56"/>
        <v/>
      </c>
      <c r="B541" s="89">
        <v>24</v>
      </c>
      <c r="C541" s="89" t="s">
        <v>210</v>
      </c>
      <c r="D541" s="89">
        <v>6</v>
      </c>
      <c r="E541" s="89">
        <v>-5</v>
      </c>
      <c r="F541" s="89" t="s">
        <v>210</v>
      </c>
      <c r="G541" s="89">
        <v>4</v>
      </c>
      <c r="H541" s="89" t="s">
        <v>210</v>
      </c>
      <c r="I541" s="89" t="s">
        <v>210</v>
      </c>
      <c r="J541" s="89">
        <v>-1</v>
      </c>
      <c r="K541" s="89" t="s">
        <v>210</v>
      </c>
      <c r="L541" s="89">
        <v>2</v>
      </c>
      <c r="M541" s="89">
        <v>3</v>
      </c>
      <c r="N541" s="89" t="s">
        <v>210</v>
      </c>
      <c r="O541" s="89" t="s">
        <v>210</v>
      </c>
      <c r="P541" s="89">
        <v>-6</v>
      </c>
      <c r="Q541" s="89"/>
      <c r="R541" s="89"/>
      <c r="S541" s="89"/>
      <c r="T541" s="89"/>
      <c r="U541" s="89"/>
      <c r="V541" s="89"/>
      <c r="W541" s="89"/>
      <c r="X541" s="89"/>
      <c r="Y541" s="89"/>
      <c r="Z541" s="89"/>
      <c r="AA541" s="89"/>
      <c r="AB541" s="89"/>
      <c r="AC541" s="89"/>
      <c r="AD541" s="89"/>
      <c r="AE541" s="89"/>
      <c r="AF541" s="89"/>
      <c r="AG541" s="89"/>
      <c r="AH541" s="89"/>
      <c r="AI541" s="89"/>
      <c r="AJ541" s="89"/>
      <c r="AK541" s="89"/>
      <c r="AL541" s="89"/>
      <c r="AM541" s="89"/>
      <c r="AN541" s="89"/>
      <c r="AO541" s="89"/>
      <c r="AP541" s="89"/>
      <c r="AQ541" s="89"/>
      <c r="AR541" s="89"/>
      <c r="AS541" s="89"/>
      <c r="AT541" s="89"/>
      <c r="AU541" s="89"/>
      <c r="AV541" s="89"/>
      <c r="AW541" s="89"/>
      <c r="AX541" s="89"/>
      <c r="AY541" s="89"/>
      <c r="AZ541" s="89"/>
      <c r="BA541" s="95"/>
    </row>
    <row r="542" spans="1:53" s="87" customFormat="1">
      <c r="A542" s="374" t="str">
        <f t="shared" si="56"/>
        <v/>
      </c>
      <c r="B542" s="89" t="s">
        <v>376</v>
      </c>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c r="AA542" s="89"/>
      <c r="AB542" s="89"/>
      <c r="AC542" s="89"/>
      <c r="AD542" s="89"/>
      <c r="AE542" s="89"/>
      <c r="AF542" s="89"/>
      <c r="AG542" s="89"/>
      <c r="AH542" s="89"/>
      <c r="AI542" s="89"/>
      <c r="AJ542" s="89"/>
      <c r="AK542" s="89"/>
      <c r="AL542" s="89"/>
      <c r="AM542" s="89"/>
      <c r="AN542" s="89"/>
      <c r="AO542" s="89"/>
      <c r="AP542" s="89"/>
      <c r="AQ542" s="89"/>
      <c r="AR542" s="89"/>
      <c r="AS542" s="89"/>
      <c r="AT542" s="89"/>
      <c r="AU542" s="89"/>
      <c r="AV542" s="89"/>
      <c r="AW542" s="89"/>
      <c r="AX542" s="89"/>
      <c r="AY542" s="89"/>
      <c r="AZ542" s="89"/>
      <c r="BA542" s="95"/>
    </row>
    <row r="543" spans="1:53" s="87" customFormat="1">
      <c r="A543" s="374">
        <f t="shared" si="56"/>
        <v>543</v>
      </c>
      <c r="B543" s="89" t="s">
        <v>377</v>
      </c>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9"/>
      <c r="AC543" s="89"/>
      <c r="AD543" s="89"/>
      <c r="AE543" s="89"/>
      <c r="AF543" s="89"/>
      <c r="AG543" s="89"/>
      <c r="AH543" s="89"/>
      <c r="AI543" s="89"/>
      <c r="AJ543" s="89"/>
      <c r="AK543" s="89"/>
      <c r="AL543" s="89"/>
      <c r="AM543" s="89"/>
      <c r="AN543" s="89"/>
      <c r="AO543" s="89"/>
      <c r="AP543" s="89"/>
      <c r="AQ543" s="89"/>
      <c r="AR543" s="89"/>
      <c r="AS543" s="89"/>
      <c r="AT543" s="89"/>
      <c r="AU543" s="89"/>
      <c r="AV543" s="89"/>
      <c r="AW543" s="89"/>
      <c r="AX543" s="89"/>
      <c r="AY543" s="89"/>
      <c r="AZ543" s="89"/>
      <c r="BA543" s="95"/>
    </row>
    <row r="544" spans="1:53" s="87" customFormat="1">
      <c r="A544" s="374" t="str">
        <f t="shared" si="56"/>
        <v/>
      </c>
      <c r="B544" s="89">
        <v>1</v>
      </c>
      <c r="C544" s="89">
        <v>-5</v>
      </c>
      <c r="D544" s="89" t="s">
        <v>210</v>
      </c>
      <c r="E544" s="89" t="s">
        <v>210</v>
      </c>
      <c r="F544" s="89">
        <v>4</v>
      </c>
      <c r="G544" s="89">
        <v>-6</v>
      </c>
      <c r="H544" s="89" t="s">
        <v>210</v>
      </c>
      <c r="I544" s="89" t="s">
        <v>210</v>
      </c>
      <c r="J544" s="89">
        <v>2</v>
      </c>
      <c r="K544" s="89">
        <v>-3</v>
      </c>
      <c r="L544" s="89" t="s">
        <v>210</v>
      </c>
      <c r="M544" s="89"/>
      <c r="N544" s="89"/>
      <c r="O544" s="89"/>
      <c r="P544" s="89"/>
      <c r="Q544" s="89"/>
      <c r="R544" s="89"/>
      <c r="S544" s="89"/>
      <c r="T544" s="89"/>
      <c r="U544" s="89"/>
      <c r="V544" s="89"/>
      <c r="W544" s="89"/>
      <c r="X544" s="89"/>
      <c r="Y544" s="89"/>
      <c r="Z544" s="89"/>
      <c r="AA544" s="89"/>
      <c r="AB544" s="89"/>
      <c r="AC544" s="89"/>
      <c r="AD544" s="89"/>
      <c r="AE544" s="89"/>
      <c r="AF544" s="89"/>
      <c r="AG544" s="89"/>
      <c r="AH544" s="89"/>
      <c r="AI544" s="89"/>
      <c r="AJ544" s="89"/>
      <c r="AK544" s="89"/>
      <c r="AL544" s="89"/>
      <c r="AM544" s="89"/>
      <c r="AN544" s="89"/>
      <c r="AO544" s="89"/>
      <c r="AP544" s="89"/>
      <c r="AQ544" s="89"/>
      <c r="AR544" s="89"/>
      <c r="AS544" s="89"/>
      <c r="AT544" s="89"/>
      <c r="AU544" s="89"/>
      <c r="AV544" s="89"/>
      <c r="AW544" s="89"/>
      <c r="AX544" s="89"/>
      <c r="AY544" s="89"/>
      <c r="AZ544" s="89"/>
      <c r="BA544" s="95"/>
    </row>
    <row r="545" spans="1:53" s="87" customFormat="1">
      <c r="A545" s="374" t="str">
        <f t="shared" si="56"/>
        <v/>
      </c>
      <c r="B545" s="89">
        <v>2</v>
      </c>
      <c r="C545" s="89">
        <v>-6</v>
      </c>
      <c r="D545" s="89" t="s">
        <v>210</v>
      </c>
      <c r="E545" s="89" t="s">
        <v>210</v>
      </c>
      <c r="F545" s="89">
        <v>2</v>
      </c>
      <c r="G545" s="89">
        <v>5</v>
      </c>
      <c r="H545" s="89" t="s">
        <v>210</v>
      </c>
      <c r="I545" s="89" t="s">
        <v>210</v>
      </c>
      <c r="J545" s="89">
        <v>-1</v>
      </c>
      <c r="K545" s="89">
        <v>3</v>
      </c>
      <c r="L545" s="89" t="s">
        <v>210</v>
      </c>
      <c r="M545" s="89"/>
      <c r="N545" s="89"/>
      <c r="O545" s="89"/>
      <c r="P545" s="89"/>
      <c r="Q545" s="89"/>
      <c r="R545" s="89"/>
      <c r="S545" s="89"/>
      <c r="T545" s="89"/>
      <c r="U545" s="89"/>
      <c r="V545" s="89"/>
      <c r="W545" s="89"/>
      <c r="X545" s="89"/>
      <c r="Y545" s="89"/>
      <c r="Z545" s="89"/>
      <c r="AA545" s="89"/>
      <c r="AB545" s="89"/>
      <c r="AC545" s="89"/>
      <c r="AD545" s="89"/>
      <c r="AE545" s="89"/>
      <c r="AF545" s="89"/>
      <c r="AG545" s="89"/>
      <c r="AH545" s="89"/>
      <c r="AI545" s="89"/>
      <c r="AJ545" s="89"/>
      <c r="AK545" s="89"/>
      <c r="AL545" s="89"/>
      <c r="AM545" s="89"/>
      <c r="AN545" s="89"/>
      <c r="AO545" s="89"/>
      <c r="AP545" s="89"/>
      <c r="AQ545" s="89"/>
      <c r="AR545" s="89"/>
      <c r="AS545" s="89"/>
      <c r="AT545" s="89"/>
      <c r="AU545" s="89"/>
      <c r="AV545" s="89"/>
      <c r="AW545" s="89"/>
      <c r="AX545" s="89"/>
      <c r="AY545" s="89"/>
      <c r="AZ545" s="89"/>
      <c r="BA545" s="95"/>
    </row>
    <row r="546" spans="1:53" s="87" customFormat="1">
      <c r="A546" s="374" t="str">
        <f t="shared" si="56"/>
        <v/>
      </c>
      <c r="B546" s="89">
        <v>3</v>
      </c>
      <c r="C546" s="89">
        <v>-3</v>
      </c>
      <c r="D546" s="89" t="s">
        <v>210</v>
      </c>
      <c r="E546" s="89" t="s">
        <v>210</v>
      </c>
      <c r="F546" s="89">
        <v>-2</v>
      </c>
      <c r="G546" s="89">
        <v>6</v>
      </c>
      <c r="H546" s="89" t="s">
        <v>210</v>
      </c>
      <c r="I546" s="89" t="s">
        <v>210</v>
      </c>
      <c r="J546" s="89">
        <v>-5</v>
      </c>
      <c r="K546" s="89">
        <v>4</v>
      </c>
      <c r="L546" s="89" t="s">
        <v>210</v>
      </c>
      <c r="M546" s="89"/>
      <c r="N546" s="89"/>
      <c r="O546" s="89"/>
      <c r="P546" s="89"/>
      <c r="Q546" s="89"/>
      <c r="R546" s="89"/>
      <c r="S546" s="89"/>
      <c r="T546" s="89"/>
      <c r="U546" s="89"/>
      <c r="V546" s="89"/>
      <c r="W546" s="89"/>
      <c r="X546" s="89"/>
      <c r="Y546" s="89"/>
      <c r="Z546" s="89"/>
      <c r="AA546" s="89"/>
      <c r="AB546" s="89"/>
      <c r="AC546" s="89"/>
      <c r="AD546" s="89"/>
      <c r="AE546" s="89"/>
      <c r="AF546" s="89"/>
      <c r="AG546" s="89"/>
      <c r="AH546" s="89"/>
      <c r="AI546" s="89"/>
      <c r="AJ546" s="89"/>
      <c r="AK546" s="89"/>
      <c r="AL546" s="89"/>
      <c r="AM546" s="89"/>
      <c r="AN546" s="89"/>
      <c r="AO546" s="89"/>
      <c r="AP546" s="89"/>
      <c r="AQ546" s="89"/>
      <c r="AR546" s="89"/>
      <c r="AS546" s="89"/>
      <c r="AT546" s="89"/>
      <c r="AU546" s="89"/>
      <c r="AV546" s="89"/>
      <c r="AW546" s="89"/>
      <c r="AX546" s="89"/>
      <c r="AY546" s="89"/>
      <c r="AZ546" s="89"/>
      <c r="BA546" s="95"/>
    </row>
    <row r="547" spans="1:53" s="87" customFormat="1">
      <c r="A547" s="374" t="str">
        <f t="shared" si="56"/>
        <v/>
      </c>
      <c r="B547" s="98">
        <v>4</v>
      </c>
      <c r="C547" s="94">
        <v>5</v>
      </c>
      <c r="D547" s="94" t="s">
        <v>210</v>
      </c>
      <c r="E547" s="94" t="s">
        <v>210</v>
      </c>
      <c r="F547" s="94">
        <v>-6</v>
      </c>
      <c r="G547" s="94">
        <v>2</v>
      </c>
      <c r="H547" s="94" t="s">
        <v>210</v>
      </c>
      <c r="I547" s="94" t="s">
        <v>210</v>
      </c>
      <c r="J547" s="94">
        <v>1</v>
      </c>
      <c r="K547" s="94">
        <v>-4</v>
      </c>
      <c r="L547" s="94" t="s">
        <v>210</v>
      </c>
      <c r="M547" s="89"/>
      <c r="N547" s="89"/>
      <c r="O547" s="89"/>
      <c r="P547" s="89"/>
      <c r="Q547" s="89"/>
      <c r="R547" s="89"/>
      <c r="S547" s="89"/>
      <c r="T547" s="89"/>
      <c r="U547" s="89"/>
      <c r="V547" s="89"/>
      <c r="W547" s="89"/>
      <c r="X547" s="89"/>
      <c r="Y547" s="89"/>
      <c r="Z547" s="89"/>
      <c r="AA547" s="89"/>
      <c r="AB547" s="89"/>
      <c r="AC547" s="89"/>
      <c r="AD547" s="89"/>
      <c r="AE547" s="89"/>
      <c r="AF547" s="89"/>
      <c r="AG547" s="89"/>
      <c r="AH547" s="89"/>
      <c r="AI547" s="89"/>
      <c r="AJ547" s="89"/>
      <c r="AK547" s="89"/>
      <c r="AL547" s="89"/>
      <c r="AM547" s="89"/>
      <c r="AN547" s="89"/>
      <c r="AO547" s="89"/>
      <c r="AP547" s="89"/>
      <c r="AQ547" s="89"/>
      <c r="AR547" s="89"/>
      <c r="AS547" s="89"/>
      <c r="AT547" s="89"/>
      <c r="AU547" s="89"/>
      <c r="AV547" s="89"/>
      <c r="AW547" s="89"/>
      <c r="AX547" s="89"/>
      <c r="AY547" s="89"/>
      <c r="AZ547" s="89"/>
      <c r="BA547" s="95"/>
    </row>
    <row r="548" spans="1:53" s="87" customFormat="1">
      <c r="A548" s="374" t="str">
        <f t="shared" si="56"/>
        <v/>
      </c>
      <c r="B548" s="98">
        <v>5</v>
      </c>
      <c r="C548" s="94">
        <v>6</v>
      </c>
      <c r="D548" s="94" t="s">
        <v>210</v>
      </c>
      <c r="E548" s="94" t="s">
        <v>210</v>
      </c>
      <c r="F548" s="94">
        <v>-4</v>
      </c>
      <c r="G548" s="94">
        <v>-2</v>
      </c>
      <c r="H548" s="94" t="s">
        <v>210</v>
      </c>
      <c r="I548" s="94" t="s">
        <v>210</v>
      </c>
      <c r="J548" s="94">
        <v>5</v>
      </c>
      <c r="K548" s="94">
        <v>-1</v>
      </c>
      <c r="L548" s="94" t="s">
        <v>210</v>
      </c>
      <c r="M548" s="89"/>
      <c r="N548" s="89"/>
      <c r="O548" s="89"/>
      <c r="P548" s="89"/>
      <c r="Q548" s="89"/>
      <c r="R548" s="89"/>
      <c r="S548" s="89"/>
      <c r="T548" s="89"/>
      <c r="U548" s="89"/>
      <c r="V548" s="89"/>
      <c r="W548" s="89"/>
      <c r="X548" s="89"/>
      <c r="Y548" s="89"/>
      <c r="Z548" s="89"/>
      <c r="AA548" s="89"/>
      <c r="AB548" s="89"/>
      <c r="AC548" s="89"/>
      <c r="AD548" s="89"/>
      <c r="AE548" s="89"/>
      <c r="AF548" s="89"/>
      <c r="AG548" s="89"/>
      <c r="AH548" s="89"/>
      <c r="AI548" s="89"/>
      <c r="AJ548" s="89"/>
      <c r="AK548" s="89"/>
      <c r="AL548" s="89"/>
      <c r="AM548" s="89"/>
      <c r="AN548" s="89"/>
      <c r="AO548" s="89"/>
      <c r="AP548" s="89"/>
      <c r="AQ548" s="89"/>
      <c r="AR548" s="89"/>
      <c r="AS548" s="89"/>
      <c r="AT548" s="89"/>
      <c r="AU548" s="89"/>
      <c r="AV548" s="89"/>
      <c r="AW548" s="89"/>
      <c r="AX548" s="89"/>
      <c r="AY548" s="89"/>
      <c r="AZ548" s="89"/>
      <c r="BA548" s="95"/>
    </row>
    <row r="549" spans="1:53" s="87" customFormat="1">
      <c r="A549" s="374" t="str">
        <f t="shared" si="56"/>
        <v/>
      </c>
      <c r="B549" s="99">
        <v>6</v>
      </c>
      <c r="C549" s="92">
        <v>3</v>
      </c>
      <c r="D549" s="92" t="s">
        <v>210</v>
      </c>
      <c r="E549" s="92" t="s">
        <v>210</v>
      </c>
      <c r="F549" s="92">
        <v>6</v>
      </c>
      <c r="G549" s="92">
        <v>-5</v>
      </c>
      <c r="H549" s="92" t="s">
        <v>210</v>
      </c>
      <c r="I549" s="92" t="s">
        <v>210</v>
      </c>
      <c r="J549" s="92">
        <v>-2</v>
      </c>
      <c r="K549" s="92">
        <v>1</v>
      </c>
      <c r="L549" s="92" t="s">
        <v>210</v>
      </c>
      <c r="M549" s="89"/>
      <c r="N549" s="89"/>
      <c r="O549" s="89"/>
      <c r="P549" s="89"/>
      <c r="Q549" s="89"/>
      <c r="R549" s="89"/>
      <c r="S549" s="89"/>
      <c r="T549" s="89"/>
      <c r="U549" s="89"/>
      <c r="V549" s="89"/>
      <c r="W549" s="89"/>
      <c r="X549" s="89"/>
      <c r="Y549" s="89"/>
      <c r="Z549" s="89"/>
      <c r="AA549" s="89"/>
      <c r="AB549" s="89"/>
      <c r="AC549" s="89"/>
      <c r="AD549" s="89"/>
      <c r="AE549" s="89"/>
      <c r="AF549" s="89"/>
      <c r="AG549" s="89"/>
      <c r="AH549" s="89"/>
      <c r="AI549" s="89"/>
      <c r="AJ549" s="89"/>
      <c r="AK549" s="89"/>
      <c r="AL549" s="89"/>
      <c r="AM549" s="89"/>
      <c r="AN549" s="89"/>
      <c r="AO549" s="89"/>
      <c r="AP549" s="89"/>
      <c r="AQ549" s="89"/>
      <c r="AR549" s="89"/>
      <c r="AS549" s="89"/>
      <c r="AT549" s="89"/>
      <c r="AU549" s="89"/>
      <c r="AV549" s="89"/>
      <c r="AW549" s="89"/>
      <c r="AX549" s="89"/>
      <c r="AY549" s="89"/>
      <c r="AZ549" s="89"/>
      <c r="BA549" s="95"/>
    </row>
    <row r="550" spans="1:53" s="87" customFormat="1">
      <c r="A550" s="374" t="str">
        <f t="shared" si="56"/>
        <v/>
      </c>
      <c r="B550" s="98">
        <v>7</v>
      </c>
      <c r="C550" s="94">
        <v>-4</v>
      </c>
      <c r="D550" s="94" t="s">
        <v>210</v>
      </c>
      <c r="E550" s="94" t="s">
        <v>210</v>
      </c>
      <c r="F550" s="94">
        <v>5</v>
      </c>
      <c r="G550" s="94">
        <v>-1</v>
      </c>
      <c r="H550" s="94" t="s">
        <v>210</v>
      </c>
      <c r="I550" s="94" t="s">
        <v>210</v>
      </c>
      <c r="J550" s="94">
        <v>3</v>
      </c>
      <c r="K550" s="94">
        <v>2</v>
      </c>
      <c r="L550" s="94" t="s">
        <v>210</v>
      </c>
      <c r="M550" s="89"/>
      <c r="N550" s="89"/>
      <c r="O550" s="89"/>
      <c r="P550" s="89"/>
      <c r="Q550" s="89"/>
      <c r="R550" s="89"/>
      <c r="S550" s="89"/>
      <c r="T550" s="89"/>
      <c r="U550" s="89"/>
      <c r="V550" s="89"/>
      <c r="W550" s="89"/>
      <c r="X550" s="89"/>
      <c r="Y550" s="89"/>
      <c r="Z550" s="89"/>
      <c r="AA550" s="89"/>
      <c r="AB550" s="89"/>
      <c r="AC550" s="89"/>
      <c r="AD550" s="89"/>
      <c r="AE550" s="89"/>
      <c r="AF550" s="89"/>
      <c r="AG550" s="89"/>
      <c r="AH550" s="89"/>
      <c r="AI550" s="89"/>
      <c r="AJ550" s="89"/>
      <c r="AK550" s="89"/>
      <c r="AL550" s="89"/>
      <c r="AM550" s="89"/>
      <c r="AN550" s="89"/>
      <c r="AO550" s="89"/>
      <c r="AP550" s="89"/>
      <c r="AQ550" s="89"/>
      <c r="AR550" s="89"/>
      <c r="AS550" s="89"/>
      <c r="AT550" s="89"/>
      <c r="AU550" s="89"/>
      <c r="AV550" s="89"/>
      <c r="AW550" s="89"/>
      <c r="AX550" s="89"/>
      <c r="AY550" s="89"/>
      <c r="AZ550" s="89"/>
      <c r="BA550" s="95"/>
    </row>
    <row r="551" spans="1:53" s="87" customFormat="1">
      <c r="A551" s="374" t="str">
        <f t="shared" si="56"/>
        <v/>
      </c>
      <c r="B551" s="98">
        <v>8</v>
      </c>
      <c r="C551" s="94">
        <v>-1</v>
      </c>
      <c r="D551" s="94" t="s">
        <v>210</v>
      </c>
      <c r="E551" s="94" t="s">
        <v>210</v>
      </c>
      <c r="F551" s="94">
        <v>3</v>
      </c>
      <c r="G551" s="94">
        <v>4</v>
      </c>
      <c r="H551" s="94" t="s">
        <v>210</v>
      </c>
      <c r="I551" s="94" t="s">
        <v>210</v>
      </c>
      <c r="J551" s="94">
        <v>-6</v>
      </c>
      <c r="K551" s="94">
        <v>-2</v>
      </c>
      <c r="L551" s="94" t="s">
        <v>210</v>
      </c>
      <c r="M551" s="89"/>
      <c r="N551" s="89"/>
      <c r="O551" s="89"/>
      <c r="P551" s="89"/>
      <c r="Q551" s="89"/>
      <c r="R551" s="89"/>
      <c r="S551" s="89"/>
      <c r="T551" s="89"/>
      <c r="U551" s="89"/>
      <c r="V551" s="89"/>
      <c r="W551" s="89"/>
      <c r="X551" s="89"/>
      <c r="Y551" s="89"/>
      <c r="Z551" s="89"/>
      <c r="AA551" s="89"/>
      <c r="AB551" s="89"/>
      <c r="AC551" s="89"/>
      <c r="AD551" s="89"/>
      <c r="AE551" s="89"/>
      <c r="AF551" s="89"/>
      <c r="AG551" s="89"/>
      <c r="AH551" s="89"/>
      <c r="AI551" s="89"/>
      <c r="AJ551" s="89"/>
      <c r="AK551" s="89"/>
      <c r="AL551" s="89"/>
      <c r="AM551" s="89"/>
      <c r="AN551" s="89"/>
      <c r="AO551" s="89"/>
      <c r="AP551" s="89"/>
      <c r="AQ551" s="89"/>
      <c r="AR551" s="89"/>
      <c r="AS551" s="89"/>
      <c r="AT551" s="89"/>
      <c r="AU551" s="89"/>
      <c r="AV551" s="89"/>
      <c r="AW551" s="89"/>
      <c r="AX551" s="89"/>
      <c r="AY551" s="89"/>
      <c r="AZ551" s="89"/>
      <c r="BA551" s="95"/>
    </row>
    <row r="552" spans="1:53" s="87" customFormat="1">
      <c r="A552" s="374" t="str">
        <f t="shared" si="56"/>
        <v/>
      </c>
      <c r="B552" s="98">
        <v>9</v>
      </c>
      <c r="C552" s="94">
        <v>2</v>
      </c>
      <c r="D552" s="94" t="s">
        <v>210</v>
      </c>
      <c r="E552" s="94" t="s">
        <v>210</v>
      </c>
      <c r="F552" s="94">
        <v>-3</v>
      </c>
      <c r="G552" s="94">
        <v>1</v>
      </c>
      <c r="H552" s="94" t="s">
        <v>210</v>
      </c>
      <c r="I552" s="94" t="s">
        <v>210</v>
      </c>
      <c r="J552" s="94">
        <v>-4</v>
      </c>
      <c r="K552" s="94">
        <v>5</v>
      </c>
      <c r="L552" s="94" t="s">
        <v>210</v>
      </c>
      <c r="M552" s="89"/>
      <c r="N552" s="89"/>
      <c r="O552" s="89"/>
      <c r="P552" s="89"/>
      <c r="Q552" s="89"/>
      <c r="R552" s="89"/>
      <c r="S552" s="89"/>
      <c r="T552" s="89"/>
      <c r="U552" s="89"/>
      <c r="V552" s="89"/>
      <c r="W552" s="89"/>
      <c r="X552" s="89"/>
      <c r="Y552" s="89"/>
      <c r="Z552" s="89"/>
      <c r="AA552" s="89"/>
      <c r="AB552" s="89"/>
      <c r="AC552" s="89"/>
      <c r="AD552" s="89"/>
      <c r="AE552" s="89"/>
      <c r="AF552" s="89"/>
      <c r="AG552" s="89"/>
      <c r="AH552" s="89"/>
      <c r="AI552" s="89"/>
      <c r="AJ552" s="89"/>
      <c r="AK552" s="89"/>
      <c r="AL552" s="89"/>
      <c r="AM552" s="89"/>
      <c r="AN552" s="89"/>
      <c r="AO552" s="89"/>
      <c r="AP552" s="89"/>
      <c r="AQ552" s="89"/>
      <c r="AR552" s="89"/>
      <c r="AS552" s="89"/>
      <c r="AT552" s="89"/>
      <c r="AU552" s="89"/>
      <c r="AV552" s="89"/>
      <c r="AW552" s="89"/>
      <c r="AX552" s="89"/>
      <c r="AY552" s="89"/>
      <c r="AZ552" s="89"/>
      <c r="BA552" s="95"/>
    </row>
    <row r="553" spans="1:53" s="87" customFormat="1">
      <c r="A553" s="374" t="str">
        <f t="shared" si="56"/>
        <v/>
      </c>
      <c r="B553" s="98">
        <v>10</v>
      </c>
      <c r="C553" s="94">
        <v>4</v>
      </c>
      <c r="D553" s="94" t="s">
        <v>210</v>
      </c>
      <c r="E553" s="94" t="s">
        <v>210</v>
      </c>
      <c r="F553" s="94">
        <v>-1</v>
      </c>
      <c r="G553" s="94">
        <v>-3</v>
      </c>
      <c r="H553" s="94" t="s">
        <v>210</v>
      </c>
      <c r="I553" s="94" t="s">
        <v>210</v>
      </c>
      <c r="J553" s="94">
        <v>6</v>
      </c>
      <c r="K553" s="94">
        <v>-5</v>
      </c>
      <c r="L553" s="94" t="s">
        <v>210</v>
      </c>
      <c r="M553" s="89"/>
      <c r="N553" s="89"/>
      <c r="O553" s="89"/>
      <c r="P553" s="89"/>
      <c r="Q553" s="89"/>
      <c r="R553" s="89"/>
      <c r="S553" s="89"/>
      <c r="T553" s="89"/>
      <c r="U553" s="89"/>
      <c r="V553" s="89"/>
      <c r="W553" s="89"/>
      <c r="X553" s="89"/>
      <c r="Y553" s="89"/>
      <c r="Z553" s="89"/>
      <c r="AA553" s="89"/>
      <c r="AB553" s="89"/>
      <c r="AC553" s="89"/>
      <c r="AD553" s="89"/>
      <c r="AE553" s="89"/>
      <c r="AF553" s="89"/>
      <c r="AG553" s="89"/>
      <c r="AH553" s="89"/>
      <c r="AI553" s="89"/>
      <c r="AJ553" s="89"/>
      <c r="AK553" s="89"/>
      <c r="AL553" s="89"/>
      <c r="AM553" s="89"/>
      <c r="AN553" s="89"/>
      <c r="AO553" s="89"/>
      <c r="AP553" s="89"/>
      <c r="AQ553" s="89"/>
      <c r="AR553" s="89"/>
      <c r="AS553" s="89"/>
      <c r="AT553" s="89"/>
      <c r="AU553" s="89"/>
      <c r="AV553" s="89"/>
      <c r="AW553" s="89"/>
      <c r="AX553" s="89"/>
      <c r="AY553" s="89"/>
      <c r="AZ553" s="89"/>
      <c r="BA553" s="95"/>
    </row>
    <row r="554" spans="1:53" s="87" customFormat="1">
      <c r="A554" s="374" t="str">
        <f t="shared" si="56"/>
        <v/>
      </c>
      <c r="B554" s="98">
        <v>11</v>
      </c>
      <c r="C554" s="94">
        <v>1</v>
      </c>
      <c r="D554" s="94" t="s">
        <v>210</v>
      </c>
      <c r="E554" s="94" t="s">
        <v>210</v>
      </c>
      <c r="F554" s="94">
        <v>-5</v>
      </c>
      <c r="G554" s="94">
        <v>3</v>
      </c>
      <c r="H554" s="94" t="s">
        <v>210</v>
      </c>
      <c r="I554" s="94" t="s">
        <v>210</v>
      </c>
      <c r="J554" s="94">
        <v>4</v>
      </c>
      <c r="K554" s="94">
        <v>-6</v>
      </c>
      <c r="L554" s="94" t="s">
        <v>210</v>
      </c>
      <c r="M554" s="89"/>
      <c r="N554" s="89"/>
      <c r="O554" s="89"/>
      <c r="P554" s="89"/>
      <c r="Q554" s="89"/>
      <c r="R554" s="89"/>
      <c r="S554" s="89"/>
      <c r="T554" s="89"/>
      <c r="U554" s="89"/>
      <c r="V554" s="89"/>
      <c r="W554" s="89"/>
      <c r="X554" s="89"/>
      <c r="Y554" s="89"/>
      <c r="Z554" s="89"/>
      <c r="AA554" s="89"/>
      <c r="AB554" s="89"/>
      <c r="AC554" s="89"/>
      <c r="AD554" s="89"/>
      <c r="AE554" s="89"/>
      <c r="AF554" s="89"/>
      <c r="AG554" s="89"/>
      <c r="AH554" s="89"/>
      <c r="AI554" s="89"/>
      <c r="AJ554" s="89"/>
      <c r="AK554" s="89"/>
      <c r="AL554" s="89"/>
      <c r="AM554" s="89"/>
      <c r="AN554" s="89"/>
      <c r="AO554" s="89"/>
      <c r="AP554" s="89"/>
      <c r="AQ554" s="89"/>
      <c r="AR554" s="89"/>
      <c r="AS554" s="89"/>
      <c r="AT554" s="89"/>
      <c r="AU554" s="89"/>
      <c r="AV554" s="89"/>
      <c r="AW554" s="89"/>
      <c r="AX554" s="89"/>
      <c r="AY554" s="89"/>
      <c r="AZ554" s="89"/>
      <c r="BA554" s="95"/>
    </row>
    <row r="555" spans="1:53" s="87" customFormat="1">
      <c r="A555" s="374" t="str">
        <f t="shared" si="56"/>
        <v/>
      </c>
      <c r="B555" s="99">
        <v>12</v>
      </c>
      <c r="C555" s="92">
        <v>-2</v>
      </c>
      <c r="D555" s="92" t="s">
        <v>210</v>
      </c>
      <c r="E555" s="92" t="s">
        <v>210</v>
      </c>
      <c r="F555" s="92">
        <v>1</v>
      </c>
      <c r="G555" s="92">
        <v>-4</v>
      </c>
      <c r="H555" s="92" t="s">
        <v>210</v>
      </c>
      <c r="I555" s="92" t="s">
        <v>210</v>
      </c>
      <c r="J555" s="92">
        <v>-3</v>
      </c>
      <c r="K555" s="92">
        <v>6</v>
      </c>
      <c r="L555" s="92" t="s">
        <v>210</v>
      </c>
      <c r="M555" s="89"/>
      <c r="N555" s="89"/>
      <c r="O555" s="89"/>
      <c r="P555" s="89"/>
      <c r="Q555" s="89"/>
      <c r="R555" s="89"/>
      <c r="S555" s="89"/>
      <c r="T555" s="89"/>
      <c r="U555" s="89"/>
      <c r="V555" s="89"/>
      <c r="W555" s="89"/>
      <c r="X555" s="89"/>
      <c r="Y555" s="89"/>
      <c r="Z555" s="89"/>
      <c r="AA555" s="89"/>
      <c r="AB555" s="89"/>
      <c r="AC555" s="89"/>
      <c r="AD555" s="89"/>
      <c r="AE555" s="89"/>
      <c r="AF555" s="89"/>
      <c r="AG555" s="89"/>
      <c r="AH555" s="89"/>
      <c r="AI555" s="89"/>
      <c r="AJ555" s="89"/>
      <c r="AK555" s="89"/>
      <c r="AL555" s="89"/>
      <c r="AM555" s="89"/>
      <c r="AN555" s="89"/>
      <c r="AO555" s="89"/>
      <c r="AP555" s="89"/>
      <c r="AQ555" s="89"/>
      <c r="AR555" s="89"/>
      <c r="AS555" s="89"/>
      <c r="AT555" s="89"/>
      <c r="AU555" s="89"/>
      <c r="AV555" s="89"/>
      <c r="AW555" s="89"/>
      <c r="AX555" s="89"/>
      <c r="AY555" s="89"/>
      <c r="AZ555" s="89"/>
      <c r="BA555" s="95"/>
    </row>
    <row r="556" spans="1:53" s="87" customFormat="1">
      <c r="A556" s="374" t="str">
        <f t="shared" si="56"/>
        <v/>
      </c>
      <c r="B556" s="98">
        <v>13</v>
      </c>
      <c r="C556" s="94" t="s">
        <v>210</v>
      </c>
      <c r="D556" s="94">
        <v>-5</v>
      </c>
      <c r="E556" s="94">
        <v>4</v>
      </c>
      <c r="F556" s="94" t="s">
        <v>210</v>
      </c>
      <c r="G556" s="94" t="s">
        <v>210</v>
      </c>
      <c r="H556" s="94">
        <v>-6</v>
      </c>
      <c r="I556" s="94">
        <v>2</v>
      </c>
      <c r="J556" s="94" t="s">
        <v>210</v>
      </c>
      <c r="K556" s="94" t="s">
        <v>210</v>
      </c>
      <c r="L556" s="94">
        <v>-3</v>
      </c>
      <c r="M556" s="89"/>
      <c r="N556" s="89"/>
      <c r="O556" s="89"/>
      <c r="P556" s="89"/>
      <c r="Q556" s="89"/>
      <c r="R556" s="89"/>
      <c r="S556" s="89"/>
      <c r="T556" s="89"/>
      <c r="U556" s="89"/>
      <c r="V556" s="89"/>
      <c r="W556" s="89"/>
      <c r="X556" s="89"/>
      <c r="Y556" s="89"/>
      <c r="Z556" s="89"/>
      <c r="AA556" s="89"/>
      <c r="AB556" s="89"/>
      <c r="AC556" s="89"/>
      <c r="AD556" s="89"/>
      <c r="AE556" s="89"/>
      <c r="AF556" s="89"/>
      <c r="AG556" s="89"/>
      <c r="AH556" s="89"/>
      <c r="AI556" s="89"/>
      <c r="AJ556" s="89"/>
      <c r="AK556" s="89"/>
      <c r="AL556" s="89"/>
      <c r="AM556" s="89"/>
      <c r="AN556" s="89"/>
      <c r="AO556" s="89"/>
      <c r="AP556" s="89"/>
      <c r="AQ556" s="89"/>
      <c r="AR556" s="89"/>
      <c r="AS556" s="89"/>
      <c r="AT556" s="89"/>
      <c r="AU556" s="89"/>
      <c r="AV556" s="89"/>
      <c r="AW556" s="89"/>
      <c r="AX556" s="89"/>
      <c r="AY556" s="89"/>
      <c r="AZ556" s="89"/>
      <c r="BA556" s="95"/>
    </row>
    <row r="557" spans="1:53" s="87" customFormat="1">
      <c r="A557" s="374" t="str">
        <f t="shared" si="56"/>
        <v/>
      </c>
      <c r="B557" s="98">
        <v>14</v>
      </c>
      <c r="C557" s="94" t="s">
        <v>210</v>
      </c>
      <c r="D557" s="94">
        <v>-6</v>
      </c>
      <c r="E557" s="94">
        <v>2</v>
      </c>
      <c r="F557" s="94" t="s">
        <v>210</v>
      </c>
      <c r="G557" s="94" t="s">
        <v>210</v>
      </c>
      <c r="H557" s="94">
        <v>5</v>
      </c>
      <c r="I557" s="94">
        <v>-1</v>
      </c>
      <c r="J557" s="94" t="s">
        <v>210</v>
      </c>
      <c r="K557" s="94" t="s">
        <v>210</v>
      </c>
      <c r="L557" s="94">
        <v>3</v>
      </c>
      <c r="M557" s="89"/>
      <c r="N557" s="89"/>
      <c r="O557" s="89"/>
      <c r="P557" s="89"/>
      <c r="Q557" s="89"/>
      <c r="R557" s="89"/>
      <c r="S557" s="89"/>
      <c r="T557" s="89"/>
      <c r="U557" s="89"/>
      <c r="V557" s="89"/>
      <c r="W557" s="89"/>
      <c r="X557" s="89"/>
      <c r="Y557" s="89"/>
      <c r="Z557" s="89"/>
      <c r="AA557" s="89"/>
      <c r="AB557" s="89"/>
      <c r="AC557" s="89"/>
      <c r="AD557" s="89"/>
      <c r="AE557" s="89"/>
      <c r="AF557" s="89"/>
      <c r="AG557" s="89"/>
      <c r="AH557" s="89"/>
      <c r="AI557" s="89"/>
      <c r="AJ557" s="89"/>
      <c r="AK557" s="89"/>
      <c r="AL557" s="89"/>
      <c r="AM557" s="89"/>
      <c r="AN557" s="89"/>
      <c r="AO557" s="89"/>
      <c r="AP557" s="89"/>
      <c r="AQ557" s="89"/>
      <c r="AR557" s="89"/>
      <c r="AS557" s="89"/>
      <c r="AT557" s="89"/>
      <c r="AU557" s="89"/>
      <c r="AV557" s="89"/>
      <c r="AW557" s="89"/>
      <c r="AX557" s="89"/>
      <c r="AY557" s="89"/>
      <c r="AZ557" s="89"/>
      <c r="BA557" s="95"/>
    </row>
    <row r="558" spans="1:53" s="87" customFormat="1">
      <c r="A558" s="374" t="str">
        <f t="shared" si="56"/>
        <v/>
      </c>
      <c r="B558" s="98">
        <v>15</v>
      </c>
      <c r="C558" s="94" t="s">
        <v>210</v>
      </c>
      <c r="D558" s="94">
        <v>-3</v>
      </c>
      <c r="E558" s="94">
        <v>-2</v>
      </c>
      <c r="F558" s="94" t="s">
        <v>210</v>
      </c>
      <c r="G558" s="94" t="s">
        <v>210</v>
      </c>
      <c r="H558" s="94">
        <v>6</v>
      </c>
      <c r="I558" s="94">
        <v>-5</v>
      </c>
      <c r="J558" s="94" t="s">
        <v>210</v>
      </c>
      <c r="K558" s="94" t="s">
        <v>210</v>
      </c>
      <c r="L558" s="94">
        <v>4</v>
      </c>
      <c r="M558" s="89"/>
      <c r="N558" s="89"/>
      <c r="O558" s="89"/>
      <c r="P558" s="89"/>
      <c r="Q558" s="89"/>
      <c r="R558" s="89"/>
      <c r="S558" s="89"/>
      <c r="T558" s="89"/>
      <c r="U558" s="89"/>
      <c r="V558" s="89"/>
      <c r="W558" s="89"/>
      <c r="X558" s="89"/>
      <c r="Y558" s="89"/>
      <c r="Z558" s="89"/>
      <c r="AA558" s="89"/>
      <c r="AB558" s="89"/>
      <c r="AC558" s="89"/>
      <c r="AD558" s="89"/>
      <c r="AE558" s="89"/>
      <c r="AF558" s="89"/>
      <c r="AG558" s="89"/>
      <c r="AH558" s="89"/>
      <c r="AI558" s="89"/>
      <c r="AJ558" s="89"/>
      <c r="AK558" s="89"/>
      <c r="AL558" s="89"/>
      <c r="AM558" s="89"/>
      <c r="AN558" s="89"/>
      <c r="AO558" s="89"/>
      <c r="AP558" s="89"/>
      <c r="AQ558" s="89"/>
      <c r="AR558" s="89"/>
      <c r="AS558" s="89"/>
      <c r="AT558" s="89"/>
      <c r="AU558" s="89"/>
      <c r="AV558" s="89"/>
      <c r="AW558" s="89"/>
      <c r="AX558" s="89"/>
      <c r="AY558" s="89"/>
      <c r="AZ558" s="89"/>
      <c r="BA558" s="95"/>
    </row>
    <row r="559" spans="1:53" s="87" customFormat="1">
      <c r="A559" s="374" t="str">
        <f t="shared" si="56"/>
        <v/>
      </c>
      <c r="B559" s="98">
        <v>16</v>
      </c>
      <c r="C559" s="94" t="s">
        <v>210</v>
      </c>
      <c r="D559" s="94">
        <v>5</v>
      </c>
      <c r="E559" s="94">
        <v>-6</v>
      </c>
      <c r="F559" s="94" t="s">
        <v>210</v>
      </c>
      <c r="G559" s="94" t="s">
        <v>210</v>
      </c>
      <c r="H559" s="94">
        <v>2</v>
      </c>
      <c r="I559" s="94">
        <v>1</v>
      </c>
      <c r="J559" s="94" t="s">
        <v>210</v>
      </c>
      <c r="K559" s="94" t="s">
        <v>210</v>
      </c>
      <c r="L559" s="94">
        <v>-4</v>
      </c>
      <c r="M559" s="89"/>
      <c r="N559" s="89"/>
      <c r="O559" s="89"/>
      <c r="P559" s="89"/>
      <c r="Q559" s="89"/>
      <c r="R559" s="89"/>
      <c r="S559" s="89"/>
      <c r="T559" s="89"/>
      <c r="U559" s="89"/>
      <c r="V559" s="89"/>
      <c r="W559" s="89"/>
      <c r="X559" s="89"/>
      <c r="Y559" s="89"/>
      <c r="Z559" s="89"/>
      <c r="AA559" s="89"/>
      <c r="AB559" s="89"/>
      <c r="AC559" s="89"/>
      <c r="AD559" s="89"/>
      <c r="AE559" s="89"/>
      <c r="AF559" s="89"/>
      <c r="AG559" s="89"/>
      <c r="AH559" s="89"/>
      <c r="AI559" s="89"/>
      <c r="AJ559" s="89"/>
      <c r="AK559" s="89"/>
      <c r="AL559" s="89"/>
      <c r="AM559" s="89"/>
      <c r="AN559" s="89"/>
      <c r="AO559" s="89"/>
      <c r="AP559" s="89"/>
      <c r="AQ559" s="89"/>
      <c r="AR559" s="89"/>
      <c r="AS559" s="89"/>
      <c r="AT559" s="89"/>
      <c r="AU559" s="89"/>
      <c r="AV559" s="89"/>
      <c r="AW559" s="89"/>
      <c r="AX559" s="89"/>
      <c r="AY559" s="89"/>
      <c r="AZ559" s="89"/>
      <c r="BA559" s="95"/>
    </row>
    <row r="560" spans="1:53" s="87" customFormat="1">
      <c r="A560" s="374" t="str">
        <f t="shared" si="56"/>
        <v/>
      </c>
      <c r="B560" s="98">
        <v>17</v>
      </c>
      <c r="C560" s="94" t="s">
        <v>210</v>
      </c>
      <c r="D560" s="94">
        <v>6</v>
      </c>
      <c r="E560" s="94">
        <v>-4</v>
      </c>
      <c r="F560" s="94" t="s">
        <v>210</v>
      </c>
      <c r="G560" s="94" t="s">
        <v>210</v>
      </c>
      <c r="H560" s="94">
        <v>-2</v>
      </c>
      <c r="I560" s="94">
        <v>5</v>
      </c>
      <c r="J560" s="94" t="s">
        <v>210</v>
      </c>
      <c r="K560" s="94" t="s">
        <v>210</v>
      </c>
      <c r="L560" s="94">
        <v>-1</v>
      </c>
      <c r="M560" s="89"/>
      <c r="N560" s="89"/>
      <c r="O560" s="89"/>
      <c r="P560" s="89"/>
      <c r="Q560" s="89"/>
      <c r="R560" s="89"/>
      <c r="S560" s="89"/>
      <c r="T560" s="89"/>
      <c r="U560" s="89"/>
      <c r="V560" s="89"/>
      <c r="W560" s="89"/>
      <c r="X560" s="89"/>
      <c r="Y560" s="89"/>
      <c r="Z560" s="89"/>
      <c r="AA560" s="89"/>
      <c r="AB560" s="89"/>
      <c r="AC560" s="89"/>
      <c r="AD560" s="89"/>
      <c r="AE560" s="89"/>
      <c r="AF560" s="89"/>
      <c r="AG560" s="89"/>
      <c r="AH560" s="89"/>
      <c r="AI560" s="89"/>
      <c r="AJ560" s="89"/>
      <c r="AK560" s="89"/>
      <c r="AL560" s="89"/>
      <c r="AM560" s="89"/>
      <c r="AN560" s="89"/>
      <c r="AO560" s="89"/>
      <c r="AP560" s="89"/>
      <c r="AQ560" s="89"/>
      <c r="AR560" s="89"/>
      <c r="AS560" s="89"/>
      <c r="AT560" s="89"/>
      <c r="AU560" s="89"/>
      <c r="AV560" s="89"/>
      <c r="AW560" s="89"/>
      <c r="AX560" s="89"/>
      <c r="AY560" s="89"/>
      <c r="AZ560" s="89"/>
      <c r="BA560" s="95"/>
    </row>
    <row r="561" spans="1:53" s="87" customFormat="1">
      <c r="A561" s="374" t="str">
        <f t="shared" si="56"/>
        <v/>
      </c>
      <c r="B561" s="99">
        <v>18</v>
      </c>
      <c r="C561" s="92" t="s">
        <v>210</v>
      </c>
      <c r="D561" s="92">
        <v>3</v>
      </c>
      <c r="E561" s="92">
        <v>6</v>
      </c>
      <c r="F561" s="92" t="s">
        <v>210</v>
      </c>
      <c r="G561" s="92" t="s">
        <v>210</v>
      </c>
      <c r="H561" s="92">
        <v>-5</v>
      </c>
      <c r="I561" s="92">
        <v>-2</v>
      </c>
      <c r="J561" s="92" t="s">
        <v>210</v>
      </c>
      <c r="K561" s="92" t="s">
        <v>210</v>
      </c>
      <c r="L561" s="92">
        <v>1</v>
      </c>
      <c r="M561" s="89"/>
      <c r="N561" s="89"/>
      <c r="O561" s="89"/>
      <c r="P561" s="89"/>
      <c r="Q561" s="89"/>
      <c r="R561" s="89"/>
      <c r="S561" s="89"/>
      <c r="T561" s="89"/>
      <c r="U561" s="89"/>
      <c r="V561" s="89"/>
      <c r="W561" s="89"/>
      <c r="X561" s="89"/>
      <c r="Y561" s="89"/>
      <c r="Z561" s="89"/>
      <c r="AA561" s="89"/>
      <c r="AB561" s="89"/>
      <c r="AC561" s="89"/>
      <c r="AD561" s="89"/>
      <c r="AE561" s="89"/>
      <c r="AF561" s="89"/>
      <c r="AG561" s="89"/>
      <c r="AH561" s="89"/>
      <c r="AI561" s="89"/>
      <c r="AJ561" s="89"/>
      <c r="AK561" s="89"/>
      <c r="AL561" s="89"/>
      <c r="AM561" s="89"/>
      <c r="AN561" s="89"/>
      <c r="AO561" s="89"/>
      <c r="AP561" s="89"/>
      <c r="AQ561" s="89"/>
      <c r="AR561" s="89"/>
      <c r="AS561" s="89"/>
      <c r="AT561" s="89"/>
      <c r="AU561" s="89"/>
      <c r="AV561" s="89"/>
      <c r="AW561" s="89"/>
      <c r="AX561" s="89"/>
      <c r="AY561" s="89"/>
      <c r="AZ561" s="89"/>
      <c r="BA561" s="95"/>
    </row>
    <row r="562" spans="1:53" s="87" customFormat="1">
      <c r="A562" s="374" t="str">
        <f t="shared" si="56"/>
        <v/>
      </c>
      <c r="B562" s="98">
        <v>19</v>
      </c>
      <c r="C562" s="94" t="s">
        <v>210</v>
      </c>
      <c r="D562" s="94">
        <v>-4</v>
      </c>
      <c r="E562" s="94">
        <v>5</v>
      </c>
      <c r="F562" s="94" t="s">
        <v>210</v>
      </c>
      <c r="G562" s="94" t="s">
        <v>210</v>
      </c>
      <c r="H562" s="94">
        <v>-1</v>
      </c>
      <c r="I562" s="94">
        <v>3</v>
      </c>
      <c r="J562" s="94" t="s">
        <v>210</v>
      </c>
      <c r="K562" s="94" t="s">
        <v>210</v>
      </c>
      <c r="L562" s="94">
        <v>2</v>
      </c>
      <c r="M562" s="89"/>
      <c r="N562" s="89"/>
      <c r="O562" s="89"/>
      <c r="P562" s="89"/>
      <c r="Q562" s="89"/>
      <c r="R562" s="89"/>
      <c r="S562" s="89"/>
      <c r="T562" s="89"/>
      <c r="U562" s="89"/>
      <c r="V562" s="89"/>
      <c r="W562" s="89"/>
      <c r="X562" s="89"/>
      <c r="Y562" s="89"/>
      <c r="Z562" s="89"/>
      <c r="AA562" s="89"/>
      <c r="AB562" s="89"/>
      <c r="AC562" s="89"/>
      <c r="AD562" s="89"/>
      <c r="AE562" s="89"/>
      <c r="AF562" s="89"/>
      <c r="AG562" s="89"/>
      <c r="AH562" s="89"/>
      <c r="AI562" s="89"/>
      <c r="AJ562" s="89"/>
      <c r="AK562" s="89"/>
      <c r="AL562" s="89"/>
      <c r="AM562" s="89"/>
      <c r="AN562" s="89"/>
      <c r="AO562" s="89"/>
      <c r="AP562" s="89"/>
      <c r="AQ562" s="89"/>
      <c r="AR562" s="89"/>
      <c r="AS562" s="89"/>
      <c r="AT562" s="89"/>
      <c r="AU562" s="89"/>
      <c r="AV562" s="89"/>
      <c r="AW562" s="89"/>
      <c r="AX562" s="89"/>
      <c r="AY562" s="89"/>
      <c r="AZ562" s="89"/>
      <c r="BA562" s="95"/>
    </row>
    <row r="563" spans="1:53" s="87" customFormat="1">
      <c r="A563" s="374" t="str">
        <f t="shared" si="56"/>
        <v/>
      </c>
      <c r="B563" s="98">
        <v>20</v>
      </c>
      <c r="C563" s="94" t="s">
        <v>210</v>
      </c>
      <c r="D563" s="94">
        <v>-1</v>
      </c>
      <c r="E563" s="94">
        <v>3</v>
      </c>
      <c r="F563" s="94" t="s">
        <v>210</v>
      </c>
      <c r="G563" s="94" t="s">
        <v>210</v>
      </c>
      <c r="H563" s="94">
        <v>4</v>
      </c>
      <c r="I563" s="94">
        <v>-6</v>
      </c>
      <c r="J563" s="94" t="s">
        <v>210</v>
      </c>
      <c r="K563" s="94" t="s">
        <v>210</v>
      </c>
      <c r="L563" s="94">
        <v>-2</v>
      </c>
      <c r="M563" s="89"/>
      <c r="N563" s="89"/>
      <c r="O563" s="89"/>
      <c r="P563" s="89"/>
      <c r="Q563" s="89"/>
      <c r="R563" s="89"/>
      <c r="S563" s="89"/>
      <c r="T563" s="89"/>
      <c r="U563" s="89"/>
      <c r="V563" s="89"/>
      <c r="W563" s="89"/>
      <c r="X563" s="89"/>
      <c r="Y563" s="89"/>
      <c r="Z563" s="89"/>
      <c r="AA563" s="89"/>
      <c r="AB563" s="89"/>
      <c r="AC563" s="89"/>
      <c r="AD563" s="89"/>
      <c r="AE563" s="89"/>
      <c r="AF563" s="89"/>
      <c r="AG563" s="89"/>
      <c r="AH563" s="89"/>
      <c r="AI563" s="89"/>
      <c r="AJ563" s="89"/>
      <c r="AK563" s="89"/>
      <c r="AL563" s="89"/>
      <c r="AM563" s="89"/>
      <c r="AN563" s="89"/>
      <c r="AO563" s="89"/>
      <c r="AP563" s="89"/>
      <c r="AQ563" s="89"/>
      <c r="AR563" s="89"/>
      <c r="AS563" s="89"/>
      <c r="AT563" s="89"/>
      <c r="AU563" s="89"/>
      <c r="AV563" s="89"/>
      <c r="AW563" s="89"/>
      <c r="AX563" s="89"/>
      <c r="AY563" s="89"/>
      <c r="AZ563" s="89"/>
      <c r="BA563" s="95"/>
    </row>
    <row r="564" spans="1:53" s="87" customFormat="1">
      <c r="A564" s="374" t="str">
        <f t="shared" si="56"/>
        <v/>
      </c>
      <c r="B564" s="98">
        <v>21</v>
      </c>
      <c r="C564" s="94" t="s">
        <v>210</v>
      </c>
      <c r="D564" s="94">
        <v>2</v>
      </c>
      <c r="E564" s="94">
        <v>-3</v>
      </c>
      <c r="F564" s="94" t="s">
        <v>210</v>
      </c>
      <c r="G564" s="94" t="s">
        <v>210</v>
      </c>
      <c r="H564" s="94">
        <v>1</v>
      </c>
      <c r="I564" s="94">
        <v>-4</v>
      </c>
      <c r="J564" s="94" t="s">
        <v>210</v>
      </c>
      <c r="K564" s="94" t="s">
        <v>210</v>
      </c>
      <c r="L564" s="94">
        <v>5</v>
      </c>
      <c r="M564" s="89"/>
      <c r="N564" s="89"/>
      <c r="O564" s="89"/>
      <c r="P564" s="89"/>
      <c r="Q564" s="89"/>
      <c r="R564" s="89"/>
      <c r="S564" s="89"/>
      <c r="T564" s="89"/>
      <c r="U564" s="89"/>
      <c r="V564" s="89"/>
      <c r="W564" s="89"/>
      <c r="X564" s="89"/>
      <c r="Y564" s="89"/>
      <c r="Z564" s="89"/>
      <c r="AA564" s="89"/>
      <c r="AB564" s="89"/>
      <c r="AC564" s="89"/>
      <c r="AD564" s="89"/>
      <c r="AE564" s="89"/>
      <c r="AF564" s="89"/>
      <c r="AG564" s="89"/>
      <c r="AH564" s="89"/>
      <c r="AI564" s="89"/>
      <c r="AJ564" s="89"/>
      <c r="AK564" s="89"/>
      <c r="AL564" s="89"/>
      <c r="AM564" s="89"/>
      <c r="AN564" s="89"/>
      <c r="AO564" s="89"/>
      <c r="AP564" s="89"/>
      <c r="AQ564" s="89"/>
      <c r="AR564" s="89"/>
      <c r="AS564" s="89"/>
      <c r="AT564" s="89"/>
      <c r="AU564" s="89"/>
      <c r="AV564" s="89"/>
      <c r="AW564" s="89"/>
      <c r="AX564" s="89"/>
      <c r="AY564" s="89"/>
      <c r="AZ564" s="89"/>
      <c r="BA564" s="95"/>
    </row>
    <row r="565" spans="1:53" s="87" customFormat="1">
      <c r="A565" s="374" t="str">
        <f t="shared" si="56"/>
        <v/>
      </c>
      <c r="B565" s="98">
        <v>22</v>
      </c>
      <c r="C565" s="94" t="s">
        <v>210</v>
      </c>
      <c r="D565" s="94">
        <v>4</v>
      </c>
      <c r="E565" s="94">
        <v>-1</v>
      </c>
      <c r="F565" s="94" t="s">
        <v>210</v>
      </c>
      <c r="G565" s="94" t="s">
        <v>210</v>
      </c>
      <c r="H565" s="94">
        <v>-3</v>
      </c>
      <c r="I565" s="94">
        <v>6</v>
      </c>
      <c r="J565" s="94" t="s">
        <v>210</v>
      </c>
      <c r="K565" s="94" t="s">
        <v>210</v>
      </c>
      <c r="L565" s="94">
        <v>-5</v>
      </c>
      <c r="M565" s="89"/>
      <c r="N565" s="89"/>
      <c r="O565" s="89"/>
      <c r="P565" s="89"/>
      <c r="Q565" s="89"/>
      <c r="R565" s="89"/>
      <c r="S565" s="89"/>
      <c r="T565" s="89"/>
      <c r="U565" s="89"/>
      <c r="V565" s="89"/>
      <c r="W565" s="89"/>
      <c r="X565" s="89"/>
      <c r="Y565" s="89"/>
      <c r="Z565" s="89"/>
      <c r="AA565" s="89"/>
      <c r="AB565" s="89"/>
      <c r="AC565" s="89"/>
      <c r="AD565" s="89"/>
      <c r="AE565" s="89"/>
      <c r="AF565" s="89"/>
      <c r="AG565" s="89"/>
      <c r="AH565" s="89"/>
      <c r="AI565" s="89"/>
      <c r="AJ565" s="89"/>
      <c r="AK565" s="89"/>
      <c r="AL565" s="89"/>
      <c r="AM565" s="89"/>
      <c r="AN565" s="89"/>
      <c r="AO565" s="89"/>
      <c r="AP565" s="89"/>
      <c r="AQ565" s="89"/>
      <c r="AR565" s="89"/>
      <c r="AS565" s="89"/>
      <c r="AT565" s="89"/>
      <c r="AU565" s="89"/>
      <c r="AV565" s="89"/>
      <c r="AW565" s="89"/>
      <c r="AX565" s="89"/>
      <c r="AY565" s="89"/>
      <c r="AZ565" s="89"/>
      <c r="BA565" s="95"/>
    </row>
    <row r="566" spans="1:53" s="87" customFormat="1">
      <c r="A566" s="374" t="str">
        <f t="shared" si="56"/>
        <v/>
      </c>
      <c r="B566" s="98">
        <v>23</v>
      </c>
      <c r="C566" s="94" t="s">
        <v>210</v>
      </c>
      <c r="D566" s="94">
        <v>1</v>
      </c>
      <c r="E566" s="94">
        <v>-5</v>
      </c>
      <c r="F566" s="94" t="s">
        <v>210</v>
      </c>
      <c r="G566" s="94" t="s">
        <v>210</v>
      </c>
      <c r="H566" s="94">
        <v>3</v>
      </c>
      <c r="I566" s="94">
        <v>4</v>
      </c>
      <c r="J566" s="94" t="s">
        <v>210</v>
      </c>
      <c r="K566" s="94" t="s">
        <v>210</v>
      </c>
      <c r="L566" s="94">
        <v>-6</v>
      </c>
      <c r="M566" s="89"/>
      <c r="N566" s="89"/>
      <c r="O566" s="89"/>
      <c r="P566" s="89"/>
      <c r="Q566" s="89"/>
      <c r="R566" s="89"/>
      <c r="S566" s="89"/>
      <c r="T566" s="89"/>
      <c r="U566" s="89"/>
      <c r="V566" s="89"/>
      <c r="W566" s="89"/>
      <c r="X566" s="89"/>
      <c r="Y566" s="89"/>
      <c r="Z566" s="89"/>
      <c r="AA566" s="89"/>
      <c r="AB566" s="89"/>
      <c r="AC566" s="89"/>
      <c r="AD566" s="89"/>
      <c r="AE566" s="89"/>
      <c r="AF566" s="89"/>
      <c r="AG566" s="89"/>
      <c r="AH566" s="89"/>
      <c r="AI566" s="89"/>
      <c r="AJ566" s="89"/>
      <c r="AK566" s="89"/>
      <c r="AL566" s="89"/>
      <c r="AM566" s="89"/>
      <c r="AN566" s="89"/>
      <c r="AO566" s="89"/>
      <c r="AP566" s="89"/>
      <c r="AQ566" s="89"/>
      <c r="AR566" s="89"/>
      <c r="AS566" s="89"/>
      <c r="AT566" s="89"/>
      <c r="AU566" s="89"/>
      <c r="AV566" s="89"/>
      <c r="AW566" s="89"/>
      <c r="AX566" s="89"/>
      <c r="AY566" s="89"/>
      <c r="AZ566" s="89"/>
      <c r="BA566" s="95"/>
    </row>
    <row r="567" spans="1:53" s="87" customFormat="1">
      <c r="A567" s="374" t="str">
        <f t="shared" si="56"/>
        <v/>
      </c>
      <c r="B567" s="98">
        <v>24</v>
      </c>
      <c r="C567" s="94" t="s">
        <v>210</v>
      </c>
      <c r="D567" s="94">
        <v>-2</v>
      </c>
      <c r="E567" s="94">
        <v>1</v>
      </c>
      <c r="F567" s="94" t="s">
        <v>210</v>
      </c>
      <c r="G567" s="94" t="s">
        <v>210</v>
      </c>
      <c r="H567" s="94">
        <v>-4</v>
      </c>
      <c r="I567" s="94">
        <v>-3</v>
      </c>
      <c r="J567" s="94" t="s">
        <v>210</v>
      </c>
      <c r="K567" s="94" t="s">
        <v>210</v>
      </c>
      <c r="L567" s="94">
        <v>6</v>
      </c>
      <c r="M567" s="89"/>
      <c r="N567" s="89"/>
      <c r="O567" s="89"/>
      <c r="P567" s="89"/>
      <c r="Q567" s="89"/>
      <c r="R567" s="89"/>
      <c r="S567" s="89"/>
      <c r="T567" s="89"/>
      <c r="U567" s="89"/>
      <c r="V567" s="89"/>
      <c r="W567" s="89"/>
      <c r="X567" s="89"/>
      <c r="Y567" s="89"/>
      <c r="Z567" s="89"/>
      <c r="AA567" s="89"/>
      <c r="AB567" s="89"/>
      <c r="AC567" s="89"/>
      <c r="AD567" s="89"/>
      <c r="AE567" s="89"/>
      <c r="AF567" s="89"/>
      <c r="AG567" s="89"/>
      <c r="AH567" s="89"/>
      <c r="AI567" s="89"/>
      <c r="AJ567" s="89"/>
      <c r="AK567" s="89"/>
      <c r="AL567" s="89"/>
      <c r="AM567" s="89"/>
      <c r="AN567" s="89"/>
      <c r="AO567" s="89"/>
      <c r="AP567" s="89"/>
      <c r="AQ567" s="89"/>
      <c r="AR567" s="89"/>
      <c r="AS567" s="89"/>
      <c r="AT567" s="89"/>
      <c r="AU567" s="89"/>
      <c r="AV567" s="89"/>
      <c r="AW567" s="89"/>
      <c r="AX567" s="89"/>
      <c r="AY567" s="89"/>
      <c r="AZ567" s="89"/>
      <c r="BA567" s="95"/>
    </row>
    <row r="568" spans="1:53" s="87" customFormat="1">
      <c r="A568" s="374" t="str">
        <f t="shared" si="56"/>
        <v/>
      </c>
      <c r="B568" s="89" t="s">
        <v>378</v>
      </c>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c r="AA568" s="89"/>
      <c r="AB568" s="89"/>
      <c r="AC568" s="89"/>
      <c r="AD568" s="89"/>
      <c r="AE568" s="89"/>
      <c r="AF568" s="89"/>
      <c r="AG568" s="89"/>
      <c r="AH568" s="89"/>
      <c r="AI568" s="89"/>
      <c r="AJ568" s="89"/>
      <c r="AK568" s="89"/>
      <c r="AL568" s="89"/>
      <c r="AM568" s="89"/>
      <c r="AN568" s="89"/>
      <c r="AO568" s="89"/>
      <c r="AP568" s="89"/>
      <c r="AQ568" s="89"/>
      <c r="AR568" s="89"/>
      <c r="AS568" s="89"/>
      <c r="AT568" s="89"/>
      <c r="AU568" s="89"/>
      <c r="AV568" s="89"/>
      <c r="AW568" s="89"/>
      <c r="AX568" s="89"/>
      <c r="AY568" s="89"/>
      <c r="AZ568" s="89"/>
      <c r="BA568" s="95"/>
    </row>
    <row r="569" spans="1:53" s="87" customFormat="1">
      <c r="A569" s="374">
        <f t="shared" si="56"/>
        <v>569</v>
      </c>
      <c r="B569" s="319" t="s">
        <v>1121</v>
      </c>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c r="AA569" s="89"/>
      <c r="AB569" s="89"/>
      <c r="AC569" s="89"/>
      <c r="AD569" s="89"/>
      <c r="AE569" s="89"/>
      <c r="AF569" s="89"/>
      <c r="AG569" s="89"/>
      <c r="AH569" s="89"/>
      <c r="AI569" s="89"/>
      <c r="AJ569" s="89"/>
      <c r="AK569" s="89"/>
      <c r="AL569" s="89"/>
      <c r="AM569" s="89"/>
      <c r="AN569" s="89"/>
      <c r="AO569" s="89"/>
      <c r="AP569" s="89"/>
      <c r="AQ569" s="89"/>
      <c r="AR569" s="89"/>
      <c r="AS569" s="89"/>
      <c r="AT569" s="89"/>
      <c r="AU569" s="89"/>
      <c r="AV569" s="89"/>
      <c r="AW569" s="89"/>
      <c r="AX569" s="89"/>
      <c r="AY569" s="89"/>
      <c r="AZ569" s="89"/>
      <c r="BA569" s="95"/>
    </row>
    <row r="570" spans="1:53" s="87" customFormat="1">
      <c r="A570" s="374" t="str">
        <f t="shared" si="56"/>
        <v/>
      </c>
      <c r="B570" s="89">
        <v>1</v>
      </c>
      <c r="C570" s="89">
        <v>4</v>
      </c>
      <c r="D570" s="89" t="s">
        <v>210</v>
      </c>
      <c r="E570" s="89" t="s">
        <v>210</v>
      </c>
      <c r="F570" s="89">
        <v>-1</v>
      </c>
      <c r="G570" s="89">
        <v>-5</v>
      </c>
      <c r="H570" s="89" t="s">
        <v>210</v>
      </c>
      <c r="I570" s="89" t="s">
        <v>210</v>
      </c>
      <c r="J570" s="89">
        <v>2</v>
      </c>
      <c r="K570" s="89">
        <v>3</v>
      </c>
      <c r="L570" s="89" t="s">
        <v>210</v>
      </c>
      <c r="M570" s="89"/>
      <c r="N570" s="89"/>
      <c r="O570" s="89"/>
      <c r="P570" s="89"/>
      <c r="Q570" s="89"/>
      <c r="R570" s="89"/>
      <c r="S570" s="89"/>
      <c r="T570" s="89"/>
      <c r="U570" s="89"/>
      <c r="V570" s="89"/>
      <c r="W570" s="89"/>
      <c r="X570" s="89"/>
      <c r="Y570" s="89"/>
      <c r="Z570" s="89"/>
      <c r="AA570" s="89"/>
      <c r="AB570" s="89"/>
      <c r="AC570" s="89"/>
      <c r="AD570" s="89"/>
      <c r="AE570" s="89"/>
      <c r="AF570" s="89"/>
      <c r="AG570" s="89"/>
      <c r="AH570" s="89"/>
      <c r="AI570" s="89"/>
      <c r="AJ570" s="89"/>
      <c r="AK570" s="89"/>
      <c r="AL570" s="89"/>
      <c r="AM570" s="89"/>
      <c r="AN570" s="89"/>
      <c r="AO570" s="89"/>
      <c r="AP570" s="89"/>
      <c r="AQ570" s="89"/>
      <c r="AR570" s="89"/>
      <c r="AS570" s="89"/>
      <c r="AT570" s="89"/>
      <c r="AU570" s="89"/>
      <c r="AV570" s="89"/>
      <c r="AW570" s="89"/>
      <c r="AX570" s="89"/>
      <c r="AY570" s="89"/>
      <c r="AZ570" s="89"/>
      <c r="BA570" s="95"/>
    </row>
    <row r="571" spans="1:53" s="87" customFormat="1">
      <c r="A571" s="374" t="str">
        <f t="shared" si="56"/>
        <v/>
      </c>
      <c r="B571" s="89">
        <v>2</v>
      </c>
      <c r="C571" s="89">
        <v>-5</v>
      </c>
      <c r="D571" s="89" t="s">
        <v>210</v>
      </c>
      <c r="E571" s="89" t="s">
        <v>210</v>
      </c>
      <c r="F571" s="89">
        <v>-2</v>
      </c>
      <c r="G571" s="89">
        <v>1</v>
      </c>
      <c r="H571" s="89" t="s">
        <v>210</v>
      </c>
      <c r="I571" s="89" t="s">
        <v>210</v>
      </c>
      <c r="J571" s="89">
        <v>4</v>
      </c>
      <c r="K571" s="89">
        <v>-3</v>
      </c>
      <c r="L571" s="89" t="s">
        <v>210</v>
      </c>
      <c r="M571" s="89"/>
      <c r="N571" s="89"/>
      <c r="O571" s="89"/>
      <c r="P571" s="89"/>
      <c r="Q571" s="89"/>
      <c r="R571" s="89"/>
      <c r="S571" s="89"/>
      <c r="T571" s="89"/>
      <c r="U571" s="89"/>
      <c r="V571" s="89"/>
      <c r="W571" s="89"/>
      <c r="X571" s="89"/>
      <c r="Y571" s="89"/>
      <c r="Z571" s="89"/>
      <c r="AA571" s="89"/>
      <c r="AB571" s="89"/>
      <c r="AC571" s="89"/>
      <c r="AD571" s="89"/>
      <c r="AE571" s="89"/>
      <c r="AF571" s="89"/>
      <c r="AG571" s="89"/>
      <c r="AH571" s="89"/>
      <c r="AI571" s="89"/>
      <c r="AJ571" s="89"/>
      <c r="AK571" s="89"/>
      <c r="AL571" s="89"/>
      <c r="AM571" s="89"/>
      <c r="AN571" s="89"/>
      <c r="AO571" s="89"/>
      <c r="AP571" s="89"/>
      <c r="AQ571" s="89"/>
      <c r="AR571" s="89"/>
      <c r="AS571" s="89"/>
      <c r="AT571" s="89"/>
      <c r="AU571" s="89"/>
      <c r="AV571" s="89"/>
      <c r="AW571" s="89"/>
      <c r="AX571" s="89"/>
      <c r="AY571" s="89"/>
      <c r="AZ571" s="89"/>
      <c r="BA571" s="95"/>
    </row>
    <row r="572" spans="1:53" s="87" customFormat="1">
      <c r="A572" s="374" t="str">
        <f t="shared" si="56"/>
        <v/>
      </c>
      <c r="B572" s="89">
        <v>3</v>
      </c>
      <c r="C572" s="89">
        <v>5</v>
      </c>
      <c r="D572" s="89" t="s">
        <v>210</v>
      </c>
      <c r="E572" s="89" t="s">
        <v>210</v>
      </c>
      <c r="F572" s="89">
        <v>-6</v>
      </c>
      <c r="G572" s="89">
        <v>3</v>
      </c>
      <c r="H572" s="89" t="s">
        <v>210</v>
      </c>
      <c r="I572" s="89" t="s">
        <v>210</v>
      </c>
      <c r="J572" s="89">
        <v>-2</v>
      </c>
      <c r="K572" s="89">
        <v>-4</v>
      </c>
      <c r="L572" s="89" t="s">
        <v>210</v>
      </c>
      <c r="M572" s="89"/>
      <c r="N572" s="89"/>
      <c r="O572" s="89"/>
      <c r="P572" s="89"/>
      <c r="Q572" s="89"/>
      <c r="R572" s="89"/>
      <c r="S572" s="89"/>
      <c r="T572" s="89"/>
      <c r="U572" s="89"/>
      <c r="V572" s="89"/>
      <c r="W572" s="89"/>
      <c r="X572" s="89"/>
      <c r="Y572" s="89"/>
      <c r="Z572" s="89"/>
      <c r="AA572" s="89"/>
      <c r="AB572" s="89"/>
      <c r="AC572" s="89"/>
      <c r="AD572" s="89"/>
      <c r="AE572" s="89"/>
      <c r="AF572" s="89"/>
      <c r="AG572" s="89"/>
      <c r="AH572" s="89"/>
      <c r="AI572" s="89"/>
      <c r="AJ572" s="89"/>
      <c r="AK572" s="89"/>
      <c r="AL572" s="89"/>
      <c r="AM572" s="89"/>
      <c r="AN572" s="89"/>
      <c r="AO572" s="89"/>
      <c r="AP572" s="89"/>
      <c r="AQ572" s="89"/>
      <c r="AR572" s="89"/>
      <c r="AS572" s="89"/>
      <c r="AT572" s="89"/>
      <c r="AU572" s="89"/>
      <c r="AV572" s="89"/>
      <c r="AW572" s="89"/>
      <c r="AX572" s="89"/>
      <c r="AY572" s="89"/>
      <c r="AZ572" s="89"/>
      <c r="BA572" s="95"/>
    </row>
    <row r="573" spans="1:53" s="87" customFormat="1">
      <c r="A573" s="374" t="str">
        <f t="shared" si="56"/>
        <v/>
      </c>
      <c r="B573" s="89">
        <v>4</v>
      </c>
      <c r="C573" s="89">
        <v>-6</v>
      </c>
      <c r="D573" s="89" t="s">
        <v>210</v>
      </c>
      <c r="E573" s="89" t="s">
        <v>210</v>
      </c>
      <c r="F573" s="89">
        <v>2</v>
      </c>
      <c r="G573" s="89">
        <v>5</v>
      </c>
      <c r="H573" s="89" t="s">
        <v>210</v>
      </c>
      <c r="I573" s="89" t="s">
        <v>210</v>
      </c>
      <c r="J573" s="89">
        <v>-3</v>
      </c>
      <c r="K573" s="89">
        <v>4</v>
      </c>
      <c r="L573" s="89" t="s">
        <v>210</v>
      </c>
      <c r="M573" s="89"/>
      <c r="N573" s="89"/>
      <c r="O573" s="89"/>
      <c r="P573" s="89"/>
      <c r="Q573" s="89"/>
      <c r="R573" s="89"/>
      <c r="S573" s="89"/>
      <c r="T573" s="89"/>
      <c r="U573" s="89"/>
      <c r="V573" s="89"/>
      <c r="W573" s="89"/>
      <c r="X573" s="89"/>
      <c r="Y573" s="89"/>
      <c r="Z573" s="89"/>
      <c r="AA573" s="89"/>
      <c r="AB573" s="89"/>
      <c r="AC573" s="89"/>
      <c r="AD573" s="89"/>
      <c r="AE573" s="89"/>
      <c r="AF573" s="89"/>
      <c r="AG573" s="89"/>
      <c r="AH573" s="89"/>
      <c r="AI573" s="89"/>
      <c r="AJ573" s="89"/>
      <c r="AK573" s="89"/>
      <c r="AL573" s="89"/>
      <c r="AM573" s="89"/>
      <c r="AN573" s="89"/>
      <c r="AO573" s="89"/>
      <c r="AP573" s="89"/>
      <c r="AQ573" s="89"/>
      <c r="AR573" s="89"/>
      <c r="AS573" s="89"/>
      <c r="AT573" s="89"/>
      <c r="AU573" s="89"/>
      <c r="AV573" s="89"/>
      <c r="AW573" s="89"/>
      <c r="AX573" s="89"/>
      <c r="AY573" s="89"/>
      <c r="AZ573" s="89"/>
      <c r="BA573" s="95"/>
    </row>
    <row r="574" spans="1:53" s="87" customFormat="1">
      <c r="A574" s="374" t="str">
        <f t="shared" si="56"/>
        <v/>
      </c>
      <c r="B574" s="89">
        <v>5</v>
      </c>
      <c r="C574" s="89">
        <v>6</v>
      </c>
      <c r="D574" s="89" t="s">
        <v>210</v>
      </c>
      <c r="E574" s="89" t="s">
        <v>210</v>
      </c>
      <c r="F574" s="89">
        <v>1</v>
      </c>
      <c r="G574" s="89">
        <v>-3</v>
      </c>
      <c r="H574" s="89" t="s">
        <v>210</v>
      </c>
      <c r="I574" s="89" t="s">
        <v>210</v>
      </c>
      <c r="J574" s="89">
        <v>-4</v>
      </c>
      <c r="K574" s="89">
        <v>2</v>
      </c>
      <c r="L574" s="89" t="s">
        <v>210</v>
      </c>
      <c r="M574" s="89"/>
      <c r="N574" s="89"/>
      <c r="O574" s="89"/>
      <c r="P574" s="89"/>
      <c r="Q574" s="89"/>
      <c r="R574" s="89"/>
      <c r="S574" s="89"/>
      <c r="T574" s="89"/>
      <c r="U574" s="89"/>
      <c r="V574" s="89"/>
      <c r="W574" s="89"/>
      <c r="X574" s="89"/>
      <c r="Y574" s="89"/>
      <c r="Z574" s="89"/>
      <c r="AA574" s="89"/>
      <c r="AB574" s="89"/>
      <c r="AC574" s="89"/>
      <c r="AD574" s="89"/>
      <c r="AE574" s="89"/>
      <c r="AF574" s="89"/>
      <c r="AG574" s="89"/>
      <c r="AH574" s="89"/>
      <c r="AI574" s="89"/>
      <c r="AJ574" s="89"/>
      <c r="AK574" s="89"/>
      <c r="AL574" s="89"/>
      <c r="AM574" s="89"/>
      <c r="AN574" s="89"/>
      <c r="AO574" s="89"/>
      <c r="AP574" s="89"/>
      <c r="AQ574" s="89"/>
      <c r="AR574" s="89"/>
      <c r="AS574" s="89"/>
      <c r="AT574" s="89"/>
      <c r="AU574" s="89"/>
      <c r="AV574" s="89"/>
      <c r="AW574" s="89"/>
      <c r="AX574" s="89"/>
      <c r="AY574" s="89"/>
      <c r="AZ574" s="89"/>
      <c r="BA574" s="95"/>
    </row>
    <row r="575" spans="1:53" s="87" customFormat="1">
      <c r="A575" s="374" t="str">
        <f t="shared" si="56"/>
        <v/>
      </c>
      <c r="B575" s="99">
        <v>6</v>
      </c>
      <c r="C575" s="92">
        <v>-4</v>
      </c>
      <c r="D575" s="92" t="s">
        <v>210</v>
      </c>
      <c r="E575" s="92" t="s">
        <v>210</v>
      </c>
      <c r="F575" s="92">
        <v>6</v>
      </c>
      <c r="G575" s="92">
        <v>-1</v>
      </c>
      <c r="H575" s="92" t="s">
        <v>210</v>
      </c>
      <c r="I575" s="92" t="s">
        <v>210</v>
      </c>
      <c r="J575" s="92">
        <v>3</v>
      </c>
      <c r="K575" s="92">
        <v>-2</v>
      </c>
      <c r="L575" s="92" t="s">
        <v>210</v>
      </c>
      <c r="M575" s="89"/>
      <c r="N575" s="89"/>
      <c r="O575" s="89"/>
      <c r="P575" s="89"/>
      <c r="Q575" s="89"/>
      <c r="R575" s="89"/>
      <c r="S575" s="89"/>
      <c r="T575" s="89"/>
      <c r="U575" s="89"/>
      <c r="V575" s="89"/>
      <c r="W575" s="89"/>
      <c r="X575" s="89"/>
      <c r="Y575" s="89"/>
      <c r="Z575" s="89"/>
      <c r="AA575" s="89"/>
      <c r="AB575" s="89"/>
      <c r="AC575" s="89"/>
      <c r="AD575" s="89"/>
      <c r="AE575" s="89"/>
      <c r="AF575" s="89"/>
      <c r="AG575" s="89"/>
      <c r="AH575" s="89"/>
      <c r="AI575" s="89"/>
      <c r="AJ575" s="89"/>
      <c r="AK575" s="89"/>
      <c r="AL575" s="89"/>
      <c r="AM575" s="89"/>
      <c r="AN575" s="89"/>
      <c r="AO575" s="89"/>
      <c r="AP575" s="89"/>
      <c r="AQ575" s="89"/>
      <c r="AR575" s="89"/>
      <c r="AS575" s="89"/>
      <c r="AT575" s="89"/>
      <c r="AU575" s="89"/>
      <c r="AV575" s="89"/>
      <c r="AW575" s="89"/>
      <c r="AX575" s="89"/>
      <c r="AY575" s="89"/>
      <c r="AZ575" s="89"/>
      <c r="BA575" s="95"/>
    </row>
    <row r="576" spans="1:53" s="87" customFormat="1">
      <c r="A576" s="374" t="str">
        <f t="shared" si="56"/>
        <v/>
      </c>
      <c r="B576" s="89">
        <v>7</v>
      </c>
      <c r="C576" s="89">
        <v>1</v>
      </c>
      <c r="D576" s="89" t="s">
        <v>210</v>
      </c>
      <c r="E576" s="89" t="s">
        <v>210</v>
      </c>
      <c r="F576" s="89">
        <v>-3</v>
      </c>
      <c r="G576" s="89">
        <v>-4</v>
      </c>
      <c r="H576" s="89" t="s">
        <v>210</v>
      </c>
      <c r="I576" s="89" t="s">
        <v>210</v>
      </c>
      <c r="J576" s="89">
        <v>6</v>
      </c>
      <c r="K576" s="89">
        <v>5</v>
      </c>
      <c r="L576" s="89" t="s">
        <v>210</v>
      </c>
      <c r="M576" s="89"/>
      <c r="N576" s="89"/>
      <c r="O576" s="89"/>
      <c r="P576" s="89"/>
      <c r="Q576" s="89"/>
      <c r="R576" s="89"/>
      <c r="S576" s="89"/>
      <c r="T576" s="89"/>
      <c r="U576" s="89"/>
      <c r="V576" s="89"/>
      <c r="W576" s="89"/>
      <c r="X576" s="89"/>
      <c r="Y576" s="89"/>
      <c r="Z576" s="89"/>
      <c r="AA576" s="89"/>
      <c r="AB576" s="89"/>
      <c r="AC576" s="89"/>
      <c r="AD576" s="89"/>
      <c r="AE576" s="89"/>
      <c r="AF576" s="89"/>
      <c r="AG576" s="89"/>
      <c r="AH576" s="89"/>
      <c r="AI576" s="89"/>
      <c r="AJ576" s="89"/>
      <c r="AK576" s="89"/>
      <c r="AL576" s="89"/>
      <c r="AM576" s="89"/>
      <c r="AN576" s="89"/>
      <c r="AO576" s="89"/>
      <c r="AP576" s="89"/>
      <c r="AQ576" s="89"/>
      <c r="AR576" s="89"/>
      <c r="AS576" s="89"/>
      <c r="AT576" s="89"/>
      <c r="AU576" s="89"/>
      <c r="AV576" s="89"/>
      <c r="AW576" s="89"/>
      <c r="AX576" s="89"/>
      <c r="AY576" s="89"/>
      <c r="AZ576" s="89"/>
      <c r="BA576" s="95"/>
    </row>
    <row r="577" spans="1:53" s="87" customFormat="1">
      <c r="A577" s="374" t="str">
        <f t="shared" si="56"/>
        <v/>
      </c>
      <c r="B577" s="89">
        <v>8</v>
      </c>
      <c r="C577" s="89">
        <v>-3</v>
      </c>
      <c r="D577" s="89" t="s">
        <v>210</v>
      </c>
      <c r="E577" s="89" t="s">
        <v>210</v>
      </c>
      <c r="F577" s="89">
        <v>-4</v>
      </c>
      <c r="G577" s="89">
        <v>6</v>
      </c>
      <c r="H577" s="89" t="s">
        <v>210</v>
      </c>
      <c r="I577" s="89" t="s">
        <v>210</v>
      </c>
      <c r="J577" s="89">
        <v>1</v>
      </c>
      <c r="K577" s="89">
        <v>-5</v>
      </c>
      <c r="L577" s="89" t="s">
        <v>210</v>
      </c>
      <c r="M577" s="89"/>
      <c r="N577" s="89"/>
      <c r="O577" s="89"/>
      <c r="P577" s="89"/>
      <c r="Q577" s="89"/>
      <c r="R577" s="89"/>
      <c r="S577" s="89"/>
      <c r="T577" s="89"/>
      <c r="U577" s="89"/>
      <c r="V577" s="89"/>
      <c r="W577" s="89"/>
      <c r="X577" s="89"/>
      <c r="Y577" s="89"/>
      <c r="Z577" s="89"/>
      <c r="AA577" s="89"/>
      <c r="AB577" s="89"/>
      <c r="AC577" s="89"/>
      <c r="AD577" s="89"/>
      <c r="AE577" s="89"/>
      <c r="AF577" s="89"/>
      <c r="AG577" s="89"/>
      <c r="AH577" s="89"/>
      <c r="AI577" s="89"/>
      <c r="AJ577" s="89"/>
      <c r="AK577" s="89"/>
      <c r="AL577" s="89"/>
      <c r="AM577" s="89"/>
      <c r="AN577" s="89"/>
      <c r="AO577" s="89"/>
      <c r="AP577" s="89"/>
      <c r="AQ577" s="89"/>
      <c r="AR577" s="89"/>
      <c r="AS577" s="89"/>
      <c r="AT577" s="89"/>
      <c r="AU577" s="89"/>
      <c r="AV577" s="89"/>
      <c r="AW577" s="89"/>
      <c r="AX577" s="89"/>
      <c r="AY577" s="89"/>
      <c r="AZ577" s="89"/>
      <c r="BA577" s="95"/>
    </row>
    <row r="578" spans="1:53" s="87" customFormat="1">
      <c r="A578" s="374" t="str">
        <f t="shared" si="56"/>
        <v/>
      </c>
      <c r="B578" s="89">
        <v>9</v>
      </c>
      <c r="C578" s="89">
        <v>3</v>
      </c>
      <c r="D578" s="89" t="s">
        <v>210</v>
      </c>
      <c r="E578" s="89" t="s">
        <v>210</v>
      </c>
      <c r="F578" s="89">
        <v>-5</v>
      </c>
      <c r="G578" s="89">
        <v>2</v>
      </c>
      <c r="H578" s="89" t="s">
        <v>210</v>
      </c>
      <c r="I578" s="89" t="s">
        <v>210</v>
      </c>
      <c r="J578" s="89">
        <v>-6</v>
      </c>
      <c r="K578" s="89">
        <v>-1</v>
      </c>
      <c r="L578" s="89" t="s">
        <v>210</v>
      </c>
      <c r="M578" s="89"/>
      <c r="N578" s="89"/>
      <c r="O578" s="89"/>
      <c r="P578" s="89"/>
      <c r="Q578" s="89"/>
      <c r="R578" s="89"/>
      <c r="S578" s="89"/>
      <c r="T578" s="89"/>
      <c r="U578" s="89"/>
      <c r="V578" s="89"/>
      <c r="W578" s="89"/>
      <c r="X578" s="89"/>
      <c r="Y578" s="89"/>
      <c r="Z578" s="89"/>
      <c r="AA578" s="89"/>
      <c r="AB578" s="89"/>
      <c r="AC578" s="89"/>
      <c r="AD578" s="89"/>
      <c r="AE578" s="89"/>
      <c r="AF578" s="89"/>
      <c r="AG578" s="89"/>
      <c r="AH578" s="89"/>
      <c r="AI578" s="89"/>
      <c r="AJ578" s="89"/>
      <c r="AK578" s="89"/>
      <c r="AL578" s="89"/>
      <c r="AM578" s="89"/>
      <c r="AN578" s="89"/>
      <c r="AO578" s="89"/>
      <c r="AP578" s="89"/>
      <c r="AQ578" s="89"/>
      <c r="AR578" s="89"/>
      <c r="AS578" s="89"/>
      <c r="AT578" s="89"/>
      <c r="AU578" s="89"/>
      <c r="AV578" s="89"/>
      <c r="AW578" s="89"/>
      <c r="AX578" s="89"/>
      <c r="AY578" s="89"/>
      <c r="AZ578" s="89"/>
      <c r="BA578" s="95"/>
    </row>
    <row r="579" spans="1:53" s="87" customFormat="1">
      <c r="A579" s="374" t="str">
        <f t="shared" si="56"/>
        <v/>
      </c>
      <c r="B579" s="89">
        <v>10</v>
      </c>
      <c r="C579" s="89">
        <v>2</v>
      </c>
      <c r="D579" s="89" t="s">
        <v>210</v>
      </c>
      <c r="E579" s="89" t="s">
        <v>210</v>
      </c>
      <c r="F579" s="89">
        <v>3</v>
      </c>
      <c r="G579" s="89">
        <v>-6</v>
      </c>
      <c r="H579" s="89" t="s">
        <v>210</v>
      </c>
      <c r="I579" s="89" t="s">
        <v>210</v>
      </c>
      <c r="J579" s="89">
        <v>-5</v>
      </c>
      <c r="K579" s="89">
        <v>1</v>
      </c>
      <c r="L579" s="89" t="s">
        <v>210</v>
      </c>
      <c r="M579" s="89"/>
      <c r="N579" s="89"/>
      <c r="O579" s="89"/>
      <c r="P579" s="89"/>
      <c r="Q579" s="89"/>
      <c r="R579" s="89"/>
      <c r="S579" s="89"/>
      <c r="T579" s="89"/>
      <c r="U579" s="89"/>
      <c r="V579" s="89"/>
      <c r="W579" s="89"/>
      <c r="X579" s="89"/>
      <c r="Y579" s="89"/>
      <c r="Z579" s="89"/>
      <c r="AA579" s="89"/>
      <c r="AB579" s="89"/>
      <c r="AC579" s="89"/>
      <c r="AD579" s="89"/>
      <c r="AE579" s="89"/>
      <c r="AF579" s="89"/>
      <c r="AG579" s="89"/>
      <c r="AH579" s="89"/>
      <c r="AI579" s="89"/>
      <c r="AJ579" s="89"/>
      <c r="AK579" s="89"/>
      <c r="AL579" s="89"/>
      <c r="AM579" s="89"/>
      <c r="AN579" s="89"/>
      <c r="AO579" s="89"/>
      <c r="AP579" s="89"/>
      <c r="AQ579" s="89"/>
      <c r="AR579" s="89"/>
      <c r="AS579" s="89"/>
      <c r="AT579" s="89"/>
      <c r="AU579" s="89"/>
      <c r="AV579" s="89"/>
      <c r="AW579" s="89"/>
      <c r="AX579" s="89"/>
      <c r="AY579" s="89"/>
      <c r="AZ579" s="89"/>
      <c r="BA579" s="95"/>
    </row>
    <row r="580" spans="1:53" s="87" customFormat="1">
      <c r="A580" s="374" t="str">
        <f t="shared" si="56"/>
        <v/>
      </c>
      <c r="B580" s="89">
        <v>11</v>
      </c>
      <c r="C580" s="89">
        <v>-2</v>
      </c>
      <c r="D580" s="89" t="s">
        <v>210</v>
      </c>
      <c r="E580" s="89" t="s">
        <v>210</v>
      </c>
      <c r="F580" s="89">
        <v>5</v>
      </c>
      <c r="G580" s="89">
        <v>4</v>
      </c>
      <c r="H580" s="89" t="s">
        <v>210</v>
      </c>
      <c r="I580" s="89" t="s">
        <v>210</v>
      </c>
      <c r="J580" s="89">
        <v>-1</v>
      </c>
      <c r="K580" s="89">
        <v>6</v>
      </c>
      <c r="L580" s="89" t="s">
        <v>210</v>
      </c>
      <c r="M580" s="89"/>
      <c r="N580" s="89"/>
      <c r="O580" s="89"/>
      <c r="P580" s="89"/>
      <c r="Q580" s="89"/>
      <c r="R580" s="89"/>
      <c r="S580" s="89"/>
      <c r="T580" s="89"/>
      <c r="U580" s="89"/>
      <c r="V580" s="89"/>
      <c r="W580" s="89"/>
      <c r="X580" s="89"/>
      <c r="Y580" s="89"/>
      <c r="Z580" s="89"/>
      <c r="AA580" s="89"/>
      <c r="AB580" s="89"/>
      <c r="AC580" s="89"/>
      <c r="AD580" s="89"/>
      <c r="AE580" s="89"/>
      <c r="AF580" s="89"/>
      <c r="AG580" s="89"/>
      <c r="AH580" s="89"/>
      <c r="AI580" s="89"/>
      <c r="AJ580" s="89"/>
      <c r="AK580" s="89"/>
      <c r="AL580" s="89"/>
      <c r="AM580" s="89"/>
      <c r="AN580" s="89"/>
      <c r="AO580" s="89"/>
      <c r="AP580" s="89"/>
      <c r="AQ580" s="89"/>
      <c r="AR580" s="89"/>
      <c r="AS580" s="89"/>
      <c r="AT580" s="89"/>
      <c r="AU580" s="89"/>
      <c r="AV580" s="89"/>
      <c r="AW580" s="89"/>
      <c r="AX580" s="89"/>
      <c r="AY580" s="89"/>
      <c r="AZ580" s="89"/>
      <c r="BA580" s="95"/>
    </row>
    <row r="581" spans="1:53" s="87" customFormat="1">
      <c r="A581" s="374" t="str">
        <f t="shared" si="56"/>
        <v/>
      </c>
      <c r="B581" s="99">
        <v>12</v>
      </c>
      <c r="C581" s="92">
        <v>-1</v>
      </c>
      <c r="D581" s="92" t="s">
        <v>210</v>
      </c>
      <c r="E581" s="92" t="s">
        <v>210</v>
      </c>
      <c r="F581" s="92">
        <v>4</v>
      </c>
      <c r="G581" s="92">
        <v>-2</v>
      </c>
      <c r="H581" s="92" t="s">
        <v>210</v>
      </c>
      <c r="I581" s="92" t="s">
        <v>210</v>
      </c>
      <c r="J581" s="92">
        <v>5</v>
      </c>
      <c r="K581" s="92">
        <v>-6</v>
      </c>
      <c r="L581" s="92" t="s">
        <v>210</v>
      </c>
      <c r="M581" s="89"/>
      <c r="N581" s="89"/>
      <c r="O581" s="89"/>
      <c r="P581" s="89"/>
      <c r="Q581" s="89"/>
      <c r="R581" s="89"/>
      <c r="S581" s="89"/>
      <c r="T581" s="89"/>
      <c r="U581" s="89"/>
      <c r="V581" s="89"/>
      <c r="W581" s="89"/>
      <c r="X581" s="89"/>
      <c r="Y581" s="89"/>
      <c r="Z581" s="89"/>
      <c r="AA581" s="89"/>
      <c r="AB581" s="89"/>
      <c r="AC581" s="89"/>
      <c r="AD581" s="89"/>
      <c r="AE581" s="89"/>
      <c r="AF581" s="89"/>
      <c r="AG581" s="89"/>
      <c r="AH581" s="89"/>
      <c r="AI581" s="89"/>
      <c r="AJ581" s="89"/>
      <c r="AK581" s="89"/>
      <c r="AL581" s="89"/>
      <c r="AM581" s="89"/>
      <c r="AN581" s="89"/>
      <c r="AO581" s="89"/>
      <c r="AP581" s="89"/>
      <c r="AQ581" s="89"/>
      <c r="AR581" s="89"/>
      <c r="AS581" s="89"/>
      <c r="AT581" s="89"/>
      <c r="AU581" s="89"/>
      <c r="AV581" s="89"/>
      <c r="AW581" s="89"/>
      <c r="AX581" s="89"/>
      <c r="AY581" s="89"/>
      <c r="AZ581" s="89"/>
      <c r="BA581" s="95"/>
    </row>
    <row r="582" spans="1:53" s="87" customFormat="1">
      <c r="A582" s="374" t="str">
        <f t="shared" si="56"/>
        <v/>
      </c>
      <c r="B582" s="89">
        <v>13</v>
      </c>
      <c r="C582" s="89" t="s">
        <v>210</v>
      </c>
      <c r="D582" s="89">
        <v>-2</v>
      </c>
      <c r="E582" s="89">
        <v>4</v>
      </c>
      <c r="F582" s="89" t="s">
        <v>210</v>
      </c>
      <c r="G582" s="89" t="s">
        <v>210</v>
      </c>
      <c r="H582" s="89">
        <v>-5</v>
      </c>
      <c r="I582" s="89">
        <v>-6</v>
      </c>
      <c r="J582" s="89" t="s">
        <v>210</v>
      </c>
      <c r="K582" s="89" t="s">
        <v>210</v>
      </c>
      <c r="L582" s="89">
        <v>3</v>
      </c>
      <c r="M582" s="89"/>
      <c r="N582" s="89"/>
      <c r="O582" s="89"/>
      <c r="P582" s="89"/>
      <c r="Q582" s="89"/>
      <c r="R582" s="89"/>
      <c r="S582" s="89"/>
      <c r="T582" s="89"/>
      <c r="U582" s="89"/>
      <c r="V582" s="89"/>
      <c r="W582" s="89"/>
      <c r="X582" s="89"/>
      <c r="Y582" s="89"/>
      <c r="Z582" s="89"/>
      <c r="AA582" s="89"/>
      <c r="AB582" s="89"/>
      <c r="AC582" s="89"/>
      <c r="AD582" s="89"/>
      <c r="AE582" s="89"/>
      <c r="AF582" s="89"/>
      <c r="AG582" s="89"/>
      <c r="AH582" s="89"/>
      <c r="AI582" s="89"/>
      <c r="AJ582" s="89"/>
      <c r="AK582" s="89"/>
      <c r="AL582" s="89"/>
      <c r="AM582" s="89"/>
      <c r="AN582" s="89"/>
      <c r="AO582" s="89"/>
      <c r="AP582" s="89"/>
      <c r="AQ582" s="89"/>
      <c r="AR582" s="89"/>
      <c r="AS582" s="89"/>
      <c r="AT582" s="89"/>
      <c r="AU582" s="89"/>
      <c r="AV582" s="89"/>
      <c r="AW582" s="89"/>
      <c r="AX582" s="89"/>
      <c r="AY582" s="89"/>
      <c r="AZ582" s="89"/>
      <c r="BA582" s="95"/>
    </row>
    <row r="583" spans="1:53" s="87" customFormat="1">
      <c r="A583" s="374" t="str">
        <f t="shared" si="56"/>
        <v/>
      </c>
      <c r="B583" s="89">
        <v>14</v>
      </c>
      <c r="C583" s="89" t="s">
        <v>210</v>
      </c>
      <c r="D583" s="89">
        <v>5</v>
      </c>
      <c r="E583" s="89">
        <v>6</v>
      </c>
      <c r="F583" s="89" t="s">
        <v>210</v>
      </c>
      <c r="G583" s="89" t="s">
        <v>210</v>
      </c>
      <c r="H583" s="89">
        <v>-2</v>
      </c>
      <c r="I583" s="89">
        <v>1</v>
      </c>
      <c r="J583" s="89" t="s">
        <v>210</v>
      </c>
      <c r="K583" s="89" t="s">
        <v>210</v>
      </c>
      <c r="L583" s="89">
        <v>-3</v>
      </c>
      <c r="M583" s="89"/>
      <c r="N583" s="89"/>
      <c r="O583" s="89"/>
      <c r="P583" s="89"/>
      <c r="Q583" s="89"/>
      <c r="R583" s="89"/>
      <c r="S583" s="89"/>
      <c r="T583" s="89"/>
      <c r="U583" s="89"/>
      <c r="V583" s="89"/>
      <c r="W583" s="89"/>
      <c r="X583" s="89"/>
      <c r="Y583" s="89"/>
      <c r="Z583" s="89"/>
      <c r="AA583" s="89"/>
      <c r="AB583" s="89"/>
      <c r="AC583" s="89"/>
      <c r="AD583" s="89"/>
      <c r="AE583" s="89"/>
      <c r="AF583" s="89"/>
      <c r="AG583" s="89"/>
      <c r="AH583" s="89"/>
      <c r="AI583" s="89"/>
      <c r="AJ583" s="89"/>
      <c r="AK583" s="89"/>
      <c r="AL583" s="89"/>
      <c r="AM583" s="89"/>
      <c r="AN583" s="89"/>
      <c r="AO583" s="89"/>
      <c r="AP583" s="89"/>
      <c r="AQ583" s="89"/>
      <c r="AR583" s="89"/>
      <c r="AS583" s="89"/>
      <c r="AT583" s="89"/>
      <c r="AU583" s="89"/>
      <c r="AV583" s="89"/>
      <c r="AW583" s="89"/>
      <c r="AX583" s="89"/>
      <c r="AY583" s="89"/>
      <c r="AZ583" s="89"/>
      <c r="BA583" s="95"/>
    </row>
    <row r="584" spans="1:53" s="87" customFormat="1">
      <c r="A584" s="374" t="str">
        <f t="shared" si="56"/>
        <v/>
      </c>
      <c r="B584" s="89">
        <v>15</v>
      </c>
      <c r="C584" s="89" t="s">
        <v>210</v>
      </c>
      <c r="D584" s="89">
        <v>-6</v>
      </c>
      <c r="E584" s="89">
        <v>3</v>
      </c>
      <c r="F584" s="89" t="s">
        <v>210</v>
      </c>
      <c r="G584" s="89" t="s">
        <v>210</v>
      </c>
      <c r="H584" s="89">
        <v>5</v>
      </c>
      <c r="I584" s="89">
        <v>-1</v>
      </c>
      <c r="J584" s="89" t="s">
        <v>210</v>
      </c>
      <c r="K584" s="89" t="s">
        <v>210</v>
      </c>
      <c r="L584" s="89">
        <v>4</v>
      </c>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c r="AZ584" s="89"/>
      <c r="BA584" s="95"/>
    </row>
    <row r="585" spans="1:53" s="87" customFormat="1">
      <c r="A585" s="374" t="str">
        <f t="shared" si="56"/>
        <v/>
      </c>
      <c r="B585" s="99">
        <v>16</v>
      </c>
      <c r="C585" s="92" t="s">
        <v>210</v>
      </c>
      <c r="D585" s="92">
        <v>-1</v>
      </c>
      <c r="E585" s="92">
        <v>-5</v>
      </c>
      <c r="F585" s="92" t="s">
        <v>210</v>
      </c>
      <c r="G585" s="92" t="s">
        <v>210</v>
      </c>
      <c r="H585" s="92">
        <v>2</v>
      </c>
      <c r="I585" s="92">
        <v>6</v>
      </c>
      <c r="J585" s="92" t="s">
        <v>210</v>
      </c>
      <c r="K585" s="92" t="s">
        <v>210</v>
      </c>
      <c r="L585" s="92">
        <v>-4</v>
      </c>
      <c r="M585" s="89"/>
      <c r="N585" s="89"/>
      <c r="O585" s="89"/>
      <c r="P585" s="89"/>
      <c r="Q585" s="89"/>
      <c r="R585" s="89"/>
      <c r="S585" s="89"/>
      <c r="T585" s="89"/>
      <c r="U585" s="89"/>
      <c r="V585" s="89"/>
      <c r="W585" s="89"/>
      <c r="X585" s="89"/>
      <c r="Y585" s="89"/>
      <c r="Z585" s="89"/>
      <c r="AA585" s="89"/>
      <c r="AB585" s="89"/>
      <c r="AC585" s="89"/>
      <c r="AD585" s="89"/>
      <c r="AE585" s="89"/>
      <c r="AF585" s="89"/>
      <c r="AG585" s="89"/>
      <c r="AH585" s="89"/>
      <c r="AI585" s="89"/>
      <c r="AJ585" s="89"/>
      <c r="AK585" s="89"/>
      <c r="AL585" s="89"/>
      <c r="AM585" s="89"/>
      <c r="AN585" s="89"/>
      <c r="AO585" s="89"/>
      <c r="AP585" s="89"/>
      <c r="AQ585" s="89"/>
      <c r="AR585" s="89"/>
      <c r="AS585" s="89"/>
      <c r="AT585" s="89"/>
      <c r="AU585" s="89"/>
      <c r="AV585" s="89"/>
      <c r="AW585" s="89"/>
      <c r="AX585" s="89"/>
      <c r="AY585" s="89"/>
      <c r="AZ585" s="89"/>
      <c r="BA585" s="95"/>
    </row>
    <row r="586" spans="1:53" s="87" customFormat="1">
      <c r="A586" s="374" t="str">
        <f t="shared" si="56"/>
        <v/>
      </c>
      <c r="B586" s="89">
        <v>17</v>
      </c>
      <c r="C586" s="89" t="s">
        <v>210</v>
      </c>
      <c r="D586" s="89">
        <v>-5</v>
      </c>
      <c r="E586" s="89">
        <v>-4</v>
      </c>
      <c r="F586" s="89" t="s">
        <v>210</v>
      </c>
      <c r="G586" s="89" t="s">
        <v>210</v>
      </c>
      <c r="H586" s="89">
        <v>3</v>
      </c>
      <c r="I586" s="89">
        <v>2</v>
      </c>
      <c r="J586" s="89" t="s">
        <v>210</v>
      </c>
      <c r="K586" s="89" t="s">
        <v>210</v>
      </c>
      <c r="L586" s="89">
        <v>-1</v>
      </c>
      <c r="M586" s="89"/>
      <c r="N586" s="89"/>
      <c r="O586" s="89"/>
      <c r="P586" s="89"/>
      <c r="Q586" s="89"/>
      <c r="R586" s="89"/>
      <c r="S586" s="89"/>
      <c r="T586" s="89"/>
      <c r="U586" s="89"/>
      <c r="V586" s="89"/>
      <c r="W586" s="89"/>
      <c r="X586" s="89"/>
      <c r="Y586" s="89"/>
      <c r="Z586" s="89"/>
      <c r="AA586" s="89"/>
      <c r="AB586" s="89"/>
      <c r="AC586" s="89"/>
      <c r="AD586" s="89"/>
      <c r="AE586" s="89"/>
      <c r="AF586" s="89"/>
      <c r="AG586" s="89"/>
      <c r="AH586" s="89"/>
      <c r="AI586" s="89"/>
      <c r="AJ586" s="89"/>
      <c r="AK586" s="89"/>
      <c r="AL586" s="89"/>
      <c r="AM586" s="89"/>
      <c r="AN586" s="89"/>
      <c r="AO586" s="89"/>
      <c r="AP586" s="89"/>
      <c r="AQ586" s="89"/>
      <c r="AR586" s="89"/>
      <c r="AS586" s="89"/>
      <c r="AT586" s="89"/>
      <c r="AU586" s="89"/>
      <c r="AV586" s="89"/>
      <c r="AW586" s="89"/>
      <c r="AX586" s="89"/>
      <c r="AY586" s="89"/>
      <c r="AZ586" s="89"/>
      <c r="BA586" s="95"/>
    </row>
    <row r="587" spans="1:53" s="87" customFormat="1">
      <c r="A587" s="374" t="str">
        <f t="shared" si="56"/>
        <v/>
      </c>
      <c r="B587" s="89">
        <v>18</v>
      </c>
      <c r="C587" s="89" t="s">
        <v>210</v>
      </c>
      <c r="D587" s="89">
        <v>2</v>
      </c>
      <c r="E587" s="89">
        <v>-6</v>
      </c>
      <c r="F587" s="89" t="s">
        <v>210</v>
      </c>
      <c r="G587" s="89" t="s">
        <v>210</v>
      </c>
      <c r="H587" s="89">
        <v>-4</v>
      </c>
      <c r="I587" s="89">
        <v>5</v>
      </c>
      <c r="J587" s="89" t="s">
        <v>210</v>
      </c>
      <c r="K587" s="89" t="s">
        <v>210</v>
      </c>
      <c r="L587" s="89">
        <v>1</v>
      </c>
      <c r="M587" s="89"/>
      <c r="N587" s="89"/>
      <c r="O587" s="89"/>
      <c r="P587" s="89"/>
      <c r="Q587" s="89"/>
      <c r="R587" s="89"/>
      <c r="S587" s="89"/>
      <c r="T587" s="89"/>
      <c r="U587" s="89"/>
      <c r="V587" s="89"/>
      <c r="W587" s="89"/>
      <c r="X587" s="89"/>
      <c r="Y587" s="89"/>
      <c r="Z587" s="89"/>
      <c r="AA587" s="89"/>
      <c r="AB587" s="89"/>
      <c r="AC587" s="89"/>
      <c r="AD587" s="89"/>
      <c r="AE587" s="89"/>
      <c r="AF587" s="89"/>
      <c r="AG587" s="89"/>
      <c r="AH587" s="89"/>
      <c r="AI587" s="89"/>
      <c r="AJ587" s="89"/>
      <c r="AK587" s="89"/>
      <c r="AL587" s="89"/>
      <c r="AM587" s="89"/>
      <c r="AN587" s="89"/>
      <c r="AO587" s="89"/>
      <c r="AP587" s="89"/>
      <c r="AQ587" s="89"/>
      <c r="AR587" s="89"/>
      <c r="AS587" s="89"/>
      <c r="AT587" s="89"/>
      <c r="AU587" s="89"/>
      <c r="AV587" s="89"/>
      <c r="AW587" s="89"/>
      <c r="AX587" s="89"/>
      <c r="AY587" s="89"/>
      <c r="AZ587" s="89"/>
      <c r="BA587" s="95"/>
    </row>
    <row r="588" spans="1:53" s="87" customFormat="1">
      <c r="A588" s="374" t="str">
        <f t="shared" ref="A588:A651" si="57">IF(MID(B588,3,2)="06",ROW(),"")</f>
        <v/>
      </c>
      <c r="B588" s="89">
        <v>19</v>
      </c>
      <c r="C588" s="89" t="s">
        <v>210</v>
      </c>
      <c r="D588" s="89">
        <v>4</v>
      </c>
      <c r="E588" s="89">
        <v>2</v>
      </c>
      <c r="F588" s="89" t="s">
        <v>210</v>
      </c>
      <c r="G588" s="89" t="s">
        <v>210</v>
      </c>
      <c r="H588" s="89">
        <v>-3</v>
      </c>
      <c r="I588" s="89">
        <v>-5</v>
      </c>
      <c r="J588" s="89" t="s">
        <v>210</v>
      </c>
      <c r="K588" s="89" t="s">
        <v>210</v>
      </c>
      <c r="L588" s="89">
        <v>6</v>
      </c>
      <c r="M588" s="89"/>
      <c r="N588" s="89"/>
      <c r="O588" s="89"/>
      <c r="P588" s="89"/>
      <c r="Q588" s="89"/>
      <c r="R588" s="89"/>
      <c r="S588" s="89"/>
      <c r="T588" s="89"/>
      <c r="U588" s="89"/>
      <c r="V588" s="89"/>
      <c r="W588" s="89"/>
      <c r="X588" s="89"/>
      <c r="Y588" s="89"/>
      <c r="Z588" s="89"/>
      <c r="AA588" s="89"/>
      <c r="AB588" s="89"/>
      <c r="AC588" s="89"/>
      <c r="AD588" s="89"/>
      <c r="AE588" s="89"/>
      <c r="AF588" s="89"/>
      <c r="AG588" s="89"/>
      <c r="AH588" s="89"/>
      <c r="AI588" s="89"/>
      <c r="AJ588" s="89"/>
      <c r="AK588" s="89"/>
      <c r="AL588" s="89"/>
      <c r="AM588" s="89"/>
      <c r="AN588" s="89"/>
      <c r="AO588" s="89"/>
      <c r="AP588" s="89"/>
      <c r="AQ588" s="89"/>
      <c r="AR588" s="89"/>
      <c r="AS588" s="89"/>
      <c r="AT588" s="89"/>
      <c r="AU588" s="89"/>
      <c r="AV588" s="89"/>
      <c r="AW588" s="89"/>
      <c r="AX588" s="89"/>
      <c r="AY588" s="89"/>
      <c r="AZ588" s="89"/>
      <c r="BA588" s="95"/>
    </row>
    <row r="589" spans="1:53" s="87" customFormat="1">
      <c r="A589" s="374" t="str">
        <f t="shared" si="57"/>
        <v/>
      </c>
      <c r="B589" s="99">
        <v>20</v>
      </c>
      <c r="C589" s="92" t="s">
        <v>210</v>
      </c>
      <c r="D589" s="92">
        <v>-3</v>
      </c>
      <c r="E589" s="92">
        <v>1</v>
      </c>
      <c r="F589" s="92" t="s">
        <v>210</v>
      </c>
      <c r="G589" s="92" t="s">
        <v>210</v>
      </c>
      <c r="H589" s="92">
        <v>4</v>
      </c>
      <c r="I589" s="92">
        <v>-2</v>
      </c>
      <c r="J589" s="92" t="s">
        <v>210</v>
      </c>
      <c r="K589" s="92" t="s">
        <v>210</v>
      </c>
      <c r="L589" s="92">
        <v>-6</v>
      </c>
      <c r="M589" s="89"/>
      <c r="N589" s="89"/>
      <c r="O589" s="89"/>
      <c r="P589" s="89"/>
      <c r="Q589" s="89"/>
      <c r="R589" s="89"/>
      <c r="S589" s="89"/>
      <c r="T589" s="89"/>
      <c r="U589" s="89"/>
      <c r="V589" s="89"/>
      <c r="W589" s="89"/>
      <c r="X589" s="89"/>
      <c r="Y589" s="89"/>
      <c r="Z589" s="89"/>
      <c r="AA589" s="89"/>
      <c r="AB589" s="89"/>
      <c r="AC589" s="89"/>
      <c r="AD589" s="89"/>
      <c r="AE589" s="89"/>
      <c r="AF589" s="89"/>
      <c r="AG589" s="89"/>
      <c r="AH589" s="89"/>
      <c r="AI589" s="89"/>
      <c r="AJ589" s="89"/>
      <c r="AK589" s="89"/>
      <c r="AL589" s="89"/>
      <c r="AM589" s="89"/>
      <c r="AN589" s="89"/>
      <c r="AO589" s="89"/>
      <c r="AP589" s="89"/>
      <c r="AQ589" s="89"/>
      <c r="AR589" s="89"/>
      <c r="AS589" s="89"/>
      <c r="AT589" s="89"/>
      <c r="AU589" s="89"/>
      <c r="AV589" s="89"/>
      <c r="AW589" s="89"/>
      <c r="AX589" s="89"/>
      <c r="AY589" s="89"/>
      <c r="AZ589" s="89"/>
      <c r="BA589" s="95"/>
    </row>
    <row r="590" spans="1:53" s="87" customFormat="1">
      <c r="A590" s="374" t="str">
        <f t="shared" si="57"/>
        <v/>
      </c>
      <c r="B590" s="89">
        <v>21</v>
      </c>
      <c r="C590" s="89" t="s">
        <v>210</v>
      </c>
      <c r="D590" s="89">
        <v>1</v>
      </c>
      <c r="E590" s="89">
        <v>-3</v>
      </c>
      <c r="F590" s="89" t="s">
        <v>210</v>
      </c>
      <c r="G590" s="89" t="s">
        <v>210</v>
      </c>
      <c r="H590" s="89">
        <v>-6</v>
      </c>
      <c r="I590" s="89">
        <v>4</v>
      </c>
      <c r="J590" s="89" t="s">
        <v>210</v>
      </c>
      <c r="K590" s="89" t="s">
        <v>210</v>
      </c>
      <c r="L590" s="89">
        <v>-2</v>
      </c>
      <c r="M590" s="89"/>
      <c r="N590" s="89"/>
      <c r="O590" s="89"/>
      <c r="P590" s="89"/>
      <c r="Q590" s="89"/>
      <c r="R590" s="89"/>
      <c r="S590" s="89"/>
      <c r="T590" s="89"/>
      <c r="U590" s="89"/>
      <c r="V590" s="89"/>
      <c r="W590" s="89"/>
      <c r="X590" s="89"/>
      <c r="Y590" s="89"/>
      <c r="Z590" s="89"/>
      <c r="AA590" s="89"/>
      <c r="AB590" s="89"/>
      <c r="AC590" s="89"/>
      <c r="AD590" s="89"/>
      <c r="AE590" s="89"/>
      <c r="AF590" s="89"/>
      <c r="AG590" s="89"/>
      <c r="AH590" s="89"/>
      <c r="AI590" s="89"/>
      <c r="AJ590" s="89"/>
      <c r="AK590" s="89"/>
      <c r="AL590" s="89"/>
      <c r="AM590" s="89"/>
      <c r="AN590" s="89"/>
      <c r="AO590" s="89"/>
      <c r="AP590" s="89"/>
      <c r="AQ590" s="89"/>
      <c r="AR590" s="89"/>
      <c r="AS590" s="89"/>
      <c r="AT590" s="89"/>
      <c r="AU590" s="89"/>
      <c r="AV590" s="89"/>
      <c r="AW590" s="89"/>
      <c r="AX590" s="89"/>
      <c r="AY590" s="89"/>
      <c r="AZ590" s="89"/>
      <c r="BA590" s="95"/>
    </row>
    <row r="591" spans="1:53" s="87" customFormat="1">
      <c r="A591" s="374" t="str">
        <f t="shared" si="57"/>
        <v/>
      </c>
      <c r="B591" s="89">
        <v>22</v>
      </c>
      <c r="C591" s="89" t="s">
        <v>210</v>
      </c>
      <c r="D591" s="89">
        <v>6</v>
      </c>
      <c r="E591" s="89">
        <v>5</v>
      </c>
      <c r="F591" s="89" t="s">
        <v>210</v>
      </c>
      <c r="G591" s="89" t="s">
        <v>210</v>
      </c>
      <c r="H591" s="89">
        <v>-1</v>
      </c>
      <c r="I591" s="89">
        <v>-3</v>
      </c>
      <c r="J591" s="89" t="s">
        <v>210</v>
      </c>
      <c r="K591" s="89" t="s">
        <v>210</v>
      </c>
      <c r="L591" s="89">
        <v>2</v>
      </c>
      <c r="M591" s="89"/>
      <c r="N591" s="89"/>
      <c r="O591" s="89"/>
      <c r="P591" s="89"/>
      <c r="Q591" s="89"/>
      <c r="R591" s="89"/>
      <c r="S591" s="89"/>
      <c r="T591" s="89"/>
      <c r="U591" s="89"/>
      <c r="V591" s="89"/>
      <c r="W591" s="89"/>
      <c r="X591" s="89"/>
      <c r="Y591" s="89"/>
      <c r="Z591" s="89"/>
      <c r="AA591" s="89"/>
      <c r="AB591" s="89"/>
      <c r="AC591" s="89"/>
      <c r="AD591" s="89"/>
      <c r="AE591" s="89"/>
      <c r="AF591" s="89"/>
      <c r="AG591" s="89"/>
      <c r="AH591" s="89"/>
      <c r="AI591" s="89"/>
      <c r="AJ591" s="89"/>
      <c r="AK591" s="89"/>
      <c r="AL591" s="89"/>
      <c r="AM591" s="89"/>
      <c r="AN591" s="89"/>
      <c r="AO591" s="89"/>
      <c r="AP591" s="89"/>
      <c r="AQ591" s="89"/>
      <c r="AR591" s="89"/>
      <c r="AS591" s="89"/>
      <c r="AT591" s="89"/>
      <c r="AU591" s="89"/>
      <c r="AV591" s="89"/>
      <c r="AW591" s="89"/>
      <c r="AX591" s="89"/>
      <c r="AY591" s="89"/>
      <c r="AZ591" s="89"/>
      <c r="BA591" s="95"/>
    </row>
    <row r="592" spans="1:53" s="87" customFormat="1">
      <c r="A592" s="374" t="str">
        <f t="shared" si="57"/>
        <v/>
      </c>
      <c r="B592" s="89">
        <v>23</v>
      </c>
      <c r="C592" s="89" t="s">
        <v>210</v>
      </c>
      <c r="D592" s="89">
        <v>3</v>
      </c>
      <c r="E592" s="89">
        <v>-2</v>
      </c>
      <c r="F592" s="89" t="s">
        <v>210</v>
      </c>
      <c r="G592" s="89" t="s">
        <v>210</v>
      </c>
      <c r="H592" s="89">
        <v>1</v>
      </c>
      <c r="I592" s="89">
        <v>-4</v>
      </c>
      <c r="J592" s="89" t="s">
        <v>210</v>
      </c>
      <c r="K592" s="89" t="s">
        <v>210</v>
      </c>
      <c r="L592" s="89">
        <v>5</v>
      </c>
      <c r="M592" s="89"/>
      <c r="N592" s="89"/>
      <c r="O592" s="89"/>
      <c r="P592" s="89"/>
      <c r="Q592" s="89"/>
      <c r="R592" s="89"/>
      <c r="S592" s="89"/>
      <c r="T592" s="89"/>
      <c r="U592" s="89"/>
      <c r="V592" s="89"/>
      <c r="W592" s="89"/>
      <c r="X592" s="89"/>
      <c r="Y592" s="89"/>
      <c r="Z592" s="89"/>
      <c r="AA592" s="89"/>
      <c r="AB592" s="89"/>
      <c r="AC592" s="89"/>
      <c r="AD592" s="89"/>
      <c r="AE592" s="89"/>
      <c r="AF592" s="89"/>
      <c r="AG592" s="89"/>
      <c r="AH592" s="89"/>
      <c r="AI592" s="89"/>
      <c r="AJ592" s="89"/>
      <c r="AK592" s="89"/>
      <c r="AL592" s="89"/>
      <c r="AM592" s="89"/>
      <c r="AN592" s="89"/>
      <c r="AO592" s="89"/>
      <c r="AP592" s="89"/>
      <c r="AQ592" s="89"/>
      <c r="AR592" s="89"/>
      <c r="AS592" s="89"/>
      <c r="AT592" s="89"/>
      <c r="AU592" s="89"/>
      <c r="AV592" s="89"/>
      <c r="AW592" s="89"/>
      <c r="AX592" s="89"/>
      <c r="AY592" s="89"/>
      <c r="AZ592" s="89"/>
      <c r="BA592" s="95"/>
    </row>
    <row r="593" spans="1:53" s="87" customFormat="1">
      <c r="A593" s="374" t="str">
        <f t="shared" si="57"/>
        <v/>
      </c>
      <c r="B593" s="89">
        <v>24</v>
      </c>
      <c r="C593" s="89" t="s">
        <v>210</v>
      </c>
      <c r="D593" s="89">
        <v>-4</v>
      </c>
      <c r="E593" s="89">
        <v>-1</v>
      </c>
      <c r="F593" s="89" t="s">
        <v>210</v>
      </c>
      <c r="G593" s="89" t="s">
        <v>210</v>
      </c>
      <c r="H593" s="89">
        <v>6</v>
      </c>
      <c r="I593" s="89">
        <v>3</v>
      </c>
      <c r="J593" s="89" t="s">
        <v>210</v>
      </c>
      <c r="K593" s="89" t="s">
        <v>210</v>
      </c>
      <c r="L593" s="89">
        <v>-5</v>
      </c>
      <c r="M593" s="89"/>
      <c r="N593" s="89"/>
      <c r="O593" s="89"/>
      <c r="P593" s="89"/>
      <c r="Q593" s="89"/>
      <c r="R593" s="89"/>
      <c r="S593" s="89"/>
      <c r="T593" s="89"/>
      <c r="U593" s="89"/>
      <c r="V593" s="89"/>
      <c r="W593" s="89"/>
      <c r="X593" s="89"/>
      <c r="Y593" s="89"/>
      <c r="Z593" s="89"/>
      <c r="AA593" s="89"/>
      <c r="AB593" s="89"/>
      <c r="AC593" s="89"/>
      <c r="AD593" s="89"/>
      <c r="AE593" s="89"/>
      <c r="AF593" s="89"/>
      <c r="AG593" s="89"/>
      <c r="AH593" s="89"/>
      <c r="AI593" s="89"/>
      <c r="AJ593" s="89"/>
      <c r="AK593" s="89"/>
      <c r="AL593" s="89"/>
      <c r="AM593" s="89"/>
      <c r="AN593" s="89"/>
      <c r="AO593" s="89"/>
      <c r="AP593" s="89"/>
      <c r="AQ593" s="89"/>
      <c r="AR593" s="89"/>
      <c r="AS593" s="89"/>
      <c r="AT593" s="89"/>
      <c r="AU593" s="89"/>
      <c r="AV593" s="89"/>
      <c r="AW593" s="89"/>
      <c r="AX593" s="89"/>
      <c r="AY593" s="89"/>
      <c r="AZ593" s="89"/>
      <c r="BA593" s="95"/>
    </row>
    <row r="594" spans="1:53" s="87" customFormat="1">
      <c r="A594" s="374" t="str">
        <f t="shared" si="57"/>
        <v/>
      </c>
      <c r="B594" s="89" t="s">
        <v>379</v>
      </c>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c r="AA594" s="89"/>
      <c r="AB594" s="89"/>
      <c r="AC594" s="89"/>
      <c r="AD594" s="89"/>
      <c r="AE594" s="89"/>
      <c r="AF594" s="89"/>
      <c r="AG594" s="89"/>
      <c r="AH594" s="89"/>
      <c r="AI594" s="89"/>
      <c r="AJ594" s="89"/>
      <c r="AK594" s="89"/>
      <c r="AL594" s="89"/>
      <c r="AM594" s="89"/>
      <c r="AN594" s="89"/>
      <c r="AO594" s="89"/>
      <c r="AP594" s="89"/>
      <c r="AQ594" s="89"/>
      <c r="AR594" s="89"/>
      <c r="AS594" s="89"/>
      <c r="AT594" s="89"/>
      <c r="AU594" s="89"/>
      <c r="AV594" s="89"/>
      <c r="AW594" s="89"/>
      <c r="AX594" s="89"/>
      <c r="AY594" s="89"/>
      <c r="AZ594" s="89"/>
      <c r="BA594" s="95"/>
    </row>
    <row r="595" spans="1:53" s="87" customFormat="1">
      <c r="A595" s="374">
        <f t="shared" si="57"/>
        <v>595</v>
      </c>
      <c r="B595" s="89" t="s">
        <v>380</v>
      </c>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c r="AA595" s="89"/>
      <c r="AB595" s="89"/>
      <c r="AC595" s="89"/>
      <c r="AD595" s="89"/>
      <c r="AE595" s="89"/>
      <c r="AF595" s="89"/>
      <c r="AG595" s="89"/>
      <c r="AH595" s="89"/>
      <c r="AI595" s="89"/>
      <c r="AJ595" s="89"/>
      <c r="AK595" s="89"/>
      <c r="AL595" s="89"/>
      <c r="AM595" s="89"/>
      <c r="AN595" s="89"/>
      <c r="AO595" s="89"/>
      <c r="AP595" s="89"/>
      <c r="AQ595" s="89"/>
      <c r="AR595" s="89"/>
      <c r="AS595" s="89"/>
      <c r="AT595" s="89"/>
      <c r="AU595" s="89"/>
      <c r="AV595" s="89"/>
      <c r="AW595" s="89"/>
      <c r="AX595" s="89"/>
      <c r="AY595" s="89"/>
      <c r="AZ595" s="89"/>
      <c r="BA595" s="95"/>
    </row>
    <row r="596" spans="1:53" s="87" customFormat="1">
      <c r="A596" s="374" t="str">
        <f t="shared" si="57"/>
        <v/>
      </c>
      <c r="B596" s="89">
        <v>1</v>
      </c>
      <c r="C596" s="89">
        <v>-1</v>
      </c>
      <c r="D596" s="89" t="s">
        <v>210</v>
      </c>
      <c r="E596" s="89" t="s">
        <v>210</v>
      </c>
      <c r="F596" s="89">
        <v>2</v>
      </c>
      <c r="G596" s="89">
        <v>3</v>
      </c>
      <c r="H596" s="89" t="s">
        <v>210</v>
      </c>
      <c r="I596" s="89"/>
      <c r="J596" s="89"/>
      <c r="K596" s="89"/>
      <c r="L596" s="89"/>
      <c r="M596" s="89"/>
      <c r="N596" s="89"/>
      <c r="O596" s="89"/>
      <c r="P596" s="89"/>
      <c r="Q596" s="89"/>
      <c r="R596" s="89"/>
      <c r="S596" s="89"/>
      <c r="T596" s="89"/>
      <c r="U596" s="89"/>
      <c r="V596" s="89"/>
      <c r="W596" s="89"/>
      <c r="X596" s="89"/>
      <c r="Y596" s="89"/>
      <c r="Z596" s="89"/>
      <c r="AA596" s="89"/>
      <c r="AB596" s="89"/>
      <c r="AC596" s="89"/>
      <c r="AD596" s="89"/>
      <c r="AE596" s="89"/>
      <c r="AF596" s="89"/>
      <c r="AG596" s="89"/>
      <c r="AH596" s="89"/>
      <c r="AI596" s="89"/>
      <c r="AJ596" s="89"/>
      <c r="AK596" s="89"/>
      <c r="AL596" s="89"/>
      <c r="AM596" s="89"/>
      <c r="AN596" s="89"/>
      <c r="AO596" s="89"/>
      <c r="AP596" s="89"/>
      <c r="AQ596" s="89"/>
      <c r="AR596" s="89"/>
      <c r="AS596" s="89"/>
      <c r="AT596" s="89"/>
      <c r="AU596" s="89"/>
      <c r="AV596" s="89"/>
      <c r="AW596" s="89"/>
      <c r="AX596" s="89"/>
      <c r="AY596" s="89"/>
      <c r="AZ596" s="89"/>
      <c r="BA596" s="95"/>
    </row>
    <row r="597" spans="1:53" s="87" customFormat="1">
      <c r="A597" s="374" t="str">
        <f t="shared" si="57"/>
        <v/>
      </c>
      <c r="B597" s="89">
        <v>2</v>
      </c>
      <c r="C597" s="89">
        <v>6</v>
      </c>
      <c r="D597" s="89" t="s">
        <v>210</v>
      </c>
      <c r="E597" s="89" t="s">
        <v>210</v>
      </c>
      <c r="F597" s="89">
        <v>-5</v>
      </c>
      <c r="G597" s="89">
        <v>-3</v>
      </c>
      <c r="H597" s="89" t="s">
        <v>210</v>
      </c>
      <c r="I597" s="89"/>
      <c r="J597" s="89"/>
      <c r="K597" s="89"/>
      <c r="L597" s="89"/>
      <c r="M597" s="89"/>
      <c r="N597" s="89"/>
      <c r="O597" s="89"/>
      <c r="P597" s="89"/>
      <c r="Q597" s="89"/>
      <c r="R597" s="89"/>
      <c r="S597" s="89"/>
      <c r="T597" s="89"/>
      <c r="U597" s="89"/>
      <c r="V597" s="89"/>
      <c r="W597" s="89"/>
      <c r="X597" s="89"/>
      <c r="Y597" s="89"/>
      <c r="Z597" s="89"/>
      <c r="AA597" s="89"/>
      <c r="AB597" s="89"/>
      <c r="AC597" s="89"/>
      <c r="AD597" s="89"/>
      <c r="AE597" s="89"/>
      <c r="AF597" s="89"/>
      <c r="AG597" s="89"/>
      <c r="AH597" s="89"/>
      <c r="AI597" s="89"/>
      <c r="AJ597" s="89"/>
      <c r="AK597" s="89"/>
      <c r="AL597" s="89"/>
      <c r="AM597" s="89"/>
      <c r="AN597" s="89"/>
      <c r="AO597" s="89"/>
      <c r="AP597" s="89"/>
      <c r="AQ597" s="89"/>
      <c r="AR597" s="89"/>
      <c r="AS597" s="89"/>
      <c r="AT597" s="89"/>
      <c r="AU597" s="89"/>
      <c r="AV597" s="89"/>
      <c r="AW597" s="89"/>
      <c r="AX597" s="89"/>
      <c r="AY597" s="89"/>
      <c r="AZ597" s="89"/>
      <c r="BA597" s="95"/>
    </row>
    <row r="598" spans="1:53" s="87" customFormat="1">
      <c r="A598" s="374" t="str">
        <f t="shared" si="57"/>
        <v/>
      </c>
      <c r="B598" s="89">
        <v>3</v>
      </c>
      <c r="C598" s="89">
        <v>-6</v>
      </c>
      <c r="D598" s="89" t="s">
        <v>210</v>
      </c>
      <c r="E598" s="89" t="s">
        <v>210</v>
      </c>
      <c r="F598" s="89">
        <v>-2</v>
      </c>
      <c r="G598" s="89">
        <v>4</v>
      </c>
      <c r="H598" s="89" t="s">
        <v>210</v>
      </c>
      <c r="I598" s="89"/>
      <c r="J598" s="89"/>
      <c r="K598" s="89"/>
      <c r="L598" s="89"/>
      <c r="M598" s="89"/>
      <c r="N598" s="89"/>
      <c r="O598" s="89"/>
      <c r="P598" s="89"/>
      <c r="Q598" s="89"/>
      <c r="R598" s="89"/>
      <c r="S598" s="89"/>
      <c r="T598" s="89"/>
      <c r="U598" s="89"/>
      <c r="V598" s="89"/>
      <c r="W598" s="89"/>
      <c r="X598" s="89"/>
      <c r="Y598" s="89"/>
      <c r="Z598" s="89"/>
      <c r="AA598" s="89"/>
      <c r="AB598" s="89"/>
      <c r="AC598" s="89"/>
      <c r="AD598" s="89"/>
      <c r="AE598" s="89"/>
      <c r="AF598" s="89"/>
      <c r="AG598" s="89"/>
      <c r="AH598" s="89"/>
      <c r="AI598" s="89"/>
      <c r="AJ598" s="89"/>
      <c r="AK598" s="89"/>
      <c r="AL598" s="89"/>
      <c r="AM598" s="89"/>
      <c r="AN598" s="89"/>
      <c r="AO598" s="89"/>
      <c r="AP598" s="89"/>
      <c r="AQ598" s="89"/>
      <c r="AR598" s="89"/>
      <c r="AS598" s="89"/>
      <c r="AT598" s="89"/>
      <c r="AU598" s="89"/>
      <c r="AV598" s="89"/>
      <c r="AW598" s="89"/>
      <c r="AX598" s="89"/>
      <c r="AY598" s="89"/>
      <c r="AZ598" s="89"/>
      <c r="BA598" s="95"/>
    </row>
    <row r="599" spans="1:53" s="87" customFormat="1">
      <c r="A599" s="374" t="str">
        <f t="shared" si="57"/>
        <v/>
      </c>
      <c r="B599" s="99">
        <v>4</v>
      </c>
      <c r="C599" s="92">
        <v>1</v>
      </c>
      <c r="D599" s="92" t="s">
        <v>210</v>
      </c>
      <c r="E599" s="92" t="s">
        <v>210</v>
      </c>
      <c r="F599" s="92">
        <v>5</v>
      </c>
      <c r="G599" s="92">
        <v>-4</v>
      </c>
      <c r="H599" s="92" t="s">
        <v>210</v>
      </c>
      <c r="I599" s="89"/>
      <c r="J599" s="89"/>
      <c r="K599" s="89"/>
      <c r="L599" s="89"/>
      <c r="M599" s="89"/>
      <c r="N599" s="89"/>
      <c r="O599" s="89"/>
      <c r="P599" s="89"/>
      <c r="Q599" s="89"/>
      <c r="R599" s="89"/>
      <c r="S599" s="89"/>
      <c r="T599" s="89"/>
      <c r="U599" s="89"/>
      <c r="V599" s="89"/>
      <c r="W599" s="89"/>
      <c r="X599" s="89"/>
      <c r="Y599" s="89"/>
      <c r="Z599" s="89"/>
      <c r="AA599" s="89"/>
      <c r="AB599" s="89"/>
      <c r="AC599" s="89"/>
      <c r="AD599" s="89"/>
      <c r="AE599" s="89"/>
      <c r="AF599" s="89"/>
      <c r="AG599" s="89"/>
      <c r="AH599" s="89"/>
      <c r="AI599" s="89"/>
      <c r="AJ599" s="89"/>
      <c r="AK599" s="89"/>
      <c r="AL599" s="89"/>
      <c r="AM599" s="89"/>
      <c r="AN599" s="89"/>
      <c r="AO599" s="89"/>
      <c r="AP599" s="89"/>
      <c r="AQ599" s="89"/>
      <c r="AR599" s="89"/>
      <c r="AS599" s="89"/>
      <c r="AT599" s="89"/>
      <c r="AU599" s="89"/>
      <c r="AV599" s="89"/>
      <c r="AW599" s="89"/>
      <c r="AX599" s="89"/>
      <c r="AY599" s="89"/>
      <c r="AZ599" s="89"/>
      <c r="BA599" s="95"/>
    </row>
    <row r="600" spans="1:53" s="87" customFormat="1">
      <c r="A600" s="374" t="str">
        <f t="shared" si="57"/>
        <v/>
      </c>
      <c r="B600" s="89">
        <v>5</v>
      </c>
      <c r="C600" s="89">
        <v>-3</v>
      </c>
      <c r="D600" s="89" t="s">
        <v>210</v>
      </c>
      <c r="E600" s="89" t="s">
        <v>210</v>
      </c>
      <c r="F600" s="89">
        <v>1</v>
      </c>
      <c r="G600" s="89">
        <v>2</v>
      </c>
      <c r="H600" s="89" t="s">
        <v>210</v>
      </c>
      <c r="I600" s="89"/>
      <c r="J600" s="89"/>
      <c r="K600" s="89"/>
      <c r="L600" s="89"/>
      <c r="M600" s="89"/>
      <c r="N600" s="89"/>
      <c r="O600" s="89"/>
      <c r="P600" s="89"/>
      <c r="Q600" s="89"/>
      <c r="R600" s="89"/>
      <c r="S600" s="89"/>
      <c r="T600" s="89"/>
      <c r="U600" s="89"/>
      <c r="V600" s="89"/>
      <c r="W600" s="89"/>
      <c r="X600" s="89"/>
      <c r="Y600" s="89"/>
      <c r="Z600" s="89"/>
      <c r="AA600" s="89"/>
      <c r="AB600" s="89"/>
      <c r="AC600" s="89"/>
      <c r="AD600" s="89"/>
      <c r="AE600" s="89"/>
      <c r="AF600" s="89"/>
      <c r="AG600" s="89"/>
      <c r="AH600" s="89"/>
      <c r="AI600" s="89"/>
      <c r="AJ600" s="89"/>
      <c r="AK600" s="89"/>
      <c r="AL600" s="89"/>
      <c r="AM600" s="89"/>
      <c r="AN600" s="89"/>
      <c r="AO600" s="89"/>
      <c r="AP600" s="89"/>
      <c r="AQ600" s="89"/>
      <c r="AR600" s="89"/>
      <c r="AS600" s="89"/>
      <c r="AT600" s="89"/>
      <c r="AU600" s="89"/>
      <c r="AV600" s="89"/>
      <c r="AW600" s="89"/>
      <c r="AX600" s="89"/>
      <c r="AY600" s="89"/>
      <c r="AZ600" s="89"/>
      <c r="BA600" s="95"/>
    </row>
    <row r="601" spans="1:53" s="87" customFormat="1">
      <c r="A601" s="374" t="str">
        <f t="shared" si="57"/>
        <v/>
      </c>
      <c r="B601" s="89">
        <v>6</v>
      </c>
      <c r="C601" s="89">
        <v>4</v>
      </c>
      <c r="D601" s="89" t="s">
        <v>210</v>
      </c>
      <c r="E601" s="89" t="s">
        <v>210</v>
      </c>
      <c r="F601" s="89">
        <v>-6</v>
      </c>
      <c r="G601" s="89">
        <v>-2</v>
      </c>
      <c r="H601" s="89" t="s">
        <v>210</v>
      </c>
      <c r="I601" s="89"/>
      <c r="J601" s="89"/>
      <c r="K601" s="89"/>
      <c r="L601" s="89"/>
      <c r="M601" s="89"/>
      <c r="N601" s="89"/>
      <c r="O601" s="89"/>
      <c r="P601" s="89"/>
      <c r="Q601" s="89"/>
      <c r="R601" s="89"/>
      <c r="S601" s="89"/>
      <c r="T601" s="89"/>
      <c r="U601" s="89"/>
      <c r="V601" s="89"/>
      <c r="W601" s="89"/>
      <c r="X601" s="89"/>
      <c r="Y601" s="89"/>
      <c r="Z601" s="89"/>
      <c r="AA601" s="89"/>
      <c r="AB601" s="89"/>
      <c r="AC601" s="89"/>
      <c r="AD601" s="89"/>
      <c r="AE601" s="89"/>
      <c r="AF601" s="89"/>
      <c r="AG601" s="89"/>
      <c r="AH601" s="89"/>
      <c r="AI601" s="89"/>
      <c r="AJ601" s="89"/>
      <c r="AK601" s="89"/>
      <c r="AL601" s="89"/>
      <c r="AM601" s="89"/>
      <c r="AN601" s="89"/>
      <c r="AO601" s="89"/>
      <c r="AP601" s="89"/>
      <c r="AQ601" s="89"/>
      <c r="AR601" s="89"/>
      <c r="AS601" s="89"/>
      <c r="AT601" s="89"/>
      <c r="AU601" s="89"/>
      <c r="AV601" s="89"/>
      <c r="AW601" s="89"/>
      <c r="AX601" s="89"/>
      <c r="AY601" s="89"/>
      <c r="AZ601" s="89"/>
      <c r="BA601" s="95"/>
    </row>
    <row r="602" spans="1:53" s="87" customFormat="1">
      <c r="A602" s="374" t="str">
        <f t="shared" si="57"/>
        <v/>
      </c>
      <c r="B602" s="89">
        <v>7</v>
      </c>
      <c r="C602" s="89">
        <v>-4</v>
      </c>
      <c r="D602" s="89" t="s">
        <v>210</v>
      </c>
      <c r="E602" s="89" t="s">
        <v>210</v>
      </c>
      <c r="F602" s="89">
        <v>-1</v>
      </c>
      <c r="G602" s="89">
        <v>5</v>
      </c>
      <c r="H602" s="89" t="s">
        <v>210</v>
      </c>
      <c r="I602" s="89"/>
      <c r="J602" s="89"/>
      <c r="K602" s="89"/>
      <c r="L602" s="89"/>
      <c r="M602" s="89"/>
      <c r="N602" s="89"/>
      <c r="O602" s="89"/>
      <c r="P602" s="89"/>
      <c r="Q602" s="89"/>
      <c r="R602" s="89"/>
      <c r="S602" s="89"/>
      <c r="T602" s="89"/>
      <c r="U602" s="89"/>
      <c r="V602" s="89"/>
      <c r="W602" s="89"/>
      <c r="X602" s="89"/>
      <c r="Y602" s="89"/>
      <c r="Z602" s="89"/>
      <c r="AA602" s="89"/>
      <c r="AB602" s="89"/>
      <c r="AC602" s="89"/>
      <c r="AD602" s="89"/>
      <c r="AE602" s="89"/>
      <c r="AF602" s="89"/>
      <c r="AG602" s="89"/>
      <c r="AH602" s="89"/>
      <c r="AI602" s="89"/>
      <c r="AJ602" s="89"/>
      <c r="AK602" s="89"/>
      <c r="AL602" s="89"/>
      <c r="AM602" s="89"/>
      <c r="AN602" s="89"/>
      <c r="AO602" s="89"/>
      <c r="AP602" s="89"/>
      <c r="AQ602" s="89"/>
      <c r="AR602" s="89"/>
      <c r="AS602" s="89"/>
      <c r="AT602" s="89"/>
      <c r="AU602" s="89"/>
      <c r="AV602" s="89"/>
      <c r="AW602" s="89"/>
      <c r="AX602" s="89"/>
      <c r="AY602" s="89"/>
      <c r="AZ602" s="89"/>
      <c r="BA602" s="95"/>
    </row>
    <row r="603" spans="1:53" s="87" customFormat="1">
      <c r="A603" s="374" t="str">
        <f t="shared" si="57"/>
        <v/>
      </c>
      <c r="B603" s="99">
        <v>8</v>
      </c>
      <c r="C603" s="92">
        <v>3</v>
      </c>
      <c r="D603" s="92" t="s">
        <v>210</v>
      </c>
      <c r="E603" s="92" t="s">
        <v>210</v>
      </c>
      <c r="F603" s="92">
        <v>6</v>
      </c>
      <c r="G603" s="92">
        <v>-5</v>
      </c>
      <c r="H603" s="92" t="s">
        <v>210</v>
      </c>
      <c r="I603" s="89"/>
      <c r="J603" s="89"/>
      <c r="K603" s="89"/>
      <c r="L603" s="89"/>
      <c r="M603" s="89"/>
      <c r="N603" s="89"/>
      <c r="O603" s="89"/>
      <c r="P603" s="89"/>
      <c r="Q603" s="89"/>
      <c r="R603" s="89"/>
      <c r="S603" s="89"/>
      <c r="T603" s="89"/>
      <c r="U603" s="89"/>
      <c r="V603" s="89"/>
      <c r="W603" s="89"/>
      <c r="X603" s="89"/>
      <c r="Y603" s="89"/>
      <c r="Z603" s="89"/>
      <c r="AA603" s="89"/>
      <c r="AB603" s="89"/>
      <c r="AC603" s="89"/>
      <c r="AD603" s="89"/>
      <c r="AE603" s="89"/>
      <c r="AF603" s="89"/>
      <c r="AG603" s="89"/>
      <c r="AH603" s="89"/>
      <c r="AI603" s="89"/>
      <c r="AJ603" s="89"/>
      <c r="AK603" s="89"/>
      <c r="AL603" s="89"/>
      <c r="AM603" s="89"/>
      <c r="AN603" s="89"/>
      <c r="AO603" s="89"/>
      <c r="AP603" s="89"/>
      <c r="AQ603" s="89"/>
      <c r="AR603" s="89"/>
      <c r="AS603" s="89"/>
      <c r="AT603" s="89"/>
      <c r="AU603" s="89"/>
      <c r="AV603" s="89"/>
      <c r="AW603" s="89"/>
      <c r="AX603" s="89"/>
      <c r="AY603" s="89"/>
      <c r="AZ603" s="89"/>
      <c r="BA603" s="95"/>
    </row>
    <row r="604" spans="1:53" s="87" customFormat="1">
      <c r="A604" s="374" t="str">
        <f t="shared" si="57"/>
        <v/>
      </c>
      <c r="B604" s="89">
        <v>9</v>
      </c>
      <c r="C604" s="89">
        <v>-2</v>
      </c>
      <c r="D604" s="89" t="s">
        <v>210</v>
      </c>
      <c r="E604" s="89" t="s">
        <v>210</v>
      </c>
      <c r="F604" s="89">
        <v>3</v>
      </c>
      <c r="G604" s="89">
        <v>1</v>
      </c>
      <c r="H604" s="89" t="s">
        <v>210</v>
      </c>
      <c r="I604" s="89"/>
      <c r="J604" s="89"/>
      <c r="K604" s="89"/>
      <c r="L604" s="89"/>
      <c r="M604" s="89"/>
      <c r="N604" s="89"/>
      <c r="O604" s="89"/>
      <c r="P604" s="89"/>
      <c r="Q604" s="89"/>
      <c r="R604" s="89"/>
      <c r="S604" s="89"/>
      <c r="T604" s="89"/>
      <c r="U604" s="89"/>
      <c r="V604" s="89"/>
      <c r="W604" s="89"/>
      <c r="X604" s="89"/>
      <c r="Y604" s="89"/>
      <c r="Z604" s="89"/>
      <c r="AA604" s="89"/>
      <c r="AB604" s="89"/>
      <c r="AC604" s="89"/>
      <c r="AD604" s="89"/>
      <c r="AE604" s="89"/>
      <c r="AF604" s="89"/>
      <c r="AG604" s="89"/>
      <c r="AH604" s="89"/>
      <c r="AI604" s="89"/>
      <c r="AJ604" s="89"/>
      <c r="AK604" s="89"/>
      <c r="AL604" s="89"/>
      <c r="AM604" s="89"/>
      <c r="AN604" s="89"/>
      <c r="AO604" s="89"/>
      <c r="AP604" s="89"/>
      <c r="AQ604" s="89"/>
      <c r="AR604" s="89"/>
      <c r="AS604" s="89"/>
      <c r="AT604" s="89"/>
      <c r="AU604" s="89"/>
      <c r="AV604" s="89"/>
      <c r="AW604" s="89"/>
      <c r="AX604" s="89"/>
      <c r="AY604" s="89"/>
      <c r="AZ604" s="89"/>
      <c r="BA604" s="95"/>
    </row>
    <row r="605" spans="1:53" s="87" customFormat="1">
      <c r="A605" s="374" t="str">
        <f t="shared" si="57"/>
        <v/>
      </c>
      <c r="B605" s="89">
        <v>10</v>
      </c>
      <c r="C605" s="89">
        <v>5</v>
      </c>
      <c r="D605" s="89" t="s">
        <v>210</v>
      </c>
      <c r="E605" s="89" t="s">
        <v>210</v>
      </c>
      <c r="F605" s="89">
        <v>-4</v>
      </c>
      <c r="G605" s="89">
        <v>-1</v>
      </c>
      <c r="H605" s="89" t="s">
        <v>210</v>
      </c>
      <c r="I605" s="89"/>
      <c r="J605" s="89"/>
      <c r="K605" s="89"/>
      <c r="L605" s="89"/>
      <c r="M605" s="89"/>
      <c r="N605" s="89"/>
      <c r="O605" s="89"/>
      <c r="P605" s="89"/>
      <c r="Q605" s="89"/>
      <c r="R605" s="89"/>
      <c r="S605" s="89"/>
      <c r="T605" s="89"/>
      <c r="U605" s="89"/>
      <c r="V605" s="89"/>
      <c r="W605" s="89"/>
      <c r="X605" s="89"/>
      <c r="Y605" s="89"/>
      <c r="Z605" s="89"/>
      <c r="AA605" s="89"/>
      <c r="AB605" s="89"/>
      <c r="AC605" s="89"/>
      <c r="AD605" s="89"/>
      <c r="AE605" s="89"/>
      <c r="AF605" s="89"/>
      <c r="AG605" s="89"/>
      <c r="AH605" s="89"/>
      <c r="AI605" s="89"/>
      <c r="AJ605" s="89"/>
      <c r="AK605" s="89"/>
      <c r="AL605" s="89"/>
      <c r="AM605" s="89"/>
      <c r="AN605" s="89"/>
      <c r="AO605" s="89"/>
      <c r="AP605" s="89"/>
      <c r="AQ605" s="89"/>
      <c r="AR605" s="89"/>
      <c r="AS605" s="89"/>
      <c r="AT605" s="89"/>
      <c r="AU605" s="89"/>
      <c r="AV605" s="89"/>
      <c r="AW605" s="89"/>
      <c r="AX605" s="89"/>
      <c r="AY605" s="89"/>
      <c r="AZ605" s="89"/>
      <c r="BA605" s="95"/>
    </row>
    <row r="606" spans="1:53" s="87" customFormat="1">
      <c r="A606" s="374" t="str">
        <f t="shared" si="57"/>
        <v/>
      </c>
      <c r="B606" s="89">
        <v>11</v>
      </c>
      <c r="C606" s="89">
        <v>-5</v>
      </c>
      <c r="D606" s="89" t="s">
        <v>210</v>
      </c>
      <c r="E606" s="89" t="s">
        <v>210</v>
      </c>
      <c r="F606" s="89">
        <v>-3</v>
      </c>
      <c r="G606" s="89">
        <v>6</v>
      </c>
      <c r="H606" s="89" t="s">
        <v>210</v>
      </c>
      <c r="I606" s="89"/>
      <c r="J606" s="89"/>
      <c r="K606" s="89"/>
      <c r="L606" s="89"/>
      <c r="M606" s="89"/>
      <c r="N606" s="89"/>
      <c r="O606" s="89"/>
      <c r="P606" s="89"/>
      <c r="Q606" s="89"/>
      <c r="R606" s="89"/>
      <c r="S606" s="89"/>
      <c r="T606" s="89"/>
      <c r="U606" s="89"/>
      <c r="V606" s="89"/>
      <c r="W606" s="89"/>
      <c r="X606" s="89"/>
      <c r="Y606" s="89"/>
      <c r="Z606" s="89"/>
      <c r="AA606" s="89"/>
      <c r="AB606" s="89"/>
      <c r="AC606" s="89"/>
      <c r="AD606" s="89"/>
      <c r="AE606" s="89"/>
      <c r="AF606" s="89"/>
      <c r="AG606" s="89"/>
      <c r="AH606" s="89"/>
      <c r="AI606" s="89"/>
      <c r="AJ606" s="89"/>
      <c r="AK606" s="89"/>
      <c r="AL606" s="89"/>
      <c r="AM606" s="89"/>
      <c r="AN606" s="89"/>
      <c r="AO606" s="89"/>
      <c r="AP606" s="89"/>
      <c r="AQ606" s="89"/>
      <c r="AR606" s="89"/>
      <c r="AS606" s="89"/>
      <c r="AT606" s="89"/>
      <c r="AU606" s="89"/>
      <c r="AV606" s="89"/>
      <c r="AW606" s="89"/>
      <c r="AX606" s="89"/>
      <c r="AY606" s="89"/>
      <c r="AZ606" s="89"/>
      <c r="BA606" s="95"/>
    </row>
    <row r="607" spans="1:53" s="87" customFormat="1">
      <c r="A607" s="374" t="str">
        <f t="shared" si="57"/>
        <v/>
      </c>
      <c r="B607" s="99">
        <v>12</v>
      </c>
      <c r="C607" s="92">
        <v>2</v>
      </c>
      <c r="D607" s="92" t="s">
        <v>210</v>
      </c>
      <c r="E607" s="92" t="s">
        <v>210</v>
      </c>
      <c r="F607" s="92">
        <v>4</v>
      </c>
      <c r="G607" s="92">
        <v>-6</v>
      </c>
      <c r="H607" s="92" t="s">
        <v>210</v>
      </c>
      <c r="I607" s="89"/>
      <c r="J607" s="89"/>
      <c r="K607" s="89"/>
      <c r="L607" s="89"/>
      <c r="M607" s="89"/>
      <c r="N607" s="89"/>
      <c r="O607" s="89"/>
      <c r="P607" s="89"/>
      <c r="Q607" s="89"/>
      <c r="R607" s="89"/>
      <c r="S607" s="89"/>
      <c r="T607" s="89"/>
      <c r="U607" s="89"/>
      <c r="V607" s="89"/>
      <c r="W607" s="89"/>
      <c r="X607" s="89"/>
      <c r="Y607" s="89"/>
      <c r="Z607" s="89"/>
      <c r="AA607" s="89"/>
      <c r="AB607" s="89"/>
      <c r="AC607" s="89"/>
      <c r="AD607" s="89"/>
      <c r="AE607" s="89"/>
      <c r="AF607" s="89"/>
      <c r="AG607" s="89"/>
      <c r="AH607" s="89"/>
      <c r="AI607" s="89"/>
      <c r="AJ607" s="89"/>
      <c r="AK607" s="89"/>
      <c r="AL607" s="89"/>
      <c r="AM607" s="89"/>
      <c r="AN607" s="89"/>
      <c r="AO607" s="89"/>
      <c r="AP607" s="89"/>
      <c r="AQ607" s="89"/>
      <c r="AR607" s="89"/>
      <c r="AS607" s="89"/>
      <c r="AT607" s="89"/>
      <c r="AU607" s="89"/>
      <c r="AV607" s="89"/>
      <c r="AW607" s="89"/>
      <c r="AX607" s="89"/>
      <c r="AY607" s="89"/>
      <c r="AZ607" s="89"/>
      <c r="BA607" s="95"/>
    </row>
    <row r="608" spans="1:53" s="87" customFormat="1">
      <c r="A608" s="374" t="str">
        <f t="shared" si="57"/>
        <v/>
      </c>
      <c r="B608" s="89">
        <v>13</v>
      </c>
      <c r="C608" s="89" t="s">
        <v>210</v>
      </c>
      <c r="D608" s="89">
        <v>-1</v>
      </c>
      <c r="E608" s="89">
        <v>2</v>
      </c>
      <c r="F608" s="89" t="s">
        <v>210</v>
      </c>
      <c r="G608" s="89" t="s">
        <v>210</v>
      </c>
      <c r="H608" s="89">
        <v>3</v>
      </c>
      <c r="I608" s="89"/>
      <c r="J608" s="89"/>
      <c r="K608" s="89"/>
      <c r="L608" s="89"/>
      <c r="M608" s="89"/>
      <c r="N608" s="89"/>
      <c r="O608" s="89"/>
      <c r="P608" s="89"/>
      <c r="Q608" s="89"/>
      <c r="R608" s="89"/>
      <c r="S608" s="89"/>
      <c r="T608" s="89"/>
      <c r="U608" s="89"/>
      <c r="V608" s="89"/>
      <c r="W608" s="89"/>
      <c r="X608" s="89"/>
      <c r="Y608" s="89"/>
      <c r="Z608" s="89"/>
      <c r="AA608" s="89"/>
      <c r="AB608" s="89"/>
      <c r="AC608" s="89"/>
      <c r="AD608" s="89"/>
      <c r="AE608" s="89"/>
      <c r="AF608" s="89"/>
      <c r="AG608" s="89"/>
      <c r="AH608" s="89"/>
      <c r="AI608" s="89"/>
      <c r="AJ608" s="89"/>
      <c r="AK608" s="89"/>
      <c r="AL608" s="89"/>
      <c r="AM608" s="89"/>
      <c r="AN608" s="89"/>
      <c r="AO608" s="89"/>
      <c r="AP608" s="89"/>
      <c r="AQ608" s="89"/>
      <c r="AR608" s="89"/>
      <c r="AS608" s="89"/>
      <c r="AT608" s="89"/>
      <c r="AU608" s="89"/>
      <c r="AV608" s="89"/>
      <c r="AW608" s="89"/>
      <c r="AX608" s="89"/>
      <c r="AY608" s="89"/>
      <c r="AZ608" s="89"/>
      <c r="BA608" s="95"/>
    </row>
    <row r="609" spans="1:53" s="87" customFormat="1">
      <c r="A609" s="374" t="str">
        <f t="shared" si="57"/>
        <v/>
      </c>
      <c r="B609" s="89">
        <v>14</v>
      </c>
      <c r="C609" s="89" t="s">
        <v>210</v>
      </c>
      <c r="D609" s="89">
        <v>6</v>
      </c>
      <c r="E609" s="89">
        <v>-5</v>
      </c>
      <c r="F609" s="89" t="s">
        <v>210</v>
      </c>
      <c r="G609" s="89" t="s">
        <v>210</v>
      </c>
      <c r="H609" s="89">
        <v>-3</v>
      </c>
      <c r="I609" s="89"/>
      <c r="J609" s="89"/>
      <c r="K609" s="89"/>
      <c r="L609" s="89"/>
      <c r="M609" s="89"/>
      <c r="N609" s="89"/>
      <c r="O609" s="89"/>
      <c r="P609" s="89"/>
      <c r="Q609" s="89"/>
      <c r="R609" s="89"/>
      <c r="S609" s="89"/>
      <c r="T609" s="89"/>
      <c r="U609" s="89"/>
      <c r="V609" s="89"/>
      <c r="W609" s="89"/>
      <c r="X609" s="89"/>
      <c r="Y609" s="89"/>
      <c r="Z609" s="89"/>
      <c r="AA609" s="89"/>
      <c r="AB609" s="89"/>
      <c r="AC609" s="89"/>
      <c r="AD609" s="89"/>
      <c r="AE609" s="89"/>
      <c r="AF609" s="89"/>
      <c r="AG609" s="89"/>
      <c r="AH609" s="89"/>
      <c r="AI609" s="89"/>
      <c r="AJ609" s="89"/>
      <c r="AK609" s="89"/>
      <c r="AL609" s="89"/>
      <c r="AM609" s="89"/>
      <c r="AN609" s="89"/>
      <c r="AO609" s="89"/>
      <c r="AP609" s="89"/>
      <c r="AQ609" s="89"/>
      <c r="AR609" s="89"/>
      <c r="AS609" s="89"/>
      <c r="AT609" s="89"/>
      <c r="AU609" s="89"/>
      <c r="AV609" s="89"/>
      <c r="AW609" s="89"/>
      <c r="AX609" s="89"/>
      <c r="AY609" s="89"/>
      <c r="AZ609" s="89"/>
      <c r="BA609" s="95"/>
    </row>
    <row r="610" spans="1:53" s="87" customFormat="1">
      <c r="A610" s="374" t="str">
        <f t="shared" si="57"/>
        <v/>
      </c>
      <c r="B610" s="89">
        <v>15</v>
      </c>
      <c r="C610" s="89" t="s">
        <v>210</v>
      </c>
      <c r="D610" s="89">
        <v>-6</v>
      </c>
      <c r="E610" s="89">
        <v>-2</v>
      </c>
      <c r="F610" s="89" t="s">
        <v>210</v>
      </c>
      <c r="G610" s="89" t="s">
        <v>210</v>
      </c>
      <c r="H610" s="89">
        <v>4</v>
      </c>
      <c r="I610" s="89"/>
      <c r="J610" s="89"/>
      <c r="K610" s="89"/>
      <c r="L610" s="89"/>
      <c r="M610" s="89"/>
      <c r="N610" s="89"/>
      <c r="O610" s="89"/>
      <c r="P610" s="89"/>
      <c r="Q610" s="89"/>
      <c r="R610" s="89"/>
      <c r="S610" s="89"/>
      <c r="T610" s="89"/>
      <c r="U610" s="89"/>
      <c r="V610" s="89"/>
      <c r="W610" s="89"/>
      <c r="X610" s="89"/>
      <c r="Y610" s="89"/>
      <c r="Z610" s="89"/>
      <c r="AA610" s="89"/>
      <c r="AB610" s="89"/>
      <c r="AC610" s="89"/>
      <c r="AD610" s="89"/>
      <c r="AE610" s="89"/>
      <c r="AF610" s="89"/>
      <c r="AG610" s="89"/>
      <c r="AH610" s="89"/>
      <c r="AI610" s="89"/>
      <c r="AJ610" s="89"/>
      <c r="AK610" s="89"/>
      <c r="AL610" s="89"/>
      <c r="AM610" s="89"/>
      <c r="AN610" s="89"/>
      <c r="AO610" s="89"/>
      <c r="AP610" s="89"/>
      <c r="AQ610" s="89"/>
      <c r="AR610" s="89"/>
      <c r="AS610" s="89"/>
      <c r="AT610" s="89"/>
      <c r="AU610" s="89"/>
      <c r="AV610" s="89"/>
      <c r="AW610" s="89"/>
      <c r="AX610" s="89"/>
      <c r="AY610" s="89"/>
      <c r="AZ610" s="89"/>
      <c r="BA610" s="95"/>
    </row>
    <row r="611" spans="1:53" s="87" customFormat="1">
      <c r="A611" s="374" t="str">
        <f t="shared" si="57"/>
        <v/>
      </c>
      <c r="B611" s="99">
        <v>16</v>
      </c>
      <c r="C611" s="92" t="s">
        <v>210</v>
      </c>
      <c r="D611" s="92">
        <v>1</v>
      </c>
      <c r="E611" s="92">
        <v>5</v>
      </c>
      <c r="F611" s="92" t="s">
        <v>210</v>
      </c>
      <c r="G611" s="92" t="s">
        <v>210</v>
      </c>
      <c r="H611" s="92">
        <v>-4</v>
      </c>
      <c r="I611" s="94"/>
      <c r="J611" s="89"/>
      <c r="K611" s="89"/>
      <c r="L611" s="89"/>
      <c r="M611" s="89"/>
      <c r="N611" s="89"/>
      <c r="O611" s="89"/>
      <c r="P611" s="89"/>
      <c r="Q611" s="89"/>
      <c r="R611" s="89"/>
      <c r="S611" s="89"/>
      <c r="T611" s="89"/>
      <c r="U611" s="89"/>
      <c r="V611" s="89"/>
      <c r="W611" s="89"/>
      <c r="X611" s="89"/>
      <c r="Y611" s="89"/>
      <c r="Z611" s="89"/>
      <c r="AA611" s="89"/>
      <c r="AB611" s="89"/>
      <c r="AC611" s="89"/>
      <c r="AD611" s="89"/>
      <c r="AE611" s="89"/>
      <c r="AF611" s="89"/>
      <c r="AG611" s="89"/>
      <c r="AH611" s="89"/>
      <c r="AI611" s="89"/>
      <c r="AJ611" s="89"/>
      <c r="AK611" s="89"/>
      <c r="AL611" s="89"/>
      <c r="AM611" s="89"/>
      <c r="AN611" s="89"/>
      <c r="AO611" s="89"/>
      <c r="AP611" s="89"/>
      <c r="AQ611" s="89"/>
      <c r="AR611" s="89"/>
      <c r="AS611" s="89"/>
      <c r="AT611" s="89"/>
      <c r="AU611" s="89"/>
      <c r="AV611" s="89"/>
      <c r="AW611" s="89"/>
      <c r="AX611" s="89"/>
      <c r="AY611" s="89"/>
      <c r="AZ611" s="89"/>
      <c r="BA611" s="95"/>
    </row>
    <row r="612" spans="1:53" s="87" customFormat="1">
      <c r="A612" s="374" t="str">
        <f t="shared" si="57"/>
        <v/>
      </c>
      <c r="B612" s="89">
        <v>17</v>
      </c>
      <c r="C612" s="89" t="s">
        <v>210</v>
      </c>
      <c r="D612" s="89">
        <v>-3</v>
      </c>
      <c r="E612" s="89">
        <v>1</v>
      </c>
      <c r="F612" s="89" t="s">
        <v>210</v>
      </c>
      <c r="G612" s="89" t="s">
        <v>210</v>
      </c>
      <c r="H612" s="89">
        <v>2</v>
      </c>
      <c r="I612" s="94"/>
      <c r="J612" s="89"/>
      <c r="K612" s="89"/>
      <c r="L612" s="89"/>
      <c r="M612" s="89"/>
      <c r="N612" s="89"/>
      <c r="O612" s="89"/>
      <c r="P612" s="89"/>
      <c r="Q612" s="89"/>
      <c r="R612" s="89"/>
      <c r="S612" s="89"/>
      <c r="T612" s="89"/>
      <c r="U612" s="89"/>
      <c r="V612" s="89"/>
      <c r="W612" s="89"/>
      <c r="X612" s="89"/>
      <c r="Y612" s="89"/>
      <c r="Z612" s="89"/>
      <c r="AA612" s="89"/>
      <c r="AB612" s="89"/>
      <c r="AC612" s="89"/>
      <c r="AD612" s="89"/>
      <c r="AE612" s="89"/>
      <c r="AF612" s="89"/>
      <c r="AG612" s="89"/>
      <c r="AH612" s="89"/>
      <c r="AI612" s="89"/>
      <c r="AJ612" s="89"/>
      <c r="AK612" s="89"/>
      <c r="AL612" s="89"/>
      <c r="AM612" s="89"/>
      <c r="AN612" s="89"/>
      <c r="AO612" s="89"/>
      <c r="AP612" s="89"/>
      <c r="AQ612" s="89"/>
      <c r="AR612" s="89"/>
      <c r="AS612" s="89"/>
      <c r="AT612" s="89"/>
      <c r="AU612" s="89"/>
      <c r="AV612" s="89"/>
      <c r="AW612" s="89"/>
      <c r="AX612" s="89"/>
      <c r="AY612" s="89"/>
      <c r="AZ612" s="89"/>
      <c r="BA612" s="95"/>
    </row>
    <row r="613" spans="1:53" s="87" customFormat="1">
      <c r="A613" s="374" t="str">
        <f t="shared" si="57"/>
        <v/>
      </c>
      <c r="B613" s="89">
        <v>18</v>
      </c>
      <c r="C613" s="89" t="s">
        <v>210</v>
      </c>
      <c r="D613" s="89">
        <v>4</v>
      </c>
      <c r="E613" s="89">
        <v>-6</v>
      </c>
      <c r="F613" s="89" t="s">
        <v>210</v>
      </c>
      <c r="G613" s="89" t="s">
        <v>210</v>
      </c>
      <c r="H613" s="89">
        <v>-2</v>
      </c>
      <c r="I613" s="94"/>
      <c r="J613" s="89"/>
      <c r="K613" s="89"/>
      <c r="L613" s="89"/>
      <c r="M613" s="89"/>
      <c r="N613" s="89"/>
      <c r="O613" s="89"/>
      <c r="P613" s="89"/>
      <c r="Q613" s="89"/>
      <c r="R613" s="89"/>
      <c r="S613" s="89"/>
      <c r="T613" s="89"/>
      <c r="U613" s="89"/>
      <c r="V613" s="89"/>
      <c r="W613" s="89"/>
      <c r="X613" s="89"/>
      <c r="Y613" s="89"/>
      <c r="Z613" s="89"/>
      <c r="AA613" s="89"/>
      <c r="AB613" s="89"/>
      <c r="AC613" s="89"/>
      <c r="AD613" s="89"/>
      <c r="AE613" s="89"/>
      <c r="AF613" s="89"/>
      <c r="AG613" s="89"/>
      <c r="AH613" s="89"/>
      <c r="AI613" s="89"/>
      <c r="AJ613" s="89"/>
      <c r="AK613" s="89"/>
      <c r="AL613" s="89"/>
      <c r="AM613" s="89"/>
      <c r="AN613" s="89"/>
      <c r="AO613" s="89"/>
      <c r="AP613" s="89"/>
      <c r="AQ613" s="89"/>
      <c r="AR613" s="89"/>
      <c r="AS613" s="89"/>
      <c r="AT613" s="89"/>
      <c r="AU613" s="89"/>
      <c r="AV613" s="89"/>
      <c r="AW613" s="89"/>
      <c r="AX613" s="89"/>
      <c r="AY613" s="89"/>
      <c r="AZ613" s="89"/>
      <c r="BA613" s="95"/>
    </row>
    <row r="614" spans="1:53" s="87" customFormat="1">
      <c r="A614" s="374" t="str">
        <f t="shared" si="57"/>
        <v/>
      </c>
      <c r="B614" s="89">
        <v>19</v>
      </c>
      <c r="C614" s="89" t="s">
        <v>210</v>
      </c>
      <c r="D614" s="89">
        <v>-4</v>
      </c>
      <c r="E614" s="89">
        <v>-1</v>
      </c>
      <c r="F614" s="89" t="s">
        <v>210</v>
      </c>
      <c r="G614" s="89" t="s">
        <v>210</v>
      </c>
      <c r="H614" s="89">
        <v>5</v>
      </c>
      <c r="I614" s="94"/>
      <c r="J614" s="89"/>
      <c r="K614" s="89"/>
      <c r="L614" s="89"/>
      <c r="M614" s="89"/>
      <c r="N614" s="89"/>
      <c r="O614" s="89"/>
      <c r="P614" s="89"/>
      <c r="Q614" s="89"/>
      <c r="R614" s="89"/>
      <c r="S614" s="89"/>
      <c r="T614" s="89"/>
      <c r="U614" s="89"/>
      <c r="V614" s="89"/>
      <c r="W614" s="89"/>
      <c r="X614" s="89"/>
      <c r="Y614" s="89"/>
      <c r="Z614" s="89"/>
      <c r="AA614" s="89"/>
      <c r="AB614" s="89"/>
      <c r="AC614" s="89"/>
      <c r="AD614" s="89"/>
      <c r="AE614" s="89"/>
      <c r="AF614" s="89"/>
      <c r="AG614" s="89"/>
      <c r="AH614" s="89"/>
      <c r="AI614" s="89"/>
      <c r="AJ614" s="89"/>
      <c r="AK614" s="89"/>
      <c r="AL614" s="89"/>
      <c r="AM614" s="89"/>
      <c r="AN614" s="89"/>
      <c r="AO614" s="89"/>
      <c r="AP614" s="89"/>
      <c r="AQ614" s="89"/>
      <c r="AR614" s="89"/>
      <c r="AS614" s="89"/>
      <c r="AT614" s="89"/>
      <c r="AU614" s="89"/>
      <c r="AV614" s="89"/>
      <c r="AW614" s="89"/>
      <c r="AX614" s="89"/>
      <c r="AY614" s="89"/>
      <c r="AZ614" s="89"/>
      <c r="BA614" s="95"/>
    </row>
    <row r="615" spans="1:53" s="87" customFormat="1">
      <c r="A615" s="374" t="str">
        <f t="shared" si="57"/>
        <v/>
      </c>
      <c r="B615" s="99">
        <v>20</v>
      </c>
      <c r="C615" s="92" t="s">
        <v>210</v>
      </c>
      <c r="D615" s="92">
        <v>3</v>
      </c>
      <c r="E615" s="92">
        <v>6</v>
      </c>
      <c r="F615" s="92" t="s">
        <v>210</v>
      </c>
      <c r="G615" s="92" t="s">
        <v>210</v>
      </c>
      <c r="H615" s="92">
        <v>-5</v>
      </c>
      <c r="I615" s="94"/>
      <c r="J615" s="89"/>
      <c r="K615" s="89"/>
      <c r="L615" s="89"/>
      <c r="M615" s="89"/>
      <c r="N615" s="89"/>
      <c r="O615" s="89"/>
      <c r="P615" s="89"/>
      <c r="Q615" s="89"/>
      <c r="R615" s="89"/>
      <c r="S615" s="89"/>
      <c r="T615" s="89"/>
      <c r="U615" s="89"/>
      <c r="V615" s="89"/>
      <c r="W615" s="89"/>
      <c r="X615" s="89"/>
      <c r="Y615" s="89"/>
      <c r="Z615" s="89"/>
      <c r="AA615" s="89"/>
      <c r="AB615" s="89"/>
      <c r="AC615" s="89"/>
      <c r="AD615" s="89"/>
      <c r="AE615" s="89"/>
      <c r="AF615" s="89"/>
      <c r="AG615" s="89"/>
      <c r="AH615" s="89"/>
      <c r="AI615" s="89"/>
      <c r="AJ615" s="89"/>
      <c r="AK615" s="89"/>
      <c r="AL615" s="89"/>
      <c r="AM615" s="89"/>
      <c r="AN615" s="89"/>
      <c r="AO615" s="89"/>
      <c r="AP615" s="89"/>
      <c r="AQ615" s="89"/>
      <c r="AR615" s="89"/>
      <c r="AS615" s="89"/>
      <c r="AT615" s="89"/>
      <c r="AU615" s="89"/>
      <c r="AV615" s="89"/>
      <c r="AW615" s="89"/>
      <c r="AX615" s="89"/>
      <c r="AY615" s="89"/>
      <c r="AZ615" s="89"/>
      <c r="BA615" s="95"/>
    </row>
    <row r="616" spans="1:53" s="87" customFormat="1">
      <c r="A616" s="374" t="str">
        <f t="shared" si="57"/>
        <v/>
      </c>
      <c r="B616" s="89">
        <v>21</v>
      </c>
      <c r="C616" s="89" t="s">
        <v>210</v>
      </c>
      <c r="D616" s="89">
        <v>-2</v>
      </c>
      <c r="E616" s="89">
        <v>3</v>
      </c>
      <c r="F616" s="89" t="s">
        <v>210</v>
      </c>
      <c r="G616" s="89" t="s">
        <v>210</v>
      </c>
      <c r="H616" s="89">
        <v>1</v>
      </c>
      <c r="I616" s="89"/>
      <c r="J616" s="89"/>
      <c r="K616" s="89"/>
      <c r="L616" s="89"/>
      <c r="M616" s="89"/>
      <c r="N616" s="89"/>
      <c r="O616" s="89"/>
      <c r="P616" s="89"/>
      <c r="Q616" s="89"/>
      <c r="R616" s="89"/>
      <c r="S616" s="89"/>
      <c r="T616" s="89"/>
      <c r="U616" s="89"/>
      <c r="V616" s="89"/>
      <c r="W616" s="89"/>
      <c r="X616" s="89"/>
      <c r="Y616" s="89"/>
      <c r="Z616" s="89"/>
      <c r="AA616" s="89"/>
      <c r="AB616" s="89"/>
      <c r="AC616" s="89"/>
      <c r="AD616" s="89"/>
      <c r="AE616" s="89"/>
      <c r="AF616" s="89"/>
      <c r="AG616" s="89"/>
      <c r="AH616" s="89"/>
      <c r="AI616" s="89"/>
      <c r="AJ616" s="89"/>
      <c r="AK616" s="89"/>
      <c r="AL616" s="89"/>
      <c r="AM616" s="89"/>
      <c r="AN616" s="89"/>
      <c r="AO616" s="89"/>
      <c r="AP616" s="89"/>
      <c r="AQ616" s="89"/>
      <c r="AR616" s="89"/>
      <c r="AS616" s="89"/>
      <c r="AT616" s="89"/>
      <c r="AU616" s="89"/>
      <c r="AV616" s="89"/>
      <c r="AW616" s="89"/>
      <c r="AX616" s="89"/>
      <c r="AY616" s="89"/>
      <c r="AZ616" s="89"/>
      <c r="BA616" s="95"/>
    </row>
    <row r="617" spans="1:53" s="87" customFormat="1">
      <c r="A617" s="374" t="str">
        <f t="shared" si="57"/>
        <v/>
      </c>
      <c r="B617" s="89">
        <v>22</v>
      </c>
      <c r="C617" s="89" t="s">
        <v>210</v>
      </c>
      <c r="D617" s="89">
        <v>5</v>
      </c>
      <c r="E617" s="89">
        <v>-4</v>
      </c>
      <c r="F617" s="89" t="s">
        <v>210</v>
      </c>
      <c r="G617" s="89" t="s">
        <v>210</v>
      </c>
      <c r="H617" s="89">
        <v>-1</v>
      </c>
      <c r="I617" s="89"/>
      <c r="J617" s="89"/>
      <c r="K617" s="89"/>
      <c r="L617" s="89"/>
      <c r="M617" s="89"/>
      <c r="N617" s="89"/>
      <c r="O617" s="89"/>
      <c r="P617" s="89"/>
      <c r="Q617" s="89"/>
      <c r="R617" s="89"/>
      <c r="S617" s="89"/>
      <c r="T617" s="89"/>
      <c r="U617" s="89"/>
      <c r="V617" s="89"/>
      <c r="W617" s="89"/>
      <c r="X617" s="89"/>
      <c r="Y617" s="89"/>
      <c r="Z617" s="89"/>
      <c r="AA617" s="89"/>
      <c r="AB617" s="89"/>
      <c r="AC617" s="89"/>
      <c r="AD617" s="89"/>
      <c r="AE617" s="89"/>
      <c r="AF617" s="89"/>
      <c r="AG617" s="89"/>
      <c r="AH617" s="89"/>
      <c r="AI617" s="89"/>
      <c r="AJ617" s="89"/>
      <c r="AK617" s="89"/>
      <c r="AL617" s="89"/>
      <c r="AM617" s="89"/>
      <c r="AN617" s="89"/>
      <c r="AO617" s="89"/>
      <c r="AP617" s="89"/>
      <c r="AQ617" s="89"/>
      <c r="AR617" s="89"/>
      <c r="AS617" s="89"/>
      <c r="AT617" s="89"/>
      <c r="AU617" s="89"/>
      <c r="AV617" s="89"/>
      <c r="AW617" s="89"/>
      <c r="AX617" s="89"/>
      <c r="AY617" s="89"/>
      <c r="AZ617" s="89"/>
      <c r="BA617" s="95"/>
    </row>
    <row r="618" spans="1:53" s="87" customFormat="1">
      <c r="A618" s="374" t="str">
        <f t="shared" si="57"/>
        <v/>
      </c>
      <c r="B618" s="89">
        <v>23</v>
      </c>
      <c r="C618" s="89" t="s">
        <v>210</v>
      </c>
      <c r="D618" s="89">
        <v>-5</v>
      </c>
      <c r="E618" s="89">
        <v>-3</v>
      </c>
      <c r="F618" s="89" t="s">
        <v>210</v>
      </c>
      <c r="G618" s="89" t="s">
        <v>210</v>
      </c>
      <c r="H618" s="89">
        <v>6</v>
      </c>
      <c r="I618" s="89"/>
      <c r="J618" s="89"/>
      <c r="K618" s="89"/>
      <c r="L618" s="89"/>
      <c r="M618" s="89"/>
      <c r="N618" s="89"/>
      <c r="O618" s="89"/>
      <c r="P618" s="89"/>
      <c r="Q618" s="89"/>
      <c r="R618" s="89"/>
      <c r="S618" s="89"/>
      <c r="T618" s="89"/>
      <c r="U618" s="89"/>
      <c r="V618" s="89"/>
      <c r="W618" s="89"/>
      <c r="X618" s="89"/>
      <c r="Y618" s="89"/>
      <c r="Z618" s="89"/>
      <c r="AA618" s="89"/>
      <c r="AB618" s="89"/>
      <c r="AC618" s="89"/>
      <c r="AD618" s="89"/>
      <c r="AE618" s="89"/>
      <c r="AF618" s="89"/>
      <c r="AG618" s="89"/>
      <c r="AH618" s="89"/>
      <c r="AI618" s="89"/>
      <c r="AJ618" s="89"/>
      <c r="AK618" s="89"/>
      <c r="AL618" s="89"/>
      <c r="AM618" s="89"/>
      <c r="AN618" s="89"/>
      <c r="AO618" s="89"/>
      <c r="AP618" s="89"/>
      <c r="AQ618" s="89"/>
      <c r="AR618" s="89"/>
      <c r="AS618" s="89"/>
      <c r="AT618" s="89"/>
      <c r="AU618" s="89"/>
      <c r="AV618" s="89"/>
      <c r="AW618" s="89"/>
      <c r="AX618" s="89"/>
      <c r="AY618" s="89"/>
      <c r="AZ618" s="89"/>
      <c r="BA618" s="95"/>
    </row>
    <row r="619" spans="1:53" s="87" customFormat="1">
      <c r="A619" s="374" t="str">
        <f t="shared" si="57"/>
        <v/>
      </c>
      <c r="B619" s="89">
        <v>24</v>
      </c>
      <c r="C619" s="89" t="s">
        <v>210</v>
      </c>
      <c r="D619" s="89">
        <v>2</v>
      </c>
      <c r="E619" s="89">
        <v>4</v>
      </c>
      <c r="F619" s="89" t="s">
        <v>210</v>
      </c>
      <c r="G619" s="89" t="s">
        <v>210</v>
      </c>
      <c r="H619" s="89">
        <v>-6</v>
      </c>
      <c r="I619" s="89"/>
      <c r="J619" s="89"/>
      <c r="K619" s="89"/>
      <c r="L619" s="89"/>
      <c r="M619" s="89"/>
      <c r="N619" s="89"/>
      <c r="O619" s="89"/>
      <c r="P619" s="89"/>
      <c r="Q619" s="89"/>
      <c r="R619" s="89"/>
      <c r="S619" s="89"/>
      <c r="T619" s="89"/>
      <c r="U619" s="89"/>
      <c r="V619" s="89"/>
      <c r="W619" s="89"/>
      <c r="X619" s="89"/>
      <c r="Y619" s="89"/>
      <c r="Z619" s="89"/>
      <c r="AA619" s="89"/>
      <c r="AB619" s="89"/>
      <c r="AC619" s="89"/>
      <c r="AD619" s="89"/>
      <c r="AE619" s="89"/>
      <c r="AF619" s="89"/>
      <c r="AG619" s="89"/>
      <c r="AH619" s="89"/>
      <c r="AI619" s="89"/>
      <c r="AJ619" s="89"/>
      <c r="AK619" s="89"/>
      <c r="AL619" s="89"/>
      <c r="AM619" s="89"/>
      <c r="AN619" s="89"/>
      <c r="AO619" s="89"/>
      <c r="AP619" s="89"/>
      <c r="AQ619" s="89"/>
      <c r="AR619" s="89"/>
      <c r="AS619" s="89"/>
      <c r="AT619" s="89"/>
      <c r="AU619" s="89"/>
      <c r="AV619" s="89"/>
      <c r="AW619" s="89"/>
      <c r="AX619" s="89"/>
      <c r="AY619" s="89"/>
      <c r="AZ619" s="89"/>
      <c r="BA619" s="95"/>
    </row>
    <row r="620" spans="1:53" s="87" customFormat="1">
      <c r="A620" s="374" t="str">
        <f t="shared" si="57"/>
        <v/>
      </c>
      <c r="B620" s="89" t="s">
        <v>381</v>
      </c>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c r="AA620" s="89"/>
      <c r="AB620" s="89"/>
      <c r="AC620" s="89"/>
      <c r="AD620" s="89"/>
      <c r="AE620" s="89"/>
      <c r="AF620" s="89"/>
      <c r="AG620" s="89"/>
      <c r="AH620" s="89"/>
      <c r="AI620" s="89"/>
      <c r="AJ620" s="89"/>
      <c r="AK620" s="89"/>
      <c r="AL620" s="89"/>
      <c r="AM620" s="89"/>
      <c r="AN620" s="89"/>
      <c r="AO620" s="89"/>
      <c r="AP620" s="89"/>
      <c r="AQ620" s="89"/>
      <c r="AR620" s="89"/>
      <c r="AS620" s="89"/>
      <c r="AT620" s="89"/>
      <c r="AU620" s="89"/>
      <c r="AV620" s="89"/>
      <c r="AW620" s="89"/>
      <c r="AX620" s="89"/>
      <c r="AY620" s="89"/>
      <c r="AZ620" s="89"/>
      <c r="BA620" s="95"/>
    </row>
    <row r="621" spans="1:53" s="87" customFormat="1">
      <c r="A621" s="374">
        <f t="shared" si="57"/>
        <v>621</v>
      </c>
      <c r="B621" s="89" t="s">
        <v>382</v>
      </c>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c r="AA621" s="89"/>
      <c r="AB621" s="89"/>
      <c r="AC621" s="89"/>
      <c r="AD621" s="89"/>
      <c r="AE621" s="89"/>
      <c r="AF621" s="89"/>
      <c r="AG621" s="89"/>
      <c r="AH621" s="89"/>
      <c r="AI621" s="89"/>
      <c r="AJ621" s="89"/>
      <c r="AK621" s="89"/>
      <c r="AL621" s="89"/>
      <c r="AM621" s="89"/>
      <c r="AN621" s="89"/>
      <c r="AO621" s="89"/>
      <c r="AP621" s="89"/>
      <c r="AQ621" s="89"/>
      <c r="AR621" s="89"/>
      <c r="AS621" s="89"/>
      <c r="AT621" s="89"/>
      <c r="AU621" s="89"/>
      <c r="AV621" s="89"/>
      <c r="AW621" s="89"/>
      <c r="AX621" s="89"/>
      <c r="AY621" s="89"/>
      <c r="AZ621" s="89"/>
      <c r="BA621" s="95"/>
    </row>
    <row r="622" spans="1:53" s="87" customFormat="1">
      <c r="A622" s="374" t="str">
        <f t="shared" si="57"/>
        <v/>
      </c>
      <c r="B622" s="89">
        <v>1</v>
      </c>
      <c r="C622" s="89">
        <v>1</v>
      </c>
      <c r="D622" s="89" t="s">
        <v>210</v>
      </c>
      <c r="E622" s="89" t="s">
        <v>210</v>
      </c>
      <c r="F622" s="89">
        <v>-2</v>
      </c>
      <c r="G622" s="89">
        <v>-4</v>
      </c>
      <c r="H622" s="89" t="s">
        <v>210</v>
      </c>
      <c r="I622" s="89" t="s">
        <v>210</v>
      </c>
      <c r="J622" s="89">
        <v>5</v>
      </c>
      <c r="K622" s="89">
        <v>-6</v>
      </c>
      <c r="L622" s="89" t="s">
        <v>210</v>
      </c>
      <c r="M622" s="89" t="s">
        <v>210</v>
      </c>
      <c r="N622" s="89">
        <v>3</v>
      </c>
      <c r="O622" s="89">
        <v>-1</v>
      </c>
      <c r="P622" s="89" t="s">
        <v>210</v>
      </c>
      <c r="Q622" s="89" t="s">
        <v>210</v>
      </c>
      <c r="R622" s="89">
        <v>4</v>
      </c>
      <c r="S622" s="89">
        <v>-5</v>
      </c>
      <c r="T622" s="89" t="s">
        <v>210</v>
      </c>
      <c r="U622" s="89" t="s">
        <v>210</v>
      </c>
      <c r="V622" s="89" t="s">
        <v>202</v>
      </c>
      <c r="W622" s="89">
        <v>6</v>
      </c>
      <c r="X622" s="89" t="s">
        <v>210</v>
      </c>
      <c r="Y622" s="89" t="s">
        <v>210</v>
      </c>
      <c r="Z622" s="89">
        <v>2</v>
      </c>
      <c r="AA622" s="89">
        <v>-3</v>
      </c>
      <c r="AB622" s="89"/>
      <c r="AC622" s="89"/>
      <c r="AD622" s="89"/>
      <c r="AE622" s="89"/>
      <c r="AF622" s="89"/>
      <c r="AG622" s="89"/>
      <c r="AH622" s="89"/>
      <c r="AI622" s="89"/>
      <c r="AJ622" s="89"/>
      <c r="AK622" s="89"/>
      <c r="AL622" s="89"/>
      <c r="AM622" s="89"/>
      <c r="AN622" s="89"/>
      <c r="AO622" s="89"/>
      <c r="AP622" s="89"/>
      <c r="AQ622" s="89"/>
      <c r="AR622" s="89"/>
      <c r="AS622" s="89"/>
      <c r="AT622" s="89"/>
      <c r="AU622" s="89"/>
      <c r="AV622" s="89"/>
      <c r="AW622" s="89"/>
      <c r="AX622" s="89"/>
      <c r="AY622" s="89"/>
      <c r="AZ622" s="89"/>
      <c r="BA622" s="95"/>
    </row>
    <row r="623" spans="1:53" s="87" customFormat="1">
      <c r="A623" s="374" t="str">
        <f t="shared" si="57"/>
        <v/>
      </c>
      <c r="B623" s="89">
        <v>2</v>
      </c>
      <c r="C623" s="89">
        <v>-5</v>
      </c>
      <c r="D623" s="89" t="s">
        <v>210</v>
      </c>
      <c r="E623" s="89" t="s">
        <v>210</v>
      </c>
      <c r="F623" s="89">
        <v>1</v>
      </c>
      <c r="G623" s="89">
        <v>2</v>
      </c>
      <c r="H623" s="89" t="s">
        <v>210</v>
      </c>
      <c r="I623" s="89" t="s">
        <v>210</v>
      </c>
      <c r="J623" s="89">
        <v>4</v>
      </c>
      <c r="K623" s="89" t="s">
        <v>202</v>
      </c>
      <c r="L623" s="89" t="s">
        <v>210</v>
      </c>
      <c r="M623" s="89" t="s">
        <v>210</v>
      </c>
      <c r="N623" s="89">
        <v>6</v>
      </c>
      <c r="O623" s="89">
        <v>-3</v>
      </c>
      <c r="P623" s="89" t="s">
        <v>210</v>
      </c>
      <c r="Q623" s="89" t="s">
        <v>210</v>
      </c>
      <c r="R623" s="89">
        <v>-1</v>
      </c>
      <c r="S623" s="89">
        <v>-2</v>
      </c>
      <c r="T623" s="89" t="s">
        <v>210</v>
      </c>
      <c r="U623" s="89" t="s">
        <v>210</v>
      </c>
      <c r="V623" s="89">
        <v>-6</v>
      </c>
      <c r="W623" s="89">
        <v>5</v>
      </c>
      <c r="X623" s="89" t="s">
        <v>210</v>
      </c>
      <c r="Y623" s="89" t="s">
        <v>210</v>
      </c>
      <c r="Z623" s="89">
        <v>-4</v>
      </c>
      <c r="AA623" s="89">
        <v>3</v>
      </c>
      <c r="AB623" s="89"/>
      <c r="AC623" s="89"/>
      <c r="AD623" s="89"/>
      <c r="AE623" s="89"/>
      <c r="AF623" s="89"/>
      <c r="AG623" s="89"/>
      <c r="AH623" s="89"/>
      <c r="AI623" s="89"/>
      <c r="AJ623" s="89"/>
      <c r="AK623" s="89"/>
      <c r="AL623" s="89"/>
      <c r="AM623" s="89"/>
      <c r="AN623" s="89"/>
      <c r="AO623" s="89"/>
      <c r="AP623" s="89"/>
      <c r="AQ623" s="89"/>
      <c r="AR623" s="89"/>
      <c r="AS623" s="89"/>
      <c r="AT623" s="89"/>
      <c r="AU623" s="89"/>
      <c r="AV623" s="89"/>
      <c r="AW623" s="89"/>
      <c r="AX623" s="89"/>
      <c r="AY623" s="89"/>
      <c r="AZ623" s="89"/>
      <c r="BA623" s="95"/>
    </row>
    <row r="624" spans="1:53" s="87" customFormat="1">
      <c r="A624" s="374" t="str">
        <f t="shared" si="57"/>
        <v/>
      </c>
      <c r="B624" s="89">
        <v>3</v>
      </c>
      <c r="C624" s="89">
        <v>5</v>
      </c>
      <c r="D624" s="89" t="s">
        <v>210</v>
      </c>
      <c r="E624" s="89" t="s">
        <v>210</v>
      </c>
      <c r="F624" s="89">
        <v>3</v>
      </c>
      <c r="G624" s="89">
        <v>-6</v>
      </c>
      <c r="H624" s="89" t="s">
        <v>210</v>
      </c>
      <c r="I624" s="89" t="s">
        <v>210</v>
      </c>
      <c r="J624" s="89" t="s">
        <v>202</v>
      </c>
      <c r="K624" s="89">
        <v>2</v>
      </c>
      <c r="L624" s="89" t="s">
        <v>210</v>
      </c>
      <c r="M624" s="89" t="s">
        <v>210</v>
      </c>
      <c r="N624" s="89">
        <v>-1</v>
      </c>
      <c r="O624" s="89">
        <v>4</v>
      </c>
      <c r="P624" s="89" t="s">
        <v>210</v>
      </c>
      <c r="Q624" s="89" t="s">
        <v>210</v>
      </c>
      <c r="R624" s="89">
        <v>-5</v>
      </c>
      <c r="S624" s="89">
        <v>6</v>
      </c>
      <c r="T624" s="89" t="s">
        <v>210</v>
      </c>
      <c r="U624" s="89" t="s">
        <v>210</v>
      </c>
      <c r="V624" s="89">
        <v>-3</v>
      </c>
      <c r="W624" s="89">
        <v>1</v>
      </c>
      <c r="X624" s="89" t="s">
        <v>210</v>
      </c>
      <c r="Y624" s="89" t="s">
        <v>210</v>
      </c>
      <c r="Z624" s="89">
        <v>-2</v>
      </c>
      <c r="AA624" s="89">
        <v>-4</v>
      </c>
      <c r="AB624" s="89"/>
      <c r="AC624" s="89"/>
      <c r="AD624" s="89"/>
      <c r="AE624" s="89"/>
      <c r="AF624" s="89"/>
      <c r="AG624" s="89"/>
      <c r="AH624" s="89"/>
      <c r="AI624" s="89"/>
      <c r="AJ624" s="89"/>
      <c r="AK624" s="89"/>
      <c r="AL624" s="89"/>
      <c r="AM624" s="89"/>
      <c r="AN624" s="89"/>
      <c r="AO624" s="89"/>
      <c r="AP624" s="89"/>
      <c r="AQ624" s="89"/>
      <c r="AR624" s="89"/>
      <c r="AS624" s="89"/>
      <c r="AT624" s="89"/>
      <c r="AU624" s="89"/>
      <c r="AV624" s="89"/>
      <c r="AW624" s="89"/>
      <c r="AX624" s="89"/>
      <c r="AY624" s="89"/>
      <c r="AZ624" s="89"/>
      <c r="BA624" s="95"/>
    </row>
    <row r="625" spans="1:53" s="87" customFormat="1">
      <c r="A625" s="374" t="str">
        <f t="shared" si="57"/>
        <v/>
      </c>
      <c r="B625" s="89">
        <v>4</v>
      </c>
      <c r="C625" s="89">
        <v>-4</v>
      </c>
      <c r="D625" s="89" t="s">
        <v>210</v>
      </c>
      <c r="E625" s="89" t="s">
        <v>210</v>
      </c>
      <c r="F625" s="89">
        <v>6</v>
      </c>
      <c r="G625" s="89">
        <v>5</v>
      </c>
      <c r="H625" s="89" t="s">
        <v>210</v>
      </c>
      <c r="I625" s="89" t="s">
        <v>210</v>
      </c>
      <c r="J625" s="89">
        <v>-1</v>
      </c>
      <c r="K625" s="89">
        <v>-3</v>
      </c>
      <c r="L625" s="89" t="s">
        <v>210</v>
      </c>
      <c r="M625" s="89" t="s">
        <v>210</v>
      </c>
      <c r="N625" s="89">
        <v>-2</v>
      </c>
      <c r="O625" s="89">
        <v>-5</v>
      </c>
      <c r="P625" s="89" t="s">
        <v>210</v>
      </c>
      <c r="Q625" s="89" t="s">
        <v>210</v>
      </c>
      <c r="R625" s="89">
        <v>1</v>
      </c>
      <c r="S625" s="89" t="s">
        <v>202</v>
      </c>
      <c r="T625" s="89" t="s">
        <v>210</v>
      </c>
      <c r="U625" s="89" t="s">
        <v>210</v>
      </c>
      <c r="V625" s="89">
        <v>2</v>
      </c>
      <c r="W625" s="89">
        <v>-6</v>
      </c>
      <c r="X625" s="89" t="s">
        <v>210</v>
      </c>
      <c r="Y625" s="89" t="s">
        <v>210</v>
      </c>
      <c r="Z625" s="89">
        <v>3</v>
      </c>
      <c r="AA625" s="89">
        <v>4</v>
      </c>
      <c r="AB625" s="89"/>
      <c r="AC625" s="89"/>
      <c r="AD625" s="89"/>
      <c r="AE625" s="89"/>
      <c r="AF625" s="89"/>
      <c r="AG625" s="89"/>
      <c r="AH625" s="89"/>
      <c r="AI625" s="89"/>
      <c r="AJ625" s="89"/>
      <c r="AK625" s="89"/>
      <c r="AL625" s="89"/>
      <c r="AM625" s="89"/>
      <c r="AN625" s="89"/>
      <c r="AO625" s="89"/>
      <c r="AP625" s="89"/>
      <c r="AQ625" s="89"/>
      <c r="AR625" s="89"/>
      <c r="AS625" s="89"/>
      <c r="AT625" s="89"/>
      <c r="AU625" s="89"/>
      <c r="AV625" s="89"/>
      <c r="AW625" s="89"/>
      <c r="AX625" s="89"/>
      <c r="AY625" s="89"/>
      <c r="AZ625" s="89"/>
      <c r="BA625" s="95"/>
    </row>
    <row r="626" spans="1:53" s="87" customFormat="1">
      <c r="A626" s="374" t="str">
        <f t="shared" si="57"/>
        <v/>
      </c>
      <c r="B626" s="89">
        <v>5</v>
      </c>
      <c r="C626" s="89">
        <v>3</v>
      </c>
      <c r="D626" s="89" t="s">
        <v>210</v>
      </c>
      <c r="E626" s="89" t="s">
        <v>210</v>
      </c>
      <c r="F626" s="89" t="s">
        <v>202</v>
      </c>
      <c r="G626" s="89">
        <v>1</v>
      </c>
      <c r="H626" s="89" t="s">
        <v>210</v>
      </c>
      <c r="I626" s="89" t="s">
        <v>210</v>
      </c>
      <c r="J626" s="89">
        <v>-2</v>
      </c>
      <c r="K626" s="89">
        <v>6</v>
      </c>
      <c r="L626" s="89" t="s">
        <v>210</v>
      </c>
      <c r="M626" s="89" t="s">
        <v>210</v>
      </c>
      <c r="N626" s="89">
        <v>-4</v>
      </c>
      <c r="O626" s="89">
        <v>5</v>
      </c>
      <c r="P626" s="89" t="s">
        <v>210</v>
      </c>
      <c r="Q626" s="89" t="s">
        <v>210</v>
      </c>
      <c r="R626" s="89">
        <v>-6</v>
      </c>
      <c r="S626" s="89">
        <v>-3</v>
      </c>
      <c r="T626" s="89" t="s">
        <v>210</v>
      </c>
      <c r="U626" s="89" t="s">
        <v>210</v>
      </c>
      <c r="V626" s="89">
        <v>-5</v>
      </c>
      <c r="W626" s="89">
        <v>-1</v>
      </c>
      <c r="X626" s="89" t="s">
        <v>210</v>
      </c>
      <c r="Y626" s="89" t="s">
        <v>210</v>
      </c>
      <c r="Z626" s="89">
        <v>4</v>
      </c>
      <c r="AA626" s="89">
        <v>2</v>
      </c>
      <c r="AB626" s="89"/>
      <c r="AC626" s="89"/>
      <c r="AD626" s="89"/>
      <c r="AE626" s="89"/>
      <c r="AF626" s="89"/>
      <c r="AG626" s="89"/>
      <c r="AH626" s="89"/>
      <c r="AI626" s="89"/>
      <c r="AJ626" s="89"/>
      <c r="AK626" s="89"/>
      <c r="AL626" s="89"/>
      <c r="AM626" s="89"/>
      <c r="AN626" s="89"/>
      <c r="AO626" s="89"/>
      <c r="AP626" s="89"/>
      <c r="AQ626" s="89"/>
      <c r="AR626" s="89"/>
      <c r="AS626" s="89"/>
      <c r="AT626" s="89"/>
      <c r="AU626" s="89"/>
      <c r="AV626" s="89"/>
      <c r="AW626" s="89"/>
      <c r="AX626" s="89"/>
      <c r="AY626" s="89"/>
      <c r="AZ626" s="89"/>
      <c r="BA626" s="95"/>
    </row>
    <row r="627" spans="1:53" s="87" customFormat="1">
      <c r="A627" s="374" t="str">
        <f t="shared" si="57"/>
        <v/>
      </c>
      <c r="B627" s="89">
        <v>6</v>
      </c>
      <c r="C627" s="89">
        <v>6</v>
      </c>
      <c r="D627" s="89" t="s">
        <v>210</v>
      </c>
      <c r="E627" s="89" t="s">
        <v>210</v>
      </c>
      <c r="F627" s="89">
        <v>-4</v>
      </c>
      <c r="G627" s="89" t="s">
        <v>202</v>
      </c>
      <c r="H627" s="89" t="s">
        <v>210</v>
      </c>
      <c r="I627" s="89" t="s">
        <v>210</v>
      </c>
      <c r="J627" s="89">
        <v>3</v>
      </c>
      <c r="K627" s="89">
        <v>5</v>
      </c>
      <c r="L627" s="89" t="s">
        <v>210</v>
      </c>
      <c r="M627" s="89" t="s">
        <v>210</v>
      </c>
      <c r="N627" s="89">
        <v>2</v>
      </c>
      <c r="O627" s="89">
        <v>1</v>
      </c>
      <c r="P627" s="89" t="s">
        <v>210</v>
      </c>
      <c r="Q627" s="89" t="s">
        <v>210</v>
      </c>
      <c r="R627" s="89">
        <v>-3</v>
      </c>
      <c r="S627" s="89">
        <v>-6</v>
      </c>
      <c r="T627" s="89" t="s">
        <v>210</v>
      </c>
      <c r="U627" s="89" t="s">
        <v>210</v>
      </c>
      <c r="V627" s="89">
        <v>4</v>
      </c>
      <c r="W627" s="89">
        <v>-5</v>
      </c>
      <c r="X627" s="89" t="s">
        <v>210</v>
      </c>
      <c r="Y627" s="89" t="s">
        <v>210</v>
      </c>
      <c r="Z627" s="89">
        <v>-1</v>
      </c>
      <c r="AA627" s="89">
        <v>-2</v>
      </c>
      <c r="AB627" s="89"/>
      <c r="AC627" s="89"/>
      <c r="AD627" s="89"/>
      <c r="AE627" s="89"/>
      <c r="AF627" s="89"/>
      <c r="AG627" s="89"/>
      <c r="AH627" s="89"/>
      <c r="AI627" s="89"/>
      <c r="AJ627" s="89"/>
      <c r="AK627" s="89"/>
      <c r="AL627" s="89"/>
      <c r="AM627" s="89"/>
      <c r="AN627" s="89"/>
      <c r="AO627" s="89"/>
      <c r="AP627" s="89"/>
      <c r="AQ627" s="89"/>
      <c r="AR627" s="89"/>
      <c r="AS627" s="89"/>
      <c r="AT627" s="89"/>
      <c r="AU627" s="89"/>
      <c r="AV627" s="89"/>
      <c r="AW627" s="89"/>
      <c r="AX627" s="89"/>
      <c r="AY627" s="89"/>
      <c r="AZ627" s="89"/>
      <c r="BA627" s="95"/>
    </row>
    <row r="628" spans="1:53" s="87" customFormat="1">
      <c r="A628" s="374" t="str">
        <f t="shared" si="57"/>
        <v/>
      </c>
      <c r="B628" s="89">
        <v>7</v>
      </c>
      <c r="C628" s="89">
        <v>4</v>
      </c>
      <c r="D628" s="89" t="s">
        <v>210</v>
      </c>
      <c r="E628" s="89" t="s">
        <v>210</v>
      </c>
      <c r="F628" s="89">
        <v>5</v>
      </c>
      <c r="G628" s="89">
        <v>-1</v>
      </c>
      <c r="H628" s="89" t="s">
        <v>210</v>
      </c>
      <c r="I628" s="89" t="s">
        <v>210</v>
      </c>
      <c r="J628" s="89">
        <v>-3</v>
      </c>
      <c r="K628" s="89">
        <v>-2</v>
      </c>
      <c r="L628" s="89" t="s">
        <v>210</v>
      </c>
      <c r="M628" s="89" t="s">
        <v>210</v>
      </c>
      <c r="N628" s="89" t="s">
        <v>202</v>
      </c>
      <c r="O628" s="89">
        <v>6</v>
      </c>
      <c r="P628" s="89" t="s">
        <v>210</v>
      </c>
      <c r="Q628" s="89" t="s">
        <v>210</v>
      </c>
      <c r="R628" s="89">
        <v>-4</v>
      </c>
      <c r="S628" s="89">
        <v>2</v>
      </c>
      <c r="T628" s="89" t="s">
        <v>210</v>
      </c>
      <c r="U628" s="89" t="s">
        <v>210</v>
      </c>
      <c r="V628" s="89">
        <v>1</v>
      </c>
      <c r="W628" s="89">
        <v>3</v>
      </c>
      <c r="X628" s="89" t="s">
        <v>210</v>
      </c>
      <c r="Y628" s="89" t="s">
        <v>210</v>
      </c>
      <c r="Z628" s="89">
        <v>-6</v>
      </c>
      <c r="AA628" s="89">
        <v>-5</v>
      </c>
      <c r="AB628" s="89"/>
      <c r="AC628" s="89"/>
      <c r="AD628" s="89"/>
      <c r="AE628" s="89"/>
      <c r="AF628" s="89"/>
      <c r="AG628" s="89"/>
      <c r="AH628" s="89"/>
      <c r="AI628" s="89"/>
      <c r="AJ628" s="89"/>
      <c r="AK628" s="89"/>
      <c r="AL628" s="89"/>
      <c r="AM628" s="89"/>
      <c r="AN628" s="89"/>
      <c r="AO628" s="89"/>
      <c r="AP628" s="89"/>
      <c r="AQ628" s="89"/>
      <c r="AR628" s="89"/>
      <c r="AS628" s="89"/>
      <c r="AT628" s="89"/>
      <c r="AU628" s="89"/>
      <c r="AV628" s="89"/>
      <c r="AW628" s="89"/>
      <c r="AX628" s="89"/>
      <c r="AY628" s="89"/>
      <c r="AZ628" s="89"/>
      <c r="BA628" s="95"/>
    </row>
    <row r="629" spans="1:53" s="87" customFormat="1">
      <c r="A629" s="374" t="str">
        <f t="shared" si="57"/>
        <v/>
      </c>
      <c r="B629" s="89">
        <v>8</v>
      </c>
      <c r="C629" s="89" t="s">
        <v>202</v>
      </c>
      <c r="D629" s="89" t="s">
        <v>210</v>
      </c>
      <c r="E629" s="89" t="s">
        <v>210</v>
      </c>
      <c r="F629" s="89">
        <v>-1</v>
      </c>
      <c r="G629" s="89">
        <v>-5</v>
      </c>
      <c r="H629" s="89" t="s">
        <v>210</v>
      </c>
      <c r="I629" s="89" t="s">
        <v>210</v>
      </c>
      <c r="J629" s="89">
        <v>-6</v>
      </c>
      <c r="K629" s="89">
        <v>4</v>
      </c>
      <c r="L629" s="89" t="s">
        <v>210</v>
      </c>
      <c r="M629" s="89" t="s">
        <v>210</v>
      </c>
      <c r="N629" s="89">
        <v>-3</v>
      </c>
      <c r="O629" s="89">
        <v>2</v>
      </c>
      <c r="P629" s="89" t="s">
        <v>210</v>
      </c>
      <c r="Q629" s="89" t="s">
        <v>210</v>
      </c>
      <c r="R629" s="89">
        <v>6</v>
      </c>
      <c r="S629" s="89">
        <v>-4</v>
      </c>
      <c r="T629" s="89" t="s">
        <v>210</v>
      </c>
      <c r="U629" s="89" t="s">
        <v>210</v>
      </c>
      <c r="V629" s="89">
        <v>3</v>
      </c>
      <c r="W629" s="89">
        <v>-2</v>
      </c>
      <c r="X629" s="89" t="s">
        <v>210</v>
      </c>
      <c r="Y629" s="89" t="s">
        <v>210</v>
      </c>
      <c r="Z629" s="89">
        <v>1</v>
      </c>
      <c r="AA629" s="89">
        <v>5</v>
      </c>
      <c r="AB629" s="89"/>
      <c r="AC629" s="89"/>
      <c r="AD629" s="89"/>
      <c r="AE629" s="89"/>
      <c r="AF629" s="89"/>
      <c r="AG629" s="89"/>
      <c r="AH629" s="89"/>
      <c r="AI629" s="89"/>
      <c r="AJ629" s="89"/>
      <c r="AK629" s="89"/>
      <c r="AL629" s="89"/>
      <c r="AM629" s="89"/>
      <c r="AN629" s="89"/>
      <c r="AO629" s="89"/>
      <c r="AP629" s="89"/>
      <c r="AQ629" s="89"/>
      <c r="AR629" s="89"/>
      <c r="AS629" s="89"/>
      <c r="AT629" s="89"/>
      <c r="AU629" s="89"/>
      <c r="AV629" s="89"/>
      <c r="AW629" s="89"/>
      <c r="AX629" s="89"/>
      <c r="AY629" s="89"/>
      <c r="AZ629" s="89"/>
      <c r="BA629" s="95"/>
    </row>
    <row r="630" spans="1:53" s="87" customFormat="1">
      <c r="A630" s="374" t="str">
        <f t="shared" si="57"/>
        <v/>
      </c>
      <c r="B630" s="89">
        <v>9</v>
      </c>
      <c r="C630" s="89">
        <v>2</v>
      </c>
      <c r="D630" s="89" t="s">
        <v>210</v>
      </c>
      <c r="E630" s="89" t="s">
        <v>210</v>
      </c>
      <c r="F630" s="89">
        <v>-3</v>
      </c>
      <c r="G630" s="89">
        <v>4</v>
      </c>
      <c r="H630" s="89" t="s">
        <v>210</v>
      </c>
      <c r="I630" s="89" t="s">
        <v>210</v>
      </c>
      <c r="J630" s="89">
        <v>1</v>
      </c>
      <c r="K630" s="89">
        <v>-5</v>
      </c>
      <c r="L630" s="89" t="s">
        <v>210</v>
      </c>
      <c r="M630" s="89" t="s">
        <v>210</v>
      </c>
      <c r="N630" s="89">
        <v>-6</v>
      </c>
      <c r="O630" s="89">
        <v>-2</v>
      </c>
      <c r="P630" s="89" t="s">
        <v>210</v>
      </c>
      <c r="Q630" s="89" t="s">
        <v>210</v>
      </c>
      <c r="R630" s="89" t="s">
        <v>202</v>
      </c>
      <c r="S630" s="89">
        <v>3</v>
      </c>
      <c r="T630" s="89" t="s">
        <v>210</v>
      </c>
      <c r="U630" s="89" t="s">
        <v>210</v>
      </c>
      <c r="V630" s="89">
        <v>-1</v>
      </c>
      <c r="W630" s="89">
        <v>-4</v>
      </c>
      <c r="X630" s="89" t="s">
        <v>210</v>
      </c>
      <c r="Y630" s="89" t="s">
        <v>210</v>
      </c>
      <c r="Z630" s="89">
        <v>5</v>
      </c>
      <c r="AA630" s="89">
        <v>6</v>
      </c>
      <c r="AB630" s="89"/>
      <c r="AC630" s="89"/>
      <c r="AD630" s="89"/>
      <c r="AE630" s="89"/>
      <c r="AF630" s="89"/>
      <c r="AG630" s="89"/>
      <c r="AH630" s="89"/>
      <c r="AI630" s="89"/>
      <c r="AJ630" s="89"/>
      <c r="AK630" s="89"/>
      <c r="AL630" s="89"/>
      <c r="AM630" s="89"/>
      <c r="AN630" s="89"/>
      <c r="AO630" s="89"/>
      <c r="AP630" s="89"/>
      <c r="AQ630" s="89"/>
      <c r="AR630" s="89"/>
      <c r="AS630" s="89"/>
      <c r="AT630" s="89"/>
      <c r="AU630" s="89"/>
      <c r="AV630" s="89"/>
      <c r="AW630" s="89"/>
      <c r="AX630" s="89"/>
      <c r="AY630" s="89"/>
      <c r="AZ630" s="89"/>
      <c r="BA630" s="95"/>
    </row>
    <row r="631" spans="1:53" s="87" customFormat="1">
      <c r="A631" s="374" t="str">
        <f t="shared" si="57"/>
        <v/>
      </c>
      <c r="B631" s="89">
        <v>10</v>
      </c>
      <c r="C631" s="89">
        <v>-1</v>
      </c>
      <c r="D631" s="89" t="s">
        <v>210</v>
      </c>
      <c r="E631" s="89" t="s">
        <v>210</v>
      </c>
      <c r="F631" s="89">
        <v>4</v>
      </c>
      <c r="G631" s="89">
        <v>-2</v>
      </c>
      <c r="H631" s="89" t="s">
        <v>210</v>
      </c>
      <c r="I631" s="89" t="s">
        <v>210</v>
      </c>
      <c r="J631" s="89">
        <v>6</v>
      </c>
      <c r="K631" s="89">
        <v>3</v>
      </c>
      <c r="L631" s="89" t="s">
        <v>210</v>
      </c>
      <c r="M631" s="89" t="s">
        <v>210</v>
      </c>
      <c r="N631" s="89">
        <v>-5</v>
      </c>
      <c r="O631" s="89">
        <v>-4</v>
      </c>
      <c r="P631" s="89" t="s">
        <v>210</v>
      </c>
      <c r="Q631" s="89" t="s">
        <v>210</v>
      </c>
      <c r="R631" s="89">
        <v>2</v>
      </c>
      <c r="S631" s="89">
        <v>1</v>
      </c>
      <c r="T631" s="89" t="s">
        <v>210</v>
      </c>
      <c r="U631" s="89" t="s">
        <v>210</v>
      </c>
      <c r="V631" s="89">
        <v>5</v>
      </c>
      <c r="W631" s="89">
        <v>-3</v>
      </c>
      <c r="X631" s="89" t="s">
        <v>210</v>
      </c>
      <c r="Y631" s="89" t="s">
        <v>210</v>
      </c>
      <c r="Z631" s="89" t="s">
        <v>202</v>
      </c>
      <c r="AA631" s="89">
        <v>-6</v>
      </c>
      <c r="AB631" s="89"/>
      <c r="AC631" s="89"/>
      <c r="AD631" s="89"/>
      <c r="AE631" s="89"/>
      <c r="AF631" s="89"/>
      <c r="AG631" s="89"/>
      <c r="AH631" s="89"/>
      <c r="AI631" s="89"/>
      <c r="AJ631" s="89"/>
      <c r="AK631" s="89"/>
      <c r="AL631" s="89"/>
      <c r="AM631" s="89"/>
      <c r="AN631" s="89"/>
      <c r="AO631" s="89"/>
      <c r="AP631" s="89"/>
      <c r="AQ631" s="89"/>
      <c r="AR631" s="89"/>
      <c r="AS631" s="89"/>
      <c r="AT631" s="89"/>
      <c r="AU631" s="89"/>
      <c r="AV631" s="89"/>
      <c r="AW631" s="89"/>
      <c r="AX631" s="89"/>
      <c r="AY631" s="89"/>
      <c r="AZ631" s="89"/>
      <c r="BA631" s="95"/>
    </row>
    <row r="632" spans="1:53" s="87" customFormat="1">
      <c r="A632" s="374" t="str">
        <f t="shared" si="57"/>
        <v/>
      </c>
      <c r="B632" s="89">
        <v>11</v>
      </c>
      <c r="C632" s="89">
        <v>-6</v>
      </c>
      <c r="D632" s="89" t="s">
        <v>210</v>
      </c>
      <c r="E632" s="89" t="s">
        <v>210</v>
      </c>
      <c r="F632" s="89">
        <v>-5</v>
      </c>
      <c r="G632" s="89">
        <v>3</v>
      </c>
      <c r="H632" s="89" t="s">
        <v>210</v>
      </c>
      <c r="I632" s="89" t="s">
        <v>210</v>
      </c>
      <c r="J632" s="89">
        <v>2</v>
      </c>
      <c r="K632" s="89">
        <v>-4</v>
      </c>
      <c r="L632" s="89" t="s">
        <v>210</v>
      </c>
      <c r="M632" s="89" t="s">
        <v>210</v>
      </c>
      <c r="N632" s="89">
        <v>1</v>
      </c>
      <c r="O632" s="89" t="s">
        <v>202</v>
      </c>
      <c r="P632" s="89" t="s">
        <v>210</v>
      </c>
      <c r="Q632" s="89" t="s">
        <v>210</v>
      </c>
      <c r="R632" s="89">
        <v>-2</v>
      </c>
      <c r="S632" s="89">
        <v>5</v>
      </c>
      <c r="T632" s="89" t="s">
        <v>210</v>
      </c>
      <c r="U632" s="89" t="s">
        <v>210</v>
      </c>
      <c r="V632" s="89">
        <v>6</v>
      </c>
      <c r="W632" s="89">
        <v>4</v>
      </c>
      <c r="X632" s="89" t="s">
        <v>210</v>
      </c>
      <c r="Y632" s="89" t="s">
        <v>210</v>
      </c>
      <c r="Z632" s="89">
        <v>-3</v>
      </c>
      <c r="AA632" s="89">
        <v>-1</v>
      </c>
      <c r="AB632" s="89"/>
      <c r="AC632" s="89"/>
      <c r="AD632" s="89"/>
      <c r="AE632" s="89"/>
      <c r="AF632" s="89"/>
      <c r="AG632" s="89"/>
      <c r="AH632" s="89"/>
      <c r="AI632" s="89"/>
      <c r="AJ632" s="89"/>
      <c r="AK632" s="89"/>
      <c r="AL632" s="89"/>
      <c r="AM632" s="89"/>
      <c r="AN632" s="89"/>
      <c r="AO632" s="89"/>
      <c r="AP632" s="89"/>
      <c r="AQ632" s="89"/>
      <c r="AR632" s="89"/>
      <c r="AS632" s="89"/>
      <c r="AT632" s="89"/>
      <c r="AU632" s="89"/>
      <c r="AV632" s="89"/>
      <c r="AW632" s="89"/>
      <c r="AX632" s="89"/>
      <c r="AY632" s="89"/>
      <c r="AZ632" s="89"/>
      <c r="BA632" s="95"/>
    </row>
    <row r="633" spans="1:53" s="87" customFormat="1">
      <c r="A633" s="374" t="str">
        <f t="shared" si="57"/>
        <v/>
      </c>
      <c r="B633" s="89">
        <v>12</v>
      </c>
      <c r="C633" s="89">
        <v>-3</v>
      </c>
      <c r="D633" s="89" t="s">
        <v>210</v>
      </c>
      <c r="E633" s="89" t="s">
        <v>210</v>
      </c>
      <c r="F633" s="89">
        <v>2</v>
      </c>
      <c r="G633" s="89">
        <v>6</v>
      </c>
      <c r="H633" s="89" t="s">
        <v>210</v>
      </c>
      <c r="I633" s="89" t="s">
        <v>210</v>
      </c>
      <c r="J633" s="89">
        <v>-4</v>
      </c>
      <c r="K633" s="89">
        <v>-1</v>
      </c>
      <c r="L633" s="89" t="s">
        <v>210</v>
      </c>
      <c r="M633" s="89" t="s">
        <v>210</v>
      </c>
      <c r="N633" s="89">
        <v>5</v>
      </c>
      <c r="O633" s="89">
        <v>-6</v>
      </c>
      <c r="P633" s="89" t="s">
        <v>210</v>
      </c>
      <c r="Q633" s="89" t="s">
        <v>210</v>
      </c>
      <c r="R633" s="89">
        <v>3</v>
      </c>
      <c r="S633" s="89">
        <v>4</v>
      </c>
      <c r="T633" s="89" t="s">
        <v>210</v>
      </c>
      <c r="U633" s="89" t="s">
        <v>210</v>
      </c>
      <c r="V633" s="89">
        <v>-2</v>
      </c>
      <c r="W633" s="89" t="s">
        <v>202</v>
      </c>
      <c r="X633" s="89" t="s">
        <v>210</v>
      </c>
      <c r="Y633" s="89" t="s">
        <v>210</v>
      </c>
      <c r="Z633" s="89">
        <v>-5</v>
      </c>
      <c r="AA633" s="89">
        <v>1</v>
      </c>
      <c r="AB633" s="89"/>
      <c r="AC633" s="89"/>
      <c r="AD633" s="89"/>
      <c r="AE633" s="89"/>
      <c r="AF633" s="89"/>
      <c r="AG633" s="89"/>
      <c r="AH633" s="89"/>
      <c r="AI633" s="89"/>
      <c r="AJ633" s="89"/>
      <c r="AK633" s="89"/>
      <c r="AL633" s="89"/>
      <c r="AM633" s="89"/>
      <c r="AN633" s="89"/>
      <c r="AO633" s="89"/>
      <c r="AP633" s="89"/>
      <c r="AQ633" s="89"/>
      <c r="AR633" s="89"/>
      <c r="AS633" s="89"/>
      <c r="AT633" s="89"/>
      <c r="AU633" s="89"/>
      <c r="AV633" s="89"/>
      <c r="AW633" s="89"/>
      <c r="AX633" s="89"/>
      <c r="AY633" s="89"/>
      <c r="AZ633" s="89"/>
      <c r="BA633" s="95"/>
    </row>
    <row r="634" spans="1:53" s="87" customFormat="1">
      <c r="A634" s="374" t="str">
        <f t="shared" si="57"/>
        <v/>
      </c>
      <c r="B634" s="99">
        <v>13</v>
      </c>
      <c r="C634" s="92">
        <v>-2</v>
      </c>
      <c r="D634" s="92" t="s">
        <v>210</v>
      </c>
      <c r="E634" s="92" t="s">
        <v>210</v>
      </c>
      <c r="F634" s="92">
        <v>-6</v>
      </c>
      <c r="G634" s="92">
        <v>-3</v>
      </c>
      <c r="H634" s="92" t="s">
        <v>210</v>
      </c>
      <c r="I634" s="92" t="s">
        <v>210</v>
      </c>
      <c r="J634" s="92">
        <v>-5</v>
      </c>
      <c r="K634" s="92">
        <v>1</v>
      </c>
      <c r="L634" s="92" t="s">
        <v>210</v>
      </c>
      <c r="M634" s="92" t="s">
        <v>210</v>
      </c>
      <c r="N634" s="92">
        <v>4</v>
      </c>
      <c r="O634" s="92">
        <v>3</v>
      </c>
      <c r="P634" s="92" t="s">
        <v>210</v>
      </c>
      <c r="Q634" s="92" t="s">
        <v>210</v>
      </c>
      <c r="R634" s="92">
        <v>5</v>
      </c>
      <c r="S634" s="92">
        <v>-1</v>
      </c>
      <c r="T634" s="92" t="s">
        <v>210</v>
      </c>
      <c r="U634" s="92" t="s">
        <v>210</v>
      </c>
      <c r="V634" s="92">
        <v>-4</v>
      </c>
      <c r="W634" s="92">
        <v>2</v>
      </c>
      <c r="X634" s="92" t="s">
        <v>210</v>
      </c>
      <c r="Y634" s="92" t="s">
        <v>210</v>
      </c>
      <c r="Z634" s="92">
        <v>6</v>
      </c>
      <c r="AA634" s="92" t="s">
        <v>202</v>
      </c>
      <c r="AB634" s="89"/>
      <c r="AC634" s="89"/>
      <c r="AD634" s="89"/>
      <c r="AE634" s="89"/>
      <c r="AF634" s="89"/>
      <c r="AG634" s="89"/>
      <c r="AH634" s="89"/>
      <c r="AI634" s="89"/>
      <c r="AJ634" s="89"/>
      <c r="AK634" s="89"/>
      <c r="AL634" s="89"/>
      <c r="AM634" s="89"/>
      <c r="AN634" s="89"/>
      <c r="AO634" s="89"/>
      <c r="AP634" s="89"/>
      <c r="AQ634" s="89"/>
      <c r="AR634" s="89"/>
      <c r="AS634" s="89"/>
      <c r="AT634" s="89"/>
      <c r="AU634" s="89"/>
      <c r="AV634" s="89"/>
      <c r="AW634" s="89"/>
      <c r="AX634" s="89"/>
      <c r="AY634" s="89"/>
      <c r="AZ634" s="89"/>
      <c r="BA634" s="95"/>
    </row>
    <row r="635" spans="1:53" s="87" customFormat="1">
      <c r="A635" s="374" t="str">
        <f t="shared" si="57"/>
        <v/>
      </c>
      <c r="B635" s="89">
        <v>14</v>
      </c>
      <c r="C635" s="89" t="s">
        <v>210</v>
      </c>
      <c r="D635" s="89">
        <v>1</v>
      </c>
      <c r="E635" s="89">
        <v>-4</v>
      </c>
      <c r="F635" s="89" t="s">
        <v>210</v>
      </c>
      <c r="G635" s="89" t="s">
        <v>210</v>
      </c>
      <c r="H635" s="89">
        <v>-5</v>
      </c>
      <c r="I635" s="89">
        <v>-6</v>
      </c>
      <c r="J635" s="89" t="s">
        <v>210</v>
      </c>
      <c r="K635" s="89" t="s">
        <v>210</v>
      </c>
      <c r="L635" s="89">
        <v>2</v>
      </c>
      <c r="M635" s="89">
        <v>-3</v>
      </c>
      <c r="N635" s="89" t="s">
        <v>210</v>
      </c>
      <c r="O635" s="89" t="s">
        <v>210</v>
      </c>
      <c r="P635" s="89">
        <v>-1</v>
      </c>
      <c r="Q635" s="89">
        <v>4</v>
      </c>
      <c r="R635" s="89" t="s">
        <v>210</v>
      </c>
      <c r="S635" s="89" t="s">
        <v>210</v>
      </c>
      <c r="T635" s="89">
        <v>5</v>
      </c>
      <c r="U635" s="89">
        <v>6</v>
      </c>
      <c r="V635" s="89" t="s">
        <v>210</v>
      </c>
      <c r="W635" s="89" t="s">
        <v>210</v>
      </c>
      <c r="X635" s="89">
        <v>-2</v>
      </c>
      <c r="Y635" s="89">
        <v>3</v>
      </c>
      <c r="Z635" s="89" t="s">
        <v>210</v>
      </c>
      <c r="AA635" s="89" t="s">
        <v>210</v>
      </c>
      <c r="AB635" s="89"/>
      <c r="AC635" s="89"/>
      <c r="AD635" s="89"/>
      <c r="AE635" s="89"/>
      <c r="AF635" s="89"/>
      <c r="AG635" s="89"/>
      <c r="AH635" s="89"/>
      <c r="AI635" s="89"/>
      <c r="AJ635" s="89"/>
      <c r="AK635" s="89"/>
      <c r="AL635" s="89"/>
      <c r="AM635" s="89"/>
      <c r="AN635" s="89"/>
      <c r="AO635" s="89"/>
      <c r="AP635" s="89"/>
      <c r="AQ635" s="89"/>
      <c r="AR635" s="89"/>
      <c r="AS635" s="89"/>
      <c r="AT635" s="89"/>
      <c r="AU635" s="89"/>
      <c r="AV635" s="89"/>
      <c r="AW635" s="89"/>
      <c r="AX635" s="89"/>
      <c r="AY635" s="89"/>
      <c r="AZ635" s="89"/>
      <c r="BA635" s="95"/>
    </row>
    <row r="636" spans="1:53" s="87" customFormat="1">
      <c r="A636" s="374" t="str">
        <f t="shared" si="57"/>
        <v/>
      </c>
      <c r="B636" s="89">
        <v>15</v>
      </c>
      <c r="C636" s="89" t="s">
        <v>210</v>
      </c>
      <c r="D636" s="89">
        <v>-4</v>
      </c>
      <c r="E636" s="89">
        <v>6</v>
      </c>
      <c r="F636" s="89" t="s">
        <v>210</v>
      </c>
      <c r="G636" s="89" t="s">
        <v>210</v>
      </c>
      <c r="H636" s="89">
        <v>3</v>
      </c>
      <c r="I636" s="89">
        <v>2</v>
      </c>
      <c r="J636" s="89" t="s">
        <v>210</v>
      </c>
      <c r="K636" s="89" t="s">
        <v>210</v>
      </c>
      <c r="L636" s="89">
        <v>5</v>
      </c>
      <c r="M636" s="89">
        <v>-1</v>
      </c>
      <c r="N636" s="89" t="s">
        <v>210</v>
      </c>
      <c r="O636" s="89" t="s">
        <v>210</v>
      </c>
      <c r="P636" s="89">
        <v>-2</v>
      </c>
      <c r="Q636" s="89">
        <v>-6</v>
      </c>
      <c r="R636" s="89" t="s">
        <v>210</v>
      </c>
      <c r="S636" s="89" t="s">
        <v>210</v>
      </c>
      <c r="T636" s="89">
        <v>4</v>
      </c>
      <c r="U636" s="89">
        <v>1</v>
      </c>
      <c r="V636" s="89" t="s">
        <v>210</v>
      </c>
      <c r="W636" s="89" t="s">
        <v>210</v>
      </c>
      <c r="X636" s="89">
        <v>-5</v>
      </c>
      <c r="Y636" s="89">
        <v>-3</v>
      </c>
      <c r="Z636" s="89" t="s">
        <v>210</v>
      </c>
      <c r="AA636" s="89" t="s">
        <v>210</v>
      </c>
      <c r="AB636" s="89"/>
      <c r="AC636" s="89"/>
      <c r="AD636" s="89"/>
      <c r="AE636" s="89"/>
      <c r="AF636" s="89"/>
      <c r="AG636" s="89"/>
      <c r="AH636" s="89"/>
      <c r="AI636" s="89"/>
      <c r="AJ636" s="89"/>
      <c r="AK636" s="89"/>
      <c r="AL636" s="89"/>
      <c r="AM636" s="89"/>
      <c r="AN636" s="89"/>
      <c r="AO636" s="89"/>
      <c r="AP636" s="89"/>
      <c r="AQ636" s="89"/>
      <c r="AR636" s="89"/>
      <c r="AS636" s="89"/>
      <c r="AT636" s="89"/>
      <c r="AU636" s="89"/>
      <c r="AV636" s="89"/>
      <c r="AW636" s="89"/>
      <c r="AX636" s="89"/>
      <c r="AY636" s="89"/>
      <c r="AZ636" s="89"/>
      <c r="BA636" s="95"/>
    </row>
    <row r="637" spans="1:53" s="87" customFormat="1">
      <c r="A637" s="374" t="str">
        <f t="shared" si="57"/>
        <v/>
      </c>
      <c r="B637" s="89">
        <v>16</v>
      </c>
      <c r="C637" s="89" t="s">
        <v>210</v>
      </c>
      <c r="D637" s="89">
        <v>-6</v>
      </c>
      <c r="E637" s="89">
        <v>-5</v>
      </c>
      <c r="F637" s="89" t="s">
        <v>210</v>
      </c>
      <c r="G637" s="89" t="s">
        <v>210</v>
      </c>
      <c r="H637" s="89">
        <v>4</v>
      </c>
      <c r="I637" s="89">
        <v>-3</v>
      </c>
      <c r="J637" s="89" t="s">
        <v>210</v>
      </c>
      <c r="K637" s="89" t="s">
        <v>210</v>
      </c>
      <c r="L637" s="89">
        <v>1</v>
      </c>
      <c r="M637" s="89">
        <v>-2</v>
      </c>
      <c r="N637" s="89" t="s">
        <v>210</v>
      </c>
      <c r="O637" s="89" t="s">
        <v>210</v>
      </c>
      <c r="P637" s="89">
        <v>6</v>
      </c>
      <c r="Q637" s="89">
        <v>5</v>
      </c>
      <c r="R637" s="89" t="s">
        <v>210</v>
      </c>
      <c r="S637" s="89" t="s">
        <v>210</v>
      </c>
      <c r="T637" s="89">
        <v>3</v>
      </c>
      <c r="U637" s="89">
        <v>-1</v>
      </c>
      <c r="V637" s="89" t="s">
        <v>210</v>
      </c>
      <c r="W637" s="89" t="s">
        <v>210</v>
      </c>
      <c r="X637" s="89">
        <v>2</v>
      </c>
      <c r="Y637" s="89">
        <v>-4</v>
      </c>
      <c r="Z637" s="89" t="s">
        <v>210</v>
      </c>
      <c r="AA637" s="89" t="s">
        <v>210</v>
      </c>
      <c r="AB637" s="89"/>
      <c r="AC637" s="89"/>
      <c r="AD637" s="89"/>
      <c r="AE637" s="89"/>
      <c r="AF637" s="89"/>
      <c r="AG637" s="89"/>
      <c r="AH637" s="89"/>
      <c r="AI637" s="89"/>
      <c r="AJ637" s="89"/>
      <c r="AK637" s="89"/>
      <c r="AL637" s="89"/>
      <c r="AM637" s="89"/>
      <c r="AN637" s="89"/>
      <c r="AO637" s="89"/>
      <c r="AP637" s="89"/>
      <c r="AQ637" s="89"/>
      <c r="AR637" s="89"/>
      <c r="AS637" s="89"/>
      <c r="AT637" s="89"/>
      <c r="AU637" s="89"/>
      <c r="AV637" s="89"/>
      <c r="AW637" s="89"/>
      <c r="AX637" s="89"/>
      <c r="AY637" s="89"/>
      <c r="AZ637" s="89"/>
      <c r="BA637" s="95"/>
    </row>
    <row r="638" spans="1:53" s="87" customFormat="1">
      <c r="A638" s="374" t="str">
        <f t="shared" si="57"/>
        <v/>
      </c>
      <c r="B638" s="89">
        <v>17</v>
      </c>
      <c r="C638" s="89" t="s">
        <v>210</v>
      </c>
      <c r="D638" s="89">
        <v>3</v>
      </c>
      <c r="E638" s="89">
        <v>1</v>
      </c>
      <c r="F638" s="89" t="s">
        <v>210</v>
      </c>
      <c r="G638" s="89" t="s">
        <v>210</v>
      </c>
      <c r="H638" s="89">
        <v>-2</v>
      </c>
      <c r="I638" s="89">
        <v>-5</v>
      </c>
      <c r="J638" s="89" t="s">
        <v>210</v>
      </c>
      <c r="K638" s="89" t="s">
        <v>210</v>
      </c>
      <c r="L638" s="89">
        <v>-4</v>
      </c>
      <c r="M638" s="89">
        <v>6</v>
      </c>
      <c r="N638" s="89" t="s">
        <v>210</v>
      </c>
      <c r="O638" s="89" t="s">
        <v>210</v>
      </c>
      <c r="P638" s="89">
        <v>-3</v>
      </c>
      <c r="Q638" s="89">
        <v>-1</v>
      </c>
      <c r="R638" s="89" t="s">
        <v>210</v>
      </c>
      <c r="S638" s="89" t="s">
        <v>210</v>
      </c>
      <c r="T638" s="89">
        <v>2</v>
      </c>
      <c r="U638" s="89">
        <v>-6</v>
      </c>
      <c r="V638" s="89" t="s">
        <v>210</v>
      </c>
      <c r="W638" s="89" t="s">
        <v>210</v>
      </c>
      <c r="X638" s="89">
        <v>5</v>
      </c>
      <c r="Y638" s="89">
        <v>4</v>
      </c>
      <c r="Z638" s="89" t="s">
        <v>210</v>
      </c>
      <c r="AA638" s="89" t="s">
        <v>210</v>
      </c>
      <c r="AB638" s="89"/>
      <c r="AC638" s="89"/>
      <c r="AD638" s="89"/>
      <c r="AE638" s="89"/>
      <c r="AF638" s="89"/>
      <c r="AG638" s="89"/>
      <c r="AH638" s="89"/>
      <c r="AI638" s="89"/>
      <c r="AJ638" s="89"/>
      <c r="AK638" s="89"/>
      <c r="AL638" s="89"/>
      <c r="AM638" s="89"/>
      <c r="AN638" s="89"/>
      <c r="AO638" s="89"/>
      <c r="AP638" s="89"/>
      <c r="AQ638" s="89"/>
      <c r="AR638" s="89"/>
      <c r="AS638" s="89"/>
      <c r="AT638" s="89"/>
      <c r="AU638" s="89"/>
      <c r="AV638" s="89"/>
      <c r="AW638" s="89"/>
      <c r="AX638" s="89"/>
      <c r="AY638" s="89"/>
      <c r="AZ638" s="89"/>
      <c r="BA638" s="95"/>
    </row>
    <row r="639" spans="1:53" s="87" customFormat="1">
      <c r="A639" s="374" t="str">
        <f t="shared" si="57"/>
        <v/>
      </c>
      <c r="B639" s="89">
        <v>18</v>
      </c>
      <c r="C639" s="89" t="s">
        <v>210</v>
      </c>
      <c r="D639" s="89">
        <v>-1</v>
      </c>
      <c r="E639" s="89">
        <v>3</v>
      </c>
      <c r="F639" s="89" t="s">
        <v>210</v>
      </c>
      <c r="G639" s="89" t="s">
        <v>210</v>
      </c>
      <c r="H639" s="89">
        <v>6</v>
      </c>
      <c r="I639" s="89">
        <v>-2</v>
      </c>
      <c r="J639" s="89" t="s">
        <v>210</v>
      </c>
      <c r="K639" s="89" t="s">
        <v>210</v>
      </c>
      <c r="L639" s="89">
        <v>4</v>
      </c>
      <c r="M639" s="89">
        <v>5</v>
      </c>
      <c r="N639" s="89" t="s">
        <v>210</v>
      </c>
      <c r="O639" s="89" t="s">
        <v>210</v>
      </c>
      <c r="P639" s="89">
        <v>-6</v>
      </c>
      <c r="Q639" s="89">
        <v>-3</v>
      </c>
      <c r="R639" s="89" t="s">
        <v>210</v>
      </c>
      <c r="S639" s="89" t="s">
        <v>210</v>
      </c>
      <c r="T639" s="89">
        <v>-5</v>
      </c>
      <c r="U639" s="89">
        <v>-4</v>
      </c>
      <c r="V639" s="89" t="s">
        <v>210</v>
      </c>
      <c r="W639" s="89" t="s">
        <v>210</v>
      </c>
      <c r="X639" s="89">
        <v>1</v>
      </c>
      <c r="Y639" s="89">
        <v>2</v>
      </c>
      <c r="Z639" s="89" t="s">
        <v>210</v>
      </c>
      <c r="AA639" s="89" t="s">
        <v>210</v>
      </c>
      <c r="AB639" s="89"/>
      <c r="AC639" s="89"/>
      <c r="AD639" s="89"/>
      <c r="AE639" s="89"/>
      <c r="AF639" s="89"/>
      <c r="AG639" s="89"/>
      <c r="AH639" s="89"/>
      <c r="AI639" s="89"/>
      <c r="AJ639" s="89"/>
      <c r="AK639" s="89"/>
      <c r="AL639" s="89"/>
      <c r="AM639" s="89"/>
      <c r="AN639" s="89"/>
      <c r="AO639" s="89"/>
      <c r="AP639" s="89"/>
      <c r="AQ639" s="89"/>
      <c r="AR639" s="89"/>
      <c r="AS639" s="89"/>
      <c r="AT639" s="89"/>
      <c r="AU639" s="89"/>
      <c r="AV639" s="89"/>
      <c r="AW639" s="89"/>
      <c r="AX639" s="89"/>
      <c r="AY639" s="89"/>
      <c r="AZ639" s="89"/>
      <c r="BA639" s="95"/>
    </row>
    <row r="640" spans="1:53" s="87" customFormat="1">
      <c r="A640" s="374" t="str">
        <f t="shared" si="57"/>
        <v/>
      </c>
      <c r="B640" s="89">
        <v>19</v>
      </c>
      <c r="C640" s="89" t="s">
        <v>210</v>
      </c>
      <c r="D640" s="89">
        <v>-5</v>
      </c>
      <c r="E640" s="89">
        <v>-1</v>
      </c>
      <c r="F640" s="89" t="s">
        <v>210</v>
      </c>
      <c r="G640" s="89" t="s">
        <v>210</v>
      </c>
      <c r="H640" s="89">
        <v>-3</v>
      </c>
      <c r="I640" s="89">
        <v>4</v>
      </c>
      <c r="J640" s="89" t="s">
        <v>210</v>
      </c>
      <c r="K640" s="89" t="s">
        <v>210</v>
      </c>
      <c r="L640" s="89">
        <v>-6</v>
      </c>
      <c r="M640" s="89">
        <v>2</v>
      </c>
      <c r="N640" s="89" t="s">
        <v>210</v>
      </c>
      <c r="O640" s="89" t="s">
        <v>210</v>
      </c>
      <c r="P640" s="89">
        <v>5</v>
      </c>
      <c r="Q640" s="89">
        <v>-4</v>
      </c>
      <c r="R640" s="89" t="s">
        <v>210</v>
      </c>
      <c r="S640" s="89" t="s">
        <v>210</v>
      </c>
      <c r="T640" s="89">
        <v>1</v>
      </c>
      <c r="U640" s="89">
        <v>3</v>
      </c>
      <c r="V640" s="89" t="s">
        <v>210</v>
      </c>
      <c r="W640" s="89" t="s">
        <v>210</v>
      </c>
      <c r="X640" s="89">
        <v>6</v>
      </c>
      <c r="Y640" s="89">
        <v>-2</v>
      </c>
      <c r="Z640" s="89" t="s">
        <v>210</v>
      </c>
      <c r="AA640" s="89" t="s">
        <v>210</v>
      </c>
      <c r="AB640" s="89"/>
      <c r="AC640" s="89"/>
      <c r="AD640" s="89"/>
      <c r="AE640" s="89"/>
      <c r="AF640" s="89"/>
      <c r="AG640" s="89"/>
      <c r="AH640" s="89"/>
      <c r="AI640" s="89"/>
      <c r="AJ640" s="89"/>
      <c r="AK640" s="89"/>
      <c r="AL640" s="89"/>
      <c r="AM640" s="89"/>
      <c r="AN640" s="89"/>
      <c r="AO640" s="89"/>
      <c r="AP640" s="89"/>
      <c r="AQ640" s="89"/>
      <c r="AR640" s="89"/>
      <c r="AS640" s="89"/>
      <c r="AT640" s="89"/>
      <c r="AU640" s="89"/>
      <c r="AV640" s="89"/>
      <c r="AW640" s="89"/>
      <c r="AX640" s="89"/>
      <c r="AY640" s="89"/>
      <c r="AZ640" s="89"/>
      <c r="BA640" s="95"/>
    </row>
    <row r="641" spans="1:53" s="87" customFormat="1">
      <c r="A641" s="374" t="str">
        <f t="shared" si="57"/>
        <v/>
      </c>
      <c r="B641" s="89">
        <v>20</v>
      </c>
      <c r="C641" s="89" t="s">
        <v>210</v>
      </c>
      <c r="D641" s="89">
        <v>6</v>
      </c>
      <c r="E641" s="89">
        <v>-2</v>
      </c>
      <c r="F641" s="89" t="s">
        <v>210</v>
      </c>
      <c r="G641" s="89" t="s">
        <v>210</v>
      </c>
      <c r="H641" s="89">
        <v>5</v>
      </c>
      <c r="I641" s="89">
        <v>-1</v>
      </c>
      <c r="J641" s="89" t="s">
        <v>210</v>
      </c>
      <c r="K641" s="89" t="s">
        <v>210</v>
      </c>
      <c r="L641" s="89">
        <v>3</v>
      </c>
      <c r="M641" s="89">
        <v>-4</v>
      </c>
      <c r="N641" s="89" t="s">
        <v>210</v>
      </c>
      <c r="O641" s="89" t="s">
        <v>210</v>
      </c>
      <c r="P641" s="89">
        <v>2</v>
      </c>
      <c r="Q641" s="89">
        <v>1</v>
      </c>
      <c r="R641" s="89" t="s">
        <v>210</v>
      </c>
      <c r="S641" s="89" t="s">
        <v>210</v>
      </c>
      <c r="T641" s="89">
        <v>-3</v>
      </c>
      <c r="U641" s="89">
        <v>4</v>
      </c>
      <c r="V641" s="89" t="s">
        <v>210</v>
      </c>
      <c r="W641" s="89" t="s">
        <v>210</v>
      </c>
      <c r="X641" s="89">
        <v>-6</v>
      </c>
      <c r="Y641" s="89">
        <v>-5</v>
      </c>
      <c r="Z641" s="89" t="s">
        <v>210</v>
      </c>
      <c r="AA641" s="89" t="s">
        <v>210</v>
      </c>
      <c r="AB641" s="89"/>
      <c r="AC641" s="89"/>
      <c r="AD641" s="89"/>
      <c r="AE641" s="89"/>
      <c r="AF641" s="89"/>
      <c r="AG641" s="89"/>
      <c r="AH641" s="89"/>
      <c r="AI641" s="89"/>
      <c r="AJ641" s="89"/>
      <c r="AK641" s="89"/>
      <c r="AL641" s="89"/>
      <c r="AM641" s="89"/>
      <c r="AN641" s="89"/>
      <c r="AO641" s="89"/>
      <c r="AP641" s="89"/>
      <c r="AQ641" s="89"/>
      <c r="AR641" s="89"/>
      <c r="AS641" s="89"/>
      <c r="AT641" s="89"/>
      <c r="AU641" s="89"/>
      <c r="AV641" s="89"/>
      <c r="AW641" s="89"/>
      <c r="AX641" s="89"/>
      <c r="AY641" s="89"/>
      <c r="AZ641" s="89"/>
      <c r="BA641" s="95"/>
    </row>
    <row r="642" spans="1:53" s="87" customFormat="1">
      <c r="A642" s="374" t="str">
        <f t="shared" si="57"/>
        <v/>
      </c>
      <c r="B642" s="89">
        <v>21</v>
      </c>
      <c r="C642" s="89" t="s">
        <v>210</v>
      </c>
      <c r="D642" s="89">
        <v>2</v>
      </c>
      <c r="E642" s="89">
        <v>4</v>
      </c>
      <c r="F642" s="89" t="s">
        <v>210</v>
      </c>
      <c r="G642" s="89" t="s">
        <v>210</v>
      </c>
      <c r="H642" s="89">
        <v>1</v>
      </c>
      <c r="I642" s="89">
        <v>3</v>
      </c>
      <c r="J642" s="89" t="s">
        <v>210</v>
      </c>
      <c r="K642" s="89" t="s">
        <v>210</v>
      </c>
      <c r="L642" s="89">
        <v>-5</v>
      </c>
      <c r="M642" s="89">
        <v>-6</v>
      </c>
      <c r="N642" s="89" t="s">
        <v>210</v>
      </c>
      <c r="O642" s="89" t="s">
        <v>210</v>
      </c>
      <c r="P642" s="89">
        <v>-4</v>
      </c>
      <c r="Q642" s="89">
        <v>-2</v>
      </c>
      <c r="R642" s="89" t="s">
        <v>210</v>
      </c>
      <c r="S642" s="89" t="s">
        <v>210</v>
      </c>
      <c r="T642" s="89">
        <v>6</v>
      </c>
      <c r="U642" s="89">
        <v>-3</v>
      </c>
      <c r="V642" s="89" t="s">
        <v>210</v>
      </c>
      <c r="W642" s="89" t="s">
        <v>210</v>
      </c>
      <c r="X642" s="89">
        <v>-1</v>
      </c>
      <c r="Y642" s="89">
        <v>5</v>
      </c>
      <c r="Z642" s="89" t="s">
        <v>210</v>
      </c>
      <c r="AA642" s="89" t="s">
        <v>210</v>
      </c>
      <c r="AB642" s="89"/>
      <c r="AC642" s="89"/>
      <c r="AD642" s="89"/>
      <c r="AE642" s="89"/>
      <c r="AF642" s="89"/>
      <c r="AG642" s="89"/>
      <c r="AH642" s="89"/>
      <c r="AI642" s="89"/>
      <c r="AJ642" s="89"/>
      <c r="AK642" s="89"/>
      <c r="AL642" s="89"/>
      <c r="AM642" s="89"/>
      <c r="AN642" s="89"/>
      <c r="AO642" s="89"/>
      <c r="AP642" s="89"/>
      <c r="AQ642" s="89"/>
      <c r="AR642" s="89"/>
      <c r="AS642" s="89"/>
      <c r="AT642" s="89"/>
      <c r="AU642" s="89"/>
      <c r="AV642" s="89"/>
      <c r="AW642" s="89"/>
      <c r="AX642" s="89"/>
      <c r="AY642" s="89"/>
      <c r="AZ642" s="89"/>
      <c r="BA642" s="95"/>
    </row>
    <row r="643" spans="1:53" s="87" customFormat="1">
      <c r="A643" s="374" t="str">
        <f t="shared" si="57"/>
        <v/>
      </c>
      <c r="B643" s="89">
        <v>22</v>
      </c>
      <c r="C643" s="89" t="s">
        <v>210</v>
      </c>
      <c r="D643" s="89">
        <v>4</v>
      </c>
      <c r="E643" s="89">
        <v>5</v>
      </c>
      <c r="F643" s="89" t="s">
        <v>210</v>
      </c>
      <c r="G643" s="89" t="s">
        <v>210</v>
      </c>
      <c r="H643" s="89">
        <v>2</v>
      </c>
      <c r="I643" s="89">
        <v>6</v>
      </c>
      <c r="J643" s="89" t="s">
        <v>210</v>
      </c>
      <c r="K643" s="89" t="s">
        <v>210</v>
      </c>
      <c r="L643" s="89">
        <v>-3</v>
      </c>
      <c r="M643" s="89">
        <v>1</v>
      </c>
      <c r="N643" s="89" t="s">
        <v>210</v>
      </c>
      <c r="O643" s="89" t="s">
        <v>210</v>
      </c>
      <c r="P643" s="89">
        <v>-5</v>
      </c>
      <c r="Q643" s="89">
        <v>3</v>
      </c>
      <c r="R643" s="89" t="s">
        <v>210</v>
      </c>
      <c r="S643" s="89" t="s">
        <v>210</v>
      </c>
      <c r="T643" s="89">
        <v>-6</v>
      </c>
      <c r="U643" s="89">
        <v>-2</v>
      </c>
      <c r="V643" s="89" t="s">
        <v>210</v>
      </c>
      <c r="W643" s="89" t="s">
        <v>210</v>
      </c>
      <c r="X643" s="89">
        <v>-4</v>
      </c>
      <c r="Y643" s="89">
        <v>-1</v>
      </c>
      <c r="Z643" s="89" t="s">
        <v>210</v>
      </c>
      <c r="AA643" s="89" t="s">
        <v>210</v>
      </c>
      <c r="AB643" s="89"/>
      <c r="AC643" s="89"/>
      <c r="AD643" s="89"/>
      <c r="AE643" s="89"/>
      <c r="AF643" s="89"/>
      <c r="AG643" s="89"/>
      <c r="AH643" s="89"/>
      <c r="AI643" s="89"/>
      <c r="AJ643" s="89"/>
      <c r="AK643" s="89"/>
      <c r="AL643" s="89"/>
      <c r="AM643" s="89"/>
      <c r="AN643" s="89"/>
      <c r="AO643" s="89"/>
      <c r="AP643" s="89"/>
      <c r="AQ643" s="89"/>
      <c r="AR643" s="89"/>
      <c r="AS643" s="89"/>
      <c r="AT643" s="89"/>
      <c r="AU643" s="89"/>
      <c r="AV643" s="89"/>
      <c r="AW643" s="89"/>
      <c r="AX643" s="89"/>
      <c r="AY643" s="89"/>
      <c r="AZ643" s="89"/>
      <c r="BA643" s="95"/>
    </row>
    <row r="644" spans="1:53" s="87" customFormat="1">
      <c r="A644" s="374" t="str">
        <f t="shared" si="57"/>
        <v/>
      </c>
      <c r="B644" s="89">
        <v>23</v>
      </c>
      <c r="C644" s="89" t="s">
        <v>210</v>
      </c>
      <c r="D644" s="89">
        <v>5</v>
      </c>
      <c r="E644" s="89">
        <v>2</v>
      </c>
      <c r="F644" s="89" t="s">
        <v>210</v>
      </c>
      <c r="G644" s="89" t="s">
        <v>210</v>
      </c>
      <c r="H644" s="89">
        <v>-6</v>
      </c>
      <c r="I644" s="89">
        <v>-4</v>
      </c>
      <c r="J644" s="89" t="s">
        <v>210</v>
      </c>
      <c r="K644" s="89" t="s">
        <v>210</v>
      </c>
      <c r="L644" s="89">
        <v>-1</v>
      </c>
      <c r="M644" s="89">
        <v>3</v>
      </c>
      <c r="N644" s="89" t="s">
        <v>210</v>
      </c>
      <c r="O644" s="89" t="s">
        <v>210</v>
      </c>
      <c r="P644" s="89">
        <v>4</v>
      </c>
      <c r="Q644" s="89">
        <v>6</v>
      </c>
      <c r="R644" s="89" t="s">
        <v>210</v>
      </c>
      <c r="S644" s="89" t="s">
        <v>210</v>
      </c>
      <c r="T644" s="89">
        <v>-2</v>
      </c>
      <c r="U644" s="89">
        <v>-5</v>
      </c>
      <c r="V644" s="89" t="s">
        <v>210</v>
      </c>
      <c r="W644" s="89" t="s">
        <v>210</v>
      </c>
      <c r="X644" s="89">
        <v>-3</v>
      </c>
      <c r="Y644" s="89">
        <v>1</v>
      </c>
      <c r="Z644" s="89" t="s">
        <v>210</v>
      </c>
      <c r="AA644" s="89" t="s">
        <v>210</v>
      </c>
      <c r="AB644" s="89"/>
      <c r="AC644" s="89"/>
      <c r="AD644" s="89"/>
      <c r="AE644" s="89"/>
      <c r="AF644" s="89"/>
      <c r="AG644" s="89"/>
      <c r="AH644" s="89"/>
      <c r="AI644" s="89"/>
      <c r="AJ644" s="89"/>
      <c r="AK644" s="89"/>
      <c r="AL644" s="89"/>
      <c r="AM644" s="89"/>
      <c r="AN644" s="89"/>
      <c r="AO644" s="89"/>
      <c r="AP644" s="89"/>
      <c r="AQ644" s="89"/>
      <c r="AR644" s="89"/>
      <c r="AS644" s="89"/>
      <c r="AT644" s="89"/>
      <c r="AU644" s="89"/>
      <c r="AV644" s="89"/>
      <c r="AW644" s="89"/>
      <c r="AX644" s="89"/>
      <c r="AY644" s="89"/>
      <c r="AZ644" s="89"/>
      <c r="BA644" s="95"/>
    </row>
    <row r="645" spans="1:53" s="87" customFormat="1">
      <c r="A645" s="374" t="str">
        <f t="shared" si="57"/>
        <v/>
      </c>
      <c r="B645" s="89">
        <v>24</v>
      </c>
      <c r="C645" s="89" t="s">
        <v>210</v>
      </c>
      <c r="D645" s="89">
        <v>-3</v>
      </c>
      <c r="E645" s="89">
        <v>-6</v>
      </c>
      <c r="F645" s="89" t="s">
        <v>210</v>
      </c>
      <c r="G645" s="89" t="s">
        <v>210</v>
      </c>
      <c r="H645" s="89">
        <v>-4</v>
      </c>
      <c r="I645" s="89">
        <v>1</v>
      </c>
      <c r="J645" s="89" t="s">
        <v>210</v>
      </c>
      <c r="K645" s="89" t="s">
        <v>210</v>
      </c>
      <c r="L645" s="89">
        <v>-2</v>
      </c>
      <c r="M645" s="89">
        <v>-5</v>
      </c>
      <c r="N645" s="89" t="s">
        <v>210</v>
      </c>
      <c r="O645" s="89" t="s">
        <v>210</v>
      </c>
      <c r="P645" s="89">
        <v>3</v>
      </c>
      <c r="Q645" s="89">
        <v>2</v>
      </c>
      <c r="R645" s="89" t="s">
        <v>210</v>
      </c>
      <c r="S645" s="89" t="s">
        <v>210</v>
      </c>
      <c r="T645" s="89">
        <v>-1</v>
      </c>
      <c r="U645" s="89">
        <v>5</v>
      </c>
      <c r="V645" s="89" t="s">
        <v>210</v>
      </c>
      <c r="W645" s="89" t="s">
        <v>210</v>
      </c>
      <c r="X645" s="89">
        <v>4</v>
      </c>
      <c r="Y645" s="89">
        <v>6</v>
      </c>
      <c r="Z645" s="89" t="s">
        <v>210</v>
      </c>
      <c r="AA645" s="89" t="s">
        <v>210</v>
      </c>
      <c r="AB645" s="89"/>
      <c r="AC645" s="89"/>
      <c r="AD645" s="89"/>
      <c r="AE645" s="89"/>
      <c r="AF645" s="89"/>
      <c r="AG645" s="89"/>
      <c r="AH645" s="89"/>
      <c r="AI645" s="89"/>
      <c r="AJ645" s="89"/>
      <c r="AK645" s="89"/>
      <c r="AL645" s="89"/>
      <c r="AM645" s="89"/>
      <c r="AN645" s="89"/>
      <c r="AO645" s="89"/>
      <c r="AP645" s="89"/>
      <c r="AQ645" s="89"/>
      <c r="AR645" s="89"/>
      <c r="AS645" s="89"/>
      <c r="AT645" s="89"/>
      <c r="AU645" s="89"/>
      <c r="AV645" s="89"/>
      <c r="AW645" s="89"/>
      <c r="AX645" s="89"/>
      <c r="AY645" s="89"/>
      <c r="AZ645" s="89"/>
      <c r="BA645" s="95"/>
    </row>
    <row r="646" spans="1:53" s="87" customFormat="1">
      <c r="A646" s="374" t="str">
        <f t="shared" si="57"/>
        <v/>
      </c>
      <c r="B646" s="89">
        <v>25</v>
      </c>
      <c r="C646" s="89" t="s">
        <v>210</v>
      </c>
      <c r="D646" s="89">
        <v>-2</v>
      </c>
      <c r="E646" s="89">
        <v>-3</v>
      </c>
      <c r="F646" s="89" t="s">
        <v>210</v>
      </c>
      <c r="G646" s="89" t="s">
        <v>210</v>
      </c>
      <c r="H646" s="89">
        <v>-1</v>
      </c>
      <c r="I646" s="89">
        <v>5</v>
      </c>
      <c r="J646" s="89" t="s">
        <v>210</v>
      </c>
      <c r="K646" s="89" t="s">
        <v>210</v>
      </c>
      <c r="L646" s="89">
        <v>6</v>
      </c>
      <c r="M646" s="89">
        <v>4</v>
      </c>
      <c r="N646" s="89" t="s">
        <v>210</v>
      </c>
      <c r="O646" s="89" t="s">
        <v>210</v>
      </c>
      <c r="P646" s="89">
        <v>1</v>
      </c>
      <c r="Q646" s="89">
        <v>-5</v>
      </c>
      <c r="R646" s="89" t="s">
        <v>210</v>
      </c>
      <c r="S646" s="89" t="s">
        <v>210</v>
      </c>
      <c r="T646" s="89">
        <v>-4</v>
      </c>
      <c r="U646" s="89">
        <v>2</v>
      </c>
      <c r="V646" s="89" t="s">
        <v>210</v>
      </c>
      <c r="W646" s="89" t="s">
        <v>210</v>
      </c>
      <c r="X646" s="89">
        <v>3</v>
      </c>
      <c r="Y646" s="89">
        <v>-6</v>
      </c>
      <c r="Z646" s="89" t="s">
        <v>210</v>
      </c>
      <c r="AA646" s="89" t="s">
        <v>210</v>
      </c>
      <c r="AB646" s="89"/>
      <c r="AC646" s="89"/>
      <c r="AD646" s="89"/>
      <c r="AE646" s="89"/>
      <c r="AF646" s="89"/>
      <c r="AG646" s="89"/>
      <c r="AH646" s="89"/>
      <c r="AI646" s="89"/>
      <c r="AJ646" s="89"/>
      <c r="AK646" s="89"/>
      <c r="AL646" s="89"/>
      <c r="AM646" s="89"/>
      <c r="AN646" s="89"/>
      <c r="AO646" s="89"/>
      <c r="AP646" s="89"/>
      <c r="AQ646" s="89"/>
      <c r="AR646" s="89"/>
      <c r="AS646" s="89"/>
      <c r="AT646" s="89"/>
      <c r="AU646" s="89"/>
      <c r="AV646" s="89"/>
      <c r="AW646" s="89"/>
      <c r="AX646" s="89"/>
      <c r="AY646" s="89"/>
      <c r="AZ646" s="89"/>
      <c r="BA646" s="95"/>
    </row>
    <row r="647" spans="1:53" s="87" customFormat="1">
      <c r="A647" s="374" t="str">
        <f t="shared" si="57"/>
        <v/>
      </c>
      <c r="B647" s="89" t="s">
        <v>383</v>
      </c>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c r="AA647" s="89"/>
      <c r="AB647" s="89"/>
      <c r="AC647" s="89"/>
      <c r="AD647" s="89"/>
      <c r="AE647" s="89"/>
      <c r="AF647" s="89"/>
      <c r="AG647" s="89"/>
      <c r="AH647" s="89"/>
      <c r="AI647" s="89"/>
      <c r="AJ647" s="89"/>
      <c r="AK647" s="89"/>
      <c r="AL647" s="89"/>
      <c r="AM647" s="89"/>
      <c r="AN647" s="89"/>
      <c r="AO647" s="89"/>
      <c r="AP647" s="89"/>
      <c r="AQ647" s="89"/>
      <c r="AR647" s="89"/>
      <c r="AS647" s="89"/>
      <c r="AT647" s="89"/>
      <c r="AU647" s="89"/>
      <c r="AV647" s="89"/>
      <c r="AW647" s="89"/>
      <c r="AX647" s="89"/>
      <c r="AY647" s="89"/>
      <c r="AZ647" s="89"/>
      <c r="BA647" s="95"/>
    </row>
    <row r="648" spans="1:53" s="87" customFormat="1">
      <c r="A648" s="374">
        <f t="shared" si="57"/>
        <v>648</v>
      </c>
      <c r="B648" s="89" t="s">
        <v>384</v>
      </c>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c r="AA648" s="89"/>
      <c r="AB648" s="89"/>
      <c r="AC648" s="89"/>
      <c r="AD648" s="89"/>
      <c r="AE648" s="89"/>
      <c r="AF648" s="89"/>
      <c r="AG648" s="89"/>
      <c r="AH648" s="89"/>
      <c r="AI648" s="89"/>
      <c r="AJ648" s="89"/>
      <c r="AK648" s="89"/>
      <c r="AL648" s="89"/>
      <c r="AM648" s="89"/>
      <c r="AN648" s="89"/>
      <c r="AO648" s="89"/>
      <c r="AP648" s="89"/>
      <c r="AQ648" s="89"/>
      <c r="AR648" s="89"/>
      <c r="AS648" s="89"/>
      <c r="AT648" s="89"/>
      <c r="AU648" s="89"/>
      <c r="AV648" s="89"/>
      <c r="AW648" s="89"/>
      <c r="AX648" s="89"/>
      <c r="AY648" s="89"/>
      <c r="AZ648" s="89"/>
      <c r="BA648" s="95"/>
    </row>
    <row r="649" spans="1:53" s="87" customFormat="1">
      <c r="A649" s="374" t="str">
        <f t="shared" si="57"/>
        <v/>
      </c>
      <c r="B649" s="89">
        <v>1</v>
      </c>
      <c r="C649" s="89" t="s">
        <v>202</v>
      </c>
      <c r="D649" s="89" t="s">
        <v>210</v>
      </c>
      <c r="E649" s="89">
        <v>1</v>
      </c>
      <c r="F649" s="89" t="s">
        <v>210</v>
      </c>
      <c r="G649" s="89" t="s">
        <v>210</v>
      </c>
      <c r="H649" s="89">
        <v>2</v>
      </c>
      <c r="I649" s="89">
        <v>-4</v>
      </c>
      <c r="J649" s="89" t="s">
        <v>210</v>
      </c>
      <c r="K649" s="89" t="s">
        <v>210</v>
      </c>
      <c r="L649" s="89">
        <v>-3</v>
      </c>
      <c r="M649" s="89">
        <v>-2</v>
      </c>
      <c r="N649" s="89" t="s">
        <v>210</v>
      </c>
      <c r="O649" s="89" t="s">
        <v>210</v>
      </c>
      <c r="P649" s="89">
        <v>4</v>
      </c>
      <c r="Q649" s="89">
        <v>-6</v>
      </c>
      <c r="R649" s="89" t="s">
        <v>210</v>
      </c>
      <c r="S649" s="89">
        <v>3</v>
      </c>
      <c r="T649" s="89"/>
      <c r="U649" s="89"/>
      <c r="V649" s="89"/>
      <c r="W649" s="89"/>
      <c r="X649" s="89"/>
      <c r="Y649" s="89"/>
      <c r="Z649" s="89"/>
      <c r="AA649" s="89"/>
      <c r="AB649" s="89"/>
      <c r="AC649" s="89"/>
      <c r="AD649" s="89"/>
      <c r="AE649" s="89"/>
      <c r="AF649" s="89"/>
      <c r="AG649" s="89"/>
      <c r="AH649" s="89"/>
      <c r="AI649" s="89"/>
      <c r="AJ649" s="89"/>
      <c r="AK649" s="89"/>
      <c r="AL649" s="89"/>
      <c r="AM649" s="89"/>
      <c r="AN649" s="89"/>
      <c r="AO649" s="89"/>
      <c r="AP649" s="89"/>
      <c r="AQ649" s="89"/>
      <c r="AR649" s="89"/>
      <c r="AS649" s="89"/>
      <c r="AT649" s="89"/>
      <c r="AU649" s="89"/>
      <c r="AV649" s="89"/>
      <c r="AW649" s="89"/>
      <c r="AX649" s="89"/>
      <c r="AY649" s="89"/>
      <c r="AZ649" s="89"/>
      <c r="BA649" s="95"/>
    </row>
    <row r="650" spans="1:53" s="87" customFormat="1">
      <c r="A650" s="374" t="str">
        <f t="shared" si="57"/>
        <v/>
      </c>
      <c r="B650" s="89">
        <v>2</v>
      </c>
      <c r="C650" s="89" t="s">
        <v>210</v>
      </c>
      <c r="D650" s="89">
        <v>3</v>
      </c>
      <c r="E650" s="89" t="s">
        <v>202</v>
      </c>
      <c r="F650" s="89" t="s">
        <v>210</v>
      </c>
      <c r="G650" s="89" t="s">
        <v>210</v>
      </c>
      <c r="H650" s="89">
        <v>-5</v>
      </c>
      <c r="I650" s="89">
        <v>6</v>
      </c>
      <c r="J650" s="89" t="s">
        <v>210</v>
      </c>
      <c r="K650" s="89" t="s">
        <v>210</v>
      </c>
      <c r="L650" s="89">
        <v>4</v>
      </c>
      <c r="M650" s="89">
        <v>-1</v>
      </c>
      <c r="N650" s="89" t="s">
        <v>210</v>
      </c>
      <c r="O650" s="89" t="s">
        <v>210</v>
      </c>
      <c r="P650" s="89">
        <v>5</v>
      </c>
      <c r="Q650" s="89">
        <v>-2</v>
      </c>
      <c r="R650" s="89" t="s">
        <v>210</v>
      </c>
      <c r="S650" s="89">
        <v>-3</v>
      </c>
      <c r="T650" s="89"/>
      <c r="U650" s="89"/>
      <c r="V650" s="89"/>
      <c r="W650" s="89"/>
      <c r="X650" s="89"/>
      <c r="Y650" s="89"/>
      <c r="Z650" s="89"/>
      <c r="AA650" s="89"/>
      <c r="AB650" s="89"/>
      <c r="AC650" s="89"/>
      <c r="AD650" s="89"/>
      <c r="AE650" s="89"/>
      <c r="AF650" s="89"/>
      <c r="AG650" s="89"/>
      <c r="AH650" s="89"/>
      <c r="AI650" s="89"/>
      <c r="AJ650" s="89"/>
      <c r="AK650" s="89"/>
      <c r="AL650" s="89"/>
      <c r="AM650" s="89"/>
      <c r="AN650" s="89"/>
      <c r="AO650" s="89"/>
      <c r="AP650" s="89"/>
      <c r="AQ650" s="89"/>
      <c r="AR650" s="89"/>
      <c r="AS650" s="89"/>
      <c r="AT650" s="89"/>
      <c r="AU650" s="89"/>
      <c r="AV650" s="89"/>
      <c r="AW650" s="89"/>
      <c r="AX650" s="89"/>
      <c r="AY650" s="89"/>
      <c r="AZ650" s="89"/>
      <c r="BA650" s="95"/>
    </row>
    <row r="651" spans="1:53" s="87" customFormat="1">
      <c r="A651" s="374" t="str">
        <f t="shared" si="57"/>
        <v/>
      </c>
      <c r="B651" s="89">
        <v>3</v>
      </c>
      <c r="C651" s="89" t="s">
        <v>210</v>
      </c>
      <c r="D651" s="89">
        <v>5</v>
      </c>
      <c r="E651" s="89">
        <v>-6</v>
      </c>
      <c r="F651" s="89" t="s">
        <v>210</v>
      </c>
      <c r="G651" s="89" t="s">
        <v>210</v>
      </c>
      <c r="H651" s="89">
        <v>-3</v>
      </c>
      <c r="I651" s="89">
        <v>4</v>
      </c>
      <c r="J651" s="89" t="s">
        <v>210</v>
      </c>
      <c r="K651" s="89" t="s">
        <v>202</v>
      </c>
      <c r="L651" s="89" t="s">
        <v>210</v>
      </c>
      <c r="M651" s="89">
        <v>6</v>
      </c>
      <c r="N651" s="89" t="s">
        <v>210</v>
      </c>
      <c r="O651" s="89" t="s">
        <v>210</v>
      </c>
      <c r="P651" s="89">
        <v>-5</v>
      </c>
      <c r="Q651" s="89">
        <v>1</v>
      </c>
      <c r="R651" s="89" t="s">
        <v>210</v>
      </c>
      <c r="S651" s="89">
        <v>-4</v>
      </c>
      <c r="T651" s="89"/>
      <c r="U651" s="89"/>
      <c r="V651" s="89"/>
      <c r="W651" s="89"/>
      <c r="X651" s="89"/>
      <c r="Y651" s="89"/>
      <c r="Z651" s="89"/>
      <c r="AA651" s="89"/>
      <c r="AB651" s="89"/>
      <c r="AC651" s="89"/>
      <c r="AD651" s="89"/>
      <c r="AE651" s="89"/>
      <c r="AF651" s="89"/>
      <c r="AG651" s="89"/>
      <c r="AH651" s="89"/>
      <c r="AI651" s="89"/>
      <c r="AJ651" s="89"/>
      <c r="AK651" s="89"/>
      <c r="AL651" s="89"/>
      <c r="AM651" s="89"/>
      <c r="AN651" s="89"/>
      <c r="AO651" s="89"/>
      <c r="AP651" s="89"/>
      <c r="AQ651" s="89"/>
      <c r="AR651" s="89"/>
      <c r="AS651" s="89"/>
      <c r="AT651" s="89"/>
      <c r="AU651" s="89"/>
      <c r="AV651" s="89"/>
      <c r="AW651" s="89"/>
      <c r="AX651" s="89"/>
      <c r="AY651" s="89"/>
      <c r="AZ651" s="89"/>
      <c r="BA651" s="95"/>
    </row>
    <row r="652" spans="1:53" s="87" customFormat="1">
      <c r="A652" s="374" t="str">
        <f t="shared" ref="A652:A715" si="58">IF(MID(B652,3,2)="06",ROW(),"")</f>
        <v/>
      </c>
      <c r="B652" s="89">
        <v>4</v>
      </c>
      <c r="C652" s="89" t="s">
        <v>210</v>
      </c>
      <c r="D652" s="89">
        <v>-6</v>
      </c>
      <c r="E652" s="89">
        <v>-2</v>
      </c>
      <c r="F652" s="89" t="s">
        <v>210</v>
      </c>
      <c r="G652" s="89" t="s">
        <v>210</v>
      </c>
      <c r="H652" s="89">
        <v>5</v>
      </c>
      <c r="I652" s="89">
        <v>-1</v>
      </c>
      <c r="J652" s="89" t="s">
        <v>210</v>
      </c>
      <c r="K652" s="89" t="s">
        <v>210</v>
      </c>
      <c r="L652" s="89">
        <v>2</v>
      </c>
      <c r="M652" s="89" t="s">
        <v>202</v>
      </c>
      <c r="N652" s="89" t="s">
        <v>210</v>
      </c>
      <c r="O652" s="89" t="s">
        <v>210</v>
      </c>
      <c r="P652" s="89">
        <v>-3</v>
      </c>
      <c r="Q652" s="89">
        <v>6</v>
      </c>
      <c r="R652" s="89" t="s">
        <v>210</v>
      </c>
      <c r="S652" s="89">
        <v>4</v>
      </c>
      <c r="T652" s="89"/>
      <c r="U652" s="89"/>
      <c r="V652" s="89"/>
      <c r="W652" s="89"/>
      <c r="X652" s="89"/>
      <c r="Y652" s="89"/>
      <c r="Z652" s="89"/>
      <c r="AA652" s="89"/>
      <c r="AB652" s="89"/>
      <c r="AC652" s="89"/>
      <c r="AD652" s="89"/>
      <c r="AE652" s="89"/>
      <c r="AF652" s="89"/>
      <c r="AG652" s="89"/>
      <c r="AH652" s="89"/>
      <c r="AI652" s="89"/>
      <c r="AJ652" s="89"/>
      <c r="AK652" s="89"/>
      <c r="AL652" s="89"/>
      <c r="AM652" s="89"/>
      <c r="AN652" s="89"/>
      <c r="AO652" s="89"/>
      <c r="AP652" s="89"/>
      <c r="AQ652" s="89"/>
      <c r="AR652" s="89"/>
      <c r="AS652" s="89"/>
      <c r="AT652" s="89"/>
      <c r="AU652" s="89"/>
      <c r="AV652" s="89"/>
      <c r="AW652" s="89"/>
      <c r="AX652" s="89"/>
      <c r="AY652" s="89"/>
      <c r="AZ652" s="89"/>
      <c r="BA652" s="95"/>
    </row>
    <row r="653" spans="1:53" s="87" customFormat="1">
      <c r="A653" s="374" t="str">
        <f t="shared" si="58"/>
        <v/>
      </c>
      <c r="B653" s="89">
        <v>5</v>
      </c>
      <c r="C653" s="89" t="s">
        <v>210</v>
      </c>
      <c r="D653" s="89">
        <v>6</v>
      </c>
      <c r="E653" s="89">
        <v>5</v>
      </c>
      <c r="F653" s="89" t="s">
        <v>210</v>
      </c>
      <c r="G653" s="89" t="s">
        <v>210</v>
      </c>
      <c r="H653" s="89">
        <v>-4</v>
      </c>
      <c r="I653" s="89">
        <v>-6</v>
      </c>
      <c r="J653" s="89" t="s">
        <v>210</v>
      </c>
      <c r="K653" s="89" t="s">
        <v>210</v>
      </c>
      <c r="L653" s="89">
        <v>3</v>
      </c>
      <c r="M653" s="89">
        <v>4</v>
      </c>
      <c r="N653" s="89" t="s">
        <v>210</v>
      </c>
      <c r="O653" s="89" t="s">
        <v>202</v>
      </c>
      <c r="P653" s="89" t="s">
        <v>210</v>
      </c>
      <c r="Q653" s="89">
        <v>-1</v>
      </c>
      <c r="R653" s="89" t="s">
        <v>210</v>
      </c>
      <c r="S653" s="89">
        <v>-2</v>
      </c>
      <c r="T653" s="89"/>
      <c r="U653" s="89"/>
      <c r="V653" s="89"/>
      <c r="W653" s="89"/>
      <c r="X653" s="89"/>
      <c r="Y653" s="89"/>
      <c r="Z653" s="89"/>
      <c r="AA653" s="89"/>
      <c r="AB653" s="89"/>
      <c r="AC653" s="89"/>
      <c r="AD653" s="89"/>
      <c r="AE653" s="89"/>
      <c r="AF653" s="89"/>
      <c r="AG653" s="89"/>
      <c r="AH653" s="89"/>
      <c r="AI653" s="89"/>
      <c r="AJ653" s="89"/>
      <c r="AK653" s="89"/>
      <c r="AL653" s="89"/>
      <c r="AM653" s="89"/>
      <c r="AN653" s="89"/>
      <c r="AO653" s="89"/>
      <c r="AP653" s="89"/>
      <c r="AQ653" s="89"/>
      <c r="AR653" s="89"/>
      <c r="AS653" s="89"/>
      <c r="AT653" s="89"/>
      <c r="AU653" s="89"/>
      <c r="AV653" s="89"/>
      <c r="AW653" s="89"/>
      <c r="AX653" s="89"/>
      <c r="AY653" s="89"/>
      <c r="AZ653" s="89"/>
      <c r="BA653" s="95"/>
    </row>
    <row r="654" spans="1:53" s="87" customFormat="1">
      <c r="A654" s="374" t="str">
        <f t="shared" si="58"/>
        <v/>
      </c>
      <c r="B654" s="89">
        <v>6</v>
      </c>
      <c r="C654" s="89" t="s">
        <v>210</v>
      </c>
      <c r="D654" s="89">
        <v>-4</v>
      </c>
      <c r="E654" s="89">
        <v>6</v>
      </c>
      <c r="F654" s="89" t="s">
        <v>210</v>
      </c>
      <c r="G654" s="89" t="s">
        <v>210</v>
      </c>
      <c r="H654" s="89">
        <v>-2</v>
      </c>
      <c r="I654" s="89">
        <v>-3</v>
      </c>
      <c r="J654" s="89" t="s">
        <v>210</v>
      </c>
      <c r="K654" s="89" t="s">
        <v>210</v>
      </c>
      <c r="L654" s="89">
        <v>-5</v>
      </c>
      <c r="M654" s="89">
        <v>1</v>
      </c>
      <c r="N654" s="89" t="s">
        <v>210</v>
      </c>
      <c r="O654" s="89" t="s">
        <v>210</v>
      </c>
      <c r="P654" s="89">
        <v>3</v>
      </c>
      <c r="Q654" s="89" t="s">
        <v>202</v>
      </c>
      <c r="R654" s="89" t="s">
        <v>210</v>
      </c>
      <c r="S654" s="89">
        <v>2</v>
      </c>
      <c r="T654" s="89"/>
      <c r="U654" s="89"/>
      <c r="V654" s="89"/>
      <c r="W654" s="89"/>
      <c r="X654" s="89"/>
      <c r="Y654" s="89"/>
      <c r="Z654" s="89"/>
      <c r="AA654" s="89"/>
      <c r="AB654" s="89"/>
      <c r="AC654" s="89"/>
      <c r="AD654" s="89"/>
      <c r="AE654" s="89"/>
      <c r="AF654" s="89"/>
      <c r="AG654" s="89"/>
      <c r="AH654" s="89"/>
      <c r="AI654" s="89"/>
      <c r="AJ654" s="89"/>
      <c r="AK654" s="89"/>
      <c r="AL654" s="89"/>
      <c r="AM654" s="89"/>
      <c r="AN654" s="89"/>
      <c r="AO654" s="89"/>
      <c r="AP654" s="89"/>
      <c r="AQ654" s="89"/>
      <c r="AR654" s="89"/>
      <c r="AS654" s="89"/>
      <c r="AT654" s="89"/>
      <c r="AU654" s="89"/>
      <c r="AV654" s="89"/>
      <c r="AW654" s="89"/>
      <c r="AX654" s="89"/>
      <c r="AY654" s="89"/>
      <c r="AZ654" s="89"/>
      <c r="BA654" s="95"/>
    </row>
    <row r="655" spans="1:53" s="87" customFormat="1">
      <c r="A655" s="374" t="str">
        <f t="shared" si="58"/>
        <v/>
      </c>
      <c r="B655" s="89">
        <v>7</v>
      </c>
      <c r="C655" s="89" t="s">
        <v>210</v>
      </c>
      <c r="D655" s="89">
        <v>-5</v>
      </c>
      <c r="E655" s="89">
        <v>-1</v>
      </c>
      <c r="F655" s="89" t="s">
        <v>210</v>
      </c>
      <c r="G655" s="89" t="s">
        <v>202</v>
      </c>
      <c r="H655" s="89" t="s">
        <v>210</v>
      </c>
      <c r="I655" s="89">
        <v>3</v>
      </c>
      <c r="J655" s="89" t="s">
        <v>210</v>
      </c>
      <c r="K655" s="89" t="s">
        <v>210</v>
      </c>
      <c r="L655" s="89">
        <v>-2</v>
      </c>
      <c r="M655" s="89">
        <v>-4</v>
      </c>
      <c r="N655" s="89" t="s">
        <v>210</v>
      </c>
      <c r="O655" s="89" t="s">
        <v>210</v>
      </c>
      <c r="P655" s="89">
        <v>1</v>
      </c>
      <c r="Q655" s="89">
        <v>2</v>
      </c>
      <c r="R655" s="89" t="s">
        <v>210</v>
      </c>
      <c r="S655" s="89">
        <v>5</v>
      </c>
      <c r="T655" s="89"/>
      <c r="U655" s="89"/>
      <c r="V655" s="89"/>
      <c r="W655" s="89"/>
      <c r="X655" s="89"/>
      <c r="Y655" s="89"/>
      <c r="Z655" s="89"/>
      <c r="AA655" s="89"/>
      <c r="AB655" s="89"/>
      <c r="AC655" s="89"/>
      <c r="AD655" s="89"/>
      <c r="AE655" s="89"/>
      <c r="AF655" s="89"/>
      <c r="AG655" s="89"/>
      <c r="AH655" s="89"/>
      <c r="AI655" s="89"/>
      <c r="AJ655" s="89"/>
      <c r="AK655" s="89"/>
      <c r="AL655" s="89"/>
      <c r="AM655" s="89"/>
      <c r="AN655" s="89"/>
      <c r="AO655" s="89"/>
      <c r="AP655" s="89"/>
      <c r="AQ655" s="89"/>
      <c r="AR655" s="89"/>
      <c r="AS655" s="89"/>
      <c r="AT655" s="89"/>
      <c r="AU655" s="89"/>
      <c r="AV655" s="89"/>
      <c r="AW655" s="89"/>
      <c r="AX655" s="89"/>
      <c r="AY655" s="89"/>
      <c r="AZ655" s="89"/>
      <c r="BA655" s="95"/>
    </row>
    <row r="656" spans="1:53" s="87" customFormat="1">
      <c r="A656" s="374" t="str">
        <f t="shared" si="58"/>
        <v/>
      </c>
      <c r="B656" s="89">
        <v>8</v>
      </c>
      <c r="C656" s="89" t="s">
        <v>210</v>
      </c>
      <c r="D656" s="89">
        <v>-3</v>
      </c>
      <c r="E656" s="89">
        <v>2</v>
      </c>
      <c r="F656" s="89" t="s">
        <v>210</v>
      </c>
      <c r="G656" s="89" t="s">
        <v>210</v>
      </c>
      <c r="H656" s="89">
        <v>4</v>
      </c>
      <c r="I656" s="89" t="s">
        <v>202</v>
      </c>
      <c r="J656" s="89" t="s">
        <v>210</v>
      </c>
      <c r="K656" s="89" t="s">
        <v>210</v>
      </c>
      <c r="L656" s="89">
        <v>5</v>
      </c>
      <c r="M656" s="89">
        <v>-6</v>
      </c>
      <c r="N656" s="89" t="s">
        <v>210</v>
      </c>
      <c r="O656" s="89" t="s">
        <v>210</v>
      </c>
      <c r="P656" s="89">
        <v>-4</v>
      </c>
      <c r="Q656" s="89">
        <v>3</v>
      </c>
      <c r="R656" s="89" t="s">
        <v>210</v>
      </c>
      <c r="S656" s="89">
        <v>-5</v>
      </c>
      <c r="T656" s="89"/>
      <c r="U656" s="89"/>
      <c r="V656" s="89"/>
      <c r="W656" s="89"/>
      <c r="X656" s="89"/>
      <c r="Y656" s="89"/>
      <c r="Z656" s="89"/>
      <c r="AA656" s="89"/>
      <c r="AB656" s="89"/>
      <c r="AC656" s="89"/>
      <c r="AD656" s="89"/>
      <c r="AE656" s="89"/>
      <c r="AF656" s="89"/>
      <c r="AG656" s="89"/>
      <c r="AH656" s="89"/>
      <c r="AI656" s="89"/>
      <c r="AJ656" s="89"/>
      <c r="AK656" s="89"/>
      <c r="AL656" s="89"/>
      <c r="AM656" s="89"/>
      <c r="AN656" s="89"/>
      <c r="AO656" s="89"/>
      <c r="AP656" s="89"/>
      <c r="AQ656" s="89"/>
      <c r="AR656" s="89"/>
      <c r="AS656" s="89"/>
      <c r="AT656" s="89"/>
      <c r="AU656" s="89"/>
      <c r="AV656" s="89"/>
      <c r="AW656" s="89"/>
      <c r="AX656" s="89"/>
      <c r="AY656" s="89"/>
      <c r="AZ656" s="89"/>
      <c r="BA656" s="95"/>
    </row>
    <row r="657" spans="1:53" s="87" customFormat="1">
      <c r="A657" s="374" t="str">
        <f t="shared" si="58"/>
        <v/>
      </c>
      <c r="B657" s="99">
        <v>9</v>
      </c>
      <c r="C657" s="92" t="s">
        <v>210</v>
      </c>
      <c r="D657" s="92">
        <v>4</v>
      </c>
      <c r="E657" s="92">
        <v>-5</v>
      </c>
      <c r="F657" s="92" t="s">
        <v>210</v>
      </c>
      <c r="G657" s="92" t="s">
        <v>210</v>
      </c>
      <c r="H657" s="92">
        <v>3</v>
      </c>
      <c r="I657" s="92">
        <v>1</v>
      </c>
      <c r="J657" s="92" t="s">
        <v>210</v>
      </c>
      <c r="K657" s="92" t="s">
        <v>210</v>
      </c>
      <c r="L657" s="92">
        <v>-4</v>
      </c>
      <c r="M657" s="92">
        <v>2</v>
      </c>
      <c r="N657" s="92" t="s">
        <v>210</v>
      </c>
      <c r="O657" s="92" t="s">
        <v>210</v>
      </c>
      <c r="P657" s="92">
        <v>-1</v>
      </c>
      <c r="Q657" s="92">
        <v>-3</v>
      </c>
      <c r="R657" s="92" t="s">
        <v>210</v>
      </c>
      <c r="S657" s="92" t="s">
        <v>202</v>
      </c>
      <c r="T657" s="89"/>
      <c r="U657" s="89"/>
      <c r="V657" s="89"/>
      <c r="W657" s="89"/>
      <c r="X657" s="89"/>
      <c r="Y657" s="89"/>
      <c r="Z657" s="89"/>
      <c r="AA657" s="89"/>
      <c r="AB657" s="89"/>
      <c r="AC657" s="89"/>
      <c r="AD657" s="89"/>
      <c r="AE657" s="89"/>
      <c r="AF657" s="89"/>
      <c r="AG657" s="89"/>
      <c r="AH657" s="89"/>
      <c r="AI657" s="89"/>
      <c r="AJ657" s="89"/>
      <c r="AK657" s="89"/>
      <c r="AL657" s="89"/>
      <c r="AM657" s="89"/>
      <c r="AN657" s="89"/>
      <c r="AO657" s="89"/>
      <c r="AP657" s="89"/>
      <c r="AQ657" s="89"/>
      <c r="AR657" s="89"/>
      <c r="AS657" s="89"/>
      <c r="AT657" s="89"/>
      <c r="AU657" s="89"/>
      <c r="AV657" s="89"/>
      <c r="AW657" s="89"/>
      <c r="AX657" s="89"/>
      <c r="AY657" s="89"/>
      <c r="AZ657" s="89"/>
      <c r="BA657" s="95"/>
    </row>
    <row r="658" spans="1:53" s="87" customFormat="1">
      <c r="A658" s="374" t="str">
        <f t="shared" si="58"/>
        <v/>
      </c>
      <c r="B658" s="89">
        <v>10</v>
      </c>
      <c r="C658" s="89">
        <v>5</v>
      </c>
      <c r="D658" s="89" t="s">
        <v>210</v>
      </c>
      <c r="E658" s="89">
        <v>3</v>
      </c>
      <c r="F658" s="89" t="s">
        <v>210</v>
      </c>
      <c r="G658" s="89" t="s">
        <v>210</v>
      </c>
      <c r="H658" s="89">
        <v>6</v>
      </c>
      <c r="I658" s="89">
        <v>-5</v>
      </c>
      <c r="J658" s="89" t="s">
        <v>210</v>
      </c>
      <c r="K658" s="89">
        <v>-1</v>
      </c>
      <c r="L658" s="89" t="s">
        <v>210</v>
      </c>
      <c r="M658" s="89" t="s">
        <v>210</v>
      </c>
      <c r="N658" s="89">
        <v>2</v>
      </c>
      <c r="O658" s="89" t="s">
        <v>210</v>
      </c>
      <c r="P658" s="89">
        <v>-6</v>
      </c>
      <c r="Q658" s="89">
        <v>-4</v>
      </c>
      <c r="R658" s="89" t="s">
        <v>210</v>
      </c>
      <c r="S658" s="89" t="s">
        <v>210</v>
      </c>
      <c r="T658" s="89"/>
      <c r="U658" s="89"/>
      <c r="V658" s="89"/>
      <c r="W658" s="89"/>
      <c r="X658" s="89"/>
      <c r="Y658" s="89"/>
      <c r="Z658" s="89"/>
      <c r="AA658" s="89"/>
      <c r="AB658" s="89"/>
      <c r="AC658" s="89"/>
      <c r="AD658" s="89"/>
      <c r="AE658" s="89"/>
      <c r="AF658" s="89"/>
      <c r="AG658" s="89"/>
      <c r="AH658" s="89"/>
      <c r="AI658" s="89"/>
      <c r="AJ658" s="89"/>
      <c r="AK658" s="89"/>
      <c r="AL658" s="89"/>
      <c r="AM658" s="89"/>
      <c r="AN658" s="89"/>
      <c r="AO658" s="89"/>
      <c r="AP658" s="89"/>
      <c r="AQ658" s="89"/>
      <c r="AR658" s="89"/>
      <c r="AS658" s="89"/>
      <c r="AT658" s="89"/>
      <c r="AU658" s="89"/>
      <c r="AV658" s="89"/>
      <c r="AW658" s="89"/>
      <c r="AX658" s="89"/>
      <c r="AY658" s="89"/>
      <c r="AZ658" s="89"/>
      <c r="BA658" s="95"/>
    </row>
    <row r="659" spans="1:53" s="87" customFormat="1">
      <c r="A659" s="374" t="str">
        <f t="shared" si="58"/>
        <v/>
      </c>
      <c r="B659" s="89">
        <v>11</v>
      </c>
      <c r="C659" s="89">
        <v>-6</v>
      </c>
      <c r="D659" s="89" t="s">
        <v>210</v>
      </c>
      <c r="E659" s="89" t="s">
        <v>210</v>
      </c>
      <c r="F659" s="89">
        <v>-3</v>
      </c>
      <c r="G659" s="89">
        <v>-1</v>
      </c>
      <c r="H659" s="89" t="s">
        <v>210</v>
      </c>
      <c r="I659" s="89" t="s">
        <v>210</v>
      </c>
      <c r="J659" s="89">
        <v>2</v>
      </c>
      <c r="K659" s="89" t="s">
        <v>210</v>
      </c>
      <c r="L659" s="89">
        <v>6</v>
      </c>
      <c r="M659" s="89">
        <v>5</v>
      </c>
      <c r="N659" s="89" t="s">
        <v>210</v>
      </c>
      <c r="O659" s="89" t="s">
        <v>210</v>
      </c>
      <c r="P659" s="89">
        <v>-2</v>
      </c>
      <c r="Q659" s="89">
        <v>4</v>
      </c>
      <c r="R659" s="89" t="s">
        <v>210</v>
      </c>
      <c r="S659" s="89" t="s">
        <v>210</v>
      </c>
      <c r="T659" s="89"/>
      <c r="U659" s="89"/>
      <c r="V659" s="89"/>
      <c r="W659" s="89"/>
      <c r="X659" s="89"/>
      <c r="Y659" s="89"/>
      <c r="Z659" s="89"/>
      <c r="AA659" s="89"/>
      <c r="AB659" s="89"/>
      <c r="AC659" s="89"/>
      <c r="AD659" s="89"/>
      <c r="AE659" s="89"/>
      <c r="AF659" s="89"/>
      <c r="AG659" s="89"/>
      <c r="AH659" s="89"/>
      <c r="AI659" s="89"/>
      <c r="AJ659" s="89"/>
      <c r="AK659" s="89"/>
      <c r="AL659" s="89"/>
      <c r="AM659" s="89"/>
      <c r="AN659" s="89"/>
      <c r="AO659" s="89"/>
      <c r="AP659" s="89"/>
      <c r="AQ659" s="89"/>
      <c r="AR659" s="89"/>
      <c r="AS659" s="89"/>
      <c r="AT659" s="89"/>
      <c r="AU659" s="89"/>
      <c r="AV659" s="89"/>
      <c r="AW659" s="89"/>
      <c r="AX659" s="89"/>
      <c r="AY659" s="89"/>
      <c r="AZ659" s="89"/>
      <c r="BA659" s="95"/>
    </row>
    <row r="660" spans="1:53" s="87" customFormat="1">
      <c r="A660" s="374" t="str">
        <f t="shared" si="58"/>
        <v/>
      </c>
      <c r="B660" s="89">
        <v>12</v>
      </c>
      <c r="C660" s="89">
        <v>-4</v>
      </c>
      <c r="D660" s="89" t="s">
        <v>210</v>
      </c>
      <c r="E660" s="89">
        <v>-3</v>
      </c>
      <c r="F660" s="89" t="s">
        <v>210</v>
      </c>
      <c r="G660" s="89" t="s">
        <v>210</v>
      </c>
      <c r="H660" s="89">
        <v>1</v>
      </c>
      <c r="I660" s="89">
        <v>-2</v>
      </c>
      <c r="J660" s="89" t="s">
        <v>210</v>
      </c>
      <c r="K660" s="89">
        <v>-6</v>
      </c>
      <c r="L660" s="89" t="s">
        <v>210</v>
      </c>
      <c r="M660" s="89" t="s">
        <v>210</v>
      </c>
      <c r="N660" s="89">
        <v>3</v>
      </c>
      <c r="O660" s="89" t="s">
        <v>210</v>
      </c>
      <c r="P660" s="89">
        <v>2</v>
      </c>
      <c r="Q660" s="89">
        <v>5</v>
      </c>
      <c r="R660" s="89" t="s">
        <v>210</v>
      </c>
      <c r="S660" s="89" t="s">
        <v>210</v>
      </c>
      <c r="T660" s="89"/>
      <c r="U660" s="89"/>
      <c r="V660" s="89"/>
      <c r="W660" s="89"/>
      <c r="X660" s="89"/>
      <c r="Y660" s="89"/>
      <c r="Z660" s="89"/>
      <c r="AA660" s="89"/>
      <c r="AB660" s="89"/>
      <c r="AC660" s="89"/>
      <c r="AD660" s="89"/>
      <c r="AE660" s="89"/>
      <c r="AF660" s="89"/>
      <c r="AG660" s="89"/>
      <c r="AH660" s="89"/>
      <c r="AI660" s="89"/>
      <c r="AJ660" s="89"/>
      <c r="AK660" s="89"/>
      <c r="AL660" s="89"/>
      <c r="AM660" s="89"/>
      <c r="AN660" s="89"/>
      <c r="AO660" s="89"/>
      <c r="AP660" s="89"/>
      <c r="AQ660" s="89"/>
      <c r="AR660" s="89"/>
      <c r="AS660" s="89"/>
      <c r="AT660" s="89"/>
      <c r="AU660" s="89"/>
      <c r="AV660" s="89"/>
      <c r="AW660" s="89"/>
      <c r="AX660" s="89"/>
      <c r="AY660" s="89"/>
      <c r="AZ660" s="89"/>
      <c r="BA660" s="95"/>
    </row>
    <row r="661" spans="1:53" s="87" customFormat="1">
      <c r="A661" s="374" t="str">
        <f t="shared" si="58"/>
        <v/>
      </c>
      <c r="B661" s="89">
        <v>13</v>
      </c>
      <c r="C661" s="89">
        <v>1</v>
      </c>
      <c r="D661" s="89" t="s">
        <v>210</v>
      </c>
      <c r="E661" s="89" t="s">
        <v>210</v>
      </c>
      <c r="F661" s="89">
        <v>3</v>
      </c>
      <c r="G661" s="89">
        <v>-6</v>
      </c>
      <c r="H661" s="89" t="s">
        <v>210</v>
      </c>
      <c r="I661" s="89" t="s">
        <v>210</v>
      </c>
      <c r="J661" s="89">
        <v>4</v>
      </c>
      <c r="K661" s="89" t="s">
        <v>210</v>
      </c>
      <c r="L661" s="89">
        <v>-1</v>
      </c>
      <c r="M661" s="89">
        <v>-3</v>
      </c>
      <c r="N661" s="89" t="s">
        <v>210</v>
      </c>
      <c r="O661" s="89" t="s">
        <v>210</v>
      </c>
      <c r="P661" s="89">
        <v>6</v>
      </c>
      <c r="Q661" s="89">
        <v>-5</v>
      </c>
      <c r="R661" s="89" t="s">
        <v>210</v>
      </c>
      <c r="S661" s="89" t="s">
        <v>210</v>
      </c>
      <c r="T661" s="89"/>
      <c r="U661" s="89"/>
      <c r="V661" s="89"/>
      <c r="W661" s="89"/>
      <c r="X661" s="89"/>
      <c r="Y661" s="89"/>
      <c r="Z661" s="89"/>
      <c r="AA661" s="89"/>
      <c r="AB661" s="89"/>
      <c r="AC661" s="89"/>
      <c r="AD661" s="89"/>
      <c r="AE661" s="89"/>
      <c r="AF661" s="89"/>
      <c r="AG661" s="89"/>
      <c r="AH661" s="89"/>
      <c r="AI661" s="89"/>
      <c r="AJ661" s="89"/>
      <c r="AK661" s="89"/>
      <c r="AL661" s="89"/>
      <c r="AM661" s="89"/>
      <c r="AN661" s="89"/>
      <c r="AO661" s="89"/>
      <c r="AP661" s="89"/>
      <c r="AQ661" s="89"/>
      <c r="AR661" s="89"/>
      <c r="AS661" s="89"/>
      <c r="AT661" s="89"/>
      <c r="AU661" s="89"/>
      <c r="AV661" s="89"/>
      <c r="AW661" s="89"/>
      <c r="AX661" s="89"/>
      <c r="AY661" s="89"/>
      <c r="AZ661" s="89"/>
      <c r="BA661" s="95"/>
    </row>
    <row r="662" spans="1:53" s="87" customFormat="1">
      <c r="A662" s="374" t="str">
        <f t="shared" si="58"/>
        <v/>
      </c>
      <c r="B662" s="89">
        <v>14</v>
      </c>
      <c r="C662" s="89" t="s">
        <v>210</v>
      </c>
      <c r="D662" s="89">
        <v>-1</v>
      </c>
      <c r="E662" s="89">
        <v>4</v>
      </c>
      <c r="F662" s="89" t="s">
        <v>210</v>
      </c>
      <c r="G662" s="89" t="s">
        <v>210</v>
      </c>
      <c r="H662" s="89">
        <v>-6</v>
      </c>
      <c r="I662" s="89">
        <v>2</v>
      </c>
      <c r="J662" s="89" t="s">
        <v>210</v>
      </c>
      <c r="K662" s="89" t="s">
        <v>210</v>
      </c>
      <c r="L662" s="89">
        <v>1</v>
      </c>
      <c r="M662" s="89">
        <v>-5</v>
      </c>
      <c r="N662" s="89" t="s">
        <v>210</v>
      </c>
      <c r="O662" s="89">
        <v>-2</v>
      </c>
      <c r="P662" s="89" t="s">
        <v>210</v>
      </c>
      <c r="Q662" s="89" t="s">
        <v>210</v>
      </c>
      <c r="R662" s="89">
        <v>3</v>
      </c>
      <c r="S662" s="89" t="s">
        <v>210</v>
      </c>
      <c r="T662" s="89"/>
      <c r="U662" s="89"/>
      <c r="V662" s="89"/>
      <c r="W662" s="89"/>
      <c r="X662" s="89"/>
      <c r="Y662" s="89"/>
      <c r="Z662" s="89"/>
      <c r="AA662" s="89"/>
      <c r="AB662" s="89"/>
      <c r="AC662" s="89"/>
      <c r="AD662" s="89"/>
      <c r="AE662" s="89"/>
      <c r="AF662" s="89"/>
      <c r="AG662" s="89"/>
      <c r="AH662" s="89"/>
      <c r="AI662" s="89"/>
      <c r="AJ662" s="89"/>
      <c r="AK662" s="89"/>
      <c r="AL662" s="89"/>
      <c r="AM662" s="89"/>
      <c r="AN662" s="89"/>
      <c r="AO662" s="89"/>
      <c r="AP662" s="89"/>
      <c r="AQ662" s="89"/>
      <c r="AR662" s="89"/>
      <c r="AS662" s="89"/>
      <c r="AT662" s="89"/>
      <c r="AU662" s="89"/>
      <c r="AV662" s="89"/>
      <c r="AW662" s="89"/>
      <c r="AX662" s="89"/>
      <c r="AY662" s="89"/>
      <c r="AZ662" s="89"/>
      <c r="BA662" s="95"/>
    </row>
    <row r="663" spans="1:53" s="87" customFormat="1">
      <c r="A663" s="374" t="str">
        <f t="shared" si="58"/>
        <v/>
      </c>
      <c r="B663" s="89">
        <v>15</v>
      </c>
      <c r="C663" s="89">
        <v>2</v>
      </c>
      <c r="D663" s="89" t="s">
        <v>210</v>
      </c>
      <c r="E663" s="89" t="s">
        <v>210</v>
      </c>
      <c r="F663" s="89">
        <v>5</v>
      </c>
      <c r="G663" s="89">
        <v>1</v>
      </c>
      <c r="H663" s="89" t="s">
        <v>210</v>
      </c>
      <c r="I663" s="89" t="s">
        <v>210</v>
      </c>
      <c r="J663" s="89">
        <v>-4</v>
      </c>
      <c r="K663" s="89">
        <v>6</v>
      </c>
      <c r="L663" s="89" t="s">
        <v>210</v>
      </c>
      <c r="M663" s="89" t="s">
        <v>210</v>
      </c>
      <c r="N663" s="89">
        <v>-2</v>
      </c>
      <c r="O663" s="89">
        <v>-1</v>
      </c>
      <c r="P663" s="89" t="s">
        <v>210</v>
      </c>
      <c r="Q663" s="89" t="s">
        <v>210</v>
      </c>
      <c r="R663" s="89">
        <v>-3</v>
      </c>
      <c r="S663" s="89" t="s">
        <v>210</v>
      </c>
      <c r="T663" s="89"/>
      <c r="U663" s="89"/>
      <c r="V663" s="89"/>
      <c r="W663" s="89"/>
      <c r="X663" s="89"/>
      <c r="Y663" s="89"/>
      <c r="Z663" s="89"/>
      <c r="AA663" s="89"/>
      <c r="AB663" s="89"/>
      <c r="AC663" s="89"/>
      <c r="AD663" s="89"/>
      <c r="AE663" s="89"/>
      <c r="AF663" s="89"/>
      <c r="AG663" s="89"/>
      <c r="AH663" s="89"/>
      <c r="AI663" s="89"/>
      <c r="AJ663" s="89"/>
      <c r="AK663" s="89"/>
      <c r="AL663" s="89"/>
      <c r="AM663" s="89"/>
      <c r="AN663" s="89"/>
      <c r="AO663" s="89"/>
      <c r="AP663" s="89"/>
      <c r="AQ663" s="89"/>
      <c r="AR663" s="89"/>
      <c r="AS663" s="89"/>
      <c r="AT663" s="89"/>
      <c r="AU663" s="89"/>
      <c r="AV663" s="89"/>
      <c r="AW663" s="89"/>
      <c r="AX663" s="89"/>
      <c r="AY663" s="89"/>
      <c r="AZ663" s="89"/>
      <c r="BA663" s="95"/>
    </row>
    <row r="664" spans="1:53" s="87" customFormat="1">
      <c r="A664" s="374" t="str">
        <f t="shared" si="58"/>
        <v/>
      </c>
      <c r="B664" s="89">
        <v>16</v>
      </c>
      <c r="C664" s="89" t="s">
        <v>210</v>
      </c>
      <c r="D664" s="89">
        <v>-2</v>
      </c>
      <c r="E664" s="89">
        <v>-4</v>
      </c>
      <c r="F664" s="89" t="s">
        <v>210</v>
      </c>
      <c r="G664" s="89" t="s">
        <v>210</v>
      </c>
      <c r="H664" s="89">
        <v>-1</v>
      </c>
      <c r="I664" s="89">
        <v>5</v>
      </c>
      <c r="J664" s="89" t="s">
        <v>210</v>
      </c>
      <c r="K664" s="89" t="s">
        <v>210</v>
      </c>
      <c r="L664" s="89">
        <v>-6</v>
      </c>
      <c r="M664" s="89">
        <v>3</v>
      </c>
      <c r="N664" s="89" t="s">
        <v>210</v>
      </c>
      <c r="O664" s="89">
        <v>1</v>
      </c>
      <c r="P664" s="89" t="s">
        <v>210</v>
      </c>
      <c r="Q664" s="89" t="s">
        <v>210</v>
      </c>
      <c r="R664" s="89">
        <v>4</v>
      </c>
      <c r="S664" s="89" t="s">
        <v>210</v>
      </c>
      <c r="T664" s="89"/>
      <c r="U664" s="89"/>
      <c r="V664" s="89"/>
      <c r="W664" s="89"/>
      <c r="X664" s="89"/>
      <c r="Y664" s="89"/>
      <c r="Z664" s="89"/>
      <c r="AA664" s="89"/>
      <c r="AB664" s="89"/>
      <c r="AC664" s="89"/>
      <c r="AD664" s="89"/>
      <c r="AE664" s="89"/>
      <c r="AF664" s="89"/>
      <c r="AG664" s="89"/>
      <c r="AH664" s="89"/>
      <c r="AI664" s="89"/>
      <c r="AJ664" s="89"/>
      <c r="AK664" s="89"/>
      <c r="AL664" s="89"/>
      <c r="AM664" s="89"/>
      <c r="AN664" s="89"/>
      <c r="AO664" s="89"/>
      <c r="AP664" s="89"/>
      <c r="AQ664" s="89"/>
      <c r="AR664" s="89"/>
      <c r="AS664" s="89"/>
      <c r="AT664" s="89"/>
      <c r="AU664" s="89"/>
      <c r="AV664" s="89"/>
      <c r="AW664" s="89"/>
      <c r="AX664" s="89"/>
      <c r="AY664" s="89"/>
      <c r="AZ664" s="89"/>
      <c r="BA664" s="95"/>
    </row>
    <row r="665" spans="1:53" s="87" customFormat="1">
      <c r="A665" s="374" t="str">
        <f t="shared" si="58"/>
        <v/>
      </c>
      <c r="B665" s="99">
        <v>17</v>
      </c>
      <c r="C665" s="92">
        <v>3</v>
      </c>
      <c r="D665" s="92" t="s">
        <v>210</v>
      </c>
      <c r="E665" s="92" t="s">
        <v>210</v>
      </c>
      <c r="F665" s="92">
        <v>-5</v>
      </c>
      <c r="G665" s="92">
        <v>6</v>
      </c>
      <c r="H665" s="92" t="s">
        <v>210</v>
      </c>
      <c r="I665" s="92" t="s">
        <v>210</v>
      </c>
      <c r="J665" s="92">
        <v>-2</v>
      </c>
      <c r="K665" s="92">
        <v>1</v>
      </c>
      <c r="L665" s="92" t="s">
        <v>210</v>
      </c>
      <c r="M665" s="92" t="s">
        <v>210</v>
      </c>
      <c r="N665" s="92">
        <v>-3</v>
      </c>
      <c r="O665" s="92">
        <v>2</v>
      </c>
      <c r="P665" s="92" t="s">
        <v>210</v>
      </c>
      <c r="Q665" s="92" t="s">
        <v>210</v>
      </c>
      <c r="R665" s="92">
        <v>-4</v>
      </c>
      <c r="S665" s="92" t="s">
        <v>210</v>
      </c>
      <c r="T665" s="89"/>
      <c r="U665" s="89"/>
      <c r="V665" s="89"/>
      <c r="W665" s="89"/>
      <c r="X665" s="89"/>
      <c r="Y665" s="89"/>
      <c r="Z665" s="89"/>
      <c r="AA665" s="89"/>
      <c r="AB665" s="89"/>
      <c r="AC665" s="89"/>
      <c r="AD665" s="89"/>
      <c r="AE665" s="89"/>
      <c r="AF665" s="89"/>
      <c r="AG665" s="89"/>
      <c r="AH665" s="89"/>
      <c r="AI665" s="89"/>
      <c r="AJ665" s="89"/>
      <c r="AK665" s="89"/>
      <c r="AL665" s="89"/>
      <c r="AM665" s="89"/>
      <c r="AN665" s="89"/>
      <c r="AO665" s="89"/>
      <c r="AP665" s="89"/>
      <c r="AQ665" s="89"/>
      <c r="AR665" s="89"/>
      <c r="AS665" s="89"/>
      <c r="AT665" s="89"/>
      <c r="AU665" s="89"/>
      <c r="AV665" s="89"/>
      <c r="AW665" s="89"/>
      <c r="AX665" s="89"/>
      <c r="AY665" s="89"/>
      <c r="AZ665" s="89"/>
      <c r="BA665" s="95"/>
    </row>
    <row r="666" spans="1:53" s="87" customFormat="1">
      <c r="A666" s="374" t="str">
        <f t="shared" si="58"/>
        <v/>
      </c>
      <c r="B666" s="89">
        <v>18</v>
      </c>
      <c r="C666" s="89">
        <v>-5</v>
      </c>
      <c r="D666" s="89" t="s">
        <v>210</v>
      </c>
      <c r="E666" s="89" t="s">
        <v>210</v>
      </c>
      <c r="F666" s="89">
        <v>-6</v>
      </c>
      <c r="G666" s="89">
        <v>2</v>
      </c>
      <c r="H666" s="89" t="s">
        <v>210</v>
      </c>
      <c r="I666" s="89" t="s">
        <v>210</v>
      </c>
      <c r="J666" s="89">
        <v>-1</v>
      </c>
      <c r="K666" s="89">
        <v>4</v>
      </c>
      <c r="L666" s="89" t="s">
        <v>210</v>
      </c>
      <c r="M666" s="89" t="s">
        <v>210</v>
      </c>
      <c r="N666" s="89">
        <v>5</v>
      </c>
      <c r="O666" s="89">
        <v>6</v>
      </c>
      <c r="P666" s="89" t="s">
        <v>210</v>
      </c>
      <c r="Q666" s="89" t="s">
        <v>210</v>
      </c>
      <c r="R666" s="89">
        <v>-2</v>
      </c>
      <c r="S666" s="89" t="s">
        <v>210</v>
      </c>
      <c r="T666" s="89"/>
      <c r="U666" s="89"/>
      <c r="V666" s="89"/>
      <c r="W666" s="89"/>
      <c r="X666" s="89"/>
      <c r="Y666" s="89"/>
      <c r="Z666" s="89"/>
      <c r="AA666" s="89"/>
      <c r="AB666" s="89"/>
      <c r="AC666" s="89"/>
      <c r="AD666" s="89"/>
      <c r="AE666" s="89"/>
      <c r="AF666" s="89"/>
      <c r="AG666" s="89"/>
      <c r="AH666" s="89"/>
      <c r="AI666" s="89"/>
      <c r="AJ666" s="89"/>
      <c r="AK666" s="89"/>
      <c r="AL666" s="89"/>
      <c r="AM666" s="89"/>
      <c r="AN666" s="89"/>
      <c r="AO666" s="89"/>
      <c r="AP666" s="89"/>
      <c r="AQ666" s="89"/>
      <c r="AR666" s="89"/>
      <c r="AS666" s="89"/>
      <c r="AT666" s="89"/>
      <c r="AU666" s="89"/>
      <c r="AV666" s="89"/>
      <c r="AW666" s="89"/>
      <c r="AX666" s="89"/>
      <c r="AY666" s="89"/>
      <c r="AZ666" s="89"/>
      <c r="BA666" s="95"/>
    </row>
    <row r="667" spans="1:53" s="87" customFormat="1">
      <c r="A667" s="374" t="str">
        <f t="shared" si="58"/>
        <v/>
      </c>
      <c r="B667" s="89">
        <v>19</v>
      </c>
      <c r="C667" s="89">
        <v>6</v>
      </c>
      <c r="D667" s="89" t="s">
        <v>210</v>
      </c>
      <c r="E667" s="89" t="s">
        <v>210</v>
      </c>
      <c r="F667" s="89">
        <v>-2</v>
      </c>
      <c r="G667" s="89">
        <v>-4</v>
      </c>
      <c r="H667" s="89" t="s">
        <v>210</v>
      </c>
      <c r="I667" s="89" t="s">
        <v>210</v>
      </c>
      <c r="J667" s="89">
        <v>-3</v>
      </c>
      <c r="K667" s="89">
        <v>5</v>
      </c>
      <c r="L667" s="89" t="s">
        <v>210</v>
      </c>
      <c r="M667" s="89" t="s">
        <v>210</v>
      </c>
      <c r="N667" s="89">
        <v>-6</v>
      </c>
      <c r="O667" s="89">
        <v>4</v>
      </c>
      <c r="P667" s="89" t="s">
        <v>210</v>
      </c>
      <c r="Q667" s="89" t="s">
        <v>210</v>
      </c>
      <c r="R667" s="89">
        <v>2</v>
      </c>
      <c r="S667" s="89" t="s">
        <v>210</v>
      </c>
      <c r="T667" s="89"/>
      <c r="U667" s="89"/>
      <c r="V667" s="89"/>
      <c r="W667" s="89"/>
      <c r="X667" s="89"/>
      <c r="Y667" s="89"/>
      <c r="Z667" s="89"/>
      <c r="AA667" s="89"/>
      <c r="AB667" s="89"/>
      <c r="AC667" s="89"/>
      <c r="AD667" s="89"/>
      <c r="AE667" s="89"/>
      <c r="AF667" s="89"/>
      <c r="AG667" s="89"/>
      <c r="AH667" s="89"/>
      <c r="AI667" s="89"/>
      <c r="AJ667" s="89"/>
      <c r="AK667" s="89"/>
      <c r="AL667" s="89"/>
      <c r="AM667" s="89"/>
      <c r="AN667" s="89"/>
      <c r="AO667" s="89"/>
      <c r="AP667" s="89"/>
      <c r="AQ667" s="89"/>
      <c r="AR667" s="89"/>
      <c r="AS667" s="89"/>
      <c r="AT667" s="89"/>
      <c r="AU667" s="89"/>
      <c r="AV667" s="89"/>
      <c r="AW667" s="89"/>
      <c r="AX667" s="89"/>
      <c r="AY667" s="89"/>
      <c r="AZ667" s="89"/>
      <c r="BA667" s="95"/>
    </row>
    <row r="668" spans="1:53" s="87" customFormat="1">
      <c r="A668" s="374" t="str">
        <f t="shared" si="58"/>
        <v/>
      </c>
      <c r="B668" s="89">
        <v>20</v>
      </c>
      <c r="C668" s="89">
        <v>4</v>
      </c>
      <c r="D668" s="89" t="s">
        <v>210</v>
      </c>
      <c r="E668" s="89" t="s">
        <v>210</v>
      </c>
      <c r="F668" s="89">
        <v>6</v>
      </c>
      <c r="G668" s="89">
        <v>-3</v>
      </c>
      <c r="H668" s="89" t="s">
        <v>210</v>
      </c>
      <c r="I668" s="89" t="s">
        <v>210</v>
      </c>
      <c r="J668" s="89">
        <v>5</v>
      </c>
      <c r="K668" s="89">
        <v>-2</v>
      </c>
      <c r="L668" s="89" t="s">
        <v>210</v>
      </c>
      <c r="M668" s="89" t="s">
        <v>210</v>
      </c>
      <c r="N668" s="89">
        <v>1</v>
      </c>
      <c r="O668" s="89">
        <v>-4</v>
      </c>
      <c r="P668" s="89" t="s">
        <v>210</v>
      </c>
      <c r="Q668" s="89" t="s">
        <v>210</v>
      </c>
      <c r="R668" s="89">
        <v>-5</v>
      </c>
      <c r="S668" s="89" t="s">
        <v>210</v>
      </c>
      <c r="T668" s="89"/>
      <c r="U668" s="89"/>
      <c r="V668" s="89"/>
      <c r="W668" s="89"/>
      <c r="X668" s="89"/>
      <c r="Y668" s="89"/>
      <c r="Z668" s="89"/>
      <c r="AA668" s="89"/>
      <c r="AB668" s="89"/>
      <c r="AC668" s="89"/>
      <c r="AD668" s="89"/>
      <c r="AE668" s="89"/>
      <c r="AF668" s="89"/>
      <c r="AG668" s="89"/>
      <c r="AH668" s="89"/>
      <c r="AI668" s="89"/>
      <c r="AJ668" s="89"/>
      <c r="AK668" s="89"/>
      <c r="AL668" s="89"/>
      <c r="AM668" s="89"/>
      <c r="AN668" s="89"/>
      <c r="AO668" s="89"/>
      <c r="AP668" s="89"/>
      <c r="AQ668" s="89"/>
      <c r="AR668" s="89"/>
      <c r="AS668" s="89"/>
      <c r="AT668" s="89"/>
      <c r="AU668" s="89"/>
      <c r="AV668" s="89"/>
      <c r="AW668" s="89"/>
      <c r="AX668" s="89"/>
      <c r="AY668" s="89"/>
      <c r="AZ668" s="89"/>
      <c r="BA668" s="95"/>
    </row>
    <row r="669" spans="1:53" s="87" customFormat="1">
      <c r="A669" s="374" t="str">
        <f t="shared" si="58"/>
        <v/>
      </c>
      <c r="B669" s="89">
        <v>21</v>
      </c>
      <c r="C669" s="89">
        <v>-1</v>
      </c>
      <c r="D669" s="89" t="s">
        <v>210</v>
      </c>
      <c r="E669" s="89" t="s">
        <v>210</v>
      </c>
      <c r="F669" s="89">
        <v>2</v>
      </c>
      <c r="G669" s="89">
        <v>-5</v>
      </c>
      <c r="H669" s="89" t="s">
        <v>210</v>
      </c>
      <c r="I669" s="89" t="s">
        <v>210</v>
      </c>
      <c r="J669" s="89">
        <v>6</v>
      </c>
      <c r="K669" s="89">
        <v>3</v>
      </c>
      <c r="L669" s="89" t="s">
        <v>210</v>
      </c>
      <c r="M669" s="89" t="s">
        <v>210</v>
      </c>
      <c r="N669" s="89">
        <v>-4</v>
      </c>
      <c r="O669" s="89">
        <v>-6</v>
      </c>
      <c r="P669" s="89" t="s">
        <v>210</v>
      </c>
      <c r="Q669" s="89" t="s">
        <v>210</v>
      </c>
      <c r="R669" s="89">
        <v>5</v>
      </c>
      <c r="S669" s="89" t="s">
        <v>210</v>
      </c>
      <c r="T669" s="89"/>
      <c r="U669" s="89"/>
      <c r="V669" s="89"/>
      <c r="W669" s="89"/>
      <c r="X669" s="89"/>
      <c r="Y669" s="89"/>
      <c r="Z669" s="89"/>
      <c r="AA669" s="89"/>
      <c r="AB669" s="89"/>
      <c r="AC669" s="89"/>
      <c r="AD669" s="89"/>
      <c r="AE669" s="89"/>
      <c r="AF669" s="89"/>
      <c r="AG669" s="89"/>
      <c r="AH669" s="89"/>
      <c r="AI669" s="89"/>
      <c r="AJ669" s="89"/>
      <c r="AK669" s="89"/>
      <c r="AL669" s="89"/>
      <c r="AM669" s="89"/>
      <c r="AN669" s="89"/>
      <c r="AO669" s="89"/>
      <c r="AP669" s="89"/>
      <c r="AQ669" s="89"/>
      <c r="AR669" s="89"/>
      <c r="AS669" s="89"/>
      <c r="AT669" s="89"/>
      <c r="AU669" s="89"/>
      <c r="AV669" s="89"/>
      <c r="AW669" s="89"/>
      <c r="AX669" s="89"/>
      <c r="AY669" s="89"/>
      <c r="AZ669" s="89"/>
      <c r="BA669" s="95"/>
    </row>
    <row r="670" spans="1:53" s="87" customFormat="1">
      <c r="A670" s="374" t="str">
        <f t="shared" si="58"/>
        <v/>
      </c>
      <c r="B670" s="89">
        <v>22</v>
      </c>
      <c r="C670" s="89" t="s">
        <v>210</v>
      </c>
      <c r="D670" s="89">
        <v>1</v>
      </c>
      <c r="E670" s="89" t="s">
        <v>210</v>
      </c>
      <c r="F670" s="89">
        <v>4</v>
      </c>
      <c r="G670" s="89">
        <v>-2</v>
      </c>
      <c r="H670" s="89" t="s">
        <v>210</v>
      </c>
      <c r="I670" s="89" t="s">
        <v>210</v>
      </c>
      <c r="J670" s="89">
        <v>-5</v>
      </c>
      <c r="K670" s="89">
        <v>-3</v>
      </c>
      <c r="L670" s="89" t="s">
        <v>210</v>
      </c>
      <c r="M670" s="89" t="s">
        <v>210</v>
      </c>
      <c r="N670" s="89">
        <v>6</v>
      </c>
      <c r="O670" s="89">
        <v>5</v>
      </c>
      <c r="P670" s="89" t="s">
        <v>210</v>
      </c>
      <c r="Q670" s="89" t="s">
        <v>202</v>
      </c>
      <c r="R670" s="89" t="s">
        <v>210</v>
      </c>
      <c r="S670" s="89">
        <v>-1</v>
      </c>
      <c r="T670" s="89"/>
      <c r="U670" s="89"/>
      <c r="V670" s="89"/>
      <c r="W670" s="89"/>
      <c r="X670" s="89"/>
      <c r="Y670" s="89"/>
      <c r="Z670" s="89"/>
      <c r="AA670" s="89"/>
      <c r="AB670" s="89"/>
      <c r="AC670" s="89"/>
      <c r="AD670" s="89"/>
      <c r="AE670" s="89"/>
      <c r="AF670" s="89"/>
      <c r="AG670" s="89"/>
      <c r="AH670" s="89"/>
      <c r="AI670" s="89"/>
      <c r="AJ670" s="89"/>
      <c r="AK670" s="89"/>
      <c r="AL670" s="89"/>
      <c r="AM670" s="89"/>
      <c r="AN670" s="89"/>
      <c r="AO670" s="89"/>
      <c r="AP670" s="89"/>
      <c r="AQ670" s="89"/>
      <c r="AR670" s="89"/>
      <c r="AS670" s="89"/>
      <c r="AT670" s="89"/>
      <c r="AU670" s="89"/>
      <c r="AV670" s="89"/>
      <c r="AW670" s="89"/>
      <c r="AX670" s="89"/>
      <c r="AY670" s="89"/>
      <c r="AZ670" s="89"/>
      <c r="BA670" s="95"/>
    </row>
    <row r="671" spans="1:53" s="87" customFormat="1">
      <c r="A671" s="374" t="str">
        <f t="shared" si="58"/>
        <v/>
      </c>
      <c r="B671" s="89">
        <v>23</v>
      </c>
      <c r="C671" s="89">
        <v>-2</v>
      </c>
      <c r="D671" s="89" t="s">
        <v>210</v>
      </c>
      <c r="E671" s="89" t="s">
        <v>210</v>
      </c>
      <c r="F671" s="89">
        <v>-1</v>
      </c>
      <c r="G671" s="89">
        <v>4</v>
      </c>
      <c r="H671" s="89" t="s">
        <v>210</v>
      </c>
      <c r="I671" s="89" t="s">
        <v>210</v>
      </c>
      <c r="J671" s="89">
        <v>-6</v>
      </c>
      <c r="K671" s="89">
        <v>2</v>
      </c>
      <c r="L671" s="89" t="s">
        <v>210</v>
      </c>
      <c r="M671" s="89" t="s">
        <v>210</v>
      </c>
      <c r="N671" s="89">
        <v>-5</v>
      </c>
      <c r="O671" s="89">
        <v>3</v>
      </c>
      <c r="P671" s="89" t="s">
        <v>210</v>
      </c>
      <c r="Q671" s="89" t="s">
        <v>202</v>
      </c>
      <c r="R671" s="89" t="s">
        <v>210</v>
      </c>
      <c r="S671" s="89">
        <v>1</v>
      </c>
      <c r="T671" s="89"/>
      <c r="U671" s="89"/>
      <c r="V671" s="89"/>
      <c r="W671" s="89"/>
      <c r="X671" s="89"/>
      <c r="Y671" s="89"/>
      <c r="Z671" s="89"/>
      <c r="AA671" s="89"/>
      <c r="AB671" s="89"/>
      <c r="AC671" s="89"/>
      <c r="AD671" s="89"/>
      <c r="AE671" s="89"/>
      <c r="AF671" s="89"/>
      <c r="AG671" s="89"/>
      <c r="AH671" s="89"/>
      <c r="AI671" s="89"/>
      <c r="AJ671" s="89"/>
      <c r="AK671" s="89"/>
      <c r="AL671" s="89"/>
      <c r="AM671" s="89"/>
      <c r="AN671" s="89"/>
      <c r="AO671" s="89"/>
      <c r="AP671" s="89"/>
      <c r="AQ671" s="89"/>
      <c r="AR671" s="89"/>
      <c r="AS671" s="89"/>
      <c r="AT671" s="89"/>
      <c r="AU671" s="89"/>
      <c r="AV671" s="89"/>
      <c r="AW671" s="89"/>
      <c r="AX671" s="89"/>
      <c r="AY671" s="89"/>
      <c r="AZ671" s="89"/>
      <c r="BA671" s="95"/>
    </row>
    <row r="672" spans="1:53" s="87" customFormat="1">
      <c r="A672" s="374" t="str">
        <f t="shared" si="58"/>
        <v/>
      </c>
      <c r="B672" s="89">
        <v>24</v>
      </c>
      <c r="C672" s="89" t="s">
        <v>210</v>
      </c>
      <c r="D672" s="89">
        <v>2</v>
      </c>
      <c r="E672" s="89" t="s">
        <v>210</v>
      </c>
      <c r="F672" s="89">
        <v>-4</v>
      </c>
      <c r="G672" s="89">
        <v>3</v>
      </c>
      <c r="H672" s="89" t="s">
        <v>210</v>
      </c>
      <c r="I672" s="89" t="s">
        <v>210</v>
      </c>
      <c r="J672" s="89">
        <v>1</v>
      </c>
      <c r="K672" s="89">
        <v>-5</v>
      </c>
      <c r="L672" s="89" t="s">
        <v>210</v>
      </c>
      <c r="M672" s="89" t="s">
        <v>210</v>
      </c>
      <c r="N672" s="89">
        <v>4</v>
      </c>
      <c r="O672" s="89">
        <v>-3</v>
      </c>
      <c r="P672" s="89" t="s">
        <v>210</v>
      </c>
      <c r="Q672" s="89" t="s">
        <v>202</v>
      </c>
      <c r="R672" s="89" t="s">
        <v>210</v>
      </c>
      <c r="S672" s="89">
        <v>-6</v>
      </c>
      <c r="T672" s="89"/>
      <c r="U672" s="89"/>
      <c r="V672" s="89"/>
      <c r="W672" s="89"/>
      <c r="X672" s="89"/>
      <c r="Y672" s="89"/>
      <c r="Z672" s="89"/>
      <c r="AA672" s="89"/>
      <c r="AB672" s="89"/>
      <c r="AC672" s="89"/>
      <c r="AD672" s="89"/>
      <c r="AE672" s="89"/>
      <c r="AF672" s="89"/>
      <c r="AG672" s="89"/>
      <c r="AH672" s="89"/>
      <c r="AI672" s="89"/>
      <c r="AJ672" s="89"/>
      <c r="AK672" s="89"/>
      <c r="AL672" s="89"/>
      <c r="AM672" s="89"/>
      <c r="AN672" s="89"/>
      <c r="AO672" s="89"/>
      <c r="AP672" s="89"/>
      <c r="AQ672" s="89"/>
      <c r="AR672" s="89"/>
      <c r="AS672" s="89"/>
      <c r="AT672" s="89"/>
      <c r="AU672" s="89"/>
      <c r="AV672" s="89"/>
      <c r="AW672" s="89"/>
      <c r="AX672" s="89"/>
      <c r="AY672" s="89"/>
      <c r="AZ672" s="89"/>
      <c r="BA672" s="95"/>
    </row>
    <row r="673" spans="1:53" s="87" customFormat="1">
      <c r="A673" s="374" t="str">
        <f t="shared" si="58"/>
        <v/>
      </c>
      <c r="B673" s="89">
        <v>25</v>
      </c>
      <c r="C673" s="89">
        <v>-3</v>
      </c>
      <c r="D673" s="89" t="s">
        <v>210</v>
      </c>
      <c r="E673" s="89" t="s">
        <v>210</v>
      </c>
      <c r="F673" s="89">
        <v>1</v>
      </c>
      <c r="G673" s="89">
        <v>5</v>
      </c>
      <c r="H673" s="89" t="s">
        <v>210</v>
      </c>
      <c r="I673" s="89" t="s">
        <v>210</v>
      </c>
      <c r="J673" s="89">
        <v>3</v>
      </c>
      <c r="K673" s="89">
        <v>-4</v>
      </c>
      <c r="L673" s="89" t="s">
        <v>210</v>
      </c>
      <c r="M673" s="89" t="s">
        <v>210</v>
      </c>
      <c r="N673" s="89">
        <v>-1</v>
      </c>
      <c r="O673" s="89">
        <v>-5</v>
      </c>
      <c r="P673" s="89" t="s">
        <v>210</v>
      </c>
      <c r="Q673" s="89" t="s">
        <v>202</v>
      </c>
      <c r="R673" s="89" t="s">
        <v>210</v>
      </c>
      <c r="S673" s="89">
        <v>6</v>
      </c>
      <c r="T673" s="89"/>
      <c r="U673" s="89"/>
      <c r="V673" s="89"/>
      <c r="W673" s="89"/>
      <c r="X673" s="89"/>
      <c r="Y673" s="89"/>
      <c r="Z673" s="89"/>
      <c r="AA673" s="89"/>
      <c r="AB673" s="89"/>
      <c r="AC673" s="89"/>
      <c r="AD673" s="89"/>
      <c r="AE673" s="89"/>
      <c r="AF673" s="89"/>
      <c r="AG673" s="89"/>
      <c r="AH673" s="89"/>
      <c r="AI673" s="89"/>
      <c r="AJ673" s="89"/>
      <c r="AK673" s="89"/>
      <c r="AL673" s="89"/>
      <c r="AM673" s="89"/>
      <c r="AN673" s="89"/>
      <c r="AO673" s="89"/>
      <c r="AP673" s="89"/>
      <c r="AQ673" s="89"/>
      <c r="AR673" s="89"/>
      <c r="AS673" s="89"/>
      <c r="AT673" s="89"/>
      <c r="AU673" s="89"/>
      <c r="AV673" s="89"/>
      <c r="AW673" s="89"/>
      <c r="AX673" s="89"/>
      <c r="AY673" s="89"/>
      <c r="AZ673" s="89"/>
      <c r="BA673" s="95"/>
    </row>
    <row r="674" spans="1:53" s="87" customFormat="1">
      <c r="A674" s="374" t="str">
        <f t="shared" si="58"/>
        <v/>
      </c>
      <c r="B674" s="89" t="s">
        <v>385</v>
      </c>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c r="AA674" s="89"/>
      <c r="AB674" s="89"/>
      <c r="AC674" s="89"/>
      <c r="AD674" s="89"/>
      <c r="AE674" s="89"/>
      <c r="AF674" s="89"/>
      <c r="AG674" s="89"/>
      <c r="AH674" s="89"/>
      <c r="AI674" s="89"/>
      <c r="AJ674" s="89"/>
      <c r="AK674" s="89"/>
      <c r="AL674" s="89"/>
      <c r="AM674" s="89"/>
      <c r="AN674" s="89"/>
      <c r="AO674" s="89"/>
      <c r="AP674" s="89"/>
      <c r="AQ674" s="89"/>
      <c r="AR674" s="89"/>
      <c r="AS674" s="89"/>
      <c r="AT674" s="89"/>
      <c r="AU674" s="89"/>
      <c r="AV674" s="89"/>
      <c r="AW674" s="89"/>
      <c r="AX674" s="89"/>
      <c r="AY674" s="89"/>
      <c r="AZ674" s="89"/>
      <c r="BA674" s="95"/>
    </row>
    <row r="675" spans="1:53" s="87" customFormat="1">
      <c r="A675" s="374">
        <f t="shared" si="58"/>
        <v>675</v>
      </c>
      <c r="B675" s="89" t="s">
        <v>386</v>
      </c>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c r="AA675" s="89"/>
      <c r="AB675" s="89"/>
      <c r="AC675" s="89"/>
      <c r="AD675" s="89"/>
      <c r="AE675" s="89"/>
      <c r="AF675" s="89"/>
      <c r="AG675" s="89"/>
      <c r="AH675" s="89"/>
      <c r="AI675" s="89"/>
      <c r="AJ675" s="89"/>
      <c r="AK675" s="89"/>
      <c r="AL675" s="89"/>
      <c r="AM675" s="89"/>
      <c r="AN675" s="89"/>
      <c r="AO675" s="89"/>
      <c r="AP675" s="89"/>
      <c r="AQ675" s="89"/>
      <c r="AR675" s="89"/>
      <c r="AS675" s="89"/>
      <c r="AT675" s="89"/>
      <c r="AU675" s="89"/>
      <c r="AV675" s="89"/>
      <c r="AW675" s="89"/>
      <c r="AX675" s="89"/>
      <c r="AY675" s="89"/>
      <c r="AZ675" s="89"/>
      <c r="BA675" s="95"/>
    </row>
    <row r="676" spans="1:53" s="87" customFormat="1">
      <c r="A676" s="374" t="str">
        <f t="shared" si="58"/>
        <v/>
      </c>
      <c r="B676" s="89">
        <v>1</v>
      </c>
      <c r="C676" s="89">
        <v>2</v>
      </c>
      <c r="D676" s="89" t="s">
        <v>210</v>
      </c>
      <c r="E676" s="89" t="s">
        <v>210</v>
      </c>
      <c r="F676" s="89">
        <v>-4</v>
      </c>
      <c r="G676" s="89">
        <v>-3</v>
      </c>
      <c r="H676" s="89" t="s">
        <v>210</v>
      </c>
      <c r="I676" s="89" t="s">
        <v>210</v>
      </c>
      <c r="J676" s="89">
        <v>6</v>
      </c>
      <c r="K676" s="89">
        <v>-5</v>
      </c>
      <c r="L676" s="89" t="s">
        <v>210</v>
      </c>
      <c r="M676" s="89" t="s">
        <v>202</v>
      </c>
      <c r="N676" s="89" t="s">
        <v>210</v>
      </c>
      <c r="O676" s="89">
        <v>3</v>
      </c>
      <c r="P676" s="89"/>
      <c r="Q676" s="89"/>
      <c r="R676" s="89"/>
      <c r="S676" s="89"/>
      <c r="T676" s="89"/>
      <c r="U676" s="89"/>
      <c r="V676" s="89"/>
      <c r="W676" s="89"/>
      <c r="X676" s="89"/>
      <c r="Y676" s="89"/>
      <c r="Z676" s="89"/>
      <c r="AA676" s="89"/>
      <c r="AB676" s="89"/>
      <c r="AC676" s="89"/>
      <c r="AD676" s="89"/>
      <c r="AE676" s="89"/>
      <c r="AF676" s="89"/>
      <c r="AG676" s="89"/>
      <c r="AH676" s="89"/>
      <c r="AI676" s="89"/>
      <c r="AJ676" s="89"/>
      <c r="AK676" s="89"/>
      <c r="AL676" s="89"/>
      <c r="AM676" s="89"/>
      <c r="AN676" s="89"/>
      <c r="AO676" s="89"/>
      <c r="AP676" s="89"/>
      <c r="AQ676" s="89"/>
      <c r="AR676" s="89"/>
      <c r="AS676" s="89"/>
      <c r="AT676" s="89"/>
      <c r="AU676" s="89"/>
      <c r="AV676" s="89"/>
      <c r="AW676" s="89"/>
      <c r="AX676" s="89"/>
      <c r="AY676" s="89"/>
      <c r="AZ676" s="89"/>
      <c r="BA676" s="95"/>
    </row>
    <row r="677" spans="1:53" s="87" customFormat="1">
      <c r="A677" s="374" t="str">
        <f t="shared" si="58"/>
        <v/>
      </c>
      <c r="B677" s="89">
        <v>2</v>
      </c>
      <c r="C677" s="89">
        <v>5</v>
      </c>
      <c r="D677" s="89" t="s">
        <v>210</v>
      </c>
      <c r="E677" s="89" t="s">
        <v>202</v>
      </c>
      <c r="F677" s="89" t="s">
        <v>210</v>
      </c>
      <c r="G677" s="89">
        <v>6</v>
      </c>
      <c r="H677" s="89" t="s">
        <v>210</v>
      </c>
      <c r="I677" s="89" t="s">
        <v>210</v>
      </c>
      <c r="J677" s="89">
        <v>-1</v>
      </c>
      <c r="K677" s="89">
        <v>-2</v>
      </c>
      <c r="L677" s="89" t="s">
        <v>210</v>
      </c>
      <c r="M677" s="89" t="s">
        <v>210</v>
      </c>
      <c r="N677" s="89">
        <v>4</v>
      </c>
      <c r="O677" s="89">
        <v>-3</v>
      </c>
      <c r="P677" s="89"/>
      <c r="Q677" s="89"/>
      <c r="R677" s="89"/>
      <c r="S677" s="89"/>
      <c r="T677" s="89"/>
      <c r="U677" s="89"/>
      <c r="V677" s="89"/>
      <c r="W677" s="89"/>
      <c r="X677" s="89"/>
      <c r="Y677" s="89"/>
      <c r="Z677" s="89"/>
      <c r="AA677" s="89"/>
      <c r="AB677" s="89"/>
      <c r="AC677" s="89"/>
      <c r="AD677" s="89"/>
      <c r="AE677" s="89"/>
      <c r="AF677" s="89"/>
      <c r="AG677" s="89"/>
      <c r="AH677" s="89"/>
      <c r="AI677" s="89"/>
      <c r="AJ677" s="89"/>
      <c r="AK677" s="89"/>
      <c r="AL677" s="89"/>
      <c r="AM677" s="89"/>
      <c r="AN677" s="89"/>
      <c r="AO677" s="89"/>
      <c r="AP677" s="89"/>
      <c r="AQ677" s="89"/>
      <c r="AR677" s="89"/>
      <c r="AS677" s="89"/>
      <c r="AT677" s="89"/>
      <c r="AU677" s="89"/>
      <c r="AV677" s="89"/>
      <c r="AW677" s="89"/>
      <c r="AX677" s="89"/>
      <c r="AY677" s="89"/>
      <c r="AZ677" s="89"/>
      <c r="BA677" s="95"/>
    </row>
    <row r="678" spans="1:53" s="87" customFormat="1">
      <c r="A678" s="374" t="str">
        <f t="shared" si="58"/>
        <v/>
      </c>
      <c r="B678" s="89">
        <v>3</v>
      </c>
      <c r="C678" s="89">
        <v>-5</v>
      </c>
      <c r="D678" s="89" t="s">
        <v>210</v>
      </c>
      <c r="E678" s="89" t="s">
        <v>210</v>
      </c>
      <c r="F678" s="89">
        <v>6</v>
      </c>
      <c r="G678" s="89">
        <v>-1</v>
      </c>
      <c r="H678" s="89" t="s">
        <v>210</v>
      </c>
      <c r="I678" s="89" t="s">
        <v>202</v>
      </c>
      <c r="J678" s="89" t="s">
        <v>210</v>
      </c>
      <c r="K678" s="89">
        <v>5</v>
      </c>
      <c r="L678" s="89" t="s">
        <v>210</v>
      </c>
      <c r="M678" s="89" t="s">
        <v>210</v>
      </c>
      <c r="N678" s="89">
        <v>3</v>
      </c>
      <c r="O678" s="89">
        <v>-4</v>
      </c>
      <c r="P678" s="89"/>
      <c r="Q678" s="89"/>
      <c r="R678" s="89"/>
      <c r="S678" s="89"/>
      <c r="T678" s="89"/>
      <c r="U678" s="89"/>
      <c r="V678" s="89"/>
      <c r="W678" s="89"/>
      <c r="X678" s="89"/>
      <c r="Y678" s="89"/>
      <c r="Z678" s="89"/>
      <c r="AA678" s="89"/>
      <c r="AB678" s="89"/>
      <c r="AC678" s="89"/>
      <c r="AD678" s="89"/>
      <c r="AE678" s="89"/>
      <c r="AF678" s="89"/>
      <c r="AG678" s="89"/>
      <c r="AH678" s="89"/>
      <c r="AI678" s="89"/>
      <c r="AJ678" s="89"/>
      <c r="AK678" s="89"/>
      <c r="AL678" s="89"/>
      <c r="AM678" s="89"/>
      <c r="AN678" s="89"/>
      <c r="AO678" s="89"/>
      <c r="AP678" s="89"/>
      <c r="AQ678" s="89"/>
      <c r="AR678" s="89"/>
      <c r="AS678" s="89"/>
      <c r="AT678" s="89"/>
      <c r="AU678" s="89"/>
      <c r="AV678" s="89"/>
      <c r="AW678" s="89"/>
      <c r="AX678" s="89"/>
      <c r="AY678" s="89"/>
      <c r="AZ678" s="89"/>
      <c r="BA678" s="95"/>
    </row>
    <row r="679" spans="1:53" s="87" customFormat="1">
      <c r="A679" s="374" t="str">
        <f t="shared" si="58"/>
        <v/>
      </c>
      <c r="B679" s="89">
        <v>4</v>
      </c>
      <c r="C679" s="89">
        <v>3</v>
      </c>
      <c r="D679" s="89" t="s">
        <v>210</v>
      </c>
      <c r="E679" s="89" t="s">
        <v>210</v>
      </c>
      <c r="F679" s="89">
        <v>-1</v>
      </c>
      <c r="G679" s="89" t="s">
        <v>202</v>
      </c>
      <c r="H679" s="89" t="s">
        <v>210</v>
      </c>
      <c r="I679" s="89" t="s">
        <v>210</v>
      </c>
      <c r="J679" s="89">
        <v>-6</v>
      </c>
      <c r="K679" s="89">
        <v>2</v>
      </c>
      <c r="L679" s="89" t="s">
        <v>210</v>
      </c>
      <c r="M679" s="89" t="s">
        <v>210</v>
      </c>
      <c r="N679" s="89">
        <v>-5</v>
      </c>
      <c r="O679" s="89">
        <v>4</v>
      </c>
      <c r="P679" s="89"/>
      <c r="Q679" s="89"/>
      <c r="R679" s="89"/>
      <c r="S679" s="89"/>
      <c r="T679" s="89"/>
      <c r="U679" s="89"/>
      <c r="V679" s="89"/>
      <c r="W679" s="89"/>
      <c r="X679" s="89"/>
      <c r="Y679" s="89"/>
      <c r="Z679" s="89"/>
      <c r="AA679" s="89"/>
      <c r="AB679" s="89"/>
      <c r="AC679" s="89"/>
      <c r="AD679" s="89"/>
      <c r="AE679" s="89"/>
      <c r="AF679" s="89"/>
      <c r="AG679" s="89"/>
      <c r="AH679" s="89"/>
      <c r="AI679" s="89"/>
      <c r="AJ679" s="89"/>
      <c r="AK679" s="89"/>
      <c r="AL679" s="89"/>
      <c r="AM679" s="89"/>
      <c r="AN679" s="89"/>
      <c r="AO679" s="89"/>
      <c r="AP679" s="89"/>
      <c r="AQ679" s="89"/>
      <c r="AR679" s="89"/>
      <c r="AS679" s="89"/>
      <c r="AT679" s="89"/>
      <c r="AU679" s="89"/>
      <c r="AV679" s="89"/>
      <c r="AW679" s="89"/>
      <c r="AX679" s="89"/>
      <c r="AY679" s="89"/>
      <c r="AZ679" s="89"/>
      <c r="BA679" s="95"/>
    </row>
    <row r="680" spans="1:53" s="87" customFormat="1">
      <c r="A680" s="374" t="str">
        <f t="shared" si="58"/>
        <v/>
      </c>
      <c r="B680" s="89">
        <v>5</v>
      </c>
      <c r="C680" s="89" t="s">
        <v>202</v>
      </c>
      <c r="D680" s="89" t="s">
        <v>210</v>
      </c>
      <c r="E680" s="89" t="s">
        <v>210</v>
      </c>
      <c r="F680" s="89">
        <v>-6</v>
      </c>
      <c r="G680" s="89">
        <v>3</v>
      </c>
      <c r="H680" s="89" t="s">
        <v>210</v>
      </c>
      <c r="I680" s="89" t="s">
        <v>210</v>
      </c>
      <c r="J680" s="89">
        <v>1</v>
      </c>
      <c r="K680" s="89">
        <v>-4</v>
      </c>
      <c r="L680" s="89" t="s">
        <v>210</v>
      </c>
      <c r="M680" s="89" t="s">
        <v>210</v>
      </c>
      <c r="N680" s="89">
        <v>5</v>
      </c>
      <c r="O680" s="89">
        <v>-2</v>
      </c>
      <c r="P680" s="89"/>
      <c r="Q680" s="89"/>
      <c r="R680" s="89"/>
      <c r="S680" s="89"/>
      <c r="T680" s="89"/>
      <c r="U680" s="89"/>
      <c r="V680" s="89"/>
      <c r="W680" s="89"/>
      <c r="X680" s="89"/>
      <c r="Y680" s="89"/>
      <c r="Z680" s="89"/>
      <c r="AA680" s="89"/>
      <c r="AB680" s="89"/>
      <c r="AC680" s="89"/>
      <c r="AD680" s="89"/>
      <c r="AE680" s="89"/>
      <c r="AF680" s="89"/>
      <c r="AG680" s="89"/>
      <c r="AH680" s="89"/>
      <c r="AI680" s="89"/>
      <c r="AJ680" s="89"/>
      <c r="AK680" s="89"/>
      <c r="AL680" s="89"/>
      <c r="AM680" s="89"/>
      <c r="AN680" s="89"/>
      <c r="AO680" s="89"/>
      <c r="AP680" s="89"/>
      <c r="AQ680" s="89"/>
      <c r="AR680" s="89"/>
      <c r="AS680" s="89"/>
      <c r="AT680" s="89"/>
      <c r="AU680" s="89"/>
      <c r="AV680" s="89"/>
      <c r="AW680" s="89"/>
      <c r="AX680" s="89"/>
      <c r="AY680" s="89"/>
      <c r="AZ680" s="89"/>
      <c r="BA680" s="95"/>
    </row>
    <row r="681" spans="1:53" s="87" customFormat="1">
      <c r="A681" s="374" t="str">
        <f t="shared" si="58"/>
        <v/>
      </c>
      <c r="B681" s="89">
        <v>6</v>
      </c>
      <c r="C681" s="89">
        <v>-3</v>
      </c>
      <c r="D681" s="89" t="s">
        <v>210</v>
      </c>
      <c r="E681" s="89" t="s">
        <v>210</v>
      </c>
      <c r="F681" s="89">
        <v>4</v>
      </c>
      <c r="G681" s="89">
        <v>1</v>
      </c>
      <c r="H681" s="89" t="s">
        <v>210</v>
      </c>
      <c r="I681" s="89" t="s">
        <v>210</v>
      </c>
      <c r="J681" s="89">
        <v>-5</v>
      </c>
      <c r="K681" s="89" t="s">
        <v>202</v>
      </c>
      <c r="L681" s="89" t="s">
        <v>210</v>
      </c>
      <c r="M681" s="89" t="s">
        <v>210</v>
      </c>
      <c r="N681" s="89">
        <v>-4</v>
      </c>
      <c r="O681" s="89">
        <v>2</v>
      </c>
      <c r="P681" s="89"/>
      <c r="Q681" s="89"/>
      <c r="R681" s="89"/>
      <c r="S681" s="89"/>
      <c r="T681" s="89"/>
      <c r="U681" s="89"/>
      <c r="V681" s="89"/>
      <c r="W681" s="89"/>
      <c r="X681" s="89"/>
      <c r="Y681" s="89"/>
      <c r="Z681" s="89"/>
      <c r="AA681" s="89"/>
      <c r="AB681" s="89"/>
      <c r="AC681" s="89"/>
      <c r="AD681" s="89"/>
      <c r="AE681" s="89"/>
      <c r="AF681" s="89"/>
      <c r="AG681" s="89"/>
      <c r="AH681" s="89"/>
      <c r="AI681" s="89"/>
      <c r="AJ681" s="89"/>
      <c r="AK681" s="89"/>
      <c r="AL681" s="89"/>
      <c r="AM681" s="89"/>
      <c r="AN681" s="89"/>
      <c r="AO681" s="89"/>
      <c r="AP681" s="89"/>
      <c r="AQ681" s="89"/>
      <c r="AR681" s="89"/>
      <c r="AS681" s="89"/>
      <c r="AT681" s="89"/>
      <c r="AU681" s="89"/>
      <c r="AV681" s="89"/>
      <c r="AW681" s="89"/>
      <c r="AX681" s="89"/>
      <c r="AY681" s="89"/>
      <c r="AZ681" s="89"/>
      <c r="BA681" s="95"/>
    </row>
    <row r="682" spans="1:53" s="87" customFormat="1">
      <c r="A682" s="374" t="str">
        <f t="shared" si="58"/>
        <v/>
      </c>
      <c r="B682" s="99">
        <v>7</v>
      </c>
      <c r="C682" s="92">
        <v>-2</v>
      </c>
      <c r="D682" s="92" t="s">
        <v>210</v>
      </c>
      <c r="E682" s="92" t="s">
        <v>210</v>
      </c>
      <c r="F682" s="92">
        <v>1</v>
      </c>
      <c r="G682" s="92">
        <v>-6</v>
      </c>
      <c r="H682" s="92" t="s">
        <v>210</v>
      </c>
      <c r="I682" s="92" t="s">
        <v>210</v>
      </c>
      <c r="J682" s="92">
        <v>5</v>
      </c>
      <c r="K682" s="92">
        <v>4</v>
      </c>
      <c r="L682" s="92" t="s">
        <v>210</v>
      </c>
      <c r="M682" s="92" t="s">
        <v>210</v>
      </c>
      <c r="N682" s="92">
        <v>-3</v>
      </c>
      <c r="O682" s="92" t="s">
        <v>202</v>
      </c>
      <c r="P682" s="89"/>
      <c r="Q682" s="89"/>
      <c r="R682" s="89"/>
      <c r="S682" s="89"/>
      <c r="T682" s="89"/>
      <c r="U682" s="89"/>
      <c r="V682" s="89"/>
      <c r="W682" s="89"/>
      <c r="X682" s="89"/>
      <c r="Y682" s="89"/>
      <c r="Z682" s="89"/>
      <c r="AA682" s="89"/>
      <c r="AB682" s="89"/>
      <c r="AC682" s="89"/>
      <c r="AD682" s="89"/>
      <c r="AE682" s="89"/>
      <c r="AF682" s="89"/>
      <c r="AG682" s="89"/>
      <c r="AH682" s="89"/>
      <c r="AI682" s="89"/>
      <c r="AJ682" s="89"/>
      <c r="AK682" s="89"/>
      <c r="AL682" s="89"/>
      <c r="AM682" s="89"/>
      <c r="AN682" s="89"/>
      <c r="AO682" s="89"/>
      <c r="AP682" s="89"/>
      <c r="AQ682" s="89"/>
      <c r="AR682" s="89"/>
      <c r="AS682" s="89"/>
      <c r="AT682" s="89"/>
      <c r="AU682" s="89"/>
      <c r="AV682" s="89"/>
      <c r="AW682" s="89"/>
      <c r="AX682" s="89"/>
      <c r="AY682" s="89"/>
      <c r="AZ682" s="89"/>
      <c r="BA682" s="95"/>
    </row>
    <row r="683" spans="1:53" s="87" customFormat="1">
      <c r="A683" s="374" t="str">
        <f t="shared" si="58"/>
        <v/>
      </c>
      <c r="B683" s="89">
        <v>8</v>
      </c>
      <c r="C683" s="89" t="s">
        <v>210</v>
      </c>
      <c r="D683" s="89">
        <v>-6</v>
      </c>
      <c r="E683" s="89" t="s">
        <v>210</v>
      </c>
      <c r="F683" s="89">
        <v>3</v>
      </c>
      <c r="G683" s="89">
        <v>5</v>
      </c>
      <c r="H683" s="89" t="s">
        <v>210</v>
      </c>
      <c r="I683" s="89" t="s">
        <v>210</v>
      </c>
      <c r="J683" s="89">
        <v>-2</v>
      </c>
      <c r="K683" s="89">
        <v>1</v>
      </c>
      <c r="L683" s="89" t="s">
        <v>210</v>
      </c>
      <c r="M683" s="89" t="s">
        <v>202</v>
      </c>
      <c r="N683" s="89" t="s">
        <v>210</v>
      </c>
      <c r="O683" s="89">
        <v>-5</v>
      </c>
      <c r="P683" s="89"/>
      <c r="Q683" s="89"/>
      <c r="R683" s="89"/>
      <c r="S683" s="89"/>
      <c r="T683" s="89"/>
      <c r="U683" s="89"/>
      <c r="V683" s="89"/>
      <c r="W683" s="89"/>
      <c r="X683" s="89"/>
      <c r="Y683" s="89"/>
      <c r="Z683" s="89"/>
      <c r="AA683" s="89"/>
      <c r="AB683" s="89"/>
      <c r="AC683" s="89"/>
      <c r="AD683" s="89"/>
      <c r="AE683" s="89"/>
      <c r="AF683" s="89"/>
      <c r="AG683" s="89"/>
      <c r="AH683" s="89"/>
      <c r="AI683" s="89"/>
      <c r="AJ683" s="89"/>
      <c r="AK683" s="89"/>
      <c r="AL683" s="89"/>
      <c r="AM683" s="89"/>
      <c r="AN683" s="89"/>
      <c r="AO683" s="89"/>
      <c r="AP683" s="89"/>
      <c r="AQ683" s="89"/>
      <c r="AR683" s="89"/>
      <c r="AS683" s="89"/>
      <c r="AT683" s="89"/>
      <c r="AU683" s="89"/>
      <c r="AV683" s="89"/>
      <c r="AW683" s="89"/>
      <c r="AX683" s="89"/>
      <c r="AY683" s="89"/>
      <c r="AZ683" s="89"/>
      <c r="BA683" s="95"/>
    </row>
    <row r="684" spans="1:53" s="87" customFormat="1">
      <c r="A684" s="374" t="str">
        <f t="shared" si="58"/>
        <v/>
      </c>
      <c r="B684" s="89">
        <v>9</v>
      </c>
      <c r="C684" s="89" t="s">
        <v>210</v>
      </c>
      <c r="D684" s="89">
        <v>-1</v>
      </c>
      <c r="E684" s="89" t="s">
        <v>210</v>
      </c>
      <c r="F684" s="89">
        <v>-2</v>
      </c>
      <c r="G684" s="89">
        <v>4</v>
      </c>
      <c r="H684" s="89" t="s">
        <v>210</v>
      </c>
      <c r="I684" s="89" t="s">
        <v>210</v>
      </c>
      <c r="J684" s="89">
        <v>3</v>
      </c>
      <c r="K684" s="89">
        <v>-6</v>
      </c>
      <c r="L684" s="89" t="s">
        <v>210</v>
      </c>
      <c r="M684" s="89" t="s">
        <v>202</v>
      </c>
      <c r="N684" s="89" t="s">
        <v>210</v>
      </c>
      <c r="O684" s="89">
        <v>5</v>
      </c>
      <c r="P684" s="89"/>
      <c r="Q684" s="89"/>
      <c r="R684" s="89"/>
      <c r="S684" s="89"/>
      <c r="T684" s="89"/>
      <c r="U684" s="89"/>
      <c r="V684" s="89"/>
      <c r="W684" s="89"/>
      <c r="X684" s="89"/>
      <c r="Y684" s="89"/>
      <c r="Z684" s="89"/>
      <c r="AA684" s="89"/>
      <c r="AB684" s="89"/>
      <c r="AC684" s="89"/>
      <c r="AD684" s="89"/>
      <c r="AE684" s="89"/>
      <c r="AF684" s="89"/>
      <c r="AG684" s="89"/>
      <c r="AH684" s="89"/>
      <c r="AI684" s="89"/>
      <c r="AJ684" s="89"/>
      <c r="AK684" s="89"/>
      <c r="AL684" s="89"/>
      <c r="AM684" s="89"/>
      <c r="AN684" s="89"/>
      <c r="AO684" s="89"/>
      <c r="AP684" s="89"/>
      <c r="AQ684" s="89"/>
      <c r="AR684" s="89"/>
      <c r="AS684" s="89"/>
      <c r="AT684" s="89"/>
      <c r="AU684" s="89"/>
      <c r="AV684" s="89"/>
      <c r="AW684" s="89"/>
      <c r="AX684" s="89"/>
      <c r="AY684" s="89"/>
      <c r="AZ684" s="89"/>
      <c r="BA684" s="95"/>
    </row>
    <row r="685" spans="1:53" s="87" customFormat="1">
      <c r="A685" s="374" t="str">
        <f t="shared" si="58"/>
        <v/>
      </c>
      <c r="B685" s="89">
        <v>10</v>
      </c>
      <c r="C685" s="89" t="s">
        <v>210</v>
      </c>
      <c r="D685" s="89">
        <v>5</v>
      </c>
      <c r="E685" s="89" t="s">
        <v>210</v>
      </c>
      <c r="F685" s="89">
        <v>-3</v>
      </c>
      <c r="G685" s="89">
        <v>-2</v>
      </c>
      <c r="H685" s="89" t="s">
        <v>210</v>
      </c>
      <c r="I685" s="89" t="s">
        <v>210</v>
      </c>
      <c r="J685" s="89">
        <v>4</v>
      </c>
      <c r="K685" s="89">
        <v>6</v>
      </c>
      <c r="L685" s="89" t="s">
        <v>210</v>
      </c>
      <c r="M685" s="89" t="s">
        <v>202</v>
      </c>
      <c r="N685" s="89" t="s">
        <v>210</v>
      </c>
      <c r="O685" s="89">
        <v>-1</v>
      </c>
      <c r="P685" s="89"/>
      <c r="Q685" s="89"/>
      <c r="R685" s="89"/>
      <c r="S685" s="89"/>
      <c r="T685" s="89"/>
      <c r="U685" s="89"/>
      <c r="V685" s="89"/>
      <c r="W685" s="89"/>
      <c r="X685" s="89"/>
      <c r="Y685" s="89"/>
      <c r="Z685" s="89"/>
      <c r="AA685" s="89"/>
      <c r="AB685" s="89"/>
      <c r="AC685" s="89"/>
      <c r="AD685" s="89"/>
      <c r="AE685" s="89"/>
      <c r="AF685" s="89"/>
      <c r="AG685" s="89"/>
      <c r="AH685" s="89"/>
      <c r="AI685" s="89"/>
      <c r="AJ685" s="89"/>
      <c r="AK685" s="89"/>
      <c r="AL685" s="89"/>
      <c r="AM685" s="89"/>
      <c r="AN685" s="89"/>
      <c r="AO685" s="89"/>
      <c r="AP685" s="89"/>
      <c r="AQ685" s="89"/>
      <c r="AR685" s="89"/>
      <c r="AS685" s="89"/>
      <c r="AT685" s="89"/>
      <c r="AU685" s="89"/>
      <c r="AV685" s="89"/>
      <c r="AW685" s="89"/>
      <c r="AX685" s="89"/>
      <c r="AY685" s="89"/>
      <c r="AZ685" s="89"/>
      <c r="BA685" s="95"/>
    </row>
    <row r="686" spans="1:53" s="87" customFormat="1">
      <c r="A686" s="374" t="str">
        <f t="shared" si="58"/>
        <v/>
      </c>
      <c r="B686" s="89">
        <v>11</v>
      </c>
      <c r="C686" s="89">
        <v>-6</v>
      </c>
      <c r="D686" s="89" t="s">
        <v>210</v>
      </c>
      <c r="E686" s="89" t="s">
        <v>210</v>
      </c>
      <c r="F686" s="89">
        <v>5</v>
      </c>
      <c r="G686" s="89">
        <v>-4</v>
      </c>
      <c r="H686" s="89" t="s">
        <v>210</v>
      </c>
      <c r="I686" s="89" t="s">
        <v>210</v>
      </c>
      <c r="J686" s="89">
        <v>2</v>
      </c>
      <c r="K686" s="89">
        <v>-3</v>
      </c>
      <c r="L686" s="89" t="s">
        <v>210</v>
      </c>
      <c r="M686" s="89" t="s">
        <v>202</v>
      </c>
      <c r="N686" s="89" t="s">
        <v>210</v>
      </c>
      <c r="O686" s="89">
        <v>1</v>
      </c>
      <c r="P686" s="89"/>
      <c r="Q686" s="89"/>
      <c r="R686" s="89"/>
      <c r="S686" s="89"/>
      <c r="T686" s="89"/>
      <c r="U686" s="89"/>
      <c r="V686" s="89"/>
      <c r="W686" s="89"/>
      <c r="X686" s="89"/>
      <c r="Y686" s="89"/>
      <c r="Z686" s="89"/>
      <c r="AA686" s="89"/>
      <c r="AB686" s="89"/>
      <c r="AC686" s="89"/>
      <c r="AD686" s="89"/>
      <c r="AE686" s="89"/>
      <c r="AF686" s="89"/>
      <c r="AG686" s="89"/>
      <c r="AH686" s="89"/>
      <c r="AI686" s="89"/>
      <c r="AJ686" s="89"/>
      <c r="AK686" s="89"/>
      <c r="AL686" s="89"/>
      <c r="AM686" s="89"/>
      <c r="AN686" s="89"/>
      <c r="AO686" s="89"/>
      <c r="AP686" s="89"/>
      <c r="AQ686" s="89"/>
      <c r="AR686" s="89"/>
      <c r="AS686" s="89"/>
      <c r="AT686" s="89"/>
      <c r="AU686" s="89"/>
      <c r="AV686" s="89"/>
      <c r="AW686" s="89"/>
      <c r="AX686" s="89"/>
      <c r="AY686" s="89"/>
      <c r="AZ686" s="89"/>
      <c r="BA686" s="95"/>
    </row>
    <row r="687" spans="1:53" s="87" customFormat="1">
      <c r="A687" s="374" t="str">
        <f t="shared" si="58"/>
        <v/>
      </c>
      <c r="B687" s="89">
        <v>12</v>
      </c>
      <c r="C687" s="89">
        <v>4</v>
      </c>
      <c r="D687" s="89" t="s">
        <v>210</v>
      </c>
      <c r="E687" s="89" t="s">
        <v>210</v>
      </c>
      <c r="F687" s="89">
        <v>-5</v>
      </c>
      <c r="G687" s="89">
        <v>2</v>
      </c>
      <c r="H687" s="89" t="s">
        <v>210</v>
      </c>
      <c r="I687" s="89" t="s">
        <v>210</v>
      </c>
      <c r="J687" s="89">
        <v>-3</v>
      </c>
      <c r="K687" s="89">
        <v>-1</v>
      </c>
      <c r="L687" s="89" t="s">
        <v>210</v>
      </c>
      <c r="M687" s="89" t="s">
        <v>202</v>
      </c>
      <c r="N687" s="89" t="s">
        <v>210</v>
      </c>
      <c r="O687" s="89">
        <v>6</v>
      </c>
      <c r="P687" s="89"/>
      <c r="Q687" s="89"/>
      <c r="R687" s="89"/>
      <c r="S687" s="89"/>
      <c r="T687" s="89"/>
      <c r="U687" s="89"/>
      <c r="V687" s="89"/>
      <c r="W687" s="89"/>
      <c r="X687" s="89"/>
      <c r="Y687" s="89"/>
      <c r="Z687" s="89"/>
      <c r="AA687" s="89"/>
      <c r="AB687" s="89"/>
      <c r="AC687" s="89"/>
      <c r="AD687" s="89"/>
      <c r="AE687" s="89"/>
      <c r="AF687" s="89"/>
      <c r="AG687" s="89"/>
      <c r="AH687" s="89"/>
      <c r="AI687" s="89"/>
      <c r="AJ687" s="89"/>
      <c r="AK687" s="89"/>
      <c r="AL687" s="89"/>
      <c r="AM687" s="89"/>
      <c r="AN687" s="89"/>
      <c r="AO687" s="89"/>
      <c r="AP687" s="89"/>
      <c r="AQ687" s="89"/>
      <c r="AR687" s="89"/>
      <c r="AS687" s="89"/>
      <c r="AT687" s="89"/>
      <c r="AU687" s="89"/>
      <c r="AV687" s="89"/>
      <c r="AW687" s="89"/>
      <c r="AX687" s="89"/>
      <c r="AY687" s="89"/>
      <c r="AZ687" s="89"/>
      <c r="BA687" s="95"/>
    </row>
    <row r="688" spans="1:53" s="87" customFormat="1">
      <c r="A688" s="374" t="str">
        <f t="shared" si="58"/>
        <v/>
      </c>
      <c r="B688" s="99">
        <v>13</v>
      </c>
      <c r="C688" s="92">
        <v>1</v>
      </c>
      <c r="D688" s="92" t="s">
        <v>210</v>
      </c>
      <c r="E688" s="92" t="s">
        <v>210</v>
      </c>
      <c r="F688" s="92">
        <v>2</v>
      </c>
      <c r="G688" s="92">
        <v>-5</v>
      </c>
      <c r="H688" s="92" t="s">
        <v>210</v>
      </c>
      <c r="I688" s="92" t="s">
        <v>210</v>
      </c>
      <c r="J688" s="92">
        <v>-4</v>
      </c>
      <c r="K688" s="92">
        <v>3</v>
      </c>
      <c r="L688" s="92" t="s">
        <v>210</v>
      </c>
      <c r="M688" s="92" t="s">
        <v>202</v>
      </c>
      <c r="N688" s="92" t="s">
        <v>210</v>
      </c>
      <c r="O688" s="92">
        <v>-6</v>
      </c>
      <c r="P688" s="89"/>
      <c r="Q688" s="89"/>
      <c r="R688" s="89"/>
      <c r="S688" s="89"/>
      <c r="T688" s="89"/>
      <c r="U688" s="89"/>
      <c r="V688" s="89"/>
      <c r="W688" s="89"/>
      <c r="X688" s="89"/>
      <c r="Y688" s="89"/>
      <c r="Z688" s="89"/>
      <c r="AA688" s="89"/>
      <c r="AB688" s="89"/>
      <c r="AC688" s="89"/>
      <c r="AD688" s="89"/>
      <c r="AE688" s="89"/>
      <c r="AF688" s="89"/>
      <c r="AG688" s="89"/>
      <c r="AH688" s="89"/>
      <c r="AI688" s="89"/>
      <c r="AJ688" s="89"/>
      <c r="AK688" s="89"/>
      <c r="AL688" s="89"/>
      <c r="AM688" s="89"/>
      <c r="AN688" s="89"/>
      <c r="AO688" s="89"/>
      <c r="AP688" s="89"/>
      <c r="AQ688" s="89"/>
      <c r="AR688" s="89"/>
      <c r="AS688" s="89"/>
      <c r="AT688" s="89"/>
      <c r="AU688" s="89"/>
      <c r="AV688" s="89"/>
      <c r="AW688" s="89"/>
      <c r="AX688" s="89"/>
      <c r="AY688" s="89"/>
      <c r="AZ688" s="89"/>
      <c r="BA688" s="95"/>
    </row>
    <row r="689" spans="1:53" s="87" customFormat="1">
      <c r="A689" s="374" t="str">
        <f t="shared" si="58"/>
        <v/>
      </c>
      <c r="B689" s="89">
        <v>14</v>
      </c>
      <c r="C689" s="89" t="s">
        <v>210</v>
      </c>
      <c r="D689" s="89">
        <v>6</v>
      </c>
      <c r="E689" s="89">
        <v>-1</v>
      </c>
      <c r="F689" s="89" t="s">
        <v>210</v>
      </c>
      <c r="G689" s="89" t="s">
        <v>210</v>
      </c>
      <c r="H689" s="89">
        <v>-4</v>
      </c>
      <c r="I689" s="89">
        <v>2</v>
      </c>
      <c r="J689" s="89" t="s">
        <v>210</v>
      </c>
      <c r="K689" s="89" t="s">
        <v>210</v>
      </c>
      <c r="L689" s="89">
        <v>-5</v>
      </c>
      <c r="M689" s="89">
        <v>3</v>
      </c>
      <c r="N689" s="89" t="s">
        <v>210</v>
      </c>
      <c r="O689" s="89" t="s">
        <v>210</v>
      </c>
      <c r="P689" s="89"/>
      <c r="Q689" s="89"/>
      <c r="R689" s="89"/>
      <c r="S689" s="89"/>
      <c r="T689" s="89"/>
      <c r="U689" s="89"/>
      <c r="V689" s="89"/>
      <c r="W689" s="89"/>
      <c r="X689" s="89"/>
      <c r="Y689" s="89"/>
      <c r="Z689" s="89"/>
      <c r="AA689" s="89"/>
      <c r="AB689" s="89"/>
      <c r="AC689" s="89"/>
      <c r="AD689" s="89"/>
      <c r="AE689" s="89"/>
      <c r="AF689" s="89"/>
      <c r="AG689" s="89"/>
      <c r="AH689" s="89"/>
      <c r="AI689" s="89"/>
      <c r="AJ689" s="89"/>
      <c r="AK689" s="89"/>
      <c r="AL689" s="89"/>
      <c r="AM689" s="89"/>
      <c r="AN689" s="89"/>
      <c r="AO689" s="89"/>
      <c r="AP689" s="89"/>
      <c r="AQ689" s="89"/>
      <c r="AR689" s="89"/>
      <c r="AS689" s="89"/>
      <c r="AT689" s="89"/>
      <c r="AU689" s="89"/>
      <c r="AV689" s="89"/>
      <c r="AW689" s="89"/>
      <c r="AX689" s="89"/>
      <c r="AY689" s="89"/>
      <c r="AZ689" s="89"/>
      <c r="BA689" s="95"/>
    </row>
    <row r="690" spans="1:53" s="87" customFormat="1">
      <c r="A690" s="374" t="str">
        <f t="shared" si="58"/>
        <v/>
      </c>
      <c r="B690" s="89">
        <v>15</v>
      </c>
      <c r="C690" s="89" t="s">
        <v>210</v>
      </c>
      <c r="D690" s="89">
        <v>1</v>
      </c>
      <c r="E690" s="89">
        <v>6</v>
      </c>
      <c r="F690" s="89" t="s">
        <v>210</v>
      </c>
      <c r="G690" s="89" t="s">
        <v>210</v>
      </c>
      <c r="H690" s="89">
        <v>-5</v>
      </c>
      <c r="I690" s="89">
        <v>-4</v>
      </c>
      <c r="J690" s="89" t="s">
        <v>210</v>
      </c>
      <c r="K690" s="89" t="s">
        <v>210</v>
      </c>
      <c r="L690" s="89">
        <v>2</v>
      </c>
      <c r="M690" s="89">
        <v>-3</v>
      </c>
      <c r="N690" s="89" t="s">
        <v>210</v>
      </c>
      <c r="O690" s="89" t="s">
        <v>210</v>
      </c>
      <c r="P690" s="89"/>
      <c r="Q690" s="89"/>
      <c r="R690" s="89"/>
      <c r="S690" s="89"/>
      <c r="T690" s="89"/>
      <c r="U690" s="89"/>
      <c r="V690" s="89"/>
      <c r="W690" s="89"/>
      <c r="X690" s="89"/>
      <c r="Y690" s="89"/>
      <c r="Z690" s="89"/>
      <c r="AA690" s="89"/>
      <c r="AB690" s="89"/>
      <c r="AC690" s="89"/>
      <c r="AD690" s="89"/>
      <c r="AE690" s="89"/>
      <c r="AF690" s="89"/>
      <c r="AG690" s="89"/>
      <c r="AH690" s="89"/>
      <c r="AI690" s="89"/>
      <c r="AJ690" s="89"/>
      <c r="AK690" s="89"/>
      <c r="AL690" s="89"/>
      <c r="AM690" s="89"/>
      <c r="AN690" s="89"/>
      <c r="AO690" s="89"/>
      <c r="AP690" s="89"/>
      <c r="AQ690" s="89"/>
      <c r="AR690" s="89"/>
      <c r="AS690" s="89"/>
      <c r="AT690" s="89"/>
      <c r="AU690" s="89"/>
      <c r="AV690" s="89"/>
      <c r="AW690" s="89"/>
      <c r="AX690" s="89"/>
      <c r="AY690" s="89"/>
      <c r="AZ690" s="89"/>
      <c r="BA690" s="95"/>
    </row>
    <row r="691" spans="1:53" s="87" customFormat="1">
      <c r="A691" s="374" t="str">
        <f t="shared" si="58"/>
        <v/>
      </c>
      <c r="B691" s="89">
        <v>16</v>
      </c>
      <c r="C691" s="89" t="s">
        <v>210</v>
      </c>
      <c r="D691" s="89">
        <v>-5</v>
      </c>
      <c r="E691" s="89">
        <v>1</v>
      </c>
      <c r="F691" s="89" t="s">
        <v>210</v>
      </c>
      <c r="G691" s="89" t="s">
        <v>210</v>
      </c>
      <c r="H691" s="89">
        <v>6</v>
      </c>
      <c r="I691" s="89">
        <v>-3</v>
      </c>
      <c r="J691" s="89" t="s">
        <v>210</v>
      </c>
      <c r="K691" s="89" t="s">
        <v>210</v>
      </c>
      <c r="L691" s="89">
        <v>-2</v>
      </c>
      <c r="M691" s="89">
        <v>4</v>
      </c>
      <c r="N691" s="89" t="s">
        <v>210</v>
      </c>
      <c r="O691" s="89" t="s">
        <v>210</v>
      </c>
      <c r="P691" s="89"/>
      <c r="Q691" s="89"/>
      <c r="R691" s="89"/>
      <c r="S691" s="89"/>
      <c r="T691" s="89"/>
      <c r="U691" s="89"/>
      <c r="V691" s="89"/>
      <c r="W691" s="89"/>
      <c r="X691" s="89"/>
      <c r="Y691" s="89"/>
      <c r="Z691" s="89"/>
      <c r="AA691" s="89"/>
      <c r="AB691" s="89"/>
      <c r="AC691" s="89"/>
      <c r="AD691" s="89"/>
      <c r="AE691" s="89"/>
      <c r="AF691" s="89"/>
      <c r="AG691" s="89"/>
      <c r="AH691" s="89"/>
      <c r="AI691" s="89"/>
      <c r="AJ691" s="89"/>
      <c r="AK691" s="89"/>
      <c r="AL691" s="89"/>
      <c r="AM691" s="89"/>
      <c r="AN691" s="89"/>
      <c r="AO691" s="89"/>
      <c r="AP691" s="89"/>
      <c r="AQ691" s="89"/>
      <c r="AR691" s="89"/>
      <c r="AS691" s="89"/>
      <c r="AT691" s="89"/>
      <c r="AU691" s="89"/>
      <c r="AV691" s="89"/>
      <c r="AW691" s="89"/>
      <c r="AX691" s="89"/>
      <c r="AY691" s="89"/>
      <c r="AZ691" s="89"/>
      <c r="BA691" s="95"/>
    </row>
    <row r="692" spans="1:53" s="87" customFormat="1">
      <c r="A692" s="374" t="str">
        <f t="shared" si="58"/>
        <v/>
      </c>
      <c r="B692" s="89">
        <v>17</v>
      </c>
      <c r="C692" s="89" t="s">
        <v>210</v>
      </c>
      <c r="D692" s="89">
        <v>2</v>
      </c>
      <c r="E692" s="89">
        <v>-3</v>
      </c>
      <c r="F692" s="89" t="s">
        <v>210</v>
      </c>
      <c r="G692" s="89" t="s">
        <v>210</v>
      </c>
      <c r="H692" s="89">
        <v>5</v>
      </c>
      <c r="I692" s="89">
        <v>-2</v>
      </c>
      <c r="J692" s="89" t="s">
        <v>210</v>
      </c>
      <c r="K692" s="89" t="s">
        <v>210</v>
      </c>
      <c r="L692" s="89">
        <v>1</v>
      </c>
      <c r="M692" s="89">
        <v>-4</v>
      </c>
      <c r="N692" s="89" t="s">
        <v>210</v>
      </c>
      <c r="O692" s="89" t="s">
        <v>210</v>
      </c>
      <c r="P692" s="89"/>
      <c r="Q692" s="89"/>
      <c r="R692" s="89"/>
      <c r="S692" s="89"/>
      <c r="T692" s="89"/>
      <c r="U692" s="89"/>
      <c r="V692" s="89"/>
      <c r="W692" s="89"/>
      <c r="X692" s="89"/>
      <c r="Y692" s="89"/>
      <c r="Z692" s="89"/>
      <c r="AA692" s="89"/>
      <c r="AB692" s="89"/>
      <c r="AC692" s="89"/>
      <c r="AD692" s="89"/>
      <c r="AE692" s="89"/>
      <c r="AF692" s="89"/>
      <c r="AG692" s="89"/>
      <c r="AH692" s="89"/>
      <c r="AI692" s="89"/>
      <c r="AJ692" s="89"/>
      <c r="AK692" s="89"/>
      <c r="AL692" s="89"/>
      <c r="AM692" s="89"/>
      <c r="AN692" s="89"/>
      <c r="AO692" s="89"/>
      <c r="AP692" s="89"/>
      <c r="AQ692" s="89"/>
      <c r="AR692" s="89"/>
      <c r="AS692" s="89"/>
      <c r="AT692" s="89"/>
      <c r="AU692" s="89"/>
      <c r="AV692" s="89"/>
      <c r="AW692" s="89"/>
      <c r="AX692" s="89"/>
      <c r="AY692" s="89"/>
      <c r="AZ692" s="89"/>
      <c r="BA692" s="95"/>
    </row>
    <row r="693" spans="1:53" s="87" customFormat="1">
      <c r="A693" s="374" t="str">
        <f t="shared" si="58"/>
        <v/>
      </c>
      <c r="B693" s="89">
        <v>18</v>
      </c>
      <c r="C693" s="89" t="s">
        <v>210</v>
      </c>
      <c r="D693" s="89">
        <v>-4</v>
      </c>
      <c r="E693" s="89">
        <v>3</v>
      </c>
      <c r="F693" s="89" t="s">
        <v>210</v>
      </c>
      <c r="G693" s="89" t="s">
        <v>210</v>
      </c>
      <c r="H693" s="89">
        <v>-6</v>
      </c>
      <c r="I693" s="89">
        <v>4</v>
      </c>
      <c r="J693" s="89" t="s">
        <v>210</v>
      </c>
      <c r="K693" s="89" t="s">
        <v>210</v>
      </c>
      <c r="L693" s="89">
        <v>5</v>
      </c>
      <c r="M693" s="89">
        <v>-2</v>
      </c>
      <c r="N693" s="89" t="s">
        <v>210</v>
      </c>
      <c r="O693" s="89" t="s">
        <v>210</v>
      </c>
      <c r="P693" s="89"/>
      <c r="Q693" s="89"/>
      <c r="R693" s="89"/>
      <c r="S693" s="89"/>
      <c r="T693" s="89"/>
      <c r="U693" s="89"/>
      <c r="V693" s="89"/>
      <c r="W693" s="89"/>
      <c r="X693" s="89"/>
      <c r="Y693" s="89"/>
      <c r="Z693" s="89"/>
      <c r="AA693" s="89"/>
      <c r="AB693" s="89"/>
      <c r="AC693" s="89"/>
      <c r="AD693" s="89"/>
      <c r="AE693" s="89"/>
      <c r="AF693" s="89"/>
      <c r="AG693" s="89"/>
      <c r="AH693" s="89"/>
      <c r="AI693" s="89"/>
      <c r="AJ693" s="89"/>
      <c r="AK693" s="89"/>
      <c r="AL693" s="89"/>
      <c r="AM693" s="89"/>
      <c r="AN693" s="89"/>
      <c r="AO693" s="89"/>
      <c r="AP693" s="89"/>
      <c r="AQ693" s="89"/>
      <c r="AR693" s="89"/>
      <c r="AS693" s="89"/>
      <c r="AT693" s="89"/>
      <c r="AU693" s="89"/>
      <c r="AV693" s="89"/>
      <c r="AW693" s="89"/>
      <c r="AX693" s="89"/>
      <c r="AY693" s="89"/>
      <c r="AZ693" s="89"/>
      <c r="BA693" s="95"/>
    </row>
    <row r="694" spans="1:53" s="87" customFormat="1">
      <c r="A694" s="374" t="str">
        <f t="shared" si="58"/>
        <v/>
      </c>
      <c r="B694" s="99">
        <v>19</v>
      </c>
      <c r="C694" s="92" t="s">
        <v>210</v>
      </c>
      <c r="D694" s="92">
        <v>-3</v>
      </c>
      <c r="E694" s="92">
        <v>-6</v>
      </c>
      <c r="F694" s="92" t="s">
        <v>210</v>
      </c>
      <c r="G694" s="92" t="s">
        <v>210</v>
      </c>
      <c r="H694" s="92">
        <v>4</v>
      </c>
      <c r="I694" s="92">
        <v>3</v>
      </c>
      <c r="J694" s="92" t="s">
        <v>210</v>
      </c>
      <c r="K694" s="92" t="s">
        <v>210</v>
      </c>
      <c r="L694" s="92">
        <v>-1</v>
      </c>
      <c r="M694" s="92">
        <v>2</v>
      </c>
      <c r="N694" s="92" t="s">
        <v>210</v>
      </c>
      <c r="O694" s="92" t="s">
        <v>210</v>
      </c>
      <c r="P694" s="89"/>
      <c r="Q694" s="89"/>
      <c r="R694" s="89"/>
      <c r="S694" s="89"/>
      <c r="T694" s="89"/>
      <c r="U694" s="89"/>
      <c r="V694" s="89"/>
      <c r="W694" s="89"/>
      <c r="X694" s="89"/>
      <c r="Y694" s="89"/>
      <c r="Z694" s="89"/>
      <c r="AA694" s="89"/>
      <c r="AB694" s="89"/>
      <c r="AC694" s="89"/>
      <c r="AD694" s="89"/>
      <c r="AE694" s="89"/>
      <c r="AF694" s="89"/>
      <c r="AG694" s="89"/>
      <c r="AH694" s="89"/>
      <c r="AI694" s="89"/>
      <c r="AJ694" s="89"/>
      <c r="AK694" s="89"/>
      <c r="AL694" s="89"/>
      <c r="AM694" s="89"/>
      <c r="AN694" s="89"/>
      <c r="AO694" s="89"/>
      <c r="AP694" s="89"/>
      <c r="AQ694" s="89"/>
      <c r="AR694" s="89"/>
      <c r="AS694" s="89"/>
      <c r="AT694" s="89"/>
      <c r="AU694" s="89"/>
      <c r="AV694" s="89"/>
      <c r="AW694" s="89"/>
      <c r="AX694" s="89"/>
      <c r="AY694" s="89"/>
      <c r="AZ694" s="89"/>
      <c r="BA694" s="95"/>
    </row>
    <row r="695" spans="1:53" s="87" customFormat="1">
      <c r="A695" s="374" t="str">
        <f t="shared" si="58"/>
        <v/>
      </c>
      <c r="B695" s="89">
        <v>20</v>
      </c>
      <c r="C695" s="89">
        <v>6</v>
      </c>
      <c r="D695" s="89" t="s">
        <v>210</v>
      </c>
      <c r="E695" s="89">
        <v>-4</v>
      </c>
      <c r="F695" s="89" t="s">
        <v>210</v>
      </c>
      <c r="G695" s="89" t="s">
        <v>210</v>
      </c>
      <c r="H695" s="89">
        <v>1</v>
      </c>
      <c r="I695" s="89">
        <v>-6</v>
      </c>
      <c r="J695" s="89" t="s">
        <v>210</v>
      </c>
      <c r="K695" s="89" t="s">
        <v>210</v>
      </c>
      <c r="L695" s="89">
        <v>3</v>
      </c>
      <c r="M695" s="89">
        <v>-5</v>
      </c>
      <c r="N695" s="89" t="s">
        <v>210</v>
      </c>
      <c r="O695" s="89" t="s">
        <v>210</v>
      </c>
      <c r="P695" s="89"/>
      <c r="Q695" s="89"/>
      <c r="R695" s="89"/>
      <c r="S695" s="89"/>
      <c r="T695" s="89"/>
      <c r="U695" s="89"/>
      <c r="V695" s="89"/>
      <c r="W695" s="89"/>
      <c r="X695" s="89"/>
      <c r="Y695" s="89"/>
      <c r="Z695" s="89"/>
      <c r="AA695" s="89"/>
      <c r="AB695" s="89"/>
      <c r="AC695" s="89"/>
      <c r="AD695" s="89"/>
      <c r="AE695" s="89"/>
      <c r="AF695" s="89"/>
      <c r="AG695" s="89"/>
      <c r="AH695" s="89"/>
      <c r="AI695" s="89"/>
      <c r="AJ695" s="89"/>
      <c r="AK695" s="89"/>
      <c r="AL695" s="89"/>
      <c r="AM695" s="89"/>
      <c r="AN695" s="89"/>
      <c r="AO695" s="89"/>
      <c r="AP695" s="89"/>
      <c r="AQ695" s="89"/>
      <c r="AR695" s="89"/>
      <c r="AS695" s="89"/>
      <c r="AT695" s="89"/>
      <c r="AU695" s="89"/>
      <c r="AV695" s="89"/>
      <c r="AW695" s="89"/>
      <c r="AX695" s="89"/>
      <c r="AY695" s="89"/>
      <c r="AZ695" s="89"/>
      <c r="BA695" s="95"/>
    </row>
    <row r="696" spans="1:53" s="87" customFormat="1">
      <c r="A696" s="374" t="str">
        <f t="shared" si="58"/>
        <v/>
      </c>
      <c r="B696" s="89">
        <v>21</v>
      </c>
      <c r="C696" s="89">
        <v>-4</v>
      </c>
      <c r="D696" s="89" t="s">
        <v>210</v>
      </c>
      <c r="E696" s="89">
        <v>-2</v>
      </c>
      <c r="F696" s="89" t="s">
        <v>210</v>
      </c>
      <c r="G696" s="89" t="s">
        <v>210</v>
      </c>
      <c r="H696" s="89">
        <v>3</v>
      </c>
      <c r="I696" s="89">
        <v>1</v>
      </c>
      <c r="J696" s="89" t="s">
        <v>210</v>
      </c>
      <c r="K696" s="89" t="s">
        <v>210</v>
      </c>
      <c r="L696" s="89">
        <v>-6</v>
      </c>
      <c r="M696" s="89">
        <v>5</v>
      </c>
      <c r="N696" s="89" t="s">
        <v>210</v>
      </c>
      <c r="O696" s="89" t="s">
        <v>210</v>
      </c>
      <c r="P696" s="89"/>
      <c r="Q696" s="89"/>
      <c r="R696" s="89"/>
      <c r="S696" s="89"/>
      <c r="T696" s="89"/>
      <c r="U696" s="89"/>
      <c r="V696" s="89"/>
      <c r="W696" s="89"/>
      <c r="X696" s="89"/>
      <c r="Y696" s="89"/>
      <c r="Z696" s="89"/>
      <c r="AA696" s="89"/>
      <c r="AB696" s="89"/>
      <c r="AC696" s="89"/>
      <c r="AD696" s="89"/>
      <c r="AE696" s="89"/>
      <c r="AF696" s="89"/>
      <c r="AG696" s="89"/>
      <c r="AH696" s="89"/>
      <c r="AI696" s="89"/>
      <c r="AJ696" s="89"/>
      <c r="AK696" s="89"/>
      <c r="AL696" s="89"/>
      <c r="AM696" s="89"/>
      <c r="AN696" s="89"/>
      <c r="AO696" s="89"/>
      <c r="AP696" s="89"/>
      <c r="AQ696" s="89"/>
      <c r="AR696" s="89"/>
      <c r="AS696" s="89"/>
      <c r="AT696" s="89"/>
      <c r="AU696" s="89"/>
      <c r="AV696" s="89"/>
      <c r="AW696" s="89"/>
      <c r="AX696" s="89"/>
      <c r="AY696" s="89"/>
      <c r="AZ696" s="89"/>
      <c r="BA696" s="95"/>
    </row>
    <row r="697" spans="1:53" s="87" customFormat="1">
      <c r="A697" s="374" t="str">
        <f t="shared" si="58"/>
        <v/>
      </c>
      <c r="B697" s="89">
        <v>22</v>
      </c>
      <c r="C697" s="89">
        <v>-1</v>
      </c>
      <c r="D697" s="89" t="s">
        <v>210</v>
      </c>
      <c r="E697" s="89">
        <v>4</v>
      </c>
      <c r="F697" s="89" t="s">
        <v>210</v>
      </c>
      <c r="G697" s="89" t="s">
        <v>210</v>
      </c>
      <c r="H697" s="89">
        <v>-2</v>
      </c>
      <c r="I697" s="89">
        <v>-5</v>
      </c>
      <c r="J697" s="89" t="s">
        <v>210</v>
      </c>
      <c r="K697" s="89" t="s">
        <v>210</v>
      </c>
      <c r="L697" s="89">
        <v>6</v>
      </c>
      <c r="M697" s="89">
        <v>1</v>
      </c>
      <c r="N697" s="89" t="s">
        <v>210</v>
      </c>
      <c r="O697" s="89" t="s">
        <v>210</v>
      </c>
      <c r="P697" s="89"/>
      <c r="Q697" s="89"/>
      <c r="R697" s="89"/>
      <c r="S697" s="89"/>
      <c r="T697" s="89"/>
      <c r="U697" s="89"/>
      <c r="V697" s="89"/>
      <c r="W697" s="89"/>
      <c r="X697" s="89"/>
      <c r="Y697" s="89"/>
      <c r="Z697" s="89"/>
      <c r="AA697" s="89"/>
      <c r="AB697" s="89"/>
      <c r="AC697" s="89"/>
      <c r="AD697" s="89"/>
      <c r="AE697" s="89"/>
      <c r="AF697" s="89"/>
      <c r="AG697" s="89"/>
      <c r="AH697" s="89"/>
      <c r="AI697" s="89"/>
      <c r="AJ697" s="89"/>
      <c r="AK697" s="89"/>
      <c r="AL697" s="89"/>
      <c r="AM697" s="89"/>
      <c r="AN697" s="89"/>
      <c r="AO697" s="89"/>
      <c r="AP697" s="89"/>
      <c r="AQ697" s="89"/>
      <c r="AR697" s="89"/>
      <c r="AS697" s="89"/>
      <c r="AT697" s="89"/>
      <c r="AU697" s="89"/>
      <c r="AV697" s="89"/>
      <c r="AW697" s="89"/>
      <c r="AX697" s="89"/>
      <c r="AY697" s="89"/>
      <c r="AZ697" s="89"/>
      <c r="BA697" s="95"/>
    </row>
    <row r="698" spans="1:53" s="87" customFormat="1">
      <c r="A698" s="374" t="str">
        <f t="shared" si="58"/>
        <v/>
      </c>
      <c r="B698" s="89">
        <v>23</v>
      </c>
      <c r="C698" s="89" t="s">
        <v>210</v>
      </c>
      <c r="D698" s="89">
        <v>-2</v>
      </c>
      <c r="E698" s="89">
        <v>5</v>
      </c>
      <c r="F698" s="89" t="s">
        <v>210</v>
      </c>
      <c r="G698" s="89" t="s">
        <v>210</v>
      </c>
      <c r="H698" s="89">
        <v>-3</v>
      </c>
      <c r="I698" s="89">
        <v>6</v>
      </c>
      <c r="J698" s="89" t="s">
        <v>210</v>
      </c>
      <c r="K698" s="89" t="s">
        <v>210</v>
      </c>
      <c r="L698" s="89">
        <v>4</v>
      </c>
      <c r="M698" s="89">
        <v>-1</v>
      </c>
      <c r="N698" s="89" t="s">
        <v>210</v>
      </c>
      <c r="O698" s="89" t="s">
        <v>210</v>
      </c>
      <c r="P698" s="89"/>
      <c r="Q698" s="89"/>
      <c r="R698" s="89"/>
      <c r="S698" s="89"/>
      <c r="T698" s="89"/>
      <c r="U698" s="89"/>
      <c r="V698" s="89"/>
      <c r="W698" s="89"/>
      <c r="X698" s="89"/>
      <c r="Y698" s="89"/>
      <c r="Z698" s="89"/>
      <c r="AA698" s="89"/>
      <c r="AB698" s="89"/>
      <c r="AC698" s="89"/>
      <c r="AD698" s="89"/>
      <c r="AE698" s="89"/>
      <c r="AF698" s="89"/>
      <c r="AG698" s="89"/>
      <c r="AH698" s="89"/>
      <c r="AI698" s="89"/>
      <c r="AJ698" s="89"/>
      <c r="AK698" s="89"/>
      <c r="AL698" s="89"/>
      <c r="AM698" s="89"/>
      <c r="AN698" s="89"/>
      <c r="AO698" s="89"/>
      <c r="AP698" s="89"/>
      <c r="AQ698" s="89"/>
      <c r="AR698" s="89"/>
      <c r="AS698" s="89"/>
      <c r="AT698" s="89"/>
      <c r="AU698" s="89"/>
      <c r="AV698" s="89"/>
      <c r="AW698" s="89"/>
      <c r="AX698" s="89"/>
      <c r="AY698" s="89"/>
      <c r="AZ698" s="89"/>
      <c r="BA698" s="95"/>
    </row>
    <row r="699" spans="1:53" s="87" customFormat="1">
      <c r="A699" s="374" t="str">
        <f t="shared" si="58"/>
        <v/>
      </c>
      <c r="B699" s="89">
        <v>24</v>
      </c>
      <c r="C699" s="89" t="s">
        <v>210</v>
      </c>
      <c r="D699" s="89">
        <v>4</v>
      </c>
      <c r="E699" s="89">
        <v>-5</v>
      </c>
      <c r="F699" s="89" t="s">
        <v>210</v>
      </c>
      <c r="G699" s="89" t="s">
        <v>210</v>
      </c>
      <c r="H699" s="89">
        <v>2</v>
      </c>
      <c r="I699" s="89">
        <v>-1</v>
      </c>
      <c r="J699" s="89" t="s">
        <v>210</v>
      </c>
      <c r="K699" s="89" t="s">
        <v>210</v>
      </c>
      <c r="L699" s="89">
        <v>-3</v>
      </c>
      <c r="M699" s="89">
        <v>6</v>
      </c>
      <c r="N699" s="89" t="s">
        <v>210</v>
      </c>
      <c r="O699" s="89" t="s">
        <v>210</v>
      </c>
      <c r="P699" s="89"/>
      <c r="Q699" s="89"/>
      <c r="R699" s="89"/>
      <c r="S699" s="89"/>
      <c r="T699" s="89"/>
      <c r="U699" s="89"/>
      <c r="V699" s="89"/>
      <c r="W699" s="89"/>
      <c r="X699" s="89"/>
      <c r="Y699" s="89"/>
      <c r="Z699" s="89"/>
      <c r="AA699" s="89"/>
      <c r="AB699" s="89"/>
      <c r="AC699" s="89"/>
      <c r="AD699" s="89"/>
      <c r="AE699" s="89"/>
      <c r="AF699" s="89"/>
      <c r="AG699" s="89"/>
      <c r="AH699" s="89"/>
      <c r="AI699" s="89"/>
      <c r="AJ699" s="89"/>
      <c r="AK699" s="89"/>
      <c r="AL699" s="89"/>
      <c r="AM699" s="89"/>
      <c r="AN699" s="89"/>
      <c r="AO699" s="89"/>
      <c r="AP699" s="89"/>
      <c r="AQ699" s="89"/>
      <c r="AR699" s="89"/>
      <c r="AS699" s="89"/>
      <c r="AT699" s="89"/>
      <c r="AU699" s="89"/>
      <c r="AV699" s="89"/>
      <c r="AW699" s="89"/>
      <c r="AX699" s="89"/>
      <c r="AY699" s="89"/>
      <c r="AZ699" s="89"/>
      <c r="BA699" s="95"/>
    </row>
    <row r="700" spans="1:53" s="87" customFormat="1">
      <c r="A700" s="374" t="str">
        <f t="shared" si="58"/>
        <v/>
      </c>
      <c r="B700" s="89">
        <v>25</v>
      </c>
      <c r="C700" s="89" t="s">
        <v>210</v>
      </c>
      <c r="D700" s="89">
        <v>3</v>
      </c>
      <c r="E700" s="89">
        <v>2</v>
      </c>
      <c r="F700" s="89" t="s">
        <v>210</v>
      </c>
      <c r="G700" s="89" t="s">
        <v>210</v>
      </c>
      <c r="H700" s="89">
        <v>-1</v>
      </c>
      <c r="I700" s="89">
        <v>5</v>
      </c>
      <c r="J700" s="89" t="s">
        <v>210</v>
      </c>
      <c r="K700" s="89" t="s">
        <v>210</v>
      </c>
      <c r="L700" s="89">
        <v>-4</v>
      </c>
      <c r="M700" s="89">
        <v>-6</v>
      </c>
      <c r="N700" s="89" t="s">
        <v>210</v>
      </c>
      <c r="O700" s="89" t="s">
        <v>210</v>
      </c>
      <c r="P700" s="89"/>
      <c r="Q700" s="89"/>
      <c r="R700" s="89"/>
      <c r="S700" s="89"/>
      <c r="T700" s="89"/>
      <c r="U700" s="89"/>
      <c r="V700" s="89"/>
      <c r="W700" s="89"/>
      <c r="X700" s="89"/>
      <c r="Y700" s="89"/>
      <c r="Z700" s="89"/>
      <c r="AA700" s="89"/>
      <c r="AB700" s="89"/>
      <c r="AC700" s="89"/>
      <c r="AD700" s="89"/>
      <c r="AE700" s="89"/>
      <c r="AF700" s="89"/>
      <c r="AG700" s="89"/>
      <c r="AH700" s="89"/>
      <c r="AI700" s="89"/>
      <c r="AJ700" s="89"/>
      <c r="AK700" s="89"/>
      <c r="AL700" s="89"/>
      <c r="AM700" s="89"/>
      <c r="AN700" s="89"/>
      <c r="AO700" s="89"/>
      <c r="AP700" s="89"/>
      <c r="AQ700" s="89"/>
      <c r="AR700" s="89"/>
      <c r="AS700" s="89"/>
      <c r="AT700" s="89"/>
      <c r="AU700" s="89"/>
      <c r="AV700" s="89"/>
      <c r="AW700" s="89"/>
      <c r="AX700" s="89"/>
      <c r="AY700" s="89"/>
      <c r="AZ700" s="89"/>
      <c r="BA700" s="95"/>
    </row>
    <row r="701" spans="1:53" s="87" customFormat="1">
      <c r="A701" s="374" t="str">
        <f t="shared" si="58"/>
        <v/>
      </c>
      <c r="B701" s="89" t="s">
        <v>387</v>
      </c>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c r="AA701" s="89"/>
      <c r="AB701" s="89"/>
      <c r="AC701" s="89"/>
      <c r="AD701" s="89"/>
      <c r="AE701" s="89"/>
      <c r="AF701" s="89"/>
      <c r="AG701" s="89"/>
      <c r="AH701" s="89"/>
      <c r="AI701" s="89"/>
      <c r="AJ701" s="89"/>
      <c r="AK701" s="89"/>
      <c r="AL701" s="89"/>
      <c r="AM701" s="89"/>
      <c r="AN701" s="89"/>
      <c r="AO701" s="89"/>
      <c r="AP701" s="89"/>
      <c r="AQ701" s="89"/>
      <c r="AR701" s="89"/>
      <c r="AS701" s="89"/>
      <c r="AT701" s="89"/>
      <c r="AU701" s="89"/>
      <c r="AV701" s="89"/>
      <c r="AW701" s="89"/>
      <c r="AX701" s="89"/>
      <c r="AY701" s="89"/>
      <c r="AZ701" s="89"/>
      <c r="BA701" s="95"/>
    </row>
    <row r="702" spans="1:53" s="87" customFormat="1">
      <c r="A702" s="374">
        <f t="shared" si="58"/>
        <v>702</v>
      </c>
      <c r="B702" s="89" t="s">
        <v>388</v>
      </c>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c r="AA702" s="89"/>
      <c r="AB702" s="89"/>
      <c r="AC702" s="89"/>
      <c r="AD702" s="89"/>
      <c r="AE702" s="89"/>
      <c r="AF702" s="89"/>
      <c r="AG702" s="89"/>
      <c r="AH702" s="89"/>
      <c r="AI702" s="89"/>
      <c r="AJ702" s="89"/>
      <c r="AK702" s="89"/>
      <c r="AL702" s="89"/>
      <c r="AM702" s="89"/>
      <c r="AN702" s="89"/>
      <c r="AO702" s="89"/>
      <c r="AP702" s="89"/>
      <c r="AQ702" s="89"/>
      <c r="AR702" s="89"/>
      <c r="AS702" s="89"/>
      <c r="AT702" s="89"/>
      <c r="AU702" s="89"/>
      <c r="AV702" s="89"/>
      <c r="AW702" s="89"/>
      <c r="AX702" s="89"/>
      <c r="AY702" s="89"/>
      <c r="AZ702" s="89"/>
      <c r="BA702" s="95"/>
    </row>
    <row r="703" spans="1:53" s="87" customFormat="1">
      <c r="A703" s="374" t="str">
        <f t="shared" si="58"/>
        <v/>
      </c>
      <c r="B703" s="89">
        <v>1</v>
      </c>
      <c r="C703" s="89">
        <v>2</v>
      </c>
      <c r="D703" s="89" t="s">
        <v>210</v>
      </c>
      <c r="E703" s="89">
        <v>-4</v>
      </c>
      <c r="F703" s="89" t="s">
        <v>202</v>
      </c>
      <c r="G703" s="89" t="s">
        <v>210</v>
      </c>
      <c r="H703" s="89" t="s">
        <v>210</v>
      </c>
      <c r="I703" s="89">
        <v>5</v>
      </c>
      <c r="J703" s="89">
        <v>-3</v>
      </c>
      <c r="K703" s="89" t="s">
        <v>210</v>
      </c>
      <c r="L703" s="89"/>
      <c r="M703" s="89"/>
      <c r="N703" s="89"/>
      <c r="O703" s="89"/>
      <c r="P703" s="89"/>
      <c r="Q703" s="89"/>
      <c r="R703" s="89"/>
      <c r="S703" s="89"/>
      <c r="T703" s="89"/>
      <c r="U703" s="89"/>
      <c r="V703" s="89"/>
      <c r="W703" s="89"/>
      <c r="X703" s="89"/>
      <c r="Y703" s="89"/>
      <c r="Z703" s="89"/>
      <c r="AA703" s="89"/>
      <c r="AB703" s="89"/>
      <c r="AC703" s="89"/>
      <c r="AD703" s="89"/>
      <c r="AE703" s="89"/>
      <c r="AF703" s="89"/>
      <c r="AG703" s="89"/>
      <c r="AH703" s="89"/>
      <c r="AI703" s="89"/>
      <c r="AJ703" s="89"/>
      <c r="AK703" s="89"/>
      <c r="AL703" s="89"/>
      <c r="AM703" s="89"/>
      <c r="AN703" s="89"/>
      <c r="AO703" s="89"/>
      <c r="AP703" s="89"/>
      <c r="AQ703" s="89"/>
      <c r="AR703" s="89"/>
      <c r="AS703" s="89"/>
      <c r="AT703" s="89"/>
      <c r="AU703" s="89"/>
      <c r="AV703" s="89"/>
      <c r="AW703" s="89"/>
      <c r="AX703" s="89"/>
      <c r="AY703" s="89"/>
      <c r="AZ703" s="89"/>
      <c r="BA703" s="95"/>
    </row>
    <row r="704" spans="1:53" s="87" customFormat="1">
      <c r="A704" s="374" t="str">
        <f t="shared" si="58"/>
        <v/>
      </c>
      <c r="B704" s="89">
        <v>2</v>
      </c>
      <c r="C704" s="89" t="s">
        <v>202</v>
      </c>
      <c r="D704" s="89" t="s">
        <v>210</v>
      </c>
      <c r="E704" s="89">
        <v>-5</v>
      </c>
      <c r="F704" s="89">
        <v>-6</v>
      </c>
      <c r="G704" s="89" t="s">
        <v>210</v>
      </c>
      <c r="H704" s="89" t="s">
        <v>210</v>
      </c>
      <c r="I704" s="89">
        <v>-2</v>
      </c>
      <c r="J704" s="89">
        <v>3</v>
      </c>
      <c r="K704" s="89" t="s">
        <v>210</v>
      </c>
      <c r="L704" s="89"/>
      <c r="M704" s="89"/>
      <c r="N704" s="89"/>
      <c r="O704" s="89"/>
      <c r="P704" s="89"/>
      <c r="Q704" s="89"/>
      <c r="R704" s="89"/>
      <c r="S704" s="89"/>
      <c r="T704" s="89"/>
      <c r="U704" s="89"/>
      <c r="V704" s="89"/>
      <c r="W704" s="89"/>
      <c r="X704" s="89"/>
      <c r="Y704" s="89"/>
      <c r="Z704" s="89"/>
      <c r="AA704" s="89"/>
      <c r="AB704" s="89"/>
      <c r="AC704" s="89"/>
      <c r="AD704" s="89"/>
      <c r="AE704" s="89"/>
      <c r="AF704" s="89"/>
      <c r="AG704" s="89"/>
      <c r="AH704" s="89"/>
      <c r="AI704" s="89"/>
      <c r="AJ704" s="89"/>
      <c r="AK704" s="89"/>
      <c r="AL704" s="89"/>
      <c r="AM704" s="89"/>
      <c r="AN704" s="89"/>
      <c r="AO704" s="89"/>
      <c r="AP704" s="89"/>
      <c r="AQ704" s="89"/>
      <c r="AR704" s="89"/>
      <c r="AS704" s="89"/>
      <c r="AT704" s="89"/>
      <c r="AU704" s="89"/>
      <c r="AV704" s="89"/>
      <c r="AW704" s="89"/>
      <c r="AX704" s="89"/>
      <c r="AY704" s="89"/>
      <c r="AZ704" s="89"/>
      <c r="BA704" s="95"/>
    </row>
    <row r="705" spans="1:53" s="87" customFormat="1">
      <c r="A705" s="374" t="str">
        <f t="shared" si="58"/>
        <v/>
      </c>
      <c r="B705" s="89">
        <v>3</v>
      </c>
      <c r="C705" s="89">
        <v>-2</v>
      </c>
      <c r="D705" s="89" t="s">
        <v>210</v>
      </c>
      <c r="E705" s="89">
        <v>5</v>
      </c>
      <c r="F705" s="89">
        <v>1</v>
      </c>
      <c r="G705" s="89" t="s">
        <v>210</v>
      </c>
      <c r="H705" s="89" t="s">
        <v>210</v>
      </c>
      <c r="I705" s="89" t="s">
        <v>202</v>
      </c>
      <c r="J705" s="89">
        <v>4</v>
      </c>
      <c r="K705" s="89" t="s">
        <v>210</v>
      </c>
      <c r="L705" s="89"/>
      <c r="M705" s="89"/>
      <c r="N705" s="89"/>
      <c r="O705" s="89"/>
      <c r="P705" s="89"/>
      <c r="Q705" s="89"/>
      <c r="R705" s="89"/>
      <c r="S705" s="89"/>
      <c r="T705" s="89"/>
      <c r="U705" s="89"/>
      <c r="V705" s="89"/>
      <c r="W705" s="89"/>
      <c r="X705" s="89"/>
      <c r="Y705" s="89"/>
      <c r="Z705" s="89"/>
      <c r="AA705" s="89"/>
      <c r="AB705" s="89"/>
      <c r="AC705" s="89"/>
      <c r="AD705" s="89"/>
      <c r="AE705" s="89"/>
      <c r="AF705" s="89"/>
      <c r="AG705" s="89"/>
      <c r="AH705" s="89"/>
      <c r="AI705" s="89"/>
      <c r="AJ705" s="89"/>
      <c r="AK705" s="89"/>
      <c r="AL705" s="89"/>
      <c r="AM705" s="89"/>
      <c r="AN705" s="89"/>
      <c r="AO705" s="89"/>
      <c r="AP705" s="89"/>
      <c r="AQ705" s="89"/>
      <c r="AR705" s="89"/>
      <c r="AS705" s="89"/>
      <c r="AT705" s="89"/>
      <c r="AU705" s="89"/>
      <c r="AV705" s="89"/>
      <c r="AW705" s="89"/>
      <c r="AX705" s="89"/>
      <c r="AY705" s="89"/>
      <c r="AZ705" s="89"/>
      <c r="BA705" s="95"/>
    </row>
    <row r="706" spans="1:53" s="87" customFormat="1">
      <c r="A706" s="374" t="str">
        <f t="shared" si="58"/>
        <v/>
      </c>
      <c r="B706" s="89">
        <v>4</v>
      </c>
      <c r="C706" s="89">
        <v>3</v>
      </c>
      <c r="D706" s="89" t="s">
        <v>210</v>
      </c>
      <c r="E706" s="89" t="s">
        <v>202</v>
      </c>
      <c r="F706" s="89">
        <v>6</v>
      </c>
      <c r="G706" s="89" t="s">
        <v>210</v>
      </c>
      <c r="H706" s="89" t="s">
        <v>210</v>
      </c>
      <c r="I706" s="89">
        <v>-5</v>
      </c>
      <c r="J706" s="89">
        <v>-4</v>
      </c>
      <c r="K706" s="89" t="s">
        <v>210</v>
      </c>
      <c r="L706" s="89"/>
      <c r="M706" s="89"/>
      <c r="N706" s="89"/>
      <c r="O706" s="89"/>
      <c r="P706" s="89"/>
      <c r="Q706" s="89"/>
      <c r="R706" s="89"/>
      <c r="S706" s="89"/>
      <c r="T706" s="89"/>
      <c r="U706" s="89"/>
      <c r="V706" s="89"/>
      <c r="W706" s="89"/>
      <c r="X706" s="89"/>
      <c r="Y706" s="89"/>
      <c r="Z706" s="89"/>
      <c r="AA706" s="89"/>
      <c r="AB706" s="89"/>
      <c r="AC706" s="89"/>
      <c r="AD706" s="89"/>
      <c r="AE706" s="89"/>
      <c r="AF706" s="89"/>
      <c r="AG706" s="89"/>
      <c r="AH706" s="89"/>
      <c r="AI706" s="89"/>
      <c r="AJ706" s="89"/>
      <c r="AK706" s="89"/>
      <c r="AL706" s="89"/>
      <c r="AM706" s="89"/>
      <c r="AN706" s="89"/>
      <c r="AO706" s="89"/>
      <c r="AP706" s="89"/>
      <c r="AQ706" s="89"/>
      <c r="AR706" s="89"/>
      <c r="AS706" s="89"/>
      <c r="AT706" s="89"/>
      <c r="AU706" s="89"/>
      <c r="AV706" s="89"/>
      <c r="AW706" s="89"/>
      <c r="AX706" s="89"/>
      <c r="AY706" s="89"/>
      <c r="AZ706" s="89"/>
      <c r="BA706" s="95"/>
    </row>
    <row r="707" spans="1:53" s="87" customFormat="1">
      <c r="A707" s="374" t="str">
        <f t="shared" si="58"/>
        <v/>
      </c>
      <c r="B707" s="99">
        <v>5</v>
      </c>
      <c r="C707" s="92">
        <v>-3</v>
      </c>
      <c r="D707" s="92" t="s">
        <v>210</v>
      </c>
      <c r="E707" s="92">
        <v>-4</v>
      </c>
      <c r="F707" s="92">
        <v>-1</v>
      </c>
      <c r="G707" s="92" t="s">
        <v>210</v>
      </c>
      <c r="H707" s="92" t="s">
        <v>210</v>
      </c>
      <c r="I707" s="92">
        <v>2</v>
      </c>
      <c r="J707" s="92" t="s">
        <v>202</v>
      </c>
      <c r="K707" s="92" t="s">
        <v>210</v>
      </c>
      <c r="L707" s="89"/>
      <c r="M707" s="89"/>
      <c r="N707" s="89"/>
      <c r="O707" s="89"/>
      <c r="P707" s="89"/>
      <c r="Q707" s="89"/>
      <c r="R707" s="89"/>
      <c r="S707" s="89"/>
      <c r="T707" s="89"/>
      <c r="U707" s="89"/>
      <c r="V707" s="89"/>
      <c r="W707" s="89"/>
      <c r="X707" s="89"/>
      <c r="Y707" s="89"/>
      <c r="Z707" s="89"/>
      <c r="AA707" s="89"/>
      <c r="AB707" s="89"/>
      <c r="AC707" s="89"/>
      <c r="AD707" s="89"/>
      <c r="AE707" s="89"/>
      <c r="AF707" s="89"/>
      <c r="AG707" s="89"/>
      <c r="AH707" s="89"/>
      <c r="AI707" s="89"/>
      <c r="AJ707" s="89"/>
      <c r="AK707" s="89"/>
      <c r="AL707" s="89"/>
      <c r="AM707" s="89"/>
      <c r="AN707" s="89"/>
      <c r="AO707" s="89"/>
      <c r="AP707" s="89"/>
      <c r="AQ707" s="89"/>
      <c r="AR707" s="89"/>
      <c r="AS707" s="89"/>
      <c r="AT707" s="89"/>
      <c r="AU707" s="89"/>
      <c r="AV707" s="89"/>
      <c r="AW707" s="89"/>
      <c r="AX707" s="89"/>
      <c r="AY707" s="89"/>
      <c r="AZ707" s="89"/>
      <c r="BA707" s="95"/>
    </row>
    <row r="708" spans="1:53" s="87" customFormat="1">
      <c r="A708" s="374" t="str">
        <f t="shared" si="58"/>
        <v/>
      </c>
      <c r="B708" s="89">
        <v>6</v>
      </c>
      <c r="C708" s="89" t="s">
        <v>210</v>
      </c>
      <c r="D708" s="89" t="s">
        <v>210</v>
      </c>
      <c r="E708" s="89">
        <v>3</v>
      </c>
      <c r="F708" s="89">
        <v>4</v>
      </c>
      <c r="G708" s="89" t="s">
        <v>210</v>
      </c>
      <c r="H708" s="89" t="s">
        <v>210</v>
      </c>
      <c r="I708" s="89">
        <v>-6</v>
      </c>
      <c r="J708" s="89">
        <v>-2</v>
      </c>
      <c r="K708" s="89" t="s">
        <v>210</v>
      </c>
      <c r="L708" s="89"/>
      <c r="M708" s="89"/>
      <c r="N708" s="89"/>
      <c r="O708" s="89"/>
      <c r="P708" s="89"/>
      <c r="Q708" s="89"/>
      <c r="R708" s="89"/>
      <c r="S708" s="89"/>
      <c r="T708" s="89"/>
      <c r="U708" s="89"/>
      <c r="V708" s="89"/>
      <c r="W708" s="89"/>
      <c r="X708" s="89"/>
      <c r="Y708" s="89"/>
      <c r="Z708" s="89"/>
      <c r="AA708" s="89"/>
      <c r="AB708" s="89"/>
      <c r="AC708" s="89"/>
      <c r="AD708" s="89"/>
      <c r="AE708" s="89"/>
      <c r="AF708" s="89"/>
      <c r="AG708" s="89"/>
      <c r="AH708" s="89"/>
      <c r="AI708" s="89"/>
      <c r="AJ708" s="89"/>
      <c r="AK708" s="89"/>
      <c r="AL708" s="89"/>
      <c r="AM708" s="89"/>
      <c r="AN708" s="89"/>
      <c r="AO708" s="89"/>
      <c r="AP708" s="89"/>
      <c r="AQ708" s="89"/>
      <c r="AR708" s="89"/>
      <c r="AS708" s="89"/>
      <c r="AT708" s="89"/>
      <c r="AU708" s="89"/>
      <c r="AV708" s="89"/>
      <c r="AW708" s="89"/>
      <c r="AX708" s="89"/>
      <c r="AY708" s="89"/>
      <c r="AZ708" s="89"/>
      <c r="BA708" s="95"/>
    </row>
    <row r="709" spans="1:53" s="87" customFormat="1">
      <c r="A709" s="374" t="str">
        <f t="shared" si="58"/>
        <v/>
      </c>
      <c r="B709" s="89">
        <v>7</v>
      </c>
      <c r="C709" s="89" t="s">
        <v>210</v>
      </c>
      <c r="D709" s="89" t="s">
        <v>210</v>
      </c>
      <c r="E709" s="89">
        <v>-6</v>
      </c>
      <c r="F709" s="89">
        <v>-3</v>
      </c>
      <c r="G709" s="89" t="s">
        <v>210</v>
      </c>
      <c r="H709" s="89" t="s">
        <v>210</v>
      </c>
      <c r="I709" s="89">
        <v>1</v>
      </c>
      <c r="J709" s="89">
        <v>2</v>
      </c>
      <c r="K709" s="89" t="s">
        <v>210</v>
      </c>
      <c r="L709" s="89"/>
      <c r="M709" s="89"/>
      <c r="N709" s="89"/>
      <c r="O709" s="89"/>
      <c r="P709" s="89"/>
      <c r="Q709" s="89"/>
      <c r="R709" s="89"/>
      <c r="S709" s="89"/>
      <c r="T709" s="89"/>
      <c r="U709" s="89"/>
      <c r="V709" s="89"/>
      <c r="W709" s="89"/>
      <c r="X709" s="89"/>
      <c r="Y709" s="89"/>
      <c r="Z709" s="89"/>
      <c r="AA709" s="89"/>
      <c r="AB709" s="89"/>
      <c r="AC709" s="89"/>
      <c r="AD709" s="89"/>
      <c r="AE709" s="89"/>
      <c r="AF709" s="89"/>
      <c r="AG709" s="89"/>
      <c r="AH709" s="89"/>
      <c r="AI709" s="89"/>
      <c r="AJ709" s="89"/>
      <c r="AK709" s="89"/>
      <c r="AL709" s="89"/>
      <c r="AM709" s="89"/>
      <c r="AN709" s="89"/>
      <c r="AO709" s="89"/>
      <c r="AP709" s="89"/>
      <c r="AQ709" s="89"/>
      <c r="AR709" s="89"/>
      <c r="AS709" s="89"/>
      <c r="AT709" s="89"/>
      <c r="AU709" s="89"/>
      <c r="AV709" s="89"/>
      <c r="AW709" s="89"/>
      <c r="AX709" s="89"/>
      <c r="AY709" s="89"/>
      <c r="AZ709" s="89"/>
      <c r="BA709" s="95"/>
    </row>
    <row r="710" spans="1:53" s="87" customFormat="1">
      <c r="A710" s="374" t="str">
        <f t="shared" si="58"/>
        <v/>
      </c>
      <c r="B710" s="89">
        <v>9</v>
      </c>
      <c r="C710" s="89" t="s">
        <v>210</v>
      </c>
      <c r="D710" s="89" t="s">
        <v>210</v>
      </c>
      <c r="E710" s="89">
        <v>2</v>
      </c>
      <c r="F710" s="89">
        <v>-4</v>
      </c>
      <c r="G710" s="89" t="s">
        <v>210</v>
      </c>
      <c r="H710" s="89" t="s">
        <v>210</v>
      </c>
      <c r="I710" s="89">
        <v>-1</v>
      </c>
      <c r="J710" s="89">
        <v>5</v>
      </c>
      <c r="K710" s="89" t="s">
        <v>210</v>
      </c>
      <c r="L710" s="89"/>
      <c r="M710" s="89"/>
      <c r="N710" s="89"/>
      <c r="O710" s="89"/>
      <c r="P710" s="89"/>
      <c r="Q710" s="89"/>
      <c r="R710" s="89"/>
      <c r="S710" s="89"/>
      <c r="T710" s="89"/>
      <c r="U710" s="89"/>
      <c r="V710" s="89"/>
      <c r="W710" s="89"/>
      <c r="X710" s="89"/>
      <c r="Y710" s="89"/>
      <c r="Z710" s="89"/>
      <c r="AA710" s="89"/>
      <c r="AB710" s="89"/>
      <c r="AC710" s="89"/>
      <c r="AD710" s="89"/>
      <c r="AE710" s="89"/>
      <c r="AF710" s="89"/>
      <c r="AG710" s="89"/>
      <c r="AH710" s="89"/>
      <c r="AI710" s="89"/>
      <c r="AJ710" s="89"/>
      <c r="AK710" s="89"/>
      <c r="AL710" s="89"/>
      <c r="AM710" s="89"/>
      <c r="AN710" s="89"/>
      <c r="AO710" s="89"/>
      <c r="AP710" s="89"/>
      <c r="AQ710" s="89"/>
      <c r="AR710" s="89"/>
      <c r="AS710" s="89"/>
      <c r="AT710" s="89"/>
      <c r="AU710" s="89"/>
      <c r="AV710" s="89"/>
      <c r="AW710" s="89"/>
      <c r="AX710" s="89"/>
      <c r="AY710" s="89"/>
      <c r="AZ710" s="89"/>
      <c r="BA710" s="95"/>
    </row>
    <row r="711" spans="1:53" s="87" customFormat="1">
      <c r="A711" s="374" t="str">
        <f t="shared" si="58"/>
        <v/>
      </c>
      <c r="B711" s="99">
        <v>8</v>
      </c>
      <c r="C711" s="92" t="s">
        <v>210</v>
      </c>
      <c r="D711" s="92" t="s">
        <v>210</v>
      </c>
      <c r="E711" s="92">
        <v>-1</v>
      </c>
      <c r="F711" s="92">
        <v>3</v>
      </c>
      <c r="G711" s="92" t="s">
        <v>210</v>
      </c>
      <c r="H711" s="92" t="s">
        <v>210</v>
      </c>
      <c r="I711" s="92">
        <v>6</v>
      </c>
      <c r="J711" s="92">
        <v>-5</v>
      </c>
      <c r="K711" s="92" t="s">
        <v>210</v>
      </c>
      <c r="L711" s="89"/>
      <c r="M711" s="89"/>
      <c r="N711" s="89"/>
      <c r="O711" s="89"/>
      <c r="P711" s="89"/>
      <c r="Q711" s="89"/>
      <c r="R711" s="89"/>
      <c r="S711" s="89"/>
      <c r="T711" s="89"/>
      <c r="U711" s="89"/>
      <c r="V711" s="89"/>
      <c r="W711" s="89"/>
      <c r="X711" s="89"/>
      <c r="Y711" s="89"/>
      <c r="Z711" s="89"/>
      <c r="AA711" s="89"/>
      <c r="AB711" s="89"/>
      <c r="AC711" s="89"/>
      <c r="AD711" s="89"/>
      <c r="AE711" s="89"/>
      <c r="AF711" s="89"/>
      <c r="AG711" s="89"/>
      <c r="AH711" s="89"/>
      <c r="AI711" s="89"/>
      <c r="AJ711" s="89"/>
      <c r="AK711" s="89"/>
      <c r="AL711" s="89"/>
      <c r="AM711" s="89"/>
      <c r="AN711" s="89"/>
      <c r="AO711" s="89"/>
      <c r="AP711" s="89"/>
      <c r="AQ711" s="89"/>
      <c r="AR711" s="89"/>
      <c r="AS711" s="89"/>
      <c r="AT711" s="89"/>
      <c r="AU711" s="89"/>
      <c r="AV711" s="89"/>
      <c r="AW711" s="89"/>
      <c r="AX711" s="89"/>
      <c r="AY711" s="89"/>
      <c r="AZ711" s="89"/>
      <c r="BA711" s="95"/>
    </row>
    <row r="712" spans="1:53" s="87" customFormat="1">
      <c r="A712" s="374" t="str">
        <f t="shared" si="58"/>
        <v/>
      </c>
      <c r="B712" s="89">
        <v>10</v>
      </c>
      <c r="C712" s="89" t="s">
        <v>210</v>
      </c>
      <c r="D712" s="89" t="s">
        <v>210</v>
      </c>
      <c r="E712" s="89">
        <v>-3</v>
      </c>
      <c r="F712" s="89">
        <v>5</v>
      </c>
      <c r="G712" s="89" t="s">
        <v>210</v>
      </c>
      <c r="H712" s="89" t="s">
        <v>210</v>
      </c>
      <c r="I712" s="89">
        <v>4</v>
      </c>
      <c r="J712" s="89">
        <v>-1</v>
      </c>
      <c r="K712" s="89" t="s">
        <v>210</v>
      </c>
      <c r="L712" s="89"/>
      <c r="M712" s="89"/>
      <c r="N712" s="89"/>
      <c r="O712" s="89"/>
      <c r="P712" s="89"/>
      <c r="Q712" s="89"/>
      <c r="R712" s="89"/>
      <c r="S712" s="89"/>
      <c r="T712" s="89"/>
      <c r="U712" s="89"/>
      <c r="V712" s="89"/>
      <c r="W712" s="89"/>
      <c r="X712" s="89"/>
      <c r="Y712" s="89"/>
      <c r="Z712" s="89"/>
      <c r="AA712" s="89"/>
      <c r="AB712" s="89"/>
      <c r="AC712" s="89"/>
      <c r="AD712" s="89"/>
      <c r="AE712" s="89"/>
      <c r="AF712" s="89"/>
      <c r="AG712" s="89"/>
      <c r="AH712" s="89"/>
      <c r="AI712" s="89"/>
      <c r="AJ712" s="89"/>
      <c r="AK712" s="89"/>
      <c r="AL712" s="89"/>
      <c r="AM712" s="89"/>
      <c r="AN712" s="89"/>
      <c r="AO712" s="89"/>
      <c r="AP712" s="89"/>
      <c r="AQ712" s="89"/>
      <c r="AR712" s="89"/>
      <c r="AS712" s="89"/>
      <c r="AT712" s="89"/>
      <c r="AU712" s="89"/>
      <c r="AV712" s="89"/>
      <c r="AW712" s="89"/>
      <c r="AX712" s="89"/>
      <c r="AY712" s="89"/>
      <c r="AZ712" s="89"/>
      <c r="BA712" s="95"/>
    </row>
    <row r="713" spans="1:53" s="87" customFormat="1">
      <c r="A713" s="374" t="str">
        <f t="shared" si="58"/>
        <v/>
      </c>
      <c r="B713" s="89">
        <v>11</v>
      </c>
      <c r="C713" s="89" t="s">
        <v>210</v>
      </c>
      <c r="D713" s="89" t="s">
        <v>210</v>
      </c>
      <c r="E713" s="89">
        <v>6</v>
      </c>
      <c r="F713" s="89">
        <v>-2</v>
      </c>
      <c r="G713" s="89" t="s">
        <v>210</v>
      </c>
      <c r="H713" s="89" t="s">
        <v>210</v>
      </c>
      <c r="I713" s="89">
        <v>-3</v>
      </c>
      <c r="J713" s="89">
        <v>1</v>
      </c>
      <c r="K713" s="89" t="s">
        <v>210</v>
      </c>
      <c r="L713" s="89"/>
      <c r="M713" s="89"/>
      <c r="N713" s="89"/>
      <c r="O713" s="89"/>
      <c r="P713" s="89"/>
      <c r="Q713" s="89"/>
      <c r="R713" s="89"/>
      <c r="S713" s="89"/>
      <c r="T713" s="89"/>
      <c r="U713" s="89"/>
      <c r="V713" s="89"/>
      <c r="W713" s="89"/>
      <c r="X713" s="89"/>
      <c r="Y713" s="89"/>
      <c r="Z713" s="89"/>
      <c r="AA713" s="89"/>
      <c r="AB713" s="89"/>
      <c r="AC713" s="89"/>
      <c r="AD713" s="89"/>
      <c r="AE713" s="89"/>
      <c r="AF713" s="89"/>
      <c r="AG713" s="89"/>
      <c r="AH713" s="89"/>
      <c r="AI713" s="89"/>
      <c r="AJ713" s="89"/>
      <c r="AK713" s="89"/>
      <c r="AL713" s="89"/>
      <c r="AM713" s="89"/>
      <c r="AN713" s="89"/>
      <c r="AO713" s="89"/>
      <c r="AP713" s="89"/>
      <c r="AQ713" s="89"/>
      <c r="AR713" s="89"/>
      <c r="AS713" s="89"/>
      <c r="AT713" s="89"/>
      <c r="AU713" s="89"/>
      <c r="AV713" s="89"/>
      <c r="AW713" s="89"/>
      <c r="AX713" s="89"/>
      <c r="AY713" s="89"/>
      <c r="AZ713" s="89"/>
      <c r="BA713" s="95"/>
    </row>
    <row r="714" spans="1:53" s="87" customFormat="1">
      <c r="A714" s="374" t="str">
        <f t="shared" si="58"/>
        <v/>
      </c>
      <c r="B714" s="89">
        <v>12</v>
      </c>
      <c r="C714" s="89" t="s">
        <v>210</v>
      </c>
      <c r="D714" s="89" t="s">
        <v>210</v>
      </c>
      <c r="E714" s="89">
        <v>-2</v>
      </c>
      <c r="F714" s="89">
        <v>-5</v>
      </c>
      <c r="G714" s="89" t="s">
        <v>210</v>
      </c>
      <c r="H714" s="89" t="s">
        <v>210</v>
      </c>
      <c r="I714" s="89">
        <v>3</v>
      </c>
      <c r="J714" s="89">
        <v>6</v>
      </c>
      <c r="K714" s="89" t="s">
        <v>210</v>
      </c>
      <c r="L714" s="89"/>
      <c r="M714" s="89"/>
      <c r="N714" s="89"/>
      <c r="O714" s="89"/>
      <c r="P714" s="89"/>
      <c r="Q714" s="89"/>
      <c r="R714" s="89"/>
      <c r="S714" s="89"/>
      <c r="T714" s="89"/>
      <c r="U714" s="89"/>
      <c r="V714" s="89"/>
      <c r="W714" s="89"/>
      <c r="X714" s="89"/>
      <c r="Y714" s="89"/>
      <c r="Z714" s="89"/>
      <c r="AA714" s="89"/>
      <c r="AB714" s="89"/>
      <c r="AC714" s="89"/>
      <c r="AD714" s="89"/>
      <c r="AE714" s="89"/>
      <c r="AF714" s="89"/>
      <c r="AG714" s="89"/>
      <c r="AH714" s="89"/>
      <c r="AI714" s="89"/>
      <c r="AJ714" s="89"/>
      <c r="AK714" s="89"/>
      <c r="AL714" s="89"/>
      <c r="AM714" s="89"/>
      <c r="AN714" s="89"/>
      <c r="AO714" s="89"/>
      <c r="AP714" s="89"/>
      <c r="AQ714" s="89"/>
      <c r="AR714" s="89"/>
      <c r="AS714" s="89"/>
      <c r="AT714" s="89"/>
      <c r="AU714" s="89"/>
      <c r="AV714" s="89"/>
      <c r="AW714" s="89"/>
      <c r="AX714" s="89"/>
      <c r="AY714" s="89"/>
      <c r="AZ714" s="89"/>
      <c r="BA714" s="95"/>
    </row>
    <row r="715" spans="1:53" s="87" customFormat="1">
      <c r="A715" s="374" t="str">
        <f t="shared" si="58"/>
        <v/>
      </c>
      <c r="B715" s="99">
        <v>13</v>
      </c>
      <c r="C715" s="92" t="s">
        <v>210</v>
      </c>
      <c r="D715" s="92" t="s">
        <v>210</v>
      </c>
      <c r="E715" s="92">
        <v>1</v>
      </c>
      <c r="F715" s="92">
        <v>2</v>
      </c>
      <c r="G715" s="92" t="s">
        <v>210</v>
      </c>
      <c r="H715" s="92" t="s">
        <v>210</v>
      </c>
      <c r="I715" s="92">
        <v>-4</v>
      </c>
      <c r="J715" s="92">
        <v>-6</v>
      </c>
      <c r="K715" s="92" t="s">
        <v>210</v>
      </c>
      <c r="L715" s="89"/>
      <c r="M715" s="89"/>
      <c r="N715" s="89"/>
      <c r="O715" s="89"/>
      <c r="P715" s="89"/>
      <c r="Q715" s="89"/>
      <c r="R715" s="89"/>
      <c r="S715" s="89"/>
      <c r="T715" s="89"/>
      <c r="U715" s="89"/>
      <c r="V715" s="89"/>
      <c r="W715" s="89"/>
      <c r="X715" s="89"/>
      <c r="Y715" s="89"/>
      <c r="Z715" s="89"/>
      <c r="AA715" s="89"/>
      <c r="AB715" s="89"/>
      <c r="AC715" s="89"/>
      <c r="AD715" s="89"/>
      <c r="AE715" s="89"/>
      <c r="AF715" s="89"/>
      <c r="AG715" s="89"/>
      <c r="AH715" s="89"/>
      <c r="AI715" s="89"/>
      <c r="AJ715" s="89"/>
      <c r="AK715" s="89"/>
      <c r="AL715" s="89"/>
      <c r="AM715" s="89"/>
      <c r="AN715" s="89"/>
      <c r="AO715" s="89"/>
      <c r="AP715" s="89"/>
      <c r="AQ715" s="89"/>
      <c r="AR715" s="89"/>
      <c r="AS715" s="89"/>
      <c r="AT715" s="89"/>
      <c r="AU715" s="89"/>
      <c r="AV715" s="89"/>
      <c r="AW715" s="89"/>
      <c r="AX715" s="89"/>
      <c r="AY715" s="89"/>
      <c r="AZ715" s="89"/>
      <c r="BA715" s="95"/>
    </row>
    <row r="716" spans="1:53" s="87" customFormat="1">
      <c r="A716" s="374" t="str">
        <f t="shared" ref="A716:A779" si="59">IF(MID(B716,3,2)="06",ROW(),"")</f>
        <v/>
      </c>
      <c r="B716" s="89">
        <v>14</v>
      </c>
      <c r="C716" s="89" t="s">
        <v>210</v>
      </c>
      <c r="D716" s="89">
        <v>4</v>
      </c>
      <c r="E716" s="89" t="s">
        <v>210</v>
      </c>
      <c r="F716" s="89" t="s">
        <v>210</v>
      </c>
      <c r="G716" s="89">
        <v>6</v>
      </c>
      <c r="H716" s="89">
        <v>-5</v>
      </c>
      <c r="I716" s="89" t="s">
        <v>210</v>
      </c>
      <c r="J716" s="89" t="s">
        <v>210</v>
      </c>
      <c r="K716" s="89">
        <v>-3</v>
      </c>
      <c r="L716" s="89"/>
      <c r="M716" s="89"/>
      <c r="N716" s="89"/>
      <c r="O716" s="89"/>
      <c r="P716" s="89"/>
      <c r="Q716" s="89"/>
      <c r="R716" s="89"/>
      <c r="S716" s="89"/>
      <c r="T716" s="89"/>
      <c r="U716" s="89"/>
      <c r="V716" s="89"/>
      <c r="W716" s="89"/>
      <c r="X716" s="89"/>
      <c r="Y716" s="89"/>
      <c r="Z716" s="89"/>
      <c r="AA716" s="89"/>
      <c r="AB716" s="89"/>
      <c r="AC716" s="89"/>
      <c r="AD716" s="89"/>
      <c r="AE716" s="89"/>
      <c r="AF716" s="89"/>
      <c r="AG716" s="89"/>
      <c r="AH716" s="89"/>
      <c r="AI716" s="89"/>
      <c r="AJ716" s="89"/>
      <c r="AK716" s="89"/>
      <c r="AL716" s="89"/>
      <c r="AM716" s="89"/>
      <c r="AN716" s="89"/>
      <c r="AO716" s="89"/>
      <c r="AP716" s="89"/>
      <c r="AQ716" s="89"/>
      <c r="AR716" s="89"/>
      <c r="AS716" s="89"/>
      <c r="AT716" s="89"/>
      <c r="AU716" s="89"/>
      <c r="AV716" s="89"/>
      <c r="AW716" s="89"/>
      <c r="AX716" s="89"/>
      <c r="AY716" s="89"/>
      <c r="AZ716" s="89"/>
      <c r="BA716" s="95"/>
    </row>
    <row r="717" spans="1:53" s="87" customFormat="1">
      <c r="A717" s="374" t="str">
        <f t="shared" si="59"/>
        <v/>
      </c>
      <c r="B717" s="89">
        <v>15</v>
      </c>
      <c r="C717" s="89" t="s">
        <v>210</v>
      </c>
      <c r="D717" s="89">
        <v>-5</v>
      </c>
      <c r="E717" s="89" t="s">
        <v>210</v>
      </c>
      <c r="F717" s="89" t="s">
        <v>210</v>
      </c>
      <c r="G717" s="89">
        <v>-1</v>
      </c>
      <c r="H717" s="89">
        <v>2</v>
      </c>
      <c r="I717" s="89" t="s">
        <v>210</v>
      </c>
      <c r="J717" s="89" t="s">
        <v>210</v>
      </c>
      <c r="K717" s="89">
        <v>3</v>
      </c>
      <c r="L717" s="89"/>
      <c r="M717" s="89"/>
      <c r="N717" s="89"/>
      <c r="O717" s="89"/>
      <c r="P717" s="89"/>
      <c r="Q717" s="89"/>
      <c r="R717" s="89"/>
      <c r="S717" s="89"/>
      <c r="T717" s="89"/>
      <c r="U717" s="89"/>
      <c r="V717" s="89"/>
      <c r="W717" s="89"/>
      <c r="X717" s="89"/>
      <c r="Y717" s="89"/>
      <c r="Z717" s="89"/>
      <c r="AA717" s="89"/>
      <c r="AB717" s="89"/>
      <c r="AC717" s="89"/>
      <c r="AD717" s="89"/>
      <c r="AE717" s="89"/>
      <c r="AF717" s="89"/>
      <c r="AG717" s="89"/>
      <c r="AH717" s="89"/>
      <c r="AI717" s="89"/>
      <c r="AJ717" s="89"/>
      <c r="AK717" s="89"/>
      <c r="AL717" s="89"/>
      <c r="AM717" s="89"/>
      <c r="AN717" s="89"/>
      <c r="AO717" s="89"/>
      <c r="AP717" s="89"/>
      <c r="AQ717" s="89"/>
      <c r="AR717" s="89"/>
      <c r="AS717" s="89"/>
      <c r="AT717" s="89"/>
      <c r="AU717" s="89"/>
      <c r="AV717" s="89"/>
      <c r="AW717" s="89"/>
      <c r="AX717" s="89"/>
      <c r="AY717" s="89"/>
      <c r="AZ717" s="89"/>
      <c r="BA717" s="95"/>
    </row>
    <row r="718" spans="1:53" s="87" customFormat="1">
      <c r="A718" s="374" t="str">
        <f t="shared" si="59"/>
        <v/>
      </c>
      <c r="B718" s="89">
        <v>16</v>
      </c>
      <c r="C718" s="89" t="s">
        <v>210</v>
      </c>
      <c r="D718" s="89">
        <v>-2</v>
      </c>
      <c r="E718" s="89" t="s">
        <v>210</v>
      </c>
      <c r="F718" s="89" t="s">
        <v>210</v>
      </c>
      <c r="G718" s="89">
        <v>1</v>
      </c>
      <c r="H718" s="89">
        <v>5</v>
      </c>
      <c r="I718" s="89" t="s">
        <v>210</v>
      </c>
      <c r="J718" s="89" t="s">
        <v>210</v>
      </c>
      <c r="K718" s="89">
        <v>-4</v>
      </c>
      <c r="L718" s="89"/>
      <c r="M718" s="89"/>
      <c r="N718" s="89"/>
      <c r="O718" s="89"/>
      <c r="P718" s="89"/>
      <c r="Q718" s="89"/>
      <c r="R718" s="89"/>
      <c r="S718" s="89"/>
      <c r="T718" s="89"/>
      <c r="U718" s="89"/>
      <c r="V718" s="89"/>
      <c r="W718" s="89"/>
      <c r="X718" s="89"/>
      <c r="Y718" s="89"/>
      <c r="Z718" s="89"/>
      <c r="AA718" s="89"/>
      <c r="AB718" s="89"/>
      <c r="AC718" s="89"/>
      <c r="AD718" s="89"/>
      <c r="AE718" s="89"/>
      <c r="AF718" s="89"/>
      <c r="AG718" s="89"/>
      <c r="AH718" s="89"/>
      <c r="AI718" s="89"/>
      <c r="AJ718" s="89"/>
      <c r="AK718" s="89"/>
      <c r="AL718" s="89"/>
      <c r="AM718" s="89"/>
      <c r="AN718" s="89"/>
      <c r="AO718" s="89"/>
      <c r="AP718" s="89"/>
      <c r="AQ718" s="89"/>
      <c r="AR718" s="89"/>
      <c r="AS718" s="89"/>
      <c r="AT718" s="89"/>
      <c r="AU718" s="89"/>
      <c r="AV718" s="89"/>
      <c r="AW718" s="89"/>
      <c r="AX718" s="89"/>
      <c r="AY718" s="89"/>
      <c r="AZ718" s="89"/>
      <c r="BA718" s="95"/>
    </row>
    <row r="719" spans="1:53" s="87" customFormat="1">
      <c r="A719" s="374" t="str">
        <f t="shared" si="59"/>
        <v/>
      </c>
      <c r="B719" s="99">
        <v>17</v>
      </c>
      <c r="C719" s="92" t="s">
        <v>210</v>
      </c>
      <c r="D719" s="92">
        <v>3</v>
      </c>
      <c r="E719" s="92" t="s">
        <v>210</v>
      </c>
      <c r="F719" s="92" t="s">
        <v>210</v>
      </c>
      <c r="G719" s="92">
        <v>-6</v>
      </c>
      <c r="H719" s="92">
        <v>-2</v>
      </c>
      <c r="I719" s="92" t="s">
        <v>210</v>
      </c>
      <c r="J719" s="92" t="s">
        <v>210</v>
      </c>
      <c r="K719" s="92">
        <v>4</v>
      </c>
      <c r="L719" s="89"/>
      <c r="M719" s="89"/>
      <c r="N719" s="89"/>
      <c r="O719" s="89"/>
      <c r="P719" s="89"/>
      <c r="Q719" s="89"/>
      <c r="R719" s="89"/>
      <c r="S719" s="89"/>
      <c r="T719" s="89"/>
      <c r="U719" s="89"/>
      <c r="V719" s="89"/>
      <c r="W719" s="89"/>
      <c r="X719" s="89"/>
      <c r="Y719" s="89"/>
      <c r="Z719" s="89"/>
      <c r="AA719" s="89"/>
      <c r="AB719" s="89"/>
      <c r="AC719" s="89"/>
      <c r="AD719" s="89"/>
      <c r="AE719" s="89"/>
      <c r="AF719" s="89"/>
      <c r="AG719" s="89"/>
      <c r="AH719" s="89"/>
      <c r="AI719" s="89"/>
      <c r="AJ719" s="89"/>
      <c r="AK719" s="89"/>
      <c r="AL719" s="89"/>
      <c r="AM719" s="89"/>
      <c r="AN719" s="89"/>
      <c r="AO719" s="89"/>
      <c r="AP719" s="89"/>
      <c r="AQ719" s="89"/>
      <c r="AR719" s="89"/>
      <c r="AS719" s="89"/>
      <c r="AT719" s="89"/>
      <c r="AU719" s="89"/>
      <c r="AV719" s="89"/>
      <c r="AW719" s="89"/>
      <c r="AX719" s="89"/>
      <c r="AY719" s="89"/>
      <c r="AZ719" s="89"/>
      <c r="BA719" s="95"/>
    </row>
    <row r="720" spans="1:53" s="87" customFormat="1">
      <c r="A720" s="374" t="str">
        <f t="shared" si="59"/>
        <v/>
      </c>
      <c r="B720" s="89">
        <v>18</v>
      </c>
      <c r="C720" s="89" t="s">
        <v>210</v>
      </c>
      <c r="D720" s="89">
        <v>-4</v>
      </c>
      <c r="E720" s="89" t="s">
        <v>210</v>
      </c>
      <c r="F720" s="89" t="s">
        <v>210</v>
      </c>
      <c r="G720" s="89">
        <v>-3</v>
      </c>
      <c r="H720" s="89">
        <v>1</v>
      </c>
      <c r="I720" s="89" t="s">
        <v>210</v>
      </c>
      <c r="J720" s="89" t="s">
        <v>210</v>
      </c>
      <c r="K720" s="89">
        <v>2</v>
      </c>
      <c r="L720" s="89"/>
      <c r="M720" s="89"/>
      <c r="N720" s="89"/>
      <c r="O720" s="89"/>
      <c r="P720" s="89"/>
      <c r="Q720" s="89"/>
      <c r="R720" s="89"/>
      <c r="S720" s="89"/>
      <c r="T720" s="89"/>
      <c r="U720" s="89"/>
      <c r="V720" s="89"/>
      <c r="W720" s="89"/>
      <c r="X720" s="89"/>
      <c r="Y720" s="89"/>
      <c r="Z720" s="89"/>
      <c r="AA720" s="89"/>
      <c r="AB720" s="89"/>
      <c r="AC720" s="89"/>
      <c r="AD720" s="89"/>
      <c r="AE720" s="89"/>
      <c r="AF720" s="89"/>
      <c r="AG720" s="89"/>
      <c r="AH720" s="89"/>
      <c r="AI720" s="89"/>
      <c r="AJ720" s="89"/>
      <c r="AK720" s="89"/>
      <c r="AL720" s="89"/>
      <c r="AM720" s="89"/>
      <c r="AN720" s="89"/>
      <c r="AO720" s="89"/>
      <c r="AP720" s="89"/>
      <c r="AQ720" s="89"/>
      <c r="AR720" s="89"/>
      <c r="AS720" s="89"/>
      <c r="AT720" s="89"/>
      <c r="AU720" s="89"/>
      <c r="AV720" s="89"/>
      <c r="AW720" s="89"/>
      <c r="AX720" s="89"/>
      <c r="AY720" s="89"/>
      <c r="AZ720" s="89"/>
      <c r="BA720" s="95"/>
    </row>
    <row r="721" spans="1:53" s="87" customFormat="1">
      <c r="A721" s="374" t="str">
        <f t="shared" si="59"/>
        <v/>
      </c>
      <c r="B721" s="89">
        <v>19</v>
      </c>
      <c r="C721" s="89" t="s">
        <v>210</v>
      </c>
      <c r="D721" s="89">
        <v>5</v>
      </c>
      <c r="E721" s="89" t="s">
        <v>210</v>
      </c>
      <c r="F721" s="89" t="s">
        <v>210</v>
      </c>
      <c r="G721" s="89">
        <v>4</v>
      </c>
      <c r="H721" s="89">
        <v>-6</v>
      </c>
      <c r="I721" s="89" t="s">
        <v>210</v>
      </c>
      <c r="J721" s="89" t="s">
        <v>210</v>
      </c>
      <c r="K721" s="89">
        <v>-2</v>
      </c>
      <c r="L721" s="89"/>
      <c r="M721" s="89"/>
      <c r="N721" s="89"/>
      <c r="O721" s="89"/>
      <c r="P721" s="89"/>
      <c r="Q721" s="89"/>
      <c r="R721" s="89"/>
      <c r="S721" s="89"/>
      <c r="T721" s="89"/>
      <c r="U721" s="89"/>
      <c r="V721" s="89"/>
      <c r="W721" s="89"/>
      <c r="X721" s="89"/>
      <c r="Y721" s="89"/>
      <c r="Z721" s="89"/>
      <c r="AA721" s="89"/>
      <c r="AB721" s="89"/>
      <c r="AC721" s="89"/>
      <c r="AD721" s="89"/>
      <c r="AE721" s="89"/>
      <c r="AF721" s="89"/>
      <c r="AG721" s="89"/>
      <c r="AH721" s="89"/>
      <c r="AI721" s="89"/>
      <c r="AJ721" s="89"/>
      <c r="AK721" s="89"/>
      <c r="AL721" s="89"/>
      <c r="AM721" s="89"/>
      <c r="AN721" s="89"/>
      <c r="AO721" s="89"/>
      <c r="AP721" s="89"/>
      <c r="AQ721" s="89"/>
      <c r="AR721" s="89"/>
      <c r="AS721" s="89"/>
      <c r="AT721" s="89"/>
      <c r="AU721" s="89"/>
      <c r="AV721" s="89"/>
      <c r="AW721" s="89"/>
      <c r="AX721" s="89"/>
      <c r="AY721" s="89"/>
      <c r="AZ721" s="89"/>
      <c r="BA721" s="95"/>
    </row>
    <row r="722" spans="1:53" s="87" customFormat="1">
      <c r="A722" s="374" t="str">
        <f t="shared" si="59"/>
        <v/>
      </c>
      <c r="B722" s="89">
        <v>20</v>
      </c>
      <c r="C722" s="89" t="s">
        <v>210</v>
      </c>
      <c r="D722" s="89">
        <v>6</v>
      </c>
      <c r="E722" s="89" t="s">
        <v>210</v>
      </c>
      <c r="F722" s="89" t="s">
        <v>210</v>
      </c>
      <c r="G722" s="89">
        <v>-4</v>
      </c>
      <c r="H722" s="89">
        <v>-1</v>
      </c>
      <c r="I722" s="89" t="s">
        <v>210</v>
      </c>
      <c r="J722" s="89" t="s">
        <v>210</v>
      </c>
      <c r="K722" s="89">
        <v>5</v>
      </c>
      <c r="L722" s="89"/>
      <c r="M722" s="89"/>
      <c r="N722" s="89"/>
      <c r="O722" s="89"/>
      <c r="P722" s="89"/>
      <c r="Q722" s="89"/>
      <c r="R722" s="89"/>
      <c r="S722" s="89"/>
      <c r="T722" s="89"/>
      <c r="U722" s="89"/>
      <c r="V722" s="89"/>
      <c r="W722" s="89"/>
      <c r="X722" s="89"/>
      <c r="Y722" s="89"/>
      <c r="Z722" s="89"/>
      <c r="AA722" s="89"/>
      <c r="AB722" s="89"/>
      <c r="AC722" s="89"/>
      <c r="AD722" s="89"/>
      <c r="AE722" s="89"/>
      <c r="AF722" s="89"/>
      <c r="AG722" s="89"/>
      <c r="AH722" s="89"/>
      <c r="AI722" s="89"/>
      <c r="AJ722" s="89"/>
      <c r="AK722" s="89"/>
      <c r="AL722" s="89"/>
      <c r="AM722" s="89"/>
      <c r="AN722" s="89"/>
      <c r="AO722" s="89"/>
      <c r="AP722" s="89"/>
      <c r="AQ722" s="89"/>
      <c r="AR722" s="89"/>
      <c r="AS722" s="89"/>
      <c r="AT722" s="89"/>
      <c r="AU722" s="89"/>
      <c r="AV722" s="89"/>
      <c r="AW722" s="89"/>
      <c r="AX722" s="89"/>
      <c r="AY722" s="89"/>
      <c r="AZ722" s="89"/>
      <c r="BA722" s="95"/>
    </row>
    <row r="723" spans="1:53" s="87" customFormat="1">
      <c r="A723" s="374" t="str">
        <f t="shared" si="59"/>
        <v/>
      </c>
      <c r="B723" s="99">
        <v>21</v>
      </c>
      <c r="C723" s="92" t="s">
        <v>210</v>
      </c>
      <c r="D723" s="92">
        <v>-1</v>
      </c>
      <c r="E723" s="92" t="s">
        <v>210</v>
      </c>
      <c r="F723" s="92" t="s">
        <v>210</v>
      </c>
      <c r="G723" s="92">
        <v>3</v>
      </c>
      <c r="H723" s="92">
        <v>6</v>
      </c>
      <c r="I723" s="92" t="s">
        <v>210</v>
      </c>
      <c r="J723" s="92" t="s">
        <v>210</v>
      </c>
      <c r="K723" s="92">
        <v>-5</v>
      </c>
      <c r="L723" s="89"/>
      <c r="M723" s="89"/>
      <c r="N723" s="89"/>
      <c r="O723" s="89"/>
      <c r="P723" s="89"/>
      <c r="Q723" s="89"/>
      <c r="R723" s="89"/>
      <c r="S723" s="89"/>
      <c r="T723" s="89"/>
      <c r="U723" s="89"/>
      <c r="V723" s="89"/>
      <c r="W723" s="89"/>
      <c r="X723" s="89"/>
      <c r="Y723" s="89"/>
      <c r="Z723" s="89"/>
      <c r="AA723" s="89"/>
      <c r="AB723" s="89"/>
      <c r="AC723" s="89"/>
      <c r="AD723" s="89"/>
      <c r="AE723" s="89"/>
      <c r="AF723" s="89"/>
      <c r="AG723" s="89"/>
      <c r="AH723" s="89"/>
      <c r="AI723" s="89"/>
      <c r="AJ723" s="89"/>
      <c r="AK723" s="89"/>
      <c r="AL723" s="89"/>
      <c r="AM723" s="89"/>
      <c r="AN723" s="89"/>
      <c r="AO723" s="89"/>
      <c r="AP723" s="89"/>
      <c r="AQ723" s="89"/>
      <c r="AR723" s="89"/>
      <c r="AS723" s="89"/>
      <c r="AT723" s="89"/>
      <c r="AU723" s="89"/>
      <c r="AV723" s="89"/>
      <c r="AW723" s="89"/>
      <c r="AX723" s="89"/>
      <c r="AY723" s="89"/>
      <c r="AZ723" s="89"/>
      <c r="BA723" s="95"/>
    </row>
    <row r="724" spans="1:53" s="87" customFormat="1">
      <c r="A724" s="374" t="str">
        <f t="shared" si="59"/>
        <v/>
      </c>
      <c r="B724" s="89">
        <v>22</v>
      </c>
      <c r="C724" s="89" t="s">
        <v>210</v>
      </c>
      <c r="D724" s="89">
        <v>2</v>
      </c>
      <c r="E724" s="89" t="s">
        <v>210</v>
      </c>
      <c r="F724" s="89" t="s">
        <v>210</v>
      </c>
      <c r="G724" s="89">
        <v>5</v>
      </c>
      <c r="H724" s="89">
        <v>-3</v>
      </c>
      <c r="I724" s="89" t="s">
        <v>210</v>
      </c>
      <c r="J724" s="89" t="s">
        <v>210</v>
      </c>
      <c r="K724" s="89">
        <v>-1</v>
      </c>
      <c r="L724" s="89"/>
      <c r="M724" s="89"/>
      <c r="N724" s="89"/>
      <c r="O724" s="89"/>
      <c r="P724" s="89"/>
      <c r="Q724" s="89"/>
      <c r="R724" s="89"/>
      <c r="S724" s="89"/>
      <c r="T724" s="89"/>
      <c r="U724" s="89"/>
      <c r="V724" s="89"/>
      <c r="W724" s="89"/>
      <c r="X724" s="89"/>
      <c r="Y724" s="89"/>
      <c r="Z724" s="89"/>
      <c r="AA724" s="89"/>
      <c r="AB724" s="89"/>
      <c r="AC724" s="89"/>
      <c r="AD724" s="89"/>
      <c r="AE724" s="89"/>
      <c r="AF724" s="89"/>
      <c r="AG724" s="89"/>
      <c r="AH724" s="89"/>
      <c r="AI724" s="89"/>
      <c r="AJ724" s="89"/>
      <c r="AK724" s="89"/>
      <c r="AL724" s="89"/>
      <c r="AM724" s="89"/>
      <c r="AN724" s="89"/>
      <c r="AO724" s="89"/>
      <c r="AP724" s="89"/>
      <c r="AQ724" s="89"/>
      <c r="AR724" s="89"/>
      <c r="AS724" s="89"/>
      <c r="AT724" s="89"/>
      <c r="AU724" s="89"/>
      <c r="AV724" s="89"/>
      <c r="AW724" s="89"/>
      <c r="AX724" s="89"/>
      <c r="AY724" s="89"/>
      <c r="AZ724" s="89"/>
      <c r="BA724" s="95"/>
    </row>
    <row r="725" spans="1:53" s="87" customFormat="1">
      <c r="A725" s="374" t="str">
        <f t="shared" si="59"/>
        <v/>
      </c>
      <c r="B725" s="89">
        <v>23</v>
      </c>
      <c r="C725" s="89" t="s">
        <v>210</v>
      </c>
      <c r="D725" s="89">
        <v>-3</v>
      </c>
      <c r="E725" s="89" t="s">
        <v>210</v>
      </c>
      <c r="F725" s="89" t="s">
        <v>210</v>
      </c>
      <c r="G725" s="89">
        <v>2</v>
      </c>
      <c r="H725" s="89">
        <v>-4</v>
      </c>
      <c r="I725" s="89" t="s">
        <v>210</v>
      </c>
      <c r="J725" s="89" t="s">
        <v>210</v>
      </c>
      <c r="K725" s="89">
        <v>1</v>
      </c>
      <c r="L725" s="89"/>
      <c r="M725" s="89"/>
      <c r="N725" s="89"/>
      <c r="O725" s="89"/>
      <c r="P725" s="89"/>
      <c r="Q725" s="89"/>
      <c r="R725" s="89"/>
      <c r="S725" s="89"/>
      <c r="T725" s="89"/>
      <c r="U725" s="89"/>
      <c r="V725" s="89"/>
      <c r="W725" s="89"/>
      <c r="X725" s="89"/>
      <c r="Y725" s="89"/>
      <c r="Z725" s="89"/>
      <c r="AA725" s="89"/>
      <c r="AB725" s="89"/>
      <c r="AC725" s="89"/>
      <c r="AD725" s="89"/>
      <c r="AE725" s="89"/>
      <c r="AF725" s="89"/>
      <c r="AG725" s="89"/>
      <c r="AH725" s="89"/>
      <c r="AI725" s="89"/>
      <c r="AJ725" s="89"/>
      <c r="AK725" s="89"/>
      <c r="AL725" s="89"/>
      <c r="AM725" s="89"/>
      <c r="AN725" s="89"/>
      <c r="AO725" s="89"/>
      <c r="AP725" s="89"/>
      <c r="AQ725" s="89"/>
      <c r="AR725" s="89"/>
      <c r="AS725" s="89"/>
      <c r="AT725" s="89"/>
      <c r="AU725" s="89"/>
      <c r="AV725" s="89"/>
      <c r="AW725" s="89"/>
      <c r="AX725" s="89"/>
      <c r="AY725" s="89"/>
      <c r="AZ725" s="89"/>
      <c r="BA725" s="95"/>
    </row>
    <row r="726" spans="1:53" s="87" customFormat="1">
      <c r="A726" s="374" t="str">
        <f t="shared" si="59"/>
        <v/>
      </c>
      <c r="B726" s="89">
        <v>24</v>
      </c>
      <c r="C726" s="89" t="s">
        <v>210</v>
      </c>
      <c r="D726" s="89">
        <v>-6</v>
      </c>
      <c r="E726" s="89" t="s">
        <v>210</v>
      </c>
      <c r="F726" s="89" t="s">
        <v>210</v>
      </c>
      <c r="G726" s="89">
        <v>-5</v>
      </c>
      <c r="H726" s="89">
        <v>4</v>
      </c>
      <c r="I726" s="89" t="s">
        <v>210</v>
      </c>
      <c r="J726" s="89" t="s">
        <v>210</v>
      </c>
      <c r="K726" s="89">
        <v>6</v>
      </c>
      <c r="L726" s="89"/>
      <c r="M726" s="89"/>
      <c r="N726" s="89"/>
      <c r="O726" s="89"/>
      <c r="P726" s="89"/>
      <c r="Q726" s="89"/>
      <c r="R726" s="89"/>
      <c r="S726" s="89"/>
      <c r="T726" s="89"/>
      <c r="U726" s="89"/>
      <c r="V726" s="89"/>
      <c r="W726" s="89"/>
      <c r="X726" s="89"/>
      <c r="Y726" s="89"/>
      <c r="Z726" s="89"/>
      <c r="AA726" s="89"/>
      <c r="AB726" s="89"/>
      <c r="AC726" s="89"/>
      <c r="AD726" s="89"/>
      <c r="AE726" s="89"/>
      <c r="AF726" s="89"/>
      <c r="AG726" s="89"/>
      <c r="AH726" s="89"/>
      <c r="AI726" s="89"/>
      <c r="AJ726" s="89"/>
      <c r="AK726" s="89"/>
      <c r="AL726" s="89"/>
      <c r="AM726" s="89"/>
      <c r="AN726" s="89"/>
      <c r="AO726" s="89"/>
      <c r="AP726" s="89"/>
      <c r="AQ726" s="89"/>
      <c r="AR726" s="89"/>
      <c r="AS726" s="89"/>
      <c r="AT726" s="89"/>
      <c r="AU726" s="89"/>
      <c r="AV726" s="89"/>
      <c r="AW726" s="89"/>
      <c r="AX726" s="89"/>
      <c r="AY726" s="89"/>
      <c r="AZ726" s="89"/>
      <c r="BA726" s="95"/>
    </row>
    <row r="727" spans="1:53" s="87" customFormat="1">
      <c r="A727" s="374" t="str">
        <f t="shared" si="59"/>
        <v/>
      </c>
      <c r="B727" s="89">
        <v>25</v>
      </c>
      <c r="C727" s="89" t="s">
        <v>210</v>
      </c>
      <c r="D727" s="89">
        <v>1</v>
      </c>
      <c r="E727" s="89" t="s">
        <v>210</v>
      </c>
      <c r="F727" s="89" t="s">
        <v>210</v>
      </c>
      <c r="G727" s="89">
        <v>-2</v>
      </c>
      <c r="H727" s="89">
        <v>3</v>
      </c>
      <c r="I727" s="89" t="s">
        <v>210</v>
      </c>
      <c r="J727" s="89" t="s">
        <v>210</v>
      </c>
      <c r="K727" s="89">
        <v>-6</v>
      </c>
      <c r="L727" s="89"/>
      <c r="M727" s="89"/>
      <c r="N727" s="89"/>
      <c r="O727" s="89"/>
      <c r="P727" s="89"/>
      <c r="Q727" s="89"/>
      <c r="R727" s="89"/>
      <c r="S727" s="89"/>
      <c r="T727" s="89"/>
      <c r="U727" s="89"/>
      <c r="V727" s="89"/>
      <c r="W727" s="89"/>
      <c r="X727" s="89"/>
      <c r="Y727" s="89"/>
      <c r="Z727" s="89"/>
      <c r="AA727" s="89"/>
      <c r="AB727" s="89"/>
      <c r="AC727" s="89"/>
      <c r="AD727" s="89"/>
      <c r="AE727" s="89"/>
      <c r="AF727" s="89"/>
      <c r="AG727" s="89"/>
      <c r="AH727" s="89"/>
      <c r="AI727" s="89"/>
      <c r="AJ727" s="89"/>
      <c r="AK727" s="89"/>
      <c r="AL727" s="89"/>
      <c r="AM727" s="89"/>
      <c r="AN727" s="89"/>
      <c r="AO727" s="89"/>
      <c r="AP727" s="89"/>
      <c r="AQ727" s="89"/>
      <c r="AR727" s="89"/>
      <c r="AS727" s="89"/>
      <c r="AT727" s="89"/>
      <c r="AU727" s="89"/>
      <c r="AV727" s="89"/>
      <c r="AW727" s="89"/>
      <c r="AX727" s="89"/>
      <c r="AY727" s="89"/>
      <c r="AZ727" s="89"/>
      <c r="BA727" s="95"/>
    </row>
    <row r="728" spans="1:53" s="87" customFormat="1">
      <c r="A728" s="374" t="str">
        <f t="shared" si="59"/>
        <v/>
      </c>
      <c r="B728" s="89" t="s">
        <v>389</v>
      </c>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c r="AA728" s="89"/>
      <c r="AB728" s="89"/>
      <c r="AC728" s="89"/>
      <c r="AD728" s="89"/>
      <c r="AE728" s="89"/>
      <c r="AF728" s="89"/>
      <c r="AG728" s="89"/>
      <c r="AH728" s="89"/>
      <c r="AI728" s="89"/>
      <c r="AJ728" s="89"/>
      <c r="AK728" s="89"/>
      <c r="AL728" s="89"/>
      <c r="AM728" s="89"/>
      <c r="AN728" s="89"/>
      <c r="AO728" s="89"/>
      <c r="AP728" s="89"/>
      <c r="AQ728" s="89"/>
      <c r="AR728" s="89"/>
      <c r="AS728" s="89"/>
      <c r="AT728" s="89"/>
      <c r="AU728" s="89"/>
      <c r="AV728" s="89"/>
      <c r="AW728" s="89"/>
      <c r="AX728" s="89"/>
      <c r="AY728" s="89"/>
      <c r="AZ728" s="89"/>
      <c r="BA728" s="95"/>
    </row>
    <row r="729" spans="1:53" s="87" customFormat="1">
      <c r="A729" s="374">
        <f t="shared" si="59"/>
        <v>729</v>
      </c>
      <c r="B729" s="89" t="s">
        <v>390</v>
      </c>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c r="AA729" s="89"/>
      <c r="AB729" s="89"/>
      <c r="AC729" s="89"/>
      <c r="AD729" s="89"/>
      <c r="AE729" s="89"/>
      <c r="AF729" s="89"/>
      <c r="AG729" s="89"/>
      <c r="AH729" s="89"/>
      <c r="AI729" s="89"/>
      <c r="AJ729" s="89"/>
      <c r="AK729" s="89"/>
      <c r="AL729" s="89"/>
      <c r="AM729" s="89"/>
      <c r="AN729" s="89"/>
      <c r="AO729" s="89"/>
      <c r="AP729" s="89"/>
      <c r="AQ729" s="89"/>
      <c r="AR729" s="89"/>
      <c r="AS729" s="89"/>
      <c r="AT729" s="89"/>
      <c r="AU729" s="89"/>
      <c r="AV729" s="89"/>
      <c r="AW729" s="89"/>
      <c r="AX729" s="89"/>
      <c r="AY729" s="89"/>
      <c r="AZ729" s="89"/>
      <c r="BA729" s="95"/>
    </row>
    <row r="730" spans="1:53" s="87" customFormat="1">
      <c r="A730" s="374" t="str">
        <f t="shared" si="59"/>
        <v/>
      </c>
      <c r="B730" s="89">
        <v>1</v>
      </c>
      <c r="C730" s="89">
        <v>-5</v>
      </c>
      <c r="D730" s="89" t="s">
        <v>210</v>
      </c>
      <c r="E730" s="89" t="s">
        <v>210</v>
      </c>
      <c r="F730" s="89">
        <v>-1</v>
      </c>
      <c r="G730" s="89">
        <v>-3</v>
      </c>
      <c r="H730" s="89" t="s">
        <v>210</v>
      </c>
      <c r="I730" s="89" t="s">
        <v>210</v>
      </c>
      <c r="J730" s="89">
        <v>-6</v>
      </c>
      <c r="K730" s="89">
        <v>4</v>
      </c>
      <c r="L730" s="89" t="s">
        <v>210</v>
      </c>
      <c r="M730" s="89" t="s">
        <v>210</v>
      </c>
      <c r="N730" s="89">
        <v>-2</v>
      </c>
      <c r="O730" s="89" t="s">
        <v>202</v>
      </c>
      <c r="P730" s="89" t="s">
        <v>210</v>
      </c>
      <c r="Q730" s="89" t="s">
        <v>210</v>
      </c>
      <c r="R730" s="89">
        <v>1</v>
      </c>
      <c r="S730" s="89">
        <v>5</v>
      </c>
      <c r="T730" s="89" t="s">
        <v>210</v>
      </c>
      <c r="U730" s="89">
        <v>2</v>
      </c>
      <c r="V730" s="89" t="s">
        <v>210</v>
      </c>
      <c r="W730" s="89" t="s">
        <v>210</v>
      </c>
      <c r="X730" s="89">
        <v>6</v>
      </c>
      <c r="Y730" s="89" t="s">
        <v>210</v>
      </c>
      <c r="Z730" s="89">
        <v>-4</v>
      </c>
      <c r="AA730" s="89">
        <v>3</v>
      </c>
      <c r="AB730" s="89" t="s">
        <v>210</v>
      </c>
      <c r="AC730" s="89"/>
      <c r="AD730" s="89"/>
      <c r="AE730" s="89"/>
      <c r="AF730" s="89"/>
      <c r="AG730" s="89"/>
      <c r="AH730" s="89"/>
      <c r="AI730" s="89"/>
      <c r="AJ730" s="89"/>
      <c r="AK730" s="89"/>
      <c r="AL730" s="89"/>
      <c r="AM730" s="89"/>
      <c r="AN730" s="89"/>
      <c r="AO730" s="89"/>
      <c r="AP730" s="89"/>
      <c r="AQ730" s="89"/>
      <c r="AR730" s="89"/>
      <c r="AS730" s="89"/>
      <c r="AT730" s="89"/>
      <c r="AU730" s="89"/>
      <c r="AV730" s="89"/>
      <c r="AW730" s="89"/>
      <c r="AX730" s="89"/>
      <c r="AY730" s="89"/>
      <c r="AZ730" s="89"/>
      <c r="BA730" s="95"/>
    </row>
    <row r="731" spans="1:53" s="87" customFormat="1">
      <c r="A731" s="374" t="str">
        <f t="shared" si="59"/>
        <v/>
      </c>
      <c r="B731" s="89">
        <v>2</v>
      </c>
      <c r="C731" s="89">
        <v>-6</v>
      </c>
      <c r="D731" s="89" t="s">
        <v>210</v>
      </c>
      <c r="E731" s="89" t="s">
        <v>210</v>
      </c>
      <c r="F731" s="89">
        <v>3</v>
      </c>
      <c r="G731" s="89">
        <v>-5</v>
      </c>
      <c r="H731" s="89" t="s">
        <v>210</v>
      </c>
      <c r="I731" s="89" t="s">
        <v>210</v>
      </c>
      <c r="J731" s="89" t="s">
        <v>202</v>
      </c>
      <c r="K731" s="89">
        <v>-1</v>
      </c>
      <c r="L731" s="89" t="s">
        <v>210</v>
      </c>
      <c r="M731" s="89" t="s">
        <v>210</v>
      </c>
      <c r="N731" s="89">
        <v>4</v>
      </c>
      <c r="O731" s="89">
        <v>2</v>
      </c>
      <c r="P731" s="89" t="s">
        <v>210</v>
      </c>
      <c r="Q731" s="89" t="s">
        <v>210</v>
      </c>
      <c r="R731" s="89">
        <v>6</v>
      </c>
      <c r="S731" s="89" t="s">
        <v>210</v>
      </c>
      <c r="T731" s="89">
        <v>-4</v>
      </c>
      <c r="U731" s="89">
        <v>5</v>
      </c>
      <c r="V731" s="89" t="s">
        <v>210</v>
      </c>
      <c r="W731" s="89" t="s">
        <v>210</v>
      </c>
      <c r="X731" s="89">
        <v>1</v>
      </c>
      <c r="Y731" s="89" t="s">
        <v>210</v>
      </c>
      <c r="Z731" s="89">
        <v>-2</v>
      </c>
      <c r="AA731" s="89">
        <v>-3</v>
      </c>
      <c r="AB731" s="89" t="s">
        <v>210</v>
      </c>
      <c r="AC731" s="89"/>
      <c r="AD731" s="89"/>
      <c r="AE731" s="89"/>
      <c r="AF731" s="89"/>
      <c r="AG731" s="89"/>
      <c r="AH731" s="89"/>
      <c r="AI731" s="89"/>
      <c r="AJ731" s="89"/>
      <c r="AK731" s="89"/>
      <c r="AL731" s="89"/>
      <c r="AM731" s="89"/>
      <c r="AN731" s="89"/>
      <c r="AO731" s="89"/>
      <c r="AP731" s="89"/>
      <c r="AQ731" s="89"/>
      <c r="AR731" s="89"/>
      <c r="AS731" s="89"/>
      <c r="AT731" s="89"/>
      <c r="AU731" s="89"/>
      <c r="AV731" s="89"/>
      <c r="AW731" s="89"/>
      <c r="AX731" s="89"/>
      <c r="AY731" s="89"/>
      <c r="AZ731" s="89"/>
      <c r="BA731" s="95"/>
    </row>
    <row r="732" spans="1:53" s="87" customFormat="1">
      <c r="A732" s="374" t="str">
        <f t="shared" si="59"/>
        <v/>
      </c>
      <c r="B732" s="89">
        <v>3</v>
      </c>
      <c r="C732" s="89">
        <v>5</v>
      </c>
      <c r="D732" s="89" t="s">
        <v>210</v>
      </c>
      <c r="E732" s="89" t="s">
        <v>210</v>
      </c>
      <c r="F732" s="89">
        <v>-2</v>
      </c>
      <c r="G732" s="89">
        <v>-4</v>
      </c>
      <c r="H732" s="89" t="s">
        <v>210</v>
      </c>
      <c r="I732" s="89" t="s">
        <v>210</v>
      </c>
      <c r="J732" s="89">
        <v>-1</v>
      </c>
      <c r="K732" s="89">
        <v>-3</v>
      </c>
      <c r="L732" s="89" t="s">
        <v>210</v>
      </c>
      <c r="M732" s="89" t="s">
        <v>210</v>
      </c>
      <c r="N732" s="89" t="s">
        <v>202</v>
      </c>
      <c r="O732" s="89">
        <v>6</v>
      </c>
      <c r="P732" s="89" t="s">
        <v>210</v>
      </c>
      <c r="Q732" s="89" t="s">
        <v>210</v>
      </c>
      <c r="R732" s="89">
        <v>-5</v>
      </c>
      <c r="S732" s="89" t="s">
        <v>210</v>
      </c>
      <c r="T732" s="89">
        <v>1</v>
      </c>
      <c r="U732" s="89">
        <v>-6</v>
      </c>
      <c r="V732" s="89" t="s">
        <v>210</v>
      </c>
      <c r="W732" s="89" t="s">
        <v>210</v>
      </c>
      <c r="X732" s="89">
        <v>3</v>
      </c>
      <c r="Y732" s="89" t="s">
        <v>210</v>
      </c>
      <c r="Z732" s="89">
        <v>2</v>
      </c>
      <c r="AA732" s="89">
        <v>4</v>
      </c>
      <c r="AB732" s="89" t="s">
        <v>210</v>
      </c>
      <c r="AC732" s="89"/>
      <c r="AD732" s="89"/>
      <c r="AE732" s="89"/>
      <c r="AF732" s="89"/>
      <c r="AG732" s="89"/>
      <c r="AH732" s="89"/>
      <c r="AI732" s="89"/>
      <c r="AJ732" s="89"/>
      <c r="AK732" s="89"/>
      <c r="AL732" s="89"/>
      <c r="AM732" s="89"/>
      <c r="AN732" s="89"/>
      <c r="AO732" s="89"/>
      <c r="AP732" s="89"/>
      <c r="AQ732" s="89"/>
      <c r="AR732" s="89"/>
      <c r="AS732" s="89"/>
      <c r="AT732" s="89"/>
      <c r="AU732" s="89"/>
      <c r="AV732" s="89"/>
      <c r="AW732" s="89"/>
      <c r="AX732" s="89"/>
      <c r="AY732" s="89"/>
      <c r="AZ732" s="89"/>
      <c r="BA732" s="95"/>
    </row>
    <row r="733" spans="1:53" s="87" customFormat="1">
      <c r="A733" s="374" t="str">
        <f t="shared" si="59"/>
        <v/>
      </c>
      <c r="B733" s="89">
        <v>4</v>
      </c>
      <c r="C733" s="89" t="s">
        <v>202</v>
      </c>
      <c r="D733" s="89" t="s">
        <v>210</v>
      </c>
      <c r="E733" s="89" t="s">
        <v>210</v>
      </c>
      <c r="F733" s="89">
        <v>5</v>
      </c>
      <c r="G733" s="89">
        <v>1</v>
      </c>
      <c r="H733" s="89" t="s">
        <v>210</v>
      </c>
      <c r="I733" s="89" t="s">
        <v>210</v>
      </c>
      <c r="J733" s="89">
        <v>-2</v>
      </c>
      <c r="K733" s="89">
        <v>6</v>
      </c>
      <c r="L733" s="89" t="s">
        <v>210</v>
      </c>
      <c r="M733" s="89" t="s">
        <v>210</v>
      </c>
      <c r="N733" s="89">
        <v>3</v>
      </c>
      <c r="O733" s="89">
        <v>4</v>
      </c>
      <c r="P733" s="89" t="s">
        <v>210</v>
      </c>
      <c r="Q733" s="89" t="s">
        <v>210</v>
      </c>
      <c r="R733" s="89">
        <v>-6</v>
      </c>
      <c r="S733" s="89">
        <v>-5</v>
      </c>
      <c r="T733" s="89" t="s">
        <v>210</v>
      </c>
      <c r="U733" s="89">
        <v>-3</v>
      </c>
      <c r="V733" s="89" t="s">
        <v>210</v>
      </c>
      <c r="W733" s="89" t="s">
        <v>210</v>
      </c>
      <c r="X733" s="89">
        <v>2</v>
      </c>
      <c r="Y733" s="89" t="s">
        <v>210</v>
      </c>
      <c r="Z733" s="89">
        <v>-1</v>
      </c>
      <c r="AA733" s="89">
        <v>-4</v>
      </c>
      <c r="AB733" s="89" t="s">
        <v>210</v>
      </c>
      <c r="AC733" s="89"/>
      <c r="AD733" s="89"/>
      <c r="AE733" s="89"/>
      <c r="AF733" s="89"/>
      <c r="AG733" s="89"/>
      <c r="AH733" s="89"/>
      <c r="AI733" s="89"/>
      <c r="AJ733" s="89"/>
      <c r="AK733" s="89"/>
      <c r="AL733" s="89"/>
      <c r="AM733" s="89"/>
      <c r="AN733" s="89"/>
      <c r="AO733" s="89"/>
      <c r="AP733" s="89"/>
      <c r="AQ733" s="89"/>
      <c r="AR733" s="89"/>
      <c r="AS733" s="89"/>
      <c r="AT733" s="89"/>
      <c r="AU733" s="89"/>
      <c r="AV733" s="89"/>
      <c r="AW733" s="89"/>
      <c r="AX733" s="89"/>
      <c r="AY733" s="89"/>
      <c r="AZ733" s="89"/>
      <c r="BA733" s="95"/>
    </row>
    <row r="734" spans="1:53" s="87" customFormat="1">
      <c r="A734" s="374" t="str">
        <f t="shared" si="59"/>
        <v/>
      </c>
      <c r="B734" s="89">
        <v>5</v>
      </c>
      <c r="C734" s="89">
        <v>-1</v>
      </c>
      <c r="D734" s="89" t="s">
        <v>210</v>
      </c>
      <c r="E734" s="89" t="s">
        <v>210</v>
      </c>
      <c r="F734" s="89">
        <v>-3</v>
      </c>
      <c r="G734" s="89">
        <v>6</v>
      </c>
      <c r="H734" s="89" t="s">
        <v>210</v>
      </c>
      <c r="I734" s="89" t="s">
        <v>210</v>
      </c>
      <c r="J734" s="89">
        <v>-4</v>
      </c>
      <c r="K734" s="89">
        <v>-5</v>
      </c>
      <c r="L734" s="89" t="s">
        <v>210</v>
      </c>
      <c r="M734" s="89" t="s">
        <v>210</v>
      </c>
      <c r="N734" s="89">
        <v>2</v>
      </c>
      <c r="O734" s="89">
        <v>-6</v>
      </c>
      <c r="P734" s="89" t="s">
        <v>210</v>
      </c>
      <c r="Q734" s="89" t="s">
        <v>210</v>
      </c>
      <c r="R734" s="89">
        <v>3</v>
      </c>
      <c r="S734" s="89" t="s">
        <v>202</v>
      </c>
      <c r="T734" s="89" t="s">
        <v>210</v>
      </c>
      <c r="U734" s="89">
        <v>4</v>
      </c>
      <c r="V734" s="89" t="s">
        <v>210</v>
      </c>
      <c r="W734" s="89" t="s">
        <v>210</v>
      </c>
      <c r="X734" s="89">
        <v>5</v>
      </c>
      <c r="Y734" s="89" t="s">
        <v>210</v>
      </c>
      <c r="Z734" s="89">
        <v>1</v>
      </c>
      <c r="AA734" s="89">
        <v>-2</v>
      </c>
      <c r="AB734" s="89" t="s">
        <v>210</v>
      </c>
      <c r="AC734" s="89"/>
      <c r="AD734" s="89"/>
      <c r="AE734" s="89"/>
      <c r="AF734" s="89"/>
      <c r="AG734" s="89"/>
      <c r="AH734" s="89"/>
      <c r="AI734" s="89"/>
      <c r="AJ734" s="89"/>
      <c r="AK734" s="89"/>
      <c r="AL734" s="89"/>
      <c r="AM734" s="89"/>
      <c r="AN734" s="89"/>
      <c r="AO734" s="89"/>
      <c r="AP734" s="89"/>
      <c r="AQ734" s="89"/>
      <c r="AR734" s="89"/>
      <c r="AS734" s="89"/>
      <c r="AT734" s="89"/>
      <c r="AU734" s="89"/>
      <c r="AV734" s="89"/>
      <c r="AW734" s="89"/>
      <c r="AX734" s="89"/>
      <c r="AY734" s="89"/>
      <c r="AZ734" s="89"/>
      <c r="BA734" s="95"/>
    </row>
    <row r="735" spans="1:53" s="87" customFormat="1">
      <c r="A735" s="374" t="str">
        <f t="shared" si="59"/>
        <v/>
      </c>
      <c r="B735" s="89">
        <v>6</v>
      </c>
      <c r="C735" s="89">
        <v>4</v>
      </c>
      <c r="D735" s="89" t="s">
        <v>210</v>
      </c>
      <c r="E735" s="89" t="s">
        <v>210</v>
      </c>
      <c r="F735" s="89">
        <v>1</v>
      </c>
      <c r="G735" s="89">
        <v>5</v>
      </c>
      <c r="H735" s="89" t="s">
        <v>210</v>
      </c>
      <c r="I735" s="89" t="s">
        <v>210</v>
      </c>
      <c r="J735" s="89">
        <v>-3</v>
      </c>
      <c r="K735" s="89">
        <v>-2</v>
      </c>
      <c r="L735" s="89" t="s">
        <v>210</v>
      </c>
      <c r="M735" s="89" t="s">
        <v>210</v>
      </c>
      <c r="N735" s="89">
        <v>6</v>
      </c>
      <c r="O735" s="89">
        <v>-5</v>
      </c>
      <c r="P735" s="89" t="s">
        <v>210</v>
      </c>
      <c r="Q735" s="89" t="s">
        <v>210</v>
      </c>
      <c r="R735" s="89" t="s">
        <v>202</v>
      </c>
      <c r="S735" s="89" t="s">
        <v>210</v>
      </c>
      <c r="T735" s="89">
        <v>-1</v>
      </c>
      <c r="U735" s="89">
        <v>3</v>
      </c>
      <c r="V735" s="89" t="s">
        <v>210</v>
      </c>
      <c r="W735" s="89" t="s">
        <v>210</v>
      </c>
      <c r="X735" s="89">
        <v>-4</v>
      </c>
      <c r="Y735" s="89" t="s">
        <v>210</v>
      </c>
      <c r="Z735" s="89">
        <v>-6</v>
      </c>
      <c r="AA735" s="89">
        <v>2</v>
      </c>
      <c r="AB735" s="89" t="s">
        <v>210</v>
      </c>
      <c r="AC735" s="89"/>
      <c r="AD735" s="89"/>
      <c r="AE735" s="89"/>
      <c r="AF735" s="89"/>
      <c r="AG735" s="89"/>
      <c r="AH735" s="89"/>
      <c r="AI735" s="89"/>
      <c r="AJ735" s="89"/>
      <c r="AK735" s="89"/>
      <c r="AL735" s="89"/>
      <c r="AM735" s="89"/>
      <c r="AN735" s="89"/>
      <c r="AO735" s="89"/>
      <c r="AP735" s="89"/>
      <c r="AQ735" s="89"/>
      <c r="AR735" s="89"/>
      <c r="AS735" s="89"/>
      <c r="AT735" s="89"/>
      <c r="AU735" s="89"/>
      <c r="AV735" s="89"/>
      <c r="AW735" s="89"/>
      <c r="AX735" s="89"/>
      <c r="AY735" s="89"/>
      <c r="AZ735" s="89"/>
      <c r="BA735" s="95"/>
    </row>
    <row r="736" spans="1:53" s="87" customFormat="1">
      <c r="A736" s="374" t="str">
        <f t="shared" si="59"/>
        <v/>
      </c>
      <c r="B736" s="89">
        <v>7</v>
      </c>
      <c r="C736" s="89" t="s">
        <v>210</v>
      </c>
      <c r="D736" s="89">
        <v>-3</v>
      </c>
      <c r="E736" s="89" t="s">
        <v>210</v>
      </c>
      <c r="F736" s="89">
        <v>-6</v>
      </c>
      <c r="G736" s="89">
        <v>4</v>
      </c>
      <c r="H736" s="89" t="s">
        <v>210</v>
      </c>
      <c r="I736" s="89" t="s">
        <v>210</v>
      </c>
      <c r="J736" s="89">
        <v>2</v>
      </c>
      <c r="K736" s="89">
        <v>1</v>
      </c>
      <c r="L736" s="89" t="s">
        <v>210</v>
      </c>
      <c r="M736" s="89" t="s">
        <v>210</v>
      </c>
      <c r="N736" s="89">
        <v>-5</v>
      </c>
      <c r="O736" s="89">
        <v>3</v>
      </c>
      <c r="P736" s="89" t="s">
        <v>210</v>
      </c>
      <c r="Q736" s="89" t="s">
        <v>210</v>
      </c>
      <c r="R736" s="89">
        <v>-1</v>
      </c>
      <c r="S736" s="89">
        <v>-2</v>
      </c>
      <c r="T736" s="89" t="s">
        <v>210</v>
      </c>
      <c r="U736" s="89">
        <v>-4</v>
      </c>
      <c r="V736" s="89" t="s">
        <v>210</v>
      </c>
      <c r="W736" s="89" t="s">
        <v>210</v>
      </c>
      <c r="X736" s="89" t="s">
        <v>202</v>
      </c>
      <c r="Y736" s="89" t="s">
        <v>210</v>
      </c>
      <c r="Z736" s="89">
        <v>6</v>
      </c>
      <c r="AA736" s="89">
        <v>5</v>
      </c>
      <c r="AB736" s="89" t="s">
        <v>210</v>
      </c>
      <c r="AC736" s="89"/>
      <c r="AD736" s="89"/>
      <c r="AE736" s="89"/>
      <c r="AF736" s="89"/>
      <c r="AG736" s="89"/>
      <c r="AH736" s="89"/>
      <c r="AI736" s="89"/>
      <c r="AJ736" s="89"/>
      <c r="AK736" s="89"/>
      <c r="AL736" s="89"/>
      <c r="AM736" s="89"/>
      <c r="AN736" s="89"/>
      <c r="AO736" s="89"/>
      <c r="AP736" s="89"/>
      <c r="AQ736" s="89"/>
      <c r="AR736" s="89"/>
      <c r="AS736" s="89"/>
      <c r="AT736" s="89"/>
      <c r="AU736" s="89"/>
      <c r="AV736" s="89"/>
      <c r="AW736" s="89"/>
      <c r="AX736" s="89"/>
      <c r="AY736" s="89"/>
      <c r="AZ736" s="89"/>
      <c r="BA736" s="95"/>
    </row>
    <row r="737" spans="1:53" s="87" customFormat="1">
      <c r="A737" s="374" t="str">
        <f t="shared" si="59"/>
        <v/>
      </c>
      <c r="B737" s="89">
        <v>8</v>
      </c>
      <c r="C737" s="89">
        <v>6</v>
      </c>
      <c r="D737" s="89" t="s">
        <v>210</v>
      </c>
      <c r="E737" s="89" t="s">
        <v>210</v>
      </c>
      <c r="F737" s="89">
        <v>2</v>
      </c>
      <c r="G737" s="89">
        <v>3</v>
      </c>
      <c r="H737" s="89" t="s">
        <v>210</v>
      </c>
      <c r="I737" s="89" t="s">
        <v>210</v>
      </c>
      <c r="J737" s="89">
        <v>4</v>
      </c>
      <c r="K737" s="89" t="s">
        <v>202</v>
      </c>
      <c r="L737" s="89" t="s">
        <v>210</v>
      </c>
      <c r="M737" s="89" t="s">
        <v>210</v>
      </c>
      <c r="N737" s="89">
        <v>-1</v>
      </c>
      <c r="O737" s="89">
        <v>5</v>
      </c>
      <c r="P737" s="89" t="s">
        <v>210</v>
      </c>
      <c r="Q737" s="89" t="s">
        <v>210</v>
      </c>
      <c r="R737" s="89">
        <v>-4</v>
      </c>
      <c r="S737" s="89">
        <v>-6</v>
      </c>
      <c r="T737" s="89" t="s">
        <v>210</v>
      </c>
      <c r="U737" s="89">
        <v>1</v>
      </c>
      <c r="V737" s="89" t="s">
        <v>210</v>
      </c>
      <c r="W737" s="89" t="s">
        <v>210</v>
      </c>
      <c r="X737" s="89">
        <v>-2</v>
      </c>
      <c r="Y737" s="89" t="s">
        <v>210</v>
      </c>
      <c r="Z737" s="89">
        <v>-3</v>
      </c>
      <c r="AA737" s="89">
        <v>-5</v>
      </c>
      <c r="AB737" s="89" t="s">
        <v>210</v>
      </c>
      <c r="AC737" s="89"/>
      <c r="AD737" s="89"/>
      <c r="AE737" s="89"/>
      <c r="AF737" s="89"/>
      <c r="AG737" s="89"/>
      <c r="AH737" s="89"/>
      <c r="AI737" s="89"/>
      <c r="AJ737" s="89"/>
      <c r="AK737" s="89"/>
      <c r="AL737" s="89"/>
      <c r="AM737" s="89"/>
      <c r="AN737" s="89"/>
      <c r="AO737" s="89"/>
      <c r="AP737" s="89"/>
      <c r="AQ737" s="89"/>
      <c r="AR737" s="89"/>
      <c r="AS737" s="89"/>
      <c r="AT737" s="89"/>
      <c r="AU737" s="89"/>
      <c r="AV737" s="89"/>
      <c r="AW737" s="89"/>
      <c r="AX737" s="89"/>
      <c r="AY737" s="89"/>
      <c r="AZ737" s="89"/>
      <c r="BA737" s="95"/>
    </row>
    <row r="738" spans="1:53" s="87" customFormat="1">
      <c r="A738" s="374" t="str">
        <f t="shared" si="59"/>
        <v/>
      </c>
      <c r="B738" s="89">
        <v>9</v>
      </c>
      <c r="C738" s="89">
        <v>2</v>
      </c>
      <c r="D738" s="89" t="s">
        <v>210</v>
      </c>
      <c r="E738" s="89" t="s">
        <v>210</v>
      </c>
      <c r="F738" s="89" t="s">
        <v>202</v>
      </c>
      <c r="G738" s="89">
        <v>-1</v>
      </c>
      <c r="H738" s="89" t="s">
        <v>210</v>
      </c>
      <c r="I738" s="89" t="s">
        <v>210</v>
      </c>
      <c r="J738" s="89">
        <v>5</v>
      </c>
      <c r="K738" s="89">
        <v>-4</v>
      </c>
      <c r="L738" s="89" t="s">
        <v>210</v>
      </c>
      <c r="M738" s="89" t="s">
        <v>210</v>
      </c>
      <c r="N738" s="89">
        <v>-6</v>
      </c>
      <c r="O738" s="89">
        <v>-3</v>
      </c>
      <c r="P738" s="89" t="s">
        <v>210</v>
      </c>
      <c r="Q738" s="89" t="s">
        <v>210</v>
      </c>
      <c r="R738" s="89">
        <v>-2</v>
      </c>
      <c r="S738" s="89" t="s">
        <v>210</v>
      </c>
      <c r="T738" s="89">
        <v>4</v>
      </c>
      <c r="U738" s="89">
        <v>6</v>
      </c>
      <c r="V738" s="89" t="s">
        <v>210</v>
      </c>
      <c r="W738" s="89" t="s">
        <v>210</v>
      </c>
      <c r="X738" s="89">
        <v>-5</v>
      </c>
      <c r="Y738" s="89" t="s">
        <v>210</v>
      </c>
      <c r="Z738" s="89">
        <v>3</v>
      </c>
      <c r="AA738" s="89">
        <v>1</v>
      </c>
      <c r="AB738" s="89" t="s">
        <v>210</v>
      </c>
      <c r="AC738" s="89"/>
      <c r="AD738" s="89"/>
      <c r="AE738" s="89"/>
      <c r="AF738" s="89"/>
      <c r="AG738" s="89"/>
      <c r="AH738" s="89"/>
      <c r="AI738" s="89"/>
      <c r="AJ738" s="89"/>
      <c r="AK738" s="89"/>
      <c r="AL738" s="89"/>
      <c r="AM738" s="89"/>
      <c r="AN738" s="89"/>
      <c r="AO738" s="89"/>
      <c r="AP738" s="89"/>
      <c r="AQ738" s="89"/>
      <c r="AR738" s="89"/>
      <c r="AS738" s="89"/>
      <c r="AT738" s="89"/>
      <c r="AU738" s="89"/>
      <c r="AV738" s="89"/>
      <c r="AW738" s="89"/>
      <c r="AX738" s="89"/>
      <c r="AY738" s="89"/>
      <c r="AZ738" s="89"/>
      <c r="BA738" s="95"/>
    </row>
    <row r="739" spans="1:53" s="87" customFormat="1">
      <c r="A739" s="374" t="str">
        <f t="shared" si="59"/>
        <v/>
      </c>
      <c r="B739" s="89">
        <v>10</v>
      </c>
      <c r="C739" s="89">
        <v>-4</v>
      </c>
      <c r="D739" s="89" t="s">
        <v>210</v>
      </c>
      <c r="E739" s="89" t="s">
        <v>210</v>
      </c>
      <c r="F739" s="89">
        <v>6</v>
      </c>
      <c r="G739" s="89">
        <v>2</v>
      </c>
      <c r="H739" s="89" t="s">
        <v>210</v>
      </c>
      <c r="I739" s="89" t="s">
        <v>210</v>
      </c>
      <c r="J739" s="89">
        <v>1</v>
      </c>
      <c r="K739" s="89">
        <v>5</v>
      </c>
      <c r="L739" s="89" t="s">
        <v>210</v>
      </c>
      <c r="M739" s="89" t="s">
        <v>210</v>
      </c>
      <c r="N739" s="89">
        <v>-3</v>
      </c>
      <c r="O739" s="89">
        <v>-2</v>
      </c>
      <c r="P739" s="89" t="s">
        <v>210</v>
      </c>
      <c r="Q739" s="89" t="s">
        <v>210</v>
      </c>
      <c r="R739" s="89">
        <v>4</v>
      </c>
      <c r="S739" s="89">
        <v>3</v>
      </c>
      <c r="T739" s="89" t="s">
        <v>210</v>
      </c>
      <c r="U739" s="89" t="s">
        <v>202</v>
      </c>
      <c r="V739" s="89" t="s">
        <v>210</v>
      </c>
      <c r="W739" s="89" t="s">
        <v>210</v>
      </c>
      <c r="X739" s="89">
        <v>-6</v>
      </c>
      <c r="Y739" s="89" t="s">
        <v>210</v>
      </c>
      <c r="Z739" s="89">
        <v>-5</v>
      </c>
      <c r="AA739" s="89">
        <v>-1</v>
      </c>
      <c r="AB739" s="89" t="s">
        <v>210</v>
      </c>
      <c r="AC739" s="89"/>
      <c r="AD739" s="89"/>
      <c r="AE739" s="89"/>
      <c r="AF739" s="89"/>
      <c r="AG739" s="89"/>
      <c r="AH739" s="89"/>
      <c r="AI739" s="89"/>
      <c r="AJ739" s="89"/>
      <c r="AK739" s="89"/>
      <c r="AL739" s="89"/>
      <c r="AM739" s="89"/>
      <c r="AN739" s="89"/>
      <c r="AO739" s="89"/>
      <c r="AP739" s="89"/>
      <c r="AQ739" s="89"/>
      <c r="AR739" s="89"/>
      <c r="AS739" s="89"/>
      <c r="AT739" s="89"/>
      <c r="AU739" s="89"/>
      <c r="AV739" s="89"/>
      <c r="AW739" s="89"/>
      <c r="AX739" s="89"/>
      <c r="AY739" s="89"/>
      <c r="AZ739" s="89"/>
      <c r="BA739" s="95"/>
    </row>
    <row r="740" spans="1:53" s="87" customFormat="1">
      <c r="A740" s="374" t="str">
        <f t="shared" si="59"/>
        <v/>
      </c>
      <c r="B740" s="89">
        <v>11</v>
      </c>
      <c r="C740" s="89">
        <v>-2</v>
      </c>
      <c r="D740" s="89" t="s">
        <v>210</v>
      </c>
      <c r="E740" s="89" t="s">
        <v>210</v>
      </c>
      <c r="F740" s="89">
        <v>-5</v>
      </c>
      <c r="G740" s="89" t="s">
        <v>202</v>
      </c>
      <c r="H740" s="89" t="s">
        <v>210</v>
      </c>
      <c r="I740" s="89" t="s">
        <v>210</v>
      </c>
      <c r="J740" s="89">
        <v>6</v>
      </c>
      <c r="K740" s="89">
        <v>3</v>
      </c>
      <c r="L740" s="89" t="s">
        <v>210</v>
      </c>
      <c r="M740" s="89" t="s">
        <v>210</v>
      </c>
      <c r="N740" s="89">
        <v>-4</v>
      </c>
      <c r="O740" s="89">
        <v>1</v>
      </c>
      <c r="P740" s="89" t="s">
        <v>210</v>
      </c>
      <c r="Q740" s="89" t="s">
        <v>210</v>
      </c>
      <c r="R740" s="89">
        <v>-3</v>
      </c>
      <c r="S740" s="89">
        <v>2</v>
      </c>
      <c r="T740" s="89" t="s">
        <v>210</v>
      </c>
      <c r="U740" s="89">
        <v>-1</v>
      </c>
      <c r="V740" s="89" t="s">
        <v>210</v>
      </c>
      <c r="W740" s="89" t="s">
        <v>210</v>
      </c>
      <c r="X740" s="89">
        <v>4</v>
      </c>
      <c r="Y740" s="89" t="s">
        <v>210</v>
      </c>
      <c r="Z740" s="89">
        <v>5</v>
      </c>
      <c r="AA740" s="89">
        <v>-6</v>
      </c>
      <c r="AB740" s="89" t="s">
        <v>210</v>
      </c>
      <c r="AC740" s="89"/>
      <c r="AD740" s="89"/>
      <c r="AE740" s="89"/>
      <c r="AF740" s="89"/>
      <c r="AG740" s="89"/>
      <c r="AH740" s="89"/>
      <c r="AI740" s="89"/>
      <c r="AJ740" s="89"/>
      <c r="AK740" s="89"/>
      <c r="AL740" s="89"/>
      <c r="AM740" s="89"/>
      <c r="AN740" s="89"/>
      <c r="AO740" s="89"/>
      <c r="AP740" s="89"/>
      <c r="AQ740" s="89"/>
      <c r="AR740" s="89"/>
      <c r="AS740" s="89"/>
      <c r="AT740" s="89"/>
      <c r="AU740" s="89"/>
      <c r="AV740" s="89"/>
      <c r="AW740" s="89"/>
      <c r="AX740" s="89"/>
      <c r="AY740" s="89"/>
      <c r="AZ740" s="89"/>
      <c r="BA740" s="95"/>
    </row>
    <row r="741" spans="1:53" s="87" customFormat="1">
      <c r="A741" s="374" t="str">
        <f t="shared" si="59"/>
        <v/>
      </c>
      <c r="B741" s="89">
        <v>12</v>
      </c>
      <c r="C741" s="89" t="s">
        <v>210</v>
      </c>
      <c r="D741" s="89">
        <v>3</v>
      </c>
      <c r="E741" s="89" t="s">
        <v>210</v>
      </c>
      <c r="F741" s="89">
        <v>4</v>
      </c>
      <c r="G741" s="89">
        <v>-6</v>
      </c>
      <c r="H741" s="89" t="s">
        <v>210</v>
      </c>
      <c r="I741" s="89" t="s">
        <v>210</v>
      </c>
      <c r="J741" s="89">
        <v>-5</v>
      </c>
      <c r="K741" s="89">
        <v>2</v>
      </c>
      <c r="L741" s="89" t="s">
        <v>210</v>
      </c>
      <c r="M741" s="89" t="s">
        <v>210</v>
      </c>
      <c r="N741" s="89">
        <v>1</v>
      </c>
      <c r="O741" s="89">
        <v>-4</v>
      </c>
      <c r="P741" s="89" t="s">
        <v>210</v>
      </c>
      <c r="Q741" s="89" t="s">
        <v>210</v>
      </c>
      <c r="R741" s="89">
        <v>5</v>
      </c>
      <c r="S741" s="89">
        <v>-3</v>
      </c>
      <c r="T741" s="89" t="s">
        <v>210</v>
      </c>
      <c r="U741" s="89">
        <v>-2</v>
      </c>
      <c r="V741" s="89" t="s">
        <v>210</v>
      </c>
      <c r="W741" s="89" t="s">
        <v>210</v>
      </c>
      <c r="X741" s="89">
        <v>-1</v>
      </c>
      <c r="Y741" s="89" t="s">
        <v>210</v>
      </c>
      <c r="Z741" s="89" t="s">
        <v>202</v>
      </c>
      <c r="AA741" s="89">
        <v>6</v>
      </c>
      <c r="AB741" s="89" t="s">
        <v>210</v>
      </c>
      <c r="AC741" s="89"/>
      <c r="AD741" s="89"/>
      <c r="AE741" s="89"/>
      <c r="AF741" s="89"/>
      <c r="AG741" s="89"/>
      <c r="AH741" s="89"/>
      <c r="AI741" s="89"/>
      <c r="AJ741" s="89"/>
      <c r="AK741" s="89"/>
      <c r="AL741" s="89"/>
      <c r="AM741" s="89"/>
      <c r="AN741" s="89"/>
      <c r="AO741" s="89"/>
      <c r="AP741" s="89"/>
      <c r="AQ741" s="89"/>
      <c r="AR741" s="89"/>
      <c r="AS741" s="89"/>
      <c r="AT741" s="89"/>
      <c r="AU741" s="89"/>
      <c r="AV741" s="89"/>
      <c r="AW741" s="89"/>
      <c r="AX741" s="89"/>
      <c r="AY741" s="89"/>
      <c r="AZ741" s="89"/>
      <c r="BA741" s="95"/>
    </row>
    <row r="742" spans="1:53" s="87" customFormat="1">
      <c r="A742" s="374" t="str">
        <f t="shared" si="59"/>
        <v/>
      </c>
      <c r="B742" s="99">
        <v>13</v>
      </c>
      <c r="C742" s="92">
        <v>1</v>
      </c>
      <c r="D742" s="92" t="s">
        <v>210</v>
      </c>
      <c r="E742" s="92" t="s">
        <v>210</v>
      </c>
      <c r="F742" s="92">
        <v>-4</v>
      </c>
      <c r="G742" s="92">
        <v>-2</v>
      </c>
      <c r="H742" s="92" t="s">
        <v>210</v>
      </c>
      <c r="I742" s="92" t="s">
        <v>210</v>
      </c>
      <c r="J742" s="92">
        <v>3</v>
      </c>
      <c r="K742" s="92">
        <v>-6</v>
      </c>
      <c r="L742" s="92" t="s">
        <v>210</v>
      </c>
      <c r="M742" s="92" t="s">
        <v>210</v>
      </c>
      <c r="N742" s="92">
        <v>5</v>
      </c>
      <c r="O742" s="92">
        <v>-1</v>
      </c>
      <c r="P742" s="92" t="s">
        <v>210</v>
      </c>
      <c r="Q742" s="92" t="s">
        <v>210</v>
      </c>
      <c r="R742" s="92">
        <v>2</v>
      </c>
      <c r="S742" s="92">
        <v>6</v>
      </c>
      <c r="T742" s="92" t="s">
        <v>210</v>
      </c>
      <c r="U742" s="92">
        <v>-5</v>
      </c>
      <c r="V742" s="92" t="s">
        <v>210</v>
      </c>
      <c r="W742" s="92" t="s">
        <v>210</v>
      </c>
      <c r="X742" s="92">
        <v>-3</v>
      </c>
      <c r="Y742" s="92" t="s">
        <v>210</v>
      </c>
      <c r="Z742" s="92">
        <v>4</v>
      </c>
      <c r="AA742" s="92" t="s">
        <v>202</v>
      </c>
      <c r="AB742" s="92" t="s">
        <v>210</v>
      </c>
      <c r="AC742" s="89"/>
      <c r="AD742" s="89"/>
      <c r="AE742" s="89"/>
      <c r="AF742" s="89"/>
      <c r="AG742" s="89"/>
      <c r="AH742" s="89"/>
      <c r="AI742" s="89"/>
      <c r="AJ742" s="89"/>
      <c r="AK742" s="89"/>
      <c r="AL742" s="89"/>
      <c r="AM742" s="89"/>
      <c r="AN742" s="89"/>
      <c r="AO742" s="89"/>
      <c r="AP742" s="89"/>
      <c r="AQ742" s="89"/>
      <c r="AR742" s="89"/>
      <c r="AS742" s="89"/>
      <c r="AT742" s="89"/>
      <c r="AU742" s="89"/>
      <c r="AV742" s="89"/>
      <c r="AW742" s="89"/>
      <c r="AX742" s="89"/>
      <c r="AY742" s="89"/>
      <c r="AZ742" s="89"/>
      <c r="BA742" s="95"/>
    </row>
    <row r="743" spans="1:53" s="87" customFormat="1">
      <c r="A743" s="374" t="str">
        <f t="shared" si="59"/>
        <v/>
      </c>
      <c r="B743" s="89">
        <v>14</v>
      </c>
      <c r="C743" s="89" t="s">
        <v>210</v>
      </c>
      <c r="D743" s="89">
        <v>-5</v>
      </c>
      <c r="E743" s="89">
        <v>-1</v>
      </c>
      <c r="F743" s="89" t="s">
        <v>210</v>
      </c>
      <c r="G743" s="89" t="s">
        <v>210</v>
      </c>
      <c r="H743" s="89">
        <v>-3</v>
      </c>
      <c r="I743" s="89">
        <v>-6</v>
      </c>
      <c r="J743" s="89" t="s">
        <v>210</v>
      </c>
      <c r="K743" s="89" t="s">
        <v>210</v>
      </c>
      <c r="L743" s="89">
        <v>4</v>
      </c>
      <c r="M743" s="89">
        <v>-2</v>
      </c>
      <c r="N743" s="89" t="s">
        <v>210</v>
      </c>
      <c r="O743" s="89" t="s">
        <v>210</v>
      </c>
      <c r="P743" s="89" t="s">
        <v>202</v>
      </c>
      <c r="Q743" s="89">
        <v>1</v>
      </c>
      <c r="R743" s="89" t="s">
        <v>210</v>
      </c>
      <c r="S743" s="89" t="s">
        <v>210</v>
      </c>
      <c r="T743" s="89">
        <v>5</v>
      </c>
      <c r="U743" s="89" t="s">
        <v>210</v>
      </c>
      <c r="V743" s="89">
        <v>2</v>
      </c>
      <c r="W743" s="89">
        <v>6</v>
      </c>
      <c r="X743" s="89" t="s">
        <v>210</v>
      </c>
      <c r="Y743" s="89">
        <v>-4</v>
      </c>
      <c r="Z743" s="89" t="s">
        <v>210</v>
      </c>
      <c r="AA743" s="89" t="s">
        <v>210</v>
      </c>
      <c r="AB743" s="89">
        <v>3</v>
      </c>
      <c r="AC743" s="89"/>
      <c r="AD743" s="89"/>
      <c r="AE743" s="89"/>
      <c r="AF743" s="89"/>
      <c r="AG743" s="89"/>
      <c r="AH743" s="89"/>
      <c r="AI743" s="89"/>
      <c r="AJ743" s="89"/>
      <c r="AK743" s="89"/>
      <c r="AL743" s="89"/>
      <c r="AM743" s="89"/>
      <c r="AN743" s="89"/>
      <c r="AO743" s="89"/>
      <c r="AP743" s="89"/>
      <c r="AQ743" s="89"/>
      <c r="AR743" s="89"/>
      <c r="AS743" s="89"/>
      <c r="AT743" s="89"/>
      <c r="AU743" s="89"/>
      <c r="AV743" s="89"/>
      <c r="AW743" s="89"/>
      <c r="AX743" s="89"/>
      <c r="AY743" s="89"/>
      <c r="AZ743" s="89"/>
      <c r="BA743" s="95"/>
    </row>
    <row r="744" spans="1:53" s="87" customFormat="1">
      <c r="A744" s="374" t="str">
        <f t="shared" si="59"/>
        <v/>
      </c>
      <c r="B744" s="89">
        <v>15</v>
      </c>
      <c r="C744" s="89" t="s">
        <v>210</v>
      </c>
      <c r="D744" s="89">
        <v>-6</v>
      </c>
      <c r="E744" s="89">
        <v>3</v>
      </c>
      <c r="F744" s="89" t="s">
        <v>210</v>
      </c>
      <c r="G744" s="89" t="s">
        <v>210</v>
      </c>
      <c r="H744" s="89">
        <v>-5</v>
      </c>
      <c r="I744" s="89" t="s">
        <v>202</v>
      </c>
      <c r="J744" s="89" t="s">
        <v>210</v>
      </c>
      <c r="K744" s="89" t="s">
        <v>210</v>
      </c>
      <c r="L744" s="89">
        <v>-1</v>
      </c>
      <c r="M744" s="89">
        <v>4</v>
      </c>
      <c r="N744" s="89" t="s">
        <v>210</v>
      </c>
      <c r="O744" s="89" t="s">
        <v>210</v>
      </c>
      <c r="P744" s="89">
        <v>2</v>
      </c>
      <c r="Q744" s="89">
        <v>6</v>
      </c>
      <c r="R744" s="89" t="s">
        <v>210</v>
      </c>
      <c r="S744" s="89">
        <v>-4</v>
      </c>
      <c r="T744" s="89" t="s">
        <v>210</v>
      </c>
      <c r="U744" s="89" t="s">
        <v>210</v>
      </c>
      <c r="V744" s="89">
        <v>5</v>
      </c>
      <c r="W744" s="89">
        <v>1</v>
      </c>
      <c r="X744" s="89" t="s">
        <v>210</v>
      </c>
      <c r="Y744" s="89">
        <v>-2</v>
      </c>
      <c r="Z744" s="89" t="s">
        <v>210</v>
      </c>
      <c r="AA744" s="89" t="s">
        <v>210</v>
      </c>
      <c r="AB744" s="89">
        <v>-3</v>
      </c>
      <c r="AC744" s="89"/>
      <c r="AD744" s="89"/>
      <c r="AE744" s="89"/>
      <c r="AF744" s="89"/>
      <c r="AG744" s="89"/>
      <c r="AH744" s="89"/>
      <c r="AI744" s="89"/>
      <c r="AJ744" s="89"/>
      <c r="AK744" s="89"/>
      <c r="AL744" s="89"/>
      <c r="AM744" s="89"/>
      <c r="AN744" s="89"/>
      <c r="AO744" s="89"/>
      <c r="AP744" s="89"/>
      <c r="AQ744" s="89"/>
      <c r="AR744" s="89"/>
      <c r="AS744" s="89"/>
      <c r="AT744" s="89"/>
      <c r="AU744" s="89"/>
      <c r="AV744" s="89"/>
      <c r="AW744" s="89"/>
      <c r="AX744" s="89"/>
      <c r="AY744" s="89"/>
      <c r="AZ744" s="89"/>
      <c r="BA744" s="95"/>
    </row>
    <row r="745" spans="1:53" s="87" customFormat="1">
      <c r="A745" s="374" t="str">
        <f t="shared" si="59"/>
        <v/>
      </c>
      <c r="B745" s="89">
        <v>16</v>
      </c>
      <c r="C745" s="89" t="s">
        <v>210</v>
      </c>
      <c r="D745" s="89">
        <v>5</v>
      </c>
      <c r="E745" s="89">
        <v>-2</v>
      </c>
      <c r="F745" s="89" t="s">
        <v>210</v>
      </c>
      <c r="G745" s="89" t="s">
        <v>210</v>
      </c>
      <c r="H745" s="89">
        <v>-4</v>
      </c>
      <c r="I745" s="89">
        <v>-1</v>
      </c>
      <c r="J745" s="89" t="s">
        <v>210</v>
      </c>
      <c r="K745" s="89" t="s">
        <v>210</v>
      </c>
      <c r="L745" s="89">
        <v>-3</v>
      </c>
      <c r="M745" s="89" t="s">
        <v>202</v>
      </c>
      <c r="N745" s="89" t="s">
        <v>210</v>
      </c>
      <c r="O745" s="89" t="s">
        <v>210</v>
      </c>
      <c r="P745" s="89">
        <v>6</v>
      </c>
      <c r="Q745" s="89">
        <v>-5</v>
      </c>
      <c r="R745" s="89" t="s">
        <v>210</v>
      </c>
      <c r="S745" s="89">
        <v>1</v>
      </c>
      <c r="T745" s="89" t="s">
        <v>210</v>
      </c>
      <c r="U745" s="89" t="s">
        <v>210</v>
      </c>
      <c r="V745" s="89">
        <v>-6</v>
      </c>
      <c r="W745" s="89">
        <v>3</v>
      </c>
      <c r="X745" s="89" t="s">
        <v>210</v>
      </c>
      <c r="Y745" s="89">
        <v>2</v>
      </c>
      <c r="Z745" s="89" t="s">
        <v>210</v>
      </c>
      <c r="AA745" s="89" t="s">
        <v>210</v>
      </c>
      <c r="AB745" s="89">
        <v>4</v>
      </c>
      <c r="AC745" s="89"/>
      <c r="AD745" s="89"/>
      <c r="AE745" s="89"/>
      <c r="AF745" s="89"/>
      <c r="AG745" s="89"/>
      <c r="AH745" s="89"/>
      <c r="AI745" s="89"/>
      <c r="AJ745" s="89"/>
      <c r="AK745" s="89"/>
      <c r="AL745" s="89"/>
      <c r="AM745" s="89"/>
      <c r="AN745" s="89"/>
      <c r="AO745" s="89"/>
      <c r="AP745" s="89"/>
      <c r="AQ745" s="89"/>
      <c r="AR745" s="89"/>
      <c r="AS745" s="89"/>
      <c r="AT745" s="89"/>
      <c r="AU745" s="89"/>
      <c r="AV745" s="89"/>
      <c r="AW745" s="89"/>
      <c r="AX745" s="89"/>
      <c r="AY745" s="89"/>
      <c r="AZ745" s="89"/>
      <c r="BA745" s="95"/>
    </row>
    <row r="746" spans="1:53" s="87" customFormat="1">
      <c r="A746" s="374" t="str">
        <f t="shared" si="59"/>
        <v/>
      </c>
      <c r="B746" s="89">
        <v>17</v>
      </c>
      <c r="C746" s="89" t="s">
        <v>210</v>
      </c>
      <c r="D746" s="89" t="s">
        <v>202</v>
      </c>
      <c r="E746" s="89">
        <v>5</v>
      </c>
      <c r="F746" s="89" t="s">
        <v>210</v>
      </c>
      <c r="G746" s="89" t="s">
        <v>210</v>
      </c>
      <c r="H746" s="89">
        <v>1</v>
      </c>
      <c r="I746" s="89">
        <v>-2</v>
      </c>
      <c r="J746" s="89" t="s">
        <v>210</v>
      </c>
      <c r="K746" s="89" t="s">
        <v>210</v>
      </c>
      <c r="L746" s="89">
        <v>6</v>
      </c>
      <c r="M746" s="89">
        <v>3</v>
      </c>
      <c r="N746" s="89" t="s">
        <v>210</v>
      </c>
      <c r="O746" s="89" t="s">
        <v>210</v>
      </c>
      <c r="P746" s="89">
        <v>4</v>
      </c>
      <c r="Q746" s="89">
        <v>-6</v>
      </c>
      <c r="R746" s="89" t="s">
        <v>210</v>
      </c>
      <c r="S746" s="89" t="s">
        <v>210</v>
      </c>
      <c r="T746" s="89">
        <v>-5</v>
      </c>
      <c r="U746" s="89" t="s">
        <v>210</v>
      </c>
      <c r="V746" s="89">
        <v>-3</v>
      </c>
      <c r="W746" s="89">
        <v>2</v>
      </c>
      <c r="X746" s="89" t="s">
        <v>210</v>
      </c>
      <c r="Y746" s="89">
        <v>-1</v>
      </c>
      <c r="Z746" s="89" t="s">
        <v>210</v>
      </c>
      <c r="AA746" s="89" t="s">
        <v>210</v>
      </c>
      <c r="AB746" s="89">
        <v>-4</v>
      </c>
      <c r="AC746" s="89"/>
      <c r="AD746" s="89"/>
      <c r="AE746" s="89"/>
      <c r="AF746" s="89"/>
      <c r="AG746" s="89"/>
      <c r="AH746" s="89"/>
      <c r="AI746" s="89"/>
      <c r="AJ746" s="89"/>
      <c r="AK746" s="89"/>
      <c r="AL746" s="89"/>
      <c r="AM746" s="89"/>
      <c r="AN746" s="89"/>
      <c r="AO746" s="89"/>
      <c r="AP746" s="89"/>
      <c r="AQ746" s="89"/>
      <c r="AR746" s="89"/>
      <c r="AS746" s="89"/>
      <c r="AT746" s="89"/>
      <c r="AU746" s="89"/>
      <c r="AV746" s="89"/>
      <c r="AW746" s="89"/>
      <c r="AX746" s="89"/>
      <c r="AY746" s="89"/>
      <c r="AZ746" s="89"/>
      <c r="BA746" s="95"/>
    </row>
    <row r="747" spans="1:53" s="87" customFormat="1">
      <c r="A747" s="374" t="str">
        <f t="shared" si="59"/>
        <v/>
      </c>
      <c r="B747" s="89">
        <v>18</v>
      </c>
      <c r="C747" s="89" t="s">
        <v>210</v>
      </c>
      <c r="D747" s="89">
        <v>-1</v>
      </c>
      <c r="E747" s="89">
        <v>-3</v>
      </c>
      <c r="F747" s="89" t="s">
        <v>210</v>
      </c>
      <c r="G747" s="89" t="s">
        <v>210</v>
      </c>
      <c r="H747" s="89">
        <v>6</v>
      </c>
      <c r="I747" s="89">
        <v>-4</v>
      </c>
      <c r="J747" s="89" t="s">
        <v>210</v>
      </c>
      <c r="K747" s="89" t="s">
        <v>210</v>
      </c>
      <c r="L747" s="89">
        <v>-5</v>
      </c>
      <c r="M747" s="89">
        <v>2</v>
      </c>
      <c r="N747" s="89" t="s">
        <v>210</v>
      </c>
      <c r="O747" s="89" t="s">
        <v>210</v>
      </c>
      <c r="P747" s="89">
        <v>-6</v>
      </c>
      <c r="Q747" s="89">
        <v>3</v>
      </c>
      <c r="R747" s="89" t="s">
        <v>210</v>
      </c>
      <c r="S747" s="89" t="s">
        <v>210</v>
      </c>
      <c r="T747" s="89" t="s">
        <v>202</v>
      </c>
      <c r="U747" s="89" t="s">
        <v>210</v>
      </c>
      <c r="V747" s="89">
        <v>4</v>
      </c>
      <c r="W747" s="89">
        <v>5</v>
      </c>
      <c r="X747" s="89" t="s">
        <v>210</v>
      </c>
      <c r="Y747" s="89">
        <v>1</v>
      </c>
      <c r="Z747" s="89" t="s">
        <v>210</v>
      </c>
      <c r="AA747" s="89" t="s">
        <v>210</v>
      </c>
      <c r="AB747" s="89">
        <v>-2</v>
      </c>
      <c r="AC747" s="89"/>
      <c r="AD747" s="89"/>
      <c r="AE747" s="89"/>
      <c r="AF747" s="89"/>
      <c r="AG747" s="89"/>
      <c r="AH747" s="89"/>
      <c r="AI747" s="89"/>
      <c r="AJ747" s="89"/>
      <c r="AK747" s="89"/>
      <c r="AL747" s="89"/>
      <c r="AM747" s="89"/>
      <c r="AN747" s="89"/>
      <c r="AO747" s="89"/>
      <c r="AP747" s="89"/>
      <c r="AQ747" s="89"/>
      <c r="AR747" s="89"/>
      <c r="AS747" s="89"/>
      <c r="AT747" s="89"/>
      <c r="AU747" s="89"/>
      <c r="AV747" s="89"/>
      <c r="AW747" s="89"/>
      <c r="AX747" s="89"/>
      <c r="AY747" s="89"/>
      <c r="AZ747" s="89"/>
      <c r="BA747" s="95"/>
    </row>
    <row r="748" spans="1:53" s="87" customFormat="1">
      <c r="A748" s="374" t="str">
        <f t="shared" si="59"/>
        <v/>
      </c>
      <c r="B748" s="89">
        <v>19</v>
      </c>
      <c r="C748" s="89" t="s">
        <v>210</v>
      </c>
      <c r="D748" s="89">
        <v>4</v>
      </c>
      <c r="E748" s="89">
        <v>1</v>
      </c>
      <c r="F748" s="89" t="s">
        <v>210</v>
      </c>
      <c r="G748" s="89" t="s">
        <v>210</v>
      </c>
      <c r="H748" s="89">
        <v>5</v>
      </c>
      <c r="I748" s="89">
        <v>-3</v>
      </c>
      <c r="J748" s="89" t="s">
        <v>210</v>
      </c>
      <c r="K748" s="89" t="s">
        <v>210</v>
      </c>
      <c r="L748" s="89">
        <v>-2</v>
      </c>
      <c r="M748" s="89">
        <v>6</v>
      </c>
      <c r="N748" s="89" t="s">
        <v>210</v>
      </c>
      <c r="O748" s="89" t="s">
        <v>210</v>
      </c>
      <c r="P748" s="89">
        <v>-5</v>
      </c>
      <c r="Q748" s="89" t="s">
        <v>202</v>
      </c>
      <c r="R748" s="89" t="s">
        <v>210</v>
      </c>
      <c r="S748" s="89">
        <v>-1</v>
      </c>
      <c r="T748" s="89" t="s">
        <v>210</v>
      </c>
      <c r="U748" s="89" t="s">
        <v>210</v>
      </c>
      <c r="V748" s="89">
        <v>3</v>
      </c>
      <c r="W748" s="89">
        <v>-4</v>
      </c>
      <c r="X748" s="89" t="s">
        <v>210</v>
      </c>
      <c r="Y748" s="89">
        <v>-6</v>
      </c>
      <c r="Z748" s="89" t="s">
        <v>210</v>
      </c>
      <c r="AA748" s="89" t="s">
        <v>210</v>
      </c>
      <c r="AB748" s="89">
        <v>2</v>
      </c>
      <c r="AC748" s="89"/>
      <c r="AD748" s="89"/>
      <c r="AE748" s="89"/>
      <c r="AF748" s="89"/>
      <c r="AG748" s="89"/>
      <c r="AH748" s="89"/>
      <c r="AI748" s="89"/>
      <c r="AJ748" s="89"/>
      <c r="AK748" s="89"/>
      <c r="AL748" s="89"/>
      <c r="AM748" s="89"/>
      <c r="AN748" s="89"/>
      <c r="AO748" s="89"/>
      <c r="AP748" s="89"/>
      <c r="AQ748" s="89"/>
      <c r="AR748" s="89"/>
      <c r="AS748" s="89"/>
      <c r="AT748" s="89"/>
      <c r="AU748" s="89"/>
      <c r="AV748" s="89"/>
      <c r="AW748" s="89"/>
      <c r="AX748" s="89"/>
      <c r="AY748" s="89"/>
      <c r="AZ748" s="89"/>
      <c r="BA748" s="95"/>
    </row>
    <row r="749" spans="1:53" s="87" customFormat="1">
      <c r="A749" s="374" t="str">
        <f t="shared" si="59"/>
        <v/>
      </c>
      <c r="B749" s="89">
        <v>20</v>
      </c>
      <c r="C749" s="89">
        <v>-3</v>
      </c>
      <c r="D749" s="89" t="s">
        <v>210</v>
      </c>
      <c r="E749" s="89">
        <v>-6</v>
      </c>
      <c r="F749" s="89" t="s">
        <v>210</v>
      </c>
      <c r="G749" s="89" t="s">
        <v>210</v>
      </c>
      <c r="H749" s="89">
        <v>4</v>
      </c>
      <c r="I749" s="89">
        <v>2</v>
      </c>
      <c r="J749" s="89" t="s">
        <v>210</v>
      </c>
      <c r="K749" s="89" t="s">
        <v>210</v>
      </c>
      <c r="L749" s="89">
        <v>1</v>
      </c>
      <c r="M749" s="89">
        <v>-5</v>
      </c>
      <c r="N749" s="89" t="s">
        <v>210</v>
      </c>
      <c r="O749" s="89" t="s">
        <v>210</v>
      </c>
      <c r="P749" s="89">
        <v>3</v>
      </c>
      <c r="Q749" s="89">
        <v>-1</v>
      </c>
      <c r="R749" s="89" t="s">
        <v>210</v>
      </c>
      <c r="S749" s="89" t="s">
        <v>210</v>
      </c>
      <c r="T749" s="89">
        <v>-2</v>
      </c>
      <c r="U749" s="89" t="s">
        <v>210</v>
      </c>
      <c r="V749" s="89">
        <v>-4</v>
      </c>
      <c r="W749" s="89" t="s">
        <v>202</v>
      </c>
      <c r="X749" s="89" t="s">
        <v>210</v>
      </c>
      <c r="Y749" s="89">
        <v>6</v>
      </c>
      <c r="Z749" s="89" t="s">
        <v>210</v>
      </c>
      <c r="AA749" s="89" t="s">
        <v>210</v>
      </c>
      <c r="AB749" s="89">
        <v>5</v>
      </c>
      <c r="AC749" s="89"/>
      <c r="AD749" s="89"/>
      <c r="AE749" s="89"/>
      <c r="AF749" s="89"/>
      <c r="AG749" s="89"/>
      <c r="AH749" s="89"/>
      <c r="AI749" s="89"/>
      <c r="AJ749" s="89"/>
      <c r="AK749" s="89"/>
      <c r="AL749" s="89"/>
      <c r="AM749" s="89"/>
      <c r="AN749" s="89"/>
      <c r="AO749" s="89"/>
      <c r="AP749" s="89"/>
      <c r="AQ749" s="89"/>
      <c r="AR749" s="89"/>
      <c r="AS749" s="89"/>
      <c r="AT749" s="89"/>
      <c r="AU749" s="89"/>
      <c r="AV749" s="89"/>
      <c r="AW749" s="89"/>
      <c r="AX749" s="89"/>
      <c r="AY749" s="89"/>
      <c r="AZ749" s="89"/>
      <c r="BA749" s="95"/>
    </row>
    <row r="750" spans="1:53" s="87" customFormat="1">
      <c r="A750" s="374" t="str">
        <f t="shared" si="59"/>
        <v/>
      </c>
      <c r="B750" s="89">
        <v>21</v>
      </c>
      <c r="C750" s="89" t="s">
        <v>210</v>
      </c>
      <c r="D750" s="89">
        <v>6</v>
      </c>
      <c r="E750" s="89">
        <v>2</v>
      </c>
      <c r="F750" s="89" t="s">
        <v>210</v>
      </c>
      <c r="G750" s="89" t="s">
        <v>210</v>
      </c>
      <c r="H750" s="89">
        <v>3</v>
      </c>
      <c r="I750" s="89">
        <v>4</v>
      </c>
      <c r="J750" s="89" t="s">
        <v>210</v>
      </c>
      <c r="K750" s="89" t="s">
        <v>210</v>
      </c>
      <c r="L750" s="89" t="s">
        <v>202</v>
      </c>
      <c r="M750" s="89">
        <v>-1</v>
      </c>
      <c r="N750" s="89" t="s">
        <v>210</v>
      </c>
      <c r="O750" s="89" t="s">
        <v>210</v>
      </c>
      <c r="P750" s="89">
        <v>5</v>
      </c>
      <c r="Q750" s="89">
        <v>-4</v>
      </c>
      <c r="R750" s="89" t="s">
        <v>210</v>
      </c>
      <c r="S750" s="89" t="s">
        <v>210</v>
      </c>
      <c r="T750" s="89">
        <v>-6</v>
      </c>
      <c r="U750" s="89" t="s">
        <v>210</v>
      </c>
      <c r="V750" s="89">
        <v>1</v>
      </c>
      <c r="W750" s="89">
        <v>-2</v>
      </c>
      <c r="X750" s="89" t="s">
        <v>210</v>
      </c>
      <c r="Y750" s="89">
        <v>-3</v>
      </c>
      <c r="Z750" s="89" t="s">
        <v>210</v>
      </c>
      <c r="AA750" s="89" t="s">
        <v>210</v>
      </c>
      <c r="AB750" s="89">
        <v>-5</v>
      </c>
      <c r="AC750" s="89"/>
      <c r="AD750" s="89"/>
      <c r="AE750" s="89"/>
      <c r="AF750" s="89"/>
      <c r="AG750" s="89"/>
      <c r="AH750" s="89"/>
      <c r="AI750" s="89"/>
      <c r="AJ750" s="89"/>
      <c r="AK750" s="89"/>
      <c r="AL750" s="89"/>
      <c r="AM750" s="89"/>
      <c r="AN750" s="89"/>
      <c r="AO750" s="89"/>
      <c r="AP750" s="89"/>
      <c r="AQ750" s="89"/>
      <c r="AR750" s="89"/>
      <c r="AS750" s="89"/>
      <c r="AT750" s="89"/>
      <c r="AU750" s="89"/>
      <c r="AV750" s="89"/>
      <c r="AW750" s="89"/>
      <c r="AX750" s="89"/>
      <c r="AY750" s="89"/>
      <c r="AZ750" s="89"/>
      <c r="BA750" s="95"/>
    </row>
    <row r="751" spans="1:53" s="87" customFormat="1">
      <c r="A751" s="374" t="str">
        <f t="shared" si="59"/>
        <v/>
      </c>
      <c r="B751" s="89">
        <v>22</v>
      </c>
      <c r="C751" s="89" t="s">
        <v>210</v>
      </c>
      <c r="D751" s="89">
        <v>2</v>
      </c>
      <c r="E751" s="89" t="s">
        <v>202</v>
      </c>
      <c r="F751" s="89" t="s">
        <v>210</v>
      </c>
      <c r="G751" s="89" t="s">
        <v>210</v>
      </c>
      <c r="H751" s="89">
        <v>-1</v>
      </c>
      <c r="I751" s="89">
        <v>5</v>
      </c>
      <c r="J751" s="89" t="s">
        <v>210</v>
      </c>
      <c r="K751" s="89" t="s">
        <v>210</v>
      </c>
      <c r="L751" s="89">
        <v>-4</v>
      </c>
      <c r="M751" s="89">
        <v>-6</v>
      </c>
      <c r="N751" s="89" t="s">
        <v>210</v>
      </c>
      <c r="O751" s="89" t="s">
        <v>210</v>
      </c>
      <c r="P751" s="89">
        <v>-3</v>
      </c>
      <c r="Q751" s="89">
        <v>-2</v>
      </c>
      <c r="R751" s="89" t="s">
        <v>210</v>
      </c>
      <c r="S751" s="89">
        <v>4</v>
      </c>
      <c r="T751" s="89" t="s">
        <v>210</v>
      </c>
      <c r="U751" s="89" t="s">
        <v>210</v>
      </c>
      <c r="V751" s="89">
        <v>6</v>
      </c>
      <c r="W751" s="89">
        <v>-5</v>
      </c>
      <c r="X751" s="89" t="s">
        <v>210</v>
      </c>
      <c r="Y751" s="89">
        <v>3</v>
      </c>
      <c r="Z751" s="89" t="s">
        <v>210</v>
      </c>
      <c r="AA751" s="89" t="s">
        <v>210</v>
      </c>
      <c r="AB751" s="89">
        <v>1</v>
      </c>
      <c r="AC751" s="89"/>
      <c r="AD751" s="89"/>
      <c r="AE751" s="89"/>
      <c r="AF751" s="89"/>
      <c r="AG751" s="89"/>
      <c r="AH751" s="89"/>
      <c r="AI751" s="89"/>
      <c r="AJ751" s="89"/>
      <c r="AK751" s="89"/>
      <c r="AL751" s="89"/>
      <c r="AM751" s="89"/>
      <c r="AN751" s="89"/>
      <c r="AO751" s="89"/>
      <c r="AP751" s="89"/>
      <c r="AQ751" s="89"/>
      <c r="AR751" s="89"/>
      <c r="AS751" s="89"/>
      <c r="AT751" s="89"/>
      <c r="AU751" s="89"/>
      <c r="AV751" s="89"/>
      <c r="AW751" s="89"/>
      <c r="AX751" s="89"/>
      <c r="AY751" s="89"/>
      <c r="AZ751" s="89"/>
      <c r="BA751" s="95"/>
    </row>
    <row r="752" spans="1:53" s="87" customFormat="1">
      <c r="A752" s="374" t="str">
        <f t="shared" si="59"/>
        <v/>
      </c>
      <c r="B752" s="89">
        <v>23</v>
      </c>
      <c r="C752" s="89" t="s">
        <v>210</v>
      </c>
      <c r="D752" s="89">
        <v>-4</v>
      </c>
      <c r="E752" s="89">
        <v>6</v>
      </c>
      <c r="F752" s="89" t="s">
        <v>210</v>
      </c>
      <c r="G752" s="89" t="s">
        <v>210</v>
      </c>
      <c r="H752" s="89">
        <v>2</v>
      </c>
      <c r="I752" s="89">
        <v>1</v>
      </c>
      <c r="J752" s="89" t="s">
        <v>210</v>
      </c>
      <c r="K752" s="89" t="s">
        <v>210</v>
      </c>
      <c r="L752" s="89">
        <v>5</v>
      </c>
      <c r="M752" s="89">
        <v>-3</v>
      </c>
      <c r="N752" s="89" t="s">
        <v>210</v>
      </c>
      <c r="O752" s="89" t="s">
        <v>210</v>
      </c>
      <c r="P752" s="89">
        <v>-2</v>
      </c>
      <c r="Q752" s="89">
        <v>4</v>
      </c>
      <c r="R752" s="89" t="s">
        <v>210</v>
      </c>
      <c r="S752" s="89" t="s">
        <v>210</v>
      </c>
      <c r="T752" s="89">
        <v>3</v>
      </c>
      <c r="U752" s="89" t="s">
        <v>210</v>
      </c>
      <c r="V752" s="89" t="s">
        <v>202</v>
      </c>
      <c r="W752" s="89">
        <v>-6</v>
      </c>
      <c r="X752" s="89" t="s">
        <v>210</v>
      </c>
      <c r="Y752" s="89">
        <v>-5</v>
      </c>
      <c r="Z752" s="89" t="s">
        <v>210</v>
      </c>
      <c r="AA752" s="89" t="s">
        <v>210</v>
      </c>
      <c r="AB752" s="89">
        <v>-1</v>
      </c>
      <c r="AC752" s="89"/>
      <c r="AD752" s="89"/>
      <c r="AE752" s="89"/>
      <c r="AF752" s="89"/>
      <c r="AG752" s="89"/>
      <c r="AH752" s="89"/>
      <c r="AI752" s="89"/>
      <c r="AJ752" s="89"/>
      <c r="AK752" s="89"/>
      <c r="AL752" s="89"/>
      <c r="AM752" s="89"/>
      <c r="AN752" s="89"/>
      <c r="AO752" s="89"/>
      <c r="AP752" s="89"/>
      <c r="AQ752" s="89"/>
      <c r="AR752" s="89"/>
      <c r="AS752" s="89"/>
      <c r="AT752" s="89"/>
      <c r="AU752" s="89"/>
      <c r="AV752" s="89"/>
      <c r="AW752" s="89"/>
      <c r="AX752" s="89"/>
      <c r="AY752" s="89"/>
      <c r="AZ752" s="89"/>
      <c r="BA752" s="95"/>
    </row>
    <row r="753" spans="1:53" s="87" customFormat="1">
      <c r="A753" s="374" t="str">
        <f t="shared" si="59"/>
        <v/>
      </c>
      <c r="B753" s="89">
        <v>24</v>
      </c>
      <c r="C753" s="89" t="s">
        <v>210</v>
      </c>
      <c r="D753" s="89">
        <v>-2</v>
      </c>
      <c r="E753" s="89">
        <v>-5</v>
      </c>
      <c r="F753" s="89" t="s">
        <v>210</v>
      </c>
      <c r="G753" s="89" t="s">
        <v>210</v>
      </c>
      <c r="H753" s="89" t="s">
        <v>202</v>
      </c>
      <c r="I753" s="89">
        <v>6</v>
      </c>
      <c r="J753" s="89" t="s">
        <v>210</v>
      </c>
      <c r="K753" s="89" t="s">
        <v>210</v>
      </c>
      <c r="L753" s="89">
        <v>3</v>
      </c>
      <c r="M753" s="89">
        <v>-4</v>
      </c>
      <c r="N753" s="89" t="s">
        <v>210</v>
      </c>
      <c r="O753" s="89" t="s">
        <v>210</v>
      </c>
      <c r="P753" s="89">
        <v>1</v>
      </c>
      <c r="Q753" s="89">
        <v>-3</v>
      </c>
      <c r="R753" s="89" t="s">
        <v>210</v>
      </c>
      <c r="S753" s="89" t="s">
        <v>210</v>
      </c>
      <c r="T753" s="89">
        <v>2</v>
      </c>
      <c r="U753" s="89" t="s">
        <v>210</v>
      </c>
      <c r="V753" s="89">
        <v>-1</v>
      </c>
      <c r="W753" s="89">
        <v>4</v>
      </c>
      <c r="X753" s="89" t="s">
        <v>210</v>
      </c>
      <c r="Y753" s="89">
        <v>5</v>
      </c>
      <c r="Z753" s="89" t="s">
        <v>210</v>
      </c>
      <c r="AA753" s="89" t="s">
        <v>210</v>
      </c>
      <c r="AB753" s="89">
        <v>-6</v>
      </c>
      <c r="AC753" s="89"/>
      <c r="AD753" s="89"/>
      <c r="AE753" s="89"/>
      <c r="AF753" s="89"/>
      <c r="AG753" s="89"/>
      <c r="AH753" s="89"/>
      <c r="AI753" s="89"/>
      <c r="AJ753" s="89"/>
      <c r="AK753" s="89"/>
      <c r="AL753" s="89"/>
      <c r="AM753" s="89"/>
      <c r="AN753" s="89"/>
      <c r="AO753" s="89"/>
      <c r="AP753" s="89"/>
      <c r="AQ753" s="89"/>
      <c r="AR753" s="89"/>
      <c r="AS753" s="89"/>
      <c r="AT753" s="89"/>
      <c r="AU753" s="89"/>
      <c r="AV753" s="89"/>
      <c r="AW753" s="89"/>
      <c r="AX753" s="89"/>
      <c r="AY753" s="89"/>
      <c r="AZ753" s="89"/>
      <c r="BA753" s="95"/>
    </row>
    <row r="754" spans="1:53" s="87" customFormat="1">
      <c r="A754" s="374" t="str">
        <f t="shared" si="59"/>
        <v/>
      </c>
      <c r="B754" s="89">
        <v>25</v>
      </c>
      <c r="C754" s="89">
        <v>3</v>
      </c>
      <c r="D754" s="89" t="s">
        <v>210</v>
      </c>
      <c r="E754" s="89">
        <v>4</v>
      </c>
      <c r="F754" s="89" t="s">
        <v>210</v>
      </c>
      <c r="G754" s="89" t="s">
        <v>210</v>
      </c>
      <c r="H754" s="89">
        <v>-6</v>
      </c>
      <c r="I754" s="89">
        <v>-5</v>
      </c>
      <c r="J754" s="89" t="s">
        <v>210</v>
      </c>
      <c r="K754" s="89" t="s">
        <v>210</v>
      </c>
      <c r="L754" s="89">
        <v>2</v>
      </c>
      <c r="M754" s="89">
        <v>1</v>
      </c>
      <c r="N754" s="89" t="s">
        <v>210</v>
      </c>
      <c r="O754" s="89" t="s">
        <v>210</v>
      </c>
      <c r="P754" s="89">
        <v>-4</v>
      </c>
      <c r="Q754" s="89">
        <v>5</v>
      </c>
      <c r="R754" s="89" t="s">
        <v>210</v>
      </c>
      <c r="S754" s="89" t="s">
        <v>210</v>
      </c>
      <c r="T754" s="89">
        <v>-3</v>
      </c>
      <c r="U754" s="89" t="s">
        <v>210</v>
      </c>
      <c r="V754" s="89">
        <v>-2</v>
      </c>
      <c r="W754" s="89">
        <v>-1</v>
      </c>
      <c r="X754" s="89" t="s">
        <v>210</v>
      </c>
      <c r="Y754" s="89" t="s">
        <v>202</v>
      </c>
      <c r="Z754" s="89" t="s">
        <v>210</v>
      </c>
      <c r="AA754" s="89" t="s">
        <v>210</v>
      </c>
      <c r="AB754" s="89">
        <v>6</v>
      </c>
      <c r="AC754" s="89"/>
      <c r="AD754" s="89"/>
      <c r="AE754" s="89"/>
      <c r="AF754" s="89"/>
      <c r="AG754" s="89"/>
      <c r="AH754" s="89"/>
      <c r="AI754" s="89"/>
      <c r="AJ754" s="89"/>
      <c r="AK754" s="89"/>
      <c r="AL754" s="89"/>
      <c r="AM754" s="89"/>
      <c r="AN754" s="89"/>
      <c r="AO754" s="89"/>
      <c r="AP754" s="89"/>
      <c r="AQ754" s="89"/>
      <c r="AR754" s="89"/>
      <c r="AS754" s="89"/>
      <c r="AT754" s="89"/>
      <c r="AU754" s="89"/>
      <c r="AV754" s="89"/>
      <c r="AW754" s="89"/>
      <c r="AX754" s="89"/>
      <c r="AY754" s="89"/>
      <c r="AZ754" s="89"/>
      <c r="BA754" s="95"/>
    </row>
    <row r="755" spans="1:53" s="87" customFormat="1">
      <c r="A755" s="374" t="str">
        <f t="shared" si="59"/>
        <v/>
      </c>
      <c r="B755" s="89">
        <v>26</v>
      </c>
      <c r="C755" s="89" t="s">
        <v>210</v>
      </c>
      <c r="D755" s="89">
        <v>1</v>
      </c>
      <c r="E755" s="89">
        <v>-4</v>
      </c>
      <c r="F755" s="89" t="s">
        <v>210</v>
      </c>
      <c r="G755" s="89" t="s">
        <v>210</v>
      </c>
      <c r="H755" s="89">
        <v>-2</v>
      </c>
      <c r="I755" s="89">
        <v>3</v>
      </c>
      <c r="J755" s="89" t="s">
        <v>210</v>
      </c>
      <c r="K755" s="89" t="s">
        <v>210</v>
      </c>
      <c r="L755" s="89">
        <v>-6</v>
      </c>
      <c r="M755" s="89">
        <v>5</v>
      </c>
      <c r="N755" s="89" t="s">
        <v>210</v>
      </c>
      <c r="O755" s="89" t="s">
        <v>210</v>
      </c>
      <c r="P755" s="89">
        <v>-1</v>
      </c>
      <c r="Q755" s="89">
        <v>2</v>
      </c>
      <c r="R755" s="89" t="s">
        <v>210</v>
      </c>
      <c r="S755" s="89" t="s">
        <v>210</v>
      </c>
      <c r="T755" s="89">
        <v>6</v>
      </c>
      <c r="U755" s="89" t="s">
        <v>210</v>
      </c>
      <c r="V755" s="89">
        <v>-5</v>
      </c>
      <c r="W755" s="89">
        <v>-3</v>
      </c>
      <c r="X755" s="89" t="s">
        <v>210</v>
      </c>
      <c r="Y755" s="89">
        <v>4</v>
      </c>
      <c r="Z755" s="89" t="s">
        <v>210</v>
      </c>
      <c r="AA755" s="89" t="s">
        <v>210</v>
      </c>
      <c r="AB755" s="89" t="s">
        <v>202</v>
      </c>
      <c r="AC755" s="89"/>
      <c r="AD755" s="89"/>
      <c r="AE755" s="89"/>
      <c r="AF755" s="89"/>
      <c r="AG755" s="89"/>
      <c r="AH755" s="89"/>
      <c r="AI755" s="89"/>
      <c r="AJ755" s="89"/>
      <c r="AK755" s="89"/>
      <c r="AL755" s="89"/>
      <c r="AM755" s="89"/>
      <c r="AN755" s="89"/>
      <c r="AO755" s="89"/>
      <c r="AP755" s="89"/>
      <c r="AQ755" s="89"/>
      <c r="AR755" s="89"/>
      <c r="AS755" s="89"/>
      <c r="AT755" s="89"/>
      <c r="AU755" s="89"/>
      <c r="AV755" s="89"/>
      <c r="AW755" s="89"/>
      <c r="AX755" s="89"/>
      <c r="AY755" s="89"/>
      <c r="AZ755" s="89"/>
      <c r="BA755" s="95"/>
    </row>
    <row r="756" spans="1:53" s="87" customFormat="1">
      <c r="A756" s="374" t="str">
        <f t="shared" si="59"/>
        <v/>
      </c>
      <c r="B756" s="319" t="s">
        <v>1039</v>
      </c>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c r="AA756" s="89"/>
      <c r="AB756" s="89"/>
      <c r="AC756" s="89"/>
      <c r="AD756" s="89"/>
      <c r="AE756" s="89"/>
      <c r="AF756" s="89"/>
      <c r="AG756" s="89"/>
      <c r="AH756" s="89"/>
      <c r="AI756" s="89"/>
      <c r="AJ756" s="89"/>
      <c r="AK756" s="89"/>
      <c r="AL756" s="89"/>
      <c r="AM756" s="89"/>
      <c r="AN756" s="89"/>
      <c r="AO756" s="89"/>
      <c r="AP756" s="89"/>
      <c r="AQ756" s="89"/>
      <c r="AR756" s="89"/>
      <c r="AS756" s="89"/>
      <c r="AT756" s="89"/>
      <c r="AU756" s="89"/>
      <c r="AV756" s="89"/>
      <c r="AW756" s="89"/>
      <c r="AX756" s="89"/>
      <c r="AY756" s="89"/>
      <c r="AZ756" s="89"/>
      <c r="BA756" s="95"/>
    </row>
    <row r="757" spans="1:53" s="87" customFormat="1">
      <c r="A757" s="374">
        <f t="shared" si="59"/>
        <v>757</v>
      </c>
      <c r="B757" s="89" t="s">
        <v>391</v>
      </c>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c r="AA757" s="89"/>
      <c r="AB757" s="89"/>
      <c r="AC757" s="89"/>
      <c r="AD757" s="89"/>
      <c r="AE757" s="89"/>
      <c r="AF757" s="89"/>
      <c r="AG757" s="89"/>
      <c r="AH757" s="89"/>
      <c r="AI757" s="89"/>
      <c r="AJ757" s="89"/>
      <c r="AK757" s="89"/>
      <c r="AL757" s="89"/>
      <c r="AM757" s="89"/>
      <c r="AN757" s="89"/>
      <c r="AO757" s="89"/>
      <c r="AP757" s="89"/>
      <c r="AQ757" s="89"/>
      <c r="AR757" s="89"/>
      <c r="AS757" s="89"/>
      <c r="AT757" s="89"/>
      <c r="AU757" s="89"/>
      <c r="AV757" s="89"/>
      <c r="AW757" s="89"/>
      <c r="AX757" s="89"/>
      <c r="AY757" s="89"/>
      <c r="AZ757" s="89"/>
      <c r="BA757" s="95"/>
    </row>
    <row r="758" spans="1:53" s="87" customFormat="1">
      <c r="A758" s="374" t="str">
        <f t="shared" si="59"/>
        <v/>
      </c>
      <c r="B758" s="89">
        <v>1</v>
      </c>
      <c r="C758" s="89">
        <v>-5</v>
      </c>
      <c r="D758" s="89" t="s">
        <v>210</v>
      </c>
      <c r="E758" s="89" t="s">
        <v>210</v>
      </c>
      <c r="F758" s="89">
        <v>-6</v>
      </c>
      <c r="G758" s="89">
        <v>-4</v>
      </c>
      <c r="H758" s="89" t="s">
        <v>210</v>
      </c>
      <c r="I758" s="89" t="s">
        <v>210</v>
      </c>
      <c r="J758" s="89">
        <v>1</v>
      </c>
      <c r="K758" s="89" t="s">
        <v>210</v>
      </c>
      <c r="L758" s="89">
        <v>-3</v>
      </c>
      <c r="M758" s="89" t="s">
        <v>210</v>
      </c>
      <c r="N758" s="89">
        <v>4</v>
      </c>
      <c r="O758" s="89">
        <v>2</v>
      </c>
      <c r="P758" s="89" t="s">
        <v>210</v>
      </c>
      <c r="Q758" s="89" t="s">
        <v>210</v>
      </c>
      <c r="R758" s="89" t="s">
        <v>202</v>
      </c>
      <c r="S758" s="89">
        <v>3</v>
      </c>
      <c r="T758" s="89" t="s">
        <v>210</v>
      </c>
      <c r="U758" s="89"/>
      <c r="V758" s="89"/>
      <c r="W758" s="89"/>
      <c r="X758" s="89"/>
      <c r="Y758" s="89"/>
      <c r="Z758" s="89"/>
      <c r="AA758" s="89"/>
      <c r="AB758" s="89"/>
      <c r="AC758" s="89"/>
      <c r="AD758" s="89"/>
      <c r="AE758" s="89"/>
      <c r="AF758" s="89"/>
      <c r="AG758" s="89"/>
      <c r="AH758" s="89"/>
      <c r="AI758" s="89"/>
      <c r="AJ758" s="89"/>
      <c r="AK758" s="89"/>
      <c r="AL758" s="89"/>
      <c r="AM758" s="89"/>
      <c r="AN758" s="89"/>
      <c r="AO758" s="89"/>
      <c r="AP758" s="89"/>
      <c r="AQ758" s="89"/>
      <c r="AR758" s="89"/>
      <c r="AS758" s="89"/>
      <c r="AT758" s="89"/>
      <c r="AU758" s="89"/>
      <c r="AV758" s="89"/>
      <c r="AW758" s="89"/>
      <c r="AX758" s="89"/>
      <c r="AY758" s="89"/>
      <c r="AZ758" s="89"/>
      <c r="BA758" s="95"/>
    </row>
    <row r="759" spans="1:53" s="87" customFormat="1">
      <c r="A759" s="374" t="str">
        <f t="shared" si="59"/>
        <v/>
      </c>
      <c r="B759" s="89">
        <v>2</v>
      </c>
      <c r="C759" s="89">
        <v>-4</v>
      </c>
      <c r="D759" s="89" t="s">
        <v>210</v>
      </c>
      <c r="E759" s="89" t="s">
        <v>210</v>
      </c>
      <c r="F759" s="89">
        <v>5</v>
      </c>
      <c r="G759" s="89">
        <v>-1</v>
      </c>
      <c r="H759" s="89" t="s">
        <v>210</v>
      </c>
      <c r="I759" s="89" t="s">
        <v>210</v>
      </c>
      <c r="J759" s="89">
        <v>6</v>
      </c>
      <c r="K759" s="89">
        <v>2</v>
      </c>
      <c r="L759" s="89" t="s">
        <v>210</v>
      </c>
      <c r="M759" s="89" t="s">
        <v>210</v>
      </c>
      <c r="N759" s="89">
        <v>-5</v>
      </c>
      <c r="O759" s="89" t="s">
        <v>202</v>
      </c>
      <c r="P759" s="89" t="s">
        <v>210</v>
      </c>
      <c r="Q759" s="89" t="s">
        <v>210</v>
      </c>
      <c r="R759" s="89">
        <v>1</v>
      </c>
      <c r="S759" s="89">
        <v>-3</v>
      </c>
      <c r="T759" s="89" t="s">
        <v>210</v>
      </c>
      <c r="U759" s="89"/>
      <c r="V759" s="89"/>
      <c r="W759" s="89"/>
      <c r="X759" s="89"/>
      <c r="Y759" s="89"/>
      <c r="Z759" s="89"/>
      <c r="AA759" s="89"/>
      <c r="AB759" s="89"/>
      <c r="AC759" s="89"/>
      <c r="AD759" s="89"/>
      <c r="AE759" s="89"/>
      <c r="AF759" s="89"/>
      <c r="AG759" s="89"/>
      <c r="AH759" s="89"/>
      <c r="AI759" s="89"/>
      <c r="AJ759" s="89"/>
      <c r="AK759" s="89"/>
      <c r="AL759" s="89"/>
      <c r="AM759" s="89"/>
      <c r="AN759" s="89"/>
      <c r="AO759" s="89"/>
      <c r="AP759" s="89"/>
      <c r="AQ759" s="89"/>
      <c r="AR759" s="89"/>
      <c r="AS759" s="89"/>
      <c r="AT759" s="89"/>
      <c r="AU759" s="89"/>
      <c r="AV759" s="89"/>
      <c r="AW759" s="89"/>
      <c r="AX759" s="89"/>
      <c r="AY759" s="89"/>
      <c r="AZ759" s="89"/>
      <c r="BA759" s="95"/>
    </row>
    <row r="760" spans="1:53" s="87" customFormat="1">
      <c r="A760" s="374" t="str">
        <f t="shared" si="59"/>
        <v/>
      </c>
      <c r="B760" s="89">
        <v>3</v>
      </c>
      <c r="C760" s="89">
        <v>-3</v>
      </c>
      <c r="D760" s="89" t="s">
        <v>210</v>
      </c>
      <c r="E760" s="89" t="s">
        <v>210</v>
      </c>
      <c r="F760" s="89">
        <v>-2</v>
      </c>
      <c r="G760" s="89">
        <v>1</v>
      </c>
      <c r="H760" s="89" t="s">
        <v>210</v>
      </c>
      <c r="I760" s="89" t="s">
        <v>210</v>
      </c>
      <c r="J760" s="89" t="s">
        <v>202</v>
      </c>
      <c r="K760" s="89" t="s">
        <v>210</v>
      </c>
      <c r="L760" s="89">
        <v>5</v>
      </c>
      <c r="M760" s="89" t="s">
        <v>210</v>
      </c>
      <c r="N760" s="89">
        <v>-4</v>
      </c>
      <c r="O760" s="89">
        <v>-5</v>
      </c>
      <c r="P760" s="89" t="s">
        <v>210</v>
      </c>
      <c r="Q760" s="89" t="s">
        <v>210</v>
      </c>
      <c r="R760" s="89">
        <v>3</v>
      </c>
      <c r="S760" s="89">
        <v>4</v>
      </c>
      <c r="T760" s="89" t="s">
        <v>210</v>
      </c>
      <c r="U760" s="89"/>
      <c r="V760" s="89"/>
      <c r="W760" s="89"/>
      <c r="X760" s="89"/>
      <c r="Y760" s="89"/>
      <c r="Z760" s="89"/>
      <c r="AA760" s="89"/>
      <c r="AB760" s="89"/>
      <c r="AC760" s="89"/>
      <c r="AD760" s="89"/>
      <c r="AE760" s="89"/>
      <c r="AF760" s="89"/>
      <c r="AG760" s="89"/>
      <c r="AH760" s="89"/>
      <c r="AI760" s="89"/>
      <c r="AJ760" s="89"/>
      <c r="AK760" s="89"/>
      <c r="AL760" s="89"/>
      <c r="AM760" s="89"/>
      <c r="AN760" s="89"/>
      <c r="AO760" s="89"/>
      <c r="AP760" s="89"/>
      <c r="AQ760" s="89"/>
      <c r="AR760" s="89"/>
      <c r="AS760" s="89"/>
      <c r="AT760" s="89"/>
      <c r="AU760" s="89"/>
      <c r="AV760" s="89"/>
      <c r="AW760" s="89"/>
      <c r="AX760" s="89"/>
      <c r="AY760" s="89"/>
      <c r="AZ760" s="89"/>
      <c r="BA760" s="95"/>
    </row>
    <row r="761" spans="1:53" s="87" customFormat="1">
      <c r="A761" s="374" t="str">
        <f t="shared" si="59"/>
        <v/>
      </c>
      <c r="B761" s="89">
        <v>4</v>
      </c>
      <c r="C761" s="89">
        <v>5</v>
      </c>
      <c r="D761" s="89" t="s">
        <v>210</v>
      </c>
      <c r="E761" s="89" t="s">
        <v>210</v>
      </c>
      <c r="F761" s="89">
        <v>1</v>
      </c>
      <c r="G761" s="89">
        <v>-3</v>
      </c>
      <c r="H761" s="89" t="s">
        <v>210</v>
      </c>
      <c r="I761" s="89" t="s">
        <v>210</v>
      </c>
      <c r="J761" s="89">
        <v>4</v>
      </c>
      <c r="K761" s="89" t="s">
        <v>202</v>
      </c>
      <c r="L761" s="89" t="s">
        <v>210</v>
      </c>
      <c r="M761" s="89" t="s">
        <v>210</v>
      </c>
      <c r="N761" s="89">
        <v>-2</v>
      </c>
      <c r="O761" s="89">
        <v>6</v>
      </c>
      <c r="P761" s="89" t="s">
        <v>210</v>
      </c>
      <c r="Q761" s="89" t="s">
        <v>210</v>
      </c>
      <c r="R761" s="89">
        <v>-1</v>
      </c>
      <c r="S761" s="89">
        <v>-4</v>
      </c>
      <c r="T761" s="89" t="s">
        <v>210</v>
      </c>
      <c r="U761" s="89"/>
      <c r="V761" s="89"/>
      <c r="W761" s="89"/>
      <c r="X761" s="89"/>
      <c r="Y761" s="89"/>
      <c r="Z761" s="89"/>
      <c r="AA761" s="89"/>
      <c r="AB761" s="89"/>
      <c r="AC761" s="89"/>
      <c r="AD761" s="89"/>
      <c r="AE761" s="89"/>
      <c r="AF761" s="89"/>
      <c r="AG761" s="89"/>
      <c r="AH761" s="89"/>
      <c r="AI761" s="89"/>
      <c r="AJ761" s="89"/>
      <c r="AK761" s="89"/>
      <c r="AL761" s="89"/>
      <c r="AM761" s="89"/>
      <c r="AN761" s="89"/>
      <c r="AO761" s="89"/>
      <c r="AP761" s="89"/>
      <c r="AQ761" s="89"/>
      <c r="AR761" s="89"/>
      <c r="AS761" s="89"/>
      <c r="AT761" s="89"/>
      <c r="AU761" s="89"/>
      <c r="AV761" s="89"/>
      <c r="AW761" s="89"/>
      <c r="AX761" s="89"/>
      <c r="AY761" s="89"/>
      <c r="AZ761" s="89"/>
      <c r="BA761" s="95"/>
    </row>
    <row r="762" spans="1:53" s="87" customFormat="1">
      <c r="A762" s="374" t="str">
        <f t="shared" si="59"/>
        <v/>
      </c>
      <c r="B762" s="89">
        <v>5</v>
      </c>
      <c r="C762" s="89">
        <v>4</v>
      </c>
      <c r="D762" s="89" t="s">
        <v>210</v>
      </c>
      <c r="E762" s="89" t="s">
        <v>210</v>
      </c>
      <c r="F762" s="89">
        <v>2</v>
      </c>
      <c r="G762" s="89">
        <v>-6</v>
      </c>
      <c r="H762" s="89" t="s">
        <v>210</v>
      </c>
      <c r="I762" s="89" t="s">
        <v>210</v>
      </c>
      <c r="J762" s="89">
        <v>-4</v>
      </c>
      <c r="K762" s="89" t="s">
        <v>210</v>
      </c>
      <c r="L762" s="89">
        <v>3</v>
      </c>
      <c r="M762" s="89" t="s">
        <v>210</v>
      </c>
      <c r="N762" s="89" t="s">
        <v>202</v>
      </c>
      <c r="O762" s="89">
        <v>1</v>
      </c>
      <c r="P762" s="89" t="s">
        <v>210</v>
      </c>
      <c r="Q762" s="89" t="s">
        <v>210</v>
      </c>
      <c r="R762" s="89">
        <v>-4</v>
      </c>
      <c r="S762" s="89">
        <v>-2</v>
      </c>
      <c r="T762" s="89" t="s">
        <v>210</v>
      </c>
      <c r="U762" s="89"/>
      <c r="V762" s="89"/>
      <c r="W762" s="89"/>
      <c r="X762" s="89"/>
      <c r="Y762" s="89"/>
      <c r="Z762" s="89"/>
      <c r="AA762" s="89"/>
      <c r="AB762" s="89"/>
      <c r="AC762" s="89"/>
      <c r="AD762" s="89"/>
      <c r="AE762" s="89"/>
      <c r="AF762" s="89"/>
      <c r="AG762" s="89"/>
      <c r="AH762" s="89"/>
      <c r="AI762" s="89"/>
      <c r="AJ762" s="89"/>
      <c r="AK762" s="89"/>
      <c r="AL762" s="89"/>
      <c r="AM762" s="89"/>
      <c r="AN762" s="89"/>
      <c r="AO762" s="89"/>
      <c r="AP762" s="89"/>
      <c r="AQ762" s="89"/>
      <c r="AR762" s="89"/>
      <c r="AS762" s="89"/>
      <c r="AT762" s="89"/>
      <c r="AU762" s="89"/>
      <c r="AV762" s="89"/>
      <c r="AW762" s="89"/>
      <c r="AX762" s="89"/>
      <c r="AY762" s="89"/>
      <c r="AZ762" s="89"/>
      <c r="BA762" s="95"/>
    </row>
    <row r="763" spans="1:53" s="87" customFormat="1">
      <c r="A763" s="374" t="str">
        <f t="shared" si="59"/>
        <v/>
      </c>
      <c r="B763" s="89">
        <v>6</v>
      </c>
      <c r="C763" s="89" t="s">
        <v>202</v>
      </c>
      <c r="D763" s="89" t="s">
        <v>210</v>
      </c>
      <c r="E763" s="89" t="s">
        <v>210</v>
      </c>
      <c r="F763" s="89">
        <v>-5</v>
      </c>
      <c r="G763" s="89">
        <v>3</v>
      </c>
      <c r="H763" s="89" t="s">
        <v>210</v>
      </c>
      <c r="I763" s="89" t="s">
        <v>210</v>
      </c>
      <c r="J763" s="89">
        <v>-1</v>
      </c>
      <c r="K763" s="89">
        <v>4</v>
      </c>
      <c r="L763" s="89" t="s">
        <v>210</v>
      </c>
      <c r="M763" s="89" t="s">
        <v>210</v>
      </c>
      <c r="N763" s="89">
        <v>-3</v>
      </c>
      <c r="O763" s="89">
        <v>5</v>
      </c>
      <c r="P763" s="89" t="s">
        <v>210</v>
      </c>
      <c r="Q763" s="89" t="s">
        <v>210</v>
      </c>
      <c r="R763" s="89">
        <v>-6</v>
      </c>
      <c r="S763" s="89">
        <v>2</v>
      </c>
      <c r="T763" s="89" t="s">
        <v>210</v>
      </c>
      <c r="U763" s="89"/>
      <c r="V763" s="89"/>
      <c r="W763" s="89"/>
      <c r="X763" s="89"/>
      <c r="Y763" s="89"/>
      <c r="Z763" s="89"/>
      <c r="AA763" s="89"/>
      <c r="AB763" s="89"/>
      <c r="AC763" s="89"/>
      <c r="AD763" s="89"/>
      <c r="AE763" s="89"/>
      <c r="AF763" s="89"/>
      <c r="AG763" s="89"/>
      <c r="AH763" s="89"/>
      <c r="AI763" s="89"/>
      <c r="AJ763" s="89"/>
      <c r="AK763" s="89"/>
      <c r="AL763" s="89"/>
      <c r="AM763" s="89"/>
      <c r="AN763" s="89"/>
      <c r="AO763" s="89"/>
      <c r="AP763" s="89"/>
      <c r="AQ763" s="89"/>
      <c r="AR763" s="89"/>
      <c r="AS763" s="89"/>
      <c r="AT763" s="89"/>
      <c r="AU763" s="89"/>
      <c r="AV763" s="89"/>
      <c r="AW763" s="89"/>
      <c r="AX763" s="89"/>
      <c r="AY763" s="89"/>
      <c r="AZ763" s="89"/>
      <c r="BA763" s="95"/>
    </row>
    <row r="764" spans="1:53" s="87" customFormat="1">
      <c r="A764" s="374" t="str">
        <f t="shared" si="59"/>
        <v/>
      </c>
      <c r="B764" s="89">
        <v>7</v>
      </c>
      <c r="C764" s="89">
        <v>3</v>
      </c>
      <c r="D764" s="89" t="s">
        <v>210</v>
      </c>
      <c r="E764" s="89" t="s">
        <v>210</v>
      </c>
      <c r="F764" s="89">
        <v>6</v>
      </c>
      <c r="G764" s="89" t="s">
        <v>202</v>
      </c>
      <c r="H764" s="89" t="s">
        <v>210</v>
      </c>
      <c r="I764" s="89" t="s">
        <v>210</v>
      </c>
      <c r="J764" s="89">
        <v>-3</v>
      </c>
      <c r="K764" s="89">
        <v>-2</v>
      </c>
      <c r="L764" s="89" t="s">
        <v>210</v>
      </c>
      <c r="M764" s="89" t="s">
        <v>210</v>
      </c>
      <c r="N764" s="89">
        <v>3</v>
      </c>
      <c r="O764" s="89">
        <v>-6</v>
      </c>
      <c r="P764" s="89" t="s">
        <v>210</v>
      </c>
      <c r="Q764" s="89" t="s">
        <v>210</v>
      </c>
      <c r="R764" s="89">
        <v>4</v>
      </c>
      <c r="S764" s="89">
        <v>-5</v>
      </c>
      <c r="T764" s="89" t="s">
        <v>210</v>
      </c>
      <c r="U764" s="89"/>
      <c r="V764" s="89"/>
      <c r="W764" s="89"/>
      <c r="X764" s="89"/>
      <c r="Y764" s="89"/>
      <c r="Z764" s="89"/>
      <c r="AA764" s="89"/>
      <c r="AB764" s="89"/>
      <c r="AC764" s="89"/>
      <c r="AD764" s="89"/>
      <c r="AE764" s="89"/>
      <c r="AF764" s="89"/>
      <c r="AG764" s="89"/>
      <c r="AH764" s="89"/>
      <c r="AI764" s="89"/>
      <c r="AJ764" s="89"/>
      <c r="AK764" s="89"/>
      <c r="AL764" s="89"/>
      <c r="AM764" s="89"/>
      <c r="AN764" s="89"/>
      <c r="AO764" s="89"/>
      <c r="AP764" s="89"/>
      <c r="AQ764" s="89"/>
      <c r="AR764" s="89"/>
      <c r="AS764" s="89"/>
      <c r="AT764" s="89"/>
      <c r="AU764" s="89"/>
      <c r="AV764" s="89"/>
      <c r="AW764" s="89"/>
      <c r="AX764" s="89"/>
      <c r="AY764" s="89"/>
      <c r="AZ764" s="89"/>
      <c r="BA764" s="95"/>
    </row>
    <row r="765" spans="1:53" s="87" customFormat="1">
      <c r="A765" s="374" t="str">
        <f t="shared" si="59"/>
        <v/>
      </c>
      <c r="B765" s="89">
        <v>8</v>
      </c>
      <c r="C765" s="89">
        <v>-2</v>
      </c>
      <c r="D765" s="89" t="s">
        <v>210</v>
      </c>
      <c r="E765" s="89" t="s">
        <v>210</v>
      </c>
      <c r="F765" s="89" t="s">
        <v>202</v>
      </c>
      <c r="G765" s="89">
        <v>4</v>
      </c>
      <c r="H765" s="89" t="s">
        <v>210</v>
      </c>
      <c r="I765" s="89" t="s">
        <v>210</v>
      </c>
      <c r="J765" s="89">
        <v>-6</v>
      </c>
      <c r="K765" s="89" t="s">
        <v>210</v>
      </c>
      <c r="L765" s="89">
        <v>-5</v>
      </c>
      <c r="M765" s="89" t="s">
        <v>210</v>
      </c>
      <c r="N765" s="89">
        <v>2</v>
      </c>
      <c r="O765" s="89">
        <v>-1</v>
      </c>
      <c r="P765" s="89" t="s">
        <v>210</v>
      </c>
      <c r="Q765" s="89" t="s">
        <v>210</v>
      </c>
      <c r="R765" s="89">
        <v>6</v>
      </c>
      <c r="S765" s="89">
        <v>5</v>
      </c>
      <c r="T765" s="89" t="s">
        <v>210</v>
      </c>
      <c r="U765" s="89"/>
      <c r="V765" s="89"/>
      <c r="W765" s="89"/>
      <c r="X765" s="89"/>
      <c r="Y765" s="89"/>
      <c r="Z765" s="89"/>
      <c r="AA765" s="89"/>
      <c r="AB765" s="89"/>
      <c r="AC765" s="89"/>
      <c r="AD765" s="89"/>
      <c r="AE765" s="89"/>
      <c r="AF765" s="89"/>
      <c r="AG765" s="89"/>
      <c r="AH765" s="89"/>
      <c r="AI765" s="89"/>
      <c r="AJ765" s="89"/>
      <c r="AK765" s="89"/>
      <c r="AL765" s="89"/>
      <c r="AM765" s="89"/>
      <c r="AN765" s="89"/>
      <c r="AO765" s="89"/>
      <c r="AP765" s="89"/>
      <c r="AQ765" s="89"/>
      <c r="AR765" s="89"/>
      <c r="AS765" s="89"/>
      <c r="AT765" s="89"/>
      <c r="AU765" s="89"/>
      <c r="AV765" s="89"/>
      <c r="AW765" s="89"/>
      <c r="AX765" s="89"/>
      <c r="AY765" s="89"/>
      <c r="AZ765" s="89"/>
      <c r="BA765" s="95"/>
    </row>
    <row r="766" spans="1:53" s="87" customFormat="1">
      <c r="A766" s="374" t="str">
        <f t="shared" si="59"/>
        <v/>
      </c>
      <c r="B766" s="99">
        <v>9</v>
      </c>
      <c r="C766" s="92">
        <v>2</v>
      </c>
      <c r="D766" s="92" t="s">
        <v>210</v>
      </c>
      <c r="E766" s="92" t="s">
        <v>210</v>
      </c>
      <c r="F766" s="92">
        <v>-1</v>
      </c>
      <c r="G766" s="92">
        <v>6</v>
      </c>
      <c r="H766" s="92" t="s">
        <v>210</v>
      </c>
      <c r="I766" s="92" t="s">
        <v>210</v>
      </c>
      <c r="J766" s="92">
        <v>3</v>
      </c>
      <c r="K766" s="92">
        <v>-4</v>
      </c>
      <c r="L766" s="92" t="s">
        <v>210</v>
      </c>
      <c r="M766" s="92" t="s">
        <v>210</v>
      </c>
      <c r="N766" s="92">
        <v>5</v>
      </c>
      <c r="O766" s="92">
        <v>-2</v>
      </c>
      <c r="P766" s="92" t="s">
        <v>210</v>
      </c>
      <c r="Q766" s="92" t="s">
        <v>210</v>
      </c>
      <c r="R766" s="92">
        <v>-3</v>
      </c>
      <c r="S766" s="92" t="s">
        <v>202</v>
      </c>
      <c r="T766" s="92" t="s">
        <v>210</v>
      </c>
      <c r="U766" s="89"/>
      <c r="V766" s="89"/>
      <c r="W766" s="89"/>
      <c r="X766" s="89"/>
      <c r="Y766" s="89"/>
      <c r="Z766" s="89"/>
      <c r="AA766" s="89"/>
      <c r="AB766" s="89"/>
      <c r="AC766" s="89"/>
      <c r="AD766" s="89"/>
      <c r="AE766" s="89"/>
      <c r="AF766" s="89"/>
      <c r="AG766" s="89"/>
      <c r="AH766" s="89"/>
      <c r="AI766" s="89"/>
      <c r="AJ766" s="89"/>
      <c r="AK766" s="89"/>
      <c r="AL766" s="89"/>
      <c r="AM766" s="89"/>
      <c r="AN766" s="89"/>
      <c r="AO766" s="89"/>
      <c r="AP766" s="89"/>
      <c r="AQ766" s="89"/>
      <c r="AR766" s="89"/>
      <c r="AS766" s="89"/>
      <c r="AT766" s="89"/>
      <c r="AU766" s="89"/>
      <c r="AV766" s="89"/>
      <c r="AW766" s="89"/>
      <c r="AX766" s="89"/>
      <c r="AY766" s="89"/>
      <c r="AZ766" s="89"/>
      <c r="BA766" s="95"/>
    </row>
    <row r="767" spans="1:53" s="87" customFormat="1">
      <c r="A767" s="374" t="str">
        <f t="shared" si="59"/>
        <v/>
      </c>
      <c r="B767" s="89">
        <v>10</v>
      </c>
      <c r="C767" s="89" t="s">
        <v>210</v>
      </c>
      <c r="D767" s="89">
        <v>-5</v>
      </c>
      <c r="E767" s="89">
        <v>-6</v>
      </c>
      <c r="F767" s="89" t="s">
        <v>210</v>
      </c>
      <c r="G767" s="89" t="s">
        <v>210</v>
      </c>
      <c r="H767" s="89">
        <v>-4</v>
      </c>
      <c r="I767" s="89">
        <v>1</v>
      </c>
      <c r="J767" s="89" t="s">
        <v>210</v>
      </c>
      <c r="K767" s="89">
        <v>-3</v>
      </c>
      <c r="L767" s="89" t="s">
        <v>210</v>
      </c>
      <c r="M767" s="89">
        <v>4</v>
      </c>
      <c r="N767" s="89" t="s">
        <v>210</v>
      </c>
      <c r="O767" s="89" t="s">
        <v>210</v>
      </c>
      <c r="P767" s="89">
        <v>2</v>
      </c>
      <c r="Q767" s="89" t="s">
        <v>202</v>
      </c>
      <c r="R767" s="89" t="s">
        <v>210</v>
      </c>
      <c r="S767" s="89" t="s">
        <v>210</v>
      </c>
      <c r="T767" s="89">
        <v>3</v>
      </c>
      <c r="U767" s="89"/>
      <c r="V767" s="89"/>
      <c r="W767" s="89"/>
      <c r="X767" s="89"/>
      <c r="Y767" s="89"/>
      <c r="Z767" s="89"/>
      <c r="AA767" s="89"/>
      <c r="AB767" s="89"/>
      <c r="AC767" s="89"/>
      <c r="AD767" s="89"/>
      <c r="AE767" s="89"/>
      <c r="AF767" s="89"/>
      <c r="AG767" s="89"/>
      <c r="AH767" s="89"/>
      <c r="AI767" s="89"/>
      <c r="AJ767" s="89"/>
      <c r="AK767" s="89"/>
      <c r="AL767" s="89"/>
      <c r="AM767" s="89"/>
      <c r="AN767" s="89"/>
      <c r="AO767" s="89"/>
      <c r="AP767" s="89"/>
      <c r="AQ767" s="89"/>
      <c r="AR767" s="89"/>
      <c r="AS767" s="89"/>
      <c r="AT767" s="89"/>
      <c r="AU767" s="89"/>
      <c r="AV767" s="89"/>
      <c r="AW767" s="89"/>
      <c r="AX767" s="89"/>
      <c r="AY767" s="89"/>
      <c r="AZ767" s="89"/>
      <c r="BA767" s="95"/>
    </row>
    <row r="768" spans="1:53" s="87" customFormat="1">
      <c r="A768" s="374" t="str">
        <f t="shared" si="59"/>
        <v/>
      </c>
      <c r="B768" s="89">
        <v>11</v>
      </c>
      <c r="C768" s="89" t="s">
        <v>210</v>
      </c>
      <c r="D768" s="89">
        <v>-4</v>
      </c>
      <c r="E768" s="89">
        <v>5</v>
      </c>
      <c r="F768" s="89" t="s">
        <v>210</v>
      </c>
      <c r="G768" s="89" t="s">
        <v>210</v>
      </c>
      <c r="H768" s="89">
        <v>-1</v>
      </c>
      <c r="I768" s="89">
        <v>6</v>
      </c>
      <c r="J768" s="89" t="s">
        <v>210</v>
      </c>
      <c r="K768" s="89" t="s">
        <v>210</v>
      </c>
      <c r="L768" s="89">
        <v>2</v>
      </c>
      <c r="M768" s="89">
        <v>-5</v>
      </c>
      <c r="N768" s="89" t="s">
        <v>210</v>
      </c>
      <c r="O768" s="89" t="s">
        <v>210</v>
      </c>
      <c r="P768" s="89" t="s">
        <v>202</v>
      </c>
      <c r="Q768" s="89">
        <v>1</v>
      </c>
      <c r="R768" s="89" t="s">
        <v>210</v>
      </c>
      <c r="S768" s="89" t="s">
        <v>210</v>
      </c>
      <c r="T768" s="89">
        <v>-3</v>
      </c>
      <c r="U768" s="89"/>
      <c r="V768" s="89"/>
      <c r="W768" s="89"/>
      <c r="X768" s="89"/>
      <c r="Y768" s="89"/>
      <c r="Z768" s="89"/>
      <c r="AA768" s="89"/>
      <c r="AB768" s="89"/>
      <c r="AC768" s="89"/>
      <c r="AD768" s="89"/>
      <c r="AE768" s="89"/>
      <c r="AF768" s="89"/>
      <c r="AG768" s="89"/>
      <c r="AH768" s="89"/>
      <c r="AI768" s="89"/>
      <c r="AJ768" s="89"/>
      <c r="AK768" s="89"/>
      <c r="AL768" s="89"/>
      <c r="AM768" s="89"/>
      <c r="AN768" s="89"/>
      <c r="AO768" s="89"/>
      <c r="AP768" s="89"/>
      <c r="AQ768" s="89"/>
      <c r="AR768" s="89"/>
      <c r="AS768" s="89"/>
      <c r="AT768" s="89"/>
      <c r="AU768" s="89"/>
      <c r="AV768" s="89"/>
      <c r="AW768" s="89"/>
      <c r="AX768" s="89"/>
      <c r="AY768" s="89"/>
      <c r="AZ768" s="89"/>
      <c r="BA768" s="95"/>
    </row>
    <row r="769" spans="1:53" s="87" customFormat="1">
      <c r="A769" s="374" t="str">
        <f t="shared" si="59"/>
        <v/>
      </c>
      <c r="B769" s="89">
        <v>12</v>
      </c>
      <c r="C769" s="89" t="s">
        <v>210</v>
      </c>
      <c r="D769" s="89">
        <v>-3</v>
      </c>
      <c r="E769" s="89">
        <v>-2</v>
      </c>
      <c r="F769" s="89" t="s">
        <v>210</v>
      </c>
      <c r="G769" s="89" t="s">
        <v>210</v>
      </c>
      <c r="H769" s="89">
        <v>1</v>
      </c>
      <c r="I769" s="89" t="s">
        <v>202</v>
      </c>
      <c r="J769" s="89" t="s">
        <v>210</v>
      </c>
      <c r="K769" s="89">
        <v>5</v>
      </c>
      <c r="L769" s="89" t="s">
        <v>210</v>
      </c>
      <c r="M769" s="89">
        <v>-4</v>
      </c>
      <c r="N769" s="89" t="s">
        <v>210</v>
      </c>
      <c r="O769" s="89" t="s">
        <v>210</v>
      </c>
      <c r="P769" s="89">
        <v>-5</v>
      </c>
      <c r="Q769" s="89">
        <v>3</v>
      </c>
      <c r="R769" s="89" t="s">
        <v>210</v>
      </c>
      <c r="S769" s="89" t="s">
        <v>210</v>
      </c>
      <c r="T769" s="89">
        <v>4</v>
      </c>
      <c r="U769" s="89"/>
      <c r="V769" s="89"/>
      <c r="W769" s="89"/>
      <c r="X769" s="89"/>
      <c r="Y769" s="89"/>
      <c r="Z769" s="89"/>
      <c r="AA769" s="89"/>
      <c r="AB769" s="89"/>
      <c r="AC769" s="89"/>
      <c r="AD769" s="89"/>
      <c r="AE769" s="89"/>
      <c r="AF769" s="89"/>
      <c r="AG769" s="89"/>
      <c r="AH769" s="89"/>
      <c r="AI769" s="89"/>
      <c r="AJ769" s="89"/>
      <c r="AK769" s="89"/>
      <c r="AL769" s="89"/>
      <c r="AM769" s="89"/>
      <c r="AN769" s="89"/>
      <c r="AO769" s="89"/>
      <c r="AP769" s="89"/>
      <c r="AQ769" s="89"/>
      <c r="AR769" s="89"/>
      <c r="AS769" s="89"/>
      <c r="AT769" s="89"/>
      <c r="AU769" s="89"/>
      <c r="AV769" s="89"/>
      <c r="AW769" s="89"/>
      <c r="AX769" s="89"/>
      <c r="AY769" s="89"/>
      <c r="AZ769" s="89"/>
      <c r="BA769" s="95"/>
    </row>
    <row r="770" spans="1:53" s="87" customFormat="1">
      <c r="A770" s="374" t="str">
        <f t="shared" si="59"/>
        <v/>
      </c>
      <c r="B770" s="89">
        <v>13</v>
      </c>
      <c r="C770" s="89" t="s">
        <v>210</v>
      </c>
      <c r="D770" s="89">
        <v>5</v>
      </c>
      <c r="E770" s="89">
        <v>1</v>
      </c>
      <c r="F770" s="89" t="s">
        <v>210</v>
      </c>
      <c r="G770" s="89" t="s">
        <v>210</v>
      </c>
      <c r="H770" s="89">
        <v>-3</v>
      </c>
      <c r="I770" s="89">
        <v>4</v>
      </c>
      <c r="J770" s="89" t="s">
        <v>210</v>
      </c>
      <c r="K770" s="89" t="s">
        <v>210</v>
      </c>
      <c r="L770" s="89" t="s">
        <v>202</v>
      </c>
      <c r="M770" s="89">
        <v>-2</v>
      </c>
      <c r="N770" s="89" t="s">
        <v>210</v>
      </c>
      <c r="O770" s="89" t="s">
        <v>210</v>
      </c>
      <c r="P770" s="89">
        <v>6</v>
      </c>
      <c r="Q770" s="89">
        <v>-1</v>
      </c>
      <c r="R770" s="89" t="s">
        <v>210</v>
      </c>
      <c r="S770" s="89" t="s">
        <v>210</v>
      </c>
      <c r="T770" s="89">
        <v>-4</v>
      </c>
      <c r="U770" s="89"/>
      <c r="V770" s="89"/>
      <c r="W770" s="89"/>
      <c r="X770" s="89"/>
      <c r="Y770" s="89"/>
      <c r="Z770" s="89"/>
      <c r="AA770" s="89"/>
      <c r="AB770" s="89"/>
      <c r="AC770" s="89"/>
      <c r="AD770" s="89"/>
      <c r="AE770" s="89"/>
      <c r="AF770" s="89"/>
      <c r="AG770" s="89"/>
      <c r="AH770" s="89"/>
      <c r="AI770" s="89"/>
      <c r="AJ770" s="89"/>
      <c r="AK770" s="89"/>
      <c r="AL770" s="89"/>
      <c r="AM770" s="89"/>
      <c r="AN770" s="89"/>
      <c r="AO770" s="89"/>
      <c r="AP770" s="89"/>
      <c r="AQ770" s="89"/>
      <c r="AR770" s="89"/>
      <c r="AS770" s="89"/>
      <c r="AT770" s="89"/>
      <c r="AU770" s="89"/>
      <c r="AV770" s="89"/>
      <c r="AW770" s="89"/>
      <c r="AX770" s="89"/>
      <c r="AY770" s="89"/>
      <c r="AZ770" s="89"/>
      <c r="BA770" s="95"/>
    </row>
    <row r="771" spans="1:53" s="87" customFormat="1">
      <c r="A771" s="374" t="str">
        <f t="shared" si="59"/>
        <v/>
      </c>
      <c r="B771" s="89">
        <v>14</v>
      </c>
      <c r="C771" s="89" t="s">
        <v>210</v>
      </c>
      <c r="D771" s="89">
        <v>4</v>
      </c>
      <c r="E771" s="89">
        <v>2</v>
      </c>
      <c r="F771" s="89" t="s">
        <v>210</v>
      </c>
      <c r="G771" s="89" t="s">
        <v>210</v>
      </c>
      <c r="H771" s="89">
        <v>-6</v>
      </c>
      <c r="I771" s="89">
        <v>-4</v>
      </c>
      <c r="J771" s="89" t="s">
        <v>210</v>
      </c>
      <c r="K771" s="89">
        <v>3</v>
      </c>
      <c r="L771" s="89" t="s">
        <v>210</v>
      </c>
      <c r="M771" s="89" t="s">
        <v>202</v>
      </c>
      <c r="N771" s="89" t="s">
        <v>210</v>
      </c>
      <c r="O771" s="89" t="s">
        <v>210</v>
      </c>
      <c r="P771" s="89">
        <v>1</v>
      </c>
      <c r="Q771" s="89">
        <v>-4</v>
      </c>
      <c r="R771" s="89" t="s">
        <v>210</v>
      </c>
      <c r="S771" s="89" t="s">
        <v>210</v>
      </c>
      <c r="T771" s="89">
        <v>-2</v>
      </c>
      <c r="U771" s="89"/>
      <c r="V771" s="89"/>
      <c r="W771" s="89"/>
      <c r="X771" s="89"/>
      <c r="Y771" s="89"/>
      <c r="Z771" s="89"/>
      <c r="AA771" s="89"/>
      <c r="AB771" s="89"/>
      <c r="AC771" s="89"/>
      <c r="AD771" s="89"/>
      <c r="AE771" s="89"/>
      <c r="AF771" s="89"/>
      <c r="AG771" s="89"/>
      <c r="AH771" s="89"/>
      <c r="AI771" s="89"/>
      <c r="AJ771" s="89"/>
      <c r="AK771" s="89"/>
      <c r="AL771" s="89"/>
      <c r="AM771" s="89"/>
      <c r="AN771" s="89"/>
      <c r="AO771" s="89"/>
      <c r="AP771" s="89"/>
      <c r="AQ771" s="89"/>
      <c r="AR771" s="89"/>
      <c r="AS771" s="89"/>
      <c r="AT771" s="89"/>
      <c r="AU771" s="89"/>
      <c r="AV771" s="89"/>
      <c r="AW771" s="89"/>
      <c r="AX771" s="89"/>
      <c r="AY771" s="89"/>
      <c r="AZ771" s="89"/>
      <c r="BA771" s="95"/>
    </row>
    <row r="772" spans="1:53" s="87" customFormat="1">
      <c r="A772" s="374" t="str">
        <f t="shared" si="59"/>
        <v/>
      </c>
      <c r="B772" s="89">
        <v>15</v>
      </c>
      <c r="C772" s="89" t="s">
        <v>202</v>
      </c>
      <c r="D772" s="89" t="s">
        <v>210</v>
      </c>
      <c r="E772" s="89">
        <v>-5</v>
      </c>
      <c r="F772" s="89" t="s">
        <v>210</v>
      </c>
      <c r="G772" s="89" t="s">
        <v>210</v>
      </c>
      <c r="H772" s="89">
        <v>3</v>
      </c>
      <c r="I772" s="89">
        <v>-1</v>
      </c>
      <c r="J772" s="89" t="s">
        <v>210</v>
      </c>
      <c r="K772" s="89" t="s">
        <v>210</v>
      </c>
      <c r="L772" s="89">
        <v>4</v>
      </c>
      <c r="M772" s="89">
        <v>-3</v>
      </c>
      <c r="N772" s="89" t="s">
        <v>210</v>
      </c>
      <c r="O772" s="89" t="s">
        <v>210</v>
      </c>
      <c r="P772" s="89">
        <v>5</v>
      </c>
      <c r="Q772" s="89">
        <v>-6</v>
      </c>
      <c r="R772" s="89" t="s">
        <v>210</v>
      </c>
      <c r="S772" s="89" t="s">
        <v>210</v>
      </c>
      <c r="T772" s="89">
        <v>2</v>
      </c>
      <c r="U772" s="89"/>
      <c r="V772" s="89"/>
      <c r="W772" s="89"/>
      <c r="X772" s="89"/>
      <c r="Y772" s="89"/>
      <c r="Z772" s="89"/>
      <c r="AA772" s="89"/>
      <c r="AB772" s="89"/>
      <c r="AC772" s="89"/>
      <c r="AD772" s="89"/>
      <c r="AE772" s="89"/>
      <c r="AF772" s="89"/>
      <c r="AG772" s="89"/>
      <c r="AH772" s="89"/>
      <c r="AI772" s="89"/>
      <c r="AJ772" s="89"/>
      <c r="AK772" s="89"/>
      <c r="AL772" s="89"/>
      <c r="AM772" s="89"/>
      <c r="AN772" s="89"/>
      <c r="AO772" s="89"/>
      <c r="AP772" s="89"/>
      <c r="AQ772" s="89"/>
      <c r="AR772" s="89"/>
      <c r="AS772" s="89"/>
      <c r="AT772" s="89"/>
      <c r="AU772" s="89"/>
      <c r="AV772" s="89"/>
      <c r="AW772" s="89"/>
      <c r="AX772" s="89"/>
      <c r="AY772" s="89"/>
      <c r="AZ772" s="89"/>
      <c r="BA772" s="95"/>
    </row>
    <row r="773" spans="1:53" s="87" customFormat="1">
      <c r="A773" s="374" t="str">
        <f t="shared" si="59"/>
        <v/>
      </c>
      <c r="B773" s="89">
        <v>16</v>
      </c>
      <c r="C773" s="89" t="s">
        <v>210</v>
      </c>
      <c r="D773" s="89">
        <v>3</v>
      </c>
      <c r="E773" s="89">
        <v>6</v>
      </c>
      <c r="F773" s="89" t="s">
        <v>210</v>
      </c>
      <c r="G773" s="89" t="s">
        <v>210</v>
      </c>
      <c r="H773" s="89" t="s">
        <v>202</v>
      </c>
      <c r="I773" s="89">
        <v>-3</v>
      </c>
      <c r="J773" s="89" t="s">
        <v>210</v>
      </c>
      <c r="K773" s="89" t="s">
        <v>210</v>
      </c>
      <c r="L773" s="89">
        <v>-2</v>
      </c>
      <c r="M773" s="89">
        <v>3</v>
      </c>
      <c r="N773" s="89" t="s">
        <v>210</v>
      </c>
      <c r="O773" s="89" t="s">
        <v>210</v>
      </c>
      <c r="P773" s="89">
        <v>-6</v>
      </c>
      <c r="Q773" s="89">
        <v>4</v>
      </c>
      <c r="R773" s="89" t="s">
        <v>210</v>
      </c>
      <c r="S773" s="89" t="s">
        <v>210</v>
      </c>
      <c r="T773" s="89">
        <v>-5</v>
      </c>
      <c r="U773" s="89"/>
      <c r="V773" s="89"/>
      <c r="W773" s="89"/>
      <c r="X773" s="89"/>
      <c r="Y773" s="89"/>
      <c r="Z773" s="89"/>
      <c r="AA773" s="89"/>
      <c r="AB773" s="89"/>
      <c r="AC773" s="89"/>
      <c r="AD773" s="89"/>
      <c r="AE773" s="89"/>
      <c r="AF773" s="89"/>
      <c r="AG773" s="89"/>
      <c r="AH773" s="89"/>
      <c r="AI773" s="89"/>
      <c r="AJ773" s="89"/>
      <c r="AK773" s="89"/>
      <c r="AL773" s="89"/>
      <c r="AM773" s="89"/>
      <c r="AN773" s="89"/>
      <c r="AO773" s="89"/>
      <c r="AP773" s="89"/>
      <c r="AQ773" s="89"/>
      <c r="AR773" s="89"/>
      <c r="AS773" s="89"/>
      <c r="AT773" s="89"/>
      <c r="AU773" s="89"/>
      <c r="AV773" s="89"/>
      <c r="AW773" s="89"/>
      <c r="AX773" s="89"/>
      <c r="AY773" s="89"/>
      <c r="AZ773" s="89"/>
      <c r="BA773" s="95"/>
    </row>
    <row r="774" spans="1:53" s="87" customFormat="1">
      <c r="A774" s="374" t="str">
        <f t="shared" si="59"/>
        <v/>
      </c>
      <c r="B774" s="89">
        <v>17</v>
      </c>
      <c r="C774" s="89" t="s">
        <v>210</v>
      </c>
      <c r="D774" s="89">
        <v>-2</v>
      </c>
      <c r="E774" s="89" t="s">
        <v>202</v>
      </c>
      <c r="F774" s="89" t="s">
        <v>210</v>
      </c>
      <c r="G774" s="89" t="s">
        <v>210</v>
      </c>
      <c r="H774" s="89">
        <v>4</v>
      </c>
      <c r="I774" s="89">
        <v>-6</v>
      </c>
      <c r="J774" s="89" t="s">
        <v>210</v>
      </c>
      <c r="K774" s="89">
        <v>-5</v>
      </c>
      <c r="L774" s="89" t="s">
        <v>210</v>
      </c>
      <c r="M774" s="89">
        <v>2</v>
      </c>
      <c r="N774" s="89" t="s">
        <v>210</v>
      </c>
      <c r="O774" s="89" t="s">
        <v>210</v>
      </c>
      <c r="P774" s="89">
        <v>-1</v>
      </c>
      <c r="Q774" s="89">
        <v>6</v>
      </c>
      <c r="R774" s="89" t="s">
        <v>210</v>
      </c>
      <c r="S774" s="89" t="s">
        <v>210</v>
      </c>
      <c r="T774" s="89">
        <v>5</v>
      </c>
      <c r="U774" s="89"/>
      <c r="V774" s="89"/>
      <c r="W774" s="89"/>
      <c r="X774" s="89"/>
      <c r="Y774" s="89"/>
      <c r="Z774" s="89"/>
      <c r="AA774" s="89"/>
      <c r="AB774" s="89"/>
      <c r="AC774" s="89"/>
      <c r="AD774" s="89"/>
      <c r="AE774" s="89"/>
      <c r="AF774" s="89"/>
      <c r="AG774" s="89"/>
      <c r="AH774" s="89"/>
      <c r="AI774" s="89"/>
      <c r="AJ774" s="89"/>
      <c r="AK774" s="89"/>
      <c r="AL774" s="89"/>
      <c r="AM774" s="89"/>
      <c r="AN774" s="89"/>
      <c r="AO774" s="89"/>
      <c r="AP774" s="89"/>
      <c r="AQ774" s="89"/>
      <c r="AR774" s="89"/>
      <c r="AS774" s="89"/>
      <c r="AT774" s="89"/>
      <c r="AU774" s="89"/>
      <c r="AV774" s="89"/>
      <c r="AW774" s="89"/>
      <c r="AX774" s="89"/>
      <c r="AY774" s="89"/>
      <c r="AZ774" s="89"/>
      <c r="BA774" s="95"/>
    </row>
    <row r="775" spans="1:53" s="87" customFormat="1">
      <c r="A775" s="374" t="str">
        <f t="shared" si="59"/>
        <v/>
      </c>
      <c r="B775" s="99">
        <v>18</v>
      </c>
      <c r="C775" s="92" t="s">
        <v>210</v>
      </c>
      <c r="D775" s="92">
        <v>2</v>
      </c>
      <c r="E775" s="92">
        <v>-1</v>
      </c>
      <c r="F775" s="92" t="s">
        <v>210</v>
      </c>
      <c r="G775" s="92" t="s">
        <v>210</v>
      </c>
      <c r="H775" s="92">
        <v>6</v>
      </c>
      <c r="I775" s="92">
        <v>3</v>
      </c>
      <c r="J775" s="92" t="s">
        <v>210</v>
      </c>
      <c r="K775" s="92" t="s">
        <v>210</v>
      </c>
      <c r="L775" s="92">
        <v>-4</v>
      </c>
      <c r="M775" s="92">
        <v>5</v>
      </c>
      <c r="N775" s="92" t="s">
        <v>210</v>
      </c>
      <c r="O775" s="92" t="s">
        <v>210</v>
      </c>
      <c r="P775" s="92">
        <v>-2</v>
      </c>
      <c r="Q775" s="92">
        <v>-3</v>
      </c>
      <c r="R775" s="92" t="s">
        <v>210</v>
      </c>
      <c r="S775" s="92" t="s">
        <v>210</v>
      </c>
      <c r="T775" s="92" t="s">
        <v>202</v>
      </c>
      <c r="U775" s="89"/>
      <c r="V775" s="89"/>
      <c r="W775" s="89"/>
      <c r="X775" s="89"/>
      <c r="Y775" s="89"/>
      <c r="Z775" s="89"/>
      <c r="AA775" s="89"/>
      <c r="AB775" s="89"/>
      <c r="AC775" s="89"/>
      <c r="AD775" s="89"/>
      <c r="AE775" s="89"/>
      <c r="AF775" s="89"/>
      <c r="AG775" s="89"/>
      <c r="AH775" s="89"/>
      <c r="AI775" s="89"/>
      <c r="AJ775" s="89"/>
      <c r="AK775" s="89"/>
      <c r="AL775" s="89"/>
      <c r="AM775" s="89"/>
      <c r="AN775" s="89"/>
      <c r="AO775" s="89"/>
      <c r="AP775" s="89"/>
      <c r="AQ775" s="89"/>
      <c r="AR775" s="89"/>
      <c r="AS775" s="89"/>
      <c r="AT775" s="89"/>
      <c r="AU775" s="89"/>
      <c r="AV775" s="89"/>
      <c r="AW775" s="89"/>
      <c r="AX775" s="89"/>
      <c r="AY775" s="89"/>
      <c r="AZ775" s="89"/>
      <c r="BA775" s="95"/>
    </row>
    <row r="776" spans="1:53" s="87" customFormat="1">
      <c r="A776" s="374" t="str">
        <f t="shared" si="59"/>
        <v/>
      </c>
      <c r="B776" s="89">
        <v>19</v>
      </c>
      <c r="C776" s="89" t="s">
        <v>202</v>
      </c>
      <c r="D776" s="89" t="s">
        <v>210</v>
      </c>
      <c r="E776" s="89" t="s">
        <v>210</v>
      </c>
      <c r="F776" s="89">
        <v>3</v>
      </c>
      <c r="G776" s="89" t="s">
        <v>210</v>
      </c>
      <c r="H776" s="89">
        <v>2</v>
      </c>
      <c r="I776" s="89">
        <v>-5</v>
      </c>
      <c r="J776" s="89" t="s">
        <v>210</v>
      </c>
      <c r="K776" s="89" t="s">
        <v>210</v>
      </c>
      <c r="L776" s="89">
        <v>-6</v>
      </c>
      <c r="M776" s="89">
        <v>-1</v>
      </c>
      <c r="N776" s="89" t="s">
        <v>210</v>
      </c>
      <c r="O776" s="89" t="s">
        <v>210</v>
      </c>
      <c r="P776" s="89">
        <v>4</v>
      </c>
      <c r="Q776" s="89">
        <v>-2</v>
      </c>
      <c r="R776" s="89" t="s">
        <v>210</v>
      </c>
      <c r="S776" s="89">
        <v>1</v>
      </c>
      <c r="T776" s="89" t="s">
        <v>210</v>
      </c>
      <c r="U776" s="89"/>
      <c r="V776" s="89"/>
      <c r="W776" s="89"/>
      <c r="X776" s="89"/>
      <c r="Y776" s="89"/>
      <c r="Z776" s="89"/>
      <c r="AA776" s="89"/>
      <c r="AB776" s="89"/>
      <c r="AC776" s="89"/>
      <c r="AD776" s="89"/>
      <c r="AE776" s="89"/>
      <c r="AF776" s="89"/>
      <c r="AG776" s="89"/>
      <c r="AH776" s="89"/>
      <c r="AI776" s="89"/>
      <c r="AJ776" s="89"/>
      <c r="AK776" s="89"/>
      <c r="AL776" s="89"/>
      <c r="AM776" s="89"/>
      <c r="AN776" s="89"/>
      <c r="AO776" s="89"/>
      <c r="AP776" s="89"/>
      <c r="AQ776" s="89"/>
      <c r="AR776" s="89"/>
      <c r="AS776" s="89"/>
      <c r="AT776" s="89"/>
      <c r="AU776" s="89"/>
      <c r="AV776" s="89"/>
      <c r="AW776" s="89"/>
      <c r="AX776" s="89"/>
      <c r="AY776" s="89"/>
      <c r="AZ776" s="89"/>
      <c r="BA776" s="95"/>
    </row>
    <row r="777" spans="1:53" s="87" customFormat="1">
      <c r="A777" s="374" t="str">
        <f t="shared" si="59"/>
        <v/>
      </c>
      <c r="B777" s="89">
        <v>20</v>
      </c>
      <c r="C777" s="89" t="s">
        <v>202</v>
      </c>
      <c r="D777" s="89" t="s">
        <v>210</v>
      </c>
      <c r="E777" s="89" t="s">
        <v>210</v>
      </c>
      <c r="F777" s="89">
        <v>4</v>
      </c>
      <c r="G777" s="89" t="s">
        <v>210</v>
      </c>
      <c r="H777" s="89">
        <v>5</v>
      </c>
      <c r="I777" s="89">
        <v>-2</v>
      </c>
      <c r="J777" s="89" t="s">
        <v>210</v>
      </c>
      <c r="K777" s="89" t="s">
        <v>210</v>
      </c>
      <c r="L777" s="89">
        <v>1</v>
      </c>
      <c r="M777" s="89">
        <v>-6</v>
      </c>
      <c r="N777" s="89" t="s">
        <v>210</v>
      </c>
      <c r="O777" s="89" t="s">
        <v>210</v>
      </c>
      <c r="P777" s="89">
        <v>3</v>
      </c>
      <c r="Q777" s="89">
        <v>-5</v>
      </c>
      <c r="R777" s="89" t="s">
        <v>210</v>
      </c>
      <c r="S777" s="89">
        <v>-1</v>
      </c>
      <c r="T777" s="89" t="s">
        <v>210</v>
      </c>
      <c r="U777" s="89"/>
      <c r="V777" s="89"/>
      <c r="W777" s="89"/>
      <c r="X777" s="89"/>
      <c r="Y777" s="89"/>
      <c r="Z777" s="89"/>
      <c r="AA777" s="89"/>
      <c r="AB777" s="89"/>
      <c r="AC777" s="89"/>
      <c r="AD777" s="89"/>
      <c r="AE777" s="89"/>
      <c r="AF777" s="89"/>
      <c r="AG777" s="89"/>
      <c r="AH777" s="89"/>
      <c r="AI777" s="89"/>
      <c r="AJ777" s="89"/>
      <c r="AK777" s="89"/>
      <c r="AL777" s="89"/>
      <c r="AM777" s="89"/>
      <c r="AN777" s="89"/>
      <c r="AO777" s="89"/>
      <c r="AP777" s="89"/>
      <c r="AQ777" s="89"/>
      <c r="AR777" s="89"/>
      <c r="AS777" s="89"/>
      <c r="AT777" s="89"/>
      <c r="AU777" s="89"/>
      <c r="AV777" s="89"/>
      <c r="AW777" s="89"/>
      <c r="AX777" s="89"/>
      <c r="AY777" s="89"/>
      <c r="AZ777" s="89"/>
      <c r="BA777" s="95"/>
    </row>
    <row r="778" spans="1:53" s="87" customFormat="1">
      <c r="A778" s="374" t="str">
        <f t="shared" si="59"/>
        <v/>
      </c>
      <c r="B778" s="89">
        <v>21</v>
      </c>
      <c r="C778" s="89" t="s">
        <v>202</v>
      </c>
      <c r="D778" s="89" t="s">
        <v>210</v>
      </c>
      <c r="E778" s="89" t="s">
        <v>210</v>
      </c>
      <c r="F778" s="89">
        <v>-4</v>
      </c>
      <c r="G778" s="89">
        <v>-2</v>
      </c>
      <c r="H778" s="89" t="s">
        <v>210</v>
      </c>
      <c r="I778" s="89" t="s">
        <v>210</v>
      </c>
      <c r="J778" s="89">
        <v>5</v>
      </c>
      <c r="K778" s="89">
        <v>-6</v>
      </c>
      <c r="L778" s="89" t="s">
        <v>210</v>
      </c>
      <c r="M778" s="89" t="s">
        <v>210</v>
      </c>
      <c r="N778" s="89">
        <v>1</v>
      </c>
      <c r="O778" s="89" t="s">
        <v>210</v>
      </c>
      <c r="P778" s="89">
        <v>-3</v>
      </c>
      <c r="Q778" s="89">
        <v>2</v>
      </c>
      <c r="R778" s="89" t="s">
        <v>210</v>
      </c>
      <c r="S778" s="89">
        <v>6</v>
      </c>
      <c r="T778" s="89" t="s">
        <v>210</v>
      </c>
      <c r="U778" s="89"/>
      <c r="V778" s="89"/>
      <c r="W778" s="89"/>
      <c r="X778" s="89"/>
      <c r="Y778" s="89"/>
      <c r="Z778" s="89"/>
      <c r="AA778" s="89"/>
      <c r="AB778" s="89"/>
      <c r="AC778" s="89"/>
      <c r="AD778" s="89"/>
      <c r="AE778" s="89"/>
      <c r="AF778" s="89"/>
      <c r="AG778" s="89"/>
      <c r="AH778" s="89"/>
      <c r="AI778" s="89"/>
      <c r="AJ778" s="89"/>
      <c r="AK778" s="89"/>
      <c r="AL778" s="89"/>
      <c r="AM778" s="89"/>
      <c r="AN778" s="89"/>
      <c r="AO778" s="89"/>
      <c r="AP778" s="89"/>
      <c r="AQ778" s="89"/>
      <c r="AR778" s="89"/>
      <c r="AS778" s="89"/>
      <c r="AT778" s="89"/>
      <c r="AU778" s="89"/>
      <c r="AV778" s="89"/>
      <c r="AW778" s="89"/>
      <c r="AX778" s="89"/>
      <c r="AY778" s="89"/>
      <c r="AZ778" s="89"/>
      <c r="BA778" s="95"/>
    </row>
    <row r="779" spans="1:53" s="87" customFormat="1">
      <c r="A779" s="374" t="str">
        <f t="shared" si="59"/>
        <v/>
      </c>
      <c r="B779" s="89">
        <v>22</v>
      </c>
      <c r="C779" s="89" t="s">
        <v>202</v>
      </c>
      <c r="D779" s="89" t="s">
        <v>210</v>
      </c>
      <c r="E779" s="89" t="s">
        <v>210</v>
      </c>
      <c r="F779" s="89">
        <v>-3</v>
      </c>
      <c r="G779" s="89">
        <v>-5</v>
      </c>
      <c r="H779" s="89" t="s">
        <v>210</v>
      </c>
      <c r="I779" s="89" t="s">
        <v>210</v>
      </c>
      <c r="J779" s="89">
        <v>2</v>
      </c>
      <c r="K779" s="89">
        <v>1</v>
      </c>
      <c r="L779" s="89" t="s">
        <v>210</v>
      </c>
      <c r="M779" s="89" t="s">
        <v>210</v>
      </c>
      <c r="N779" s="89">
        <v>6</v>
      </c>
      <c r="O779" s="89" t="s">
        <v>210</v>
      </c>
      <c r="P779" s="89">
        <v>-4</v>
      </c>
      <c r="Q779" s="89">
        <v>5</v>
      </c>
      <c r="R779" s="89" t="s">
        <v>210</v>
      </c>
      <c r="S779" s="89">
        <v>-6</v>
      </c>
      <c r="T779" s="89" t="s">
        <v>210</v>
      </c>
      <c r="U779" s="89"/>
      <c r="V779" s="89"/>
      <c r="W779" s="89"/>
      <c r="X779" s="89"/>
      <c r="Y779" s="89"/>
      <c r="Z779" s="89"/>
      <c r="AA779" s="89"/>
      <c r="AB779" s="89"/>
      <c r="AC779" s="89"/>
      <c r="AD779" s="89"/>
      <c r="AE779" s="89"/>
      <c r="AF779" s="89"/>
      <c r="AG779" s="89"/>
      <c r="AH779" s="89"/>
      <c r="AI779" s="89"/>
      <c r="AJ779" s="89"/>
      <c r="AK779" s="89"/>
      <c r="AL779" s="89"/>
      <c r="AM779" s="89"/>
      <c r="AN779" s="89"/>
      <c r="AO779" s="89"/>
      <c r="AP779" s="89"/>
      <c r="AQ779" s="89"/>
      <c r="AR779" s="89"/>
      <c r="AS779" s="89"/>
      <c r="AT779" s="89"/>
      <c r="AU779" s="89"/>
      <c r="AV779" s="89"/>
      <c r="AW779" s="89"/>
      <c r="AX779" s="89"/>
      <c r="AY779" s="89"/>
      <c r="AZ779" s="89"/>
      <c r="BA779" s="95"/>
    </row>
    <row r="780" spans="1:53" s="87" customFormat="1">
      <c r="A780" s="374" t="str">
        <f t="shared" ref="A780:A843" si="60">IF(MID(B780,3,2)="06",ROW(),"")</f>
        <v/>
      </c>
      <c r="B780" s="89">
        <v>23</v>
      </c>
      <c r="C780" s="89" t="s">
        <v>202</v>
      </c>
      <c r="D780" s="89" t="s">
        <v>210</v>
      </c>
      <c r="E780" s="89">
        <v>3</v>
      </c>
      <c r="F780" s="89" t="s">
        <v>210</v>
      </c>
      <c r="G780" s="89" t="s">
        <v>210</v>
      </c>
      <c r="H780" s="89">
        <v>-5</v>
      </c>
      <c r="I780" s="89" t="s">
        <v>210</v>
      </c>
      <c r="J780" s="89">
        <v>-2</v>
      </c>
      <c r="K780" s="89">
        <v>6</v>
      </c>
      <c r="L780" s="89" t="s">
        <v>210</v>
      </c>
      <c r="M780" s="89">
        <v>1</v>
      </c>
      <c r="N780" s="89" t="s">
        <v>210</v>
      </c>
      <c r="O780" s="89">
        <v>-4</v>
      </c>
      <c r="P780" s="89" t="s">
        <v>210</v>
      </c>
      <c r="Q780" s="89" t="s">
        <v>210</v>
      </c>
      <c r="R780" s="89">
        <v>2</v>
      </c>
      <c r="S780" s="89" t="s">
        <v>210</v>
      </c>
      <c r="T780" s="89">
        <v>-1</v>
      </c>
      <c r="U780" s="89"/>
      <c r="V780" s="89"/>
      <c r="W780" s="89"/>
      <c r="X780" s="89"/>
      <c r="Y780" s="89"/>
      <c r="Z780" s="89"/>
      <c r="AA780" s="89"/>
      <c r="AB780" s="89"/>
      <c r="AC780" s="89"/>
      <c r="AD780" s="89"/>
      <c r="AE780" s="89"/>
      <c r="AF780" s="89"/>
      <c r="AG780" s="89"/>
      <c r="AH780" s="89"/>
      <c r="AI780" s="89"/>
      <c r="AJ780" s="89"/>
      <c r="AK780" s="89"/>
      <c r="AL780" s="89"/>
      <c r="AM780" s="89"/>
      <c r="AN780" s="89"/>
      <c r="AO780" s="89"/>
      <c r="AP780" s="89"/>
      <c r="AQ780" s="89"/>
      <c r="AR780" s="89"/>
      <c r="AS780" s="89"/>
      <c r="AT780" s="89"/>
      <c r="AU780" s="89"/>
      <c r="AV780" s="89"/>
      <c r="AW780" s="89"/>
      <c r="AX780" s="89"/>
      <c r="AY780" s="89"/>
      <c r="AZ780" s="89"/>
      <c r="BA780" s="95"/>
    </row>
    <row r="781" spans="1:53" s="87" customFormat="1">
      <c r="A781" s="374" t="str">
        <f t="shared" si="60"/>
        <v/>
      </c>
      <c r="B781" s="89">
        <v>24</v>
      </c>
      <c r="C781" s="89" t="s">
        <v>202</v>
      </c>
      <c r="D781" s="89" t="s">
        <v>210</v>
      </c>
      <c r="E781" s="89">
        <v>4</v>
      </c>
      <c r="F781" s="89" t="s">
        <v>210</v>
      </c>
      <c r="G781" s="89" t="s">
        <v>210</v>
      </c>
      <c r="H781" s="89">
        <v>-2</v>
      </c>
      <c r="I781" s="89" t="s">
        <v>210</v>
      </c>
      <c r="J781" s="89">
        <v>-5</v>
      </c>
      <c r="K781" s="89">
        <v>-1</v>
      </c>
      <c r="L781" s="89" t="s">
        <v>210</v>
      </c>
      <c r="M781" s="89">
        <v>6</v>
      </c>
      <c r="N781" s="89" t="s">
        <v>210</v>
      </c>
      <c r="O781" s="89">
        <v>-3</v>
      </c>
      <c r="P781" s="89" t="s">
        <v>210</v>
      </c>
      <c r="Q781" s="89" t="s">
        <v>210</v>
      </c>
      <c r="R781" s="89">
        <v>5</v>
      </c>
      <c r="S781" s="89" t="s">
        <v>210</v>
      </c>
      <c r="T781" s="89">
        <v>1</v>
      </c>
      <c r="U781" s="89"/>
      <c r="V781" s="89"/>
      <c r="W781" s="89"/>
      <c r="X781" s="89"/>
      <c r="Y781" s="89"/>
      <c r="Z781" s="89"/>
      <c r="AA781" s="89"/>
      <c r="AB781" s="89"/>
      <c r="AC781" s="89"/>
      <c r="AD781" s="89"/>
      <c r="AE781" s="89"/>
      <c r="AF781" s="89"/>
      <c r="AG781" s="89"/>
      <c r="AH781" s="89"/>
      <c r="AI781" s="89"/>
      <c r="AJ781" s="89"/>
      <c r="AK781" s="89"/>
      <c r="AL781" s="89"/>
      <c r="AM781" s="89"/>
      <c r="AN781" s="89"/>
      <c r="AO781" s="89"/>
      <c r="AP781" s="89"/>
      <c r="AQ781" s="89"/>
      <c r="AR781" s="89"/>
      <c r="AS781" s="89"/>
      <c r="AT781" s="89"/>
      <c r="AU781" s="89"/>
      <c r="AV781" s="89"/>
      <c r="AW781" s="89"/>
      <c r="AX781" s="89"/>
      <c r="AY781" s="89"/>
      <c r="AZ781" s="89"/>
      <c r="BA781" s="95"/>
    </row>
    <row r="782" spans="1:53" s="87" customFormat="1">
      <c r="A782" s="374" t="str">
        <f t="shared" si="60"/>
        <v/>
      </c>
      <c r="B782" s="89">
        <v>25</v>
      </c>
      <c r="C782" s="89" t="s">
        <v>202</v>
      </c>
      <c r="D782" s="89" t="s">
        <v>210</v>
      </c>
      <c r="E782" s="89">
        <v>-4</v>
      </c>
      <c r="F782" s="89" t="s">
        <v>210</v>
      </c>
      <c r="G782" s="89">
        <v>5</v>
      </c>
      <c r="H782" s="89" t="s">
        <v>210</v>
      </c>
      <c r="I782" s="89">
        <v>2</v>
      </c>
      <c r="J782" s="89" t="s">
        <v>210</v>
      </c>
      <c r="K782" s="89" t="s">
        <v>210</v>
      </c>
      <c r="L782" s="89">
        <v>6</v>
      </c>
      <c r="M782" s="89" t="s">
        <v>210</v>
      </c>
      <c r="N782" s="89">
        <v>-1</v>
      </c>
      <c r="O782" s="89">
        <v>3</v>
      </c>
      <c r="P782" s="89" t="s">
        <v>210</v>
      </c>
      <c r="Q782" s="89" t="s">
        <v>210</v>
      </c>
      <c r="R782" s="89">
        <v>-2</v>
      </c>
      <c r="S782" s="89" t="s">
        <v>210</v>
      </c>
      <c r="T782" s="89">
        <v>-6</v>
      </c>
      <c r="U782" s="89"/>
      <c r="V782" s="89"/>
      <c r="W782" s="89"/>
      <c r="X782" s="89"/>
      <c r="Y782" s="89"/>
      <c r="Z782" s="89"/>
      <c r="AA782" s="89"/>
      <c r="AB782" s="89"/>
      <c r="AC782" s="89"/>
      <c r="AD782" s="89"/>
      <c r="AE782" s="89"/>
      <c r="AF782" s="89"/>
      <c r="AG782" s="89"/>
      <c r="AH782" s="89"/>
      <c r="AI782" s="89"/>
      <c r="AJ782" s="89"/>
      <c r="AK782" s="89"/>
      <c r="AL782" s="89"/>
      <c r="AM782" s="89"/>
      <c r="AN782" s="89"/>
      <c r="AO782" s="89"/>
      <c r="AP782" s="89"/>
      <c r="AQ782" s="89"/>
      <c r="AR782" s="89"/>
      <c r="AS782" s="89"/>
      <c r="AT782" s="89"/>
      <c r="AU782" s="89"/>
      <c r="AV782" s="89"/>
      <c r="AW782" s="89"/>
      <c r="AX782" s="89"/>
      <c r="AY782" s="89"/>
      <c r="AZ782" s="89"/>
      <c r="BA782" s="95"/>
    </row>
    <row r="783" spans="1:53" s="87" customFormat="1">
      <c r="A783" s="374" t="str">
        <f t="shared" si="60"/>
        <v/>
      </c>
      <c r="B783" s="89">
        <v>26</v>
      </c>
      <c r="C783" s="89" t="s">
        <v>202</v>
      </c>
      <c r="D783" s="89" t="s">
        <v>210</v>
      </c>
      <c r="E783" s="89">
        <v>-3</v>
      </c>
      <c r="F783" s="89" t="s">
        <v>210</v>
      </c>
      <c r="G783" s="89">
        <v>2</v>
      </c>
      <c r="H783" s="89" t="s">
        <v>210</v>
      </c>
      <c r="I783" s="89">
        <v>5</v>
      </c>
      <c r="J783" s="89" t="s">
        <v>210</v>
      </c>
      <c r="K783" s="89" t="s">
        <v>210</v>
      </c>
      <c r="L783" s="89">
        <v>-1</v>
      </c>
      <c r="M783" s="89" t="s">
        <v>210</v>
      </c>
      <c r="N783" s="89">
        <v>-6</v>
      </c>
      <c r="O783" s="89">
        <v>4</v>
      </c>
      <c r="P783" s="89" t="s">
        <v>210</v>
      </c>
      <c r="Q783" s="89" t="s">
        <v>210</v>
      </c>
      <c r="R783" s="89">
        <v>-5</v>
      </c>
      <c r="S783" s="89" t="s">
        <v>210</v>
      </c>
      <c r="T783" s="89">
        <v>6</v>
      </c>
      <c r="U783" s="89"/>
      <c r="V783" s="89"/>
      <c r="W783" s="89"/>
      <c r="X783" s="89"/>
      <c r="Y783" s="89"/>
      <c r="Z783" s="89"/>
      <c r="AA783" s="89"/>
      <c r="AB783" s="89"/>
      <c r="AC783" s="89"/>
      <c r="AD783" s="89"/>
      <c r="AE783" s="89"/>
      <c r="AF783" s="89"/>
      <c r="AG783" s="89"/>
      <c r="AH783" s="89"/>
      <c r="AI783" s="89"/>
      <c r="AJ783" s="89"/>
      <c r="AK783" s="89"/>
      <c r="AL783" s="89"/>
      <c r="AM783" s="89"/>
      <c r="AN783" s="89"/>
      <c r="AO783" s="89"/>
      <c r="AP783" s="89"/>
      <c r="AQ783" s="89"/>
      <c r="AR783" s="89"/>
      <c r="AS783" s="89"/>
      <c r="AT783" s="89"/>
      <c r="AU783" s="89"/>
      <c r="AV783" s="89"/>
      <c r="AW783" s="89"/>
      <c r="AX783" s="89"/>
      <c r="AY783" s="89"/>
      <c r="AZ783" s="89"/>
      <c r="BA783" s="95"/>
    </row>
    <row r="784" spans="1:53" s="87" customFormat="1">
      <c r="A784" s="374" t="str">
        <f t="shared" si="60"/>
        <v/>
      </c>
      <c r="B784" s="319" t="s">
        <v>1040</v>
      </c>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c r="AA784" s="89"/>
      <c r="AB784" s="89"/>
      <c r="AC784" s="89"/>
      <c r="AD784" s="89"/>
      <c r="AE784" s="89"/>
      <c r="AF784" s="89"/>
      <c r="AG784" s="89"/>
      <c r="AH784" s="89"/>
      <c r="AI784" s="89"/>
      <c r="AJ784" s="89"/>
      <c r="AK784" s="89"/>
      <c r="AL784" s="89"/>
      <c r="AM784" s="89"/>
      <c r="AN784" s="89"/>
      <c r="AO784" s="89"/>
      <c r="AP784" s="89"/>
      <c r="AQ784" s="89"/>
      <c r="AR784" s="89"/>
      <c r="AS784" s="89"/>
      <c r="AT784" s="89"/>
      <c r="AU784" s="89"/>
      <c r="AV784" s="89"/>
      <c r="AW784" s="89"/>
      <c r="AX784" s="89"/>
      <c r="AY784" s="89"/>
      <c r="AZ784" s="89"/>
      <c r="BA784" s="95"/>
    </row>
    <row r="785" spans="1:53" s="87" customFormat="1">
      <c r="A785" s="374">
        <f t="shared" si="60"/>
        <v>785</v>
      </c>
      <c r="B785" s="89" t="s">
        <v>392</v>
      </c>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c r="AA785" s="89"/>
      <c r="AB785" s="89"/>
      <c r="AC785" s="89"/>
      <c r="AD785" s="89"/>
      <c r="AE785" s="89"/>
      <c r="AF785" s="89"/>
      <c r="AG785" s="89"/>
      <c r="AH785" s="89"/>
      <c r="AI785" s="89"/>
      <c r="AJ785" s="89"/>
      <c r="AK785" s="89"/>
      <c r="AL785" s="89"/>
      <c r="AM785" s="89"/>
      <c r="AN785" s="89"/>
      <c r="AO785" s="89"/>
      <c r="AP785" s="89"/>
      <c r="AQ785" s="89"/>
      <c r="AR785" s="89"/>
      <c r="AS785" s="89"/>
      <c r="AT785" s="89"/>
      <c r="AU785" s="89"/>
      <c r="AV785" s="89"/>
      <c r="AW785" s="89"/>
      <c r="AX785" s="89"/>
      <c r="AY785" s="89"/>
      <c r="AZ785" s="89"/>
      <c r="BA785" s="95"/>
    </row>
    <row r="786" spans="1:53" s="87" customFormat="1">
      <c r="A786" s="374" t="str">
        <f t="shared" si="60"/>
        <v/>
      </c>
      <c r="B786" s="89">
        <v>1</v>
      </c>
      <c r="C786" s="89">
        <v>-6</v>
      </c>
      <c r="D786" s="89" t="s">
        <v>210</v>
      </c>
      <c r="E786" s="89" t="s">
        <v>210</v>
      </c>
      <c r="F786" s="89" t="s">
        <v>202</v>
      </c>
      <c r="G786" s="89">
        <v>4</v>
      </c>
      <c r="H786" s="89" t="s">
        <v>210</v>
      </c>
      <c r="I786" s="89" t="s">
        <v>210</v>
      </c>
      <c r="J786" s="89">
        <v>-5</v>
      </c>
      <c r="K786" s="89">
        <v>-2</v>
      </c>
      <c r="L786" s="89" t="s">
        <v>210</v>
      </c>
      <c r="M786" s="89" t="s">
        <v>210</v>
      </c>
      <c r="N786" s="89">
        <v>1</v>
      </c>
      <c r="O786" s="89">
        <v>3</v>
      </c>
      <c r="P786" s="89"/>
      <c r="Q786" s="89"/>
      <c r="R786" s="89"/>
      <c r="S786" s="89"/>
      <c r="T786" s="89"/>
      <c r="U786" s="89"/>
      <c r="V786" s="89"/>
      <c r="W786" s="89"/>
      <c r="X786" s="89"/>
      <c r="Y786" s="89"/>
      <c r="Z786" s="89"/>
      <c r="AA786" s="89"/>
      <c r="AB786" s="89"/>
      <c r="AC786" s="89"/>
      <c r="AD786" s="89"/>
      <c r="AE786" s="89"/>
      <c r="AF786" s="89"/>
      <c r="AG786" s="89"/>
      <c r="AH786" s="89"/>
      <c r="AI786" s="89"/>
      <c r="AJ786" s="89"/>
      <c r="AK786" s="89"/>
      <c r="AL786" s="89"/>
      <c r="AM786" s="89"/>
      <c r="AN786" s="89"/>
      <c r="AO786" s="89"/>
      <c r="AP786" s="89"/>
      <c r="AQ786" s="89"/>
      <c r="AR786" s="89"/>
      <c r="AS786" s="89"/>
      <c r="AT786" s="89"/>
      <c r="AU786" s="89"/>
      <c r="AV786" s="89"/>
      <c r="AW786" s="89"/>
      <c r="AX786" s="89"/>
      <c r="AY786" s="89"/>
      <c r="AZ786" s="89"/>
      <c r="BA786" s="95"/>
    </row>
    <row r="787" spans="1:53" s="87" customFormat="1">
      <c r="A787" s="374" t="str">
        <f t="shared" si="60"/>
        <v/>
      </c>
      <c r="B787" s="89">
        <v>2</v>
      </c>
      <c r="C787" s="89" t="s">
        <v>202</v>
      </c>
      <c r="D787" s="89" t="s">
        <v>210</v>
      </c>
      <c r="E787" s="89" t="s">
        <v>210</v>
      </c>
      <c r="F787" s="89">
        <v>4</v>
      </c>
      <c r="G787" s="89">
        <v>-1</v>
      </c>
      <c r="H787" s="89" t="s">
        <v>210</v>
      </c>
      <c r="I787" s="89" t="s">
        <v>210</v>
      </c>
      <c r="J787" s="89">
        <v>2</v>
      </c>
      <c r="K787" s="89">
        <v>5</v>
      </c>
      <c r="L787" s="89" t="s">
        <v>210</v>
      </c>
      <c r="M787" s="89" t="s">
        <v>210</v>
      </c>
      <c r="N787" s="89">
        <v>-6</v>
      </c>
      <c r="O787" s="89">
        <v>-3</v>
      </c>
      <c r="P787" s="89"/>
      <c r="Q787" s="89"/>
      <c r="R787" s="89"/>
      <c r="S787" s="89"/>
      <c r="T787" s="89"/>
      <c r="U787" s="89"/>
      <c r="V787" s="89"/>
      <c r="W787" s="89"/>
      <c r="X787" s="89"/>
      <c r="Y787" s="89"/>
      <c r="Z787" s="89"/>
      <c r="AA787" s="89"/>
      <c r="AB787" s="89"/>
      <c r="AC787" s="89"/>
      <c r="AD787" s="89"/>
      <c r="AE787" s="89"/>
      <c r="AF787" s="89"/>
      <c r="AG787" s="89"/>
      <c r="AH787" s="89"/>
      <c r="AI787" s="89"/>
      <c r="AJ787" s="89"/>
      <c r="AK787" s="89"/>
      <c r="AL787" s="89"/>
      <c r="AM787" s="89"/>
      <c r="AN787" s="89"/>
      <c r="AO787" s="89"/>
      <c r="AP787" s="89"/>
      <c r="AQ787" s="89"/>
      <c r="AR787" s="89"/>
      <c r="AS787" s="89"/>
      <c r="AT787" s="89"/>
      <c r="AU787" s="89"/>
      <c r="AV787" s="89"/>
      <c r="AW787" s="89"/>
      <c r="AX787" s="89"/>
      <c r="AY787" s="89"/>
      <c r="AZ787" s="89"/>
      <c r="BA787" s="95"/>
    </row>
    <row r="788" spans="1:53" s="87" customFormat="1">
      <c r="A788" s="374" t="str">
        <f t="shared" si="60"/>
        <v/>
      </c>
      <c r="B788" s="89">
        <v>3</v>
      </c>
      <c r="C788" s="89">
        <v>5</v>
      </c>
      <c r="D788" s="89" t="s">
        <v>210</v>
      </c>
      <c r="E788" s="89" t="s">
        <v>210</v>
      </c>
      <c r="F788" s="89">
        <v>-1</v>
      </c>
      <c r="G788" s="89">
        <v>-3</v>
      </c>
      <c r="H788" s="89" t="s">
        <v>210</v>
      </c>
      <c r="I788" s="89" t="s">
        <v>210</v>
      </c>
      <c r="J788" s="89" t="s">
        <v>202</v>
      </c>
      <c r="K788" s="89">
        <v>2</v>
      </c>
      <c r="L788" s="89" t="s">
        <v>210</v>
      </c>
      <c r="M788" s="89" t="s">
        <v>210</v>
      </c>
      <c r="N788" s="89">
        <v>6</v>
      </c>
      <c r="O788" s="89">
        <v>-4</v>
      </c>
      <c r="P788" s="89"/>
      <c r="Q788" s="89"/>
      <c r="R788" s="89"/>
      <c r="S788" s="89"/>
      <c r="T788" s="89"/>
      <c r="U788" s="89"/>
      <c r="V788" s="89"/>
      <c r="W788" s="89"/>
      <c r="X788" s="89"/>
      <c r="Y788" s="89"/>
      <c r="Z788" s="89"/>
      <c r="AA788" s="89"/>
      <c r="AB788" s="89"/>
      <c r="AC788" s="89"/>
      <c r="AD788" s="89"/>
      <c r="AE788" s="89"/>
      <c r="AF788" s="89"/>
      <c r="AG788" s="89"/>
      <c r="AH788" s="89"/>
      <c r="AI788" s="89"/>
      <c r="AJ788" s="89"/>
      <c r="AK788" s="89"/>
      <c r="AL788" s="89"/>
      <c r="AM788" s="89"/>
      <c r="AN788" s="89"/>
      <c r="AO788" s="89"/>
      <c r="AP788" s="89"/>
      <c r="AQ788" s="89"/>
      <c r="AR788" s="89"/>
      <c r="AS788" s="89"/>
      <c r="AT788" s="89"/>
      <c r="AU788" s="89"/>
      <c r="AV788" s="89"/>
      <c r="AW788" s="89"/>
      <c r="AX788" s="89"/>
      <c r="AY788" s="89"/>
      <c r="AZ788" s="89"/>
      <c r="BA788" s="95"/>
    </row>
    <row r="789" spans="1:53" s="87" customFormat="1">
      <c r="A789" s="374" t="str">
        <f t="shared" si="60"/>
        <v/>
      </c>
      <c r="B789" s="89">
        <v>4</v>
      </c>
      <c r="C789" s="89">
        <v>-2</v>
      </c>
      <c r="D789" s="89" t="s">
        <v>210</v>
      </c>
      <c r="E789" s="89" t="s">
        <v>210</v>
      </c>
      <c r="F789" s="89">
        <v>3</v>
      </c>
      <c r="G789" s="89" t="s">
        <v>202</v>
      </c>
      <c r="H789" s="89" t="s">
        <v>210</v>
      </c>
      <c r="I789" s="89" t="s">
        <v>210</v>
      </c>
      <c r="J789" s="89">
        <v>6</v>
      </c>
      <c r="K789" s="89">
        <v>-5</v>
      </c>
      <c r="L789" s="89" t="s">
        <v>210</v>
      </c>
      <c r="M789" s="89" t="s">
        <v>210</v>
      </c>
      <c r="N789" s="89">
        <v>-1</v>
      </c>
      <c r="O789" s="89">
        <v>4</v>
      </c>
      <c r="P789" s="89"/>
      <c r="Q789" s="89"/>
      <c r="R789" s="89"/>
      <c r="S789" s="89"/>
      <c r="T789" s="89"/>
      <c r="U789" s="89"/>
      <c r="V789" s="89"/>
      <c r="W789" s="89"/>
      <c r="X789" s="89"/>
      <c r="Y789" s="89"/>
      <c r="Z789" s="89"/>
      <c r="AA789" s="89"/>
      <c r="AB789" s="89"/>
      <c r="AC789" s="89"/>
      <c r="AD789" s="89"/>
      <c r="AE789" s="89"/>
      <c r="AF789" s="89"/>
      <c r="AG789" s="89"/>
      <c r="AH789" s="89"/>
      <c r="AI789" s="89"/>
      <c r="AJ789" s="89"/>
      <c r="AK789" s="89"/>
      <c r="AL789" s="89"/>
      <c r="AM789" s="89"/>
      <c r="AN789" s="89"/>
      <c r="AO789" s="89"/>
      <c r="AP789" s="89"/>
      <c r="AQ789" s="89"/>
      <c r="AR789" s="89"/>
      <c r="AS789" s="89"/>
      <c r="AT789" s="89"/>
      <c r="AU789" s="89"/>
      <c r="AV789" s="89"/>
      <c r="AW789" s="89"/>
      <c r="AX789" s="89"/>
      <c r="AY789" s="89"/>
      <c r="AZ789" s="89"/>
      <c r="BA789" s="95"/>
    </row>
    <row r="790" spans="1:53" s="87" customFormat="1">
      <c r="A790" s="374" t="str">
        <f t="shared" si="60"/>
        <v/>
      </c>
      <c r="B790" s="89">
        <v>5</v>
      </c>
      <c r="C790" s="89">
        <v>-5</v>
      </c>
      <c r="D790" s="89" t="s">
        <v>210</v>
      </c>
      <c r="E790" s="89" t="s">
        <v>210</v>
      </c>
      <c r="F790" s="89">
        <v>-3</v>
      </c>
      <c r="G790" s="89">
        <v>1</v>
      </c>
      <c r="H790" s="89" t="s">
        <v>210</v>
      </c>
      <c r="I790" s="89" t="s">
        <v>210</v>
      </c>
      <c r="J790" s="89">
        <v>5</v>
      </c>
      <c r="K790" s="89">
        <v>-6</v>
      </c>
      <c r="L790" s="89" t="s">
        <v>210</v>
      </c>
      <c r="M790" s="89" t="s">
        <v>210</v>
      </c>
      <c r="N790" s="89" t="s">
        <v>202</v>
      </c>
      <c r="O790" s="89">
        <v>2</v>
      </c>
      <c r="P790" s="89"/>
      <c r="Q790" s="89"/>
      <c r="R790" s="89"/>
      <c r="S790" s="89"/>
      <c r="T790" s="89"/>
      <c r="U790" s="89"/>
      <c r="V790" s="89"/>
      <c r="W790" s="89"/>
      <c r="X790" s="89"/>
      <c r="Y790" s="89"/>
      <c r="Z790" s="89"/>
      <c r="AA790" s="89"/>
      <c r="AB790" s="89"/>
      <c r="AC790" s="89"/>
      <c r="AD790" s="89"/>
      <c r="AE790" s="89"/>
      <c r="AF790" s="89"/>
      <c r="AG790" s="89"/>
      <c r="AH790" s="89"/>
      <c r="AI790" s="89"/>
      <c r="AJ790" s="89"/>
      <c r="AK790" s="89"/>
      <c r="AL790" s="89"/>
      <c r="AM790" s="89"/>
      <c r="AN790" s="89"/>
      <c r="AO790" s="89"/>
      <c r="AP790" s="89"/>
      <c r="AQ790" s="89"/>
      <c r="AR790" s="89"/>
      <c r="AS790" s="89"/>
      <c r="AT790" s="89"/>
      <c r="AU790" s="89"/>
      <c r="AV790" s="89"/>
      <c r="AW790" s="89"/>
      <c r="AX790" s="89"/>
      <c r="AY790" s="89"/>
      <c r="AZ790" s="89"/>
      <c r="BA790" s="95"/>
    </row>
    <row r="791" spans="1:53" s="87" customFormat="1">
      <c r="A791" s="374" t="str">
        <f t="shared" si="60"/>
        <v/>
      </c>
      <c r="B791" s="89">
        <v>6</v>
      </c>
      <c r="C791" s="89">
        <v>6</v>
      </c>
      <c r="D791" s="89" t="s">
        <v>210</v>
      </c>
      <c r="E791" s="89" t="s">
        <v>210</v>
      </c>
      <c r="F791" s="89">
        <v>-4</v>
      </c>
      <c r="G791" s="89">
        <v>3</v>
      </c>
      <c r="H791" s="89" t="s">
        <v>210</v>
      </c>
      <c r="I791" s="89" t="s">
        <v>210</v>
      </c>
      <c r="J791" s="89">
        <v>-6</v>
      </c>
      <c r="K791" s="89" t="s">
        <v>202</v>
      </c>
      <c r="L791" s="89" t="s">
        <v>210</v>
      </c>
      <c r="M791" s="89" t="s">
        <v>210</v>
      </c>
      <c r="N791" s="89">
        <v>5</v>
      </c>
      <c r="O791" s="89">
        <v>-2</v>
      </c>
      <c r="P791" s="89"/>
      <c r="Q791" s="89"/>
      <c r="R791" s="89"/>
      <c r="S791" s="89"/>
      <c r="T791" s="89"/>
      <c r="U791" s="89"/>
      <c r="V791" s="89"/>
      <c r="W791" s="89"/>
      <c r="X791" s="89"/>
      <c r="Y791" s="89"/>
      <c r="Z791" s="89"/>
      <c r="AA791" s="89"/>
      <c r="AB791" s="89"/>
      <c r="AC791" s="89"/>
      <c r="AD791" s="89"/>
      <c r="AE791" s="89"/>
      <c r="AF791" s="89"/>
      <c r="AG791" s="89"/>
      <c r="AH791" s="89"/>
      <c r="AI791" s="89"/>
      <c r="AJ791" s="89"/>
      <c r="AK791" s="89"/>
      <c r="AL791" s="89"/>
      <c r="AM791" s="89"/>
      <c r="AN791" s="89"/>
      <c r="AO791" s="89"/>
      <c r="AP791" s="89"/>
      <c r="AQ791" s="89"/>
      <c r="AR791" s="89"/>
      <c r="AS791" s="89"/>
      <c r="AT791" s="89"/>
      <c r="AU791" s="89"/>
      <c r="AV791" s="89"/>
      <c r="AW791" s="89"/>
      <c r="AX791" s="89"/>
      <c r="AY791" s="89"/>
      <c r="AZ791" s="89"/>
      <c r="BA791" s="95"/>
    </row>
    <row r="792" spans="1:53" s="87" customFormat="1">
      <c r="A792" s="374" t="str">
        <f t="shared" si="60"/>
        <v/>
      </c>
      <c r="B792" s="99">
        <v>7</v>
      </c>
      <c r="C792" s="92">
        <v>2</v>
      </c>
      <c r="D792" s="92" t="s">
        <v>210</v>
      </c>
      <c r="E792" s="92" t="s">
        <v>210</v>
      </c>
      <c r="F792" s="92">
        <v>1</v>
      </c>
      <c r="G792" s="92">
        <v>-4</v>
      </c>
      <c r="H792" s="92" t="s">
        <v>210</v>
      </c>
      <c r="I792" s="92" t="s">
        <v>210</v>
      </c>
      <c r="J792" s="92">
        <v>-2</v>
      </c>
      <c r="K792" s="92">
        <v>6</v>
      </c>
      <c r="L792" s="92" t="s">
        <v>210</v>
      </c>
      <c r="M792" s="92" t="s">
        <v>210</v>
      </c>
      <c r="N792" s="92">
        <v>-5</v>
      </c>
      <c r="O792" s="92" t="s">
        <v>202</v>
      </c>
      <c r="P792" s="89"/>
      <c r="Q792" s="89"/>
      <c r="R792" s="89"/>
      <c r="S792" s="89"/>
      <c r="T792" s="89"/>
      <c r="U792" s="89"/>
      <c r="V792" s="89"/>
      <c r="W792" s="89"/>
      <c r="X792" s="89"/>
      <c r="Y792" s="89"/>
      <c r="Z792" s="89"/>
      <c r="AA792" s="89"/>
      <c r="AB792" s="89"/>
      <c r="AC792" s="89"/>
      <c r="AD792" s="89"/>
      <c r="AE792" s="89"/>
      <c r="AF792" s="89"/>
      <c r="AG792" s="89"/>
      <c r="AH792" s="89"/>
      <c r="AI792" s="89"/>
      <c r="AJ792" s="89"/>
      <c r="AK792" s="89"/>
      <c r="AL792" s="89"/>
      <c r="AM792" s="89"/>
      <c r="AN792" s="89"/>
      <c r="AO792" s="89"/>
      <c r="AP792" s="89"/>
      <c r="AQ792" s="89"/>
      <c r="AR792" s="89"/>
      <c r="AS792" s="89"/>
      <c r="AT792" s="89"/>
      <c r="AU792" s="89"/>
      <c r="AV792" s="89"/>
      <c r="AW792" s="89"/>
      <c r="AX792" s="89"/>
      <c r="AY792" s="89"/>
      <c r="AZ792" s="89"/>
      <c r="BA792" s="95"/>
    </row>
    <row r="793" spans="1:53" s="87" customFormat="1">
      <c r="A793" s="374" t="str">
        <f t="shared" si="60"/>
        <v/>
      </c>
      <c r="B793" s="89">
        <v>8</v>
      </c>
      <c r="C793" s="89">
        <v>4</v>
      </c>
      <c r="D793" s="89" t="s">
        <v>210</v>
      </c>
      <c r="E793" s="89" t="s">
        <v>210</v>
      </c>
      <c r="F793" s="89" t="s">
        <v>202</v>
      </c>
      <c r="G793" s="89">
        <v>-6</v>
      </c>
      <c r="H793" s="89" t="s">
        <v>210</v>
      </c>
      <c r="I793" s="89" t="s">
        <v>210</v>
      </c>
      <c r="J793" s="89">
        <v>3</v>
      </c>
      <c r="K793" s="89">
        <v>1</v>
      </c>
      <c r="L793" s="89" t="s">
        <v>210</v>
      </c>
      <c r="M793" s="89" t="s">
        <v>210</v>
      </c>
      <c r="N793" s="89">
        <v>-2</v>
      </c>
      <c r="O793" s="89">
        <v>-5</v>
      </c>
      <c r="P793" s="89"/>
      <c r="Q793" s="89"/>
      <c r="R793" s="89"/>
      <c r="S793" s="89"/>
      <c r="T793" s="89"/>
      <c r="U793" s="89"/>
      <c r="V793" s="89"/>
      <c r="W793" s="89"/>
      <c r="X793" s="89"/>
      <c r="Y793" s="89"/>
      <c r="Z793" s="89"/>
      <c r="AA793" s="89"/>
      <c r="AB793" s="89"/>
      <c r="AC793" s="89"/>
      <c r="AD793" s="89"/>
      <c r="AE793" s="89"/>
      <c r="AF793" s="89"/>
      <c r="AG793" s="89"/>
      <c r="AH793" s="89"/>
      <c r="AI793" s="89"/>
      <c r="AJ793" s="89"/>
      <c r="AK793" s="89"/>
      <c r="AL793" s="89"/>
      <c r="AM793" s="89"/>
      <c r="AN793" s="89"/>
      <c r="AO793" s="89"/>
      <c r="AP793" s="89"/>
      <c r="AQ793" s="89"/>
      <c r="AR793" s="89"/>
      <c r="AS793" s="89"/>
      <c r="AT793" s="89"/>
      <c r="AU793" s="89"/>
      <c r="AV793" s="89"/>
      <c r="AW793" s="89"/>
      <c r="AX793" s="89"/>
      <c r="AY793" s="89"/>
      <c r="AZ793" s="89"/>
      <c r="BA793" s="95"/>
    </row>
    <row r="794" spans="1:53" s="87" customFormat="1">
      <c r="A794" s="374" t="str">
        <f t="shared" si="60"/>
        <v/>
      </c>
      <c r="B794" s="89">
        <v>9</v>
      </c>
      <c r="C794" s="89" t="s">
        <v>202</v>
      </c>
      <c r="D794" s="89" t="s">
        <v>210</v>
      </c>
      <c r="E794" s="89" t="s">
        <v>210</v>
      </c>
      <c r="F794" s="89">
        <v>-6</v>
      </c>
      <c r="G794" s="89">
        <v>2</v>
      </c>
      <c r="H794" s="89" t="s">
        <v>210</v>
      </c>
      <c r="I794" s="89" t="s">
        <v>210</v>
      </c>
      <c r="J794" s="89">
        <v>-1</v>
      </c>
      <c r="K794" s="89">
        <v>-3</v>
      </c>
      <c r="L794" s="89" t="s">
        <v>210</v>
      </c>
      <c r="M794" s="89" t="s">
        <v>210</v>
      </c>
      <c r="N794" s="89">
        <v>4</v>
      </c>
      <c r="O794" s="89">
        <v>5</v>
      </c>
      <c r="P794" s="89"/>
      <c r="Q794" s="89"/>
      <c r="R794" s="89"/>
      <c r="S794" s="89"/>
      <c r="T794" s="89"/>
      <c r="U794" s="89"/>
      <c r="V794" s="89"/>
      <c r="W794" s="89"/>
      <c r="X794" s="89"/>
      <c r="Y794" s="89"/>
      <c r="Z794" s="89"/>
      <c r="AA794" s="89"/>
      <c r="AB794" s="89"/>
      <c r="AC794" s="89"/>
      <c r="AD794" s="89"/>
      <c r="AE794" s="89"/>
      <c r="AF794" s="89"/>
      <c r="AG794" s="89"/>
      <c r="AH794" s="89"/>
      <c r="AI794" s="89"/>
      <c r="AJ794" s="89"/>
      <c r="AK794" s="89"/>
      <c r="AL794" s="89"/>
      <c r="AM794" s="89"/>
      <c r="AN794" s="89"/>
      <c r="AO794" s="89"/>
      <c r="AP794" s="89"/>
      <c r="AQ794" s="89"/>
      <c r="AR794" s="89"/>
      <c r="AS794" s="89"/>
      <c r="AT794" s="89"/>
      <c r="AU794" s="89"/>
      <c r="AV794" s="89"/>
      <c r="AW794" s="89"/>
      <c r="AX794" s="89"/>
      <c r="AY794" s="89"/>
      <c r="AZ794" s="89"/>
      <c r="BA794" s="95"/>
    </row>
    <row r="795" spans="1:53" s="87" customFormat="1">
      <c r="A795" s="374" t="str">
        <f t="shared" si="60"/>
        <v/>
      </c>
      <c r="B795" s="89">
        <v>10</v>
      </c>
      <c r="C795" s="89">
        <v>-4</v>
      </c>
      <c r="D795" s="89" t="s">
        <v>210</v>
      </c>
      <c r="E795" s="89" t="s">
        <v>210</v>
      </c>
      <c r="F795" s="89">
        <v>6</v>
      </c>
      <c r="G795" s="89">
        <v>-5</v>
      </c>
      <c r="H795" s="89" t="s">
        <v>210</v>
      </c>
      <c r="I795" s="89" t="s">
        <v>210</v>
      </c>
      <c r="J795" s="89" t="s">
        <v>202</v>
      </c>
      <c r="K795" s="89">
        <v>4</v>
      </c>
      <c r="L795" s="89" t="s">
        <v>210</v>
      </c>
      <c r="M795" s="89" t="s">
        <v>210</v>
      </c>
      <c r="N795" s="89">
        <v>3</v>
      </c>
      <c r="O795" s="89">
        <v>-1</v>
      </c>
      <c r="P795" s="89"/>
      <c r="Q795" s="89"/>
      <c r="R795" s="89"/>
      <c r="S795" s="89"/>
      <c r="T795" s="89"/>
      <c r="U795" s="89"/>
      <c r="V795" s="89"/>
      <c r="W795" s="89"/>
      <c r="X795" s="89"/>
      <c r="Y795" s="89"/>
      <c r="Z795" s="89"/>
      <c r="AA795" s="89"/>
      <c r="AB795" s="89"/>
      <c r="AC795" s="89"/>
      <c r="AD795" s="89"/>
      <c r="AE795" s="89"/>
      <c r="AF795" s="89"/>
      <c r="AG795" s="89"/>
      <c r="AH795" s="89"/>
      <c r="AI795" s="89"/>
      <c r="AJ795" s="89"/>
      <c r="AK795" s="89"/>
      <c r="AL795" s="89"/>
      <c r="AM795" s="89"/>
      <c r="AN795" s="89"/>
      <c r="AO795" s="89"/>
      <c r="AP795" s="89"/>
      <c r="AQ795" s="89"/>
      <c r="AR795" s="89"/>
      <c r="AS795" s="89"/>
      <c r="AT795" s="89"/>
      <c r="AU795" s="89"/>
      <c r="AV795" s="89"/>
      <c r="AW795" s="89"/>
      <c r="AX795" s="89"/>
      <c r="AY795" s="89"/>
      <c r="AZ795" s="89"/>
      <c r="BA795" s="95"/>
    </row>
    <row r="796" spans="1:53" s="87" customFormat="1">
      <c r="A796" s="374" t="str">
        <f t="shared" si="60"/>
        <v/>
      </c>
      <c r="B796" s="89">
        <v>11</v>
      </c>
      <c r="C796" s="89">
        <v>-3</v>
      </c>
      <c r="D796" s="89" t="s">
        <v>210</v>
      </c>
      <c r="E796" s="89" t="s">
        <v>210</v>
      </c>
      <c r="F796" s="89">
        <v>-2</v>
      </c>
      <c r="G796" s="89">
        <v>6</v>
      </c>
      <c r="H796" s="89" t="s">
        <v>210</v>
      </c>
      <c r="I796" s="89" t="s">
        <v>210</v>
      </c>
      <c r="J796" s="89">
        <v>-4</v>
      </c>
      <c r="K796" s="89">
        <v>3</v>
      </c>
      <c r="L796" s="89" t="s">
        <v>210</v>
      </c>
      <c r="M796" s="89" t="s">
        <v>210</v>
      </c>
      <c r="N796" s="89" t="s">
        <v>202</v>
      </c>
      <c r="O796" s="89">
        <v>1</v>
      </c>
      <c r="P796" s="89"/>
      <c r="Q796" s="89"/>
      <c r="R796" s="89"/>
      <c r="S796" s="89"/>
      <c r="T796" s="89"/>
      <c r="U796" s="89"/>
      <c r="V796" s="89"/>
      <c r="W796" s="89"/>
      <c r="X796" s="89"/>
      <c r="Y796" s="89"/>
      <c r="Z796" s="89"/>
      <c r="AA796" s="89"/>
      <c r="AB796" s="89"/>
      <c r="AC796" s="89"/>
      <c r="AD796" s="89"/>
      <c r="AE796" s="89"/>
      <c r="AF796" s="89"/>
      <c r="AG796" s="89"/>
      <c r="AH796" s="89"/>
      <c r="AI796" s="89"/>
      <c r="AJ796" s="89"/>
      <c r="AK796" s="89"/>
      <c r="AL796" s="89"/>
      <c r="AM796" s="89"/>
      <c r="AN796" s="89"/>
      <c r="AO796" s="89"/>
      <c r="AP796" s="89"/>
      <c r="AQ796" s="89"/>
      <c r="AR796" s="89"/>
      <c r="AS796" s="89"/>
      <c r="AT796" s="89"/>
      <c r="AU796" s="89"/>
      <c r="AV796" s="89"/>
      <c r="AW796" s="89"/>
      <c r="AX796" s="89"/>
      <c r="AY796" s="89"/>
      <c r="AZ796" s="89"/>
      <c r="BA796" s="95"/>
    </row>
    <row r="797" spans="1:53" s="87" customFormat="1">
      <c r="A797" s="374" t="str">
        <f t="shared" si="60"/>
        <v/>
      </c>
      <c r="B797" s="89">
        <v>12</v>
      </c>
      <c r="C797" s="89">
        <v>-1</v>
      </c>
      <c r="D797" s="89" t="s">
        <v>210</v>
      </c>
      <c r="E797" s="89" t="s">
        <v>210</v>
      </c>
      <c r="F797" s="89">
        <v>2</v>
      </c>
      <c r="G797" s="89">
        <v>5</v>
      </c>
      <c r="H797" s="89" t="s">
        <v>210</v>
      </c>
      <c r="I797" s="89" t="s">
        <v>210</v>
      </c>
      <c r="J797" s="89">
        <v>-3</v>
      </c>
      <c r="K797" s="89" t="s">
        <v>202</v>
      </c>
      <c r="L797" s="89" t="s">
        <v>210</v>
      </c>
      <c r="M797" s="89" t="s">
        <v>210</v>
      </c>
      <c r="N797" s="89">
        <v>-4</v>
      </c>
      <c r="O797" s="89">
        <v>6</v>
      </c>
      <c r="P797" s="89"/>
      <c r="Q797" s="89"/>
      <c r="R797" s="89"/>
      <c r="S797" s="89"/>
      <c r="T797" s="89"/>
      <c r="U797" s="89"/>
      <c r="V797" s="89"/>
      <c r="W797" s="89"/>
      <c r="X797" s="89"/>
      <c r="Y797" s="89"/>
      <c r="Z797" s="89"/>
      <c r="AA797" s="89"/>
      <c r="AB797" s="89"/>
      <c r="AC797" s="89"/>
      <c r="AD797" s="89"/>
      <c r="AE797" s="89"/>
      <c r="AF797" s="89"/>
      <c r="AG797" s="89"/>
      <c r="AH797" s="89"/>
      <c r="AI797" s="89"/>
      <c r="AJ797" s="89"/>
      <c r="AK797" s="89"/>
      <c r="AL797" s="89"/>
      <c r="AM797" s="89"/>
      <c r="AN797" s="89"/>
      <c r="AO797" s="89"/>
      <c r="AP797" s="89"/>
      <c r="AQ797" s="89"/>
      <c r="AR797" s="89"/>
      <c r="AS797" s="89"/>
      <c r="AT797" s="89"/>
      <c r="AU797" s="89"/>
      <c r="AV797" s="89"/>
      <c r="AW797" s="89"/>
      <c r="AX797" s="89"/>
      <c r="AY797" s="89"/>
      <c r="AZ797" s="89"/>
      <c r="BA797" s="95"/>
    </row>
    <row r="798" spans="1:53" s="87" customFormat="1">
      <c r="A798" s="374" t="str">
        <f t="shared" si="60"/>
        <v/>
      </c>
      <c r="B798" s="89">
        <v>13</v>
      </c>
      <c r="C798" s="89">
        <v>3</v>
      </c>
      <c r="D798" s="89" t="s">
        <v>210</v>
      </c>
      <c r="E798" s="89" t="s">
        <v>210</v>
      </c>
      <c r="F798" s="89">
        <v>-5</v>
      </c>
      <c r="G798" s="89" t="s">
        <v>202</v>
      </c>
      <c r="H798" s="89" t="s">
        <v>210</v>
      </c>
      <c r="I798" s="89" t="s">
        <v>210</v>
      </c>
      <c r="J798" s="89">
        <v>1</v>
      </c>
      <c r="K798" s="89">
        <v>-4</v>
      </c>
      <c r="L798" s="89" t="s">
        <v>210</v>
      </c>
      <c r="M798" s="89" t="s">
        <v>210</v>
      </c>
      <c r="N798" s="89">
        <v>2</v>
      </c>
      <c r="O798" s="89">
        <v>-6</v>
      </c>
      <c r="P798" s="89"/>
      <c r="Q798" s="89"/>
      <c r="R798" s="89"/>
      <c r="S798" s="89"/>
      <c r="T798" s="89"/>
      <c r="U798" s="89"/>
      <c r="V798" s="89"/>
      <c r="W798" s="89"/>
      <c r="X798" s="89"/>
      <c r="Y798" s="89"/>
      <c r="Z798" s="89"/>
      <c r="AA798" s="89"/>
      <c r="AB798" s="89"/>
      <c r="AC798" s="89"/>
      <c r="AD798" s="89"/>
      <c r="AE798" s="89"/>
      <c r="AF798" s="89"/>
      <c r="AG798" s="89"/>
      <c r="AH798" s="89"/>
      <c r="AI798" s="89"/>
      <c r="AJ798" s="89"/>
      <c r="AK798" s="89"/>
      <c r="AL798" s="89"/>
      <c r="AM798" s="89"/>
      <c r="AN798" s="89"/>
      <c r="AO798" s="89"/>
      <c r="AP798" s="89"/>
      <c r="AQ798" s="89"/>
      <c r="AR798" s="89"/>
      <c r="AS798" s="89"/>
      <c r="AT798" s="89"/>
      <c r="AU798" s="89"/>
      <c r="AV798" s="89"/>
      <c r="AW798" s="89"/>
      <c r="AX798" s="89"/>
      <c r="AY798" s="89"/>
      <c r="AZ798" s="89"/>
      <c r="BA798" s="95"/>
    </row>
    <row r="799" spans="1:53" s="87" customFormat="1">
      <c r="A799" s="374" t="str">
        <f t="shared" si="60"/>
        <v/>
      </c>
      <c r="B799" s="99">
        <v>14</v>
      </c>
      <c r="C799" s="92">
        <v>1</v>
      </c>
      <c r="D799" s="92" t="s">
        <v>210</v>
      </c>
      <c r="E799" s="92" t="s">
        <v>210</v>
      </c>
      <c r="F799" s="92">
        <v>5</v>
      </c>
      <c r="G799" s="92">
        <v>-2</v>
      </c>
      <c r="H799" s="92" t="s">
        <v>210</v>
      </c>
      <c r="I799" s="92" t="s">
        <v>210</v>
      </c>
      <c r="J799" s="92">
        <v>4</v>
      </c>
      <c r="K799" s="92">
        <v>-1</v>
      </c>
      <c r="L799" s="92" t="s">
        <v>210</v>
      </c>
      <c r="M799" s="92" t="s">
        <v>210</v>
      </c>
      <c r="N799" s="92">
        <v>-3</v>
      </c>
      <c r="O799" s="92" t="s">
        <v>202</v>
      </c>
      <c r="P799" s="89"/>
      <c r="Q799" s="89"/>
      <c r="R799" s="89"/>
      <c r="S799" s="89"/>
      <c r="T799" s="89"/>
      <c r="U799" s="89"/>
      <c r="V799" s="89"/>
      <c r="W799" s="89"/>
      <c r="X799" s="89"/>
      <c r="Y799" s="89"/>
      <c r="Z799" s="89"/>
      <c r="AA799" s="89"/>
      <c r="AB799" s="89"/>
      <c r="AC799" s="89"/>
      <c r="AD799" s="89"/>
      <c r="AE799" s="89"/>
      <c r="AF799" s="89"/>
      <c r="AG799" s="89"/>
      <c r="AH799" s="89"/>
      <c r="AI799" s="89"/>
      <c r="AJ799" s="89"/>
      <c r="AK799" s="89"/>
      <c r="AL799" s="89"/>
      <c r="AM799" s="89"/>
      <c r="AN799" s="89"/>
      <c r="AO799" s="89"/>
      <c r="AP799" s="89"/>
      <c r="AQ799" s="89"/>
      <c r="AR799" s="89"/>
      <c r="AS799" s="89"/>
      <c r="AT799" s="89"/>
      <c r="AU799" s="89"/>
      <c r="AV799" s="89"/>
      <c r="AW799" s="89"/>
      <c r="AX799" s="89"/>
      <c r="AY799" s="89"/>
      <c r="AZ799" s="89"/>
      <c r="BA799" s="95"/>
    </row>
    <row r="800" spans="1:53" s="87" customFormat="1">
      <c r="A800" s="374" t="str">
        <f t="shared" si="60"/>
        <v/>
      </c>
      <c r="B800" s="89">
        <v>15</v>
      </c>
      <c r="C800" s="89" t="s">
        <v>210</v>
      </c>
      <c r="D800" s="89">
        <v>-6</v>
      </c>
      <c r="E800" s="89">
        <v>4</v>
      </c>
      <c r="F800" s="89" t="s">
        <v>210</v>
      </c>
      <c r="G800" s="89" t="s">
        <v>210</v>
      </c>
      <c r="H800" s="89">
        <v>-5</v>
      </c>
      <c r="I800" s="89">
        <v>6</v>
      </c>
      <c r="J800" s="89" t="s">
        <v>210</v>
      </c>
      <c r="K800" s="89" t="s">
        <v>210</v>
      </c>
      <c r="L800" s="89">
        <v>-2</v>
      </c>
      <c r="M800" s="89">
        <v>3</v>
      </c>
      <c r="N800" s="89" t="s">
        <v>210</v>
      </c>
      <c r="O800" s="89" t="s">
        <v>210</v>
      </c>
      <c r="P800" s="89"/>
      <c r="Q800" s="89"/>
      <c r="R800" s="89"/>
      <c r="S800" s="89"/>
      <c r="T800" s="89"/>
      <c r="U800" s="89"/>
      <c r="V800" s="89"/>
      <c r="W800" s="89"/>
      <c r="X800" s="89"/>
      <c r="Y800" s="89"/>
      <c r="Z800" s="89"/>
      <c r="AA800" s="89"/>
      <c r="AB800" s="89"/>
      <c r="AC800" s="89"/>
      <c r="AD800" s="89"/>
      <c r="AE800" s="89"/>
      <c r="AF800" s="89"/>
      <c r="AG800" s="89"/>
      <c r="AH800" s="89"/>
      <c r="AI800" s="89"/>
      <c r="AJ800" s="89"/>
      <c r="AK800" s="89"/>
      <c r="AL800" s="89"/>
      <c r="AM800" s="89"/>
      <c r="AN800" s="89"/>
      <c r="AO800" s="89"/>
      <c r="AP800" s="89"/>
      <c r="AQ800" s="89"/>
      <c r="AR800" s="89"/>
      <c r="AS800" s="89"/>
      <c r="AT800" s="89"/>
      <c r="AU800" s="89"/>
      <c r="AV800" s="89"/>
      <c r="AW800" s="89"/>
      <c r="AX800" s="89"/>
      <c r="AY800" s="89"/>
      <c r="AZ800" s="89"/>
      <c r="BA800" s="95"/>
    </row>
    <row r="801" spans="1:53" s="87" customFormat="1">
      <c r="A801" s="374" t="str">
        <f t="shared" si="60"/>
        <v/>
      </c>
      <c r="B801" s="89">
        <v>16</v>
      </c>
      <c r="C801" s="89" t="s">
        <v>210</v>
      </c>
      <c r="D801" s="89">
        <v>4</v>
      </c>
      <c r="E801" s="89">
        <v>2</v>
      </c>
      <c r="F801" s="89" t="s">
        <v>210</v>
      </c>
      <c r="G801" s="89" t="s">
        <v>210</v>
      </c>
      <c r="H801" s="89">
        <v>-6</v>
      </c>
      <c r="I801" s="89">
        <v>-5</v>
      </c>
      <c r="J801" s="89" t="s">
        <v>210</v>
      </c>
      <c r="K801" s="89" t="s">
        <v>210</v>
      </c>
      <c r="L801" s="89">
        <v>1</v>
      </c>
      <c r="M801" s="89">
        <v>-3</v>
      </c>
      <c r="N801" s="89" t="s">
        <v>210</v>
      </c>
      <c r="O801" s="89" t="s">
        <v>210</v>
      </c>
      <c r="P801" s="89"/>
      <c r="Q801" s="89"/>
      <c r="R801" s="89"/>
      <c r="S801" s="89"/>
      <c r="T801" s="89"/>
      <c r="U801" s="89"/>
      <c r="V801" s="89"/>
      <c r="W801" s="89"/>
      <c r="X801" s="89"/>
      <c r="Y801" s="89"/>
      <c r="Z801" s="89"/>
      <c r="AA801" s="89"/>
      <c r="AB801" s="89"/>
      <c r="AC801" s="89"/>
      <c r="AD801" s="89"/>
      <c r="AE801" s="89"/>
      <c r="AF801" s="89"/>
      <c r="AG801" s="89"/>
      <c r="AH801" s="89"/>
      <c r="AI801" s="89"/>
      <c r="AJ801" s="89"/>
      <c r="AK801" s="89"/>
      <c r="AL801" s="89"/>
      <c r="AM801" s="89"/>
      <c r="AN801" s="89"/>
      <c r="AO801" s="89"/>
      <c r="AP801" s="89"/>
      <c r="AQ801" s="89"/>
      <c r="AR801" s="89"/>
      <c r="AS801" s="89"/>
      <c r="AT801" s="89"/>
      <c r="AU801" s="89"/>
      <c r="AV801" s="89"/>
      <c r="AW801" s="89"/>
      <c r="AX801" s="89"/>
      <c r="AY801" s="89"/>
      <c r="AZ801" s="89"/>
      <c r="BA801" s="95"/>
    </row>
    <row r="802" spans="1:53" s="87" customFormat="1">
      <c r="A802" s="374" t="str">
        <f t="shared" si="60"/>
        <v/>
      </c>
      <c r="B802" s="89">
        <v>17</v>
      </c>
      <c r="C802" s="89" t="s">
        <v>210</v>
      </c>
      <c r="D802" s="89">
        <v>-1</v>
      </c>
      <c r="E802" s="89">
        <v>-2</v>
      </c>
      <c r="F802" s="89" t="s">
        <v>210</v>
      </c>
      <c r="G802" s="89" t="s">
        <v>210</v>
      </c>
      <c r="H802" s="89">
        <v>3</v>
      </c>
      <c r="I802" s="89">
        <v>-6</v>
      </c>
      <c r="J802" s="89" t="s">
        <v>210</v>
      </c>
      <c r="K802" s="89" t="s">
        <v>210</v>
      </c>
      <c r="L802" s="89">
        <v>5</v>
      </c>
      <c r="M802" s="89">
        <v>4</v>
      </c>
      <c r="N802" s="89" t="s">
        <v>210</v>
      </c>
      <c r="O802" s="89" t="s">
        <v>210</v>
      </c>
      <c r="P802" s="89"/>
      <c r="Q802" s="89"/>
      <c r="R802" s="89"/>
      <c r="S802" s="89"/>
      <c r="T802" s="89"/>
      <c r="U802" s="89"/>
      <c r="V802" s="89"/>
      <c r="W802" s="89"/>
      <c r="X802" s="89"/>
      <c r="Y802" s="89"/>
      <c r="Z802" s="89"/>
      <c r="AA802" s="89"/>
      <c r="AB802" s="89"/>
      <c r="AC802" s="89"/>
      <c r="AD802" s="89"/>
      <c r="AE802" s="89"/>
      <c r="AF802" s="89"/>
      <c r="AG802" s="89"/>
      <c r="AH802" s="89"/>
      <c r="AI802" s="89"/>
      <c r="AJ802" s="89"/>
      <c r="AK802" s="89"/>
      <c r="AL802" s="89"/>
      <c r="AM802" s="89"/>
      <c r="AN802" s="89"/>
      <c r="AO802" s="89"/>
      <c r="AP802" s="89"/>
      <c r="AQ802" s="89"/>
      <c r="AR802" s="89"/>
      <c r="AS802" s="89"/>
      <c r="AT802" s="89"/>
      <c r="AU802" s="89"/>
      <c r="AV802" s="89"/>
      <c r="AW802" s="89"/>
      <c r="AX802" s="89"/>
      <c r="AY802" s="89"/>
      <c r="AZ802" s="89"/>
      <c r="BA802" s="95"/>
    </row>
    <row r="803" spans="1:53" s="87" customFormat="1">
      <c r="A803" s="374" t="str">
        <f t="shared" si="60"/>
        <v/>
      </c>
      <c r="B803" s="89">
        <v>18</v>
      </c>
      <c r="C803" s="89" t="s">
        <v>210</v>
      </c>
      <c r="D803" s="89">
        <v>3</v>
      </c>
      <c r="E803" s="89">
        <v>-6</v>
      </c>
      <c r="F803" s="89" t="s">
        <v>210</v>
      </c>
      <c r="G803" s="89" t="s">
        <v>210</v>
      </c>
      <c r="H803" s="89">
        <v>5</v>
      </c>
      <c r="I803" s="89">
        <v>2</v>
      </c>
      <c r="J803" s="89" t="s">
        <v>210</v>
      </c>
      <c r="K803" s="89" t="s">
        <v>210</v>
      </c>
      <c r="L803" s="89">
        <v>-1</v>
      </c>
      <c r="M803" s="89">
        <v>-4</v>
      </c>
      <c r="N803" s="89" t="s">
        <v>210</v>
      </c>
      <c r="O803" s="89" t="s">
        <v>210</v>
      </c>
      <c r="P803" s="89"/>
      <c r="Q803" s="89"/>
      <c r="R803" s="89"/>
      <c r="S803" s="89"/>
      <c r="T803" s="89"/>
      <c r="U803" s="89"/>
      <c r="V803" s="89"/>
      <c r="W803" s="89"/>
      <c r="X803" s="89"/>
      <c r="Y803" s="89"/>
      <c r="Z803" s="89"/>
      <c r="AA803" s="89"/>
      <c r="AB803" s="89"/>
      <c r="AC803" s="89"/>
      <c r="AD803" s="89"/>
      <c r="AE803" s="89"/>
      <c r="AF803" s="89"/>
      <c r="AG803" s="89"/>
      <c r="AH803" s="89"/>
      <c r="AI803" s="89"/>
      <c r="AJ803" s="89"/>
      <c r="AK803" s="89"/>
      <c r="AL803" s="89"/>
      <c r="AM803" s="89"/>
      <c r="AN803" s="89"/>
      <c r="AO803" s="89"/>
      <c r="AP803" s="89"/>
      <c r="AQ803" s="89"/>
      <c r="AR803" s="89"/>
      <c r="AS803" s="89"/>
      <c r="AT803" s="89"/>
      <c r="AU803" s="89"/>
      <c r="AV803" s="89"/>
      <c r="AW803" s="89"/>
      <c r="AX803" s="89"/>
      <c r="AY803" s="89"/>
      <c r="AZ803" s="89"/>
      <c r="BA803" s="95"/>
    </row>
    <row r="804" spans="1:53" s="87" customFormat="1">
      <c r="A804" s="374" t="str">
        <f t="shared" si="60"/>
        <v/>
      </c>
      <c r="B804" s="89">
        <v>19</v>
      </c>
      <c r="C804" s="89" t="s">
        <v>210</v>
      </c>
      <c r="D804" s="89">
        <v>2</v>
      </c>
      <c r="E804" s="89">
        <v>-4</v>
      </c>
      <c r="F804" s="89" t="s">
        <v>210</v>
      </c>
      <c r="G804" s="89" t="s">
        <v>210</v>
      </c>
      <c r="H804" s="89">
        <v>6</v>
      </c>
      <c r="I804" s="89">
        <v>-2</v>
      </c>
      <c r="J804" s="89" t="s">
        <v>210</v>
      </c>
      <c r="K804" s="89" t="s">
        <v>210</v>
      </c>
      <c r="L804" s="89">
        <v>-5</v>
      </c>
      <c r="M804" s="89">
        <v>1</v>
      </c>
      <c r="N804" s="89" t="s">
        <v>210</v>
      </c>
      <c r="O804" s="89" t="s">
        <v>210</v>
      </c>
      <c r="P804" s="89"/>
      <c r="Q804" s="89"/>
      <c r="R804" s="89"/>
      <c r="S804" s="89"/>
      <c r="T804" s="89"/>
      <c r="U804" s="89"/>
      <c r="V804" s="89"/>
      <c r="W804" s="89"/>
      <c r="X804" s="89"/>
      <c r="Y804" s="89"/>
      <c r="Z804" s="89"/>
      <c r="AA804" s="89"/>
      <c r="AB804" s="89"/>
      <c r="AC804" s="89"/>
      <c r="AD804" s="89"/>
      <c r="AE804" s="89"/>
      <c r="AF804" s="89"/>
      <c r="AG804" s="89"/>
      <c r="AH804" s="89"/>
      <c r="AI804" s="89"/>
      <c r="AJ804" s="89"/>
      <c r="AK804" s="89"/>
      <c r="AL804" s="89"/>
      <c r="AM804" s="89"/>
      <c r="AN804" s="89"/>
      <c r="AO804" s="89"/>
      <c r="AP804" s="89"/>
      <c r="AQ804" s="89"/>
      <c r="AR804" s="89"/>
      <c r="AS804" s="89"/>
      <c r="AT804" s="89"/>
      <c r="AU804" s="89"/>
      <c r="AV804" s="89"/>
      <c r="AW804" s="89"/>
      <c r="AX804" s="89"/>
      <c r="AY804" s="89"/>
      <c r="AZ804" s="89"/>
      <c r="BA804" s="95"/>
    </row>
    <row r="805" spans="1:53" s="87" customFormat="1">
      <c r="A805" s="374" t="str">
        <f t="shared" si="60"/>
        <v/>
      </c>
      <c r="B805" s="99">
        <v>20</v>
      </c>
      <c r="C805" s="92" t="s">
        <v>210</v>
      </c>
      <c r="D805" s="92">
        <v>-5</v>
      </c>
      <c r="E805" s="92">
        <v>6</v>
      </c>
      <c r="F805" s="92" t="s">
        <v>210</v>
      </c>
      <c r="G805" s="92" t="s">
        <v>210</v>
      </c>
      <c r="H805" s="92">
        <v>-3</v>
      </c>
      <c r="I805" s="92">
        <v>5</v>
      </c>
      <c r="J805" s="92" t="s">
        <v>210</v>
      </c>
      <c r="K805" s="92" t="s">
        <v>210</v>
      </c>
      <c r="L805" s="92">
        <v>2</v>
      </c>
      <c r="M805" s="92">
        <v>-1</v>
      </c>
      <c r="N805" s="92" t="s">
        <v>210</v>
      </c>
      <c r="O805" s="92" t="s">
        <v>210</v>
      </c>
      <c r="P805" s="89"/>
      <c r="Q805" s="89"/>
      <c r="R805" s="89"/>
      <c r="S805" s="89"/>
      <c r="T805" s="89"/>
      <c r="U805" s="89"/>
      <c r="V805" s="89"/>
      <c r="W805" s="89"/>
      <c r="X805" s="89"/>
      <c r="Y805" s="89"/>
      <c r="Z805" s="89"/>
      <c r="AA805" s="89"/>
      <c r="AB805" s="89"/>
      <c r="AC805" s="89"/>
      <c r="AD805" s="89"/>
      <c r="AE805" s="89"/>
      <c r="AF805" s="89"/>
      <c r="AG805" s="89"/>
      <c r="AH805" s="89"/>
      <c r="AI805" s="89"/>
      <c r="AJ805" s="89"/>
      <c r="AK805" s="89"/>
      <c r="AL805" s="89"/>
      <c r="AM805" s="89"/>
      <c r="AN805" s="89"/>
      <c r="AO805" s="89"/>
      <c r="AP805" s="89"/>
      <c r="AQ805" s="89"/>
      <c r="AR805" s="89"/>
      <c r="AS805" s="89"/>
      <c r="AT805" s="89"/>
      <c r="AU805" s="89"/>
      <c r="AV805" s="89"/>
      <c r="AW805" s="89"/>
      <c r="AX805" s="89"/>
      <c r="AY805" s="89"/>
      <c r="AZ805" s="89"/>
      <c r="BA805" s="95"/>
    </row>
    <row r="806" spans="1:53" s="87" customFormat="1">
      <c r="A806" s="374" t="str">
        <f t="shared" si="60"/>
        <v/>
      </c>
      <c r="B806" s="89">
        <v>21</v>
      </c>
      <c r="C806" s="89" t="s">
        <v>210</v>
      </c>
      <c r="D806" s="89">
        <v>6</v>
      </c>
      <c r="E806" s="89">
        <v>-5</v>
      </c>
      <c r="F806" s="89" t="s">
        <v>210</v>
      </c>
      <c r="G806" s="89" t="s">
        <v>210</v>
      </c>
      <c r="H806" s="89">
        <v>-4</v>
      </c>
      <c r="I806" s="89">
        <v>1</v>
      </c>
      <c r="J806" s="89" t="s">
        <v>210</v>
      </c>
      <c r="K806" s="89" t="s">
        <v>210</v>
      </c>
      <c r="L806" s="89">
        <v>-3</v>
      </c>
      <c r="M806" s="89">
        <v>2</v>
      </c>
      <c r="N806" s="89" t="s">
        <v>210</v>
      </c>
      <c r="O806" s="89" t="s">
        <v>210</v>
      </c>
      <c r="P806" s="89"/>
      <c r="Q806" s="89"/>
      <c r="R806" s="89"/>
      <c r="S806" s="89"/>
      <c r="T806" s="89"/>
      <c r="U806" s="89"/>
      <c r="V806" s="89"/>
      <c r="W806" s="89"/>
      <c r="X806" s="89"/>
      <c r="Y806" s="89"/>
      <c r="Z806" s="89"/>
      <c r="AA806" s="89"/>
      <c r="AB806" s="89"/>
      <c r="AC806" s="89"/>
      <c r="AD806" s="89"/>
      <c r="AE806" s="89"/>
      <c r="AF806" s="89"/>
      <c r="AG806" s="89"/>
      <c r="AH806" s="89"/>
      <c r="AI806" s="89"/>
      <c r="AJ806" s="89"/>
      <c r="AK806" s="89"/>
      <c r="AL806" s="89"/>
      <c r="AM806" s="89"/>
      <c r="AN806" s="89"/>
      <c r="AO806" s="89"/>
      <c r="AP806" s="89"/>
      <c r="AQ806" s="89"/>
      <c r="AR806" s="89"/>
      <c r="AS806" s="89"/>
      <c r="AT806" s="89"/>
      <c r="AU806" s="89"/>
      <c r="AV806" s="89"/>
      <c r="AW806" s="89"/>
      <c r="AX806" s="89"/>
      <c r="AY806" s="89"/>
      <c r="AZ806" s="89"/>
      <c r="BA806" s="95"/>
    </row>
    <row r="807" spans="1:53" s="87" customFormat="1">
      <c r="A807" s="374" t="str">
        <f t="shared" si="60"/>
        <v/>
      </c>
      <c r="B807" s="89">
        <v>22</v>
      </c>
      <c r="C807" s="89" t="s">
        <v>210</v>
      </c>
      <c r="D807" s="89">
        <v>-4</v>
      </c>
      <c r="E807" s="89">
        <v>3</v>
      </c>
      <c r="F807" s="89" t="s">
        <v>210</v>
      </c>
      <c r="G807" s="89" t="s">
        <v>210</v>
      </c>
      <c r="H807" s="89">
        <v>-1</v>
      </c>
      <c r="I807" s="89">
        <v>4</v>
      </c>
      <c r="J807" s="89" t="s">
        <v>210</v>
      </c>
      <c r="K807" s="89" t="s">
        <v>210</v>
      </c>
      <c r="L807" s="89">
        <v>6</v>
      </c>
      <c r="M807" s="89">
        <v>-2</v>
      </c>
      <c r="N807" s="89" t="s">
        <v>210</v>
      </c>
      <c r="O807" s="89" t="s">
        <v>210</v>
      </c>
      <c r="P807" s="89"/>
      <c r="Q807" s="89"/>
      <c r="R807" s="89"/>
      <c r="S807" s="89"/>
      <c r="T807" s="89"/>
      <c r="U807" s="89"/>
      <c r="V807" s="89"/>
      <c r="W807" s="89"/>
      <c r="X807" s="89"/>
      <c r="Y807" s="89"/>
      <c r="Z807" s="89"/>
      <c r="AA807" s="89"/>
      <c r="AB807" s="89"/>
      <c r="AC807" s="89"/>
      <c r="AD807" s="89"/>
      <c r="AE807" s="89"/>
      <c r="AF807" s="89"/>
      <c r="AG807" s="89"/>
      <c r="AH807" s="89"/>
      <c r="AI807" s="89"/>
      <c r="AJ807" s="89"/>
      <c r="AK807" s="89"/>
      <c r="AL807" s="89"/>
      <c r="AM807" s="89"/>
      <c r="AN807" s="89"/>
      <c r="AO807" s="89"/>
      <c r="AP807" s="89"/>
      <c r="AQ807" s="89"/>
      <c r="AR807" s="89"/>
      <c r="AS807" s="89"/>
      <c r="AT807" s="89"/>
      <c r="AU807" s="89"/>
      <c r="AV807" s="89"/>
      <c r="AW807" s="89"/>
      <c r="AX807" s="89"/>
      <c r="AY807" s="89"/>
      <c r="AZ807" s="89"/>
      <c r="BA807" s="95"/>
    </row>
    <row r="808" spans="1:53" s="87" customFormat="1">
      <c r="A808" s="374" t="str">
        <f t="shared" si="60"/>
        <v/>
      </c>
      <c r="B808" s="89">
        <v>23</v>
      </c>
      <c r="C808" s="89" t="s">
        <v>210</v>
      </c>
      <c r="D808" s="89">
        <v>1</v>
      </c>
      <c r="E808" s="89">
        <v>-3</v>
      </c>
      <c r="F808" s="89" t="s">
        <v>210</v>
      </c>
      <c r="G808" s="89" t="s">
        <v>210</v>
      </c>
      <c r="H808" s="89">
        <v>2</v>
      </c>
      <c r="I808" s="89">
        <v>-1</v>
      </c>
      <c r="J808" s="89" t="s">
        <v>210</v>
      </c>
      <c r="K808" s="89" t="s">
        <v>210</v>
      </c>
      <c r="L808" s="89">
        <v>4</v>
      </c>
      <c r="M808" s="89">
        <v>-5</v>
      </c>
      <c r="N808" s="89" t="s">
        <v>210</v>
      </c>
      <c r="O808" s="89" t="s">
        <v>210</v>
      </c>
      <c r="P808" s="89"/>
      <c r="Q808" s="89"/>
      <c r="R808" s="89"/>
      <c r="S808" s="89"/>
      <c r="T808" s="89"/>
      <c r="U808" s="89"/>
      <c r="V808" s="89"/>
      <c r="W808" s="89"/>
      <c r="X808" s="89"/>
      <c r="Y808" s="89"/>
      <c r="Z808" s="89"/>
      <c r="AA808" s="89"/>
      <c r="AB808" s="89"/>
      <c r="AC808" s="89"/>
      <c r="AD808" s="89"/>
      <c r="AE808" s="89"/>
      <c r="AF808" s="89"/>
      <c r="AG808" s="89"/>
      <c r="AH808" s="89"/>
      <c r="AI808" s="89"/>
      <c r="AJ808" s="89"/>
      <c r="AK808" s="89"/>
      <c r="AL808" s="89"/>
      <c r="AM808" s="89"/>
      <c r="AN808" s="89"/>
      <c r="AO808" s="89"/>
      <c r="AP808" s="89"/>
      <c r="AQ808" s="89"/>
      <c r="AR808" s="89"/>
      <c r="AS808" s="89"/>
      <c r="AT808" s="89"/>
      <c r="AU808" s="89"/>
      <c r="AV808" s="89"/>
      <c r="AW808" s="89"/>
      <c r="AX808" s="89"/>
      <c r="AY808" s="89"/>
      <c r="AZ808" s="89"/>
      <c r="BA808" s="95"/>
    </row>
    <row r="809" spans="1:53" s="87" customFormat="1">
      <c r="A809" s="374" t="str">
        <f t="shared" si="60"/>
        <v/>
      </c>
      <c r="B809" s="89">
        <v>24</v>
      </c>
      <c r="C809" s="89" t="s">
        <v>210</v>
      </c>
      <c r="D809" s="89">
        <v>-3</v>
      </c>
      <c r="E809" s="89">
        <v>-1</v>
      </c>
      <c r="F809" s="89" t="s">
        <v>210</v>
      </c>
      <c r="G809" s="89" t="s">
        <v>210</v>
      </c>
      <c r="H809" s="89">
        <v>4</v>
      </c>
      <c r="I809" s="89">
        <v>3</v>
      </c>
      <c r="J809" s="89" t="s">
        <v>210</v>
      </c>
      <c r="K809" s="89" t="s">
        <v>210</v>
      </c>
      <c r="L809" s="89">
        <v>-6</v>
      </c>
      <c r="M809" s="89">
        <v>5</v>
      </c>
      <c r="N809" s="89" t="s">
        <v>210</v>
      </c>
      <c r="O809" s="89" t="s">
        <v>210</v>
      </c>
      <c r="P809" s="89"/>
      <c r="Q809" s="89"/>
      <c r="R809" s="89"/>
      <c r="S809" s="89"/>
      <c r="T809" s="89"/>
      <c r="U809" s="89"/>
      <c r="V809" s="89"/>
      <c r="W809" s="89"/>
      <c r="X809" s="89"/>
      <c r="Y809" s="89"/>
      <c r="Z809" s="89"/>
      <c r="AA809" s="89"/>
      <c r="AB809" s="89"/>
      <c r="AC809" s="89"/>
      <c r="AD809" s="89"/>
      <c r="AE809" s="89"/>
      <c r="AF809" s="89"/>
      <c r="AG809" s="89"/>
      <c r="AH809" s="89"/>
      <c r="AI809" s="89"/>
      <c r="AJ809" s="89"/>
      <c r="AK809" s="89"/>
      <c r="AL809" s="89"/>
      <c r="AM809" s="89"/>
      <c r="AN809" s="89"/>
      <c r="AO809" s="89"/>
      <c r="AP809" s="89"/>
      <c r="AQ809" s="89"/>
      <c r="AR809" s="89"/>
      <c r="AS809" s="89"/>
      <c r="AT809" s="89"/>
      <c r="AU809" s="89"/>
      <c r="AV809" s="89"/>
      <c r="AW809" s="89"/>
      <c r="AX809" s="89"/>
      <c r="AY809" s="89"/>
      <c r="AZ809" s="89"/>
      <c r="BA809" s="95"/>
    </row>
    <row r="810" spans="1:53" s="87" customFormat="1">
      <c r="A810" s="374" t="str">
        <f t="shared" si="60"/>
        <v/>
      </c>
      <c r="B810" s="89">
        <v>25</v>
      </c>
      <c r="C810" s="89" t="s">
        <v>210</v>
      </c>
      <c r="D810" s="89">
        <v>-2</v>
      </c>
      <c r="E810" s="89">
        <v>5</v>
      </c>
      <c r="F810" s="89" t="s">
        <v>210</v>
      </c>
      <c r="G810" s="89" t="s">
        <v>210</v>
      </c>
      <c r="H810" s="89">
        <v>1</v>
      </c>
      <c r="I810" s="89">
        <v>-3</v>
      </c>
      <c r="J810" s="89" t="s">
        <v>210</v>
      </c>
      <c r="K810" s="89" t="s">
        <v>210</v>
      </c>
      <c r="L810" s="89">
        <v>-4</v>
      </c>
      <c r="M810" s="89">
        <v>6</v>
      </c>
      <c r="N810" s="89" t="s">
        <v>210</v>
      </c>
      <c r="O810" s="89" t="s">
        <v>210</v>
      </c>
      <c r="P810" s="89"/>
      <c r="Q810" s="89"/>
      <c r="R810" s="89"/>
      <c r="S810" s="89"/>
      <c r="T810" s="89"/>
      <c r="U810" s="89"/>
      <c r="V810" s="89"/>
      <c r="W810" s="89"/>
      <c r="X810" s="89"/>
      <c r="Y810" s="89"/>
      <c r="Z810" s="89"/>
      <c r="AA810" s="89"/>
      <c r="AB810" s="89"/>
      <c r="AC810" s="89"/>
      <c r="AD810" s="89"/>
      <c r="AE810" s="89"/>
      <c r="AF810" s="89"/>
      <c r="AG810" s="89"/>
      <c r="AH810" s="89"/>
      <c r="AI810" s="89"/>
      <c r="AJ810" s="89"/>
      <c r="AK810" s="89"/>
      <c r="AL810" s="89"/>
      <c r="AM810" s="89"/>
      <c r="AN810" s="89"/>
      <c r="AO810" s="89"/>
      <c r="AP810" s="89"/>
      <c r="AQ810" s="89"/>
      <c r="AR810" s="89"/>
      <c r="AS810" s="89"/>
      <c r="AT810" s="89"/>
      <c r="AU810" s="89"/>
      <c r="AV810" s="89"/>
      <c r="AW810" s="89"/>
      <c r="AX810" s="89"/>
      <c r="AY810" s="89"/>
      <c r="AZ810" s="89"/>
      <c r="BA810" s="95"/>
    </row>
    <row r="811" spans="1:53" s="87" customFormat="1">
      <c r="A811" s="374" t="str">
        <f t="shared" si="60"/>
        <v/>
      </c>
      <c r="B811" s="89">
        <v>26</v>
      </c>
      <c r="C811" s="89" t="s">
        <v>210</v>
      </c>
      <c r="D811" s="89">
        <v>5</v>
      </c>
      <c r="E811" s="89">
        <v>1</v>
      </c>
      <c r="F811" s="89" t="s">
        <v>210</v>
      </c>
      <c r="G811" s="89" t="s">
        <v>210</v>
      </c>
      <c r="H811" s="89">
        <v>-2</v>
      </c>
      <c r="I811" s="89">
        <v>-4</v>
      </c>
      <c r="J811" s="89" t="s">
        <v>210</v>
      </c>
      <c r="K811" s="89" t="s">
        <v>210</v>
      </c>
      <c r="L811" s="89">
        <v>3</v>
      </c>
      <c r="M811" s="89">
        <v>-6</v>
      </c>
      <c r="N811" s="89" t="s">
        <v>210</v>
      </c>
      <c r="O811" s="89" t="s">
        <v>210</v>
      </c>
      <c r="P811" s="89"/>
      <c r="Q811" s="89"/>
      <c r="R811" s="89"/>
      <c r="S811" s="89"/>
      <c r="T811" s="89"/>
      <c r="U811" s="89"/>
      <c r="V811" s="89"/>
      <c r="W811" s="89"/>
      <c r="X811" s="89"/>
      <c r="Y811" s="89"/>
      <c r="Z811" s="89"/>
      <c r="AA811" s="89"/>
      <c r="AB811" s="89"/>
      <c r="AC811" s="89"/>
      <c r="AD811" s="89"/>
      <c r="AE811" s="89"/>
      <c r="AF811" s="89"/>
      <c r="AG811" s="89"/>
      <c r="AH811" s="89"/>
      <c r="AI811" s="89"/>
      <c r="AJ811" s="89"/>
      <c r="AK811" s="89"/>
      <c r="AL811" s="89"/>
      <c r="AM811" s="89"/>
      <c r="AN811" s="89"/>
      <c r="AO811" s="89"/>
      <c r="AP811" s="89"/>
      <c r="AQ811" s="89"/>
      <c r="AR811" s="89"/>
      <c r="AS811" s="89"/>
      <c r="AT811" s="89"/>
      <c r="AU811" s="89"/>
      <c r="AV811" s="89"/>
      <c r="AW811" s="89"/>
      <c r="AX811" s="89"/>
      <c r="AY811" s="89"/>
      <c r="AZ811" s="89"/>
      <c r="BA811" s="95"/>
    </row>
    <row r="812" spans="1:53" s="87" customFormat="1">
      <c r="A812" s="374" t="str">
        <f t="shared" si="60"/>
        <v/>
      </c>
      <c r="B812" s="89" t="s">
        <v>393</v>
      </c>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c r="AA812" s="89"/>
      <c r="AB812" s="89"/>
      <c r="AC812" s="89"/>
      <c r="AD812" s="89"/>
      <c r="AE812" s="89"/>
      <c r="AF812" s="89"/>
      <c r="AG812" s="89"/>
      <c r="AH812" s="89"/>
      <c r="AI812" s="89"/>
      <c r="AJ812" s="89"/>
      <c r="AK812" s="89"/>
      <c r="AL812" s="89"/>
      <c r="AM812" s="89"/>
      <c r="AN812" s="89"/>
      <c r="AO812" s="89"/>
      <c r="AP812" s="89"/>
      <c r="AQ812" s="89"/>
      <c r="AR812" s="89"/>
      <c r="AS812" s="89"/>
      <c r="AT812" s="89"/>
      <c r="AU812" s="89"/>
      <c r="AV812" s="89"/>
      <c r="AW812" s="89"/>
      <c r="AX812" s="89"/>
      <c r="AY812" s="89"/>
      <c r="AZ812" s="89"/>
      <c r="BA812" s="95"/>
    </row>
    <row r="813" spans="1:53" s="87" customFormat="1">
      <c r="A813" s="374">
        <f t="shared" si="60"/>
        <v>813</v>
      </c>
      <c r="B813" s="89" t="s">
        <v>394</v>
      </c>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c r="AA813" s="89"/>
      <c r="AB813" s="89"/>
      <c r="AC813" s="89"/>
      <c r="AD813" s="89"/>
      <c r="AE813" s="89"/>
      <c r="AF813" s="89"/>
      <c r="AG813" s="89"/>
      <c r="AH813" s="89"/>
      <c r="AI813" s="89"/>
      <c r="AJ813" s="89"/>
      <c r="AK813" s="89"/>
      <c r="AL813" s="89"/>
      <c r="AM813" s="89"/>
      <c r="AN813" s="89"/>
      <c r="AO813" s="89"/>
      <c r="AP813" s="89"/>
      <c r="AQ813" s="89"/>
      <c r="AR813" s="89"/>
      <c r="AS813" s="89"/>
      <c r="AT813" s="89"/>
      <c r="AU813" s="89"/>
      <c r="AV813" s="89"/>
      <c r="AW813" s="89"/>
      <c r="AX813" s="89"/>
      <c r="AY813" s="89"/>
      <c r="AZ813" s="89"/>
      <c r="BA813" s="95"/>
    </row>
    <row r="814" spans="1:53" s="87" customFormat="1">
      <c r="A814" s="374" t="str">
        <f t="shared" si="60"/>
        <v/>
      </c>
      <c r="B814" s="89">
        <v>1</v>
      </c>
      <c r="C814" s="89" t="s">
        <v>210</v>
      </c>
      <c r="D814" s="89">
        <v>2</v>
      </c>
      <c r="E814" s="89">
        <v>6</v>
      </c>
      <c r="F814" s="89" t="s">
        <v>210</v>
      </c>
      <c r="G814" s="89" t="s">
        <v>210</v>
      </c>
      <c r="H814" s="89" t="s">
        <v>202</v>
      </c>
      <c r="I814" s="89">
        <v>-5</v>
      </c>
      <c r="J814" s="89" t="s">
        <v>210</v>
      </c>
      <c r="K814" s="89">
        <v>-3</v>
      </c>
      <c r="L814" s="89"/>
      <c r="M814" s="89"/>
      <c r="N814" s="89"/>
      <c r="O814" s="89"/>
      <c r="P814" s="89"/>
      <c r="Q814" s="89"/>
      <c r="R814" s="89"/>
      <c r="S814" s="89"/>
      <c r="T814" s="89"/>
      <c r="U814" s="89"/>
      <c r="V814" s="89"/>
      <c r="W814" s="89"/>
      <c r="X814" s="89"/>
      <c r="Y814" s="89"/>
      <c r="Z814" s="89"/>
      <c r="AA814" s="89"/>
      <c r="AB814" s="89"/>
      <c r="AC814" s="89"/>
      <c r="AD814" s="89"/>
      <c r="AE814" s="89"/>
      <c r="AF814" s="89"/>
      <c r="AG814" s="89"/>
      <c r="AH814" s="89"/>
      <c r="AI814" s="89"/>
      <c r="AJ814" s="89"/>
      <c r="AK814" s="89"/>
      <c r="AL814" s="89"/>
      <c r="AM814" s="89"/>
      <c r="AN814" s="89"/>
      <c r="AO814" s="89"/>
      <c r="AP814" s="89"/>
      <c r="AQ814" s="89"/>
      <c r="AR814" s="89"/>
      <c r="AS814" s="89"/>
      <c r="AT814" s="89"/>
      <c r="AU814" s="89"/>
      <c r="AV814" s="89"/>
      <c r="AW814" s="89"/>
      <c r="AX814" s="89"/>
      <c r="AY814" s="89"/>
      <c r="AZ814" s="89"/>
      <c r="BA814" s="95"/>
    </row>
    <row r="815" spans="1:53" s="87" customFormat="1">
      <c r="A815" s="374" t="str">
        <f t="shared" si="60"/>
        <v/>
      </c>
      <c r="B815" s="89">
        <v>2</v>
      </c>
      <c r="C815" s="89" t="s">
        <v>210</v>
      </c>
      <c r="D815" s="89">
        <v>4</v>
      </c>
      <c r="E815" s="89" t="s">
        <v>202</v>
      </c>
      <c r="F815" s="89" t="s">
        <v>210</v>
      </c>
      <c r="G815" s="89" t="s">
        <v>210</v>
      </c>
      <c r="H815" s="89">
        <v>-5</v>
      </c>
      <c r="I815" s="89">
        <v>-2</v>
      </c>
      <c r="J815" s="89" t="s">
        <v>210</v>
      </c>
      <c r="K815" s="89">
        <v>3</v>
      </c>
      <c r="L815" s="89"/>
      <c r="M815" s="89"/>
      <c r="N815" s="89"/>
      <c r="O815" s="89"/>
      <c r="P815" s="89"/>
      <c r="Q815" s="89"/>
      <c r="R815" s="89"/>
      <c r="S815" s="89"/>
      <c r="T815" s="89"/>
      <c r="U815" s="89"/>
      <c r="V815" s="89"/>
      <c r="W815" s="89"/>
      <c r="X815" s="89"/>
      <c r="Y815" s="89"/>
      <c r="Z815" s="89"/>
      <c r="AA815" s="89"/>
      <c r="AB815" s="89"/>
      <c r="AC815" s="89"/>
      <c r="AD815" s="89"/>
      <c r="AE815" s="89"/>
      <c r="AF815" s="89"/>
      <c r="AG815" s="89"/>
      <c r="AH815" s="89"/>
      <c r="AI815" s="89"/>
      <c r="AJ815" s="89"/>
      <c r="AK815" s="89"/>
      <c r="AL815" s="89"/>
      <c r="AM815" s="89"/>
      <c r="AN815" s="89"/>
      <c r="AO815" s="89"/>
      <c r="AP815" s="89"/>
      <c r="AQ815" s="89"/>
      <c r="AR815" s="89"/>
      <c r="AS815" s="89"/>
      <c r="AT815" s="89"/>
      <c r="AU815" s="89"/>
      <c r="AV815" s="89"/>
      <c r="AW815" s="89"/>
      <c r="AX815" s="89"/>
      <c r="AY815" s="89"/>
      <c r="AZ815" s="89"/>
      <c r="BA815" s="95"/>
    </row>
    <row r="816" spans="1:53" s="87" customFormat="1">
      <c r="A816" s="374" t="str">
        <f t="shared" si="60"/>
        <v/>
      </c>
      <c r="B816" s="89">
        <v>3</v>
      </c>
      <c r="C816" s="89" t="s">
        <v>210</v>
      </c>
      <c r="D816" s="89" t="s">
        <v>202</v>
      </c>
      <c r="E816" s="89">
        <v>-6</v>
      </c>
      <c r="F816" s="89" t="s">
        <v>210</v>
      </c>
      <c r="G816" s="89" t="s">
        <v>210</v>
      </c>
      <c r="H816" s="89">
        <v>3</v>
      </c>
      <c r="I816" s="89">
        <v>2</v>
      </c>
      <c r="J816" s="89" t="s">
        <v>210</v>
      </c>
      <c r="K816" s="89">
        <v>-4</v>
      </c>
      <c r="L816" s="89"/>
      <c r="M816" s="89"/>
      <c r="N816" s="89"/>
      <c r="O816" s="89"/>
      <c r="P816" s="89"/>
      <c r="Q816" s="89"/>
      <c r="R816" s="89"/>
      <c r="S816" s="89"/>
      <c r="T816" s="89"/>
      <c r="U816" s="89"/>
      <c r="V816" s="89"/>
      <c r="W816" s="89"/>
      <c r="X816" s="89"/>
      <c r="Y816" s="89"/>
      <c r="Z816" s="89"/>
      <c r="AA816" s="89"/>
      <c r="AB816" s="89"/>
      <c r="AC816" s="89"/>
      <c r="AD816" s="89"/>
      <c r="AE816" s="89"/>
      <c r="AF816" s="89"/>
      <c r="AG816" s="89"/>
      <c r="AH816" s="89"/>
      <c r="AI816" s="89"/>
      <c r="AJ816" s="89"/>
      <c r="AK816" s="89"/>
      <c r="AL816" s="89"/>
      <c r="AM816" s="89"/>
      <c r="AN816" s="89"/>
      <c r="AO816" s="89"/>
      <c r="AP816" s="89"/>
      <c r="AQ816" s="89"/>
      <c r="AR816" s="89"/>
      <c r="AS816" s="89"/>
      <c r="AT816" s="89"/>
      <c r="AU816" s="89"/>
      <c r="AV816" s="89"/>
      <c r="AW816" s="89"/>
      <c r="AX816" s="89"/>
      <c r="AY816" s="89"/>
      <c r="AZ816" s="89"/>
      <c r="BA816" s="95"/>
    </row>
    <row r="817" spans="1:53" s="87" customFormat="1">
      <c r="A817" s="374" t="str">
        <f t="shared" si="60"/>
        <v/>
      </c>
      <c r="B817" s="89">
        <v>4</v>
      </c>
      <c r="C817" s="89" t="s">
        <v>210</v>
      </c>
      <c r="D817" s="89">
        <v>-2</v>
      </c>
      <c r="E817" s="89">
        <v>-1</v>
      </c>
      <c r="F817" s="89" t="s">
        <v>210</v>
      </c>
      <c r="G817" s="89" t="s">
        <v>210</v>
      </c>
      <c r="H817" s="89">
        <v>5</v>
      </c>
      <c r="I817" s="89" t="s">
        <v>202</v>
      </c>
      <c r="J817" s="89" t="s">
        <v>210</v>
      </c>
      <c r="K817" s="89">
        <v>4</v>
      </c>
      <c r="L817" s="89"/>
      <c r="M817" s="89"/>
      <c r="N817" s="89"/>
      <c r="O817" s="89"/>
      <c r="P817" s="89"/>
      <c r="Q817" s="89"/>
      <c r="R817" s="89"/>
      <c r="S817" s="89"/>
      <c r="T817" s="89"/>
      <c r="U817" s="89"/>
      <c r="V817" s="89"/>
      <c r="W817" s="89"/>
      <c r="X817" s="89"/>
      <c r="Y817" s="89"/>
      <c r="Z817" s="89"/>
      <c r="AA817" s="89"/>
      <c r="AB817" s="89"/>
      <c r="AC817" s="89"/>
      <c r="AD817" s="89"/>
      <c r="AE817" s="89"/>
      <c r="AF817" s="89"/>
      <c r="AG817" s="89"/>
      <c r="AH817" s="89"/>
      <c r="AI817" s="89"/>
      <c r="AJ817" s="89"/>
      <c r="AK817" s="89"/>
      <c r="AL817" s="89"/>
      <c r="AM817" s="89"/>
      <c r="AN817" s="89"/>
      <c r="AO817" s="89"/>
      <c r="AP817" s="89"/>
      <c r="AQ817" s="89"/>
      <c r="AR817" s="89"/>
      <c r="AS817" s="89"/>
      <c r="AT817" s="89"/>
      <c r="AU817" s="89"/>
      <c r="AV817" s="89"/>
      <c r="AW817" s="89"/>
      <c r="AX817" s="89"/>
      <c r="AY817" s="89"/>
      <c r="AZ817" s="89"/>
      <c r="BA817" s="95"/>
    </row>
    <row r="818" spans="1:53" s="87" customFormat="1">
      <c r="A818" s="374" t="str">
        <f t="shared" si="60"/>
        <v/>
      </c>
      <c r="B818" s="99">
        <v>5</v>
      </c>
      <c r="C818" s="92" t="s">
        <v>210</v>
      </c>
      <c r="D818" s="92">
        <v>-4</v>
      </c>
      <c r="E818" s="92">
        <v>1</v>
      </c>
      <c r="F818" s="92" t="s">
        <v>210</v>
      </c>
      <c r="G818" s="92" t="s">
        <v>210</v>
      </c>
      <c r="H818" s="92">
        <v>-3</v>
      </c>
      <c r="I818" s="92">
        <v>5</v>
      </c>
      <c r="J818" s="92" t="s">
        <v>210</v>
      </c>
      <c r="K818" s="92" t="s">
        <v>202</v>
      </c>
      <c r="L818" s="89"/>
      <c r="M818" s="89"/>
      <c r="N818" s="89"/>
      <c r="O818" s="89"/>
      <c r="P818" s="89"/>
      <c r="Q818" s="89"/>
      <c r="R818" s="89"/>
      <c r="S818" s="89"/>
      <c r="T818" s="89"/>
      <c r="U818" s="89"/>
      <c r="V818" s="89"/>
      <c r="W818" s="89"/>
      <c r="X818" s="89"/>
      <c r="Y818" s="89"/>
      <c r="Z818" s="89"/>
      <c r="AA818" s="89"/>
      <c r="AB818" s="89"/>
      <c r="AC818" s="89"/>
      <c r="AD818" s="89"/>
      <c r="AE818" s="89"/>
      <c r="AF818" s="89"/>
      <c r="AG818" s="89"/>
      <c r="AH818" s="89"/>
      <c r="AI818" s="89"/>
      <c r="AJ818" s="89"/>
      <c r="AK818" s="89"/>
      <c r="AL818" s="89"/>
      <c r="AM818" s="89"/>
      <c r="AN818" s="89"/>
      <c r="AO818" s="89"/>
      <c r="AP818" s="89"/>
      <c r="AQ818" s="89"/>
      <c r="AR818" s="89"/>
      <c r="AS818" s="89"/>
      <c r="AT818" s="89"/>
      <c r="AU818" s="89"/>
      <c r="AV818" s="89"/>
      <c r="AW818" s="89"/>
      <c r="AX818" s="89"/>
      <c r="AY818" s="89"/>
      <c r="AZ818" s="89"/>
      <c r="BA818" s="95"/>
    </row>
    <row r="819" spans="1:53" s="87" customFormat="1">
      <c r="A819" s="374" t="str">
        <f t="shared" si="60"/>
        <v/>
      </c>
      <c r="B819" s="89">
        <v>6</v>
      </c>
      <c r="C819" s="89" t="s">
        <v>210</v>
      </c>
      <c r="D819" s="89">
        <v>3</v>
      </c>
      <c r="E819" s="89">
        <v>4</v>
      </c>
      <c r="F819" s="89" t="s">
        <v>210</v>
      </c>
      <c r="G819" s="89" t="s">
        <v>210</v>
      </c>
      <c r="H819" s="89" t="s">
        <v>202</v>
      </c>
      <c r="I819" s="89">
        <v>-6</v>
      </c>
      <c r="J819" s="89" t="s">
        <v>210</v>
      </c>
      <c r="K819" s="89">
        <v>-2</v>
      </c>
      <c r="L819" s="89"/>
      <c r="M819" s="89"/>
      <c r="N819" s="89"/>
      <c r="O819" s="89"/>
      <c r="P819" s="89"/>
      <c r="Q819" s="89"/>
      <c r="R819" s="89"/>
      <c r="S819" s="89"/>
      <c r="T819" s="89"/>
      <c r="U819" s="89"/>
      <c r="V819" s="89"/>
      <c r="W819" s="89"/>
      <c r="X819" s="89"/>
      <c r="Y819" s="89"/>
      <c r="Z819" s="89"/>
      <c r="AA819" s="89"/>
      <c r="AB819" s="89"/>
      <c r="AC819" s="89"/>
      <c r="AD819" s="89"/>
      <c r="AE819" s="89"/>
      <c r="AF819" s="89"/>
      <c r="AG819" s="89"/>
      <c r="AH819" s="89"/>
      <c r="AI819" s="89"/>
      <c r="AJ819" s="89"/>
      <c r="AK819" s="89"/>
      <c r="AL819" s="89"/>
      <c r="AM819" s="89"/>
      <c r="AN819" s="89"/>
      <c r="AO819" s="89"/>
      <c r="AP819" s="89"/>
      <c r="AQ819" s="89"/>
      <c r="AR819" s="89"/>
      <c r="AS819" s="89"/>
      <c r="AT819" s="89"/>
      <c r="AU819" s="89"/>
      <c r="AV819" s="89"/>
      <c r="AW819" s="89"/>
      <c r="AX819" s="89"/>
      <c r="AY819" s="89"/>
      <c r="AZ819" s="89"/>
      <c r="BA819" s="95"/>
    </row>
    <row r="820" spans="1:53" s="87" customFormat="1">
      <c r="A820" s="374" t="str">
        <f t="shared" si="60"/>
        <v/>
      </c>
      <c r="B820" s="89">
        <v>7</v>
      </c>
      <c r="C820" s="89" t="s">
        <v>210</v>
      </c>
      <c r="D820" s="89">
        <v>5</v>
      </c>
      <c r="E820" s="89" t="s">
        <v>202</v>
      </c>
      <c r="F820" s="89" t="s">
        <v>210</v>
      </c>
      <c r="G820" s="89" t="s">
        <v>210</v>
      </c>
      <c r="H820" s="89">
        <v>-4</v>
      </c>
      <c r="I820" s="89">
        <v>-3</v>
      </c>
      <c r="J820" s="89" t="s">
        <v>210</v>
      </c>
      <c r="K820" s="89">
        <v>2</v>
      </c>
      <c r="L820" s="89"/>
      <c r="M820" s="89"/>
      <c r="N820" s="89"/>
      <c r="O820" s="89"/>
      <c r="P820" s="89"/>
      <c r="Q820" s="89"/>
      <c r="R820" s="89"/>
      <c r="S820" s="89"/>
      <c r="T820" s="89"/>
      <c r="U820" s="89"/>
      <c r="V820" s="89"/>
      <c r="W820" s="89"/>
      <c r="X820" s="89"/>
      <c r="Y820" s="89"/>
      <c r="Z820" s="89"/>
      <c r="AA820" s="89"/>
      <c r="AB820" s="89"/>
      <c r="AC820" s="89"/>
      <c r="AD820" s="89"/>
      <c r="AE820" s="89"/>
      <c r="AF820" s="89"/>
      <c r="AG820" s="89"/>
      <c r="AH820" s="89"/>
      <c r="AI820" s="89"/>
      <c r="AJ820" s="89"/>
      <c r="AK820" s="89"/>
      <c r="AL820" s="89"/>
      <c r="AM820" s="89"/>
      <c r="AN820" s="89"/>
      <c r="AO820" s="89"/>
      <c r="AP820" s="89"/>
      <c r="AQ820" s="89"/>
      <c r="AR820" s="89"/>
      <c r="AS820" s="89"/>
      <c r="AT820" s="89"/>
      <c r="AU820" s="89"/>
      <c r="AV820" s="89"/>
      <c r="AW820" s="89"/>
      <c r="AX820" s="89"/>
      <c r="AY820" s="89"/>
      <c r="AZ820" s="89"/>
      <c r="BA820" s="95"/>
    </row>
    <row r="821" spans="1:53" s="87" customFormat="1">
      <c r="A821" s="374" t="str">
        <f t="shared" si="60"/>
        <v/>
      </c>
      <c r="B821" s="89">
        <v>8</v>
      </c>
      <c r="C821" s="89" t="s">
        <v>210</v>
      </c>
      <c r="D821" s="89" t="s">
        <v>202</v>
      </c>
      <c r="E821" s="89">
        <v>-4</v>
      </c>
      <c r="F821" s="89" t="s">
        <v>210</v>
      </c>
      <c r="G821" s="89" t="s">
        <v>210</v>
      </c>
      <c r="H821" s="89">
        <v>1</v>
      </c>
      <c r="I821" s="89">
        <v>3</v>
      </c>
      <c r="J821" s="89" t="s">
        <v>210</v>
      </c>
      <c r="K821" s="89">
        <v>-5</v>
      </c>
      <c r="L821" s="89"/>
      <c r="M821" s="89"/>
      <c r="N821" s="89"/>
      <c r="O821" s="89"/>
      <c r="P821" s="89"/>
      <c r="Q821" s="89"/>
      <c r="R821" s="89"/>
      <c r="S821" s="89"/>
      <c r="T821" s="89"/>
      <c r="U821" s="89"/>
      <c r="V821" s="89"/>
      <c r="W821" s="89"/>
      <c r="X821" s="89"/>
      <c r="Y821" s="89"/>
      <c r="Z821" s="89"/>
      <c r="AA821" s="89"/>
      <c r="AB821" s="89"/>
      <c r="AC821" s="89"/>
      <c r="AD821" s="89"/>
      <c r="AE821" s="89"/>
      <c r="AF821" s="89"/>
      <c r="AG821" s="89"/>
      <c r="AH821" s="89"/>
      <c r="AI821" s="89"/>
      <c r="AJ821" s="89"/>
      <c r="AK821" s="89"/>
      <c r="AL821" s="89"/>
      <c r="AM821" s="89"/>
      <c r="AN821" s="89"/>
      <c r="AO821" s="89"/>
      <c r="AP821" s="89"/>
      <c r="AQ821" s="89"/>
      <c r="AR821" s="89"/>
      <c r="AS821" s="89"/>
      <c r="AT821" s="89"/>
      <c r="AU821" s="89"/>
      <c r="AV821" s="89"/>
      <c r="AW821" s="89"/>
      <c r="AX821" s="89"/>
      <c r="AY821" s="89"/>
      <c r="AZ821" s="89"/>
      <c r="BA821" s="95"/>
    </row>
    <row r="822" spans="1:53" s="87" customFormat="1">
      <c r="A822" s="374" t="str">
        <f t="shared" si="60"/>
        <v/>
      </c>
      <c r="B822" s="89">
        <v>9</v>
      </c>
      <c r="C822" s="89" t="s">
        <v>210</v>
      </c>
      <c r="D822" s="89">
        <v>-3</v>
      </c>
      <c r="E822" s="89">
        <v>-2</v>
      </c>
      <c r="F822" s="89" t="s">
        <v>210</v>
      </c>
      <c r="G822" s="89" t="s">
        <v>210</v>
      </c>
      <c r="H822" s="89">
        <v>4</v>
      </c>
      <c r="I822" s="89" t="s">
        <v>202</v>
      </c>
      <c r="J822" s="89" t="s">
        <v>210</v>
      </c>
      <c r="K822" s="89">
        <v>5</v>
      </c>
      <c r="L822" s="89"/>
      <c r="M822" s="89"/>
      <c r="N822" s="89"/>
      <c r="O822" s="89"/>
      <c r="P822" s="89"/>
      <c r="Q822" s="89"/>
      <c r="R822" s="89"/>
      <c r="S822" s="89"/>
      <c r="T822" s="89"/>
      <c r="U822" s="89"/>
      <c r="V822" s="89"/>
      <c r="W822" s="89"/>
      <c r="X822" s="89"/>
      <c r="Y822" s="89"/>
      <c r="Z822" s="89"/>
      <c r="AA822" s="89"/>
      <c r="AB822" s="89"/>
      <c r="AC822" s="89"/>
      <c r="AD822" s="89"/>
      <c r="AE822" s="89"/>
      <c r="AF822" s="89"/>
      <c r="AG822" s="89"/>
      <c r="AH822" s="89"/>
      <c r="AI822" s="89"/>
      <c r="AJ822" s="89"/>
      <c r="AK822" s="89"/>
      <c r="AL822" s="89"/>
      <c r="AM822" s="89"/>
      <c r="AN822" s="89"/>
      <c r="AO822" s="89"/>
      <c r="AP822" s="89"/>
      <c r="AQ822" s="89"/>
      <c r="AR822" s="89"/>
      <c r="AS822" s="89"/>
      <c r="AT822" s="89"/>
      <c r="AU822" s="89"/>
      <c r="AV822" s="89"/>
      <c r="AW822" s="89"/>
      <c r="AX822" s="89"/>
      <c r="AY822" s="89"/>
      <c r="AZ822" s="89"/>
      <c r="BA822" s="95"/>
    </row>
    <row r="823" spans="1:53" s="87" customFormat="1">
      <c r="A823" s="374" t="str">
        <f t="shared" si="60"/>
        <v/>
      </c>
      <c r="B823" s="99">
        <v>10</v>
      </c>
      <c r="C823" s="92" t="s">
        <v>210</v>
      </c>
      <c r="D823" s="92">
        <v>-5</v>
      </c>
      <c r="E823" s="92">
        <v>2</v>
      </c>
      <c r="F823" s="92" t="s">
        <v>210</v>
      </c>
      <c r="G823" s="92" t="s">
        <v>210</v>
      </c>
      <c r="H823" s="92">
        <v>-1</v>
      </c>
      <c r="I823" s="92">
        <v>6</v>
      </c>
      <c r="J823" s="92" t="s">
        <v>210</v>
      </c>
      <c r="K823" s="92" t="s">
        <v>202</v>
      </c>
      <c r="L823" s="89"/>
      <c r="M823" s="89"/>
      <c r="N823" s="89"/>
      <c r="O823" s="89"/>
      <c r="P823" s="89"/>
      <c r="Q823" s="89"/>
      <c r="R823" s="89"/>
      <c r="S823" s="89"/>
      <c r="T823" s="89"/>
      <c r="U823" s="89"/>
      <c r="V823" s="89"/>
      <c r="W823" s="89"/>
      <c r="X823" s="89"/>
      <c r="Y823" s="89"/>
      <c r="Z823" s="89"/>
      <c r="AA823" s="89"/>
      <c r="AB823" s="89"/>
      <c r="AC823" s="89"/>
      <c r="AD823" s="89"/>
      <c r="AE823" s="89"/>
      <c r="AF823" s="89"/>
      <c r="AG823" s="89"/>
      <c r="AH823" s="89"/>
      <c r="AI823" s="89"/>
      <c r="AJ823" s="89"/>
      <c r="AK823" s="89"/>
      <c r="AL823" s="89"/>
      <c r="AM823" s="89"/>
      <c r="AN823" s="89"/>
      <c r="AO823" s="89"/>
      <c r="AP823" s="89"/>
      <c r="AQ823" s="89"/>
      <c r="AR823" s="89"/>
      <c r="AS823" s="89"/>
      <c r="AT823" s="89"/>
      <c r="AU823" s="89"/>
      <c r="AV823" s="89"/>
      <c r="AW823" s="89"/>
      <c r="AX823" s="89"/>
      <c r="AY823" s="89"/>
      <c r="AZ823" s="89"/>
      <c r="BA823" s="95"/>
    </row>
    <row r="824" spans="1:53" s="87" customFormat="1">
      <c r="A824" s="374" t="str">
        <f t="shared" si="60"/>
        <v/>
      </c>
      <c r="B824" s="89">
        <v>11</v>
      </c>
      <c r="C824" s="89">
        <v>-6</v>
      </c>
      <c r="D824" s="89" t="s">
        <v>210</v>
      </c>
      <c r="E824" s="89">
        <v>-5</v>
      </c>
      <c r="F824" s="89" t="s">
        <v>210</v>
      </c>
      <c r="G824" s="89" t="s">
        <v>210</v>
      </c>
      <c r="H824" s="89">
        <v>2</v>
      </c>
      <c r="I824" s="89">
        <v>1</v>
      </c>
      <c r="J824" s="89" t="s">
        <v>210</v>
      </c>
      <c r="K824" s="89" t="s">
        <v>202</v>
      </c>
      <c r="L824" s="89"/>
      <c r="M824" s="89"/>
      <c r="N824" s="89"/>
      <c r="O824" s="89"/>
      <c r="P824" s="89"/>
      <c r="Q824" s="89"/>
      <c r="R824" s="89"/>
      <c r="S824" s="89"/>
      <c r="T824" s="89"/>
      <c r="U824" s="89"/>
      <c r="V824" s="89"/>
      <c r="W824" s="89"/>
      <c r="X824" s="89"/>
      <c r="Y824" s="89"/>
      <c r="Z824" s="89"/>
      <c r="AA824" s="89"/>
      <c r="AB824" s="89"/>
      <c r="AC824" s="89"/>
      <c r="AD824" s="89"/>
      <c r="AE824" s="89"/>
      <c r="AF824" s="89"/>
      <c r="AG824" s="89"/>
      <c r="AH824" s="89"/>
      <c r="AI824" s="89"/>
      <c r="AJ824" s="89"/>
      <c r="AK824" s="89"/>
      <c r="AL824" s="89"/>
      <c r="AM824" s="89"/>
      <c r="AN824" s="89"/>
      <c r="AO824" s="89"/>
      <c r="AP824" s="89"/>
      <c r="AQ824" s="89"/>
      <c r="AR824" s="89"/>
      <c r="AS824" s="89"/>
      <c r="AT824" s="89"/>
      <c r="AU824" s="89"/>
      <c r="AV824" s="89"/>
      <c r="AW824" s="89"/>
      <c r="AX824" s="89"/>
      <c r="AY824" s="89"/>
      <c r="AZ824" s="89"/>
      <c r="BA824" s="95"/>
    </row>
    <row r="825" spans="1:53" s="87" customFormat="1">
      <c r="A825" s="374" t="str">
        <f t="shared" si="60"/>
        <v/>
      </c>
      <c r="B825" s="89">
        <v>12</v>
      </c>
      <c r="C825" s="89">
        <v>5</v>
      </c>
      <c r="D825" s="89" t="s">
        <v>210</v>
      </c>
      <c r="E825" s="89">
        <v>3</v>
      </c>
      <c r="F825" s="89" t="s">
        <v>210</v>
      </c>
      <c r="G825" s="89" t="s">
        <v>210</v>
      </c>
      <c r="H825" s="89">
        <v>-6</v>
      </c>
      <c r="I825" s="89">
        <v>-1</v>
      </c>
      <c r="J825" s="89" t="s">
        <v>210</v>
      </c>
      <c r="K825" s="89" t="s">
        <v>202</v>
      </c>
      <c r="L825" s="89"/>
      <c r="M825" s="89"/>
      <c r="N825" s="89"/>
      <c r="O825" s="89"/>
      <c r="P825" s="89"/>
      <c r="Q825" s="89"/>
      <c r="R825" s="89"/>
      <c r="S825" s="89"/>
      <c r="T825" s="89"/>
      <c r="U825" s="89"/>
      <c r="V825" s="89"/>
      <c r="W825" s="89"/>
      <c r="X825" s="89"/>
      <c r="Y825" s="89"/>
      <c r="Z825" s="89"/>
      <c r="AA825" s="89"/>
      <c r="AB825" s="89"/>
      <c r="AC825" s="89"/>
      <c r="AD825" s="89"/>
      <c r="AE825" s="89"/>
      <c r="AF825" s="89"/>
      <c r="AG825" s="89"/>
      <c r="AH825" s="89"/>
      <c r="AI825" s="89"/>
      <c r="AJ825" s="89"/>
      <c r="AK825" s="89"/>
      <c r="AL825" s="89"/>
      <c r="AM825" s="89"/>
      <c r="AN825" s="89"/>
      <c r="AO825" s="89"/>
      <c r="AP825" s="89"/>
      <c r="AQ825" s="89"/>
      <c r="AR825" s="89"/>
      <c r="AS825" s="89"/>
      <c r="AT825" s="89"/>
      <c r="AU825" s="89"/>
      <c r="AV825" s="89"/>
      <c r="AW825" s="89"/>
      <c r="AX825" s="89"/>
      <c r="AY825" s="89"/>
      <c r="AZ825" s="89"/>
      <c r="BA825" s="95"/>
    </row>
    <row r="826" spans="1:53" s="87" customFormat="1">
      <c r="A826" s="374" t="str">
        <f t="shared" si="60"/>
        <v/>
      </c>
      <c r="B826" s="89">
        <v>13</v>
      </c>
      <c r="C826" s="89">
        <v>1</v>
      </c>
      <c r="D826" s="89" t="s">
        <v>210</v>
      </c>
      <c r="E826" s="89">
        <v>-3</v>
      </c>
      <c r="F826" s="89" t="s">
        <v>210</v>
      </c>
      <c r="G826" s="89" t="s">
        <v>210</v>
      </c>
      <c r="H826" s="89">
        <v>-2</v>
      </c>
      <c r="I826" s="89">
        <v>4</v>
      </c>
      <c r="J826" s="89" t="s">
        <v>210</v>
      </c>
      <c r="K826" s="89" t="s">
        <v>202</v>
      </c>
      <c r="L826" s="89"/>
      <c r="M826" s="89"/>
      <c r="N826" s="89"/>
      <c r="O826" s="89"/>
      <c r="P826" s="89"/>
      <c r="Q826" s="89"/>
      <c r="R826" s="89"/>
      <c r="S826" s="89"/>
      <c r="T826" s="89"/>
      <c r="U826" s="89"/>
      <c r="V826" s="89"/>
      <c r="W826" s="89"/>
      <c r="X826" s="89"/>
      <c r="Y826" s="89"/>
      <c r="Z826" s="89"/>
      <c r="AA826" s="89"/>
      <c r="AB826" s="89"/>
      <c r="AC826" s="89"/>
      <c r="AD826" s="89"/>
      <c r="AE826" s="89"/>
      <c r="AF826" s="89"/>
      <c r="AG826" s="89"/>
      <c r="AH826" s="89"/>
      <c r="AI826" s="89"/>
      <c r="AJ826" s="89"/>
      <c r="AK826" s="89"/>
      <c r="AL826" s="89"/>
      <c r="AM826" s="89"/>
      <c r="AN826" s="89"/>
      <c r="AO826" s="89"/>
      <c r="AP826" s="89"/>
      <c r="AQ826" s="89"/>
      <c r="AR826" s="89"/>
      <c r="AS826" s="89"/>
      <c r="AT826" s="89"/>
      <c r="AU826" s="89"/>
      <c r="AV826" s="89"/>
      <c r="AW826" s="89"/>
      <c r="AX826" s="89"/>
      <c r="AY826" s="89"/>
      <c r="AZ826" s="89"/>
      <c r="BA826" s="95"/>
    </row>
    <row r="827" spans="1:53" s="87" customFormat="1">
      <c r="A827" s="374" t="str">
        <f t="shared" si="60"/>
        <v/>
      </c>
      <c r="B827" s="99">
        <v>14</v>
      </c>
      <c r="C827" s="92">
        <v>-2</v>
      </c>
      <c r="D827" s="92" t="s">
        <v>210</v>
      </c>
      <c r="E827" s="92">
        <v>5</v>
      </c>
      <c r="F827" s="92" t="s">
        <v>210</v>
      </c>
      <c r="G827" s="92" t="s">
        <v>210</v>
      </c>
      <c r="H827" s="92">
        <v>6</v>
      </c>
      <c r="I827" s="92">
        <v>-4</v>
      </c>
      <c r="J827" s="92" t="s">
        <v>210</v>
      </c>
      <c r="K827" s="92" t="s">
        <v>202</v>
      </c>
      <c r="L827" s="89"/>
      <c r="M827" s="89"/>
      <c r="N827" s="89"/>
      <c r="O827" s="89"/>
      <c r="P827" s="89"/>
      <c r="Q827" s="89"/>
      <c r="R827" s="89"/>
      <c r="S827" s="89"/>
      <c r="T827" s="89"/>
      <c r="U827" s="89"/>
      <c r="V827" s="89"/>
      <c r="W827" s="89"/>
      <c r="X827" s="89"/>
      <c r="Y827" s="89"/>
      <c r="Z827" s="89"/>
      <c r="AA827" s="89"/>
      <c r="AB827" s="89"/>
      <c r="AC827" s="89"/>
      <c r="AD827" s="89"/>
      <c r="AE827" s="89"/>
      <c r="AF827" s="89"/>
      <c r="AG827" s="89"/>
      <c r="AH827" s="89"/>
      <c r="AI827" s="89"/>
      <c r="AJ827" s="89"/>
      <c r="AK827" s="89"/>
      <c r="AL827" s="89"/>
      <c r="AM827" s="89"/>
      <c r="AN827" s="89"/>
      <c r="AO827" s="89"/>
      <c r="AP827" s="89"/>
      <c r="AQ827" s="89"/>
      <c r="AR827" s="89"/>
      <c r="AS827" s="89"/>
      <c r="AT827" s="89"/>
      <c r="AU827" s="89"/>
      <c r="AV827" s="89"/>
      <c r="AW827" s="89"/>
      <c r="AX827" s="89"/>
      <c r="AY827" s="89"/>
      <c r="AZ827" s="89"/>
      <c r="BA827" s="95"/>
    </row>
    <row r="828" spans="1:53" s="87" customFormat="1">
      <c r="A828" s="374" t="str">
        <f t="shared" si="60"/>
        <v/>
      </c>
      <c r="B828" s="89">
        <v>15</v>
      </c>
      <c r="C828" s="89">
        <v>6</v>
      </c>
      <c r="D828" s="89" t="s">
        <v>210</v>
      </c>
      <c r="E828" s="89" t="s">
        <v>210</v>
      </c>
      <c r="F828" s="89">
        <v>1</v>
      </c>
      <c r="G828" s="89">
        <v>-3</v>
      </c>
      <c r="H828" s="89" t="s">
        <v>210</v>
      </c>
      <c r="I828" s="89" t="s">
        <v>210</v>
      </c>
      <c r="J828" s="89">
        <v>-2</v>
      </c>
      <c r="K828" s="89" t="s">
        <v>202</v>
      </c>
      <c r="L828" s="89"/>
      <c r="M828" s="89"/>
      <c r="N828" s="89"/>
      <c r="O828" s="89"/>
      <c r="P828" s="89"/>
      <c r="Q828" s="89"/>
      <c r="R828" s="89"/>
      <c r="S828" s="89"/>
      <c r="T828" s="89"/>
      <c r="U828" s="89"/>
      <c r="V828" s="89"/>
      <c r="W828" s="89"/>
      <c r="X828" s="89"/>
      <c r="Y828" s="89"/>
      <c r="Z828" s="89"/>
      <c r="AA828" s="89"/>
      <c r="AB828" s="89"/>
      <c r="AC828" s="89"/>
      <c r="AD828" s="89"/>
      <c r="AE828" s="89"/>
      <c r="AF828" s="89"/>
      <c r="AG828" s="89"/>
      <c r="AH828" s="89"/>
      <c r="AI828" s="89"/>
      <c r="AJ828" s="89"/>
      <c r="AK828" s="89"/>
      <c r="AL828" s="89"/>
      <c r="AM828" s="89"/>
      <c r="AN828" s="89"/>
      <c r="AO828" s="89"/>
      <c r="AP828" s="89"/>
      <c r="AQ828" s="89"/>
      <c r="AR828" s="89"/>
      <c r="AS828" s="89"/>
      <c r="AT828" s="89"/>
      <c r="AU828" s="89"/>
      <c r="AV828" s="89"/>
      <c r="AW828" s="89"/>
      <c r="AX828" s="89"/>
      <c r="AY828" s="89"/>
      <c r="AZ828" s="89"/>
      <c r="BA828" s="95"/>
    </row>
    <row r="829" spans="1:53" s="87" customFormat="1">
      <c r="A829" s="374" t="str">
        <f t="shared" si="60"/>
        <v/>
      </c>
      <c r="B829" s="89">
        <v>16</v>
      </c>
      <c r="C829" s="89">
        <v>-5</v>
      </c>
      <c r="D829" s="89" t="s">
        <v>210</v>
      </c>
      <c r="E829" s="89" t="s">
        <v>210</v>
      </c>
      <c r="F829" s="89">
        <v>-4</v>
      </c>
      <c r="G829" s="89">
        <v>6</v>
      </c>
      <c r="H829" s="89" t="s">
        <v>210</v>
      </c>
      <c r="I829" s="89" t="s">
        <v>210</v>
      </c>
      <c r="J829" s="89">
        <v>2</v>
      </c>
      <c r="K829" s="89" t="s">
        <v>202</v>
      </c>
      <c r="L829" s="89"/>
      <c r="M829" s="89"/>
      <c r="N829" s="89"/>
      <c r="O829" s="89"/>
      <c r="P829" s="89"/>
      <c r="Q829" s="89"/>
      <c r="R829" s="89"/>
      <c r="S829" s="89"/>
      <c r="T829" s="89"/>
      <c r="U829" s="89"/>
      <c r="V829" s="89"/>
      <c r="W829" s="89"/>
      <c r="X829" s="89"/>
      <c r="Y829" s="89"/>
      <c r="Z829" s="89"/>
      <c r="AA829" s="89"/>
      <c r="AB829" s="89"/>
      <c r="AC829" s="89"/>
      <c r="AD829" s="89"/>
      <c r="AE829" s="89"/>
      <c r="AF829" s="89"/>
      <c r="AG829" s="89"/>
      <c r="AH829" s="89"/>
      <c r="AI829" s="89"/>
      <c r="AJ829" s="89"/>
      <c r="AK829" s="89"/>
      <c r="AL829" s="89"/>
      <c r="AM829" s="89"/>
      <c r="AN829" s="89"/>
      <c r="AO829" s="89"/>
      <c r="AP829" s="89"/>
      <c r="AQ829" s="89"/>
      <c r="AR829" s="89"/>
      <c r="AS829" s="89"/>
      <c r="AT829" s="89"/>
      <c r="AU829" s="89"/>
      <c r="AV829" s="89"/>
      <c r="AW829" s="89"/>
      <c r="AX829" s="89"/>
      <c r="AY829" s="89"/>
      <c r="AZ829" s="89"/>
      <c r="BA829" s="95"/>
    </row>
    <row r="830" spans="1:53" s="87" customFormat="1">
      <c r="A830" s="374" t="str">
        <f t="shared" si="60"/>
        <v/>
      </c>
      <c r="B830" s="89">
        <v>17</v>
      </c>
      <c r="C830" s="89">
        <v>-1</v>
      </c>
      <c r="D830" s="89" t="s">
        <v>210</v>
      </c>
      <c r="E830" s="89" t="s">
        <v>210</v>
      </c>
      <c r="F830" s="89">
        <v>4</v>
      </c>
      <c r="G830" s="89">
        <v>3</v>
      </c>
      <c r="H830" s="89" t="s">
        <v>210</v>
      </c>
      <c r="I830" s="89" t="s">
        <v>210</v>
      </c>
      <c r="J830" s="89">
        <v>-5</v>
      </c>
      <c r="K830" s="89" t="s">
        <v>202</v>
      </c>
      <c r="L830" s="89"/>
      <c r="M830" s="89"/>
      <c r="N830" s="89"/>
      <c r="O830" s="89"/>
      <c r="P830" s="89"/>
      <c r="Q830" s="89"/>
      <c r="R830" s="89"/>
      <c r="S830" s="89"/>
      <c r="T830" s="89"/>
      <c r="U830" s="89"/>
      <c r="V830" s="89"/>
      <c r="W830" s="89"/>
      <c r="X830" s="89"/>
      <c r="Y830" s="89"/>
      <c r="Z830" s="89"/>
      <c r="AA830" s="89"/>
      <c r="AB830" s="89"/>
      <c r="AC830" s="89"/>
      <c r="AD830" s="89"/>
      <c r="AE830" s="89"/>
      <c r="AF830" s="89"/>
      <c r="AG830" s="89"/>
      <c r="AH830" s="89"/>
      <c r="AI830" s="89"/>
      <c r="AJ830" s="89"/>
      <c r="AK830" s="89"/>
      <c r="AL830" s="89"/>
      <c r="AM830" s="89"/>
      <c r="AN830" s="89"/>
      <c r="AO830" s="89"/>
      <c r="AP830" s="89"/>
      <c r="AQ830" s="89"/>
      <c r="AR830" s="89"/>
      <c r="AS830" s="89"/>
      <c r="AT830" s="89"/>
      <c r="AU830" s="89"/>
      <c r="AV830" s="89"/>
      <c r="AW830" s="89"/>
      <c r="AX830" s="89"/>
      <c r="AY830" s="89"/>
      <c r="AZ830" s="89"/>
      <c r="BA830" s="95"/>
    </row>
    <row r="831" spans="1:53" s="87" customFormat="1">
      <c r="A831" s="374" t="str">
        <f t="shared" si="60"/>
        <v/>
      </c>
      <c r="B831" s="99">
        <v>18</v>
      </c>
      <c r="C831" s="92">
        <v>2</v>
      </c>
      <c r="D831" s="92" t="s">
        <v>210</v>
      </c>
      <c r="E831" s="92" t="s">
        <v>210</v>
      </c>
      <c r="F831" s="92">
        <v>-1</v>
      </c>
      <c r="G831" s="92">
        <v>-6</v>
      </c>
      <c r="H831" s="92" t="s">
        <v>210</v>
      </c>
      <c r="I831" s="92" t="s">
        <v>210</v>
      </c>
      <c r="J831" s="92">
        <v>5</v>
      </c>
      <c r="K831" s="92" t="s">
        <v>202</v>
      </c>
      <c r="L831" s="89"/>
      <c r="M831" s="89"/>
      <c r="N831" s="89"/>
      <c r="O831" s="89"/>
      <c r="P831" s="89"/>
      <c r="Q831" s="89"/>
      <c r="R831" s="89"/>
      <c r="S831" s="89"/>
      <c r="T831" s="89"/>
      <c r="U831" s="89"/>
      <c r="V831" s="89"/>
      <c r="W831" s="89"/>
      <c r="X831" s="89"/>
      <c r="Y831" s="89"/>
      <c r="Z831" s="89"/>
      <c r="AA831" s="89"/>
      <c r="AB831" s="89"/>
      <c r="AC831" s="89"/>
      <c r="AD831" s="89"/>
      <c r="AE831" s="89"/>
      <c r="AF831" s="89"/>
      <c r="AG831" s="89"/>
      <c r="AH831" s="89"/>
      <c r="AI831" s="89"/>
      <c r="AJ831" s="89"/>
      <c r="AK831" s="89"/>
      <c r="AL831" s="89"/>
      <c r="AM831" s="89"/>
      <c r="AN831" s="89"/>
      <c r="AO831" s="89"/>
      <c r="AP831" s="89"/>
      <c r="AQ831" s="89"/>
      <c r="AR831" s="89"/>
      <c r="AS831" s="89"/>
      <c r="AT831" s="89"/>
      <c r="AU831" s="89"/>
      <c r="AV831" s="89"/>
      <c r="AW831" s="89"/>
      <c r="AX831" s="89"/>
      <c r="AY831" s="89"/>
      <c r="AZ831" s="89"/>
      <c r="BA831" s="95"/>
    </row>
    <row r="832" spans="1:53" s="87" customFormat="1">
      <c r="A832" s="374" t="str">
        <f t="shared" si="60"/>
        <v/>
      </c>
      <c r="B832" s="89">
        <v>19</v>
      </c>
      <c r="C832" s="89" t="s">
        <v>202</v>
      </c>
      <c r="D832" s="89" t="s">
        <v>210</v>
      </c>
      <c r="E832" s="89" t="s">
        <v>210</v>
      </c>
      <c r="F832" s="89">
        <v>-5</v>
      </c>
      <c r="G832" s="89">
        <v>4</v>
      </c>
      <c r="H832" s="89" t="s">
        <v>210</v>
      </c>
      <c r="I832" s="89" t="s">
        <v>210</v>
      </c>
      <c r="J832" s="89">
        <v>3</v>
      </c>
      <c r="K832" s="89">
        <v>-6</v>
      </c>
      <c r="L832" s="89"/>
      <c r="M832" s="89"/>
      <c r="N832" s="89"/>
      <c r="O832" s="89"/>
      <c r="P832" s="89"/>
      <c r="Q832" s="89"/>
      <c r="R832" s="89"/>
      <c r="S832" s="89"/>
      <c r="T832" s="89"/>
      <c r="U832" s="89"/>
      <c r="V832" s="89"/>
      <c r="W832" s="89"/>
      <c r="X832" s="89"/>
      <c r="Y832" s="89"/>
      <c r="Z832" s="89"/>
      <c r="AA832" s="89"/>
      <c r="AB832" s="89"/>
      <c r="AC832" s="89"/>
      <c r="AD832" s="89"/>
      <c r="AE832" s="89"/>
      <c r="AF832" s="89"/>
      <c r="AG832" s="89"/>
      <c r="AH832" s="89"/>
      <c r="AI832" s="89"/>
      <c r="AJ832" s="89"/>
      <c r="AK832" s="89"/>
      <c r="AL832" s="89"/>
      <c r="AM832" s="89"/>
      <c r="AN832" s="89"/>
      <c r="AO832" s="89"/>
      <c r="AP832" s="89"/>
      <c r="AQ832" s="89"/>
      <c r="AR832" s="89"/>
      <c r="AS832" s="89"/>
      <c r="AT832" s="89"/>
      <c r="AU832" s="89"/>
      <c r="AV832" s="89"/>
      <c r="AW832" s="89"/>
      <c r="AX832" s="89"/>
      <c r="AY832" s="89"/>
      <c r="AZ832" s="89"/>
      <c r="BA832" s="95"/>
    </row>
    <row r="833" spans="1:53" s="87" customFormat="1">
      <c r="A833" s="374" t="str">
        <f t="shared" si="60"/>
        <v/>
      </c>
      <c r="B833" s="89">
        <v>20</v>
      </c>
      <c r="C833" s="89">
        <v>4</v>
      </c>
      <c r="D833" s="89" t="s">
        <v>210</v>
      </c>
      <c r="E833" s="89" t="s">
        <v>210</v>
      </c>
      <c r="F833" s="89">
        <v>2</v>
      </c>
      <c r="G833" s="89">
        <v>-1</v>
      </c>
      <c r="H833" s="89" t="s">
        <v>210</v>
      </c>
      <c r="I833" s="89" t="s">
        <v>210</v>
      </c>
      <c r="J833" s="89">
        <v>-3</v>
      </c>
      <c r="K833" s="89" t="s">
        <v>202</v>
      </c>
      <c r="L833" s="89"/>
      <c r="M833" s="89"/>
      <c r="N833" s="89"/>
      <c r="O833" s="89"/>
      <c r="P833" s="89"/>
      <c r="Q833" s="89"/>
      <c r="R833" s="89"/>
      <c r="S833" s="89"/>
      <c r="T833" s="89"/>
      <c r="U833" s="89"/>
      <c r="V833" s="89"/>
      <c r="W833" s="89"/>
      <c r="X833" s="89"/>
      <c r="Y833" s="89"/>
      <c r="Z833" s="89"/>
      <c r="AA833" s="89"/>
      <c r="AB833" s="89"/>
      <c r="AC833" s="89"/>
      <c r="AD833" s="89"/>
      <c r="AE833" s="89"/>
      <c r="AF833" s="89"/>
      <c r="AG833" s="89"/>
      <c r="AH833" s="89"/>
      <c r="AI833" s="89"/>
      <c r="AJ833" s="89"/>
      <c r="AK833" s="89"/>
      <c r="AL833" s="89"/>
      <c r="AM833" s="89"/>
      <c r="AN833" s="89"/>
      <c r="AO833" s="89"/>
      <c r="AP833" s="89"/>
      <c r="AQ833" s="89"/>
      <c r="AR833" s="89"/>
      <c r="AS833" s="89"/>
      <c r="AT833" s="89"/>
      <c r="AU833" s="89"/>
      <c r="AV833" s="89"/>
      <c r="AW833" s="89"/>
      <c r="AX833" s="89"/>
      <c r="AY833" s="89"/>
      <c r="AZ833" s="89"/>
      <c r="BA833" s="95"/>
    </row>
    <row r="834" spans="1:53" s="87" customFormat="1">
      <c r="A834" s="374" t="str">
        <f t="shared" si="60"/>
        <v/>
      </c>
      <c r="B834" s="89">
        <v>21</v>
      </c>
      <c r="C834" s="89">
        <v>-3</v>
      </c>
      <c r="D834" s="89" t="s">
        <v>210</v>
      </c>
      <c r="E834" s="89" t="s">
        <v>210</v>
      </c>
      <c r="F834" s="89">
        <v>5</v>
      </c>
      <c r="G834" s="89">
        <v>1</v>
      </c>
      <c r="H834" s="89" t="s">
        <v>210</v>
      </c>
      <c r="I834" s="89" t="s">
        <v>210</v>
      </c>
      <c r="J834" s="89">
        <v>-6</v>
      </c>
      <c r="K834" s="89" t="s">
        <v>202</v>
      </c>
      <c r="L834" s="89"/>
      <c r="M834" s="89"/>
      <c r="N834" s="89"/>
      <c r="O834" s="89"/>
      <c r="P834" s="89"/>
      <c r="Q834" s="89"/>
      <c r="R834" s="89"/>
      <c r="S834" s="89"/>
      <c r="T834" s="89"/>
      <c r="U834" s="89"/>
      <c r="V834" s="89"/>
      <c r="W834" s="89"/>
      <c r="X834" s="89"/>
      <c r="Y834" s="89"/>
      <c r="Z834" s="89"/>
      <c r="AA834" s="89"/>
      <c r="AB834" s="89"/>
      <c r="AC834" s="89"/>
      <c r="AD834" s="89"/>
      <c r="AE834" s="89"/>
      <c r="AF834" s="89"/>
      <c r="AG834" s="89"/>
      <c r="AH834" s="89"/>
      <c r="AI834" s="89"/>
      <c r="AJ834" s="89"/>
      <c r="AK834" s="89"/>
      <c r="AL834" s="89"/>
      <c r="AM834" s="89"/>
      <c r="AN834" s="89"/>
      <c r="AO834" s="89"/>
      <c r="AP834" s="89"/>
      <c r="AQ834" s="89"/>
      <c r="AR834" s="89"/>
      <c r="AS834" s="89"/>
      <c r="AT834" s="89"/>
      <c r="AU834" s="89"/>
      <c r="AV834" s="89"/>
      <c r="AW834" s="89"/>
      <c r="AX834" s="89"/>
      <c r="AY834" s="89"/>
      <c r="AZ834" s="89"/>
      <c r="BA834" s="95"/>
    </row>
    <row r="835" spans="1:53" s="87" customFormat="1">
      <c r="A835" s="374" t="str">
        <f t="shared" si="60"/>
        <v/>
      </c>
      <c r="B835" s="99">
        <v>22</v>
      </c>
      <c r="C835" s="92" t="s">
        <v>202</v>
      </c>
      <c r="D835" s="92" t="s">
        <v>210</v>
      </c>
      <c r="E835" s="92" t="s">
        <v>210</v>
      </c>
      <c r="F835" s="92">
        <v>-2</v>
      </c>
      <c r="G835" s="92">
        <v>-4</v>
      </c>
      <c r="H835" s="92" t="s">
        <v>210</v>
      </c>
      <c r="I835" s="92" t="s">
        <v>210</v>
      </c>
      <c r="J835" s="92">
        <v>6</v>
      </c>
      <c r="K835" s="92">
        <v>1</v>
      </c>
      <c r="L835" s="89"/>
      <c r="M835" s="89"/>
      <c r="N835" s="89"/>
      <c r="O835" s="89"/>
      <c r="P835" s="89"/>
      <c r="Q835" s="89"/>
      <c r="R835" s="89"/>
      <c r="S835" s="89"/>
      <c r="T835" s="89"/>
      <c r="U835" s="89"/>
      <c r="V835" s="89"/>
      <c r="W835" s="89"/>
      <c r="X835" s="89"/>
      <c r="Y835" s="89"/>
      <c r="Z835" s="89"/>
      <c r="AA835" s="89"/>
      <c r="AB835" s="89"/>
      <c r="AC835" s="89"/>
      <c r="AD835" s="89"/>
      <c r="AE835" s="89"/>
      <c r="AF835" s="89"/>
      <c r="AG835" s="89"/>
      <c r="AH835" s="89"/>
      <c r="AI835" s="89"/>
      <c r="AJ835" s="89"/>
      <c r="AK835" s="89"/>
      <c r="AL835" s="89"/>
      <c r="AM835" s="89"/>
      <c r="AN835" s="89"/>
      <c r="AO835" s="89"/>
      <c r="AP835" s="89"/>
      <c r="AQ835" s="89"/>
      <c r="AR835" s="89"/>
      <c r="AS835" s="89"/>
      <c r="AT835" s="89"/>
      <c r="AU835" s="89"/>
      <c r="AV835" s="89"/>
      <c r="AW835" s="89"/>
      <c r="AX835" s="89"/>
      <c r="AY835" s="89"/>
      <c r="AZ835" s="89"/>
      <c r="BA835" s="95"/>
    </row>
    <row r="836" spans="1:53" s="87" customFormat="1">
      <c r="A836" s="374" t="str">
        <f t="shared" si="60"/>
        <v/>
      </c>
      <c r="B836" s="89">
        <v>23</v>
      </c>
      <c r="C836" s="89" t="s">
        <v>202</v>
      </c>
      <c r="D836" s="89" t="s">
        <v>210</v>
      </c>
      <c r="E836" s="89" t="s">
        <v>210</v>
      </c>
      <c r="F836" s="89">
        <v>-3</v>
      </c>
      <c r="G836" s="89">
        <v>-2</v>
      </c>
      <c r="H836" s="89" t="s">
        <v>210</v>
      </c>
      <c r="I836" s="89" t="s">
        <v>210</v>
      </c>
      <c r="J836" s="89">
        <v>1</v>
      </c>
      <c r="K836" s="89">
        <v>6</v>
      </c>
      <c r="L836" s="89"/>
      <c r="M836" s="89"/>
      <c r="N836" s="89"/>
      <c r="O836" s="89"/>
      <c r="P836" s="89"/>
      <c r="Q836" s="89"/>
      <c r="R836" s="89"/>
      <c r="S836" s="89"/>
      <c r="T836" s="89"/>
      <c r="U836" s="89"/>
      <c r="V836" s="89"/>
      <c r="W836" s="89"/>
      <c r="X836" s="89"/>
      <c r="Y836" s="89"/>
      <c r="Z836" s="89"/>
      <c r="AA836" s="89"/>
      <c r="AB836" s="89"/>
      <c r="AC836" s="89"/>
      <c r="AD836" s="89"/>
      <c r="AE836" s="89"/>
      <c r="AF836" s="89"/>
      <c r="AG836" s="89"/>
      <c r="AH836" s="89"/>
      <c r="AI836" s="89"/>
      <c r="AJ836" s="89"/>
      <c r="AK836" s="89"/>
      <c r="AL836" s="89"/>
      <c r="AM836" s="89"/>
      <c r="AN836" s="89"/>
      <c r="AO836" s="89"/>
      <c r="AP836" s="89"/>
      <c r="AQ836" s="89"/>
      <c r="AR836" s="89"/>
      <c r="AS836" s="89"/>
      <c r="AT836" s="89"/>
      <c r="AU836" s="89"/>
      <c r="AV836" s="89"/>
      <c r="AW836" s="89"/>
      <c r="AX836" s="89"/>
      <c r="AY836" s="89"/>
      <c r="AZ836" s="89"/>
      <c r="BA836" s="95"/>
    </row>
    <row r="837" spans="1:53" s="87" customFormat="1">
      <c r="A837" s="374" t="str">
        <f t="shared" si="60"/>
        <v/>
      </c>
      <c r="B837" s="89">
        <v>24</v>
      </c>
      <c r="C837" s="89">
        <v>-4</v>
      </c>
      <c r="D837" s="89" t="s">
        <v>210</v>
      </c>
      <c r="E837" s="89" t="s">
        <v>210</v>
      </c>
      <c r="F837" s="89">
        <v>6</v>
      </c>
      <c r="G837" s="89">
        <v>5</v>
      </c>
      <c r="H837" s="89" t="s">
        <v>210</v>
      </c>
      <c r="I837" s="89" t="s">
        <v>210</v>
      </c>
      <c r="J837" s="89">
        <v>-1</v>
      </c>
      <c r="K837" s="89" t="s">
        <v>202</v>
      </c>
      <c r="L837" s="89"/>
      <c r="M837" s="89"/>
      <c r="N837" s="89"/>
      <c r="O837" s="89"/>
      <c r="P837" s="89"/>
      <c r="Q837" s="89"/>
      <c r="R837" s="89"/>
      <c r="S837" s="89"/>
      <c r="T837" s="89"/>
      <c r="U837" s="89"/>
      <c r="V837" s="89"/>
      <c r="W837" s="89"/>
      <c r="X837" s="89"/>
      <c r="Y837" s="89"/>
      <c r="Z837" s="89"/>
      <c r="AA837" s="89"/>
      <c r="AB837" s="89"/>
      <c r="AC837" s="89"/>
      <c r="AD837" s="89"/>
      <c r="AE837" s="89"/>
      <c r="AF837" s="89"/>
      <c r="AG837" s="89"/>
      <c r="AH837" s="89"/>
      <c r="AI837" s="89"/>
      <c r="AJ837" s="89"/>
      <c r="AK837" s="89"/>
      <c r="AL837" s="89"/>
      <c r="AM837" s="89"/>
      <c r="AN837" s="89"/>
      <c r="AO837" s="89"/>
      <c r="AP837" s="89"/>
      <c r="AQ837" s="89"/>
      <c r="AR837" s="89"/>
      <c r="AS837" s="89"/>
      <c r="AT837" s="89"/>
      <c r="AU837" s="89"/>
      <c r="AV837" s="89"/>
      <c r="AW837" s="89"/>
      <c r="AX837" s="89"/>
      <c r="AY837" s="89"/>
      <c r="AZ837" s="89"/>
      <c r="BA837" s="95"/>
    </row>
    <row r="838" spans="1:53" s="87" customFormat="1">
      <c r="A838" s="374" t="str">
        <f t="shared" si="60"/>
        <v/>
      </c>
      <c r="B838" s="89">
        <v>25</v>
      </c>
      <c r="C838" s="89">
        <v>3</v>
      </c>
      <c r="D838" s="89" t="s">
        <v>210</v>
      </c>
      <c r="E838" s="89" t="s">
        <v>210</v>
      </c>
      <c r="F838" s="89">
        <v>-6</v>
      </c>
      <c r="G838" s="89">
        <v>2</v>
      </c>
      <c r="H838" s="89" t="s">
        <v>210</v>
      </c>
      <c r="I838" s="89" t="s">
        <v>210</v>
      </c>
      <c r="J838" s="89">
        <v>-4</v>
      </c>
      <c r="K838" s="89" t="s">
        <v>202</v>
      </c>
      <c r="L838" s="89"/>
      <c r="M838" s="89"/>
      <c r="N838" s="89"/>
      <c r="O838" s="89"/>
      <c r="P838" s="89"/>
      <c r="Q838" s="89"/>
      <c r="R838" s="89"/>
      <c r="S838" s="89"/>
      <c r="T838" s="89"/>
      <c r="U838" s="89"/>
      <c r="V838" s="89"/>
      <c r="W838" s="89"/>
      <c r="X838" s="89"/>
      <c r="Y838" s="89"/>
      <c r="Z838" s="89"/>
      <c r="AA838" s="89"/>
      <c r="AB838" s="89"/>
      <c r="AC838" s="89"/>
      <c r="AD838" s="89"/>
      <c r="AE838" s="89"/>
      <c r="AF838" s="89"/>
      <c r="AG838" s="89"/>
      <c r="AH838" s="89"/>
      <c r="AI838" s="89"/>
      <c r="AJ838" s="89"/>
      <c r="AK838" s="89"/>
      <c r="AL838" s="89"/>
      <c r="AM838" s="89"/>
      <c r="AN838" s="89"/>
      <c r="AO838" s="89"/>
      <c r="AP838" s="89"/>
      <c r="AQ838" s="89"/>
      <c r="AR838" s="89"/>
      <c r="AS838" s="89"/>
      <c r="AT838" s="89"/>
      <c r="AU838" s="89"/>
      <c r="AV838" s="89"/>
      <c r="AW838" s="89"/>
      <c r="AX838" s="89"/>
      <c r="AY838" s="89"/>
      <c r="AZ838" s="89"/>
      <c r="BA838" s="95"/>
    </row>
    <row r="839" spans="1:53" s="87" customFormat="1">
      <c r="A839" s="374" t="str">
        <f t="shared" si="60"/>
        <v/>
      </c>
      <c r="B839" s="89">
        <v>26</v>
      </c>
      <c r="C839" s="89" t="s">
        <v>202</v>
      </c>
      <c r="D839" s="89" t="s">
        <v>210</v>
      </c>
      <c r="E839" s="89" t="s">
        <v>210</v>
      </c>
      <c r="F839" s="89">
        <v>3</v>
      </c>
      <c r="G839" s="89">
        <v>-5</v>
      </c>
      <c r="H839" s="89" t="s">
        <v>210</v>
      </c>
      <c r="I839" s="89" t="s">
        <v>210</v>
      </c>
      <c r="J839" s="89">
        <v>4</v>
      </c>
      <c r="K839" s="89">
        <v>-1</v>
      </c>
      <c r="L839" s="89"/>
      <c r="M839" s="89"/>
      <c r="N839" s="89"/>
      <c r="O839" s="89"/>
      <c r="P839" s="89"/>
      <c r="Q839" s="89"/>
      <c r="R839" s="89"/>
      <c r="S839" s="89"/>
      <c r="T839" s="89"/>
      <c r="U839" s="89"/>
      <c r="V839" s="89"/>
      <c r="W839" s="89"/>
      <c r="X839" s="89"/>
      <c r="Y839" s="89"/>
      <c r="Z839" s="89"/>
      <c r="AA839" s="89"/>
      <c r="AB839" s="89"/>
      <c r="AC839" s="89"/>
      <c r="AD839" s="89"/>
      <c r="AE839" s="89"/>
      <c r="AF839" s="89"/>
      <c r="AG839" s="89"/>
      <c r="AH839" s="89"/>
      <c r="AI839" s="89"/>
      <c r="AJ839" s="89"/>
      <c r="AK839" s="89"/>
      <c r="AL839" s="89"/>
      <c r="AM839" s="89"/>
      <c r="AN839" s="89"/>
      <c r="AO839" s="89"/>
      <c r="AP839" s="89"/>
      <c r="AQ839" s="89"/>
      <c r="AR839" s="89"/>
      <c r="AS839" s="89"/>
      <c r="AT839" s="89"/>
      <c r="AU839" s="89"/>
      <c r="AV839" s="89"/>
      <c r="AW839" s="89"/>
      <c r="AX839" s="89"/>
      <c r="AY839" s="89"/>
      <c r="AZ839" s="89"/>
      <c r="BA839" s="95"/>
    </row>
    <row r="840" spans="1:53" s="87" customFormat="1">
      <c r="A840" s="374" t="str">
        <f t="shared" si="60"/>
        <v/>
      </c>
      <c r="B840" s="89" t="s">
        <v>395</v>
      </c>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c r="AA840" s="89"/>
      <c r="AB840" s="89"/>
      <c r="AC840" s="89"/>
      <c r="AD840" s="89"/>
      <c r="AE840" s="89"/>
      <c r="AF840" s="89"/>
      <c r="AG840" s="89"/>
      <c r="AH840" s="89"/>
      <c r="AI840" s="89"/>
      <c r="AJ840" s="89"/>
      <c r="AK840" s="89"/>
      <c r="AL840" s="89"/>
      <c r="AM840" s="89"/>
      <c r="AN840" s="89"/>
      <c r="AO840" s="89"/>
      <c r="AP840" s="89"/>
      <c r="AQ840" s="89"/>
      <c r="AR840" s="89"/>
      <c r="AS840" s="89"/>
      <c r="AT840" s="89"/>
      <c r="AU840" s="89"/>
      <c r="AV840" s="89"/>
      <c r="AW840" s="89"/>
      <c r="AX840" s="89"/>
      <c r="AY840" s="89"/>
      <c r="AZ840" s="89"/>
      <c r="BA840" s="95"/>
    </row>
    <row r="841" spans="1:53" s="87" customFormat="1">
      <c r="A841" s="374">
        <f t="shared" si="60"/>
        <v>841</v>
      </c>
      <c r="B841" s="89" t="s">
        <v>396</v>
      </c>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c r="AA841" s="89"/>
      <c r="AB841" s="89"/>
      <c r="AC841" s="89"/>
      <c r="AD841" s="89"/>
      <c r="AE841" s="89"/>
      <c r="AF841" s="89"/>
      <c r="AG841" s="89"/>
      <c r="AH841" s="89"/>
      <c r="AI841" s="89"/>
      <c r="AJ841" s="89"/>
      <c r="AK841" s="89"/>
      <c r="AL841" s="89"/>
      <c r="AM841" s="89"/>
      <c r="AN841" s="89"/>
      <c r="AO841" s="89"/>
      <c r="AP841" s="89"/>
      <c r="AQ841" s="89"/>
      <c r="AR841" s="89"/>
      <c r="AS841" s="89"/>
      <c r="AT841" s="89"/>
      <c r="AU841" s="89"/>
      <c r="AV841" s="89"/>
      <c r="AW841" s="89"/>
      <c r="AX841" s="89"/>
      <c r="AY841" s="89"/>
      <c r="AZ841" s="89"/>
      <c r="BA841" s="95"/>
    </row>
    <row r="842" spans="1:53" s="87" customFormat="1">
      <c r="A842" s="374" t="str">
        <f t="shared" si="60"/>
        <v/>
      </c>
      <c r="B842" s="89">
        <v>1</v>
      </c>
      <c r="C842" s="89">
        <v>-6</v>
      </c>
      <c r="D842" s="89" t="s">
        <v>210</v>
      </c>
      <c r="E842" s="89" t="s">
        <v>210</v>
      </c>
      <c r="F842" s="89">
        <v>-5</v>
      </c>
      <c r="G842" s="89">
        <v>4</v>
      </c>
      <c r="H842" s="89" t="s">
        <v>210</v>
      </c>
      <c r="I842" s="89" t="s">
        <v>210</v>
      </c>
      <c r="J842" s="89">
        <v>1</v>
      </c>
      <c r="K842" s="89">
        <v>5</v>
      </c>
      <c r="L842" s="89" t="s">
        <v>210</v>
      </c>
      <c r="M842" s="89" t="s">
        <v>210</v>
      </c>
      <c r="N842" s="89">
        <v>-3</v>
      </c>
      <c r="O842" s="89" t="s">
        <v>202</v>
      </c>
      <c r="P842" s="89" t="s">
        <v>210</v>
      </c>
      <c r="Q842" s="89" t="s">
        <v>210</v>
      </c>
      <c r="R842" s="89">
        <v>2</v>
      </c>
      <c r="S842" s="89">
        <v>-4</v>
      </c>
      <c r="T842" s="89" t="s">
        <v>210</v>
      </c>
      <c r="U842" s="89"/>
      <c r="V842" s="89"/>
      <c r="W842" s="89"/>
      <c r="X842" s="89"/>
      <c r="Y842" s="89"/>
      <c r="Z842" s="89"/>
      <c r="AA842" s="89"/>
      <c r="AB842" s="89"/>
      <c r="AC842" s="89"/>
      <c r="AD842" s="89"/>
      <c r="AE842" s="89"/>
      <c r="AF842" s="89"/>
      <c r="AG842" s="89"/>
      <c r="AH842" s="89"/>
      <c r="AI842" s="89"/>
      <c r="AJ842" s="89"/>
      <c r="AK842" s="89"/>
      <c r="AL842" s="89"/>
      <c r="AM842" s="89"/>
      <c r="AN842" s="89"/>
      <c r="AO842" s="89"/>
      <c r="AP842" s="89"/>
      <c r="AQ842" s="89"/>
      <c r="AR842" s="89"/>
      <c r="AS842" s="89"/>
      <c r="AT842" s="89"/>
      <c r="AU842" s="89"/>
      <c r="AV842" s="89"/>
      <c r="AW842" s="89"/>
      <c r="AX842" s="89"/>
      <c r="AY842" s="89"/>
      <c r="AZ842" s="89"/>
      <c r="BA842" s="95"/>
    </row>
    <row r="843" spans="1:53" s="87" customFormat="1">
      <c r="A843" s="374" t="str">
        <f t="shared" si="60"/>
        <v/>
      </c>
      <c r="B843" s="89">
        <v>2</v>
      </c>
      <c r="C843" s="89" t="s">
        <v>210</v>
      </c>
      <c r="D843" s="89" t="s">
        <v>202</v>
      </c>
      <c r="E843" s="89">
        <v>-5</v>
      </c>
      <c r="F843" s="89" t="s">
        <v>210</v>
      </c>
      <c r="G843" s="89" t="s">
        <v>210</v>
      </c>
      <c r="H843" s="89">
        <v>-3</v>
      </c>
      <c r="I843" s="89" t="s">
        <v>210</v>
      </c>
      <c r="J843" s="89">
        <v>6</v>
      </c>
      <c r="K843" s="89">
        <v>2</v>
      </c>
      <c r="L843" s="89" t="s">
        <v>210</v>
      </c>
      <c r="M843" s="89" t="s">
        <v>210</v>
      </c>
      <c r="N843" s="89">
        <v>-4</v>
      </c>
      <c r="O843" s="89">
        <v>-1</v>
      </c>
      <c r="P843" s="89" t="s">
        <v>210</v>
      </c>
      <c r="Q843" s="89" t="s">
        <v>210</v>
      </c>
      <c r="R843" s="89">
        <v>5</v>
      </c>
      <c r="S843" s="89">
        <v>4</v>
      </c>
      <c r="T843" s="89" t="s">
        <v>210</v>
      </c>
      <c r="U843" s="89"/>
      <c r="V843" s="89"/>
      <c r="W843" s="89"/>
      <c r="X843" s="89"/>
      <c r="Y843" s="89"/>
      <c r="Z843" s="89"/>
      <c r="AA843" s="89"/>
      <c r="AB843" s="89"/>
      <c r="AC843" s="89"/>
      <c r="AD843" s="89"/>
      <c r="AE843" s="89"/>
      <c r="AF843" s="89"/>
      <c r="AG843" s="89"/>
      <c r="AH843" s="89"/>
      <c r="AI843" s="89"/>
      <c r="AJ843" s="89"/>
      <c r="AK843" s="89"/>
      <c r="AL843" s="89"/>
      <c r="AM843" s="89"/>
      <c r="AN843" s="89"/>
      <c r="AO843" s="89"/>
      <c r="AP843" s="89"/>
      <c r="AQ843" s="89"/>
      <c r="AR843" s="89"/>
      <c r="AS843" s="89"/>
      <c r="AT843" s="89"/>
      <c r="AU843" s="89"/>
      <c r="AV843" s="89"/>
      <c r="AW843" s="89"/>
      <c r="AX843" s="89"/>
      <c r="AY843" s="89"/>
      <c r="AZ843" s="89"/>
      <c r="BA843" s="95"/>
    </row>
    <row r="844" spans="1:53" s="87" customFormat="1">
      <c r="A844" s="374" t="str">
        <f t="shared" ref="A844:A907" si="61">IF(MID(B844,3,2)="06",ROW(),"")</f>
        <v/>
      </c>
      <c r="B844" s="89">
        <v>3</v>
      </c>
      <c r="C844" s="89" t="s">
        <v>210</v>
      </c>
      <c r="D844" s="89">
        <v>-6</v>
      </c>
      <c r="E844" s="89">
        <v>-2</v>
      </c>
      <c r="F844" s="89" t="s">
        <v>210</v>
      </c>
      <c r="G844" s="89" t="s">
        <v>202</v>
      </c>
      <c r="H844" s="89" t="s">
        <v>210</v>
      </c>
      <c r="I844" s="89" t="s">
        <v>210</v>
      </c>
      <c r="J844" s="89">
        <v>-1</v>
      </c>
      <c r="K844" s="89" t="s">
        <v>210</v>
      </c>
      <c r="L844" s="89">
        <v>2</v>
      </c>
      <c r="M844" s="89">
        <v>4</v>
      </c>
      <c r="N844" s="89" t="s">
        <v>210</v>
      </c>
      <c r="O844" s="89">
        <v>6</v>
      </c>
      <c r="P844" s="89" t="s">
        <v>210</v>
      </c>
      <c r="Q844" s="89" t="s">
        <v>210</v>
      </c>
      <c r="R844" s="89">
        <v>-5</v>
      </c>
      <c r="S844" s="89">
        <v>3</v>
      </c>
      <c r="T844" s="89" t="s">
        <v>210</v>
      </c>
      <c r="U844" s="89"/>
      <c r="V844" s="89"/>
      <c r="W844" s="89"/>
      <c r="X844" s="89"/>
      <c r="Y844" s="89"/>
      <c r="Z844" s="89"/>
      <c r="AA844" s="89"/>
      <c r="AB844" s="89"/>
      <c r="AC844" s="89"/>
      <c r="AD844" s="89"/>
      <c r="AE844" s="89"/>
      <c r="AF844" s="89"/>
      <c r="AG844" s="89"/>
      <c r="AH844" s="89"/>
      <c r="AI844" s="89"/>
      <c r="AJ844" s="89"/>
      <c r="AK844" s="89"/>
      <c r="AL844" s="89"/>
      <c r="AM844" s="89"/>
      <c r="AN844" s="89"/>
      <c r="AO844" s="89"/>
      <c r="AP844" s="89"/>
      <c r="AQ844" s="89"/>
      <c r="AR844" s="89"/>
      <c r="AS844" s="89"/>
      <c r="AT844" s="89"/>
      <c r="AU844" s="89"/>
      <c r="AV844" s="89"/>
      <c r="AW844" s="89"/>
      <c r="AX844" s="89"/>
      <c r="AY844" s="89"/>
      <c r="AZ844" s="89"/>
      <c r="BA844" s="95"/>
    </row>
    <row r="845" spans="1:53" s="87" customFormat="1">
      <c r="A845" s="374" t="str">
        <f t="shared" si="61"/>
        <v/>
      </c>
      <c r="B845" s="89">
        <v>4</v>
      </c>
      <c r="C845" s="89" t="s">
        <v>210</v>
      </c>
      <c r="D845" s="89">
        <v>1</v>
      </c>
      <c r="E845" s="89" t="s">
        <v>202</v>
      </c>
      <c r="F845" s="89" t="s">
        <v>210</v>
      </c>
      <c r="G845" s="89">
        <v>-4</v>
      </c>
      <c r="H845" s="89" t="s">
        <v>210</v>
      </c>
      <c r="I845" s="89" t="s">
        <v>210</v>
      </c>
      <c r="J845" s="89">
        <v>-6</v>
      </c>
      <c r="K845" s="89" t="s">
        <v>210</v>
      </c>
      <c r="L845" s="89">
        <v>5</v>
      </c>
      <c r="M845" s="89">
        <v>3</v>
      </c>
      <c r="N845" s="89" t="s">
        <v>210</v>
      </c>
      <c r="O845" s="89" t="s">
        <v>210</v>
      </c>
      <c r="P845" s="89">
        <v>-1</v>
      </c>
      <c r="Q845" s="89">
        <v>2</v>
      </c>
      <c r="R845" s="89" t="s">
        <v>210</v>
      </c>
      <c r="S845" s="89">
        <v>-3</v>
      </c>
      <c r="T845" s="89" t="s">
        <v>210</v>
      </c>
      <c r="U845" s="89"/>
      <c r="V845" s="89"/>
      <c r="W845" s="89"/>
      <c r="X845" s="89"/>
      <c r="Y845" s="89"/>
      <c r="Z845" s="89"/>
      <c r="AA845" s="89"/>
      <c r="AB845" s="89"/>
      <c r="AC845" s="89"/>
      <c r="AD845" s="89"/>
      <c r="AE845" s="89"/>
      <c r="AF845" s="89"/>
      <c r="AG845" s="89"/>
      <c r="AH845" s="89"/>
      <c r="AI845" s="89"/>
      <c r="AJ845" s="89"/>
      <c r="AK845" s="89"/>
      <c r="AL845" s="89"/>
      <c r="AM845" s="89"/>
      <c r="AN845" s="89"/>
      <c r="AO845" s="89"/>
      <c r="AP845" s="89"/>
      <c r="AQ845" s="89"/>
      <c r="AR845" s="89"/>
      <c r="AS845" s="89"/>
      <c r="AT845" s="89"/>
      <c r="AU845" s="89"/>
      <c r="AV845" s="89"/>
      <c r="AW845" s="89"/>
      <c r="AX845" s="89"/>
      <c r="AY845" s="89"/>
      <c r="AZ845" s="89"/>
      <c r="BA845" s="95"/>
    </row>
    <row r="846" spans="1:53" s="87" customFormat="1">
      <c r="A846" s="374" t="str">
        <f t="shared" si="61"/>
        <v/>
      </c>
      <c r="B846" s="89">
        <v>5</v>
      </c>
      <c r="C846" s="89" t="s">
        <v>210</v>
      </c>
      <c r="D846" s="89">
        <v>6</v>
      </c>
      <c r="E846" s="89">
        <v>5</v>
      </c>
      <c r="F846" s="89" t="s">
        <v>210</v>
      </c>
      <c r="G846" s="89" t="s">
        <v>210</v>
      </c>
      <c r="H846" s="89">
        <v>-4</v>
      </c>
      <c r="I846" s="89">
        <v>1</v>
      </c>
      <c r="J846" s="89" t="s">
        <v>210</v>
      </c>
      <c r="K846" s="89">
        <v>-5</v>
      </c>
      <c r="L846" s="89" t="s">
        <v>210</v>
      </c>
      <c r="M846" s="89" t="s">
        <v>202</v>
      </c>
      <c r="N846" s="89" t="s">
        <v>210</v>
      </c>
      <c r="O846" s="89" t="s">
        <v>210</v>
      </c>
      <c r="P846" s="89">
        <v>-6</v>
      </c>
      <c r="Q846" s="89">
        <v>-2</v>
      </c>
      <c r="R846" s="89" t="s">
        <v>210</v>
      </c>
      <c r="S846" s="89" t="s">
        <v>210</v>
      </c>
      <c r="T846" s="89">
        <v>3</v>
      </c>
      <c r="U846" s="89"/>
      <c r="V846" s="89"/>
      <c r="W846" s="89"/>
      <c r="X846" s="89"/>
      <c r="Y846" s="89"/>
      <c r="Z846" s="89"/>
      <c r="AA846" s="89"/>
      <c r="AB846" s="89"/>
      <c r="AC846" s="89"/>
      <c r="AD846" s="89"/>
      <c r="AE846" s="89"/>
      <c r="AF846" s="89"/>
      <c r="AG846" s="89"/>
      <c r="AH846" s="89"/>
      <c r="AI846" s="89"/>
      <c r="AJ846" s="89"/>
      <c r="AK846" s="89"/>
      <c r="AL846" s="89"/>
      <c r="AM846" s="89"/>
      <c r="AN846" s="89"/>
      <c r="AO846" s="89"/>
      <c r="AP846" s="89"/>
      <c r="AQ846" s="89"/>
      <c r="AR846" s="89"/>
      <c r="AS846" s="89"/>
      <c r="AT846" s="89"/>
      <c r="AU846" s="89"/>
      <c r="AV846" s="89"/>
      <c r="AW846" s="89"/>
      <c r="AX846" s="89"/>
      <c r="AY846" s="89"/>
      <c r="AZ846" s="89"/>
      <c r="BA846" s="95"/>
    </row>
    <row r="847" spans="1:53" s="87" customFormat="1">
      <c r="A847" s="374" t="str">
        <f t="shared" si="61"/>
        <v/>
      </c>
      <c r="B847" s="89">
        <v>6</v>
      </c>
      <c r="C847" s="89">
        <v>6</v>
      </c>
      <c r="D847" s="89" t="s">
        <v>210</v>
      </c>
      <c r="E847" s="89" t="s">
        <v>210</v>
      </c>
      <c r="F847" s="89">
        <v>-2</v>
      </c>
      <c r="G847" s="89" t="s">
        <v>210</v>
      </c>
      <c r="H847" s="89">
        <v>3</v>
      </c>
      <c r="I847" s="89">
        <v>-6</v>
      </c>
      <c r="J847" s="89" t="s">
        <v>210</v>
      </c>
      <c r="K847" s="89" t="s">
        <v>202</v>
      </c>
      <c r="L847" s="89" t="s">
        <v>210</v>
      </c>
      <c r="M847" s="89">
        <v>-4</v>
      </c>
      <c r="N847" s="89" t="s">
        <v>210</v>
      </c>
      <c r="O847" s="89" t="s">
        <v>210</v>
      </c>
      <c r="P847" s="89">
        <v>1</v>
      </c>
      <c r="Q847" s="89">
        <v>5</v>
      </c>
      <c r="R847" s="89" t="s">
        <v>210</v>
      </c>
      <c r="S847" s="89" t="s">
        <v>210</v>
      </c>
      <c r="T847" s="89">
        <v>-3</v>
      </c>
      <c r="U847" s="89"/>
      <c r="V847" s="89"/>
      <c r="W847" s="89"/>
      <c r="X847" s="89"/>
      <c r="Y847" s="89"/>
      <c r="Z847" s="89"/>
      <c r="AA847" s="89"/>
      <c r="AB847" s="89"/>
      <c r="AC847" s="89"/>
      <c r="AD847" s="89"/>
      <c r="AE847" s="89"/>
      <c r="AF847" s="89"/>
      <c r="AG847" s="89"/>
      <c r="AH847" s="89"/>
      <c r="AI847" s="89"/>
      <c r="AJ847" s="89"/>
      <c r="AK847" s="89"/>
      <c r="AL847" s="89"/>
      <c r="AM847" s="89"/>
      <c r="AN847" s="89"/>
      <c r="AO847" s="89"/>
      <c r="AP847" s="89"/>
      <c r="AQ847" s="89"/>
      <c r="AR847" s="89"/>
      <c r="AS847" s="89"/>
      <c r="AT847" s="89"/>
      <c r="AU847" s="89"/>
      <c r="AV847" s="89"/>
      <c r="AW847" s="89"/>
      <c r="AX847" s="89"/>
      <c r="AY847" s="89"/>
      <c r="AZ847" s="89"/>
      <c r="BA847" s="95"/>
    </row>
    <row r="848" spans="1:53" s="87" customFormat="1">
      <c r="A848" s="374" t="str">
        <f t="shared" si="61"/>
        <v/>
      </c>
      <c r="B848" s="89">
        <v>7</v>
      </c>
      <c r="C848" s="89" t="s">
        <v>210</v>
      </c>
      <c r="D848" s="89">
        <v>-1</v>
      </c>
      <c r="E848" s="89">
        <v>2</v>
      </c>
      <c r="F848" s="89" t="s">
        <v>210</v>
      </c>
      <c r="G848" s="89">
        <v>-3</v>
      </c>
      <c r="H848" s="89" t="s">
        <v>210</v>
      </c>
      <c r="I848" s="89" t="s">
        <v>202</v>
      </c>
      <c r="J848" s="89" t="s">
        <v>210</v>
      </c>
      <c r="K848" s="89">
        <v>-2</v>
      </c>
      <c r="L848" s="89" t="s">
        <v>210</v>
      </c>
      <c r="M848" s="89" t="s">
        <v>210</v>
      </c>
      <c r="N848" s="89">
        <v>3</v>
      </c>
      <c r="O848" s="89" t="s">
        <v>210</v>
      </c>
      <c r="P848" s="89">
        <v>6</v>
      </c>
      <c r="Q848" s="89">
        <v>-5</v>
      </c>
      <c r="R848" s="89" t="s">
        <v>210</v>
      </c>
      <c r="S848" s="89" t="s">
        <v>210</v>
      </c>
      <c r="T848" s="89">
        <v>4</v>
      </c>
      <c r="U848" s="89"/>
      <c r="V848" s="89"/>
      <c r="W848" s="89"/>
      <c r="X848" s="89"/>
      <c r="Y848" s="89"/>
      <c r="Z848" s="89"/>
      <c r="AA848" s="89"/>
      <c r="AB848" s="89"/>
      <c r="AC848" s="89"/>
      <c r="AD848" s="89"/>
      <c r="AE848" s="89"/>
      <c r="AF848" s="89"/>
      <c r="AG848" s="89"/>
      <c r="AH848" s="89"/>
      <c r="AI848" s="89"/>
      <c r="AJ848" s="89"/>
      <c r="AK848" s="89"/>
      <c r="AL848" s="89"/>
      <c r="AM848" s="89"/>
      <c r="AN848" s="89"/>
      <c r="AO848" s="89"/>
      <c r="AP848" s="89"/>
      <c r="AQ848" s="89"/>
      <c r="AR848" s="89"/>
      <c r="AS848" s="89"/>
      <c r="AT848" s="89"/>
      <c r="AU848" s="89"/>
      <c r="AV848" s="89"/>
      <c r="AW848" s="89"/>
      <c r="AX848" s="89"/>
      <c r="AY848" s="89"/>
      <c r="AZ848" s="89"/>
      <c r="BA848" s="95"/>
    </row>
    <row r="849" spans="1:53" s="87" customFormat="1">
      <c r="A849" s="374" t="str">
        <f t="shared" si="61"/>
        <v/>
      </c>
      <c r="B849" s="89">
        <v>8</v>
      </c>
      <c r="C849" s="89">
        <v>-1</v>
      </c>
      <c r="D849" s="89" t="s">
        <v>210</v>
      </c>
      <c r="E849" s="89" t="s">
        <v>210</v>
      </c>
      <c r="F849" s="89">
        <v>5</v>
      </c>
      <c r="G849" s="89" t="s">
        <v>210</v>
      </c>
      <c r="H849" s="89">
        <v>4</v>
      </c>
      <c r="I849" s="89">
        <v>6</v>
      </c>
      <c r="J849" s="89" t="s">
        <v>210</v>
      </c>
      <c r="K849" s="89" t="s">
        <v>210</v>
      </c>
      <c r="L849" s="89">
        <v>-2</v>
      </c>
      <c r="M849" s="89">
        <v>-3</v>
      </c>
      <c r="N849" s="89" t="s">
        <v>210</v>
      </c>
      <c r="O849" s="89">
        <v>1</v>
      </c>
      <c r="P849" s="89" t="s">
        <v>210</v>
      </c>
      <c r="Q849" s="89" t="s">
        <v>202</v>
      </c>
      <c r="R849" s="89" t="s">
        <v>210</v>
      </c>
      <c r="S849" s="89" t="s">
        <v>210</v>
      </c>
      <c r="T849" s="89">
        <v>-4</v>
      </c>
      <c r="U849" s="89"/>
      <c r="V849" s="89"/>
      <c r="W849" s="89"/>
      <c r="X849" s="89"/>
      <c r="Y849" s="89"/>
      <c r="Z849" s="89"/>
      <c r="AA849" s="89"/>
      <c r="AB849" s="89"/>
      <c r="AC849" s="89"/>
      <c r="AD849" s="89"/>
      <c r="AE849" s="89"/>
      <c r="AF849" s="89"/>
      <c r="AG849" s="89"/>
      <c r="AH849" s="89"/>
      <c r="AI849" s="89"/>
      <c r="AJ849" s="89"/>
      <c r="AK849" s="89"/>
      <c r="AL849" s="89"/>
      <c r="AM849" s="89"/>
      <c r="AN849" s="89"/>
      <c r="AO849" s="89"/>
      <c r="AP849" s="89"/>
      <c r="AQ849" s="89"/>
      <c r="AR849" s="89"/>
      <c r="AS849" s="89"/>
      <c r="AT849" s="89"/>
      <c r="AU849" s="89"/>
      <c r="AV849" s="89"/>
      <c r="AW849" s="89"/>
      <c r="AX849" s="89"/>
      <c r="AY849" s="89"/>
      <c r="AZ849" s="89"/>
      <c r="BA849" s="95"/>
    </row>
    <row r="850" spans="1:53" s="87" customFormat="1">
      <c r="A850" s="374" t="str">
        <f t="shared" si="61"/>
        <v/>
      </c>
      <c r="B850" s="99">
        <v>9</v>
      </c>
      <c r="C850" s="92">
        <v>1</v>
      </c>
      <c r="D850" s="92" t="s">
        <v>210</v>
      </c>
      <c r="E850" s="92" t="s">
        <v>210</v>
      </c>
      <c r="F850" s="92">
        <v>2</v>
      </c>
      <c r="G850" s="92">
        <v>3</v>
      </c>
      <c r="H850" s="92" t="s">
        <v>210</v>
      </c>
      <c r="I850" s="92">
        <v>-1</v>
      </c>
      <c r="J850" s="92" t="s">
        <v>210</v>
      </c>
      <c r="K850" s="92" t="s">
        <v>210</v>
      </c>
      <c r="L850" s="92">
        <v>-5</v>
      </c>
      <c r="M850" s="92" t="s">
        <v>210</v>
      </c>
      <c r="N850" s="92">
        <v>4</v>
      </c>
      <c r="O850" s="92">
        <v>-6</v>
      </c>
      <c r="P850" s="92" t="s">
        <v>210</v>
      </c>
      <c r="Q850" s="92" t="s">
        <v>210</v>
      </c>
      <c r="R850" s="92">
        <v>-2</v>
      </c>
      <c r="S850" s="92" t="s">
        <v>202</v>
      </c>
      <c r="T850" s="92" t="s">
        <v>210</v>
      </c>
      <c r="U850" s="89"/>
      <c r="V850" s="89"/>
      <c r="W850" s="89"/>
      <c r="X850" s="89"/>
      <c r="Y850" s="89"/>
      <c r="Z850" s="89"/>
      <c r="AA850" s="89"/>
      <c r="AB850" s="89"/>
      <c r="AC850" s="89"/>
      <c r="AD850" s="89"/>
      <c r="AE850" s="89"/>
      <c r="AF850" s="89"/>
      <c r="AG850" s="89"/>
      <c r="AH850" s="89"/>
      <c r="AI850" s="89"/>
      <c r="AJ850" s="89"/>
      <c r="AK850" s="89"/>
      <c r="AL850" s="89"/>
      <c r="AM850" s="89"/>
      <c r="AN850" s="89"/>
      <c r="AO850" s="89"/>
      <c r="AP850" s="89"/>
      <c r="AQ850" s="89"/>
      <c r="AR850" s="89"/>
      <c r="AS850" s="89"/>
      <c r="AT850" s="89"/>
      <c r="AU850" s="89"/>
      <c r="AV850" s="89"/>
      <c r="AW850" s="89"/>
      <c r="AX850" s="89"/>
      <c r="AY850" s="89"/>
      <c r="AZ850" s="89"/>
      <c r="BA850" s="95"/>
    </row>
    <row r="851" spans="1:53" s="87" customFormat="1">
      <c r="A851" s="374" t="str">
        <f t="shared" si="61"/>
        <v/>
      </c>
      <c r="B851" s="89">
        <v>10</v>
      </c>
      <c r="C851" s="89" t="s">
        <v>210</v>
      </c>
      <c r="D851" s="89" t="s">
        <v>202</v>
      </c>
      <c r="E851" s="89">
        <v>-6</v>
      </c>
      <c r="F851" s="89" t="s">
        <v>210</v>
      </c>
      <c r="G851" s="89" t="s">
        <v>210</v>
      </c>
      <c r="H851" s="89">
        <v>-2</v>
      </c>
      <c r="I851" s="89" t="s">
        <v>210</v>
      </c>
      <c r="J851" s="89">
        <v>4</v>
      </c>
      <c r="K851" s="89">
        <v>1</v>
      </c>
      <c r="L851" s="89" t="s">
        <v>210</v>
      </c>
      <c r="M851" s="89" t="s">
        <v>210</v>
      </c>
      <c r="N851" s="89">
        <v>-5</v>
      </c>
      <c r="O851" s="89">
        <v>-3</v>
      </c>
      <c r="P851" s="89" t="s">
        <v>210</v>
      </c>
      <c r="Q851" s="89" t="s">
        <v>210</v>
      </c>
      <c r="R851" s="89">
        <v>6</v>
      </c>
      <c r="S851" s="89">
        <v>5</v>
      </c>
      <c r="T851" s="89" t="s">
        <v>210</v>
      </c>
      <c r="U851" s="89"/>
      <c r="V851" s="89"/>
      <c r="W851" s="89"/>
      <c r="X851" s="89"/>
      <c r="Y851" s="89"/>
      <c r="Z851" s="89"/>
      <c r="AA851" s="89"/>
      <c r="AB851" s="89"/>
      <c r="AC851" s="89"/>
      <c r="AD851" s="89"/>
      <c r="AE851" s="89"/>
      <c r="AF851" s="89"/>
      <c r="AG851" s="89"/>
      <c r="AH851" s="89"/>
      <c r="AI851" s="89"/>
      <c r="AJ851" s="89"/>
      <c r="AK851" s="89"/>
      <c r="AL851" s="89"/>
      <c r="AM851" s="89"/>
      <c r="AN851" s="89"/>
      <c r="AO851" s="89"/>
      <c r="AP851" s="89"/>
      <c r="AQ851" s="89"/>
      <c r="AR851" s="89"/>
      <c r="AS851" s="89"/>
      <c r="AT851" s="89"/>
      <c r="AU851" s="89"/>
      <c r="AV851" s="89"/>
      <c r="AW851" s="89"/>
      <c r="AX851" s="89"/>
      <c r="AY851" s="89"/>
      <c r="AZ851" s="89"/>
      <c r="BA851" s="95"/>
    </row>
    <row r="852" spans="1:53" s="87" customFormat="1">
      <c r="A852" s="374" t="str">
        <f t="shared" si="61"/>
        <v/>
      </c>
      <c r="B852" s="89">
        <v>11</v>
      </c>
      <c r="C852" s="89">
        <v>-4</v>
      </c>
      <c r="D852" s="89" t="s">
        <v>210</v>
      </c>
      <c r="E852" s="89" t="s">
        <v>210</v>
      </c>
      <c r="F852" s="89">
        <v>-6</v>
      </c>
      <c r="G852" s="89">
        <v>5</v>
      </c>
      <c r="H852" s="89" t="s">
        <v>210</v>
      </c>
      <c r="I852" s="89" t="s">
        <v>210</v>
      </c>
      <c r="J852" s="89">
        <v>3</v>
      </c>
      <c r="K852" s="89">
        <v>6</v>
      </c>
      <c r="L852" s="89" t="s">
        <v>210</v>
      </c>
      <c r="M852" s="89" t="s">
        <v>210</v>
      </c>
      <c r="N852" s="89">
        <v>-2</v>
      </c>
      <c r="O852" s="89" t="s">
        <v>202</v>
      </c>
      <c r="P852" s="89" t="s">
        <v>210</v>
      </c>
      <c r="Q852" s="89" t="s">
        <v>210</v>
      </c>
      <c r="R852" s="89">
        <v>1</v>
      </c>
      <c r="S852" s="89">
        <v>-5</v>
      </c>
      <c r="T852" s="89" t="s">
        <v>210</v>
      </c>
      <c r="U852" s="89"/>
      <c r="V852" s="89"/>
      <c r="W852" s="89"/>
      <c r="X852" s="89"/>
      <c r="Y852" s="89"/>
      <c r="Z852" s="89"/>
      <c r="AA852" s="89"/>
      <c r="AB852" s="89"/>
      <c r="AC852" s="89"/>
      <c r="AD852" s="89"/>
      <c r="AE852" s="89"/>
      <c r="AF852" s="89"/>
      <c r="AG852" s="89"/>
      <c r="AH852" s="89"/>
      <c r="AI852" s="89"/>
      <c r="AJ852" s="89"/>
      <c r="AK852" s="89"/>
      <c r="AL852" s="89"/>
      <c r="AM852" s="89"/>
      <c r="AN852" s="89"/>
      <c r="AO852" s="89"/>
      <c r="AP852" s="89"/>
      <c r="AQ852" s="89"/>
      <c r="AR852" s="89"/>
      <c r="AS852" s="89"/>
      <c r="AT852" s="89"/>
      <c r="AU852" s="89"/>
      <c r="AV852" s="89"/>
      <c r="AW852" s="89"/>
      <c r="AX852" s="89"/>
      <c r="AY852" s="89"/>
      <c r="AZ852" s="89"/>
      <c r="BA852" s="95"/>
    </row>
    <row r="853" spans="1:53" s="87" customFormat="1">
      <c r="A853" s="374" t="str">
        <f t="shared" si="61"/>
        <v/>
      </c>
      <c r="B853" s="89">
        <v>12</v>
      </c>
      <c r="C853" s="89" t="s">
        <v>210</v>
      </c>
      <c r="D853" s="89">
        <v>-4</v>
      </c>
      <c r="E853" s="89">
        <v>-1</v>
      </c>
      <c r="F853" s="89" t="s">
        <v>210</v>
      </c>
      <c r="G853" s="89" t="s">
        <v>202</v>
      </c>
      <c r="H853" s="89" t="s">
        <v>210</v>
      </c>
      <c r="I853" s="89" t="s">
        <v>210</v>
      </c>
      <c r="J853" s="89">
        <v>-3</v>
      </c>
      <c r="K853" s="89" t="s">
        <v>210</v>
      </c>
      <c r="L853" s="89">
        <v>1</v>
      </c>
      <c r="M853" s="89">
        <v>5</v>
      </c>
      <c r="N853" s="89" t="s">
        <v>210</v>
      </c>
      <c r="O853" s="89">
        <v>4</v>
      </c>
      <c r="P853" s="89" t="s">
        <v>210</v>
      </c>
      <c r="Q853" s="89" t="s">
        <v>210</v>
      </c>
      <c r="R853" s="89">
        <v>-6</v>
      </c>
      <c r="S853" s="89">
        <v>2</v>
      </c>
      <c r="T853" s="89" t="s">
        <v>210</v>
      </c>
      <c r="U853" s="89"/>
      <c r="V853" s="89"/>
      <c r="W853" s="89"/>
      <c r="X853" s="89"/>
      <c r="Y853" s="89"/>
      <c r="Z853" s="89"/>
      <c r="AA853" s="89"/>
      <c r="AB853" s="89"/>
      <c r="AC853" s="89"/>
      <c r="AD853" s="89"/>
      <c r="AE853" s="89"/>
      <c r="AF853" s="89"/>
      <c r="AG853" s="89"/>
      <c r="AH853" s="89"/>
      <c r="AI853" s="89"/>
      <c r="AJ853" s="89"/>
      <c r="AK853" s="89"/>
      <c r="AL853" s="89"/>
      <c r="AM853" s="89"/>
      <c r="AN853" s="89"/>
      <c r="AO853" s="89"/>
      <c r="AP853" s="89"/>
      <c r="AQ853" s="89"/>
      <c r="AR853" s="89"/>
      <c r="AS853" s="89"/>
      <c r="AT853" s="89"/>
      <c r="AU853" s="89"/>
      <c r="AV853" s="89"/>
      <c r="AW853" s="89"/>
      <c r="AX853" s="89"/>
      <c r="AY853" s="89"/>
      <c r="AZ853" s="89"/>
      <c r="BA853" s="95"/>
    </row>
    <row r="854" spans="1:53" s="87" customFormat="1">
      <c r="A854" s="374" t="str">
        <f t="shared" si="61"/>
        <v/>
      </c>
      <c r="B854" s="89">
        <v>13</v>
      </c>
      <c r="C854" s="89" t="s">
        <v>210</v>
      </c>
      <c r="D854" s="89">
        <v>3</v>
      </c>
      <c r="E854" s="89" t="s">
        <v>202</v>
      </c>
      <c r="F854" s="89" t="s">
        <v>210</v>
      </c>
      <c r="G854" s="89">
        <v>-5</v>
      </c>
      <c r="H854" s="89" t="s">
        <v>210</v>
      </c>
      <c r="I854" s="89" t="s">
        <v>210</v>
      </c>
      <c r="J854" s="89">
        <v>-4</v>
      </c>
      <c r="K854" s="89" t="s">
        <v>210</v>
      </c>
      <c r="L854" s="89">
        <v>6</v>
      </c>
      <c r="M854" s="89">
        <v>2</v>
      </c>
      <c r="N854" s="89" t="s">
        <v>210</v>
      </c>
      <c r="O854" s="89" t="s">
        <v>210</v>
      </c>
      <c r="P854" s="89">
        <v>-3</v>
      </c>
      <c r="Q854" s="89">
        <v>1</v>
      </c>
      <c r="R854" s="89" t="s">
        <v>210</v>
      </c>
      <c r="S854" s="89">
        <v>-2</v>
      </c>
      <c r="T854" s="89" t="s">
        <v>210</v>
      </c>
      <c r="U854" s="89"/>
      <c r="V854" s="89"/>
      <c r="W854" s="89"/>
      <c r="X854" s="89"/>
      <c r="Y854" s="89"/>
      <c r="Z854" s="89"/>
      <c r="AA854" s="89"/>
      <c r="AB854" s="89"/>
      <c r="AC854" s="89"/>
      <c r="AD854" s="89"/>
      <c r="AE854" s="89"/>
      <c r="AF854" s="89"/>
      <c r="AG854" s="89"/>
      <c r="AH854" s="89"/>
      <c r="AI854" s="89"/>
      <c r="AJ854" s="89"/>
      <c r="AK854" s="89"/>
      <c r="AL854" s="89"/>
      <c r="AM854" s="89"/>
      <c r="AN854" s="89"/>
      <c r="AO854" s="89"/>
      <c r="AP854" s="89"/>
      <c r="AQ854" s="89"/>
      <c r="AR854" s="89"/>
      <c r="AS854" s="89"/>
      <c r="AT854" s="89"/>
      <c r="AU854" s="89"/>
      <c r="AV854" s="89"/>
      <c r="AW854" s="89"/>
      <c r="AX854" s="89"/>
      <c r="AY854" s="89"/>
      <c r="AZ854" s="89"/>
      <c r="BA854" s="95"/>
    </row>
    <row r="855" spans="1:53" s="87" customFormat="1">
      <c r="A855" s="374" t="str">
        <f t="shared" si="61"/>
        <v/>
      </c>
      <c r="B855" s="89">
        <v>14</v>
      </c>
      <c r="C855" s="89">
        <v>4</v>
      </c>
      <c r="D855" s="89" t="s">
        <v>210</v>
      </c>
      <c r="E855" s="89" t="s">
        <v>210</v>
      </c>
      <c r="F855" s="89">
        <v>-1</v>
      </c>
      <c r="G855" s="89" t="s">
        <v>210</v>
      </c>
      <c r="H855" s="89">
        <v>2</v>
      </c>
      <c r="I855" s="89">
        <v>-4</v>
      </c>
      <c r="J855" s="89" t="s">
        <v>210</v>
      </c>
      <c r="K855" s="89" t="s">
        <v>202</v>
      </c>
      <c r="L855" s="89" t="s">
        <v>210</v>
      </c>
      <c r="M855" s="89">
        <v>-5</v>
      </c>
      <c r="N855" s="89" t="s">
        <v>210</v>
      </c>
      <c r="O855" s="89" t="s">
        <v>210</v>
      </c>
      <c r="P855" s="89">
        <v>3</v>
      </c>
      <c r="Q855" s="89">
        <v>6</v>
      </c>
      <c r="R855" s="89" t="s">
        <v>210</v>
      </c>
      <c r="S855" s="89" t="s">
        <v>210</v>
      </c>
      <c r="T855" s="89">
        <v>-2</v>
      </c>
      <c r="U855" s="89"/>
      <c r="V855" s="89"/>
      <c r="W855" s="89"/>
      <c r="X855" s="89"/>
      <c r="Y855" s="89"/>
      <c r="Z855" s="89"/>
      <c r="AA855" s="89"/>
      <c r="AB855" s="89"/>
      <c r="AC855" s="89"/>
      <c r="AD855" s="89"/>
      <c r="AE855" s="89"/>
      <c r="AF855" s="89"/>
      <c r="AG855" s="89"/>
      <c r="AH855" s="89"/>
      <c r="AI855" s="89"/>
      <c r="AJ855" s="89"/>
      <c r="AK855" s="89"/>
      <c r="AL855" s="89"/>
      <c r="AM855" s="89"/>
      <c r="AN855" s="89"/>
      <c r="AO855" s="89"/>
      <c r="AP855" s="89"/>
      <c r="AQ855" s="89"/>
      <c r="AR855" s="89"/>
      <c r="AS855" s="89"/>
      <c r="AT855" s="89"/>
      <c r="AU855" s="89"/>
      <c r="AV855" s="89"/>
      <c r="AW855" s="89"/>
      <c r="AX855" s="89"/>
      <c r="AY855" s="89"/>
      <c r="AZ855" s="89"/>
      <c r="BA855" s="95"/>
    </row>
    <row r="856" spans="1:53" s="87" customFormat="1">
      <c r="A856" s="374" t="str">
        <f t="shared" si="61"/>
        <v/>
      </c>
      <c r="B856" s="89">
        <v>15</v>
      </c>
      <c r="C856" s="89" t="s">
        <v>210</v>
      </c>
      <c r="D856" s="89">
        <v>4</v>
      </c>
      <c r="E856" s="89">
        <v>6</v>
      </c>
      <c r="F856" s="89" t="s">
        <v>210</v>
      </c>
      <c r="G856" s="89" t="s">
        <v>210</v>
      </c>
      <c r="H856" s="89">
        <v>-5</v>
      </c>
      <c r="I856" s="89">
        <v>3</v>
      </c>
      <c r="J856" s="89" t="s">
        <v>210</v>
      </c>
      <c r="K856" s="89">
        <v>-6</v>
      </c>
      <c r="L856" s="89" t="s">
        <v>210</v>
      </c>
      <c r="M856" s="89" t="s">
        <v>202</v>
      </c>
      <c r="N856" s="89" t="s">
        <v>210</v>
      </c>
      <c r="O856" s="89" t="s">
        <v>210</v>
      </c>
      <c r="P856" s="89">
        <v>-4</v>
      </c>
      <c r="Q856" s="89">
        <v>-1</v>
      </c>
      <c r="R856" s="89" t="s">
        <v>210</v>
      </c>
      <c r="S856" s="89" t="s">
        <v>210</v>
      </c>
      <c r="T856" s="89">
        <v>2</v>
      </c>
      <c r="U856" s="89"/>
      <c r="V856" s="89"/>
      <c r="W856" s="89"/>
      <c r="X856" s="89"/>
      <c r="Y856" s="89"/>
      <c r="Z856" s="89"/>
      <c r="AA856" s="89"/>
      <c r="AB856" s="89"/>
      <c r="AC856" s="89"/>
      <c r="AD856" s="89"/>
      <c r="AE856" s="89"/>
      <c r="AF856" s="89"/>
      <c r="AG856" s="89"/>
      <c r="AH856" s="89"/>
      <c r="AI856" s="89"/>
      <c r="AJ856" s="89"/>
      <c r="AK856" s="89"/>
      <c r="AL856" s="89"/>
      <c r="AM856" s="89"/>
      <c r="AN856" s="89"/>
      <c r="AO856" s="89"/>
      <c r="AP856" s="89"/>
      <c r="AQ856" s="89"/>
      <c r="AR856" s="89"/>
      <c r="AS856" s="89"/>
      <c r="AT856" s="89"/>
      <c r="AU856" s="89"/>
      <c r="AV856" s="89"/>
      <c r="AW856" s="89"/>
      <c r="AX856" s="89"/>
      <c r="AY856" s="89"/>
      <c r="AZ856" s="89"/>
      <c r="BA856" s="95"/>
    </row>
    <row r="857" spans="1:53" s="87" customFormat="1">
      <c r="A857" s="374" t="str">
        <f t="shared" si="61"/>
        <v/>
      </c>
      <c r="B857" s="89">
        <v>16</v>
      </c>
      <c r="C857" s="89" t="s">
        <v>210</v>
      </c>
      <c r="D857" s="89">
        <v>-3</v>
      </c>
      <c r="E857" s="89">
        <v>1</v>
      </c>
      <c r="F857" s="89" t="s">
        <v>210</v>
      </c>
      <c r="G857" s="89">
        <v>-2</v>
      </c>
      <c r="H857" s="89" t="s">
        <v>210</v>
      </c>
      <c r="I857" s="89" t="s">
        <v>202</v>
      </c>
      <c r="J857" s="89" t="s">
        <v>210</v>
      </c>
      <c r="K857" s="89">
        <v>-1</v>
      </c>
      <c r="L857" s="89" t="s">
        <v>210</v>
      </c>
      <c r="M857" s="89" t="s">
        <v>210</v>
      </c>
      <c r="N857" s="89">
        <v>2</v>
      </c>
      <c r="O857" s="89" t="s">
        <v>210</v>
      </c>
      <c r="P857" s="89">
        <v>4</v>
      </c>
      <c r="Q857" s="89">
        <v>-6</v>
      </c>
      <c r="R857" s="89" t="s">
        <v>210</v>
      </c>
      <c r="S857" s="89" t="s">
        <v>210</v>
      </c>
      <c r="T857" s="89">
        <v>5</v>
      </c>
      <c r="U857" s="89"/>
      <c r="V857" s="89"/>
      <c r="W857" s="89"/>
      <c r="X857" s="89"/>
      <c r="Y857" s="89"/>
      <c r="Z857" s="89"/>
      <c r="AA857" s="89"/>
      <c r="AB857" s="89"/>
      <c r="AC857" s="89"/>
      <c r="AD857" s="89"/>
      <c r="AE857" s="89"/>
      <c r="AF857" s="89"/>
      <c r="AG857" s="89"/>
      <c r="AH857" s="89"/>
      <c r="AI857" s="89"/>
      <c r="AJ857" s="89"/>
      <c r="AK857" s="89"/>
      <c r="AL857" s="89"/>
      <c r="AM857" s="89"/>
      <c r="AN857" s="89"/>
      <c r="AO857" s="89"/>
      <c r="AP857" s="89"/>
      <c r="AQ857" s="89"/>
      <c r="AR857" s="89"/>
      <c r="AS857" s="89"/>
      <c r="AT857" s="89"/>
      <c r="AU857" s="89"/>
      <c r="AV857" s="89"/>
      <c r="AW857" s="89"/>
      <c r="AX857" s="89"/>
      <c r="AY857" s="89"/>
      <c r="AZ857" s="89"/>
      <c r="BA857" s="95"/>
    </row>
    <row r="858" spans="1:53" s="87" customFormat="1">
      <c r="A858" s="374" t="str">
        <f t="shared" si="61"/>
        <v/>
      </c>
      <c r="B858" s="89">
        <v>17</v>
      </c>
      <c r="C858" s="89">
        <v>-3</v>
      </c>
      <c r="D858" s="89" t="s">
        <v>210</v>
      </c>
      <c r="E858" s="89" t="s">
        <v>210</v>
      </c>
      <c r="F858" s="89">
        <v>6</v>
      </c>
      <c r="G858" s="89" t="s">
        <v>210</v>
      </c>
      <c r="H858" s="89">
        <v>5</v>
      </c>
      <c r="I858" s="89">
        <v>4</v>
      </c>
      <c r="J858" s="89" t="s">
        <v>210</v>
      </c>
      <c r="K858" s="89" t="s">
        <v>210</v>
      </c>
      <c r="L858" s="89">
        <v>-1</v>
      </c>
      <c r="M858" s="89">
        <v>-2</v>
      </c>
      <c r="N858" s="89" t="s">
        <v>210</v>
      </c>
      <c r="O858" s="89">
        <v>3</v>
      </c>
      <c r="P858" s="89" t="s">
        <v>210</v>
      </c>
      <c r="Q858" s="89" t="s">
        <v>202</v>
      </c>
      <c r="R858" s="89" t="s">
        <v>210</v>
      </c>
      <c r="S858" s="89" t="s">
        <v>210</v>
      </c>
      <c r="T858" s="89">
        <v>-5</v>
      </c>
      <c r="U858" s="89"/>
      <c r="V858" s="89"/>
      <c r="W858" s="89"/>
      <c r="X858" s="89"/>
      <c r="Y858" s="89"/>
      <c r="Z858" s="89"/>
      <c r="AA858" s="89"/>
      <c r="AB858" s="89"/>
      <c r="AC858" s="89"/>
      <c r="AD858" s="89"/>
      <c r="AE858" s="89"/>
      <c r="AF858" s="89"/>
      <c r="AG858" s="89"/>
      <c r="AH858" s="89"/>
      <c r="AI858" s="89"/>
      <c r="AJ858" s="89"/>
      <c r="AK858" s="89"/>
      <c r="AL858" s="89"/>
      <c r="AM858" s="89"/>
      <c r="AN858" s="89"/>
      <c r="AO858" s="89"/>
      <c r="AP858" s="89"/>
      <c r="AQ858" s="89"/>
      <c r="AR858" s="89"/>
      <c r="AS858" s="89"/>
      <c r="AT858" s="89"/>
      <c r="AU858" s="89"/>
      <c r="AV858" s="89"/>
      <c r="AW858" s="89"/>
      <c r="AX858" s="89"/>
      <c r="AY858" s="89"/>
      <c r="AZ858" s="89"/>
      <c r="BA858" s="95"/>
    </row>
    <row r="859" spans="1:53" s="87" customFormat="1">
      <c r="A859" s="374" t="str">
        <f t="shared" si="61"/>
        <v/>
      </c>
      <c r="B859" s="99">
        <v>18</v>
      </c>
      <c r="C859" s="92">
        <v>3</v>
      </c>
      <c r="D859" s="92" t="s">
        <v>210</v>
      </c>
      <c r="E859" s="92" t="s">
        <v>210</v>
      </c>
      <c r="F859" s="92">
        <v>1</v>
      </c>
      <c r="G859" s="92">
        <v>2</v>
      </c>
      <c r="H859" s="92" t="s">
        <v>210</v>
      </c>
      <c r="I859" s="92">
        <v>-3</v>
      </c>
      <c r="J859" s="92" t="s">
        <v>210</v>
      </c>
      <c r="K859" s="92" t="s">
        <v>210</v>
      </c>
      <c r="L859" s="92">
        <v>-6</v>
      </c>
      <c r="M859" s="92" t="s">
        <v>210</v>
      </c>
      <c r="N859" s="92">
        <v>5</v>
      </c>
      <c r="O859" s="92">
        <v>-4</v>
      </c>
      <c r="P859" s="92" t="s">
        <v>210</v>
      </c>
      <c r="Q859" s="92" t="s">
        <v>210</v>
      </c>
      <c r="R859" s="92">
        <v>-1</v>
      </c>
      <c r="S859" s="92" t="s">
        <v>202</v>
      </c>
      <c r="T859" s="92" t="s">
        <v>210</v>
      </c>
      <c r="U859" s="89"/>
      <c r="V859" s="89"/>
      <c r="W859" s="89"/>
      <c r="X859" s="89"/>
      <c r="Y859" s="89"/>
      <c r="Z859" s="89"/>
      <c r="AA859" s="89"/>
      <c r="AB859" s="89"/>
      <c r="AC859" s="89"/>
      <c r="AD859" s="89"/>
      <c r="AE859" s="89"/>
      <c r="AF859" s="89"/>
      <c r="AG859" s="89"/>
      <c r="AH859" s="89"/>
      <c r="AI859" s="89"/>
      <c r="AJ859" s="89"/>
      <c r="AK859" s="89"/>
      <c r="AL859" s="89"/>
      <c r="AM859" s="89"/>
      <c r="AN859" s="89"/>
      <c r="AO859" s="89"/>
      <c r="AP859" s="89"/>
      <c r="AQ859" s="89"/>
      <c r="AR859" s="89"/>
      <c r="AS859" s="89"/>
      <c r="AT859" s="89"/>
      <c r="AU859" s="89"/>
      <c r="AV859" s="89"/>
      <c r="AW859" s="89"/>
      <c r="AX859" s="89"/>
      <c r="AY859" s="89"/>
      <c r="AZ859" s="89"/>
      <c r="BA859" s="95"/>
    </row>
    <row r="860" spans="1:53" s="87" customFormat="1">
      <c r="A860" s="374" t="str">
        <f t="shared" si="61"/>
        <v/>
      </c>
      <c r="B860" s="89">
        <v>19</v>
      </c>
      <c r="C860" s="89">
        <v>-5</v>
      </c>
      <c r="D860" s="89" t="s">
        <v>210</v>
      </c>
      <c r="E860" s="89" t="s">
        <v>210</v>
      </c>
      <c r="F860" s="89">
        <v>-4</v>
      </c>
      <c r="G860" s="89">
        <v>6</v>
      </c>
      <c r="H860" s="89" t="s">
        <v>210</v>
      </c>
      <c r="I860" s="89" t="s">
        <v>210</v>
      </c>
      <c r="J860" s="89">
        <v>2</v>
      </c>
      <c r="K860" s="89">
        <v>4</v>
      </c>
      <c r="L860" s="89" t="s">
        <v>210</v>
      </c>
      <c r="M860" s="89" t="s">
        <v>210</v>
      </c>
      <c r="N860" s="89">
        <v>-1</v>
      </c>
      <c r="O860" s="89" t="s">
        <v>202</v>
      </c>
      <c r="P860" s="89" t="s">
        <v>210</v>
      </c>
      <c r="Q860" s="89" t="s">
        <v>210</v>
      </c>
      <c r="R860" s="89">
        <v>3</v>
      </c>
      <c r="S860" s="89">
        <v>-6</v>
      </c>
      <c r="T860" s="89" t="s">
        <v>210</v>
      </c>
      <c r="U860" s="89"/>
      <c r="V860" s="89"/>
      <c r="W860" s="89"/>
      <c r="X860" s="89"/>
      <c r="Y860" s="89"/>
      <c r="Z860" s="89"/>
      <c r="AA860" s="89"/>
      <c r="AB860" s="89"/>
      <c r="AC860" s="89"/>
      <c r="AD860" s="89"/>
      <c r="AE860" s="89"/>
      <c r="AF860" s="89"/>
      <c r="AG860" s="89"/>
      <c r="AH860" s="89"/>
      <c r="AI860" s="89"/>
      <c r="AJ860" s="89"/>
      <c r="AK860" s="89"/>
      <c r="AL860" s="89"/>
      <c r="AM860" s="89"/>
      <c r="AN860" s="89"/>
      <c r="AO860" s="89"/>
      <c r="AP860" s="89"/>
      <c r="AQ860" s="89"/>
      <c r="AR860" s="89"/>
      <c r="AS860" s="89"/>
      <c r="AT860" s="89"/>
      <c r="AU860" s="89"/>
      <c r="AV860" s="89"/>
      <c r="AW860" s="89"/>
      <c r="AX860" s="89"/>
      <c r="AY860" s="89"/>
      <c r="AZ860" s="89"/>
      <c r="BA860" s="95"/>
    </row>
    <row r="861" spans="1:53" s="87" customFormat="1">
      <c r="A861" s="374" t="str">
        <f t="shared" si="61"/>
        <v/>
      </c>
      <c r="B861" s="89">
        <v>20</v>
      </c>
      <c r="C861" s="89" t="s">
        <v>210</v>
      </c>
      <c r="D861" s="89" t="s">
        <v>202</v>
      </c>
      <c r="E861" s="89">
        <v>-4</v>
      </c>
      <c r="F861" s="89" t="s">
        <v>210</v>
      </c>
      <c r="G861" s="89" t="s">
        <v>210</v>
      </c>
      <c r="H861" s="89">
        <v>-1</v>
      </c>
      <c r="I861" s="89" t="s">
        <v>210</v>
      </c>
      <c r="J861" s="89">
        <v>5</v>
      </c>
      <c r="K861" s="89">
        <v>3</v>
      </c>
      <c r="L861" s="89" t="s">
        <v>210</v>
      </c>
      <c r="M861" s="89" t="s">
        <v>210</v>
      </c>
      <c r="N861" s="89">
        <v>-6</v>
      </c>
      <c r="O861" s="89">
        <v>-2</v>
      </c>
      <c r="P861" s="89" t="s">
        <v>210</v>
      </c>
      <c r="Q861" s="89" t="s">
        <v>210</v>
      </c>
      <c r="R861" s="89">
        <v>4</v>
      </c>
      <c r="S861" s="89">
        <v>6</v>
      </c>
      <c r="T861" s="89" t="s">
        <v>210</v>
      </c>
      <c r="U861" s="89"/>
      <c r="V861" s="89"/>
      <c r="W861" s="89"/>
      <c r="X861" s="89"/>
      <c r="Y861" s="89"/>
      <c r="Z861" s="89"/>
      <c r="AA861" s="89"/>
      <c r="AB861" s="89"/>
      <c r="AC861" s="89"/>
      <c r="AD861" s="89"/>
      <c r="AE861" s="89"/>
      <c r="AF861" s="89"/>
      <c r="AG861" s="89"/>
      <c r="AH861" s="89"/>
      <c r="AI861" s="89"/>
      <c r="AJ861" s="89"/>
      <c r="AK861" s="89"/>
      <c r="AL861" s="89"/>
      <c r="AM861" s="89"/>
      <c r="AN861" s="89"/>
      <c r="AO861" s="89"/>
      <c r="AP861" s="89"/>
      <c r="AQ861" s="89"/>
      <c r="AR861" s="89"/>
      <c r="AS861" s="89"/>
      <c r="AT861" s="89"/>
      <c r="AU861" s="89"/>
      <c r="AV861" s="89"/>
      <c r="AW861" s="89"/>
      <c r="AX861" s="89"/>
      <c r="AY861" s="89"/>
      <c r="AZ861" s="89"/>
      <c r="BA861" s="95"/>
    </row>
    <row r="862" spans="1:53" s="87" customFormat="1">
      <c r="A862" s="374" t="str">
        <f t="shared" si="61"/>
        <v/>
      </c>
      <c r="B862" s="89">
        <v>21</v>
      </c>
      <c r="C862" s="89" t="s">
        <v>210</v>
      </c>
      <c r="D862" s="89">
        <v>-5</v>
      </c>
      <c r="E862" s="89">
        <v>-3</v>
      </c>
      <c r="F862" s="89" t="s">
        <v>210</v>
      </c>
      <c r="G862" s="89" t="s">
        <v>202</v>
      </c>
      <c r="H862" s="89" t="s">
        <v>210</v>
      </c>
      <c r="I862" s="89" t="s">
        <v>210</v>
      </c>
      <c r="J862" s="89">
        <v>-2</v>
      </c>
      <c r="K862" s="89" t="s">
        <v>210</v>
      </c>
      <c r="L862" s="89">
        <v>3</v>
      </c>
      <c r="M862" s="89">
        <v>6</v>
      </c>
      <c r="N862" s="89" t="s">
        <v>210</v>
      </c>
      <c r="O862" s="89">
        <v>5</v>
      </c>
      <c r="P862" s="89" t="s">
        <v>210</v>
      </c>
      <c r="Q862" s="89" t="s">
        <v>210</v>
      </c>
      <c r="R862" s="89">
        <v>-4</v>
      </c>
      <c r="S862" s="89">
        <v>1</v>
      </c>
      <c r="T862" s="89" t="s">
        <v>210</v>
      </c>
      <c r="U862" s="89"/>
      <c r="V862" s="89"/>
      <c r="W862" s="89"/>
      <c r="X862" s="89"/>
      <c r="Y862" s="89"/>
      <c r="Z862" s="89"/>
      <c r="AA862" s="89"/>
      <c r="AB862" s="89"/>
      <c r="AC862" s="89"/>
      <c r="AD862" s="89"/>
      <c r="AE862" s="89"/>
      <c r="AF862" s="89"/>
      <c r="AG862" s="89"/>
      <c r="AH862" s="89"/>
      <c r="AI862" s="89"/>
      <c r="AJ862" s="89"/>
      <c r="AK862" s="89"/>
      <c r="AL862" s="89"/>
      <c r="AM862" s="89"/>
      <c r="AN862" s="89"/>
      <c r="AO862" s="89"/>
      <c r="AP862" s="89"/>
      <c r="AQ862" s="89"/>
      <c r="AR862" s="89"/>
      <c r="AS862" s="89"/>
      <c r="AT862" s="89"/>
      <c r="AU862" s="89"/>
      <c r="AV862" s="89"/>
      <c r="AW862" s="89"/>
      <c r="AX862" s="89"/>
      <c r="AY862" s="89"/>
      <c r="AZ862" s="89"/>
      <c r="BA862" s="95"/>
    </row>
    <row r="863" spans="1:53" s="87" customFormat="1">
      <c r="A863" s="374" t="str">
        <f t="shared" si="61"/>
        <v/>
      </c>
      <c r="B863" s="89">
        <v>22</v>
      </c>
      <c r="C863" s="89" t="s">
        <v>210</v>
      </c>
      <c r="D863" s="89">
        <v>2</v>
      </c>
      <c r="E863" s="89" t="s">
        <v>202</v>
      </c>
      <c r="F863" s="89" t="s">
        <v>210</v>
      </c>
      <c r="G863" s="89">
        <v>-6</v>
      </c>
      <c r="H863" s="89" t="s">
        <v>210</v>
      </c>
      <c r="I863" s="89" t="s">
        <v>210</v>
      </c>
      <c r="J863" s="89">
        <v>-5</v>
      </c>
      <c r="K863" s="89" t="s">
        <v>210</v>
      </c>
      <c r="L863" s="89">
        <v>4</v>
      </c>
      <c r="M863" s="89">
        <v>1</v>
      </c>
      <c r="N863" s="89" t="s">
        <v>210</v>
      </c>
      <c r="O863" s="89" t="s">
        <v>210</v>
      </c>
      <c r="P863" s="89">
        <v>-2</v>
      </c>
      <c r="Q863" s="89">
        <v>3</v>
      </c>
      <c r="R863" s="89" t="s">
        <v>210</v>
      </c>
      <c r="S863" s="89">
        <v>-1</v>
      </c>
      <c r="T863" s="89" t="s">
        <v>210</v>
      </c>
      <c r="U863" s="89"/>
      <c r="V863" s="89"/>
      <c r="W863" s="89"/>
      <c r="X863" s="89"/>
      <c r="Y863" s="89"/>
      <c r="Z863" s="89"/>
      <c r="AA863" s="89"/>
      <c r="AB863" s="89"/>
      <c r="AC863" s="89"/>
      <c r="AD863" s="89"/>
      <c r="AE863" s="89"/>
      <c r="AF863" s="89"/>
      <c r="AG863" s="89"/>
      <c r="AH863" s="89"/>
      <c r="AI863" s="89"/>
      <c r="AJ863" s="89"/>
      <c r="AK863" s="89"/>
      <c r="AL863" s="89"/>
      <c r="AM863" s="89"/>
      <c r="AN863" s="89"/>
      <c r="AO863" s="89"/>
      <c r="AP863" s="89"/>
      <c r="AQ863" s="89"/>
      <c r="AR863" s="89"/>
      <c r="AS863" s="89"/>
      <c r="AT863" s="89"/>
      <c r="AU863" s="89"/>
      <c r="AV863" s="89"/>
      <c r="AW863" s="89"/>
      <c r="AX863" s="89"/>
      <c r="AY863" s="89"/>
      <c r="AZ863" s="89"/>
      <c r="BA863" s="95"/>
    </row>
    <row r="864" spans="1:53" s="87" customFormat="1">
      <c r="A864" s="374" t="str">
        <f t="shared" si="61"/>
        <v/>
      </c>
      <c r="B864" s="89">
        <v>23</v>
      </c>
      <c r="C864" s="89" t="s">
        <v>210</v>
      </c>
      <c r="D864" s="89">
        <v>5</v>
      </c>
      <c r="E864" s="89">
        <v>4</v>
      </c>
      <c r="F864" s="89" t="s">
        <v>210</v>
      </c>
      <c r="G864" s="89" t="s">
        <v>210</v>
      </c>
      <c r="H864" s="89">
        <v>-6</v>
      </c>
      <c r="I864" s="89">
        <v>2</v>
      </c>
      <c r="J864" s="89" t="s">
        <v>210</v>
      </c>
      <c r="K864" s="89">
        <v>-4</v>
      </c>
      <c r="L864" s="89" t="s">
        <v>210</v>
      </c>
      <c r="M864" s="89" t="s">
        <v>202</v>
      </c>
      <c r="N864" s="89" t="s">
        <v>210</v>
      </c>
      <c r="O864" s="89" t="s">
        <v>210</v>
      </c>
      <c r="P864" s="89">
        <v>-5</v>
      </c>
      <c r="Q864" s="89">
        <v>-3</v>
      </c>
      <c r="R864" s="89" t="s">
        <v>210</v>
      </c>
      <c r="S864" s="89" t="s">
        <v>210</v>
      </c>
      <c r="T864" s="89">
        <v>1</v>
      </c>
      <c r="U864" s="89"/>
      <c r="V864" s="89"/>
      <c r="W864" s="89"/>
      <c r="X864" s="89"/>
      <c r="Y864" s="89"/>
      <c r="Z864" s="89"/>
      <c r="AA864" s="89"/>
      <c r="AB864" s="89"/>
      <c r="AC864" s="89"/>
      <c r="AD864" s="89"/>
      <c r="AE864" s="89"/>
      <c r="AF864" s="89"/>
      <c r="AG864" s="89"/>
      <c r="AH864" s="89"/>
      <c r="AI864" s="89"/>
      <c r="AJ864" s="89"/>
      <c r="AK864" s="89"/>
      <c r="AL864" s="89"/>
      <c r="AM864" s="89"/>
      <c r="AN864" s="89"/>
      <c r="AO864" s="89"/>
      <c r="AP864" s="89"/>
      <c r="AQ864" s="89"/>
      <c r="AR864" s="89"/>
      <c r="AS864" s="89"/>
      <c r="AT864" s="89"/>
      <c r="AU864" s="89"/>
      <c r="AV864" s="89"/>
      <c r="AW864" s="89"/>
      <c r="AX864" s="89"/>
      <c r="AY864" s="89"/>
      <c r="AZ864" s="89"/>
      <c r="BA864" s="95"/>
    </row>
    <row r="865" spans="1:53" s="87" customFormat="1">
      <c r="A865" s="374" t="str">
        <f t="shared" si="61"/>
        <v/>
      </c>
      <c r="B865" s="89">
        <v>24</v>
      </c>
      <c r="C865" s="89">
        <v>5</v>
      </c>
      <c r="D865" s="89" t="s">
        <v>210</v>
      </c>
      <c r="E865" s="89" t="s">
        <v>210</v>
      </c>
      <c r="F865" s="89">
        <v>-3</v>
      </c>
      <c r="G865" s="89" t="s">
        <v>210</v>
      </c>
      <c r="H865" s="89">
        <v>1</v>
      </c>
      <c r="I865" s="89">
        <v>-5</v>
      </c>
      <c r="J865" s="89" t="s">
        <v>210</v>
      </c>
      <c r="K865" s="89" t="s">
        <v>202</v>
      </c>
      <c r="L865" s="89" t="s">
        <v>210</v>
      </c>
      <c r="M865" s="89">
        <v>-6</v>
      </c>
      <c r="N865" s="89" t="s">
        <v>210</v>
      </c>
      <c r="O865" s="89" t="s">
        <v>210</v>
      </c>
      <c r="P865" s="89">
        <v>2</v>
      </c>
      <c r="Q865" s="89">
        <v>4</v>
      </c>
      <c r="R865" s="89" t="s">
        <v>210</v>
      </c>
      <c r="S865" s="89" t="s">
        <v>210</v>
      </c>
      <c r="T865" s="89">
        <v>-1</v>
      </c>
      <c r="U865" s="89"/>
      <c r="V865" s="89"/>
      <c r="W865" s="89"/>
      <c r="X865" s="89"/>
      <c r="Y865" s="89"/>
      <c r="Z865" s="89"/>
      <c r="AA865" s="89"/>
      <c r="AB865" s="89"/>
      <c r="AC865" s="89"/>
      <c r="AD865" s="89"/>
      <c r="AE865" s="89"/>
      <c r="AF865" s="89"/>
      <c r="AG865" s="89"/>
      <c r="AH865" s="89"/>
      <c r="AI865" s="89"/>
      <c r="AJ865" s="89"/>
      <c r="AK865" s="89"/>
      <c r="AL865" s="89"/>
      <c r="AM865" s="89"/>
      <c r="AN865" s="89"/>
      <c r="AO865" s="89"/>
      <c r="AP865" s="89"/>
      <c r="AQ865" s="89"/>
      <c r="AR865" s="89"/>
      <c r="AS865" s="89"/>
      <c r="AT865" s="89"/>
      <c r="AU865" s="89"/>
      <c r="AV865" s="89"/>
      <c r="AW865" s="89"/>
      <c r="AX865" s="89"/>
      <c r="AY865" s="89"/>
      <c r="AZ865" s="89"/>
      <c r="BA865" s="95"/>
    </row>
    <row r="866" spans="1:53" s="87" customFormat="1">
      <c r="A866" s="374" t="str">
        <f t="shared" si="61"/>
        <v/>
      </c>
      <c r="B866" s="89">
        <v>25</v>
      </c>
      <c r="C866" s="89" t="s">
        <v>210</v>
      </c>
      <c r="D866" s="89">
        <v>-2</v>
      </c>
      <c r="E866" s="89">
        <v>3</v>
      </c>
      <c r="F866" s="89" t="s">
        <v>210</v>
      </c>
      <c r="G866" s="89">
        <v>-1</v>
      </c>
      <c r="H866" s="89" t="s">
        <v>210</v>
      </c>
      <c r="I866" s="89" t="s">
        <v>202</v>
      </c>
      <c r="J866" s="89" t="s">
        <v>210</v>
      </c>
      <c r="K866" s="89">
        <v>-3</v>
      </c>
      <c r="L866" s="89" t="s">
        <v>210</v>
      </c>
      <c r="M866" s="89" t="s">
        <v>210</v>
      </c>
      <c r="N866" s="89">
        <v>1</v>
      </c>
      <c r="O866" s="89" t="s">
        <v>210</v>
      </c>
      <c r="P866" s="89">
        <v>5</v>
      </c>
      <c r="Q866" s="89">
        <v>-4</v>
      </c>
      <c r="R866" s="89" t="s">
        <v>210</v>
      </c>
      <c r="S866" s="89" t="s">
        <v>210</v>
      </c>
      <c r="T866" s="89">
        <v>6</v>
      </c>
      <c r="U866" s="89"/>
      <c r="V866" s="89"/>
      <c r="W866" s="89"/>
      <c r="X866" s="89"/>
      <c r="Y866" s="89"/>
      <c r="Z866" s="89"/>
      <c r="AA866" s="89"/>
      <c r="AB866" s="89"/>
      <c r="AC866" s="89"/>
      <c r="AD866" s="89"/>
      <c r="AE866" s="89"/>
      <c r="AF866" s="89"/>
      <c r="AG866" s="89"/>
      <c r="AH866" s="89"/>
      <c r="AI866" s="89"/>
      <c r="AJ866" s="89"/>
      <c r="AK866" s="89"/>
      <c r="AL866" s="89"/>
      <c r="AM866" s="89"/>
      <c r="AN866" s="89"/>
      <c r="AO866" s="89"/>
      <c r="AP866" s="89"/>
      <c r="AQ866" s="89"/>
      <c r="AR866" s="89"/>
      <c r="AS866" s="89"/>
      <c r="AT866" s="89"/>
      <c r="AU866" s="89"/>
      <c r="AV866" s="89"/>
      <c r="AW866" s="89"/>
      <c r="AX866" s="89"/>
      <c r="AY866" s="89"/>
      <c r="AZ866" s="89"/>
      <c r="BA866" s="95"/>
    </row>
    <row r="867" spans="1:53" s="87" customFormat="1">
      <c r="A867" s="374" t="str">
        <f t="shared" si="61"/>
        <v/>
      </c>
      <c r="B867" s="89">
        <v>26</v>
      </c>
      <c r="C867" s="89">
        <v>-2</v>
      </c>
      <c r="D867" s="89" t="s">
        <v>210</v>
      </c>
      <c r="E867" s="89" t="s">
        <v>210</v>
      </c>
      <c r="F867" s="89">
        <v>4</v>
      </c>
      <c r="G867" s="89" t="s">
        <v>210</v>
      </c>
      <c r="H867" s="89">
        <v>6</v>
      </c>
      <c r="I867" s="89">
        <v>5</v>
      </c>
      <c r="J867" s="89" t="s">
        <v>210</v>
      </c>
      <c r="K867" s="89" t="s">
        <v>210</v>
      </c>
      <c r="L867" s="89">
        <v>-3</v>
      </c>
      <c r="M867" s="89">
        <v>-1</v>
      </c>
      <c r="N867" s="89" t="s">
        <v>210</v>
      </c>
      <c r="O867" s="89">
        <v>2</v>
      </c>
      <c r="P867" s="89" t="s">
        <v>210</v>
      </c>
      <c r="Q867" s="89" t="s">
        <v>202</v>
      </c>
      <c r="R867" s="89" t="s">
        <v>210</v>
      </c>
      <c r="S867" s="89" t="s">
        <v>210</v>
      </c>
      <c r="T867" s="89">
        <v>-6</v>
      </c>
      <c r="U867" s="89"/>
      <c r="V867" s="89"/>
      <c r="W867" s="89"/>
      <c r="X867" s="89"/>
      <c r="Y867" s="89"/>
      <c r="Z867" s="89"/>
      <c r="AA867" s="89"/>
      <c r="AB867" s="89"/>
      <c r="AC867" s="89"/>
      <c r="AD867" s="89"/>
      <c r="AE867" s="89"/>
      <c r="AF867" s="89"/>
      <c r="AG867" s="89"/>
      <c r="AH867" s="89"/>
      <c r="AI867" s="89"/>
      <c r="AJ867" s="89"/>
      <c r="AK867" s="89"/>
      <c r="AL867" s="89"/>
      <c r="AM867" s="89"/>
      <c r="AN867" s="89"/>
      <c r="AO867" s="89"/>
      <c r="AP867" s="89"/>
      <c r="AQ867" s="89"/>
      <c r="AR867" s="89"/>
      <c r="AS867" s="89"/>
      <c r="AT867" s="89"/>
      <c r="AU867" s="89"/>
      <c r="AV867" s="89"/>
      <c r="AW867" s="89"/>
      <c r="AX867" s="89"/>
      <c r="AY867" s="89"/>
      <c r="AZ867" s="89"/>
      <c r="BA867" s="95"/>
    </row>
    <row r="868" spans="1:53" s="87" customFormat="1">
      <c r="A868" s="374" t="str">
        <f t="shared" si="61"/>
        <v/>
      </c>
      <c r="B868" s="89">
        <v>27</v>
      </c>
      <c r="C868" s="89">
        <v>2</v>
      </c>
      <c r="D868" s="89" t="s">
        <v>210</v>
      </c>
      <c r="E868" s="89" t="s">
        <v>210</v>
      </c>
      <c r="F868" s="89">
        <v>3</v>
      </c>
      <c r="G868" s="89">
        <v>1</v>
      </c>
      <c r="H868" s="89" t="s">
        <v>210</v>
      </c>
      <c r="I868" s="89">
        <v>-2</v>
      </c>
      <c r="J868" s="89" t="s">
        <v>210</v>
      </c>
      <c r="K868" s="89" t="s">
        <v>210</v>
      </c>
      <c r="L868" s="89">
        <v>-4</v>
      </c>
      <c r="M868" s="89" t="s">
        <v>210</v>
      </c>
      <c r="N868" s="89">
        <v>6</v>
      </c>
      <c r="O868" s="89">
        <v>-5</v>
      </c>
      <c r="P868" s="89" t="s">
        <v>210</v>
      </c>
      <c r="Q868" s="89" t="s">
        <v>210</v>
      </c>
      <c r="R868" s="89">
        <v>-3</v>
      </c>
      <c r="S868" s="89" t="s">
        <v>202</v>
      </c>
      <c r="T868" s="89" t="s">
        <v>210</v>
      </c>
      <c r="U868" s="89"/>
      <c r="V868" s="89"/>
      <c r="W868" s="89"/>
      <c r="X868" s="89"/>
      <c r="Y868" s="89"/>
      <c r="Z868" s="89"/>
      <c r="AA868" s="89"/>
      <c r="AB868" s="89"/>
      <c r="AC868" s="89"/>
      <c r="AD868" s="89"/>
      <c r="AE868" s="89"/>
      <c r="AF868" s="89"/>
      <c r="AG868" s="89"/>
      <c r="AH868" s="89"/>
      <c r="AI868" s="89"/>
      <c r="AJ868" s="89"/>
      <c r="AK868" s="89"/>
      <c r="AL868" s="89"/>
      <c r="AM868" s="89"/>
      <c r="AN868" s="89"/>
      <c r="AO868" s="89"/>
      <c r="AP868" s="89"/>
      <c r="AQ868" s="89"/>
      <c r="AR868" s="89"/>
      <c r="AS868" s="89"/>
      <c r="AT868" s="89"/>
      <c r="AU868" s="89"/>
      <c r="AV868" s="89"/>
      <c r="AW868" s="89"/>
      <c r="AX868" s="89"/>
      <c r="AY868" s="89"/>
      <c r="AZ868" s="89"/>
      <c r="BA868" s="95"/>
    </row>
    <row r="869" spans="1:53" s="87" customFormat="1">
      <c r="A869" s="374" t="str">
        <f t="shared" si="61"/>
        <v/>
      </c>
      <c r="B869" s="89" t="s">
        <v>397</v>
      </c>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c r="AA869" s="89"/>
      <c r="AB869" s="89"/>
      <c r="AC869" s="89"/>
      <c r="AD869" s="89"/>
      <c r="AE869" s="89"/>
      <c r="AF869" s="89"/>
      <c r="AG869" s="89"/>
      <c r="AH869" s="89"/>
      <c r="AI869" s="89"/>
      <c r="AJ869" s="89"/>
      <c r="AK869" s="89"/>
      <c r="AL869" s="89"/>
      <c r="AM869" s="89"/>
      <c r="AN869" s="89"/>
      <c r="AO869" s="89"/>
      <c r="AP869" s="89"/>
      <c r="AQ869" s="89"/>
      <c r="AR869" s="89"/>
      <c r="AS869" s="89"/>
      <c r="AT869" s="89"/>
      <c r="AU869" s="89"/>
      <c r="AV869" s="89"/>
      <c r="AW869" s="89"/>
      <c r="AX869" s="89"/>
      <c r="AY869" s="89"/>
      <c r="AZ869" s="89"/>
      <c r="BA869" s="95"/>
    </row>
    <row r="870" spans="1:53" s="87" customFormat="1">
      <c r="A870" s="374">
        <f t="shared" si="61"/>
        <v>870</v>
      </c>
      <c r="B870" s="89" t="s">
        <v>398</v>
      </c>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c r="AA870" s="89"/>
      <c r="AB870" s="89"/>
      <c r="AC870" s="89"/>
      <c r="AD870" s="89"/>
      <c r="AE870" s="89"/>
      <c r="AF870" s="89"/>
      <c r="AG870" s="89"/>
      <c r="AH870" s="89"/>
      <c r="AI870" s="89"/>
      <c r="AJ870" s="89"/>
      <c r="AK870" s="89"/>
      <c r="AL870" s="89"/>
      <c r="AM870" s="89"/>
      <c r="AN870" s="89"/>
      <c r="AO870" s="89"/>
      <c r="AP870" s="89"/>
      <c r="AQ870" s="89"/>
      <c r="AR870" s="89"/>
      <c r="AS870" s="89"/>
      <c r="AT870" s="89"/>
      <c r="AU870" s="89"/>
      <c r="AV870" s="89"/>
      <c r="AW870" s="89"/>
      <c r="AX870" s="89"/>
      <c r="AY870" s="89"/>
      <c r="AZ870" s="89"/>
      <c r="BA870" s="95"/>
    </row>
    <row r="871" spans="1:53" s="87" customFormat="1">
      <c r="A871" s="374" t="str">
        <f t="shared" si="61"/>
        <v/>
      </c>
      <c r="B871" s="89">
        <v>1</v>
      </c>
      <c r="C871" s="89">
        <v>-2</v>
      </c>
      <c r="D871" s="89" t="s">
        <v>210</v>
      </c>
      <c r="E871" s="89" t="s">
        <v>202</v>
      </c>
      <c r="F871" s="89" t="s">
        <v>202</v>
      </c>
      <c r="G871" s="89">
        <v>4</v>
      </c>
      <c r="H871" s="89" t="s">
        <v>210</v>
      </c>
      <c r="I871" s="89" t="s">
        <v>210</v>
      </c>
      <c r="J871" s="89">
        <v>-5</v>
      </c>
      <c r="K871" s="89">
        <v>2</v>
      </c>
      <c r="L871" s="89" t="s">
        <v>210</v>
      </c>
      <c r="M871" s="89" t="s">
        <v>210</v>
      </c>
      <c r="N871" s="89">
        <v>1</v>
      </c>
      <c r="O871" s="89">
        <v>-3</v>
      </c>
      <c r="P871" s="89" t="s">
        <v>210</v>
      </c>
      <c r="Q871" s="89"/>
      <c r="R871" s="89"/>
      <c r="S871" s="89"/>
      <c r="T871" s="89"/>
      <c r="U871" s="89"/>
      <c r="V871" s="89"/>
      <c r="W871" s="89"/>
      <c r="X871" s="89"/>
      <c r="Y871" s="89"/>
      <c r="Z871" s="89"/>
      <c r="AA871" s="89"/>
      <c r="AB871" s="89"/>
      <c r="AC871" s="89"/>
      <c r="AD871" s="89"/>
      <c r="AE871" s="89"/>
      <c r="AF871" s="89"/>
      <c r="AG871" s="89"/>
      <c r="AH871" s="89"/>
      <c r="AI871" s="89"/>
      <c r="AJ871" s="89"/>
      <c r="AK871" s="89"/>
      <c r="AL871" s="89"/>
      <c r="AM871" s="89"/>
      <c r="AN871" s="89"/>
      <c r="AO871" s="89"/>
      <c r="AP871" s="89"/>
      <c r="AQ871" s="89"/>
      <c r="AR871" s="89"/>
      <c r="AS871" s="89"/>
      <c r="AT871" s="89"/>
      <c r="AU871" s="89"/>
      <c r="AV871" s="89"/>
      <c r="AW871" s="89"/>
      <c r="AX871" s="89"/>
      <c r="AY871" s="89"/>
      <c r="AZ871" s="89"/>
      <c r="BA871" s="95"/>
    </row>
    <row r="872" spans="1:53" s="87" customFormat="1">
      <c r="A872" s="374" t="str">
        <f t="shared" si="61"/>
        <v/>
      </c>
      <c r="B872" s="89">
        <v>2</v>
      </c>
      <c r="C872" s="89" t="s">
        <v>202</v>
      </c>
      <c r="D872" s="89" t="s">
        <v>202</v>
      </c>
      <c r="E872" s="89" t="s">
        <v>210</v>
      </c>
      <c r="F872" s="89">
        <v>-3</v>
      </c>
      <c r="G872" s="89">
        <v>6</v>
      </c>
      <c r="H872" s="89" t="s">
        <v>210</v>
      </c>
      <c r="I872" s="89" t="s">
        <v>210</v>
      </c>
      <c r="J872" s="89">
        <v>2</v>
      </c>
      <c r="K872" s="89">
        <v>-1</v>
      </c>
      <c r="L872" s="89" t="s">
        <v>210</v>
      </c>
      <c r="M872" s="89" t="s">
        <v>210</v>
      </c>
      <c r="N872" s="89">
        <v>-5</v>
      </c>
      <c r="O872" s="89">
        <v>3</v>
      </c>
      <c r="P872" s="89" t="s">
        <v>210</v>
      </c>
      <c r="Q872" s="89"/>
      <c r="R872" s="89"/>
      <c r="S872" s="89"/>
      <c r="T872" s="89"/>
      <c r="U872" s="89"/>
      <c r="V872" s="89"/>
      <c r="W872" s="89"/>
      <c r="X872" s="89"/>
      <c r="Y872" s="89"/>
      <c r="Z872" s="89"/>
      <c r="AA872" s="89"/>
      <c r="AB872" s="89"/>
      <c r="AC872" s="89"/>
      <c r="AD872" s="89"/>
      <c r="AE872" s="89"/>
      <c r="AF872" s="89"/>
      <c r="AG872" s="89"/>
      <c r="AH872" s="89"/>
      <c r="AI872" s="89"/>
      <c r="AJ872" s="89"/>
      <c r="AK872" s="89"/>
      <c r="AL872" s="89"/>
      <c r="AM872" s="89"/>
      <c r="AN872" s="89"/>
      <c r="AO872" s="89"/>
      <c r="AP872" s="89"/>
      <c r="AQ872" s="89"/>
      <c r="AR872" s="89"/>
      <c r="AS872" s="89"/>
      <c r="AT872" s="89"/>
      <c r="AU872" s="89"/>
      <c r="AV872" s="89"/>
      <c r="AW872" s="89"/>
      <c r="AX872" s="89"/>
      <c r="AY872" s="89"/>
      <c r="AZ872" s="89"/>
      <c r="BA872" s="95"/>
    </row>
    <row r="873" spans="1:53" s="87" customFormat="1">
      <c r="A873" s="374" t="str">
        <f t="shared" si="61"/>
        <v/>
      </c>
      <c r="B873" s="89">
        <v>3</v>
      </c>
      <c r="C873" s="89">
        <v>-3</v>
      </c>
      <c r="D873" s="89" t="s">
        <v>210</v>
      </c>
      <c r="E873" s="89" t="s">
        <v>210</v>
      </c>
      <c r="F873" s="89">
        <v>5</v>
      </c>
      <c r="G873" s="89" t="s">
        <v>202</v>
      </c>
      <c r="H873" s="89" t="s">
        <v>202</v>
      </c>
      <c r="I873" s="89" t="s">
        <v>210</v>
      </c>
      <c r="J873" s="89">
        <v>-2</v>
      </c>
      <c r="K873" s="89">
        <v>6</v>
      </c>
      <c r="L873" s="89" t="s">
        <v>210</v>
      </c>
      <c r="M873" s="89" t="s">
        <v>210</v>
      </c>
      <c r="N873" s="89">
        <v>-1</v>
      </c>
      <c r="O873" s="89">
        <v>4</v>
      </c>
      <c r="P873" s="89" t="s">
        <v>210</v>
      </c>
      <c r="Q873" s="89"/>
      <c r="R873" s="89"/>
      <c r="S873" s="89"/>
      <c r="T873" s="89"/>
      <c r="U873" s="89"/>
      <c r="V873" s="89"/>
      <c r="W873" s="89"/>
      <c r="X873" s="89"/>
      <c r="Y873" s="89"/>
      <c r="Z873" s="89"/>
      <c r="AA873" s="89"/>
      <c r="AB873" s="89"/>
      <c r="AC873" s="89"/>
      <c r="AD873" s="89"/>
      <c r="AE873" s="89"/>
      <c r="AF873" s="89"/>
      <c r="AG873" s="89"/>
      <c r="AH873" s="89"/>
      <c r="AI873" s="89"/>
      <c r="AJ873" s="89"/>
      <c r="AK873" s="89"/>
      <c r="AL873" s="89"/>
      <c r="AM873" s="89"/>
      <c r="AN873" s="89"/>
      <c r="AO873" s="89"/>
      <c r="AP873" s="89"/>
      <c r="AQ873" s="89"/>
      <c r="AR873" s="89"/>
      <c r="AS873" s="89"/>
      <c r="AT873" s="89"/>
      <c r="AU873" s="89"/>
      <c r="AV873" s="89"/>
      <c r="AW873" s="89"/>
      <c r="AX873" s="89"/>
      <c r="AY873" s="89"/>
      <c r="AZ873" s="89"/>
      <c r="BA873" s="95"/>
    </row>
    <row r="874" spans="1:53" s="87" customFormat="1">
      <c r="A874" s="374" t="str">
        <f t="shared" si="61"/>
        <v/>
      </c>
      <c r="B874" s="89">
        <v>4</v>
      </c>
      <c r="C874" s="89">
        <v>2</v>
      </c>
      <c r="D874" s="89" t="s">
        <v>210</v>
      </c>
      <c r="E874" s="89" t="s">
        <v>210</v>
      </c>
      <c r="F874" s="89">
        <v>-6</v>
      </c>
      <c r="G874" s="89">
        <v>1</v>
      </c>
      <c r="H874" s="89" t="s">
        <v>210</v>
      </c>
      <c r="I874" s="89" t="s">
        <v>210</v>
      </c>
      <c r="J874" s="89">
        <v>-3</v>
      </c>
      <c r="K874" s="89" t="s">
        <v>202</v>
      </c>
      <c r="L874" s="89" t="s">
        <v>202</v>
      </c>
      <c r="M874" s="89" t="s">
        <v>210</v>
      </c>
      <c r="N874" s="89">
        <v>5</v>
      </c>
      <c r="O874" s="89">
        <v>-4</v>
      </c>
      <c r="P874" s="89" t="s">
        <v>210</v>
      </c>
      <c r="Q874" s="89"/>
      <c r="R874" s="89"/>
      <c r="S874" s="89"/>
      <c r="T874" s="89"/>
      <c r="U874" s="89"/>
      <c r="V874" s="89"/>
      <c r="W874" s="89"/>
      <c r="X874" s="89"/>
      <c r="Y874" s="89"/>
      <c r="Z874" s="89"/>
      <c r="AA874" s="89"/>
      <c r="AB874" s="89"/>
      <c r="AC874" s="89"/>
      <c r="AD874" s="89"/>
      <c r="AE874" s="89"/>
      <c r="AF874" s="89"/>
      <c r="AG874" s="89"/>
      <c r="AH874" s="89"/>
      <c r="AI874" s="89"/>
      <c r="AJ874" s="89"/>
      <c r="AK874" s="89"/>
      <c r="AL874" s="89"/>
      <c r="AM874" s="89"/>
      <c r="AN874" s="89"/>
      <c r="AO874" s="89"/>
      <c r="AP874" s="89"/>
      <c r="AQ874" s="89"/>
      <c r="AR874" s="89"/>
      <c r="AS874" s="89"/>
      <c r="AT874" s="89"/>
      <c r="AU874" s="89"/>
      <c r="AV874" s="89"/>
      <c r="AW874" s="89"/>
      <c r="AX874" s="89"/>
      <c r="AY874" s="89"/>
      <c r="AZ874" s="89"/>
      <c r="BA874" s="95"/>
    </row>
    <row r="875" spans="1:53" s="87" customFormat="1">
      <c r="A875" s="374" t="str">
        <f t="shared" si="61"/>
        <v/>
      </c>
      <c r="B875" s="89">
        <v>5</v>
      </c>
      <c r="C875" s="89">
        <v>3</v>
      </c>
      <c r="D875" s="89" t="s">
        <v>210</v>
      </c>
      <c r="E875" s="89" t="s">
        <v>210</v>
      </c>
      <c r="F875" s="89">
        <v>6</v>
      </c>
      <c r="G875" s="89">
        <v>-4</v>
      </c>
      <c r="H875" s="89" t="s">
        <v>210</v>
      </c>
      <c r="I875" s="89" t="s">
        <v>202</v>
      </c>
      <c r="J875" s="89" t="s">
        <v>202</v>
      </c>
      <c r="K875" s="89">
        <v>1</v>
      </c>
      <c r="L875" s="89" t="s">
        <v>210</v>
      </c>
      <c r="M875" s="89" t="s">
        <v>210</v>
      </c>
      <c r="N875" s="89">
        <v>-2</v>
      </c>
      <c r="O875" s="89" t="s">
        <v>210</v>
      </c>
      <c r="P875" s="89">
        <v>-5</v>
      </c>
      <c r="Q875" s="89"/>
      <c r="R875" s="89"/>
      <c r="S875" s="89"/>
      <c r="T875" s="89"/>
      <c r="U875" s="89"/>
      <c r="V875" s="89"/>
      <c r="W875" s="89"/>
      <c r="X875" s="89"/>
      <c r="Y875" s="89"/>
      <c r="Z875" s="89"/>
      <c r="AA875" s="89"/>
      <c r="AB875" s="89"/>
      <c r="AC875" s="89"/>
      <c r="AD875" s="89"/>
      <c r="AE875" s="89"/>
      <c r="AF875" s="89"/>
      <c r="AG875" s="89"/>
      <c r="AH875" s="89"/>
      <c r="AI875" s="89"/>
      <c r="AJ875" s="89"/>
      <c r="AK875" s="89"/>
      <c r="AL875" s="89"/>
      <c r="AM875" s="89"/>
      <c r="AN875" s="89"/>
      <c r="AO875" s="89"/>
      <c r="AP875" s="89"/>
      <c r="AQ875" s="89"/>
      <c r="AR875" s="89"/>
      <c r="AS875" s="89"/>
      <c r="AT875" s="89"/>
      <c r="AU875" s="89"/>
      <c r="AV875" s="89"/>
      <c r="AW875" s="89"/>
      <c r="AX875" s="89"/>
      <c r="AY875" s="89"/>
      <c r="AZ875" s="89"/>
      <c r="BA875" s="95"/>
    </row>
    <row r="876" spans="1:53" s="87" customFormat="1">
      <c r="A876" s="374" t="str">
        <f t="shared" si="61"/>
        <v/>
      </c>
      <c r="B876" s="89">
        <v>6</v>
      </c>
      <c r="C876" s="89">
        <v>4</v>
      </c>
      <c r="D876" s="89" t="s">
        <v>210</v>
      </c>
      <c r="E876" s="89" t="s">
        <v>210</v>
      </c>
      <c r="F876" s="89">
        <v>-5</v>
      </c>
      <c r="G876" s="89">
        <v>-6</v>
      </c>
      <c r="H876" s="89" t="s">
        <v>210</v>
      </c>
      <c r="I876" s="89" t="s">
        <v>210</v>
      </c>
      <c r="J876" s="89">
        <v>3</v>
      </c>
      <c r="K876" s="89">
        <v>-2</v>
      </c>
      <c r="L876" s="89" t="s">
        <v>210</v>
      </c>
      <c r="M876" s="89" t="s">
        <v>202</v>
      </c>
      <c r="N876" s="89" t="s">
        <v>202</v>
      </c>
      <c r="O876" s="89" t="s">
        <v>210</v>
      </c>
      <c r="P876" s="89">
        <v>5</v>
      </c>
      <c r="Q876" s="89"/>
      <c r="R876" s="89"/>
      <c r="S876" s="89"/>
      <c r="T876" s="89"/>
      <c r="U876" s="89"/>
      <c r="V876" s="89"/>
      <c r="W876" s="89"/>
      <c r="X876" s="89"/>
      <c r="Y876" s="89"/>
      <c r="Z876" s="89"/>
      <c r="AA876" s="89"/>
      <c r="AB876" s="89"/>
      <c r="AC876" s="89"/>
      <c r="AD876" s="89"/>
      <c r="AE876" s="89"/>
      <c r="AF876" s="89"/>
      <c r="AG876" s="89"/>
      <c r="AH876" s="89"/>
      <c r="AI876" s="89"/>
      <c r="AJ876" s="89"/>
      <c r="AK876" s="89"/>
      <c r="AL876" s="89"/>
      <c r="AM876" s="89"/>
      <c r="AN876" s="89"/>
      <c r="AO876" s="89"/>
      <c r="AP876" s="89"/>
      <c r="AQ876" s="89"/>
      <c r="AR876" s="89"/>
      <c r="AS876" s="89"/>
      <c r="AT876" s="89"/>
      <c r="AU876" s="89"/>
      <c r="AV876" s="89"/>
      <c r="AW876" s="89"/>
      <c r="AX876" s="89"/>
      <c r="AY876" s="89"/>
      <c r="AZ876" s="89"/>
      <c r="BA876" s="95"/>
    </row>
    <row r="877" spans="1:53" s="87" customFormat="1">
      <c r="A877" s="374" t="str">
        <f t="shared" si="61"/>
        <v/>
      </c>
      <c r="B877" s="99">
        <v>7</v>
      </c>
      <c r="C877" s="92">
        <v>-4</v>
      </c>
      <c r="D877" s="92" t="s">
        <v>210</v>
      </c>
      <c r="E877" s="92" t="s">
        <v>210</v>
      </c>
      <c r="F877" s="92">
        <v>3</v>
      </c>
      <c r="G877" s="92">
        <v>-1</v>
      </c>
      <c r="H877" s="92" t="s">
        <v>210</v>
      </c>
      <c r="I877" s="92" t="s">
        <v>210</v>
      </c>
      <c r="J877" s="92">
        <v>5</v>
      </c>
      <c r="K877" s="92">
        <v>-6</v>
      </c>
      <c r="L877" s="92" t="s">
        <v>210</v>
      </c>
      <c r="M877" s="92" t="s">
        <v>210</v>
      </c>
      <c r="N877" s="92">
        <v>2</v>
      </c>
      <c r="O877" s="92" t="s">
        <v>202</v>
      </c>
      <c r="P877" s="92" t="s">
        <v>202</v>
      </c>
      <c r="Q877" s="89"/>
      <c r="R877" s="89"/>
      <c r="S877" s="89"/>
      <c r="T877" s="89"/>
      <c r="U877" s="89"/>
      <c r="V877" s="89"/>
      <c r="W877" s="89"/>
      <c r="X877" s="89"/>
      <c r="Y877" s="89"/>
      <c r="Z877" s="89"/>
      <c r="AA877" s="89"/>
      <c r="AB877" s="89"/>
      <c r="AC877" s="89"/>
      <c r="AD877" s="89"/>
      <c r="AE877" s="89"/>
      <c r="AF877" s="89"/>
      <c r="AG877" s="89"/>
      <c r="AH877" s="89"/>
      <c r="AI877" s="89"/>
      <c r="AJ877" s="89"/>
      <c r="AK877" s="89"/>
      <c r="AL877" s="89"/>
      <c r="AM877" s="89"/>
      <c r="AN877" s="89"/>
      <c r="AO877" s="89"/>
      <c r="AP877" s="89"/>
      <c r="AQ877" s="89"/>
      <c r="AR877" s="89"/>
      <c r="AS877" s="89"/>
      <c r="AT877" s="89"/>
      <c r="AU877" s="89"/>
      <c r="AV877" s="89"/>
      <c r="AW877" s="89"/>
      <c r="AX877" s="89"/>
      <c r="AY877" s="89"/>
      <c r="AZ877" s="89"/>
      <c r="BA877" s="95"/>
    </row>
    <row r="878" spans="1:53" s="87" customFormat="1">
      <c r="A878" s="374" t="str">
        <f t="shared" si="61"/>
        <v/>
      </c>
      <c r="B878" s="89">
        <v>8</v>
      </c>
      <c r="C878" s="89">
        <v>-5</v>
      </c>
      <c r="D878" s="89" t="s">
        <v>210</v>
      </c>
      <c r="E878" s="89" t="s">
        <v>202</v>
      </c>
      <c r="F878" s="89" t="s">
        <v>202</v>
      </c>
      <c r="G878" s="89">
        <v>3</v>
      </c>
      <c r="H878" s="89" t="s">
        <v>210</v>
      </c>
      <c r="I878" s="89" t="s">
        <v>210</v>
      </c>
      <c r="J878" s="89">
        <v>-1</v>
      </c>
      <c r="K878" s="89">
        <v>-4</v>
      </c>
      <c r="L878" s="89" t="s">
        <v>210</v>
      </c>
      <c r="M878" s="89" t="s">
        <v>210</v>
      </c>
      <c r="N878" s="89">
        <v>6</v>
      </c>
      <c r="O878" s="89">
        <v>2</v>
      </c>
      <c r="P878" s="89" t="s">
        <v>210</v>
      </c>
      <c r="Q878" s="89"/>
      <c r="R878" s="89"/>
      <c r="S878" s="89"/>
      <c r="T878" s="89"/>
      <c r="U878" s="89"/>
      <c r="V878" s="89"/>
      <c r="W878" s="89"/>
      <c r="X878" s="89"/>
      <c r="Y878" s="89"/>
      <c r="Z878" s="89"/>
      <c r="AA878" s="89"/>
      <c r="AB878" s="89"/>
      <c r="AC878" s="89"/>
      <c r="AD878" s="89"/>
      <c r="AE878" s="89"/>
      <c r="AF878" s="89"/>
      <c r="AG878" s="89"/>
      <c r="AH878" s="89"/>
      <c r="AI878" s="89"/>
      <c r="AJ878" s="89"/>
      <c r="AK878" s="89"/>
      <c r="AL878" s="89"/>
      <c r="AM878" s="89"/>
      <c r="AN878" s="89"/>
      <c r="AO878" s="89"/>
      <c r="AP878" s="89"/>
      <c r="AQ878" s="89"/>
      <c r="AR878" s="89"/>
      <c r="AS878" s="89"/>
      <c r="AT878" s="89"/>
      <c r="AU878" s="89"/>
      <c r="AV878" s="89"/>
      <c r="AW878" s="89"/>
      <c r="AX878" s="89"/>
      <c r="AY878" s="89"/>
      <c r="AZ878" s="89"/>
      <c r="BA878" s="95"/>
    </row>
    <row r="879" spans="1:53" s="87" customFormat="1">
      <c r="A879" s="374" t="str">
        <f t="shared" si="61"/>
        <v/>
      </c>
      <c r="B879" s="89">
        <v>9</v>
      </c>
      <c r="C879" s="89" t="s">
        <v>202</v>
      </c>
      <c r="D879" s="89" t="s">
        <v>202</v>
      </c>
      <c r="E879" s="89" t="s">
        <v>210</v>
      </c>
      <c r="F879" s="89">
        <v>1</v>
      </c>
      <c r="G879" s="89">
        <v>-5</v>
      </c>
      <c r="H879" s="89" t="s">
        <v>210</v>
      </c>
      <c r="I879" s="89" t="s">
        <v>210</v>
      </c>
      <c r="J879" s="89">
        <v>6</v>
      </c>
      <c r="K879" s="89">
        <v>3</v>
      </c>
      <c r="L879" s="89" t="s">
        <v>210</v>
      </c>
      <c r="M879" s="89" t="s">
        <v>210</v>
      </c>
      <c r="N879" s="89">
        <v>-4</v>
      </c>
      <c r="O879" s="89">
        <v>-2</v>
      </c>
      <c r="P879" s="89" t="s">
        <v>210</v>
      </c>
      <c r="Q879" s="89"/>
      <c r="R879" s="89"/>
      <c r="S879" s="89"/>
      <c r="T879" s="89"/>
      <c r="U879" s="89"/>
      <c r="V879" s="89"/>
      <c r="W879" s="89"/>
      <c r="X879" s="89"/>
      <c r="Y879" s="89"/>
      <c r="Z879" s="89"/>
      <c r="AA879" s="89"/>
      <c r="AB879" s="89"/>
      <c r="AC879" s="89"/>
      <c r="AD879" s="89"/>
      <c r="AE879" s="89"/>
      <c r="AF879" s="89"/>
      <c r="AG879" s="89"/>
      <c r="AH879" s="89"/>
      <c r="AI879" s="89"/>
      <c r="AJ879" s="89"/>
      <c r="AK879" s="89"/>
      <c r="AL879" s="89"/>
      <c r="AM879" s="89"/>
      <c r="AN879" s="89"/>
      <c r="AO879" s="89"/>
      <c r="AP879" s="89"/>
      <c r="AQ879" s="89"/>
      <c r="AR879" s="89"/>
      <c r="AS879" s="89"/>
      <c r="AT879" s="89"/>
      <c r="AU879" s="89"/>
      <c r="AV879" s="89"/>
      <c r="AW879" s="89"/>
      <c r="AX879" s="89"/>
      <c r="AY879" s="89"/>
      <c r="AZ879" s="89"/>
      <c r="BA879" s="95"/>
    </row>
    <row r="880" spans="1:53" s="87" customFormat="1">
      <c r="A880" s="374" t="str">
        <f t="shared" si="61"/>
        <v/>
      </c>
      <c r="B880" s="89">
        <v>10</v>
      </c>
      <c r="C880" s="89">
        <v>-1</v>
      </c>
      <c r="D880" s="89" t="s">
        <v>210</v>
      </c>
      <c r="E880" s="89" t="s">
        <v>210</v>
      </c>
      <c r="F880" s="89">
        <v>2</v>
      </c>
      <c r="G880" s="89" t="s">
        <v>202</v>
      </c>
      <c r="H880" s="89" t="s">
        <v>202</v>
      </c>
      <c r="I880" s="89" t="s">
        <v>210</v>
      </c>
      <c r="J880" s="89">
        <v>4</v>
      </c>
      <c r="K880" s="89">
        <v>-3</v>
      </c>
      <c r="L880" s="89" t="s">
        <v>210</v>
      </c>
      <c r="M880" s="89" t="s">
        <v>210</v>
      </c>
      <c r="N880" s="89">
        <v>-6</v>
      </c>
      <c r="O880" s="89">
        <v>5</v>
      </c>
      <c r="P880" s="89" t="s">
        <v>210</v>
      </c>
      <c r="Q880" s="89"/>
      <c r="R880" s="89"/>
      <c r="S880" s="89"/>
      <c r="T880" s="89"/>
      <c r="U880" s="89"/>
      <c r="V880" s="89"/>
      <c r="W880" s="89"/>
      <c r="X880" s="89"/>
      <c r="Y880" s="89"/>
      <c r="Z880" s="89"/>
      <c r="AA880" s="89"/>
      <c r="AB880" s="89"/>
      <c r="AC880" s="89"/>
      <c r="AD880" s="89"/>
      <c r="AE880" s="89"/>
      <c r="AF880" s="89"/>
      <c r="AG880" s="89"/>
      <c r="AH880" s="89"/>
      <c r="AI880" s="89"/>
      <c r="AJ880" s="89"/>
      <c r="AK880" s="89"/>
      <c r="AL880" s="89"/>
      <c r="AM880" s="89"/>
      <c r="AN880" s="89"/>
      <c r="AO880" s="89"/>
      <c r="AP880" s="89"/>
      <c r="AQ880" s="89"/>
      <c r="AR880" s="89"/>
      <c r="AS880" s="89"/>
      <c r="AT880" s="89"/>
      <c r="AU880" s="89"/>
      <c r="AV880" s="89"/>
      <c r="AW880" s="89"/>
      <c r="AX880" s="89"/>
      <c r="AY880" s="89"/>
      <c r="AZ880" s="89"/>
      <c r="BA880" s="95"/>
    </row>
    <row r="881" spans="1:53" s="87" customFormat="1">
      <c r="A881" s="374" t="str">
        <f t="shared" si="61"/>
        <v/>
      </c>
      <c r="B881" s="89">
        <v>11</v>
      </c>
      <c r="C881" s="89">
        <v>6</v>
      </c>
      <c r="D881" s="89" t="s">
        <v>210</v>
      </c>
      <c r="E881" s="89" t="s">
        <v>210</v>
      </c>
      <c r="F881" s="89">
        <v>-4</v>
      </c>
      <c r="G881" s="89">
        <v>-2</v>
      </c>
      <c r="H881" s="89" t="s">
        <v>210</v>
      </c>
      <c r="I881" s="89" t="s">
        <v>210</v>
      </c>
      <c r="J881" s="89">
        <v>1</v>
      </c>
      <c r="K881" s="89" t="s">
        <v>202</v>
      </c>
      <c r="L881" s="89" t="s">
        <v>202</v>
      </c>
      <c r="M881" s="89" t="s">
        <v>210</v>
      </c>
      <c r="N881" s="89">
        <v>4</v>
      </c>
      <c r="O881" s="89">
        <v>-5</v>
      </c>
      <c r="P881" s="89" t="s">
        <v>210</v>
      </c>
      <c r="Q881" s="89"/>
      <c r="R881" s="89"/>
      <c r="S881" s="89"/>
      <c r="T881" s="89"/>
      <c r="U881" s="89"/>
      <c r="V881" s="89"/>
      <c r="W881" s="89"/>
      <c r="X881" s="89"/>
      <c r="Y881" s="89"/>
      <c r="Z881" s="89"/>
      <c r="AA881" s="89"/>
      <c r="AB881" s="89"/>
      <c r="AC881" s="89"/>
      <c r="AD881" s="89"/>
      <c r="AE881" s="89"/>
      <c r="AF881" s="89"/>
      <c r="AG881" s="89"/>
      <c r="AH881" s="89"/>
      <c r="AI881" s="89"/>
      <c r="AJ881" s="89"/>
      <c r="AK881" s="89"/>
      <c r="AL881" s="89"/>
      <c r="AM881" s="89"/>
      <c r="AN881" s="89"/>
      <c r="AO881" s="89"/>
      <c r="AP881" s="89"/>
      <c r="AQ881" s="89"/>
      <c r="AR881" s="89"/>
      <c r="AS881" s="89"/>
      <c r="AT881" s="89"/>
      <c r="AU881" s="89"/>
      <c r="AV881" s="89"/>
      <c r="AW881" s="89"/>
      <c r="AX881" s="89"/>
      <c r="AY881" s="89"/>
      <c r="AZ881" s="89"/>
      <c r="BA881" s="95"/>
    </row>
    <row r="882" spans="1:53" s="87" customFormat="1">
      <c r="A882" s="374" t="str">
        <f t="shared" si="61"/>
        <v/>
      </c>
      <c r="B882" s="89">
        <v>12</v>
      </c>
      <c r="C882" s="89">
        <v>-6</v>
      </c>
      <c r="D882" s="89" t="s">
        <v>210</v>
      </c>
      <c r="E882" s="89" t="s">
        <v>210</v>
      </c>
      <c r="F882" s="89">
        <v>-2</v>
      </c>
      <c r="G882" s="89">
        <v>5</v>
      </c>
      <c r="H882" s="89" t="s">
        <v>210</v>
      </c>
      <c r="I882" s="89" t="s">
        <v>202</v>
      </c>
      <c r="J882" s="89" t="s">
        <v>202</v>
      </c>
      <c r="K882" s="89">
        <v>4</v>
      </c>
      <c r="L882" s="89" t="s">
        <v>210</v>
      </c>
      <c r="M882" s="89" t="s">
        <v>210</v>
      </c>
      <c r="N882" s="89">
        <v>-3</v>
      </c>
      <c r="O882" s="89" t="s">
        <v>210</v>
      </c>
      <c r="P882" s="89">
        <v>2</v>
      </c>
      <c r="Q882" s="89"/>
      <c r="R882" s="89"/>
      <c r="S882" s="89"/>
      <c r="T882" s="89"/>
      <c r="U882" s="89"/>
      <c r="V882" s="89"/>
      <c r="W882" s="89"/>
      <c r="X882" s="89"/>
      <c r="Y882" s="89"/>
      <c r="Z882" s="89"/>
      <c r="AA882" s="89"/>
      <c r="AB882" s="89"/>
      <c r="AC882" s="89"/>
      <c r="AD882" s="89"/>
      <c r="AE882" s="89"/>
      <c r="AF882" s="89"/>
      <c r="AG882" s="89"/>
      <c r="AH882" s="89"/>
      <c r="AI882" s="89"/>
      <c r="AJ882" s="89"/>
      <c r="AK882" s="89"/>
      <c r="AL882" s="89"/>
      <c r="AM882" s="89"/>
      <c r="AN882" s="89"/>
      <c r="AO882" s="89"/>
      <c r="AP882" s="89"/>
      <c r="AQ882" s="89"/>
      <c r="AR882" s="89"/>
      <c r="AS882" s="89"/>
      <c r="AT882" s="89"/>
      <c r="AU882" s="89"/>
      <c r="AV882" s="89"/>
      <c r="AW882" s="89"/>
      <c r="AX882" s="89"/>
      <c r="AY882" s="89"/>
      <c r="AZ882" s="89"/>
      <c r="BA882" s="95"/>
    </row>
    <row r="883" spans="1:53" s="87" customFormat="1">
      <c r="A883" s="374" t="str">
        <f t="shared" si="61"/>
        <v/>
      </c>
      <c r="B883" s="89">
        <v>13</v>
      </c>
      <c r="C883" s="89">
        <v>1</v>
      </c>
      <c r="D883" s="89" t="s">
        <v>210</v>
      </c>
      <c r="E883" s="89" t="s">
        <v>210</v>
      </c>
      <c r="F883" s="89">
        <v>4</v>
      </c>
      <c r="G883" s="89">
        <v>-3</v>
      </c>
      <c r="H883" s="89" t="s">
        <v>210</v>
      </c>
      <c r="I883" s="89" t="s">
        <v>210</v>
      </c>
      <c r="J883" s="89">
        <v>-6</v>
      </c>
      <c r="K883" s="89">
        <v>5</v>
      </c>
      <c r="L883" s="89" t="s">
        <v>210</v>
      </c>
      <c r="M883" s="89" t="s">
        <v>202</v>
      </c>
      <c r="N883" s="89" t="s">
        <v>202</v>
      </c>
      <c r="O883" s="89" t="s">
        <v>210</v>
      </c>
      <c r="P883" s="89">
        <v>-2</v>
      </c>
      <c r="Q883" s="89"/>
      <c r="R883" s="89"/>
      <c r="S883" s="89"/>
      <c r="T883" s="89"/>
      <c r="U883" s="89"/>
      <c r="V883" s="89"/>
      <c r="W883" s="89"/>
      <c r="X883" s="89"/>
      <c r="Y883" s="89"/>
      <c r="Z883" s="89"/>
      <c r="AA883" s="89"/>
      <c r="AB883" s="89"/>
      <c r="AC883" s="89"/>
      <c r="AD883" s="89"/>
      <c r="AE883" s="89"/>
      <c r="AF883" s="89"/>
      <c r="AG883" s="89"/>
      <c r="AH883" s="89"/>
      <c r="AI883" s="89"/>
      <c r="AJ883" s="89"/>
      <c r="AK883" s="89"/>
      <c r="AL883" s="89"/>
      <c r="AM883" s="89"/>
      <c r="AN883" s="89"/>
      <c r="AO883" s="89"/>
      <c r="AP883" s="89"/>
      <c r="AQ883" s="89"/>
      <c r="AR883" s="89"/>
      <c r="AS883" s="89"/>
      <c r="AT883" s="89"/>
      <c r="AU883" s="89"/>
      <c r="AV883" s="89"/>
      <c r="AW883" s="89"/>
      <c r="AX883" s="89"/>
      <c r="AY883" s="89"/>
      <c r="AZ883" s="89"/>
      <c r="BA883" s="95"/>
    </row>
    <row r="884" spans="1:53" s="87" customFormat="1">
      <c r="A884" s="374" t="str">
        <f t="shared" si="61"/>
        <v/>
      </c>
      <c r="B884" s="99">
        <v>14</v>
      </c>
      <c r="C884" s="92">
        <v>5</v>
      </c>
      <c r="D884" s="92" t="s">
        <v>210</v>
      </c>
      <c r="E884" s="92" t="s">
        <v>210</v>
      </c>
      <c r="F884" s="92">
        <v>-1</v>
      </c>
      <c r="G884" s="92">
        <v>2</v>
      </c>
      <c r="H884" s="92" t="s">
        <v>210</v>
      </c>
      <c r="I884" s="92" t="s">
        <v>210</v>
      </c>
      <c r="J884" s="92">
        <v>-4</v>
      </c>
      <c r="K884" s="92">
        <v>-5</v>
      </c>
      <c r="L884" s="92" t="s">
        <v>210</v>
      </c>
      <c r="M884" s="92" t="s">
        <v>210</v>
      </c>
      <c r="N884" s="92">
        <v>3</v>
      </c>
      <c r="O884" s="92" t="s">
        <v>202</v>
      </c>
      <c r="P884" s="92" t="s">
        <v>202</v>
      </c>
      <c r="Q884" s="89"/>
      <c r="R884" s="89"/>
      <c r="S884" s="89"/>
      <c r="T884" s="89"/>
      <c r="U884" s="89"/>
      <c r="V884" s="89"/>
      <c r="W884" s="89"/>
      <c r="X884" s="89"/>
      <c r="Y884" s="89"/>
      <c r="Z884" s="89"/>
      <c r="AA884" s="89"/>
      <c r="AB884" s="89"/>
      <c r="AC884" s="89"/>
      <c r="AD884" s="89"/>
      <c r="AE884" s="89"/>
      <c r="AF884" s="89"/>
      <c r="AG884" s="89"/>
      <c r="AH884" s="89"/>
      <c r="AI884" s="89"/>
      <c r="AJ884" s="89"/>
      <c r="AK884" s="89"/>
      <c r="AL884" s="89"/>
      <c r="AM884" s="89"/>
      <c r="AN884" s="89"/>
      <c r="AO884" s="89"/>
      <c r="AP884" s="89"/>
      <c r="AQ884" s="89"/>
      <c r="AR884" s="89"/>
      <c r="AS884" s="89"/>
      <c r="AT884" s="89"/>
      <c r="AU884" s="89"/>
      <c r="AV884" s="89"/>
      <c r="AW884" s="89"/>
      <c r="AX884" s="89"/>
      <c r="AY884" s="89"/>
      <c r="AZ884" s="89"/>
      <c r="BA884" s="95"/>
    </row>
    <row r="885" spans="1:53" s="87" customFormat="1">
      <c r="A885" s="374" t="str">
        <f t="shared" si="61"/>
        <v/>
      </c>
      <c r="B885" s="89">
        <v>15</v>
      </c>
      <c r="C885" s="89" t="s">
        <v>210</v>
      </c>
      <c r="D885" s="89">
        <v>-4</v>
      </c>
      <c r="E885" s="89">
        <v>6</v>
      </c>
      <c r="F885" s="89" t="s">
        <v>210</v>
      </c>
      <c r="G885" s="89" t="s">
        <v>210</v>
      </c>
      <c r="H885" s="89">
        <v>-2</v>
      </c>
      <c r="I885" s="89">
        <v>3</v>
      </c>
      <c r="J885" s="89" t="s">
        <v>210</v>
      </c>
      <c r="K885" s="89" t="s">
        <v>202</v>
      </c>
      <c r="L885" s="89" t="s">
        <v>202</v>
      </c>
      <c r="M885" s="89">
        <v>-5</v>
      </c>
      <c r="N885" s="89" t="s">
        <v>210</v>
      </c>
      <c r="O885" s="89">
        <v>1</v>
      </c>
      <c r="P885" s="89" t="s">
        <v>210</v>
      </c>
      <c r="Q885" s="89"/>
      <c r="R885" s="89"/>
      <c r="S885" s="89"/>
      <c r="T885" s="89"/>
      <c r="U885" s="89"/>
      <c r="V885" s="89"/>
      <c r="W885" s="89"/>
      <c r="X885" s="89"/>
      <c r="Y885" s="89"/>
      <c r="Z885" s="89"/>
      <c r="AA885" s="89"/>
      <c r="AB885" s="89"/>
      <c r="AC885" s="89"/>
      <c r="AD885" s="89"/>
      <c r="AE885" s="89"/>
      <c r="AF885" s="89"/>
      <c r="AG885" s="89"/>
      <c r="AH885" s="89"/>
      <c r="AI885" s="89"/>
      <c r="AJ885" s="89"/>
      <c r="AK885" s="89"/>
      <c r="AL885" s="89"/>
      <c r="AM885" s="89"/>
      <c r="AN885" s="89"/>
      <c r="AO885" s="89"/>
      <c r="AP885" s="89"/>
      <c r="AQ885" s="89"/>
      <c r="AR885" s="89"/>
      <c r="AS885" s="89"/>
      <c r="AT885" s="89"/>
      <c r="AU885" s="89"/>
      <c r="AV885" s="89"/>
      <c r="AW885" s="89"/>
      <c r="AX885" s="89"/>
      <c r="AY885" s="89"/>
      <c r="AZ885" s="89"/>
      <c r="BA885" s="95"/>
    </row>
    <row r="886" spans="1:53" s="87" customFormat="1">
      <c r="A886" s="374" t="str">
        <f t="shared" si="61"/>
        <v/>
      </c>
      <c r="B886" s="89">
        <v>16</v>
      </c>
      <c r="C886" s="89" t="s">
        <v>210</v>
      </c>
      <c r="D886" s="89">
        <v>-5</v>
      </c>
      <c r="E886" s="89">
        <v>4</v>
      </c>
      <c r="F886" s="89" t="s">
        <v>210</v>
      </c>
      <c r="G886" s="89" t="s">
        <v>210</v>
      </c>
      <c r="H886" s="89">
        <v>3</v>
      </c>
      <c r="I886" s="89" t="s">
        <v>202</v>
      </c>
      <c r="J886" s="89" t="s">
        <v>202</v>
      </c>
      <c r="K886" s="89" t="s">
        <v>210</v>
      </c>
      <c r="L886" s="89">
        <v>-6</v>
      </c>
      <c r="M886" s="89">
        <v>2</v>
      </c>
      <c r="N886" s="89" t="s">
        <v>210</v>
      </c>
      <c r="O886" s="89">
        <v>-1</v>
      </c>
      <c r="P886" s="89" t="s">
        <v>210</v>
      </c>
      <c r="Q886" s="89"/>
      <c r="R886" s="89"/>
      <c r="S886" s="89"/>
      <c r="T886" s="89"/>
      <c r="U886" s="89"/>
      <c r="V886" s="89"/>
      <c r="W886" s="89"/>
      <c r="X886" s="89"/>
      <c r="Y886" s="89"/>
      <c r="Z886" s="89"/>
      <c r="AA886" s="89"/>
      <c r="AB886" s="89"/>
      <c r="AC886" s="89"/>
      <c r="AD886" s="89"/>
      <c r="AE886" s="89"/>
      <c r="AF886" s="89"/>
      <c r="AG886" s="89"/>
      <c r="AH886" s="89"/>
      <c r="AI886" s="89"/>
      <c r="AJ886" s="89"/>
      <c r="AK886" s="89"/>
      <c r="AL886" s="89"/>
      <c r="AM886" s="89"/>
      <c r="AN886" s="89"/>
      <c r="AO886" s="89"/>
      <c r="AP886" s="89"/>
      <c r="AQ886" s="89"/>
      <c r="AR886" s="89"/>
      <c r="AS886" s="89"/>
      <c r="AT886" s="89"/>
      <c r="AU886" s="89"/>
      <c r="AV886" s="89"/>
      <c r="AW886" s="89"/>
      <c r="AX886" s="89"/>
      <c r="AY886" s="89"/>
      <c r="AZ886" s="89"/>
      <c r="BA886" s="95"/>
    </row>
    <row r="887" spans="1:53" s="87" customFormat="1">
      <c r="A887" s="374" t="str">
        <f t="shared" si="61"/>
        <v/>
      </c>
      <c r="B887" s="89">
        <v>17</v>
      </c>
      <c r="C887" s="89" t="s">
        <v>210</v>
      </c>
      <c r="D887" s="89">
        <v>2</v>
      </c>
      <c r="E887" s="89" t="s">
        <v>202</v>
      </c>
      <c r="F887" s="89" t="s">
        <v>202</v>
      </c>
      <c r="G887" s="89" t="s">
        <v>210</v>
      </c>
      <c r="H887" s="89">
        <v>1</v>
      </c>
      <c r="I887" s="89">
        <v>-3</v>
      </c>
      <c r="J887" s="89" t="s">
        <v>210</v>
      </c>
      <c r="K887" s="89" t="s">
        <v>210</v>
      </c>
      <c r="L887" s="89">
        <v>4</v>
      </c>
      <c r="M887" s="89">
        <v>-2</v>
      </c>
      <c r="N887" s="89" t="s">
        <v>210</v>
      </c>
      <c r="O887" s="89">
        <v>-6</v>
      </c>
      <c r="P887" s="89" t="s">
        <v>210</v>
      </c>
      <c r="Q887" s="89"/>
      <c r="R887" s="89"/>
      <c r="S887" s="89"/>
      <c r="T887" s="89"/>
      <c r="U887" s="89"/>
      <c r="V887" s="89"/>
      <c r="W887" s="89"/>
      <c r="X887" s="89"/>
      <c r="Y887" s="89"/>
      <c r="Z887" s="89"/>
      <c r="AA887" s="89"/>
      <c r="AB887" s="89"/>
      <c r="AC887" s="89"/>
      <c r="AD887" s="89"/>
      <c r="AE887" s="89"/>
      <c r="AF887" s="89"/>
      <c r="AG887" s="89"/>
      <c r="AH887" s="89"/>
      <c r="AI887" s="89"/>
      <c r="AJ887" s="89"/>
      <c r="AK887" s="89"/>
      <c r="AL887" s="89"/>
      <c r="AM887" s="89"/>
      <c r="AN887" s="89"/>
      <c r="AO887" s="89"/>
      <c r="AP887" s="89"/>
      <c r="AQ887" s="89"/>
      <c r="AR887" s="89"/>
      <c r="AS887" s="89"/>
      <c r="AT887" s="89"/>
      <c r="AU887" s="89"/>
      <c r="AV887" s="89"/>
      <c r="AW887" s="89"/>
      <c r="AX887" s="89"/>
      <c r="AY887" s="89"/>
      <c r="AZ887" s="89"/>
      <c r="BA887" s="95"/>
    </row>
    <row r="888" spans="1:53" s="87" customFormat="1">
      <c r="A888" s="374" t="str">
        <f t="shared" si="61"/>
        <v/>
      </c>
      <c r="B888" s="89">
        <v>18</v>
      </c>
      <c r="C888" s="89" t="s">
        <v>210</v>
      </c>
      <c r="D888" s="89">
        <v>4</v>
      </c>
      <c r="E888" s="89">
        <v>-1</v>
      </c>
      <c r="F888" s="89" t="s">
        <v>210</v>
      </c>
      <c r="G888" s="89" t="s">
        <v>210</v>
      </c>
      <c r="H888" s="89">
        <v>-3</v>
      </c>
      <c r="I888" s="89">
        <v>-5</v>
      </c>
      <c r="J888" s="89" t="s">
        <v>210</v>
      </c>
      <c r="K888" s="89" t="s">
        <v>210</v>
      </c>
      <c r="L888" s="89">
        <v>1</v>
      </c>
      <c r="M888" s="89" t="s">
        <v>202</v>
      </c>
      <c r="N888" s="89" t="s">
        <v>202</v>
      </c>
      <c r="O888" s="89">
        <v>6</v>
      </c>
      <c r="P888" s="89" t="s">
        <v>210</v>
      </c>
      <c r="Q888" s="89"/>
      <c r="R888" s="89"/>
      <c r="S888" s="89"/>
      <c r="T888" s="89"/>
      <c r="U888" s="89"/>
      <c r="V888" s="89"/>
      <c r="W888" s="89"/>
      <c r="X888" s="89"/>
      <c r="Y888" s="89"/>
      <c r="Z888" s="89"/>
      <c r="AA888" s="89"/>
      <c r="AB888" s="89"/>
      <c r="AC888" s="89"/>
      <c r="AD888" s="89"/>
      <c r="AE888" s="89"/>
      <c r="AF888" s="89"/>
      <c r="AG888" s="89"/>
      <c r="AH888" s="89"/>
      <c r="AI888" s="89"/>
      <c r="AJ888" s="89"/>
      <c r="AK888" s="89"/>
      <c r="AL888" s="89"/>
      <c r="AM888" s="89"/>
      <c r="AN888" s="89"/>
      <c r="AO888" s="89"/>
      <c r="AP888" s="89"/>
      <c r="AQ888" s="89"/>
      <c r="AR888" s="89"/>
      <c r="AS888" s="89"/>
      <c r="AT888" s="89"/>
      <c r="AU888" s="89"/>
      <c r="AV888" s="89"/>
      <c r="AW888" s="89"/>
      <c r="AX888" s="89"/>
      <c r="AY888" s="89"/>
      <c r="AZ888" s="89"/>
      <c r="BA888" s="95"/>
    </row>
    <row r="889" spans="1:53" s="87" customFormat="1">
      <c r="A889" s="374" t="str">
        <f t="shared" si="61"/>
        <v/>
      </c>
      <c r="B889" s="89">
        <v>19</v>
      </c>
      <c r="C889" s="89" t="s">
        <v>210</v>
      </c>
      <c r="D889" s="89">
        <v>-2</v>
      </c>
      <c r="E889" s="89">
        <v>-4</v>
      </c>
      <c r="F889" s="89" t="s">
        <v>210</v>
      </c>
      <c r="G889" s="89" t="s">
        <v>202</v>
      </c>
      <c r="H889" s="89" t="s">
        <v>202</v>
      </c>
      <c r="I889" s="89">
        <v>6</v>
      </c>
      <c r="J889" s="89" t="s">
        <v>210</v>
      </c>
      <c r="K889" s="89" t="s">
        <v>210</v>
      </c>
      <c r="L889" s="89">
        <v>-1</v>
      </c>
      <c r="M889" s="89">
        <v>5</v>
      </c>
      <c r="N889" s="89" t="s">
        <v>210</v>
      </c>
      <c r="O889" s="89" t="s">
        <v>210</v>
      </c>
      <c r="P889" s="89">
        <v>4</v>
      </c>
      <c r="Q889" s="89"/>
      <c r="R889" s="89"/>
      <c r="S889" s="89"/>
      <c r="T889" s="89"/>
      <c r="U889" s="89"/>
      <c r="V889" s="89"/>
      <c r="W889" s="89"/>
      <c r="X889" s="89"/>
      <c r="Y889" s="89"/>
      <c r="Z889" s="89"/>
      <c r="AA889" s="89"/>
      <c r="AB889" s="89"/>
      <c r="AC889" s="89"/>
      <c r="AD889" s="89"/>
      <c r="AE889" s="89"/>
      <c r="AF889" s="89"/>
      <c r="AG889" s="89"/>
      <c r="AH889" s="89"/>
      <c r="AI889" s="89"/>
      <c r="AJ889" s="89"/>
      <c r="AK889" s="89"/>
      <c r="AL889" s="89"/>
      <c r="AM889" s="89"/>
      <c r="AN889" s="89"/>
      <c r="AO889" s="89"/>
      <c r="AP889" s="89"/>
      <c r="AQ889" s="89"/>
      <c r="AR889" s="89"/>
      <c r="AS889" s="89"/>
      <c r="AT889" s="89"/>
      <c r="AU889" s="89"/>
      <c r="AV889" s="89"/>
      <c r="AW889" s="89"/>
      <c r="AX889" s="89"/>
      <c r="AY889" s="89"/>
      <c r="AZ889" s="89"/>
      <c r="BA889" s="95"/>
    </row>
    <row r="890" spans="1:53" s="87" customFormat="1">
      <c r="A890" s="374" t="str">
        <f t="shared" si="61"/>
        <v/>
      </c>
      <c r="B890" s="89">
        <v>20</v>
      </c>
      <c r="C890" s="89" t="s">
        <v>202</v>
      </c>
      <c r="D890" s="89" t="s">
        <v>202</v>
      </c>
      <c r="E890" s="89">
        <v>-6</v>
      </c>
      <c r="F890" s="89" t="s">
        <v>210</v>
      </c>
      <c r="G890" s="89" t="s">
        <v>210</v>
      </c>
      <c r="H890" s="89">
        <v>-1</v>
      </c>
      <c r="I890" s="89">
        <v>5</v>
      </c>
      <c r="J890" s="89" t="s">
        <v>210</v>
      </c>
      <c r="K890" s="89" t="s">
        <v>210</v>
      </c>
      <c r="L890" s="89">
        <v>6</v>
      </c>
      <c r="M890" s="89">
        <v>3</v>
      </c>
      <c r="N890" s="89" t="s">
        <v>210</v>
      </c>
      <c r="O890" s="89" t="s">
        <v>210</v>
      </c>
      <c r="P890" s="89">
        <v>-4</v>
      </c>
      <c r="Q890" s="89"/>
      <c r="R890" s="89"/>
      <c r="S890" s="89"/>
      <c r="T890" s="89"/>
      <c r="U890" s="89"/>
      <c r="V890" s="89"/>
      <c r="W890" s="89"/>
      <c r="X890" s="89"/>
      <c r="Y890" s="89"/>
      <c r="Z890" s="89"/>
      <c r="AA890" s="89"/>
      <c r="AB890" s="89"/>
      <c r="AC890" s="89"/>
      <c r="AD890" s="89"/>
      <c r="AE890" s="89"/>
      <c r="AF890" s="89"/>
      <c r="AG890" s="89"/>
      <c r="AH890" s="89"/>
      <c r="AI890" s="89"/>
      <c r="AJ890" s="89"/>
      <c r="AK890" s="89"/>
      <c r="AL890" s="89"/>
      <c r="AM890" s="89"/>
      <c r="AN890" s="89"/>
      <c r="AO890" s="89"/>
      <c r="AP890" s="89"/>
      <c r="AQ890" s="89"/>
      <c r="AR890" s="89"/>
      <c r="AS890" s="89"/>
      <c r="AT890" s="89"/>
      <c r="AU890" s="89"/>
      <c r="AV890" s="89"/>
      <c r="AW890" s="89"/>
      <c r="AX890" s="89"/>
      <c r="AY890" s="89"/>
      <c r="AZ890" s="89"/>
      <c r="BA890" s="95"/>
    </row>
    <row r="891" spans="1:53" s="87" customFormat="1">
      <c r="A891" s="374" t="str">
        <f t="shared" si="61"/>
        <v/>
      </c>
      <c r="B891" s="99">
        <v>21</v>
      </c>
      <c r="C891" s="92" t="s">
        <v>210</v>
      </c>
      <c r="D891" s="92">
        <v>5</v>
      </c>
      <c r="E891" s="92">
        <v>1</v>
      </c>
      <c r="F891" s="92" t="s">
        <v>210</v>
      </c>
      <c r="G891" s="92" t="s">
        <v>210</v>
      </c>
      <c r="H891" s="92">
        <v>2</v>
      </c>
      <c r="I891" s="92">
        <v>-6</v>
      </c>
      <c r="J891" s="92" t="s">
        <v>210</v>
      </c>
      <c r="K891" s="92" t="s">
        <v>210</v>
      </c>
      <c r="L891" s="92">
        <v>-4</v>
      </c>
      <c r="M891" s="92">
        <v>-3</v>
      </c>
      <c r="N891" s="92" t="s">
        <v>210</v>
      </c>
      <c r="O891" s="92" t="s">
        <v>202</v>
      </c>
      <c r="P891" s="92" t="s">
        <v>202</v>
      </c>
      <c r="Q891" s="89"/>
      <c r="R891" s="89"/>
      <c r="S891" s="89"/>
      <c r="T891" s="89"/>
      <c r="U891" s="89"/>
      <c r="V891" s="89"/>
      <c r="W891" s="89"/>
      <c r="X891" s="89"/>
      <c r="Y891" s="89"/>
      <c r="Z891" s="89"/>
      <c r="AA891" s="89"/>
      <c r="AB891" s="89"/>
      <c r="AC891" s="89"/>
      <c r="AD891" s="89"/>
      <c r="AE891" s="89"/>
      <c r="AF891" s="89"/>
      <c r="AG891" s="89"/>
      <c r="AH891" s="89"/>
      <c r="AI891" s="89"/>
      <c r="AJ891" s="89"/>
      <c r="AK891" s="89"/>
      <c r="AL891" s="89"/>
      <c r="AM891" s="89"/>
      <c r="AN891" s="89"/>
      <c r="AO891" s="89"/>
      <c r="AP891" s="89"/>
      <c r="AQ891" s="89"/>
      <c r="AR891" s="89"/>
      <c r="AS891" s="89"/>
      <c r="AT891" s="89"/>
      <c r="AU891" s="89"/>
      <c r="AV891" s="89"/>
      <c r="AW891" s="89"/>
      <c r="AX891" s="89"/>
      <c r="AY891" s="89"/>
      <c r="AZ891" s="89"/>
      <c r="BA891" s="95"/>
    </row>
    <row r="892" spans="1:53" s="87" customFormat="1">
      <c r="A892" s="374" t="str">
        <f t="shared" si="61"/>
        <v/>
      </c>
      <c r="B892" s="89">
        <v>22</v>
      </c>
      <c r="C892" s="89" t="s">
        <v>210</v>
      </c>
      <c r="D892" s="89">
        <v>-1</v>
      </c>
      <c r="E892" s="89">
        <v>3</v>
      </c>
      <c r="F892" s="89" t="s">
        <v>210</v>
      </c>
      <c r="G892" s="89" t="s">
        <v>210</v>
      </c>
      <c r="H892" s="89">
        <v>6</v>
      </c>
      <c r="I892" s="89">
        <v>-2</v>
      </c>
      <c r="J892" s="89" t="s">
        <v>210</v>
      </c>
      <c r="K892" s="89" t="s">
        <v>210</v>
      </c>
      <c r="L892" s="89">
        <v>5</v>
      </c>
      <c r="M892" s="89">
        <v>-4</v>
      </c>
      <c r="N892" s="89" t="s">
        <v>210</v>
      </c>
      <c r="O892" s="89" t="s">
        <v>210</v>
      </c>
      <c r="P892" s="89" t="s">
        <v>210</v>
      </c>
      <c r="Q892" s="89"/>
      <c r="R892" s="89"/>
      <c r="S892" s="89"/>
      <c r="T892" s="89"/>
      <c r="U892" s="89"/>
      <c r="V892" s="89"/>
      <c r="W892" s="89"/>
      <c r="X892" s="89"/>
      <c r="Y892" s="89"/>
      <c r="Z892" s="89"/>
      <c r="AA892" s="89"/>
      <c r="AB892" s="89"/>
      <c r="AC892" s="89"/>
      <c r="AD892" s="89"/>
      <c r="AE892" s="89"/>
      <c r="AF892" s="89"/>
      <c r="AG892" s="89"/>
      <c r="AH892" s="89"/>
      <c r="AI892" s="89"/>
      <c r="AJ892" s="89"/>
      <c r="AK892" s="89"/>
      <c r="AL892" s="89"/>
      <c r="AM892" s="89"/>
      <c r="AN892" s="89"/>
      <c r="AO892" s="89"/>
      <c r="AP892" s="89"/>
      <c r="AQ892" s="89"/>
      <c r="AR892" s="89"/>
      <c r="AS892" s="89"/>
      <c r="AT892" s="89"/>
      <c r="AU892" s="89"/>
      <c r="AV892" s="89"/>
      <c r="AW892" s="89"/>
      <c r="AX892" s="89"/>
      <c r="AY892" s="89"/>
      <c r="AZ892" s="89"/>
      <c r="BA892" s="95"/>
    </row>
    <row r="893" spans="1:53" s="87" customFormat="1">
      <c r="A893" s="374" t="str">
        <f t="shared" si="61"/>
        <v/>
      </c>
      <c r="B893" s="89">
        <v>23</v>
      </c>
      <c r="C893" s="89" t="s">
        <v>210</v>
      </c>
      <c r="D893" s="89">
        <v>6</v>
      </c>
      <c r="E893" s="89">
        <v>-3</v>
      </c>
      <c r="F893" s="89" t="s">
        <v>210</v>
      </c>
      <c r="G893" s="89" t="s">
        <v>210</v>
      </c>
      <c r="H893" s="89">
        <v>5</v>
      </c>
      <c r="I893" s="89">
        <v>-1</v>
      </c>
      <c r="J893" s="89" t="s">
        <v>210</v>
      </c>
      <c r="K893" s="89" t="s">
        <v>210</v>
      </c>
      <c r="L893" s="89">
        <v>-2</v>
      </c>
      <c r="M893" s="89">
        <v>4</v>
      </c>
      <c r="N893" s="89" t="s">
        <v>210</v>
      </c>
      <c r="O893" s="89" t="s">
        <v>210</v>
      </c>
      <c r="P893" s="89" t="s">
        <v>210</v>
      </c>
      <c r="Q893" s="89"/>
      <c r="R893" s="89"/>
      <c r="S893" s="89"/>
      <c r="T893" s="89"/>
      <c r="U893" s="89"/>
      <c r="V893" s="89"/>
      <c r="W893" s="89"/>
      <c r="X893" s="89"/>
      <c r="Y893" s="89"/>
      <c r="Z893" s="89"/>
      <c r="AA893" s="89"/>
      <c r="AB893" s="89"/>
      <c r="AC893" s="89"/>
      <c r="AD893" s="89"/>
      <c r="AE893" s="89"/>
      <c r="AF893" s="89"/>
      <c r="AG893" s="89"/>
      <c r="AH893" s="89"/>
      <c r="AI893" s="89"/>
      <c r="AJ893" s="89"/>
      <c r="AK893" s="89"/>
      <c r="AL893" s="89"/>
      <c r="AM893" s="89"/>
      <c r="AN893" s="89"/>
      <c r="AO893" s="89"/>
      <c r="AP893" s="89"/>
      <c r="AQ893" s="89"/>
      <c r="AR893" s="89"/>
      <c r="AS893" s="89"/>
      <c r="AT893" s="89"/>
      <c r="AU893" s="89"/>
      <c r="AV893" s="89"/>
      <c r="AW893" s="89"/>
      <c r="AX893" s="89"/>
      <c r="AY893" s="89"/>
      <c r="AZ893" s="89"/>
      <c r="BA893" s="95"/>
    </row>
    <row r="894" spans="1:53" s="87" customFormat="1">
      <c r="A894" s="374" t="str">
        <f t="shared" si="61"/>
        <v/>
      </c>
      <c r="B894" s="89">
        <v>24</v>
      </c>
      <c r="C894" s="89" t="s">
        <v>210</v>
      </c>
      <c r="D894" s="89">
        <v>3</v>
      </c>
      <c r="E894" s="89">
        <v>-5</v>
      </c>
      <c r="F894" s="89" t="s">
        <v>210</v>
      </c>
      <c r="G894" s="89" t="s">
        <v>210</v>
      </c>
      <c r="H894" s="89">
        <v>-6</v>
      </c>
      <c r="I894" s="89">
        <v>4</v>
      </c>
      <c r="J894" s="89" t="s">
        <v>210</v>
      </c>
      <c r="K894" s="89" t="s">
        <v>210</v>
      </c>
      <c r="L894" s="89">
        <v>2</v>
      </c>
      <c r="M894" s="89">
        <v>-1</v>
      </c>
      <c r="N894" s="89" t="s">
        <v>210</v>
      </c>
      <c r="O894" s="89" t="s">
        <v>210</v>
      </c>
      <c r="P894" s="89" t="s">
        <v>210</v>
      </c>
      <c r="Q894" s="89"/>
      <c r="R894" s="89"/>
      <c r="S894" s="89"/>
      <c r="T894" s="89"/>
      <c r="U894" s="89"/>
      <c r="V894" s="89"/>
      <c r="W894" s="89"/>
      <c r="X894" s="89"/>
      <c r="Y894" s="89"/>
      <c r="Z894" s="89"/>
      <c r="AA894" s="89"/>
      <c r="AB894" s="89"/>
      <c r="AC894" s="89"/>
      <c r="AD894" s="89"/>
      <c r="AE894" s="89"/>
      <c r="AF894" s="89"/>
      <c r="AG894" s="89"/>
      <c r="AH894" s="89"/>
      <c r="AI894" s="89"/>
      <c r="AJ894" s="89"/>
      <c r="AK894" s="89"/>
      <c r="AL894" s="89"/>
      <c r="AM894" s="89"/>
      <c r="AN894" s="89"/>
      <c r="AO894" s="89"/>
      <c r="AP894" s="89"/>
      <c r="AQ894" s="89"/>
      <c r="AR894" s="89"/>
      <c r="AS894" s="89"/>
      <c r="AT894" s="89"/>
      <c r="AU894" s="89"/>
      <c r="AV894" s="89"/>
      <c r="AW894" s="89"/>
      <c r="AX894" s="89"/>
      <c r="AY894" s="89"/>
      <c r="AZ894" s="89"/>
      <c r="BA894" s="95"/>
    </row>
    <row r="895" spans="1:53" s="87" customFormat="1">
      <c r="A895" s="374" t="str">
        <f t="shared" si="61"/>
        <v/>
      </c>
      <c r="B895" s="89">
        <v>25</v>
      </c>
      <c r="C895" s="89" t="s">
        <v>210</v>
      </c>
      <c r="D895" s="89">
        <v>-6</v>
      </c>
      <c r="E895" s="89">
        <v>5</v>
      </c>
      <c r="F895" s="89" t="s">
        <v>210</v>
      </c>
      <c r="G895" s="89" t="s">
        <v>210</v>
      </c>
      <c r="H895" s="89">
        <v>-4</v>
      </c>
      <c r="I895" s="89">
        <v>2</v>
      </c>
      <c r="J895" s="89" t="s">
        <v>210</v>
      </c>
      <c r="K895" s="89" t="s">
        <v>210</v>
      </c>
      <c r="L895" s="89">
        <v>-3</v>
      </c>
      <c r="M895" s="89">
        <v>1</v>
      </c>
      <c r="N895" s="89" t="s">
        <v>210</v>
      </c>
      <c r="O895" s="89" t="s">
        <v>210</v>
      </c>
      <c r="P895" s="89" t="s">
        <v>210</v>
      </c>
      <c r="Q895" s="89"/>
      <c r="R895" s="89"/>
      <c r="S895" s="89"/>
      <c r="T895" s="89"/>
      <c r="U895" s="89"/>
      <c r="V895" s="89"/>
      <c r="W895" s="89"/>
      <c r="X895" s="89"/>
      <c r="Y895" s="89"/>
      <c r="Z895" s="89"/>
      <c r="AA895" s="89"/>
      <c r="AB895" s="89"/>
      <c r="AC895" s="89"/>
      <c r="AD895" s="89"/>
      <c r="AE895" s="89"/>
      <c r="AF895" s="89"/>
      <c r="AG895" s="89"/>
      <c r="AH895" s="89"/>
      <c r="AI895" s="89"/>
      <c r="AJ895" s="89"/>
      <c r="AK895" s="89"/>
      <c r="AL895" s="89"/>
      <c r="AM895" s="89"/>
      <c r="AN895" s="89"/>
      <c r="AO895" s="89"/>
      <c r="AP895" s="89"/>
      <c r="AQ895" s="89"/>
      <c r="AR895" s="89"/>
      <c r="AS895" s="89"/>
      <c r="AT895" s="89"/>
      <c r="AU895" s="89"/>
      <c r="AV895" s="89"/>
      <c r="AW895" s="89"/>
      <c r="AX895" s="89"/>
      <c r="AY895" s="89"/>
      <c r="AZ895" s="89"/>
      <c r="BA895" s="95"/>
    </row>
    <row r="896" spans="1:53" s="87" customFormat="1">
      <c r="A896" s="374" t="str">
        <f t="shared" si="61"/>
        <v/>
      </c>
      <c r="B896" s="89">
        <v>26</v>
      </c>
      <c r="C896" s="89" t="s">
        <v>210</v>
      </c>
      <c r="D896" s="89">
        <v>1</v>
      </c>
      <c r="E896" s="89">
        <v>-2</v>
      </c>
      <c r="F896" s="89" t="s">
        <v>210</v>
      </c>
      <c r="G896" s="89" t="s">
        <v>210</v>
      </c>
      <c r="H896" s="89">
        <v>-5</v>
      </c>
      <c r="I896" s="89">
        <v>-4</v>
      </c>
      <c r="J896" s="89" t="s">
        <v>210</v>
      </c>
      <c r="K896" s="89" t="s">
        <v>210</v>
      </c>
      <c r="L896" s="89">
        <v>3</v>
      </c>
      <c r="M896" s="89">
        <v>6</v>
      </c>
      <c r="N896" s="89" t="s">
        <v>210</v>
      </c>
      <c r="O896" s="89" t="s">
        <v>210</v>
      </c>
      <c r="P896" s="89" t="s">
        <v>210</v>
      </c>
      <c r="Q896" s="89"/>
      <c r="R896" s="89"/>
      <c r="S896" s="89"/>
      <c r="T896" s="89"/>
      <c r="U896" s="89"/>
      <c r="V896" s="89"/>
      <c r="W896" s="89"/>
      <c r="X896" s="89"/>
      <c r="Y896" s="89"/>
      <c r="Z896" s="89"/>
      <c r="AA896" s="89"/>
      <c r="AB896" s="89"/>
      <c r="AC896" s="89"/>
      <c r="AD896" s="89"/>
      <c r="AE896" s="89"/>
      <c r="AF896" s="89"/>
      <c r="AG896" s="89"/>
      <c r="AH896" s="89"/>
      <c r="AI896" s="89"/>
      <c r="AJ896" s="89"/>
      <c r="AK896" s="89"/>
      <c r="AL896" s="89"/>
      <c r="AM896" s="89"/>
      <c r="AN896" s="89"/>
      <c r="AO896" s="89"/>
      <c r="AP896" s="89"/>
      <c r="AQ896" s="89"/>
      <c r="AR896" s="89"/>
      <c r="AS896" s="89"/>
      <c r="AT896" s="89"/>
      <c r="AU896" s="89"/>
      <c r="AV896" s="89"/>
      <c r="AW896" s="89"/>
      <c r="AX896" s="89"/>
      <c r="AY896" s="89"/>
      <c r="AZ896" s="89"/>
      <c r="BA896" s="95"/>
    </row>
    <row r="897" spans="1:53" s="87" customFormat="1">
      <c r="A897" s="374" t="str">
        <f t="shared" si="61"/>
        <v/>
      </c>
      <c r="B897" s="89">
        <v>27</v>
      </c>
      <c r="C897" s="89" t="s">
        <v>210</v>
      </c>
      <c r="D897" s="89">
        <v>-3</v>
      </c>
      <c r="E897" s="89">
        <v>2</v>
      </c>
      <c r="F897" s="89" t="s">
        <v>210</v>
      </c>
      <c r="G897" s="89" t="s">
        <v>210</v>
      </c>
      <c r="H897" s="89">
        <v>4</v>
      </c>
      <c r="I897" s="89">
        <v>1</v>
      </c>
      <c r="J897" s="89" t="s">
        <v>210</v>
      </c>
      <c r="K897" s="89" t="s">
        <v>210</v>
      </c>
      <c r="L897" s="89">
        <v>-5</v>
      </c>
      <c r="M897" s="89">
        <v>-6</v>
      </c>
      <c r="N897" s="89" t="s">
        <v>210</v>
      </c>
      <c r="O897" s="89" t="s">
        <v>210</v>
      </c>
      <c r="P897" s="89" t="s">
        <v>210</v>
      </c>
      <c r="Q897" s="89"/>
      <c r="R897" s="89"/>
      <c r="S897" s="89"/>
      <c r="T897" s="89"/>
      <c r="U897" s="89"/>
      <c r="V897" s="89"/>
      <c r="W897" s="89"/>
      <c r="X897" s="89"/>
      <c r="Y897" s="89"/>
      <c r="Z897" s="89"/>
      <c r="AA897" s="89"/>
      <c r="AB897" s="89"/>
      <c r="AC897" s="89"/>
      <c r="AD897" s="89"/>
      <c r="AE897" s="89"/>
      <c r="AF897" s="89"/>
      <c r="AG897" s="89"/>
      <c r="AH897" s="89"/>
      <c r="AI897" s="89"/>
      <c r="AJ897" s="89"/>
      <c r="AK897" s="89"/>
      <c r="AL897" s="89"/>
      <c r="AM897" s="89"/>
      <c r="AN897" s="89"/>
      <c r="AO897" s="89"/>
      <c r="AP897" s="89"/>
      <c r="AQ897" s="89"/>
      <c r="AR897" s="89"/>
      <c r="AS897" s="89"/>
      <c r="AT897" s="89"/>
      <c r="AU897" s="89"/>
      <c r="AV897" s="89"/>
      <c r="AW897" s="89"/>
      <c r="AX897" s="89"/>
      <c r="AY897" s="89"/>
      <c r="AZ897" s="89"/>
      <c r="BA897" s="95"/>
    </row>
    <row r="898" spans="1:53" s="87" customFormat="1">
      <c r="A898" s="374" t="str">
        <f t="shared" si="61"/>
        <v/>
      </c>
      <c r="B898" s="319" t="s">
        <v>1130</v>
      </c>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c r="AA898" s="89"/>
      <c r="AB898" s="89"/>
      <c r="AC898" s="89"/>
      <c r="AD898" s="89"/>
      <c r="AE898" s="89"/>
      <c r="AF898" s="89"/>
      <c r="AG898" s="89"/>
      <c r="AH898" s="89"/>
      <c r="AI898" s="89"/>
      <c r="AJ898" s="89"/>
      <c r="AK898" s="89"/>
      <c r="AL898" s="89"/>
      <c r="AM898" s="89"/>
      <c r="AN898" s="89"/>
      <c r="AO898" s="89"/>
      <c r="AP898" s="89"/>
      <c r="AQ898" s="89"/>
      <c r="AR898" s="89"/>
      <c r="AS898" s="89"/>
      <c r="AT898" s="89"/>
      <c r="AU898" s="89"/>
      <c r="AV898" s="89"/>
      <c r="AW898" s="89"/>
      <c r="AX898" s="89"/>
      <c r="AY898" s="89"/>
      <c r="AZ898" s="89"/>
      <c r="BA898" s="95"/>
    </row>
    <row r="899" spans="1:53" s="87" customFormat="1">
      <c r="A899" s="374">
        <f t="shared" si="61"/>
        <v>899</v>
      </c>
      <c r="B899" s="89" t="s">
        <v>399</v>
      </c>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c r="AA899" s="89"/>
      <c r="AB899" s="89"/>
      <c r="AC899" s="89"/>
      <c r="AD899" s="89"/>
      <c r="AE899" s="89"/>
      <c r="AF899" s="89"/>
      <c r="AG899" s="89"/>
      <c r="AH899" s="89"/>
      <c r="AI899" s="89"/>
      <c r="AJ899" s="89"/>
      <c r="AK899" s="89"/>
      <c r="AL899" s="89"/>
      <c r="AM899" s="89"/>
      <c r="AN899" s="89"/>
      <c r="AO899" s="89"/>
      <c r="AP899" s="89"/>
      <c r="AQ899" s="89"/>
      <c r="AR899" s="89"/>
      <c r="AS899" s="89"/>
      <c r="AT899" s="89"/>
      <c r="AU899" s="89"/>
      <c r="AV899" s="89"/>
      <c r="AW899" s="89"/>
      <c r="AX899" s="89"/>
      <c r="AY899" s="89"/>
      <c r="AZ899" s="89"/>
      <c r="BA899" s="95"/>
    </row>
    <row r="900" spans="1:53" s="87" customFormat="1">
      <c r="A900" s="374" t="str">
        <f t="shared" si="61"/>
        <v/>
      </c>
      <c r="B900" s="89">
        <v>1</v>
      </c>
      <c r="C900" s="89">
        <v>-5</v>
      </c>
      <c r="D900" s="89" t="s">
        <v>210</v>
      </c>
      <c r="E900" s="89" t="s">
        <v>210</v>
      </c>
      <c r="F900" s="89">
        <v>4</v>
      </c>
      <c r="G900" s="89">
        <v>-6</v>
      </c>
      <c r="H900" s="89" t="s">
        <v>210</v>
      </c>
      <c r="I900" s="89" t="s">
        <v>210</v>
      </c>
      <c r="J900" s="89">
        <v>2</v>
      </c>
      <c r="K900" s="89">
        <v>-3</v>
      </c>
      <c r="L900" s="89" t="s">
        <v>210</v>
      </c>
      <c r="M900" s="89"/>
      <c r="N900" s="89"/>
      <c r="O900" s="89"/>
      <c r="P900" s="89"/>
      <c r="Q900" s="89"/>
      <c r="R900" s="89"/>
      <c r="S900" s="89"/>
      <c r="T900" s="89"/>
      <c r="U900" s="89"/>
      <c r="V900" s="89"/>
      <c r="W900" s="89"/>
      <c r="X900" s="89"/>
      <c r="Y900" s="89"/>
      <c r="Z900" s="89"/>
      <c r="AA900" s="89"/>
      <c r="AB900" s="89"/>
      <c r="AC900" s="89"/>
      <c r="AD900" s="89"/>
      <c r="AE900" s="89"/>
      <c r="AF900" s="89"/>
      <c r="AG900" s="89"/>
      <c r="AH900" s="89"/>
      <c r="AI900" s="89"/>
      <c r="AJ900" s="89"/>
      <c r="AK900" s="89"/>
      <c r="AL900" s="89"/>
      <c r="AM900" s="89"/>
      <c r="AN900" s="89"/>
      <c r="AO900" s="89"/>
      <c r="AP900" s="89"/>
      <c r="AQ900" s="89"/>
      <c r="AR900" s="89"/>
      <c r="AS900" s="89"/>
      <c r="AT900" s="89"/>
      <c r="AU900" s="89"/>
      <c r="AV900" s="89"/>
      <c r="AW900" s="89"/>
      <c r="AX900" s="89"/>
      <c r="AY900" s="89"/>
      <c r="AZ900" s="89"/>
      <c r="BA900" s="95"/>
    </row>
    <row r="901" spans="1:53" s="87" customFormat="1">
      <c r="A901" s="374" t="str">
        <f t="shared" si="61"/>
        <v/>
      </c>
      <c r="B901" s="89">
        <v>2</v>
      </c>
      <c r="C901" s="89">
        <v>-6</v>
      </c>
      <c r="D901" s="89" t="s">
        <v>210</v>
      </c>
      <c r="E901" s="89" t="s">
        <v>210</v>
      </c>
      <c r="F901" s="89">
        <v>2</v>
      </c>
      <c r="G901" s="89">
        <v>5</v>
      </c>
      <c r="H901" s="89" t="s">
        <v>210</v>
      </c>
      <c r="I901" s="89" t="s">
        <v>210</v>
      </c>
      <c r="J901" s="89">
        <v>-1</v>
      </c>
      <c r="K901" s="89">
        <v>3</v>
      </c>
      <c r="L901" s="89" t="s">
        <v>210</v>
      </c>
      <c r="M901" s="89"/>
      <c r="N901" s="89"/>
      <c r="O901" s="89"/>
      <c r="P901" s="89"/>
      <c r="Q901" s="89"/>
      <c r="R901" s="89"/>
      <c r="S901" s="89"/>
      <c r="T901" s="89"/>
      <c r="U901" s="89"/>
      <c r="V901" s="89"/>
      <c r="W901" s="89"/>
      <c r="X901" s="89"/>
      <c r="Y901" s="89"/>
      <c r="Z901" s="89"/>
      <c r="AA901" s="89"/>
      <c r="AB901" s="89"/>
      <c r="AC901" s="89"/>
      <c r="AD901" s="89"/>
      <c r="AE901" s="89"/>
      <c r="AF901" s="89"/>
      <c r="AG901" s="89"/>
      <c r="AH901" s="89"/>
      <c r="AI901" s="89"/>
      <c r="AJ901" s="89"/>
      <c r="AK901" s="89"/>
      <c r="AL901" s="89"/>
      <c r="AM901" s="89"/>
      <c r="AN901" s="89"/>
      <c r="AO901" s="89"/>
      <c r="AP901" s="89"/>
      <c r="AQ901" s="89"/>
      <c r="AR901" s="89"/>
      <c r="AS901" s="89"/>
      <c r="AT901" s="89"/>
      <c r="AU901" s="89"/>
      <c r="AV901" s="89"/>
      <c r="AW901" s="89"/>
      <c r="AX901" s="89"/>
      <c r="AY901" s="89"/>
      <c r="AZ901" s="89"/>
      <c r="BA901" s="95"/>
    </row>
    <row r="902" spans="1:53" s="87" customFormat="1">
      <c r="A902" s="374" t="str">
        <f t="shared" si="61"/>
        <v/>
      </c>
      <c r="B902" s="89">
        <v>3</v>
      </c>
      <c r="C902" s="89">
        <v>-3</v>
      </c>
      <c r="D902" s="89" t="s">
        <v>210</v>
      </c>
      <c r="E902" s="89" t="s">
        <v>210</v>
      </c>
      <c r="F902" s="89">
        <v>-2</v>
      </c>
      <c r="G902" s="89">
        <v>6</v>
      </c>
      <c r="H902" s="89" t="s">
        <v>210</v>
      </c>
      <c r="I902" s="89" t="s">
        <v>210</v>
      </c>
      <c r="J902" s="89">
        <v>-5</v>
      </c>
      <c r="K902" s="89">
        <v>4</v>
      </c>
      <c r="L902" s="89" t="s">
        <v>210</v>
      </c>
      <c r="M902" s="89"/>
      <c r="N902" s="89"/>
      <c r="O902" s="89"/>
      <c r="P902" s="89"/>
      <c r="Q902" s="89"/>
      <c r="R902" s="89"/>
      <c r="S902" s="89"/>
      <c r="T902" s="89"/>
      <c r="U902" s="89"/>
      <c r="V902" s="89"/>
      <c r="W902" s="89"/>
      <c r="X902" s="89"/>
      <c r="Y902" s="89"/>
      <c r="Z902" s="89"/>
      <c r="AA902" s="89"/>
      <c r="AB902" s="89"/>
      <c r="AC902" s="89"/>
      <c r="AD902" s="89"/>
      <c r="AE902" s="89"/>
      <c r="AF902" s="89"/>
      <c r="AG902" s="89"/>
      <c r="AH902" s="89"/>
      <c r="AI902" s="89"/>
      <c r="AJ902" s="89"/>
      <c r="AK902" s="89"/>
      <c r="AL902" s="89"/>
      <c r="AM902" s="89"/>
      <c r="AN902" s="89"/>
      <c r="AO902" s="89"/>
      <c r="AP902" s="89"/>
      <c r="AQ902" s="89"/>
      <c r="AR902" s="89"/>
      <c r="AS902" s="89"/>
      <c r="AT902" s="89"/>
      <c r="AU902" s="89"/>
      <c r="AV902" s="89"/>
      <c r="AW902" s="89"/>
      <c r="AX902" s="89"/>
      <c r="AY902" s="89"/>
      <c r="AZ902" s="89"/>
      <c r="BA902" s="95"/>
    </row>
    <row r="903" spans="1:53" s="87" customFormat="1">
      <c r="A903" s="374" t="str">
        <f t="shared" si="61"/>
        <v/>
      </c>
      <c r="B903" s="89">
        <v>4</v>
      </c>
      <c r="C903" s="89">
        <v>5</v>
      </c>
      <c r="D903" s="89" t="s">
        <v>210</v>
      </c>
      <c r="E903" s="89" t="s">
        <v>210</v>
      </c>
      <c r="F903" s="89">
        <v>-6</v>
      </c>
      <c r="G903" s="89">
        <v>2</v>
      </c>
      <c r="H903" s="89" t="s">
        <v>210</v>
      </c>
      <c r="I903" s="89" t="s">
        <v>210</v>
      </c>
      <c r="J903" s="89">
        <v>1</v>
      </c>
      <c r="K903" s="89">
        <v>-4</v>
      </c>
      <c r="L903" s="89" t="s">
        <v>210</v>
      </c>
      <c r="M903" s="89"/>
      <c r="N903" s="89"/>
      <c r="O903" s="89"/>
      <c r="P903" s="89"/>
      <c r="Q903" s="89"/>
      <c r="R903" s="89"/>
      <c r="S903" s="89"/>
      <c r="T903" s="89"/>
      <c r="U903" s="89"/>
      <c r="V903" s="89"/>
      <c r="W903" s="89"/>
      <c r="X903" s="89"/>
      <c r="Y903" s="89"/>
      <c r="Z903" s="89"/>
      <c r="AA903" s="89"/>
      <c r="AB903" s="89"/>
      <c r="AC903" s="89"/>
      <c r="AD903" s="89"/>
      <c r="AE903" s="89"/>
      <c r="AF903" s="89"/>
      <c r="AG903" s="89"/>
      <c r="AH903" s="89"/>
      <c r="AI903" s="89"/>
      <c r="AJ903" s="89"/>
      <c r="AK903" s="89"/>
      <c r="AL903" s="89"/>
      <c r="AM903" s="89"/>
      <c r="AN903" s="89"/>
      <c r="AO903" s="89"/>
      <c r="AP903" s="89"/>
      <c r="AQ903" s="89"/>
      <c r="AR903" s="89"/>
      <c r="AS903" s="89"/>
      <c r="AT903" s="89"/>
      <c r="AU903" s="89"/>
      <c r="AV903" s="89"/>
      <c r="AW903" s="89"/>
      <c r="AX903" s="89"/>
      <c r="AY903" s="89"/>
      <c r="AZ903" s="89"/>
      <c r="BA903" s="95"/>
    </row>
    <row r="904" spans="1:53" s="87" customFormat="1">
      <c r="A904" s="374" t="str">
        <f t="shared" si="61"/>
        <v/>
      </c>
      <c r="B904" s="89">
        <v>5</v>
      </c>
      <c r="C904" s="89">
        <v>6</v>
      </c>
      <c r="D904" s="89" t="s">
        <v>210</v>
      </c>
      <c r="E904" s="89" t="s">
        <v>210</v>
      </c>
      <c r="F904" s="89">
        <v>-4</v>
      </c>
      <c r="G904" s="89">
        <v>-2</v>
      </c>
      <c r="H904" s="89" t="s">
        <v>210</v>
      </c>
      <c r="I904" s="89" t="s">
        <v>210</v>
      </c>
      <c r="J904" s="89">
        <v>5</v>
      </c>
      <c r="K904" s="89">
        <v>-1</v>
      </c>
      <c r="L904" s="89" t="s">
        <v>210</v>
      </c>
      <c r="M904" s="89"/>
      <c r="N904" s="89"/>
      <c r="O904" s="89"/>
      <c r="P904" s="89"/>
      <c r="Q904" s="89"/>
      <c r="R904" s="89"/>
      <c r="S904" s="89"/>
      <c r="T904" s="89"/>
      <c r="U904" s="89"/>
      <c r="V904" s="89"/>
      <c r="W904" s="89"/>
      <c r="X904" s="89"/>
      <c r="Y904" s="89"/>
      <c r="Z904" s="89"/>
      <c r="AA904" s="89"/>
      <c r="AB904" s="89"/>
      <c r="AC904" s="89"/>
      <c r="AD904" s="89"/>
      <c r="AE904" s="89"/>
      <c r="AF904" s="89"/>
      <c r="AG904" s="89"/>
      <c r="AH904" s="89"/>
      <c r="AI904" s="89"/>
      <c r="AJ904" s="89"/>
      <c r="AK904" s="89"/>
      <c r="AL904" s="89"/>
      <c r="AM904" s="89"/>
      <c r="AN904" s="89"/>
      <c r="AO904" s="89"/>
      <c r="AP904" s="89"/>
      <c r="AQ904" s="89"/>
      <c r="AR904" s="89"/>
      <c r="AS904" s="89"/>
      <c r="AT904" s="89"/>
      <c r="AU904" s="89"/>
      <c r="AV904" s="89"/>
      <c r="AW904" s="89"/>
      <c r="AX904" s="89"/>
      <c r="AY904" s="89"/>
      <c r="AZ904" s="89"/>
      <c r="BA904" s="95"/>
    </row>
    <row r="905" spans="1:53" s="87" customFormat="1">
      <c r="A905" s="374" t="str">
        <f t="shared" si="61"/>
        <v/>
      </c>
      <c r="B905" s="99">
        <v>6</v>
      </c>
      <c r="C905" s="92">
        <v>3</v>
      </c>
      <c r="D905" s="92" t="s">
        <v>210</v>
      </c>
      <c r="E905" s="92" t="s">
        <v>210</v>
      </c>
      <c r="F905" s="92">
        <v>6</v>
      </c>
      <c r="G905" s="92">
        <v>-5</v>
      </c>
      <c r="H905" s="92" t="s">
        <v>210</v>
      </c>
      <c r="I905" s="92" t="s">
        <v>210</v>
      </c>
      <c r="J905" s="92">
        <v>-2</v>
      </c>
      <c r="K905" s="92">
        <v>1</v>
      </c>
      <c r="L905" s="92" t="s">
        <v>210</v>
      </c>
      <c r="M905" s="89"/>
      <c r="N905" s="89"/>
      <c r="O905" s="89"/>
      <c r="P905" s="89"/>
      <c r="Q905" s="89"/>
      <c r="R905" s="89"/>
      <c r="S905" s="89"/>
      <c r="T905" s="89"/>
      <c r="U905" s="89"/>
      <c r="V905" s="89"/>
      <c r="W905" s="89"/>
      <c r="X905" s="89"/>
      <c r="Y905" s="89"/>
      <c r="Z905" s="89"/>
      <c r="AA905" s="89"/>
      <c r="AB905" s="89"/>
      <c r="AC905" s="89"/>
      <c r="AD905" s="89"/>
      <c r="AE905" s="89"/>
      <c r="AF905" s="89"/>
      <c r="AG905" s="89"/>
      <c r="AH905" s="89"/>
      <c r="AI905" s="89"/>
      <c r="AJ905" s="89"/>
      <c r="AK905" s="89"/>
      <c r="AL905" s="89"/>
      <c r="AM905" s="89"/>
      <c r="AN905" s="89"/>
      <c r="AO905" s="89"/>
      <c r="AP905" s="89"/>
      <c r="AQ905" s="89"/>
      <c r="AR905" s="89"/>
      <c r="AS905" s="89"/>
      <c r="AT905" s="89"/>
      <c r="AU905" s="89"/>
      <c r="AV905" s="89"/>
      <c r="AW905" s="89"/>
      <c r="AX905" s="89"/>
      <c r="AY905" s="89"/>
      <c r="AZ905" s="89"/>
      <c r="BA905" s="95"/>
    </row>
    <row r="906" spans="1:53" s="87" customFormat="1">
      <c r="A906" s="374" t="str">
        <f t="shared" si="61"/>
        <v/>
      </c>
      <c r="B906" s="89">
        <v>7</v>
      </c>
      <c r="C906" s="89">
        <v>-4</v>
      </c>
      <c r="D906" s="89" t="s">
        <v>210</v>
      </c>
      <c r="E906" s="89" t="s">
        <v>210</v>
      </c>
      <c r="F906" s="89">
        <v>5</v>
      </c>
      <c r="G906" s="89">
        <v>-1</v>
      </c>
      <c r="H906" s="89" t="s">
        <v>210</v>
      </c>
      <c r="I906" s="89" t="s">
        <v>210</v>
      </c>
      <c r="J906" s="89">
        <v>3</v>
      </c>
      <c r="K906" s="89">
        <v>2</v>
      </c>
      <c r="L906" s="89" t="s">
        <v>210</v>
      </c>
      <c r="M906" s="89"/>
      <c r="N906" s="89"/>
      <c r="O906" s="89"/>
      <c r="P906" s="89"/>
      <c r="Q906" s="89"/>
      <c r="R906" s="89"/>
      <c r="S906" s="89"/>
      <c r="T906" s="89"/>
      <c r="U906" s="89"/>
      <c r="V906" s="89"/>
      <c r="W906" s="89"/>
      <c r="X906" s="89"/>
      <c r="Y906" s="89"/>
      <c r="Z906" s="89"/>
      <c r="AA906" s="89"/>
      <c r="AB906" s="89"/>
      <c r="AC906" s="89"/>
      <c r="AD906" s="89"/>
      <c r="AE906" s="89"/>
      <c r="AF906" s="89"/>
      <c r="AG906" s="89"/>
      <c r="AH906" s="89"/>
      <c r="AI906" s="89"/>
      <c r="AJ906" s="89"/>
      <c r="AK906" s="89"/>
      <c r="AL906" s="89"/>
      <c r="AM906" s="89"/>
      <c r="AN906" s="89"/>
      <c r="AO906" s="89"/>
      <c r="AP906" s="89"/>
      <c r="AQ906" s="89"/>
      <c r="AR906" s="89"/>
      <c r="AS906" s="89"/>
      <c r="AT906" s="89"/>
      <c r="AU906" s="89"/>
      <c r="AV906" s="89"/>
      <c r="AW906" s="89"/>
      <c r="AX906" s="89"/>
      <c r="AY906" s="89"/>
      <c r="AZ906" s="89"/>
      <c r="BA906" s="95"/>
    </row>
    <row r="907" spans="1:53" s="87" customFormat="1">
      <c r="A907" s="374" t="str">
        <f t="shared" si="61"/>
        <v/>
      </c>
      <c r="B907" s="89">
        <v>8</v>
      </c>
      <c r="C907" s="89">
        <v>-1</v>
      </c>
      <c r="D907" s="89" t="s">
        <v>210</v>
      </c>
      <c r="E907" s="89" t="s">
        <v>210</v>
      </c>
      <c r="F907" s="89">
        <v>3</v>
      </c>
      <c r="G907" s="89">
        <v>4</v>
      </c>
      <c r="H907" s="89" t="s">
        <v>210</v>
      </c>
      <c r="I907" s="89" t="s">
        <v>210</v>
      </c>
      <c r="J907" s="89">
        <v>-6</v>
      </c>
      <c r="K907" s="89">
        <v>-2</v>
      </c>
      <c r="L907" s="89" t="s">
        <v>210</v>
      </c>
      <c r="M907" s="89"/>
      <c r="N907" s="89"/>
      <c r="O907" s="89"/>
      <c r="P907" s="89"/>
      <c r="Q907" s="89"/>
      <c r="R907" s="89"/>
      <c r="S907" s="89"/>
      <c r="T907" s="89"/>
      <c r="U907" s="89"/>
      <c r="V907" s="89"/>
      <c r="W907" s="89"/>
      <c r="X907" s="89"/>
      <c r="Y907" s="89"/>
      <c r="Z907" s="89"/>
      <c r="AA907" s="89"/>
      <c r="AB907" s="89"/>
      <c r="AC907" s="89"/>
      <c r="AD907" s="89"/>
      <c r="AE907" s="89"/>
      <c r="AF907" s="89"/>
      <c r="AG907" s="89"/>
      <c r="AH907" s="89"/>
      <c r="AI907" s="89"/>
      <c r="AJ907" s="89"/>
      <c r="AK907" s="89"/>
      <c r="AL907" s="89"/>
      <c r="AM907" s="89"/>
      <c r="AN907" s="89"/>
      <c r="AO907" s="89"/>
      <c r="AP907" s="89"/>
      <c r="AQ907" s="89"/>
      <c r="AR907" s="89"/>
      <c r="AS907" s="89"/>
      <c r="AT907" s="89"/>
      <c r="AU907" s="89"/>
      <c r="AV907" s="89"/>
      <c r="AW907" s="89"/>
      <c r="AX907" s="89"/>
      <c r="AY907" s="89"/>
      <c r="AZ907" s="89"/>
      <c r="BA907" s="95"/>
    </row>
    <row r="908" spans="1:53" s="87" customFormat="1">
      <c r="A908" s="374" t="str">
        <f t="shared" ref="A908:A971" si="62">IF(MID(B908,3,2)="06",ROW(),"")</f>
        <v/>
      </c>
      <c r="B908" s="89">
        <v>9</v>
      </c>
      <c r="C908" s="89">
        <v>2</v>
      </c>
      <c r="D908" s="89" t="s">
        <v>210</v>
      </c>
      <c r="E908" s="89" t="s">
        <v>210</v>
      </c>
      <c r="F908" s="89">
        <v>-3</v>
      </c>
      <c r="G908" s="89">
        <v>1</v>
      </c>
      <c r="H908" s="89" t="s">
        <v>210</v>
      </c>
      <c r="I908" s="89" t="s">
        <v>210</v>
      </c>
      <c r="J908" s="89">
        <v>-4</v>
      </c>
      <c r="K908" s="89">
        <v>5</v>
      </c>
      <c r="L908" s="89" t="s">
        <v>210</v>
      </c>
      <c r="M908" s="89"/>
      <c r="N908" s="89"/>
      <c r="O908" s="89"/>
      <c r="P908" s="89"/>
      <c r="Q908" s="89"/>
      <c r="R908" s="89"/>
      <c r="S908" s="89"/>
      <c r="T908" s="89"/>
      <c r="U908" s="89"/>
      <c r="V908" s="89"/>
      <c r="W908" s="89"/>
      <c r="X908" s="89"/>
      <c r="Y908" s="89"/>
      <c r="Z908" s="89"/>
      <c r="AA908" s="89"/>
      <c r="AB908" s="89"/>
      <c r="AC908" s="89"/>
      <c r="AD908" s="89"/>
      <c r="AE908" s="89"/>
      <c r="AF908" s="89"/>
      <c r="AG908" s="89"/>
      <c r="AH908" s="89"/>
      <c r="AI908" s="89"/>
      <c r="AJ908" s="89"/>
      <c r="AK908" s="89"/>
      <c r="AL908" s="89"/>
      <c r="AM908" s="89"/>
      <c r="AN908" s="89"/>
      <c r="AO908" s="89"/>
      <c r="AP908" s="89"/>
      <c r="AQ908" s="89"/>
      <c r="AR908" s="89"/>
      <c r="AS908" s="89"/>
      <c r="AT908" s="89"/>
      <c r="AU908" s="89"/>
      <c r="AV908" s="89"/>
      <c r="AW908" s="89"/>
      <c r="AX908" s="89"/>
      <c r="AY908" s="89"/>
      <c r="AZ908" s="89"/>
      <c r="BA908" s="95"/>
    </row>
    <row r="909" spans="1:53" s="87" customFormat="1">
      <c r="A909" s="374" t="str">
        <f t="shared" si="62"/>
        <v/>
      </c>
      <c r="B909" s="89">
        <v>10</v>
      </c>
      <c r="C909" s="89">
        <v>4</v>
      </c>
      <c r="D909" s="89" t="s">
        <v>210</v>
      </c>
      <c r="E909" s="89" t="s">
        <v>210</v>
      </c>
      <c r="F909" s="89">
        <v>-1</v>
      </c>
      <c r="G909" s="89">
        <v>-3</v>
      </c>
      <c r="H909" s="89" t="s">
        <v>210</v>
      </c>
      <c r="I909" s="89" t="s">
        <v>210</v>
      </c>
      <c r="J909" s="89">
        <v>6</v>
      </c>
      <c r="K909" s="89">
        <v>-5</v>
      </c>
      <c r="L909" s="89" t="s">
        <v>210</v>
      </c>
      <c r="M909" s="89"/>
      <c r="N909" s="89"/>
      <c r="O909" s="89"/>
      <c r="P909" s="89"/>
      <c r="Q909" s="89"/>
      <c r="R909" s="89"/>
      <c r="S909" s="89"/>
      <c r="T909" s="89"/>
      <c r="U909" s="89"/>
      <c r="V909" s="89"/>
      <c r="W909" s="89"/>
      <c r="X909" s="89"/>
      <c r="Y909" s="89"/>
      <c r="Z909" s="89"/>
      <c r="AA909" s="89"/>
      <c r="AB909" s="89"/>
      <c r="AC909" s="89"/>
      <c r="AD909" s="89"/>
      <c r="AE909" s="89"/>
      <c r="AF909" s="89"/>
      <c r="AG909" s="89"/>
      <c r="AH909" s="89"/>
      <c r="AI909" s="89"/>
      <c r="AJ909" s="89"/>
      <c r="AK909" s="89"/>
      <c r="AL909" s="89"/>
      <c r="AM909" s="89"/>
      <c r="AN909" s="89"/>
      <c r="AO909" s="89"/>
      <c r="AP909" s="89"/>
      <c r="AQ909" s="89"/>
      <c r="AR909" s="89"/>
      <c r="AS909" s="89"/>
      <c r="AT909" s="89"/>
      <c r="AU909" s="89"/>
      <c r="AV909" s="89"/>
      <c r="AW909" s="89"/>
      <c r="AX909" s="89"/>
      <c r="AY909" s="89"/>
      <c r="AZ909" s="89"/>
      <c r="BA909" s="95"/>
    </row>
    <row r="910" spans="1:53" s="87" customFormat="1">
      <c r="A910" s="374" t="str">
        <f t="shared" si="62"/>
        <v/>
      </c>
      <c r="B910" s="89">
        <v>11</v>
      </c>
      <c r="C910" s="89">
        <v>1</v>
      </c>
      <c r="D910" s="89" t="s">
        <v>210</v>
      </c>
      <c r="E910" s="89" t="s">
        <v>210</v>
      </c>
      <c r="F910" s="89">
        <v>-5</v>
      </c>
      <c r="G910" s="89">
        <v>3</v>
      </c>
      <c r="H910" s="89" t="s">
        <v>210</v>
      </c>
      <c r="I910" s="89" t="s">
        <v>210</v>
      </c>
      <c r="J910" s="89">
        <v>4</v>
      </c>
      <c r="K910" s="89">
        <v>-6</v>
      </c>
      <c r="L910" s="89" t="s">
        <v>210</v>
      </c>
      <c r="M910" s="89"/>
      <c r="N910" s="89"/>
      <c r="O910" s="89"/>
      <c r="P910" s="89"/>
      <c r="Q910" s="89"/>
      <c r="R910" s="89"/>
      <c r="S910" s="89"/>
      <c r="T910" s="89"/>
      <c r="U910" s="89"/>
      <c r="V910" s="89"/>
      <c r="W910" s="89"/>
      <c r="X910" s="89"/>
      <c r="Y910" s="89"/>
      <c r="Z910" s="89"/>
      <c r="AA910" s="89"/>
      <c r="AB910" s="89"/>
      <c r="AC910" s="89"/>
      <c r="AD910" s="89"/>
      <c r="AE910" s="89"/>
      <c r="AF910" s="89"/>
      <c r="AG910" s="89"/>
      <c r="AH910" s="89"/>
      <c r="AI910" s="89"/>
      <c r="AJ910" s="89"/>
      <c r="AK910" s="89"/>
      <c r="AL910" s="89"/>
      <c r="AM910" s="89"/>
      <c r="AN910" s="89"/>
      <c r="AO910" s="89"/>
      <c r="AP910" s="89"/>
      <c r="AQ910" s="89"/>
      <c r="AR910" s="89"/>
      <c r="AS910" s="89"/>
      <c r="AT910" s="89"/>
      <c r="AU910" s="89"/>
      <c r="AV910" s="89"/>
      <c r="AW910" s="89"/>
      <c r="AX910" s="89"/>
      <c r="AY910" s="89"/>
      <c r="AZ910" s="89"/>
      <c r="BA910" s="95"/>
    </row>
    <row r="911" spans="1:53" s="87" customFormat="1">
      <c r="A911" s="374" t="str">
        <f t="shared" si="62"/>
        <v/>
      </c>
      <c r="B911" s="99">
        <v>12</v>
      </c>
      <c r="C911" s="92">
        <v>-2</v>
      </c>
      <c r="D911" s="92" t="s">
        <v>210</v>
      </c>
      <c r="E911" s="92" t="s">
        <v>210</v>
      </c>
      <c r="F911" s="92">
        <v>1</v>
      </c>
      <c r="G911" s="92">
        <v>-4</v>
      </c>
      <c r="H911" s="92" t="s">
        <v>210</v>
      </c>
      <c r="I911" s="92" t="s">
        <v>210</v>
      </c>
      <c r="J911" s="92">
        <v>-3</v>
      </c>
      <c r="K911" s="92">
        <v>6</v>
      </c>
      <c r="L911" s="92" t="s">
        <v>210</v>
      </c>
      <c r="M911" s="89"/>
      <c r="N911" s="89"/>
      <c r="O911" s="89"/>
      <c r="P911" s="89"/>
      <c r="Q911" s="89"/>
      <c r="R911" s="89"/>
      <c r="S911" s="89"/>
      <c r="T911" s="89"/>
      <c r="U911" s="89"/>
      <c r="V911" s="89"/>
      <c r="W911" s="89"/>
      <c r="X911" s="89"/>
      <c r="Y911" s="89"/>
      <c r="Z911" s="89"/>
      <c r="AA911" s="89"/>
      <c r="AB911" s="89"/>
      <c r="AC911" s="89"/>
      <c r="AD911" s="89"/>
      <c r="AE911" s="89"/>
      <c r="AF911" s="89"/>
      <c r="AG911" s="89"/>
      <c r="AH911" s="89"/>
      <c r="AI911" s="89"/>
      <c r="AJ911" s="89"/>
      <c r="AK911" s="89"/>
      <c r="AL911" s="89"/>
      <c r="AM911" s="89"/>
      <c r="AN911" s="89"/>
      <c r="AO911" s="89"/>
      <c r="AP911" s="89"/>
      <c r="AQ911" s="89"/>
      <c r="AR911" s="89"/>
      <c r="AS911" s="89"/>
      <c r="AT911" s="89"/>
      <c r="AU911" s="89"/>
      <c r="AV911" s="89"/>
      <c r="AW911" s="89"/>
      <c r="AX911" s="89"/>
      <c r="AY911" s="89"/>
      <c r="AZ911" s="89"/>
      <c r="BA911" s="95"/>
    </row>
    <row r="912" spans="1:53" s="87" customFormat="1">
      <c r="A912" s="374" t="str">
        <f t="shared" si="62"/>
        <v/>
      </c>
      <c r="B912" s="89">
        <v>13</v>
      </c>
      <c r="C912" s="89" t="s">
        <v>210</v>
      </c>
      <c r="D912" s="89">
        <v>5</v>
      </c>
      <c r="E912" s="89">
        <v>-1</v>
      </c>
      <c r="F912" s="89" t="s">
        <v>210</v>
      </c>
      <c r="G912" s="89" t="s">
        <v>210</v>
      </c>
      <c r="H912" s="89" t="s">
        <v>202</v>
      </c>
      <c r="I912" s="89">
        <v>2</v>
      </c>
      <c r="J912" s="89" t="s">
        <v>210</v>
      </c>
      <c r="K912" s="89" t="s">
        <v>210</v>
      </c>
      <c r="L912" s="89">
        <v>-3</v>
      </c>
      <c r="M912" s="89"/>
      <c r="N912" s="89"/>
      <c r="O912" s="89"/>
      <c r="P912" s="89"/>
      <c r="Q912" s="89"/>
      <c r="R912" s="89"/>
      <c r="S912" s="89"/>
      <c r="T912" s="89"/>
      <c r="U912" s="89"/>
      <c r="V912" s="89"/>
      <c r="W912" s="89"/>
      <c r="X912" s="89"/>
      <c r="Y912" s="89"/>
      <c r="Z912" s="89"/>
      <c r="AA912" s="89"/>
      <c r="AB912" s="89"/>
      <c r="AC912" s="89"/>
      <c r="AD912" s="89"/>
      <c r="AE912" s="89"/>
      <c r="AF912" s="89"/>
      <c r="AG912" s="89"/>
      <c r="AH912" s="89"/>
      <c r="AI912" s="89"/>
      <c r="AJ912" s="89"/>
      <c r="AK912" s="89"/>
      <c r="AL912" s="89"/>
      <c r="AM912" s="89"/>
      <c r="AN912" s="89"/>
      <c r="AO912" s="89"/>
      <c r="AP912" s="89"/>
      <c r="AQ912" s="89"/>
      <c r="AR912" s="89"/>
      <c r="AS912" s="89"/>
      <c r="AT912" s="89"/>
      <c r="AU912" s="89"/>
      <c r="AV912" s="89"/>
      <c r="AW912" s="89"/>
      <c r="AX912" s="89"/>
      <c r="AY912" s="89"/>
      <c r="AZ912" s="89"/>
      <c r="BA912" s="95"/>
    </row>
    <row r="913" spans="1:53" s="87" customFormat="1">
      <c r="A913" s="374" t="str">
        <f t="shared" si="62"/>
        <v/>
      </c>
      <c r="B913" s="89">
        <v>14</v>
      </c>
      <c r="C913" s="89" t="s">
        <v>210</v>
      </c>
      <c r="D913" s="89">
        <v>-4</v>
      </c>
      <c r="E913" s="89" t="s">
        <v>202</v>
      </c>
      <c r="F913" s="89" t="s">
        <v>210</v>
      </c>
      <c r="G913" s="89" t="s">
        <v>210</v>
      </c>
      <c r="H913" s="89">
        <v>-2</v>
      </c>
      <c r="I913" s="89">
        <v>6</v>
      </c>
      <c r="J913" s="89" t="s">
        <v>210</v>
      </c>
      <c r="K913" s="89" t="s">
        <v>210</v>
      </c>
      <c r="L913" s="89">
        <v>3</v>
      </c>
      <c r="M913" s="89"/>
      <c r="N913" s="89"/>
      <c r="O913" s="89"/>
      <c r="P913" s="89"/>
      <c r="Q913" s="89"/>
      <c r="R913" s="89"/>
      <c r="S913" s="89"/>
      <c r="T913" s="89"/>
      <c r="U913" s="89"/>
      <c r="V913" s="89"/>
      <c r="W913" s="89"/>
      <c r="X913" s="89"/>
      <c r="Y913" s="89"/>
      <c r="Z913" s="89"/>
      <c r="AA913" s="89"/>
      <c r="AB913" s="89"/>
      <c r="AC913" s="89"/>
      <c r="AD913" s="89"/>
      <c r="AE913" s="89"/>
      <c r="AF913" s="89"/>
      <c r="AG913" s="89"/>
      <c r="AH913" s="89"/>
      <c r="AI913" s="89"/>
      <c r="AJ913" s="89"/>
      <c r="AK913" s="89"/>
      <c r="AL913" s="89"/>
      <c r="AM913" s="89"/>
      <c r="AN913" s="89"/>
      <c r="AO913" s="89"/>
      <c r="AP913" s="89"/>
      <c r="AQ913" s="89"/>
      <c r="AR913" s="89"/>
      <c r="AS913" s="89"/>
      <c r="AT913" s="89"/>
      <c r="AU913" s="89"/>
      <c r="AV913" s="89"/>
      <c r="AW913" s="89"/>
      <c r="AX913" s="89"/>
      <c r="AY913" s="89"/>
      <c r="AZ913" s="89"/>
      <c r="BA913" s="95"/>
    </row>
    <row r="914" spans="1:53" s="87" customFormat="1">
      <c r="A914" s="374" t="str">
        <f t="shared" si="62"/>
        <v/>
      </c>
      <c r="B914" s="89">
        <v>15</v>
      </c>
      <c r="C914" s="89" t="s">
        <v>210</v>
      </c>
      <c r="D914" s="89">
        <v>-5</v>
      </c>
      <c r="E914" s="89">
        <v>-6</v>
      </c>
      <c r="F914" s="89" t="s">
        <v>210</v>
      </c>
      <c r="G914" s="89" t="s">
        <v>210</v>
      </c>
      <c r="H914" s="89">
        <v>2</v>
      </c>
      <c r="I914" s="89" t="s">
        <v>202</v>
      </c>
      <c r="J914" s="89" t="s">
        <v>210</v>
      </c>
      <c r="K914" s="89" t="s">
        <v>210</v>
      </c>
      <c r="L914" s="89">
        <v>4</v>
      </c>
      <c r="M914" s="89"/>
      <c r="N914" s="89"/>
      <c r="O914" s="89"/>
      <c r="P914" s="89"/>
      <c r="Q914" s="89"/>
      <c r="R914" s="89"/>
      <c r="S914" s="89"/>
      <c r="T914" s="89"/>
      <c r="U914" s="89"/>
      <c r="V914" s="89"/>
      <c r="W914" s="89"/>
      <c r="X914" s="89"/>
      <c r="Y914" s="89"/>
      <c r="Z914" s="89"/>
      <c r="AA914" s="89"/>
      <c r="AB914" s="89"/>
      <c r="AC914" s="89"/>
      <c r="AD914" s="89"/>
      <c r="AE914" s="89"/>
      <c r="AF914" s="89"/>
      <c r="AG914" s="89"/>
      <c r="AH914" s="89"/>
      <c r="AI914" s="89"/>
      <c r="AJ914" s="89"/>
      <c r="AK914" s="89"/>
      <c r="AL914" s="89"/>
      <c r="AM914" s="89"/>
      <c r="AN914" s="89"/>
      <c r="AO914" s="89"/>
      <c r="AP914" s="89"/>
      <c r="AQ914" s="89"/>
      <c r="AR914" s="89"/>
      <c r="AS914" s="89"/>
      <c r="AT914" s="89"/>
      <c r="AU914" s="89"/>
      <c r="AV914" s="89"/>
      <c r="AW914" s="89"/>
      <c r="AX914" s="89"/>
      <c r="AY914" s="89"/>
      <c r="AZ914" s="89"/>
      <c r="BA914" s="95"/>
    </row>
    <row r="915" spans="1:53" s="87" customFormat="1">
      <c r="A915" s="374" t="str">
        <f t="shared" si="62"/>
        <v/>
      </c>
      <c r="B915" s="89">
        <v>16</v>
      </c>
      <c r="C915" s="89" t="s">
        <v>210</v>
      </c>
      <c r="D915" s="89" t="s">
        <v>202</v>
      </c>
      <c r="E915" s="89">
        <v>1</v>
      </c>
      <c r="F915" s="89" t="s">
        <v>210</v>
      </c>
      <c r="G915" s="89" t="s">
        <v>210</v>
      </c>
      <c r="H915" s="89">
        <v>3</v>
      </c>
      <c r="I915" s="89">
        <v>-6</v>
      </c>
      <c r="J915" s="89" t="s">
        <v>210</v>
      </c>
      <c r="K915" s="89" t="s">
        <v>210</v>
      </c>
      <c r="L915" s="89">
        <v>-4</v>
      </c>
      <c r="M915" s="89"/>
      <c r="N915" s="89"/>
      <c r="O915" s="89"/>
      <c r="P915" s="89"/>
      <c r="Q915" s="89"/>
      <c r="R915" s="89"/>
      <c r="S915" s="89"/>
      <c r="T915" s="89"/>
      <c r="U915" s="89"/>
      <c r="V915" s="89"/>
      <c r="W915" s="89"/>
      <c r="X915" s="89"/>
      <c r="Y915" s="89"/>
      <c r="Z915" s="89"/>
      <c r="AA915" s="89"/>
      <c r="AB915" s="89"/>
      <c r="AC915" s="89"/>
      <c r="AD915" s="89"/>
      <c r="AE915" s="89"/>
      <c r="AF915" s="89"/>
      <c r="AG915" s="89"/>
      <c r="AH915" s="89"/>
      <c r="AI915" s="89"/>
      <c r="AJ915" s="89"/>
      <c r="AK915" s="89"/>
      <c r="AL915" s="89"/>
      <c r="AM915" s="89"/>
      <c r="AN915" s="89"/>
      <c r="AO915" s="89"/>
      <c r="AP915" s="89"/>
      <c r="AQ915" s="89"/>
      <c r="AR915" s="89"/>
      <c r="AS915" s="89"/>
      <c r="AT915" s="89"/>
      <c r="AU915" s="89"/>
      <c r="AV915" s="89"/>
      <c r="AW915" s="89"/>
      <c r="AX915" s="89"/>
      <c r="AY915" s="89"/>
      <c r="AZ915" s="89"/>
      <c r="BA915" s="95"/>
    </row>
    <row r="916" spans="1:53" s="87" customFormat="1">
      <c r="A916" s="374" t="str">
        <f t="shared" si="62"/>
        <v/>
      </c>
      <c r="B916" s="99">
        <v>17</v>
      </c>
      <c r="C916" s="92" t="s">
        <v>210</v>
      </c>
      <c r="D916" s="92">
        <v>4</v>
      </c>
      <c r="E916" s="92">
        <v>6</v>
      </c>
      <c r="F916" s="92" t="s">
        <v>210</v>
      </c>
      <c r="G916" s="92" t="s">
        <v>210</v>
      </c>
      <c r="H916" s="92">
        <v>-3</v>
      </c>
      <c r="I916" s="92">
        <v>-2</v>
      </c>
      <c r="J916" s="92" t="s">
        <v>210</v>
      </c>
      <c r="K916" s="92" t="s">
        <v>210</v>
      </c>
      <c r="L916" s="92" t="s">
        <v>202</v>
      </c>
      <c r="M916" s="89"/>
      <c r="N916" s="89"/>
      <c r="O916" s="89"/>
      <c r="P916" s="89"/>
      <c r="Q916" s="89"/>
      <c r="R916" s="89"/>
      <c r="S916" s="89"/>
      <c r="T916" s="89"/>
      <c r="U916" s="89"/>
      <c r="V916" s="89"/>
      <c r="W916" s="89"/>
      <c r="X916" s="89"/>
      <c r="Y916" s="89"/>
      <c r="Z916" s="89"/>
      <c r="AA916" s="89"/>
      <c r="AB916" s="89"/>
      <c r="AC916" s="89"/>
      <c r="AD916" s="89"/>
      <c r="AE916" s="89"/>
      <c r="AF916" s="89"/>
      <c r="AG916" s="89"/>
      <c r="AH916" s="89"/>
      <c r="AI916" s="89"/>
      <c r="AJ916" s="89"/>
      <c r="AK916" s="89"/>
      <c r="AL916" s="89"/>
      <c r="AM916" s="89"/>
      <c r="AN916" s="89"/>
      <c r="AO916" s="89"/>
      <c r="AP916" s="89"/>
      <c r="AQ916" s="89"/>
      <c r="AR916" s="89"/>
      <c r="AS916" s="89"/>
      <c r="AT916" s="89"/>
      <c r="AU916" s="89"/>
      <c r="AV916" s="89"/>
      <c r="AW916" s="89"/>
      <c r="AX916" s="89"/>
      <c r="AY916" s="89"/>
      <c r="AZ916" s="89"/>
      <c r="BA916" s="95"/>
    </row>
    <row r="917" spans="1:53" s="87" customFormat="1">
      <c r="A917" s="374" t="str">
        <f t="shared" si="62"/>
        <v/>
      </c>
      <c r="B917" s="89">
        <v>18</v>
      </c>
      <c r="C917" s="89" t="s">
        <v>210</v>
      </c>
      <c r="D917" s="89" t="s">
        <v>202</v>
      </c>
      <c r="E917" s="89">
        <v>-4</v>
      </c>
      <c r="F917" s="89" t="s">
        <v>210</v>
      </c>
      <c r="G917" s="89" t="s">
        <v>210</v>
      </c>
      <c r="H917" s="89">
        <v>-1</v>
      </c>
      <c r="I917" s="89">
        <v>5</v>
      </c>
      <c r="J917" s="89" t="s">
        <v>210</v>
      </c>
      <c r="K917" s="89" t="s">
        <v>210</v>
      </c>
      <c r="L917" s="89">
        <v>2</v>
      </c>
      <c r="M917" s="89"/>
      <c r="N917" s="89"/>
      <c r="O917" s="89"/>
      <c r="P917" s="89"/>
      <c r="Q917" s="89"/>
      <c r="R917" s="89"/>
      <c r="S917" s="89"/>
      <c r="T917" s="89"/>
      <c r="U917" s="89"/>
      <c r="V917" s="89"/>
      <c r="W917" s="89"/>
      <c r="X917" s="89"/>
      <c r="Y917" s="89"/>
      <c r="Z917" s="89"/>
      <c r="AA917" s="89"/>
      <c r="AB917" s="89"/>
      <c r="AC917" s="89"/>
      <c r="AD917" s="89"/>
      <c r="AE917" s="89"/>
      <c r="AF917" s="89"/>
      <c r="AG917" s="89"/>
      <c r="AH917" s="89"/>
      <c r="AI917" s="89"/>
      <c r="AJ917" s="89"/>
      <c r="AK917" s="89"/>
      <c r="AL917" s="89"/>
      <c r="AM917" s="89"/>
      <c r="AN917" s="89"/>
      <c r="AO917" s="89"/>
      <c r="AP917" s="89"/>
      <c r="AQ917" s="89"/>
      <c r="AR917" s="89"/>
      <c r="AS917" s="89"/>
      <c r="AT917" s="89"/>
      <c r="AU917" s="89"/>
      <c r="AV917" s="89"/>
      <c r="AW917" s="89"/>
      <c r="AX917" s="89"/>
      <c r="AY917" s="89"/>
      <c r="AZ917" s="89"/>
      <c r="BA917" s="95"/>
    </row>
    <row r="918" spans="1:53" s="87" customFormat="1">
      <c r="A918" s="374" t="str">
        <f t="shared" si="62"/>
        <v/>
      </c>
      <c r="B918" s="89">
        <v>19</v>
      </c>
      <c r="C918" s="89" t="s">
        <v>210</v>
      </c>
      <c r="D918" s="89">
        <v>3</v>
      </c>
      <c r="E918" s="89" t="s">
        <v>202</v>
      </c>
      <c r="F918" s="89" t="s">
        <v>210</v>
      </c>
      <c r="G918" s="89" t="s">
        <v>210</v>
      </c>
      <c r="H918" s="89">
        <v>-4</v>
      </c>
      <c r="I918" s="89">
        <v>1</v>
      </c>
      <c r="J918" s="89" t="s">
        <v>210</v>
      </c>
      <c r="K918" s="89" t="s">
        <v>210</v>
      </c>
      <c r="L918" s="89">
        <v>-2</v>
      </c>
      <c r="M918" s="89"/>
      <c r="N918" s="89"/>
      <c r="O918" s="89"/>
      <c r="P918" s="89"/>
      <c r="Q918" s="89"/>
      <c r="R918" s="89"/>
      <c r="S918" s="89"/>
      <c r="T918" s="89"/>
      <c r="U918" s="89"/>
      <c r="V918" s="89"/>
      <c r="W918" s="89"/>
      <c r="X918" s="89"/>
      <c r="Y918" s="89"/>
      <c r="Z918" s="89"/>
      <c r="AA918" s="89"/>
      <c r="AB918" s="89"/>
      <c r="AC918" s="89"/>
      <c r="AD918" s="89"/>
      <c r="AE918" s="89"/>
      <c r="AF918" s="89"/>
      <c r="AG918" s="89"/>
      <c r="AH918" s="89"/>
      <c r="AI918" s="89"/>
      <c r="AJ918" s="89"/>
      <c r="AK918" s="89"/>
      <c r="AL918" s="89"/>
      <c r="AM918" s="89"/>
      <c r="AN918" s="89"/>
      <c r="AO918" s="89"/>
      <c r="AP918" s="89"/>
      <c r="AQ918" s="89"/>
      <c r="AR918" s="89"/>
      <c r="AS918" s="89"/>
      <c r="AT918" s="89"/>
      <c r="AU918" s="89"/>
      <c r="AV918" s="89"/>
      <c r="AW918" s="89"/>
      <c r="AX918" s="89"/>
      <c r="AY918" s="89"/>
      <c r="AZ918" s="89"/>
      <c r="BA918" s="95"/>
    </row>
    <row r="919" spans="1:53" s="87" customFormat="1">
      <c r="A919" s="374" t="str">
        <f t="shared" si="62"/>
        <v/>
      </c>
      <c r="B919" s="89">
        <v>20</v>
      </c>
      <c r="C919" s="89" t="s">
        <v>210</v>
      </c>
      <c r="D919" s="89">
        <v>-3</v>
      </c>
      <c r="E919" s="89">
        <v>-2</v>
      </c>
      <c r="F919" s="89" t="s">
        <v>210</v>
      </c>
      <c r="G919" s="89" t="s">
        <v>210</v>
      </c>
      <c r="H919" s="89">
        <v>1</v>
      </c>
      <c r="I919" s="89" t="s">
        <v>202</v>
      </c>
      <c r="J919" s="89" t="s">
        <v>210</v>
      </c>
      <c r="K919" s="89" t="s">
        <v>210</v>
      </c>
      <c r="L919" s="89">
        <v>5</v>
      </c>
      <c r="M919" s="89"/>
      <c r="N919" s="89"/>
      <c r="O919" s="89"/>
      <c r="P919" s="89"/>
      <c r="Q919" s="89"/>
      <c r="R919" s="89"/>
      <c r="S919" s="89"/>
      <c r="T919" s="89"/>
      <c r="U919" s="89"/>
      <c r="V919" s="89"/>
      <c r="W919" s="89"/>
      <c r="X919" s="89"/>
      <c r="Y919" s="89"/>
      <c r="Z919" s="89"/>
      <c r="AA919" s="89"/>
      <c r="AB919" s="89"/>
      <c r="AC919" s="89"/>
      <c r="AD919" s="89"/>
      <c r="AE919" s="89"/>
      <c r="AF919" s="89"/>
      <c r="AG919" s="89"/>
      <c r="AH919" s="89"/>
      <c r="AI919" s="89"/>
      <c r="AJ919" s="89"/>
      <c r="AK919" s="89"/>
      <c r="AL919" s="89"/>
      <c r="AM919" s="89"/>
      <c r="AN919" s="89"/>
      <c r="AO919" s="89"/>
      <c r="AP919" s="89"/>
      <c r="AQ919" s="89"/>
      <c r="AR919" s="89"/>
      <c r="AS919" s="89"/>
      <c r="AT919" s="89"/>
      <c r="AU919" s="89"/>
      <c r="AV919" s="89"/>
      <c r="AW919" s="89"/>
      <c r="AX919" s="89"/>
      <c r="AY919" s="89"/>
      <c r="AZ919" s="89"/>
      <c r="BA919" s="95"/>
    </row>
    <row r="920" spans="1:53" s="87" customFormat="1">
      <c r="A920" s="374" t="str">
        <f t="shared" si="62"/>
        <v/>
      </c>
      <c r="B920" s="89">
        <v>21</v>
      </c>
      <c r="C920" s="89" t="s">
        <v>210</v>
      </c>
      <c r="D920" s="89">
        <v>6</v>
      </c>
      <c r="E920" s="89">
        <v>4</v>
      </c>
      <c r="F920" s="89" t="s">
        <v>210</v>
      </c>
      <c r="G920" s="89" t="s">
        <v>210</v>
      </c>
      <c r="H920" s="89" t="s">
        <v>202</v>
      </c>
      <c r="I920" s="89">
        <v>-1</v>
      </c>
      <c r="J920" s="89" t="s">
        <v>210</v>
      </c>
      <c r="K920" s="89" t="s">
        <v>210</v>
      </c>
      <c r="L920" s="89">
        <v>-5</v>
      </c>
      <c r="M920" s="89"/>
      <c r="N920" s="89"/>
      <c r="O920" s="89"/>
      <c r="P920" s="89"/>
      <c r="Q920" s="89"/>
      <c r="R920" s="89"/>
      <c r="S920" s="89"/>
      <c r="T920" s="89"/>
      <c r="U920" s="89"/>
      <c r="V920" s="89"/>
      <c r="W920" s="89"/>
      <c r="X920" s="89"/>
      <c r="Y920" s="89"/>
      <c r="Z920" s="89"/>
      <c r="AA920" s="89"/>
      <c r="AB920" s="89"/>
      <c r="AC920" s="89"/>
      <c r="AD920" s="89"/>
      <c r="AE920" s="89"/>
      <c r="AF920" s="89"/>
      <c r="AG920" s="89"/>
      <c r="AH920" s="89"/>
      <c r="AI920" s="89"/>
      <c r="AJ920" s="89"/>
      <c r="AK920" s="89"/>
      <c r="AL920" s="89"/>
      <c r="AM920" s="89"/>
      <c r="AN920" s="89"/>
      <c r="AO920" s="89"/>
      <c r="AP920" s="89"/>
      <c r="AQ920" s="89"/>
      <c r="AR920" s="89"/>
      <c r="AS920" s="89"/>
      <c r="AT920" s="89"/>
      <c r="AU920" s="89"/>
      <c r="AV920" s="89"/>
      <c r="AW920" s="89"/>
      <c r="AX920" s="89"/>
      <c r="AY920" s="89"/>
      <c r="AZ920" s="89"/>
      <c r="BA920" s="95"/>
    </row>
    <row r="921" spans="1:53" s="87" customFormat="1">
      <c r="A921" s="374" t="str">
        <f t="shared" si="62"/>
        <v/>
      </c>
      <c r="B921" s="99">
        <v>22</v>
      </c>
      <c r="C921" s="92" t="s">
        <v>210</v>
      </c>
      <c r="D921" s="92">
        <v>-6</v>
      </c>
      <c r="E921" s="92">
        <v>2</v>
      </c>
      <c r="F921" s="92" t="s">
        <v>210</v>
      </c>
      <c r="G921" s="92" t="s">
        <v>210</v>
      </c>
      <c r="H921" s="92">
        <v>4</v>
      </c>
      <c r="I921" s="92">
        <v>-5</v>
      </c>
      <c r="J921" s="92" t="s">
        <v>210</v>
      </c>
      <c r="K921" s="92" t="s">
        <v>210</v>
      </c>
      <c r="L921" s="92" t="s">
        <v>202</v>
      </c>
      <c r="M921" s="89"/>
      <c r="N921" s="89"/>
      <c r="O921" s="89"/>
      <c r="P921" s="89"/>
      <c r="Q921" s="89"/>
      <c r="R921" s="89"/>
      <c r="S921" s="89"/>
      <c r="T921" s="89"/>
      <c r="U921" s="89"/>
      <c r="V921" s="89"/>
      <c r="W921" s="89"/>
      <c r="X921" s="89"/>
      <c r="Y921" s="89"/>
      <c r="Z921" s="89"/>
      <c r="AA921" s="89"/>
      <c r="AB921" s="89"/>
      <c r="AC921" s="89"/>
      <c r="AD921" s="89"/>
      <c r="AE921" s="89"/>
      <c r="AF921" s="89"/>
      <c r="AG921" s="89"/>
      <c r="AH921" s="89"/>
      <c r="AI921" s="89"/>
      <c r="AJ921" s="89"/>
      <c r="AK921" s="89"/>
      <c r="AL921" s="89"/>
      <c r="AM921" s="89"/>
      <c r="AN921" s="89"/>
      <c r="AO921" s="89"/>
      <c r="AP921" s="89"/>
      <c r="AQ921" s="89"/>
      <c r="AR921" s="89"/>
      <c r="AS921" s="89"/>
      <c r="AT921" s="89"/>
      <c r="AU921" s="89"/>
      <c r="AV921" s="89"/>
      <c r="AW921" s="89"/>
      <c r="AX921" s="89"/>
      <c r="AY921" s="89"/>
      <c r="AZ921" s="89"/>
      <c r="BA921" s="95"/>
    </row>
    <row r="922" spans="1:53" s="87" customFormat="1">
      <c r="A922" s="374" t="str">
        <f t="shared" si="62"/>
        <v/>
      </c>
      <c r="B922" s="89">
        <v>23</v>
      </c>
      <c r="C922" s="89" t="s">
        <v>210</v>
      </c>
      <c r="D922" s="89">
        <v>-2</v>
      </c>
      <c r="E922" s="89">
        <v>-3</v>
      </c>
      <c r="F922" s="89" t="s">
        <v>210</v>
      </c>
      <c r="G922" s="89" t="s">
        <v>210</v>
      </c>
      <c r="H922" s="89">
        <v>5</v>
      </c>
      <c r="I922" s="89" t="s">
        <v>202</v>
      </c>
      <c r="J922" s="89" t="s">
        <v>210</v>
      </c>
      <c r="K922" s="89" t="s">
        <v>210</v>
      </c>
      <c r="L922" s="89">
        <v>1</v>
      </c>
      <c r="M922" s="89"/>
      <c r="N922" s="89"/>
      <c r="O922" s="89"/>
      <c r="P922" s="89"/>
      <c r="Q922" s="89"/>
      <c r="R922" s="89"/>
      <c r="S922" s="89"/>
      <c r="T922" s="89"/>
      <c r="U922" s="89"/>
      <c r="V922" s="89"/>
      <c r="W922" s="89"/>
      <c r="X922" s="89"/>
      <c r="Y922" s="89"/>
      <c r="Z922" s="89"/>
      <c r="AA922" s="89"/>
      <c r="AB922" s="89"/>
      <c r="AC922" s="89"/>
      <c r="AD922" s="89"/>
      <c r="AE922" s="89"/>
      <c r="AF922" s="89"/>
      <c r="AG922" s="89"/>
      <c r="AH922" s="89"/>
      <c r="AI922" s="89"/>
      <c r="AJ922" s="89"/>
      <c r="AK922" s="89"/>
      <c r="AL922" s="89"/>
      <c r="AM922" s="89"/>
      <c r="AN922" s="89"/>
      <c r="AO922" s="89"/>
      <c r="AP922" s="89"/>
      <c r="AQ922" s="89"/>
      <c r="AR922" s="89"/>
      <c r="AS922" s="89"/>
      <c r="AT922" s="89"/>
      <c r="AU922" s="89"/>
      <c r="AV922" s="89"/>
      <c r="AW922" s="89"/>
      <c r="AX922" s="89"/>
      <c r="AY922" s="89"/>
      <c r="AZ922" s="89"/>
      <c r="BA922" s="95"/>
    </row>
    <row r="923" spans="1:53" s="87" customFormat="1">
      <c r="A923" s="374" t="str">
        <f t="shared" si="62"/>
        <v/>
      </c>
      <c r="B923" s="89">
        <v>24</v>
      </c>
      <c r="C923" s="89" t="s">
        <v>210</v>
      </c>
      <c r="D923" s="89" t="s">
        <v>202</v>
      </c>
      <c r="E923" s="89">
        <v>5</v>
      </c>
      <c r="F923" s="89" t="s">
        <v>210</v>
      </c>
      <c r="G923" s="89" t="s">
        <v>210</v>
      </c>
      <c r="H923" s="89">
        <v>6</v>
      </c>
      <c r="I923" s="89">
        <v>-3</v>
      </c>
      <c r="J923" s="89" t="s">
        <v>210</v>
      </c>
      <c r="K923" s="89" t="s">
        <v>210</v>
      </c>
      <c r="L923" s="89">
        <v>-1</v>
      </c>
      <c r="M923" s="89"/>
      <c r="N923" s="89"/>
      <c r="O923" s="89"/>
      <c r="P923" s="89"/>
      <c r="Q923" s="89"/>
      <c r="R923" s="89"/>
      <c r="S923" s="89"/>
      <c r="T923" s="89"/>
      <c r="U923" s="89"/>
      <c r="V923" s="89"/>
      <c r="W923" s="89"/>
      <c r="X923" s="89"/>
      <c r="Y923" s="89"/>
      <c r="Z923" s="89"/>
      <c r="AA923" s="89"/>
      <c r="AB923" s="89"/>
      <c r="AC923" s="89"/>
      <c r="AD923" s="89"/>
      <c r="AE923" s="89"/>
      <c r="AF923" s="89"/>
      <c r="AG923" s="89"/>
      <c r="AH923" s="89"/>
      <c r="AI923" s="89"/>
      <c r="AJ923" s="89"/>
      <c r="AK923" s="89"/>
      <c r="AL923" s="89"/>
      <c r="AM923" s="89"/>
      <c r="AN923" s="89"/>
      <c r="AO923" s="89"/>
      <c r="AP923" s="89"/>
      <c r="AQ923" s="89"/>
      <c r="AR923" s="89"/>
      <c r="AS923" s="89"/>
      <c r="AT923" s="89"/>
      <c r="AU923" s="89"/>
      <c r="AV923" s="89"/>
      <c r="AW923" s="89"/>
      <c r="AX923" s="89"/>
      <c r="AY923" s="89"/>
      <c r="AZ923" s="89"/>
      <c r="BA923" s="95"/>
    </row>
    <row r="924" spans="1:53" s="87" customFormat="1">
      <c r="A924" s="374" t="str">
        <f t="shared" si="62"/>
        <v/>
      </c>
      <c r="B924" s="89">
        <v>25</v>
      </c>
      <c r="C924" s="89" t="s">
        <v>210</v>
      </c>
      <c r="D924" s="89">
        <v>2</v>
      </c>
      <c r="E924" s="89">
        <v>-5</v>
      </c>
      <c r="F924" s="89" t="s">
        <v>210</v>
      </c>
      <c r="G924" s="89" t="s">
        <v>210</v>
      </c>
      <c r="H924" s="89" t="s">
        <v>202</v>
      </c>
      <c r="I924" s="89">
        <v>4</v>
      </c>
      <c r="J924" s="89" t="s">
        <v>210</v>
      </c>
      <c r="K924" s="89" t="s">
        <v>210</v>
      </c>
      <c r="L924" s="89">
        <v>-6</v>
      </c>
      <c r="M924" s="89"/>
      <c r="N924" s="89"/>
      <c r="O924" s="89"/>
      <c r="P924" s="89"/>
      <c r="Q924" s="89"/>
      <c r="R924" s="89"/>
      <c r="S924" s="89"/>
      <c r="T924" s="89"/>
      <c r="U924" s="89"/>
      <c r="V924" s="89"/>
      <c r="W924" s="89"/>
      <c r="X924" s="89"/>
      <c r="Y924" s="89"/>
      <c r="Z924" s="89"/>
      <c r="AA924" s="89"/>
      <c r="AB924" s="89"/>
      <c r="AC924" s="89"/>
      <c r="AD924" s="89"/>
      <c r="AE924" s="89"/>
      <c r="AF924" s="89"/>
      <c r="AG924" s="89"/>
      <c r="AH924" s="89"/>
      <c r="AI924" s="89"/>
      <c r="AJ924" s="89"/>
      <c r="AK924" s="89"/>
      <c r="AL924" s="89"/>
      <c r="AM924" s="89"/>
      <c r="AN924" s="89"/>
      <c r="AO924" s="89"/>
      <c r="AP924" s="89"/>
      <c r="AQ924" s="89"/>
      <c r="AR924" s="89"/>
      <c r="AS924" s="89"/>
      <c r="AT924" s="89"/>
      <c r="AU924" s="89"/>
      <c r="AV924" s="89"/>
      <c r="AW924" s="89"/>
      <c r="AX924" s="89"/>
      <c r="AY924" s="89"/>
      <c r="AZ924" s="89"/>
      <c r="BA924" s="95"/>
    </row>
    <row r="925" spans="1:53" s="87" customFormat="1">
      <c r="A925" s="374" t="str">
        <f t="shared" si="62"/>
        <v/>
      </c>
      <c r="B925" s="89">
        <v>26</v>
      </c>
      <c r="C925" s="89" t="s">
        <v>210</v>
      </c>
      <c r="D925" s="89">
        <v>-1</v>
      </c>
      <c r="E925" s="89" t="s">
        <v>202</v>
      </c>
      <c r="F925" s="89" t="s">
        <v>210</v>
      </c>
      <c r="G925" s="89" t="s">
        <v>210</v>
      </c>
      <c r="H925" s="89">
        <v>-5</v>
      </c>
      <c r="I925" s="89">
        <v>3</v>
      </c>
      <c r="J925" s="89" t="s">
        <v>210</v>
      </c>
      <c r="K925" s="89" t="s">
        <v>210</v>
      </c>
      <c r="L925" s="89">
        <v>6</v>
      </c>
      <c r="M925" s="89"/>
      <c r="N925" s="89"/>
      <c r="O925" s="89"/>
      <c r="P925" s="89"/>
      <c r="Q925" s="89"/>
      <c r="R925" s="89"/>
      <c r="S925" s="89"/>
      <c r="T925" s="89"/>
      <c r="U925" s="89"/>
      <c r="V925" s="89"/>
      <c r="W925" s="89"/>
      <c r="X925" s="89"/>
      <c r="Y925" s="89"/>
      <c r="Z925" s="89"/>
      <c r="AA925" s="89"/>
      <c r="AB925" s="89"/>
      <c r="AC925" s="89"/>
      <c r="AD925" s="89"/>
      <c r="AE925" s="89"/>
      <c r="AF925" s="89"/>
      <c r="AG925" s="89"/>
      <c r="AH925" s="89"/>
      <c r="AI925" s="89"/>
      <c r="AJ925" s="89"/>
      <c r="AK925" s="89"/>
      <c r="AL925" s="89"/>
      <c r="AM925" s="89"/>
      <c r="AN925" s="89"/>
      <c r="AO925" s="89"/>
      <c r="AP925" s="89"/>
      <c r="AQ925" s="89"/>
      <c r="AR925" s="89"/>
      <c r="AS925" s="89"/>
      <c r="AT925" s="89"/>
      <c r="AU925" s="89"/>
      <c r="AV925" s="89"/>
      <c r="AW925" s="89"/>
      <c r="AX925" s="89"/>
      <c r="AY925" s="89"/>
      <c r="AZ925" s="89"/>
      <c r="BA925" s="95"/>
    </row>
    <row r="926" spans="1:53" s="87" customFormat="1">
      <c r="A926" s="374" t="str">
        <f t="shared" si="62"/>
        <v/>
      </c>
      <c r="B926" s="89">
        <v>27</v>
      </c>
      <c r="C926" s="89" t="s">
        <v>210</v>
      </c>
      <c r="D926" s="89">
        <v>1</v>
      </c>
      <c r="E926" s="89">
        <v>3</v>
      </c>
      <c r="F926" s="89" t="s">
        <v>210</v>
      </c>
      <c r="G926" s="89" t="s">
        <v>210</v>
      </c>
      <c r="H926" s="89">
        <v>-6</v>
      </c>
      <c r="I926" s="89">
        <v>-4</v>
      </c>
      <c r="J926" s="89" t="s">
        <v>210</v>
      </c>
      <c r="K926" s="89" t="s">
        <v>210</v>
      </c>
      <c r="L926" s="89" t="s">
        <v>202</v>
      </c>
      <c r="M926" s="89"/>
      <c r="N926" s="89"/>
      <c r="O926" s="89"/>
      <c r="P926" s="89"/>
      <c r="Q926" s="89"/>
      <c r="R926" s="89"/>
      <c r="S926" s="89"/>
      <c r="T926" s="89"/>
      <c r="U926" s="89"/>
      <c r="V926" s="89"/>
      <c r="W926" s="89"/>
      <c r="X926" s="89"/>
      <c r="Y926" s="89"/>
      <c r="Z926" s="89"/>
      <c r="AA926" s="89"/>
      <c r="AB926" s="89"/>
      <c r="AC926" s="89"/>
      <c r="AD926" s="89"/>
      <c r="AE926" s="89"/>
      <c r="AF926" s="89"/>
      <c r="AG926" s="89"/>
      <c r="AH926" s="89"/>
      <c r="AI926" s="89"/>
      <c r="AJ926" s="89"/>
      <c r="AK926" s="89"/>
      <c r="AL926" s="89"/>
      <c r="AM926" s="89"/>
      <c r="AN926" s="89"/>
      <c r="AO926" s="89"/>
      <c r="AP926" s="89"/>
      <c r="AQ926" s="89"/>
      <c r="AR926" s="89"/>
      <c r="AS926" s="89"/>
      <c r="AT926" s="89"/>
      <c r="AU926" s="89"/>
      <c r="AV926" s="89"/>
      <c r="AW926" s="89"/>
      <c r="AX926" s="89"/>
      <c r="AY926" s="89"/>
      <c r="AZ926" s="89"/>
      <c r="BA926" s="95"/>
    </row>
    <row r="927" spans="1:53" s="87" customFormat="1">
      <c r="A927" s="374" t="str">
        <f t="shared" si="62"/>
        <v/>
      </c>
      <c r="B927" s="89" t="s">
        <v>378</v>
      </c>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c r="AA927" s="89"/>
      <c r="AB927" s="89"/>
      <c r="AC927" s="89"/>
      <c r="AD927" s="89"/>
      <c r="AE927" s="89"/>
      <c r="AF927" s="89"/>
      <c r="AG927" s="89"/>
      <c r="AH927" s="89"/>
      <c r="AI927" s="89"/>
      <c r="AJ927" s="89"/>
      <c r="AK927" s="89"/>
      <c r="AL927" s="89"/>
      <c r="AM927" s="89"/>
      <c r="AN927" s="89"/>
      <c r="AO927" s="89"/>
      <c r="AP927" s="89"/>
      <c r="AQ927" s="89"/>
      <c r="AR927" s="89"/>
      <c r="AS927" s="89"/>
      <c r="AT927" s="89"/>
      <c r="AU927" s="89"/>
      <c r="AV927" s="89"/>
      <c r="AW927" s="89"/>
      <c r="AX927" s="89"/>
      <c r="AY927" s="89"/>
      <c r="AZ927" s="89"/>
      <c r="BA927" s="95"/>
    </row>
    <row r="928" spans="1:53" s="87" customFormat="1">
      <c r="A928" s="374">
        <f t="shared" si="62"/>
        <v>928</v>
      </c>
      <c r="B928" s="89" t="s">
        <v>400</v>
      </c>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c r="AA928" s="89"/>
      <c r="AB928" s="89"/>
      <c r="AC928" s="89"/>
      <c r="AD928" s="89"/>
      <c r="AE928" s="89"/>
      <c r="AF928" s="89"/>
      <c r="AG928" s="89"/>
      <c r="AH928" s="89"/>
      <c r="AI928" s="89"/>
      <c r="AJ928" s="89"/>
      <c r="AK928" s="89"/>
      <c r="AL928" s="89"/>
      <c r="AM928" s="89"/>
      <c r="AN928" s="89"/>
      <c r="AO928" s="89"/>
      <c r="AP928" s="89"/>
      <c r="AQ928" s="89"/>
      <c r="AR928" s="89"/>
      <c r="AS928" s="89"/>
      <c r="AT928" s="89"/>
      <c r="AU928" s="89"/>
      <c r="AV928" s="89"/>
      <c r="AW928" s="89"/>
      <c r="AX928" s="89"/>
      <c r="AY928" s="89"/>
      <c r="AZ928" s="89"/>
      <c r="BA928" s="95"/>
    </row>
    <row r="929" spans="1:53" s="87" customFormat="1">
      <c r="A929" s="374" t="str">
        <f t="shared" si="62"/>
        <v/>
      </c>
      <c r="B929" s="89">
        <v>1</v>
      </c>
      <c r="C929" s="89">
        <v>2</v>
      </c>
      <c r="D929" s="89" t="s">
        <v>210</v>
      </c>
      <c r="E929" s="89" t="s">
        <v>210</v>
      </c>
      <c r="F929" s="89" t="s">
        <v>202</v>
      </c>
      <c r="G929" s="89">
        <v>5</v>
      </c>
      <c r="H929" s="89" t="s">
        <v>210</v>
      </c>
      <c r="I929" s="89" t="s">
        <v>210</v>
      </c>
      <c r="J929" s="89">
        <v>-1</v>
      </c>
      <c r="K929" s="89">
        <v>-3</v>
      </c>
      <c r="L929" s="89"/>
      <c r="M929" s="89"/>
      <c r="N929" s="89"/>
      <c r="O929" s="89"/>
      <c r="P929" s="89"/>
      <c r="Q929" s="89"/>
      <c r="R929" s="89"/>
      <c r="S929" s="89"/>
      <c r="T929" s="89"/>
      <c r="U929" s="89"/>
      <c r="V929" s="89"/>
      <c r="W929" s="89"/>
      <c r="X929" s="89"/>
      <c r="Y929" s="89"/>
      <c r="Z929" s="89"/>
      <c r="AA929" s="89"/>
      <c r="AB929" s="89"/>
      <c r="AC929" s="89"/>
      <c r="AD929" s="89"/>
      <c r="AE929" s="89"/>
      <c r="AF929" s="89"/>
      <c r="AG929" s="89"/>
      <c r="AH929" s="89"/>
      <c r="AI929" s="89"/>
      <c r="AJ929" s="89"/>
      <c r="AK929" s="89"/>
      <c r="AL929" s="89"/>
      <c r="AM929" s="89"/>
      <c r="AN929" s="89"/>
      <c r="AO929" s="89"/>
      <c r="AP929" s="89"/>
      <c r="AQ929" s="89"/>
      <c r="AR929" s="89"/>
      <c r="AS929" s="89"/>
      <c r="AT929" s="89"/>
      <c r="AU929" s="89"/>
      <c r="AV929" s="89"/>
      <c r="AW929" s="89"/>
      <c r="AX929" s="89"/>
      <c r="AY929" s="89"/>
      <c r="AZ929" s="89"/>
      <c r="BA929" s="95"/>
    </row>
    <row r="930" spans="1:53" s="87" customFormat="1">
      <c r="A930" s="374" t="str">
        <f t="shared" si="62"/>
        <v/>
      </c>
      <c r="B930" s="89">
        <v>2</v>
      </c>
      <c r="C930" s="89" t="s">
        <v>202</v>
      </c>
      <c r="D930" s="89" t="s">
        <v>210</v>
      </c>
      <c r="E930" s="89" t="s">
        <v>210</v>
      </c>
      <c r="F930" s="89">
        <v>-1</v>
      </c>
      <c r="G930" s="89">
        <v>-2</v>
      </c>
      <c r="H930" s="89" t="s">
        <v>210</v>
      </c>
      <c r="I930" s="89" t="s">
        <v>210</v>
      </c>
      <c r="J930" s="89">
        <v>6</v>
      </c>
      <c r="K930" s="89">
        <v>3</v>
      </c>
      <c r="L930" s="89"/>
      <c r="M930" s="89"/>
      <c r="N930" s="89"/>
      <c r="O930" s="89"/>
      <c r="P930" s="89"/>
      <c r="Q930" s="89"/>
      <c r="R930" s="89"/>
      <c r="S930" s="89"/>
      <c r="T930" s="89"/>
      <c r="U930" s="89"/>
      <c r="V930" s="89"/>
      <c r="W930" s="89"/>
      <c r="X930" s="89"/>
      <c r="Y930" s="89"/>
      <c r="Z930" s="89"/>
      <c r="AA930" s="89"/>
      <c r="AB930" s="89"/>
      <c r="AC930" s="89"/>
      <c r="AD930" s="89"/>
      <c r="AE930" s="89"/>
      <c r="AF930" s="89"/>
      <c r="AG930" s="89"/>
      <c r="AH930" s="89"/>
      <c r="AI930" s="89"/>
      <c r="AJ930" s="89"/>
      <c r="AK930" s="89"/>
      <c r="AL930" s="89"/>
      <c r="AM930" s="89"/>
      <c r="AN930" s="89"/>
      <c r="AO930" s="89"/>
      <c r="AP930" s="89"/>
      <c r="AQ930" s="89"/>
      <c r="AR930" s="89"/>
      <c r="AS930" s="89"/>
      <c r="AT930" s="89"/>
      <c r="AU930" s="89"/>
      <c r="AV930" s="89"/>
      <c r="AW930" s="89"/>
      <c r="AX930" s="89"/>
      <c r="AY930" s="89"/>
      <c r="AZ930" s="89"/>
      <c r="BA930" s="95"/>
    </row>
    <row r="931" spans="1:53" s="87" customFormat="1">
      <c r="A931" s="374" t="str">
        <f t="shared" si="62"/>
        <v/>
      </c>
      <c r="B931" s="89">
        <v>3</v>
      </c>
      <c r="C931" s="89">
        <v>3</v>
      </c>
      <c r="D931" s="89" t="s">
        <v>210</v>
      </c>
      <c r="E931" s="89" t="s">
        <v>210</v>
      </c>
      <c r="F931" s="89">
        <v>1</v>
      </c>
      <c r="G931" s="89">
        <v>-5</v>
      </c>
      <c r="H931" s="89" t="s">
        <v>210</v>
      </c>
      <c r="I931" s="89" t="s">
        <v>210</v>
      </c>
      <c r="J931" s="89" t="s">
        <v>202</v>
      </c>
      <c r="K931" s="89">
        <v>-4</v>
      </c>
      <c r="L931" s="89"/>
      <c r="M931" s="89"/>
      <c r="N931" s="89"/>
      <c r="O931" s="89"/>
      <c r="P931" s="89"/>
      <c r="Q931" s="89"/>
      <c r="R931" s="89"/>
      <c r="S931" s="89"/>
      <c r="T931" s="89"/>
      <c r="U931" s="89"/>
      <c r="V931" s="89"/>
      <c r="W931" s="89"/>
      <c r="X931" s="89"/>
      <c r="Y931" s="89"/>
      <c r="Z931" s="89"/>
      <c r="AA931" s="89"/>
      <c r="AB931" s="89"/>
      <c r="AC931" s="89"/>
      <c r="AD931" s="89"/>
      <c r="AE931" s="89"/>
      <c r="AF931" s="89"/>
      <c r="AG931" s="89"/>
      <c r="AH931" s="89"/>
      <c r="AI931" s="89"/>
      <c r="AJ931" s="89"/>
      <c r="AK931" s="89"/>
      <c r="AL931" s="89"/>
      <c r="AM931" s="89"/>
      <c r="AN931" s="89"/>
      <c r="AO931" s="89"/>
      <c r="AP931" s="89"/>
      <c r="AQ931" s="89"/>
      <c r="AR931" s="89"/>
      <c r="AS931" s="89"/>
      <c r="AT931" s="89"/>
      <c r="AU931" s="89"/>
      <c r="AV931" s="89"/>
      <c r="AW931" s="89"/>
      <c r="AX931" s="89"/>
      <c r="AY931" s="89"/>
      <c r="AZ931" s="89"/>
      <c r="BA931" s="95"/>
    </row>
    <row r="932" spans="1:53" s="87" customFormat="1">
      <c r="A932" s="374" t="str">
        <f t="shared" si="62"/>
        <v/>
      </c>
      <c r="B932" s="89">
        <v>4</v>
      </c>
      <c r="C932" s="89">
        <v>-2</v>
      </c>
      <c r="D932" s="89" t="s">
        <v>210</v>
      </c>
      <c r="E932" s="89" t="s">
        <v>210</v>
      </c>
      <c r="F932" s="89">
        <v>5</v>
      </c>
      <c r="G932" s="89" t="s">
        <v>202</v>
      </c>
      <c r="H932" s="89" t="s">
        <v>210</v>
      </c>
      <c r="I932" s="89" t="s">
        <v>210</v>
      </c>
      <c r="J932" s="89">
        <v>-6</v>
      </c>
      <c r="K932" s="89">
        <v>4</v>
      </c>
      <c r="L932" s="89"/>
      <c r="M932" s="89"/>
      <c r="N932" s="89"/>
      <c r="O932" s="89"/>
      <c r="P932" s="89"/>
      <c r="Q932" s="89"/>
      <c r="R932" s="89"/>
      <c r="S932" s="89"/>
      <c r="T932" s="89"/>
      <c r="U932" s="89"/>
      <c r="V932" s="89"/>
      <c r="W932" s="89"/>
      <c r="X932" s="89"/>
      <c r="Y932" s="89"/>
      <c r="Z932" s="89"/>
      <c r="AA932" s="89"/>
      <c r="AB932" s="89"/>
      <c r="AC932" s="89"/>
      <c r="AD932" s="89"/>
      <c r="AE932" s="89"/>
      <c r="AF932" s="89"/>
      <c r="AG932" s="89"/>
      <c r="AH932" s="89"/>
      <c r="AI932" s="89"/>
      <c r="AJ932" s="89"/>
      <c r="AK932" s="89"/>
      <c r="AL932" s="89"/>
      <c r="AM932" s="89"/>
      <c r="AN932" s="89"/>
      <c r="AO932" s="89"/>
      <c r="AP932" s="89"/>
      <c r="AQ932" s="89"/>
      <c r="AR932" s="89"/>
      <c r="AS932" s="89"/>
      <c r="AT932" s="89"/>
      <c r="AU932" s="89"/>
      <c r="AV932" s="89"/>
      <c r="AW932" s="89"/>
      <c r="AX932" s="89"/>
      <c r="AY932" s="89"/>
      <c r="AZ932" s="89"/>
      <c r="BA932" s="95"/>
    </row>
    <row r="933" spans="1:53" s="87" customFormat="1">
      <c r="A933" s="374" t="str">
        <f t="shared" si="62"/>
        <v/>
      </c>
      <c r="B933" s="99">
        <v>5</v>
      </c>
      <c r="C933" s="92">
        <v>-3</v>
      </c>
      <c r="D933" s="92" t="s">
        <v>210</v>
      </c>
      <c r="E933" s="92" t="s">
        <v>210</v>
      </c>
      <c r="F933" s="92">
        <v>-5</v>
      </c>
      <c r="G933" s="92">
        <v>2</v>
      </c>
      <c r="H933" s="92" t="s">
        <v>210</v>
      </c>
      <c r="I933" s="92" t="s">
        <v>210</v>
      </c>
      <c r="J933" s="92">
        <v>1</v>
      </c>
      <c r="K933" s="92" t="s">
        <v>202</v>
      </c>
      <c r="L933" s="89"/>
      <c r="M933" s="89"/>
      <c r="N933" s="89"/>
      <c r="O933" s="89"/>
      <c r="P933" s="89"/>
      <c r="Q933" s="89"/>
      <c r="R933" s="89"/>
      <c r="S933" s="89"/>
      <c r="T933" s="89"/>
      <c r="U933" s="89"/>
      <c r="V933" s="89"/>
      <c r="W933" s="89"/>
      <c r="X933" s="89"/>
      <c r="Y933" s="89"/>
      <c r="Z933" s="89"/>
      <c r="AA933" s="89"/>
      <c r="AB933" s="89"/>
      <c r="AC933" s="89"/>
      <c r="AD933" s="89"/>
      <c r="AE933" s="89"/>
      <c r="AF933" s="89"/>
      <c r="AG933" s="89"/>
      <c r="AH933" s="89"/>
      <c r="AI933" s="89"/>
      <c r="AJ933" s="89"/>
      <c r="AK933" s="89"/>
      <c r="AL933" s="89"/>
      <c r="AM933" s="89"/>
      <c r="AN933" s="89"/>
      <c r="AO933" s="89"/>
      <c r="AP933" s="89"/>
      <c r="AQ933" s="89"/>
      <c r="AR933" s="89"/>
      <c r="AS933" s="89"/>
      <c r="AT933" s="89"/>
      <c r="AU933" s="89"/>
      <c r="AV933" s="89"/>
      <c r="AW933" s="89"/>
      <c r="AX933" s="89"/>
      <c r="AY933" s="89"/>
      <c r="AZ933" s="89"/>
      <c r="BA933" s="95"/>
    </row>
    <row r="934" spans="1:53" s="87" customFormat="1">
      <c r="A934" s="374" t="str">
        <f t="shared" si="62"/>
        <v/>
      </c>
      <c r="B934" s="89">
        <v>6</v>
      </c>
      <c r="C934" s="89">
        <v>-5</v>
      </c>
      <c r="D934" s="89" t="s">
        <v>210</v>
      </c>
      <c r="E934" s="89" t="s">
        <v>210</v>
      </c>
      <c r="F934" s="89" t="s">
        <v>202</v>
      </c>
      <c r="G934" s="89">
        <v>6</v>
      </c>
      <c r="H934" s="89" t="s">
        <v>210</v>
      </c>
      <c r="I934" s="89" t="s">
        <v>210</v>
      </c>
      <c r="J934" s="89">
        <v>-4</v>
      </c>
      <c r="K934" s="89">
        <v>2</v>
      </c>
      <c r="L934" s="89"/>
      <c r="M934" s="89"/>
      <c r="N934" s="89"/>
      <c r="O934" s="89"/>
      <c r="P934" s="89"/>
      <c r="Q934" s="89"/>
      <c r="R934" s="89"/>
      <c r="S934" s="89"/>
      <c r="T934" s="89"/>
      <c r="U934" s="89"/>
      <c r="V934" s="89"/>
      <c r="W934" s="89"/>
      <c r="X934" s="89"/>
      <c r="Y934" s="89"/>
      <c r="Z934" s="89"/>
      <c r="AA934" s="89"/>
      <c r="AB934" s="89"/>
      <c r="AC934" s="89"/>
      <c r="AD934" s="89"/>
      <c r="AE934" s="89"/>
      <c r="AF934" s="89"/>
      <c r="AG934" s="89"/>
      <c r="AH934" s="89"/>
      <c r="AI934" s="89"/>
      <c r="AJ934" s="89"/>
      <c r="AK934" s="89"/>
      <c r="AL934" s="89"/>
      <c r="AM934" s="89"/>
      <c r="AN934" s="89"/>
      <c r="AO934" s="89"/>
      <c r="AP934" s="89"/>
      <c r="AQ934" s="89"/>
      <c r="AR934" s="89"/>
      <c r="AS934" s="89"/>
      <c r="AT934" s="89"/>
      <c r="AU934" s="89"/>
      <c r="AV934" s="89"/>
      <c r="AW934" s="89"/>
      <c r="AX934" s="89"/>
      <c r="AY934" s="89"/>
      <c r="AZ934" s="89"/>
      <c r="BA934" s="95"/>
    </row>
    <row r="935" spans="1:53" s="87" customFormat="1">
      <c r="A935" s="374" t="str">
        <f t="shared" si="62"/>
        <v/>
      </c>
      <c r="B935" s="89">
        <v>7</v>
      </c>
      <c r="C935" s="89">
        <v>4</v>
      </c>
      <c r="D935" s="89" t="s">
        <v>210</v>
      </c>
      <c r="E935" s="89" t="s">
        <v>210</v>
      </c>
      <c r="F935" s="89">
        <v>-6</v>
      </c>
      <c r="G935" s="89">
        <v>3</v>
      </c>
      <c r="H935" s="89" t="s">
        <v>210</v>
      </c>
      <c r="I935" s="89" t="s">
        <v>210</v>
      </c>
      <c r="J935" s="89" t="s">
        <v>202</v>
      </c>
      <c r="K935" s="89">
        <v>-2</v>
      </c>
      <c r="L935" s="89"/>
      <c r="M935" s="89"/>
      <c r="N935" s="89"/>
      <c r="O935" s="89"/>
      <c r="P935" s="89"/>
      <c r="Q935" s="89"/>
      <c r="R935" s="89"/>
      <c r="S935" s="89"/>
      <c r="T935" s="89"/>
      <c r="U935" s="89"/>
      <c r="V935" s="89"/>
      <c r="W935" s="89"/>
      <c r="X935" s="89"/>
      <c r="Y935" s="89"/>
      <c r="Z935" s="89"/>
      <c r="AA935" s="89"/>
      <c r="AB935" s="89"/>
      <c r="AC935" s="89"/>
      <c r="AD935" s="89"/>
      <c r="AE935" s="89"/>
      <c r="AF935" s="89"/>
      <c r="AG935" s="89"/>
      <c r="AH935" s="89"/>
      <c r="AI935" s="89"/>
      <c r="AJ935" s="89"/>
      <c r="AK935" s="89"/>
      <c r="AL935" s="89"/>
      <c r="AM935" s="89"/>
      <c r="AN935" s="89"/>
      <c r="AO935" s="89"/>
      <c r="AP935" s="89"/>
      <c r="AQ935" s="89"/>
      <c r="AR935" s="89"/>
      <c r="AS935" s="89"/>
      <c r="AT935" s="89"/>
      <c r="AU935" s="89"/>
      <c r="AV935" s="89"/>
      <c r="AW935" s="89"/>
      <c r="AX935" s="89"/>
      <c r="AY935" s="89"/>
      <c r="AZ935" s="89"/>
      <c r="BA935" s="95"/>
    </row>
    <row r="936" spans="1:53" s="87" customFormat="1">
      <c r="A936" s="374" t="str">
        <f t="shared" si="62"/>
        <v/>
      </c>
      <c r="B936" s="89">
        <v>8</v>
      </c>
      <c r="C936" s="89" t="s">
        <v>202</v>
      </c>
      <c r="D936" s="89" t="s">
        <v>210</v>
      </c>
      <c r="E936" s="89" t="s">
        <v>210</v>
      </c>
      <c r="F936" s="89">
        <v>-2</v>
      </c>
      <c r="G936" s="89">
        <v>-3</v>
      </c>
      <c r="H936" s="89" t="s">
        <v>210</v>
      </c>
      <c r="I936" s="89" t="s">
        <v>210</v>
      </c>
      <c r="J936" s="89">
        <v>4</v>
      </c>
      <c r="K936" s="89">
        <v>1</v>
      </c>
      <c r="L936" s="89"/>
      <c r="M936" s="89"/>
      <c r="N936" s="89"/>
      <c r="O936" s="89"/>
      <c r="P936" s="89"/>
      <c r="Q936" s="89"/>
      <c r="R936" s="89"/>
      <c r="S936" s="89"/>
      <c r="T936" s="89"/>
      <c r="U936" s="89"/>
      <c r="V936" s="89"/>
      <c r="W936" s="89"/>
      <c r="X936" s="89"/>
      <c r="Y936" s="89"/>
      <c r="Z936" s="89"/>
      <c r="AA936" s="89"/>
      <c r="AB936" s="89"/>
      <c r="AC936" s="89"/>
      <c r="AD936" s="89"/>
      <c r="AE936" s="89"/>
      <c r="AF936" s="89"/>
      <c r="AG936" s="89"/>
      <c r="AH936" s="89"/>
      <c r="AI936" s="89"/>
      <c r="AJ936" s="89"/>
      <c r="AK936" s="89"/>
      <c r="AL936" s="89"/>
      <c r="AM936" s="89"/>
      <c r="AN936" s="89"/>
      <c r="AO936" s="89"/>
      <c r="AP936" s="89"/>
      <c r="AQ936" s="89"/>
      <c r="AR936" s="89"/>
      <c r="AS936" s="89"/>
      <c r="AT936" s="89"/>
      <c r="AU936" s="89"/>
      <c r="AV936" s="89"/>
      <c r="AW936" s="89"/>
      <c r="AX936" s="89"/>
      <c r="AY936" s="89"/>
      <c r="AZ936" s="89"/>
      <c r="BA936" s="95"/>
    </row>
    <row r="937" spans="1:53" s="87" customFormat="1">
      <c r="A937" s="374" t="str">
        <f t="shared" si="62"/>
        <v/>
      </c>
      <c r="B937" s="89">
        <v>9</v>
      </c>
      <c r="C937" s="89">
        <v>5</v>
      </c>
      <c r="D937" s="89" t="s">
        <v>210</v>
      </c>
      <c r="E937" s="89" t="s">
        <v>210</v>
      </c>
      <c r="F937" s="89">
        <v>6</v>
      </c>
      <c r="G937" s="89" t="s">
        <v>202</v>
      </c>
      <c r="H937" s="89" t="s">
        <v>210</v>
      </c>
      <c r="I937" s="89" t="s">
        <v>210</v>
      </c>
      <c r="J937" s="89">
        <v>-3</v>
      </c>
      <c r="K937" s="89">
        <v>-1</v>
      </c>
      <c r="L937" s="89"/>
      <c r="M937" s="89"/>
      <c r="N937" s="89"/>
      <c r="O937" s="89"/>
      <c r="P937" s="89"/>
      <c r="Q937" s="89"/>
      <c r="R937" s="89"/>
      <c r="S937" s="89"/>
      <c r="T937" s="89"/>
      <c r="U937" s="89"/>
      <c r="V937" s="89"/>
      <c r="W937" s="89"/>
      <c r="X937" s="89"/>
      <c r="Y937" s="89"/>
      <c r="Z937" s="89"/>
      <c r="AA937" s="89"/>
      <c r="AB937" s="89"/>
      <c r="AC937" s="89"/>
      <c r="AD937" s="89"/>
      <c r="AE937" s="89"/>
      <c r="AF937" s="89"/>
      <c r="AG937" s="89"/>
      <c r="AH937" s="89"/>
      <c r="AI937" s="89"/>
      <c r="AJ937" s="89"/>
      <c r="AK937" s="89"/>
      <c r="AL937" s="89"/>
      <c r="AM937" s="89"/>
      <c r="AN937" s="89"/>
      <c r="AO937" s="89"/>
      <c r="AP937" s="89"/>
      <c r="AQ937" s="89"/>
      <c r="AR937" s="89"/>
      <c r="AS937" s="89"/>
      <c r="AT937" s="89"/>
      <c r="AU937" s="89"/>
      <c r="AV937" s="89"/>
      <c r="AW937" s="89"/>
      <c r="AX937" s="89"/>
      <c r="AY937" s="89"/>
      <c r="AZ937" s="89"/>
      <c r="BA937" s="95"/>
    </row>
    <row r="938" spans="1:53" s="87" customFormat="1">
      <c r="A938" s="374" t="str">
        <f t="shared" si="62"/>
        <v/>
      </c>
      <c r="B938" s="99">
        <v>10</v>
      </c>
      <c r="C938" s="92">
        <v>-4</v>
      </c>
      <c r="D938" s="92" t="s">
        <v>210</v>
      </c>
      <c r="E938" s="92" t="s">
        <v>210</v>
      </c>
      <c r="F938" s="92">
        <v>2</v>
      </c>
      <c r="G938" s="92">
        <v>-6</v>
      </c>
      <c r="H938" s="92" t="s">
        <v>210</v>
      </c>
      <c r="I938" s="92" t="s">
        <v>210</v>
      </c>
      <c r="J938" s="92">
        <v>3</v>
      </c>
      <c r="K938" s="92" t="s">
        <v>202</v>
      </c>
      <c r="L938" s="89"/>
      <c r="M938" s="89"/>
      <c r="N938" s="89"/>
      <c r="O938" s="89"/>
      <c r="P938" s="89"/>
      <c r="Q938" s="89"/>
      <c r="R938" s="89"/>
      <c r="S938" s="89"/>
      <c r="T938" s="89"/>
      <c r="U938" s="89"/>
      <c r="V938" s="89"/>
      <c r="W938" s="89"/>
      <c r="X938" s="89"/>
      <c r="Y938" s="89"/>
      <c r="Z938" s="89"/>
      <c r="AA938" s="89"/>
      <c r="AB938" s="89"/>
      <c r="AC938" s="89"/>
      <c r="AD938" s="89"/>
      <c r="AE938" s="89"/>
      <c r="AF938" s="89"/>
      <c r="AG938" s="89"/>
      <c r="AH938" s="89"/>
      <c r="AI938" s="89"/>
      <c r="AJ938" s="89"/>
      <c r="AK938" s="89"/>
      <c r="AL938" s="89"/>
      <c r="AM938" s="89"/>
      <c r="AN938" s="89"/>
      <c r="AO938" s="89"/>
      <c r="AP938" s="89"/>
      <c r="AQ938" s="89"/>
      <c r="AR938" s="89"/>
      <c r="AS938" s="89"/>
      <c r="AT938" s="89"/>
      <c r="AU938" s="89"/>
      <c r="AV938" s="89"/>
      <c r="AW938" s="89"/>
      <c r="AX938" s="89"/>
      <c r="AY938" s="89"/>
      <c r="AZ938" s="89"/>
      <c r="BA938" s="95"/>
    </row>
    <row r="939" spans="1:53" s="87" customFormat="1">
      <c r="A939" s="374" t="str">
        <f t="shared" si="62"/>
        <v/>
      </c>
      <c r="B939" s="89">
        <v>11</v>
      </c>
      <c r="C939" s="89">
        <v>-1</v>
      </c>
      <c r="D939" s="89" t="s">
        <v>210</v>
      </c>
      <c r="E939" s="89" t="s">
        <v>210</v>
      </c>
      <c r="F939" s="89" t="s">
        <v>202</v>
      </c>
      <c r="G939" s="89">
        <v>4</v>
      </c>
      <c r="H939" s="89" t="s">
        <v>210</v>
      </c>
      <c r="I939" s="89" t="s">
        <v>210</v>
      </c>
      <c r="J939" s="89">
        <v>-2</v>
      </c>
      <c r="K939" s="89">
        <v>5</v>
      </c>
      <c r="L939" s="89"/>
      <c r="M939" s="89"/>
      <c r="N939" s="89"/>
      <c r="O939" s="89"/>
      <c r="P939" s="89"/>
      <c r="Q939" s="89"/>
      <c r="R939" s="89"/>
      <c r="S939" s="89"/>
      <c r="T939" s="89"/>
      <c r="U939" s="89"/>
      <c r="V939" s="89"/>
      <c r="W939" s="89"/>
      <c r="X939" s="89"/>
      <c r="Y939" s="89"/>
      <c r="Z939" s="89"/>
      <c r="AA939" s="89"/>
      <c r="AB939" s="89"/>
      <c r="AC939" s="89"/>
      <c r="AD939" s="89"/>
      <c r="AE939" s="89"/>
      <c r="AF939" s="89"/>
      <c r="AG939" s="89"/>
      <c r="AH939" s="89"/>
      <c r="AI939" s="89"/>
      <c r="AJ939" s="89"/>
      <c r="AK939" s="89"/>
      <c r="AL939" s="89"/>
      <c r="AM939" s="89"/>
      <c r="AN939" s="89"/>
      <c r="AO939" s="89"/>
      <c r="AP939" s="89"/>
      <c r="AQ939" s="89"/>
      <c r="AR939" s="89"/>
      <c r="AS939" s="89"/>
      <c r="AT939" s="89"/>
      <c r="AU939" s="89"/>
      <c r="AV939" s="89"/>
      <c r="AW939" s="89"/>
      <c r="AX939" s="89"/>
      <c r="AY939" s="89"/>
      <c r="AZ939" s="89"/>
      <c r="BA939" s="95"/>
    </row>
    <row r="940" spans="1:53" s="87" customFormat="1">
      <c r="A940" s="374" t="str">
        <f t="shared" si="62"/>
        <v/>
      </c>
      <c r="B940" s="89">
        <v>12</v>
      </c>
      <c r="C940" s="89">
        <v>6</v>
      </c>
      <c r="D940" s="89" t="s">
        <v>210</v>
      </c>
      <c r="E940" s="89" t="s">
        <v>210</v>
      </c>
      <c r="F940" s="89">
        <v>-4</v>
      </c>
      <c r="G940" s="89">
        <v>1</v>
      </c>
      <c r="H940" s="89" t="s">
        <v>210</v>
      </c>
      <c r="I940" s="89" t="s">
        <v>210</v>
      </c>
      <c r="J940" s="89" t="s">
        <v>202</v>
      </c>
      <c r="K940" s="89">
        <v>-5</v>
      </c>
      <c r="L940" s="89"/>
      <c r="M940" s="89"/>
      <c r="N940" s="89"/>
      <c r="O940" s="89"/>
      <c r="P940" s="89"/>
      <c r="Q940" s="89"/>
      <c r="R940" s="89"/>
      <c r="S940" s="89"/>
      <c r="T940" s="89"/>
      <c r="U940" s="89"/>
      <c r="V940" s="89"/>
      <c r="W940" s="89"/>
      <c r="X940" s="89"/>
      <c r="Y940" s="89"/>
      <c r="Z940" s="89"/>
      <c r="AA940" s="89"/>
      <c r="AB940" s="89"/>
      <c r="AC940" s="89"/>
      <c r="AD940" s="89"/>
      <c r="AE940" s="89"/>
      <c r="AF940" s="89"/>
      <c r="AG940" s="89"/>
      <c r="AH940" s="89"/>
      <c r="AI940" s="89"/>
      <c r="AJ940" s="89"/>
      <c r="AK940" s="89"/>
      <c r="AL940" s="89"/>
      <c r="AM940" s="89"/>
      <c r="AN940" s="89"/>
      <c r="AO940" s="89"/>
      <c r="AP940" s="89"/>
      <c r="AQ940" s="89"/>
      <c r="AR940" s="89"/>
      <c r="AS940" s="89"/>
      <c r="AT940" s="89"/>
      <c r="AU940" s="89"/>
      <c r="AV940" s="89"/>
      <c r="AW940" s="89"/>
      <c r="AX940" s="89"/>
      <c r="AY940" s="89"/>
      <c r="AZ940" s="89"/>
      <c r="BA940" s="95"/>
    </row>
    <row r="941" spans="1:53" s="87" customFormat="1">
      <c r="A941" s="374" t="str">
        <f t="shared" si="62"/>
        <v/>
      </c>
      <c r="B941" s="89">
        <v>13</v>
      </c>
      <c r="C941" s="89" t="s">
        <v>202</v>
      </c>
      <c r="D941" s="89" t="s">
        <v>210</v>
      </c>
      <c r="E941" s="89" t="s">
        <v>210</v>
      </c>
      <c r="F941" s="89">
        <v>-3</v>
      </c>
      <c r="G941" s="89">
        <v>-1</v>
      </c>
      <c r="H941" s="89" t="s">
        <v>210</v>
      </c>
      <c r="I941" s="89" t="s">
        <v>210</v>
      </c>
      <c r="J941" s="89">
        <v>2</v>
      </c>
      <c r="K941" s="89">
        <v>6</v>
      </c>
      <c r="L941" s="89"/>
      <c r="M941" s="89"/>
      <c r="N941" s="89"/>
      <c r="O941" s="89"/>
      <c r="P941" s="89"/>
      <c r="Q941" s="89"/>
      <c r="R941" s="89"/>
      <c r="S941" s="89"/>
      <c r="T941" s="89"/>
      <c r="U941" s="89"/>
      <c r="V941" s="89"/>
      <c r="W941" s="89"/>
      <c r="X941" s="89"/>
      <c r="Y941" s="89"/>
      <c r="Z941" s="89"/>
      <c r="AA941" s="89"/>
      <c r="AB941" s="89"/>
      <c r="AC941" s="89"/>
      <c r="AD941" s="89"/>
      <c r="AE941" s="89"/>
      <c r="AF941" s="89"/>
      <c r="AG941" s="89"/>
      <c r="AH941" s="89"/>
      <c r="AI941" s="89"/>
      <c r="AJ941" s="89"/>
      <c r="AK941" s="89"/>
      <c r="AL941" s="89"/>
      <c r="AM941" s="89"/>
      <c r="AN941" s="89"/>
      <c r="AO941" s="89"/>
      <c r="AP941" s="89"/>
      <c r="AQ941" s="89"/>
      <c r="AR941" s="89"/>
      <c r="AS941" s="89"/>
      <c r="AT941" s="89"/>
      <c r="AU941" s="89"/>
      <c r="AV941" s="89"/>
      <c r="AW941" s="89"/>
      <c r="AX941" s="89"/>
      <c r="AY941" s="89"/>
      <c r="AZ941" s="89"/>
      <c r="BA941" s="95"/>
    </row>
    <row r="942" spans="1:53" s="87" customFormat="1">
      <c r="A942" s="374" t="str">
        <f t="shared" si="62"/>
        <v/>
      </c>
      <c r="B942" s="89">
        <v>14</v>
      </c>
      <c r="C942" s="89">
        <v>1</v>
      </c>
      <c r="D942" s="89" t="s">
        <v>210</v>
      </c>
      <c r="E942" s="89" t="s">
        <v>210</v>
      </c>
      <c r="F942" s="89">
        <v>4</v>
      </c>
      <c r="G942" s="89" t="s">
        <v>202</v>
      </c>
      <c r="H942" s="89" t="s">
        <v>210</v>
      </c>
      <c r="I942" s="89" t="s">
        <v>210</v>
      </c>
      <c r="J942" s="89">
        <v>-5</v>
      </c>
      <c r="K942" s="89">
        <v>-6</v>
      </c>
      <c r="L942" s="89"/>
      <c r="M942" s="89"/>
      <c r="N942" s="89"/>
      <c r="O942" s="89"/>
      <c r="P942" s="89"/>
      <c r="Q942" s="89"/>
      <c r="R942" s="89"/>
      <c r="S942" s="89"/>
      <c r="T942" s="89"/>
      <c r="U942" s="89"/>
      <c r="V942" s="89"/>
      <c r="W942" s="89"/>
      <c r="X942" s="89"/>
      <c r="Y942" s="89"/>
      <c r="Z942" s="89"/>
      <c r="AA942" s="89"/>
      <c r="AB942" s="89"/>
      <c r="AC942" s="89"/>
      <c r="AD942" s="89"/>
      <c r="AE942" s="89"/>
      <c r="AF942" s="89"/>
      <c r="AG942" s="89"/>
      <c r="AH942" s="89"/>
      <c r="AI942" s="89"/>
      <c r="AJ942" s="89"/>
      <c r="AK942" s="89"/>
      <c r="AL942" s="89"/>
      <c r="AM942" s="89"/>
      <c r="AN942" s="89"/>
      <c r="AO942" s="89"/>
      <c r="AP942" s="89"/>
      <c r="AQ942" s="89"/>
      <c r="AR942" s="89"/>
      <c r="AS942" s="89"/>
      <c r="AT942" s="89"/>
      <c r="AU942" s="89"/>
      <c r="AV942" s="89"/>
      <c r="AW942" s="89"/>
      <c r="AX942" s="89"/>
      <c r="AY942" s="89"/>
      <c r="AZ942" s="89"/>
      <c r="BA942" s="95"/>
    </row>
    <row r="943" spans="1:53" s="87" customFormat="1">
      <c r="A943" s="374" t="str">
        <f t="shared" si="62"/>
        <v/>
      </c>
      <c r="B943" s="99">
        <v>15</v>
      </c>
      <c r="C943" s="92">
        <v>-6</v>
      </c>
      <c r="D943" s="92" t="s">
        <v>210</v>
      </c>
      <c r="E943" s="92" t="s">
        <v>210</v>
      </c>
      <c r="F943" s="92">
        <v>3</v>
      </c>
      <c r="G943" s="92">
        <v>-4</v>
      </c>
      <c r="H943" s="92" t="s">
        <v>210</v>
      </c>
      <c r="I943" s="92" t="s">
        <v>210</v>
      </c>
      <c r="J943" s="92">
        <v>5</v>
      </c>
      <c r="K943" s="92" t="s">
        <v>202</v>
      </c>
      <c r="L943" s="89"/>
      <c r="M943" s="89"/>
      <c r="N943" s="89"/>
      <c r="O943" s="89"/>
      <c r="P943" s="89"/>
      <c r="Q943" s="89"/>
      <c r="R943" s="89"/>
      <c r="S943" s="89"/>
      <c r="T943" s="89"/>
      <c r="U943" s="89"/>
      <c r="V943" s="89"/>
      <c r="W943" s="89"/>
      <c r="X943" s="89"/>
      <c r="Y943" s="89"/>
      <c r="Z943" s="89"/>
      <c r="AA943" s="89"/>
      <c r="AB943" s="89"/>
      <c r="AC943" s="89"/>
      <c r="AD943" s="89"/>
      <c r="AE943" s="89"/>
      <c r="AF943" s="89"/>
      <c r="AG943" s="89"/>
      <c r="AH943" s="89"/>
      <c r="AI943" s="89"/>
      <c r="AJ943" s="89"/>
      <c r="AK943" s="89"/>
      <c r="AL943" s="89"/>
      <c r="AM943" s="89"/>
      <c r="AN943" s="89"/>
      <c r="AO943" s="89"/>
      <c r="AP943" s="89"/>
      <c r="AQ943" s="89"/>
      <c r="AR943" s="89"/>
      <c r="AS943" s="89"/>
      <c r="AT943" s="89"/>
      <c r="AU943" s="89"/>
      <c r="AV943" s="89"/>
      <c r="AW943" s="89"/>
      <c r="AX943" s="89"/>
      <c r="AY943" s="89"/>
      <c r="AZ943" s="89"/>
      <c r="BA943" s="95"/>
    </row>
    <row r="944" spans="1:53" s="87" customFormat="1">
      <c r="A944" s="374" t="str">
        <f t="shared" si="62"/>
        <v/>
      </c>
      <c r="B944" s="89">
        <v>16</v>
      </c>
      <c r="C944" s="89" t="s">
        <v>210</v>
      </c>
      <c r="D944" s="89">
        <v>-1</v>
      </c>
      <c r="E944" s="89">
        <v>-2</v>
      </c>
      <c r="F944" s="89" t="s">
        <v>210</v>
      </c>
      <c r="G944" s="89" t="s">
        <v>210</v>
      </c>
      <c r="H944" s="89">
        <v>6</v>
      </c>
      <c r="I944" s="89">
        <v>3</v>
      </c>
      <c r="J944" s="89" t="s">
        <v>210</v>
      </c>
      <c r="K944" s="89" t="s">
        <v>210</v>
      </c>
      <c r="L944" s="89"/>
      <c r="M944" s="89"/>
      <c r="N944" s="89"/>
      <c r="O944" s="89"/>
      <c r="P944" s="89"/>
      <c r="Q944" s="89"/>
      <c r="R944" s="89"/>
      <c r="S944" s="89"/>
      <c r="T944" s="89"/>
      <c r="U944" s="89"/>
      <c r="V944" s="89"/>
      <c r="W944" s="89"/>
      <c r="X944" s="89"/>
      <c r="Y944" s="89"/>
      <c r="Z944" s="89"/>
      <c r="AA944" s="89"/>
      <c r="AB944" s="89"/>
      <c r="AC944" s="89"/>
      <c r="AD944" s="89"/>
      <c r="AE944" s="89"/>
      <c r="AF944" s="89"/>
      <c r="AG944" s="89"/>
      <c r="AH944" s="89"/>
      <c r="AI944" s="89"/>
      <c r="AJ944" s="89"/>
      <c r="AK944" s="89"/>
      <c r="AL944" s="89"/>
      <c r="AM944" s="89"/>
      <c r="AN944" s="89"/>
      <c r="AO944" s="89"/>
      <c r="AP944" s="89"/>
      <c r="AQ944" s="89"/>
      <c r="AR944" s="89"/>
      <c r="AS944" s="89"/>
      <c r="AT944" s="89"/>
      <c r="AU944" s="89"/>
      <c r="AV944" s="89"/>
      <c r="AW944" s="89"/>
      <c r="AX944" s="89"/>
      <c r="AY944" s="89"/>
      <c r="AZ944" s="89"/>
      <c r="BA944" s="95"/>
    </row>
    <row r="945" spans="1:53" s="87" customFormat="1">
      <c r="A945" s="374" t="str">
        <f t="shared" si="62"/>
        <v/>
      </c>
      <c r="B945" s="89">
        <v>17</v>
      </c>
      <c r="C945" s="89" t="s">
        <v>210</v>
      </c>
      <c r="D945" s="89">
        <v>4</v>
      </c>
      <c r="E945" s="89">
        <v>5</v>
      </c>
      <c r="F945" s="89" t="s">
        <v>210</v>
      </c>
      <c r="G945" s="89" t="s">
        <v>210</v>
      </c>
      <c r="H945" s="89">
        <v>-1</v>
      </c>
      <c r="I945" s="89">
        <v>-3</v>
      </c>
      <c r="J945" s="89" t="s">
        <v>210</v>
      </c>
      <c r="K945" s="89" t="s">
        <v>210</v>
      </c>
      <c r="L945" s="89"/>
      <c r="M945" s="89"/>
      <c r="N945" s="89"/>
      <c r="O945" s="89"/>
      <c r="P945" s="89"/>
      <c r="Q945" s="89"/>
      <c r="R945" s="89"/>
      <c r="S945" s="89"/>
      <c r="T945" s="89"/>
      <c r="U945" s="89"/>
      <c r="V945" s="89"/>
      <c r="W945" s="89"/>
      <c r="X945" s="89"/>
      <c r="Y945" s="89"/>
      <c r="Z945" s="89"/>
      <c r="AA945" s="89"/>
      <c r="AB945" s="89"/>
      <c r="AC945" s="89"/>
      <c r="AD945" s="89"/>
      <c r="AE945" s="89"/>
      <c r="AF945" s="89"/>
      <c r="AG945" s="89"/>
      <c r="AH945" s="89"/>
      <c r="AI945" s="89"/>
      <c r="AJ945" s="89"/>
      <c r="AK945" s="89"/>
      <c r="AL945" s="89"/>
      <c r="AM945" s="89"/>
      <c r="AN945" s="89"/>
      <c r="AO945" s="89"/>
      <c r="AP945" s="89"/>
      <c r="AQ945" s="89"/>
      <c r="AR945" s="89"/>
      <c r="AS945" s="89"/>
      <c r="AT945" s="89"/>
      <c r="AU945" s="89"/>
      <c r="AV945" s="89"/>
      <c r="AW945" s="89"/>
      <c r="AX945" s="89"/>
      <c r="AY945" s="89"/>
      <c r="AZ945" s="89"/>
      <c r="BA945" s="95"/>
    </row>
    <row r="946" spans="1:53" s="87" customFormat="1">
      <c r="A946" s="374" t="str">
        <f t="shared" si="62"/>
        <v/>
      </c>
      <c r="B946" s="89">
        <v>18</v>
      </c>
      <c r="C946" s="89" t="s">
        <v>210</v>
      </c>
      <c r="D946" s="89">
        <v>-6</v>
      </c>
      <c r="E946" s="89">
        <v>2</v>
      </c>
      <c r="F946" s="89" t="s">
        <v>210</v>
      </c>
      <c r="G946" s="89" t="s">
        <v>210</v>
      </c>
      <c r="H946" s="89">
        <v>1</v>
      </c>
      <c r="I946" s="89">
        <v>-4</v>
      </c>
      <c r="J946" s="89" t="s">
        <v>210</v>
      </c>
      <c r="K946" s="89" t="s">
        <v>210</v>
      </c>
      <c r="L946" s="89"/>
      <c r="M946" s="89"/>
      <c r="N946" s="89"/>
      <c r="O946" s="89"/>
      <c r="P946" s="89"/>
      <c r="Q946" s="89"/>
      <c r="R946" s="89"/>
      <c r="S946" s="89"/>
      <c r="T946" s="89"/>
      <c r="U946" s="89"/>
      <c r="V946" s="89"/>
      <c r="W946" s="89"/>
      <c r="X946" s="89"/>
      <c r="Y946" s="89"/>
      <c r="Z946" s="89"/>
      <c r="AA946" s="89"/>
      <c r="AB946" s="89"/>
      <c r="AC946" s="89"/>
      <c r="AD946" s="89"/>
      <c r="AE946" s="89"/>
      <c r="AF946" s="89"/>
      <c r="AG946" s="89"/>
      <c r="AH946" s="89"/>
      <c r="AI946" s="89"/>
      <c r="AJ946" s="89"/>
      <c r="AK946" s="89"/>
      <c r="AL946" s="89"/>
      <c r="AM946" s="89"/>
      <c r="AN946" s="89"/>
      <c r="AO946" s="89"/>
      <c r="AP946" s="89"/>
      <c r="AQ946" s="89"/>
      <c r="AR946" s="89"/>
      <c r="AS946" s="89"/>
      <c r="AT946" s="89"/>
      <c r="AU946" s="89"/>
      <c r="AV946" s="89"/>
      <c r="AW946" s="89"/>
      <c r="AX946" s="89"/>
      <c r="AY946" s="89"/>
      <c r="AZ946" s="89"/>
      <c r="BA946" s="95"/>
    </row>
    <row r="947" spans="1:53" s="87" customFormat="1">
      <c r="A947" s="374" t="str">
        <f t="shared" si="62"/>
        <v/>
      </c>
      <c r="B947" s="99">
        <v>19</v>
      </c>
      <c r="C947" s="92" t="s">
        <v>210</v>
      </c>
      <c r="D947" s="92">
        <v>3</v>
      </c>
      <c r="E947" s="92">
        <v>-5</v>
      </c>
      <c r="F947" s="92" t="s">
        <v>210</v>
      </c>
      <c r="G947" s="92" t="s">
        <v>210</v>
      </c>
      <c r="H947" s="92">
        <v>-6</v>
      </c>
      <c r="I947" s="92">
        <v>4</v>
      </c>
      <c r="J947" s="92" t="s">
        <v>210</v>
      </c>
      <c r="K947" s="92" t="s">
        <v>210</v>
      </c>
      <c r="L947" s="89"/>
      <c r="M947" s="89"/>
      <c r="N947" s="89"/>
      <c r="O947" s="89"/>
      <c r="P947" s="89"/>
      <c r="Q947" s="89"/>
      <c r="R947" s="89"/>
      <c r="S947" s="89"/>
      <c r="T947" s="89"/>
      <c r="U947" s="89"/>
      <c r="V947" s="89"/>
      <c r="W947" s="89"/>
      <c r="X947" s="89"/>
      <c r="Y947" s="89"/>
      <c r="Z947" s="89"/>
      <c r="AA947" s="89"/>
      <c r="AB947" s="89"/>
      <c r="AC947" s="89"/>
      <c r="AD947" s="89"/>
      <c r="AE947" s="89"/>
      <c r="AF947" s="89"/>
      <c r="AG947" s="89"/>
      <c r="AH947" s="89"/>
      <c r="AI947" s="89"/>
      <c r="AJ947" s="89"/>
      <c r="AK947" s="89"/>
      <c r="AL947" s="89"/>
      <c r="AM947" s="89"/>
      <c r="AN947" s="89"/>
      <c r="AO947" s="89"/>
      <c r="AP947" s="89"/>
      <c r="AQ947" s="89"/>
      <c r="AR947" s="89"/>
      <c r="AS947" s="89"/>
      <c r="AT947" s="89"/>
      <c r="AU947" s="89"/>
      <c r="AV947" s="89"/>
      <c r="AW947" s="89"/>
      <c r="AX947" s="89"/>
      <c r="AY947" s="89"/>
      <c r="AZ947" s="89"/>
      <c r="BA947" s="95"/>
    </row>
    <row r="948" spans="1:53" s="87" customFormat="1">
      <c r="A948" s="374" t="str">
        <f t="shared" si="62"/>
        <v/>
      </c>
      <c r="B948" s="89">
        <v>20</v>
      </c>
      <c r="C948" s="89" t="s">
        <v>210</v>
      </c>
      <c r="D948" s="89">
        <v>1</v>
      </c>
      <c r="E948" s="89">
        <v>3</v>
      </c>
      <c r="F948" s="89" t="s">
        <v>210</v>
      </c>
      <c r="G948" s="89" t="s">
        <v>210</v>
      </c>
      <c r="H948" s="89">
        <v>-4</v>
      </c>
      <c r="I948" s="89">
        <v>-2</v>
      </c>
      <c r="J948" s="89" t="s">
        <v>210</v>
      </c>
      <c r="K948" s="89" t="s">
        <v>210</v>
      </c>
      <c r="L948" s="89"/>
      <c r="M948" s="89"/>
      <c r="N948" s="89"/>
      <c r="O948" s="89"/>
      <c r="P948" s="89"/>
      <c r="Q948" s="89"/>
      <c r="R948" s="89"/>
      <c r="S948" s="89"/>
      <c r="T948" s="89"/>
      <c r="U948" s="89"/>
      <c r="V948" s="89"/>
      <c r="W948" s="89"/>
      <c r="X948" s="89"/>
      <c r="Y948" s="89"/>
      <c r="Z948" s="89"/>
      <c r="AA948" s="89"/>
      <c r="AB948" s="89"/>
      <c r="AC948" s="89"/>
      <c r="AD948" s="89"/>
      <c r="AE948" s="89"/>
      <c r="AF948" s="89"/>
      <c r="AG948" s="89"/>
      <c r="AH948" s="89"/>
      <c r="AI948" s="89"/>
      <c r="AJ948" s="89"/>
      <c r="AK948" s="89"/>
      <c r="AL948" s="89"/>
      <c r="AM948" s="89"/>
      <c r="AN948" s="89"/>
      <c r="AO948" s="89"/>
      <c r="AP948" s="89"/>
      <c r="AQ948" s="89"/>
      <c r="AR948" s="89"/>
      <c r="AS948" s="89"/>
      <c r="AT948" s="89"/>
      <c r="AU948" s="89"/>
      <c r="AV948" s="89"/>
      <c r="AW948" s="89"/>
      <c r="AX948" s="89"/>
      <c r="AY948" s="89"/>
      <c r="AZ948" s="89"/>
      <c r="BA948" s="95"/>
    </row>
    <row r="949" spans="1:53" s="87" customFormat="1">
      <c r="A949" s="374" t="str">
        <f t="shared" si="62"/>
        <v/>
      </c>
      <c r="B949" s="89">
        <v>21</v>
      </c>
      <c r="C949" s="89" t="s">
        <v>210</v>
      </c>
      <c r="D949" s="89">
        <v>-4</v>
      </c>
      <c r="E949" s="89">
        <v>-6</v>
      </c>
      <c r="F949" s="89" t="s">
        <v>210</v>
      </c>
      <c r="G949" s="89" t="s">
        <v>210</v>
      </c>
      <c r="H949" s="89">
        <v>5</v>
      </c>
      <c r="I949" s="89">
        <v>2</v>
      </c>
      <c r="J949" s="89" t="s">
        <v>210</v>
      </c>
      <c r="K949" s="89" t="s">
        <v>210</v>
      </c>
      <c r="L949" s="89"/>
      <c r="M949" s="89"/>
      <c r="N949" s="89"/>
      <c r="O949" s="89"/>
      <c r="P949" s="89"/>
      <c r="Q949" s="89"/>
      <c r="R949" s="89"/>
      <c r="S949" s="89"/>
      <c r="T949" s="89"/>
      <c r="U949" s="89"/>
      <c r="V949" s="89"/>
      <c r="W949" s="89"/>
      <c r="X949" s="89"/>
      <c r="Y949" s="89"/>
      <c r="Z949" s="89"/>
      <c r="AA949" s="89"/>
      <c r="AB949" s="89"/>
      <c r="AC949" s="89"/>
      <c r="AD949" s="89"/>
      <c r="AE949" s="89"/>
      <c r="AF949" s="89"/>
      <c r="AG949" s="89"/>
      <c r="AH949" s="89"/>
      <c r="AI949" s="89"/>
      <c r="AJ949" s="89"/>
      <c r="AK949" s="89"/>
      <c r="AL949" s="89"/>
      <c r="AM949" s="89"/>
      <c r="AN949" s="89"/>
      <c r="AO949" s="89"/>
      <c r="AP949" s="89"/>
      <c r="AQ949" s="89"/>
      <c r="AR949" s="89"/>
      <c r="AS949" s="89"/>
      <c r="AT949" s="89"/>
      <c r="AU949" s="89"/>
      <c r="AV949" s="89"/>
      <c r="AW949" s="89"/>
      <c r="AX949" s="89"/>
      <c r="AY949" s="89"/>
      <c r="AZ949" s="89"/>
      <c r="BA949" s="95"/>
    </row>
    <row r="950" spans="1:53" s="87" customFormat="1">
      <c r="A950" s="374" t="str">
        <f t="shared" si="62"/>
        <v/>
      </c>
      <c r="B950" s="89">
        <v>22</v>
      </c>
      <c r="C950" s="89" t="s">
        <v>210</v>
      </c>
      <c r="D950" s="89">
        <v>2</v>
      </c>
      <c r="E950" s="89">
        <v>-3</v>
      </c>
      <c r="F950" s="89" t="s">
        <v>210</v>
      </c>
      <c r="G950" s="89" t="s">
        <v>210</v>
      </c>
      <c r="H950" s="89">
        <v>-5</v>
      </c>
      <c r="I950" s="89">
        <v>1</v>
      </c>
      <c r="J950" s="89" t="s">
        <v>210</v>
      </c>
      <c r="K950" s="89" t="s">
        <v>210</v>
      </c>
      <c r="L950" s="89"/>
      <c r="M950" s="89"/>
      <c r="N950" s="89"/>
      <c r="O950" s="89"/>
      <c r="P950" s="89"/>
      <c r="Q950" s="89"/>
      <c r="R950" s="89"/>
      <c r="S950" s="89"/>
      <c r="T950" s="89"/>
      <c r="U950" s="89"/>
      <c r="V950" s="89"/>
      <c r="W950" s="89"/>
      <c r="X950" s="89"/>
      <c r="Y950" s="89"/>
      <c r="Z950" s="89"/>
      <c r="AA950" s="89"/>
      <c r="AB950" s="89"/>
      <c r="AC950" s="89"/>
      <c r="AD950" s="89"/>
      <c r="AE950" s="89"/>
      <c r="AF950" s="89"/>
      <c r="AG950" s="89"/>
      <c r="AH950" s="89"/>
      <c r="AI950" s="89"/>
      <c r="AJ950" s="89"/>
      <c r="AK950" s="89"/>
      <c r="AL950" s="89"/>
      <c r="AM950" s="89"/>
      <c r="AN950" s="89"/>
      <c r="AO950" s="89"/>
      <c r="AP950" s="89"/>
      <c r="AQ950" s="89"/>
      <c r="AR950" s="89"/>
      <c r="AS950" s="89"/>
      <c r="AT950" s="89"/>
      <c r="AU950" s="89"/>
      <c r="AV950" s="89"/>
      <c r="AW950" s="89"/>
      <c r="AX950" s="89"/>
      <c r="AY950" s="89"/>
      <c r="AZ950" s="89"/>
      <c r="BA950" s="95"/>
    </row>
    <row r="951" spans="1:53" s="87" customFormat="1">
      <c r="A951" s="374" t="str">
        <f t="shared" si="62"/>
        <v/>
      </c>
      <c r="B951" s="99">
        <v>23</v>
      </c>
      <c r="C951" s="92" t="s">
        <v>210</v>
      </c>
      <c r="D951" s="92">
        <v>-5</v>
      </c>
      <c r="E951" s="92">
        <v>6</v>
      </c>
      <c r="F951" s="92" t="s">
        <v>210</v>
      </c>
      <c r="G951" s="92" t="s">
        <v>210</v>
      </c>
      <c r="H951" s="92">
        <v>4</v>
      </c>
      <c r="I951" s="92">
        <v>-1</v>
      </c>
      <c r="J951" s="92" t="s">
        <v>210</v>
      </c>
      <c r="K951" s="92" t="s">
        <v>210</v>
      </c>
      <c r="L951" s="89"/>
      <c r="M951" s="89"/>
      <c r="N951" s="89"/>
      <c r="O951" s="89"/>
      <c r="P951" s="89"/>
      <c r="Q951" s="89"/>
      <c r="R951" s="89"/>
      <c r="S951" s="89"/>
      <c r="T951" s="89"/>
      <c r="U951" s="89"/>
      <c r="V951" s="89"/>
      <c r="W951" s="89"/>
      <c r="X951" s="89"/>
      <c r="Y951" s="89"/>
      <c r="Z951" s="89"/>
      <c r="AA951" s="89"/>
      <c r="AB951" s="89"/>
      <c r="AC951" s="89"/>
      <c r="AD951" s="89"/>
      <c r="AE951" s="89"/>
      <c r="AF951" s="89"/>
      <c r="AG951" s="89"/>
      <c r="AH951" s="89"/>
      <c r="AI951" s="89"/>
      <c r="AJ951" s="89"/>
      <c r="AK951" s="89"/>
      <c r="AL951" s="89"/>
      <c r="AM951" s="89"/>
      <c r="AN951" s="89"/>
      <c r="AO951" s="89"/>
      <c r="AP951" s="89"/>
      <c r="AQ951" s="89"/>
      <c r="AR951" s="89"/>
      <c r="AS951" s="89"/>
      <c r="AT951" s="89"/>
      <c r="AU951" s="89"/>
      <c r="AV951" s="89"/>
      <c r="AW951" s="89"/>
      <c r="AX951" s="89"/>
      <c r="AY951" s="89"/>
      <c r="AZ951" s="89"/>
      <c r="BA951" s="95"/>
    </row>
    <row r="952" spans="1:53" s="87" customFormat="1">
      <c r="A952" s="374" t="str">
        <f t="shared" si="62"/>
        <v/>
      </c>
      <c r="B952" s="89">
        <v>24</v>
      </c>
      <c r="C952" s="89" t="s">
        <v>210</v>
      </c>
      <c r="D952" s="89">
        <v>6</v>
      </c>
      <c r="E952" s="89">
        <v>-4</v>
      </c>
      <c r="F952" s="89" t="s">
        <v>210</v>
      </c>
      <c r="G952" s="89" t="s">
        <v>210</v>
      </c>
      <c r="H952" s="89">
        <v>-3</v>
      </c>
      <c r="I952" s="89">
        <v>5</v>
      </c>
      <c r="J952" s="89" t="s">
        <v>210</v>
      </c>
      <c r="K952" s="89" t="s">
        <v>210</v>
      </c>
      <c r="L952" s="89"/>
      <c r="M952" s="89"/>
      <c r="N952" s="89"/>
      <c r="O952" s="89"/>
      <c r="P952" s="89"/>
      <c r="Q952" s="89"/>
      <c r="R952" s="89"/>
      <c r="S952" s="89"/>
      <c r="T952" s="89"/>
      <c r="U952" s="89"/>
      <c r="V952" s="89"/>
      <c r="W952" s="89"/>
      <c r="X952" s="89"/>
      <c r="Y952" s="89"/>
      <c r="Z952" s="89"/>
      <c r="AA952" s="89"/>
      <c r="AB952" s="89"/>
      <c r="AC952" s="89"/>
      <c r="AD952" s="89"/>
      <c r="AE952" s="89"/>
      <c r="AF952" s="89"/>
      <c r="AG952" s="89"/>
      <c r="AH952" s="89"/>
      <c r="AI952" s="89"/>
      <c r="AJ952" s="89"/>
      <c r="AK952" s="89"/>
      <c r="AL952" s="89"/>
      <c r="AM952" s="89"/>
      <c r="AN952" s="89"/>
      <c r="AO952" s="89"/>
      <c r="AP952" s="89"/>
      <c r="AQ952" s="89"/>
      <c r="AR952" s="89"/>
      <c r="AS952" s="89"/>
      <c r="AT952" s="89"/>
      <c r="AU952" s="89"/>
      <c r="AV952" s="89"/>
      <c r="AW952" s="89"/>
      <c r="AX952" s="89"/>
      <c r="AY952" s="89"/>
      <c r="AZ952" s="89"/>
      <c r="BA952" s="95"/>
    </row>
    <row r="953" spans="1:53" s="87" customFormat="1">
      <c r="A953" s="374" t="str">
        <f t="shared" si="62"/>
        <v/>
      </c>
      <c r="B953" s="89">
        <v>25</v>
      </c>
      <c r="C953" s="89" t="s">
        <v>210</v>
      </c>
      <c r="D953" s="89">
        <v>-3</v>
      </c>
      <c r="E953" s="89">
        <v>1</v>
      </c>
      <c r="F953" s="89" t="s">
        <v>210</v>
      </c>
      <c r="G953" s="89" t="s">
        <v>210</v>
      </c>
      <c r="H953" s="89">
        <v>2</v>
      </c>
      <c r="I953" s="89">
        <v>-5</v>
      </c>
      <c r="J953" s="89" t="s">
        <v>210</v>
      </c>
      <c r="K953" s="89" t="s">
        <v>210</v>
      </c>
      <c r="L953" s="89"/>
      <c r="M953" s="89"/>
      <c r="N953" s="89"/>
      <c r="O953" s="89"/>
      <c r="P953" s="89"/>
      <c r="Q953" s="89"/>
      <c r="R953" s="89"/>
      <c r="S953" s="89"/>
      <c r="T953" s="89"/>
      <c r="U953" s="89"/>
      <c r="V953" s="89"/>
      <c r="W953" s="89"/>
      <c r="X953" s="89"/>
      <c r="Y953" s="89"/>
      <c r="Z953" s="89"/>
      <c r="AA953" s="89"/>
      <c r="AB953" s="89"/>
      <c r="AC953" s="89"/>
      <c r="AD953" s="89"/>
      <c r="AE953" s="89"/>
      <c r="AF953" s="89"/>
      <c r="AG953" s="89"/>
      <c r="AH953" s="89"/>
      <c r="AI953" s="89"/>
      <c r="AJ953" s="89"/>
      <c r="AK953" s="89"/>
      <c r="AL953" s="89"/>
      <c r="AM953" s="89"/>
      <c r="AN953" s="89"/>
      <c r="AO953" s="89"/>
      <c r="AP953" s="89"/>
      <c r="AQ953" s="89"/>
      <c r="AR953" s="89"/>
      <c r="AS953" s="89"/>
      <c r="AT953" s="89"/>
      <c r="AU953" s="89"/>
      <c r="AV953" s="89"/>
      <c r="AW953" s="89"/>
      <c r="AX953" s="89"/>
      <c r="AY953" s="89"/>
      <c r="AZ953" s="89"/>
      <c r="BA953" s="95"/>
    </row>
    <row r="954" spans="1:53" s="87" customFormat="1">
      <c r="A954" s="374" t="str">
        <f t="shared" si="62"/>
        <v/>
      </c>
      <c r="B954" s="89">
        <v>26</v>
      </c>
      <c r="C954" s="89" t="s">
        <v>210</v>
      </c>
      <c r="D954" s="89">
        <v>-2</v>
      </c>
      <c r="E954" s="89">
        <v>-1</v>
      </c>
      <c r="F954" s="89" t="s">
        <v>210</v>
      </c>
      <c r="G954" s="89" t="s">
        <v>210</v>
      </c>
      <c r="H954" s="89">
        <v>3</v>
      </c>
      <c r="I954" s="89">
        <v>6</v>
      </c>
      <c r="J954" s="89" t="s">
        <v>210</v>
      </c>
      <c r="K954" s="89" t="s">
        <v>210</v>
      </c>
      <c r="L954" s="89"/>
      <c r="M954" s="89"/>
      <c r="N954" s="89"/>
      <c r="O954" s="89"/>
      <c r="P954" s="89"/>
      <c r="Q954" s="89"/>
      <c r="R954" s="89"/>
      <c r="S954" s="89"/>
      <c r="T954" s="89"/>
      <c r="U954" s="89"/>
      <c r="V954" s="89"/>
      <c r="W954" s="89"/>
      <c r="X954" s="89"/>
      <c r="Y954" s="89"/>
      <c r="Z954" s="89"/>
      <c r="AA954" s="89"/>
      <c r="AB954" s="89"/>
      <c r="AC954" s="89"/>
      <c r="AD954" s="89"/>
      <c r="AE954" s="89"/>
      <c r="AF954" s="89"/>
      <c r="AG954" s="89"/>
      <c r="AH954" s="89"/>
      <c r="AI954" s="89"/>
      <c r="AJ954" s="89"/>
      <c r="AK954" s="89"/>
      <c r="AL954" s="89"/>
      <c r="AM954" s="89"/>
      <c r="AN954" s="89"/>
      <c r="AO954" s="89"/>
      <c r="AP954" s="89"/>
      <c r="AQ954" s="89"/>
      <c r="AR954" s="89"/>
      <c r="AS954" s="89"/>
      <c r="AT954" s="89"/>
      <c r="AU954" s="89"/>
      <c r="AV954" s="89"/>
      <c r="AW954" s="89"/>
      <c r="AX954" s="89"/>
      <c r="AY954" s="89"/>
      <c r="AZ954" s="89"/>
      <c r="BA954" s="95"/>
    </row>
    <row r="955" spans="1:53" s="87" customFormat="1">
      <c r="A955" s="374" t="str">
        <f t="shared" si="62"/>
        <v/>
      </c>
      <c r="B955" s="89">
        <v>27</v>
      </c>
      <c r="C955" s="89" t="s">
        <v>210</v>
      </c>
      <c r="D955" s="89">
        <v>5</v>
      </c>
      <c r="E955" s="89">
        <v>4</v>
      </c>
      <c r="F955" s="89" t="s">
        <v>210</v>
      </c>
      <c r="G955" s="89" t="s">
        <v>210</v>
      </c>
      <c r="H955" s="89">
        <v>-2</v>
      </c>
      <c r="I955" s="89">
        <v>-6</v>
      </c>
      <c r="J955" s="89" t="s">
        <v>210</v>
      </c>
      <c r="K955" s="89" t="s">
        <v>210</v>
      </c>
      <c r="L955" s="89"/>
      <c r="M955" s="89"/>
      <c r="N955" s="89"/>
      <c r="O955" s="89"/>
      <c r="P955" s="89"/>
      <c r="Q955" s="89"/>
      <c r="R955" s="89"/>
      <c r="S955" s="89"/>
      <c r="T955" s="89"/>
      <c r="U955" s="89"/>
      <c r="V955" s="89"/>
      <c r="W955" s="89"/>
      <c r="X955" s="89"/>
      <c r="Y955" s="89"/>
      <c r="Z955" s="89"/>
      <c r="AA955" s="89"/>
      <c r="AB955" s="89"/>
      <c r="AC955" s="89"/>
      <c r="AD955" s="89"/>
      <c r="AE955" s="89"/>
      <c r="AF955" s="89"/>
      <c r="AG955" s="89"/>
      <c r="AH955" s="89"/>
      <c r="AI955" s="89"/>
      <c r="AJ955" s="89"/>
      <c r="AK955" s="89"/>
      <c r="AL955" s="89"/>
      <c r="AM955" s="89"/>
      <c r="AN955" s="89"/>
      <c r="AO955" s="89"/>
      <c r="AP955" s="89"/>
      <c r="AQ955" s="89"/>
      <c r="AR955" s="89"/>
      <c r="AS955" s="89"/>
      <c r="AT955" s="89"/>
      <c r="AU955" s="89"/>
      <c r="AV955" s="89"/>
      <c r="AW955" s="89"/>
      <c r="AX955" s="89"/>
      <c r="AY955" s="89"/>
      <c r="AZ955" s="89"/>
      <c r="BA955" s="95"/>
    </row>
    <row r="956" spans="1:53" s="87" customFormat="1">
      <c r="A956" s="374" t="str">
        <f t="shared" si="62"/>
        <v/>
      </c>
      <c r="B956" s="89" t="s">
        <v>401</v>
      </c>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c r="AA956" s="89"/>
      <c r="AB956" s="89"/>
      <c r="AC956" s="89"/>
      <c r="AD956" s="89"/>
      <c r="AE956" s="89"/>
      <c r="AF956" s="89"/>
      <c r="AG956" s="89"/>
      <c r="AH956" s="89"/>
      <c r="AI956" s="89"/>
      <c r="AJ956" s="89"/>
      <c r="AK956" s="89"/>
      <c r="AL956" s="89"/>
      <c r="AM956" s="89"/>
      <c r="AN956" s="89"/>
      <c r="AO956" s="89"/>
      <c r="AP956" s="89"/>
      <c r="AQ956" s="89"/>
      <c r="AR956" s="89"/>
      <c r="AS956" s="89"/>
      <c r="AT956" s="89"/>
      <c r="AU956" s="89"/>
      <c r="AV956" s="89"/>
      <c r="AW956" s="89"/>
      <c r="AX956" s="89"/>
      <c r="AY956" s="89"/>
      <c r="AZ956" s="89"/>
      <c r="BA956" s="95"/>
    </row>
    <row r="957" spans="1:53" s="87" customFormat="1">
      <c r="A957" s="374">
        <f t="shared" si="62"/>
        <v>957</v>
      </c>
      <c r="B957" s="89" t="s">
        <v>402</v>
      </c>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c r="AA957" s="89"/>
      <c r="AB957" s="89"/>
      <c r="AC957" s="89"/>
      <c r="AD957" s="89"/>
      <c r="AE957" s="89"/>
      <c r="AF957" s="89"/>
      <c r="AG957" s="89"/>
      <c r="AH957" s="89"/>
      <c r="AI957" s="89"/>
      <c r="AJ957" s="89"/>
      <c r="AK957" s="89"/>
      <c r="AL957" s="89"/>
      <c r="AM957" s="89"/>
      <c r="AN957" s="89"/>
      <c r="AO957" s="89"/>
      <c r="AP957" s="89"/>
      <c r="AQ957" s="89"/>
      <c r="AR957" s="89"/>
      <c r="AS957" s="89"/>
      <c r="AT957" s="89"/>
      <c r="AU957" s="89"/>
      <c r="AV957" s="89"/>
      <c r="AW957" s="89"/>
      <c r="AX957" s="89"/>
      <c r="AY957" s="89"/>
      <c r="AZ957" s="89"/>
      <c r="BA957" s="95"/>
    </row>
    <row r="958" spans="1:53" s="87" customFormat="1">
      <c r="A958" s="374" t="str">
        <f t="shared" si="62"/>
        <v/>
      </c>
      <c r="B958" s="89">
        <v>1</v>
      </c>
      <c r="C958" s="89">
        <v>-1</v>
      </c>
      <c r="D958" s="89" t="s">
        <v>210</v>
      </c>
      <c r="E958" s="89" t="s">
        <v>210</v>
      </c>
      <c r="F958" s="89" t="s">
        <v>202</v>
      </c>
      <c r="G958" s="89">
        <v>2</v>
      </c>
      <c r="H958" s="89" t="s">
        <v>210</v>
      </c>
      <c r="I958" s="89" t="s">
        <v>210</v>
      </c>
      <c r="J958" s="89">
        <v>-5</v>
      </c>
      <c r="K958" s="89">
        <v>-3</v>
      </c>
      <c r="L958" s="89" t="s">
        <v>210</v>
      </c>
      <c r="M958" s="89" t="s">
        <v>210</v>
      </c>
      <c r="N958" s="89">
        <v>6</v>
      </c>
      <c r="O958" s="89">
        <v>4</v>
      </c>
      <c r="P958" s="89" t="s">
        <v>210</v>
      </c>
      <c r="Q958" s="89"/>
      <c r="R958" s="89"/>
      <c r="S958" s="89"/>
      <c r="T958" s="89"/>
      <c r="U958" s="89"/>
      <c r="V958" s="89"/>
      <c r="W958" s="89"/>
      <c r="X958" s="89"/>
      <c r="Y958" s="89"/>
      <c r="Z958" s="89"/>
      <c r="AA958" s="89"/>
      <c r="AB958" s="89"/>
      <c r="AC958" s="89"/>
      <c r="AD958" s="89"/>
      <c r="AE958" s="89"/>
      <c r="AF958" s="89"/>
      <c r="AG958" s="89"/>
      <c r="AH958" s="89"/>
      <c r="AI958" s="89"/>
      <c r="AJ958" s="89"/>
      <c r="AK958" s="89"/>
      <c r="AL958" s="89"/>
      <c r="AM958" s="89"/>
      <c r="AN958" s="89"/>
      <c r="AO958" s="89"/>
      <c r="AP958" s="89"/>
      <c r="AQ958" s="89"/>
      <c r="AR958" s="89"/>
      <c r="AS958" s="89"/>
      <c r="AT958" s="89"/>
      <c r="AU958" s="89"/>
      <c r="AV958" s="89"/>
      <c r="AW958" s="89"/>
      <c r="AX958" s="89"/>
      <c r="AY958" s="89"/>
      <c r="AZ958" s="89"/>
      <c r="BA958" s="95"/>
    </row>
    <row r="959" spans="1:53" s="87" customFormat="1">
      <c r="A959" s="374" t="str">
        <f t="shared" si="62"/>
        <v/>
      </c>
      <c r="B959" s="89">
        <v>2</v>
      </c>
      <c r="C959" s="89" t="s">
        <v>202</v>
      </c>
      <c r="D959" s="89" t="s">
        <v>210</v>
      </c>
      <c r="E959" s="89" t="s">
        <v>210</v>
      </c>
      <c r="F959" s="89">
        <v>2</v>
      </c>
      <c r="G959" s="89">
        <v>-6</v>
      </c>
      <c r="H959" s="89" t="s">
        <v>210</v>
      </c>
      <c r="I959" s="89" t="s">
        <v>210</v>
      </c>
      <c r="J959" s="89">
        <v>3</v>
      </c>
      <c r="K959" s="89">
        <v>5</v>
      </c>
      <c r="L959" s="89" t="s">
        <v>210</v>
      </c>
      <c r="M959" s="89" t="s">
        <v>210</v>
      </c>
      <c r="N959" s="89">
        <v>-1</v>
      </c>
      <c r="O959" s="89">
        <v>-4</v>
      </c>
      <c r="P959" s="89" t="s">
        <v>210</v>
      </c>
      <c r="Q959" s="89"/>
      <c r="R959" s="89"/>
      <c r="S959" s="89"/>
      <c r="T959" s="89"/>
      <c r="U959" s="89"/>
      <c r="V959" s="89"/>
      <c r="W959" s="89"/>
      <c r="X959" s="89"/>
      <c r="Y959" s="89"/>
      <c r="Z959" s="89"/>
      <c r="AA959" s="89"/>
      <c r="AB959" s="89"/>
      <c r="AC959" s="89"/>
      <c r="AD959" s="89"/>
      <c r="AE959" s="89"/>
      <c r="AF959" s="89"/>
      <c r="AG959" s="89"/>
      <c r="AH959" s="89"/>
      <c r="AI959" s="89"/>
      <c r="AJ959" s="89"/>
      <c r="AK959" s="89"/>
      <c r="AL959" s="89"/>
      <c r="AM959" s="89"/>
      <c r="AN959" s="89"/>
      <c r="AO959" s="89"/>
      <c r="AP959" s="89"/>
      <c r="AQ959" s="89"/>
      <c r="AR959" s="89"/>
      <c r="AS959" s="89"/>
      <c r="AT959" s="89"/>
      <c r="AU959" s="89"/>
      <c r="AV959" s="89"/>
      <c r="AW959" s="89"/>
      <c r="AX959" s="89"/>
      <c r="AY959" s="89"/>
      <c r="AZ959" s="89"/>
      <c r="BA959" s="95"/>
    </row>
    <row r="960" spans="1:53" s="87" customFormat="1">
      <c r="A960" s="374" t="str">
        <f t="shared" si="62"/>
        <v/>
      </c>
      <c r="B960" s="89">
        <v>3</v>
      </c>
      <c r="C960" s="89">
        <v>1</v>
      </c>
      <c r="D960" s="89" t="s">
        <v>210</v>
      </c>
      <c r="E960" s="89" t="s">
        <v>210</v>
      </c>
      <c r="F960" s="89">
        <v>-2</v>
      </c>
      <c r="G960" s="89">
        <v>4</v>
      </c>
      <c r="H960" s="89" t="s">
        <v>210</v>
      </c>
      <c r="I960" s="89" t="s">
        <v>210</v>
      </c>
      <c r="J960" s="89">
        <v>-1</v>
      </c>
      <c r="K960" s="89" t="s">
        <v>202</v>
      </c>
      <c r="L960" s="89" t="s">
        <v>210</v>
      </c>
      <c r="M960" s="89" t="s">
        <v>210</v>
      </c>
      <c r="N960" s="89">
        <v>5</v>
      </c>
      <c r="O960" s="89">
        <v>-3</v>
      </c>
      <c r="P960" s="89" t="s">
        <v>210</v>
      </c>
      <c r="Q960" s="89"/>
      <c r="R960" s="89"/>
      <c r="S960" s="89"/>
      <c r="T960" s="89"/>
      <c r="U960" s="89"/>
      <c r="V960" s="89"/>
      <c r="W960" s="89"/>
      <c r="X960" s="89"/>
      <c r="Y960" s="89"/>
      <c r="Z960" s="89"/>
      <c r="AA960" s="89"/>
      <c r="AB960" s="89"/>
      <c r="AC960" s="89"/>
      <c r="AD960" s="89"/>
      <c r="AE960" s="89"/>
      <c r="AF960" s="89"/>
      <c r="AG960" s="89"/>
      <c r="AH960" s="89"/>
      <c r="AI960" s="89"/>
      <c r="AJ960" s="89"/>
      <c r="AK960" s="89"/>
      <c r="AL960" s="89"/>
      <c r="AM960" s="89"/>
      <c r="AN960" s="89"/>
      <c r="AO960" s="89"/>
      <c r="AP960" s="89"/>
      <c r="AQ960" s="89"/>
      <c r="AR960" s="89"/>
      <c r="AS960" s="89"/>
      <c r="AT960" s="89"/>
      <c r="AU960" s="89"/>
      <c r="AV960" s="89"/>
      <c r="AW960" s="89"/>
      <c r="AX960" s="89"/>
      <c r="AY960" s="89"/>
      <c r="AZ960" s="89"/>
      <c r="BA960" s="95"/>
    </row>
    <row r="961" spans="1:53" s="87" customFormat="1">
      <c r="A961" s="374" t="str">
        <f t="shared" si="62"/>
        <v/>
      </c>
      <c r="B961" s="89">
        <v>4</v>
      </c>
      <c r="C961" s="89" t="s">
        <v>210</v>
      </c>
      <c r="D961" s="89">
        <v>-5</v>
      </c>
      <c r="E961" s="89" t="s">
        <v>210</v>
      </c>
      <c r="F961" s="89">
        <v>-4</v>
      </c>
      <c r="G961" s="89">
        <v>6</v>
      </c>
      <c r="H961" s="89" t="s">
        <v>210</v>
      </c>
      <c r="I961" s="89" t="s">
        <v>210</v>
      </c>
      <c r="J961" s="89">
        <v>5</v>
      </c>
      <c r="K961" s="89">
        <v>-1</v>
      </c>
      <c r="L961" s="89" t="s">
        <v>210</v>
      </c>
      <c r="M961" s="89" t="s">
        <v>210</v>
      </c>
      <c r="N961" s="89" t="s">
        <v>202</v>
      </c>
      <c r="O961" s="89">
        <v>3</v>
      </c>
      <c r="P961" s="89" t="s">
        <v>210</v>
      </c>
      <c r="Q961" s="89"/>
      <c r="R961" s="89"/>
      <c r="S961" s="89"/>
      <c r="T961" s="89"/>
      <c r="U961" s="89"/>
      <c r="V961" s="89"/>
      <c r="W961" s="89"/>
      <c r="X961" s="89"/>
      <c r="Y961" s="89"/>
      <c r="Z961" s="89"/>
      <c r="AA961" s="89"/>
      <c r="AB961" s="89"/>
      <c r="AC961" s="89"/>
      <c r="AD961" s="89"/>
      <c r="AE961" s="89"/>
      <c r="AF961" s="89"/>
      <c r="AG961" s="89"/>
      <c r="AH961" s="89"/>
      <c r="AI961" s="89"/>
      <c r="AJ961" s="89"/>
      <c r="AK961" s="89"/>
      <c r="AL961" s="89"/>
      <c r="AM961" s="89"/>
      <c r="AN961" s="89"/>
      <c r="AO961" s="89"/>
      <c r="AP961" s="89"/>
      <c r="AQ961" s="89"/>
      <c r="AR961" s="89"/>
      <c r="AS961" s="89"/>
      <c r="AT961" s="89"/>
      <c r="AU961" s="89"/>
      <c r="AV961" s="89"/>
      <c r="AW961" s="89"/>
      <c r="AX961" s="89"/>
      <c r="AY961" s="89"/>
      <c r="AZ961" s="89"/>
      <c r="BA961" s="95"/>
    </row>
    <row r="962" spans="1:53" s="87" customFormat="1">
      <c r="A962" s="374" t="str">
        <f t="shared" si="62"/>
        <v/>
      </c>
      <c r="B962" s="89">
        <v>5</v>
      </c>
      <c r="C962" s="89">
        <v>-3</v>
      </c>
      <c r="D962" s="89" t="s">
        <v>210</v>
      </c>
      <c r="E962" s="89" t="s">
        <v>210</v>
      </c>
      <c r="F962" s="89">
        <v>4</v>
      </c>
      <c r="G962" s="89" t="s">
        <v>202</v>
      </c>
      <c r="H962" s="89" t="s">
        <v>210</v>
      </c>
      <c r="I962" s="89" t="s">
        <v>210</v>
      </c>
      <c r="J962" s="89">
        <v>1</v>
      </c>
      <c r="K962" s="89">
        <v>-5</v>
      </c>
      <c r="L962" s="89" t="s">
        <v>210</v>
      </c>
      <c r="M962" s="89" t="s">
        <v>210</v>
      </c>
      <c r="N962" s="89">
        <v>-6</v>
      </c>
      <c r="O962" s="89">
        <v>2</v>
      </c>
      <c r="P962" s="89" t="s">
        <v>210</v>
      </c>
      <c r="Q962" s="89"/>
      <c r="R962" s="89"/>
      <c r="S962" s="89"/>
      <c r="T962" s="89"/>
      <c r="U962" s="89"/>
      <c r="V962" s="89"/>
      <c r="W962" s="89"/>
      <c r="X962" s="89"/>
      <c r="Y962" s="89"/>
      <c r="Z962" s="89"/>
      <c r="AA962" s="89"/>
      <c r="AB962" s="89"/>
      <c r="AC962" s="89"/>
      <c r="AD962" s="89"/>
      <c r="AE962" s="89"/>
      <c r="AF962" s="89"/>
      <c r="AG962" s="89"/>
      <c r="AH962" s="89"/>
      <c r="AI962" s="89"/>
      <c r="AJ962" s="89"/>
      <c r="AK962" s="89"/>
      <c r="AL962" s="89"/>
      <c r="AM962" s="89"/>
      <c r="AN962" s="89"/>
      <c r="AO962" s="89"/>
      <c r="AP962" s="89"/>
      <c r="AQ962" s="89"/>
      <c r="AR962" s="89"/>
      <c r="AS962" s="89"/>
      <c r="AT962" s="89"/>
      <c r="AU962" s="89"/>
      <c r="AV962" s="89"/>
      <c r="AW962" s="89"/>
      <c r="AX962" s="89"/>
      <c r="AY962" s="89"/>
      <c r="AZ962" s="89"/>
      <c r="BA962" s="95"/>
    </row>
    <row r="963" spans="1:53" s="87" customFormat="1">
      <c r="A963" s="374" t="str">
        <f t="shared" si="62"/>
        <v/>
      </c>
      <c r="B963" s="89">
        <v>6</v>
      </c>
      <c r="C963" s="89" t="s">
        <v>210</v>
      </c>
      <c r="D963" s="89">
        <v>5</v>
      </c>
      <c r="E963" s="89" t="s">
        <v>210</v>
      </c>
      <c r="F963" s="89">
        <v>-6</v>
      </c>
      <c r="G963" s="89">
        <v>-4</v>
      </c>
      <c r="H963" s="89" t="s">
        <v>210</v>
      </c>
      <c r="I963" s="89" t="s">
        <v>210</v>
      </c>
      <c r="J963" s="89" t="s">
        <v>202</v>
      </c>
      <c r="K963" s="89">
        <v>3</v>
      </c>
      <c r="L963" s="89" t="s">
        <v>210</v>
      </c>
      <c r="M963" s="89" t="s">
        <v>210</v>
      </c>
      <c r="N963" s="89">
        <v>1</v>
      </c>
      <c r="O963" s="89">
        <v>-2</v>
      </c>
      <c r="P963" s="89" t="s">
        <v>210</v>
      </c>
      <c r="Q963" s="89"/>
      <c r="R963" s="89"/>
      <c r="S963" s="89"/>
      <c r="T963" s="89"/>
      <c r="U963" s="89"/>
      <c r="V963" s="89"/>
      <c r="W963" s="89"/>
      <c r="X963" s="89"/>
      <c r="Y963" s="89"/>
      <c r="Z963" s="89"/>
      <c r="AA963" s="89"/>
      <c r="AB963" s="89"/>
      <c r="AC963" s="89"/>
      <c r="AD963" s="89"/>
      <c r="AE963" s="89"/>
      <c r="AF963" s="89"/>
      <c r="AG963" s="89"/>
      <c r="AH963" s="89"/>
      <c r="AI963" s="89"/>
      <c r="AJ963" s="89"/>
      <c r="AK963" s="89"/>
      <c r="AL963" s="89"/>
      <c r="AM963" s="89"/>
      <c r="AN963" s="89"/>
      <c r="AO963" s="89"/>
      <c r="AP963" s="89"/>
      <c r="AQ963" s="89"/>
      <c r="AR963" s="89"/>
      <c r="AS963" s="89"/>
      <c r="AT963" s="89"/>
      <c r="AU963" s="89"/>
      <c r="AV963" s="89"/>
      <c r="AW963" s="89"/>
      <c r="AX963" s="89"/>
      <c r="AY963" s="89"/>
      <c r="AZ963" s="89"/>
      <c r="BA963" s="95"/>
    </row>
    <row r="964" spans="1:53" s="87" customFormat="1">
      <c r="A964" s="374" t="str">
        <f t="shared" si="62"/>
        <v/>
      </c>
      <c r="B964" s="99">
        <v>7</v>
      </c>
      <c r="C964" s="92">
        <v>3</v>
      </c>
      <c r="D964" s="92" t="s">
        <v>210</v>
      </c>
      <c r="E964" s="92" t="s">
        <v>210</v>
      </c>
      <c r="F964" s="92">
        <v>6</v>
      </c>
      <c r="G964" s="92">
        <v>-2</v>
      </c>
      <c r="H964" s="92" t="s">
        <v>210</v>
      </c>
      <c r="I964" s="92" t="s">
        <v>210</v>
      </c>
      <c r="J964" s="92">
        <v>-3</v>
      </c>
      <c r="K964" s="92">
        <v>1</v>
      </c>
      <c r="L964" s="92" t="s">
        <v>210</v>
      </c>
      <c r="M964" s="92" t="s">
        <v>210</v>
      </c>
      <c r="N964" s="92">
        <v>-5</v>
      </c>
      <c r="O964" s="92" t="s">
        <v>202</v>
      </c>
      <c r="P964" s="92" t="s">
        <v>210</v>
      </c>
      <c r="Q964" s="89"/>
      <c r="R964" s="89"/>
      <c r="S964" s="89"/>
      <c r="T964" s="89"/>
      <c r="U964" s="89"/>
      <c r="V964" s="89"/>
      <c r="W964" s="89"/>
      <c r="X964" s="89"/>
      <c r="Y964" s="89"/>
      <c r="Z964" s="89"/>
      <c r="AA964" s="89"/>
      <c r="AB964" s="89"/>
      <c r="AC964" s="89"/>
      <c r="AD964" s="89"/>
      <c r="AE964" s="89"/>
      <c r="AF964" s="89"/>
      <c r="AG964" s="89"/>
      <c r="AH964" s="89"/>
      <c r="AI964" s="89"/>
      <c r="AJ964" s="89"/>
      <c r="AK964" s="89"/>
      <c r="AL964" s="89"/>
      <c r="AM964" s="89"/>
      <c r="AN964" s="89"/>
      <c r="AO964" s="89"/>
      <c r="AP964" s="89"/>
      <c r="AQ964" s="89"/>
      <c r="AR964" s="89"/>
      <c r="AS964" s="89"/>
      <c r="AT964" s="89"/>
      <c r="AU964" s="89"/>
      <c r="AV964" s="89"/>
      <c r="AW964" s="89"/>
      <c r="AX964" s="89"/>
      <c r="AY964" s="89"/>
      <c r="AZ964" s="89"/>
      <c r="BA964" s="95"/>
    </row>
    <row r="965" spans="1:53" s="87" customFormat="1">
      <c r="A965" s="374" t="str">
        <f t="shared" si="62"/>
        <v/>
      </c>
      <c r="B965" s="89">
        <v>8</v>
      </c>
      <c r="C965" s="89">
        <v>2</v>
      </c>
      <c r="D965" s="89" t="s">
        <v>210</v>
      </c>
      <c r="E965" s="89" t="s">
        <v>210</v>
      </c>
      <c r="F965" s="89" t="s">
        <v>202</v>
      </c>
      <c r="G965" s="89">
        <v>-1</v>
      </c>
      <c r="H965" s="89" t="s">
        <v>210</v>
      </c>
      <c r="I965" s="89" t="s">
        <v>210</v>
      </c>
      <c r="J965" s="89">
        <v>4</v>
      </c>
      <c r="K965" s="89">
        <v>6</v>
      </c>
      <c r="L965" s="89" t="s">
        <v>210</v>
      </c>
      <c r="M965" s="89" t="s">
        <v>210</v>
      </c>
      <c r="N965" s="89">
        <v>-3</v>
      </c>
      <c r="O965" s="89">
        <v>-5</v>
      </c>
      <c r="P965" s="89" t="s">
        <v>210</v>
      </c>
      <c r="Q965" s="89"/>
      <c r="R965" s="89"/>
      <c r="S965" s="89"/>
      <c r="T965" s="89"/>
      <c r="U965" s="89"/>
      <c r="V965" s="89"/>
      <c r="W965" s="89"/>
      <c r="X965" s="89"/>
      <c r="Y965" s="89"/>
      <c r="Z965" s="89"/>
      <c r="AA965" s="89"/>
      <c r="AB965" s="89"/>
      <c r="AC965" s="89"/>
      <c r="AD965" s="89"/>
      <c r="AE965" s="89"/>
      <c r="AF965" s="89"/>
      <c r="AG965" s="89"/>
      <c r="AH965" s="89"/>
      <c r="AI965" s="89"/>
      <c r="AJ965" s="89"/>
      <c r="AK965" s="89"/>
      <c r="AL965" s="89"/>
      <c r="AM965" s="89"/>
      <c r="AN965" s="89"/>
      <c r="AO965" s="89"/>
      <c r="AP965" s="89"/>
      <c r="AQ965" s="89"/>
      <c r="AR965" s="89"/>
      <c r="AS965" s="89"/>
      <c r="AT965" s="89"/>
      <c r="AU965" s="89"/>
      <c r="AV965" s="89"/>
      <c r="AW965" s="89"/>
      <c r="AX965" s="89"/>
      <c r="AY965" s="89"/>
      <c r="AZ965" s="89"/>
      <c r="BA965" s="95"/>
    </row>
    <row r="966" spans="1:53" s="87" customFormat="1">
      <c r="A966" s="374" t="str">
        <f t="shared" si="62"/>
        <v/>
      </c>
      <c r="B966" s="89">
        <v>9</v>
      </c>
      <c r="C966" s="89" t="s">
        <v>202</v>
      </c>
      <c r="D966" s="89" t="s">
        <v>210</v>
      </c>
      <c r="E966" s="89" t="s">
        <v>210</v>
      </c>
      <c r="F966" s="89">
        <v>-1</v>
      </c>
      <c r="G966" s="89">
        <v>3</v>
      </c>
      <c r="H966" s="89" t="s">
        <v>210</v>
      </c>
      <c r="I966" s="89" t="s">
        <v>210</v>
      </c>
      <c r="J966" s="89">
        <v>-6</v>
      </c>
      <c r="K966" s="89">
        <v>-4</v>
      </c>
      <c r="L966" s="89" t="s">
        <v>210</v>
      </c>
      <c r="M966" s="89" t="s">
        <v>210</v>
      </c>
      <c r="N966" s="89">
        <v>2</v>
      </c>
      <c r="O966" s="89">
        <v>5</v>
      </c>
      <c r="P966" s="89" t="s">
        <v>210</v>
      </c>
      <c r="Q966" s="89"/>
      <c r="R966" s="89"/>
      <c r="S966" s="89"/>
      <c r="T966" s="89"/>
      <c r="U966" s="89"/>
      <c r="V966" s="89"/>
      <c r="W966" s="89"/>
      <c r="X966" s="89"/>
      <c r="Y966" s="89"/>
      <c r="Z966" s="89"/>
      <c r="AA966" s="89"/>
      <c r="AB966" s="89"/>
      <c r="AC966" s="89"/>
      <c r="AD966" s="89"/>
      <c r="AE966" s="89"/>
      <c r="AF966" s="89"/>
      <c r="AG966" s="89"/>
      <c r="AH966" s="89"/>
      <c r="AI966" s="89"/>
      <c r="AJ966" s="89"/>
      <c r="AK966" s="89"/>
      <c r="AL966" s="89"/>
      <c r="AM966" s="89"/>
      <c r="AN966" s="89"/>
      <c r="AO966" s="89"/>
      <c r="AP966" s="89"/>
      <c r="AQ966" s="89"/>
      <c r="AR966" s="89"/>
      <c r="AS966" s="89"/>
      <c r="AT966" s="89"/>
      <c r="AU966" s="89"/>
      <c r="AV966" s="89"/>
      <c r="AW966" s="89"/>
      <c r="AX966" s="89"/>
      <c r="AY966" s="89"/>
      <c r="AZ966" s="89"/>
      <c r="BA966" s="95"/>
    </row>
    <row r="967" spans="1:53" s="87" customFormat="1">
      <c r="A967" s="374" t="str">
        <f t="shared" si="62"/>
        <v/>
      </c>
      <c r="B967" s="89">
        <v>10</v>
      </c>
      <c r="C967" s="89">
        <v>-6</v>
      </c>
      <c r="D967" s="89" t="s">
        <v>210</v>
      </c>
      <c r="E967" s="89" t="s">
        <v>210</v>
      </c>
      <c r="F967" s="89">
        <v>3</v>
      </c>
      <c r="G967" s="89">
        <v>5</v>
      </c>
      <c r="H967" s="89" t="s">
        <v>210</v>
      </c>
      <c r="I967" s="89" t="s">
        <v>210</v>
      </c>
      <c r="J967" s="89">
        <v>-4</v>
      </c>
      <c r="K967" s="89" t="s">
        <v>202</v>
      </c>
      <c r="L967" s="89" t="s">
        <v>210</v>
      </c>
      <c r="M967" s="89" t="s">
        <v>210</v>
      </c>
      <c r="N967" s="89">
        <v>-2</v>
      </c>
      <c r="O967" s="89">
        <v>1</v>
      </c>
      <c r="P967" s="89" t="s">
        <v>210</v>
      </c>
      <c r="Q967" s="89"/>
      <c r="R967" s="89"/>
      <c r="S967" s="89"/>
      <c r="T967" s="89"/>
      <c r="U967" s="89"/>
      <c r="V967" s="89"/>
      <c r="W967" s="89"/>
      <c r="X967" s="89"/>
      <c r="Y967" s="89"/>
      <c r="Z967" s="89"/>
      <c r="AA967" s="89"/>
      <c r="AB967" s="89"/>
      <c r="AC967" s="89"/>
      <c r="AD967" s="89"/>
      <c r="AE967" s="89"/>
      <c r="AF967" s="89"/>
      <c r="AG967" s="89"/>
      <c r="AH967" s="89"/>
      <c r="AI967" s="89"/>
      <c r="AJ967" s="89"/>
      <c r="AK967" s="89"/>
      <c r="AL967" s="89"/>
      <c r="AM967" s="89"/>
      <c r="AN967" s="89"/>
      <c r="AO967" s="89"/>
      <c r="AP967" s="89"/>
      <c r="AQ967" s="89"/>
      <c r="AR967" s="89"/>
      <c r="AS967" s="89"/>
      <c r="AT967" s="89"/>
      <c r="AU967" s="89"/>
      <c r="AV967" s="89"/>
      <c r="AW967" s="89"/>
      <c r="AX967" s="89"/>
      <c r="AY967" s="89"/>
      <c r="AZ967" s="89"/>
      <c r="BA967" s="95"/>
    </row>
    <row r="968" spans="1:53" s="87" customFormat="1">
      <c r="A968" s="374" t="str">
        <f t="shared" si="62"/>
        <v/>
      </c>
      <c r="B968" s="89">
        <v>11</v>
      </c>
      <c r="C968" s="89">
        <v>4</v>
      </c>
      <c r="D968" s="89" t="s">
        <v>210</v>
      </c>
      <c r="E968" s="89" t="s">
        <v>210</v>
      </c>
      <c r="F968" s="89">
        <v>-5</v>
      </c>
      <c r="G968" s="89" t="s">
        <v>202</v>
      </c>
      <c r="H968" s="89" t="s">
        <v>210</v>
      </c>
      <c r="I968" s="89" t="s">
        <v>210</v>
      </c>
      <c r="J968" s="89">
        <v>6</v>
      </c>
      <c r="K968" s="89">
        <v>-2</v>
      </c>
      <c r="L968" s="89" t="s">
        <v>210</v>
      </c>
      <c r="M968" s="89" t="s">
        <v>210</v>
      </c>
      <c r="N968" s="89">
        <v>3</v>
      </c>
      <c r="O968" s="89">
        <v>-1</v>
      </c>
      <c r="P968" s="89" t="s">
        <v>210</v>
      </c>
      <c r="Q968" s="89"/>
      <c r="R968" s="89"/>
      <c r="S968" s="89"/>
      <c r="T968" s="89"/>
      <c r="U968" s="89"/>
      <c r="V968" s="89"/>
      <c r="W968" s="89"/>
      <c r="X968" s="89"/>
      <c r="Y968" s="89"/>
      <c r="Z968" s="89"/>
      <c r="AA968" s="89"/>
      <c r="AB968" s="89"/>
      <c r="AC968" s="89"/>
      <c r="AD968" s="89"/>
      <c r="AE968" s="89"/>
      <c r="AF968" s="89"/>
      <c r="AG968" s="89"/>
      <c r="AH968" s="89"/>
      <c r="AI968" s="89"/>
      <c r="AJ968" s="89"/>
      <c r="AK968" s="89"/>
      <c r="AL968" s="89"/>
      <c r="AM968" s="89"/>
      <c r="AN968" s="89"/>
      <c r="AO968" s="89"/>
      <c r="AP968" s="89"/>
      <c r="AQ968" s="89"/>
      <c r="AR968" s="89"/>
      <c r="AS968" s="89"/>
      <c r="AT968" s="89"/>
      <c r="AU968" s="89"/>
      <c r="AV968" s="89"/>
      <c r="AW968" s="89"/>
      <c r="AX968" s="89"/>
      <c r="AY968" s="89"/>
      <c r="AZ968" s="89"/>
      <c r="BA968" s="95"/>
    </row>
    <row r="969" spans="1:53" s="87" customFormat="1">
      <c r="A969" s="374" t="str">
        <f t="shared" si="62"/>
        <v/>
      </c>
      <c r="B969" s="89">
        <v>12</v>
      </c>
      <c r="C969" s="89">
        <v>-2</v>
      </c>
      <c r="D969" s="89" t="s">
        <v>210</v>
      </c>
      <c r="E969" s="89" t="s">
        <v>210</v>
      </c>
      <c r="F969" s="89">
        <v>1</v>
      </c>
      <c r="G969" s="89">
        <v>-5</v>
      </c>
      <c r="H969" s="89" t="s">
        <v>210</v>
      </c>
      <c r="I969" s="89" t="s">
        <v>210</v>
      </c>
      <c r="J969" s="89" t="s">
        <v>202</v>
      </c>
      <c r="K969" s="89">
        <v>2</v>
      </c>
      <c r="L969" s="89" t="s">
        <v>210</v>
      </c>
      <c r="M969" s="89" t="s">
        <v>210</v>
      </c>
      <c r="N969" s="89">
        <v>4</v>
      </c>
      <c r="O969" s="89" t="s">
        <v>210</v>
      </c>
      <c r="P969" s="89">
        <v>-6</v>
      </c>
      <c r="Q969" s="89"/>
      <c r="R969" s="89"/>
      <c r="S969" s="89"/>
      <c r="T969" s="89"/>
      <c r="U969" s="89"/>
      <c r="V969" s="89"/>
      <c r="W969" s="89"/>
      <c r="X969" s="89"/>
      <c r="Y969" s="89"/>
      <c r="Z969" s="89"/>
      <c r="AA969" s="89"/>
      <c r="AB969" s="89"/>
      <c r="AC969" s="89"/>
      <c r="AD969" s="89"/>
      <c r="AE969" s="89"/>
      <c r="AF969" s="89"/>
      <c r="AG969" s="89"/>
      <c r="AH969" s="89"/>
      <c r="AI969" s="89"/>
      <c r="AJ969" s="89"/>
      <c r="AK969" s="89"/>
      <c r="AL969" s="89"/>
      <c r="AM969" s="89"/>
      <c r="AN969" s="89"/>
      <c r="AO969" s="89"/>
      <c r="AP969" s="89"/>
      <c r="AQ969" s="89"/>
      <c r="AR969" s="89"/>
      <c r="AS969" s="89"/>
      <c r="AT969" s="89"/>
      <c r="AU969" s="89"/>
      <c r="AV969" s="89"/>
      <c r="AW969" s="89"/>
      <c r="AX969" s="89"/>
      <c r="AY969" s="89"/>
      <c r="AZ969" s="89"/>
      <c r="BA969" s="95"/>
    </row>
    <row r="970" spans="1:53" s="87" customFormat="1">
      <c r="A970" s="374" t="str">
        <f t="shared" si="62"/>
        <v/>
      </c>
      <c r="B970" s="89">
        <v>13</v>
      </c>
      <c r="C970" s="89">
        <v>-4</v>
      </c>
      <c r="D970" s="89" t="s">
        <v>210</v>
      </c>
      <c r="E970" s="89" t="s">
        <v>210</v>
      </c>
      <c r="F970" s="89">
        <v>-3</v>
      </c>
      <c r="G970" s="89">
        <v>1</v>
      </c>
      <c r="H970" s="89" t="s">
        <v>210</v>
      </c>
      <c r="I970" s="89" t="s">
        <v>210</v>
      </c>
      <c r="J970" s="89">
        <v>-2</v>
      </c>
      <c r="K970" s="89">
        <v>4</v>
      </c>
      <c r="L970" s="89" t="s">
        <v>210</v>
      </c>
      <c r="M970" s="89" t="s">
        <v>210</v>
      </c>
      <c r="N970" s="89" t="s">
        <v>202</v>
      </c>
      <c r="O970" s="89" t="s">
        <v>210</v>
      </c>
      <c r="P970" s="89">
        <v>6</v>
      </c>
      <c r="Q970" s="89"/>
      <c r="R970" s="89"/>
      <c r="S970" s="89"/>
      <c r="T970" s="89"/>
      <c r="U970" s="89"/>
      <c r="V970" s="89"/>
      <c r="W970" s="89"/>
      <c r="X970" s="89"/>
      <c r="Y970" s="89"/>
      <c r="Z970" s="89"/>
      <c r="AA970" s="89"/>
      <c r="AB970" s="89"/>
      <c r="AC970" s="89"/>
      <c r="AD970" s="89"/>
      <c r="AE970" s="89"/>
      <c r="AF970" s="89"/>
      <c r="AG970" s="89"/>
      <c r="AH970" s="89"/>
      <c r="AI970" s="89"/>
      <c r="AJ970" s="89"/>
      <c r="AK970" s="89"/>
      <c r="AL970" s="89"/>
      <c r="AM970" s="89"/>
      <c r="AN970" s="89"/>
      <c r="AO970" s="89"/>
      <c r="AP970" s="89"/>
      <c r="AQ970" s="89"/>
      <c r="AR970" s="89"/>
      <c r="AS970" s="89"/>
      <c r="AT970" s="89"/>
      <c r="AU970" s="89"/>
      <c r="AV970" s="89"/>
      <c r="AW970" s="89"/>
      <c r="AX970" s="89"/>
      <c r="AY970" s="89"/>
      <c r="AZ970" s="89"/>
      <c r="BA970" s="95"/>
    </row>
    <row r="971" spans="1:53" s="87" customFormat="1">
      <c r="A971" s="374" t="str">
        <f t="shared" si="62"/>
        <v/>
      </c>
      <c r="B971" s="99">
        <v>14</v>
      </c>
      <c r="C971" s="92">
        <v>6</v>
      </c>
      <c r="D971" s="92" t="s">
        <v>210</v>
      </c>
      <c r="E971" s="92" t="s">
        <v>210</v>
      </c>
      <c r="F971" s="92">
        <v>5</v>
      </c>
      <c r="G971" s="92">
        <v>-3</v>
      </c>
      <c r="H971" s="92" t="s">
        <v>210</v>
      </c>
      <c r="I971" s="92" t="s">
        <v>210</v>
      </c>
      <c r="J971" s="92">
        <v>2</v>
      </c>
      <c r="K971" s="92">
        <v>-6</v>
      </c>
      <c r="L971" s="92" t="s">
        <v>210</v>
      </c>
      <c r="M971" s="92" t="s">
        <v>210</v>
      </c>
      <c r="N971" s="92">
        <v>-4</v>
      </c>
      <c r="O971" s="92" t="s">
        <v>202</v>
      </c>
      <c r="P971" s="92" t="s">
        <v>210</v>
      </c>
      <c r="Q971" s="89"/>
      <c r="R971" s="89"/>
      <c r="S971" s="89"/>
      <c r="T971" s="89"/>
      <c r="U971" s="89"/>
      <c r="V971" s="89"/>
      <c r="W971" s="89"/>
      <c r="X971" s="89"/>
      <c r="Y971" s="89"/>
      <c r="Z971" s="89"/>
      <c r="AA971" s="89"/>
      <c r="AB971" s="89"/>
      <c r="AC971" s="89"/>
      <c r="AD971" s="89"/>
      <c r="AE971" s="89"/>
      <c r="AF971" s="89"/>
      <c r="AG971" s="89"/>
      <c r="AH971" s="89"/>
      <c r="AI971" s="89"/>
      <c r="AJ971" s="89"/>
      <c r="AK971" s="89"/>
      <c r="AL971" s="89"/>
      <c r="AM971" s="89"/>
      <c r="AN971" s="89"/>
      <c r="AO971" s="89"/>
      <c r="AP971" s="89"/>
      <c r="AQ971" s="89"/>
      <c r="AR971" s="89"/>
      <c r="AS971" s="89"/>
      <c r="AT971" s="89"/>
      <c r="AU971" s="89"/>
      <c r="AV971" s="89"/>
      <c r="AW971" s="89"/>
      <c r="AX971" s="89"/>
      <c r="AY971" s="89"/>
      <c r="AZ971" s="89"/>
      <c r="BA971" s="95"/>
    </row>
    <row r="972" spans="1:53" s="87" customFormat="1">
      <c r="A972" s="374" t="str">
        <f t="shared" ref="A972:A1035" si="63">IF(MID(B972,3,2)="06",ROW(),"")</f>
        <v/>
      </c>
      <c r="B972" s="89">
        <v>15</v>
      </c>
      <c r="C972" s="89" t="s">
        <v>210</v>
      </c>
      <c r="D972" s="89">
        <v>1</v>
      </c>
      <c r="E972" s="89">
        <v>-2</v>
      </c>
      <c r="F972" s="89" t="s">
        <v>210</v>
      </c>
      <c r="G972" s="89" t="s">
        <v>210</v>
      </c>
      <c r="H972" s="89">
        <v>4</v>
      </c>
      <c r="I972" s="89">
        <v>-1</v>
      </c>
      <c r="J972" s="89" t="s">
        <v>210</v>
      </c>
      <c r="K972" s="89" t="s">
        <v>210</v>
      </c>
      <c r="L972" s="89" t="s">
        <v>202</v>
      </c>
      <c r="M972" s="89">
        <v>5</v>
      </c>
      <c r="N972" s="89" t="s">
        <v>210</v>
      </c>
      <c r="O972" s="89" t="s">
        <v>210</v>
      </c>
      <c r="P972" s="89">
        <v>-3</v>
      </c>
      <c r="Q972" s="89"/>
      <c r="R972" s="89"/>
      <c r="S972" s="89"/>
      <c r="T972" s="89"/>
      <c r="U972" s="89"/>
      <c r="V972" s="89"/>
      <c r="W972" s="89"/>
      <c r="X972" s="89"/>
      <c r="Y972" s="89"/>
      <c r="Z972" s="89"/>
      <c r="AA972" s="89"/>
      <c r="AB972" s="89"/>
      <c r="AC972" s="89"/>
      <c r="AD972" s="89"/>
      <c r="AE972" s="89"/>
      <c r="AF972" s="89"/>
      <c r="AG972" s="89"/>
      <c r="AH972" s="89"/>
      <c r="AI972" s="89"/>
      <c r="AJ972" s="89"/>
      <c r="AK972" s="89"/>
      <c r="AL972" s="89"/>
      <c r="AM972" s="89"/>
      <c r="AN972" s="89"/>
      <c r="AO972" s="89"/>
      <c r="AP972" s="89"/>
      <c r="AQ972" s="89"/>
      <c r="AR972" s="89"/>
      <c r="AS972" s="89"/>
      <c r="AT972" s="89"/>
      <c r="AU972" s="89"/>
      <c r="AV972" s="89"/>
      <c r="AW972" s="89"/>
      <c r="AX972" s="89"/>
      <c r="AY972" s="89"/>
      <c r="AZ972" s="89"/>
      <c r="BA972" s="95"/>
    </row>
    <row r="973" spans="1:53" s="87" customFormat="1">
      <c r="A973" s="374" t="str">
        <f t="shared" si="63"/>
        <v/>
      </c>
      <c r="B973" s="89">
        <v>16</v>
      </c>
      <c r="C973" s="89">
        <v>-5</v>
      </c>
      <c r="D973" s="89" t="s">
        <v>210</v>
      </c>
      <c r="E973" s="89">
        <v>-4</v>
      </c>
      <c r="F973" s="89" t="s">
        <v>210</v>
      </c>
      <c r="G973" s="89" t="s">
        <v>210</v>
      </c>
      <c r="H973" s="89">
        <v>6</v>
      </c>
      <c r="I973" s="89">
        <v>5</v>
      </c>
      <c r="J973" s="89" t="s">
        <v>210</v>
      </c>
      <c r="K973" s="89" t="s">
        <v>210</v>
      </c>
      <c r="L973" s="89">
        <v>-1</v>
      </c>
      <c r="M973" s="89" t="s">
        <v>202</v>
      </c>
      <c r="N973" s="89" t="s">
        <v>210</v>
      </c>
      <c r="O973" s="89" t="s">
        <v>210</v>
      </c>
      <c r="P973" s="89">
        <v>3</v>
      </c>
      <c r="Q973" s="89"/>
      <c r="R973" s="89"/>
      <c r="S973" s="89"/>
      <c r="T973" s="89"/>
      <c r="U973" s="89"/>
      <c r="V973" s="89"/>
      <c r="W973" s="89"/>
      <c r="X973" s="89"/>
      <c r="Y973" s="89"/>
      <c r="Z973" s="89"/>
      <c r="AA973" s="89"/>
      <c r="AB973" s="89"/>
      <c r="AC973" s="89"/>
      <c r="AD973" s="89"/>
      <c r="AE973" s="89"/>
      <c r="AF973" s="89"/>
      <c r="AG973" s="89"/>
      <c r="AH973" s="89"/>
      <c r="AI973" s="89"/>
      <c r="AJ973" s="89"/>
      <c r="AK973" s="89"/>
      <c r="AL973" s="89"/>
      <c r="AM973" s="89"/>
      <c r="AN973" s="89"/>
      <c r="AO973" s="89"/>
      <c r="AP973" s="89"/>
      <c r="AQ973" s="89"/>
      <c r="AR973" s="89"/>
      <c r="AS973" s="89"/>
      <c r="AT973" s="89"/>
      <c r="AU973" s="89"/>
      <c r="AV973" s="89"/>
      <c r="AW973" s="89"/>
      <c r="AX973" s="89"/>
      <c r="AY973" s="89"/>
      <c r="AZ973" s="89"/>
      <c r="BA973" s="95"/>
    </row>
    <row r="974" spans="1:53" s="87" customFormat="1">
      <c r="A974" s="374" t="str">
        <f t="shared" si="63"/>
        <v/>
      </c>
      <c r="B974" s="89">
        <v>17</v>
      </c>
      <c r="C974" s="89">
        <v>5</v>
      </c>
      <c r="D974" s="89" t="s">
        <v>210</v>
      </c>
      <c r="E974" s="89">
        <v>-6</v>
      </c>
      <c r="F974" s="89" t="s">
        <v>210</v>
      </c>
      <c r="G974" s="89" t="s">
        <v>210</v>
      </c>
      <c r="H974" s="89">
        <v>-4</v>
      </c>
      <c r="I974" s="89" t="s">
        <v>202</v>
      </c>
      <c r="J974" s="89" t="s">
        <v>210</v>
      </c>
      <c r="K974" s="89" t="s">
        <v>210</v>
      </c>
      <c r="L974" s="89">
        <v>3</v>
      </c>
      <c r="M974" s="89">
        <v>1</v>
      </c>
      <c r="N974" s="89" t="s">
        <v>210</v>
      </c>
      <c r="O974" s="89" t="s">
        <v>210</v>
      </c>
      <c r="P974" s="89">
        <v>-2</v>
      </c>
      <c r="Q974" s="89"/>
      <c r="R974" s="89"/>
      <c r="S974" s="89"/>
      <c r="T974" s="89"/>
      <c r="U974" s="89"/>
      <c r="V974" s="89"/>
      <c r="W974" s="89"/>
      <c r="X974" s="89"/>
      <c r="Y974" s="89"/>
      <c r="Z974" s="89"/>
      <c r="AA974" s="89"/>
      <c r="AB974" s="89"/>
      <c r="AC974" s="89"/>
      <c r="AD974" s="89"/>
      <c r="AE974" s="89"/>
      <c r="AF974" s="89"/>
      <c r="AG974" s="89"/>
      <c r="AH974" s="89"/>
      <c r="AI974" s="89"/>
      <c r="AJ974" s="89"/>
      <c r="AK974" s="89"/>
      <c r="AL974" s="89"/>
      <c r="AM974" s="89"/>
      <c r="AN974" s="89"/>
      <c r="AO974" s="89"/>
      <c r="AP974" s="89"/>
      <c r="AQ974" s="89"/>
      <c r="AR974" s="89"/>
      <c r="AS974" s="89"/>
      <c r="AT974" s="89"/>
      <c r="AU974" s="89"/>
      <c r="AV974" s="89"/>
      <c r="AW974" s="89"/>
      <c r="AX974" s="89"/>
      <c r="AY974" s="89"/>
      <c r="AZ974" s="89"/>
      <c r="BA974" s="95"/>
    </row>
    <row r="975" spans="1:53" s="87" customFormat="1">
      <c r="A975" s="374" t="str">
        <f t="shared" si="63"/>
        <v/>
      </c>
      <c r="B975" s="89">
        <v>18</v>
      </c>
      <c r="C975" s="89" t="s">
        <v>210</v>
      </c>
      <c r="D975" s="89">
        <v>-3</v>
      </c>
      <c r="E975" s="89">
        <v>4</v>
      </c>
      <c r="F975" s="89" t="s">
        <v>210</v>
      </c>
      <c r="G975" s="89" t="s">
        <v>210</v>
      </c>
      <c r="H975" s="89" t="s">
        <v>202</v>
      </c>
      <c r="I975" s="89">
        <v>1</v>
      </c>
      <c r="J975" s="89" t="s">
        <v>210</v>
      </c>
      <c r="K975" s="89" t="s">
        <v>210</v>
      </c>
      <c r="L975" s="89">
        <v>-5</v>
      </c>
      <c r="M975" s="89">
        <v>-6</v>
      </c>
      <c r="N975" s="89" t="s">
        <v>210</v>
      </c>
      <c r="O975" s="89" t="s">
        <v>210</v>
      </c>
      <c r="P975" s="89">
        <v>2</v>
      </c>
      <c r="Q975" s="89"/>
      <c r="R975" s="89"/>
      <c r="S975" s="89"/>
      <c r="T975" s="89"/>
      <c r="U975" s="89"/>
      <c r="V975" s="89"/>
      <c r="W975" s="89"/>
      <c r="X975" s="89"/>
      <c r="Y975" s="89"/>
      <c r="Z975" s="89"/>
      <c r="AA975" s="89"/>
      <c r="AB975" s="89"/>
      <c r="AC975" s="89"/>
      <c r="AD975" s="89"/>
      <c r="AE975" s="89"/>
      <c r="AF975" s="89"/>
      <c r="AG975" s="89"/>
      <c r="AH975" s="89"/>
      <c r="AI975" s="89"/>
      <c r="AJ975" s="89"/>
      <c r="AK975" s="89"/>
      <c r="AL975" s="89"/>
      <c r="AM975" s="89"/>
      <c r="AN975" s="89"/>
      <c r="AO975" s="89"/>
      <c r="AP975" s="89"/>
      <c r="AQ975" s="89"/>
      <c r="AR975" s="89"/>
      <c r="AS975" s="89"/>
      <c r="AT975" s="89"/>
      <c r="AU975" s="89"/>
      <c r="AV975" s="89"/>
      <c r="AW975" s="89"/>
      <c r="AX975" s="89"/>
      <c r="AY975" s="89"/>
      <c r="AZ975" s="89"/>
      <c r="BA975" s="95"/>
    </row>
    <row r="976" spans="1:53" s="87" customFormat="1">
      <c r="A976" s="374" t="str">
        <f t="shared" si="63"/>
        <v/>
      </c>
      <c r="B976" s="89">
        <v>19</v>
      </c>
      <c r="C976" s="89" t="s">
        <v>210</v>
      </c>
      <c r="D976" s="89" t="s">
        <v>202</v>
      </c>
      <c r="E976" s="89">
        <v>2</v>
      </c>
      <c r="F976" s="89" t="s">
        <v>210</v>
      </c>
      <c r="G976" s="89" t="s">
        <v>210</v>
      </c>
      <c r="H976" s="89">
        <v>-6</v>
      </c>
      <c r="I976" s="89">
        <v>3</v>
      </c>
      <c r="J976" s="89" t="s">
        <v>210</v>
      </c>
      <c r="K976" s="89" t="s">
        <v>210</v>
      </c>
      <c r="L976" s="89">
        <v>5</v>
      </c>
      <c r="M976" s="89">
        <v>-1</v>
      </c>
      <c r="N976" s="89" t="s">
        <v>210</v>
      </c>
      <c r="O976" s="89" t="s">
        <v>210</v>
      </c>
      <c r="P976" s="89">
        <v>-4</v>
      </c>
      <c r="Q976" s="89"/>
      <c r="R976" s="89"/>
      <c r="S976" s="89"/>
      <c r="T976" s="89"/>
      <c r="U976" s="89"/>
      <c r="V976" s="89"/>
      <c r="W976" s="89"/>
      <c r="X976" s="89"/>
      <c r="Y976" s="89"/>
      <c r="Z976" s="89"/>
      <c r="AA976" s="89"/>
      <c r="AB976" s="89"/>
      <c r="AC976" s="89"/>
      <c r="AD976" s="89"/>
      <c r="AE976" s="89"/>
      <c r="AF976" s="89"/>
      <c r="AG976" s="89"/>
      <c r="AH976" s="89"/>
      <c r="AI976" s="89"/>
      <c r="AJ976" s="89"/>
      <c r="AK976" s="89"/>
      <c r="AL976" s="89"/>
      <c r="AM976" s="89"/>
      <c r="AN976" s="89"/>
      <c r="AO976" s="89"/>
      <c r="AP976" s="89"/>
      <c r="AQ976" s="89"/>
      <c r="AR976" s="89"/>
      <c r="AS976" s="89"/>
      <c r="AT976" s="89"/>
      <c r="AU976" s="89"/>
      <c r="AV976" s="89"/>
      <c r="AW976" s="89"/>
      <c r="AX976" s="89"/>
      <c r="AY976" s="89"/>
      <c r="AZ976" s="89"/>
      <c r="BA976" s="95"/>
    </row>
    <row r="977" spans="1:53" s="87" customFormat="1">
      <c r="A977" s="374" t="str">
        <f t="shared" si="63"/>
        <v/>
      </c>
      <c r="B977" s="89">
        <v>20</v>
      </c>
      <c r="C977" s="89" t="s">
        <v>210</v>
      </c>
      <c r="D977" s="89">
        <v>3</v>
      </c>
      <c r="E977" s="89">
        <v>6</v>
      </c>
      <c r="F977" s="89" t="s">
        <v>210</v>
      </c>
      <c r="G977" s="89" t="s">
        <v>210</v>
      </c>
      <c r="H977" s="89">
        <v>-2</v>
      </c>
      <c r="I977" s="89">
        <v>-3</v>
      </c>
      <c r="J977" s="89" t="s">
        <v>210</v>
      </c>
      <c r="K977" s="89" t="s">
        <v>210</v>
      </c>
      <c r="L977" s="89">
        <v>1</v>
      </c>
      <c r="M977" s="89">
        <v>-5</v>
      </c>
      <c r="N977" s="89" t="s">
        <v>210</v>
      </c>
      <c r="O977" s="89" t="s">
        <v>210</v>
      </c>
      <c r="P977" s="89" t="s">
        <v>202</v>
      </c>
      <c r="Q977" s="89"/>
      <c r="R977" s="89"/>
      <c r="S977" s="89"/>
      <c r="T977" s="89"/>
      <c r="U977" s="89"/>
      <c r="V977" s="89"/>
      <c r="W977" s="89"/>
      <c r="X977" s="89"/>
      <c r="Y977" s="89"/>
      <c r="Z977" s="89"/>
      <c r="AA977" s="89"/>
      <c r="AB977" s="89"/>
      <c r="AC977" s="89"/>
      <c r="AD977" s="89"/>
      <c r="AE977" s="89"/>
      <c r="AF977" s="89"/>
      <c r="AG977" s="89"/>
      <c r="AH977" s="89"/>
      <c r="AI977" s="89"/>
      <c r="AJ977" s="89"/>
      <c r="AK977" s="89"/>
      <c r="AL977" s="89"/>
      <c r="AM977" s="89"/>
      <c r="AN977" s="89"/>
      <c r="AO977" s="89"/>
      <c r="AP977" s="89"/>
      <c r="AQ977" s="89"/>
      <c r="AR977" s="89"/>
      <c r="AS977" s="89"/>
      <c r="AT977" s="89"/>
      <c r="AU977" s="89"/>
      <c r="AV977" s="89"/>
      <c r="AW977" s="89"/>
      <c r="AX977" s="89"/>
      <c r="AY977" s="89"/>
      <c r="AZ977" s="89"/>
      <c r="BA977" s="95"/>
    </row>
    <row r="978" spans="1:53" s="87" customFormat="1">
      <c r="A978" s="374" t="str">
        <f t="shared" si="63"/>
        <v/>
      </c>
      <c r="B978" s="99">
        <v>21</v>
      </c>
      <c r="C978" s="92" t="s">
        <v>210</v>
      </c>
      <c r="D978" s="92">
        <v>-1</v>
      </c>
      <c r="E978" s="92" t="s">
        <v>202</v>
      </c>
      <c r="F978" s="92" t="s">
        <v>210</v>
      </c>
      <c r="G978" s="92" t="s">
        <v>210</v>
      </c>
      <c r="H978" s="92">
        <v>2</v>
      </c>
      <c r="I978" s="92">
        <v>-5</v>
      </c>
      <c r="J978" s="92" t="s">
        <v>210</v>
      </c>
      <c r="K978" s="92" t="s">
        <v>210</v>
      </c>
      <c r="L978" s="92">
        <v>-3</v>
      </c>
      <c r="M978" s="92">
        <v>6</v>
      </c>
      <c r="N978" s="92" t="s">
        <v>210</v>
      </c>
      <c r="O978" s="92" t="s">
        <v>210</v>
      </c>
      <c r="P978" s="92">
        <v>4</v>
      </c>
      <c r="Q978" s="89"/>
      <c r="R978" s="89"/>
      <c r="S978" s="89"/>
      <c r="T978" s="89"/>
      <c r="U978" s="89"/>
      <c r="V978" s="89"/>
      <c r="W978" s="89"/>
      <c r="X978" s="89"/>
      <c r="Y978" s="89"/>
      <c r="Z978" s="89"/>
      <c r="AA978" s="89"/>
      <c r="AB978" s="89"/>
      <c r="AC978" s="89"/>
      <c r="AD978" s="89"/>
      <c r="AE978" s="89"/>
      <c r="AF978" s="89"/>
      <c r="AG978" s="89"/>
      <c r="AH978" s="89"/>
      <c r="AI978" s="89"/>
      <c r="AJ978" s="89"/>
      <c r="AK978" s="89"/>
      <c r="AL978" s="89"/>
      <c r="AM978" s="89"/>
      <c r="AN978" s="89"/>
      <c r="AO978" s="89"/>
      <c r="AP978" s="89"/>
      <c r="AQ978" s="89"/>
      <c r="AR978" s="89"/>
      <c r="AS978" s="89"/>
      <c r="AT978" s="89"/>
      <c r="AU978" s="89"/>
      <c r="AV978" s="89"/>
      <c r="AW978" s="89"/>
      <c r="AX978" s="89"/>
      <c r="AY978" s="89"/>
      <c r="AZ978" s="89"/>
      <c r="BA978" s="95"/>
    </row>
    <row r="979" spans="1:53" s="87" customFormat="1">
      <c r="A979" s="374" t="str">
        <f t="shared" si="63"/>
        <v/>
      </c>
      <c r="B979" s="89">
        <v>22</v>
      </c>
      <c r="C979" s="89" t="s">
        <v>210</v>
      </c>
      <c r="D979" s="89">
        <v>-2</v>
      </c>
      <c r="E979" s="89">
        <v>1</v>
      </c>
      <c r="F979" s="89" t="s">
        <v>210</v>
      </c>
      <c r="G979" s="89" t="s">
        <v>210</v>
      </c>
      <c r="H979" s="89">
        <v>-5</v>
      </c>
      <c r="I979" s="89" t="s">
        <v>202</v>
      </c>
      <c r="J979" s="89" t="s">
        <v>210</v>
      </c>
      <c r="K979" s="89" t="s">
        <v>210</v>
      </c>
      <c r="L979" s="89">
        <v>2</v>
      </c>
      <c r="M979" s="89">
        <v>4</v>
      </c>
      <c r="N979" s="89" t="s">
        <v>210</v>
      </c>
      <c r="O979" s="89">
        <v>-6</v>
      </c>
      <c r="P979" s="89" t="s">
        <v>210</v>
      </c>
      <c r="Q979" s="89"/>
      <c r="R979" s="89"/>
      <c r="S979" s="89"/>
      <c r="T979" s="89"/>
      <c r="U979" s="89"/>
      <c r="V979" s="89"/>
      <c r="W979" s="89"/>
      <c r="X979" s="89"/>
      <c r="Y979" s="89"/>
      <c r="Z979" s="89"/>
      <c r="AA979" s="89"/>
      <c r="AB979" s="89"/>
      <c r="AC979" s="89"/>
      <c r="AD979" s="89"/>
      <c r="AE979" s="89"/>
      <c r="AF979" s="89"/>
      <c r="AG979" s="89"/>
      <c r="AH979" s="89"/>
      <c r="AI979" s="89"/>
      <c r="AJ979" s="89"/>
      <c r="AK979" s="89"/>
      <c r="AL979" s="89"/>
      <c r="AM979" s="89"/>
      <c r="AN979" s="89"/>
      <c r="AO979" s="89"/>
      <c r="AP979" s="89"/>
      <c r="AQ979" s="89"/>
      <c r="AR979" s="89"/>
      <c r="AS979" s="89"/>
      <c r="AT979" s="89"/>
      <c r="AU979" s="89"/>
      <c r="AV979" s="89"/>
      <c r="AW979" s="89"/>
      <c r="AX979" s="89"/>
      <c r="AY979" s="89"/>
      <c r="AZ979" s="89"/>
      <c r="BA979" s="95"/>
    </row>
    <row r="980" spans="1:53" s="87" customFormat="1">
      <c r="A980" s="374" t="str">
        <f t="shared" si="63"/>
        <v/>
      </c>
      <c r="B980" s="89">
        <v>23</v>
      </c>
      <c r="C980" s="89" t="s">
        <v>210</v>
      </c>
      <c r="D980" s="89">
        <v>-4</v>
      </c>
      <c r="E980" s="89">
        <v>-3</v>
      </c>
      <c r="F980" s="89" t="s">
        <v>210</v>
      </c>
      <c r="G980" s="89" t="s">
        <v>210</v>
      </c>
      <c r="H980" s="89">
        <v>1</v>
      </c>
      <c r="I980" s="89">
        <v>-2</v>
      </c>
      <c r="J980" s="89" t="s">
        <v>210</v>
      </c>
      <c r="K980" s="89" t="s">
        <v>210</v>
      </c>
      <c r="L980" s="89">
        <v>4</v>
      </c>
      <c r="M980" s="89" t="s">
        <v>202</v>
      </c>
      <c r="N980" s="89" t="s">
        <v>210</v>
      </c>
      <c r="O980" s="89">
        <v>6</v>
      </c>
      <c r="P980" s="89" t="s">
        <v>210</v>
      </c>
      <c r="Q980" s="89"/>
      <c r="R980" s="89"/>
      <c r="S980" s="89"/>
      <c r="T980" s="89"/>
      <c r="U980" s="89"/>
      <c r="V980" s="89"/>
      <c r="W980" s="89"/>
      <c r="X980" s="89"/>
      <c r="Y980" s="89"/>
      <c r="Z980" s="89"/>
      <c r="AA980" s="89"/>
      <c r="AB980" s="89"/>
      <c r="AC980" s="89"/>
      <c r="AD980" s="89"/>
      <c r="AE980" s="89"/>
      <c r="AF980" s="89"/>
      <c r="AG980" s="89"/>
      <c r="AH980" s="89"/>
      <c r="AI980" s="89"/>
      <c r="AJ980" s="89"/>
      <c r="AK980" s="89"/>
      <c r="AL980" s="89"/>
      <c r="AM980" s="89"/>
      <c r="AN980" s="89"/>
      <c r="AO980" s="89"/>
      <c r="AP980" s="89"/>
      <c r="AQ980" s="89"/>
      <c r="AR980" s="89"/>
      <c r="AS980" s="89"/>
      <c r="AT980" s="89"/>
      <c r="AU980" s="89"/>
      <c r="AV980" s="89"/>
      <c r="AW980" s="89"/>
      <c r="AX980" s="89"/>
      <c r="AY980" s="89"/>
      <c r="AZ980" s="89"/>
      <c r="BA980" s="95"/>
    </row>
    <row r="981" spans="1:53" s="87" customFormat="1">
      <c r="A981" s="374" t="str">
        <f t="shared" si="63"/>
        <v/>
      </c>
      <c r="B981" s="89">
        <v>24</v>
      </c>
      <c r="C981" s="89" t="s">
        <v>210</v>
      </c>
      <c r="D981" s="89">
        <v>4</v>
      </c>
      <c r="E981" s="89">
        <v>-5</v>
      </c>
      <c r="F981" s="89" t="s">
        <v>210</v>
      </c>
      <c r="G981" s="89" t="s">
        <v>210</v>
      </c>
      <c r="H981" s="89" t="s">
        <v>202</v>
      </c>
      <c r="I981" s="89">
        <v>6</v>
      </c>
      <c r="J981" s="89" t="s">
        <v>210</v>
      </c>
      <c r="K981" s="89" t="s">
        <v>210</v>
      </c>
      <c r="L981" s="89">
        <v>-2</v>
      </c>
      <c r="M981" s="89">
        <v>3</v>
      </c>
      <c r="N981" s="89" t="s">
        <v>210</v>
      </c>
      <c r="O981" s="89" t="s">
        <v>210</v>
      </c>
      <c r="P981" s="89">
        <v>-1</v>
      </c>
      <c r="Q981" s="89"/>
      <c r="R981" s="89"/>
      <c r="S981" s="89"/>
      <c r="T981" s="89"/>
      <c r="U981" s="89"/>
      <c r="V981" s="89"/>
      <c r="W981" s="89"/>
      <c r="X981" s="89"/>
      <c r="Y981" s="89"/>
      <c r="Z981" s="89"/>
      <c r="AA981" s="89"/>
      <c r="AB981" s="89"/>
      <c r="AC981" s="89"/>
      <c r="AD981" s="89"/>
      <c r="AE981" s="89"/>
      <c r="AF981" s="89"/>
      <c r="AG981" s="89"/>
      <c r="AH981" s="89"/>
      <c r="AI981" s="89"/>
      <c r="AJ981" s="89"/>
      <c r="AK981" s="89"/>
      <c r="AL981" s="89"/>
      <c r="AM981" s="89"/>
      <c r="AN981" s="89"/>
      <c r="AO981" s="89"/>
      <c r="AP981" s="89"/>
      <c r="AQ981" s="89"/>
      <c r="AR981" s="89"/>
      <c r="AS981" s="89"/>
      <c r="AT981" s="89"/>
      <c r="AU981" s="89"/>
      <c r="AV981" s="89"/>
      <c r="AW981" s="89"/>
      <c r="AX981" s="89"/>
      <c r="AY981" s="89"/>
      <c r="AZ981" s="89"/>
      <c r="BA981" s="95"/>
    </row>
    <row r="982" spans="1:53" s="87" customFormat="1">
      <c r="A982" s="374" t="str">
        <f t="shared" si="63"/>
        <v/>
      </c>
      <c r="B982" s="89">
        <v>25</v>
      </c>
      <c r="C982" s="89" t="s">
        <v>210</v>
      </c>
      <c r="D982" s="89">
        <v>-6</v>
      </c>
      <c r="E982" s="89">
        <v>3</v>
      </c>
      <c r="F982" s="89" t="s">
        <v>210</v>
      </c>
      <c r="G982" s="89" t="s">
        <v>210</v>
      </c>
      <c r="H982" s="89">
        <v>5</v>
      </c>
      <c r="I982" s="89">
        <v>-4</v>
      </c>
      <c r="J982" s="89" t="s">
        <v>210</v>
      </c>
      <c r="K982" s="89" t="s">
        <v>210</v>
      </c>
      <c r="L982" s="89" t="s">
        <v>202</v>
      </c>
      <c r="M982" s="89">
        <v>-2</v>
      </c>
      <c r="N982" s="89" t="s">
        <v>210</v>
      </c>
      <c r="O982" s="89" t="s">
        <v>210</v>
      </c>
      <c r="P982" s="89">
        <v>1</v>
      </c>
      <c r="Q982" s="89"/>
      <c r="R982" s="89"/>
      <c r="S982" s="89"/>
      <c r="T982" s="89"/>
      <c r="U982" s="89"/>
      <c r="V982" s="89"/>
      <c r="W982" s="89"/>
      <c r="X982" s="89"/>
      <c r="Y982" s="89"/>
      <c r="Z982" s="89"/>
      <c r="AA982" s="89"/>
      <c r="AB982" s="89"/>
      <c r="AC982" s="89"/>
      <c r="AD982" s="89"/>
      <c r="AE982" s="89"/>
      <c r="AF982" s="89"/>
      <c r="AG982" s="89"/>
      <c r="AH982" s="89"/>
      <c r="AI982" s="89"/>
      <c r="AJ982" s="89"/>
      <c r="AK982" s="89"/>
      <c r="AL982" s="89"/>
      <c r="AM982" s="89"/>
      <c r="AN982" s="89"/>
      <c r="AO982" s="89"/>
      <c r="AP982" s="89"/>
      <c r="AQ982" s="89"/>
      <c r="AR982" s="89"/>
      <c r="AS982" s="89"/>
      <c r="AT982" s="89"/>
      <c r="AU982" s="89"/>
      <c r="AV982" s="89"/>
      <c r="AW982" s="89"/>
      <c r="AX982" s="89"/>
      <c r="AY982" s="89"/>
      <c r="AZ982" s="89"/>
      <c r="BA982" s="95"/>
    </row>
    <row r="983" spans="1:53" s="87" customFormat="1">
      <c r="A983" s="374" t="str">
        <f t="shared" si="63"/>
        <v/>
      </c>
      <c r="B983" s="89">
        <v>26</v>
      </c>
      <c r="C983" s="89" t="s">
        <v>210</v>
      </c>
      <c r="D983" s="89" t="s">
        <v>202</v>
      </c>
      <c r="E983" s="89">
        <v>-1</v>
      </c>
      <c r="F983" s="89" t="s">
        <v>210</v>
      </c>
      <c r="G983" s="89" t="s">
        <v>210</v>
      </c>
      <c r="H983" s="89">
        <v>3</v>
      </c>
      <c r="I983" s="89">
        <v>-6</v>
      </c>
      <c r="J983" s="89" t="s">
        <v>210</v>
      </c>
      <c r="K983" s="89" t="s">
        <v>210</v>
      </c>
      <c r="L983" s="89">
        <v>-4</v>
      </c>
      <c r="M983" s="89">
        <v>2</v>
      </c>
      <c r="N983" s="89" t="s">
        <v>210</v>
      </c>
      <c r="O983" s="89" t="s">
        <v>210</v>
      </c>
      <c r="P983" s="89">
        <v>5</v>
      </c>
      <c r="Q983" s="89"/>
      <c r="R983" s="89"/>
      <c r="S983" s="89"/>
      <c r="T983" s="89"/>
      <c r="U983" s="89"/>
      <c r="V983" s="89"/>
      <c r="W983" s="89"/>
      <c r="X983" s="89"/>
      <c r="Y983" s="89"/>
      <c r="Z983" s="89"/>
      <c r="AA983" s="89"/>
      <c r="AB983" s="89"/>
      <c r="AC983" s="89"/>
      <c r="AD983" s="89"/>
      <c r="AE983" s="89"/>
      <c r="AF983" s="89"/>
      <c r="AG983" s="89"/>
      <c r="AH983" s="89"/>
      <c r="AI983" s="89"/>
      <c r="AJ983" s="89"/>
      <c r="AK983" s="89"/>
      <c r="AL983" s="89"/>
      <c r="AM983" s="89"/>
      <c r="AN983" s="89"/>
      <c r="AO983" s="89"/>
      <c r="AP983" s="89"/>
      <c r="AQ983" s="89"/>
      <c r="AR983" s="89"/>
      <c r="AS983" s="89"/>
      <c r="AT983" s="89"/>
      <c r="AU983" s="89"/>
      <c r="AV983" s="89"/>
      <c r="AW983" s="89"/>
      <c r="AX983" s="89"/>
      <c r="AY983" s="89"/>
      <c r="AZ983" s="89"/>
      <c r="BA983" s="95"/>
    </row>
    <row r="984" spans="1:53" s="87" customFormat="1">
      <c r="A984" s="374" t="str">
        <f t="shared" si="63"/>
        <v/>
      </c>
      <c r="B984" s="89">
        <v>27</v>
      </c>
      <c r="C984" s="89" t="s">
        <v>210</v>
      </c>
      <c r="D984" s="89">
        <v>6</v>
      </c>
      <c r="E984" s="89">
        <v>5</v>
      </c>
      <c r="F984" s="89" t="s">
        <v>210</v>
      </c>
      <c r="G984" s="89" t="s">
        <v>210</v>
      </c>
      <c r="H984" s="89">
        <v>-3</v>
      </c>
      <c r="I984" s="89">
        <v>2</v>
      </c>
      <c r="J984" s="89" t="s">
        <v>210</v>
      </c>
      <c r="K984" s="89" t="s">
        <v>210</v>
      </c>
      <c r="L984" s="89">
        <v>-6</v>
      </c>
      <c r="M984" s="89">
        <v>-4</v>
      </c>
      <c r="N984" s="89" t="s">
        <v>210</v>
      </c>
      <c r="O984" s="89" t="s">
        <v>210</v>
      </c>
      <c r="P984" s="89" t="s">
        <v>202</v>
      </c>
      <c r="Q984" s="89"/>
      <c r="R984" s="89"/>
      <c r="S984" s="89"/>
      <c r="T984" s="89"/>
      <c r="U984" s="89"/>
      <c r="V984" s="89"/>
      <c r="W984" s="89"/>
      <c r="X984" s="89"/>
      <c r="Y984" s="89"/>
      <c r="Z984" s="89"/>
      <c r="AA984" s="89"/>
      <c r="AB984" s="89"/>
      <c r="AC984" s="89"/>
      <c r="AD984" s="89"/>
      <c r="AE984" s="89"/>
      <c r="AF984" s="89"/>
      <c r="AG984" s="89"/>
      <c r="AH984" s="89"/>
      <c r="AI984" s="89"/>
      <c r="AJ984" s="89"/>
      <c r="AK984" s="89"/>
      <c r="AL984" s="89"/>
      <c r="AM984" s="89"/>
      <c r="AN984" s="89"/>
      <c r="AO984" s="89"/>
      <c r="AP984" s="89"/>
      <c r="AQ984" s="89"/>
      <c r="AR984" s="89"/>
      <c r="AS984" s="89"/>
      <c r="AT984" s="89"/>
      <c r="AU984" s="89"/>
      <c r="AV984" s="89"/>
      <c r="AW984" s="89"/>
      <c r="AX984" s="89"/>
      <c r="AY984" s="89"/>
      <c r="AZ984" s="89"/>
      <c r="BA984" s="95"/>
    </row>
    <row r="985" spans="1:53" s="87" customFormat="1">
      <c r="A985" s="374" t="str">
        <f t="shared" si="63"/>
        <v/>
      </c>
      <c r="B985" s="89">
        <v>28</v>
      </c>
      <c r="C985" s="89" t="s">
        <v>210</v>
      </c>
      <c r="D985" s="89">
        <v>2</v>
      </c>
      <c r="E985" s="89" t="s">
        <v>202</v>
      </c>
      <c r="F985" s="89" t="s">
        <v>210</v>
      </c>
      <c r="G985" s="89" t="s">
        <v>210</v>
      </c>
      <c r="H985" s="89">
        <v>-1</v>
      </c>
      <c r="I985" s="89">
        <v>4</v>
      </c>
      <c r="J985" s="89" t="s">
        <v>210</v>
      </c>
      <c r="K985" s="89" t="s">
        <v>210</v>
      </c>
      <c r="L985" s="89">
        <v>6</v>
      </c>
      <c r="M985" s="89">
        <v>-3</v>
      </c>
      <c r="N985" s="89" t="s">
        <v>210</v>
      </c>
      <c r="O985" s="89" t="s">
        <v>210</v>
      </c>
      <c r="P985" s="89">
        <v>-5</v>
      </c>
      <c r="Q985" s="89"/>
      <c r="R985" s="89"/>
      <c r="S985" s="89"/>
      <c r="T985" s="89"/>
      <c r="U985" s="89"/>
      <c r="V985" s="89"/>
      <c r="W985" s="89"/>
      <c r="X985" s="89"/>
      <c r="Y985" s="89"/>
      <c r="Z985" s="89"/>
      <c r="AA985" s="89"/>
      <c r="AB985" s="89"/>
      <c r="AC985" s="89"/>
      <c r="AD985" s="89"/>
      <c r="AE985" s="89"/>
      <c r="AF985" s="89"/>
      <c r="AG985" s="89"/>
      <c r="AH985" s="89"/>
      <c r="AI985" s="89"/>
      <c r="AJ985" s="89"/>
      <c r="AK985" s="89"/>
      <c r="AL985" s="89"/>
      <c r="AM985" s="89"/>
      <c r="AN985" s="89"/>
      <c r="AO985" s="89"/>
      <c r="AP985" s="89"/>
      <c r="AQ985" s="89"/>
      <c r="AR985" s="89"/>
      <c r="AS985" s="89"/>
      <c r="AT985" s="89"/>
      <c r="AU985" s="89"/>
      <c r="AV985" s="89"/>
      <c r="AW985" s="89"/>
      <c r="AX985" s="89"/>
      <c r="AY985" s="89"/>
      <c r="AZ985" s="89"/>
      <c r="BA985" s="95"/>
    </row>
    <row r="986" spans="1:53" s="87" customFormat="1">
      <c r="A986" s="374" t="str">
        <f t="shared" si="63"/>
        <v/>
      </c>
      <c r="B986" s="89" t="s">
        <v>403</v>
      </c>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c r="AA986" s="89"/>
      <c r="AB986" s="89"/>
      <c r="AC986" s="89"/>
      <c r="AD986" s="89"/>
      <c r="AE986" s="89"/>
      <c r="AF986" s="89"/>
      <c r="AG986" s="89"/>
      <c r="AH986" s="89"/>
      <c r="AI986" s="89"/>
      <c r="AJ986" s="89"/>
      <c r="AK986" s="89"/>
      <c r="AL986" s="89"/>
      <c r="AM986" s="89"/>
      <c r="AN986" s="89"/>
      <c r="AO986" s="89"/>
      <c r="AP986" s="89"/>
      <c r="AQ986" s="89"/>
      <c r="AR986" s="89"/>
      <c r="AS986" s="89"/>
      <c r="AT986" s="89"/>
      <c r="AU986" s="89"/>
      <c r="AV986" s="89"/>
      <c r="AW986" s="89"/>
      <c r="AX986" s="89"/>
      <c r="AY986" s="89"/>
      <c r="AZ986" s="89"/>
      <c r="BA986" s="95"/>
    </row>
    <row r="987" spans="1:53" s="87" customFormat="1">
      <c r="A987" s="374">
        <f t="shared" si="63"/>
        <v>987</v>
      </c>
      <c r="B987" s="89" t="s">
        <v>404</v>
      </c>
      <c r="C987" s="89"/>
      <c r="D987" s="89"/>
      <c r="E987" s="89"/>
      <c r="F987" s="89"/>
      <c r="G987" s="89"/>
      <c r="H987" s="89"/>
      <c r="I987" s="89"/>
      <c r="J987" s="89"/>
      <c r="K987" s="89"/>
      <c r="L987" s="89"/>
      <c r="M987" s="89"/>
      <c r="N987" s="89"/>
      <c r="O987" s="89"/>
      <c r="P987" s="89"/>
      <c r="Q987" s="89"/>
      <c r="R987" s="89"/>
      <c r="S987" s="89"/>
      <c r="T987" s="89"/>
      <c r="U987" s="89"/>
      <c r="V987" s="89"/>
      <c r="W987" s="89"/>
      <c r="X987" s="89"/>
      <c r="Y987" s="89"/>
      <c r="Z987" s="89"/>
      <c r="AA987" s="89"/>
      <c r="AB987" s="89"/>
      <c r="AC987" s="89"/>
      <c r="AD987" s="89"/>
      <c r="AE987" s="89"/>
      <c r="AF987" s="89"/>
      <c r="AG987" s="89"/>
      <c r="AH987" s="89"/>
      <c r="AI987" s="89"/>
      <c r="AJ987" s="89"/>
      <c r="AK987" s="89"/>
      <c r="AL987" s="89"/>
      <c r="AM987" s="89"/>
      <c r="AN987" s="89"/>
      <c r="AO987" s="89"/>
      <c r="AP987" s="89"/>
      <c r="AQ987" s="89"/>
      <c r="AR987" s="89"/>
      <c r="AS987" s="89"/>
      <c r="AT987" s="89"/>
      <c r="AU987" s="89"/>
      <c r="AV987" s="89"/>
      <c r="AW987" s="89"/>
      <c r="AX987" s="89"/>
      <c r="AY987" s="89"/>
      <c r="AZ987" s="89"/>
      <c r="BA987" s="95"/>
    </row>
    <row r="988" spans="1:53" s="87" customFormat="1">
      <c r="A988" s="374" t="str">
        <f t="shared" si="63"/>
        <v/>
      </c>
      <c r="B988" s="89">
        <v>1</v>
      </c>
      <c r="C988" s="89">
        <v>2</v>
      </c>
      <c r="D988" s="89" t="s">
        <v>210</v>
      </c>
      <c r="E988" s="89" t="s">
        <v>202</v>
      </c>
      <c r="F988" s="89" t="s">
        <v>210</v>
      </c>
      <c r="G988" s="89">
        <v>1</v>
      </c>
      <c r="H988" s="89" t="s">
        <v>210</v>
      </c>
      <c r="I988" s="89" t="s">
        <v>210</v>
      </c>
      <c r="J988" s="89">
        <v>-5</v>
      </c>
      <c r="K988" s="89">
        <v>-3</v>
      </c>
      <c r="L988" s="89" t="s">
        <v>210</v>
      </c>
      <c r="M988" s="89"/>
      <c r="N988" s="89"/>
      <c r="O988" s="89"/>
      <c r="P988" s="89"/>
      <c r="Q988" s="89"/>
      <c r="R988" s="89"/>
      <c r="S988" s="89"/>
      <c r="T988" s="89"/>
      <c r="U988" s="89"/>
      <c r="V988" s="89"/>
      <c r="W988" s="89"/>
      <c r="X988" s="89"/>
      <c r="Y988" s="89"/>
      <c r="Z988" s="89"/>
      <c r="AA988" s="89"/>
      <c r="AB988" s="89"/>
      <c r="AC988" s="89"/>
      <c r="AD988" s="89"/>
      <c r="AE988" s="89"/>
      <c r="AF988" s="89"/>
      <c r="AG988" s="89"/>
      <c r="AH988" s="89"/>
      <c r="AI988" s="89"/>
      <c r="AJ988" s="89"/>
      <c r="AK988" s="89"/>
      <c r="AL988" s="89"/>
      <c r="AM988" s="89"/>
      <c r="AN988" s="89"/>
      <c r="AO988" s="89"/>
      <c r="AP988" s="89"/>
      <c r="AQ988" s="89"/>
      <c r="AR988" s="89"/>
      <c r="AS988" s="89"/>
      <c r="AT988" s="89"/>
      <c r="AU988" s="89"/>
      <c r="AV988" s="89"/>
      <c r="AW988" s="89"/>
      <c r="AX988" s="89"/>
      <c r="AY988" s="89"/>
      <c r="AZ988" s="89"/>
      <c r="BA988" s="95"/>
    </row>
    <row r="989" spans="1:53" s="87" customFormat="1">
      <c r="A989" s="374" t="str">
        <f t="shared" si="63"/>
        <v/>
      </c>
      <c r="B989" s="89">
        <v>2</v>
      </c>
      <c r="C989" s="89" t="s">
        <v>202</v>
      </c>
      <c r="D989" s="89" t="s">
        <v>210</v>
      </c>
      <c r="E989" s="89" t="s">
        <v>210</v>
      </c>
      <c r="F989" s="89">
        <v>-2</v>
      </c>
      <c r="G989" s="89">
        <v>-4</v>
      </c>
      <c r="H989" s="89" t="s">
        <v>210</v>
      </c>
      <c r="I989" s="89" t="s">
        <v>210</v>
      </c>
      <c r="J989" s="89">
        <v>1</v>
      </c>
      <c r="K989" s="89">
        <v>3</v>
      </c>
      <c r="L989" s="89" t="s">
        <v>210</v>
      </c>
      <c r="M989" s="89"/>
      <c r="N989" s="89"/>
      <c r="O989" s="89"/>
      <c r="P989" s="89"/>
      <c r="Q989" s="89"/>
      <c r="R989" s="89"/>
      <c r="S989" s="89"/>
      <c r="T989" s="89"/>
      <c r="U989" s="89"/>
      <c r="V989" s="89"/>
      <c r="W989" s="89"/>
      <c r="X989" s="89"/>
      <c r="Y989" s="89"/>
      <c r="Z989" s="89"/>
      <c r="AA989" s="89"/>
      <c r="AB989" s="89"/>
      <c r="AC989" s="89"/>
      <c r="AD989" s="89"/>
      <c r="AE989" s="89"/>
      <c r="AF989" s="89"/>
      <c r="AG989" s="89"/>
      <c r="AH989" s="89"/>
      <c r="AI989" s="89"/>
      <c r="AJ989" s="89"/>
      <c r="AK989" s="89"/>
      <c r="AL989" s="89"/>
      <c r="AM989" s="89"/>
      <c r="AN989" s="89"/>
      <c r="AO989" s="89"/>
      <c r="AP989" s="89"/>
      <c r="AQ989" s="89"/>
      <c r="AR989" s="89"/>
      <c r="AS989" s="89"/>
      <c r="AT989" s="89"/>
      <c r="AU989" s="89"/>
      <c r="AV989" s="89"/>
      <c r="AW989" s="89"/>
      <c r="AX989" s="89"/>
      <c r="AY989" s="89"/>
      <c r="AZ989" s="89"/>
      <c r="BA989" s="95"/>
    </row>
    <row r="990" spans="1:53" s="87" customFormat="1">
      <c r="A990" s="374" t="str">
        <f t="shared" si="63"/>
        <v/>
      </c>
      <c r="B990" s="89">
        <v>3</v>
      </c>
      <c r="C990" s="89">
        <v>6</v>
      </c>
      <c r="D990" s="89" t="s">
        <v>210</v>
      </c>
      <c r="E990" s="89" t="s">
        <v>210</v>
      </c>
      <c r="F990" s="89">
        <v>2</v>
      </c>
      <c r="G990" s="89">
        <v>-1</v>
      </c>
      <c r="H990" s="89" t="s">
        <v>210</v>
      </c>
      <c r="I990" s="89" t="s">
        <v>202</v>
      </c>
      <c r="J990" s="89" t="s">
        <v>210</v>
      </c>
      <c r="K990" s="89">
        <v>-4</v>
      </c>
      <c r="L990" s="89" t="s">
        <v>210</v>
      </c>
      <c r="M990" s="89"/>
      <c r="N990" s="89"/>
      <c r="O990" s="89"/>
      <c r="P990" s="89"/>
      <c r="Q990" s="89"/>
      <c r="R990" s="89"/>
      <c r="S990" s="89"/>
      <c r="T990" s="89"/>
      <c r="U990" s="89"/>
      <c r="V990" s="89"/>
      <c r="W990" s="89"/>
      <c r="X990" s="89"/>
      <c r="Y990" s="89"/>
      <c r="Z990" s="89"/>
      <c r="AA990" s="89"/>
      <c r="AB990" s="89"/>
      <c r="AC990" s="89"/>
      <c r="AD990" s="89"/>
      <c r="AE990" s="89"/>
      <c r="AF990" s="89"/>
      <c r="AG990" s="89"/>
      <c r="AH990" s="89"/>
      <c r="AI990" s="89"/>
      <c r="AJ990" s="89"/>
      <c r="AK990" s="89"/>
      <c r="AL990" s="89"/>
      <c r="AM990" s="89"/>
      <c r="AN990" s="89"/>
      <c r="AO990" s="89"/>
      <c r="AP990" s="89"/>
      <c r="AQ990" s="89"/>
      <c r="AR990" s="89"/>
      <c r="AS990" s="89"/>
      <c r="AT990" s="89"/>
      <c r="AU990" s="89"/>
      <c r="AV990" s="89"/>
      <c r="AW990" s="89"/>
      <c r="AX990" s="89"/>
      <c r="AY990" s="89"/>
      <c r="AZ990" s="89"/>
      <c r="BA990" s="95"/>
    </row>
    <row r="991" spans="1:53" s="87" customFormat="1">
      <c r="A991" s="374" t="str">
        <f t="shared" si="63"/>
        <v/>
      </c>
      <c r="B991" s="89">
        <v>4</v>
      </c>
      <c r="C991" s="89">
        <v>-2</v>
      </c>
      <c r="D991" s="89" t="s">
        <v>210</v>
      </c>
      <c r="E991" s="89" t="s">
        <v>210</v>
      </c>
      <c r="F991" s="89">
        <v>3</v>
      </c>
      <c r="G991" s="89" t="s">
        <v>202</v>
      </c>
      <c r="H991" s="89" t="s">
        <v>210</v>
      </c>
      <c r="I991" s="89" t="s">
        <v>210</v>
      </c>
      <c r="J991" s="89">
        <v>-1</v>
      </c>
      <c r="K991" s="89">
        <v>4</v>
      </c>
      <c r="L991" s="89" t="s">
        <v>210</v>
      </c>
      <c r="M991" s="89"/>
      <c r="N991" s="89"/>
      <c r="O991" s="89"/>
      <c r="P991" s="89"/>
      <c r="Q991" s="89"/>
      <c r="R991" s="89"/>
      <c r="S991" s="89"/>
      <c r="T991" s="89"/>
      <c r="U991" s="89"/>
      <c r="V991" s="89"/>
      <c r="W991" s="89"/>
      <c r="X991" s="89"/>
      <c r="Y991" s="89"/>
      <c r="Z991" s="89"/>
      <c r="AA991" s="89"/>
      <c r="AB991" s="89"/>
      <c r="AC991" s="89"/>
      <c r="AD991" s="89"/>
      <c r="AE991" s="89"/>
      <c r="AF991" s="89"/>
      <c r="AG991" s="89"/>
      <c r="AH991" s="89"/>
      <c r="AI991" s="89"/>
      <c r="AJ991" s="89"/>
      <c r="AK991" s="89"/>
      <c r="AL991" s="89"/>
      <c r="AM991" s="89"/>
      <c r="AN991" s="89"/>
      <c r="AO991" s="89"/>
      <c r="AP991" s="89"/>
      <c r="AQ991" s="89"/>
      <c r="AR991" s="89"/>
      <c r="AS991" s="89"/>
      <c r="AT991" s="89"/>
      <c r="AU991" s="89"/>
      <c r="AV991" s="89"/>
      <c r="AW991" s="89"/>
      <c r="AX991" s="89"/>
      <c r="AY991" s="89"/>
      <c r="AZ991" s="89"/>
      <c r="BA991" s="95"/>
    </row>
    <row r="992" spans="1:53" s="87" customFormat="1">
      <c r="A992" s="374" t="str">
        <f t="shared" si="63"/>
        <v/>
      </c>
      <c r="B992" s="99">
        <v>5</v>
      </c>
      <c r="C992" s="92">
        <v>-6</v>
      </c>
      <c r="D992" s="92" t="s">
        <v>210</v>
      </c>
      <c r="E992" s="92" t="s">
        <v>210</v>
      </c>
      <c r="F992" s="92">
        <v>-3</v>
      </c>
      <c r="G992" s="92">
        <v>4</v>
      </c>
      <c r="H992" s="92" t="s">
        <v>210</v>
      </c>
      <c r="I992" s="92" t="s">
        <v>210</v>
      </c>
      <c r="J992" s="92">
        <v>5</v>
      </c>
      <c r="K992" s="92" t="s">
        <v>202</v>
      </c>
      <c r="L992" s="92" t="s">
        <v>210</v>
      </c>
      <c r="M992" s="89"/>
      <c r="N992" s="89"/>
      <c r="O992" s="89"/>
      <c r="P992" s="89"/>
      <c r="Q992" s="89"/>
      <c r="R992" s="89"/>
      <c r="S992" s="89"/>
      <c r="T992" s="89"/>
      <c r="U992" s="89"/>
      <c r="V992" s="89"/>
      <c r="W992" s="89"/>
      <c r="X992" s="89"/>
      <c r="Y992" s="89"/>
      <c r="Z992" s="89"/>
      <c r="AA992" s="89"/>
      <c r="AB992" s="89"/>
      <c r="AC992" s="89"/>
      <c r="AD992" s="89"/>
      <c r="AE992" s="89"/>
      <c r="AF992" s="89"/>
      <c r="AG992" s="89"/>
      <c r="AH992" s="89"/>
      <c r="AI992" s="89"/>
      <c r="AJ992" s="89"/>
      <c r="AK992" s="89"/>
      <c r="AL992" s="89"/>
      <c r="AM992" s="89"/>
      <c r="AN992" s="89"/>
      <c r="AO992" s="89"/>
      <c r="AP992" s="89"/>
      <c r="AQ992" s="89"/>
      <c r="AR992" s="89"/>
      <c r="AS992" s="89"/>
      <c r="AT992" s="89"/>
      <c r="AU992" s="89"/>
      <c r="AV992" s="89"/>
      <c r="AW992" s="89"/>
      <c r="AX992" s="89"/>
      <c r="AY992" s="89"/>
      <c r="AZ992" s="89"/>
      <c r="BA992" s="95"/>
    </row>
    <row r="993" spans="1:53" s="87" customFormat="1">
      <c r="A993" s="374" t="str">
        <f t="shared" si="63"/>
        <v/>
      </c>
      <c r="B993" s="89">
        <v>6</v>
      </c>
      <c r="C993" s="89">
        <v>4</v>
      </c>
      <c r="D993" s="89" t="s">
        <v>210</v>
      </c>
      <c r="E993" s="89" t="s">
        <v>210</v>
      </c>
      <c r="F993" s="89">
        <v>5</v>
      </c>
      <c r="G993" s="89">
        <v>-6</v>
      </c>
      <c r="H993" s="89" t="s">
        <v>210</v>
      </c>
      <c r="I993" s="89" t="s">
        <v>202</v>
      </c>
      <c r="J993" s="89" t="s">
        <v>210</v>
      </c>
      <c r="K993" s="89">
        <v>-2</v>
      </c>
      <c r="L993" s="89" t="s">
        <v>210</v>
      </c>
      <c r="M993" s="89"/>
      <c r="N993" s="89"/>
      <c r="O993" s="89"/>
      <c r="P993" s="89"/>
      <c r="Q993" s="89"/>
      <c r="R993" s="89"/>
      <c r="S993" s="89"/>
      <c r="T993" s="89"/>
      <c r="U993" s="89"/>
      <c r="V993" s="89"/>
      <c r="W993" s="89"/>
      <c r="X993" s="89"/>
      <c r="Y993" s="89"/>
      <c r="Z993" s="89"/>
      <c r="AA993" s="89"/>
      <c r="AB993" s="89"/>
      <c r="AC993" s="89"/>
      <c r="AD993" s="89"/>
      <c r="AE993" s="89"/>
      <c r="AF993" s="89"/>
      <c r="AG993" s="89"/>
      <c r="AH993" s="89"/>
      <c r="AI993" s="89"/>
      <c r="AJ993" s="89"/>
      <c r="AK993" s="89"/>
      <c r="AL993" s="89"/>
      <c r="AM993" s="89"/>
      <c r="AN993" s="89"/>
      <c r="AO993" s="89"/>
      <c r="AP993" s="89"/>
      <c r="AQ993" s="89"/>
      <c r="AR993" s="89"/>
      <c r="AS993" s="89"/>
      <c r="AT993" s="89"/>
      <c r="AU993" s="89"/>
      <c r="AV993" s="89"/>
      <c r="AW993" s="89"/>
      <c r="AX993" s="89"/>
      <c r="AY993" s="89"/>
      <c r="AZ993" s="89"/>
      <c r="BA993" s="95"/>
    </row>
    <row r="994" spans="1:53" s="87" customFormat="1">
      <c r="A994" s="374" t="str">
        <f t="shared" si="63"/>
        <v/>
      </c>
      <c r="B994" s="89">
        <v>7</v>
      </c>
      <c r="C994" s="89">
        <v>-3</v>
      </c>
      <c r="D994" s="89" t="s">
        <v>210</v>
      </c>
      <c r="E994" s="89" t="s">
        <v>210</v>
      </c>
      <c r="F994" s="89">
        <v>-6</v>
      </c>
      <c r="G994" s="89" t="s">
        <v>202</v>
      </c>
      <c r="H994" s="89" t="s">
        <v>210</v>
      </c>
      <c r="I994" s="89" t="s">
        <v>210</v>
      </c>
      <c r="J994" s="89">
        <v>4</v>
      </c>
      <c r="K994" s="89">
        <v>2</v>
      </c>
      <c r="L994" s="89" t="s">
        <v>210</v>
      </c>
      <c r="M994" s="89"/>
      <c r="N994" s="89"/>
      <c r="O994" s="89"/>
      <c r="P994" s="89"/>
      <c r="Q994" s="89"/>
      <c r="R994" s="89"/>
      <c r="S994" s="89"/>
      <c r="T994" s="89"/>
      <c r="U994" s="89"/>
      <c r="V994" s="89"/>
      <c r="W994" s="89"/>
      <c r="X994" s="89"/>
      <c r="Y994" s="89"/>
      <c r="Z994" s="89"/>
      <c r="AA994" s="89"/>
      <c r="AB994" s="89"/>
      <c r="AC994" s="89"/>
      <c r="AD994" s="89"/>
      <c r="AE994" s="89"/>
      <c r="AF994" s="89"/>
      <c r="AG994" s="89"/>
      <c r="AH994" s="89"/>
      <c r="AI994" s="89"/>
      <c r="AJ994" s="89"/>
      <c r="AK994" s="89"/>
      <c r="AL994" s="89"/>
      <c r="AM994" s="89"/>
      <c r="AN994" s="89"/>
      <c r="AO994" s="89"/>
      <c r="AP994" s="89"/>
      <c r="AQ994" s="89"/>
      <c r="AR994" s="89"/>
      <c r="AS994" s="89"/>
      <c r="AT994" s="89"/>
      <c r="AU994" s="89"/>
      <c r="AV994" s="89"/>
      <c r="AW994" s="89"/>
      <c r="AX994" s="89"/>
      <c r="AY994" s="89"/>
      <c r="AZ994" s="89"/>
      <c r="BA994" s="95"/>
    </row>
    <row r="995" spans="1:53" s="87" customFormat="1">
      <c r="A995" s="374" t="str">
        <f t="shared" si="63"/>
        <v/>
      </c>
      <c r="B995" s="89">
        <v>8</v>
      </c>
      <c r="C995" s="89">
        <v>3</v>
      </c>
      <c r="D995" s="89" t="s">
        <v>210</v>
      </c>
      <c r="E995" s="89" t="s">
        <v>202</v>
      </c>
      <c r="F995" s="89" t="s">
        <v>210</v>
      </c>
      <c r="G995" s="89">
        <v>6</v>
      </c>
      <c r="H995" s="89" t="s">
        <v>210</v>
      </c>
      <c r="I995" s="89" t="s">
        <v>210</v>
      </c>
      <c r="J995" s="89">
        <v>-2</v>
      </c>
      <c r="K995" s="89">
        <v>-1</v>
      </c>
      <c r="L995" s="89" t="s">
        <v>210</v>
      </c>
      <c r="M995" s="89"/>
      <c r="N995" s="89"/>
      <c r="O995" s="89"/>
      <c r="P995" s="89"/>
      <c r="Q995" s="89"/>
      <c r="R995" s="89"/>
      <c r="S995" s="89"/>
      <c r="T995" s="89"/>
      <c r="U995" s="89"/>
      <c r="V995" s="89"/>
      <c r="W995" s="89"/>
      <c r="X995" s="89"/>
      <c r="Y995" s="89"/>
      <c r="Z995" s="89"/>
      <c r="AA995" s="89"/>
      <c r="AB995" s="89"/>
      <c r="AC995" s="89"/>
      <c r="AD995" s="89"/>
      <c r="AE995" s="89"/>
      <c r="AF995" s="89"/>
      <c r="AG995" s="89"/>
      <c r="AH995" s="89"/>
      <c r="AI995" s="89"/>
      <c r="AJ995" s="89"/>
      <c r="AK995" s="89"/>
      <c r="AL995" s="89"/>
      <c r="AM995" s="89"/>
      <c r="AN995" s="89"/>
      <c r="AO995" s="89"/>
      <c r="AP995" s="89"/>
      <c r="AQ995" s="89"/>
      <c r="AR995" s="89"/>
      <c r="AS995" s="89"/>
      <c r="AT995" s="89"/>
      <c r="AU995" s="89"/>
      <c r="AV995" s="89"/>
      <c r="AW995" s="89"/>
      <c r="AX995" s="89"/>
      <c r="AY995" s="89"/>
      <c r="AZ995" s="89"/>
      <c r="BA995" s="95"/>
    </row>
    <row r="996" spans="1:53" s="87" customFormat="1">
      <c r="A996" s="374" t="str">
        <f t="shared" si="63"/>
        <v/>
      </c>
      <c r="B996" s="89">
        <v>9</v>
      </c>
      <c r="C996" s="89" t="s">
        <v>202</v>
      </c>
      <c r="D996" s="89" t="s">
        <v>210</v>
      </c>
      <c r="E996" s="89" t="s">
        <v>210</v>
      </c>
      <c r="F996" s="89">
        <v>-5</v>
      </c>
      <c r="G996" s="89">
        <v>3</v>
      </c>
      <c r="H996" s="89" t="s">
        <v>210</v>
      </c>
      <c r="I996" s="89" t="s">
        <v>210</v>
      </c>
      <c r="J996" s="89">
        <v>-4</v>
      </c>
      <c r="K996" s="89">
        <v>1</v>
      </c>
      <c r="L996" s="89" t="s">
        <v>210</v>
      </c>
      <c r="M996" s="89"/>
      <c r="N996" s="89"/>
      <c r="O996" s="89"/>
      <c r="P996" s="89"/>
      <c r="Q996" s="89"/>
      <c r="R996" s="89"/>
      <c r="S996" s="89"/>
      <c r="T996" s="89"/>
      <c r="U996" s="89"/>
      <c r="V996" s="89"/>
      <c r="W996" s="89"/>
      <c r="X996" s="89"/>
      <c r="Y996" s="89"/>
      <c r="Z996" s="89"/>
      <c r="AA996" s="89"/>
      <c r="AB996" s="89"/>
      <c r="AC996" s="89"/>
      <c r="AD996" s="89"/>
      <c r="AE996" s="89"/>
      <c r="AF996" s="89"/>
      <c r="AG996" s="89"/>
      <c r="AH996" s="89"/>
      <c r="AI996" s="89"/>
      <c r="AJ996" s="89"/>
      <c r="AK996" s="89"/>
      <c r="AL996" s="89"/>
      <c r="AM996" s="89"/>
      <c r="AN996" s="89"/>
      <c r="AO996" s="89"/>
      <c r="AP996" s="89"/>
      <c r="AQ996" s="89"/>
      <c r="AR996" s="89"/>
      <c r="AS996" s="89"/>
      <c r="AT996" s="89"/>
      <c r="AU996" s="89"/>
      <c r="AV996" s="89"/>
      <c r="AW996" s="89"/>
      <c r="AX996" s="89"/>
      <c r="AY996" s="89"/>
      <c r="AZ996" s="89"/>
      <c r="BA996" s="95"/>
    </row>
    <row r="997" spans="1:53" s="87" customFormat="1">
      <c r="A997" s="374" t="str">
        <f t="shared" si="63"/>
        <v/>
      </c>
      <c r="B997" s="99">
        <v>10</v>
      </c>
      <c r="C997" s="92">
        <v>-4</v>
      </c>
      <c r="D997" s="92" t="s">
        <v>210</v>
      </c>
      <c r="E997" s="92" t="s">
        <v>210</v>
      </c>
      <c r="F997" s="92">
        <v>6</v>
      </c>
      <c r="G997" s="92">
        <v>-3</v>
      </c>
      <c r="H997" s="92" t="s">
        <v>210</v>
      </c>
      <c r="I997" s="92" t="s">
        <v>210</v>
      </c>
      <c r="J997" s="92">
        <v>2</v>
      </c>
      <c r="K997" s="92" t="s">
        <v>202</v>
      </c>
      <c r="L997" s="92" t="s">
        <v>210</v>
      </c>
      <c r="M997" s="89"/>
      <c r="N997" s="89"/>
      <c r="O997" s="89"/>
      <c r="P997" s="89"/>
      <c r="Q997" s="89"/>
      <c r="R997" s="89"/>
      <c r="S997" s="89"/>
      <c r="T997" s="89"/>
      <c r="U997" s="89"/>
      <c r="V997" s="89"/>
      <c r="W997" s="89"/>
      <c r="X997" s="89"/>
      <c r="Y997" s="89"/>
      <c r="Z997" s="89"/>
      <c r="AA997" s="89"/>
      <c r="AB997" s="89"/>
      <c r="AC997" s="89"/>
      <c r="AD997" s="89"/>
      <c r="AE997" s="89"/>
      <c r="AF997" s="89"/>
      <c r="AG997" s="89"/>
      <c r="AH997" s="89"/>
      <c r="AI997" s="89"/>
      <c r="AJ997" s="89"/>
      <c r="AK997" s="89"/>
      <c r="AL997" s="89"/>
      <c r="AM997" s="89"/>
      <c r="AN997" s="89"/>
      <c r="AO997" s="89"/>
      <c r="AP997" s="89"/>
      <c r="AQ997" s="89"/>
      <c r="AR997" s="89"/>
      <c r="AS997" s="89"/>
      <c r="AT997" s="89"/>
      <c r="AU997" s="89"/>
      <c r="AV997" s="89"/>
      <c r="AW997" s="89"/>
      <c r="AX997" s="89"/>
      <c r="AY997" s="89"/>
      <c r="AZ997" s="89"/>
      <c r="BA997" s="95"/>
    </row>
    <row r="998" spans="1:53" s="87" customFormat="1">
      <c r="A998" s="374" t="str">
        <f t="shared" si="63"/>
        <v/>
      </c>
      <c r="B998" s="89">
        <v>11</v>
      </c>
      <c r="C998" s="89">
        <v>1</v>
      </c>
      <c r="D998" s="89" t="s">
        <v>210</v>
      </c>
      <c r="E998" s="89" t="s">
        <v>202</v>
      </c>
      <c r="F998" s="89" t="s">
        <v>210</v>
      </c>
      <c r="G998" s="89" t="s">
        <v>210</v>
      </c>
      <c r="H998" s="89">
        <v>3</v>
      </c>
      <c r="I998" s="89" t="s">
        <v>210</v>
      </c>
      <c r="J998" s="89">
        <v>-6</v>
      </c>
      <c r="K998" s="89">
        <v>-5</v>
      </c>
      <c r="L998" s="89" t="s">
        <v>210</v>
      </c>
      <c r="M998" s="89"/>
      <c r="N998" s="89"/>
      <c r="O998" s="89"/>
      <c r="P998" s="89"/>
      <c r="Q998" s="89"/>
      <c r="R998" s="89"/>
      <c r="S998" s="89"/>
      <c r="T998" s="89"/>
      <c r="U998" s="89"/>
      <c r="V998" s="89"/>
      <c r="W998" s="89"/>
      <c r="X998" s="89"/>
      <c r="Y998" s="89"/>
      <c r="Z998" s="89"/>
      <c r="AA998" s="89"/>
      <c r="AB998" s="89"/>
      <c r="AC998" s="89"/>
      <c r="AD998" s="89"/>
      <c r="AE998" s="89"/>
      <c r="AF998" s="89"/>
      <c r="AG998" s="89"/>
      <c r="AH998" s="89"/>
      <c r="AI998" s="89"/>
      <c r="AJ998" s="89"/>
      <c r="AK998" s="89"/>
      <c r="AL998" s="89"/>
      <c r="AM998" s="89"/>
      <c r="AN998" s="89"/>
      <c r="AO998" s="89"/>
      <c r="AP998" s="89"/>
      <c r="AQ998" s="89"/>
      <c r="AR998" s="89"/>
      <c r="AS998" s="89"/>
      <c r="AT998" s="89"/>
      <c r="AU998" s="89"/>
      <c r="AV998" s="89"/>
      <c r="AW998" s="89"/>
      <c r="AX998" s="89"/>
      <c r="AY998" s="89"/>
      <c r="AZ998" s="89"/>
      <c r="BA998" s="95"/>
    </row>
    <row r="999" spans="1:53" s="87" customFormat="1">
      <c r="A999" s="374" t="str">
        <f t="shared" si="63"/>
        <v/>
      </c>
      <c r="B999" s="89">
        <v>12</v>
      </c>
      <c r="C999" s="89" t="s">
        <v>202</v>
      </c>
      <c r="D999" s="89" t="s">
        <v>210</v>
      </c>
      <c r="E999" s="89" t="s">
        <v>210</v>
      </c>
      <c r="F999" s="89">
        <v>-1</v>
      </c>
      <c r="G999" s="89">
        <v>-2</v>
      </c>
      <c r="H999" s="89" t="s">
        <v>210</v>
      </c>
      <c r="I999" s="89" t="s">
        <v>210</v>
      </c>
      <c r="J999" s="89">
        <v>3</v>
      </c>
      <c r="K999" s="89">
        <v>5</v>
      </c>
      <c r="L999" s="89" t="s">
        <v>210</v>
      </c>
      <c r="M999" s="89"/>
      <c r="N999" s="89"/>
      <c r="O999" s="89"/>
      <c r="P999" s="89"/>
      <c r="Q999" s="89"/>
      <c r="R999" s="89"/>
      <c r="S999" s="89"/>
      <c r="T999" s="89"/>
      <c r="U999" s="89"/>
      <c r="V999" s="89"/>
      <c r="W999" s="89"/>
      <c r="X999" s="89"/>
      <c r="Y999" s="89"/>
      <c r="Z999" s="89"/>
      <c r="AA999" s="89"/>
      <c r="AB999" s="89"/>
      <c r="AC999" s="89"/>
      <c r="AD999" s="89"/>
      <c r="AE999" s="89"/>
      <c r="AF999" s="89"/>
      <c r="AG999" s="89"/>
      <c r="AH999" s="89"/>
      <c r="AI999" s="89"/>
      <c r="AJ999" s="89"/>
      <c r="AK999" s="89"/>
      <c r="AL999" s="89"/>
      <c r="AM999" s="89"/>
      <c r="AN999" s="89"/>
      <c r="AO999" s="89"/>
      <c r="AP999" s="89"/>
      <c r="AQ999" s="89"/>
      <c r="AR999" s="89"/>
      <c r="AS999" s="89"/>
      <c r="AT999" s="89"/>
      <c r="AU999" s="89"/>
      <c r="AV999" s="89"/>
      <c r="AW999" s="89"/>
      <c r="AX999" s="89"/>
      <c r="AY999" s="89"/>
      <c r="AZ999" s="89"/>
      <c r="BA999" s="95"/>
    </row>
    <row r="1000" spans="1:53" s="87" customFormat="1">
      <c r="A1000" s="374" t="str">
        <f t="shared" si="63"/>
        <v/>
      </c>
      <c r="B1000" s="89">
        <v>13</v>
      </c>
      <c r="C1000" s="89">
        <v>5</v>
      </c>
      <c r="D1000" s="89" t="s">
        <v>210</v>
      </c>
      <c r="E1000" s="89" t="s">
        <v>210</v>
      </c>
      <c r="F1000" s="89">
        <v>1</v>
      </c>
      <c r="G1000" s="89" t="s">
        <v>210</v>
      </c>
      <c r="H1000" s="89">
        <v>-3</v>
      </c>
      <c r="I1000" s="89" t="s">
        <v>202</v>
      </c>
      <c r="J1000" s="89" t="s">
        <v>210</v>
      </c>
      <c r="K1000" s="89">
        <v>-6</v>
      </c>
      <c r="L1000" s="89" t="s">
        <v>210</v>
      </c>
      <c r="M1000" s="89"/>
      <c r="N1000" s="89"/>
      <c r="O1000" s="89"/>
      <c r="P1000" s="89"/>
      <c r="Q1000" s="89"/>
      <c r="R1000" s="89"/>
      <c r="S1000" s="89"/>
      <c r="T1000" s="89"/>
      <c r="U1000" s="89"/>
      <c r="V1000" s="89"/>
      <c r="W1000" s="89"/>
      <c r="X1000" s="89"/>
      <c r="Y1000" s="89"/>
      <c r="Z1000" s="89"/>
      <c r="AA1000" s="89"/>
      <c r="AB1000" s="89"/>
      <c r="AC1000" s="89"/>
      <c r="AD1000" s="89"/>
      <c r="AE1000" s="89"/>
      <c r="AF1000" s="89"/>
      <c r="AG1000" s="89"/>
      <c r="AH1000" s="89"/>
      <c r="AI1000" s="89"/>
      <c r="AJ1000" s="89"/>
      <c r="AK1000" s="89"/>
      <c r="AL1000" s="89"/>
      <c r="AM1000" s="89"/>
      <c r="AN1000" s="89"/>
      <c r="AO1000" s="89"/>
      <c r="AP1000" s="89"/>
      <c r="AQ1000" s="89"/>
      <c r="AR1000" s="89"/>
      <c r="AS1000" s="89"/>
      <c r="AT1000" s="89"/>
      <c r="AU1000" s="89"/>
      <c r="AV1000" s="89"/>
      <c r="AW1000" s="89"/>
      <c r="AX1000" s="89"/>
      <c r="AY1000" s="89"/>
      <c r="AZ1000" s="89"/>
      <c r="BA1000" s="95"/>
    </row>
    <row r="1001" spans="1:53" s="87" customFormat="1">
      <c r="A1001" s="374" t="str">
        <f t="shared" si="63"/>
        <v/>
      </c>
      <c r="B1001" s="89">
        <v>14</v>
      </c>
      <c r="C1001" s="89">
        <v>-1</v>
      </c>
      <c r="D1001" s="89" t="s">
        <v>210</v>
      </c>
      <c r="E1001" s="89" t="s">
        <v>210</v>
      </c>
      <c r="F1001" s="89">
        <v>4</v>
      </c>
      <c r="G1001" s="89" t="s">
        <v>202</v>
      </c>
      <c r="H1001" s="89" t="s">
        <v>210</v>
      </c>
      <c r="I1001" s="89" t="s">
        <v>210</v>
      </c>
      <c r="J1001" s="89">
        <v>-3</v>
      </c>
      <c r="K1001" s="89">
        <v>6</v>
      </c>
      <c r="L1001" s="89" t="s">
        <v>210</v>
      </c>
      <c r="M1001" s="89"/>
      <c r="N1001" s="89"/>
      <c r="O1001" s="89"/>
      <c r="P1001" s="89"/>
      <c r="Q1001" s="89"/>
      <c r="R1001" s="89"/>
      <c r="S1001" s="89"/>
      <c r="T1001" s="89"/>
      <c r="U1001" s="89"/>
      <c r="V1001" s="89"/>
      <c r="W1001" s="89"/>
      <c r="X1001" s="89"/>
      <c r="Y1001" s="89"/>
      <c r="Z1001" s="89"/>
      <c r="AA1001" s="89"/>
      <c r="AB1001" s="89"/>
      <c r="AC1001" s="89"/>
      <c r="AD1001" s="89"/>
      <c r="AE1001" s="89"/>
      <c r="AF1001" s="89"/>
      <c r="AG1001" s="89"/>
      <c r="AH1001" s="89"/>
      <c r="AI1001" s="89"/>
      <c r="AJ1001" s="89"/>
      <c r="AK1001" s="89"/>
      <c r="AL1001" s="89"/>
      <c r="AM1001" s="89"/>
      <c r="AN1001" s="89"/>
      <c r="AO1001" s="89"/>
      <c r="AP1001" s="89"/>
      <c r="AQ1001" s="89"/>
      <c r="AR1001" s="89"/>
      <c r="AS1001" s="89"/>
      <c r="AT1001" s="89"/>
      <c r="AU1001" s="89"/>
      <c r="AV1001" s="89"/>
      <c r="AW1001" s="89"/>
      <c r="AX1001" s="89"/>
      <c r="AY1001" s="89"/>
      <c r="AZ1001" s="89"/>
      <c r="BA1001" s="95"/>
    </row>
    <row r="1002" spans="1:53" s="87" customFormat="1">
      <c r="A1002" s="374" t="str">
        <f t="shared" si="63"/>
        <v/>
      </c>
      <c r="B1002" s="99">
        <v>15</v>
      </c>
      <c r="C1002" s="92">
        <v>-5</v>
      </c>
      <c r="D1002" s="92" t="s">
        <v>210</v>
      </c>
      <c r="E1002" s="92" t="s">
        <v>210</v>
      </c>
      <c r="F1002" s="92">
        <v>-4</v>
      </c>
      <c r="G1002" s="92">
        <v>2</v>
      </c>
      <c r="H1002" s="92" t="s">
        <v>210</v>
      </c>
      <c r="I1002" s="92" t="s">
        <v>210</v>
      </c>
      <c r="J1002" s="92">
        <v>6</v>
      </c>
      <c r="K1002" s="92" t="s">
        <v>202</v>
      </c>
      <c r="L1002" s="92" t="s">
        <v>210</v>
      </c>
      <c r="M1002" s="89"/>
      <c r="N1002" s="89"/>
      <c r="O1002" s="89"/>
      <c r="P1002" s="89"/>
      <c r="Q1002" s="89"/>
      <c r="R1002" s="89"/>
      <c r="S1002" s="89"/>
      <c r="T1002" s="89"/>
      <c r="U1002" s="89"/>
      <c r="V1002" s="89"/>
      <c r="W1002" s="89"/>
      <c r="X1002" s="89"/>
      <c r="Y1002" s="89"/>
      <c r="Z1002" s="89"/>
      <c r="AA1002" s="89"/>
      <c r="AB1002" s="89"/>
      <c r="AC1002" s="89"/>
      <c r="AD1002" s="89"/>
      <c r="AE1002" s="89"/>
      <c r="AF1002" s="89"/>
      <c r="AG1002" s="89"/>
      <c r="AH1002" s="89"/>
      <c r="AI1002" s="89"/>
      <c r="AJ1002" s="89"/>
      <c r="AK1002" s="89"/>
      <c r="AL1002" s="89"/>
      <c r="AM1002" s="89"/>
      <c r="AN1002" s="89"/>
      <c r="AO1002" s="89"/>
      <c r="AP1002" s="89"/>
      <c r="AQ1002" s="89"/>
      <c r="AR1002" s="89"/>
      <c r="AS1002" s="89"/>
      <c r="AT1002" s="89"/>
      <c r="AU1002" s="89"/>
      <c r="AV1002" s="89"/>
      <c r="AW1002" s="89"/>
      <c r="AX1002" s="89"/>
      <c r="AY1002" s="89"/>
      <c r="AZ1002" s="89"/>
      <c r="BA1002" s="95"/>
    </row>
    <row r="1003" spans="1:53" s="87" customFormat="1">
      <c r="A1003" s="374" t="str">
        <f t="shared" si="63"/>
        <v/>
      </c>
      <c r="B1003" s="89">
        <v>16</v>
      </c>
      <c r="C1003" s="89" t="s">
        <v>210</v>
      </c>
      <c r="D1003" s="89">
        <v>2</v>
      </c>
      <c r="E1003" s="89" t="s">
        <v>202</v>
      </c>
      <c r="F1003" s="89" t="s">
        <v>210</v>
      </c>
      <c r="G1003" s="89">
        <v>5</v>
      </c>
      <c r="H1003" s="89" t="s">
        <v>210</v>
      </c>
      <c r="I1003" s="89">
        <v>-6</v>
      </c>
      <c r="J1003" s="89" t="s">
        <v>210</v>
      </c>
      <c r="K1003" s="89" t="s">
        <v>210</v>
      </c>
      <c r="L1003" s="89">
        <v>-3</v>
      </c>
      <c r="M1003" s="89"/>
      <c r="N1003" s="89"/>
      <c r="O1003" s="89"/>
      <c r="P1003" s="89"/>
      <c r="Q1003" s="89"/>
      <c r="R1003" s="89"/>
      <c r="S1003" s="89"/>
      <c r="T1003" s="89"/>
      <c r="U1003" s="89"/>
      <c r="V1003" s="89"/>
      <c r="W1003" s="89"/>
      <c r="X1003" s="89"/>
      <c r="Y1003" s="89"/>
      <c r="Z1003" s="89"/>
      <c r="AA1003" s="89"/>
      <c r="AB1003" s="89"/>
      <c r="AC1003" s="89"/>
      <c r="AD1003" s="89"/>
      <c r="AE1003" s="89"/>
      <c r="AF1003" s="89"/>
      <c r="AG1003" s="89"/>
      <c r="AH1003" s="89"/>
      <c r="AI1003" s="89"/>
      <c r="AJ1003" s="89"/>
      <c r="AK1003" s="89"/>
      <c r="AL1003" s="89"/>
      <c r="AM1003" s="89"/>
      <c r="AN1003" s="89"/>
      <c r="AO1003" s="89"/>
      <c r="AP1003" s="89"/>
      <c r="AQ1003" s="89"/>
      <c r="AR1003" s="89"/>
      <c r="AS1003" s="89"/>
      <c r="AT1003" s="89"/>
      <c r="AU1003" s="89"/>
      <c r="AV1003" s="89"/>
      <c r="AW1003" s="89"/>
      <c r="AX1003" s="89"/>
      <c r="AY1003" s="89"/>
      <c r="AZ1003" s="89"/>
      <c r="BA1003" s="95"/>
    </row>
    <row r="1004" spans="1:53" s="87" customFormat="1">
      <c r="A1004" s="374" t="str">
        <f t="shared" si="63"/>
        <v/>
      </c>
      <c r="B1004" s="89">
        <v>17</v>
      </c>
      <c r="C1004" s="89" t="s">
        <v>202</v>
      </c>
      <c r="D1004" s="89" t="s">
        <v>210</v>
      </c>
      <c r="E1004" s="89">
        <v>-2</v>
      </c>
      <c r="F1004" s="89" t="s">
        <v>210</v>
      </c>
      <c r="G1004" s="89" t="s">
        <v>210</v>
      </c>
      <c r="H1004" s="89">
        <v>-4</v>
      </c>
      <c r="I1004" s="89">
        <v>1</v>
      </c>
      <c r="J1004" s="89" t="s">
        <v>210</v>
      </c>
      <c r="K1004" s="89" t="s">
        <v>210</v>
      </c>
      <c r="L1004" s="89">
        <v>3</v>
      </c>
      <c r="M1004" s="89"/>
      <c r="N1004" s="89"/>
      <c r="O1004" s="89"/>
      <c r="P1004" s="89"/>
      <c r="Q1004" s="89"/>
      <c r="R1004" s="89"/>
      <c r="S1004" s="89"/>
      <c r="T1004" s="89"/>
      <c r="U1004" s="89"/>
      <c r="V1004" s="89"/>
      <c r="W1004" s="89"/>
      <c r="X1004" s="89"/>
      <c r="Y1004" s="89"/>
      <c r="Z1004" s="89"/>
      <c r="AA1004" s="89"/>
      <c r="AB1004" s="89"/>
      <c r="AC1004" s="89"/>
      <c r="AD1004" s="89"/>
      <c r="AE1004" s="89"/>
      <c r="AF1004" s="89"/>
      <c r="AG1004" s="89"/>
      <c r="AH1004" s="89"/>
      <c r="AI1004" s="89"/>
      <c r="AJ1004" s="89"/>
      <c r="AK1004" s="89"/>
      <c r="AL1004" s="89"/>
      <c r="AM1004" s="89"/>
      <c r="AN1004" s="89"/>
      <c r="AO1004" s="89"/>
      <c r="AP1004" s="89"/>
      <c r="AQ1004" s="89"/>
      <c r="AR1004" s="89"/>
      <c r="AS1004" s="89"/>
      <c r="AT1004" s="89"/>
      <c r="AU1004" s="89"/>
      <c r="AV1004" s="89"/>
      <c r="AW1004" s="89"/>
      <c r="AX1004" s="89"/>
      <c r="AY1004" s="89"/>
      <c r="AZ1004" s="89"/>
      <c r="BA1004" s="95"/>
    </row>
    <row r="1005" spans="1:53" s="87" customFormat="1">
      <c r="A1005" s="374" t="str">
        <f t="shared" si="63"/>
        <v/>
      </c>
      <c r="B1005" s="89">
        <v>18</v>
      </c>
      <c r="C1005" s="89" t="s">
        <v>210</v>
      </c>
      <c r="D1005" s="89">
        <v>3</v>
      </c>
      <c r="E1005" s="89">
        <v>2</v>
      </c>
      <c r="F1005" s="89" t="s">
        <v>210</v>
      </c>
      <c r="G1005" s="89">
        <v>-5</v>
      </c>
      <c r="H1005" s="89" t="s">
        <v>210</v>
      </c>
      <c r="I1005" s="89" t="s">
        <v>202</v>
      </c>
      <c r="J1005" s="89" t="s">
        <v>210</v>
      </c>
      <c r="K1005" s="89" t="s">
        <v>210</v>
      </c>
      <c r="L1005" s="89">
        <v>-4</v>
      </c>
      <c r="M1005" s="89"/>
      <c r="N1005" s="89"/>
      <c r="O1005" s="89"/>
      <c r="P1005" s="89"/>
      <c r="Q1005" s="89"/>
      <c r="R1005" s="89"/>
      <c r="S1005" s="89"/>
      <c r="T1005" s="89"/>
      <c r="U1005" s="89"/>
      <c r="V1005" s="89"/>
      <c r="W1005" s="89"/>
      <c r="X1005" s="89"/>
      <c r="Y1005" s="89"/>
      <c r="Z1005" s="89"/>
      <c r="AA1005" s="89"/>
      <c r="AB1005" s="89"/>
      <c r="AC1005" s="89"/>
      <c r="AD1005" s="89"/>
      <c r="AE1005" s="89"/>
      <c r="AF1005" s="89"/>
      <c r="AG1005" s="89"/>
      <c r="AH1005" s="89"/>
      <c r="AI1005" s="89"/>
      <c r="AJ1005" s="89"/>
      <c r="AK1005" s="89"/>
      <c r="AL1005" s="89"/>
      <c r="AM1005" s="89"/>
      <c r="AN1005" s="89"/>
      <c r="AO1005" s="89"/>
      <c r="AP1005" s="89"/>
      <c r="AQ1005" s="89"/>
      <c r="AR1005" s="89"/>
      <c r="AS1005" s="89"/>
      <c r="AT1005" s="89"/>
      <c r="AU1005" s="89"/>
      <c r="AV1005" s="89"/>
      <c r="AW1005" s="89"/>
      <c r="AX1005" s="89"/>
      <c r="AY1005" s="89"/>
      <c r="AZ1005" s="89"/>
      <c r="BA1005" s="95"/>
    </row>
    <row r="1006" spans="1:53" s="87" customFormat="1">
      <c r="A1006" s="374" t="str">
        <f t="shared" si="63"/>
        <v/>
      </c>
      <c r="B1006" s="89">
        <v>19</v>
      </c>
      <c r="C1006" s="89" t="s">
        <v>210</v>
      </c>
      <c r="D1006" s="89">
        <v>-2</v>
      </c>
      <c r="E1006" s="89">
        <v>5</v>
      </c>
      <c r="F1006" s="89" t="s">
        <v>210</v>
      </c>
      <c r="G1006" s="89" t="s">
        <v>202</v>
      </c>
      <c r="H1006" s="89" t="s">
        <v>210</v>
      </c>
      <c r="I1006" s="89">
        <v>-1</v>
      </c>
      <c r="J1006" s="89" t="s">
        <v>210</v>
      </c>
      <c r="K1006" s="89" t="s">
        <v>210</v>
      </c>
      <c r="L1006" s="89">
        <v>4</v>
      </c>
      <c r="M1006" s="89"/>
      <c r="N1006" s="89"/>
      <c r="O1006" s="89"/>
      <c r="P1006" s="89"/>
      <c r="Q1006" s="89"/>
      <c r="R1006" s="89"/>
      <c r="S1006" s="89"/>
      <c r="T1006" s="89"/>
      <c r="U1006" s="89"/>
      <c r="V1006" s="89"/>
      <c r="W1006" s="89"/>
      <c r="X1006" s="89"/>
      <c r="Y1006" s="89"/>
      <c r="Z1006" s="89"/>
      <c r="AA1006" s="89"/>
      <c r="AB1006" s="89"/>
      <c r="AC1006" s="89"/>
      <c r="AD1006" s="89"/>
      <c r="AE1006" s="89"/>
      <c r="AF1006" s="89"/>
      <c r="AG1006" s="89"/>
      <c r="AH1006" s="89"/>
      <c r="AI1006" s="89"/>
      <c r="AJ1006" s="89"/>
      <c r="AK1006" s="89"/>
      <c r="AL1006" s="89"/>
      <c r="AM1006" s="89"/>
      <c r="AN1006" s="89"/>
      <c r="AO1006" s="89"/>
      <c r="AP1006" s="89"/>
      <c r="AQ1006" s="89"/>
      <c r="AR1006" s="89"/>
      <c r="AS1006" s="89"/>
      <c r="AT1006" s="89"/>
      <c r="AU1006" s="89"/>
      <c r="AV1006" s="89"/>
      <c r="AW1006" s="89"/>
      <c r="AX1006" s="89"/>
      <c r="AY1006" s="89"/>
      <c r="AZ1006" s="89"/>
      <c r="BA1006" s="95"/>
    </row>
    <row r="1007" spans="1:53" s="87" customFormat="1">
      <c r="A1007" s="374" t="str">
        <f t="shared" si="63"/>
        <v/>
      </c>
      <c r="B1007" s="99">
        <v>20</v>
      </c>
      <c r="C1007" s="92" t="s">
        <v>210</v>
      </c>
      <c r="D1007" s="92">
        <v>-3</v>
      </c>
      <c r="E1007" s="92">
        <v>-5</v>
      </c>
      <c r="F1007" s="92" t="s">
        <v>210</v>
      </c>
      <c r="G1007" s="92" t="s">
        <v>210</v>
      </c>
      <c r="H1007" s="92">
        <v>4</v>
      </c>
      <c r="I1007" s="92">
        <v>6</v>
      </c>
      <c r="J1007" s="92" t="s">
        <v>210</v>
      </c>
      <c r="K1007" s="92" t="s">
        <v>202</v>
      </c>
      <c r="L1007" s="92" t="s">
        <v>210</v>
      </c>
      <c r="M1007" s="89"/>
      <c r="N1007" s="89"/>
      <c r="O1007" s="89"/>
      <c r="P1007" s="89"/>
      <c r="Q1007" s="89"/>
      <c r="R1007" s="89"/>
      <c r="S1007" s="89"/>
      <c r="T1007" s="89"/>
      <c r="U1007" s="89"/>
      <c r="V1007" s="89"/>
      <c r="W1007" s="89"/>
      <c r="X1007" s="89"/>
      <c r="Y1007" s="89"/>
      <c r="Z1007" s="89"/>
      <c r="AA1007" s="89"/>
      <c r="AB1007" s="89"/>
      <c r="AC1007" s="89"/>
      <c r="AD1007" s="89"/>
      <c r="AE1007" s="89"/>
      <c r="AF1007" s="89"/>
      <c r="AG1007" s="89"/>
      <c r="AH1007" s="89"/>
      <c r="AI1007" s="89"/>
      <c r="AJ1007" s="89"/>
      <c r="AK1007" s="89"/>
      <c r="AL1007" s="89"/>
      <c r="AM1007" s="89"/>
      <c r="AN1007" s="89"/>
      <c r="AO1007" s="89"/>
      <c r="AP1007" s="89"/>
      <c r="AQ1007" s="89"/>
      <c r="AR1007" s="89"/>
      <c r="AS1007" s="89"/>
      <c r="AT1007" s="89"/>
      <c r="AU1007" s="89"/>
      <c r="AV1007" s="89"/>
      <c r="AW1007" s="89"/>
      <c r="AX1007" s="89"/>
      <c r="AY1007" s="89"/>
      <c r="AZ1007" s="89"/>
      <c r="BA1007" s="95"/>
    </row>
    <row r="1008" spans="1:53" s="87" customFormat="1">
      <c r="A1008" s="374" t="str">
        <f t="shared" si="63"/>
        <v/>
      </c>
      <c r="B1008" s="89">
        <v>21</v>
      </c>
      <c r="C1008" s="89" t="s">
        <v>202</v>
      </c>
      <c r="D1008" s="89" t="s">
        <v>210</v>
      </c>
      <c r="E1008" s="89">
        <v>3</v>
      </c>
      <c r="F1008" s="89" t="s">
        <v>210</v>
      </c>
      <c r="G1008" s="89" t="s">
        <v>210</v>
      </c>
      <c r="H1008" s="89">
        <v>1</v>
      </c>
      <c r="I1008" s="89">
        <v>-5</v>
      </c>
      <c r="J1008" s="89" t="s">
        <v>210</v>
      </c>
      <c r="K1008" s="89" t="s">
        <v>210</v>
      </c>
      <c r="L1008" s="89">
        <v>-2</v>
      </c>
      <c r="M1008" s="89"/>
      <c r="N1008" s="89"/>
      <c r="O1008" s="89"/>
      <c r="P1008" s="89"/>
      <c r="Q1008" s="89"/>
      <c r="R1008" s="89"/>
      <c r="S1008" s="89"/>
      <c r="T1008" s="89"/>
      <c r="U1008" s="89"/>
      <c r="V1008" s="89"/>
      <c r="W1008" s="89"/>
      <c r="X1008" s="89"/>
      <c r="Y1008" s="89"/>
      <c r="Z1008" s="89"/>
      <c r="AA1008" s="89"/>
      <c r="AB1008" s="89"/>
      <c r="AC1008" s="89"/>
      <c r="AD1008" s="89"/>
      <c r="AE1008" s="89"/>
      <c r="AF1008" s="89"/>
      <c r="AG1008" s="89"/>
      <c r="AH1008" s="89"/>
      <c r="AI1008" s="89"/>
      <c r="AJ1008" s="89"/>
      <c r="AK1008" s="89"/>
      <c r="AL1008" s="89"/>
      <c r="AM1008" s="89"/>
      <c r="AN1008" s="89"/>
      <c r="AO1008" s="89"/>
      <c r="AP1008" s="89"/>
      <c r="AQ1008" s="89"/>
      <c r="AR1008" s="89"/>
      <c r="AS1008" s="89"/>
      <c r="AT1008" s="89"/>
      <c r="AU1008" s="89"/>
      <c r="AV1008" s="89"/>
      <c r="AW1008" s="89"/>
      <c r="AX1008" s="89"/>
      <c r="AY1008" s="89"/>
      <c r="AZ1008" s="89"/>
      <c r="BA1008" s="95"/>
    </row>
    <row r="1009" spans="1:53" s="87" customFormat="1">
      <c r="A1009" s="374" t="str">
        <f t="shared" si="63"/>
        <v/>
      </c>
      <c r="B1009" s="89">
        <v>22</v>
      </c>
      <c r="C1009" s="89" t="s">
        <v>202</v>
      </c>
      <c r="D1009" s="89" t="s">
        <v>210</v>
      </c>
      <c r="E1009" s="89">
        <v>-6</v>
      </c>
      <c r="F1009" s="89" t="s">
        <v>210</v>
      </c>
      <c r="G1009" s="89" t="s">
        <v>210</v>
      </c>
      <c r="H1009" s="89">
        <v>-5</v>
      </c>
      <c r="I1009" s="89">
        <v>4</v>
      </c>
      <c r="J1009" s="89" t="s">
        <v>210</v>
      </c>
      <c r="K1009" s="89" t="s">
        <v>210</v>
      </c>
      <c r="L1009" s="89">
        <v>2</v>
      </c>
      <c r="M1009" s="89"/>
      <c r="N1009" s="89"/>
      <c r="O1009" s="89"/>
      <c r="P1009" s="89"/>
      <c r="Q1009" s="89"/>
      <c r="R1009" s="89"/>
      <c r="S1009" s="89"/>
      <c r="T1009" s="89"/>
      <c r="U1009" s="89"/>
      <c r="V1009" s="89"/>
      <c r="W1009" s="89"/>
      <c r="X1009" s="89"/>
      <c r="Y1009" s="89"/>
      <c r="Z1009" s="89"/>
      <c r="AA1009" s="89"/>
      <c r="AB1009" s="89"/>
      <c r="AC1009" s="89"/>
      <c r="AD1009" s="89"/>
      <c r="AE1009" s="89"/>
      <c r="AF1009" s="89"/>
      <c r="AG1009" s="89"/>
      <c r="AH1009" s="89"/>
      <c r="AI1009" s="89"/>
      <c r="AJ1009" s="89"/>
      <c r="AK1009" s="89"/>
      <c r="AL1009" s="89"/>
      <c r="AM1009" s="89"/>
      <c r="AN1009" s="89"/>
      <c r="AO1009" s="89"/>
      <c r="AP1009" s="89"/>
      <c r="AQ1009" s="89"/>
      <c r="AR1009" s="89"/>
      <c r="AS1009" s="89"/>
      <c r="AT1009" s="89"/>
      <c r="AU1009" s="89"/>
      <c r="AV1009" s="89"/>
      <c r="AW1009" s="89"/>
      <c r="AX1009" s="89"/>
      <c r="AY1009" s="89"/>
      <c r="AZ1009" s="89"/>
      <c r="BA1009" s="95"/>
    </row>
    <row r="1010" spans="1:53" s="87" customFormat="1">
      <c r="A1010" s="374" t="str">
        <f t="shared" si="63"/>
        <v/>
      </c>
      <c r="B1010" s="89">
        <v>23</v>
      </c>
      <c r="C1010" s="89" t="s">
        <v>202</v>
      </c>
      <c r="D1010" s="89" t="s">
        <v>210</v>
      </c>
      <c r="E1010" s="89">
        <v>-3</v>
      </c>
      <c r="F1010" s="89" t="s">
        <v>210</v>
      </c>
      <c r="G1010" s="89" t="s">
        <v>210</v>
      </c>
      <c r="H1010" s="89">
        <v>6</v>
      </c>
      <c r="I1010" s="89">
        <v>-4</v>
      </c>
      <c r="J1010" s="89" t="s">
        <v>210</v>
      </c>
      <c r="K1010" s="89" t="s">
        <v>210</v>
      </c>
      <c r="L1010" s="89">
        <v>1</v>
      </c>
      <c r="M1010" s="89"/>
      <c r="N1010" s="89"/>
      <c r="O1010" s="89"/>
      <c r="P1010" s="89"/>
      <c r="Q1010" s="89"/>
      <c r="R1010" s="89"/>
      <c r="S1010" s="89"/>
      <c r="T1010" s="89"/>
      <c r="U1010" s="89"/>
      <c r="V1010" s="89"/>
      <c r="W1010" s="89"/>
      <c r="X1010" s="89"/>
      <c r="Y1010" s="89"/>
      <c r="Z1010" s="89"/>
      <c r="AA1010" s="89"/>
      <c r="AB1010" s="89"/>
      <c r="AC1010" s="89"/>
      <c r="AD1010" s="89"/>
      <c r="AE1010" s="89"/>
      <c r="AF1010" s="89"/>
      <c r="AG1010" s="89"/>
      <c r="AH1010" s="89"/>
      <c r="AI1010" s="89"/>
      <c r="AJ1010" s="89"/>
      <c r="AK1010" s="89"/>
      <c r="AL1010" s="89"/>
      <c r="AM1010" s="89"/>
      <c r="AN1010" s="89"/>
      <c r="AO1010" s="89"/>
      <c r="AP1010" s="89"/>
      <c r="AQ1010" s="89"/>
      <c r="AR1010" s="89"/>
      <c r="AS1010" s="89"/>
      <c r="AT1010" s="89"/>
      <c r="AU1010" s="89"/>
      <c r="AV1010" s="89"/>
      <c r="AW1010" s="89"/>
      <c r="AX1010" s="89"/>
      <c r="AY1010" s="89"/>
      <c r="AZ1010" s="89"/>
      <c r="BA1010" s="95"/>
    </row>
    <row r="1011" spans="1:53" s="87" customFormat="1">
      <c r="A1011" s="374" t="str">
        <f t="shared" si="63"/>
        <v/>
      </c>
      <c r="B1011" s="99">
        <v>24</v>
      </c>
      <c r="C1011" s="92" t="s">
        <v>202</v>
      </c>
      <c r="D1011" s="92" t="s">
        <v>210</v>
      </c>
      <c r="E1011" s="92">
        <v>6</v>
      </c>
      <c r="F1011" s="92" t="s">
        <v>210</v>
      </c>
      <c r="G1011" s="92" t="s">
        <v>210</v>
      </c>
      <c r="H1011" s="92">
        <v>-2</v>
      </c>
      <c r="I1011" s="92">
        <v>5</v>
      </c>
      <c r="J1011" s="92" t="s">
        <v>210</v>
      </c>
      <c r="K1011" s="92" t="s">
        <v>210</v>
      </c>
      <c r="L1011" s="92">
        <v>-1</v>
      </c>
      <c r="M1011" s="89"/>
      <c r="N1011" s="89"/>
      <c r="O1011" s="89"/>
      <c r="P1011" s="89"/>
      <c r="Q1011" s="89"/>
      <c r="R1011" s="89"/>
      <c r="S1011" s="89"/>
      <c r="T1011" s="89"/>
      <c r="U1011" s="89"/>
      <c r="V1011" s="89"/>
      <c r="W1011" s="89"/>
      <c r="X1011" s="89"/>
      <c r="Y1011" s="89"/>
      <c r="Z1011" s="89"/>
      <c r="AA1011" s="89"/>
      <c r="AB1011" s="89"/>
      <c r="AC1011" s="89"/>
      <c r="AD1011" s="89"/>
      <c r="AE1011" s="89"/>
      <c r="AF1011" s="89"/>
      <c r="AG1011" s="89"/>
      <c r="AH1011" s="89"/>
      <c r="AI1011" s="89"/>
      <c r="AJ1011" s="89"/>
      <c r="AK1011" s="89"/>
      <c r="AL1011" s="89"/>
      <c r="AM1011" s="89"/>
      <c r="AN1011" s="89"/>
      <c r="AO1011" s="89"/>
      <c r="AP1011" s="89"/>
      <c r="AQ1011" s="89"/>
      <c r="AR1011" s="89"/>
      <c r="AS1011" s="89"/>
      <c r="AT1011" s="89"/>
      <c r="AU1011" s="89"/>
      <c r="AV1011" s="89"/>
      <c r="AW1011" s="89"/>
      <c r="AX1011" s="89"/>
      <c r="AY1011" s="89"/>
      <c r="AZ1011" s="89"/>
      <c r="BA1011" s="95"/>
    </row>
    <row r="1012" spans="1:53" s="87" customFormat="1">
      <c r="A1012" s="374" t="str">
        <f t="shared" si="63"/>
        <v/>
      </c>
      <c r="B1012" s="89">
        <v>25</v>
      </c>
      <c r="C1012" s="89" t="s">
        <v>202</v>
      </c>
      <c r="D1012" s="89" t="s">
        <v>210</v>
      </c>
      <c r="E1012" s="89">
        <v>-4</v>
      </c>
      <c r="F1012" s="89" t="s">
        <v>210</v>
      </c>
      <c r="G1012" s="89" t="s">
        <v>210</v>
      </c>
      <c r="H1012" s="89">
        <v>-1</v>
      </c>
      <c r="I1012" s="89">
        <v>3</v>
      </c>
      <c r="J1012" s="89" t="s">
        <v>210</v>
      </c>
      <c r="K1012" s="89" t="s">
        <v>210</v>
      </c>
      <c r="L1012" s="89">
        <v>6</v>
      </c>
      <c r="M1012" s="89"/>
      <c r="N1012" s="89"/>
      <c r="O1012" s="89"/>
      <c r="P1012" s="89"/>
      <c r="Q1012" s="89"/>
      <c r="R1012" s="89"/>
      <c r="S1012" s="89"/>
      <c r="T1012" s="89"/>
      <c r="U1012" s="89"/>
      <c r="V1012" s="89"/>
      <c r="W1012" s="89"/>
      <c r="X1012" s="89"/>
      <c r="Y1012" s="89"/>
      <c r="Z1012" s="89"/>
      <c r="AA1012" s="89"/>
      <c r="AB1012" s="89"/>
      <c r="AC1012" s="89"/>
      <c r="AD1012" s="89"/>
      <c r="AE1012" s="89"/>
      <c r="AF1012" s="89"/>
      <c r="AG1012" s="89"/>
      <c r="AH1012" s="89"/>
      <c r="AI1012" s="89"/>
      <c r="AJ1012" s="89"/>
      <c r="AK1012" s="89"/>
      <c r="AL1012" s="89"/>
      <c r="AM1012" s="89"/>
      <c r="AN1012" s="89"/>
      <c r="AO1012" s="89"/>
      <c r="AP1012" s="89"/>
      <c r="AQ1012" s="89"/>
      <c r="AR1012" s="89"/>
      <c r="AS1012" s="89"/>
      <c r="AT1012" s="89"/>
      <c r="AU1012" s="89"/>
      <c r="AV1012" s="89"/>
      <c r="AW1012" s="89"/>
      <c r="AX1012" s="89"/>
      <c r="AY1012" s="89"/>
      <c r="AZ1012" s="89"/>
      <c r="BA1012" s="95"/>
    </row>
    <row r="1013" spans="1:53" s="87" customFormat="1">
      <c r="A1013" s="374" t="str">
        <f t="shared" si="63"/>
        <v/>
      </c>
      <c r="B1013" s="89">
        <v>26</v>
      </c>
      <c r="C1013" s="89" t="s">
        <v>202</v>
      </c>
      <c r="D1013" s="89" t="s">
        <v>210</v>
      </c>
      <c r="E1013" s="89">
        <v>1</v>
      </c>
      <c r="F1013" s="89" t="s">
        <v>210</v>
      </c>
      <c r="G1013" s="89" t="s">
        <v>210</v>
      </c>
      <c r="H1013" s="89">
        <v>5</v>
      </c>
      <c r="I1013" s="89">
        <v>-2</v>
      </c>
      <c r="J1013" s="89" t="s">
        <v>210</v>
      </c>
      <c r="K1013" s="89" t="s">
        <v>210</v>
      </c>
      <c r="L1013" s="89">
        <v>-6</v>
      </c>
      <c r="M1013" s="89"/>
      <c r="N1013" s="89"/>
      <c r="O1013" s="89"/>
      <c r="P1013" s="89"/>
      <c r="Q1013" s="89"/>
      <c r="R1013" s="89"/>
      <c r="S1013" s="89"/>
      <c r="T1013" s="89"/>
      <c r="U1013" s="89"/>
      <c r="V1013" s="89"/>
      <c r="W1013" s="89"/>
      <c r="X1013" s="89"/>
      <c r="Y1013" s="89"/>
      <c r="Z1013" s="89"/>
      <c r="AA1013" s="89"/>
      <c r="AB1013" s="89"/>
      <c r="AC1013" s="89"/>
      <c r="AD1013" s="89"/>
      <c r="AE1013" s="89"/>
      <c r="AF1013" s="89"/>
      <c r="AG1013" s="89"/>
      <c r="AH1013" s="89"/>
      <c r="AI1013" s="89"/>
      <c r="AJ1013" s="89"/>
      <c r="AK1013" s="89"/>
      <c r="AL1013" s="89"/>
      <c r="AM1013" s="89"/>
      <c r="AN1013" s="89"/>
      <c r="AO1013" s="89"/>
      <c r="AP1013" s="89"/>
      <c r="AQ1013" s="89"/>
      <c r="AR1013" s="89"/>
      <c r="AS1013" s="89"/>
      <c r="AT1013" s="89"/>
      <c r="AU1013" s="89"/>
      <c r="AV1013" s="89"/>
      <c r="AW1013" s="89"/>
      <c r="AX1013" s="89"/>
      <c r="AY1013" s="89"/>
      <c r="AZ1013" s="89"/>
      <c r="BA1013" s="95"/>
    </row>
    <row r="1014" spans="1:53" s="87" customFormat="1">
      <c r="A1014" s="374" t="str">
        <f t="shared" si="63"/>
        <v/>
      </c>
      <c r="B1014" s="89">
        <v>27</v>
      </c>
      <c r="C1014" s="89" t="s">
        <v>202</v>
      </c>
      <c r="D1014" s="89" t="s">
        <v>210</v>
      </c>
      <c r="E1014" s="89">
        <v>4</v>
      </c>
      <c r="F1014" s="89" t="s">
        <v>210</v>
      </c>
      <c r="G1014" s="89" t="s">
        <v>210</v>
      </c>
      <c r="H1014" s="89">
        <v>-6</v>
      </c>
      <c r="I1014" s="89">
        <v>2</v>
      </c>
      <c r="J1014" s="89" t="s">
        <v>210</v>
      </c>
      <c r="K1014" s="89" t="s">
        <v>210</v>
      </c>
      <c r="L1014" s="89">
        <v>-5</v>
      </c>
      <c r="M1014" s="89"/>
      <c r="N1014" s="89"/>
      <c r="O1014" s="89"/>
      <c r="P1014" s="89"/>
      <c r="Q1014" s="89"/>
      <c r="R1014" s="89"/>
      <c r="S1014" s="89"/>
      <c r="T1014" s="89"/>
      <c r="U1014" s="89"/>
      <c r="V1014" s="89"/>
      <c r="W1014" s="89"/>
      <c r="X1014" s="89"/>
      <c r="Y1014" s="89"/>
      <c r="Z1014" s="89"/>
      <c r="AA1014" s="89"/>
      <c r="AB1014" s="89"/>
      <c r="AC1014" s="89"/>
      <c r="AD1014" s="89"/>
      <c r="AE1014" s="89"/>
      <c r="AF1014" s="89"/>
      <c r="AG1014" s="89"/>
      <c r="AH1014" s="89"/>
      <c r="AI1014" s="89"/>
      <c r="AJ1014" s="89"/>
      <c r="AK1014" s="89"/>
      <c r="AL1014" s="89"/>
      <c r="AM1014" s="89"/>
      <c r="AN1014" s="89"/>
      <c r="AO1014" s="89"/>
      <c r="AP1014" s="89"/>
      <c r="AQ1014" s="89"/>
      <c r="AR1014" s="89"/>
      <c r="AS1014" s="89"/>
      <c r="AT1014" s="89"/>
      <c r="AU1014" s="89"/>
      <c r="AV1014" s="89"/>
      <c r="AW1014" s="89"/>
      <c r="AX1014" s="89"/>
      <c r="AY1014" s="89"/>
      <c r="AZ1014" s="89"/>
      <c r="BA1014" s="95"/>
    </row>
    <row r="1015" spans="1:53" s="87" customFormat="1">
      <c r="A1015" s="374" t="str">
        <f t="shared" si="63"/>
        <v/>
      </c>
      <c r="B1015" s="89">
        <v>28</v>
      </c>
      <c r="C1015" s="89" t="s">
        <v>202</v>
      </c>
      <c r="D1015" s="89" t="s">
        <v>210</v>
      </c>
      <c r="E1015" s="89">
        <v>-1</v>
      </c>
      <c r="F1015" s="89" t="s">
        <v>210</v>
      </c>
      <c r="G1015" s="89" t="s">
        <v>210</v>
      </c>
      <c r="H1015" s="89">
        <v>2</v>
      </c>
      <c r="I1015" s="89">
        <v>-3</v>
      </c>
      <c r="J1015" s="89" t="s">
        <v>210</v>
      </c>
      <c r="K1015" s="89" t="s">
        <v>210</v>
      </c>
      <c r="L1015" s="89">
        <v>5</v>
      </c>
      <c r="M1015" s="89"/>
      <c r="N1015" s="89"/>
      <c r="O1015" s="89"/>
      <c r="P1015" s="89"/>
      <c r="Q1015" s="89"/>
      <c r="R1015" s="89"/>
      <c r="S1015" s="89"/>
      <c r="T1015" s="89"/>
      <c r="U1015" s="89"/>
      <c r="V1015" s="89"/>
      <c r="W1015" s="89"/>
      <c r="X1015" s="89"/>
      <c r="Y1015" s="89"/>
      <c r="Z1015" s="89"/>
      <c r="AA1015" s="89"/>
      <c r="AB1015" s="89"/>
      <c r="AC1015" s="89"/>
      <c r="AD1015" s="89"/>
      <c r="AE1015" s="89"/>
      <c r="AF1015" s="89"/>
      <c r="AG1015" s="89"/>
      <c r="AH1015" s="89"/>
      <c r="AI1015" s="89"/>
      <c r="AJ1015" s="89"/>
      <c r="AK1015" s="89"/>
      <c r="AL1015" s="89"/>
      <c r="AM1015" s="89"/>
      <c r="AN1015" s="89"/>
      <c r="AO1015" s="89"/>
      <c r="AP1015" s="89"/>
      <c r="AQ1015" s="89"/>
      <c r="AR1015" s="89"/>
      <c r="AS1015" s="89"/>
      <c r="AT1015" s="89"/>
      <c r="AU1015" s="89"/>
      <c r="AV1015" s="89"/>
      <c r="AW1015" s="89"/>
      <c r="AX1015" s="89"/>
      <c r="AY1015" s="89"/>
      <c r="AZ1015" s="89"/>
      <c r="BA1015" s="95"/>
    </row>
    <row r="1016" spans="1:53" s="87" customFormat="1">
      <c r="A1016" s="374" t="str">
        <f t="shared" si="63"/>
        <v/>
      </c>
      <c r="B1016" s="89" t="s">
        <v>405</v>
      </c>
      <c r="C1016" s="89"/>
      <c r="D1016" s="89"/>
      <c r="E1016" s="89"/>
      <c r="F1016" s="89"/>
      <c r="G1016" s="89"/>
      <c r="H1016" s="89"/>
      <c r="I1016" s="89"/>
      <c r="J1016" s="89"/>
      <c r="K1016" s="89"/>
      <c r="L1016" s="89"/>
      <c r="M1016" s="89"/>
      <c r="N1016" s="89"/>
      <c r="O1016" s="89"/>
      <c r="P1016" s="89"/>
      <c r="Q1016" s="89"/>
      <c r="R1016" s="89"/>
      <c r="S1016" s="89"/>
      <c r="T1016" s="89"/>
      <c r="U1016" s="89"/>
      <c r="V1016" s="89"/>
      <c r="W1016" s="89"/>
      <c r="X1016" s="89"/>
      <c r="Y1016" s="89"/>
      <c r="Z1016" s="89"/>
      <c r="AA1016" s="89"/>
      <c r="AB1016" s="89"/>
      <c r="AC1016" s="89"/>
      <c r="AD1016" s="89"/>
      <c r="AE1016" s="89"/>
      <c r="AF1016" s="89"/>
      <c r="AG1016" s="89"/>
      <c r="AH1016" s="89"/>
      <c r="AI1016" s="89"/>
      <c r="AJ1016" s="89"/>
      <c r="AK1016" s="89"/>
      <c r="AL1016" s="89"/>
      <c r="AM1016" s="89"/>
      <c r="AN1016" s="89"/>
      <c r="AO1016" s="89"/>
      <c r="AP1016" s="89"/>
      <c r="AQ1016" s="89"/>
      <c r="AR1016" s="89"/>
      <c r="AS1016" s="89"/>
      <c r="AT1016" s="89"/>
      <c r="AU1016" s="89"/>
      <c r="AV1016" s="89"/>
      <c r="AW1016" s="89"/>
      <c r="AX1016" s="89"/>
      <c r="AY1016" s="89"/>
      <c r="AZ1016" s="89"/>
      <c r="BA1016" s="95"/>
    </row>
    <row r="1017" spans="1:53" s="87" customFormat="1">
      <c r="A1017" s="374">
        <f t="shared" si="63"/>
        <v>1017</v>
      </c>
      <c r="B1017" s="89" t="s">
        <v>406</v>
      </c>
      <c r="C1017" s="89"/>
      <c r="D1017" s="89"/>
      <c r="E1017" s="89"/>
      <c r="F1017" s="89"/>
      <c r="G1017" s="89"/>
      <c r="H1017" s="89"/>
      <c r="I1017" s="89"/>
      <c r="J1017" s="89"/>
      <c r="K1017" s="89"/>
      <c r="L1017" s="89"/>
      <c r="M1017" s="89"/>
      <c r="N1017" s="89"/>
      <c r="O1017" s="89"/>
      <c r="P1017" s="89"/>
      <c r="Q1017" s="89"/>
      <c r="R1017" s="89"/>
      <c r="S1017" s="89"/>
      <c r="T1017" s="89"/>
      <c r="U1017" s="89"/>
      <c r="V1017" s="89"/>
      <c r="W1017" s="89"/>
      <c r="X1017" s="89"/>
      <c r="Y1017" s="89"/>
      <c r="Z1017" s="89"/>
      <c r="AA1017" s="89"/>
      <c r="AB1017" s="89"/>
      <c r="AC1017" s="89"/>
      <c r="AD1017" s="89"/>
      <c r="AE1017" s="89"/>
      <c r="AF1017" s="89"/>
      <c r="AG1017" s="89"/>
      <c r="AH1017" s="89"/>
      <c r="AI1017" s="89"/>
      <c r="AJ1017" s="89"/>
      <c r="AK1017" s="89"/>
      <c r="AL1017" s="89"/>
      <c r="AM1017" s="89"/>
      <c r="AN1017" s="89"/>
      <c r="AO1017" s="89"/>
      <c r="AP1017" s="89"/>
      <c r="AQ1017" s="89"/>
      <c r="AR1017" s="89"/>
      <c r="AS1017" s="89"/>
      <c r="AT1017" s="89"/>
      <c r="AU1017" s="89"/>
      <c r="AV1017" s="89"/>
      <c r="AW1017" s="89"/>
      <c r="AX1017" s="89"/>
      <c r="AY1017" s="89"/>
      <c r="AZ1017" s="89"/>
      <c r="BA1017" s="95"/>
    </row>
    <row r="1018" spans="1:53" s="87" customFormat="1">
      <c r="A1018" s="374" t="str">
        <f t="shared" si="63"/>
        <v/>
      </c>
      <c r="B1018" s="89">
        <v>1</v>
      </c>
      <c r="C1018" s="89">
        <v>-5</v>
      </c>
      <c r="D1018" s="89" t="s">
        <v>210</v>
      </c>
      <c r="E1018" s="89" t="s">
        <v>210</v>
      </c>
      <c r="F1018" s="89">
        <v>-4</v>
      </c>
      <c r="G1018" s="89">
        <v>2</v>
      </c>
      <c r="H1018" s="89" t="s">
        <v>210</v>
      </c>
      <c r="I1018" s="89" t="s">
        <v>202</v>
      </c>
      <c r="J1018" s="89" t="s">
        <v>210</v>
      </c>
      <c r="K1018" s="89">
        <v>3</v>
      </c>
      <c r="L1018" s="89" t="s">
        <v>210</v>
      </c>
      <c r="M1018" s="89"/>
      <c r="N1018" s="89"/>
      <c r="O1018" s="89"/>
      <c r="P1018" s="89"/>
      <c r="Q1018" s="89"/>
      <c r="R1018" s="89"/>
      <c r="S1018" s="89"/>
      <c r="T1018" s="89"/>
      <c r="U1018" s="89"/>
      <c r="V1018" s="89"/>
      <c r="W1018" s="89"/>
      <c r="X1018" s="89"/>
      <c r="Y1018" s="89"/>
      <c r="Z1018" s="89"/>
      <c r="AA1018" s="89"/>
      <c r="AB1018" s="89"/>
      <c r="AC1018" s="89"/>
      <c r="AD1018" s="89"/>
      <c r="AE1018" s="89"/>
      <c r="AF1018" s="89"/>
      <c r="AG1018" s="89"/>
      <c r="AH1018" s="89"/>
      <c r="AI1018" s="89"/>
      <c r="AJ1018" s="89"/>
      <c r="AK1018" s="89"/>
      <c r="AL1018" s="89"/>
      <c r="AM1018" s="89"/>
      <c r="AN1018" s="89"/>
      <c r="AO1018" s="89"/>
      <c r="AP1018" s="89"/>
      <c r="AQ1018" s="89"/>
      <c r="AR1018" s="89"/>
      <c r="AS1018" s="89"/>
      <c r="AT1018" s="89"/>
      <c r="AU1018" s="89"/>
      <c r="AV1018" s="89"/>
      <c r="AW1018" s="89"/>
      <c r="AX1018" s="89"/>
      <c r="AY1018" s="89"/>
      <c r="AZ1018" s="89"/>
      <c r="BA1018" s="95"/>
    </row>
    <row r="1019" spans="1:53" s="87" customFormat="1">
      <c r="A1019" s="374" t="str">
        <f t="shared" si="63"/>
        <v/>
      </c>
      <c r="B1019" s="89">
        <v>2</v>
      </c>
      <c r="C1019" s="89">
        <v>-6</v>
      </c>
      <c r="D1019" s="89" t="s">
        <v>210</v>
      </c>
      <c r="E1019" s="89" t="s">
        <v>210</v>
      </c>
      <c r="F1019" s="89">
        <v>5</v>
      </c>
      <c r="G1019" s="89" t="s">
        <v>202</v>
      </c>
      <c r="H1019" s="89" t="s">
        <v>210</v>
      </c>
      <c r="I1019" s="89" t="s">
        <v>210</v>
      </c>
      <c r="J1019" s="89">
        <v>2</v>
      </c>
      <c r="K1019" s="89">
        <v>-3</v>
      </c>
      <c r="L1019" s="89" t="s">
        <v>210</v>
      </c>
      <c r="M1019" s="89"/>
      <c r="N1019" s="89"/>
      <c r="O1019" s="89"/>
      <c r="P1019" s="89"/>
      <c r="Q1019" s="89"/>
      <c r="R1019" s="89"/>
      <c r="S1019" s="89"/>
      <c r="T1019" s="89"/>
      <c r="U1019" s="89"/>
      <c r="V1019" s="89"/>
      <c r="W1019" s="89"/>
      <c r="X1019" s="89"/>
      <c r="Y1019" s="89"/>
      <c r="Z1019" s="89"/>
      <c r="AA1019" s="89"/>
      <c r="AB1019" s="89"/>
      <c r="AC1019" s="89"/>
      <c r="AD1019" s="89"/>
      <c r="AE1019" s="89"/>
      <c r="AF1019" s="89"/>
      <c r="AG1019" s="89"/>
      <c r="AH1019" s="89"/>
      <c r="AI1019" s="89"/>
      <c r="AJ1019" s="89"/>
      <c r="AK1019" s="89"/>
      <c r="AL1019" s="89"/>
      <c r="AM1019" s="89"/>
      <c r="AN1019" s="89"/>
      <c r="AO1019" s="89"/>
      <c r="AP1019" s="89"/>
      <c r="AQ1019" s="89"/>
      <c r="AR1019" s="89"/>
      <c r="AS1019" s="89"/>
      <c r="AT1019" s="89"/>
      <c r="AU1019" s="89"/>
      <c r="AV1019" s="89"/>
      <c r="AW1019" s="89"/>
      <c r="AX1019" s="89"/>
      <c r="AY1019" s="89"/>
      <c r="AZ1019" s="89"/>
      <c r="BA1019" s="95"/>
    </row>
    <row r="1020" spans="1:53" s="87" customFormat="1">
      <c r="A1020" s="374" t="str">
        <f t="shared" si="63"/>
        <v/>
      </c>
      <c r="B1020" s="89">
        <v>3</v>
      </c>
      <c r="C1020" s="89">
        <v>5</v>
      </c>
      <c r="D1020" s="89" t="s">
        <v>210</v>
      </c>
      <c r="E1020" s="89" t="s">
        <v>202</v>
      </c>
      <c r="F1020" s="89" t="s">
        <v>210</v>
      </c>
      <c r="G1020" s="89">
        <v>1</v>
      </c>
      <c r="H1020" s="89" t="s">
        <v>210</v>
      </c>
      <c r="I1020" s="89" t="s">
        <v>210</v>
      </c>
      <c r="J1020" s="89">
        <v>-2</v>
      </c>
      <c r="K1020" s="89">
        <v>-4</v>
      </c>
      <c r="L1020" s="89" t="s">
        <v>210</v>
      </c>
      <c r="M1020" s="89"/>
      <c r="N1020" s="89"/>
      <c r="O1020" s="89"/>
      <c r="P1020" s="89"/>
      <c r="Q1020" s="89"/>
      <c r="R1020" s="89"/>
      <c r="S1020" s="89"/>
      <c r="T1020" s="89"/>
      <c r="U1020" s="89"/>
      <c r="V1020" s="89"/>
      <c r="W1020" s="89"/>
      <c r="X1020" s="89"/>
      <c r="Y1020" s="89"/>
      <c r="Z1020" s="89"/>
      <c r="AA1020" s="89"/>
      <c r="AB1020" s="89"/>
      <c r="AC1020" s="89"/>
      <c r="AD1020" s="89"/>
      <c r="AE1020" s="89"/>
      <c r="AF1020" s="89"/>
      <c r="AG1020" s="89"/>
      <c r="AH1020" s="89"/>
      <c r="AI1020" s="89"/>
      <c r="AJ1020" s="89"/>
      <c r="AK1020" s="89"/>
      <c r="AL1020" s="89"/>
      <c r="AM1020" s="89"/>
      <c r="AN1020" s="89"/>
      <c r="AO1020" s="89"/>
      <c r="AP1020" s="89"/>
      <c r="AQ1020" s="89"/>
      <c r="AR1020" s="89"/>
      <c r="AS1020" s="89"/>
      <c r="AT1020" s="89"/>
      <c r="AU1020" s="89"/>
      <c r="AV1020" s="89"/>
      <c r="AW1020" s="89"/>
      <c r="AX1020" s="89"/>
      <c r="AY1020" s="89"/>
      <c r="AZ1020" s="89"/>
      <c r="BA1020" s="95"/>
    </row>
    <row r="1021" spans="1:53" s="87" customFormat="1">
      <c r="A1021" s="374" t="str">
        <f t="shared" si="63"/>
        <v/>
      </c>
      <c r="B1021" s="89">
        <v>4</v>
      </c>
      <c r="C1021" s="89" t="s">
        <v>202</v>
      </c>
      <c r="D1021" s="89" t="s">
        <v>210</v>
      </c>
      <c r="E1021" s="89" t="s">
        <v>210</v>
      </c>
      <c r="F1021" s="89">
        <v>-5</v>
      </c>
      <c r="G1021" s="89">
        <v>-2</v>
      </c>
      <c r="H1021" s="89" t="s">
        <v>210</v>
      </c>
      <c r="I1021" s="89" t="s">
        <v>210</v>
      </c>
      <c r="J1021" s="89">
        <v>3</v>
      </c>
      <c r="K1021" s="89">
        <v>4</v>
      </c>
      <c r="L1021" s="89" t="s">
        <v>210</v>
      </c>
      <c r="M1021" s="89"/>
      <c r="N1021" s="89"/>
      <c r="O1021" s="89"/>
      <c r="P1021" s="89"/>
      <c r="Q1021" s="89"/>
      <c r="R1021" s="89"/>
      <c r="S1021" s="89"/>
      <c r="T1021" s="89"/>
      <c r="U1021" s="89"/>
      <c r="V1021" s="89"/>
      <c r="W1021" s="89"/>
      <c r="X1021" s="89"/>
      <c r="Y1021" s="89"/>
      <c r="Z1021" s="89"/>
      <c r="AA1021" s="89"/>
      <c r="AB1021" s="89"/>
      <c r="AC1021" s="89"/>
      <c r="AD1021" s="89"/>
      <c r="AE1021" s="89"/>
      <c r="AF1021" s="89"/>
      <c r="AG1021" s="89"/>
      <c r="AH1021" s="89"/>
      <c r="AI1021" s="89"/>
      <c r="AJ1021" s="89"/>
      <c r="AK1021" s="89"/>
      <c r="AL1021" s="89"/>
      <c r="AM1021" s="89"/>
      <c r="AN1021" s="89"/>
      <c r="AO1021" s="89"/>
      <c r="AP1021" s="89"/>
      <c r="AQ1021" s="89"/>
      <c r="AR1021" s="89"/>
      <c r="AS1021" s="89"/>
      <c r="AT1021" s="89"/>
      <c r="AU1021" s="89"/>
      <c r="AV1021" s="89"/>
      <c r="AW1021" s="89"/>
      <c r="AX1021" s="89"/>
      <c r="AY1021" s="89"/>
      <c r="AZ1021" s="89"/>
      <c r="BA1021" s="95"/>
    </row>
    <row r="1022" spans="1:53" s="87" customFormat="1">
      <c r="A1022" s="374" t="str">
        <f t="shared" si="63"/>
        <v/>
      </c>
      <c r="B1022" s="99">
        <v>5</v>
      </c>
      <c r="C1022" s="92">
        <v>6</v>
      </c>
      <c r="D1022" s="92" t="s">
        <v>210</v>
      </c>
      <c r="E1022" s="92" t="s">
        <v>210</v>
      </c>
      <c r="F1022" s="92">
        <v>4</v>
      </c>
      <c r="G1022" s="92">
        <v>-1</v>
      </c>
      <c r="H1022" s="92" t="s">
        <v>210</v>
      </c>
      <c r="I1022" s="92" t="s">
        <v>210</v>
      </c>
      <c r="J1022" s="92">
        <v>-3</v>
      </c>
      <c r="K1022" s="92" t="s">
        <v>202</v>
      </c>
      <c r="L1022" s="92" t="s">
        <v>210</v>
      </c>
      <c r="M1022" s="89"/>
      <c r="N1022" s="89"/>
      <c r="O1022" s="89"/>
      <c r="P1022" s="89"/>
      <c r="Q1022" s="89"/>
      <c r="R1022" s="89"/>
      <c r="S1022" s="89"/>
      <c r="T1022" s="89"/>
      <c r="U1022" s="89"/>
      <c r="V1022" s="89"/>
      <c r="W1022" s="89"/>
      <c r="X1022" s="89"/>
      <c r="Y1022" s="89"/>
      <c r="Z1022" s="89"/>
      <c r="AA1022" s="89"/>
      <c r="AB1022" s="89"/>
      <c r="AC1022" s="89"/>
      <c r="AD1022" s="89"/>
      <c r="AE1022" s="89"/>
      <c r="AF1022" s="89"/>
      <c r="AG1022" s="89"/>
      <c r="AH1022" s="89"/>
      <c r="AI1022" s="89"/>
      <c r="AJ1022" s="89"/>
      <c r="AK1022" s="89"/>
      <c r="AL1022" s="89"/>
      <c r="AM1022" s="89"/>
      <c r="AN1022" s="89"/>
      <c r="AO1022" s="89"/>
      <c r="AP1022" s="89"/>
      <c r="AQ1022" s="89"/>
      <c r="AR1022" s="89"/>
      <c r="AS1022" s="89"/>
      <c r="AT1022" s="89"/>
      <c r="AU1022" s="89"/>
      <c r="AV1022" s="89"/>
      <c r="AW1022" s="89"/>
      <c r="AX1022" s="89"/>
      <c r="AY1022" s="89"/>
      <c r="AZ1022" s="89"/>
      <c r="BA1022" s="95"/>
    </row>
    <row r="1023" spans="1:53" s="87" customFormat="1">
      <c r="A1023" s="374" t="str">
        <f t="shared" si="63"/>
        <v/>
      </c>
      <c r="B1023" s="89">
        <v>6</v>
      </c>
      <c r="C1023" s="89" t="s">
        <v>210</v>
      </c>
      <c r="D1023" s="89">
        <v>-4</v>
      </c>
      <c r="E1023" s="89" t="s">
        <v>202</v>
      </c>
      <c r="F1023" s="89" t="s">
        <v>210</v>
      </c>
      <c r="G1023" s="89">
        <v>-6</v>
      </c>
      <c r="H1023" s="89" t="s">
        <v>210</v>
      </c>
      <c r="I1023" s="89" t="s">
        <v>210</v>
      </c>
      <c r="J1023" s="89">
        <v>1</v>
      </c>
      <c r="K1023" s="89">
        <v>2</v>
      </c>
      <c r="L1023" s="89" t="s">
        <v>210</v>
      </c>
      <c r="M1023" s="89"/>
      <c r="N1023" s="89"/>
      <c r="O1023" s="89"/>
      <c r="P1023" s="89"/>
      <c r="Q1023" s="89"/>
      <c r="R1023" s="89"/>
      <c r="S1023" s="89"/>
      <c r="T1023" s="89"/>
      <c r="U1023" s="89"/>
      <c r="V1023" s="89"/>
      <c r="W1023" s="89"/>
      <c r="X1023" s="89"/>
      <c r="Y1023" s="89"/>
      <c r="Z1023" s="89"/>
      <c r="AA1023" s="89"/>
      <c r="AB1023" s="89"/>
      <c r="AC1023" s="89"/>
      <c r="AD1023" s="89"/>
      <c r="AE1023" s="89"/>
      <c r="AF1023" s="89"/>
      <c r="AG1023" s="89"/>
      <c r="AH1023" s="89"/>
      <c r="AI1023" s="89"/>
      <c r="AJ1023" s="89"/>
      <c r="AK1023" s="89"/>
      <c r="AL1023" s="89"/>
      <c r="AM1023" s="89"/>
      <c r="AN1023" s="89"/>
      <c r="AO1023" s="89"/>
      <c r="AP1023" s="89"/>
      <c r="AQ1023" s="89"/>
      <c r="AR1023" s="89"/>
      <c r="AS1023" s="89"/>
      <c r="AT1023" s="89"/>
      <c r="AU1023" s="89"/>
      <c r="AV1023" s="89"/>
      <c r="AW1023" s="89"/>
      <c r="AX1023" s="89"/>
      <c r="AY1023" s="89"/>
      <c r="AZ1023" s="89"/>
      <c r="BA1023" s="95"/>
    </row>
    <row r="1024" spans="1:53" s="87" customFormat="1">
      <c r="A1024" s="374" t="str">
        <f t="shared" si="63"/>
        <v/>
      </c>
      <c r="B1024" s="89">
        <v>7</v>
      </c>
      <c r="C1024" s="89" t="s">
        <v>202</v>
      </c>
      <c r="D1024" s="89" t="s">
        <v>210</v>
      </c>
      <c r="E1024" s="89" t="s">
        <v>210</v>
      </c>
      <c r="F1024" s="89">
        <v>6</v>
      </c>
      <c r="G1024" s="89">
        <v>3</v>
      </c>
      <c r="H1024" s="89" t="s">
        <v>210</v>
      </c>
      <c r="I1024" s="89" t="s">
        <v>210</v>
      </c>
      <c r="J1024" s="89">
        <v>-4</v>
      </c>
      <c r="K1024" s="89">
        <v>-2</v>
      </c>
      <c r="L1024" s="89" t="s">
        <v>210</v>
      </c>
      <c r="M1024" s="89"/>
      <c r="N1024" s="89"/>
      <c r="O1024" s="89"/>
      <c r="P1024" s="89"/>
      <c r="Q1024" s="89"/>
      <c r="R1024" s="89"/>
      <c r="S1024" s="89"/>
      <c r="T1024" s="89"/>
      <c r="U1024" s="89"/>
      <c r="V1024" s="89"/>
      <c r="W1024" s="89"/>
      <c r="X1024" s="89"/>
      <c r="Y1024" s="89"/>
      <c r="Z1024" s="89"/>
      <c r="AA1024" s="89"/>
      <c r="AB1024" s="89"/>
      <c r="AC1024" s="89"/>
      <c r="AD1024" s="89"/>
      <c r="AE1024" s="89"/>
      <c r="AF1024" s="89"/>
      <c r="AG1024" s="89"/>
      <c r="AH1024" s="89"/>
      <c r="AI1024" s="89"/>
      <c r="AJ1024" s="89"/>
      <c r="AK1024" s="89"/>
      <c r="AL1024" s="89"/>
      <c r="AM1024" s="89"/>
      <c r="AN1024" s="89"/>
      <c r="AO1024" s="89"/>
      <c r="AP1024" s="89"/>
      <c r="AQ1024" s="89"/>
      <c r="AR1024" s="89"/>
      <c r="AS1024" s="89"/>
      <c r="AT1024" s="89"/>
      <c r="AU1024" s="89"/>
      <c r="AV1024" s="89"/>
      <c r="AW1024" s="89"/>
      <c r="AX1024" s="89"/>
      <c r="AY1024" s="89"/>
      <c r="AZ1024" s="89"/>
      <c r="BA1024" s="95"/>
    </row>
    <row r="1025" spans="1:53" s="87" customFormat="1">
      <c r="A1025" s="374" t="str">
        <f t="shared" si="63"/>
        <v/>
      </c>
      <c r="B1025" s="89">
        <v>8</v>
      </c>
      <c r="C1025" s="89" t="s">
        <v>210</v>
      </c>
      <c r="D1025" s="89">
        <v>4</v>
      </c>
      <c r="E1025" s="89" t="s">
        <v>210</v>
      </c>
      <c r="F1025" s="89">
        <v>1</v>
      </c>
      <c r="G1025" s="89">
        <v>-3</v>
      </c>
      <c r="H1025" s="89" t="s">
        <v>210</v>
      </c>
      <c r="I1025" s="89" t="s">
        <v>202</v>
      </c>
      <c r="J1025" s="89" t="s">
        <v>210</v>
      </c>
      <c r="K1025" s="89">
        <v>-5</v>
      </c>
      <c r="L1025" s="89" t="s">
        <v>210</v>
      </c>
      <c r="M1025" s="89"/>
      <c r="N1025" s="89"/>
      <c r="O1025" s="89"/>
      <c r="P1025" s="89"/>
      <c r="Q1025" s="89"/>
      <c r="R1025" s="89"/>
      <c r="S1025" s="89"/>
      <c r="T1025" s="89"/>
      <c r="U1025" s="89"/>
      <c r="V1025" s="89"/>
      <c r="W1025" s="89"/>
      <c r="X1025" s="89"/>
      <c r="Y1025" s="89"/>
      <c r="Z1025" s="89"/>
      <c r="AA1025" s="89"/>
      <c r="AB1025" s="89"/>
      <c r="AC1025" s="89"/>
      <c r="AD1025" s="89"/>
      <c r="AE1025" s="89"/>
      <c r="AF1025" s="89"/>
      <c r="AG1025" s="89"/>
      <c r="AH1025" s="89"/>
      <c r="AI1025" s="89"/>
      <c r="AJ1025" s="89"/>
      <c r="AK1025" s="89"/>
      <c r="AL1025" s="89"/>
      <c r="AM1025" s="89"/>
      <c r="AN1025" s="89"/>
      <c r="AO1025" s="89"/>
      <c r="AP1025" s="89"/>
      <c r="AQ1025" s="89"/>
      <c r="AR1025" s="89"/>
      <c r="AS1025" s="89"/>
      <c r="AT1025" s="89"/>
      <c r="AU1025" s="89"/>
      <c r="AV1025" s="89"/>
      <c r="AW1025" s="89"/>
      <c r="AX1025" s="89"/>
      <c r="AY1025" s="89"/>
      <c r="AZ1025" s="89"/>
      <c r="BA1025" s="95"/>
    </row>
    <row r="1026" spans="1:53" s="87" customFormat="1">
      <c r="A1026" s="374" t="str">
        <f t="shared" si="63"/>
        <v/>
      </c>
      <c r="B1026" s="89">
        <v>9</v>
      </c>
      <c r="C1026" s="89">
        <v>3</v>
      </c>
      <c r="D1026" s="89" t="s">
        <v>210</v>
      </c>
      <c r="E1026" s="89" t="s">
        <v>210</v>
      </c>
      <c r="F1026" s="89">
        <v>-6</v>
      </c>
      <c r="G1026" s="89" t="s">
        <v>202</v>
      </c>
      <c r="H1026" s="89" t="s">
        <v>210</v>
      </c>
      <c r="I1026" s="89" t="s">
        <v>210</v>
      </c>
      <c r="J1026" s="89">
        <v>-1</v>
      </c>
      <c r="K1026" s="89">
        <v>5</v>
      </c>
      <c r="L1026" s="89" t="s">
        <v>210</v>
      </c>
      <c r="M1026" s="89"/>
      <c r="N1026" s="89"/>
      <c r="O1026" s="89"/>
      <c r="P1026" s="89"/>
      <c r="Q1026" s="89"/>
      <c r="R1026" s="89"/>
      <c r="S1026" s="89"/>
      <c r="T1026" s="89"/>
      <c r="U1026" s="89"/>
      <c r="V1026" s="89"/>
      <c r="W1026" s="89"/>
      <c r="X1026" s="89"/>
      <c r="Y1026" s="89"/>
      <c r="Z1026" s="89"/>
      <c r="AA1026" s="89"/>
      <c r="AB1026" s="89"/>
      <c r="AC1026" s="89"/>
      <c r="AD1026" s="89"/>
      <c r="AE1026" s="89"/>
      <c r="AF1026" s="89"/>
      <c r="AG1026" s="89"/>
      <c r="AH1026" s="89"/>
      <c r="AI1026" s="89"/>
      <c r="AJ1026" s="89"/>
      <c r="AK1026" s="89"/>
      <c r="AL1026" s="89"/>
      <c r="AM1026" s="89"/>
      <c r="AN1026" s="89"/>
      <c r="AO1026" s="89"/>
      <c r="AP1026" s="89"/>
      <c r="AQ1026" s="89"/>
      <c r="AR1026" s="89"/>
      <c r="AS1026" s="89"/>
      <c r="AT1026" s="89"/>
      <c r="AU1026" s="89"/>
      <c r="AV1026" s="89"/>
      <c r="AW1026" s="89"/>
      <c r="AX1026" s="89"/>
      <c r="AY1026" s="89"/>
      <c r="AZ1026" s="89"/>
      <c r="BA1026" s="95"/>
    </row>
    <row r="1027" spans="1:53" s="87" customFormat="1">
      <c r="A1027" s="374" t="str">
        <f t="shared" si="63"/>
        <v/>
      </c>
      <c r="B1027" s="99">
        <v>10</v>
      </c>
      <c r="C1027" s="92">
        <v>-3</v>
      </c>
      <c r="D1027" s="92" t="s">
        <v>210</v>
      </c>
      <c r="E1027" s="92" t="s">
        <v>210</v>
      </c>
      <c r="F1027" s="92">
        <v>-1</v>
      </c>
      <c r="G1027" s="92">
        <v>6</v>
      </c>
      <c r="H1027" s="92" t="s">
        <v>210</v>
      </c>
      <c r="I1027" s="92" t="s">
        <v>210</v>
      </c>
      <c r="J1027" s="92">
        <v>4</v>
      </c>
      <c r="K1027" s="92" t="s">
        <v>202</v>
      </c>
      <c r="L1027" s="92" t="s">
        <v>210</v>
      </c>
      <c r="M1027" s="89"/>
      <c r="N1027" s="89"/>
      <c r="O1027" s="89"/>
      <c r="P1027" s="89"/>
      <c r="Q1027" s="89"/>
      <c r="R1027" s="89"/>
      <c r="S1027" s="89"/>
      <c r="T1027" s="89"/>
      <c r="U1027" s="89"/>
      <c r="V1027" s="89"/>
      <c r="W1027" s="89"/>
      <c r="X1027" s="89"/>
      <c r="Y1027" s="89"/>
      <c r="Z1027" s="89"/>
      <c r="AA1027" s="89"/>
      <c r="AB1027" s="89"/>
      <c r="AC1027" s="89"/>
      <c r="AD1027" s="89"/>
      <c r="AE1027" s="89"/>
      <c r="AF1027" s="89"/>
      <c r="AG1027" s="89"/>
      <c r="AH1027" s="89"/>
      <c r="AI1027" s="89"/>
      <c r="AJ1027" s="89"/>
      <c r="AK1027" s="89"/>
      <c r="AL1027" s="89"/>
      <c r="AM1027" s="89"/>
      <c r="AN1027" s="89"/>
      <c r="AO1027" s="89"/>
      <c r="AP1027" s="89"/>
      <c r="AQ1027" s="89"/>
      <c r="AR1027" s="89"/>
      <c r="AS1027" s="89"/>
      <c r="AT1027" s="89"/>
      <c r="AU1027" s="89"/>
      <c r="AV1027" s="89"/>
      <c r="AW1027" s="89"/>
      <c r="AX1027" s="89"/>
      <c r="AY1027" s="89"/>
      <c r="AZ1027" s="89"/>
      <c r="BA1027" s="95"/>
    </row>
    <row r="1028" spans="1:53" s="87" customFormat="1">
      <c r="A1028" s="374" t="str">
        <f t="shared" si="63"/>
        <v/>
      </c>
      <c r="B1028" s="89">
        <v>11</v>
      </c>
      <c r="C1028" s="89" t="s">
        <v>210</v>
      </c>
      <c r="D1028" s="89">
        <v>2</v>
      </c>
      <c r="E1028" s="89" t="s">
        <v>202</v>
      </c>
      <c r="F1028" s="89" t="s">
        <v>210</v>
      </c>
      <c r="G1028" s="89">
        <v>4</v>
      </c>
      <c r="H1028" s="89" t="s">
        <v>210</v>
      </c>
      <c r="I1028" s="89" t="s">
        <v>210</v>
      </c>
      <c r="J1028" s="89">
        <v>-5</v>
      </c>
      <c r="K1028" s="89">
        <v>-1</v>
      </c>
      <c r="L1028" s="89" t="s">
        <v>210</v>
      </c>
      <c r="M1028" s="89"/>
      <c r="N1028" s="89"/>
      <c r="O1028" s="89"/>
      <c r="P1028" s="89"/>
      <c r="Q1028" s="89"/>
      <c r="R1028" s="89"/>
      <c r="S1028" s="89"/>
      <c r="T1028" s="89"/>
      <c r="U1028" s="89"/>
      <c r="V1028" s="89"/>
      <c r="W1028" s="89"/>
      <c r="X1028" s="89"/>
      <c r="Y1028" s="89"/>
      <c r="Z1028" s="89"/>
      <c r="AA1028" s="89"/>
      <c r="AB1028" s="89"/>
      <c r="AC1028" s="89"/>
      <c r="AD1028" s="89"/>
      <c r="AE1028" s="89"/>
      <c r="AF1028" s="89"/>
      <c r="AG1028" s="89"/>
      <c r="AH1028" s="89"/>
      <c r="AI1028" s="89"/>
      <c r="AJ1028" s="89"/>
      <c r="AK1028" s="89"/>
      <c r="AL1028" s="89"/>
      <c r="AM1028" s="89"/>
      <c r="AN1028" s="89"/>
      <c r="AO1028" s="89"/>
      <c r="AP1028" s="89"/>
      <c r="AQ1028" s="89"/>
      <c r="AR1028" s="89"/>
      <c r="AS1028" s="89"/>
      <c r="AT1028" s="89"/>
      <c r="AU1028" s="89"/>
      <c r="AV1028" s="89"/>
      <c r="AW1028" s="89"/>
      <c r="AX1028" s="89"/>
      <c r="AY1028" s="89"/>
      <c r="AZ1028" s="89"/>
      <c r="BA1028" s="95"/>
    </row>
    <row r="1029" spans="1:53" s="87" customFormat="1">
      <c r="A1029" s="374" t="str">
        <f t="shared" si="63"/>
        <v/>
      </c>
      <c r="B1029" s="89">
        <v>12</v>
      </c>
      <c r="C1029" s="89" t="s">
        <v>202</v>
      </c>
      <c r="D1029" s="89" t="s">
        <v>210</v>
      </c>
      <c r="E1029" s="89" t="s">
        <v>210</v>
      </c>
      <c r="F1029" s="89">
        <v>-2</v>
      </c>
      <c r="G1029" s="89">
        <v>-5</v>
      </c>
      <c r="H1029" s="89" t="s">
        <v>210</v>
      </c>
      <c r="I1029" s="89" t="s">
        <v>210</v>
      </c>
      <c r="J1029" s="89">
        <v>6</v>
      </c>
      <c r="K1029" s="89">
        <v>1</v>
      </c>
      <c r="L1029" s="89" t="s">
        <v>210</v>
      </c>
      <c r="M1029" s="89"/>
      <c r="N1029" s="89"/>
      <c r="O1029" s="89"/>
      <c r="P1029" s="89"/>
      <c r="Q1029" s="89"/>
      <c r="R1029" s="89"/>
      <c r="S1029" s="89"/>
      <c r="T1029" s="89"/>
      <c r="U1029" s="89"/>
      <c r="V1029" s="89"/>
      <c r="W1029" s="89"/>
      <c r="X1029" s="89"/>
      <c r="Y1029" s="89"/>
      <c r="Z1029" s="89"/>
      <c r="AA1029" s="89"/>
      <c r="AB1029" s="89"/>
      <c r="AC1029" s="89"/>
      <c r="AD1029" s="89"/>
      <c r="AE1029" s="89"/>
      <c r="AF1029" s="89"/>
      <c r="AG1029" s="89"/>
      <c r="AH1029" s="89"/>
      <c r="AI1029" s="89"/>
      <c r="AJ1029" s="89"/>
      <c r="AK1029" s="89"/>
      <c r="AL1029" s="89"/>
      <c r="AM1029" s="89"/>
      <c r="AN1029" s="89"/>
      <c r="AO1029" s="89"/>
      <c r="AP1029" s="89"/>
      <c r="AQ1029" s="89"/>
      <c r="AR1029" s="89"/>
      <c r="AS1029" s="89"/>
      <c r="AT1029" s="89"/>
      <c r="AU1029" s="89"/>
      <c r="AV1029" s="89"/>
      <c r="AW1029" s="89"/>
      <c r="AX1029" s="89"/>
      <c r="AY1029" s="89"/>
      <c r="AZ1029" s="89"/>
      <c r="BA1029" s="95"/>
    </row>
    <row r="1030" spans="1:53" s="87" customFormat="1">
      <c r="A1030" s="374" t="str">
        <f t="shared" si="63"/>
        <v/>
      </c>
      <c r="B1030" s="89">
        <v>13</v>
      </c>
      <c r="C1030" s="89" t="s">
        <v>210</v>
      </c>
      <c r="D1030" s="89">
        <v>-2</v>
      </c>
      <c r="E1030" s="89" t="s">
        <v>210</v>
      </c>
      <c r="F1030" s="89">
        <v>-3</v>
      </c>
      <c r="G1030" s="89">
        <v>5</v>
      </c>
      <c r="H1030" s="89" t="s">
        <v>210</v>
      </c>
      <c r="I1030" s="89" t="s">
        <v>202</v>
      </c>
      <c r="J1030" s="89" t="s">
        <v>210</v>
      </c>
      <c r="K1030" s="89">
        <v>6</v>
      </c>
      <c r="L1030" s="89" t="s">
        <v>210</v>
      </c>
      <c r="M1030" s="89"/>
      <c r="N1030" s="89"/>
      <c r="O1030" s="89"/>
      <c r="P1030" s="89"/>
      <c r="Q1030" s="89"/>
      <c r="R1030" s="89"/>
      <c r="S1030" s="89"/>
      <c r="T1030" s="89"/>
      <c r="U1030" s="89"/>
      <c r="V1030" s="89"/>
      <c r="W1030" s="89"/>
      <c r="X1030" s="89"/>
      <c r="Y1030" s="89"/>
      <c r="Z1030" s="89"/>
      <c r="AA1030" s="89"/>
      <c r="AB1030" s="89"/>
      <c r="AC1030" s="89"/>
      <c r="AD1030" s="89"/>
      <c r="AE1030" s="89"/>
      <c r="AF1030" s="89"/>
      <c r="AG1030" s="89"/>
      <c r="AH1030" s="89"/>
      <c r="AI1030" s="89"/>
      <c r="AJ1030" s="89"/>
      <c r="AK1030" s="89"/>
      <c r="AL1030" s="89"/>
      <c r="AM1030" s="89"/>
      <c r="AN1030" s="89"/>
      <c r="AO1030" s="89"/>
      <c r="AP1030" s="89"/>
      <c r="AQ1030" s="89"/>
      <c r="AR1030" s="89"/>
      <c r="AS1030" s="89"/>
      <c r="AT1030" s="89"/>
      <c r="AU1030" s="89"/>
      <c r="AV1030" s="89"/>
      <c r="AW1030" s="89"/>
      <c r="AX1030" s="89"/>
      <c r="AY1030" s="89"/>
      <c r="AZ1030" s="89"/>
      <c r="BA1030" s="95"/>
    </row>
    <row r="1031" spans="1:53" s="87" customFormat="1">
      <c r="A1031" s="374" t="str">
        <f t="shared" si="63"/>
        <v/>
      </c>
      <c r="B1031" s="89">
        <v>14</v>
      </c>
      <c r="C1031" s="89">
        <v>-1</v>
      </c>
      <c r="D1031" s="89" t="s">
        <v>210</v>
      </c>
      <c r="E1031" s="89" t="s">
        <v>210</v>
      </c>
      <c r="F1031" s="89">
        <v>2</v>
      </c>
      <c r="G1031" s="89" t="s">
        <v>202</v>
      </c>
      <c r="H1031" s="89" t="s">
        <v>210</v>
      </c>
      <c r="I1031" s="89" t="s">
        <v>210</v>
      </c>
      <c r="J1031" s="89">
        <v>5</v>
      </c>
      <c r="K1031" s="89">
        <v>-6</v>
      </c>
      <c r="L1031" s="89" t="s">
        <v>210</v>
      </c>
      <c r="M1031" s="89"/>
      <c r="N1031" s="89"/>
      <c r="O1031" s="89"/>
      <c r="P1031" s="89"/>
      <c r="Q1031" s="89"/>
      <c r="R1031" s="89"/>
      <c r="S1031" s="89"/>
      <c r="T1031" s="89"/>
      <c r="U1031" s="89"/>
      <c r="V1031" s="89"/>
      <c r="W1031" s="89"/>
      <c r="X1031" s="89"/>
      <c r="Y1031" s="89"/>
      <c r="Z1031" s="89"/>
      <c r="AA1031" s="89"/>
      <c r="AB1031" s="89"/>
      <c r="AC1031" s="89"/>
      <c r="AD1031" s="89"/>
      <c r="AE1031" s="89"/>
      <c r="AF1031" s="89"/>
      <c r="AG1031" s="89"/>
      <c r="AH1031" s="89"/>
      <c r="AI1031" s="89"/>
      <c r="AJ1031" s="89"/>
      <c r="AK1031" s="89"/>
      <c r="AL1031" s="89"/>
      <c r="AM1031" s="89"/>
      <c r="AN1031" s="89"/>
      <c r="AO1031" s="89"/>
      <c r="AP1031" s="89"/>
      <c r="AQ1031" s="89"/>
      <c r="AR1031" s="89"/>
      <c r="AS1031" s="89"/>
      <c r="AT1031" s="89"/>
      <c r="AU1031" s="89"/>
      <c r="AV1031" s="89"/>
      <c r="AW1031" s="89"/>
      <c r="AX1031" s="89"/>
      <c r="AY1031" s="89"/>
      <c r="AZ1031" s="89"/>
      <c r="BA1031" s="95"/>
    </row>
    <row r="1032" spans="1:53" s="87" customFormat="1">
      <c r="A1032" s="374" t="str">
        <f t="shared" si="63"/>
        <v/>
      </c>
      <c r="B1032" s="99">
        <v>15</v>
      </c>
      <c r="C1032" s="92">
        <v>1</v>
      </c>
      <c r="D1032" s="92" t="s">
        <v>210</v>
      </c>
      <c r="E1032" s="92" t="s">
        <v>210</v>
      </c>
      <c r="F1032" s="92">
        <v>3</v>
      </c>
      <c r="G1032" s="92">
        <v>-4</v>
      </c>
      <c r="H1032" s="92" t="s">
        <v>210</v>
      </c>
      <c r="I1032" s="92" t="s">
        <v>210</v>
      </c>
      <c r="J1032" s="92">
        <v>-6</v>
      </c>
      <c r="K1032" s="92" t="s">
        <v>202</v>
      </c>
      <c r="L1032" s="92" t="s">
        <v>210</v>
      </c>
      <c r="M1032" s="89"/>
      <c r="N1032" s="89"/>
      <c r="O1032" s="89"/>
      <c r="P1032" s="89"/>
      <c r="Q1032" s="89"/>
      <c r="R1032" s="89"/>
      <c r="S1032" s="89"/>
      <c r="T1032" s="89"/>
      <c r="U1032" s="89"/>
      <c r="V1032" s="89"/>
      <c r="W1032" s="89"/>
      <c r="X1032" s="89"/>
      <c r="Y1032" s="89"/>
      <c r="Z1032" s="89"/>
      <c r="AA1032" s="89"/>
      <c r="AB1032" s="89"/>
      <c r="AC1032" s="89"/>
      <c r="AD1032" s="89"/>
      <c r="AE1032" s="89"/>
      <c r="AF1032" s="89"/>
      <c r="AG1032" s="89"/>
      <c r="AH1032" s="89"/>
      <c r="AI1032" s="89"/>
      <c r="AJ1032" s="89"/>
      <c r="AK1032" s="89"/>
      <c r="AL1032" s="89"/>
      <c r="AM1032" s="89"/>
      <c r="AN1032" s="89"/>
      <c r="AO1032" s="89"/>
      <c r="AP1032" s="89"/>
      <c r="AQ1032" s="89"/>
      <c r="AR1032" s="89"/>
      <c r="AS1032" s="89"/>
      <c r="AT1032" s="89"/>
      <c r="AU1032" s="89"/>
      <c r="AV1032" s="89"/>
      <c r="AW1032" s="89"/>
      <c r="AX1032" s="89"/>
      <c r="AY1032" s="89"/>
      <c r="AZ1032" s="89"/>
      <c r="BA1032" s="95"/>
    </row>
    <row r="1033" spans="1:53" s="87" customFormat="1">
      <c r="A1033" s="374" t="str">
        <f t="shared" si="63"/>
        <v/>
      </c>
      <c r="B1033" s="89">
        <v>16</v>
      </c>
      <c r="C1033" s="89" t="s">
        <v>202</v>
      </c>
      <c r="D1033" s="89" t="s">
        <v>210</v>
      </c>
      <c r="E1033" s="89">
        <v>-2</v>
      </c>
      <c r="F1033" s="89" t="s">
        <v>210</v>
      </c>
      <c r="G1033" s="89" t="s">
        <v>210</v>
      </c>
      <c r="H1033" s="89">
        <v>-5</v>
      </c>
      <c r="I1033" s="89">
        <v>4</v>
      </c>
      <c r="J1033" s="89" t="s">
        <v>210</v>
      </c>
      <c r="K1033" s="89" t="s">
        <v>210</v>
      </c>
      <c r="L1033" s="89">
        <v>3</v>
      </c>
      <c r="M1033" s="89"/>
      <c r="N1033" s="89"/>
      <c r="O1033" s="89"/>
      <c r="P1033" s="89"/>
      <c r="Q1033" s="89"/>
      <c r="R1033" s="89"/>
      <c r="S1033" s="89"/>
      <c r="T1033" s="89"/>
      <c r="U1033" s="89"/>
      <c r="V1033" s="89"/>
      <c r="W1033" s="89"/>
      <c r="X1033" s="89"/>
      <c r="Y1033" s="89"/>
      <c r="Z1033" s="89"/>
      <c r="AA1033" s="89"/>
      <c r="AB1033" s="89"/>
      <c r="AC1033" s="89"/>
      <c r="AD1033" s="89"/>
      <c r="AE1033" s="89"/>
      <c r="AF1033" s="89"/>
      <c r="AG1033" s="89"/>
      <c r="AH1033" s="89"/>
      <c r="AI1033" s="89"/>
      <c r="AJ1033" s="89"/>
      <c r="AK1033" s="89"/>
      <c r="AL1033" s="89"/>
      <c r="AM1033" s="89"/>
      <c r="AN1033" s="89"/>
      <c r="AO1033" s="89"/>
      <c r="AP1033" s="89"/>
      <c r="AQ1033" s="89"/>
      <c r="AR1033" s="89"/>
      <c r="AS1033" s="89"/>
      <c r="AT1033" s="89"/>
      <c r="AU1033" s="89"/>
      <c r="AV1033" s="89"/>
      <c r="AW1033" s="89"/>
      <c r="AX1033" s="89"/>
      <c r="AY1033" s="89"/>
      <c r="AZ1033" s="89"/>
      <c r="BA1033" s="95"/>
    </row>
    <row r="1034" spans="1:53" s="87" customFormat="1">
      <c r="A1034" s="374" t="str">
        <f t="shared" si="63"/>
        <v/>
      </c>
      <c r="B1034" s="89">
        <v>17</v>
      </c>
      <c r="C1034" s="89">
        <v>2</v>
      </c>
      <c r="D1034" s="89" t="s">
        <v>210</v>
      </c>
      <c r="E1034" s="89" t="s">
        <v>202</v>
      </c>
      <c r="F1034" s="89" t="s">
        <v>210</v>
      </c>
      <c r="G1034" s="89" t="s">
        <v>210</v>
      </c>
      <c r="H1034" s="89">
        <v>-6</v>
      </c>
      <c r="I1034" s="89">
        <v>1</v>
      </c>
      <c r="J1034" s="89" t="s">
        <v>210</v>
      </c>
      <c r="K1034" s="89" t="s">
        <v>210</v>
      </c>
      <c r="L1034" s="89">
        <v>-3</v>
      </c>
      <c r="M1034" s="89"/>
      <c r="N1034" s="89"/>
      <c r="O1034" s="89"/>
      <c r="P1034" s="89"/>
      <c r="Q1034" s="89"/>
      <c r="R1034" s="89"/>
      <c r="S1034" s="89"/>
      <c r="T1034" s="89"/>
      <c r="U1034" s="89"/>
      <c r="V1034" s="89"/>
      <c r="W1034" s="89"/>
      <c r="X1034" s="89"/>
      <c r="Y1034" s="89"/>
      <c r="Z1034" s="89"/>
      <c r="AA1034" s="89"/>
      <c r="AB1034" s="89"/>
      <c r="AC1034" s="89"/>
      <c r="AD1034" s="89"/>
      <c r="AE1034" s="89"/>
      <c r="AF1034" s="89"/>
      <c r="AG1034" s="89"/>
      <c r="AH1034" s="89"/>
      <c r="AI1034" s="89"/>
      <c r="AJ1034" s="89"/>
      <c r="AK1034" s="89"/>
      <c r="AL1034" s="89"/>
      <c r="AM1034" s="89"/>
      <c r="AN1034" s="89"/>
      <c r="AO1034" s="89"/>
      <c r="AP1034" s="89"/>
      <c r="AQ1034" s="89"/>
      <c r="AR1034" s="89"/>
      <c r="AS1034" s="89"/>
      <c r="AT1034" s="89"/>
      <c r="AU1034" s="89"/>
      <c r="AV1034" s="89"/>
      <c r="AW1034" s="89"/>
      <c r="AX1034" s="89"/>
      <c r="AY1034" s="89"/>
      <c r="AZ1034" s="89"/>
      <c r="BA1034" s="95"/>
    </row>
    <row r="1035" spans="1:53" s="87" customFormat="1">
      <c r="A1035" s="374" t="str">
        <f t="shared" si="63"/>
        <v/>
      </c>
      <c r="B1035" s="89">
        <v>18</v>
      </c>
      <c r="C1035" s="89">
        <v>-2</v>
      </c>
      <c r="D1035" s="89" t="s">
        <v>210</v>
      </c>
      <c r="E1035" s="89">
        <v>-3</v>
      </c>
      <c r="F1035" s="89" t="s">
        <v>210</v>
      </c>
      <c r="G1035" s="89" t="s">
        <v>210</v>
      </c>
      <c r="H1035" s="89">
        <v>5</v>
      </c>
      <c r="I1035" s="89" t="s">
        <v>202</v>
      </c>
      <c r="J1035" s="89" t="s">
        <v>210</v>
      </c>
      <c r="K1035" s="89" t="s">
        <v>210</v>
      </c>
      <c r="L1035" s="89">
        <v>4</v>
      </c>
      <c r="M1035" s="89"/>
      <c r="N1035" s="89"/>
      <c r="O1035" s="89"/>
      <c r="P1035" s="89"/>
      <c r="Q1035" s="89"/>
      <c r="R1035" s="89"/>
      <c r="S1035" s="89"/>
      <c r="T1035" s="89"/>
      <c r="U1035" s="89"/>
      <c r="V1035" s="89"/>
      <c r="W1035" s="89"/>
      <c r="X1035" s="89"/>
      <c r="Y1035" s="89"/>
      <c r="Z1035" s="89"/>
      <c r="AA1035" s="89"/>
      <c r="AB1035" s="89"/>
      <c r="AC1035" s="89"/>
      <c r="AD1035" s="89"/>
      <c r="AE1035" s="89"/>
      <c r="AF1035" s="89"/>
      <c r="AG1035" s="89"/>
      <c r="AH1035" s="89"/>
      <c r="AI1035" s="89"/>
      <c r="AJ1035" s="89"/>
      <c r="AK1035" s="89"/>
      <c r="AL1035" s="89"/>
      <c r="AM1035" s="89"/>
      <c r="AN1035" s="89"/>
      <c r="AO1035" s="89"/>
      <c r="AP1035" s="89"/>
      <c r="AQ1035" s="89"/>
      <c r="AR1035" s="89"/>
      <c r="AS1035" s="89"/>
      <c r="AT1035" s="89"/>
      <c r="AU1035" s="89"/>
      <c r="AV1035" s="89"/>
      <c r="AW1035" s="89"/>
      <c r="AX1035" s="89"/>
      <c r="AY1035" s="89"/>
      <c r="AZ1035" s="89"/>
      <c r="BA1035" s="95"/>
    </row>
    <row r="1036" spans="1:53" s="87" customFormat="1">
      <c r="A1036" s="374" t="str">
        <f t="shared" ref="A1036:A1099" si="64">IF(MID(B1036,3,2)="06",ROW(),"")</f>
        <v/>
      </c>
      <c r="B1036" s="89">
        <v>19</v>
      </c>
      <c r="C1036" s="89" t="s">
        <v>210</v>
      </c>
      <c r="D1036" s="89">
        <v>5</v>
      </c>
      <c r="E1036" s="89">
        <v>2</v>
      </c>
      <c r="F1036" s="89" t="s">
        <v>210</v>
      </c>
      <c r="G1036" s="89" t="s">
        <v>202</v>
      </c>
      <c r="H1036" s="89" t="s">
        <v>210</v>
      </c>
      <c r="I1036" s="89">
        <v>-1</v>
      </c>
      <c r="J1036" s="89" t="s">
        <v>210</v>
      </c>
      <c r="K1036" s="89" t="s">
        <v>210</v>
      </c>
      <c r="L1036" s="89">
        <v>-4</v>
      </c>
      <c r="M1036" s="89"/>
      <c r="N1036" s="89"/>
      <c r="O1036" s="89"/>
      <c r="P1036" s="89"/>
      <c r="Q1036" s="89"/>
      <c r="R1036" s="89"/>
      <c r="S1036" s="89"/>
      <c r="T1036" s="89"/>
      <c r="U1036" s="89"/>
      <c r="V1036" s="89"/>
      <c r="W1036" s="89"/>
      <c r="X1036" s="89"/>
      <c r="Y1036" s="89"/>
      <c r="Z1036" s="89"/>
      <c r="AA1036" s="89"/>
      <c r="AB1036" s="89"/>
      <c r="AC1036" s="89"/>
      <c r="AD1036" s="89"/>
      <c r="AE1036" s="89"/>
      <c r="AF1036" s="89"/>
      <c r="AG1036" s="89"/>
      <c r="AH1036" s="89"/>
      <c r="AI1036" s="89"/>
      <c r="AJ1036" s="89"/>
      <c r="AK1036" s="89"/>
      <c r="AL1036" s="89"/>
      <c r="AM1036" s="89"/>
      <c r="AN1036" s="89"/>
      <c r="AO1036" s="89"/>
      <c r="AP1036" s="89"/>
      <c r="AQ1036" s="89"/>
      <c r="AR1036" s="89"/>
      <c r="AS1036" s="89"/>
      <c r="AT1036" s="89"/>
      <c r="AU1036" s="89"/>
      <c r="AV1036" s="89"/>
      <c r="AW1036" s="89"/>
      <c r="AX1036" s="89"/>
      <c r="AY1036" s="89"/>
      <c r="AZ1036" s="89"/>
      <c r="BA1036" s="95"/>
    </row>
    <row r="1037" spans="1:53" s="87" customFormat="1">
      <c r="A1037" s="374" t="str">
        <f t="shared" si="64"/>
        <v/>
      </c>
      <c r="B1037" s="99">
        <v>20</v>
      </c>
      <c r="C1037" s="92" t="s">
        <v>210</v>
      </c>
      <c r="D1037" s="92">
        <v>-5</v>
      </c>
      <c r="E1037" s="92">
        <v>3</v>
      </c>
      <c r="F1037" s="92" t="s">
        <v>210</v>
      </c>
      <c r="G1037" s="92" t="s">
        <v>210</v>
      </c>
      <c r="H1037" s="92">
        <v>6</v>
      </c>
      <c r="I1037" s="92">
        <v>-4</v>
      </c>
      <c r="J1037" s="92" t="s">
        <v>210</v>
      </c>
      <c r="K1037" s="92" t="s">
        <v>202</v>
      </c>
      <c r="L1037" s="92" t="s">
        <v>210</v>
      </c>
      <c r="M1037" s="89"/>
      <c r="N1037" s="89"/>
      <c r="O1037" s="89"/>
      <c r="P1037" s="89"/>
      <c r="Q1037" s="89"/>
      <c r="R1037" s="89"/>
      <c r="S1037" s="89"/>
      <c r="T1037" s="89"/>
      <c r="U1037" s="89"/>
      <c r="V1037" s="89"/>
      <c r="W1037" s="89"/>
      <c r="X1037" s="89"/>
      <c r="Y1037" s="89"/>
      <c r="Z1037" s="89"/>
      <c r="AA1037" s="89"/>
      <c r="AB1037" s="89"/>
      <c r="AC1037" s="89"/>
      <c r="AD1037" s="89"/>
      <c r="AE1037" s="89"/>
      <c r="AF1037" s="89"/>
      <c r="AG1037" s="89"/>
      <c r="AH1037" s="89"/>
      <c r="AI1037" s="89"/>
      <c r="AJ1037" s="89"/>
      <c r="AK1037" s="89"/>
      <c r="AL1037" s="89"/>
      <c r="AM1037" s="89"/>
      <c r="AN1037" s="89"/>
      <c r="AO1037" s="89"/>
      <c r="AP1037" s="89"/>
      <c r="AQ1037" s="89"/>
      <c r="AR1037" s="89"/>
      <c r="AS1037" s="89"/>
      <c r="AT1037" s="89"/>
      <c r="AU1037" s="89"/>
      <c r="AV1037" s="89"/>
      <c r="AW1037" s="89"/>
      <c r="AX1037" s="89"/>
      <c r="AY1037" s="89"/>
      <c r="AZ1037" s="89"/>
      <c r="BA1037" s="95"/>
    </row>
    <row r="1038" spans="1:53" s="87" customFormat="1">
      <c r="A1038" s="374" t="str">
        <f t="shared" si="64"/>
        <v/>
      </c>
      <c r="B1038" s="89">
        <v>21</v>
      </c>
      <c r="C1038" s="89">
        <v>4</v>
      </c>
      <c r="D1038" s="89" t="s">
        <v>210</v>
      </c>
      <c r="E1038" s="89">
        <v>5</v>
      </c>
      <c r="F1038" s="89" t="s">
        <v>210</v>
      </c>
      <c r="G1038" s="89" t="s">
        <v>210</v>
      </c>
      <c r="H1038" s="89">
        <v>-3</v>
      </c>
      <c r="I1038" s="89" t="s">
        <v>202</v>
      </c>
      <c r="J1038" s="89" t="s">
        <v>210</v>
      </c>
      <c r="K1038" s="89" t="s">
        <v>210</v>
      </c>
      <c r="L1038" s="89">
        <v>-2</v>
      </c>
      <c r="M1038" s="89"/>
      <c r="N1038" s="89"/>
      <c r="O1038" s="89"/>
      <c r="P1038" s="89"/>
      <c r="Q1038" s="89"/>
      <c r="R1038" s="89"/>
      <c r="S1038" s="89"/>
      <c r="T1038" s="89"/>
      <c r="U1038" s="89"/>
      <c r="V1038" s="89"/>
      <c r="W1038" s="89"/>
      <c r="X1038" s="89"/>
      <c r="Y1038" s="89"/>
      <c r="Z1038" s="89"/>
      <c r="AA1038" s="89"/>
      <c r="AB1038" s="89"/>
      <c r="AC1038" s="89"/>
      <c r="AD1038" s="89"/>
      <c r="AE1038" s="89"/>
      <c r="AF1038" s="89"/>
      <c r="AG1038" s="89"/>
      <c r="AH1038" s="89"/>
      <c r="AI1038" s="89"/>
      <c r="AJ1038" s="89"/>
      <c r="AK1038" s="89"/>
      <c r="AL1038" s="89"/>
      <c r="AM1038" s="89"/>
      <c r="AN1038" s="89"/>
      <c r="AO1038" s="89"/>
      <c r="AP1038" s="89"/>
      <c r="AQ1038" s="89"/>
      <c r="AR1038" s="89"/>
      <c r="AS1038" s="89"/>
      <c r="AT1038" s="89"/>
      <c r="AU1038" s="89"/>
      <c r="AV1038" s="89"/>
      <c r="AW1038" s="89"/>
      <c r="AX1038" s="89"/>
      <c r="AY1038" s="89"/>
      <c r="AZ1038" s="89"/>
      <c r="BA1038" s="95"/>
    </row>
    <row r="1039" spans="1:53" s="87" customFormat="1">
      <c r="A1039" s="374" t="str">
        <f t="shared" si="64"/>
        <v/>
      </c>
      <c r="B1039" s="89">
        <v>22</v>
      </c>
      <c r="C1039" s="89" t="s">
        <v>210</v>
      </c>
      <c r="D1039" s="89">
        <v>-3</v>
      </c>
      <c r="E1039" s="89">
        <v>-4</v>
      </c>
      <c r="F1039" s="89" t="s">
        <v>210</v>
      </c>
      <c r="G1039" s="89" t="s">
        <v>202</v>
      </c>
      <c r="H1039" s="89" t="s">
        <v>210</v>
      </c>
      <c r="I1039" s="89">
        <v>6</v>
      </c>
      <c r="J1039" s="89" t="s">
        <v>210</v>
      </c>
      <c r="K1039" s="89" t="s">
        <v>210</v>
      </c>
      <c r="L1039" s="89">
        <v>2</v>
      </c>
      <c r="M1039" s="89"/>
      <c r="N1039" s="89"/>
      <c r="O1039" s="89"/>
      <c r="P1039" s="89"/>
      <c r="Q1039" s="89"/>
      <c r="R1039" s="89"/>
      <c r="S1039" s="89"/>
      <c r="T1039" s="89"/>
      <c r="U1039" s="89"/>
      <c r="V1039" s="89"/>
      <c r="W1039" s="89"/>
      <c r="X1039" s="89"/>
      <c r="Y1039" s="89"/>
      <c r="Z1039" s="89"/>
      <c r="AA1039" s="89"/>
      <c r="AB1039" s="89"/>
      <c r="AC1039" s="89"/>
      <c r="AD1039" s="89"/>
      <c r="AE1039" s="89"/>
      <c r="AF1039" s="89"/>
      <c r="AG1039" s="89"/>
      <c r="AH1039" s="89"/>
      <c r="AI1039" s="89"/>
      <c r="AJ1039" s="89"/>
      <c r="AK1039" s="89"/>
      <c r="AL1039" s="89"/>
      <c r="AM1039" s="89"/>
      <c r="AN1039" s="89"/>
      <c r="AO1039" s="89"/>
      <c r="AP1039" s="89"/>
      <c r="AQ1039" s="89"/>
      <c r="AR1039" s="89"/>
      <c r="AS1039" s="89"/>
      <c r="AT1039" s="89"/>
      <c r="AU1039" s="89"/>
      <c r="AV1039" s="89"/>
      <c r="AW1039" s="89"/>
      <c r="AX1039" s="89"/>
      <c r="AY1039" s="89"/>
      <c r="AZ1039" s="89"/>
      <c r="BA1039" s="95"/>
    </row>
    <row r="1040" spans="1:53" s="87" customFormat="1">
      <c r="A1040" s="374" t="str">
        <f t="shared" si="64"/>
        <v/>
      </c>
      <c r="B1040" s="89">
        <v>23</v>
      </c>
      <c r="C1040" s="89" t="s">
        <v>202</v>
      </c>
      <c r="D1040" s="89" t="s">
        <v>210</v>
      </c>
      <c r="E1040" s="89">
        <v>4</v>
      </c>
      <c r="F1040" s="89" t="s">
        <v>210</v>
      </c>
      <c r="G1040" s="89" t="s">
        <v>210</v>
      </c>
      <c r="H1040" s="89">
        <v>3</v>
      </c>
      <c r="I1040" s="89">
        <v>-2</v>
      </c>
      <c r="J1040" s="89" t="s">
        <v>210</v>
      </c>
      <c r="K1040" s="89" t="s">
        <v>210</v>
      </c>
      <c r="L1040" s="89">
        <v>-5</v>
      </c>
      <c r="M1040" s="89"/>
      <c r="N1040" s="89"/>
      <c r="O1040" s="89"/>
      <c r="P1040" s="89"/>
      <c r="Q1040" s="89"/>
      <c r="R1040" s="89"/>
      <c r="S1040" s="89"/>
      <c r="T1040" s="89"/>
      <c r="U1040" s="89"/>
      <c r="V1040" s="89"/>
      <c r="W1040" s="89"/>
      <c r="X1040" s="89"/>
      <c r="Y1040" s="89"/>
      <c r="Z1040" s="89"/>
      <c r="AA1040" s="89"/>
      <c r="AB1040" s="89"/>
      <c r="AC1040" s="89"/>
      <c r="AD1040" s="89"/>
      <c r="AE1040" s="89"/>
      <c r="AF1040" s="89"/>
      <c r="AG1040" s="89"/>
      <c r="AH1040" s="89"/>
      <c r="AI1040" s="89"/>
      <c r="AJ1040" s="89"/>
      <c r="AK1040" s="89"/>
      <c r="AL1040" s="89"/>
      <c r="AM1040" s="89"/>
      <c r="AN1040" s="89"/>
      <c r="AO1040" s="89"/>
      <c r="AP1040" s="89"/>
      <c r="AQ1040" s="89"/>
      <c r="AR1040" s="89"/>
      <c r="AS1040" s="89"/>
      <c r="AT1040" s="89"/>
      <c r="AU1040" s="89"/>
      <c r="AV1040" s="89"/>
      <c r="AW1040" s="89"/>
      <c r="AX1040" s="89"/>
      <c r="AY1040" s="89"/>
      <c r="AZ1040" s="89"/>
      <c r="BA1040" s="95"/>
    </row>
    <row r="1041" spans="1:53" s="87" customFormat="1">
      <c r="A1041" s="374" t="str">
        <f t="shared" si="64"/>
        <v/>
      </c>
      <c r="B1041" s="89">
        <v>24</v>
      </c>
      <c r="C1041" s="89">
        <v>-4</v>
      </c>
      <c r="D1041" s="89" t="s">
        <v>210</v>
      </c>
      <c r="E1041" s="89" t="s">
        <v>202</v>
      </c>
      <c r="F1041" s="89" t="s">
        <v>210</v>
      </c>
      <c r="G1041" s="89" t="s">
        <v>210</v>
      </c>
      <c r="H1041" s="89">
        <v>1</v>
      </c>
      <c r="I1041" s="89">
        <v>-6</v>
      </c>
      <c r="J1041" s="89" t="s">
        <v>210</v>
      </c>
      <c r="K1041" s="89" t="s">
        <v>210</v>
      </c>
      <c r="L1041" s="89">
        <v>5</v>
      </c>
      <c r="M1041" s="89"/>
      <c r="N1041" s="89"/>
      <c r="O1041" s="89"/>
      <c r="P1041" s="89"/>
      <c r="Q1041" s="89"/>
      <c r="R1041" s="89"/>
      <c r="S1041" s="89"/>
      <c r="T1041" s="89"/>
      <c r="U1041" s="89"/>
      <c r="V1041" s="89"/>
      <c r="W1041" s="89"/>
      <c r="X1041" s="89"/>
      <c r="Y1041" s="89"/>
      <c r="Z1041" s="89"/>
      <c r="AA1041" s="89"/>
      <c r="AB1041" s="89"/>
      <c r="AC1041" s="89"/>
      <c r="AD1041" s="89"/>
      <c r="AE1041" s="89"/>
      <c r="AF1041" s="89"/>
      <c r="AG1041" s="89"/>
      <c r="AH1041" s="89"/>
      <c r="AI1041" s="89"/>
      <c r="AJ1041" s="89"/>
      <c r="AK1041" s="89"/>
      <c r="AL1041" s="89"/>
      <c r="AM1041" s="89"/>
      <c r="AN1041" s="89"/>
      <c r="AO1041" s="89"/>
      <c r="AP1041" s="89"/>
      <c r="AQ1041" s="89"/>
      <c r="AR1041" s="89"/>
      <c r="AS1041" s="89"/>
      <c r="AT1041" s="89"/>
      <c r="AU1041" s="89"/>
      <c r="AV1041" s="89"/>
      <c r="AW1041" s="89"/>
      <c r="AX1041" s="89"/>
      <c r="AY1041" s="89"/>
      <c r="AZ1041" s="89"/>
      <c r="BA1041" s="95"/>
    </row>
    <row r="1042" spans="1:53" s="87" customFormat="1">
      <c r="A1042" s="374" t="str">
        <f t="shared" si="64"/>
        <v/>
      </c>
      <c r="B1042" s="99">
        <v>25</v>
      </c>
      <c r="C1042" s="92" t="s">
        <v>210</v>
      </c>
      <c r="D1042" s="92">
        <v>3</v>
      </c>
      <c r="E1042" s="92">
        <v>-5</v>
      </c>
      <c r="F1042" s="92" t="s">
        <v>210</v>
      </c>
      <c r="G1042" s="92" t="s">
        <v>210</v>
      </c>
      <c r="H1042" s="92">
        <v>-1</v>
      </c>
      <c r="I1042" s="92">
        <v>2</v>
      </c>
      <c r="J1042" s="92" t="s">
        <v>210</v>
      </c>
      <c r="K1042" s="92" t="s">
        <v>202</v>
      </c>
      <c r="L1042" s="92" t="s">
        <v>210</v>
      </c>
      <c r="M1042" s="89"/>
      <c r="N1042" s="89"/>
      <c r="O1042" s="89"/>
      <c r="P1042" s="89"/>
      <c r="Q1042" s="89"/>
      <c r="R1042" s="89"/>
      <c r="S1042" s="89"/>
      <c r="T1042" s="89"/>
      <c r="U1042" s="89"/>
      <c r="V1042" s="89"/>
      <c r="W1042" s="89"/>
      <c r="X1042" s="89"/>
      <c r="Y1042" s="89"/>
      <c r="Z1042" s="89"/>
      <c r="AA1042" s="89"/>
      <c r="AB1042" s="89"/>
      <c r="AC1042" s="89"/>
      <c r="AD1042" s="89"/>
      <c r="AE1042" s="89"/>
      <c r="AF1042" s="89"/>
      <c r="AG1042" s="89"/>
      <c r="AH1042" s="89"/>
      <c r="AI1042" s="89"/>
      <c r="AJ1042" s="89"/>
      <c r="AK1042" s="89"/>
      <c r="AL1042" s="89"/>
      <c r="AM1042" s="89"/>
      <c r="AN1042" s="89"/>
      <c r="AO1042" s="89"/>
      <c r="AP1042" s="89"/>
      <c r="AQ1042" s="89"/>
      <c r="AR1042" s="89"/>
      <c r="AS1042" s="89"/>
      <c r="AT1042" s="89"/>
      <c r="AU1042" s="89"/>
      <c r="AV1042" s="89"/>
      <c r="AW1042" s="89"/>
      <c r="AX1042" s="89"/>
      <c r="AY1042" s="89"/>
      <c r="AZ1042" s="89"/>
      <c r="BA1042" s="95"/>
    </row>
    <row r="1043" spans="1:53" s="87" customFormat="1">
      <c r="A1043" s="374" t="str">
        <f t="shared" si="64"/>
        <v/>
      </c>
      <c r="B1043" s="89">
        <v>26</v>
      </c>
      <c r="C1043" s="89" t="s">
        <v>202</v>
      </c>
      <c r="D1043" s="89" t="s">
        <v>210</v>
      </c>
      <c r="E1043" s="89">
        <v>-6</v>
      </c>
      <c r="F1043" s="89" t="s">
        <v>210</v>
      </c>
      <c r="G1043" s="89" t="s">
        <v>210</v>
      </c>
      <c r="H1043" s="89">
        <v>-4</v>
      </c>
      <c r="I1043" s="89">
        <v>3</v>
      </c>
      <c r="J1043" s="89" t="s">
        <v>210</v>
      </c>
      <c r="K1043" s="89" t="s">
        <v>210</v>
      </c>
      <c r="L1043" s="89">
        <v>1</v>
      </c>
      <c r="M1043" s="89"/>
      <c r="N1043" s="89"/>
      <c r="O1043" s="89"/>
      <c r="P1043" s="89"/>
      <c r="Q1043" s="89"/>
      <c r="R1043" s="89"/>
      <c r="S1043" s="89"/>
      <c r="T1043" s="89"/>
      <c r="U1043" s="89"/>
      <c r="V1043" s="89"/>
      <c r="W1043" s="89"/>
      <c r="X1043" s="89"/>
      <c r="Y1043" s="89"/>
      <c r="Z1043" s="89"/>
      <c r="AA1043" s="89"/>
      <c r="AB1043" s="89"/>
      <c r="AC1043" s="89"/>
      <c r="AD1043" s="89"/>
      <c r="AE1043" s="89"/>
      <c r="AF1043" s="89"/>
      <c r="AG1043" s="89"/>
      <c r="AH1043" s="89"/>
      <c r="AI1043" s="89"/>
      <c r="AJ1043" s="89"/>
      <c r="AK1043" s="89"/>
      <c r="AL1043" s="89"/>
      <c r="AM1043" s="89"/>
      <c r="AN1043" s="89"/>
      <c r="AO1043" s="89"/>
      <c r="AP1043" s="89"/>
      <c r="AQ1043" s="89"/>
      <c r="AR1043" s="89"/>
      <c r="AS1043" s="89"/>
      <c r="AT1043" s="89"/>
      <c r="AU1043" s="89"/>
      <c r="AV1043" s="89"/>
      <c r="AW1043" s="89"/>
      <c r="AX1043" s="89"/>
      <c r="AY1043" s="89"/>
      <c r="AZ1043" s="89"/>
      <c r="BA1043" s="95"/>
    </row>
    <row r="1044" spans="1:53" s="87" customFormat="1">
      <c r="A1044" s="374" t="str">
        <f t="shared" si="64"/>
        <v/>
      </c>
      <c r="B1044" s="89">
        <v>27</v>
      </c>
      <c r="C1044" s="89" t="s">
        <v>202</v>
      </c>
      <c r="D1044" s="89" t="s">
        <v>210</v>
      </c>
      <c r="E1044" s="89">
        <v>6</v>
      </c>
      <c r="F1044" s="89" t="s">
        <v>210</v>
      </c>
      <c r="G1044" s="89" t="s">
        <v>210</v>
      </c>
      <c r="H1044" s="89">
        <v>2</v>
      </c>
      <c r="I1044" s="89">
        <v>-5</v>
      </c>
      <c r="J1044" s="89" t="s">
        <v>210</v>
      </c>
      <c r="K1044" s="89" t="s">
        <v>210</v>
      </c>
      <c r="L1044" s="89">
        <v>-1</v>
      </c>
      <c r="M1044" s="89"/>
      <c r="N1044" s="89"/>
      <c r="O1044" s="89"/>
      <c r="P1044" s="89"/>
      <c r="Q1044" s="89"/>
      <c r="R1044" s="89"/>
      <c r="S1044" s="89"/>
      <c r="T1044" s="89"/>
      <c r="U1044" s="89"/>
      <c r="V1044" s="89"/>
      <c r="W1044" s="89"/>
      <c r="X1044" s="89"/>
      <c r="Y1044" s="89"/>
      <c r="Z1044" s="89"/>
      <c r="AA1044" s="89"/>
      <c r="AB1044" s="89"/>
      <c r="AC1044" s="89"/>
      <c r="AD1044" s="89"/>
      <c r="AE1044" s="89"/>
      <c r="AF1044" s="89"/>
      <c r="AG1044" s="89"/>
      <c r="AH1044" s="89"/>
      <c r="AI1044" s="89"/>
      <c r="AJ1044" s="89"/>
      <c r="AK1044" s="89"/>
      <c r="AL1044" s="89"/>
      <c r="AM1044" s="89"/>
      <c r="AN1044" s="89"/>
      <c r="AO1044" s="89"/>
      <c r="AP1044" s="89"/>
      <c r="AQ1044" s="89"/>
      <c r="AR1044" s="89"/>
      <c r="AS1044" s="89"/>
      <c r="AT1044" s="89"/>
      <c r="AU1044" s="89"/>
      <c r="AV1044" s="89"/>
      <c r="AW1044" s="89"/>
      <c r="AX1044" s="89"/>
      <c r="AY1044" s="89"/>
      <c r="AZ1044" s="89"/>
      <c r="BA1044" s="95"/>
    </row>
    <row r="1045" spans="1:53" s="87" customFormat="1">
      <c r="A1045" s="374" t="str">
        <f t="shared" si="64"/>
        <v/>
      </c>
      <c r="B1045" s="89">
        <v>28</v>
      </c>
      <c r="C1045" s="89" t="s">
        <v>202</v>
      </c>
      <c r="D1045" s="89" t="s">
        <v>210</v>
      </c>
      <c r="E1045" s="89">
        <v>1</v>
      </c>
      <c r="F1045" s="89" t="s">
        <v>210</v>
      </c>
      <c r="G1045" s="89" t="s">
        <v>210</v>
      </c>
      <c r="H1045" s="89">
        <v>-2</v>
      </c>
      <c r="I1045" s="89">
        <v>-3</v>
      </c>
      <c r="J1045" s="89" t="s">
        <v>210</v>
      </c>
      <c r="K1045" s="89" t="s">
        <v>210</v>
      </c>
      <c r="L1045" s="89">
        <v>6</v>
      </c>
      <c r="M1045" s="89"/>
      <c r="N1045" s="89"/>
      <c r="O1045" s="89"/>
      <c r="P1045" s="89"/>
      <c r="Q1045" s="89"/>
      <c r="R1045" s="89"/>
      <c r="S1045" s="89"/>
      <c r="T1045" s="89"/>
      <c r="U1045" s="89"/>
      <c r="V1045" s="89"/>
      <c r="W1045" s="89"/>
      <c r="X1045" s="89"/>
      <c r="Y1045" s="89"/>
      <c r="Z1045" s="89"/>
      <c r="AA1045" s="89"/>
      <c r="AB1045" s="89"/>
      <c r="AC1045" s="89"/>
      <c r="AD1045" s="89"/>
      <c r="AE1045" s="89"/>
      <c r="AF1045" s="89"/>
      <c r="AG1045" s="89"/>
      <c r="AH1045" s="89"/>
      <c r="AI1045" s="89"/>
      <c r="AJ1045" s="89"/>
      <c r="AK1045" s="89"/>
      <c r="AL1045" s="89"/>
      <c r="AM1045" s="89"/>
      <c r="AN1045" s="89"/>
      <c r="AO1045" s="89"/>
      <c r="AP1045" s="89"/>
      <c r="AQ1045" s="89"/>
      <c r="AR1045" s="89"/>
      <c r="AS1045" s="89"/>
      <c r="AT1045" s="89"/>
      <c r="AU1045" s="89"/>
      <c r="AV1045" s="89"/>
      <c r="AW1045" s="89"/>
      <c r="AX1045" s="89"/>
      <c r="AY1045" s="89"/>
      <c r="AZ1045" s="89"/>
      <c r="BA1045" s="95"/>
    </row>
    <row r="1046" spans="1:53" s="87" customFormat="1">
      <c r="A1046" s="374" t="str">
        <f t="shared" si="64"/>
        <v/>
      </c>
      <c r="B1046" s="89">
        <v>29</v>
      </c>
      <c r="C1046" s="89" t="s">
        <v>202</v>
      </c>
      <c r="D1046" s="89" t="s">
        <v>210</v>
      </c>
      <c r="E1046" s="89">
        <v>-1</v>
      </c>
      <c r="F1046" s="89" t="s">
        <v>210</v>
      </c>
      <c r="G1046" s="89" t="s">
        <v>210</v>
      </c>
      <c r="H1046" s="89">
        <v>4</v>
      </c>
      <c r="I1046" s="89">
        <v>5</v>
      </c>
      <c r="J1046" s="89" t="s">
        <v>210</v>
      </c>
      <c r="K1046" s="89" t="s">
        <v>210</v>
      </c>
      <c r="L1046" s="89">
        <v>-6</v>
      </c>
      <c r="M1046" s="89"/>
      <c r="N1046" s="89"/>
      <c r="O1046" s="89"/>
      <c r="P1046" s="89"/>
      <c r="Q1046" s="89"/>
      <c r="R1046" s="89"/>
      <c r="S1046" s="89"/>
      <c r="T1046" s="89"/>
      <c r="U1046" s="89"/>
      <c r="V1046" s="89"/>
      <c r="W1046" s="89"/>
      <c r="X1046" s="89"/>
      <c r="Y1046" s="89"/>
      <c r="Z1046" s="89"/>
      <c r="AA1046" s="89"/>
      <c r="AB1046" s="89"/>
      <c r="AC1046" s="89"/>
      <c r="AD1046" s="89"/>
      <c r="AE1046" s="89"/>
      <c r="AF1046" s="89"/>
      <c r="AG1046" s="89"/>
      <c r="AH1046" s="89"/>
      <c r="AI1046" s="89"/>
      <c r="AJ1046" s="89"/>
      <c r="AK1046" s="89"/>
      <c r="AL1046" s="89"/>
      <c r="AM1046" s="89"/>
      <c r="AN1046" s="89"/>
      <c r="AO1046" s="89"/>
      <c r="AP1046" s="89"/>
      <c r="AQ1046" s="89"/>
      <c r="AR1046" s="89"/>
      <c r="AS1046" s="89"/>
      <c r="AT1046" s="89"/>
      <c r="AU1046" s="89"/>
      <c r="AV1046" s="89"/>
      <c r="AW1046" s="89"/>
      <c r="AX1046" s="89"/>
      <c r="AY1046" s="89"/>
      <c r="AZ1046" s="89"/>
      <c r="BA1046" s="95"/>
    </row>
    <row r="1047" spans="1:53" s="87" customFormat="1">
      <c r="A1047" s="374" t="str">
        <f t="shared" si="64"/>
        <v/>
      </c>
      <c r="B1047" s="319" t="s">
        <v>1041</v>
      </c>
      <c r="C1047" s="89"/>
      <c r="D1047" s="89"/>
      <c r="E1047" s="89"/>
      <c r="F1047" s="89"/>
      <c r="G1047" s="89"/>
      <c r="H1047" s="89"/>
      <c r="I1047" s="89"/>
      <c r="J1047" s="89"/>
      <c r="K1047" s="89"/>
      <c r="L1047" s="89"/>
      <c r="M1047" s="89"/>
      <c r="N1047" s="89"/>
      <c r="O1047" s="89"/>
      <c r="P1047" s="89"/>
      <c r="Q1047" s="89"/>
      <c r="R1047" s="89"/>
      <c r="S1047" s="89"/>
      <c r="T1047" s="89"/>
      <c r="U1047" s="89"/>
      <c r="V1047" s="89"/>
      <c r="W1047" s="89"/>
      <c r="X1047" s="89"/>
      <c r="Y1047" s="89"/>
      <c r="Z1047" s="89"/>
      <c r="AA1047" s="89"/>
      <c r="AB1047" s="89"/>
      <c r="AC1047" s="89"/>
      <c r="AD1047" s="89"/>
      <c r="AE1047" s="89"/>
      <c r="AF1047" s="89"/>
      <c r="AG1047" s="89"/>
      <c r="AH1047" s="89"/>
      <c r="AI1047" s="89"/>
      <c r="AJ1047" s="89"/>
      <c r="AK1047" s="89"/>
      <c r="AL1047" s="89"/>
      <c r="AM1047" s="89"/>
      <c r="AN1047" s="89"/>
      <c r="AO1047" s="89"/>
      <c r="AP1047" s="89"/>
      <c r="AQ1047" s="89"/>
      <c r="AR1047" s="89"/>
      <c r="AS1047" s="89"/>
      <c r="AT1047" s="89"/>
      <c r="AU1047" s="89"/>
      <c r="AV1047" s="89"/>
      <c r="AW1047" s="89"/>
      <c r="AX1047" s="89"/>
      <c r="AY1047" s="89"/>
      <c r="AZ1047" s="89"/>
      <c r="BA1047" s="95"/>
    </row>
    <row r="1048" spans="1:53" s="87" customFormat="1">
      <c r="A1048" s="374">
        <f t="shared" si="64"/>
        <v>1048</v>
      </c>
      <c r="B1048" s="89" t="s">
        <v>407</v>
      </c>
      <c r="C1048" s="89"/>
      <c r="D1048" s="89"/>
      <c r="E1048" s="89"/>
      <c r="F1048" s="89"/>
      <c r="G1048" s="89"/>
      <c r="H1048" s="89"/>
      <c r="I1048" s="89"/>
      <c r="J1048" s="89"/>
      <c r="K1048" s="89"/>
      <c r="L1048" s="89"/>
      <c r="M1048" s="89"/>
      <c r="N1048" s="89"/>
      <c r="O1048" s="89"/>
      <c r="P1048" s="89"/>
      <c r="Q1048" s="89"/>
      <c r="R1048" s="89"/>
      <c r="S1048" s="89"/>
      <c r="T1048" s="89"/>
      <c r="U1048" s="89"/>
      <c r="V1048" s="89"/>
      <c r="W1048" s="89"/>
      <c r="X1048" s="89"/>
      <c r="Y1048" s="89"/>
      <c r="Z1048" s="89"/>
      <c r="AA1048" s="89"/>
      <c r="AB1048" s="89"/>
      <c r="AC1048" s="89"/>
      <c r="AD1048" s="89"/>
      <c r="AE1048" s="89"/>
      <c r="AF1048" s="89"/>
      <c r="AG1048" s="89"/>
      <c r="AH1048" s="89"/>
      <c r="AI1048" s="89"/>
      <c r="AJ1048" s="89"/>
      <c r="AK1048" s="89"/>
      <c r="AL1048" s="89"/>
      <c r="AM1048" s="89"/>
      <c r="AN1048" s="89"/>
      <c r="AO1048" s="89"/>
      <c r="AP1048" s="89"/>
      <c r="AQ1048" s="89"/>
      <c r="AR1048" s="89"/>
      <c r="AS1048" s="89"/>
      <c r="AT1048" s="89"/>
      <c r="AU1048" s="89"/>
      <c r="AV1048" s="89"/>
      <c r="AW1048" s="89"/>
      <c r="AX1048" s="89"/>
      <c r="AY1048" s="89"/>
      <c r="AZ1048" s="89"/>
      <c r="BA1048" s="95"/>
    </row>
    <row r="1049" spans="1:53" s="87" customFormat="1">
      <c r="A1049" s="374" t="str">
        <f t="shared" si="64"/>
        <v/>
      </c>
      <c r="B1049" s="89">
        <v>1</v>
      </c>
      <c r="C1049" s="89">
        <v>2</v>
      </c>
      <c r="D1049" s="89" t="s">
        <v>210</v>
      </c>
      <c r="E1049" s="89" t="s">
        <v>210</v>
      </c>
      <c r="F1049" s="89">
        <v>5</v>
      </c>
      <c r="G1049" s="89" t="s">
        <v>202</v>
      </c>
      <c r="H1049" s="89" t="s">
        <v>210</v>
      </c>
      <c r="I1049" s="89" t="s">
        <v>210</v>
      </c>
      <c r="J1049" s="89">
        <v>-4</v>
      </c>
      <c r="K1049" s="89">
        <v>-3</v>
      </c>
      <c r="L1049" s="89" t="s">
        <v>210</v>
      </c>
      <c r="M1049" s="89"/>
      <c r="N1049" s="89"/>
      <c r="O1049" s="89"/>
      <c r="P1049" s="89"/>
      <c r="Q1049" s="89"/>
      <c r="R1049" s="89"/>
      <c r="S1049" s="89"/>
      <c r="T1049" s="89"/>
      <c r="U1049" s="89"/>
      <c r="V1049" s="89"/>
      <c r="W1049" s="89"/>
      <c r="X1049" s="89"/>
      <c r="Y1049" s="89"/>
      <c r="Z1049" s="89"/>
      <c r="AA1049" s="89"/>
      <c r="AB1049" s="89"/>
      <c r="AC1049" s="89"/>
      <c r="AD1049" s="89"/>
      <c r="AE1049" s="89"/>
      <c r="AF1049" s="89"/>
      <c r="AG1049" s="89"/>
      <c r="AH1049" s="89"/>
      <c r="AI1049" s="89"/>
      <c r="AJ1049" s="89"/>
      <c r="AK1049" s="89"/>
      <c r="AL1049" s="89"/>
      <c r="AM1049" s="89"/>
      <c r="AN1049" s="89"/>
      <c r="AO1049" s="89"/>
      <c r="AP1049" s="89"/>
      <c r="AQ1049" s="89"/>
      <c r="AR1049" s="89"/>
      <c r="AS1049" s="89"/>
      <c r="AT1049" s="89"/>
      <c r="AU1049" s="89"/>
      <c r="AV1049" s="89"/>
      <c r="AW1049" s="89"/>
      <c r="AX1049" s="89"/>
      <c r="AY1049" s="89"/>
      <c r="AZ1049" s="89"/>
      <c r="BA1049" s="95"/>
    </row>
    <row r="1050" spans="1:53" s="87" customFormat="1">
      <c r="A1050" s="374" t="str">
        <f t="shared" si="64"/>
        <v/>
      </c>
      <c r="B1050" s="89">
        <v>2</v>
      </c>
      <c r="C1050" s="89">
        <v>-5</v>
      </c>
      <c r="D1050" s="89" t="s">
        <v>210</v>
      </c>
      <c r="E1050" s="89" t="s">
        <v>210</v>
      </c>
      <c r="F1050" s="89" t="s">
        <v>202</v>
      </c>
      <c r="G1050" s="89" t="s">
        <v>210</v>
      </c>
      <c r="H1050" s="89">
        <v>-1</v>
      </c>
      <c r="I1050" s="89" t="s">
        <v>210</v>
      </c>
      <c r="J1050" s="89">
        <v>2</v>
      </c>
      <c r="K1050" s="89">
        <v>3</v>
      </c>
      <c r="L1050" s="89" t="s">
        <v>210</v>
      </c>
      <c r="M1050" s="89"/>
      <c r="N1050" s="89"/>
      <c r="O1050" s="89"/>
      <c r="P1050" s="89"/>
      <c r="Q1050" s="89"/>
      <c r="R1050" s="89"/>
      <c r="S1050" s="89"/>
      <c r="T1050" s="89"/>
      <c r="U1050" s="89"/>
      <c r="V1050" s="89"/>
      <c r="W1050" s="89"/>
      <c r="X1050" s="89"/>
      <c r="Y1050" s="89"/>
      <c r="Z1050" s="89"/>
      <c r="AA1050" s="89"/>
      <c r="AB1050" s="89"/>
      <c r="AC1050" s="89"/>
      <c r="AD1050" s="89"/>
      <c r="AE1050" s="89"/>
      <c r="AF1050" s="89"/>
      <c r="AG1050" s="89"/>
      <c r="AH1050" s="89"/>
      <c r="AI1050" s="89"/>
      <c r="AJ1050" s="89"/>
      <c r="AK1050" s="89"/>
      <c r="AL1050" s="89"/>
      <c r="AM1050" s="89"/>
      <c r="AN1050" s="89"/>
      <c r="AO1050" s="89"/>
      <c r="AP1050" s="89"/>
      <c r="AQ1050" s="89"/>
      <c r="AR1050" s="89"/>
      <c r="AS1050" s="89"/>
      <c r="AT1050" s="89"/>
      <c r="AU1050" s="89"/>
      <c r="AV1050" s="89"/>
      <c r="AW1050" s="89"/>
      <c r="AX1050" s="89"/>
      <c r="AY1050" s="89"/>
      <c r="AZ1050" s="89"/>
      <c r="BA1050" s="95"/>
    </row>
    <row r="1051" spans="1:53" s="87" customFormat="1">
      <c r="A1051" s="374" t="str">
        <f t="shared" si="64"/>
        <v/>
      </c>
      <c r="B1051" s="89">
        <v>3</v>
      </c>
      <c r="C1051" s="89" t="s">
        <v>202</v>
      </c>
      <c r="D1051" s="89" t="s">
        <v>210</v>
      </c>
      <c r="E1051" s="89" t="s">
        <v>210</v>
      </c>
      <c r="F1051" s="89">
        <v>-5</v>
      </c>
      <c r="G1051" s="89">
        <v>6</v>
      </c>
      <c r="H1051" s="89" t="s">
        <v>210</v>
      </c>
      <c r="I1051" s="89" t="s">
        <v>210</v>
      </c>
      <c r="J1051" s="89">
        <v>-2</v>
      </c>
      <c r="K1051" s="89">
        <v>4</v>
      </c>
      <c r="L1051" s="89" t="s">
        <v>210</v>
      </c>
      <c r="M1051" s="89"/>
      <c r="N1051" s="89"/>
      <c r="O1051" s="89"/>
      <c r="P1051" s="89"/>
      <c r="Q1051" s="89"/>
      <c r="R1051" s="89"/>
      <c r="S1051" s="89"/>
      <c r="T1051" s="89"/>
      <c r="U1051" s="89"/>
      <c r="V1051" s="89"/>
      <c r="W1051" s="89"/>
      <c r="X1051" s="89"/>
      <c r="Y1051" s="89"/>
      <c r="Z1051" s="89"/>
      <c r="AA1051" s="89"/>
      <c r="AB1051" s="89"/>
      <c r="AC1051" s="89"/>
      <c r="AD1051" s="89"/>
      <c r="AE1051" s="89"/>
      <c r="AF1051" s="89"/>
      <c r="AG1051" s="89"/>
      <c r="AH1051" s="89"/>
      <c r="AI1051" s="89"/>
      <c r="AJ1051" s="89"/>
      <c r="AK1051" s="89"/>
      <c r="AL1051" s="89"/>
      <c r="AM1051" s="89"/>
      <c r="AN1051" s="89"/>
      <c r="AO1051" s="89"/>
      <c r="AP1051" s="89"/>
      <c r="AQ1051" s="89"/>
      <c r="AR1051" s="89"/>
      <c r="AS1051" s="89"/>
      <c r="AT1051" s="89"/>
      <c r="AU1051" s="89"/>
      <c r="AV1051" s="89"/>
      <c r="AW1051" s="89"/>
      <c r="AX1051" s="89"/>
      <c r="AY1051" s="89"/>
      <c r="AZ1051" s="89"/>
      <c r="BA1051" s="95"/>
    </row>
    <row r="1052" spans="1:53" s="87" customFormat="1">
      <c r="A1052" s="374" t="str">
        <f t="shared" si="64"/>
        <v/>
      </c>
      <c r="B1052" s="89">
        <v>4</v>
      </c>
      <c r="C1052" s="89">
        <v>-2</v>
      </c>
      <c r="D1052" s="89" t="s">
        <v>210</v>
      </c>
      <c r="E1052" s="89" t="s">
        <v>210</v>
      </c>
      <c r="F1052" s="89">
        <v>3</v>
      </c>
      <c r="G1052" s="89" t="s">
        <v>210</v>
      </c>
      <c r="H1052" s="89">
        <v>1</v>
      </c>
      <c r="I1052" s="89" t="s">
        <v>210</v>
      </c>
      <c r="J1052" s="89" t="s">
        <v>202</v>
      </c>
      <c r="K1052" s="89">
        <v>-4</v>
      </c>
      <c r="L1052" s="89" t="s">
        <v>210</v>
      </c>
      <c r="M1052" s="89"/>
      <c r="N1052" s="89"/>
      <c r="O1052" s="89"/>
      <c r="P1052" s="89"/>
      <c r="Q1052" s="89"/>
      <c r="R1052" s="89"/>
      <c r="S1052" s="89"/>
      <c r="T1052" s="89"/>
      <c r="U1052" s="89"/>
      <c r="V1052" s="89"/>
      <c r="W1052" s="89"/>
      <c r="X1052" s="89"/>
      <c r="Y1052" s="89"/>
      <c r="Z1052" s="89"/>
      <c r="AA1052" s="89"/>
      <c r="AB1052" s="89"/>
      <c r="AC1052" s="89"/>
      <c r="AD1052" s="89"/>
      <c r="AE1052" s="89"/>
      <c r="AF1052" s="89"/>
      <c r="AG1052" s="89"/>
      <c r="AH1052" s="89"/>
      <c r="AI1052" s="89"/>
      <c r="AJ1052" s="89"/>
      <c r="AK1052" s="89"/>
      <c r="AL1052" s="89"/>
      <c r="AM1052" s="89"/>
      <c r="AN1052" s="89"/>
      <c r="AO1052" s="89"/>
      <c r="AP1052" s="89"/>
      <c r="AQ1052" s="89"/>
      <c r="AR1052" s="89"/>
      <c r="AS1052" s="89"/>
      <c r="AT1052" s="89"/>
      <c r="AU1052" s="89"/>
      <c r="AV1052" s="89"/>
      <c r="AW1052" s="89"/>
      <c r="AX1052" s="89"/>
      <c r="AY1052" s="89"/>
      <c r="AZ1052" s="89"/>
      <c r="BA1052" s="95"/>
    </row>
    <row r="1053" spans="1:53" s="87" customFormat="1">
      <c r="A1053" s="374" t="str">
        <f t="shared" si="64"/>
        <v/>
      </c>
      <c r="B1053" s="99">
        <v>5</v>
      </c>
      <c r="C1053" s="92">
        <v>5</v>
      </c>
      <c r="D1053" s="92" t="s">
        <v>210</v>
      </c>
      <c r="E1053" s="92" t="s">
        <v>210</v>
      </c>
      <c r="F1053" s="92">
        <v>-3</v>
      </c>
      <c r="G1053" s="92">
        <v>-6</v>
      </c>
      <c r="H1053" s="92" t="s">
        <v>210</v>
      </c>
      <c r="I1053" s="92" t="s">
        <v>210</v>
      </c>
      <c r="J1053" s="92">
        <v>4</v>
      </c>
      <c r="K1053" s="92" t="s">
        <v>202</v>
      </c>
      <c r="L1053" s="92" t="s">
        <v>210</v>
      </c>
      <c r="M1053" s="89"/>
      <c r="N1053" s="89"/>
      <c r="O1053" s="89"/>
      <c r="P1053" s="89"/>
      <c r="Q1053" s="89"/>
      <c r="R1053" s="89"/>
      <c r="S1053" s="89"/>
      <c r="T1053" s="89"/>
      <c r="U1053" s="89"/>
      <c r="V1053" s="89"/>
      <c r="W1053" s="89"/>
      <c r="X1053" s="89"/>
      <c r="Y1053" s="89"/>
      <c r="Z1053" s="89"/>
      <c r="AA1053" s="89"/>
      <c r="AB1053" s="89"/>
      <c r="AC1053" s="89"/>
      <c r="AD1053" s="89"/>
      <c r="AE1053" s="89"/>
      <c r="AF1053" s="89"/>
      <c r="AG1053" s="89"/>
      <c r="AH1053" s="89"/>
      <c r="AI1053" s="89"/>
      <c r="AJ1053" s="89"/>
      <c r="AK1053" s="89"/>
      <c r="AL1053" s="89"/>
      <c r="AM1053" s="89"/>
      <c r="AN1053" s="89"/>
      <c r="AO1053" s="89"/>
      <c r="AP1053" s="89"/>
      <c r="AQ1053" s="89"/>
      <c r="AR1053" s="89"/>
      <c r="AS1053" s="89"/>
      <c r="AT1053" s="89"/>
      <c r="AU1053" s="89"/>
      <c r="AV1053" s="89"/>
      <c r="AW1053" s="89"/>
      <c r="AX1053" s="89"/>
      <c r="AY1053" s="89"/>
      <c r="AZ1053" s="89"/>
      <c r="BA1053" s="95"/>
    </row>
    <row r="1054" spans="1:53" s="87" customFormat="1">
      <c r="A1054" s="374" t="str">
        <f t="shared" si="64"/>
        <v/>
      </c>
      <c r="B1054" s="89">
        <v>6</v>
      </c>
      <c r="C1054" s="89">
        <v>1</v>
      </c>
      <c r="D1054" s="89" t="s">
        <v>210</v>
      </c>
      <c r="E1054" s="89" t="s">
        <v>210</v>
      </c>
      <c r="F1054" s="89" t="s">
        <v>202</v>
      </c>
      <c r="G1054" s="89" t="s">
        <v>210</v>
      </c>
      <c r="H1054" s="89">
        <v>4</v>
      </c>
      <c r="I1054" s="89" t="s">
        <v>210</v>
      </c>
      <c r="J1054" s="89">
        <v>-5</v>
      </c>
      <c r="K1054" s="89">
        <v>-2</v>
      </c>
      <c r="L1054" s="89" t="s">
        <v>210</v>
      </c>
      <c r="M1054" s="89"/>
      <c r="N1054" s="89"/>
      <c r="O1054" s="89"/>
      <c r="P1054" s="89"/>
      <c r="Q1054" s="89"/>
      <c r="R1054" s="89"/>
      <c r="S1054" s="89"/>
      <c r="T1054" s="89"/>
      <c r="U1054" s="89"/>
      <c r="V1054" s="89"/>
      <c r="W1054" s="89"/>
      <c r="X1054" s="89"/>
      <c r="Y1054" s="89"/>
      <c r="Z1054" s="89"/>
      <c r="AA1054" s="89"/>
      <c r="AB1054" s="89"/>
      <c r="AC1054" s="89"/>
      <c r="AD1054" s="89"/>
      <c r="AE1054" s="89"/>
      <c r="AF1054" s="89"/>
      <c r="AG1054" s="89"/>
      <c r="AH1054" s="89"/>
      <c r="AI1054" s="89"/>
      <c r="AJ1054" s="89"/>
      <c r="AK1054" s="89"/>
      <c r="AL1054" s="89"/>
      <c r="AM1054" s="89"/>
      <c r="AN1054" s="89"/>
      <c r="AO1054" s="89"/>
      <c r="AP1054" s="89"/>
      <c r="AQ1054" s="89"/>
      <c r="AR1054" s="89"/>
      <c r="AS1054" s="89"/>
      <c r="AT1054" s="89"/>
      <c r="AU1054" s="89"/>
      <c r="AV1054" s="89"/>
      <c r="AW1054" s="89"/>
      <c r="AX1054" s="89"/>
      <c r="AY1054" s="89"/>
      <c r="AZ1054" s="89"/>
      <c r="BA1054" s="95"/>
    </row>
    <row r="1055" spans="1:53" s="87" customFormat="1">
      <c r="A1055" s="374" t="str">
        <f t="shared" si="64"/>
        <v/>
      </c>
      <c r="B1055" s="89">
        <v>7</v>
      </c>
      <c r="C1055" s="89" t="s">
        <v>202</v>
      </c>
      <c r="D1055" s="89" t="s">
        <v>210</v>
      </c>
      <c r="E1055" s="89" t="s">
        <v>210</v>
      </c>
      <c r="F1055" s="89">
        <v>-1</v>
      </c>
      <c r="G1055" s="89">
        <v>-3</v>
      </c>
      <c r="H1055" s="89" t="s">
        <v>210</v>
      </c>
      <c r="I1055" s="89" t="s">
        <v>210</v>
      </c>
      <c r="J1055" s="89">
        <v>6</v>
      </c>
      <c r="K1055" s="89">
        <v>2</v>
      </c>
      <c r="L1055" s="89" t="s">
        <v>210</v>
      </c>
      <c r="M1055" s="89"/>
      <c r="N1055" s="89"/>
      <c r="O1055" s="89"/>
      <c r="P1055" s="89"/>
      <c r="Q1055" s="89"/>
      <c r="R1055" s="89"/>
      <c r="S1055" s="89"/>
      <c r="T1055" s="89"/>
      <c r="U1055" s="89"/>
      <c r="V1055" s="89"/>
      <c r="W1055" s="89"/>
      <c r="X1055" s="89"/>
      <c r="Y1055" s="89"/>
      <c r="Z1055" s="89"/>
      <c r="AA1055" s="89"/>
      <c r="AB1055" s="89"/>
      <c r="AC1055" s="89"/>
      <c r="AD1055" s="89"/>
      <c r="AE1055" s="89"/>
      <c r="AF1055" s="89"/>
      <c r="AG1055" s="89"/>
      <c r="AH1055" s="89"/>
      <c r="AI1055" s="89"/>
      <c r="AJ1055" s="89"/>
      <c r="AK1055" s="89"/>
      <c r="AL1055" s="89"/>
      <c r="AM1055" s="89"/>
      <c r="AN1055" s="89"/>
      <c r="AO1055" s="89"/>
      <c r="AP1055" s="89"/>
      <c r="AQ1055" s="89"/>
      <c r="AR1055" s="89"/>
      <c r="AS1055" s="89"/>
      <c r="AT1055" s="89"/>
      <c r="AU1055" s="89"/>
      <c r="AV1055" s="89"/>
      <c r="AW1055" s="89"/>
      <c r="AX1055" s="89"/>
      <c r="AY1055" s="89"/>
      <c r="AZ1055" s="89"/>
      <c r="BA1055" s="95"/>
    </row>
    <row r="1056" spans="1:53" s="87" customFormat="1">
      <c r="A1056" s="374" t="str">
        <f t="shared" si="64"/>
        <v/>
      </c>
      <c r="B1056" s="89">
        <v>8</v>
      </c>
      <c r="C1056" s="89">
        <v>-1</v>
      </c>
      <c r="D1056" s="89" t="s">
        <v>210</v>
      </c>
      <c r="E1056" s="89" t="s">
        <v>210</v>
      </c>
      <c r="F1056" s="89">
        <v>2</v>
      </c>
      <c r="G1056" s="89" t="s">
        <v>202</v>
      </c>
      <c r="H1056" s="89" t="s">
        <v>210</v>
      </c>
      <c r="I1056" s="89" t="s">
        <v>210</v>
      </c>
      <c r="J1056" s="89">
        <v>-6</v>
      </c>
      <c r="K1056" s="89">
        <v>5</v>
      </c>
      <c r="L1056" s="89" t="s">
        <v>210</v>
      </c>
      <c r="M1056" s="89"/>
      <c r="N1056" s="89"/>
      <c r="O1056" s="89"/>
      <c r="P1056" s="89"/>
      <c r="Q1056" s="89"/>
      <c r="R1056" s="89"/>
      <c r="S1056" s="89"/>
      <c r="T1056" s="89"/>
      <c r="U1056" s="89"/>
      <c r="V1056" s="89"/>
      <c r="W1056" s="89"/>
      <c r="X1056" s="89"/>
      <c r="Y1056" s="89"/>
      <c r="Z1056" s="89"/>
      <c r="AA1056" s="89"/>
      <c r="AB1056" s="89"/>
      <c r="AC1056" s="89"/>
      <c r="AD1056" s="89"/>
      <c r="AE1056" s="89"/>
      <c r="AF1056" s="89"/>
      <c r="AG1056" s="89"/>
      <c r="AH1056" s="89"/>
      <c r="AI1056" s="89"/>
      <c r="AJ1056" s="89"/>
      <c r="AK1056" s="89"/>
      <c r="AL1056" s="89"/>
      <c r="AM1056" s="89"/>
      <c r="AN1056" s="89"/>
      <c r="AO1056" s="89"/>
      <c r="AP1056" s="89"/>
      <c r="AQ1056" s="89"/>
      <c r="AR1056" s="89"/>
      <c r="AS1056" s="89"/>
      <c r="AT1056" s="89"/>
      <c r="AU1056" s="89"/>
      <c r="AV1056" s="89"/>
      <c r="AW1056" s="89"/>
      <c r="AX1056" s="89"/>
      <c r="AY1056" s="89"/>
      <c r="AZ1056" s="89"/>
      <c r="BA1056" s="95"/>
    </row>
    <row r="1057" spans="1:53" s="87" customFormat="1">
      <c r="A1057" s="374" t="str">
        <f t="shared" si="64"/>
        <v/>
      </c>
      <c r="B1057" s="89">
        <v>9</v>
      </c>
      <c r="C1057" s="89">
        <v>6</v>
      </c>
      <c r="D1057" s="89" t="s">
        <v>210</v>
      </c>
      <c r="E1057" s="89" t="s">
        <v>210</v>
      </c>
      <c r="F1057" s="89">
        <v>1</v>
      </c>
      <c r="G1057" s="89" t="s">
        <v>210</v>
      </c>
      <c r="H1057" s="89">
        <v>-4</v>
      </c>
      <c r="I1057" s="89" t="s">
        <v>210</v>
      </c>
      <c r="J1057" s="89" t="s">
        <v>202</v>
      </c>
      <c r="K1057" s="89">
        <v>-5</v>
      </c>
      <c r="L1057" s="89" t="s">
        <v>210</v>
      </c>
      <c r="M1057" s="89"/>
      <c r="N1057" s="89"/>
      <c r="O1057" s="89"/>
      <c r="P1057" s="89"/>
      <c r="Q1057" s="89"/>
      <c r="R1057" s="89"/>
      <c r="S1057" s="89"/>
      <c r="T1057" s="89"/>
      <c r="U1057" s="89"/>
      <c r="V1057" s="89"/>
      <c r="W1057" s="89"/>
      <c r="X1057" s="89"/>
      <c r="Y1057" s="89"/>
      <c r="Z1057" s="89"/>
      <c r="AA1057" s="89"/>
      <c r="AB1057" s="89"/>
      <c r="AC1057" s="89"/>
      <c r="AD1057" s="89"/>
      <c r="AE1057" s="89"/>
      <c r="AF1057" s="89"/>
      <c r="AG1057" s="89"/>
      <c r="AH1057" s="89"/>
      <c r="AI1057" s="89"/>
      <c r="AJ1057" s="89"/>
      <c r="AK1057" s="89"/>
      <c r="AL1057" s="89"/>
      <c r="AM1057" s="89"/>
      <c r="AN1057" s="89"/>
      <c r="AO1057" s="89"/>
      <c r="AP1057" s="89"/>
      <c r="AQ1057" s="89"/>
      <c r="AR1057" s="89"/>
      <c r="AS1057" s="89"/>
      <c r="AT1057" s="89"/>
      <c r="AU1057" s="89"/>
      <c r="AV1057" s="89"/>
      <c r="AW1057" s="89"/>
      <c r="AX1057" s="89"/>
      <c r="AY1057" s="89"/>
      <c r="AZ1057" s="89"/>
      <c r="BA1057" s="95"/>
    </row>
    <row r="1058" spans="1:53" s="87" customFormat="1">
      <c r="A1058" s="374" t="str">
        <f t="shared" si="64"/>
        <v/>
      </c>
      <c r="B1058" s="99">
        <v>10</v>
      </c>
      <c r="C1058" s="92">
        <v>-6</v>
      </c>
      <c r="D1058" s="92" t="s">
        <v>210</v>
      </c>
      <c r="E1058" s="92" t="s">
        <v>210</v>
      </c>
      <c r="F1058" s="92">
        <v>-2</v>
      </c>
      <c r="G1058" s="92">
        <v>3</v>
      </c>
      <c r="H1058" s="92" t="s">
        <v>210</v>
      </c>
      <c r="I1058" s="92" t="s">
        <v>210</v>
      </c>
      <c r="J1058" s="92">
        <v>5</v>
      </c>
      <c r="K1058" s="92" t="s">
        <v>202</v>
      </c>
      <c r="L1058" s="92" t="s">
        <v>210</v>
      </c>
      <c r="M1058" s="89"/>
      <c r="N1058" s="89"/>
      <c r="O1058" s="89"/>
      <c r="P1058" s="89"/>
      <c r="Q1058" s="89"/>
      <c r="R1058" s="89"/>
      <c r="S1058" s="89"/>
      <c r="T1058" s="89"/>
      <c r="U1058" s="89"/>
      <c r="V1058" s="89"/>
      <c r="W1058" s="89"/>
      <c r="X1058" s="89"/>
      <c r="Y1058" s="89"/>
      <c r="Z1058" s="89"/>
      <c r="AA1058" s="89"/>
      <c r="AB1058" s="89"/>
      <c r="AC1058" s="89"/>
      <c r="AD1058" s="89"/>
      <c r="AE1058" s="89"/>
      <c r="AF1058" s="89"/>
      <c r="AG1058" s="89"/>
      <c r="AH1058" s="89"/>
      <c r="AI1058" s="89"/>
      <c r="AJ1058" s="89"/>
      <c r="AK1058" s="89"/>
      <c r="AL1058" s="89"/>
      <c r="AM1058" s="89"/>
      <c r="AN1058" s="89"/>
      <c r="AO1058" s="89"/>
      <c r="AP1058" s="89"/>
      <c r="AQ1058" s="89"/>
      <c r="AR1058" s="89"/>
      <c r="AS1058" s="89"/>
      <c r="AT1058" s="89"/>
      <c r="AU1058" s="89"/>
      <c r="AV1058" s="89"/>
      <c r="AW1058" s="89"/>
      <c r="AX1058" s="89"/>
      <c r="AY1058" s="89"/>
      <c r="AZ1058" s="89"/>
      <c r="BA1058" s="95"/>
    </row>
    <row r="1059" spans="1:53" s="87" customFormat="1">
      <c r="A1059" s="374" t="str">
        <f t="shared" si="64"/>
        <v/>
      </c>
      <c r="B1059" s="89">
        <v>11</v>
      </c>
      <c r="C1059" s="89" t="s">
        <v>202</v>
      </c>
      <c r="D1059" s="89" t="s">
        <v>210</v>
      </c>
      <c r="E1059" s="89" t="s">
        <v>210</v>
      </c>
      <c r="F1059" s="89">
        <v>-4</v>
      </c>
      <c r="G1059" s="89">
        <v>2</v>
      </c>
      <c r="H1059" s="89" t="s">
        <v>210</v>
      </c>
      <c r="I1059" s="89" t="s">
        <v>210</v>
      </c>
      <c r="J1059" s="89">
        <v>-3</v>
      </c>
      <c r="K1059" s="89">
        <v>1</v>
      </c>
      <c r="L1059" s="89" t="s">
        <v>210</v>
      </c>
      <c r="M1059" s="89"/>
      <c r="N1059" s="89"/>
      <c r="O1059" s="89"/>
      <c r="P1059" s="89"/>
      <c r="Q1059" s="89"/>
      <c r="R1059" s="89"/>
      <c r="S1059" s="89"/>
      <c r="T1059" s="89"/>
      <c r="U1059" s="89"/>
      <c r="V1059" s="89"/>
      <c r="W1059" s="89"/>
      <c r="X1059" s="89"/>
      <c r="Y1059" s="89"/>
      <c r="Z1059" s="89"/>
      <c r="AA1059" s="89"/>
      <c r="AB1059" s="89"/>
      <c r="AC1059" s="89"/>
      <c r="AD1059" s="89"/>
      <c r="AE1059" s="89"/>
      <c r="AF1059" s="89"/>
      <c r="AG1059" s="89"/>
      <c r="AH1059" s="89"/>
      <c r="AI1059" s="89"/>
      <c r="AJ1059" s="89"/>
      <c r="AK1059" s="89"/>
      <c r="AL1059" s="89"/>
      <c r="AM1059" s="89"/>
      <c r="AN1059" s="89"/>
      <c r="AO1059" s="89"/>
      <c r="AP1059" s="89"/>
      <c r="AQ1059" s="89"/>
      <c r="AR1059" s="89"/>
      <c r="AS1059" s="89"/>
      <c r="AT1059" s="89"/>
      <c r="AU1059" s="89"/>
      <c r="AV1059" s="89"/>
      <c r="AW1059" s="89"/>
      <c r="AX1059" s="89"/>
      <c r="AY1059" s="89"/>
      <c r="AZ1059" s="89"/>
      <c r="BA1059" s="95"/>
    </row>
    <row r="1060" spans="1:53" s="87" customFormat="1">
      <c r="A1060" s="374" t="str">
        <f t="shared" si="64"/>
        <v/>
      </c>
      <c r="B1060" s="89">
        <v>12</v>
      </c>
      <c r="C1060" s="89">
        <v>-3</v>
      </c>
      <c r="D1060" s="89" t="s">
        <v>210</v>
      </c>
      <c r="E1060" s="89" t="s">
        <v>210</v>
      </c>
      <c r="F1060" s="89">
        <v>6</v>
      </c>
      <c r="G1060" s="89" t="s">
        <v>210</v>
      </c>
      <c r="H1060" s="89">
        <v>5</v>
      </c>
      <c r="I1060" s="89" t="s">
        <v>210</v>
      </c>
      <c r="J1060" s="89" t="s">
        <v>202</v>
      </c>
      <c r="K1060" s="89">
        <v>-1</v>
      </c>
      <c r="L1060" s="89" t="s">
        <v>210</v>
      </c>
      <c r="M1060" s="89"/>
      <c r="N1060" s="89"/>
      <c r="O1060" s="89"/>
      <c r="P1060" s="89"/>
      <c r="Q1060" s="89"/>
      <c r="R1060" s="89"/>
      <c r="S1060" s="89"/>
      <c r="T1060" s="89"/>
      <c r="U1060" s="89"/>
      <c r="V1060" s="89"/>
      <c r="W1060" s="89"/>
      <c r="X1060" s="89"/>
      <c r="Y1060" s="89"/>
      <c r="Z1060" s="89"/>
      <c r="AA1060" s="89"/>
      <c r="AB1060" s="89"/>
      <c r="AC1060" s="89"/>
      <c r="AD1060" s="89"/>
      <c r="AE1060" s="89"/>
      <c r="AF1060" s="89"/>
      <c r="AG1060" s="89"/>
      <c r="AH1060" s="89"/>
      <c r="AI1060" s="89"/>
      <c r="AJ1060" s="89"/>
      <c r="AK1060" s="89"/>
      <c r="AL1060" s="89"/>
      <c r="AM1060" s="89"/>
      <c r="AN1060" s="89"/>
      <c r="AO1060" s="89"/>
      <c r="AP1060" s="89"/>
      <c r="AQ1060" s="89"/>
      <c r="AR1060" s="89"/>
      <c r="AS1060" s="89"/>
      <c r="AT1060" s="89"/>
      <c r="AU1060" s="89"/>
      <c r="AV1060" s="89"/>
      <c r="AW1060" s="89"/>
      <c r="AX1060" s="89"/>
      <c r="AY1060" s="89"/>
      <c r="AZ1060" s="89"/>
      <c r="BA1060" s="95"/>
    </row>
    <row r="1061" spans="1:53" s="87" customFormat="1">
      <c r="A1061" s="374" t="str">
        <f t="shared" si="64"/>
        <v/>
      </c>
      <c r="B1061" s="89">
        <v>13</v>
      </c>
      <c r="C1061" s="89">
        <v>-4</v>
      </c>
      <c r="D1061" s="89" t="s">
        <v>210</v>
      </c>
      <c r="E1061" s="89" t="s">
        <v>210</v>
      </c>
      <c r="F1061" s="89" t="s">
        <v>202</v>
      </c>
      <c r="G1061" s="89" t="s">
        <v>210</v>
      </c>
      <c r="H1061" s="89">
        <v>-5</v>
      </c>
      <c r="I1061" s="89" t="s">
        <v>210</v>
      </c>
      <c r="J1061" s="89">
        <v>3</v>
      </c>
      <c r="K1061" s="89">
        <v>6</v>
      </c>
      <c r="L1061" s="89" t="s">
        <v>210</v>
      </c>
      <c r="M1061" s="89"/>
      <c r="N1061" s="89"/>
      <c r="O1061" s="89"/>
      <c r="P1061" s="89"/>
      <c r="Q1061" s="89"/>
      <c r="R1061" s="89"/>
      <c r="S1061" s="89"/>
      <c r="T1061" s="89"/>
      <c r="U1061" s="89"/>
      <c r="V1061" s="89"/>
      <c r="W1061" s="89"/>
      <c r="X1061" s="89"/>
      <c r="Y1061" s="89"/>
      <c r="Z1061" s="89"/>
      <c r="AA1061" s="89"/>
      <c r="AB1061" s="89"/>
      <c r="AC1061" s="89"/>
      <c r="AD1061" s="89"/>
      <c r="AE1061" s="89"/>
      <c r="AF1061" s="89"/>
      <c r="AG1061" s="89"/>
      <c r="AH1061" s="89"/>
      <c r="AI1061" s="89"/>
      <c r="AJ1061" s="89"/>
      <c r="AK1061" s="89"/>
      <c r="AL1061" s="89"/>
      <c r="AM1061" s="89"/>
      <c r="AN1061" s="89"/>
      <c r="AO1061" s="89"/>
      <c r="AP1061" s="89"/>
      <c r="AQ1061" s="89"/>
      <c r="AR1061" s="89"/>
      <c r="AS1061" s="89"/>
      <c r="AT1061" s="89"/>
      <c r="AU1061" s="89"/>
      <c r="AV1061" s="89"/>
      <c r="AW1061" s="89"/>
      <c r="AX1061" s="89"/>
      <c r="AY1061" s="89"/>
      <c r="AZ1061" s="89"/>
      <c r="BA1061" s="95"/>
    </row>
    <row r="1062" spans="1:53" s="87" customFormat="1">
      <c r="A1062" s="374" t="str">
        <f t="shared" si="64"/>
        <v/>
      </c>
      <c r="B1062" s="89">
        <v>14</v>
      </c>
      <c r="C1062" s="89">
        <v>3</v>
      </c>
      <c r="D1062" s="89" t="s">
        <v>210</v>
      </c>
      <c r="E1062" s="89" t="s">
        <v>210</v>
      </c>
      <c r="F1062" s="89">
        <v>4</v>
      </c>
      <c r="G1062" s="89" t="s">
        <v>202</v>
      </c>
      <c r="H1062" s="89" t="s">
        <v>210</v>
      </c>
      <c r="I1062" s="89" t="s">
        <v>210</v>
      </c>
      <c r="J1062" s="89">
        <v>-1</v>
      </c>
      <c r="K1062" s="89">
        <v>-6</v>
      </c>
      <c r="L1062" s="89" t="s">
        <v>210</v>
      </c>
      <c r="M1062" s="89"/>
      <c r="N1062" s="89"/>
      <c r="O1062" s="89"/>
      <c r="P1062" s="89"/>
      <c r="Q1062" s="89"/>
      <c r="R1062" s="89"/>
      <c r="S1062" s="89"/>
      <c r="T1062" s="89"/>
      <c r="U1062" s="89"/>
      <c r="V1062" s="89"/>
      <c r="W1062" s="89"/>
      <c r="X1062" s="89"/>
      <c r="Y1062" s="89"/>
      <c r="Z1062" s="89"/>
      <c r="AA1062" s="89"/>
      <c r="AB1062" s="89"/>
      <c r="AC1062" s="89"/>
      <c r="AD1062" s="89"/>
      <c r="AE1062" s="89"/>
      <c r="AF1062" s="89"/>
      <c r="AG1062" s="89"/>
      <c r="AH1062" s="89"/>
      <c r="AI1062" s="89"/>
      <c r="AJ1062" s="89"/>
      <c r="AK1062" s="89"/>
      <c r="AL1062" s="89"/>
      <c r="AM1062" s="89"/>
      <c r="AN1062" s="89"/>
      <c r="AO1062" s="89"/>
      <c r="AP1062" s="89"/>
      <c r="AQ1062" s="89"/>
      <c r="AR1062" s="89"/>
      <c r="AS1062" s="89"/>
      <c r="AT1062" s="89"/>
      <c r="AU1062" s="89"/>
      <c r="AV1062" s="89"/>
      <c r="AW1062" s="89"/>
      <c r="AX1062" s="89"/>
      <c r="AY1062" s="89"/>
      <c r="AZ1062" s="89"/>
      <c r="BA1062" s="95"/>
    </row>
    <row r="1063" spans="1:53" s="87" customFormat="1">
      <c r="A1063" s="374" t="str">
        <f t="shared" si="64"/>
        <v/>
      </c>
      <c r="B1063" s="99">
        <v>15</v>
      </c>
      <c r="C1063" s="92">
        <v>4</v>
      </c>
      <c r="D1063" s="92" t="s">
        <v>210</v>
      </c>
      <c r="E1063" s="92" t="s">
        <v>210</v>
      </c>
      <c r="F1063" s="92">
        <v>-6</v>
      </c>
      <c r="G1063" s="92">
        <v>-2</v>
      </c>
      <c r="H1063" s="92" t="s">
        <v>210</v>
      </c>
      <c r="I1063" s="92" t="s">
        <v>210</v>
      </c>
      <c r="J1063" s="92">
        <v>1</v>
      </c>
      <c r="K1063" s="92" t="s">
        <v>202</v>
      </c>
      <c r="L1063" s="92" t="s">
        <v>210</v>
      </c>
      <c r="M1063" s="89"/>
      <c r="N1063" s="89"/>
      <c r="O1063" s="89"/>
      <c r="P1063" s="89"/>
      <c r="Q1063" s="89"/>
      <c r="R1063" s="89"/>
      <c r="S1063" s="89"/>
      <c r="T1063" s="89"/>
      <c r="U1063" s="89"/>
      <c r="V1063" s="89"/>
      <c r="W1063" s="89"/>
      <c r="X1063" s="89"/>
      <c r="Y1063" s="89"/>
      <c r="Z1063" s="89"/>
      <c r="AA1063" s="89"/>
      <c r="AB1063" s="89"/>
      <c r="AC1063" s="89"/>
      <c r="AD1063" s="89"/>
      <c r="AE1063" s="89"/>
      <c r="AF1063" s="89"/>
      <c r="AG1063" s="89"/>
      <c r="AH1063" s="89"/>
      <c r="AI1063" s="89"/>
      <c r="AJ1063" s="89"/>
      <c r="AK1063" s="89"/>
      <c r="AL1063" s="89"/>
      <c r="AM1063" s="89"/>
      <c r="AN1063" s="89"/>
      <c r="AO1063" s="89"/>
      <c r="AP1063" s="89"/>
      <c r="AQ1063" s="89"/>
      <c r="AR1063" s="89"/>
      <c r="AS1063" s="89"/>
      <c r="AT1063" s="89"/>
      <c r="AU1063" s="89"/>
      <c r="AV1063" s="89"/>
      <c r="AW1063" s="89"/>
      <c r="AX1063" s="89"/>
      <c r="AY1063" s="89"/>
      <c r="AZ1063" s="89"/>
      <c r="BA1063" s="95"/>
    </row>
    <row r="1064" spans="1:53" s="87" customFormat="1">
      <c r="A1064" s="374" t="str">
        <f t="shared" si="64"/>
        <v/>
      </c>
      <c r="B1064" s="89">
        <v>16</v>
      </c>
      <c r="C1064" s="89" t="s">
        <v>210</v>
      </c>
      <c r="D1064" s="89">
        <v>2</v>
      </c>
      <c r="E1064" s="89">
        <v>5</v>
      </c>
      <c r="F1064" s="89" t="s">
        <v>210</v>
      </c>
      <c r="G1064" s="89" t="s">
        <v>210</v>
      </c>
      <c r="H1064" s="89" t="s">
        <v>202</v>
      </c>
      <c r="I1064" s="89">
        <v>-4</v>
      </c>
      <c r="J1064" s="89" t="s">
        <v>210</v>
      </c>
      <c r="K1064" s="89" t="s">
        <v>210</v>
      </c>
      <c r="L1064" s="89">
        <v>-3</v>
      </c>
      <c r="M1064" s="89"/>
      <c r="N1064" s="89"/>
      <c r="O1064" s="89"/>
      <c r="P1064" s="89"/>
      <c r="Q1064" s="89"/>
      <c r="R1064" s="89"/>
      <c r="S1064" s="89"/>
      <c r="T1064" s="89"/>
      <c r="U1064" s="89"/>
      <c r="V1064" s="89"/>
      <c r="W1064" s="89"/>
      <c r="X1064" s="89"/>
      <c r="Y1064" s="89"/>
      <c r="Z1064" s="89"/>
      <c r="AA1064" s="89"/>
      <c r="AB1064" s="89"/>
      <c r="AC1064" s="89"/>
      <c r="AD1064" s="89"/>
      <c r="AE1064" s="89"/>
      <c r="AF1064" s="89"/>
      <c r="AG1064" s="89"/>
      <c r="AH1064" s="89"/>
      <c r="AI1064" s="89"/>
      <c r="AJ1064" s="89"/>
      <c r="AK1064" s="89"/>
      <c r="AL1064" s="89"/>
      <c r="AM1064" s="89"/>
      <c r="AN1064" s="89"/>
      <c r="AO1064" s="89"/>
      <c r="AP1064" s="89"/>
      <c r="AQ1064" s="89"/>
      <c r="AR1064" s="89"/>
      <c r="AS1064" s="89"/>
      <c r="AT1064" s="89"/>
      <c r="AU1064" s="89"/>
      <c r="AV1064" s="89"/>
      <c r="AW1064" s="89"/>
      <c r="AX1064" s="89"/>
      <c r="AY1064" s="89"/>
      <c r="AZ1064" s="89"/>
      <c r="BA1064" s="95"/>
    </row>
    <row r="1065" spans="1:53" s="87" customFormat="1">
      <c r="A1065" s="374" t="str">
        <f t="shared" si="64"/>
        <v/>
      </c>
      <c r="B1065" s="89">
        <v>17</v>
      </c>
      <c r="C1065" s="89" t="s">
        <v>210</v>
      </c>
      <c r="D1065" s="89">
        <v>-5</v>
      </c>
      <c r="E1065" s="89" t="s">
        <v>202</v>
      </c>
      <c r="F1065" s="89" t="s">
        <v>210</v>
      </c>
      <c r="G1065" s="89">
        <v>-1</v>
      </c>
      <c r="H1065" s="89" t="s">
        <v>210</v>
      </c>
      <c r="I1065" s="89">
        <v>2</v>
      </c>
      <c r="J1065" s="89" t="s">
        <v>210</v>
      </c>
      <c r="K1065" s="89" t="s">
        <v>210</v>
      </c>
      <c r="L1065" s="89">
        <v>3</v>
      </c>
      <c r="M1065" s="89"/>
      <c r="N1065" s="89"/>
      <c r="O1065" s="89"/>
      <c r="P1065" s="89"/>
      <c r="Q1065" s="89"/>
      <c r="R1065" s="89"/>
      <c r="S1065" s="89"/>
      <c r="T1065" s="89"/>
      <c r="U1065" s="89"/>
      <c r="V1065" s="89"/>
      <c r="W1065" s="89"/>
      <c r="X1065" s="89"/>
      <c r="Y1065" s="89"/>
      <c r="Z1065" s="89"/>
      <c r="AA1065" s="89"/>
      <c r="AB1065" s="89"/>
      <c r="AC1065" s="89"/>
      <c r="AD1065" s="89"/>
      <c r="AE1065" s="89"/>
      <c r="AF1065" s="89"/>
      <c r="AG1065" s="89"/>
      <c r="AH1065" s="89"/>
      <c r="AI1065" s="89"/>
      <c r="AJ1065" s="89"/>
      <c r="AK1065" s="89"/>
      <c r="AL1065" s="89"/>
      <c r="AM1065" s="89"/>
      <c r="AN1065" s="89"/>
      <c r="AO1065" s="89"/>
      <c r="AP1065" s="89"/>
      <c r="AQ1065" s="89"/>
      <c r="AR1065" s="89"/>
      <c r="AS1065" s="89"/>
      <c r="AT1065" s="89"/>
      <c r="AU1065" s="89"/>
      <c r="AV1065" s="89"/>
      <c r="AW1065" s="89"/>
      <c r="AX1065" s="89"/>
      <c r="AY1065" s="89"/>
      <c r="AZ1065" s="89"/>
      <c r="BA1065" s="95"/>
    </row>
    <row r="1066" spans="1:53" s="87" customFormat="1">
      <c r="A1066" s="374" t="str">
        <f t="shared" si="64"/>
        <v/>
      </c>
      <c r="B1066" s="89">
        <v>18</v>
      </c>
      <c r="C1066" s="89" t="s">
        <v>210</v>
      </c>
      <c r="D1066" s="89">
        <v>-2</v>
      </c>
      <c r="E1066" s="89">
        <v>3</v>
      </c>
      <c r="F1066" s="89" t="s">
        <v>210</v>
      </c>
      <c r="G1066" s="89">
        <v>1</v>
      </c>
      <c r="H1066" s="89" t="s">
        <v>210</v>
      </c>
      <c r="I1066" s="89" t="s">
        <v>202</v>
      </c>
      <c r="J1066" s="89" t="s">
        <v>210</v>
      </c>
      <c r="K1066" s="89" t="s">
        <v>210</v>
      </c>
      <c r="L1066" s="89">
        <v>-4</v>
      </c>
      <c r="M1066" s="89"/>
      <c r="N1066" s="89"/>
      <c r="O1066" s="89"/>
      <c r="P1066" s="89"/>
      <c r="Q1066" s="89"/>
      <c r="R1066" s="89"/>
      <c r="S1066" s="89"/>
      <c r="T1066" s="89"/>
      <c r="U1066" s="89"/>
      <c r="V1066" s="89"/>
      <c r="W1066" s="89"/>
      <c r="X1066" s="89"/>
      <c r="Y1066" s="89"/>
      <c r="Z1066" s="89"/>
      <c r="AA1066" s="89"/>
      <c r="AB1066" s="89"/>
      <c r="AC1066" s="89"/>
      <c r="AD1066" s="89"/>
      <c r="AE1066" s="89"/>
      <c r="AF1066" s="89"/>
      <c r="AG1066" s="89"/>
      <c r="AH1066" s="89"/>
      <c r="AI1066" s="89"/>
      <c r="AJ1066" s="89"/>
      <c r="AK1066" s="89"/>
      <c r="AL1066" s="89"/>
      <c r="AM1066" s="89"/>
      <c r="AN1066" s="89"/>
      <c r="AO1066" s="89"/>
      <c r="AP1066" s="89"/>
      <c r="AQ1066" s="89"/>
      <c r="AR1066" s="89"/>
      <c r="AS1066" s="89"/>
      <c r="AT1066" s="89"/>
      <c r="AU1066" s="89"/>
      <c r="AV1066" s="89"/>
      <c r="AW1066" s="89"/>
      <c r="AX1066" s="89"/>
      <c r="AY1066" s="89"/>
      <c r="AZ1066" s="89"/>
      <c r="BA1066" s="95"/>
    </row>
    <row r="1067" spans="1:53" s="87" customFormat="1">
      <c r="A1067" s="374" t="str">
        <f t="shared" si="64"/>
        <v/>
      </c>
      <c r="B1067" s="89">
        <v>19</v>
      </c>
      <c r="C1067" s="89" t="s">
        <v>210</v>
      </c>
      <c r="D1067" s="89" t="s">
        <v>202</v>
      </c>
      <c r="E1067" s="89">
        <v>-5</v>
      </c>
      <c r="F1067" s="89" t="s">
        <v>210</v>
      </c>
      <c r="G1067" s="89" t="s">
        <v>210</v>
      </c>
      <c r="H1067" s="89">
        <v>6</v>
      </c>
      <c r="I1067" s="89">
        <v>-2</v>
      </c>
      <c r="J1067" s="89" t="s">
        <v>210</v>
      </c>
      <c r="K1067" s="89" t="s">
        <v>210</v>
      </c>
      <c r="L1067" s="89">
        <v>4</v>
      </c>
      <c r="M1067" s="89"/>
      <c r="N1067" s="89"/>
      <c r="O1067" s="89"/>
      <c r="P1067" s="89"/>
      <c r="Q1067" s="89"/>
      <c r="R1067" s="89"/>
      <c r="S1067" s="89"/>
      <c r="T1067" s="89"/>
      <c r="U1067" s="89"/>
      <c r="V1067" s="89"/>
      <c r="W1067" s="89"/>
      <c r="X1067" s="89"/>
      <c r="Y1067" s="89"/>
      <c r="Z1067" s="89"/>
      <c r="AA1067" s="89"/>
      <c r="AB1067" s="89"/>
      <c r="AC1067" s="89"/>
      <c r="AD1067" s="89"/>
      <c r="AE1067" s="89"/>
      <c r="AF1067" s="89"/>
      <c r="AG1067" s="89"/>
      <c r="AH1067" s="89"/>
      <c r="AI1067" s="89"/>
      <c r="AJ1067" s="89"/>
      <c r="AK1067" s="89"/>
      <c r="AL1067" s="89"/>
      <c r="AM1067" s="89"/>
      <c r="AN1067" s="89"/>
      <c r="AO1067" s="89"/>
      <c r="AP1067" s="89"/>
      <c r="AQ1067" s="89"/>
      <c r="AR1067" s="89"/>
      <c r="AS1067" s="89"/>
      <c r="AT1067" s="89"/>
      <c r="AU1067" s="89"/>
      <c r="AV1067" s="89"/>
      <c r="AW1067" s="89"/>
      <c r="AX1067" s="89"/>
      <c r="AY1067" s="89"/>
      <c r="AZ1067" s="89"/>
      <c r="BA1067" s="95"/>
    </row>
    <row r="1068" spans="1:53" s="87" customFormat="1">
      <c r="A1068" s="374" t="str">
        <f t="shared" si="64"/>
        <v/>
      </c>
      <c r="B1068" s="99">
        <v>20</v>
      </c>
      <c r="C1068" s="92" t="s">
        <v>210</v>
      </c>
      <c r="D1068" s="92">
        <v>5</v>
      </c>
      <c r="E1068" s="92">
        <v>-3</v>
      </c>
      <c r="F1068" s="92" t="s">
        <v>210</v>
      </c>
      <c r="G1068" s="92" t="s">
        <v>210</v>
      </c>
      <c r="H1068" s="92">
        <v>-6</v>
      </c>
      <c r="I1068" s="92">
        <v>4</v>
      </c>
      <c r="J1068" s="92" t="s">
        <v>210</v>
      </c>
      <c r="K1068" s="92" t="s">
        <v>210</v>
      </c>
      <c r="L1068" s="92" t="s">
        <v>202</v>
      </c>
      <c r="M1068" s="89"/>
      <c r="N1068" s="89"/>
      <c r="O1068" s="89"/>
      <c r="P1068" s="89"/>
      <c r="Q1068" s="89"/>
      <c r="R1068" s="89"/>
      <c r="S1068" s="89"/>
      <c r="T1068" s="89"/>
      <c r="U1068" s="89"/>
      <c r="V1068" s="89"/>
      <c r="W1068" s="89"/>
      <c r="X1068" s="89"/>
      <c r="Y1068" s="89"/>
      <c r="Z1068" s="89"/>
      <c r="AA1068" s="89"/>
      <c r="AB1068" s="89"/>
      <c r="AC1068" s="89"/>
      <c r="AD1068" s="89"/>
      <c r="AE1068" s="89"/>
      <c r="AF1068" s="89"/>
      <c r="AG1068" s="89"/>
      <c r="AH1068" s="89"/>
      <c r="AI1068" s="89"/>
      <c r="AJ1068" s="89"/>
      <c r="AK1068" s="89"/>
      <c r="AL1068" s="89"/>
      <c r="AM1068" s="89"/>
      <c r="AN1068" s="89"/>
      <c r="AO1068" s="89"/>
      <c r="AP1068" s="89"/>
      <c r="AQ1068" s="89"/>
      <c r="AR1068" s="89"/>
      <c r="AS1068" s="89"/>
      <c r="AT1068" s="89"/>
      <c r="AU1068" s="89"/>
      <c r="AV1068" s="89"/>
      <c r="AW1068" s="89"/>
      <c r="AX1068" s="89"/>
      <c r="AY1068" s="89"/>
      <c r="AZ1068" s="89"/>
      <c r="BA1068" s="95"/>
    </row>
    <row r="1069" spans="1:53" s="87" customFormat="1">
      <c r="A1069" s="374" t="str">
        <f t="shared" si="64"/>
        <v/>
      </c>
      <c r="B1069" s="89">
        <v>21</v>
      </c>
      <c r="C1069" s="89" t="s">
        <v>210</v>
      </c>
      <c r="D1069" s="89">
        <v>1</v>
      </c>
      <c r="E1069" s="89" t="s">
        <v>202</v>
      </c>
      <c r="F1069" s="89" t="s">
        <v>210</v>
      </c>
      <c r="G1069" s="89">
        <v>4</v>
      </c>
      <c r="H1069" s="89" t="s">
        <v>210</v>
      </c>
      <c r="I1069" s="89">
        <v>-5</v>
      </c>
      <c r="J1069" s="89" t="s">
        <v>210</v>
      </c>
      <c r="K1069" s="89" t="s">
        <v>210</v>
      </c>
      <c r="L1069" s="89">
        <v>-2</v>
      </c>
      <c r="M1069" s="89"/>
      <c r="N1069" s="89"/>
      <c r="O1069" s="89"/>
      <c r="P1069" s="89"/>
      <c r="Q1069" s="89"/>
      <c r="R1069" s="89"/>
      <c r="S1069" s="89"/>
      <c r="T1069" s="89"/>
      <c r="U1069" s="89"/>
      <c r="V1069" s="89"/>
      <c r="W1069" s="89"/>
      <c r="X1069" s="89"/>
      <c r="Y1069" s="89"/>
      <c r="Z1069" s="89"/>
      <c r="AA1069" s="89"/>
      <c r="AB1069" s="89"/>
      <c r="AC1069" s="89"/>
      <c r="AD1069" s="89"/>
      <c r="AE1069" s="89"/>
      <c r="AF1069" s="89"/>
      <c r="AG1069" s="89"/>
      <c r="AH1069" s="89"/>
      <c r="AI1069" s="89"/>
      <c r="AJ1069" s="89"/>
      <c r="AK1069" s="89"/>
      <c r="AL1069" s="89"/>
      <c r="AM1069" s="89"/>
      <c r="AN1069" s="89"/>
      <c r="AO1069" s="89"/>
      <c r="AP1069" s="89"/>
      <c r="AQ1069" s="89"/>
      <c r="AR1069" s="89"/>
      <c r="AS1069" s="89"/>
      <c r="AT1069" s="89"/>
      <c r="AU1069" s="89"/>
      <c r="AV1069" s="89"/>
      <c r="AW1069" s="89"/>
      <c r="AX1069" s="89"/>
      <c r="AY1069" s="89"/>
      <c r="AZ1069" s="89"/>
      <c r="BA1069" s="95"/>
    </row>
    <row r="1070" spans="1:53" s="87" customFormat="1">
      <c r="A1070" s="374" t="str">
        <f t="shared" si="64"/>
        <v/>
      </c>
      <c r="B1070" s="89">
        <v>22</v>
      </c>
      <c r="C1070" s="89" t="s">
        <v>210</v>
      </c>
      <c r="D1070" s="89" t="s">
        <v>202</v>
      </c>
      <c r="E1070" s="89">
        <v>-1</v>
      </c>
      <c r="F1070" s="89" t="s">
        <v>210</v>
      </c>
      <c r="G1070" s="89" t="s">
        <v>210</v>
      </c>
      <c r="H1070" s="89">
        <v>-3</v>
      </c>
      <c r="I1070" s="89">
        <v>6</v>
      </c>
      <c r="J1070" s="89" t="s">
        <v>210</v>
      </c>
      <c r="K1070" s="89" t="s">
        <v>210</v>
      </c>
      <c r="L1070" s="89">
        <v>2</v>
      </c>
      <c r="M1070" s="89"/>
      <c r="N1070" s="89"/>
      <c r="O1070" s="89"/>
      <c r="P1070" s="89"/>
      <c r="Q1070" s="89"/>
      <c r="R1070" s="89"/>
      <c r="S1070" s="89"/>
      <c r="T1070" s="89"/>
      <c r="U1070" s="89"/>
      <c r="V1070" s="89"/>
      <c r="W1070" s="89"/>
      <c r="X1070" s="89"/>
      <c r="Y1070" s="89"/>
      <c r="Z1070" s="89"/>
      <c r="AA1070" s="89"/>
      <c r="AB1070" s="89"/>
      <c r="AC1070" s="89"/>
      <c r="AD1070" s="89"/>
      <c r="AE1070" s="89"/>
      <c r="AF1070" s="89"/>
      <c r="AG1070" s="89"/>
      <c r="AH1070" s="89"/>
      <c r="AI1070" s="89"/>
      <c r="AJ1070" s="89"/>
      <c r="AK1070" s="89"/>
      <c r="AL1070" s="89"/>
      <c r="AM1070" s="89"/>
      <c r="AN1070" s="89"/>
      <c r="AO1070" s="89"/>
      <c r="AP1070" s="89"/>
      <c r="AQ1070" s="89"/>
      <c r="AR1070" s="89"/>
      <c r="AS1070" s="89"/>
      <c r="AT1070" s="89"/>
      <c r="AU1070" s="89"/>
      <c r="AV1070" s="89"/>
      <c r="AW1070" s="89"/>
      <c r="AX1070" s="89"/>
      <c r="AY1070" s="89"/>
      <c r="AZ1070" s="89"/>
      <c r="BA1070" s="95"/>
    </row>
    <row r="1071" spans="1:53" s="87" customFormat="1">
      <c r="A1071" s="374" t="str">
        <f t="shared" si="64"/>
        <v/>
      </c>
      <c r="B1071" s="89">
        <v>23</v>
      </c>
      <c r="C1071" s="89" t="s">
        <v>210</v>
      </c>
      <c r="D1071" s="89">
        <v>6</v>
      </c>
      <c r="E1071" s="89">
        <v>1</v>
      </c>
      <c r="F1071" s="89" t="s">
        <v>210</v>
      </c>
      <c r="G1071" s="89">
        <v>-4</v>
      </c>
      <c r="H1071" s="89" t="s">
        <v>210</v>
      </c>
      <c r="I1071" s="89" t="s">
        <v>202</v>
      </c>
      <c r="J1071" s="89" t="s">
        <v>210</v>
      </c>
      <c r="K1071" s="89" t="s">
        <v>210</v>
      </c>
      <c r="L1071" s="89">
        <v>-5</v>
      </c>
      <c r="M1071" s="89"/>
      <c r="N1071" s="89"/>
      <c r="O1071" s="89"/>
      <c r="P1071" s="89"/>
      <c r="Q1071" s="89"/>
      <c r="R1071" s="89"/>
      <c r="S1071" s="89"/>
      <c r="T1071" s="89"/>
      <c r="U1071" s="89"/>
      <c r="V1071" s="89"/>
      <c r="W1071" s="89"/>
      <c r="X1071" s="89"/>
      <c r="Y1071" s="89"/>
      <c r="Z1071" s="89"/>
      <c r="AA1071" s="89"/>
      <c r="AB1071" s="89"/>
      <c r="AC1071" s="89"/>
      <c r="AD1071" s="89"/>
      <c r="AE1071" s="89"/>
      <c r="AF1071" s="89"/>
      <c r="AG1071" s="89"/>
      <c r="AH1071" s="89"/>
      <c r="AI1071" s="89"/>
      <c r="AJ1071" s="89"/>
      <c r="AK1071" s="89"/>
      <c r="AL1071" s="89"/>
      <c r="AM1071" s="89"/>
      <c r="AN1071" s="89"/>
      <c r="AO1071" s="89"/>
      <c r="AP1071" s="89"/>
      <c r="AQ1071" s="89"/>
      <c r="AR1071" s="89"/>
      <c r="AS1071" s="89"/>
      <c r="AT1071" s="89"/>
      <c r="AU1071" s="89"/>
      <c r="AV1071" s="89"/>
      <c r="AW1071" s="89"/>
      <c r="AX1071" s="89"/>
      <c r="AY1071" s="89"/>
      <c r="AZ1071" s="89"/>
      <c r="BA1071" s="95"/>
    </row>
    <row r="1072" spans="1:53" s="87" customFormat="1">
      <c r="A1072" s="374" t="str">
        <f t="shared" si="64"/>
        <v/>
      </c>
      <c r="B1072" s="89">
        <v>24</v>
      </c>
      <c r="C1072" s="89" t="s">
        <v>210</v>
      </c>
      <c r="D1072" s="89">
        <v>-1</v>
      </c>
      <c r="E1072" s="89">
        <v>2</v>
      </c>
      <c r="F1072" s="89" t="s">
        <v>210</v>
      </c>
      <c r="G1072" s="89" t="s">
        <v>210</v>
      </c>
      <c r="H1072" s="89" t="s">
        <v>202</v>
      </c>
      <c r="I1072" s="89">
        <v>-6</v>
      </c>
      <c r="J1072" s="89" t="s">
        <v>210</v>
      </c>
      <c r="K1072" s="89" t="s">
        <v>210</v>
      </c>
      <c r="L1072" s="89">
        <v>5</v>
      </c>
      <c r="M1072" s="89"/>
      <c r="N1072" s="89"/>
      <c r="O1072" s="89"/>
      <c r="P1072" s="89"/>
      <c r="Q1072" s="89"/>
      <c r="R1072" s="89"/>
      <c r="S1072" s="89"/>
      <c r="T1072" s="89"/>
      <c r="U1072" s="89"/>
      <c r="V1072" s="89"/>
      <c r="W1072" s="89"/>
      <c r="X1072" s="89"/>
      <c r="Y1072" s="89"/>
      <c r="Z1072" s="89"/>
      <c r="AA1072" s="89"/>
      <c r="AB1072" s="89"/>
      <c r="AC1072" s="89"/>
      <c r="AD1072" s="89"/>
      <c r="AE1072" s="89"/>
      <c r="AF1072" s="89"/>
      <c r="AG1072" s="89"/>
      <c r="AH1072" s="89"/>
      <c r="AI1072" s="89"/>
      <c r="AJ1072" s="89"/>
      <c r="AK1072" s="89"/>
      <c r="AL1072" s="89"/>
      <c r="AM1072" s="89"/>
      <c r="AN1072" s="89"/>
      <c r="AO1072" s="89"/>
      <c r="AP1072" s="89"/>
      <c r="AQ1072" s="89"/>
      <c r="AR1072" s="89"/>
      <c r="AS1072" s="89"/>
      <c r="AT1072" s="89"/>
      <c r="AU1072" s="89"/>
      <c r="AV1072" s="89"/>
      <c r="AW1072" s="89"/>
      <c r="AX1072" s="89"/>
      <c r="AY1072" s="89"/>
      <c r="AZ1072" s="89"/>
      <c r="BA1072" s="95"/>
    </row>
    <row r="1073" spans="1:53" s="87" customFormat="1">
      <c r="A1073" s="374" t="str">
        <f t="shared" si="64"/>
        <v/>
      </c>
      <c r="B1073" s="99">
        <v>25</v>
      </c>
      <c r="C1073" s="92" t="s">
        <v>210</v>
      </c>
      <c r="D1073" s="92">
        <v>-6</v>
      </c>
      <c r="E1073" s="92">
        <v>-2</v>
      </c>
      <c r="F1073" s="92" t="s">
        <v>210</v>
      </c>
      <c r="G1073" s="92" t="s">
        <v>210</v>
      </c>
      <c r="H1073" s="92">
        <v>3</v>
      </c>
      <c r="I1073" s="92">
        <v>5</v>
      </c>
      <c r="J1073" s="92" t="s">
        <v>210</v>
      </c>
      <c r="K1073" s="92" t="s">
        <v>210</v>
      </c>
      <c r="L1073" s="92" t="s">
        <v>202</v>
      </c>
      <c r="M1073" s="89"/>
      <c r="N1073" s="89"/>
      <c r="O1073" s="89"/>
      <c r="P1073" s="89"/>
      <c r="Q1073" s="89"/>
      <c r="R1073" s="89"/>
      <c r="S1073" s="89"/>
      <c r="T1073" s="89"/>
      <c r="U1073" s="89"/>
      <c r="V1073" s="89"/>
      <c r="W1073" s="89"/>
      <c r="X1073" s="89"/>
      <c r="Y1073" s="89"/>
      <c r="Z1073" s="89"/>
      <c r="AA1073" s="89"/>
      <c r="AB1073" s="89"/>
      <c r="AC1073" s="89"/>
      <c r="AD1073" s="89"/>
      <c r="AE1073" s="89"/>
      <c r="AF1073" s="89"/>
      <c r="AG1073" s="89"/>
      <c r="AH1073" s="89"/>
      <c r="AI1073" s="89"/>
      <c r="AJ1073" s="89"/>
      <c r="AK1073" s="89"/>
      <c r="AL1073" s="89"/>
      <c r="AM1073" s="89"/>
      <c r="AN1073" s="89"/>
      <c r="AO1073" s="89"/>
      <c r="AP1073" s="89"/>
      <c r="AQ1073" s="89"/>
      <c r="AR1073" s="89"/>
      <c r="AS1073" s="89"/>
      <c r="AT1073" s="89"/>
      <c r="AU1073" s="89"/>
      <c r="AV1073" s="89"/>
      <c r="AW1073" s="89"/>
      <c r="AX1073" s="89"/>
      <c r="AY1073" s="89"/>
      <c r="AZ1073" s="89"/>
      <c r="BA1073" s="95"/>
    </row>
    <row r="1074" spans="1:53" s="87" customFormat="1">
      <c r="A1074" s="374" t="str">
        <f t="shared" si="64"/>
        <v/>
      </c>
      <c r="B1074" s="89">
        <v>26</v>
      </c>
      <c r="C1074" s="89" t="s">
        <v>210</v>
      </c>
      <c r="D1074" s="89" t="s">
        <v>202</v>
      </c>
      <c r="E1074" s="89">
        <v>-4</v>
      </c>
      <c r="F1074" s="89" t="s">
        <v>210</v>
      </c>
      <c r="G1074" s="89" t="s">
        <v>210</v>
      </c>
      <c r="H1074" s="89">
        <v>2</v>
      </c>
      <c r="I1074" s="89">
        <v>-3</v>
      </c>
      <c r="J1074" s="89" t="s">
        <v>210</v>
      </c>
      <c r="K1074" s="89" t="s">
        <v>210</v>
      </c>
      <c r="L1074" s="89">
        <v>1</v>
      </c>
      <c r="M1074" s="89"/>
      <c r="N1074" s="89"/>
      <c r="O1074" s="89"/>
      <c r="P1074" s="89"/>
      <c r="Q1074" s="89"/>
      <c r="R1074" s="89"/>
      <c r="S1074" s="89"/>
      <c r="T1074" s="89"/>
      <c r="U1074" s="89"/>
      <c r="V1074" s="89"/>
      <c r="W1074" s="89"/>
      <c r="X1074" s="89"/>
      <c r="Y1074" s="89"/>
      <c r="Z1074" s="89"/>
      <c r="AA1074" s="89"/>
      <c r="AB1074" s="89"/>
      <c r="AC1074" s="89"/>
      <c r="AD1074" s="89"/>
      <c r="AE1074" s="89"/>
      <c r="AF1074" s="89"/>
      <c r="AG1074" s="89"/>
      <c r="AH1074" s="89"/>
      <c r="AI1074" s="89"/>
      <c r="AJ1074" s="89"/>
      <c r="AK1074" s="89"/>
      <c r="AL1074" s="89"/>
      <c r="AM1074" s="89"/>
      <c r="AN1074" s="89"/>
      <c r="AO1074" s="89"/>
      <c r="AP1074" s="89"/>
      <c r="AQ1074" s="89"/>
      <c r="AR1074" s="89"/>
      <c r="AS1074" s="89"/>
      <c r="AT1074" s="89"/>
      <c r="AU1074" s="89"/>
      <c r="AV1074" s="89"/>
      <c r="AW1074" s="89"/>
      <c r="AX1074" s="89"/>
      <c r="AY1074" s="89"/>
      <c r="AZ1074" s="89"/>
      <c r="BA1074" s="95"/>
    </row>
    <row r="1075" spans="1:53" s="87" customFormat="1">
      <c r="A1075" s="374" t="str">
        <f t="shared" si="64"/>
        <v/>
      </c>
      <c r="B1075" s="89">
        <v>27</v>
      </c>
      <c r="C1075" s="89" t="s">
        <v>210</v>
      </c>
      <c r="D1075" s="89">
        <v>-3</v>
      </c>
      <c r="E1075" s="89">
        <v>6</v>
      </c>
      <c r="F1075" s="89" t="s">
        <v>210</v>
      </c>
      <c r="G1075" s="89">
        <v>5</v>
      </c>
      <c r="H1075" s="89" t="s">
        <v>210</v>
      </c>
      <c r="I1075" s="89" t="s">
        <v>202</v>
      </c>
      <c r="J1075" s="89" t="s">
        <v>210</v>
      </c>
      <c r="K1075" s="89" t="s">
        <v>210</v>
      </c>
      <c r="L1075" s="89">
        <v>-1</v>
      </c>
      <c r="M1075" s="89"/>
      <c r="N1075" s="89"/>
      <c r="O1075" s="89"/>
      <c r="P1075" s="89"/>
      <c r="Q1075" s="89"/>
      <c r="R1075" s="89"/>
      <c r="S1075" s="89"/>
      <c r="T1075" s="89"/>
      <c r="U1075" s="89"/>
      <c r="V1075" s="89"/>
      <c r="W1075" s="89"/>
      <c r="X1075" s="89"/>
      <c r="Y1075" s="89"/>
      <c r="Z1075" s="89"/>
      <c r="AA1075" s="89"/>
      <c r="AB1075" s="89"/>
      <c r="AC1075" s="89"/>
      <c r="AD1075" s="89"/>
      <c r="AE1075" s="89"/>
      <c r="AF1075" s="89"/>
      <c r="AG1075" s="89"/>
      <c r="AH1075" s="89"/>
      <c r="AI1075" s="89"/>
      <c r="AJ1075" s="89"/>
      <c r="AK1075" s="89"/>
      <c r="AL1075" s="89"/>
      <c r="AM1075" s="89"/>
      <c r="AN1075" s="89"/>
      <c r="AO1075" s="89"/>
      <c r="AP1075" s="89"/>
      <c r="AQ1075" s="89"/>
      <c r="AR1075" s="89"/>
      <c r="AS1075" s="89"/>
      <c r="AT1075" s="89"/>
      <c r="AU1075" s="89"/>
      <c r="AV1075" s="89"/>
      <c r="AW1075" s="89"/>
      <c r="AX1075" s="89"/>
      <c r="AY1075" s="89"/>
      <c r="AZ1075" s="89"/>
      <c r="BA1075" s="95"/>
    </row>
    <row r="1076" spans="1:53" s="87" customFormat="1">
      <c r="A1076" s="374" t="str">
        <f t="shared" si="64"/>
        <v/>
      </c>
      <c r="B1076" s="89">
        <v>28</v>
      </c>
      <c r="C1076" s="89" t="s">
        <v>210</v>
      </c>
      <c r="D1076" s="89">
        <v>-4</v>
      </c>
      <c r="E1076" s="89" t="s">
        <v>202</v>
      </c>
      <c r="F1076" s="89" t="s">
        <v>210</v>
      </c>
      <c r="G1076" s="89">
        <v>-5</v>
      </c>
      <c r="H1076" s="89" t="s">
        <v>210</v>
      </c>
      <c r="I1076" s="89">
        <v>3</v>
      </c>
      <c r="J1076" s="89" t="s">
        <v>210</v>
      </c>
      <c r="K1076" s="89" t="s">
        <v>210</v>
      </c>
      <c r="L1076" s="89">
        <v>6</v>
      </c>
      <c r="M1076" s="89"/>
      <c r="N1076" s="89"/>
      <c r="O1076" s="89"/>
      <c r="P1076" s="89"/>
      <c r="Q1076" s="89"/>
      <c r="R1076" s="89"/>
      <c r="S1076" s="89"/>
      <c r="T1076" s="89"/>
      <c r="U1076" s="89"/>
      <c r="V1076" s="89"/>
      <c r="W1076" s="89"/>
      <c r="X1076" s="89"/>
      <c r="Y1076" s="89"/>
      <c r="Z1076" s="89"/>
      <c r="AA1076" s="89"/>
      <c r="AB1076" s="89"/>
      <c r="AC1076" s="89"/>
      <c r="AD1076" s="89"/>
      <c r="AE1076" s="89"/>
      <c r="AF1076" s="89"/>
      <c r="AG1076" s="89"/>
      <c r="AH1076" s="89"/>
      <c r="AI1076" s="89"/>
      <c r="AJ1076" s="89"/>
      <c r="AK1076" s="89"/>
      <c r="AL1076" s="89"/>
      <c r="AM1076" s="89"/>
      <c r="AN1076" s="89"/>
      <c r="AO1076" s="89"/>
      <c r="AP1076" s="89"/>
      <c r="AQ1076" s="89"/>
      <c r="AR1076" s="89"/>
      <c r="AS1076" s="89"/>
      <c r="AT1076" s="89"/>
      <c r="AU1076" s="89"/>
      <c r="AV1076" s="89"/>
      <c r="AW1076" s="89"/>
      <c r="AX1076" s="89"/>
      <c r="AY1076" s="89"/>
      <c r="AZ1076" s="89"/>
      <c r="BA1076" s="95"/>
    </row>
    <row r="1077" spans="1:53" s="87" customFormat="1">
      <c r="A1077" s="374" t="str">
        <f t="shared" si="64"/>
        <v/>
      </c>
      <c r="B1077" s="89">
        <v>29</v>
      </c>
      <c r="C1077" s="89" t="s">
        <v>210</v>
      </c>
      <c r="D1077" s="89">
        <v>3</v>
      </c>
      <c r="E1077" s="89">
        <v>4</v>
      </c>
      <c r="F1077" s="89" t="s">
        <v>210</v>
      </c>
      <c r="G1077" s="89" t="s">
        <v>210</v>
      </c>
      <c r="H1077" s="89" t="s">
        <v>202</v>
      </c>
      <c r="I1077" s="89">
        <v>-1</v>
      </c>
      <c r="J1077" s="89" t="s">
        <v>210</v>
      </c>
      <c r="K1077" s="89" t="s">
        <v>210</v>
      </c>
      <c r="L1077" s="89">
        <v>-6</v>
      </c>
      <c r="M1077" s="89"/>
      <c r="N1077" s="89"/>
      <c r="O1077" s="89"/>
      <c r="P1077" s="89"/>
      <c r="Q1077" s="89"/>
      <c r="R1077" s="89"/>
      <c r="S1077" s="89"/>
      <c r="T1077" s="89"/>
      <c r="U1077" s="89"/>
      <c r="V1077" s="89"/>
      <c r="W1077" s="89"/>
      <c r="X1077" s="89"/>
      <c r="Y1077" s="89"/>
      <c r="Z1077" s="89"/>
      <c r="AA1077" s="89"/>
      <c r="AB1077" s="89"/>
      <c r="AC1077" s="89"/>
      <c r="AD1077" s="89"/>
      <c r="AE1077" s="89"/>
      <c r="AF1077" s="89"/>
      <c r="AG1077" s="89"/>
      <c r="AH1077" s="89"/>
      <c r="AI1077" s="89"/>
      <c r="AJ1077" s="89"/>
      <c r="AK1077" s="89"/>
      <c r="AL1077" s="89"/>
      <c r="AM1077" s="89"/>
      <c r="AN1077" s="89"/>
      <c r="AO1077" s="89"/>
      <c r="AP1077" s="89"/>
      <c r="AQ1077" s="89"/>
      <c r="AR1077" s="89"/>
      <c r="AS1077" s="89"/>
      <c r="AT1077" s="89"/>
      <c r="AU1077" s="89"/>
      <c r="AV1077" s="89"/>
      <c r="AW1077" s="89"/>
      <c r="AX1077" s="89"/>
      <c r="AY1077" s="89"/>
      <c r="AZ1077" s="89"/>
      <c r="BA1077" s="95"/>
    </row>
    <row r="1078" spans="1:53" s="87" customFormat="1">
      <c r="A1078" s="374" t="str">
        <f t="shared" si="64"/>
        <v/>
      </c>
      <c r="B1078" s="89">
        <v>30</v>
      </c>
      <c r="C1078" s="89" t="s">
        <v>210</v>
      </c>
      <c r="D1078" s="89">
        <v>4</v>
      </c>
      <c r="E1078" s="89">
        <v>-6</v>
      </c>
      <c r="F1078" s="89" t="s">
        <v>210</v>
      </c>
      <c r="G1078" s="89" t="s">
        <v>210</v>
      </c>
      <c r="H1078" s="89">
        <v>-2</v>
      </c>
      <c r="I1078" s="89">
        <v>1</v>
      </c>
      <c r="J1078" s="89" t="s">
        <v>210</v>
      </c>
      <c r="K1078" s="89" t="s">
        <v>210</v>
      </c>
      <c r="L1078" s="89" t="s">
        <v>202</v>
      </c>
      <c r="M1078" s="89"/>
      <c r="N1078" s="89"/>
      <c r="O1078" s="89"/>
      <c r="P1078" s="89"/>
      <c r="Q1078" s="89"/>
      <c r="R1078" s="89"/>
      <c r="S1078" s="89"/>
      <c r="T1078" s="89"/>
      <c r="U1078" s="89"/>
      <c r="V1078" s="89"/>
      <c r="W1078" s="89"/>
      <c r="X1078" s="89"/>
      <c r="Y1078" s="89"/>
      <c r="Z1078" s="89"/>
      <c r="AA1078" s="89"/>
      <c r="AB1078" s="89"/>
      <c r="AC1078" s="89"/>
      <c r="AD1078" s="89"/>
      <c r="AE1078" s="89"/>
      <c r="AF1078" s="89"/>
      <c r="AG1078" s="89"/>
      <c r="AH1078" s="89"/>
      <c r="AI1078" s="89"/>
      <c r="AJ1078" s="89"/>
      <c r="AK1078" s="89"/>
      <c r="AL1078" s="89"/>
      <c r="AM1078" s="89"/>
      <c r="AN1078" s="89"/>
      <c r="AO1078" s="89"/>
      <c r="AP1078" s="89"/>
      <c r="AQ1078" s="89"/>
      <c r="AR1078" s="89"/>
      <c r="AS1078" s="89"/>
      <c r="AT1078" s="89"/>
      <c r="AU1078" s="89"/>
      <c r="AV1078" s="89"/>
      <c r="AW1078" s="89"/>
      <c r="AX1078" s="89"/>
      <c r="AY1078" s="89"/>
      <c r="AZ1078" s="89"/>
      <c r="BA1078" s="95"/>
    </row>
    <row r="1079" spans="1:53" s="87" customFormat="1">
      <c r="A1079" s="374" t="str">
        <f t="shared" si="64"/>
        <v/>
      </c>
      <c r="B1079" s="319" t="s">
        <v>1042</v>
      </c>
      <c r="C1079" s="89"/>
      <c r="D1079" s="89"/>
      <c r="E1079" s="89"/>
      <c r="F1079" s="89"/>
      <c r="G1079" s="89"/>
      <c r="H1079" s="89"/>
      <c r="I1079" s="89"/>
      <c r="J1079" s="89"/>
      <c r="K1079" s="89"/>
      <c r="L1079" s="89"/>
      <c r="M1079" s="89"/>
      <c r="N1079" s="89"/>
      <c r="O1079" s="89"/>
      <c r="P1079" s="89"/>
      <c r="Q1079" s="89"/>
      <c r="R1079" s="89"/>
      <c r="S1079" s="89"/>
      <c r="T1079" s="89"/>
      <c r="U1079" s="89"/>
      <c r="V1079" s="89"/>
      <c r="W1079" s="89"/>
      <c r="X1079" s="89"/>
      <c r="Y1079" s="89"/>
      <c r="Z1079" s="89"/>
      <c r="AA1079" s="89"/>
      <c r="AB1079" s="89"/>
      <c r="AC1079" s="89"/>
      <c r="AD1079" s="89"/>
      <c r="AE1079" s="89"/>
      <c r="AF1079" s="89"/>
      <c r="AG1079" s="89"/>
      <c r="AH1079" s="89"/>
      <c r="AI1079" s="89"/>
      <c r="AJ1079" s="89"/>
      <c r="AK1079" s="89"/>
      <c r="AL1079" s="89"/>
      <c r="AM1079" s="89"/>
      <c r="AN1079" s="89"/>
      <c r="AO1079" s="89"/>
      <c r="AP1079" s="89"/>
      <c r="AQ1079" s="89"/>
      <c r="AR1079" s="89"/>
      <c r="AS1079" s="89"/>
      <c r="AT1079" s="89"/>
      <c r="AU1079" s="89"/>
      <c r="AV1079" s="89"/>
      <c r="AW1079" s="89"/>
      <c r="AX1079" s="89"/>
      <c r="AY1079" s="89"/>
      <c r="AZ1079" s="89"/>
      <c r="BA1079" s="95"/>
    </row>
    <row r="1080" spans="1:53" s="87" customFormat="1">
      <c r="A1080" s="374">
        <f t="shared" si="64"/>
        <v>1080</v>
      </c>
      <c r="B1080" s="319" t="s">
        <v>1194</v>
      </c>
      <c r="C1080" s="89"/>
      <c r="D1080" s="89"/>
      <c r="E1080" s="89"/>
      <c r="F1080" s="89"/>
      <c r="G1080" s="89"/>
      <c r="H1080" s="89"/>
      <c r="I1080" s="89"/>
      <c r="J1080" s="89"/>
      <c r="K1080" s="89"/>
      <c r="L1080" s="89"/>
      <c r="M1080" s="89"/>
      <c r="N1080" s="89"/>
      <c r="O1080" s="89"/>
      <c r="P1080" s="89"/>
      <c r="Q1080" s="89"/>
      <c r="R1080" s="89"/>
      <c r="S1080" s="89"/>
      <c r="T1080" s="89"/>
      <c r="U1080" s="89"/>
      <c r="V1080" s="89"/>
      <c r="W1080" s="89"/>
      <c r="X1080" s="89"/>
      <c r="Y1080" s="89"/>
      <c r="Z1080" s="89"/>
      <c r="AA1080" s="89"/>
      <c r="AB1080" s="89"/>
      <c r="AC1080" s="89"/>
      <c r="AD1080" s="89"/>
      <c r="AE1080" s="89"/>
      <c r="AF1080" s="89"/>
      <c r="AG1080" s="89"/>
      <c r="AH1080" s="89"/>
      <c r="AI1080" s="89"/>
      <c r="AJ1080" s="89"/>
      <c r="AK1080" s="89"/>
      <c r="AL1080" s="89"/>
      <c r="AM1080" s="89"/>
      <c r="AN1080" s="89"/>
      <c r="AO1080" s="89"/>
      <c r="AP1080" s="89"/>
      <c r="AQ1080" s="89"/>
      <c r="AR1080" s="89"/>
      <c r="AS1080" s="89"/>
      <c r="AT1080" s="89"/>
      <c r="AU1080" s="89"/>
      <c r="AV1080" s="89"/>
      <c r="AW1080" s="89"/>
      <c r="AX1080" s="89"/>
      <c r="AY1080" s="89"/>
      <c r="AZ1080" s="89"/>
      <c r="BA1080" s="95"/>
    </row>
    <row r="1081" spans="1:53" s="87" customFormat="1">
      <c r="A1081" s="374" t="str">
        <f t="shared" si="64"/>
        <v/>
      </c>
      <c r="B1081" s="89">
        <v>1</v>
      </c>
      <c r="C1081" s="89">
        <v>1</v>
      </c>
      <c r="D1081" s="89" t="s">
        <v>210</v>
      </c>
      <c r="E1081" s="89">
        <v>-5</v>
      </c>
      <c r="F1081" s="89" t="s">
        <v>210</v>
      </c>
      <c r="G1081" s="89">
        <v>-2</v>
      </c>
      <c r="H1081" s="89" t="s">
        <v>210</v>
      </c>
      <c r="I1081" s="89">
        <v>6</v>
      </c>
      <c r="J1081" s="89">
        <v>-3</v>
      </c>
      <c r="K1081" s="89" t="s">
        <v>210</v>
      </c>
      <c r="L1081" s="89">
        <v>4</v>
      </c>
      <c r="M1081" s="89">
        <v>5</v>
      </c>
      <c r="N1081" s="89"/>
      <c r="O1081" s="89"/>
      <c r="P1081" s="89"/>
      <c r="Q1081" s="89"/>
      <c r="R1081" s="89"/>
      <c r="S1081" s="89"/>
      <c r="T1081" s="89"/>
      <c r="U1081" s="89"/>
      <c r="V1081" s="89"/>
      <c r="W1081" s="89"/>
      <c r="X1081" s="89"/>
      <c r="Y1081" s="89"/>
      <c r="Z1081" s="89"/>
      <c r="AA1081" s="89"/>
      <c r="AB1081" s="89"/>
      <c r="AC1081" s="89"/>
      <c r="AD1081" s="89"/>
      <c r="AE1081" s="89"/>
      <c r="AF1081" s="89"/>
      <c r="AG1081" s="89"/>
      <c r="AH1081" s="89"/>
      <c r="AI1081" s="89"/>
      <c r="AJ1081" s="89"/>
      <c r="AK1081" s="89"/>
      <c r="AL1081" s="89"/>
      <c r="AM1081" s="89"/>
      <c r="AN1081" s="89"/>
      <c r="AO1081" s="89"/>
      <c r="AP1081" s="89"/>
      <c r="AQ1081" s="89"/>
      <c r="AR1081" s="89"/>
      <c r="AS1081" s="89"/>
      <c r="AT1081" s="89"/>
      <c r="AU1081" s="89"/>
      <c r="AV1081" s="89"/>
      <c r="AW1081" s="89"/>
      <c r="AX1081" s="89"/>
      <c r="AY1081" s="89"/>
      <c r="AZ1081" s="89"/>
      <c r="BA1081" s="95"/>
    </row>
    <row r="1082" spans="1:53" s="87" customFormat="1">
      <c r="A1082" s="374" t="str">
        <f t="shared" si="64"/>
        <v/>
      </c>
      <c r="B1082" s="89">
        <v>2</v>
      </c>
      <c r="C1082" s="89">
        <v>-3</v>
      </c>
      <c r="D1082" s="89" t="s">
        <v>210</v>
      </c>
      <c r="E1082" s="89">
        <v>5</v>
      </c>
      <c r="F1082" s="89" t="s">
        <v>210</v>
      </c>
      <c r="G1082" s="89">
        <v>1</v>
      </c>
      <c r="H1082" s="89" t="s">
        <v>210</v>
      </c>
      <c r="I1082" s="89">
        <v>-4</v>
      </c>
      <c r="J1082" s="89">
        <v>-2</v>
      </c>
      <c r="K1082" s="89" t="s">
        <v>210</v>
      </c>
      <c r="L1082" s="89">
        <v>6</v>
      </c>
      <c r="M1082" s="89">
        <v>3</v>
      </c>
      <c r="N1082" s="89"/>
      <c r="O1082" s="89"/>
      <c r="P1082" s="89"/>
      <c r="Q1082" s="89"/>
      <c r="R1082" s="89"/>
      <c r="S1082" s="89"/>
      <c r="T1082" s="89"/>
      <c r="U1082" s="89"/>
      <c r="V1082" s="89"/>
      <c r="W1082" s="89"/>
      <c r="X1082" s="89"/>
      <c r="Y1082" s="89"/>
      <c r="Z1082" s="89"/>
      <c r="AA1082" s="89"/>
      <c r="AB1082" s="89"/>
      <c r="AC1082" s="89"/>
      <c r="AD1082" s="89"/>
      <c r="AE1082" s="89"/>
      <c r="AF1082" s="89"/>
      <c r="AG1082" s="89"/>
      <c r="AH1082" s="89"/>
      <c r="AI1082" s="89"/>
      <c r="AJ1082" s="89"/>
      <c r="AK1082" s="89"/>
      <c r="AL1082" s="89"/>
      <c r="AM1082" s="89"/>
      <c r="AN1082" s="89"/>
      <c r="AO1082" s="89"/>
      <c r="AP1082" s="89"/>
      <c r="AQ1082" s="89"/>
      <c r="AR1082" s="89"/>
      <c r="AS1082" s="89"/>
      <c r="AT1082" s="89"/>
      <c r="AU1082" s="89"/>
      <c r="AV1082" s="89"/>
      <c r="AW1082" s="89"/>
      <c r="AX1082" s="89"/>
      <c r="AY1082" s="89"/>
      <c r="AZ1082" s="89"/>
      <c r="BA1082" s="95"/>
    </row>
    <row r="1083" spans="1:53" s="87" customFormat="1">
      <c r="A1083" s="374" t="str">
        <f t="shared" si="64"/>
        <v/>
      </c>
      <c r="B1083" s="89">
        <v>3</v>
      </c>
      <c r="C1083" s="89">
        <v>-1</v>
      </c>
      <c r="D1083" s="89">
        <v>-4</v>
      </c>
      <c r="E1083" s="89" t="s">
        <v>210</v>
      </c>
      <c r="F1083" s="89">
        <v>2</v>
      </c>
      <c r="G1083" s="89">
        <v>-3</v>
      </c>
      <c r="H1083" s="89" t="s">
        <v>210</v>
      </c>
      <c r="I1083" s="89">
        <v>4</v>
      </c>
      <c r="J1083" s="89" t="s">
        <v>210</v>
      </c>
      <c r="K1083" s="89">
        <v>-6</v>
      </c>
      <c r="L1083" s="89">
        <v>5</v>
      </c>
      <c r="M1083" s="89" t="s">
        <v>210</v>
      </c>
      <c r="N1083" s="89"/>
      <c r="O1083" s="89"/>
      <c r="P1083" s="89"/>
      <c r="Q1083" s="89"/>
      <c r="R1083" s="89"/>
      <c r="S1083" s="89"/>
      <c r="T1083" s="89"/>
      <c r="U1083" s="89"/>
      <c r="V1083" s="89"/>
      <c r="W1083" s="89"/>
      <c r="X1083" s="89"/>
      <c r="Y1083" s="89"/>
      <c r="Z1083" s="89"/>
      <c r="AA1083" s="89"/>
      <c r="AB1083" s="89"/>
      <c r="AC1083" s="89"/>
      <c r="AD1083" s="89"/>
      <c r="AE1083" s="89"/>
      <c r="AF1083" s="89"/>
      <c r="AG1083" s="89"/>
      <c r="AH1083" s="89"/>
      <c r="AI1083" s="89"/>
      <c r="AJ1083" s="89"/>
      <c r="AK1083" s="89"/>
      <c r="AL1083" s="89"/>
      <c r="AM1083" s="89"/>
      <c r="AN1083" s="89"/>
      <c r="AO1083" s="89"/>
      <c r="AP1083" s="89"/>
      <c r="AQ1083" s="89"/>
      <c r="AR1083" s="89"/>
      <c r="AS1083" s="89"/>
      <c r="AT1083" s="89"/>
      <c r="AU1083" s="89"/>
      <c r="AV1083" s="89"/>
      <c r="AW1083" s="89"/>
      <c r="AX1083" s="89"/>
      <c r="AY1083" s="89"/>
      <c r="AZ1083" s="89"/>
      <c r="BA1083" s="95"/>
    </row>
    <row r="1084" spans="1:53" s="87" customFormat="1">
      <c r="A1084" s="374" t="str">
        <f t="shared" si="64"/>
        <v/>
      </c>
      <c r="B1084" s="89">
        <v>4</v>
      </c>
      <c r="C1084" s="89">
        <v>3</v>
      </c>
      <c r="D1084" s="89">
        <v>6</v>
      </c>
      <c r="E1084" s="89" t="s">
        <v>210</v>
      </c>
      <c r="F1084" s="89">
        <v>-2</v>
      </c>
      <c r="G1084" s="89" t="s">
        <v>210</v>
      </c>
      <c r="H1084" s="89">
        <v>-3</v>
      </c>
      <c r="I1084" s="89">
        <v>5</v>
      </c>
      <c r="J1084" s="89" t="s">
        <v>210</v>
      </c>
      <c r="K1084" s="89" t="s">
        <v>210</v>
      </c>
      <c r="L1084" s="89">
        <v>-4</v>
      </c>
      <c r="M1084" s="89">
        <v>1</v>
      </c>
      <c r="N1084" s="89"/>
      <c r="O1084" s="89"/>
      <c r="P1084" s="89"/>
      <c r="Q1084" s="89"/>
      <c r="R1084" s="89"/>
      <c r="S1084" s="89"/>
      <c r="T1084" s="89"/>
      <c r="U1084" s="89"/>
      <c r="V1084" s="89"/>
      <c r="W1084" s="89"/>
      <c r="X1084" s="89"/>
      <c r="Y1084" s="89"/>
      <c r="Z1084" s="89"/>
      <c r="AA1084" s="89"/>
      <c r="AB1084" s="89"/>
      <c r="AC1084" s="89"/>
      <c r="AD1084" s="89"/>
      <c r="AE1084" s="89"/>
      <c r="AF1084" s="89"/>
      <c r="AG1084" s="89"/>
      <c r="AH1084" s="89"/>
      <c r="AI1084" s="89"/>
      <c r="AJ1084" s="89"/>
      <c r="AK1084" s="89"/>
      <c r="AL1084" s="89"/>
      <c r="AM1084" s="89"/>
      <c r="AN1084" s="89"/>
      <c r="AO1084" s="89"/>
      <c r="AP1084" s="89"/>
      <c r="AQ1084" s="89"/>
      <c r="AR1084" s="89"/>
      <c r="AS1084" s="89"/>
      <c r="AT1084" s="89"/>
      <c r="AU1084" s="89"/>
      <c r="AV1084" s="89"/>
      <c r="AW1084" s="89"/>
      <c r="AX1084" s="89"/>
      <c r="AY1084" s="89"/>
      <c r="AZ1084" s="89"/>
      <c r="BA1084" s="95"/>
    </row>
    <row r="1085" spans="1:53" s="87" customFormat="1">
      <c r="A1085" s="374" t="str">
        <f t="shared" si="64"/>
        <v/>
      </c>
      <c r="B1085" s="89">
        <v>5</v>
      </c>
      <c r="C1085" s="89">
        <v>-2</v>
      </c>
      <c r="D1085" s="89">
        <v>4</v>
      </c>
      <c r="E1085" s="89" t="s">
        <v>210</v>
      </c>
      <c r="F1085" s="89">
        <v>-1</v>
      </c>
      <c r="G1085" s="89" t="s">
        <v>210</v>
      </c>
      <c r="H1085" s="89">
        <v>3</v>
      </c>
      <c r="I1085" s="89" t="s">
        <v>210</v>
      </c>
      <c r="J1085" s="89">
        <v>1</v>
      </c>
      <c r="K1085" s="89" t="s">
        <v>210</v>
      </c>
      <c r="L1085" s="89">
        <v>-6</v>
      </c>
      <c r="M1085" s="89">
        <v>-5</v>
      </c>
      <c r="N1085" s="89"/>
      <c r="O1085" s="89"/>
      <c r="P1085" s="89"/>
      <c r="Q1085" s="89"/>
      <c r="R1085" s="89"/>
      <c r="S1085" s="89"/>
      <c r="T1085" s="89"/>
      <c r="U1085" s="89"/>
      <c r="V1085" s="89"/>
      <c r="W1085" s="89"/>
      <c r="X1085" s="89"/>
      <c r="Y1085" s="89"/>
      <c r="Z1085" s="89"/>
      <c r="AA1085" s="89"/>
      <c r="AB1085" s="89"/>
      <c r="AC1085" s="89"/>
      <c r="AD1085" s="89"/>
      <c r="AE1085" s="89"/>
      <c r="AF1085" s="89"/>
      <c r="AG1085" s="89"/>
      <c r="AH1085" s="89"/>
      <c r="AI1085" s="89"/>
      <c r="AJ1085" s="89"/>
      <c r="AK1085" s="89"/>
      <c r="AL1085" s="89"/>
      <c r="AM1085" s="89"/>
      <c r="AN1085" s="89"/>
      <c r="AO1085" s="89"/>
      <c r="AP1085" s="89"/>
      <c r="AQ1085" s="89"/>
      <c r="AR1085" s="89"/>
      <c r="AS1085" s="89"/>
      <c r="AT1085" s="89"/>
      <c r="AU1085" s="89"/>
      <c r="AV1085" s="89"/>
      <c r="AW1085" s="89"/>
      <c r="AX1085" s="89"/>
      <c r="AY1085" s="89"/>
      <c r="AZ1085" s="89"/>
      <c r="BA1085" s="95"/>
    </row>
    <row r="1086" spans="1:53" s="87" customFormat="1">
      <c r="A1086" s="374" t="str">
        <f t="shared" si="64"/>
        <v/>
      </c>
      <c r="B1086" s="89">
        <v>6</v>
      </c>
      <c r="C1086" s="89">
        <v>2</v>
      </c>
      <c r="D1086" s="89">
        <v>-6</v>
      </c>
      <c r="E1086" s="89" t="s">
        <v>210</v>
      </c>
      <c r="F1086" s="89">
        <v>4</v>
      </c>
      <c r="G1086" s="89">
        <v>-1</v>
      </c>
      <c r="H1086" s="89" t="s">
        <v>210</v>
      </c>
      <c r="I1086" s="89" t="s">
        <v>210</v>
      </c>
      <c r="J1086" s="89">
        <v>3</v>
      </c>
      <c r="K1086" s="89">
        <v>-4</v>
      </c>
      <c r="L1086" s="89">
        <v>-5</v>
      </c>
      <c r="M1086" s="89" t="s">
        <v>210</v>
      </c>
      <c r="N1086" s="89"/>
      <c r="O1086" s="89"/>
      <c r="P1086" s="89"/>
      <c r="Q1086" s="89"/>
      <c r="R1086" s="89"/>
      <c r="S1086" s="89"/>
      <c r="T1086" s="89"/>
      <c r="U1086" s="89"/>
      <c r="V1086" s="89"/>
      <c r="W1086" s="89"/>
      <c r="X1086" s="89"/>
      <c r="Y1086" s="89"/>
      <c r="Z1086" s="89"/>
      <c r="AA1086" s="89"/>
      <c r="AB1086" s="89"/>
      <c r="AC1086" s="89"/>
      <c r="AD1086" s="89"/>
      <c r="AE1086" s="89"/>
      <c r="AF1086" s="89"/>
      <c r="AG1086" s="89"/>
      <c r="AH1086" s="89"/>
      <c r="AI1086" s="89"/>
      <c r="AJ1086" s="89"/>
      <c r="AK1086" s="89"/>
      <c r="AL1086" s="89"/>
      <c r="AM1086" s="89"/>
      <c r="AN1086" s="89"/>
      <c r="AO1086" s="89"/>
      <c r="AP1086" s="89"/>
      <c r="AQ1086" s="89"/>
      <c r="AR1086" s="89"/>
      <c r="AS1086" s="89"/>
      <c r="AT1086" s="89"/>
      <c r="AU1086" s="89"/>
      <c r="AV1086" s="89"/>
      <c r="AW1086" s="89"/>
      <c r="AX1086" s="89"/>
      <c r="AY1086" s="89"/>
      <c r="AZ1086" s="89"/>
      <c r="BA1086" s="95"/>
    </row>
    <row r="1087" spans="1:53" s="87" customFormat="1">
      <c r="A1087" s="374" t="str">
        <f t="shared" si="64"/>
        <v/>
      </c>
      <c r="B1087" s="89">
        <v>7</v>
      </c>
      <c r="C1087" s="89" t="s">
        <v>210</v>
      </c>
      <c r="D1087" s="89">
        <v>5</v>
      </c>
      <c r="E1087" s="89" t="s">
        <v>210</v>
      </c>
      <c r="F1087" s="89">
        <v>-4</v>
      </c>
      <c r="G1087" s="89">
        <v>2</v>
      </c>
      <c r="H1087" s="89" t="s">
        <v>210</v>
      </c>
      <c r="I1087" s="89">
        <v>-5</v>
      </c>
      <c r="J1087" s="89">
        <v>-1</v>
      </c>
      <c r="K1087" s="89">
        <v>6</v>
      </c>
      <c r="L1087" s="89" t="s">
        <v>210</v>
      </c>
      <c r="M1087" s="89">
        <v>-3</v>
      </c>
      <c r="N1087" s="89"/>
      <c r="O1087" s="89"/>
      <c r="P1087" s="89"/>
      <c r="Q1087" s="89"/>
      <c r="R1087" s="89"/>
      <c r="S1087" s="89"/>
      <c r="T1087" s="89"/>
      <c r="U1087" s="89"/>
      <c r="V1087" s="89"/>
      <c r="W1087" s="89"/>
      <c r="X1087" s="89"/>
      <c r="Y1087" s="89"/>
      <c r="Z1087" s="89"/>
      <c r="AA1087" s="89"/>
      <c r="AB1087" s="89"/>
      <c r="AC1087" s="89"/>
      <c r="AD1087" s="89"/>
      <c r="AE1087" s="89"/>
      <c r="AF1087" s="89"/>
      <c r="AG1087" s="89"/>
      <c r="AH1087" s="89"/>
      <c r="AI1087" s="89"/>
      <c r="AJ1087" s="89"/>
      <c r="AK1087" s="89"/>
      <c r="AL1087" s="89"/>
      <c r="AM1087" s="89"/>
      <c r="AN1087" s="89"/>
      <c r="AO1087" s="89"/>
      <c r="AP1087" s="89"/>
      <c r="AQ1087" s="89"/>
      <c r="AR1087" s="89"/>
      <c r="AS1087" s="89"/>
      <c r="AT1087" s="89"/>
      <c r="AU1087" s="89"/>
      <c r="AV1087" s="89"/>
      <c r="AW1087" s="89"/>
      <c r="AX1087" s="89"/>
      <c r="AY1087" s="89"/>
      <c r="AZ1087" s="89"/>
      <c r="BA1087" s="95"/>
    </row>
    <row r="1088" spans="1:53" s="87" customFormat="1">
      <c r="A1088" s="374" t="str">
        <f t="shared" si="64"/>
        <v/>
      </c>
      <c r="B1088" s="99">
        <v>8</v>
      </c>
      <c r="C1088" s="92" t="s">
        <v>210</v>
      </c>
      <c r="D1088" s="92">
        <v>-5</v>
      </c>
      <c r="E1088" s="92" t="s">
        <v>210</v>
      </c>
      <c r="F1088" s="92">
        <v>1</v>
      </c>
      <c r="G1088" s="92">
        <v>3</v>
      </c>
      <c r="H1088" s="92" t="s">
        <v>210</v>
      </c>
      <c r="I1088" s="92">
        <v>-6</v>
      </c>
      <c r="J1088" s="92">
        <v>2</v>
      </c>
      <c r="K1088" s="92">
        <v>4</v>
      </c>
      <c r="L1088" s="92" t="s">
        <v>210</v>
      </c>
      <c r="M1088" s="92">
        <v>-1</v>
      </c>
      <c r="N1088" s="89"/>
      <c r="O1088" s="89"/>
      <c r="P1088" s="89"/>
      <c r="Q1088" s="89"/>
      <c r="R1088" s="89"/>
      <c r="S1088" s="89"/>
      <c r="T1088" s="89"/>
      <c r="U1088" s="89"/>
      <c r="V1088" s="89"/>
      <c r="W1088" s="89"/>
      <c r="X1088" s="89"/>
      <c r="Y1088" s="89"/>
      <c r="Z1088" s="89"/>
      <c r="AA1088" s="89"/>
      <c r="AB1088" s="89"/>
      <c r="AC1088" s="89"/>
      <c r="AD1088" s="89"/>
      <c r="AE1088" s="89"/>
      <c r="AF1088" s="89"/>
      <c r="AG1088" s="89"/>
      <c r="AH1088" s="89"/>
      <c r="AI1088" s="89"/>
      <c r="AJ1088" s="89"/>
      <c r="AK1088" s="89"/>
      <c r="AL1088" s="89"/>
      <c r="AM1088" s="89"/>
      <c r="AN1088" s="89"/>
      <c r="AO1088" s="89"/>
      <c r="AP1088" s="89"/>
      <c r="AQ1088" s="89"/>
      <c r="AR1088" s="89"/>
      <c r="AS1088" s="89"/>
      <c r="AT1088" s="89"/>
      <c r="AU1088" s="89"/>
      <c r="AV1088" s="89"/>
      <c r="AW1088" s="89"/>
      <c r="AX1088" s="89"/>
      <c r="AY1088" s="89"/>
      <c r="AZ1088" s="89"/>
      <c r="BA1088" s="95"/>
    </row>
    <row r="1089" spans="1:53" s="87" customFormat="1">
      <c r="A1089" s="374" t="str">
        <f t="shared" si="64"/>
        <v/>
      </c>
      <c r="B1089" s="89">
        <v>9</v>
      </c>
      <c r="C1089" s="89">
        <v>6</v>
      </c>
      <c r="D1089" s="89" t="s">
        <v>210</v>
      </c>
      <c r="E1089" s="89">
        <v>-2</v>
      </c>
      <c r="F1089" s="89" t="s">
        <v>210</v>
      </c>
      <c r="G1089" s="89">
        <v>-5</v>
      </c>
      <c r="H1089" s="89" t="s">
        <v>210</v>
      </c>
      <c r="I1089" s="89">
        <v>1</v>
      </c>
      <c r="J1089" s="89">
        <v>-4</v>
      </c>
      <c r="K1089" s="89" t="s">
        <v>210</v>
      </c>
      <c r="L1089" s="89">
        <v>3</v>
      </c>
      <c r="M1089" s="89">
        <v>2</v>
      </c>
      <c r="N1089" s="89"/>
      <c r="O1089" s="89"/>
      <c r="P1089" s="89"/>
      <c r="Q1089" s="89"/>
      <c r="R1089" s="89"/>
      <c r="S1089" s="89"/>
      <c r="T1089" s="89"/>
      <c r="U1089" s="89"/>
      <c r="V1089" s="89"/>
      <c r="W1089" s="89"/>
      <c r="X1089" s="89"/>
      <c r="Y1089" s="89"/>
      <c r="Z1089" s="89"/>
      <c r="AA1089" s="89"/>
      <c r="AB1089" s="89"/>
      <c r="AC1089" s="89"/>
      <c r="AD1089" s="89"/>
      <c r="AE1089" s="89"/>
      <c r="AF1089" s="89"/>
      <c r="AG1089" s="89"/>
      <c r="AH1089" s="89"/>
      <c r="AI1089" s="89"/>
      <c r="AJ1089" s="89"/>
      <c r="AK1089" s="89"/>
      <c r="AL1089" s="89"/>
      <c r="AM1089" s="89"/>
      <c r="AN1089" s="89"/>
      <c r="AO1089" s="89"/>
      <c r="AP1089" s="89"/>
      <c r="AQ1089" s="89"/>
      <c r="AR1089" s="89"/>
      <c r="AS1089" s="89"/>
      <c r="AT1089" s="89"/>
      <c r="AU1089" s="89"/>
      <c r="AV1089" s="89"/>
      <c r="AW1089" s="89"/>
      <c r="AX1089" s="89"/>
      <c r="AY1089" s="89"/>
      <c r="AZ1089" s="89"/>
      <c r="BA1089" s="95"/>
    </row>
    <row r="1090" spans="1:53" s="87" customFormat="1">
      <c r="A1090" s="374" t="str">
        <f t="shared" si="64"/>
        <v/>
      </c>
      <c r="B1090" s="89">
        <v>10</v>
      </c>
      <c r="C1090" s="89">
        <v>-4</v>
      </c>
      <c r="D1090" s="89" t="s">
        <v>210</v>
      </c>
      <c r="E1090" s="89">
        <v>2</v>
      </c>
      <c r="F1090" s="89" t="s">
        <v>210</v>
      </c>
      <c r="G1090" s="89">
        <v>6</v>
      </c>
      <c r="H1090" s="89" t="s">
        <v>210</v>
      </c>
      <c r="I1090" s="89">
        <v>-3</v>
      </c>
      <c r="J1090" s="89">
        <v>-5</v>
      </c>
      <c r="K1090" s="89" t="s">
        <v>210</v>
      </c>
      <c r="L1090" s="89">
        <v>1</v>
      </c>
      <c r="M1090" s="89">
        <v>4</v>
      </c>
      <c r="N1090" s="89"/>
      <c r="O1090" s="89"/>
      <c r="P1090" s="89"/>
      <c r="Q1090" s="89"/>
      <c r="R1090" s="89"/>
      <c r="S1090" s="89"/>
      <c r="T1090" s="89"/>
      <c r="U1090" s="89"/>
      <c r="V1090" s="89"/>
      <c r="W1090" s="89"/>
      <c r="X1090" s="89"/>
      <c r="Y1090" s="89"/>
      <c r="Z1090" s="89"/>
      <c r="AA1090" s="89"/>
      <c r="AB1090" s="89"/>
      <c r="AC1090" s="89"/>
      <c r="AD1090" s="89"/>
      <c r="AE1090" s="89"/>
      <c r="AF1090" s="89"/>
      <c r="AG1090" s="89"/>
      <c r="AH1090" s="89"/>
      <c r="AI1090" s="89"/>
      <c r="AJ1090" s="89"/>
      <c r="AK1090" s="89"/>
      <c r="AL1090" s="89"/>
      <c r="AM1090" s="89"/>
      <c r="AN1090" s="89"/>
      <c r="AO1090" s="89"/>
      <c r="AP1090" s="89"/>
      <c r="AQ1090" s="89"/>
      <c r="AR1090" s="89"/>
      <c r="AS1090" s="89"/>
      <c r="AT1090" s="89"/>
      <c r="AU1090" s="89"/>
      <c r="AV1090" s="89"/>
      <c r="AW1090" s="89"/>
      <c r="AX1090" s="89"/>
      <c r="AY1090" s="89"/>
      <c r="AZ1090" s="89"/>
      <c r="BA1090" s="95"/>
    </row>
    <row r="1091" spans="1:53" s="87" customFormat="1">
      <c r="A1091" s="374" t="str">
        <f t="shared" si="64"/>
        <v/>
      </c>
      <c r="B1091" s="89">
        <v>11</v>
      </c>
      <c r="C1091" s="89">
        <v>-6</v>
      </c>
      <c r="D1091" s="89">
        <v>-3</v>
      </c>
      <c r="E1091" s="89" t="s">
        <v>210</v>
      </c>
      <c r="F1091" s="89">
        <v>5</v>
      </c>
      <c r="G1091" s="89">
        <v>-4</v>
      </c>
      <c r="H1091" s="89" t="s">
        <v>210</v>
      </c>
      <c r="I1091" s="89">
        <v>3</v>
      </c>
      <c r="J1091" s="89" t="s">
        <v>210</v>
      </c>
      <c r="K1091" s="89">
        <v>-1</v>
      </c>
      <c r="L1091" s="89">
        <v>2</v>
      </c>
      <c r="M1091" s="89" t="s">
        <v>210</v>
      </c>
      <c r="N1091" s="89"/>
      <c r="O1091" s="89"/>
      <c r="P1091" s="89"/>
      <c r="Q1091" s="89"/>
      <c r="R1091" s="89"/>
      <c r="S1091" s="89"/>
      <c r="T1091" s="89"/>
      <c r="U1091" s="89"/>
      <c r="V1091" s="89"/>
      <c r="W1091" s="89"/>
      <c r="X1091" s="89"/>
      <c r="Y1091" s="89"/>
      <c r="Z1091" s="89"/>
      <c r="AA1091" s="89"/>
      <c r="AB1091" s="89"/>
      <c r="AC1091" s="89"/>
      <c r="AD1091" s="89"/>
      <c r="AE1091" s="89"/>
      <c r="AF1091" s="89"/>
      <c r="AG1091" s="89"/>
      <c r="AH1091" s="89"/>
      <c r="AI1091" s="89"/>
      <c r="AJ1091" s="89"/>
      <c r="AK1091" s="89"/>
      <c r="AL1091" s="89"/>
      <c r="AM1091" s="89"/>
      <c r="AN1091" s="89"/>
      <c r="AO1091" s="89"/>
      <c r="AP1091" s="89"/>
      <c r="AQ1091" s="89"/>
      <c r="AR1091" s="89"/>
      <c r="AS1091" s="89"/>
      <c r="AT1091" s="89"/>
      <c r="AU1091" s="89"/>
      <c r="AV1091" s="89"/>
      <c r="AW1091" s="89"/>
      <c r="AX1091" s="89"/>
      <c r="AY1091" s="89"/>
      <c r="AZ1091" s="89"/>
      <c r="BA1091" s="95"/>
    </row>
    <row r="1092" spans="1:53" s="87" customFormat="1">
      <c r="A1092" s="374" t="str">
        <f t="shared" si="64"/>
        <v/>
      </c>
      <c r="B1092" s="89">
        <v>12</v>
      </c>
      <c r="C1092" s="89">
        <v>4</v>
      </c>
      <c r="D1092" s="89">
        <v>1</v>
      </c>
      <c r="E1092" s="89" t="s">
        <v>210</v>
      </c>
      <c r="F1092" s="89">
        <v>-5</v>
      </c>
      <c r="G1092" s="89" t="s">
        <v>210</v>
      </c>
      <c r="H1092" s="89">
        <v>-4</v>
      </c>
      <c r="I1092" s="89">
        <v>2</v>
      </c>
      <c r="J1092" s="89" t="s">
        <v>210</v>
      </c>
      <c r="K1092" s="89" t="s">
        <v>210</v>
      </c>
      <c r="L1092" s="89">
        <v>-3</v>
      </c>
      <c r="M1092" s="89">
        <v>6</v>
      </c>
      <c r="N1092" s="89"/>
      <c r="O1092" s="89"/>
      <c r="P1092" s="89"/>
      <c r="Q1092" s="89"/>
      <c r="R1092" s="89"/>
      <c r="S1092" s="89"/>
      <c r="T1092" s="89"/>
      <c r="U1092" s="89"/>
      <c r="V1092" s="89"/>
      <c r="W1092" s="89"/>
      <c r="X1092" s="89"/>
      <c r="Y1092" s="89"/>
      <c r="Z1092" s="89"/>
      <c r="AA1092" s="89"/>
      <c r="AB1092" s="89"/>
      <c r="AC1092" s="89"/>
      <c r="AD1092" s="89"/>
      <c r="AE1092" s="89"/>
      <c r="AF1092" s="89"/>
      <c r="AG1092" s="89"/>
      <c r="AH1092" s="89"/>
      <c r="AI1092" s="89"/>
      <c r="AJ1092" s="89"/>
      <c r="AK1092" s="89"/>
      <c r="AL1092" s="89"/>
      <c r="AM1092" s="89"/>
      <c r="AN1092" s="89"/>
      <c r="AO1092" s="89"/>
      <c r="AP1092" s="89"/>
      <c r="AQ1092" s="89"/>
      <c r="AR1092" s="89"/>
      <c r="AS1092" s="89"/>
      <c r="AT1092" s="89"/>
      <c r="AU1092" s="89"/>
      <c r="AV1092" s="89"/>
      <c r="AW1092" s="89"/>
      <c r="AX1092" s="89"/>
      <c r="AY1092" s="89"/>
      <c r="AZ1092" s="89"/>
      <c r="BA1092" s="95"/>
    </row>
    <row r="1093" spans="1:53" s="87" customFormat="1">
      <c r="A1093" s="374" t="str">
        <f t="shared" si="64"/>
        <v/>
      </c>
      <c r="B1093" s="89">
        <v>13</v>
      </c>
      <c r="C1093" s="89">
        <v>-5</v>
      </c>
      <c r="D1093" s="89">
        <v>3</v>
      </c>
      <c r="E1093" s="89" t="s">
        <v>210</v>
      </c>
      <c r="F1093" s="89">
        <v>-6</v>
      </c>
      <c r="G1093" s="89" t="s">
        <v>210</v>
      </c>
      <c r="H1093" s="89">
        <v>4</v>
      </c>
      <c r="I1093" s="89" t="s">
        <v>210</v>
      </c>
      <c r="J1093" s="89">
        <v>6</v>
      </c>
      <c r="K1093" s="89" t="s">
        <v>210</v>
      </c>
      <c r="L1093" s="89">
        <v>-1</v>
      </c>
      <c r="M1093" s="89">
        <v>-2</v>
      </c>
      <c r="N1093" s="89"/>
      <c r="O1093" s="89"/>
      <c r="P1093" s="89"/>
      <c r="Q1093" s="89"/>
      <c r="R1093" s="89"/>
      <c r="S1093" s="89"/>
      <c r="T1093" s="89"/>
      <c r="U1093" s="89"/>
      <c r="V1093" s="89"/>
      <c r="W1093" s="89"/>
      <c r="X1093" s="89"/>
      <c r="Y1093" s="89"/>
      <c r="Z1093" s="89"/>
      <c r="AA1093" s="89"/>
      <c r="AB1093" s="89"/>
      <c r="AC1093" s="89"/>
      <c r="AD1093" s="89"/>
      <c r="AE1093" s="89"/>
      <c r="AF1093" s="89"/>
      <c r="AG1093" s="89"/>
      <c r="AH1093" s="89"/>
      <c r="AI1093" s="89"/>
      <c r="AJ1093" s="89"/>
      <c r="AK1093" s="89"/>
      <c r="AL1093" s="89"/>
      <c r="AM1093" s="89"/>
      <c r="AN1093" s="89"/>
      <c r="AO1093" s="89"/>
      <c r="AP1093" s="89"/>
      <c r="AQ1093" s="89"/>
      <c r="AR1093" s="89"/>
      <c r="AS1093" s="89"/>
      <c r="AT1093" s="89"/>
      <c r="AU1093" s="89"/>
      <c r="AV1093" s="89"/>
      <c r="AW1093" s="89"/>
      <c r="AX1093" s="89"/>
      <c r="AY1093" s="89"/>
      <c r="AZ1093" s="89"/>
      <c r="BA1093" s="95"/>
    </row>
    <row r="1094" spans="1:53" s="87" customFormat="1">
      <c r="A1094" s="374" t="str">
        <f t="shared" si="64"/>
        <v/>
      </c>
      <c r="B1094" s="89">
        <v>14</v>
      </c>
      <c r="C1094" s="89">
        <v>5</v>
      </c>
      <c r="D1094" s="89">
        <v>-1</v>
      </c>
      <c r="E1094" s="89" t="s">
        <v>210</v>
      </c>
      <c r="F1094" s="89">
        <v>3</v>
      </c>
      <c r="G1094" s="89">
        <v>-6</v>
      </c>
      <c r="H1094" s="89" t="s">
        <v>210</v>
      </c>
      <c r="I1094" s="89" t="s">
        <v>210</v>
      </c>
      <c r="J1094" s="89">
        <v>4</v>
      </c>
      <c r="K1094" s="89">
        <v>-3</v>
      </c>
      <c r="L1094" s="89">
        <v>-2</v>
      </c>
      <c r="M1094" s="89" t="s">
        <v>210</v>
      </c>
      <c r="N1094" s="89"/>
      <c r="O1094" s="89"/>
      <c r="P1094" s="89"/>
      <c r="Q1094" s="89"/>
      <c r="R1094" s="89"/>
      <c r="S1094" s="89"/>
      <c r="T1094" s="89"/>
      <c r="U1094" s="89"/>
      <c r="V1094" s="89"/>
      <c r="W1094" s="89"/>
      <c r="X1094" s="89"/>
      <c r="Y1094" s="89"/>
      <c r="Z1094" s="89"/>
      <c r="AA1094" s="89"/>
      <c r="AB1094" s="89"/>
      <c r="AC1094" s="89"/>
      <c r="AD1094" s="89"/>
      <c r="AE1094" s="89"/>
      <c r="AF1094" s="89"/>
      <c r="AG1094" s="89"/>
      <c r="AH1094" s="89"/>
      <c r="AI1094" s="89"/>
      <c r="AJ1094" s="89"/>
      <c r="AK1094" s="89"/>
      <c r="AL1094" s="89"/>
      <c r="AM1094" s="89"/>
      <c r="AN1094" s="89"/>
      <c r="AO1094" s="89"/>
      <c r="AP1094" s="89"/>
      <c r="AQ1094" s="89"/>
      <c r="AR1094" s="89"/>
      <c r="AS1094" s="89"/>
      <c r="AT1094" s="89"/>
      <c r="AU1094" s="89"/>
      <c r="AV1094" s="89"/>
      <c r="AW1094" s="89"/>
      <c r="AX1094" s="89"/>
      <c r="AY1094" s="89"/>
      <c r="AZ1094" s="89"/>
      <c r="BA1094" s="95"/>
    </row>
    <row r="1095" spans="1:53" s="87" customFormat="1">
      <c r="A1095" s="374" t="str">
        <f t="shared" si="64"/>
        <v/>
      </c>
      <c r="B1095" s="89">
        <v>15</v>
      </c>
      <c r="C1095" s="89" t="s">
        <v>210</v>
      </c>
      <c r="D1095" s="89">
        <v>2</v>
      </c>
      <c r="E1095" s="89" t="s">
        <v>210</v>
      </c>
      <c r="F1095" s="89">
        <v>-3</v>
      </c>
      <c r="G1095" s="89">
        <v>5</v>
      </c>
      <c r="H1095" s="89" t="s">
        <v>210</v>
      </c>
      <c r="I1095" s="89">
        <v>-2</v>
      </c>
      <c r="J1095" s="89">
        <v>-6</v>
      </c>
      <c r="K1095" s="89">
        <v>1</v>
      </c>
      <c r="L1095" s="89" t="s">
        <v>210</v>
      </c>
      <c r="M1095" s="89">
        <v>-4</v>
      </c>
      <c r="N1095" s="89"/>
      <c r="O1095" s="89"/>
      <c r="P1095" s="89"/>
      <c r="Q1095" s="89"/>
      <c r="R1095" s="89"/>
      <c r="S1095" s="89"/>
      <c r="T1095" s="89"/>
      <c r="U1095" s="89"/>
      <c r="V1095" s="89"/>
      <c r="W1095" s="89"/>
      <c r="X1095" s="89"/>
      <c r="Y1095" s="89"/>
      <c r="Z1095" s="89"/>
      <c r="AA1095" s="89"/>
      <c r="AB1095" s="89"/>
      <c r="AC1095" s="89"/>
      <c r="AD1095" s="89"/>
      <c r="AE1095" s="89"/>
      <c r="AF1095" s="89"/>
      <c r="AG1095" s="89"/>
      <c r="AH1095" s="89"/>
      <c r="AI1095" s="89"/>
      <c r="AJ1095" s="89"/>
      <c r="AK1095" s="89"/>
      <c r="AL1095" s="89"/>
      <c r="AM1095" s="89"/>
      <c r="AN1095" s="89"/>
      <c r="AO1095" s="89"/>
      <c r="AP1095" s="89"/>
      <c r="AQ1095" s="89"/>
      <c r="AR1095" s="89"/>
      <c r="AS1095" s="89"/>
      <c r="AT1095" s="89"/>
      <c r="AU1095" s="89"/>
      <c r="AV1095" s="89"/>
      <c r="AW1095" s="89"/>
      <c r="AX1095" s="89"/>
      <c r="AY1095" s="89"/>
      <c r="AZ1095" s="89"/>
      <c r="BA1095" s="95"/>
    </row>
    <row r="1096" spans="1:53" s="87" customFormat="1">
      <c r="A1096" s="374" t="str">
        <f t="shared" si="64"/>
        <v/>
      </c>
      <c r="B1096" s="89">
        <v>16</v>
      </c>
      <c r="C1096" s="89" t="s">
        <v>210</v>
      </c>
      <c r="D1096" s="89">
        <v>-2</v>
      </c>
      <c r="E1096" s="89" t="s">
        <v>210</v>
      </c>
      <c r="F1096" s="89">
        <v>6</v>
      </c>
      <c r="G1096" s="89">
        <v>4</v>
      </c>
      <c r="H1096" s="89" t="s">
        <v>210</v>
      </c>
      <c r="I1096" s="89">
        <v>-1</v>
      </c>
      <c r="J1096" s="89">
        <v>5</v>
      </c>
      <c r="K1096" s="89">
        <v>3</v>
      </c>
      <c r="L1096" s="89" t="s">
        <v>210</v>
      </c>
      <c r="M1096" s="89">
        <v>-6</v>
      </c>
      <c r="N1096" s="89"/>
      <c r="O1096" s="89"/>
      <c r="P1096" s="89"/>
      <c r="Q1096" s="89"/>
      <c r="R1096" s="89"/>
      <c r="S1096" s="89"/>
      <c r="T1096" s="89"/>
      <c r="U1096" s="89"/>
      <c r="V1096" s="89"/>
      <c r="W1096" s="89"/>
      <c r="X1096" s="89"/>
      <c r="Y1096" s="89"/>
      <c r="Z1096" s="89"/>
      <c r="AA1096" s="89"/>
      <c r="AB1096" s="89"/>
      <c r="AC1096" s="89"/>
      <c r="AD1096" s="89"/>
      <c r="AE1096" s="89"/>
      <c r="AF1096" s="89"/>
      <c r="AG1096" s="89"/>
      <c r="AH1096" s="89"/>
      <c r="AI1096" s="89"/>
      <c r="AJ1096" s="89"/>
      <c r="AK1096" s="89"/>
      <c r="AL1096" s="89"/>
      <c r="AM1096" s="89"/>
      <c r="AN1096" s="89"/>
      <c r="AO1096" s="89"/>
      <c r="AP1096" s="89"/>
      <c r="AQ1096" s="89"/>
      <c r="AR1096" s="89"/>
      <c r="AS1096" s="89"/>
      <c r="AT1096" s="89"/>
      <c r="AU1096" s="89"/>
      <c r="AV1096" s="89"/>
      <c r="AW1096" s="89"/>
      <c r="AX1096" s="89"/>
      <c r="AY1096" s="89"/>
      <c r="AZ1096" s="89"/>
      <c r="BA1096" s="95"/>
    </row>
    <row r="1097" spans="1:53" s="87" customFormat="1">
      <c r="A1097" s="374" t="str">
        <f t="shared" si="64"/>
        <v/>
      </c>
      <c r="B1097" s="89" t="s">
        <v>408</v>
      </c>
      <c r="C1097" s="89"/>
      <c r="D1097" s="89"/>
      <c r="E1097" s="89"/>
      <c r="F1097" s="89"/>
      <c r="G1097" s="89"/>
      <c r="H1097" s="89"/>
      <c r="I1097" s="89"/>
      <c r="J1097" s="89"/>
      <c r="K1097" s="89"/>
      <c r="L1097" s="89"/>
      <c r="M1097" s="89"/>
      <c r="N1097" s="89"/>
      <c r="O1097" s="89"/>
      <c r="P1097" s="89"/>
      <c r="Q1097" s="89"/>
      <c r="R1097" s="89"/>
      <c r="S1097" s="89"/>
      <c r="T1097" s="89"/>
      <c r="U1097" s="89"/>
      <c r="V1097" s="89"/>
      <c r="W1097" s="89"/>
      <c r="X1097" s="89"/>
      <c r="Y1097" s="89"/>
      <c r="Z1097" s="89"/>
      <c r="AA1097" s="89"/>
      <c r="AB1097" s="89"/>
      <c r="AC1097" s="89"/>
      <c r="AD1097" s="89"/>
      <c r="AE1097" s="89"/>
      <c r="AF1097" s="89"/>
      <c r="AG1097" s="89"/>
      <c r="AH1097" s="89"/>
      <c r="AI1097" s="89"/>
      <c r="AJ1097" s="89"/>
      <c r="AK1097" s="89"/>
      <c r="AL1097" s="89"/>
      <c r="AM1097" s="89"/>
      <c r="AN1097" s="89"/>
      <c r="AO1097" s="89"/>
      <c r="AP1097" s="89"/>
      <c r="AQ1097" s="89"/>
      <c r="AR1097" s="89"/>
      <c r="AS1097" s="89"/>
      <c r="AT1097" s="89"/>
      <c r="AU1097" s="89"/>
      <c r="AV1097" s="89"/>
      <c r="AW1097" s="89"/>
      <c r="AX1097" s="89"/>
      <c r="AY1097" s="89"/>
      <c r="AZ1097" s="89"/>
      <c r="BA1097" s="95"/>
    </row>
    <row r="1098" spans="1:53" s="87" customFormat="1">
      <c r="A1098" s="374">
        <f t="shared" si="64"/>
        <v>1098</v>
      </c>
      <c r="B1098" s="317" t="s">
        <v>1122</v>
      </c>
      <c r="C1098" s="94"/>
      <c r="D1098" s="94"/>
      <c r="E1098" s="94"/>
      <c r="F1098" s="94"/>
      <c r="G1098" s="94"/>
      <c r="H1098" s="94"/>
      <c r="I1098" s="94"/>
      <c r="J1098" s="94"/>
      <c r="K1098" s="94"/>
      <c r="L1098" s="94"/>
      <c r="M1098" s="94"/>
      <c r="N1098" s="94"/>
      <c r="O1098" s="94"/>
      <c r="P1098" s="94"/>
      <c r="Q1098" s="94"/>
      <c r="R1098" s="89"/>
      <c r="S1098" s="89"/>
      <c r="T1098" s="89"/>
      <c r="U1098" s="89"/>
      <c r="V1098" s="89"/>
      <c r="W1098" s="89"/>
      <c r="X1098" s="89"/>
      <c r="Y1098" s="89"/>
      <c r="Z1098" s="89"/>
      <c r="AA1098" s="89"/>
      <c r="AB1098" s="89"/>
      <c r="AC1098" s="89"/>
      <c r="AD1098" s="89"/>
      <c r="AE1098" s="89"/>
      <c r="AF1098" s="89"/>
      <c r="AG1098" s="89"/>
      <c r="AH1098" s="89"/>
      <c r="AI1098" s="89"/>
      <c r="AJ1098" s="89"/>
      <c r="AK1098" s="89"/>
      <c r="AL1098" s="89"/>
      <c r="AM1098" s="89"/>
      <c r="AN1098" s="89"/>
      <c r="AO1098" s="89"/>
      <c r="AP1098" s="89"/>
      <c r="AQ1098" s="89"/>
      <c r="AR1098" s="89"/>
      <c r="AS1098" s="89"/>
      <c r="AT1098" s="89"/>
      <c r="AU1098" s="89"/>
      <c r="AV1098" s="89"/>
      <c r="AW1098" s="89"/>
      <c r="AX1098" s="89"/>
      <c r="AY1098" s="89"/>
      <c r="AZ1098" s="89"/>
      <c r="BA1098" s="95"/>
    </row>
    <row r="1099" spans="1:53" s="87" customFormat="1">
      <c r="A1099" s="374" t="str">
        <f t="shared" si="64"/>
        <v/>
      </c>
      <c r="B1099" s="98">
        <v>1</v>
      </c>
      <c r="C1099" s="94">
        <v>-3</v>
      </c>
      <c r="D1099" s="94" t="s">
        <v>210</v>
      </c>
      <c r="E1099" s="94">
        <v>2</v>
      </c>
      <c r="F1099" s="94" t="s">
        <v>210</v>
      </c>
      <c r="G1099" s="94" t="s">
        <v>210</v>
      </c>
      <c r="H1099" s="94">
        <v>-4</v>
      </c>
      <c r="I1099" s="94">
        <v>6</v>
      </c>
      <c r="J1099" s="94" t="s">
        <v>210</v>
      </c>
      <c r="K1099" s="94" t="s">
        <v>210</v>
      </c>
      <c r="L1099" s="94">
        <v>3</v>
      </c>
      <c r="M1099" s="94"/>
      <c r="N1099" s="94"/>
      <c r="O1099" s="94"/>
      <c r="P1099" s="94"/>
      <c r="Q1099" s="94"/>
      <c r="R1099" s="89"/>
      <c r="S1099" s="89"/>
      <c r="T1099" s="89"/>
      <c r="U1099" s="89"/>
      <c r="V1099" s="89"/>
      <c r="W1099" s="89"/>
      <c r="X1099" s="89"/>
      <c r="Y1099" s="89"/>
      <c r="Z1099" s="89"/>
      <c r="AA1099" s="89"/>
      <c r="AB1099" s="89"/>
      <c r="AC1099" s="89"/>
      <c r="AD1099" s="89"/>
      <c r="AE1099" s="89"/>
      <c r="AF1099" s="89"/>
      <c r="AG1099" s="89"/>
      <c r="AH1099" s="89"/>
      <c r="AI1099" s="89"/>
      <c r="AJ1099" s="89"/>
      <c r="AK1099" s="89"/>
      <c r="AL1099" s="89"/>
      <c r="AM1099" s="89"/>
      <c r="AN1099" s="89"/>
      <c r="AO1099" s="89"/>
      <c r="AP1099" s="89"/>
      <c r="AQ1099" s="89"/>
      <c r="AR1099" s="89"/>
      <c r="AS1099" s="89"/>
      <c r="AT1099" s="89"/>
      <c r="AU1099" s="89"/>
      <c r="AV1099" s="89"/>
      <c r="AW1099" s="89"/>
      <c r="AX1099" s="89"/>
      <c r="AY1099" s="89"/>
      <c r="AZ1099" s="89"/>
      <c r="BA1099" s="95"/>
    </row>
    <row r="1100" spans="1:53" s="87" customFormat="1">
      <c r="A1100" s="374" t="str">
        <f t="shared" ref="A1100:A1163" si="65">IF(MID(B1100,3,2)="06",ROW(),"")</f>
        <v/>
      </c>
      <c r="B1100" s="98">
        <v>2</v>
      </c>
      <c r="C1100" s="94" t="s">
        <v>210</v>
      </c>
      <c r="D1100" s="94">
        <v>-2</v>
      </c>
      <c r="E1100" s="94">
        <v>4</v>
      </c>
      <c r="F1100" s="94" t="s">
        <v>210</v>
      </c>
      <c r="G1100" s="94">
        <v>6</v>
      </c>
      <c r="H1100" s="94" t="s">
        <v>210</v>
      </c>
      <c r="I1100" s="94">
        <v>-1</v>
      </c>
      <c r="J1100" s="94" t="s">
        <v>210</v>
      </c>
      <c r="K1100" s="94" t="s">
        <v>210</v>
      </c>
      <c r="L1100" s="94">
        <v>-3</v>
      </c>
      <c r="M1100" s="94"/>
      <c r="N1100" s="94"/>
      <c r="O1100" s="94"/>
      <c r="P1100" s="94"/>
      <c r="Q1100" s="94"/>
      <c r="R1100" s="89"/>
      <c r="S1100" s="89"/>
      <c r="T1100" s="89"/>
      <c r="U1100" s="89"/>
      <c r="V1100" s="89"/>
      <c r="W1100" s="89"/>
      <c r="X1100" s="89"/>
      <c r="Y1100" s="89"/>
      <c r="Z1100" s="89"/>
      <c r="AA1100" s="89"/>
      <c r="AB1100" s="89"/>
      <c r="AC1100" s="89"/>
      <c r="AD1100" s="89"/>
      <c r="AE1100" s="89"/>
      <c r="AF1100" s="89"/>
      <c r="AG1100" s="89"/>
      <c r="AH1100" s="89"/>
      <c r="AI1100" s="89"/>
      <c r="AJ1100" s="89"/>
      <c r="AK1100" s="89"/>
      <c r="AL1100" s="89"/>
      <c r="AM1100" s="89"/>
      <c r="AN1100" s="89"/>
      <c r="AO1100" s="89"/>
      <c r="AP1100" s="89"/>
      <c r="AQ1100" s="89"/>
      <c r="AR1100" s="89"/>
      <c r="AS1100" s="89"/>
      <c r="AT1100" s="89"/>
      <c r="AU1100" s="89"/>
      <c r="AV1100" s="89"/>
      <c r="AW1100" s="89"/>
      <c r="AX1100" s="89"/>
      <c r="AY1100" s="89"/>
      <c r="AZ1100" s="89"/>
      <c r="BA1100" s="95"/>
    </row>
    <row r="1101" spans="1:53" s="87" customFormat="1">
      <c r="A1101" s="374" t="str">
        <f t="shared" si="65"/>
        <v/>
      </c>
      <c r="B1101" s="98">
        <v>3</v>
      </c>
      <c r="C1101" s="94" t="s">
        <v>210</v>
      </c>
      <c r="D1101" s="94">
        <v>2</v>
      </c>
      <c r="E1101" s="94">
        <v>-6</v>
      </c>
      <c r="F1101" s="94" t="s">
        <v>210</v>
      </c>
      <c r="G1101" s="94" t="s">
        <v>210</v>
      </c>
      <c r="H1101" s="94">
        <v>4</v>
      </c>
      <c r="I1101" s="94">
        <v>-5</v>
      </c>
      <c r="J1101" s="94" t="s">
        <v>210</v>
      </c>
      <c r="K1101" s="94" t="s">
        <v>210</v>
      </c>
      <c r="L1101" s="94">
        <v>-2</v>
      </c>
      <c r="M1101" s="94"/>
      <c r="N1101" s="94"/>
      <c r="O1101" s="94"/>
      <c r="P1101" s="94"/>
      <c r="Q1101" s="94"/>
      <c r="R1101" s="89"/>
      <c r="S1101" s="89"/>
      <c r="T1101" s="89"/>
      <c r="U1101" s="89"/>
      <c r="V1101" s="89"/>
      <c r="W1101" s="89"/>
      <c r="X1101" s="89"/>
      <c r="Y1101" s="89"/>
      <c r="Z1101" s="89"/>
      <c r="AA1101" s="89"/>
      <c r="AB1101" s="89"/>
      <c r="AC1101" s="89"/>
      <c r="AD1101" s="89"/>
      <c r="AE1101" s="89"/>
      <c r="AF1101" s="89"/>
      <c r="AG1101" s="89"/>
      <c r="AH1101" s="89"/>
      <c r="AI1101" s="89"/>
      <c r="AJ1101" s="89"/>
      <c r="AK1101" s="89"/>
      <c r="AL1101" s="89"/>
      <c r="AM1101" s="89"/>
      <c r="AN1101" s="89"/>
      <c r="AO1101" s="89"/>
      <c r="AP1101" s="89"/>
      <c r="AQ1101" s="89"/>
      <c r="AR1101" s="89"/>
      <c r="AS1101" s="89"/>
      <c r="AT1101" s="89"/>
      <c r="AU1101" s="89"/>
      <c r="AV1101" s="89"/>
      <c r="AW1101" s="89"/>
      <c r="AX1101" s="89"/>
      <c r="AY1101" s="89"/>
      <c r="AZ1101" s="89"/>
      <c r="BA1101" s="95"/>
    </row>
    <row r="1102" spans="1:53" s="87" customFormat="1">
      <c r="A1102" s="374" t="str">
        <f t="shared" si="65"/>
        <v/>
      </c>
      <c r="B1102" s="98">
        <v>4</v>
      </c>
      <c r="C1102" s="94" t="s">
        <v>210</v>
      </c>
      <c r="D1102" s="94">
        <v>-1</v>
      </c>
      <c r="E1102" s="94">
        <v>-4</v>
      </c>
      <c r="F1102" s="94" t="s">
        <v>210</v>
      </c>
      <c r="G1102" s="94" t="s">
        <v>210</v>
      </c>
      <c r="H1102" s="94">
        <v>5</v>
      </c>
      <c r="I1102" s="94">
        <v>-6</v>
      </c>
      <c r="J1102" s="94" t="s">
        <v>210</v>
      </c>
      <c r="K1102" s="94" t="s">
        <v>210</v>
      </c>
      <c r="L1102" s="94">
        <v>2</v>
      </c>
      <c r="M1102" s="94"/>
      <c r="N1102" s="94"/>
      <c r="O1102" s="94"/>
      <c r="P1102" s="94"/>
      <c r="Q1102" s="94"/>
      <c r="R1102" s="89"/>
      <c r="S1102" s="89"/>
      <c r="T1102" s="89"/>
      <c r="U1102" s="89"/>
      <c r="V1102" s="89"/>
      <c r="W1102" s="89"/>
      <c r="X1102" s="89"/>
      <c r="Y1102" s="89"/>
      <c r="Z1102" s="89"/>
      <c r="AA1102" s="89"/>
      <c r="AB1102" s="89"/>
      <c r="AC1102" s="89"/>
      <c r="AD1102" s="89"/>
      <c r="AE1102" s="89"/>
      <c r="AF1102" s="89"/>
      <c r="AG1102" s="89"/>
      <c r="AH1102" s="89"/>
      <c r="AI1102" s="89"/>
      <c r="AJ1102" s="89"/>
      <c r="AK1102" s="89"/>
      <c r="AL1102" s="89"/>
      <c r="AM1102" s="89"/>
      <c r="AN1102" s="89"/>
      <c r="AO1102" s="89"/>
      <c r="AP1102" s="89"/>
      <c r="AQ1102" s="89"/>
      <c r="AR1102" s="89"/>
      <c r="AS1102" s="89"/>
      <c r="AT1102" s="89"/>
      <c r="AU1102" s="89"/>
      <c r="AV1102" s="89"/>
      <c r="AW1102" s="89"/>
      <c r="AX1102" s="89"/>
      <c r="AY1102" s="89"/>
      <c r="AZ1102" s="89"/>
      <c r="BA1102" s="95"/>
    </row>
    <row r="1103" spans="1:53" s="87" customFormat="1">
      <c r="A1103" s="374" t="str">
        <f t="shared" si="65"/>
        <v/>
      </c>
      <c r="B1103" s="98">
        <v>5</v>
      </c>
      <c r="C1103" s="94">
        <v>3</v>
      </c>
      <c r="D1103" s="94" t="s">
        <v>210</v>
      </c>
      <c r="E1103" s="94">
        <v>6</v>
      </c>
      <c r="F1103" s="94" t="s">
        <v>210</v>
      </c>
      <c r="G1103" s="94" t="s">
        <v>210</v>
      </c>
      <c r="H1103" s="94">
        <v>-5</v>
      </c>
      <c r="I1103" s="94">
        <v>1</v>
      </c>
      <c r="J1103" s="94" t="s">
        <v>210</v>
      </c>
      <c r="K1103" s="94" t="s">
        <v>210</v>
      </c>
      <c r="L1103" s="94">
        <v>-4</v>
      </c>
      <c r="M1103" s="94"/>
      <c r="N1103" s="94"/>
      <c r="O1103" s="94"/>
      <c r="P1103" s="94"/>
      <c r="Q1103" s="94"/>
      <c r="R1103" s="89"/>
      <c r="S1103" s="89"/>
      <c r="T1103" s="89"/>
      <c r="U1103" s="89"/>
      <c r="V1103" s="89"/>
      <c r="W1103" s="89"/>
      <c r="X1103" s="89"/>
      <c r="Y1103" s="89"/>
      <c r="Z1103" s="89"/>
      <c r="AA1103" s="89"/>
      <c r="AB1103" s="89"/>
      <c r="AC1103" s="89"/>
      <c r="AD1103" s="89"/>
      <c r="AE1103" s="89"/>
      <c r="AF1103" s="89"/>
      <c r="AG1103" s="89"/>
      <c r="AH1103" s="89"/>
      <c r="AI1103" s="89"/>
      <c r="AJ1103" s="89"/>
      <c r="AK1103" s="89"/>
      <c r="AL1103" s="89"/>
      <c r="AM1103" s="89"/>
      <c r="AN1103" s="89"/>
      <c r="AO1103" s="89"/>
      <c r="AP1103" s="89"/>
      <c r="AQ1103" s="89"/>
      <c r="AR1103" s="89"/>
      <c r="AS1103" s="89"/>
      <c r="AT1103" s="89"/>
      <c r="AU1103" s="89"/>
      <c r="AV1103" s="89"/>
      <c r="AW1103" s="89"/>
      <c r="AX1103" s="89"/>
      <c r="AY1103" s="89"/>
      <c r="AZ1103" s="89"/>
      <c r="BA1103" s="95"/>
    </row>
    <row r="1104" spans="1:53" s="87" customFormat="1">
      <c r="A1104" s="374" t="str">
        <f t="shared" si="65"/>
        <v/>
      </c>
      <c r="B1104" s="99">
        <v>6</v>
      </c>
      <c r="C1104" s="92" t="s">
        <v>210</v>
      </c>
      <c r="D1104" s="92">
        <v>1</v>
      </c>
      <c r="E1104" s="92">
        <v>-2</v>
      </c>
      <c r="F1104" s="92" t="s">
        <v>210</v>
      </c>
      <c r="G1104" s="92">
        <v>-6</v>
      </c>
      <c r="H1104" s="92" t="s">
        <v>210</v>
      </c>
      <c r="I1104" s="92">
        <v>5</v>
      </c>
      <c r="J1104" s="92" t="s">
        <v>210</v>
      </c>
      <c r="K1104" s="92" t="s">
        <v>210</v>
      </c>
      <c r="L1104" s="92">
        <v>4</v>
      </c>
      <c r="M1104" s="94"/>
      <c r="N1104" s="94"/>
      <c r="O1104" s="94"/>
      <c r="P1104" s="94"/>
      <c r="Q1104" s="94"/>
      <c r="R1104" s="89"/>
      <c r="S1104" s="89"/>
      <c r="T1104" s="89"/>
      <c r="U1104" s="89"/>
      <c r="V1104" s="89"/>
      <c r="W1104" s="89"/>
      <c r="X1104" s="89"/>
      <c r="Y1104" s="89"/>
      <c r="Z1104" s="89"/>
      <c r="AA1104" s="89"/>
      <c r="AB1104" s="89"/>
      <c r="AC1104" s="89"/>
      <c r="AD1104" s="89"/>
      <c r="AE1104" s="89"/>
      <c r="AF1104" s="89"/>
      <c r="AG1104" s="89"/>
      <c r="AH1104" s="89"/>
      <c r="AI1104" s="89"/>
      <c r="AJ1104" s="89"/>
      <c r="AK1104" s="89"/>
      <c r="AL1104" s="89"/>
      <c r="AM1104" s="89"/>
      <c r="AN1104" s="89"/>
      <c r="AO1104" s="89"/>
      <c r="AP1104" s="89"/>
      <c r="AQ1104" s="89"/>
      <c r="AR1104" s="89"/>
      <c r="AS1104" s="89"/>
      <c r="AT1104" s="89"/>
      <c r="AU1104" s="89"/>
      <c r="AV1104" s="89"/>
      <c r="AW1104" s="89"/>
      <c r="AX1104" s="89"/>
      <c r="AY1104" s="89"/>
      <c r="AZ1104" s="89"/>
      <c r="BA1104" s="95"/>
    </row>
    <row r="1105" spans="1:53" s="87" customFormat="1">
      <c r="A1105" s="374" t="str">
        <f t="shared" si="65"/>
        <v/>
      </c>
      <c r="B1105" s="98">
        <v>7</v>
      </c>
      <c r="C1105" s="94" t="s">
        <v>210</v>
      </c>
      <c r="D1105" s="94">
        <v>-3</v>
      </c>
      <c r="E1105" s="94">
        <v>-5</v>
      </c>
      <c r="F1105" s="94" t="s">
        <v>210</v>
      </c>
      <c r="G1105" s="94">
        <v>2</v>
      </c>
      <c r="H1105" s="94" t="s">
        <v>210</v>
      </c>
      <c r="I1105" s="94" t="s">
        <v>210</v>
      </c>
      <c r="J1105" s="94">
        <v>4</v>
      </c>
      <c r="K1105" s="94">
        <v>-2</v>
      </c>
      <c r="L1105" s="94" t="s">
        <v>210</v>
      </c>
      <c r="M1105" s="94"/>
      <c r="N1105" s="94"/>
      <c r="O1105" s="94"/>
      <c r="P1105" s="94"/>
      <c r="Q1105" s="94"/>
      <c r="R1105" s="89"/>
      <c r="S1105" s="89"/>
      <c r="T1105" s="89"/>
      <c r="U1105" s="89"/>
      <c r="V1105" s="89"/>
      <c r="W1105" s="89"/>
      <c r="X1105" s="89"/>
      <c r="Y1105" s="89"/>
      <c r="Z1105" s="89"/>
      <c r="AA1105" s="89"/>
      <c r="AB1105" s="89"/>
      <c r="AC1105" s="89"/>
      <c r="AD1105" s="89"/>
      <c r="AE1105" s="89"/>
      <c r="AF1105" s="89"/>
      <c r="AG1105" s="89"/>
      <c r="AH1105" s="89"/>
      <c r="AI1105" s="89"/>
      <c r="AJ1105" s="89"/>
      <c r="AK1105" s="89"/>
      <c r="AL1105" s="89"/>
      <c r="AM1105" s="89"/>
      <c r="AN1105" s="89"/>
      <c r="AO1105" s="89"/>
      <c r="AP1105" s="89"/>
      <c r="AQ1105" s="89"/>
      <c r="AR1105" s="89"/>
      <c r="AS1105" s="89"/>
      <c r="AT1105" s="89"/>
      <c r="AU1105" s="89"/>
      <c r="AV1105" s="89"/>
      <c r="AW1105" s="89"/>
      <c r="AX1105" s="89"/>
      <c r="AY1105" s="89"/>
      <c r="AZ1105" s="89"/>
      <c r="BA1105" s="95"/>
    </row>
    <row r="1106" spans="1:53" s="87" customFormat="1">
      <c r="A1106" s="374" t="str">
        <f t="shared" si="65"/>
        <v/>
      </c>
      <c r="B1106" s="98">
        <v>8</v>
      </c>
      <c r="C1106" s="94">
        <v>-2</v>
      </c>
      <c r="D1106" s="94" t="s">
        <v>210</v>
      </c>
      <c r="E1106" s="94" t="s">
        <v>210</v>
      </c>
      <c r="F1106" s="94">
        <v>4</v>
      </c>
      <c r="G1106" s="94">
        <v>-1</v>
      </c>
      <c r="H1106" s="94" t="s">
        <v>210</v>
      </c>
      <c r="I1106" s="94" t="s">
        <v>210</v>
      </c>
      <c r="J1106" s="94">
        <v>-3</v>
      </c>
      <c r="K1106" s="94">
        <v>2</v>
      </c>
      <c r="L1106" s="94" t="s">
        <v>210</v>
      </c>
      <c r="M1106" s="94"/>
      <c r="N1106" s="94"/>
      <c r="O1106" s="94"/>
      <c r="P1106" s="94"/>
      <c r="Q1106" s="94"/>
      <c r="R1106" s="89"/>
      <c r="S1106" s="89"/>
      <c r="T1106" s="89"/>
      <c r="U1106" s="89"/>
      <c r="V1106" s="89"/>
      <c r="W1106" s="89"/>
      <c r="X1106" s="89"/>
      <c r="Y1106" s="89"/>
      <c r="Z1106" s="89"/>
      <c r="AA1106" s="89"/>
      <c r="AB1106" s="89"/>
      <c r="AC1106" s="89"/>
      <c r="AD1106" s="89"/>
      <c r="AE1106" s="89"/>
      <c r="AF1106" s="89"/>
      <c r="AG1106" s="89"/>
      <c r="AH1106" s="89"/>
      <c r="AI1106" s="89"/>
      <c r="AJ1106" s="89"/>
      <c r="AK1106" s="89"/>
      <c r="AL1106" s="89"/>
      <c r="AM1106" s="89"/>
      <c r="AN1106" s="89"/>
      <c r="AO1106" s="89"/>
      <c r="AP1106" s="89"/>
      <c r="AQ1106" s="89"/>
      <c r="AR1106" s="89"/>
      <c r="AS1106" s="89"/>
      <c r="AT1106" s="89"/>
      <c r="AU1106" s="89"/>
      <c r="AV1106" s="89"/>
      <c r="AW1106" s="89"/>
      <c r="AX1106" s="89"/>
      <c r="AY1106" s="89"/>
      <c r="AZ1106" s="89"/>
      <c r="BA1106" s="95"/>
    </row>
    <row r="1107" spans="1:53" s="87" customFormat="1">
      <c r="A1107" s="374" t="str">
        <f t="shared" si="65"/>
        <v/>
      </c>
      <c r="B1107" s="98">
        <v>9</v>
      </c>
      <c r="C1107" s="94" t="s">
        <v>210</v>
      </c>
      <c r="D1107" s="94">
        <v>5</v>
      </c>
      <c r="E1107" s="94">
        <v>-3</v>
      </c>
      <c r="F1107" s="94" t="s">
        <v>210</v>
      </c>
      <c r="G1107" s="94">
        <v>1</v>
      </c>
      <c r="H1107" s="94" t="s">
        <v>210</v>
      </c>
      <c r="I1107" s="94" t="s">
        <v>210</v>
      </c>
      <c r="J1107" s="94">
        <v>-4</v>
      </c>
      <c r="K1107" s="94">
        <v>-5</v>
      </c>
      <c r="L1107" s="94" t="s">
        <v>210</v>
      </c>
      <c r="M1107" s="94"/>
      <c r="N1107" s="94"/>
      <c r="O1107" s="94"/>
      <c r="P1107" s="94"/>
      <c r="Q1107" s="94"/>
      <c r="R1107" s="89"/>
      <c r="S1107" s="89"/>
      <c r="T1107" s="89"/>
      <c r="U1107" s="89"/>
      <c r="V1107" s="89"/>
      <c r="W1107" s="89"/>
      <c r="X1107" s="89"/>
      <c r="Y1107" s="89"/>
      <c r="Z1107" s="89"/>
      <c r="AA1107" s="89"/>
      <c r="AB1107" s="89"/>
      <c r="AC1107" s="89"/>
      <c r="AD1107" s="89"/>
      <c r="AE1107" s="89"/>
      <c r="AF1107" s="89"/>
      <c r="AG1107" s="89"/>
      <c r="AH1107" s="89"/>
      <c r="AI1107" s="89"/>
      <c r="AJ1107" s="89"/>
      <c r="AK1107" s="89"/>
      <c r="AL1107" s="89"/>
      <c r="AM1107" s="89"/>
      <c r="AN1107" s="89"/>
      <c r="AO1107" s="89"/>
      <c r="AP1107" s="89"/>
      <c r="AQ1107" s="89"/>
      <c r="AR1107" s="89"/>
      <c r="AS1107" s="89"/>
      <c r="AT1107" s="89"/>
      <c r="AU1107" s="89"/>
      <c r="AV1107" s="89"/>
      <c r="AW1107" s="89"/>
      <c r="AX1107" s="89"/>
      <c r="AY1107" s="89"/>
      <c r="AZ1107" s="89"/>
      <c r="BA1107" s="95"/>
    </row>
    <row r="1108" spans="1:53" s="87" customFormat="1">
      <c r="A1108" s="374" t="str">
        <f t="shared" si="65"/>
        <v/>
      </c>
      <c r="B1108" s="99">
        <v>10</v>
      </c>
      <c r="C1108" s="92" t="s">
        <v>210</v>
      </c>
      <c r="D1108" s="92">
        <v>4</v>
      </c>
      <c r="E1108" s="92">
        <v>-1</v>
      </c>
      <c r="F1108" s="92" t="s">
        <v>210</v>
      </c>
      <c r="G1108" s="92">
        <v>-2</v>
      </c>
      <c r="H1108" s="92" t="s">
        <v>210</v>
      </c>
      <c r="I1108" s="92" t="s">
        <v>210</v>
      </c>
      <c r="J1108" s="92">
        <v>3</v>
      </c>
      <c r="K1108" s="92">
        <v>5</v>
      </c>
      <c r="L1108" s="92" t="s">
        <v>210</v>
      </c>
      <c r="M1108" s="94"/>
      <c r="N1108" s="94"/>
      <c r="O1108" s="94"/>
      <c r="P1108" s="94"/>
      <c r="Q1108" s="94"/>
      <c r="R1108" s="89"/>
      <c r="S1108" s="89"/>
      <c r="T1108" s="89"/>
      <c r="U1108" s="89"/>
      <c r="V1108" s="89"/>
      <c r="W1108" s="89"/>
      <c r="X1108" s="89"/>
      <c r="Y1108" s="89"/>
      <c r="Z1108" s="89"/>
      <c r="AA1108" s="89"/>
      <c r="AB1108" s="89"/>
      <c r="AC1108" s="89"/>
      <c r="AD1108" s="89"/>
      <c r="AE1108" s="89"/>
      <c r="AF1108" s="89"/>
      <c r="AG1108" s="89"/>
      <c r="AH1108" s="89"/>
      <c r="AI1108" s="89"/>
      <c r="AJ1108" s="89"/>
      <c r="AK1108" s="89"/>
      <c r="AL1108" s="89"/>
      <c r="AM1108" s="89"/>
      <c r="AN1108" s="89"/>
      <c r="AO1108" s="89"/>
      <c r="AP1108" s="89"/>
      <c r="AQ1108" s="89"/>
      <c r="AR1108" s="89"/>
      <c r="AS1108" s="89"/>
      <c r="AT1108" s="89"/>
      <c r="AU1108" s="89"/>
      <c r="AV1108" s="89"/>
      <c r="AW1108" s="89"/>
      <c r="AX1108" s="89"/>
      <c r="AY1108" s="89"/>
      <c r="AZ1108" s="89"/>
      <c r="BA1108" s="95"/>
    </row>
    <row r="1109" spans="1:53" s="87" customFormat="1">
      <c r="A1109" s="374" t="str">
        <f t="shared" si="65"/>
        <v/>
      </c>
      <c r="B1109" s="98">
        <v>11</v>
      </c>
      <c r="C1109" s="94" t="s">
        <v>210</v>
      </c>
      <c r="D1109" s="94">
        <v>3</v>
      </c>
      <c r="E1109" s="94" t="s">
        <v>210</v>
      </c>
      <c r="F1109" s="94">
        <v>-4</v>
      </c>
      <c r="G1109" s="94">
        <v>5</v>
      </c>
      <c r="H1109" s="94" t="s">
        <v>210</v>
      </c>
      <c r="I1109" s="94">
        <v>2</v>
      </c>
      <c r="J1109" s="94" t="s">
        <v>210</v>
      </c>
      <c r="K1109" s="94">
        <v>-3</v>
      </c>
      <c r="L1109" s="94" t="s">
        <v>210</v>
      </c>
      <c r="M1109" s="94"/>
      <c r="N1109" s="94"/>
      <c r="O1109" s="94"/>
      <c r="P1109" s="94"/>
      <c r="Q1109" s="94"/>
      <c r="R1109" s="89"/>
      <c r="S1109" s="89"/>
      <c r="T1109" s="89"/>
      <c r="U1109" s="89"/>
      <c r="V1109" s="89"/>
      <c r="W1109" s="89"/>
      <c r="X1109" s="89"/>
      <c r="Y1109" s="89"/>
      <c r="Z1109" s="89"/>
      <c r="AA1109" s="89"/>
      <c r="AB1109" s="89"/>
      <c r="AC1109" s="89"/>
      <c r="AD1109" s="89"/>
      <c r="AE1109" s="89"/>
      <c r="AF1109" s="89"/>
      <c r="AG1109" s="89"/>
      <c r="AH1109" s="89"/>
      <c r="AI1109" s="89"/>
      <c r="AJ1109" s="89"/>
      <c r="AK1109" s="89"/>
      <c r="AL1109" s="89"/>
      <c r="AM1109" s="89"/>
      <c r="AN1109" s="89"/>
      <c r="AO1109" s="89"/>
      <c r="AP1109" s="89"/>
      <c r="AQ1109" s="89"/>
      <c r="AR1109" s="89"/>
      <c r="AS1109" s="89"/>
      <c r="AT1109" s="89"/>
      <c r="AU1109" s="89"/>
      <c r="AV1109" s="89"/>
      <c r="AW1109" s="89"/>
      <c r="AX1109" s="89"/>
      <c r="AY1109" s="89"/>
      <c r="AZ1109" s="89"/>
      <c r="BA1109" s="95"/>
    </row>
    <row r="1110" spans="1:53" s="87" customFormat="1">
      <c r="A1110" s="374" t="str">
        <f t="shared" si="65"/>
        <v/>
      </c>
      <c r="B1110" s="98">
        <v>12</v>
      </c>
      <c r="C1110" s="94">
        <v>2</v>
      </c>
      <c r="D1110" s="94" t="s">
        <v>210</v>
      </c>
      <c r="E1110" s="94">
        <v>5</v>
      </c>
      <c r="F1110" s="94" t="s">
        <v>210</v>
      </c>
      <c r="G1110" s="94" t="s">
        <v>210</v>
      </c>
      <c r="H1110" s="94">
        <v>-3</v>
      </c>
      <c r="I1110" s="94" t="s">
        <v>210</v>
      </c>
      <c r="J1110" s="94">
        <v>-6</v>
      </c>
      <c r="K1110" s="94">
        <v>3</v>
      </c>
      <c r="L1110" s="94" t="s">
        <v>210</v>
      </c>
      <c r="M1110" s="94"/>
      <c r="N1110" s="94"/>
      <c r="O1110" s="94"/>
      <c r="P1110" s="94"/>
      <c r="Q1110" s="94"/>
      <c r="R1110" s="89"/>
      <c r="S1110" s="89"/>
      <c r="T1110" s="89"/>
      <c r="U1110" s="89"/>
      <c r="V1110" s="89"/>
      <c r="W1110" s="89"/>
      <c r="X1110" s="89"/>
      <c r="Y1110" s="89"/>
      <c r="Z1110" s="89"/>
      <c r="AA1110" s="89"/>
      <c r="AB1110" s="89"/>
      <c r="AC1110" s="89"/>
      <c r="AD1110" s="89"/>
      <c r="AE1110" s="89"/>
      <c r="AF1110" s="89"/>
      <c r="AG1110" s="89"/>
      <c r="AH1110" s="89"/>
      <c r="AI1110" s="89"/>
      <c r="AJ1110" s="89"/>
      <c r="AK1110" s="89"/>
      <c r="AL1110" s="89"/>
      <c r="AM1110" s="89"/>
      <c r="AN1110" s="89"/>
      <c r="AO1110" s="89"/>
      <c r="AP1110" s="89"/>
      <c r="AQ1110" s="89"/>
      <c r="AR1110" s="89"/>
      <c r="AS1110" s="89"/>
      <c r="AT1110" s="89"/>
      <c r="AU1110" s="89"/>
      <c r="AV1110" s="89"/>
      <c r="AW1110" s="89"/>
      <c r="AX1110" s="89"/>
      <c r="AY1110" s="89"/>
      <c r="AZ1110" s="89"/>
      <c r="BA1110" s="95"/>
    </row>
    <row r="1111" spans="1:53" s="87" customFormat="1">
      <c r="A1111" s="374" t="str">
        <f t="shared" si="65"/>
        <v/>
      </c>
      <c r="B1111" s="98">
        <v>13</v>
      </c>
      <c r="C1111" s="94" t="s">
        <v>210</v>
      </c>
      <c r="D1111" s="94">
        <v>-4</v>
      </c>
      <c r="E1111" s="94">
        <v>3</v>
      </c>
      <c r="F1111" s="94" t="s">
        <v>210</v>
      </c>
      <c r="G1111" s="94">
        <v>-5</v>
      </c>
      <c r="H1111" s="94" t="s">
        <v>210</v>
      </c>
      <c r="I1111" s="94" t="s">
        <v>210</v>
      </c>
      <c r="J1111" s="94">
        <v>6</v>
      </c>
      <c r="K1111" s="94">
        <v>4</v>
      </c>
      <c r="L1111" s="94" t="s">
        <v>210</v>
      </c>
      <c r="M1111" s="94"/>
      <c r="N1111" s="94"/>
      <c r="O1111" s="94"/>
      <c r="P1111" s="94"/>
      <c r="Q1111" s="94"/>
      <c r="R1111" s="89"/>
      <c r="S1111" s="89"/>
      <c r="T1111" s="89"/>
      <c r="U1111" s="89"/>
      <c r="V1111" s="89"/>
      <c r="W1111" s="89"/>
      <c r="X1111" s="89"/>
      <c r="Y1111" s="89"/>
      <c r="Z1111" s="89"/>
      <c r="AA1111" s="89"/>
      <c r="AB1111" s="89"/>
      <c r="AC1111" s="89"/>
      <c r="AD1111" s="89"/>
      <c r="AE1111" s="89"/>
      <c r="AF1111" s="89"/>
      <c r="AG1111" s="89"/>
      <c r="AH1111" s="89"/>
      <c r="AI1111" s="89"/>
      <c r="AJ1111" s="89"/>
      <c r="AK1111" s="89"/>
      <c r="AL1111" s="89"/>
      <c r="AM1111" s="89"/>
      <c r="AN1111" s="89"/>
      <c r="AO1111" s="89"/>
      <c r="AP1111" s="89"/>
      <c r="AQ1111" s="89"/>
      <c r="AR1111" s="89"/>
      <c r="AS1111" s="89"/>
      <c r="AT1111" s="89"/>
      <c r="AU1111" s="89"/>
      <c r="AV1111" s="89"/>
      <c r="AW1111" s="89"/>
      <c r="AX1111" s="89"/>
      <c r="AY1111" s="89"/>
      <c r="AZ1111" s="89"/>
      <c r="BA1111" s="95"/>
    </row>
    <row r="1112" spans="1:53" s="87" customFormat="1">
      <c r="A1112" s="374" t="str">
        <f t="shared" si="65"/>
        <v/>
      </c>
      <c r="B1112" s="99">
        <v>14</v>
      </c>
      <c r="C1112" s="92" t="s">
        <v>210</v>
      </c>
      <c r="D1112" s="92">
        <v>-5</v>
      </c>
      <c r="E1112" s="92">
        <v>1</v>
      </c>
      <c r="F1112" s="92" t="s">
        <v>210</v>
      </c>
      <c r="G1112" s="92" t="s">
        <v>210</v>
      </c>
      <c r="H1112" s="92">
        <v>3</v>
      </c>
      <c r="I1112" s="92">
        <v>-2</v>
      </c>
      <c r="J1112" s="92" t="s">
        <v>210</v>
      </c>
      <c r="K1112" s="92">
        <v>-4</v>
      </c>
      <c r="L1112" s="92" t="s">
        <v>210</v>
      </c>
      <c r="M1112" s="94"/>
      <c r="N1112" s="94"/>
      <c r="O1112" s="94"/>
      <c r="P1112" s="94"/>
      <c r="Q1112" s="94"/>
      <c r="R1112" s="89"/>
      <c r="S1112" s="89"/>
      <c r="T1112" s="89"/>
      <c r="U1112" s="89"/>
      <c r="V1112" s="89"/>
      <c r="W1112" s="89"/>
      <c r="X1112" s="89"/>
      <c r="Y1112" s="89"/>
      <c r="Z1112" s="89"/>
      <c r="AA1112" s="89"/>
      <c r="AB1112" s="89"/>
      <c r="AC1112" s="89"/>
      <c r="AD1112" s="89"/>
      <c r="AE1112" s="89"/>
      <c r="AF1112" s="89"/>
      <c r="AG1112" s="89"/>
      <c r="AH1112" s="89"/>
      <c r="AI1112" s="89"/>
      <c r="AJ1112" s="89"/>
      <c r="AK1112" s="89"/>
      <c r="AL1112" s="89"/>
      <c r="AM1112" s="89"/>
      <c r="AN1112" s="89"/>
      <c r="AO1112" s="89"/>
      <c r="AP1112" s="89"/>
      <c r="AQ1112" s="89"/>
      <c r="AR1112" s="89"/>
      <c r="AS1112" s="89"/>
      <c r="AT1112" s="89"/>
      <c r="AU1112" s="89"/>
      <c r="AV1112" s="89"/>
      <c r="AW1112" s="89"/>
      <c r="AX1112" s="89"/>
      <c r="AY1112" s="89"/>
      <c r="AZ1112" s="89"/>
      <c r="BA1112" s="95"/>
    </row>
    <row r="1113" spans="1:53" s="87" customFormat="1">
      <c r="A1113" s="374" t="str">
        <f t="shared" si="65"/>
        <v/>
      </c>
      <c r="B1113" s="98">
        <v>15</v>
      </c>
      <c r="C1113" s="94">
        <v>4</v>
      </c>
      <c r="D1113" s="94" t="s">
        <v>210</v>
      </c>
      <c r="E1113" s="94" t="s">
        <v>210</v>
      </c>
      <c r="F1113" s="94">
        <v>2</v>
      </c>
      <c r="G1113" s="94">
        <v>-3</v>
      </c>
      <c r="H1113" s="94" t="s">
        <v>210</v>
      </c>
      <c r="I1113" s="94" t="s">
        <v>210</v>
      </c>
      <c r="J1113" s="94">
        <v>-5</v>
      </c>
      <c r="K1113" s="94">
        <v>6</v>
      </c>
      <c r="L1113" s="94" t="s">
        <v>210</v>
      </c>
      <c r="M1113" s="94"/>
      <c r="N1113" s="94"/>
      <c r="O1113" s="94"/>
      <c r="P1113" s="94"/>
      <c r="Q1113" s="94"/>
      <c r="R1113" s="89"/>
      <c r="S1113" s="89"/>
      <c r="T1113" s="89"/>
      <c r="U1113" s="89"/>
      <c r="V1113" s="89"/>
      <c r="W1113" s="89"/>
      <c r="X1113" s="89"/>
      <c r="Y1113" s="89"/>
      <c r="Z1113" s="89"/>
      <c r="AA1113" s="89"/>
      <c r="AB1113" s="89"/>
      <c r="AC1113" s="89"/>
      <c r="AD1113" s="89"/>
      <c r="AE1113" s="89"/>
      <c r="AF1113" s="89"/>
      <c r="AG1113" s="89"/>
      <c r="AH1113" s="89"/>
      <c r="AI1113" s="89"/>
      <c r="AJ1113" s="89"/>
      <c r="AK1113" s="89"/>
      <c r="AL1113" s="89"/>
      <c r="AM1113" s="89"/>
      <c r="AN1113" s="89"/>
      <c r="AO1113" s="89"/>
      <c r="AP1113" s="89"/>
      <c r="AQ1113" s="89"/>
      <c r="AR1113" s="89"/>
      <c r="AS1113" s="89"/>
      <c r="AT1113" s="89"/>
      <c r="AU1113" s="89"/>
      <c r="AV1113" s="89"/>
      <c r="AW1113" s="89"/>
      <c r="AX1113" s="89"/>
      <c r="AY1113" s="89"/>
      <c r="AZ1113" s="89"/>
      <c r="BA1113" s="95"/>
    </row>
    <row r="1114" spans="1:53" s="87" customFormat="1">
      <c r="A1114" s="374" t="str">
        <f t="shared" si="65"/>
        <v/>
      </c>
      <c r="B1114" s="98">
        <v>16</v>
      </c>
      <c r="C1114" s="94">
        <v>-5</v>
      </c>
      <c r="D1114" s="94" t="s">
        <v>210</v>
      </c>
      <c r="E1114" s="94" t="s">
        <v>210</v>
      </c>
      <c r="F1114" s="94">
        <v>6</v>
      </c>
      <c r="G1114" s="94">
        <v>-4</v>
      </c>
      <c r="H1114" s="94" t="s">
        <v>210</v>
      </c>
      <c r="I1114" s="94" t="s">
        <v>210</v>
      </c>
      <c r="J1114" s="94">
        <v>2</v>
      </c>
      <c r="K1114" s="94">
        <v>-6</v>
      </c>
      <c r="L1114" s="94" t="s">
        <v>210</v>
      </c>
      <c r="M1114" s="94"/>
      <c r="N1114" s="94"/>
      <c r="O1114" s="94"/>
      <c r="P1114" s="94"/>
      <c r="Q1114" s="94"/>
      <c r="R1114" s="89"/>
      <c r="S1114" s="89"/>
      <c r="T1114" s="89"/>
      <c r="U1114" s="89"/>
      <c r="V1114" s="89"/>
      <c r="W1114" s="89"/>
      <c r="X1114" s="89"/>
      <c r="Y1114" s="89"/>
      <c r="Z1114" s="89"/>
      <c r="AA1114" s="89"/>
      <c r="AB1114" s="89"/>
      <c r="AC1114" s="89"/>
      <c r="AD1114" s="89"/>
      <c r="AE1114" s="89"/>
      <c r="AF1114" s="89"/>
      <c r="AG1114" s="89"/>
      <c r="AH1114" s="89"/>
      <c r="AI1114" s="89"/>
      <c r="AJ1114" s="89"/>
      <c r="AK1114" s="89"/>
      <c r="AL1114" s="89"/>
      <c r="AM1114" s="89"/>
      <c r="AN1114" s="89"/>
      <c r="AO1114" s="89"/>
      <c r="AP1114" s="89"/>
      <c r="AQ1114" s="89"/>
      <c r="AR1114" s="89"/>
      <c r="AS1114" s="89"/>
      <c r="AT1114" s="89"/>
      <c r="AU1114" s="89"/>
      <c r="AV1114" s="89"/>
      <c r="AW1114" s="89"/>
      <c r="AX1114" s="89"/>
      <c r="AY1114" s="89"/>
      <c r="AZ1114" s="89"/>
      <c r="BA1114" s="95"/>
    </row>
    <row r="1115" spans="1:53" s="87" customFormat="1">
      <c r="A1115" s="374" t="str">
        <f t="shared" si="65"/>
        <v/>
      </c>
      <c r="B1115" s="98">
        <v>17</v>
      </c>
      <c r="C1115" s="94">
        <v>6</v>
      </c>
      <c r="D1115" s="94" t="s">
        <v>210</v>
      </c>
      <c r="E1115" s="94" t="s">
        <v>210</v>
      </c>
      <c r="F1115" s="94">
        <v>-3</v>
      </c>
      <c r="G1115" s="94">
        <v>4</v>
      </c>
      <c r="H1115" s="94" t="s">
        <v>210</v>
      </c>
      <c r="I1115" s="94" t="s">
        <v>210</v>
      </c>
      <c r="J1115" s="94">
        <v>5</v>
      </c>
      <c r="K1115" s="94">
        <v>-1</v>
      </c>
      <c r="L1115" s="94" t="s">
        <v>210</v>
      </c>
      <c r="M1115" s="94"/>
      <c r="N1115" s="94"/>
      <c r="O1115" s="94"/>
      <c r="P1115" s="94"/>
      <c r="Q1115" s="94"/>
      <c r="R1115" s="89"/>
      <c r="S1115" s="89"/>
      <c r="T1115" s="89"/>
      <c r="U1115" s="89"/>
      <c r="V1115" s="89"/>
      <c r="W1115" s="89"/>
      <c r="X1115" s="89"/>
      <c r="Y1115" s="89"/>
      <c r="Z1115" s="89"/>
      <c r="AA1115" s="89"/>
      <c r="AB1115" s="89"/>
      <c r="AC1115" s="89"/>
      <c r="AD1115" s="89"/>
      <c r="AE1115" s="89"/>
      <c r="AF1115" s="89"/>
      <c r="AG1115" s="89"/>
      <c r="AH1115" s="89"/>
      <c r="AI1115" s="89"/>
      <c r="AJ1115" s="89"/>
      <c r="AK1115" s="89"/>
      <c r="AL1115" s="89"/>
      <c r="AM1115" s="89"/>
      <c r="AN1115" s="89"/>
      <c r="AO1115" s="89"/>
      <c r="AP1115" s="89"/>
      <c r="AQ1115" s="89"/>
      <c r="AR1115" s="89"/>
      <c r="AS1115" s="89"/>
      <c r="AT1115" s="89"/>
      <c r="AU1115" s="89"/>
      <c r="AV1115" s="89"/>
      <c r="AW1115" s="89"/>
      <c r="AX1115" s="89"/>
      <c r="AY1115" s="89"/>
      <c r="AZ1115" s="89"/>
      <c r="BA1115" s="95"/>
    </row>
    <row r="1116" spans="1:53" s="87" customFormat="1">
      <c r="A1116" s="374" t="str">
        <f t="shared" si="65"/>
        <v/>
      </c>
      <c r="B1116" s="99">
        <v>18</v>
      </c>
      <c r="C1116" s="92">
        <v>-1</v>
      </c>
      <c r="D1116" s="92" t="s">
        <v>210</v>
      </c>
      <c r="E1116" s="92" t="s">
        <v>210</v>
      </c>
      <c r="F1116" s="92">
        <v>-5</v>
      </c>
      <c r="G1116" s="92">
        <v>3</v>
      </c>
      <c r="H1116" s="92" t="s">
        <v>210</v>
      </c>
      <c r="I1116" s="92" t="s">
        <v>210</v>
      </c>
      <c r="J1116" s="92">
        <v>-2</v>
      </c>
      <c r="K1116" s="92">
        <v>1</v>
      </c>
      <c r="L1116" s="92" t="s">
        <v>210</v>
      </c>
      <c r="M1116" s="94"/>
      <c r="N1116" s="94"/>
      <c r="O1116" s="94"/>
      <c r="P1116" s="94"/>
      <c r="Q1116" s="94"/>
      <c r="R1116" s="89"/>
      <c r="S1116" s="89"/>
      <c r="T1116" s="89"/>
      <c r="U1116" s="89"/>
      <c r="V1116" s="89"/>
      <c r="W1116" s="89"/>
      <c r="X1116" s="89"/>
      <c r="Y1116" s="89"/>
      <c r="Z1116" s="89"/>
      <c r="AA1116" s="89"/>
      <c r="AB1116" s="89"/>
      <c r="AC1116" s="89"/>
      <c r="AD1116" s="89"/>
      <c r="AE1116" s="89"/>
      <c r="AF1116" s="89"/>
      <c r="AG1116" s="89"/>
      <c r="AH1116" s="89"/>
      <c r="AI1116" s="89"/>
      <c r="AJ1116" s="89"/>
      <c r="AK1116" s="89"/>
      <c r="AL1116" s="89"/>
      <c r="AM1116" s="89"/>
      <c r="AN1116" s="89"/>
      <c r="AO1116" s="89"/>
      <c r="AP1116" s="89"/>
      <c r="AQ1116" s="89"/>
      <c r="AR1116" s="89"/>
      <c r="AS1116" s="89"/>
      <c r="AT1116" s="89"/>
      <c r="AU1116" s="89"/>
      <c r="AV1116" s="89"/>
      <c r="AW1116" s="89"/>
      <c r="AX1116" s="89"/>
      <c r="AY1116" s="89"/>
      <c r="AZ1116" s="89"/>
      <c r="BA1116" s="95"/>
    </row>
    <row r="1117" spans="1:53" s="87" customFormat="1">
      <c r="A1117" s="374" t="str">
        <f t="shared" si="65"/>
        <v/>
      </c>
      <c r="B1117" s="258">
        <v>19</v>
      </c>
      <c r="C1117" s="94">
        <v>5</v>
      </c>
      <c r="D1117" s="94" t="s">
        <v>210</v>
      </c>
      <c r="E1117" s="94" t="s">
        <v>210</v>
      </c>
      <c r="F1117" s="94">
        <v>-2</v>
      </c>
      <c r="G1117" s="94" t="s">
        <v>210</v>
      </c>
      <c r="H1117" s="94">
        <v>-1</v>
      </c>
      <c r="I1117" s="94">
        <v>4</v>
      </c>
      <c r="J1117" s="94" t="s">
        <v>210</v>
      </c>
      <c r="K1117" s="94" t="s">
        <v>210</v>
      </c>
      <c r="L1117" s="94">
        <v>1</v>
      </c>
      <c r="M1117" s="94"/>
      <c r="N1117" s="94"/>
      <c r="O1117" s="94"/>
      <c r="P1117" s="94"/>
      <c r="Q1117" s="94"/>
      <c r="R1117" s="89"/>
      <c r="S1117" s="89"/>
      <c r="T1117" s="89"/>
      <c r="U1117" s="89"/>
      <c r="V1117" s="89"/>
      <c r="W1117" s="89"/>
      <c r="X1117" s="89"/>
      <c r="Y1117" s="89"/>
      <c r="Z1117" s="89"/>
      <c r="AA1117" s="89"/>
      <c r="AB1117" s="89"/>
      <c r="AC1117" s="89"/>
      <c r="AD1117" s="89"/>
      <c r="AE1117" s="89"/>
      <c r="AF1117" s="89"/>
      <c r="AG1117" s="89"/>
      <c r="AH1117" s="89"/>
      <c r="AI1117" s="89"/>
      <c r="AJ1117" s="89"/>
      <c r="AK1117" s="89"/>
      <c r="AL1117" s="89"/>
      <c r="AM1117" s="89"/>
      <c r="AN1117" s="89"/>
      <c r="AO1117" s="89"/>
      <c r="AP1117" s="89"/>
      <c r="AQ1117" s="89"/>
      <c r="AR1117" s="89"/>
      <c r="AS1117" s="89"/>
      <c r="AT1117" s="89"/>
      <c r="AU1117" s="89"/>
      <c r="AV1117" s="89"/>
      <c r="AW1117" s="89"/>
      <c r="AX1117" s="89"/>
      <c r="AY1117" s="89"/>
      <c r="AZ1117" s="89"/>
      <c r="BA1117" s="95"/>
    </row>
    <row r="1118" spans="1:53" s="87" customFormat="1">
      <c r="A1118" s="374" t="str">
        <f t="shared" si="65"/>
        <v/>
      </c>
      <c r="B1118" s="98">
        <v>20</v>
      </c>
      <c r="C1118" s="94">
        <v>-4</v>
      </c>
      <c r="D1118" s="94" t="s">
        <v>210</v>
      </c>
      <c r="E1118" s="94" t="s">
        <v>210</v>
      </c>
      <c r="F1118" s="94">
        <v>-6</v>
      </c>
      <c r="G1118" s="94" t="s">
        <v>210</v>
      </c>
      <c r="H1118" s="94">
        <v>2</v>
      </c>
      <c r="I1118" s="94">
        <v>3</v>
      </c>
      <c r="J1118" s="94" t="s">
        <v>210</v>
      </c>
      <c r="K1118" s="94" t="s">
        <v>210</v>
      </c>
      <c r="L1118" s="94">
        <v>-1</v>
      </c>
      <c r="M1118" s="94"/>
      <c r="N1118" s="94"/>
      <c r="O1118" s="94"/>
      <c r="P1118" s="94"/>
      <c r="Q1118" s="94"/>
      <c r="R1118" s="89"/>
      <c r="S1118" s="89"/>
      <c r="T1118" s="89"/>
      <c r="U1118" s="89"/>
      <c r="V1118" s="89"/>
      <c r="W1118" s="89"/>
      <c r="X1118" s="89"/>
      <c r="Y1118" s="89"/>
      <c r="Z1118" s="89"/>
      <c r="AA1118" s="89"/>
      <c r="AB1118" s="89"/>
      <c r="AC1118" s="89"/>
      <c r="AD1118" s="89"/>
      <c r="AE1118" s="89"/>
      <c r="AF1118" s="89"/>
      <c r="AG1118" s="89"/>
      <c r="AH1118" s="89"/>
      <c r="AI1118" s="89"/>
      <c r="AJ1118" s="89"/>
      <c r="AK1118" s="89"/>
      <c r="AL1118" s="89"/>
      <c r="AM1118" s="89"/>
      <c r="AN1118" s="89"/>
      <c r="AO1118" s="89"/>
      <c r="AP1118" s="89"/>
      <c r="AQ1118" s="89"/>
      <c r="AR1118" s="89"/>
      <c r="AS1118" s="89"/>
      <c r="AT1118" s="89"/>
      <c r="AU1118" s="89"/>
      <c r="AV1118" s="89"/>
      <c r="AW1118" s="89"/>
      <c r="AX1118" s="89"/>
      <c r="AY1118" s="89"/>
      <c r="AZ1118" s="89"/>
      <c r="BA1118" s="95"/>
    </row>
    <row r="1119" spans="1:53" s="87" customFormat="1">
      <c r="A1119" s="374" t="str">
        <f t="shared" si="65"/>
        <v/>
      </c>
      <c r="B1119" s="98">
        <v>21</v>
      </c>
      <c r="C1119" s="94">
        <v>1</v>
      </c>
      <c r="D1119" s="94" t="s">
        <v>210</v>
      </c>
      <c r="E1119" s="94" t="s">
        <v>210</v>
      </c>
      <c r="F1119" s="94">
        <v>3</v>
      </c>
      <c r="G1119" s="94" t="s">
        <v>210</v>
      </c>
      <c r="H1119" s="94">
        <v>-2</v>
      </c>
      <c r="I1119" s="94">
        <v>-4</v>
      </c>
      <c r="J1119" s="94" t="s">
        <v>210</v>
      </c>
      <c r="K1119" s="94" t="s">
        <v>210</v>
      </c>
      <c r="L1119" s="94">
        <v>5</v>
      </c>
      <c r="M1119" s="94"/>
      <c r="N1119" s="94"/>
      <c r="O1119" s="94"/>
      <c r="P1119" s="94"/>
      <c r="Q1119" s="94"/>
      <c r="R1119" s="89"/>
      <c r="S1119" s="89"/>
      <c r="T1119" s="89"/>
      <c r="U1119" s="89"/>
      <c r="V1119" s="89"/>
      <c r="W1119" s="89"/>
      <c r="X1119" s="89"/>
      <c r="Y1119" s="89"/>
      <c r="Z1119" s="89"/>
      <c r="AA1119" s="89"/>
      <c r="AB1119" s="89"/>
      <c r="AC1119" s="89"/>
      <c r="AD1119" s="89"/>
      <c r="AE1119" s="89"/>
      <c r="AF1119" s="89"/>
      <c r="AG1119" s="89"/>
      <c r="AH1119" s="89"/>
      <c r="AI1119" s="89"/>
      <c r="AJ1119" s="89"/>
      <c r="AK1119" s="89"/>
      <c r="AL1119" s="89"/>
      <c r="AM1119" s="89"/>
      <c r="AN1119" s="89"/>
      <c r="AO1119" s="89"/>
      <c r="AP1119" s="89"/>
      <c r="AQ1119" s="89"/>
      <c r="AR1119" s="89"/>
      <c r="AS1119" s="89"/>
      <c r="AT1119" s="89"/>
      <c r="AU1119" s="89"/>
      <c r="AV1119" s="89"/>
      <c r="AW1119" s="89"/>
      <c r="AX1119" s="89"/>
      <c r="AY1119" s="89"/>
      <c r="AZ1119" s="89"/>
      <c r="BA1119" s="95"/>
    </row>
    <row r="1120" spans="1:53" s="87" customFormat="1">
      <c r="A1120" s="374" t="str">
        <f t="shared" si="65"/>
        <v/>
      </c>
      <c r="B1120" s="98">
        <v>22</v>
      </c>
      <c r="C1120" s="94">
        <v>-6</v>
      </c>
      <c r="D1120" s="94" t="s">
        <v>210</v>
      </c>
      <c r="E1120" s="94" t="s">
        <v>210</v>
      </c>
      <c r="F1120" s="94">
        <v>5</v>
      </c>
      <c r="G1120" s="94" t="s">
        <v>210</v>
      </c>
      <c r="H1120" s="94">
        <v>1</v>
      </c>
      <c r="I1120" s="94">
        <v>-3</v>
      </c>
      <c r="J1120" s="94" t="s">
        <v>210</v>
      </c>
      <c r="K1120" s="94" t="s">
        <v>210</v>
      </c>
      <c r="L1120" s="94">
        <v>-5</v>
      </c>
      <c r="M1120" s="94"/>
      <c r="N1120" s="94"/>
      <c r="O1120" s="94"/>
      <c r="P1120" s="94"/>
      <c r="Q1120" s="94"/>
      <c r="R1120" s="89"/>
      <c r="S1120" s="89"/>
      <c r="T1120" s="89"/>
      <c r="U1120" s="89"/>
      <c r="V1120" s="89"/>
      <c r="W1120" s="89"/>
      <c r="X1120" s="89"/>
      <c r="Y1120" s="89"/>
      <c r="Z1120" s="89"/>
      <c r="AA1120" s="89"/>
      <c r="AB1120" s="89"/>
      <c r="AC1120" s="89"/>
      <c r="AD1120" s="89"/>
      <c r="AE1120" s="89"/>
      <c r="AF1120" s="89"/>
      <c r="AG1120" s="89"/>
      <c r="AH1120" s="89"/>
      <c r="AI1120" s="89"/>
      <c r="AJ1120" s="89"/>
      <c r="AK1120" s="89"/>
      <c r="AL1120" s="89"/>
      <c r="AM1120" s="89"/>
      <c r="AN1120" s="89"/>
      <c r="AO1120" s="89"/>
      <c r="AP1120" s="89"/>
      <c r="AQ1120" s="89"/>
      <c r="AR1120" s="89"/>
      <c r="AS1120" s="89"/>
      <c r="AT1120" s="89"/>
      <c r="AU1120" s="89"/>
      <c r="AV1120" s="89"/>
      <c r="AW1120" s="89"/>
      <c r="AX1120" s="89"/>
      <c r="AY1120" s="89"/>
      <c r="AZ1120" s="89"/>
      <c r="BA1120" s="95"/>
    </row>
    <row r="1121" spans="1:53" s="87" customFormat="1">
      <c r="A1121" s="374" t="str">
        <f t="shared" si="65"/>
        <v/>
      </c>
      <c r="B1121" s="259" t="s">
        <v>812</v>
      </c>
      <c r="C1121" s="94"/>
      <c r="D1121" s="94"/>
      <c r="E1121" s="94"/>
      <c r="F1121" s="94"/>
      <c r="G1121" s="94"/>
      <c r="H1121" s="94"/>
      <c r="I1121" s="94"/>
      <c r="J1121" s="94"/>
      <c r="K1121" s="94"/>
      <c r="L1121" s="94"/>
      <c r="M1121" s="94"/>
      <c r="N1121" s="94"/>
      <c r="O1121" s="94"/>
      <c r="P1121" s="94"/>
      <c r="Q1121" s="94"/>
      <c r="R1121" s="89"/>
      <c r="S1121" s="89"/>
      <c r="T1121" s="89"/>
      <c r="U1121" s="89"/>
      <c r="V1121" s="89"/>
      <c r="W1121" s="89"/>
      <c r="X1121" s="89"/>
      <c r="Y1121" s="89"/>
      <c r="Z1121" s="89"/>
      <c r="AA1121" s="89"/>
      <c r="AB1121" s="89"/>
      <c r="AC1121" s="89"/>
      <c r="AD1121" s="89"/>
      <c r="AE1121" s="89"/>
      <c r="AF1121" s="89"/>
      <c r="AG1121" s="89"/>
      <c r="AH1121" s="89"/>
      <c r="AI1121" s="89"/>
      <c r="AJ1121" s="89"/>
      <c r="AK1121" s="89"/>
      <c r="AL1121" s="89"/>
      <c r="AM1121" s="89"/>
      <c r="AN1121" s="89"/>
      <c r="AO1121" s="89"/>
      <c r="AP1121" s="89"/>
      <c r="AQ1121" s="89"/>
      <c r="AR1121" s="89"/>
      <c r="AS1121" s="89"/>
      <c r="AT1121" s="89"/>
      <c r="AU1121" s="89"/>
      <c r="AV1121" s="89"/>
      <c r="AW1121" s="89"/>
      <c r="AX1121" s="89"/>
      <c r="AY1121" s="89"/>
      <c r="AZ1121" s="89"/>
      <c r="BA1121" s="95"/>
    </row>
    <row r="1122" spans="1:53" s="87" customFormat="1">
      <c r="A1122" s="374">
        <f t="shared" si="65"/>
        <v>1122</v>
      </c>
      <c r="B1122" s="317" t="s">
        <v>1195</v>
      </c>
      <c r="C1122" s="94"/>
      <c r="D1122" s="94"/>
      <c r="E1122" s="94"/>
      <c r="F1122" s="94"/>
      <c r="G1122" s="94"/>
      <c r="H1122" s="94"/>
      <c r="I1122" s="94"/>
      <c r="J1122" s="94"/>
      <c r="K1122" s="94"/>
      <c r="L1122" s="94"/>
      <c r="M1122" s="94"/>
      <c r="N1122" s="94"/>
      <c r="O1122" s="94"/>
      <c r="P1122" s="94"/>
      <c r="Q1122" s="94"/>
      <c r="R1122" s="89"/>
      <c r="S1122" s="89"/>
      <c r="T1122" s="89"/>
      <c r="U1122" s="89"/>
      <c r="V1122" s="89"/>
      <c r="W1122" s="89"/>
      <c r="X1122" s="89"/>
      <c r="Y1122" s="89"/>
      <c r="Z1122" s="89"/>
      <c r="AA1122" s="89"/>
      <c r="AB1122" s="89"/>
      <c r="AC1122" s="89"/>
      <c r="AD1122" s="89"/>
      <c r="AE1122" s="89"/>
      <c r="AF1122" s="89"/>
      <c r="AG1122" s="89"/>
      <c r="AH1122" s="89"/>
      <c r="AI1122" s="89"/>
      <c r="AJ1122" s="89"/>
      <c r="AK1122" s="89"/>
      <c r="AL1122" s="89"/>
      <c r="AM1122" s="89"/>
      <c r="AN1122" s="89"/>
      <c r="AO1122" s="89"/>
      <c r="AP1122" s="89"/>
      <c r="AQ1122" s="89"/>
      <c r="AR1122" s="89"/>
      <c r="AS1122" s="89"/>
      <c r="AT1122" s="89"/>
      <c r="AU1122" s="89"/>
      <c r="AV1122" s="89"/>
      <c r="AW1122" s="89"/>
      <c r="AX1122" s="89"/>
      <c r="AY1122" s="89"/>
      <c r="AZ1122" s="89"/>
      <c r="BA1122" s="95"/>
    </row>
    <row r="1123" spans="1:53" s="87" customFormat="1">
      <c r="A1123" s="374" t="str">
        <f t="shared" si="65"/>
        <v/>
      </c>
      <c r="B1123" s="98">
        <v>1</v>
      </c>
      <c r="C1123" s="94">
        <v>5</v>
      </c>
      <c r="D1123" s="94" t="s">
        <v>210</v>
      </c>
      <c r="E1123" s="94">
        <v>4</v>
      </c>
      <c r="F1123" s="94">
        <v>-1</v>
      </c>
      <c r="G1123" s="94" t="s">
        <v>210</v>
      </c>
      <c r="H1123" s="94">
        <v>-3</v>
      </c>
      <c r="I1123" s="94" t="s">
        <v>210</v>
      </c>
      <c r="J1123" s="94"/>
      <c r="K1123" s="94"/>
      <c r="L1123" s="94"/>
      <c r="M1123" s="94"/>
      <c r="N1123" s="94"/>
      <c r="O1123" s="94"/>
      <c r="P1123" s="94"/>
      <c r="Q1123" s="94"/>
      <c r="R1123" s="89"/>
      <c r="S1123" s="89"/>
      <c r="T1123" s="89"/>
      <c r="U1123" s="89"/>
      <c r="V1123" s="89"/>
      <c r="W1123" s="89"/>
      <c r="X1123" s="89"/>
      <c r="Y1123" s="89"/>
      <c r="Z1123" s="89"/>
      <c r="AA1123" s="89"/>
      <c r="AB1123" s="89"/>
      <c r="AC1123" s="89"/>
      <c r="AD1123" s="89"/>
      <c r="AE1123" s="89"/>
      <c r="AF1123" s="89"/>
      <c r="AG1123" s="89"/>
      <c r="AH1123" s="89"/>
      <c r="AI1123" s="89"/>
      <c r="AJ1123" s="89"/>
      <c r="AK1123" s="89"/>
      <c r="AL1123" s="89"/>
      <c r="AM1123" s="89"/>
      <c r="AN1123" s="89"/>
      <c r="AO1123" s="89"/>
      <c r="AP1123" s="89"/>
      <c r="AQ1123" s="89"/>
      <c r="AR1123" s="89"/>
      <c r="AS1123" s="89"/>
      <c r="AT1123" s="89"/>
      <c r="AU1123" s="89"/>
      <c r="AV1123" s="89"/>
      <c r="AW1123" s="89"/>
      <c r="AX1123" s="89"/>
      <c r="AY1123" s="89"/>
      <c r="AZ1123" s="89"/>
      <c r="BA1123" s="95"/>
    </row>
    <row r="1124" spans="1:53" s="87" customFormat="1">
      <c r="A1124" s="374" t="str">
        <f t="shared" si="65"/>
        <v/>
      </c>
      <c r="B1124" s="98">
        <v>2</v>
      </c>
      <c r="C1124" s="94" t="s">
        <v>210</v>
      </c>
      <c r="D1124" s="94">
        <v>-6</v>
      </c>
      <c r="E1124" s="94" t="s">
        <v>210</v>
      </c>
      <c r="F1124" s="94">
        <v>-2</v>
      </c>
      <c r="G1124" s="94" t="s">
        <v>210</v>
      </c>
      <c r="H1124" s="94">
        <v>3</v>
      </c>
      <c r="I1124" s="94">
        <v>4</v>
      </c>
      <c r="J1124" s="94"/>
      <c r="K1124" s="94"/>
      <c r="L1124" s="94"/>
      <c r="M1124" s="94"/>
      <c r="N1124" s="94"/>
      <c r="O1124" s="94"/>
      <c r="P1124" s="94"/>
      <c r="Q1124" s="94"/>
      <c r="R1124" s="89"/>
      <c r="S1124" s="89"/>
      <c r="T1124" s="89"/>
      <c r="U1124" s="89"/>
      <c r="V1124" s="89"/>
      <c r="W1124" s="89"/>
      <c r="X1124" s="89"/>
      <c r="Y1124" s="89"/>
      <c r="Z1124" s="89"/>
      <c r="AA1124" s="89"/>
      <c r="AB1124" s="89"/>
      <c r="AC1124" s="89"/>
      <c r="AD1124" s="89"/>
      <c r="AE1124" s="89"/>
      <c r="AF1124" s="89"/>
      <c r="AG1124" s="89"/>
      <c r="AH1124" s="89"/>
      <c r="AI1124" s="89"/>
      <c r="AJ1124" s="89"/>
      <c r="AK1124" s="89"/>
      <c r="AL1124" s="89"/>
      <c r="AM1124" s="89"/>
      <c r="AN1124" s="89"/>
      <c r="AO1124" s="89"/>
      <c r="AP1124" s="89"/>
      <c r="AQ1124" s="89"/>
      <c r="AR1124" s="89"/>
      <c r="AS1124" s="89"/>
      <c r="AT1124" s="89"/>
      <c r="AU1124" s="89"/>
      <c r="AV1124" s="89"/>
      <c r="AW1124" s="89"/>
      <c r="AX1124" s="89"/>
      <c r="AY1124" s="89"/>
      <c r="AZ1124" s="89"/>
      <c r="BA1124" s="95"/>
    </row>
    <row r="1125" spans="1:53" s="87" customFormat="1">
      <c r="A1125" s="374" t="str">
        <f t="shared" si="65"/>
        <v/>
      </c>
      <c r="B1125" s="98">
        <v>3</v>
      </c>
      <c r="C1125" s="94" t="s">
        <v>210</v>
      </c>
      <c r="D1125" s="94">
        <v>-5</v>
      </c>
      <c r="E1125" s="94" t="s">
        <v>210</v>
      </c>
      <c r="F1125" s="94">
        <v>1</v>
      </c>
      <c r="G1125" s="94">
        <v>2</v>
      </c>
      <c r="H1125" s="94" t="s">
        <v>210</v>
      </c>
      <c r="I1125" s="94">
        <v>-4</v>
      </c>
      <c r="J1125" s="94"/>
      <c r="K1125" s="94"/>
      <c r="L1125" s="94"/>
      <c r="M1125" s="94"/>
      <c r="N1125" s="94"/>
      <c r="O1125" s="94"/>
      <c r="P1125" s="94"/>
      <c r="Q1125" s="94"/>
      <c r="R1125" s="89"/>
      <c r="S1125" s="89"/>
      <c r="T1125" s="89"/>
      <c r="U1125" s="89"/>
      <c r="V1125" s="89"/>
      <c r="W1125" s="89"/>
      <c r="X1125" s="89"/>
      <c r="Y1125" s="89"/>
      <c r="Z1125" s="89"/>
      <c r="AA1125" s="89"/>
      <c r="AB1125" s="89"/>
      <c r="AC1125" s="89"/>
      <c r="AD1125" s="89"/>
      <c r="AE1125" s="89"/>
      <c r="AF1125" s="89"/>
      <c r="AG1125" s="89"/>
      <c r="AH1125" s="89"/>
      <c r="AI1125" s="89"/>
      <c r="AJ1125" s="89"/>
      <c r="AK1125" s="89"/>
      <c r="AL1125" s="89"/>
      <c r="AM1125" s="89"/>
      <c r="AN1125" s="89"/>
      <c r="AO1125" s="89"/>
      <c r="AP1125" s="89"/>
      <c r="AQ1125" s="89"/>
      <c r="AR1125" s="89"/>
      <c r="AS1125" s="89"/>
      <c r="AT1125" s="89"/>
      <c r="AU1125" s="89"/>
      <c r="AV1125" s="89"/>
      <c r="AW1125" s="89"/>
      <c r="AX1125" s="89"/>
      <c r="AY1125" s="89"/>
      <c r="AZ1125" s="89"/>
      <c r="BA1125" s="95"/>
    </row>
    <row r="1126" spans="1:53" s="87" customFormat="1">
      <c r="A1126" s="374" t="str">
        <f t="shared" si="65"/>
        <v/>
      </c>
      <c r="B1126" s="98">
        <v>4</v>
      </c>
      <c r="C1126" s="94" t="s">
        <v>210</v>
      </c>
      <c r="D1126" s="94">
        <v>5</v>
      </c>
      <c r="E1126" s="94">
        <v>-4</v>
      </c>
      <c r="F1126" s="94">
        <v>2</v>
      </c>
      <c r="G1126" s="94" t="s">
        <v>210</v>
      </c>
      <c r="H1126" s="94">
        <v>-1</v>
      </c>
      <c r="I1126" s="94" t="s">
        <v>210</v>
      </c>
      <c r="J1126" s="94"/>
      <c r="K1126" s="94"/>
      <c r="L1126" s="94"/>
      <c r="M1126" s="94"/>
      <c r="N1126" s="94"/>
      <c r="O1126" s="94"/>
      <c r="P1126" s="94"/>
      <c r="Q1126" s="94"/>
      <c r="R1126" s="89"/>
      <c r="S1126" s="89"/>
      <c r="T1126" s="89"/>
      <c r="U1126" s="89"/>
      <c r="V1126" s="89"/>
      <c r="W1126" s="89"/>
      <c r="X1126" s="89"/>
      <c r="Y1126" s="89"/>
      <c r="Z1126" s="89"/>
      <c r="AA1126" s="89"/>
      <c r="AB1126" s="89"/>
      <c r="AC1126" s="89"/>
      <c r="AD1126" s="89"/>
      <c r="AE1126" s="89"/>
      <c r="AF1126" s="89"/>
      <c r="AG1126" s="89"/>
      <c r="AH1126" s="89"/>
      <c r="AI1126" s="89"/>
      <c r="AJ1126" s="89"/>
      <c r="AK1126" s="89"/>
      <c r="AL1126" s="89"/>
      <c r="AM1126" s="89"/>
      <c r="AN1126" s="89"/>
      <c r="AO1126" s="89"/>
      <c r="AP1126" s="89"/>
      <c r="AQ1126" s="89"/>
      <c r="AR1126" s="89"/>
      <c r="AS1126" s="89"/>
      <c r="AT1126" s="89"/>
      <c r="AU1126" s="89"/>
      <c r="AV1126" s="89"/>
      <c r="AW1126" s="89"/>
      <c r="AX1126" s="89"/>
      <c r="AY1126" s="89"/>
      <c r="AZ1126" s="89"/>
      <c r="BA1126" s="95"/>
    </row>
    <row r="1127" spans="1:53" s="87" customFormat="1">
      <c r="A1127" s="374" t="str">
        <f t="shared" si="65"/>
        <v/>
      </c>
      <c r="B1127" s="99">
        <v>5</v>
      </c>
      <c r="C1127" s="92">
        <v>-5</v>
      </c>
      <c r="D1127" s="92">
        <v>6</v>
      </c>
      <c r="E1127" s="92" t="s">
        <v>210</v>
      </c>
      <c r="F1127" s="92" t="s">
        <v>210</v>
      </c>
      <c r="G1127" s="92">
        <v>-2</v>
      </c>
      <c r="H1127" s="92">
        <v>1</v>
      </c>
      <c r="I1127" s="92" t="s">
        <v>210</v>
      </c>
      <c r="J1127" s="94"/>
      <c r="K1127" s="94"/>
      <c r="L1127" s="94"/>
      <c r="M1127" s="94"/>
      <c r="N1127" s="94"/>
      <c r="O1127" s="94"/>
      <c r="P1127" s="94"/>
      <c r="Q1127" s="94"/>
      <c r="R1127" s="89"/>
      <c r="S1127" s="89"/>
      <c r="T1127" s="89"/>
      <c r="U1127" s="89"/>
      <c r="V1127" s="89"/>
      <c r="W1127" s="89"/>
      <c r="X1127" s="89"/>
      <c r="Y1127" s="89"/>
      <c r="Z1127" s="89"/>
      <c r="AA1127" s="89"/>
      <c r="AB1127" s="89"/>
      <c r="AC1127" s="89"/>
      <c r="AD1127" s="89"/>
      <c r="AE1127" s="89"/>
      <c r="AF1127" s="89"/>
      <c r="AG1127" s="89"/>
      <c r="AH1127" s="89"/>
      <c r="AI1127" s="89"/>
      <c r="AJ1127" s="89"/>
      <c r="AK1127" s="89"/>
      <c r="AL1127" s="89"/>
      <c r="AM1127" s="89"/>
      <c r="AN1127" s="89"/>
      <c r="AO1127" s="89"/>
      <c r="AP1127" s="89"/>
      <c r="AQ1127" s="89"/>
      <c r="AR1127" s="89"/>
      <c r="AS1127" s="89"/>
      <c r="AT1127" s="89"/>
      <c r="AU1127" s="89"/>
      <c r="AV1127" s="89"/>
      <c r="AW1127" s="89"/>
      <c r="AX1127" s="89"/>
      <c r="AY1127" s="89"/>
      <c r="AZ1127" s="89"/>
      <c r="BA1127" s="95"/>
    </row>
    <row r="1128" spans="1:53" s="87" customFormat="1">
      <c r="A1128" s="374" t="str">
        <f t="shared" si="65"/>
        <v/>
      </c>
      <c r="B1128" s="89">
        <v>6</v>
      </c>
      <c r="C1128" s="89">
        <v>-3</v>
      </c>
      <c r="D1128" s="89" t="s">
        <v>210</v>
      </c>
      <c r="E1128" s="89">
        <v>-6</v>
      </c>
      <c r="F1128" s="89">
        <v>4</v>
      </c>
      <c r="G1128" s="89" t="s">
        <v>210</v>
      </c>
      <c r="H1128" s="89">
        <v>2</v>
      </c>
      <c r="I1128" s="89" t="s">
        <v>210</v>
      </c>
      <c r="J1128" s="94"/>
      <c r="K1128" s="94"/>
      <c r="L1128" s="94"/>
      <c r="M1128" s="94"/>
      <c r="N1128" s="94"/>
      <c r="O1128" s="94"/>
      <c r="P1128" s="94"/>
      <c r="Q1128" s="94"/>
      <c r="R1128" s="89"/>
      <c r="S1128" s="89"/>
      <c r="T1128" s="89"/>
      <c r="U1128" s="89"/>
      <c r="V1128" s="89"/>
      <c r="W1128" s="89"/>
      <c r="X1128" s="89"/>
      <c r="Y1128" s="89"/>
      <c r="Z1128" s="89"/>
      <c r="AA1128" s="89"/>
      <c r="AB1128" s="89"/>
      <c r="AC1128" s="89"/>
      <c r="AD1128" s="89"/>
      <c r="AE1128" s="89"/>
      <c r="AF1128" s="89"/>
      <c r="AG1128" s="89"/>
      <c r="AH1128" s="89"/>
      <c r="AI1128" s="89"/>
      <c r="AJ1128" s="89"/>
      <c r="AK1128" s="89"/>
      <c r="AL1128" s="89"/>
      <c r="AM1128" s="89"/>
      <c r="AN1128" s="89"/>
      <c r="AO1128" s="89"/>
      <c r="AP1128" s="89"/>
      <c r="AQ1128" s="89"/>
      <c r="AR1128" s="89"/>
      <c r="AS1128" s="89"/>
      <c r="AT1128" s="89"/>
      <c r="AU1128" s="89"/>
      <c r="AV1128" s="89"/>
      <c r="AW1128" s="89"/>
      <c r="AX1128" s="89"/>
      <c r="AY1128" s="89"/>
      <c r="AZ1128" s="89"/>
      <c r="BA1128" s="95"/>
    </row>
    <row r="1129" spans="1:53" s="87" customFormat="1">
      <c r="A1129" s="374" t="str">
        <f t="shared" si="65"/>
        <v/>
      </c>
      <c r="B1129" s="89">
        <v>7</v>
      </c>
      <c r="C1129" s="89">
        <v>1</v>
      </c>
      <c r="D1129" s="89" t="s">
        <v>210</v>
      </c>
      <c r="E1129" s="89">
        <v>5</v>
      </c>
      <c r="F1129" s="89" t="s">
        <v>210</v>
      </c>
      <c r="G1129" s="89">
        <v>-4</v>
      </c>
      <c r="H1129" s="89">
        <v>-2</v>
      </c>
      <c r="I1129" s="89" t="s">
        <v>210</v>
      </c>
      <c r="J1129" s="89"/>
      <c r="K1129" s="89"/>
      <c r="L1129" s="89"/>
      <c r="M1129" s="89"/>
      <c r="N1129" s="89"/>
      <c r="O1129" s="89"/>
      <c r="P1129" s="89"/>
      <c r="Q1129" s="89"/>
      <c r="R1129" s="89"/>
      <c r="S1129" s="89"/>
      <c r="T1129" s="89"/>
      <c r="U1129" s="89"/>
      <c r="V1129" s="89"/>
      <c r="W1129" s="89"/>
      <c r="X1129" s="89"/>
      <c r="Y1129" s="89"/>
      <c r="Z1129" s="89"/>
      <c r="AA1129" s="89"/>
      <c r="AB1129" s="89"/>
      <c r="AC1129" s="89"/>
      <c r="AD1129" s="89"/>
      <c r="AE1129" s="89"/>
      <c r="AF1129" s="89"/>
      <c r="AG1129" s="89"/>
      <c r="AH1129" s="89"/>
      <c r="AI1129" s="89"/>
      <c r="AJ1129" s="89"/>
      <c r="AK1129" s="89"/>
      <c r="AL1129" s="89"/>
      <c r="AM1129" s="89"/>
      <c r="AN1129" s="89"/>
      <c r="AO1129" s="89"/>
      <c r="AP1129" s="89"/>
      <c r="AQ1129" s="89"/>
      <c r="AR1129" s="89"/>
      <c r="AS1129" s="89"/>
      <c r="AT1129" s="89"/>
      <c r="AU1129" s="89"/>
      <c r="AV1129" s="89"/>
      <c r="AW1129" s="89"/>
      <c r="AX1129" s="89"/>
      <c r="AY1129" s="89"/>
      <c r="AZ1129" s="89"/>
      <c r="BA1129" s="95"/>
    </row>
    <row r="1130" spans="1:53" s="87" customFormat="1">
      <c r="A1130" s="374" t="str">
        <f t="shared" si="65"/>
        <v/>
      </c>
      <c r="B1130" s="89">
        <v>8</v>
      </c>
      <c r="C1130" s="89" t="s">
        <v>210</v>
      </c>
      <c r="D1130" s="89">
        <v>-3</v>
      </c>
      <c r="E1130" s="89">
        <v>6</v>
      </c>
      <c r="F1130" s="89" t="s">
        <v>210</v>
      </c>
      <c r="G1130" s="89">
        <v>4</v>
      </c>
      <c r="H1130" s="89" t="s">
        <v>210</v>
      </c>
      <c r="I1130" s="89">
        <v>-2</v>
      </c>
      <c r="J1130" s="89"/>
      <c r="K1130" s="89"/>
      <c r="L1130" s="89"/>
      <c r="M1130" s="89"/>
      <c r="N1130" s="89"/>
      <c r="O1130" s="89"/>
      <c r="P1130" s="89"/>
      <c r="Q1130" s="89"/>
      <c r="R1130" s="89"/>
      <c r="S1130" s="89"/>
      <c r="T1130" s="89"/>
      <c r="U1130" s="89"/>
      <c r="V1130" s="89"/>
      <c r="W1130" s="89"/>
      <c r="X1130" s="89"/>
      <c r="Y1130" s="89"/>
      <c r="Z1130" s="89"/>
      <c r="AA1130" s="89"/>
      <c r="AB1130" s="89"/>
      <c r="AC1130" s="89"/>
      <c r="AD1130" s="89"/>
      <c r="AE1130" s="89"/>
      <c r="AF1130" s="89"/>
      <c r="AG1130" s="89"/>
      <c r="AH1130" s="89"/>
      <c r="AI1130" s="89"/>
      <c r="AJ1130" s="89"/>
      <c r="AK1130" s="89"/>
      <c r="AL1130" s="89"/>
      <c r="AM1130" s="89"/>
      <c r="AN1130" s="89"/>
      <c r="AO1130" s="89"/>
      <c r="AP1130" s="89"/>
      <c r="AQ1130" s="89"/>
      <c r="AR1130" s="89"/>
      <c r="AS1130" s="89"/>
      <c r="AT1130" s="89"/>
      <c r="AU1130" s="89"/>
      <c r="AV1130" s="89"/>
      <c r="AW1130" s="89"/>
      <c r="AX1130" s="89"/>
      <c r="AY1130" s="89"/>
      <c r="AZ1130" s="89"/>
      <c r="BA1130" s="95"/>
    </row>
    <row r="1131" spans="1:53" s="87" customFormat="1">
      <c r="A1131" s="374" t="str">
        <f t="shared" si="65"/>
        <v/>
      </c>
      <c r="B1131" s="89">
        <v>9</v>
      </c>
      <c r="C1131" s="89">
        <v>3</v>
      </c>
      <c r="D1131" s="89" t="s">
        <v>210</v>
      </c>
      <c r="E1131" s="89">
        <v>-5</v>
      </c>
      <c r="F1131" s="89" t="s">
        <v>210</v>
      </c>
      <c r="G1131" s="89">
        <v>-6</v>
      </c>
      <c r="H1131" s="89" t="s">
        <v>210</v>
      </c>
      <c r="I1131" s="89">
        <v>2</v>
      </c>
      <c r="J1131" s="89"/>
      <c r="K1131" s="89"/>
      <c r="L1131" s="89"/>
      <c r="M1131" s="89"/>
      <c r="N1131" s="89"/>
      <c r="O1131" s="89"/>
      <c r="P1131" s="89"/>
      <c r="Q1131" s="89"/>
      <c r="R1131" s="89"/>
      <c r="S1131" s="89"/>
      <c r="T1131" s="89"/>
      <c r="U1131" s="89"/>
      <c r="V1131" s="89"/>
      <c r="W1131" s="89"/>
      <c r="X1131" s="89"/>
      <c r="Y1131" s="89"/>
      <c r="Z1131" s="89"/>
      <c r="AA1131" s="89"/>
      <c r="AB1131" s="89"/>
      <c r="AC1131" s="89"/>
      <c r="AD1131" s="89"/>
      <c r="AE1131" s="89"/>
      <c r="AF1131" s="89"/>
      <c r="AG1131" s="89"/>
      <c r="AH1131" s="89"/>
      <c r="AI1131" s="89"/>
      <c r="AJ1131" s="89"/>
      <c r="AK1131" s="89"/>
      <c r="AL1131" s="89"/>
      <c r="AM1131" s="89"/>
      <c r="AN1131" s="89"/>
      <c r="AO1131" s="89"/>
      <c r="AP1131" s="89"/>
      <c r="AQ1131" s="89"/>
      <c r="AR1131" s="89"/>
      <c r="AS1131" s="89"/>
      <c r="AT1131" s="89"/>
      <c r="AU1131" s="89"/>
      <c r="AV1131" s="89"/>
      <c r="AW1131" s="89"/>
      <c r="AX1131" s="89"/>
      <c r="AY1131" s="89"/>
      <c r="AZ1131" s="89"/>
      <c r="BA1131" s="95"/>
    </row>
    <row r="1132" spans="1:53" s="87" customFormat="1">
      <c r="A1132" s="374" t="str">
        <f t="shared" si="65"/>
        <v/>
      </c>
      <c r="B1132" s="99">
        <v>10</v>
      </c>
      <c r="C1132" s="92">
        <v>-1</v>
      </c>
      <c r="D1132" s="92">
        <v>3</v>
      </c>
      <c r="E1132" s="92" t="s">
        <v>210</v>
      </c>
      <c r="F1132" s="92">
        <v>-4</v>
      </c>
      <c r="G1132" s="92">
        <v>6</v>
      </c>
      <c r="H1132" s="92" t="s">
        <v>210</v>
      </c>
      <c r="I1132" s="92" t="s">
        <v>210</v>
      </c>
      <c r="J1132" s="89"/>
      <c r="K1132" s="89"/>
      <c r="L1132" s="89"/>
      <c r="M1132" s="89"/>
      <c r="N1132" s="89"/>
      <c r="O1132" s="89"/>
      <c r="P1132" s="89"/>
      <c r="Q1132" s="89"/>
      <c r="R1132" s="89"/>
      <c r="S1132" s="89"/>
      <c r="T1132" s="89"/>
      <c r="U1132" s="89"/>
      <c r="V1132" s="89"/>
      <c r="W1132" s="89"/>
      <c r="X1132" s="89"/>
      <c r="Y1132" s="89"/>
      <c r="Z1132" s="89"/>
      <c r="AA1132" s="89"/>
      <c r="AB1132" s="89"/>
      <c r="AC1132" s="89"/>
      <c r="AD1132" s="89"/>
      <c r="AE1132" s="89"/>
      <c r="AF1132" s="89"/>
      <c r="AG1132" s="89"/>
      <c r="AH1132" s="89"/>
      <c r="AI1132" s="89"/>
      <c r="AJ1132" s="89"/>
      <c r="AK1132" s="89"/>
      <c r="AL1132" s="89"/>
      <c r="AM1132" s="89"/>
      <c r="AN1132" s="89"/>
      <c r="AO1132" s="89"/>
      <c r="AP1132" s="89"/>
      <c r="AQ1132" s="89"/>
      <c r="AR1132" s="89"/>
      <c r="AS1132" s="89"/>
      <c r="AT1132" s="89"/>
      <c r="AU1132" s="89"/>
      <c r="AV1132" s="89"/>
      <c r="AW1132" s="89"/>
      <c r="AX1132" s="89"/>
      <c r="AY1132" s="89"/>
      <c r="AZ1132" s="89"/>
      <c r="BA1132" s="95"/>
    </row>
    <row r="1133" spans="1:53" s="87" customFormat="1">
      <c r="A1133" s="374" t="str">
        <f t="shared" si="65"/>
        <v/>
      </c>
      <c r="B1133" s="89">
        <v>11</v>
      </c>
      <c r="C1133" s="89">
        <v>2</v>
      </c>
      <c r="D1133" s="89" t="s">
        <v>210</v>
      </c>
      <c r="E1133" s="89">
        <v>3</v>
      </c>
      <c r="F1133" s="89">
        <v>-6</v>
      </c>
      <c r="G1133" s="89" t="s">
        <v>210</v>
      </c>
      <c r="H1133" s="89">
        <v>-4</v>
      </c>
      <c r="I1133" s="89" t="s">
        <v>210</v>
      </c>
      <c r="J1133" s="89"/>
      <c r="K1133" s="89"/>
      <c r="L1133" s="89"/>
      <c r="M1133" s="89"/>
      <c r="N1133" s="89"/>
      <c r="O1133" s="89"/>
      <c r="P1133" s="89"/>
      <c r="Q1133" s="89"/>
      <c r="R1133" s="89"/>
      <c r="S1133" s="89"/>
      <c r="T1133" s="89"/>
      <c r="U1133" s="89"/>
      <c r="V1133" s="89"/>
      <c r="W1133" s="89"/>
      <c r="X1133" s="89"/>
      <c r="Y1133" s="89"/>
      <c r="Z1133" s="89"/>
      <c r="AA1133" s="89"/>
      <c r="AB1133" s="89"/>
      <c r="AC1133" s="89"/>
      <c r="AD1133" s="89"/>
      <c r="AE1133" s="89"/>
      <c r="AF1133" s="89"/>
      <c r="AG1133" s="89"/>
      <c r="AH1133" s="89"/>
      <c r="AI1133" s="89"/>
      <c r="AJ1133" s="89"/>
      <c r="AK1133" s="89"/>
      <c r="AL1133" s="89"/>
      <c r="AM1133" s="89"/>
      <c r="AN1133" s="89"/>
      <c r="AO1133" s="89"/>
      <c r="AP1133" s="89"/>
      <c r="AQ1133" s="89"/>
      <c r="AR1133" s="89"/>
      <c r="AS1133" s="89"/>
      <c r="AT1133" s="89"/>
      <c r="AU1133" s="89"/>
      <c r="AV1133" s="89"/>
      <c r="AW1133" s="89"/>
      <c r="AX1133" s="89"/>
      <c r="AY1133" s="89"/>
      <c r="AZ1133" s="89"/>
      <c r="BA1133" s="95"/>
    </row>
    <row r="1134" spans="1:53" s="87" customFormat="1">
      <c r="A1134" s="374" t="str">
        <f t="shared" si="65"/>
        <v/>
      </c>
      <c r="B1134" s="89">
        <v>12</v>
      </c>
      <c r="C1134" s="89" t="s">
        <v>210</v>
      </c>
      <c r="D1134" s="89">
        <v>-1</v>
      </c>
      <c r="E1134" s="89" t="s">
        <v>210</v>
      </c>
      <c r="F1134" s="89">
        <v>-5</v>
      </c>
      <c r="G1134" s="89" t="s">
        <v>210</v>
      </c>
      <c r="H1134" s="89">
        <v>4</v>
      </c>
      <c r="I1134" s="89">
        <v>3</v>
      </c>
      <c r="J1134" s="89"/>
      <c r="K1134" s="89"/>
      <c r="L1134" s="89"/>
      <c r="M1134" s="89"/>
      <c r="N1134" s="89"/>
      <c r="O1134" s="89"/>
      <c r="P1134" s="89"/>
      <c r="Q1134" s="89"/>
      <c r="R1134" s="89"/>
      <c r="S1134" s="89"/>
      <c r="T1134" s="89"/>
      <c r="U1134" s="89"/>
      <c r="V1134" s="89"/>
      <c r="W1134" s="89"/>
      <c r="X1134" s="89"/>
      <c r="Y1134" s="89"/>
      <c r="Z1134" s="89"/>
      <c r="AA1134" s="89"/>
      <c r="AB1134" s="89"/>
      <c r="AC1134" s="89"/>
      <c r="AD1134" s="89"/>
      <c r="AE1134" s="89"/>
      <c r="AF1134" s="89"/>
      <c r="AG1134" s="89"/>
      <c r="AH1134" s="89"/>
      <c r="AI1134" s="89"/>
      <c r="AJ1134" s="89"/>
      <c r="AK1134" s="89"/>
      <c r="AL1134" s="89"/>
      <c r="AM1134" s="89"/>
      <c r="AN1134" s="89"/>
      <c r="AO1134" s="89"/>
      <c r="AP1134" s="89"/>
      <c r="AQ1134" s="89"/>
      <c r="AR1134" s="89"/>
      <c r="AS1134" s="89"/>
      <c r="AT1134" s="89"/>
      <c r="AU1134" s="89"/>
      <c r="AV1134" s="89"/>
      <c r="AW1134" s="89"/>
      <c r="AX1134" s="89"/>
      <c r="AY1134" s="89"/>
      <c r="AZ1134" s="89"/>
      <c r="BA1134" s="95"/>
    </row>
    <row r="1135" spans="1:53" s="87" customFormat="1">
      <c r="A1135" s="374" t="str">
        <f t="shared" si="65"/>
        <v/>
      </c>
      <c r="B1135" s="89">
        <v>13</v>
      </c>
      <c r="C1135" s="89" t="s">
        <v>210</v>
      </c>
      <c r="D1135" s="89">
        <v>-2</v>
      </c>
      <c r="E1135" s="89" t="s">
        <v>210</v>
      </c>
      <c r="F1135" s="89">
        <v>6</v>
      </c>
      <c r="G1135" s="89">
        <v>5</v>
      </c>
      <c r="H1135" s="89" t="s">
        <v>210</v>
      </c>
      <c r="I1135" s="89">
        <v>-3</v>
      </c>
      <c r="J1135" s="89"/>
      <c r="K1135" s="89"/>
      <c r="L1135" s="89"/>
      <c r="M1135" s="89"/>
      <c r="N1135" s="89"/>
      <c r="O1135" s="89"/>
      <c r="P1135" s="89"/>
      <c r="Q1135" s="89"/>
      <c r="R1135" s="89"/>
      <c r="S1135" s="89"/>
      <c r="T1135" s="89"/>
      <c r="U1135" s="89"/>
      <c r="V1135" s="89"/>
      <c r="W1135" s="89"/>
      <c r="X1135" s="89"/>
      <c r="Y1135" s="89"/>
      <c r="Z1135" s="89"/>
      <c r="AA1135" s="89"/>
      <c r="AB1135" s="89"/>
      <c r="AC1135" s="89"/>
      <c r="AD1135" s="89"/>
      <c r="AE1135" s="89"/>
      <c r="AF1135" s="89"/>
      <c r="AG1135" s="89"/>
      <c r="AH1135" s="89"/>
      <c r="AI1135" s="89"/>
      <c r="AJ1135" s="89"/>
      <c r="AK1135" s="89"/>
      <c r="AL1135" s="89"/>
      <c r="AM1135" s="89"/>
      <c r="AN1135" s="89"/>
      <c r="AO1135" s="89"/>
      <c r="AP1135" s="89"/>
      <c r="AQ1135" s="89"/>
      <c r="AR1135" s="89"/>
      <c r="AS1135" s="89"/>
      <c r="AT1135" s="89"/>
      <c r="AU1135" s="89"/>
      <c r="AV1135" s="89"/>
      <c r="AW1135" s="89"/>
      <c r="AX1135" s="89"/>
      <c r="AY1135" s="89"/>
      <c r="AZ1135" s="89"/>
      <c r="BA1135" s="95"/>
    </row>
    <row r="1136" spans="1:53" s="87" customFormat="1">
      <c r="A1136" s="374" t="str">
        <f t="shared" si="65"/>
        <v/>
      </c>
      <c r="B1136" s="89">
        <v>14</v>
      </c>
      <c r="C1136" s="89" t="s">
        <v>210</v>
      </c>
      <c r="D1136" s="89">
        <v>2</v>
      </c>
      <c r="E1136" s="89">
        <v>-3</v>
      </c>
      <c r="F1136" s="89">
        <v>5</v>
      </c>
      <c r="G1136" s="89" t="s">
        <v>210</v>
      </c>
      <c r="H1136" s="89">
        <v>-6</v>
      </c>
      <c r="I1136" s="89" t="s">
        <v>210</v>
      </c>
      <c r="J1136" s="89"/>
      <c r="K1136" s="89"/>
      <c r="L1136" s="89"/>
      <c r="M1136" s="89"/>
      <c r="N1136" s="89"/>
      <c r="O1136" s="89"/>
      <c r="P1136" s="89"/>
      <c r="Q1136" s="89"/>
      <c r="R1136" s="89"/>
      <c r="S1136" s="89"/>
      <c r="T1136" s="89"/>
      <c r="U1136" s="89"/>
      <c r="V1136" s="89"/>
      <c r="W1136" s="89"/>
      <c r="X1136" s="89"/>
      <c r="Y1136" s="89"/>
      <c r="Z1136" s="89"/>
      <c r="AA1136" s="89"/>
      <c r="AB1136" s="89"/>
      <c r="AC1136" s="89"/>
      <c r="AD1136" s="89"/>
      <c r="AE1136" s="89"/>
      <c r="AF1136" s="89"/>
      <c r="AG1136" s="89"/>
      <c r="AH1136" s="89"/>
      <c r="AI1136" s="89"/>
      <c r="AJ1136" s="89"/>
      <c r="AK1136" s="89"/>
      <c r="AL1136" s="89"/>
      <c r="AM1136" s="89"/>
      <c r="AN1136" s="89"/>
      <c r="AO1136" s="89"/>
      <c r="AP1136" s="89"/>
      <c r="AQ1136" s="89"/>
      <c r="AR1136" s="89"/>
      <c r="AS1136" s="89"/>
      <c r="AT1136" s="89"/>
      <c r="AU1136" s="89"/>
      <c r="AV1136" s="89"/>
      <c r="AW1136" s="89"/>
      <c r="AX1136" s="89"/>
      <c r="AY1136" s="89"/>
      <c r="AZ1136" s="89"/>
      <c r="BA1136" s="95"/>
    </row>
    <row r="1137" spans="1:53" s="87" customFormat="1">
      <c r="A1137" s="374" t="str">
        <f t="shared" si="65"/>
        <v/>
      </c>
      <c r="B1137" s="99">
        <v>15</v>
      </c>
      <c r="C1137" s="92">
        <v>-2</v>
      </c>
      <c r="D1137" s="92">
        <v>1</v>
      </c>
      <c r="E1137" s="92" t="s">
        <v>210</v>
      </c>
      <c r="F1137" s="92" t="s">
        <v>210</v>
      </c>
      <c r="G1137" s="92">
        <v>-5</v>
      </c>
      <c r="H1137" s="92">
        <v>6</v>
      </c>
      <c r="I1137" s="92" t="s">
        <v>210</v>
      </c>
      <c r="J1137" s="89"/>
      <c r="K1137" s="89"/>
      <c r="L1137" s="89"/>
      <c r="M1137" s="89"/>
      <c r="N1137" s="89"/>
      <c r="O1137" s="89"/>
      <c r="P1137" s="89"/>
      <c r="Q1137" s="89"/>
      <c r="R1137" s="89"/>
      <c r="S1137" s="89"/>
      <c r="T1137" s="89"/>
      <c r="U1137" s="89"/>
      <c r="V1137" s="89"/>
      <c r="W1137" s="89"/>
      <c r="X1137" s="89"/>
      <c r="Y1137" s="89"/>
      <c r="Z1137" s="89"/>
      <c r="AA1137" s="89"/>
      <c r="AB1137" s="89"/>
      <c r="AC1137" s="89"/>
      <c r="AD1137" s="89"/>
      <c r="AE1137" s="89"/>
      <c r="AF1137" s="89"/>
      <c r="AG1137" s="89"/>
      <c r="AH1137" s="89"/>
      <c r="AI1137" s="89"/>
      <c r="AJ1137" s="89"/>
      <c r="AK1137" s="89"/>
      <c r="AL1137" s="89"/>
      <c r="AM1137" s="89"/>
      <c r="AN1137" s="89"/>
      <c r="AO1137" s="89"/>
      <c r="AP1137" s="89"/>
      <c r="AQ1137" s="89"/>
      <c r="AR1137" s="89"/>
      <c r="AS1137" s="89"/>
      <c r="AT1137" s="89"/>
      <c r="AU1137" s="89"/>
      <c r="AV1137" s="89"/>
      <c r="AW1137" s="89"/>
      <c r="AX1137" s="89"/>
      <c r="AY1137" s="89"/>
      <c r="AZ1137" s="89"/>
      <c r="BA1137" s="95"/>
    </row>
    <row r="1138" spans="1:53" s="87" customFormat="1">
      <c r="A1138" s="374" t="str">
        <f t="shared" si="65"/>
        <v/>
      </c>
      <c r="B1138" s="89">
        <v>16</v>
      </c>
      <c r="C1138" s="89">
        <v>-4</v>
      </c>
      <c r="D1138" s="89" t="s">
        <v>210</v>
      </c>
      <c r="E1138" s="89">
        <v>-1</v>
      </c>
      <c r="F1138" s="89">
        <v>3</v>
      </c>
      <c r="G1138" s="89" t="s">
        <v>210</v>
      </c>
      <c r="H1138" s="89">
        <v>5</v>
      </c>
      <c r="I1138" s="89" t="s">
        <v>210</v>
      </c>
      <c r="J1138" s="89"/>
      <c r="K1138" s="89"/>
      <c r="L1138" s="89"/>
      <c r="M1138" s="89"/>
      <c r="N1138" s="89"/>
      <c r="O1138" s="89"/>
      <c r="P1138" s="89"/>
      <c r="Q1138" s="89"/>
      <c r="R1138" s="89"/>
      <c r="S1138" s="89"/>
      <c r="T1138" s="89"/>
      <c r="U1138" s="89"/>
      <c r="V1138" s="89"/>
      <c r="W1138" s="89"/>
      <c r="X1138" s="89"/>
      <c r="Y1138" s="89"/>
      <c r="Z1138" s="89"/>
      <c r="AA1138" s="89"/>
      <c r="AB1138" s="89"/>
      <c r="AC1138" s="89"/>
      <c r="AD1138" s="89"/>
      <c r="AE1138" s="89"/>
      <c r="AF1138" s="89"/>
      <c r="AG1138" s="89"/>
      <c r="AH1138" s="89"/>
      <c r="AI1138" s="89"/>
      <c r="AJ1138" s="89"/>
      <c r="AK1138" s="89"/>
      <c r="AL1138" s="89"/>
      <c r="AM1138" s="89"/>
      <c r="AN1138" s="89"/>
      <c r="AO1138" s="89"/>
      <c r="AP1138" s="89"/>
      <c r="AQ1138" s="89"/>
      <c r="AR1138" s="89"/>
      <c r="AS1138" s="89"/>
      <c r="AT1138" s="89"/>
      <c r="AU1138" s="89"/>
      <c r="AV1138" s="89"/>
      <c r="AW1138" s="89"/>
      <c r="AX1138" s="89"/>
      <c r="AY1138" s="89"/>
      <c r="AZ1138" s="89"/>
      <c r="BA1138" s="95"/>
    </row>
    <row r="1139" spans="1:53" s="87" customFormat="1">
      <c r="A1139" s="374" t="str">
        <f t="shared" si="65"/>
        <v/>
      </c>
      <c r="B1139" s="89">
        <v>17</v>
      </c>
      <c r="C1139" s="89">
        <v>6</v>
      </c>
      <c r="D1139" s="89" t="s">
        <v>210</v>
      </c>
      <c r="E1139" s="89">
        <v>2</v>
      </c>
      <c r="F1139" s="89" t="s">
        <v>210</v>
      </c>
      <c r="G1139" s="89">
        <v>-3</v>
      </c>
      <c r="H1139" s="89">
        <v>-5</v>
      </c>
      <c r="I1139" s="89" t="s">
        <v>210</v>
      </c>
      <c r="J1139" s="89"/>
      <c r="K1139" s="89"/>
      <c r="L1139" s="89"/>
      <c r="M1139" s="89"/>
      <c r="N1139" s="89"/>
      <c r="O1139" s="89"/>
      <c r="P1139" s="89"/>
      <c r="Q1139" s="89"/>
      <c r="R1139" s="89"/>
      <c r="S1139" s="89"/>
      <c r="T1139" s="89"/>
      <c r="U1139" s="89"/>
      <c r="V1139" s="89"/>
      <c r="W1139" s="89"/>
      <c r="X1139" s="89"/>
      <c r="Y1139" s="89"/>
      <c r="Z1139" s="89"/>
      <c r="AA1139" s="89"/>
      <c r="AB1139" s="89"/>
      <c r="AC1139" s="89"/>
      <c r="AD1139" s="89"/>
      <c r="AE1139" s="89"/>
      <c r="AF1139" s="89"/>
      <c r="AG1139" s="89"/>
      <c r="AH1139" s="89"/>
      <c r="AI1139" s="89"/>
      <c r="AJ1139" s="89"/>
      <c r="AK1139" s="89"/>
      <c r="AL1139" s="89"/>
      <c r="AM1139" s="89"/>
      <c r="AN1139" s="89"/>
      <c r="AO1139" s="89"/>
      <c r="AP1139" s="89"/>
      <c r="AQ1139" s="89"/>
      <c r="AR1139" s="89"/>
      <c r="AS1139" s="89"/>
      <c r="AT1139" s="89"/>
      <c r="AU1139" s="89"/>
      <c r="AV1139" s="89"/>
      <c r="AW1139" s="89"/>
      <c r="AX1139" s="89"/>
      <c r="AY1139" s="89"/>
      <c r="AZ1139" s="89"/>
      <c r="BA1139" s="95"/>
    </row>
    <row r="1140" spans="1:53" s="87" customFormat="1">
      <c r="A1140" s="374" t="str">
        <f t="shared" si="65"/>
        <v/>
      </c>
      <c r="B1140" s="89">
        <v>18</v>
      </c>
      <c r="C1140" s="89" t="s">
        <v>210</v>
      </c>
      <c r="D1140" s="89">
        <v>-4</v>
      </c>
      <c r="E1140" s="89">
        <v>1</v>
      </c>
      <c r="F1140" s="89" t="s">
        <v>210</v>
      </c>
      <c r="G1140" s="89">
        <v>3</v>
      </c>
      <c r="H1140" s="89" t="s">
        <v>210</v>
      </c>
      <c r="I1140" s="89">
        <v>-5</v>
      </c>
      <c r="J1140" s="89"/>
      <c r="K1140" s="89"/>
      <c r="L1140" s="89"/>
      <c r="M1140" s="89"/>
      <c r="N1140" s="89"/>
      <c r="O1140" s="89"/>
      <c r="P1140" s="89"/>
      <c r="Q1140" s="89"/>
      <c r="R1140" s="89"/>
      <c r="S1140" s="89"/>
      <c r="T1140" s="89"/>
      <c r="U1140" s="89"/>
      <c r="V1140" s="89"/>
      <c r="W1140" s="89"/>
      <c r="X1140" s="89"/>
      <c r="Y1140" s="89"/>
      <c r="Z1140" s="89"/>
      <c r="AA1140" s="89"/>
      <c r="AB1140" s="89"/>
      <c r="AC1140" s="89"/>
      <c r="AD1140" s="89"/>
      <c r="AE1140" s="89"/>
      <c r="AF1140" s="89"/>
      <c r="AG1140" s="89"/>
      <c r="AH1140" s="89"/>
      <c r="AI1140" s="89"/>
      <c r="AJ1140" s="89"/>
      <c r="AK1140" s="89"/>
      <c r="AL1140" s="89"/>
      <c r="AM1140" s="89"/>
      <c r="AN1140" s="89"/>
      <c r="AO1140" s="89"/>
      <c r="AP1140" s="89"/>
      <c r="AQ1140" s="89"/>
      <c r="AR1140" s="89"/>
      <c r="AS1140" s="89"/>
      <c r="AT1140" s="89"/>
      <c r="AU1140" s="89"/>
      <c r="AV1140" s="89"/>
      <c r="AW1140" s="89"/>
      <c r="AX1140" s="89"/>
      <c r="AY1140" s="89"/>
      <c r="AZ1140" s="89"/>
      <c r="BA1140" s="95"/>
    </row>
    <row r="1141" spans="1:53" s="87" customFormat="1">
      <c r="A1141" s="374" t="str">
        <f t="shared" si="65"/>
        <v/>
      </c>
      <c r="B1141" s="89">
        <v>19</v>
      </c>
      <c r="C1141" s="89">
        <v>4</v>
      </c>
      <c r="D1141" s="89" t="s">
        <v>210</v>
      </c>
      <c r="E1141" s="89">
        <v>-2</v>
      </c>
      <c r="F1141" s="89" t="s">
        <v>210</v>
      </c>
      <c r="G1141" s="89">
        <v>-1</v>
      </c>
      <c r="H1141" s="89" t="s">
        <v>210</v>
      </c>
      <c r="I1141" s="89">
        <v>5</v>
      </c>
      <c r="J1141" s="89"/>
      <c r="K1141" s="89"/>
      <c r="L1141" s="89"/>
      <c r="M1141" s="89"/>
      <c r="N1141" s="89"/>
      <c r="O1141" s="89"/>
      <c r="P1141" s="89"/>
      <c r="Q1141" s="89"/>
      <c r="R1141" s="89"/>
      <c r="S1141" s="89"/>
      <c r="T1141" s="89"/>
      <c r="U1141" s="89"/>
      <c r="V1141" s="89"/>
      <c r="W1141" s="89"/>
      <c r="X1141" s="89"/>
      <c r="Y1141" s="89"/>
      <c r="Z1141" s="89"/>
      <c r="AA1141" s="89"/>
      <c r="AB1141" s="89"/>
      <c r="AC1141" s="89"/>
      <c r="AD1141" s="89"/>
      <c r="AE1141" s="89"/>
      <c r="AF1141" s="89"/>
      <c r="AG1141" s="89"/>
      <c r="AH1141" s="89"/>
      <c r="AI1141" s="89"/>
      <c r="AJ1141" s="89"/>
      <c r="AK1141" s="89"/>
      <c r="AL1141" s="89"/>
      <c r="AM1141" s="89"/>
      <c r="AN1141" s="89"/>
      <c r="AO1141" s="89"/>
      <c r="AP1141" s="89"/>
      <c r="AQ1141" s="89"/>
      <c r="AR1141" s="89"/>
      <c r="AS1141" s="89"/>
      <c r="AT1141" s="89"/>
      <c r="AU1141" s="89"/>
      <c r="AV1141" s="89"/>
      <c r="AW1141" s="89"/>
      <c r="AX1141" s="89"/>
      <c r="AY1141" s="89"/>
      <c r="AZ1141" s="89"/>
      <c r="BA1141" s="95"/>
    </row>
    <row r="1142" spans="1:53" s="87" customFormat="1">
      <c r="A1142" s="374" t="str">
        <f t="shared" si="65"/>
        <v/>
      </c>
      <c r="B1142" s="89">
        <v>20</v>
      </c>
      <c r="C1142" s="89">
        <v>-6</v>
      </c>
      <c r="D1142" s="89">
        <v>4</v>
      </c>
      <c r="E1142" s="89" t="s">
        <v>210</v>
      </c>
      <c r="F1142" s="89">
        <v>-3</v>
      </c>
      <c r="G1142" s="89">
        <v>1</v>
      </c>
      <c r="H1142" s="89" t="s">
        <v>210</v>
      </c>
      <c r="I1142" s="89" t="s">
        <v>210</v>
      </c>
      <c r="J1142" s="89"/>
      <c r="K1142" s="89"/>
      <c r="L1142" s="89"/>
      <c r="M1142" s="89"/>
      <c r="N1142" s="89"/>
      <c r="O1142" s="89"/>
      <c r="P1142" s="89"/>
      <c r="Q1142" s="89"/>
      <c r="R1142" s="89"/>
      <c r="S1142" s="89"/>
      <c r="T1142" s="89"/>
      <c r="U1142" s="89"/>
      <c r="V1142" s="89"/>
      <c r="W1142" s="89"/>
      <c r="X1142" s="89"/>
      <c r="Y1142" s="89"/>
      <c r="Z1142" s="89"/>
      <c r="AA1142" s="89"/>
      <c r="AB1142" s="89"/>
      <c r="AC1142" s="89"/>
      <c r="AD1142" s="89"/>
      <c r="AE1142" s="89"/>
      <c r="AF1142" s="89"/>
      <c r="AG1142" s="89"/>
      <c r="AH1142" s="89"/>
      <c r="AI1142" s="89"/>
      <c r="AJ1142" s="89"/>
      <c r="AK1142" s="89"/>
      <c r="AL1142" s="89"/>
      <c r="AM1142" s="89"/>
      <c r="AN1142" s="89"/>
      <c r="AO1142" s="89"/>
      <c r="AP1142" s="89"/>
      <c r="AQ1142" s="89"/>
      <c r="AR1142" s="89"/>
      <c r="AS1142" s="89"/>
      <c r="AT1142" s="89"/>
      <c r="AU1142" s="89"/>
      <c r="AV1142" s="89"/>
      <c r="AW1142" s="89"/>
      <c r="AX1142" s="89"/>
      <c r="AY1142" s="89"/>
      <c r="AZ1142" s="89"/>
      <c r="BA1142" s="95"/>
    </row>
    <row r="1143" spans="1:53" s="87" customFormat="1">
      <c r="A1143" s="374" t="str">
        <f t="shared" si="65"/>
        <v/>
      </c>
      <c r="B1143" s="272" t="s">
        <v>831</v>
      </c>
      <c r="C1143" s="89"/>
      <c r="D1143" s="89"/>
      <c r="E1143" s="89"/>
      <c r="F1143" s="89"/>
      <c r="G1143" s="89"/>
      <c r="H1143" s="89"/>
      <c r="I1143" s="89"/>
      <c r="J1143" s="89"/>
      <c r="K1143" s="89"/>
      <c r="L1143" s="89"/>
      <c r="M1143" s="89"/>
      <c r="N1143" s="89"/>
      <c r="O1143" s="89"/>
      <c r="P1143" s="89"/>
      <c r="Q1143" s="89"/>
      <c r="R1143" s="89"/>
      <c r="S1143" s="89"/>
      <c r="T1143" s="89"/>
      <c r="U1143" s="89"/>
      <c r="V1143" s="89"/>
      <c r="W1143" s="89"/>
      <c r="X1143" s="89"/>
      <c r="Y1143" s="89"/>
      <c r="Z1143" s="89"/>
      <c r="AA1143" s="89"/>
      <c r="AB1143" s="89"/>
      <c r="AC1143" s="89"/>
      <c r="AD1143" s="89"/>
      <c r="AE1143" s="89"/>
      <c r="AF1143" s="89"/>
      <c r="AG1143" s="89"/>
      <c r="AH1143" s="89"/>
      <c r="AI1143" s="89"/>
      <c r="AJ1143" s="89"/>
      <c r="AK1143" s="89"/>
      <c r="AL1143" s="89"/>
      <c r="AM1143" s="89"/>
      <c r="AN1143" s="89"/>
      <c r="AO1143" s="89"/>
      <c r="AP1143" s="89"/>
      <c r="AQ1143" s="89"/>
      <c r="AR1143" s="89"/>
      <c r="AS1143" s="89"/>
      <c r="AT1143" s="89"/>
      <c r="AU1143" s="89"/>
      <c r="AV1143" s="89"/>
      <c r="AW1143" s="89"/>
      <c r="AX1143" s="89"/>
      <c r="AY1143" s="89"/>
      <c r="AZ1143" s="89"/>
      <c r="BA1143" s="95"/>
    </row>
    <row r="1144" spans="1:53" s="87" customFormat="1">
      <c r="A1144" s="374">
        <f t="shared" si="65"/>
        <v>1144</v>
      </c>
      <c r="B1144" s="89" t="s">
        <v>835</v>
      </c>
      <c r="C1144" s="89"/>
      <c r="D1144" s="89"/>
      <c r="E1144" s="89"/>
      <c r="F1144" s="89"/>
      <c r="G1144" s="89"/>
      <c r="H1144" s="89"/>
      <c r="I1144" s="89"/>
      <c r="J1144" s="89"/>
      <c r="K1144" s="89"/>
      <c r="L1144" s="89"/>
      <c r="M1144" s="89"/>
      <c r="N1144" s="89"/>
      <c r="O1144" s="89"/>
      <c r="P1144" s="89"/>
      <c r="Q1144" s="89"/>
      <c r="R1144" s="89"/>
      <c r="S1144" s="89"/>
      <c r="T1144" s="89"/>
      <c r="U1144" s="89"/>
      <c r="V1144" s="89"/>
      <c r="W1144" s="89"/>
      <c r="X1144" s="89"/>
      <c r="Y1144" s="89"/>
      <c r="Z1144" s="89"/>
      <c r="AA1144" s="89"/>
      <c r="AB1144" s="89"/>
      <c r="AC1144" s="89"/>
      <c r="AD1144" s="89"/>
      <c r="AE1144" s="89"/>
      <c r="AF1144" s="89"/>
      <c r="AG1144" s="89"/>
      <c r="AH1144" s="89"/>
      <c r="AI1144" s="89"/>
      <c r="AJ1144" s="89"/>
      <c r="AK1144" s="89"/>
      <c r="AL1144" s="89"/>
      <c r="AM1144" s="89"/>
      <c r="AN1144" s="89"/>
      <c r="AO1144" s="89"/>
      <c r="AP1144" s="89"/>
      <c r="AQ1144" s="89"/>
      <c r="AR1144" s="89"/>
      <c r="AS1144" s="89"/>
      <c r="AT1144" s="89"/>
      <c r="AU1144" s="89"/>
      <c r="AV1144" s="89"/>
      <c r="AW1144" s="89"/>
      <c r="AX1144" s="89"/>
      <c r="AY1144" s="89"/>
      <c r="AZ1144" s="89"/>
      <c r="BA1144" s="95"/>
    </row>
    <row r="1145" spans="1:53" s="87" customFormat="1">
      <c r="A1145" s="374" t="str">
        <f t="shared" si="65"/>
        <v/>
      </c>
      <c r="B1145" s="89">
        <v>1</v>
      </c>
      <c r="C1145" s="89">
        <v>-2</v>
      </c>
      <c r="D1145" s="89" t="s">
        <v>210</v>
      </c>
      <c r="E1145" s="89" t="s">
        <v>210</v>
      </c>
      <c r="F1145" s="89">
        <v>5</v>
      </c>
      <c r="G1145" s="89">
        <v>-3</v>
      </c>
      <c r="H1145" s="89" t="s">
        <v>210</v>
      </c>
      <c r="I1145" s="89" t="s">
        <v>210</v>
      </c>
      <c r="J1145" s="89">
        <v>4</v>
      </c>
      <c r="K1145" s="89">
        <v>3</v>
      </c>
      <c r="L1145" s="89" t="s">
        <v>210</v>
      </c>
      <c r="M1145" s="89"/>
      <c r="N1145" s="89"/>
      <c r="O1145" s="89"/>
      <c r="P1145" s="89"/>
      <c r="Q1145" s="89"/>
      <c r="R1145" s="89"/>
      <c r="S1145" s="89"/>
      <c r="T1145" s="89"/>
      <c r="U1145" s="89"/>
      <c r="V1145" s="89"/>
      <c r="W1145" s="89"/>
      <c r="X1145" s="89"/>
      <c r="Y1145" s="89"/>
      <c r="Z1145" s="89"/>
      <c r="AA1145" s="89"/>
      <c r="AB1145" s="89"/>
      <c r="AC1145" s="89"/>
      <c r="AD1145" s="89"/>
      <c r="AE1145" s="89"/>
      <c r="AF1145" s="89"/>
      <c r="AG1145" s="89"/>
      <c r="AH1145" s="89"/>
      <c r="AI1145" s="89"/>
      <c r="AJ1145" s="89"/>
      <c r="AK1145" s="89"/>
      <c r="AL1145" s="89"/>
      <c r="AM1145" s="89"/>
      <c r="AN1145" s="89"/>
      <c r="AO1145" s="89"/>
      <c r="AP1145" s="89"/>
      <c r="AQ1145" s="89"/>
      <c r="AR1145" s="89"/>
      <c r="AS1145" s="89"/>
      <c r="AT1145" s="89"/>
      <c r="AU1145" s="89"/>
      <c r="AV1145" s="89"/>
      <c r="AW1145" s="89"/>
      <c r="AX1145" s="89"/>
      <c r="AY1145" s="89"/>
      <c r="AZ1145" s="89"/>
      <c r="BA1145" s="95"/>
    </row>
    <row r="1146" spans="1:53" s="87" customFormat="1">
      <c r="A1146" s="374" t="str">
        <f t="shared" si="65"/>
        <v/>
      </c>
      <c r="B1146" s="89">
        <v>2</v>
      </c>
      <c r="C1146" s="89">
        <v>-5</v>
      </c>
      <c r="D1146" s="89" t="s">
        <v>210</v>
      </c>
      <c r="E1146" s="89" t="s">
        <v>210</v>
      </c>
      <c r="F1146" s="89">
        <v>-6</v>
      </c>
      <c r="G1146" s="89">
        <v>2</v>
      </c>
      <c r="H1146" s="89" t="s">
        <v>210</v>
      </c>
      <c r="I1146" s="89" t="s">
        <v>210</v>
      </c>
      <c r="J1146" s="89">
        <v>1</v>
      </c>
      <c r="K1146" s="89">
        <v>-3</v>
      </c>
      <c r="L1146" s="89" t="s">
        <v>210</v>
      </c>
      <c r="M1146" s="89"/>
      <c r="N1146" s="89"/>
      <c r="O1146" s="89"/>
      <c r="P1146" s="89"/>
      <c r="Q1146" s="89"/>
      <c r="R1146" s="89"/>
      <c r="S1146" s="89"/>
      <c r="T1146" s="89"/>
      <c r="U1146" s="89"/>
      <c r="V1146" s="89"/>
      <c r="W1146" s="89"/>
      <c r="X1146" s="89"/>
      <c r="Y1146" s="89"/>
      <c r="Z1146" s="89"/>
      <c r="AA1146" s="89"/>
      <c r="AB1146" s="89"/>
      <c r="AC1146" s="89"/>
      <c r="AD1146" s="89"/>
      <c r="AE1146" s="89"/>
      <c r="AF1146" s="89"/>
      <c r="AG1146" s="89"/>
      <c r="AH1146" s="89"/>
      <c r="AI1146" s="89"/>
      <c r="AJ1146" s="89"/>
      <c r="AK1146" s="89"/>
      <c r="AL1146" s="89"/>
      <c r="AM1146" s="89"/>
      <c r="AN1146" s="89"/>
      <c r="AO1146" s="89"/>
      <c r="AP1146" s="89"/>
      <c r="AQ1146" s="89"/>
      <c r="AR1146" s="89"/>
      <c r="AS1146" s="89"/>
      <c r="AT1146" s="89"/>
      <c r="AU1146" s="89"/>
      <c r="AV1146" s="89"/>
      <c r="AW1146" s="89"/>
      <c r="AX1146" s="89"/>
      <c r="AY1146" s="89"/>
      <c r="AZ1146" s="89"/>
      <c r="BA1146" s="95"/>
    </row>
    <row r="1147" spans="1:53" s="87" customFormat="1">
      <c r="A1147" s="374" t="str">
        <f t="shared" si="65"/>
        <v/>
      </c>
      <c r="B1147" s="89">
        <v>3</v>
      </c>
      <c r="C1147" s="89">
        <v>-4</v>
      </c>
      <c r="D1147" s="89" t="s">
        <v>210</v>
      </c>
      <c r="E1147" s="89" t="s">
        <v>210</v>
      </c>
      <c r="F1147" s="89">
        <v>6</v>
      </c>
      <c r="G1147" s="89">
        <v>3</v>
      </c>
      <c r="H1147" s="89" t="s">
        <v>210</v>
      </c>
      <c r="I1147" s="89" t="s">
        <v>210</v>
      </c>
      <c r="J1147" s="89">
        <v>-2</v>
      </c>
      <c r="K1147" s="89">
        <v>4</v>
      </c>
      <c r="L1147" s="89" t="s">
        <v>210</v>
      </c>
      <c r="M1147" s="89"/>
      <c r="N1147" s="89"/>
      <c r="O1147" s="89"/>
      <c r="P1147" s="89"/>
      <c r="Q1147" s="89"/>
      <c r="R1147" s="89"/>
      <c r="S1147" s="89"/>
      <c r="T1147" s="89"/>
      <c r="U1147" s="89"/>
      <c r="V1147" s="89"/>
      <c r="W1147" s="89"/>
      <c r="X1147" s="89"/>
      <c r="Y1147" s="89"/>
      <c r="Z1147" s="89"/>
      <c r="AA1147" s="89"/>
      <c r="AB1147" s="89"/>
      <c r="AC1147" s="89"/>
      <c r="AD1147" s="89"/>
      <c r="AE1147" s="89"/>
      <c r="AF1147" s="89"/>
      <c r="AG1147" s="89"/>
      <c r="AH1147" s="89"/>
      <c r="AI1147" s="89"/>
      <c r="AJ1147" s="89"/>
      <c r="AK1147" s="89"/>
      <c r="AL1147" s="89"/>
      <c r="AM1147" s="89"/>
      <c r="AN1147" s="89"/>
      <c r="AO1147" s="89"/>
      <c r="AP1147" s="89"/>
      <c r="AQ1147" s="89"/>
      <c r="AR1147" s="89"/>
      <c r="AS1147" s="89"/>
      <c r="AT1147" s="89"/>
      <c r="AU1147" s="89"/>
      <c r="AV1147" s="89"/>
      <c r="AW1147" s="89"/>
      <c r="AX1147" s="89"/>
      <c r="AY1147" s="89"/>
      <c r="AZ1147" s="89"/>
      <c r="BA1147" s="95"/>
    </row>
    <row r="1148" spans="1:53" s="87" customFormat="1">
      <c r="A1148" s="374" t="str">
        <f t="shared" si="65"/>
        <v/>
      </c>
      <c r="B1148" s="89">
        <v>4</v>
      </c>
      <c r="C1148" s="89">
        <v>2</v>
      </c>
      <c r="D1148" s="276" t="s">
        <v>210</v>
      </c>
      <c r="E1148" s="89" t="s">
        <v>210</v>
      </c>
      <c r="F1148" s="89">
        <v>-3</v>
      </c>
      <c r="G1148" s="89">
        <v>5</v>
      </c>
      <c r="H1148" s="89" t="s">
        <v>210</v>
      </c>
      <c r="I1148" s="89" t="s">
        <v>210</v>
      </c>
      <c r="J1148" s="89">
        <v>-1</v>
      </c>
      <c r="K1148" s="89">
        <v>-4</v>
      </c>
      <c r="L1148" s="89" t="s">
        <v>210</v>
      </c>
      <c r="M1148" s="89"/>
      <c r="N1148" s="89"/>
      <c r="O1148" s="89"/>
      <c r="P1148" s="89"/>
      <c r="Q1148" s="89"/>
      <c r="R1148" s="89"/>
      <c r="S1148" s="89"/>
      <c r="T1148" s="89"/>
      <c r="U1148" s="89"/>
      <c r="V1148" s="89"/>
      <c r="W1148" s="89"/>
      <c r="X1148" s="89"/>
      <c r="Y1148" s="89"/>
      <c r="Z1148" s="89"/>
      <c r="AA1148" s="89"/>
      <c r="AB1148" s="89"/>
      <c r="AC1148" s="89"/>
      <c r="AD1148" s="89"/>
      <c r="AE1148" s="89"/>
      <c r="AF1148" s="89"/>
      <c r="AG1148" s="89"/>
      <c r="AH1148" s="89"/>
      <c r="AI1148" s="89"/>
      <c r="AJ1148" s="89"/>
      <c r="AK1148" s="89"/>
      <c r="AL1148" s="89"/>
      <c r="AM1148" s="89"/>
      <c r="AN1148" s="89"/>
      <c r="AO1148" s="89"/>
      <c r="AP1148" s="89"/>
      <c r="AQ1148" s="89"/>
      <c r="AR1148" s="89"/>
      <c r="AS1148" s="89"/>
      <c r="AT1148" s="89"/>
      <c r="AU1148" s="89"/>
      <c r="AV1148" s="89"/>
      <c r="AW1148" s="89"/>
      <c r="AX1148" s="89"/>
      <c r="AY1148" s="89"/>
      <c r="AZ1148" s="89"/>
      <c r="BA1148" s="95"/>
    </row>
    <row r="1149" spans="1:53" s="87" customFormat="1">
      <c r="A1149" s="374" t="str">
        <f t="shared" si="65"/>
        <v/>
      </c>
      <c r="B1149" s="99">
        <v>5</v>
      </c>
      <c r="C1149" s="92">
        <v>4</v>
      </c>
      <c r="D1149" s="92" t="s">
        <v>210</v>
      </c>
      <c r="E1149" s="92" t="s">
        <v>210</v>
      </c>
      <c r="F1149" s="92">
        <v>3</v>
      </c>
      <c r="G1149" s="92">
        <v>-2</v>
      </c>
      <c r="H1149" s="92" t="s">
        <v>210</v>
      </c>
      <c r="I1149" s="92" t="s">
        <v>210</v>
      </c>
      <c r="J1149" s="92">
        <v>-4</v>
      </c>
      <c r="K1149" s="92">
        <v>1</v>
      </c>
      <c r="L1149" s="92" t="s">
        <v>210</v>
      </c>
      <c r="M1149" s="89"/>
      <c r="N1149" s="89"/>
      <c r="O1149" s="89"/>
      <c r="P1149" s="89"/>
      <c r="Q1149" s="89"/>
      <c r="R1149" s="89"/>
      <c r="S1149" s="89"/>
      <c r="T1149" s="89"/>
      <c r="U1149" s="89"/>
      <c r="V1149" s="89"/>
      <c r="W1149" s="89"/>
      <c r="X1149" s="89"/>
      <c r="Y1149" s="89"/>
      <c r="Z1149" s="89"/>
      <c r="AA1149" s="89"/>
      <c r="AB1149" s="89"/>
      <c r="AC1149" s="89"/>
      <c r="AD1149" s="89"/>
      <c r="AE1149" s="89"/>
      <c r="AF1149" s="89"/>
      <c r="AG1149" s="89"/>
      <c r="AH1149" s="89"/>
      <c r="AI1149" s="89"/>
      <c r="AJ1149" s="89"/>
      <c r="AK1149" s="89"/>
      <c r="AL1149" s="89"/>
      <c r="AM1149" s="89"/>
      <c r="AN1149" s="89"/>
      <c r="AO1149" s="89"/>
      <c r="AP1149" s="89"/>
      <c r="AQ1149" s="89"/>
      <c r="AR1149" s="89"/>
      <c r="AS1149" s="89"/>
      <c r="AT1149" s="89"/>
      <c r="AU1149" s="89"/>
      <c r="AV1149" s="89"/>
      <c r="AW1149" s="89"/>
      <c r="AX1149" s="89"/>
      <c r="AY1149" s="89"/>
      <c r="AZ1149" s="89"/>
      <c r="BA1149" s="95"/>
    </row>
    <row r="1150" spans="1:53" s="87" customFormat="1">
      <c r="A1150" s="374" t="str">
        <f t="shared" si="65"/>
        <v/>
      </c>
      <c r="B1150" s="89">
        <v>6</v>
      </c>
      <c r="C1150" s="89">
        <v>6</v>
      </c>
      <c r="D1150" s="89" t="s">
        <v>210</v>
      </c>
      <c r="E1150" s="89" t="s">
        <v>210</v>
      </c>
      <c r="F1150" s="89">
        <v>-5</v>
      </c>
      <c r="G1150" s="89">
        <v>-1</v>
      </c>
      <c r="H1150" s="89" t="s">
        <v>210</v>
      </c>
      <c r="I1150" s="89" t="s">
        <v>210</v>
      </c>
      <c r="J1150" s="89">
        <v>5</v>
      </c>
      <c r="K1150" s="89">
        <v>-2</v>
      </c>
      <c r="L1150" s="89" t="s">
        <v>210</v>
      </c>
      <c r="M1150" s="89"/>
      <c r="N1150" s="89"/>
      <c r="O1150" s="89"/>
      <c r="P1150" s="89"/>
      <c r="Q1150" s="89"/>
      <c r="R1150" s="89"/>
      <c r="S1150" s="89"/>
      <c r="T1150" s="89"/>
      <c r="U1150" s="89"/>
      <c r="V1150" s="89"/>
      <c r="W1150" s="89"/>
      <c r="X1150" s="89"/>
      <c r="Y1150" s="89"/>
      <c r="Z1150" s="89"/>
      <c r="AA1150" s="89"/>
      <c r="AB1150" s="89"/>
      <c r="AC1150" s="89"/>
      <c r="AD1150" s="89"/>
      <c r="AE1150" s="89"/>
      <c r="AF1150" s="89"/>
      <c r="AG1150" s="89"/>
      <c r="AH1150" s="89"/>
      <c r="AI1150" s="89"/>
      <c r="AJ1150" s="89"/>
      <c r="AK1150" s="89"/>
      <c r="AL1150" s="89"/>
      <c r="AM1150" s="89"/>
      <c r="AN1150" s="89"/>
      <c r="AO1150" s="89"/>
      <c r="AP1150" s="89"/>
      <c r="AQ1150" s="89"/>
      <c r="AR1150" s="89"/>
      <c r="AS1150" s="89"/>
      <c r="AT1150" s="89"/>
      <c r="AU1150" s="89"/>
      <c r="AV1150" s="89"/>
      <c r="AW1150" s="89"/>
      <c r="AX1150" s="89"/>
      <c r="AY1150" s="89"/>
      <c r="AZ1150" s="89"/>
      <c r="BA1150" s="95"/>
    </row>
    <row r="1151" spans="1:53" s="87" customFormat="1">
      <c r="A1151" s="374" t="str">
        <f t="shared" si="65"/>
        <v/>
      </c>
      <c r="B1151" s="89">
        <v>7</v>
      </c>
      <c r="C1151" s="89">
        <v>5</v>
      </c>
      <c r="D1151" s="276" t="s">
        <v>210</v>
      </c>
      <c r="E1151" s="89" t="s">
        <v>210</v>
      </c>
      <c r="F1151" s="89">
        <v>4</v>
      </c>
      <c r="G1151" s="89">
        <v>-6</v>
      </c>
      <c r="H1151" s="89" t="s">
        <v>210</v>
      </c>
      <c r="I1151" s="89" t="s">
        <v>210</v>
      </c>
      <c r="J1151" s="89">
        <v>-3</v>
      </c>
      <c r="K1151" s="89">
        <v>2</v>
      </c>
      <c r="L1151" s="89" t="s">
        <v>210</v>
      </c>
      <c r="M1151" s="89"/>
      <c r="N1151" s="89"/>
      <c r="O1151" s="89"/>
      <c r="P1151" s="89"/>
      <c r="Q1151" s="89"/>
      <c r="R1151" s="89"/>
      <c r="S1151" s="89"/>
      <c r="T1151" s="89"/>
      <c r="U1151" s="89"/>
      <c r="V1151" s="89"/>
      <c r="W1151" s="89"/>
      <c r="X1151" s="89"/>
      <c r="Y1151" s="89"/>
      <c r="Z1151" s="89"/>
      <c r="AA1151" s="89"/>
      <c r="AB1151" s="89"/>
      <c r="AC1151" s="89"/>
      <c r="AD1151" s="89"/>
      <c r="AE1151" s="89"/>
      <c r="AF1151" s="89"/>
      <c r="AG1151" s="89"/>
      <c r="AH1151" s="89"/>
      <c r="AI1151" s="89"/>
      <c r="AJ1151" s="89"/>
      <c r="AK1151" s="89"/>
      <c r="AL1151" s="89"/>
      <c r="AM1151" s="89"/>
      <c r="AN1151" s="89"/>
      <c r="AO1151" s="89"/>
      <c r="AP1151" s="89"/>
      <c r="AQ1151" s="89"/>
      <c r="AR1151" s="89"/>
      <c r="AS1151" s="89"/>
      <c r="AT1151" s="89"/>
      <c r="AU1151" s="89"/>
      <c r="AV1151" s="89"/>
      <c r="AW1151" s="89"/>
      <c r="AX1151" s="89"/>
      <c r="AY1151" s="89"/>
      <c r="AZ1151" s="89"/>
      <c r="BA1151" s="95"/>
    </row>
    <row r="1152" spans="1:53" s="87" customFormat="1">
      <c r="A1152" s="374" t="str">
        <f t="shared" si="65"/>
        <v/>
      </c>
      <c r="B1152" s="89">
        <v>8</v>
      </c>
      <c r="C1152" s="89">
        <v>-3</v>
      </c>
      <c r="D1152" s="276" t="s">
        <v>210</v>
      </c>
      <c r="E1152" s="89" t="s">
        <v>210</v>
      </c>
      <c r="F1152" s="89">
        <v>-4</v>
      </c>
      <c r="G1152" s="89">
        <v>1</v>
      </c>
      <c r="H1152" s="89" t="s">
        <v>210</v>
      </c>
      <c r="I1152" s="89" t="s">
        <v>210</v>
      </c>
      <c r="J1152" s="89">
        <v>2</v>
      </c>
      <c r="K1152" s="89">
        <v>-5</v>
      </c>
      <c r="L1152" s="89" t="s">
        <v>210</v>
      </c>
      <c r="M1152" s="89"/>
      <c r="N1152" s="89"/>
      <c r="O1152" s="89"/>
      <c r="P1152" s="89"/>
      <c r="Q1152" s="89"/>
      <c r="R1152" s="89"/>
      <c r="S1152" s="89"/>
      <c r="T1152" s="89"/>
      <c r="U1152" s="89"/>
      <c r="V1152" s="89"/>
      <c r="W1152" s="89"/>
      <c r="X1152" s="89"/>
      <c r="Y1152" s="89"/>
      <c r="Z1152" s="89"/>
      <c r="AA1152" s="89"/>
      <c r="AB1152" s="89"/>
      <c r="AC1152" s="89"/>
      <c r="AD1152" s="89"/>
      <c r="AE1152" s="89"/>
      <c r="AF1152" s="89"/>
      <c r="AG1152" s="89"/>
      <c r="AH1152" s="89"/>
      <c r="AI1152" s="89"/>
      <c r="AJ1152" s="89"/>
      <c r="AK1152" s="89"/>
      <c r="AL1152" s="89"/>
      <c r="AM1152" s="89"/>
      <c r="AN1152" s="89"/>
      <c r="AO1152" s="89"/>
      <c r="AP1152" s="89"/>
      <c r="AQ1152" s="89"/>
      <c r="AR1152" s="89"/>
      <c r="AS1152" s="89"/>
      <c r="AT1152" s="89"/>
      <c r="AU1152" s="89"/>
      <c r="AV1152" s="89"/>
      <c r="AW1152" s="89"/>
      <c r="AX1152" s="89"/>
      <c r="AY1152" s="89"/>
      <c r="AZ1152" s="89"/>
      <c r="BA1152" s="95"/>
    </row>
    <row r="1153" spans="1:53" s="87" customFormat="1">
      <c r="A1153" s="374" t="str">
        <f t="shared" si="65"/>
        <v/>
      </c>
      <c r="B1153" s="89">
        <v>9</v>
      </c>
      <c r="C1153" s="89">
        <v>-6</v>
      </c>
      <c r="D1153" s="276" t="s">
        <v>210</v>
      </c>
      <c r="E1153" s="89" t="s">
        <v>210</v>
      </c>
      <c r="F1153" s="89">
        <v>2</v>
      </c>
      <c r="G1153" s="89">
        <v>-5</v>
      </c>
      <c r="H1153" s="89" t="s">
        <v>210</v>
      </c>
      <c r="I1153" s="89" t="s">
        <v>210</v>
      </c>
      <c r="J1153" s="89">
        <v>3</v>
      </c>
      <c r="K1153" s="89">
        <v>5</v>
      </c>
      <c r="L1153" s="89" t="s">
        <v>210</v>
      </c>
      <c r="M1153" s="89"/>
      <c r="N1153" s="89"/>
      <c r="O1153" s="89"/>
      <c r="P1153" s="89"/>
      <c r="Q1153" s="89"/>
      <c r="R1153" s="89"/>
      <c r="S1153" s="89"/>
      <c r="T1153" s="89"/>
      <c r="U1153" s="89"/>
      <c r="V1153" s="89"/>
      <c r="W1153" s="89"/>
      <c r="X1153" s="89"/>
      <c r="Y1153" s="89"/>
      <c r="Z1153" s="89"/>
      <c r="AA1153" s="89"/>
      <c r="AB1153" s="89"/>
      <c r="AC1153" s="89"/>
      <c r="AD1153" s="89"/>
      <c r="AE1153" s="89"/>
      <c r="AF1153" s="89"/>
      <c r="AG1153" s="89"/>
      <c r="AH1153" s="89"/>
      <c r="AI1153" s="89"/>
      <c r="AJ1153" s="89"/>
      <c r="AK1153" s="89"/>
      <c r="AL1153" s="89"/>
      <c r="AM1153" s="89"/>
      <c r="AN1153" s="89"/>
      <c r="AO1153" s="89"/>
      <c r="AP1153" s="89"/>
      <c r="AQ1153" s="89"/>
      <c r="AR1153" s="89"/>
      <c r="AS1153" s="89"/>
      <c r="AT1153" s="89"/>
      <c r="AU1153" s="89"/>
      <c r="AV1153" s="89"/>
      <c r="AW1153" s="89"/>
      <c r="AX1153" s="89"/>
      <c r="AY1153" s="89"/>
      <c r="AZ1153" s="89"/>
      <c r="BA1153" s="95"/>
    </row>
    <row r="1154" spans="1:53" s="87" customFormat="1">
      <c r="A1154" s="374" t="str">
        <f t="shared" si="65"/>
        <v/>
      </c>
      <c r="B1154" s="99">
        <v>10</v>
      </c>
      <c r="C1154" s="92">
        <v>3</v>
      </c>
      <c r="D1154" s="92" t="s">
        <v>210</v>
      </c>
      <c r="E1154" s="92" t="s">
        <v>210</v>
      </c>
      <c r="F1154" s="92">
        <v>-2</v>
      </c>
      <c r="G1154" s="92">
        <v>6</v>
      </c>
      <c r="H1154" s="92" t="s">
        <v>210</v>
      </c>
      <c r="I1154" s="92" t="s">
        <v>210</v>
      </c>
      <c r="J1154" s="92">
        <v>-5</v>
      </c>
      <c r="K1154" s="92">
        <v>-1</v>
      </c>
      <c r="L1154" s="92" t="s">
        <v>210</v>
      </c>
      <c r="M1154" s="89"/>
      <c r="N1154" s="89"/>
      <c r="O1154" s="89"/>
      <c r="P1154" s="89"/>
      <c r="Q1154" s="89"/>
      <c r="R1154" s="89"/>
      <c r="S1154" s="89"/>
      <c r="T1154" s="89"/>
      <c r="U1154" s="89"/>
      <c r="V1154" s="89"/>
      <c r="W1154" s="89"/>
      <c r="X1154" s="89"/>
      <c r="Y1154" s="89"/>
      <c r="Z1154" s="89"/>
      <c r="AA1154" s="89"/>
      <c r="AB1154" s="89"/>
      <c r="AC1154" s="89"/>
      <c r="AD1154" s="89"/>
      <c r="AE1154" s="89"/>
      <c r="AF1154" s="89"/>
      <c r="AG1154" s="89"/>
      <c r="AH1154" s="89"/>
      <c r="AI1154" s="89"/>
      <c r="AJ1154" s="89"/>
      <c r="AK1154" s="89"/>
      <c r="AL1154" s="89"/>
      <c r="AM1154" s="89"/>
      <c r="AN1154" s="89"/>
      <c r="AO1154" s="89"/>
      <c r="AP1154" s="89"/>
      <c r="AQ1154" s="89"/>
      <c r="AR1154" s="89"/>
      <c r="AS1154" s="89"/>
      <c r="AT1154" s="89"/>
      <c r="AU1154" s="89"/>
      <c r="AV1154" s="89"/>
      <c r="AW1154" s="89"/>
      <c r="AX1154" s="89"/>
      <c r="AY1154" s="89"/>
      <c r="AZ1154" s="89"/>
      <c r="BA1154" s="95"/>
    </row>
    <row r="1155" spans="1:53" s="87" customFormat="1">
      <c r="A1155" s="374" t="str">
        <f t="shared" si="65"/>
        <v/>
      </c>
      <c r="B1155" s="89">
        <v>11</v>
      </c>
      <c r="C1155" s="89">
        <v>-1</v>
      </c>
      <c r="D1155" s="89" t="s">
        <v>210</v>
      </c>
      <c r="E1155" s="89">
        <v>-5</v>
      </c>
      <c r="F1155" s="89" t="s">
        <v>210</v>
      </c>
      <c r="G1155" s="89" t="s">
        <v>210</v>
      </c>
      <c r="H1155" s="89">
        <v>2</v>
      </c>
      <c r="I1155" s="89">
        <v>4</v>
      </c>
      <c r="J1155" s="89" t="s">
        <v>210</v>
      </c>
      <c r="K1155" s="89" t="s">
        <v>210</v>
      </c>
      <c r="L1155" s="89">
        <v>-2</v>
      </c>
      <c r="M1155" s="89"/>
      <c r="N1155" s="89"/>
      <c r="O1155" s="89"/>
      <c r="P1155" s="89"/>
      <c r="Q1155" s="89"/>
      <c r="R1155" s="89"/>
      <c r="S1155" s="89"/>
      <c r="T1155" s="89"/>
      <c r="U1155" s="89"/>
      <c r="V1155" s="89"/>
      <c r="W1155" s="89"/>
      <c r="X1155" s="89"/>
      <c r="Y1155" s="89"/>
      <c r="Z1155" s="89"/>
      <c r="AA1155" s="89"/>
      <c r="AB1155" s="89"/>
      <c r="AC1155" s="89"/>
      <c r="AD1155" s="89"/>
      <c r="AE1155" s="89"/>
      <c r="AF1155" s="89"/>
      <c r="AG1155" s="89"/>
      <c r="AH1155" s="89"/>
      <c r="AI1155" s="89"/>
      <c r="AJ1155" s="89"/>
      <c r="AK1155" s="89"/>
      <c r="AL1155" s="89"/>
      <c r="AM1155" s="89"/>
      <c r="AN1155" s="89"/>
      <c r="AO1155" s="89"/>
      <c r="AP1155" s="89"/>
      <c r="AQ1155" s="89"/>
      <c r="AR1155" s="89"/>
      <c r="AS1155" s="89"/>
      <c r="AT1155" s="89"/>
      <c r="AU1155" s="89"/>
      <c r="AV1155" s="89"/>
      <c r="AW1155" s="89"/>
      <c r="AX1155" s="89"/>
      <c r="AY1155" s="89"/>
      <c r="AZ1155" s="89"/>
      <c r="BA1155" s="95"/>
    </row>
    <row r="1156" spans="1:53" s="87" customFormat="1">
      <c r="A1156" s="374" t="str">
        <f t="shared" si="65"/>
        <v/>
      </c>
      <c r="B1156" s="89">
        <v>12</v>
      </c>
      <c r="C1156" s="89" t="s">
        <v>210</v>
      </c>
      <c r="D1156" s="89">
        <v>-5</v>
      </c>
      <c r="E1156" s="89">
        <v>-1</v>
      </c>
      <c r="F1156" s="89" t="s">
        <v>210</v>
      </c>
      <c r="G1156" s="89" t="s">
        <v>210</v>
      </c>
      <c r="H1156" s="89">
        <v>3</v>
      </c>
      <c r="I1156" s="89">
        <v>-4</v>
      </c>
      <c r="J1156" s="89" t="s">
        <v>210</v>
      </c>
      <c r="K1156" s="89">
        <v>6</v>
      </c>
      <c r="L1156" s="89" t="s">
        <v>210</v>
      </c>
      <c r="M1156" s="89"/>
      <c r="N1156" s="89"/>
      <c r="O1156" s="89"/>
      <c r="P1156" s="89"/>
      <c r="Q1156" s="89"/>
      <c r="R1156" s="89"/>
      <c r="S1156" s="89"/>
      <c r="T1156" s="89"/>
      <c r="U1156" s="89"/>
      <c r="V1156" s="89"/>
      <c r="W1156" s="89"/>
      <c r="X1156" s="89"/>
      <c r="Y1156" s="89"/>
      <c r="Z1156" s="89"/>
      <c r="AA1156" s="89"/>
      <c r="AB1156" s="89"/>
      <c r="AC1156" s="89"/>
      <c r="AD1156" s="89"/>
      <c r="AE1156" s="89"/>
      <c r="AF1156" s="89"/>
      <c r="AG1156" s="89"/>
      <c r="AH1156" s="89"/>
      <c r="AI1156" s="89"/>
      <c r="AJ1156" s="89"/>
      <c r="AK1156" s="89"/>
      <c r="AL1156" s="89"/>
      <c r="AM1156" s="89"/>
      <c r="AN1156" s="89"/>
      <c r="AO1156" s="89"/>
      <c r="AP1156" s="89"/>
      <c r="AQ1156" s="89"/>
      <c r="AR1156" s="89"/>
      <c r="AS1156" s="89"/>
      <c r="AT1156" s="89"/>
      <c r="AU1156" s="89"/>
      <c r="AV1156" s="89"/>
      <c r="AW1156" s="89"/>
      <c r="AX1156" s="89"/>
      <c r="AY1156" s="89"/>
      <c r="AZ1156" s="89"/>
      <c r="BA1156" s="95"/>
    </row>
    <row r="1157" spans="1:53" s="87" customFormat="1">
      <c r="A1157" s="374" t="str">
        <f t="shared" si="65"/>
        <v/>
      </c>
      <c r="B1157" s="89">
        <v>13</v>
      </c>
      <c r="C1157" s="89" t="s">
        <v>210</v>
      </c>
      <c r="D1157" s="89">
        <v>4</v>
      </c>
      <c r="E1157" s="89">
        <v>1</v>
      </c>
      <c r="F1157" s="89" t="s">
        <v>210</v>
      </c>
      <c r="G1157" s="89">
        <v>-4</v>
      </c>
      <c r="H1157" s="89" t="s">
        <v>210</v>
      </c>
      <c r="I1157" s="89">
        <v>-3</v>
      </c>
      <c r="J1157" s="89" t="s">
        <v>210</v>
      </c>
      <c r="K1157" s="89" t="s">
        <v>210</v>
      </c>
      <c r="L1157" s="89">
        <v>2</v>
      </c>
      <c r="M1157" s="89"/>
      <c r="N1157" s="89"/>
      <c r="O1157" s="89"/>
      <c r="P1157" s="89"/>
      <c r="Q1157" s="89"/>
      <c r="R1157" s="89"/>
      <c r="S1157" s="89"/>
      <c r="T1157" s="89"/>
      <c r="U1157" s="89"/>
      <c r="V1157" s="89"/>
      <c r="W1157" s="89"/>
      <c r="X1157" s="89"/>
      <c r="Y1157" s="89"/>
      <c r="Z1157" s="89"/>
      <c r="AA1157" s="89"/>
      <c r="AB1157" s="89"/>
      <c r="AC1157" s="89"/>
      <c r="AD1157" s="89"/>
      <c r="AE1157" s="89"/>
      <c r="AF1157" s="89"/>
      <c r="AG1157" s="89"/>
      <c r="AH1157" s="89"/>
      <c r="AI1157" s="89"/>
      <c r="AJ1157" s="89"/>
      <c r="AK1157" s="89"/>
      <c r="AL1157" s="89"/>
      <c r="AM1157" s="89"/>
      <c r="AN1157" s="89"/>
      <c r="AO1157" s="89"/>
      <c r="AP1157" s="89"/>
      <c r="AQ1157" s="89"/>
      <c r="AR1157" s="89"/>
      <c r="AS1157" s="89"/>
      <c r="AT1157" s="89"/>
      <c r="AU1157" s="89"/>
      <c r="AV1157" s="89"/>
      <c r="AW1157" s="89"/>
      <c r="AX1157" s="89"/>
      <c r="AY1157" s="89"/>
      <c r="AZ1157" s="89"/>
      <c r="BA1157" s="95"/>
    </row>
    <row r="1158" spans="1:53" s="87" customFormat="1">
      <c r="A1158" s="374" t="str">
        <f t="shared" si="65"/>
        <v/>
      </c>
      <c r="B1158" s="99">
        <v>14</v>
      </c>
      <c r="C1158" s="92" t="s">
        <v>210</v>
      </c>
      <c r="D1158" s="92">
        <v>2</v>
      </c>
      <c r="E1158" s="92">
        <v>5</v>
      </c>
      <c r="F1158" s="92" t="s">
        <v>210</v>
      </c>
      <c r="G1158" s="92" t="s">
        <v>210</v>
      </c>
      <c r="H1158" s="92">
        <v>-1</v>
      </c>
      <c r="I1158" s="92">
        <v>3</v>
      </c>
      <c r="J1158" s="92" t="s">
        <v>210</v>
      </c>
      <c r="K1158" s="92">
        <v>-6</v>
      </c>
      <c r="L1158" s="92" t="s">
        <v>210</v>
      </c>
      <c r="M1158" s="89"/>
      <c r="N1158" s="89"/>
      <c r="O1158" s="89"/>
      <c r="P1158" s="89"/>
      <c r="Q1158" s="89"/>
      <c r="R1158" s="89"/>
      <c r="S1158" s="89"/>
      <c r="T1158" s="89"/>
      <c r="U1158" s="89"/>
      <c r="V1158" s="89"/>
      <c r="W1158" s="89"/>
      <c r="X1158" s="89"/>
      <c r="Y1158" s="89"/>
      <c r="Z1158" s="89"/>
      <c r="AA1158" s="89"/>
      <c r="AB1158" s="89"/>
      <c r="AC1158" s="89"/>
      <c r="AD1158" s="89"/>
      <c r="AE1158" s="89"/>
      <c r="AF1158" s="89"/>
      <c r="AG1158" s="89"/>
      <c r="AH1158" s="89"/>
      <c r="AI1158" s="89"/>
      <c r="AJ1158" s="89"/>
      <c r="AK1158" s="89"/>
      <c r="AL1158" s="89"/>
      <c r="AM1158" s="89"/>
      <c r="AN1158" s="89"/>
      <c r="AO1158" s="89"/>
      <c r="AP1158" s="89"/>
      <c r="AQ1158" s="89"/>
      <c r="AR1158" s="89"/>
      <c r="AS1158" s="89"/>
      <c r="AT1158" s="89"/>
      <c r="AU1158" s="89"/>
      <c r="AV1158" s="89"/>
      <c r="AW1158" s="89"/>
      <c r="AX1158" s="89"/>
      <c r="AY1158" s="89"/>
      <c r="AZ1158" s="89"/>
      <c r="BA1158" s="95"/>
    </row>
    <row r="1159" spans="1:53" s="87" customFormat="1">
      <c r="A1159" s="374" t="str">
        <f t="shared" si="65"/>
        <v/>
      </c>
      <c r="B1159" s="89">
        <v>15</v>
      </c>
      <c r="C1159" s="89" t="s">
        <v>210</v>
      </c>
      <c r="D1159" s="89">
        <v>5</v>
      </c>
      <c r="E1159" s="89">
        <v>-4</v>
      </c>
      <c r="F1159" s="89" t="s">
        <v>210</v>
      </c>
      <c r="G1159" s="89" t="s">
        <v>210</v>
      </c>
      <c r="H1159" s="89">
        <v>-2</v>
      </c>
      <c r="I1159" s="89">
        <v>6</v>
      </c>
      <c r="J1159" s="89" t="s">
        <v>210</v>
      </c>
      <c r="K1159" s="89" t="s">
        <v>210</v>
      </c>
      <c r="L1159" s="89">
        <v>3</v>
      </c>
      <c r="M1159" s="89"/>
      <c r="N1159" s="89"/>
      <c r="O1159" s="89"/>
      <c r="P1159" s="89"/>
      <c r="Q1159" s="89"/>
      <c r="R1159" s="89"/>
      <c r="S1159" s="89"/>
      <c r="T1159" s="89"/>
      <c r="U1159" s="89"/>
      <c r="V1159" s="89"/>
      <c r="W1159" s="89"/>
      <c r="X1159" s="89"/>
      <c r="Y1159" s="89"/>
      <c r="Z1159" s="89"/>
      <c r="AA1159" s="89"/>
      <c r="AB1159" s="89"/>
      <c r="AC1159" s="89"/>
      <c r="AD1159" s="89"/>
      <c r="AE1159" s="89"/>
      <c r="AF1159" s="89"/>
      <c r="AG1159" s="89"/>
      <c r="AH1159" s="89"/>
      <c r="AI1159" s="89"/>
      <c r="AJ1159" s="89"/>
      <c r="AK1159" s="89"/>
      <c r="AL1159" s="89"/>
      <c r="AM1159" s="89"/>
      <c r="AN1159" s="89"/>
      <c r="AO1159" s="89"/>
      <c r="AP1159" s="89"/>
      <c r="AQ1159" s="89"/>
      <c r="AR1159" s="89"/>
      <c r="AS1159" s="89"/>
      <c r="AT1159" s="89"/>
      <c r="AU1159" s="89"/>
      <c r="AV1159" s="89"/>
      <c r="AW1159" s="89"/>
      <c r="AX1159" s="89"/>
      <c r="AY1159" s="89"/>
      <c r="AZ1159" s="89"/>
      <c r="BA1159" s="95"/>
    </row>
    <row r="1160" spans="1:53" s="87" customFormat="1">
      <c r="A1160" s="374" t="str">
        <f t="shared" si="65"/>
        <v/>
      </c>
      <c r="B1160" s="89">
        <v>16</v>
      </c>
      <c r="C1160" s="89">
        <v>1</v>
      </c>
      <c r="D1160" s="89" t="s">
        <v>210</v>
      </c>
      <c r="E1160" s="89">
        <v>2</v>
      </c>
      <c r="F1160" s="89" t="s">
        <v>210</v>
      </c>
      <c r="G1160" s="89" t="s">
        <v>210</v>
      </c>
      <c r="H1160" s="89">
        <v>-3</v>
      </c>
      <c r="I1160" s="89">
        <v>-6</v>
      </c>
      <c r="J1160" s="89" t="s">
        <v>210</v>
      </c>
      <c r="K1160" s="89" t="s">
        <v>210</v>
      </c>
      <c r="L1160" s="89">
        <v>5</v>
      </c>
      <c r="M1160" s="89"/>
      <c r="N1160" s="89"/>
      <c r="O1160" s="89"/>
      <c r="P1160" s="89"/>
      <c r="Q1160" s="89"/>
      <c r="R1160" s="89"/>
      <c r="S1160" s="89"/>
      <c r="T1160" s="89"/>
      <c r="U1160" s="89"/>
      <c r="V1160" s="89"/>
      <c r="W1160" s="89"/>
      <c r="X1160" s="89"/>
      <c r="Y1160" s="89"/>
      <c r="Z1160" s="89"/>
      <c r="AA1160" s="89"/>
      <c r="AB1160" s="89"/>
      <c r="AC1160" s="89"/>
      <c r="AD1160" s="89"/>
      <c r="AE1160" s="89"/>
      <c r="AF1160" s="89"/>
      <c r="AG1160" s="89"/>
      <c r="AH1160" s="89"/>
      <c r="AI1160" s="89"/>
      <c r="AJ1160" s="89"/>
      <c r="AK1160" s="89"/>
      <c r="AL1160" s="89"/>
      <c r="AM1160" s="89"/>
      <c r="AN1160" s="89"/>
      <c r="AO1160" s="89"/>
      <c r="AP1160" s="89"/>
      <c r="AQ1160" s="89"/>
      <c r="AR1160" s="89"/>
      <c r="AS1160" s="89"/>
      <c r="AT1160" s="89"/>
      <c r="AU1160" s="89"/>
      <c r="AV1160" s="89"/>
      <c r="AW1160" s="89"/>
      <c r="AX1160" s="89"/>
      <c r="AY1160" s="89"/>
      <c r="AZ1160" s="89"/>
      <c r="BA1160" s="95"/>
    </row>
    <row r="1161" spans="1:53" s="87" customFormat="1">
      <c r="A1161" s="374" t="str">
        <f t="shared" si="65"/>
        <v/>
      </c>
      <c r="B1161" s="89">
        <v>17</v>
      </c>
      <c r="C1161" s="89" t="s">
        <v>210</v>
      </c>
      <c r="D1161" s="89">
        <v>-3</v>
      </c>
      <c r="E1161" s="89">
        <v>4</v>
      </c>
      <c r="F1161" s="89" t="s">
        <v>210</v>
      </c>
      <c r="G1161" s="89" t="s">
        <v>210</v>
      </c>
      <c r="H1161" s="89">
        <v>5</v>
      </c>
      <c r="I1161" s="89">
        <v>-1</v>
      </c>
      <c r="J1161" s="89" t="s">
        <v>210</v>
      </c>
      <c r="K1161" s="89" t="s">
        <v>210</v>
      </c>
      <c r="L1161" s="89">
        <v>-5</v>
      </c>
      <c r="M1161" s="89"/>
      <c r="N1161" s="89"/>
      <c r="O1161" s="89"/>
      <c r="P1161" s="89"/>
      <c r="Q1161" s="89"/>
      <c r="R1161" s="89"/>
      <c r="S1161" s="89"/>
      <c r="T1161" s="89"/>
      <c r="U1161" s="89"/>
      <c r="V1161" s="89"/>
      <c r="W1161" s="89"/>
      <c r="X1161" s="89"/>
      <c r="Y1161" s="89"/>
      <c r="Z1161" s="89"/>
      <c r="AA1161" s="89"/>
      <c r="AB1161" s="89"/>
      <c r="AC1161" s="89"/>
      <c r="AD1161" s="89"/>
      <c r="AE1161" s="89"/>
      <c r="AF1161" s="89"/>
      <c r="AG1161" s="89"/>
      <c r="AH1161" s="89"/>
      <c r="AI1161" s="89"/>
      <c r="AJ1161" s="89"/>
      <c r="AK1161" s="89"/>
      <c r="AL1161" s="89"/>
      <c r="AM1161" s="89"/>
      <c r="AN1161" s="89"/>
      <c r="AO1161" s="89"/>
      <c r="AP1161" s="89"/>
      <c r="AQ1161" s="89"/>
      <c r="AR1161" s="89"/>
      <c r="AS1161" s="89"/>
      <c r="AT1161" s="89"/>
      <c r="AU1161" s="89"/>
      <c r="AV1161" s="89"/>
      <c r="AW1161" s="89"/>
      <c r="AX1161" s="89"/>
      <c r="AY1161" s="89"/>
      <c r="AZ1161" s="89"/>
      <c r="BA1161" s="95"/>
    </row>
    <row r="1162" spans="1:53" s="87" customFormat="1">
      <c r="A1162" s="374" t="str">
        <f t="shared" si="65"/>
        <v/>
      </c>
      <c r="B1162" s="99">
        <v>18</v>
      </c>
      <c r="C1162" s="92" t="s">
        <v>210</v>
      </c>
      <c r="D1162" s="92">
        <v>-6</v>
      </c>
      <c r="E1162" s="92">
        <v>-2</v>
      </c>
      <c r="F1162" s="92" t="s">
        <v>210</v>
      </c>
      <c r="G1162" s="92" t="s">
        <v>210</v>
      </c>
      <c r="H1162" s="92">
        <v>4</v>
      </c>
      <c r="I1162" s="92">
        <v>1</v>
      </c>
      <c r="J1162" s="92" t="s">
        <v>210</v>
      </c>
      <c r="K1162" s="92" t="s">
        <v>210</v>
      </c>
      <c r="L1162" s="92">
        <v>-3</v>
      </c>
      <c r="M1162" s="89"/>
      <c r="N1162" s="89"/>
      <c r="O1162" s="89"/>
      <c r="P1162" s="89"/>
      <c r="Q1162" s="89"/>
      <c r="R1162" s="89"/>
      <c r="S1162" s="89"/>
      <c r="T1162" s="89"/>
      <c r="U1162" s="89"/>
      <c r="V1162" s="89"/>
      <c r="W1162" s="89"/>
      <c r="X1162" s="89"/>
      <c r="Y1162" s="89"/>
      <c r="Z1162" s="89"/>
      <c r="AA1162" s="89"/>
      <c r="AB1162" s="89"/>
      <c r="AC1162" s="89"/>
      <c r="AD1162" s="89"/>
      <c r="AE1162" s="89"/>
      <c r="AF1162" s="89"/>
      <c r="AG1162" s="89"/>
      <c r="AH1162" s="89"/>
      <c r="AI1162" s="89"/>
      <c r="AJ1162" s="89"/>
      <c r="AK1162" s="89"/>
      <c r="AL1162" s="89"/>
      <c r="AM1162" s="89"/>
      <c r="AN1162" s="89"/>
      <c r="AO1162" s="89"/>
      <c r="AP1162" s="89"/>
      <c r="AQ1162" s="89"/>
      <c r="AR1162" s="89"/>
      <c r="AS1162" s="89"/>
      <c r="AT1162" s="89"/>
      <c r="AU1162" s="89"/>
      <c r="AV1162" s="89"/>
      <c r="AW1162" s="89"/>
      <c r="AX1162" s="89"/>
      <c r="AY1162" s="89"/>
      <c r="AZ1162" s="89"/>
      <c r="BA1162" s="95"/>
    </row>
    <row r="1163" spans="1:53" s="87" customFormat="1">
      <c r="A1163" s="374" t="str">
        <f t="shared" si="65"/>
        <v/>
      </c>
      <c r="B1163" s="89">
        <v>19</v>
      </c>
      <c r="C1163" s="89" t="s">
        <v>210</v>
      </c>
      <c r="D1163" s="89">
        <v>-2</v>
      </c>
      <c r="E1163" s="89">
        <v>-6</v>
      </c>
      <c r="F1163" s="89" t="s">
        <v>210</v>
      </c>
      <c r="G1163" s="89">
        <v>4</v>
      </c>
      <c r="H1163" s="89" t="s">
        <v>210</v>
      </c>
      <c r="I1163" s="89">
        <v>5</v>
      </c>
      <c r="J1163" s="89" t="s">
        <v>210</v>
      </c>
      <c r="K1163" s="89" t="s">
        <v>210</v>
      </c>
      <c r="L1163" s="89">
        <v>-4</v>
      </c>
      <c r="M1163" s="89"/>
      <c r="N1163" s="89"/>
      <c r="O1163" s="89"/>
      <c r="P1163" s="89"/>
      <c r="Q1163" s="89"/>
      <c r="R1163" s="89"/>
      <c r="S1163" s="89"/>
      <c r="T1163" s="89"/>
      <c r="U1163" s="89"/>
      <c r="V1163" s="89"/>
      <c r="W1163" s="89"/>
      <c r="X1163" s="89"/>
      <c r="Y1163" s="89"/>
      <c r="Z1163" s="89"/>
      <c r="AA1163" s="89"/>
      <c r="AB1163" s="89"/>
      <c r="AC1163" s="89"/>
      <c r="AD1163" s="89"/>
      <c r="AE1163" s="89"/>
      <c r="AF1163" s="89"/>
      <c r="AG1163" s="89"/>
      <c r="AH1163" s="89"/>
      <c r="AI1163" s="89"/>
      <c r="AJ1163" s="89"/>
      <c r="AK1163" s="89"/>
      <c r="AL1163" s="89"/>
      <c r="AM1163" s="89"/>
      <c r="AN1163" s="89"/>
      <c r="AO1163" s="89"/>
      <c r="AP1163" s="89"/>
      <c r="AQ1163" s="89"/>
      <c r="AR1163" s="89"/>
      <c r="AS1163" s="89"/>
      <c r="AT1163" s="89"/>
      <c r="AU1163" s="89"/>
      <c r="AV1163" s="89"/>
      <c r="AW1163" s="89"/>
      <c r="AX1163" s="89"/>
      <c r="AY1163" s="89"/>
      <c r="AZ1163" s="89"/>
      <c r="BA1163" s="95"/>
    </row>
    <row r="1164" spans="1:53" s="87" customFormat="1">
      <c r="A1164" s="374" t="str">
        <f t="shared" ref="A1164:A1227" si="66">IF(MID(B1164,3,2)="06",ROW(),"")</f>
        <v/>
      </c>
      <c r="B1164" s="89">
        <v>20</v>
      </c>
      <c r="C1164" s="89" t="s">
        <v>210</v>
      </c>
      <c r="D1164" s="89">
        <v>-4</v>
      </c>
      <c r="E1164" s="89">
        <v>-3</v>
      </c>
      <c r="F1164" s="89" t="s">
        <v>210</v>
      </c>
      <c r="G1164" s="89" t="s">
        <v>210</v>
      </c>
      <c r="H1164" s="89">
        <v>1</v>
      </c>
      <c r="I1164" s="89">
        <v>-5</v>
      </c>
      <c r="J1164" s="89" t="s">
        <v>210</v>
      </c>
      <c r="K1164" s="89" t="s">
        <v>210</v>
      </c>
      <c r="L1164" s="89">
        <v>6</v>
      </c>
      <c r="M1164" s="89"/>
      <c r="N1164" s="89"/>
      <c r="O1164" s="89"/>
      <c r="P1164" s="89"/>
      <c r="Q1164" s="89"/>
      <c r="R1164" s="89"/>
      <c r="S1164" s="89"/>
      <c r="T1164" s="89"/>
      <c r="U1164" s="89"/>
      <c r="V1164" s="89"/>
      <c r="W1164" s="89"/>
      <c r="X1164" s="89"/>
      <c r="Y1164" s="89"/>
      <c r="Z1164" s="89"/>
      <c r="AA1164" s="89"/>
      <c r="AB1164" s="89"/>
      <c r="AC1164" s="89"/>
      <c r="AD1164" s="89"/>
      <c r="AE1164" s="89"/>
      <c r="AF1164" s="89"/>
      <c r="AG1164" s="89"/>
      <c r="AH1164" s="89"/>
      <c r="AI1164" s="89"/>
      <c r="AJ1164" s="89"/>
      <c r="AK1164" s="89"/>
      <c r="AL1164" s="89"/>
      <c r="AM1164" s="89"/>
      <c r="AN1164" s="89"/>
      <c r="AO1164" s="89"/>
      <c r="AP1164" s="89"/>
      <c r="AQ1164" s="89"/>
      <c r="AR1164" s="89"/>
      <c r="AS1164" s="89"/>
      <c r="AT1164" s="89"/>
      <c r="AU1164" s="89"/>
      <c r="AV1164" s="89"/>
      <c r="AW1164" s="89"/>
      <c r="AX1164" s="89"/>
      <c r="AY1164" s="89"/>
      <c r="AZ1164" s="89"/>
      <c r="BA1164" s="95"/>
    </row>
    <row r="1165" spans="1:53" s="87" customFormat="1">
      <c r="A1165" s="374" t="str">
        <f t="shared" si="66"/>
        <v/>
      </c>
      <c r="B1165" s="89">
        <v>21</v>
      </c>
      <c r="C1165" s="89" t="s">
        <v>210</v>
      </c>
      <c r="D1165" s="89">
        <v>6</v>
      </c>
      <c r="E1165" s="89">
        <v>3</v>
      </c>
      <c r="F1165" s="89" t="s">
        <v>210</v>
      </c>
      <c r="G1165" s="89" t="s">
        <v>210</v>
      </c>
      <c r="H1165" s="89">
        <v>-5</v>
      </c>
      <c r="I1165" s="89">
        <v>-2</v>
      </c>
      <c r="J1165" s="89" t="s">
        <v>210</v>
      </c>
      <c r="K1165" s="89" t="s">
        <v>210</v>
      </c>
      <c r="L1165" s="89">
        <v>4</v>
      </c>
      <c r="M1165" s="89"/>
      <c r="N1165" s="89"/>
      <c r="O1165" s="89"/>
      <c r="P1165" s="89"/>
      <c r="Q1165" s="89"/>
      <c r="R1165" s="89"/>
      <c r="S1165" s="89"/>
      <c r="T1165" s="89"/>
      <c r="U1165" s="89"/>
      <c r="V1165" s="89"/>
      <c r="W1165" s="89"/>
      <c r="X1165" s="89"/>
      <c r="Y1165" s="89"/>
      <c r="Z1165" s="89"/>
      <c r="AA1165" s="89"/>
      <c r="AB1165" s="89"/>
      <c r="AC1165" s="89"/>
      <c r="AD1165" s="89"/>
      <c r="AE1165" s="89"/>
      <c r="AF1165" s="89"/>
      <c r="AG1165" s="89"/>
      <c r="AH1165" s="89"/>
      <c r="AI1165" s="89"/>
      <c r="AJ1165" s="89"/>
      <c r="AK1165" s="89"/>
      <c r="AL1165" s="89"/>
      <c r="AM1165" s="89"/>
      <c r="AN1165" s="89"/>
      <c r="AO1165" s="89"/>
      <c r="AP1165" s="89"/>
      <c r="AQ1165" s="89"/>
      <c r="AR1165" s="89"/>
      <c r="AS1165" s="89"/>
      <c r="AT1165" s="89"/>
      <c r="AU1165" s="89"/>
      <c r="AV1165" s="89"/>
      <c r="AW1165" s="89"/>
      <c r="AX1165" s="89"/>
      <c r="AY1165" s="89"/>
      <c r="AZ1165" s="89"/>
      <c r="BA1165" s="95"/>
    </row>
    <row r="1166" spans="1:53" s="87" customFormat="1">
      <c r="A1166" s="374" t="str">
        <f t="shared" si="66"/>
        <v/>
      </c>
      <c r="B1166" s="89">
        <v>22</v>
      </c>
      <c r="C1166" s="89" t="s">
        <v>210</v>
      </c>
      <c r="D1166" s="89">
        <v>3</v>
      </c>
      <c r="E1166" s="89">
        <v>6</v>
      </c>
      <c r="F1166" s="89" t="s">
        <v>210</v>
      </c>
      <c r="G1166" s="89" t="s">
        <v>210</v>
      </c>
      <c r="H1166" s="89">
        <v>-4</v>
      </c>
      <c r="I1166" s="89">
        <v>2</v>
      </c>
      <c r="J1166" s="89" t="s">
        <v>210</v>
      </c>
      <c r="K1166" s="89" t="s">
        <v>210</v>
      </c>
      <c r="L1166" s="89">
        <v>-6</v>
      </c>
      <c r="M1166" s="89"/>
      <c r="N1166" s="89"/>
      <c r="O1166" s="89"/>
      <c r="P1166" s="89"/>
      <c r="Q1166" s="89"/>
      <c r="R1166" s="89"/>
      <c r="S1166" s="89"/>
      <c r="T1166" s="89"/>
      <c r="U1166" s="89"/>
      <c r="V1166" s="89"/>
      <c r="W1166" s="89"/>
      <c r="X1166" s="89"/>
      <c r="Y1166" s="89"/>
      <c r="Z1166" s="89"/>
      <c r="AA1166" s="89"/>
      <c r="AB1166" s="89"/>
      <c r="AC1166" s="89"/>
      <c r="AD1166" s="89"/>
      <c r="AE1166" s="89"/>
      <c r="AF1166" s="89"/>
      <c r="AG1166" s="89"/>
      <c r="AH1166" s="89"/>
      <c r="AI1166" s="89"/>
      <c r="AJ1166" s="89"/>
      <c r="AK1166" s="89"/>
      <c r="AL1166" s="89"/>
      <c r="AM1166" s="89"/>
      <c r="AN1166" s="89"/>
      <c r="AO1166" s="89"/>
      <c r="AP1166" s="89"/>
      <c r="AQ1166" s="89"/>
      <c r="AR1166" s="89"/>
      <c r="AS1166" s="89"/>
      <c r="AT1166" s="89"/>
      <c r="AU1166" s="89"/>
      <c r="AV1166" s="89"/>
      <c r="AW1166" s="89"/>
      <c r="AX1166" s="89"/>
      <c r="AY1166" s="89"/>
      <c r="AZ1166" s="89"/>
      <c r="BA1166" s="95"/>
    </row>
    <row r="1167" spans="1:53" s="87" customFormat="1">
      <c r="A1167" s="374" t="str">
        <f t="shared" si="66"/>
        <v/>
      </c>
      <c r="B1167" s="276" t="s">
        <v>836</v>
      </c>
      <c r="C1167" s="89"/>
      <c r="D1167" s="89"/>
      <c r="E1167" s="89"/>
      <c r="F1167" s="89"/>
      <c r="G1167" s="89"/>
      <c r="H1167" s="89"/>
      <c r="I1167" s="89"/>
      <c r="J1167" s="89"/>
      <c r="K1167" s="89"/>
      <c r="L1167" s="89"/>
      <c r="M1167" s="89"/>
      <c r="N1167" s="89"/>
      <c r="O1167" s="89"/>
      <c r="P1167" s="89"/>
      <c r="Q1167" s="89"/>
      <c r="R1167" s="89"/>
      <c r="S1167" s="89"/>
      <c r="T1167" s="89"/>
      <c r="U1167" s="89"/>
      <c r="V1167" s="89"/>
      <c r="W1167" s="89"/>
      <c r="X1167" s="89"/>
      <c r="Y1167" s="89"/>
      <c r="Z1167" s="89"/>
      <c r="AA1167" s="89"/>
      <c r="AB1167" s="89"/>
      <c r="AC1167" s="89"/>
      <c r="AD1167" s="89"/>
      <c r="AE1167" s="89"/>
      <c r="AF1167" s="89"/>
      <c r="AG1167" s="89"/>
      <c r="AH1167" s="89"/>
      <c r="AI1167" s="89"/>
      <c r="AJ1167" s="89"/>
      <c r="AK1167" s="89"/>
      <c r="AL1167" s="89"/>
      <c r="AM1167" s="89"/>
      <c r="AN1167" s="89"/>
      <c r="AO1167" s="89"/>
      <c r="AP1167" s="89"/>
      <c r="AQ1167" s="89"/>
      <c r="AR1167" s="89"/>
      <c r="AS1167" s="89"/>
      <c r="AT1167" s="89"/>
      <c r="AU1167" s="89"/>
      <c r="AV1167" s="89"/>
      <c r="AW1167" s="89"/>
      <c r="AX1167" s="89"/>
      <c r="AY1167" s="89"/>
      <c r="AZ1167" s="89"/>
      <c r="BA1167" s="95"/>
    </row>
    <row r="1168" spans="1:53" s="87" customFormat="1">
      <c r="A1168" s="374">
        <f t="shared" si="66"/>
        <v>1168</v>
      </c>
      <c r="B1168" s="319" t="s">
        <v>1197</v>
      </c>
      <c r="C1168" s="89"/>
      <c r="D1168" s="89"/>
      <c r="E1168" s="89"/>
      <c r="F1168" s="89"/>
      <c r="G1168" s="89"/>
      <c r="H1168" s="89"/>
      <c r="I1168" s="89"/>
      <c r="J1168" s="89"/>
      <c r="K1168" s="89"/>
      <c r="L1168" s="89"/>
      <c r="M1168" s="89"/>
      <c r="N1168" s="89"/>
      <c r="O1168" s="89"/>
      <c r="P1168" s="89"/>
      <c r="Q1168" s="89"/>
      <c r="R1168" s="89"/>
      <c r="S1168" s="89"/>
      <c r="T1168" s="89"/>
      <c r="U1168" s="89"/>
      <c r="V1168" s="89"/>
      <c r="W1168" s="89"/>
      <c r="X1168" s="89"/>
      <c r="Y1168" s="89"/>
      <c r="Z1168" s="89"/>
      <c r="AA1168" s="89"/>
      <c r="AB1168" s="89"/>
      <c r="AC1168" s="89"/>
      <c r="AD1168" s="89"/>
      <c r="AE1168" s="89"/>
      <c r="AF1168" s="89"/>
      <c r="AG1168" s="89"/>
      <c r="AH1168" s="89"/>
      <c r="AI1168" s="89"/>
      <c r="AJ1168" s="89"/>
      <c r="AK1168" s="89"/>
      <c r="AL1168" s="89"/>
      <c r="AM1168" s="89"/>
      <c r="AN1168" s="89"/>
      <c r="AO1168" s="89"/>
      <c r="AP1168" s="89"/>
      <c r="AQ1168" s="89"/>
      <c r="AR1168" s="89"/>
      <c r="AS1168" s="89"/>
      <c r="AT1168" s="89"/>
      <c r="AU1168" s="89"/>
      <c r="AV1168" s="89"/>
      <c r="AW1168" s="89"/>
      <c r="AX1168" s="89"/>
      <c r="AY1168" s="89"/>
      <c r="AZ1168" s="89"/>
      <c r="BA1168" s="95"/>
    </row>
    <row r="1169" spans="1:53" s="87" customFormat="1">
      <c r="A1169" s="374" t="str">
        <f t="shared" si="66"/>
        <v/>
      </c>
      <c r="B1169" s="89">
        <v>1</v>
      </c>
      <c r="C1169" s="89">
        <v>-3</v>
      </c>
      <c r="D1169" s="89" t="s">
        <v>210</v>
      </c>
      <c r="E1169" s="89" t="s">
        <v>210</v>
      </c>
      <c r="F1169" s="89">
        <v>2</v>
      </c>
      <c r="G1169" s="89" t="s">
        <v>210</v>
      </c>
      <c r="H1169" s="89" t="s">
        <v>210</v>
      </c>
      <c r="I1169" s="89">
        <v>-1</v>
      </c>
      <c r="J1169" s="89" t="s">
        <v>210</v>
      </c>
      <c r="K1169" s="89" t="s">
        <v>210</v>
      </c>
      <c r="L1169" s="89">
        <v>-5</v>
      </c>
      <c r="M1169" s="89" t="s">
        <v>210</v>
      </c>
      <c r="N1169" s="89">
        <v>3</v>
      </c>
      <c r="O1169" s="89" t="s">
        <v>210</v>
      </c>
      <c r="P1169" s="89" t="s">
        <v>210</v>
      </c>
      <c r="Q1169" s="89">
        <v>1</v>
      </c>
      <c r="R1169" s="89" t="s">
        <v>210</v>
      </c>
      <c r="S1169" s="89">
        <v>4</v>
      </c>
      <c r="T1169" s="89" t="s">
        <v>210</v>
      </c>
      <c r="U1169" s="89" t="s">
        <v>210</v>
      </c>
      <c r="V1169" s="89"/>
      <c r="W1169" s="89"/>
      <c r="X1169" s="89"/>
      <c r="Y1169" s="89"/>
      <c r="Z1169" s="89"/>
      <c r="AA1169" s="89"/>
      <c r="AB1169" s="89"/>
      <c r="AC1169" s="89"/>
      <c r="AD1169" s="89"/>
      <c r="AE1169" s="89"/>
      <c r="AF1169" s="89"/>
      <c r="AG1169" s="89"/>
      <c r="AH1169" s="89"/>
      <c r="AI1169" s="89"/>
      <c r="AJ1169" s="89"/>
      <c r="AK1169" s="89"/>
      <c r="AL1169" s="89"/>
      <c r="AM1169" s="89"/>
      <c r="AN1169" s="89"/>
      <c r="AO1169" s="89"/>
      <c r="AP1169" s="89"/>
      <c r="AQ1169" s="89"/>
      <c r="AR1169" s="89"/>
      <c r="AS1169" s="89"/>
      <c r="AT1169" s="89"/>
      <c r="AU1169" s="89"/>
      <c r="AV1169" s="89"/>
      <c r="AW1169" s="89"/>
      <c r="AX1169" s="89"/>
      <c r="AY1169" s="89"/>
      <c r="AZ1169" s="89"/>
      <c r="BA1169" s="95"/>
    </row>
    <row r="1170" spans="1:53" s="87" customFormat="1">
      <c r="A1170" s="374" t="str">
        <f t="shared" si="66"/>
        <v/>
      </c>
      <c r="B1170" s="89">
        <v>2</v>
      </c>
      <c r="C1170" s="89">
        <v>4</v>
      </c>
      <c r="D1170" s="89" t="s">
        <v>210</v>
      </c>
      <c r="E1170" s="89" t="s">
        <v>210</v>
      </c>
      <c r="F1170" s="89">
        <v>5</v>
      </c>
      <c r="G1170" s="89" t="s">
        <v>210</v>
      </c>
      <c r="H1170" s="89" t="s">
        <v>210</v>
      </c>
      <c r="I1170" s="89">
        <v>-6</v>
      </c>
      <c r="J1170" s="89" t="s">
        <v>210</v>
      </c>
      <c r="K1170" s="89" t="s">
        <v>210</v>
      </c>
      <c r="L1170" s="89">
        <v>1</v>
      </c>
      <c r="M1170" s="89" t="s">
        <v>210</v>
      </c>
      <c r="N1170" s="89">
        <v>-3</v>
      </c>
      <c r="O1170" s="89" t="s">
        <v>210</v>
      </c>
      <c r="P1170" s="89" t="s">
        <v>210</v>
      </c>
      <c r="Q1170" s="89">
        <v>-5</v>
      </c>
      <c r="R1170" s="89" t="s">
        <v>210</v>
      </c>
      <c r="S1170" s="89">
        <v>-1</v>
      </c>
      <c r="T1170" s="89" t="s">
        <v>210</v>
      </c>
      <c r="U1170" s="89" t="s">
        <v>210</v>
      </c>
      <c r="V1170" s="89"/>
      <c r="W1170" s="89"/>
      <c r="X1170" s="89"/>
      <c r="Y1170" s="89"/>
      <c r="Z1170" s="89"/>
      <c r="AA1170" s="89"/>
      <c r="AB1170" s="89"/>
      <c r="AC1170" s="89"/>
      <c r="AD1170" s="89"/>
      <c r="AE1170" s="89"/>
      <c r="AF1170" s="89"/>
      <c r="AG1170" s="89"/>
      <c r="AH1170" s="89"/>
      <c r="AI1170" s="89"/>
      <c r="AJ1170" s="89"/>
      <c r="AK1170" s="89"/>
      <c r="AL1170" s="89"/>
      <c r="AM1170" s="89"/>
      <c r="AN1170" s="89"/>
      <c r="AO1170" s="89"/>
      <c r="AP1170" s="89"/>
      <c r="AQ1170" s="89"/>
      <c r="AR1170" s="89"/>
      <c r="AS1170" s="89"/>
      <c r="AT1170" s="89"/>
      <c r="AU1170" s="89"/>
      <c r="AV1170" s="89"/>
      <c r="AW1170" s="89"/>
      <c r="AX1170" s="89"/>
      <c r="AY1170" s="89"/>
      <c r="AZ1170" s="89"/>
      <c r="BA1170" s="95"/>
    </row>
    <row r="1171" spans="1:53" s="87" customFormat="1">
      <c r="A1171" s="374" t="str">
        <f t="shared" si="66"/>
        <v/>
      </c>
      <c r="B1171" s="89">
        <v>3</v>
      </c>
      <c r="C1171" s="89">
        <v>2</v>
      </c>
      <c r="D1171" s="89" t="s">
        <v>210</v>
      </c>
      <c r="E1171" s="89" t="s">
        <v>210</v>
      </c>
      <c r="F1171" s="89">
        <v>-3</v>
      </c>
      <c r="G1171" s="89" t="s">
        <v>210</v>
      </c>
      <c r="H1171" s="89" t="s">
        <v>210</v>
      </c>
      <c r="I1171" s="89">
        <v>-4</v>
      </c>
      <c r="J1171" s="89" t="s">
        <v>210</v>
      </c>
      <c r="K1171" s="89" t="s">
        <v>210</v>
      </c>
      <c r="L1171" s="89">
        <v>5</v>
      </c>
      <c r="M1171" s="89" t="s">
        <v>210</v>
      </c>
      <c r="N1171" s="89">
        <v>-2</v>
      </c>
      <c r="O1171" s="89" t="s">
        <v>210</v>
      </c>
      <c r="P1171" s="89" t="s">
        <v>210</v>
      </c>
      <c r="Q1171" s="89">
        <v>3</v>
      </c>
      <c r="R1171" s="89" t="s">
        <v>210</v>
      </c>
      <c r="S1171" s="89">
        <v>1</v>
      </c>
      <c r="T1171" s="89" t="s">
        <v>210</v>
      </c>
      <c r="U1171" s="89" t="s">
        <v>210</v>
      </c>
      <c r="V1171" s="89"/>
      <c r="W1171" s="89"/>
      <c r="X1171" s="89"/>
      <c r="Y1171" s="89"/>
      <c r="Z1171" s="89"/>
      <c r="AA1171" s="89"/>
      <c r="AB1171" s="89"/>
      <c r="AC1171" s="89"/>
      <c r="AD1171" s="89"/>
      <c r="AE1171" s="89"/>
      <c r="AF1171" s="89"/>
      <c r="AG1171" s="89"/>
      <c r="AH1171" s="89"/>
      <c r="AI1171" s="89"/>
      <c r="AJ1171" s="89"/>
      <c r="AK1171" s="89"/>
      <c r="AL1171" s="89"/>
      <c r="AM1171" s="89"/>
      <c r="AN1171" s="89"/>
      <c r="AO1171" s="89"/>
      <c r="AP1171" s="89"/>
      <c r="AQ1171" s="89"/>
      <c r="AR1171" s="89"/>
      <c r="AS1171" s="89"/>
      <c r="AT1171" s="89"/>
      <c r="AU1171" s="89"/>
      <c r="AV1171" s="89"/>
      <c r="AW1171" s="89"/>
      <c r="AX1171" s="89"/>
      <c r="AY1171" s="89"/>
      <c r="AZ1171" s="89"/>
      <c r="BA1171" s="95"/>
    </row>
    <row r="1172" spans="1:53" s="87" customFormat="1">
      <c r="A1172" s="374" t="str">
        <f t="shared" si="66"/>
        <v/>
      </c>
      <c r="B1172" s="89">
        <v>4</v>
      </c>
      <c r="C1172" s="89">
        <v>5</v>
      </c>
      <c r="D1172" s="89" t="s">
        <v>210</v>
      </c>
      <c r="E1172" s="89" t="s">
        <v>210</v>
      </c>
      <c r="F1172" s="89">
        <v>4</v>
      </c>
      <c r="G1172" s="89" t="s">
        <v>210</v>
      </c>
      <c r="H1172" s="89" t="s">
        <v>210</v>
      </c>
      <c r="I1172" s="89">
        <v>-3</v>
      </c>
      <c r="J1172" s="89" t="s">
        <v>210</v>
      </c>
      <c r="K1172" s="89" t="s">
        <v>210</v>
      </c>
      <c r="L1172" s="89">
        <v>-1</v>
      </c>
      <c r="M1172" s="89" t="s">
        <v>210</v>
      </c>
      <c r="N1172" s="89">
        <v>2</v>
      </c>
      <c r="O1172" s="89" t="s">
        <v>210</v>
      </c>
      <c r="P1172" s="89" t="s">
        <v>210</v>
      </c>
      <c r="Q1172" s="89">
        <v>6</v>
      </c>
      <c r="R1172" s="89" t="s">
        <v>210</v>
      </c>
      <c r="S1172" s="89">
        <v>-4</v>
      </c>
      <c r="T1172" s="89" t="s">
        <v>210</v>
      </c>
      <c r="U1172" s="89" t="s">
        <v>210</v>
      </c>
      <c r="V1172" s="89"/>
      <c r="W1172" s="89"/>
      <c r="X1172" s="89"/>
      <c r="Y1172" s="89"/>
      <c r="Z1172" s="89"/>
      <c r="AA1172" s="89"/>
      <c r="AB1172" s="89"/>
      <c r="AC1172" s="89"/>
      <c r="AD1172" s="89"/>
      <c r="AE1172" s="89"/>
      <c r="AF1172" s="89"/>
      <c r="AG1172" s="89"/>
      <c r="AH1172" s="89"/>
      <c r="AI1172" s="89"/>
      <c r="AJ1172" s="89"/>
      <c r="AK1172" s="89"/>
      <c r="AL1172" s="89"/>
      <c r="AM1172" s="89"/>
      <c r="AN1172" s="89"/>
      <c r="AO1172" s="89"/>
      <c r="AP1172" s="89"/>
      <c r="AQ1172" s="89"/>
      <c r="AR1172" s="89"/>
      <c r="AS1172" s="89"/>
      <c r="AT1172" s="89"/>
      <c r="AU1172" s="89"/>
      <c r="AV1172" s="89"/>
      <c r="AW1172" s="89"/>
      <c r="AX1172" s="89"/>
      <c r="AY1172" s="89"/>
      <c r="AZ1172" s="89"/>
      <c r="BA1172" s="95"/>
    </row>
    <row r="1173" spans="1:53" s="87" customFormat="1">
      <c r="A1173" s="374" t="str">
        <f t="shared" si="66"/>
        <v/>
      </c>
      <c r="B1173" s="89">
        <v>5</v>
      </c>
      <c r="C1173" s="89">
        <v>3</v>
      </c>
      <c r="D1173" s="89" t="s">
        <v>210</v>
      </c>
      <c r="E1173" s="89" t="s">
        <v>210</v>
      </c>
      <c r="F1173" s="89">
        <v>-5</v>
      </c>
      <c r="G1173" s="89" t="s">
        <v>210</v>
      </c>
      <c r="H1173" s="89" t="s">
        <v>210</v>
      </c>
      <c r="I1173" s="89">
        <v>4</v>
      </c>
      <c r="J1173" s="89" t="s">
        <v>210</v>
      </c>
      <c r="K1173" s="89" t="s">
        <v>210</v>
      </c>
      <c r="L1173" s="89">
        <v>2</v>
      </c>
      <c r="M1173" s="89" t="s">
        <v>210</v>
      </c>
      <c r="N1173" s="89" t="s">
        <v>210</v>
      </c>
      <c r="O1173" s="89">
        <v>-3</v>
      </c>
      <c r="P1173" s="89" t="s">
        <v>210</v>
      </c>
      <c r="Q1173" s="89">
        <v>-6</v>
      </c>
      <c r="R1173" s="89" t="s">
        <v>210</v>
      </c>
      <c r="S1173" s="89">
        <v>-2</v>
      </c>
      <c r="T1173" s="89" t="s">
        <v>210</v>
      </c>
      <c r="U1173" s="89" t="s">
        <v>210</v>
      </c>
      <c r="V1173" s="89"/>
      <c r="W1173" s="89"/>
      <c r="X1173" s="89"/>
      <c r="Y1173" s="89"/>
      <c r="Z1173" s="89"/>
      <c r="AA1173" s="89"/>
      <c r="AB1173" s="89"/>
      <c r="AC1173" s="89"/>
      <c r="AD1173" s="89"/>
      <c r="AE1173" s="89"/>
      <c r="AF1173" s="89"/>
      <c r="AG1173" s="89"/>
      <c r="AH1173" s="89"/>
      <c r="AI1173" s="89"/>
      <c r="AJ1173" s="89"/>
      <c r="AK1173" s="89"/>
      <c r="AL1173" s="89"/>
      <c r="AM1173" s="89"/>
      <c r="AN1173" s="89"/>
      <c r="AO1173" s="89"/>
      <c r="AP1173" s="89"/>
      <c r="AQ1173" s="89"/>
      <c r="AR1173" s="89"/>
      <c r="AS1173" s="89"/>
      <c r="AT1173" s="89"/>
      <c r="AU1173" s="89"/>
      <c r="AV1173" s="89"/>
      <c r="AW1173" s="89"/>
      <c r="AX1173" s="89"/>
      <c r="AY1173" s="89"/>
      <c r="AZ1173" s="89"/>
      <c r="BA1173" s="95"/>
    </row>
    <row r="1174" spans="1:53" s="87" customFormat="1">
      <c r="A1174" s="374" t="str">
        <f t="shared" si="66"/>
        <v/>
      </c>
      <c r="B1174" s="89">
        <v>6</v>
      </c>
      <c r="C1174" s="89">
        <v>-4</v>
      </c>
      <c r="D1174" s="89" t="s">
        <v>210</v>
      </c>
      <c r="E1174" s="89" t="s">
        <v>210</v>
      </c>
      <c r="F1174" s="89">
        <v>-2</v>
      </c>
      <c r="G1174" s="89" t="s">
        <v>210</v>
      </c>
      <c r="H1174" s="89" t="s">
        <v>210</v>
      </c>
      <c r="I1174" s="89">
        <v>3</v>
      </c>
      <c r="J1174" s="89" t="s">
        <v>210</v>
      </c>
      <c r="K1174" s="89" t="s">
        <v>210</v>
      </c>
      <c r="L1174" s="89">
        <v>6</v>
      </c>
      <c r="M1174" s="89" t="s">
        <v>210</v>
      </c>
      <c r="N1174" s="89" t="s">
        <v>210</v>
      </c>
      <c r="O1174" s="89">
        <v>-5</v>
      </c>
      <c r="P1174" s="89" t="s">
        <v>210</v>
      </c>
      <c r="Q1174" s="89">
        <v>-3</v>
      </c>
      <c r="R1174" s="89" t="s">
        <v>210</v>
      </c>
      <c r="S1174" s="89">
        <v>2</v>
      </c>
      <c r="T1174" s="89" t="s">
        <v>210</v>
      </c>
      <c r="U1174" s="89" t="s">
        <v>210</v>
      </c>
      <c r="V1174" s="89"/>
      <c r="W1174" s="89"/>
      <c r="X1174" s="89"/>
      <c r="Y1174" s="89"/>
      <c r="Z1174" s="89"/>
      <c r="AA1174" s="89"/>
      <c r="AB1174" s="89"/>
      <c r="AC1174" s="89"/>
      <c r="AD1174" s="89"/>
      <c r="AE1174" s="89"/>
      <c r="AF1174" s="89"/>
      <c r="AG1174" s="89"/>
      <c r="AH1174" s="89"/>
      <c r="AI1174" s="89"/>
      <c r="AJ1174" s="89"/>
      <c r="AK1174" s="89"/>
      <c r="AL1174" s="89"/>
      <c r="AM1174" s="89"/>
      <c r="AN1174" s="89"/>
      <c r="AO1174" s="89"/>
      <c r="AP1174" s="89"/>
      <c r="AQ1174" s="89"/>
      <c r="AR1174" s="89"/>
      <c r="AS1174" s="89"/>
      <c r="AT1174" s="89"/>
      <c r="AU1174" s="89"/>
      <c r="AV1174" s="89"/>
      <c r="AW1174" s="89"/>
      <c r="AX1174" s="89"/>
      <c r="AY1174" s="89"/>
      <c r="AZ1174" s="89"/>
      <c r="BA1174" s="95"/>
    </row>
    <row r="1175" spans="1:53" s="87" customFormat="1">
      <c r="A1175" s="374" t="str">
        <f t="shared" si="66"/>
        <v/>
      </c>
      <c r="B1175" s="89">
        <v>7</v>
      </c>
      <c r="C1175" s="89">
        <v>-2</v>
      </c>
      <c r="D1175" s="89" t="s">
        <v>210</v>
      </c>
      <c r="E1175" s="89" t="s">
        <v>210</v>
      </c>
      <c r="F1175" s="89">
        <v>-4</v>
      </c>
      <c r="G1175" s="89" t="s">
        <v>210</v>
      </c>
      <c r="H1175" s="89" t="s">
        <v>210</v>
      </c>
      <c r="I1175" s="89">
        <v>1</v>
      </c>
      <c r="J1175" s="89" t="s">
        <v>210</v>
      </c>
      <c r="K1175" s="89" t="s">
        <v>210</v>
      </c>
      <c r="L1175" s="89">
        <v>-6</v>
      </c>
      <c r="M1175" s="89" t="s">
        <v>210</v>
      </c>
      <c r="N1175" s="89" t="s">
        <v>210</v>
      </c>
      <c r="O1175" s="89">
        <v>3</v>
      </c>
      <c r="P1175" s="89" t="s">
        <v>210</v>
      </c>
      <c r="Q1175" s="89">
        <v>5</v>
      </c>
      <c r="R1175" s="89" t="s">
        <v>210</v>
      </c>
      <c r="S1175" s="89">
        <v>6</v>
      </c>
      <c r="T1175" s="89" t="s">
        <v>210</v>
      </c>
      <c r="U1175" s="89" t="s">
        <v>210</v>
      </c>
      <c r="V1175" s="89"/>
      <c r="W1175" s="89"/>
      <c r="X1175" s="89"/>
      <c r="Y1175" s="89"/>
      <c r="Z1175" s="89"/>
      <c r="AA1175" s="89"/>
      <c r="AB1175" s="89"/>
      <c r="AC1175" s="89"/>
      <c r="AD1175" s="89"/>
      <c r="AE1175" s="89"/>
      <c r="AF1175" s="89"/>
      <c r="AG1175" s="89"/>
      <c r="AH1175" s="89"/>
      <c r="AI1175" s="89"/>
      <c r="AJ1175" s="89"/>
      <c r="AK1175" s="89"/>
      <c r="AL1175" s="89"/>
      <c r="AM1175" s="89"/>
      <c r="AN1175" s="89"/>
      <c r="AO1175" s="89"/>
      <c r="AP1175" s="89"/>
      <c r="AQ1175" s="89"/>
      <c r="AR1175" s="89"/>
      <c r="AS1175" s="89"/>
      <c r="AT1175" s="89"/>
      <c r="AU1175" s="89"/>
      <c r="AV1175" s="89"/>
      <c r="AW1175" s="89"/>
      <c r="AX1175" s="89"/>
      <c r="AY1175" s="89"/>
      <c r="AZ1175" s="89"/>
      <c r="BA1175" s="95"/>
    </row>
    <row r="1176" spans="1:53" s="87" customFormat="1">
      <c r="A1176" s="374" t="str">
        <f t="shared" si="66"/>
        <v/>
      </c>
      <c r="B1176" s="99">
        <v>8</v>
      </c>
      <c r="C1176" s="92">
        <v>-5</v>
      </c>
      <c r="D1176" s="92" t="s">
        <v>210</v>
      </c>
      <c r="E1176" s="92" t="s">
        <v>210</v>
      </c>
      <c r="F1176" s="92">
        <v>3</v>
      </c>
      <c r="G1176" s="92" t="s">
        <v>210</v>
      </c>
      <c r="H1176" s="92" t="s">
        <v>210</v>
      </c>
      <c r="I1176" s="92">
        <v>6</v>
      </c>
      <c r="J1176" s="92" t="s">
        <v>210</v>
      </c>
      <c r="K1176" s="92" t="s">
        <v>210</v>
      </c>
      <c r="L1176" s="92">
        <v>-2</v>
      </c>
      <c r="M1176" s="92" t="s">
        <v>210</v>
      </c>
      <c r="N1176" s="92" t="s">
        <v>210</v>
      </c>
      <c r="O1176" s="92">
        <v>5</v>
      </c>
      <c r="P1176" s="92" t="s">
        <v>210</v>
      </c>
      <c r="Q1176" s="92">
        <v>-1</v>
      </c>
      <c r="R1176" s="92" t="s">
        <v>210</v>
      </c>
      <c r="S1176" s="92">
        <v>-6</v>
      </c>
      <c r="T1176" s="92" t="s">
        <v>210</v>
      </c>
      <c r="U1176" s="92" t="s">
        <v>210</v>
      </c>
      <c r="V1176" s="89"/>
      <c r="W1176" s="89"/>
      <c r="X1176" s="89"/>
      <c r="Y1176" s="89"/>
      <c r="Z1176" s="89"/>
      <c r="AA1176" s="89"/>
      <c r="AB1176" s="89"/>
      <c r="AC1176" s="89"/>
      <c r="AD1176" s="89"/>
      <c r="AE1176" s="89"/>
      <c r="AF1176" s="89"/>
      <c r="AG1176" s="89"/>
      <c r="AH1176" s="89"/>
      <c r="AI1176" s="89"/>
      <c r="AJ1176" s="89"/>
      <c r="AK1176" s="89"/>
      <c r="AL1176" s="89"/>
      <c r="AM1176" s="89"/>
      <c r="AN1176" s="89"/>
      <c r="AO1176" s="89"/>
      <c r="AP1176" s="89"/>
      <c r="AQ1176" s="89"/>
      <c r="AR1176" s="89"/>
      <c r="AS1176" s="89"/>
      <c r="AT1176" s="89"/>
      <c r="AU1176" s="89"/>
      <c r="AV1176" s="89"/>
      <c r="AW1176" s="89"/>
      <c r="AX1176" s="89"/>
      <c r="AY1176" s="89"/>
      <c r="AZ1176" s="89"/>
      <c r="BA1176" s="95"/>
    </row>
    <row r="1177" spans="1:53" s="87" customFormat="1">
      <c r="A1177" s="374" t="str">
        <f t="shared" si="66"/>
        <v/>
      </c>
      <c r="B1177" s="89">
        <v>9</v>
      </c>
      <c r="C1177" s="89" t="s">
        <v>210</v>
      </c>
      <c r="D1177" s="89">
        <v>-3</v>
      </c>
      <c r="E1177" s="89" t="s">
        <v>210</v>
      </c>
      <c r="F1177" s="89" t="s">
        <v>210</v>
      </c>
      <c r="G1177" s="89">
        <v>2</v>
      </c>
      <c r="H1177" s="89" t="s">
        <v>210</v>
      </c>
      <c r="I1177" s="89" t="s">
        <v>210</v>
      </c>
      <c r="J1177" s="89">
        <v>-4</v>
      </c>
      <c r="K1177" s="89" t="s">
        <v>210</v>
      </c>
      <c r="L1177" s="89" t="s">
        <v>210</v>
      </c>
      <c r="M1177" s="89">
        <v>-6</v>
      </c>
      <c r="N1177" s="89" t="s">
        <v>210</v>
      </c>
      <c r="O1177" s="89" t="s">
        <v>210</v>
      </c>
      <c r="P1177" s="89">
        <v>5</v>
      </c>
      <c r="Q1177" s="89" t="s">
        <v>210</v>
      </c>
      <c r="R1177" s="89">
        <v>3</v>
      </c>
      <c r="S1177" s="89" t="s">
        <v>210</v>
      </c>
      <c r="T1177" s="89">
        <v>1</v>
      </c>
      <c r="U1177" s="89" t="s">
        <v>210</v>
      </c>
      <c r="V1177" s="89"/>
      <c r="W1177" s="89"/>
      <c r="X1177" s="89"/>
      <c r="Y1177" s="89"/>
      <c r="Z1177" s="89"/>
      <c r="AA1177" s="89"/>
      <c r="AB1177" s="89"/>
      <c r="AC1177" s="89"/>
      <c r="AD1177" s="89"/>
      <c r="AE1177" s="89"/>
      <c r="AF1177" s="89"/>
      <c r="AG1177" s="89"/>
      <c r="AH1177" s="89"/>
      <c r="AI1177" s="89"/>
      <c r="AJ1177" s="89"/>
      <c r="AK1177" s="89"/>
      <c r="AL1177" s="89"/>
      <c r="AM1177" s="89"/>
      <c r="AN1177" s="89"/>
      <c r="AO1177" s="89"/>
      <c r="AP1177" s="89"/>
      <c r="AQ1177" s="89"/>
      <c r="AR1177" s="89"/>
      <c r="AS1177" s="89"/>
      <c r="AT1177" s="89"/>
      <c r="AU1177" s="89"/>
      <c r="AV1177" s="89"/>
      <c r="AW1177" s="89"/>
      <c r="AX1177" s="89"/>
      <c r="AY1177" s="89"/>
      <c r="AZ1177" s="89"/>
      <c r="BA1177" s="95"/>
    </row>
    <row r="1178" spans="1:53" s="87" customFormat="1">
      <c r="A1178" s="374" t="str">
        <f t="shared" si="66"/>
        <v/>
      </c>
      <c r="B1178" s="89">
        <v>10</v>
      </c>
      <c r="C1178" s="89" t="s">
        <v>210</v>
      </c>
      <c r="D1178" s="89">
        <v>4</v>
      </c>
      <c r="E1178" s="89" t="s">
        <v>210</v>
      </c>
      <c r="F1178" s="89" t="s">
        <v>210</v>
      </c>
      <c r="G1178" s="89">
        <v>-5</v>
      </c>
      <c r="H1178" s="89" t="s">
        <v>210</v>
      </c>
      <c r="I1178" s="89" t="s">
        <v>210</v>
      </c>
      <c r="J1178" s="89">
        <v>3</v>
      </c>
      <c r="K1178" s="89" t="s">
        <v>210</v>
      </c>
      <c r="L1178" s="89" t="s">
        <v>210</v>
      </c>
      <c r="M1178" s="89">
        <v>-1</v>
      </c>
      <c r="N1178" s="89" t="s">
        <v>210</v>
      </c>
      <c r="O1178" s="89" t="s">
        <v>210</v>
      </c>
      <c r="P1178" s="89">
        <v>-4</v>
      </c>
      <c r="Q1178" s="89" t="s">
        <v>210</v>
      </c>
      <c r="R1178" s="89">
        <v>-3</v>
      </c>
      <c r="S1178" s="89" t="s">
        <v>210</v>
      </c>
      <c r="T1178" s="89">
        <v>6</v>
      </c>
      <c r="U1178" s="89" t="s">
        <v>210</v>
      </c>
      <c r="V1178" s="89"/>
      <c r="W1178" s="89"/>
      <c r="X1178" s="89"/>
      <c r="Y1178" s="89"/>
      <c r="Z1178" s="89"/>
      <c r="AA1178" s="89"/>
      <c r="AB1178" s="89"/>
      <c r="AC1178" s="89"/>
      <c r="AD1178" s="89"/>
      <c r="AE1178" s="89"/>
      <c r="AF1178" s="89"/>
      <c r="AG1178" s="89"/>
      <c r="AH1178" s="89"/>
      <c r="AI1178" s="89"/>
      <c r="AJ1178" s="89"/>
      <c r="AK1178" s="89"/>
      <c r="AL1178" s="89"/>
      <c r="AM1178" s="89"/>
      <c r="AN1178" s="89"/>
      <c r="AO1178" s="89"/>
      <c r="AP1178" s="89"/>
      <c r="AQ1178" s="89"/>
      <c r="AR1178" s="89"/>
      <c r="AS1178" s="89"/>
      <c r="AT1178" s="89"/>
      <c r="AU1178" s="89"/>
      <c r="AV1178" s="89"/>
      <c r="AW1178" s="89"/>
      <c r="AX1178" s="89"/>
      <c r="AY1178" s="89"/>
      <c r="AZ1178" s="89"/>
      <c r="BA1178" s="95"/>
    </row>
    <row r="1179" spans="1:53" s="87" customFormat="1">
      <c r="A1179" s="374" t="str">
        <f t="shared" si="66"/>
        <v/>
      </c>
      <c r="B1179" s="89">
        <v>11</v>
      </c>
      <c r="C1179" s="89" t="s">
        <v>210</v>
      </c>
      <c r="D1179" s="89">
        <v>-2</v>
      </c>
      <c r="E1179" s="89" t="s">
        <v>210</v>
      </c>
      <c r="F1179" s="89" t="s">
        <v>210</v>
      </c>
      <c r="G1179" s="89">
        <v>1</v>
      </c>
      <c r="H1179" s="89" t="s">
        <v>210</v>
      </c>
      <c r="I1179" s="89" t="s">
        <v>210</v>
      </c>
      <c r="J1179" s="89">
        <v>-6</v>
      </c>
      <c r="K1179" s="89" t="s">
        <v>210</v>
      </c>
      <c r="L1179" s="89" t="s">
        <v>210</v>
      </c>
      <c r="M1179" s="89">
        <v>5</v>
      </c>
      <c r="N1179" s="89" t="s">
        <v>210</v>
      </c>
      <c r="O1179" s="89" t="s">
        <v>210</v>
      </c>
      <c r="P1179" s="89">
        <v>4</v>
      </c>
      <c r="Q1179" s="89" t="s">
        <v>210</v>
      </c>
      <c r="R1179" s="89">
        <v>2</v>
      </c>
      <c r="S1179" s="89" t="s">
        <v>210</v>
      </c>
      <c r="T1179" s="89">
        <v>-1</v>
      </c>
      <c r="U1179" s="89" t="s">
        <v>210</v>
      </c>
      <c r="V1179" s="89"/>
      <c r="W1179" s="89"/>
      <c r="X1179" s="89"/>
      <c r="Y1179" s="89"/>
      <c r="Z1179" s="89"/>
      <c r="AA1179" s="89"/>
      <c r="AB1179" s="89"/>
      <c r="AC1179" s="89"/>
      <c r="AD1179" s="89"/>
      <c r="AE1179" s="89"/>
      <c r="AF1179" s="89"/>
      <c r="AG1179" s="89"/>
      <c r="AH1179" s="89"/>
      <c r="AI1179" s="89"/>
      <c r="AJ1179" s="89"/>
      <c r="AK1179" s="89"/>
      <c r="AL1179" s="89"/>
      <c r="AM1179" s="89"/>
      <c r="AN1179" s="89"/>
      <c r="AO1179" s="89"/>
      <c r="AP1179" s="89"/>
      <c r="AQ1179" s="89"/>
      <c r="AR1179" s="89"/>
      <c r="AS1179" s="89"/>
      <c r="AT1179" s="89"/>
      <c r="AU1179" s="89"/>
      <c r="AV1179" s="89"/>
      <c r="AW1179" s="89"/>
      <c r="AX1179" s="89"/>
      <c r="AY1179" s="89"/>
      <c r="AZ1179" s="89"/>
      <c r="BA1179" s="95"/>
    </row>
    <row r="1180" spans="1:53" s="87" customFormat="1">
      <c r="A1180" s="374" t="str">
        <f t="shared" si="66"/>
        <v/>
      </c>
      <c r="B1180" s="89">
        <v>12</v>
      </c>
      <c r="C1180" s="89" t="s">
        <v>210</v>
      </c>
      <c r="D1180" s="89">
        <v>5</v>
      </c>
      <c r="E1180" s="89" t="s">
        <v>210</v>
      </c>
      <c r="F1180" s="89" t="s">
        <v>210</v>
      </c>
      <c r="G1180" s="89">
        <v>6</v>
      </c>
      <c r="H1180" s="89" t="s">
        <v>210</v>
      </c>
      <c r="I1180" s="89" t="s">
        <v>210</v>
      </c>
      <c r="J1180" s="89">
        <v>-1</v>
      </c>
      <c r="K1180" s="89" t="s">
        <v>210</v>
      </c>
      <c r="L1180" s="89" t="s">
        <v>210</v>
      </c>
      <c r="M1180" s="89">
        <v>4</v>
      </c>
      <c r="N1180" s="89" t="s">
        <v>210</v>
      </c>
      <c r="O1180" s="89" t="s">
        <v>210</v>
      </c>
      <c r="P1180" s="89">
        <v>-5</v>
      </c>
      <c r="Q1180" s="89" t="s">
        <v>210</v>
      </c>
      <c r="R1180" s="89">
        <v>-2</v>
      </c>
      <c r="S1180" s="89" t="s">
        <v>210</v>
      </c>
      <c r="T1180" s="89">
        <v>-6</v>
      </c>
      <c r="U1180" s="89" t="s">
        <v>210</v>
      </c>
      <c r="V1180" s="89"/>
      <c r="W1180" s="89"/>
      <c r="X1180" s="89"/>
      <c r="Y1180" s="89"/>
      <c r="Z1180" s="89"/>
      <c r="AA1180" s="89"/>
      <c r="AB1180" s="89"/>
      <c r="AC1180" s="89"/>
      <c r="AD1180" s="89"/>
      <c r="AE1180" s="89"/>
      <c r="AF1180" s="89"/>
      <c r="AG1180" s="89"/>
      <c r="AH1180" s="89"/>
      <c r="AI1180" s="89"/>
      <c r="AJ1180" s="89"/>
      <c r="AK1180" s="89"/>
      <c r="AL1180" s="89"/>
      <c r="AM1180" s="89"/>
      <c r="AN1180" s="89"/>
      <c r="AO1180" s="89"/>
      <c r="AP1180" s="89"/>
      <c r="AQ1180" s="89"/>
      <c r="AR1180" s="89"/>
      <c r="AS1180" s="89"/>
      <c r="AT1180" s="89"/>
      <c r="AU1180" s="89"/>
      <c r="AV1180" s="89"/>
      <c r="AW1180" s="89"/>
      <c r="AX1180" s="89"/>
      <c r="AY1180" s="89"/>
      <c r="AZ1180" s="89"/>
      <c r="BA1180" s="95"/>
    </row>
    <row r="1181" spans="1:53" s="87" customFormat="1">
      <c r="A1181" s="374" t="str">
        <f t="shared" si="66"/>
        <v/>
      </c>
      <c r="B1181" s="89">
        <v>13</v>
      </c>
      <c r="C1181" s="89" t="s">
        <v>210</v>
      </c>
      <c r="D1181" s="89">
        <v>3</v>
      </c>
      <c r="E1181" s="89" t="s">
        <v>210</v>
      </c>
      <c r="F1181" s="89" t="s">
        <v>210</v>
      </c>
      <c r="G1181" s="89">
        <v>5</v>
      </c>
      <c r="H1181" s="89" t="s">
        <v>210</v>
      </c>
      <c r="I1181" s="89" t="s">
        <v>210</v>
      </c>
      <c r="J1181" s="89">
        <v>6</v>
      </c>
      <c r="K1181" s="89" t="s">
        <v>210</v>
      </c>
      <c r="L1181" s="89" t="s">
        <v>210</v>
      </c>
      <c r="M1181" s="89">
        <v>-4</v>
      </c>
      <c r="N1181" s="89" t="s">
        <v>210</v>
      </c>
      <c r="O1181" s="89" t="s">
        <v>210</v>
      </c>
      <c r="P1181" s="89" t="s">
        <v>210</v>
      </c>
      <c r="Q1181" s="89">
        <v>2</v>
      </c>
      <c r="R1181" s="89" t="s">
        <v>210</v>
      </c>
      <c r="S1181" s="89">
        <v>-3</v>
      </c>
      <c r="T1181" s="89" t="s">
        <v>210</v>
      </c>
      <c r="U1181" s="89">
        <v>-1</v>
      </c>
      <c r="V1181" s="89"/>
      <c r="W1181" s="89"/>
      <c r="X1181" s="89"/>
      <c r="Y1181" s="89"/>
      <c r="Z1181" s="89"/>
      <c r="AA1181" s="89"/>
      <c r="AB1181" s="89"/>
      <c r="AC1181" s="89"/>
      <c r="AD1181" s="89"/>
      <c r="AE1181" s="89"/>
      <c r="AF1181" s="89"/>
      <c r="AG1181" s="89"/>
      <c r="AH1181" s="89"/>
      <c r="AI1181" s="89"/>
      <c r="AJ1181" s="89"/>
      <c r="AK1181" s="89"/>
      <c r="AL1181" s="89"/>
      <c r="AM1181" s="89"/>
      <c r="AN1181" s="89"/>
      <c r="AO1181" s="89"/>
      <c r="AP1181" s="89"/>
      <c r="AQ1181" s="89"/>
      <c r="AR1181" s="89"/>
      <c r="AS1181" s="89"/>
      <c r="AT1181" s="89"/>
      <c r="AU1181" s="89"/>
      <c r="AV1181" s="89"/>
      <c r="AW1181" s="89"/>
      <c r="AX1181" s="89"/>
      <c r="AY1181" s="89"/>
      <c r="AZ1181" s="89"/>
      <c r="BA1181" s="95"/>
    </row>
    <row r="1182" spans="1:53" s="87" customFormat="1">
      <c r="A1182" s="374" t="str">
        <f t="shared" si="66"/>
        <v/>
      </c>
      <c r="B1182" s="89">
        <v>14</v>
      </c>
      <c r="C1182" s="89" t="s">
        <v>210</v>
      </c>
      <c r="D1182" s="89">
        <v>-4</v>
      </c>
      <c r="E1182" s="89" t="s">
        <v>210</v>
      </c>
      <c r="F1182" s="89" t="s">
        <v>210</v>
      </c>
      <c r="G1182" s="89">
        <v>-2</v>
      </c>
      <c r="H1182" s="89" t="s">
        <v>210</v>
      </c>
      <c r="I1182" s="89" t="s">
        <v>210</v>
      </c>
      <c r="J1182" s="89">
        <v>1</v>
      </c>
      <c r="K1182" s="89" t="s">
        <v>210</v>
      </c>
      <c r="L1182" s="89" t="s">
        <v>210</v>
      </c>
      <c r="M1182" s="89">
        <v>-5</v>
      </c>
      <c r="N1182" s="89" t="s">
        <v>210</v>
      </c>
      <c r="O1182" s="89" t="s">
        <v>210</v>
      </c>
      <c r="P1182" s="89" t="s">
        <v>210</v>
      </c>
      <c r="Q1182" s="89">
        <v>4</v>
      </c>
      <c r="R1182" s="89" t="s">
        <v>210</v>
      </c>
      <c r="S1182" s="89">
        <v>3</v>
      </c>
      <c r="T1182" s="89" t="s">
        <v>210</v>
      </c>
      <c r="U1182" s="89">
        <v>-6</v>
      </c>
      <c r="V1182" s="89"/>
      <c r="W1182" s="89"/>
      <c r="X1182" s="89"/>
      <c r="Y1182" s="89"/>
      <c r="Z1182" s="89"/>
      <c r="AA1182" s="89"/>
      <c r="AB1182" s="89"/>
      <c r="AC1182" s="89"/>
      <c r="AD1182" s="89"/>
      <c r="AE1182" s="89"/>
      <c r="AF1182" s="89"/>
      <c r="AG1182" s="89"/>
      <c r="AH1182" s="89"/>
      <c r="AI1182" s="89"/>
      <c r="AJ1182" s="89"/>
      <c r="AK1182" s="89"/>
      <c r="AL1182" s="89"/>
      <c r="AM1182" s="89"/>
      <c r="AN1182" s="89"/>
      <c r="AO1182" s="89"/>
      <c r="AP1182" s="89"/>
      <c r="AQ1182" s="89"/>
      <c r="AR1182" s="89"/>
      <c r="AS1182" s="89"/>
      <c r="AT1182" s="89"/>
      <c r="AU1182" s="89"/>
      <c r="AV1182" s="89"/>
      <c r="AW1182" s="89"/>
      <c r="AX1182" s="89"/>
      <c r="AY1182" s="89"/>
      <c r="AZ1182" s="89"/>
      <c r="BA1182" s="95"/>
    </row>
    <row r="1183" spans="1:53" s="87" customFormat="1">
      <c r="A1183" s="374" t="str">
        <f t="shared" si="66"/>
        <v/>
      </c>
      <c r="B1183" s="89">
        <v>15</v>
      </c>
      <c r="C1183" s="89" t="s">
        <v>210</v>
      </c>
      <c r="D1183" s="89">
        <v>2</v>
      </c>
      <c r="E1183" s="89" t="s">
        <v>210</v>
      </c>
      <c r="F1183" s="89" t="s">
        <v>210</v>
      </c>
      <c r="G1183" s="89">
        <v>-6</v>
      </c>
      <c r="H1183" s="89" t="s">
        <v>210</v>
      </c>
      <c r="I1183" s="89" t="s">
        <v>210</v>
      </c>
      <c r="J1183" s="89">
        <v>4</v>
      </c>
      <c r="K1183" s="89" t="s">
        <v>210</v>
      </c>
      <c r="L1183" s="89" t="s">
        <v>210</v>
      </c>
      <c r="M1183" s="89">
        <v>1</v>
      </c>
      <c r="N1183" s="89" t="s">
        <v>210</v>
      </c>
      <c r="O1183" s="89" t="s">
        <v>210</v>
      </c>
      <c r="P1183" s="89" t="s">
        <v>210</v>
      </c>
      <c r="Q1183" s="89">
        <v>-2</v>
      </c>
      <c r="R1183" s="89" t="s">
        <v>210</v>
      </c>
      <c r="S1183" s="89">
        <v>-5</v>
      </c>
      <c r="T1183" s="89" t="s">
        <v>210</v>
      </c>
      <c r="U1183" s="89">
        <v>6</v>
      </c>
      <c r="V1183" s="89"/>
      <c r="W1183" s="89"/>
      <c r="X1183" s="89"/>
      <c r="Y1183" s="89"/>
      <c r="Z1183" s="89"/>
      <c r="AA1183" s="89"/>
      <c r="AB1183" s="89"/>
      <c r="AC1183" s="89"/>
      <c r="AD1183" s="89"/>
      <c r="AE1183" s="89"/>
      <c r="AF1183" s="89"/>
      <c r="AG1183" s="89"/>
      <c r="AH1183" s="89"/>
      <c r="AI1183" s="89"/>
      <c r="AJ1183" s="89"/>
      <c r="AK1183" s="89"/>
      <c r="AL1183" s="89"/>
      <c r="AM1183" s="89"/>
      <c r="AN1183" s="89"/>
      <c r="AO1183" s="89"/>
      <c r="AP1183" s="89"/>
      <c r="AQ1183" s="89"/>
      <c r="AR1183" s="89"/>
      <c r="AS1183" s="89"/>
      <c r="AT1183" s="89"/>
      <c r="AU1183" s="89"/>
      <c r="AV1183" s="89"/>
      <c r="AW1183" s="89"/>
      <c r="AX1183" s="89"/>
      <c r="AY1183" s="89"/>
      <c r="AZ1183" s="89"/>
      <c r="BA1183" s="95"/>
    </row>
    <row r="1184" spans="1:53" s="87" customFormat="1">
      <c r="A1184" s="374" t="str">
        <f t="shared" si="66"/>
        <v/>
      </c>
      <c r="B1184" s="99">
        <v>16</v>
      </c>
      <c r="C1184" s="92" t="s">
        <v>210</v>
      </c>
      <c r="D1184" s="92">
        <v>-5</v>
      </c>
      <c r="E1184" s="92" t="s">
        <v>210</v>
      </c>
      <c r="F1184" s="92" t="s">
        <v>210</v>
      </c>
      <c r="G1184" s="92">
        <v>-1</v>
      </c>
      <c r="H1184" s="92" t="s">
        <v>210</v>
      </c>
      <c r="I1184" s="92" t="s">
        <v>210</v>
      </c>
      <c r="J1184" s="92">
        <v>-3</v>
      </c>
      <c r="K1184" s="92" t="s">
        <v>210</v>
      </c>
      <c r="L1184" s="92" t="s">
        <v>210</v>
      </c>
      <c r="M1184" s="92">
        <v>6</v>
      </c>
      <c r="N1184" s="92" t="s">
        <v>210</v>
      </c>
      <c r="O1184" s="92" t="s">
        <v>210</v>
      </c>
      <c r="P1184" s="92" t="s">
        <v>210</v>
      </c>
      <c r="Q1184" s="92">
        <v>-4</v>
      </c>
      <c r="R1184" s="92" t="s">
        <v>210</v>
      </c>
      <c r="S1184" s="92">
        <v>5</v>
      </c>
      <c r="T1184" s="92" t="s">
        <v>210</v>
      </c>
      <c r="U1184" s="92">
        <v>1</v>
      </c>
      <c r="V1184" s="89"/>
      <c r="W1184" s="89"/>
      <c r="X1184" s="89"/>
      <c r="Y1184" s="89"/>
      <c r="Z1184" s="89"/>
      <c r="AA1184" s="89"/>
      <c r="AB1184" s="89"/>
      <c r="AC1184" s="89"/>
      <c r="AD1184" s="89"/>
      <c r="AE1184" s="89"/>
      <c r="AF1184" s="89"/>
      <c r="AG1184" s="89"/>
      <c r="AH1184" s="89"/>
      <c r="AI1184" s="89"/>
      <c r="AJ1184" s="89"/>
      <c r="AK1184" s="89"/>
      <c r="AL1184" s="89"/>
      <c r="AM1184" s="89"/>
      <c r="AN1184" s="89"/>
      <c r="AO1184" s="89"/>
      <c r="AP1184" s="89"/>
      <c r="AQ1184" s="89"/>
      <c r="AR1184" s="89"/>
      <c r="AS1184" s="89"/>
      <c r="AT1184" s="89"/>
      <c r="AU1184" s="89"/>
      <c r="AV1184" s="89"/>
      <c r="AW1184" s="89"/>
      <c r="AX1184" s="89"/>
      <c r="AY1184" s="89"/>
      <c r="AZ1184" s="89"/>
      <c r="BA1184" s="95"/>
    </row>
    <row r="1185" spans="1:53" s="87" customFormat="1">
      <c r="A1185" s="374" t="str">
        <f t="shared" si="66"/>
        <v/>
      </c>
      <c r="B1185" s="89">
        <v>17</v>
      </c>
      <c r="C1185" s="89" t="s">
        <v>210</v>
      </c>
      <c r="D1185" s="89" t="s">
        <v>210</v>
      </c>
      <c r="E1185" s="89">
        <v>-3</v>
      </c>
      <c r="F1185" s="89" t="s">
        <v>210</v>
      </c>
      <c r="G1185" s="89" t="s">
        <v>210</v>
      </c>
      <c r="H1185" s="89">
        <v>2</v>
      </c>
      <c r="I1185" s="89" t="s">
        <v>210</v>
      </c>
      <c r="J1185" s="89">
        <v>5</v>
      </c>
      <c r="K1185" s="89" t="s">
        <v>210</v>
      </c>
      <c r="L1185" s="89">
        <v>4</v>
      </c>
      <c r="M1185" s="89" t="s">
        <v>210</v>
      </c>
      <c r="N1185" s="89" t="s">
        <v>210</v>
      </c>
      <c r="O1185" s="89">
        <v>-1</v>
      </c>
      <c r="P1185" s="89" t="s">
        <v>210</v>
      </c>
      <c r="Q1185" s="89" t="s">
        <v>210</v>
      </c>
      <c r="R1185" s="89">
        <v>-6</v>
      </c>
      <c r="S1185" s="89" t="s">
        <v>210</v>
      </c>
      <c r="T1185" s="89" t="s">
        <v>210</v>
      </c>
      <c r="U1185" s="89">
        <v>-4</v>
      </c>
      <c r="V1185" s="89"/>
      <c r="W1185" s="89"/>
      <c r="X1185" s="89"/>
      <c r="Y1185" s="89"/>
      <c r="Z1185" s="89"/>
      <c r="AA1185" s="89"/>
      <c r="AB1185" s="89"/>
      <c r="AC1185" s="89"/>
      <c r="AD1185" s="89"/>
      <c r="AE1185" s="89"/>
      <c r="AF1185" s="89"/>
      <c r="AG1185" s="89"/>
      <c r="AH1185" s="89"/>
      <c r="AI1185" s="89"/>
      <c r="AJ1185" s="89"/>
      <c r="AK1185" s="89"/>
      <c r="AL1185" s="89"/>
      <c r="AM1185" s="89"/>
      <c r="AN1185" s="89"/>
      <c r="AO1185" s="89"/>
      <c r="AP1185" s="89"/>
      <c r="AQ1185" s="89"/>
      <c r="AR1185" s="89"/>
      <c r="AS1185" s="89"/>
      <c r="AT1185" s="89"/>
      <c r="AU1185" s="89"/>
      <c r="AV1185" s="89"/>
      <c r="AW1185" s="89"/>
      <c r="AX1185" s="89"/>
      <c r="AY1185" s="89"/>
      <c r="AZ1185" s="89"/>
      <c r="BA1185" s="95"/>
    </row>
    <row r="1186" spans="1:53" s="87" customFormat="1">
      <c r="A1186" s="374" t="str">
        <f t="shared" si="66"/>
        <v/>
      </c>
      <c r="B1186" s="89">
        <v>18</v>
      </c>
      <c r="C1186" s="89" t="s">
        <v>210</v>
      </c>
      <c r="D1186" s="89" t="s">
        <v>210</v>
      </c>
      <c r="E1186" s="89">
        <v>4</v>
      </c>
      <c r="F1186" s="89" t="s">
        <v>210</v>
      </c>
      <c r="G1186" s="89" t="s">
        <v>210</v>
      </c>
      <c r="H1186" s="89">
        <v>-6</v>
      </c>
      <c r="I1186" s="89" t="s">
        <v>210</v>
      </c>
      <c r="J1186" s="89">
        <v>-5</v>
      </c>
      <c r="K1186" s="89" t="s">
        <v>210</v>
      </c>
      <c r="L1186" s="89">
        <v>-3</v>
      </c>
      <c r="M1186" s="89" t="s">
        <v>210</v>
      </c>
      <c r="N1186" s="89" t="s">
        <v>210</v>
      </c>
      <c r="O1186" s="89">
        <v>2</v>
      </c>
      <c r="P1186" s="89" t="s">
        <v>210</v>
      </c>
      <c r="Q1186" s="89" t="s">
        <v>210</v>
      </c>
      <c r="R1186" s="89">
        <v>1</v>
      </c>
      <c r="S1186" s="89" t="s">
        <v>210</v>
      </c>
      <c r="T1186" s="89" t="s">
        <v>210</v>
      </c>
      <c r="U1186" s="89">
        <v>3</v>
      </c>
      <c r="V1186" s="89"/>
      <c r="W1186" s="89"/>
      <c r="X1186" s="89"/>
      <c r="Y1186" s="89"/>
      <c r="Z1186" s="89"/>
      <c r="AA1186" s="89"/>
      <c r="AB1186" s="89"/>
      <c r="AC1186" s="89"/>
      <c r="AD1186" s="89"/>
      <c r="AE1186" s="89"/>
      <c r="AF1186" s="89"/>
      <c r="AG1186" s="89"/>
      <c r="AH1186" s="89"/>
      <c r="AI1186" s="89"/>
      <c r="AJ1186" s="89"/>
      <c r="AK1186" s="89"/>
      <c r="AL1186" s="89"/>
      <c r="AM1186" s="89"/>
      <c r="AN1186" s="89"/>
      <c r="AO1186" s="89"/>
      <c r="AP1186" s="89"/>
      <c r="AQ1186" s="89"/>
      <c r="AR1186" s="89"/>
      <c r="AS1186" s="89"/>
      <c r="AT1186" s="89"/>
      <c r="AU1186" s="89"/>
      <c r="AV1186" s="89"/>
      <c r="AW1186" s="89"/>
      <c r="AX1186" s="89"/>
      <c r="AY1186" s="89"/>
      <c r="AZ1186" s="89"/>
      <c r="BA1186" s="95"/>
    </row>
    <row r="1187" spans="1:53" s="87" customFormat="1">
      <c r="A1187" s="374" t="str">
        <f t="shared" si="66"/>
        <v/>
      </c>
      <c r="B1187" s="89">
        <v>19</v>
      </c>
      <c r="C1187" s="89" t="s">
        <v>210</v>
      </c>
      <c r="D1187" s="89" t="s">
        <v>210</v>
      </c>
      <c r="E1187" s="89">
        <v>1</v>
      </c>
      <c r="F1187" s="89" t="s">
        <v>210</v>
      </c>
      <c r="G1187" s="89" t="s">
        <v>210</v>
      </c>
      <c r="H1187" s="89">
        <v>-5</v>
      </c>
      <c r="I1187" s="89" t="s">
        <v>210</v>
      </c>
      <c r="J1187" s="89">
        <v>2</v>
      </c>
      <c r="K1187" s="89" t="s">
        <v>210</v>
      </c>
      <c r="L1187" s="89">
        <v>3</v>
      </c>
      <c r="M1187" s="89" t="s">
        <v>210</v>
      </c>
      <c r="N1187" s="89" t="s">
        <v>210</v>
      </c>
      <c r="O1187" s="89">
        <v>-4</v>
      </c>
      <c r="P1187" s="89" t="s">
        <v>210</v>
      </c>
      <c r="Q1187" s="89" t="s">
        <v>210</v>
      </c>
      <c r="R1187" s="89">
        <v>6</v>
      </c>
      <c r="S1187" s="89" t="s">
        <v>210</v>
      </c>
      <c r="T1187" s="89" t="s">
        <v>210</v>
      </c>
      <c r="U1187" s="89">
        <v>-2</v>
      </c>
      <c r="V1187" s="89"/>
      <c r="W1187" s="89"/>
      <c r="X1187" s="89"/>
      <c r="Y1187" s="89"/>
      <c r="Z1187" s="89"/>
      <c r="AA1187" s="89"/>
      <c r="AB1187" s="89"/>
      <c r="AC1187" s="89"/>
      <c r="AD1187" s="89"/>
      <c r="AE1187" s="89"/>
      <c r="AF1187" s="89"/>
      <c r="AG1187" s="89"/>
      <c r="AH1187" s="89"/>
      <c r="AI1187" s="89"/>
      <c r="AJ1187" s="89"/>
      <c r="AK1187" s="89"/>
      <c r="AL1187" s="89"/>
      <c r="AM1187" s="89"/>
      <c r="AN1187" s="89"/>
      <c r="AO1187" s="89"/>
      <c r="AP1187" s="89"/>
      <c r="AQ1187" s="89"/>
      <c r="AR1187" s="89"/>
      <c r="AS1187" s="89"/>
      <c r="AT1187" s="89"/>
      <c r="AU1187" s="89"/>
      <c r="AV1187" s="89"/>
      <c r="AW1187" s="89"/>
      <c r="AX1187" s="89"/>
      <c r="AY1187" s="89"/>
      <c r="AZ1187" s="89"/>
      <c r="BA1187" s="95"/>
    </row>
    <row r="1188" spans="1:53" s="87" customFormat="1">
      <c r="A1188" s="374" t="str">
        <f t="shared" si="66"/>
        <v/>
      </c>
      <c r="B1188" s="89">
        <v>20</v>
      </c>
      <c r="C1188" s="89" t="s">
        <v>210</v>
      </c>
      <c r="D1188" s="89" t="s">
        <v>210</v>
      </c>
      <c r="E1188" s="89">
        <v>-6</v>
      </c>
      <c r="F1188" s="89" t="s">
        <v>210</v>
      </c>
      <c r="G1188" s="89" t="s">
        <v>210</v>
      </c>
      <c r="H1188" s="89">
        <v>1</v>
      </c>
      <c r="I1188" s="89" t="s">
        <v>210</v>
      </c>
      <c r="J1188" s="89">
        <v>-2</v>
      </c>
      <c r="K1188" s="89" t="s">
        <v>210</v>
      </c>
      <c r="L1188" s="89">
        <v>-4</v>
      </c>
      <c r="M1188" s="89" t="s">
        <v>210</v>
      </c>
      <c r="N1188" s="89" t="s">
        <v>210</v>
      </c>
      <c r="O1188" s="89">
        <v>6</v>
      </c>
      <c r="P1188" s="89" t="s">
        <v>210</v>
      </c>
      <c r="Q1188" s="89" t="s">
        <v>210</v>
      </c>
      <c r="R1188" s="89">
        <v>-1</v>
      </c>
      <c r="S1188" s="89" t="s">
        <v>210</v>
      </c>
      <c r="T1188" s="89" t="s">
        <v>210</v>
      </c>
      <c r="U1188" s="89">
        <v>5</v>
      </c>
      <c r="V1188" s="89"/>
      <c r="W1188" s="89"/>
      <c r="X1188" s="89"/>
      <c r="Y1188" s="89"/>
      <c r="Z1188" s="89"/>
      <c r="AA1188" s="89"/>
      <c r="AB1188" s="89"/>
      <c r="AC1188" s="89"/>
      <c r="AD1188" s="89"/>
      <c r="AE1188" s="89"/>
      <c r="AF1188" s="89"/>
      <c r="AG1188" s="89"/>
      <c r="AH1188" s="89"/>
      <c r="AI1188" s="89"/>
      <c r="AJ1188" s="89"/>
      <c r="AK1188" s="89"/>
      <c r="AL1188" s="89"/>
      <c r="AM1188" s="89"/>
      <c r="AN1188" s="89"/>
      <c r="AO1188" s="89"/>
      <c r="AP1188" s="89"/>
      <c r="AQ1188" s="89"/>
      <c r="AR1188" s="89"/>
      <c r="AS1188" s="89"/>
      <c r="AT1188" s="89"/>
      <c r="AU1188" s="89"/>
      <c r="AV1188" s="89"/>
      <c r="AW1188" s="89"/>
      <c r="AX1188" s="89"/>
      <c r="AY1188" s="89"/>
      <c r="AZ1188" s="89"/>
      <c r="BA1188" s="95"/>
    </row>
    <row r="1189" spans="1:53" s="87" customFormat="1">
      <c r="A1189" s="374" t="str">
        <f t="shared" si="66"/>
        <v/>
      </c>
      <c r="B1189" s="89">
        <v>21</v>
      </c>
      <c r="C1189" s="89" t="s">
        <v>210</v>
      </c>
      <c r="D1189" s="89" t="s">
        <v>210</v>
      </c>
      <c r="E1189" s="89">
        <v>3</v>
      </c>
      <c r="F1189" s="89" t="s">
        <v>210</v>
      </c>
      <c r="G1189" s="89" t="s">
        <v>210</v>
      </c>
      <c r="H1189" s="89">
        <v>-1</v>
      </c>
      <c r="I1189" s="89" t="s">
        <v>210</v>
      </c>
      <c r="J1189" s="89" t="s">
        <v>210</v>
      </c>
      <c r="K1189" s="89">
        <v>-5</v>
      </c>
      <c r="L1189" s="89" t="s">
        <v>210</v>
      </c>
      <c r="M1189" s="89">
        <v>2</v>
      </c>
      <c r="N1189" s="89" t="s">
        <v>210</v>
      </c>
      <c r="O1189" s="89">
        <v>4</v>
      </c>
      <c r="P1189" s="89" t="s">
        <v>210</v>
      </c>
      <c r="Q1189" s="89" t="s">
        <v>210</v>
      </c>
      <c r="R1189" s="89">
        <v>5</v>
      </c>
      <c r="S1189" s="89" t="s">
        <v>210</v>
      </c>
      <c r="T1189" s="89" t="s">
        <v>210</v>
      </c>
      <c r="U1189" s="89">
        <v>-3</v>
      </c>
      <c r="V1189" s="89"/>
      <c r="W1189" s="89"/>
      <c r="X1189" s="89"/>
      <c r="Y1189" s="89"/>
      <c r="Z1189" s="89"/>
      <c r="AA1189" s="89"/>
      <c r="AB1189" s="89"/>
      <c r="AC1189" s="89"/>
      <c r="AD1189" s="89"/>
      <c r="AE1189" s="89"/>
      <c r="AF1189" s="89"/>
      <c r="AG1189" s="89"/>
      <c r="AH1189" s="89"/>
      <c r="AI1189" s="89"/>
      <c r="AJ1189" s="89"/>
      <c r="AK1189" s="89"/>
      <c r="AL1189" s="89"/>
      <c r="AM1189" s="89"/>
      <c r="AN1189" s="89"/>
      <c r="AO1189" s="89"/>
      <c r="AP1189" s="89"/>
      <c r="AQ1189" s="89"/>
      <c r="AR1189" s="89"/>
      <c r="AS1189" s="89"/>
      <c r="AT1189" s="89"/>
      <c r="AU1189" s="89"/>
      <c r="AV1189" s="89"/>
      <c r="AW1189" s="89"/>
      <c r="AX1189" s="89"/>
      <c r="AY1189" s="89"/>
      <c r="AZ1189" s="89"/>
      <c r="BA1189" s="95"/>
    </row>
    <row r="1190" spans="1:53" s="87" customFormat="1">
      <c r="A1190" s="374" t="str">
        <f t="shared" si="66"/>
        <v/>
      </c>
      <c r="B1190" s="89">
        <v>22</v>
      </c>
      <c r="C1190" s="89" t="s">
        <v>210</v>
      </c>
      <c r="D1190" s="89" t="s">
        <v>210</v>
      </c>
      <c r="E1190" s="89">
        <v>-4</v>
      </c>
      <c r="F1190" s="89" t="s">
        <v>210</v>
      </c>
      <c r="G1190" s="89" t="s">
        <v>210</v>
      </c>
      <c r="H1190" s="89">
        <v>-2</v>
      </c>
      <c r="I1190" s="89" t="s">
        <v>210</v>
      </c>
      <c r="J1190" s="89" t="s">
        <v>210</v>
      </c>
      <c r="K1190" s="89">
        <v>5</v>
      </c>
      <c r="L1190" s="89" t="s">
        <v>210</v>
      </c>
      <c r="M1190" s="89">
        <v>-3</v>
      </c>
      <c r="N1190" s="89" t="s">
        <v>210</v>
      </c>
      <c r="O1190" s="89">
        <v>-6</v>
      </c>
      <c r="P1190" s="89" t="s">
        <v>210</v>
      </c>
      <c r="Q1190" s="89" t="s">
        <v>210</v>
      </c>
      <c r="R1190" s="89">
        <v>4</v>
      </c>
      <c r="S1190" s="89" t="s">
        <v>210</v>
      </c>
      <c r="T1190" s="89" t="s">
        <v>210</v>
      </c>
      <c r="U1190" s="89">
        <v>2</v>
      </c>
      <c r="V1190" s="89"/>
      <c r="W1190" s="89"/>
      <c r="X1190" s="89"/>
      <c r="Y1190" s="89"/>
      <c r="Z1190" s="89"/>
      <c r="AA1190" s="89"/>
      <c r="AB1190" s="89"/>
      <c r="AC1190" s="89"/>
      <c r="AD1190" s="89"/>
      <c r="AE1190" s="89"/>
      <c r="AF1190" s="89"/>
      <c r="AG1190" s="89"/>
      <c r="AH1190" s="89"/>
      <c r="AI1190" s="89"/>
      <c r="AJ1190" s="89"/>
      <c r="AK1190" s="89"/>
      <c r="AL1190" s="89"/>
      <c r="AM1190" s="89"/>
      <c r="AN1190" s="89"/>
      <c r="AO1190" s="89"/>
      <c r="AP1190" s="89"/>
      <c r="AQ1190" s="89"/>
      <c r="AR1190" s="89"/>
      <c r="AS1190" s="89"/>
      <c r="AT1190" s="89"/>
      <c r="AU1190" s="89"/>
      <c r="AV1190" s="89"/>
      <c r="AW1190" s="89"/>
      <c r="AX1190" s="89"/>
      <c r="AY1190" s="89"/>
      <c r="AZ1190" s="89"/>
      <c r="BA1190" s="95"/>
    </row>
    <row r="1191" spans="1:53" s="87" customFormat="1">
      <c r="A1191" s="374" t="str">
        <f t="shared" si="66"/>
        <v/>
      </c>
      <c r="B1191" s="89">
        <v>23</v>
      </c>
      <c r="C1191" s="89" t="s">
        <v>210</v>
      </c>
      <c r="D1191" s="89" t="s">
        <v>210</v>
      </c>
      <c r="E1191" s="89">
        <v>-1</v>
      </c>
      <c r="F1191" s="89" t="s">
        <v>210</v>
      </c>
      <c r="G1191" s="89" t="s">
        <v>210</v>
      </c>
      <c r="H1191" s="89">
        <v>6</v>
      </c>
      <c r="I1191" s="89" t="s">
        <v>210</v>
      </c>
      <c r="J1191" s="89" t="s">
        <v>210</v>
      </c>
      <c r="K1191" s="89">
        <v>4</v>
      </c>
      <c r="L1191" s="89" t="s">
        <v>210</v>
      </c>
      <c r="M1191" s="89">
        <v>-2</v>
      </c>
      <c r="N1191" s="89" t="s">
        <v>210</v>
      </c>
      <c r="O1191" s="89">
        <v>1</v>
      </c>
      <c r="P1191" s="89" t="s">
        <v>210</v>
      </c>
      <c r="Q1191" s="89" t="s">
        <v>210</v>
      </c>
      <c r="R1191" s="89">
        <v>-4</v>
      </c>
      <c r="S1191" s="89" t="s">
        <v>210</v>
      </c>
      <c r="T1191" s="89" t="s">
        <v>210</v>
      </c>
      <c r="U1191" s="89">
        <v>-5</v>
      </c>
      <c r="V1191" s="89"/>
      <c r="W1191" s="89"/>
      <c r="X1191" s="89"/>
      <c r="Y1191" s="89"/>
      <c r="Z1191" s="89"/>
      <c r="AA1191" s="89"/>
      <c r="AB1191" s="89"/>
      <c r="AC1191" s="89"/>
      <c r="AD1191" s="89"/>
      <c r="AE1191" s="89"/>
      <c r="AF1191" s="89"/>
      <c r="AG1191" s="89"/>
      <c r="AH1191" s="89"/>
      <c r="AI1191" s="89"/>
      <c r="AJ1191" s="89"/>
      <c r="AK1191" s="89"/>
      <c r="AL1191" s="89"/>
      <c r="AM1191" s="89"/>
      <c r="AN1191" s="89"/>
      <c r="AO1191" s="89"/>
      <c r="AP1191" s="89"/>
      <c r="AQ1191" s="89"/>
      <c r="AR1191" s="89"/>
      <c r="AS1191" s="89"/>
      <c r="AT1191" s="89"/>
      <c r="AU1191" s="89"/>
      <c r="AV1191" s="89"/>
      <c r="AW1191" s="89"/>
      <c r="AX1191" s="89"/>
      <c r="AY1191" s="89"/>
      <c r="AZ1191" s="89"/>
      <c r="BA1191" s="95"/>
    </row>
    <row r="1192" spans="1:53" s="87" customFormat="1">
      <c r="A1192" s="374" t="str">
        <f t="shared" si="66"/>
        <v/>
      </c>
      <c r="B1192" s="99">
        <v>24</v>
      </c>
      <c r="C1192" s="92" t="s">
        <v>210</v>
      </c>
      <c r="D1192" s="92" t="s">
        <v>210</v>
      </c>
      <c r="E1192" s="92">
        <v>6</v>
      </c>
      <c r="F1192" s="92" t="s">
        <v>210</v>
      </c>
      <c r="G1192" s="92" t="s">
        <v>210</v>
      </c>
      <c r="H1192" s="92">
        <v>5</v>
      </c>
      <c r="I1192" s="92" t="s">
        <v>210</v>
      </c>
      <c r="J1192" s="92" t="s">
        <v>210</v>
      </c>
      <c r="K1192" s="92">
        <v>-4</v>
      </c>
      <c r="L1192" s="92" t="s">
        <v>210</v>
      </c>
      <c r="M1192" s="92">
        <v>3</v>
      </c>
      <c r="N1192" s="92" t="s">
        <v>210</v>
      </c>
      <c r="O1192" s="92">
        <v>-2</v>
      </c>
      <c r="P1192" s="92" t="s">
        <v>210</v>
      </c>
      <c r="Q1192" s="92" t="s">
        <v>210</v>
      </c>
      <c r="R1192" s="92">
        <v>-5</v>
      </c>
      <c r="S1192" s="92" t="s">
        <v>210</v>
      </c>
      <c r="T1192" s="92" t="s">
        <v>210</v>
      </c>
      <c r="U1192" s="92">
        <v>4</v>
      </c>
      <c r="V1192" s="89"/>
      <c r="W1192" s="89"/>
      <c r="X1192" s="89"/>
      <c r="Y1192" s="89"/>
      <c r="Z1192" s="89"/>
      <c r="AA1192" s="89"/>
      <c r="AB1192" s="89"/>
      <c r="AC1192" s="89"/>
      <c r="AD1192" s="89"/>
      <c r="AE1192" s="89"/>
      <c r="AF1192" s="89"/>
      <c r="AG1192" s="89"/>
      <c r="AH1192" s="89"/>
      <c r="AI1192" s="89"/>
      <c r="AJ1192" s="89"/>
      <c r="AK1192" s="89"/>
      <c r="AL1192" s="89"/>
      <c r="AM1192" s="89"/>
      <c r="AN1192" s="89"/>
      <c r="AO1192" s="89"/>
      <c r="AP1192" s="89"/>
      <c r="AQ1192" s="89"/>
      <c r="AR1192" s="89"/>
      <c r="AS1192" s="89"/>
      <c r="AT1192" s="89"/>
      <c r="AU1192" s="89"/>
      <c r="AV1192" s="89"/>
      <c r="AW1192" s="89"/>
      <c r="AX1192" s="89"/>
      <c r="AY1192" s="89"/>
      <c r="AZ1192" s="89"/>
      <c r="BA1192" s="95"/>
    </row>
    <row r="1193" spans="1:53" s="87" customFormat="1">
      <c r="A1193" s="374" t="str">
        <f t="shared" si="66"/>
        <v/>
      </c>
      <c r="B1193" s="89">
        <v>25</v>
      </c>
      <c r="C1193" s="89" t="s">
        <v>210</v>
      </c>
      <c r="D1193" s="89">
        <v>1</v>
      </c>
      <c r="E1193" s="89" t="s">
        <v>210</v>
      </c>
      <c r="F1193" s="89" t="s">
        <v>210</v>
      </c>
      <c r="G1193" s="89">
        <v>-3</v>
      </c>
      <c r="H1193" s="89" t="s">
        <v>210</v>
      </c>
      <c r="I1193" s="89">
        <v>2</v>
      </c>
      <c r="J1193" s="89" t="s">
        <v>210</v>
      </c>
      <c r="K1193" s="89">
        <v>6</v>
      </c>
      <c r="L1193" s="89" t="s">
        <v>210</v>
      </c>
      <c r="M1193" s="89" t="s">
        <v>210</v>
      </c>
      <c r="N1193" s="89">
        <v>-5</v>
      </c>
      <c r="O1193" s="89" t="s">
        <v>210</v>
      </c>
      <c r="P1193" s="89">
        <v>-1</v>
      </c>
      <c r="Q1193" s="89" t="s">
        <v>210</v>
      </c>
      <c r="R1193" s="89" t="s">
        <v>210</v>
      </c>
      <c r="S1193" s="89" t="s">
        <v>210</v>
      </c>
      <c r="T1193" s="89">
        <v>-4</v>
      </c>
      <c r="U1193" s="89" t="s">
        <v>210</v>
      </c>
      <c r="V1193" s="89"/>
      <c r="W1193" s="89"/>
      <c r="X1193" s="89"/>
      <c r="Y1193" s="89"/>
      <c r="Z1193" s="89"/>
      <c r="AA1193" s="89"/>
      <c r="AB1193" s="89"/>
      <c r="AC1193" s="89"/>
      <c r="AD1193" s="89"/>
      <c r="AE1193" s="89"/>
      <c r="AF1193" s="89"/>
      <c r="AG1193" s="89"/>
      <c r="AH1193" s="89"/>
      <c r="AI1193" s="89"/>
      <c r="AJ1193" s="89"/>
      <c r="AK1193" s="89"/>
      <c r="AL1193" s="89"/>
      <c r="AM1193" s="89"/>
      <c r="AN1193" s="89"/>
      <c r="AO1193" s="89"/>
      <c r="AP1193" s="89"/>
      <c r="AQ1193" s="89"/>
      <c r="AR1193" s="89"/>
      <c r="AS1193" s="89"/>
      <c r="AT1193" s="89"/>
      <c r="AU1193" s="89"/>
      <c r="AV1193" s="89"/>
      <c r="AW1193" s="89"/>
      <c r="AX1193" s="89"/>
      <c r="AY1193" s="89"/>
      <c r="AZ1193" s="89"/>
      <c r="BA1193" s="95"/>
    </row>
    <row r="1194" spans="1:53" s="87" customFormat="1">
      <c r="A1194" s="374" t="str">
        <f t="shared" si="66"/>
        <v/>
      </c>
      <c r="B1194" s="89">
        <v>26</v>
      </c>
      <c r="C1194" s="89" t="s">
        <v>210</v>
      </c>
      <c r="D1194" s="89">
        <v>-1</v>
      </c>
      <c r="E1194" s="89" t="s">
        <v>210</v>
      </c>
      <c r="F1194" s="89" t="s">
        <v>210</v>
      </c>
      <c r="G1194" s="89">
        <v>4</v>
      </c>
      <c r="H1194" s="89" t="s">
        <v>210</v>
      </c>
      <c r="I1194" s="89">
        <v>-5</v>
      </c>
      <c r="J1194" s="89" t="s">
        <v>210</v>
      </c>
      <c r="K1194" s="89">
        <v>-3</v>
      </c>
      <c r="L1194" s="89" t="s">
        <v>210</v>
      </c>
      <c r="M1194" s="89" t="s">
        <v>210</v>
      </c>
      <c r="N1194" s="89">
        <v>1</v>
      </c>
      <c r="O1194" s="89" t="s">
        <v>210</v>
      </c>
      <c r="P1194" s="89">
        <v>2</v>
      </c>
      <c r="Q1194" s="89" t="s">
        <v>210</v>
      </c>
      <c r="R1194" s="89" t="s">
        <v>210</v>
      </c>
      <c r="S1194" s="89" t="s">
        <v>210</v>
      </c>
      <c r="T1194" s="89">
        <v>3</v>
      </c>
      <c r="U1194" s="89" t="s">
        <v>210</v>
      </c>
      <c r="V1194" s="89"/>
      <c r="W1194" s="89"/>
      <c r="X1194" s="89"/>
      <c r="Y1194" s="89"/>
      <c r="Z1194" s="89"/>
      <c r="AA1194" s="89"/>
      <c r="AB1194" s="89"/>
      <c r="AC1194" s="89"/>
      <c r="AD1194" s="89"/>
      <c r="AE1194" s="89"/>
      <c r="AF1194" s="89"/>
      <c r="AG1194" s="89"/>
      <c r="AH1194" s="89"/>
      <c r="AI1194" s="89"/>
      <c r="AJ1194" s="89"/>
      <c r="AK1194" s="89"/>
      <c r="AL1194" s="89"/>
      <c r="AM1194" s="89"/>
      <c r="AN1194" s="89"/>
      <c r="AO1194" s="89"/>
      <c r="AP1194" s="89"/>
      <c r="AQ1194" s="89"/>
      <c r="AR1194" s="89"/>
      <c r="AS1194" s="89"/>
      <c r="AT1194" s="89"/>
      <c r="AU1194" s="89"/>
      <c r="AV1194" s="89"/>
      <c r="AW1194" s="89"/>
      <c r="AX1194" s="89"/>
      <c r="AY1194" s="89"/>
      <c r="AZ1194" s="89"/>
      <c r="BA1194" s="95"/>
    </row>
    <row r="1195" spans="1:53" s="87" customFormat="1">
      <c r="A1195" s="374" t="str">
        <f t="shared" si="66"/>
        <v/>
      </c>
      <c r="B1195" s="89">
        <v>27</v>
      </c>
      <c r="C1195" s="89" t="s">
        <v>210</v>
      </c>
      <c r="D1195" s="89">
        <v>-6</v>
      </c>
      <c r="E1195" s="89" t="s">
        <v>210</v>
      </c>
      <c r="F1195" s="89" t="s">
        <v>210</v>
      </c>
      <c r="G1195" s="89">
        <v>3</v>
      </c>
      <c r="H1195" s="89" t="s">
        <v>210</v>
      </c>
      <c r="I1195" s="89">
        <v>5</v>
      </c>
      <c r="J1195" s="89" t="s">
        <v>210</v>
      </c>
      <c r="K1195" s="89">
        <v>-2</v>
      </c>
      <c r="L1195" s="89" t="s">
        <v>210</v>
      </c>
      <c r="M1195" s="89" t="s">
        <v>210</v>
      </c>
      <c r="N1195" s="89">
        <v>-4</v>
      </c>
      <c r="O1195" s="89" t="s">
        <v>210</v>
      </c>
      <c r="P1195" s="89">
        <v>6</v>
      </c>
      <c r="Q1195" s="89" t="s">
        <v>210</v>
      </c>
      <c r="R1195" s="89" t="s">
        <v>210</v>
      </c>
      <c r="S1195" s="89" t="s">
        <v>210</v>
      </c>
      <c r="T1195" s="89">
        <v>2</v>
      </c>
      <c r="U1195" s="89" t="s">
        <v>210</v>
      </c>
      <c r="V1195" s="89"/>
      <c r="W1195" s="89"/>
      <c r="X1195" s="89"/>
      <c r="Y1195" s="89"/>
      <c r="Z1195" s="89"/>
      <c r="AA1195" s="89"/>
      <c r="AB1195" s="89"/>
      <c r="AC1195" s="89"/>
      <c r="AD1195" s="89"/>
      <c r="AE1195" s="89"/>
      <c r="AF1195" s="89"/>
      <c r="AG1195" s="89"/>
      <c r="AH1195" s="89"/>
      <c r="AI1195" s="89"/>
      <c r="AJ1195" s="89"/>
      <c r="AK1195" s="89"/>
      <c r="AL1195" s="89"/>
      <c r="AM1195" s="89"/>
      <c r="AN1195" s="89"/>
      <c r="AO1195" s="89"/>
      <c r="AP1195" s="89"/>
      <c r="AQ1195" s="89"/>
      <c r="AR1195" s="89"/>
      <c r="AS1195" s="89"/>
      <c r="AT1195" s="89"/>
      <c r="AU1195" s="89"/>
      <c r="AV1195" s="89"/>
      <c r="AW1195" s="89"/>
      <c r="AX1195" s="89"/>
      <c r="AY1195" s="89"/>
      <c r="AZ1195" s="89"/>
      <c r="BA1195" s="95"/>
    </row>
    <row r="1196" spans="1:53" s="87" customFormat="1">
      <c r="A1196" s="374" t="str">
        <f t="shared" si="66"/>
        <v/>
      </c>
      <c r="B1196" s="89">
        <v>28</v>
      </c>
      <c r="C1196" s="89" t="s">
        <v>210</v>
      </c>
      <c r="D1196" s="89">
        <v>6</v>
      </c>
      <c r="E1196" s="89" t="s">
        <v>210</v>
      </c>
      <c r="F1196" s="89" t="s">
        <v>210</v>
      </c>
      <c r="G1196" s="89">
        <v>-4</v>
      </c>
      <c r="H1196" s="89" t="s">
        <v>210</v>
      </c>
      <c r="I1196" s="89">
        <v>-2</v>
      </c>
      <c r="J1196" s="89" t="s">
        <v>210</v>
      </c>
      <c r="K1196" s="89">
        <v>1</v>
      </c>
      <c r="L1196" s="89" t="s">
        <v>210</v>
      </c>
      <c r="M1196" s="89" t="s">
        <v>210</v>
      </c>
      <c r="N1196" s="89">
        <v>-6</v>
      </c>
      <c r="O1196" s="89" t="s">
        <v>210</v>
      </c>
      <c r="P1196" s="89">
        <v>3</v>
      </c>
      <c r="Q1196" s="89" t="s">
        <v>210</v>
      </c>
      <c r="R1196" s="89" t="s">
        <v>210</v>
      </c>
      <c r="S1196" s="89" t="s">
        <v>210</v>
      </c>
      <c r="T1196" s="89">
        <v>-5</v>
      </c>
      <c r="U1196" s="89" t="s">
        <v>210</v>
      </c>
      <c r="V1196" s="89"/>
      <c r="W1196" s="89"/>
      <c r="X1196" s="89"/>
      <c r="Y1196" s="89"/>
      <c r="Z1196" s="89"/>
      <c r="AA1196" s="89"/>
      <c r="AB1196" s="89"/>
      <c r="AC1196" s="89"/>
      <c r="AD1196" s="89"/>
      <c r="AE1196" s="89"/>
      <c r="AF1196" s="89"/>
      <c r="AG1196" s="89"/>
      <c r="AH1196" s="89"/>
      <c r="AI1196" s="89"/>
      <c r="AJ1196" s="89"/>
      <c r="AK1196" s="89"/>
      <c r="AL1196" s="89"/>
      <c r="AM1196" s="89"/>
      <c r="AN1196" s="89"/>
      <c r="AO1196" s="89"/>
      <c r="AP1196" s="89"/>
      <c r="AQ1196" s="89"/>
      <c r="AR1196" s="89"/>
      <c r="AS1196" s="89"/>
      <c r="AT1196" s="89"/>
      <c r="AU1196" s="89"/>
      <c r="AV1196" s="89"/>
      <c r="AW1196" s="89"/>
      <c r="AX1196" s="89"/>
      <c r="AY1196" s="89"/>
      <c r="AZ1196" s="89"/>
      <c r="BA1196" s="95"/>
    </row>
    <row r="1197" spans="1:53" s="87" customFormat="1">
      <c r="A1197" s="374" t="str">
        <f t="shared" si="66"/>
        <v/>
      </c>
      <c r="B1197" s="89">
        <v>29</v>
      </c>
      <c r="C1197" s="89">
        <v>1</v>
      </c>
      <c r="D1197" s="89" t="s">
        <v>210</v>
      </c>
      <c r="E1197" s="89">
        <v>2</v>
      </c>
      <c r="F1197" s="89" t="s">
        <v>210</v>
      </c>
      <c r="G1197" s="89" t="s">
        <v>210</v>
      </c>
      <c r="H1197" s="89">
        <v>-3</v>
      </c>
      <c r="I1197" s="89" t="s">
        <v>210</v>
      </c>
      <c r="J1197" s="89" t="s">
        <v>210</v>
      </c>
      <c r="K1197" s="89">
        <v>-6</v>
      </c>
      <c r="L1197" s="89" t="s">
        <v>210</v>
      </c>
      <c r="M1197" s="89" t="s">
        <v>210</v>
      </c>
      <c r="N1197" s="89">
        <v>4</v>
      </c>
      <c r="O1197" s="89" t="s">
        <v>210</v>
      </c>
      <c r="P1197" s="89">
        <v>-2</v>
      </c>
      <c r="Q1197" s="89" t="s">
        <v>210</v>
      </c>
      <c r="R1197" s="89" t="s">
        <v>210</v>
      </c>
      <c r="S1197" s="89" t="s">
        <v>210</v>
      </c>
      <c r="T1197" s="89">
        <v>5</v>
      </c>
      <c r="U1197" s="89" t="s">
        <v>210</v>
      </c>
      <c r="V1197" s="89"/>
      <c r="W1197" s="89"/>
      <c r="X1197" s="89"/>
      <c r="Y1197" s="89"/>
      <c r="Z1197" s="89"/>
      <c r="AA1197" s="89"/>
      <c r="AB1197" s="89"/>
      <c r="AC1197" s="89"/>
      <c r="AD1197" s="89"/>
      <c r="AE1197" s="89"/>
      <c r="AF1197" s="89"/>
      <c r="AG1197" s="89"/>
      <c r="AH1197" s="89"/>
      <c r="AI1197" s="89"/>
      <c r="AJ1197" s="89"/>
      <c r="AK1197" s="89"/>
      <c r="AL1197" s="89"/>
      <c r="AM1197" s="89"/>
      <c r="AN1197" s="89"/>
      <c r="AO1197" s="89"/>
      <c r="AP1197" s="89"/>
      <c r="AQ1197" s="89"/>
      <c r="AR1197" s="89"/>
      <c r="AS1197" s="89"/>
      <c r="AT1197" s="89"/>
      <c r="AU1197" s="89"/>
      <c r="AV1197" s="89"/>
      <c r="AW1197" s="89"/>
      <c r="AX1197" s="89"/>
      <c r="AY1197" s="89"/>
      <c r="AZ1197" s="89"/>
      <c r="BA1197" s="95"/>
    </row>
    <row r="1198" spans="1:53" s="87" customFormat="1">
      <c r="A1198" s="374" t="str">
        <f t="shared" si="66"/>
        <v/>
      </c>
      <c r="B1198" s="89">
        <v>30</v>
      </c>
      <c r="C1198" s="89">
        <v>-1</v>
      </c>
      <c r="D1198" s="89" t="s">
        <v>210</v>
      </c>
      <c r="E1198" s="89">
        <v>-5</v>
      </c>
      <c r="F1198" s="89" t="s">
        <v>210</v>
      </c>
      <c r="G1198" s="89" t="s">
        <v>210</v>
      </c>
      <c r="H1198" s="89">
        <v>-4</v>
      </c>
      <c r="I1198" s="89" t="s">
        <v>210</v>
      </c>
      <c r="J1198" s="89" t="s">
        <v>210</v>
      </c>
      <c r="K1198" s="89">
        <v>3</v>
      </c>
      <c r="L1198" s="89" t="s">
        <v>210</v>
      </c>
      <c r="M1198" s="89" t="s">
        <v>210</v>
      </c>
      <c r="N1198" s="89">
        <v>6</v>
      </c>
      <c r="O1198" s="89" t="s">
        <v>210</v>
      </c>
      <c r="P1198" s="89">
        <v>1</v>
      </c>
      <c r="Q1198" s="89" t="s">
        <v>210</v>
      </c>
      <c r="R1198" s="89" t="s">
        <v>210</v>
      </c>
      <c r="S1198" s="89" t="s">
        <v>210</v>
      </c>
      <c r="T1198" s="89">
        <v>-2</v>
      </c>
      <c r="U1198" s="89" t="s">
        <v>210</v>
      </c>
      <c r="V1198" s="89"/>
      <c r="W1198" s="89"/>
      <c r="X1198" s="89"/>
      <c r="AR1198" s="89"/>
      <c r="AS1198" s="89"/>
      <c r="AT1198" s="89"/>
      <c r="AU1198" s="89"/>
      <c r="AV1198" s="89"/>
      <c r="AW1198" s="89"/>
      <c r="AX1198" s="89"/>
      <c r="AY1198" s="89"/>
      <c r="AZ1198" s="89"/>
      <c r="BA1198" s="95"/>
    </row>
    <row r="1199" spans="1:53" s="87" customFormat="1">
      <c r="A1199" s="374" t="str">
        <f t="shared" si="66"/>
        <v/>
      </c>
      <c r="B1199" s="89">
        <v>31</v>
      </c>
      <c r="C1199" s="89">
        <v>6</v>
      </c>
      <c r="D1199" s="89" t="s">
        <v>210</v>
      </c>
      <c r="E1199" s="89">
        <v>-2</v>
      </c>
      <c r="F1199" s="89" t="s">
        <v>210</v>
      </c>
      <c r="G1199" s="89" t="s">
        <v>210</v>
      </c>
      <c r="H1199" s="89">
        <v>4</v>
      </c>
      <c r="I1199" s="89" t="s">
        <v>210</v>
      </c>
      <c r="J1199" s="89" t="s">
        <v>210</v>
      </c>
      <c r="K1199" s="89">
        <v>-1</v>
      </c>
      <c r="L1199" s="89" t="s">
        <v>210</v>
      </c>
      <c r="M1199" s="89" t="s">
        <v>210</v>
      </c>
      <c r="N1199" s="89">
        <v>5</v>
      </c>
      <c r="O1199" s="89" t="s">
        <v>210</v>
      </c>
      <c r="P1199" s="89">
        <v>-6</v>
      </c>
      <c r="Q1199" s="89" t="s">
        <v>210</v>
      </c>
      <c r="R1199" s="89" t="s">
        <v>210</v>
      </c>
      <c r="S1199" s="89" t="s">
        <v>210</v>
      </c>
      <c r="T1199" s="89">
        <v>-3</v>
      </c>
      <c r="U1199" s="89" t="s">
        <v>210</v>
      </c>
      <c r="V1199" s="89"/>
      <c r="W1199" s="89"/>
      <c r="X1199" s="89"/>
      <c r="AR1199" s="89"/>
      <c r="AS1199" s="89"/>
      <c r="AT1199" s="89"/>
      <c r="AU1199" s="89"/>
      <c r="AV1199" s="89"/>
      <c r="AW1199" s="89"/>
      <c r="AX1199" s="89"/>
      <c r="AY1199" s="89"/>
      <c r="AZ1199" s="89"/>
      <c r="BA1199" s="95"/>
    </row>
    <row r="1200" spans="1:53" s="87" customFormat="1">
      <c r="A1200" s="374" t="str">
        <f t="shared" si="66"/>
        <v/>
      </c>
      <c r="B1200" s="89">
        <v>32</v>
      </c>
      <c r="C1200" s="89">
        <v>-6</v>
      </c>
      <c r="D1200" s="89" t="s">
        <v>210</v>
      </c>
      <c r="E1200" s="89">
        <v>5</v>
      </c>
      <c r="F1200" s="89" t="s">
        <v>210</v>
      </c>
      <c r="G1200" s="89" t="s">
        <v>210</v>
      </c>
      <c r="H1200" s="89">
        <v>3</v>
      </c>
      <c r="I1200" s="89" t="s">
        <v>210</v>
      </c>
      <c r="J1200" s="89" t="s">
        <v>210</v>
      </c>
      <c r="K1200" s="89">
        <v>2</v>
      </c>
      <c r="L1200" s="89" t="s">
        <v>210</v>
      </c>
      <c r="M1200" s="89" t="s">
        <v>210</v>
      </c>
      <c r="N1200" s="89">
        <v>-1</v>
      </c>
      <c r="O1200" s="89" t="s">
        <v>210</v>
      </c>
      <c r="P1200" s="89">
        <v>-3</v>
      </c>
      <c r="Q1200" s="89" t="s">
        <v>210</v>
      </c>
      <c r="R1200" s="89" t="s">
        <v>210</v>
      </c>
      <c r="S1200" s="89" t="s">
        <v>210</v>
      </c>
      <c r="T1200" s="89">
        <v>4</v>
      </c>
      <c r="U1200" s="89" t="s">
        <v>210</v>
      </c>
      <c r="V1200" s="89"/>
      <c r="W1200" s="89"/>
      <c r="X1200" s="89"/>
      <c r="AR1200" s="89"/>
      <c r="AS1200" s="89"/>
      <c r="AT1200" s="89"/>
      <c r="AU1200" s="89"/>
      <c r="AV1200" s="89"/>
      <c r="AW1200" s="89"/>
      <c r="AX1200" s="89"/>
      <c r="AY1200" s="89"/>
      <c r="AZ1200" s="89"/>
      <c r="BA1200" s="95"/>
    </row>
    <row r="1201" spans="1:53" s="87" customFormat="1">
      <c r="A1201" s="374" t="str">
        <f t="shared" si="66"/>
        <v/>
      </c>
      <c r="B1201" s="293" t="s">
        <v>852</v>
      </c>
      <c r="BA1201" s="95"/>
    </row>
    <row r="1202" spans="1:53" s="87" customFormat="1">
      <c r="A1202" s="374">
        <f t="shared" si="66"/>
        <v>1202</v>
      </c>
      <c r="B1202" s="87" t="s">
        <v>856</v>
      </c>
      <c r="BA1202" s="95"/>
    </row>
    <row r="1203" spans="1:53" s="87" customFormat="1">
      <c r="A1203" s="374" t="str">
        <f t="shared" si="66"/>
        <v/>
      </c>
      <c r="B1203" s="87">
        <v>1</v>
      </c>
      <c r="C1203" s="87" t="s">
        <v>210</v>
      </c>
      <c r="D1203" s="87">
        <v>-1</v>
      </c>
      <c r="E1203" s="87">
        <v>5</v>
      </c>
      <c r="F1203" s="87">
        <v>3</v>
      </c>
      <c r="BA1203" s="95"/>
    </row>
    <row r="1204" spans="1:53" s="87" customFormat="1">
      <c r="A1204" s="374" t="str">
        <f t="shared" si="66"/>
        <v/>
      </c>
      <c r="B1204" s="87">
        <v>2</v>
      </c>
      <c r="C1204" s="87" t="s">
        <v>210</v>
      </c>
      <c r="D1204" s="87">
        <v>6</v>
      </c>
      <c r="E1204" s="87">
        <v>-2</v>
      </c>
      <c r="F1204" s="87">
        <v>-3</v>
      </c>
      <c r="BA1204" s="95"/>
    </row>
    <row r="1205" spans="1:53" s="87" customFormat="1">
      <c r="A1205" s="374" t="str">
        <f t="shared" si="66"/>
        <v/>
      </c>
      <c r="B1205" s="87">
        <v>3</v>
      </c>
      <c r="C1205" s="87" t="s">
        <v>210</v>
      </c>
      <c r="D1205" s="87">
        <v>-6</v>
      </c>
      <c r="E1205" s="87">
        <v>-5</v>
      </c>
      <c r="F1205" s="87">
        <v>4</v>
      </c>
      <c r="BA1205" s="95"/>
    </row>
    <row r="1206" spans="1:53" s="87" customFormat="1">
      <c r="A1206" s="374" t="str">
        <f t="shared" si="66"/>
        <v/>
      </c>
      <c r="B1206" s="232">
        <v>4</v>
      </c>
      <c r="C1206" s="233" t="s">
        <v>210</v>
      </c>
      <c r="D1206" s="233">
        <v>1</v>
      </c>
      <c r="E1206" s="233">
        <v>2</v>
      </c>
      <c r="F1206" s="233">
        <v>-4</v>
      </c>
      <c r="BA1206" s="95"/>
    </row>
    <row r="1207" spans="1:53" s="87" customFormat="1">
      <c r="A1207" s="374" t="str">
        <f t="shared" si="66"/>
        <v/>
      </c>
      <c r="B1207" s="87">
        <v>5</v>
      </c>
      <c r="C1207" s="87">
        <v>-6</v>
      </c>
      <c r="D1207" s="87" t="s">
        <v>210</v>
      </c>
      <c r="E1207" s="87">
        <v>4</v>
      </c>
      <c r="F1207" s="87">
        <v>2</v>
      </c>
      <c r="BA1207" s="95"/>
    </row>
    <row r="1208" spans="1:53">
      <c r="A1208" s="374" t="str">
        <f t="shared" si="66"/>
        <v/>
      </c>
      <c r="B1208" s="87">
        <v>6</v>
      </c>
      <c r="C1208" s="87">
        <v>1</v>
      </c>
      <c r="D1208" s="87" t="s">
        <v>210</v>
      </c>
      <c r="E1208" s="87">
        <v>-3</v>
      </c>
      <c r="F1208" s="87">
        <v>-2</v>
      </c>
    </row>
    <row r="1209" spans="1:53">
      <c r="A1209" s="374" t="str">
        <f t="shared" si="66"/>
        <v/>
      </c>
      <c r="B1209" s="87">
        <v>7</v>
      </c>
      <c r="C1209" s="87">
        <v>-1</v>
      </c>
      <c r="D1209" s="87" t="s">
        <v>210</v>
      </c>
      <c r="E1209" s="87">
        <v>-4</v>
      </c>
      <c r="F1209" s="87">
        <v>5</v>
      </c>
    </row>
    <row r="1210" spans="1:53">
      <c r="A1210" s="374" t="str">
        <f t="shared" si="66"/>
        <v/>
      </c>
      <c r="B1210" s="232">
        <v>8</v>
      </c>
      <c r="C1210" s="233">
        <v>6</v>
      </c>
      <c r="D1210" s="233" t="s">
        <v>210</v>
      </c>
      <c r="E1210" s="233">
        <v>3</v>
      </c>
      <c r="F1210" s="233">
        <v>-5</v>
      </c>
    </row>
    <row r="1211" spans="1:53">
      <c r="A1211" s="374" t="str">
        <f t="shared" si="66"/>
        <v/>
      </c>
      <c r="B1211" s="87">
        <v>9</v>
      </c>
      <c r="C1211" s="87">
        <v>-5</v>
      </c>
      <c r="D1211" s="87">
        <v>3</v>
      </c>
      <c r="E1211" s="87" t="s">
        <v>210</v>
      </c>
      <c r="F1211" s="87">
        <v>1</v>
      </c>
    </row>
    <row r="1212" spans="1:53">
      <c r="A1212" s="374" t="str">
        <f t="shared" si="66"/>
        <v/>
      </c>
      <c r="B1212" s="87">
        <v>10</v>
      </c>
      <c r="C1212" s="87">
        <v>2</v>
      </c>
      <c r="D1212" s="87">
        <v>-4</v>
      </c>
      <c r="E1212" s="87" t="s">
        <v>210</v>
      </c>
      <c r="F1212" s="87">
        <v>-1</v>
      </c>
    </row>
    <row r="1213" spans="1:53">
      <c r="A1213" s="374" t="str">
        <f t="shared" si="66"/>
        <v/>
      </c>
      <c r="B1213" s="87">
        <v>11</v>
      </c>
      <c r="C1213" s="87">
        <v>-2</v>
      </c>
      <c r="D1213" s="87">
        <v>-3</v>
      </c>
      <c r="E1213" s="87" t="s">
        <v>210</v>
      </c>
      <c r="F1213" s="87">
        <v>6</v>
      </c>
    </row>
    <row r="1214" spans="1:53">
      <c r="A1214" s="374" t="str">
        <f t="shared" si="66"/>
        <v/>
      </c>
      <c r="B1214" s="232">
        <v>12</v>
      </c>
      <c r="C1214" s="233">
        <v>5</v>
      </c>
      <c r="D1214" s="233">
        <v>4</v>
      </c>
      <c r="E1214" s="233" t="s">
        <v>210</v>
      </c>
      <c r="F1214" s="233">
        <v>-6</v>
      </c>
    </row>
    <row r="1215" spans="1:53">
      <c r="A1215" s="374" t="str">
        <f t="shared" si="66"/>
        <v/>
      </c>
      <c r="B1215" s="87">
        <v>13</v>
      </c>
      <c r="C1215" s="87">
        <v>-4</v>
      </c>
      <c r="D1215" s="87">
        <v>2</v>
      </c>
      <c r="E1215" s="87">
        <v>6</v>
      </c>
      <c r="F1215" s="87" t="s">
        <v>210</v>
      </c>
    </row>
    <row r="1216" spans="1:53">
      <c r="A1216" s="374" t="str">
        <f t="shared" si="66"/>
        <v/>
      </c>
      <c r="B1216" s="87">
        <v>14</v>
      </c>
      <c r="C1216" s="87">
        <v>3</v>
      </c>
      <c r="D1216" s="87">
        <v>-5</v>
      </c>
      <c r="E1216" s="87">
        <v>-6</v>
      </c>
      <c r="F1216" s="87" t="s">
        <v>210</v>
      </c>
    </row>
    <row r="1217" spans="1:11">
      <c r="A1217" s="374" t="str">
        <f t="shared" si="66"/>
        <v/>
      </c>
      <c r="B1217" s="87">
        <v>15</v>
      </c>
      <c r="C1217" s="87">
        <v>-3</v>
      </c>
      <c r="D1217" s="87">
        <v>-2</v>
      </c>
      <c r="E1217" s="87">
        <v>1</v>
      </c>
      <c r="F1217" s="87" t="s">
        <v>210</v>
      </c>
    </row>
    <row r="1218" spans="1:11">
      <c r="A1218" s="374" t="str">
        <f t="shared" si="66"/>
        <v/>
      </c>
      <c r="B1218" s="87">
        <v>16</v>
      </c>
      <c r="C1218" s="87">
        <v>4</v>
      </c>
      <c r="D1218" s="87">
        <v>5</v>
      </c>
      <c r="E1218" s="87">
        <v>-1</v>
      </c>
      <c r="F1218" s="87" t="s">
        <v>210</v>
      </c>
    </row>
    <row r="1219" spans="1:11">
      <c r="A1219" s="374" t="str">
        <f t="shared" si="66"/>
        <v/>
      </c>
      <c r="B1219" s="297" t="s">
        <v>858</v>
      </c>
    </row>
    <row r="1220" spans="1:11">
      <c r="A1220" s="374">
        <f t="shared" si="66"/>
        <v>1220</v>
      </c>
      <c r="B1220" s="318" t="s">
        <v>1196</v>
      </c>
    </row>
    <row r="1221" spans="1:11">
      <c r="A1221" s="374" t="str">
        <f t="shared" si="66"/>
        <v/>
      </c>
      <c r="B1221" s="87">
        <v>1</v>
      </c>
      <c r="C1221" s="87">
        <v>6</v>
      </c>
      <c r="D1221" s="87" t="s">
        <v>210</v>
      </c>
      <c r="E1221" s="87">
        <v>-3</v>
      </c>
      <c r="F1221" s="87" t="s">
        <v>210</v>
      </c>
      <c r="G1221" s="87">
        <v>-1</v>
      </c>
      <c r="H1221" s="87">
        <v>2</v>
      </c>
      <c r="I1221" s="87" t="s">
        <v>210</v>
      </c>
      <c r="J1221" s="87" t="s">
        <v>210</v>
      </c>
      <c r="K1221" s="87">
        <v>5</v>
      </c>
    </row>
    <row r="1222" spans="1:11">
      <c r="A1222" s="374" t="str">
        <f t="shared" si="66"/>
        <v/>
      </c>
      <c r="B1222" s="87">
        <v>2</v>
      </c>
      <c r="C1222" s="87">
        <v>-1</v>
      </c>
      <c r="D1222" s="87">
        <v>5</v>
      </c>
      <c r="E1222" s="87" t="s">
        <v>210</v>
      </c>
      <c r="F1222" s="87" t="s">
        <v>210</v>
      </c>
      <c r="G1222" s="87">
        <v>4</v>
      </c>
      <c r="H1222" s="87">
        <v>-2</v>
      </c>
      <c r="I1222" s="87" t="s">
        <v>210</v>
      </c>
      <c r="J1222" s="87">
        <v>6</v>
      </c>
      <c r="K1222" s="87" t="s">
        <v>210</v>
      </c>
    </row>
    <row r="1223" spans="1:11">
      <c r="A1223" s="374" t="str">
        <f t="shared" si="66"/>
        <v/>
      </c>
      <c r="B1223" s="87">
        <v>3</v>
      </c>
      <c r="C1223" s="87">
        <v>1</v>
      </c>
      <c r="D1223" s="87" t="s">
        <v>210</v>
      </c>
      <c r="E1223" s="87">
        <v>-4</v>
      </c>
      <c r="F1223" s="87" t="s">
        <v>210</v>
      </c>
      <c r="G1223" s="87">
        <v>3</v>
      </c>
      <c r="H1223" s="87" t="s">
        <v>210</v>
      </c>
      <c r="I1223" s="87">
        <v>-6</v>
      </c>
      <c r="J1223" s="87" t="s">
        <v>210</v>
      </c>
      <c r="K1223" s="87">
        <v>-5</v>
      </c>
    </row>
    <row r="1224" spans="1:11">
      <c r="A1224" s="374" t="str">
        <f t="shared" si="66"/>
        <v/>
      </c>
      <c r="B1224" s="87">
        <v>4</v>
      </c>
      <c r="C1224" s="87">
        <v>5</v>
      </c>
      <c r="D1224" s="87" t="s">
        <v>210</v>
      </c>
      <c r="E1224" s="87">
        <v>3</v>
      </c>
      <c r="F1224" s="87" t="s">
        <v>210</v>
      </c>
      <c r="G1224" s="87">
        <v>-4</v>
      </c>
      <c r="H1224" s="87" t="s">
        <v>210</v>
      </c>
      <c r="I1224" s="87">
        <v>6</v>
      </c>
      <c r="J1224" s="87">
        <v>-2</v>
      </c>
      <c r="K1224" s="87" t="s">
        <v>210</v>
      </c>
    </row>
    <row r="1225" spans="1:11">
      <c r="A1225" s="374" t="str">
        <f t="shared" si="66"/>
        <v/>
      </c>
      <c r="B1225" s="232">
        <v>5</v>
      </c>
      <c r="C1225" s="233">
        <v>-5</v>
      </c>
      <c r="D1225" s="233" t="s">
        <v>210</v>
      </c>
      <c r="E1225" s="233">
        <v>4</v>
      </c>
      <c r="F1225" s="233" t="s">
        <v>210</v>
      </c>
      <c r="G1225" s="233">
        <v>1</v>
      </c>
      <c r="H1225" s="233">
        <v>-3</v>
      </c>
      <c r="I1225" s="233" t="s">
        <v>210</v>
      </c>
      <c r="J1225" s="233">
        <v>-6</v>
      </c>
      <c r="K1225" s="233" t="s">
        <v>210</v>
      </c>
    </row>
    <row r="1226" spans="1:11">
      <c r="A1226" s="374" t="str">
        <f t="shared" si="66"/>
        <v/>
      </c>
      <c r="B1226" s="87">
        <v>6</v>
      </c>
      <c r="C1226" s="87">
        <v>-6</v>
      </c>
      <c r="D1226" s="87" t="s">
        <v>210</v>
      </c>
      <c r="E1226" s="87">
        <v>2</v>
      </c>
      <c r="F1226" s="87" t="s">
        <v>210</v>
      </c>
      <c r="G1226" s="87" t="s">
        <v>210</v>
      </c>
      <c r="H1226" s="87">
        <v>5</v>
      </c>
      <c r="I1226" s="87">
        <v>-4</v>
      </c>
      <c r="J1226" s="87">
        <v>-1</v>
      </c>
      <c r="K1226" s="87" t="s">
        <v>210</v>
      </c>
    </row>
    <row r="1227" spans="1:11">
      <c r="A1227" s="374" t="str">
        <f t="shared" si="66"/>
        <v/>
      </c>
      <c r="B1227" s="87">
        <v>7</v>
      </c>
      <c r="C1227" s="87">
        <v>-2</v>
      </c>
      <c r="D1227" s="87">
        <v>-5</v>
      </c>
      <c r="E1227" s="87" t="s">
        <v>210</v>
      </c>
      <c r="F1227" s="87" t="s">
        <v>210</v>
      </c>
      <c r="G1227" s="87">
        <v>6</v>
      </c>
      <c r="H1227" s="87" t="s">
        <v>210</v>
      </c>
      <c r="I1227" s="87">
        <v>-3</v>
      </c>
      <c r="J1227" s="87">
        <v>1</v>
      </c>
      <c r="K1227" s="87" t="s">
        <v>210</v>
      </c>
    </row>
    <row r="1228" spans="1:11">
      <c r="A1228" s="374" t="str">
        <f t="shared" ref="A1228:A1291" si="67">IF(MID(B1228,3,2)="06",ROW(),"")</f>
        <v/>
      </c>
      <c r="B1228" s="87">
        <v>8</v>
      </c>
      <c r="C1228" s="87">
        <v>2</v>
      </c>
      <c r="D1228" s="87">
        <v>-6</v>
      </c>
      <c r="E1228" s="87" t="s">
        <v>210</v>
      </c>
      <c r="F1228" s="87" t="s">
        <v>210</v>
      </c>
      <c r="G1228" s="87">
        <v>-3</v>
      </c>
      <c r="H1228" s="87" t="s">
        <v>210</v>
      </c>
      <c r="I1228" s="87">
        <v>4</v>
      </c>
      <c r="J1228" s="87" t="s">
        <v>210</v>
      </c>
      <c r="K1228" s="87">
        <v>-1</v>
      </c>
    </row>
    <row r="1229" spans="1:11">
      <c r="A1229" s="374" t="str">
        <f t="shared" si="67"/>
        <v/>
      </c>
      <c r="B1229" s="87">
        <v>9</v>
      </c>
      <c r="C1229" s="87">
        <v>-4</v>
      </c>
      <c r="D1229" s="87">
        <v>6</v>
      </c>
      <c r="E1229" s="87" t="s">
        <v>210</v>
      </c>
      <c r="F1229" s="87" t="s">
        <v>210</v>
      </c>
      <c r="G1229" s="87" t="s">
        <v>210</v>
      </c>
      <c r="H1229" s="87">
        <v>-5</v>
      </c>
      <c r="I1229" s="87">
        <v>3</v>
      </c>
      <c r="J1229" s="87">
        <v>2</v>
      </c>
      <c r="K1229" s="87" t="s">
        <v>210</v>
      </c>
    </row>
    <row r="1230" spans="1:11">
      <c r="A1230" s="374" t="str">
        <f t="shared" si="67"/>
        <v/>
      </c>
      <c r="B1230" s="232">
        <v>10</v>
      </c>
      <c r="C1230" s="233">
        <v>4</v>
      </c>
      <c r="D1230" s="233" t="s">
        <v>210</v>
      </c>
      <c r="E1230" s="233">
        <v>-2</v>
      </c>
      <c r="F1230" s="233" t="s">
        <v>210</v>
      </c>
      <c r="G1230" s="233">
        <v>-6</v>
      </c>
      <c r="H1230" s="233">
        <v>3</v>
      </c>
      <c r="I1230" s="233" t="s">
        <v>210</v>
      </c>
      <c r="J1230" s="233" t="s">
        <v>210</v>
      </c>
      <c r="K1230" s="233">
        <v>1</v>
      </c>
    </row>
    <row r="1231" spans="1:11">
      <c r="A1231" s="374" t="str">
        <f t="shared" si="67"/>
        <v/>
      </c>
      <c r="B1231" s="87">
        <v>11</v>
      </c>
      <c r="C1231" s="87">
        <v>-3</v>
      </c>
      <c r="D1231" s="87" t="s">
        <v>210</v>
      </c>
      <c r="E1231" s="87">
        <v>5</v>
      </c>
      <c r="F1231" s="87" t="s">
        <v>210</v>
      </c>
      <c r="G1231" s="87">
        <v>2</v>
      </c>
      <c r="H1231" s="87" t="s">
        <v>210</v>
      </c>
      <c r="I1231" s="87">
        <v>-1</v>
      </c>
      <c r="J1231" s="87">
        <v>-4</v>
      </c>
      <c r="K1231" s="87" t="s">
        <v>210</v>
      </c>
    </row>
    <row r="1232" spans="1:11">
      <c r="A1232" s="374" t="str">
        <f t="shared" si="67"/>
        <v/>
      </c>
      <c r="B1232" s="87">
        <v>12</v>
      </c>
      <c r="C1232" s="87" t="s">
        <v>210</v>
      </c>
      <c r="D1232" s="87">
        <v>3</v>
      </c>
      <c r="E1232" s="87">
        <v>1</v>
      </c>
      <c r="F1232" s="87" t="s">
        <v>210</v>
      </c>
      <c r="G1232" s="87">
        <v>-5</v>
      </c>
      <c r="H1232" s="87" t="s">
        <v>210</v>
      </c>
      <c r="I1232" s="87">
        <v>-2</v>
      </c>
      <c r="J1232" s="87">
        <v>4</v>
      </c>
      <c r="K1232" s="87" t="s">
        <v>210</v>
      </c>
    </row>
    <row r="1233" spans="1:24">
      <c r="A1233" s="374" t="str">
        <f t="shared" si="67"/>
        <v/>
      </c>
      <c r="B1233" s="87">
        <v>13</v>
      </c>
      <c r="C1233" s="87" t="s">
        <v>210</v>
      </c>
      <c r="D1233" s="87">
        <v>-3</v>
      </c>
      <c r="E1233" s="87">
        <v>6</v>
      </c>
      <c r="F1233" s="87" t="s">
        <v>210</v>
      </c>
      <c r="G1233" s="87">
        <v>-2</v>
      </c>
      <c r="H1233" s="87" t="s">
        <v>210</v>
      </c>
      <c r="I1233" s="87">
        <v>5</v>
      </c>
      <c r="J1233" s="87" t="s">
        <v>210</v>
      </c>
      <c r="K1233" s="87">
        <v>3</v>
      </c>
    </row>
    <row r="1234" spans="1:24">
      <c r="A1234" s="374" t="str">
        <f t="shared" si="67"/>
        <v/>
      </c>
      <c r="B1234" s="87">
        <v>14</v>
      </c>
      <c r="C1234" s="87" t="s">
        <v>210</v>
      </c>
      <c r="D1234" s="87">
        <v>4</v>
      </c>
      <c r="E1234" s="87">
        <v>-5</v>
      </c>
      <c r="F1234" s="87" t="s">
        <v>210</v>
      </c>
      <c r="G1234" s="87" t="s">
        <v>210</v>
      </c>
      <c r="H1234" s="87">
        <v>6</v>
      </c>
      <c r="I1234" s="87">
        <v>2</v>
      </c>
      <c r="J1234" s="87" t="s">
        <v>210</v>
      </c>
      <c r="K1234" s="87">
        <v>-3</v>
      </c>
    </row>
    <row r="1235" spans="1:24">
      <c r="A1235" s="374" t="str">
        <f t="shared" si="67"/>
        <v/>
      </c>
      <c r="B1235" s="232">
        <v>15</v>
      </c>
      <c r="C1235" s="233" t="s">
        <v>210</v>
      </c>
      <c r="D1235" s="233">
        <v>-4</v>
      </c>
      <c r="E1235" s="233">
        <v>-6</v>
      </c>
      <c r="F1235" s="233" t="s">
        <v>210</v>
      </c>
      <c r="G1235" s="233">
        <v>5</v>
      </c>
      <c r="H1235" s="233" t="s">
        <v>210</v>
      </c>
      <c r="I1235" s="233">
        <v>1</v>
      </c>
      <c r="J1235" s="233" t="s">
        <v>210</v>
      </c>
      <c r="K1235" s="233">
        <v>-2</v>
      </c>
    </row>
    <row r="1236" spans="1:24">
      <c r="A1236" s="374" t="str">
        <f t="shared" si="67"/>
        <v/>
      </c>
      <c r="B1236" s="87">
        <v>16</v>
      </c>
      <c r="C1236" s="87">
        <v>3</v>
      </c>
      <c r="D1236" s="87" t="s">
        <v>210</v>
      </c>
      <c r="E1236" s="87" t="s">
        <v>210</v>
      </c>
      <c r="F1236" s="87">
        <v>-2</v>
      </c>
      <c r="G1236" s="87" t="s">
        <v>210</v>
      </c>
      <c r="H1236" s="87">
        <v>1</v>
      </c>
      <c r="I1236" s="87" t="s">
        <v>210</v>
      </c>
      <c r="J1236" s="87">
        <v>-5</v>
      </c>
      <c r="K1236" s="87">
        <v>-6</v>
      </c>
    </row>
    <row r="1237" spans="1:24">
      <c r="A1237" s="374" t="str">
        <f t="shared" si="67"/>
        <v/>
      </c>
      <c r="B1237" s="87">
        <v>17</v>
      </c>
      <c r="C1237" s="87" t="s">
        <v>210</v>
      </c>
      <c r="D1237" s="87">
        <v>2</v>
      </c>
      <c r="E1237" s="87">
        <v>-1</v>
      </c>
      <c r="F1237" s="87" t="s">
        <v>210</v>
      </c>
      <c r="G1237" s="87" t="s">
        <v>210</v>
      </c>
      <c r="H1237" s="87">
        <v>4</v>
      </c>
      <c r="I1237" s="87" t="s">
        <v>210</v>
      </c>
      <c r="J1237" s="87">
        <v>-3</v>
      </c>
      <c r="K1237" s="87">
        <v>6</v>
      </c>
    </row>
    <row r="1238" spans="1:24">
      <c r="A1238" s="374" t="str">
        <f t="shared" si="67"/>
        <v/>
      </c>
      <c r="B1238" s="87">
        <v>18</v>
      </c>
      <c r="C1238" s="87" t="s">
        <v>210</v>
      </c>
      <c r="D1238" s="87">
        <v>-2</v>
      </c>
      <c r="E1238" s="87" t="s">
        <v>210</v>
      </c>
      <c r="F1238" s="87">
        <v>3</v>
      </c>
      <c r="G1238" s="87" t="s">
        <v>210</v>
      </c>
      <c r="H1238" s="87">
        <v>-1</v>
      </c>
      <c r="I1238" s="87">
        <v>-5</v>
      </c>
      <c r="J1238" s="87" t="s">
        <v>210</v>
      </c>
      <c r="K1238" s="87">
        <v>4</v>
      </c>
    </row>
    <row r="1239" spans="1:24">
      <c r="A1239" s="374" t="str">
        <f t="shared" si="67"/>
        <v/>
      </c>
      <c r="B1239" s="87">
        <v>19</v>
      </c>
      <c r="C1239" s="87" t="s">
        <v>210</v>
      </c>
      <c r="D1239" s="87">
        <v>-1</v>
      </c>
      <c r="E1239" s="87" t="s">
        <v>210</v>
      </c>
      <c r="F1239" s="87">
        <v>2</v>
      </c>
      <c r="G1239" s="87" t="s">
        <v>210</v>
      </c>
      <c r="H1239" s="87">
        <v>-6</v>
      </c>
      <c r="I1239" s="87" t="s">
        <v>210</v>
      </c>
      <c r="J1239" s="87">
        <v>3</v>
      </c>
      <c r="K1239" s="87">
        <v>-4</v>
      </c>
    </row>
    <row r="1240" spans="1:24">
      <c r="A1240" s="374" t="str">
        <f t="shared" si="67"/>
        <v/>
      </c>
      <c r="B1240" s="87">
        <v>20</v>
      </c>
      <c r="C1240" s="87" t="s">
        <v>210</v>
      </c>
      <c r="D1240" s="87">
        <v>1</v>
      </c>
      <c r="E1240" s="87" t="s">
        <v>210</v>
      </c>
      <c r="F1240" s="87">
        <v>-3</v>
      </c>
      <c r="G1240" s="87" t="s">
        <v>210</v>
      </c>
      <c r="H1240" s="87">
        <v>-4</v>
      </c>
      <c r="I1240" s="87" t="s">
        <v>210</v>
      </c>
      <c r="J1240" s="87">
        <v>5</v>
      </c>
      <c r="K1240" s="87">
        <v>2</v>
      </c>
    </row>
    <row r="1241" spans="1:24">
      <c r="A1241" s="374" t="str">
        <f t="shared" si="67"/>
        <v/>
      </c>
      <c r="B1241" s="297" t="s">
        <v>857</v>
      </c>
    </row>
    <row r="1242" spans="1:24">
      <c r="A1242" s="374">
        <f t="shared" si="67"/>
        <v>1242</v>
      </c>
      <c r="B1242" s="87" t="s">
        <v>868</v>
      </c>
    </row>
    <row r="1243" spans="1:24">
      <c r="A1243" s="374" t="str">
        <f t="shared" si="67"/>
        <v/>
      </c>
      <c r="B1243" s="87">
        <v>1</v>
      </c>
      <c r="C1243" s="87">
        <v>-3</v>
      </c>
      <c r="D1243" s="87" t="s">
        <v>210</v>
      </c>
      <c r="E1243" s="87" t="s">
        <v>210</v>
      </c>
      <c r="F1243" s="87">
        <v>5</v>
      </c>
      <c r="G1243" s="87">
        <v>-1</v>
      </c>
      <c r="H1243" s="87" t="s">
        <v>210</v>
      </c>
      <c r="I1243" s="87" t="s">
        <v>210</v>
      </c>
      <c r="J1243" s="87">
        <v>2</v>
      </c>
      <c r="K1243" s="87">
        <v>4</v>
      </c>
      <c r="L1243" s="87" t="s">
        <v>210</v>
      </c>
      <c r="M1243" s="87" t="s">
        <v>210</v>
      </c>
      <c r="N1243" s="87">
        <v>-5</v>
      </c>
      <c r="O1243" s="87">
        <v>-6</v>
      </c>
      <c r="P1243" s="87" t="s">
        <v>210</v>
      </c>
      <c r="Q1243" s="87" t="s">
        <v>210</v>
      </c>
      <c r="R1243" s="87">
        <v>-2</v>
      </c>
      <c r="S1243" s="87">
        <v>1</v>
      </c>
      <c r="T1243" s="87" t="s">
        <v>210</v>
      </c>
      <c r="U1243" s="87" t="s">
        <v>210</v>
      </c>
      <c r="V1243" s="87">
        <v>-4</v>
      </c>
      <c r="W1243" s="87">
        <v>3</v>
      </c>
      <c r="X1243" s="87" t="s">
        <v>210</v>
      </c>
    </row>
    <row r="1244" spans="1:24">
      <c r="A1244" s="374" t="str">
        <f t="shared" si="67"/>
        <v/>
      </c>
      <c r="B1244" s="87">
        <v>2</v>
      </c>
      <c r="C1244" s="87">
        <v>5</v>
      </c>
      <c r="D1244" s="87" t="s">
        <v>210</v>
      </c>
      <c r="E1244" s="87" t="s">
        <v>210</v>
      </c>
      <c r="F1244" s="87">
        <v>-4</v>
      </c>
      <c r="G1244" s="87">
        <v>6</v>
      </c>
      <c r="H1244" s="87" t="s">
        <v>210</v>
      </c>
      <c r="I1244" s="87" t="s">
        <v>210</v>
      </c>
      <c r="J1244" s="87">
        <v>3</v>
      </c>
      <c r="K1244" s="87">
        <v>2</v>
      </c>
      <c r="L1244" s="87" t="s">
        <v>210</v>
      </c>
      <c r="M1244" s="87" t="s">
        <v>210</v>
      </c>
      <c r="N1244" s="87">
        <v>-1</v>
      </c>
      <c r="O1244" s="87">
        <v>4</v>
      </c>
      <c r="P1244" s="87" t="s">
        <v>210</v>
      </c>
      <c r="Q1244" s="87" t="s">
        <v>210</v>
      </c>
      <c r="R1244" s="87">
        <v>-6</v>
      </c>
      <c r="S1244" s="87">
        <v>-2</v>
      </c>
      <c r="T1244" s="87" t="s">
        <v>210</v>
      </c>
      <c r="U1244" s="87" t="s">
        <v>210</v>
      </c>
      <c r="V1244" s="87">
        <v>-5</v>
      </c>
      <c r="W1244" s="87">
        <v>-3</v>
      </c>
      <c r="X1244" s="87" t="s">
        <v>210</v>
      </c>
    </row>
    <row r="1245" spans="1:24">
      <c r="A1245" s="374" t="str">
        <f t="shared" si="67"/>
        <v/>
      </c>
      <c r="B1245" s="87">
        <v>3</v>
      </c>
      <c r="C1245" s="87">
        <v>3</v>
      </c>
      <c r="D1245" s="87" t="s">
        <v>210</v>
      </c>
      <c r="E1245" s="87" t="s">
        <v>210</v>
      </c>
      <c r="F1245" s="87">
        <v>-6</v>
      </c>
      <c r="G1245" s="87">
        <v>-2</v>
      </c>
      <c r="H1245" s="87" t="s">
        <v>210</v>
      </c>
      <c r="I1245" s="87" t="s">
        <v>210</v>
      </c>
      <c r="J1245" s="87">
        <v>5</v>
      </c>
      <c r="K1245" s="87">
        <v>1</v>
      </c>
      <c r="L1245" s="87" t="s">
        <v>210</v>
      </c>
      <c r="M1245" s="87" t="s">
        <v>210</v>
      </c>
      <c r="N1245" s="87">
        <v>-3</v>
      </c>
      <c r="O1245" s="87">
        <v>2</v>
      </c>
      <c r="P1245" s="87" t="s">
        <v>210</v>
      </c>
      <c r="Q1245" s="87" t="s">
        <v>210</v>
      </c>
      <c r="R1245" s="87">
        <v>6</v>
      </c>
      <c r="S1245" s="87">
        <v>-5</v>
      </c>
      <c r="T1245" s="87" t="s">
        <v>210</v>
      </c>
      <c r="U1245" s="87" t="s">
        <v>210</v>
      </c>
      <c r="V1245" s="87">
        <v>-1</v>
      </c>
      <c r="W1245" s="87">
        <v>-4</v>
      </c>
      <c r="X1245" s="87" t="s">
        <v>210</v>
      </c>
    </row>
    <row r="1246" spans="1:24">
      <c r="A1246" s="374" t="str">
        <f t="shared" si="67"/>
        <v/>
      </c>
      <c r="B1246" s="87">
        <v>4</v>
      </c>
      <c r="C1246" s="87">
        <v>-4</v>
      </c>
      <c r="D1246" s="87" t="s">
        <v>210</v>
      </c>
      <c r="E1246" s="87" t="s">
        <v>210</v>
      </c>
      <c r="F1246" s="87">
        <v>-2</v>
      </c>
      <c r="G1246" s="87">
        <v>5</v>
      </c>
      <c r="H1246" s="87" t="s">
        <v>210</v>
      </c>
      <c r="I1246" s="87" t="s">
        <v>210</v>
      </c>
      <c r="J1246" s="87">
        <v>6</v>
      </c>
      <c r="K1246" s="87">
        <v>-3</v>
      </c>
      <c r="L1246" s="87" t="s">
        <v>210</v>
      </c>
      <c r="M1246" s="87" t="s">
        <v>210</v>
      </c>
      <c r="N1246" s="87">
        <v>1</v>
      </c>
      <c r="O1246" s="87">
        <v>-5</v>
      </c>
      <c r="P1246" s="87" t="s">
        <v>210</v>
      </c>
      <c r="Q1246" s="87" t="s">
        <v>210</v>
      </c>
      <c r="R1246" s="87">
        <v>2</v>
      </c>
      <c r="S1246" s="87">
        <v>3</v>
      </c>
      <c r="T1246" s="87" t="s">
        <v>210</v>
      </c>
      <c r="U1246" s="87" t="s">
        <v>210</v>
      </c>
      <c r="V1246" s="87">
        <v>-6</v>
      </c>
      <c r="W1246" s="87">
        <v>4</v>
      </c>
      <c r="X1246" s="87" t="s">
        <v>210</v>
      </c>
    </row>
    <row r="1247" spans="1:24">
      <c r="A1247" s="374" t="str">
        <f t="shared" si="67"/>
        <v/>
      </c>
      <c r="B1247" s="87">
        <v>5</v>
      </c>
      <c r="C1247" s="87">
        <v>1</v>
      </c>
      <c r="D1247" s="87" t="s">
        <v>210</v>
      </c>
      <c r="E1247" s="87" t="s">
        <v>210</v>
      </c>
      <c r="F1247" s="87">
        <v>-3</v>
      </c>
      <c r="G1247" s="87">
        <v>-4</v>
      </c>
      <c r="H1247" s="87" t="s">
        <v>210</v>
      </c>
      <c r="I1247" s="87" t="s">
        <v>210</v>
      </c>
      <c r="J1247" s="87">
        <v>-6</v>
      </c>
      <c r="K1247" s="87">
        <v>-2</v>
      </c>
      <c r="L1247" s="87" t="s">
        <v>210</v>
      </c>
      <c r="M1247" s="87" t="s">
        <v>210</v>
      </c>
      <c r="N1247" s="87">
        <v>3</v>
      </c>
      <c r="O1247" s="87">
        <v>-1</v>
      </c>
      <c r="P1247" s="87" t="s">
        <v>210</v>
      </c>
      <c r="Q1247" s="87" t="s">
        <v>210</v>
      </c>
      <c r="R1247" s="87">
        <v>-5</v>
      </c>
      <c r="S1247" s="87">
        <v>6</v>
      </c>
      <c r="T1247" s="87" t="s">
        <v>210</v>
      </c>
      <c r="U1247" s="87" t="s">
        <v>210</v>
      </c>
      <c r="V1247" s="87">
        <v>4</v>
      </c>
      <c r="W1247" s="87">
        <v>2</v>
      </c>
      <c r="X1247" s="87" t="s">
        <v>210</v>
      </c>
    </row>
    <row r="1248" spans="1:24">
      <c r="A1248" s="374" t="str">
        <f t="shared" si="67"/>
        <v/>
      </c>
      <c r="B1248" s="87">
        <v>6</v>
      </c>
      <c r="C1248" s="87">
        <v>4</v>
      </c>
      <c r="D1248" s="87" t="s">
        <v>210</v>
      </c>
      <c r="E1248" s="87" t="s">
        <v>210</v>
      </c>
      <c r="F1248" s="87">
        <v>6</v>
      </c>
      <c r="G1248" s="87">
        <v>-3</v>
      </c>
      <c r="H1248" s="87" t="s">
        <v>210</v>
      </c>
      <c r="I1248" s="87" t="s">
        <v>210</v>
      </c>
      <c r="J1248" s="87">
        <v>1</v>
      </c>
      <c r="K1248" s="87">
        <v>-5</v>
      </c>
      <c r="L1248" s="87" t="s">
        <v>210</v>
      </c>
      <c r="M1248" s="87" t="s">
        <v>210</v>
      </c>
      <c r="N1248" s="87">
        <v>-6</v>
      </c>
      <c r="O1248" s="87">
        <v>3</v>
      </c>
      <c r="P1248" s="87" t="s">
        <v>210</v>
      </c>
      <c r="Q1248" s="87" t="s">
        <v>210</v>
      </c>
      <c r="R1248" s="87">
        <v>-4</v>
      </c>
      <c r="S1248" s="87">
        <v>-1</v>
      </c>
      <c r="T1248" s="87" t="s">
        <v>210</v>
      </c>
      <c r="U1248" s="87" t="s">
        <v>210</v>
      </c>
      <c r="V1248" s="87">
        <v>5</v>
      </c>
      <c r="W1248" s="87">
        <v>-2</v>
      </c>
      <c r="X1248" s="87" t="s">
        <v>210</v>
      </c>
    </row>
    <row r="1249" spans="1:24">
      <c r="A1249" s="374" t="str">
        <f t="shared" si="67"/>
        <v/>
      </c>
      <c r="B1249" s="87">
        <v>7</v>
      </c>
      <c r="C1249" s="87">
        <v>-1</v>
      </c>
      <c r="D1249" s="87" t="s">
        <v>210</v>
      </c>
      <c r="E1249" s="87" t="s">
        <v>210</v>
      </c>
      <c r="F1249" s="87">
        <v>2</v>
      </c>
      <c r="G1249" s="87">
        <v>-6</v>
      </c>
      <c r="H1249" s="87" t="s">
        <v>210</v>
      </c>
      <c r="I1249" s="87" t="s">
        <v>210</v>
      </c>
      <c r="J1249" s="87">
        <v>4</v>
      </c>
      <c r="K1249" s="87">
        <v>5</v>
      </c>
      <c r="L1249" s="87" t="s">
        <v>210</v>
      </c>
      <c r="M1249" s="87" t="s">
        <v>210</v>
      </c>
      <c r="N1249" s="87">
        <v>-2</v>
      </c>
      <c r="O1249" s="87">
        <v>6</v>
      </c>
      <c r="P1249" s="87" t="s">
        <v>210</v>
      </c>
      <c r="Q1249" s="87" t="s">
        <v>210</v>
      </c>
      <c r="R1249" s="87">
        <v>3</v>
      </c>
      <c r="S1249" s="87">
        <v>-4</v>
      </c>
      <c r="T1249" s="87" t="s">
        <v>210</v>
      </c>
      <c r="U1249" s="87" t="s">
        <v>210</v>
      </c>
      <c r="V1249" s="87">
        <v>1</v>
      </c>
      <c r="W1249" s="87">
        <v>-5</v>
      </c>
      <c r="X1249" s="87" t="s">
        <v>210</v>
      </c>
    </row>
    <row r="1250" spans="1:24">
      <c r="A1250" s="374" t="str">
        <f t="shared" si="67"/>
        <v/>
      </c>
      <c r="B1250" s="87">
        <v>8</v>
      </c>
      <c r="C1250" s="87">
        <v>-2</v>
      </c>
      <c r="D1250" s="87" t="s">
        <v>210</v>
      </c>
      <c r="E1250" s="87" t="s">
        <v>210</v>
      </c>
      <c r="F1250" s="87">
        <v>3</v>
      </c>
      <c r="G1250" s="87">
        <v>1</v>
      </c>
      <c r="H1250" s="87" t="s">
        <v>210</v>
      </c>
      <c r="I1250" s="87" t="s">
        <v>210</v>
      </c>
      <c r="J1250" s="87">
        <v>-5</v>
      </c>
      <c r="K1250" s="87">
        <v>-6</v>
      </c>
      <c r="L1250" s="87" t="s">
        <v>210</v>
      </c>
      <c r="M1250" s="87" t="s">
        <v>210</v>
      </c>
      <c r="N1250" s="87">
        <v>4</v>
      </c>
      <c r="O1250" s="87">
        <v>-3</v>
      </c>
      <c r="P1250" s="87" t="s">
        <v>210</v>
      </c>
      <c r="Q1250" s="87" t="s">
        <v>210</v>
      </c>
      <c r="R1250" s="87">
        <v>-1</v>
      </c>
      <c r="S1250" s="87">
        <v>2</v>
      </c>
      <c r="T1250" s="87" t="s">
        <v>210</v>
      </c>
      <c r="U1250" s="87" t="s">
        <v>210</v>
      </c>
      <c r="V1250" s="87">
        <v>6</v>
      </c>
      <c r="W1250" s="87">
        <v>5</v>
      </c>
      <c r="X1250" s="87" t="s">
        <v>210</v>
      </c>
    </row>
    <row r="1251" spans="1:24">
      <c r="A1251" s="374" t="str">
        <f t="shared" si="67"/>
        <v/>
      </c>
      <c r="B1251" s="87">
        <v>9</v>
      </c>
      <c r="C1251" s="87">
        <v>2</v>
      </c>
      <c r="D1251" s="87" t="s">
        <v>210</v>
      </c>
      <c r="E1251" s="87" t="s">
        <v>210</v>
      </c>
      <c r="F1251" s="87">
        <v>1</v>
      </c>
      <c r="G1251" s="87">
        <v>-5</v>
      </c>
      <c r="H1251" s="87" t="s">
        <v>210</v>
      </c>
      <c r="I1251" s="87" t="s">
        <v>210</v>
      </c>
      <c r="J1251" s="87">
        <v>-3</v>
      </c>
      <c r="K1251" s="87">
        <v>-4</v>
      </c>
      <c r="L1251" s="87" t="s">
        <v>210</v>
      </c>
      <c r="M1251" s="87" t="s">
        <v>210</v>
      </c>
      <c r="N1251" s="87">
        <v>6</v>
      </c>
      <c r="O1251" s="87">
        <v>-2</v>
      </c>
      <c r="P1251" s="87" t="s">
        <v>210</v>
      </c>
      <c r="Q1251" s="87" t="s">
        <v>210</v>
      </c>
      <c r="R1251" s="87">
        <v>5</v>
      </c>
      <c r="S1251" s="87">
        <v>4</v>
      </c>
      <c r="T1251" s="87" t="s">
        <v>210</v>
      </c>
      <c r="U1251" s="87" t="s">
        <v>210</v>
      </c>
      <c r="V1251" s="87">
        <v>3</v>
      </c>
      <c r="W1251" s="87">
        <v>-1</v>
      </c>
      <c r="X1251" s="87" t="s">
        <v>210</v>
      </c>
    </row>
    <row r="1252" spans="1:24">
      <c r="A1252" s="374" t="str">
        <f t="shared" si="67"/>
        <v/>
      </c>
      <c r="B1252" s="87">
        <v>10</v>
      </c>
      <c r="C1252" s="87">
        <v>6</v>
      </c>
      <c r="D1252" s="87" t="s">
        <v>210</v>
      </c>
      <c r="E1252" s="87" t="s">
        <v>210</v>
      </c>
      <c r="F1252" s="87">
        <v>4</v>
      </c>
      <c r="G1252" s="87">
        <v>3</v>
      </c>
      <c r="H1252" s="87" t="s">
        <v>210</v>
      </c>
      <c r="I1252" s="87" t="s">
        <v>210</v>
      </c>
      <c r="J1252" s="87">
        <v>-2</v>
      </c>
      <c r="K1252" s="87">
        <v>-1</v>
      </c>
      <c r="L1252" s="87" t="s">
        <v>210</v>
      </c>
      <c r="M1252" s="87" t="s">
        <v>210</v>
      </c>
      <c r="N1252" s="87">
        <v>-4</v>
      </c>
      <c r="O1252" s="87">
        <v>5</v>
      </c>
      <c r="P1252" s="87" t="s">
        <v>210</v>
      </c>
      <c r="Q1252" s="87" t="s">
        <v>210</v>
      </c>
      <c r="R1252" s="87">
        <v>-3</v>
      </c>
      <c r="S1252" s="87">
        <v>-6</v>
      </c>
      <c r="T1252" s="87" t="s">
        <v>210</v>
      </c>
      <c r="U1252" s="87" t="s">
        <v>210</v>
      </c>
      <c r="V1252" s="87">
        <v>2</v>
      </c>
      <c r="W1252" s="87">
        <v>1</v>
      </c>
      <c r="X1252" s="87" t="s">
        <v>210</v>
      </c>
    </row>
    <row r="1253" spans="1:24">
      <c r="A1253" s="374" t="str">
        <f t="shared" si="67"/>
        <v/>
      </c>
      <c r="B1253" s="87">
        <v>11</v>
      </c>
      <c r="C1253" s="87">
        <v>-6</v>
      </c>
      <c r="D1253" s="87" t="s">
        <v>210</v>
      </c>
      <c r="E1253" s="87" t="s">
        <v>210</v>
      </c>
      <c r="F1253" s="87">
        <v>-5</v>
      </c>
      <c r="G1253" s="87">
        <v>4</v>
      </c>
      <c r="H1253" s="87" t="s">
        <v>210</v>
      </c>
      <c r="I1253" s="87" t="s">
        <v>210</v>
      </c>
      <c r="J1253" s="87">
        <v>-1</v>
      </c>
      <c r="K1253" s="87">
        <v>3</v>
      </c>
      <c r="L1253" s="87" t="s">
        <v>210</v>
      </c>
      <c r="M1253" s="87" t="s">
        <v>210</v>
      </c>
      <c r="N1253" s="87">
        <v>2</v>
      </c>
      <c r="O1253" s="87">
        <v>-4</v>
      </c>
      <c r="P1253" s="87" t="s">
        <v>210</v>
      </c>
      <c r="Q1253" s="87" t="s">
        <v>210</v>
      </c>
      <c r="R1253" s="87">
        <v>1</v>
      </c>
      <c r="S1253" s="87">
        <v>5</v>
      </c>
      <c r="T1253" s="87" t="s">
        <v>210</v>
      </c>
      <c r="U1253" s="87" t="s">
        <v>210</v>
      </c>
      <c r="V1253" s="87">
        <v>-3</v>
      </c>
      <c r="W1253" s="87">
        <v>6</v>
      </c>
      <c r="X1253" s="87" t="s">
        <v>210</v>
      </c>
    </row>
    <row r="1254" spans="1:24">
      <c r="A1254" s="374" t="str">
        <f t="shared" si="67"/>
        <v/>
      </c>
      <c r="B1254" s="87">
        <v>12</v>
      </c>
      <c r="C1254" s="87">
        <v>-5</v>
      </c>
      <c r="D1254" s="87" t="s">
        <v>210</v>
      </c>
      <c r="E1254" s="87" t="s">
        <v>210</v>
      </c>
      <c r="F1254" s="87">
        <v>-1</v>
      </c>
      <c r="G1254" s="87">
        <v>2</v>
      </c>
      <c r="H1254" s="87" t="s">
        <v>210</v>
      </c>
      <c r="I1254" s="87" t="s">
        <v>210</v>
      </c>
      <c r="J1254" s="87">
        <v>-4</v>
      </c>
      <c r="K1254" s="87">
        <v>6</v>
      </c>
      <c r="L1254" s="87" t="s">
        <v>210</v>
      </c>
      <c r="M1254" s="87" t="s">
        <v>210</v>
      </c>
      <c r="N1254" s="87">
        <v>5</v>
      </c>
      <c r="O1254" s="87">
        <v>1</v>
      </c>
      <c r="P1254" s="87" t="s">
        <v>210</v>
      </c>
      <c r="Q1254" s="87" t="s">
        <v>210</v>
      </c>
      <c r="R1254" s="87">
        <v>4</v>
      </c>
      <c r="S1254" s="87">
        <v>-3</v>
      </c>
      <c r="T1254" s="87" t="s">
        <v>210</v>
      </c>
      <c r="U1254" s="87" t="s">
        <v>210</v>
      </c>
      <c r="V1254" s="87">
        <v>-2</v>
      </c>
      <c r="W1254" s="87">
        <v>-6</v>
      </c>
      <c r="X1254" s="87" t="s">
        <v>210</v>
      </c>
    </row>
    <row r="1255" spans="1:24">
      <c r="A1255" s="374" t="str">
        <f t="shared" si="67"/>
        <v/>
      </c>
      <c r="B1255" s="87">
        <v>13</v>
      </c>
      <c r="C1255" s="87" t="s">
        <v>210</v>
      </c>
      <c r="D1255" s="87" t="s">
        <v>202</v>
      </c>
      <c r="E1255" s="87">
        <v>-5</v>
      </c>
      <c r="F1255" s="87" t="s">
        <v>210</v>
      </c>
      <c r="G1255" s="87" t="s">
        <v>210</v>
      </c>
      <c r="H1255" s="87">
        <v>-3</v>
      </c>
      <c r="I1255" s="87">
        <v>2</v>
      </c>
      <c r="J1255" s="87" t="s">
        <v>210</v>
      </c>
      <c r="K1255" s="87" t="s">
        <v>210</v>
      </c>
      <c r="L1255" s="87">
        <v>-1</v>
      </c>
      <c r="M1255" s="87">
        <v>-4</v>
      </c>
      <c r="N1255" s="87" t="s">
        <v>210</v>
      </c>
      <c r="O1255" s="87" t="s">
        <v>210</v>
      </c>
      <c r="P1255" s="87">
        <v>-2</v>
      </c>
      <c r="Q1255" s="87">
        <v>6</v>
      </c>
      <c r="R1255" s="87" t="s">
        <v>210</v>
      </c>
      <c r="S1255" s="87" t="s">
        <v>210</v>
      </c>
      <c r="T1255" s="87">
        <v>4</v>
      </c>
      <c r="U1255" s="87">
        <v>3</v>
      </c>
      <c r="V1255" s="87" t="s">
        <v>210</v>
      </c>
      <c r="W1255" s="87" t="s">
        <v>210</v>
      </c>
      <c r="X1255" s="87">
        <v>5</v>
      </c>
    </row>
    <row r="1256" spans="1:24">
      <c r="A1256" s="374" t="str">
        <f t="shared" si="67"/>
        <v/>
      </c>
      <c r="B1256" s="87">
        <v>14</v>
      </c>
      <c r="C1256" s="87" t="s">
        <v>210</v>
      </c>
      <c r="D1256" s="87">
        <v>4</v>
      </c>
      <c r="E1256" s="87">
        <v>-1</v>
      </c>
      <c r="F1256" s="87" t="s">
        <v>210</v>
      </c>
      <c r="G1256" s="87" t="s">
        <v>210</v>
      </c>
      <c r="H1256" s="87" t="s">
        <v>202</v>
      </c>
      <c r="I1256" s="87">
        <v>-3</v>
      </c>
      <c r="J1256" s="87" t="s">
        <v>210</v>
      </c>
      <c r="K1256" s="87" t="s">
        <v>210</v>
      </c>
      <c r="L1256" s="87">
        <v>2</v>
      </c>
      <c r="M1256" s="87">
        <v>5</v>
      </c>
      <c r="N1256" s="87" t="s">
        <v>210</v>
      </c>
      <c r="O1256" s="87" t="s">
        <v>210</v>
      </c>
      <c r="P1256" s="87">
        <v>3</v>
      </c>
      <c r="Q1256" s="87">
        <v>-4</v>
      </c>
      <c r="R1256" s="87" t="s">
        <v>210</v>
      </c>
      <c r="S1256" s="87" t="s">
        <v>210</v>
      </c>
      <c r="T1256" s="87">
        <v>-2</v>
      </c>
      <c r="U1256" s="87">
        <v>6</v>
      </c>
      <c r="V1256" s="87" t="s">
        <v>210</v>
      </c>
      <c r="W1256" s="87" t="s">
        <v>210</v>
      </c>
      <c r="X1256" s="87">
        <v>-5</v>
      </c>
    </row>
    <row r="1257" spans="1:24">
      <c r="A1257" s="374" t="str">
        <f t="shared" si="67"/>
        <v/>
      </c>
      <c r="B1257" s="87">
        <v>15</v>
      </c>
      <c r="C1257" s="87" t="s">
        <v>210</v>
      </c>
      <c r="D1257" s="87">
        <v>5</v>
      </c>
      <c r="E1257" s="87">
        <v>-4</v>
      </c>
      <c r="F1257" s="87" t="s">
        <v>210</v>
      </c>
      <c r="G1257" s="87" t="s">
        <v>210</v>
      </c>
      <c r="H1257" s="87">
        <v>1</v>
      </c>
      <c r="I1257" s="87">
        <v>-2</v>
      </c>
      <c r="J1257" s="87" t="s">
        <v>210</v>
      </c>
      <c r="K1257" s="87" t="s">
        <v>210</v>
      </c>
      <c r="L1257" s="87">
        <v>3</v>
      </c>
      <c r="M1257" s="87">
        <v>-5</v>
      </c>
      <c r="N1257" s="87" t="s">
        <v>210</v>
      </c>
      <c r="O1257" s="87" t="s">
        <v>210</v>
      </c>
      <c r="P1257" s="87">
        <v>-6</v>
      </c>
      <c r="Q1257" s="87">
        <v>2</v>
      </c>
      <c r="R1257" s="87" t="s">
        <v>210</v>
      </c>
      <c r="S1257" s="87" t="s">
        <v>210</v>
      </c>
      <c r="T1257" s="87" t="s">
        <v>202</v>
      </c>
      <c r="U1257" s="87">
        <v>4</v>
      </c>
      <c r="V1257" s="87" t="s">
        <v>210</v>
      </c>
      <c r="W1257" s="87" t="s">
        <v>210</v>
      </c>
      <c r="X1257" s="87">
        <v>-3</v>
      </c>
    </row>
    <row r="1258" spans="1:24">
      <c r="A1258" s="374" t="str">
        <f t="shared" si="67"/>
        <v/>
      </c>
      <c r="B1258" s="87">
        <v>16</v>
      </c>
      <c r="C1258" s="87" t="s">
        <v>210</v>
      </c>
      <c r="D1258" s="87">
        <v>2</v>
      </c>
      <c r="E1258" s="87">
        <v>-3</v>
      </c>
      <c r="F1258" s="87" t="s">
        <v>210</v>
      </c>
      <c r="G1258" s="87" t="s">
        <v>210</v>
      </c>
      <c r="H1258" s="87">
        <v>5</v>
      </c>
      <c r="I1258" s="87">
        <v>-4</v>
      </c>
      <c r="J1258" s="87" t="s">
        <v>210</v>
      </c>
      <c r="K1258" s="87" t="s">
        <v>210</v>
      </c>
      <c r="L1258" s="87">
        <v>1</v>
      </c>
      <c r="M1258" s="87">
        <v>-2</v>
      </c>
      <c r="N1258" s="87" t="s">
        <v>210</v>
      </c>
      <c r="O1258" s="87" t="s">
        <v>210</v>
      </c>
      <c r="P1258" s="87">
        <v>-5</v>
      </c>
      <c r="Q1258" s="87">
        <v>4</v>
      </c>
      <c r="R1258" s="87" t="s">
        <v>210</v>
      </c>
      <c r="S1258" s="87" t="s">
        <v>210</v>
      </c>
      <c r="T1258" s="87">
        <v>-6</v>
      </c>
      <c r="U1258" s="87" t="s">
        <v>202</v>
      </c>
      <c r="V1258" s="87" t="s">
        <v>210</v>
      </c>
      <c r="W1258" s="87" t="s">
        <v>210</v>
      </c>
      <c r="X1258" s="87">
        <v>3</v>
      </c>
    </row>
    <row r="1259" spans="1:24">
      <c r="A1259" s="374" t="str">
        <f t="shared" si="67"/>
        <v/>
      </c>
      <c r="B1259" s="87">
        <v>17</v>
      </c>
      <c r="C1259" s="87" t="s">
        <v>210</v>
      </c>
      <c r="D1259" s="87">
        <v>-3</v>
      </c>
      <c r="E1259" s="87">
        <v>4</v>
      </c>
      <c r="F1259" s="87" t="s">
        <v>210</v>
      </c>
      <c r="G1259" s="87" t="s">
        <v>210</v>
      </c>
      <c r="H1259" s="87">
        <v>-5</v>
      </c>
      <c r="I1259" s="87">
        <v>1</v>
      </c>
      <c r="J1259" s="87" t="s">
        <v>210</v>
      </c>
      <c r="K1259" s="87" t="s">
        <v>210</v>
      </c>
      <c r="L1259" s="87">
        <v>-2</v>
      </c>
      <c r="M1259" s="87">
        <v>3</v>
      </c>
      <c r="N1259" s="87" t="s">
        <v>210</v>
      </c>
      <c r="O1259" s="87" t="s">
        <v>210</v>
      </c>
      <c r="P1259" s="87" t="s">
        <v>202</v>
      </c>
      <c r="Q1259" s="87">
        <v>-6</v>
      </c>
      <c r="R1259" s="87" t="s">
        <v>210</v>
      </c>
      <c r="S1259" s="87" t="s">
        <v>210</v>
      </c>
      <c r="T1259" s="87">
        <v>5</v>
      </c>
      <c r="U1259" s="87">
        <v>2</v>
      </c>
      <c r="V1259" s="87" t="s">
        <v>210</v>
      </c>
      <c r="W1259" s="87" t="s">
        <v>210</v>
      </c>
      <c r="X1259" s="87">
        <v>-4</v>
      </c>
    </row>
    <row r="1260" spans="1:24">
      <c r="A1260" s="374" t="str">
        <f t="shared" si="67"/>
        <v/>
      </c>
      <c r="B1260" s="87">
        <v>18</v>
      </c>
      <c r="C1260" s="87" t="s">
        <v>210</v>
      </c>
      <c r="D1260" s="87">
        <v>-1</v>
      </c>
      <c r="E1260" s="87">
        <v>2</v>
      </c>
      <c r="F1260" s="87" t="s">
        <v>210</v>
      </c>
      <c r="G1260" s="87" t="s">
        <v>210</v>
      </c>
      <c r="H1260" s="87">
        <v>3</v>
      </c>
      <c r="I1260" s="87">
        <v>-5</v>
      </c>
      <c r="J1260" s="87" t="s">
        <v>210</v>
      </c>
      <c r="K1260" s="87" t="s">
        <v>210</v>
      </c>
      <c r="L1260" s="87">
        <v>-4</v>
      </c>
      <c r="M1260" s="87" t="s">
        <v>202</v>
      </c>
      <c r="N1260" s="87" t="s">
        <v>210</v>
      </c>
      <c r="O1260" s="87" t="s">
        <v>210</v>
      </c>
      <c r="P1260" s="87">
        <v>-3</v>
      </c>
      <c r="Q1260" s="87">
        <v>-2</v>
      </c>
      <c r="R1260" s="87" t="s">
        <v>210</v>
      </c>
      <c r="S1260" s="87" t="s">
        <v>210</v>
      </c>
      <c r="T1260" s="87">
        <v>6</v>
      </c>
      <c r="U1260" s="87">
        <v>5</v>
      </c>
      <c r="V1260" s="87" t="s">
        <v>210</v>
      </c>
      <c r="W1260" s="87" t="s">
        <v>210</v>
      </c>
      <c r="X1260" s="87">
        <v>4</v>
      </c>
    </row>
    <row r="1261" spans="1:24">
      <c r="A1261" s="374" t="str">
        <f t="shared" si="67"/>
        <v/>
      </c>
      <c r="B1261" s="87">
        <v>19</v>
      </c>
      <c r="C1261" s="87" t="s">
        <v>210</v>
      </c>
      <c r="D1261" s="87">
        <v>1</v>
      </c>
      <c r="E1261" s="87">
        <v>5</v>
      </c>
      <c r="F1261" s="87" t="s">
        <v>210</v>
      </c>
      <c r="G1261" s="87" t="s">
        <v>210</v>
      </c>
      <c r="H1261" s="87">
        <v>-4</v>
      </c>
      <c r="I1261" s="87" t="s">
        <v>202</v>
      </c>
      <c r="J1261" s="87" t="s">
        <v>210</v>
      </c>
      <c r="K1261" s="87" t="s">
        <v>210</v>
      </c>
      <c r="L1261" s="87">
        <v>-3</v>
      </c>
      <c r="M1261" s="87">
        <v>2</v>
      </c>
      <c r="N1261" s="87" t="s">
        <v>210</v>
      </c>
      <c r="O1261" s="87" t="s">
        <v>210</v>
      </c>
      <c r="P1261" s="87">
        <v>4</v>
      </c>
      <c r="Q1261" s="87">
        <v>3</v>
      </c>
      <c r="R1261" s="87" t="s">
        <v>210</v>
      </c>
      <c r="S1261" s="87" t="s">
        <v>210</v>
      </c>
      <c r="T1261" s="87">
        <v>-5</v>
      </c>
      <c r="U1261" s="87">
        <v>-6</v>
      </c>
      <c r="V1261" s="87" t="s">
        <v>210</v>
      </c>
      <c r="W1261" s="87" t="s">
        <v>210</v>
      </c>
      <c r="X1261" s="87">
        <v>-2</v>
      </c>
    </row>
    <row r="1262" spans="1:24">
      <c r="A1262" s="374" t="str">
        <f t="shared" si="67"/>
        <v/>
      </c>
      <c r="B1262" s="87">
        <v>20</v>
      </c>
      <c r="C1262" s="87" t="s">
        <v>210</v>
      </c>
      <c r="D1262" s="87">
        <v>-4</v>
      </c>
      <c r="E1262" s="87">
        <v>3</v>
      </c>
      <c r="F1262" s="87" t="s">
        <v>210</v>
      </c>
      <c r="G1262" s="87" t="s">
        <v>210</v>
      </c>
      <c r="H1262" s="87">
        <v>-2</v>
      </c>
      <c r="I1262" s="87">
        <v>-1</v>
      </c>
      <c r="J1262" s="87" t="s">
        <v>210</v>
      </c>
      <c r="K1262" s="87" t="s">
        <v>210</v>
      </c>
      <c r="L1262" s="87">
        <v>5</v>
      </c>
      <c r="M1262" s="87">
        <v>4</v>
      </c>
      <c r="N1262" s="87" t="s">
        <v>210</v>
      </c>
      <c r="O1262" s="87" t="s">
        <v>210</v>
      </c>
      <c r="P1262" s="87">
        <v>6</v>
      </c>
      <c r="Q1262" s="87" t="s">
        <v>202</v>
      </c>
      <c r="R1262" s="87" t="s">
        <v>210</v>
      </c>
      <c r="S1262" s="87" t="s">
        <v>210</v>
      </c>
      <c r="T1262" s="87">
        <v>-3</v>
      </c>
      <c r="U1262" s="87">
        <v>-5</v>
      </c>
      <c r="V1262" s="87" t="s">
        <v>210</v>
      </c>
      <c r="W1262" s="87" t="s">
        <v>210</v>
      </c>
      <c r="X1262" s="87">
        <v>2</v>
      </c>
    </row>
    <row r="1263" spans="1:24">
      <c r="A1263" s="374" t="str">
        <f t="shared" si="67"/>
        <v/>
      </c>
      <c r="B1263" s="87">
        <v>21</v>
      </c>
      <c r="C1263" s="87" t="s">
        <v>210</v>
      </c>
      <c r="D1263" s="87">
        <v>-2</v>
      </c>
      <c r="E1263" s="87">
        <v>1</v>
      </c>
      <c r="F1263" s="87" t="s">
        <v>210</v>
      </c>
      <c r="G1263" s="87" t="s">
        <v>210</v>
      </c>
      <c r="H1263" s="87">
        <v>4</v>
      </c>
      <c r="I1263" s="87">
        <v>5</v>
      </c>
      <c r="J1263" s="87" t="s">
        <v>210</v>
      </c>
      <c r="K1263" s="87" t="s">
        <v>210</v>
      </c>
      <c r="L1263" s="87" t="s">
        <v>202</v>
      </c>
      <c r="M1263" s="87">
        <v>-3</v>
      </c>
      <c r="N1263" s="87" t="s">
        <v>210</v>
      </c>
      <c r="O1263" s="87" t="s">
        <v>210</v>
      </c>
      <c r="P1263" s="87">
        <v>2</v>
      </c>
      <c r="Q1263" s="87">
        <v>-5</v>
      </c>
      <c r="R1263" s="87" t="s">
        <v>210</v>
      </c>
      <c r="S1263" s="87" t="s">
        <v>210</v>
      </c>
      <c r="T1263" s="87">
        <v>3</v>
      </c>
      <c r="U1263" s="87">
        <v>-4</v>
      </c>
      <c r="V1263" s="87" t="s">
        <v>210</v>
      </c>
      <c r="W1263" s="87" t="s">
        <v>210</v>
      </c>
      <c r="X1263" s="87">
        <v>-1</v>
      </c>
    </row>
    <row r="1264" spans="1:24">
      <c r="A1264" s="374" t="str">
        <f t="shared" si="67"/>
        <v/>
      </c>
      <c r="B1264" s="87">
        <v>22</v>
      </c>
      <c r="C1264" s="87" t="s">
        <v>210</v>
      </c>
      <c r="D1264" s="87">
        <v>-5</v>
      </c>
      <c r="E1264" s="87" t="s">
        <v>202</v>
      </c>
      <c r="F1264" s="87" t="s">
        <v>210</v>
      </c>
      <c r="G1264" s="87" t="s">
        <v>210</v>
      </c>
      <c r="H1264" s="87">
        <v>2</v>
      </c>
      <c r="I1264" s="87">
        <v>3</v>
      </c>
      <c r="J1264" s="87" t="s">
        <v>210</v>
      </c>
      <c r="K1264" s="87" t="s">
        <v>210</v>
      </c>
      <c r="L1264" s="87">
        <v>4</v>
      </c>
      <c r="M1264" s="87">
        <v>-6</v>
      </c>
      <c r="N1264" s="87" t="s">
        <v>210</v>
      </c>
      <c r="O1264" s="87" t="s">
        <v>210</v>
      </c>
      <c r="P1264" s="87">
        <v>5</v>
      </c>
      <c r="Q1264" s="87">
        <v>-3</v>
      </c>
      <c r="R1264" s="87" t="s">
        <v>210</v>
      </c>
      <c r="S1264" s="87" t="s">
        <v>210</v>
      </c>
      <c r="T1264" s="87">
        <v>-4</v>
      </c>
      <c r="U1264" s="87">
        <v>-2</v>
      </c>
      <c r="V1264" s="87" t="s">
        <v>210</v>
      </c>
      <c r="W1264" s="87" t="s">
        <v>210</v>
      </c>
      <c r="X1264" s="87">
        <v>1</v>
      </c>
    </row>
    <row r="1265" spans="1:24">
      <c r="A1265" s="374" t="str">
        <f t="shared" si="67"/>
        <v/>
      </c>
      <c r="B1265" s="87">
        <v>23</v>
      </c>
      <c r="C1265" s="87" t="s">
        <v>210</v>
      </c>
      <c r="D1265" s="87">
        <v>3</v>
      </c>
      <c r="E1265" s="87">
        <v>-2</v>
      </c>
      <c r="F1265" s="87" t="s">
        <v>210</v>
      </c>
      <c r="G1265" s="87" t="s">
        <v>210</v>
      </c>
      <c r="H1265" s="87">
        <v>-1</v>
      </c>
      <c r="I1265" s="87">
        <v>4</v>
      </c>
      <c r="J1265" s="87" t="s">
        <v>210</v>
      </c>
      <c r="K1265" s="87" t="s">
        <v>210</v>
      </c>
      <c r="L1265" s="87">
        <v>-5</v>
      </c>
      <c r="M1265" s="87">
        <v>6</v>
      </c>
      <c r="N1265" s="87" t="s">
        <v>210</v>
      </c>
      <c r="O1265" s="87" t="s">
        <v>210</v>
      </c>
      <c r="P1265" s="87">
        <v>-4</v>
      </c>
      <c r="Q1265" s="87">
        <v>5</v>
      </c>
      <c r="R1265" s="87" t="s">
        <v>210</v>
      </c>
      <c r="S1265" s="87" t="s">
        <v>210</v>
      </c>
      <c r="T1265" s="87">
        <v>2</v>
      </c>
      <c r="U1265" s="87">
        <v>-3</v>
      </c>
      <c r="V1265" s="87" t="s">
        <v>210</v>
      </c>
      <c r="W1265" s="87" t="s">
        <v>210</v>
      </c>
      <c r="X1265" s="87" t="s">
        <v>202</v>
      </c>
    </row>
    <row r="1266" spans="1:24">
      <c r="A1266" s="374" t="str">
        <f t="shared" si="67"/>
        <v/>
      </c>
      <c r="B1266" s="305" t="s">
        <v>362</v>
      </c>
    </row>
    <row r="1267" spans="1:24">
      <c r="A1267" s="374">
        <f t="shared" si="67"/>
        <v>1267</v>
      </c>
      <c r="B1267" s="87" t="s">
        <v>869</v>
      </c>
    </row>
    <row r="1268" spans="1:24">
      <c r="A1268" s="374" t="str">
        <f t="shared" si="67"/>
        <v/>
      </c>
      <c r="B1268" s="87">
        <v>1</v>
      </c>
      <c r="C1268" s="87" t="s">
        <v>210</v>
      </c>
      <c r="D1268" s="87">
        <v>-5</v>
      </c>
      <c r="E1268" s="87">
        <v>2</v>
      </c>
      <c r="F1268" s="87" t="s">
        <v>210</v>
      </c>
      <c r="G1268" s="87">
        <v>-4</v>
      </c>
      <c r="H1268" s="87" t="s">
        <v>210</v>
      </c>
      <c r="I1268" s="87" t="s">
        <v>210</v>
      </c>
      <c r="J1268" s="87">
        <v>1</v>
      </c>
      <c r="K1268" s="87">
        <v>3</v>
      </c>
      <c r="L1268" s="87" t="s">
        <v>210</v>
      </c>
    </row>
    <row r="1269" spans="1:24">
      <c r="A1269" s="374" t="str">
        <f t="shared" si="67"/>
        <v/>
      </c>
      <c r="B1269" s="87">
        <v>2</v>
      </c>
      <c r="C1269" s="87" t="s">
        <v>210</v>
      </c>
      <c r="D1269" s="87">
        <v>-1</v>
      </c>
      <c r="E1269" s="87">
        <v>-4</v>
      </c>
      <c r="F1269" s="87" t="s">
        <v>210</v>
      </c>
      <c r="G1269" s="87">
        <v>5</v>
      </c>
      <c r="H1269" s="87" t="s">
        <v>210</v>
      </c>
      <c r="I1269" s="87" t="s">
        <v>210</v>
      </c>
      <c r="J1269" s="87">
        <v>4</v>
      </c>
      <c r="K1269" s="87">
        <v>-3</v>
      </c>
      <c r="L1269" s="87" t="s">
        <v>210</v>
      </c>
    </row>
    <row r="1270" spans="1:24">
      <c r="A1270" s="374" t="str">
        <f t="shared" si="67"/>
        <v/>
      </c>
      <c r="B1270" s="87">
        <v>3</v>
      </c>
      <c r="C1270" s="87" t="s">
        <v>210</v>
      </c>
      <c r="D1270" s="87">
        <v>5</v>
      </c>
      <c r="E1270" s="87">
        <v>4</v>
      </c>
      <c r="F1270" s="87" t="s">
        <v>210</v>
      </c>
      <c r="G1270" s="87">
        <v>-3</v>
      </c>
      <c r="H1270" s="87" t="s">
        <v>210</v>
      </c>
      <c r="I1270" s="87" t="s">
        <v>210</v>
      </c>
      <c r="J1270" s="87">
        <v>6</v>
      </c>
      <c r="K1270" s="87">
        <v>-4</v>
      </c>
      <c r="L1270" s="87" t="s">
        <v>210</v>
      </c>
    </row>
    <row r="1271" spans="1:24">
      <c r="A1271" s="374" t="str">
        <f t="shared" si="67"/>
        <v/>
      </c>
      <c r="B1271" s="87">
        <v>4</v>
      </c>
      <c r="C1271" s="87" t="s">
        <v>210</v>
      </c>
      <c r="D1271" s="87">
        <v>6</v>
      </c>
      <c r="E1271" s="87">
        <v>3</v>
      </c>
      <c r="F1271" s="87" t="s">
        <v>210</v>
      </c>
      <c r="G1271" s="87">
        <v>-5</v>
      </c>
      <c r="H1271" s="87" t="s">
        <v>210</v>
      </c>
      <c r="I1271" s="87" t="s">
        <v>210</v>
      </c>
      <c r="J1271" s="87">
        <v>-1</v>
      </c>
      <c r="K1271" s="87">
        <v>4</v>
      </c>
      <c r="L1271" s="87" t="s">
        <v>210</v>
      </c>
    </row>
    <row r="1272" spans="1:24">
      <c r="A1272" s="374" t="str">
        <f t="shared" si="67"/>
        <v/>
      </c>
      <c r="B1272" s="87">
        <v>5</v>
      </c>
      <c r="C1272" s="87" t="s">
        <v>210</v>
      </c>
      <c r="D1272" s="87">
        <v>-6</v>
      </c>
      <c r="E1272" s="87">
        <v>-2</v>
      </c>
      <c r="F1272" s="87" t="s">
        <v>210</v>
      </c>
      <c r="G1272" s="87">
        <v>3</v>
      </c>
      <c r="H1272" s="87" t="s">
        <v>210</v>
      </c>
      <c r="I1272" s="87" t="s">
        <v>210</v>
      </c>
      <c r="J1272" s="87">
        <v>-4</v>
      </c>
      <c r="K1272" s="87">
        <v>2</v>
      </c>
      <c r="L1272" s="87" t="s">
        <v>210</v>
      </c>
    </row>
    <row r="1273" spans="1:24">
      <c r="A1273" s="374" t="str">
        <f t="shared" si="67"/>
        <v/>
      </c>
      <c r="B1273" s="232">
        <v>6</v>
      </c>
      <c r="C1273" s="233" t="s">
        <v>210</v>
      </c>
      <c r="D1273" s="233">
        <v>1</v>
      </c>
      <c r="E1273" s="233">
        <v>-3</v>
      </c>
      <c r="F1273" s="233" t="s">
        <v>210</v>
      </c>
      <c r="G1273" s="233">
        <v>4</v>
      </c>
      <c r="H1273" s="233" t="s">
        <v>210</v>
      </c>
      <c r="I1273" s="233" t="s">
        <v>210</v>
      </c>
      <c r="J1273" s="233">
        <v>-6</v>
      </c>
      <c r="K1273" s="233">
        <v>-2</v>
      </c>
      <c r="L1273" s="233" t="s">
        <v>210</v>
      </c>
    </row>
    <row r="1274" spans="1:24">
      <c r="A1274" s="374" t="str">
        <f t="shared" si="67"/>
        <v/>
      </c>
      <c r="B1274" s="87">
        <v>7</v>
      </c>
      <c r="C1274" s="87" t="s">
        <v>202</v>
      </c>
      <c r="D1274" s="87" t="s">
        <v>210</v>
      </c>
      <c r="E1274" s="87" t="s">
        <v>210</v>
      </c>
      <c r="F1274" s="87">
        <v>3</v>
      </c>
      <c r="G1274" s="87">
        <v>2</v>
      </c>
      <c r="H1274" s="87" t="s">
        <v>210</v>
      </c>
      <c r="I1274" s="87">
        <v>-4</v>
      </c>
      <c r="J1274" s="87" t="s">
        <v>210</v>
      </c>
      <c r="K1274" s="87" t="s">
        <v>210</v>
      </c>
      <c r="L1274" s="87">
        <v>-5</v>
      </c>
    </row>
    <row r="1275" spans="1:24">
      <c r="A1275" s="374" t="str">
        <f t="shared" si="67"/>
        <v/>
      </c>
      <c r="B1275" s="87">
        <v>8</v>
      </c>
      <c r="C1275" s="87">
        <v>2</v>
      </c>
      <c r="D1275" s="87" t="s">
        <v>210</v>
      </c>
      <c r="E1275" s="87" t="s">
        <v>210</v>
      </c>
      <c r="F1275" s="87">
        <v>-1</v>
      </c>
      <c r="G1275" s="87" t="s">
        <v>210</v>
      </c>
      <c r="H1275" s="87" t="s">
        <v>202</v>
      </c>
      <c r="I1275" s="87">
        <v>-2</v>
      </c>
      <c r="J1275" s="87" t="s">
        <v>210</v>
      </c>
      <c r="K1275" s="87" t="s">
        <v>210</v>
      </c>
      <c r="L1275" s="87">
        <v>5</v>
      </c>
    </row>
    <row r="1276" spans="1:24">
      <c r="A1276" s="374" t="str">
        <f t="shared" si="67"/>
        <v/>
      </c>
      <c r="B1276" s="87">
        <v>9</v>
      </c>
      <c r="C1276" s="87">
        <v>5</v>
      </c>
      <c r="D1276" s="87" t="s">
        <v>210</v>
      </c>
      <c r="E1276" s="87" t="s">
        <v>210</v>
      </c>
      <c r="F1276" s="87">
        <v>1</v>
      </c>
      <c r="G1276" s="87">
        <v>-2</v>
      </c>
      <c r="H1276" s="87" t="s">
        <v>210</v>
      </c>
      <c r="I1276" s="87" t="s">
        <v>202</v>
      </c>
      <c r="J1276" s="87" t="s">
        <v>210</v>
      </c>
      <c r="K1276" s="87" t="s">
        <v>210</v>
      </c>
      <c r="L1276" s="87">
        <v>-3</v>
      </c>
    </row>
    <row r="1277" spans="1:24">
      <c r="A1277" s="374" t="str">
        <f t="shared" si="67"/>
        <v/>
      </c>
      <c r="B1277" s="87">
        <v>10</v>
      </c>
      <c r="C1277" s="87">
        <v>-2</v>
      </c>
      <c r="D1277" s="87" t="s">
        <v>210</v>
      </c>
      <c r="E1277" s="87" t="s">
        <v>210</v>
      </c>
      <c r="F1277" s="87" t="s">
        <v>202</v>
      </c>
      <c r="G1277" s="87" t="s">
        <v>210</v>
      </c>
      <c r="H1277" s="87">
        <v>-6</v>
      </c>
      <c r="I1277" s="87">
        <v>4</v>
      </c>
      <c r="J1277" s="87" t="s">
        <v>210</v>
      </c>
      <c r="K1277" s="87" t="s">
        <v>210</v>
      </c>
      <c r="L1277" s="87">
        <v>3</v>
      </c>
    </row>
    <row r="1278" spans="1:24">
      <c r="A1278" s="374" t="str">
        <f t="shared" si="67"/>
        <v/>
      </c>
      <c r="B1278" s="232">
        <v>11</v>
      </c>
      <c r="C1278" s="233">
        <v>-5</v>
      </c>
      <c r="D1278" s="233" t="s">
        <v>210</v>
      </c>
      <c r="E1278" s="233" t="s">
        <v>210</v>
      </c>
      <c r="F1278" s="233">
        <v>-3</v>
      </c>
      <c r="G1278" s="233" t="s">
        <v>210</v>
      </c>
      <c r="H1278" s="233">
        <v>6</v>
      </c>
      <c r="I1278" s="233">
        <v>2</v>
      </c>
      <c r="J1278" s="233" t="s">
        <v>210</v>
      </c>
      <c r="K1278" s="233" t="s">
        <v>210</v>
      </c>
      <c r="L1278" s="233" t="s">
        <v>202</v>
      </c>
    </row>
    <row r="1279" spans="1:24">
      <c r="A1279" s="374" t="str">
        <f t="shared" si="67"/>
        <v/>
      </c>
      <c r="B1279" s="87">
        <v>12</v>
      </c>
      <c r="C1279" s="87">
        <v>6</v>
      </c>
      <c r="D1279" s="87" t="s">
        <v>210</v>
      </c>
      <c r="E1279" s="87" t="s">
        <v>210</v>
      </c>
      <c r="F1279" s="87">
        <v>-5</v>
      </c>
      <c r="G1279" s="87" t="s">
        <v>210</v>
      </c>
      <c r="H1279" s="87" t="s">
        <v>202</v>
      </c>
      <c r="I1279" s="87">
        <v>-3</v>
      </c>
      <c r="J1279" s="87" t="s">
        <v>210</v>
      </c>
      <c r="K1279" s="87" t="s">
        <v>210</v>
      </c>
      <c r="L1279" s="87">
        <v>2</v>
      </c>
    </row>
    <row r="1280" spans="1:24">
      <c r="A1280" s="374" t="str">
        <f t="shared" si="67"/>
        <v/>
      </c>
      <c r="B1280" s="87">
        <v>13</v>
      </c>
      <c r="C1280" s="87" t="s">
        <v>202</v>
      </c>
      <c r="D1280" s="87" t="s">
        <v>210</v>
      </c>
      <c r="E1280" s="87" t="s">
        <v>210</v>
      </c>
      <c r="F1280" s="87">
        <v>4</v>
      </c>
      <c r="G1280" s="87">
        <v>6</v>
      </c>
      <c r="H1280" s="87" t="s">
        <v>210</v>
      </c>
      <c r="I1280" s="87">
        <v>-1</v>
      </c>
      <c r="J1280" s="87" t="s">
        <v>210</v>
      </c>
      <c r="K1280" s="87" t="s">
        <v>210</v>
      </c>
      <c r="L1280" s="87">
        <v>-2</v>
      </c>
    </row>
    <row r="1281" spans="1:28">
      <c r="A1281" s="374" t="str">
        <f t="shared" si="67"/>
        <v/>
      </c>
      <c r="B1281" s="87">
        <v>14</v>
      </c>
      <c r="C1281" s="87">
        <v>1</v>
      </c>
      <c r="D1281" s="87" t="s">
        <v>210</v>
      </c>
      <c r="E1281" s="87" t="s">
        <v>210</v>
      </c>
      <c r="F1281" s="87">
        <v>5</v>
      </c>
      <c r="G1281" s="87">
        <v>-6</v>
      </c>
      <c r="H1281" s="87" t="s">
        <v>210</v>
      </c>
      <c r="I1281" s="87" t="s">
        <v>202</v>
      </c>
      <c r="J1281" s="87" t="s">
        <v>210</v>
      </c>
      <c r="K1281" s="87" t="s">
        <v>210</v>
      </c>
      <c r="L1281" s="87">
        <v>-4</v>
      </c>
    </row>
    <row r="1282" spans="1:28">
      <c r="A1282" s="374" t="str">
        <f t="shared" si="67"/>
        <v/>
      </c>
      <c r="B1282" s="87">
        <v>15</v>
      </c>
      <c r="C1282" s="87">
        <v>-6</v>
      </c>
      <c r="D1282" s="87" t="s">
        <v>210</v>
      </c>
      <c r="E1282" s="87" t="s">
        <v>210</v>
      </c>
      <c r="F1282" s="87" t="s">
        <v>202</v>
      </c>
      <c r="G1282" s="87" t="s">
        <v>210</v>
      </c>
      <c r="H1282" s="87">
        <v>-5</v>
      </c>
      <c r="I1282" s="87">
        <v>1</v>
      </c>
      <c r="J1282" s="87" t="s">
        <v>210</v>
      </c>
      <c r="K1282" s="87" t="s">
        <v>210</v>
      </c>
      <c r="L1282" s="87">
        <v>4</v>
      </c>
    </row>
    <row r="1283" spans="1:28">
      <c r="A1283" s="374" t="str">
        <f t="shared" si="67"/>
        <v/>
      </c>
      <c r="B1283" s="232">
        <v>16</v>
      </c>
      <c r="C1283" s="233">
        <v>-1</v>
      </c>
      <c r="D1283" s="233" t="s">
        <v>210</v>
      </c>
      <c r="E1283" s="233" t="s">
        <v>210</v>
      </c>
      <c r="F1283" s="233">
        <v>-4</v>
      </c>
      <c r="G1283" s="233" t="s">
        <v>210</v>
      </c>
      <c r="H1283" s="233">
        <v>5</v>
      </c>
      <c r="I1283" s="233">
        <v>3</v>
      </c>
      <c r="J1283" s="233" t="s">
        <v>210</v>
      </c>
      <c r="K1283" s="233" t="s">
        <v>210</v>
      </c>
      <c r="L1283" s="233" t="s">
        <v>202</v>
      </c>
    </row>
    <row r="1284" spans="1:28">
      <c r="A1284" s="374" t="str">
        <f t="shared" si="67"/>
        <v/>
      </c>
      <c r="B1284" s="87">
        <v>17</v>
      </c>
      <c r="C1284" s="87" t="s">
        <v>210</v>
      </c>
      <c r="D1284" s="87">
        <v>-2</v>
      </c>
      <c r="E1284" s="87">
        <v>-6</v>
      </c>
      <c r="F1284" s="87" t="s">
        <v>210</v>
      </c>
      <c r="G1284" s="87" t="s">
        <v>210</v>
      </c>
      <c r="H1284" s="87">
        <v>3</v>
      </c>
      <c r="I1284" s="87" t="s">
        <v>210</v>
      </c>
      <c r="J1284" s="87" t="s">
        <v>202</v>
      </c>
      <c r="K1284" s="87">
        <v>5</v>
      </c>
      <c r="L1284" s="87" t="s">
        <v>210</v>
      </c>
    </row>
    <row r="1285" spans="1:28">
      <c r="A1285" s="374" t="str">
        <f t="shared" si="67"/>
        <v/>
      </c>
      <c r="B1285" s="87">
        <v>18</v>
      </c>
      <c r="C1285" s="87" t="s">
        <v>210</v>
      </c>
      <c r="D1285" s="87">
        <v>4</v>
      </c>
      <c r="E1285" s="87" t="s">
        <v>202</v>
      </c>
      <c r="F1285" s="87" t="s">
        <v>210</v>
      </c>
      <c r="G1285" s="87">
        <v>1</v>
      </c>
      <c r="H1285" s="87" t="s">
        <v>210</v>
      </c>
      <c r="I1285" s="87" t="s">
        <v>210</v>
      </c>
      <c r="J1285" s="87">
        <v>-2</v>
      </c>
      <c r="K1285" s="87">
        <v>-5</v>
      </c>
      <c r="L1285" s="87" t="s">
        <v>210</v>
      </c>
    </row>
    <row r="1286" spans="1:28">
      <c r="A1286" s="374" t="str">
        <f t="shared" si="67"/>
        <v/>
      </c>
      <c r="B1286" s="87">
        <v>19</v>
      </c>
      <c r="C1286" s="87" t="s">
        <v>210</v>
      </c>
      <c r="D1286" s="87" t="s">
        <v>202</v>
      </c>
      <c r="E1286" s="87">
        <v>-5</v>
      </c>
      <c r="F1286" s="87" t="s">
        <v>210</v>
      </c>
      <c r="G1286" s="87" t="s">
        <v>210</v>
      </c>
      <c r="H1286" s="87">
        <v>-3</v>
      </c>
      <c r="I1286" s="87" t="s">
        <v>210</v>
      </c>
      <c r="J1286" s="87">
        <v>2</v>
      </c>
      <c r="K1286" s="87">
        <v>1</v>
      </c>
      <c r="L1286" s="87" t="s">
        <v>210</v>
      </c>
    </row>
    <row r="1287" spans="1:28">
      <c r="A1287" s="374" t="str">
        <f t="shared" si="67"/>
        <v/>
      </c>
      <c r="B1287" s="87">
        <v>20</v>
      </c>
      <c r="C1287" s="87" t="s">
        <v>210</v>
      </c>
      <c r="D1287" s="87">
        <v>-4</v>
      </c>
      <c r="E1287" s="87">
        <v>6</v>
      </c>
      <c r="F1287" s="87" t="s">
        <v>210</v>
      </c>
      <c r="G1287" s="87" t="s">
        <v>202</v>
      </c>
      <c r="H1287" s="87" t="s">
        <v>210</v>
      </c>
      <c r="I1287" s="87" t="s">
        <v>210</v>
      </c>
      <c r="J1287" s="87">
        <v>5</v>
      </c>
      <c r="K1287" s="87">
        <v>-1</v>
      </c>
      <c r="L1287" s="87" t="s">
        <v>210</v>
      </c>
    </row>
    <row r="1288" spans="1:28">
      <c r="A1288" s="374" t="str">
        <f t="shared" si="67"/>
        <v/>
      </c>
      <c r="B1288" s="232">
        <v>21</v>
      </c>
      <c r="C1288" s="233" t="s">
        <v>210</v>
      </c>
      <c r="D1288" s="233">
        <v>2</v>
      </c>
      <c r="E1288" s="233">
        <v>5</v>
      </c>
      <c r="F1288" s="233" t="s">
        <v>210</v>
      </c>
      <c r="G1288" s="233">
        <v>-1</v>
      </c>
      <c r="H1288" s="233" t="s">
        <v>210</v>
      </c>
      <c r="I1288" s="233" t="s">
        <v>210</v>
      </c>
      <c r="J1288" s="233">
        <v>-5</v>
      </c>
      <c r="K1288" s="233" t="s">
        <v>202</v>
      </c>
      <c r="L1288" s="233" t="s">
        <v>210</v>
      </c>
    </row>
    <row r="1289" spans="1:28">
      <c r="A1289" s="374" t="str">
        <f t="shared" si="67"/>
        <v/>
      </c>
      <c r="B1289" s="87">
        <v>22</v>
      </c>
      <c r="C1289" s="87">
        <v>-3</v>
      </c>
      <c r="D1289" s="87" t="s">
        <v>210</v>
      </c>
      <c r="E1289" s="87" t="s">
        <v>210</v>
      </c>
      <c r="F1289" s="87">
        <v>-2</v>
      </c>
      <c r="G1289" s="87" t="s">
        <v>210</v>
      </c>
      <c r="H1289" s="87">
        <v>4</v>
      </c>
      <c r="I1289" s="87" t="s">
        <v>202</v>
      </c>
      <c r="J1289" s="87" t="s">
        <v>210</v>
      </c>
      <c r="K1289" s="87">
        <v>6</v>
      </c>
      <c r="L1289" s="87" t="s">
        <v>210</v>
      </c>
    </row>
    <row r="1290" spans="1:28">
      <c r="A1290" s="374" t="str">
        <f t="shared" si="67"/>
        <v/>
      </c>
      <c r="B1290" s="87">
        <v>23</v>
      </c>
      <c r="C1290" s="87">
        <v>4</v>
      </c>
      <c r="D1290" s="87" t="s">
        <v>210</v>
      </c>
      <c r="E1290" s="87" t="s">
        <v>202</v>
      </c>
      <c r="F1290" s="87" t="s">
        <v>210</v>
      </c>
      <c r="G1290" s="87" t="s">
        <v>210</v>
      </c>
      <c r="H1290" s="87">
        <v>2</v>
      </c>
      <c r="I1290" s="87">
        <v>-5</v>
      </c>
      <c r="J1290" s="87" t="s">
        <v>210</v>
      </c>
      <c r="K1290" s="87">
        <v>-6</v>
      </c>
      <c r="L1290" s="87" t="s">
        <v>210</v>
      </c>
    </row>
    <row r="1291" spans="1:28">
      <c r="A1291" s="374" t="str">
        <f t="shared" si="67"/>
        <v/>
      </c>
      <c r="B1291" s="87">
        <v>24</v>
      </c>
      <c r="C1291" s="87">
        <v>-4</v>
      </c>
      <c r="D1291" s="87" t="s">
        <v>210</v>
      </c>
      <c r="E1291" s="87" t="s">
        <v>210</v>
      </c>
      <c r="F1291" s="87">
        <v>2</v>
      </c>
      <c r="G1291" s="87" t="s">
        <v>202</v>
      </c>
      <c r="H1291" s="87" t="s">
        <v>210</v>
      </c>
      <c r="I1291" s="87">
        <v>6</v>
      </c>
      <c r="J1291" s="87" t="s">
        <v>210</v>
      </c>
      <c r="K1291" s="87" t="s">
        <v>210</v>
      </c>
      <c r="L1291" s="87">
        <v>-1</v>
      </c>
    </row>
    <row r="1292" spans="1:28">
      <c r="A1292" s="374" t="str">
        <f t="shared" ref="A1292:A1355" si="68">IF(MID(B1292,3,2)="06",ROW(),"")</f>
        <v/>
      </c>
      <c r="B1292" s="87">
        <v>25</v>
      </c>
      <c r="C1292" s="87" t="s">
        <v>202</v>
      </c>
      <c r="D1292" s="87" t="s">
        <v>210</v>
      </c>
      <c r="E1292" s="87">
        <v>-1</v>
      </c>
      <c r="F1292" s="87" t="s">
        <v>210</v>
      </c>
      <c r="G1292" s="87" t="s">
        <v>210</v>
      </c>
      <c r="H1292" s="87">
        <v>-4</v>
      </c>
      <c r="I1292" s="87">
        <v>5</v>
      </c>
      <c r="J1292" s="87" t="s">
        <v>210</v>
      </c>
      <c r="K1292" s="87" t="s">
        <v>210</v>
      </c>
      <c r="L1292" s="87">
        <v>1</v>
      </c>
    </row>
    <row r="1293" spans="1:28">
      <c r="A1293" s="374" t="str">
        <f t="shared" si="68"/>
        <v/>
      </c>
      <c r="B1293" s="87">
        <v>26</v>
      </c>
      <c r="C1293" s="87">
        <v>3</v>
      </c>
      <c r="D1293" s="87" t="s">
        <v>210</v>
      </c>
      <c r="E1293" s="87">
        <v>1</v>
      </c>
      <c r="F1293" s="87" t="s">
        <v>210</v>
      </c>
      <c r="G1293" s="87" t="s">
        <v>210</v>
      </c>
      <c r="H1293" s="87">
        <v>-2</v>
      </c>
      <c r="I1293" s="87">
        <v>-6</v>
      </c>
      <c r="J1293" s="87" t="s">
        <v>210</v>
      </c>
      <c r="K1293" s="87" t="s">
        <v>202</v>
      </c>
      <c r="L1293" s="87" t="s">
        <v>210</v>
      </c>
    </row>
    <row r="1294" spans="1:28">
      <c r="A1294" s="374" t="str">
        <f t="shared" si="68"/>
        <v/>
      </c>
      <c r="B1294" s="306" t="s">
        <v>870</v>
      </c>
    </row>
    <row r="1295" spans="1:28">
      <c r="A1295" s="374">
        <f t="shared" si="68"/>
        <v>1295</v>
      </c>
      <c r="B1295" s="318" t="s">
        <v>1036</v>
      </c>
    </row>
    <row r="1296" spans="1:28">
      <c r="A1296" s="374" t="str">
        <f t="shared" si="68"/>
        <v/>
      </c>
      <c r="B1296" s="87">
        <v>1</v>
      </c>
      <c r="C1296" s="87" t="s">
        <v>202</v>
      </c>
      <c r="D1296" s="87" t="s">
        <v>210</v>
      </c>
      <c r="E1296" s="87" t="s">
        <v>210</v>
      </c>
      <c r="F1296" s="87">
        <v>-1</v>
      </c>
      <c r="G1296" s="87">
        <v>5</v>
      </c>
      <c r="H1296" s="87" t="s">
        <v>210</v>
      </c>
      <c r="I1296" s="87" t="s">
        <v>210</v>
      </c>
      <c r="J1296" s="87">
        <v>-4</v>
      </c>
      <c r="K1296" s="87">
        <v>6</v>
      </c>
      <c r="L1296" s="87" t="s">
        <v>210</v>
      </c>
      <c r="M1296" s="87" t="s">
        <v>210</v>
      </c>
      <c r="N1296" s="87">
        <v>-3</v>
      </c>
      <c r="O1296" s="87">
        <v>-1</v>
      </c>
      <c r="P1296" s="87" t="s">
        <v>210</v>
      </c>
      <c r="Q1296" s="87" t="s">
        <v>210</v>
      </c>
      <c r="R1296" s="87">
        <v>2</v>
      </c>
      <c r="S1296" s="87">
        <v>-4</v>
      </c>
      <c r="T1296" s="87" t="s">
        <v>210</v>
      </c>
      <c r="U1296" s="87" t="s">
        <v>210</v>
      </c>
      <c r="V1296" s="87">
        <v>6</v>
      </c>
      <c r="W1296" s="87">
        <v>2</v>
      </c>
      <c r="X1296" s="87" t="s">
        <v>210</v>
      </c>
      <c r="Y1296" s="87" t="s">
        <v>210</v>
      </c>
      <c r="Z1296" s="87">
        <v>5</v>
      </c>
      <c r="AA1296" s="87">
        <v>3</v>
      </c>
      <c r="AB1296" s="87" t="s">
        <v>210</v>
      </c>
    </row>
    <row r="1297" spans="1:28">
      <c r="A1297" s="374" t="str">
        <f t="shared" si="68"/>
        <v/>
      </c>
      <c r="B1297" s="87">
        <v>2</v>
      </c>
      <c r="C1297" s="87" t="s">
        <v>210</v>
      </c>
      <c r="D1297" s="87">
        <v>-1</v>
      </c>
      <c r="E1297" s="87">
        <v>5</v>
      </c>
      <c r="F1297" s="87" t="s">
        <v>210</v>
      </c>
      <c r="G1297" s="87" t="s">
        <v>210</v>
      </c>
      <c r="H1297" s="87">
        <v>3</v>
      </c>
      <c r="I1297" s="87">
        <v>-6</v>
      </c>
      <c r="J1297" s="87" t="s">
        <v>210</v>
      </c>
      <c r="K1297" s="87" t="s">
        <v>210</v>
      </c>
      <c r="L1297" s="87">
        <v>4</v>
      </c>
      <c r="M1297" s="87">
        <v>-1</v>
      </c>
      <c r="N1297" s="87" t="s">
        <v>210</v>
      </c>
      <c r="O1297" s="87" t="s">
        <v>210</v>
      </c>
      <c r="P1297" s="87">
        <v>2</v>
      </c>
      <c r="Q1297" s="87">
        <v>3</v>
      </c>
      <c r="R1297" s="87" t="s">
        <v>210</v>
      </c>
      <c r="S1297" s="87" t="s">
        <v>210</v>
      </c>
      <c r="T1297" s="87">
        <v>6</v>
      </c>
      <c r="U1297" s="87">
        <v>-2</v>
      </c>
      <c r="V1297" s="87" t="s">
        <v>210</v>
      </c>
      <c r="W1297" s="87" t="s">
        <v>210</v>
      </c>
      <c r="X1297" s="87">
        <v>5</v>
      </c>
      <c r="Y1297" s="87">
        <v>4</v>
      </c>
      <c r="Z1297" s="87" t="s">
        <v>210</v>
      </c>
      <c r="AA1297" s="87">
        <v>-3</v>
      </c>
      <c r="AB1297" s="87" t="s">
        <v>210</v>
      </c>
    </row>
    <row r="1298" spans="1:28">
      <c r="A1298" s="374" t="str">
        <f t="shared" si="68"/>
        <v/>
      </c>
      <c r="B1298" s="87">
        <v>3</v>
      </c>
      <c r="C1298" s="87">
        <v>6</v>
      </c>
      <c r="D1298" s="87" t="s">
        <v>210</v>
      </c>
      <c r="E1298" s="87" t="s">
        <v>210</v>
      </c>
      <c r="F1298" s="87">
        <v>4</v>
      </c>
      <c r="G1298" s="87">
        <v>-5</v>
      </c>
      <c r="H1298" s="87" t="s">
        <v>210</v>
      </c>
      <c r="I1298" s="87" t="s">
        <v>210</v>
      </c>
      <c r="J1298" s="87">
        <v>-6</v>
      </c>
      <c r="K1298" s="87" t="s">
        <v>202</v>
      </c>
      <c r="L1298" s="87" t="s">
        <v>210</v>
      </c>
      <c r="M1298" s="87" t="s">
        <v>210</v>
      </c>
      <c r="N1298" s="87">
        <v>1</v>
      </c>
      <c r="O1298" s="87">
        <v>5</v>
      </c>
      <c r="P1298" s="87" t="s">
        <v>210</v>
      </c>
      <c r="Q1298" s="87" t="s">
        <v>210</v>
      </c>
      <c r="R1298" s="87">
        <v>4</v>
      </c>
      <c r="S1298" s="87">
        <v>-6</v>
      </c>
      <c r="T1298" s="87" t="s">
        <v>210</v>
      </c>
      <c r="U1298" s="87" t="s">
        <v>210</v>
      </c>
      <c r="V1298" s="87">
        <v>3</v>
      </c>
      <c r="W1298" s="87">
        <v>-1</v>
      </c>
      <c r="X1298" s="87" t="s">
        <v>210</v>
      </c>
      <c r="Y1298" s="87" t="s">
        <v>210</v>
      </c>
      <c r="Z1298" s="87">
        <v>2</v>
      </c>
      <c r="AA1298" s="87">
        <v>-4</v>
      </c>
      <c r="AB1298" s="87" t="s">
        <v>210</v>
      </c>
    </row>
    <row r="1299" spans="1:28">
      <c r="A1299" s="374" t="str">
        <f t="shared" si="68"/>
        <v/>
      </c>
      <c r="B1299" s="87">
        <v>4</v>
      </c>
      <c r="C1299" s="87" t="s">
        <v>210</v>
      </c>
      <c r="D1299" s="87">
        <v>4</v>
      </c>
      <c r="E1299" s="87">
        <v>1</v>
      </c>
      <c r="F1299" s="87" t="s">
        <v>210</v>
      </c>
      <c r="G1299" s="87" t="s">
        <v>210</v>
      </c>
      <c r="H1299" s="87">
        <v>2</v>
      </c>
      <c r="I1299" s="87">
        <v>-3</v>
      </c>
      <c r="J1299" s="87" t="s">
        <v>210</v>
      </c>
      <c r="K1299" s="87" t="s">
        <v>210</v>
      </c>
      <c r="L1299" s="87">
        <v>6</v>
      </c>
      <c r="M1299" s="87">
        <v>2</v>
      </c>
      <c r="N1299" s="87" t="s">
        <v>210</v>
      </c>
      <c r="O1299" s="87" t="s">
        <v>210</v>
      </c>
      <c r="P1299" s="87">
        <v>5</v>
      </c>
      <c r="Q1299" s="87">
        <v>-4</v>
      </c>
      <c r="R1299" s="87" t="s">
        <v>210</v>
      </c>
      <c r="S1299" s="87">
        <v>3</v>
      </c>
      <c r="T1299" s="87" t="s">
        <v>210</v>
      </c>
      <c r="U1299" s="87" t="s">
        <v>210</v>
      </c>
      <c r="V1299" s="87">
        <v>-5</v>
      </c>
      <c r="W1299" s="87">
        <v>-2</v>
      </c>
      <c r="X1299" s="87" t="s">
        <v>210</v>
      </c>
      <c r="Y1299" s="87" t="s">
        <v>210</v>
      </c>
      <c r="Z1299" s="87">
        <v>-1</v>
      </c>
      <c r="AA1299" s="87">
        <v>4</v>
      </c>
      <c r="AB1299" s="87" t="s">
        <v>210</v>
      </c>
    </row>
    <row r="1300" spans="1:28">
      <c r="A1300" s="374" t="str">
        <f t="shared" si="68"/>
        <v/>
      </c>
      <c r="B1300" s="87">
        <v>5</v>
      </c>
      <c r="C1300" s="87">
        <v>-5</v>
      </c>
      <c r="D1300" s="87" t="s">
        <v>210</v>
      </c>
      <c r="E1300" s="87" t="s">
        <v>210</v>
      </c>
      <c r="F1300" s="87">
        <v>1</v>
      </c>
      <c r="G1300" s="87" t="s">
        <v>202</v>
      </c>
      <c r="H1300" s="87" t="s">
        <v>210</v>
      </c>
      <c r="I1300" s="87" t="s">
        <v>210</v>
      </c>
      <c r="J1300" s="87">
        <v>6</v>
      </c>
      <c r="K1300" s="87">
        <v>5</v>
      </c>
      <c r="L1300" s="87" t="s">
        <v>210</v>
      </c>
      <c r="M1300" s="87" t="s">
        <v>210</v>
      </c>
      <c r="N1300" s="87">
        <v>-4</v>
      </c>
      <c r="O1300" s="87">
        <v>6</v>
      </c>
      <c r="P1300" s="87" t="s">
        <v>210</v>
      </c>
      <c r="Q1300" s="87" t="s">
        <v>210</v>
      </c>
      <c r="R1300" s="87">
        <v>3</v>
      </c>
      <c r="S1300" s="87">
        <v>-1</v>
      </c>
      <c r="T1300" s="87" t="s">
        <v>210</v>
      </c>
      <c r="U1300" s="87" t="s">
        <v>210</v>
      </c>
      <c r="V1300" s="87">
        <v>2</v>
      </c>
      <c r="W1300" s="87">
        <v>4</v>
      </c>
      <c r="X1300" s="87" t="s">
        <v>210</v>
      </c>
      <c r="Y1300" s="87" t="s">
        <v>210</v>
      </c>
      <c r="Z1300" s="87">
        <v>1</v>
      </c>
      <c r="AA1300" s="87">
        <v>-2</v>
      </c>
      <c r="AB1300" s="87" t="s">
        <v>210</v>
      </c>
    </row>
    <row r="1301" spans="1:28">
      <c r="A1301" s="374" t="str">
        <f t="shared" si="68"/>
        <v/>
      </c>
      <c r="B1301" s="87">
        <v>6</v>
      </c>
      <c r="C1301" s="87" t="s">
        <v>210</v>
      </c>
      <c r="D1301" s="87">
        <v>3</v>
      </c>
      <c r="E1301" s="87">
        <v>-6</v>
      </c>
      <c r="F1301" s="87" t="s">
        <v>210</v>
      </c>
      <c r="G1301" s="87" t="s">
        <v>210</v>
      </c>
      <c r="H1301" s="87">
        <v>-4</v>
      </c>
      <c r="I1301" s="87">
        <v>-1</v>
      </c>
      <c r="J1301" s="87" t="s">
        <v>210</v>
      </c>
      <c r="K1301" s="87" t="s">
        <v>210</v>
      </c>
      <c r="L1301" s="87">
        <v>2</v>
      </c>
      <c r="M1301" s="87">
        <v>-3</v>
      </c>
      <c r="N1301" s="87" t="s">
        <v>210</v>
      </c>
      <c r="O1301" s="87" t="s">
        <v>210</v>
      </c>
      <c r="P1301" s="87">
        <v>-1</v>
      </c>
      <c r="Q1301" s="87">
        <v>-2</v>
      </c>
      <c r="R1301" s="87" t="s">
        <v>210</v>
      </c>
      <c r="S1301" s="87" t="s">
        <v>210</v>
      </c>
      <c r="T1301" s="87">
        <v>5</v>
      </c>
      <c r="U1301" s="87">
        <v>4</v>
      </c>
      <c r="V1301" s="87" t="s">
        <v>210</v>
      </c>
      <c r="W1301" s="87">
        <v>-3</v>
      </c>
      <c r="X1301" s="87" t="s">
        <v>210</v>
      </c>
      <c r="Y1301" s="87" t="s">
        <v>210</v>
      </c>
      <c r="Z1301" s="87">
        <v>-5</v>
      </c>
      <c r="AA1301" s="87">
        <v>2</v>
      </c>
      <c r="AB1301" s="87" t="s">
        <v>210</v>
      </c>
    </row>
    <row r="1302" spans="1:28">
      <c r="A1302" s="374" t="str">
        <f t="shared" si="68"/>
        <v/>
      </c>
      <c r="B1302" s="87">
        <v>7</v>
      </c>
      <c r="C1302" s="87">
        <v>-2</v>
      </c>
      <c r="D1302" s="87" t="s">
        <v>210</v>
      </c>
      <c r="E1302" s="87" t="s">
        <v>210</v>
      </c>
      <c r="F1302" s="87">
        <v>6</v>
      </c>
      <c r="G1302" s="87">
        <v>4</v>
      </c>
      <c r="H1302" s="87" t="s">
        <v>210</v>
      </c>
      <c r="I1302" s="87" t="s">
        <v>210</v>
      </c>
      <c r="J1302" s="87">
        <v>-2</v>
      </c>
      <c r="K1302" s="87">
        <v>-1</v>
      </c>
      <c r="L1302" s="87" t="s">
        <v>210</v>
      </c>
      <c r="M1302" s="87" t="s">
        <v>210</v>
      </c>
      <c r="N1302" s="87">
        <v>3</v>
      </c>
      <c r="O1302" s="87">
        <v>-6</v>
      </c>
      <c r="P1302" s="87" t="s">
        <v>210</v>
      </c>
      <c r="Q1302" s="87" t="s">
        <v>210</v>
      </c>
      <c r="R1302" s="87">
        <v>-4</v>
      </c>
      <c r="S1302" s="87">
        <v>-5</v>
      </c>
      <c r="T1302" s="87" t="s">
        <v>210</v>
      </c>
      <c r="U1302" s="87" t="s">
        <v>210</v>
      </c>
      <c r="V1302" s="87">
        <v>1</v>
      </c>
      <c r="W1302" s="87" t="s">
        <v>202</v>
      </c>
      <c r="X1302" s="87" t="s">
        <v>210</v>
      </c>
      <c r="Y1302" s="87" t="s">
        <v>210</v>
      </c>
      <c r="Z1302" s="87">
        <v>6</v>
      </c>
      <c r="AA1302" s="87">
        <v>5</v>
      </c>
      <c r="AB1302" s="87" t="s">
        <v>210</v>
      </c>
    </row>
    <row r="1303" spans="1:28">
      <c r="A1303" s="374" t="str">
        <f t="shared" si="68"/>
        <v/>
      </c>
      <c r="B1303" s="87">
        <v>8</v>
      </c>
      <c r="C1303" s="87" t="s">
        <v>210</v>
      </c>
      <c r="D1303" s="87">
        <v>5</v>
      </c>
      <c r="E1303" s="87">
        <v>4</v>
      </c>
      <c r="F1303" s="87" t="s">
        <v>210</v>
      </c>
      <c r="G1303" s="87">
        <v>-3</v>
      </c>
      <c r="H1303" s="87" t="s">
        <v>210</v>
      </c>
      <c r="I1303" s="87" t="s">
        <v>210</v>
      </c>
      <c r="J1303" s="87">
        <v>-5</v>
      </c>
      <c r="K1303" s="87">
        <v>2</v>
      </c>
      <c r="L1303" s="87" t="s">
        <v>210</v>
      </c>
      <c r="M1303" s="87" t="s">
        <v>210</v>
      </c>
      <c r="N1303" s="87">
        <v>6</v>
      </c>
      <c r="O1303" s="87">
        <v>-4</v>
      </c>
      <c r="P1303" s="87" t="s">
        <v>210</v>
      </c>
      <c r="Q1303" s="87" t="s">
        <v>210</v>
      </c>
      <c r="R1303" s="87">
        <v>-2</v>
      </c>
      <c r="S1303" s="87">
        <v>1</v>
      </c>
      <c r="T1303" s="87" t="s">
        <v>210</v>
      </c>
      <c r="U1303" s="87" t="s">
        <v>210</v>
      </c>
      <c r="V1303" s="87">
        <v>-3</v>
      </c>
      <c r="W1303" s="87">
        <v>6</v>
      </c>
      <c r="X1303" s="87" t="s">
        <v>210</v>
      </c>
      <c r="Y1303" s="87" t="s">
        <v>210</v>
      </c>
      <c r="Z1303" s="87">
        <v>-4</v>
      </c>
      <c r="AA1303" s="87">
        <v>-5</v>
      </c>
      <c r="AB1303" s="87" t="s">
        <v>210</v>
      </c>
    </row>
    <row r="1304" spans="1:28">
      <c r="A1304" s="374" t="str">
        <f t="shared" si="68"/>
        <v/>
      </c>
      <c r="B1304" s="87">
        <v>9</v>
      </c>
      <c r="C1304" s="87">
        <v>1</v>
      </c>
      <c r="D1304" s="87" t="s">
        <v>210</v>
      </c>
      <c r="E1304" s="87" t="s">
        <v>210</v>
      </c>
      <c r="F1304" s="87">
        <v>-3</v>
      </c>
      <c r="G1304" s="87">
        <v>6</v>
      </c>
      <c r="H1304" s="87" t="s">
        <v>210</v>
      </c>
      <c r="I1304" s="87" t="s">
        <v>210</v>
      </c>
      <c r="J1304" s="87">
        <v>4</v>
      </c>
      <c r="K1304" s="87">
        <v>-5</v>
      </c>
      <c r="L1304" s="87" t="s">
        <v>210</v>
      </c>
      <c r="M1304" s="87" t="s">
        <v>210</v>
      </c>
      <c r="N1304" s="87">
        <v>-1</v>
      </c>
      <c r="O1304" s="87" t="s">
        <v>202</v>
      </c>
      <c r="P1304" s="87" t="s">
        <v>210</v>
      </c>
      <c r="Q1304" s="87" t="s">
        <v>210</v>
      </c>
      <c r="R1304" s="87">
        <v>-6</v>
      </c>
      <c r="S1304" s="87">
        <v>5</v>
      </c>
      <c r="T1304" s="87" t="s">
        <v>210</v>
      </c>
      <c r="U1304" s="87" t="s">
        <v>210</v>
      </c>
      <c r="V1304" s="87">
        <v>-4</v>
      </c>
      <c r="W1304" s="87">
        <v>-6</v>
      </c>
      <c r="X1304" s="87" t="s">
        <v>210</v>
      </c>
      <c r="Y1304" s="87" t="s">
        <v>210</v>
      </c>
      <c r="Z1304" s="87">
        <v>-3</v>
      </c>
      <c r="AA1304" s="87">
        <v>1</v>
      </c>
      <c r="AB1304" s="87" t="s">
        <v>210</v>
      </c>
    </row>
    <row r="1305" spans="1:28">
      <c r="A1305" s="374" t="str">
        <f t="shared" si="68"/>
        <v/>
      </c>
      <c r="B1305" s="87">
        <v>10</v>
      </c>
      <c r="C1305" s="87" t="s">
        <v>210</v>
      </c>
      <c r="D1305" s="87">
        <v>2</v>
      </c>
      <c r="E1305" s="87">
        <v>-3</v>
      </c>
      <c r="F1305" s="87" t="s">
        <v>210</v>
      </c>
      <c r="G1305" s="87" t="s">
        <v>210</v>
      </c>
      <c r="H1305" s="87">
        <v>1</v>
      </c>
      <c r="I1305" s="87">
        <v>-2</v>
      </c>
      <c r="J1305" s="87" t="s">
        <v>210</v>
      </c>
      <c r="K1305" s="87" t="s">
        <v>210</v>
      </c>
      <c r="L1305" s="87">
        <v>5</v>
      </c>
      <c r="M1305" s="87">
        <v>4</v>
      </c>
      <c r="N1305" s="87" t="s">
        <v>210</v>
      </c>
      <c r="O1305" s="87">
        <v>3</v>
      </c>
      <c r="P1305" s="87" t="s">
        <v>210</v>
      </c>
      <c r="Q1305" s="87" t="s">
        <v>210</v>
      </c>
      <c r="R1305" s="87">
        <v>-5</v>
      </c>
      <c r="S1305" s="87">
        <v>2</v>
      </c>
      <c r="T1305" s="87" t="s">
        <v>210</v>
      </c>
      <c r="U1305" s="87" t="s">
        <v>210</v>
      </c>
      <c r="V1305" s="87">
        <v>-6</v>
      </c>
      <c r="W1305" s="87">
        <v>-4</v>
      </c>
      <c r="X1305" s="87" t="s">
        <v>210</v>
      </c>
      <c r="Y1305" s="87" t="s">
        <v>210</v>
      </c>
      <c r="Z1305" s="87">
        <v>-2</v>
      </c>
      <c r="AA1305" s="87">
        <v>-1</v>
      </c>
      <c r="AB1305" s="87" t="s">
        <v>210</v>
      </c>
    </row>
    <row r="1306" spans="1:28">
      <c r="A1306" s="374" t="str">
        <f t="shared" si="68"/>
        <v/>
      </c>
      <c r="B1306" s="87">
        <v>11</v>
      </c>
      <c r="C1306" s="87">
        <v>-4</v>
      </c>
      <c r="D1306" s="87" t="s">
        <v>210</v>
      </c>
      <c r="E1306" s="87" t="s">
        <v>210</v>
      </c>
      <c r="F1306" s="87">
        <v>-2</v>
      </c>
      <c r="G1306" s="87">
        <v>1</v>
      </c>
      <c r="H1306" s="87" t="s">
        <v>210</v>
      </c>
      <c r="I1306" s="87" t="s">
        <v>210</v>
      </c>
      <c r="J1306" s="87">
        <v>-3</v>
      </c>
      <c r="K1306" s="87">
        <v>-6</v>
      </c>
      <c r="L1306" s="87" t="s">
        <v>210</v>
      </c>
      <c r="M1306" s="87" t="s">
        <v>210</v>
      </c>
      <c r="N1306" s="87">
        <v>4</v>
      </c>
      <c r="O1306" s="87">
        <v>-5</v>
      </c>
      <c r="P1306" s="87" t="s">
        <v>210</v>
      </c>
      <c r="Q1306" s="87" t="s">
        <v>210</v>
      </c>
      <c r="R1306" s="87">
        <v>6</v>
      </c>
      <c r="S1306" s="87" t="s">
        <v>202</v>
      </c>
      <c r="T1306" s="87" t="s">
        <v>210</v>
      </c>
      <c r="U1306" s="87" t="s">
        <v>210</v>
      </c>
      <c r="V1306" s="87">
        <v>-1</v>
      </c>
      <c r="W1306" s="87">
        <v>5</v>
      </c>
      <c r="X1306" s="87" t="s">
        <v>210</v>
      </c>
      <c r="Y1306" s="87" t="s">
        <v>210</v>
      </c>
      <c r="Z1306" s="87">
        <v>4</v>
      </c>
      <c r="AA1306" s="87">
        <v>6</v>
      </c>
      <c r="AB1306" s="87" t="s">
        <v>210</v>
      </c>
    </row>
    <row r="1307" spans="1:28">
      <c r="A1307" s="374" t="str">
        <f t="shared" si="68"/>
        <v/>
      </c>
      <c r="B1307" s="87">
        <v>12</v>
      </c>
      <c r="C1307" s="87" t="s">
        <v>210</v>
      </c>
      <c r="D1307" s="87">
        <v>6</v>
      </c>
      <c r="E1307" s="87">
        <v>-2</v>
      </c>
      <c r="F1307" s="87" t="s">
        <v>210</v>
      </c>
      <c r="G1307" s="87" t="s">
        <v>210</v>
      </c>
      <c r="H1307" s="87">
        <v>5</v>
      </c>
      <c r="I1307" s="87">
        <v>-4</v>
      </c>
      <c r="J1307" s="87" t="s">
        <v>210</v>
      </c>
      <c r="K1307" s="87">
        <v>3</v>
      </c>
      <c r="L1307" s="87" t="s">
        <v>210</v>
      </c>
      <c r="M1307" s="87" t="s">
        <v>210</v>
      </c>
      <c r="N1307" s="87">
        <v>-5</v>
      </c>
      <c r="O1307" s="87">
        <v>2</v>
      </c>
      <c r="P1307" s="87" t="s">
        <v>210</v>
      </c>
      <c r="Q1307" s="87" t="s">
        <v>210</v>
      </c>
      <c r="R1307" s="87">
        <v>1</v>
      </c>
      <c r="S1307" s="87">
        <v>4</v>
      </c>
      <c r="T1307" s="87" t="s">
        <v>210</v>
      </c>
      <c r="U1307" s="87" t="s">
        <v>210</v>
      </c>
      <c r="V1307" s="87">
        <v>-2</v>
      </c>
      <c r="W1307" s="87">
        <v>1</v>
      </c>
      <c r="X1307" s="87" t="s">
        <v>210</v>
      </c>
      <c r="Y1307" s="87" t="s">
        <v>210</v>
      </c>
      <c r="Z1307" s="87">
        <v>3</v>
      </c>
      <c r="AA1307" s="87">
        <v>-6</v>
      </c>
      <c r="AB1307" s="87" t="s">
        <v>210</v>
      </c>
    </row>
    <row r="1308" spans="1:28">
      <c r="A1308" s="374" t="str">
        <f t="shared" si="68"/>
        <v/>
      </c>
      <c r="B1308" s="87">
        <v>13</v>
      </c>
      <c r="C1308" s="87">
        <v>3</v>
      </c>
      <c r="D1308" s="87" t="s">
        <v>210</v>
      </c>
      <c r="E1308" s="87" t="s">
        <v>210</v>
      </c>
      <c r="F1308" s="87">
        <v>-5</v>
      </c>
      <c r="G1308" s="87">
        <v>2</v>
      </c>
      <c r="H1308" s="87" t="s">
        <v>210</v>
      </c>
      <c r="I1308" s="87" t="s">
        <v>210</v>
      </c>
      <c r="J1308" s="87">
        <v>-1</v>
      </c>
      <c r="K1308" s="87">
        <v>-4</v>
      </c>
      <c r="L1308" s="87" t="s">
        <v>210</v>
      </c>
      <c r="M1308" s="87" t="s">
        <v>210</v>
      </c>
      <c r="N1308" s="87">
        <v>-2</v>
      </c>
      <c r="O1308" s="87">
        <v>1</v>
      </c>
      <c r="P1308" s="87" t="s">
        <v>210</v>
      </c>
      <c r="Q1308" s="87" t="s">
        <v>210</v>
      </c>
      <c r="R1308" s="87">
        <v>-3</v>
      </c>
      <c r="S1308" s="87">
        <v>6</v>
      </c>
      <c r="T1308" s="87" t="s">
        <v>210</v>
      </c>
      <c r="U1308" s="87" t="s">
        <v>210</v>
      </c>
      <c r="V1308" s="87">
        <v>4</v>
      </c>
      <c r="W1308" s="87">
        <v>-5</v>
      </c>
      <c r="X1308" s="87" t="s">
        <v>210</v>
      </c>
      <c r="Y1308" s="87" t="s">
        <v>210</v>
      </c>
      <c r="Z1308" s="87">
        <v>-6</v>
      </c>
      <c r="AA1308" s="87" t="s">
        <v>202</v>
      </c>
      <c r="AB1308" s="87" t="s">
        <v>210</v>
      </c>
    </row>
    <row r="1309" spans="1:28">
      <c r="A1309" s="374" t="str">
        <f t="shared" si="68"/>
        <v/>
      </c>
      <c r="B1309" s="87">
        <v>14</v>
      </c>
      <c r="C1309" s="87">
        <v>2</v>
      </c>
      <c r="D1309" s="87" t="s">
        <v>210</v>
      </c>
      <c r="E1309" s="87" t="s">
        <v>210</v>
      </c>
      <c r="F1309" s="87">
        <v>5</v>
      </c>
      <c r="G1309" s="87">
        <v>3</v>
      </c>
      <c r="H1309" s="87" t="s">
        <v>210</v>
      </c>
      <c r="I1309" s="87">
        <v>4</v>
      </c>
      <c r="J1309" s="87" t="s">
        <v>210</v>
      </c>
      <c r="K1309" s="87" t="s">
        <v>210</v>
      </c>
      <c r="L1309" s="87">
        <v>-5</v>
      </c>
      <c r="M1309" s="87">
        <v>-2</v>
      </c>
      <c r="N1309" s="87" t="s">
        <v>210</v>
      </c>
      <c r="O1309" s="87" t="s">
        <v>210</v>
      </c>
      <c r="P1309" s="87">
        <v>1</v>
      </c>
      <c r="Q1309" s="87">
        <v>-3</v>
      </c>
      <c r="R1309" s="87" t="s">
        <v>210</v>
      </c>
      <c r="S1309" s="87" t="s">
        <v>210</v>
      </c>
      <c r="T1309" s="87">
        <v>-2</v>
      </c>
      <c r="U1309" s="87">
        <v>-1</v>
      </c>
      <c r="V1309" s="87" t="s">
        <v>210</v>
      </c>
      <c r="W1309" s="87" t="s">
        <v>210</v>
      </c>
      <c r="X1309" s="87">
        <v>-4</v>
      </c>
      <c r="Y1309" s="87">
        <v>6</v>
      </c>
      <c r="Z1309" s="87" t="s">
        <v>210</v>
      </c>
      <c r="AA1309" s="87" t="s">
        <v>210</v>
      </c>
      <c r="AB1309" s="87">
        <v>3</v>
      </c>
    </row>
    <row r="1310" spans="1:28">
      <c r="A1310" s="374" t="str">
        <f t="shared" si="68"/>
        <v/>
      </c>
      <c r="B1310" s="87">
        <v>15</v>
      </c>
      <c r="C1310" s="87" t="s">
        <v>210</v>
      </c>
      <c r="D1310" s="87">
        <v>-6</v>
      </c>
      <c r="E1310" s="87">
        <v>3</v>
      </c>
      <c r="F1310" s="87" t="s">
        <v>210</v>
      </c>
      <c r="G1310" s="87" t="s">
        <v>210</v>
      </c>
      <c r="H1310" s="87">
        <v>-2</v>
      </c>
      <c r="I1310" s="87">
        <v>1</v>
      </c>
      <c r="J1310" s="87" t="s">
        <v>210</v>
      </c>
      <c r="K1310" s="87" t="s">
        <v>210</v>
      </c>
      <c r="L1310" s="87">
        <v>-4</v>
      </c>
      <c r="M1310" s="87">
        <v>6</v>
      </c>
      <c r="N1310" s="87" t="s">
        <v>210</v>
      </c>
      <c r="O1310" s="87" t="s">
        <v>210</v>
      </c>
      <c r="P1310" s="87">
        <v>3</v>
      </c>
      <c r="Q1310" s="87">
        <v>-5</v>
      </c>
      <c r="R1310" s="87" t="s">
        <v>210</v>
      </c>
      <c r="S1310" s="87" t="s">
        <v>210</v>
      </c>
      <c r="T1310" s="87">
        <v>-1</v>
      </c>
      <c r="U1310" s="87" t="s">
        <v>202</v>
      </c>
      <c r="V1310" s="87" t="s">
        <v>210</v>
      </c>
      <c r="W1310" s="87" t="s">
        <v>210</v>
      </c>
      <c r="X1310" s="87">
        <v>6</v>
      </c>
      <c r="Y1310" s="87">
        <v>5</v>
      </c>
      <c r="Z1310" s="87" t="s">
        <v>210</v>
      </c>
      <c r="AA1310" s="87" t="s">
        <v>210</v>
      </c>
      <c r="AB1310" s="87">
        <v>-3</v>
      </c>
    </row>
    <row r="1311" spans="1:28">
      <c r="A1311" s="374" t="str">
        <f t="shared" si="68"/>
        <v/>
      </c>
      <c r="B1311" s="87">
        <v>16</v>
      </c>
      <c r="C1311" s="87">
        <v>4</v>
      </c>
      <c r="D1311" s="87" t="s">
        <v>210</v>
      </c>
      <c r="E1311" s="87" t="s">
        <v>210</v>
      </c>
      <c r="F1311" s="87">
        <v>-6</v>
      </c>
      <c r="G1311" s="87">
        <v>-2</v>
      </c>
      <c r="H1311" s="87" t="s">
        <v>210</v>
      </c>
      <c r="I1311" s="87" t="s">
        <v>210</v>
      </c>
      <c r="J1311" s="87">
        <v>5</v>
      </c>
      <c r="K1311" s="87">
        <v>-3</v>
      </c>
      <c r="L1311" s="87" t="s">
        <v>210</v>
      </c>
      <c r="M1311" s="87">
        <v>-4</v>
      </c>
      <c r="N1311" s="87" t="s">
        <v>210</v>
      </c>
      <c r="O1311" s="87" t="s">
        <v>210</v>
      </c>
      <c r="P1311" s="87">
        <v>-5</v>
      </c>
      <c r="Q1311" s="87">
        <v>2</v>
      </c>
      <c r="R1311" s="87" t="s">
        <v>210</v>
      </c>
      <c r="S1311" s="87" t="s">
        <v>210</v>
      </c>
      <c r="T1311" s="87">
        <v>-6</v>
      </c>
      <c r="U1311" s="87">
        <v>3</v>
      </c>
      <c r="V1311" s="87" t="s">
        <v>210</v>
      </c>
      <c r="W1311" s="87" t="s">
        <v>210</v>
      </c>
      <c r="X1311" s="87">
        <v>-2</v>
      </c>
      <c r="Y1311" s="87">
        <v>1</v>
      </c>
      <c r="Z1311" s="87" t="s">
        <v>210</v>
      </c>
      <c r="AA1311" s="87" t="s">
        <v>210</v>
      </c>
      <c r="AB1311" s="87">
        <v>4</v>
      </c>
    </row>
    <row r="1312" spans="1:28">
      <c r="A1312" s="374" t="str">
        <f t="shared" si="68"/>
        <v/>
      </c>
      <c r="B1312" s="87">
        <v>17</v>
      </c>
      <c r="C1312" s="87" t="s">
        <v>210</v>
      </c>
      <c r="D1312" s="87">
        <v>-2</v>
      </c>
      <c r="E1312" s="87">
        <v>-1</v>
      </c>
      <c r="F1312" s="87" t="s">
        <v>210</v>
      </c>
      <c r="G1312" s="87" t="s">
        <v>210</v>
      </c>
      <c r="H1312" s="87">
        <v>4</v>
      </c>
      <c r="I1312" s="87">
        <v>6</v>
      </c>
      <c r="J1312" s="87" t="s">
        <v>210</v>
      </c>
      <c r="K1312" s="87" t="s">
        <v>210</v>
      </c>
      <c r="L1312" s="87">
        <v>3</v>
      </c>
      <c r="M1312" s="87">
        <v>-5</v>
      </c>
      <c r="N1312" s="87" t="s">
        <v>210</v>
      </c>
      <c r="O1312" s="87" t="s">
        <v>210</v>
      </c>
      <c r="P1312" s="87">
        <v>6</v>
      </c>
      <c r="Q1312" s="87" t="s">
        <v>202</v>
      </c>
      <c r="R1312" s="87" t="s">
        <v>210</v>
      </c>
      <c r="S1312" s="87" t="s">
        <v>210</v>
      </c>
      <c r="T1312" s="87">
        <v>1</v>
      </c>
      <c r="U1312" s="87">
        <v>5</v>
      </c>
      <c r="V1312" s="87" t="s">
        <v>210</v>
      </c>
      <c r="W1312" s="87" t="s">
        <v>210</v>
      </c>
      <c r="X1312" s="87">
        <v>3</v>
      </c>
      <c r="Y1312" s="87">
        <v>-6</v>
      </c>
      <c r="Z1312" s="87" t="s">
        <v>210</v>
      </c>
      <c r="AA1312" s="87" t="s">
        <v>210</v>
      </c>
      <c r="AB1312" s="87">
        <v>-4</v>
      </c>
    </row>
    <row r="1313" spans="1:28">
      <c r="A1313" s="374" t="str">
        <f t="shared" si="68"/>
        <v/>
      </c>
      <c r="B1313" s="87">
        <v>18</v>
      </c>
      <c r="C1313" s="87">
        <v>-1</v>
      </c>
      <c r="D1313" s="87" t="s">
        <v>210</v>
      </c>
      <c r="E1313" s="87" t="s">
        <v>210</v>
      </c>
      <c r="F1313" s="87">
        <v>2</v>
      </c>
      <c r="G1313" s="87">
        <v>-4</v>
      </c>
      <c r="H1313" s="87" t="s">
        <v>210</v>
      </c>
      <c r="I1313" s="87" t="s">
        <v>210</v>
      </c>
      <c r="J1313" s="87">
        <v>1</v>
      </c>
      <c r="K1313" s="87">
        <v>-2</v>
      </c>
      <c r="L1313" s="87" t="s">
        <v>210</v>
      </c>
      <c r="M1313" s="87" t="s">
        <v>210</v>
      </c>
      <c r="N1313" s="87">
        <v>5</v>
      </c>
      <c r="O1313" s="87">
        <v>-3</v>
      </c>
      <c r="P1313" s="87" t="s">
        <v>210</v>
      </c>
      <c r="Q1313" s="87">
        <v>4</v>
      </c>
      <c r="R1313" s="87" t="s">
        <v>210</v>
      </c>
      <c r="S1313" s="87" t="s">
        <v>210</v>
      </c>
      <c r="T1313" s="87">
        <v>-5</v>
      </c>
      <c r="U1313" s="87">
        <v>2</v>
      </c>
      <c r="V1313" s="87" t="s">
        <v>210</v>
      </c>
      <c r="W1313" s="87" t="s">
        <v>210</v>
      </c>
      <c r="X1313" s="87">
        <v>-1</v>
      </c>
      <c r="Y1313" s="87">
        <v>-3</v>
      </c>
      <c r="Z1313" s="87" t="s">
        <v>210</v>
      </c>
      <c r="AA1313" s="87" t="s">
        <v>210</v>
      </c>
      <c r="AB1313" s="87">
        <v>-2</v>
      </c>
    </row>
    <row r="1314" spans="1:28">
      <c r="A1314" s="374" t="str">
        <f t="shared" si="68"/>
        <v/>
      </c>
      <c r="B1314" s="87">
        <v>19</v>
      </c>
      <c r="C1314" s="87" t="s">
        <v>210</v>
      </c>
      <c r="D1314" s="87">
        <v>-4</v>
      </c>
      <c r="E1314" s="87">
        <v>6</v>
      </c>
      <c r="F1314" s="87" t="s">
        <v>210</v>
      </c>
      <c r="G1314" s="87" t="s">
        <v>210</v>
      </c>
      <c r="H1314" s="87">
        <v>-3</v>
      </c>
      <c r="I1314" s="87">
        <v>-5</v>
      </c>
      <c r="J1314" s="87" t="s">
        <v>210</v>
      </c>
      <c r="K1314" s="87" t="s">
        <v>210</v>
      </c>
      <c r="L1314" s="87">
        <v>1</v>
      </c>
      <c r="M1314" s="87" t="s">
        <v>202</v>
      </c>
      <c r="N1314" s="87" t="s">
        <v>210</v>
      </c>
      <c r="O1314" s="87" t="s">
        <v>210</v>
      </c>
      <c r="P1314" s="87">
        <v>-6</v>
      </c>
      <c r="Q1314" s="87">
        <v>5</v>
      </c>
      <c r="R1314" s="87" t="s">
        <v>210</v>
      </c>
      <c r="S1314" s="87" t="s">
        <v>210</v>
      </c>
      <c r="T1314" s="87">
        <v>3</v>
      </c>
      <c r="U1314" s="87">
        <v>-6</v>
      </c>
      <c r="V1314" s="87" t="s">
        <v>210</v>
      </c>
      <c r="W1314" s="87" t="s">
        <v>210</v>
      </c>
      <c r="X1314" s="87">
        <v>4</v>
      </c>
      <c r="Y1314" s="87">
        <v>-1</v>
      </c>
      <c r="Z1314" s="87" t="s">
        <v>210</v>
      </c>
      <c r="AA1314" s="87" t="s">
        <v>210</v>
      </c>
      <c r="AB1314" s="87">
        <v>2</v>
      </c>
    </row>
    <row r="1315" spans="1:28">
      <c r="A1315" s="374" t="str">
        <f t="shared" si="68"/>
        <v/>
      </c>
      <c r="B1315" s="87">
        <v>20</v>
      </c>
      <c r="C1315" s="87">
        <v>5</v>
      </c>
      <c r="D1315" s="87" t="s">
        <v>210</v>
      </c>
      <c r="E1315" s="87" t="s">
        <v>210</v>
      </c>
      <c r="F1315" s="87">
        <v>-4</v>
      </c>
      <c r="G1315" s="87">
        <v>-6</v>
      </c>
      <c r="H1315" s="87" t="s">
        <v>210</v>
      </c>
      <c r="I1315" s="87" t="s">
        <v>210</v>
      </c>
      <c r="J1315" s="87">
        <v>3</v>
      </c>
      <c r="K1315" s="87">
        <v>1</v>
      </c>
      <c r="L1315" s="87" t="s">
        <v>210</v>
      </c>
      <c r="M1315" s="87" t="s">
        <v>210</v>
      </c>
      <c r="N1315" s="87">
        <v>2</v>
      </c>
      <c r="O1315" s="87">
        <v>4</v>
      </c>
      <c r="P1315" s="87" t="s">
        <v>210</v>
      </c>
      <c r="Q1315" s="87" t="s">
        <v>210</v>
      </c>
      <c r="R1315" s="87">
        <v>-1</v>
      </c>
      <c r="S1315" s="87">
        <v>-2</v>
      </c>
      <c r="T1315" s="87" t="s">
        <v>210</v>
      </c>
      <c r="U1315" s="87" t="s">
        <v>210</v>
      </c>
      <c r="V1315" s="87">
        <v>5</v>
      </c>
      <c r="W1315" s="87">
        <v>3</v>
      </c>
      <c r="X1315" s="87" t="s">
        <v>210</v>
      </c>
      <c r="Y1315" s="87">
        <v>-4</v>
      </c>
      <c r="Z1315" s="87" t="s">
        <v>210</v>
      </c>
      <c r="AA1315" s="87" t="s">
        <v>210</v>
      </c>
      <c r="AB1315" s="87">
        <v>-5</v>
      </c>
    </row>
    <row r="1316" spans="1:28">
      <c r="A1316" s="374" t="str">
        <f t="shared" si="68"/>
        <v/>
      </c>
      <c r="B1316" s="87">
        <v>21</v>
      </c>
      <c r="C1316" s="87" t="s">
        <v>210</v>
      </c>
      <c r="D1316" s="87">
        <v>1</v>
      </c>
      <c r="E1316" s="87" t="s">
        <v>202</v>
      </c>
      <c r="F1316" s="87" t="s">
        <v>210</v>
      </c>
      <c r="G1316" s="87" t="s">
        <v>210</v>
      </c>
      <c r="H1316" s="87">
        <v>6</v>
      </c>
      <c r="I1316" s="87">
        <v>5</v>
      </c>
      <c r="J1316" s="87" t="s">
        <v>210</v>
      </c>
      <c r="K1316" s="87" t="s">
        <v>210</v>
      </c>
      <c r="L1316" s="87">
        <v>-3</v>
      </c>
      <c r="M1316" s="87">
        <v>-6</v>
      </c>
      <c r="N1316" s="87" t="s">
        <v>210</v>
      </c>
      <c r="O1316" s="87" t="s">
        <v>210</v>
      </c>
      <c r="P1316" s="87">
        <v>-4</v>
      </c>
      <c r="Q1316" s="87">
        <v>-1</v>
      </c>
      <c r="R1316" s="87" t="s">
        <v>210</v>
      </c>
      <c r="S1316" s="87" t="s">
        <v>210</v>
      </c>
      <c r="T1316" s="87">
        <v>2</v>
      </c>
      <c r="U1316" s="87">
        <v>-3</v>
      </c>
      <c r="V1316" s="87" t="s">
        <v>210</v>
      </c>
      <c r="W1316" s="87" t="s">
        <v>210</v>
      </c>
      <c r="X1316" s="87">
        <v>1</v>
      </c>
      <c r="Y1316" s="87">
        <v>-2</v>
      </c>
      <c r="Z1316" s="87" t="s">
        <v>210</v>
      </c>
      <c r="AA1316" s="87" t="s">
        <v>210</v>
      </c>
      <c r="AB1316" s="87">
        <v>5</v>
      </c>
    </row>
    <row r="1317" spans="1:28">
      <c r="A1317" s="374" t="str">
        <f t="shared" si="68"/>
        <v/>
      </c>
      <c r="B1317" s="87">
        <v>22</v>
      </c>
      <c r="C1317" s="87">
        <v>-3</v>
      </c>
      <c r="D1317" s="87" t="s">
        <v>210</v>
      </c>
      <c r="E1317" s="87">
        <v>-4</v>
      </c>
      <c r="F1317" s="87" t="s">
        <v>210</v>
      </c>
      <c r="G1317" s="87" t="s">
        <v>210</v>
      </c>
      <c r="H1317" s="87">
        <v>-5</v>
      </c>
      <c r="I1317" s="87">
        <v>2</v>
      </c>
      <c r="J1317" s="87" t="s">
        <v>210</v>
      </c>
      <c r="K1317" s="87" t="s">
        <v>210</v>
      </c>
      <c r="L1317" s="87">
        <v>-6</v>
      </c>
      <c r="M1317" s="87">
        <v>3</v>
      </c>
      <c r="N1317" s="87" t="s">
        <v>210</v>
      </c>
      <c r="O1317" s="87" t="s">
        <v>210</v>
      </c>
      <c r="P1317" s="87">
        <v>-2</v>
      </c>
      <c r="Q1317" s="87">
        <v>1</v>
      </c>
      <c r="R1317" s="87" t="s">
        <v>210</v>
      </c>
      <c r="S1317" s="87" t="s">
        <v>210</v>
      </c>
      <c r="T1317" s="87">
        <v>4</v>
      </c>
      <c r="U1317" s="87">
        <v>6</v>
      </c>
      <c r="V1317" s="87" t="s">
        <v>210</v>
      </c>
      <c r="W1317" s="87" t="s">
        <v>210</v>
      </c>
      <c r="X1317" s="87">
        <v>-3</v>
      </c>
      <c r="Y1317" s="87">
        <v>-5</v>
      </c>
      <c r="Z1317" s="87" t="s">
        <v>210</v>
      </c>
      <c r="AA1317" s="87" t="s">
        <v>210</v>
      </c>
      <c r="AB1317" s="87">
        <v>-1</v>
      </c>
    </row>
    <row r="1318" spans="1:28">
      <c r="A1318" s="374" t="str">
        <f t="shared" si="68"/>
        <v/>
      </c>
      <c r="B1318" s="87">
        <v>23</v>
      </c>
      <c r="C1318" s="87" t="s">
        <v>210</v>
      </c>
      <c r="D1318" s="87">
        <v>-5</v>
      </c>
      <c r="E1318" s="87">
        <v>2</v>
      </c>
      <c r="F1318" s="87" t="s">
        <v>210</v>
      </c>
      <c r="G1318" s="87" t="s">
        <v>210</v>
      </c>
      <c r="H1318" s="87">
        <v>-1</v>
      </c>
      <c r="I1318" s="87">
        <v>3</v>
      </c>
      <c r="J1318" s="87" t="s">
        <v>210</v>
      </c>
      <c r="K1318" s="87" t="s">
        <v>210</v>
      </c>
      <c r="L1318" s="87">
        <v>-2</v>
      </c>
      <c r="M1318" s="87">
        <v>1</v>
      </c>
      <c r="N1318" s="87" t="s">
        <v>210</v>
      </c>
      <c r="O1318" s="87" t="s">
        <v>210</v>
      </c>
      <c r="P1318" s="87">
        <v>4</v>
      </c>
      <c r="Q1318" s="87">
        <v>-6</v>
      </c>
      <c r="R1318" s="87" t="s">
        <v>210</v>
      </c>
      <c r="S1318" s="87" t="s">
        <v>210</v>
      </c>
      <c r="T1318" s="87">
        <v>-3</v>
      </c>
      <c r="U1318" s="87">
        <v>-5</v>
      </c>
      <c r="V1318" s="87" t="s">
        <v>210</v>
      </c>
      <c r="W1318" s="87" t="s">
        <v>210</v>
      </c>
      <c r="X1318" s="87">
        <v>-6</v>
      </c>
      <c r="Y1318" s="87" t="s">
        <v>202</v>
      </c>
      <c r="Z1318" s="87" t="s">
        <v>210</v>
      </c>
      <c r="AA1318" s="87" t="s">
        <v>210</v>
      </c>
      <c r="AB1318" s="87">
        <v>1</v>
      </c>
    </row>
    <row r="1319" spans="1:28">
      <c r="A1319" s="374" t="str">
        <f t="shared" si="68"/>
        <v/>
      </c>
      <c r="B1319" s="87">
        <v>24</v>
      </c>
      <c r="C1319" s="87">
        <v>-6</v>
      </c>
      <c r="D1319" s="87" t="s">
        <v>210</v>
      </c>
      <c r="E1319" s="87" t="s">
        <v>210</v>
      </c>
      <c r="F1319" s="87">
        <v>3</v>
      </c>
      <c r="G1319" s="87">
        <v>-1</v>
      </c>
      <c r="H1319" s="87" t="s">
        <v>210</v>
      </c>
      <c r="I1319" s="87" t="s">
        <v>210</v>
      </c>
      <c r="J1319" s="87">
        <v>2</v>
      </c>
      <c r="K1319" s="87">
        <v>4</v>
      </c>
      <c r="L1319" s="87" t="s">
        <v>210</v>
      </c>
      <c r="M1319" s="87" t="s">
        <v>210</v>
      </c>
      <c r="N1319" s="87">
        <v>-6</v>
      </c>
      <c r="O1319" s="87">
        <v>-2</v>
      </c>
      <c r="P1319" s="87" t="s">
        <v>210</v>
      </c>
      <c r="Q1319" s="87" t="s">
        <v>210</v>
      </c>
      <c r="R1319" s="87">
        <v>5</v>
      </c>
      <c r="S1319" s="87">
        <v>-3</v>
      </c>
      <c r="T1319" s="87" t="s">
        <v>210</v>
      </c>
      <c r="U1319" s="87">
        <v>-4</v>
      </c>
      <c r="V1319" s="87" t="s">
        <v>210</v>
      </c>
      <c r="W1319" s="87" t="s">
        <v>210</v>
      </c>
      <c r="X1319" s="87">
        <v>-5</v>
      </c>
      <c r="Y1319" s="87">
        <v>2</v>
      </c>
      <c r="Z1319" s="87" t="s">
        <v>210</v>
      </c>
      <c r="AA1319" s="87" t="s">
        <v>210</v>
      </c>
      <c r="AB1319" s="87">
        <v>6</v>
      </c>
    </row>
    <row r="1320" spans="1:28">
      <c r="A1320" s="374" t="str">
        <f t="shared" si="68"/>
        <v/>
      </c>
      <c r="B1320" s="87">
        <v>25</v>
      </c>
      <c r="C1320" s="87" t="s">
        <v>210</v>
      </c>
      <c r="D1320" s="87">
        <v>-3</v>
      </c>
      <c r="E1320" s="87">
        <v>-5</v>
      </c>
      <c r="F1320" s="87" t="s">
        <v>210</v>
      </c>
      <c r="G1320" s="87" t="s">
        <v>210</v>
      </c>
      <c r="H1320" s="87">
        <v>-6</v>
      </c>
      <c r="I1320" s="87" t="s">
        <v>202</v>
      </c>
      <c r="J1320" s="87" t="s">
        <v>210</v>
      </c>
      <c r="K1320" s="87" t="s">
        <v>210</v>
      </c>
      <c r="L1320" s="87">
        <v>-1</v>
      </c>
      <c r="M1320" s="87">
        <v>5</v>
      </c>
      <c r="N1320" s="87" t="s">
        <v>210</v>
      </c>
      <c r="O1320" s="87" t="s">
        <v>210</v>
      </c>
      <c r="P1320" s="87">
        <v>-3</v>
      </c>
      <c r="Q1320" s="87">
        <v>6</v>
      </c>
      <c r="R1320" s="87" t="s">
        <v>210</v>
      </c>
      <c r="S1320" s="87" t="s">
        <v>210</v>
      </c>
      <c r="T1320" s="87">
        <v>-4</v>
      </c>
      <c r="U1320" s="87">
        <v>1</v>
      </c>
      <c r="V1320" s="87" t="s">
        <v>210</v>
      </c>
      <c r="W1320" s="87" t="s">
        <v>210</v>
      </c>
      <c r="X1320" s="87">
        <v>2</v>
      </c>
      <c r="Y1320" s="87">
        <v>3</v>
      </c>
      <c r="Z1320" s="87" t="s">
        <v>210</v>
      </c>
      <c r="AA1320" s="87" t="s">
        <v>210</v>
      </c>
      <c r="AB1320" s="87">
        <v>-6</v>
      </c>
    </row>
    <row r="1321" spans="1:28">
      <c r="A1321" s="374" t="str">
        <f t="shared" si="68"/>
        <v/>
      </c>
      <c r="B1321" s="318" t="s">
        <v>1038</v>
      </c>
    </row>
    <row r="1322" spans="1:28">
      <c r="A1322" s="374">
        <f t="shared" si="68"/>
        <v>1322</v>
      </c>
      <c r="B1322" s="87" t="s">
        <v>925</v>
      </c>
    </row>
    <row r="1323" spans="1:28">
      <c r="A1323" s="374" t="str">
        <f t="shared" si="68"/>
        <v/>
      </c>
      <c r="B1323" s="87">
        <v>1</v>
      </c>
      <c r="C1323" s="87">
        <v>-3</v>
      </c>
      <c r="D1323" s="87" t="s">
        <v>210</v>
      </c>
      <c r="E1323" s="87" t="s">
        <v>210</v>
      </c>
      <c r="F1323" s="87">
        <v>-5</v>
      </c>
      <c r="G1323" s="87">
        <v>-2</v>
      </c>
      <c r="H1323" s="87" t="s">
        <v>210</v>
      </c>
      <c r="I1323" s="87" t="s">
        <v>210</v>
      </c>
      <c r="J1323" s="87">
        <v>1</v>
      </c>
      <c r="K1323" s="87">
        <v>4</v>
      </c>
      <c r="L1323" s="87" t="s">
        <v>210</v>
      </c>
      <c r="M1323" s="87" t="s">
        <v>210</v>
      </c>
      <c r="N1323" s="87">
        <v>-2</v>
      </c>
      <c r="O1323" s="87">
        <v>1</v>
      </c>
      <c r="P1323" s="87" t="s">
        <v>210</v>
      </c>
      <c r="Q1323" s="87" t="s">
        <v>210</v>
      </c>
      <c r="R1323" s="87">
        <v>3</v>
      </c>
      <c r="S1323" s="87">
        <v>-6</v>
      </c>
      <c r="T1323" s="87" t="s">
        <v>210</v>
      </c>
      <c r="U1323" s="87" t="s">
        <v>210</v>
      </c>
      <c r="V1323" s="87">
        <v>4</v>
      </c>
      <c r="W1323" s="87">
        <v>-5</v>
      </c>
      <c r="X1323" s="87" t="s">
        <v>210</v>
      </c>
      <c r="Y1323" s="87" t="s">
        <v>210</v>
      </c>
      <c r="Z1323" s="87">
        <v>-6</v>
      </c>
    </row>
    <row r="1324" spans="1:28">
      <c r="A1324" s="374" t="str">
        <f t="shared" si="68"/>
        <v/>
      </c>
      <c r="B1324" s="87">
        <v>2</v>
      </c>
      <c r="C1324" s="87" t="s">
        <v>210</v>
      </c>
      <c r="D1324" s="87">
        <v>-5</v>
      </c>
      <c r="E1324" s="87">
        <v>2</v>
      </c>
      <c r="F1324" s="87" t="s">
        <v>210</v>
      </c>
      <c r="G1324" s="87" t="s">
        <v>210</v>
      </c>
      <c r="H1324" s="87">
        <v>1</v>
      </c>
      <c r="I1324" s="87">
        <v>-3</v>
      </c>
      <c r="J1324" s="87" t="s">
        <v>210</v>
      </c>
      <c r="K1324" s="87" t="s">
        <v>210</v>
      </c>
      <c r="L1324" s="87">
        <v>-2</v>
      </c>
      <c r="M1324" s="87">
        <v>1</v>
      </c>
      <c r="N1324" s="87" t="s">
        <v>210</v>
      </c>
      <c r="O1324" s="87" t="s">
        <v>210</v>
      </c>
      <c r="P1324" s="87">
        <v>-4</v>
      </c>
      <c r="Q1324" s="87">
        <v>6</v>
      </c>
      <c r="R1324" s="87" t="s">
        <v>210</v>
      </c>
      <c r="S1324" s="87" t="s">
        <v>210</v>
      </c>
      <c r="T1324" s="87">
        <v>-3</v>
      </c>
      <c r="U1324" s="87">
        <v>-5</v>
      </c>
      <c r="V1324" s="87" t="s">
        <v>210</v>
      </c>
      <c r="W1324" s="87" t="s">
        <v>210</v>
      </c>
      <c r="X1324" s="87">
        <v>-6</v>
      </c>
      <c r="Y1324" s="87" t="s">
        <v>202</v>
      </c>
      <c r="Z1324" s="87" t="s">
        <v>210</v>
      </c>
    </row>
    <row r="1325" spans="1:28">
      <c r="A1325" s="374" t="str">
        <f t="shared" si="68"/>
        <v/>
      </c>
      <c r="B1325" s="87">
        <v>3</v>
      </c>
      <c r="C1325" s="87" t="s">
        <v>210</v>
      </c>
      <c r="D1325" s="87">
        <v>6</v>
      </c>
      <c r="E1325" s="87">
        <v>-2</v>
      </c>
      <c r="F1325" s="87" t="s">
        <v>210</v>
      </c>
      <c r="G1325" s="87" t="s">
        <v>210</v>
      </c>
      <c r="H1325" s="87">
        <v>5</v>
      </c>
      <c r="I1325" s="87">
        <v>4</v>
      </c>
      <c r="J1325" s="87" t="s">
        <v>210</v>
      </c>
      <c r="K1325" s="87">
        <v>-3</v>
      </c>
      <c r="L1325" s="87" t="s">
        <v>210</v>
      </c>
      <c r="M1325" s="87" t="s">
        <v>210</v>
      </c>
      <c r="N1325" s="87">
        <v>-5</v>
      </c>
      <c r="O1325" s="87">
        <v>2</v>
      </c>
      <c r="P1325" s="87" t="s">
        <v>210</v>
      </c>
      <c r="Q1325" s="87" t="s">
        <v>210</v>
      </c>
      <c r="R1325" s="87">
        <v>-1</v>
      </c>
      <c r="S1325" s="87">
        <v>-4</v>
      </c>
      <c r="T1325" s="87" t="s">
        <v>210</v>
      </c>
      <c r="U1325" s="87" t="s">
        <v>210</v>
      </c>
      <c r="V1325" s="87">
        <v>-2</v>
      </c>
      <c r="W1325" s="87">
        <v>1</v>
      </c>
      <c r="X1325" s="87" t="s">
        <v>210</v>
      </c>
      <c r="Y1325" s="87" t="s">
        <v>210</v>
      </c>
      <c r="Z1325" s="87">
        <v>-3</v>
      </c>
    </row>
    <row r="1326" spans="1:28">
      <c r="A1326" s="374" t="str">
        <f t="shared" si="68"/>
        <v/>
      </c>
      <c r="B1326" s="87">
        <v>4</v>
      </c>
      <c r="C1326" s="87" t="s">
        <v>210</v>
      </c>
      <c r="D1326" s="87">
        <v>-2</v>
      </c>
      <c r="E1326" s="87">
        <v>1</v>
      </c>
      <c r="F1326" s="87" t="s">
        <v>210</v>
      </c>
      <c r="G1326" s="87" t="s">
        <v>210</v>
      </c>
      <c r="H1326" s="87">
        <v>-4</v>
      </c>
      <c r="I1326" s="87">
        <v>-6</v>
      </c>
      <c r="J1326" s="87" t="s">
        <v>210</v>
      </c>
      <c r="K1326" s="87" t="s">
        <v>210</v>
      </c>
      <c r="L1326" s="87">
        <v>-3</v>
      </c>
      <c r="M1326" s="87">
        <v>-5</v>
      </c>
      <c r="N1326" s="87" t="s">
        <v>210</v>
      </c>
      <c r="O1326" s="87" t="s">
        <v>210</v>
      </c>
      <c r="P1326" s="87">
        <v>6</v>
      </c>
      <c r="Q1326" s="87" t="s">
        <v>202</v>
      </c>
      <c r="R1326" s="87" t="s">
        <v>210</v>
      </c>
      <c r="S1326" s="87" t="s">
        <v>210</v>
      </c>
      <c r="T1326" s="87">
        <v>-1</v>
      </c>
      <c r="U1326" s="87">
        <v>5</v>
      </c>
      <c r="V1326" s="87" t="s">
        <v>210</v>
      </c>
      <c r="W1326" s="87" t="s">
        <v>210</v>
      </c>
      <c r="X1326" s="87">
        <v>3</v>
      </c>
      <c r="Y1326" s="87">
        <v>-6</v>
      </c>
      <c r="Z1326" s="87" t="s">
        <v>210</v>
      </c>
    </row>
    <row r="1327" spans="1:28">
      <c r="A1327" s="374" t="str">
        <f t="shared" si="68"/>
        <v/>
      </c>
      <c r="B1327" s="87">
        <v>5</v>
      </c>
      <c r="C1327" s="87" t="s">
        <v>210</v>
      </c>
      <c r="D1327" s="87">
        <v>5</v>
      </c>
      <c r="E1327" s="87">
        <v>-4</v>
      </c>
      <c r="F1327" s="87" t="s">
        <v>210</v>
      </c>
      <c r="G1327" s="87">
        <v>-3</v>
      </c>
      <c r="H1327" s="87" t="s">
        <v>210</v>
      </c>
      <c r="I1327" s="87" t="s">
        <v>210</v>
      </c>
      <c r="J1327" s="87">
        <v>-5</v>
      </c>
      <c r="K1327" s="87">
        <v>2</v>
      </c>
      <c r="L1327" s="87" t="s">
        <v>210</v>
      </c>
      <c r="M1327" s="87" t="s">
        <v>210</v>
      </c>
      <c r="N1327" s="87">
        <v>-6</v>
      </c>
      <c r="O1327" s="87">
        <v>-4</v>
      </c>
      <c r="P1327" s="87" t="s">
        <v>210</v>
      </c>
      <c r="Q1327" s="87" t="s">
        <v>210</v>
      </c>
      <c r="R1327" s="87">
        <v>-2</v>
      </c>
      <c r="S1327" s="87">
        <v>-1</v>
      </c>
      <c r="T1327" s="87" t="s">
        <v>210</v>
      </c>
      <c r="U1327" s="87" t="s">
        <v>210</v>
      </c>
      <c r="V1327" s="87">
        <v>3</v>
      </c>
      <c r="W1327" s="87">
        <v>-6</v>
      </c>
      <c r="X1327" s="87" t="s">
        <v>210</v>
      </c>
      <c r="Y1327" s="87" t="s">
        <v>210</v>
      </c>
      <c r="Z1327" s="87">
        <v>4</v>
      </c>
    </row>
    <row r="1328" spans="1:28">
      <c r="A1328" s="374" t="str">
        <f t="shared" si="68"/>
        <v/>
      </c>
      <c r="B1328" s="87">
        <v>6</v>
      </c>
      <c r="C1328" s="87" t="s">
        <v>210</v>
      </c>
      <c r="D1328" s="87">
        <v>-6</v>
      </c>
      <c r="E1328" s="87">
        <v>-3</v>
      </c>
      <c r="F1328" s="87" t="s">
        <v>210</v>
      </c>
      <c r="G1328" s="87" t="s">
        <v>210</v>
      </c>
      <c r="H1328" s="87">
        <v>-2</v>
      </c>
      <c r="I1328" s="87">
        <v>1</v>
      </c>
      <c r="J1328" s="87" t="s">
        <v>210</v>
      </c>
      <c r="K1328" s="87" t="s">
        <v>210</v>
      </c>
      <c r="L1328" s="87">
        <v>4</v>
      </c>
      <c r="M1328" s="87">
        <v>6</v>
      </c>
      <c r="N1328" s="87" t="s">
        <v>210</v>
      </c>
      <c r="O1328" s="87" t="s">
        <v>210</v>
      </c>
      <c r="P1328" s="87">
        <v>3</v>
      </c>
      <c r="Q1328" s="87">
        <v>-5</v>
      </c>
      <c r="R1328" s="87" t="s">
        <v>210</v>
      </c>
      <c r="S1328" s="87" t="s">
        <v>210</v>
      </c>
      <c r="T1328" s="87">
        <v>1</v>
      </c>
      <c r="U1328" s="87" t="s">
        <v>202</v>
      </c>
      <c r="V1328" s="87" t="s">
        <v>210</v>
      </c>
      <c r="W1328" s="87" t="s">
        <v>210</v>
      </c>
      <c r="X1328" s="87">
        <v>6</v>
      </c>
      <c r="Y1328" s="87">
        <v>5</v>
      </c>
      <c r="Z1328" s="87" t="s">
        <v>210</v>
      </c>
    </row>
    <row r="1329" spans="1:26">
      <c r="A1329" s="374" t="str">
        <f t="shared" si="68"/>
        <v/>
      </c>
      <c r="B1329" s="87">
        <v>7</v>
      </c>
      <c r="C1329" s="87" t="s">
        <v>210</v>
      </c>
      <c r="D1329" s="87">
        <v>3</v>
      </c>
      <c r="E1329" s="87">
        <v>-6</v>
      </c>
      <c r="F1329" s="87" t="s">
        <v>210</v>
      </c>
      <c r="G1329" s="87" t="s">
        <v>210</v>
      </c>
      <c r="H1329" s="87">
        <v>4</v>
      </c>
      <c r="I1329" s="87">
        <v>-1</v>
      </c>
      <c r="J1329" s="87" t="s">
        <v>210</v>
      </c>
      <c r="K1329" s="87" t="s">
        <v>210</v>
      </c>
      <c r="L1329" s="87">
        <v>2</v>
      </c>
      <c r="M1329" s="87">
        <v>-3</v>
      </c>
      <c r="N1329" s="87" t="s">
        <v>210</v>
      </c>
      <c r="O1329" s="87" t="s">
        <v>210</v>
      </c>
      <c r="P1329" s="87">
        <v>1</v>
      </c>
      <c r="Q1329" s="87">
        <v>2</v>
      </c>
      <c r="R1329" s="87" t="s">
        <v>210</v>
      </c>
      <c r="S1329" s="87" t="s">
        <v>210</v>
      </c>
      <c r="T1329" s="87">
        <v>5</v>
      </c>
      <c r="U1329" s="87">
        <v>-4</v>
      </c>
      <c r="V1329" s="87" t="s">
        <v>210</v>
      </c>
      <c r="W1329" s="87">
        <v>-3</v>
      </c>
      <c r="X1329" s="87" t="s">
        <v>210</v>
      </c>
      <c r="Y1329" s="87" t="s">
        <v>210</v>
      </c>
      <c r="Z1329" s="87">
        <v>-5</v>
      </c>
    </row>
    <row r="1330" spans="1:26">
      <c r="A1330" s="374" t="str">
        <f t="shared" si="68"/>
        <v/>
      </c>
      <c r="B1330" s="87">
        <v>8</v>
      </c>
      <c r="C1330" s="87" t="s">
        <v>210</v>
      </c>
      <c r="D1330" s="87">
        <v>-1</v>
      </c>
      <c r="E1330" s="87" t="s">
        <v>202</v>
      </c>
      <c r="F1330" s="87" t="s">
        <v>210</v>
      </c>
      <c r="G1330" s="87" t="s">
        <v>210</v>
      </c>
      <c r="H1330" s="87">
        <v>-6</v>
      </c>
      <c r="I1330" s="87">
        <v>5</v>
      </c>
      <c r="J1330" s="87" t="s">
        <v>210</v>
      </c>
      <c r="K1330" s="87" t="s">
        <v>210</v>
      </c>
      <c r="L1330" s="87">
        <v>3</v>
      </c>
      <c r="M1330" s="87">
        <v>-6</v>
      </c>
      <c r="N1330" s="87" t="s">
        <v>210</v>
      </c>
      <c r="O1330" s="87" t="s">
        <v>210</v>
      </c>
      <c r="P1330" s="87">
        <v>4</v>
      </c>
      <c r="Q1330" s="87">
        <v>1</v>
      </c>
      <c r="R1330" s="87" t="s">
        <v>210</v>
      </c>
      <c r="S1330" s="87" t="s">
        <v>210</v>
      </c>
      <c r="T1330" s="87">
        <v>2</v>
      </c>
      <c r="U1330" s="87">
        <v>3</v>
      </c>
      <c r="V1330" s="87" t="s">
        <v>210</v>
      </c>
      <c r="W1330" s="87" t="s">
        <v>210</v>
      </c>
      <c r="X1330" s="87">
        <v>-1</v>
      </c>
      <c r="Y1330" s="87">
        <v>-2</v>
      </c>
      <c r="Z1330" s="87" t="s">
        <v>210</v>
      </c>
    </row>
    <row r="1331" spans="1:26">
      <c r="A1331" s="374" t="str">
        <f t="shared" si="68"/>
        <v/>
      </c>
      <c r="B1331" s="87">
        <v>9</v>
      </c>
      <c r="C1331" s="87" t="s">
        <v>210</v>
      </c>
      <c r="D1331" s="87">
        <v>2</v>
      </c>
      <c r="E1331" s="87">
        <v>3</v>
      </c>
      <c r="F1331" s="87" t="s">
        <v>210</v>
      </c>
      <c r="G1331" s="87" t="s">
        <v>210</v>
      </c>
      <c r="H1331" s="87">
        <v>-1</v>
      </c>
      <c r="I1331" s="87">
        <v>-2</v>
      </c>
      <c r="J1331" s="87" t="s">
        <v>210</v>
      </c>
      <c r="K1331" s="87" t="s">
        <v>210</v>
      </c>
      <c r="L1331" s="87">
        <v>5</v>
      </c>
      <c r="M1331" s="87">
        <v>-4</v>
      </c>
      <c r="N1331" s="87" t="s">
        <v>210</v>
      </c>
      <c r="O1331" s="87">
        <v>3</v>
      </c>
      <c r="P1331" s="87" t="s">
        <v>210</v>
      </c>
      <c r="Q1331" s="87" t="s">
        <v>210</v>
      </c>
      <c r="R1331" s="87">
        <v>-5</v>
      </c>
      <c r="S1331" s="87">
        <v>2</v>
      </c>
      <c r="T1331" s="87" t="s">
        <v>210</v>
      </c>
      <c r="U1331" s="87" t="s">
        <v>210</v>
      </c>
      <c r="V1331" s="87">
        <v>6</v>
      </c>
      <c r="W1331" s="87">
        <v>4</v>
      </c>
      <c r="X1331" s="87" t="s">
        <v>210</v>
      </c>
      <c r="Y1331" s="87" t="s">
        <v>210</v>
      </c>
      <c r="Z1331" s="87">
        <v>-2</v>
      </c>
    </row>
    <row r="1332" spans="1:26">
      <c r="A1332" s="374" t="str">
        <f t="shared" si="68"/>
        <v/>
      </c>
      <c r="B1332" s="87">
        <v>10</v>
      </c>
      <c r="C1332" s="87" t="s">
        <v>210</v>
      </c>
      <c r="D1332" s="87">
        <v>4</v>
      </c>
      <c r="E1332" s="87">
        <v>6</v>
      </c>
      <c r="F1332" s="87" t="s">
        <v>210</v>
      </c>
      <c r="G1332" s="87" t="s">
        <v>210</v>
      </c>
      <c r="H1332" s="87">
        <v>-3</v>
      </c>
      <c r="I1332" s="87">
        <v>-5</v>
      </c>
      <c r="J1332" s="87" t="s">
        <v>210</v>
      </c>
      <c r="K1332" s="87" t="s">
        <v>210</v>
      </c>
      <c r="L1332" s="87">
        <v>1</v>
      </c>
      <c r="M1332" s="87" t="s">
        <v>202</v>
      </c>
      <c r="N1332" s="87" t="s">
        <v>210</v>
      </c>
      <c r="O1332" s="87" t="s">
        <v>210</v>
      </c>
      <c r="P1332" s="87">
        <v>-6</v>
      </c>
      <c r="Q1332" s="87">
        <v>5</v>
      </c>
      <c r="R1332" s="87" t="s">
        <v>210</v>
      </c>
      <c r="S1332" s="87" t="s">
        <v>210</v>
      </c>
      <c r="T1332" s="87">
        <v>3</v>
      </c>
      <c r="U1332" s="87">
        <v>6</v>
      </c>
      <c r="V1332" s="87" t="s">
        <v>210</v>
      </c>
      <c r="W1332" s="87" t="s">
        <v>210</v>
      </c>
      <c r="X1332" s="87">
        <v>-4</v>
      </c>
      <c r="Y1332" s="87">
        <v>-1</v>
      </c>
      <c r="Z1332" s="87" t="s">
        <v>210</v>
      </c>
    </row>
    <row r="1333" spans="1:26">
      <c r="A1333" s="374" t="str">
        <f t="shared" si="68"/>
        <v/>
      </c>
      <c r="B1333" s="87">
        <v>11</v>
      </c>
      <c r="C1333" s="87" t="s">
        <v>210</v>
      </c>
      <c r="D1333" s="87">
        <v>-4</v>
      </c>
      <c r="E1333" s="87">
        <v>-1</v>
      </c>
      <c r="F1333" s="87" t="s">
        <v>210</v>
      </c>
      <c r="G1333" s="87" t="s">
        <v>210</v>
      </c>
      <c r="H1333" s="87">
        <v>2</v>
      </c>
      <c r="I1333" s="87">
        <v>3</v>
      </c>
      <c r="J1333" s="87" t="s">
        <v>210</v>
      </c>
      <c r="K1333" s="87" t="s">
        <v>210</v>
      </c>
      <c r="L1333" s="87">
        <v>-6</v>
      </c>
      <c r="M1333" s="87">
        <v>-2</v>
      </c>
      <c r="N1333" s="87" t="s">
        <v>210</v>
      </c>
      <c r="O1333" s="87" t="s">
        <v>210</v>
      </c>
      <c r="P1333" s="87">
        <v>5</v>
      </c>
      <c r="Q1333" s="87">
        <v>4</v>
      </c>
      <c r="R1333" s="87" t="s">
        <v>210</v>
      </c>
      <c r="S1333" s="87">
        <v>-3</v>
      </c>
      <c r="T1333" s="87" t="s">
        <v>210</v>
      </c>
      <c r="U1333" s="87" t="s">
        <v>210</v>
      </c>
      <c r="V1333" s="87">
        <v>-5</v>
      </c>
      <c r="W1333" s="87">
        <v>2</v>
      </c>
      <c r="X1333" s="87" t="s">
        <v>210</v>
      </c>
      <c r="Y1333" s="87" t="s">
        <v>210</v>
      </c>
      <c r="Z1333" s="87">
        <v>1</v>
      </c>
    </row>
    <row r="1334" spans="1:26">
      <c r="A1334" s="374" t="str">
        <f t="shared" si="68"/>
        <v/>
      </c>
      <c r="B1334" s="87">
        <v>12</v>
      </c>
      <c r="C1334" s="87" t="s">
        <v>210</v>
      </c>
      <c r="D1334" s="87">
        <v>-3</v>
      </c>
      <c r="E1334" s="87">
        <v>-5</v>
      </c>
      <c r="F1334" s="87" t="s">
        <v>210</v>
      </c>
      <c r="G1334" s="87" t="s">
        <v>210</v>
      </c>
      <c r="H1334" s="87">
        <v>6</v>
      </c>
      <c r="I1334" s="87" t="s">
        <v>202</v>
      </c>
      <c r="J1334" s="87" t="s">
        <v>210</v>
      </c>
      <c r="K1334" s="87" t="s">
        <v>210</v>
      </c>
      <c r="L1334" s="87">
        <v>-1</v>
      </c>
      <c r="M1334" s="87">
        <v>5</v>
      </c>
      <c r="N1334" s="87" t="s">
        <v>210</v>
      </c>
      <c r="O1334" s="87" t="s">
        <v>210</v>
      </c>
      <c r="P1334" s="87">
        <v>-3</v>
      </c>
      <c r="Q1334" s="87">
        <v>-6</v>
      </c>
      <c r="R1334" s="87" t="s">
        <v>210</v>
      </c>
      <c r="S1334" s="87" t="s">
        <v>210</v>
      </c>
      <c r="T1334" s="87">
        <v>-4</v>
      </c>
      <c r="U1334" s="87">
        <v>-1</v>
      </c>
      <c r="V1334" s="87" t="s">
        <v>210</v>
      </c>
      <c r="W1334" s="87" t="s">
        <v>210</v>
      </c>
      <c r="X1334" s="87">
        <v>2</v>
      </c>
      <c r="Y1334" s="87">
        <v>3</v>
      </c>
      <c r="Z1334" s="87" t="s">
        <v>210</v>
      </c>
    </row>
    <row r="1335" spans="1:26">
      <c r="A1335" s="374" t="str">
        <f t="shared" si="68"/>
        <v/>
      </c>
      <c r="B1335" s="87">
        <v>13</v>
      </c>
      <c r="C1335" s="87" t="s">
        <v>210</v>
      </c>
      <c r="D1335" s="87">
        <v>1</v>
      </c>
      <c r="E1335" s="87">
        <v>5</v>
      </c>
      <c r="F1335" s="87" t="s">
        <v>210</v>
      </c>
      <c r="G1335" s="87" t="s">
        <v>210</v>
      </c>
      <c r="H1335" s="87">
        <v>3</v>
      </c>
      <c r="I1335" s="87">
        <v>6</v>
      </c>
      <c r="J1335" s="87" t="s">
        <v>210</v>
      </c>
      <c r="K1335" s="87" t="s">
        <v>210</v>
      </c>
      <c r="L1335" s="87">
        <v>-4</v>
      </c>
      <c r="M1335" s="87">
        <v>-1</v>
      </c>
      <c r="N1335" s="87" t="s">
        <v>210</v>
      </c>
      <c r="O1335" s="87" t="s">
        <v>210</v>
      </c>
      <c r="P1335" s="87">
        <v>2</v>
      </c>
      <c r="Q1335" s="87">
        <v>-3</v>
      </c>
      <c r="R1335" s="87" t="s">
        <v>210</v>
      </c>
      <c r="S1335" s="87" t="s">
        <v>210</v>
      </c>
      <c r="T1335" s="87">
        <v>-6</v>
      </c>
      <c r="U1335" s="87">
        <v>-2</v>
      </c>
      <c r="V1335" s="87" t="s">
        <v>210</v>
      </c>
      <c r="W1335" s="87" t="s">
        <v>210</v>
      </c>
      <c r="X1335" s="87">
        <v>5</v>
      </c>
      <c r="Y1335" s="87">
        <v>4</v>
      </c>
      <c r="Z1335" s="87" t="s">
        <v>210</v>
      </c>
    </row>
    <row r="1336" spans="1:26">
      <c r="A1336" s="374" t="str">
        <f t="shared" si="68"/>
        <v/>
      </c>
      <c r="B1336" s="87">
        <v>14</v>
      </c>
      <c r="C1336" s="87">
        <v>-5</v>
      </c>
      <c r="D1336" s="87" t="s">
        <v>210</v>
      </c>
      <c r="E1336" s="87" t="s">
        <v>210</v>
      </c>
      <c r="F1336" s="87">
        <v>-1</v>
      </c>
      <c r="G1336" s="87" t="s">
        <v>202</v>
      </c>
      <c r="H1336" s="87" t="s">
        <v>210</v>
      </c>
      <c r="I1336" s="87" t="s">
        <v>210</v>
      </c>
      <c r="J1336" s="87">
        <v>-6</v>
      </c>
      <c r="K1336" s="87">
        <v>5</v>
      </c>
      <c r="L1336" s="87" t="s">
        <v>210</v>
      </c>
      <c r="M1336" s="87" t="s">
        <v>210</v>
      </c>
      <c r="N1336" s="87">
        <v>4</v>
      </c>
      <c r="O1336" s="87">
        <v>6</v>
      </c>
      <c r="P1336" s="87" t="s">
        <v>210</v>
      </c>
      <c r="Q1336" s="87" t="s">
        <v>210</v>
      </c>
      <c r="R1336" s="87">
        <v>-3</v>
      </c>
      <c r="S1336" s="87">
        <v>1</v>
      </c>
      <c r="T1336" s="87" t="s">
        <v>210</v>
      </c>
      <c r="U1336" s="87" t="s">
        <v>210</v>
      </c>
      <c r="V1336" s="87">
        <v>2</v>
      </c>
      <c r="W1336" s="87">
        <v>-4</v>
      </c>
      <c r="X1336" s="87" t="s">
        <v>210</v>
      </c>
      <c r="Y1336" s="87" t="s">
        <v>210</v>
      </c>
      <c r="Z1336" s="87">
        <v>-1</v>
      </c>
    </row>
    <row r="1337" spans="1:26">
      <c r="A1337" s="374" t="str">
        <f t="shared" si="68"/>
        <v/>
      </c>
      <c r="B1337" s="87">
        <v>15</v>
      </c>
      <c r="C1337" s="87">
        <v>-6</v>
      </c>
      <c r="D1337" s="87" t="s">
        <v>210</v>
      </c>
      <c r="E1337" s="87" t="s">
        <v>210</v>
      </c>
      <c r="F1337" s="87">
        <v>-3</v>
      </c>
      <c r="G1337" s="87">
        <v>-1</v>
      </c>
      <c r="H1337" s="87" t="s">
        <v>210</v>
      </c>
      <c r="I1337" s="87" t="s">
        <v>210</v>
      </c>
      <c r="J1337" s="87">
        <v>2</v>
      </c>
      <c r="K1337" s="87">
        <v>-4</v>
      </c>
      <c r="L1337" s="87" t="s">
        <v>210</v>
      </c>
      <c r="M1337" s="87" t="s">
        <v>210</v>
      </c>
      <c r="N1337" s="87">
        <v>6</v>
      </c>
      <c r="O1337" s="87">
        <v>-2</v>
      </c>
      <c r="P1337" s="87" t="s">
        <v>210</v>
      </c>
      <c r="Q1337" s="87" t="s">
        <v>210</v>
      </c>
      <c r="R1337" s="87">
        <v>5</v>
      </c>
      <c r="S1337" s="87">
        <v>3</v>
      </c>
      <c r="T1337" s="87" t="s">
        <v>210</v>
      </c>
      <c r="U1337" s="87">
        <v>4</v>
      </c>
      <c r="V1337" s="87" t="s">
        <v>210</v>
      </c>
      <c r="W1337" s="87" t="s">
        <v>210</v>
      </c>
      <c r="X1337" s="87">
        <v>-5</v>
      </c>
      <c r="Y1337" s="87">
        <v>2</v>
      </c>
      <c r="Z1337" s="87" t="s">
        <v>210</v>
      </c>
    </row>
    <row r="1338" spans="1:26">
      <c r="A1338" s="374" t="str">
        <f t="shared" si="68"/>
        <v/>
      </c>
      <c r="B1338" s="87">
        <v>16</v>
      </c>
      <c r="C1338" s="87">
        <v>6</v>
      </c>
      <c r="D1338" s="87" t="s">
        <v>210</v>
      </c>
      <c r="E1338" s="87" t="s">
        <v>210</v>
      </c>
      <c r="F1338" s="87">
        <v>4</v>
      </c>
      <c r="G1338" s="87">
        <v>-5</v>
      </c>
      <c r="H1338" s="87" t="s">
        <v>210</v>
      </c>
      <c r="I1338" s="87" t="s">
        <v>210</v>
      </c>
      <c r="J1338" s="87">
        <v>6</v>
      </c>
      <c r="K1338" s="87" t="s">
        <v>202</v>
      </c>
      <c r="L1338" s="87" t="s">
        <v>210</v>
      </c>
      <c r="M1338" s="87" t="s">
        <v>210</v>
      </c>
      <c r="N1338" s="87">
        <v>-1</v>
      </c>
      <c r="O1338" s="87">
        <v>5</v>
      </c>
      <c r="P1338" s="87" t="s">
        <v>210</v>
      </c>
      <c r="Q1338" s="87" t="s">
        <v>210</v>
      </c>
      <c r="R1338" s="87">
        <v>-4</v>
      </c>
      <c r="S1338" s="87">
        <v>6</v>
      </c>
      <c r="T1338" s="87" t="s">
        <v>210</v>
      </c>
      <c r="U1338" s="87" t="s">
        <v>210</v>
      </c>
      <c r="V1338" s="87">
        <v>-3</v>
      </c>
      <c r="W1338" s="87">
        <v>-1</v>
      </c>
      <c r="X1338" s="87" t="s">
        <v>210</v>
      </c>
      <c r="Y1338" s="87" t="s">
        <v>210</v>
      </c>
      <c r="Z1338" s="87">
        <v>2</v>
      </c>
    </row>
    <row r="1339" spans="1:26">
      <c r="A1339" s="374" t="str">
        <f t="shared" si="68"/>
        <v/>
      </c>
      <c r="B1339" s="87">
        <v>17</v>
      </c>
      <c r="C1339" s="87">
        <v>-1</v>
      </c>
      <c r="D1339" s="87" t="s">
        <v>210</v>
      </c>
      <c r="E1339" s="87" t="s">
        <v>210</v>
      </c>
      <c r="F1339" s="87">
        <v>2</v>
      </c>
      <c r="G1339" s="87">
        <v>4</v>
      </c>
      <c r="H1339" s="87" t="s">
        <v>210</v>
      </c>
      <c r="I1339" s="87" t="s">
        <v>210</v>
      </c>
      <c r="J1339" s="87">
        <v>-1</v>
      </c>
      <c r="K1339" s="87">
        <v>-2</v>
      </c>
      <c r="L1339" s="87" t="s">
        <v>210</v>
      </c>
      <c r="M1339" s="87" t="s">
        <v>210</v>
      </c>
      <c r="N1339" s="87">
        <v>5</v>
      </c>
      <c r="O1339" s="87">
        <v>-3</v>
      </c>
      <c r="P1339" s="87" t="s">
        <v>210</v>
      </c>
      <c r="Q1339" s="87">
        <v>-4</v>
      </c>
      <c r="R1339" s="87" t="s">
        <v>210</v>
      </c>
      <c r="S1339" s="87" t="s">
        <v>210</v>
      </c>
      <c r="T1339" s="87">
        <v>-5</v>
      </c>
      <c r="U1339" s="87">
        <v>2</v>
      </c>
      <c r="V1339" s="87" t="s">
        <v>210</v>
      </c>
      <c r="W1339" s="87" t="s">
        <v>210</v>
      </c>
      <c r="X1339" s="87">
        <v>1</v>
      </c>
      <c r="Y1339" s="87">
        <v>-3</v>
      </c>
      <c r="Z1339" s="87" t="s">
        <v>210</v>
      </c>
    </row>
    <row r="1340" spans="1:26">
      <c r="A1340" s="374" t="str">
        <f t="shared" si="68"/>
        <v/>
      </c>
      <c r="B1340" s="87">
        <v>18</v>
      </c>
      <c r="C1340" s="87">
        <v>1</v>
      </c>
      <c r="D1340" s="87" t="s">
        <v>210</v>
      </c>
      <c r="E1340" s="87" t="s">
        <v>210</v>
      </c>
      <c r="F1340" s="87">
        <v>3</v>
      </c>
      <c r="G1340" s="87">
        <v>-6</v>
      </c>
      <c r="H1340" s="87" t="s">
        <v>210</v>
      </c>
      <c r="I1340" s="87" t="s">
        <v>210</v>
      </c>
      <c r="J1340" s="87">
        <v>4</v>
      </c>
      <c r="K1340" s="87">
        <v>-5</v>
      </c>
      <c r="L1340" s="87" t="s">
        <v>210</v>
      </c>
      <c r="M1340" s="87" t="s">
        <v>210</v>
      </c>
      <c r="N1340" s="87">
        <v>1</v>
      </c>
      <c r="O1340" s="87" t="s">
        <v>202</v>
      </c>
      <c r="P1340" s="87" t="s">
        <v>210</v>
      </c>
      <c r="Q1340" s="87" t="s">
        <v>210</v>
      </c>
      <c r="R1340" s="87">
        <v>-6</v>
      </c>
      <c r="S1340" s="87">
        <v>5</v>
      </c>
      <c r="T1340" s="87" t="s">
        <v>210</v>
      </c>
      <c r="U1340" s="87" t="s">
        <v>210</v>
      </c>
      <c r="V1340" s="87">
        <v>-4</v>
      </c>
      <c r="W1340" s="87">
        <v>6</v>
      </c>
      <c r="X1340" s="87" t="s">
        <v>210</v>
      </c>
      <c r="Y1340" s="87" t="s">
        <v>210</v>
      </c>
      <c r="Z1340" s="87">
        <v>3</v>
      </c>
    </row>
    <row r="1341" spans="1:26">
      <c r="A1341" s="374" t="str">
        <f t="shared" si="68"/>
        <v/>
      </c>
      <c r="B1341" s="87">
        <v>19</v>
      </c>
      <c r="C1341" s="87">
        <v>-4</v>
      </c>
      <c r="D1341" s="87" t="s">
        <v>210</v>
      </c>
      <c r="E1341" s="87" t="s">
        <v>210</v>
      </c>
      <c r="F1341" s="87">
        <v>-6</v>
      </c>
      <c r="G1341" s="87">
        <v>2</v>
      </c>
      <c r="H1341" s="87" t="s">
        <v>210</v>
      </c>
      <c r="I1341" s="87" t="s">
        <v>210</v>
      </c>
      <c r="J1341" s="87">
        <v>5</v>
      </c>
      <c r="K1341" s="87">
        <v>3</v>
      </c>
      <c r="L1341" s="87" t="s">
        <v>210</v>
      </c>
      <c r="M1341" s="87">
        <v>4</v>
      </c>
      <c r="N1341" s="87" t="s">
        <v>210</v>
      </c>
      <c r="O1341" s="87" t="s">
        <v>210</v>
      </c>
      <c r="P1341" s="87">
        <v>-5</v>
      </c>
      <c r="Q1341" s="87">
        <v>-2</v>
      </c>
      <c r="R1341" s="87" t="s">
        <v>210</v>
      </c>
      <c r="S1341" s="87" t="s">
        <v>210</v>
      </c>
      <c r="T1341" s="87">
        <v>6</v>
      </c>
      <c r="U1341" s="87">
        <v>-3</v>
      </c>
      <c r="V1341" s="87" t="s">
        <v>210</v>
      </c>
      <c r="W1341" s="87" t="s">
        <v>210</v>
      </c>
      <c r="X1341" s="87">
        <v>-2</v>
      </c>
      <c r="Y1341" s="87">
        <v>1</v>
      </c>
      <c r="Z1341" s="87" t="s">
        <v>210</v>
      </c>
    </row>
    <row r="1342" spans="1:26">
      <c r="A1342" s="374" t="str">
        <f t="shared" si="68"/>
        <v/>
      </c>
      <c r="B1342" s="87">
        <v>20</v>
      </c>
      <c r="C1342" s="87">
        <v>2</v>
      </c>
      <c r="D1342" s="87" t="s">
        <v>210</v>
      </c>
      <c r="E1342" s="87" t="s">
        <v>210</v>
      </c>
      <c r="F1342" s="87">
        <v>6</v>
      </c>
      <c r="G1342" s="87">
        <v>-4</v>
      </c>
      <c r="H1342" s="87" t="s">
        <v>210</v>
      </c>
      <c r="I1342" s="87" t="s">
        <v>210</v>
      </c>
      <c r="J1342" s="87">
        <v>-2</v>
      </c>
      <c r="K1342" s="87">
        <v>1</v>
      </c>
      <c r="L1342" s="87" t="s">
        <v>210</v>
      </c>
      <c r="M1342" s="87" t="s">
        <v>210</v>
      </c>
      <c r="N1342" s="87">
        <v>-3</v>
      </c>
      <c r="O1342" s="87">
        <v>-6</v>
      </c>
      <c r="P1342" s="87" t="s">
        <v>210</v>
      </c>
      <c r="Q1342" s="87" t="s">
        <v>210</v>
      </c>
      <c r="R1342" s="87">
        <v>4</v>
      </c>
      <c r="S1342" s="87">
        <v>-5</v>
      </c>
      <c r="T1342" s="87" t="s">
        <v>210</v>
      </c>
      <c r="U1342" s="87" t="s">
        <v>210</v>
      </c>
      <c r="V1342" s="87">
        <v>-1</v>
      </c>
      <c r="W1342" s="87" t="s">
        <v>202</v>
      </c>
      <c r="X1342" s="87" t="s">
        <v>210</v>
      </c>
      <c r="Y1342" s="87" t="s">
        <v>210</v>
      </c>
      <c r="Z1342" s="87">
        <v>6</v>
      </c>
    </row>
    <row r="1343" spans="1:26">
      <c r="A1343" s="374" t="str">
        <f t="shared" si="68"/>
        <v/>
      </c>
      <c r="B1343" s="87">
        <v>21</v>
      </c>
      <c r="C1343" s="87">
        <v>3</v>
      </c>
      <c r="D1343" s="87" t="s">
        <v>210</v>
      </c>
      <c r="E1343" s="87">
        <v>4</v>
      </c>
      <c r="F1343" s="87" t="s">
        <v>210</v>
      </c>
      <c r="G1343" s="87" t="s">
        <v>210</v>
      </c>
      <c r="H1343" s="87">
        <v>-5</v>
      </c>
      <c r="I1343" s="87">
        <v>2</v>
      </c>
      <c r="J1343" s="87" t="s">
        <v>210</v>
      </c>
      <c r="K1343" s="87" t="s">
        <v>210</v>
      </c>
      <c r="L1343" s="87">
        <v>6</v>
      </c>
      <c r="M1343" s="87">
        <v>3</v>
      </c>
      <c r="N1343" s="87" t="s">
        <v>210</v>
      </c>
      <c r="O1343" s="87" t="s">
        <v>210</v>
      </c>
      <c r="P1343" s="87">
        <v>-2</v>
      </c>
      <c r="Q1343" s="87">
        <v>-1</v>
      </c>
      <c r="R1343" s="87" t="s">
        <v>210</v>
      </c>
      <c r="S1343" s="87" t="s">
        <v>210</v>
      </c>
      <c r="T1343" s="87">
        <v>4</v>
      </c>
      <c r="U1343" s="87">
        <v>-6</v>
      </c>
      <c r="V1343" s="87" t="s">
        <v>210</v>
      </c>
      <c r="W1343" s="87" t="s">
        <v>210</v>
      </c>
      <c r="X1343" s="87">
        <v>-3</v>
      </c>
      <c r="Y1343" s="87">
        <v>-5</v>
      </c>
      <c r="Z1343" s="87" t="s">
        <v>210</v>
      </c>
    </row>
    <row r="1344" spans="1:26">
      <c r="A1344" s="374" t="str">
        <f t="shared" si="68"/>
        <v/>
      </c>
      <c r="B1344" s="87">
        <v>22</v>
      </c>
      <c r="C1344" s="87" t="s">
        <v>202</v>
      </c>
      <c r="D1344" s="87" t="s">
        <v>210</v>
      </c>
      <c r="E1344" s="87" t="s">
        <v>210</v>
      </c>
      <c r="F1344" s="87">
        <v>1</v>
      </c>
      <c r="G1344" s="87">
        <v>5</v>
      </c>
      <c r="H1344" s="87" t="s">
        <v>210</v>
      </c>
      <c r="I1344" s="87" t="s">
        <v>210</v>
      </c>
      <c r="J1344" s="87">
        <v>-4</v>
      </c>
      <c r="K1344" s="87">
        <v>6</v>
      </c>
      <c r="L1344" s="87" t="s">
        <v>210</v>
      </c>
      <c r="M1344" s="87" t="s">
        <v>210</v>
      </c>
      <c r="N1344" s="87">
        <v>3</v>
      </c>
      <c r="O1344" s="87">
        <v>-1</v>
      </c>
      <c r="P1344" s="87" t="s">
        <v>210</v>
      </c>
      <c r="Q1344" s="87" t="s">
        <v>210</v>
      </c>
      <c r="R1344" s="87">
        <v>2</v>
      </c>
      <c r="S1344" s="87">
        <v>4</v>
      </c>
      <c r="T1344" s="87" t="s">
        <v>210</v>
      </c>
      <c r="U1344" s="87" t="s">
        <v>210</v>
      </c>
      <c r="V1344" s="87">
        <v>-6</v>
      </c>
      <c r="W1344" s="87">
        <v>-2</v>
      </c>
      <c r="X1344" s="87" t="s">
        <v>210</v>
      </c>
      <c r="Y1344" s="87" t="s">
        <v>210</v>
      </c>
      <c r="Z1344" s="87">
        <v>5</v>
      </c>
    </row>
    <row r="1345" spans="1:26">
      <c r="A1345" s="374" t="str">
        <f t="shared" si="68"/>
        <v/>
      </c>
      <c r="B1345" s="87">
        <v>23</v>
      </c>
      <c r="C1345" s="87">
        <v>5</v>
      </c>
      <c r="D1345" s="87" t="s">
        <v>210</v>
      </c>
      <c r="E1345" s="87" t="s">
        <v>210</v>
      </c>
      <c r="F1345" s="87">
        <v>-4</v>
      </c>
      <c r="G1345" s="87">
        <v>6</v>
      </c>
      <c r="H1345" s="87" t="s">
        <v>210</v>
      </c>
      <c r="I1345" s="87" t="s">
        <v>210</v>
      </c>
      <c r="J1345" s="87">
        <v>-3</v>
      </c>
      <c r="K1345" s="87">
        <v>-1</v>
      </c>
      <c r="L1345" s="87" t="s">
        <v>210</v>
      </c>
      <c r="M1345" s="87" t="s">
        <v>210</v>
      </c>
      <c r="N1345" s="87">
        <v>2</v>
      </c>
      <c r="O1345" s="87">
        <v>4</v>
      </c>
      <c r="P1345" s="87" t="s">
        <v>210</v>
      </c>
      <c r="Q1345" s="87" t="s">
        <v>210</v>
      </c>
      <c r="R1345" s="87">
        <v>1</v>
      </c>
      <c r="S1345" s="87">
        <v>-2</v>
      </c>
      <c r="T1345" s="87" t="s">
        <v>210</v>
      </c>
      <c r="U1345" s="87" t="s">
        <v>210</v>
      </c>
      <c r="V1345" s="87">
        <v>5</v>
      </c>
      <c r="W1345" s="87">
        <v>3</v>
      </c>
      <c r="X1345" s="87" t="s">
        <v>210</v>
      </c>
      <c r="Y1345" s="87">
        <v>-4</v>
      </c>
      <c r="Z1345" s="87" t="s">
        <v>210</v>
      </c>
    </row>
    <row r="1346" spans="1:26">
      <c r="A1346" s="374" t="str">
        <f t="shared" si="68"/>
        <v/>
      </c>
      <c r="B1346" s="87">
        <v>24</v>
      </c>
      <c r="C1346" s="87">
        <v>4</v>
      </c>
      <c r="D1346" s="87" t="s">
        <v>210</v>
      </c>
      <c r="E1346" s="87" t="s">
        <v>210</v>
      </c>
      <c r="F1346" s="87">
        <v>-2</v>
      </c>
      <c r="G1346" s="87">
        <v>1</v>
      </c>
      <c r="H1346" s="87" t="s">
        <v>210</v>
      </c>
      <c r="I1346" s="87" t="s">
        <v>210</v>
      </c>
      <c r="J1346" s="87">
        <v>3</v>
      </c>
      <c r="K1346" s="87">
        <v>-6</v>
      </c>
      <c r="L1346" s="87" t="s">
        <v>210</v>
      </c>
      <c r="M1346" s="87" t="s">
        <v>210</v>
      </c>
      <c r="N1346" s="87">
        <v>-4</v>
      </c>
      <c r="O1346" s="87">
        <v>-5</v>
      </c>
      <c r="P1346" s="87" t="s">
        <v>210</v>
      </c>
      <c r="Q1346" s="87" t="s">
        <v>210</v>
      </c>
      <c r="R1346" s="87">
        <v>6</v>
      </c>
      <c r="S1346" s="87" t="s">
        <v>202</v>
      </c>
      <c r="T1346" s="87" t="s">
        <v>210</v>
      </c>
      <c r="U1346" s="87" t="s">
        <v>210</v>
      </c>
      <c r="V1346" s="87">
        <v>1</v>
      </c>
      <c r="W1346" s="87">
        <v>5</v>
      </c>
      <c r="X1346" s="87" t="s">
        <v>210</v>
      </c>
      <c r="Y1346" s="87" t="s">
        <v>210</v>
      </c>
      <c r="Z1346" s="87">
        <v>-4</v>
      </c>
    </row>
    <row r="1347" spans="1:26">
      <c r="A1347" s="374" t="str">
        <f t="shared" si="68"/>
        <v/>
      </c>
      <c r="B1347" s="87">
        <v>25</v>
      </c>
      <c r="C1347" s="87">
        <v>-2</v>
      </c>
      <c r="D1347" s="87" t="s">
        <v>210</v>
      </c>
      <c r="E1347" s="87" t="s">
        <v>210</v>
      </c>
      <c r="F1347" s="87">
        <v>5</v>
      </c>
      <c r="G1347" s="87">
        <v>3</v>
      </c>
      <c r="H1347" s="87" t="s">
        <v>210</v>
      </c>
      <c r="I1347" s="87">
        <v>-4</v>
      </c>
      <c r="J1347" s="87" t="s">
        <v>210</v>
      </c>
      <c r="K1347" s="87" t="s">
        <v>210</v>
      </c>
      <c r="L1347" s="87">
        <v>-5</v>
      </c>
      <c r="M1347" s="87">
        <v>2</v>
      </c>
      <c r="N1347" s="87" t="s">
        <v>210</v>
      </c>
      <c r="O1347" s="87" t="s">
        <v>210</v>
      </c>
      <c r="P1347" s="87">
        <v>-1</v>
      </c>
      <c r="Q1347" s="87">
        <v>3</v>
      </c>
      <c r="R1347" s="87" t="s">
        <v>210</v>
      </c>
      <c r="S1347" s="87" t="s">
        <v>210</v>
      </c>
      <c r="T1347" s="87">
        <v>-2</v>
      </c>
      <c r="U1347" s="87">
        <v>1</v>
      </c>
      <c r="V1347" s="87" t="s">
        <v>210</v>
      </c>
      <c r="W1347" s="87" t="s">
        <v>210</v>
      </c>
      <c r="X1347" s="87">
        <v>4</v>
      </c>
      <c r="Y1347" s="87">
        <v>6</v>
      </c>
      <c r="Z1347" s="87" t="s">
        <v>210</v>
      </c>
    </row>
    <row r="1348" spans="1:26">
      <c r="A1348" s="374" t="str">
        <f t="shared" si="68"/>
        <v/>
      </c>
      <c r="B1348" s="318" t="s">
        <v>1037</v>
      </c>
    </row>
    <row r="1349" spans="1:26">
      <c r="A1349" s="374">
        <f t="shared" si="68"/>
        <v>1349</v>
      </c>
      <c r="B1349" s="87" t="s">
        <v>910</v>
      </c>
    </row>
    <row r="1350" spans="1:26">
      <c r="A1350" s="374" t="str">
        <f t="shared" si="68"/>
        <v/>
      </c>
      <c r="B1350" s="87">
        <v>1</v>
      </c>
      <c r="C1350" s="87">
        <v>-4</v>
      </c>
      <c r="D1350" s="87" t="s">
        <v>210</v>
      </c>
      <c r="E1350" s="87" t="s">
        <v>210</v>
      </c>
      <c r="F1350" s="87" t="s">
        <v>202</v>
      </c>
      <c r="G1350" s="87">
        <v>5</v>
      </c>
      <c r="H1350" s="87" t="s">
        <v>210</v>
      </c>
      <c r="I1350" s="87" t="s">
        <v>210</v>
      </c>
      <c r="J1350" s="87">
        <v>-1</v>
      </c>
      <c r="K1350" s="87">
        <v>-4</v>
      </c>
      <c r="L1350" s="87" t="s">
        <v>210</v>
      </c>
      <c r="M1350" s="87" t="s">
        <v>210</v>
      </c>
      <c r="N1350" s="87">
        <v>2</v>
      </c>
      <c r="O1350" s="87" t="s">
        <v>210</v>
      </c>
      <c r="P1350" s="87">
        <v>3</v>
      </c>
      <c r="Q1350" s="87">
        <v>6</v>
      </c>
      <c r="R1350" s="87" t="s">
        <v>210</v>
      </c>
      <c r="S1350" s="87" t="s">
        <v>210</v>
      </c>
      <c r="T1350" s="87">
        <v>-2</v>
      </c>
      <c r="U1350" s="87">
        <v>-5</v>
      </c>
      <c r="V1350" s="87" t="s">
        <v>210</v>
      </c>
      <c r="W1350" s="87" t="s">
        <v>210</v>
      </c>
      <c r="X1350" s="87">
        <v>4</v>
      </c>
      <c r="Y1350" s="87">
        <v>1</v>
      </c>
      <c r="Z1350" s="87" t="s">
        <v>210</v>
      </c>
    </row>
    <row r="1351" spans="1:26">
      <c r="A1351" s="374" t="str">
        <f t="shared" si="68"/>
        <v/>
      </c>
      <c r="B1351" s="87">
        <v>2</v>
      </c>
      <c r="C1351" s="87">
        <v>-6</v>
      </c>
      <c r="D1351" s="87" t="s">
        <v>210</v>
      </c>
      <c r="E1351" s="87" t="s">
        <v>210</v>
      </c>
      <c r="F1351" s="87">
        <v>2</v>
      </c>
      <c r="G1351" s="87">
        <v>3</v>
      </c>
      <c r="H1351" s="87" t="s">
        <v>210</v>
      </c>
      <c r="I1351" s="87" t="s">
        <v>210</v>
      </c>
      <c r="J1351" s="87" t="s">
        <v>202</v>
      </c>
      <c r="K1351" s="87">
        <v>-2</v>
      </c>
      <c r="L1351" s="87" t="s">
        <v>210</v>
      </c>
      <c r="M1351" s="87" t="s">
        <v>210</v>
      </c>
      <c r="N1351" s="87">
        <v>-4</v>
      </c>
      <c r="O1351" s="87" t="s">
        <v>210</v>
      </c>
      <c r="P1351" s="87">
        <v>-1</v>
      </c>
      <c r="Q1351" s="87">
        <v>5</v>
      </c>
      <c r="R1351" s="87" t="s">
        <v>210</v>
      </c>
      <c r="S1351" s="87" t="s">
        <v>210</v>
      </c>
      <c r="T1351" s="87">
        <v>6</v>
      </c>
      <c r="U1351" s="87">
        <v>-3</v>
      </c>
      <c r="V1351" s="87" t="s">
        <v>210</v>
      </c>
      <c r="W1351" s="87" t="s">
        <v>210</v>
      </c>
      <c r="X1351" s="87">
        <v>-2</v>
      </c>
      <c r="Y1351" s="87">
        <v>4</v>
      </c>
      <c r="Z1351" s="87" t="s">
        <v>210</v>
      </c>
    </row>
    <row r="1352" spans="1:26">
      <c r="A1352" s="374" t="str">
        <f t="shared" si="68"/>
        <v/>
      </c>
      <c r="B1352" s="87">
        <v>3</v>
      </c>
      <c r="C1352" s="87">
        <v>-5</v>
      </c>
      <c r="D1352" s="87" t="s">
        <v>210</v>
      </c>
      <c r="E1352" s="87" t="s">
        <v>210</v>
      </c>
      <c r="F1352" s="87">
        <v>3</v>
      </c>
      <c r="G1352" s="87">
        <v>4</v>
      </c>
      <c r="H1352" s="87" t="s">
        <v>210</v>
      </c>
      <c r="I1352" s="87" t="s">
        <v>210</v>
      </c>
      <c r="J1352" s="87">
        <v>5</v>
      </c>
      <c r="K1352" s="87">
        <v>-6</v>
      </c>
      <c r="L1352" s="87" t="s">
        <v>210</v>
      </c>
      <c r="M1352" s="87" t="s">
        <v>210</v>
      </c>
      <c r="N1352" s="87" t="s">
        <v>202</v>
      </c>
      <c r="O1352" s="87" t="s">
        <v>210</v>
      </c>
      <c r="P1352" s="87">
        <v>-2</v>
      </c>
      <c r="Q1352" s="87">
        <v>1</v>
      </c>
      <c r="R1352" s="87" t="s">
        <v>210</v>
      </c>
      <c r="S1352" s="87" t="s">
        <v>210</v>
      </c>
      <c r="T1352" s="87">
        <v>-3</v>
      </c>
      <c r="U1352" s="87">
        <v>-4</v>
      </c>
      <c r="V1352" s="87" t="s">
        <v>210</v>
      </c>
      <c r="W1352" s="87" t="s">
        <v>210</v>
      </c>
      <c r="X1352" s="87">
        <v>5</v>
      </c>
      <c r="Y1352" s="87">
        <v>6</v>
      </c>
      <c r="Z1352" s="87" t="s">
        <v>210</v>
      </c>
    </row>
    <row r="1353" spans="1:26">
      <c r="A1353" s="374" t="str">
        <f t="shared" si="68"/>
        <v/>
      </c>
      <c r="B1353" s="87">
        <v>4</v>
      </c>
      <c r="C1353" s="87">
        <v>-3</v>
      </c>
      <c r="D1353" s="87" t="s">
        <v>210</v>
      </c>
      <c r="E1353" s="87" t="s">
        <v>210</v>
      </c>
      <c r="F1353" s="87">
        <v>-5</v>
      </c>
      <c r="G1353" s="87" t="s">
        <v>202</v>
      </c>
      <c r="H1353" s="87" t="s">
        <v>210</v>
      </c>
      <c r="I1353" s="87" t="s">
        <v>210</v>
      </c>
      <c r="J1353" s="87">
        <v>2</v>
      </c>
      <c r="K1353" s="87">
        <v>3</v>
      </c>
      <c r="L1353" s="87" t="s">
        <v>210</v>
      </c>
      <c r="M1353" s="87" t="s">
        <v>210</v>
      </c>
      <c r="N1353" s="87">
        <v>1</v>
      </c>
      <c r="O1353" s="87" t="s">
        <v>210</v>
      </c>
      <c r="P1353" s="87">
        <v>-6</v>
      </c>
      <c r="Q1353" s="87">
        <v>4</v>
      </c>
      <c r="R1353" s="87" t="s">
        <v>210</v>
      </c>
      <c r="S1353" s="87" t="s">
        <v>210</v>
      </c>
      <c r="T1353" s="87">
        <v>-1</v>
      </c>
      <c r="U1353" s="87">
        <v>-2</v>
      </c>
      <c r="V1353" s="87" t="s">
        <v>210</v>
      </c>
      <c r="W1353" s="87" t="s">
        <v>210</v>
      </c>
      <c r="X1353" s="87">
        <v>3</v>
      </c>
      <c r="Y1353" s="87">
        <v>5</v>
      </c>
      <c r="Z1353" s="87" t="s">
        <v>210</v>
      </c>
    </row>
    <row r="1354" spans="1:26">
      <c r="A1354" s="374" t="str">
        <f t="shared" si="68"/>
        <v/>
      </c>
      <c r="B1354" s="87">
        <v>5</v>
      </c>
      <c r="C1354" s="87">
        <v>2</v>
      </c>
      <c r="D1354" s="87" t="s">
        <v>210</v>
      </c>
      <c r="E1354" s="87" t="s">
        <v>210</v>
      </c>
      <c r="F1354" s="87">
        <v>4</v>
      </c>
      <c r="G1354" s="87">
        <v>-6</v>
      </c>
      <c r="H1354" s="87" t="s">
        <v>210</v>
      </c>
      <c r="I1354" s="87" t="s">
        <v>210</v>
      </c>
      <c r="J1354" s="87">
        <v>3</v>
      </c>
      <c r="K1354" s="87" t="s">
        <v>202</v>
      </c>
      <c r="L1354" s="87" t="s">
        <v>210</v>
      </c>
      <c r="M1354" s="87" t="s">
        <v>210</v>
      </c>
      <c r="N1354" s="87">
        <v>-5</v>
      </c>
      <c r="O1354" s="87" t="s">
        <v>210</v>
      </c>
      <c r="P1354" s="87">
        <v>-4</v>
      </c>
      <c r="Q1354" s="87">
        <v>-3</v>
      </c>
      <c r="R1354" s="87" t="s">
        <v>210</v>
      </c>
      <c r="S1354" s="87" t="s">
        <v>210</v>
      </c>
      <c r="T1354" s="87">
        <v>5</v>
      </c>
      <c r="U1354" s="87">
        <v>6</v>
      </c>
      <c r="V1354" s="87" t="s">
        <v>210</v>
      </c>
      <c r="W1354" s="87" t="s">
        <v>210</v>
      </c>
      <c r="X1354" s="87">
        <v>1</v>
      </c>
      <c r="Y1354" s="87">
        <v>-2</v>
      </c>
      <c r="Z1354" s="87" t="s">
        <v>210</v>
      </c>
    </row>
    <row r="1355" spans="1:26">
      <c r="A1355" s="374" t="str">
        <f t="shared" si="68"/>
        <v/>
      </c>
      <c r="B1355" s="87">
        <v>6</v>
      </c>
      <c r="C1355" s="87" t="s">
        <v>202</v>
      </c>
      <c r="D1355" s="87" t="s">
        <v>210</v>
      </c>
      <c r="E1355" s="87" t="s">
        <v>210</v>
      </c>
      <c r="F1355" s="87">
        <v>-1</v>
      </c>
      <c r="G1355" s="87">
        <v>2</v>
      </c>
      <c r="H1355" s="87" t="s">
        <v>210</v>
      </c>
      <c r="I1355" s="87" t="s">
        <v>210</v>
      </c>
      <c r="J1355" s="87">
        <v>-4</v>
      </c>
      <c r="K1355" s="87">
        <v>-5</v>
      </c>
      <c r="L1355" s="87" t="s">
        <v>210</v>
      </c>
      <c r="M1355" s="87" t="s">
        <v>210</v>
      </c>
      <c r="N1355" s="87">
        <v>3</v>
      </c>
      <c r="O1355" s="87" t="s">
        <v>210</v>
      </c>
      <c r="P1355" s="87">
        <v>5</v>
      </c>
      <c r="Q1355" s="87">
        <v>-2</v>
      </c>
      <c r="R1355" s="87" t="s">
        <v>210</v>
      </c>
      <c r="S1355" s="87" t="s">
        <v>210</v>
      </c>
      <c r="T1355" s="87">
        <v>4</v>
      </c>
      <c r="U1355" s="87">
        <v>1</v>
      </c>
      <c r="V1355" s="87" t="s">
        <v>210</v>
      </c>
      <c r="W1355" s="87" t="s">
        <v>210</v>
      </c>
      <c r="X1355" s="87">
        <v>6</v>
      </c>
      <c r="Y1355" s="87">
        <v>-3</v>
      </c>
      <c r="Z1355" s="87" t="s">
        <v>210</v>
      </c>
    </row>
    <row r="1356" spans="1:26">
      <c r="A1356" s="374" t="str">
        <f t="shared" ref="A1356:A1419" si="69">IF(MID(B1356,3,2)="06",ROW(),"")</f>
        <v/>
      </c>
      <c r="B1356" s="87">
        <v>7</v>
      </c>
      <c r="C1356" s="87" t="s">
        <v>210</v>
      </c>
      <c r="D1356" s="87">
        <v>-3</v>
      </c>
      <c r="E1356" s="87">
        <v>-6</v>
      </c>
      <c r="F1356" s="87" t="s">
        <v>210</v>
      </c>
      <c r="G1356" s="87" t="s">
        <v>210</v>
      </c>
      <c r="H1356" s="87">
        <v>2</v>
      </c>
      <c r="I1356" s="87">
        <v>5</v>
      </c>
      <c r="J1356" s="87" t="s">
        <v>210</v>
      </c>
      <c r="K1356" s="87" t="s">
        <v>210</v>
      </c>
      <c r="L1356" s="87">
        <v>1</v>
      </c>
      <c r="M1356" s="87">
        <v>-4</v>
      </c>
      <c r="N1356" s="87" t="s">
        <v>210</v>
      </c>
      <c r="O1356" s="87">
        <v>3</v>
      </c>
      <c r="P1356" s="87" t="s">
        <v>210</v>
      </c>
      <c r="Q1356" s="87" t="s">
        <v>210</v>
      </c>
      <c r="R1356" s="87">
        <v>-5</v>
      </c>
      <c r="S1356" s="87" t="s">
        <v>202</v>
      </c>
      <c r="T1356" s="87" t="s">
        <v>210</v>
      </c>
      <c r="U1356" s="87" t="s">
        <v>210</v>
      </c>
      <c r="V1356" s="87">
        <v>-2</v>
      </c>
      <c r="W1356" s="87">
        <v>6</v>
      </c>
      <c r="X1356" s="87" t="s">
        <v>210</v>
      </c>
      <c r="Y1356" s="87" t="s">
        <v>210</v>
      </c>
      <c r="Z1356" s="87">
        <v>-3</v>
      </c>
    </row>
    <row r="1357" spans="1:26">
      <c r="A1357" s="374" t="str">
        <f t="shared" si="69"/>
        <v/>
      </c>
      <c r="B1357" s="87">
        <v>8</v>
      </c>
      <c r="C1357" s="87" t="s">
        <v>210</v>
      </c>
      <c r="D1357" s="87">
        <v>-1</v>
      </c>
      <c r="E1357" s="87">
        <v>-5</v>
      </c>
      <c r="F1357" s="87" t="s">
        <v>210</v>
      </c>
      <c r="G1357" s="87" t="s">
        <v>210</v>
      </c>
      <c r="H1357" s="87">
        <v>-6</v>
      </c>
      <c r="I1357" s="87">
        <v>3</v>
      </c>
      <c r="J1357" s="87" t="s">
        <v>210</v>
      </c>
      <c r="K1357" s="87" t="s">
        <v>210</v>
      </c>
      <c r="L1357" s="87">
        <v>-4</v>
      </c>
      <c r="M1357" s="87">
        <v>2</v>
      </c>
      <c r="N1357" s="87" t="s">
        <v>210</v>
      </c>
      <c r="O1357" s="87">
        <v>-5</v>
      </c>
      <c r="P1357" s="87" t="s">
        <v>210</v>
      </c>
      <c r="Q1357" s="87" t="s">
        <v>210</v>
      </c>
      <c r="R1357" s="87">
        <v>-3</v>
      </c>
      <c r="S1357" s="87">
        <v>4</v>
      </c>
      <c r="T1357" s="87" t="s">
        <v>210</v>
      </c>
      <c r="U1357" s="87" t="s">
        <v>210</v>
      </c>
      <c r="V1357" s="87">
        <v>5</v>
      </c>
      <c r="W1357" s="87" t="s">
        <v>202</v>
      </c>
      <c r="X1357" s="87" t="s">
        <v>210</v>
      </c>
      <c r="Y1357" s="87" t="s">
        <v>210</v>
      </c>
      <c r="Z1357" s="87">
        <v>1</v>
      </c>
    </row>
    <row r="1358" spans="1:26">
      <c r="A1358" s="374" t="str">
        <f t="shared" si="69"/>
        <v/>
      </c>
      <c r="B1358" s="87">
        <v>9</v>
      </c>
      <c r="C1358" s="87" t="s">
        <v>210</v>
      </c>
      <c r="D1358" s="87">
        <v>4</v>
      </c>
      <c r="E1358" s="87">
        <v>3</v>
      </c>
      <c r="F1358" s="87" t="s">
        <v>210</v>
      </c>
      <c r="G1358" s="87" t="s">
        <v>210</v>
      </c>
      <c r="H1358" s="87">
        <v>-5</v>
      </c>
      <c r="I1358" s="87">
        <v>-6</v>
      </c>
      <c r="J1358" s="87" t="s">
        <v>210</v>
      </c>
      <c r="K1358" s="87" t="s">
        <v>210</v>
      </c>
      <c r="L1358" s="87">
        <v>2</v>
      </c>
      <c r="M1358" s="87">
        <v>-1</v>
      </c>
      <c r="N1358" s="87" t="s">
        <v>210</v>
      </c>
      <c r="O1358" s="87" t="s">
        <v>202</v>
      </c>
      <c r="P1358" s="87" t="s">
        <v>210</v>
      </c>
      <c r="Q1358" s="87" t="s">
        <v>210</v>
      </c>
      <c r="R1358" s="87">
        <v>6</v>
      </c>
      <c r="S1358" s="87">
        <v>-2</v>
      </c>
      <c r="T1358" s="87" t="s">
        <v>210</v>
      </c>
      <c r="U1358" s="87" t="s">
        <v>210</v>
      </c>
      <c r="V1358" s="87">
        <v>-4</v>
      </c>
      <c r="W1358" s="87">
        <v>-3</v>
      </c>
      <c r="X1358" s="87" t="s">
        <v>210</v>
      </c>
      <c r="Y1358" s="87" t="s">
        <v>210</v>
      </c>
      <c r="Z1358" s="87">
        <v>5</v>
      </c>
    </row>
    <row r="1359" spans="1:26">
      <c r="A1359" s="374" t="str">
        <f t="shared" si="69"/>
        <v/>
      </c>
      <c r="B1359" s="87">
        <v>10</v>
      </c>
      <c r="C1359" s="87" t="s">
        <v>210</v>
      </c>
      <c r="D1359" s="87">
        <v>-5</v>
      </c>
      <c r="E1359" s="87">
        <v>2</v>
      </c>
      <c r="F1359" s="87" t="s">
        <v>210</v>
      </c>
      <c r="G1359" s="87" t="s">
        <v>210</v>
      </c>
      <c r="H1359" s="87">
        <v>-4</v>
      </c>
      <c r="I1359" s="87">
        <v>-1</v>
      </c>
      <c r="J1359" s="87" t="s">
        <v>210</v>
      </c>
      <c r="K1359" s="87" t="s">
        <v>210</v>
      </c>
      <c r="L1359" s="87">
        <v>3</v>
      </c>
      <c r="M1359" s="87">
        <v>-6</v>
      </c>
      <c r="N1359" s="87" t="s">
        <v>210</v>
      </c>
      <c r="O1359" s="87">
        <v>-2</v>
      </c>
      <c r="P1359" s="87" t="s">
        <v>210</v>
      </c>
      <c r="Q1359" s="87" t="s">
        <v>210</v>
      </c>
      <c r="R1359" s="87">
        <v>4</v>
      </c>
      <c r="S1359" s="87">
        <v>1</v>
      </c>
      <c r="T1359" s="87" t="s">
        <v>210</v>
      </c>
      <c r="U1359" s="87" t="s">
        <v>210</v>
      </c>
      <c r="V1359" s="87">
        <v>-3</v>
      </c>
      <c r="W1359" s="87">
        <v>5</v>
      </c>
      <c r="X1359" s="87" t="s">
        <v>210</v>
      </c>
      <c r="Y1359" s="87" t="s">
        <v>210</v>
      </c>
      <c r="Z1359" s="87" t="s">
        <v>202</v>
      </c>
    </row>
    <row r="1360" spans="1:26">
      <c r="A1360" s="374" t="str">
        <f t="shared" si="69"/>
        <v/>
      </c>
      <c r="B1360" s="87">
        <v>11</v>
      </c>
      <c r="C1360" s="87" t="s">
        <v>210</v>
      </c>
      <c r="D1360" s="87">
        <v>2</v>
      </c>
      <c r="E1360" s="87">
        <v>-1</v>
      </c>
      <c r="F1360" s="87" t="s">
        <v>210</v>
      </c>
      <c r="G1360" s="87" t="s">
        <v>210</v>
      </c>
      <c r="H1360" s="87">
        <v>3</v>
      </c>
      <c r="I1360" s="87">
        <v>4</v>
      </c>
      <c r="J1360" s="87" t="s">
        <v>210</v>
      </c>
      <c r="K1360" s="87" t="s">
        <v>210</v>
      </c>
      <c r="L1360" s="87">
        <v>6</v>
      </c>
      <c r="M1360" s="87">
        <v>-5</v>
      </c>
      <c r="N1360" s="87" t="s">
        <v>210</v>
      </c>
      <c r="O1360" s="87">
        <v>1</v>
      </c>
      <c r="P1360" s="87" t="s">
        <v>210</v>
      </c>
      <c r="Q1360" s="87" t="s">
        <v>210</v>
      </c>
      <c r="R1360" s="87">
        <v>-2</v>
      </c>
      <c r="S1360" s="87">
        <v>-3</v>
      </c>
      <c r="T1360" s="87" t="s">
        <v>210</v>
      </c>
      <c r="U1360" s="87" t="s">
        <v>210</v>
      </c>
      <c r="V1360" s="87" t="s">
        <v>202</v>
      </c>
      <c r="W1360" s="87">
        <v>-4</v>
      </c>
      <c r="X1360" s="87" t="s">
        <v>210</v>
      </c>
      <c r="Y1360" s="87" t="s">
        <v>210</v>
      </c>
      <c r="Z1360" s="87">
        <v>2</v>
      </c>
    </row>
    <row r="1361" spans="1:26">
      <c r="A1361" s="374" t="str">
        <f t="shared" si="69"/>
        <v/>
      </c>
      <c r="B1361" s="87">
        <v>12</v>
      </c>
      <c r="C1361" s="87" t="s">
        <v>210</v>
      </c>
      <c r="D1361" s="87">
        <v>-6</v>
      </c>
      <c r="E1361" s="87">
        <v>-4</v>
      </c>
      <c r="F1361" s="87" t="s">
        <v>210</v>
      </c>
      <c r="G1361" s="87" t="s">
        <v>210</v>
      </c>
      <c r="H1361" s="87">
        <v>1</v>
      </c>
      <c r="I1361" s="87">
        <v>2</v>
      </c>
      <c r="J1361" s="87" t="s">
        <v>210</v>
      </c>
      <c r="K1361" s="87" t="s">
        <v>210</v>
      </c>
      <c r="L1361" s="87">
        <v>-5</v>
      </c>
      <c r="M1361" s="87">
        <v>-3</v>
      </c>
      <c r="N1361" s="87" t="s">
        <v>210</v>
      </c>
      <c r="O1361" s="87">
        <v>4</v>
      </c>
      <c r="P1361" s="87" t="s">
        <v>210</v>
      </c>
      <c r="Q1361" s="87" t="s">
        <v>210</v>
      </c>
      <c r="R1361" s="87" t="s">
        <v>202</v>
      </c>
      <c r="S1361" s="87">
        <v>5</v>
      </c>
      <c r="T1361" s="87" t="s">
        <v>210</v>
      </c>
      <c r="U1361" s="87" t="s">
        <v>210</v>
      </c>
      <c r="V1361" s="87">
        <v>6</v>
      </c>
      <c r="W1361" s="87">
        <v>-2</v>
      </c>
      <c r="X1361" s="87" t="s">
        <v>210</v>
      </c>
      <c r="Y1361" s="87" t="s">
        <v>210</v>
      </c>
      <c r="Z1361" s="87">
        <v>-4</v>
      </c>
    </row>
    <row r="1362" spans="1:26">
      <c r="A1362" s="374" t="str">
        <f t="shared" si="69"/>
        <v/>
      </c>
      <c r="B1362" s="87">
        <v>13</v>
      </c>
      <c r="C1362" s="87" t="s">
        <v>210</v>
      </c>
      <c r="D1362" s="87">
        <v>6</v>
      </c>
      <c r="E1362" s="87">
        <v>-2</v>
      </c>
      <c r="F1362" s="87" t="s">
        <v>210</v>
      </c>
      <c r="G1362" s="87" t="s">
        <v>210</v>
      </c>
      <c r="H1362" s="87">
        <v>5</v>
      </c>
      <c r="I1362" s="87">
        <v>-3</v>
      </c>
      <c r="J1362" s="87" t="s">
        <v>210</v>
      </c>
      <c r="K1362" s="87" t="s">
        <v>210</v>
      </c>
      <c r="L1362" s="87">
        <v>-6</v>
      </c>
      <c r="M1362" s="87">
        <v>4</v>
      </c>
      <c r="N1362" s="87" t="s">
        <v>210</v>
      </c>
      <c r="O1362" s="87" t="s">
        <v>210</v>
      </c>
      <c r="P1362" s="87">
        <v>1</v>
      </c>
      <c r="Q1362" s="87">
        <v>3</v>
      </c>
      <c r="R1362" s="87" t="s">
        <v>210</v>
      </c>
      <c r="S1362" s="87" t="s">
        <v>210</v>
      </c>
      <c r="T1362" s="87">
        <v>-4</v>
      </c>
      <c r="U1362" s="87">
        <v>2</v>
      </c>
      <c r="V1362" s="87" t="s">
        <v>210</v>
      </c>
      <c r="W1362" s="87" t="s">
        <v>210</v>
      </c>
      <c r="X1362" s="87">
        <v>-5</v>
      </c>
      <c r="Y1362" s="87">
        <v>-1</v>
      </c>
      <c r="Z1362" s="87" t="s">
        <v>210</v>
      </c>
    </row>
    <row r="1363" spans="1:26">
      <c r="A1363" s="374" t="str">
        <f t="shared" si="69"/>
        <v/>
      </c>
      <c r="B1363" s="87">
        <v>14</v>
      </c>
      <c r="C1363" s="87" t="s">
        <v>210</v>
      </c>
      <c r="D1363" s="87">
        <v>-4</v>
      </c>
      <c r="E1363" s="87">
        <v>6</v>
      </c>
      <c r="F1363" s="87" t="s">
        <v>210</v>
      </c>
      <c r="G1363" s="87" t="s">
        <v>210</v>
      </c>
      <c r="H1363" s="87">
        <v>-3</v>
      </c>
      <c r="I1363" s="87">
        <v>1</v>
      </c>
      <c r="J1363" s="87" t="s">
        <v>210</v>
      </c>
      <c r="K1363" s="87" t="s">
        <v>210</v>
      </c>
      <c r="L1363" s="87">
        <v>5</v>
      </c>
      <c r="M1363" s="87">
        <v>-2</v>
      </c>
      <c r="N1363" s="87" t="s">
        <v>210</v>
      </c>
      <c r="O1363" s="87" t="s">
        <v>210</v>
      </c>
      <c r="P1363" s="87">
        <v>4</v>
      </c>
      <c r="Q1363" s="87">
        <v>-6</v>
      </c>
      <c r="R1363" s="87" t="s">
        <v>210</v>
      </c>
      <c r="S1363" s="87" t="s">
        <v>210</v>
      </c>
      <c r="T1363" s="87">
        <v>3</v>
      </c>
      <c r="U1363" s="87">
        <v>-1</v>
      </c>
      <c r="V1363" s="87" t="s">
        <v>210</v>
      </c>
      <c r="W1363" s="87" t="s">
        <v>210</v>
      </c>
      <c r="X1363" s="87">
        <v>2</v>
      </c>
      <c r="Y1363" s="87">
        <v>-5</v>
      </c>
      <c r="Z1363" s="87" t="s">
        <v>210</v>
      </c>
    </row>
    <row r="1364" spans="1:26">
      <c r="A1364" s="374" t="str">
        <f t="shared" si="69"/>
        <v/>
      </c>
      <c r="B1364" s="87">
        <v>15</v>
      </c>
      <c r="C1364" s="87">
        <v>5</v>
      </c>
      <c r="D1364" s="87" t="s">
        <v>210</v>
      </c>
      <c r="E1364" s="87" t="s">
        <v>210</v>
      </c>
      <c r="F1364" s="87">
        <v>-4</v>
      </c>
      <c r="G1364" s="87">
        <v>-2</v>
      </c>
      <c r="H1364" s="87" t="s">
        <v>210</v>
      </c>
      <c r="I1364" s="87" t="s">
        <v>210</v>
      </c>
      <c r="J1364" s="87">
        <v>1</v>
      </c>
      <c r="K1364" s="87">
        <v>-3</v>
      </c>
      <c r="L1364" s="87" t="s">
        <v>210</v>
      </c>
      <c r="M1364" s="87" t="s">
        <v>210</v>
      </c>
      <c r="N1364" s="87">
        <v>4</v>
      </c>
      <c r="O1364" s="87">
        <v>2</v>
      </c>
      <c r="P1364" s="87" t="s">
        <v>210</v>
      </c>
      <c r="Q1364" s="87" t="s">
        <v>210</v>
      </c>
      <c r="R1364" s="87">
        <v>3</v>
      </c>
      <c r="S1364" s="87">
        <v>-5</v>
      </c>
      <c r="T1364" s="87" t="s">
        <v>210</v>
      </c>
      <c r="U1364" s="87" t="s">
        <v>210</v>
      </c>
      <c r="V1364" s="87">
        <v>4</v>
      </c>
      <c r="W1364" s="87">
        <v>-6</v>
      </c>
      <c r="X1364" s="87" t="s">
        <v>210</v>
      </c>
      <c r="Y1364" s="87" t="s">
        <v>210</v>
      </c>
      <c r="Z1364" s="87">
        <v>-2</v>
      </c>
    </row>
    <row r="1365" spans="1:26">
      <c r="A1365" s="374" t="str">
        <f t="shared" si="69"/>
        <v/>
      </c>
      <c r="B1365" s="87">
        <v>16</v>
      </c>
      <c r="C1365" s="87">
        <v>-2</v>
      </c>
      <c r="D1365" s="87" t="s">
        <v>210</v>
      </c>
      <c r="E1365" s="87" t="s">
        <v>210</v>
      </c>
      <c r="F1365" s="87">
        <v>-3</v>
      </c>
      <c r="G1365" s="87">
        <v>-5</v>
      </c>
      <c r="H1365" s="87" t="s">
        <v>210</v>
      </c>
      <c r="I1365" s="87" t="s">
        <v>210</v>
      </c>
      <c r="J1365" s="87">
        <v>4</v>
      </c>
      <c r="K1365" s="87">
        <v>2</v>
      </c>
      <c r="L1365" s="87" t="s">
        <v>210</v>
      </c>
      <c r="M1365" s="87" t="s">
        <v>210</v>
      </c>
      <c r="N1365" s="87">
        <v>-1</v>
      </c>
      <c r="O1365" s="87">
        <v>5</v>
      </c>
      <c r="P1365" s="87" t="s">
        <v>210</v>
      </c>
      <c r="Q1365" s="87" t="s">
        <v>210</v>
      </c>
      <c r="R1365" s="87">
        <v>-4</v>
      </c>
      <c r="S1365" s="87">
        <v>2</v>
      </c>
      <c r="T1365" s="87" t="s">
        <v>210</v>
      </c>
      <c r="U1365" s="87" t="s">
        <v>210</v>
      </c>
      <c r="V1365" s="87">
        <v>-6</v>
      </c>
      <c r="W1365" s="87">
        <v>4</v>
      </c>
      <c r="X1365" s="87" t="s">
        <v>210</v>
      </c>
      <c r="Y1365" s="87" t="s">
        <v>210</v>
      </c>
      <c r="Z1365" s="87">
        <v>3</v>
      </c>
    </row>
    <row r="1366" spans="1:26">
      <c r="A1366" s="374" t="str">
        <f t="shared" si="69"/>
        <v/>
      </c>
      <c r="B1366" s="87">
        <v>17</v>
      </c>
      <c r="C1366" s="87">
        <v>3</v>
      </c>
      <c r="D1366" s="87" t="s">
        <v>210</v>
      </c>
      <c r="E1366" s="87" t="s">
        <v>210</v>
      </c>
      <c r="F1366" s="87">
        <v>-2</v>
      </c>
      <c r="G1366" s="87">
        <v>6</v>
      </c>
      <c r="H1366" s="87" t="s">
        <v>210</v>
      </c>
      <c r="I1366" s="87" t="s">
        <v>210</v>
      </c>
      <c r="J1366" s="87">
        <v>-5</v>
      </c>
      <c r="K1366" s="87">
        <v>4</v>
      </c>
      <c r="L1366" s="87" t="s">
        <v>210</v>
      </c>
      <c r="M1366" s="87" t="s">
        <v>210</v>
      </c>
      <c r="N1366" s="87">
        <v>-3</v>
      </c>
      <c r="O1366" s="87">
        <v>-1</v>
      </c>
      <c r="P1366" s="87" t="s">
        <v>210</v>
      </c>
      <c r="Q1366" s="87" t="s">
        <v>210</v>
      </c>
      <c r="R1366" s="87">
        <v>5</v>
      </c>
      <c r="S1366" s="87">
        <v>-4</v>
      </c>
      <c r="T1366" s="87" t="s">
        <v>210</v>
      </c>
      <c r="U1366" s="87" t="s">
        <v>210</v>
      </c>
      <c r="V1366" s="87">
        <v>3</v>
      </c>
      <c r="W1366" s="87">
        <v>2</v>
      </c>
      <c r="X1366" s="87" t="s">
        <v>210</v>
      </c>
      <c r="Y1366" s="87" t="s">
        <v>210</v>
      </c>
      <c r="Z1366" s="87">
        <v>-5</v>
      </c>
    </row>
    <row r="1367" spans="1:26">
      <c r="A1367" s="374" t="str">
        <f t="shared" si="69"/>
        <v/>
      </c>
      <c r="B1367" s="87">
        <v>18</v>
      </c>
      <c r="C1367" s="87">
        <v>6</v>
      </c>
      <c r="D1367" s="87" t="s">
        <v>210</v>
      </c>
      <c r="E1367" s="87" t="s">
        <v>210</v>
      </c>
      <c r="F1367" s="87">
        <v>5</v>
      </c>
      <c r="G1367" s="87">
        <v>-4</v>
      </c>
      <c r="H1367" s="87" t="s">
        <v>210</v>
      </c>
      <c r="I1367" s="87" t="s">
        <v>210</v>
      </c>
      <c r="J1367" s="87">
        <v>-3</v>
      </c>
      <c r="K1367" s="87">
        <v>5</v>
      </c>
      <c r="L1367" s="87" t="s">
        <v>210</v>
      </c>
      <c r="M1367" s="87" t="s">
        <v>210</v>
      </c>
      <c r="N1367" s="87">
        <v>-2</v>
      </c>
      <c r="O1367" s="87">
        <v>-3</v>
      </c>
      <c r="P1367" s="87" t="s">
        <v>210</v>
      </c>
      <c r="Q1367" s="87" t="s">
        <v>210</v>
      </c>
      <c r="R1367" s="87">
        <v>2</v>
      </c>
      <c r="S1367" s="87">
        <v>-1</v>
      </c>
      <c r="T1367" s="87" t="s">
        <v>210</v>
      </c>
      <c r="U1367" s="87" t="s">
        <v>210</v>
      </c>
      <c r="V1367" s="87">
        <v>-5</v>
      </c>
      <c r="W1367" s="87">
        <v>3</v>
      </c>
      <c r="X1367" s="87" t="s">
        <v>210</v>
      </c>
      <c r="Y1367" s="87" t="s">
        <v>210</v>
      </c>
      <c r="Z1367" s="87">
        <v>4</v>
      </c>
    </row>
    <row r="1368" spans="1:26">
      <c r="A1368" s="374" t="str">
        <f t="shared" si="69"/>
        <v/>
      </c>
      <c r="B1368" s="87">
        <v>19</v>
      </c>
      <c r="C1368" s="87" t="s">
        <v>210</v>
      </c>
      <c r="D1368" s="87">
        <v>5</v>
      </c>
      <c r="E1368" s="87">
        <v>1</v>
      </c>
      <c r="F1368" s="87" t="s">
        <v>210</v>
      </c>
      <c r="G1368" s="87" t="s">
        <v>210</v>
      </c>
      <c r="H1368" s="87">
        <v>-2</v>
      </c>
      <c r="I1368" s="87">
        <v>6</v>
      </c>
      <c r="J1368" s="87" t="s">
        <v>210</v>
      </c>
      <c r="K1368" s="87" t="s">
        <v>210</v>
      </c>
      <c r="L1368" s="87">
        <v>4</v>
      </c>
      <c r="M1368" s="87">
        <v>3</v>
      </c>
      <c r="N1368" s="87" t="s">
        <v>210</v>
      </c>
      <c r="O1368" s="87" t="s">
        <v>210</v>
      </c>
      <c r="P1368" s="87">
        <v>-5</v>
      </c>
      <c r="Q1368" s="87">
        <v>-1</v>
      </c>
      <c r="R1368" s="87" t="s">
        <v>210</v>
      </c>
      <c r="S1368" s="87" t="s">
        <v>210</v>
      </c>
      <c r="T1368" s="87">
        <v>2</v>
      </c>
      <c r="U1368" s="87">
        <v>-6</v>
      </c>
      <c r="V1368" s="87" t="s">
        <v>210</v>
      </c>
      <c r="W1368" s="87" t="s">
        <v>210</v>
      </c>
      <c r="X1368" s="87">
        <v>-3</v>
      </c>
      <c r="Y1368" s="87">
        <v>-4</v>
      </c>
      <c r="Z1368" s="87" t="s">
        <v>210</v>
      </c>
    </row>
    <row r="1369" spans="1:26">
      <c r="A1369" s="374" t="str">
        <f t="shared" si="69"/>
        <v/>
      </c>
      <c r="B1369" s="87">
        <v>20</v>
      </c>
      <c r="C1369" s="87" t="s">
        <v>210</v>
      </c>
      <c r="D1369" s="87">
        <v>1</v>
      </c>
      <c r="E1369" s="87">
        <v>-3</v>
      </c>
      <c r="F1369" s="87" t="s">
        <v>210</v>
      </c>
      <c r="G1369" s="87" t="s">
        <v>210</v>
      </c>
      <c r="H1369" s="87">
        <v>4</v>
      </c>
      <c r="I1369" s="87">
        <v>-2</v>
      </c>
      <c r="J1369" s="87" t="s">
        <v>210</v>
      </c>
      <c r="K1369" s="87" t="s">
        <v>210</v>
      </c>
      <c r="L1369" s="87">
        <v>-1</v>
      </c>
      <c r="M1369" s="87">
        <v>5</v>
      </c>
      <c r="N1369" s="87" t="s">
        <v>210</v>
      </c>
      <c r="O1369" s="87" t="s">
        <v>210</v>
      </c>
      <c r="P1369" s="87">
        <v>6</v>
      </c>
      <c r="Q1369" s="87">
        <v>2</v>
      </c>
      <c r="R1369" s="87" t="s">
        <v>210</v>
      </c>
      <c r="S1369" s="87" t="s">
        <v>210</v>
      </c>
      <c r="T1369" s="87">
        <v>-5</v>
      </c>
      <c r="U1369" s="87">
        <v>3</v>
      </c>
      <c r="V1369" s="87" t="s">
        <v>210</v>
      </c>
      <c r="W1369" s="87" t="s">
        <v>210</v>
      </c>
      <c r="X1369" s="87">
        <v>-4</v>
      </c>
      <c r="Y1369" s="87">
        <v>-6</v>
      </c>
      <c r="Z1369" s="87" t="s">
        <v>210</v>
      </c>
    </row>
    <row r="1370" spans="1:26">
      <c r="A1370" s="374" t="str">
        <f t="shared" si="69"/>
        <v/>
      </c>
      <c r="B1370" s="87">
        <v>21</v>
      </c>
      <c r="C1370" s="87" t="s">
        <v>210</v>
      </c>
      <c r="D1370" s="87">
        <v>-2</v>
      </c>
      <c r="E1370" s="87">
        <v>4</v>
      </c>
      <c r="F1370" s="87" t="s">
        <v>210</v>
      </c>
      <c r="G1370" s="87" t="s">
        <v>210</v>
      </c>
      <c r="H1370" s="87">
        <v>6</v>
      </c>
      <c r="I1370" s="87">
        <v>-5</v>
      </c>
      <c r="J1370" s="87" t="s">
        <v>210</v>
      </c>
      <c r="K1370" s="87" t="s">
        <v>210</v>
      </c>
      <c r="L1370" s="87">
        <v>-3</v>
      </c>
      <c r="M1370" s="87">
        <v>1</v>
      </c>
      <c r="N1370" s="87" t="s">
        <v>210</v>
      </c>
      <c r="O1370" s="87" t="s">
        <v>210</v>
      </c>
      <c r="P1370" s="87">
        <v>2</v>
      </c>
      <c r="Q1370" s="87">
        <v>-4</v>
      </c>
      <c r="R1370" s="87" t="s">
        <v>210</v>
      </c>
      <c r="S1370" s="87" t="s">
        <v>210</v>
      </c>
      <c r="T1370" s="87">
        <v>-6</v>
      </c>
      <c r="U1370" s="87">
        <v>5</v>
      </c>
      <c r="V1370" s="87" t="s">
        <v>210</v>
      </c>
      <c r="W1370" s="87" t="s">
        <v>210</v>
      </c>
      <c r="X1370" s="87">
        <v>-1</v>
      </c>
      <c r="Y1370" s="87">
        <v>3</v>
      </c>
      <c r="Z1370" s="87" t="s">
        <v>210</v>
      </c>
    </row>
    <row r="1371" spans="1:26">
      <c r="A1371" s="374" t="str">
        <f t="shared" si="69"/>
        <v/>
      </c>
      <c r="B1371" s="87">
        <v>22</v>
      </c>
      <c r="C1371" s="87" t="s">
        <v>210</v>
      </c>
      <c r="D1371" s="87">
        <v>3</v>
      </c>
      <c r="E1371" s="87">
        <v>5</v>
      </c>
      <c r="F1371" s="87" t="s">
        <v>210</v>
      </c>
      <c r="G1371" s="87" t="s">
        <v>210</v>
      </c>
      <c r="H1371" s="87">
        <v>-1</v>
      </c>
      <c r="I1371" s="87">
        <v>-4</v>
      </c>
      <c r="J1371" s="87" t="s">
        <v>210</v>
      </c>
      <c r="K1371" s="87" t="s">
        <v>210</v>
      </c>
      <c r="L1371" s="87">
        <v>-2</v>
      </c>
      <c r="M1371" s="87">
        <v>6</v>
      </c>
      <c r="N1371" s="87" t="s">
        <v>210</v>
      </c>
      <c r="O1371" s="87" t="s">
        <v>210</v>
      </c>
      <c r="P1371" s="87">
        <v>-3</v>
      </c>
      <c r="Q1371" s="87">
        <v>-5</v>
      </c>
      <c r="R1371" s="87" t="s">
        <v>210</v>
      </c>
      <c r="S1371" s="87" t="s">
        <v>210</v>
      </c>
      <c r="T1371" s="87">
        <v>1</v>
      </c>
      <c r="U1371" s="87">
        <v>4</v>
      </c>
      <c r="V1371" s="87" t="s">
        <v>210</v>
      </c>
      <c r="W1371" s="87" t="s">
        <v>210</v>
      </c>
      <c r="X1371" s="87">
        <v>-6</v>
      </c>
      <c r="Y1371" s="87">
        <v>2</v>
      </c>
      <c r="Z1371" s="87" t="s">
        <v>210</v>
      </c>
    </row>
    <row r="1372" spans="1:26">
      <c r="A1372" s="374" t="str">
        <f t="shared" si="69"/>
        <v/>
      </c>
      <c r="B1372" s="87">
        <v>23</v>
      </c>
      <c r="C1372" s="87">
        <v>4</v>
      </c>
      <c r="D1372" s="87" t="s">
        <v>210</v>
      </c>
      <c r="E1372" s="87" t="s">
        <v>210</v>
      </c>
      <c r="F1372" s="87">
        <v>1</v>
      </c>
      <c r="G1372" s="87">
        <v>-3</v>
      </c>
      <c r="H1372" s="87" t="s">
        <v>210</v>
      </c>
      <c r="I1372" s="87" t="s">
        <v>210</v>
      </c>
      <c r="J1372" s="87">
        <v>-2</v>
      </c>
      <c r="K1372" s="87">
        <v>6</v>
      </c>
      <c r="L1372" s="87" t="s">
        <v>210</v>
      </c>
      <c r="M1372" s="87" t="s">
        <v>210</v>
      </c>
      <c r="N1372" s="87">
        <v>5</v>
      </c>
      <c r="O1372" s="87">
        <v>-4</v>
      </c>
      <c r="P1372" s="87" t="s">
        <v>210</v>
      </c>
      <c r="Q1372" s="87" t="s">
        <v>210</v>
      </c>
      <c r="R1372" s="87">
        <v>-6</v>
      </c>
      <c r="S1372" s="87">
        <v>3</v>
      </c>
      <c r="T1372" s="87" t="s">
        <v>210</v>
      </c>
      <c r="U1372" s="87" t="s">
        <v>210</v>
      </c>
      <c r="V1372" s="87">
        <v>2</v>
      </c>
      <c r="W1372" s="87">
        <v>-5</v>
      </c>
      <c r="X1372" s="87" t="s">
        <v>210</v>
      </c>
      <c r="Y1372" s="87" t="s">
        <v>210</v>
      </c>
      <c r="Z1372" s="87">
        <v>-1</v>
      </c>
    </row>
    <row r="1373" spans="1:26">
      <c r="A1373" s="374" t="str">
        <f t="shared" si="69"/>
        <v/>
      </c>
      <c r="B1373" s="318" t="s">
        <v>911</v>
      </c>
    </row>
    <row r="1374" spans="1:26">
      <c r="A1374" s="374">
        <f t="shared" si="69"/>
        <v>1374</v>
      </c>
      <c r="B1374" s="87" t="s">
        <v>1012</v>
      </c>
    </row>
    <row r="1375" spans="1:26">
      <c r="A1375" s="374" t="str">
        <f t="shared" si="69"/>
        <v/>
      </c>
      <c r="B1375" s="87">
        <v>1</v>
      </c>
      <c r="C1375" s="87" t="s">
        <v>210</v>
      </c>
      <c r="D1375" s="87" t="s">
        <v>210</v>
      </c>
      <c r="E1375" s="87">
        <v>5</v>
      </c>
      <c r="F1375" s="87" t="s">
        <v>210</v>
      </c>
      <c r="G1375" s="87" t="s">
        <v>210</v>
      </c>
      <c r="H1375" s="87">
        <v>-6</v>
      </c>
      <c r="I1375" s="87">
        <v>-4</v>
      </c>
      <c r="J1375" s="87" t="s">
        <v>210</v>
      </c>
      <c r="K1375" s="87" t="s">
        <v>210</v>
      </c>
      <c r="L1375" s="87">
        <v>2</v>
      </c>
      <c r="M1375" s="87">
        <v>3</v>
      </c>
    </row>
    <row r="1376" spans="1:26">
      <c r="A1376" s="374" t="str">
        <f t="shared" si="69"/>
        <v/>
      </c>
      <c r="B1376" s="87">
        <v>2</v>
      </c>
      <c r="C1376" s="87" t="s">
        <v>210</v>
      </c>
      <c r="D1376" s="87">
        <v>-1</v>
      </c>
      <c r="E1376" s="87">
        <v>-2</v>
      </c>
      <c r="F1376" s="87" t="s">
        <v>210</v>
      </c>
      <c r="G1376" s="87" t="s">
        <v>210</v>
      </c>
      <c r="H1376" s="87">
        <v>5</v>
      </c>
      <c r="I1376" s="87" t="s">
        <v>210</v>
      </c>
      <c r="J1376" s="87" t="s">
        <v>210</v>
      </c>
      <c r="K1376" s="87" t="s">
        <v>210</v>
      </c>
      <c r="L1376" s="87">
        <v>4</v>
      </c>
      <c r="M1376" s="87">
        <v>-3</v>
      </c>
    </row>
    <row r="1377" spans="1:13">
      <c r="A1377" s="374" t="str">
        <f t="shared" si="69"/>
        <v/>
      </c>
      <c r="B1377" s="87">
        <v>3</v>
      </c>
      <c r="C1377" s="87" t="s">
        <v>210</v>
      </c>
      <c r="D1377" s="87" t="s">
        <v>210</v>
      </c>
      <c r="E1377" s="87">
        <v>-5</v>
      </c>
      <c r="F1377" s="87" t="s">
        <v>210</v>
      </c>
      <c r="G1377" s="87" t="s">
        <v>210</v>
      </c>
      <c r="H1377" s="87">
        <v>3</v>
      </c>
      <c r="I1377" s="87">
        <v>-1</v>
      </c>
      <c r="J1377" s="87" t="s">
        <v>210</v>
      </c>
      <c r="K1377" s="87" t="s">
        <v>210</v>
      </c>
      <c r="L1377" s="87">
        <v>-4</v>
      </c>
      <c r="M1377" s="87">
        <v>2</v>
      </c>
    </row>
    <row r="1378" spans="1:13">
      <c r="A1378" s="374" t="str">
        <f t="shared" si="69"/>
        <v/>
      </c>
      <c r="B1378" s="87">
        <v>4</v>
      </c>
      <c r="C1378" s="87" t="s">
        <v>210</v>
      </c>
      <c r="D1378" s="87">
        <v>1</v>
      </c>
      <c r="E1378" s="87">
        <v>-3</v>
      </c>
      <c r="F1378" s="87" t="s">
        <v>210</v>
      </c>
      <c r="G1378" s="87" t="s">
        <v>210</v>
      </c>
      <c r="H1378" s="87">
        <v>6</v>
      </c>
      <c r="I1378" s="87" t="s">
        <v>210</v>
      </c>
      <c r="J1378" s="87" t="s">
        <v>210</v>
      </c>
      <c r="K1378" s="87" t="s">
        <v>210</v>
      </c>
      <c r="L1378" s="87">
        <v>5</v>
      </c>
      <c r="M1378" s="87">
        <v>-2</v>
      </c>
    </row>
    <row r="1379" spans="1:13">
      <c r="A1379" s="374" t="str">
        <f t="shared" si="69"/>
        <v/>
      </c>
      <c r="B1379" s="87">
        <v>5</v>
      </c>
      <c r="C1379" s="87" t="s">
        <v>210</v>
      </c>
      <c r="D1379" s="87">
        <v>-6</v>
      </c>
      <c r="E1379" s="87">
        <v>2</v>
      </c>
      <c r="F1379" s="87" t="s">
        <v>210</v>
      </c>
      <c r="G1379" s="87" t="s">
        <v>210</v>
      </c>
      <c r="H1379" s="87">
        <v>-3</v>
      </c>
      <c r="I1379" s="87">
        <v>4</v>
      </c>
      <c r="J1379" s="87" t="s">
        <v>210</v>
      </c>
      <c r="K1379" s="87" t="s">
        <v>210</v>
      </c>
      <c r="L1379" s="87">
        <v>-5</v>
      </c>
      <c r="M1379" s="87" t="s">
        <v>210</v>
      </c>
    </row>
    <row r="1380" spans="1:13">
      <c r="A1380" s="374" t="str">
        <f t="shared" si="69"/>
        <v/>
      </c>
      <c r="B1380" s="87">
        <v>6</v>
      </c>
      <c r="C1380" s="233" t="s">
        <v>210</v>
      </c>
      <c r="D1380" s="233">
        <v>6</v>
      </c>
      <c r="E1380" s="233">
        <v>3</v>
      </c>
      <c r="F1380" s="233" t="s">
        <v>210</v>
      </c>
      <c r="G1380" s="233" t="s">
        <v>210</v>
      </c>
      <c r="H1380" s="233">
        <v>-5</v>
      </c>
      <c r="I1380" s="233">
        <v>1</v>
      </c>
      <c r="J1380" s="233" t="s">
        <v>210</v>
      </c>
      <c r="K1380" s="233" t="s">
        <v>210</v>
      </c>
      <c r="L1380" s="233">
        <v>-2</v>
      </c>
      <c r="M1380" s="233" t="s">
        <v>210</v>
      </c>
    </row>
    <row r="1381" spans="1:13">
      <c r="A1381" s="374" t="str">
        <f t="shared" si="69"/>
        <v/>
      </c>
      <c r="B1381" s="87">
        <v>7</v>
      </c>
      <c r="C1381" s="87">
        <v>-1</v>
      </c>
      <c r="D1381" s="87" t="s">
        <v>210</v>
      </c>
      <c r="E1381" s="87" t="s">
        <v>210</v>
      </c>
      <c r="F1381" s="87">
        <v>5</v>
      </c>
      <c r="G1381" s="87">
        <v>2</v>
      </c>
      <c r="H1381" s="87" t="s">
        <v>210</v>
      </c>
      <c r="I1381" s="87" t="s">
        <v>210</v>
      </c>
      <c r="J1381" s="87">
        <v>-3</v>
      </c>
      <c r="K1381" s="87">
        <v>-4</v>
      </c>
      <c r="L1381" s="87" t="s">
        <v>210</v>
      </c>
      <c r="M1381" s="87" t="s">
        <v>210</v>
      </c>
    </row>
    <row r="1382" spans="1:13">
      <c r="A1382" s="374" t="str">
        <f t="shared" si="69"/>
        <v/>
      </c>
      <c r="B1382" s="87">
        <v>8</v>
      </c>
      <c r="C1382" s="87">
        <v>-4</v>
      </c>
      <c r="D1382" s="87" t="s">
        <v>210</v>
      </c>
      <c r="E1382" s="87" t="s">
        <v>210</v>
      </c>
      <c r="F1382" s="87">
        <v>6</v>
      </c>
      <c r="G1382" s="87">
        <v>-3</v>
      </c>
      <c r="H1382" s="87" t="s">
        <v>210</v>
      </c>
      <c r="I1382" s="87" t="s">
        <v>210</v>
      </c>
      <c r="J1382" s="87">
        <v>-5</v>
      </c>
      <c r="K1382" s="87">
        <v>4</v>
      </c>
      <c r="L1382" s="87" t="s">
        <v>210</v>
      </c>
      <c r="M1382" s="87" t="s">
        <v>210</v>
      </c>
    </row>
    <row r="1383" spans="1:13">
      <c r="A1383" s="374" t="str">
        <f t="shared" si="69"/>
        <v/>
      </c>
      <c r="B1383" s="87">
        <v>9</v>
      </c>
      <c r="C1383" s="87">
        <v>1</v>
      </c>
      <c r="D1383" s="87" t="s">
        <v>210</v>
      </c>
      <c r="E1383" s="87" t="s">
        <v>210</v>
      </c>
      <c r="F1383" s="87">
        <v>-2</v>
      </c>
      <c r="G1383" s="87">
        <v>-4</v>
      </c>
      <c r="H1383" s="87" t="s">
        <v>210</v>
      </c>
      <c r="I1383" s="87" t="s">
        <v>210</v>
      </c>
      <c r="J1383" s="87">
        <v>5</v>
      </c>
      <c r="K1383" s="87">
        <v>6</v>
      </c>
      <c r="L1383" s="87" t="s">
        <v>210</v>
      </c>
      <c r="M1383" s="87" t="s">
        <v>210</v>
      </c>
    </row>
    <row r="1384" spans="1:13">
      <c r="A1384" s="374" t="str">
        <f t="shared" si="69"/>
        <v/>
      </c>
      <c r="B1384" s="87">
        <v>10</v>
      </c>
      <c r="C1384" s="87">
        <v>2</v>
      </c>
      <c r="D1384" s="87" t="s">
        <v>210</v>
      </c>
      <c r="E1384" s="87" t="s">
        <v>210</v>
      </c>
      <c r="F1384" s="87">
        <v>-5</v>
      </c>
      <c r="G1384" s="87">
        <v>3</v>
      </c>
      <c r="H1384" s="87" t="s">
        <v>210</v>
      </c>
      <c r="I1384" s="87" t="s">
        <v>210</v>
      </c>
      <c r="J1384" s="87">
        <v>-1</v>
      </c>
      <c r="K1384" s="87">
        <v>-6</v>
      </c>
      <c r="L1384" s="87" t="s">
        <v>210</v>
      </c>
      <c r="M1384" s="87" t="s">
        <v>210</v>
      </c>
    </row>
    <row r="1385" spans="1:13">
      <c r="A1385" s="374" t="str">
        <f t="shared" si="69"/>
        <v/>
      </c>
      <c r="B1385" s="87">
        <v>11</v>
      </c>
      <c r="C1385" s="233">
        <v>-2</v>
      </c>
      <c r="D1385" s="233" t="s">
        <v>210</v>
      </c>
      <c r="E1385" s="233" t="s">
        <v>210</v>
      </c>
      <c r="F1385" s="233">
        <v>-6</v>
      </c>
      <c r="G1385" s="233">
        <v>4</v>
      </c>
      <c r="H1385" s="233" t="s">
        <v>210</v>
      </c>
      <c r="I1385" s="233" t="s">
        <v>210</v>
      </c>
      <c r="J1385" s="233">
        <v>3</v>
      </c>
      <c r="K1385" s="233" t="s">
        <v>210</v>
      </c>
      <c r="L1385" s="233" t="s">
        <v>210</v>
      </c>
      <c r="M1385" s="233">
        <v>-5</v>
      </c>
    </row>
    <row r="1386" spans="1:13">
      <c r="A1386" s="374" t="str">
        <f t="shared" si="69"/>
        <v/>
      </c>
      <c r="B1386" s="87">
        <v>12</v>
      </c>
      <c r="C1386" s="87">
        <v>5</v>
      </c>
      <c r="D1386" s="87" t="s">
        <v>210</v>
      </c>
      <c r="E1386" s="87" t="s">
        <v>210</v>
      </c>
      <c r="F1386" s="87">
        <v>4</v>
      </c>
      <c r="G1386" s="87">
        <v>-2</v>
      </c>
      <c r="H1386" s="87" t="s">
        <v>210</v>
      </c>
      <c r="I1386" s="87" t="s">
        <v>210</v>
      </c>
      <c r="J1386" s="87">
        <v>6</v>
      </c>
      <c r="K1386" s="87">
        <v>-1</v>
      </c>
      <c r="L1386" s="87" t="s">
        <v>210</v>
      </c>
      <c r="M1386" s="87" t="s">
        <v>210</v>
      </c>
    </row>
    <row r="1387" spans="1:13">
      <c r="A1387" s="374" t="str">
        <f t="shared" si="69"/>
        <v/>
      </c>
      <c r="B1387" s="87">
        <v>13</v>
      </c>
      <c r="C1387" s="87">
        <v>4</v>
      </c>
      <c r="D1387" s="87" t="s">
        <v>210</v>
      </c>
      <c r="E1387" s="87" t="s">
        <v>210</v>
      </c>
      <c r="F1387" s="87" t="s">
        <v>210</v>
      </c>
      <c r="G1387" s="87" t="s">
        <v>210</v>
      </c>
      <c r="H1387" s="87">
        <v>-2</v>
      </c>
      <c r="I1387" s="87" t="s">
        <v>210</v>
      </c>
      <c r="J1387" s="87">
        <v>-6</v>
      </c>
      <c r="K1387" s="87">
        <v>3</v>
      </c>
      <c r="L1387" s="87" t="s">
        <v>210</v>
      </c>
      <c r="M1387" s="87">
        <v>1</v>
      </c>
    </row>
    <row r="1388" spans="1:13">
      <c r="A1388" s="374" t="str">
        <f t="shared" si="69"/>
        <v/>
      </c>
      <c r="B1388" s="87">
        <v>14</v>
      </c>
      <c r="C1388" s="87">
        <v>-5</v>
      </c>
      <c r="D1388" s="87" t="s">
        <v>210</v>
      </c>
      <c r="E1388" s="87" t="s">
        <v>210</v>
      </c>
      <c r="F1388" s="87">
        <v>2</v>
      </c>
      <c r="G1388" s="87">
        <v>-6</v>
      </c>
      <c r="H1388" s="87" t="s">
        <v>210</v>
      </c>
      <c r="I1388" s="87" t="s">
        <v>210</v>
      </c>
      <c r="J1388" s="87">
        <v>4</v>
      </c>
      <c r="K1388" s="87" t="s">
        <v>210</v>
      </c>
      <c r="L1388" s="87" t="s">
        <v>210</v>
      </c>
      <c r="M1388" s="87">
        <v>-1</v>
      </c>
    </row>
    <row r="1389" spans="1:13">
      <c r="A1389" s="374" t="str">
        <f t="shared" si="69"/>
        <v/>
      </c>
      <c r="B1389" s="87">
        <v>15</v>
      </c>
      <c r="C1389" s="87">
        <v>3</v>
      </c>
      <c r="D1389" s="87" t="s">
        <v>210</v>
      </c>
      <c r="E1389" s="87" t="s">
        <v>210</v>
      </c>
      <c r="F1389" s="87">
        <v>-4</v>
      </c>
      <c r="G1389" s="87">
        <v>6</v>
      </c>
      <c r="H1389" s="87" t="s">
        <v>210</v>
      </c>
      <c r="I1389" s="87" t="s">
        <v>210</v>
      </c>
      <c r="J1389" s="87">
        <v>1</v>
      </c>
      <c r="K1389" s="87">
        <v>-3</v>
      </c>
      <c r="L1389" s="87" t="s">
        <v>210</v>
      </c>
      <c r="M1389" s="87" t="s">
        <v>210</v>
      </c>
    </row>
    <row r="1390" spans="1:13">
      <c r="A1390" s="374" t="str">
        <f t="shared" si="69"/>
        <v/>
      </c>
      <c r="B1390" s="87">
        <v>16</v>
      </c>
      <c r="C1390" s="233">
        <v>-3</v>
      </c>
      <c r="D1390" s="233" t="s">
        <v>210</v>
      </c>
      <c r="E1390" s="233" t="s">
        <v>210</v>
      </c>
      <c r="F1390" s="233" t="s">
        <v>210</v>
      </c>
      <c r="G1390" s="233" t="s">
        <v>210</v>
      </c>
      <c r="H1390" s="233">
        <v>2</v>
      </c>
      <c r="I1390" s="233" t="s">
        <v>210</v>
      </c>
      <c r="J1390" s="233">
        <v>-4</v>
      </c>
      <c r="K1390" s="233">
        <v>1</v>
      </c>
      <c r="L1390" s="233" t="s">
        <v>210</v>
      </c>
      <c r="M1390" s="233">
        <v>5</v>
      </c>
    </row>
    <row r="1391" spans="1:13">
      <c r="A1391" s="374" t="str">
        <f t="shared" si="69"/>
        <v/>
      </c>
      <c r="B1391" s="87">
        <v>17</v>
      </c>
      <c r="C1391" s="87" t="s">
        <v>210</v>
      </c>
      <c r="D1391" s="87">
        <v>-3</v>
      </c>
      <c r="E1391" s="87" t="s">
        <v>210</v>
      </c>
      <c r="F1391" s="87">
        <v>1</v>
      </c>
      <c r="G1391" s="87" t="s">
        <v>210</v>
      </c>
      <c r="H1391" s="87" t="s">
        <v>210</v>
      </c>
      <c r="I1391" s="87">
        <v>6</v>
      </c>
      <c r="J1391" s="87" t="s">
        <v>210</v>
      </c>
      <c r="K1391" s="87">
        <v>-2</v>
      </c>
      <c r="L1391" s="87" t="s">
        <v>210</v>
      </c>
      <c r="M1391" s="87">
        <v>-4</v>
      </c>
    </row>
    <row r="1392" spans="1:13">
      <c r="A1392" s="374" t="str">
        <f t="shared" si="69"/>
        <v/>
      </c>
      <c r="B1392" s="87">
        <v>18</v>
      </c>
      <c r="C1392" s="87">
        <v>6</v>
      </c>
      <c r="D1392" s="87" t="s">
        <v>210</v>
      </c>
      <c r="E1392" s="87" t="s">
        <v>210</v>
      </c>
      <c r="F1392" s="87">
        <v>3</v>
      </c>
      <c r="G1392" s="87">
        <v>-5</v>
      </c>
      <c r="H1392" s="87" t="s">
        <v>210</v>
      </c>
      <c r="I1392" s="87" t="s">
        <v>210</v>
      </c>
      <c r="J1392" s="87">
        <v>-2</v>
      </c>
      <c r="K1392" s="87" t="s">
        <v>210</v>
      </c>
      <c r="L1392" s="87" t="s">
        <v>210</v>
      </c>
      <c r="M1392" s="87">
        <v>4</v>
      </c>
    </row>
    <row r="1393" spans="1:13">
      <c r="A1393" s="374" t="str">
        <f t="shared" si="69"/>
        <v/>
      </c>
      <c r="B1393" s="87">
        <v>19</v>
      </c>
      <c r="C1393" s="87" t="s">
        <v>210</v>
      </c>
      <c r="D1393" s="87">
        <v>4</v>
      </c>
      <c r="E1393" s="87" t="s">
        <v>210</v>
      </c>
      <c r="F1393" s="87">
        <v>-3</v>
      </c>
      <c r="G1393" s="87">
        <v>1</v>
      </c>
      <c r="H1393" s="87" t="s">
        <v>210</v>
      </c>
      <c r="I1393" s="87">
        <v>-6</v>
      </c>
      <c r="J1393" s="87" t="s">
        <v>210</v>
      </c>
      <c r="K1393" s="87">
        <v>5</v>
      </c>
      <c r="L1393" s="87" t="s">
        <v>210</v>
      </c>
      <c r="M1393" s="87" t="s">
        <v>210</v>
      </c>
    </row>
    <row r="1394" spans="1:13">
      <c r="A1394" s="374" t="str">
        <f t="shared" si="69"/>
        <v/>
      </c>
      <c r="B1394" s="87">
        <v>20</v>
      </c>
      <c r="C1394" s="87" t="s">
        <v>210</v>
      </c>
      <c r="D1394" s="87">
        <v>-4</v>
      </c>
      <c r="E1394" s="87" t="s">
        <v>210</v>
      </c>
      <c r="F1394" s="87">
        <v>-1</v>
      </c>
      <c r="G1394" s="87">
        <v>5</v>
      </c>
      <c r="H1394" s="87" t="s">
        <v>210</v>
      </c>
      <c r="I1394" s="87">
        <v>-2</v>
      </c>
      <c r="J1394" s="87" t="s">
        <v>210</v>
      </c>
      <c r="K1394" s="87" t="s">
        <v>210</v>
      </c>
      <c r="L1394" s="87" t="s">
        <v>210</v>
      </c>
      <c r="M1394" s="87">
        <v>6</v>
      </c>
    </row>
    <row r="1395" spans="1:13">
      <c r="A1395" s="374" t="str">
        <f t="shared" si="69"/>
        <v/>
      </c>
      <c r="B1395" s="87">
        <v>21</v>
      </c>
      <c r="C1395" s="233" t="s">
        <v>210</v>
      </c>
      <c r="D1395" s="233">
        <v>3</v>
      </c>
      <c r="E1395" s="233">
        <v>-1</v>
      </c>
      <c r="F1395" s="233" t="s">
        <v>210</v>
      </c>
      <c r="G1395" s="233" t="s">
        <v>210</v>
      </c>
      <c r="H1395" s="233" t="s">
        <v>210</v>
      </c>
      <c r="I1395" s="233" t="s">
        <v>210</v>
      </c>
      <c r="J1395" s="233">
        <v>2</v>
      </c>
      <c r="K1395" s="233">
        <v>-5</v>
      </c>
      <c r="L1395" s="233" t="s">
        <v>210</v>
      </c>
      <c r="M1395" s="233">
        <v>-6</v>
      </c>
    </row>
    <row r="1396" spans="1:13">
      <c r="A1396" s="374" t="str">
        <f t="shared" si="69"/>
        <v/>
      </c>
      <c r="B1396" s="87">
        <v>22</v>
      </c>
      <c r="C1396" s="87" t="s">
        <v>210</v>
      </c>
      <c r="D1396" s="87">
        <v>-2</v>
      </c>
      <c r="E1396" s="87">
        <v>6</v>
      </c>
      <c r="F1396" s="87" t="s">
        <v>210</v>
      </c>
      <c r="G1396" s="87" t="s">
        <v>210</v>
      </c>
      <c r="H1396" s="87">
        <v>-1</v>
      </c>
      <c r="I1396" s="87">
        <v>-3</v>
      </c>
      <c r="J1396" s="87" t="s">
        <v>210</v>
      </c>
      <c r="K1396" s="87">
        <v>2</v>
      </c>
      <c r="L1396" s="87" t="s">
        <v>210</v>
      </c>
      <c r="M1396" s="87" t="s">
        <v>210</v>
      </c>
    </row>
    <row r="1397" spans="1:13">
      <c r="A1397" s="374" t="str">
        <f t="shared" si="69"/>
        <v/>
      </c>
      <c r="B1397" s="87">
        <v>23</v>
      </c>
      <c r="C1397" s="87">
        <v>-6</v>
      </c>
      <c r="D1397" s="87" t="s">
        <v>210</v>
      </c>
      <c r="E1397" s="87">
        <v>-4</v>
      </c>
      <c r="F1397" s="87" t="s">
        <v>210</v>
      </c>
      <c r="G1397" s="87" t="s">
        <v>210</v>
      </c>
      <c r="H1397" s="87">
        <v>1</v>
      </c>
      <c r="I1397" s="87">
        <v>-5</v>
      </c>
      <c r="J1397" s="87" t="s">
        <v>210</v>
      </c>
      <c r="K1397" s="87" t="s">
        <v>210</v>
      </c>
      <c r="L1397" s="87">
        <v>3</v>
      </c>
      <c r="M1397" s="87" t="s">
        <v>210</v>
      </c>
    </row>
    <row r="1398" spans="1:13">
      <c r="A1398" s="374" t="str">
        <f t="shared" si="69"/>
        <v/>
      </c>
      <c r="B1398" s="318">
        <v>24</v>
      </c>
      <c r="C1398" s="87" t="s">
        <v>210</v>
      </c>
      <c r="D1398" s="87">
        <v>-5</v>
      </c>
      <c r="E1398" s="87">
        <v>4</v>
      </c>
      <c r="F1398" s="87" t="s">
        <v>210</v>
      </c>
      <c r="G1398" s="87">
        <v>-1</v>
      </c>
      <c r="H1398" s="87" t="s">
        <v>210</v>
      </c>
      <c r="I1398" s="87">
        <v>3</v>
      </c>
      <c r="J1398" s="87" t="s">
        <v>210</v>
      </c>
      <c r="K1398" s="87" t="s">
        <v>210</v>
      </c>
      <c r="L1398" s="87">
        <v>6</v>
      </c>
      <c r="M1398" s="87" t="s">
        <v>210</v>
      </c>
    </row>
    <row r="1399" spans="1:13">
      <c r="A1399" s="374" t="str">
        <f t="shared" si="69"/>
        <v/>
      </c>
      <c r="B1399" s="318">
        <v>25</v>
      </c>
      <c r="C1399" s="87" t="s">
        <v>210</v>
      </c>
      <c r="D1399" s="87">
        <v>5</v>
      </c>
      <c r="E1399" s="87">
        <v>-6</v>
      </c>
      <c r="F1399" s="87" t="s">
        <v>210</v>
      </c>
      <c r="G1399" s="87" t="s">
        <v>210</v>
      </c>
      <c r="H1399" s="87">
        <v>4</v>
      </c>
      <c r="I1399" s="87">
        <v>2</v>
      </c>
      <c r="J1399" s="87" t="s">
        <v>210</v>
      </c>
      <c r="K1399" s="87" t="s">
        <v>210</v>
      </c>
      <c r="L1399" s="87">
        <v>-3</v>
      </c>
      <c r="M1399" s="87" t="s">
        <v>210</v>
      </c>
    </row>
    <row r="1400" spans="1:13">
      <c r="A1400" s="374" t="str">
        <f t="shared" si="69"/>
        <v/>
      </c>
      <c r="B1400" s="87">
        <v>26</v>
      </c>
      <c r="C1400" s="87" t="s">
        <v>210</v>
      </c>
      <c r="D1400" s="87">
        <v>2</v>
      </c>
      <c r="E1400" s="87">
        <v>1</v>
      </c>
      <c r="F1400" s="87" t="s">
        <v>210</v>
      </c>
      <c r="G1400" s="87" t="s">
        <v>210</v>
      </c>
      <c r="H1400" s="87">
        <v>-4</v>
      </c>
      <c r="I1400" s="87">
        <v>5</v>
      </c>
      <c r="J1400" s="87" t="s">
        <v>210</v>
      </c>
      <c r="K1400" s="87" t="s">
        <v>210</v>
      </c>
      <c r="L1400" s="87">
        <v>-6</v>
      </c>
      <c r="M1400" s="87" t="s">
        <v>210</v>
      </c>
    </row>
    <row r="1401" spans="1:13">
      <c r="A1401" s="374" t="str">
        <f t="shared" si="69"/>
        <v/>
      </c>
      <c r="B1401" s="87" t="s">
        <v>1022</v>
      </c>
    </row>
    <row r="1402" spans="1:13">
      <c r="A1402" s="374">
        <f t="shared" si="69"/>
        <v>1402</v>
      </c>
      <c r="B1402" s="318" t="s">
        <v>1114</v>
      </c>
    </row>
    <row r="1403" spans="1:13">
      <c r="A1403" s="374" t="str">
        <f t="shared" si="69"/>
        <v/>
      </c>
      <c r="B1403" s="87">
        <v>1</v>
      </c>
      <c r="C1403" s="87">
        <v>6</v>
      </c>
      <c r="D1403" s="87" t="s">
        <v>210</v>
      </c>
      <c r="E1403" s="87">
        <v>-4</v>
      </c>
      <c r="F1403" s="87" t="s">
        <v>210</v>
      </c>
      <c r="G1403" s="87">
        <v>-1</v>
      </c>
      <c r="H1403" s="87" t="s">
        <v>210</v>
      </c>
      <c r="I1403" s="87">
        <v>5</v>
      </c>
      <c r="J1403" s="87" t="s">
        <v>210</v>
      </c>
      <c r="K1403" s="87">
        <v>3</v>
      </c>
      <c r="L1403" s="87" t="s">
        <v>210</v>
      </c>
    </row>
    <row r="1404" spans="1:13">
      <c r="A1404" s="374" t="str">
        <f t="shared" si="69"/>
        <v/>
      </c>
      <c r="B1404" s="87">
        <v>2</v>
      </c>
      <c r="C1404" s="87">
        <v>-2</v>
      </c>
      <c r="D1404" s="87" t="s">
        <v>210</v>
      </c>
      <c r="E1404" s="87">
        <v>-6</v>
      </c>
      <c r="F1404" s="87" t="s">
        <v>210</v>
      </c>
      <c r="G1404" s="87">
        <v>5</v>
      </c>
      <c r="H1404" s="87" t="s">
        <v>210</v>
      </c>
      <c r="I1404" s="87">
        <v>1</v>
      </c>
      <c r="J1404" s="87" t="s">
        <v>210</v>
      </c>
      <c r="K1404" s="87">
        <v>-3</v>
      </c>
      <c r="L1404" s="87" t="s">
        <v>210</v>
      </c>
    </row>
    <row r="1405" spans="1:13">
      <c r="A1405" s="374" t="str">
        <f t="shared" si="69"/>
        <v/>
      </c>
      <c r="B1405" s="87">
        <v>3</v>
      </c>
      <c r="C1405" s="95" t="s">
        <v>210</v>
      </c>
      <c r="D1405" s="95">
        <v>-2</v>
      </c>
      <c r="E1405" s="95">
        <v>6</v>
      </c>
      <c r="F1405" s="95" t="s">
        <v>210</v>
      </c>
      <c r="G1405" s="95">
        <v>3</v>
      </c>
      <c r="H1405" s="95" t="s">
        <v>210</v>
      </c>
      <c r="I1405" s="95">
        <v>-5</v>
      </c>
      <c r="J1405" s="95" t="s">
        <v>210</v>
      </c>
      <c r="K1405" s="95">
        <v>-4</v>
      </c>
      <c r="L1405" s="95" t="s">
        <v>210</v>
      </c>
      <c r="M1405" s="95"/>
    </row>
    <row r="1406" spans="1:13">
      <c r="A1406" s="374" t="str">
        <f t="shared" si="69"/>
        <v/>
      </c>
      <c r="B1406" s="87">
        <v>4</v>
      </c>
      <c r="C1406" s="95">
        <v>2</v>
      </c>
      <c r="D1406" s="95" t="s">
        <v>210</v>
      </c>
      <c r="E1406" s="95" t="s">
        <v>210</v>
      </c>
      <c r="F1406" s="95">
        <v>-5</v>
      </c>
      <c r="G1406" s="95">
        <v>1</v>
      </c>
      <c r="H1406" s="95" t="s">
        <v>210</v>
      </c>
      <c r="I1406" s="95">
        <v>-3</v>
      </c>
      <c r="J1406" s="95" t="s">
        <v>210</v>
      </c>
      <c r="K1406" s="95">
        <v>4</v>
      </c>
      <c r="L1406" s="95" t="s">
        <v>210</v>
      </c>
      <c r="M1406" s="95"/>
    </row>
    <row r="1407" spans="1:13">
      <c r="A1407" s="374" t="str">
        <f t="shared" si="69"/>
        <v/>
      </c>
      <c r="B1407" s="87">
        <v>5</v>
      </c>
      <c r="C1407" s="95">
        <v>-6</v>
      </c>
      <c r="D1407" s="95" t="s">
        <v>210</v>
      </c>
      <c r="E1407" s="95" t="s">
        <v>210</v>
      </c>
      <c r="F1407" s="95">
        <v>5</v>
      </c>
      <c r="G1407" s="95">
        <v>-3</v>
      </c>
      <c r="H1407" s="95" t="s">
        <v>210</v>
      </c>
      <c r="I1407" s="95">
        <v>-1</v>
      </c>
      <c r="J1407" s="95" t="s">
        <v>210</v>
      </c>
      <c r="K1407" s="95">
        <v>2</v>
      </c>
      <c r="L1407" s="95" t="s">
        <v>210</v>
      </c>
      <c r="M1407" s="95"/>
    </row>
    <row r="1408" spans="1:13">
      <c r="A1408" s="374" t="str">
        <f t="shared" si="69"/>
        <v/>
      </c>
      <c r="B1408" s="87">
        <v>6</v>
      </c>
      <c r="C1408" s="233" t="s">
        <v>210</v>
      </c>
      <c r="D1408" s="233">
        <v>2</v>
      </c>
      <c r="E1408" s="233">
        <v>4</v>
      </c>
      <c r="F1408" s="233" t="s">
        <v>210</v>
      </c>
      <c r="G1408" s="233">
        <v>-5</v>
      </c>
      <c r="H1408" s="233" t="s">
        <v>210</v>
      </c>
      <c r="I1408" s="233">
        <v>3</v>
      </c>
      <c r="J1408" s="233" t="s">
        <v>210</v>
      </c>
      <c r="K1408" s="233">
        <v>-2</v>
      </c>
      <c r="L1408" s="233" t="s">
        <v>210</v>
      </c>
      <c r="M1408" s="95"/>
    </row>
    <row r="1409" spans="1:13">
      <c r="A1409" s="374" t="str">
        <f t="shared" si="69"/>
        <v/>
      </c>
      <c r="B1409" s="87">
        <v>7</v>
      </c>
      <c r="C1409" s="95">
        <v>-3</v>
      </c>
      <c r="D1409" s="95" t="s">
        <v>210</v>
      </c>
      <c r="E1409" s="95">
        <v>1</v>
      </c>
      <c r="F1409" s="95" t="s">
        <v>210</v>
      </c>
      <c r="G1409" s="95">
        <v>2</v>
      </c>
      <c r="H1409" s="95" t="s">
        <v>210</v>
      </c>
      <c r="I1409" s="95">
        <v>-4</v>
      </c>
      <c r="J1409" s="95" t="s">
        <v>210</v>
      </c>
      <c r="K1409" s="95" t="s">
        <v>210</v>
      </c>
      <c r="L1409" s="95">
        <v>-5</v>
      </c>
      <c r="M1409" s="95"/>
    </row>
    <row r="1410" spans="1:13">
      <c r="A1410" s="374" t="str">
        <f t="shared" si="69"/>
        <v/>
      </c>
      <c r="B1410" s="87">
        <v>8</v>
      </c>
      <c r="C1410" s="95">
        <v>-5</v>
      </c>
      <c r="D1410" s="95" t="s">
        <v>210</v>
      </c>
      <c r="E1410" s="95">
        <v>3</v>
      </c>
      <c r="F1410" s="95" t="s">
        <v>210</v>
      </c>
      <c r="G1410" s="95">
        <v>-4</v>
      </c>
      <c r="H1410" s="95" t="s">
        <v>210</v>
      </c>
      <c r="I1410" s="95">
        <v>-2</v>
      </c>
      <c r="J1410" s="95" t="s">
        <v>210</v>
      </c>
      <c r="K1410" s="95" t="s">
        <v>210</v>
      </c>
      <c r="L1410" s="95">
        <v>5</v>
      </c>
      <c r="M1410" s="95"/>
    </row>
    <row r="1411" spans="1:13">
      <c r="A1411" s="374" t="str">
        <f t="shared" si="69"/>
        <v/>
      </c>
      <c r="B1411" s="87">
        <v>9</v>
      </c>
      <c r="C1411" s="95">
        <v>5</v>
      </c>
      <c r="D1411" s="95" t="s">
        <v>210</v>
      </c>
      <c r="E1411" s="95">
        <v>2</v>
      </c>
      <c r="F1411" s="95" t="s">
        <v>210</v>
      </c>
      <c r="G1411" s="95" t="s">
        <v>210</v>
      </c>
      <c r="H1411" s="95">
        <v>-3</v>
      </c>
      <c r="I1411" s="95">
        <v>4</v>
      </c>
      <c r="J1411" s="95" t="s">
        <v>210</v>
      </c>
      <c r="K1411" s="95">
        <v>-1</v>
      </c>
      <c r="L1411" s="95" t="s">
        <v>210</v>
      </c>
      <c r="M1411" s="95"/>
    </row>
    <row r="1412" spans="1:13">
      <c r="A1412" s="374" t="str">
        <f t="shared" si="69"/>
        <v/>
      </c>
      <c r="B1412" s="87">
        <v>10</v>
      </c>
      <c r="C1412" s="95">
        <v>4</v>
      </c>
      <c r="D1412" s="95" t="s">
        <v>210</v>
      </c>
      <c r="E1412" s="95">
        <v>-3</v>
      </c>
      <c r="F1412" s="95" t="s">
        <v>210</v>
      </c>
      <c r="G1412" s="95">
        <v>-2</v>
      </c>
      <c r="H1412" s="95" t="s">
        <v>210</v>
      </c>
      <c r="I1412" s="95" t="s">
        <v>210</v>
      </c>
      <c r="J1412" s="95">
        <v>5</v>
      </c>
      <c r="K1412" s="95">
        <v>1</v>
      </c>
      <c r="L1412" s="95" t="s">
        <v>210</v>
      </c>
      <c r="M1412" s="95"/>
    </row>
    <row r="1413" spans="1:13">
      <c r="A1413" s="374" t="str">
        <f t="shared" si="69"/>
        <v/>
      </c>
      <c r="B1413" s="87">
        <v>11</v>
      </c>
      <c r="C1413" s="95">
        <v>-4</v>
      </c>
      <c r="D1413" s="95" t="s">
        <v>210</v>
      </c>
      <c r="E1413" s="95">
        <v>-1</v>
      </c>
      <c r="F1413" s="95" t="s">
        <v>210</v>
      </c>
      <c r="G1413" s="95" t="s">
        <v>210</v>
      </c>
      <c r="H1413" s="95">
        <v>3</v>
      </c>
      <c r="I1413" s="95">
        <v>2</v>
      </c>
      <c r="J1413" s="95" t="s">
        <v>210</v>
      </c>
      <c r="K1413" s="95">
        <v>-6</v>
      </c>
      <c r="L1413" s="95" t="s">
        <v>210</v>
      </c>
      <c r="M1413" s="95"/>
    </row>
    <row r="1414" spans="1:13">
      <c r="A1414" s="374" t="str">
        <f t="shared" si="69"/>
        <v/>
      </c>
      <c r="B1414" s="87">
        <v>12</v>
      </c>
      <c r="C1414" s="233">
        <v>3</v>
      </c>
      <c r="D1414" s="233" t="s">
        <v>210</v>
      </c>
      <c r="E1414" s="233">
        <v>-2</v>
      </c>
      <c r="F1414" s="233" t="s">
        <v>210</v>
      </c>
      <c r="G1414" s="233">
        <v>4</v>
      </c>
      <c r="H1414" s="233" t="s">
        <v>210</v>
      </c>
      <c r="I1414" s="233" t="s">
        <v>210</v>
      </c>
      <c r="J1414" s="233">
        <v>-5</v>
      </c>
      <c r="K1414" s="233">
        <v>6</v>
      </c>
      <c r="L1414" s="233" t="s">
        <v>210</v>
      </c>
      <c r="M1414" s="95"/>
    </row>
    <row r="1415" spans="1:13">
      <c r="A1415" s="374" t="str">
        <f t="shared" si="69"/>
        <v/>
      </c>
      <c r="B1415" s="87">
        <v>13</v>
      </c>
      <c r="C1415" s="95">
        <v>1</v>
      </c>
      <c r="D1415" s="95" t="s">
        <v>210</v>
      </c>
      <c r="E1415" s="95">
        <v>5</v>
      </c>
      <c r="F1415" s="95" t="s">
        <v>210</v>
      </c>
      <c r="G1415" s="95" t="s">
        <v>210</v>
      </c>
      <c r="H1415" s="95">
        <v>-4</v>
      </c>
      <c r="I1415" s="95" t="s">
        <v>210</v>
      </c>
      <c r="J1415" s="95">
        <v>-2</v>
      </c>
      <c r="K1415" s="95" t="s">
        <v>202</v>
      </c>
      <c r="L1415" s="95" t="s">
        <v>202</v>
      </c>
      <c r="M1415" s="95"/>
    </row>
    <row r="1416" spans="1:13">
      <c r="A1416" s="374" t="str">
        <f t="shared" si="69"/>
        <v/>
      </c>
      <c r="B1416" s="87">
        <v>14</v>
      </c>
      <c r="C1416" s="95">
        <v>-1</v>
      </c>
      <c r="D1416" s="95" t="s">
        <v>210</v>
      </c>
      <c r="E1416" s="95" t="s">
        <v>210</v>
      </c>
      <c r="F1416" s="95">
        <v>-3</v>
      </c>
      <c r="G1416" s="95">
        <v>6</v>
      </c>
      <c r="H1416" s="95" t="s">
        <v>210</v>
      </c>
      <c r="I1416" s="95" t="s">
        <v>202</v>
      </c>
      <c r="J1416" s="95" t="s">
        <v>202</v>
      </c>
      <c r="K1416" s="95" t="s">
        <v>210</v>
      </c>
      <c r="L1416" s="95">
        <v>2</v>
      </c>
      <c r="M1416" s="95"/>
    </row>
    <row r="1417" spans="1:13">
      <c r="A1417" s="374" t="str">
        <f t="shared" si="69"/>
        <v/>
      </c>
      <c r="B1417" s="87">
        <v>15</v>
      </c>
      <c r="C1417" s="95" t="s">
        <v>210</v>
      </c>
      <c r="D1417" s="95">
        <v>4</v>
      </c>
      <c r="E1417" s="95">
        <v>-5</v>
      </c>
      <c r="F1417" s="95" t="s">
        <v>210</v>
      </c>
      <c r="G1417" s="95" t="s">
        <v>202</v>
      </c>
      <c r="H1417" s="95" t="s">
        <v>202</v>
      </c>
      <c r="I1417" s="95">
        <v>6</v>
      </c>
      <c r="J1417" s="95" t="s">
        <v>210</v>
      </c>
      <c r="K1417" s="95" t="s">
        <v>210</v>
      </c>
      <c r="L1417" s="95">
        <v>-2</v>
      </c>
      <c r="M1417" s="95"/>
    </row>
    <row r="1418" spans="1:13">
      <c r="A1418" s="374" t="str">
        <f t="shared" si="69"/>
        <v/>
      </c>
      <c r="B1418" s="87">
        <v>16</v>
      </c>
      <c r="C1418" s="95" t="s">
        <v>202</v>
      </c>
      <c r="D1418" s="95" t="s">
        <v>202</v>
      </c>
      <c r="E1418" s="95" t="s">
        <v>210</v>
      </c>
      <c r="F1418" s="95">
        <v>3</v>
      </c>
      <c r="G1418" s="95" t="s">
        <v>210</v>
      </c>
      <c r="H1418" s="95">
        <v>4</v>
      </c>
      <c r="I1418" s="95">
        <v>-6</v>
      </c>
      <c r="J1418" s="95" t="s">
        <v>210</v>
      </c>
      <c r="K1418" s="95">
        <v>-5</v>
      </c>
      <c r="L1418" s="95" t="s">
        <v>210</v>
      </c>
      <c r="M1418" s="95"/>
    </row>
    <row r="1419" spans="1:13">
      <c r="A1419" s="374" t="str">
        <f t="shared" si="69"/>
        <v/>
      </c>
      <c r="B1419" s="87">
        <v>17</v>
      </c>
      <c r="C1419" s="95" t="s">
        <v>210</v>
      </c>
      <c r="D1419" s="95">
        <v>-4</v>
      </c>
      <c r="E1419" s="95" t="s">
        <v>202</v>
      </c>
      <c r="F1419" s="95" t="s">
        <v>202</v>
      </c>
      <c r="G1419" s="95">
        <v>-6</v>
      </c>
      <c r="H1419" s="95" t="s">
        <v>210</v>
      </c>
      <c r="I1419" s="95" t="s">
        <v>210</v>
      </c>
      <c r="J1419" s="95">
        <v>2</v>
      </c>
      <c r="K1419" s="95">
        <v>5</v>
      </c>
      <c r="L1419" s="95" t="s">
        <v>210</v>
      </c>
      <c r="M1419" s="95"/>
    </row>
    <row r="1420" spans="1:13">
      <c r="A1420" s="374" t="str">
        <f t="shared" ref="A1420:A1483" si="70">IF(MID(B1420,3,2)="06",ROW(),"")</f>
        <v/>
      </c>
      <c r="B1420" s="318" t="s">
        <v>1113</v>
      </c>
      <c r="C1420" s="95"/>
      <c r="D1420" s="95"/>
      <c r="E1420" s="95"/>
      <c r="F1420" s="95"/>
      <c r="G1420" s="95"/>
      <c r="H1420" s="95"/>
      <c r="I1420" s="95"/>
      <c r="J1420" s="95"/>
      <c r="K1420" s="95"/>
      <c r="L1420" s="95"/>
      <c r="M1420" s="95"/>
    </row>
    <row r="1421" spans="1:13">
      <c r="A1421" s="374">
        <f t="shared" si="70"/>
        <v>1421</v>
      </c>
      <c r="B1421" s="87" t="s">
        <v>1119</v>
      </c>
      <c r="C1421" s="95"/>
      <c r="D1421" s="95"/>
      <c r="E1421" s="95"/>
      <c r="F1421" s="95"/>
      <c r="G1421" s="95"/>
      <c r="H1421" s="95"/>
      <c r="I1421" s="95"/>
      <c r="J1421" s="95"/>
      <c r="K1421" s="95"/>
      <c r="L1421" s="95"/>
      <c r="M1421" s="95"/>
    </row>
    <row r="1422" spans="1:13">
      <c r="A1422" s="374" t="str">
        <f t="shared" si="70"/>
        <v/>
      </c>
      <c r="B1422" s="87">
        <v>1</v>
      </c>
      <c r="C1422" s="87">
        <v>5</v>
      </c>
      <c r="D1422" s="87" t="s">
        <v>210</v>
      </c>
      <c r="E1422" s="87" t="s">
        <v>210</v>
      </c>
      <c r="F1422" s="87">
        <v>-3</v>
      </c>
      <c r="G1422" s="87">
        <v>-2</v>
      </c>
      <c r="H1422" s="87" t="s">
        <v>210</v>
      </c>
      <c r="I1422" s="87">
        <v>1</v>
      </c>
      <c r="J1422" s="87" t="s">
        <v>210</v>
      </c>
      <c r="K1422" s="87">
        <v>4</v>
      </c>
      <c r="L1422" s="87" t="s">
        <v>210</v>
      </c>
    </row>
    <row r="1423" spans="1:13">
      <c r="A1423" s="374" t="str">
        <f t="shared" si="70"/>
        <v/>
      </c>
      <c r="B1423" s="87">
        <v>2</v>
      </c>
      <c r="C1423" s="87">
        <v>-3</v>
      </c>
      <c r="D1423" s="87" t="s">
        <v>210</v>
      </c>
      <c r="E1423" s="87">
        <v>-1</v>
      </c>
      <c r="F1423" s="87" t="s">
        <v>210</v>
      </c>
      <c r="G1423" s="87" t="s">
        <v>210</v>
      </c>
      <c r="H1423" s="87">
        <v>5</v>
      </c>
      <c r="I1423" s="87">
        <v>6</v>
      </c>
      <c r="J1423" s="87" t="s">
        <v>210</v>
      </c>
      <c r="K1423" s="87">
        <v>-4</v>
      </c>
      <c r="L1423" s="87" t="s">
        <v>210</v>
      </c>
    </row>
    <row r="1424" spans="1:13">
      <c r="A1424" s="374" t="str">
        <f t="shared" si="70"/>
        <v/>
      </c>
      <c r="B1424" s="87">
        <v>3</v>
      </c>
      <c r="C1424" s="87">
        <v>-5</v>
      </c>
      <c r="D1424" s="87" t="s">
        <v>210</v>
      </c>
      <c r="E1424" s="87">
        <v>1</v>
      </c>
      <c r="F1424" s="87" t="s">
        <v>210</v>
      </c>
      <c r="G1424" s="87">
        <v>-4</v>
      </c>
      <c r="H1424" s="87" t="s">
        <v>210</v>
      </c>
      <c r="I1424" s="87" t="s">
        <v>210</v>
      </c>
      <c r="J1424" s="87">
        <v>5</v>
      </c>
      <c r="K1424" s="87">
        <v>-3</v>
      </c>
      <c r="L1424" s="87" t="s">
        <v>210</v>
      </c>
    </row>
    <row r="1425" spans="1:12">
      <c r="A1425" s="374" t="str">
        <f t="shared" si="70"/>
        <v/>
      </c>
      <c r="B1425" s="87">
        <v>4</v>
      </c>
      <c r="C1425" s="87">
        <v>2</v>
      </c>
      <c r="D1425" s="87" t="s">
        <v>210</v>
      </c>
      <c r="E1425" s="87" t="s">
        <v>210</v>
      </c>
      <c r="F1425" s="87">
        <v>4</v>
      </c>
      <c r="G1425" s="87" t="s">
        <v>210</v>
      </c>
      <c r="H1425" s="87">
        <v>-5</v>
      </c>
      <c r="I1425" s="87">
        <v>-1</v>
      </c>
      <c r="J1425" s="87" t="s">
        <v>210</v>
      </c>
      <c r="K1425" s="87">
        <v>3</v>
      </c>
      <c r="L1425" s="87" t="s">
        <v>210</v>
      </c>
    </row>
    <row r="1426" spans="1:12">
      <c r="A1426" s="374" t="str">
        <f t="shared" si="70"/>
        <v/>
      </c>
      <c r="B1426" s="365">
        <v>5</v>
      </c>
      <c r="C1426" s="233">
        <v>3</v>
      </c>
      <c r="D1426" s="233" t="s">
        <v>210</v>
      </c>
      <c r="E1426" s="233" t="s">
        <v>210</v>
      </c>
      <c r="F1426" s="233">
        <v>-4</v>
      </c>
      <c r="G1426" s="233">
        <v>2</v>
      </c>
      <c r="H1426" s="233" t="s">
        <v>210</v>
      </c>
      <c r="I1426" s="233" t="s">
        <v>210</v>
      </c>
      <c r="J1426" s="233">
        <v>-5</v>
      </c>
      <c r="K1426" s="233">
        <v>6</v>
      </c>
      <c r="L1426" s="233" t="s">
        <v>210</v>
      </c>
    </row>
    <row r="1427" spans="1:12">
      <c r="A1427" s="374" t="str">
        <f t="shared" si="70"/>
        <v/>
      </c>
      <c r="B1427" s="87">
        <v>6</v>
      </c>
      <c r="C1427" s="87">
        <v>-6</v>
      </c>
      <c r="D1427" s="87" t="s">
        <v>210</v>
      </c>
      <c r="E1427" s="87" t="s">
        <v>210</v>
      </c>
      <c r="F1427" s="87">
        <v>3</v>
      </c>
      <c r="G1427" s="87">
        <v>-1</v>
      </c>
      <c r="H1427" s="87" t="s">
        <v>210</v>
      </c>
      <c r="I1427" s="87" t="s">
        <v>210</v>
      </c>
      <c r="J1427" s="87">
        <v>4</v>
      </c>
      <c r="K1427" s="87">
        <v>5</v>
      </c>
      <c r="L1427" s="87" t="s">
        <v>210</v>
      </c>
    </row>
    <row r="1428" spans="1:12">
      <c r="A1428" s="374" t="str">
        <f t="shared" si="70"/>
        <v/>
      </c>
      <c r="B1428" s="87">
        <v>7</v>
      </c>
      <c r="C1428" s="87">
        <v>-4</v>
      </c>
      <c r="D1428" s="87" t="s">
        <v>210</v>
      </c>
      <c r="E1428" s="87" t="s">
        <v>210</v>
      </c>
      <c r="F1428" s="87">
        <v>2</v>
      </c>
      <c r="G1428" s="87">
        <v>3</v>
      </c>
      <c r="H1428" s="87" t="s">
        <v>210</v>
      </c>
      <c r="I1428" s="87">
        <v>-6</v>
      </c>
      <c r="J1428" s="87" t="s">
        <v>210</v>
      </c>
      <c r="K1428" s="87">
        <v>-5</v>
      </c>
      <c r="L1428" s="87" t="s">
        <v>210</v>
      </c>
    </row>
    <row r="1429" spans="1:12">
      <c r="A1429" s="374" t="str">
        <f t="shared" si="70"/>
        <v/>
      </c>
      <c r="B1429" s="87">
        <v>8</v>
      </c>
      <c r="C1429" s="87">
        <v>6</v>
      </c>
      <c r="D1429" s="87" t="s">
        <v>210</v>
      </c>
      <c r="E1429" s="87" t="s">
        <v>210</v>
      </c>
      <c r="F1429" s="87">
        <v>-2</v>
      </c>
      <c r="G1429" s="87">
        <v>4</v>
      </c>
      <c r="H1429" s="87" t="s">
        <v>210</v>
      </c>
      <c r="I1429" s="87" t="s">
        <v>210</v>
      </c>
      <c r="J1429" s="87">
        <v>-3</v>
      </c>
      <c r="K1429" s="87">
        <v>-1</v>
      </c>
      <c r="L1429" s="87" t="s">
        <v>210</v>
      </c>
    </row>
    <row r="1430" spans="1:12">
      <c r="A1430" s="374" t="str">
        <f t="shared" si="70"/>
        <v/>
      </c>
      <c r="B1430" s="318">
        <v>9</v>
      </c>
      <c r="C1430" s="87">
        <v>-2</v>
      </c>
      <c r="D1430" s="87" t="s">
        <v>210</v>
      </c>
      <c r="E1430" s="87">
        <v>5</v>
      </c>
      <c r="F1430" s="87" t="s">
        <v>210</v>
      </c>
      <c r="G1430" s="87">
        <v>-3</v>
      </c>
      <c r="H1430" s="87" t="s">
        <v>210</v>
      </c>
      <c r="I1430" s="87" t="s">
        <v>210</v>
      </c>
      <c r="J1430" s="87">
        <v>-4</v>
      </c>
      <c r="K1430" s="87">
        <v>1</v>
      </c>
      <c r="L1430" s="87" t="s">
        <v>210</v>
      </c>
    </row>
    <row r="1431" spans="1:12">
      <c r="A1431" s="374" t="str">
        <f t="shared" si="70"/>
        <v/>
      </c>
      <c r="B1431" s="232">
        <v>10</v>
      </c>
      <c r="C1431" s="233">
        <v>4</v>
      </c>
      <c r="D1431" s="233" t="s">
        <v>210</v>
      </c>
      <c r="E1431" s="233">
        <v>-5</v>
      </c>
      <c r="F1431" s="233" t="s">
        <v>210</v>
      </c>
      <c r="G1431" s="233">
        <v>1</v>
      </c>
      <c r="H1431" s="233" t="s">
        <v>210</v>
      </c>
      <c r="I1431" s="233" t="s">
        <v>210</v>
      </c>
      <c r="J1431" s="233">
        <v>3</v>
      </c>
      <c r="K1431" s="233">
        <v>-6</v>
      </c>
      <c r="L1431" s="233" t="s">
        <v>210</v>
      </c>
    </row>
    <row r="1432" spans="1:12">
      <c r="A1432" s="374" t="str">
        <f t="shared" si="70"/>
        <v/>
      </c>
      <c r="B1432" s="87">
        <v>11</v>
      </c>
      <c r="C1432" s="87" t="s">
        <v>210</v>
      </c>
      <c r="D1432" s="87">
        <v>-2</v>
      </c>
      <c r="E1432" s="87">
        <v>-6</v>
      </c>
      <c r="F1432" s="87" t="s">
        <v>210</v>
      </c>
      <c r="G1432" s="87" t="s">
        <v>210</v>
      </c>
      <c r="H1432" s="87">
        <v>3</v>
      </c>
      <c r="I1432" s="87">
        <v>4</v>
      </c>
      <c r="J1432" s="87" t="s">
        <v>210</v>
      </c>
      <c r="K1432" s="87">
        <v>2</v>
      </c>
      <c r="L1432" s="87" t="s">
        <v>210</v>
      </c>
    </row>
    <row r="1433" spans="1:12">
      <c r="A1433" s="374" t="str">
        <f t="shared" si="70"/>
        <v/>
      </c>
      <c r="B1433" s="87">
        <v>12</v>
      </c>
      <c r="C1433" s="87" t="s">
        <v>210</v>
      </c>
      <c r="D1433" s="87">
        <v>-5</v>
      </c>
      <c r="E1433" s="87">
        <v>4</v>
      </c>
      <c r="F1433" s="87" t="s">
        <v>210</v>
      </c>
      <c r="G1433" s="87">
        <v>6</v>
      </c>
      <c r="H1433" s="87" t="s">
        <v>210</v>
      </c>
      <c r="I1433" s="87">
        <v>5</v>
      </c>
      <c r="J1433" s="87" t="s">
        <v>210</v>
      </c>
      <c r="K1433" s="87">
        <v>-2</v>
      </c>
      <c r="L1433" s="87" t="s">
        <v>210</v>
      </c>
    </row>
    <row r="1434" spans="1:12">
      <c r="A1434" s="374" t="str">
        <f t="shared" si="70"/>
        <v/>
      </c>
      <c r="B1434" s="87">
        <v>13</v>
      </c>
      <c r="C1434" s="87">
        <v>-1</v>
      </c>
      <c r="D1434" s="87" t="s">
        <v>210</v>
      </c>
      <c r="E1434" s="87">
        <v>2</v>
      </c>
      <c r="F1434" s="87" t="s">
        <v>210</v>
      </c>
      <c r="G1434" s="87">
        <v>-6</v>
      </c>
      <c r="H1434" s="87" t="s">
        <v>210</v>
      </c>
      <c r="I1434" s="87">
        <v>-4</v>
      </c>
      <c r="J1434" s="87" t="s">
        <v>210</v>
      </c>
      <c r="K1434" s="87" t="s">
        <v>210</v>
      </c>
      <c r="L1434" s="87">
        <v>3</v>
      </c>
    </row>
    <row r="1435" spans="1:12">
      <c r="A1435" s="374" t="str">
        <f t="shared" si="70"/>
        <v/>
      </c>
      <c r="B1435" s="87">
        <v>14</v>
      </c>
      <c r="C1435" s="87" t="s">
        <v>210</v>
      </c>
      <c r="D1435" s="87">
        <v>2</v>
      </c>
      <c r="E1435" s="87">
        <v>-4</v>
      </c>
      <c r="F1435" s="87" t="s">
        <v>210</v>
      </c>
      <c r="G1435" s="87">
        <v>5</v>
      </c>
      <c r="H1435" s="87" t="s">
        <v>210</v>
      </c>
      <c r="I1435" s="87">
        <v>-2</v>
      </c>
      <c r="J1435" s="87" t="s">
        <v>210</v>
      </c>
      <c r="K1435" s="87" t="s">
        <v>210</v>
      </c>
      <c r="L1435" s="87">
        <v>-3</v>
      </c>
    </row>
    <row r="1436" spans="1:12">
      <c r="A1436" s="374" t="str">
        <f t="shared" si="70"/>
        <v/>
      </c>
      <c r="B1436" s="232">
        <v>15</v>
      </c>
      <c r="C1436" s="233" t="s">
        <v>210</v>
      </c>
      <c r="D1436" s="233">
        <v>5</v>
      </c>
      <c r="E1436" s="233">
        <v>-2</v>
      </c>
      <c r="F1436" s="233" t="s">
        <v>210</v>
      </c>
      <c r="G1436" s="233" t="s">
        <v>210</v>
      </c>
      <c r="H1436" s="233">
        <v>-3</v>
      </c>
      <c r="I1436" s="233">
        <v>2</v>
      </c>
      <c r="J1436" s="233" t="s">
        <v>210</v>
      </c>
      <c r="K1436" s="233" t="s">
        <v>202</v>
      </c>
      <c r="L1436" s="233" t="s">
        <v>202</v>
      </c>
    </row>
    <row r="1437" spans="1:12">
      <c r="A1437" s="374" t="str">
        <f t="shared" si="70"/>
        <v/>
      </c>
      <c r="B1437" s="87">
        <v>16</v>
      </c>
      <c r="C1437" s="87" t="s">
        <v>202</v>
      </c>
      <c r="D1437" s="87" t="s">
        <v>202</v>
      </c>
      <c r="E1437" s="87">
        <v>6</v>
      </c>
      <c r="F1437" s="87" t="s">
        <v>210</v>
      </c>
      <c r="G1437" s="87" t="s">
        <v>210</v>
      </c>
      <c r="H1437" s="87">
        <v>-4</v>
      </c>
      <c r="I1437" s="87">
        <v>-3</v>
      </c>
      <c r="J1437" s="87" t="s">
        <v>210</v>
      </c>
      <c r="K1437" s="87" t="s">
        <v>210</v>
      </c>
      <c r="L1437" s="87">
        <v>4</v>
      </c>
    </row>
    <row r="1438" spans="1:12">
      <c r="A1438" s="374" t="str">
        <f t="shared" si="70"/>
        <v/>
      </c>
      <c r="B1438" s="87">
        <v>17</v>
      </c>
      <c r="C1438" s="87" t="s">
        <v>210</v>
      </c>
      <c r="D1438" s="87">
        <v>4</v>
      </c>
      <c r="E1438" s="87">
        <v>3</v>
      </c>
      <c r="F1438" s="87" t="s">
        <v>210</v>
      </c>
      <c r="G1438" s="87" t="s">
        <v>202</v>
      </c>
      <c r="H1438" s="87" t="s">
        <v>202</v>
      </c>
      <c r="I1438" s="87">
        <v>-5</v>
      </c>
      <c r="J1438" s="87" t="s">
        <v>210</v>
      </c>
      <c r="K1438" s="87" t="s">
        <v>210</v>
      </c>
      <c r="L1438" s="87">
        <v>-4</v>
      </c>
    </row>
    <row r="1439" spans="1:12">
      <c r="A1439" s="374" t="str">
        <f t="shared" si="70"/>
        <v/>
      </c>
      <c r="B1439" s="87">
        <v>18</v>
      </c>
      <c r="C1439" s="87">
        <v>1</v>
      </c>
      <c r="D1439" s="87" t="s">
        <v>210</v>
      </c>
      <c r="E1439" s="87">
        <v>-3</v>
      </c>
      <c r="F1439" s="87" t="s">
        <v>210</v>
      </c>
      <c r="G1439" s="87" t="s">
        <v>210</v>
      </c>
      <c r="H1439" s="87">
        <v>4</v>
      </c>
      <c r="I1439" s="87" t="s">
        <v>202</v>
      </c>
      <c r="J1439" s="87" t="s">
        <v>202</v>
      </c>
      <c r="K1439" s="87" t="s">
        <v>210</v>
      </c>
      <c r="L1439" s="87">
        <v>-5</v>
      </c>
    </row>
    <row r="1440" spans="1:12">
      <c r="A1440" s="374" t="str">
        <f t="shared" si="70"/>
        <v/>
      </c>
      <c r="B1440" s="87">
        <v>19</v>
      </c>
      <c r="C1440" s="87" t="s">
        <v>210</v>
      </c>
      <c r="D1440" s="87">
        <v>-4</v>
      </c>
      <c r="E1440" s="87" t="s">
        <v>202</v>
      </c>
      <c r="F1440" s="87" t="s">
        <v>202</v>
      </c>
      <c r="G1440" s="87">
        <v>-5</v>
      </c>
      <c r="H1440" s="87" t="s">
        <v>210</v>
      </c>
      <c r="I1440" s="87">
        <v>3</v>
      </c>
      <c r="J1440" s="87" t="s">
        <v>210</v>
      </c>
      <c r="K1440" s="87" t="s">
        <v>210</v>
      </c>
      <c r="L1440" s="87">
        <v>5</v>
      </c>
    </row>
    <row r="1441" spans="1:5">
      <c r="A1441" s="374" t="str">
        <f t="shared" si="70"/>
        <v/>
      </c>
      <c r="B1441" s="318" t="s">
        <v>1120</v>
      </c>
    </row>
    <row r="1442" spans="1:5">
      <c r="A1442" s="374">
        <f t="shared" si="70"/>
        <v>1442</v>
      </c>
      <c r="B1442" s="87" t="s">
        <v>1123</v>
      </c>
    </row>
    <row r="1443" spans="1:5">
      <c r="A1443" s="374" t="str">
        <f t="shared" si="70"/>
        <v/>
      </c>
      <c r="B1443" s="87">
        <v>1</v>
      </c>
      <c r="C1443" s="87">
        <v>-2</v>
      </c>
      <c r="D1443" s="87">
        <v>6</v>
      </c>
      <c r="E1443" s="87">
        <v>3</v>
      </c>
    </row>
    <row r="1444" spans="1:5">
      <c r="A1444" s="374" t="str">
        <f t="shared" si="70"/>
        <v/>
      </c>
      <c r="B1444" s="87">
        <v>2</v>
      </c>
      <c r="C1444" s="87">
        <v>5</v>
      </c>
      <c r="D1444" s="87">
        <v>-1</v>
      </c>
      <c r="E1444" s="87">
        <v>-3</v>
      </c>
    </row>
    <row r="1445" spans="1:5">
      <c r="A1445" s="374" t="str">
        <f t="shared" si="70"/>
        <v/>
      </c>
      <c r="B1445" s="87">
        <v>3</v>
      </c>
      <c r="C1445" s="87">
        <v>-5</v>
      </c>
      <c r="D1445" s="87">
        <v>-6</v>
      </c>
      <c r="E1445" s="87">
        <v>4</v>
      </c>
    </row>
    <row r="1446" spans="1:5">
      <c r="A1446" s="374" t="str">
        <f t="shared" si="70"/>
        <v/>
      </c>
      <c r="B1446" s="87">
        <v>4</v>
      </c>
      <c r="C1446" s="87">
        <v>2</v>
      </c>
      <c r="D1446" s="87">
        <v>1</v>
      </c>
      <c r="E1446" s="87">
        <v>-4</v>
      </c>
    </row>
    <row r="1447" spans="1:5">
      <c r="A1447" s="374" t="str">
        <f t="shared" si="70"/>
        <v/>
      </c>
      <c r="B1447" s="232">
        <v>5</v>
      </c>
      <c r="C1447" s="233">
        <v>6</v>
      </c>
      <c r="D1447" s="233">
        <v>-5</v>
      </c>
      <c r="E1447" s="233">
        <v>2</v>
      </c>
    </row>
    <row r="1448" spans="1:5">
      <c r="A1448" s="374" t="str">
        <f t="shared" si="70"/>
        <v/>
      </c>
      <c r="B1448" s="87">
        <v>6</v>
      </c>
      <c r="C1448" s="87">
        <v>4</v>
      </c>
      <c r="D1448" s="87">
        <v>3</v>
      </c>
      <c r="E1448" s="87">
        <v>-2</v>
      </c>
    </row>
    <row r="1449" spans="1:5">
      <c r="A1449" s="374" t="str">
        <f t="shared" si="70"/>
        <v/>
      </c>
      <c r="B1449" s="87">
        <v>7</v>
      </c>
      <c r="C1449" s="87">
        <v>-4</v>
      </c>
      <c r="D1449" s="87">
        <v>5</v>
      </c>
      <c r="E1449" s="87">
        <v>-6</v>
      </c>
    </row>
    <row r="1450" spans="1:5">
      <c r="A1450" s="374" t="str">
        <f t="shared" si="70"/>
        <v/>
      </c>
      <c r="B1450" s="87">
        <v>8</v>
      </c>
      <c r="C1450" s="87">
        <v>-6</v>
      </c>
      <c r="D1450" s="87">
        <v>-2</v>
      </c>
      <c r="E1450" s="87">
        <v>5</v>
      </c>
    </row>
    <row r="1451" spans="1:5">
      <c r="A1451" s="374" t="str">
        <f t="shared" si="70"/>
        <v/>
      </c>
      <c r="B1451" s="87">
        <v>9</v>
      </c>
      <c r="C1451" s="87">
        <v>1</v>
      </c>
      <c r="D1451" s="87">
        <v>-3</v>
      </c>
      <c r="E1451" s="87">
        <v>-5</v>
      </c>
    </row>
    <row r="1452" spans="1:5">
      <c r="A1452" s="374" t="str">
        <f t="shared" si="70"/>
        <v/>
      </c>
      <c r="B1452" s="232">
        <v>10</v>
      </c>
      <c r="C1452" s="233">
        <v>-1</v>
      </c>
      <c r="D1452" s="233">
        <v>2</v>
      </c>
      <c r="E1452" s="233">
        <v>6</v>
      </c>
    </row>
    <row r="1453" spans="1:5">
      <c r="A1453" s="374" t="str">
        <f t="shared" si="70"/>
        <v/>
      </c>
      <c r="B1453" s="87">
        <v>11</v>
      </c>
      <c r="C1453" s="87" t="s">
        <v>202</v>
      </c>
      <c r="D1453" s="87">
        <v>-4</v>
      </c>
      <c r="E1453" s="87">
        <v>1</v>
      </c>
    </row>
    <row r="1454" spans="1:5">
      <c r="A1454" s="374" t="str">
        <f t="shared" si="70"/>
        <v/>
      </c>
      <c r="B1454" s="87">
        <v>12</v>
      </c>
      <c r="C1454" s="87">
        <v>3</v>
      </c>
      <c r="D1454" s="87" t="s">
        <v>202</v>
      </c>
      <c r="E1454" s="87">
        <v>-1</v>
      </c>
    </row>
    <row r="1455" spans="1:5">
      <c r="A1455" s="374" t="str">
        <f t="shared" si="70"/>
        <v/>
      </c>
      <c r="B1455" s="87">
        <v>13</v>
      </c>
      <c r="C1455" s="87">
        <v>-3</v>
      </c>
      <c r="D1455" s="87">
        <v>4</v>
      </c>
      <c r="E1455" s="87" t="s">
        <v>202</v>
      </c>
    </row>
    <row r="1456" spans="1:5">
      <c r="A1456" s="374" t="str">
        <f t="shared" si="70"/>
        <v/>
      </c>
      <c r="B1456" s="318" t="s">
        <v>1124</v>
      </c>
    </row>
    <row r="1457" spans="1:9">
      <c r="A1457" s="374">
        <f t="shared" si="70"/>
        <v>1457</v>
      </c>
      <c r="B1457" s="87" t="s">
        <v>1128</v>
      </c>
    </row>
    <row r="1458" spans="1:9">
      <c r="A1458" s="374" t="str">
        <f t="shared" si="70"/>
        <v/>
      </c>
      <c r="B1458" s="87">
        <v>1</v>
      </c>
      <c r="C1458" s="87" t="s">
        <v>210</v>
      </c>
      <c r="D1458" s="87">
        <v>-2</v>
      </c>
      <c r="E1458" s="87">
        <v>-1</v>
      </c>
      <c r="F1458" s="87">
        <v>5</v>
      </c>
      <c r="G1458" s="87" t="s">
        <v>210</v>
      </c>
      <c r="H1458" s="87">
        <v>2</v>
      </c>
      <c r="I1458" s="87">
        <v>-3</v>
      </c>
    </row>
    <row r="1459" spans="1:9">
      <c r="A1459" s="374" t="str">
        <f t="shared" si="70"/>
        <v/>
      </c>
      <c r="B1459" s="87">
        <v>2</v>
      </c>
      <c r="C1459" s="87">
        <v>4</v>
      </c>
      <c r="D1459" s="87" t="s">
        <v>210</v>
      </c>
      <c r="E1459" s="87">
        <v>-5</v>
      </c>
      <c r="F1459" s="87">
        <v>1</v>
      </c>
      <c r="G1459" s="87" t="s">
        <v>210</v>
      </c>
      <c r="H1459" s="87">
        <v>-4</v>
      </c>
      <c r="I1459" s="87">
        <v>3</v>
      </c>
    </row>
    <row r="1460" spans="1:9">
      <c r="A1460" s="374" t="str">
        <f t="shared" si="70"/>
        <v/>
      </c>
      <c r="B1460" s="87">
        <v>3</v>
      </c>
      <c r="C1460" s="87" t="s">
        <v>210</v>
      </c>
      <c r="D1460" s="87">
        <v>-6</v>
      </c>
      <c r="E1460" s="87">
        <v>5</v>
      </c>
      <c r="F1460" s="87">
        <v>3</v>
      </c>
      <c r="G1460" s="87" t="s">
        <v>210</v>
      </c>
      <c r="H1460" s="87">
        <v>-2</v>
      </c>
      <c r="I1460" s="87">
        <v>-4</v>
      </c>
    </row>
    <row r="1461" spans="1:9">
      <c r="A1461" s="374" t="str">
        <f t="shared" si="70"/>
        <v/>
      </c>
      <c r="B1461" s="87">
        <v>4</v>
      </c>
      <c r="C1461" s="87" t="s">
        <v>210</v>
      </c>
      <c r="D1461" s="87">
        <v>2</v>
      </c>
      <c r="E1461" s="87">
        <v>-3</v>
      </c>
      <c r="F1461" s="87">
        <v>-1</v>
      </c>
      <c r="G1461" s="87">
        <v>6</v>
      </c>
      <c r="H1461" s="87" t="s">
        <v>210</v>
      </c>
      <c r="I1461" s="87">
        <v>4</v>
      </c>
    </row>
    <row r="1462" spans="1:9">
      <c r="A1462" s="374" t="str">
        <f t="shared" si="70"/>
        <v/>
      </c>
      <c r="B1462" s="87">
        <v>5</v>
      </c>
      <c r="C1462" s="87" t="s">
        <v>210</v>
      </c>
      <c r="D1462" s="87">
        <v>6</v>
      </c>
      <c r="E1462" s="87">
        <v>3</v>
      </c>
      <c r="F1462" s="87">
        <v>-5</v>
      </c>
      <c r="G1462" s="87" t="s">
        <v>210</v>
      </c>
      <c r="H1462" s="87">
        <v>4</v>
      </c>
      <c r="I1462" s="87">
        <v>-2</v>
      </c>
    </row>
    <row r="1463" spans="1:9">
      <c r="A1463" s="374" t="str">
        <f t="shared" si="70"/>
        <v/>
      </c>
      <c r="B1463" s="87">
        <v>6</v>
      </c>
      <c r="C1463" s="87">
        <v>-4</v>
      </c>
      <c r="D1463" s="87" t="s">
        <v>210</v>
      </c>
      <c r="E1463" s="87">
        <v>1</v>
      </c>
      <c r="F1463" s="87">
        <v>-3</v>
      </c>
      <c r="G1463" s="87">
        <v>-6</v>
      </c>
      <c r="H1463" s="87" t="s">
        <v>210</v>
      </c>
      <c r="I1463" s="87">
        <v>2</v>
      </c>
    </row>
    <row r="1464" spans="1:9">
      <c r="A1464" s="374" t="str">
        <f t="shared" si="70"/>
        <v/>
      </c>
      <c r="B1464" s="87">
        <v>7</v>
      </c>
      <c r="C1464" s="87">
        <v>2</v>
      </c>
      <c r="D1464" s="87">
        <v>-4</v>
      </c>
      <c r="E1464" s="87" t="s">
        <v>210</v>
      </c>
      <c r="F1464" s="87">
        <v>-6</v>
      </c>
      <c r="G1464" s="87">
        <v>3</v>
      </c>
      <c r="H1464" s="87" t="s">
        <v>210</v>
      </c>
      <c r="I1464" s="87">
        <v>5</v>
      </c>
    </row>
    <row r="1465" spans="1:9">
      <c r="A1465" s="374" t="str">
        <f t="shared" si="70"/>
        <v/>
      </c>
      <c r="B1465" s="87">
        <v>8</v>
      </c>
      <c r="C1465" s="87">
        <v>-5</v>
      </c>
      <c r="D1465" s="87">
        <v>1</v>
      </c>
      <c r="E1465" s="87" t="s">
        <v>210</v>
      </c>
      <c r="F1465" s="87">
        <v>4</v>
      </c>
      <c r="G1465" s="87">
        <v>-3</v>
      </c>
      <c r="H1465" s="87">
        <v>5</v>
      </c>
      <c r="I1465" s="87" t="s">
        <v>210</v>
      </c>
    </row>
    <row r="1466" spans="1:9">
      <c r="A1466" s="374" t="str">
        <f t="shared" si="70"/>
        <v/>
      </c>
      <c r="B1466" s="87">
        <v>9</v>
      </c>
      <c r="C1466" s="87">
        <v>-1</v>
      </c>
      <c r="D1466" s="87">
        <v>4</v>
      </c>
      <c r="E1466" s="87">
        <v>-6</v>
      </c>
      <c r="F1466" s="87" t="s">
        <v>210</v>
      </c>
      <c r="G1466" s="87">
        <v>2</v>
      </c>
      <c r="H1466" s="87">
        <v>-5</v>
      </c>
      <c r="I1466" s="87" t="s">
        <v>210</v>
      </c>
    </row>
    <row r="1467" spans="1:9">
      <c r="A1467" s="374" t="str">
        <f t="shared" si="70"/>
        <v/>
      </c>
      <c r="B1467" s="87">
        <v>10</v>
      </c>
      <c r="C1467" s="87">
        <v>5</v>
      </c>
      <c r="D1467" s="87" t="s">
        <v>210</v>
      </c>
      <c r="E1467" s="87">
        <v>-4</v>
      </c>
      <c r="F1467" s="87">
        <v>6</v>
      </c>
      <c r="G1467" s="87">
        <v>-2</v>
      </c>
      <c r="H1467" s="87">
        <v>-3</v>
      </c>
      <c r="I1467" s="87" t="s">
        <v>210</v>
      </c>
    </row>
    <row r="1468" spans="1:9">
      <c r="A1468" s="374" t="str">
        <f t="shared" si="70"/>
        <v/>
      </c>
      <c r="B1468" s="87">
        <v>11</v>
      </c>
      <c r="C1468" s="87">
        <v>-2</v>
      </c>
      <c r="D1468" s="87">
        <v>-1</v>
      </c>
      <c r="E1468" s="87">
        <v>6</v>
      </c>
      <c r="F1468" s="87" t="s">
        <v>210</v>
      </c>
      <c r="G1468" s="87">
        <v>-4</v>
      </c>
      <c r="H1468" s="87">
        <v>3</v>
      </c>
      <c r="I1468" s="87" t="s">
        <v>210</v>
      </c>
    </row>
    <row r="1469" spans="1:9">
      <c r="A1469" s="374" t="str">
        <f t="shared" si="70"/>
        <v/>
      </c>
      <c r="B1469" s="87">
        <v>12</v>
      </c>
      <c r="C1469" s="87">
        <v>-6</v>
      </c>
      <c r="D1469" s="87">
        <v>3</v>
      </c>
      <c r="E1469" s="87" t="s">
        <v>210</v>
      </c>
      <c r="F1469" s="87">
        <v>2</v>
      </c>
      <c r="G1469" s="87">
        <v>-1</v>
      </c>
      <c r="H1469" s="87" t="s">
        <v>210</v>
      </c>
      <c r="I1469" s="87">
        <v>-5</v>
      </c>
    </row>
    <row r="1470" spans="1:9">
      <c r="A1470" s="374" t="str">
        <f t="shared" si="70"/>
        <v/>
      </c>
      <c r="B1470" s="87">
        <v>13</v>
      </c>
      <c r="C1470" s="87">
        <v>3</v>
      </c>
      <c r="D1470" s="87">
        <v>-5</v>
      </c>
      <c r="E1470" s="87" t="s">
        <v>210</v>
      </c>
      <c r="F1470" s="87">
        <v>-4</v>
      </c>
      <c r="G1470" s="87">
        <v>1</v>
      </c>
      <c r="H1470" s="87">
        <v>-6</v>
      </c>
      <c r="I1470" s="87" t="s">
        <v>210</v>
      </c>
    </row>
    <row r="1471" spans="1:9">
      <c r="A1471" s="374" t="str">
        <f t="shared" si="70"/>
        <v/>
      </c>
      <c r="B1471" s="87">
        <v>14</v>
      </c>
      <c r="C1471" s="87">
        <v>1</v>
      </c>
      <c r="D1471" s="87">
        <v>-3</v>
      </c>
      <c r="E1471" s="87">
        <v>2</v>
      </c>
      <c r="F1471" s="87" t="s">
        <v>210</v>
      </c>
      <c r="G1471" s="87">
        <v>-5</v>
      </c>
      <c r="H1471" s="87">
        <v>6</v>
      </c>
      <c r="I1471" s="87" t="s">
        <v>210</v>
      </c>
    </row>
    <row r="1472" spans="1:9">
      <c r="A1472" s="374" t="str">
        <f t="shared" si="70"/>
        <v/>
      </c>
      <c r="B1472" s="87">
        <v>15</v>
      </c>
      <c r="C1472" s="87">
        <v>-3</v>
      </c>
      <c r="D1472" s="87" t="s">
        <v>210</v>
      </c>
      <c r="E1472" s="87">
        <v>4</v>
      </c>
      <c r="F1472" s="87">
        <v>-2</v>
      </c>
      <c r="G1472" s="87">
        <v>5</v>
      </c>
      <c r="H1472" s="87">
        <v>1</v>
      </c>
      <c r="I1472" s="87" t="s">
        <v>210</v>
      </c>
    </row>
    <row r="1473" spans="1:9">
      <c r="A1473" s="374" t="str">
        <f t="shared" si="70"/>
        <v/>
      </c>
      <c r="B1473" s="87">
        <v>16</v>
      </c>
      <c r="C1473" s="87">
        <v>6</v>
      </c>
      <c r="D1473" s="87">
        <v>5</v>
      </c>
      <c r="E1473" s="87">
        <v>-2</v>
      </c>
      <c r="F1473" s="87" t="s">
        <v>210</v>
      </c>
      <c r="G1473" s="87">
        <v>4</v>
      </c>
      <c r="H1473" s="87">
        <v>-1</v>
      </c>
      <c r="I1473" s="87" t="s">
        <v>210</v>
      </c>
    </row>
    <row r="1474" spans="1:9">
      <c r="A1474" s="374" t="str">
        <f t="shared" si="70"/>
        <v/>
      </c>
      <c r="B1474" s="318" t="s">
        <v>1129</v>
      </c>
    </row>
    <row r="1475" spans="1:9">
      <c r="A1475" s="374" t="str">
        <f t="shared" si="70"/>
        <v/>
      </c>
    </row>
    <row r="1476" spans="1:9">
      <c r="A1476" s="374" t="str">
        <f t="shared" si="70"/>
        <v/>
      </c>
    </row>
    <row r="1477" spans="1:9">
      <c r="A1477" s="374" t="str">
        <f t="shared" si="70"/>
        <v/>
      </c>
    </row>
    <row r="1478" spans="1:9">
      <c r="A1478" s="374" t="str">
        <f t="shared" si="70"/>
        <v/>
      </c>
    </row>
    <row r="1479" spans="1:9">
      <c r="A1479" s="374" t="str">
        <f t="shared" si="70"/>
        <v/>
      </c>
    </row>
    <row r="1480" spans="1:9">
      <c r="A1480" s="374" t="str">
        <f t="shared" si="70"/>
        <v/>
      </c>
    </row>
    <row r="1481" spans="1:9">
      <c r="A1481" s="374" t="str">
        <f t="shared" si="70"/>
        <v/>
      </c>
    </row>
    <row r="1482" spans="1:9">
      <c r="A1482" s="374" t="str">
        <f t="shared" si="70"/>
        <v/>
      </c>
    </row>
    <row r="1483" spans="1:9">
      <c r="A1483" s="374" t="str">
        <f t="shared" si="70"/>
        <v/>
      </c>
    </row>
    <row r="1484" spans="1:9">
      <c r="A1484" s="374" t="str">
        <f t="shared" ref="A1484:A1547" si="71">IF(MID(B1484,3,2)="06",ROW(),"")</f>
        <v/>
      </c>
    </row>
    <row r="1485" spans="1:9">
      <c r="A1485" s="374" t="str">
        <f t="shared" si="71"/>
        <v/>
      </c>
    </row>
    <row r="1486" spans="1:9">
      <c r="A1486" s="374" t="str">
        <f t="shared" si="71"/>
        <v/>
      </c>
    </row>
    <row r="1487" spans="1:9">
      <c r="A1487" s="374" t="str">
        <f t="shared" si="71"/>
        <v/>
      </c>
    </row>
    <row r="1488" spans="1:9">
      <c r="A1488" s="374" t="str">
        <f t="shared" si="71"/>
        <v/>
      </c>
    </row>
    <row r="1489" spans="1:1">
      <c r="A1489" s="374" t="str">
        <f t="shared" si="71"/>
        <v/>
      </c>
    </row>
    <row r="1490" spans="1:1">
      <c r="A1490" s="374" t="str">
        <f t="shared" si="71"/>
        <v/>
      </c>
    </row>
    <row r="1491" spans="1:1">
      <c r="A1491" s="374" t="str">
        <f t="shared" si="71"/>
        <v/>
      </c>
    </row>
    <row r="1492" spans="1:1">
      <c r="A1492" s="374" t="str">
        <f t="shared" si="71"/>
        <v/>
      </c>
    </row>
    <row r="1493" spans="1:1">
      <c r="A1493" s="374" t="str">
        <f t="shared" si="71"/>
        <v/>
      </c>
    </row>
    <row r="1494" spans="1:1">
      <c r="A1494" s="374" t="str">
        <f t="shared" si="71"/>
        <v/>
      </c>
    </row>
    <row r="1495" spans="1:1">
      <c r="A1495" s="374" t="str">
        <f t="shared" si="71"/>
        <v/>
      </c>
    </row>
    <row r="1496" spans="1:1">
      <c r="A1496" s="374" t="str">
        <f t="shared" si="71"/>
        <v/>
      </c>
    </row>
    <row r="1497" spans="1:1">
      <c r="A1497" s="374" t="str">
        <f t="shared" si="71"/>
        <v/>
      </c>
    </row>
    <row r="1498" spans="1:1">
      <c r="A1498" s="374" t="str">
        <f t="shared" si="71"/>
        <v/>
      </c>
    </row>
    <row r="1499" spans="1:1">
      <c r="A1499" s="374" t="str">
        <f t="shared" si="71"/>
        <v/>
      </c>
    </row>
    <row r="1500" spans="1:1">
      <c r="A1500" s="374" t="str">
        <f t="shared" si="71"/>
        <v/>
      </c>
    </row>
    <row r="1501" spans="1:1">
      <c r="A1501" s="374" t="str">
        <f t="shared" si="71"/>
        <v/>
      </c>
    </row>
    <row r="1502" spans="1:1">
      <c r="A1502" s="374" t="str">
        <f t="shared" si="71"/>
        <v/>
      </c>
    </row>
    <row r="1503" spans="1:1">
      <c r="A1503" s="374" t="str">
        <f t="shared" si="71"/>
        <v/>
      </c>
    </row>
    <row r="1504" spans="1:1">
      <c r="A1504" s="374" t="str">
        <f t="shared" si="71"/>
        <v/>
      </c>
    </row>
    <row r="1505" spans="1:1">
      <c r="A1505" s="374" t="str">
        <f t="shared" si="71"/>
        <v/>
      </c>
    </row>
    <row r="1506" spans="1:1">
      <c r="A1506" s="374" t="str">
        <f t="shared" si="71"/>
        <v/>
      </c>
    </row>
    <row r="1507" spans="1:1">
      <c r="A1507" s="374" t="str">
        <f t="shared" si="71"/>
        <v/>
      </c>
    </row>
    <row r="1508" spans="1:1">
      <c r="A1508" s="374" t="str">
        <f t="shared" si="71"/>
        <v/>
      </c>
    </row>
    <row r="1509" spans="1:1">
      <c r="A1509" s="374" t="str">
        <f t="shared" si="71"/>
        <v/>
      </c>
    </row>
    <row r="1510" spans="1:1">
      <c r="A1510" s="374" t="str">
        <f t="shared" si="71"/>
        <v/>
      </c>
    </row>
    <row r="1511" spans="1:1">
      <c r="A1511" s="374" t="str">
        <f t="shared" si="71"/>
        <v/>
      </c>
    </row>
    <row r="1512" spans="1:1">
      <c r="A1512" s="374" t="str">
        <f t="shared" si="71"/>
        <v/>
      </c>
    </row>
    <row r="1513" spans="1:1">
      <c r="A1513" s="374" t="str">
        <f t="shared" si="71"/>
        <v/>
      </c>
    </row>
    <row r="1514" spans="1:1">
      <c r="A1514" s="374" t="str">
        <f t="shared" si="71"/>
        <v/>
      </c>
    </row>
    <row r="1515" spans="1:1">
      <c r="A1515" s="374" t="str">
        <f t="shared" si="71"/>
        <v/>
      </c>
    </row>
    <row r="1516" spans="1:1">
      <c r="A1516" s="374" t="str">
        <f t="shared" si="71"/>
        <v/>
      </c>
    </row>
    <row r="1517" spans="1:1">
      <c r="A1517" s="374" t="str">
        <f t="shared" si="71"/>
        <v/>
      </c>
    </row>
    <row r="1518" spans="1:1">
      <c r="A1518" s="374" t="str">
        <f t="shared" si="71"/>
        <v/>
      </c>
    </row>
    <row r="1519" spans="1:1">
      <c r="A1519" s="374" t="str">
        <f t="shared" si="71"/>
        <v/>
      </c>
    </row>
    <row r="1520" spans="1:1">
      <c r="A1520" s="374" t="str">
        <f t="shared" si="71"/>
        <v/>
      </c>
    </row>
    <row r="1521" spans="1:1">
      <c r="A1521" s="374" t="str">
        <f t="shared" si="71"/>
        <v/>
      </c>
    </row>
    <row r="1522" spans="1:1">
      <c r="A1522" s="374" t="str">
        <f t="shared" si="71"/>
        <v/>
      </c>
    </row>
    <row r="1523" spans="1:1">
      <c r="A1523" s="374" t="str">
        <f t="shared" si="71"/>
        <v/>
      </c>
    </row>
    <row r="1524" spans="1:1">
      <c r="A1524" s="374" t="str">
        <f t="shared" si="71"/>
        <v/>
      </c>
    </row>
    <row r="1525" spans="1:1">
      <c r="A1525" s="374" t="str">
        <f t="shared" si="71"/>
        <v/>
      </c>
    </row>
    <row r="1526" spans="1:1">
      <c r="A1526" s="374" t="str">
        <f t="shared" si="71"/>
        <v/>
      </c>
    </row>
    <row r="1527" spans="1:1">
      <c r="A1527" s="374" t="str">
        <f t="shared" si="71"/>
        <v/>
      </c>
    </row>
    <row r="1528" spans="1:1">
      <c r="A1528" s="374" t="str">
        <f t="shared" si="71"/>
        <v/>
      </c>
    </row>
    <row r="1529" spans="1:1">
      <c r="A1529" s="374" t="str">
        <f t="shared" si="71"/>
        <v/>
      </c>
    </row>
    <row r="1530" spans="1:1">
      <c r="A1530" s="374" t="str">
        <f t="shared" si="71"/>
        <v/>
      </c>
    </row>
    <row r="1531" spans="1:1">
      <c r="A1531" s="374" t="str">
        <f t="shared" si="71"/>
        <v/>
      </c>
    </row>
    <row r="1532" spans="1:1">
      <c r="A1532" s="374" t="str">
        <f t="shared" si="71"/>
        <v/>
      </c>
    </row>
    <row r="1533" spans="1:1">
      <c r="A1533" s="374" t="str">
        <f t="shared" si="71"/>
        <v/>
      </c>
    </row>
    <row r="1534" spans="1:1">
      <c r="A1534" s="374" t="str">
        <f t="shared" si="71"/>
        <v/>
      </c>
    </row>
    <row r="1535" spans="1:1">
      <c r="A1535" s="374" t="str">
        <f t="shared" si="71"/>
        <v/>
      </c>
    </row>
    <row r="1536" spans="1:1">
      <c r="A1536" s="374" t="str">
        <f t="shared" si="71"/>
        <v/>
      </c>
    </row>
    <row r="1537" spans="1:1">
      <c r="A1537" s="374" t="str">
        <f t="shared" si="71"/>
        <v/>
      </c>
    </row>
    <row r="1538" spans="1:1">
      <c r="A1538" s="374" t="str">
        <f t="shared" si="71"/>
        <v/>
      </c>
    </row>
    <row r="1539" spans="1:1">
      <c r="A1539" s="374" t="str">
        <f t="shared" si="71"/>
        <v/>
      </c>
    </row>
    <row r="1540" spans="1:1">
      <c r="A1540" s="374" t="str">
        <f t="shared" si="71"/>
        <v/>
      </c>
    </row>
    <row r="1541" spans="1:1">
      <c r="A1541" s="374" t="str">
        <f t="shared" si="71"/>
        <v/>
      </c>
    </row>
    <row r="1542" spans="1:1">
      <c r="A1542" s="374" t="str">
        <f t="shared" si="71"/>
        <v/>
      </c>
    </row>
    <row r="1543" spans="1:1">
      <c r="A1543" s="374" t="str">
        <f t="shared" si="71"/>
        <v/>
      </c>
    </row>
    <row r="1544" spans="1:1">
      <c r="A1544" s="374" t="str">
        <f t="shared" si="71"/>
        <v/>
      </c>
    </row>
    <row r="1545" spans="1:1">
      <c r="A1545" s="374" t="str">
        <f t="shared" si="71"/>
        <v/>
      </c>
    </row>
    <row r="1546" spans="1:1">
      <c r="A1546" s="374" t="str">
        <f t="shared" si="71"/>
        <v/>
      </c>
    </row>
    <row r="1547" spans="1:1">
      <c r="A1547" s="374" t="str">
        <f t="shared" si="71"/>
        <v/>
      </c>
    </row>
    <row r="1548" spans="1:1">
      <c r="A1548" s="374" t="str">
        <f t="shared" ref="A1548:A1600" si="72">IF(MID(B1548,3,2)="06",ROW(),"")</f>
        <v/>
      </c>
    </row>
    <row r="1549" spans="1:1">
      <c r="A1549" s="374" t="str">
        <f t="shared" si="72"/>
        <v/>
      </c>
    </row>
    <row r="1550" spans="1:1">
      <c r="A1550" s="374" t="str">
        <f t="shared" si="72"/>
        <v/>
      </c>
    </row>
    <row r="1551" spans="1:1">
      <c r="A1551" s="374" t="str">
        <f t="shared" si="72"/>
        <v/>
      </c>
    </row>
    <row r="1552" spans="1:1">
      <c r="A1552" s="374" t="str">
        <f t="shared" si="72"/>
        <v/>
      </c>
    </row>
    <row r="1553" spans="1:1">
      <c r="A1553" s="374" t="str">
        <f t="shared" si="72"/>
        <v/>
      </c>
    </row>
    <row r="1554" spans="1:1">
      <c r="A1554" s="374" t="str">
        <f t="shared" si="72"/>
        <v/>
      </c>
    </row>
    <row r="1555" spans="1:1">
      <c r="A1555" s="374" t="str">
        <f t="shared" si="72"/>
        <v/>
      </c>
    </row>
    <row r="1556" spans="1:1">
      <c r="A1556" s="374" t="str">
        <f t="shared" si="72"/>
        <v/>
      </c>
    </row>
    <row r="1557" spans="1:1">
      <c r="A1557" s="374" t="str">
        <f t="shared" si="72"/>
        <v/>
      </c>
    </row>
    <row r="1558" spans="1:1">
      <c r="A1558" s="374" t="str">
        <f t="shared" si="72"/>
        <v/>
      </c>
    </row>
    <row r="1559" spans="1:1">
      <c r="A1559" s="374" t="str">
        <f t="shared" si="72"/>
        <v/>
      </c>
    </row>
    <row r="1560" spans="1:1">
      <c r="A1560" s="374" t="str">
        <f t="shared" si="72"/>
        <v/>
      </c>
    </row>
    <row r="1561" spans="1:1">
      <c r="A1561" s="374" t="str">
        <f t="shared" si="72"/>
        <v/>
      </c>
    </row>
    <row r="1562" spans="1:1">
      <c r="A1562" s="374" t="str">
        <f t="shared" si="72"/>
        <v/>
      </c>
    </row>
    <row r="1563" spans="1:1">
      <c r="A1563" s="374" t="str">
        <f t="shared" si="72"/>
        <v/>
      </c>
    </row>
    <row r="1564" spans="1:1">
      <c r="A1564" s="374" t="str">
        <f t="shared" si="72"/>
        <v/>
      </c>
    </row>
    <row r="1565" spans="1:1">
      <c r="A1565" s="374" t="str">
        <f t="shared" si="72"/>
        <v/>
      </c>
    </row>
    <row r="1566" spans="1:1">
      <c r="A1566" s="374" t="str">
        <f t="shared" si="72"/>
        <v/>
      </c>
    </row>
    <row r="1567" spans="1:1">
      <c r="A1567" s="374" t="str">
        <f t="shared" si="72"/>
        <v/>
      </c>
    </row>
    <row r="1568" spans="1:1">
      <c r="A1568" s="374" t="str">
        <f t="shared" si="72"/>
        <v/>
      </c>
    </row>
    <row r="1569" spans="1:1">
      <c r="A1569" s="374" t="str">
        <f t="shared" si="72"/>
        <v/>
      </c>
    </row>
    <row r="1570" spans="1:1">
      <c r="A1570" s="374" t="str">
        <f t="shared" si="72"/>
        <v/>
      </c>
    </row>
    <row r="1571" spans="1:1">
      <c r="A1571" s="374" t="str">
        <f t="shared" si="72"/>
        <v/>
      </c>
    </row>
    <row r="1572" spans="1:1">
      <c r="A1572" s="374" t="str">
        <f t="shared" si="72"/>
        <v/>
      </c>
    </row>
    <row r="1573" spans="1:1">
      <c r="A1573" s="374" t="str">
        <f t="shared" si="72"/>
        <v/>
      </c>
    </row>
    <row r="1574" spans="1:1">
      <c r="A1574" s="374" t="str">
        <f t="shared" si="72"/>
        <v/>
      </c>
    </row>
    <row r="1575" spans="1:1">
      <c r="A1575" s="374" t="str">
        <f t="shared" si="72"/>
        <v/>
      </c>
    </row>
    <row r="1576" spans="1:1">
      <c r="A1576" s="374" t="str">
        <f t="shared" si="72"/>
        <v/>
      </c>
    </row>
    <row r="1577" spans="1:1">
      <c r="A1577" s="374" t="str">
        <f t="shared" si="72"/>
        <v/>
      </c>
    </row>
    <row r="1578" spans="1:1">
      <c r="A1578" s="374" t="str">
        <f t="shared" si="72"/>
        <v/>
      </c>
    </row>
    <row r="1579" spans="1:1">
      <c r="A1579" s="374" t="str">
        <f t="shared" si="72"/>
        <v/>
      </c>
    </row>
    <row r="1580" spans="1:1">
      <c r="A1580" s="374" t="str">
        <f t="shared" si="72"/>
        <v/>
      </c>
    </row>
    <row r="1581" spans="1:1">
      <c r="A1581" s="374" t="str">
        <f t="shared" si="72"/>
        <v/>
      </c>
    </row>
    <row r="1582" spans="1:1">
      <c r="A1582" s="374" t="str">
        <f t="shared" si="72"/>
        <v/>
      </c>
    </row>
    <row r="1583" spans="1:1">
      <c r="A1583" s="374" t="str">
        <f t="shared" si="72"/>
        <v/>
      </c>
    </row>
    <row r="1584" spans="1:1">
      <c r="A1584" s="374" t="str">
        <f t="shared" si="72"/>
        <v/>
      </c>
    </row>
    <row r="1585" spans="1:1">
      <c r="A1585" s="374" t="str">
        <f t="shared" si="72"/>
        <v/>
      </c>
    </row>
    <row r="1586" spans="1:1">
      <c r="A1586" s="374" t="str">
        <f t="shared" si="72"/>
        <v/>
      </c>
    </row>
    <row r="1587" spans="1:1">
      <c r="A1587" s="374" t="str">
        <f t="shared" si="72"/>
        <v/>
      </c>
    </row>
    <row r="1588" spans="1:1">
      <c r="A1588" s="374" t="str">
        <f t="shared" si="72"/>
        <v/>
      </c>
    </row>
    <row r="1589" spans="1:1">
      <c r="A1589" s="374" t="str">
        <f t="shared" si="72"/>
        <v/>
      </c>
    </row>
    <row r="1590" spans="1:1">
      <c r="A1590" s="374" t="str">
        <f t="shared" si="72"/>
        <v/>
      </c>
    </row>
    <row r="1591" spans="1:1">
      <c r="A1591" s="374" t="str">
        <f t="shared" si="72"/>
        <v/>
      </c>
    </row>
    <row r="1592" spans="1:1">
      <c r="A1592" s="374" t="str">
        <f t="shared" si="72"/>
        <v/>
      </c>
    </row>
    <row r="1593" spans="1:1">
      <c r="A1593" s="374" t="str">
        <f t="shared" si="72"/>
        <v/>
      </c>
    </row>
    <row r="1594" spans="1:1">
      <c r="A1594" s="374" t="str">
        <f t="shared" si="72"/>
        <v/>
      </c>
    </row>
    <row r="1595" spans="1:1">
      <c r="A1595" s="374" t="str">
        <f t="shared" si="72"/>
        <v/>
      </c>
    </row>
    <row r="1596" spans="1:1">
      <c r="A1596" s="374" t="str">
        <f t="shared" si="72"/>
        <v/>
      </c>
    </row>
    <row r="1597" spans="1:1">
      <c r="A1597" s="374" t="str">
        <f t="shared" si="72"/>
        <v/>
      </c>
    </row>
    <row r="1598" spans="1:1">
      <c r="A1598" s="374" t="str">
        <f t="shared" si="72"/>
        <v/>
      </c>
    </row>
    <row r="1599" spans="1:1">
      <c r="A1599" s="374" t="str">
        <f t="shared" si="72"/>
        <v/>
      </c>
    </row>
    <row r="1600" spans="1:1">
      <c r="A1600" s="374" t="str">
        <f t="shared" si="72"/>
        <v/>
      </c>
    </row>
  </sheetData>
  <sheetProtection password="FFF0" sheet="1" objects="1" scenarios="1"/>
  <conditionalFormatting sqref="BD11:BD100">
    <cfRule type="expression" dxfId="56" priority="2">
      <formula>BD11=$BD$7</formula>
    </cfRule>
  </conditionalFormatting>
  <conditionalFormatting sqref="A11:A1600">
    <cfRule type="expression" dxfId="55" priority="1">
      <formula>A11=$BA$7</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207"/>
  <sheetViews>
    <sheetView workbookViewId="0">
      <selection activeCell="AY34" sqref="AY34"/>
    </sheetView>
  </sheetViews>
  <sheetFormatPr baseColWidth="10" defaultRowHeight="12" x14ac:dyDescent="0"/>
  <cols>
    <col min="1" max="1" width="5.140625" style="87" customWidth="1"/>
    <col min="2" max="52" width="2.5703125" style="87" customWidth="1"/>
    <col min="53" max="53" width="4.140625" style="87" customWidth="1"/>
    <col min="54" max="54" width="10.28515625" style="87" customWidth="1"/>
    <col min="55" max="55" width="5.140625" style="87" customWidth="1"/>
    <col min="56" max="56" width="3.140625" style="87" customWidth="1"/>
    <col min="57" max="57" width="7.140625" style="89" customWidth="1"/>
    <col min="58" max="58" width="10.28515625" style="89" customWidth="1"/>
    <col min="59" max="60" width="3.140625" style="87" customWidth="1"/>
    <col min="61" max="61" width="5.140625" style="87" customWidth="1"/>
    <col min="62" max="65" width="3.140625" style="87" customWidth="1"/>
    <col min="66" max="66" width="10.7109375" style="87"/>
    <col min="67" max="74" width="3.140625" style="87" customWidth="1"/>
    <col min="75" max="75" width="10.28515625" style="87" customWidth="1"/>
    <col min="76" max="79" width="5.140625" style="87" customWidth="1"/>
    <col min="80" max="16384" width="10.7109375" style="87"/>
  </cols>
  <sheetData>
    <row r="1" spans="1:76">
      <c r="B1" s="88">
        <f>COLUMN()</f>
        <v>2</v>
      </c>
      <c r="C1" s="88">
        <f>COLUMN()</f>
        <v>3</v>
      </c>
      <c r="D1" s="88">
        <f>COLUMN()</f>
        <v>4</v>
      </c>
      <c r="E1" s="88">
        <f>COLUMN()</f>
        <v>5</v>
      </c>
      <c r="F1" s="88">
        <f>COLUMN()</f>
        <v>6</v>
      </c>
      <c r="G1" s="88">
        <f>COLUMN()</f>
        <v>7</v>
      </c>
      <c r="H1" s="88">
        <f>COLUMN()</f>
        <v>8</v>
      </c>
      <c r="I1" s="88">
        <f>COLUMN()</f>
        <v>9</v>
      </c>
      <c r="J1" s="88">
        <f>COLUMN()</f>
        <v>10</v>
      </c>
      <c r="K1" s="88">
        <f>COLUMN()</f>
        <v>11</v>
      </c>
      <c r="L1" s="88">
        <f>COLUMN()</f>
        <v>12</v>
      </c>
      <c r="M1" s="88">
        <f>COLUMN()</f>
        <v>13</v>
      </c>
      <c r="N1" s="88">
        <f>COLUMN()</f>
        <v>14</v>
      </c>
      <c r="O1" s="88">
        <f>COLUMN()</f>
        <v>15</v>
      </c>
      <c r="P1" s="88">
        <f>COLUMN()</f>
        <v>16</v>
      </c>
      <c r="Q1" s="88">
        <f>COLUMN()</f>
        <v>17</v>
      </c>
      <c r="R1" s="88">
        <f>COLUMN()</f>
        <v>18</v>
      </c>
      <c r="S1" s="88">
        <f>COLUMN()</f>
        <v>19</v>
      </c>
      <c r="T1" s="88">
        <f>COLUMN()</f>
        <v>20</v>
      </c>
      <c r="U1" s="88">
        <f>COLUMN()</f>
        <v>21</v>
      </c>
      <c r="V1" s="88">
        <f>COLUMN()</f>
        <v>22</v>
      </c>
      <c r="W1" s="88">
        <f>COLUMN()</f>
        <v>23</v>
      </c>
      <c r="X1" s="88">
        <f>COLUMN()</f>
        <v>24</v>
      </c>
      <c r="Y1" s="88">
        <f>COLUMN()</f>
        <v>25</v>
      </c>
      <c r="Z1" s="88">
        <f>COLUMN()</f>
        <v>26</v>
      </c>
      <c r="AA1" s="88">
        <f>COLUMN()</f>
        <v>27</v>
      </c>
      <c r="AB1" s="88">
        <f>COLUMN()</f>
        <v>28</v>
      </c>
      <c r="AC1" s="88">
        <f>COLUMN()</f>
        <v>29</v>
      </c>
      <c r="AD1" s="88">
        <f>COLUMN()</f>
        <v>30</v>
      </c>
      <c r="AE1" s="88">
        <f>COLUMN()</f>
        <v>31</v>
      </c>
      <c r="AF1" s="88">
        <f>COLUMN()</f>
        <v>32</v>
      </c>
      <c r="AG1" s="88">
        <f>COLUMN()</f>
        <v>33</v>
      </c>
      <c r="AH1" s="88">
        <f>COLUMN()</f>
        <v>34</v>
      </c>
      <c r="AI1" s="88">
        <f>COLUMN()</f>
        <v>35</v>
      </c>
      <c r="AJ1" s="88">
        <f>COLUMN()</f>
        <v>36</v>
      </c>
      <c r="AK1" s="88">
        <f>COLUMN()</f>
        <v>37</v>
      </c>
      <c r="AL1" s="88">
        <f>COLUMN()</f>
        <v>38</v>
      </c>
      <c r="AM1" s="88">
        <f>COLUMN()</f>
        <v>39</v>
      </c>
      <c r="AN1" s="88">
        <f>COLUMN()</f>
        <v>40</v>
      </c>
      <c r="AO1" s="88">
        <f>COLUMN()</f>
        <v>41</v>
      </c>
      <c r="AP1" s="88">
        <f>COLUMN()</f>
        <v>42</v>
      </c>
      <c r="AQ1" s="88">
        <f>COLUMN()</f>
        <v>43</v>
      </c>
      <c r="AR1" s="88">
        <f>COLUMN()</f>
        <v>44</v>
      </c>
      <c r="AS1" s="88">
        <f>COLUMN()</f>
        <v>45</v>
      </c>
      <c r="AT1" s="88">
        <f>COLUMN()</f>
        <v>46</v>
      </c>
      <c r="AU1" s="88">
        <f>COLUMN()</f>
        <v>47</v>
      </c>
      <c r="AV1" s="88">
        <f>COLUMN()</f>
        <v>48</v>
      </c>
      <c r="AW1" s="88">
        <f>COLUMN()</f>
        <v>49</v>
      </c>
      <c r="AX1" s="88">
        <f>COLUMN()</f>
        <v>50</v>
      </c>
      <c r="AY1" s="88">
        <f>COLUMN()</f>
        <v>51</v>
      </c>
      <c r="AZ1" s="88">
        <f>COLUMN()</f>
        <v>52</v>
      </c>
      <c r="BB1" s="88" t="str">
        <f>Intro!D46</f>
        <v/>
      </c>
    </row>
    <row r="2" spans="1:76">
      <c r="B2" s="88" t="str">
        <f>CHAR(B1+64)</f>
        <v>B</v>
      </c>
      <c r="C2" s="88" t="str">
        <f t="shared" ref="C2:Z2" si="0">CHAR(C1+64)</f>
        <v>C</v>
      </c>
      <c r="D2" s="88" t="str">
        <f t="shared" si="0"/>
        <v>D</v>
      </c>
      <c r="E2" s="88" t="str">
        <f t="shared" si="0"/>
        <v>E</v>
      </c>
      <c r="F2" s="88" t="str">
        <f t="shared" si="0"/>
        <v>F</v>
      </c>
      <c r="G2" s="88" t="str">
        <f t="shared" si="0"/>
        <v>G</v>
      </c>
      <c r="H2" s="88" t="str">
        <f t="shared" si="0"/>
        <v>H</v>
      </c>
      <c r="I2" s="88" t="str">
        <f t="shared" si="0"/>
        <v>I</v>
      </c>
      <c r="J2" s="88" t="str">
        <f t="shared" si="0"/>
        <v>J</v>
      </c>
      <c r="K2" s="88" t="str">
        <f t="shared" si="0"/>
        <v>K</v>
      </c>
      <c r="L2" s="88" t="str">
        <f t="shared" si="0"/>
        <v>L</v>
      </c>
      <c r="M2" s="88" t="str">
        <f t="shared" si="0"/>
        <v>M</v>
      </c>
      <c r="N2" s="88" t="str">
        <f t="shared" si="0"/>
        <v>N</v>
      </c>
      <c r="O2" s="88" t="str">
        <f t="shared" si="0"/>
        <v>O</v>
      </c>
      <c r="P2" s="88" t="str">
        <f t="shared" si="0"/>
        <v>P</v>
      </c>
      <c r="Q2" s="88" t="str">
        <f t="shared" si="0"/>
        <v>Q</v>
      </c>
      <c r="R2" s="88" t="str">
        <f t="shared" si="0"/>
        <v>R</v>
      </c>
      <c r="S2" s="88" t="str">
        <f t="shared" si="0"/>
        <v>S</v>
      </c>
      <c r="T2" s="88" t="str">
        <f t="shared" si="0"/>
        <v>T</v>
      </c>
      <c r="U2" s="88" t="str">
        <f t="shared" si="0"/>
        <v>U</v>
      </c>
      <c r="V2" s="88" t="str">
        <f t="shared" si="0"/>
        <v>V</v>
      </c>
      <c r="W2" s="88" t="str">
        <f t="shared" si="0"/>
        <v>W</v>
      </c>
      <c r="X2" s="88" t="str">
        <f t="shared" si="0"/>
        <v>X</v>
      </c>
      <c r="Y2" s="88" t="str">
        <f t="shared" si="0"/>
        <v>Y</v>
      </c>
      <c r="Z2" s="88" t="str">
        <f t="shared" si="0"/>
        <v>Z</v>
      </c>
      <c r="AA2" s="88" t="str">
        <f>CONCATENATE("A",CHAR(AA1+38))</f>
        <v>AA</v>
      </c>
      <c r="AB2" s="88" t="str">
        <f t="shared" ref="AB2:AZ2" si="1">CONCATENATE("A",CHAR(AB1+38))</f>
        <v>AB</v>
      </c>
      <c r="AC2" s="88" t="str">
        <f t="shared" si="1"/>
        <v>AC</v>
      </c>
      <c r="AD2" s="88" t="str">
        <f t="shared" si="1"/>
        <v>AD</v>
      </c>
      <c r="AE2" s="88" t="str">
        <f t="shared" si="1"/>
        <v>AE</v>
      </c>
      <c r="AF2" s="88" t="str">
        <f t="shared" si="1"/>
        <v>AF</v>
      </c>
      <c r="AG2" s="88" t="str">
        <f t="shared" si="1"/>
        <v>AG</v>
      </c>
      <c r="AH2" s="88" t="str">
        <f t="shared" si="1"/>
        <v>AH</v>
      </c>
      <c r="AI2" s="88" t="str">
        <f t="shared" si="1"/>
        <v>AI</v>
      </c>
      <c r="AJ2" s="88" t="str">
        <f t="shared" si="1"/>
        <v>AJ</v>
      </c>
      <c r="AK2" s="88" t="str">
        <f t="shared" si="1"/>
        <v>AK</v>
      </c>
      <c r="AL2" s="88" t="str">
        <f t="shared" si="1"/>
        <v>AL</v>
      </c>
      <c r="AM2" s="88" t="str">
        <f t="shared" si="1"/>
        <v>AM</v>
      </c>
      <c r="AN2" s="88" t="str">
        <f t="shared" si="1"/>
        <v>AN</v>
      </c>
      <c r="AO2" s="88" t="str">
        <f t="shared" si="1"/>
        <v>AO</v>
      </c>
      <c r="AP2" s="88" t="str">
        <f t="shared" si="1"/>
        <v>AP</v>
      </c>
      <c r="AQ2" s="88" t="str">
        <f t="shared" si="1"/>
        <v>AQ</v>
      </c>
      <c r="AR2" s="88" t="str">
        <f t="shared" si="1"/>
        <v>AR</v>
      </c>
      <c r="AS2" s="88" t="str">
        <f t="shared" si="1"/>
        <v>AS</v>
      </c>
      <c r="AT2" s="88" t="str">
        <f t="shared" si="1"/>
        <v>AT</v>
      </c>
      <c r="AU2" s="88" t="str">
        <f t="shared" si="1"/>
        <v>AU</v>
      </c>
      <c r="AV2" s="88" t="str">
        <f t="shared" si="1"/>
        <v>AV</v>
      </c>
      <c r="AW2" s="88" t="str">
        <f t="shared" si="1"/>
        <v>AW</v>
      </c>
      <c r="AX2" s="88" t="str">
        <f t="shared" si="1"/>
        <v>AX</v>
      </c>
      <c r="AY2" s="88" t="str">
        <f t="shared" si="1"/>
        <v>AY</v>
      </c>
      <c r="AZ2" s="88" t="str">
        <f t="shared" si="1"/>
        <v>AZ</v>
      </c>
    </row>
    <row r="6" spans="1:76">
      <c r="BD6" s="470">
        <v>1</v>
      </c>
    </row>
    <row r="7" spans="1:76">
      <c r="BA7" s="88">
        <f ca="1">VALUE(INDIRECT(CONCATENATE("BA",BE7+10)))</f>
        <v>470</v>
      </c>
      <c r="BD7" s="473">
        <f>IF(BD6&gt;0,BD6,DrawFinder!H10)</f>
        <v>1</v>
      </c>
      <c r="BE7" s="88">
        <f ca="1">MATCH(BD7,BD11:BD70,0)</f>
        <v>19</v>
      </c>
    </row>
    <row r="8" spans="1:76">
      <c r="BD8" s="87" t="s">
        <v>190</v>
      </c>
    </row>
    <row r="9" spans="1:76">
      <c r="BD9" s="89">
        <f ca="1">LARGE(BD11:BD70,1)</f>
        <v>28</v>
      </c>
    </row>
    <row r="10" spans="1:76">
      <c r="BA10" s="88">
        <v>1</v>
      </c>
      <c r="BB10" s="88">
        <v>1200</v>
      </c>
      <c r="BD10" s="87" t="s">
        <v>191</v>
      </c>
      <c r="BG10" s="87" t="s">
        <v>192</v>
      </c>
      <c r="BH10" s="87" t="s">
        <v>193</v>
      </c>
      <c r="BJ10" s="87" t="s">
        <v>194</v>
      </c>
      <c r="BK10" s="89" t="s">
        <v>195</v>
      </c>
      <c r="BL10" s="89" t="s">
        <v>196</v>
      </c>
      <c r="BM10" s="87" t="s">
        <v>197</v>
      </c>
      <c r="BN10" s="87" t="s">
        <v>198</v>
      </c>
      <c r="BO10" s="89" t="s">
        <v>199</v>
      </c>
      <c r="BP10" s="89" t="s">
        <v>200</v>
      </c>
      <c r="BQ10" s="89" t="s">
        <v>201</v>
      </c>
      <c r="BR10" s="87" t="s">
        <v>202</v>
      </c>
      <c r="BS10" s="89" t="s">
        <v>203</v>
      </c>
      <c r="BT10" s="89" t="s">
        <v>90</v>
      </c>
      <c r="BU10" s="89" t="s">
        <v>14</v>
      </c>
      <c r="BV10" s="87" t="s">
        <v>204</v>
      </c>
      <c r="BX10" s="285" t="s">
        <v>843</v>
      </c>
    </row>
    <row r="11" spans="1:76">
      <c r="A11" s="90">
        <f>IF(MID(B11,3,2)="07",ROW(),"")</f>
        <v>11</v>
      </c>
      <c r="B11" s="98" t="s">
        <v>409</v>
      </c>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BA11" s="91">
        <f ca="1">IF(BA10=0,0,MIN(INDIRECT(BB11)))</f>
        <v>11</v>
      </c>
      <c r="BB11" s="88" t="str">
        <f>IF(BA10=0,"",CONCATENATE("A",BA10+1,":A",BB$10))</f>
        <v>A2:A1200</v>
      </c>
      <c r="BC11" s="89" t="str">
        <f ca="1">IF(BA11=0,0,CONCATENATE("B",BA11))</f>
        <v>B11</v>
      </c>
      <c r="BD11" s="89">
        <f ca="1">IF(BC11=0,0,RANK(BF11,$BF$11:$BF$70,0)+(COUNTIF($BF11:$BF$70,BF11)-1))</f>
        <v>28</v>
      </c>
      <c r="BE11" s="89" t="str">
        <f ca="1">IF(BC11=0,0,LEFT(INDIRECT(BC11),6))</f>
        <v>140701</v>
      </c>
      <c r="BF11" s="89">
        <f ca="1">VALUE(BW11)</f>
        <v>14070113</v>
      </c>
      <c r="BG11" s="89">
        <f ca="1">IF(BA11=0,0,VALUE(LEFT(BE11,2)))</f>
        <v>14</v>
      </c>
      <c r="BH11" s="89">
        <f ca="1">IF(BA11=0,0,VALUE(MID(BE11,5,2)))</f>
        <v>1</v>
      </c>
      <c r="BI11" s="89" t="str">
        <f ca="1">IF(BA11=0,0,CONCATENATE("B",BA11+BG11+1))</f>
        <v>B26</v>
      </c>
      <c r="BJ11" s="89">
        <f ca="1">IF(BA11=0,0,VALUE(MID(INDIRECT(BI11),4,2)))</f>
        <v>13</v>
      </c>
      <c r="BK11" s="89">
        <f ca="1">IF(BA11=0,0,VALUE(MID(INDIRECT(BI11),9,2)))</f>
        <v>13</v>
      </c>
      <c r="BL11" s="89">
        <f ca="1">IF(BA11=0,0,VALUE(MID(INDIRECT(BI11),14,3)))</f>
        <v>91</v>
      </c>
      <c r="BM11" s="89">
        <f ca="1">IF(BA11=0,0,2+BK11)</f>
        <v>15</v>
      </c>
      <c r="BN11" s="89" t="str">
        <f ca="1">IF(BA11=0,0,CONCATENATE("S7!B",BA11+1,":",HLOOKUP(BM11,$B$1:$AZ$2,2,FALSE),BA11+BG11))</f>
        <v>S7!B12:O25</v>
      </c>
      <c r="BO11" s="89" t="str">
        <f ca="1">IF(BA11=0,0,IF(BV11="c","c",IF(ISERROR(FIND("s",INDIRECT($BC11))),IF(ISERROR(FIND("e",INDIRECT($BC11))),"L","e"),"s")))</f>
        <v>s</v>
      </c>
      <c r="BP11" s="89" t="str">
        <f ca="1">IF(BA11=0,0,IF(ISERROR(FIND("b",INDIRECT($BC11))),IF(ISERROR(FIND("w",INDIRECT($BC11))),"","w"),"b"))</f>
        <v/>
      </c>
      <c r="BQ11" s="89" t="str">
        <f ca="1">IF(BA11=0,0,IF(ISERROR(FIND("w",INDIRECT($BC11))),"","w"))</f>
        <v/>
      </c>
      <c r="BR11" s="87" t="str">
        <f ca="1">IF(BA11=0,0,IF(ISERROR(FIND("x",INDIRECT($BC11))),IF(ISERROR(FIND("E",INDIRECT($BC11))),"","E"),"x"))</f>
        <v/>
      </c>
      <c r="BS11" s="89" t="str">
        <f ca="1">IF(BA11=0,0,IF(ISERROR(FIND("a",INDIRECT($BC11))),"","a"))</f>
        <v/>
      </c>
      <c r="BT11" s="89" t="str">
        <f ca="1">IF(BA11=0,0,IF(ISERROR(FIND("E",INDIRECT($BC11))),"","E"))</f>
        <v/>
      </c>
      <c r="BU11" s="89" t="str">
        <f ca="1">IF(BA11=0,0,IF(ISERROR(FIND("X",INDIRECT($BC11))),"","X"))</f>
        <v/>
      </c>
      <c r="BV11" s="87" t="str">
        <f ca="1">IF(BA11=0,0,IF(ISERROR(FIND("c",INDIRECT($BC11))),"","c"))</f>
        <v/>
      </c>
      <c r="BW11" s="87" t="str">
        <f ca="1">CONCATENATE(BE11,IF(BK11&lt;10,"0",""),BK11)</f>
        <v>14070113</v>
      </c>
      <c r="BX11" s="89">
        <f ca="1">IF(BV11="c",RIGHT(INDIRECT(BC11),2),0)</f>
        <v>0</v>
      </c>
    </row>
    <row r="12" spans="1:76">
      <c r="A12" s="90" t="str">
        <f t="shared" ref="A12:A75" si="2">IF(MID(B12,3,2)="07",ROW(),"")</f>
        <v/>
      </c>
      <c r="B12" s="98">
        <v>1</v>
      </c>
      <c r="C12" s="94">
        <v>-5</v>
      </c>
      <c r="D12" s="94">
        <v>1</v>
      </c>
      <c r="E12" s="94">
        <v>2</v>
      </c>
      <c r="F12" s="94">
        <v>-6</v>
      </c>
      <c r="G12" s="94">
        <v>3</v>
      </c>
      <c r="H12" s="94">
        <v>4</v>
      </c>
      <c r="I12" s="94">
        <v>5</v>
      </c>
      <c r="J12" s="94">
        <v>-1</v>
      </c>
      <c r="K12" s="94">
        <v>-3</v>
      </c>
      <c r="L12" s="94">
        <v>7</v>
      </c>
      <c r="M12" s="94">
        <v>-2</v>
      </c>
      <c r="N12" s="94">
        <v>6</v>
      </c>
      <c r="O12" s="94">
        <v>-4</v>
      </c>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BA12" s="91">
        <f t="shared" ref="BA12:BA70" ca="1" si="3">IF(BA11=0,0,MIN(INDIRECT(BB12)))</f>
        <v>27</v>
      </c>
      <c r="BB12" s="88" t="str">
        <f t="shared" ref="BB12:BB70" ca="1" si="4">IF(BA11=0,"",CONCATENATE("A",BA11+1,":A",BB$10))</f>
        <v>A12:A1200</v>
      </c>
      <c r="BC12" s="89" t="str">
        <f t="shared" ref="BC12:BC70" ca="1" si="5">IF(BA12=0,0,CONCATENATE("B",BA12))</f>
        <v>B27</v>
      </c>
      <c r="BD12" s="89">
        <f ca="1">IF(BC12=0,0,RANK(BF12,$BF$11:$BF$70,0)+(COUNTIF($BF12:$BF$70,BF12)-1))</f>
        <v>27</v>
      </c>
      <c r="BE12" s="89" t="str">
        <f t="shared" ref="BE12:BE70" ca="1" si="6">IF(BC12=0,0,LEFT(INDIRECT(BC12),6))</f>
        <v>140702</v>
      </c>
      <c r="BF12" s="89">
        <f t="shared" ref="BF12:BF70" ca="1" si="7">VALUE(BW12)</f>
        <v>14070207</v>
      </c>
      <c r="BG12" s="89">
        <f t="shared" ref="BG12:BG70" ca="1" si="8">IF(BA12=0,0,VALUE(LEFT(BE12,2)))</f>
        <v>14</v>
      </c>
      <c r="BH12" s="89">
        <f t="shared" ref="BH12:BH70" ca="1" si="9">IF(BA12=0,0,VALUE(MID(BE12,5,2)))</f>
        <v>2</v>
      </c>
      <c r="BI12" s="89" t="str">
        <f t="shared" ref="BI12:BI70" ca="1" si="10">IF(BA12=0,0,CONCATENATE("B",BA12+BG12+1))</f>
        <v>B42</v>
      </c>
      <c r="BJ12" s="89">
        <f t="shared" ref="BJ12:BJ70" ca="1" si="11">IF(BA12=0,0,VALUE(MID(INDIRECT(BI12),4,2)))</f>
        <v>7</v>
      </c>
      <c r="BK12" s="89">
        <f t="shared" ref="BK12:BK70" ca="1" si="12">IF(BA12=0,0,VALUE(MID(INDIRECT(BI12),9,2)))</f>
        <v>7</v>
      </c>
      <c r="BL12" s="89">
        <f t="shared" ref="BL12:BL70" ca="1" si="13">IF(BA12=0,0,VALUE(MID(INDIRECT(BI12),14,3)))</f>
        <v>49</v>
      </c>
      <c r="BM12" s="89">
        <f t="shared" ref="BM12:BM70" ca="1" si="14">IF(BA12=0,0,2+BK12)</f>
        <v>9</v>
      </c>
      <c r="BN12" s="89" t="str">
        <f t="shared" ref="BN12:BN70" ca="1" si="15">IF(BA12=0,0,CONCATENATE("S7!B",BA12+1,":",HLOOKUP(BM12,$B$1:$AZ$2,2,FALSE),BA12+BG12))</f>
        <v>S7!B28:I41</v>
      </c>
      <c r="BO12" s="89" t="str">
        <f t="shared" ref="BO12:BO70" ca="1" si="16">IF(BA12=0,0,IF(BV12="c","c",IF(ISERROR(FIND("s",INDIRECT($BC12))),IF(ISERROR(FIND("e",INDIRECT($BC12))),"L","e"),"s")))</f>
        <v>s</v>
      </c>
      <c r="BP12" s="89" t="str">
        <f t="shared" ref="BP12:BP70" ca="1" si="17">IF(BA12=0,0,IF(ISERROR(FIND("b",INDIRECT($BC12))),IF(ISERROR(FIND("w",INDIRECT($BC12))),"","w"),"b"))</f>
        <v/>
      </c>
      <c r="BQ12" s="89" t="str">
        <f t="shared" ref="BQ12:BQ70" ca="1" si="18">IF(BA12=0,0,IF(ISERROR(FIND("w",INDIRECT($BC12))),"","w"))</f>
        <v/>
      </c>
      <c r="BR12" s="87" t="str">
        <f t="shared" ref="BR12:BR70" ca="1" si="19">IF(BA12=0,0,IF(ISERROR(FIND("x",INDIRECT($BC12))),IF(ISERROR(FIND("E",INDIRECT($BC12))),"","E"),"x"))</f>
        <v>x</v>
      </c>
      <c r="BS12" s="89" t="str">
        <f t="shared" ref="BS12:BS70" ca="1" si="20">IF(BA12=0,0,IF(ISERROR(FIND("a",INDIRECT($BC12))),"","a"))</f>
        <v/>
      </c>
      <c r="BT12" s="89" t="str">
        <f t="shared" ref="BT12:BT70" ca="1" si="21">IF(BA12=0,0,IF(ISERROR(FIND("E",INDIRECT($BC12))),"","E"))</f>
        <v/>
      </c>
      <c r="BU12" s="89" t="str">
        <f t="shared" ref="BU12:BU70" ca="1" si="22">IF(BA12=0,0,IF(ISERROR(FIND("X",INDIRECT($BC12))),"","X"))</f>
        <v/>
      </c>
      <c r="BV12" s="87" t="str">
        <f t="shared" ref="BV12:BV70" ca="1" si="23">IF(BA12=0,0,IF(ISERROR(FIND("c",INDIRECT($BC12))),"","c"))</f>
        <v/>
      </c>
      <c r="BW12" s="87" t="str">
        <f t="shared" ref="BW12:BW70" ca="1" si="24">CONCATENATE(BE12,IF(BK12&lt;10,"0",""),BK12)</f>
        <v>14070207</v>
      </c>
      <c r="BX12" s="89">
        <f t="shared" ref="BX12:BX70" ca="1" si="25">IF(BV12="c",RIGHT(INDIRECT(BC12),2),0)</f>
        <v>0</v>
      </c>
    </row>
    <row r="13" spans="1:76">
      <c r="A13" s="90" t="str">
        <f t="shared" si="2"/>
        <v/>
      </c>
      <c r="B13" s="98">
        <v>2</v>
      </c>
      <c r="C13" s="94">
        <v>-6</v>
      </c>
      <c r="D13" s="94">
        <v>-4</v>
      </c>
      <c r="E13" s="94">
        <v>5</v>
      </c>
      <c r="F13" s="94">
        <v>2</v>
      </c>
      <c r="G13" s="94">
        <v>1</v>
      </c>
      <c r="H13" s="94">
        <v>3</v>
      </c>
      <c r="I13" s="94">
        <v>-7</v>
      </c>
      <c r="J13" s="94">
        <v>6</v>
      </c>
      <c r="K13" s="94">
        <v>-5</v>
      </c>
      <c r="L13" s="94">
        <v>-2</v>
      </c>
      <c r="M13" s="94">
        <v>-1</v>
      </c>
      <c r="N13" s="94">
        <v>-3</v>
      </c>
      <c r="O13" s="94">
        <v>4</v>
      </c>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BA13" s="91">
        <f t="shared" ca="1" si="3"/>
        <v>43</v>
      </c>
      <c r="BB13" s="88" t="str">
        <f t="shared" ca="1" si="4"/>
        <v>A28:A1200</v>
      </c>
      <c r="BC13" s="89" t="str">
        <f t="shared" ca="1" si="5"/>
        <v>B43</v>
      </c>
      <c r="BD13" s="89">
        <f ca="1">IF(BC13=0,0,RANK(BF13,$BF$11:$BF$70,0)+(COUNTIF($BF13:$BF$70,BF13)-1))</f>
        <v>26</v>
      </c>
      <c r="BE13" s="89" t="str">
        <f t="shared" ca="1" si="6"/>
        <v>140703</v>
      </c>
      <c r="BF13" s="89">
        <f t="shared" ca="1" si="7"/>
        <v>14070305</v>
      </c>
      <c r="BG13" s="89">
        <f t="shared" ca="1" si="8"/>
        <v>14</v>
      </c>
      <c r="BH13" s="89">
        <f t="shared" ca="1" si="9"/>
        <v>3</v>
      </c>
      <c r="BI13" s="89" t="str">
        <f t="shared" ca="1" si="10"/>
        <v>B58</v>
      </c>
      <c r="BJ13" s="89">
        <f t="shared" ca="1" si="11"/>
        <v>5</v>
      </c>
      <c r="BK13" s="89">
        <f t="shared" ca="1" si="12"/>
        <v>5</v>
      </c>
      <c r="BL13" s="89">
        <f t="shared" ca="1" si="13"/>
        <v>35</v>
      </c>
      <c r="BM13" s="89">
        <f t="shared" ca="1" si="14"/>
        <v>7</v>
      </c>
      <c r="BN13" s="89" t="str">
        <f t="shared" ca="1" si="15"/>
        <v>S7!B44:G57</v>
      </c>
      <c r="BO13" s="89" t="str">
        <f t="shared" ca="1" si="16"/>
        <v>s</v>
      </c>
      <c r="BP13" s="89" t="str">
        <f t="shared" ca="1" si="17"/>
        <v/>
      </c>
      <c r="BQ13" s="89" t="str">
        <f t="shared" ca="1" si="18"/>
        <v/>
      </c>
      <c r="BR13" s="87" t="str">
        <f t="shared" ca="1" si="19"/>
        <v>E</v>
      </c>
      <c r="BS13" s="89" t="str">
        <f t="shared" ca="1" si="20"/>
        <v>a</v>
      </c>
      <c r="BT13" s="89" t="str">
        <f t="shared" ca="1" si="21"/>
        <v>E</v>
      </c>
      <c r="BU13" s="89" t="str">
        <f t="shared" ca="1" si="22"/>
        <v/>
      </c>
      <c r="BV13" s="87" t="str">
        <f t="shared" ca="1" si="23"/>
        <v/>
      </c>
      <c r="BW13" s="87" t="str">
        <f t="shared" ca="1" si="24"/>
        <v>14070305</v>
      </c>
      <c r="BX13" s="89">
        <f t="shared" ca="1" si="25"/>
        <v>0</v>
      </c>
    </row>
    <row r="14" spans="1:76">
      <c r="A14" s="90" t="str">
        <f t="shared" si="2"/>
        <v/>
      </c>
      <c r="B14" s="98">
        <v>3</v>
      </c>
      <c r="C14" s="94">
        <v>1</v>
      </c>
      <c r="D14" s="94">
        <v>-5</v>
      </c>
      <c r="E14" s="94">
        <v>4</v>
      </c>
      <c r="F14" s="94">
        <v>-3</v>
      </c>
      <c r="G14" s="94">
        <v>7</v>
      </c>
      <c r="H14" s="94">
        <v>-6</v>
      </c>
      <c r="I14" s="94">
        <v>-1</v>
      </c>
      <c r="J14" s="94">
        <v>-4</v>
      </c>
      <c r="K14" s="94">
        <v>-7</v>
      </c>
      <c r="L14" s="94">
        <v>6</v>
      </c>
      <c r="M14" s="94">
        <v>2</v>
      </c>
      <c r="N14" s="94">
        <v>3</v>
      </c>
      <c r="O14" s="94">
        <v>5</v>
      </c>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BA14" s="91">
        <f t="shared" ca="1" si="3"/>
        <v>59</v>
      </c>
      <c r="BB14" s="88" t="str">
        <f t="shared" ca="1" si="4"/>
        <v>A44:A1200</v>
      </c>
      <c r="BC14" s="89" t="str">
        <f t="shared" ca="1" si="5"/>
        <v>B59</v>
      </c>
      <c r="BD14" s="89">
        <f ca="1">IF(BC14=0,0,RANK(BF14,$BF$11:$BF$70,0)+(COUNTIF($BF14:$BF$70,BF14)-1))</f>
        <v>25</v>
      </c>
      <c r="BE14" s="89" t="str">
        <f t="shared" ca="1" si="6"/>
        <v>150701</v>
      </c>
      <c r="BF14" s="89">
        <f t="shared" ca="1" si="7"/>
        <v>15070115</v>
      </c>
      <c r="BG14" s="89">
        <f t="shared" ca="1" si="8"/>
        <v>15</v>
      </c>
      <c r="BH14" s="89">
        <f t="shared" ca="1" si="9"/>
        <v>1</v>
      </c>
      <c r="BI14" s="89" t="str">
        <f t="shared" ca="1" si="10"/>
        <v>B75</v>
      </c>
      <c r="BJ14" s="89">
        <f t="shared" ca="1" si="11"/>
        <v>14</v>
      </c>
      <c r="BK14" s="89">
        <f t="shared" ca="1" si="12"/>
        <v>15</v>
      </c>
      <c r="BL14" s="89">
        <f t="shared" ca="1" si="13"/>
        <v>105</v>
      </c>
      <c r="BM14" s="89">
        <f t="shared" ca="1" si="14"/>
        <v>17</v>
      </c>
      <c r="BN14" s="89" t="str">
        <f t="shared" ca="1" si="15"/>
        <v>S7!B60:Q74</v>
      </c>
      <c r="BO14" s="89" t="str">
        <f t="shared" ca="1" si="16"/>
        <v>s</v>
      </c>
      <c r="BP14" s="89" t="str">
        <f t="shared" ca="1" si="17"/>
        <v>b</v>
      </c>
      <c r="BQ14" s="89" t="str">
        <f t="shared" ca="1" si="18"/>
        <v/>
      </c>
      <c r="BR14" s="87" t="str">
        <f t="shared" ca="1" si="19"/>
        <v/>
      </c>
      <c r="BS14" s="89" t="str">
        <f t="shared" ca="1" si="20"/>
        <v/>
      </c>
      <c r="BT14" s="89" t="str">
        <f t="shared" ca="1" si="21"/>
        <v/>
      </c>
      <c r="BU14" s="89" t="str">
        <f t="shared" ca="1" si="22"/>
        <v/>
      </c>
      <c r="BV14" s="87" t="str">
        <f t="shared" ca="1" si="23"/>
        <v/>
      </c>
      <c r="BW14" s="87" t="str">
        <f t="shared" ca="1" si="24"/>
        <v>15070115</v>
      </c>
      <c r="BX14" s="89">
        <f t="shared" ca="1" si="25"/>
        <v>0</v>
      </c>
    </row>
    <row r="15" spans="1:76">
      <c r="A15" s="90" t="str">
        <f t="shared" si="2"/>
        <v/>
      </c>
      <c r="B15" s="98">
        <v>4</v>
      </c>
      <c r="C15" s="94">
        <v>-7</v>
      </c>
      <c r="D15" s="94">
        <v>3</v>
      </c>
      <c r="E15" s="94">
        <v>6</v>
      </c>
      <c r="F15" s="94">
        <v>-1</v>
      </c>
      <c r="G15" s="94">
        <v>2</v>
      </c>
      <c r="H15" s="94">
        <v>5</v>
      </c>
      <c r="I15" s="94">
        <v>-3</v>
      </c>
      <c r="J15" s="94">
        <v>7</v>
      </c>
      <c r="K15" s="94">
        <v>-2</v>
      </c>
      <c r="L15" s="94">
        <v>-4</v>
      </c>
      <c r="M15" s="94">
        <v>1</v>
      </c>
      <c r="N15" s="94">
        <v>-6</v>
      </c>
      <c r="O15" s="94">
        <v>-5</v>
      </c>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BA15" s="91">
        <f t="shared" ca="1" si="3"/>
        <v>76</v>
      </c>
      <c r="BB15" s="88" t="str">
        <f t="shared" ca="1" si="4"/>
        <v>A60:A1200</v>
      </c>
      <c r="BC15" s="89" t="str">
        <f t="shared" ca="1" si="5"/>
        <v>B76</v>
      </c>
      <c r="BD15" s="89">
        <f ca="1">IF(BC15=0,0,RANK(BF15,$BF$11:$BF$70,0)+(COUNTIF($BF15:$BF$70,BF15)-1))</f>
        <v>24</v>
      </c>
      <c r="BE15" s="89" t="str">
        <f t="shared" ca="1" si="6"/>
        <v>150702</v>
      </c>
      <c r="BF15" s="89">
        <f t="shared" ca="1" si="7"/>
        <v>15070207</v>
      </c>
      <c r="BG15" s="89">
        <f t="shared" ca="1" si="8"/>
        <v>15</v>
      </c>
      <c r="BH15" s="89">
        <f t="shared" ca="1" si="9"/>
        <v>2</v>
      </c>
      <c r="BI15" s="89" t="str">
        <f t="shared" ca="1" si="10"/>
        <v>B92</v>
      </c>
      <c r="BJ15" s="89">
        <f t="shared" ca="1" si="11"/>
        <v>7</v>
      </c>
      <c r="BK15" s="89">
        <f t="shared" ca="1" si="12"/>
        <v>7</v>
      </c>
      <c r="BL15" s="89">
        <f t="shared" ca="1" si="13"/>
        <v>49</v>
      </c>
      <c r="BM15" s="89">
        <f t="shared" ca="1" si="14"/>
        <v>9</v>
      </c>
      <c r="BN15" s="89" t="str">
        <f t="shared" ca="1" si="15"/>
        <v>S7!B77:I91</v>
      </c>
      <c r="BO15" s="89" t="str">
        <f t="shared" ca="1" si="16"/>
        <v>s</v>
      </c>
      <c r="BP15" s="89" t="str">
        <f t="shared" ca="1" si="17"/>
        <v>w</v>
      </c>
      <c r="BQ15" s="89" t="str">
        <f t="shared" ca="1" si="18"/>
        <v>w</v>
      </c>
      <c r="BR15" s="87" t="str">
        <f t="shared" ca="1" si="19"/>
        <v/>
      </c>
      <c r="BS15" s="89" t="str">
        <f t="shared" ca="1" si="20"/>
        <v/>
      </c>
      <c r="BT15" s="89" t="str">
        <f t="shared" ca="1" si="21"/>
        <v/>
      </c>
      <c r="BU15" s="89" t="str">
        <f t="shared" ca="1" si="22"/>
        <v/>
      </c>
      <c r="BV15" s="87" t="str">
        <f t="shared" ca="1" si="23"/>
        <v/>
      </c>
      <c r="BW15" s="87" t="str">
        <f t="shared" ca="1" si="24"/>
        <v>15070207</v>
      </c>
      <c r="BX15" s="89">
        <f t="shared" ca="1" si="25"/>
        <v>0</v>
      </c>
    </row>
    <row r="16" spans="1:76">
      <c r="A16" s="90" t="str">
        <f t="shared" si="2"/>
        <v/>
      </c>
      <c r="B16" s="98">
        <v>5</v>
      </c>
      <c r="C16" s="94">
        <v>-3</v>
      </c>
      <c r="D16" s="94">
        <v>-7</v>
      </c>
      <c r="E16" s="94">
        <v>-2</v>
      </c>
      <c r="F16" s="94">
        <v>4</v>
      </c>
      <c r="G16" s="94">
        <v>6</v>
      </c>
      <c r="H16" s="94">
        <v>-5</v>
      </c>
      <c r="I16" s="94">
        <v>7</v>
      </c>
      <c r="J16" s="94">
        <v>2</v>
      </c>
      <c r="K16" s="94">
        <v>1</v>
      </c>
      <c r="L16" s="94">
        <v>-6</v>
      </c>
      <c r="M16" s="94">
        <v>-4</v>
      </c>
      <c r="N16" s="94">
        <v>5</v>
      </c>
      <c r="O16" s="94">
        <v>3</v>
      </c>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BA16" s="91">
        <f t="shared" ca="1" si="3"/>
        <v>93</v>
      </c>
      <c r="BB16" s="88" t="str">
        <f t="shared" ca="1" si="4"/>
        <v>A77:A1200</v>
      </c>
      <c r="BC16" s="89" t="str">
        <f t="shared" ca="1" si="5"/>
        <v>B93</v>
      </c>
      <c r="BD16" s="89">
        <f ca="1">IF(BC16=0,0,RANK(BF16,$BF$11:$BF$70,0)+(COUNTIF($BF16:$BF$70,BF16)-1))</f>
        <v>23</v>
      </c>
      <c r="BE16" s="89" t="str">
        <f t="shared" ca="1" si="6"/>
        <v>160703</v>
      </c>
      <c r="BF16" s="89">
        <f t="shared" ca="1" si="7"/>
        <v>16070305</v>
      </c>
      <c r="BG16" s="89">
        <f t="shared" ca="1" si="8"/>
        <v>16</v>
      </c>
      <c r="BH16" s="89">
        <f t="shared" ca="1" si="9"/>
        <v>3</v>
      </c>
      <c r="BI16" s="89" t="str">
        <f t="shared" ca="1" si="10"/>
        <v>B110</v>
      </c>
      <c r="BJ16" s="89">
        <f t="shared" ca="1" si="11"/>
        <v>5</v>
      </c>
      <c r="BK16" s="89">
        <f t="shared" ca="1" si="12"/>
        <v>5</v>
      </c>
      <c r="BL16" s="89">
        <f t="shared" ca="1" si="13"/>
        <v>35</v>
      </c>
      <c r="BM16" s="89">
        <f t="shared" ca="1" si="14"/>
        <v>7</v>
      </c>
      <c r="BN16" s="89" t="str">
        <f t="shared" ca="1" si="15"/>
        <v>S7!B94:G109</v>
      </c>
      <c r="BO16" s="89" t="str">
        <f t="shared" ca="1" si="16"/>
        <v>s</v>
      </c>
      <c r="BP16" s="89" t="str">
        <f t="shared" ca="1" si="17"/>
        <v>w</v>
      </c>
      <c r="BQ16" s="89" t="str">
        <f t="shared" ca="1" si="18"/>
        <v>w</v>
      </c>
      <c r="BR16" s="87" t="str">
        <f t="shared" ca="1" si="19"/>
        <v/>
      </c>
      <c r="BS16" s="89" t="str">
        <f t="shared" ca="1" si="20"/>
        <v/>
      </c>
      <c r="BT16" s="89" t="str">
        <f t="shared" ca="1" si="21"/>
        <v/>
      </c>
      <c r="BU16" s="89" t="str">
        <f t="shared" ca="1" si="22"/>
        <v/>
      </c>
      <c r="BV16" s="87" t="str">
        <f t="shared" ca="1" si="23"/>
        <v/>
      </c>
      <c r="BW16" s="87" t="str">
        <f t="shared" ca="1" si="24"/>
        <v>16070305</v>
      </c>
      <c r="BX16" s="89">
        <f t="shared" ca="1" si="25"/>
        <v>0</v>
      </c>
    </row>
    <row r="17" spans="1:76">
      <c r="A17" s="90" t="str">
        <f t="shared" si="2"/>
        <v/>
      </c>
      <c r="B17" s="98">
        <v>6</v>
      </c>
      <c r="C17" s="94">
        <v>5</v>
      </c>
      <c r="D17" s="94">
        <v>6</v>
      </c>
      <c r="E17" s="94">
        <v>3</v>
      </c>
      <c r="F17" s="94">
        <v>-7</v>
      </c>
      <c r="G17" s="94">
        <v>-4</v>
      </c>
      <c r="H17" s="94">
        <v>1</v>
      </c>
      <c r="I17" s="94">
        <v>-2</v>
      </c>
      <c r="J17" s="94">
        <v>-6</v>
      </c>
      <c r="K17" s="94">
        <v>7</v>
      </c>
      <c r="L17" s="94">
        <v>4</v>
      </c>
      <c r="M17" s="94">
        <v>-5</v>
      </c>
      <c r="N17" s="94">
        <v>-1</v>
      </c>
      <c r="O17" s="94">
        <v>-3</v>
      </c>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BA17" s="91">
        <f t="shared" ca="1" si="3"/>
        <v>111</v>
      </c>
      <c r="BB17" s="88" t="str">
        <f t="shared" ca="1" si="4"/>
        <v>A94:A1200</v>
      </c>
      <c r="BC17" s="89" t="str">
        <f t="shared" ca="1" si="5"/>
        <v>B111</v>
      </c>
      <c r="BD17" s="89">
        <f ca="1">IF(BC17=0,0,RANK(BF17,$BF$11:$BF$70,0)+(COUNTIF($BF17:$BF$70,BF17)-1))</f>
        <v>20</v>
      </c>
      <c r="BE17" s="89" t="str">
        <f t="shared" ca="1" si="6"/>
        <v>260702</v>
      </c>
      <c r="BF17" s="89">
        <f t="shared" ca="1" si="7"/>
        <v>26070226</v>
      </c>
      <c r="BG17" s="89">
        <f t="shared" ca="1" si="8"/>
        <v>26</v>
      </c>
      <c r="BH17" s="89">
        <f t="shared" ca="1" si="9"/>
        <v>2</v>
      </c>
      <c r="BI17" s="89" t="str">
        <f t="shared" ca="1" si="10"/>
        <v>B138</v>
      </c>
      <c r="BJ17" s="89">
        <f t="shared" ca="1" si="11"/>
        <v>13</v>
      </c>
      <c r="BK17" s="89">
        <f t="shared" ca="1" si="12"/>
        <v>26</v>
      </c>
      <c r="BL17" s="89">
        <f t="shared" ca="1" si="13"/>
        <v>169</v>
      </c>
      <c r="BM17" s="89">
        <f t="shared" ca="1" si="14"/>
        <v>28</v>
      </c>
      <c r="BN17" s="89" t="str">
        <f t="shared" ca="1" si="15"/>
        <v>S7!B112:AB137</v>
      </c>
      <c r="BO17" s="89" t="str">
        <f t="shared" ca="1" si="16"/>
        <v>e</v>
      </c>
      <c r="BP17" s="89" t="str">
        <f t="shared" ca="1" si="17"/>
        <v/>
      </c>
      <c r="BQ17" s="89" t="str">
        <f t="shared" ca="1" si="18"/>
        <v/>
      </c>
      <c r="BR17" s="87" t="str">
        <f t="shared" ca="1" si="19"/>
        <v>x</v>
      </c>
      <c r="BS17" s="89" t="str">
        <f t="shared" ca="1" si="20"/>
        <v/>
      </c>
      <c r="BT17" s="89" t="str">
        <f t="shared" ca="1" si="21"/>
        <v/>
      </c>
      <c r="BU17" s="89" t="str">
        <f t="shared" ca="1" si="22"/>
        <v/>
      </c>
      <c r="BV17" s="87" t="str">
        <f t="shared" ca="1" si="23"/>
        <v/>
      </c>
      <c r="BW17" s="87" t="str">
        <f t="shared" ca="1" si="24"/>
        <v>26070226</v>
      </c>
      <c r="BX17" s="89">
        <f t="shared" ca="1" si="25"/>
        <v>0</v>
      </c>
    </row>
    <row r="18" spans="1:76">
      <c r="A18" s="90" t="str">
        <f t="shared" si="2"/>
        <v/>
      </c>
      <c r="B18" s="98">
        <v>7</v>
      </c>
      <c r="C18" s="94">
        <v>4</v>
      </c>
      <c r="D18" s="94">
        <v>-1</v>
      </c>
      <c r="E18" s="94">
        <v>-6</v>
      </c>
      <c r="F18" s="94">
        <v>7</v>
      </c>
      <c r="G18" s="94">
        <v>5</v>
      </c>
      <c r="H18" s="94">
        <v>-2</v>
      </c>
      <c r="I18" s="94">
        <v>1</v>
      </c>
      <c r="J18" s="94">
        <v>3</v>
      </c>
      <c r="K18" s="94">
        <v>-4</v>
      </c>
      <c r="L18" s="94">
        <v>2</v>
      </c>
      <c r="M18" s="94">
        <v>-7</v>
      </c>
      <c r="N18" s="94">
        <v>-5</v>
      </c>
      <c r="O18" s="94">
        <v>6</v>
      </c>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BA18" s="91">
        <f t="shared" ca="1" si="3"/>
        <v>139</v>
      </c>
      <c r="BB18" s="88" t="str">
        <f t="shared" ca="1" si="4"/>
        <v>A112:A1200</v>
      </c>
      <c r="BC18" s="89" t="str">
        <f t="shared" ca="1" si="5"/>
        <v>B139</v>
      </c>
      <c r="BD18" s="89">
        <f ca="1">IF(BC18=0,0,RANK(BF18,$BF$11:$BF$70,0)+(COUNTIF($BF18:$BF$70,BF18)-1))</f>
        <v>19</v>
      </c>
      <c r="BE18" s="89" t="str">
        <f t="shared" ca="1" si="6"/>
        <v>260703</v>
      </c>
      <c r="BF18" s="89">
        <f t="shared" ca="1" si="7"/>
        <v>26070318</v>
      </c>
      <c r="BG18" s="89">
        <f t="shared" ca="1" si="8"/>
        <v>26</v>
      </c>
      <c r="BH18" s="89">
        <f t="shared" ca="1" si="9"/>
        <v>3</v>
      </c>
      <c r="BI18" s="89" t="str">
        <f t="shared" ca="1" si="10"/>
        <v>B166</v>
      </c>
      <c r="BJ18" s="89">
        <f t="shared" ca="1" si="11"/>
        <v>9</v>
      </c>
      <c r="BK18" s="89">
        <f t="shared" ca="1" si="12"/>
        <v>18</v>
      </c>
      <c r="BL18" s="89">
        <f t="shared" ca="1" si="13"/>
        <v>117</v>
      </c>
      <c r="BM18" s="89">
        <f t="shared" ca="1" si="14"/>
        <v>20</v>
      </c>
      <c r="BN18" s="89" t="str">
        <f t="shared" ca="1" si="15"/>
        <v>S7!B140:T165</v>
      </c>
      <c r="BO18" s="89" t="str">
        <f t="shared" ca="1" si="16"/>
        <v>e</v>
      </c>
      <c r="BP18" s="89" t="str">
        <f t="shared" ca="1" si="17"/>
        <v/>
      </c>
      <c r="BQ18" s="89" t="str">
        <f t="shared" ca="1" si="18"/>
        <v/>
      </c>
      <c r="BR18" s="87" t="str">
        <f t="shared" ca="1" si="19"/>
        <v>E</v>
      </c>
      <c r="BS18" s="89" t="str">
        <f t="shared" ca="1" si="20"/>
        <v>a</v>
      </c>
      <c r="BT18" s="89" t="str">
        <f t="shared" ca="1" si="21"/>
        <v>E</v>
      </c>
      <c r="BU18" s="89" t="str">
        <f t="shared" ca="1" si="22"/>
        <v/>
      </c>
      <c r="BV18" s="87" t="str">
        <f t="shared" ca="1" si="23"/>
        <v/>
      </c>
      <c r="BW18" s="87" t="str">
        <f t="shared" ca="1" si="24"/>
        <v>26070318</v>
      </c>
      <c r="BX18" s="89">
        <f t="shared" ca="1" si="25"/>
        <v>0</v>
      </c>
    </row>
    <row r="19" spans="1:76">
      <c r="A19" s="90" t="str">
        <f t="shared" si="2"/>
        <v/>
      </c>
      <c r="B19" s="98">
        <v>8</v>
      </c>
      <c r="C19" s="94">
        <v>-2</v>
      </c>
      <c r="D19" s="94">
        <v>-3</v>
      </c>
      <c r="E19" s="94">
        <v>-7</v>
      </c>
      <c r="F19" s="94">
        <v>5</v>
      </c>
      <c r="G19" s="94">
        <v>-1</v>
      </c>
      <c r="H19" s="94">
        <v>6</v>
      </c>
      <c r="I19" s="94">
        <v>2</v>
      </c>
      <c r="J19" s="94">
        <v>-5</v>
      </c>
      <c r="K19" s="94">
        <v>3</v>
      </c>
      <c r="L19" s="94">
        <v>1</v>
      </c>
      <c r="M19" s="94">
        <v>4</v>
      </c>
      <c r="N19" s="94">
        <v>7</v>
      </c>
      <c r="O19" s="94">
        <v>-6</v>
      </c>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BA19" s="91">
        <f t="shared" ca="1" si="3"/>
        <v>167</v>
      </c>
      <c r="BB19" s="88" t="str">
        <f t="shared" ca="1" si="4"/>
        <v>A140:A1200</v>
      </c>
      <c r="BC19" s="89" t="str">
        <f t="shared" ca="1" si="5"/>
        <v>B167</v>
      </c>
      <c r="BD19" s="89">
        <f ca="1">IF(BC19=0,0,RANK(BF19,$BF$11:$BF$70,0)+(COUNTIF($BF19:$BF$70,BF19)-1))</f>
        <v>18</v>
      </c>
      <c r="BE19" s="89" t="str">
        <f t="shared" ca="1" si="6"/>
        <v>260704</v>
      </c>
      <c r="BF19" s="89">
        <f t="shared" ca="1" si="7"/>
        <v>26070414</v>
      </c>
      <c r="BG19" s="89">
        <f t="shared" ca="1" si="8"/>
        <v>26</v>
      </c>
      <c r="BH19" s="89">
        <f t="shared" ca="1" si="9"/>
        <v>4</v>
      </c>
      <c r="BI19" s="89" t="str">
        <f t="shared" ca="1" si="10"/>
        <v>B194</v>
      </c>
      <c r="BJ19" s="89">
        <f t="shared" ca="1" si="11"/>
        <v>7</v>
      </c>
      <c r="BK19" s="89">
        <f t="shared" ca="1" si="12"/>
        <v>14</v>
      </c>
      <c r="BL19" s="89">
        <f t="shared" ca="1" si="13"/>
        <v>91</v>
      </c>
      <c r="BM19" s="89">
        <f t="shared" ca="1" si="14"/>
        <v>16</v>
      </c>
      <c r="BN19" s="89" t="str">
        <f t="shared" ca="1" si="15"/>
        <v>S7!B168:P193</v>
      </c>
      <c r="BO19" s="89" t="str">
        <f t="shared" ca="1" si="16"/>
        <v>e</v>
      </c>
      <c r="BP19" s="89" t="str">
        <f t="shared" ca="1" si="17"/>
        <v/>
      </c>
      <c r="BQ19" s="89" t="str">
        <f t="shared" ca="1" si="18"/>
        <v/>
      </c>
      <c r="BR19" s="87" t="str">
        <f t="shared" ca="1" si="19"/>
        <v>x</v>
      </c>
      <c r="BS19" s="89" t="str">
        <f t="shared" ca="1" si="20"/>
        <v>a</v>
      </c>
      <c r="BT19" s="89" t="str">
        <f t="shared" ca="1" si="21"/>
        <v/>
      </c>
      <c r="BU19" s="89" t="str">
        <f t="shared" ca="1" si="22"/>
        <v/>
      </c>
      <c r="BV19" s="87" t="str">
        <f t="shared" ca="1" si="23"/>
        <v/>
      </c>
      <c r="BW19" s="87" t="str">
        <f t="shared" ca="1" si="24"/>
        <v>26070414</v>
      </c>
      <c r="BX19" s="89">
        <f t="shared" ca="1" si="25"/>
        <v>0</v>
      </c>
    </row>
    <row r="20" spans="1:76">
      <c r="A20" s="90" t="str">
        <f t="shared" si="2"/>
        <v/>
      </c>
      <c r="B20" s="98">
        <v>9</v>
      </c>
      <c r="C20" s="94">
        <v>7</v>
      </c>
      <c r="D20" s="94">
        <v>4</v>
      </c>
      <c r="E20" s="94">
        <v>-1</v>
      </c>
      <c r="F20" s="94">
        <v>3</v>
      </c>
      <c r="G20" s="94">
        <v>-6</v>
      </c>
      <c r="H20" s="94">
        <v>2</v>
      </c>
      <c r="I20" s="94">
        <v>-4</v>
      </c>
      <c r="J20" s="94">
        <v>5</v>
      </c>
      <c r="K20" s="94">
        <v>6</v>
      </c>
      <c r="L20" s="94">
        <v>-7</v>
      </c>
      <c r="M20" s="94">
        <v>-3</v>
      </c>
      <c r="N20" s="94">
        <v>1</v>
      </c>
      <c r="O20" s="94">
        <v>-2</v>
      </c>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BA20" s="91">
        <f t="shared" ca="1" si="3"/>
        <v>195</v>
      </c>
      <c r="BB20" s="88" t="str">
        <f t="shared" ca="1" si="4"/>
        <v>A168:A1200</v>
      </c>
      <c r="BC20" s="89" t="str">
        <f t="shared" ca="1" si="5"/>
        <v>B195</v>
      </c>
      <c r="BD20" s="89">
        <f ca="1">IF(BC20=0,0,RANK(BF20,$BF$11:$BF$70,0)+(COUNTIF($BF20:$BF$70,BF20)-1))</f>
        <v>12</v>
      </c>
      <c r="BE20" s="89" t="str">
        <f t="shared" ca="1" si="6"/>
        <v>270702</v>
      </c>
      <c r="BF20" s="89">
        <f t="shared" ca="1" si="7"/>
        <v>27070226</v>
      </c>
      <c r="BG20" s="89">
        <f t="shared" ca="1" si="8"/>
        <v>27</v>
      </c>
      <c r="BH20" s="89">
        <f t="shared" ca="1" si="9"/>
        <v>2</v>
      </c>
      <c r="BI20" s="89" t="str">
        <f t="shared" ca="1" si="10"/>
        <v>B223</v>
      </c>
      <c r="BJ20" s="89">
        <f t="shared" ca="1" si="11"/>
        <v>13</v>
      </c>
      <c r="BK20" s="89">
        <f t="shared" ca="1" si="12"/>
        <v>26</v>
      </c>
      <c r="BL20" s="89">
        <f t="shared" ca="1" si="13"/>
        <v>169</v>
      </c>
      <c r="BM20" s="89">
        <f t="shared" ca="1" si="14"/>
        <v>28</v>
      </c>
      <c r="BN20" s="89" t="str">
        <f t="shared" ca="1" si="15"/>
        <v>S7!B196:AB222</v>
      </c>
      <c r="BO20" s="89" t="str">
        <f t="shared" ca="1" si="16"/>
        <v>e</v>
      </c>
      <c r="BP20" s="89" t="str">
        <f t="shared" ca="1" si="17"/>
        <v>w</v>
      </c>
      <c r="BQ20" s="89" t="str">
        <f t="shared" ca="1" si="18"/>
        <v>w</v>
      </c>
      <c r="BR20" s="87" t="str">
        <f t="shared" ca="1" si="19"/>
        <v/>
      </c>
      <c r="BS20" s="89" t="str">
        <f t="shared" ca="1" si="20"/>
        <v/>
      </c>
      <c r="BT20" s="89" t="str">
        <f t="shared" ca="1" si="21"/>
        <v/>
      </c>
      <c r="BU20" s="89" t="str">
        <f t="shared" ca="1" si="22"/>
        <v/>
      </c>
      <c r="BV20" s="87" t="str">
        <f t="shared" ca="1" si="23"/>
        <v/>
      </c>
      <c r="BW20" s="87" t="str">
        <f t="shared" ca="1" si="24"/>
        <v>27070226</v>
      </c>
      <c r="BX20" s="89">
        <f t="shared" ca="1" si="25"/>
        <v>0</v>
      </c>
    </row>
    <row r="21" spans="1:76">
      <c r="A21" s="90" t="str">
        <f t="shared" si="2"/>
        <v/>
      </c>
      <c r="B21" s="98">
        <v>10</v>
      </c>
      <c r="C21" s="94">
        <v>-4</v>
      </c>
      <c r="D21" s="94">
        <v>-2</v>
      </c>
      <c r="E21" s="94">
        <v>-5</v>
      </c>
      <c r="F21" s="94">
        <v>1</v>
      </c>
      <c r="G21" s="94">
        <v>-3</v>
      </c>
      <c r="H21" s="94">
        <v>7</v>
      </c>
      <c r="I21" s="94">
        <v>-6</v>
      </c>
      <c r="J21" s="94">
        <v>4</v>
      </c>
      <c r="K21" s="94">
        <v>-1</v>
      </c>
      <c r="L21" s="94">
        <v>3</v>
      </c>
      <c r="M21" s="94">
        <v>5</v>
      </c>
      <c r="N21" s="94">
        <v>-7</v>
      </c>
      <c r="O21" s="94">
        <v>2</v>
      </c>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BA21" s="91">
        <f t="shared" ca="1" si="3"/>
        <v>224</v>
      </c>
      <c r="BB21" s="88" t="str">
        <f t="shared" ca="1" si="4"/>
        <v>A196:A1200</v>
      </c>
      <c r="BC21" s="89" t="str">
        <f t="shared" ca="1" si="5"/>
        <v>B224</v>
      </c>
      <c r="BD21" s="89">
        <f ca="1">IF(BC21=0,0,RANK(BF21,$BF$11:$BF$70,0)+(COUNTIF($BF21:$BF$70,BF21)-1))</f>
        <v>11</v>
      </c>
      <c r="BE21" s="89" t="str">
        <f t="shared" ca="1" si="6"/>
        <v>280701</v>
      </c>
      <c r="BF21" s="89">
        <f t="shared" ca="1" si="7"/>
        <v>28070128</v>
      </c>
      <c r="BG21" s="89">
        <f t="shared" ca="1" si="8"/>
        <v>28</v>
      </c>
      <c r="BH21" s="89">
        <f t="shared" ca="1" si="9"/>
        <v>1</v>
      </c>
      <c r="BI21" s="89" t="str">
        <f t="shared" ca="1" si="10"/>
        <v>B253</v>
      </c>
      <c r="BJ21" s="89">
        <f t="shared" ca="1" si="11"/>
        <v>27</v>
      </c>
      <c r="BK21" s="89">
        <f t="shared" ca="1" si="12"/>
        <v>28</v>
      </c>
      <c r="BL21" s="89">
        <f t="shared" ca="1" si="13"/>
        <v>378</v>
      </c>
      <c r="BM21" s="89">
        <f t="shared" ca="1" si="14"/>
        <v>30</v>
      </c>
      <c r="BN21" s="89" t="str">
        <f t="shared" ca="1" si="15"/>
        <v>S7!B225:AD252</v>
      </c>
      <c r="BO21" s="89" t="str">
        <f t="shared" ca="1" si="16"/>
        <v>e</v>
      </c>
      <c r="BP21" s="89" t="str">
        <f t="shared" ca="1" si="17"/>
        <v/>
      </c>
      <c r="BQ21" s="89" t="str">
        <f t="shared" ca="1" si="18"/>
        <v/>
      </c>
      <c r="BR21" s="87" t="str">
        <f t="shared" ca="1" si="19"/>
        <v/>
      </c>
      <c r="BS21" s="89" t="str">
        <f t="shared" ca="1" si="20"/>
        <v/>
      </c>
      <c r="BT21" s="89" t="str">
        <f t="shared" ca="1" si="21"/>
        <v/>
      </c>
      <c r="BU21" s="89" t="str">
        <f t="shared" ca="1" si="22"/>
        <v>X</v>
      </c>
      <c r="BV21" s="87" t="str">
        <f t="shared" ca="1" si="23"/>
        <v/>
      </c>
      <c r="BW21" s="87" t="str">
        <f t="shared" ca="1" si="24"/>
        <v>28070128</v>
      </c>
      <c r="BX21" s="89">
        <f t="shared" ca="1" si="25"/>
        <v>0</v>
      </c>
    </row>
    <row r="22" spans="1:76">
      <c r="A22" s="90" t="str">
        <f t="shared" si="2"/>
        <v/>
      </c>
      <c r="B22" s="98">
        <v>11</v>
      </c>
      <c r="C22" s="94">
        <v>-1</v>
      </c>
      <c r="D22" s="94">
        <v>-6</v>
      </c>
      <c r="E22" s="94">
        <v>7</v>
      </c>
      <c r="F22" s="94">
        <v>-4</v>
      </c>
      <c r="G22" s="94">
        <v>-2</v>
      </c>
      <c r="H22" s="94">
        <v>-3</v>
      </c>
      <c r="I22" s="94">
        <v>6</v>
      </c>
      <c r="J22" s="94">
        <v>1</v>
      </c>
      <c r="K22" s="94">
        <v>4</v>
      </c>
      <c r="L22" s="94">
        <v>-5</v>
      </c>
      <c r="M22" s="94">
        <v>3</v>
      </c>
      <c r="N22" s="94">
        <v>2</v>
      </c>
      <c r="O22" s="94">
        <v>-7</v>
      </c>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BA22" s="91">
        <f t="shared" ca="1" si="3"/>
        <v>254</v>
      </c>
      <c r="BB22" s="88" t="str">
        <f t="shared" ca="1" si="4"/>
        <v>A225:A1200</v>
      </c>
      <c r="BC22" s="89" t="str">
        <f t="shared" ca="1" si="5"/>
        <v>B254</v>
      </c>
      <c r="BD22" s="89">
        <f ca="1">IF(BC22=0,0,RANK(BF22,$BF$11:$BF$70,0)+(COUNTIF($BF22:$BF$70,BF22)-1))</f>
        <v>10</v>
      </c>
      <c r="BE22" s="89" t="str">
        <f t="shared" ca="1" si="6"/>
        <v>280702</v>
      </c>
      <c r="BF22" s="89">
        <f t="shared" ca="1" si="7"/>
        <v>28070226</v>
      </c>
      <c r="BG22" s="89">
        <f t="shared" ca="1" si="8"/>
        <v>28</v>
      </c>
      <c r="BH22" s="89">
        <f t="shared" ca="1" si="9"/>
        <v>2</v>
      </c>
      <c r="BI22" s="89" t="str">
        <f t="shared" ca="1" si="10"/>
        <v>B283</v>
      </c>
      <c r="BJ22" s="89">
        <f t="shared" ca="1" si="11"/>
        <v>13</v>
      </c>
      <c r="BK22" s="89">
        <f t="shared" ca="1" si="12"/>
        <v>26</v>
      </c>
      <c r="BL22" s="89">
        <f t="shared" ca="1" si="13"/>
        <v>182</v>
      </c>
      <c r="BM22" s="89">
        <f t="shared" ca="1" si="14"/>
        <v>28</v>
      </c>
      <c r="BN22" s="89" t="str">
        <f t="shared" ca="1" si="15"/>
        <v>S7!B255:AB282</v>
      </c>
      <c r="BO22" s="89" t="str">
        <f t="shared" ca="1" si="16"/>
        <v>e</v>
      </c>
      <c r="BP22" s="89" t="str">
        <f t="shared" ca="1" si="17"/>
        <v/>
      </c>
      <c r="BQ22" s="89" t="str">
        <f t="shared" ca="1" si="18"/>
        <v/>
      </c>
      <c r="BR22" s="87" t="str">
        <f t="shared" ca="1" si="19"/>
        <v/>
      </c>
      <c r="BS22" s="89" t="str">
        <f t="shared" ca="1" si="20"/>
        <v/>
      </c>
      <c r="BT22" s="89" t="str">
        <f t="shared" ca="1" si="21"/>
        <v/>
      </c>
      <c r="BU22" s="89" t="str">
        <f t="shared" ca="1" si="22"/>
        <v/>
      </c>
      <c r="BV22" s="87" t="str">
        <f t="shared" ca="1" si="23"/>
        <v/>
      </c>
      <c r="BW22" s="87" t="str">
        <f t="shared" ca="1" si="24"/>
        <v>28070226</v>
      </c>
      <c r="BX22" s="89">
        <f t="shared" ca="1" si="25"/>
        <v>0</v>
      </c>
    </row>
    <row r="23" spans="1:76">
      <c r="A23" s="90" t="str">
        <f t="shared" si="2"/>
        <v/>
      </c>
      <c r="B23" s="98">
        <v>12</v>
      </c>
      <c r="C23" s="94">
        <v>3</v>
      </c>
      <c r="D23" s="94">
        <v>5</v>
      </c>
      <c r="E23" s="94">
        <v>1</v>
      </c>
      <c r="F23" s="94">
        <v>-2</v>
      </c>
      <c r="G23" s="94">
        <v>4</v>
      </c>
      <c r="H23" s="94">
        <v>-7</v>
      </c>
      <c r="I23" s="94">
        <v>-5</v>
      </c>
      <c r="J23" s="94">
        <v>-3</v>
      </c>
      <c r="K23" s="94">
        <v>2</v>
      </c>
      <c r="L23" s="94">
        <v>-1</v>
      </c>
      <c r="M23" s="94">
        <v>6</v>
      </c>
      <c r="N23" s="94">
        <v>-4</v>
      </c>
      <c r="O23" s="94">
        <v>7</v>
      </c>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BA23" s="91">
        <f t="shared" ca="1" si="3"/>
        <v>284</v>
      </c>
      <c r="BB23" s="88" t="str">
        <f t="shared" ca="1" si="4"/>
        <v>A255:A1200</v>
      </c>
      <c r="BC23" s="89" t="str">
        <f t="shared" ca="1" si="5"/>
        <v>B284</v>
      </c>
      <c r="BD23" s="89">
        <f ca="1">IF(BC23=0,0,RANK(BF23,$BF$11:$BF$70,0)+(COUNTIF($BF23:$BF$70,BF23)-1))</f>
        <v>9</v>
      </c>
      <c r="BE23" s="89" t="str">
        <f t="shared" ca="1" si="6"/>
        <v>280703</v>
      </c>
      <c r="BF23" s="89">
        <f t="shared" ca="1" si="7"/>
        <v>28070318</v>
      </c>
      <c r="BG23" s="89">
        <f t="shared" ca="1" si="8"/>
        <v>28</v>
      </c>
      <c r="BH23" s="89">
        <f t="shared" ca="1" si="9"/>
        <v>3</v>
      </c>
      <c r="BI23" s="89" t="str">
        <f t="shared" ca="1" si="10"/>
        <v>B313</v>
      </c>
      <c r="BJ23" s="89">
        <f t="shared" ca="1" si="11"/>
        <v>9</v>
      </c>
      <c r="BK23" s="89">
        <f t="shared" ca="1" si="12"/>
        <v>18</v>
      </c>
      <c r="BL23" s="89">
        <f t="shared" ca="1" si="13"/>
        <v>126</v>
      </c>
      <c r="BM23" s="89">
        <f t="shared" ca="1" si="14"/>
        <v>20</v>
      </c>
      <c r="BN23" s="89" t="str">
        <f t="shared" ca="1" si="15"/>
        <v>S7!B285:T312</v>
      </c>
      <c r="BO23" s="89" t="str">
        <f t="shared" ca="1" si="16"/>
        <v>e</v>
      </c>
      <c r="BP23" s="89" t="str">
        <f t="shared" ca="1" si="17"/>
        <v/>
      </c>
      <c r="BQ23" s="89" t="str">
        <f t="shared" ca="1" si="18"/>
        <v/>
      </c>
      <c r="BR23" s="87" t="str">
        <f t="shared" ca="1" si="19"/>
        <v>x</v>
      </c>
      <c r="BS23" s="89" t="str">
        <f t="shared" ca="1" si="20"/>
        <v/>
      </c>
      <c r="BT23" s="89" t="str">
        <f t="shared" ca="1" si="21"/>
        <v/>
      </c>
      <c r="BU23" s="89" t="str">
        <f t="shared" ca="1" si="22"/>
        <v/>
      </c>
      <c r="BV23" s="87" t="str">
        <f t="shared" ca="1" si="23"/>
        <v/>
      </c>
      <c r="BW23" s="87" t="str">
        <f t="shared" ca="1" si="24"/>
        <v>28070318</v>
      </c>
      <c r="BX23" s="89">
        <f t="shared" ca="1" si="25"/>
        <v>0</v>
      </c>
    </row>
    <row r="24" spans="1:76">
      <c r="A24" s="90" t="str">
        <f t="shared" si="2"/>
        <v/>
      </c>
      <c r="B24" s="98">
        <v>13</v>
      </c>
      <c r="C24" s="94">
        <v>2</v>
      </c>
      <c r="D24" s="94">
        <v>7</v>
      </c>
      <c r="E24" s="94">
        <v>-4</v>
      </c>
      <c r="F24" s="94">
        <v>6</v>
      </c>
      <c r="G24" s="94">
        <v>-5</v>
      </c>
      <c r="H24" s="94">
        <v>-1</v>
      </c>
      <c r="I24" s="94">
        <v>4</v>
      </c>
      <c r="J24" s="94">
        <v>-7</v>
      </c>
      <c r="K24" s="94">
        <v>5</v>
      </c>
      <c r="L24" s="94">
        <v>-3</v>
      </c>
      <c r="M24" s="94">
        <v>-6</v>
      </c>
      <c r="N24" s="94">
        <v>-2</v>
      </c>
      <c r="O24" s="94">
        <v>1</v>
      </c>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BA24" s="91">
        <f t="shared" ca="1" si="3"/>
        <v>314</v>
      </c>
      <c r="BB24" s="88" t="str">
        <f t="shared" ca="1" si="4"/>
        <v>A285:A1200</v>
      </c>
      <c r="BC24" s="89" t="str">
        <f t="shared" ca="1" si="5"/>
        <v>B314</v>
      </c>
      <c r="BD24" s="89">
        <f ca="1">IF(BC24=0,0,RANK(BF24,$BF$11:$BF$70,0)+(COUNTIF($BF24:$BF$70,BF24)-1))</f>
        <v>8</v>
      </c>
      <c r="BE24" s="89" t="str">
        <f t="shared" ca="1" si="6"/>
        <v>280704</v>
      </c>
      <c r="BF24" s="89">
        <f t="shared" ca="1" si="7"/>
        <v>28070414</v>
      </c>
      <c r="BG24" s="89">
        <f t="shared" ca="1" si="8"/>
        <v>28</v>
      </c>
      <c r="BH24" s="89">
        <f t="shared" ca="1" si="9"/>
        <v>4</v>
      </c>
      <c r="BI24" s="89" t="str">
        <f t="shared" ca="1" si="10"/>
        <v>B343</v>
      </c>
      <c r="BJ24" s="89">
        <f t="shared" ca="1" si="11"/>
        <v>7</v>
      </c>
      <c r="BK24" s="89">
        <f t="shared" ca="1" si="12"/>
        <v>14</v>
      </c>
      <c r="BL24" s="89">
        <f t="shared" ca="1" si="13"/>
        <v>98</v>
      </c>
      <c r="BM24" s="89">
        <f t="shared" ca="1" si="14"/>
        <v>16</v>
      </c>
      <c r="BN24" s="89" t="str">
        <f t="shared" ca="1" si="15"/>
        <v>S7!B315:P342</v>
      </c>
      <c r="BO24" s="89" t="str">
        <f t="shared" ca="1" si="16"/>
        <v>e</v>
      </c>
      <c r="BP24" s="89" t="str">
        <f t="shared" ca="1" si="17"/>
        <v/>
      </c>
      <c r="BQ24" s="89" t="str">
        <f t="shared" ca="1" si="18"/>
        <v/>
      </c>
      <c r="BR24" s="87" t="str">
        <f t="shared" ca="1" si="19"/>
        <v>x</v>
      </c>
      <c r="BS24" s="89" t="str">
        <f t="shared" ca="1" si="20"/>
        <v/>
      </c>
      <c r="BT24" s="89" t="str">
        <f t="shared" ca="1" si="21"/>
        <v/>
      </c>
      <c r="BU24" s="89" t="str">
        <f t="shared" ca="1" si="22"/>
        <v/>
      </c>
      <c r="BV24" s="87" t="str">
        <f t="shared" ca="1" si="23"/>
        <v/>
      </c>
      <c r="BW24" s="87" t="str">
        <f t="shared" ca="1" si="24"/>
        <v>28070414</v>
      </c>
      <c r="BX24" s="89">
        <f t="shared" ca="1" si="25"/>
        <v>0</v>
      </c>
    </row>
    <row r="25" spans="1:76">
      <c r="A25" s="90" t="str">
        <f t="shared" si="2"/>
        <v/>
      </c>
      <c r="B25" s="98">
        <v>14</v>
      </c>
      <c r="C25" s="94">
        <v>6</v>
      </c>
      <c r="D25" s="94">
        <v>2</v>
      </c>
      <c r="E25" s="94">
        <v>-3</v>
      </c>
      <c r="F25" s="94">
        <v>-5</v>
      </c>
      <c r="G25" s="94">
        <v>-7</v>
      </c>
      <c r="H25" s="94">
        <v>-4</v>
      </c>
      <c r="I25" s="94">
        <v>3</v>
      </c>
      <c r="J25" s="94">
        <v>-2</v>
      </c>
      <c r="K25" s="94">
        <v>-6</v>
      </c>
      <c r="L25" s="94">
        <v>5</v>
      </c>
      <c r="M25" s="94">
        <v>7</v>
      </c>
      <c r="N25" s="94">
        <v>4</v>
      </c>
      <c r="O25" s="94">
        <v>-1</v>
      </c>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BA25" s="91">
        <f t="shared" ca="1" si="3"/>
        <v>344</v>
      </c>
      <c r="BB25" s="88" t="str">
        <f t="shared" ca="1" si="4"/>
        <v>A315:A1200</v>
      </c>
      <c r="BC25" s="89" t="str">
        <f t="shared" ca="1" si="5"/>
        <v>B344</v>
      </c>
      <c r="BD25" s="89">
        <f ca="1">IF(BC25=0,0,RANK(BF25,$BF$11:$BF$70,0)+(COUNTIF($BF25:$BF$70,BF25)-1))</f>
        <v>5</v>
      </c>
      <c r="BE25" s="89" t="str">
        <f t="shared" ca="1" si="6"/>
        <v>290702</v>
      </c>
      <c r="BF25" s="89">
        <f t="shared" ca="1" si="7"/>
        <v>29070229</v>
      </c>
      <c r="BG25" s="89">
        <f t="shared" ca="1" si="8"/>
        <v>29</v>
      </c>
      <c r="BH25" s="89">
        <f t="shared" ca="1" si="9"/>
        <v>2</v>
      </c>
      <c r="BI25" s="89" t="str">
        <f t="shared" ca="1" si="10"/>
        <v>B374</v>
      </c>
      <c r="BJ25" s="89">
        <f t="shared" ca="1" si="11"/>
        <v>14</v>
      </c>
      <c r="BK25" s="89">
        <f t="shared" ca="1" si="12"/>
        <v>29</v>
      </c>
      <c r="BL25" s="89">
        <f t="shared" ca="1" si="13"/>
        <v>203</v>
      </c>
      <c r="BM25" s="89">
        <f t="shared" ca="1" si="14"/>
        <v>31</v>
      </c>
      <c r="BN25" s="89" t="str">
        <f t="shared" ca="1" si="15"/>
        <v>S7!B345:AE373</v>
      </c>
      <c r="BO25" s="89" t="str">
        <f t="shared" ca="1" si="16"/>
        <v>e</v>
      </c>
      <c r="BP25" s="89" t="str">
        <f t="shared" ca="1" si="17"/>
        <v>b</v>
      </c>
      <c r="BQ25" s="89" t="str">
        <f t="shared" ca="1" si="18"/>
        <v/>
      </c>
      <c r="BR25" s="87" t="str">
        <f t="shared" ca="1" si="19"/>
        <v/>
      </c>
      <c r="BS25" s="89" t="str">
        <f t="shared" ca="1" si="20"/>
        <v>a</v>
      </c>
      <c r="BT25" s="89" t="str">
        <f t="shared" ca="1" si="21"/>
        <v/>
      </c>
      <c r="BU25" s="89" t="str">
        <f t="shared" ca="1" si="22"/>
        <v/>
      </c>
      <c r="BV25" s="87" t="str">
        <f t="shared" ca="1" si="23"/>
        <v/>
      </c>
      <c r="BW25" s="87" t="str">
        <f t="shared" ca="1" si="24"/>
        <v>29070229</v>
      </c>
      <c r="BX25" s="89">
        <f t="shared" ca="1" si="25"/>
        <v>0</v>
      </c>
    </row>
    <row r="26" spans="1:76">
      <c r="A26" s="90" t="str">
        <f t="shared" si="2"/>
        <v/>
      </c>
      <c r="B26" s="98" t="s">
        <v>410</v>
      </c>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BA26" s="91">
        <f t="shared" ca="1" si="3"/>
        <v>375</v>
      </c>
      <c r="BB26" s="88" t="str">
        <f t="shared" ca="1" si="4"/>
        <v>A345:A1200</v>
      </c>
      <c r="BC26" s="89" t="str">
        <f t="shared" ca="1" si="5"/>
        <v>B375</v>
      </c>
      <c r="BD26" s="89">
        <f ca="1">IF(BC26=0,0,RANK(BF26,$BF$11:$BF$70,0)+(COUNTIF($BF26:$BF$70,BF26)-1))</f>
        <v>4</v>
      </c>
      <c r="BE26" s="89" t="str">
        <f t="shared" ca="1" si="6"/>
        <v>290703</v>
      </c>
      <c r="BF26" s="89">
        <f t="shared" ca="1" si="7"/>
        <v>29070318</v>
      </c>
      <c r="BG26" s="89">
        <f t="shared" ca="1" si="8"/>
        <v>29</v>
      </c>
      <c r="BH26" s="89">
        <f t="shared" ca="1" si="9"/>
        <v>3</v>
      </c>
      <c r="BI26" s="89" t="str">
        <f t="shared" ca="1" si="10"/>
        <v>B405</v>
      </c>
      <c r="BJ26" s="89">
        <f t="shared" ca="1" si="11"/>
        <v>9</v>
      </c>
      <c r="BK26" s="89">
        <f t="shared" ca="1" si="12"/>
        <v>18</v>
      </c>
      <c r="BL26" s="89">
        <f t="shared" ca="1" si="13"/>
        <v>126</v>
      </c>
      <c r="BM26" s="89">
        <f t="shared" ca="1" si="14"/>
        <v>20</v>
      </c>
      <c r="BN26" s="89" t="str">
        <f t="shared" ca="1" si="15"/>
        <v>S7!B376:T404</v>
      </c>
      <c r="BO26" s="89" t="str">
        <f t="shared" ca="1" si="16"/>
        <v>e</v>
      </c>
      <c r="BP26" s="89" t="str">
        <f t="shared" ca="1" si="17"/>
        <v>w</v>
      </c>
      <c r="BQ26" s="89" t="str">
        <f t="shared" ca="1" si="18"/>
        <v>w</v>
      </c>
      <c r="BR26" s="87" t="str">
        <f t="shared" ca="1" si="19"/>
        <v/>
      </c>
      <c r="BS26" s="89" t="str">
        <f t="shared" ca="1" si="20"/>
        <v/>
      </c>
      <c r="BT26" s="89" t="str">
        <f t="shared" ca="1" si="21"/>
        <v/>
      </c>
      <c r="BU26" s="89" t="str">
        <f t="shared" ca="1" si="22"/>
        <v/>
      </c>
      <c r="BV26" s="87" t="str">
        <f t="shared" ca="1" si="23"/>
        <v/>
      </c>
      <c r="BW26" s="87" t="str">
        <f t="shared" ca="1" si="24"/>
        <v>29070318</v>
      </c>
      <c r="BX26" s="89">
        <f t="shared" ca="1" si="25"/>
        <v>0</v>
      </c>
    </row>
    <row r="27" spans="1:76">
      <c r="A27" s="90">
        <f t="shared" si="2"/>
        <v>27</v>
      </c>
      <c r="B27" s="98" t="s">
        <v>411</v>
      </c>
      <c r="C27" s="94"/>
      <c r="D27" s="94"/>
      <c r="E27" s="94"/>
      <c r="F27" s="94"/>
      <c r="G27" s="94"/>
      <c r="H27" s="94"/>
      <c r="I27" s="94"/>
      <c r="J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BA27" s="91">
        <f t="shared" ca="1" si="3"/>
        <v>406</v>
      </c>
      <c r="BB27" s="88" t="str">
        <f t="shared" ca="1" si="4"/>
        <v>A376:A1200</v>
      </c>
      <c r="BC27" s="89" t="str">
        <f t="shared" ca="1" si="5"/>
        <v>B406</v>
      </c>
      <c r="BD27" s="89">
        <f ca="1">IF(BC27=0,0,RANK(BF27,$BF$11:$BF$70,0)+(COUNTIF($BF27:$BF$70,BF27)-1))</f>
        <v>3</v>
      </c>
      <c r="BE27" s="89" t="str">
        <f t="shared" ca="1" si="6"/>
        <v>300702</v>
      </c>
      <c r="BF27" s="89">
        <f t="shared" ca="1" si="7"/>
        <v>30070230</v>
      </c>
      <c r="BG27" s="89">
        <f t="shared" ca="1" si="8"/>
        <v>30</v>
      </c>
      <c r="BH27" s="89">
        <f t="shared" ca="1" si="9"/>
        <v>2</v>
      </c>
      <c r="BI27" s="89" t="str">
        <f t="shared" ca="1" si="10"/>
        <v>B437</v>
      </c>
      <c r="BJ27" s="89">
        <f t="shared" ca="1" si="11"/>
        <v>14</v>
      </c>
      <c r="BK27" s="89">
        <f t="shared" ca="1" si="12"/>
        <v>30</v>
      </c>
      <c r="BL27" s="89">
        <f t="shared" ca="1" si="13"/>
        <v>210</v>
      </c>
      <c r="BM27" s="89">
        <f t="shared" ca="1" si="14"/>
        <v>32</v>
      </c>
      <c r="BN27" s="89" t="str">
        <f t="shared" ca="1" si="15"/>
        <v>S7!B407:AF436</v>
      </c>
      <c r="BO27" s="89" t="str">
        <f t="shared" ca="1" si="16"/>
        <v>e</v>
      </c>
      <c r="BP27" s="89" t="str">
        <f t="shared" ca="1" si="17"/>
        <v>b</v>
      </c>
      <c r="BQ27" s="89" t="str">
        <f t="shared" ca="1" si="18"/>
        <v/>
      </c>
      <c r="BR27" s="87" t="str">
        <f t="shared" ca="1" si="19"/>
        <v/>
      </c>
      <c r="BS27" s="89" t="str">
        <f t="shared" ca="1" si="20"/>
        <v/>
      </c>
      <c r="BT27" s="89" t="str">
        <f t="shared" ca="1" si="21"/>
        <v/>
      </c>
      <c r="BU27" s="89" t="str">
        <f t="shared" ca="1" si="22"/>
        <v/>
      </c>
      <c r="BV27" s="87" t="str">
        <f t="shared" ca="1" si="23"/>
        <v/>
      </c>
      <c r="BW27" s="87" t="str">
        <f t="shared" ca="1" si="24"/>
        <v>30070230</v>
      </c>
      <c r="BX27" s="89">
        <f t="shared" ca="1" si="25"/>
        <v>0</v>
      </c>
    </row>
    <row r="28" spans="1:76">
      <c r="A28" s="90" t="str">
        <f t="shared" si="2"/>
        <v/>
      </c>
      <c r="B28" s="98">
        <v>1</v>
      </c>
      <c r="C28" s="94">
        <v>3</v>
      </c>
      <c r="D28" s="94">
        <v>-6</v>
      </c>
      <c r="E28" s="94">
        <v>7</v>
      </c>
      <c r="F28" s="94">
        <v>5</v>
      </c>
      <c r="G28" s="94">
        <v>-2</v>
      </c>
      <c r="H28" s="94">
        <v>1</v>
      </c>
      <c r="I28" s="94">
        <v>-4</v>
      </c>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BA28" s="91">
        <f t="shared" ca="1" si="3"/>
        <v>438</v>
      </c>
      <c r="BB28" s="88" t="str">
        <f t="shared" ca="1" si="4"/>
        <v>A407:A1200</v>
      </c>
      <c r="BC28" s="89" t="str">
        <f t="shared" ca="1" si="5"/>
        <v>B438</v>
      </c>
      <c r="BD28" s="89">
        <f ca="1">IF(BC28=0,0,RANK(BF28,$BF$11:$BF$70,0)+(COUNTIF($BF28:$BF$70,BF28)-1))</f>
        <v>2</v>
      </c>
      <c r="BE28" s="89" t="str">
        <f t="shared" ca="1" si="6"/>
        <v>300704</v>
      </c>
      <c r="BF28" s="89">
        <f t="shared" ca="1" si="7"/>
        <v>30070414</v>
      </c>
      <c r="BG28" s="89">
        <f t="shared" ca="1" si="8"/>
        <v>30</v>
      </c>
      <c r="BH28" s="89">
        <f t="shared" ca="1" si="9"/>
        <v>4</v>
      </c>
      <c r="BI28" s="89" t="str">
        <f t="shared" ca="1" si="10"/>
        <v>B469</v>
      </c>
      <c r="BJ28" s="89">
        <f t="shared" ca="1" si="11"/>
        <v>7</v>
      </c>
      <c r="BK28" s="89">
        <f t="shared" ca="1" si="12"/>
        <v>14</v>
      </c>
      <c r="BL28" s="89">
        <f t="shared" ca="1" si="13"/>
        <v>98</v>
      </c>
      <c r="BM28" s="89">
        <f t="shared" ca="1" si="14"/>
        <v>16</v>
      </c>
      <c r="BN28" s="89" t="str">
        <f t="shared" ca="1" si="15"/>
        <v>S7!B439:P468</v>
      </c>
      <c r="BO28" s="89" t="str">
        <f t="shared" ca="1" si="16"/>
        <v>e</v>
      </c>
      <c r="BP28" s="89" t="str">
        <f t="shared" ca="1" si="17"/>
        <v>w</v>
      </c>
      <c r="BQ28" s="89" t="str">
        <f t="shared" ca="1" si="18"/>
        <v>w</v>
      </c>
      <c r="BR28" s="87" t="str">
        <f t="shared" ca="1" si="19"/>
        <v/>
      </c>
      <c r="BS28" s="89" t="str">
        <f t="shared" ca="1" si="20"/>
        <v/>
      </c>
      <c r="BT28" s="89" t="str">
        <f t="shared" ca="1" si="21"/>
        <v/>
      </c>
      <c r="BU28" s="89" t="str">
        <f t="shared" ca="1" si="22"/>
        <v/>
      </c>
      <c r="BV28" s="87" t="str">
        <f t="shared" ca="1" si="23"/>
        <v/>
      </c>
      <c r="BW28" s="87" t="str">
        <f t="shared" ca="1" si="24"/>
        <v>30070414</v>
      </c>
      <c r="BX28" s="89">
        <f t="shared" ca="1" si="25"/>
        <v>0</v>
      </c>
    </row>
    <row r="29" spans="1:76">
      <c r="A29" s="90" t="str">
        <f t="shared" si="2"/>
        <v/>
      </c>
      <c r="B29" s="98">
        <v>2</v>
      </c>
      <c r="C29" s="94">
        <v>1</v>
      </c>
      <c r="D29" s="94">
        <v>3</v>
      </c>
      <c r="E29" s="94">
        <v>-2</v>
      </c>
      <c r="F29" s="94">
        <v>-6</v>
      </c>
      <c r="G29" s="94">
        <v>5</v>
      </c>
      <c r="H29" s="94">
        <v>-7</v>
      </c>
      <c r="I29" s="94">
        <v>4</v>
      </c>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BA29" s="91">
        <f t="shared" ca="1" si="3"/>
        <v>470</v>
      </c>
      <c r="BB29" s="88" t="str">
        <f t="shared" ca="1" si="4"/>
        <v>A439:A1200</v>
      </c>
      <c r="BC29" s="89" t="str">
        <f t="shared" ca="1" si="5"/>
        <v>B470</v>
      </c>
      <c r="BD29" s="89">
        <f ca="1">IF(BC29=0,0,RANK(BF29,$BF$11:$BF$70,0)+(COUNTIF($BF29:$BF$70,BF29)-1))</f>
        <v>1</v>
      </c>
      <c r="BE29" s="89" t="str">
        <f t="shared" ca="1" si="6"/>
        <v>320706</v>
      </c>
      <c r="BF29" s="89">
        <f t="shared" ca="1" si="7"/>
        <v>32070610</v>
      </c>
      <c r="BG29" s="89">
        <f t="shared" ca="1" si="8"/>
        <v>32</v>
      </c>
      <c r="BH29" s="89">
        <f t="shared" ca="1" si="9"/>
        <v>6</v>
      </c>
      <c r="BI29" s="89" t="str">
        <f t="shared" ca="1" si="10"/>
        <v>B503</v>
      </c>
      <c r="BJ29" s="89">
        <f t="shared" ca="1" si="11"/>
        <v>5</v>
      </c>
      <c r="BK29" s="89">
        <f t="shared" ca="1" si="12"/>
        <v>10</v>
      </c>
      <c r="BL29" s="89">
        <f t="shared" ca="1" si="13"/>
        <v>70</v>
      </c>
      <c r="BM29" s="89">
        <f t="shared" ca="1" si="14"/>
        <v>12</v>
      </c>
      <c r="BN29" s="89" t="str">
        <f t="shared" ca="1" si="15"/>
        <v>S7!B471:L502</v>
      </c>
      <c r="BO29" s="89" t="str">
        <f t="shared" ca="1" si="16"/>
        <v>e</v>
      </c>
      <c r="BP29" s="89" t="str">
        <f t="shared" ca="1" si="17"/>
        <v>w</v>
      </c>
      <c r="BQ29" s="89" t="str">
        <f t="shared" ca="1" si="18"/>
        <v>w</v>
      </c>
      <c r="BR29" s="87" t="str">
        <f t="shared" ca="1" si="19"/>
        <v/>
      </c>
      <c r="BS29" s="89" t="str">
        <f t="shared" ca="1" si="20"/>
        <v/>
      </c>
      <c r="BT29" s="89" t="str">
        <f t="shared" ca="1" si="21"/>
        <v/>
      </c>
      <c r="BU29" s="89" t="str">
        <f t="shared" ca="1" si="22"/>
        <v/>
      </c>
      <c r="BV29" s="87" t="str">
        <f t="shared" ca="1" si="23"/>
        <v/>
      </c>
      <c r="BW29" s="87" t="str">
        <f t="shared" ca="1" si="24"/>
        <v>32070610</v>
      </c>
      <c r="BX29" s="89">
        <f t="shared" ca="1" si="25"/>
        <v>0</v>
      </c>
    </row>
    <row r="30" spans="1:76">
      <c r="A30" s="90" t="str">
        <f t="shared" si="2"/>
        <v/>
      </c>
      <c r="B30" s="98">
        <v>3</v>
      </c>
      <c r="C30" s="94">
        <v>-1</v>
      </c>
      <c r="D30" s="94">
        <v>6</v>
      </c>
      <c r="E30" s="94">
        <v>3</v>
      </c>
      <c r="F30" s="94">
        <v>-2</v>
      </c>
      <c r="G30" s="94">
        <v>-7</v>
      </c>
      <c r="H30" s="94">
        <v>4</v>
      </c>
      <c r="I30" s="94">
        <v>5</v>
      </c>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BA30" s="91">
        <f t="shared" ca="1" si="3"/>
        <v>504</v>
      </c>
      <c r="BB30" s="88" t="str">
        <f t="shared" ca="1" si="4"/>
        <v>A471:A1200</v>
      </c>
      <c r="BC30" s="89" t="str">
        <f t="shared" ca="1" si="5"/>
        <v>B504</v>
      </c>
      <c r="BD30" s="89">
        <f ca="1">IF(BC30=0,0,RANK(BF30,$BF$11:$BF$70,0)+(COUNTIF($BF30:$BF$70,BF30)-1))</f>
        <v>17</v>
      </c>
      <c r="BE30" s="89" t="str">
        <f t="shared" ca="1" si="6"/>
        <v>260704</v>
      </c>
      <c r="BF30" s="89">
        <f t="shared" ca="1" si="7"/>
        <v>26070414</v>
      </c>
      <c r="BG30" s="89">
        <f t="shared" ca="1" si="8"/>
        <v>26</v>
      </c>
      <c r="BH30" s="89">
        <f t="shared" ca="1" si="9"/>
        <v>4</v>
      </c>
      <c r="BI30" s="89" t="str">
        <f t="shared" ca="1" si="10"/>
        <v>B531</v>
      </c>
      <c r="BJ30" s="89">
        <f t="shared" ca="1" si="11"/>
        <v>7</v>
      </c>
      <c r="BK30" s="89">
        <f t="shared" ca="1" si="12"/>
        <v>14</v>
      </c>
      <c r="BL30" s="89">
        <f t="shared" ca="1" si="13"/>
        <v>91</v>
      </c>
      <c r="BM30" s="89">
        <f t="shared" ca="1" si="14"/>
        <v>16</v>
      </c>
      <c r="BN30" s="89" t="str">
        <f t="shared" ca="1" si="15"/>
        <v>S7!B505:P530</v>
      </c>
      <c r="BO30" s="89" t="str">
        <f t="shared" ca="1" si="16"/>
        <v>e</v>
      </c>
      <c r="BP30" s="89" t="str">
        <f t="shared" ca="1" si="17"/>
        <v/>
      </c>
      <c r="BQ30" s="89" t="str">
        <f t="shared" ca="1" si="18"/>
        <v/>
      </c>
      <c r="BR30" s="87" t="str">
        <f t="shared" ca="1" si="19"/>
        <v>E</v>
      </c>
      <c r="BS30" s="89" t="str">
        <f t="shared" ca="1" si="20"/>
        <v>a</v>
      </c>
      <c r="BT30" s="89" t="str">
        <f t="shared" ca="1" si="21"/>
        <v>E</v>
      </c>
      <c r="BU30" s="89" t="str">
        <f t="shared" ca="1" si="22"/>
        <v/>
      </c>
      <c r="BV30" s="87" t="str">
        <f t="shared" ca="1" si="23"/>
        <v/>
      </c>
      <c r="BW30" s="87" t="str">
        <f t="shared" ca="1" si="24"/>
        <v>26070414</v>
      </c>
      <c r="BX30" s="89">
        <f t="shared" ca="1" si="25"/>
        <v>0</v>
      </c>
    </row>
    <row r="31" spans="1:76">
      <c r="A31" s="90" t="str">
        <f t="shared" si="2"/>
        <v/>
      </c>
      <c r="B31" s="98">
        <v>4</v>
      </c>
      <c r="C31" s="94">
        <v>-3</v>
      </c>
      <c r="D31" s="94">
        <v>-7</v>
      </c>
      <c r="E31" s="94">
        <v>2</v>
      </c>
      <c r="F31" s="94">
        <v>4</v>
      </c>
      <c r="G31" s="94">
        <v>-1</v>
      </c>
      <c r="H31" s="94">
        <v>6</v>
      </c>
      <c r="I31" s="94">
        <v>-5</v>
      </c>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BA31" s="91">
        <f t="shared" ca="1" si="3"/>
        <v>532</v>
      </c>
      <c r="BB31" s="88" t="str">
        <f t="shared" ca="1" si="4"/>
        <v>A505:A1200</v>
      </c>
      <c r="BC31" s="89" t="str">
        <f t="shared" ca="1" si="5"/>
        <v>B532</v>
      </c>
      <c r="BD31" s="89">
        <f ca="1">IF(BC31=0,0,RANK(BF31,$BF$11:$BF$70,0)+(COUNTIF($BF31:$BF$70,BF31)-1))</f>
        <v>16</v>
      </c>
      <c r="BE31" s="89" t="str">
        <f t="shared" ca="1" si="6"/>
        <v>260706</v>
      </c>
      <c r="BF31" s="89">
        <f t="shared" ca="1" si="7"/>
        <v>26070610</v>
      </c>
      <c r="BG31" s="89">
        <f t="shared" ca="1" si="8"/>
        <v>26</v>
      </c>
      <c r="BH31" s="89">
        <f t="shared" ca="1" si="9"/>
        <v>6</v>
      </c>
      <c r="BI31" s="89" t="str">
        <f t="shared" ca="1" si="10"/>
        <v>B559</v>
      </c>
      <c r="BJ31" s="89">
        <f t="shared" ca="1" si="11"/>
        <v>5</v>
      </c>
      <c r="BK31" s="89">
        <f t="shared" ca="1" si="12"/>
        <v>10</v>
      </c>
      <c r="BL31" s="89">
        <f t="shared" ca="1" si="13"/>
        <v>65</v>
      </c>
      <c r="BM31" s="89">
        <f t="shared" ca="1" si="14"/>
        <v>12</v>
      </c>
      <c r="BN31" s="89" t="str">
        <f t="shared" ca="1" si="15"/>
        <v>S7!B533:L558</v>
      </c>
      <c r="BO31" s="89" t="str">
        <f t="shared" ca="1" si="16"/>
        <v>e</v>
      </c>
      <c r="BP31" s="89" t="str">
        <f t="shared" ca="1" si="17"/>
        <v/>
      </c>
      <c r="BQ31" s="89" t="str">
        <f t="shared" ca="1" si="18"/>
        <v/>
      </c>
      <c r="BR31" s="87" t="str">
        <f t="shared" ca="1" si="19"/>
        <v>E</v>
      </c>
      <c r="BS31" s="89" t="str">
        <f t="shared" ca="1" si="20"/>
        <v>a</v>
      </c>
      <c r="BT31" s="89" t="str">
        <f t="shared" ca="1" si="21"/>
        <v>E</v>
      </c>
      <c r="BU31" s="89" t="str">
        <f t="shared" ca="1" si="22"/>
        <v/>
      </c>
      <c r="BV31" s="87" t="str">
        <f t="shared" ca="1" si="23"/>
        <v/>
      </c>
      <c r="BW31" s="87" t="str">
        <f t="shared" ca="1" si="24"/>
        <v>26070610</v>
      </c>
      <c r="BX31" s="89">
        <f t="shared" ca="1" si="25"/>
        <v>0</v>
      </c>
    </row>
    <row r="32" spans="1:76">
      <c r="A32" s="90" t="str">
        <f t="shared" si="2"/>
        <v/>
      </c>
      <c r="B32" s="98">
        <v>5</v>
      </c>
      <c r="C32" s="94">
        <v>2</v>
      </c>
      <c r="D32" s="94">
        <v>-5</v>
      </c>
      <c r="E32" s="94">
        <v>-7</v>
      </c>
      <c r="F32" s="94">
        <v>6</v>
      </c>
      <c r="G32" s="94">
        <v>1</v>
      </c>
      <c r="H32" s="94">
        <v>-4</v>
      </c>
      <c r="I32" s="94">
        <v>-3</v>
      </c>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BA32" s="91">
        <f t="shared" ca="1" si="3"/>
        <v>560</v>
      </c>
      <c r="BB32" s="88" t="str">
        <f t="shared" ca="1" si="4"/>
        <v>A533:A1200</v>
      </c>
      <c r="BC32" s="89" t="str">
        <f t="shared" ca="1" si="5"/>
        <v>B560</v>
      </c>
      <c r="BD32" s="89">
        <f ca="1">IF(BC32=0,0,RANK(BF32,$BF$11:$BF$70,0)+(COUNTIF($BF32:$BF$70,BF32)-1))</f>
        <v>7</v>
      </c>
      <c r="BE32" s="89" t="str">
        <f t="shared" ca="1" si="6"/>
        <v>280706</v>
      </c>
      <c r="BF32" s="89">
        <f t="shared" ca="1" si="7"/>
        <v>28070610</v>
      </c>
      <c r="BG32" s="89">
        <f t="shared" ca="1" si="8"/>
        <v>28</v>
      </c>
      <c r="BH32" s="89">
        <f t="shared" ca="1" si="9"/>
        <v>6</v>
      </c>
      <c r="BI32" s="89" t="str">
        <f t="shared" ca="1" si="10"/>
        <v>B589</v>
      </c>
      <c r="BJ32" s="89">
        <f t="shared" ca="1" si="11"/>
        <v>5</v>
      </c>
      <c r="BK32" s="89">
        <f t="shared" ca="1" si="12"/>
        <v>10</v>
      </c>
      <c r="BL32" s="89">
        <f t="shared" ca="1" si="13"/>
        <v>70</v>
      </c>
      <c r="BM32" s="89">
        <f t="shared" ca="1" si="14"/>
        <v>12</v>
      </c>
      <c r="BN32" s="89" t="str">
        <f t="shared" ca="1" si="15"/>
        <v>S7!B561:L588</v>
      </c>
      <c r="BO32" s="89" t="str">
        <f t="shared" ca="1" si="16"/>
        <v>e</v>
      </c>
      <c r="BP32" s="89" t="str">
        <f t="shared" ca="1" si="17"/>
        <v/>
      </c>
      <c r="BQ32" s="89" t="str">
        <f t="shared" ca="1" si="18"/>
        <v/>
      </c>
      <c r="BR32" s="87" t="str">
        <f t="shared" ca="1" si="19"/>
        <v>E</v>
      </c>
      <c r="BS32" s="89" t="str">
        <f t="shared" ca="1" si="20"/>
        <v>a</v>
      </c>
      <c r="BT32" s="89" t="str">
        <f t="shared" ca="1" si="21"/>
        <v>E</v>
      </c>
      <c r="BU32" s="89" t="str">
        <f t="shared" ca="1" si="22"/>
        <v/>
      </c>
      <c r="BV32" s="87" t="str">
        <f t="shared" ca="1" si="23"/>
        <v/>
      </c>
      <c r="BW32" s="87" t="str">
        <f t="shared" ca="1" si="24"/>
        <v>28070610</v>
      </c>
      <c r="BX32" s="89">
        <f t="shared" ca="1" si="25"/>
        <v>0</v>
      </c>
    </row>
    <row r="33" spans="1:76">
      <c r="A33" s="90" t="str">
        <f t="shared" si="2"/>
        <v/>
      </c>
      <c r="B33" s="98">
        <v>6</v>
      </c>
      <c r="C33" s="94">
        <v>-6</v>
      </c>
      <c r="D33" s="94">
        <v>7</v>
      </c>
      <c r="E33" s="94">
        <v>-4</v>
      </c>
      <c r="F33" s="94">
        <v>2</v>
      </c>
      <c r="G33" s="94">
        <v>-5</v>
      </c>
      <c r="H33" s="94">
        <v>-1</v>
      </c>
      <c r="I33" s="94">
        <v>3</v>
      </c>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BA33" s="91">
        <f t="shared" ca="1" si="3"/>
        <v>590</v>
      </c>
      <c r="BB33" s="88" t="str">
        <f t="shared" ca="1" si="4"/>
        <v>A561:A1200</v>
      </c>
      <c r="BC33" s="89" t="str">
        <f t="shared" ca="1" si="5"/>
        <v>B590</v>
      </c>
      <c r="BD33" s="89">
        <f ca="1">IF(BC33=0,0,RANK(BF33,$BF$11:$BF$70,0)+(COUNTIF($BF33:$BF$70,BF33)-1))</f>
        <v>6</v>
      </c>
      <c r="BE33" s="89" t="str">
        <f t="shared" ca="1" si="6"/>
        <v>280706</v>
      </c>
      <c r="BF33" s="89">
        <f t="shared" ca="1" si="7"/>
        <v>28070610</v>
      </c>
      <c r="BG33" s="89">
        <f t="shared" ca="1" si="8"/>
        <v>28</v>
      </c>
      <c r="BH33" s="89">
        <f t="shared" ca="1" si="9"/>
        <v>6</v>
      </c>
      <c r="BI33" s="89" t="str">
        <f t="shared" ca="1" si="10"/>
        <v>B619</v>
      </c>
      <c r="BJ33" s="89">
        <f t="shared" ca="1" si="11"/>
        <v>5</v>
      </c>
      <c r="BK33" s="89">
        <f t="shared" ca="1" si="12"/>
        <v>10</v>
      </c>
      <c r="BL33" s="89">
        <f t="shared" ca="1" si="13"/>
        <v>70</v>
      </c>
      <c r="BM33" s="89">
        <f t="shared" ca="1" si="14"/>
        <v>12</v>
      </c>
      <c r="BN33" s="89" t="str">
        <f t="shared" ca="1" si="15"/>
        <v>S7!B591:L618</v>
      </c>
      <c r="BO33" s="89" t="str">
        <f t="shared" ca="1" si="16"/>
        <v>e</v>
      </c>
      <c r="BP33" s="89" t="str">
        <f t="shared" ca="1" si="17"/>
        <v/>
      </c>
      <c r="BQ33" s="89" t="str">
        <f t="shared" ca="1" si="18"/>
        <v/>
      </c>
      <c r="BR33" s="87" t="str">
        <f t="shared" ca="1" si="19"/>
        <v>x</v>
      </c>
      <c r="BS33" s="89" t="str">
        <f t="shared" ca="1" si="20"/>
        <v>a</v>
      </c>
      <c r="BT33" s="89" t="str">
        <f t="shared" ca="1" si="21"/>
        <v/>
      </c>
      <c r="BU33" s="89" t="str">
        <f t="shared" ca="1" si="22"/>
        <v/>
      </c>
      <c r="BV33" s="87" t="str">
        <f t="shared" ca="1" si="23"/>
        <v/>
      </c>
      <c r="BW33" s="87" t="str">
        <f t="shared" ca="1" si="24"/>
        <v>28070610</v>
      </c>
      <c r="BX33" s="89">
        <f t="shared" ca="1" si="25"/>
        <v>0</v>
      </c>
    </row>
    <row r="34" spans="1:76">
      <c r="A34" s="90" t="str">
        <f t="shared" si="2"/>
        <v/>
      </c>
      <c r="B34" s="99">
        <v>7</v>
      </c>
      <c r="C34" s="92">
        <v>-2</v>
      </c>
      <c r="D34" s="92">
        <v>-3</v>
      </c>
      <c r="E34" s="92">
        <v>4</v>
      </c>
      <c r="F34" s="92">
        <v>-5</v>
      </c>
      <c r="G34" s="92">
        <v>7</v>
      </c>
      <c r="H34" s="92">
        <v>-6</v>
      </c>
      <c r="I34" s="92">
        <v>1</v>
      </c>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BA34" s="91">
        <f t="shared" ca="1" si="3"/>
        <v>620</v>
      </c>
      <c r="BB34" s="88" t="str">
        <f t="shared" ca="1" si="4"/>
        <v>A591:A1200</v>
      </c>
      <c r="BC34" s="89" t="str">
        <f t="shared" ca="1" si="5"/>
        <v>B620</v>
      </c>
      <c r="BD34" s="89">
        <f ca="1">IF(BC34=0,0,RANK(BF34,$BF$11:$BF$70,0)+(COUNTIF($BF34:$BF$70,BF34)-1))</f>
        <v>15</v>
      </c>
      <c r="BE34" s="89" t="str">
        <f t="shared" ca="1" si="6"/>
        <v>260706</v>
      </c>
      <c r="BF34" s="89">
        <f t="shared" ca="1" si="7"/>
        <v>26070610</v>
      </c>
      <c r="BG34" s="89">
        <f t="shared" ca="1" si="8"/>
        <v>26</v>
      </c>
      <c r="BH34" s="89">
        <f t="shared" ca="1" si="9"/>
        <v>6</v>
      </c>
      <c r="BI34" s="89" t="str">
        <f t="shared" ca="1" si="10"/>
        <v>B647</v>
      </c>
      <c r="BJ34" s="89">
        <f t="shared" ca="1" si="11"/>
        <v>5</v>
      </c>
      <c r="BK34" s="89">
        <f t="shared" ca="1" si="12"/>
        <v>10</v>
      </c>
      <c r="BL34" s="89">
        <f t="shared" ca="1" si="13"/>
        <v>65</v>
      </c>
      <c r="BM34" s="89">
        <f t="shared" ca="1" si="14"/>
        <v>12</v>
      </c>
      <c r="BN34" s="89" t="str">
        <f t="shared" ca="1" si="15"/>
        <v>S7!B621:L646</v>
      </c>
      <c r="BO34" s="89" t="str">
        <f t="shared" ca="1" si="16"/>
        <v>e</v>
      </c>
      <c r="BP34" s="89" t="str">
        <f t="shared" ca="1" si="17"/>
        <v/>
      </c>
      <c r="BQ34" s="89" t="str">
        <f t="shared" ca="1" si="18"/>
        <v/>
      </c>
      <c r="BR34" s="87" t="str">
        <f t="shared" ca="1" si="19"/>
        <v>x</v>
      </c>
      <c r="BS34" s="89" t="str">
        <f t="shared" ca="1" si="20"/>
        <v>a</v>
      </c>
      <c r="BT34" s="89" t="str">
        <f t="shared" ca="1" si="21"/>
        <v/>
      </c>
      <c r="BU34" s="89" t="str">
        <f t="shared" ca="1" si="22"/>
        <v/>
      </c>
      <c r="BV34" s="87" t="str">
        <f t="shared" ca="1" si="23"/>
        <v/>
      </c>
      <c r="BW34" s="87" t="str">
        <f t="shared" ca="1" si="24"/>
        <v>26070610</v>
      </c>
      <c r="BX34" s="89">
        <f t="shared" ca="1" si="25"/>
        <v>0</v>
      </c>
    </row>
    <row r="35" spans="1:76">
      <c r="A35" s="90" t="str">
        <f t="shared" si="2"/>
        <v/>
      </c>
      <c r="B35" s="98">
        <v>8</v>
      </c>
      <c r="C35" s="94">
        <v>7</v>
      </c>
      <c r="D35" s="94">
        <v>-4</v>
      </c>
      <c r="E35" s="94">
        <v>1</v>
      </c>
      <c r="F35" s="94">
        <v>-3</v>
      </c>
      <c r="G35" s="94">
        <v>2</v>
      </c>
      <c r="H35" s="94">
        <v>-5</v>
      </c>
      <c r="I35" s="94">
        <v>-6</v>
      </c>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BA35" s="91">
        <f t="shared" ca="1" si="3"/>
        <v>648</v>
      </c>
      <c r="BB35" s="88" t="str">
        <f t="shared" ca="1" si="4"/>
        <v>A621:A1200</v>
      </c>
      <c r="BC35" s="89" t="str">
        <f t="shared" ca="1" si="5"/>
        <v>B648</v>
      </c>
      <c r="BD35" s="89">
        <f ca="1">IF(BC35=0,0,RANK(BF35,$BF$11:$BF$70,0)+(COUNTIF($BF35:$BF$70,BF35)-1))</f>
        <v>21</v>
      </c>
      <c r="BE35" s="89" t="str">
        <f t="shared" ca="1" si="6"/>
        <v>260701</v>
      </c>
      <c r="BF35" s="89">
        <f t="shared" ca="1" si="7"/>
        <v>26070124</v>
      </c>
      <c r="BG35" s="89">
        <f t="shared" ca="1" si="8"/>
        <v>26</v>
      </c>
      <c r="BH35" s="89">
        <f t="shared" ca="1" si="9"/>
        <v>1</v>
      </c>
      <c r="BI35" s="89" t="str">
        <f t="shared" ca="1" si="10"/>
        <v>B675</v>
      </c>
      <c r="BJ35" s="89">
        <f t="shared" ca="1" si="11"/>
        <v>12</v>
      </c>
      <c r="BK35" s="89">
        <f t="shared" ca="1" si="12"/>
        <v>24</v>
      </c>
      <c r="BL35" s="89">
        <f t="shared" ca="1" si="13"/>
        <v>156</v>
      </c>
      <c r="BM35" s="89">
        <f t="shared" ca="1" si="14"/>
        <v>26</v>
      </c>
      <c r="BN35" s="89" t="str">
        <f t="shared" ca="1" si="15"/>
        <v>S7!B649:Z674</v>
      </c>
      <c r="BO35" s="89" t="str">
        <f t="shared" ca="1" si="16"/>
        <v>e</v>
      </c>
      <c r="BP35" s="89" t="str">
        <f t="shared" ca="1" si="17"/>
        <v/>
      </c>
      <c r="BQ35" s="89" t="str">
        <f t="shared" ca="1" si="18"/>
        <v/>
      </c>
      <c r="BR35" s="87" t="str">
        <f t="shared" ca="1" si="19"/>
        <v/>
      </c>
      <c r="BS35" s="89" t="str">
        <f t="shared" ca="1" si="20"/>
        <v/>
      </c>
      <c r="BT35" s="89" t="str">
        <f t="shared" ca="1" si="21"/>
        <v/>
      </c>
      <c r="BU35" s="89" t="str">
        <f t="shared" ca="1" si="22"/>
        <v>X</v>
      </c>
      <c r="BV35" s="87" t="str">
        <f t="shared" ca="1" si="23"/>
        <v/>
      </c>
      <c r="BW35" s="87" t="str">
        <f t="shared" ca="1" si="24"/>
        <v>26070124</v>
      </c>
      <c r="BX35" s="89">
        <f t="shared" ca="1" si="25"/>
        <v>0</v>
      </c>
    </row>
    <row r="36" spans="1:76">
      <c r="A36" s="90" t="str">
        <f t="shared" si="2"/>
        <v/>
      </c>
      <c r="B36" s="98">
        <v>9</v>
      </c>
      <c r="C36" s="94">
        <v>4</v>
      </c>
      <c r="D36" s="94">
        <v>-2</v>
      </c>
      <c r="E36" s="94">
        <v>5</v>
      </c>
      <c r="F36" s="94">
        <v>-1</v>
      </c>
      <c r="G36" s="94">
        <v>-3</v>
      </c>
      <c r="H36" s="94">
        <v>7</v>
      </c>
      <c r="I36" s="94">
        <v>6</v>
      </c>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BA36" s="91">
        <f t="shared" ca="1" si="3"/>
        <v>676</v>
      </c>
      <c r="BB36" s="88" t="str">
        <f t="shared" ca="1" si="4"/>
        <v>A649:A1200</v>
      </c>
      <c r="BC36" s="89" t="str">
        <f t="shared" ca="1" si="5"/>
        <v>B676</v>
      </c>
      <c r="BD36" s="89">
        <f ca="1">IF(BC36=0,0,RANK(BF36,$BF$11:$BF$70,0)+(COUNTIF($BF36:$BF$70,BF36)-1))</f>
        <v>14</v>
      </c>
      <c r="BE36" s="89" t="str">
        <f t="shared" ca="1" si="6"/>
        <v>270701</v>
      </c>
      <c r="BF36" s="89">
        <f t="shared" ca="1" si="7"/>
        <v>27070126</v>
      </c>
      <c r="BG36" s="89">
        <f t="shared" ca="1" si="8"/>
        <v>27</v>
      </c>
      <c r="BH36" s="89">
        <f t="shared" ca="1" si="9"/>
        <v>1</v>
      </c>
      <c r="BI36" s="89" t="str">
        <f t="shared" ca="1" si="10"/>
        <v>B704</v>
      </c>
      <c r="BJ36" s="89">
        <f t="shared" ca="1" si="11"/>
        <v>26</v>
      </c>
      <c r="BK36" s="89">
        <f t="shared" ca="1" si="12"/>
        <v>26</v>
      </c>
      <c r="BL36" s="89">
        <f t="shared" ca="1" si="13"/>
        <v>169</v>
      </c>
      <c r="BM36" s="89">
        <f t="shared" ca="1" si="14"/>
        <v>28</v>
      </c>
      <c r="BN36" s="89" t="str">
        <f t="shared" ca="1" si="15"/>
        <v>S7!B677:AB703</v>
      </c>
      <c r="BO36" s="89" t="str">
        <f t="shared" ca="1" si="16"/>
        <v>e</v>
      </c>
      <c r="BP36" s="89" t="str">
        <f t="shared" ca="1" si="17"/>
        <v>b</v>
      </c>
      <c r="BQ36" s="89" t="str">
        <f t="shared" ca="1" si="18"/>
        <v/>
      </c>
      <c r="BR36" s="87" t="str">
        <f t="shared" ca="1" si="19"/>
        <v/>
      </c>
      <c r="BS36" s="89" t="str">
        <f t="shared" ca="1" si="20"/>
        <v/>
      </c>
      <c r="BT36" s="89" t="str">
        <f t="shared" ca="1" si="21"/>
        <v/>
      </c>
      <c r="BU36" s="89" t="str">
        <f t="shared" ca="1" si="22"/>
        <v/>
      </c>
      <c r="BV36" s="87" t="str">
        <f t="shared" ca="1" si="23"/>
        <v/>
      </c>
      <c r="BW36" s="87" t="str">
        <f t="shared" ca="1" si="24"/>
        <v>27070126</v>
      </c>
      <c r="BX36" s="89">
        <f t="shared" ca="1" si="25"/>
        <v>0</v>
      </c>
    </row>
    <row r="37" spans="1:76">
      <c r="A37" s="90" t="str">
        <f t="shared" si="2"/>
        <v/>
      </c>
      <c r="B37" s="98">
        <v>10</v>
      </c>
      <c r="C37" s="94">
        <v>-4</v>
      </c>
      <c r="D37" s="94">
        <v>1</v>
      </c>
      <c r="E37" s="94">
        <v>-3</v>
      </c>
      <c r="F37" s="94">
        <v>7</v>
      </c>
      <c r="G37" s="94">
        <v>-6</v>
      </c>
      <c r="H37" s="94">
        <v>5</v>
      </c>
      <c r="I37" s="94">
        <v>2</v>
      </c>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BA37" s="91">
        <f t="shared" ca="1" si="3"/>
        <v>705</v>
      </c>
      <c r="BB37" s="88" t="str">
        <f t="shared" ca="1" si="4"/>
        <v>A677:A1200</v>
      </c>
      <c r="BC37" s="89" t="str">
        <f t="shared" ca="1" si="5"/>
        <v>B705</v>
      </c>
      <c r="BD37" s="89">
        <f ca="1">IF(BC37=0,0,RANK(BF37,$BF$11:$BF$70,0)+(COUNTIF($BF37:$BF$70,BF37)-1))</f>
        <v>13</v>
      </c>
      <c r="BE37" s="89" t="str">
        <f t="shared" ca="1" si="6"/>
        <v>270701</v>
      </c>
      <c r="BF37" s="89">
        <f t="shared" ca="1" si="7"/>
        <v>27070128</v>
      </c>
      <c r="BG37" s="89">
        <f t="shared" ca="1" si="8"/>
        <v>27</v>
      </c>
      <c r="BH37" s="89">
        <f t="shared" ca="1" si="9"/>
        <v>1</v>
      </c>
      <c r="BI37" s="89" t="str">
        <f t="shared" ca="1" si="10"/>
        <v>B733</v>
      </c>
      <c r="BJ37" s="89">
        <f t="shared" ca="1" si="11"/>
        <v>26</v>
      </c>
      <c r="BK37" s="89">
        <f t="shared" ca="1" si="12"/>
        <v>28</v>
      </c>
      <c r="BL37" s="89">
        <f t="shared" ca="1" si="13"/>
        <v>182</v>
      </c>
      <c r="BM37" s="89">
        <f t="shared" ca="1" si="14"/>
        <v>30</v>
      </c>
      <c r="BN37" s="89" t="str">
        <f t="shared" ca="1" si="15"/>
        <v>S7!B706:AD732</v>
      </c>
      <c r="BO37" s="89" t="str">
        <f t="shared" ca="1" si="16"/>
        <v>e</v>
      </c>
      <c r="BP37" s="89" t="str">
        <f t="shared" ca="1" si="17"/>
        <v>b</v>
      </c>
      <c r="BQ37" s="89" t="str">
        <f t="shared" ca="1" si="18"/>
        <v/>
      </c>
      <c r="BR37" s="87" t="str">
        <f t="shared" ca="1" si="19"/>
        <v/>
      </c>
      <c r="BS37" s="89" t="str">
        <f t="shared" ca="1" si="20"/>
        <v/>
      </c>
      <c r="BT37" s="89" t="str">
        <f t="shared" ca="1" si="21"/>
        <v/>
      </c>
      <c r="BU37" s="89" t="str">
        <f t="shared" ca="1" si="22"/>
        <v>X</v>
      </c>
      <c r="BV37" s="87" t="str">
        <f t="shared" ca="1" si="23"/>
        <v/>
      </c>
      <c r="BW37" s="87" t="str">
        <f t="shared" ca="1" si="24"/>
        <v>27070128</v>
      </c>
      <c r="BX37" s="89">
        <f t="shared" ca="1" si="25"/>
        <v>0</v>
      </c>
    </row>
    <row r="38" spans="1:76">
      <c r="A38" s="90" t="str">
        <f t="shared" si="2"/>
        <v/>
      </c>
      <c r="B38" s="98">
        <v>11</v>
      </c>
      <c r="C38" s="94">
        <v>5</v>
      </c>
      <c r="D38" s="94">
        <v>2</v>
      </c>
      <c r="E38" s="94">
        <v>-1</v>
      </c>
      <c r="F38" s="94">
        <v>-4</v>
      </c>
      <c r="G38" s="94">
        <v>6</v>
      </c>
      <c r="H38" s="94">
        <v>3</v>
      </c>
      <c r="I38" s="94">
        <v>-7</v>
      </c>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BA38" s="91">
        <f t="shared" ca="1" si="3"/>
        <v>734</v>
      </c>
      <c r="BB38" s="88" t="str">
        <f t="shared" ca="1" si="4"/>
        <v>A706:A1200</v>
      </c>
      <c r="BC38" s="89" t="str">
        <f t="shared" ca="1" si="5"/>
        <v>B734</v>
      </c>
      <c r="BD38" s="89">
        <f ca="1">IF(BC38=0,0,RANK(BF38,$BF$11:$BF$70,0)+(COUNTIF($BF38:$BF$70,BF38)-1))</f>
        <v>22</v>
      </c>
      <c r="BE38" s="89" t="str">
        <f t="shared" ca="1" si="6"/>
        <v>170705</v>
      </c>
      <c r="BF38" s="89">
        <f t="shared" ca="1" si="7"/>
        <v>17070503</v>
      </c>
      <c r="BG38" s="89">
        <f t="shared" ca="1" si="8"/>
        <v>17</v>
      </c>
      <c r="BH38" s="89">
        <f t="shared" ca="1" si="9"/>
        <v>5</v>
      </c>
      <c r="BI38" s="89" t="str">
        <f t="shared" ca="1" si="10"/>
        <v>B752</v>
      </c>
      <c r="BJ38" s="89">
        <f t="shared" ca="1" si="11"/>
        <v>3</v>
      </c>
      <c r="BK38" s="89">
        <f t="shared" ca="1" si="12"/>
        <v>3</v>
      </c>
      <c r="BL38" s="89">
        <f t="shared" ca="1" si="13"/>
        <v>21</v>
      </c>
      <c r="BM38" s="89">
        <f t="shared" ca="1" si="14"/>
        <v>5</v>
      </c>
      <c r="BN38" s="89" t="str">
        <f t="shared" ca="1" si="15"/>
        <v>S7!B735:E751</v>
      </c>
      <c r="BO38" s="89" t="str">
        <f t="shared" ca="1" si="16"/>
        <v>s</v>
      </c>
      <c r="BP38" s="89" t="str">
        <f t="shared" ca="1" si="17"/>
        <v>w</v>
      </c>
      <c r="BQ38" s="89" t="str">
        <f t="shared" ca="1" si="18"/>
        <v>w</v>
      </c>
      <c r="BR38" s="87" t="str">
        <f t="shared" ca="1" si="19"/>
        <v/>
      </c>
      <c r="BS38" s="89" t="str">
        <f t="shared" ca="1" si="20"/>
        <v/>
      </c>
      <c r="BT38" s="89" t="str">
        <f t="shared" ca="1" si="21"/>
        <v/>
      </c>
      <c r="BU38" s="89" t="str">
        <f t="shared" ca="1" si="22"/>
        <v/>
      </c>
      <c r="BV38" s="87" t="str">
        <f t="shared" ca="1" si="23"/>
        <v/>
      </c>
      <c r="BW38" s="87" t="str">
        <f t="shared" ca="1" si="24"/>
        <v>17070503</v>
      </c>
      <c r="BX38" s="89">
        <f t="shared" ca="1" si="25"/>
        <v>0</v>
      </c>
    </row>
    <row r="39" spans="1:76">
      <c r="A39" s="90" t="str">
        <f t="shared" si="2"/>
        <v/>
      </c>
      <c r="B39" s="98">
        <v>12</v>
      </c>
      <c r="C39" s="94">
        <v>-7</v>
      </c>
      <c r="D39" s="94">
        <v>5</v>
      </c>
      <c r="E39" s="94">
        <v>-6</v>
      </c>
      <c r="F39" s="94">
        <v>1</v>
      </c>
      <c r="G39" s="94">
        <v>4</v>
      </c>
      <c r="H39" s="94">
        <v>-3</v>
      </c>
      <c r="I39" s="94">
        <v>-2</v>
      </c>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BA39" s="91">
        <f t="shared" ca="1" si="3"/>
        <v>0</v>
      </c>
      <c r="BB39" s="88" t="str">
        <f t="shared" ca="1" si="4"/>
        <v>A735:A1200</v>
      </c>
      <c r="BC39" s="89">
        <f t="shared" ca="1" si="5"/>
        <v>0</v>
      </c>
      <c r="BD39" s="89">
        <f ca="1">IF(BC39=0,0,RANK(BF39,$BF$11:$BF$70,0)+(COUNTIF($BF39:$BF$70,BF39)-1))</f>
        <v>0</v>
      </c>
      <c r="BE39" s="89">
        <f t="shared" ca="1" si="6"/>
        <v>0</v>
      </c>
      <c r="BF39" s="89">
        <f t="shared" ca="1" si="7"/>
        <v>0</v>
      </c>
      <c r="BG39" s="89">
        <f t="shared" ca="1" si="8"/>
        <v>0</v>
      </c>
      <c r="BH39" s="89">
        <f t="shared" ca="1" si="9"/>
        <v>0</v>
      </c>
      <c r="BI39" s="89">
        <f t="shared" ca="1" si="10"/>
        <v>0</v>
      </c>
      <c r="BJ39" s="89">
        <f t="shared" ca="1" si="11"/>
        <v>0</v>
      </c>
      <c r="BK39" s="89">
        <f t="shared" ca="1" si="12"/>
        <v>0</v>
      </c>
      <c r="BL39" s="89">
        <f t="shared" ca="1" si="13"/>
        <v>0</v>
      </c>
      <c r="BM39" s="89">
        <f t="shared" ca="1" si="14"/>
        <v>0</v>
      </c>
      <c r="BN39" s="89">
        <f t="shared" ca="1" si="15"/>
        <v>0</v>
      </c>
      <c r="BO39" s="89">
        <f t="shared" ca="1" si="16"/>
        <v>0</v>
      </c>
      <c r="BP39" s="89">
        <f t="shared" ca="1" si="17"/>
        <v>0</v>
      </c>
      <c r="BQ39" s="89">
        <f t="shared" ca="1" si="18"/>
        <v>0</v>
      </c>
      <c r="BR39" s="87">
        <f t="shared" ca="1" si="19"/>
        <v>0</v>
      </c>
      <c r="BS39" s="89">
        <f t="shared" ca="1" si="20"/>
        <v>0</v>
      </c>
      <c r="BT39" s="89">
        <f t="shared" ca="1" si="21"/>
        <v>0</v>
      </c>
      <c r="BU39" s="89">
        <f t="shared" ca="1" si="22"/>
        <v>0</v>
      </c>
      <c r="BV39" s="87">
        <f t="shared" ca="1" si="23"/>
        <v>0</v>
      </c>
      <c r="BW39" s="87" t="str">
        <f t="shared" ca="1" si="24"/>
        <v>000</v>
      </c>
      <c r="BX39" s="89">
        <f t="shared" ca="1" si="25"/>
        <v>0</v>
      </c>
    </row>
    <row r="40" spans="1:76">
      <c r="A40" s="90" t="str">
        <f t="shared" si="2"/>
        <v/>
      </c>
      <c r="B40" s="98">
        <v>13</v>
      </c>
      <c r="C40" s="94">
        <v>6</v>
      </c>
      <c r="D40" s="94">
        <v>-1</v>
      </c>
      <c r="E40" s="94">
        <v>-5</v>
      </c>
      <c r="F40" s="94">
        <v>3</v>
      </c>
      <c r="G40" s="94">
        <v>-4</v>
      </c>
      <c r="H40" s="94">
        <v>2</v>
      </c>
      <c r="I40" s="94">
        <v>7</v>
      </c>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BA40" s="91">
        <f t="shared" ca="1" si="3"/>
        <v>0</v>
      </c>
      <c r="BB40" s="88" t="str">
        <f t="shared" ca="1" si="4"/>
        <v/>
      </c>
      <c r="BC40" s="89">
        <f t="shared" ca="1" si="5"/>
        <v>0</v>
      </c>
      <c r="BD40" s="89">
        <f ca="1">IF(BC40=0,0,RANK(BF40,$BF$11:$BF$70,0)+(COUNTIF($BF40:$BF$70,BF40)-1))</f>
        <v>0</v>
      </c>
      <c r="BE40" s="89">
        <f t="shared" ca="1" si="6"/>
        <v>0</v>
      </c>
      <c r="BF40" s="89">
        <f t="shared" ca="1" si="7"/>
        <v>0</v>
      </c>
      <c r="BG40" s="89">
        <f t="shared" ca="1" si="8"/>
        <v>0</v>
      </c>
      <c r="BH40" s="89">
        <f t="shared" ca="1" si="9"/>
        <v>0</v>
      </c>
      <c r="BI40" s="89">
        <f t="shared" ca="1" si="10"/>
        <v>0</v>
      </c>
      <c r="BJ40" s="89">
        <f t="shared" ca="1" si="11"/>
        <v>0</v>
      </c>
      <c r="BK40" s="89">
        <f t="shared" ca="1" si="12"/>
        <v>0</v>
      </c>
      <c r="BL40" s="89">
        <f t="shared" ca="1" si="13"/>
        <v>0</v>
      </c>
      <c r="BM40" s="89">
        <f t="shared" ca="1" si="14"/>
        <v>0</v>
      </c>
      <c r="BN40" s="89">
        <f t="shared" ca="1" si="15"/>
        <v>0</v>
      </c>
      <c r="BO40" s="89">
        <f t="shared" ca="1" si="16"/>
        <v>0</v>
      </c>
      <c r="BP40" s="89">
        <f t="shared" ca="1" si="17"/>
        <v>0</v>
      </c>
      <c r="BQ40" s="89">
        <f t="shared" ca="1" si="18"/>
        <v>0</v>
      </c>
      <c r="BR40" s="87">
        <f t="shared" ca="1" si="19"/>
        <v>0</v>
      </c>
      <c r="BS40" s="89">
        <f t="shared" ca="1" si="20"/>
        <v>0</v>
      </c>
      <c r="BT40" s="89">
        <f t="shared" ca="1" si="21"/>
        <v>0</v>
      </c>
      <c r="BU40" s="89">
        <f t="shared" ca="1" si="22"/>
        <v>0</v>
      </c>
      <c r="BV40" s="87">
        <f t="shared" ca="1" si="23"/>
        <v>0</v>
      </c>
      <c r="BW40" s="87" t="str">
        <f t="shared" ca="1" si="24"/>
        <v>000</v>
      </c>
      <c r="BX40" s="89">
        <f t="shared" ca="1" si="25"/>
        <v>0</v>
      </c>
    </row>
    <row r="41" spans="1:76">
      <c r="A41" s="90" t="str">
        <f t="shared" si="2"/>
        <v/>
      </c>
      <c r="B41" s="98">
        <v>14</v>
      </c>
      <c r="C41" s="94">
        <v>-5</v>
      </c>
      <c r="D41" s="94">
        <v>4</v>
      </c>
      <c r="E41" s="94">
        <v>6</v>
      </c>
      <c r="F41" s="94">
        <v>-7</v>
      </c>
      <c r="G41" s="94">
        <v>3</v>
      </c>
      <c r="H41" s="94">
        <v>-2</v>
      </c>
      <c r="I41" s="94">
        <v>-1</v>
      </c>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BA41" s="91">
        <f t="shared" ca="1" si="3"/>
        <v>0</v>
      </c>
      <c r="BB41" s="88" t="str">
        <f t="shared" ca="1" si="4"/>
        <v/>
      </c>
      <c r="BC41" s="89">
        <f t="shared" ca="1" si="5"/>
        <v>0</v>
      </c>
      <c r="BD41" s="89">
        <f ca="1">IF(BC41=0,0,RANK(BF41,$BF$11:$BF$70,0)+(COUNTIF($BF41:$BF$70,BF41)-1))</f>
        <v>0</v>
      </c>
      <c r="BE41" s="89">
        <f t="shared" ca="1" si="6"/>
        <v>0</v>
      </c>
      <c r="BF41" s="89">
        <f t="shared" ca="1" si="7"/>
        <v>0</v>
      </c>
      <c r="BG41" s="89">
        <f t="shared" ca="1" si="8"/>
        <v>0</v>
      </c>
      <c r="BH41" s="89">
        <f t="shared" ca="1" si="9"/>
        <v>0</v>
      </c>
      <c r="BI41" s="89">
        <f t="shared" ca="1" si="10"/>
        <v>0</v>
      </c>
      <c r="BJ41" s="89">
        <f t="shared" ca="1" si="11"/>
        <v>0</v>
      </c>
      <c r="BK41" s="89">
        <f t="shared" ca="1" si="12"/>
        <v>0</v>
      </c>
      <c r="BL41" s="89">
        <f t="shared" ca="1" si="13"/>
        <v>0</v>
      </c>
      <c r="BM41" s="89">
        <f t="shared" ca="1" si="14"/>
        <v>0</v>
      </c>
      <c r="BN41" s="89">
        <f t="shared" ca="1" si="15"/>
        <v>0</v>
      </c>
      <c r="BO41" s="89">
        <f t="shared" ca="1" si="16"/>
        <v>0</v>
      </c>
      <c r="BP41" s="89">
        <f t="shared" ca="1" si="17"/>
        <v>0</v>
      </c>
      <c r="BQ41" s="89">
        <f t="shared" ca="1" si="18"/>
        <v>0</v>
      </c>
      <c r="BR41" s="87">
        <f t="shared" ca="1" si="19"/>
        <v>0</v>
      </c>
      <c r="BS41" s="89">
        <f t="shared" ca="1" si="20"/>
        <v>0</v>
      </c>
      <c r="BT41" s="89">
        <f t="shared" ca="1" si="21"/>
        <v>0</v>
      </c>
      <c r="BU41" s="89">
        <f t="shared" ca="1" si="22"/>
        <v>0</v>
      </c>
      <c r="BV41" s="87">
        <f t="shared" ca="1" si="23"/>
        <v>0</v>
      </c>
      <c r="BW41" s="87" t="str">
        <f t="shared" ca="1" si="24"/>
        <v>000</v>
      </c>
      <c r="BX41" s="89">
        <f t="shared" ca="1" si="25"/>
        <v>0</v>
      </c>
    </row>
    <row r="42" spans="1:76">
      <c r="A42" s="90" t="str">
        <f t="shared" si="2"/>
        <v/>
      </c>
      <c r="B42" s="98" t="s">
        <v>412</v>
      </c>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BA42" s="91">
        <f t="shared" ca="1" si="3"/>
        <v>0</v>
      </c>
      <c r="BB42" s="88" t="str">
        <f t="shared" ca="1" si="4"/>
        <v/>
      </c>
      <c r="BC42" s="89">
        <f t="shared" ca="1" si="5"/>
        <v>0</v>
      </c>
      <c r="BD42" s="89">
        <f ca="1">IF(BC42=0,0,RANK(BF42,$BF$11:$BF$70,0)+(COUNTIF($BF42:$BF$70,BF42)-1))</f>
        <v>0</v>
      </c>
      <c r="BE42" s="89">
        <f t="shared" ca="1" si="6"/>
        <v>0</v>
      </c>
      <c r="BF42" s="89">
        <f t="shared" ca="1" si="7"/>
        <v>0</v>
      </c>
      <c r="BG42" s="89">
        <f t="shared" ca="1" si="8"/>
        <v>0</v>
      </c>
      <c r="BH42" s="89">
        <f t="shared" ca="1" si="9"/>
        <v>0</v>
      </c>
      <c r="BI42" s="89">
        <f t="shared" ca="1" si="10"/>
        <v>0</v>
      </c>
      <c r="BJ42" s="89">
        <f t="shared" ca="1" si="11"/>
        <v>0</v>
      </c>
      <c r="BK42" s="89">
        <f t="shared" ca="1" si="12"/>
        <v>0</v>
      </c>
      <c r="BL42" s="89">
        <f t="shared" ca="1" si="13"/>
        <v>0</v>
      </c>
      <c r="BM42" s="89">
        <f t="shared" ca="1" si="14"/>
        <v>0</v>
      </c>
      <c r="BN42" s="89">
        <f t="shared" ca="1" si="15"/>
        <v>0</v>
      </c>
      <c r="BO42" s="89">
        <f t="shared" ca="1" si="16"/>
        <v>0</v>
      </c>
      <c r="BP42" s="89">
        <f t="shared" ca="1" si="17"/>
        <v>0</v>
      </c>
      <c r="BQ42" s="89">
        <f t="shared" ca="1" si="18"/>
        <v>0</v>
      </c>
      <c r="BR42" s="87">
        <f t="shared" ca="1" si="19"/>
        <v>0</v>
      </c>
      <c r="BS42" s="89">
        <f t="shared" ca="1" si="20"/>
        <v>0</v>
      </c>
      <c r="BT42" s="89">
        <f t="shared" ca="1" si="21"/>
        <v>0</v>
      </c>
      <c r="BU42" s="89">
        <f t="shared" ca="1" si="22"/>
        <v>0</v>
      </c>
      <c r="BV42" s="87">
        <f t="shared" ca="1" si="23"/>
        <v>0</v>
      </c>
      <c r="BW42" s="87" t="str">
        <f t="shared" ca="1" si="24"/>
        <v>000</v>
      </c>
      <c r="BX42" s="89">
        <f t="shared" ca="1" si="25"/>
        <v>0</v>
      </c>
    </row>
    <row r="43" spans="1:76">
      <c r="A43" s="90">
        <f t="shared" si="2"/>
        <v>43</v>
      </c>
      <c r="B43" s="98" t="s">
        <v>413</v>
      </c>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BA43" s="91">
        <f t="shared" ca="1" si="3"/>
        <v>0</v>
      </c>
      <c r="BB43" s="88" t="str">
        <f t="shared" ca="1" si="4"/>
        <v/>
      </c>
      <c r="BC43" s="89">
        <f t="shared" ca="1" si="5"/>
        <v>0</v>
      </c>
      <c r="BD43" s="89">
        <f ca="1">IF(BC43=0,0,RANK(BF43,$BF$11:$BF$70,0)+(COUNTIF($BF43:$BF$70,BF43)-1))</f>
        <v>0</v>
      </c>
      <c r="BE43" s="89">
        <f t="shared" ca="1" si="6"/>
        <v>0</v>
      </c>
      <c r="BF43" s="89">
        <f t="shared" ca="1" si="7"/>
        <v>0</v>
      </c>
      <c r="BG43" s="89">
        <f t="shared" ca="1" si="8"/>
        <v>0</v>
      </c>
      <c r="BH43" s="89">
        <f t="shared" ca="1" si="9"/>
        <v>0</v>
      </c>
      <c r="BI43" s="89">
        <f t="shared" ca="1" si="10"/>
        <v>0</v>
      </c>
      <c r="BJ43" s="89">
        <f t="shared" ca="1" si="11"/>
        <v>0</v>
      </c>
      <c r="BK43" s="89">
        <f t="shared" ca="1" si="12"/>
        <v>0</v>
      </c>
      <c r="BL43" s="89">
        <f t="shared" ca="1" si="13"/>
        <v>0</v>
      </c>
      <c r="BM43" s="89">
        <f t="shared" ca="1" si="14"/>
        <v>0</v>
      </c>
      <c r="BN43" s="89">
        <f t="shared" ca="1" si="15"/>
        <v>0</v>
      </c>
      <c r="BO43" s="89">
        <f t="shared" ca="1" si="16"/>
        <v>0</v>
      </c>
      <c r="BP43" s="89">
        <f t="shared" ca="1" si="17"/>
        <v>0</v>
      </c>
      <c r="BQ43" s="89">
        <f t="shared" ca="1" si="18"/>
        <v>0</v>
      </c>
      <c r="BR43" s="87">
        <f t="shared" ca="1" si="19"/>
        <v>0</v>
      </c>
      <c r="BS43" s="89">
        <f t="shared" ca="1" si="20"/>
        <v>0</v>
      </c>
      <c r="BT43" s="89">
        <f t="shared" ca="1" si="21"/>
        <v>0</v>
      </c>
      <c r="BU43" s="89">
        <f t="shared" ca="1" si="22"/>
        <v>0</v>
      </c>
      <c r="BV43" s="87">
        <f t="shared" ca="1" si="23"/>
        <v>0</v>
      </c>
      <c r="BW43" s="87" t="str">
        <f t="shared" ca="1" si="24"/>
        <v>000</v>
      </c>
      <c r="BX43" s="89">
        <f t="shared" ca="1" si="25"/>
        <v>0</v>
      </c>
    </row>
    <row r="44" spans="1:76">
      <c r="A44" s="90" t="str">
        <f t="shared" si="2"/>
        <v/>
      </c>
      <c r="B44" s="98">
        <v>1</v>
      </c>
      <c r="C44" s="94">
        <v>2</v>
      </c>
      <c r="D44" s="94">
        <v>1</v>
      </c>
      <c r="E44" s="94">
        <v>-6</v>
      </c>
      <c r="F44" s="94">
        <v>3</v>
      </c>
      <c r="G44" s="94">
        <v>-4</v>
      </c>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BA44" s="91">
        <f t="shared" ca="1" si="3"/>
        <v>0</v>
      </c>
      <c r="BB44" s="88" t="str">
        <f t="shared" ca="1" si="4"/>
        <v/>
      </c>
      <c r="BC44" s="89">
        <f t="shared" ca="1" si="5"/>
        <v>0</v>
      </c>
      <c r="BD44" s="89">
        <f ca="1">IF(BC44=0,0,RANK(BF44,$BF$11:$BF$70,0)+(COUNTIF($BF44:$BF$70,BF44)-1))</f>
        <v>0</v>
      </c>
      <c r="BE44" s="89">
        <f t="shared" ca="1" si="6"/>
        <v>0</v>
      </c>
      <c r="BF44" s="89">
        <f t="shared" ca="1" si="7"/>
        <v>0</v>
      </c>
      <c r="BG44" s="89">
        <f t="shared" ca="1" si="8"/>
        <v>0</v>
      </c>
      <c r="BH44" s="89">
        <f t="shared" ca="1" si="9"/>
        <v>0</v>
      </c>
      <c r="BI44" s="89">
        <f t="shared" ca="1" si="10"/>
        <v>0</v>
      </c>
      <c r="BJ44" s="89">
        <f t="shared" ca="1" si="11"/>
        <v>0</v>
      </c>
      <c r="BK44" s="89">
        <f t="shared" ca="1" si="12"/>
        <v>0</v>
      </c>
      <c r="BL44" s="89">
        <f t="shared" ca="1" si="13"/>
        <v>0</v>
      </c>
      <c r="BM44" s="89">
        <f t="shared" ca="1" si="14"/>
        <v>0</v>
      </c>
      <c r="BN44" s="89">
        <f t="shared" ca="1" si="15"/>
        <v>0</v>
      </c>
      <c r="BO44" s="89">
        <f t="shared" ca="1" si="16"/>
        <v>0</v>
      </c>
      <c r="BP44" s="89">
        <f t="shared" ca="1" si="17"/>
        <v>0</v>
      </c>
      <c r="BQ44" s="89">
        <f t="shared" ca="1" si="18"/>
        <v>0</v>
      </c>
      <c r="BR44" s="87">
        <f t="shared" ca="1" si="19"/>
        <v>0</v>
      </c>
      <c r="BS44" s="89">
        <f t="shared" ca="1" si="20"/>
        <v>0</v>
      </c>
      <c r="BT44" s="89">
        <f t="shared" ca="1" si="21"/>
        <v>0</v>
      </c>
      <c r="BU44" s="89">
        <f t="shared" ca="1" si="22"/>
        <v>0</v>
      </c>
      <c r="BV44" s="87">
        <f t="shared" ca="1" si="23"/>
        <v>0</v>
      </c>
      <c r="BW44" s="87" t="str">
        <f t="shared" ca="1" si="24"/>
        <v>000</v>
      </c>
      <c r="BX44" s="89">
        <f t="shared" ca="1" si="25"/>
        <v>0</v>
      </c>
    </row>
    <row r="45" spans="1:76">
      <c r="A45" s="90" t="str">
        <f t="shared" si="2"/>
        <v/>
      </c>
      <c r="B45" s="98">
        <v>2</v>
      </c>
      <c r="C45" s="94">
        <v>5</v>
      </c>
      <c r="D45" s="94">
        <v>-3</v>
      </c>
      <c r="E45" s="94">
        <v>2</v>
      </c>
      <c r="F45" s="94">
        <v>-7</v>
      </c>
      <c r="G45" s="94">
        <v>4</v>
      </c>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BA45" s="91">
        <f t="shared" ca="1" si="3"/>
        <v>0</v>
      </c>
      <c r="BB45" s="88" t="str">
        <f t="shared" ca="1" si="4"/>
        <v/>
      </c>
      <c r="BC45" s="89">
        <f t="shared" ca="1" si="5"/>
        <v>0</v>
      </c>
      <c r="BD45" s="89">
        <f ca="1">IF(BC45=0,0,RANK(BF45,$BF$11:$BF$70,0)+(COUNTIF($BF45:$BF$70,BF45)-1))</f>
        <v>0</v>
      </c>
      <c r="BE45" s="89">
        <f t="shared" ca="1" si="6"/>
        <v>0</v>
      </c>
      <c r="BF45" s="89">
        <f t="shared" ca="1" si="7"/>
        <v>0</v>
      </c>
      <c r="BG45" s="89">
        <f t="shared" ca="1" si="8"/>
        <v>0</v>
      </c>
      <c r="BH45" s="89">
        <f t="shared" ca="1" si="9"/>
        <v>0</v>
      </c>
      <c r="BI45" s="89">
        <f t="shared" ca="1" si="10"/>
        <v>0</v>
      </c>
      <c r="BJ45" s="89">
        <f t="shared" ca="1" si="11"/>
        <v>0</v>
      </c>
      <c r="BK45" s="89">
        <f t="shared" ca="1" si="12"/>
        <v>0</v>
      </c>
      <c r="BL45" s="89">
        <f t="shared" ca="1" si="13"/>
        <v>0</v>
      </c>
      <c r="BM45" s="89">
        <f t="shared" ca="1" si="14"/>
        <v>0</v>
      </c>
      <c r="BN45" s="89">
        <f t="shared" ca="1" si="15"/>
        <v>0</v>
      </c>
      <c r="BO45" s="89">
        <f t="shared" ca="1" si="16"/>
        <v>0</v>
      </c>
      <c r="BP45" s="89">
        <f t="shared" ca="1" si="17"/>
        <v>0</v>
      </c>
      <c r="BQ45" s="89">
        <f t="shared" ca="1" si="18"/>
        <v>0</v>
      </c>
      <c r="BR45" s="87">
        <f t="shared" ca="1" si="19"/>
        <v>0</v>
      </c>
      <c r="BS45" s="89">
        <f t="shared" ca="1" si="20"/>
        <v>0</v>
      </c>
      <c r="BT45" s="89">
        <f t="shared" ca="1" si="21"/>
        <v>0</v>
      </c>
      <c r="BU45" s="89">
        <f t="shared" ca="1" si="22"/>
        <v>0</v>
      </c>
      <c r="BV45" s="87">
        <f t="shared" ca="1" si="23"/>
        <v>0</v>
      </c>
      <c r="BW45" s="87" t="str">
        <f t="shared" ca="1" si="24"/>
        <v>000</v>
      </c>
      <c r="BX45" s="89">
        <f t="shared" ca="1" si="25"/>
        <v>0</v>
      </c>
    </row>
    <row r="46" spans="1:76">
      <c r="A46" s="90" t="str">
        <f t="shared" si="2"/>
        <v/>
      </c>
      <c r="B46" s="98">
        <v>3</v>
      </c>
      <c r="C46" s="94">
        <v>-6</v>
      </c>
      <c r="D46" s="94">
        <v>7</v>
      </c>
      <c r="E46" s="94">
        <v>-2</v>
      </c>
      <c r="F46" s="94">
        <v>-3</v>
      </c>
      <c r="G46" s="94">
        <v>5</v>
      </c>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BA46" s="91">
        <f t="shared" ca="1" si="3"/>
        <v>0</v>
      </c>
      <c r="BB46" s="88" t="str">
        <f t="shared" ca="1" si="4"/>
        <v/>
      </c>
      <c r="BC46" s="89">
        <f t="shared" ca="1" si="5"/>
        <v>0</v>
      </c>
      <c r="BD46" s="89">
        <f ca="1">IF(BC46=0,0,RANK(BF46,$BF$11:$BF$70,0)+(COUNTIF($BF46:$BF$70,BF46)-1))</f>
        <v>0</v>
      </c>
      <c r="BE46" s="89">
        <f t="shared" ca="1" si="6"/>
        <v>0</v>
      </c>
      <c r="BF46" s="89">
        <f t="shared" ca="1" si="7"/>
        <v>0</v>
      </c>
      <c r="BG46" s="89">
        <f t="shared" ca="1" si="8"/>
        <v>0</v>
      </c>
      <c r="BH46" s="89">
        <f t="shared" ca="1" si="9"/>
        <v>0</v>
      </c>
      <c r="BI46" s="89">
        <f t="shared" ca="1" si="10"/>
        <v>0</v>
      </c>
      <c r="BJ46" s="89">
        <f t="shared" ca="1" si="11"/>
        <v>0</v>
      </c>
      <c r="BK46" s="89">
        <f t="shared" ca="1" si="12"/>
        <v>0</v>
      </c>
      <c r="BL46" s="89">
        <f t="shared" ca="1" si="13"/>
        <v>0</v>
      </c>
      <c r="BM46" s="89">
        <f t="shared" ca="1" si="14"/>
        <v>0</v>
      </c>
      <c r="BN46" s="89">
        <f t="shared" ca="1" si="15"/>
        <v>0</v>
      </c>
      <c r="BO46" s="89">
        <f t="shared" ca="1" si="16"/>
        <v>0</v>
      </c>
      <c r="BP46" s="89">
        <f t="shared" ca="1" si="17"/>
        <v>0</v>
      </c>
      <c r="BQ46" s="89">
        <f t="shared" ca="1" si="18"/>
        <v>0</v>
      </c>
      <c r="BR46" s="87">
        <f t="shared" ca="1" si="19"/>
        <v>0</v>
      </c>
      <c r="BS46" s="89">
        <f t="shared" ca="1" si="20"/>
        <v>0</v>
      </c>
      <c r="BT46" s="89">
        <f t="shared" ca="1" si="21"/>
        <v>0</v>
      </c>
      <c r="BU46" s="89">
        <f t="shared" ca="1" si="22"/>
        <v>0</v>
      </c>
      <c r="BV46" s="87">
        <f t="shared" ca="1" si="23"/>
        <v>0</v>
      </c>
      <c r="BW46" s="87" t="str">
        <f t="shared" ca="1" si="24"/>
        <v>000</v>
      </c>
      <c r="BX46" s="89">
        <f t="shared" ca="1" si="25"/>
        <v>0</v>
      </c>
    </row>
    <row r="47" spans="1:76">
      <c r="A47" s="90" t="str">
        <f t="shared" si="2"/>
        <v/>
      </c>
      <c r="B47" s="98">
        <v>4</v>
      </c>
      <c r="C47" s="94">
        <v>-2</v>
      </c>
      <c r="D47" s="94">
        <v>3</v>
      </c>
      <c r="E47" s="94">
        <v>4</v>
      </c>
      <c r="F47" s="94">
        <v>-1</v>
      </c>
      <c r="G47" s="94">
        <v>-5</v>
      </c>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BA47" s="91">
        <f t="shared" ca="1" si="3"/>
        <v>0</v>
      </c>
      <c r="BB47" s="88" t="str">
        <f t="shared" ca="1" si="4"/>
        <v/>
      </c>
      <c r="BC47" s="89">
        <f t="shared" ca="1" si="5"/>
        <v>0</v>
      </c>
      <c r="BD47" s="89">
        <f ca="1">IF(BC47=0,0,RANK(BF47,$BF$11:$BF$70,0)+(COUNTIF($BF47:$BF$70,BF47)-1))</f>
        <v>0</v>
      </c>
      <c r="BE47" s="89">
        <f t="shared" ca="1" si="6"/>
        <v>0</v>
      </c>
      <c r="BF47" s="89">
        <f t="shared" ca="1" si="7"/>
        <v>0</v>
      </c>
      <c r="BG47" s="89">
        <f t="shared" ca="1" si="8"/>
        <v>0</v>
      </c>
      <c r="BH47" s="89">
        <f t="shared" ca="1" si="9"/>
        <v>0</v>
      </c>
      <c r="BI47" s="89">
        <f t="shared" ca="1" si="10"/>
        <v>0</v>
      </c>
      <c r="BJ47" s="89">
        <f t="shared" ca="1" si="11"/>
        <v>0</v>
      </c>
      <c r="BK47" s="89">
        <f t="shared" ca="1" si="12"/>
        <v>0</v>
      </c>
      <c r="BL47" s="89">
        <f t="shared" ca="1" si="13"/>
        <v>0</v>
      </c>
      <c r="BM47" s="89">
        <f t="shared" ca="1" si="14"/>
        <v>0</v>
      </c>
      <c r="BN47" s="89">
        <f t="shared" ca="1" si="15"/>
        <v>0</v>
      </c>
      <c r="BO47" s="89">
        <f t="shared" ca="1" si="16"/>
        <v>0</v>
      </c>
      <c r="BP47" s="89">
        <f t="shared" ca="1" si="17"/>
        <v>0</v>
      </c>
      <c r="BQ47" s="89">
        <f t="shared" ca="1" si="18"/>
        <v>0</v>
      </c>
      <c r="BR47" s="87">
        <f t="shared" ca="1" si="19"/>
        <v>0</v>
      </c>
      <c r="BS47" s="89">
        <f t="shared" ca="1" si="20"/>
        <v>0</v>
      </c>
      <c r="BT47" s="89">
        <f t="shared" ca="1" si="21"/>
        <v>0</v>
      </c>
      <c r="BU47" s="89">
        <f t="shared" ca="1" si="22"/>
        <v>0</v>
      </c>
      <c r="BV47" s="87">
        <f t="shared" ca="1" si="23"/>
        <v>0</v>
      </c>
      <c r="BW47" s="87" t="str">
        <f t="shared" ca="1" si="24"/>
        <v>000</v>
      </c>
      <c r="BX47" s="89">
        <f t="shared" ca="1" si="25"/>
        <v>0</v>
      </c>
    </row>
    <row r="48" spans="1:76">
      <c r="A48" s="90" t="str">
        <f t="shared" si="2"/>
        <v/>
      </c>
      <c r="B48" s="98">
        <v>5</v>
      </c>
      <c r="C48" s="94">
        <v>6</v>
      </c>
      <c r="D48" s="94">
        <v>-1</v>
      </c>
      <c r="E48" s="94">
        <v>-4</v>
      </c>
      <c r="F48" s="94">
        <v>7</v>
      </c>
      <c r="G48" s="94">
        <v>3</v>
      </c>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c r="BA48" s="91">
        <f t="shared" ca="1" si="3"/>
        <v>0</v>
      </c>
      <c r="BB48" s="88" t="str">
        <f t="shared" ca="1" si="4"/>
        <v/>
      </c>
      <c r="BC48" s="89">
        <f t="shared" ca="1" si="5"/>
        <v>0</v>
      </c>
      <c r="BD48" s="89">
        <f ca="1">IF(BC48=0,0,RANK(BF48,$BF$11:$BF$70,0)+(COUNTIF($BF48:$BF$70,BF48)-1))</f>
        <v>0</v>
      </c>
      <c r="BE48" s="89">
        <f t="shared" ca="1" si="6"/>
        <v>0</v>
      </c>
      <c r="BF48" s="89">
        <f t="shared" ca="1" si="7"/>
        <v>0</v>
      </c>
      <c r="BG48" s="89">
        <f t="shared" ca="1" si="8"/>
        <v>0</v>
      </c>
      <c r="BH48" s="89">
        <f t="shared" ca="1" si="9"/>
        <v>0</v>
      </c>
      <c r="BI48" s="89">
        <f t="shared" ca="1" si="10"/>
        <v>0</v>
      </c>
      <c r="BJ48" s="89">
        <f t="shared" ca="1" si="11"/>
        <v>0</v>
      </c>
      <c r="BK48" s="89">
        <f t="shared" ca="1" si="12"/>
        <v>0</v>
      </c>
      <c r="BL48" s="89">
        <f t="shared" ca="1" si="13"/>
        <v>0</v>
      </c>
      <c r="BM48" s="89">
        <f t="shared" ca="1" si="14"/>
        <v>0</v>
      </c>
      <c r="BN48" s="89">
        <f t="shared" ca="1" si="15"/>
        <v>0</v>
      </c>
      <c r="BO48" s="89">
        <f t="shared" ca="1" si="16"/>
        <v>0</v>
      </c>
      <c r="BP48" s="89">
        <f t="shared" ca="1" si="17"/>
        <v>0</v>
      </c>
      <c r="BQ48" s="89">
        <f t="shared" ca="1" si="18"/>
        <v>0</v>
      </c>
      <c r="BR48" s="87">
        <f t="shared" ca="1" si="19"/>
        <v>0</v>
      </c>
      <c r="BS48" s="89">
        <f t="shared" ca="1" si="20"/>
        <v>0</v>
      </c>
      <c r="BT48" s="89">
        <f t="shared" ca="1" si="21"/>
        <v>0</v>
      </c>
      <c r="BU48" s="89">
        <f t="shared" ca="1" si="22"/>
        <v>0</v>
      </c>
      <c r="BV48" s="87">
        <f t="shared" ca="1" si="23"/>
        <v>0</v>
      </c>
      <c r="BW48" s="87" t="str">
        <f t="shared" ca="1" si="24"/>
        <v>000</v>
      </c>
      <c r="BX48" s="89">
        <f t="shared" ca="1" si="25"/>
        <v>0</v>
      </c>
    </row>
    <row r="49" spans="1:76">
      <c r="A49" s="90" t="str">
        <f t="shared" si="2"/>
        <v/>
      </c>
      <c r="B49" s="99">
        <v>6</v>
      </c>
      <c r="C49" s="92">
        <v>-5</v>
      </c>
      <c r="D49" s="92">
        <v>-7</v>
      </c>
      <c r="E49" s="92">
        <v>6</v>
      </c>
      <c r="F49" s="92">
        <v>1</v>
      </c>
      <c r="G49" s="92">
        <v>-3</v>
      </c>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BA49" s="91">
        <f t="shared" ca="1" si="3"/>
        <v>0</v>
      </c>
      <c r="BB49" s="88" t="str">
        <f t="shared" ca="1" si="4"/>
        <v/>
      </c>
      <c r="BC49" s="89">
        <f t="shared" ca="1" si="5"/>
        <v>0</v>
      </c>
      <c r="BD49" s="89">
        <f ca="1">IF(BC49=0,0,RANK(BF49,$BF$11:$BF$70,0)+(COUNTIF($BF49:$BF$70,BF49)-1))</f>
        <v>0</v>
      </c>
      <c r="BE49" s="89">
        <f t="shared" ca="1" si="6"/>
        <v>0</v>
      </c>
      <c r="BF49" s="89">
        <f t="shared" ca="1" si="7"/>
        <v>0</v>
      </c>
      <c r="BG49" s="89">
        <f t="shared" ca="1" si="8"/>
        <v>0</v>
      </c>
      <c r="BH49" s="89">
        <f t="shared" ca="1" si="9"/>
        <v>0</v>
      </c>
      <c r="BI49" s="89">
        <f t="shared" ca="1" si="10"/>
        <v>0</v>
      </c>
      <c r="BJ49" s="89">
        <f t="shared" ca="1" si="11"/>
        <v>0</v>
      </c>
      <c r="BK49" s="89">
        <f t="shared" ca="1" si="12"/>
        <v>0</v>
      </c>
      <c r="BL49" s="89">
        <f t="shared" ca="1" si="13"/>
        <v>0</v>
      </c>
      <c r="BM49" s="89">
        <f t="shared" ca="1" si="14"/>
        <v>0</v>
      </c>
      <c r="BN49" s="89">
        <f t="shared" ca="1" si="15"/>
        <v>0</v>
      </c>
      <c r="BO49" s="89">
        <f t="shared" ca="1" si="16"/>
        <v>0</v>
      </c>
      <c r="BP49" s="89">
        <f t="shared" ca="1" si="17"/>
        <v>0</v>
      </c>
      <c r="BQ49" s="89">
        <f t="shared" ca="1" si="18"/>
        <v>0</v>
      </c>
      <c r="BR49" s="87">
        <f t="shared" ca="1" si="19"/>
        <v>0</v>
      </c>
      <c r="BS49" s="89">
        <f t="shared" ca="1" si="20"/>
        <v>0</v>
      </c>
      <c r="BT49" s="89">
        <f t="shared" ca="1" si="21"/>
        <v>0</v>
      </c>
      <c r="BU49" s="89">
        <f t="shared" ca="1" si="22"/>
        <v>0</v>
      </c>
      <c r="BV49" s="87">
        <f t="shared" ca="1" si="23"/>
        <v>0</v>
      </c>
      <c r="BW49" s="87" t="str">
        <f t="shared" ca="1" si="24"/>
        <v>000</v>
      </c>
      <c r="BX49" s="89">
        <f t="shared" ca="1" si="25"/>
        <v>0</v>
      </c>
    </row>
    <row r="50" spans="1:76">
      <c r="A50" s="90" t="str">
        <f t="shared" si="2"/>
        <v/>
      </c>
      <c r="B50" s="98">
        <v>7</v>
      </c>
      <c r="C50" s="94">
        <v>-3</v>
      </c>
      <c r="D50" s="94">
        <v>-4</v>
      </c>
      <c r="E50" s="94">
        <v>1</v>
      </c>
      <c r="F50" s="94">
        <v>5</v>
      </c>
      <c r="G50" s="94">
        <v>-6</v>
      </c>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BA50" s="91">
        <f t="shared" ca="1" si="3"/>
        <v>0</v>
      </c>
      <c r="BB50" s="88" t="str">
        <f t="shared" ca="1" si="4"/>
        <v/>
      </c>
      <c r="BC50" s="89">
        <f t="shared" ca="1" si="5"/>
        <v>0</v>
      </c>
      <c r="BD50" s="89">
        <f ca="1">IF(BC50=0,0,RANK(BF50,$BF$11:$BF$70,0)+(COUNTIF($BF50:$BF$70,BF50)-1))</f>
        <v>0</v>
      </c>
      <c r="BE50" s="89">
        <f t="shared" ca="1" si="6"/>
        <v>0</v>
      </c>
      <c r="BF50" s="89">
        <f t="shared" ca="1" si="7"/>
        <v>0</v>
      </c>
      <c r="BG50" s="89">
        <f t="shared" ca="1" si="8"/>
        <v>0</v>
      </c>
      <c r="BH50" s="89">
        <f t="shared" ca="1" si="9"/>
        <v>0</v>
      </c>
      <c r="BI50" s="89">
        <f t="shared" ca="1" si="10"/>
        <v>0</v>
      </c>
      <c r="BJ50" s="89">
        <f t="shared" ca="1" si="11"/>
        <v>0</v>
      </c>
      <c r="BK50" s="89">
        <f t="shared" ca="1" si="12"/>
        <v>0</v>
      </c>
      <c r="BL50" s="89">
        <f t="shared" ca="1" si="13"/>
        <v>0</v>
      </c>
      <c r="BM50" s="89">
        <f t="shared" ca="1" si="14"/>
        <v>0</v>
      </c>
      <c r="BN50" s="89">
        <f t="shared" ca="1" si="15"/>
        <v>0</v>
      </c>
      <c r="BO50" s="89">
        <f t="shared" ca="1" si="16"/>
        <v>0</v>
      </c>
      <c r="BP50" s="89">
        <f t="shared" ca="1" si="17"/>
        <v>0</v>
      </c>
      <c r="BQ50" s="89">
        <f t="shared" ca="1" si="18"/>
        <v>0</v>
      </c>
      <c r="BR50" s="87">
        <f t="shared" ca="1" si="19"/>
        <v>0</v>
      </c>
      <c r="BS50" s="89">
        <f t="shared" ca="1" si="20"/>
        <v>0</v>
      </c>
      <c r="BT50" s="89">
        <f t="shared" ca="1" si="21"/>
        <v>0</v>
      </c>
      <c r="BU50" s="89">
        <f t="shared" ca="1" si="22"/>
        <v>0</v>
      </c>
      <c r="BV50" s="87">
        <f t="shared" ca="1" si="23"/>
        <v>0</v>
      </c>
      <c r="BW50" s="87" t="str">
        <f t="shared" ca="1" si="24"/>
        <v>000</v>
      </c>
      <c r="BX50" s="89">
        <f t="shared" ca="1" si="25"/>
        <v>0</v>
      </c>
    </row>
    <row r="51" spans="1:76">
      <c r="A51" s="90" t="str">
        <f t="shared" si="2"/>
        <v/>
      </c>
      <c r="B51" s="98">
        <v>8</v>
      </c>
      <c r="C51" s="94">
        <v>1</v>
      </c>
      <c r="D51" s="94">
        <v>-2</v>
      </c>
      <c r="E51" s="94">
        <v>-7</v>
      </c>
      <c r="F51" s="94">
        <v>4</v>
      </c>
      <c r="G51" s="94">
        <v>6</v>
      </c>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BA51" s="91">
        <f t="shared" ca="1" si="3"/>
        <v>0</v>
      </c>
      <c r="BB51" s="88" t="str">
        <f t="shared" ca="1" si="4"/>
        <v/>
      </c>
      <c r="BC51" s="89">
        <f t="shared" ca="1" si="5"/>
        <v>0</v>
      </c>
      <c r="BD51" s="89">
        <f ca="1">IF(BC51=0,0,RANK(BF51,$BF$11:$BF$70,0)+(COUNTIF($BF51:$BF$70,BF51)-1))</f>
        <v>0</v>
      </c>
      <c r="BE51" s="89">
        <f t="shared" ca="1" si="6"/>
        <v>0</v>
      </c>
      <c r="BF51" s="89">
        <f t="shared" ca="1" si="7"/>
        <v>0</v>
      </c>
      <c r="BG51" s="89">
        <f t="shared" ca="1" si="8"/>
        <v>0</v>
      </c>
      <c r="BH51" s="89">
        <f t="shared" ca="1" si="9"/>
        <v>0</v>
      </c>
      <c r="BI51" s="89">
        <f t="shared" ca="1" si="10"/>
        <v>0</v>
      </c>
      <c r="BJ51" s="89">
        <f t="shared" ca="1" si="11"/>
        <v>0</v>
      </c>
      <c r="BK51" s="89">
        <f t="shared" ca="1" si="12"/>
        <v>0</v>
      </c>
      <c r="BL51" s="89">
        <f t="shared" ca="1" si="13"/>
        <v>0</v>
      </c>
      <c r="BM51" s="89">
        <f t="shared" ca="1" si="14"/>
        <v>0</v>
      </c>
      <c r="BN51" s="89">
        <f t="shared" ca="1" si="15"/>
        <v>0</v>
      </c>
      <c r="BO51" s="89">
        <f t="shared" ca="1" si="16"/>
        <v>0</v>
      </c>
      <c r="BP51" s="89">
        <f t="shared" ca="1" si="17"/>
        <v>0</v>
      </c>
      <c r="BQ51" s="89">
        <f t="shared" ca="1" si="18"/>
        <v>0</v>
      </c>
      <c r="BR51" s="87">
        <f t="shared" ca="1" si="19"/>
        <v>0</v>
      </c>
      <c r="BS51" s="89">
        <f t="shared" ca="1" si="20"/>
        <v>0</v>
      </c>
      <c r="BT51" s="89">
        <f t="shared" ca="1" si="21"/>
        <v>0</v>
      </c>
      <c r="BU51" s="89">
        <f t="shared" ca="1" si="22"/>
        <v>0</v>
      </c>
      <c r="BV51" s="87">
        <f t="shared" ca="1" si="23"/>
        <v>0</v>
      </c>
      <c r="BW51" s="87" t="str">
        <f t="shared" ca="1" si="24"/>
        <v>000</v>
      </c>
      <c r="BX51" s="89">
        <f t="shared" ca="1" si="25"/>
        <v>0</v>
      </c>
    </row>
    <row r="52" spans="1:76">
      <c r="A52" s="90" t="str">
        <f t="shared" si="2"/>
        <v/>
      </c>
      <c r="B52" s="98">
        <v>9</v>
      </c>
      <c r="C52" s="94">
        <v>-4</v>
      </c>
      <c r="D52" s="94">
        <v>6</v>
      </c>
      <c r="E52" s="94">
        <v>7</v>
      </c>
      <c r="F52" s="94">
        <v>-5</v>
      </c>
      <c r="G52" s="94">
        <v>-2</v>
      </c>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BA52" s="91">
        <f t="shared" ca="1" si="3"/>
        <v>0</v>
      </c>
      <c r="BB52" s="88" t="str">
        <f t="shared" ca="1" si="4"/>
        <v/>
      </c>
      <c r="BC52" s="89">
        <f t="shared" ca="1" si="5"/>
        <v>0</v>
      </c>
      <c r="BD52" s="89">
        <f ca="1">IF(BC52=0,0,RANK(BF52,$BF$11:$BF$70,0)+(COUNTIF($BF52:$BF$70,BF52)-1))</f>
        <v>0</v>
      </c>
      <c r="BE52" s="89">
        <f t="shared" ca="1" si="6"/>
        <v>0</v>
      </c>
      <c r="BF52" s="89">
        <f t="shared" ca="1" si="7"/>
        <v>0</v>
      </c>
      <c r="BG52" s="89">
        <f t="shared" ca="1" si="8"/>
        <v>0</v>
      </c>
      <c r="BH52" s="89">
        <f t="shared" ca="1" si="9"/>
        <v>0</v>
      </c>
      <c r="BI52" s="89">
        <f t="shared" ca="1" si="10"/>
        <v>0</v>
      </c>
      <c r="BJ52" s="89">
        <f t="shared" ca="1" si="11"/>
        <v>0</v>
      </c>
      <c r="BK52" s="89">
        <f t="shared" ca="1" si="12"/>
        <v>0</v>
      </c>
      <c r="BL52" s="89">
        <f t="shared" ca="1" si="13"/>
        <v>0</v>
      </c>
      <c r="BM52" s="89">
        <f t="shared" ca="1" si="14"/>
        <v>0</v>
      </c>
      <c r="BN52" s="89">
        <f t="shared" ca="1" si="15"/>
        <v>0</v>
      </c>
      <c r="BO52" s="89">
        <f t="shared" ca="1" si="16"/>
        <v>0</v>
      </c>
      <c r="BP52" s="89">
        <f t="shared" ca="1" si="17"/>
        <v>0</v>
      </c>
      <c r="BQ52" s="89">
        <f t="shared" ca="1" si="18"/>
        <v>0</v>
      </c>
      <c r="BR52" s="87">
        <f t="shared" ca="1" si="19"/>
        <v>0</v>
      </c>
      <c r="BS52" s="89">
        <f t="shared" ca="1" si="20"/>
        <v>0</v>
      </c>
      <c r="BT52" s="89">
        <f t="shared" ca="1" si="21"/>
        <v>0</v>
      </c>
      <c r="BU52" s="89">
        <f t="shared" ca="1" si="22"/>
        <v>0</v>
      </c>
      <c r="BV52" s="87">
        <f t="shared" ca="1" si="23"/>
        <v>0</v>
      </c>
      <c r="BW52" s="87" t="str">
        <f t="shared" ca="1" si="24"/>
        <v>000</v>
      </c>
      <c r="BX52" s="89">
        <f t="shared" ca="1" si="25"/>
        <v>0</v>
      </c>
    </row>
    <row r="53" spans="1:76">
      <c r="A53" s="90" t="str">
        <f t="shared" si="2"/>
        <v/>
      </c>
      <c r="B53" s="99">
        <v>10</v>
      </c>
      <c r="C53" s="92">
        <v>7</v>
      </c>
      <c r="D53" s="92">
        <v>5</v>
      </c>
      <c r="E53" s="92">
        <v>-1</v>
      </c>
      <c r="F53" s="92">
        <v>-4</v>
      </c>
      <c r="G53" s="92">
        <v>2</v>
      </c>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BA53" s="91">
        <f t="shared" ca="1" si="3"/>
        <v>0</v>
      </c>
      <c r="BB53" s="88" t="str">
        <f t="shared" ca="1" si="4"/>
        <v/>
      </c>
      <c r="BC53" s="89">
        <f t="shared" ca="1" si="5"/>
        <v>0</v>
      </c>
      <c r="BD53" s="89">
        <f ca="1">IF(BC53=0,0,RANK(BF53,$BF$11:$BF$70,0)+(COUNTIF($BF53:$BF$70,BF53)-1))</f>
        <v>0</v>
      </c>
      <c r="BE53" s="89">
        <f t="shared" ca="1" si="6"/>
        <v>0</v>
      </c>
      <c r="BF53" s="89">
        <f t="shared" ca="1" si="7"/>
        <v>0</v>
      </c>
      <c r="BG53" s="89">
        <f t="shared" ca="1" si="8"/>
        <v>0</v>
      </c>
      <c r="BH53" s="89">
        <f t="shared" ca="1" si="9"/>
        <v>0</v>
      </c>
      <c r="BI53" s="89">
        <f t="shared" ca="1" si="10"/>
        <v>0</v>
      </c>
      <c r="BJ53" s="89">
        <f t="shared" ca="1" si="11"/>
        <v>0</v>
      </c>
      <c r="BK53" s="89">
        <f t="shared" ca="1" si="12"/>
        <v>0</v>
      </c>
      <c r="BL53" s="89">
        <f t="shared" ca="1" si="13"/>
        <v>0</v>
      </c>
      <c r="BM53" s="89">
        <f t="shared" ca="1" si="14"/>
        <v>0</v>
      </c>
      <c r="BN53" s="89">
        <f t="shared" ca="1" si="15"/>
        <v>0</v>
      </c>
      <c r="BO53" s="89">
        <f t="shared" ca="1" si="16"/>
        <v>0</v>
      </c>
      <c r="BP53" s="89">
        <f t="shared" ca="1" si="17"/>
        <v>0</v>
      </c>
      <c r="BQ53" s="89">
        <f t="shared" ca="1" si="18"/>
        <v>0</v>
      </c>
      <c r="BR53" s="87">
        <f t="shared" ca="1" si="19"/>
        <v>0</v>
      </c>
      <c r="BS53" s="89">
        <f t="shared" ca="1" si="20"/>
        <v>0</v>
      </c>
      <c r="BT53" s="89">
        <f t="shared" ca="1" si="21"/>
        <v>0</v>
      </c>
      <c r="BU53" s="89">
        <f t="shared" ca="1" si="22"/>
        <v>0</v>
      </c>
      <c r="BV53" s="87">
        <f t="shared" ca="1" si="23"/>
        <v>0</v>
      </c>
      <c r="BW53" s="87" t="str">
        <f t="shared" ca="1" si="24"/>
        <v>000</v>
      </c>
      <c r="BX53" s="89">
        <f t="shared" ca="1" si="25"/>
        <v>0</v>
      </c>
    </row>
    <row r="54" spans="1:76">
      <c r="A54" s="90" t="str">
        <f t="shared" si="2"/>
        <v/>
      </c>
      <c r="B54" s="98">
        <v>11</v>
      </c>
      <c r="C54" s="94">
        <v>3</v>
      </c>
      <c r="D54" s="94">
        <v>2</v>
      </c>
      <c r="E54" s="94">
        <v>-5</v>
      </c>
      <c r="F54" s="94">
        <v>6</v>
      </c>
      <c r="G54" s="94">
        <v>-7</v>
      </c>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BA54" s="91">
        <f t="shared" ca="1" si="3"/>
        <v>0</v>
      </c>
      <c r="BB54" s="88" t="str">
        <f t="shared" ca="1" si="4"/>
        <v/>
      </c>
      <c r="BC54" s="89">
        <f t="shared" ca="1" si="5"/>
        <v>0</v>
      </c>
      <c r="BD54" s="89">
        <f ca="1">IF(BC54=0,0,RANK(BF54,$BF$11:$BF$70,0)+(COUNTIF($BF54:$BF$70,BF54)-1))</f>
        <v>0</v>
      </c>
      <c r="BE54" s="89">
        <f t="shared" ca="1" si="6"/>
        <v>0</v>
      </c>
      <c r="BF54" s="89">
        <f t="shared" ca="1" si="7"/>
        <v>0</v>
      </c>
      <c r="BG54" s="89">
        <f t="shared" ca="1" si="8"/>
        <v>0</v>
      </c>
      <c r="BH54" s="89">
        <f t="shared" ca="1" si="9"/>
        <v>0</v>
      </c>
      <c r="BI54" s="89">
        <f t="shared" ca="1" si="10"/>
        <v>0</v>
      </c>
      <c r="BJ54" s="89">
        <f t="shared" ca="1" si="11"/>
        <v>0</v>
      </c>
      <c r="BK54" s="89">
        <f t="shared" ca="1" si="12"/>
        <v>0</v>
      </c>
      <c r="BL54" s="89">
        <f t="shared" ca="1" si="13"/>
        <v>0</v>
      </c>
      <c r="BM54" s="89">
        <f t="shared" ca="1" si="14"/>
        <v>0</v>
      </c>
      <c r="BN54" s="89">
        <f t="shared" ca="1" si="15"/>
        <v>0</v>
      </c>
      <c r="BO54" s="89">
        <f t="shared" ca="1" si="16"/>
        <v>0</v>
      </c>
      <c r="BP54" s="89">
        <f t="shared" ca="1" si="17"/>
        <v>0</v>
      </c>
      <c r="BQ54" s="89">
        <f t="shared" ca="1" si="18"/>
        <v>0</v>
      </c>
      <c r="BR54" s="87">
        <f t="shared" ca="1" si="19"/>
        <v>0</v>
      </c>
      <c r="BS54" s="89">
        <f t="shared" ca="1" si="20"/>
        <v>0</v>
      </c>
      <c r="BT54" s="89">
        <f t="shared" ca="1" si="21"/>
        <v>0</v>
      </c>
      <c r="BU54" s="89">
        <f t="shared" ca="1" si="22"/>
        <v>0</v>
      </c>
      <c r="BV54" s="87">
        <f t="shared" ca="1" si="23"/>
        <v>0</v>
      </c>
      <c r="BW54" s="87" t="str">
        <f t="shared" ca="1" si="24"/>
        <v>000</v>
      </c>
      <c r="BX54" s="89">
        <f t="shared" ca="1" si="25"/>
        <v>0</v>
      </c>
    </row>
    <row r="55" spans="1:76">
      <c r="A55" s="90" t="str">
        <f t="shared" si="2"/>
        <v/>
      </c>
      <c r="B55" s="98">
        <v>12</v>
      </c>
      <c r="C55" s="94">
        <v>-1</v>
      </c>
      <c r="D55" s="94">
        <v>4</v>
      </c>
      <c r="E55" s="94">
        <v>-3</v>
      </c>
      <c r="F55" s="94">
        <v>-2</v>
      </c>
      <c r="G55" s="94">
        <v>7</v>
      </c>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BA55" s="91">
        <f t="shared" ca="1" si="3"/>
        <v>0</v>
      </c>
      <c r="BB55" s="88" t="str">
        <f t="shared" ca="1" si="4"/>
        <v/>
      </c>
      <c r="BC55" s="89">
        <f t="shared" ca="1" si="5"/>
        <v>0</v>
      </c>
      <c r="BD55" s="89">
        <f ca="1">IF(BC55=0,0,RANK(BF55,$BF$11:$BF$70,0)+(COUNTIF($BF55:$BF$70,BF55)-1))</f>
        <v>0</v>
      </c>
      <c r="BE55" s="89">
        <f t="shared" ca="1" si="6"/>
        <v>0</v>
      </c>
      <c r="BF55" s="89">
        <f t="shared" ca="1" si="7"/>
        <v>0</v>
      </c>
      <c r="BG55" s="89">
        <f t="shared" ca="1" si="8"/>
        <v>0</v>
      </c>
      <c r="BH55" s="89">
        <f t="shared" ca="1" si="9"/>
        <v>0</v>
      </c>
      <c r="BI55" s="89">
        <f t="shared" ca="1" si="10"/>
        <v>0</v>
      </c>
      <c r="BJ55" s="89">
        <f t="shared" ca="1" si="11"/>
        <v>0</v>
      </c>
      <c r="BK55" s="89">
        <f t="shared" ca="1" si="12"/>
        <v>0</v>
      </c>
      <c r="BL55" s="89">
        <f t="shared" ca="1" si="13"/>
        <v>0</v>
      </c>
      <c r="BM55" s="89">
        <f t="shared" ca="1" si="14"/>
        <v>0</v>
      </c>
      <c r="BN55" s="89">
        <f t="shared" ca="1" si="15"/>
        <v>0</v>
      </c>
      <c r="BO55" s="89">
        <f t="shared" ca="1" si="16"/>
        <v>0</v>
      </c>
      <c r="BP55" s="89">
        <f t="shared" ca="1" si="17"/>
        <v>0</v>
      </c>
      <c r="BQ55" s="89">
        <f t="shared" ca="1" si="18"/>
        <v>0</v>
      </c>
      <c r="BR55" s="87">
        <f t="shared" ca="1" si="19"/>
        <v>0</v>
      </c>
      <c r="BS55" s="89">
        <f t="shared" ca="1" si="20"/>
        <v>0</v>
      </c>
      <c r="BT55" s="89">
        <f t="shared" ca="1" si="21"/>
        <v>0</v>
      </c>
      <c r="BU55" s="89">
        <f t="shared" ca="1" si="22"/>
        <v>0</v>
      </c>
      <c r="BV55" s="87">
        <f t="shared" ca="1" si="23"/>
        <v>0</v>
      </c>
      <c r="BW55" s="87" t="str">
        <f t="shared" ca="1" si="24"/>
        <v>000</v>
      </c>
      <c r="BX55" s="89">
        <f t="shared" ca="1" si="25"/>
        <v>0</v>
      </c>
    </row>
    <row r="56" spans="1:76">
      <c r="A56" s="90" t="str">
        <f t="shared" si="2"/>
        <v/>
      </c>
      <c r="B56" s="98">
        <v>13</v>
      </c>
      <c r="C56" s="94">
        <v>4</v>
      </c>
      <c r="D56" s="94">
        <v>-5</v>
      </c>
      <c r="E56" s="94">
        <v>3</v>
      </c>
      <c r="F56" s="94">
        <v>-6</v>
      </c>
      <c r="G56" s="94">
        <v>1</v>
      </c>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BA56" s="91">
        <f t="shared" ca="1" si="3"/>
        <v>0</v>
      </c>
      <c r="BB56" s="88" t="str">
        <f t="shared" ca="1" si="4"/>
        <v/>
      </c>
      <c r="BC56" s="89">
        <f t="shared" ca="1" si="5"/>
        <v>0</v>
      </c>
      <c r="BD56" s="89">
        <f ca="1">IF(BC56=0,0,RANK(BF56,$BF$11:$BF$70,0)+(COUNTIF($BF56:$BF$70,BF56)-1))</f>
        <v>0</v>
      </c>
      <c r="BE56" s="89">
        <f t="shared" ca="1" si="6"/>
        <v>0</v>
      </c>
      <c r="BF56" s="89">
        <f t="shared" ca="1" si="7"/>
        <v>0</v>
      </c>
      <c r="BG56" s="89">
        <f t="shared" ca="1" si="8"/>
        <v>0</v>
      </c>
      <c r="BH56" s="89">
        <f t="shared" ca="1" si="9"/>
        <v>0</v>
      </c>
      <c r="BI56" s="89">
        <f t="shared" ca="1" si="10"/>
        <v>0</v>
      </c>
      <c r="BJ56" s="89">
        <f t="shared" ca="1" si="11"/>
        <v>0</v>
      </c>
      <c r="BK56" s="89">
        <f t="shared" ca="1" si="12"/>
        <v>0</v>
      </c>
      <c r="BL56" s="89">
        <f t="shared" ca="1" si="13"/>
        <v>0</v>
      </c>
      <c r="BM56" s="89">
        <f t="shared" ca="1" si="14"/>
        <v>0</v>
      </c>
      <c r="BN56" s="89">
        <f t="shared" ca="1" si="15"/>
        <v>0</v>
      </c>
      <c r="BO56" s="89">
        <f t="shared" ca="1" si="16"/>
        <v>0</v>
      </c>
      <c r="BP56" s="89">
        <f t="shared" ca="1" si="17"/>
        <v>0</v>
      </c>
      <c r="BQ56" s="89">
        <f t="shared" ca="1" si="18"/>
        <v>0</v>
      </c>
      <c r="BR56" s="87">
        <f t="shared" ca="1" si="19"/>
        <v>0</v>
      </c>
      <c r="BS56" s="89">
        <f t="shared" ca="1" si="20"/>
        <v>0</v>
      </c>
      <c r="BT56" s="89">
        <f t="shared" ca="1" si="21"/>
        <v>0</v>
      </c>
      <c r="BU56" s="89">
        <f t="shared" ca="1" si="22"/>
        <v>0</v>
      </c>
      <c r="BV56" s="87">
        <f t="shared" ca="1" si="23"/>
        <v>0</v>
      </c>
      <c r="BW56" s="87" t="str">
        <f t="shared" ca="1" si="24"/>
        <v>000</v>
      </c>
      <c r="BX56" s="89">
        <f t="shared" ca="1" si="25"/>
        <v>0</v>
      </c>
    </row>
    <row r="57" spans="1:76">
      <c r="A57" s="90" t="str">
        <f t="shared" si="2"/>
        <v/>
      </c>
      <c r="B57" s="98">
        <v>14</v>
      </c>
      <c r="C57" s="94">
        <v>-7</v>
      </c>
      <c r="D57" s="94">
        <v>-6</v>
      </c>
      <c r="E57" s="94">
        <v>5</v>
      </c>
      <c r="F57" s="94">
        <v>2</v>
      </c>
      <c r="G57" s="94">
        <v>-1</v>
      </c>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BA57" s="91">
        <f t="shared" ca="1" si="3"/>
        <v>0</v>
      </c>
      <c r="BB57" s="88" t="str">
        <f t="shared" ca="1" si="4"/>
        <v/>
      </c>
      <c r="BC57" s="89">
        <f t="shared" ca="1" si="5"/>
        <v>0</v>
      </c>
      <c r="BD57" s="89">
        <f ca="1">IF(BC57=0,0,RANK(BF57,$BF$11:$BF$70,0)+(COUNTIF($BF57:$BF$70,BF57)-1))</f>
        <v>0</v>
      </c>
      <c r="BE57" s="89">
        <f t="shared" ca="1" si="6"/>
        <v>0</v>
      </c>
      <c r="BF57" s="89">
        <f t="shared" ca="1" si="7"/>
        <v>0</v>
      </c>
      <c r="BG57" s="89">
        <f t="shared" ca="1" si="8"/>
        <v>0</v>
      </c>
      <c r="BH57" s="89">
        <f t="shared" ca="1" si="9"/>
        <v>0</v>
      </c>
      <c r="BI57" s="89">
        <f t="shared" ca="1" si="10"/>
        <v>0</v>
      </c>
      <c r="BJ57" s="89">
        <f t="shared" ca="1" si="11"/>
        <v>0</v>
      </c>
      <c r="BK57" s="89">
        <f t="shared" ca="1" si="12"/>
        <v>0</v>
      </c>
      <c r="BL57" s="89">
        <f t="shared" ca="1" si="13"/>
        <v>0</v>
      </c>
      <c r="BM57" s="89">
        <f t="shared" ca="1" si="14"/>
        <v>0</v>
      </c>
      <c r="BN57" s="89">
        <f t="shared" ca="1" si="15"/>
        <v>0</v>
      </c>
      <c r="BO57" s="89">
        <f t="shared" ca="1" si="16"/>
        <v>0</v>
      </c>
      <c r="BP57" s="89">
        <f t="shared" ca="1" si="17"/>
        <v>0</v>
      </c>
      <c r="BQ57" s="89">
        <f t="shared" ca="1" si="18"/>
        <v>0</v>
      </c>
      <c r="BR57" s="87">
        <f t="shared" ca="1" si="19"/>
        <v>0</v>
      </c>
      <c r="BS57" s="89">
        <f t="shared" ca="1" si="20"/>
        <v>0</v>
      </c>
      <c r="BT57" s="89">
        <f t="shared" ca="1" si="21"/>
        <v>0</v>
      </c>
      <c r="BU57" s="89">
        <f t="shared" ca="1" si="22"/>
        <v>0</v>
      </c>
      <c r="BV57" s="87">
        <f t="shared" ca="1" si="23"/>
        <v>0</v>
      </c>
      <c r="BW57" s="87" t="str">
        <f t="shared" ca="1" si="24"/>
        <v>000</v>
      </c>
      <c r="BX57" s="89">
        <f t="shared" ca="1" si="25"/>
        <v>0</v>
      </c>
    </row>
    <row r="58" spans="1:76">
      <c r="A58" s="90" t="str">
        <f t="shared" si="2"/>
        <v/>
      </c>
      <c r="B58" s="98" t="s">
        <v>414</v>
      </c>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c r="BA58" s="91">
        <f t="shared" ca="1" si="3"/>
        <v>0</v>
      </c>
      <c r="BB58" s="88" t="str">
        <f t="shared" ca="1" si="4"/>
        <v/>
      </c>
      <c r="BC58" s="89">
        <f t="shared" ca="1" si="5"/>
        <v>0</v>
      </c>
      <c r="BD58" s="89">
        <f ca="1">IF(BC58=0,0,RANK(BF58,$BF$11:$BF$70,0)+(COUNTIF($BF58:$BF$70,BF58)-1))</f>
        <v>0</v>
      </c>
      <c r="BE58" s="89">
        <f t="shared" ca="1" si="6"/>
        <v>0</v>
      </c>
      <c r="BF58" s="89">
        <f t="shared" ca="1" si="7"/>
        <v>0</v>
      </c>
      <c r="BG58" s="89">
        <f t="shared" ca="1" si="8"/>
        <v>0</v>
      </c>
      <c r="BH58" s="89">
        <f t="shared" ca="1" si="9"/>
        <v>0</v>
      </c>
      <c r="BI58" s="89">
        <f t="shared" ca="1" si="10"/>
        <v>0</v>
      </c>
      <c r="BJ58" s="89">
        <f t="shared" ca="1" si="11"/>
        <v>0</v>
      </c>
      <c r="BK58" s="89">
        <f t="shared" ca="1" si="12"/>
        <v>0</v>
      </c>
      <c r="BL58" s="89">
        <f t="shared" ca="1" si="13"/>
        <v>0</v>
      </c>
      <c r="BM58" s="89">
        <f t="shared" ca="1" si="14"/>
        <v>0</v>
      </c>
      <c r="BN58" s="89">
        <f t="shared" ca="1" si="15"/>
        <v>0</v>
      </c>
      <c r="BO58" s="89">
        <f t="shared" ca="1" si="16"/>
        <v>0</v>
      </c>
      <c r="BP58" s="89">
        <f t="shared" ca="1" si="17"/>
        <v>0</v>
      </c>
      <c r="BQ58" s="89">
        <f t="shared" ca="1" si="18"/>
        <v>0</v>
      </c>
      <c r="BR58" s="87">
        <f t="shared" ca="1" si="19"/>
        <v>0</v>
      </c>
      <c r="BS58" s="89">
        <f t="shared" ca="1" si="20"/>
        <v>0</v>
      </c>
      <c r="BT58" s="89">
        <f t="shared" ca="1" si="21"/>
        <v>0</v>
      </c>
      <c r="BU58" s="89">
        <f t="shared" ca="1" si="22"/>
        <v>0</v>
      </c>
      <c r="BV58" s="87">
        <f t="shared" ca="1" si="23"/>
        <v>0</v>
      </c>
      <c r="BW58" s="87" t="str">
        <f t="shared" ca="1" si="24"/>
        <v>000</v>
      </c>
      <c r="BX58" s="89">
        <f t="shared" ca="1" si="25"/>
        <v>0</v>
      </c>
    </row>
    <row r="59" spans="1:76">
      <c r="A59" s="90">
        <f t="shared" si="2"/>
        <v>59</v>
      </c>
      <c r="B59" s="98" t="s">
        <v>415</v>
      </c>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BA59" s="91">
        <f t="shared" ca="1" si="3"/>
        <v>0</v>
      </c>
      <c r="BB59" s="88" t="str">
        <f t="shared" ca="1" si="4"/>
        <v/>
      </c>
      <c r="BC59" s="89">
        <f t="shared" ca="1" si="5"/>
        <v>0</v>
      </c>
      <c r="BD59" s="89">
        <f ca="1">IF(BC59=0,0,RANK(BF59,$BF$11:$BF$70,0)+(COUNTIF($BF59:$BF$70,BF59)-1))</f>
        <v>0</v>
      </c>
      <c r="BE59" s="89">
        <f t="shared" ca="1" si="6"/>
        <v>0</v>
      </c>
      <c r="BF59" s="89">
        <f t="shared" ca="1" si="7"/>
        <v>0</v>
      </c>
      <c r="BG59" s="89">
        <f t="shared" ca="1" si="8"/>
        <v>0</v>
      </c>
      <c r="BH59" s="89">
        <f t="shared" ca="1" si="9"/>
        <v>0</v>
      </c>
      <c r="BI59" s="89">
        <f t="shared" ca="1" si="10"/>
        <v>0</v>
      </c>
      <c r="BJ59" s="89">
        <f t="shared" ca="1" si="11"/>
        <v>0</v>
      </c>
      <c r="BK59" s="89">
        <f t="shared" ca="1" si="12"/>
        <v>0</v>
      </c>
      <c r="BL59" s="89">
        <f t="shared" ca="1" si="13"/>
        <v>0</v>
      </c>
      <c r="BM59" s="89">
        <f t="shared" ca="1" si="14"/>
        <v>0</v>
      </c>
      <c r="BN59" s="89">
        <f t="shared" ca="1" si="15"/>
        <v>0</v>
      </c>
      <c r="BO59" s="89">
        <f t="shared" ca="1" si="16"/>
        <v>0</v>
      </c>
      <c r="BP59" s="89">
        <f t="shared" ca="1" si="17"/>
        <v>0</v>
      </c>
      <c r="BQ59" s="89">
        <f t="shared" ca="1" si="18"/>
        <v>0</v>
      </c>
      <c r="BR59" s="87">
        <f t="shared" ca="1" si="19"/>
        <v>0</v>
      </c>
      <c r="BS59" s="89">
        <f t="shared" ca="1" si="20"/>
        <v>0</v>
      </c>
      <c r="BT59" s="89">
        <f t="shared" ca="1" si="21"/>
        <v>0</v>
      </c>
      <c r="BU59" s="89">
        <f t="shared" ca="1" si="22"/>
        <v>0</v>
      </c>
      <c r="BV59" s="87">
        <f t="shared" ca="1" si="23"/>
        <v>0</v>
      </c>
      <c r="BW59" s="87" t="str">
        <f t="shared" ca="1" si="24"/>
        <v>000</v>
      </c>
      <c r="BX59" s="89">
        <f t="shared" ca="1" si="25"/>
        <v>0</v>
      </c>
    </row>
    <row r="60" spans="1:76">
      <c r="A60" s="90" t="str">
        <f t="shared" si="2"/>
        <v/>
      </c>
      <c r="B60" s="98">
        <v>1</v>
      </c>
      <c r="C60" s="94">
        <v>5</v>
      </c>
      <c r="D60" s="94">
        <v>6</v>
      </c>
      <c r="E60" s="94">
        <v>2</v>
      </c>
      <c r="F60" s="94">
        <v>-3</v>
      </c>
      <c r="G60" s="94">
        <v>-7</v>
      </c>
      <c r="H60" s="94" t="s">
        <v>202</v>
      </c>
      <c r="I60" s="94">
        <v>-4</v>
      </c>
      <c r="J60" s="94">
        <v>1</v>
      </c>
      <c r="K60" s="94">
        <v>-5</v>
      </c>
      <c r="L60" s="94">
        <v>7</v>
      </c>
      <c r="M60" s="94">
        <v>-6</v>
      </c>
      <c r="N60" s="94">
        <v>-2</v>
      </c>
      <c r="O60" s="94">
        <v>-1</v>
      </c>
      <c r="P60" s="94">
        <v>3</v>
      </c>
      <c r="Q60" s="94">
        <v>4</v>
      </c>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BA60" s="91">
        <f t="shared" ca="1" si="3"/>
        <v>0</v>
      </c>
      <c r="BB60" s="88" t="str">
        <f t="shared" ca="1" si="4"/>
        <v/>
      </c>
      <c r="BC60" s="89">
        <f t="shared" ca="1" si="5"/>
        <v>0</v>
      </c>
      <c r="BD60" s="89">
        <f ca="1">IF(BC60=0,0,RANK(BF60,$BF$11:$BF$70,0)+(COUNTIF($BF60:$BF$70,BF60)-1))</f>
        <v>0</v>
      </c>
      <c r="BE60" s="89">
        <f t="shared" ca="1" si="6"/>
        <v>0</v>
      </c>
      <c r="BF60" s="89">
        <f t="shared" ca="1" si="7"/>
        <v>0</v>
      </c>
      <c r="BG60" s="89">
        <f t="shared" ca="1" si="8"/>
        <v>0</v>
      </c>
      <c r="BH60" s="89">
        <f t="shared" ca="1" si="9"/>
        <v>0</v>
      </c>
      <c r="BI60" s="89">
        <f t="shared" ca="1" si="10"/>
        <v>0</v>
      </c>
      <c r="BJ60" s="89">
        <f t="shared" ca="1" si="11"/>
        <v>0</v>
      </c>
      <c r="BK60" s="89">
        <f t="shared" ca="1" si="12"/>
        <v>0</v>
      </c>
      <c r="BL60" s="89">
        <f t="shared" ca="1" si="13"/>
        <v>0</v>
      </c>
      <c r="BM60" s="89">
        <f t="shared" ca="1" si="14"/>
        <v>0</v>
      </c>
      <c r="BN60" s="89">
        <f t="shared" ca="1" si="15"/>
        <v>0</v>
      </c>
      <c r="BO60" s="89">
        <f t="shared" ca="1" si="16"/>
        <v>0</v>
      </c>
      <c r="BP60" s="89">
        <f t="shared" ca="1" si="17"/>
        <v>0</v>
      </c>
      <c r="BQ60" s="89">
        <f t="shared" ca="1" si="18"/>
        <v>0</v>
      </c>
      <c r="BR60" s="87">
        <f t="shared" ca="1" si="19"/>
        <v>0</v>
      </c>
      <c r="BS60" s="89">
        <f t="shared" ca="1" si="20"/>
        <v>0</v>
      </c>
      <c r="BT60" s="89">
        <f t="shared" ca="1" si="21"/>
        <v>0</v>
      </c>
      <c r="BU60" s="89">
        <f t="shared" ca="1" si="22"/>
        <v>0</v>
      </c>
      <c r="BV60" s="87">
        <f t="shared" ca="1" si="23"/>
        <v>0</v>
      </c>
      <c r="BW60" s="87" t="str">
        <f t="shared" ca="1" si="24"/>
        <v>000</v>
      </c>
      <c r="BX60" s="89">
        <f t="shared" ca="1" si="25"/>
        <v>0</v>
      </c>
    </row>
    <row r="61" spans="1:76">
      <c r="A61" s="90" t="str">
        <f t="shared" si="2"/>
        <v/>
      </c>
      <c r="B61" s="98">
        <v>2</v>
      </c>
      <c r="C61" s="94">
        <v>-2</v>
      </c>
      <c r="D61" s="94">
        <v>1</v>
      </c>
      <c r="E61" s="94">
        <v>5</v>
      </c>
      <c r="F61" s="94">
        <v>-6</v>
      </c>
      <c r="G61" s="94">
        <v>4</v>
      </c>
      <c r="H61" s="94">
        <v>-3</v>
      </c>
      <c r="I61" s="94">
        <v>-7</v>
      </c>
      <c r="J61" s="94" t="s">
        <v>202</v>
      </c>
      <c r="K61" s="94">
        <v>-1</v>
      </c>
      <c r="L61" s="94">
        <v>-5</v>
      </c>
      <c r="M61" s="94">
        <v>2</v>
      </c>
      <c r="N61" s="94">
        <v>7</v>
      </c>
      <c r="O61" s="94">
        <v>3</v>
      </c>
      <c r="P61" s="94">
        <v>6</v>
      </c>
      <c r="Q61" s="94">
        <v>-4</v>
      </c>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BA61" s="91">
        <f t="shared" ca="1" si="3"/>
        <v>0</v>
      </c>
      <c r="BB61" s="88" t="str">
        <f t="shared" ca="1" si="4"/>
        <v/>
      </c>
      <c r="BC61" s="89">
        <f t="shared" ca="1" si="5"/>
        <v>0</v>
      </c>
      <c r="BD61" s="89">
        <f ca="1">IF(BC61=0,0,RANK(BF61,$BF$11:$BF$70,0)+(COUNTIF($BF61:$BF$70,BF61)-1))</f>
        <v>0</v>
      </c>
      <c r="BE61" s="89">
        <f t="shared" ca="1" si="6"/>
        <v>0</v>
      </c>
      <c r="BF61" s="89">
        <f t="shared" ca="1" si="7"/>
        <v>0</v>
      </c>
      <c r="BG61" s="89">
        <f t="shared" ca="1" si="8"/>
        <v>0</v>
      </c>
      <c r="BH61" s="89">
        <f t="shared" ca="1" si="9"/>
        <v>0</v>
      </c>
      <c r="BI61" s="89">
        <f t="shared" ca="1" si="10"/>
        <v>0</v>
      </c>
      <c r="BJ61" s="89">
        <f t="shared" ca="1" si="11"/>
        <v>0</v>
      </c>
      <c r="BK61" s="89">
        <f t="shared" ca="1" si="12"/>
        <v>0</v>
      </c>
      <c r="BL61" s="89">
        <f t="shared" ca="1" si="13"/>
        <v>0</v>
      </c>
      <c r="BM61" s="89">
        <f t="shared" ca="1" si="14"/>
        <v>0</v>
      </c>
      <c r="BN61" s="89">
        <f t="shared" ca="1" si="15"/>
        <v>0</v>
      </c>
      <c r="BO61" s="89">
        <f t="shared" ca="1" si="16"/>
        <v>0</v>
      </c>
      <c r="BP61" s="89">
        <f t="shared" ca="1" si="17"/>
        <v>0</v>
      </c>
      <c r="BQ61" s="89">
        <f t="shared" ca="1" si="18"/>
        <v>0</v>
      </c>
      <c r="BR61" s="87">
        <f t="shared" ca="1" si="19"/>
        <v>0</v>
      </c>
      <c r="BS61" s="89">
        <f t="shared" ca="1" si="20"/>
        <v>0</v>
      </c>
      <c r="BT61" s="89">
        <f t="shared" ca="1" si="21"/>
        <v>0</v>
      </c>
      <c r="BU61" s="89">
        <f t="shared" ca="1" si="22"/>
        <v>0</v>
      </c>
      <c r="BV61" s="87">
        <f t="shared" ca="1" si="23"/>
        <v>0</v>
      </c>
      <c r="BW61" s="87" t="str">
        <f t="shared" ca="1" si="24"/>
        <v>000</v>
      </c>
      <c r="BX61" s="89">
        <f t="shared" ca="1" si="25"/>
        <v>0</v>
      </c>
    </row>
    <row r="62" spans="1:76">
      <c r="A62" s="90" t="str">
        <f t="shared" si="2"/>
        <v/>
      </c>
      <c r="B62" s="98">
        <v>3</v>
      </c>
      <c r="C62" s="94">
        <v>-4</v>
      </c>
      <c r="D62" s="94" t="s">
        <v>202</v>
      </c>
      <c r="E62" s="94">
        <v>7</v>
      </c>
      <c r="F62" s="94">
        <v>5</v>
      </c>
      <c r="G62" s="94">
        <v>-6</v>
      </c>
      <c r="H62" s="94">
        <v>1</v>
      </c>
      <c r="I62" s="94">
        <v>3</v>
      </c>
      <c r="J62" s="94">
        <v>2</v>
      </c>
      <c r="K62" s="94">
        <v>6</v>
      </c>
      <c r="L62" s="94">
        <v>-1</v>
      </c>
      <c r="M62" s="94">
        <v>4</v>
      </c>
      <c r="N62" s="94">
        <v>-7</v>
      </c>
      <c r="O62" s="94">
        <v>-2</v>
      </c>
      <c r="P62" s="94">
        <v>-3</v>
      </c>
      <c r="Q62" s="94">
        <v>-5</v>
      </c>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BA62" s="91">
        <f t="shared" ca="1" si="3"/>
        <v>0</v>
      </c>
      <c r="BB62" s="88" t="str">
        <f t="shared" ca="1" si="4"/>
        <v/>
      </c>
      <c r="BC62" s="89">
        <f t="shared" ca="1" si="5"/>
        <v>0</v>
      </c>
      <c r="BD62" s="89">
        <f ca="1">IF(BC62=0,0,RANK(BF62,$BF$11:$BF$70,0)+(COUNTIF($BF62:$BF$70,BF62)-1))</f>
        <v>0</v>
      </c>
      <c r="BE62" s="89">
        <f t="shared" ca="1" si="6"/>
        <v>0</v>
      </c>
      <c r="BF62" s="89">
        <f t="shared" ca="1" si="7"/>
        <v>0</v>
      </c>
      <c r="BG62" s="89">
        <f t="shared" ca="1" si="8"/>
        <v>0</v>
      </c>
      <c r="BH62" s="89">
        <f t="shared" ca="1" si="9"/>
        <v>0</v>
      </c>
      <c r="BI62" s="89">
        <f t="shared" ca="1" si="10"/>
        <v>0</v>
      </c>
      <c r="BJ62" s="89">
        <f t="shared" ca="1" si="11"/>
        <v>0</v>
      </c>
      <c r="BK62" s="89">
        <f t="shared" ca="1" si="12"/>
        <v>0</v>
      </c>
      <c r="BL62" s="89">
        <f t="shared" ca="1" si="13"/>
        <v>0</v>
      </c>
      <c r="BM62" s="89">
        <f t="shared" ca="1" si="14"/>
        <v>0</v>
      </c>
      <c r="BN62" s="89">
        <f t="shared" ca="1" si="15"/>
        <v>0</v>
      </c>
      <c r="BO62" s="89">
        <f t="shared" ca="1" si="16"/>
        <v>0</v>
      </c>
      <c r="BP62" s="89">
        <f t="shared" ca="1" si="17"/>
        <v>0</v>
      </c>
      <c r="BQ62" s="89">
        <f t="shared" ca="1" si="18"/>
        <v>0</v>
      </c>
      <c r="BR62" s="87">
        <f t="shared" ca="1" si="19"/>
        <v>0</v>
      </c>
      <c r="BS62" s="89">
        <f t="shared" ca="1" si="20"/>
        <v>0</v>
      </c>
      <c r="BT62" s="89">
        <f t="shared" ca="1" si="21"/>
        <v>0</v>
      </c>
      <c r="BU62" s="89">
        <f t="shared" ca="1" si="22"/>
        <v>0</v>
      </c>
      <c r="BV62" s="87">
        <f t="shared" ca="1" si="23"/>
        <v>0</v>
      </c>
      <c r="BW62" s="87" t="str">
        <f t="shared" ca="1" si="24"/>
        <v>000</v>
      </c>
      <c r="BX62" s="89">
        <f t="shared" ca="1" si="25"/>
        <v>0</v>
      </c>
    </row>
    <row r="63" spans="1:76">
      <c r="A63" s="90" t="str">
        <f t="shared" si="2"/>
        <v/>
      </c>
      <c r="B63" s="98">
        <v>4</v>
      </c>
      <c r="C63" s="94">
        <v>-3</v>
      </c>
      <c r="D63" s="94">
        <v>-7</v>
      </c>
      <c r="E63" s="94" t="s">
        <v>202</v>
      </c>
      <c r="F63" s="94">
        <v>2</v>
      </c>
      <c r="G63" s="94">
        <v>-5</v>
      </c>
      <c r="H63" s="94">
        <v>4</v>
      </c>
      <c r="I63" s="94">
        <v>-1</v>
      </c>
      <c r="J63" s="94">
        <v>6</v>
      </c>
      <c r="K63" s="94">
        <v>-2</v>
      </c>
      <c r="L63" s="94">
        <v>-4</v>
      </c>
      <c r="M63" s="94">
        <v>7</v>
      </c>
      <c r="N63" s="94">
        <v>3</v>
      </c>
      <c r="O63" s="94">
        <v>1</v>
      </c>
      <c r="P63" s="94">
        <v>-6</v>
      </c>
      <c r="Q63" s="94">
        <v>5</v>
      </c>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BA63" s="91">
        <f t="shared" ca="1" si="3"/>
        <v>0</v>
      </c>
      <c r="BB63" s="88" t="str">
        <f t="shared" ca="1" si="4"/>
        <v/>
      </c>
      <c r="BC63" s="89">
        <f t="shared" ca="1" si="5"/>
        <v>0</v>
      </c>
      <c r="BD63" s="89">
        <f ca="1">IF(BC63=0,0,RANK(BF63,$BF$11:$BF$70,0)+(COUNTIF($BF63:$BF$70,BF63)-1))</f>
        <v>0</v>
      </c>
      <c r="BE63" s="89">
        <f t="shared" ca="1" si="6"/>
        <v>0</v>
      </c>
      <c r="BF63" s="89">
        <f t="shared" ca="1" si="7"/>
        <v>0</v>
      </c>
      <c r="BG63" s="89">
        <f t="shared" ca="1" si="8"/>
        <v>0</v>
      </c>
      <c r="BH63" s="89">
        <f t="shared" ca="1" si="9"/>
        <v>0</v>
      </c>
      <c r="BI63" s="89">
        <f t="shared" ca="1" si="10"/>
        <v>0</v>
      </c>
      <c r="BJ63" s="89">
        <f t="shared" ca="1" si="11"/>
        <v>0</v>
      </c>
      <c r="BK63" s="89">
        <f t="shared" ca="1" si="12"/>
        <v>0</v>
      </c>
      <c r="BL63" s="89">
        <f t="shared" ca="1" si="13"/>
        <v>0</v>
      </c>
      <c r="BM63" s="89">
        <f t="shared" ca="1" si="14"/>
        <v>0</v>
      </c>
      <c r="BN63" s="89">
        <f t="shared" ca="1" si="15"/>
        <v>0</v>
      </c>
      <c r="BO63" s="89">
        <f t="shared" ca="1" si="16"/>
        <v>0</v>
      </c>
      <c r="BP63" s="89">
        <f t="shared" ca="1" si="17"/>
        <v>0</v>
      </c>
      <c r="BQ63" s="89">
        <f t="shared" ca="1" si="18"/>
        <v>0</v>
      </c>
      <c r="BR63" s="87">
        <f t="shared" ca="1" si="19"/>
        <v>0</v>
      </c>
      <c r="BS63" s="89">
        <f t="shared" ca="1" si="20"/>
        <v>0</v>
      </c>
      <c r="BT63" s="89">
        <f t="shared" ca="1" si="21"/>
        <v>0</v>
      </c>
      <c r="BU63" s="89">
        <f t="shared" ca="1" si="22"/>
        <v>0</v>
      </c>
      <c r="BV63" s="87">
        <f t="shared" ca="1" si="23"/>
        <v>0</v>
      </c>
      <c r="BW63" s="87" t="str">
        <f t="shared" ca="1" si="24"/>
        <v>000</v>
      </c>
      <c r="BX63" s="89">
        <f t="shared" ca="1" si="25"/>
        <v>0</v>
      </c>
    </row>
    <row r="64" spans="1:76">
      <c r="A64" s="90" t="str">
        <f t="shared" si="2"/>
        <v/>
      </c>
      <c r="B64" s="98">
        <v>5</v>
      </c>
      <c r="C64" s="94">
        <v>6</v>
      </c>
      <c r="D64" s="94">
        <v>3</v>
      </c>
      <c r="E64" s="94">
        <v>1</v>
      </c>
      <c r="F64" s="94" t="s">
        <v>202</v>
      </c>
      <c r="G64" s="94">
        <v>-2</v>
      </c>
      <c r="H64" s="94">
        <v>7</v>
      </c>
      <c r="I64" s="94">
        <v>-5</v>
      </c>
      <c r="J64" s="94">
        <v>4</v>
      </c>
      <c r="K64" s="94">
        <v>-6</v>
      </c>
      <c r="L64" s="94">
        <v>5</v>
      </c>
      <c r="M64" s="94">
        <v>-7</v>
      </c>
      <c r="N64" s="94">
        <v>2</v>
      </c>
      <c r="O64" s="94">
        <v>-4</v>
      </c>
      <c r="P64" s="94">
        <v>-1</v>
      </c>
      <c r="Q64" s="94">
        <v>-3</v>
      </c>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BA64" s="91">
        <f t="shared" ca="1" si="3"/>
        <v>0</v>
      </c>
      <c r="BB64" s="88" t="str">
        <f t="shared" ca="1" si="4"/>
        <v/>
      </c>
      <c r="BC64" s="89">
        <f t="shared" ca="1" si="5"/>
        <v>0</v>
      </c>
      <c r="BD64" s="89">
        <f ca="1">IF(BC64=0,0,RANK(BF64,$BF$11:$BF$70,0)+(COUNTIF($BF64:$BF$70,BF64)-1))</f>
        <v>0</v>
      </c>
      <c r="BE64" s="89">
        <f t="shared" ca="1" si="6"/>
        <v>0</v>
      </c>
      <c r="BF64" s="89">
        <f t="shared" ca="1" si="7"/>
        <v>0</v>
      </c>
      <c r="BG64" s="89">
        <f t="shared" ca="1" si="8"/>
        <v>0</v>
      </c>
      <c r="BH64" s="89">
        <f t="shared" ca="1" si="9"/>
        <v>0</v>
      </c>
      <c r="BI64" s="89">
        <f t="shared" ca="1" si="10"/>
        <v>0</v>
      </c>
      <c r="BJ64" s="89">
        <f t="shared" ca="1" si="11"/>
        <v>0</v>
      </c>
      <c r="BK64" s="89">
        <f t="shared" ca="1" si="12"/>
        <v>0</v>
      </c>
      <c r="BL64" s="89">
        <f t="shared" ca="1" si="13"/>
        <v>0</v>
      </c>
      <c r="BM64" s="89">
        <f t="shared" ca="1" si="14"/>
        <v>0</v>
      </c>
      <c r="BN64" s="89">
        <f t="shared" ca="1" si="15"/>
        <v>0</v>
      </c>
      <c r="BO64" s="89">
        <f t="shared" ca="1" si="16"/>
        <v>0</v>
      </c>
      <c r="BP64" s="89">
        <f t="shared" ca="1" si="17"/>
        <v>0</v>
      </c>
      <c r="BQ64" s="89">
        <f t="shared" ca="1" si="18"/>
        <v>0</v>
      </c>
      <c r="BR64" s="87">
        <f t="shared" ca="1" si="19"/>
        <v>0</v>
      </c>
      <c r="BS64" s="89">
        <f t="shared" ca="1" si="20"/>
        <v>0</v>
      </c>
      <c r="BT64" s="89">
        <f t="shared" ca="1" si="21"/>
        <v>0</v>
      </c>
      <c r="BU64" s="89">
        <f t="shared" ca="1" si="22"/>
        <v>0</v>
      </c>
      <c r="BV64" s="87">
        <f t="shared" ca="1" si="23"/>
        <v>0</v>
      </c>
      <c r="BW64" s="87" t="str">
        <f t="shared" ca="1" si="24"/>
        <v>000</v>
      </c>
      <c r="BX64" s="89">
        <f t="shared" ca="1" si="25"/>
        <v>0</v>
      </c>
    </row>
    <row r="65" spans="1:76">
      <c r="A65" s="90" t="str">
        <f t="shared" si="2"/>
        <v/>
      </c>
      <c r="B65" s="98">
        <v>6</v>
      </c>
      <c r="C65" s="94">
        <v>-1</v>
      </c>
      <c r="D65" s="94">
        <v>-4</v>
      </c>
      <c r="E65" s="94">
        <v>-3</v>
      </c>
      <c r="F65" s="94">
        <v>7</v>
      </c>
      <c r="G65" s="94" t="s">
        <v>202</v>
      </c>
      <c r="H65" s="94">
        <v>-2</v>
      </c>
      <c r="I65" s="94">
        <v>-6</v>
      </c>
      <c r="J65" s="94">
        <v>5</v>
      </c>
      <c r="K65" s="94">
        <v>1</v>
      </c>
      <c r="L65" s="94">
        <v>4</v>
      </c>
      <c r="M65" s="94">
        <v>6</v>
      </c>
      <c r="N65" s="94">
        <v>-5</v>
      </c>
      <c r="O65" s="94">
        <v>2</v>
      </c>
      <c r="P65" s="94">
        <v>-7</v>
      </c>
      <c r="Q65" s="94">
        <v>3</v>
      </c>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BA65" s="91">
        <f t="shared" ca="1" si="3"/>
        <v>0</v>
      </c>
      <c r="BB65" s="88" t="str">
        <f ca="1">IF(BA64=0,"",CONCATENATE("A",BA64+1,":A",BB$10))</f>
        <v/>
      </c>
      <c r="BC65" s="89">
        <f t="shared" ca="1" si="5"/>
        <v>0</v>
      </c>
      <c r="BD65" s="89">
        <f ca="1">IF(BC65=0,0,RANK(BF65,$BF$11:$BF$70,0)+(COUNTIF($BF65:$BF$70,BF65)-1))</f>
        <v>0</v>
      </c>
      <c r="BE65" s="89">
        <f t="shared" ca="1" si="6"/>
        <v>0</v>
      </c>
      <c r="BF65" s="89">
        <f t="shared" ca="1" si="7"/>
        <v>0</v>
      </c>
      <c r="BG65" s="89">
        <f t="shared" ca="1" si="8"/>
        <v>0</v>
      </c>
      <c r="BH65" s="89">
        <f t="shared" ca="1" si="9"/>
        <v>0</v>
      </c>
      <c r="BI65" s="89">
        <f t="shared" ca="1" si="10"/>
        <v>0</v>
      </c>
      <c r="BJ65" s="89">
        <f t="shared" ca="1" si="11"/>
        <v>0</v>
      </c>
      <c r="BK65" s="89">
        <f t="shared" ca="1" si="12"/>
        <v>0</v>
      </c>
      <c r="BL65" s="89">
        <f t="shared" ca="1" si="13"/>
        <v>0</v>
      </c>
      <c r="BM65" s="89">
        <f t="shared" ca="1" si="14"/>
        <v>0</v>
      </c>
      <c r="BN65" s="89">
        <f t="shared" ca="1" si="15"/>
        <v>0</v>
      </c>
      <c r="BO65" s="89">
        <f t="shared" ca="1" si="16"/>
        <v>0</v>
      </c>
      <c r="BP65" s="89">
        <f t="shared" ca="1" si="17"/>
        <v>0</v>
      </c>
      <c r="BQ65" s="89">
        <f t="shared" ca="1" si="18"/>
        <v>0</v>
      </c>
      <c r="BR65" s="87">
        <f t="shared" ca="1" si="19"/>
        <v>0</v>
      </c>
      <c r="BS65" s="89">
        <f t="shared" ca="1" si="20"/>
        <v>0</v>
      </c>
      <c r="BT65" s="89">
        <f t="shared" ca="1" si="21"/>
        <v>0</v>
      </c>
      <c r="BU65" s="89">
        <f t="shared" ca="1" si="22"/>
        <v>0</v>
      </c>
      <c r="BV65" s="87">
        <f t="shared" ca="1" si="23"/>
        <v>0</v>
      </c>
      <c r="BW65" s="87" t="str">
        <f t="shared" ca="1" si="24"/>
        <v>000</v>
      </c>
      <c r="BX65" s="89">
        <f t="shared" ca="1" si="25"/>
        <v>0</v>
      </c>
    </row>
    <row r="66" spans="1:76">
      <c r="A66" s="90" t="str">
        <f t="shared" si="2"/>
        <v/>
      </c>
      <c r="B66" s="98">
        <v>7</v>
      </c>
      <c r="C66" s="94" t="s">
        <v>202</v>
      </c>
      <c r="D66" s="94">
        <v>-5</v>
      </c>
      <c r="E66" s="94">
        <v>-4</v>
      </c>
      <c r="F66" s="94">
        <v>-1</v>
      </c>
      <c r="G66" s="94">
        <v>3</v>
      </c>
      <c r="H66" s="94">
        <v>-6</v>
      </c>
      <c r="I66" s="94">
        <v>2</v>
      </c>
      <c r="J66" s="94">
        <v>-7</v>
      </c>
      <c r="K66" s="94">
        <v>5</v>
      </c>
      <c r="L66" s="94">
        <v>1</v>
      </c>
      <c r="M66" s="94">
        <v>-2</v>
      </c>
      <c r="N66" s="94">
        <v>-3</v>
      </c>
      <c r="O66" s="94">
        <v>4</v>
      </c>
      <c r="P66" s="94">
        <v>7</v>
      </c>
      <c r="Q66" s="94">
        <v>6</v>
      </c>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BA66" s="91">
        <f t="shared" ca="1" si="3"/>
        <v>0</v>
      </c>
      <c r="BB66" s="88" t="str">
        <f t="shared" ca="1" si="4"/>
        <v/>
      </c>
      <c r="BC66" s="89">
        <f t="shared" ca="1" si="5"/>
        <v>0</v>
      </c>
      <c r="BD66" s="89">
        <f ca="1">IF(BC66=0,0,RANK(BF66,$BF$11:$BF$70,0)+(COUNTIF($BF66:$BF$70,BF66)-1))</f>
        <v>0</v>
      </c>
      <c r="BE66" s="89">
        <f t="shared" ca="1" si="6"/>
        <v>0</v>
      </c>
      <c r="BF66" s="89">
        <f t="shared" ca="1" si="7"/>
        <v>0</v>
      </c>
      <c r="BG66" s="89">
        <f t="shared" ca="1" si="8"/>
        <v>0</v>
      </c>
      <c r="BH66" s="89">
        <f t="shared" ca="1" si="9"/>
        <v>0</v>
      </c>
      <c r="BI66" s="89">
        <f t="shared" ca="1" si="10"/>
        <v>0</v>
      </c>
      <c r="BJ66" s="89">
        <f t="shared" ca="1" si="11"/>
        <v>0</v>
      </c>
      <c r="BK66" s="89">
        <f t="shared" ca="1" si="12"/>
        <v>0</v>
      </c>
      <c r="BL66" s="89">
        <f t="shared" ca="1" si="13"/>
        <v>0</v>
      </c>
      <c r="BM66" s="89">
        <f t="shared" ca="1" si="14"/>
        <v>0</v>
      </c>
      <c r="BN66" s="89">
        <f t="shared" ca="1" si="15"/>
        <v>0</v>
      </c>
      <c r="BO66" s="89">
        <f t="shared" ca="1" si="16"/>
        <v>0</v>
      </c>
      <c r="BP66" s="89">
        <f t="shared" ca="1" si="17"/>
        <v>0</v>
      </c>
      <c r="BQ66" s="89">
        <f t="shared" ca="1" si="18"/>
        <v>0</v>
      </c>
      <c r="BR66" s="87">
        <f t="shared" ca="1" si="19"/>
        <v>0</v>
      </c>
      <c r="BS66" s="89">
        <f t="shared" ca="1" si="20"/>
        <v>0</v>
      </c>
      <c r="BT66" s="89">
        <f t="shared" ca="1" si="21"/>
        <v>0</v>
      </c>
      <c r="BU66" s="89">
        <f t="shared" ca="1" si="22"/>
        <v>0</v>
      </c>
      <c r="BV66" s="87">
        <f t="shared" ca="1" si="23"/>
        <v>0</v>
      </c>
      <c r="BW66" s="87" t="str">
        <f t="shared" ca="1" si="24"/>
        <v>000</v>
      </c>
      <c r="BX66" s="89">
        <f t="shared" ca="1" si="25"/>
        <v>0</v>
      </c>
    </row>
    <row r="67" spans="1:76">
      <c r="A67" s="90" t="str">
        <f t="shared" si="2"/>
        <v/>
      </c>
      <c r="B67" s="98">
        <v>8</v>
      </c>
      <c r="C67" s="94">
        <v>7</v>
      </c>
      <c r="D67" s="94">
        <v>-2</v>
      </c>
      <c r="E67" s="94">
        <v>6</v>
      </c>
      <c r="F67" s="94">
        <v>4</v>
      </c>
      <c r="G67" s="94">
        <v>-1</v>
      </c>
      <c r="H67" s="94">
        <v>-5</v>
      </c>
      <c r="I67" s="94" t="s">
        <v>202</v>
      </c>
      <c r="J67" s="94">
        <v>3</v>
      </c>
      <c r="K67" s="94">
        <v>2</v>
      </c>
      <c r="L67" s="94">
        <v>-7</v>
      </c>
      <c r="M67" s="94">
        <v>-4</v>
      </c>
      <c r="N67" s="94">
        <v>5</v>
      </c>
      <c r="O67" s="94">
        <v>-3</v>
      </c>
      <c r="P67" s="94">
        <v>1</v>
      </c>
      <c r="Q67" s="94">
        <v>-6</v>
      </c>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BA67" s="91">
        <f t="shared" ca="1" si="3"/>
        <v>0</v>
      </c>
      <c r="BB67" s="88" t="str">
        <f t="shared" ca="1" si="4"/>
        <v/>
      </c>
      <c r="BC67" s="89">
        <f t="shared" ca="1" si="5"/>
        <v>0</v>
      </c>
      <c r="BD67" s="89">
        <f ca="1">IF(BC67=0,0,RANK(BF67,$BF$11:$BF$70,0)+(COUNTIF($BF67:$BF$70,BF67)-1))</f>
        <v>0</v>
      </c>
      <c r="BE67" s="89">
        <f t="shared" ca="1" si="6"/>
        <v>0</v>
      </c>
      <c r="BF67" s="89">
        <f t="shared" ca="1" si="7"/>
        <v>0</v>
      </c>
      <c r="BG67" s="89">
        <f t="shared" ca="1" si="8"/>
        <v>0</v>
      </c>
      <c r="BH67" s="89">
        <f t="shared" ca="1" si="9"/>
        <v>0</v>
      </c>
      <c r="BI67" s="89">
        <f t="shared" ca="1" si="10"/>
        <v>0</v>
      </c>
      <c r="BJ67" s="89">
        <f t="shared" ca="1" si="11"/>
        <v>0</v>
      </c>
      <c r="BK67" s="89">
        <f t="shared" ca="1" si="12"/>
        <v>0</v>
      </c>
      <c r="BL67" s="89">
        <f t="shared" ca="1" si="13"/>
        <v>0</v>
      </c>
      <c r="BM67" s="89">
        <f t="shared" ca="1" si="14"/>
        <v>0</v>
      </c>
      <c r="BN67" s="89">
        <f t="shared" ca="1" si="15"/>
        <v>0</v>
      </c>
      <c r="BO67" s="89">
        <f t="shared" ca="1" si="16"/>
        <v>0</v>
      </c>
      <c r="BP67" s="89">
        <f t="shared" ca="1" si="17"/>
        <v>0</v>
      </c>
      <c r="BQ67" s="89">
        <f t="shared" ca="1" si="18"/>
        <v>0</v>
      </c>
      <c r="BR67" s="87">
        <f t="shared" ca="1" si="19"/>
        <v>0</v>
      </c>
      <c r="BS67" s="89">
        <f t="shared" ca="1" si="20"/>
        <v>0</v>
      </c>
      <c r="BT67" s="89">
        <f t="shared" ca="1" si="21"/>
        <v>0</v>
      </c>
      <c r="BU67" s="89">
        <f t="shared" ca="1" si="22"/>
        <v>0</v>
      </c>
      <c r="BV67" s="87">
        <f t="shared" ca="1" si="23"/>
        <v>0</v>
      </c>
      <c r="BW67" s="87" t="str">
        <f t="shared" ca="1" si="24"/>
        <v>000</v>
      </c>
      <c r="BX67" s="89">
        <f t="shared" ca="1" si="25"/>
        <v>0</v>
      </c>
    </row>
    <row r="68" spans="1:76">
      <c r="A68" s="90" t="str">
        <f t="shared" si="2"/>
        <v/>
      </c>
      <c r="B68" s="98">
        <v>9</v>
      </c>
      <c r="C68" s="94">
        <v>2</v>
      </c>
      <c r="D68" s="94">
        <v>-3</v>
      </c>
      <c r="E68" s="94">
        <v>-6</v>
      </c>
      <c r="F68" s="94">
        <v>-7</v>
      </c>
      <c r="G68" s="94">
        <v>5</v>
      </c>
      <c r="H68" s="94">
        <v>-1</v>
      </c>
      <c r="I68" s="94">
        <v>4</v>
      </c>
      <c r="J68" s="94">
        <v>7</v>
      </c>
      <c r="K68" s="94">
        <v>-4</v>
      </c>
      <c r="L68" s="94">
        <v>3</v>
      </c>
      <c r="M68" s="94" t="s">
        <v>202</v>
      </c>
      <c r="N68" s="94">
        <v>1</v>
      </c>
      <c r="O68" s="94">
        <v>6</v>
      </c>
      <c r="P68" s="94">
        <v>-5</v>
      </c>
      <c r="Q68" s="94">
        <v>-2</v>
      </c>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BA68" s="91">
        <f t="shared" ca="1" si="3"/>
        <v>0</v>
      </c>
      <c r="BB68" s="88" t="str">
        <f t="shared" ca="1" si="4"/>
        <v/>
      </c>
      <c r="BC68" s="89">
        <f t="shared" ca="1" si="5"/>
        <v>0</v>
      </c>
      <c r="BD68" s="89">
        <f ca="1">IF(BC68=0,0,RANK(BF68,$BF$11:$BF$70,0)+(COUNTIF($BF68:$BF$70,BF68)-1))</f>
        <v>0</v>
      </c>
      <c r="BE68" s="89">
        <f t="shared" ca="1" si="6"/>
        <v>0</v>
      </c>
      <c r="BF68" s="89">
        <f t="shared" ca="1" si="7"/>
        <v>0</v>
      </c>
      <c r="BG68" s="89">
        <f t="shared" ca="1" si="8"/>
        <v>0</v>
      </c>
      <c r="BH68" s="89">
        <f t="shared" ca="1" si="9"/>
        <v>0</v>
      </c>
      <c r="BI68" s="89">
        <f t="shared" ca="1" si="10"/>
        <v>0</v>
      </c>
      <c r="BJ68" s="89">
        <f t="shared" ca="1" si="11"/>
        <v>0</v>
      </c>
      <c r="BK68" s="89">
        <f t="shared" ca="1" si="12"/>
        <v>0</v>
      </c>
      <c r="BL68" s="89">
        <f t="shared" ca="1" si="13"/>
        <v>0</v>
      </c>
      <c r="BM68" s="89">
        <f t="shared" ca="1" si="14"/>
        <v>0</v>
      </c>
      <c r="BN68" s="89">
        <f t="shared" ca="1" si="15"/>
        <v>0</v>
      </c>
      <c r="BO68" s="89">
        <f t="shared" ca="1" si="16"/>
        <v>0</v>
      </c>
      <c r="BP68" s="89">
        <f t="shared" ca="1" si="17"/>
        <v>0</v>
      </c>
      <c r="BQ68" s="89">
        <f t="shared" ca="1" si="18"/>
        <v>0</v>
      </c>
      <c r="BR68" s="87">
        <f t="shared" ca="1" si="19"/>
        <v>0</v>
      </c>
      <c r="BS68" s="89">
        <f t="shared" ca="1" si="20"/>
        <v>0</v>
      </c>
      <c r="BT68" s="89">
        <f t="shared" ca="1" si="21"/>
        <v>0</v>
      </c>
      <c r="BU68" s="89">
        <f t="shared" ca="1" si="22"/>
        <v>0</v>
      </c>
      <c r="BV68" s="87">
        <f t="shared" ca="1" si="23"/>
        <v>0</v>
      </c>
      <c r="BW68" s="87" t="str">
        <f t="shared" ca="1" si="24"/>
        <v>000</v>
      </c>
      <c r="BX68" s="89">
        <f t="shared" ca="1" si="25"/>
        <v>0</v>
      </c>
    </row>
    <row r="69" spans="1:76">
      <c r="A69" s="90" t="str">
        <f t="shared" si="2"/>
        <v/>
      </c>
      <c r="B69" s="98">
        <v>10</v>
      </c>
      <c r="C69" s="94">
        <v>-6</v>
      </c>
      <c r="D69" s="94">
        <v>7</v>
      </c>
      <c r="E69" s="94">
        <v>-2</v>
      </c>
      <c r="F69" s="94">
        <v>1</v>
      </c>
      <c r="G69" s="94">
        <v>-4</v>
      </c>
      <c r="H69" s="94">
        <v>5</v>
      </c>
      <c r="I69" s="94">
        <v>-3</v>
      </c>
      <c r="J69" s="94">
        <v>-5</v>
      </c>
      <c r="K69" s="94">
        <v>3</v>
      </c>
      <c r="L69" s="94" t="s">
        <v>202</v>
      </c>
      <c r="M69" s="94">
        <v>-1</v>
      </c>
      <c r="N69" s="94">
        <v>6</v>
      </c>
      <c r="O69" s="94">
        <v>-7</v>
      </c>
      <c r="P69" s="94">
        <v>4</v>
      </c>
      <c r="Q69" s="94">
        <v>2</v>
      </c>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BA69" s="91">
        <f t="shared" ca="1" si="3"/>
        <v>0</v>
      </c>
      <c r="BB69" s="88" t="str">
        <f t="shared" ca="1" si="4"/>
        <v/>
      </c>
      <c r="BC69" s="89">
        <f t="shared" ca="1" si="5"/>
        <v>0</v>
      </c>
      <c r="BD69" s="89">
        <f ca="1">IF(BC69=0,0,RANK(BF69,$BF$11:$BF$70,0)+(COUNTIF($BF69:$BF$70,BF69)-1))</f>
        <v>0</v>
      </c>
      <c r="BE69" s="89">
        <f t="shared" ca="1" si="6"/>
        <v>0</v>
      </c>
      <c r="BF69" s="89">
        <f t="shared" ca="1" si="7"/>
        <v>0</v>
      </c>
      <c r="BG69" s="89">
        <f t="shared" ca="1" si="8"/>
        <v>0</v>
      </c>
      <c r="BH69" s="89">
        <f t="shared" ca="1" si="9"/>
        <v>0</v>
      </c>
      <c r="BI69" s="89">
        <f t="shared" ca="1" si="10"/>
        <v>0</v>
      </c>
      <c r="BJ69" s="89">
        <f t="shared" ca="1" si="11"/>
        <v>0</v>
      </c>
      <c r="BK69" s="89">
        <f t="shared" ca="1" si="12"/>
        <v>0</v>
      </c>
      <c r="BL69" s="89">
        <f t="shared" ca="1" si="13"/>
        <v>0</v>
      </c>
      <c r="BM69" s="89">
        <f t="shared" ca="1" si="14"/>
        <v>0</v>
      </c>
      <c r="BN69" s="89">
        <f t="shared" ca="1" si="15"/>
        <v>0</v>
      </c>
      <c r="BO69" s="89">
        <f t="shared" ca="1" si="16"/>
        <v>0</v>
      </c>
      <c r="BP69" s="89">
        <f t="shared" ca="1" si="17"/>
        <v>0</v>
      </c>
      <c r="BQ69" s="89">
        <f t="shared" ca="1" si="18"/>
        <v>0</v>
      </c>
      <c r="BR69" s="87">
        <f t="shared" ca="1" si="19"/>
        <v>0</v>
      </c>
      <c r="BS69" s="89">
        <f t="shared" ca="1" si="20"/>
        <v>0</v>
      </c>
      <c r="BT69" s="89">
        <f t="shared" ca="1" si="21"/>
        <v>0</v>
      </c>
      <c r="BU69" s="89">
        <f t="shared" ca="1" si="22"/>
        <v>0</v>
      </c>
      <c r="BV69" s="87">
        <f t="shared" ca="1" si="23"/>
        <v>0</v>
      </c>
      <c r="BW69" s="87" t="str">
        <f t="shared" ca="1" si="24"/>
        <v>000</v>
      </c>
      <c r="BX69" s="89">
        <f t="shared" ca="1" si="25"/>
        <v>0</v>
      </c>
    </row>
    <row r="70" spans="1:76">
      <c r="A70" s="90" t="str">
        <f t="shared" si="2"/>
        <v/>
      </c>
      <c r="B70" s="98">
        <v>11</v>
      </c>
      <c r="C70" s="94">
        <v>1</v>
      </c>
      <c r="D70" s="94">
        <v>2</v>
      </c>
      <c r="E70" s="94">
        <v>-7</v>
      </c>
      <c r="F70" s="94">
        <v>6</v>
      </c>
      <c r="G70" s="94">
        <v>-3</v>
      </c>
      <c r="H70" s="94">
        <v>-4</v>
      </c>
      <c r="I70" s="94">
        <v>5</v>
      </c>
      <c r="J70" s="94">
        <v>-1</v>
      </c>
      <c r="K70" s="94">
        <v>4</v>
      </c>
      <c r="L70" s="94">
        <v>-2</v>
      </c>
      <c r="M70" s="94">
        <v>3</v>
      </c>
      <c r="N70" s="94">
        <v>-6</v>
      </c>
      <c r="O70" s="94">
        <v>-5</v>
      </c>
      <c r="P70" s="94" t="s">
        <v>202</v>
      </c>
      <c r="Q70" s="94">
        <v>7</v>
      </c>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BA70" s="91">
        <f t="shared" ca="1" si="3"/>
        <v>0</v>
      </c>
      <c r="BB70" s="88" t="str">
        <f t="shared" ca="1" si="4"/>
        <v/>
      </c>
      <c r="BC70" s="89">
        <f t="shared" ca="1" si="5"/>
        <v>0</v>
      </c>
      <c r="BD70" s="89">
        <f ca="1">IF(BC70=0,0,RANK(BF70,$BF$11:$BF$70,0)+(COUNTIF($BF70:$BF$70,BF70)-1))</f>
        <v>0</v>
      </c>
      <c r="BE70" s="89">
        <f t="shared" ca="1" si="6"/>
        <v>0</v>
      </c>
      <c r="BF70" s="89">
        <f t="shared" ca="1" si="7"/>
        <v>0</v>
      </c>
      <c r="BG70" s="89">
        <f t="shared" ca="1" si="8"/>
        <v>0</v>
      </c>
      <c r="BH70" s="89">
        <f t="shared" ca="1" si="9"/>
        <v>0</v>
      </c>
      <c r="BI70" s="89">
        <f t="shared" ca="1" si="10"/>
        <v>0</v>
      </c>
      <c r="BJ70" s="89">
        <f t="shared" ca="1" si="11"/>
        <v>0</v>
      </c>
      <c r="BK70" s="89">
        <f t="shared" ca="1" si="12"/>
        <v>0</v>
      </c>
      <c r="BL70" s="89">
        <f t="shared" ca="1" si="13"/>
        <v>0</v>
      </c>
      <c r="BM70" s="89">
        <f t="shared" ca="1" si="14"/>
        <v>0</v>
      </c>
      <c r="BN70" s="89">
        <f t="shared" ca="1" si="15"/>
        <v>0</v>
      </c>
      <c r="BO70" s="89">
        <f t="shared" ca="1" si="16"/>
        <v>0</v>
      </c>
      <c r="BP70" s="89">
        <f t="shared" ca="1" si="17"/>
        <v>0</v>
      </c>
      <c r="BQ70" s="89">
        <f t="shared" ca="1" si="18"/>
        <v>0</v>
      </c>
      <c r="BR70" s="87">
        <f t="shared" ca="1" si="19"/>
        <v>0</v>
      </c>
      <c r="BS70" s="89">
        <f t="shared" ca="1" si="20"/>
        <v>0</v>
      </c>
      <c r="BT70" s="89">
        <f t="shared" ca="1" si="21"/>
        <v>0</v>
      </c>
      <c r="BU70" s="89">
        <f t="shared" ca="1" si="22"/>
        <v>0</v>
      </c>
      <c r="BV70" s="87">
        <f t="shared" ca="1" si="23"/>
        <v>0</v>
      </c>
      <c r="BW70" s="87" t="str">
        <f t="shared" ca="1" si="24"/>
        <v>000</v>
      </c>
      <c r="BX70" s="89">
        <f t="shared" ca="1" si="25"/>
        <v>0</v>
      </c>
    </row>
    <row r="71" spans="1:76">
      <c r="A71" s="90" t="str">
        <f t="shared" si="2"/>
        <v/>
      </c>
      <c r="B71" s="98">
        <v>12</v>
      </c>
      <c r="C71" s="94">
        <v>3</v>
      </c>
      <c r="D71" s="94">
        <v>-6</v>
      </c>
      <c r="E71" s="94">
        <v>4</v>
      </c>
      <c r="F71" s="94">
        <v>-5</v>
      </c>
      <c r="G71" s="94">
        <v>1</v>
      </c>
      <c r="H71" s="94">
        <v>2</v>
      </c>
      <c r="I71" s="94">
        <v>7</v>
      </c>
      <c r="J71" s="94">
        <v>-4</v>
      </c>
      <c r="K71" s="94">
        <v>-3</v>
      </c>
      <c r="L71" s="94">
        <v>6</v>
      </c>
      <c r="M71" s="94">
        <v>5</v>
      </c>
      <c r="N71" s="94">
        <v>-1</v>
      </c>
      <c r="O71" s="94" t="s">
        <v>202</v>
      </c>
      <c r="P71" s="94">
        <v>-2</v>
      </c>
      <c r="Q71" s="94">
        <v>-7</v>
      </c>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BA71" s="93"/>
      <c r="BB71" s="88"/>
    </row>
    <row r="72" spans="1:76">
      <c r="A72" s="90" t="str">
        <f t="shared" si="2"/>
        <v/>
      </c>
      <c r="B72" s="98">
        <v>13</v>
      </c>
      <c r="C72" s="94">
        <v>4</v>
      </c>
      <c r="D72" s="94">
        <v>5</v>
      </c>
      <c r="E72" s="94">
        <v>-1</v>
      </c>
      <c r="F72" s="94">
        <v>-2</v>
      </c>
      <c r="G72" s="94">
        <v>7</v>
      </c>
      <c r="H72" s="94">
        <v>3</v>
      </c>
      <c r="I72" s="94">
        <v>6</v>
      </c>
      <c r="J72" s="94">
        <v>-3</v>
      </c>
      <c r="K72" s="94">
        <v>-7</v>
      </c>
      <c r="L72" s="94">
        <v>2</v>
      </c>
      <c r="M72" s="94">
        <v>-5</v>
      </c>
      <c r="N72" s="94" t="s">
        <v>202</v>
      </c>
      <c r="O72" s="94">
        <v>-6</v>
      </c>
      <c r="P72" s="94">
        <v>-4</v>
      </c>
      <c r="Q72" s="94">
        <v>1</v>
      </c>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BA72" s="93"/>
      <c r="BB72" s="88"/>
    </row>
    <row r="73" spans="1:76">
      <c r="A73" s="90" t="str">
        <f t="shared" si="2"/>
        <v/>
      </c>
      <c r="B73" s="98">
        <v>14</v>
      </c>
      <c r="C73" s="94">
        <v>-7</v>
      </c>
      <c r="D73" s="94">
        <v>4</v>
      </c>
      <c r="E73" s="94">
        <v>-5</v>
      </c>
      <c r="F73" s="94">
        <v>3</v>
      </c>
      <c r="G73" s="94">
        <v>2</v>
      </c>
      <c r="H73" s="94">
        <v>6</v>
      </c>
      <c r="I73" s="94">
        <v>1</v>
      </c>
      <c r="J73" s="94">
        <v>-2</v>
      </c>
      <c r="K73" s="94" t="s">
        <v>202</v>
      </c>
      <c r="L73" s="94">
        <v>-6</v>
      </c>
      <c r="M73" s="94">
        <v>-3</v>
      </c>
      <c r="N73" s="94">
        <v>-4</v>
      </c>
      <c r="O73" s="94">
        <v>7</v>
      </c>
      <c r="P73" s="94">
        <v>5</v>
      </c>
      <c r="Q73" s="94">
        <v>-1</v>
      </c>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BA73" s="95"/>
    </row>
    <row r="74" spans="1:76">
      <c r="A74" s="90" t="str">
        <f t="shared" si="2"/>
        <v/>
      </c>
      <c r="B74" s="98">
        <v>15</v>
      </c>
      <c r="C74" s="94">
        <v>-5</v>
      </c>
      <c r="D74" s="94">
        <v>-1</v>
      </c>
      <c r="E74" s="94">
        <v>3</v>
      </c>
      <c r="F74" s="94">
        <v>-4</v>
      </c>
      <c r="G74" s="94">
        <v>6</v>
      </c>
      <c r="H74" s="94">
        <v>-7</v>
      </c>
      <c r="I74" s="94">
        <v>-2</v>
      </c>
      <c r="J74" s="94">
        <v>-6</v>
      </c>
      <c r="K74" s="94">
        <v>7</v>
      </c>
      <c r="L74" s="94">
        <v>-3</v>
      </c>
      <c r="M74" s="94">
        <v>1</v>
      </c>
      <c r="N74" s="94">
        <v>4</v>
      </c>
      <c r="O74" s="94">
        <v>5</v>
      </c>
      <c r="P74" s="94">
        <v>2</v>
      </c>
      <c r="Q74" s="94" t="s">
        <v>202</v>
      </c>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BA74" s="95"/>
    </row>
    <row r="75" spans="1:76">
      <c r="A75" s="90" t="str">
        <f t="shared" si="2"/>
        <v/>
      </c>
      <c r="B75" s="98" t="s">
        <v>416</v>
      </c>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BA75" s="95"/>
    </row>
    <row r="76" spans="1:76">
      <c r="A76" s="90">
        <f t="shared" ref="A76:A139" si="26">IF(MID(B76,3,2)="07",ROW(),"")</f>
        <v>76</v>
      </c>
      <c r="B76" s="98" t="s">
        <v>417</v>
      </c>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BA76" s="95"/>
    </row>
    <row r="77" spans="1:76">
      <c r="A77" s="90" t="str">
        <f t="shared" si="26"/>
        <v/>
      </c>
      <c r="B77" s="98">
        <v>1</v>
      </c>
      <c r="C77" s="94">
        <v>-5</v>
      </c>
      <c r="D77" s="94">
        <v>7</v>
      </c>
      <c r="E77" s="94">
        <v>6</v>
      </c>
      <c r="F77" s="94">
        <v>-2</v>
      </c>
      <c r="G77" s="94">
        <v>-1</v>
      </c>
      <c r="H77" s="94">
        <v>3</v>
      </c>
      <c r="I77" s="94">
        <v>4</v>
      </c>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BA77" s="95"/>
    </row>
    <row r="78" spans="1:76">
      <c r="A78" s="90" t="str">
        <f t="shared" si="26"/>
        <v/>
      </c>
      <c r="B78" s="98">
        <v>2</v>
      </c>
      <c r="C78" s="94">
        <v>1</v>
      </c>
      <c r="D78" s="94">
        <v>-5</v>
      </c>
      <c r="E78" s="94">
        <v>-2</v>
      </c>
      <c r="F78" s="94">
        <v>7</v>
      </c>
      <c r="G78" s="94">
        <v>3</v>
      </c>
      <c r="H78" s="94">
        <v>-6</v>
      </c>
      <c r="I78" s="94">
        <v>-4</v>
      </c>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BA78" s="95"/>
    </row>
    <row r="79" spans="1:76">
      <c r="A79" s="90" t="str">
        <f t="shared" si="26"/>
        <v/>
      </c>
      <c r="B79" s="98">
        <v>3</v>
      </c>
      <c r="C79" s="94">
        <v>6</v>
      </c>
      <c r="D79" s="94">
        <v>1</v>
      </c>
      <c r="E79" s="94">
        <v>-4</v>
      </c>
      <c r="F79" s="94">
        <v>-7</v>
      </c>
      <c r="G79" s="94">
        <v>2</v>
      </c>
      <c r="H79" s="94">
        <v>-3</v>
      </c>
      <c r="I79" s="94">
        <v>5</v>
      </c>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BA79" s="95"/>
    </row>
    <row r="80" spans="1:76">
      <c r="A80" s="90" t="str">
        <f t="shared" si="26"/>
        <v/>
      </c>
      <c r="B80" s="98">
        <v>4</v>
      </c>
      <c r="C80" s="94">
        <v>-2</v>
      </c>
      <c r="D80" s="94">
        <v>-4</v>
      </c>
      <c r="E80" s="94">
        <v>7</v>
      </c>
      <c r="F80" s="94">
        <v>-3</v>
      </c>
      <c r="G80" s="94">
        <v>1</v>
      </c>
      <c r="H80" s="94">
        <v>6</v>
      </c>
      <c r="I80" s="94">
        <v>-5</v>
      </c>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BA80" s="95"/>
    </row>
    <row r="81" spans="1:53" s="87" customFormat="1">
      <c r="A81" s="90" t="str">
        <f t="shared" si="26"/>
        <v/>
      </c>
      <c r="B81" s="98">
        <v>5</v>
      </c>
      <c r="C81" s="94">
        <v>-6</v>
      </c>
      <c r="D81" s="94">
        <v>5</v>
      </c>
      <c r="E81" s="94">
        <v>-7</v>
      </c>
      <c r="F81" s="94">
        <v>2</v>
      </c>
      <c r="G81" s="94">
        <v>4</v>
      </c>
      <c r="H81" s="94">
        <v>-1</v>
      </c>
      <c r="I81" s="94">
        <v>-3</v>
      </c>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BA81" s="95"/>
    </row>
    <row r="82" spans="1:53" s="87" customFormat="1">
      <c r="A82" s="90" t="str">
        <f t="shared" si="26"/>
        <v/>
      </c>
      <c r="B82" s="98">
        <v>6</v>
      </c>
      <c r="C82" s="94">
        <v>-1</v>
      </c>
      <c r="D82" s="94">
        <v>4</v>
      </c>
      <c r="E82" s="94">
        <v>-6</v>
      </c>
      <c r="F82" s="94">
        <v>5</v>
      </c>
      <c r="G82" s="94">
        <v>-2</v>
      </c>
      <c r="H82" s="94">
        <v>7</v>
      </c>
      <c r="I82" s="94">
        <v>3</v>
      </c>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BA82" s="95"/>
    </row>
    <row r="83" spans="1:53" s="87" customFormat="1">
      <c r="A83" s="90" t="str">
        <f t="shared" si="26"/>
        <v/>
      </c>
      <c r="B83" s="98">
        <v>7</v>
      </c>
      <c r="C83" s="94">
        <v>2</v>
      </c>
      <c r="D83" s="94">
        <v>-7</v>
      </c>
      <c r="E83" s="94">
        <v>4</v>
      </c>
      <c r="F83" s="94">
        <v>-5</v>
      </c>
      <c r="G83" s="94">
        <v>-3</v>
      </c>
      <c r="H83" s="94">
        <v>1</v>
      </c>
      <c r="I83" s="94">
        <v>-6</v>
      </c>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BA83" s="95"/>
    </row>
    <row r="84" spans="1:53" s="87" customFormat="1">
      <c r="A84" s="90" t="str">
        <f t="shared" si="26"/>
        <v/>
      </c>
      <c r="B84" s="99">
        <v>8</v>
      </c>
      <c r="C84" s="92">
        <v>5</v>
      </c>
      <c r="D84" s="92">
        <v>-1</v>
      </c>
      <c r="E84" s="92">
        <v>2</v>
      </c>
      <c r="F84" s="92">
        <v>3</v>
      </c>
      <c r="G84" s="92">
        <v>-4</v>
      </c>
      <c r="H84" s="92">
        <v>-7</v>
      </c>
      <c r="I84" s="92">
        <v>6</v>
      </c>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BA84" s="95"/>
    </row>
    <row r="85" spans="1:53" s="87" customFormat="1">
      <c r="A85" s="90" t="str">
        <f t="shared" si="26"/>
        <v/>
      </c>
      <c r="B85" s="98">
        <v>9</v>
      </c>
      <c r="C85" s="94">
        <v>-4</v>
      </c>
      <c r="D85" s="94">
        <v>3</v>
      </c>
      <c r="E85" s="94" t="s">
        <v>202</v>
      </c>
      <c r="F85" s="94">
        <v>-1</v>
      </c>
      <c r="G85" s="94">
        <v>-6</v>
      </c>
      <c r="H85" s="94">
        <v>5</v>
      </c>
      <c r="I85" s="94">
        <v>2</v>
      </c>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BA85" s="95"/>
    </row>
    <row r="86" spans="1:53" s="87" customFormat="1">
      <c r="A86" s="90" t="str">
        <f t="shared" si="26"/>
        <v/>
      </c>
      <c r="B86" s="98">
        <v>10</v>
      </c>
      <c r="C86" s="94">
        <v>3</v>
      </c>
      <c r="D86" s="94" t="s">
        <v>202</v>
      </c>
      <c r="E86" s="94">
        <v>-1</v>
      </c>
      <c r="F86" s="94">
        <v>6</v>
      </c>
      <c r="G86" s="94">
        <v>7</v>
      </c>
      <c r="H86" s="94">
        <v>-4</v>
      </c>
      <c r="I86" s="94">
        <v>-2</v>
      </c>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BA86" s="95"/>
    </row>
    <row r="87" spans="1:53" s="87" customFormat="1">
      <c r="A87" s="90" t="str">
        <f t="shared" si="26"/>
        <v/>
      </c>
      <c r="B87" s="98">
        <v>11</v>
      </c>
      <c r="C87" s="94">
        <v>4</v>
      </c>
      <c r="D87" s="94">
        <v>-2</v>
      </c>
      <c r="E87" s="94">
        <v>3</v>
      </c>
      <c r="F87" s="94">
        <v>-6</v>
      </c>
      <c r="G87" s="94">
        <v>5</v>
      </c>
      <c r="H87" s="94" t="s">
        <v>202</v>
      </c>
      <c r="I87" s="94">
        <v>-7</v>
      </c>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BA87" s="95"/>
    </row>
    <row r="88" spans="1:53" s="87" customFormat="1">
      <c r="A88" s="90" t="str">
        <f t="shared" si="26"/>
        <v/>
      </c>
      <c r="B88" s="98">
        <v>12</v>
      </c>
      <c r="C88" s="94">
        <v>-3</v>
      </c>
      <c r="D88" s="94">
        <v>-6</v>
      </c>
      <c r="E88" s="94">
        <v>5</v>
      </c>
      <c r="F88" s="94">
        <v>1</v>
      </c>
      <c r="G88" s="94" t="s">
        <v>202</v>
      </c>
      <c r="H88" s="94">
        <v>-2</v>
      </c>
      <c r="I88" s="94">
        <v>7</v>
      </c>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BA88" s="95"/>
    </row>
    <row r="89" spans="1:53" s="87" customFormat="1">
      <c r="A89" s="90" t="str">
        <f t="shared" si="26"/>
        <v/>
      </c>
      <c r="B89" s="98">
        <v>13</v>
      </c>
      <c r="C89" s="94">
        <v>-7</v>
      </c>
      <c r="D89" s="94">
        <v>2</v>
      </c>
      <c r="E89" s="94">
        <v>-5</v>
      </c>
      <c r="F89" s="94" t="s">
        <v>202</v>
      </c>
      <c r="G89" s="94">
        <v>6</v>
      </c>
      <c r="H89" s="94">
        <v>4</v>
      </c>
      <c r="I89" s="94">
        <v>-1</v>
      </c>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BA89" s="95"/>
    </row>
    <row r="90" spans="1:53" s="87" customFormat="1">
      <c r="A90" s="90" t="str">
        <f t="shared" si="26"/>
        <v/>
      </c>
      <c r="B90" s="98">
        <v>14</v>
      </c>
      <c r="C90" s="94" t="s">
        <v>202</v>
      </c>
      <c r="D90" s="94">
        <v>6</v>
      </c>
      <c r="E90" s="94">
        <v>-3</v>
      </c>
      <c r="F90" s="94">
        <v>4</v>
      </c>
      <c r="G90" s="94">
        <v>-7</v>
      </c>
      <c r="H90" s="94">
        <v>-5</v>
      </c>
      <c r="I90" s="94">
        <v>1</v>
      </c>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BA90" s="95"/>
    </row>
    <row r="91" spans="1:53" s="87" customFormat="1">
      <c r="A91" s="90" t="str">
        <f t="shared" si="26"/>
        <v/>
      </c>
      <c r="B91" s="98">
        <v>15</v>
      </c>
      <c r="C91" s="94">
        <v>7</v>
      </c>
      <c r="D91" s="94">
        <v>-3</v>
      </c>
      <c r="E91" s="94">
        <v>1</v>
      </c>
      <c r="F91" s="94">
        <v>-4</v>
      </c>
      <c r="G91" s="94">
        <v>-5</v>
      </c>
      <c r="H91" s="94">
        <v>2</v>
      </c>
      <c r="I91" s="94" t="s">
        <v>202</v>
      </c>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BA91" s="95"/>
    </row>
    <row r="92" spans="1:53" s="87" customFormat="1">
      <c r="A92" s="90" t="str">
        <f t="shared" si="26"/>
        <v/>
      </c>
      <c r="B92" s="98" t="s">
        <v>412</v>
      </c>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BA92" s="95"/>
    </row>
    <row r="93" spans="1:53" s="87" customFormat="1">
      <c r="A93" s="90">
        <f t="shared" si="26"/>
        <v>93</v>
      </c>
      <c r="B93" s="98" t="s">
        <v>418</v>
      </c>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BA93" s="95"/>
    </row>
    <row r="94" spans="1:53" s="87" customFormat="1">
      <c r="A94" s="90" t="str">
        <f t="shared" si="26"/>
        <v/>
      </c>
      <c r="B94" s="98">
        <v>1</v>
      </c>
      <c r="C94" s="94">
        <v>6</v>
      </c>
      <c r="D94" s="94">
        <v>-5</v>
      </c>
      <c r="E94" s="94">
        <v>2</v>
      </c>
      <c r="F94" s="94">
        <v>-3</v>
      </c>
      <c r="G94" s="94">
        <v>4</v>
      </c>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BA94" s="95"/>
    </row>
    <row r="95" spans="1:53" s="87" customFormat="1">
      <c r="A95" s="90" t="str">
        <f t="shared" si="26"/>
        <v/>
      </c>
      <c r="B95" s="98">
        <v>2</v>
      </c>
      <c r="C95" s="94">
        <v>7</v>
      </c>
      <c r="D95" s="94">
        <v>2</v>
      </c>
      <c r="E95" s="94">
        <v>-3</v>
      </c>
      <c r="F95" s="94">
        <v>5</v>
      </c>
      <c r="G95" s="94">
        <v>-4</v>
      </c>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BA95" s="95"/>
    </row>
    <row r="96" spans="1:53" s="87" customFormat="1">
      <c r="A96" s="90" t="str">
        <f t="shared" si="26"/>
        <v/>
      </c>
      <c r="B96" s="98">
        <v>3</v>
      </c>
      <c r="C96" s="94">
        <v>-6</v>
      </c>
      <c r="D96" s="94">
        <v>-1</v>
      </c>
      <c r="E96" s="94">
        <v>3</v>
      </c>
      <c r="F96" s="94">
        <v>-4</v>
      </c>
      <c r="G96" s="94">
        <v>5</v>
      </c>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BA96" s="95"/>
    </row>
    <row r="97" spans="1:53" s="87" customFormat="1">
      <c r="A97" s="90" t="str">
        <f t="shared" si="26"/>
        <v/>
      </c>
      <c r="B97" s="98">
        <v>4</v>
      </c>
      <c r="C97" s="94">
        <v>4</v>
      </c>
      <c r="D97" s="94">
        <v>-2</v>
      </c>
      <c r="E97" s="94">
        <v>1</v>
      </c>
      <c r="F97" s="94">
        <v>3</v>
      </c>
      <c r="G97" s="94">
        <v>-5</v>
      </c>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BA97" s="95"/>
    </row>
    <row r="98" spans="1:53" s="87" customFormat="1">
      <c r="A98" s="90" t="str">
        <f t="shared" si="26"/>
        <v/>
      </c>
      <c r="B98" s="98">
        <v>5</v>
      </c>
      <c r="C98" s="94">
        <v>-4</v>
      </c>
      <c r="D98" s="94">
        <v>1</v>
      </c>
      <c r="E98" s="94">
        <v>-2</v>
      </c>
      <c r="F98" s="94">
        <v>-5</v>
      </c>
      <c r="G98" s="94">
        <v>3</v>
      </c>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BA98" s="95"/>
    </row>
    <row r="99" spans="1:53" s="87" customFormat="1">
      <c r="A99" s="90" t="str">
        <f t="shared" si="26"/>
        <v/>
      </c>
      <c r="B99" s="99">
        <v>6</v>
      </c>
      <c r="C99" s="92">
        <v>-7</v>
      </c>
      <c r="D99" s="92">
        <v>5</v>
      </c>
      <c r="E99" s="92">
        <v>-1</v>
      </c>
      <c r="F99" s="92">
        <v>4</v>
      </c>
      <c r="G99" s="92">
        <v>-3</v>
      </c>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BA99" s="95"/>
    </row>
    <row r="100" spans="1:53" s="87" customFormat="1">
      <c r="A100" s="90" t="str">
        <f t="shared" si="26"/>
        <v/>
      </c>
      <c r="B100" s="98">
        <v>7</v>
      </c>
      <c r="C100" s="94">
        <v>-2</v>
      </c>
      <c r="D100" s="94">
        <v>-7</v>
      </c>
      <c r="E100" s="94">
        <v>4</v>
      </c>
      <c r="F100" s="94" t="s">
        <v>202</v>
      </c>
      <c r="G100" s="94">
        <v>6</v>
      </c>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BA100" s="95"/>
    </row>
    <row r="101" spans="1:53" s="87" customFormat="1">
      <c r="A101" s="90" t="str">
        <f t="shared" si="26"/>
        <v/>
      </c>
      <c r="B101" s="98">
        <v>8</v>
      </c>
      <c r="C101" s="94">
        <v>-5</v>
      </c>
      <c r="D101" s="94">
        <v>3</v>
      </c>
      <c r="E101" s="94" t="s">
        <v>202</v>
      </c>
      <c r="F101" s="94">
        <v>1</v>
      </c>
      <c r="G101" s="94">
        <v>-6</v>
      </c>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BA101" s="95"/>
    </row>
    <row r="102" spans="1:53" s="87" customFormat="1">
      <c r="A102" s="90" t="str">
        <f t="shared" si="26"/>
        <v/>
      </c>
      <c r="B102" s="98">
        <v>9</v>
      </c>
      <c r="C102" s="94" t="s">
        <v>202</v>
      </c>
      <c r="D102" s="94">
        <v>7</v>
      </c>
      <c r="E102" s="94">
        <v>-6</v>
      </c>
      <c r="F102" s="94">
        <v>-1</v>
      </c>
      <c r="G102" s="94">
        <v>2</v>
      </c>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BA102" s="95"/>
    </row>
    <row r="103" spans="1:53" s="87" customFormat="1">
      <c r="A103" s="90" t="str">
        <f t="shared" si="26"/>
        <v/>
      </c>
      <c r="B103" s="98">
        <v>10</v>
      </c>
      <c r="C103" s="94">
        <v>5</v>
      </c>
      <c r="D103" s="94" t="s">
        <v>202</v>
      </c>
      <c r="E103" s="94">
        <v>-4</v>
      </c>
      <c r="F103" s="94">
        <v>7</v>
      </c>
      <c r="G103" s="94">
        <v>-2</v>
      </c>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BA103" s="95"/>
    </row>
    <row r="104" spans="1:53" s="87" customFormat="1">
      <c r="A104" s="90" t="str">
        <f t="shared" si="26"/>
        <v/>
      </c>
      <c r="B104" s="99">
        <v>11</v>
      </c>
      <c r="C104" s="92">
        <v>-2</v>
      </c>
      <c r="D104" s="92">
        <v>-3</v>
      </c>
      <c r="E104" s="92">
        <v>6</v>
      </c>
      <c r="F104" s="92">
        <v>-7</v>
      </c>
      <c r="G104" s="92" t="s">
        <v>202</v>
      </c>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BA104" s="95"/>
    </row>
    <row r="105" spans="1:53" s="87" customFormat="1">
      <c r="A105" s="90" t="str">
        <f t="shared" si="26"/>
        <v/>
      </c>
      <c r="B105" s="98">
        <v>12</v>
      </c>
      <c r="C105" s="94">
        <v>-3</v>
      </c>
      <c r="D105" s="94">
        <v>4</v>
      </c>
      <c r="E105" s="94" t="s">
        <v>202</v>
      </c>
      <c r="F105" s="94">
        <v>-2</v>
      </c>
      <c r="G105" s="94">
        <v>7</v>
      </c>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BA105" s="95"/>
    </row>
    <row r="106" spans="1:53" s="87" customFormat="1">
      <c r="A106" s="90" t="str">
        <f t="shared" si="26"/>
        <v/>
      </c>
      <c r="B106" s="98">
        <v>13</v>
      </c>
      <c r="C106" s="94">
        <v>-1</v>
      </c>
      <c r="D106" s="94">
        <v>6</v>
      </c>
      <c r="E106" s="94">
        <v>5</v>
      </c>
      <c r="F106" s="94" t="s">
        <v>202</v>
      </c>
      <c r="G106" s="94">
        <v>-7</v>
      </c>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BA106" s="95"/>
    </row>
    <row r="107" spans="1:53" s="87" customFormat="1">
      <c r="A107" s="90" t="str">
        <f t="shared" si="26"/>
        <v/>
      </c>
      <c r="B107" s="98">
        <v>14</v>
      </c>
      <c r="C107" s="94">
        <v>3</v>
      </c>
      <c r="D107" s="94" t="s">
        <v>202</v>
      </c>
      <c r="E107" s="94">
        <v>-5</v>
      </c>
      <c r="F107" s="94">
        <v>-6</v>
      </c>
      <c r="G107" s="94">
        <v>1</v>
      </c>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BA107" s="95"/>
    </row>
    <row r="108" spans="1:53" s="87" customFormat="1">
      <c r="A108" s="90" t="str">
        <f t="shared" si="26"/>
        <v/>
      </c>
      <c r="B108" s="98">
        <v>15</v>
      </c>
      <c r="C108" s="94" t="s">
        <v>202</v>
      </c>
      <c r="D108" s="94">
        <v>-6</v>
      </c>
      <c r="E108" s="94">
        <v>7</v>
      </c>
      <c r="F108" s="94">
        <v>2</v>
      </c>
      <c r="G108" s="94">
        <v>-1</v>
      </c>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BA108" s="95"/>
    </row>
    <row r="109" spans="1:53" s="87" customFormat="1">
      <c r="A109" s="90" t="str">
        <f t="shared" si="26"/>
        <v/>
      </c>
      <c r="B109" s="98">
        <v>16</v>
      </c>
      <c r="C109" s="94">
        <v>1</v>
      </c>
      <c r="D109" s="94">
        <v>-4</v>
      </c>
      <c r="E109" s="94">
        <v>-7</v>
      </c>
      <c r="F109" s="94">
        <v>6</v>
      </c>
      <c r="G109" s="94" t="s">
        <v>202</v>
      </c>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BA109" s="95"/>
    </row>
    <row r="110" spans="1:53" s="87" customFormat="1">
      <c r="A110" s="90" t="str">
        <f t="shared" si="26"/>
        <v/>
      </c>
      <c r="B110" s="98" t="s">
        <v>414</v>
      </c>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BA110" s="95"/>
    </row>
    <row r="111" spans="1:53" s="87" customFormat="1">
      <c r="A111" s="90">
        <f t="shared" si="26"/>
        <v>111</v>
      </c>
      <c r="B111" s="98" t="s">
        <v>419</v>
      </c>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BA111" s="95"/>
    </row>
    <row r="112" spans="1:53" s="87" customFormat="1">
      <c r="A112" s="90" t="str">
        <f t="shared" si="26"/>
        <v/>
      </c>
      <c r="B112" s="98">
        <v>1</v>
      </c>
      <c r="C112" s="94">
        <v>3</v>
      </c>
      <c r="D112" s="94" t="s">
        <v>210</v>
      </c>
      <c r="E112" s="94" t="s">
        <v>210</v>
      </c>
      <c r="F112" s="94">
        <v>-4</v>
      </c>
      <c r="G112" s="94">
        <v>5</v>
      </c>
      <c r="H112" s="94" t="s">
        <v>210</v>
      </c>
      <c r="I112" s="94" t="s">
        <v>210</v>
      </c>
      <c r="J112" s="94">
        <v>-2</v>
      </c>
      <c r="K112" s="94">
        <v>6</v>
      </c>
      <c r="L112" s="94" t="s">
        <v>210</v>
      </c>
      <c r="M112" s="94" t="s">
        <v>210</v>
      </c>
      <c r="N112" s="94">
        <v>-1</v>
      </c>
      <c r="O112" s="94">
        <v>-5</v>
      </c>
      <c r="P112" s="94" t="s">
        <v>210</v>
      </c>
      <c r="Q112" s="94" t="s">
        <v>210</v>
      </c>
      <c r="R112" s="94">
        <v>-3</v>
      </c>
      <c r="S112" s="94">
        <v>-2</v>
      </c>
      <c r="T112" s="94" t="s">
        <v>210</v>
      </c>
      <c r="U112" s="94" t="s">
        <v>210</v>
      </c>
      <c r="V112" s="94">
        <v>1</v>
      </c>
      <c r="W112" s="94">
        <v>6</v>
      </c>
      <c r="X112" s="94" t="s">
        <v>210</v>
      </c>
      <c r="Y112" s="94">
        <v>7</v>
      </c>
      <c r="Z112" s="94" t="s">
        <v>210</v>
      </c>
      <c r="AA112" s="94">
        <v>4</v>
      </c>
      <c r="AB112" s="94" t="s">
        <v>210</v>
      </c>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BA112" s="95"/>
    </row>
    <row r="113" spans="1:53" s="87" customFormat="1">
      <c r="A113" s="90" t="str">
        <f t="shared" si="26"/>
        <v/>
      </c>
      <c r="B113" s="98">
        <v>2</v>
      </c>
      <c r="C113" s="94">
        <v>5</v>
      </c>
      <c r="D113" s="94" t="s">
        <v>210</v>
      </c>
      <c r="E113" s="94" t="s">
        <v>210</v>
      </c>
      <c r="F113" s="94">
        <v>-6</v>
      </c>
      <c r="G113" s="94">
        <v>3</v>
      </c>
      <c r="H113" s="94" t="s">
        <v>210</v>
      </c>
      <c r="I113" s="94" t="s">
        <v>210</v>
      </c>
      <c r="J113" s="94">
        <v>-1</v>
      </c>
      <c r="K113" s="94">
        <v>-2</v>
      </c>
      <c r="L113" s="94" t="s">
        <v>210</v>
      </c>
      <c r="M113" s="94" t="s">
        <v>210</v>
      </c>
      <c r="N113" s="94">
        <v>4</v>
      </c>
      <c r="O113" s="94">
        <v>-3</v>
      </c>
      <c r="P113" s="94" t="s">
        <v>210</v>
      </c>
      <c r="Q113" s="94" t="s">
        <v>210</v>
      </c>
      <c r="R113" s="94">
        <v>6</v>
      </c>
      <c r="S113" s="94">
        <v>1</v>
      </c>
      <c r="T113" s="94" t="s">
        <v>210</v>
      </c>
      <c r="U113" s="94" t="s">
        <v>210</v>
      </c>
      <c r="V113" s="94">
        <v>-5</v>
      </c>
      <c r="W113" s="94">
        <v>7</v>
      </c>
      <c r="X113" s="94" t="s">
        <v>210</v>
      </c>
      <c r="Y113" s="94" t="s">
        <v>210</v>
      </c>
      <c r="Z113" s="94">
        <v>-2</v>
      </c>
      <c r="AA113" s="94">
        <v>-4</v>
      </c>
      <c r="AB113" s="94" t="s">
        <v>210</v>
      </c>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BA113" s="95"/>
    </row>
    <row r="114" spans="1:53" s="87" customFormat="1">
      <c r="A114" s="90" t="str">
        <f t="shared" si="26"/>
        <v/>
      </c>
      <c r="B114" s="98">
        <v>3</v>
      </c>
      <c r="C114" s="94">
        <v>-3</v>
      </c>
      <c r="D114" s="94" t="s">
        <v>210</v>
      </c>
      <c r="E114" s="94" t="s">
        <v>210</v>
      </c>
      <c r="F114" s="94">
        <v>-1</v>
      </c>
      <c r="G114" s="94">
        <v>-2</v>
      </c>
      <c r="H114" s="94" t="s">
        <v>210</v>
      </c>
      <c r="I114" s="94" t="s">
        <v>210</v>
      </c>
      <c r="J114" s="94">
        <v>-5</v>
      </c>
      <c r="K114" s="94">
        <v>4</v>
      </c>
      <c r="L114" s="94" t="s">
        <v>210</v>
      </c>
      <c r="M114" s="94" t="s">
        <v>210</v>
      </c>
      <c r="N114" s="94">
        <v>-6</v>
      </c>
      <c r="O114" s="94">
        <v>1</v>
      </c>
      <c r="P114" s="94" t="s">
        <v>210</v>
      </c>
      <c r="Q114" s="94" t="s">
        <v>210</v>
      </c>
      <c r="R114" s="94">
        <v>5</v>
      </c>
      <c r="S114" s="94">
        <v>7</v>
      </c>
      <c r="T114" s="94" t="s">
        <v>210</v>
      </c>
      <c r="U114" s="94" t="s">
        <v>210</v>
      </c>
      <c r="V114" s="94">
        <v>-6</v>
      </c>
      <c r="W114" s="94">
        <v>4</v>
      </c>
      <c r="X114" s="94" t="s">
        <v>210</v>
      </c>
      <c r="Y114" s="94" t="s">
        <v>210</v>
      </c>
      <c r="Z114" s="94">
        <v>2</v>
      </c>
      <c r="AA114" s="94">
        <v>3</v>
      </c>
      <c r="AB114" s="94" t="s">
        <v>210</v>
      </c>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BA114" s="95"/>
    </row>
    <row r="115" spans="1:53" s="87" customFormat="1">
      <c r="A115" s="90" t="str">
        <f t="shared" si="26"/>
        <v/>
      </c>
      <c r="B115" s="98">
        <v>4</v>
      </c>
      <c r="C115" s="94">
        <v>-1</v>
      </c>
      <c r="D115" s="94" t="s">
        <v>210</v>
      </c>
      <c r="E115" s="94" t="s">
        <v>210</v>
      </c>
      <c r="F115" s="94">
        <v>6</v>
      </c>
      <c r="G115" s="94">
        <v>-4</v>
      </c>
      <c r="H115" s="94" t="s">
        <v>210</v>
      </c>
      <c r="I115" s="94" t="s">
        <v>210</v>
      </c>
      <c r="J115" s="94">
        <v>2</v>
      </c>
      <c r="K115" s="94">
        <v>-5</v>
      </c>
      <c r="L115" s="94" t="s">
        <v>210</v>
      </c>
      <c r="M115" s="94" t="s">
        <v>210</v>
      </c>
      <c r="N115" s="94">
        <v>3</v>
      </c>
      <c r="O115" s="94">
        <v>-2</v>
      </c>
      <c r="P115" s="94" t="s">
        <v>210</v>
      </c>
      <c r="Q115" s="94" t="s">
        <v>210</v>
      </c>
      <c r="R115" s="94">
        <v>-4</v>
      </c>
      <c r="S115" s="94">
        <v>-6</v>
      </c>
      <c r="T115" s="94" t="s">
        <v>210</v>
      </c>
      <c r="U115" s="94">
        <v>7</v>
      </c>
      <c r="V115" s="94" t="s">
        <v>210</v>
      </c>
      <c r="W115" s="94">
        <v>5</v>
      </c>
      <c r="X115" s="94" t="s">
        <v>210</v>
      </c>
      <c r="Y115" s="94" t="s">
        <v>210</v>
      </c>
      <c r="Z115" s="94">
        <v>-1</v>
      </c>
      <c r="AA115" s="94">
        <v>-3</v>
      </c>
      <c r="AB115" s="94" t="s">
        <v>210</v>
      </c>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BA115" s="95"/>
    </row>
    <row r="116" spans="1:53" s="87" customFormat="1">
      <c r="A116" s="90" t="str">
        <f t="shared" si="26"/>
        <v/>
      </c>
      <c r="B116" s="98">
        <v>5</v>
      </c>
      <c r="C116" s="94">
        <v>-4</v>
      </c>
      <c r="D116" s="94" t="s">
        <v>210</v>
      </c>
      <c r="E116" s="94" t="s">
        <v>210</v>
      </c>
      <c r="F116" s="94">
        <v>5</v>
      </c>
      <c r="G116" s="94">
        <v>-7</v>
      </c>
      <c r="H116" s="94" t="s">
        <v>210</v>
      </c>
      <c r="I116" s="94" t="s">
        <v>210</v>
      </c>
      <c r="J116" s="94">
        <v>6</v>
      </c>
      <c r="K116" s="94">
        <v>-3</v>
      </c>
      <c r="L116" s="94" t="s">
        <v>210</v>
      </c>
      <c r="M116" s="94" t="s">
        <v>210</v>
      </c>
      <c r="N116" s="94">
        <v>-2</v>
      </c>
      <c r="O116" s="94">
        <v>-1</v>
      </c>
      <c r="P116" s="94" t="s">
        <v>210</v>
      </c>
      <c r="Q116" s="94" t="s">
        <v>210</v>
      </c>
      <c r="R116" s="94">
        <v>-6</v>
      </c>
      <c r="S116" s="94">
        <v>2</v>
      </c>
      <c r="T116" s="94" t="s">
        <v>210</v>
      </c>
      <c r="U116" s="94" t="s">
        <v>210</v>
      </c>
      <c r="V116" s="94">
        <v>4</v>
      </c>
      <c r="W116" s="94">
        <v>3</v>
      </c>
      <c r="X116" s="94" t="s">
        <v>210</v>
      </c>
      <c r="Y116" s="94" t="s">
        <v>210</v>
      </c>
      <c r="Z116" s="94">
        <v>1</v>
      </c>
      <c r="AA116" s="94">
        <v>-5</v>
      </c>
      <c r="AB116" s="94" t="s">
        <v>210</v>
      </c>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BA116" s="95"/>
    </row>
    <row r="117" spans="1:53" s="87" customFormat="1">
      <c r="A117" s="90" t="str">
        <f t="shared" si="26"/>
        <v/>
      </c>
      <c r="B117" s="98">
        <v>6</v>
      </c>
      <c r="C117" s="94">
        <v>6</v>
      </c>
      <c r="D117" s="94" t="s">
        <v>210</v>
      </c>
      <c r="E117" s="94" t="s">
        <v>210</v>
      </c>
      <c r="F117" s="94">
        <v>-2</v>
      </c>
      <c r="G117" s="94">
        <v>-1</v>
      </c>
      <c r="H117" s="94" t="s">
        <v>210</v>
      </c>
      <c r="I117" s="94" t="s">
        <v>210</v>
      </c>
      <c r="J117" s="94">
        <v>-3</v>
      </c>
      <c r="K117" s="94">
        <v>5</v>
      </c>
      <c r="L117" s="94" t="s">
        <v>210</v>
      </c>
      <c r="M117" s="94">
        <v>7</v>
      </c>
      <c r="N117" s="94" t="s">
        <v>210</v>
      </c>
      <c r="O117" s="94">
        <v>4</v>
      </c>
      <c r="P117" s="94" t="s">
        <v>210</v>
      </c>
      <c r="Q117" s="94" t="s">
        <v>210</v>
      </c>
      <c r="R117" s="94">
        <v>3</v>
      </c>
      <c r="S117" s="94">
        <v>-1</v>
      </c>
      <c r="T117" s="94" t="s">
        <v>210</v>
      </c>
      <c r="U117" s="94" t="s">
        <v>210</v>
      </c>
      <c r="V117" s="94">
        <v>2</v>
      </c>
      <c r="W117" s="94">
        <v>-4</v>
      </c>
      <c r="X117" s="94" t="s">
        <v>210</v>
      </c>
      <c r="Y117" s="94" t="s">
        <v>210</v>
      </c>
      <c r="Z117" s="94">
        <v>6</v>
      </c>
      <c r="AA117" s="94">
        <v>5</v>
      </c>
      <c r="AB117" s="94" t="s">
        <v>210</v>
      </c>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BA117" s="95"/>
    </row>
    <row r="118" spans="1:53" s="87" customFormat="1">
      <c r="A118" s="90" t="str">
        <f t="shared" si="26"/>
        <v/>
      </c>
      <c r="B118" s="98">
        <v>7</v>
      </c>
      <c r="C118" s="94">
        <v>-5</v>
      </c>
      <c r="D118" s="94" t="s">
        <v>210</v>
      </c>
      <c r="E118" s="94">
        <v>7</v>
      </c>
      <c r="F118" s="94" t="s">
        <v>210</v>
      </c>
      <c r="G118" s="94">
        <v>-6</v>
      </c>
      <c r="H118" s="94" t="s">
        <v>210</v>
      </c>
      <c r="I118" s="94" t="s">
        <v>210</v>
      </c>
      <c r="J118" s="94">
        <v>-4</v>
      </c>
      <c r="K118" s="94">
        <v>3</v>
      </c>
      <c r="L118" s="94" t="s">
        <v>210</v>
      </c>
      <c r="M118" s="94" t="s">
        <v>210</v>
      </c>
      <c r="N118" s="94">
        <v>1</v>
      </c>
      <c r="O118" s="94">
        <v>2</v>
      </c>
      <c r="P118" s="94" t="s">
        <v>210</v>
      </c>
      <c r="Q118" s="94" t="s">
        <v>210</v>
      </c>
      <c r="R118" s="94">
        <v>-5</v>
      </c>
      <c r="S118" s="94">
        <v>4</v>
      </c>
      <c r="T118" s="94" t="s">
        <v>210</v>
      </c>
      <c r="U118" s="94" t="s">
        <v>210</v>
      </c>
      <c r="V118" s="94">
        <v>-3</v>
      </c>
      <c r="W118" s="94">
        <v>-1</v>
      </c>
      <c r="X118" s="94" t="s">
        <v>210</v>
      </c>
      <c r="Y118" s="94" t="s">
        <v>210</v>
      </c>
      <c r="Z118" s="94">
        <v>-6</v>
      </c>
      <c r="AA118" s="94">
        <v>-2</v>
      </c>
      <c r="AB118" s="94" t="s">
        <v>210</v>
      </c>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BA118" s="95"/>
    </row>
    <row r="119" spans="1:53" s="87" customFormat="1">
      <c r="A119" s="90" t="str">
        <f t="shared" si="26"/>
        <v/>
      </c>
      <c r="B119" s="98">
        <v>8</v>
      </c>
      <c r="C119" s="94">
        <v>2</v>
      </c>
      <c r="D119" s="94" t="s">
        <v>210</v>
      </c>
      <c r="E119" s="94" t="s">
        <v>210</v>
      </c>
      <c r="F119" s="94">
        <v>3</v>
      </c>
      <c r="G119" s="94">
        <v>1</v>
      </c>
      <c r="H119" s="94" t="s">
        <v>210</v>
      </c>
      <c r="I119" s="94" t="s">
        <v>210</v>
      </c>
      <c r="J119" s="94">
        <v>-6</v>
      </c>
      <c r="K119" s="94">
        <v>7</v>
      </c>
      <c r="L119" s="94" t="s">
        <v>210</v>
      </c>
      <c r="M119" s="94" t="s">
        <v>210</v>
      </c>
      <c r="N119" s="94">
        <v>-4</v>
      </c>
      <c r="O119" s="94">
        <v>5</v>
      </c>
      <c r="P119" s="94" t="s">
        <v>210</v>
      </c>
      <c r="Q119" s="94" t="s">
        <v>210</v>
      </c>
      <c r="R119" s="94">
        <v>-1</v>
      </c>
      <c r="S119" s="94">
        <v>-3</v>
      </c>
      <c r="T119" s="94" t="s">
        <v>210</v>
      </c>
      <c r="U119" s="94" t="s">
        <v>210</v>
      </c>
      <c r="V119" s="94">
        <v>6</v>
      </c>
      <c r="W119" s="94">
        <v>-5</v>
      </c>
      <c r="X119" s="94" t="s">
        <v>210</v>
      </c>
      <c r="Y119" s="94" t="s">
        <v>210</v>
      </c>
      <c r="Z119" s="94">
        <v>-4</v>
      </c>
      <c r="AA119" s="94">
        <v>2</v>
      </c>
      <c r="AB119" s="94" t="s">
        <v>210</v>
      </c>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BA119" s="95"/>
    </row>
    <row r="120" spans="1:53" s="87" customFormat="1">
      <c r="A120" s="90" t="str">
        <f t="shared" si="26"/>
        <v/>
      </c>
      <c r="B120" s="98">
        <v>9</v>
      </c>
      <c r="C120" s="94">
        <v>1</v>
      </c>
      <c r="D120" s="94" t="s">
        <v>210</v>
      </c>
      <c r="E120" s="94" t="s">
        <v>210</v>
      </c>
      <c r="F120" s="94">
        <v>2</v>
      </c>
      <c r="G120" s="94">
        <v>6</v>
      </c>
      <c r="H120" s="94" t="s">
        <v>210</v>
      </c>
      <c r="I120" s="94">
        <v>7</v>
      </c>
      <c r="J120" s="94" t="s">
        <v>210</v>
      </c>
      <c r="K120" s="94">
        <v>-4</v>
      </c>
      <c r="L120" s="94" t="s">
        <v>210</v>
      </c>
      <c r="M120" s="94" t="s">
        <v>210</v>
      </c>
      <c r="N120" s="94">
        <v>-5</v>
      </c>
      <c r="O120" s="94">
        <v>3</v>
      </c>
      <c r="P120" s="94" t="s">
        <v>210</v>
      </c>
      <c r="Q120" s="94" t="s">
        <v>210</v>
      </c>
      <c r="R120" s="94">
        <v>-2</v>
      </c>
      <c r="S120" s="94">
        <v>-5</v>
      </c>
      <c r="T120" s="94" t="s">
        <v>210</v>
      </c>
      <c r="U120" s="94" t="s">
        <v>210</v>
      </c>
      <c r="V120" s="94">
        <v>-1</v>
      </c>
      <c r="W120" s="94">
        <v>-3</v>
      </c>
      <c r="X120" s="94" t="s">
        <v>210</v>
      </c>
      <c r="Y120" s="94" t="s">
        <v>210</v>
      </c>
      <c r="Z120" s="94">
        <v>4</v>
      </c>
      <c r="AA120" s="94">
        <v>-6</v>
      </c>
      <c r="AB120" s="94" t="s">
        <v>210</v>
      </c>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BA120" s="95"/>
    </row>
    <row r="121" spans="1:53" s="87" customFormat="1">
      <c r="A121" s="90" t="str">
        <f t="shared" si="26"/>
        <v/>
      </c>
      <c r="B121" s="98">
        <v>10</v>
      </c>
      <c r="C121" s="94">
        <v>-7</v>
      </c>
      <c r="D121" s="94" t="s">
        <v>210</v>
      </c>
      <c r="E121" s="94" t="s">
        <v>210</v>
      </c>
      <c r="F121" s="94">
        <v>4</v>
      </c>
      <c r="G121" s="94">
        <v>-3</v>
      </c>
      <c r="H121" s="94" t="s">
        <v>210</v>
      </c>
      <c r="I121" s="94" t="s">
        <v>210</v>
      </c>
      <c r="J121" s="94">
        <v>5</v>
      </c>
      <c r="K121" s="94">
        <v>-1</v>
      </c>
      <c r="L121" s="94" t="s">
        <v>210</v>
      </c>
      <c r="M121" s="94" t="s">
        <v>210</v>
      </c>
      <c r="N121" s="94">
        <v>2</v>
      </c>
      <c r="O121" s="94">
        <v>-6</v>
      </c>
      <c r="P121" s="94" t="s">
        <v>210</v>
      </c>
      <c r="Q121" s="94" t="s">
        <v>210</v>
      </c>
      <c r="R121" s="94">
        <v>4</v>
      </c>
      <c r="S121" s="94">
        <v>3</v>
      </c>
      <c r="T121" s="94" t="s">
        <v>210</v>
      </c>
      <c r="U121" s="94" t="s">
        <v>210</v>
      </c>
      <c r="V121" s="94">
        <v>-2</v>
      </c>
      <c r="W121" s="94">
        <v>1</v>
      </c>
      <c r="X121" s="94" t="s">
        <v>210</v>
      </c>
      <c r="Y121" s="94" t="s">
        <v>210</v>
      </c>
      <c r="Z121" s="94">
        <v>5</v>
      </c>
      <c r="AA121" s="94">
        <v>6</v>
      </c>
      <c r="AB121" s="94" t="s">
        <v>210</v>
      </c>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BA121" s="95"/>
    </row>
    <row r="122" spans="1:53" s="87" customFormat="1">
      <c r="A122" s="90" t="str">
        <f t="shared" si="26"/>
        <v/>
      </c>
      <c r="B122" s="98">
        <v>11</v>
      </c>
      <c r="C122" s="94">
        <v>-2</v>
      </c>
      <c r="D122" s="94" t="s">
        <v>210</v>
      </c>
      <c r="E122" s="94" t="s">
        <v>210</v>
      </c>
      <c r="F122" s="94">
        <v>-5</v>
      </c>
      <c r="G122" s="94">
        <v>4</v>
      </c>
      <c r="H122" s="94" t="s">
        <v>210</v>
      </c>
      <c r="I122" s="94" t="s">
        <v>210</v>
      </c>
      <c r="J122" s="94">
        <v>3</v>
      </c>
      <c r="K122" s="94">
        <v>1</v>
      </c>
      <c r="L122" s="94" t="s">
        <v>210</v>
      </c>
      <c r="M122" s="94" t="s">
        <v>210</v>
      </c>
      <c r="N122" s="94">
        <v>6</v>
      </c>
      <c r="O122" s="94">
        <v>-7</v>
      </c>
      <c r="P122" s="94" t="s">
        <v>210</v>
      </c>
      <c r="Q122" s="94" t="s">
        <v>210</v>
      </c>
      <c r="R122" s="94">
        <v>2</v>
      </c>
      <c r="S122" s="94">
        <v>-4</v>
      </c>
      <c r="T122" s="94" t="s">
        <v>210</v>
      </c>
      <c r="U122" s="94" t="s">
        <v>210</v>
      </c>
      <c r="V122" s="94">
        <v>5</v>
      </c>
      <c r="W122" s="94">
        <v>-6</v>
      </c>
      <c r="X122" s="94" t="s">
        <v>210</v>
      </c>
      <c r="Y122" s="94" t="s">
        <v>210</v>
      </c>
      <c r="Z122" s="94">
        <v>3</v>
      </c>
      <c r="AA122" s="94">
        <v>1</v>
      </c>
      <c r="AB122" s="94" t="s">
        <v>210</v>
      </c>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BA122" s="95"/>
    </row>
    <row r="123" spans="1:53" s="87" customFormat="1">
      <c r="A123" s="90" t="str">
        <f t="shared" si="26"/>
        <v/>
      </c>
      <c r="B123" s="98">
        <v>12</v>
      </c>
      <c r="C123" s="94">
        <v>4</v>
      </c>
      <c r="D123" s="94" t="s">
        <v>210</v>
      </c>
      <c r="E123" s="94" t="s">
        <v>210</v>
      </c>
      <c r="F123" s="94">
        <v>-3</v>
      </c>
      <c r="G123" s="94">
        <v>2</v>
      </c>
      <c r="H123" s="94" t="s">
        <v>210</v>
      </c>
      <c r="I123" s="94" t="s">
        <v>210</v>
      </c>
      <c r="J123" s="94">
        <v>1</v>
      </c>
      <c r="K123" s="94">
        <v>-6</v>
      </c>
      <c r="L123" s="94" t="s">
        <v>210</v>
      </c>
      <c r="M123" s="94" t="s">
        <v>210</v>
      </c>
      <c r="N123" s="94">
        <v>5</v>
      </c>
      <c r="O123" s="94">
        <v>-4</v>
      </c>
      <c r="P123" s="94" t="s">
        <v>210</v>
      </c>
      <c r="Q123" s="94">
        <v>7</v>
      </c>
      <c r="R123" s="94" t="s">
        <v>210</v>
      </c>
      <c r="S123" s="94">
        <v>6</v>
      </c>
      <c r="T123" s="94" t="s">
        <v>210</v>
      </c>
      <c r="U123" s="94" t="s">
        <v>210</v>
      </c>
      <c r="V123" s="94">
        <v>3</v>
      </c>
      <c r="W123" s="94">
        <v>-2</v>
      </c>
      <c r="X123" s="94" t="s">
        <v>210</v>
      </c>
      <c r="Y123" s="94" t="s">
        <v>210</v>
      </c>
      <c r="Z123" s="94">
        <v>-5</v>
      </c>
      <c r="AA123" s="94">
        <v>-1</v>
      </c>
      <c r="AB123" s="94" t="s">
        <v>210</v>
      </c>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BA123" s="95"/>
    </row>
    <row r="124" spans="1:53" s="87" customFormat="1">
      <c r="A124" s="90" t="str">
        <f t="shared" si="26"/>
        <v/>
      </c>
      <c r="B124" s="99">
        <v>13</v>
      </c>
      <c r="C124" s="92">
        <v>-6</v>
      </c>
      <c r="D124" s="92" t="s">
        <v>210</v>
      </c>
      <c r="E124" s="92" t="s">
        <v>210</v>
      </c>
      <c r="F124" s="92">
        <v>1</v>
      </c>
      <c r="G124" s="92">
        <v>-5</v>
      </c>
      <c r="H124" s="92" t="s">
        <v>210</v>
      </c>
      <c r="I124" s="92" t="s">
        <v>210</v>
      </c>
      <c r="J124" s="92">
        <v>4</v>
      </c>
      <c r="K124" s="92">
        <v>2</v>
      </c>
      <c r="L124" s="92" t="s">
        <v>210</v>
      </c>
      <c r="M124" s="92" t="s">
        <v>210</v>
      </c>
      <c r="N124" s="92">
        <v>-3</v>
      </c>
      <c r="O124" s="92">
        <v>6</v>
      </c>
      <c r="P124" s="92" t="s">
        <v>210</v>
      </c>
      <c r="Q124" s="92" t="s">
        <v>210</v>
      </c>
      <c r="R124" s="92">
        <v>1</v>
      </c>
      <c r="S124" s="92">
        <v>5</v>
      </c>
      <c r="T124" s="92" t="s">
        <v>210</v>
      </c>
      <c r="U124" s="92" t="s">
        <v>210</v>
      </c>
      <c r="V124" s="92">
        <v>-4</v>
      </c>
      <c r="W124" s="92">
        <v>2</v>
      </c>
      <c r="X124" s="92" t="s">
        <v>210</v>
      </c>
      <c r="Y124" s="92" t="s">
        <v>210</v>
      </c>
      <c r="Z124" s="92">
        <v>-3</v>
      </c>
      <c r="AA124" s="92">
        <v>-7</v>
      </c>
      <c r="AB124" s="92" t="s">
        <v>210</v>
      </c>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BA124" s="95"/>
    </row>
    <row r="125" spans="1:53" s="87" customFormat="1">
      <c r="A125" s="90" t="str">
        <f t="shared" si="26"/>
        <v/>
      </c>
      <c r="B125" s="98">
        <v>14</v>
      </c>
      <c r="C125" s="94" t="s">
        <v>210</v>
      </c>
      <c r="D125" s="94">
        <v>-3</v>
      </c>
      <c r="E125" s="94">
        <v>-4</v>
      </c>
      <c r="F125" s="94" t="s">
        <v>210</v>
      </c>
      <c r="G125" s="94" t="s">
        <v>210</v>
      </c>
      <c r="H125" s="94">
        <v>5</v>
      </c>
      <c r="I125" s="94">
        <v>-2</v>
      </c>
      <c r="J125" s="94" t="s">
        <v>210</v>
      </c>
      <c r="K125" s="94" t="s">
        <v>210</v>
      </c>
      <c r="L125" s="94">
        <v>-6</v>
      </c>
      <c r="M125" s="94">
        <v>1</v>
      </c>
      <c r="N125" s="94" t="s">
        <v>210</v>
      </c>
      <c r="O125" s="94" t="s">
        <v>210</v>
      </c>
      <c r="P125" s="94">
        <v>-5</v>
      </c>
      <c r="Q125" s="94">
        <v>3</v>
      </c>
      <c r="R125" s="94" t="s">
        <v>210</v>
      </c>
      <c r="S125" s="94" t="s">
        <v>210</v>
      </c>
      <c r="T125" s="94">
        <v>2</v>
      </c>
      <c r="U125" s="94">
        <v>-1</v>
      </c>
      <c r="V125" s="94" t="s">
        <v>210</v>
      </c>
      <c r="W125" s="94" t="s">
        <v>210</v>
      </c>
      <c r="X125" s="94">
        <v>-6</v>
      </c>
      <c r="Y125" s="94">
        <v>-7</v>
      </c>
      <c r="Z125" s="94" t="s">
        <v>210</v>
      </c>
      <c r="AA125" s="94" t="s">
        <v>210</v>
      </c>
      <c r="AB125" s="94">
        <v>4</v>
      </c>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BA125" s="95"/>
    </row>
    <row r="126" spans="1:53" s="87" customFormat="1">
      <c r="A126" s="90" t="str">
        <f t="shared" si="26"/>
        <v/>
      </c>
      <c r="B126" s="98">
        <v>15</v>
      </c>
      <c r="C126" s="94" t="s">
        <v>210</v>
      </c>
      <c r="D126" s="94">
        <v>-5</v>
      </c>
      <c r="E126" s="94">
        <v>-6</v>
      </c>
      <c r="F126" s="94" t="s">
        <v>210</v>
      </c>
      <c r="G126" s="94" t="s">
        <v>210</v>
      </c>
      <c r="H126" s="94">
        <v>3</v>
      </c>
      <c r="I126" s="94">
        <v>1</v>
      </c>
      <c r="J126" s="94" t="s">
        <v>210</v>
      </c>
      <c r="K126" s="94" t="s">
        <v>210</v>
      </c>
      <c r="L126" s="94">
        <v>-2</v>
      </c>
      <c r="M126" s="94">
        <v>4</v>
      </c>
      <c r="N126" s="94" t="s">
        <v>210</v>
      </c>
      <c r="O126" s="94" t="s">
        <v>210</v>
      </c>
      <c r="P126" s="94">
        <v>-3</v>
      </c>
      <c r="Q126" s="94">
        <v>-6</v>
      </c>
      <c r="R126" s="94" t="s">
        <v>210</v>
      </c>
      <c r="S126" s="94" t="s">
        <v>210</v>
      </c>
      <c r="T126" s="94">
        <v>1</v>
      </c>
      <c r="U126" s="94">
        <v>5</v>
      </c>
      <c r="V126" s="94" t="s">
        <v>210</v>
      </c>
      <c r="W126" s="94">
        <v>-7</v>
      </c>
      <c r="X126" s="94" t="s">
        <v>210</v>
      </c>
      <c r="Y126" s="94">
        <v>2</v>
      </c>
      <c r="Z126" s="94" t="s">
        <v>210</v>
      </c>
      <c r="AA126" s="94" t="s">
        <v>210</v>
      </c>
      <c r="AB126" s="94">
        <v>-4</v>
      </c>
      <c r="AC126" s="94"/>
      <c r="AD126" s="94"/>
      <c r="AE126" s="94"/>
      <c r="AF126" s="94"/>
      <c r="AG126" s="94"/>
      <c r="AH126" s="94"/>
      <c r="AI126" s="94"/>
      <c r="AJ126" s="94"/>
      <c r="AK126" s="94"/>
      <c r="AL126" s="94"/>
      <c r="AM126" s="94"/>
      <c r="AN126" s="94"/>
      <c r="AO126" s="94"/>
      <c r="AP126" s="94"/>
      <c r="AQ126" s="94"/>
      <c r="AR126" s="94"/>
      <c r="AS126" s="94"/>
      <c r="AT126" s="94"/>
      <c r="AU126" s="94"/>
      <c r="AV126" s="94"/>
      <c r="AW126" s="94"/>
      <c r="AX126" s="94"/>
      <c r="AY126" s="94"/>
      <c r="BA126" s="95"/>
    </row>
    <row r="127" spans="1:53" s="87" customFormat="1">
      <c r="A127" s="90" t="str">
        <f t="shared" si="26"/>
        <v/>
      </c>
      <c r="B127" s="98">
        <v>16</v>
      </c>
      <c r="C127" s="94" t="s">
        <v>210</v>
      </c>
      <c r="D127" s="94">
        <v>3</v>
      </c>
      <c r="E127" s="94">
        <v>-1</v>
      </c>
      <c r="F127" s="94" t="s">
        <v>210</v>
      </c>
      <c r="G127" s="94" t="s">
        <v>210</v>
      </c>
      <c r="H127" s="94">
        <v>2</v>
      </c>
      <c r="I127" s="94">
        <v>-5</v>
      </c>
      <c r="J127" s="94" t="s">
        <v>210</v>
      </c>
      <c r="K127" s="94" t="s">
        <v>210</v>
      </c>
      <c r="L127" s="94">
        <v>-4</v>
      </c>
      <c r="M127" s="94">
        <v>-6</v>
      </c>
      <c r="N127" s="94" t="s">
        <v>210</v>
      </c>
      <c r="O127" s="94" t="s">
        <v>210</v>
      </c>
      <c r="P127" s="94">
        <v>1</v>
      </c>
      <c r="Q127" s="94">
        <v>5</v>
      </c>
      <c r="R127" s="94" t="s">
        <v>210</v>
      </c>
      <c r="S127" s="94">
        <v>-7</v>
      </c>
      <c r="T127" s="94" t="s">
        <v>210</v>
      </c>
      <c r="U127" s="94">
        <v>6</v>
      </c>
      <c r="V127" s="94" t="s">
        <v>210</v>
      </c>
      <c r="W127" s="94" t="s">
        <v>210</v>
      </c>
      <c r="X127" s="94">
        <v>4</v>
      </c>
      <c r="Y127" s="94">
        <v>-2</v>
      </c>
      <c r="Z127" s="94" t="s">
        <v>210</v>
      </c>
      <c r="AA127" s="94" t="s">
        <v>210</v>
      </c>
      <c r="AB127" s="94">
        <v>3</v>
      </c>
      <c r="AC127" s="9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BA127" s="95"/>
    </row>
    <row r="128" spans="1:53" s="87" customFormat="1">
      <c r="A128" s="90" t="str">
        <f t="shared" si="26"/>
        <v/>
      </c>
      <c r="B128" s="98">
        <v>17</v>
      </c>
      <c r="C128" s="94" t="s">
        <v>210</v>
      </c>
      <c r="D128" s="94">
        <v>1</v>
      </c>
      <c r="E128" s="94">
        <v>6</v>
      </c>
      <c r="F128" s="94" t="s">
        <v>210</v>
      </c>
      <c r="G128" s="94" t="s">
        <v>210</v>
      </c>
      <c r="H128" s="94">
        <v>-4</v>
      </c>
      <c r="I128" s="94">
        <v>2</v>
      </c>
      <c r="J128" s="94" t="s">
        <v>210</v>
      </c>
      <c r="K128" s="94" t="s">
        <v>210</v>
      </c>
      <c r="L128" s="94">
        <v>-5</v>
      </c>
      <c r="M128" s="94">
        <v>3</v>
      </c>
      <c r="N128" s="94" t="s">
        <v>210</v>
      </c>
      <c r="O128" s="94" t="s">
        <v>210</v>
      </c>
      <c r="P128" s="94">
        <v>-2</v>
      </c>
      <c r="Q128" s="94">
        <v>4</v>
      </c>
      <c r="R128" s="94" t="s">
        <v>210</v>
      </c>
      <c r="S128" s="94" t="s">
        <v>210</v>
      </c>
      <c r="T128" s="94">
        <v>-6</v>
      </c>
      <c r="U128" s="94">
        <v>-7</v>
      </c>
      <c r="V128" s="94" t="s">
        <v>210</v>
      </c>
      <c r="W128" s="94" t="s">
        <v>210</v>
      </c>
      <c r="X128" s="94">
        <v>5</v>
      </c>
      <c r="Y128" s="94">
        <v>-1</v>
      </c>
      <c r="Z128" s="94" t="s">
        <v>210</v>
      </c>
      <c r="AA128" s="94" t="s">
        <v>210</v>
      </c>
      <c r="AB128" s="94">
        <v>-3</v>
      </c>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BA128" s="95"/>
    </row>
    <row r="129" spans="1:53" s="87" customFormat="1">
      <c r="A129" s="90" t="str">
        <f t="shared" si="26"/>
        <v/>
      </c>
      <c r="B129" s="98">
        <v>18</v>
      </c>
      <c r="C129" s="94" t="s">
        <v>210</v>
      </c>
      <c r="D129" s="94">
        <v>-4</v>
      </c>
      <c r="E129" s="94">
        <v>5</v>
      </c>
      <c r="F129" s="94" t="s">
        <v>210</v>
      </c>
      <c r="G129" s="94">
        <v>7</v>
      </c>
      <c r="H129" s="94" t="s">
        <v>210</v>
      </c>
      <c r="I129" s="94">
        <v>-6</v>
      </c>
      <c r="J129" s="94" t="s">
        <v>210</v>
      </c>
      <c r="K129" s="94" t="s">
        <v>210</v>
      </c>
      <c r="L129" s="94">
        <v>-3</v>
      </c>
      <c r="M129" s="94">
        <v>2</v>
      </c>
      <c r="N129" s="94" t="s">
        <v>210</v>
      </c>
      <c r="O129" s="94" t="s">
        <v>210</v>
      </c>
      <c r="P129" s="94">
        <v>-1</v>
      </c>
      <c r="Q129" s="94">
        <v>6</v>
      </c>
      <c r="R129" s="94" t="s">
        <v>210</v>
      </c>
      <c r="S129" s="94" t="s">
        <v>210</v>
      </c>
      <c r="T129" s="94">
        <v>-2</v>
      </c>
      <c r="U129" s="94">
        <v>4</v>
      </c>
      <c r="V129" s="94" t="s">
        <v>210</v>
      </c>
      <c r="W129" s="94" t="s">
        <v>210</v>
      </c>
      <c r="X129" s="94">
        <v>3</v>
      </c>
      <c r="Y129" s="94">
        <v>1</v>
      </c>
      <c r="Z129" s="94" t="s">
        <v>210</v>
      </c>
      <c r="AA129" s="94" t="s">
        <v>210</v>
      </c>
      <c r="AB129" s="94">
        <v>-5</v>
      </c>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BA129" s="95"/>
    </row>
    <row r="130" spans="1:53" s="87" customFormat="1">
      <c r="A130" s="90" t="str">
        <f t="shared" si="26"/>
        <v/>
      </c>
      <c r="B130" s="98">
        <v>19</v>
      </c>
      <c r="C130" s="94" t="s">
        <v>210</v>
      </c>
      <c r="D130" s="94">
        <v>6</v>
      </c>
      <c r="E130" s="94">
        <v>-2</v>
      </c>
      <c r="F130" s="94" t="s">
        <v>210</v>
      </c>
      <c r="G130" s="94" t="s">
        <v>210</v>
      </c>
      <c r="H130" s="94">
        <v>1</v>
      </c>
      <c r="I130" s="94">
        <v>3</v>
      </c>
      <c r="J130" s="94" t="s">
        <v>210</v>
      </c>
      <c r="K130" s="94" t="s">
        <v>210</v>
      </c>
      <c r="L130" s="94">
        <v>5</v>
      </c>
      <c r="M130" s="94">
        <v>-7</v>
      </c>
      <c r="N130" s="94" t="s">
        <v>210</v>
      </c>
      <c r="O130" s="94" t="s">
        <v>210</v>
      </c>
      <c r="P130" s="94">
        <v>4</v>
      </c>
      <c r="Q130" s="94">
        <v>-3</v>
      </c>
      <c r="R130" s="94" t="s">
        <v>210</v>
      </c>
      <c r="S130" s="94" t="s">
        <v>210</v>
      </c>
      <c r="T130" s="94">
        <v>-1</v>
      </c>
      <c r="U130" s="94">
        <v>-2</v>
      </c>
      <c r="V130" s="94" t="s">
        <v>210</v>
      </c>
      <c r="W130" s="94" t="s">
        <v>210</v>
      </c>
      <c r="X130" s="94">
        <v>-4</v>
      </c>
      <c r="Y130" s="94">
        <v>6</v>
      </c>
      <c r="Z130" s="94" t="s">
        <v>210</v>
      </c>
      <c r="AA130" s="94" t="s">
        <v>210</v>
      </c>
      <c r="AB130" s="94">
        <v>5</v>
      </c>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BA130" s="95"/>
    </row>
    <row r="131" spans="1:53" s="87" customFormat="1">
      <c r="A131" s="90" t="str">
        <f t="shared" si="26"/>
        <v/>
      </c>
      <c r="B131" s="98">
        <v>20</v>
      </c>
      <c r="C131" s="94" t="s">
        <v>210</v>
      </c>
      <c r="D131" s="94">
        <v>5</v>
      </c>
      <c r="E131" s="94">
        <v>-7</v>
      </c>
      <c r="F131" s="94" t="s">
        <v>210</v>
      </c>
      <c r="G131" s="94" t="s">
        <v>210</v>
      </c>
      <c r="H131" s="94">
        <v>-6</v>
      </c>
      <c r="I131" s="94">
        <v>-4</v>
      </c>
      <c r="J131" s="94" t="s">
        <v>210</v>
      </c>
      <c r="K131" s="94" t="s">
        <v>210</v>
      </c>
      <c r="L131" s="94">
        <v>3</v>
      </c>
      <c r="M131" s="94">
        <v>-1</v>
      </c>
      <c r="N131" s="94" t="s">
        <v>210</v>
      </c>
      <c r="O131" s="94" t="s">
        <v>210</v>
      </c>
      <c r="P131" s="94">
        <v>2</v>
      </c>
      <c r="Q131" s="94">
        <v>-5</v>
      </c>
      <c r="R131" s="94" t="s">
        <v>210</v>
      </c>
      <c r="S131" s="94" t="s">
        <v>210</v>
      </c>
      <c r="T131" s="94">
        <v>4</v>
      </c>
      <c r="U131" s="94">
        <v>-3</v>
      </c>
      <c r="V131" s="94" t="s">
        <v>210</v>
      </c>
      <c r="W131" s="94" t="s">
        <v>210</v>
      </c>
      <c r="X131" s="94">
        <v>-1</v>
      </c>
      <c r="Y131" s="94">
        <v>-6</v>
      </c>
      <c r="Z131" s="94" t="s">
        <v>210</v>
      </c>
      <c r="AA131" s="94" t="s">
        <v>210</v>
      </c>
      <c r="AB131" s="94">
        <v>2</v>
      </c>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BA131" s="95"/>
    </row>
    <row r="132" spans="1:53" s="87" customFormat="1">
      <c r="A132" s="90" t="str">
        <f t="shared" si="26"/>
        <v/>
      </c>
      <c r="B132" s="98">
        <v>21</v>
      </c>
      <c r="C132" s="94" t="s">
        <v>210</v>
      </c>
      <c r="D132" s="94">
        <v>-2</v>
      </c>
      <c r="E132" s="94">
        <v>3</v>
      </c>
      <c r="F132" s="94" t="s">
        <v>210</v>
      </c>
      <c r="G132" s="94" t="s">
        <v>210</v>
      </c>
      <c r="H132" s="94">
        <v>-1</v>
      </c>
      <c r="I132" s="94">
        <v>6</v>
      </c>
      <c r="J132" s="94" t="s">
        <v>210</v>
      </c>
      <c r="K132" s="94">
        <v>-7</v>
      </c>
      <c r="L132" s="94" t="s">
        <v>210</v>
      </c>
      <c r="M132" s="94">
        <v>-4</v>
      </c>
      <c r="N132" s="94" t="s">
        <v>210</v>
      </c>
      <c r="O132" s="94" t="s">
        <v>210</v>
      </c>
      <c r="P132" s="94">
        <v>5</v>
      </c>
      <c r="Q132" s="94">
        <v>-1</v>
      </c>
      <c r="R132" s="94" t="s">
        <v>210</v>
      </c>
      <c r="S132" s="94" t="s">
        <v>210</v>
      </c>
      <c r="T132" s="94">
        <v>-3</v>
      </c>
      <c r="U132" s="94">
        <v>-6</v>
      </c>
      <c r="V132" s="94" t="s">
        <v>210</v>
      </c>
      <c r="W132" s="94" t="s">
        <v>210</v>
      </c>
      <c r="X132" s="94">
        <v>-5</v>
      </c>
      <c r="Y132" s="94">
        <v>4</v>
      </c>
      <c r="Z132" s="94" t="s">
        <v>210</v>
      </c>
      <c r="AA132" s="94" t="s">
        <v>210</v>
      </c>
      <c r="AB132" s="94">
        <v>-2</v>
      </c>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BA132" s="95"/>
    </row>
    <row r="133" spans="1:53" s="87" customFormat="1">
      <c r="A133" s="90" t="str">
        <f t="shared" si="26"/>
        <v/>
      </c>
      <c r="B133" s="98">
        <v>22</v>
      </c>
      <c r="C133" s="94" t="s">
        <v>210</v>
      </c>
      <c r="D133" s="94">
        <v>-1</v>
      </c>
      <c r="E133" s="94">
        <v>2</v>
      </c>
      <c r="F133" s="94" t="s">
        <v>210</v>
      </c>
      <c r="G133" s="94" t="s">
        <v>210</v>
      </c>
      <c r="H133" s="94">
        <v>6</v>
      </c>
      <c r="I133" s="94">
        <v>-7</v>
      </c>
      <c r="J133" s="94" t="s">
        <v>210</v>
      </c>
      <c r="K133" s="94" t="s">
        <v>210</v>
      </c>
      <c r="L133" s="94">
        <v>4</v>
      </c>
      <c r="M133" s="94">
        <v>5</v>
      </c>
      <c r="N133" s="94" t="s">
        <v>210</v>
      </c>
      <c r="O133" s="94" t="s">
        <v>210</v>
      </c>
      <c r="P133" s="94">
        <v>3</v>
      </c>
      <c r="Q133" s="94">
        <v>-2</v>
      </c>
      <c r="R133" s="94" t="s">
        <v>210</v>
      </c>
      <c r="S133" s="94" t="s">
        <v>210</v>
      </c>
      <c r="T133" s="94">
        <v>5</v>
      </c>
      <c r="U133" s="94">
        <v>1</v>
      </c>
      <c r="V133" s="94" t="s">
        <v>210</v>
      </c>
      <c r="W133" s="94" t="s">
        <v>210</v>
      </c>
      <c r="X133" s="94">
        <v>-3</v>
      </c>
      <c r="Y133" s="94">
        <v>-4</v>
      </c>
      <c r="Z133" s="94" t="s">
        <v>210</v>
      </c>
      <c r="AA133" s="94" t="s">
        <v>210</v>
      </c>
      <c r="AB133" s="94">
        <v>-6</v>
      </c>
      <c r="AC133" s="94"/>
      <c r="AD133" s="94"/>
      <c r="AE133" s="94"/>
      <c r="AF133" s="94"/>
      <c r="AG133" s="94"/>
      <c r="AH133" s="94"/>
      <c r="AI133" s="94"/>
      <c r="AJ133" s="94"/>
      <c r="AK133" s="94"/>
      <c r="AL133" s="94"/>
      <c r="AM133" s="94"/>
      <c r="AN133" s="94"/>
      <c r="AO133" s="94"/>
      <c r="AP133" s="94"/>
      <c r="AQ133" s="94"/>
      <c r="AR133" s="94"/>
      <c r="AS133" s="94"/>
      <c r="AT133" s="94"/>
      <c r="AU133" s="94"/>
      <c r="AV133" s="94"/>
      <c r="AW133" s="94"/>
      <c r="AX133" s="94"/>
      <c r="AY133" s="94"/>
      <c r="BA133" s="95"/>
    </row>
    <row r="134" spans="1:53" s="87" customFormat="1">
      <c r="A134" s="90" t="str">
        <f t="shared" si="26"/>
        <v/>
      </c>
      <c r="B134" s="98">
        <v>23</v>
      </c>
      <c r="C134" s="94">
        <v>7</v>
      </c>
      <c r="D134" s="94" t="s">
        <v>210</v>
      </c>
      <c r="E134" s="94">
        <v>4</v>
      </c>
      <c r="F134" s="94" t="s">
        <v>210</v>
      </c>
      <c r="G134" s="94" t="s">
        <v>210</v>
      </c>
      <c r="H134" s="94">
        <v>-3</v>
      </c>
      <c r="I134" s="94">
        <v>5</v>
      </c>
      <c r="J134" s="94" t="s">
        <v>210</v>
      </c>
      <c r="K134" s="94" t="s">
        <v>210</v>
      </c>
      <c r="L134" s="94">
        <v>-1</v>
      </c>
      <c r="M134" s="94">
        <v>-2</v>
      </c>
      <c r="N134" s="94" t="s">
        <v>210</v>
      </c>
      <c r="O134" s="94" t="s">
        <v>210</v>
      </c>
      <c r="P134" s="94">
        <v>-6</v>
      </c>
      <c r="Q134" s="94">
        <v>-4</v>
      </c>
      <c r="R134" s="94" t="s">
        <v>210</v>
      </c>
      <c r="S134" s="94" t="s">
        <v>210</v>
      </c>
      <c r="T134" s="94">
        <v>3</v>
      </c>
      <c r="U134" s="94">
        <v>2</v>
      </c>
      <c r="V134" s="94" t="s">
        <v>210</v>
      </c>
      <c r="W134" s="94" t="s">
        <v>210</v>
      </c>
      <c r="X134" s="94">
        <v>1</v>
      </c>
      <c r="Y134" s="94">
        <v>-5</v>
      </c>
      <c r="Z134" s="94" t="s">
        <v>210</v>
      </c>
      <c r="AA134" s="94" t="s">
        <v>210</v>
      </c>
      <c r="AB134" s="94">
        <v>6</v>
      </c>
      <c r="AC134" s="9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c r="BA134" s="95"/>
    </row>
    <row r="135" spans="1:53" s="87" customFormat="1">
      <c r="A135" s="90" t="str">
        <f t="shared" si="26"/>
        <v/>
      </c>
      <c r="B135" s="98">
        <v>24</v>
      </c>
      <c r="C135" s="94" t="s">
        <v>210</v>
      </c>
      <c r="D135" s="94">
        <v>2</v>
      </c>
      <c r="E135" s="94">
        <v>-5</v>
      </c>
      <c r="F135" s="94" t="s">
        <v>210</v>
      </c>
      <c r="G135" s="94" t="s">
        <v>210</v>
      </c>
      <c r="H135" s="94">
        <v>4</v>
      </c>
      <c r="I135" s="94">
        <v>-3</v>
      </c>
      <c r="J135" s="94" t="s">
        <v>210</v>
      </c>
      <c r="K135" s="94" t="s">
        <v>210</v>
      </c>
      <c r="L135" s="94">
        <v>1</v>
      </c>
      <c r="M135" s="94">
        <v>6</v>
      </c>
      <c r="N135" s="94" t="s">
        <v>210</v>
      </c>
      <c r="O135" s="94">
        <v>7</v>
      </c>
      <c r="P135" s="94" t="s">
        <v>210</v>
      </c>
      <c r="Q135" s="94">
        <v>2</v>
      </c>
      <c r="R135" s="94" t="s">
        <v>210</v>
      </c>
      <c r="S135" s="94" t="s">
        <v>210</v>
      </c>
      <c r="T135" s="94">
        <v>-4</v>
      </c>
      <c r="U135" s="94">
        <v>-5</v>
      </c>
      <c r="V135" s="94" t="s">
        <v>210</v>
      </c>
      <c r="W135" s="94" t="s">
        <v>210</v>
      </c>
      <c r="X135" s="94">
        <v>6</v>
      </c>
      <c r="Y135" s="94">
        <v>-3</v>
      </c>
      <c r="Z135" s="94" t="s">
        <v>210</v>
      </c>
      <c r="AA135" s="94" t="s">
        <v>210</v>
      </c>
      <c r="AB135" s="94">
        <v>-1</v>
      </c>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BA135" s="95"/>
    </row>
    <row r="136" spans="1:53" s="87" customFormat="1">
      <c r="A136" s="90" t="str">
        <f t="shared" si="26"/>
        <v/>
      </c>
      <c r="B136" s="98">
        <v>25</v>
      </c>
      <c r="C136" s="94" t="s">
        <v>210</v>
      </c>
      <c r="D136" s="94">
        <v>4</v>
      </c>
      <c r="E136" s="94">
        <v>-3</v>
      </c>
      <c r="F136" s="94" t="s">
        <v>210</v>
      </c>
      <c r="G136" s="94" t="s">
        <v>210</v>
      </c>
      <c r="H136" s="94">
        <v>-2</v>
      </c>
      <c r="I136" s="94">
        <v>-1</v>
      </c>
      <c r="J136" s="94" t="s">
        <v>210</v>
      </c>
      <c r="K136" s="94" t="s">
        <v>210</v>
      </c>
      <c r="L136" s="94">
        <v>6</v>
      </c>
      <c r="M136" s="94">
        <v>-5</v>
      </c>
      <c r="N136" s="94" t="s">
        <v>210</v>
      </c>
      <c r="O136" s="94" t="s">
        <v>210</v>
      </c>
      <c r="P136" s="94">
        <v>-4</v>
      </c>
      <c r="Q136" s="94">
        <v>-7</v>
      </c>
      <c r="R136" s="94" t="s">
        <v>210</v>
      </c>
      <c r="S136" s="94" t="s">
        <v>210</v>
      </c>
      <c r="T136" s="94">
        <v>6</v>
      </c>
      <c r="U136" s="94">
        <v>3</v>
      </c>
      <c r="V136" s="94" t="s">
        <v>210</v>
      </c>
      <c r="W136" s="94" t="s">
        <v>210</v>
      </c>
      <c r="X136" s="94">
        <v>-2</v>
      </c>
      <c r="Y136" s="94">
        <v>5</v>
      </c>
      <c r="Z136" s="94" t="s">
        <v>210</v>
      </c>
      <c r="AA136" s="94" t="s">
        <v>210</v>
      </c>
      <c r="AB136" s="94">
        <v>1</v>
      </c>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BA136" s="95"/>
    </row>
    <row r="137" spans="1:53" s="87" customFormat="1">
      <c r="A137" s="90" t="str">
        <f t="shared" si="26"/>
        <v/>
      </c>
      <c r="B137" s="98">
        <v>26</v>
      </c>
      <c r="C137" s="94" t="s">
        <v>210</v>
      </c>
      <c r="D137" s="94">
        <v>-6</v>
      </c>
      <c r="E137" s="94">
        <v>1</v>
      </c>
      <c r="F137" s="94" t="s">
        <v>210</v>
      </c>
      <c r="G137" s="94" t="s">
        <v>210</v>
      </c>
      <c r="H137" s="94">
        <v>-5</v>
      </c>
      <c r="I137" s="94">
        <v>4</v>
      </c>
      <c r="J137" s="94" t="s">
        <v>210</v>
      </c>
      <c r="K137" s="94" t="s">
        <v>210</v>
      </c>
      <c r="L137" s="94">
        <v>2</v>
      </c>
      <c r="M137" s="94">
        <v>-3</v>
      </c>
      <c r="N137" s="94" t="s">
        <v>210</v>
      </c>
      <c r="O137" s="94" t="s">
        <v>210</v>
      </c>
      <c r="P137" s="94">
        <v>6</v>
      </c>
      <c r="Q137" s="94">
        <v>1</v>
      </c>
      <c r="R137" s="94" t="s">
        <v>210</v>
      </c>
      <c r="S137" s="94" t="s">
        <v>210</v>
      </c>
      <c r="T137" s="94">
        <v>-5</v>
      </c>
      <c r="U137" s="94">
        <v>-4</v>
      </c>
      <c r="V137" s="94" t="s">
        <v>210</v>
      </c>
      <c r="W137" s="94" t="s">
        <v>210</v>
      </c>
      <c r="X137" s="94">
        <v>2</v>
      </c>
      <c r="Y137" s="94">
        <v>3</v>
      </c>
      <c r="Z137" s="94" t="s">
        <v>210</v>
      </c>
      <c r="AA137" s="94">
        <v>7</v>
      </c>
      <c r="AB137" s="94" t="s">
        <v>210</v>
      </c>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BA137" s="95"/>
    </row>
    <row r="138" spans="1:53" s="87" customFormat="1">
      <c r="A138" s="90" t="str">
        <f t="shared" si="26"/>
        <v/>
      </c>
      <c r="B138" s="98" t="s">
        <v>420</v>
      </c>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BA138" s="95"/>
    </row>
    <row r="139" spans="1:53" s="87" customFormat="1">
      <c r="A139" s="90">
        <f t="shared" si="26"/>
        <v>139</v>
      </c>
      <c r="B139" s="98" t="s">
        <v>421</v>
      </c>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BA139" s="95"/>
    </row>
    <row r="140" spans="1:53" s="87" customFormat="1">
      <c r="A140" s="90" t="str">
        <f t="shared" ref="A140:A203" si="27">IF(MID(B140,3,2)="07",ROW(),"")</f>
        <v/>
      </c>
      <c r="B140" s="98">
        <v>1</v>
      </c>
      <c r="C140" s="94">
        <v>-6</v>
      </c>
      <c r="D140" s="94" t="s">
        <v>210</v>
      </c>
      <c r="E140" s="94" t="s">
        <v>210</v>
      </c>
      <c r="F140" s="94">
        <v>7</v>
      </c>
      <c r="G140" s="94">
        <v>4</v>
      </c>
      <c r="H140" s="94" t="s">
        <v>210</v>
      </c>
      <c r="I140" s="94" t="s">
        <v>210</v>
      </c>
      <c r="J140" s="94">
        <v>6</v>
      </c>
      <c r="K140" s="94">
        <v>-1</v>
      </c>
      <c r="L140" s="94" t="s">
        <v>210</v>
      </c>
      <c r="M140" s="94" t="s">
        <v>210</v>
      </c>
      <c r="N140" s="94">
        <v>5</v>
      </c>
      <c r="O140" s="94">
        <v>-3</v>
      </c>
      <c r="P140" s="94" t="s">
        <v>210</v>
      </c>
      <c r="Q140" s="94" t="s">
        <v>210</v>
      </c>
      <c r="R140" s="94">
        <v>-2</v>
      </c>
      <c r="S140" s="94">
        <v>-4</v>
      </c>
      <c r="T140" s="94" t="s">
        <v>210</v>
      </c>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c r="BA140" s="95"/>
    </row>
    <row r="141" spans="1:53" s="87" customFormat="1">
      <c r="A141" s="90" t="str">
        <f t="shared" si="27"/>
        <v/>
      </c>
      <c r="B141" s="98">
        <v>2</v>
      </c>
      <c r="C141" s="94">
        <v>-2</v>
      </c>
      <c r="D141" s="94" t="s">
        <v>210</v>
      </c>
      <c r="E141" s="94" t="s">
        <v>210</v>
      </c>
      <c r="F141" s="94">
        <v>-6</v>
      </c>
      <c r="G141" s="94">
        <v>-1</v>
      </c>
      <c r="H141" s="94" t="s">
        <v>210</v>
      </c>
      <c r="I141" s="94" t="s">
        <v>210</v>
      </c>
      <c r="J141" s="94">
        <v>2</v>
      </c>
      <c r="K141" s="94">
        <v>5</v>
      </c>
      <c r="L141" s="94" t="s">
        <v>210</v>
      </c>
      <c r="M141" s="94" t="s">
        <v>210</v>
      </c>
      <c r="N141" s="94">
        <v>-7</v>
      </c>
      <c r="O141" s="94">
        <v>6</v>
      </c>
      <c r="P141" s="94" t="s">
        <v>210</v>
      </c>
      <c r="Q141" s="94" t="s">
        <v>210</v>
      </c>
      <c r="R141" s="94">
        <v>1</v>
      </c>
      <c r="S141" s="94">
        <v>4</v>
      </c>
      <c r="T141" s="94" t="s">
        <v>210</v>
      </c>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BA141" s="95"/>
    </row>
    <row r="142" spans="1:53" s="87" customFormat="1">
      <c r="A142" s="90" t="str">
        <f t="shared" si="27"/>
        <v/>
      </c>
      <c r="B142" s="98">
        <v>3</v>
      </c>
      <c r="C142" s="94">
        <v>7</v>
      </c>
      <c r="D142" s="94" t="s">
        <v>210</v>
      </c>
      <c r="E142" s="94" t="s">
        <v>210</v>
      </c>
      <c r="F142" s="94">
        <v>-5</v>
      </c>
      <c r="G142" s="94">
        <v>3</v>
      </c>
      <c r="H142" s="94" t="s">
        <v>210</v>
      </c>
      <c r="I142" s="94" t="s">
        <v>210</v>
      </c>
      <c r="J142" s="94">
        <v>1</v>
      </c>
      <c r="K142" s="94">
        <v>-4</v>
      </c>
      <c r="L142" s="94" t="s">
        <v>210</v>
      </c>
      <c r="M142" s="94" t="s">
        <v>210</v>
      </c>
      <c r="N142" s="94">
        <v>-3</v>
      </c>
      <c r="O142" s="94">
        <v>-6</v>
      </c>
      <c r="P142" s="94" t="s">
        <v>210</v>
      </c>
      <c r="Q142" s="94" t="s">
        <v>210</v>
      </c>
      <c r="R142" s="94">
        <v>2</v>
      </c>
      <c r="S142" s="94">
        <v>5</v>
      </c>
      <c r="T142" s="94" t="s">
        <v>210</v>
      </c>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BA142" s="95"/>
    </row>
    <row r="143" spans="1:53" s="87" customFormat="1">
      <c r="A143" s="90" t="str">
        <f t="shared" si="27"/>
        <v/>
      </c>
      <c r="B143" s="98">
        <v>4</v>
      </c>
      <c r="C143" s="94">
        <v>1</v>
      </c>
      <c r="D143" s="94" t="s">
        <v>210</v>
      </c>
      <c r="E143" s="94" t="s">
        <v>210</v>
      </c>
      <c r="F143" s="94">
        <v>2</v>
      </c>
      <c r="G143" s="94">
        <v>7</v>
      </c>
      <c r="H143" s="94" t="s">
        <v>210</v>
      </c>
      <c r="I143" s="94" t="s">
        <v>210</v>
      </c>
      <c r="J143" s="94">
        <v>-3</v>
      </c>
      <c r="K143" s="94">
        <v>-2</v>
      </c>
      <c r="L143" s="94" t="s">
        <v>210</v>
      </c>
      <c r="M143" s="94" t="s">
        <v>210</v>
      </c>
      <c r="N143" s="94">
        <v>-6</v>
      </c>
      <c r="O143" s="94">
        <v>3</v>
      </c>
      <c r="P143" s="94" t="s">
        <v>210</v>
      </c>
      <c r="Q143" s="94" t="s">
        <v>210</v>
      </c>
      <c r="R143" s="94">
        <v>-1</v>
      </c>
      <c r="S143" s="94">
        <v>-5</v>
      </c>
      <c r="T143" s="94" t="s">
        <v>210</v>
      </c>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BA143" s="95"/>
    </row>
    <row r="144" spans="1:53" s="87" customFormat="1">
      <c r="A144" s="90" t="str">
        <f t="shared" si="27"/>
        <v/>
      </c>
      <c r="B144" s="98">
        <v>5</v>
      </c>
      <c r="C144" s="94">
        <v>2</v>
      </c>
      <c r="D144" s="94" t="s">
        <v>210</v>
      </c>
      <c r="E144" s="94" t="s">
        <v>210</v>
      </c>
      <c r="F144" s="94">
        <v>-3</v>
      </c>
      <c r="G144" s="94">
        <v>-7</v>
      </c>
      <c r="H144" s="94" t="s">
        <v>210</v>
      </c>
      <c r="I144" s="94" t="s">
        <v>210</v>
      </c>
      <c r="J144" s="94">
        <v>-6</v>
      </c>
      <c r="K144" s="94">
        <v>4</v>
      </c>
      <c r="L144" s="94" t="s">
        <v>210</v>
      </c>
      <c r="M144" s="94" t="s">
        <v>210</v>
      </c>
      <c r="N144" s="94">
        <v>-2</v>
      </c>
      <c r="O144" s="94">
        <v>7</v>
      </c>
      <c r="P144" s="94" t="s">
        <v>210</v>
      </c>
      <c r="Q144" s="94" t="s">
        <v>210</v>
      </c>
      <c r="R144" s="94">
        <v>-5</v>
      </c>
      <c r="S144" s="94">
        <v>3</v>
      </c>
      <c r="T144" s="94" t="s">
        <v>210</v>
      </c>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BA144" s="95"/>
    </row>
    <row r="145" spans="1:53" s="87" customFormat="1">
      <c r="A145" s="90" t="str">
        <f t="shared" si="27"/>
        <v/>
      </c>
      <c r="B145" s="98">
        <v>6</v>
      </c>
      <c r="C145" s="94">
        <v>-4</v>
      </c>
      <c r="D145" s="94" t="s">
        <v>210</v>
      </c>
      <c r="E145" s="94" t="s">
        <v>210</v>
      </c>
      <c r="F145" s="94">
        <v>5</v>
      </c>
      <c r="G145" s="94">
        <v>1</v>
      </c>
      <c r="H145" s="94" t="s">
        <v>210</v>
      </c>
      <c r="I145" s="94" t="s">
        <v>210</v>
      </c>
      <c r="J145" s="94">
        <v>3</v>
      </c>
      <c r="K145" s="94">
        <v>-7</v>
      </c>
      <c r="L145" s="94" t="s">
        <v>210</v>
      </c>
      <c r="M145" s="94" t="s">
        <v>210</v>
      </c>
      <c r="N145" s="94">
        <v>-5</v>
      </c>
      <c r="O145" s="94">
        <v>-1</v>
      </c>
      <c r="P145" s="94" t="s">
        <v>210</v>
      </c>
      <c r="Q145" s="94" t="s">
        <v>210</v>
      </c>
      <c r="R145" s="94">
        <v>6</v>
      </c>
      <c r="S145" s="94">
        <v>-3</v>
      </c>
      <c r="T145" s="94" t="s">
        <v>210</v>
      </c>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BA145" s="95"/>
    </row>
    <row r="146" spans="1:53" s="87" customFormat="1">
      <c r="A146" s="90" t="str">
        <f t="shared" si="27"/>
        <v/>
      </c>
      <c r="B146" s="98">
        <v>7</v>
      </c>
      <c r="C146" s="94">
        <v>6</v>
      </c>
      <c r="D146" s="94" t="s">
        <v>210</v>
      </c>
      <c r="E146" s="94" t="s">
        <v>210</v>
      </c>
      <c r="F146" s="94">
        <v>-2</v>
      </c>
      <c r="G146" s="94">
        <v>-3</v>
      </c>
      <c r="H146" s="94" t="s">
        <v>210</v>
      </c>
      <c r="I146" s="94" t="s">
        <v>210</v>
      </c>
      <c r="J146" s="94">
        <v>4</v>
      </c>
      <c r="K146" s="94">
        <v>-5</v>
      </c>
      <c r="L146" s="94" t="s">
        <v>210</v>
      </c>
      <c r="M146" s="94" t="s">
        <v>210</v>
      </c>
      <c r="N146" s="94">
        <v>2</v>
      </c>
      <c r="O146" s="94">
        <v>1</v>
      </c>
      <c r="P146" s="94" t="s">
        <v>210</v>
      </c>
      <c r="Q146" s="94" t="s">
        <v>210</v>
      </c>
      <c r="R146" s="94">
        <v>3</v>
      </c>
      <c r="S146" s="94">
        <v>-6</v>
      </c>
      <c r="T146" s="94" t="s">
        <v>210</v>
      </c>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BA146" s="95"/>
    </row>
    <row r="147" spans="1:53" s="87" customFormat="1">
      <c r="A147" s="90" t="str">
        <f t="shared" si="27"/>
        <v/>
      </c>
      <c r="B147" s="98">
        <v>8</v>
      </c>
      <c r="C147" s="94">
        <v>4</v>
      </c>
      <c r="D147" s="94" t="s">
        <v>210</v>
      </c>
      <c r="E147" s="94" t="s">
        <v>210</v>
      </c>
      <c r="F147" s="94">
        <v>-7</v>
      </c>
      <c r="G147" s="94">
        <v>-5</v>
      </c>
      <c r="H147" s="94" t="s">
        <v>210</v>
      </c>
      <c r="I147" s="94" t="s">
        <v>210</v>
      </c>
      <c r="J147" s="94">
        <v>-1</v>
      </c>
      <c r="K147" s="94">
        <v>2</v>
      </c>
      <c r="L147" s="94" t="s">
        <v>210</v>
      </c>
      <c r="M147" s="94" t="s">
        <v>210</v>
      </c>
      <c r="N147" s="94">
        <v>7</v>
      </c>
      <c r="O147" s="94">
        <v>-4</v>
      </c>
      <c r="P147" s="94" t="s">
        <v>210</v>
      </c>
      <c r="Q147" s="94" t="s">
        <v>210</v>
      </c>
      <c r="R147" s="94">
        <v>5</v>
      </c>
      <c r="S147" s="94">
        <v>6</v>
      </c>
      <c r="T147" s="94" t="s">
        <v>210</v>
      </c>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BA147" s="95"/>
    </row>
    <row r="148" spans="1:53" s="87" customFormat="1">
      <c r="A148" s="90" t="str">
        <f t="shared" si="27"/>
        <v/>
      </c>
      <c r="B148" s="98">
        <v>9</v>
      </c>
      <c r="C148" s="94">
        <v>-7</v>
      </c>
      <c r="D148" s="94" t="s">
        <v>210</v>
      </c>
      <c r="E148" s="94" t="s">
        <v>210</v>
      </c>
      <c r="F148" s="94">
        <v>3</v>
      </c>
      <c r="G148" s="94">
        <v>-4</v>
      </c>
      <c r="H148" s="94" t="s">
        <v>210</v>
      </c>
      <c r="I148" s="94" t="s">
        <v>210</v>
      </c>
      <c r="J148" s="94">
        <v>-2</v>
      </c>
      <c r="K148" s="94">
        <v>7</v>
      </c>
      <c r="L148" s="94" t="s">
        <v>210</v>
      </c>
      <c r="M148" s="94" t="s">
        <v>210</v>
      </c>
      <c r="N148" s="94">
        <v>6</v>
      </c>
      <c r="O148" s="94">
        <v>4</v>
      </c>
      <c r="P148" s="94" t="s">
        <v>210</v>
      </c>
      <c r="Q148" s="94" t="s">
        <v>210</v>
      </c>
      <c r="R148" s="94">
        <v>-3</v>
      </c>
      <c r="S148" s="94">
        <v>2</v>
      </c>
      <c r="T148" s="94" t="s">
        <v>210</v>
      </c>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BA148" s="95"/>
    </row>
    <row r="149" spans="1:53" s="87" customFormat="1">
      <c r="A149" s="90" t="str">
        <f t="shared" si="27"/>
        <v/>
      </c>
      <c r="B149" s="99">
        <v>10</v>
      </c>
      <c r="C149" s="92">
        <v>-1</v>
      </c>
      <c r="D149" s="92" t="s">
        <v>210</v>
      </c>
      <c r="E149" s="92" t="s">
        <v>210</v>
      </c>
      <c r="F149" s="92">
        <v>6</v>
      </c>
      <c r="G149" s="92">
        <v>5</v>
      </c>
      <c r="H149" s="92" t="s">
        <v>210</v>
      </c>
      <c r="I149" s="92" t="s">
        <v>210</v>
      </c>
      <c r="J149" s="92">
        <v>-4</v>
      </c>
      <c r="K149" s="92">
        <v>1</v>
      </c>
      <c r="L149" s="92" t="s">
        <v>210</v>
      </c>
      <c r="M149" s="92" t="s">
        <v>210</v>
      </c>
      <c r="N149" s="92">
        <v>3</v>
      </c>
      <c r="O149" s="92">
        <v>-7</v>
      </c>
      <c r="P149" s="92" t="s">
        <v>210</v>
      </c>
      <c r="Q149" s="92" t="s">
        <v>210</v>
      </c>
      <c r="R149" s="92">
        <v>-6</v>
      </c>
      <c r="S149" s="92">
        <v>-2</v>
      </c>
      <c r="T149" s="92" t="s">
        <v>210</v>
      </c>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BA149" s="95"/>
    </row>
    <row r="150" spans="1:53" s="87" customFormat="1">
      <c r="A150" s="90" t="str">
        <f t="shared" si="27"/>
        <v/>
      </c>
      <c r="B150" s="98">
        <v>11</v>
      </c>
      <c r="C150" s="94" t="s">
        <v>210</v>
      </c>
      <c r="D150" s="94">
        <v>-5</v>
      </c>
      <c r="E150" s="94">
        <v>7</v>
      </c>
      <c r="F150" s="94" t="s">
        <v>210</v>
      </c>
      <c r="G150" s="94" t="s">
        <v>210</v>
      </c>
      <c r="H150" s="94">
        <v>4</v>
      </c>
      <c r="I150" s="94">
        <v>3</v>
      </c>
      <c r="J150" s="94" t="s">
        <v>210</v>
      </c>
      <c r="K150" s="94" t="s">
        <v>210</v>
      </c>
      <c r="L150" s="94">
        <v>-7</v>
      </c>
      <c r="M150" s="94">
        <v>6</v>
      </c>
      <c r="N150" s="94" t="s">
        <v>210</v>
      </c>
      <c r="O150" s="94" t="s">
        <v>210</v>
      </c>
      <c r="P150" s="94">
        <v>-1</v>
      </c>
      <c r="Q150" s="94">
        <v>-2</v>
      </c>
      <c r="R150" s="94" t="s">
        <v>210</v>
      </c>
      <c r="S150" s="94" t="s">
        <v>210</v>
      </c>
      <c r="T150" s="94">
        <v>-3</v>
      </c>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c r="AW150" s="94"/>
      <c r="AX150" s="94"/>
      <c r="AY150" s="94"/>
      <c r="BA150" s="95"/>
    </row>
    <row r="151" spans="1:53" s="87" customFormat="1">
      <c r="A151" s="90" t="str">
        <f t="shared" si="27"/>
        <v/>
      </c>
      <c r="B151" s="98">
        <v>12</v>
      </c>
      <c r="C151" s="94" t="s">
        <v>210</v>
      </c>
      <c r="D151" s="94">
        <v>-4</v>
      </c>
      <c r="E151" s="94">
        <v>6</v>
      </c>
      <c r="F151" s="94" t="s">
        <v>210</v>
      </c>
      <c r="G151" s="94" t="s">
        <v>210</v>
      </c>
      <c r="H151" s="94">
        <v>-5</v>
      </c>
      <c r="I151" s="94">
        <v>7</v>
      </c>
      <c r="J151" s="94" t="s">
        <v>210</v>
      </c>
      <c r="K151" s="94" t="s">
        <v>210</v>
      </c>
      <c r="L151" s="94">
        <v>-6</v>
      </c>
      <c r="M151" s="94">
        <v>-1</v>
      </c>
      <c r="N151" s="94" t="s">
        <v>210</v>
      </c>
      <c r="O151" s="94" t="s">
        <v>210</v>
      </c>
      <c r="P151" s="94">
        <v>4</v>
      </c>
      <c r="Q151" s="94">
        <v>5</v>
      </c>
      <c r="R151" s="94" t="s">
        <v>210</v>
      </c>
      <c r="S151" s="94" t="s">
        <v>210</v>
      </c>
      <c r="T151" s="94">
        <v>3</v>
      </c>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BA151" s="95"/>
    </row>
    <row r="152" spans="1:53" s="87" customFormat="1">
      <c r="A152" s="90" t="str">
        <f t="shared" si="27"/>
        <v/>
      </c>
      <c r="B152" s="98">
        <v>13</v>
      </c>
      <c r="C152" s="94" t="s">
        <v>210</v>
      </c>
      <c r="D152" s="94">
        <v>-2</v>
      </c>
      <c r="E152" s="94">
        <v>-3</v>
      </c>
      <c r="F152" s="94" t="s">
        <v>210</v>
      </c>
      <c r="G152" s="94" t="s">
        <v>210</v>
      </c>
      <c r="H152" s="94">
        <v>-6</v>
      </c>
      <c r="I152" s="94">
        <v>1</v>
      </c>
      <c r="J152" s="94" t="s">
        <v>210</v>
      </c>
      <c r="K152" s="94" t="s">
        <v>210</v>
      </c>
      <c r="L152" s="94">
        <v>5</v>
      </c>
      <c r="M152" s="94">
        <v>3</v>
      </c>
      <c r="N152" s="94" t="s">
        <v>210</v>
      </c>
      <c r="O152" s="94" t="s">
        <v>210</v>
      </c>
      <c r="P152" s="94">
        <v>-4</v>
      </c>
      <c r="Q152" s="94">
        <v>2</v>
      </c>
      <c r="R152" s="94" t="s">
        <v>210</v>
      </c>
      <c r="S152" s="94" t="s">
        <v>210</v>
      </c>
      <c r="T152" s="94">
        <v>6</v>
      </c>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BA152" s="95"/>
    </row>
    <row r="153" spans="1:53" s="87" customFormat="1">
      <c r="A153" s="90" t="str">
        <f t="shared" si="27"/>
        <v/>
      </c>
      <c r="B153" s="98">
        <v>14</v>
      </c>
      <c r="C153" s="94">
        <v>5</v>
      </c>
      <c r="D153" s="94" t="s">
        <v>210</v>
      </c>
      <c r="E153" s="94" t="s">
        <v>210</v>
      </c>
      <c r="F153" s="94">
        <v>4</v>
      </c>
      <c r="G153" s="94" t="s">
        <v>210</v>
      </c>
      <c r="H153" s="94">
        <v>-3</v>
      </c>
      <c r="I153" s="94">
        <v>6</v>
      </c>
      <c r="J153" s="94" t="s">
        <v>210</v>
      </c>
      <c r="K153" s="94" t="s">
        <v>210</v>
      </c>
      <c r="L153" s="94">
        <v>-2</v>
      </c>
      <c r="M153" s="94">
        <v>-4</v>
      </c>
      <c r="N153" s="94" t="s">
        <v>210</v>
      </c>
      <c r="O153" s="94" t="s">
        <v>210</v>
      </c>
      <c r="P153" s="94">
        <v>1</v>
      </c>
      <c r="Q153" s="94">
        <v>-5</v>
      </c>
      <c r="R153" s="94" t="s">
        <v>210</v>
      </c>
      <c r="S153" s="94" t="s">
        <v>210</v>
      </c>
      <c r="T153" s="94">
        <v>-6</v>
      </c>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BA153" s="95"/>
    </row>
    <row r="154" spans="1:53" s="87" customFormat="1">
      <c r="A154" s="90" t="str">
        <f t="shared" si="27"/>
        <v/>
      </c>
      <c r="B154" s="98">
        <v>15</v>
      </c>
      <c r="C154" s="94" t="s">
        <v>210</v>
      </c>
      <c r="D154" s="94">
        <v>6</v>
      </c>
      <c r="E154" s="94">
        <v>-4</v>
      </c>
      <c r="F154" s="94" t="s">
        <v>210</v>
      </c>
      <c r="G154" s="94" t="s">
        <v>210</v>
      </c>
      <c r="H154" s="94">
        <v>3</v>
      </c>
      <c r="I154" s="94">
        <v>-7</v>
      </c>
      <c r="J154" s="94" t="s">
        <v>210</v>
      </c>
      <c r="K154" s="94" t="s">
        <v>210</v>
      </c>
      <c r="L154" s="94">
        <v>-5</v>
      </c>
      <c r="M154" s="94">
        <v>-6</v>
      </c>
      <c r="N154" s="94" t="s">
        <v>210</v>
      </c>
      <c r="O154" s="94" t="s">
        <v>210</v>
      </c>
      <c r="P154" s="94">
        <v>2</v>
      </c>
      <c r="Q154" s="94">
        <v>1</v>
      </c>
      <c r="R154" s="94" t="s">
        <v>210</v>
      </c>
      <c r="S154" s="94" t="s">
        <v>210</v>
      </c>
      <c r="T154" s="94">
        <v>4</v>
      </c>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c r="BA154" s="95"/>
    </row>
    <row r="155" spans="1:53" s="87" customFormat="1">
      <c r="A155" s="90" t="str">
        <f t="shared" si="27"/>
        <v/>
      </c>
      <c r="B155" s="98">
        <v>16</v>
      </c>
      <c r="C155" s="94" t="s">
        <v>210</v>
      </c>
      <c r="D155" s="94">
        <v>-1</v>
      </c>
      <c r="E155" s="94">
        <v>5</v>
      </c>
      <c r="F155" s="94" t="s">
        <v>210</v>
      </c>
      <c r="G155" s="94" t="s">
        <v>210</v>
      </c>
      <c r="H155" s="94">
        <v>6</v>
      </c>
      <c r="I155" s="94">
        <v>-3</v>
      </c>
      <c r="J155" s="94" t="s">
        <v>210</v>
      </c>
      <c r="K155" s="94" t="s">
        <v>210</v>
      </c>
      <c r="L155" s="94">
        <v>2</v>
      </c>
      <c r="M155" s="94">
        <v>1</v>
      </c>
      <c r="N155" s="94" t="s">
        <v>210</v>
      </c>
      <c r="O155" s="94" t="s">
        <v>210</v>
      </c>
      <c r="P155" s="94">
        <v>-6</v>
      </c>
      <c r="Q155" s="94">
        <v>7</v>
      </c>
      <c r="R155" s="94" t="s">
        <v>210</v>
      </c>
      <c r="S155" s="94" t="s">
        <v>210</v>
      </c>
      <c r="T155" s="94">
        <v>-4</v>
      </c>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BA155" s="95"/>
    </row>
    <row r="156" spans="1:53" s="87" customFormat="1">
      <c r="A156" s="90" t="str">
        <f t="shared" si="27"/>
        <v/>
      </c>
      <c r="B156" s="98">
        <v>17</v>
      </c>
      <c r="C156" s="94">
        <v>3</v>
      </c>
      <c r="D156" s="94" t="s">
        <v>210</v>
      </c>
      <c r="E156" s="94">
        <v>1</v>
      </c>
      <c r="F156" s="94" t="s">
        <v>210</v>
      </c>
      <c r="G156" s="94" t="s">
        <v>210</v>
      </c>
      <c r="H156" s="94">
        <v>5</v>
      </c>
      <c r="I156" s="94">
        <v>-6</v>
      </c>
      <c r="J156" s="94" t="s">
        <v>210</v>
      </c>
      <c r="K156" s="94" t="s">
        <v>210</v>
      </c>
      <c r="L156" s="94">
        <v>7</v>
      </c>
      <c r="M156" s="94">
        <v>-3</v>
      </c>
      <c r="N156" s="94" t="s">
        <v>210</v>
      </c>
      <c r="O156" s="94" t="s">
        <v>210</v>
      </c>
      <c r="P156" s="94">
        <v>6</v>
      </c>
      <c r="Q156" s="94">
        <v>-1</v>
      </c>
      <c r="R156" s="94" t="s">
        <v>210</v>
      </c>
      <c r="S156" s="94" t="s">
        <v>210</v>
      </c>
      <c r="T156" s="94">
        <v>-5</v>
      </c>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BA156" s="95"/>
    </row>
    <row r="157" spans="1:53" s="87" customFormat="1">
      <c r="A157" s="90" t="str">
        <f t="shared" si="27"/>
        <v/>
      </c>
      <c r="B157" s="99">
        <v>18</v>
      </c>
      <c r="C157" s="92" t="s">
        <v>210</v>
      </c>
      <c r="D157" s="92">
        <v>-3</v>
      </c>
      <c r="E157" s="92">
        <v>2</v>
      </c>
      <c r="F157" s="92" t="s">
        <v>210</v>
      </c>
      <c r="G157" s="92" t="s">
        <v>210</v>
      </c>
      <c r="H157" s="92">
        <v>-4</v>
      </c>
      <c r="I157" s="92">
        <v>-1</v>
      </c>
      <c r="J157" s="92" t="s">
        <v>210</v>
      </c>
      <c r="K157" s="92" t="s">
        <v>210</v>
      </c>
      <c r="L157" s="92">
        <v>6</v>
      </c>
      <c r="M157" s="92">
        <v>4</v>
      </c>
      <c r="N157" s="92" t="s">
        <v>210</v>
      </c>
      <c r="O157" s="92" t="s">
        <v>210</v>
      </c>
      <c r="P157" s="92">
        <v>-2</v>
      </c>
      <c r="Q157" s="92">
        <v>-7</v>
      </c>
      <c r="R157" s="92" t="s">
        <v>210</v>
      </c>
      <c r="S157" s="92" t="s">
        <v>210</v>
      </c>
      <c r="T157" s="92">
        <v>5</v>
      </c>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c r="AW157" s="94"/>
      <c r="AX157" s="94"/>
      <c r="AY157" s="94"/>
      <c r="BA157" s="95"/>
    </row>
    <row r="158" spans="1:53" s="87" customFormat="1">
      <c r="A158" s="90" t="str">
        <f t="shared" si="27"/>
        <v/>
      </c>
      <c r="B158" s="98">
        <v>19</v>
      </c>
      <c r="C158" s="94" t="s">
        <v>210</v>
      </c>
      <c r="D158" s="94">
        <v>5</v>
      </c>
      <c r="E158" s="94">
        <v>-6</v>
      </c>
      <c r="F158" s="94" t="s">
        <v>210</v>
      </c>
      <c r="G158" s="94">
        <v>2</v>
      </c>
      <c r="H158" s="94" t="s">
        <v>210</v>
      </c>
      <c r="I158" s="94">
        <v>4</v>
      </c>
      <c r="J158" s="94" t="s">
        <v>210</v>
      </c>
      <c r="K158" s="94">
        <v>6</v>
      </c>
      <c r="L158" s="94" t="s">
        <v>210</v>
      </c>
      <c r="M158" s="94">
        <v>-5</v>
      </c>
      <c r="N158" s="94" t="s">
        <v>210</v>
      </c>
      <c r="O158" s="94" t="s">
        <v>210</v>
      </c>
      <c r="P158" s="94">
        <v>3</v>
      </c>
      <c r="Q158" s="94">
        <v>-4</v>
      </c>
      <c r="R158" s="94" t="s">
        <v>210</v>
      </c>
      <c r="S158" s="94" t="s">
        <v>210</v>
      </c>
      <c r="T158" s="94">
        <v>-2</v>
      </c>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BA158" s="95"/>
    </row>
    <row r="159" spans="1:53" s="87" customFormat="1">
      <c r="A159" s="90" t="str">
        <f t="shared" si="27"/>
        <v/>
      </c>
      <c r="B159" s="98">
        <v>20</v>
      </c>
      <c r="C159" s="94" t="s">
        <v>210</v>
      </c>
      <c r="D159" s="94">
        <v>4</v>
      </c>
      <c r="E159" s="94">
        <v>-7</v>
      </c>
      <c r="F159" s="94" t="s">
        <v>210</v>
      </c>
      <c r="G159" s="94">
        <v>6</v>
      </c>
      <c r="H159" s="94" t="s">
        <v>210</v>
      </c>
      <c r="I159" s="94">
        <v>-2</v>
      </c>
      <c r="J159" s="94" t="s">
        <v>210</v>
      </c>
      <c r="K159" s="94" t="s">
        <v>210</v>
      </c>
      <c r="L159" s="94">
        <v>-4</v>
      </c>
      <c r="M159" s="94">
        <v>7</v>
      </c>
      <c r="N159" s="94" t="s">
        <v>210</v>
      </c>
      <c r="O159" s="94" t="s">
        <v>210</v>
      </c>
      <c r="P159" s="94">
        <v>-5</v>
      </c>
      <c r="Q159" s="94">
        <v>3</v>
      </c>
      <c r="R159" s="94" t="s">
        <v>210</v>
      </c>
      <c r="S159" s="94" t="s">
        <v>210</v>
      </c>
      <c r="T159" s="94">
        <v>2</v>
      </c>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BA159" s="95"/>
    </row>
    <row r="160" spans="1:53" s="87" customFormat="1">
      <c r="A160" s="90" t="str">
        <f t="shared" si="27"/>
        <v/>
      </c>
      <c r="B160" s="98">
        <v>21</v>
      </c>
      <c r="C160" s="94" t="s">
        <v>210</v>
      </c>
      <c r="D160" s="94">
        <v>2</v>
      </c>
      <c r="E160" s="94" t="s">
        <v>210</v>
      </c>
      <c r="F160" s="94">
        <v>-4</v>
      </c>
      <c r="G160" s="94">
        <v>-6</v>
      </c>
      <c r="H160" s="94" t="s">
        <v>210</v>
      </c>
      <c r="I160" s="94" t="s">
        <v>210</v>
      </c>
      <c r="J160" s="94">
        <v>5</v>
      </c>
      <c r="K160" s="94" t="s">
        <v>210</v>
      </c>
      <c r="L160" s="94">
        <v>-3</v>
      </c>
      <c r="M160" s="94">
        <v>-2</v>
      </c>
      <c r="N160" s="94" t="s">
        <v>210</v>
      </c>
      <c r="O160" s="94">
        <v>-5</v>
      </c>
      <c r="P160" s="94" t="s">
        <v>210</v>
      </c>
      <c r="Q160" s="94">
        <v>4</v>
      </c>
      <c r="R160" s="94" t="s">
        <v>210</v>
      </c>
      <c r="S160" s="94" t="s">
        <v>210</v>
      </c>
      <c r="T160" s="94">
        <v>1</v>
      </c>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BA160" s="95"/>
    </row>
    <row r="161" spans="1:53" s="87" customFormat="1">
      <c r="A161" s="90" t="str">
        <f t="shared" si="27"/>
        <v/>
      </c>
      <c r="B161" s="98">
        <v>22</v>
      </c>
      <c r="C161" s="94">
        <v>-5</v>
      </c>
      <c r="D161" s="94" t="s">
        <v>210</v>
      </c>
      <c r="E161" s="94">
        <v>3</v>
      </c>
      <c r="F161" s="94" t="s">
        <v>210</v>
      </c>
      <c r="G161" s="94" t="s">
        <v>210</v>
      </c>
      <c r="H161" s="94">
        <v>-2</v>
      </c>
      <c r="I161" s="94">
        <v>5</v>
      </c>
      <c r="J161" s="94" t="s">
        <v>210</v>
      </c>
      <c r="K161" s="94">
        <v>-6</v>
      </c>
      <c r="L161" s="94" t="s">
        <v>210</v>
      </c>
      <c r="M161" s="94" t="s">
        <v>210</v>
      </c>
      <c r="N161" s="94">
        <v>4</v>
      </c>
      <c r="O161" s="94">
        <v>2</v>
      </c>
      <c r="P161" s="94" t="s">
        <v>210</v>
      </c>
      <c r="Q161" s="94">
        <v>-3</v>
      </c>
      <c r="R161" s="94" t="s">
        <v>210</v>
      </c>
      <c r="S161" s="94" t="s">
        <v>210</v>
      </c>
      <c r="T161" s="94">
        <v>-1</v>
      </c>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BA161" s="95"/>
    </row>
    <row r="162" spans="1:53" s="87" customFormat="1">
      <c r="A162" s="90" t="str">
        <f t="shared" si="27"/>
        <v/>
      </c>
      <c r="B162" s="98">
        <v>23</v>
      </c>
      <c r="C162" s="94" t="s">
        <v>210</v>
      </c>
      <c r="D162" s="94">
        <v>1</v>
      </c>
      <c r="E162" s="94">
        <v>4</v>
      </c>
      <c r="F162" s="94" t="s">
        <v>210</v>
      </c>
      <c r="G162" s="94">
        <v>-2</v>
      </c>
      <c r="H162" s="94" t="s">
        <v>210</v>
      </c>
      <c r="I162" s="94" t="s">
        <v>210</v>
      </c>
      <c r="J162" s="94">
        <v>-5</v>
      </c>
      <c r="K162" s="94">
        <v>3</v>
      </c>
      <c r="L162" s="94" t="s">
        <v>210</v>
      </c>
      <c r="M162" s="94" t="s">
        <v>210</v>
      </c>
      <c r="N162" s="94">
        <v>-4</v>
      </c>
      <c r="O162" s="94" t="s">
        <v>210</v>
      </c>
      <c r="P162" s="94">
        <v>5</v>
      </c>
      <c r="Q162" s="94">
        <v>-6</v>
      </c>
      <c r="R162" s="94" t="s">
        <v>210</v>
      </c>
      <c r="S162" s="94">
        <v>-7</v>
      </c>
      <c r="T162" s="94" t="s">
        <v>210</v>
      </c>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BA162" s="95"/>
    </row>
    <row r="163" spans="1:53" s="87" customFormat="1">
      <c r="A163" s="90" t="str">
        <f t="shared" si="27"/>
        <v/>
      </c>
      <c r="B163" s="98">
        <v>24</v>
      </c>
      <c r="C163" s="94">
        <v>-3</v>
      </c>
      <c r="D163" s="94" t="s">
        <v>210</v>
      </c>
      <c r="E163" s="94">
        <v>-5</v>
      </c>
      <c r="F163" s="94" t="s">
        <v>210</v>
      </c>
      <c r="G163" s="94" t="s">
        <v>210</v>
      </c>
      <c r="H163" s="94">
        <v>-1</v>
      </c>
      <c r="I163" s="94">
        <v>2</v>
      </c>
      <c r="J163" s="94" t="s">
        <v>210</v>
      </c>
      <c r="K163" s="94" t="s">
        <v>210</v>
      </c>
      <c r="L163" s="94">
        <v>3</v>
      </c>
      <c r="M163" s="94">
        <v>5</v>
      </c>
      <c r="N163" s="94" t="s">
        <v>210</v>
      </c>
      <c r="O163" s="94">
        <v>-2</v>
      </c>
      <c r="P163" s="94" t="s">
        <v>210</v>
      </c>
      <c r="Q163" s="94" t="s">
        <v>210</v>
      </c>
      <c r="R163" s="94">
        <v>-4</v>
      </c>
      <c r="S163" s="94">
        <v>7</v>
      </c>
      <c r="T163" s="94" t="s">
        <v>210</v>
      </c>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BA163" s="95"/>
    </row>
    <row r="164" spans="1:53" s="87" customFormat="1">
      <c r="A164" s="90" t="str">
        <f t="shared" si="27"/>
        <v/>
      </c>
      <c r="B164" s="98">
        <v>25</v>
      </c>
      <c r="C164" s="94" t="s">
        <v>210</v>
      </c>
      <c r="D164" s="94">
        <v>3</v>
      </c>
      <c r="E164" s="94">
        <v>-1</v>
      </c>
      <c r="F164" s="94" t="s">
        <v>210</v>
      </c>
      <c r="G164" s="94" t="s">
        <v>210</v>
      </c>
      <c r="H164" s="94">
        <v>2</v>
      </c>
      <c r="I164" s="94">
        <v>-4</v>
      </c>
      <c r="J164" s="94" t="s">
        <v>210</v>
      </c>
      <c r="K164" s="94">
        <v>-3</v>
      </c>
      <c r="L164" s="94" t="s">
        <v>210</v>
      </c>
      <c r="M164" s="94">
        <v>-7</v>
      </c>
      <c r="N164" s="94" t="s">
        <v>210</v>
      </c>
      <c r="O164" s="94">
        <v>5</v>
      </c>
      <c r="P164" s="94" t="s">
        <v>210</v>
      </c>
      <c r="Q164" s="94" t="s">
        <v>210</v>
      </c>
      <c r="R164" s="94">
        <v>4</v>
      </c>
      <c r="S164" s="94">
        <v>1</v>
      </c>
      <c r="T164" s="94" t="s">
        <v>210</v>
      </c>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BA164" s="95"/>
    </row>
    <row r="165" spans="1:53" s="87" customFormat="1">
      <c r="A165" s="90" t="str">
        <f t="shared" si="27"/>
        <v/>
      </c>
      <c r="B165" s="98">
        <v>26</v>
      </c>
      <c r="C165" s="94" t="s">
        <v>210</v>
      </c>
      <c r="D165" s="94">
        <v>-6</v>
      </c>
      <c r="E165" s="94">
        <v>-2</v>
      </c>
      <c r="F165" s="94" t="s">
        <v>210</v>
      </c>
      <c r="G165" s="94" t="s">
        <v>210</v>
      </c>
      <c r="H165" s="94">
        <v>1</v>
      </c>
      <c r="I165" s="94">
        <v>-5</v>
      </c>
      <c r="J165" s="94" t="s">
        <v>210</v>
      </c>
      <c r="K165" s="94" t="s">
        <v>210</v>
      </c>
      <c r="L165" s="94">
        <v>4</v>
      </c>
      <c r="M165" s="94">
        <v>2</v>
      </c>
      <c r="N165" s="94" t="s">
        <v>210</v>
      </c>
      <c r="O165" s="94" t="s">
        <v>210</v>
      </c>
      <c r="P165" s="94">
        <v>-3</v>
      </c>
      <c r="Q165" s="94">
        <v>6</v>
      </c>
      <c r="R165" s="94" t="s">
        <v>210</v>
      </c>
      <c r="S165" s="94">
        <v>-1</v>
      </c>
      <c r="T165" s="94" t="s">
        <v>210</v>
      </c>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BA165" s="95"/>
    </row>
    <row r="166" spans="1:53" s="87" customFormat="1">
      <c r="A166" s="90" t="str">
        <f t="shared" si="27"/>
        <v/>
      </c>
      <c r="B166" s="98" t="s">
        <v>422</v>
      </c>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c r="AW166" s="94"/>
      <c r="AX166" s="94"/>
      <c r="AY166" s="94"/>
      <c r="BA166" s="95"/>
    </row>
    <row r="167" spans="1:53" s="87" customFormat="1">
      <c r="A167" s="90">
        <f t="shared" si="27"/>
        <v>167</v>
      </c>
      <c r="B167" s="98" t="s">
        <v>423</v>
      </c>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BA167" s="95"/>
    </row>
    <row r="168" spans="1:53" s="87" customFormat="1">
      <c r="A168" s="90" t="str">
        <f t="shared" si="27"/>
        <v/>
      </c>
      <c r="B168" s="98">
        <v>1</v>
      </c>
      <c r="C168" s="94">
        <v>3</v>
      </c>
      <c r="D168" s="94" t="s">
        <v>210</v>
      </c>
      <c r="E168" s="94" t="s">
        <v>210</v>
      </c>
      <c r="F168" s="94">
        <v>-6</v>
      </c>
      <c r="G168" s="94">
        <v>7</v>
      </c>
      <c r="H168" s="94" t="s">
        <v>210</v>
      </c>
      <c r="I168" s="94" t="s">
        <v>210</v>
      </c>
      <c r="J168" s="94">
        <v>5</v>
      </c>
      <c r="K168" s="94">
        <v>-2</v>
      </c>
      <c r="L168" s="94" t="s">
        <v>210</v>
      </c>
      <c r="M168" s="94" t="s">
        <v>210</v>
      </c>
      <c r="N168" s="94">
        <v>1</v>
      </c>
      <c r="O168" s="94">
        <v>-4</v>
      </c>
      <c r="P168" s="94" t="s">
        <v>210</v>
      </c>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BA168" s="95"/>
    </row>
    <row r="169" spans="1:53" s="87" customFormat="1">
      <c r="A169" s="90" t="str">
        <f t="shared" si="27"/>
        <v/>
      </c>
      <c r="B169" s="98">
        <v>2</v>
      </c>
      <c r="C169" s="94">
        <v>1</v>
      </c>
      <c r="D169" s="94" t="s">
        <v>210</v>
      </c>
      <c r="E169" s="94" t="s">
        <v>210</v>
      </c>
      <c r="F169" s="94">
        <v>3</v>
      </c>
      <c r="G169" s="94">
        <v>-2</v>
      </c>
      <c r="H169" s="94" t="s">
        <v>210</v>
      </c>
      <c r="I169" s="94" t="s">
        <v>210</v>
      </c>
      <c r="J169" s="94">
        <v>-6</v>
      </c>
      <c r="K169" s="94">
        <v>5</v>
      </c>
      <c r="L169" s="94" t="s">
        <v>210</v>
      </c>
      <c r="M169" s="94" t="s">
        <v>210</v>
      </c>
      <c r="N169" s="94">
        <v>-7</v>
      </c>
      <c r="O169" s="94">
        <v>4</v>
      </c>
      <c r="P169" s="94" t="s">
        <v>210</v>
      </c>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BA169" s="95"/>
    </row>
    <row r="170" spans="1:53" s="87" customFormat="1">
      <c r="A170" s="90" t="str">
        <f t="shared" si="27"/>
        <v/>
      </c>
      <c r="B170" s="98">
        <v>3</v>
      </c>
      <c r="C170" s="94">
        <v>-1</v>
      </c>
      <c r="D170" s="94" t="s">
        <v>210</v>
      </c>
      <c r="E170" s="94" t="s">
        <v>210</v>
      </c>
      <c r="F170" s="94">
        <v>6</v>
      </c>
      <c r="G170" s="94">
        <v>3</v>
      </c>
      <c r="H170" s="94" t="s">
        <v>210</v>
      </c>
      <c r="I170" s="94" t="s">
        <v>210</v>
      </c>
      <c r="J170" s="94">
        <v>-2</v>
      </c>
      <c r="K170" s="94">
        <v>-7</v>
      </c>
      <c r="L170" s="94" t="s">
        <v>210</v>
      </c>
      <c r="M170" s="94" t="s">
        <v>210</v>
      </c>
      <c r="N170" s="94">
        <v>4</v>
      </c>
      <c r="O170" s="94">
        <v>5</v>
      </c>
      <c r="P170" s="94" t="s">
        <v>210</v>
      </c>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BA170" s="95"/>
    </row>
    <row r="171" spans="1:53" s="87" customFormat="1">
      <c r="A171" s="90" t="str">
        <f t="shared" si="27"/>
        <v/>
      </c>
      <c r="B171" s="98">
        <v>4</v>
      </c>
      <c r="C171" s="94">
        <v>-3</v>
      </c>
      <c r="D171" s="94" t="s">
        <v>210</v>
      </c>
      <c r="E171" s="94" t="s">
        <v>210</v>
      </c>
      <c r="F171" s="94">
        <v>-7</v>
      </c>
      <c r="G171" s="94">
        <v>2</v>
      </c>
      <c r="H171" s="94" t="s">
        <v>210</v>
      </c>
      <c r="I171" s="94" t="s">
        <v>210</v>
      </c>
      <c r="J171" s="94">
        <v>4</v>
      </c>
      <c r="K171" s="94">
        <v>-1</v>
      </c>
      <c r="L171" s="94" t="s">
        <v>210</v>
      </c>
      <c r="M171" s="94" t="s">
        <v>210</v>
      </c>
      <c r="N171" s="94">
        <v>6</v>
      </c>
      <c r="O171" s="94">
        <v>-5</v>
      </c>
      <c r="P171" s="94" t="s">
        <v>210</v>
      </c>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BA171" s="95"/>
    </row>
    <row r="172" spans="1:53" s="87" customFormat="1">
      <c r="A172" s="90" t="str">
        <f t="shared" si="27"/>
        <v/>
      </c>
      <c r="B172" s="98">
        <v>5</v>
      </c>
      <c r="C172" s="94">
        <v>2</v>
      </c>
      <c r="D172" s="94" t="s">
        <v>210</v>
      </c>
      <c r="E172" s="94" t="s">
        <v>210</v>
      </c>
      <c r="F172" s="94">
        <v>-5</v>
      </c>
      <c r="G172" s="94">
        <v>-7</v>
      </c>
      <c r="H172" s="94" t="s">
        <v>210</v>
      </c>
      <c r="I172" s="94" t="s">
        <v>210</v>
      </c>
      <c r="J172" s="94">
        <v>6</v>
      </c>
      <c r="K172" s="94">
        <v>1</v>
      </c>
      <c r="L172" s="94" t="s">
        <v>210</v>
      </c>
      <c r="M172" s="94" t="s">
        <v>210</v>
      </c>
      <c r="N172" s="94">
        <v>-4</v>
      </c>
      <c r="O172" s="94">
        <v>-3</v>
      </c>
      <c r="P172" s="94" t="s">
        <v>210</v>
      </c>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BA172" s="95"/>
    </row>
    <row r="173" spans="1:53" s="87" customFormat="1">
      <c r="A173" s="90" t="str">
        <f t="shared" si="27"/>
        <v/>
      </c>
      <c r="B173" s="98">
        <v>6</v>
      </c>
      <c r="C173" s="94">
        <v>-6</v>
      </c>
      <c r="D173" s="94" t="s">
        <v>210</v>
      </c>
      <c r="E173" s="94" t="s">
        <v>210</v>
      </c>
      <c r="F173" s="94">
        <v>7</v>
      </c>
      <c r="G173" s="94">
        <v>-4</v>
      </c>
      <c r="H173" s="94" t="s">
        <v>210</v>
      </c>
      <c r="I173" s="94" t="s">
        <v>210</v>
      </c>
      <c r="J173" s="94">
        <v>2</v>
      </c>
      <c r="K173" s="94">
        <v>-5</v>
      </c>
      <c r="L173" s="94" t="s">
        <v>210</v>
      </c>
      <c r="M173" s="94" t="s">
        <v>210</v>
      </c>
      <c r="N173" s="94">
        <v>-1</v>
      </c>
      <c r="O173" s="94">
        <v>3</v>
      </c>
      <c r="P173" s="94" t="s">
        <v>210</v>
      </c>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BA173" s="95"/>
    </row>
    <row r="174" spans="1:53" s="87" customFormat="1">
      <c r="A174" s="90" t="str">
        <f t="shared" si="27"/>
        <v/>
      </c>
      <c r="B174" s="99">
        <v>7</v>
      </c>
      <c r="C174" s="92">
        <v>-2</v>
      </c>
      <c r="D174" s="92" t="s">
        <v>210</v>
      </c>
      <c r="E174" s="92" t="s">
        <v>210</v>
      </c>
      <c r="F174" s="92">
        <v>-3</v>
      </c>
      <c r="G174" s="92">
        <v>4</v>
      </c>
      <c r="H174" s="92" t="s">
        <v>210</v>
      </c>
      <c r="I174" s="92" t="s">
        <v>210</v>
      </c>
      <c r="J174" s="92">
        <v>-5</v>
      </c>
      <c r="K174" s="92">
        <v>7</v>
      </c>
      <c r="L174" s="92" t="s">
        <v>210</v>
      </c>
      <c r="M174" s="92" t="s">
        <v>210</v>
      </c>
      <c r="N174" s="92">
        <v>-6</v>
      </c>
      <c r="O174" s="92">
        <v>1</v>
      </c>
      <c r="P174" s="92" t="s">
        <v>210</v>
      </c>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BA174" s="95"/>
    </row>
    <row r="175" spans="1:53" s="87" customFormat="1">
      <c r="A175" s="90" t="str">
        <f t="shared" si="27"/>
        <v/>
      </c>
      <c r="B175" s="98">
        <v>8</v>
      </c>
      <c r="C175" s="94">
        <v>7</v>
      </c>
      <c r="D175" s="94" t="s">
        <v>210</v>
      </c>
      <c r="E175" s="94" t="s">
        <v>210</v>
      </c>
      <c r="F175" s="94">
        <v>-4</v>
      </c>
      <c r="G175" s="94">
        <v>1</v>
      </c>
      <c r="H175" s="94" t="s">
        <v>210</v>
      </c>
      <c r="I175" s="94" t="s">
        <v>210</v>
      </c>
      <c r="J175" s="94">
        <v>-3</v>
      </c>
      <c r="K175" s="94">
        <v>2</v>
      </c>
      <c r="L175" s="94" t="s">
        <v>210</v>
      </c>
      <c r="M175" s="94" t="s">
        <v>210</v>
      </c>
      <c r="N175" s="94">
        <v>-5</v>
      </c>
      <c r="O175" s="94">
        <v>-6</v>
      </c>
      <c r="P175" s="94" t="s">
        <v>210</v>
      </c>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BA175" s="95"/>
    </row>
    <row r="176" spans="1:53" s="87" customFormat="1">
      <c r="A176" s="90" t="str">
        <f t="shared" si="27"/>
        <v/>
      </c>
      <c r="B176" s="98">
        <v>9</v>
      </c>
      <c r="C176" s="94">
        <v>4</v>
      </c>
      <c r="D176" s="94" t="s">
        <v>210</v>
      </c>
      <c r="E176" s="94" t="s">
        <v>210</v>
      </c>
      <c r="F176" s="94">
        <v>-2</v>
      </c>
      <c r="G176" s="94">
        <v>5</v>
      </c>
      <c r="H176" s="94" t="s">
        <v>210</v>
      </c>
      <c r="I176" s="94" t="s">
        <v>210</v>
      </c>
      <c r="J176" s="94">
        <v>-1</v>
      </c>
      <c r="K176" s="94">
        <v>-3</v>
      </c>
      <c r="L176" s="94" t="s">
        <v>210</v>
      </c>
      <c r="M176" s="94" t="s">
        <v>210</v>
      </c>
      <c r="N176" s="94">
        <v>7</v>
      </c>
      <c r="O176" s="94">
        <v>6</v>
      </c>
      <c r="P176" s="94" t="s">
        <v>210</v>
      </c>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BA176" s="95"/>
    </row>
    <row r="177" spans="1:53" s="87" customFormat="1">
      <c r="A177" s="90" t="str">
        <f t="shared" si="27"/>
        <v/>
      </c>
      <c r="B177" s="98">
        <v>10</v>
      </c>
      <c r="C177" s="94">
        <v>-4</v>
      </c>
      <c r="D177" s="94" t="s">
        <v>210</v>
      </c>
      <c r="E177" s="94" t="s">
        <v>210</v>
      </c>
      <c r="F177" s="94">
        <v>1</v>
      </c>
      <c r="G177" s="94">
        <v>-3</v>
      </c>
      <c r="H177" s="94" t="s">
        <v>210</v>
      </c>
      <c r="I177" s="94" t="s">
        <v>210</v>
      </c>
      <c r="J177" s="94">
        <v>7</v>
      </c>
      <c r="K177" s="94">
        <v>-6</v>
      </c>
      <c r="L177" s="94" t="s">
        <v>210</v>
      </c>
      <c r="M177" s="94" t="s">
        <v>210</v>
      </c>
      <c r="N177" s="94">
        <v>5</v>
      </c>
      <c r="O177" s="94">
        <v>2</v>
      </c>
      <c r="P177" s="94" t="s">
        <v>210</v>
      </c>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c r="BA177" s="95"/>
    </row>
    <row r="178" spans="1:53" s="87" customFormat="1">
      <c r="A178" s="90" t="str">
        <f t="shared" si="27"/>
        <v/>
      </c>
      <c r="B178" s="98">
        <v>11</v>
      </c>
      <c r="C178" s="94">
        <v>5</v>
      </c>
      <c r="D178" s="94" t="s">
        <v>210</v>
      </c>
      <c r="E178" s="94" t="s">
        <v>210</v>
      </c>
      <c r="F178" s="94">
        <v>2</v>
      </c>
      <c r="G178" s="94">
        <v>-1</v>
      </c>
      <c r="H178" s="94" t="s">
        <v>210</v>
      </c>
      <c r="I178" s="94" t="s">
        <v>210</v>
      </c>
      <c r="J178" s="94">
        <v>-4</v>
      </c>
      <c r="K178" s="94">
        <v>6</v>
      </c>
      <c r="L178" s="94" t="s">
        <v>210</v>
      </c>
      <c r="M178" s="94" t="s">
        <v>210</v>
      </c>
      <c r="N178" s="94">
        <v>3</v>
      </c>
      <c r="O178" s="94">
        <v>-7</v>
      </c>
      <c r="P178" s="94" t="s">
        <v>210</v>
      </c>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BA178" s="95"/>
    </row>
    <row r="179" spans="1:53" s="87" customFormat="1">
      <c r="A179" s="90" t="str">
        <f t="shared" si="27"/>
        <v/>
      </c>
      <c r="B179" s="98">
        <v>12</v>
      </c>
      <c r="C179" s="94">
        <v>-7</v>
      </c>
      <c r="D179" s="94" t="s">
        <v>210</v>
      </c>
      <c r="E179" s="94" t="s">
        <v>210</v>
      </c>
      <c r="F179" s="94">
        <v>5</v>
      </c>
      <c r="G179" s="94">
        <v>-6</v>
      </c>
      <c r="H179" s="94" t="s">
        <v>210</v>
      </c>
      <c r="I179" s="94" t="s">
        <v>210</v>
      </c>
      <c r="J179" s="94">
        <v>1</v>
      </c>
      <c r="K179" s="94">
        <v>4</v>
      </c>
      <c r="L179" s="94" t="s">
        <v>210</v>
      </c>
      <c r="M179" s="94" t="s">
        <v>210</v>
      </c>
      <c r="N179" s="94">
        <v>-3</v>
      </c>
      <c r="O179" s="94">
        <v>-2</v>
      </c>
      <c r="P179" s="94" t="s">
        <v>210</v>
      </c>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BA179" s="95"/>
    </row>
    <row r="180" spans="1:53" s="87" customFormat="1">
      <c r="A180" s="90" t="str">
        <f t="shared" si="27"/>
        <v/>
      </c>
      <c r="B180" s="98">
        <v>13</v>
      </c>
      <c r="C180" s="94">
        <v>6</v>
      </c>
      <c r="D180" s="94" t="s">
        <v>210</v>
      </c>
      <c r="E180" s="94" t="s">
        <v>210</v>
      </c>
      <c r="F180" s="94">
        <v>-1</v>
      </c>
      <c r="G180" s="94">
        <v>-5</v>
      </c>
      <c r="H180" s="94" t="s">
        <v>210</v>
      </c>
      <c r="I180" s="94" t="s">
        <v>210</v>
      </c>
      <c r="J180" s="94">
        <v>3</v>
      </c>
      <c r="K180" s="94">
        <v>-4</v>
      </c>
      <c r="L180" s="94" t="s">
        <v>210</v>
      </c>
      <c r="M180" s="94" t="s">
        <v>210</v>
      </c>
      <c r="N180" s="94">
        <v>2</v>
      </c>
      <c r="O180" s="94">
        <v>7</v>
      </c>
      <c r="P180" s="94" t="s">
        <v>210</v>
      </c>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BA180" s="95"/>
    </row>
    <row r="181" spans="1:53" s="87" customFormat="1">
      <c r="A181" s="90" t="str">
        <f t="shared" si="27"/>
        <v/>
      </c>
      <c r="B181" s="99">
        <v>14</v>
      </c>
      <c r="C181" s="92">
        <v>-5</v>
      </c>
      <c r="D181" s="92" t="s">
        <v>210</v>
      </c>
      <c r="E181" s="92" t="s">
        <v>210</v>
      </c>
      <c r="F181" s="92">
        <v>4</v>
      </c>
      <c r="G181" s="92">
        <v>6</v>
      </c>
      <c r="H181" s="92" t="s">
        <v>210</v>
      </c>
      <c r="I181" s="92" t="s">
        <v>210</v>
      </c>
      <c r="J181" s="92">
        <v>-7</v>
      </c>
      <c r="K181" s="92">
        <v>3</v>
      </c>
      <c r="L181" s="92" t="s">
        <v>210</v>
      </c>
      <c r="M181" s="92" t="s">
        <v>210</v>
      </c>
      <c r="N181" s="92">
        <v>-2</v>
      </c>
      <c r="O181" s="92">
        <v>-1</v>
      </c>
      <c r="P181" s="92" t="s">
        <v>210</v>
      </c>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94"/>
      <c r="AW181" s="94"/>
      <c r="AX181" s="94"/>
      <c r="AY181" s="94"/>
      <c r="BA181" s="95"/>
    </row>
    <row r="182" spans="1:53" s="87" customFormat="1">
      <c r="A182" s="90" t="str">
        <f t="shared" si="27"/>
        <v/>
      </c>
      <c r="B182" s="98">
        <v>15</v>
      </c>
      <c r="C182" s="94" t="s">
        <v>210</v>
      </c>
      <c r="D182" s="94">
        <v>-4</v>
      </c>
      <c r="E182" s="94">
        <v>6</v>
      </c>
      <c r="F182" s="94" t="s">
        <v>210</v>
      </c>
      <c r="G182" s="94" t="s">
        <v>210</v>
      </c>
      <c r="H182" s="94">
        <v>1</v>
      </c>
      <c r="I182" s="94">
        <v>-2</v>
      </c>
      <c r="J182" s="94" t="s">
        <v>210</v>
      </c>
      <c r="K182" s="94" t="s">
        <v>210</v>
      </c>
      <c r="L182" s="94">
        <v>-5</v>
      </c>
      <c r="M182" s="94">
        <v>3</v>
      </c>
      <c r="N182" s="94" t="s">
        <v>210</v>
      </c>
      <c r="O182" s="94" t="s">
        <v>210</v>
      </c>
      <c r="P182" s="94">
        <v>4</v>
      </c>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BA182" s="95"/>
    </row>
    <row r="183" spans="1:53" s="87" customFormat="1">
      <c r="A183" s="90" t="str">
        <f t="shared" si="27"/>
        <v/>
      </c>
      <c r="B183" s="98">
        <v>16</v>
      </c>
      <c r="C183" s="94" t="s">
        <v>210</v>
      </c>
      <c r="D183" s="94">
        <v>-2</v>
      </c>
      <c r="E183" s="94">
        <v>4</v>
      </c>
      <c r="F183" s="94" t="s">
        <v>210</v>
      </c>
      <c r="G183" s="94" t="s">
        <v>210</v>
      </c>
      <c r="H183" s="94">
        <v>3</v>
      </c>
      <c r="I183" s="94">
        <v>-6</v>
      </c>
      <c r="J183" s="94" t="s">
        <v>210</v>
      </c>
      <c r="K183" s="94" t="s">
        <v>210</v>
      </c>
      <c r="L183" s="94">
        <v>7</v>
      </c>
      <c r="M183" s="94">
        <v>-5</v>
      </c>
      <c r="N183" s="94" t="s">
        <v>210</v>
      </c>
      <c r="O183" s="94" t="s">
        <v>210</v>
      </c>
      <c r="P183" s="94">
        <v>-4</v>
      </c>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c r="BA183" s="95"/>
    </row>
    <row r="184" spans="1:53" s="87" customFormat="1">
      <c r="A184" s="90" t="str">
        <f t="shared" si="27"/>
        <v/>
      </c>
      <c r="B184" s="98">
        <v>17</v>
      </c>
      <c r="C184" s="94" t="s">
        <v>210</v>
      </c>
      <c r="D184" s="94">
        <v>-6</v>
      </c>
      <c r="E184" s="94">
        <v>-5</v>
      </c>
      <c r="F184" s="94" t="s">
        <v>210</v>
      </c>
      <c r="G184" s="94" t="s">
        <v>210</v>
      </c>
      <c r="H184" s="94">
        <v>2</v>
      </c>
      <c r="I184" s="94">
        <v>4</v>
      </c>
      <c r="J184" s="94" t="s">
        <v>210</v>
      </c>
      <c r="K184" s="94" t="s">
        <v>210</v>
      </c>
      <c r="L184" s="94">
        <v>-7</v>
      </c>
      <c r="M184" s="94">
        <v>-3</v>
      </c>
      <c r="N184" s="94" t="s">
        <v>210</v>
      </c>
      <c r="O184" s="94" t="s">
        <v>210</v>
      </c>
      <c r="P184" s="94">
        <v>5</v>
      </c>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BA184" s="95"/>
    </row>
    <row r="185" spans="1:53" s="87" customFormat="1">
      <c r="A185" s="90" t="str">
        <f t="shared" si="27"/>
        <v/>
      </c>
      <c r="B185" s="98">
        <v>18</v>
      </c>
      <c r="C185" s="94" t="s">
        <v>210</v>
      </c>
      <c r="D185" s="94">
        <v>5</v>
      </c>
      <c r="E185" s="94">
        <v>-1</v>
      </c>
      <c r="F185" s="94" t="s">
        <v>210</v>
      </c>
      <c r="G185" s="94" t="s">
        <v>210</v>
      </c>
      <c r="H185" s="94">
        <v>-3</v>
      </c>
      <c r="I185" s="94">
        <v>2</v>
      </c>
      <c r="J185" s="94" t="s">
        <v>210</v>
      </c>
      <c r="K185" s="94" t="s">
        <v>210</v>
      </c>
      <c r="L185" s="94">
        <v>-6</v>
      </c>
      <c r="M185" s="94">
        <v>4</v>
      </c>
      <c r="N185" s="94" t="s">
        <v>210</v>
      </c>
      <c r="O185" s="94" t="s">
        <v>210</v>
      </c>
      <c r="P185" s="94">
        <v>-5</v>
      </c>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c r="AW185" s="94"/>
      <c r="AX185" s="94"/>
      <c r="AY185" s="94"/>
      <c r="BA185" s="95"/>
    </row>
    <row r="186" spans="1:53" s="87" customFormat="1">
      <c r="A186" s="90" t="str">
        <f t="shared" si="27"/>
        <v/>
      </c>
      <c r="B186" s="98">
        <v>19</v>
      </c>
      <c r="C186" s="94" t="s">
        <v>210</v>
      </c>
      <c r="D186" s="94">
        <v>3</v>
      </c>
      <c r="E186" s="94">
        <v>2</v>
      </c>
      <c r="F186" s="94" t="s">
        <v>210</v>
      </c>
      <c r="G186" s="94" t="s">
        <v>210</v>
      </c>
      <c r="H186" s="94">
        <v>-1</v>
      </c>
      <c r="I186" s="94">
        <v>-4</v>
      </c>
      <c r="J186" s="94" t="s">
        <v>210</v>
      </c>
      <c r="K186" s="94" t="s">
        <v>210</v>
      </c>
      <c r="L186" s="94">
        <v>6</v>
      </c>
      <c r="M186" s="94">
        <v>5</v>
      </c>
      <c r="N186" s="94" t="s">
        <v>210</v>
      </c>
      <c r="O186" s="94" t="s">
        <v>210</v>
      </c>
      <c r="P186" s="94">
        <v>-3</v>
      </c>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c r="AW186" s="94"/>
      <c r="AX186" s="94"/>
      <c r="AY186" s="94"/>
      <c r="BA186" s="95"/>
    </row>
    <row r="187" spans="1:53" s="87" customFormat="1">
      <c r="A187" s="90" t="str">
        <f t="shared" si="27"/>
        <v/>
      </c>
      <c r="B187" s="99">
        <v>20</v>
      </c>
      <c r="C187" s="92" t="s">
        <v>210</v>
      </c>
      <c r="D187" s="92">
        <v>7</v>
      </c>
      <c r="E187" s="92">
        <v>-3</v>
      </c>
      <c r="F187" s="92" t="s">
        <v>210</v>
      </c>
      <c r="G187" s="92" t="s">
        <v>210</v>
      </c>
      <c r="H187" s="92">
        <v>-2</v>
      </c>
      <c r="I187" s="92">
        <v>6</v>
      </c>
      <c r="J187" s="92" t="s">
        <v>210</v>
      </c>
      <c r="K187" s="92" t="s">
        <v>210</v>
      </c>
      <c r="L187" s="92">
        <v>5</v>
      </c>
      <c r="M187" s="92">
        <v>-4</v>
      </c>
      <c r="N187" s="92" t="s">
        <v>210</v>
      </c>
      <c r="O187" s="92" t="s">
        <v>210</v>
      </c>
      <c r="P187" s="92">
        <v>3</v>
      </c>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BA187" s="95"/>
    </row>
    <row r="188" spans="1:53" s="87" customFormat="1">
      <c r="A188" s="90" t="str">
        <f t="shared" si="27"/>
        <v/>
      </c>
      <c r="B188" s="98">
        <v>21</v>
      </c>
      <c r="C188" s="94" t="s">
        <v>210</v>
      </c>
      <c r="D188" s="94">
        <v>4</v>
      </c>
      <c r="E188" s="94">
        <v>5</v>
      </c>
      <c r="F188" s="94" t="s">
        <v>210</v>
      </c>
      <c r="G188" s="94" t="s">
        <v>210</v>
      </c>
      <c r="H188" s="94">
        <v>-6</v>
      </c>
      <c r="I188" s="94">
        <v>3</v>
      </c>
      <c r="J188" s="94" t="s">
        <v>210</v>
      </c>
      <c r="K188" s="94" t="s">
        <v>210</v>
      </c>
      <c r="L188" s="94">
        <v>-2</v>
      </c>
      <c r="M188" s="94">
        <v>-1</v>
      </c>
      <c r="N188" s="94" t="s">
        <v>210</v>
      </c>
      <c r="O188" s="94" t="s">
        <v>210</v>
      </c>
      <c r="P188" s="94">
        <v>6</v>
      </c>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BA188" s="95"/>
    </row>
    <row r="189" spans="1:53" s="87" customFormat="1">
      <c r="A189" s="90" t="str">
        <f t="shared" si="27"/>
        <v/>
      </c>
      <c r="B189" s="98">
        <v>22</v>
      </c>
      <c r="C189" s="94" t="s">
        <v>210</v>
      </c>
      <c r="D189" s="94">
        <v>6</v>
      </c>
      <c r="E189" s="94">
        <v>-4</v>
      </c>
      <c r="F189" s="94" t="s">
        <v>210</v>
      </c>
      <c r="G189" s="94" t="s">
        <v>210</v>
      </c>
      <c r="H189" s="94">
        <v>-5</v>
      </c>
      <c r="I189" s="94">
        <v>1</v>
      </c>
      <c r="J189" s="94" t="s">
        <v>210</v>
      </c>
      <c r="K189" s="94" t="s">
        <v>210</v>
      </c>
      <c r="L189" s="94">
        <v>3</v>
      </c>
      <c r="M189" s="94">
        <v>-2</v>
      </c>
      <c r="N189" s="94" t="s">
        <v>210</v>
      </c>
      <c r="O189" s="94" t="s">
        <v>210</v>
      </c>
      <c r="P189" s="94">
        <v>-6</v>
      </c>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c r="BA189" s="95"/>
    </row>
    <row r="190" spans="1:53" s="87" customFormat="1">
      <c r="A190" s="90" t="str">
        <f t="shared" si="27"/>
        <v/>
      </c>
      <c r="B190" s="98">
        <v>23</v>
      </c>
      <c r="C190" s="94" t="s">
        <v>210</v>
      </c>
      <c r="D190" s="94">
        <v>2</v>
      </c>
      <c r="E190" s="94">
        <v>-6</v>
      </c>
      <c r="F190" s="94" t="s">
        <v>210</v>
      </c>
      <c r="G190" s="94" t="s">
        <v>210</v>
      </c>
      <c r="H190" s="94">
        <v>4</v>
      </c>
      <c r="I190" s="94">
        <v>5</v>
      </c>
      <c r="J190" s="94" t="s">
        <v>210</v>
      </c>
      <c r="K190" s="94" t="s">
        <v>210</v>
      </c>
      <c r="L190" s="94">
        <v>-3</v>
      </c>
      <c r="M190" s="94">
        <v>1</v>
      </c>
      <c r="N190" s="94" t="s">
        <v>210</v>
      </c>
      <c r="O190" s="94" t="s">
        <v>210</v>
      </c>
      <c r="P190" s="94">
        <v>-2</v>
      </c>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BA190" s="95"/>
    </row>
    <row r="191" spans="1:53" s="87" customFormat="1">
      <c r="A191" s="90" t="str">
        <f t="shared" si="27"/>
        <v/>
      </c>
      <c r="B191" s="98">
        <v>24</v>
      </c>
      <c r="C191" s="94" t="s">
        <v>210</v>
      </c>
      <c r="D191" s="94">
        <v>-7</v>
      </c>
      <c r="E191" s="94">
        <v>-2</v>
      </c>
      <c r="F191" s="94" t="s">
        <v>210</v>
      </c>
      <c r="G191" s="94" t="s">
        <v>210</v>
      </c>
      <c r="H191" s="94">
        <v>5</v>
      </c>
      <c r="I191" s="94">
        <v>-3</v>
      </c>
      <c r="J191" s="94" t="s">
        <v>210</v>
      </c>
      <c r="K191" s="94" t="s">
        <v>210</v>
      </c>
      <c r="L191" s="94">
        <v>-4</v>
      </c>
      <c r="M191" s="94">
        <v>6</v>
      </c>
      <c r="N191" s="94" t="s">
        <v>210</v>
      </c>
      <c r="O191" s="94" t="s">
        <v>210</v>
      </c>
      <c r="P191" s="94">
        <v>2</v>
      </c>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BA191" s="95"/>
    </row>
    <row r="192" spans="1:53" s="87" customFormat="1">
      <c r="A192" s="90" t="str">
        <f t="shared" si="27"/>
        <v/>
      </c>
      <c r="B192" s="98">
        <v>25</v>
      </c>
      <c r="C192" s="94" t="s">
        <v>210</v>
      </c>
      <c r="D192" s="94">
        <v>-3</v>
      </c>
      <c r="E192" s="94">
        <v>1</v>
      </c>
      <c r="F192" s="94" t="s">
        <v>210</v>
      </c>
      <c r="G192" s="94" t="s">
        <v>210</v>
      </c>
      <c r="H192" s="94">
        <v>6</v>
      </c>
      <c r="I192" s="94">
        <v>-5</v>
      </c>
      <c r="J192" s="94" t="s">
        <v>210</v>
      </c>
      <c r="K192" s="94" t="s">
        <v>210</v>
      </c>
      <c r="L192" s="94">
        <v>4</v>
      </c>
      <c r="M192" s="94">
        <v>2</v>
      </c>
      <c r="N192" s="94" t="s">
        <v>210</v>
      </c>
      <c r="O192" s="94" t="s">
        <v>210</v>
      </c>
      <c r="P192" s="94">
        <v>-7</v>
      </c>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BA192" s="95"/>
    </row>
    <row r="193" spans="1:53" s="87" customFormat="1">
      <c r="A193" s="90" t="str">
        <f t="shared" si="27"/>
        <v/>
      </c>
      <c r="B193" s="98">
        <v>26</v>
      </c>
      <c r="C193" s="94" t="s">
        <v>210</v>
      </c>
      <c r="D193" s="94">
        <v>-5</v>
      </c>
      <c r="E193" s="94">
        <v>3</v>
      </c>
      <c r="F193" s="94" t="s">
        <v>210</v>
      </c>
      <c r="G193" s="94" t="s">
        <v>210</v>
      </c>
      <c r="H193" s="94">
        <v>-4</v>
      </c>
      <c r="I193" s="94">
        <v>-1</v>
      </c>
      <c r="J193" s="94" t="s">
        <v>210</v>
      </c>
      <c r="K193" s="94" t="s">
        <v>210</v>
      </c>
      <c r="L193" s="94">
        <v>2</v>
      </c>
      <c r="M193" s="94">
        <v>-6</v>
      </c>
      <c r="N193" s="94" t="s">
        <v>210</v>
      </c>
      <c r="O193" s="94" t="s">
        <v>210</v>
      </c>
      <c r="P193" s="94">
        <v>7</v>
      </c>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BA193" s="95"/>
    </row>
    <row r="194" spans="1:53" s="87" customFormat="1">
      <c r="A194" s="90" t="str">
        <f t="shared" si="27"/>
        <v/>
      </c>
      <c r="B194" s="98" t="s">
        <v>424</v>
      </c>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BA194" s="95"/>
    </row>
    <row r="195" spans="1:53" s="87" customFormat="1">
      <c r="A195" s="90">
        <f t="shared" si="27"/>
        <v>195</v>
      </c>
      <c r="B195" s="98" t="s">
        <v>425</v>
      </c>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BA195" s="95"/>
    </row>
    <row r="196" spans="1:53" s="87" customFormat="1">
      <c r="A196" s="90" t="str">
        <f t="shared" si="27"/>
        <v/>
      </c>
      <c r="B196" s="98">
        <v>1</v>
      </c>
      <c r="C196" s="94">
        <v>-5</v>
      </c>
      <c r="D196" s="94" t="s">
        <v>210</v>
      </c>
      <c r="E196" s="94" t="s">
        <v>210</v>
      </c>
      <c r="F196" s="94">
        <v>-6</v>
      </c>
      <c r="G196" s="94">
        <v>2</v>
      </c>
      <c r="H196" s="94" t="s">
        <v>210</v>
      </c>
      <c r="I196" s="94" t="s">
        <v>210</v>
      </c>
      <c r="J196" s="94">
        <v>3</v>
      </c>
      <c r="K196" s="94">
        <v>7</v>
      </c>
      <c r="L196" s="94" t="s">
        <v>210</v>
      </c>
      <c r="M196" s="94" t="s">
        <v>210</v>
      </c>
      <c r="N196" s="94">
        <v>4</v>
      </c>
      <c r="O196" s="94">
        <v>-2</v>
      </c>
      <c r="P196" s="94" t="s">
        <v>210</v>
      </c>
      <c r="Q196" s="94" t="s">
        <v>210</v>
      </c>
      <c r="R196" s="94">
        <v>5</v>
      </c>
      <c r="S196" s="94">
        <v>-1</v>
      </c>
      <c r="T196" s="94" t="s">
        <v>210</v>
      </c>
      <c r="U196" s="94" t="s">
        <v>210</v>
      </c>
      <c r="V196" s="94">
        <v>6</v>
      </c>
      <c r="W196" s="94">
        <v>-7</v>
      </c>
      <c r="X196" s="94" t="s">
        <v>210</v>
      </c>
      <c r="Y196" s="94" t="s">
        <v>210</v>
      </c>
      <c r="Z196" s="94">
        <v>-3</v>
      </c>
      <c r="AA196" s="94">
        <v>-4</v>
      </c>
      <c r="AB196" s="94" t="s">
        <v>210</v>
      </c>
      <c r="AC196" s="94"/>
      <c r="AD196" s="94"/>
      <c r="AE196" s="94"/>
      <c r="AF196" s="94"/>
      <c r="AG196" s="94"/>
      <c r="AH196" s="94"/>
      <c r="AI196" s="94"/>
      <c r="AJ196" s="94"/>
      <c r="AK196" s="94"/>
      <c r="AL196" s="94"/>
      <c r="AM196" s="94"/>
      <c r="AN196" s="94"/>
      <c r="AO196" s="94"/>
      <c r="AP196" s="94"/>
      <c r="AQ196" s="94"/>
      <c r="AR196" s="94"/>
      <c r="AS196" s="94"/>
      <c r="AT196" s="94"/>
      <c r="AU196" s="94"/>
      <c r="AV196" s="94"/>
      <c r="AW196" s="94"/>
      <c r="AX196" s="94"/>
      <c r="AY196" s="94"/>
      <c r="BA196" s="95"/>
    </row>
    <row r="197" spans="1:53" s="87" customFormat="1">
      <c r="A197" s="90" t="str">
        <f t="shared" si="27"/>
        <v/>
      </c>
      <c r="B197" s="98">
        <v>2</v>
      </c>
      <c r="C197" s="94">
        <v>7</v>
      </c>
      <c r="D197" s="94" t="s">
        <v>210</v>
      </c>
      <c r="E197" s="94" t="s">
        <v>210</v>
      </c>
      <c r="F197" s="94">
        <v>-3</v>
      </c>
      <c r="G197" s="94">
        <v>-4</v>
      </c>
      <c r="H197" s="94" t="s">
        <v>210</v>
      </c>
      <c r="I197" s="94" t="s">
        <v>210</v>
      </c>
      <c r="J197" s="94">
        <v>5</v>
      </c>
      <c r="K197" s="94">
        <v>-1</v>
      </c>
      <c r="L197" s="94" t="s">
        <v>210</v>
      </c>
      <c r="M197" s="94" t="s">
        <v>210</v>
      </c>
      <c r="N197" s="94">
        <v>6</v>
      </c>
      <c r="O197" s="94">
        <v>-5</v>
      </c>
      <c r="P197" s="94" t="s">
        <v>210</v>
      </c>
      <c r="Q197" s="94" t="s">
        <v>210</v>
      </c>
      <c r="R197" s="94">
        <v>1</v>
      </c>
      <c r="S197" s="94">
        <v>3</v>
      </c>
      <c r="T197" s="94" t="s">
        <v>210</v>
      </c>
      <c r="U197" s="94" t="s">
        <v>210</v>
      </c>
      <c r="V197" s="94">
        <v>-7</v>
      </c>
      <c r="W197" s="94">
        <v>2</v>
      </c>
      <c r="X197" s="94" t="s">
        <v>210</v>
      </c>
      <c r="Y197" s="94" t="s">
        <v>210</v>
      </c>
      <c r="Z197" s="94">
        <v>-6</v>
      </c>
      <c r="AA197" s="94">
        <v>4</v>
      </c>
      <c r="AB197" s="94" t="s">
        <v>210</v>
      </c>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BA197" s="95"/>
    </row>
    <row r="198" spans="1:53" s="87" customFormat="1">
      <c r="A198" s="90" t="str">
        <f t="shared" si="27"/>
        <v/>
      </c>
      <c r="B198" s="98">
        <v>3</v>
      </c>
      <c r="C198" s="94">
        <v>3</v>
      </c>
      <c r="D198" s="94" t="s">
        <v>210</v>
      </c>
      <c r="E198" s="94" t="s">
        <v>210</v>
      </c>
      <c r="F198" s="94">
        <v>1</v>
      </c>
      <c r="G198" s="94">
        <v>-6</v>
      </c>
      <c r="H198" s="94" t="s">
        <v>210</v>
      </c>
      <c r="I198" s="94" t="s">
        <v>210</v>
      </c>
      <c r="J198" s="94">
        <v>4</v>
      </c>
      <c r="K198" s="94">
        <v>2</v>
      </c>
      <c r="L198" s="94" t="s">
        <v>210</v>
      </c>
      <c r="M198" s="94" t="s">
        <v>210</v>
      </c>
      <c r="N198" s="94">
        <v>5</v>
      </c>
      <c r="O198" s="94">
        <v>-1</v>
      </c>
      <c r="P198" s="94" t="s">
        <v>210</v>
      </c>
      <c r="Q198" s="94" t="s">
        <v>210</v>
      </c>
      <c r="R198" s="94">
        <v>-4</v>
      </c>
      <c r="S198" s="94">
        <v>-2</v>
      </c>
      <c r="T198" s="94" t="s">
        <v>210</v>
      </c>
      <c r="U198" s="94" t="s">
        <v>210</v>
      </c>
      <c r="V198" s="94">
        <v>-3</v>
      </c>
      <c r="W198" s="94">
        <v>7</v>
      </c>
      <c r="X198" s="94" t="s">
        <v>210</v>
      </c>
      <c r="Y198" s="94" t="s">
        <v>210</v>
      </c>
      <c r="Z198" s="94">
        <v>6</v>
      </c>
      <c r="AA198" s="94">
        <v>-5</v>
      </c>
      <c r="AB198" s="94" t="s">
        <v>210</v>
      </c>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BA198" s="95"/>
    </row>
    <row r="199" spans="1:53" s="87" customFormat="1">
      <c r="A199" s="90" t="str">
        <f t="shared" si="27"/>
        <v/>
      </c>
      <c r="B199" s="98">
        <v>4</v>
      </c>
      <c r="C199" s="94">
        <v>-4</v>
      </c>
      <c r="D199" s="94" t="s">
        <v>210</v>
      </c>
      <c r="E199" s="94" t="s">
        <v>210</v>
      </c>
      <c r="F199" s="94">
        <v>2</v>
      </c>
      <c r="G199" s="94">
        <v>-5</v>
      </c>
      <c r="H199" s="94" t="s">
        <v>210</v>
      </c>
      <c r="I199" s="94" t="s">
        <v>210</v>
      </c>
      <c r="J199" s="94">
        <v>-7</v>
      </c>
      <c r="K199" s="94">
        <v>-3</v>
      </c>
      <c r="L199" s="94" t="s">
        <v>210</v>
      </c>
      <c r="M199" s="94" t="s">
        <v>210</v>
      </c>
      <c r="N199" s="94">
        <v>-1</v>
      </c>
      <c r="O199" s="94">
        <v>4</v>
      </c>
      <c r="P199" s="94" t="s">
        <v>210</v>
      </c>
      <c r="Q199" s="94" t="s">
        <v>210</v>
      </c>
      <c r="R199" s="94">
        <v>7</v>
      </c>
      <c r="S199" s="94">
        <v>-6</v>
      </c>
      <c r="T199" s="94" t="s">
        <v>210</v>
      </c>
      <c r="U199" s="94" t="s">
        <v>210</v>
      </c>
      <c r="V199" s="94">
        <v>1</v>
      </c>
      <c r="W199" s="94">
        <v>-2</v>
      </c>
      <c r="X199" s="94" t="s">
        <v>210</v>
      </c>
      <c r="Y199" s="94" t="s">
        <v>210</v>
      </c>
      <c r="Z199" s="94">
        <v>3</v>
      </c>
      <c r="AA199" s="94">
        <v>5</v>
      </c>
      <c r="AB199" s="94" t="s">
        <v>210</v>
      </c>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BA199" s="95"/>
    </row>
    <row r="200" spans="1:53" s="87" customFormat="1">
      <c r="A200" s="90" t="str">
        <f t="shared" si="27"/>
        <v/>
      </c>
      <c r="B200" s="98">
        <v>5</v>
      </c>
      <c r="C200" s="94">
        <v>-6</v>
      </c>
      <c r="D200" s="94" t="s">
        <v>210</v>
      </c>
      <c r="E200" s="94" t="s">
        <v>210</v>
      </c>
      <c r="F200" s="94">
        <v>-1</v>
      </c>
      <c r="G200" s="94">
        <v>4</v>
      </c>
      <c r="H200" s="94" t="s">
        <v>210</v>
      </c>
      <c r="I200" s="94" t="s">
        <v>210</v>
      </c>
      <c r="J200" s="94">
        <v>-3</v>
      </c>
      <c r="K200" s="94">
        <v>-5</v>
      </c>
      <c r="L200" s="94" t="s">
        <v>210</v>
      </c>
      <c r="M200" s="94" t="s">
        <v>210</v>
      </c>
      <c r="N200" s="94">
        <v>-2</v>
      </c>
      <c r="O200" s="94">
        <v>-4</v>
      </c>
      <c r="P200" s="94" t="s">
        <v>210</v>
      </c>
      <c r="Q200" s="94" t="s">
        <v>210</v>
      </c>
      <c r="R200" s="94">
        <v>6</v>
      </c>
      <c r="S200" s="94">
        <v>-7</v>
      </c>
      <c r="T200" s="94" t="s">
        <v>210</v>
      </c>
      <c r="U200" s="94" t="s">
        <v>210</v>
      </c>
      <c r="V200" s="94">
        <v>2</v>
      </c>
      <c r="W200" s="94">
        <v>5</v>
      </c>
      <c r="X200" s="94" t="s">
        <v>210</v>
      </c>
      <c r="Y200" s="94" t="s">
        <v>210</v>
      </c>
      <c r="Z200" s="94">
        <v>1</v>
      </c>
      <c r="AA200" s="94">
        <v>3</v>
      </c>
      <c r="AB200" s="94" t="s">
        <v>210</v>
      </c>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BA200" s="95"/>
    </row>
    <row r="201" spans="1:53" s="87" customFormat="1">
      <c r="A201" s="90" t="str">
        <f t="shared" si="27"/>
        <v/>
      </c>
      <c r="B201" s="98">
        <v>6</v>
      </c>
      <c r="C201" s="94">
        <v>-7</v>
      </c>
      <c r="D201" s="94" t="s">
        <v>210</v>
      </c>
      <c r="E201" s="94" t="s">
        <v>210</v>
      </c>
      <c r="F201" s="94">
        <v>5</v>
      </c>
      <c r="G201" s="94">
        <v>-2</v>
      </c>
      <c r="H201" s="94" t="s">
        <v>210</v>
      </c>
      <c r="I201" s="94" t="s">
        <v>210</v>
      </c>
      <c r="J201" s="94">
        <v>-1</v>
      </c>
      <c r="K201" s="94">
        <v>-6</v>
      </c>
      <c r="L201" s="94" t="s">
        <v>210</v>
      </c>
      <c r="M201" s="94" t="s">
        <v>210</v>
      </c>
      <c r="N201" s="94">
        <v>3</v>
      </c>
      <c r="O201" s="94">
        <v>1</v>
      </c>
      <c r="P201" s="94" t="s">
        <v>210</v>
      </c>
      <c r="Q201" s="94" t="s">
        <v>210</v>
      </c>
      <c r="R201" s="94">
        <v>2</v>
      </c>
      <c r="S201" s="94">
        <v>6</v>
      </c>
      <c r="T201" s="94" t="s">
        <v>210</v>
      </c>
      <c r="U201" s="94" t="s">
        <v>210</v>
      </c>
      <c r="V201" s="94">
        <v>-5</v>
      </c>
      <c r="W201" s="94">
        <v>4</v>
      </c>
      <c r="X201" s="94" t="s">
        <v>210</v>
      </c>
      <c r="Y201" s="94" t="s">
        <v>210</v>
      </c>
      <c r="Z201" s="94">
        <v>7</v>
      </c>
      <c r="AA201" s="94">
        <v>-3</v>
      </c>
      <c r="AB201" s="94" t="s">
        <v>210</v>
      </c>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BA201" s="95"/>
    </row>
    <row r="202" spans="1:53" s="87" customFormat="1">
      <c r="A202" s="90" t="str">
        <f t="shared" si="27"/>
        <v/>
      </c>
      <c r="B202" s="98">
        <v>7</v>
      </c>
      <c r="C202" s="94">
        <v>-2</v>
      </c>
      <c r="D202" s="94" t="s">
        <v>210</v>
      </c>
      <c r="E202" s="94" t="s">
        <v>210</v>
      </c>
      <c r="F202" s="94">
        <v>7</v>
      </c>
      <c r="G202" s="94">
        <v>-3</v>
      </c>
      <c r="H202" s="94" t="s">
        <v>210</v>
      </c>
      <c r="I202" s="94" t="s">
        <v>210</v>
      </c>
      <c r="J202" s="94">
        <v>1</v>
      </c>
      <c r="K202" s="94">
        <v>5</v>
      </c>
      <c r="L202" s="94" t="s">
        <v>210</v>
      </c>
      <c r="M202" s="94" t="s">
        <v>210</v>
      </c>
      <c r="N202" s="94">
        <v>-6</v>
      </c>
      <c r="O202" s="94">
        <v>2</v>
      </c>
      <c r="P202" s="94" t="s">
        <v>210</v>
      </c>
      <c r="Q202" s="94" t="s">
        <v>210</v>
      </c>
      <c r="R202" s="94">
        <v>-7</v>
      </c>
      <c r="S202" s="94">
        <v>-4</v>
      </c>
      <c r="T202" s="94" t="s">
        <v>210</v>
      </c>
      <c r="U202" s="94" t="s">
        <v>210</v>
      </c>
      <c r="V202" s="94">
        <v>3</v>
      </c>
      <c r="W202" s="94">
        <v>-1</v>
      </c>
      <c r="X202" s="94" t="s">
        <v>210</v>
      </c>
      <c r="Y202" s="94" t="s">
        <v>210</v>
      </c>
      <c r="Z202" s="94">
        <v>-5</v>
      </c>
      <c r="AA202" s="94">
        <v>6</v>
      </c>
      <c r="AB202" s="94" t="s">
        <v>210</v>
      </c>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BA202" s="95"/>
    </row>
    <row r="203" spans="1:53" s="87" customFormat="1">
      <c r="A203" s="90" t="str">
        <f t="shared" si="27"/>
        <v/>
      </c>
      <c r="B203" s="98">
        <v>8</v>
      </c>
      <c r="C203" s="94">
        <v>6</v>
      </c>
      <c r="D203" s="94" t="s">
        <v>210</v>
      </c>
      <c r="E203" s="94" t="s">
        <v>210</v>
      </c>
      <c r="F203" s="94">
        <v>4</v>
      </c>
      <c r="G203" s="94">
        <v>-7</v>
      </c>
      <c r="H203" s="94" t="s">
        <v>210</v>
      </c>
      <c r="I203" s="94" t="s">
        <v>210</v>
      </c>
      <c r="J203" s="94">
        <v>-2</v>
      </c>
      <c r="K203" s="94">
        <v>1</v>
      </c>
      <c r="L203" s="94" t="s">
        <v>210</v>
      </c>
      <c r="M203" s="94" t="s">
        <v>210</v>
      </c>
      <c r="N203" s="94">
        <v>-3</v>
      </c>
      <c r="O203" s="94">
        <v>7</v>
      </c>
      <c r="P203" s="94" t="s">
        <v>210</v>
      </c>
      <c r="Q203" s="94" t="s">
        <v>210</v>
      </c>
      <c r="R203" s="94">
        <v>-5</v>
      </c>
      <c r="S203" s="94">
        <v>2</v>
      </c>
      <c r="T203" s="94" t="s">
        <v>210</v>
      </c>
      <c r="U203" s="94" t="s">
        <v>210</v>
      </c>
      <c r="V203" s="94">
        <v>-1</v>
      </c>
      <c r="W203" s="94">
        <v>3</v>
      </c>
      <c r="X203" s="94" t="s">
        <v>210</v>
      </c>
      <c r="Y203" s="94" t="s">
        <v>210</v>
      </c>
      <c r="Z203" s="94">
        <v>-4</v>
      </c>
      <c r="AA203" s="94">
        <v>-6</v>
      </c>
      <c r="AB203" s="94" t="s">
        <v>210</v>
      </c>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BA203" s="95"/>
    </row>
    <row r="204" spans="1:53" s="87" customFormat="1">
      <c r="A204" s="90" t="str">
        <f t="shared" ref="A204:A267" si="28">IF(MID(B204,3,2)="07",ROW(),"")</f>
        <v/>
      </c>
      <c r="B204" s="98">
        <v>9</v>
      </c>
      <c r="C204" s="94">
        <v>5</v>
      </c>
      <c r="D204" s="94" t="s">
        <v>210</v>
      </c>
      <c r="E204" s="94" t="s">
        <v>210</v>
      </c>
      <c r="F204" s="94">
        <v>-7</v>
      </c>
      <c r="G204" s="94">
        <v>6</v>
      </c>
      <c r="H204" s="94" t="s">
        <v>210</v>
      </c>
      <c r="I204" s="94" t="s">
        <v>210</v>
      </c>
      <c r="J204" s="94">
        <v>2</v>
      </c>
      <c r="K204" s="94">
        <v>4</v>
      </c>
      <c r="L204" s="94" t="s">
        <v>210</v>
      </c>
      <c r="M204" s="94" t="s">
        <v>210</v>
      </c>
      <c r="N204" s="94">
        <v>1</v>
      </c>
      <c r="O204" s="94">
        <v>-6</v>
      </c>
      <c r="P204" s="94" t="s">
        <v>210</v>
      </c>
      <c r="Q204" s="94" t="s">
        <v>210</v>
      </c>
      <c r="R204" s="94">
        <v>3</v>
      </c>
      <c r="S204" s="94">
        <v>-5</v>
      </c>
      <c r="T204" s="94" t="s">
        <v>210</v>
      </c>
      <c r="U204" s="94" t="s">
        <v>210</v>
      </c>
      <c r="V204" s="94">
        <v>7</v>
      </c>
      <c r="W204" s="94">
        <v>-4</v>
      </c>
      <c r="X204" s="94" t="s">
        <v>210</v>
      </c>
      <c r="Y204" s="94" t="s">
        <v>210</v>
      </c>
      <c r="Z204" s="94">
        <v>-1</v>
      </c>
      <c r="AA204" s="94">
        <v>-2</v>
      </c>
      <c r="AB204" s="94" t="s">
        <v>210</v>
      </c>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BA204" s="95"/>
    </row>
    <row r="205" spans="1:53" s="87" customFormat="1">
      <c r="A205" s="90" t="str">
        <f t="shared" si="28"/>
        <v/>
      </c>
      <c r="B205" s="98">
        <v>10</v>
      </c>
      <c r="C205" s="94">
        <v>1</v>
      </c>
      <c r="D205" s="94" t="s">
        <v>210</v>
      </c>
      <c r="E205" s="94" t="s">
        <v>210</v>
      </c>
      <c r="F205" s="94">
        <v>-4</v>
      </c>
      <c r="G205" s="94">
        <v>5</v>
      </c>
      <c r="H205" s="94" t="s">
        <v>210</v>
      </c>
      <c r="I205" s="94" t="s">
        <v>210</v>
      </c>
      <c r="J205" s="94">
        <v>6</v>
      </c>
      <c r="K205" s="94">
        <v>-2</v>
      </c>
      <c r="L205" s="94" t="s">
        <v>210</v>
      </c>
      <c r="M205" s="94" t="s">
        <v>210</v>
      </c>
      <c r="N205" s="94">
        <v>7</v>
      </c>
      <c r="O205" s="94">
        <v>-3</v>
      </c>
      <c r="P205" s="94" t="s">
        <v>210</v>
      </c>
      <c r="Q205" s="94" t="s">
        <v>210</v>
      </c>
      <c r="R205" s="94">
        <v>-1</v>
      </c>
      <c r="S205" s="94">
        <v>4</v>
      </c>
      <c r="T205" s="94" t="s">
        <v>210</v>
      </c>
      <c r="U205" s="94" t="s">
        <v>210</v>
      </c>
      <c r="V205" s="94">
        <v>-6</v>
      </c>
      <c r="W205" s="94">
        <v>-5</v>
      </c>
      <c r="X205" s="94" t="s">
        <v>210</v>
      </c>
      <c r="Y205" s="94" t="s">
        <v>210</v>
      </c>
      <c r="Z205" s="94">
        <v>-7</v>
      </c>
      <c r="AA205" s="94">
        <v>2</v>
      </c>
      <c r="AB205" s="94" t="s">
        <v>210</v>
      </c>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BA205" s="95"/>
    </row>
    <row r="206" spans="1:53" s="87" customFormat="1">
      <c r="A206" s="90" t="str">
        <f t="shared" si="28"/>
        <v/>
      </c>
      <c r="B206" s="98">
        <v>11</v>
      </c>
      <c r="C206" s="94">
        <v>-3</v>
      </c>
      <c r="D206" s="94" t="s">
        <v>210</v>
      </c>
      <c r="E206" s="94" t="s">
        <v>210</v>
      </c>
      <c r="F206" s="94">
        <v>-2</v>
      </c>
      <c r="G206" s="94">
        <v>7</v>
      </c>
      <c r="H206" s="94" t="s">
        <v>210</v>
      </c>
      <c r="I206" s="94" t="s">
        <v>210</v>
      </c>
      <c r="J206" s="94">
        <v>-5</v>
      </c>
      <c r="K206" s="94">
        <v>6</v>
      </c>
      <c r="L206" s="94" t="s">
        <v>210</v>
      </c>
      <c r="M206" s="94" t="s">
        <v>210</v>
      </c>
      <c r="N206" s="94">
        <v>-4</v>
      </c>
      <c r="O206" s="94">
        <v>3</v>
      </c>
      <c r="P206" s="94" t="s">
        <v>210</v>
      </c>
      <c r="Q206" s="94" t="s">
        <v>210</v>
      </c>
      <c r="R206" s="94">
        <v>-6</v>
      </c>
      <c r="S206" s="94">
        <v>5</v>
      </c>
      <c r="T206" s="94" t="s">
        <v>210</v>
      </c>
      <c r="U206" s="94" t="s">
        <v>210</v>
      </c>
      <c r="V206" s="94">
        <v>4</v>
      </c>
      <c r="W206" s="94">
        <v>1</v>
      </c>
      <c r="X206" s="94" t="s">
        <v>210</v>
      </c>
      <c r="Y206" s="94" t="s">
        <v>210</v>
      </c>
      <c r="Z206" s="94">
        <v>2</v>
      </c>
      <c r="AA206" s="94">
        <v>-7</v>
      </c>
      <c r="AB206" s="94" t="s">
        <v>210</v>
      </c>
      <c r="AC206" s="9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c r="BA206" s="95"/>
    </row>
    <row r="207" spans="1:53" s="87" customFormat="1">
      <c r="A207" s="90" t="str">
        <f t="shared" si="28"/>
        <v/>
      </c>
      <c r="B207" s="98">
        <v>12</v>
      </c>
      <c r="C207" s="94">
        <v>2</v>
      </c>
      <c r="D207" s="94" t="s">
        <v>210</v>
      </c>
      <c r="E207" s="94" t="s">
        <v>210</v>
      </c>
      <c r="F207" s="94">
        <v>-5</v>
      </c>
      <c r="G207" s="94">
        <v>-1</v>
      </c>
      <c r="H207" s="94" t="s">
        <v>210</v>
      </c>
      <c r="I207" s="94" t="s">
        <v>210</v>
      </c>
      <c r="J207" s="94">
        <v>-4</v>
      </c>
      <c r="K207" s="94">
        <v>3</v>
      </c>
      <c r="L207" s="94" t="s">
        <v>210</v>
      </c>
      <c r="M207" s="94" t="s">
        <v>210</v>
      </c>
      <c r="N207" s="94">
        <v>-7</v>
      </c>
      <c r="O207" s="94">
        <v>5</v>
      </c>
      <c r="P207" s="94" t="s">
        <v>210</v>
      </c>
      <c r="Q207" s="94" t="s">
        <v>210</v>
      </c>
      <c r="R207" s="94">
        <v>-3</v>
      </c>
      <c r="S207" s="94">
        <v>1</v>
      </c>
      <c r="T207" s="94" t="s">
        <v>210</v>
      </c>
      <c r="U207" s="94" t="s">
        <v>210</v>
      </c>
      <c r="V207" s="94">
        <v>-2</v>
      </c>
      <c r="W207" s="94">
        <v>6</v>
      </c>
      <c r="X207" s="94" t="s">
        <v>210</v>
      </c>
      <c r="Y207" s="94" t="s">
        <v>210</v>
      </c>
      <c r="Z207" s="94">
        <v>4</v>
      </c>
      <c r="AA207" s="94">
        <v>7</v>
      </c>
      <c r="AB207" s="94" t="s">
        <v>210</v>
      </c>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BA207" s="95"/>
    </row>
    <row r="208" spans="1:53" s="87" customFormat="1">
      <c r="A208" s="90" t="str">
        <f t="shared" si="28"/>
        <v/>
      </c>
      <c r="B208" s="98">
        <v>13</v>
      </c>
      <c r="C208" s="94">
        <v>4</v>
      </c>
      <c r="D208" s="94" t="s">
        <v>210</v>
      </c>
      <c r="E208" s="94" t="s">
        <v>210</v>
      </c>
      <c r="F208" s="94">
        <v>3</v>
      </c>
      <c r="G208" s="94">
        <v>1</v>
      </c>
      <c r="H208" s="94" t="s">
        <v>210</v>
      </c>
      <c r="I208" s="94" t="s">
        <v>210</v>
      </c>
      <c r="J208" s="94">
        <v>-6</v>
      </c>
      <c r="K208" s="94">
        <v>-7</v>
      </c>
      <c r="L208" s="94" t="s">
        <v>210</v>
      </c>
      <c r="M208" s="94" t="s">
        <v>210</v>
      </c>
      <c r="N208" s="94">
        <v>-5</v>
      </c>
      <c r="O208" s="94">
        <v>6</v>
      </c>
      <c r="P208" s="94" t="s">
        <v>210</v>
      </c>
      <c r="Q208" s="94" t="s">
        <v>210</v>
      </c>
      <c r="R208" s="94">
        <v>-2</v>
      </c>
      <c r="S208" s="94">
        <v>7</v>
      </c>
      <c r="T208" s="94" t="s">
        <v>210</v>
      </c>
      <c r="U208" s="94" t="s">
        <v>210</v>
      </c>
      <c r="V208" s="94">
        <v>-4</v>
      </c>
      <c r="W208" s="94">
        <v>-3</v>
      </c>
      <c r="X208" s="94" t="s">
        <v>210</v>
      </c>
      <c r="Y208" s="94" t="s">
        <v>210</v>
      </c>
      <c r="Z208" s="94">
        <v>5</v>
      </c>
      <c r="AA208" s="94">
        <v>-1</v>
      </c>
      <c r="AB208" s="94" t="s">
        <v>210</v>
      </c>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BA208" s="95"/>
    </row>
    <row r="209" spans="1:53" s="87" customFormat="1">
      <c r="A209" s="90" t="str">
        <f t="shared" si="28"/>
        <v/>
      </c>
      <c r="B209" s="99">
        <v>14</v>
      </c>
      <c r="C209" s="92">
        <v>-1</v>
      </c>
      <c r="D209" s="92" t="s">
        <v>210</v>
      </c>
      <c r="E209" s="92" t="s">
        <v>210</v>
      </c>
      <c r="F209" s="92">
        <v>6</v>
      </c>
      <c r="G209" s="92">
        <v>3</v>
      </c>
      <c r="H209" s="92" t="s">
        <v>210</v>
      </c>
      <c r="I209" s="92" t="s">
        <v>210</v>
      </c>
      <c r="J209" s="92">
        <v>7</v>
      </c>
      <c r="K209" s="92">
        <v>-4</v>
      </c>
      <c r="L209" s="92" t="s">
        <v>210</v>
      </c>
      <c r="M209" s="92" t="s">
        <v>210</v>
      </c>
      <c r="N209" s="92">
        <v>2</v>
      </c>
      <c r="O209" s="92">
        <v>-7</v>
      </c>
      <c r="P209" s="92" t="s">
        <v>210</v>
      </c>
      <c r="Q209" s="92" t="s">
        <v>210</v>
      </c>
      <c r="R209" s="92">
        <v>4</v>
      </c>
      <c r="S209" s="92">
        <v>-3</v>
      </c>
      <c r="T209" s="92" t="s">
        <v>210</v>
      </c>
      <c r="U209" s="92" t="s">
        <v>210</v>
      </c>
      <c r="V209" s="92">
        <v>5</v>
      </c>
      <c r="W209" s="92">
        <v>-6</v>
      </c>
      <c r="X209" s="92" t="s">
        <v>210</v>
      </c>
      <c r="Y209" s="92" t="s">
        <v>210</v>
      </c>
      <c r="Z209" s="92">
        <v>-2</v>
      </c>
      <c r="AA209" s="92">
        <v>1</v>
      </c>
      <c r="AB209" s="92" t="s">
        <v>210</v>
      </c>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BA209" s="95"/>
    </row>
    <row r="210" spans="1:53" s="87" customFormat="1">
      <c r="A210" s="90" t="str">
        <f t="shared" si="28"/>
        <v/>
      </c>
      <c r="B210" s="98">
        <v>15</v>
      </c>
      <c r="C210" s="94" t="s">
        <v>210</v>
      </c>
      <c r="D210" s="94">
        <v>-6</v>
      </c>
      <c r="E210" s="94">
        <v>2</v>
      </c>
      <c r="F210" s="94" t="s">
        <v>210</v>
      </c>
      <c r="G210" s="94" t="s">
        <v>210</v>
      </c>
      <c r="H210" s="94">
        <v>3</v>
      </c>
      <c r="I210" s="94">
        <v>5</v>
      </c>
      <c r="J210" s="94" t="s">
        <v>210</v>
      </c>
      <c r="K210" s="94" t="s">
        <v>210</v>
      </c>
      <c r="L210" s="94" t="s">
        <v>202</v>
      </c>
      <c r="M210" s="94">
        <v>1</v>
      </c>
      <c r="N210" s="94" t="s">
        <v>210</v>
      </c>
      <c r="O210" s="94" t="s">
        <v>210</v>
      </c>
      <c r="P210" s="94">
        <v>-4</v>
      </c>
      <c r="Q210" s="94">
        <v>-2</v>
      </c>
      <c r="R210" s="94" t="s">
        <v>210</v>
      </c>
      <c r="S210" s="94" t="s">
        <v>210</v>
      </c>
      <c r="T210" s="94">
        <v>-3</v>
      </c>
      <c r="U210" s="94">
        <v>-1</v>
      </c>
      <c r="V210" s="94" t="s">
        <v>210</v>
      </c>
      <c r="W210" s="94" t="s">
        <v>210</v>
      </c>
      <c r="X210" s="94">
        <v>6</v>
      </c>
      <c r="Y210" s="94">
        <v>-5</v>
      </c>
      <c r="Z210" s="94" t="s">
        <v>210</v>
      </c>
      <c r="AA210" s="94" t="s">
        <v>210</v>
      </c>
      <c r="AB210" s="94">
        <v>4</v>
      </c>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BA210" s="95"/>
    </row>
    <row r="211" spans="1:53" s="87" customFormat="1">
      <c r="A211" s="90" t="str">
        <f t="shared" si="28"/>
        <v/>
      </c>
      <c r="B211" s="98">
        <v>16</v>
      </c>
      <c r="C211" s="94" t="s">
        <v>210</v>
      </c>
      <c r="D211" s="94">
        <v>2</v>
      </c>
      <c r="E211" s="94">
        <v>-3</v>
      </c>
      <c r="F211" s="94" t="s">
        <v>210</v>
      </c>
      <c r="G211" s="94" t="s">
        <v>210</v>
      </c>
      <c r="H211" s="94">
        <v>-5</v>
      </c>
      <c r="I211" s="94">
        <v>6</v>
      </c>
      <c r="J211" s="94" t="s">
        <v>210</v>
      </c>
      <c r="K211" s="94" t="s">
        <v>210</v>
      </c>
      <c r="L211" s="94">
        <v>-1</v>
      </c>
      <c r="M211" s="94">
        <v>4</v>
      </c>
      <c r="N211" s="94" t="s">
        <v>210</v>
      </c>
      <c r="O211" s="94" t="s">
        <v>210</v>
      </c>
      <c r="P211" s="94">
        <v>-2</v>
      </c>
      <c r="Q211" s="94">
        <v>5</v>
      </c>
      <c r="R211" s="94" t="s">
        <v>210</v>
      </c>
      <c r="S211" s="94" t="s">
        <v>210</v>
      </c>
      <c r="T211" s="94">
        <v>-6</v>
      </c>
      <c r="U211" s="94" t="s">
        <v>202</v>
      </c>
      <c r="V211" s="94" t="s">
        <v>210</v>
      </c>
      <c r="W211" s="94" t="s">
        <v>210</v>
      </c>
      <c r="X211" s="94">
        <v>1</v>
      </c>
      <c r="Y211" s="94">
        <v>3</v>
      </c>
      <c r="Z211" s="94" t="s">
        <v>210</v>
      </c>
      <c r="AA211" s="94" t="s">
        <v>210</v>
      </c>
      <c r="AB211" s="94">
        <v>-4</v>
      </c>
      <c r="AC211" s="94"/>
      <c r="AD211" s="94"/>
      <c r="AE211" s="94"/>
      <c r="AF211" s="94"/>
      <c r="AG211" s="94"/>
      <c r="AH211" s="94"/>
      <c r="AI211" s="94"/>
      <c r="AJ211" s="94"/>
      <c r="AK211" s="94"/>
      <c r="AL211" s="94"/>
      <c r="AM211" s="94"/>
      <c r="AN211" s="94"/>
      <c r="AO211" s="94"/>
      <c r="AP211" s="94"/>
      <c r="AQ211" s="94"/>
      <c r="AR211" s="94"/>
      <c r="AS211" s="94"/>
      <c r="AT211" s="94"/>
      <c r="AU211" s="94"/>
      <c r="AV211" s="94"/>
      <c r="AW211" s="94"/>
      <c r="AX211" s="94"/>
      <c r="AY211" s="94"/>
      <c r="BA211" s="95"/>
    </row>
    <row r="212" spans="1:53" s="87" customFormat="1">
      <c r="A212" s="90" t="str">
        <f t="shared" si="28"/>
        <v/>
      </c>
      <c r="B212" s="98">
        <v>17</v>
      </c>
      <c r="C212" s="94" t="s">
        <v>210</v>
      </c>
      <c r="D212" s="94">
        <v>6</v>
      </c>
      <c r="E212" s="94">
        <v>4</v>
      </c>
      <c r="F212" s="94" t="s">
        <v>210</v>
      </c>
      <c r="G212" s="94" t="s">
        <v>210</v>
      </c>
      <c r="H212" s="94">
        <v>-1</v>
      </c>
      <c r="I212" s="94" t="s">
        <v>202</v>
      </c>
      <c r="J212" s="94" t="s">
        <v>210</v>
      </c>
      <c r="K212" s="94" t="s">
        <v>210</v>
      </c>
      <c r="L212" s="94">
        <v>3</v>
      </c>
      <c r="M212" s="94">
        <v>-2</v>
      </c>
      <c r="N212" s="94" t="s">
        <v>210</v>
      </c>
      <c r="O212" s="94" t="s">
        <v>210</v>
      </c>
      <c r="P212" s="94">
        <v>5</v>
      </c>
      <c r="Q212" s="94">
        <v>-6</v>
      </c>
      <c r="R212" s="94" t="s">
        <v>210</v>
      </c>
      <c r="S212" s="94" t="s">
        <v>210</v>
      </c>
      <c r="T212" s="94">
        <v>1</v>
      </c>
      <c r="U212" s="94">
        <v>-4</v>
      </c>
      <c r="V212" s="94" t="s">
        <v>210</v>
      </c>
      <c r="W212" s="94" t="s">
        <v>210</v>
      </c>
      <c r="X212" s="94">
        <v>2</v>
      </c>
      <c r="Y212" s="94">
        <v>-3</v>
      </c>
      <c r="Z212" s="94" t="s">
        <v>210</v>
      </c>
      <c r="AA212" s="94" t="s">
        <v>210</v>
      </c>
      <c r="AB212" s="94">
        <v>-5</v>
      </c>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BA212" s="95"/>
    </row>
    <row r="213" spans="1:53" s="87" customFormat="1">
      <c r="A213" s="90" t="str">
        <f t="shared" si="28"/>
        <v/>
      </c>
      <c r="B213" s="98">
        <v>18</v>
      </c>
      <c r="C213" s="94" t="s">
        <v>210</v>
      </c>
      <c r="D213" s="94">
        <v>-5</v>
      </c>
      <c r="E213" s="94">
        <v>1</v>
      </c>
      <c r="F213" s="94" t="s">
        <v>210</v>
      </c>
      <c r="G213" s="94" t="s">
        <v>210</v>
      </c>
      <c r="H213" s="94">
        <v>6</v>
      </c>
      <c r="I213" s="94">
        <v>-2</v>
      </c>
      <c r="J213" s="94" t="s">
        <v>210</v>
      </c>
      <c r="K213" s="94" t="s">
        <v>210</v>
      </c>
      <c r="L213" s="94">
        <v>-4</v>
      </c>
      <c r="M213" s="94">
        <v>-3</v>
      </c>
      <c r="N213" s="94" t="s">
        <v>210</v>
      </c>
      <c r="O213" s="94" t="s">
        <v>210</v>
      </c>
      <c r="P213" s="94">
        <v>-6</v>
      </c>
      <c r="Q213" s="94">
        <v>2</v>
      </c>
      <c r="R213" s="94" t="s">
        <v>210</v>
      </c>
      <c r="S213" s="94" t="s">
        <v>210</v>
      </c>
      <c r="T213" s="94" t="s">
        <v>202</v>
      </c>
      <c r="U213" s="94">
        <v>3</v>
      </c>
      <c r="V213" s="94" t="s">
        <v>210</v>
      </c>
      <c r="W213" s="94" t="s">
        <v>210</v>
      </c>
      <c r="X213" s="94">
        <v>-1</v>
      </c>
      <c r="Y213" s="94">
        <v>4</v>
      </c>
      <c r="Z213" s="94" t="s">
        <v>210</v>
      </c>
      <c r="AA213" s="94" t="s">
        <v>210</v>
      </c>
      <c r="AB213" s="94">
        <v>5</v>
      </c>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BA213" s="95"/>
    </row>
    <row r="214" spans="1:53" s="87" customFormat="1">
      <c r="A214" s="90" t="str">
        <f t="shared" si="28"/>
        <v/>
      </c>
      <c r="B214" s="98">
        <v>19</v>
      </c>
      <c r="C214" s="94" t="s">
        <v>210</v>
      </c>
      <c r="D214" s="94">
        <v>1</v>
      </c>
      <c r="E214" s="94">
        <v>-5</v>
      </c>
      <c r="F214" s="94" t="s">
        <v>210</v>
      </c>
      <c r="G214" s="94" t="s">
        <v>210</v>
      </c>
      <c r="H214" s="94" t="s">
        <v>202</v>
      </c>
      <c r="I214" s="94">
        <v>4</v>
      </c>
      <c r="J214" s="94" t="s">
        <v>210</v>
      </c>
      <c r="K214" s="94" t="s">
        <v>210</v>
      </c>
      <c r="L214" s="94">
        <v>6</v>
      </c>
      <c r="M214" s="94">
        <v>3</v>
      </c>
      <c r="N214" s="94" t="s">
        <v>210</v>
      </c>
      <c r="O214" s="94" t="s">
        <v>210</v>
      </c>
      <c r="P214" s="94">
        <v>2</v>
      </c>
      <c r="Q214" s="94">
        <v>-4</v>
      </c>
      <c r="R214" s="94" t="s">
        <v>210</v>
      </c>
      <c r="S214" s="94" t="s">
        <v>210</v>
      </c>
      <c r="T214" s="94">
        <v>-1</v>
      </c>
      <c r="U214" s="94">
        <v>5</v>
      </c>
      <c r="V214" s="94" t="s">
        <v>210</v>
      </c>
      <c r="W214" s="94" t="s">
        <v>210</v>
      </c>
      <c r="X214" s="94">
        <v>-6</v>
      </c>
      <c r="Y214" s="94">
        <v>-2</v>
      </c>
      <c r="Z214" s="94" t="s">
        <v>210</v>
      </c>
      <c r="AA214" s="94" t="s">
        <v>210</v>
      </c>
      <c r="AB214" s="94">
        <v>-3</v>
      </c>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BA214" s="95"/>
    </row>
    <row r="215" spans="1:53" s="87" customFormat="1">
      <c r="A215" s="90" t="str">
        <f t="shared" si="28"/>
        <v/>
      </c>
      <c r="B215" s="98">
        <v>20</v>
      </c>
      <c r="C215" s="94" t="s">
        <v>210</v>
      </c>
      <c r="D215" s="94">
        <v>4</v>
      </c>
      <c r="E215" s="94" t="s">
        <v>202</v>
      </c>
      <c r="F215" s="94" t="s">
        <v>210</v>
      </c>
      <c r="G215" s="94" t="s">
        <v>210</v>
      </c>
      <c r="H215" s="94">
        <v>2</v>
      </c>
      <c r="I215" s="94">
        <v>-3</v>
      </c>
      <c r="J215" s="94" t="s">
        <v>210</v>
      </c>
      <c r="K215" s="94" t="s">
        <v>210</v>
      </c>
      <c r="L215" s="94">
        <v>1</v>
      </c>
      <c r="M215" s="94">
        <v>-5</v>
      </c>
      <c r="N215" s="94" t="s">
        <v>210</v>
      </c>
      <c r="O215" s="94" t="s">
        <v>210</v>
      </c>
      <c r="P215" s="94">
        <v>6</v>
      </c>
      <c r="Q215" s="94">
        <v>-1</v>
      </c>
      <c r="R215" s="94" t="s">
        <v>210</v>
      </c>
      <c r="S215" s="94" t="s">
        <v>210</v>
      </c>
      <c r="T215" s="94">
        <v>-4</v>
      </c>
      <c r="U215" s="94">
        <v>-6</v>
      </c>
      <c r="V215" s="94" t="s">
        <v>210</v>
      </c>
      <c r="W215" s="94" t="s">
        <v>210</v>
      </c>
      <c r="X215" s="94">
        <v>-2</v>
      </c>
      <c r="Y215" s="94">
        <v>5</v>
      </c>
      <c r="Z215" s="94" t="s">
        <v>210</v>
      </c>
      <c r="AA215" s="94" t="s">
        <v>210</v>
      </c>
      <c r="AB215" s="94">
        <v>3</v>
      </c>
      <c r="AC215" s="94"/>
      <c r="AD215" s="94"/>
      <c r="AE215" s="94"/>
      <c r="AF215" s="94"/>
      <c r="AG215" s="94"/>
      <c r="AH215" s="94"/>
      <c r="AI215" s="94"/>
      <c r="AJ215" s="94"/>
      <c r="AK215" s="94"/>
      <c r="AL215" s="94"/>
      <c r="AM215" s="94"/>
      <c r="AN215" s="94"/>
      <c r="AO215" s="94"/>
      <c r="AP215" s="94"/>
      <c r="AQ215" s="94"/>
      <c r="AR215" s="94"/>
      <c r="AS215" s="94"/>
      <c r="AT215" s="94"/>
      <c r="AU215" s="94"/>
      <c r="AV215" s="94"/>
      <c r="AW215" s="94"/>
      <c r="AX215" s="94"/>
      <c r="AY215" s="94"/>
      <c r="BA215" s="95"/>
    </row>
    <row r="216" spans="1:53" s="87" customFormat="1">
      <c r="A216" s="90" t="str">
        <f t="shared" si="28"/>
        <v/>
      </c>
      <c r="B216" s="98">
        <v>21</v>
      </c>
      <c r="C216" s="94" t="s">
        <v>210</v>
      </c>
      <c r="D216" s="94">
        <v>5</v>
      </c>
      <c r="E216" s="94">
        <v>6</v>
      </c>
      <c r="F216" s="94" t="s">
        <v>210</v>
      </c>
      <c r="G216" s="94" t="s">
        <v>210</v>
      </c>
      <c r="H216" s="94">
        <v>-2</v>
      </c>
      <c r="I216" s="94">
        <v>-4</v>
      </c>
      <c r="J216" s="94" t="s">
        <v>210</v>
      </c>
      <c r="K216" s="94" t="s">
        <v>210</v>
      </c>
      <c r="L216" s="94">
        <v>-3</v>
      </c>
      <c r="M216" s="94" t="s">
        <v>202</v>
      </c>
      <c r="N216" s="94" t="s">
        <v>210</v>
      </c>
      <c r="O216" s="94" t="s">
        <v>210</v>
      </c>
      <c r="P216" s="94">
        <v>1</v>
      </c>
      <c r="Q216" s="94">
        <v>-5</v>
      </c>
      <c r="R216" s="94" t="s">
        <v>210</v>
      </c>
      <c r="S216" s="94" t="s">
        <v>210</v>
      </c>
      <c r="T216" s="94">
        <v>3</v>
      </c>
      <c r="U216" s="94">
        <v>2</v>
      </c>
      <c r="V216" s="94" t="s">
        <v>210</v>
      </c>
      <c r="W216" s="94" t="s">
        <v>210</v>
      </c>
      <c r="X216" s="94">
        <v>4</v>
      </c>
      <c r="Y216" s="94">
        <v>-1</v>
      </c>
      <c r="Z216" s="94" t="s">
        <v>210</v>
      </c>
      <c r="AA216" s="94" t="s">
        <v>210</v>
      </c>
      <c r="AB216" s="94">
        <v>-6</v>
      </c>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BA216" s="95"/>
    </row>
    <row r="217" spans="1:53" s="87" customFormat="1">
      <c r="A217" s="90" t="str">
        <f t="shared" si="28"/>
        <v/>
      </c>
      <c r="B217" s="98">
        <v>22</v>
      </c>
      <c r="C217" s="94" t="s">
        <v>210</v>
      </c>
      <c r="D217" s="94" t="s">
        <v>202</v>
      </c>
      <c r="E217" s="94">
        <v>-2</v>
      </c>
      <c r="F217" s="94" t="s">
        <v>210</v>
      </c>
      <c r="G217" s="94" t="s">
        <v>210</v>
      </c>
      <c r="H217" s="94">
        <v>-6</v>
      </c>
      <c r="I217" s="94">
        <v>-1</v>
      </c>
      <c r="J217" s="94" t="s">
        <v>210</v>
      </c>
      <c r="K217" s="94" t="s">
        <v>210</v>
      </c>
      <c r="L217" s="94">
        <v>5</v>
      </c>
      <c r="M217" s="94">
        <v>-4</v>
      </c>
      <c r="N217" s="94" t="s">
        <v>210</v>
      </c>
      <c r="O217" s="94" t="s">
        <v>210</v>
      </c>
      <c r="P217" s="94">
        <v>3</v>
      </c>
      <c r="Q217" s="94">
        <v>1</v>
      </c>
      <c r="R217" s="94" t="s">
        <v>210</v>
      </c>
      <c r="S217" s="94" t="s">
        <v>210</v>
      </c>
      <c r="T217" s="94">
        <v>-5</v>
      </c>
      <c r="U217" s="94">
        <v>4</v>
      </c>
      <c r="V217" s="94" t="s">
        <v>210</v>
      </c>
      <c r="W217" s="94" t="s">
        <v>210</v>
      </c>
      <c r="X217" s="94">
        <v>-3</v>
      </c>
      <c r="Y217" s="94">
        <v>2</v>
      </c>
      <c r="Z217" s="94" t="s">
        <v>210</v>
      </c>
      <c r="AA217" s="94" t="s">
        <v>210</v>
      </c>
      <c r="AB217" s="94">
        <v>6</v>
      </c>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c r="BA217" s="95"/>
    </row>
    <row r="218" spans="1:53" s="87" customFormat="1">
      <c r="A218" s="90" t="str">
        <f t="shared" si="28"/>
        <v/>
      </c>
      <c r="B218" s="98">
        <v>23</v>
      </c>
      <c r="C218" s="94" t="s">
        <v>210</v>
      </c>
      <c r="D218" s="94">
        <v>-1</v>
      </c>
      <c r="E218" s="94">
        <v>-6</v>
      </c>
      <c r="F218" s="94" t="s">
        <v>210</v>
      </c>
      <c r="G218" s="94" t="s">
        <v>210</v>
      </c>
      <c r="H218" s="94">
        <v>4</v>
      </c>
      <c r="I218" s="94">
        <v>3</v>
      </c>
      <c r="J218" s="94" t="s">
        <v>210</v>
      </c>
      <c r="K218" s="94" t="s">
        <v>210</v>
      </c>
      <c r="L218" s="94">
        <v>-5</v>
      </c>
      <c r="M218" s="94">
        <v>2</v>
      </c>
      <c r="N218" s="94" t="s">
        <v>210</v>
      </c>
      <c r="O218" s="94" t="s">
        <v>210</v>
      </c>
      <c r="P218" s="94" t="s">
        <v>202</v>
      </c>
      <c r="Q218" s="94">
        <v>-3</v>
      </c>
      <c r="R218" s="94" t="s">
        <v>210</v>
      </c>
      <c r="S218" s="94" t="s">
        <v>210</v>
      </c>
      <c r="T218" s="94">
        <v>6</v>
      </c>
      <c r="U218" s="94">
        <v>1</v>
      </c>
      <c r="V218" s="94" t="s">
        <v>210</v>
      </c>
      <c r="W218" s="94" t="s">
        <v>210</v>
      </c>
      <c r="X218" s="94">
        <v>5</v>
      </c>
      <c r="Y218" s="94">
        <v>-4</v>
      </c>
      <c r="Z218" s="94" t="s">
        <v>210</v>
      </c>
      <c r="AA218" s="94" t="s">
        <v>210</v>
      </c>
      <c r="AB218" s="94">
        <v>-2</v>
      </c>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BA218" s="95"/>
    </row>
    <row r="219" spans="1:53" s="87" customFormat="1">
      <c r="A219" s="90" t="str">
        <f t="shared" si="28"/>
        <v/>
      </c>
      <c r="B219" s="98">
        <v>24</v>
      </c>
      <c r="C219" s="94" t="s">
        <v>210</v>
      </c>
      <c r="D219" s="94">
        <v>-4</v>
      </c>
      <c r="E219" s="94">
        <v>3</v>
      </c>
      <c r="F219" s="94" t="s">
        <v>210</v>
      </c>
      <c r="G219" s="94" t="s">
        <v>210</v>
      </c>
      <c r="H219" s="94">
        <v>1</v>
      </c>
      <c r="I219" s="94">
        <v>-5</v>
      </c>
      <c r="J219" s="94" t="s">
        <v>210</v>
      </c>
      <c r="K219" s="94" t="s">
        <v>210</v>
      </c>
      <c r="L219" s="94">
        <v>-2</v>
      </c>
      <c r="M219" s="94">
        <v>6</v>
      </c>
      <c r="N219" s="94" t="s">
        <v>210</v>
      </c>
      <c r="O219" s="94" t="s">
        <v>210</v>
      </c>
      <c r="P219" s="94">
        <v>-1</v>
      </c>
      <c r="Q219" s="94">
        <v>4</v>
      </c>
      <c r="R219" s="94" t="s">
        <v>210</v>
      </c>
      <c r="S219" s="94" t="s">
        <v>210</v>
      </c>
      <c r="T219" s="94">
        <v>5</v>
      </c>
      <c r="U219" s="94">
        <v>-3</v>
      </c>
      <c r="V219" s="94" t="s">
        <v>210</v>
      </c>
      <c r="W219" s="94" t="s">
        <v>210</v>
      </c>
      <c r="X219" s="94" t="s">
        <v>202</v>
      </c>
      <c r="Y219" s="94">
        <v>-6</v>
      </c>
      <c r="Z219" s="94" t="s">
        <v>210</v>
      </c>
      <c r="AA219" s="94" t="s">
        <v>210</v>
      </c>
      <c r="AB219" s="94">
        <v>2</v>
      </c>
      <c r="AC219" s="94"/>
      <c r="AD219" s="94"/>
      <c r="AE219" s="94"/>
      <c r="AF219" s="94"/>
      <c r="AG219" s="94"/>
      <c r="AH219" s="94"/>
      <c r="AI219" s="94"/>
      <c r="AJ219" s="94"/>
      <c r="AK219" s="94"/>
      <c r="AL219" s="94"/>
      <c r="AM219" s="94"/>
      <c r="AN219" s="94"/>
      <c r="AO219" s="94"/>
      <c r="AP219" s="94"/>
      <c r="AQ219" s="94"/>
      <c r="AR219" s="94"/>
      <c r="AS219" s="94"/>
      <c r="AT219" s="94"/>
      <c r="AU219" s="94"/>
      <c r="AV219" s="94"/>
      <c r="AW219" s="94"/>
      <c r="AX219" s="94"/>
      <c r="AY219" s="94"/>
      <c r="BA219" s="95"/>
    </row>
    <row r="220" spans="1:53" s="87" customFormat="1">
      <c r="A220" s="90" t="str">
        <f t="shared" si="28"/>
        <v/>
      </c>
      <c r="B220" s="98">
        <v>25</v>
      </c>
      <c r="C220" s="94" t="s">
        <v>210</v>
      </c>
      <c r="D220" s="94">
        <v>3</v>
      </c>
      <c r="E220" s="94">
        <v>-4</v>
      </c>
      <c r="F220" s="94" t="s">
        <v>210</v>
      </c>
      <c r="G220" s="94" t="s">
        <v>210</v>
      </c>
      <c r="H220" s="94">
        <v>5</v>
      </c>
      <c r="I220" s="94">
        <v>2</v>
      </c>
      <c r="J220" s="94" t="s">
        <v>210</v>
      </c>
      <c r="K220" s="94" t="s">
        <v>210</v>
      </c>
      <c r="L220" s="94">
        <v>-6</v>
      </c>
      <c r="M220" s="94">
        <v>-1</v>
      </c>
      <c r="N220" s="94" t="s">
        <v>210</v>
      </c>
      <c r="O220" s="94" t="s">
        <v>210</v>
      </c>
      <c r="P220" s="94">
        <v>-3</v>
      </c>
      <c r="Q220" s="94" t="s">
        <v>202</v>
      </c>
      <c r="R220" s="94" t="s">
        <v>210</v>
      </c>
      <c r="S220" s="94" t="s">
        <v>210</v>
      </c>
      <c r="T220" s="94">
        <v>4</v>
      </c>
      <c r="U220" s="94">
        <v>-2</v>
      </c>
      <c r="V220" s="94" t="s">
        <v>210</v>
      </c>
      <c r="W220" s="94" t="s">
        <v>210</v>
      </c>
      <c r="X220" s="94">
        <v>-5</v>
      </c>
      <c r="Y220" s="94">
        <v>6</v>
      </c>
      <c r="Z220" s="94" t="s">
        <v>210</v>
      </c>
      <c r="AA220" s="94" t="s">
        <v>210</v>
      </c>
      <c r="AB220" s="94">
        <v>1</v>
      </c>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BA220" s="95"/>
    </row>
    <row r="221" spans="1:53" s="87" customFormat="1">
      <c r="A221" s="90" t="str">
        <f t="shared" si="28"/>
        <v/>
      </c>
      <c r="B221" s="98">
        <v>26</v>
      </c>
      <c r="C221" s="94" t="s">
        <v>210</v>
      </c>
      <c r="D221" s="94">
        <v>-2</v>
      </c>
      <c r="E221" s="94">
        <v>5</v>
      </c>
      <c r="F221" s="94" t="s">
        <v>210</v>
      </c>
      <c r="G221" s="94" t="s">
        <v>210</v>
      </c>
      <c r="H221" s="94">
        <v>-3</v>
      </c>
      <c r="I221" s="94">
        <v>1</v>
      </c>
      <c r="J221" s="94" t="s">
        <v>210</v>
      </c>
      <c r="K221" s="94" t="s">
        <v>210</v>
      </c>
      <c r="L221" s="94">
        <v>4</v>
      </c>
      <c r="M221" s="94">
        <v>-6</v>
      </c>
      <c r="N221" s="94" t="s">
        <v>210</v>
      </c>
      <c r="O221" s="94" t="s">
        <v>210</v>
      </c>
      <c r="P221" s="94">
        <v>-5</v>
      </c>
      <c r="Q221" s="94">
        <v>3</v>
      </c>
      <c r="R221" s="94" t="s">
        <v>210</v>
      </c>
      <c r="S221" s="94" t="s">
        <v>210</v>
      </c>
      <c r="T221" s="94">
        <v>2</v>
      </c>
      <c r="U221" s="94">
        <v>6</v>
      </c>
      <c r="V221" s="94" t="s">
        <v>210</v>
      </c>
      <c r="W221" s="94" t="s">
        <v>210</v>
      </c>
      <c r="X221" s="94">
        <v>-4</v>
      </c>
      <c r="Y221" s="94" t="s">
        <v>202</v>
      </c>
      <c r="Z221" s="94" t="s">
        <v>210</v>
      </c>
      <c r="AA221" s="94" t="s">
        <v>210</v>
      </c>
      <c r="AB221" s="94">
        <v>-1</v>
      </c>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BA221" s="95"/>
    </row>
    <row r="222" spans="1:53" s="87" customFormat="1">
      <c r="A222" s="90" t="str">
        <f t="shared" si="28"/>
        <v/>
      </c>
      <c r="B222" s="98">
        <v>27</v>
      </c>
      <c r="C222" s="94" t="s">
        <v>210</v>
      </c>
      <c r="D222" s="94">
        <v>-3</v>
      </c>
      <c r="E222" s="94">
        <v>-1</v>
      </c>
      <c r="F222" s="94" t="s">
        <v>210</v>
      </c>
      <c r="G222" s="94" t="s">
        <v>210</v>
      </c>
      <c r="H222" s="94">
        <v>-4</v>
      </c>
      <c r="I222" s="94">
        <v>-6</v>
      </c>
      <c r="J222" s="94" t="s">
        <v>210</v>
      </c>
      <c r="K222" s="94" t="s">
        <v>210</v>
      </c>
      <c r="L222" s="94">
        <v>2</v>
      </c>
      <c r="M222" s="94">
        <v>5</v>
      </c>
      <c r="N222" s="94" t="s">
        <v>210</v>
      </c>
      <c r="O222" s="94" t="s">
        <v>210</v>
      </c>
      <c r="P222" s="94">
        <v>4</v>
      </c>
      <c r="Q222" s="94">
        <v>6</v>
      </c>
      <c r="R222" s="94" t="s">
        <v>210</v>
      </c>
      <c r="S222" s="94" t="s">
        <v>210</v>
      </c>
      <c r="T222" s="94">
        <v>-2</v>
      </c>
      <c r="U222" s="94">
        <v>-5</v>
      </c>
      <c r="V222" s="94" t="s">
        <v>210</v>
      </c>
      <c r="W222" s="94" t="s">
        <v>210</v>
      </c>
      <c r="X222" s="94">
        <v>3</v>
      </c>
      <c r="Y222" s="94">
        <v>1</v>
      </c>
      <c r="Z222" s="94" t="s">
        <v>210</v>
      </c>
      <c r="AA222" s="94" t="s">
        <v>210</v>
      </c>
      <c r="AB222" s="94" t="s">
        <v>202</v>
      </c>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BA222" s="95"/>
    </row>
    <row r="223" spans="1:53" s="87" customFormat="1">
      <c r="A223" s="90" t="str">
        <f t="shared" si="28"/>
        <v/>
      </c>
      <c r="B223" s="98" t="s">
        <v>420</v>
      </c>
      <c r="C223" s="94"/>
      <c r="D223" s="94"/>
      <c r="E223" s="94"/>
      <c r="F223" s="94"/>
      <c r="G223" s="94"/>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c r="AI223" s="94"/>
      <c r="AJ223" s="94"/>
      <c r="AK223" s="94"/>
      <c r="AL223" s="94"/>
      <c r="AM223" s="94"/>
      <c r="AN223" s="94"/>
      <c r="AO223" s="94"/>
      <c r="AP223" s="94"/>
      <c r="AQ223" s="94"/>
      <c r="AR223" s="94"/>
      <c r="AS223" s="94"/>
      <c r="AT223" s="94"/>
      <c r="AU223" s="94"/>
      <c r="AV223" s="94"/>
      <c r="AW223" s="94"/>
      <c r="AX223" s="94"/>
      <c r="AY223" s="94"/>
      <c r="BA223" s="95"/>
    </row>
    <row r="224" spans="1:53" s="87" customFormat="1">
      <c r="A224" s="90">
        <f t="shared" si="28"/>
        <v>224</v>
      </c>
      <c r="B224" s="98" t="s">
        <v>426</v>
      </c>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BA224" s="95"/>
    </row>
    <row r="225" spans="1:53" s="87" customFormat="1">
      <c r="A225" s="90" t="str">
        <f t="shared" si="28"/>
        <v/>
      </c>
      <c r="B225" s="98">
        <v>1</v>
      </c>
      <c r="C225" s="94">
        <v>-3</v>
      </c>
      <c r="D225" s="94" t="s">
        <v>210</v>
      </c>
      <c r="E225" s="94" t="s">
        <v>210</v>
      </c>
      <c r="F225" s="94">
        <v>7</v>
      </c>
      <c r="G225" s="94">
        <v>-5</v>
      </c>
      <c r="H225" s="94" t="s">
        <v>210</v>
      </c>
      <c r="I225" s="94" t="s">
        <v>210</v>
      </c>
      <c r="J225" s="94">
        <v>2</v>
      </c>
      <c r="K225" s="94">
        <v>-4</v>
      </c>
      <c r="L225" s="94" t="s">
        <v>210</v>
      </c>
      <c r="M225" s="94" t="s">
        <v>210</v>
      </c>
      <c r="N225" s="94">
        <v>6</v>
      </c>
      <c r="O225" s="94">
        <v>-1</v>
      </c>
      <c r="P225" s="94" t="s">
        <v>210</v>
      </c>
      <c r="Q225" s="94" t="s">
        <v>210</v>
      </c>
      <c r="R225" s="94">
        <v>3</v>
      </c>
      <c r="S225" s="94">
        <v>-7</v>
      </c>
      <c r="T225" s="94" t="s">
        <v>210</v>
      </c>
      <c r="U225" s="94" t="s">
        <v>210</v>
      </c>
      <c r="V225" s="94">
        <v>5</v>
      </c>
      <c r="W225" s="94">
        <v>-2</v>
      </c>
      <c r="X225" s="94" t="s">
        <v>210</v>
      </c>
      <c r="Y225" s="94" t="s">
        <v>210</v>
      </c>
      <c r="Z225" s="94">
        <v>4</v>
      </c>
      <c r="AA225" s="94">
        <v>-6</v>
      </c>
      <c r="AB225" s="94" t="s">
        <v>210</v>
      </c>
      <c r="AC225" s="94" t="s">
        <v>210</v>
      </c>
      <c r="AD225" s="94">
        <v>1</v>
      </c>
      <c r="AE225" s="94"/>
      <c r="AF225" s="94"/>
      <c r="AG225" s="94"/>
      <c r="AH225" s="94"/>
      <c r="AI225" s="94"/>
      <c r="AJ225" s="94"/>
      <c r="AK225" s="94"/>
      <c r="AL225" s="94"/>
      <c r="AM225" s="94"/>
      <c r="AN225" s="94"/>
      <c r="AO225" s="94"/>
      <c r="AP225" s="94"/>
      <c r="AQ225" s="94"/>
      <c r="AR225" s="94"/>
      <c r="AS225" s="94"/>
      <c r="AT225" s="94"/>
      <c r="AU225" s="94"/>
      <c r="AV225" s="94"/>
      <c r="AW225" s="94"/>
      <c r="AX225" s="94"/>
      <c r="AY225" s="94"/>
      <c r="BA225" s="95"/>
    </row>
    <row r="226" spans="1:53" s="87" customFormat="1">
      <c r="A226" s="90" t="str">
        <f t="shared" si="28"/>
        <v/>
      </c>
      <c r="B226" s="98">
        <v>2</v>
      </c>
      <c r="C226" s="94">
        <v>-4</v>
      </c>
      <c r="D226" s="94" t="s">
        <v>210</v>
      </c>
      <c r="E226" s="94" t="s">
        <v>210</v>
      </c>
      <c r="F226" s="94">
        <v>6</v>
      </c>
      <c r="G226" s="94">
        <v>-1</v>
      </c>
      <c r="H226" s="94" t="s">
        <v>210</v>
      </c>
      <c r="I226" s="94" t="s">
        <v>210</v>
      </c>
      <c r="J226" s="94">
        <v>3</v>
      </c>
      <c r="K226" s="94">
        <v>-7</v>
      </c>
      <c r="L226" s="94" t="s">
        <v>210</v>
      </c>
      <c r="M226" s="94" t="s">
        <v>210</v>
      </c>
      <c r="N226" s="94">
        <v>5</v>
      </c>
      <c r="O226" s="94">
        <v>-2</v>
      </c>
      <c r="P226" s="94" t="s">
        <v>210</v>
      </c>
      <c r="Q226" s="94" t="s">
        <v>210</v>
      </c>
      <c r="R226" s="94">
        <v>4</v>
      </c>
      <c r="S226" s="94">
        <v>-6</v>
      </c>
      <c r="T226" s="94" t="s">
        <v>210</v>
      </c>
      <c r="U226" s="94" t="s">
        <v>210</v>
      </c>
      <c r="V226" s="94">
        <v>1</v>
      </c>
      <c r="W226" s="94">
        <v>-3</v>
      </c>
      <c r="X226" s="94" t="s">
        <v>210</v>
      </c>
      <c r="Y226" s="94" t="s">
        <v>210</v>
      </c>
      <c r="Z226" s="94">
        <v>7</v>
      </c>
      <c r="AA226" s="94">
        <v>-5</v>
      </c>
      <c r="AB226" s="94" t="s">
        <v>210</v>
      </c>
      <c r="AC226" s="94" t="s">
        <v>210</v>
      </c>
      <c r="AD226" s="94">
        <v>2</v>
      </c>
      <c r="AE226" s="94"/>
      <c r="AF226" s="94"/>
      <c r="AG226" s="94"/>
      <c r="AH226" s="94"/>
      <c r="AI226" s="94"/>
      <c r="AJ226" s="94"/>
      <c r="AK226" s="94"/>
      <c r="AL226" s="94"/>
      <c r="AM226" s="94"/>
      <c r="AN226" s="94"/>
      <c r="AO226" s="94"/>
      <c r="AP226" s="94"/>
      <c r="AQ226" s="94"/>
      <c r="AR226" s="94"/>
      <c r="AS226" s="94"/>
      <c r="AT226" s="94"/>
      <c r="AU226" s="94"/>
      <c r="AV226" s="94"/>
      <c r="AW226" s="94"/>
      <c r="AX226" s="94"/>
      <c r="AY226" s="94"/>
      <c r="BA226" s="95"/>
    </row>
    <row r="227" spans="1:53" s="87" customFormat="1">
      <c r="A227" s="90" t="str">
        <f t="shared" si="28"/>
        <v/>
      </c>
      <c r="B227" s="98">
        <v>3</v>
      </c>
      <c r="C227" s="94">
        <v>-5</v>
      </c>
      <c r="D227" s="94" t="s">
        <v>210</v>
      </c>
      <c r="E227" s="94" t="s">
        <v>210</v>
      </c>
      <c r="F227" s="94">
        <v>2</v>
      </c>
      <c r="G227" s="94">
        <v>-4</v>
      </c>
      <c r="H227" s="94" t="s">
        <v>210</v>
      </c>
      <c r="I227" s="94" t="s">
        <v>210</v>
      </c>
      <c r="J227" s="94">
        <v>6</v>
      </c>
      <c r="K227" s="94">
        <v>-1</v>
      </c>
      <c r="L227" s="94" t="s">
        <v>210</v>
      </c>
      <c r="M227" s="94" t="s">
        <v>210</v>
      </c>
      <c r="N227" s="94">
        <v>3</v>
      </c>
      <c r="O227" s="94">
        <v>-7</v>
      </c>
      <c r="P227" s="94" t="s">
        <v>210</v>
      </c>
      <c r="Q227" s="94" t="s">
        <v>210</v>
      </c>
      <c r="R227" s="94">
        <v>5</v>
      </c>
      <c r="S227" s="94">
        <v>-2</v>
      </c>
      <c r="T227" s="94" t="s">
        <v>210</v>
      </c>
      <c r="U227" s="94" t="s">
        <v>210</v>
      </c>
      <c r="V227" s="94">
        <v>4</v>
      </c>
      <c r="W227" s="94">
        <v>-6</v>
      </c>
      <c r="X227" s="94" t="s">
        <v>210</v>
      </c>
      <c r="Y227" s="94" t="s">
        <v>210</v>
      </c>
      <c r="Z227" s="94">
        <v>1</v>
      </c>
      <c r="AA227" s="94">
        <v>-3</v>
      </c>
      <c r="AB227" s="94" t="s">
        <v>210</v>
      </c>
      <c r="AC227" s="94" t="s">
        <v>210</v>
      </c>
      <c r="AD227" s="94">
        <v>7</v>
      </c>
      <c r="AE227" s="94"/>
      <c r="AF227" s="94"/>
      <c r="AG227" s="94"/>
      <c r="AH227" s="94"/>
      <c r="AI227" s="94"/>
      <c r="AJ227" s="94"/>
      <c r="AK227" s="94"/>
      <c r="AL227" s="94"/>
      <c r="AM227" s="94"/>
      <c r="AN227" s="94"/>
      <c r="AO227" s="94"/>
      <c r="AP227" s="94"/>
      <c r="AQ227" s="94"/>
      <c r="AR227" s="94"/>
      <c r="AS227" s="94"/>
      <c r="AT227" s="94"/>
      <c r="AU227" s="94"/>
      <c r="AV227" s="94"/>
      <c r="AW227" s="94"/>
      <c r="AX227" s="94"/>
      <c r="AY227" s="94"/>
      <c r="BA227" s="95"/>
    </row>
    <row r="228" spans="1:53" s="87" customFormat="1">
      <c r="A228" s="90" t="str">
        <f t="shared" si="28"/>
        <v/>
      </c>
      <c r="B228" s="98">
        <v>4</v>
      </c>
      <c r="C228" s="94">
        <v>-1</v>
      </c>
      <c r="D228" s="94" t="s">
        <v>210</v>
      </c>
      <c r="E228" s="94" t="s">
        <v>210</v>
      </c>
      <c r="F228" s="94">
        <v>3</v>
      </c>
      <c r="G228" s="94">
        <v>-7</v>
      </c>
      <c r="H228" s="94" t="s">
        <v>210</v>
      </c>
      <c r="I228" s="94" t="s">
        <v>210</v>
      </c>
      <c r="J228" s="94">
        <v>5</v>
      </c>
      <c r="K228" s="94">
        <v>-2</v>
      </c>
      <c r="L228" s="94" t="s">
        <v>210</v>
      </c>
      <c r="M228" s="94" t="s">
        <v>210</v>
      </c>
      <c r="N228" s="94">
        <v>4</v>
      </c>
      <c r="O228" s="94">
        <v>-6</v>
      </c>
      <c r="P228" s="94" t="s">
        <v>210</v>
      </c>
      <c r="Q228" s="94" t="s">
        <v>210</v>
      </c>
      <c r="R228" s="94">
        <v>1</v>
      </c>
      <c r="S228" s="94">
        <v>-3</v>
      </c>
      <c r="T228" s="94" t="s">
        <v>210</v>
      </c>
      <c r="U228" s="94" t="s">
        <v>210</v>
      </c>
      <c r="V228" s="94">
        <v>7</v>
      </c>
      <c r="W228" s="94">
        <v>-5</v>
      </c>
      <c r="X228" s="94" t="s">
        <v>210</v>
      </c>
      <c r="Y228" s="94" t="s">
        <v>210</v>
      </c>
      <c r="Z228" s="94">
        <v>2</v>
      </c>
      <c r="AA228" s="94">
        <v>-4</v>
      </c>
      <c r="AB228" s="94" t="s">
        <v>210</v>
      </c>
      <c r="AC228" s="94" t="s">
        <v>210</v>
      </c>
      <c r="AD228" s="94">
        <v>6</v>
      </c>
      <c r="AE228" s="94"/>
      <c r="AF228" s="94"/>
      <c r="AG228" s="94"/>
      <c r="AH228" s="94"/>
      <c r="AI228" s="94"/>
      <c r="AJ228" s="94"/>
      <c r="AK228" s="94"/>
      <c r="AL228" s="94"/>
      <c r="AM228" s="94"/>
      <c r="AN228" s="94"/>
      <c r="AO228" s="94"/>
      <c r="AP228" s="94"/>
      <c r="AQ228" s="94"/>
      <c r="AR228" s="94"/>
      <c r="AS228" s="94"/>
      <c r="AT228" s="94"/>
      <c r="AU228" s="94"/>
      <c r="AV228" s="94"/>
      <c r="AW228" s="94"/>
      <c r="AX228" s="94"/>
      <c r="AY228" s="94"/>
      <c r="BA228" s="95"/>
    </row>
    <row r="229" spans="1:53" s="87" customFormat="1">
      <c r="A229" s="90" t="str">
        <f t="shared" si="28"/>
        <v/>
      </c>
      <c r="B229" s="98">
        <v>5</v>
      </c>
      <c r="C229" s="94">
        <v>-2</v>
      </c>
      <c r="D229" s="94" t="s">
        <v>210</v>
      </c>
      <c r="E229" s="94" t="s">
        <v>210</v>
      </c>
      <c r="F229" s="94">
        <v>4</v>
      </c>
      <c r="G229" s="94">
        <v>-6</v>
      </c>
      <c r="H229" s="94" t="s">
        <v>210</v>
      </c>
      <c r="I229" s="94" t="s">
        <v>210</v>
      </c>
      <c r="J229" s="94">
        <v>1</v>
      </c>
      <c r="K229" s="94">
        <v>-3</v>
      </c>
      <c r="L229" s="94" t="s">
        <v>210</v>
      </c>
      <c r="M229" s="94" t="s">
        <v>210</v>
      </c>
      <c r="N229" s="94">
        <v>7</v>
      </c>
      <c r="O229" s="94">
        <v>-5</v>
      </c>
      <c r="P229" s="94" t="s">
        <v>210</v>
      </c>
      <c r="Q229" s="94" t="s">
        <v>210</v>
      </c>
      <c r="R229" s="94">
        <v>2</v>
      </c>
      <c r="S229" s="94">
        <v>-4</v>
      </c>
      <c r="T229" s="94" t="s">
        <v>210</v>
      </c>
      <c r="U229" s="94" t="s">
        <v>210</v>
      </c>
      <c r="V229" s="94">
        <v>6</v>
      </c>
      <c r="W229" s="94">
        <v>-1</v>
      </c>
      <c r="X229" s="94" t="s">
        <v>210</v>
      </c>
      <c r="Y229" s="94" t="s">
        <v>210</v>
      </c>
      <c r="Z229" s="94">
        <v>3</v>
      </c>
      <c r="AA229" s="94">
        <v>-7</v>
      </c>
      <c r="AB229" s="94" t="s">
        <v>210</v>
      </c>
      <c r="AC229" s="94" t="s">
        <v>210</v>
      </c>
      <c r="AD229" s="94">
        <v>5</v>
      </c>
      <c r="AE229" s="94"/>
      <c r="AF229" s="94"/>
      <c r="AG229" s="94"/>
      <c r="AH229" s="94"/>
      <c r="AI229" s="94"/>
      <c r="AJ229" s="94"/>
      <c r="AK229" s="94"/>
      <c r="AL229" s="94"/>
      <c r="AM229" s="94"/>
      <c r="AN229" s="94"/>
      <c r="AO229" s="94"/>
      <c r="AP229" s="94"/>
      <c r="AQ229" s="94"/>
      <c r="AR229" s="94"/>
      <c r="AS229" s="94"/>
      <c r="AT229" s="94"/>
      <c r="AU229" s="94"/>
      <c r="AV229" s="94"/>
      <c r="AW229" s="94"/>
      <c r="AX229" s="94"/>
      <c r="AY229" s="94"/>
      <c r="BA229" s="95"/>
    </row>
    <row r="230" spans="1:53" s="87" customFormat="1">
      <c r="A230" s="90" t="str">
        <f t="shared" si="28"/>
        <v/>
      </c>
      <c r="B230" s="98">
        <v>6</v>
      </c>
      <c r="C230" s="94">
        <v>-7</v>
      </c>
      <c r="D230" s="94" t="s">
        <v>210</v>
      </c>
      <c r="E230" s="94" t="s">
        <v>210</v>
      </c>
      <c r="F230" s="94">
        <v>5</v>
      </c>
      <c r="G230" s="94">
        <v>-2</v>
      </c>
      <c r="H230" s="94" t="s">
        <v>210</v>
      </c>
      <c r="I230" s="94" t="s">
        <v>210</v>
      </c>
      <c r="J230" s="94">
        <v>4</v>
      </c>
      <c r="K230" s="94">
        <v>-6</v>
      </c>
      <c r="L230" s="94" t="s">
        <v>210</v>
      </c>
      <c r="M230" s="94" t="s">
        <v>210</v>
      </c>
      <c r="N230" s="94">
        <v>1</v>
      </c>
      <c r="O230" s="94">
        <v>-3</v>
      </c>
      <c r="P230" s="94" t="s">
        <v>210</v>
      </c>
      <c r="Q230" s="94" t="s">
        <v>210</v>
      </c>
      <c r="R230" s="94">
        <v>7</v>
      </c>
      <c r="S230" s="94">
        <v>-5</v>
      </c>
      <c r="T230" s="94" t="s">
        <v>210</v>
      </c>
      <c r="U230" s="94" t="s">
        <v>210</v>
      </c>
      <c r="V230" s="94">
        <v>2</v>
      </c>
      <c r="W230" s="94">
        <v>-4</v>
      </c>
      <c r="X230" s="94" t="s">
        <v>210</v>
      </c>
      <c r="Y230" s="94" t="s">
        <v>210</v>
      </c>
      <c r="Z230" s="94">
        <v>6</v>
      </c>
      <c r="AA230" s="94">
        <v>-1</v>
      </c>
      <c r="AB230" s="94" t="s">
        <v>210</v>
      </c>
      <c r="AC230" s="94" t="s">
        <v>210</v>
      </c>
      <c r="AD230" s="94">
        <v>3</v>
      </c>
      <c r="AE230" s="94"/>
      <c r="AF230" s="94"/>
      <c r="AG230" s="94"/>
      <c r="AH230" s="94"/>
      <c r="AI230" s="94"/>
      <c r="AJ230" s="94"/>
      <c r="AK230" s="94"/>
      <c r="AL230" s="94"/>
      <c r="AM230" s="94"/>
      <c r="AN230" s="94"/>
      <c r="AO230" s="94"/>
      <c r="AP230" s="94"/>
      <c r="AQ230" s="94"/>
      <c r="AR230" s="94"/>
      <c r="AS230" s="94"/>
      <c r="AT230" s="94"/>
      <c r="AU230" s="94"/>
      <c r="AV230" s="94"/>
      <c r="AW230" s="94"/>
      <c r="AX230" s="94"/>
      <c r="AY230" s="94"/>
      <c r="BA230" s="95"/>
    </row>
    <row r="231" spans="1:53" s="87" customFormat="1">
      <c r="A231" s="90" t="str">
        <f t="shared" si="28"/>
        <v/>
      </c>
      <c r="B231" s="98">
        <v>7</v>
      </c>
      <c r="C231" s="94">
        <v>-6</v>
      </c>
      <c r="D231" s="94" t="s">
        <v>210</v>
      </c>
      <c r="E231" s="94" t="s">
        <v>210</v>
      </c>
      <c r="F231" s="94">
        <v>1</v>
      </c>
      <c r="G231" s="94">
        <v>-3</v>
      </c>
      <c r="H231" s="94" t="s">
        <v>210</v>
      </c>
      <c r="I231" s="94" t="s">
        <v>210</v>
      </c>
      <c r="J231" s="94">
        <v>7</v>
      </c>
      <c r="K231" s="94">
        <v>-5</v>
      </c>
      <c r="L231" s="94" t="s">
        <v>210</v>
      </c>
      <c r="M231" s="94" t="s">
        <v>210</v>
      </c>
      <c r="N231" s="94">
        <v>2</v>
      </c>
      <c r="O231" s="94">
        <v>-4</v>
      </c>
      <c r="P231" s="94" t="s">
        <v>210</v>
      </c>
      <c r="Q231" s="94" t="s">
        <v>210</v>
      </c>
      <c r="R231" s="94">
        <v>6</v>
      </c>
      <c r="S231" s="94">
        <v>-1</v>
      </c>
      <c r="T231" s="94" t="s">
        <v>210</v>
      </c>
      <c r="U231" s="94" t="s">
        <v>210</v>
      </c>
      <c r="V231" s="94">
        <v>3</v>
      </c>
      <c r="W231" s="94">
        <v>-7</v>
      </c>
      <c r="X231" s="94" t="s">
        <v>210</v>
      </c>
      <c r="Y231" s="94" t="s">
        <v>210</v>
      </c>
      <c r="Z231" s="94">
        <v>5</v>
      </c>
      <c r="AA231" s="94">
        <v>-2</v>
      </c>
      <c r="AB231" s="94" t="s">
        <v>210</v>
      </c>
      <c r="AC231" s="94" t="s">
        <v>210</v>
      </c>
      <c r="AD231" s="94">
        <v>4</v>
      </c>
      <c r="AE231" s="94"/>
      <c r="AF231" s="94"/>
      <c r="AG231" s="94"/>
      <c r="AH231" s="94"/>
      <c r="AI231" s="94"/>
      <c r="AJ231" s="94"/>
      <c r="AK231" s="94"/>
      <c r="AL231" s="94"/>
      <c r="AM231" s="94"/>
      <c r="AN231" s="94"/>
      <c r="AO231" s="94"/>
      <c r="AP231" s="94"/>
      <c r="AQ231" s="94"/>
      <c r="AR231" s="94"/>
      <c r="AS231" s="94"/>
      <c r="AT231" s="94"/>
      <c r="AU231" s="94"/>
      <c r="AV231" s="94"/>
      <c r="AW231" s="94"/>
      <c r="AX231" s="94"/>
      <c r="AY231" s="94"/>
      <c r="BA231" s="95"/>
    </row>
    <row r="232" spans="1:53" s="87" customFormat="1">
      <c r="A232" s="90" t="str">
        <f t="shared" si="28"/>
        <v/>
      </c>
      <c r="B232" s="98">
        <v>8</v>
      </c>
      <c r="C232" s="94" t="s">
        <v>210</v>
      </c>
      <c r="D232" s="94">
        <v>-2</v>
      </c>
      <c r="E232" s="94">
        <v>4</v>
      </c>
      <c r="F232" s="94" t="s">
        <v>210</v>
      </c>
      <c r="G232" s="94" t="s">
        <v>210</v>
      </c>
      <c r="H232" s="94">
        <v>-6</v>
      </c>
      <c r="I232" s="94">
        <v>1</v>
      </c>
      <c r="J232" s="94" t="s">
        <v>210</v>
      </c>
      <c r="K232" s="94" t="s">
        <v>210</v>
      </c>
      <c r="L232" s="94">
        <v>-3</v>
      </c>
      <c r="M232" s="94">
        <v>7</v>
      </c>
      <c r="N232" s="94" t="s">
        <v>210</v>
      </c>
      <c r="O232" s="94" t="s">
        <v>210</v>
      </c>
      <c r="P232" s="94">
        <v>-5</v>
      </c>
      <c r="Q232" s="94">
        <v>2</v>
      </c>
      <c r="R232" s="94" t="s">
        <v>210</v>
      </c>
      <c r="S232" s="94" t="s">
        <v>210</v>
      </c>
      <c r="T232" s="94">
        <v>-4</v>
      </c>
      <c r="U232" s="94">
        <v>6</v>
      </c>
      <c r="V232" s="94" t="s">
        <v>210</v>
      </c>
      <c r="W232" s="94" t="s">
        <v>210</v>
      </c>
      <c r="X232" s="94">
        <v>-1</v>
      </c>
      <c r="Y232" s="94">
        <v>3</v>
      </c>
      <c r="Z232" s="94" t="s">
        <v>210</v>
      </c>
      <c r="AA232" s="94" t="s">
        <v>210</v>
      </c>
      <c r="AB232" s="94">
        <v>-7</v>
      </c>
      <c r="AC232" s="94">
        <v>5</v>
      </c>
      <c r="AD232" s="94" t="s">
        <v>210</v>
      </c>
      <c r="AE232" s="94"/>
      <c r="AF232" s="94"/>
      <c r="AG232" s="94"/>
      <c r="AH232" s="94"/>
      <c r="AI232" s="94"/>
      <c r="AJ232" s="94"/>
      <c r="AK232" s="94"/>
      <c r="AL232" s="94"/>
      <c r="AM232" s="94"/>
      <c r="AN232" s="94"/>
      <c r="AO232" s="94"/>
      <c r="AP232" s="94"/>
      <c r="AQ232" s="94"/>
      <c r="AR232" s="94"/>
      <c r="AS232" s="94"/>
      <c r="AT232" s="94"/>
      <c r="AU232" s="94"/>
      <c r="AV232" s="94"/>
      <c r="AW232" s="94"/>
      <c r="AX232" s="94"/>
      <c r="AY232" s="94"/>
      <c r="BA232" s="95"/>
    </row>
    <row r="233" spans="1:53" s="87" customFormat="1">
      <c r="A233" s="90" t="str">
        <f t="shared" si="28"/>
        <v/>
      </c>
      <c r="B233" s="98">
        <v>9</v>
      </c>
      <c r="C233" s="94" t="s">
        <v>210</v>
      </c>
      <c r="D233" s="94">
        <v>-5</v>
      </c>
      <c r="E233" s="94">
        <v>2</v>
      </c>
      <c r="F233" s="94" t="s">
        <v>210</v>
      </c>
      <c r="G233" s="94" t="s">
        <v>210</v>
      </c>
      <c r="H233" s="94">
        <v>-4</v>
      </c>
      <c r="I233" s="94">
        <v>6</v>
      </c>
      <c r="J233" s="94" t="s">
        <v>210</v>
      </c>
      <c r="K233" s="94" t="s">
        <v>210</v>
      </c>
      <c r="L233" s="94">
        <v>-1</v>
      </c>
      <c r="M233" s="94">
        <v>3</v>
      </c>
      <c r="N233" s="94" t="s">
        <v>210</v>
      </c>
      <c r="O233" s="94" t="s">
        <v>210</v>
      </c>
      <c r="P233" s="94">
        <v>-7</v>
      </c>
      <c r="Q233" s="94">
        <v>5</v>
      </c>
      <c r="R233" s="94" t="s">
        <v>210</v>
      </c>
      <c r="S233" s="94" t="s">
        <v>210</v>
      </c>
      <c r="T233" s="94">
        <v>-2</v>
      </c>
      <c r="U233" s="94">
        <v>4</v>
      </c>
      <c r="V233" s="94" t="s">
        <v>210</v>
      </c>
      <c r="W233" s="94" t="s">
        <v>210</v>
      </c>
      <c r="X233" s="94">
        <v>-6</v>
      </c>
      <c r="Y233" s="94">
        <v>1</v>
      </c>
      <c r="Z233" s="94" t="s">
        <v>210</v>
      </c>
      <c r="AA233" s="94" t="s">
        <v>210</v>
      </c>
      <c r="AB233" s="94">
        <v>-3</v>
      </c>
      <c r="AC233" s="94">
        <v>7</v>
      </c>
      <c r="AD233" s="94" t="s">
        <v>210</v>
      </c>
      <c r="AE233" s="94"/>
      <c r="AF233" s="94"/>
      <c r="AG233" s="94"/>
      <c r="AH233" s="94"/>
      <c r="AI233" s="94"/>
      <c r="AJ233" s="94"/>
      <c r="AK233" s="94"/>
      <c r="AL233" s="94"/>
      <c r="AM233" s="94"/>
      <c r="AN233" s="94"/>
      <c r="AO233" s="94"/>
      <c r="AP233" s="94"/>
      <c r="AQ233" s="94"/>
      <c r="AR233" s="94"/>
      <c r="AS233" s="94"/>
      <c r="AT233" s="94"/>
      <c r="AU233" s="94"/>
      <c r="AV233" s="94"/>
      <c r="AW233" s="94"/>
      <c r="AX233" s="94"/>
      <c r="AY233" s="94"/>
      <c r="BA233" s="95"/>
    </row>
    <row r="234" spans="1:53" s="87" customFormat="1">
      <c r="A234" s="90" t="str">
        <f t="shared" si="28"/>
        <v/>
      </c>
      <c r="B234" s="98">
        <v>10</v>
      </c>
      <c r="C234" s="94" t="s">
        <v>210</v>
      </c>
      <c r="D234" s="94">
        <v>-7</v>
      </c>
      <c r="E234" s="94">
        <v>5</v>
      </c>
      <c r="F234" s="94" t="s">
        <v>210</v>
      </c>
      <c r="G234" s="94" t="s">
        <v>210</v>
      </c>
      <c r="H234" s="94">
        <v>-2</v>
      </c>
      <c r="I234" s="94">
        <v>4</v>
      </c>
      <c r="J234" s="94" t="s">
        <v>210</v>
      </c>
      <c r="K234" s="94" t="s">
        <v>210</v>
      </c>
      <c r="L234" s="94">
        <v>-6</v>
      </c>
      <c r="M234" s="94">
        <v>1</v>
      </c>
      <c r="N234" s="94" t="s">
        <v>210</v>
      </c>
      <c r="O234" s="94" t="s">
        <v>210</v>
      </c>
      <c r="P234" s="94">
        <v>-3</v>
      </c>
      <c r="Q234" s="94">
        <v>7</v>
      </c>
      <c r="R234" s="94" t="s">
        <v>210</v>
      </c>
      <c r="S234" s="94" t="s">
        <v>210</v>
      </c>
      <c r="T234" s="94">
        <v>-5</v>
      </c>
      <c r="U234" s="94">
        <v>2</v>
      </c>
      <c r="V234" s="94" t="s">
        <v>210</v>
      </c>
      <c r="W234" s="94" t="s">
        <v>210</v>
      </c>
      <c r="X234" s="94">
        <v>-4</v>
      </c>
      <c r="Y234" s="94">
        <v>6</v>
      </c>
      <c r="Z234" s="94" t="s">
        <v>210</v>
      </c>
      <c r="AA234" s="94" t="s">
        <v>210</v>
      </c>
      <c r="AB234" s="94">
        <v>-1</v>
      </c>
      <c r="AC234" s="94">
        <v>3</v>
      </c>
      <c r="AD234" s="94" t="s">
        <v>210</v>
      </c>
      <c r="AE234" s="94"/>
      <c r="AF234" s="94"/>
      <c r="AG234" s="94"/>
      <c r="AH234" s="94"/>
      <c r="AI234" s="94"/>
      <c r="AJ234" s="94"/>
      <c r="AK234" s="94"/>
      <c r="AL234" s="94"/>
      <c r="AM234" s="94"/>
      <c r="AN234" s="94"/>
      <c r="AO234" s="94"/>
      <c r="AP234" s="94"/>
      <c r="AQ234" s="94"/>
      <c r="AR234" s="94"/>
      <c r="AS234" s="94"/>
      <c r="AT234" s="94"/>
      <c r="AU234" s="94"/>
      <c r="AV234" s="94"/>
      <c r="AW234" s="94"/>
      <c r="AX234" s="94"/>
      <c r="AY234" s="94"/>
      <c r="BA234" s="95"/>
    </row>
    <row r="235" spans="1:53" s="87" customFormat="1">
      <c r="A235" s="90" t="str">
        <f t="shared" si="28"/>
        <v/>
      </c>
      <c r="B235" s="98">
        <v>11</v>
      </c>
      <c r="C235" s="94" t="s">
        <v>210</v>
      </c>
      <c r="D235" s="94">
        <v>-3</v>
      </c>
      <c r="E235" s="94">
        <v>7</v>
      </c>
      <c r="F235" s="94" t="s">
        <v>210</v>
      </c>
      <c r="G235" s="94" t="s">
        <v>210</v>
      </c>
      <c r="H235" s="94">
        <v>-5</v>
      </c>
      <c r="I235" s="94">
        <v>2</v>
      </c>
      <c r="J235" s="94" t="s">
        <v>210</v>
      </c>
      <c r="K235" s="94" t="s">
        <v>210</v>
      </c>
      <c r="L235" s="94">
        <v>-4</v>
      </c>
      <c r="M235" s="94">
        <v>6</v>
      </c>
      <c r="N235" s="94" t="s">
        <v>210</v>
      </c>
      <c r="O235" s="94" t="s">
        <v>210</v>
      </c>
      <c r="P235" s="94">
        <v>-1</v>
      </c>
      <c r="Q235" s="94">
        <v>3</v>
      </c>
      <c r="R235" s="94" t="s">
        <v>210</v>
      </c>
      <c r="S235" s="94" t="s">
        <v>210</v>
      </c>
      <c r="T235" s="94">
        <v>-7</v>
      </c>
      <c r="U235" s="94">
        <v>5</v>
      </c>
      <c r="V235" s="94" t="s">
        <v>210</v>
      </c>
      <c r="W235" s="94" t="s">
        <v>210</v>
      </c>
      <c r="X235" s="94">
        <v>-2</v>
      </c>
      <c r="Y235" s="94">
        <v>4</v>
      </c>
      <c r="Z235" s="94" t="s">
        <v>210</v>
      </c>
      <c r="AA235" s="94" t="s">
        <v>210</v>
      </c>
      <c r="AB235" s="94">
        <v>-6</v>
      </c>
      <c r="AC235" s="94">
        <v>1</v>
      </c>
      <c r="AD235" s="94" t="s">
        <v>210</v>
      </c>
      <c r="AE235" s="94"/>
      <c r="AF235" s="94"/>
      <c r="AG235" s="94"/>
      <c r="AH235" s="94"/>
      <c r="AI235" s="94"/>
      <c r="AJ235" s="94"/>
      <c r="AK235" s="94"/>
      <c r="AL235" s="94"/>
      <c r="AM235" s="94"/>
      <c r="AN235" s="94"/>
      <c r="AO235" s="94"/>
      <c r="AP235" s="94"/>
      <c r="AQ235" s="94"/>
      <c r="AR235" s="94"/>
      <c r="AS235" s="94"/>
      <c r="AT235" s="94"/>
      <c r="AU235" s="94"/>
      <c r="AV235" s="94"/>
      <c r="AW235" s="94"/>
      <c r="AX235" s="94"/>
      <c r="AY235" s="94"/>
      <c r="BA235" s="95"/>
    </row>
    <row r="236" spans="1:53" s="87" customFormat="1">
      <c r="A236" s="90" t="str">
        <f t="shared" si="28"/>
        <v/>
      </c>
      <c r="B236" s="98">
        <v>12</v>
      </c>
      <c r="C236" s="94" t="s">
        <v>210</v>
      </c>
      <c r="D236" s="94">
        <v>-1</v>
      </c>
      <c r="E236" s="94">
        <v>3</v>
      </c>
      <c r="F236" s="94" t="s">
        <v>210</v>
      </c>
      <c r="G236" s="94" t="s">
        <v>210</v>
      </c>
      <c r="H236" s="94">
        <v>-7</v>
      </c>
      <c r="I236" s="94">
        <v>5</v>
      </c>
      <c r="J236" s="94" t="s">
        <v>210</v>
      </c>
      <c r="K236" s="94" t="s">
        <v>210</v>
      </c>
      <c r="L236" s="94">
        <v>-2</v>
      </c>
      <c r="M236" s="94">
        <v>4</v>
      </c>
      <c r="N236" s="94" t="s">
        <v>210</v>
      </c>
      <c r="O236" s="94" t="s">
        <v>210</v>
      </c>
      <c r="P236" s="94">
        <v>-6</v>
      </c>
      <c r="Q236" s="94">
        <v>1</v>
      </c>
      <c r="R236" s="94" t="s">
        <v>210</v>
      </c>
      <c r="S236" s="94" t="s">
        <v>210</v>
      </c>
      <c r="T236" s="94">
        <v>-3</v>
      </c>
      <c r="U236" s="94">
        <v>7</v>
      </c>
      <c r="V236" s="94" t="s">
        <v>210</v>
      </c>
      <c r="W236" s="94" t="s">
        <v>210</v>
      </c>
      <c r="X236" s="94">
        <v>-5</v>
      </c>
      <c r="Y236" s="94">
        <v>2</v>
      </c>
      <c r="Z236" s="94" t="s">
        <v>210</v>
      </c>
      <c r="AA236" s="94" t="s">
        <v>210</v>
      </c>
      <c r="AB236" s="94">
        <v>-4</v>
      </c>
      <c r="AC236" s="94">
        <v>6</v>
      </c>
      <c r="AD236" s="94" t="s">
        <v>210</v>
      </c>
      <c r="AE236" s="94"/>
      <c r="AF236" s="94"/>
      <c r="AG236" s="94"/>
      <c r="AH236" s="94"/>
      <c r="AI236" s="94"/>
      <c r="AJ236" s="94"/>
      <c r="AK236" s="94"/>
      <c r="AL236" s="94"/>
      <c r="AM236" s="94"/>
      <c r="AN236" s="94"/>
      <c r="AO236" s="94"/>
      <c r="AP236" s="94"/>
      <c r="AQ236" s="94"/>
      <c r="AR236" s="94"/>
      <c r="AS236" s="94"/>
      <c r="AT236" s="94"/>
      <c r="AU236" s="94"/>
      <c r="AV236" s="94"/>
      <c r="AW236" s="94"/>
      <c r="AX236" s="94"/>
      <c r="AY236" s="94"/>
      <c r="BA236" s="95"/>
    </row>
    <row r="237" spans="1:53" s="87" customFormat="1">
      <c r="A237" s="90" t="str">
        <f t="shared" si="28"/>
        <v/>
      </c>
      <c r="B237" s="98">
        <v>13</v>
      </c>
      <c r="C237" s="94" t="s">
        <v>210</v>
      </c>
      <c r="D237" s="94">
        <v>-4</v>
      </c>
      <c r="E237" s="94">
        <v>6</v>
      </c>
      <c r="F237" s="94" t="s">
        <v>210</v>
      </c>
      <c r="G237" s="94" t="s">
        <v>210</v>
      </c>
      <c r="H237" s="94">
        <v>-1</v>
      </c>
      <c r="I237" s="94">
        <v>3</v>
      </c>
      <c r="J237" s="94" t="s">
        <v>210</v>
      </c>
      <c r="K237" s="94" t="s">
        <v>210</v>
      </c>
      <c r="L237" s="94">
        <v>-7</v>
      </c>
      <c r="M237" s="94">
        <v>5</v>
      </c>
      <c r="N237" s="94" t="s">
        <v>210</v>
      </c>
      <c r="O237" s="94" t="s">
        <v>210</v>
      </c>
      <c r="P237" s="94">
        <v>-2</v>
      </c>
      <c r="Q237" s="94">
        <v>4</v>
      </c>
      <c r="R237" s="94" t="s">
        <v>210</v>
      </c>
      <c r="S237" s="94" t="s">
        <v>210</v>
      </c>
      <c r="T237" s="94">
        <v>-6</v>
      </c>
      <c r="U237" s="94">
        <v>1</v>
      </c>
      <c r="V237" s="94" t="s">
        <v>210</v>
      </c>
      <c r="W237" s="94" t="s">
        <v>210</v>
      </c>
      <c r="X237" s="94">
        <v>-3</v>
      </c>
      <c r="Y237" s="94">
        <v>7</v>
      </c>
      <c r="Z237" s="94" t="s">
        <v>210</v>
      </c>
      <c r="AA237" s="94" t="s">
        <v>210</v>
      </c>
      <c r="AB237" s="94">
        <v>-5</v>
      </c>
      <c r="AC237" s="94">
        <v>2</v>
      </c>
      <c r="AD237" s="94" t="s">
        <v>210</v>
      </c>
      <c r="AE237" s="94"/>
      <c r="AF237" s="94"/>
      <c r="AG237" s="94"/>
      <c r="AH237" s="94"/>
      <c r="AI237" s="94"/>
      <c r="AJ237" s="94"/>
      <c r="AK237" s="94"/>
      <c r="AL237" s="94"/>
      <c r="AM237" s="94"/>
      <c r="AN237" s="94"/>
      <c r="AO237" s="94"/>
      <c r="AP237" s="94"/>
      <c r="AQ237" s="94"/>
      <c r="AR237" s="94"/>
      <c r="AS237" s="94"/>
      <c r="AT237" s="94"/>
      <c r="AU237" s="94"/>
      <c r="AV237" s="94"/>
      <c r="AW237" s="94"/>
      <c r="AX237" s="94"/>
      <c r="AY237" s="94"/>
      <c r="BA237" s="95"/>
    </row>
    <row r="238" spans="1:53" s="87" customFormat="1">
      <c r="A238" s="90" t="str">
        <f t="shared" si="28"/>
        <v/>
      </c>
      <c r="B238" s="98">
        <v>14</v>
      </c>
      <c r="C238" s="94" t="s">
        <v>210</v>
      </c>
      <c r="D238" s="94">
        <v>-6</v>
      </c>
      <c r="E238" s="94">
        <v>1</v>
      </c>
      <c r="F238" s="94" t="s">
        <v>210</v>
      </c>
      <c r="G238" s="94" t="s">
        <v>210</v>
      </c>
      <c r="H238" s="94">
        <v>-3</v>
      </c>
      <c r="I238" s="94">
        <v>7</v>
      </c>
      <c r="J238" s="94" t="s">
        <v>210</v>
      </c>
      <c r="K238" s="94" t="s">
        <v>210</v>
      </c>
      <c r="L238" s="94">
        <v>-5</v>
      </c>
      <c r="M238" s="94">
        <v>2</v>
      </c>
      <c r="N238" s="94" t="s">
        <v>210</v>
      </c>
      <c r="O238" s="94" t="s">
        <v>210</v>
      </c>
      <c r="P238" s="94">
        <v>-4</v>
      </c>
      <c r="Q238" s="94">
        <v>6</v>
      </c>
      <c r="R238" s="94" t="s">
        <v>210</v>
      </c>
      <c r="S238" s="94" t="s">
        <v>210</v>
      </c>
      <c r="T238" s="94">
        <v>-1</v>
      </c>
      <c r="U238" s="94">
        <v>3</v>
      </c>
      <c r="V238" s="94" t="s">
        <v>210</v>
      </c>
      <c r="W238" s="94" t="s">
        <v>210</v>
      </c>
      <c r="X238" s="94">
        <v>-7</v>
      </c>
      <c r="Y238" s="94">
        <v>5</v>
      </c>
      <c r="Z238" s="94" t="s">
        <v>210</v>
      </c>
      <c r="AA238" s="94" t="s">
        <v>210</v>
      </c>
      <c r="AB238" s="94">
        <v>-2</v>
      </c>
      <c r="AC238" s="94">
        <v>4</v>
      </c>
      <c r="AD238" s="94" t="s">
        <v>210</v>
      </c>
      <c r="AE238" s="94"/>
      <c r="AF238" s="94"/>
      <c r="AG238" s="94"/>
      <c r="AH238" s="94"/>
      <c r="AI238" s="94"/>
      <c r="AJ238" s="94"/>
      <c r="AK238" s="94"/>
      <c r="AL238" s="94"/>
      <c r="AM238" s="94"/>
      <c r="AN238" s="94"/>
      <c r="AO238" s="94"/>
      <c r="AP238" s="94"/>
      <c r="AQ238" s="94"/>
      <c r="AR238" s="94"/>
      <c r="AS238" s="94"/>
      <c r="AT238" s="94"/>
      <c r="AU238" s="94"/>
      <c r="AV238" s="94"/>
      <c r="AW238" s="94"/>
      <c r="AX238" s="94"/>
      <c r="AY238" s="94"/>
      <c r="BA238" s="95"/>
    </row>
    <row r="239" spans="1:53" s="87" customFormat="1">
      <c r="A239" s="90" t="str">
        <f t="shared" si="28"/>
        <v/>
      </c>
      <c r="B239" s="98">
        <v>15</v>
      </c>
      <c r="C239" s="94" t="s">
        <v>210</v>
      </c>
      <c r="D239" s="94">
        <v>6</v>
      </c>
      <c r="E239" s="94">
        <v>-4</v>
      </c>
      <c r="F239" s="94" t="s">
        <v>210</v>
      </c>
      <c r="G239" s="94" t="s">
        <v>210</v>
      </c>
      <c r="H239" s="94">
        <v>2</v>
      </c>
      <c r="I239" s="94">
        <v>-5</v>
      </c>
      <c r="J239" s="94" t="s">
        <v>210</v>
      </c>
      <c r="K239" s="94" t="s">
        <v>210</v>
      </c>
      <c r="L239" s="94">
        <v>7</v>
      </c>
      <c r="M239" s="94">
        <v>-3</v>
      </c>
      <c r="N239" s="94" t="s">
        <v>210</v>
      </c>
      <c r="O239" s="94" t="s">
        <v>210</v>
      </c>
      <c r="P239" s="94">
        <v>1</v>
      </c>
      <c r="Q239" s="94" t="s">
        <v>210</v>
      </c>
      <c r="R239" s="94">
        <v>-6</v>
      </c>
      <c r="S239" s="94">
        <v>4</v>
      </c>
      <c r="T239" s="94" t="s">
        <v>210</v>
      </c>
      <c r="U239" s="94" t="s">
        <v>210</v>
      </c>
      <c r="V239" s="94">
        <v>-2</v>
      </c>
      <c r="W239" s="94">
        <v>5</v>
      </c>
      <c r="X239" s="94" t="s">
        <v>210</v>
      </c>
      <c r="Y239" s="94" t="s">
        <v>210</v>
      </c>
      <c r="Z239" s="94">
        <v>-7</v>
      </c>
      <c r="AA239" s="94">
        <v>3</v>
      </c>
      <c r="AB239" s="94" t="s">
        <v>210</v>
      </c>
      <c r="AC239" s="94" t="s">
        <v>210</v>
      </c>
      <c r="AD239" s="94">
        <v>-1</v>
      </c>
      <c r="AE239" s="94"/>
      <c r="AF239" s="94"/>
      <c r="AG239" s="94"/>
      <c r="AH239" s="94"/>
      <c r="AI239" s="94"/>
      <c r="AJ239" s="94"/>
      <c r="AK239" s="94"/>
      <c r="AL239" s="94"/>
      <c r="AM239" s="94"/>
      <c r="AN239" s="94"/>
      <c r="AO239" s="94"/>
      <c r="AP239" s="94"/>
      <c r="AQ239" s="94"/>
      <c r="AR239" s="94"/>
      <c r="AS239" s="94"/>
      <c r="AT239" s="94"/>
      <c r="AU239" s="94"/>
      <c r="AV239" s="94"/>
      <c r="AW239" s="94"/>
      <c r="AX239" s="94"/>
      <c r="AY239" s="94"/>
      <c r="BA239" s="95"/>
    </row>
    <row r="240" spans="1:53" s="87" customFormat="1">
      <c r="A240" s="90" t="str">
        <f t="shared" si="28"/>
        <v/>
      </c>
      <c r="B240" s="98">
        <v>16</v>
      </c>
      <c r="C240" s="94" t="s">
        <v>210</v>
      </c>
      <c r="D240" s="94">
        <v>5</v>
      </c>
      <c r="E240" s="94">
        <v>-7</v>
      </c>
      <c r="F240" s="94" t="s">
        <v>210</v>
      </c>
      <c r="G240" s="94" t="s">
        <v>210</v>
      </c>
      <c r="H240" s="94">
        <v>3</v>
      </c>
      <c r="I240" s="94">
        <v>-1</v>
      </c>
      <c r="J240" s="94" t="s">
        <v>210</v>
      </c>
      <c r="K240" s="94" t="s">
        <v>210</v>
      </c>
      <c r="L240" s="94">
        <v>6</v>
      </c>
      <c r="M240" s="94">
        <v>-4</v>
      </c>
      <c r="N240" s="94" t="s">
        <v>210</v>
      </c>
      <c r="O240" s="94" t="s">
        <v>210</v>
      </c>
      <c r="P240" s="94">
        <v>2</v>
      </c>
      <c r="Q240" s="94" t="s">
        <v>210</v>
      </c>
      <c r="R240" s="94">
        <v>-5</v>
      </c>
      <c r="S240" s="94">
        <v>7</v>
      </c>
      <c r="T240" s="94" t="s">
        <v>210</v>
      </c>
      <c r="U240" s="94" t="s">
        <v>210</v>
      </c>
      <c r="V240" s="94">
        <v>-3</v>
      </c>
      <c r="W240" s="94">
        <v>1</v>
      </c>
      <c r="X240" s="94" t="s">
        <v>210</v>
      </c>
      <c r="Y240" s="94" t="s">
        <v>210</v>
      </c>
      <c r="Z240" s="94">
        <v>-6</v>
      </c>
      <c r="AA240" s="94">
        <v>4</v>
      </c>
      <c r="AB240" s="94" t="s">
        <v>210</v>
      </c>
      <c r="AC240" s="94" t="s">
        <v>210</v>
      </c>
      <c r="AD240" s="94">
        <v>-2</v>
      </c>
      <c r="AE240" s="94"/>
      <c r="AF240" s="94"/>
      <c r="AG240" s="94"/>
      <c r="AH240" s="94"/>
      <c r="AI240" s="94"/>
      <c r="AJ240" s="94"/>
      <c r="AK240" s="94"/>
      <c r="AL240" s="94"/>
      <c r="AM240" s="94"/>
      <c r="AN240" s="94"/>
      <c r="AO240" s="94"/>
      <c r="AP240" s="94"/>
      <c r="AQ240" s="94"/>
      <c r="AR240" s="94"/>
      <c r="AS240" s="94"/>
      <c r="AT240" s="94"/>
      <c r="AU240" s="94"/>
      <c r="AV240" s="94"/>
      <c r="AW240" s="94"/>
      <c r="AX240" s="94"/>
      <c r="AY240" s="94"/>
      <c r="BA240" s="95"/>
    </row>
    <row r="241" spans="1:53" s="87" customFormat="1">
      <c r="A241" s="90" t="str">
        <f t="shared" si="28"/>
        <v/>
      </c>
      <c r="B241" s="98">
        <v>17</v>
      </c>
      <c r="C241" s="94" t="s">
        <v>210</v>
      </c>
      <c r="D241" s="94">
        <v>7</v>
      </c>
      <c r="E241" s="94">
        <v>-3</v>
      </c>
      <c r="F241" s="94" t="s">
        <v>210</v>
      </c>
      <c r="G241" s="94" t="s">
        <v>210</v>
      </c>
      <c r="H241" s="94">
        <v>1</v>
      </c>
      <c r="I241" s="94">
        <v>-6</v>
      </c>
      <c r="J241" s="94" t="s">
        <v>210</v>
      </c>
      <c r="K241" s="94" t="s">
        <v>210</v>
      </c>
      <c r="L241" s="94">
        <v>4</v>
      </c>
      <c r="M241" s="94">
        <v>-2</v>
      </c>
      <c r="N241" s="94" t="s">
        <v>210</v>
      </c>
      <c r="O241" s="94" t="s">
        <v>210</v>
      </c>
      <c r="P241" s="94">
        <v>5</v>
      </c>
      <c r="Q241" s="94" t="s">
        <v>210</v>
      </c>
      <c r="R241" s="94">
        <v>-7</v>
      </c>
      <c r="S241" s="94">
        <v>3</v>
      </c>
      <c r="T241" s="94" t="s">
        <v>210</v>
      </c>
      <c r="U241" s="94" t="s">
        <v>210</v>
      </c>
      <c r="V241" s="94">
        <v>-1</v>
      </c>
      <c r="W241" s="94">
        <v>6</v>
      </c>
      <c r="X241" s="94" t="s">
        <v>210</v>
      </c>
      <c r="Y241" s="94" t="s">
        <v>210</v>
      </c>
      <c r="Z241" s="94">
        <v>-4</v>
      </c>
      <c r="AA241" s="94">
        <v>2</v>
      </c>
      <c r="AB241" s="94" t="s">
        <v>210</v>
      </c>
      <c r="AC241" s="94" t="s">
        <v>210</v>
      </c>
      <c r="AD241" s="94">
        <v>-5</v>
      </c>
      <c r="AE241" s="94"/>
      <c r="AF241" s="94"/>
      <c r="AG241" s="94"/>
      <c r="AH241" s="94"/>
      <c r="AI241" s="94"/>
      <c r="AJ241" s="94"/>
      <c r="AK241" s="94"/>
      <c r="AL241" s="94"/>
      <c r="AM241" s="94"/>
      <c r="AN241" s="94"/>
      <c r="AO241" s="94"/>
      <c r="AP241" s="94"/>
      <c r="AQ241" s="94"/>
      <c r="AR241" s="94"/>
      <c r="AS241" s="94"/>
      <c r="AT241" s="94"/>
      <c r="AU241" s="94"/>
      <c r="AV241" s="94"/>
      <c r="AW241" s="94"/>
      <c r="AX241" s="94"/>
      <c r="AY241" s="94"/>
      <c r="BA241" s="95"/>
    </row>
    <row r="242" spans="1:53" s="87" customFormat="1">
      <c r="A242" s="90" t="str">
        <f t="shared" si="28"/>
        <v/>
      </c>
      <c r="B242" s="98">
        <v>18</v>
      </c>
      <c r="C242" s="94" t="s">
        <v>210</v>
      </c>
      <c r="D242" s="94">
        <v>4</v>
      </c>
      <c r="E242" s="94">
        <v>-2</v>
      </c>
      <c r="F242" s="94" t="s">
        <v>210</v>
      </c>
      <c r="G242" s="94" t="s">
        <v>210</v>
      </c>
      <c r="H242" s="94">
        <v>5</v>
      </c>
      <c r="I242" s="94">
        <v>-7</v>
      </c>
      <c r="J242" s="94" t="s">
        <v>210</v>
      </c>
      <c r="K242" s="94" t="s">
        <v>210</v>
      </c>
      <c r="L242" s="94">
        <v>3</v>
      </c>
      <c r="M242" s="94">
        <v>-1</v>
      </c>
      <c r="N242" s="94" t="s">
        <v>210</v>
      </c>
      <c r="O242" s="94" t="s">
        <v>210</v>
      </c>
      <c r="P242" s="94">
        <v>6</v>
      </c>
      <c r="Q242" s="94" t="s">
        <v>210</v>
      </c>
      <c r="R242" s="94">
        <v>-4</v>
      </c>
      <c r="S242" s="94">
        <v>2</v>
      </c>
      <c r="T242" s="94" t="s">
        <v>210</v>
      </c>
      <c r="U242" s="94" t="s">
        <v>210</v>
      </c>
      <c r="V242" s="94">
        <v>-5</v>
      </c>
      <c r="W242" s="94">
        <v>7</v>
      </c>
      <c r="X242" s="94" t="s">
        <v>210</v>
      </c>
      <c r="Y242" s="94" t="s">
        <v>210</v>
      </c>
      <c r="Z242" s="94">
        <v>-3</v>
      </c>
      <c r="AA242" s="94">
        <v>1</v>
      </c>
      <c r="AB242" s="94" t="s">
        <v>210</v>
      </c>
      <c r="AC242" s="94" t="s">
        <v>210</v>
      </c>
      <c r="AD242" s="94">
        <v>-6</v>
      </c>
      <c r="AE242" s="94"/>
      <c r="AF242" s="94"/>
      <c r="AG242" s="94"/>
      <c r="AH242" s="94"/>
      <c r="AI242" s="94"/>
      <c r="AJ242" s="94"/>
      <c r="AK242" s="94"/>
      <c r="AL242" s="94"/>
      <c r="AM242" s="94"/>
      <c r="AN242" s="94"/>
      <c r="AO242" s="94"/>
      <c r="AP242" s="94"/>
      <c r="AQ242" s="94"/>
      <c r="AR242" s="94"/>
      <c r="AS242" s="94"/>
      <c r="AT242" s="94"/>
      <c r="AU242" s="94"/>
      <c r="AV242" s="94"/>
      <c r="AW242" s="94"/>
      <c r="AX242" s="94"/>
      <c r="AY242" s="94"/>
      <c r="BA242" s="95"/>
    </row>
    <row r="243" spans="1:53" s="87" customFormat="1">
      <c r="A243" s="90" t="str">
        <f t="shared" si="28"/>
        <v/>
      </c>
      <c r="B243" s="98">
        <v>19</v>
      </c>
      <c r="C243" s="94" t="s">
        <v>210</v>
      </c>
      <c r="D243" s="94">
        <v>3</v>
      </c>
      <c r="E243" s="94">
        <v>-1</v>
      </c>
      <c r="F243" s="94" t="s">
        <v>210</v>
      </c>
      <c r="G243" s="94" t="s">
        <v>210</v>
      </c>
      <c r="H243" s="94">
        <v>6</v>
      </c>
      <c r="I243" s="94">
        <v>-4</v>
      </c>
      <c r="J243" s="94" t="s">
        <v>210</v>
      </c>
      <c r="K243" s="94" t="s">
        <v>210</v>
      </c>
      <c r="L243" s="94">
        <v>2</v>
      </c>
      <c r="M243" s="94">
        <v>-5</v>
      </c>
      <c r="N243" s="94" t="s">
        <v>210</v>
      </c>
      <c r="O243" s="94" t="s">
        <v>210</v>
      </c>
      <c r="P243" s="94">
        <v>7</v>
      </c>
      <c r="Q243" s="94" t="s">
        <v>210</v>
      </c>
      <c r="R243" s="94">
        <v>-3</v>
      </c>
      <c r="S243" s="94">
        <v>1</v>
      </c>
      <c r="T243" s="94" t="s">
        <v>210</v>
      </c>
      <c r="U243" s="94" t="s">
        <v>210</v>
      </c>
      <c r="V243" s="94">
        <v>-6</v>
      </c>
      <c r="W243" s="94">
        <v>4</v>
      </c>
      <c r="X243" s="94" t="s">
        <v>210</v>
      </c>
      <c r="Y243" s="94" t="s">
        <v>210</v>
      </c>
      <c r="Z243" s="94">
        <v>-2</v>
      </c>
      <c r="AA243" s="94">
        <v>5</v>
      </c>
      <c r="AB243" s="94" t="s">
        <v>210</v>
      </c>
      <c r="AC243" s="94" t="s">
        <v>210</v>
      </c>
      <c r="AD243" s="94">
        <v>-7</v>
      </c>
      <c r="AE243" s="94"/>
      <c r="AF243" s="94"/>
      <c r="AG243" s="94"/>
      <c r="AH243" s="94"/>
      <c r="AI243" s="94"/>
      <c r="AJ243" s="94"/>
      <c r="AK243" s="94"/>
      <c r="AL243" s="94"/>
      <c r="AM243" s="94"/>
      <c r="AN243" s="94"/>
      <c r="AO243" s="94"/>
      <c r="AP243" s="94"/>
      <c r="AQ243" s="94"/>
      <c r="AR243" s="94"/>
      <c r="AS243" s="94"/>
      <c r="AT243" s="94"/>
      <c r="AU243" s="94"/>
      <c r="AV243" s="94"/>
      <c r="AW243" s="94"/>
      <c r="AX243" s="94"/>
      <c r="AY243" s="94"/>
      <c r="BA243" s="95"/>
    </row>
    <row r="244" spans="1:53" s="87" customFormat="1">
      <c r="A244" s="90" t="str">
        <f t="shared" si="28"/>
        <v/>
      </c>
      <c r="B244" s="98">
        <v>20</v>
      </c>
      <c r="C244" s="94" t="s">
        <v>210</v>
      </c>
      <c r="D244" s="94">
        <v>1</v>
      </c>
      <c r="E244" s="94">
        <v>-6</v>
      </c>
      <c r="F244" s="94" t="s">
        <v>210</v>
      </c>
      <c r="G244" s="94" t="s">
        <v>210</v>
      </c>
      <c r="H244" s="94">
        <v>4</v>
      </c>
      <c r="I244" s="94">
        <v>-2</v>
      </c>
      <c r="J244" s="94" t="s">
        <v>210</v>
      </c>
      <c r="K244" s="94" t="s">
        <v>210</v>
      </c>
      <c r="L244" s="94">
        <v>5</v>
      </c>
      <c r="M244" s="94">
        <v>-7</v>
      </c>
      <c r="N244" s="94" t="s">
        <v>210</v>
      </c>
      <c r="O244" s="94" t="s">
        <v>210</v>
      </c>
      <c r="P244" s="94">
        <v>3</v>
      </c>
      <c r="Q244" s="94" t="s">
        <v>210</v>
      </c>
      <c r="R244" s="94">
        <v>-1</v>
      </c>
      <c r="S244" s="94">
        <v>6</v>
      </c>
      <c r="T244" s="94" t="s">
        <v>210</v>
      </c>
      <c r="U244" s="94" t="s">
        <v>210</v>
      </c>
      <c r="V244" s="94">
        <v>-4</v>
      </c>
      <c r="W244" s="94">
        <v>2</v>
      </c>
      <c r="X244" s="94" t="s">
        <v>210</v>
      </c>
      <c r="Y244" s="94" t="s">
        <v>210</v>
      </c>
      <c r="Z244" s="94">
        <v>-5</v>
      </c>
      <c r="AA244" s="94">
        <v>7</v>
      </c>
      <c r="AB244" s="94" t="s">
        <v>210</v>
      </c>
      <c r="AC244" s="94" t="s">
        <v>210</v>
      </c>
      <c r="AD244" s="94">
        <v>-3</v>
      </c>
      <c r="AE244" s="94"/>
      <c r="AF244" s="94"/>
      <c r="AG244" s="94"/>
      <c r="AH244" s="94"/>
      <c r="AI244" s="94"/>
      <c r="AJ244" s="94"/>
      <c r="AK244" s="94"/>
      <c r="AL244" s="94"/>
      <c r="AM244" s="94"/>
      <c r="AN244" s="94"/>
      <c r="AO244" s="94"/>
      <c r="AP244" s="94"/>
      <c r="AQ244" s="94"/>
      <c r="AR244" s="94"/>
      <c r="AS244" s="94"/>
      <c r="AT244" s="94"/>
      <c r="AU244" s="94"/>
      <c r="AV244" s="94"/>
      <c r="AW244" s="94"/>
      <c r="AX244" s="94"/>
      <c r="AY244" s="94"/>
      <c r="BA244" s="95"/>
    </row>
    <row r="245" spans="1:53" s="87" customFormat="1">
      <c r="A245" s="90" t="str">
        <f t="shared" si="28"/>
        <v/>
      </c>
      <c r="B245" s="98">
        <v>21</v>
      </c>
      <c r="C245" s="94" t="s">
        <v>210</v>
      </c>
      <c r="D245" s="94">
        <v>2</v>
      </c>
      <c r="E245" s="94">
        <v>-5</v>
      </c>
      <c r="F245" s="94" t="s">
        <v>210</v>
      </c>
      <c r="G245" s="94" t="s">
        <v>210</v>
      </c>
      <c r="H245" s="94">
        <v>7</v>
      </c>
      <c r="I245" s="94">
        <v>-3</v>
      </c>
      <c r="J245" s="94" t="s">
        <v>210</v>
      </c>
      <c r="K245" s="94" t="s">
        <v>210</v>
      </c>
      <c r="L245" s="94">
        <v>1</v>
      </c>
      <c r="M245" s="94">
        <v>-6</v>
      </c>
      <c r="N245" s="94" t="s">
        <v>210</v>
      </c>
      <c r="O245" s="94" t="s">
        <v>210</v>
      </c>
      <c r="P245" s="94">
        <v>4</v>
      </c>
      <c r="Q245" s="94" t="s">
        <v>210</v>
      </c>
      <c r="R245" s="94">
        <v>-2</v>
      </c>
      <c r="S245" s="94">
        <v>5</v>
      </c>
      <c r="T245" s="94" t="s">
        <v>210</v>
      </c>
      <c r="U245" s="94" t="s">
        <v>210</v>
      </c>
      <c r="V245" s="94">
        <v>-7</v>
      </c>
      <c r="W245" s="94">
        <v>3</v>
      </c>
      <c r="X245" s="94" t="s">
        <v>210</v>
      </c>
      <c r="Y245" s="94" t="s">
        <v>210</v>
      </c>
      <c r="Z245" s="94">
        <v>-1</v>
      </c>
      <c r="AA245" s="94">
        <v>6</v>
      </c>
      <c r="AB245" s="94" t="s">
        <v>210</v>
      </c>
      <c r="AC245" s="94" t="s">
        <v>210</v>
      </c>
      <c r="AD245" s="94">
        <v>-4</v>
      </c>
      <c r="AE245" s="94"/>
      <c r="AF245" s="94"/>
      <c r="AG245" s="94"/>
      <c r="AH245" s="94"/>
      <c r="AI245" s="94"/>
      <c r="AJ245" s="94"/>
      <c r="AK245" s="94"/>
      <c r="AL245" s="94"/>
      <c r="AM245" s="94"/>
      <c r="AN245" s="94"/>
      <c r="AO245" s="94"/>
      <c r="AP245" s="94"/>
      <c r="AQ245" s="94"/>
      <c r="AR245" s="94"/>
      <c r="AS245" s="94"/>
      <c r="AT245" s="94"/>
      <c r="AU245" s="94"/>
      <c r="AV245" s="94"/>
      <c r="AW245" s="94"/>
      <c r="AX245" s="94"/>
      <c r="AY245" s="94"/>
      <c r="BA245" s="95"/>
    </row>
    <row r="246" spans="1:53" s="87" customFormat="1">
      <c r="A246" s="90" t="str">
        <f t="shared" si="28"/>
        <v/>
      </c>
      <c r="B246" s="98">
        <v>22</v>
      </c>
      <c r="C246" s="94">
        <v>7</v>
      </c>
      <c r="D246" s="94" t="s">
        <v>210</v>
      </c>
      <c r="E246" s="94" t="s">
        <v>210</v>
      </c>
      <c r="F246" s="94">
        <v>-3</v>
      </c>
      <c r="G246" s="94">
        <v>1</v>
      </c>
      <c r="H246" s="94" t="s">
        <v>210</v>
      </c>
      <c r="I246" s="94" t="s">
        <v>210</v>
      </c>
      <c r="J246" s="94">
        <v>-6</v>
      </c>
      <c r="K246" s="94">
        <v>4</v>
      </c>
      <c r="L246" s="94" t="s">
        <v>210</v>
      </c>
      <c r="M246" s="94" t="s">
        <v>210</v>
      </c>
      <c r="N246" s="94">
        <v>-2</v>
      </c>
      <c r="O246" s="94">
        <v>5</v>
      </c>
      <c r="P246" s="94" t="s">
        <v>210</v>
      </c>
      <c r="Q246" s="94">
        <v>-7</v>
      </c>
      <c r="R246" s="94" t="s">
        <v>210</v>
      </c>
      <c r="S246" s="94" t="s">
        <v>210</v>
      </c>
      <c r="T246" s="94">
        <v>3</v>
      </c>
      <c r="U246" s="94">
        <v>-1</v>
      </c>
      <c r="V246" s="94" t="s">
        <v>210</v>
      </c>
      <c r="W246" s="94" t="s">
        <v>210</v>
      </c>
      <c r="X246" s="94">
        <v>6</v>
      </c>
      <c r="Y246" s="94">
        <v>-4</v>
      </c>
      <c r="Z246" s="94" t="s">
        <v>210</v>
      </c>
      <c r="AA246" s="94" t="s">
        <v>210</v>
      </c>
      <c r="AB246" s="94">
        <v>2</v>
      </c>
      <c r="AC246" s="94">
        <v>-5</v>
      </c>
      <c r="AD246" s="94" t="s">
        <v>210</v>
      </c>
      <c r="AE246" s="94"/>
      <c r="AF246" s="94"/>
      <c r="AG246" s="94"/>
      <c r="AH246" s="94"/>
      <c r="AI246" s="94"/>
      <c r="AJ246" s="94"/>
      <c r="AK246" s="94"/>
      <c r="AL246" s="94"/>
      <c r="AM246" s="94"/>
      <c r="AN246" s="94"/>
      <c r="AO246" s="94"/>
      <c r="AP246" s="94"/>
      <c r="AQ246" s="94"/>
      <c r="AR246" s="94"/>
      <c r="AS246" s="94"/>
      <c r="AT246" s="94"/>
      <c r="AU246" s="94"/>
      <c r="AV246" s="94"/>
      <c r="AW246" s="94"/>
      <c r="AX246" s="94"/>
      <c r="AY246" s="94"/>
      <c r="BA246" s="95"/>
    </row>
    <row r="247" spans="1:53" s="87" customFormat="1">
      <c r="A247" s="90" t="str">
        <f t="shared" si="28"/>
        <v/>
      </c>
      <c r="B247" s="98">
        <v>23</v>
      </c>
      <c r="C247" s="94">
        <v>3</v>
      </c>
      <c r="D247" s="94" t="s">
        <v>210</v>
      </c>
      <c r="E247" s="94" t="s">
        <v>210</v>
      </c>
      <c r="F247" s="94">
        <v>-1</v>
      </c>
      <c r="G247" s="94">
        <v>6</v>
      </c>
      <c r="H247" s="94" t="s">
        <v>210</v>
      </c>
      <c r="I247" s="94" t="s">
        <v>210</v>
      </c>
      <c r="J247" s="94">
        <v>-4</v>
      </c>
      <c r="K247" s="94">
        <v>2</v>
      </c>
      <c r="L247" s="94" t="s">
        <v>210</v>
      </c>
      <c r="M247" s="94" t="s">
        <v>210</v>
      </c>
      <c r="N247" s="94">
        <v>-5</v>
      </c>
      <c r="O247" s="94">
        <v>7</v>
      </c>
      <c r="P247" s="94" t="s">
        <v>210</v>
      </c>
      <c r="Q247" s="94">
        <v>-3</v>
      </c>
      <c r="R247" s="94" t="s">
        <v>210</v>
      </c>
      <c r="S247" s="94" t="s">
        <v>210</v>
      </c>
      <c r="T247" s="94">
        <v>1</v>
      </c>
      <c r="U247" s="94">
        <v>-6</v>
      </c>
      <c r="V247" s="94" t="s">
        <v>210</v>
      </c>
      <c r="W247" s="94" t="s">
        <v>210</v>
      </c>
      <c r="X247" s="94">
        <v>4</v>
      </c>
      <c r="Y247" s="94">
        <v>-2</v>
      </c>
      <c r="Z247" s="94" t="s">
        <v>210</v>
      </c>
      <c r="AA247" s="94" t="s">
        <v>210</v>
      </c>
      <c r="AB247" s="94">
        <v>5</v>
      </c>
      <c r="AC247" s="94">
        <v>-7</v>
      </c>
      <c r="AD247" s="94" t="s">
        <v>210</v>
      </c>
      <c r="AE247" s="94"/>
      <c r="AF247" s="94"/>
      <c r="AG247" s="94"/>
      <c r="AH247" s="94"/>
      <c r="AI247" s="94"/>
      <c r="AJ247" s="94"/>
      <c r="AK247" s="94"/>
      <c r="AL247" s="94"/>
      <c r="AM247" s="94"/>
      <c r="AN247" s="94"/>
      <c r="AO247" s="94"/>
      <c r="AP247" s="94"/>
      <c r="AQ247" s="94"/>
      <c r="AR247" s="94"/>
      <c r="AS247" s="94"/>
      <c r="AT247" s="94"/>
      <c r="AU247" s="94"/>
      <c r="AV247" s="94"/>
      <c r="AW247" s="94"/>
      <c r="AX247" s="94"/>
      <c r="AY247" s="94"/>
      <c r="BA247" s="95"/>
    </row>
    <row r="248" spans="1:53" s="87" customFormat="1">
      <c r="A248" s="90" t="str">
        <f t="shared" si="28"/>
        <v/>
      </c>
      <c r="B248" s="98">
        <v>24</v>
      </c>
      <c r="C248" s="94">
        <v>1</v>
      </c>
      <c r="D248" s="94" t="s">
        <v>210</v>
      </c>
      <c r="E248" s="94" t="s">
        <v>210</v>
      </c>
      <c r="F248" s="94">
        <v>-6</v>
      </c>
      <c r="G248" s="94">
        <v>4</v>
      </c>
      <c r="H248" s="94" t="s">
        <v>210</v>
      </c>
      <c r="I248" s="94" t="s">
        <v>210</v>
      </c>
      <c r="J248" s="94">
        <v>-2</v>
      </c>
      <c r="K248" s="94">
        <v>5</v>
      </c>
      <c r="L248" s="94" t="s">
        <v>210</v>
      </c>
      <c r="M248" s="94" t="s">
        <v>210</v>
      </c>
      <c r="N248" s="94">
        <v>-7</v>
      </c>
      <c r="O248" s="94">
        <v>3</v>
      </c>
      <c r="P248" s="94" t="s">
        <v>210</v>
      </c>
      <c r="Q248" s="94">
        <v>-1</v>
      </c>
      <c r="R248" s="94" t="s">
        <v>210</v>
      </c>
      <c r="S248" s="94" t="s">
        <v>210</v>
      </c>
      <c r="T248" s="94">
        <v>6</v>
      </c>
      <c r="U248" s="94">
        <v>-4</v>
      </c>
      <c r="V248" s="94" t="s">
        <v>210</v>
      </c>
      <c r="W248" s="94" t="s">
        <v>210</v>
      </c>
      <c r="X248" s="94">
        <v>2</v>
      </c>
      <c r="Y248" s="94">
        <v>-5</v>
      </c>
      <c r="Z248" s="94" t="s">
        <v>210</v>
      </c>
      <c r="AA248" s="94" t="s">
        <v>210</v>
      </c>
      <c r="AB248" s="94">
        <v>7</v>
      </c>
      <c r="AC248" s="94">
        <v>-3</v>
      </c>
      <c r="AD248" s="94" t="s">
        <v>210</v>
      </c>
      <c r="AE248" s="94"/>
      <c r="AF248" s="94"/>
      <c r="AG248" s="94"/>
      <c r="AH248" s="94"/>
      <c r="AI248" s="94"/>
      <c r="AJ248" s="94"/>
      <c r="AK248" s="94"/>
      <c r="AL248" s="94"/>
      <c r="AM248" s="94"/>
      <c r="AN248" s="94"/>
      <c r="AO248" s="94"/>
      <c r="AP248" s="94"/>
      <c r="AQ248" s="94"/>
      <c r="AR248" s="94"/>
      <c r="AS248" s="94"/>
      <c r="AT248" s="94"/>
      <c r="AU248" s="94"/>
      <c r="AV248" s="94"/>
      <c r="AW248" s="94"/>
      <c r="AX248" s="94"/>
      <c r="AY248" s="94"/>
      <c r="BA248" s="95"/>
    </row>
    <row r="249" spans="1:53" s="87" customFormat="1">
      <c r="A249" s="90" t="str">
        <f t="shared" si="28"/>
        <v/>
      </c>
      <c r="B249" s="98">
        <v>25</v>
      </c>
      <c r="C249" s="94">
        <v>6</v>
      </c>
      <c r="D249" s="94" t="s">
        <v>210</v>
      </c>
      <c r="E249" s="94" t="s">
        <v>210</v>
      </c>
      <c r="F249" s="94">
        <v>-4</v>
      </c>
      <c r="G249" s="94">
        <v>2</v>
      </c>
      <c r="H249" s="94" t="s">
        <v>210</v>
      </c>
      <c r="I249" s="94" t="s">
        <v>210</v>
      </c>
      <c r="J249" s="94">
        <v>-5</v>
      </c>
      <c r="K249" s="94">
        <v>7</v>
      </c>
      <c r="L249" s="94" t="s">
        <v>210</v>
      </c>
      <c r="M249" s="94" t="s">
        <v>210</v>
      </c>
      <c r="N249" s="94">
        <v>-3</v>
      </c>
      <c r="O249" s="94">
        <v>1</v>
      </c>
      <c r="P249" s="94" t="s">
        <v>210</v>
      </c>
      <c r="Q249" s="94">
        <v>-6</v>
      </c>
      <c r="R249" s="94" t="s">
        <v>210</v>
      </c>
      <c r="S249" s="94" t="s">
        <v>210</v>
      </c>
      <c r="T249" s="94">
        <v>4</v>
      </c>
      <c r="U249" s="94">
        <v>-2</v>
      </c>
      <c r="V249" s="94" t="s">
        <v>210</v>
      </c>
      <c r="W249" s="94" t="s">
        <v>210</v>
      </c>
      <c r="X249" s="94">
        <v>5</v>
      </c>
      <c r="Y249" s="94">
        <v>-7</v>
      </c>
      <c r="Z249" s="94" t="s">
        <v>210</v>
      </c>
      <c r="AA249" s="94" t="s">
        <v>210</v>
      </c>
      <c r="AB249" s="94">
        <v>3</v>
      </c>
      <c r="AC249" s="94">
        <v>-1</v>
      </c>
      <c r="AD249" s="94" t="s">
        <v>210</v>
      </c>
      <c r="AE249" s="94"/>
      <c r="AF249" s="94"/>
      <c r="AG249" s="94"/>
      <c r="AH249" s="94"/>
      <c r="AI249" s="94"/>
      <c r="AJ249" s="94"/>
      <c r="AK249" s="94"/>
      <c r="AL249" s="94"/>
      <c r="AM249" s="94"/>
      <c r="AN249" s="94"/>
      <c r="AO249" s="94"/>
      <c r="AP249" s="94"/>
      <c r="AQ249" s="94"/>
      <c r="AR249" s="94"/>
      <c r="AS249" s="94"/>
      <c r="AT249" s="94"/>
      <c r="AU249" s="94"/>
      <c r="AV249" s="94"/>
      <c r="AW249" s="94"/>
      <c r="AX249" s="94"/>
      <c r="AY249" s="94"/>
      <c r="BA249" s="95"/>
    </row>
    <row r="250" spans="1:53" s="87" customFormat="1">
      <c r="A250" s="90" t="str">
        <f t="shared" si="28"/>
        <v/>
      </c>
      <c r="B250" s="98">
        <v>26</v>
      </c>
      <c r="C250" s="94">
        <v>4</v>
      </c>
      <c r="D250" s="94" t="s">
        <v>210</v>
      </c>
      <c r="E250" s="94" t="s">
        <v>210</v>
      </c>
      <c r="F250" s="94">
        <v>-2</v>
      </c>
      <c r="G250" s="94">
        <v>5</v>
      </c>
      <c r="H250" s="94" t="s">
        <v>210</v>
      </c>
      <c r="I250" s="94" t="s">
        <v>210</v>
      </c>
      <c r="J250" s="94">
        <v>-7</v>
      </c>
      <c r="K250" s="94">
        <v>3</v>
      </c>
      <c r="L250" s="94" t="s">
        <v>210</v>
      </c>
      <c r="M250" s="94" t="s">
        <v>210</v>
      </c>
      <c r="N250" s="94">
        <v>-1</v>
      </c>
      <c r="O250" s="94">
        <v>6</v>
      </c>
      <c r="P250" s="94" t="s">
        <v>210</v>
      </c>
      <c r="Q250" s="94">
        <v>-4</v>
      </c>
      <c r="R250" s="94" t="s">
        <v>210</v>
      </c>
      <c r="S250" s="94" t="s">
        <v>210</v>
      </c>
      <c r="T250" s="94">
        <v>2</v>
      </c>
      <c r="U250" s="94">
        <v>-5</v>
      </c>
      <c r="V250" s="94" t="s">
        <v>210</v>
      </c>
      <c r="W250" s="94" t="s">
        <v>210</v>
      </c>
      <c r="X250" s="94">
        <v>7</v>
      </c>
      <c r="Y250" s="94">
        <v>-3</v>
      </c>
      <c r="Z250" s="94" t="s">
        <v>210</v>
      </c>
      <c r="AA250" s="94" t="s">
        <v>210</v>
      </c>
      <c r="AB250" s="94">
        <v>1</v>
      </c>
      <c r="AC250" s="94">
        <v>-6</v>
      </c>
      <c r="AD250" s="94" t="s">
        <v>210</v>
      </c>
      <c r="AE250" s="94"/>
      <c r="AF250" s="94"/>
      <c r="AG250" s="94"/>
      <c r="AH250" s="94"/>
      <c r="AI250" s="94"/>
      <c r="AJ250" s="94"/>
      <c r="AK250" s="94"/>
      <c r="AL250" s="94"/>
      <c r="AM250" s="94"/>
      <c r="AN250" s="94"/>
      <c r="AO250" s="94"/>
      <c r="AP250" s="94"/>
      <c r="AQ250" s="94"/>
      <c r="AR250" s="94"/>
      <c r="AS250" s="94"/>
      <c r="AT250" s="94"/>
      <c r="AU250" s="94"/>
      <c r="AV250" s="94"/>
      <c r="AW250" s="94"/>
      <c r="AX250" s="94"/>
      <c r="AY250" s="94"/>
      <c r="BA250" s="95"/>
    </row>
    <row r="251" spans="1:53" s="87" customFormat="1">
      <c r="A251" s="90" t="str">
        <f t="shared" si="28"/>
        <v/>
      </c>
      <c r="B251" s="98">
        <v>27</v>
      </c>
      <c r="C251" s="94">
        <v>5</v>
      </c>
      <c r="D251" s="94" t="s">
        <v>210</v>
      </c>
      <c r="E251" s="94" t="s">
        <v>210</v>
      </c>
      <c r="F251" s="94">
        <v>-7</v>
      </c>
      <c r="G251" s="94">
        <v>3</v>
      </c>
      <c r="H251" s="94" t="s">
        <v>210</v>
      </c>
      <c r="I251" s="94" t="s">
        <v>210</v>
      </c>
      <c r="J251" s="94">
        <v>-1</v>
      </c>
      <c r="K251" s="94">
        <v>6</v>
      </c>
      <c r="L251" s="94" t="s">
        <v>210</v>
      </c>
      <c r="M251" s="94" t="s">
        <v>210</v>
      </c>
      <c r="N251" s="94">
        <v>-4</v>
      </c>
      <c r="O251" s="94">
        <v>2</v>
      </c>
      <c r="P251" s="94" t="s">
        <v>210</v>
      </c>
      <c r="Q251" s="94">
        <v>-5</v>
      </c>
      <c r="R251" s="94" t="s">
        <v>210</v>
      </c>
      <c r="S251" s="94" t="s">
        <v>210</v>
      </c>
      <c r="T251" s="94">
        <v>7</v>
      </c>
      <c r="U251" s="94">
        <v>-3</v>
      </c>
      <c r="V251" s="94" t="s">
        <v>210</v>
      </c>
      <c r="W251" s="94" t="s">
        <v>210</v>
      </c>
      <c r="X251" s="94">
        <v>1</v>
      </c>
      <c r="Y251" s="94">
        <v>-6</v>
      </c>
      <c r="Z251" s="94" t="s">
        <v>210</v>
      </c>
      <c r="AA251" s="94" t="s">
        <v>210</v>
      </c>
      <c r="AB251" s="94">
        <v>4</v>
      </c>
      <c r="AC251" s="94">
        <v>-2</v>
      </c>
      <c r="AD251" s="94" t="s">
        <v>210</v>
      </c>
      <c r="AE251" s="94"/>
      <c r="AF251" s="94"/>
      <c r="AG251" s="94"/>
      <c r="AH251" s="94"/>
      <c r="AI251" s="94"/>
      <c r="AJ251" s="94"/>
      <c r="AK251" s="94"/>
      <c r="AL251" s="94"/>
      <c r="AM251" s="94"/>
      <c r="AN251" s="94"/>
      <c r="AO251" s="94"/>
      <c r="AP251" s="94"/>
      <c r="AQ251" s="94"/>
      <c r="AR251" s="94"/>
      <c r="AS251" s="94"/>
      <c r="AT251" s="94"/>
      <c r="AU251" s="94"/>
      <c r="AV251" s="94"/>
      <c r="AW251" s="94"/>
      <c r="AX251" s="94"/>
      <c r="AY251" s="94"/>
      <c r="BA251" s="95"/>
    </row>
    <row r="252" spans="1:53" s="87" customFormat="1">
      <c r="A252" s="90" t="str">
        <f t="shared" si="28"/>
        <v/>
      </c>
      <c r="B252" s="98">
        <v>28</v>
      </c>
      <c r="C252" s="94">
        <v>2</v>
      </c>
      <c r="D252" s="94" t="s">
        <v>210</v>
      </c>
      <c r="E252" s="94" t="s">
        <v>210</v>
      </c>
      <c r="F252" s="94">
        <v>-5</v>
      </c>
      <c r="G252" s="94">
        <v>7</v>
      </c>
      <c r="H252" s="94" t="s">
        <v>210</v>
      </c>
      <c r="I252" s="94" t="s">
        <v>210</v>
      </c>
      <c r="J252" s="94">
        <v>-3</v>
      </c>
      <c r="K252" s="94">
        <v>1</v>
      </c>
      <c r="L252" s="94" t="s">
        <v>210</v>
      </c>
      <c r="M252" s="94" t="s">
        <v>210</v>
      </c>
      <c r="N252" s="94">
        <v>-6</v>
      </c>
      <c r="O252" s="94">
        <v>4</v>
      </c>
      <c r="P252" s="94" t="s">
        <v>210</v>
      </c>
      <c r="Q252" s="94">
        <v>-2</v>
      </c>
      <c r="R252" s="94" t="s">
        <v>210</v>
      </c>
      <c r="S252" s="94" t="s">
        <v>210</v>
      </c>
      <c r="T252" s="94">
        <v>5</v>
      </c>
      <c r="U252" s="94">
        <v>-7</v>
      </c>
      <c r="V252" s="94" t="s">
        <v>210</v>
      </c>
      <c r="W252" s="94" t="s">
        <v>210</v>
      </c>
      <c r="X252" s="94">
        <v>3</v>
      </c>
      <c r="Y252" s="94">
        <v>-1</v>
      </c>
      <c r="Z252" s="94" t="s">
        <v>210</v>
      </c>
      <c r="AA252" s="94" t="s">
        <v>210</v>
      </c>
      <c r="AB252" s="94">
        <v>6</v>
      </c>
      <c r="AC252" s="94">
        <v>-4</v>
      </c>
      <c r="AD252" s="94" t="s">
        <v>210</v>
      </c>
      <c r="AE252" s="94"/>
      <c r="AF252" s="94"/>
      <c r="AG252" s="94"/>
      <c r="AH252" s="94"/>
      <c r="AI252" s="94"/>
      <c r="AJ252" s="94"/>
      <c r="AK252" s="94"/>
      <c r="AL252" s="94"/>
      <c r="AM252" s="94"/>
      <c r="AN252" s="94"/>
      <c r="AO252" s="94"/>
      <c r="AP252" s="94"/>
      <c r="AQ252" s="94"/>
      <c r="AR252" s="94"/>
      <c r="AS252" s="94"/>
      <c r="AT252" s="94"/>
      <c r="AU252" s="94"/>
      <c r="AV252" s="94"/>
      <c r="AW252" s="94"/>
      <c r="AX252" s="94"/>
      <c r="AY252" s="94"/>
      <c r="BA252" s="95"/>
    </row>
    <row r="253" spans="1:53" s="87" customFormat="1">
      <c r="A253" s="90" t="str">
        <f t="shared" si="28"/>
        <v/>
      </c>
      <c r="B253" s="98" t="s">
        <v>427</v>
      </c>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BA253" s="95"/>
    </row>
    <row r="254" spans="1:53" s="87" customFormat="1">
      <c r="A254" s="90">
        <f t="shared" si="28"/>
        <v>254</v>
      </c>
      <c r="B254" s="98" t="s">
        <v>428</v>
      </c>
      <c r="C254" s="94"/>
      <c r="D254" s="94"/>
      <c r="E254" s="94"/>
      <c r="F254" s="94"/>
      <c r="G254" s="94"/>
      <c r="H254" s="94"/>
      <c r="I254" s="94"/>
      <c r="J254" s="94"/>
      <c r="K254" s="94"/>
      <c r="L254" s="94"/>
      <c r="M254" s="94"/>
      <c r="N254" s="94"/>
      <c r="O254" s="94"/>
      <c r="P254" s="94"/>
      <c r="Q254" s="94"/>
      <c r="R254" s="94"/>
      <c r="S254" s="94"/>
      <c r="T254" s="94"/>
      <c r="U254" s="94"/>
      <c r="V254" s="94"/>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BA254" s="95"/>
    </row>
    <row r="255" spans="1:53" s="87" customFormat="1">
      <c r="A255" s="90" t="str">
        <f t="shared" si="28"/>
        <v/>
      </c>
      <c r="B255" s="98">
        <v>1</v>
      </c>
      <c r="C255" s="94">
        <v>-5</v>
      </c>
      <c r="D255" s="94" t="s">
        <v>210</v>
      </c>
      <c r="E255" s="94" t="s">
        <v>210</v>
      </c>
      <c r="F255" s="94">
        <v>-6</v>
      </c>
      <c r="G255" s="94">
        <v>2</v>
      </c>
      <c r="H255" s="94" t="s">
        <v>210</v>
      </c>
      <c r="I255" s="94" t="s">
        <v>210</v>
      </c>
      <c r="J255" s="94">
        <v>3</v>
      </c>
      <c r="K255" s="94">
        <v>7</v>
      </c>
      <c r="L255" s="94" t="s">
        <v>210</v>
      </c>
      <c r="M255" s="94" t="s">
        <v>210</v>
      </c>
      <c r="N255" s="94">
        <v>4</v>
      </c>
      <c r="O255" s="94">
        <v>-2</v>
      </c>
      <c r="P255" s="94" t="s">
        <v>210</v>
      </c>
      <c r="Q255" s="94" t="s">
        <v>210</v>
      </c>
      <c r="R255" s="94">
        <v>5</v>
      </c>
      <c r="S255" s="94">
        <v>-1</v>
      </c>
      <c r="T255" s="94" t="s">
        <v>210</v>
      </c>
      <c r="U255" s="94" t="s">
        <v>210</v>
      </c>
      <c r="V255" s="94">
        <v>6</v>
      </c>
      <c r="W255" s="94">
        <v>-7</v>
      </c>
      <c r="X255" s="94" t="s">
        <v>210</v>
      </c>
      <c r="Y255" s="94" t="s">
        <v>210</v>
      </c>
      <c r="Z255" s="94">
        <v>-3</v>
      </c>
      <c r="AA255" s="94">
        <v>-4</v>
      </c>
      <c r="AB255" s="94" t="s">
        <v>210</v>
      </c>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BA255" s="95"/>
    </row>
    <row r="256" spans="1:53" s="87" customFormat="1">
      <c r="A256" s="90" t="str">
        <f t="shared" si="28"/>
        <v/>
      </c>
      <c r="B256" s="98">
        <v>2</v>
      </c>
      <c r="C256" s="94">
        <v>7</v>
      </c>
      <c r="D256" s="94" t="s">
        <v>210</v>
      </c>
      <c r="E256" s="94" t="s">
        <v>210</v>
      </c>
      <c r="F256" s="94">
        <v>-3</v>
      </c>
      <c r="G256" s="94">
        <v>-4</v>
      </c>
      <c r="H256" s="94" t="s">
        <v>210</v>
      </c>
      <c r="I256" s="94" t="s">
        <v>210</v>
      </c>
      <c r="J256" s="94">
        <v>5</v>
      </c>
      <c r="K256" s="94">
        <v>-1</v>
      </c>
      <c r="L256" s="94" t="s">
        <v>210</v>
      </c>
      <c r="M256" s="94" t="s">
        <v>210</v>
      </c>
      <c r="N256" s="94">
        <v>6</v>
      </c>
      <c r="O256" s="94">
        <v>-5</v>
      </c>
      <c r="P256" s="94" t="s">
        <v>210</v>
      </c>
      <c r="Q256" s="94" t="s">
        <v>210</v>
      </c>
      <c r="R256" s="94">
        <v>1</v>
      </c>
      <c r="S256" s="94">
        <v>3</v>
      </c>
      <c r="T256" s="94" t="s">
        <v>210</v>
      </c>
      <c r="U256" s="94" t="s">
        <v>210</v>
      </c>
      <c r="V256" s="94">
        <v>-7</v>
      </c>
      <c r="W256" s="94">
        <v>2</v>
      </c>
      <c r="X256" s="94" t="s">
        <v>210</v>
      </c>
      <c r="Y256" s="94" t="s">
        <v>210</v>
      </c>
      <c r="Z256" s="94">
        <v>-6</v>
      </c>
      <c r="AA256" s="94">
        <v>4</v>
      </c>
      <c r="AB256" s="94" t="s">
        <v>210</v>
      </c>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BA256" s="95"/>
    </row>
    <row r="257" spans="1:53" s="87" customFormat="1">
      <c r="A257" s="90" t="str">
        <f t="shared" si="28"/>
        <v/>
      </c>
      <c r="B257" s="98">
        <v>3</v>
      </c>
      <c r="C257" s="94">
        <v>3</v>
      </c>
      <c r="D257" s="94" t="s">
        <v>210</v>
      </c>
      <c r="E257" s="94" t="s">
        <v>210</v>
      </c>
      <c r="F257" s="94">
        <v>1</v>
      </c>
      <c r="G257" s="94">
        <v>-6</v>
      </c>
      <c r="H257" s="94" t="s">
        <v>210</v>
      </c>
      <c r="I257" s="94" t="s">
        <v>210</v>
      </c>
      <c r="J257" s="94">
        <v>4</v>
      </c>
      <c r="K257" s="94">
        <v>2</v>
      </c>
      <c r="L257" s="94" t="s">
        <v>210</v>
      </c>
      <c r="M257" s="94" t="s">
        <v>210</v>
      </c>
      <c r="N257" s="94">
        <v>5</v>
      </c>
      <c r="O257" s="94">
        <v>-1</v>
      </c>
      <c r="P257" s="94" t="s">
        <v>210</v>
      </c>
      <c r="Q257" s="94" t="s">
        <v>210</v>
      </c>
      <c r="R257" s="94">
        <v>-4</v>
      </c>
      <c r="S257" s="94">
        <v>-2</v>
      </c>
      <c r="T257" s="94" t="s">
        <v>210</v>
      </c>
      <c r="U257" s="94" t="s">
        <v>210</v>
      </c>
      <c r="V257" s="94">
        <v>-3</v>
      </c>
      <c r="W257" s="94">
        <v>7</v>
      </c>
      <c r="X257" s="94" t="s">
        <v>210</v>
      </c>
      <c r="Y257" s="94" t="s">
        <v>210</v>
      </c>
      <c r="Z257" s="94">
        <v>6</v>
      </c>
      <c r="AA257" s="94">
        <v>-5</v>
      </c>
      <c r="AB257" s="94" t="s">
        <v>210</v>
      </c>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BA257" s="95"/>
    </row>
    <row r="258" spans="1:53" s="87" customFormat="1">
      <c r="A258" s="90" t="str">
        <f t="shared" si="28"/>
        <v/>
      </c>
      <c r="B258" s="98">
        <v>4</v>
      </c>
      <c r="C258" s="94">
        <v>-4</v>
      </c>
      <c r="D258" s="94" t="s">
        <v>210</v>
      </c>
      <c r="E258" s="94" t="s">
        <v>210</v>
      </c>
      <c r="F258" s="94">
        <v>2</v>
      </c>
      <c r="G258" s="94">
        <v>-5</v>
      </c>
      <c r="H258" s="94" t="s">
        <v>210</v>
      </c>
      <c r="I258" s="94" t="s">
        <v>210</v>
      </c>
      <c r="J258" s="94">
        <v>-7</v>
      </c>
      <c r="K258" s="94">
        <v>-3</v>
      </c>
      <c r="L258" s="94" t="s">
        <v>210</v>
      </c>
      <c r="M258" s="94" t="s">
        <v>210</v>
      </c>
      <c r="N258" s="94">
        <v>-1</v>
      </c>
      <c r="O258" s="94">
        <v>4</v>
      </c>
      <c r="P258" s="94" t="s">
        <v>210</v>
      </c>
      <c r="Q258" s="94" t="s">
        <v>210</v>
      </c>
      <c r="R258" s="94">
        <v>7</v>
      </c>
      <c r="S258" s="94">
        <v>-6</v>
      </c>
      <c r="T258" s="94" t="s">
        <v>210</v>
      </c>
      <c r="U258" s="94" t="s">
        <v>210</v>
      </c>
      <c r="V258" s="94">
        <v>1</v>
      </c>
      <c r="W258" s="94">
        <v>-2</v>
      </c>
      <c r="X258" s="94" t="s">
        <v>210</v>
      </c>
      <c r="Y258" s="94" t="s">
        <v>210</v>
      </c>
      <c r="Z258" s="94">
        <v>3</v>
      </c>
      <c r="AA258" s="94">
        <v>5</v>
      </c>
      <c r="AB258" s="94" t="s">
        <v>210</v>
      </c>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BA258" s="95"/>
    </row>
    <row r="259" spans="1:53" s="87" customFormat="1">
      <c r="A259" s="90" t="str">
        <f t="shared" si="28"/>
        <v/>
      </c>
      <c r="B259" s="98">
        <v>5</v>
      </c>
      <c r="C259" s="94">
        <v>-6</v>
      </c>
      <c r="D259" s="94" t="s">
        <v>210</v>
      </c>
      <c r="E259" s="94" t="s">
        <v>210</v>
      </c>
      <c r="F259" s="94">
        <v>-1</v>
      </c>
      <c r="G259" s="94">
        <v>4</v>
      </c>
      <c r="H259" s="94" t="s">
        <v>210</v>
      </c>
      <c r="I259" s="94" t="s">
        <v>210</v>
      </c>
      <c r="J259" s="94">
        <v>-3</v>
      </c>
      <c r="K259" s="94">
        <v>-5</v>
      </c>
      <c r="L259" s="94" t="s">
        <v>210</v>
      </c>
      <c r="M259" s="94" t="s">
        <v>210</v>
      </c>
      <c r="N259" s="94">
        <v>-2</v>
      </c>
      <c r="O259" s="94">
        <v>-4</v>
      </c>
      <c r="P259" s="94" t="s">
        <v>210</v>
      </c>
      <c r="Q259" s="94" t="s">
        <v>210</v>
      </c>
      <c r="R259" s="94">
        <v>6</v>
      </c>
      <c r="S259" s="94">
        <v>-7</v>
      </c>
      <c r="T259" s="94" t="s">
        <v>210</v>
      </c>
      <c r="U259" s="94" t="s">
        <v>210</v>
      </c>
      <c r="V259" s="94">
        <v>2</v>
      </c>
      <c r="W259" s="94">
        <v>5</v>
      </c>
      <c r="X259" s="94" t="s">
        <v>210</v>
      </c>
      <c r="Y259" s="94" t="s">
        <v>210</v>
      </c>
      <c r="Z259" s="94">
        <v>1</v>
      </c>
      <c r="AA259" s="94">
        <v>3</v>
      </c>
      <c r="AB259" s="94" t="s">
        <v>210</v>
      </c>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BA259" s="95"/>
    </row>
    <row r="260" spans="1:53" s="87" customFormat="1">
      <c r="A260" s="90" t="str">
        <f t="shared" si="28"/>
        <v/>
      </c>
      <c r="B260" s="98">
        <v>6</v>
      </c>
      <c r="C260" s="94">
        <v>-7</v>
      </c>
      <c r="D260" s="94" t="s">
        <v>210</v>
      </c>
      <c r="E260" s="94" t="s">
        <v>210</v>
      </c>
      <c r="F260" s="94">
        <v>5</v>
      </c>
      <c r="G260" s="94">
        <v>-2</v>
      </c>
      <c r="H260" s="94" t="s">
        <v>210</v>
      </c>
      <c r="I260" s="94" t="s">
        <v>210</v>
      </c>
      <c r="J260" s="94">
        <v>-1</v>
      </c>
      <c r="K260" s="94">
        <v>-6</v>
      </c>
      <c r="L260" s="94" t="s">
        <v>210</v>
      </c>
      <c r="M260" s="94" t="s">
        <v>210</v>
      </c>
      <c r="N260" s="94">
        <v>3</v>
      </c>
      <c r="O260" s="94">
        <v>1</v>
      </c>
      <c r="P260" s="94" t="s">
        <v>210</v>
      </c>
      <c r="Q260" s="94" t="s">
        <v>210</v>
      </c>
      <c r="R260" s="94">
        <v>2</v>
      </c>
      <c r="S260" s="94">
        <v>6</v>
      </c>
      <c r="T260" s="94" t="s">
        <v>210</v>
      </c>
      <c r="U260" s="94" t="s">
        <v>210</v>
      </c>
      <c r="V260" s="94">
        <v>-5</v>
      </c>
      <c r="W260" s="94">
        <v>4</v>
      </c>
      <c r="X260" s="94" t="s">
        <v>210</v>
      </c>
      <c r="Y260" s="94" t="s">
        <v>210</v>
      </c>
      <c r="Z260" s="94">
        <v>7</v>
      </c>
      <c r="AA260" s="94">
        <v>-3</v>
      </c>
      <c r="AB260" s="94" t="s">
        <v>210</v>
      </c>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BA260" s="95"/>
    </row>
    <row r="261" spans="1:53" s="87" customFormat="1">
      <c r="A261" s="90" t="str">
        <f t="shared" si="28"/>
        <v/>
      </c>
      <c r="B261" s="98">
        <v>7</v>
      </c>
      <c r="C261" s="94">
        <v>-2</v>
      </c>
      <c r="D261" s="94" t="s">
        <v>210</v>
      </c>
      <c r="E261" s="94" t="s">
        <v>210</v>
      </c>
      <c r="F261" s="94">
        <v>7</v>
      </c>
      <c r="G261" s="94">
        <v>-3</v>
      </c>
      <c r="H261" s="94" t="s">
        <v>210</v>
      </c>
      <c r="I261" s="94" t="s">
        <v>210</v>
      </c>
      <c r="J261" s="94">
        <v>1</v>
      </c>
      <c r="K261" s="94">
        <v>5</v>
      </c>
      <c r="L261" s="94" t="s">
        <v>210</v>
      </c>
      <c r="M261" s="94" t="s">
        <v>210</v>
      </c>
      <c r="N261" s="94">
        <v>-6</v>
      </c>
      <c r="O261" s="94">
        <v>2</v>
      </c>
      <c r="P261" s="94" t="s">
        <v>210</v>
      </c>
      <c r="Q261" s="94" t="s">
        <v>210</v>
      </c>
      <c r="R261" s="94">
        <v>-7</v>
      </c>
      <c r="S261" s="94">
        <v>-4</v>
      </c>
      <c r="T261" s="94" t="s">
        <v>210</v>
      </c>
      <c r="U261" s="94" t="s">
        <v>210</v>
      </c>
      <c r="V261" s="94">
        <v>3</v>
      </c>
      <c r="W261" s="94">
        <v>-1</v>
      </c>
      <c r="X261" s="94" t="s">
        <v>210</v>
      </c>
      <c r="Y261" s="94" t="s">
        <v>210</v>
      </c>
      <c r="Z261" s="94">
        <v>-5</v>
      </c>
      <c r="AA261" s="94">
        <v>6</v>
      </c>
      <c r="AB261" s="94" t="s">
        <v>210</v>
      </c>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BA261" s="95"/>
    </row>
    <row r="262" spans="1:53" s="87" customFormat="1">
      <c r="A262" s="90" t="str">
        <f t="shared" si="28"/>
        <v/>
      </c>
      <c r="B262" s="98">
        <v>8</v>
      </c>
      <c r="C262" s="94">
        <v>6</v>
      </c>
      <c r="D262" s="94" t="s">
        <v>210</v>
      </c>
      <c r="E262" s="94" t="s">
        <v>210</v>
      </c>
      <c r="F262" s="94">
        <v>4</v>
      </c>
      <c r="G262" s="94">
        <v>-7</v>
      </c>
      <c r="H262" s="94" t="s">
        <v>210</v>
      </c>
      <c r="I262" s="94" t="s">
        <v>210</v>
      </c>
      <c r="J262" s="94">
        <v>-2</v>
      </c>
      <c r="K262" s="94">
        <v>1</v>
      </c>
      <c r="L262" s="94" t="s">
        <v>210</v>
      </c>
      <c r="M262" s="94" t="s">
        <v>210</v>
      </c>
      <c r="N262" s="94">
        <v>-3</v>
      </c>
      <c r="O262" s="94">
        <v>7</v>
      </c>
      <c r="P262" s="94" t="s">
        <v>210</v>
      </c>
      <c r="Q262" s="94" t="s">
        <v>210</v>
      </c>
      <c r="R262" s="94">
        <v>-5</v>
      </c>
      <c r="S262" s="94">
        <v>2</v>
      </c>
      <c r="T262" s="94" t="s">
        <v>210</v>
      </c>
      <c r="U262" s="94" t="s">
        <v>210</v>
      </c>
      <c r="V262" s="94">
        <v>-1</v>
      </c>
      <c r="W262" s="94">
        <v>3</v>
      </c>
      <c r="X262" s="94" t="s">
        <v>210</v>
      </c>
      <c r="Y262" s="94" t="s">
        <v>210</v>
      </c>
      <c r="Z262" s="94">
        <v>-4</v>
      </c>
      <c r="AA262" s="94">
        <v>-6</v>
      </c>
      <c r="AB262" s="94" t="s">
        <v>210</v>
      </c>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BA262" s="95"/>
    </row>
    <row r="263" spans="1:53" s="87" customFormat="1">
      <c r="A263" s="90" t="str">
        <f t="shared" si="28"/>
        <v/>
      </c>
      <c r="B263" s="98">
        <v>9</v>
      </c>
      <c r="C263" s="94">
        <v>5</v>
      </c>
      <c r="D263" s="94" t="s">
        <v>210</v>
      </c>
      <c r="E263" s="94" t="s">
        <v>210</v>
      </c>
      <c r="F263" s="94">
        <v>-7</v>
      </c>
      <c r="G263" s="94">
        <v>6</v>
      </c>
      <c r="H263" s="94" t="s">
        <v>210</v>
      </c>
      <c r="I263" s="94" t="s">
        <v>210</v>
      </c>
      <c r="J263" s="94">
        <v>2</v>
      </c>
      <c r="K263" s="94">
        <v>4</v>
      </c>
      <c r="L263" s="94" t="s">
        <v>210</v>
      </c>
      <c r="M263" s="94" t="s">
        <v>210</v>
      </c>
      <c r="N263" s="94">
        <v>1</v>
      </c>
      <c r="O263" s="94">
        <v>-6</v>
      </c>
      <c r="P263" s="94" t="s">
        <v>210</v>
      </c>
      <c r="Q263" s="94" t="s">
        <v>210</v>
      </c>
      <c r="R263" s="94">
        <v>3</v>
      </c>
      <c r="S263" s="94">
        <v>-5</v>
      </c>
      <c r="T263" s="94" t="s">
        <v>210</v>
      </c>
      <c r="U263" s="94" t="s">
        <v>210</v>
      </c>
      <c r="V263" s="94">
        <v>7</v>
      </c>
      <c r="W263" s="94">
        <v>-4</v>
      </c>
      <c r="X263" s="94" t="s">
        <v>210</v>
      </c>
      <c r="Y263" s="94" t="s">
        <v>210</v>
      </c>
      <c r="Z263" s="94">
        <v>-1</v>
      </c>
      <c r="AA263" s="94">
        <v>-2</v>
      </c>
      <c r="AB263" s="94" t="s">
        <v>210</v>
      </c>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BA263" s="95"/>
    </row>
    <row r="264" spans="1:53" s="87" customFormat="1">
      <c r="A264" s="90" t="str">
        <f t="shared" si="28"/>
        <v/>
      </c>
      <c r="B264" s="98">
        <v>10</v>
      </c>
      <c r="C264" s="94">
        <v>1</v>
      </c>
      <c r="D264" s="94" t="s">
        <v>210</v>
      </c>
      <c r="E264" s="94" t="s">
        <v>210</v>
      </c>
      <c r="F264" s="94">
        <v>-4</v>
      </c>
      <c r="G264" s="94">
        <v>5</v>
      </c>
      <c r="H264" s="94" t="s">
        <v>210</v>
      </c>
      <c r="I264" s="94" t="s">
        <v>210</v>
      </c>
      <c r="J264" s="94">
        <v>6</v>
      </c>
      <c r="K264" s="94">
        <v>-2</v>
      </c>
      <c r="L264" s="94" t="s">
        <v>210</v>
      </c>
      <c r="M264" s="94" t="s">
        <v>210</v>
      </c>
      <c r="N264" s="94">
        <v>7</v>
      </c>
      <c r="O264" s="94">
        <v>-3</v>
      </c>
      <c r="P264" s="94" t="s">
        <v>210</v>
      </c>
      <c r="Q264" s="94" t="s">
        <v>210</v>
      </c>
      <c r="R264" s="94">
        <v>-1</v>
      </c>
      <c r="S264" s="94">
        <v>4</v>
      </c>
      <c r="T264" s="94" t="s">
        <v>210</v>
      </c>
      <c r="U264" s="94" t="s">
        <v>210</v>
      </c>
      <c r="V264" s="94">
        <v>-6</v>
      </c>
      <c r="W264" s="94">
        <v>-5</v>
      </c>
      <c r="X264" s="94" t="s">
        <v>210</v>
      </c>
      <c r="Y264" s="94" t="s">
        <v>210</v>
      </c>
      <c r="Z264" s="94">
        <v>-7</v>
      </c>
      <c r="AA264" s="94">
        <v>2</v>
      </c>
      <c r="AB264" s="94" t="s">
        <v>210</v>
      </c>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BA264" s="95"/>
    </row>
    <row r="265" spans="1:53" s="87" customFormat="1">
      <c r="A265" s="90" t="str">
        <f t="shared" si="28"/>
        <v/>
      </c>
      <c r="B265" s="98">
        <v>11</v>
      </c>
      <c r="C265" s="94">
        <v>-3</v>
      </c>
      <c r="D265" s="94" t="s">
        <v>210</v>
      </c>
      <c r="E265" s="94" t="s">
        <v>210</v>
      </c>
      <c r="F265" s="94">
        <v>-2</v>
      </c>
      <c r="G265" s="94">
        <v>7</v>
      </c>
      <c r="H265" s="94" t="s">
        <v>210</v>
      </c>
      <c r="I265" s="94" t="s">
        <v>210</v>
      </c>
      <c r="J265" s="94">
        <v>-5</v>
      </c>
      <c r="K265" s="94">
        <v>6</v>
      </c>
      <c r="L265" s="94" t="s">
        <v>210</v>
      </c>
      <c r="M265" s="94" t="s">
        <v>210</v>
      </c>
      <c r="N265" s="94">
        <v>-4</v>
      </c>
      <c r="O265" s="94">
        <v>3</v>
      </c>
      <c r="P265" s="94" t="s">
        <v>210</v>
      </c>
      <c r="Q265" s="94" t="s">
        <v>210</v>
      </c>
      <c r="R265" s="94">
        <v>-6</v>
      </c>
      <c r="S265" s="94">
        <v>5</v>
      </c>
      <c r="T265" s="94" t="s">
        <v>210</v>
      </c>
      <c r="U265" s="94" t="s">
        <v>210</v>
      </c>
      <c r="V265" s="94">
        <v>4</v>
      </c>
      <c r="W265" s="94">
        <v>1</v>
      </c>
      <c r="X265" s="94" t="s">
        <v>210</v>
      </c>
      <c r="Y265" s="94" t="s">
        <v>210</v>
      </c>
      <c r="Z265" s="94">
        <v>2</v>
      </c>
      <c r="AA265" s="94">
        <v>-7</v>
      </c>
      <c r="AB265" s="94" t="s">
        <v>210</v>
      </c>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BA265" s="95"/>
    </row>
    <row r="266" spans="1:53" s="87" customFormat="1">
      <c r="A266" s="90" t="str">
        <f t="shared" si="28"/>
        <v/>
      </c>
      <c r="B266" s="98">
        <v>12</v>
      </c>
      <c r="C266" s="94">
        <v>2</v>
      </c>
      <c r="D266" s="94" t="s">
        <v>210</v>
      </c>
      <c r="E266" s="94" t="s">
        <v>210</v>
      </c>
      <c r="F266" s="94">
        <v>-5</v>
      </c>
      <c r="G266" s="94">
        <v>-1</v>
      </c>
      <c r="H266" s="94" t="s">
        <v>210</v>
      </c>
      <c r="I266" s="94" t="s">
        <v>210</v>
      </c>
      <c r="J266" s="94">
        <v>-4</v>
      </c>
      <c r="K266" s="94">
        <v>3</v>
      </c>
      <c r="L266" s="94" t="s">
        <v>210</v>
      </c>
      <c r="M266" s="94" t="s">
        <v>210</v>
      </c>
      <c r="N266" s="94">
        <v>-7</v>
      </c>
      <c r="O266" s="94">
        <v>5</v>
      </c>
      <c r="P266" s="94" t="s">
        <v>210</v>
      </c>
      <c r="Q266" s="94" t="s">
        <v>210</v>
      </c>
      <c r="R266" s="94">
        <v>-3</v>
      </c>
      <c r="S266" s="94">
        <v>1</v>
      </c>
      <c r="T266" s="94" t="s">
        <v>210</v>
      </c>
      <c r="U266" s="94" t="s">
        <v>210</v>
      </c>
      <c r="V266" s="94">
        <v>-2</v>
      </c>
      <c r="W266" s="94">
        <v>6</v>
      </c>
      <c r="X266" s="94" t="s">
        <v>210</v>
      </c>
      <c r="Y266" s="94" t="s">
        <v>210</v>
      </c>
      <c r="Z266" s="94">
        <v>4</v>
      </c>
      <c r="AA266" s="94">
        <v>7</v>
      </c>
      <c r="AB266" s="94" t="s">
        <v>210</v>
      </c>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BA266" s="95"/>
    </row>
    <row r="267" spans="1:53" s="87" customFormat="1">
      <c r="A267" s="90" t="str">
        <f t="shared" si="28"/>
        <v/>
      </c>
      <c r="B267" s="98">
        <v>13</v>
      </c>
      <c r="C267" s="94">
        <v>4</v>
      </c>
      <c r="D267" s="94" t="s">
        <v>210</v>
      </c>
      <c r="E267" s="94" t="s">
        <v>210</v>
      </c>
      <c r="F267" s="94">
        <v>3</v>
      </c>
      <c r="G267" s="94">
        <v>1</v>
      </c>
      <c r="H267" s="94" t="s">
        <v>210</v>
      </c>
      <c r="I267" s="94" t="s">
        <v>210</v>
      </c>
      <c r="J267" s="94">
        <v>-6</v>
      </c>
      <c r="K267" s="94">
        <v>-7</v>
      </c>
      <c r="L267" s="94" t="s">
        <v>210</v>
      </c>
      <c r="M267" s="94" t="s">
        <v>210</v>
      </c>
      <c r="N267" s="94">
        <v>-5</v>
      </c>
      <c r="O267" s="94">
        <v>6</v>
      </c>
      <c r="P267" s="94" t="s">
        <v>210</v>
      </c>
      <c r="Q267" s="94" t="s">
        <v>210</v>
      </c>
      <c r="R267" s="94">
        <v>-2</v>
      </c>
      <c r="S267" s="94">
        <v>7</v>
      </c>
      <c r="T267" s="94" t="s">
        <v>210</v>
      </c>
      <c r="U267" s="94" t="s">
        <v>210</v>
      </c>
      <c r="V267" s="94">
        <v>-4</v>
      </c>
      <c r="W267" s="94">
        <v>-3</v>
      </c>
      <c r="X267" s="94" t="s">
        <v>210</v>
      </c>
      <c r="Y267" s="94" t="s">
        <v>210</v>
      </c>
      <c r="Z267" s="94">
        <v>5</v>
      </c>
      <c r="AA267" s="94">
        <v>-1</v>
      </c>
      <c r="AB267" s="94" t="s">
        <v>210</v>
      </c>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BA267" s="95"/>
    </row>
    <row r="268" spans="1:53" s="87" customFormat="1">
      <c r="A268" s="90" t="str">
        <f t="shared" ref="A268:A331" si="29">IF(MID(B268,3,2)="07",ROW(),"")</f>
        <v/>
      </c>
      <c r="B268" s="99">
        <v>14</v>
      </c>
      <c r="C268" s="92">
        <v>-1</v>
      </c>
      <c r="D268" s="92" t="s">
        <v>210</v>
      </c>
      <c r="E268" s="92" t="s">
        <v>210</v>
      </c>
      <c r="F268" s="92">
        <v>6</v>
      </c>
      <c r="G268" s="92">
        <v>3</v>
      </c>
      <c r="H268" s="92" t="s">
        <v>210</v>
      </c>
      <c r="I268" s="92" t="s">
        <v>210</v>
      </c>
      <c r="J268" s="92">
        <v>7</v>
      </c>
      <c r="K268" s="92">
        <v>-4</v>
      </c>
      <c r="L268" s="92" t="s">
        <v>210</v>
      </c>
      <c r="M268" s="92" t="s">
        <v>210</v>
      </c>
      <c r="N268" s="92">
        <v>2</v>
      </c>
      <c r="O268" s="92">
        <v>-7</v>
      </c>
      <c r="P268" s="92" t="s">
        <v>210</v>
      </c>
      <c r="Q268" s="92" t="s">
        <v>210</v>
      </c>
      <c r="R268" s="92">
        <v>4</v>
      </c>
      <c r="S268" s="92">
        <v>-3</v>
      </c>
      <c r="T268" s="92" t="s">
        <v>210</v>
      </c>
      <c r="U268" s="92" t="s">
        <v>210</v>
      </c>
      <c r="V268" s="92">
        <v>5</v>
      </c>
      <c r="W268" s="92">
        <v>-6</v>
      </c>
      <c r="X268" s="92" t="s">
        <v>210</v>
      </c>
      <c r="Y268" s="92" t="s">
        <v>210</v>
      </c>
      <c r="Z268" s="92">
        <v>-2</v>
      </c>
      <c r="AA268" s="92">
        <v>1</v>
      </c>
      <c r="AB268" s="92" t="s">
        <v>210</v>
      </c>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BA268" s="95"/>
    </row>
    <row r="269" spans="1:53" s="87" customFormat="1">
      <c r="A269" s="90" t="str">
        <f t="shared" si="29"/>
        <v/>
      </c>
      <c r="B269" s="98">
        <v>15</v>
      </c>
      <c r="C269" s="94" t="s">
        <v>210</v>
      </c>
      <c r="D269" s="94">
        <v>-5</v>
      </c>
      <c r="E269" s="94">
        <v>-6</v>
      </c>
      <c r="F269" s="94" t="s">
        <v>210</v>
      </c>
      <c r="G269" s="94" t="s">
        <v>210</v>
      </c>
      <c r="H269" s="94">
        <v>2</v>
      </c>
      <c r="I269" s="94">
        <v>3</v>
      </c>
      <c r="J269" s="94" t="s">
        <v>210</v>
      </c>
      <c r="K269" s="94" t="s">
        <v>210</v>
      </c>
      <c r="L269" s="94">
        <v>7</v>
      </c>
      <c r="M269" s="94">
        <v>4</v>
      </c>
      <c r="N269" s="94" t="s">
        <v>210</v>
      </c>
      <c r="O269" s="94" t="s">
        <v>210</v>
      </c>
      <c r="P269" s="94">
        <v>-2</v>
      </c>
      <c r="Q269" s="94">
        <v>5</v>
      </c>
      <c r="R269" s="94" t="s">
        <v>210</v>
      </c>
      <c r="S269" s="94" t="s">
        <v>210</v>
      </c>
      <c r="T269" s="94">
        <v>-1</v>
      </c>
      <c r="U269" s="94">
        <v>6</v>
      </c>
      <c r="V269" s="94" t="s">
        <v>210</v>
      </c>
      <c r="W269" s="94" t="s">
        <v>210</v>
      </c>
      <c r="X269" s="94">
        <v>-7</v>
      </c>
      <c r="Y269" s="94">
        <v>-3</v>
      </c>
      <c r="Z269" s="94" t="s">
        <v>210</v>
      </c>
      <c r="AA269" s="94" t="s">
        <v>210</v>
      </c>
      <c r="AB269" s="94">
        <v>-4</v>
      </c>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BA269" s="95"/>
    </row>
    <row r="270" spans="1:53" s="87" customFormat="1">
      <c r="A270" s="90" t="str">
        <f t="shared" si="29"/>
        <v/>
      </c>
      <c r="B270" s="98">
        <v>16</v>
      </c>
      <c r="C270" s="94" t="s">
        <v>210</v>
      </c>
      <c r="D270" s="94">
        <v>7</v>
      </c>
      <c r="E270" s="94">
        <v>-3</v>
      </c>
      <c r="F270" s="94" t="s">
        <v>210</v>
      </c>
      <c r="G270" s="94" t="s">
        <v>210</v>
      </c>
      <c r="H270" s="94">
        <v>-4</v>
      </c>
      <c r="I270" s="94">
        <v>5</v>
      </c>
      <c r="J270" s="94" t="s">
        <v>210</v>
      </c>
      <c r="K270" s="94" t="s">
        <v>210</v>
      </c>
      <c r="L270" s="94">
        <v>-1</v>
      </c>
      <c r="M270" s="94">
        <v>6</v>
      </c>
      <c r="N270" s="94" t="s">
        <v>210</v>
      </c>
      <c r="O270" s="94" t="s">
        <v>210</v>
      </c>
      <c r="P270" s="94">
        <v>-5</v>
      </c>
      <c r="Q270" s="94">
        <v>1</v>
      </c>
      <c r="R270" s="94" t="s">
        <v>210</v>
      </c>
      <c r="S270" s="94" t="s">
        <v>210</v>
      </c>
      <c r="T270" s="94">
        <v>3</v>
      </c>
      <c r="U270" s="94">
        <v>-7</v>
      </c>
      <c r="V270" s="94" t="s">
        <v>210</v>
      </c>
      <c r="W270" s="94" t="s">
        <v>210</v>
      </c>
      <c r="X270" s="94">
        <v>2</v>
      </c>
      <c r="Y270" s="94">
        <v>-6</v>
      </c>
      <c r="Z270" s="94" t="s">
        <v>210</v>
      </c>
      <c r="AA270" s="94" t="s">
        <v>210</v>
      </c>
      <c r="AB270" s="94">
        <v>4</v>
      </c>
      <c r="AC270" s="94"/>
      <c r="AD270" s="94"/>
      <c r="AE270" s="94"/>
      <c r="AF270" s="94"/>
      <c r="AG270" s="94"/>
      <c r="AH270" s="94"/>
      <c r="AI270" s="94"/>
      <c r="AJ270" s="94"/>
      <c r="AK270" s="94"/>
      <c r="AL270" s="94"/>
      <c r="AM270" s="94"/>
      <c r="AN270" s="94"/>
      <c r="AO270" s="94"/>
      <c r="AP270" s="94"/>
      <c r="AQ270" s="94"/>
      <c r="AR270" s="94"/>
      <c r="AS270" s="94"/>
      <c r="AT270" s="94"/>
      <c r="AU270" s="94"/>
      <c r="AV270" s="94"/>
      <c r="AW270" s="94"/>
      <c r="AX270" s="94"/>
      <c r="AY270" s="94"/>
      <c r="BA270" s="95"/>
    </row>
    <row r="271" spans="1:53" s="87" customFormat="1">
      <c r="A271" s="90" t="str">
        <f t="shared" si="29"/>
        <v/>
      </c>
      <c r="B271" s="98">
        <v>17</v>
      </c>
      <c r="C271" s="94" t="s">
        <v>210</v>
      </c>
      <c r="D271" s="94">
        <v>3</v>
      </c>
      <c r="E271" s="94">
        <v>1</v>
      </c>
      <c r="F271" s="94" t="s">
        <v>210</v>
      </c>
      <c r="G271" s="94" t="s">
        <v>210</v>
      </c>
      <c r="H271" s="94">
        <v>-6</v>
      </c>
      <c r="I271" s="94">
        <v>4</v>
      </c>
      <c r="J271" s="94" t="s">
        <v>210</v>
      </c>
      <c r="K271" s="94" t="s">
        <v>210</v>
      </c>
      <c r="L271" s="94">
        <v>2</v>
      </c>
      <c r="M271" s="94">
        <v>5</v>
      </c>
      <c r="N271" s="94" t="s">
        <v>210</v>
      </c>
      <c r="O271" s="94" t="s">
        <v>210</v>
      </c>
      <c r="P271" s="94">
        <v>-1</v>
      </c>
      <c r="Q271" s="94">
        <v>-4</v>
      </c>
      <c r="R271" s="94" t="s">
        <v>210</v>
      </c>
      <c r="S271" s="94" t="s">
        <v>210</v>
      </c>
      <c r="T271" s="94">
        <v>-2</v>
      </c>
      <c r="U271" s="94">
        <v>-3</v>
      </c>
      <c r="V271" s="94" t="s">
        <v>210</v>
      </c>
      <c r="W271" s="94" t="s">
        <v>210</v>
      </c>
      <c r="X271" s="94">
        <v>7</v>
      </c>
      <c r="Y271" s="94">
        <v>6</v>
      </c>
      <c r="Z271" s="94" t="s">
        <v>210</v>
      </c>
      <c r="AA271" s="94" t="s">
        <v>210</v>
      </c>
      <c r="AB271" s="94">
        <v>-5</v>
      </c>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BA271" s="95"/>
    </row>
    <row r="272" spans="1:53" s="87" customFormat="1">
      <c r="A272" s="90" t="str">
        <f t="shared" si="29"/>
        <v/>
      </c>
      <c r="B272" s="98">
        <v>18</v>
      </c>
      <c r="C272" s="94" t="s">
        <v>210</v>
      </c>
      <c r="D272" s="94">
        <v>-4</v>
      </c>
      <c r="E272" s="94">
        <v>2</v>
      </c>
      <c r="F272" s="94" t="s">
        <v>210</v>
      </c>
      <c r="G272" s="94" t="s">
        <v>210</v>
      </c>
      <c r="H272" s="94">
        <v>-5</v>
      </c>
      <c r="I272" s="94">
        <v>-7</v>
      </c>
      <c r="J272" s="94" t="s">
        <v>210</v>
      </c>
      <c r="K272" s="94" t="s">
        <v>210</v>
      </c>
      <c r="L272" s="94">
        <v>-3</v>
      </c>
      <c r="M272" s="94">
        <v>-1</v>
      </c>
      <c r="N272" s="94" t="s">
        <v>210</v>
      </c>
      <c r="O272" s="94" t="s">
        <v>210</v>
      </c>
      <c r="P272" s="94">
        <v>4</v>
      </c>
      <c r="Q272" s="94">
        <v>7</v>
      </c>
      <c r="R272" s="94" t="s">
        <v>210</v>
      </c>
      <c r="S272" s="94" t="s">
        <v>210</v>
      </c>
      <c r="T272" s="94">
        <v>-6</v>
      </c>
      <c r="U272" s="94">
        <v>1</v>
      </c>
      <c r="V272" s="94" t="s">
        <v>210</v>
      </c>
      <c r="W272" s="94" t="s">
        <v>210</v>
      </c>
      <c r="X272" s="94">
        <v>-2</v>
      </c>
      <c r="Y272" s="94">
        <v>3</v>
      </c>
      <c r="Z272" s="94" t="s">
        <v>210</v>
      </c>
      <c r="AA272" s="94" t="s">
        <v>210</v>
      </c>
      <c r="AB272" s="94">
        <v>5</v>
      </c>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BA272" s="95"/>
    </row>
    <row r="273" spans="1:53" s="87" customFormat="1">
      <c r="A273" s="90" t="str">
        <f t="shared" si="29"/>
        <v/>
      </c>
      <c r="B273" s="98">
        <v>19</v>
      </c>
      <c r="C273" s="94" t="s">
        <v>210</v>
      </c>
      <c r="D273" s="94">
        <v>-6</v>
      </c>
      <c r="E273" s="94">
        <v>-1</v>
      </c>
      <c r="F273" s="94" t="s">
        <v>210</v>
      </c>
      <c r="G273" s="94" t="s">
        <v>210</v>
      </c>
      <c r="H273" s="94">
        <v>4</v>
      </c>
      <c r="I273" s="94">
        <v>-3</v>
      </c>
      <c r="J273" s="94" t="s">
        <v>210</v>
      </c>
      <c r="K273" s="94" t="s">
        <v>210</v>
      </c>
      <c r="L273" s="94">
        <v>-5</v>
      </c>
      <c r="M273" s="94">
        <v>-2</v>
      </c>
      <c r="N273" s="94" t="s">
        <v>210</v>
      </c>
      <c r="O273" s="94" t="s">
        <v>210</v>
      </c>
      <c r="P273" s="94">
        <v>-4</v>
      </c>
      <c r="Q273" s="94">
        <v>6</v>
      </c>
      <c r="R273" s="94" t="s">
        <v>210</v>
      </c>
      <c r="S273" s="94" t="s">
        <v>210</v>
      </c>
      <c r="T273" s="94">
        <v>-7</v>
      </c>
      <c r="U273" s="94">
        <v>2</v>
      </c>
      <c r="V273" s="94" t="s">
        <v>210</v>
      </c>
      <c r="W273" s="94" t="s">
        <v>210</v>
      </c>
      <c r="X273" s="94">
        <v>5</v>
      </c>
      <c r="Y273" s="94">
        <v>1</v>
      </c>
      <c r="Z273" s="94" t="s">
        <v>210</v>
      </c>
      <c r="AA273" s="94" t="s">
        <v>210</v>
      </c>
      <c r="AB273" s="94">
        <v>3</v>
      </c>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BA273" s="95"/>
    </row>
    <row r="274" spans="1:53" s="87" customFormat="1">
      <c r="A274" s="90" t="str">
        <f t="shared" si="29"/>
        <v/>
      </c>
      <c r="B274" s="98">
        <v>20</v>
      </c>
      <c r="C274" s="94" t="s">
        <v>210</v>
      </c>
      <c r="D274" s="94">
        <v>-7</v>
      </c>
      <c r="E274" s="94">
        <v>5</v>
      </c>
      <c r="F274" s="94" t="s">
        <v>210</v>
      </c>
      <c r="G274" s="94" t="s">
        <v>210</v>
      </c>
      <c r="H274" s="94">
        <v>-2</v>
      </c>
      <c r="I274" s="94">
        <v>-1</v>
      </c>
      <c r="J274" s="94" t="s">
        <v>210</v>
      </c>
      <c r="K274" s="94" t="s">
        <v>210</v>
      </c>
      <c r="L274" s="94">
        <v>-6</v>
      </c>
      <c r="M274" s="94">
        <v>3</v>
      </c>
      <c r="N274" s="94" t="s">
        <v>210</v>
      </c>
      <c r="O274" s="94" t="s">
        <v>210</v>
      </c>
      <c r="P274" s="94">
        <v>1</v>
      </c>
      <c r="Q274" s="94">
        <v>2</v>
      </c>
      <c r="R274" s="94" t="s">
        <v>210</v>
      </c>
      <c r="S274" s="94" t="s">
        <v>210</v>
      </c>
      <c r="T274" s="94">
        <v>6</v>
      </c>
      <c r="U274" s="94">
        <v>-5</v>
      </c>
      <c r="V274" s="94" t="s">
        <v>210</v>
      </c>
      <c r="W274" s="94" t="s">
        <v>210</v>
      </c>
      <c r="X274" s="94">
        <v>4</v>
      </c>
      <c r="Y274" s="94">
        <v>7</v>
      </c>
      <c r="Z274" s="94" t="s">
        <v>210</v>
      </c>
      <c r="AA274" s="94" t="s">
        <v>210</v>
      </c>
      <c r="AB274" s="94">
        <v>-3</v>
      </c>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BA274" s="95"/>
    </row>
    <row r="275" spans="1:53" s="87" customFormat="1">
      <c r="A275" s="90" t="str">
        <f t="shared" si="29"/>
        <v/>
      </c>
      <c r="B275" s="98">
        <v>21</v>
      </c>
      <c r="C275" s="94" t="s">
        <v>210</v>
      </c>
      <c r="D275" s="94">
        <v>-2</v>
      </c>
      <c r="E275" s="94">
        <v>7</v>
      </c>
      <c r="F275" s="94" t="s">
        <v>210</v>
      </c>
      <c r="G275" s="94" t="s">
        <v>210</v>
      </c>
      <c r="H275" s="94">
        <v>-3</v>
      </c>
      <c r="I275" s="94">
        <v>1</v>
      </c>
      <c r="J275" s="94" t="s">
        <v>210</v>
      </c>
      <c r="K275" s="94" t="s">
        <v>210</v>
      </c>
      <c r="L275" s="94">
        <v>5</v>
      </c>
      <c r="M275" s="94">
        <v>-6</v>
      </c>
      <c r="N275" s="94" t="s">
        <v>210</v>
      </c>
      <c r="O275" s="94" t="s">
        <v>210</v>
      </c>
      <c r="P275" s="94">
        <v>2</v>
      </c>
      <c r="Q275" s="94">
        <v>-7</v>
      </c>
      <c r="R275" s="94" t="s">
        <v>210</v>
      </c>
      <c r="S275" s="94" t="s">
        <v>210</v>
      </c>
      <c r="T275" s="94">
        <v>-4</v>
      </c>
      <c r="U275" s="94">
        <v>3</v>
      </c>
      <c r="V275" s="94" t="s">
        <v>210</v>
      </c>
      <c r="W275" s="94" t="s">
        <v>210</v>
      </c>
      <c r="X275" s="94">
        <v>-1</v>
      </c>
      <c r="Y275" s="94">
        <v>-5</v>
      </c>
      <c r="Z275" s="94" t="s">
        <v>210</v>
      </c>
      <c r="AA275" s="94" t="s">
        <v>210</v>
      </c>
      <c r="AB275" s="94">
        <v>6</v>
      </c>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BA275" s="95"/>
    </row>
    <row r="276" spans="1:53" s="87" customFormat="1">
      <c r="A276" s="90" t="str">
        <f t="shared" si="29"/>
        <v/>
      </c>
      <c r="B276" s="98">
        <v>22</v>
      </c>
      <c r="C276" s="94" t="s">
        <v>210</v>
      </c>
      <c r="D276" s="94">
        <v>6</v>
      </c>
      <c r="E276" s="94">
        <v>4</v>
      </c>
      <c r="F276" s="94" t="s">
        <v>210</v>
      </c>
      <c r="G276" s="94" t="s">
        <v>210</v>
      </c>
      <c r="H276" s="94">
        <v>-7</v>
      </c>
      <c r="I276" s="94">
        <v>-2</v>
      </c>
      <c r="J276" s="94" t="s">
        <v>210</v>
      </c>
      <c r="K276" s="94" t="s">
        <v>210</v>
      </c>
      <c r="L276" s="94">
        <v>1</v>
      </c>
      <c r="M276" s="94">
        <v>-3</v>
      </c>
      <c r="N276" s="94" t="s">
        <v>210</v>
      </c>
      <c r="O276" s="94" t="s">
        <v>210</v>
      </c>
      <c r="P276" s="94">
        <v>7</v>
      </c>
      <c r="Q276" s="94">
        <v>-5</v>
      </c>
      <c r="R276" s="94" t="s">
        <v>210</v>
      </c>
      <c r="S276" s="94" t="s">
        <v>210</v>
      </c>
      <c r="T276" s="94">
        <v>2</v>
      </c>
      <c r="U276" s="94">
        <v>-1</v>
      </c>
      <c r="V276" s="94" t="s">
        <v>210</v>
      </c>
      <c r="W276" s="94" t="s">
        <v>210</v>
      </c>
      <c r="X276" s="94">
        <v>3</v>
      </c>
      <c r="Y276" s="94">
        <v>-4</v>
      </c>
      <c r="Z276" s="94" t="s">
        <v>210</v>
      </c>
      <c r="AA276" s="94" t="s">
        <v>210</v>
      </c>
      <c r="AB276" s="94">
        <v>-6</v>
      </c>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BA276" s="95"/>
    </row>
    <row r="277" spans="1:53" s="87" customFormat="1">
      <c r="A277" s="90" t="str">
        <f t="shared" si="29"/>
        <v/>
      </c>
      <c r="B277" s="98">
        <v>23</v>
      </c>
      <c r="C277" s="94" t="s">
        <v>210</v>
      </c>
      <c r="D277" s="94">
        <v>5</v>
      </c>
      <c r="E277" s="94">
        <v>-7</v>
      </c>
      <c r="F277" s="94" t="s">
        <v>210</v>
      </c>
      <c r="G277" s="94" t="s">
        <v>210</v>
      </c>
      <c r="H277" s="94">
        <v>6</v>
      </c>
      <c r="I277" s="94">
        <v>2</v>
      </c>
      <c r="J277" s="94" t="s">
        <v>210</v>
      </c>
      <c r="K277" s="94" t="s">
        <v>210</v>
      </c>
      <c r="L277" s="94">
        <v>4</v>
      </c>
      <c r="M277" s="94">
        <v>1</v>
      </c>
      <c r="N277" s="94" t="s">
        <v>210</v>
      </c>
      <c r="O277" s="94" t="s">
        <v>210</v>
      </c>
      <c r="P277" s="94">
        <v>-6</v>
      </c>
      <c r="Q277" s="94">
        <v>3</v>
      </c>
      <c r="R277" s="94" t="s">
        <v>210</v>
      </c>
      <c r="S277" s="94" t="s">
        <v>210</v>
      </c>
      <c r="T277" s="94">
        <v>-5</v>
      </c>
      <c r="U277" s="94">
        <v>7</v>
      </c>
      <c r="V277" s="94" t="s">
        <v>210</v>
      </c>
      <c r="W277" s="94" t="s">
        <v>210</v>
      </c>
      <c r="X277" s="94">
        <v>-4</v>
      </c>
      <c r="Y277" s="94">
        <v>-1</v>
      </c>
      <c r="Z277" s="94" t="s">
        <v>210</v>
      </c>
      <c r="AA277" s="94" t="s">
        <v>210</v>
      </c>
      <c r="AB277" s="94">
        <v>-2</v>
      </c>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BA277" s="95"/>
    </row>
    <row r="278" spans="1:53" s="87" customFormat="1">
      <c r="A278" s="90" t="str">
        <f t="shared" si="29"/>
        <v/>
      </c>
      <c r="B278" s="98">
        <v>24</v>
      </c>
      <c r="C278" s="94" t="s">
        <v>210</v>
      </c>
      <c r="D278" s="94">
        <v>1</v>
      </c>
      <c r="E278" s="94">
        <v>-4</v>
      </c>
      <c r="F278" s="94" t="s">
        <v>210</v>
      </c>
      <c r="G278" s="94" t="s">
        <v>210</v>
      </c>
      <c r="H278" s="94">
        <v>5</v>
      </c>
      <c r="I278" s="94">
        <v>6</v>
      </c>
      <c r="J278" s="94" t="s">
        <v>210</v>
      </c>
      <c r="K278" s="94" t="s">
        <v>210</v>
      </c>
      <c r="L278" s="94">
        <v>-2</v>
      </c>
      <c r="M278" s="94">
        <v>7</v>
      </c>
      <c r="N278" s="94" t="s">
        <v>210</v>
      </c>
      <c r="O278" s="94" t="s">
        <v>210</v>
      </c>
      <c r="P278" s="94">
        <v>-3</v>
      </c>
      <c r="Q278" s="94">
        <v>-1</v>
      </c>
      <c r="R278" s="94" t="s">
        <v>210</v>
      </c>
      <c r="S278" s="94" t="s">
        <v>210</v>
      </c>
      <c r="T278" s="94">
        <v>4</v>
      </c>
      <c r="U278" s="94">
        <v>-6</v>
      </c>
      <c r="V278" s="94" t="s">
        <v>210</v>
      </c>
      <c r="W278" s="94" t="s">
        <v>210</v>
      </c>
      <c r="X278" s="94">
        <v>-5</v>
      </c>
      <c r="Y278" s="94">
        <v>-7</v>
      </c>
      <c r="Z278" s="94" t="s">
        <v>210</v>
      </c>
      <c r="AA278" s="94" t="s">
        <v>210</v>
      </c>
      <c r="AB278" s="94">
        <v>2</v>
      </c>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BA278" s="95"/>
    </row>
    <row r="279" spans="1:53" s="87" customFormat="1">
      <c r="A279" s="90" t="str">
        <f t="shared" si="29"/>
        <v/>
      </c>
      <c r="B279" s="98">
        <v>25</v>
      </c>
      <c r="C279" s="94" t="s">
        <v>210</v>
      </c>
      <c r="D279" s="94">
        <v>-3</v>
      </c>
      <c r="E279" s="94">
        <v>-2</v>
      </c>
      <c r="F279" s="94" t="s">
        <v>210</v>
      </c>
      <c r="G279" s="94" t="s">
        <v>210</v>
      </c>
      <c r="H279" s="94">
        <v>7</v>
      </c>
      <c r="I279" s="94">
        <v>-5</v>
      </c>
      <c r="J279" s="94" t="s">
        <v>210</v>
      </c>
      <c r="K279" s="94" t="s">
        <v>210</v>
      </c>
      <c r="L279" s="94">
        <v>6</v>
      </c>
      <c r="M279" s="94">
        <v>-4</v>
      </c>
      <c r="N279" s="94" t="s">
        <v>210</v>
      </c>
      <c r="O279" s="94" t="s">
        <v>210</v>
      </c>
      <c r="P279" s="94">
        <v>3</v>
      </c>
      <c r="Q279" s="94">
        <v>-6</v>
      </c>
      <c r="R279" s="94" t="s">
        <v>210</v>
      </c>
      <c r="S279" s="94" t="s">
        <v>210</v>
      </c>
      <c r="T279" s="94">
        <v>5</v>
      </c>
      <c r="U279" s="94">
        <v>4</v>
      </c>
      <c r="V279" s="94" t="s">
        <v>210</v>
      </c>
      <c r="W279" s="94" t="s">
        <v>210</v>
      </c>
      <c r="X279" s="94">
        <v>1</v>
      </c>
      <c r="Y279" s="94">
        <v>2</v>
      </c>
      <c r="Z279" s="94" t="s">
        <v>210</v>
      </c>
      <c r="AA279" s="94" t="s">
        <v>210</v>
      </c>
      <c r="AB279" s="94">
        <v>-7</v>
      </c>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BA279" s="95"/>
    </row>
    <row r="280" spans="1:53" s="87" customFormat="1">
      <c r="A280" s="90" t="str">
        <f t="shared" si="29"/>
        <v/>
      </c>
      <c r="B280" s="98">
        <v>26</v>
      </c>
      <c r="C280" s="94" t="s">
        <v>210</v>
      </c>
      <c r="D280" s="94">
        <v>2</v>
      </c>
      <c r="E280" s="94">
        <v>-5</v>
      </c>
      <c r="F280" s="94" t="s">
        <v>210</v>
      </c>
      <c r="G280" s="94" t="s">
        <v>210</v>
      </c>
      <c r="H280" s="94">
        <v>-1</v>
      </c>
      <c r="I280" s="94">
        <v>-4</v>
      </c>
      <c r="J280" s="94" t="s">
        <v>210</v>
      </c>
      <c r="K280" s="94" t="s">
        <v>210</v>
      </c>
      <c r="L280" s="94">
        <v>3</v>
      </c>
      <c r="M280" s="94">
        <v>-7</v>
      </c>
      <c r="N280" s="94" t="s">
        <v>210</v>
      </c>
      <c r="O280" s="94" t="s">
        <v>210</v>
      </c>
      <c r="P280" s="94">
        <v>5</v>
      </c>
      <c r="Q280" s="94">
        <v>-3</v>
      </c>
      <c r="R280" s="94" t="s">
        <v>210</v>
      </c>
      <c r="S280" s="94" t="s">
        <v>210</v>
      </c>
      <c r="T280" s="94">
        <v>1</v>
      </c>
      <c r="U280" s="94">
        <v>-2</v>
      </c>
      <c r="V280" s="94" t="s">
        <v>210</v>
      </c>
      <c r="W280" s="94" t="s">
        <v>210</v>
      </c>
      <c r="X280" s="94">
        <v>6</v>
      </c>
      <c r="Y280" s="94">
        <v>4</v>
      </c>
      <c r="Z280" s="94" t="s">
        <v>210</v>
      </c>
      <c r="AA280" s="94" t="s">
        <v>210</v>
      </c>
      <c r="AB280" s="94">
        <v>7</v>
      </c>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BA280" s="95"/>
    </row>
    <row r="281" spans="1:53" s="87" customFormat="1">
      <c r="A281" s="90" t="str">
        <f t="shared" si="29"/>
        <v/>
      </c>
      <c r="B281" s="98">
        <v>27</v>
      </c>
      <c r="C281" s="94" t="s">
        <v>210</v>
      </c>
      <c r="D281" s="94">
        <v>4</v>
      </c>
      <c r="E281" s="94">
        <v>3</v>
      </c>
      <c r="F281" s="94" t="s">
        <v>210</v>
      </c>
      <c r="G281" s="94" t="s">
        <v>210</v>
      </c>
      <c r="H281" s="94">
        <v>1</v>
      </c>
      <c r="I281" s="94">
        <v>-6</v>
      </c>
      <c r="J281" s="94" t="s">
        <v>210</v>
      </c>
      <c r="K281" s="94" t="s">
        <v>210</v>
      </c>
      <c r="L281" s="94">
        <v>-7</v>
      </c>
      <c r="M281" s="94">
        <v>-5</v>
      </c>
      <c r="N281" s="94" t="s">
        <v>210</v>
      </c>
      <c r="O281" s="94" t="s">
        <v>210</v>
      </c>
      <c r="P281" s="94">
        <v>6</v>
      </c>
      <c r="Q281" s="94">
        <v>-2</v>
      </c>
      <c r="R281" s="94" t="s">
        <v>210</v>
      </c>
      <c r="S281" s="94" t="s">
        <v>210</v>
      </c>
      <c r="T281" s="94">
        <v>7</v>
      </c>
      <c r="U281" s="94">
        <v>-4</v>
      </c>
      <c r="V281" s="94" t="s">
        <v>210</v>
      </c>
      <c r="W281" s="94" t="s">
        <v>210</v>
      </c>
      <c r="X281" s="94">
        <v>-3</v>
      </c>
      <c r="Y281" s="94">
        <v>5</v>
      </c>
      <c r="Z281" s="94" t="s">
        <v>210</v>
      </c>
      <c r="AA281" s="94" t="s">
        <v>210</v>
      </c>
      <c r="AB281" s="94">
        <v>-1</v>
      </c>
      <c r="AC281" s="94"/>
      <c r="AD281" s="94"/>
      <c r="AE281" s="94"/>
      <c r="AF281" s="94"/>
      <c r="AG281" s="94"/>
      <c r="AH281" s="94"/>
      <c r="AI281" s="94"/>
      <c r="AJ281" s="94"/>
      <c r="AK281" s="94"/>
      <c r="AL281" s="94"/>
      <c r="AM281" s="94"/>
      <c r="AN281" s="94"/>
      <c r="AO281" s="94"/>
      <c r="AP281" s="94"/>
      <c r="AQ281" s="94"/>
      <c r="AR281" s="94"/>
      <c r="AS281" s="94"/>
      <c r="AT281" s="94"/>
      <c r="AU281" s="94"/>
      <c r="AV281" s="94"/>
      <c r="AW281" s="94"/>
      <c r="AX281" s="94"/>
      <c r="AY281" s="94"/>
      <c r="BA281" s="95"/>
    </row>
    <row r="282" spans="1:53" s="87" customFormat="1">
      <c r="A282" s="90" t="str">
        <f t="shared" si="29"/>
        <v/>
      </c>
      <c r="B282" s="98">
        <v>28</v>
      </c>
      <c r="C282" s="94" t="s">
        <v>210</v>
      </c>
      <c r="D282" s="94">
        <v>-1</v>
      </c>
      <c r="E282" s="94">
        <v>6</v>
      </c>
      <c r="F282" s="94" t="s">
        <v>210</v>
      </c>
      <c r="G282" s="94" t="s">
        <v>210</v>
      </c>
      <c r="H282" s="94">
        <v>3</v>
      </c>
      <c r="I282" s="94">
        <v>7</v>
      </c>
      <c r="J282" s="94" t="s">
        <v>210</v>
      </c>
      <c r="K282" s="94" t="s">
        <v>210</v>
      </c>
      <c r="L282" s="94">
        <v>-4</v>
      </c>
      <c r="M282" s="94">
        <v>2</v>
      </c>
      <c r="N282" s="94" t="s">
        <v>210</v>
      </c>
      <c r="O282" s="94" t="s">
        <v>210</v>
      </c>
      <c r="P282" s="94">
        <v>-7</v>
      </c>
      <c r="Q282" s="94">
        <v>4</v>
      </c>
      <c r="R282" s="94" t="s">
        <v>210</v>
      </c>
      <c r="S282" s="94" t="s">
        <v>210</v>
      </c>
      <c r="T282" s="94">
        <v>-3</v>
      </c>
      <c r="U282" s="94">
        <v>5</v>
      </c>
      <c r="V282" s="94" t="s">
        <v>210</v>
      </c>
      <c r="W282" s="94" t="s">
        <v>210</v>
      </c>
      <c r="X282" s="94">
        <v>-6</v>
      </c>
      <c r="Y282" s="94">
        <v>-2</v>
      </c>
      <c r="Z282" s="94" t="s">
        <v>210</v>
      </c>
      <c r="AA282" s="94" t="s">
        <v>210</v>
      </c>
      <c r="AB282" s="94">
        <v>1</v>
      </c>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BA282" s="95"/>
    </row>
    <row r="283" spans="1:53" s="87" customFormat="1">
      <c r="A283" s="90" t="str">
        <f t="shared" si="29"/>
        <v/>
      </c>
      <c r="B283" s="98" t="s">
        <v>429</v>
      </c>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BA283" s="95"/>
    </row>
    <row r="284" spans="1:53" s="87" customFormat="1">
      <c r="A284" s="90">
        <f t="shared" si="29"/>
        <v>284</v>
      </c>
      <c r="B284" s="98" t="s">
        <v>430</v>
      </c>
      <c r="C284" s="94"/>
      <c r="D284" s="94"/>
      <c r="E284" s="94"/>
      <c r="F284" s="94"/>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BA284" s="95"/>
    </row>
    <row r="285" spans="1:53" s="87" customFormat="1">
      <c r="A285" s="90" t="str">
        <f t="shared" si="29"/>
        <v/>
      </c>
      <c r="B285" s="98">
        <v>1</v>
      </c>
      <c r="C285" s="94">
        <v>-4</v>
      </c>
      <c r="D285" s="94" t="s">
        <v>210</v>
      </c>
      <c r="E285" s="94" t="s">
        <v>210</v>
      </c>
      <c r="F285" s="94">
        <v>6</v>
      </c>
      <c r="G285" s="94">
        <v>1</v>
      </c>
      <c r="H285" s="94" t="s">
        <v>210</v>
      </c>
      <c r="I285" s="94" t="s">
        <v>210</v>
      </c>
      <c r="J285" s="94">
        <v>5</v>
      </c>
      <c r="K285" s="94">
        <v>-6</v>
      </c>
      <c r="L285" s="94" t="s">
        <v>210</v>
      </c>
      <c r="M285" s="94" t="s">
        <v>210</v>
      </c>
      <c r="N285" s="94">
        <v>-7</v>
      </c>
      <c r="O285" s="94">
        <v>2</v>
      </c>
      <c r="P285" s="94" t="s">
        <v>210</v>
      </c>
      <c r="Q285" s="94" t="s">
        <v>210</v>
      </c>
      <c r="R285" s="94">
        <v>-5</v>
      </c>
      <c r="S285" s="94">
        <v>4</v>
      </c>
      <c r="T285" s="94" t="s">
        <v>210</v>
      </c>
      <c r="U285" s="94"/>
      <c r="V285" s="94"/>
      <c r="W285" s="94"/>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BA285" s="95"/>
    </row>
    <row r="286" spans="1:53" s="87" customFormat="1">
      <c r="A286" s="90" t="str">
        <f t="shared" si="29"/>
        <v/>
      </c>
      <c r="B286" s="98">
        <v>2</v>
      </c>
      <c r="C286" s="94">
        <v>-3</v>
      </c>
      <c r="D286" s="94" t="s">
        <v>210</v>
      </c>
      <c r="E286" s="94" t="s">
        <v>210</v>
      </c>
      <c r="F286" s="94">
        <v>-2</v>
      </c>
      <c r="G286" s="94">
        <v>-5</v>
      </c>
      <c r="H286" s="94" t="s">
        <v>210</v>
      </c>
      <c r="I286" s="94" t="s">
        <v>210</v>
      </c>
      <c r="J286" s="94">
        <v>1</v>
      </c>
      <c r="K286" s="94">
        <v>4</v>
      </c>
      <c r="L286" s="94" t="s">
        <v>210</v>
      </c>
      <c r="M286" s="94" t="s">
        <v>210</v>
      </c>
      <c r="N286" s="94">
        <v>2</v>
      </c>
      <c r="O286" s="94">
        <v>-1</v>
      </c>
      <c r="P286" s="94" t="s">
        <v>210</v>
      </c>
      <c r="Q286" s="94" t="s">
        <v>210</v>
      </c>
      <c r="R286" s="94">
        <v>3</v>
      </c>
      <c r="S286" s="94">
        <v>-4</v>
      </c>
      <c r="T286" s="94" t="s">
        <v>210</v>
      </c>
      <c r="U286" s="94"/>
      <c r="V286" s="94"/>
      <c r="W286" s="94"/>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BA286" s="95"/>
    </row>
    <row r="287" spans="1:53" s="87" customFormat="1">
      <c r="A287" s="90" t="str">
        <f t="shared" si="29"/>
        <v/>
      </c>
      <c r="B287" s="98">
        <v>3</v>
      </c>
      <c r="C287" s="94">
        <v>2</v>
      </c>
      <c r="D287" s="94" t="s">
        <v>210</v>
      </c>
      <c r="E287" s="94" t="s">
        <v>210</v>
      </c>
      <c r="F287" s="94">
        <v>-4</v>
      </c>
      <c r="G287" s="94">
        <v>-7</v>
      </c>
      <c r="H287" s="94" t="s">
        <v>210</v>
      </c>
      <c r="I287" s="94" t="s">
        <v>210</v>
      </c>
      <c r="J287" s="94">
        <v>3</v>
      </c>
      <c r="K287" s="94">
        <v>5</v>
      </c>
      <c r="L287" s="94" t="s">
        <v>210</v>
      </c>
      <c r="M287" s="94" t="s">
        <v>210</v>
      </c>
      <c r="N287" s="94">
        <v>1</v>
      </c>
      <c r="O287" s="94">
        <v>-2</v>
      </c>
      <c r="P287" s="94" t="s">
        <v>210</v>
      </c>
      <c r="Q287" s="94" t="s">
        <v>210</v>
      </c>
      <c r="R287" s="94">
        <v>-3</v>
      </c>
      <c r="S287" s="94">
        <v>-5</v>
      </c>
      <c r="T287" s="94" t="s">
        <v>210</v>
      </c>
      <c r="U287" s="94"/>
      <c r="V287" s="94"/>
      <c r="W287" s="94"/>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BA287" s="95"/>
    </row>
    <row r="288" spans="1:53" s="87" customFormat="1">
      <c r="A288" s="90" t="str">
        <f t="shared" si="29"/>
        <v/>
      </c>
      <c r="B288" s="98">
        <v>4</v>
      </c>
      <c r="C288" s="94">
        <v>-1</v>
      </c>
      <c r="D288" s="94" t="s">
        <v>210</v>
      </c>
      <c r="E288" s="94" t="s">
        <v>210</v>
      </c>
      <c r="F288" s="94">
        <v>-3</v>
      </c>
      <c r="G288" s="94">
        <v>6</v>
      </c>
      <c r="H288" s="94" t="s">
        <v>210</v>
      </c>
      <c r="I288" s="94" t="s">
        <v>210</v>
      </c>
      <c r="J288" s="94">
        <v>-5</v>
      </c>
      <c r="K288" s="94">
        <v>1</v>
      </c>
      <c r="L288" s="94" t="s">
        <v>210</v>
      </c>
      <c r="M288" s="94" t="s">
        <v>210</v>
      </c>
      <c r="N288" s="94">
        <v>-2</v>
      </c>
      <c r="O288" s="94">
        <v>7</v>
      </c>
      <c r="P288" s="94" t="s">
        <v>210</v>
      </c>
      <c r="Q288" s="94" t="s">
        <v>210</v>
      </c>
      <c r="R288" s="94">
        <v>4</v>
      </c>
      <c r="S288" s="94">
        <v>5</v>
      </c>
      <c r="T288" s="94" t="s">
        <v>210</v>
      </c>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BA288" s="95"/>
    </row>
    <row r="289" spans="1:53" s="87" customFormat="1">
      <c r="A289" s="90" t="str">
        <f t="shared" si="29"/>
        <v/>
      </c>
      <c r="B289" s="98">
        <v>5</v>
      </c>
      <c r="C289" s="94">
        <v>-5</v>
      </c>
      <c r="D289" s="94" t="s">
        <v>210</v>
      </c>
      <c r="E289" s="94" t="s">
        <v>210</v>
      </c>
      <c r="F289" s="94">
        <v>4</v>
      </c>
      <c r="G289" s="94">
        <v>-1</v>
      </c>
      <c r="H289" s="94" t="s">
        <v>210</v>
      </c>
      <c r="I289" s="94" t="s">
        <v>210</v>
      </c>
      <c r="J289" s="94">
        <v>6</v>
      </c>
      <c r="K289" s="94">
        <v>-3</v>
      </c>
      <c r="L289" s="94" t="s">
        <v>210</v>
      </c>
      <c r="M289" s="94" t="s">
        <v>210</v>
      </c>
      <c r="N289" s="94">
        <v>5</v>
      </c>
      <c r="O289" s="94">
        <v>1</v>
      </c>
      <c r="P289" s="94" t="s">
        <v>210</v>
      </c>
      <c r="Q289" s="94" t="s">
        <v>210</v>
      </c>
      <c r="R289" s="94">
        <v>-4</v>
      </c>
      <c r="S289" s="94">
        <v>3</v>
      </c>
      <c r="T289" s="94" t="s">
        <v>210</v>
      </c>
      <c r="U289" s="94"/>
      <c r="V289" s="94"/>
      <c r="W289" s="94"/>
      <c r="X289" s="94"/>
      <c r="Y289" s="94"/>
      <c r="Z289" s="94"/>
      <c r="AA289" s="94"/>
      <c r="AB289" s="94"/>
      <c r="AC289" s="94"/>
      <c r="AD289" s="94"/>
      <c r="AE289" s="94"/>
      <c r="AF289" s="94"/>
      <c r="AG289" s="94"/>
      <c r="AH289" s="94"/>
      <c r="AI289" s="94"/>
      <c r="AJ289" s="94"/>
      <c r="AK289" s="94"/>
      <c r="AL289" s="94"/>
      <c r="AM289" s="94"/>
      <c r="AN289" s="94"/>
      <c r="AO289" s="94"/>
      <c r="AP289" s="94"/>
      <c r="AQ289" s="94"/>
      <c r="AR289" s="94"/>
      <c r="AS289" s="94"/>
      <c r="AT289" s="94"/>
      <c r="AU289" s="94"/>
      <c r="AV289" s="94"/>
      <c r="AW289" s="94"/>
      <c r="AX289" s="94"/>
      <c r="AY289" s="94"/>
      <c r="BA289" s="95"/>
    </row>
    <row r="290" spans="1:53" s="87" customFormat="1">
      <c r="A290" s="90" t="str">
        <f t="shared" si="29"/>
        <v/>
      </c>
      <c r="B290" s="98">
        <v>6</v>
      </c>
      <c r="C290" s="94">
        <v>3</v>
      </c>
      <c r="D290" s="94" t="s">
        <v>210</v>
      </c>
      <c r="E290" s="94" t="s">
        <v>210</v>
      </c>
      <c r="F290" s="94">
        <v>-1</v>
      </c>
      <c r="G290" s="94">
        <v>-4</v>
      </c>
      <c r="H290" s="94" t="s">
        <v>210</v>
      </c>
      <c r="I290" s="94" t="s">
        <v>210</v>
      </c>
      <c r="J290" s="94">
        <v>7</v>
      </c>
      <c r="K290" s="94">
        <v>-5</v>
      </c>
      <c r="L290" s="94" t="s">
        <v>210</v>
      </c>
      <c r="M290" s="94" t="s">
        <v>210</v>
      </c>
      <c r="N290" s="94">
        <v>4</v>
      </c>
      <c r="O290" s="94">
        <v>-7</v>
      </c>
      <c r="P290" s="94" t="s">
        <v>210</v>
      </c>
      <c r="Q290" s="94" t="s">
        <v>210</v>
      </c>
      <c r="R290" s="94">
        <v>5</v>
      </c>
      <c r="S290" s="94">
        <v>-3</v>
      </c>
      <c r="T290" s="94" t="s">
        <v>210</v>
      </c>
      <c r="U290" s="94"/>
      <c r="V290" s="94"/>
      <c r="W290" s="94"/>
      <c r="X290" s="94"/>
      <c r="Y290" s="94"/>
      <c r="Z290" s="94"/>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c r="BA290" s="95"/>
    </row>
    <row r="291" spans="1:53" s="87" customFormat="1">
      <c r="A291" s="90" t="str">
        <f t="shared" si="29"/>
        <v/>
      </c>
      <c r="B291" s="98">
        <v>7</v>
      </c>
      <c r="C291" s="94">
        <v>-2</v>
      </c>
      <c r="D291" s="94" t="s">
        <v>210</v>
      </c>
      <c r="E291" s="94" t="s">
        <v>210</v>
      </c>
      <c r="F291" s="94">
        <v>3</v>
      </c>
      <c r="G291" s="94">
        <v>4</v>
      </c>
      <c r="H291" s="94" t="s">
        <v>210</v>
      </c>
      <c r="I291" s="94" t="s">
        <v>210</v>
      </c>
      <c r="J291" s="94">
        <v>-1</v>
      </c>
      <c r="K291" s="94">
        <v>6</v>
      </c>
      <c r="L291" s="94" t="s">
        <v>210</v>
      </c>
      <c r="M291" s="94" t="s">
        <v>210</v>
      </c>
      <c r="N291" s="94">
        <v>-5</v>
      </c>
      <c r="O291" s="94">
        <v>-4</v>
      </c>
      <c r="P291" s="94" t="s">
        <v>210</v>
      </c>
      <c r="Q291" s="94" t="s">
        <v>210</v>
      </c>
      <c r="R291" s="94">
        <v>1</v>
      </c>
      <c r="S291" s="94">
        <v>-6</v>
      </c>
      <c r="T291" s="94" t="s">
        <v>210</v>
      </c>
      <c r="U291" s="94"/>
      <c r="V291" s="94"/>
      <c r="W291" s="94"/>
      <c r="X291" s="94"/>
      <c r="Y291" s="94"/>
      <c r="Z291" s="94"/>
      <c r="AA291" s="94"/>
      <c r="AB291" s="94"/>
      <c r="AC291" s="94"/>
      <c r="AD291" s="94"/>
      <c r="AE291" s="94"/>
      <c r="AF291" s="94"/>
      <c r="AG291" s="94"/>
      <c r="AH291" s="94"/>
      <c r="AI291" s="94"/>
      <c r="AJ291" s="94"/>
      <c r="AK291" s="94"/>
      <c r="AL291" s="94"/>
      <c r="AM291" s="94"/>
      <c r="AN291" s="94"/>
      <c r="AO291" s="94"/>
      <c r="AP291" s="94"/>
      <c r="AQ291" s="94"/>
      <c r="AR291" s="94"/>
      <c r="AS291" s="94"/>
      <c r="AT291" s="94"/>
      <c r="AU291" s="94"/>
      <c r="AV291" s="94"/>
      <c r="AW291" s="94"/>
      <c r="AX291" s="94"/>
      <c r="AY291" s="94"/>
      <c r="BA291" s="95"/>
    </row>
    <row r="292" spans="1:53" s="87" customFormat="1">
      <c r="A292" s="90" t="str">
        <f t="shared" si="29"/>
        <v/>
      </c>
      <c r="B292" s="98">
        <v>8</v>
      </c>
      <c r="C292" s="94">
        <v>4</v>
      </c>
      <c r="D292" s="94" t="s">
        <v>210</v>
      </c>
      <c r="E292" s="94" t="s">
        <v>210</v>
      </c>
      <c r="F292" s="94">
        <v>2</v>
      </c>
      <c r="G292" s="94">
        <v>7</v>
      </c>
      <c r="H292" s="94" t="s">
        <v>210</v>
      </c>
      <c r="I292" s="94" t="s">
        <v>210</v>
      </c>
      <c r="J292" s="94">
        <v>-6</v>
      </c>
      <c r="K292" s="94">
        <v>-1</v>
      </c>
      <c r="L292" s="94" t="s">
        <v>210</v>
      </c>
      <c r="M292" s="94" t="s">
        <v>210</v>
      </c>
      <c r="N292" s="94">
        <v>-4</v>
      </c>
      <c r="O292" s="94">
        <v>5</v>
      </c>
      <c r="P292" s="94" t="s">
        <v>210</v>
      </c>
      <c r="Q292" s="94" t="s">
        <v>210</v>
      </c>
      <c r="R292" s="94">
        <v>-7</v>
      </c>
      <c r="S292" s="94">
        <v>6</v>
      </c>
      <c r="T292" s="94" t="s">
        <v>210</v>
      </c>
      <c r="U292" s="94"/>
      <c r="V292" s="94"/>
      <c r="W292" s="94"/>
      <c r="X292" s="94"/>
      <c r="Y292" s="94"/>
      <c r="Z292" s="94"/>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BA292" s="95"/>
    </row>
    <row r="293" spans="1:53" s="87" customFormat="1">
      <c r="A293" s="90" t="str">
        <f t="shared" si="29"/>
        <v/>
      </c>
      <c r="B293" s="98">
        <v>9</v>
      </c>
      <c r="C293" s="94">
        <v>5</v>
      </c>
      <c r="D293" s="94" t="s">
        <v>210</v>
      </c>
      <c r="E293" s="94" t="s">
        <v>210</v>
      </c>
      <c r="F293" s="94">
        <v>1</v>
      </c>
      <c r="G293" s="94">
        <v>-6</v>
      </c>
      <c r="H293" s="94" t="s">
        <v>210</v>
      </c>
      <c r="I293" s="94" t="s">
        <v>210</v>
      </c>
      <c r="J293" s="94">
        <v>-3</v>
      </c>
      <c r="K293" s="94">
        <v>-4</v>
      </c>
      <c r="L293" s="94" t="s">
        <v>210</v>
      </c>
      <c r="M293" s="94" t="s">
        <v>210</v>
      </c>
      <c r="N293" s="94">
        <v>7</v>
      </c>
      <c r="O293" s="94">
        <v>-5</v>
      </c>
      <c r="P293" s="94" t="s">
        <v>210</v>
      </c>
      <c r="Q293" s="94" t="s">
        <v>210</v>
      </c>
      <c r="R293" s="94">
        <v>-1</v>
      </c>
      <c r="S293" s="94">
        <v>2</v>
      </c>
      <c r="T293" s="94" t="s">
        <v>210</v>
      </c>
      <c r="U293" s="94"/>
      <c r="V293" s="94"/>
      <c r="W293" s="94"/>
      <c r="X293" s="94"/>
      <c r="Y293" s="94"/>
      <c r="Z293" s="94"/>
      <c r="AA293" s="94"/>
      <c r="AB293" s="94"/>
      <c r="AC293" s="94"/>
      <c r="AD293" s="94"/>
      <c r="AE293" s="94"/>
      <c r="AF293" s="94"/>
      <c r="AG293" s="94"/>
      <c r="AH293" s="94"/>
      <c r="AI293" s="94"/>
      <c r="AJ293" s="94"/>
      <c r="AK293" s="94"/>
      <c r="AL293" s="94"/>
      <c r="AM293" s="94"/>
      <c r="AN293" s="94"/>
      <c r="AO293" s="94"/>
      <c r="AP293" s="94"/>
      <c r="AQ293" s="94"/>
      <c r="AR293" s="94"/>
      <c r="AS293" s="94"/>
      <c r="AT293" s="94"/>
      <c r="AU293" s="94"/>
      <c r="AV293" s="94"/>
      <c r="AW293" s="94"/>
      <c r="AX293" s="94"/>
      <c r="AY293" s="94"/>
      <c r="BA293" s="95"/>
    </row>
    <row r="294" spans="1:53" s="87" customFormat="1">
      <c r="A294" s="90" t="str">
        <f t="shared" si="29"/>
        <v/>
      </c>
      <c r="B294" s="99">
        <v>10</v>
      </c>
      <c r="C294" s="92">
        <v>1</v>
      </c>
      <c r="D294" s="92" t="s">
        <v>210</v>
      </c>
      <c r="E294" s="92" t="s">
        <v>210</v>
      </c>
      <c r="F294" s="92">
        <v>-6</v>
      </c>
      <c r="G294" s="92">
        <v>5</v>
      </c>
      <c r="H294" s="92" t="s">
        <v>210</v>
      </c>
      <c r="I294" s="92" t="s">
        <v>210</v>
      </c>
      <c r="J294" s="92">
        <v>-7</v>
      </c>
      <c r="K294" s="92">
        <v>3</v>
      </c>
      <c r="L294" s="92" t="s">
        <v>210</v>
      </c>
      <c r="M294" s="92" t="s">
        <v>210</v>
      </c>
      <c r="N294" s="92">
        <v>-1</v>
      </c>
      <c r="O294" s="92">
        <v>4</v>
      </c>
      <c r="P294" s="92" t="s">
        <v>210</v>
      </c>
      <c r="Q294" s="92" t="s">
        <v>210</v>
      </c>
      <c r="R294" s="92">
        <v>7</v>
      </c>
      <c r="S294" s="92">
        <v>-2</v>
      </c>
      <c r="T294" s="92" t="s">
        <v>210</v>
      </c>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BA294" s="95"/>
    </row>
    <row r="295" spans="1:53" s="87" customFormat="1">
      <c r="A295" s="90" t="str">
        <f t="shared" si="29"/>
        <v/>
      </c>
      <c r="B295" s="98">
        <v>11</v>
      </c>
      <c r="C295" s="94" t="s">
        <v>210</v>
      </c>
      <c r="D295" s="94">
        <v>-6</v>
      </c>
      <c r="E295" s="94">
        <v>-5</v>
      </c>
      <c r="F295" s="94" t="s">
        <v>210</v>
      </c>
      <c r="G295" s="94" t="s">
        <v>210</v>
      </c>
      <c r="H295" s="94">
        <v>2</v>
      </c>
      <c r="I295" s="94">
        <v>7</v>
      </c>
      <c r="J295" s="94" t="s">
        <v>210</v>
      </c>
      <c r="K295" s="94" t="s">
        <v>210</v>
      </c>
      <c r="L295" s="94">
        <v>-3</v>
      </c>
      <c r="M295" s="94">
        <v>-2</v>
      </c>
      <c r="N295" s="94" t="s">
        <v>210</v>
      </c>
      <c r="O295" s="94" t="s">
        <v>210</v>
      </c>
      <c r="P295" s="94">
        <v>6</v>
      </c>
      <c r="Q295" s="94">
        <v>5</v>
      </c>
      <c r="R295" s="94" t="s">
        <v>210</v>
      </c>
      <c r="S295" s="94" t="s">
        <v>210</v>
      </c>
      <c r="T295" s="94">
        <v>3</v>
      </c>
      <c r="U295" s="94"/>
      <c r="V295" s="94"/>
      <c r="W295" s="94"/>
      <c r="X295" s="94"/>
      <c r="Y295" s="94"/>
      <c r="Z295" s="94"/>
      <c r="AA295" s="94"/>
      <c r="AB295" s="94"/>
      <c r="AC295" s="94"/>
      <c r="AD295" s="94"/>
      <c r="AE295" s="94"/>
      <c r="AF295" s="94"/>
      <c r="AG295" s="94"/>
      <c r="AH295" s="94"/>
      <c r="AI295" s="94"/>
      <c r="AJ295" s="94"/>
      <c r="AK295" s="94"/>
      <c r="AL295" s="94"/>
      <c r="AM295" s="94"/>
      <c r="AN295" s="94"/>
      <c r="AO295" s="94"/>
      <c r="AP295" s="94"/>
      <c r="AQ295" s="94"/>
      <c r="AR295" s="94"/>
      <c r="AS295" s="94"/>
      <c r="AT295" s="94"/>
      <c r="AU295" s="94"/>
      <c r="AV295" s="94"/>
      <c r="AW295" s="94"/>
      <c r="AX295" s="94"/>
      <c r="AY295" s="94"/>
      <c r="BA295" s="95"/>
    </row>
    <row r="296" spans="1:53" s="87" customFormat="1">
      <c r="A296" s="90" t="str">
        <f t="shared" si="29"/>
        <v/>
      </c>
      <c r="B296" s="98">
        <v>12</v>
      </c>
      <c r="C296" s="94" t="s">
        <v>210</v>
      </c>
      <c r="D296" s="94">
        <v>-7</v>
      </c>
      <c r="E296" s="94">
        <v>4</v>
      </c>
      <c r="F296" s="94" t="s">
        <v>210</v>
      </c>
      <c r="G296" s="94" t="s">
        <v>210</v>
      </c>
      <c r="H296" s="94">
        <v>5</v>
      </c>
      <c r="I296" s="94">
        <v>2</v>
      </c>
      <c r="J296" s="94" t="s">
        <v>210</v>
      </c>
      <c r="K296" s="94" t="s">
        <v>210</v>
      </c>
      <c r="L296" s="94">
        <v>-4</v>
      </c>
      <c r="M296" s="94">
        <v>-1</v>
      </c>
      <c r="N296" s="94" t="s">
        <v>210</v>
      </c>
      <c r="O296" s="94" t="s">
        <v>210</v>
      </c>
      <c r="P296" s="94">
        <v>-5</v>
      </c>
      <c r="Q296" s="94">
        <v>6</v>
      </c>
      <c r="R296" s="94" t="s">
        <v>210</v>
      </c>
      <c r="S296" s="94" t="s">
        <v>210</v>
      </c>
      <c r="T296" s="94">
        <v>-3</v>
      </c>
      <c r="U296" s="94"/>
      <c r="V296" s="94"/>
      <c r="W296" s="94"/>
      <c r="X296" s="94"/>
      <c r="Y296" s="94"/>
      <c r="Z296" s="94"/>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c r="BA296" s="95"/>
    </row>
    <row r="297" spans="1:53" s="87" customFormat="1">
      <c r="A297" s="90" t="str">
        <f t="shared" si="29"/>
        <v/>
      </c>
      <c r="B297" s="98">
        <v>13</v>
      </c>
      <c r="C297" s="94" t="s">
        <v>210</v>
      </c>
      <c r="D297" s="94">
        <v>-2</v>
      </c>
      <c r="E297" s="94">
        <v>1</v>
      </c>
      <c r="F297" s="94" t="s">
        <v>210</v>
      </c>
      <c r="G297" s="94" t="s">
        <v>210</v>
      </c>
      <c r="H297" s="94">
        <v>-4</v>
      </c>
      <c r="I297" s="94">
        <v>-7</v>
      </c>
      <c r="J297" s="94" t="s">
        <v>210</v>
      </c>
      <c r="K297" s="94" t="s">
        <v>210</v>
      </c>
      <c r="L297" s="94">
        <v>6</v>
      </c>
      <c r="M297" s="94">
        <v>3</v>
      </c>
      <c r="N297" s="94" t="s">
        <v>210</v>
      </c>
      <c r="O297" s="94" t="s">
        <v>210</v>
      </c>
      <c r="P297" s="94">
        <v>2</v>
      </c>
      <c r="Q297" s="94">
        <v>-6</v>
      </c>
      <c r="R297" s="94" t="s">
        <v>210</v>
      </c>
      <c r="S297" s="94" t="s">
        <v>210</v>
      </c>
      <c r="T297" s="94">
        <v>4</v>
      </c>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c r="BA297" s="95"/>
    </row>
    <row r="298" spans="1:53" s="87" customFormat="1">
      <c r="A298" s="90" t="str">
        <f t="shared" si="29"/>
        <v/>
      </c>
      <c r="B298" s="98">
        <v>14</v>
      </c>
      <c r="C298" s="94" t="s">
        <v>210</v>
      </c>
      <c r="D298" s="94">
        <v>1</v>
      </c>
      <c r="E298" s="94">
        <v>-2</v>
      </c>
      <c r="F298" s="94" t="s">
        <v>210</v>
      </c>
      <c r="G298" s="94" t="s">
        <v>210</v>
      </c>
      <c r="H298" s="94">
        <v>6</v>
      </c>
      <c r="I298" s="94">
        <v>-5</v>
      </c>
      <c r="J298" s="94" t="s">
        <v>210</v>
      </c>
      <c r="K298" s="94" t="s">
        <v>210</v>
      </c>
      <c r="L298" s="94">
        <v>-7</v>
      </c>
      <c r="M298" s="94">
        <v>2</v>
      </c>
      <c r="N298" s="94" t="s">
        <v>210</v>
      </c>
      <c r="O298" s="94" t="s">
        <v>210</v>
      </c>
      <c r="P298" s="94">
        <v>5</v>
      </c>
      <c r="Q298" s="94">
        <v>7</v>
      </c>
      <c r="R298" s="94" t="s">
        <v>210</v>
      </c>
      <c r="S298" s="94" t="s">
        <v>210</v>
      </c>
      <c r="T298" s="94">
        <v>-4</v>
      </c>
      <c r="U298" s="94"/>
      <c r="V298" s="94"/>
      <c r="W298" s="94"/>
      <c r="X298" s="94"/>
      <c r="Y298" s="94"/>
      <c r="Z298" s="94"/>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c r="BA298" s="95"/>
    </row>
    <row r="299" spans="1:53" s="87" customFormat="1">
      <c r="A299" s="90" t="str">
        <f t="shared" si="29"/>
        <v/>
      </c>
      <c r="B299" s="98">
        <v>15</v>
      </c>
      <c r="C299" s="94" t="s">
        <v>210</v>
      </c>
      <c r="D299" s="94">
        <v>-3</v>
      </c>
      <c r="E299" s="94">
        <v>-4</v>
      </c>
      <c r="F299" s="94" t="s">
        <v>210</v>
      </c>
      <c r="G299" s="94" t="s">
        <v>210</v>
      </c>
      <c r="H299" s="94">
        <v>-2</v>
      </c>
      <c r="I299" s="94">
        <v>5</v>
      </c>
      <c r="J299" s="94" t="s">
        <v>210</v>
      </c>
      <c r="K299" s="94" t="s">
        <v>210</v>
      </c>
      <c r="L299" s="94">
        <v>-6</v>
      </c>
      <c r="M299" s="94">
        <v>-7</v>
      </c>
      <c r="N299" s="94" t="s">
        <v>210</v>
      </c>
      <c r="O299" s="94" t="s">
        <v>210</v>
      </c>
      <c r="P299" s="94">
        <v>3</v>
      </c>
      <c r="Q299" s="94">
        <v>1</v>
      </c>
      <c r="R299" s="94" t="s">
        <v>210</v>
      </c>
      <c r="S299" s="94" t="s">
        <v>210</v>
      </c>
      <c r="T299" s="94">
        <v>2</v>
      </c>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BA299" s="95"/>
    </row>
    <row r="300" spans="1:53" s="87" customFormat="1">
      <c r="A300" s="90" t="str">
        <f t="shared" si="29"/>
        <v/>
      </c>
      <c r="B300" s="98">
        <v>16</v>
      </c>
      <c r="C300" s="94" t="s">
        <v>210</v>
      </c>
      <c r="D300" s="94">
        <v>6</v>
      </c>
      <c r="E300" s="94">
        <v>-1</v>
      </c>
      <c r="F300" s="94" t="s">
        <v>210</v>
      </c>
      <c r="G300" s="94" t="s">
        <v>210</v>
      </c>
      <c r="H300" s="94">
        <v>3</v>
      </c>
      <c r="I300" s="94">
        <v>-6</v>
      </c>
      <c r="J300" s="94" t="s">
        <v>210</v>
      </c>
      <c r="K300" s="94" t="s">
        <v>210</v>
      </c>
      <c r="L300" s="94">
        <v>2</v>
      </c>
      <c r="M300" s="94">
        <v>1</v>
      </c>
      <c r="N300" s="94" t="s">
        <v>210</v>
      </c>
      <c r="O300" s="94" t="s">
        <v>210</v>
      </c>
      <c r="P300" s="94">
        <v>-4</v>
      </c>
      <c r="Q300" s="94">
        <v>-7</v>
      </c>
      <c r="R300" s="94" t="s">
        <v>210</v>
      </c>
      <c r="S300" s="94" t="s">
        <v>210</v>
      </c>
      <c r="T300" s="94">
        <v>-2</v>
      </c>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BA300" s="95"/>
    </row>
    <row r="301" spans="1:53" s="87" customFormat="1">
      <c r="A301" s="90" t="str">
        <f t="shared" si="29"/>
        <v/>
      </c>
      <c r="B301" s="98">
        <v>17</v>
      </c>
      <c r="C301" s="94" t="s">
        <v>210</v>
      </c>
      <c r="D301" s="94">
        <v>2</v>
      </c>
      <c r="E301" s="94">
        <v>7</v>
      </c>
      <c r="F301" s="94" t="s">
        <v>210</v>
      </c>
      <c r="G301" s="94" t="s">
        <v>210</v>
      </c>
      <c r="H301" s="94">
        <v>-6</v>
      </c>
      <c r="I301" s="94">
        <v>-2</v>
      </c>
      <c r="J301" s="94" t="s">
        <v>210</v>
      </c>
      <c r="K301" s="94" t="s">
        <v>210</v>
      </c>
      <c r="L301" s="94">
        <v>3</v>
      </c>
      <c r="M301" s="94">
        <v>-5</v>
      </c>
      <c r="N301" s="94" t="s">
        <v>210</v>
      </c>
      <c r="O301" s="94" t="s">
        <v>210</v>
      </c>
      <c r="P301" s="94">
        <v>4</v>
      </c>
      <c r="Q301" s="94">
        <v>-1</v>
      </c>
      <c r="R301" s="94" t="s">
        <v>210</v>
      </c>
      <c r="S301" s="94" t="s">
        <v>210</v>
      </c>
      <c r="T301" s="94">
        <v>6</v>
      </c>
      <c r="U301" s="94"/>
      <c r="V301" s="94"/>
      <c r="W301" s="94"/>
      <c r="X301" s="94"/>
      <c r="Y301" s="94"/>
      <c r="Z301" s="94"/>
      <c r="AA301" s="94"/>
      <c r="AB301" s="94"/>
      <c r="AC301" s="94"/>
      <c r="AD301" s="94"/>
      <c r="AE301" s="94"/>
      <c r="AF301" s="94"/>
      <c r="AG301" s="94"/>
      <c r="AH301" s="94"/>
      <c r="AI301" s="94"/>
      <c r="AJ301" s="94"/>
      <c r="AK301" s="94"/>
      <c r="AL301" s="94"/>
      <c r="AM301" s="94"/>
      <c r="AN301" s="94"/>
      <c r="AO301" s="94"/>
      <c r="AP301" s="94"/>
      <c r="AQ301" s="94"/>
      <c r="AR301" s="94"/>
      <c r="AS301" s="94"/>
      <c r="AT301" s="94"/>
      <c r="AU301" s="94"/>
      <c r="AV301" s="94"/>
      <c r="AW301" s="94"/>
      <c r="AX301" s="94"/>
      <c r="AY301" s="94"/>
      <c r="BA301" s="95"/>
    </row>
    <row r="302" spans="1:53" s="87" customFormat="1">
      <c r="A302" s="90" t="str">
        <f t="shared" si="29"/>
        <v/>
      </c>
      <c r="B302" s="98">
        <v>18</v>
      </c>
      <c r="C302" s="94" t="s">
        <v>210</v>
      </c>
      <c r="D302" s="94">
        <v>-1</v>
      </c>
      <c r="E302" s="94">
        <v>5</v>
      </c>
      <c r="F302" s="94" t="s">
        <v>210</v>
      </c>
      <c r="G302" s="94" t="s">
        <v>210</v>
      </c>
      <c r="H302" s="94">
        <v>-3</v>
      </c>
      <c r="I302" s="94">
        <v>1</v>
      </c>
      <c r="J302" s="94" t="s">
        <v>210</v>
      </c>
      <c r="K302" s="94" t="s">
        <v>210</v>
      </c>
      <c r="L302" s="94">
        <v>4</v>
      </c>
      <c r="M302" s="94">
        <v>7</v>
      </c>
      <c r="N302" s="94" t="s">
        <v>210</v>
      </c>
      <c r="O302" s="94" t="s">
        <v>210</v>
      </c>
      <c r="P302" s="94">
        <v>-2</v>
      </c>
      <c r="Q302" s="94">
        <v>-4</v>
      </c>
      <c r="R302" s="94" t="s">
        <v>210</v>
      </c>
      <c r="S302" s="94" t="s">
        <v>210</v>
      </c>
      <c r="T302" s="94">
        <v>-6</v>
      </c>
      <c r="U302" s="94"/>
      <c r="V302" s="94"/>
      <c r="W302" s="94"/>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BA302" s="95"/>
    </row>
    <row r="303" spans="1:53" s="87" customFormat="1">
      <c r="A303" s="90" t="str">
        <f t="shared" si="29"/>
        <v/>
      </c>
      <c r="B303" s="99">
        <v>19</v>
      </c>
      <c r="C303" s="92" t="s">
        <v>210</v>
      </c>
      <c r="D303" s="92">
        <v>3</v>
      </c>
      <c r="E303" s="92">
        <v>-7</v>
      </c>
      <c r="F303" s="92" t="s">
        <v>210</v>
      </c>
      <c r="G303" s="92" t="s">
        <v>210</v>
      </c>
      <c r="H303" s="92">
        <v>-5</v>
      </c>
      <c r="I303" s="92">
        <v>6</v>
      </c>
      <c r="J303" s="92" t="s">
        <v>210</v>
      </c>
      <c r="K303" s="92" t="s">
        <v>210</v>
      </c>
      <c r="L303" s="92">
        <v>7</v>
      </c>
      <c r="M303" s="92">
        <v>-3</v>
      </c>
      <c r="N303" s="92" t="s">
        <v>210</v>
      </c>
      <c r="O303" s="92" t="s">
        <v>210</v>
      </c>
      <c r="P303" s="92">
        <v>-6</v>
      </c>
      <c r="Q303" s="92">
        <v>4</v>
      </c>
      <c r="R303" s="92" t="s">
        <v>210</v>
      </c>
      <c r="S303" s="92" t="s">
        <v>210</v>
      </c>
      <c r="T303" s="92">
        <v>5</v>
      </c>
      <c r="U303" s="94"/>
      <c r="V303" s="94"/>
      <c r="W303" s="94"/>
      <c r="X303" s="94"/>
      <c r="Y303" s="94"/>
      <c r="Z303" s="94"/>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BA303" s="95"/>
    </row>
    <row r="304" spans="1:53" s="87" customFormat="1">
      <c r="A304" s="90" t="str">
        <f t="shared" si="29"/>
        <v/>
      </c>
      <c r="B304" s="98">
        <v>20</v>
      </c>
      <c r="C304" s="94">
        <v>-7</v>
      </c>
      <c r="D304" s="94" t="s">
        <v>210</v>
      </c>
      <c r="E304" s="94">
        <v>3</v>
      </c>
      <c r="F304" s="94" t="s">
        <v>210</v>
      </c>
      <c r="G304" s="94" t="s">
        <v>210</v>
      </c>
      <c r="H304" s="94">
        <v>1</v>
      </c>
      <c r="I304" s="94">
        <v>-4</v>
      </c>
      <c r="J304" s="94" t="s">
        <v>210</v>
      </c>
      <c r="K304" s="94">
        <v>2</v>
      </c>
      <c r="L304" s="94" t="s">
        <v>210</v>
      </c>
      <c r="M304" s="94" t="s">
        <v>210</v>
      </c>
      <c r="N304" s="94">
        <v>-3</v>
      </c>
      <c r="O304" s="94" t="s">
        <v>210</v>
      </c>
      <c r="P304" s="94">
        <v>-1</v>
      </c>
      <c r="Q304" s="94">
        <v>-5</v>
      </c>
      <c r="R304" s="94" t="s">
        <v>210</v>
      </c>
      <c r="S304" s="94" t="s">
        <v>210</v>
      </c>
      <c r="T304" s="94">
        <v>7</v>
      </c>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BA304" s="95"/>
    </row>
    <row r="305" spans="1:53" s="87" customFormat="1">
      <c r="A305" s="90" t="str">
        <f t="shared" si="29"/>
        <v/>
      </c>
      <c r="B305" s="98">
        <v>21</v>
      </c>
      <c r="C305" s="94" t="s">
        <v>210</v>
      </c>
      <c r="D305" s="94">
        <v>7</v>
      </c>
      <c r="E305" s="94" t="s">
        <v>210</v>
      </c>
      <c r="F305" s="94">
        <v>-5</v>
      </c>
      <c r="G305" s="94">
        <v>-2</v>
      </c>
      <c r="H305" s="94" t="s">
        <v>210</v>
      </c>
      <c r="I305" s="94" t="s">
        <v>210</v>
      </c>
      <c r="J305" s="94">
        <v>4</v>
      </c>
      <c r="K305" s="94" t="s">
        <v>210</v>
      </c>
      <c r="L305" s="94">
        <v>-1</v>
      </c>
      <c r="M305" s="94">
        <v>-6</v>
      </c>
      <c r="N305" s="94" t="s">
        <v>210</v>
      </c>
      <c r="O305" s="94">
        <v>3</v>
      </c>
      <c r="P305" s="94" t="s">
        <v>210</v>
      </c>
      <c r="Q305" s="94">
        <v>2</v>
      </c>
      <c r="R305" s="94" t="s">
        <v>210</v>
      </c>
      <c r="S305" s="94" t="s">
        <v>210</v>
      </c>
      <c r="T305" s="94">
        <v>-7</v>
      </c>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BA305" s="95"/>
    </row>
    <row r="306" spans="1:53" s="87" customFormat="1">
      <c r="A306" s="90" t="str">
        <f t="shared" si="29"/>
        <v/>
      </c>
      <c r="B306" s="98">
        <v>22</v>
      </c>
      <c r="C306" s="94" t="s">
        <v>210</v>
      </c>
      <c r="D306" s="94">
        <v>5</v>
      </c>
      <c r="E306" s="94">
        <v>-3</v>
      </c>
      <c r="F306" s="94" t="s">
        <v>210</v>
      </c>
      <c r="G306" s="94" t="s">
        <v>210</v>
      </c>
      <c r="H306" s="94">
        <v>4</v>
      </c>
      <c r="I306" s="94" t="s">
        <v>210</v>
      </c>
      <c r="J306" s="94">
        <v>2</v>
      </c>
      <c r="K306" s="94">
        <v>-7</v>
      </c>
      <c r="L306" s="94" t="s">
        <v>210</v>
      </c>
      <c r="M306" s="94">
        <v>-4</v>
      </c>
      <c r="N306" s="94" t="s">
        <v>210</v>
      </c>
      <c r="O306" s="94">
        <v>6</v>
      </c>
      <c r="P306" s="94" t="s">
        <v>210</v>
      </c>
      <c r="Q306" s="94">
        <v>-2</v>
      </c>
      <c r="R306" s="94" t="s">
        <v>210</v>
      </c>
      <c r="S306" s="94" t="s">
        <v>210</v>
      </c>
      <c r="T306" s="94">
        <v>1</v>
      </c>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BA306" s="95"/>
    </row>
    <row r="307" spans="1:53" s="87" customFormat="1">
      <c r="A307" s="90" t="str">
        <f t="shared" si="29"/>
        <v/>
      </c>
      <c r="B307" s="98">
        <v>23</v>
      </c>
      <c r="C307" s="94" t="s">
        <v>210</v>
      </c>
      <c r="D307" s="94">
        <v>4</v>
      </c>
      <c r="E307" s="94">
        <v>2</v>
      </c>
      <c r="F307" s="94" t="s">
        <v>210</v>
      </c>
      <c r="G307" s="94" t="s">
        <v>210</v>
      </c>
      <c r="H307" s="94">
        <v>-7</v>
      </c>
      <c r="I307" s="94">
        <v>-3</v>
      </c>
      <c r="J307" s="94" t="s">
        <v>210</v>
      </c>
      <c r="K307" s="94">
        <v>-2</v>
      </c>
      <c r="L307" s="94" t="s">
        <v>210</v>
      </c>
      <c r="M307" s="94">
        <v>6</v>
      </c>
      <c r="N307" s="94" t="s">
        <v>210</v>
      </c>
      <c r="O307" s="94" t="s">
        <v>210</v>
      </c>
      <c r="P307" s="94">
        <v>7</v>
      </c>
      <c r="Q307" s="94">
        <v>3</v>
      </c>
      <c r="R307" s="94" t="s">
        <v>210</v>
      </c>
      <c r="S307" s="94" t="s">
        <v>210</v>
      </c>
      <c r="T307" s="94">
        <v>-1</v>
      </c>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BA307" s="95"/>
    </row>
    <row r="308" spans="1:53" s="87" customFormat="1">
      <c r="A308" s="90" t="str">
        <f t="shared" si="29"/>
        <v/>
      </c>
      <c r="B308" s="98">
        <v>24</v>
      </c>
      <c r="C308" s="94">
        <v>6</v>
      </c>
      <c r="D308" s="94" t="s">
        <v>210</v>
      </c>
      <c r="E308" s="94" t="s">
        <v>210</v>
      </c>
      <c r="F308" s="94">
        <v>5</v>
      </c>
      <c r="G308" s="94" t="s">
        <v>210</v>
      </c>
      <c r="H308" s="94">
        <v>-1</v>
      </c>
      <c r="I308" s="94">
        <v>3</v>
      </c>
      <c r="J308" s="94" t="s">
        <v>210</v>
      </c>
      <c r="K308" s="94" t="s">
        <v>210</v>
      </c>
      <c r="L308" s="94">
        <v>-5</v>
      </c>
      <c r="M308" s="94">
        <v>4</v>
      </c>
      <c r="N308" s="94" t="s">
        <v>210</v>
      </c>
      <c r="O308" s="94" t="s">
        <v>210</v>
      </c>
      <c r="P308" s="94">
        <v>-3</v>
      </c>
      <c r="Q308" s="94" t="s">
        <v>210</v>
      </c>
      <c r="R308" s="94">
        <v>-6</v>
      </c>
      <c r="S308" s="94">
        <v>7</v>
      </c>
      <c r="T308" s="94" t="s">
        <v>210</v>
      </c>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BA308" s="95"/>
    </row>
    <row r="309" spans="1:53" s="87" customFormat="1">
      <c r="A309" s="90" t="str">
        <f t="shared" si="29"/>
        <v/>
      </c>
      <c r="B309" s="98">
        <v>25</v>
      </c>
      <c r="C309" s="94" t="s">
        <v>210</v>
      </c>
      <c r="D309" s="94">
        <v>-5</v>
      </c>
      <c r="E309" s="94">
        <v>6</v>
      </c>
      <c r="F309" s="94" t="s">
        <v>210</v>
      </c>
      <c r="G309" s="94" t="s">
        <v>210</v>
      </c>
      <c r="H309" s="94">
        <v>7</v>
      </c>
      <c r="I309" s="94">
        <v>4</v>
      </c>
      <c r="J309" s="94" t="s">
        <v>210</v>
      </c>
      <c r="K309" s="94" t="s">
        <v>210</v>
      </c>
      <c r="L309" s="94">
        <v>-2</v>
      </c>
      <c r="M309" s="94" t="s">
        <v>210</v>
      </c>
      <c r="N309" s="94">
        <v>-6</v>
      </c>
      <c r="O309" s="94">
        <v>-3</v>
      </c>
      <c r="P309" s="94" t="s">
        <v>210</v>
      </c>
      <c r="Q309" s="94" t="s">
        <v>210</v>
      </c>
      <c r="R309" s="94">
        <v>2</v>
      </c>
      <c r="S309" s="94">
        <v>-7</v>
      </c>
      <c r="T309" s="94" t="s">
        <v>210</v>
      </c>
      <c r="U309" s="94"/>
      <c r="V309" s="94"/>
      <c r="W309" s="94"/>
      <c r="X309" s="94"/>
      <c r="Y309" s="94"/>
      <c r="Z309" s="94"/>
      <c r="AA309" s="94"/>
      <c r="AB309" s="94"/>
      <c r="AC309" s="94"/>
      <c r="AD309" s="94"/>
      <c r="AE309" s="94"/>
      <c r="AF309" s="94"/>
      <c r="AG309" s="94"/>
      <c r="AH309" s="94"/>
      <c r="AI309" s="94"/>
      <c r="AJ309" s="94"/>
      <c r="AK309" s="94"/>
      <c r="AL309" s="94"/>
      <c r="AM309" s="94"/>
      <c r="AN309" s="94"/>
      <c r="AO309" s="94"/>
      <c r="AP309" s="94"/>
      <c r="AQ309" s="94"/>
      <c r="AR309" s="94"/>
      <c r="AS309" s="94"/>
      <c r="AT309" s="94"/>
      <c r="AU309" s="94"/>
      <c r="AV309" s="94"/>
      <c r="AW309" s="94"/>
      <c r="AX309" s="94"/>
      <c r="AY309" s="94"/>
      <c r="BA309" s="95"/>
    </row>
    <row r="310" spans="1:53" s="87" customFormat="1">
      <c r="A310" s="90" t="str">
        <f t="shared" si="29"/>
        <v/>
      </c>
      <c r="B310" s="98">
        <v>26</v>
      </c>
      <c r="C310" s="94">
        <v>7</v>
      </c>
      <c r="D310" s="94" t="s">
        <v>210</v>
      </c>
      <c r="E310" s="94">
        <v>-6</v>
      </c>
      <c r="F310" s="94" t="s">
        <v>210</v>
      </c>
      <c r="G310" s="94">
        <v>-3</v>
      </c>
      <c r="H310" s="94" t="s">
        <v>210</v>
      </c>
      <c r="I310" s="94" t="s">
        <v>210</v>
      </c>
      <c r="J310" s="94">
        <v>-2</v>
      </c>
      <c r="K310" s="94" t="s">
        <v>210</v>
      </c>
      <c r="L310" s="94">
        <v>1</v>
      </c>
      <c r="M310" s="94">
        <v>5</v>
      </c>
      <c r="N310" s="94" t="s">
        <v>210</v>
      </c>
      <c r="O310" s="94" t="s">
        <v>210</v>
      </c>
      <c r="P310" s="94">
        <v>-7</v>
      </c>
      <c r="Q310" s="94" t="s">
        <v>210</v>
      </c>
      <c r="R310" s="94">
        <v>6</v>
      </c>
      <c r="S310" s="94">
        <v>-1</v>
      </c>
      <c r="T310" s="94" t="s">
        <v>210</v>
      </c>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BA310" s="95"/>
    </row>
    <row r="311" spans="1:53" s="87" customFormat="1">
      <c r="A311" s="90" t="str">
        <f t="shared" si="29"/>
        <v/>
      </c>
      <c r="B311" s="98">
        <v>27</v>
      </c>
      <c r="C311" s="94" t="s">
        <v>210</v>
      </c>
      <c r="D311" s="94">
        <v>-4</v>
      </c>
      <c r="E311" s="94" t="s">
        <v>210</v>
      </c>
      <c r="F311" s="94">
        <v>7</v>
      </c>
      <c r="G311" s="94">
        <v>2</v>
      </c>
      <c r="H311" s="94" t="s">
        <v>210</v>
      </c>
      <c r="I311" s="94">
        <v>-1</v>
      </c>
      <c r="J311" s="94" t="s">
        <v>210</v>
      </c>
      <c r="K311" s="94" t="s">
        <v>210</v>
      </c>
      <c r="L311" s="94">
        <v>5</v>
      </c>
      <c r="M311" s="94" t="s">
        <v>210</v>
      </c>
      <c r="N311" s="94">
        <v>3</v>
      </c>
      <c r="O311" s="94">
        <v>-6</v>
      </c>
      <c r="P311" s="94" t="s">
        <v>210</v>
      </c>
      <c r="Q311" s="94" t="s">
        <v>210</v>
      </c>
      <c r="R311" s="94">
        <v>-2</v>
      </c>
      <c r="S311" s="94">
        <v>1</v>
      </c>
      <c r="T311" s="94" t="s">
        <v>210</v>
      </c>
      <c r="U311" s="94"/>
      <c r="V311" s="94"/>
      <c r="W311" s="94"/>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BA311" s="95"/>
    </row>
    <row r="312" spans="1:53" s="87" customFormat="1">
      <c r="A312" s="90" t="str">
        <f t="shared" si="29"/>
        <v/>
      </c>
      <c r="B312" s="98">
        <v>28</v>
      </c>
      <c r="C312" s="94">
        <v>-6</v>
      </c>
      <c r="D312" s="94" t="s">
        <v>210</v>
      </c>
      <c r="E312" s="94" t="s">
        <v>210</v>
      </c>
      <c r="F312" s="94">
        <v>-7</v>
      </c>
      <c r="G312" s="94">
        <v>3</v>
      </c>
      <c r="H312" s="94" t="s">
        <v>210</v>
      </c>
      <c r="I312" s="94" t="s">
        <v>210</v>
      </c>
      <c r="J312" s="94">
        <v>-4</v>
      </c>
      <c r="K312" s="94">
        <v>7</v>
      </c>
      <c r="L312" s="94" t="s">
        <v>210</v>
      </c>
      <c r="M312" s="94" t="s">
        <v>210</v>
      </c>
      <c r="N312" s="94">
        <v>6</v>
      </c>
      <c r="O312" s="94" t="s">
        <v>210</v>
      </c>
      <c r="P312" s="94">
        <v>1</v>
      </c>
      <c r="Q312" s="94">
        <v>-3</v>
      </c>
      <c r="R312" s="94" t="s">
        <v>210</v>
      </c>
      <c r="S312" s="94" t="s">
        <v>210</v>
      </c>
      <c r="T312" s="94">
        <v>-5</v>
      </c>
      <c r="U312" s="94"/>
      <c r="V312" s="94"/>
      <c r="W312" s="94"/>
      <c r="X312" s="94"/>
      <c r="Y312" s="94"/>
      <c r="Z312" s="94"/>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BA312" s="95"/>
    </row>
    <row r="313" spans="1:53" s="87" customFormat="1">
      <c r="A313" s="90" t="str">
        <f t="shared" si="29"/>
        <v/>
      </c>
      <c r="B313" s="98" t="s">
        <v>431</v>
      </c>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BA313" s="95"/>
    </row>
    <row r="314" spans="1:53" s="87" customFormat="1">
      <c r="A314" s="90">
        <f t="shared" si="29"/>
        <v>314</v>
      </c>
      <c r="B314" s="98" t="s">
        <v>432</v>
      </c>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BA314" s="95"/>
    </row>
    <row r="315" spans="1:53" s="87" customFormat="1">
      <c r="A315" s="90" t="str">
        <f t="shared" si="29"/>
        <v/>
      </c>
      <c r="B315" s="98">
        <v>1</v>
      </c>
      <c r="C315" s="94">
        <v>-6</v>
      </c>
      <c r="D315" s="94" t="s">
        <v>210</v>
      </c>
      <c r="E315" s="94" t="s">
        <v>210</v>
      </c>
      <c r="F315" s="94">
        <v>5</v>
      </c>
      <c r="G315" s="94">
        <v>1</v>
      </c>
      <c r="H315" s="94" t="s">
        <v>210</v>
      </c>
      <c r="I315" s="94" t="s">
        <v>210</v>
      </c>
      <c r="J315" s="94">
        <v>-3</v>
      </c>
      <c r="K315" s="94">
        <v>-7</v>
      </c>
      <c r="L315" s="94" t="s">
        <v>210</v>
      </c>
      <c r="M315" s="94" t="s">
        <v>210</v>
      </c>
      <c r="N315" s="94">
        <v>2</v>
      </c>
      <c r="O315" s="94">
        <v>4</v>
      </c>
      <c r="P315" s="94" t="s">
        <v>210</v>
      </c>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BA315" s="95"/>
    </row>
    <row r="316" spans="1:53" s="87" customFormat="1">
      <c r="A316" s="90" t="str">
        <f t="shared" si="29"/>
        <v/>
      </c>
      <c r="B316" s="98">
        <v>2</v>
      </c>
      <c r="C316" s="94">
        <v>3</v>
      </c>
      <c r="D316" s="94" t="s">
        <v>210</v>
      </c>
      <c r="E316" s="94" t="s">
        <v>210</v>
      </c>
      <c r="F316" s="94">
        <v>2</v>
      </c>
      <c r="G316" s="94">
        <v>-6</v>
      </c>
      <c r="H316" s="94" t="s">
        <v>210</v>
      </c>
      <c r="I316" s="94" t="s">
        <v>210</v>
      </c>
      <c r="J316" s="94">
        <v>7</v>
      </c>
      <c r="K316" s="94">
        <v>5</v>
      </c>
      <c r="L316" s="94" t="s">
        <v>210</v>
      </c>
      <c r="M316" s="94" t="s">
        <v>210</v>
      </c>
      <c r="N316" s="94">
        <v>-1</v>
      </c>
      <c r="O316" s="94">
        <v>-4</v>
      </c>
      <c r="P316" s="94" t="s">
        <v>210</v>
      </c>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BA316" s="95"/>
    </row>
    <row r="317" spans="1:53" s="87" customFormat="1">
      <c r="A317" s="90" t="str">
        <f t="shared" si="29"/>
        <v/>
      </c>
      <c r="B317" s="98">
        <v>3</v>
      </c>
      <c r="C317" s="94">
        <v>-1</v>
      </c>
      <c r="D317" s="94" t="s">
        <v>210</v>
      </c>
      <c r="E317" s="94" t="s">
        <v>210</v>
      </c>
      <c r="F317" s="94">
        <v>6</v>
      </c>
      <c r="G317" s="94">
        <v>4</v>
      </c>
      <c r="H317" s="94" t="s">
        <v>210</v>
      </c>
      <c r="I317" s="94" t="s">
        <v>210</v>
      </c>
      <c r="J317" s="94">
        <v>-7</v>
      </c>
      <c r="K317" s="94">
        <v>3</v>
      </c>
      <c r="L317" s="94" t="s">
        <v>210</v>
      </c>
      <c r="M317" s="94" t="s">
        <v>210</v>
      </c>
      <c r="N317" s="94">
        <v>-2</v>
      </c>
      <c r="O317" s="94">
        <v>5</v>
      </c>
      <c r="P317" s="94" t="s">
        <v>210</v>
      </c>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BA317" s="95"/>
    </row>
    <row r="318" spans="1:53" s="87" customFormat="1">
      <c r="A318" s="90" t="str">
        <f t="shared" si="29"/>
        <v/>
      </c>
      <c r="B318" s="98">
        <v>4</v>
      </c>
      <c r="C318" s="94">
        <v>-2</v>
      </c>
      <c r="D318" s="94" t="s">
        <v>210</v>
      </c>
      <c r="E318" s="94" t="s">
        <v>210</v>
      </c>
      <c r="F318" s="94">
        <v>4</v>
      </c>
      <c r="G318" s="94">
        <v>-7</v>
      </c>
      <c r="H318" s="94" t="s">
        <v>210</v>
      </c>
      <c r="I318" s="94" t="s">
        <v>210</v>
      </c>
      <c r="J318" s="94">
        <v>3</v>
      </c>
      <c r="K318" s="94">
        <v>-6</v>
      </c>
      <c r="L318" s="94" t="s">
        <v>210</v>
      </c>
      <c r="M318" s="94" t="s">
        <v>210</v>
      </c>
      <c r="N318" s="94">
        <v>1</v>
      </c>
      <c r="O318" s="94">
        <v>-5</v>
      </c>
      <c r="P318" s="94" t="s">
        <v>210</v>
      </c>
      <c r="Q318" s="94"/>
      <c r="R318" s="94"/>
      <c r="S318" s="94"/>
      <c r="T318" s="94"/>
      <c r="U318" s="94"/>
      <c r="V318" s="94"/>
      <c r="W318" s="94"/>
      <c r="X318" s="94"/>
      <c r="Y318" s="94"/>
      <c r="Z318" s="94"/>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c r="BA318" s="95"/>
    </row>
    <row r="319" spans="1:53" s="87" customFormat="1">
      <c r="A319" s="90" t="str">
        <f t="shared" si="29"/>
        <v/>
      </c>
      <c r="B319" s="98">
        <v>5</v>
      </c>
      <c r="C319" s="94">
        <v>1</v>
      </c>
      <c r="D319" s="94" t="s">
        <v>210</v>
      </c>
      <c r="E319" s="94" t="s">
        <v>210</v>
      </c>
      <c r="F319" s="94">
        <v>-4</v>
      </c>
      <c r="G319" s="94">
        <v>6</v>
      </c>
      <c r="H319" s="94" t="s">
        <v>210</v>
      </c>
      <c r="I319" s="94" t="s">
        <v>210</v>
      </c>
      <c r="J319" s="94">
        <v>-2</v>
      </c>
      <c r="K319" s="94">
        <v>7</v>
      </c>
      <c r="L319" s="94" t="s">
        <v>210</v>
      </c>
      <c r="M319" s="94" t="s">
        <v>210</v>
      </c>
      <c r="N319" s="94">
        <v>-5</v>
      </c>
      <c r="O319" s="94">
        <v>-3</v>
      </c>
      <c r="P319" s="94" t="s">
        <v>210</v>
      </c>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BA319" s="95"/>
    </row>
    <row r="320" spans="1:53" s="87" customFormat="1">
      <c r="A320" s="90" t="str">
        <f t="shared" si="29"/>
        <v/>
      </c>
      <c r="B320" s="98">
        <v>6</v>
      </c>
      <c r="C320" s="94">
        <v>2</v>
      </c>
      <c r="D320" s="94" t="s">
        <v>210</v>
      </c>
      <c r="E320" s="94" t="s">
        <v>210</v>
      </c>
      <c r="F320" s="94">
        <v>-6</v>
      </c>
      <c r="G320" s="94">
        <v>-1</v>
      </c>
      <c r="H320" s="94" t="s">
        <v>210</v>
      </c>
      <c r="I320" s="94" t="s">
        <v>210</v>
      </c>
      <c r="J320" s="94">
        <v>4</v>
      </c>
      <c r="K320" s="94">
        <v>-5</v>
      </c>
      <c r="L320" s="94" t="s">
        <v>210</v>
      </c>
      <c r="M320" s="94" t="s">
        <v>210</v>
      </c>
      <c r="N320" s="94">
        <v>-7</v>
      </c>
      <c r="O320" s="94">
        <v>3</v>
      </c>
      <c r="P320" s="94" t="s">
        <v>210</v>
      </c>
      <c r="Q320" s="94"/>
      <c r="R320" s="94"/>
      <c r="S320" s="94"/>
      <c r="T320" s="94"/>
      <c r="U320" s="94"/>
      <c r="V320" s="94"/>
      <c r="W320" s="94"/>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BA320" s="95"/>
    </row>
    <row r="321" spans="1:53" s="87" customFormat="1">
      <c r="A321" s="90" t="str">
        <f t="shared" si="29"/>
        <v/>
      </c>
      <c r="B321" s="99">
        <v>7</v>
      </c>
      <c r="C321" s="92">
        <v>6</v>
      </c>
      <c r="D321" s="92" t="s">
        <v>210</v>
      </c>
      <c r="E321" s="92" t="s">
        <v>210</v>
      </c>
      <c r="F321" s="92">
        <v>-2</v>
      </c>
      <c r="G321" s="92">
        <v>7</v>
      </c>
      <c r="H321" s="92" t="s">
        <v>210</v>
      </c>
      <c r="I321" s="92" t="s">
        <v>210</v>
      </c>
      <c r="J321" s="92">
        <v>-4</v>
      </c>
      <c r="K321" s="92">
        <v>-3</v>
      </c>
      <c r="L321" s="92" t="s">
        <v>210</v>
      </c>
      <c r="M321" s="92" t="s">
        <v>210</v>
      </c>
      <c r="N321" s="92">
        <v>5</v>
      </c>
      <c r="O321" s="92">
        <v>1</v>
      </c>
      <c r="P321" s="92" t="s">
        <v>210</v>
      </c>
      <c r="Q321" s="94"/>
      <c r="R321" s="94"/>
      <c r="S321" s="94"/>
      <c r="T321" s="94"/>
      <c r="U321" s="94"/>
      <c r="V321" s="94"/>
      <c r="W321" s="94"/>
      <c r="X321" s="94"/>
      <c r="Y321" s="94"/>
      <c r="Z321" s="94"/>
      <c r="AA321" s="94"/>
      <c r="AB321" s="94"/>
      <c r="AC321" s="94"/>
      <c r="AD321" s="94"/>
      <c r="AE321" s="94"/>
      <c r="AF321" s="94"/>
      <c r="AG321" s="94"/>
      <c r="AH321" s="94"/>
      <c r="AI321" s="94"/>
      <c r="AJ321" s="94"/>
      <c r="AK321" s="94"/>
      <c r="AL321" s="94"/>
      <c r="AM321" s="94"/>
      <c r="AN321" s="94"/>
      <c r="AO321" s="94"/>
      <c r="AP321" s="94"/>
      <c r="AQ321" s="94"/>
      <c r="AR321" s="94"/>
      <c r="AS321" s="94"/>
      <c r="AT321" s="94"/>
      <c r="AU321" s="94"/>
      <c r="AV321" s="94"/>
      <c r="AW321" s="94"/>
      <c r="AX321" s="94"/>
      <c r="AY321" s="94"/>
      <c r="BA321" s="95"/>
    </row>
    <row r="322" spans="1:53" s="87" customFormat="1">
      <c r="A322" s="90" t="str">
        <f t="shared" si="29"/>
        <v/>
      </c>
      <c r="B322" s="98">
        <v>8</v>
      </c>
      <c r="C322" s="94">
        <v>7</v>
      </c>
      <c r="D322" s="94" t="s">
        <v>210</v>
      </c>
      <c r="E322" s="94" t="s">
        <v>210</v>
      </c>
      <c r="F322" s="94">
        <v>-5</v>
      </c>
      <c r="G322" s="94">
        <v>3</v>
      </c>
      <c r="H322" s="94" t="s">
        <v>210</v>
      </c>
      <c r="I322" s="94" t="s">
        <v>210</v>
      </c>
      <c r="J322" s="94">
        <v>-1</v>
      </c>
      <c r="K322" s="94">
        <v>4</v>
      </c>
      <c r="L322" s="94" t="s">
        <v>210</v>
      </c>
      <c r="M322" s="94" t="s">
        <v>210</v>
      </c>
      <c r="N322" s="94">
        <v>-3</v>
      </c>
      <c r="O322" s="94">
        <v>2</v>
      </c>
      <c r="P322" s="94" t="s">
        <v>210</v>
      </c>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BA322" s="95"/>
    </row>
    <row r="323" spans="1:53" s="87" customFormat="1">
      <c r="A323" s="90" t="str">
        <f t="shared" si="29"/>
        <v/>
      </c>
      <c r="B323" s="98">
        <v>9</v>
      </c>
      <c r="C323" s="94">
        <v>-3</v>
      </c>
      <c r="D323" s="94" t="s">
        <v>210</v>
      </c>
      <c r="E323" s="94" t="s">
        <v>210</v>
      </c>
      <c r="F323" s="94">
        <v>-7</v>
      </c>
      <c r="G323" s="94">
        <v>2</v>
      </c>
      <c r="H323" s="94" t="s">
        <v>210</v>
      </c>
      <c r="I323" s="94" t="s">
        <v>210</v>
      </c>
      <c r="J323" s="94">
        <v>-5</v>
      </c>
      <c r="K323" s="94">
        <v>1</v>
      </c>
      <c r="L323" s="94" t="s">
        <v>210</v>
      </c>
      <c r="M323" s="94" t="s">
        <v>210</v>
      </c>
      <c r="N323" s="94">
        <v>6</v>
      </c>
      <c r="O323" s="94">
        <v>-2</v>
      </c>
      <c r="P323" s="94" t="s">
        <v>210</v>
      </c>
      <c r="Q323" s="94"/>
      <c r="R323" s="94"/>
      <c r="S323" s="94"/>
      <c r="T323" s="94"/>
      <c r="U323" s="94"/>
      <c r="V323" s="94"/>
      <c r="W323" s="94"/>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c r="BA323" s="95"/>
    </row>
    <row r="324" spans="1:53" s="87" customFormat="1">
      <c r="A324" s="90" t="str">
        <f t="shared" si="29"/>
        <v/>
      </c>
      <c r="B324" s="98">
        <v>10</v>
      </c>
      <c r="C324" s="94">
        <v>5</v>
      </c>
      <c r="D324" s="94" t="s">
        <v>210</v>
      </c>
      <c r="E324" s="94" t="s">
        <v>210</v>
      </c>
      <c r="F324" s="94">
        <v>-3</v>
      </c>
      <c r="G324" s="94">
        <v>-4</v>
      </c>
      <c r="H324" s="94" t="s">
        <v>210</v>
      </c>
      <c r="I324" s="94" t="s">
        <v>210</v>
      </c>
      <c r="J324" s="94">
        <v>1</v>
      </c>
      <c r="K324" s="94">
        <v>2</v>
      </c>
      <c r="L324" s="94" t="s">
        <v>210</v>
      </c>
      <c r="M324" s="94" t="s">
        <v>210</v>
      </c>
      <c r="N324" s="94">
        <v>-6</v>
      </c>
      <c r="O324" s="94">
        <v>-7</v>
      </c>
      <c r="P324" s="94" t="s">
        <v>210</v>
      </c>
      <c r="Q324" s="94"/>
      <c r="R324" s="94"/>
      <c r="S324" s="94"/>
      <c r="T324" s="94"/>
      <c r="U324" s="94"/>
      <c r="V324" s="94"/>
      <c r="W324" s="94"/>
      <c r="X324" s="94"/>
      <c r="Y324" s="94"/>
      <c r="Z324" s="94"/>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BA324" s="95"/>
    </row>
    <row r="325" spans="1:53" s="87" customFormat="1">
      <c r="A325" s="90" t="str">
        <f t="shared" si="29"/>
        <v/>
      </c>
      <c r="B325" s="98">
        <v>11</v>
      </c>
      <c r="C325" s="94">
        <v>4</v>
      </c>
      <c r="D325" s="94" t="s">
        <v>210</v>
      </c>
      <c r="E325" s="94" t="s">
        <v>210</v>
      </c>
      <c r="F325" s="94">
        <v>-1</v>
      </c>
      <c r="G325" s="94">
        <v>-3</v>
      </c>
      <c r="H325" s="94" t="s">
        <v>210</v>
      </c>
      <c r="I325" s="94" t="s">
        <v>210</v>
      </c>
      <c r="J325" s="94">
        <v>5</v>
      </c>
      <c r="K325" s="94">
        <v>6</v>
      </c>
      <c r="L325" s="94" t="s">
        <v>210</v>
      </c>
      <c r="M325" s="94" t="s">
        <v>210</v>
      </c>
      <c r="N325" s="94">
        <v>-4</v>
      </c>
      <c r="O325" s="94">
        <v>7</v>
      </c>
      <c r="P325" s="94" t="s">
        <v>210</v>
      </c>
      <c r="Q325" s="94"/>
      <c r="R325" s="94"/>
      <c r="S325" s="94"/>
      <c r="T325" s="94"/>
      <c r="U325" s="94"/>
      <c r="V325" s="94"/>
      <c r="W325" s="94"/>
      <c r="X325" s="94"/>
      <c r="Y325" s="94"/>
      <c r="Z325" s="94"/>
      <c r="AA325" s="94"/>
      <c r="AB325" s="94"/>
      <c r="AC325" s="94"/>
      <c r="AD325" s="94"/>
      <c r="AE325" s="94"/>
      <c r="AF325" s="94"/>
      <c r="AG325" s="94"/>
      <c r="AH325" s="94"/>
      <c r="AI325" s="94"/>
      <c r="AJ325" s="94"/>
      <c r="AK325" s="94"/>
      <c r="AL325" s="94"/>
      <c r="AM325" s="94"/>
      <c r="AN325" s="94"/>
      <c r="AO325" s="94"/>
      <c r="AP325" s="94"/>
      <c r="AQ325" s="94"/>
      <c r="AR325" s="94"/>
      <c r="AS325" s="94"/>
      <c r="AT325" s="94"/>
      <c r="AU325" s="94"/>
      <c r="AV325" s="94"/>
      <c r="AW325" s="94"/>
      <c r="AX325" s="94"/>
      <c r="AY325" s="94"/>
      <c r="BA325" s="95"/>
    </row>
    <row r="326" spans="1:53" s="87" customFormat="1">
      <c r="A326" s="90" t="str">
        <f t="shared" si="29"/>
        <v/>
      </c>
      <c r="B326" s="98">
        <v>12</v>
      </c>
      <c r="C326" s="94">
        <v>-7</v>
      </c>
      <c r="D326" s="94" t="s">
        <v>210</v>
      </c>
      <c r="E326" s="94" t="s">
        <v>210</v>
      </c>
      <c r="F326" s="94">
        <v>3</v>
      </c>
      <c r="G326" s="94">
        <v>-5</v>
      </c>
      <c r="H326" s="94" t="s">
        <v>210</v>
      </c>
      <c r="I326" s="94" t="s">
        <v>210</v>
      </c>
      <c r="J326" s="94">
        <v>2</v>
      </c>
      <c r="K326" s="94">
        <v>-1</v>
      </c>
      <c r="L326" s="94" t="s">
        <v>210</v>
      </c>
      <c r="M326" s="94" t="s">
        <v>210</v>
      </c>
      <c r="N326" s="94">
        <v>4</v>
      </c>
      <c r="O326" s="94">
        <v>6</v>
      </c>
      <c r="P326" s="94" t="s">
        <v>210</v>
      </c>
      <c r="Q326" s="94"/>
      <c r="R326" s="94"/>
      <c r="S326" s="94"/>
      <c r="T326" s="94"/>
      <c r="U326" s="94"/>
      <c r="V326" s="94"/>
      <c r="W326" s="94"/>
      <c r="X326" s="94"/>
      <c r="Y326" s="94"/>
      <c r="Z326" s="94"/>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c r="AW326" s="94"/>
      <c r="AX326" s="94"/>
      <c r="AY326" s="94"/>
      <c r="BA326" s="95"/>
    </row>
    <row r="327" spans="1:53" s="87" customFormat="1">
      <c r="A327" s="90" t="str">
        <f t="shared" si="29"/>
        <v/>
      </c>
      <c r="B327" s="98">
        <v>13</v>
      </c>
      <c r="C327" s="94">
        <v>-5</v>
      </c>
      <c r="D327" s="94" t="s">
        <v>210</v>
      </c>
      <c r="E327" s="94" t="s">
        <v>210</v>
      </c>
      <c r="F327" s="94">
        <v>1</v>
      </c>
      <c r="G327" s="94">
        <v>-2</v>
      </c>
      <c r="H327" s="94" t="s">
        <v>210</v>
      </c>
      <c r="I327" s="94" t="s">
        <v>210</v>
      </c>
      <c r="J327" s="94">
        <v>6</v>
      </c>
      <c r="K327" s="94">
        <v>-4</v>
      </c>
      <c r="L327" s="94" t="s">
        <v>210</v>
      </c>
      <c r="M327" s="94" t="s">
        <v>210</v>
      </c>
      <c r="N327" s="94">
        <v>7</v>
      </c>
      <c r="O327" s="94">
        <v>-6</v>
      </c>
      <c r="P327" s="94" t="s">
        <v>210</v>
      </c>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BA327" s="95"/>
    </row>
    <row r="328" spans="1:53" s="87" customFormat="1">
      <c r="A328" s="90" t="str">
        <f t="shared" si="29"/>
        <v/>
      </c>
      <c r="B328" s="99">
        <v>14</v>
      </c>
      <c r="C328" s="92">
        <v>-4</v>
      </c>
      <c r="D328" s="92" t="s">
        <v>210</v>
      </c>
      <c r="E328" s="92" t="s">
        <v>210</v>
      </c>
      <c r="F328" s="92">
        <v>7</v>
      </c>
      <c r="G328" s="92">
        <v>5</v>
      </c>
      <c r="H328" s="92" t="s">
        <v>210</v>
      </c>
      <c r="I328" s="92" t="s">
        <v>210</v>
      </c>
      <c r="J328" s="92">
        <v>-6</v>
      </c>
      <c r="K328" s="92">
        <v>-2</v>
      </c>
      <c r="L328" s="92" t="s">
        <v>210</v>
      </c>
      <c r="M328" s="92" t="s">
        <v>210</v>
      </c>
      <c r="N328" s="92">
        <v>3</v>
      </c>
      <c r="O328" s="92">
        <v>-1</v>
      </c>
      <c r="P328" s="92" t="s">
        <v>210</v>
      </c>
      <c r="Q328" s="94"/>
      <c r="R328" s="94"/>
      <c r="S328" s="94"/>
      <c r="T328" s="94"/>
      <c r="U328" s="94"/>
      <c r="V328" s="94"/>
      <c r="W328" s="94"/>
      <c r="X328" s="94"/>
      <c r="Y328" s="94"/>
      <c r="Z328" s="94"/>
      <c r="AA328" s="94"/>
      <c r="AB328" s="94"/>
      <c r="AC328" s="94"/>
      <c r="AD328" s="94"/>
      <c r="AE328" s="94"/>
      <c r="AF328" s="94"/>
      <c r="AG328" s="94"/>
      <c r="AH328" s="94"/>
      <c r="AI328" s="94"/>
      <c r="AJ328" s="94"/>
      <c r="AK328" s="94"/>
      <c r="AL328" s="94"/>
      <c r="AM328" s="94"/>
      <c r="AN328" s="94"/>
      <c r="AO328" s="94"/>
      <c r="AP328" s="94"/>
      <c r="AQ328" s="94"/>
      <c r="AR328" s="94"/>
      <c r="AS328" s="94"/>
      <c r="AT328" s="94"/>
      <c r="AU328" s="94"/>
      <c r="AV328" s="94"/>
      <c r="AW328" s="94"/>
      <c r="AX328" s="94"/>
      <c r="AY328" s="94"/>
      <c r="BA328" s="95"/>
    </row>
    <row r="329" spans="1:53" s="87" customFormat="1">
      <c r="A329" s="90" t="str">
        <f t="shared" si="29"/>
        <v/>
      </c>
      <c r="B329" s="98">
        <v>15</v>
      </c>
      <c r="C329" s="94" t="s">
        <v>210</v>
      </c>
      <c r="D329" s="94">
        <v>-6</v>
      </c>
      <c r="E329" s="94">
        <v>5</v>
      </c>
      <c r="F329" s="94" t="s">
        <v>210</v>
      </c>
      <c r="G329" s="94" t="s">
        <v>210</v>
      </c>
      <c r="H329" s="94">
        <v>1</v>
      </c>
      <c r="I329" s="94">
        <v>-3</v>
      </c>
      <c r="J329" s="94" t="s">
        <v>210</v>
      </c>
      <c r="K329" s="94" t="s">
        <v>210</v>
      </c>
      <c r="L329" s="94">
        <v>-7</v>
      </c>
      <c r="M329" s="94">
        <v>2</v>
      </c>
      <c r="N329" s="94" t="s">
        <v>210</v>
      </c>
      <c r="O329" s="94" t="s">
        <v>210</v>
      </c>
      <c r="P329" s="94">
        <v>4</v>
      </c>
      <c r="Q329" s="94"/>
      <c r="R329" s="94"/>
      <c r="S329" s="94"/>
      <c r="T329" s="94"/>
      <c r="U329" s="94"/>
      <c r="V329" s="94"/>
      <c r="W329" s="94"/>
      <c r="X329" s="94"/>
      <c r="Y329" s="94"/>
      <c r="Z329" s="94"/>
      <c r="AA329" s="94"/>
      <c r="AB329" s="94"/>
      <c r="AC329" s="94"/>
      <c r="AD329" s="94"/>
      <c r="AE329" s="94"/>
      <c r="AF329" s="94"/>
      <c r="AG329" s="94"/>
      <c r="AH329" s="94"/>
      <c r="AI329" s="94"/>
      <c r="AJ329" s="94"/>
      <c r="AK329" s="94"/>
      <c r="AL329" s="94"/>
      <c r="AM329" s="94"/>
      <c r="AN329" s="94"/>
      <c r="AO329" s="94"/>
      <c r="AP329" s="94"/>
      <c r="AQ329" s="94"/>
      <c r="AR329" s="94"/>
      <c r="AS329" s="94"/>
      <c r="AT329" s="94"/>
      <c r="AU329" s="94"/>
      <c r="AV329" s="94"/>
      <c r="AW329" s="94"/>
      <c r="AX329" s="94"/>
      <c r="AY329" s="94"/>
      <c r="BA329" s="95"/>
    </row>
    <row r="330" spans="1:53" s="87" customFormat="1">
      <c r="A330" s="90" t="str">
        <f t="shared" si="29"/>
        <v/>
      </c>
      <c r="B330" s="98">
        <v>16</v>
      </c>
      <c r="C330" s="94" t="s">
        <v>210</v>
      </c>
      <c r="D330" s="94">
        <v>3</v>
      </c>
      <c r="E330" s="94">
        <v>2</v>
      </c>
      <c r="F330" s="94" t="s">
        <v>210</v>
      </c>
      <c r="G330" s="94" t="s">
        <v>210</v>
      </c>
      <c r="H330" s="94">
        <v>-6</v>
      </c>
      <c r="I330" s="94">
        <v>7</v>
      </c>
      <c r="J330" s="94" t="s">
        <v>210</v>
      </c>
      <c r="K330" s="94" t="s">
        <v>210</v>
      </c>
      <c r="L330" s="94">
        <v>5</v>
      </c>
      <c r="M330" s="94">
        <v>-1</v>
      </c>
      <c r="N330" s="94" t="s">
        <v>210</v>
      </c>
      <c r="O330" s="94" t="s">
        <v>210</v>
      </c>
      <c r="P330" s="94">
        <v>-4</v>
      </c>
      <c r="Q330" s="94"/>
      <c r="R330" s="94"/>
      <c r="S330" s="94"/>
      <c r="T330" s="94"/>
      <c r="U330" s="94"/>
      <c r="V330" s="94"/>
      <c r="W330" s="94"/>
      <c r="X330" s="94"/>
      <c r="Y330" s="94"/>
      <c r="Z330" s="94"/>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c r="AW330" s="94"/>
      <c r="AX330" s="94"/>
      <c r="AY330" s="94"/>
      <c r="BA330" s="95"/>
    </row>
    <row r="331" spans="1:53" s="87" customFormat="1">
      <c r="A331" s="90" t="str">
        <f t="shared" si="29"/>
        <v/>
      </c>
      <c r="B331" s="98">
        <v>17</v>
      </c>
      <c r="C331" s="94" t="s">
        <v>210</v>
      </c>
      <c r="D331" s="94">
        <v>-1</v>
      </c>
      <c r="E331" s="94">
        <v>6</v>
      </c>
      <c r="F331" s="94" t="s">
        <v>210</v>
      </c>
      <c r="G331" s="94" t="s">
        <v>210</v>
      </c>
      <c r="H331" s="94">
        <v>4</v>
      </c>
      <c r="I331" s="94">
        <v>-7</v>
      </c>
      <c r="J331" s="94" t="s">
        <v>210</v>
      </c>
      <c r="K331" s="94" t="s">
        <v>210</v>
      </c>
      <c r="L331" s="94">
        <v>3</v>
      </c>
      <c r="M331" s="94">
        <v>-2</v>
      </c>
      <c r="N331" s="94" t="s">
        <v>210</v>
      </c>
      <c r="O331" s="94" t="s">
        <v>210</v>
      </c>
      <c r="P331" s="94">
        <v>5</v>
      </c>
      <c r="Q331" s="94"/>
      <c r="R331" s="94"/>
      <c r="S331" s="94"/>
      <c r="T331" s="94"/>
      <c r="U331" s="94"/>
      <c r="V331" s="94"/>
      <c r="W331" s="94"/>
      <c r="X331" s="94"/>
      <c r="Y331" s="94"/>
      <c r="Z331" s="94"/>
      <c r="AA331" s="94"/>
      <c r="AB331" s="94"/>
      <c r="AC331" s="94"/>
      <c r="AD331" s="94"/>
      <c r="AE331" s="94"/>
      <c r="AF331" s="94"/>
      <c r="AG331" s="94"/>
      <c r="AH331" s="94"/>
      <c r="AI331" s="94"/>
      <c r="AJ331" s="94"/>
      <c r="AK331" s="94"/>
      <c r="AL331" s="94"/>
      <c r="AM331" s="94"/>
      <c r="AN331" s="94"/>
      <c r="AO331" s="94"/>
      <c r="AP331" s="94"/>
      <c r="AQ331" s="94"/>
      <c r="AR331" s="94"/>
      <c r="AS331" s="94"/>
      <c r="AT331" s="94"/>
      <c r="AU331" s="94"/>
      <c r="AV331" s="94"/>
      <c r="AW331" s="94"/>
      <c r="AX331" s="94"/>
      <c r="AY331" s="94"/>
      <c r="BA331" s="95"/>
    </row>
    <row r="332" spans="1:53" s="87" customFormat="1">
      <c r="A332" s="90" t="str">
        <f t="shared" ref="A332:A395" si="30">IF(MID(B332,3,2)="07",ROW(),"")</f>
        <v/>
      </c>
      <c r="B332" s="98">
        <v>18</v>
      </c>
      <c r="C332" s="94" t="s">
        <v>210</v>
      </c>
      <c r="D332" s="94">
        <v>-2</v>
      </c>
      <c r="E332" s="94">
        <v>4</v>
      </c>
      <c r="F332" s="94" t="s">
        <v>210</v>
      </c>
      <c r="G332" s="94" t="s">
        <v>210</v>
      </c>
      <c r="H332" s="94">
        <v>-7</v>
      </c>
      <c r="I332" s="94">
        <v>3</v>
      </c>
      <c r="J332" s="94" t="s">
        <v>210</v>
      </c>
      <c r="K332" s="94" t="s">
        <v>210</v>
      </c>
      <c r="L332" s="94">
        <v>-6</v>
      </c>
      <c r="M332" s="94">
        <v>1</v>
      </c>
      <c r="N332" s="94" t="s">
        <v>210</v>
      </c>
      <c r="O332" s="94" t="s">
        <v>210</v>
      </c>
      <c r="P332" s="94">
        <v>-5</v>
      </c>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BA332" s="95"/>
    </row>
    <row r="333" spans="1:53" s="87" customFormat="1">
      <c r="A333" s="90" t="str">
        <f t="shared" si="30"/>
        <v/>
      </c>
      <c r="B333" s="98">
        <v>19</v>
      </c>
      <c r="C333" s="94" t="s">
        <v>210</v>
      </c>
      <c r="D333" s="94">
        <v>1</v>
      </c>
      <c r="E333" s="94">
        <v>-4</v>
      </c>
      <c r="F333" s="94" t="s">
        <v>210</v>
      </c>
      <c r="G333" s="94" t="s">
        <v>210</v>
      </c>
      <c r="H333" s="94">
        <v>6</v>
      </c>
      <c r="I333" s="94">
        <v>-2</v>
      </c>
      <c r="J333" s="94" t="s">
        <v>210</v>
      </c>
      <c r="K333" s="94" t="s">
        <v>210</v>
      </c>
      <c r="L333" s="94">
        <v>7</v>
      </c>
      <c r="M333" s="94">
        <v>-5</v>
      </c>
      <c r="N333" s="94" t="s">
        <v>210</v>
      </c>
      <c r="O333" s="94" t="s">
        <v>210</v>
      </c>
      <c r="P333" s="94">
        <v>-3</v>
      </c>
      <c r="Q333" s="94"/>
      <c r="R333" s="94"/>
      <c r="S333" s="94"/>
      <c r="T333" s="94"/>
      <c r="U333" s="94"/>
      <c r="V333" s="94"/>
      <c r="W333" s="94"/>
      <c r="X333" s="94"/>
      <c r="Y333" s="94"/>
      <c r="Z333" s="94"/>
      <c r="AA333" s="94"/>
      <c r="AB333" s="94"/>
      <c r="AC333" s="94"/>
      <c r="AD333" s="94"/>
      <c r="AE333" s="94"/>
      <c r="AF333" s="94"/>
      <c r="AG333" s="94"/>
      <c r="AH333" s="94"/>
      <c r="AI333" s="94"/>
      <c r="AJ333" s="94"/>
      <c r="AK333" s="94"/>
      <c r="AL333" s="94"/>
      <c r="AM333" s="94"/>
      <c r="AN333" s="94"/>
      <c r="AO333" s="94"/>
      <c r="AP333" s="94"/>
      <c r="AQ333" s="94"/>
      <c r="AR333" s="94"/>
      <c r="AS333" s="94"/>
      <c r="AT333" s="94"/>
      <c r="AU333" s="94"/>
      <c r="AV333" s="94"/>
      <c r="AW333" s="94"/>
      <c r="AX333" s="94"/>
      <c r="AY333" s="94"/>
      <c r="BA333" s="95"/>
    </row>
    <row r="334" spans="1:53" s="87" customFormat="1">
      <c r="A334" s="90" t="str">
        <f t="shared" si="30"/>
        <v/>
      </c>
      <c r="B334" s="98">
        <v>20</v>
      </c>
      <c r="C334" s="94" t="s">
        <v>210</v>
      </c>
      <c r="D334" s="94">
        <v>2</v>
      </c>
      <c r="E334" s="94">
        <v>-6</v>
      </c>
      <c r="F334" s="94" t="s">
        <v>210</v>
      </c>
      <c r="G334" s="94" t="s">
        <v>210</v>
      </c>
      <c r="H334" s="94">
        <v>-1</v>
      </c>
      <c r="I334" s="94">
        <v>4</v>
      </c>
      <c r="J334" s="94" t="s">
        <v>210</v>
      </c>
      <c r="K334" s="94" t="s">
        <v>210</v>
      </c>
      <c r="L334" s="94">
        <v>-5</v>
      </c>
      <c r="M334" s="94">
        <v>-7</v>
      </c>
      <c r="N334" s="94" t="s">
        <v>210</v>
      </c>
      <c r="O334" s="94" t="s">
        <v>210</v>
      </c>
      <c r="P334" s="94">
        <v>3</v>
      </c>
      <c r="Q334" s="94"/>
      <c r="R334" s="94"/>
      <c r="S334" s="94"/>
      <c r="T334" s="94"/>
      <c r="U334" s="94"/>
      <c r="V334" s="94"/>
      <c r="W334" s="94"/>
      <c r="X334" s="94"/>
      <c r="Y334" s="94"/>
      <c r="Z334" s="94"/>
      <c r="AA334" s="94"/>
      <c r="AB334" s="94"/>
      <c r="AC334" s="94"/>
      <c r="AD334" s="94"/>
      <c r="AE334" s="94"/>
      <c r="AF334" s="94"/>
      <c r="AG334" s="94"/>
      <c r="AH334" s="94"/>
      <c r="AI334" s="94"/>
      <c r="AJ334" s="94"/>
      <c r="AK334" s="94"/>
      <c r="AL334" s="94"/>
      <c r="AM334" s="94"/>
      <c r="AN334" s="94"/>
      <c r="AO334" s="94"/>
      <c r="AP334" s="94"/>
      <c r="AQ334" s="94"/>
      <c r="AR334" s="94"/>
      <c r="AS334" s="94"/>
      <c r="AT334" s="94"/>
      <c r="AU334" s="94"/>
      <c r="AV334" s="94"/>
      <c r="AW334" s="94"/>
      <c r="AX334" s="94"/>
      <c r="AY334" s="94"/>
      <c r="BA334" s="95"/>
    </row>
    <row r="335" spans="1:53" s="87" customFormat="1">
      <c r="A335" s="90" t="str">
        <f t="shared" si="30"/>
        <v/>
      </c>
      <c r="B335" s="99">
        <v>21</v>
      </c>
      <c r="C335" s="92" t="s">
        <v>210</v>
      </c>
      <c r="D335" s="92">
        <v>6</v>
      </c>
      <c r="E335" s="92">
        <v>-2</v>
      </c>
      <c r="F335" s="92" t="s">
        <v>210</v>
      </c>
      <c r="G335" s="92" t="s">
        <v>210</v>
      </c>
      <c r="H335" s="92">
        <v>7</v>
      </c>
      <c r="I335" s="92">
        <v>-4</v>
      </c>
      <c r="J335" s="92" t="s">
        <v>210</v>
      </c>
      <c r="K335" s="92" t="s">
        <v>210</v>
      </c>
      <c r="L335" s="92">
        <v>-3</v>
      </c>
      <c r="M335" s="92">
        <v>5</v>
      </c>
      <c r="N335" s="92" t="s">
        <v>210</v>
      </c>
      <c r="O335" s="92" t="s">
        <v>210</v>
      </c>
      <c r="P335" s="92">
        <v>1</v>
      </c>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BA335" s="95"/>
    </row>
    <row r="336" spans="1:53" s="87" customFormat="1">
      <c r="A336" s="90" t="str">
        <f t="shared" si="30"/>
        <v/>
      </c>
      <c r="B336" s="98">
        <v>22</v>
      </c>
      <c r="C336" s="94" t="s">
        <v>210</v>
      </c>
      <c r="D336" s="94">
        <v>7</v>
      </c>
      <c r="E336" s="94">
        <v>-5</v>
      </c>
      <c r="F336" s="94" t="s">
        <v>210</v>
      </c>
      <c r="G336" s="94" t="s">
        <v>210</v>
      </c>
      <c r="H336" s="94">
        <v>3</v>
      </c>
      <c r="I336" s="94">
        <v>-1</v>
      </c>
      <c r="J336" s="94" t="s">
        <v>210</v>
      </c>
      <c r="K336" s="94" t="s">
        <v>210</v>
      </c>
      <c r="L336" s="94">
        <v>4</v>
      </c>
      <c r="M336" s="94">
        <v>-3</v>
      </c>
      <c r="N336" s="94" t="s">
        <v>210</v>
      </c>
      <c r="O336" s="94" t="s">
        <v>210</v>
      </c>
      <c r="P336" s="94">
        <v>2</v>
      </c>
      <c r="Q336" s="94"/>
      <c r="R336" s="94"/>
      <c r="S336" s="94"/>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BA336" s="95"/>
    </row>
    <row r="337" spans="1:53" s="87" customFormat="1">
      <c r="A337" s="90" t="str">
        <f t="shared" si="30"/>
        <v/>
      </c>
      <c r="B337" s="98">
        <v>23</v>
      </c>
      <c r="C337" s="94" t="s">
        <v>210</v>
      </c>
      <c r="D337" s="94">
        <v>-3</v>
      </c>
      <c r="E337" s="94">
        <v>-7</v>
      </c>
      <c r="F337" s="94" t="s">
        <v>210</v>
      </c>
      <c r="G337" s="94" t="s">
        <v>210</v>
      </c>
      <c r="H337" s="94">
        <v>2</v>
      </c>
      <c r="I337" s="94">
        <v>-5</v>
      </c>
      <c r="J337" s="94" t="s">
        <v>210</v>
      </c>
      <c r="K337" s="94" t="s">
        <v>210</v>
      </c>
      <c r="L337" s="94">
        <v>1</v>
      </c>
      <c r="M337" s="94">
        <v>6</v>
      </c>
      <c r="N337" s="94" t="s">
        <v>210</v>
      </c>
      <c r="O337" s="94" t="s">
        <v>210</v>
      </c>
      <c r="P337" s="94">
        <v>-2</v>
      </c>
      <c r="Q337" s="94"/>
      <c r="R337" s="94"/>
      <c r="S337" s="94"/>
      <c r="T337" s="94"/>
      <c r="U337" s="94"/>
      <c r="V337" s="94"/>
      <c r="W337" s="94"/>
      <c r="X337" s="94"/>
      <c r="Y337" s="94"/>
      <c r="Z337" s="94"/>
      <c r="AA337" s="94"/>
      <c r="AB337" s="94"/>
      <c r="AC337" s="94"/>
      <c r="AD337" s="94"/>
      <c r="AE337" s="94"/>
      <c r="AF337" s="94"/>
      <c r="AG337" s="94"/>
      <c r="AH337" s="94"/>
      <c r="AI337" s="94"/>
      <c r="AJ337" s="94"/>
      <c r="AK337" s="94"/>
      <c r="AL337" s="94"/>
      <c r="AM337" s="94"/>
      <c r="AN337" s="94"/>
      <c r="AO337" s="94"/>
      <c r="AP337" s="94"/>
      <c r="AQ337" s="94"/>
      <c r="AR337" s="94"/>
      <c r="AS337" s="94"/>
      <c r="AT337" s="94"/>
      <c r="AU337" s="94"/>
      <c r="AV337" s="94"/>
      <c r="AW337" s="94"/>
      <c r="AX337" s="94"/>
      <c r="AY337" s="94"/>
      <c r="BA337" s="95"/>
    </row>
    <row r="338" spans="1:53" s="87" customFormat="1">
      <c r="A338" s="90" t="str">
        <f t="shared" si="30"/>
        <v/>
      </c>
      <c r="B338" s="98">
        <v>24</v>
      </c>
      <c r="C338" s="94" t="s">
        <v>210</v>
      </c>
      <c r="D338" s="94">
        <v>5</v>
      </c>
      <c r="E338" s="94">
        <v>-3</v>
      </c>
      <c r="F338" s="94" t="s">
        <v>210</v>
      </c>
      <c r="G338" s="94" t="s">
        <v>210</v>
      </c>
      <c r="H338" s="94">
        <v>-4</v>
      </c>
      <c r="I338" s="94">
        <v>1</v>
      </c>
      <c r="J338" s="94" t="s">
        <v>210</v>
      </c>
      <c r="K338" s="94" t="s">
        <v>210</v>
      </c>
      <c r="L338" s="94">
        <v>2</v>
      </c>
      <c r="M338" s="94">
        <v>-6</v>
      </c>
      <c r="N338" s="94" t="s">
        <v>210</v>
      </c>
      <c r="O338" s="94" t="s">
        <v>210</v>
      </c>
      <c r="P338" s="94">
        <v>-7</v>
      </c>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BA338" s="95"/>
    </row>
    <row r="339" spans="1:53" s="87" customFormat="1">
      <c r="A339" s="90" t="str">
        <f t="shared" si="30"/>
        <v/>
      </c>
      <c r="B339" s="98">
        <v>25</v>
      </c>
      <c r="C339" s="94" t="s">
        <v>210</v>
      </c>
      <c r="D339" s="94">
        <v>4</v>
      </c>
      <c r="E339" s="94">
        <v>-1</v>
      </c>
      <c r="F339" s="94" t="s">
        <v>210</v>
      </c>
      <c r="G339" s="94" t="s">
        <v>210</v>
      </c>
      <c r="H339" s="94">
        <v>-3</v>
      </c>
      <c r="I339" s="94">
        <v>5</v>
      </c>
      <c r="J339" s="94" t="s">
        <v>210</v>
      </c>
      <c r="K339" s="94" t="s">
        <v>210</v>
      </c>
      <c r="L339" s="94">
        <v>6</v>
      </c>
      <c r="M339" s="94">
        <v>-4</v>
      </c>
      <c r="N339" s="94" t="s">
        <v>210</v>
      </c>
      <c r="O339" s="94" t="s">
        <v>210</v>
      </c>
      <c r="P339" s="94">
        <v>7</v>
      </c>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BA339" s="95"/>
    </row>
    <row r="340" spans="1:53" s="87" customFormat="1">
      <c r="A340" s="90" t="str">
        <f t="shared" si="30"/>
        <v/>
      </c>
      <c r="B340" s="98">
        <v>26</v>
      </c>
      <c r="C340" s="94" t="s">
        <v>210</v>
      </c>
      <c r="D340" s="94">
        <v>-7</v>
      </c>
      <c r="E340" s="94">
        <v>3</v>
      </c>
      <c r="F340" s="94" t="s">
        <v>210</v>
      </c>
      <c r="G340" s="94" t="s">
        <v>210</v>
      </c>
      <c r="H340" s="94">
        <v>-5</v>
      </c>
      <c r="I340" s="94">
        <v>2</v>
      </c>
      <c r="J340" s="94" t="s">
        <v>210</v>
      </c>
      <c r="K340" s="94" t="s">
        <v>210</v>
      </c>
      <c r="L340" s="94">
        <v>-1</v>
      </c>
      <c r="M340" s="94">
        <v>4</v>
      </c>
      <c r="N340" s="94" t="s">
        <v>210</v>
      </c>
      <c r="O340" s="94" t="s">
        <v>210</v>
      </c>
      <c r="P340" s="94">
        <v>6</v>
      </c>
      <c r="Q340" s="94"/>
      <c r="R340" s="94"/>
      <c r="S340" s="94"/>
      <c r="T340" s="94"/>
      <c r="U340" s="94"/>
      <c r="V340" s="94"/>
      <c r="W340" s="94"/>
      <c r="X340" s="94"/>
      <c r="Y340" s="94"/>
      <c r="Z340" s="94"/>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c r="BA340" s="95"/>
    </row>
    <row r="341" spans="1:53" s="87" customFormat="1">
      <c r="A341" s="90" t="str">
        <f t="shared" si="30"/>
        <v/>
      </c>
      <c r="B341" s="98">
        <v>27</v>
      </c>
      <c r="C341" s="94" t="s">
        <v>210</v>
      </c>
      <c r="D341" s="94">
        <v>-5</v>
      </c>
      <c r="E341" s="94">
        <v>1</v>
      </c>
      <c r="F341" s="94" t="s">
        <v>210</v>
      </c>
      <c r="G341" s="94" t="s">
        <v>210</v>
      </c>
      <c r="H341" s="94">
        <v>-2</v>
      </c>
      <c r="I341" s="94">
        <v>6</v>
      </c>
      <c r="J341" s="94" t="s">
        <v>210</v>
      </c>
      <c r="K341" s="94" t="s">
        <v>210</v>
      </c>
      <c r="L341" s="94">
        <v>-4</v>
      </c>
      <c r="M341" s="94">
        <v>7</v>
      </c>
      <c r="N341" s="94" t="s">
        <v>210</v>
      </c>
      <c r="O341" s="94" t="s">
        <v>210</v>
      </c>
      <c r="P341" s="94">
        <v>-6</v>
      </c>
      <c r="Q341" s="94"/>
      <c r="R341" s="94"/>
      <c r="S341" s="94"/>
      <c r="T341" s="94"/>
      <c r="U341" s="94"/>
      <c r="V341" s="94"/>
      <c r="W341" s="94"/>
      <c r="X341" s="94"/>
      <c r="Y341" s="94"/>
      <c r="Z341" s="94"/>
      <c r="AA341" s="94"/>
      <c r="AB341" s="94"/>
      <c r="AC341" s="94"/>
      <c r="AD341" s="94"/>
      <c r="AE341" s="94"/>
      <c r="AF341" s="94"/>
      <c r="AG341" s="94"/>
      <c r="AH341" s="94"/>
      <c r="AI341" s="94"/>
      <c r="AJ341" s="94"/>
      <c r="AK341" s="94"/>
      <c r="AL341" s="94"/>
      <c r="AM341" s="94"/>
      <c r="AN341" s="94"/>
      <c r="AO341" s="94"/>
      <c r="AP341" s="94"/>
      <c r="AQ341" s="94"/>
      <c r="AR341" s="94"/>
      <c r="AS341" s="94"/>
      <c r="AT341" s="94"/>
      <c r="AU341" s="94"/>
      <c r="AV341" s="94"/>
      <c r="AW341" s="94"/>
      <c r="AX341" s="94"/>
      <c r="AY341" s="94"/>
      <c r="BA341" s="95"/>
    </row>
    <row r="342" spans="1:53" s="87" customFormat="1">
      <c r="A342" s="90" t="str">
        <f t="shared" si="30"/>
        <v/>
      </c>
      <c r="B342" s="98">
        <v>28</v>
      </c>
      <c r="C342" s="94" t="s">
        <v>210</v>
      </c>
      <c r="D342" s="94">
        <v>-4</v>
      </c>
      <c r="E342" s="94">
        <v>7</v>
      </c>
      <c r="F342" s="94" t="s">
        <v>210</v>
      </c>
      <c r="G342" s="94" t="s">
        <v>210</v>
      </c>
      <c r="H342" s="94">
        <v>5</v>
      </c>
      <c r="I342" s="94">
        <v>-6</v>
      </c>
      <c r="J342" s="94" t="s">
        <v>210</v>
      </c>
      <c r="K342" s="94" t="s">
        <v>210</v>
      </c>
      <c r="L342" s="94">
        <v>-2</v>
      </c>
      <c r="M342" s="94">
        <v>3</v>
      </c>
      <c r="N342" s="94" t="s">
        <v>210</v>
      </c>
      <c r="O342" s="94" t="s">
        <v>210</v>
      </c>
      <c r="P342" s="94">
        <v>-1</v>
      </c>
      <c r="Q342" s="94"/>
      <c r="R342" s="94"/>
      <c r="S342" s="94"/>
      <c r="T342" s="94"/>
      <c r="U342" s="94"/>
      <c r="V342" s="94"/>
      <c r="W342" s="94"/>
      <c r="X342" s="94"/>
      <c r="Y342" s="94"/>
      <c r="Z342" s="94"/>
      <c r="AA342" s="94"/>
      <c r="AB342" s="94"/>
      <c r="AC342" s="94"/>
      <c r="AD342" s="94"/>
      <c r="AE342" s="94"/>
      <c r="AF342" s="94"/>
      <c r="AG342" s="94"/>
      <c r="AH342" s="94"/>
      <c r="AI342" s="94"/>
      <c r="AJ342" s="94"/>
      <c r="AK342" s="94"/>
      <c r="AL342" s="94"/>
      <c r="AM342" s="94"/>
      <c r="AN342" s="94"/>
      <c r="AO342" s="94"/>
      <c r="AP342" s="94"/>
      <c r="AQ342" s="94"/>
      <c r="AR342" s="94"/>
      <c r="AS342" s="94"/>
      <c r="AT342" s="94"/>
      <c r="AU342" s="94"/>
      <c r="AV342" s="94"/>
      <c r="AW342" s="94"/>
      <c r="AX342" s="94"/>
      <c r="AY342" s="94"/>
      <c r="BA342" s="95"/>
    </row>
    <row r="343" spans="1:53" s="87" customFormat="1">
      <c r="A343" s="90" t="str">
        <f t="shared" si="30"/>
        <v/>
      </c>
      <c r="B343" s="98" t="s">
        <v>433</v>
      </c>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BA343" s="95"/>
    </row>
    <row r="344" spans="1:53" s="87" customFormat="1">
      <c r="A344" s="90">
        <f t="shared" si="30"/>
        <v>344</v>
      </c>
      <c r="B344" s="98" t="s">
        <v>434</v>
      </c>
      <c r="C344" s="94"/>
      <c r="D344" s="94"/>
      <c r="E344" s="94"/>
      <c r="F344" s="94"/>
      <c r="G344" s="94"/>
      <c r="H344" s="94"/>
      <c r="I344" s="94"/>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BA344" s="95"/>
    </row>
    <row r="345" spans="1:53" s="87" customFormat="1">
      <c r="A345" s="90" t="str">
        <f t="shared" si="30"/>
        <v/>
      </c>
      <c r="B345" s="98">
        <v>1</v>
      </c>
      <c r="C345" s="94">
        <v>-3</v>
      </c>
      <c r="D345" s="94" t="s">
        <v>210</v>
      </c>
      <c r="E345" s="94">
        <v>-6</v>
      </c>
      <c r="F345" s="94">
        <v>-7</v>
      </c>
      <c r="G345" s="94" t="s">
        <v>210</v>
      </c>
      <c r="H345" s="94" t="s">
        <v>210</v>
      </c>
      <c r="I345" s="94">
        <v>2</v>
      </c>
      <c r="J345" s="94">
        <v>-4</v>
      </c>
      <c r="K345" s="94" t="s">
        <v>210</v>
      </c>
      <c r="L345" s="94" t="s">
        <v>210</v>
      </c>
      <c r="M345" s="94">
        <v>1</v>
      </c>
      <c r="N345" s="94">
        <v>5</v>
      </c>
      <c r="O345" s="94" t="s">
        <v>210</v>
      </c>
      <c r="P345" s="94" t="s">
        <v>210</v>
      </c>
      <c r="Q345" s="94">
        <v>3</v>
      </c>
      <c r="R345" s="94">
        <v>-2</v>
      </c>
      <c r="S345" s="94" t="s">
        <v>210</v>
      </c>
      <c r="T345" s="94" t="s">
        <v>210</v>
      </c>
      <c r="U345" s="94" t="s">
        <v>202</v>
      </c>
      <c r="V345" s="94">
        <v>7</v>
      </c>
      <c r="W345" s="94" t="s">
        <v>210</v>
      </c>
      <c r="X345" s="94" t="s">
        <v>210</v>
      </c>
      <c r="Y345" s="94">
        <v>6</v>
      </c>
      <c r="Z345" s="94">
        <v>-1</v>
      </c>
      <c r="AA345" s="94" t="s">
        <v>210</v>
      </c>
      <c r="AB345" s="94" t="s">
        <v>210</v>
      </c>
      <c r="AC345" s="94">
        <v>-5</v>
      </c>
      <c r="AD345" s="94">
        <v>4</v>
      </c>
      <c r="AE345" s="94" t="s">
        <v>210</v>
      </c>
      <c r="AF345" s="94"/>
      <c r="AG345" s="94"/>
      <c r="AH345" s="94"/>
      <c r="AI345" s="94"/>
      <c r="AJ345" s="94"/>
      <c r="AK345" s="94"/>
      <c r="AL345" s="94"/>
      <c r="AM345" s="94"/>
      <c r="AN345" s="94"/>
      <c r="AO345" s="94"/>
      <c r="AP345" s="94"/>
      <c r="AQ345" s="94"/>
      <c r="AR345" s="94"/>
      <c r="AS345" s="94"/>
      <c r="AT345" s="94"/>
      <c r="AU345" s="94"/>
      <c r="AV345" s="94"/>
      <c r="AW345" s="94"/>
      <c r="AX345" s="94"/>
      <c r="AY345" s="94"/>
      <c r="BA345" s="95"/>
    </row>
    <row r="346" spans="1:53" s="87" customFormat="1">
      <c r="A346" s="90" t="str">
        <f t="shared" si="30"/>
        <v/>
      </c>
      <c r="B346" s="98">
        <v>2</v>
      </c>
      <c r="C346" s="94">
        <v>5</v>
      </c>
      <c r="D346" s="94" t="s">
        <v>210</v>
      </c>
      <c r="E346" s="94">
        <v>-2</v>
      </c>
      <c r="F346" s="94">
        <v>1</v>
      </c>
      <c r="G346" s="94" t="s">
        <v>210</v>
      </c>
      <c r="H346" s="94" t="s">
        <v>210</v>
      </c>
      <c r="I346" s="94">
        <v>-3</v>
      </c>
      <c r="J346" s="94" t="s">
        <v>202</v>
      </c>
      <c r="K346" s="94" t="s">
        <v>210</v>
      </c>
      <c r="L346" s="94" t="s">
        <v>210</v>
      </c>
      <c r="M346" s="94">
        <v>7</v>
      </c>
      <c r="N346" s="94">
        <v>6</v>
      </c>
      <c r="O346" s="94" t="s">
        <v>210</v>
      </c>
      <c r="P346" s="94" t="s">
        <v>210</v>
      </c>
      <c r="Q346" s="94">
        <v>4</v>
      </c>
      <c r="R346" s="94">
        <v>-1</v>
      </c>
      <c r="S346" s="94" t="s">
        <v>210</v>
      </c>
      <c r="T346" s="94" t="s">
        <v>210</v>
      </c>
      <c r="U346" s="94">
        <v>3</v>
      </c>
      <c r="V346" s="94">
        <v>2</v>
      </c>
      <c r="W346" s="94" t="s">
        <v>210</v>
      </c>
      <c r="X346" s="94" t="s">
        <v>210</v>
      </c>
      <c r="Y346" s="94">
        <v>-5</v>
      </c>
      <c r="Z346" s="94">
        <v>-7</v>
      </c>
      <c r="AA346" s="94" t="s">
        <v>210</v>
      </c>
      <c r="AB346" s="94" t="s">
        <v>210</v>
      </c>
      <c r="AC346" s="94">
        <v>-6</v>
      </c>
      <c r="AD346" s="94">
        <v>-4</v>
      </c>
      <c r="AE346" s="94" t="s">
        <v>210</v>
      </c>
      <c r="AF346" s="94"/>
      <c r="AG346" s="94"/>
      <c r="AH346" s="94"/>
      <c r="AI346" s="94"/>
      <c r="AJ346" s="94"/>
      <c r="AK346" s="94"/>
      <c r="AL346" s="94"/>
      <c r="AM346" s="94"/>
      <c r="AN346" s="94"/>
      <c r="AO346" s="94"/>
      <c r="AP346" s="94"/>
      <c r="AQ346" s="94"/>
      <c r="AR346" s="94"/>
      <c r="AS346" s="94"/>
      <c r="AT346" s="94"/>
      <c r="AU346" s="94"/>
      <c r="AV346" s="94"/>
      <c r="AW346" s="94"/>
      <c r="AX346" s="94"/>
      <c r="AY346" s="94"/>
      <c r="BA346" s="95"/>
    </row>
    <row r="347" spans="1:53" s="87" customFormat="1">
      <c r="A347" s="90" t="str">
        <f t="shared" si="30"/>
        <v/>
      </c>
      <c r="B347" s="98">
        <v>3</v>
      </c>
      <c r="C347" s="94">
        <v>3</v>
      </c>
      <c r="D347" s="94" t="s">
        <v>210</v>
      </c>
      <c r="E347" s="94">
        <v>1</v>
      </c>
      <c r="F347" s="94">
        <v>-2</v>
      </c>
      <c r="G347" s="94" t="s">
        <v>210</v>
      </c>
      <c r="H347" s="94" t="s">
        <v>210</v>
      </c>
      <c r="I347" s="94">
        <v>-6</v>
      </c>
      <c r="J347" s="94">
        <v>7</v>
      </c>
      <c r="K347" s="94" t="s">
        <v>210</v>
      </c>
      <c r="L347" s="94" t="s">
        <v>210</v>
      </c>
      <c r="M347" s="94" t="s">
        <v>202</v>
      </c>
      <c r="N347" s="94">
        <v>4</v>
      </c>
      <c r="O347" s="94" t="s">
        <v>210</v>
      </c>
      <c r="P347" s="94" t="s">
        <v>210</v>
      </c>
      <c r="Q347" s="94">
        <v>-5</v>
      </c>
      <c r="R347" s="94">
        <v>-7</v>
      </c>
      <c r="S347" s="94" t="s">
        <v>210</v>
      </c>
      <c r="T347" s="94" t="s">
        <v>210</v>
      </c>
      <c r="U347" s="94">
        <v>2</v>
      </c>
      <c r="V347" s="94">
        <v>-1</v>
      </c>
      <c r="W347" s="94" t="s">
        <v>210</v>
      </c>
      <c r="X347" s="94" t="s">
        <v>210</v>
      </c>
      <c r="Y347" s="94">
        <v>-4</v>
      </c>
      <c r="Z347" s="94">
        <v>-3</v>
      </c>
      <c r="AA347" s="94" t="s">
        <v>210</v>
      </c>
      <c r="AB347" s="94" t="s">
        <v>210</v>
      </c>
      <c r="AC347" s="94">
        <v>6</v>
      </c>
      <c r="AD347" s="94">
        <v>5</v>
      </c>
      <c r="AE347" s="94" t="s">
        <v>210</v>
      </c>
      <c r="AF347" s="94"/>
      <c r="AG347" s="94"/>
      <c r="AH347" s="94"/>
      <c r="AI347" s="94"/>
      <c r="AJ347" s="94"/>
      <c r="AK347" s="94"/>
      <c r="AL347" s="94"/>
      <c r="AM347" s="94"/>
      <c r="AN347" s="94"/>
      <c r="AO347" s="94"/>
      <c r="AP347" s="94"/>
      <c r="AQ347" s="94"/>
      <c r="AR347" s="94"/>
      <c r="AS347" s="94"/>
      <c r="AT347" s="94"/>
      <c r="AU347" s="94"/>
      <c r="AV347" s="94"/>
      <c r="AW347" s="94"/>
      <c r="AX347" s="94"/>
      <c r="AY347" s="94"/>
      <c r="BA347" s="95"/>
    </row>
    <row r="348" spans="1:53" s="87" customFormat="1">
      <c r="A348" s="90" t="str">
        <f t="shared" si="30"/>
        <v/>
      </c>
      <c r="B348" s="98">
        <v>4</v>
      </c>
      <c r="C348" s="94">
        <v>6</v>
      </c>
      <c r="D348" s="94" t="s">
        <v>210</v>
      </c>
      <c r="E348" s="94" t="s">
        <v>202</v>
      </c>
      <c r="F348" s="94">
        <v>7</v>
      </c>
      <c r="G348" s="94" t="s">
        <v>210</v>
      </c>
      <c r="H348" s="94" t="s">
        <v>210</v>
      </c>
      <c r="I348" s="94">
        <v>-4</v>
      </c>
      <c r="J348" s="94">
        <v>1</v>
      </c>
      <c r="K348" s="94" t="s">
        <v>210</v>
      </c>
      <c r="L348" s="94" t="s">
        <v>210</v>
      </c>
      <c r="M348" s="94">
        <v>5</v>
      </c>
      <c r="N348" s="94">
        <v>3</v>
      </c>
      <c r="O348" s="94" t="s">
        <v>210</v>
      </c>
      <c r="P348" s="94" t="s">
        <v>210</v>
      </c>
      <c r="Q348" s="94">
        <v>2</v>
      </c>
      <c r="R348" s="94">
        <v>-3</v>
      </c>
      <c r="S348" s="94" t="s">
        <v>210</v>
      </c>
      <c r="T348" s="94" t="s">
        <v>210</v>
      </c>
      <c r="U348" s="94">
        <v>-6</v>
      </c>
      <c r="V348" s="94">
        <v>-2</v>
      </c>
      <c r="W348" s="94" t="s">
        <v>210</v>
      </c>
      <c r="X348" s="94" t="s">
        <v>210</v>
      </c>
      <c r="Y348" s="94">
        <v>-7</v>
      </c>
      <c r="Z348" s="94">
        <v>4</v>
      </c>
      <c r="AA348" s="94" t="s">
        <v>210</v>
      </c>
      <c r="AB348" s="94" t="s">
        <v>210</v>
      </c>
      <c r="AC348" s="94">
        <v>-1</v>
      </c>
      <c r="AD348" s="94">
        <v>-5</v>
      </c>
      <c r="AE348" s="94" t="s">
        <v>210</v>
      </c>
      <c r="AF348" s="94"/>
      <c r="AG348" s="94"/>
      <c r="AH348" s="94"/>
      <c r="AI348" s="94"/>
      <c r="AJ348" s="94"/>
      <c r="AK348" s="94"/>
      <c r="AL348" s="94"/>
      <c r="AM348" s="94"/>
      <c r="AN348" s="94"/>
      <c r="AO348" s="94"/>
      <c r="AP348" s="94"/>
      <c r="AQ348" s="94"/>
      <c r="AR348" s="94"/>
      <c r="AS348" s="94"/>
      <c r="AT348" s="94"/>
      <c r="AU348" s="94"/>
      <c r="AV348" s="94"/>
      <c r="AW348" s="94"/>
      <c r="AX348" s="94"/>
      <c r="AY348" s="94"/>
      <c r="BA348" s="95"/>
    </row>
    <row r="349" spans="1:53" s="87" customFormat="1">
      <c r="A349" s="90" t="str">
        <f t="shared" si="30"/>
        <v/>
      </c>
      <c r="B349" s="98">
        <v>5</v>
      </c>
      <c r="C349" s="94">
        <v>2</v>
      </c>
      <c r="D349" s="94" t="s">
        <v>210</v>
      </c>
      <c r="E349" s="94">
        <v>-3</v>
      </c>
      <c r="F349" s="94">
        <v>-4</v>
      </c>
      <c r="G349" s="94" t="s">
        <v>210</v>
      </c>
      <c r="H349" s="94" t="s">
        <v>210</v>
      </c>
      <c r="I349" s="94">
        <v>1</v>
      </c>
      <c r="J349" s="94">
        <v>-5</v>
      </c>
      <c r="K349" s="94" t="s">
        <v>210</v>
      </c>
      <c r="L349" s="94" t="s">
        <v>210</v>
      </c>
      <c r="M349" s="94">
        <v>-6</v>
      </c>
      <c r="N349" s="94">
        <v>-7</v>
      </c>
      <c r="O349" s="94" t="s">
        <v>210</v>
      </c>
      <c r="P349" s="94" t="s">
        <v>210</v>
      </c>
      <c r="Q349" s="94">
        <v>-2</v>
      </c>
      <c r="R349" s="94">
        <v>6</v>
      </c>
      <c r="S349" s="94" t="s">
        <v>210</v>
      </c>
      <c r="T349" s="94" t="s">
        <v>210</v>
      </c>
      <c r="U349" s="94">
        <v>-1</v>
      </c>
      <c r="V349" s="94" t="s">
        <v>202</v>
      </c>
      <c r="W349" s="94" t="s">
        <v>210</v>
      </c>
      <c r="X349" s="94" t="s">
        <v>210</v>
      </c>
      <c r="Y349" s="94">
        <v>4</v>
      </c>
      <c r="Z349" s="94">
        <v>7</v>
      </c>
      <c r="AA349" s="94" t="s">
        <v>210</v>
      </c>
      <c r="AB349" s="94" t="s">
        <v>210</v>
      </c>
      <c r="AC349" s="94">
        <v>5</v>
      </c>
      <c r="AD349" s="94">
        <v>3</v>
      </c>
      <c r="AE349" s="94" t="s">
        <v>210</v>
      </c>
      <c r="AF349" s="94"/>
      <c r="AG349" s="94"/>
      <c r="AH349" s="94"/>
      <c r="AI349" s="94"/>
      <c r="AJ349" s="94"/>
      <c r="AK349" s="94"/>
      <c r="AL349" s="94"/>
      <c r="AM349" s="94"/>
      <c r="AN349" s="94"/>
      <c r="AO349" s="94"/>
      <c r="AP349" s="94"/>
      <c r="AQ349" s="94"/>
      <c r="AR349" s="94"/>
      <c r="AS349" s="94"/>
      <c r="AT349" s="94"/>
      <c r="AU349" s="94"/>
      <c r="AV349" s="94"/>
      <c r="AW349" s="94"/>
      <c r="AX349" s="94"/>
      <c r="AY349" s="94"/>
      <c r="BA349" s="95"/>
    </row>
    <row r="350" spans="1:53" s="87" customFormat="1">
      <c r="A350" s="90" t="str">
        <f t="shared" si="30"/>
        <v/>
      </c>
      <c r="B350" s="98">
        <v>6</v>
      </c>
      <c r="C350" s="94">
        <v>7</v>
      </c>
      <c r="D350" s="94" t="s">
        <v>210</v>
      </c>
      <c r="E350" s="94">
        <v>5</v>
      </c>
      <c r="F350" s="94">
        <v>-1</v>
      </c>
      <c r="G350" s="94" t="s">
        <v>210</v>
      </c>
      <c r="H350" s="94" t="s">
        <v>210</v>
      </c>
      <c r="I350" s="94">
        <v>4</v>
      </c>
      <c r="J350" s="94">
        <v>-2</v>
      </c>
      <c r="K350" s="94" t="s">
        <v>210</v>
      </c>
      <c r="L350" s="94" t="s">
        <v>210</v>
      </c>
      <c r="M350" s="94">
        <v>3</v>
      </c>
      <c r="N350" s="94" t="s">
        <v>202</v>
      </c>
      <c r="O350" s="94" t="s">
        <v>210</v>
      </c>
      <c r="P350" s="94" t="s">
        <v>210</v>
      </c>
      <c r="Q350" s="94">
        <v>6</v>
      </c>
      <c r="R350" s="94">
        <v>-5</v>
      </c>
      <c r="S350" s="94" t="s">
        <v>210</v>
      </c>
      <c r="T350" s="94" t="s">
        <v>210</v>
      </c>
      <c r="U350" s="94">
        <v>-4</v>
      </c>
      <c r="V350" s="94">
        <v>1</v>
      </c>
      <c r="W350" s="94" t="s">
        <v>210</v>
      </c>
      <c r="X350" s="94" t="s">
        <v>210</v>
      </c>
      <c r="Y350" s="94">
        <v>-6</v>
      </c>
      <c r="Z350" s="94">
        <v>2</v>
      </c>
      <c r="AA350" s="94" t="s">
        <v>210</v>
      </c>
      <c r="AB350" s="94" t="s">
        <v>210</v>
      </c>
      <c r="AC350" s="94">
        <v>-7</v>
      </c>
      <c r="AD350" s="94">
        <v>-3</v>
      </c>
      <c r="AE350" s="94" t="s">
        <v>210</v>
      </c>
      <c r="AF350" s="94"/>
      <c r="AG350" s="94"/>
      <c r="AH350" s="94"/>
      <c r="AI350" s="94"/>
      <c r="AJ350" s="94"/>
      <c r="AK350" s="94"/>
      <c r="AL350" s="94"/>
      <c r="AM350" s="94"/>
      <c r="AN350" s="94"/>
      <c r="AO350" s="94"/>
      <c r="AP350" s="94"/>
      <c r="AQ350" s="94"/>
      <c r="AR350" s="94"/>
      <c r="AS350" s="94"/>
      <c r="AT350" s="94"/>
      <c r="AU350" s="94"/>
      <c r="AV350" s="94"/>
      <c r="AW350" s="94"/>
      <c r="AX350" s="94"/>
      <c r="AY350" s="94"/>
      <c r="BA350" s="95"/>
    </row>
    <row r="351" spans="1:53" s="87" customFormat="1">
      <c r="A351" s="90" t="str">
        <f t="shared" si="30"/>
        <v/>
      </c>
      <c r="B351" s="98">
        <v>7</v>
      </c>
      <c r="C351" s="94">
        <v>-7</v>
      </c>
      <c r="D351" s="94" t="s">
        <v>210</v>
      </c>
      <c r="E351" s="94">
        <v>4</v>
      </c>
      <c r="F351" s="94" t="s">
        <v>202</v>
      </c>
      <c r="G351" s="94" t="s">
        <v>210</v>
      </c>
      <c r="H351" s="94" t="s">
        <v>210</v>
      </c>
      <c r="I351" s="94">
        <v>-5</v>
      </c>
      <c r="J351" s="94">
        <v>-3</v>
      </c>
      <c r="K351" s="94" t="s">
        <v>210</v>
      </c>
      <c r="L351" s="94" t="s">
        <v>210</v>
      </c>
      <c r="M351" s="94">
        <v>6</v>
      </c>
      <c r="N351" s="94">
        <v>-2</v>
      </c>
      <c r="O351" s="94" t="s">
        <v>210</v>
      </c>
      <c r="P351" s="94" t="s">
        <v>210</v>
      </c>
      <c r="Q351" s="94">
        <v>-1</v>
      </c>
      <c r="R351" s="94">
        <v>2</v>
      </c>
      <c r="S351" s="94" t="s">
        <v>210</v>
      </c>
      <c r="T351" s="94" t="s">
        <v>210</v>
      </c>
      <c r="U351" s="94">
        <v>7</v>
      </c>
      <c r="V351" s="94">
        <v>-4</v>
      </c>
      <c r="W351" s="94" t="s">
        <v>210</v>
      </c>
      <c r="X351" s="94" t="s">
        <v>210</v>
      </c>
      <c r="Y351" s="94">
        <v>5</v>
      </c>
      <c r="Z351" s="94">
        <v>3</v>
      </c>
      <c r="AA351" s="94" t="s">
        <v>210</v>
      </c>
      <c r="AB351" s="94" t="s">
        <v>210</v>
      </c>
      <c r="AC351" s="94">
        <v>1</v>
      </c>
      <c r="AD351" s="94">
        <v>-6</v>
      </c>
      <c r="AE351" s="94" t="s">
        <v>210</v>
      </c>
      <c r="AF351" s="94"/>
      <c r="AG351" s="94"/>
      <c r="AH351" s="94"/>
      <c r="AI351" s="94"/>
      <c r="AJ351" s="94"/>
      <c r="AK351" s="94"/>
      <c r="AL351" s="94"/>
      <c r="AM351" s="94"/>
      <c r="AN351" s="94"/>
      <c r="AO351" s="94"/>
      <c r="AP351" s="94"/>
      <c r="AQ351" s="94"/>
      <c r="AR351" s="94"/>
      <c r="AS351" s="94"/>
      <c r="AT351" s="94"/>
      <c r="AU351" s="94"/>
      <c r="AV351" s="94"/>
      <c r="AW351" s="94"/>
      <c r="AX351" s="94"/>
      <c r="AY351" s="94"/>
      <c r="BA351" s="95"/>
    </row>
    <row r="352" spans="1:53" s="87" customFormat="1">
      <c r="A352" s="90" t="str">
        <f t="shared" si="30"/>
        <v/>
      </c>
      <c r="B352" s="98">
        <v>8</v>
      </c>
      <c r="C352" s="94">
        <v>4</v>
      </c>
      <c r="D352" s="94" t="s">
        <v>210</v>
      </c>
      <c r="E352" s="94">
        <v>3</v>
      </c>
      <c r="F352" s="94">
        <v>5</v>
      </c>
      <c r="G352" s="94" t="s">
        <v>210</v>
      </c>
      <c r="H352" s="94" t="s">
        <v>210</v>
      </c>
      <c r="I352" s="94">
        <v>-7</v>
      </c>
      <c r="J352" s="94">
        <v>2</v>
      </c>
      <c r="K352" s="94" t="s">
        <v>210</v>
      </c>
      <c r="L352" s="94" t="s">
        <v>210</v>
      </c>
      <c r="M352" s="94">
        <v>-1</v>
      </c>
      <c r="N352" s="94">
        <v>-6</v>
      </c>
      <c r="O352" s="94" t="s">
        <v>210</v>
      </c>
      <c r="P352" s="94" t="s">
        <v>210</v>
      </c>
      <c r="Q352" s="94">
        <v>7</v>
      </c>
      <c r="R352" s="94" t="s">
        <v>202</v>
      </c>
      <c r="S352" s="94" t="s">
        <v>210</v>
      </c>
      <c r="T352" s="94" t="s">
        <v>210</v>
      </c>
      <c r="U352" s="94">
        <v>-2</v>
      </c>
      <c r="V352" s="94">
        <v>-5</v>
      </c>
      <c r="W352" s="94" t="s">
        <v>210</v>
      </c>
      <c r="X352" s="94" t="s">
        <v>210</v>
      </c>
      <c r="Y352" s="94">
        <v>1</v>
      </c>
      <c r="Z352" s="94">
        <v>-4</v>
      </c>
      <c r="AA352" s="94" t="s">
        <v>210</v>
      </c>
      <c r="AB352" s="94" t="s">
        <v>210</v>
      </c>
      <c r="AC352" s="94">
        <v>-3</v>
      </c>
      <c r="AD352" s="94">
        <v>6</v>
      </c>
      <c r="AE352" s="94" t="s">
        <v>210</v>
      </c>
      <c r="AF352" s="94"/>
      <c r="AG352" s="94"/>
      <c r="AH352" s="94"/>
      <c r="AI352" s="94"/>
      <c r="AJ352" s="94"/>
      <c r="AK352" s="94"/>
      <c r="AL352" s="94"/>
      <c r="AM352" s="94"/>
      <c r="AN352" s="94"/>
      <c r="AO352" s="94"/>
      <c r="AP352" s="94"/>
      <c r="AQ352" s="94"/>
      <c r="AR352" s="94"/>
      <c r="AS352" s="94"/>
      <c r="AT352" s="94"/>
      <c r="AU352" s="94"/>
      <c r="AV352" s="94"/>
      <c r="AW352" s="94"/>
      <c r="AX352" s="94"/>
      <c r="AY352" s="94"/>
      <c r="BA352" s="95"/>
    </row>
    <row r="353" spans="1:53" s="87" customFormat="1">
      <c r="A353" s="90" t="str">
        <f t="shared" si="30"/>
        <v/>
      </c>
      <c r="B353" s="98">
        <v>9</v>
      </c>
      <c r="C353" s="94">
        <v>-4</v>
      </c>
      <c r="D353" s="94" t="s">
        <v>210</v>
      </c>
      <c r="E353" s="94">
        <v>-1</v>
      </c>
      <c r="F353" s="94">
        <v>6</v>
      </c>
      <c r="G353" s="94" t="s">
        <v>210</v>
      </c>
      <c r="H353" s="94" t="s">
        <v>210</v>
      </c>
      <c r="I353" s="94">
        <v>-2</v>
      </c>
      <c r="J353" s="94">
        <v>5</v>
      </c>
      <c r="K353" s="94" t="s">
        <v>210</v>
      </c>
      <c r="L353" s="94" t="s">
        <v>210</v>
      </c>
      <c r="M353" s="94">
        <v>-7</v>
      </c>
      <c r="N353" s="94">
        <v>-3</v>
      </c>
      <c r="O353" s="94" t="s">
        <v>210</v>
      </c>
      <c r="P353" s="94" t="s">
        <v>210</v>
      </c>
      <c r="Q353" s="94">
        <v>1</v>
      </c>
      <c r="R353" s="94">
        <v>4</v>
      </c>
      <c r="S353" s="94" t="s">
        <v>210</v>
      </c>
      <c r="T353" s="94" t="s">
        <v>210</v>
      </c>
      <c r="U353" s="94">
        <v>-5</v>
      </c>
      <c r="V353" s="94">
        <v>-6</v>
      </c>
      <c r="W353" s="94" t="s">
        <v>210</v>
      </c>
      <c r="X353" s="94" t="s">
        <v>210</v>
      </c>
      <c r="Y353" s="94">
        <v>3</v>
      </c>
      <c r="Z353" s="94" t="s">
        <v>202</v>
      </c>
      <c r="AA353" s="94" t="s">
        <v>210</v>
      </c>
      <c r="AB353" s="94" t="s">
        <v>210</v>
      </c>
      <c r="AC353" s="94">
        <v>7</v>
      </c>
      <c r="AD353" s="94">
        <v>2</v>
      </c>
      <c r="AE353" s="94" t="s">
        <v>210</v>
      </c>
      <c r="AF353" s="94"/>
      <c r="AG353" s="94"/>
      <c r="AH353" s="94"/>
      <c r="AI353" s="94"/>
      <c r="AJ353" s="94"/>
      <c r="AK353" s="94"/>
      <c r="AL353" s="94"/>
      <c r="AM353" s="94"/>
      <c r="AN353" s="94"/>
      <c r="AO353" s="94"/>
      <c r="AP353" s="94"/>
      <c r="AQ353" s="94"/>
      <c r="AR353" s="94"/>
      <c r="AS353" s="94"/>
      <c r="AT353" s="94"/>
      <c r="AU353" s="94"/>
      <c r="AV353" s="94"/>
      <c r="AW353" s="94"/>
      <c r="AX353" s="94"/>
      <c r="AY353" s="94"/>
      <c r="BA353" s="95"/>
    </row>
    <row r="354" spans="1:53" s="87" customFormat="1">
      <c r="A354" s="90" t="str">
        <f t="shared" si="30"/>
        <v/>
      </c>
      <c r="B354" s="98">
        <v>10</v>
      </c>
      <c r="C354" s="94">
        <v>-5</v>
      </c>
      <c r="D354" s="94" t="s">
        <v>210</v>
      </c>
      <c r="E354" s="94">
        <v>7</v>
      </c>
      <c r="F354" s="94">
        <v>-3</v>
      </c>
      <c r="G354" s="94" t="s">
        <v>210</v>
      </c>
      <c r="H354" s="94" t="s">
        <v>210</v>
      </c>
      <c r="I354" s="94">
        <v>-1</v>
      </c>
      <c r="J354" s="94">
        <v>6</v>
      </c>
      <c r="K354" s="94" t="s">
        <v>210</v>
      </c>
      <c r="L354" s="94" t="s">
        <v>210</v>
      </c>
      <c r="M354" s="94">
        <v>2</v>
      </c>
      <c r="N354" s="94">
        <v>-4</v>
      </c>
      <c r="O354" s="94" t="s">
        <v>210</v>
      </c>
      <c r="P354" s="94" t="s">
        <v>210</v>
      </c>
      <c r="Q354" s="94">
        <v>-6</v>
      </c>
      <c r="R354" s="94">
        <v>3</v>
      </c>
      <c r="S354" s="94" t="s">
        <v>210</v>
      </c>
      <c r="T354" s="94" t="s">
        <v>210</v>
      </c>
      <c r="U354" s="94">
        <v>-7</v>
      </c>
      <c r="V354" s="94">
        <v>5</v>
      </c>
      <c r="W354" s="94" t="s">
        <v>210</v>
      </c>
      <c r="X354" s="94" t="s">
        <v>210</v>
      </c>
      <c r="Y354" s="94" t="s">
        <v>202</v>
      </c>
      <c r="Z354" s="94">
        <v>1</v>
      </c>
      <c r="AA354" s="94" t="s">
        <v>210</v>
      </c>
      <c r="AB354" s="94" t="s">
        <v>210</v>
      </c>
      <c r="AC354" s="94">
        <v>4</v>
      </c>
      <c r="AD354" s="94">
        <v>-2</v>
      </c>
      <c r="AE354" s="94" t="s">
        <v>210</v>
      </c>
      <c r="AF354" s="94"/>
      <c r="AG354" s="94"/>
      <c r="AH354" s="94"/>
      <c r="AI354" s="94"/>
      <c r="AJ354" s="94"/>
      <c r="AK354" s="94"/>
      <c r="AL354" s="94"/>
      <c r="AM354" s="94"/>
      <c r="AN354" s="94"/>
      <c r="AO354" s="94"/>
      <c r="AP354" s="94"/>
      <c r="AQ354" s="94"/>
      <c r="AR354" s="94"/>
      <c r="AS354" s="94"/>
      <c r="AT354" s="94"/>
      <c r="AU354" s="94"/>
      <c r="AV354" s="94"/>
      <c r="AW354" s="94"/>
      <c r="AX354" s="94"/>
      <c r="AY354" s="94"/>
      <c r="BA354" s="95"/>
    </row>
    <row r="355" spans="1:53" s="87" customFormat="1">
      <c r="A355" s="90" t="str">
        <f t="shared" si="30"/>
        <v/>
      </c>
      <c r="B355" s="98">
        <v>11</v>
      </c>
      <c r="C355" s="94">
        <v>-1</v>
      </c>
      <c r="D355" s="94" t="s">
        <v>210</v>
      </c>
      <c r="E355" s="94">
        <v>-4</v>
      </c>
      <c r="F355" s="94">
        <v>2</v>
      </c>
      <c r="G355" s="94" t="s">
        <v>210</v>
      </c>
      <c r="H355" s="94" t="s">
        <v>210</v>
      </c>
      <c r="I355" s="94" t="s">
        <v>202</v>
      </c>
      <c r="J355" s="94">
        <v>-6</v>
      </c>
      <c r="K355" s="94" t="s">
        <v>210</v>
      </c>
      <c r="L355" s="94" t="s">
        <v>210</v>
      </c>
      <c r="M355" s="94">
        <v>-5</v>
      </c>
      <c r="N355" s="94">
        <v>7</v>
      </c>
      <c r="O355" s="94" t="s">
        <v>210</v>
      </c>
      <c r="P355" s="94" t="s">
        <v>210</v>
      </c>
      <c r="Q355" s="94">
        <v>-3</v>
      </c>
      <c r="R355" s="94">
        <v>1</v>
      </c>
      <c r="S355" s="94" t="s">
        <v>210</v>
      </c>
      <c r="T355" s="94" t="s">
        <v>210</v>
      </c>
      <c r="U355" s="94">
        <v>4</v>
      </c>
      <c r="V355" s="94">
        <v>6</v>
      </c>
      <c r="W355" s="94" t="s">
        <v>210</v>
      </c>
      <c r="X355" s="94" t="s">
        <v>210</v>
      </c>
      <c r="Y355" s="94">
        <v>-2</v>
      </c>
      <c r="Z355" s="94">
        <v>5</v>
      </c>
      <c r="AA355" s="94" t="s">
        <v>210</v>
      </c>
      <c r="AB355" s="94" t="s">
        <v>210</v>
      </c>
      <c r="AC355" s="94">
        <v>3</v>
      </c>
      <c r="AD355" s="94">
        <v>-7</v>
      </c>
      <c r="AE355" s="94" t="s">
        <v>210</v>
      </c>
      <c r="AF355" s="94"/>
      <c r="AG355" s="94"/>
      <c r="AH355" s="94"/>
      <c r="AI355" s="94"/>
      <c r="AJ355" s="94"/>
      <c r="AK355" s="94"/>
      <c r="AL355" s="94"/>
      <c r="AM355" s="94"/>
      <c r="AN355" s="94"/>
      <c r="AO355" s="94"/>
      <c r="AP355" s="94"/>
      <c r="AQ355" s="94"/>
      <c r="AR355" s="94"/>
      <c r="AS355" s="94"/>
      <c r="AT355" s="94"/>
      <c r="AU355" s="94"/>
      <c r="AV355" s="94"/>
      <c r="AW355" s="94"/>
      <c r="AX355" s="94"/>
      <c r="AY355" s="94"/>
      <c r="BA355" s="95"/>
    </row>
    <row r="356" spans="1:53" s="87" customFormat="1">
      <c r="A356" s="90" t="str">
        <f t="shared" si="30"/>
        <v/>
      </c>
      <c r="B356" s="98">
        <v>12</v>
      </c>
      <c r="C356" s="94" t="s">
        <v>202</v>
      </c>
      <c r="D356" s="94" t="s">
        <v>210</v>
      </c>
      <c r="E356" s="94">
        <v>2</v>
      </c>
      <c r="F356" s="94">
        <v>3</v>
      </c>
      <c r="G356" s="94" t="s">
        <v>210</v>
      </c>
      <c r="H356" s="94" t="s">
        <v>210</v>
      </c>
      <c r="I356" s="94">
        <v>6</v>
      </c>
      <c r="J356" s="94">
        <v>-1</v>
      </c>
      <c r="K356" s="94" t="s">
        <v>210</v>
      </c>
      <c r="L356" s="94" t="s">
        <v>210</v>
      </c>
      <c r="M356" s="94">
        <v>-4</v>
      </c>
      <c r="N356" s="94">
        <v>-5</v>
      </c>
      <c r="O356" s="94" t="s">
        <v>210</v>
      </c>
      <c r="P356" s="94" t="s">
        <v>210</v>
      </c>
      <c r="Q356" s="94">
        <v>-7</v>
      </c>
      <c r="R356" s="94">
        <v>5</v>
      </c>
      <c r="S356" s="94" t="s">
        <v>210</v>
      </c>
      <c r="T356" s="94" t="s">
        <v>210</v>
      </c>
      <c r="U356" s="94">
        <v>1</v>
      </c>
      <c r="V356" s="94">
        <v>4</v>
      </c>
      <c r="W356" s="94" t="s">
        <v>210</v>
      </c>
      <c r="X356" s="94" t="s">
        <v>210</v>
      </c>
      <c r="Y356" s="94">
        <v>-3</v>
      </c>
      <c r="Z356" s="94">
        <v>-6</v>
      </c>
      <c r="AA356" s="94" t="s">
        <v>210</v>
      </c>
      <c r="AB356" s="94" t="s">
        <v>210</v>
      </c>
      <c r="AC356" s="94">
        <v>-2</v>
      </c>
      <c r="AD356" s="94">
        <v>7</v>
      </c>
      <c r="AE356" s="94" t="s">
        <v>210</v>
      </c>
      <c r="AF356" s="94"/>
      <c r="AG356" s="94"/>
      <c r="AH356" s="94"/>
      <c r="AI356" s="94"/>
      <c r="AJ356" s="94"/>
      <c r="AK356" s="94"/>
      <c r="AL356" s="94"/>
      <c r="AM356" s="94"/>
      <c r="AN356" s="94"/>
      <c r="AO356" s="94"/>
      <c r="AP356" s="94"/>
      <c r="AQ356" s="94"/>
      <c r="AR356" s="94"/>
      <c r="AS356" s="94"/>
      <c r="AT356" s="94"/>
      <c r="AU356" s="94"/>
      <c r="AV356" s="94"/>
      <c r="AW356" s="94"/>
      <c r="AX356" s="94"/>
      <c r="AY356" s="94"/>
      <c r="BA356" s="95"/>
    </row>
    <row r="357" spans="1:53" s="87" customFormat="1">
      <c r="A357" s="90" t="str">
        <f t="shared" si="30"/>
        <v/>
      </c>
      <c r="B357" s="98">
        <v>13</v>
      </c>
      <c r="C357" s="94">
        <v>1</v>
      </c>
      <c r="D357" s="94" t="s">
        <v>210</v>
      </c>
      <c r="E357" s="94">
        <v>6</v>
      </c>
      <c r="F357" s="94">
        <v>-5</v>
      </c>
      <c r="G357" s="94" t="s">
        <v>210</v>
      </c>
      <c r="H357" s="94" t="s">
        <v>210</v>
      </c>
      <c r="I357" s="94">
        <v>3</v>
      </c>
      <c r="J357" s="94">
        <v>-7</v>
      </c>
      <c r="K357" s="94" t="s">
        <v>210</v>
      </c>
      <c r="L357" s="94" t="s">
        <v>210</v>
      </c>
      <c r="M357" s="94">
        <v>4</v>
      </c>
      <c r="N357" s="94">
        <v>2</v>
      </c>
      <c r="O357" s="94" t="s">
        <v>210</v>
      </c>
      <c r="P357" s="94" t="s">
        <v>210</v>
      </c>
      <c r="Q357" s="94" t="s">
        <v>202</v>
      </c>
      <c r="R357" s="94">
        <v>-6</v>
      </c>
      <c r="S357" s="94" t="s">
        <v>210</v>
      </c>
      <c r="T357" s="94" t="s">
        <v>210</v>
      </c>
      <c r="U357" s="94">
        <v>5</v>
      </c>
      <c r="V357" s="94">
        <v>-3</v>
      </c>
      <c r="W357" s="94" t="s">
        <v>210</v>
      </c>
      <c r="X357" s="94" t="s">
        <v>210</v>
      </c>
      <c r="Y357" s="94">
        <v>7</v>
      </c>
      <c r="Z357" s="94">
        <v>-2</v>
      </c>
      <c r="AA357" s="94" t="s">
        <v>210</v>
      </c>
      <c r="AB357" s="94" t="s">
        <v>210</v>
      </c>
      <c r="AC357" s="94">
        <v>-4</v>
      </c>
      <c r="AD357" s="94">
        <v>-1</v>
      </c>
      <c r="AE357" s="94" t="s">
        <v>210</v>
      </c>
      <c r="AF357" s="94"/>
      <c r="AG357" s="94"/>
      <c r="AH357" s="94"/>
      <c r="AI357" s="94"/>
      <c r="AJ357" s="94"/>
      <c r="AK357" s="94"/>
      <c r="AL357" s="94"/>
      <c r="AM357" s="94"/>
      <c r="AN357" s="94"/>
      <c r="AO357" s="94"/>
      <c r="AP357" s="94"/>
      <c r="AQ357" s="94"/>
      <c r="AR357" s="94"/>
      <c r="AS357" s="94"/>
      <c r="AT357" s="94"/>
      <c r="AU357" s="94"/>
      <c r="AV357" s="94"/>
      <c r="AW357" s="94"/>
      <c r="AX357" s="94"/>
      <c r="AY357" s="94"/>
      <c r="BA357" s="95"/>
    </row>
    <row r="358" spans="1:53" s="87" customFormat="1">
      <c r="A358" s="90" t="str">
        <f t="shared" si="30"/>
        <v/>
      </c>
      <c r="B358" s="98">
        <v>14</v>
      </c>
      <c r="C358" s="94">
        <v>-6</v>
      </c>
      <c r="D358" s="94" t="s">
        <v>210</v>
      </c>
      <c r="E358" s="94">
        <v>-5</v>
      </c>
      <c r="F358" s="94">
        <v>4</v>
      </c>
      <c r="G358" s="94" t="s">
        <v>210</v>
      </c>
      <c r="H358" s="94" t="s">
        <v>210</v>
      </c>
      <c r="I358" s="94">
        <v>7</v>
      </c>
      <c r="J358" s="94">
        <v>3</v>
      </c>
      <c r="K358" s="94" t="s">
        <v>210</v>
      </c>
      <c r="L358" s="94" t="s">
        <v>210</v>
      </c>
      <c r="M358" s="94">
        <v>-2</v>
      </c>
      <c r="N358" s="94">
        <v>-1</v>
      </c>
      <c r="O358" s="94" t="s">
        <v>210</v>
      </c>
      <c r="P358" s="94" t="s">
        <v>210</v>
      </c>
      <c r="Q358" s="94">
        <v>5</v>
      </c>
      <c r="R358" s="94">
        <v>-4</v>
      </c>
      <c r="S358" s="94" t="s">
        <v>210</v>
      </c>
      <c r="T358" s="94" t="s">
        <v>210</v>
      </c>
      <c r="U358" s="94">
        <v>-3</v>
      </c>
      <c r="V358" s="94">
        <v>-7</v>
      </c>
      <c r="W358" s="94" t="s">
        <v>210</v>
      </c>
      <c r="X358" s="94" t="s">
        <v>210</v>
      </c>
      <c r="Y358" s="94">
        <v>2</v>
      </c>
      <c r="Z358" s="94">
        <v>6</v>
      </c>
      <c r="AA358" s="94" t="s">
        <v>210</v>
      </c>
      <c r="AB358" s="94" t="s">
        <v>210</v>
      </c>
      <c r="AC358" s="94" t="s">
        <v>202</v>
      </c>
      <c r="AD358" s="94">
        <v>1</v>
      </c>
      <c r="AE358" s="94" t="s">
        <v>210</v>
      </c>
      <c r="AF358" s="94"/>
      <c r="AG358" s="94"/>
      <c r="AH358" s="94"/>
      <c r="AI358" s="94"/>
      <c r="AJ358" s="94"/>
      <c r="AK358" s="94"/>
      <c r="AL358" s="94"/>
      <c r="AM358" s="94"/>
      <c r="AN358" s="94"/>
      <c r="AO358" s="94"/>
      <c r="AP358" s="94"/>
      <c r="AQ358" s="94"/>
      <c r="AR358" s="94"/>
      <c r="AS358" s="94"/>
      <c r="AT358" s="94"/>
      <c r="AU358" s="94"/>
      <c r="AV358" s="94"/>
      <c r="AW358" s="94"/>
      <c r="AX358" s="94"/>
      <c r="AY358" s="94"/>
      <c r="BA358" s="95"/>
    </row>
    <row r="359" spans="1:53" s="87" customFormat="1">
      <c r="A359" s="90" t="str">
        <f t="shared" si="30"/>
        <v/>
      </c>
      <c r="B359" s="99">
        <v>15</v>
      </c>
      <c r="C359" s="92">
        <v>-2</v>
      </c>
      <c r="D359" s="92" t="s">
        <v>210</v>
      </c>
      <c r="E359" s="92">
        <v>-7</v>
      </c>
      <c r="F359" s="92">
        <v>-6</v>
      </c>
      <c r="G359" s="92" t="s">
        <v>210</v>
      </c>
      <c r="H359" s="92" t="s">
        <v>210</v>
      </c>
      <c r="I359" s="92">
        <v>5</v>
      </c>
      <c r="J359" s="92">
        <v>4</v>
      </c>
      <c r="K359" s="92" t="s">
        <v>210</v>
      </c>
      <c r="L359" s="92" t="s">
        <v>210</v>
      </c>
      <c r="M359" s="92">
        <v>-3</v>
      </c>
      <c r="N359" s="92">
        <v>1</v>
      </c>
      <c r="O359" s="92" t="s">
        <v>210</v>
      </c>
      <c r="P359" s="92" t="s">
        <v>210</v>
      </c>
      <c r="Q359" s="92">
        <v>-4</v>
      </c>
      <c r="R359" s="92">
        <v>7</v>
      </c>
      <c r="S359" s="92" t="s">
        <v>210</v>
      </c>
      <c r="T359" s="92" t="s">
        <v>210</v>
      </c>
      <c r="U359" s="92">
        <v>6</v>
      </c>
      <c r="V359" s="92">
        <v>3</v>
      </c>
      <c r="W359" s="92" t="s">
        <v>210</v>
      </c>
      <c r="X359" s="92" t="s">
        <v>210</v>
      </c>
      <c r="Y359" s="92">
        <v>-1</v>
      </c>
      <c r="Z359" s="92">
        <v>-5</v>
      </c>
      <c r="AA359" s="92" t="s">
        <v>210</v>
      </c>
      <c r="AB359" s="92" t="s">
        <v>210</v>
      </c>
      <c r="AC359" s="92">
        <v>2</v>
      </c>
      <c r="AD359" s="92" t="s">
        <v>202</v>
      </c>
      <c r="AE359" s="92" t="s">
        <v>210</v>
      </c>
      <c r="AF359" s="94"/>
      <c r="AG359" s="94"/>
      <c r="AH359" s="94"/>
      <c r="AI359" s="94"/>
      <c r="AJ359" s="94"/>
      <c r="AK359" s="94"/>
      <c r="AL359" s="94"/>
      <c r="AM359" s="94"/>
      <c r="AN359" s="94"/>
      <c r="AO359" s="94"/>
      <c r="AP359" s="94"/>
      <c r="AQ359" s="94"/>
      <c r="AR359" s="94"/>
      <c r="AS359" s="94"/>
      <c r="AT359" s="94"/>
      <c r="AU359" s="94"/>
      <c r="AV359" s="94"/>
      <c r="AW359" s="94"/>
      <c r="AX359" s="94"/>
      <c r="AY359" s="94"/>
      <c r="BA359" s="95"/>
    </row>
    <row r="360" spans="1:53" s="87" customFormat="1">
      <c r="A360" s="90" t="str">
        <f t="shared" si="30"/>
        <v/>
      </c>
      <c r="B360" s="98">
        <v>16</v>
      </c>
      <c r="C360" s="94" t="s">
        <v>250</v>
      </c>
      <c r="D360" s="94">
        <v>1</v>
      </c>
      <c r="E360" s="94" t="s">
        <v>210</v>
      </c>
      <c r="F360" s="94" t="s">
        <v>210</v>
      </c>
      <c r="G360" s="94">
        <v>-5</v>
      </c>
      <c r="H360" s="94">
        <v>-6</v>
      </c>
      <c r="I360" s="94" t="s">
        <v>210</v>
      </c>
      <c r="J360" s="94" t="s">
        <v>210</v>
      </c>
      <c r="K360" s="94">
        <v>2</v>
      </c>
      <c r="L360" s="94">
        <v>3</v>
      </c>
      <c r="M360" s="94" t="s">
        <v>210</v>
      </c>
      <c r="N360" s="94" t="s">
        <v>210</v>
      </c>
      <c r="O360" s="94">
        <v>7</v>
      </c>
      <c r="P360" s="94">
        <v>4</v>
      </c>
      <c r="Q360" s="94" t="s">
        <v>210</v>
      </c>
      <c r="R360" s="94" t="s">
        <v>210</v>
      </c>
      <c r="S360" s="94">
        <v>-2</v>
      </c>
      <c r="T360" s="94">
        <v>5</v>
      </c>
      <c r="U360" s="94" t="s">
        <v>210</v>
      </c>
      <c r="V360" s="94" t="s">
        <v>210</v>
      </c>
      <c r="W360" s="94">
        <v>-1</v>
      </c>
      <c r="X360" s="94">
        <v>6</v>
      </c>
      <c r="Y360" s="94" t="s">
        <v>210</v>
      </c>
      <c r="Z360" s="94" t="s">
        <v>210</v>
      </c>
      <c r="AA360" s="94">
        <v>-7</v>
      </c>
      <c r="AB360" s="94">
        <v>-3</v>
      </c>
      <c r="AC360" s="94" t="s">
        <v>210</v>
      </c>
      <c r="AD360" s="94" t="s">
        <v>210</v>
      </c>
      <c r="AE360" s="94">
        <v>-4</v>
      </c>
      <c r="AF360" s="94"/>
      <c r="AG360" s="94"/>
      <c r="AH360" s="94"/>
      <c r="AI360" s="94"/>
      <c r="AJ360" s="94"/>
      <c r="AK360" s="94"/>
      <c r="AL360" s="94"/>
      <c r="AM360" s="94"/>
      <c r="AN360" s="94"/>
      <c r="AO360" s="94"/>
      <c r="AP360" s="94"/>
      <c r="AQ360" s="94"/>
      <c r="AR360" s="94"/>
      <c r="AS360" s="94"/>
      <c r="AT360" s="94"/>
      <c r="AU360" s="94"/>
      <c r="AV360" s="94"/>
      <c r="AW360" s="94"/>
      <c r="AX360" s="94"/>
      <c r="AY360" s="94"/>
      <c r="BA360" s="95"/>
    </row>
    <row r="361" spans="1:53" s="87" customFormat="1">
      <c r="A361" s="90" t="str">
        <f t="shared" si="30"/>
        <v/>
      </c>
      <c r="B361" s="98">
        <v>17</v>
      </c>
      <c r="C361" s="94" t="s">
        <v>250</v>
      </c>
      <c r="D361" s="94">
        <v>-2</v>
      </c>
      <c r="E361" s="94" t="s">
        <v>210</v>
      </c>
      <c r="F361" s="94" t="s">
        <v>210</v>
      </c>
      <c r="G361" s="94">
        <v>7</v>
      </c>
      <c r="H361" s="94">
        <v>-3</v>
      </c>
      <c r="I361" s="94" t="s">
        <v>210</v>
      </c>
      <c r="J361" s="94" t="s">
        <v>210</v>
      </c>
      <c r="K361" s="94">
        <v>-4</v>
      </c>
      <c r="L361" s="94">
        <v>5</v>
      </c>
      <c r="M361" s="94" t="s">
        <v>210</v>
      </c>
      <c r="N361" s="94" t="s">
        <v>210</v>
      </c>
      <c r="O361" s="94">
        <v>-1</v>
      </c>
      <c r="P361" s="94">
        <v>6</v>
      </c>
      <c r="Q361" s="94" t="s">
        <v>210</v>
      </c>
      <c r="R361" s="94" t="s">
        <v>210</v>
      </c>
      <c r="S361" s="94">
        <v>-5</v>
      </c>
      <c r="T361" s="94">
        <v>1</v>
      </c>
      <c r="U361" s="94" t="s">
        <v>210</v>
      </c>
      <c r="V361" s="94" t="s">
        <v>210</v>
      </c>
      <c r="W361" s="94">
        <v>3</v>
      </c>
      <c r="X361" s="94">
        <v>-7</v>
      </c>
      <c r="Y361" s="94" t="s">
        <v>210</v>
      </c>
      <c r="Z361" s="94" t="s">
        <v>210</v>
      </c>
      <c r="AA361" s="94">
        <v>2</v>
      </c>
      <c r="AB361" s="94">
        <v>-6</v>
      </c>
      <c r="AC361" s="94" t="s">
        <v>210</v>
      </c>
      <c r="AD361" s="94" t="s">
        <v>210</v>
      </c>
      <c r="AE361" s="94">
        <v>4</v>
      </c>
      <c r="AF361" s="94"/>
      <c r="AG361" s="94"/>
      <c r="AH361" s="94"/>
      <c r="AI361" s="94"/>
      <c r="AJ361" s="94"/>
      <c r="AK361" s="94"/>
      <c r="AL361" s="94"/>
      <c r="AM361" s="94"/>
      <c r="AN361" s="94"/>
      <c r="AO361" s="94"/>
      <c r="AP361" s="94"/>
      <c r="AQ361" s="94"/>
      <c r="AR361" s="94"/>
      <c r="AS361" s="94"/>
      <c r="AT361" s="94"/>
      <c r="AU361" s="94"/>
      <c r="AV361" s="94"/>
      <c r="AW361" s="94"/>
      <c r="AX361" s="94"/>
      <c r="AY361" s="94"/>
      <c r="BA361" s="95"/>
    </row>
    <row r="362" spans="1:53" s="87" customFormat="1">
      <c r="A362" s="90" t="str">
        <f t="shared" si="30"/>
        <v/>
      </c>
      <c r="B362" s="98">
        <v>18</v>
      </c>
      <c r="C362" s="94" t="s">
        <v>250</v>
      </c>
      <c r="D362" s="94">
        <v>-7</v>
      </c>
      <c r="E362" s="94" t="s">
        <v>210</v>
      </c>
      <c r="F362" s="94" t="s">
        <v>210</v>
      </c>
      <c r="G362" s="94">
        <v>3</v>
      </c>
      <c r="H362" s="94">
        <v>1</v>
      </c>
      <c r="I362" s="94" t="s">
        <v>210</v>
      </c>
      <c r="J362" s="94" t="s">
        <v>210</v>
      </c>
      <c r="K362" s="94">
        <v>-6</v>
      </c>
      <c r="L362" s="94">
        <v>4</v>
      </c>
      <c r="M362" s="94" t="s">
        <v>210</v>
      </c>
      <c r="N362" s="94" t="s">
        <v>210</v>
      </c>
      <c r="O362" s="94">
        <v>2</v>
      </c>
      <c r="P362" s="94">
        <v>5</v>
      </c>
      <c r="Q362" s="94" t="s">
        <v>210</v>
      </c>
      <c r="R362" s="94" t="s">
        <v>210</v>
      </c>
      <c r="S362" s="94">
        <v>-1</v>
      </c>
      <c r="T362" s="94">
        <v>-4</v>
      </c>
      <c r="U362" s="94" t="s">
        <v>210</v>
      </c>
      <c r="V362" s="94" t="s">
        <v>210</v>
      </c>
      <c r="W362" s="94">
        <v>-2</v>
      </c>
      <c r="X362" s="94">
        <v>-3</v>
      </c>
      <c r="Y362" s="94" t="s">
        <v>210</v>
      </c>
      <c r="Z362" s="94" t="s">
        <v>210</v>
      </c>
      <c r="AA362" s="94">
        <v>7</v>
      </c>
      <c r="AB362" s="94">
        <v>6</v>
      </c>
      <c r="AC362" s="94" t="s">
        <v>210</v>
      </c>
      <c r="AD362" s="94" t="s">
        <v>210</v>
      </c>
      <c r="AE362" s="94">
        <v>-5</v>
      </c>
      <c r="AF362" s="94"/>
      <c r="AG362" s="94"/>
      <c r="AH362" s="94"/>
      <c r="AI362" s="94"/>
      <c r="AJ362" s="94"/>
      <c r="AK362" s="94"/>
      <c r="AL362" s="94"/>
      <c r="AM362" s="94"/>
      <c r="AN362" s="94"/>
      <c r="AO362" s="94"/>
      <c r="AP362" s="94"/>
      <c r="AQ362" s="94"/>
      <c r="AR362" s="94"/>
      <c r="AS362" s="94"/>
      <c r="AT362" s="94"/>
      <c r="AU362" s="94"/>
      <c r="AV362" s="94"/>
      <c r="AW362" s="94"/>
      <c r="AX362" s="94"/>
      <c r="AY362" s="94"/>
      <c r="BA362" s="95"/>
    </row>
    <row r="363" spans="1:53" s="87" customFormat="1">
      <c r="A363" s="90" t="str">
        <f t="shared" si="30"/>
        <v/>
      </c>
      <c r="B363" s="98">
        <v>18</v>
      </c>
      <c r="C363" s="94" t="s">
        <v>250</v>
      </c>
      <c r="D363" s="94">
        <v>6</v>
      </c>
      <c r="E363" s="94" t="s">
        <v>210</v>
      </c>
      <c r="F363" s="94" t="s">
        <v>210</v>
      </c>
      <c r="G363" s="94">
        <v>-4</v>
      </c>
      <c r="H363" s="94">
        <v>2</v>
      </c>
      <c r="I363" s="94" t="s">
        <v>210</v>
      </c>
      <c r="J363" s="94" t="s">
        <v>210</v>
      </c>
      <c r="K363" s="94">
        <v>-5</v>
      </c>
      <c r="L363" s="94">
        <v>-7</v>
      </c>
      <c r="M363" s="94" t="s">
        <v>210</v>
      </c>
      <c r="N363" s="94" t="s">
        <v>210</v>
      </c>
      <c r="O363" s="94">
        <v>-3</v>
      </c>
      <c r="P363" s="94">
        <v>-1</v>
      </c>
      <c r="Q363" s="94" t="s">
        <v>210</v>
      </c>
      <c r="R363" s="94" t="s">
        <v>210</v>
      </c>
      <c r="S363" s="94">
        <v>4</v>
      </c>
      <c r="T363" s="94">
        <v>7</v>
      </c>
      <c r="U363" s="94" t="s">
        <v>210</v>
      </c>
      <c r="V363" s="94" t="s">
        <v>210</v>
      </c>
      <c r="W363" s="94">
        <v>-6</v>
      </c>
      <c r="X363" s="94">
        <v>1</v>
      </c>
      <c r="Y363" s="94" t="s">
        <v>210</v>
      </c>
      <c r="Z363" s="94" t="s">
        <v>210</v>
      </c>
      <c r="AA363" s="94">
        <v>-2</v>
      </c>
      <c r="AB363" s="94">
        <v>3</v>
      </c>
      <c r="AC363" s="94" t="s">
        <v>210</v>
      </c>
      <c r="AD363" s="94" t="s">
        <v>210</v>
      </c>
      <c r="AE363" s="94">
        <v>5</v>
      </c>
      <c r="AF363" s="94"/>
      <c r="AG363" s="94"/>
      <c r="AH363" s="94"/>
      <c r="AI363" s="94"/>
      <c r="AJ363" s="94"/>
      <c r="AK363" s="94"/>
      <c r="AL363" s="94"/>
      <c r="AM363" s="94"/>
      <c r="AN363" s="94"/>
      <c r="AO363" s="94"/>
      <c r="AP363" s="94"/>
      <c r="AQ363" s="94"/>
      <c r="AR363" s="94"/>
      <c r="AS363" s="94"/>
      <c r="AT363" s="94"/>
      <c r="AU363" s="94"/>
      <c r="AV363" s="94"/>
      <c r="AW363" s="94"/>
      <c r="AX363" s="94"/>
      <c r="AY363" s="94"/>
      <c r="BA363" s="95"/>
    </row>
    <row r="364" spans="1:53" s="87" customFormat="1">
      <c r="A364" s="90" t="str">
        <f t="shared" si="30"/>
        <v/>
      </c>
      <c r="B364" s="98">
        <v>20</v>
      </c>
      <c r="C364" s="94" t="s">
        <v>250</v>
      </c>
      <c r="D364" s="94">
        <v>7</v>
      </c>
      <c r="E364" s="94" t="s">
        <v>210</v>
      </c>
      <c r="F364" s="94" t="s">
        <v>210</v>
      </c>
      <c r="G364" s="94">
        <v>-6</v>
      </c>
      <c r="H364" s="94">
        <v>-1</v>
      </c>
      <c r="I364" s="94" t="s">
        <v>210</v>
      </c>
      <c r="J364" s="94" t="s">
        <v>210</v>
      </c>
      <c r="K364" s="94">
        <v>4</v>
      </c>
      <c r="L364" s="94">
        <v>-3</v>
      </c>
      <c r="M364" s="94" t="s">
        <v>210</v>
      </c>
      <c r="N364" s="94" t="s">
        <v>210</v>
      </c>
      <c r="O364" s="94">
        <v>-5</v>
      </c>
      <c r="P364" s="94">
        <v>-2</v>
      </c>
      <c r="Q364" s="94" t="s">
        <v>210</v>
      </c>
      <c r="R364" s="94" t="s">
        <v>210</v>
      </c>
      <c r="S364" s="94">
        <v>-4</v>
      </c>
      <c r="T364" s="94">
        <v>6</v>
      </c>
      <c r="U364" s="94" t="s">
        <v>210</v>
      </c>
      <c r="V364" s="94" t="s">
        <v>210</v>
      </c>
      <c r="W364" s="94">
        <v>-7</v>
      </c>
      <c r="X364" s="94">
        <v>2</v>
      </c>
      <c r="Y364" s="94" t="s">
        <v>210</v>
      </c>
      <c r="Z364" s="94" t="s">
        <v>210</v>
      </c>
      <c r="AA364" s="94">
        <v>5</v>
      </c>
      <c r="AB364" s="94">
        <v>1</v>
      </c>
      <c r="AC364" s="94" t="s">
        <v>210</v>
      </c>
      <c r="AD364" s="94" t="s">
        <v>210</v>
      </c>
      <c r="AE364" s="94">
        <v>3</v>
      </c>
      <c r="AF364" s="94"/>
      <c r="AG364" s="94"/>
      <c r="AH364" s="94"/>
      <c r="AI364" s="94"/>
      <c r="AJ364" s="94"/>
      <c r="AK364" s="94"/>
      <c r="AL364" s="94"/>
      <c r="AM364" s="94"/>
      <c r="AN364" s="94"/>
      <c r="AO364" s="94"/>
      <c r="AP364" s="94"/>
      <c r="AQ364" s="94"/>
      <c r="AR364" s="94"/>
      <c r="AS364" s="94"/>
      <c r="AT364" s="94"/>
      <c r="AU364" s="94"/>
      <c r="AV364" s="94"/>
      <c r="AW364" s="94"/>
      <c r="AX364" s="94"/>
      <c r="AY364" s="94"/>
      <c r="BA364" s="95"/>
    </row>
    <row r="365" spans="1:53" s="87" customFormat="1">
      <c r="A365" s="90" t="str">
        <f t="shared" si="30"/>
        <v/>
      </c>
      <c r="B365" s="98">
        <v>21</v>
      </c>
      <c r="C365" s="94" t="s">
        <v>250</v>
      </c>
      <c r="D365" s="94">
        <v>-4</v>
      </c>
      <c r="E365" s="94" t="s">
        <v>210</v>
      </c>
      <c r="F365" s="94" t="s">
        <v>210</v>
      </c>
      <c r="G365" s="94">
        <v>-7</v>
      </c>
      <c r="H365" s="94">
        <v>5</v>
      </c>
      <c r="I365" s="94" t="s">
        <v>210</v>
      </c>
      <c r="J365" s="94" t="s">
        <v>210</v>
      </c>
      <c r="K365" s="94">
        <v>-2</v>
      </c>
      <c r="L365" s="94">
        <v>-1</v>
      </c>
      <c r="M365" s="94" t="s">
        <v>210</v>
      </c>
      <c r="N365" s="94" t="s">
        <v>210</v>
      </c>
      <c r="O365" s="94">
        <v>-6</v>
      </c>
      <c r="P365" s="94">
        <v>3</v>
      </c>
      <c r="Q365" s="94" t="s">
        <v>210</v>
      </c>
      <c r="R365" s="94" t="s">
        <v>210</v>
      </c>
      <c r="S365" s="94">
        <v>1</v>
      </c>
      <c r="T365" s="94">
        <v>2</v>
      </c>
      <c r="U365" s="94" t="s">
        <v>210</v>
      </c>
      <c r="V365" s="94" t="s">
        <v>210</v>
      </c>
      <c r="W365" s="94">
        <v>6</v>
      </c>
      <c r="X365" s="94">
        <v>-5</v>
      </c>
      <c r="Y365" s="94" t="s">
        <v>210</v>
      </c>
      <c r="Z365" s="94" t="s">
        <v>210</v>
      </c>
      <c r="AA365" s="94">
        <v>4</v>
      </c>
      <c r="AB365" s="94">
        <v>7</v>
      </c>
      <c r="AC365" s="94" t="s">
        <v>210</v>
      </c>
      <c r="AD365" s="94" t="s">
        <v>210</v>
      </c>
      <c r="AE365" s="94">
        <v>-3</v>
      </c>
      <c r="AF365" s="94"/>
      <c r="AG365" s="94"/>
      <c r="AH365" s="94"/>
      <c r="AI365" s="94"/>
      <c r="AJ365" s="94"/>
      <c r="AK365" s="94"/>
      <c r="AL365" s="94"/>
      <c r="AM365" s="94"/>
      <c r="AN365" s="94"/>
      <c r="AO365" s="94"/>
      <c r="AP365" s="94"/>
      <c r="AQ365" s="94"/>
      <c r="AR365" s="94"/>
      <c r="AS365" s="94"/>
      <c r="AT365" s="94"/>
      <c r="AU365" s="94"/>
      <c r="AV365" s="94"/>
      <c r="AW365" s="94"/>
      <c r="AX365" s="94"/>
      <c r="AY365" s="94"/>
      <c r="BA365" s="95"/>
    </row>
    <row r="366" spans="1:53" s="87" customFormat="1">
      <c r="A366" s="90" t="str">
        <f t="shared" si="30"/>
        <v/>
      </c>
      <c r="B366" s="98">
        <v>22</v>
      </c>
      <c r="C366" s="94" t="s">
        <v>250</v>
      </c>
      <c r="D366" s="94">
        <v>4</v>
      </c>
      <c r="E366" s="94" t="s">
        <v>210</v>
      </c>
      <c r="F366" s="94" t="s">
        <v>210</v>
      </c>
      <c r="G366" s="94">
        <v>-2</v>
      </c>
      <c r="H366" s="94">
        <v>7</v>
      </c>
      <c r="I366" s="94" t="s">
        <v>210</v>
      </c>
      <c r="J366" s="94" t="s">
        <v>210</v>
      </c>
      <c r="K366" s="94">
        <v>-3</v>
      </c>
      <c r="L366" s="94">
        <v>1</v>
      </c>
      <c r="M366" s="94" t="s">
        <v>210</v>
      </c>
      <c r="N366" s="94" t="s">
        <v>210</v>
      </c>
      <c r="O366" s="94">
        <v>5</v>
      </c>
      <c r="P366" s="94">
        <v>-6</v>
      </c>
      <c r="Q366" s="94" t="s">
        <v>210</v>
      </c>
      <c r="R366" s="94" t="s">
        <v>210</v>
      </c>
      <c r="S366" s="94">
        <v>2</v>
      </c>
      <c r="T366" s="94">
        <v>-7</v>
      </c>
      <c r="U366" s="94" t="s">
        <v>210</v>
      </c>
      <c r="V366" s="94" t="s">
        <v>210</v>
      </c>
      <c r="W366" s="94">
        <v>-4</v>
      </c>
      <c r="X366" s="94">
        <v>3</v>
      </c>
      <c r="Y366" s="94" t="s">
        <v>210</v>
      </c>
      <c r="Z366" s="94" t="s">
        <v>210</v>
      </c>
      <c r="AA366" s="94">
        <v>-1</v>
      </c>
      <c r="AB366" s="94">
        <v>-5</v>
      </c>
      <c r="AC366" s="94" t="s">
        <v>210</v>
      </c>
      <c r="AD366" s="94" t="s">
        <v>210</v>
      </c>
      <c r="AE366" s="94">
        <v>6</v>
      </c>
      <c r="AF366" s="94"/>
      <c r="AG366" s="94"/>
      <c r="AH366" s="94"/>
      <c r="AI366" s="94"/>
      <c r="AJ366" s="94"/>
      <c r="AK366" s="94"/>
      <c r="AL366" s="94"/>
      <c r="AM366" s="94"/>
      <c r="AN366" s="94"/>
      <c r="AO366" s="94"/>
      <c r="AP366" s="94"/>
      <c r="AQ366" s="94"/>
      <c r="AR366" s="94"/>
      <c r="AS366" s="94"/>
      <c r="AT366" s="94"/>
      <c r="AU366" s="94"/>
      <c r="AV366" s="94"/>
      <c r="AW366" s="94"/>
      <c r="AX366" s="94"/>
      <c r="AY366" s="94"/>
      <c r="BA366" s="95"/>
    </row>
    <row r="367" spans="1:53" s="87" customFormat="1">
      <c r="A367" s="90" t="str">
        <f t="shared" si="30"/>
        <v/>
      </c>
      <c r="B367" s="98">
        <v>23</v>
      </c>
      <c r="C367" s="94" t="s">
        <v>250</v>
      </c>
      <c r="D367" s="94">
        <v>5</v>
      </c>
      <c r="E367" s="94" t="s">
        <v>210</v>
      </c>
      <c r="F367" s="94" t="s">
        <v>210</v>
      </c>
      <c r="G367" s="94">
        <v>6</v>
      </c>
      <c r="H367" s="94">
        <v>4</v>
      </c>
      <c r="I367" s="94" t="s">
        <v>210</v>
      </c>
      <c r="J367" s="94" t="s">
        <v>210</v>
      </c>
      <c r="K367" s="94">
        <v>-7</v>
      </c>
      <c r="L367" s="94">
        <v>-2</v>
      </c>
      <c r="M367" s="94" t="s">
        <v>210</v>
      </c>
      <c r="N367" s="94" t="s">
        <v>210</v>
      </c>
      <c r="O367" s="94">
        <v>1</v>
      </c>
      <c r="P367" s="94">
        <v>-3</v>
      </c>
      <c r="Q367" s="94" t="s">
        <v>210</v>
      </c>
      <c r="R367" s="94" t="s">
        <v>210</v>
      </c>
      <c r="S367" s="94">
        <v>7</v>
      </c>
      <c r="T367" s="94">
        <v>-5</v>
      </c>
      <c r="U367" s="94" t="s">
        <v>210</v>
      </c>
      <c r="V367" s="94" t="s">
        <v>210</v>
      </c>
      <c r="W367" s="94">
        <v>2</v>
      </c>
      <c r="X367" s="94">
        <v>-1</v>
      </c>
      <c r="Y367" s="94" t="s">
        <v>210</v>
      </c>
      <c r="Z367" s="94" t="s">
        <v>210</v>
      </c>
      <c r="AA367" s="94">
        <v>3</v>
      </c>
      <c r="AB367" s="94">
        <v>-4</v>
      </c>
      <c r="AC367" s="94" t="s">
        <v>210</v>
      </c>
      <c r="AD367" s="94" t="s">
        <v>210</v>
      </c>
      <c r="AE367" s="94">
        <v>-6</v>
      </c>
      <c r="AF367" s="94"/>
      <c r="AG367" s="94"/>
      <c r="AH367" s="94"/>
      <c r="AI367" s="94"/>
      <c r="AJ367" s="94"/>
      <c r="AK367" s="94"/>
      <c r="AL367" s="94"/>
      <c r="AM367" s="94"/>
      <c r="AN367" s="94"/>
      <c r="AO367" s="94"/>
      <c r="AP367" s="94"/>
      <c r="AQ367" s="94"/>
      <c r="AR367" s="94"/>
      <c r="AS367" s="94"/>
      <c r="AT367" s="94"/>
      <c r="AU367" s="94"/>
      <c r="AV367" s="94"/>
      <c r="AW367" s="94"/>
      <c r="AX367" s="94"/>
      <c r="AY367" s="94"/>
      <c r="BA367" s="95"/>
    </row>
    <row r="368" spans="1:53" s="87" customFormat="1">
      <c r="A368" s="90" t="str">
        <f t="shared" si="30"/>
        <v/>
      </c>
      <c r="B368" s="98">
        <v>24</v>
      </c>
      <c r="C368" s="94" t="s">
        <v>250</v>
      </c>
      <c r="D368" s="94">
        <v>-3</v>
      </c>
      <c r="E368" s="94" t="s">
        <v>210</v>
      </c>
      <c r="F368" s="94" t="s">
        <v>210</v>
      </c>
      <c r="G368" s="94">
        <v>5</v>
      </c>
      <c r="H368" s="94">
        <v>-7</v>
      </c>
      <c r="I368" s="94" t="s">
        <v>210</v>
      </c>
      <c r="J368" s="94" t="s">
        <v>210</v>
      </c>
      <c r="K368" s="94">
        <v>6</v>
      </c>
      <c r="L368" s="94">
        <v>2</v>
      </c>
      <c r="M368" s="94" t="s">
        <v>210</v>
      </c>
      <c r="N368" s="94" t="s">
        <v>210</v>
      </c>
      <c r="O368" s="94">
        <v>4</v>
      </c>
      <c r="P368" s="94">
        <v>1</v>
      </c>
      <c r="Q368" s="94" t="s">
        <v>210</v>
      </c>
      <c r="R368" s="94" t="s">
        <v>210</v>
      </c>
      <c r="S368" s="94">
        <v>-6</v>
      </c>
      <c r="T368" s="94">
        <v>3</v>
      </c>
      <c r="U368" s="94" t="s">
        <v>210</v>
      </c>
      <c r="V368" s="94" t="s">
        <v>210</v>
      </c>
      <c r="W368" s="94">
        <v>-5</v>
      </c>
      <c r="X368" s="94">
        <v>7</v>
      </c>
      <c r="Y368" s="94" t="s">
        <v>210</v>
      </c>
      <c r="Z368" s="94" t="s">
        <v>210</v>
      </c>
      <c r="AA368" s="94">
        <v>-4</v>
      </c>
      <c r="AB368" s="94">
        <v>-1</v>
      </c>
      <c r="AC368" s="94" t="s">
        <v>210</v>
      </c>
      <c r="AD368" s="94" t="s">
        <v>210</v>
      </c>
      <c r="AE368" s="94">
        <v>-2</v>
      </c>
      <c r="AF368" s="94"/>
      <c r="AG368" s="94"/>
      <c r="AH368" s="94"/>
      <c r="AI368" s="94"/>
      <c r="AJ368" s="94"/>
      <c r="AK368" s="94"/>
      <c r="AL368" s="94"/>
      <c r="AM368" s="94"/>
      <c r="AN368" s="94"/>
      <c r="AO368" s="94"/>
      <c r="AP368" s="94"/>
      <c r="AQ368" s="94"/>
      <c r="AR368" s="94"/>
      <c r="AS368" s="94"/>
      <c r="AT368" s="94"/>
      <c r="AU368" s="94"/>
      <c r="AV368" s="94"/>
      <c r="AW368" s="94"/>
      <c r="AX368" s="94"/>
      <c r="AY368" s="94"/>
      <c r="BA368" s="95"/>
    </row>
    <row r="369" spans="1:53" s="87" customFormat="1">
      <c r="A369" s="90" t="str">
        <f t="shared" si="30"/>
        <v/>
      </c>
      <c r="B369" s="98">
        <v>25</v>
      </c>
      <c r="C369" s="94" t="s">
        <v>250</v>
      </c>
      <c r="D369" s="94">
        <v>3</v>
      </c>
      <c r="E369" s="94" t="s">
        <v>210</v>
      </c>
      <c r="F369" s="94" t="s">
        <v>210</v>
      </c>
      <c r="G369" s="94">
        <v>1</v>
      </c>
      <c r="H369" s="94">
        <v>-4</v>
      </c>
      <c r="I369" s="94" t="s">
        <v>210</v>
      </c>
      <c r="J369" s="94" t="s">
        <v>210</v>
      </c>
      <c r="K369" s="94">
        <v>5</v>
      </c>
      <c r="L369" s="94">
        <v>6</v>
      </c>
      <c r="M369" s="94" t="s">
        <v>210</v>
      </c>
      <c r="N369" s="94" t="s">
        <v>210</v>
      </c>
      <c r="O369" s="94">
        <v>-2</v>
      </c>
      <c r="P369" s="94">
        <v>7</v>
      </c>
      <c r="Q369" s="94" t="s">
        <v>210</v>
      </c>
      <c r="R369" s="94" t="s">
        <v>210</v>
      </c>
      <c r="S369" s="94">
        <v>-3</v>
      </c>
      <c r="T369" s="94">
        <v>-1</v>
      </c>
      <c r="U369" s="94" t="s">
        <v>210</v>
      </c>
      <c r="V369" s="94" t="s">
        <v>210</v>
      </c>
      <c r="W369" s="94">
        <v>4</v>
      </c>
      <c r="X369" s="94">
        <v>-6</v>
      </c>
      <c r="Y369" s="94" t="s">
        <v>210</v>
      </c>
      <c r="Z369" s="94" t="s">
        <v>210</v>
      </c>
      <c r="AA369" s="94">
        <v>-5</v>
      </c>
      <c r="AB369" s="94">
        <v>-7</v>
      </c>
      <c r="AC369" s="94" t="s">
        <v>210</v>
      </c>
      <c r="AD369" s="94" t="s">
        <v>210</v>
      </c>
      <c r="AE369" s="94">
        <v>2</v>
      </c>
      <c r="AF369" s="94"/>
      <c r="AG369" s="94"/>
      <c r="AH369" s="94"/>
      <c r="AI369" s="94"/>
      <c r="AJ369" s="94"/>
      <c r="AK369" s="94"/>
      <c r="AL369" s="94"/>
      <c r="AM369" s="94"/>
      <c r="AN369" s="94"/>
      <c r="AO369" s="94"/>
      <c r="AP369" s="94"/>
      <c r="AQ369" s="94"/>
      <c r="AR369" s="94"/>
      <c r="AS369" s="94"/>
      <c r="AT369" s="94"/>
      <c r="AU369" s="94"/>
      <c r="AV369" s="94"/>
      <c r="AW369" s="94"/>
      <c r="AX369" s="94"/>
      <c r="AY369" s="94"/>
      <c r="BA369" s="95"/>
    </row>
    <row r="370" spans="1:53" s="87" customFormat="1">
      <c r="A370" s="90" t="str">
        <f t="shared" si="30"/>
        <v/>
      </c>
      <c r="B370" s="98">
        <v>26</v>
      </c>
      <c r="C370" s="94" t="s">
        <v>250</v>
      </c>
      <c r="D370" s="94">
        <v>-1</v>
      </c>
      <c r="E370" s="94" t="s">
        <v>210</v>
      </c>
      <c r="F370" s="94" t="s">
        <v>210</v>
      </c>
      <c r="G370" s="94">
        <v>-3</v>
      </c>
      <c r="H370" s="94">
        <v>-2</v>
      </c>
      <c r="I370" s="94" t="s">
        <v>210</v>
      </c>
      <c r="J370" s="94" t="s">
        <v>210</v>
      </c>
      <c r="K370" s="94">
        <v>7</v>
      </c>
      <c r="L370" s="94">
        <v>-5</v>
      </c>
      <c r="M370" s="94" t="s">
        <v>210</v>
      </c>
      <c r="N370" s="94" t="s">
        <v>210</v>
      </c>
      <c r="O370" s="94">
        <v>6</v>
      </c>
      <c r="P370" s="94">
        <v>-4</v>
      </c>
      <c r="Q370" s="94" t="s">
        <v>210</v>
      </c>
      <c r="R370" s="94" t="s">
        <v>210</v>
      </c>
      <c r="S370" s="94">
        <v>3</v>
      </c>
      <c r="T370" s="94">
        <v>-6</v>
      </c>
      <c r="U370" s="94" t="s">
        <v>210</v>
      </c>
      <c r="V370" s="94" t="s">
        <v>210</v>
      </c>
      <c r="W370" s="94">
        <v>5</v>
      </c>
      <c r="X370" s="94">
        <v>4</v>
      </c>
      <c r="Y370" s="94" t="s">
        <v>210</v>
      </c>
      <c r="Z370" s="94" t="s">
        <v>210</v>
      </c>
      <c r="AA370" s="94">
        <v>1</v>
      </c>
      <c r="AB370" s="94">
        <v>2</v>
      </c>
      <c r="AC370" s="94" t="s">
        <v>210</v>
      </c>
      <c r="AD370" s="94" t="s">
        <v>210</v>
      </c>
      <c r="AE370" s="94">
        <v>-7</v>
      </c>
      <c r="AF370" s="94"/>
      <c r="AG370" s="94"/>
      <c r="AH370" s="94"/>
      <c r="AI370" s="94"/>
      <c r="AJ370" s="94"/>
      <c r="AK370" s="94"/>
      <c r="AL370" s="94"/>
      <c r="AM370" s="94"/>
      <c r="AN370" s="94"/>
      <c r="AO370" s="94"/>
      <c r="AP370" s="94"/>
      <c r="AQ370" s="94"/>
      <c r="AR370" s="94"/>
      <c r="AS370" s="94"/>
      <c r="AT370" s="94"/>
      <c r="AU370" s="94"/>
      <c r="AV370" s="94"/>
      <c r="AW370" s="94"/>
      <c r="AX370" s="94"/>
      <c r="AY370" s="94"/>
      <c r="BA370" s="95"/>
    </row>
    <row r="371" spans="1:53" s="87" customFormat="1">
      <c r="A371" s="90" t="str">
        <f t="shared" si="30"/>
        <v/>
      </c>
      <c r="B371" s="98">
        <v>27</v>
      </c>
      <c r="C371" s="94" t="s">
        <v>250</v>
      </c>
      <c r="D371" s="94">
        <v>-6</v>
      </c>
      <c r="E371" s="94" t="s">
        <v>210</v>
      </c>
      <c r="F371" s="94" t="s">
        <v>210</v>
      </c>
      <c r="G371" s="94">
        <v>2</v>
      </c>
      <c r="H371" s="94">
        <v>-5</v>
      </c>
      <c r="I371" s="94" t="s">
        <v>210</v>
      </c>
      <c r="J371" s="94" t="s">
        <v>210</v>
      </c>
      <c r="K371" s="94">
        <v>-1</v>
      </c>
      <c r="L371" s="94">
        <v>-4</v>
      </c>
      <c r="M371" s="94" t="s">
        <v>210</v>
      </c>
      <c r="N371" s="94" t="s">
        <v>210</v>
      </c>
      <c r="O371" s="94">
        <v>3</v>
      </c>
      <c r="P371" s="94">
        <v>-7</v>
      </c>
      <c r="Q371" s="94" t="s">
        <v>210</v>
      </c>
      <c r="R371" s="94" t="s">
        <v>210</v>
      </c>
      <c r="S371" s="94">
        <v>5</v>
      </c>
      <c r="T371" s="94">
        <v>-3</v>
      </c>
      <c r="U371" s="94" t="s">
        <v>210</v>
      </c>
      <c r="V371" s="94" t="s">
        <v>210</v>
      </c>
      <c r="W371" s="94">
        <v>1</v>
      </c>
      <c r="X371" s="94">
        <v>-2</v>
      </c>
      <c r="Y371" s="94" t="s">
        <v>210</v>
      </c>
      <c r="Z371" s="94" t="s">
        <v>210</v>
      </c>
      <c r="AA371" s="94">
        <v>6</v>
      </c>
      <c r="AB371" s="94">
        <v>4</v>
      </c>
      <c r="AC371" s="94" t="s">
        <v>210</v>
      </c>
      <c r="AD371" s="94" t="s">
        <v>210</v>
      </c>
      <c r="AE371" s="94">
        <v>7</v>
      </c>
      <c r="AF371" s="94"/>
      <c r="AG371" s="94"/>
      <c r="AH371" s="94"/>
      <c r="AI371" s="94"/>
      <c r="AJ371" s="94"/>
      <c r="AK371" s="94"/>
      <c r="AL371" s="94"/>
      <c r="AM371" s="94"/>
      <c r="AN371" s="94"/>
      <c r="AO371" s="94"/>
      <c r="AP371" s="94"/>
      <c r="AQ371" s="94"/>
      <c r="AR371" s="94"/>
      <c r="AS371" s="94"/>
      <c r="AT371" s="94"/>
      <c r="AU371" s="94"/>
      <c r="AV371" s="94"/>
      <c r="AW371" s="94"/>
      <c r="AX371" s="94"/>
      <c r="AY371" s="94"/>
      <c r="BA371" s="95"/>
    </row>
    <row r="372" spans="1:53" s="87" customFormat="1">
      <c r="A372" s="90" t="str">
        <f t="shared" si="30"/>
        <v/>
      </c>
      <c r="B372" s="98">
        <v>28</v>
      </c>
      <c r="C372" s="94" t="s">
        <v>250</v>
      </c>
      <c r="D372" s="94">
        <v>2</v>
      </c>
      <c r="E372" s="94" t="s">
        <v>210</v>
      </c>
      <c r="F372" s="94" t="s">
        <v>210</v>
      </c>
      <c r="G372" s="94">
        <v>4</v>
      </c>
      <c r="H372" s="94">
        <v>3</v>
      </c>
      <c r="I372" s="94" t="s">
        <v>210</v>
      </c>
      <c r="J372" s="94" t="s">
        <v>210</v>
      </c>
      <c r="K372" s="94">
        <v>1</v>
      </c>
      <c r="L372" s="94">
        <v>-6</v>
      </c>
      <c r="M372" s="94" t="s">
        <v>210</v>
      </c>
      <c r="N372" s="94" t="s">
        <v>210</v>
      </c>
      <c r="O372" s="94">
        <v>-7</v>
      </c>
      <c r="P372" s="94">
        <v>-5</v>
      </c>
      <c r="Q372" s="94" t="s">
        <v>210</v>
      </c>
      <c r="R372" s="94" t="s">
        <v>210</v>
      </c>
      <c r="S372" s="94">
        <v>6</v>
      </c>
      <c r="T372" s="94">
        <v>-2</v>
      </c>
      <c r="U372" s="94" t="s">
        <v>210</v>
      </c>
      <c r="V372" s="94" t="s">
        <v>210</v>
      </c>
      <c r="W372" s="94">
        <v>7</v>
      </c>
      <c r="X372" s="94">
        <v>-4</v>
      </c>
      <c r="Y372" s="94" t="s">
        <v>210</v>
      </c>
      <c r="Z372" s="94" t="s">
        <v>210</v>
      </c>
      <c r="AA372" s="94">
        <v>-3</v>
      </c>
      <c r="AB372" s="94">
        <v>5</v>
      </c>
      <c r="AC372" s="94" t="s">
        <v>210</v>
      </c>
      <c r="AD372" s="94" t="s">
        <v>210</v>
      </c>
      <c r="AE372" s="94">
        <v>-1</v>
      </c>
      <c r="AF372" s="94"/>
      <c r="AG372" s="94"/>
      <c r="AH372" s="94"/>
      <c r="AI372" s="94"/>
      <c r="AJ372" s="94"/>
      <c r="AK372" s="94"/>
      <c r="AL372" s="94"/>
      <c r="AM372" s="94"/>
      <c r="AN372" s="94"/>
      <c r="AO372" s="94"/>
      <c r="AP372" s="94"/>
      <c r="AQ372" s="94"/>
      <c r="AR372" s="94"/>
      <c r="AS372" s="94"/>
      <c r="AT372" s="94"/>
      <c r="AU372" s="94"/>
      <c r="AV372" s="94"/>
      <c r="AW372" s="94"/>
      <c r="AX372" s="94"/>
      <c r="AY372" s="94"/>
      <c r="BA372" s="95"/>
    </row>
    <row r="373" spans="1:53" s="87" customFormat="1">
      <c r="A373" s="90" t="str">
        <f t="shared" si="30"/>
        <v/>
      </c>
      <c r="B373" s="98">
        <v>29</v>
      </c>
      <c r="C373" s="94" t="s">
        <v>250</v>
      </c>
      <c r="D373" s="94">
        <v>-5</v>
      </c>
      <c r="E373" s="94" t="s">
        <v>210</v>
      </c>
      <c r="F373" s="94" t="s">
        <v>210</v>
      </c>
      <c r="G373" s="94">
        <v>-1</v>
      </c>
      <c r="H373" s="94">
        <v>6</v>
      </c>
      <c r="I373" s="94" t="s">
        <v>210</v>
      </c>
      <c r="J373" s="94" t="s">
        <v>210</v>
      </c>
      <c r="K373" s="94">
        <v>3</v>
      </c>
      <c r="L373" s="94">
        <v>7</v>
      </c>
      <c r="M373" s="94" t="s">
        <v>210</v>
      </c>
      <c r="N373" s="94" t="s">
        <v>210</v>
      </c>
      <c r="O373" s="94">
        <v>-4</v>
      </c>
      <c r="P373" s="94">
        <v>2</v>
      </c>
      <c r="Q373" s="94" t="s">
        <v>210</v>
      </c>
      <c r="R373" s="94" t="s">
        <v>210</v>
      </c>
      <c r="S373" s="94">
        <v>-7</v>
      </c>
      <c r="T373" s="94">
        <v>4</v>
      </c>
      <c r="U373" s="94" t="s">
        <v>210</v>
      </c>
      <c r="V373" s="94" t="s">
        <v>210</v>
      </c>
      <c r="W373" s="94">
        <v>-3</v>
      </c>
      <c r="X373" s="94">
        <v>5</v>
      </c>
      <c r="Y373" s="94" t="s">
        <v>210</v>
      </c>
      <c r="Z373" s="94" t="s">
        <v>210</v>
      </c>
      <c r="AA373" s="94">
        <v>-6</v>
      </c>
      <c r="AB373" s="94">
        <v>-2</v>
      </c>
      <c r="AC373" s="94" t="s">
        <v>210</v>
      </c>
      <c r="AD373" s="94" t="s">
        <v>210</v>
      </c>
      <c r="AE373" s="94">
        <v>1</v>
      </c>
      <c r="AF373" s="94"/>
      <c r="AG373" s="94"/>
      <c r="AH373" s="94"/>
      <c r="AI373" s="94"/>
      <c r="AJ373" s="94"/>
      <c r="AK373" s="94"/>
      <c r="AL373" s="94"/>
      <c r="AM373" s="94"/>
      <c r="AN373" s="94"/>
      <c r="AO373" s="94"/>
      <c r="AP373" s="94"/>
      <c r="AQ373" s="94"/>
      <c r="AR373" s="94"/>
      <c r="AS373" s="94"/>
      <c r="AT373" s="94"/>
      <c r="AU373" s="94"/>
      <c r="AV373" s="94"/>
      <c r="AW373" s="94"/>
      <c r="AX373" s="94"/>
      <c r="AY373" s="94"/>
      <c r="BA373" s="95"/>
    </row>
    <row r="374" spans="1:53" s="87" customFormat="1">
      <c r="A374" s="90" t="str">
        <f t="shared" si="30"/>
        <v/>
      </c>
      <c r="B374" s="98" t="s">
        <v>435</v>
      </c>
      <c r="C374" s="94"/>
      <c r="D374" s="94"/>
      <c r="E374" s="94"/>
      <c r="F374" s="94"/>
      <c r="G374" s="94"/>
      <c r="H374" s="94"/>
      <c r="I374" s="94"/>
      <c r="J374" s="94"/>
      <c r="K374" s="94"/>
      <c r="L374" s="94"/>
      <c r="M374" s="94"/>
      <c r="N374" s="94"/>
      <c r="O374" s="94"/>
      <c r="P374" s="94"/>
      <c r="Q374" s="94"/>
      <c r="R374" s="94"/>
      <c r="S374" s="94"/>
      <c r="T374" s="94"/>
      <c r="U374" s="94"/>
      <c r="V374" s="94"/>
      <c r="W374" s="94"/>
      <c r="X374" s="94"/>
      <c r="Y374" s="94"/>
      <c r="Z374" s="94"/>
      <c r="AA374" s="94"/>
      <c r="AB374" s="94"/>
      <c r="AC374" s="94"/>
      <c r="AD374" s="94"/>
      <c r="AE374" s="94"/>
      <c r="AF374" s="94"/>
      <c r="AG374" s="94"/>
      <c r="AH374" s="94"/>
      <c r="AI374" s="94"/>
      <c r="AJ374" s="94"/>
      <c r="AK374" s="94"/>
      <c r="AL374" s="94"/>
      <c r="AM374" s="94"/>
      <c r="AN374" s="94"/>
      <c r="AO374" s="94"/>
      <c r="AP374" s="94"/>
      <c r="AQ374" s="94"/>
      <c r="AR374" s="94"/>
      <c r="AS374" s="94"/>
      <c r="AT374" s="94"/>
      <c r="AU374" s="94"/>
      <c r="AV374" s="94"/>
      <c r="AW374" s="94"/>
      <c r="AX374" s="94"/>
      <c r="AY374" s="94"/>
      <c r="BA374" s="95"/>
    </row>
    <row r="375" spans="1:53" s="87" customFormat="1">
      <c r="A375" s="90">
        <f t="shared" si="30"/>
        <v>375</v>
      </c>
      <c r="B375" s="98" t="s">
        <v>436</v>
      </c>
      <c r="C375" s="94"/>
      <c r="D375" s="94"/>
      <c r="E375" s="94"/>
      <c r="F375" s="94"/>
      <c r="G375" s="94"/>
      <c r="H375" s="94"/>
      <c r="I375" s="94"/>
      <c r="J375" s="94"/>
      <c r="K375" s="94"/>
      <c r="L375" s="94"/>
      <c r="M375" s="94"/>
      <c r="N375" s="94"/>
      <c r="O375" s="94"/>
      <c r="P375" s="94"/>
      <c r="Q375" s="94"/>
      <c r="R375" s="94"/>
      <c r="S375" s="94"/>
      <c r="T375" s="94"/>
      <c r="U375" s="94"/>
      <c r="V375" s="94"/>
      <c r="W375" s="94"/>
      <c r="X375" s="94"/>
      <c r="Y375" s="94"/>
      <c r="Z375" s="94"/>
      <c r="AA375" s="94"/>
      <c r="AB375" s="94"/>
      <c r="AC375" s="94"/>
      <c r="AD375" s="94"/>
      <c r="AE375" s="94"/>
      <c r="AF375" s="94"/>
      <c r="AG375" s="94"/>
      <c r="AH375" s="94"/>
      <c r="AI375" s="94"/>
      <c r="AJ375" s="94"/>
      <c r="AK375" s="94"/>
      <c r="AL375" s="94"/>
      <c r="AM375" s="94"/>
      <c r="AN375" s="94"/>
      <c r="AO375" s="94"/>
      <c r="AP375" s="94"/>
      <c r="AQ375" s="94"/>
      <c r="AR375" s="94"/>
      <c r="AS375" s="94"/>
      <c r="AT375" s="94"/>
      <c r="AU375" s="94"/>
      <c r="AV375" s="94"/>
      <c r="AW375" s="94"/>
      <c r="AX375" s="94"/>
      <c r="AY375" s="94"/>
      <c r="BA375" s="95"/>
    </row>
    <row r="376" spans="1:53" s="87" customFormat="1">
      <c r="A376" s="90" t="str">
        <f t="shared" si="30"/>
        <v/>
      </c>
      <c r="B376" s="98">
        <v>1</v>
      </c>
      <c r="C376" s="94">
        <v>-4</v>
      </c>
      <c r="D376" s="94" t="s">
        <v>210</v>
      </c>
      <c r="E376" s="94" t="s">
        <v>210</v>
      </c>
      <c r="F376" s="94">
        <v>-6</v>
      </c>
      <c r="G376" s="94">
        <v>7</v>
      </c>
      <c r="H376" s="94" t="s">
        <v>210</v>
      </c>
      <c r="I376" s="94" t="s">
        <v>210</v>
      </c>
      <c r="J376" s="94">
        <v>-2</v>
      </c>
      <c r="K376" s="94">
        <v>-5</v>
      </c>
      <c r="L376" s="94" t="s">
        <v>210</v>
      </c>
      <c r="M376" s="94" t="s">
        <v>210</v>
      </c>
      <c r="N376" s="94">
        <v>1</v>
      </c>
      <c r="O376" s="94">
        <v>6</v>
      </c>
      <c r="P376" s="94" t="s">
        <v>210</v>
      </c>
      <c r="Q376" s="94" t="s">
        <v>210</v>
      </c>
      <c r="R376" s="94">
        <v>3</v>
      </c>
      <c r="S376" s="94">
        <v>4</v>
      </c>
      <c r="T376" s="94" t="s">
        <v>210</v>
      </c>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BA376" s="95"/>
    </row>
    <row r="377" spans="1:53" s="87" customFormat="1">
      <c r="A377" s="90" t="str">
        <f t="shared" si="30"/>
        <v/>
      </c>
      <c r="B377" s="98">
        <v>2</v>
      </c>
      <c r="C377" s="94">
        <v>-6</v>
      </c>
      <c r="D377" s="94" t="s">
        <v>210</v>
      </c>
      <c r="E377" s="94" t="s">
        <v>210</v>
      </c>
      <c r="F377" s="94">
        <v>4</v>
      </c>
      <c r="G377" s="94">
        <v>1</v>
      </c>
      <c r="H377" s="94" t="s">
        <v>210</v>
      </c>
      <c r="I377" s="94" t="s">
        <v>210</v>
      </c>
      <c r="J377" s="94">
        <v>3</v>
      </c>
      <c r="K377" s="94">
        <v>-7</v>
      </c>
      <c r="L377" s="94" t="s">
        <v>210</v>
      </c>
      <c r="M377" s="94" t="s">
        <v>210</v>
      </c>
      <c r="N377" s="94">
        <v>-5</v>
      </c>
      <c r="O377" s="94">
        <v>-2</v>
      </c>
      <c r="P377" s="94" t="s">
        <v>210</v>
      </c>
      <c r="Q377" s="94" t="s">
        <v>210</v>
      </c>
      <c r="R377" s="94">
        <v>6</v>
      </c>
      <c r="S377" s="94">
        <v>-4</v>
      </c>
      <c r="T377" s="94" t="s">
        <v>210</v>
      </c>
      <c r="U377" s="94"/>
      <c r="V377" s="94"/>
      <c r="W377" s="94"/>
      <c r="X377" s="94"/>
      <c r="Y377" s="94"/>
      <c r="Z377" s="94"/>
      <c r="AA377" s="94"/>
      <c r="AB377" s="94"/>
      <c r="AC377" s="94"/>
      <c r="AD377" s="94"/>
      <c r="AE377" s="94"/>
      <c r="AF377" s="94"/>
      <c r="AG377" s="94"/>
      <c r="AH377" s="94"/>
      <c r="AI377" s="94"/>
      <c r="AJ377" s="94"/>
      <c r="AK377" s="94"/>
      <c r="AL377" s="94"/>
      <c r="AM377" s="94"/>
      <c r="AN377" s="94"/>
      <c r="AO377" s="94"/>
      <c r="AP377" s="94"/>
      <c r="AQ377" s="94"/>
      <c r="AR377" s="94"/>
      <c r="AS377" s="94"/>
      <c r="AT377" s="94"/>
      <c r="AU377" s="94"/>
      <c r="AV377" s="94"/>
      <c r="AW377" s="94"/>
      <c r="AX377" s="94"/>
      <c r="AY377" s="94"/>
      <c r="BA377" s="95"/>
    </row>
    <row r="378" spans="1:53" s="87" customFormat="1">
      <c r="A378" s="90" t="str">
        <f t="shared" si="30"/>
        <v/>
      </c>
      <c r="B378" s="98">
        <v>3</v>
      </c>
      <c r="C378" s="94">
        <v>-7</v>
      </c>
      <c r="D378" s="94" t="s">
        <v>210</v>
      </c>
      <c r="E378" s="94" t="s">
        <v>210</v>
      </c>
      <c r="F378" s="94">
        <v>-5</v>
      </c>
      <c r="G378" s="94">
        <v>3</v>
      </c>
      <c r="H378" s="94" t="s">
        <v>210</v>
      </c>
      <c r="I378" s="94" t="s">
        <v>210</v>
      </c>
      <c r="J378" s="94">
        <v>-1</v>
      </c>
      <c r="K378" s="94">
        <v>6</v>
      </c>
      <c r="L378" s="94" t="s">
        <v>210</v>
      </c>
      <c r="M378" s="94" t="s">
        <v>210</v>
      </c>
      <c r="N378" s="94">
        <v>4</v>
      </c>
      <c r="O378" s="94">
        <v>2</v>
      </c>
      <c r="P378" s="94" t="s">
        <v>210</v>
      </c>
      <c r="Q378" s="94" t="s">
        <v>210</v>
      </c>
      <c r="R378" s="94">
        <v>-3</v>
      </c>
      <c r="S378" s="94">
        <v>5</v>
      </c>
      <c r="T378" s="94" t="s">
        <v>210</v>
      </c>
      <c r="U378" s="94"/>
      <c r="V378" s="94"/>
      <c r="W378" s="94"/>
      <c r="X378" s="94"/>
      <c r="Y378" s="94"/>
      <c r="Z378" s="94"/>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c r="AW378" s="94"/>
      <c r="AX378" s="94"/>
      <c r="AY378" s="94"/>
      <c r="BA378" s="95"/>
    </row>
    <row r="379" spans="1:53" s="87" customFormat="1">
      <c r="A379" s="90" t="str">
        <f t="shared" si="30"/>
        <v/>
      </c>
      <c r="B379" s="98">
        <v>4</v>
      </c>
      <c r="C379" s="94">
        <v>3</v>
      </c>
      <c r="D379" s="94" t="s">
        <v>210</v>
      </c>
      <c r="E379" s="94" t="s">
        <v>210</v>
      </c>
      <c r="F379" s="94">
        <v>-1</v>
      </c>
      <c r="G379" s="94">
        <v>5</v>
      </c>
      <c r="H379" s="94" t="s">
        <v>210</v>
      </c>
      <c r="I379" s="94" t="s">
        <v>210</v>
      </c>
      <c r="J379" s="94">
        <v>4</v>
      </c>
      <c r="K379" s="94">
        <v>7</v>
      </c>
      <c r="L379" s="94" t="s">
        <v>210</v>
      </c>
      <c r="M379" s="94" t="s">
        <v>210</v>
      </c>
      <c r="N379" s="94">
        <v>-3</v>
      </c>
      <c r="O379" s="94">
        <v>-6</v>
      </c>
      <c r="P379" s="94" t="s">
        <v>210</v>
      </c>
      <c r="Q379" s="94" t="s">
        <v>210</v>
      </c>
      <c r="R379" s="94">
        <v>-2</v>
      </c>
      <c r="S379" s="94">
        <v>-5</v>
      </c>
      <c r="T379" s="94" t="s">
        <v>210</v>
      </c>
      <c r="U379" s="94"/>
      <c r="V379" s="94"/>
      <c r="W379" s="94"/>
      <c r="X379" s="94"/>
      <c r="Y379" s="94"/>
      <c r="Z379" s="94"/>
      <c r="AA379" s="94"/>
      <c r="AB379" s="94"/>
      <c r="AC379" s="94"/>
      <c r="AD379" s="94"/>
      <c r="AE379" s="94"/>
      <c r="AF379" s="94"/>
      <c r="AG379" s="94"/>
      <c r="AH379" s="94"/>
      <c r="AI379" s="94"/>
      <c r="AJ379" s="94"/>
      <c r="AK379" s="94"/>
      <c r="AL379" s="94"/>
      <c r="AM379" s="94"/>
      <c r="AN379" s="94"/>
      <c r="AO379" s="94"/>
      <c r="AP379" s="94"/>
      <c r="AQ379" s="94"/>
      <c r="AR379" s="94"/>
      <c r="AS379" s="94"/>
      <c r="AT379" s="94"/>
      <c r="AU379" s="94"/>
      <c r="AV379" s="94"/>
      <c r="AW379" s="94"/>
      <c r="AX379" s="94"/>
      <c r="AY379" s="94"/>
      <c r="BA379" s="95"/>
    </row>
    <row r="380" spans="1:53" s="87" customFormat="1">
      <c r="A380" s="90" t="str">
        <f t="shared" si="30"/>
        <v/>
      </c>
      <c r="B380" s="98">
        <v>5</v>
      </c>
      <c r="C380" s="94">
        <v>-1</v>
      </c>
      <c r="D380" s="94" t="s">
        <v>210</v>
      </c>
      <c r="E380" s="94" t="s">
        <v>210</v>
      </c>
      <c r="F380" s="94">
        <v>6</v>
      </c>
      <c r="G380" s="94">
        <v>-5</v>
      </c>
      <c r="H380" s="94" t="s">
        <v>210</v>
      </c>
      <c r="I380" s="94" t="s">
        <v>210</v>
      </c>
      <c r="J380" s="94">
        <v>1</v>
      </c>
      <c r="K380" s="94">
        <v>2</v>
      </c>
      <c r="L380" s="94" t="s">
        <v>210</v>
      </c>
      <c r="M380" s="94" t="s">
        <v>210</v>
      </c>
      <c r="N380" s="94">
        <v>7</v>
      </c>
      <c r="O380" s="94">
        <v>-4</v>
      </c>
      <c r="P380" s="94" t="s">
        <v>210</v>
      </c>
      <c r="Q380" s="94" t="s">
        <v>210</v>
      </c>
      <c r="R380" s="94">
        <v>-6</v>
      </c>
      <c r="S380" s="94">
        <v>-3</v>
      </c>
      <c r="T380" s="94" t="s">
        <v>210</v>
      </c>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BA380" s="95"/>
    </row>
    <row r="381" spans="1:53" s="87" customFormat="1">
      <c r="A381" s="90" t="str">
        <f t="shared" si="30"/>
        <v/>
      </c>
      <c r="B381" s="98">
        <v>6</v>
      </c>
      <c r="C381" s="94">
        <v>6</v>
      </c>
      <c r="D381" s="94" t="s">
        <v>210</v>
      </c>
      <c r="E381" s="94" t="s">
        <v>210</v>
      </c>
      <c r="F381" s="94">
        <v>-2</v>
      </c>
      <c r="G381" s="94">
        <v>-3</v>
      </c>
      <c r="H381" s="94" t="s">
        <v>210</v>
      </c>
      <c r="I381" s="94" t="s">
        <v>210</v>
      </c>
      <c r="J381" s="94">
        <v>7</v>
      </c>
      <c r="K381" s="94">
        <v>4</v>
      </c>
      <c r="L381" s="94" t="s">
        <v>210</v>
      </c>
      <c r="M381" s="94" t="s">
        <v>210</v>
      </c>
      <c r="N381" s="94">
        <v>-1</v>
      </c>
      <c r="O381" s="94">
        <v>-5</v>
      </c>
      <c r="P381" s="94" t="s">
        <v>210</v>
      </c>
      <c r="Q381" s="94" t="s">
        <v>210</v>
      </c>
      <c r="R381" s="94">
        <v>2</v>
      </c>
      <c r="S381" s="94">
        <v>3</v>
      </c>
      <c r="T381" s="94" t="s">
        <v>210</v>
      </c>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BA381" s="95"/>
    </row>
    <row r="382" spans="1:53" s="87" customFormat="1">
      <c r="A382" s="90" t="str">
        <f t="shared" si="30"/>
        <v/>
      </c>
      <c r="B382" s="98">
        <v>7</v>
      </c>
      <c r="C382" s="94">
        <v>4</v>
      </c>
      <c r="D382" s="94" t="s">
        <v>210</v>
      </c>
      <c r="E382" s="94" t="s">
        <v>210</v>
      </c>
      <c r="F382" s="94">
        <v>1</v>
      </c>
      <c r="G382" s="94">
        <v>6</v>
      </c>
      <c r="H382" s="94" t="s">
        <v>210</v>
      </c>
      <c r="I382" s="94" t="s">
        <v>210</v>
      </c>
      <c r="J382" s="94">
        <v>-3</v>
      </c>
      <c r="K382" s="94">
        <v>-2</v>
      </c>
      <c r="L382" s="94" t="s">
        <v>210</v>
      </c>
      <c r="M382" s="94" t="s">
        <v>210</v>
      </c>
      <c r="N382" s="94">
        <v>-4</v>
      </c>
      <c r="O382" s="94">
        <v>5</v>
      </c>
      <c r="P382" s="94" t="s">
        <v>210</v>
      </c>
      <c r="Q382" s="94" t="s">
        <v>210</v>
      </c>
      <c r="R382" s="94">
        <v>-7</v>
      </c>
      <c r="S382" s="94">
        <v>-6</v>
      </c>
      <c r="T382" s="94" t="s">
        <v>210</v>
      </c>
      <c r="U382" s="94"/>
      <c r="V382" s="94"/>
      <c r="W382" s="94"/>
      <c r="X382" s="94"/>
      <c r="Y382" s="94"/>
      <c r="Z382" s="94"/>
      <c r="AA382" s="94"/>
      <c r="AB382" s="94"/>
      <c r="AC382" s="94"/>
      <c r="AD382" s="94"/>
      <c r="AE382" s="94"/>
      <c r="AF382" s="94"/>
      <c r="AG382" s="94"/>
      <c r="AH382" s="94"/>
      <c r="AI382" s="94"/>
      <c r="AJ382" s="94"/>
      <c r="AK382" s="94"/>
      <c r="AL382" s="94"/>
      <c r="AM382" s="94"/>
      <c r="AN382" s="94"/>
      <c r="AO382" s="94"/>
      <c r="AP382" s="94"/>
      <c r="AQ382" s="94"/>
      <c r="AR382" s="94"/>
      <c r="AS382" s="94"/>
      <c r="AT382" s="94"/>
      <c r="AU382" s="94"/>
      <c r="AV382" s="94"/>
      <c r="AW382" s="94"/>
      <c r="AX382" s="94"/>
      <c r="AY382" s="94"/>
      <c r="BA382" s="95"/>
    </row>
    <row r="383" spans="1:53" s="87" customFormat="1">
      <c r="A383" s="90" t="str">
        <f t="shared" si="30"/>
        <v/>
      </c>
      <c r="B383" s="98">
        <v>8</v>
      </c>
      <c r="C383" s="94">
        <v>-3</v>
      </c>
      <c r="D383" s="94" t="s">
        <v>210</v>
      </c>
      <c r="E383" s="94" t="s">
        <v>210</v>
      </c>
      <c r="F383" s="94">
        <v>5</v>
      </c>
      <c r="G383" s="94">
        <v>-1</v>
      </c>
      <c r="H383" s="94" t="s">
        <v>210</v>
      </c>
      <c r="I383" s="94" t="s">
        <v>210</v>
      </c>
      <c r="J383" s="94">
        <v>2</v>
      </c>
      <c r="K383" s="94">
        <v>-4</v>
      </c>
      <c r="L383" s="94" t="s">
        <v>210</v>
      </c>
      <c r="M383" s="94" t="s">
        <v>210</v>
      </c>
      <c r="N383" s="94">
        <v>-7</v>
      </c>
      <c r="O383" s="94">
        <v>3</v>
      </c>
      <c r="P383" s="94" t="s">
        <v>210</v>
      </c>
      <c r="Q383" s="94" t="s">
        <v>210</v>
      </c>
      <c r="R383" s="94">
        <v>1</v>
      </c>
      <c r="S383" s="94">
        <v>6</v>
      </c>
      <c r="T383" s="94" t="s">
        <v>210</v>
      </c>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BA383" s="95"/>
    </row>
    <row r="384" spans="1:53" s="87" customFormat="1">
      <c r="A384" s="90" t="str">
        <f t="shared" si="30"/>
        <v/>
      </c>
      <c r="B384" s="98">
        <v>9</v>
      </c>
      <c r="C384" s="94">
        <v>1</v>
      </c>
      <c r="D384" s="94" t="s">
        <v>210</v>
      </c>
      <c r="E384" s="94" t="s">
        <v>210</v>
      </c>
      <c r="F384" s="94">
        <v>2</v>
      </c>
      <c r="G384" s="94">
        <v>-7</v>
      </c>
      <c r="H384" s="94" t="s">
        <v>210</v>
      </c>
      <c r="I384" s="94" t="s">
        <v>210</v>
      </c>
      <c r="J384" s="94">
        <v>-4</v>
      </c>
      <c r="K384" s="94">
        <v>-6</v>
      </c>
      <c r="L384" s="94" t="s">
        <v>210</v>
      </c>
      <c r="M384" s="94" t="s">
        <v>210</v>
      </c>
      <c r="N384" s="94">
        <v>5</v>
      </c>
      <c r="O384" s="94">
        <v>-3</v>
      </c>
      <c r="P384" s="94" t="s">
        <v>210</v>
      </c>
      <c r="Q384" s="94" t="s">
        <v>210</v>
      </c>
      <c r="R384" s="94">
        <v>7</v>
      </c>
      <c r="S384" s="94">
        <v>-2</v>
      </c>
      <c r="T384" s="94" t="s">
        <v>210</v>
      </c>
      <c r="U384" s="94"/>
      <c r="V384" s="94"/>
      <c r="W384" s="94"/>
      <c r="X384" s="94"/>
      <c r="Y384" s="94"/>
      <c r="Z384" s="94"/>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BA384" s="95"/>
    </row>
    <row r="385" spans="1:53" s="87" customFormat="1">
      <c r="A385" s="90" t="str">
        <f t="shared" si="30"/>
        <v/>
      </c>
      <c r="B385" s="99">
        <v>10</v>
      </c>
      <c r="C385" s="92">
        <v>7</v>
      </c>
      <c r="D385" s="92" t="s">
        <v>210</v>
      </c>
      <c r="E385" s="92" t="s">
        <v>210</v>
      </c>
      <c r="F385" s="92">
        <v>-4</v>
      </c>
      <c r="G385" s="92">
        <v>-6</v>
      </c>
      <c r="H385" s="92" t="s">
        <v>210</v>
      </c>
      <c r="I385" s="92" t="s">
        <v>210</v>
      </c>
      <c r="J385" s="92">
        <v>-7</v>
      </c>
      <c r="K385" s="92">
        <v>5</v>
      </c>
      <c r="L385" s="92" t="s">
        <v>210</v>
      </c>
      <c r="M385" s="92" t="s">
        <v>210</v>
      </c>
      <c r="N385" s="92">
        <v>3</v>
      </c>
      <c r="O385" s="92">
        <v>4</v>
      </c>
      <c r="P385" s="92" t="s">
        <v>210</v>
      </c>
      <c r="Q385" s="92" t="s">
        <v>210</v>
      </c>
      <c r="R385" s="92">
        <v>-1</v>
      </c>
      <c r="S385" s="92">
        <v>2</v>
      </c>
      <c r="T385" s="92" t="s">
        <v>210</v>
      </c>
      <c r="U385" s="94"/>
      <c r="V385" s="94"/>
      <c r="W385" s="94"/>
      <c r="X385" s="94"/>
      <c r="Y385" s="94"/>
      <c r="Z385" s="94"/>
      <c r="AA385" s="94"/>
      <c r="AB385" s="94"/>
      <c r="AC385" s="94"/>
      <c r="AD385" s="94"/>
      <c r="AE385" s="94"/>
      <c r="AF385" s="94"/>
      <c r="AG385" s="94"/>
      <c r="AH385" s="94"/>
      <c r="AI385" s="94"/>
      <c r="AJ385" s="94"/>
      <c r="AK385" s="94"/>
      <c r="AL385" s="94"/>
      <c r="AM385" s="94"/>
      <c r="AN385" s="94"/>
      <c r="AO385" s="94"/>
      <c r="AP385" s="94"/>
      <c r="AQ385" s="94"/>
      <c r="AR385" s="94"/>
      <c r="AS385" s="94"/>
      <c r="AT385" s="94"/>
      <c r="AU385" s="94"/>
      <c r="AV385" s="94"/>
      <c r="AW385" s="94"/>
      <c r="AX385" s="94"/>
      <c r="AY385" s="94"/>
      <c r="BA385" s="95"/>
    </row>
    <row r="386" spans="1:53" s="87" customFormat="1">
      <c r="A386" s="90" t="str">
        <f t="shared" si="30"/>
        <v/>
      </c>
      <c r="B386" s="98">
        <v>11</v>
      </c>
      <c r="C386" s="94" t="s">
        <v>210</v>
      </c>
      <c r="D386" s="94">
        <v>-4</v>
      </c>
      <c r="E386" s="94">
        <v>-6</v>
      </c>
      <c r="F386" s="94" t="s">
        <v>210</v>
      </c>
      <c r="G386" s="94" t="s">
        <v>210</v>
      </c>
      <c r="H386" s="94">
        <v>7</v>
      </c>
      <c r="I386" s="94">
        <v>-2</v>
      </c>
      <c r="J386" s="94" t="s">
        <v>210</v>
      </c>
      <c r="K386" s="94" t="s">
        <v>210</v>
      </c>
      <c r="L386" s="94">
        <v>-5</v>
      </c>
      <c r="M386" s="94">
        <v>1</v>
      </c>
      <c r="N386" s="94" t="s">
        <v>210</v>
      </c>
      <c r="O386" s="94" t="s">
        <v>210</v>
      </c>
      <c r="P386" s="94">
        <v>6</v>
      </c>
      <c r="Q386" s="94">
        <v>3</v>
      </c>
      <c r="R386" s="94" t="s">
        <v>210</v>
      </c>
      <c r="S386" s="94" t="s">
        <v>210</v>
      </c>
      <c r="T386" s="94">
        <v>4</v>
      </c>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BA386" s="95"/>
    </row>
    <row r="387" spans="1:53" s="87" customFormat="1">
      <c r="A387" s="90" t="str">
        <f t="shared" si="30"/>
        <v/>
      </c>
      <c r="B387" s="98">
        <v>12</v>
      </c>
      <c r="C387" s="94" t="s">
        <v>210</v>
      </c>
      <c r="D387" s="94">
        <v>-6</v>
      </c>
      <c r="E387" s="94">
        <v>4</v>
      </c>
      <c r="F387" s="94" t="s">
        <v>210</v>
      </c>
      <c r="G387" s="94" t="s">
        <v>210</v>
      </c>
      <c r="H387" s="94">
        <v>1</v>
      </c>
      <c r="I387" s="94">
        <v>3</v>
      </c>
      <c r="J387" s="94" t="s">
        <v>210</v>
      </c>
      <c r="K387" s="94" t="s">
        <v>210</v>
      </c>
      <c r="L387" s="94">
        <v>-7</v>
      </c>
      <c r="M387" s="94">
        <v>-5</v>
      </c>
      <c r="N387" s="94" t="s">
        <v>210</v>
      </c>
      <c r="O387" s="94" t="s">
        <v>210</v>
      </c>
      <c r="P387" s="94">
        <v>-2</v>
      </c>
      <c r="Q387" s="94">
        <v>6</v>
      </c>
      <c r="R387" s="94" t="s">
        <v>210</v>
      </c>
      <c r="S387" s="94" t="s">
        <v>210</v>
      </c>
      <c r="T387" s="94">
        <v>-4</v>
      </c>
      <c r="U387" s="94"/>
      <c r="V387" s="94"/>
      <c r="W387" s="94"/>
      <c r="X387" s="94"/>
      <c r="Y387" s="94"/>
      <c r="Z387" s="94"/>
      <c r="AA387" s="94"/>
      <c r="AB387" s="94"/>
      <c r="AC387" s="94"/>
      <c r="AD387" s="94"/>
      <c r="AE387" s="94"/>
      <c r="AF387" s="94"/>
      <c r="AG387" s="94"/>
      <c r="AH387" s="94"/>
      <c r="AI387" s="94"/>
      <c r="AJ387" s="94"/>
      <c r="AK387" s="94"/>
      <c r="AL387" s="94"/>
      <c r="AM387" s="94"/>
      <c r="AN387" s="94"/>
      <c r="AO387" s="94"/>
      <c r="AP387" s="94"/>
      <c r="AQ387" s="94"/>
      <c r="AR387" s="94"/>
      <c r="AS387" s="94"/>
      <c r="AT387" s="94"/>
      <c r="AU387" s="94"/>
      <c r="AV387" s="94"/>
      <c r="AW387" s="94"/>
      <c r="AX387" s="94"/>
      <c r="AY387" s="94"/>
      <c r="BA387" s="95"/>
    </row>
    <row r="388" spans="1:53" s="87" customFormat="1">
      <c r="A388" s="90" t="str">
        <f t="shared" si="30"/>
        <v/>
      </c>
      <c r="B388" s="98">
        <v>13</v>
      </c>
      <c r="C388" s="94" t="s">
        <v>210</v>
      </c>
      <c r="D388" s="94">
        <v>-7</v>
      </c>
      <c r="E388" s="94">
        <v>-5</v>
      </c>
      <c r="F388" s="94" t="s">
        <v>210</v>
      </c>
      <c r="G388" s="94" t="s">
        <v>210</v>
      </c>
      <c r="H388" s="94">
        <v>3</v>
      </c>
      <c r="I388" s="94">
        <v>-1</v>
      </c>
      <c r="J388" s="94" t="s">
        <v>210</v>
      </c>
      <c r="K388" s="94" t="s">
        <v>210</v>
      </c>
      <c r="L388" s="94">
        <v>6</v>
      </c>
      <c r="M388" s="94">
        <v>4</v>
      </c>
      <c r="N388" s="94" t="s">
        <v>210</v>
      </c>
      <c r="O388" s="94" t="s">
        <v>210</v>
      </c>
      <c r="P388" s="94">
        <v>2</v>
      </c>
      <c r="Q388" s="94">
        <v>-3</v>
      </c>
      <c r="R388" s="94" t="s">
        <v>210</v>
      </c>
      <c r="S388" s="94" t="s">
        <v>210</v>
      </c>
      <c r="T388" s="94">
        <v>5</v>
      </c>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BA388" s="95"/>
    </row>
    <row r="389" spans="1:53" s="87" customFormat="1">
      <c r="A389" s="90" t="str">
        <f t="shared" si="30"/>
        <v/>
      </c>
      <c r="B389" s="98">
        <v>14</v>
      </c>
      <c r="C389" s="94" t="s">
        <v>210</v>
      </c>
      <c r="D389" s="94">
        <v>3</v>
      </c>
      <c r="E389" s="94">
        <v>-1</v>
      </c>
      <c r="F389" s="94" t="s">
        <v>210</v>
      </c>
      <c r="G389" s="94" t="s">
        <v>210</v>
      </c>
      <c r="H389" s="94">
        <v>5</v>
      </c>
      <c r="I389" s="94">
        <v>4</v>
      </c>
      <c r="J389" s="94" t="s">
        <v>210</v>
      </c>
      <c r="K389" s="94" t="s">
        <v>210</v>
      </c>
      <c r="L389" s="94">
        <v>7</v>
      </c>
      <c r="M389" s="94">
        <v>-3</v>
      </c>
      <c r="N389" s="94" t="s">
        <v>210</v>
      </c>
      <c r="O389" s="94" t="s">
        <v>210</v>
      </c>
      <c r="P389" s="94">
        <v>-6</v>
      </c>
      <c r="Q389" s="94">
        <v>-2</v>
      </c>
      <c r="R389" s="94" t="s">
        <v>210</v>
      </c>
      <c r="S389" s="94" t="s">
        <v>210</v>
      </c>
      <c r="T389" s="94">
        <v>-5</v>
      </c>
      <c r="U389" s="94"/>
      <c r="V389" s="94"/>
      <c r="W389" s="94"/>
      <c r="X389" s="94"/>
      <c r="Y389" s="94"/>
      <c r="Z389" s="94"/>
      <c r="AA389" s="94"/>
      <c r="AB389" s="94"/>
      <c r="AC389" s="94"/>
      <c r="AD389" s="94"/>
      <c r="AE389" s="94"/>
      <c r="AF389" s="94"/>
      <c r="AG389" s="94"/>
      <c r="AH389" s="94"/>
      <c r="AI389" s="94"/>
      <c r="AJ389" s="94"/>
      <c r="AK389" s="94"/>
      <c r="AL389" s="94"/>
      <c r="AM389" s="94"/>
      <c r="AN389" s="94"/>
      <c r="AO389" s="94"/>
      <c r="AP389" s="94"/>
      <c r="AQ389" s="94"/>
      <c r="AR389" s="94"/>
      <c r="AS389" s="94"/>
      <c r="AT389" s="94"/>
      <c r="AU389" s="94"/>
      <c r="AV389" s="94"/>
      <c r="AW389" s="94"/>
      <c r="AX389" s="94"/>
      <c r="AY389" s="94"/>
      <c r="BA389" s="95"/>
    </row>
    <row r="390" spans="1:53" s="87" customFormat="1">
      <c r="A390" s="90" t="str">
        <f t="shared" si="30"/>
        <v/>
      </c>
      <c r="B390" s="98">
        <v>15</v>
      </c>
      <c r="C390" s="94" t="s">
        <v>210</v>
      </c>
      <c r="D390" s="94">
        <v>-1</v>
      </c>
      <c r="E390" s="94">
        <v>6</v>
      </c>
      <c r="F390" s="94" t="s">
        <v>210</v>
      </c>
      <c r="G390" s="94" t="s">
        <v>210</v>
      </c>
      <c r="H390" s="94">
        <v>-5</v>
      </c>
      <c r="I390" s="94">
        <v>1</v>
      </c>
      <c r="J390" s="94" t="s">
        <v>210</v>
      </c>
      <c r="K390" s="94" t="s">
        <v>210</v>
      </c>
      <c r="L390" s="94">
        <v>2</v>
      </c>
      <c r="M390" s="94">
        <v>7</v>
      </c>
      <c r="N390" s="94" t="s">
        <v>210</v>
      </c>
      <c r="O390" s="94" t="s">
        <v>210</v>
      </c>
      <c r="P390" s="94">
        <v>-4</v>
      </c>
      <c r="Q390" s="94">
        <v>-6</v>
      </c>
      <c r="R390" s="94" t="s">
        <v>210</v>
      </c>
      <c r="S390" s="94" t="s">
        <v>210</v>
      </c>
      <c r="T390" s="94">
        <v>-3</v>
      </c>
      <c r="U390" s="94"/>
      <c r="V390" s="94"/>
      <c r="W390" s="94"/>
      <c r="X390" s="94"/>
      <c r="Y390" s="94"/>
      <c r="Z390" s="94"/>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c r="AW390" s="94"/>
      <c r="AX390" s="94"/>
      <c r="AY390" s="94"/>
      <c r="BA390" s="95"/>
    </row>
    <row r="391" spans="1:53" s="87" customFormat="1">
      <c r="A391" s="90" t="str">
        <f t="shared" si="30"/>
        <v/>
      </c>
      <c r="B391" s="98">
        <v>16</v>
      </c>
      <c r="C391" s="94" t="s">
        <v>210</v>
      </c>
      <c r="D391" s="94">
        <v>6</v>
      </c>
      <c r="E391" s="94">
        <v>-2</v>
      </c>
      <c r="F391" s="94" t="s">
        <v>210</v>
      </c>
      <c r="G391" s="94" t="s">
        <v>210</v>
      </c>
      <c r="H391" s="94">
        <v>-3</v>
      </c>
      <c r="I391" s="94">
        <v>7</v>
      </c>
      <c r="J391" s="94" t="s">
        <v>210</v>
      </c>
      <c r="K391" s="94" t="s">
        <v>210</v>
      </c>
      <c r="L391" s="94">
        <v>4</v>
      </c>
      <c r="M391" s="94">
        <v>-1</v>
      </c>
      <c r="N391" s="94" t="s">
        <v>210</v>
      </c>
      <c r="O391" s="94" t="s">
        <v>210</v>
      </c>
      <c r="P391" s="94">
        <v>-5</v>
      </c>
      <c r="Q391" s="94">
        <v>2</v>
      </c>
      <c r="R391" s="94" t="s">
        <v>210</v>
      </c>
      <c r="S391" s="94" t="s">
        <v>210</v>
      </c>
      <c r="T391" s="94">
        <v>3</v>
      </c>
      <c r="U391" s="94"/>
      <c r="V391" s="94"/>
      <c r="W391" s="94"/>
      <c r="X391" s="94"/>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c r="AW391" s="94"/>
      <c r="AX391" s="94"/>
      <c r="AY391" s="94"/>
      <c r="BA391" s="95"/>
    </row>
    <row r="392" spans="1:53" s="87" customFormat="1">
      <c r="A392" s="90" t="str">
        <f t="shared" si="30"/>
        <v/>
      </c>
      <c r="B392" s="98">
        <v>17</v>
      </c>
      <c r="C392" s="94" t="s">
        <v>210</v>
      </c>
      <c r="D392" s="94">
        <v>4</v>
      </c>
      <c r="E392" s="94">
        <v>1</v>
      </c>
      <c r="F392" s="94" t="s">
        <v>210</v>
      </c>
      <c r="G392" s="94" t="s">
        <v>210</v>
      </c>
      <c r="H392" s="94">
        <v>6</v>
      </c>
      <c r="I392" s="94">
        <v>-3</v>
      </c>
      <c r="J392" s="94" t="s">
        <v>210</v>
      </c>
      <c r="K392" s="94" t="s">
        <v>210</v>
      </c>
      <c r="L392" s="94">
        <v>-2</v>
      </c>
      <c r="M392" s="94">
        <v>-4</v>
      </c>
      <c r="N392" s="94" t="s">
        <v>210</v>
      </c>
      <c r="O392" s="94" t="s">
        <v>210</v>
      </c>
      <c r="P392" s="94">
        <v>5</v>
      </c>
      <c r="Q392" s="94">
        <v>-7</v>
      </c>
      <c r="R392" s="94" t="s">
        <v>210</v>
      </c>
      <c r="S392" s="94" t="s">
        <v>210</v>
      </c>
      <c r="T392" s="94">
        <v>-6</v>
      </c>
      <c r="U392" s="94"/>
      <c r="V392" s="94"/>
      <c r="W392" s="94"/>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BA392" s="95"/>
    </row>
    <row r="393" spans="1:53" s="87" customFormat="1">
      <c r="A393" s="90" t="str">
        <f t="shared" si="30"/>
        <v/>
      </c>
      <c r="B393" s="98">
        <v>18</v>
      </c>
      <c r="C393" s="94" t="s">
        <v>210</v>
      </c>
      <c r="D393" s="94">
        <v>-3</v>
      </c>
      <c r="E393" s="94">
        <v>5</v>
      </c>
      <c r="F393" s="94" t="s">
        <v>210</v>
      </c>
      <c r="G393" s="94" t="s">
        <v>210</v>
      </c>
      <c r="H393" s="94">
        <v>-1</v>
      </c>
      <c r="I393" s="94">
        <v>2</v>
      </c>
      <c r="J393" s="94" t="s">
        <v>210</v>
      </c>
      <c r="K393" s="94" t="s">
        <v>210</v>
      </c>
      <c r="L393" s="94">
        <v>-4</v>
      </c>
      <c r="M393" s="94">
        <v>-7</v>
      </c>
      <c r="N393" s="94" t="s">
        <v>210</v>
      </c>
      <c r="O393" s="94" t="s">
        <v>210</v>
      </c>
      <c r="P393" s="94">
        <v>3</v>
      </c>
      <c r="Q393" s="94">
        <v>1</v>
      </c>
      <c r="R393" s="94" t="s">
        <v>210</v>
      </c>
      <c r="S393" s="94" t="s">
        <v>210</v>
      </c>
      <c r="T393" s="94">
        <v>6</v>
      </c>
      <c r="U393" s="94"/>
      <c r="V393" s="94"/>
      <c r="W393" s="94"/>
      <c r="X393" s="94"/>
      <c r="Y393" s="94"/>
      <c r="Z393" s="94"/>
      <c r="AA393" s="94"/>
      <c r="AB393" s="94"/>
      <c r="AC393" s="94"/>
      <c r="AD393" s="94"/>
      <c r="AE393" s="94"/>
      <c r="AF393" s="94"/>
      <c r="AG393" s="94"/>
      <c r="AH393" s="94"/>
      <c r="AI393" s="94"/>
      <c r="AJ393" s="94"/>
      <c r="AK393" s="94"/>
      <c r="AL393" s="94"/>
      <c r="AM393" s="94"/>
      <c r="AN393" s="94"/>
      <c r="AO393" s="94"/>
      <c r="AP393" s="94"/>
      <c r="AQ393" s="94"/>
      <c r="AR393" s="94"/>
      <c r="AS393" s="94"/>
      <c r="AT393" s="94"/>
      <c r="AU393" s="94"/>
      <c r="AV393" s="94"/>
      <c r="AW393" s="94"/>
      <c r="AX393" s="94"/>
      <c r="AY393" s="94"/>
      <c r="BA393" s="95"/>
    </row>
    <row r="394" spans="1:53" s="87" customFormat="1">
      <c r="A394" s="90" t="str">
        <f t="shared" si="30"/>
        <v/>
      </c>
      <c r="B394" s="98">
        <v>19</v>
      </c>
      <c r="C394" s="94" t="s">
        <v>210</v>
      </c>
      <c r="D394" s="94">
        <v>1</v>
      </c>
      <c r="E394" s="94">
        <v>2</v>
      </c>
      <c r="F394" s="94" t="s">
        <v>210</v>
      </c>
      <c r="G394" s="94" t="s">
        <v>210</v>
      </c>
      <c r="H394" s="94">
        <v>-7</v>
      </c>
      <c r="I394" s="94">
        <v>-4</v>
      </c>
      <c r="J394" s="94" t="s">
        <v>210</v>
      </c>
      <c r="K394" s="94" t="s">
        <v>210</v>
      </c>
      <c r="L394" s="94">
        <v>-6</v>
      </c>
      <c r="M394" s="94">
        <v>5</v>
      </c>
      <c r="N394" s="94" t="s">
        <v>210</v>
      </c>
      <c r="O394" s="94" t="s">
        <v>210</v>
      </c>
      <c r="P394" s="94">
        <v>-3</v>
      </c>
      <c r="Q394" s="94">
        <v>7</v>
      </c>
      <c r="R394" s="94" t="s">
        <v>210</v>
      </c>
      <c r="S394" s="94" t="s">
        <v>210</v>
      </c>
      <c r="T394" s="94">
        <v>-2</v>
      </c>
      <c r="U394" s="94"/>
      <c r="V394" s="94"/>
      <c r="W394" s="94"/>
      <c r="X394" s="94"/>
      <c r="Y394" s="94"/>
      <c r="Z394" s="94"/>
      <c r="AA394" s="94"/>
      <c r="AB394" s="94"/>
      <c r="AC394" s="94"/>
      <c r="AD394" s="94"/>
      <c r="AE394" s="94"/>
      <c r="AF394" s="94"/>
      <c r="AG394" s="94"/>
      <c r="AH394" s="94"/>
      <c r="AI394" s="94"/>
      <c r="AJ394" s="94"/>
      <c r="AK394" s="94"/>
      <c r="AL394" s="94"/>
      <c r="AM394" s="94"/>
      <c r="AN394" s="94"/>
      <c r="AO394" s="94"/>
      <c r="AP394" s="94"/>
      <c r="AQ394" s="94"/>
      <c r="AR394" s="94"/>
      <c r="AS394" s="94"/>
      <c r="AT394" s="94"/>
      <c r="AU394" s="94"/>
      <c r="AV394" s="94"/>
      <c r="AW394" s="94"/>
      <c r="AX394" s="94"/>
      <c r="AY394" s="94"/>
      <c r="BA394" s="95"/>
    </row>
    <row r="395" spans="1:53" s="87" customFormat="1">
      <c r="A395" s="90" t="str">
        <f t="shared" si="30"/>
        <v/>
      </c>
      <c r="B395" s="99">
        <v>20</v>
      </c>
      <c r="C395" s="92" t="s">
        <v>210</v>
      </c>
      <c r="D395" s="92">
        <v>7</v>
      </c>
      <c r="E395" s="92">
        <v>-4</v>
      </c>
      <c r="F395" s="92" t="s">
        <v>210</v>
      </c>
      <c r="G395" s="92" t="s">
        <v>210</v>
      </c>
      <c r="H395" s="92">
        <v>-6</v>
      </c>
      <c r="I395" s="92">
        <v>-7</v>
      </c>
      <c r="J395" s="92" t="s">
        <v>210</v>
      </c>
      <c r="K395" s="92" t="s">
        <v>210</v>
      </c>
      <c r="L395" s="92">
        <v>5</v>
      </c>
      <c r="M395" s="92">
        <v>3</v>
      </c>
      <c r="N395" s="92" t="s">
        <v>210</v>
      </c>
      <c r="O395" s="92" t="s">
        <v>210</v>
      </c>
      <c r="P395" s="92">
        <v>4</v>
      </c>
      <c r="Q395" s="92">
        <v>-1</v>
      </c>
      <c r="R395" s="92" t="s">
        <v>210</v>
      </c>
      <c r="S395" s="92" t="s">
        <v>210</v>
      </c>
      <c r="T395" s="92">
        <v>2</v>
      </c>
      <c r="U395" s="94"/>
      <c r="V395" s="94"/>
      <c r="W395" s="94"/>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c r="AW395" s="94"/>
      <c r="AX395" s="94"/>
      <c r="AY395" s="94"/>
      <c r="BA395" s="95"/>
    </row>
    <row r="396" spans="1:53" s="87" customFormat="1">
      <c r="A396" s="90" t="str">
        <f t="shared" ref="A396:A459" si="31">IF(MID(B396,3,2)="07",ROW(),"")</f>
        <v/>
      </c>
      <c r="B396" s="98">
        <v>21</v>
      </c>
      <c r="C396" s="94">
        <v>2</v>
      </c>
      <c r="D396" s="94" t="s">
        <v>210</v>
      </c>
      <c r="E396" s="94" t="s">
        <v>210</v>
      </c>
      <c r="F396" s="94">
        <v>3</v>
      </c>
      <c r="G396" s="94" t="s">
        <v>202</v>
      </c>
      <c r="H396" s="94" t="s">
        <v>210</v>
      </c>
      <c r="I396" s="94">
        <v>-5</v>
      </c>
      <c r="J396" s="94" t="s">
        <v>210</v>
      </c>
      <c r="K396" s="94" t="s">
        <v>210</v>
      </c>
      <c r="L396" s="94">
        <v>-1</v>
      </c>
      <c r="M396" s="94" t="s">
        <v>210</v>
      </c>
      <c r="N396" s="94">
        <v>-2</v>
      </c>
      <c r="O396" s="94">
        <v>1</v>
      </c>
      <c r="P396" s="94" t="s">
        <v>210</v>
      </c>
      <c r="Q396" s="94">
        <v>5</v>
      </c>
      <c r="R396" s="94" t="s">
        <v>210</v>
      </c>
      <c r="S396" s="94">
        <v>-7</v>
      </c>
      <c r="T396" s="94" t="s">
        <v>210</v>
      </c>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BA396" s="95"/>
    </row>
    <row r="397" spans="1:53" s="87" customFormat="1">
      <c r="A397" s="90" t="str">
        <f t="shared" si="31"/>
        <v/>
      </c>
      <c r="B397" s="98">
        <v>22</v>
      </c>
      <c r="C397" s="94" t="s">
        <v>210</v>
      </c>
      <c r="D397" s="94">
        <v>5</v>
      </c>
      <c r="E397" s="94" t="s">
        <v>210</v>
      </c>
      <c r="F397" s="94">
        <v>-7</v>
      </c>
      <c r="G397" s="94">
        <v>-2</v>
      </c>
      <c r="H397" s="94" t="s">
        <v>210</v>
      </c>
      <c r="I397" s="94" t="s">
        <v>210</v>
      </c>
      <c r="J397" s="94">
        <v>-6</v>
      </c>
      <c r="K397" s="94">
        <v>3</v>
      </c>
      <c r="L397" s="94" t="s">
        <v>210</v>
      </c>
      <c r="M397" s="94">
        <v>2</v>
      </c>
      <c r="N397" s="94" t="s">
        <v>210</v>
      </c>
      <c r="O397" s="94" t="s">
        <v>202</v>
      </c>
      <c r="P397" s="94" t="s">
        <v>210</v>
      </c>
      <c r="Q397" s="94" t="s">
        <v>210</v>
      </c>
      <c r="R397" s="94">
        <v>-5</v>
      </c>
      <c r="S397" s="94">
        <v>7</v>
      </c>
      <c r="T397" s="94" t="s">
        <v>210</v>
      </c>
      <c r="U397" s="94"/>
      <c r="V397" s="94"/>
      <c r="W397" s="94"/>
      <c r="X397" s="94"/>
      <c r="Y397" s="94"/>
      <c r="Z397" s="94"/>
      <c r="AA397" s="94"/>
      <c r="AB397" s="94"/>
      <c r="AC397" s="94"/>
      <c r="AD397" s="94"/>
      <c r="AE397" s="94"/>
      <c r="AF397" s="94"/>
      <c r="AG397" s="94"/>
      <c r="AH397" s="94"/>
      <c r="AI397" s="94"/>
      <c r="AJ397" s="94"/>
      <c r="AK397" s="94"/>
      <c r="AL397" s="94"/>
      <c r="AM397" s="94"/>
      <c r="AN397" s="94"/>
      <c r="AO397" s="94"/>
      <c r="AP397" s="94"/>
      <c r="AQ397" s="94"/>
      <c r="AR397" s="94"/>
      <c r="AS397" s="94"/>
      <c r="AT397" s="94"/>
      <c r="AU397" s="94"/>
      <c r="AV397" s="94"/>
      <c r="AW397" s="94"/>
      <c r="AX397" s="94"/>
      <c r="AY397" s="94"/>
      <c r="BA397" s="95"/>
    </row>
    <row r="398" spans="1:53" s="87" customFormat="1">
      <c r="A398" s="90" t="str">
        <f t="shared" si="31"/>
        <v/>
      </c>
      <c r="B398" s="98">
        <v>23</v>
      </c>
      <c r="C398" s="94">
        <v>-2</v>
      </c>
      <c r="D398" s="94" t="s">
        <v>210</v>
      </c>
      <c r="E398" s="94" t="s">
        <v>210</v>
      </c>
      <c r="F398" s="94">
        <v>7</v>
      </c>
      <c r="G398" s="94">
        <v>4</v>
      </c>
      <c r="H398" s="94" t="s">
        <v>210</v>
      </c>
      <c r="I398" s="94" t="s">
        <v>210</v>
      </c>
      <c r="J398" s="94">
        <v>-5</v>
      </c>
      <c r="K398" s="94" t="s">
        <v>202</v>
      </c>
      <c r="L398" s="94" t="s">
        <v>210</v>
      </c>
      <c r="M398" s="94" t="s">
        <v>210</v>
      </c>
      <c r="N398" s="94">
        <v>6</v>
      </c>
      <c r="O398" s="94" t="s">
        <v>210</v>
      </c>
      <c r="P398" s="94">
        <v>-7</v>
      </c>
      <c r="Q398" s="94">
        <v>-4</v>
      </c>
      <c r="R398" s="94" t="s">
        <v>210</v>
      </c>
      <c r="S398" s="94">
        <v>1</v>
      </c>
      <c r="T398" s="94" t="s">
        <v>210</v>
      </c>
      <c r="U398" s="94"/>
      <c r="V398" s="94"/>
      <c r="W398" s="94"/>
      <c r="X398" s="94"/>
      <c r="Y398" s="94"/>
      <c r="Z398" s="94"/>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BA398" s="95"/>
    </row>
    <row r="399" spans="1:53" s="87" customFormat="1">
      <c r="A399" s="90" t="str">
        <f t="shared" si="31"/>
        <v/>
      </c>
      <c r="B399" s="98">
        <v>24</v>
      </c>
      <c r="C399" s="94" t="s">
        <v>210</v>
      </c>
      <c r="D399" s="94">
        <v>-2</v>
      </c>
      <c r="E399" s="94">
        <v>7</v>
      </c>
      <c r="F399" s="94" t="s">
        <v>210</v>
      </c>
      <c r="G399" s="94" t="s">
        <v>210</v>
      </c>
      <c r="H399" s="94">
        <v>-4</v>
      </c>
      <c r="I399" s="94">
        <v>5</v>
      </c>
      <c r="J399" s="94" t="s">
        <v>210</v>
      </c>
      <c r="K399" s="94">
        <v>-3</v>
      </c>
      <c r="L399" s="94" t="s">
        <v>210</v>
      </c>
      <c r="M399" s="94" t="s">
        <v>202</v>
      </c>
      <c r="N399" s="94" t="s">
        <v>210</v>
      </c>
      <c r="O399" s="94" t="s">
        <v>210</v>
      </c>
      <c r="P399" s="94">
        <v>1</v>
      </c>
      <c r="Q399" s="94" t="s">
        <v>210</v>
      </c>
      <c r="R399" s="94">
        <v>4</v>
      </c>
      <c r="S399" s="94">
        <v>-1</v>
      </c>
      <c r="T399" s="94" t="s">
        <v>210</v>
      </c>
      <c r="U399" s="94"/>
      <c r="V399" s="94"/>
      <c r="W399" s="94"/>
      <c r="X399" s="94"/>
      <c r="Y399" s="94"/>
      <c r="Z399" s="94"/>
      <c r="AA399" s="94"/>
      <c r="AB399" s="94"/>
      <c r="AC399" s="94"/>
      <c r="AD399" s="94"/>
      <c r="AE399" s="94"/>
      <c r="AF399" s="94"/>
      <c r="AG399" s="94"/>
      <c r="AH399" s="94"/>
      <c r="AI399" s="94"/>
      <c r="AJ399" s="94"/>
      <c r="AK399" s="94"/>
      <c r="AL399" s="94"/>
      <c r="AM399" s="94"/>
      <c r="AN399" s="94"/>
      <c r="AO399" s="94"/>
      <c r="AP399" s="94"/>
      <c r="AQ399" s="94"/>
      <c r="AR399" s="94"/>
      <c r="AS399" s="94"/>
      <c r="AT399" s="94"/>
      <c r="AU399" s="94"/>
      <c r="AV399" s="94"/>
      <c r="AW399" s="94"/>
      <c r="AX399" s="94"/>
      <c r="AY399" s="94"/>
      <c r="BA399" s="95"/>
    </row>
    <row r="400" spans="1:53" s="87" customFormat="1">
      <c r="A400" s="90" t="str">
        <f t="shared" si="31"/>
        <v/>
      </c>
      <c r="B400" s="98">
        <v>25</v>
      </c>
      <c r="C400" s="94">
        <v>5</v>
      </c>
      <c r="D400" s="94" t="s">
        <v>210</v>
      </c>
      <c r="E400" s="94" t="s">
        <v>202</v>
      </c>
      <c r="F400" s="94" t="s">
        <v>210</v>
      </c>
      <c r="G400" s="94" t="s">
        <v>210</v>
      </c>
      <c r="H400" s="94">
        <v>4</v>
      </c>
      <c r="I400" s="94">
        <v>6</v>
      </c>
      <c r="J400" s="94" t="s">
        <v>210</v>
      </c>
      <c r="K400" s="94" t="s">
        <v>210</v>
      </c>
      <c r="L400" s="94">
        <v>-3</v>
      </c>
      <c r="M400" s="94">
        <v>-2</v>
      </c>
      <c r="N400" s="94" t="s">
        <v>210</v>
      </c>
      <c r="O400" s="94" t="s">
        <v>210</v>
      </c>
      <c r="P400" s="94">
        <v>7</v>
      </c>
      <c r="Q400" s="94">
        <v>-5</v>
      </c>
      <c r="R400" s="94" t="s">
        <v>210</v>
      </c>
      <c r="S400" s="94" t="s">
        <v>210</v>
      </c>
      <c r="T400" s="94">
        <v>-7</v>
      </c>
      <c r="U400" s="94"/>
      <c r="V400" s="94"/>
      <c r="W400" s="94"/>
      <c r="X400" s="94"/>
      <c r="Y400" s="94"/>
      <c r="Z400" s="94"/>
      <c r="AA400" s="94"/>
      <c r="AB400" s="94"/>
      <c r="AC400" s="94"/>
      <c r="AD400" s="94"/>
      <c r="AE400" s="94"/>
      <c r="AF400" s="94"/>
      <c r="AG400" s="94"/>
      <c r="AH400" s="94"/>
      <c r="AI400" s="94"/>
      <c r="AJ400" s="94"/>
      <c r="AK400" s="94"/>
      <c r="AL400" s="94"/>
      <c r="AM400" s="94"/>
      <c r="AN400" s="94"/>
      <c r="AO400" s="94"/>
      <c r="AP400" s="94"/>
      <c r="AQ400" s="94"/>
      <c r="AR400" s="94"/>
      <c r="AS400" s="94"/>
      <c r="AT400" s="94"/>
      <c r="AU400" s="94"/>
      <c r="AV400" s="94"/>
      <c r="AW400" s="94"/>
      <c r="AX400" s="94"/>
      <c r="AY400" s="94"/>
      <c r="BA400" s="95"/>
    </row>
    <row r="401" spans="1:53" s="87" customFormat="1">
      <c r="A401" s="90" t="str">
        <f t="shared" si="31"/>
        <v/>
      </c>
      <c r="B401" s="98">
        <v>26</v>
      </c>
      <c r="C401" s="94" t="s">
        <v>202</v>
      </c>
      <c r="D401" s="94" t="s">
        <v>210</v>
      </c>
      <c r="E401" s="94" t="s">
        <v>210</v>
      </c>
      <c r="F401" s="94">
        <v>-3</v>
      </c>
      <c r="G401" s="94">
        <v>2</v>
      </c>
      <c r="H401" s="94" t="s">
        <v>210</v>
      </c>
      <c r="I401" s="94" t="s">
        <v>210</v>
      </c>
      <c r="J401" s="94">
        <v>5</v>
      </c>
      <c r="K401" s="94">
        <v>-1</v>
      </c>
      <c r="L401" s="94" t="s">
        <v>210</v>
      </c>
      <c r="M401" s="94">
        <v>6</v>
      </c>
      <c r="N401" s="94" t="s">
        <v>210</v>
      </c>
      <c r="O401" s="94">
        <v>-7</v>
      </c>
      <c r="P401" s="94" t="s">
        <v>210</v>
      </c>
      <c r="Q401" s="94" t="s">
        <v>210</v>
      </c>
      <c r="R401" s="94">
        <v>-4</v>
      </c>
      <c r="S401" s="94" t="s">
        <v>210</v>
      </c>
      <c r="T401" s="94">
        <v>7</v>
      </c>
      <c r="U401" s="94"/>
      <c r="V401" s="94"/>
      <c r="W401" s="94"/>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BA401" s="95"/>
    </row>
    <row r="402" spans="1:53" s="87" customFormat="1">
      <c r="A402" s="90" t="str">
        <f t="shared" si="31"/>
        <v/>
      </c>
      <c r="B402" s="98">
        <v>27</v>
      </c>
      <c r="C402" s="94">
        <v>-5</v>
      </c>
      <c r="D402" s="94" t="s">
        <v>210</v>
      </c>
      <c r="E402" s="94">
        <v>-7</v>
      </c>
      <c r="F402" s="94" t="s">
        <v>210</v>
      </c>
      <c r="G402" s="94" t="s">
        <v>210</v>
      </c>
      <c r="H402" s="94">
        <v>2</v>
      </c>
      <c r="I402" s="94" t="s">
        <v>202</v>
      </c>
      <c r="J402" s="94" t="s">
        <v>210</v>
      </c>
      <c r="K402" s="94" t="s">
        <v>210</v>
      </c>
      <c r="L402" s="94">
        <v>1</v>
      </c>
      <c r="M402" s="94" t="s">
        <v>210</v>
      </c>
      <c r="N402" s="94">
        <v>-6</v>
      </c>
      <c r="O402" s="94">
        <v>7</v>
      </c>
      <c r="P402" s="94" t="s">
        <v>210</v>
      </c>
      <c r="Q402" s="94" t="s">
        <v>210</v>
      </c>
      <c r="R402" s="94">
        <v>5</v>
      </c>
      <c r="S402" s="94" t="s">
        <v>210</v>
      </c>
      <c r="T402" s="94">
        <v>-1</v>
      </c>
      <c r="U402" s="94"/>
      <c r="V402" s="94"/>
      <c r="W402" s="94"/>
      <c r="X402" s="94"/>
      <c r="Y402" s="94"/>
      <c r="Z402" s="94"/>
      <c r="AA402" s="94"/>
      <c r="AB402" s="94"/>
      <c r="AC402" s="94"/>
      <c r="AD402" s="94"/>
      <c r="AE402" s="94"/>
      <c r="AF402" s="94"/>
      <c r="AG402" s="94"/>
      <c r="AH402" s="94"/>
      <c r="AI402" s="94"/>
      <c r="AJ402" s="94"/>
      <c r="AK402" s="94"/>
      <c r="AL402" s="94"/>
      <c r="AM402" s="94"/>
      <c r="AN402" s="94"/>
      <c r="AO402" s="94"/>
      <c r="AP402" s="94"/>
      <c r="AQ402" s="94"/>
      <c r="AR402" s="94"/>
      <c r="AS402" s="94"/>
      <c r="AT402" s="94"/>
      <c r="AU402" s="94"/>
      <c r="AV402" s="94"/>
      <c r="AW402" s="94"/>
      <c r="AX402" s="94"/>
      <c r="AY402" s="94"/>
      <c r="BA402" s="95"/>
    </row>
    <row r="403" spans="1:53" s="87" customFormat="1">
      <c r="A403" s="90" t="str">
        <f t="shared" si="31"/>
        <v/>
      </c>
      <c r="B403" s="98">
        <v>28</v>
      </c>
      <c r="C403" s="94" t="s">
        <v>210</v>
      </c>
      <c r="D403" s="94">
        <v>2</v>
      </c>
      <c r="E403" s="94">
        <v>-3</v>
      </c>
      <c r="F403" s="94" t="s">
        <v>210</v>
      </c>
      <c r="G403" s="94">
        <v>-4</v>
      </c>
      <c r="H403" s="94" t="s">
        <v>210</v>
      </c>
      <c r="I403" s="94" t="s">
        <v>210</v>
      </c>
      <c r="J403" s="94">
        <v>6</v>
      </c>
      <c r="K403" s="94" t="s">
        <v>210</v>
      </c>
      <c r="L403" s="94">
        <v>3</v>
      </c>
      <c r="M403" s="94">
        <v>-6</v>
      </c>
      <c r="N403" s="94" t="s">
        <v>210</v>
      </c>
      <c r="O403" s="94">
        <v>-1</v>
      </c>
      <c r="P403" s="94" t="s">
        <v>210</v>
      </c>
      <c r="Q403" s="94" t="s">
        <v>202</v>
      </c>
      <c r="R403" s="94" t="s">
        <v>210</v>
      </c>
      <c r="S403" s="94" t="s">
        <v>210</v>
      </c>
      <c r="T403" s="94">
        <v>1</v>
      </c>
      <c r="U403" s="94"/>
      <c r="V403" s="94"/>
      <c r="W403" s="94"/>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c r="BA403" s="95"/>
    </row>
    <row r="404" spans="1:53" s="87" customFormat="1">
      <c r="A404" s="90" t="str">
        <f t="shared" si="31"/>
        <v/>
      </c>
      <c r="B404" s="98">
        <v>29</v>
      </c>
      <c r="C404" s="94" t="s">
        <v>210</v>
      </c>
      <c r="D404" s="94">
        <v>-5</v>
      </c>
      <c r="E404" s="94">
        <v>3</v>
      </c>
      <c r="F404" s="94" t="s">
        <v>210</v>
      </c>
      <c r="G404" s="94" t="s">
        <v>210</v>
      </c>
      <c r="H404" s="94">
        <v>-2</v>
      </c>
      <c r="I404" s="94">
        <v>-6</v>
      </c>
      <c r="J404" s="94" t="s">
        <v>210</v>
      </c>
      <c r="K404" s="94">
        <v>1</v>
      </c>
      <c r="L404" s="94" t="s">
        <v>210</v>
      </c>
      <c r="M404" s="94" t="s">
        <v>210</v>
      </c>
      <c r="N404" s="94">
        <v>2</v>
      </c>
      <c r="O404" s="94" t="s">
        <v>210</v>
      </c>
      <c r="P404" s="94">
        <v>-1</v>
      </c>
      <c r="Q404" s="94">
        <v>4</v>
      </c>
      <c r="R404" s="94" t="s">
        <v>210</v>
      </c>
      <c r="S404" s="94" t="s">
        <v>202</v>
      </c>
      <c r="T404" s="94" t="s">
        <v>210</v>
      </c>
      <c r="U404" s="94"/>
      <c r="V404" s="94"/>
      <c r="W404" s="94"/>
      <c r="X404" s="94"/>
      <c r="Y404" s="94"/>
      <c r="Z404" s="94"/>
      <c r="AA404" s="94"/>
      <c r="AB404" s="94"/>
      <c r="AC404" s="94"/>
      <c r="AD404" s="94"/>
      <c r="AE404" s="94"/>
      <c r="AF404" s="94"/>
      <c r="AG404" s="94"/>
      <c r="AH404" s="94"/>
      <c r="AI404" s="94"/>
      <c r="AJ404" s="94"/>
      <c r="AK404" s="94"/>
      <c r="AL404" s="94"/>
      <c r="AM404" s="94"/>
      <c r="AN404" s="94"/>
      <c r="AO404" s="94"/>
      <c r="AP404" s="94"/>
      <c r="AQ404" s="94"/>
      <c r="AR404" s="94"/>
      <c r="AS404" s="94"/>
      <c r="AT404" s="94"/>
      <c r="AU404" s="94"/>
      <c r="AV404" s="94"/>
      <c r="AW404" s="94"/>
      <c r="AX404" s="94"/>
      <c r="AY404" s="94"/>
      <c r="BA404" s="95"/>
    </row>
    <row r="405" spans="1:53" s="87" customFormat="1">
      <c r="A405" s="90" t="str">
        <f t="shared" si="31"/>
        <v/>
      </c>
      <c r="B405" s="98" t="s">
        <v>431</v>
      </c>
      <c r="C405" s="94"/>
      <c r="D405" s="94"/>
      <c r="E405" s="94"/>
      <c r="F405" s="94"/>
      <c r="G405" s="94"/>
      <c r="H405" s="94"/>
      <c r="I405" s="94"/>
      <c r="J405" s="94"/>
      <c r="K405" s="94"/>
      <c r="L405" s="94"/>
      <c r="M405" s="94"/>
      <c r="N405" s="94"/>
      <c r="O405" s="94"/>
      <c r="P405" s="94"/>
      <c r="Q405" s="94"/>
      <c r="R405" s="94"/>
      <c r="S405" s="94"/>
      <c r="T405" s="94"/>
      <c r="U405" s="94"/>
      <c r="V405" s="94"/>
      <c r="W405" s="94"/>
      <c r="X405" s="94"/>
      <c r="Y405" s="94"/>
      <c r="Z405" s="94"/>
      <c r="AA405" s="94"/>
      <c r="AB405" s="94"/>
      <c r="AC405" s="94"/>
      <c r="AD405" s="94"/>
      <c r="AE405" s="94"/>
      <c r="AF405" s="94"/>
      <c r="AG405" s="94"/>
      <c r="AH405" s="94"/>
      <c r="AI405" s="94"/>
      <c r="AJ405" s="94"/>
      <c r="AK405" s="94"/>
      <c r="AL405" s="94"/>
      <c r="AM405" s="94"/>
      <c r="AN405" s="94"/>
      <c r="AO405" s="94"/>
      <c r="AP405" s="94"/>
      <c r="AQ405" s="94"/>
      <c r="AR405" s="94"/>
      <c r="AS405" s="94"/>
      <c r="AT405" s="94"/>
      <c r="AU405" s="94"/>
      <c r="AV405" s="94"/>
      <c r="AW405" s="94"/>
      <c r="AX405" s="94"/>
      <c r="AY405" s="94"/>
      <c r="BA405" s="95"/>
    </row>
    <row r="406" spans="1:53" s="87" customFormat="1">
      <c r="A406" s="90">
        <f t="shared" si="31"/>
        <v>406</v>
      </c>
      <c r="B406" s="98" t="s">
        <v>437</v>
      </c>
      <c r="C406" s="94"/>
      <c r="D406" s="94"/>
      <c r="E406" s="94"/>
      <c r="F406" s="94"/>
      <c r="G406" s="94"/>
      <c r="H406" s="94"/>
      <c r="I406" s="94"/>
      <c r="J406" s="94"/>
      <c r="K406" s="94"/>
      <c r="L406" s="94"/>
      <c r="M406" s="94"/>
      <c r="N406" s="94"/>
      <c r="O406" s="94"/>
      <c r="P406" s="94"/>
      <c r="Q406" s="94"/>
      <c r="R406" s="94"/>
      <c r="S406" s="94"/>
      <c r="T406" s="94"/>
      <c r="U406" s="94"/>
      <c r="V406" s="94"/>
      <c r="W406" s="94"/>
      <c r="X406" s="94"/>
      <c r="Y406" s="94"/>
      <c r="Z406" s="94"/>
      <c r="AA406" s="94"/>
      <c r="AB406" s="94"/>
      <c r="AC406" s="94"/>
      <c r="AD406" s="94"/>
      <c r="AE406" s="94"/>
      <c r="AF406" s="94"/>
      <c r="AG406" s="94"/>
      <c r="AH406" s="94"/>
      <c r="AI406" s="94"/>
      <c r="AJ406" s="94"/>
      <c r="AK406" s="94"/>
      <c r="AL406" s="94"/>
      <c r="AM406" s="94"/>
      <c r="AN406" s="94"/>
      <c r="AO406" s="94"/>
      <c r="AP406" s="94"/>
      <c r="AQ406" s="94"/>
      <c r="AR406" s="94"/>
      <c r="AS406" s="94"/>
      <c r="AT406" s="94"/>
      <c r="AU406" s="94"/>
      <c r="AV406" s="94"/>
      <c r="AW406" s="94"/>
      <c r="AX406" s="94"/>
      <c r="AY406" s="94"/>
      <c r="BA406" s="95"/>
    </row>
    <row r="407" spans="1:53" s="87" customFormat="1">
      <c r="A407" s="90" t="str">
        <f t="shared" si="31"/>
        <v/>
      </c>
      <c r="B407" s="98">
        <v>1</v>
      </c>
      <c r="C407" s="94">
        <v>-3</v>
      </c>
      <c r="D407" s="94" t="s">
        <v>210</v>
      </c>
      <c r="E407" s="94" t="s">
        <v>210</v>
      </c>
      <c r="F407" s="94">
        <v>-6</v>
      </c>
      <c r="G407" s="94">
        <v>-7</v>
      </c>
      <c r="H407" s="94" t="s">
        <v>210</v>
      </c>
      <c r="I407" s="94" t="s">
        <v>210</v>
      </c>
      <c r="J407" s="94">
        <v>2</v>
      </c>
      <c r="K407" s="94">
        <v>-4</v>
      </c>
      <c r="L407" s="94" t="s">
        <v>210</v>
      </c>
      <c r="M407" s="94" t="s">
        <v>210</v>
      </c>
      <c r="N407" s="94">
        <v>1</v>
      </c>
      <c r="O407" s="94">
        <v>5</v>
      </c>
      <c r="P407" s="94" t="s">
        <v>210</v>
      </c>
      <c r="Q407" s="94" t="s">
        <v>210</v>
      </c>
      <c r="R407" s="94">
        <v>3</v>
      </c>
      <c r="S407" s="94">
        <v>-2</v>
      </c>
      <c r="T407" s="94" t="s">
        <v>210</v>
      </c>
      <c r="U407" s="94" t="s">
        <v>210</v>
      </c>
      <c r="V407" s="94" t="s">
        <v>202</v>
      </c>
      <c r="W407" s="94">
        <v>7</v>
      </c>
      <c r="X407" s="94" t="s">
        <v>210</v>
      </c>
      <c r="Y407" s="94" t="s">
        <v>210</v>
      </c>
      <c r="Z407" s="94">
        <v>6</v>
      </c>
      <c r="AA407" s="94">
        <v>-1</v>
      </c>
      <c r="AB407" s="94" t="s">
        <v>210</v>
      </c>
      <c r="AC407" s="94" t="s">
        <v>210</v>
      </c>
      <c r="AD407" s="94">
        <v>-5</v>
      </c>
      <c r="AE407" s="94">
        <v>4</v>
      </c>
      <c r="AF407" s="94" t="s">
        <v>210</v>
      </c>
      <c r="AG407" s="94"/>
      <c r="AH407" s="94"/>
      <c r="AI407" s="94"/>
      <c r="AJ407" s="94"/>
      <c r="AK407" s="94"/>
      <c r="AL407" s="94"/>
      <c r="AM407" s="94"/>
      <c r="AN407" s="94"/>
      <c r="AO407" s="94"/>
      <c r="AP407" s="94"/>
      <c r="AQ407" s="94"/>
      <c r="AR407" s="94"/>
      <c r="AS407" s="94"/>
      <c r="AT407" s="94"/>
      <c r="AU407" s="94"/>
      <c r="AV407" s="94"/>
      <c r="AW407" s="94"/>
      <c r="AX407" s="94"/>
      <c r="AY407" s="94"/>
      <c r="BA407" s="95"/>
    </row>
    <row r="408" spans="1:53" s="87" customFormat="1">
      <c r="A408" s="90" t="str">
        <f t="shared" si="31"/>
        <v/>
      </c>
      <c r="B408" s="98">
        <v>2</v>
      </c>
      <c r="C408" s="94">
        <v>5</v>
      </c>
      <c r="D408" s="94" t="s">
        <v>210</v>
      </c>
      <c r="E408" s="94" t="s">
        <v>210</v>
      </c>
      <c r="F408" s="94">
        <v>-2</v>
      </c>
      <c r="G408" s="94">
        <v>1</v>
      </c>
      <c r="H408" s="94" t="s">
        <v>210</v>
      </c>
      <c r="I408" s="94" t="s">
        <v>210</v>
      </c>
      <c r="J408" s="94">
        <v>-3</v>
      </c>
      <c r="K408" s="94" t="s">
        <v>202</v>
      </c>
      <c r="L408" s="94" t="s">
        <v>210</v>
      </c>
      <c r="M408" s="94" t="s">
        <v>210</v>
      </c>
      <c r="N408" s="94">
        <v>7</v>
      </c>
      <c r="O408" s="94">
        <v>6</v>
      </c>
      <c r="P408" s="94" t="s">
        <v>210</v>
      </c>
      <c r="Q408" s="94" t="s">
        <v>210</v>
      </c>
      <c r="R408" s="94">
        <v>4</v>
      </c>
      <c r="S408" s="94">
        <v>-1</v>
      </c>
      <c r="T408" s="94" t="s">
        <v>210</v>
      </c>
      <c r="U408" s="94" t="s">
        <v>210</v>
      </c>
      <c r="V408" s="94">
        <v>3</v>
      </c>
      <c r="W408" s="94">
        <v>2</v>
      </c>
      <c r="X408" s="94" t="s">
        <v>210</v>
      </c>
      <c r="Y408" s="94" t="s">
        <v>210</v>
      </c>
      <c r="Z408" s="94">
        <v>-5</v>
      </c>
      <c r="AA408" s="94">
        <v>-7</v>
      </c>
      <c r="AB408" s="94" t="s">
        <v>210</v>
      </c>
      <c r="AC408" s="94" t="s">
        <v>210</v>
      </c>
      <c r="AD408" s="94">
        <v>-6</v>
      </c>
      <c r="AE408" s="94">
        <v>-4</v>
      </c>
      <c r="AF408" s="94" t="s">
        <v>210</v>
      </c>
      <c r="AG408" s="94"/>
      <c r="AH408" s="94"/>
      <c r="AI408" s="94"/>
      <c r="AJ408" s="94"/>
      <c r="AK408" s="94"/>
      <c r="AL408" s="94"/>
      <c r="AM408" s="94"/>
      <c r="AN408" s="94"/>
      <c r="AO408" s="94"/>
      <c r="AP408" s="94"/>
      <c r="AQ408" s="94"/>
      <c r="AR408" s="94"/>
      <c r="AS408" s="94"/>
      <c r="AT408" s="94"/>
      <c r="AU408" s="94"/>
      <c r="AV408" s="94"/>
      <c r="AW408" s="94"/>
      <c r="AX408" s="94"/>
      <c r="AY408" s="94"/>
      <c r="BA408" s="95"/>
    </row>
    <row r="409" spans="1:53" s="87" customFormat="1">
      <c r="A409" s="90" t="str">
        <f t="shared" si="31"/>
        <v/>
      </c>
      <c r="B409" s="98">
        <v>3</v>
      </c>
      <c r="C409" s="94">
        <v>3</v>
      </c>
      <c r="D409" s="94" t="s">
        <v>210</v>
      </c>
      <c r="E409" s="94" t="s">
        <v>210</v>
      </c>
      <c r="F409" s="94">
        <v>1</v>
      </c>
      <c r="G409" s="94">
        <v>-2</v>
      </c>
      <c r="H409" s="94" t="s">
        <v>210</v>
      </c>
      <c r="I409" s="94" t="s">
        <v>210</v>
      </c>
      <c r="J409" s="94">
        <v>-6</v>
      </c>
      <c r="K409" s="94">
        <v>7</v>
      </c>
      <c r="L409" s="94" t="s">
        <v>210</v>
      </c>
      <c r="M409" s="94" t="s">
        <v>210</v>
      </c>
      <c r="N409" s="94" t="s">
        <v>202</v>
      </c>
      <c r="O409" s="94">
        <v>4</v>
      </c>
      <c r="P409" s="94" t="s">
        <v>210</v>
      </c>
      <c r="Q409" s="94" t="s">
        <v>210</v>
      </c>
      <c r="R409" s="94">
        <v>-5</v>
      </c>
      <c r="S409" s="94">
        <v>-7</v>
      </c>
      <c r="T409" s="94" t="s">
        <v>210</v>
      </c>
      <c r="U409" s="94" t="s">
        <v>210</v>
      </c>
      <c r="V409" s="94">
        <v>2</v>
      </c>
      <c r="W409" s="94">
        <v>-1</v>
      </c>
      <c r="X409" s="94" t="s">
        <v>210</v>
      </c>
      <c r="Y409" s="94" t="s">
        <v>210</v>
      </c>
      <c r="Z409" s="94">
        <v>-4</v>
      </c>
      <c r="AA409" s="94">
        <v>-3</v>
      </c>
      <c r="AB409" s="94" t="s">
        <v>210</v>
      </c>
      <c r="AC409" s="94" t="s">
        <v>210</v>
      </c>
      <c r="AD409" s="94">
        <v>6</v>
      </c>
      <c r="AE409" s="94">
        <v>5</v>
      </c>
      <c r="AF409" s="94" t="s">
        <v>210</v>
      </c>
      <c r="AG409" s="94"/>
      <c r="AH409" s="94"/>
      <c r="AI409" s="94"/>
      <c r="AJ409" s="94"/>
      <c r="AK409" s="94"/>
      <c r="AL409" s="94"/>
      <c r="AM409" s="94"/>
      <c r="AN409" s="94"/>
      <c r="AO409" s="94"/>
      <c r="AP409" s="94"/>
      <c r="AQ409" s="94"/>
      <c r="AR409" s="94"/>
      <c r="AS409" s="94"/>
      <c r="AT409" s="94"/>
      <c r="AU409" s="94"/>
      <c r="AV409" s="94"/>
      <c r="AW409" s="94"/>
      <c r="AX409" s="94"/>
      <c r="AY409" s="94"/>
      <c r="BA409" s="95"/>
    </row>
    <row r="410" spans="1:53" s="87" customFormat="1">
      <c r="A410" s="90" t="str">
        <f t="shared" si="31"/>
        <v/>
      </c>
      <c r="B410" s="98">
        <v>4</v>
      </c>
      <c r="C410" s="94">
        <v>6</v>
      </c>
      <c r="D410" s="94" t="s">
        <v>210</v>
      </c>
      <c r="E410" s="94" t="s">
        <v>210</v>
      </c>
      <c r="F410" s="94" t="s">
        <v>202</v>
      </c>
      <c r="G410" s="94">
        <v>7</v>
      </c>
      <c r="H410" s="94" t="s">
        <v>210</v>
      </c>
      <c r="I410" s="94" t="s">
        <v>210</v>
      </c>
      <c r="J410" s="94">
        <v>-4</v>
      </c>
      <c r="K410" s="94">
        <v>1</v>
      </c>
      <c r="L410" s="94" t="s">
        <v>210</v>
      </c>
      <c r="M410" s="94" t="s">
        <v>210</v>
      </c>
      <c r="N410" s="94">
        <v>5</v>
      </c>
      <c r="O410" s="94">
        <v>3</v>
      </c>
      <c r="P410" s="94" t="s">
        <v>210</v>
      </c>
      <c r="Q410" s="94" t="s">
        <v>210</v>
      </c>
      <c r="R410" s="94">
        <v>2</v>
      </c>
      <c r="S410" s="94">
        <v>-3</v>
      </c>
      <c r="T410" s="94" t="s">
        <v>210</v>
      </c>
      <c r="U410" s="94" t="s">
        <v>210</v>
      </c>
      <c r="V410" s="94">
        <v>-6</v>
      </c>
      <c r="W410" s="94">
        <v>-2</v>
      </c>
      <c r="X410" s="94" t="s">
        <v>210</v>
      </c>
      <c r="Y410" s="94" t="s">
        <v>210</v>
      </c>
      <c r="Z410" s="94">
        <v>-7</v>
      </c>
      <c r="AA410" s="94">
        <v>4</v>
      </c>
      <c r="AB410" s="94" t="s">
        <v>210</v>
      </c>
      <c r="AC410" s="94" t="s">
        <v>210</v>
      </c>
      <c r="AD410" s="94">
        <v>-1</v>
      </c>
      <c r="AE410" s="94">
        <v>-5</v>
      </c>
      <c r="AF410" s="94" t="s">
        <v>210</v>
      </c>
      <c r="AG410" s="94"/>
      <c r="AH410" s="94"/>
      <c r="AI410" s="94"/>
      <c r="AJ410" s="94"/>
      <c r="AK410" s="94"/>
      <c r="AL410" s="94"/>
      <c r="AM410" s="94"/>
      <c r="AN410" s="94"/>
      <c r="AO410" s="94"/>
      <c r="AP410" s="94"/>
      <c r="AQ410" s="94"/>
      <c r="AR410" s="94"/>
      <c r="AS410" s="94"/>
      <c r="AT410" s="94"/>
      <c r="AU410" s="94"/>
      <c r="AV410" s="94"/>
      <c r="AW410" s="94"/>
      <c r="AX410" s="94"/>
      <c r="AY410" s="94"/>
      <c r="BA410" s="95"/>
    </row>
    <row r="411" spans="1:53" s="87" customFormat="1">
      <c r="A411" s="90" t="str">
        <f t="shared" si="31"/>
        <v/>
      </c>
      <c r="B411" s="98">
        <v>5</v>
      </c>
      <c r="C411" s="94">
        <v>2</v>
      </c>
      <c r="D411" s="94" t="s">
        <v>210</v>
      </c>
      <c r="E411" s="94" t="s">
        <v>210</v>
      </c>
      <c r="F411" s="94">
        <v>-3</v>
      </c>
      <c r="G411" s="94">
        <v>-4</v>
      </c>
      <c r="H411" s="94" t="s">
        <v>210</v>
      </c>
      <c r="I411" s="94" t="s">
        <v>210</v>
      </c>
      <c r="J411" s="94">
        <v>1</v>
      </c>
      <c r="K411" s="94">
        <v>-5</v>
      </c>
      <c r="L411" s="94" t="s">
        <v>210</v>
      </c>
      <c r="M411" s="94" t="s">
        <v>210</v>
      </c>
      <c r="N411" s="94">
        <v>-6</v>
      </c>
      <c r="O411" s="94">
        <v>-7</v>
      </c>
      <c r="P411" s="94" t="s">
        <v>210</v>
      </c>
      <c r="Q411" s="94" t="s">
        <v>210</v>
      </c>
      <c r="R411" s="94">
        <v>-2</v>
      </c>
      <c r="S411" s="94">
        <v>6</v>
      </c>
      <c r="T411" s="94" t="s">
        <v>210</v>
      </c>
      <c r="U411" s="94" t="s">
        <v>210</v>
      </c>
      <c r="V411" s="94">
        <v>-1</v>
      </c>
      <c r="W411" s="94" t="s">
        <v>202</v>
      </c>
      <c r="X411" s="94" t="s">
        <v>210</v>
      </c>
      <c r="Y411" s="94" t="s">
        <v>210</v>
      </c>
      <c r="Z411" s="94">
        <v>4</v>
      </c>
      <c r="AA411" s="94">
        <v>7</v>
      </c>
      <c r="AB411" s="94" t="s">
        <v>210</v>
      </c>
      <c r="AC411" s="94" t="s">
        <v>210</v>
      </c>
      <c r="AD411" s="94">
        <v>5</v>
      </c>
      <c r="AE411" s="94">
        <v>3</v>
      </c>
      <c r="AF411" s="94" t="s">
        <v>210</v>
      </c>
      <c r="AG411" s="94"/>
      <c r="AH411" s="94"/>
      <c r="AI411" s="94"/>
      <c r="AJ411" s="94"/>
      <c r="AK411" s="94"/>
      <c r="AL411" s="94"/>
      <c r="AM411" s="94"/>
      <c r="AN411" s="94"/>
      <c r="AO411" s="94"/>
      <c r="AP411" s="94"/>
      <c r="AQ411" s="94"/>
      <c r="AR411" s="94"/>
      <c r="AS411" s="94"/>
      <c r="AT411" s="94"/>
      <c r="AU411" s="94"/>
      <c r="AV411" s="94"/>
      <c r="AW411" s="94"/>
      <c r="AX411" s="94"/>
      <c r="AY411" s="94"/>
      <c r="BA411" s="95"/>
    </row>
    <row r="412" spans="1:53" s="87" customFormat="1">
      <c r="A412" s="90" t="str">
        <f t="shared" si="31"/>
        <v/>
      </c>
      <c r="B412" s="98">
        <v>6</v>
      </c>
      <c r="C412" s="94">
        <v>7</v>
      </c>
      <c r="D412" s="94" t="s">
        <v>210</v>
      </c>
      <c r="E412" s="94" t="s">
        <v>210</v>
      </c>
      <c r="F412" s="94">
        <v>5</v>
      </c>
      <c r="G412" s="94">
        <v>-1</v>
      </c>
      <c r="H412" s="94" t="s">
        <v>210</v>
      </c>
      <c r="I412" s="94" t="s">
        <v>210</v>
      </c>
      <c r="J412" s="94">
        <v>4</v>
      </c>
      <c r="K412" s="94">
        <v>-2</v>
      </c>
      <c r="L412" s="94" t="s">
        <v>210</v>
      </c>
      <c r="M412" s="94" t="s">
        <v>210</v>
      </c>
      <c r="N412" s="94">
        <v>3</v>
      </c>
      <c r="O412" s="94" t="s">
        <v>202</v>
      </c>
      <c r="P412" s="94" t="s">
        <v>210</v>
      </c>
      <c r="Q412" s="94" t="s">
        <v>210</v>
      </c>
      <c r="R412" s="94">
        <v>6</v>
      </c>
      <c r="S412" s="94">
        <v>-5</v>
      </c>
      <c r="T412" s="94" t="s">
        <v>210</v>
      </c>
      <c r="U412" s="94" t="s">
        <v>210</v>
      </c>
      <c r="V412" s="94">
        <v>-4</v>
      </c>
      <c r="W412" s="94">
        <v>1</v>
      </c>
      <c r="X412" s="94" t="s">
        <v>210</v>
      </c>
      <c r="Y412" s="94" t="s">
        <v>210</v>
      </c>
      <c r="Z412" s="94">
        <v>-6</v>
      </c>
      <c r="AA412" s="94">
        <v>2</v>
      </c>
      <c r="AB412" s="94" t="s">
        <v>210</v>
      </c>
      <c r="AC412" s="94" t="s">
        <v>210</v>
      </c>
      <c r="AD412" s="94">
        <v>-7</v>
      </c>
      <c r="AE412" s="94">
        <v>-3</v>
      </c>
      <c r="AF412" s="94" t="s">
        <v>210</v>
      </c>
      <c r="AG412" s="94"/>
      <c r="AH412" s="94"/>
      <c r="AI412" s="94"/>
      <c r="AJ412" s="94"/>
      <c r="AK412" s="94"/>
      <c r="AL412" s="94"/>
      <c r="AM412" s="94"/>
      <c r="AN412" s="94"/>
      <c r="AO412" s="94"/>
      <c r="AP412" s="94"/>
      <c r="AQ412" s="94"/>
      <c r="AR412" s="94"/>
      <c r="AS412" s="94"/>
      <c r="AT412" s="94"/>
      <c r="AU412" s="94"/>
      <c r="AV412" s="94"/>
      <c r="AW412" s="94"/>
      <c r="AX412" s="94"/>
      <c r="AY412" s="94"/>
      <c r="BA412" s="95"/>
    </row>
    <row r="413" spans="1:53" s="87" customFormat="1">
      <c r="A413" s="90" t="str">
        <f t="shared" si="31"/>
        <v/>
      </c>
      <c r="B413" s="98">
        <v>7</v>
      </c>
      <c r="C413" s="94">
        <v>-7</v>
      </c>
      <c r="D413" s="94" t="s">
        <v>210</v>
      </c>
      <c r="E413" s="94" t="s">
        <v>210</v>
      </c>
      <c r="F413" s="94">
        <v>4</v>
      </c>
      <c r="G413" s="94" t="s">
        <v>202</v>
      </c>
      <c r="H413" s="94" t="s">
        <v>210</v>
      </c>
      <c r="I413" s="94" t="s">
        <v>210</v>
      </c>
      <c r="J413" s="94">
        <v>-5</v>
      </c>
      <c r="K413" s="94">
        <v>-3</v>
      </c>
      <c r="L413" s="94" t="s">
        <v>210</v>
      </c>
      <c r="M413" s="94" t="s">
        <v>210</v>
      </c>
      <c r="N413" s="94">
        <v>6</v>
      </c>
      <c r="O413" s="94">
        <v>-2</v>
      </c>
      <c r="P413" s="94" t="s">
        <v>210</v>
      </c>
      <c r="Q413" s="94" t="s">
        <v>210</v>
      </c>
      <c r="R413" s="94">
        <v>-1</v>
      </c>
      <c r="S413" s="94">
        <v>2</v>
      </c>
      <c r="T413" s="94" t="s">
        <v>210</v>
      </c>
      <c r="U413" s="94" t="s">
        <v>210</v>
      </c>
      <c r="V413" s="94">
        <v>7</v>
      </c>
      <c r="W413" s="94">
        <v>-4</v>
      </c>
      <c r="X413" s="94" t="s">
        <v>210</v>
      </c>
      <c r="Y413" s="94" t="s">
        <v>210</v>
      </c>
      <c r="Z413" s="94">
        <v>5</v>
      </c>
      <c r="AA413" s="94">
        <v>3</v>
      </c>
      <c r="AB413" s="94" t="s">
        <v>210</v>
      </c>
      <c r="AC413" s="94" t="s">
        <v>210</v>
      </c>
      <c r="AD413" s="94">
        <v>1</v>
      </c>
      <c r="AE413" s="94">
        <v>-6</v>
      </c>
      <c r="AF413" s="94" t="s">
        <v>210</v>
      </c>
      <c r="AG413" s="94"/>
      <c r="AH413" s="94"/>
      <c r="AI413" s="94"/>
      <c r="AJ413" s="94"/>
      <c r="AK413" s="94"/>
      <c r="AL413" s="94"/>
      <c r="AM413" s="94"/>
      <c r="AN413" s="94"/>
      <c r="AO413" s="94"/>
      <c r="AP413" s="94"/>
      <c r="AQ413" s="94"/>
      <c r="AR413" s="94"/>
      <c r="AS413" s="94"/>
      <c r="AT413" s="94"/>
      <c r="AU413" s="94"/>
      <c r="AV413" s="94"/>
      <c r="AW413" s="94"/>
      <c r="AX413" s="94"/>
      <c r="AY413" s="94"/>
      <c r="BA413" s="95"/>
    </row>
    <row r="414" spans="1:53" s="87" customFormat="1">
      <c r="A414" s="90" t="str">
        <f t="shared" si="31"/>
        <v/>
      </c>
      <c r="B414" s="98">
        <v>8</v>
      </c>
      <c r="C414" s="94">
        <v>4</v>
      </c>
      <c r="D414" s="94" t="s">
        <v>210</v>
      </c>
      <c r="E414" s="94" t="s">
        <v>210</v>
      </c>
      <c r="F414" s="94">
        <v>3</v>
      </c>
      <c r="G414" s="94">
        <v>5</v>
      </c>
      <c r="H414" s="94" t="s">
        <v>210</v>
      </c>
      <c r="I414" s="94" t="s">
        <v>210</v>
      </c>
      <c r="J414" s="94">
        <v>-7</v>
      </c>
      <c r="K414" s="94">
        <v>2</v>
      </c>
      <c r="L414" s="94" t="s">
        <v>210</v>
      </c>
      <c r="M414" s="94" t="s">
        <v>210</v>
      </c>
      <c r="N414" s="94">
        <v>-1</v>
      </c>
      <c r="O414" s="94">
        <v>-6</v>
      </c>
      <c r="P414" s="94" t="s">
        <v>210</v>
      </c>
      <c r="Q414" s="94" t="s">
        <v>210</v>
      </c>
      <c r="R414" s="94">
        <v>7</v>
      </c>
      <c r="S414" s="94" t="s">
        <v>202</v>
      </c>
      <c r="T414" s="94" t="s">
        <v>210</v>
      </c>
      <c r="U414" s="94" t="s">
        <v>210</v>
      </c>
      <c r="V414" s="94">
        <v>-2</v>
      </c>
      <c r="W414" s="94">
        <v>-5</v>
      </c>
      <c r="X414" s="94" t="s">
        <v>210</v>
      </c>
      <c r="Y414" s="94" t="s">
        <v>210</v>
      </c>
      <c r="Z414" s="94">
        <v>1</v>
      </c>
      <c r="AA414" s="94">
        <v>-4</v>
      </c>
      <c r="AB414" s="94" t="s">
        <v>210</v>
      </c>
      <c r="AC414" s="94" t="s">
        <v>210</v>
      </c>
      <c r="AD414" s="94">
        <v>-3</v>
      </c>
      <c r="AE414" s="94">
        <v>6</v>
      </c>
      <c r="AF414" s="94" t="s">
        <v>210</v>
      </c>
      <c r="AG414" s="94"/>
      <c r="AH414" s="94"/>
      <c r="AI414" s="94"/>
      <c r="AJ414" s="94"/>
      <c r="AK414" s="94"/>
      <c r="AL414" s="94"/>
      <c r="AM414" s="94"/>
      <c r="AN414" s="94"/>
      <c r="AO414" s="94"/>
      <c r="AP414" s="94"/>
      <c r="AQ414" s="94"/>
      <c r="AR414" s="94"/>
      <c r="AS414" s="94"/>
      <c r="AT414" s="94"/>
      <c r="AU414" s="94"/>
      <c r="AV414" s="94"/>
      <c r="AW414" s="94"/>
      <c r="AX414" s="94"/>
      <c r="AY414" s="94"/>
      <c r="BA414" s="95"/>
    </row>
    <row r="415" spans="1:53" s="87" customFormat="1">
      <c r="A415" s="90" t="str">
        <f t="shared" si="31"/>
        <v/>
      </c>
      <c r="B415" s="98">
        <v>9</v>
      </c>
      <c r="C415" s="94">
        <v>-4</v>
      </c>
      <c r="D415" s="94" t="s">
        <v>210</v>
      </c>
      <c r="E415" s="94" t="s">
        <v>210</v>
      </c>
      <c r="F415" s="94">
        <v>-1</v>
      </c>
      <c r="G415" s="94">
        <v>6</v>
      </c>
      <c r="H415" s="94" t="s">
        <v>210</v>
      </c>
      <c r="I415" s="94" t="s">
        <v>210</v>
      </c>
      <c r="J415" s="94">
        <v>-2</v>
      </c>
      <c r="K415" s="94">
        <v>5</v>
      </c>
      <c r="L415" s="94" t="s">
        <v>210</v>
      </c>
      <c r="M415" s="94" t="s">
        <v>210</v>
      </c>
      <c r="N415" s="94">
        <v>-7</v>
      </c>
      <c r="O415" s="94">
        <v>-3</v>
      </c>
      <c r="P415" s="94" t="s">
        <v>210</v>
      </c>
      <c r="Q415" s="94" t="s">
        <v>210</v>
      </c>
      <c r="R415" s="94">
        <v>1</v>
      </c>
      <c r="S415" s="94">
        <v>4</v>
      </c>
      <c r="T415" s="94" t="s">
        <v>210</v>
      </c>
      <c r="U415" s="94" t="s">
        <v>210</v>
      </c>
      <c r="V415" s="94">
        <v>-5</v>
      </c>
      <c r="W415" s="94">
        <v>-6</v>
      </c>
      <c r="X415" s="94" t="s">
        <v>210</v>
      </c>
      <c r="Y415" s="94" t="s">
        <v>210</v>
      </c>
      <c r="Z415" s="94">
        <v>3</v>
      </c>
      <c r="AA415" s="94" t="s">
        <v>202</v>
      </c>
      <c r="AB415" s="94" t="s">
        <v>210</v>
      </c>
      <c r="AC415" s="94" t="s">
        <v>210</v>
      </c>
      <c r="AD415" s="94">
        <v>7</v>
      </c>
      <c r="AE415" s="94">
        <v>2</v>
      </c>
      <c r="AF415" s="94" t="s">
        <v>210</v>
      </c>
      <c r="AG415" s="94"/>
      <c r="AH415" s="94"/>
      <c r="AI415" s="94"/>
      <c r="AJ415" s="94"/>
      <c r="AK415" s="94"/>
      <c r="AL415" s="94"/>
      <c r="AM415" s="94"/>
      <c r="AN415" s="94"/>
      <c r="AO415" s="94"/>
      <c r="AP415" s="94"/>
      <c r="AQ415" s="94"/>
      <c r="AR415" s="94"/>
      <c r="AS415" s="94"/>
      <c r="AT415" s="94"/>
      <c r="AU415" s="94"/>
      <c r="AV415" s="94"/>
      <c r="AW415" s="94"/>
      <c r="AX415" s="94"/>
      <c r="AY415" s="94"/>
      <c r="BA415" s="95"/>
    </row>
    <row r="416" spans="1:53" s="87" customFormat="1">
      <c r="A416" s="90" t="str">
        <f t="shared" si="31"/>
        <v/>
      </c>
      <c r="B416" s="98">
        <v>10</v>
      </c>
      <c r="C416" s="94">
        <v>-5</v>
      </c>
      <c r="D416" s="94" t="s">
        <v>210</v>
      </c>
      <c r="E416" s="94" t="s">
        <v>210</v>
      </c>
      <c r="F416" s="94">
        <v>7</v>
      </c>
      <c r="G416" s="94">
        <v>-3</v>
      </c>
      <c r="H416" s="94" t="s">
        <v>210</v>
      </c>
      <c r="I416" s="94" t="s">
        <v>210</v>
      </c>
      <c r="J416" s="94">
        <v>-1</v>
      </c>
      <c r="K416" s="94">
        <v>6</v>
      </c>
      <c r="L416" s="94" t="s">
        <v>210</v>
      </c>
      <c r="M416" s="94" t="s">
        <v>210</v>
      </c>
      <c r="N416" s="94">
        <v>2</v>
      </c>
      <c r="O416" s="94">
        <v>-4</v>
      </c>
      <c r="P416" s="94" t="s">
        <v>210</v>
      </c>
      <c r="Q416" s="94" t="s">
        <v>210</v>
      </c>
      <c r="R416" s="94">
        <v>-6</v>
      </c>
      <c r="S416" s="94">
        <v>3</v>
      </c>
      <c r="T416" s="94" t="s">
        <v>210</v>
      </c>
      <c r="U416" s="94" t="s">
        <v>210</v>
      </c>
      <c r="V416" s="94">
        <v>-7</v>
      </c>
      <c r="W416" s="94">
        <v>5</v>
      </c>
      <c r="X416" s="94" t="s">
        <v>210</v>
      </c>
      <c r="Y416" s="94" t="s">
        <v>210</v>
      </c>
      <c r="Z416" s="94" t="s">
        <v>202</v>
      </c>
      <c r="AA416" s="94">
        <v>1</v>
      </c>
      <c r="AB416" s="94" t="s">
        <v>210</v>
      </c>
      <c r="AC416" s="94" t="s">
        <v>210</v>
      </c>
      <c r="AD416" s="94">
        <v>4</v>
      </c>
      <c r="AE416" s="94">
        <v>-2</v>
      </c>
      <c r="AF416" s="94" t="s">
        <v>210</v>
      </c>
      <c r="AG416" s="94"/>
      <c r="AH416" s="94"/>
      <c r="AI416" s="94"/>
      <c r="AJ416" s="94"/>
      <c r="AK416" s="94"/>
      <c r="AL416" s="94"/>
      <c r="AM416" s="94"/>
      <c r="AN416" s="94"/>
      <c r="AO416" s="94"/>
      <c r="AP416" s="94"/>
      <c r="AQ416" s="94"/>
      <c r="AR416" s="94"/>
      <c r="AS416" s="94"/>
      <c r="AT416" s="94"/>
      <c r="AU416" s="94"/>
      <c r="AV416" s="94"/>
      <c r="AW416" s="94"/>
      <c r="AX416" s="94"/>
      <c r="AY416" s="94"/>
      <c r="BA416" s="95"/>
    </row>
    <row r="417" spans="1:53" s="87" customFormat="1">
      <c r="A417" s="90" t="str">
        <f t="shared" si="31"/>
        <v/>
      </c>
      <c r="B417" s="98">
        <v>11</v>
      </c>
      <c r="C417" s="94">
        <v>-1</v>
      </c>
      <c r="D417" s="94" t="s">
        <v>210</v>
      </c>
      <c r="E417" s="94" t="s">
        <v>210</v>
      </c>
      <c r="F417" s="94">
        <v>-4</v>
      </c>
      <c r="G417" s="94">
        <v>2</v>
      </c>
      <c r="H417" s="94" t="s">
        <v>210</v>
      </c>
      <c r="I417" s="94" t="s">
        <v>210</v>
      </c>
      <c r="J417" s="94" t="s">
        <v>202</v>
      </c>
      <c r="K417" s="94">
        <v>-6</v>
      </c>
      <c r="L417" s="94" t="s">
        <v>210</v>
      </c>
      <c r="M417" s="94" t="s">
        <v>210</v>
      </c>
      <c r="N417" s="94">
        <v>-5</v>
      </c>
      <c r="O417" s="94">
        <v>7</v>
      </c>
      <c r="P417" s="94" t="s">
        <v>210</v>
      </c>
      <c r="Q417" s="94" t="s">
        <v>210</v>
      </c>
      <c r="R417" s="94">
        <v>-3</v>
      </c>
      <c r="S417" s="94">
        <v>1</v>
      </c>
      <c r="T417" s="94" t="s">
        <v>210</v>
      </c>
      <c r="U417" s="94" t="s">
        <v>210</v>
      </c>
      <c r="V417" s="94">
        <v>4</v>
      </c>
      <c r="W417" s="94">
        <v>6</v>
      </c>
      <c r="X417" s="94" t="s">
        <v>210</v>
      </c>
      <c r="Y417" s="94" t="s">
        <v>210</v>
      </c>
      <c r="Z417" s="94">
        <v>-2</v>
      </c>
      <c r="AA417" s="94">
        <v>5</v>
      </c>
      <c r="AB417" s="94" t="s">
        <v>210</v>
      </c>
      <c r="AC417" s="94" t="s">
        <v>210</v>
      </c>
      <c r="AD417" s="94">
        <v>3</v>
      </c>
      <c r="AE417" s="94">
        <v>-7</v>
      </c>
      <c r="AF417" s="94" t="s">
        <v>210</v>
      </c>
      <c r="AG417" s="94"/>
      <c r="AH417" s="94"/>
      <c r="AI417" s="94"/>
      <c r="AJ417" s="94"/>
      <c r="AK417" s="94"/>
      <c r="AL417" s="94"/>
      <c r="AM417" s="94"/>
      <c r="AN417" s="94"/>
      <c r="AO417" s="94"/>
      <c r="AP417" s="94"/>
      <c r="AQ417" s="94"/>
      <c r="AR417" s="94"/>
      <c r="AS417" s="94"/>
      <c r="AT417" s="94"/>
      <c r="AU417" s="94"/>
      <c r="AV417" s="94"/>
      <c r="AW417" s="94"/>
      <c r="AX417" s="94"/>
      <c r="AY417" s="94"/>
      <c r="BA417" s="95"/>
    </row>
    <row r="418" spans="1:53" s="87" customFormat="1">
      <c r="A418" s="90" t="str">
        <f t="shared" si="31"/>
        <v/>
      </c>
      <c r="B418" s="98">
        <v>12</v>
      </c>
      <c r="C418" s="94" t="s">
        <v>202</v>
      </c>
      <c r="D418" s="94" t="s">
        <v>210</v>
      </c>
      <c r="E418" s="94" t="s">
        <v>210</v>
      </c>
      <c r="F418" s="94">
        <v>2</v>
      </c>
      <c r="G418" s="94">
        <v>3</v>
      </c>
      <c r="H418" s="94" t="s">
        <v>210</v>
      </c>
      <c r="I418" s="94" t="s">
        <v>210</v>
      </c>
      <c r="J418" s="94">
        <v>6</v>
      </c>
      <c r="K418" s="94">
        <v>-1</v>
      </c>
      <c r="L418" s="94" t="s">
        <v>210</v>
      </c>
      <c r="M418" s="94" t="s">
        <v>210</v>
      </c>
      <c r="N418" s="94">
        <v>-4</v>
      </c>
      <c r="O418" s="94">
        <v>-5</v>
      </c>
      <c r="P418" s="94" t="s">
        <v>210</v>
      </c>
      <c r="Q418" s="94" t="s">
        <v>210</v>
      </c>
      <c r="R418" s="94">
        <v>-7</v>
      </c>
      <c r="S418" s="94">
        <v>5</v>
      </c>
      <c r="T418" s="94" t="s">
        <v>210</v>
      </c>
      <c r="U418" s="94" t="s">
        <v>210</v>
      </c>
      <c r="V418" s="94">
        <v>1</v>
      </c>
      <c r="W418" s="94">
        <v>4</v>
      </c>
      <c r="X418" s="94" t="s">
        <v>210</v>
      </c>
      <c r="Y418" s="94" t="s">
        <v>210</v>
      </c>
      <c r="Z418" s="94">
        <v>-3</v>
      </c>
      <c r="AA418" s="94">
        <v>-6</v>
      </c>
      <c r="AB418" s="94" t="s">
        <v>210</v>
      </c>
      <c r="AC418" s="94" t="s">
        <v>210</v>
      </c>
      <c r="AD418" s="94">
        <v>-2</v>
      </c>
      <c r="AE418" s="94">
        <v>7</v>
      </c>
      <c r="AF418" s="94" t="s">
        <v>210</v>
      </c>
      <c r="AG418" s="94"/>
      <c r="AH418" s="94"/>
      <c r="AI418" s="94"/>
      <c r="AJ418" s="94"/>
      <c r="AK418" s="94"/>
      <c r="AL418" s="94"/>
      <c r="AM418" s="94"/>
      <c r="AN418" s="94"/>
      <c r="AO418" s="94"/>
      <c r="AP418" s="94"/>
      <c r="AQ418" s="94"/>
      <c r="AR418" s="94"/>
      <c r="AS418" s="94"/>
      <c r="AT418" s="94"/>
      <c r="AU418" s="94"/>
      <c r="AV418" s="94"/>
      <c r="AW418" s="94"/>
      <c r="AX418" s="94"/>
      <c r="AY418" s="94"/>
      <c r="BA418" s="95"/>
    </row>
    <row r="419" spans="1:53" s="87" customFormat="1">
      <c r="A419" s="90" t="str">
        <f t="shared" si="31"/>
        <v/>
      </c>
      <c r="B419" s="98">
        <v>13</v>
      </c>
      <c r="C419" s="94">
        <v>1</v>
      </c>
      <c r="D419" s="94" t="s">
        <v>210</v>
      </c>
      <c r="E419" s="94" t="s">
        <v>210</v>
      </c>
      <c r="F419" s="94">
        <v>6</v>
      </c>
      <c r="G419" s="94">
        <v>-5</v>
      </c>
      <c r="H419" s="94" t="s">
        <v>210</v>
      </c>
      <c r="I419" s="94" t="s">
        <v>210</v>
      </c>
      <c r="J419" s="94">
        <v>3</v>
      </c>
      <c r="K419" s="94">
        <v>-7</v>
      </c>
      <c r="L419" s="94" t="s">
        <v>210</v>
      </c>
      <c r="M419" s="94" t="s">
        <v>210</v>
      </c>
      <c r="N419" s="94">
        <v>4</v>
      </c>
      <c r="O419" s="94">
        <v>2</v>
      </c>
      <c r="P419" s="94" t="s">
        <v>210</v>
      </c>
      <c r="Q419" s="94" t="s">
        <v>210</v>
      </c>
      <c r="R419" s="94" t="s">
        <v>202</v>
      </c>
      <c r="S419" s="94">
        <v>-6</v>
      </c>
      <c r="T419" s="94" t="s">
        <v>210</v>
      </c>
      <c r="U419" s="94" t="s">
        <v>210</v>
      </c>
      <c r="V419" s="94">
        <v>5</v>
      </c>
      <c r="W419" s="94">
        <v>-3</v>
      </c>
      <c r="X419" s="94" t="s">
        <v>210</v>
      </c>
      <c r="Y419" s="94" t="s">
        <v>210</v>
      </c>
      <c r="Z419" s="94">
        <v>7</v>
      </c>
      <c r="AA419" s="94">
        <v>-2</v>
      </c>
      <c r="AB419" s="94" t="s">
        <v>210</v>
      </c>
      <c r="AC419" s="94" t="s">
        <v>210</v>
      </c>
      <c r="AD419" s="94">
        <v>-4</v>
      </c>
      <c r="AE419" s="94">
        <v>-1</v>
      </c>
      <c r="AF419" s="94" t="s">
        <v>210</v>
      </c>
      <c r="AG419" s="94"/>
      <c r="AH419" s="94"/>
      <c r="AI419" s="94"/>
      <c r="AJ419" s="94"/>
      <c r="AK419" s="94"/>
      <c r="AL419" s="94"/>
      <c r="AM419" s="94"/>
      <c r="AN419" s="94"/>
      <c r="AO419" s="94"/>
      <c r="AP419" s="94"/>
      <c r="AQ419" s="94"/>
      <c r="AR419" s="94"/>
      <c r="AS419" s="94"/>
      <c r="AT419" s="94"/>
      <c r="AU419" s="94"/>
      <c r="AV419" s="94"/>
      <c r="AW419" s="94"/>
      <c r="AX419" s="94"/>
      <c r="AY419" s="94"/>
      <c r="BA419" s="95"/>
    </row>
    <row r="420" spans="1:53" s="87" customFormat="1">
      <c r="A420" s="90" t="str">
        <f t="shared" si="31"/>
        <v/>
      </c>
      <c r="B420" s="98">
        <v>14</v>
      </c>
      <c r="C420" s="94">
        <v>-6</v>
      </c>
      <c r="D420" s="94" t="s">
        <v>210</v>
      </c>
      <c r="E420" s="94" t="s">
        <v>210</v>
      </c>
      <c r="F420" s="94">
        <v>-5</v>
      </c>
      <c r="G420" s="94">
        <v>4</v>
      </c>
      <c r="H420" s="94" t="s">
        <v>210</v>
      </c>
      <c r="I420" s="94" t="s">
        <v>210</v>
      </c>
      <c r="J420" s="94">
        <v>7</v>
      </c>
      <c r="K420" s="94">
        <v>3</v>
      </c>
      <c r="L420" s="94" t="s">
        <v>210</v>
      </c>
      <c r="M420" s="94" t="s">
        <v>210</v>
      </c>
      <c r="N420" s="94">
        <v>-2</v>
      </c>
      <c r="O420" s="94">
        <v>-1</v>
      </c>
      <c r="P420" s="94" t="s">
        <v>210</v>
      </c>
      <c r="Q420" s="94" t="s">
        <v>210</v>
      </c>
      <c r="R420" s="94">
        <v>5</v>
      </c>
      <c r="S420" s="94">
        <v>-4</v>
      </c>
      <c r="T420" s="94" t="s">
        <v>210</v>
      </c>
      <c r="U420" s="94" t="s">
        <v>210</v>
      </c>
      <c r="V420" s="94">
        <v>-3</v>
      </c>
      <c r="W420" s="94">
        <v>-7</v>
      </c>
      <c r="X420" s="94" t="s">
        <v>210</v>
      </c>
      <c r="Y420" s="94" t="s">
        <v>210</v>
      </c>
      <c r="Z420" s="94">
        <v>2</v>
      </c>
      <c r="AA420" s="94">
        <v>6</v>
      </c>
      <c r="AB420" s="94" t="s">
        <v>210</v>
      </c>
      <c r="AC420" s="94" t="s">
        <v>210</v>
      </c>
      <c r="AD420" s="94" t="s">
        <v>202</v>
      </c>
      <c r="AE420" s="94">
        <v>1</v>
      </c>
      <c r="AF420" s="94" t="s">
        <v>210</v>
      </c>
      <c r="AG420" s="94"/>
      <c r="AH420" s="94"/>
      <c r="AI420" s="94"/>
      <c r="AJ420" s="94"/>
      <c r="AK420" s="94"/>
      <c r="AL420" s="94"/>
      <c r="AM420" s="94"/>
      <c r="AN420" s="94"/>
      <c r="AO420" s="94"/>
      <c r="AP420" s="94"/>
      <c r="AQ420" s="94"/>
      <c r="AR420" s="94"/>
      <c r="AS420" s="94"/>
      <c r="AT420" s="94"/>
      <c r="AU420" s="94"/>
      <c r="AV420" s="94"/>
      <c r="AW420" s="94"/>
      <c r="AX420" s="94"/>
      <c r="AY420" s="94"/>
      <c r="BA420" s="95"/>
    </row>
    <row r="421" spans="1:53" s="87" customFormat="1">
      <c r="A421" s="90" t="str">
        <f t="shared" si="31"/>
        <v/>
      </c>
      <c r="B421" s="99">
        <v>15</v>
      </c>
      <c r="C421" s="92">
        <v>-2</v>
      </c>
      <c r="D421" s="92" t="s">
        <v>210</v>
      </c>
      <c r="E421" s="92" t="s">
        <v>210</v>
      </c>
      <c r="F421" s="92">
        <v>-7</v>
      </c>
      <c r="G421" s="92">
        <v>-6</v>
      </c>
      <c r="H421" s="92" t="s">
        <v>210</v>
      </c>
      <c r="I421" s="92" t="s">
        <v>210</v>
      </c>
      <c r="J421" s="92">
        <v>5</v>
      </c>
      <c r="K421" s="92">
        <v>4</v>
      </c>
      <c r="L421" s="92" t="s">
        <v>210</v>
      </c>
      <c r="M421" s="92" t="s">
        <v>210</v>
      </c>
      <c r="N421" s="92">
        <v>-3</v>
      </c>
      <c r="O421" s="92">
        <v>1</v>
      </c>
      <c r="P421" s="92" t="s">
        <v>210</v>
      </c>
      <c r="Q421" s="92" t="s">
        <v>210</v>
      </c>
      <c r="R421" s="92">
        <v>-4</v>
      </c>
      <c r="S421" s="92">
        <v>7</v>
      </c>
      <c r="T421" s="92" t="s">
        <v>210</v>
      </c>
      <c r="U421" s="92" t="s">
        <v>210</v>
      </c>
      <c r="V421" s="92">
        <v>6</v>
      </c>
      <c r="W421" s="92">
        <v>3</v>
      </c>
      <c r="X421" s="92" t="s">
        <v>210</v>
      </c>
      <c r="Y421" s="92" t="s">
        <v>210</v>
      </c>
      <c r="Z421" s="92">
        <v>-1</v>
      </c>
      <c r="AA421" s="92">
        <v>-5</v>
      </c>
      <c r="AB421" s="92" t="s">
        <v>210</v>
      </c>
      <c r="AC421" s="92" t="s">
        <v>210</v>
      </c>
      <c r="AD421" s="92">
        <v>2</v>
      </c>
      <c r="AE421" s="92" t="s">
        <v>202</v>
      </c>
      <c r="AF421" s="92" t="s">
        <v>210</v>
      </c>
      <c r="AG421" s="94"/>
      <c r="AH421" s="94"/>
      <c r="AI421" s="94"/>
      <c r="AJ421" s="94"/>
      <c r="AK421" s="94"/>
      <c r="AL421" s="94"/>
      <c r="AM421" s="94"/>
      <c r="AN421" s="94"/>
      <c r="AO421" s="94"/>
      <c r="AP421" s="94"/>
      <c r="AQ421" s="94"/>
      <c r="AR421" s="94"/>
      <c r="AS421" s="94"/>
      <c r="AT421" s="94"/>
      <c r="AU421" s="94"/>
      <c r="AV421" s="94"/>
      <c r="AW421" s="94"/>
      <c r="AX421" s="94"/>
      <c r="AY421" s="94"/>
      <c r="BA421" s="95"/>
    </row>
    <row r="422" spans="1:53" s="87" customFormat="1">
      <c r="A422" s="90" t="str">
        <f t="shared" si="31"/>
        <v/>
      </c>
      <c r="B422" s="98">
        <v>16</v>
      </c>
      <c r="C422" s="94" t="s">
        <v>210</v>
      </c>
      <c r="D422" s="94">
        <v>-3</v>
      </c>
      <c r="E422" s="94">
        <v>-6</v>
      </c>
      <c r="F422" s="94" t="s">
        <v>210</v>
      </c>
      <c r="G422" s="94" t="s">
        <v>210</v>
      </c>
      <c r="H422" s="94">
        <v>-7</v>
      </c>
      <c r="I422" s="94">
        <v>2</v>
      </c>
      <c r="J422" s="94" t="s">
        <v>210</v>
      </c>
      <c r="K422" s="94" t="s">
        <v>210</v>
      </c>
      <c r="L422" s="94">
        <v>-4</v>
      </c>
      <c r="M422" s="94">
        <v>1</v>
      </c>
      <c r="N422" s="94" t="s">
        <v>210</v>
      </c>
      <c r="O422" s="94" t="s">
        <v>210</v>
      </c>
      <c r="P422" s="94">
        <v>5</v>
      </c>
      <c r="Q422" s="94">
        <v>3</v>
      </c>
      <c r="R422" s="94" t="s">
        <v>210</v>
      </c>
      <c r="S422" s="94" t="s">
        <v>210</v>
      </c>
      <c r="T422" s="94">
        <v>-2</v>
      </c>
      <c r="U422" s="94" t="s">
        <v>202</v>
      </c>
      <c r="V422" s="94" t="s">
        <v>210</v>
      </c>
      <c r="W422" s="94" t="s">
        <v>210</v>
      </c>
      <c r="X422" s="94">
        <v>7</v>
      </c>
      <c r="Y422" s="94">
        <v>6</v>
      </c>
      <c r="Z422" s="94" t="s">
        <v>210</v>
      </c>
      <c r="AA422" s="94" t="s">
        <v>210</v>
      </c>
      <c r="AB422" s="94">
        <v>-1</v>
      </c>
      <c r="AC422" s="94">
        <v>-5</v>
      </c>
      <c r="AD422" s="94" t="s">
        <v>210</v>
      </c>
      <c r="AE422" s="94" t="s">
        <v>210</v>
      </c>
      <c r="AF422" s="94">
        <v>4</v>
      </c>
      <c r="AG422" s="94"/>
      <c r="AH422" s="94"/>
      <c r="AI422" s="94"/>
      <c r="AJ422" s="94"/>
      <c r="AK422" s="94"/>
      <c r="AL422" s="94"/>
      <c r="AM422" s="94"/>
      <c r="AN422" s="94"/>
      <c r="AO422" s="94"/>
      <c r="AP422" s="94"/>
      <c r="AQ422" s="94"/>
      <c r="AR422" s="94"/>
      <c r="AS422" s="94"/>
      <c r="AT422" s="94"/>
      <c r="AU422" s="94"/>
      <c r="AV422" s="94"/>
      <c r="AW422" s="94"/>
      <c r="AX422" s="94"/>
      <c r="AY422" s="94"/>
      <c r="BA422" s="95"/>
    </row>
    <row r="423" spans="1:53" s="87" customFormat="1">
      <c r="A423" s="90" t="str">
        <f t="shared" si="31"/>
        <v/>
      </c>
      <c r="B423" s="98">
        <v>17</v>
      </c>
      <c r="C423" s="94" t="s">
        <v>210</v>
      </c>
      <c r="D423" s="94">
        <v>5</v>
      </c>
      <c r="E423" s="94">
        <v>-2</v>
      </c>
      <c r="F423" s="94" t="s">
        <v>210</v>
      </c>
      <c r="G423" s="94" t="s">
        <v>210</v>
      </c>
      <c r="H423" s="94">
        <v>1</v>
      </c>
      <c r="I423" s="94">
        <v>-3</v>
      </c>
      <c r="J423" s="94" t="s">
        <v>210</v>
      </c>
      <c r="K423" s="94" t="s">
        <v>210</v>
      </c>
      <c r="L423" s="94" t="s">
        <v>202</v>
      </c>
      <c r="M423" s="94">
        <v>7</v>
      </c>
      <c r="N423" s="94" t="s">
        <v>210</v>
      </c>
      <c r="O423" s="94" t="s">
        <v>210</v>
      </c>
      <c r="P423" s="94">
        <v>6</v>
      </c>
      <c r="Q423" s="94">
        <v>4</v>
      </c>
      <c r="R423" s="94" t="s">
        <v>210</v>
      </c>
      <c r="S423" s="94" t="s">
        <v>210</v>
      </c>
      <c r="T423" s="94">
        <v>-1</v>
      </c>
      <c r="U423" s="94">
        <v>3</v>
      </c>
      <c r="V423" s="94" t="s">
        <v>210</v>
      </c>
      <c r="W423" s="94" t="s">
        <v>210</v>
      </c>
      <c r="X423" s="94">
        <v>2</v>
      </c>
      <c r="Y423" s="94">
        <v>-5</v>
      </c>
      <c r="Z423" s="94" t="s">
        <v>210</v>
      </c>
      <c r="AA423" s="94" t="s">
        <v>210</v>
      </c>
      <c r="AB423" s="94">
        <v>-7</v>
      </c>
      <c r="AC423" s="94">
        <v>-6</v>
      </c>
      <c r="AD423" s="94" t="s">
        <v>210</v>
      </c>
      <c r="AE423" s="94" t="s">
        <v>210</v>
      </c>
      <c r="AF423" s="94">
        <v>-4</v>
      </c>
      <c r="AG423" s="94"/>
      <c r="AH423" s="94"/>
      <c r="AI423" s="94"/>
      <c r="AJ423" s="94"/>
      <c r="AK423" s="94"/>
      <c r="AL423" s="94"/>
      <c r="AM423" s="94"/>
      <c r="AN423" s="94"/>
      <c r="AO423" s="94"/>
      <c r="AP423" s="94"/>
      <c r="AQ423" s="94"/>
      <c r="AR423" s="94"/>
      <c r="AS423" s="94"/>
      <c r="AT423" s="94"/>
      <c r="AU423" s="94"/>
      <c r="AV423" s="94"/>
      <c r="AW423" s="94"/>
      <c r="AX423" s="94"/>
      <c r="AY423" s="94"/>
      <c r="BA423" s="95"/>
    </row>
    <row r="424" spans="1:53" s="87" customFormat="1">
      <c r="A424" s="90" t="str">
        <f t="shared" si="31"/>
        <v/>
      </c>
      <c r="B424" s="98">
        <v>18</v>
      </c>
      <c r="C424" s="94" t="s">
        <v>210</v>
      </c>
      <c r="D424" s="94">
        <v>3</v>
      </c>
      <c r="E424" s="94">
        <v>1</v>
      </c>
      <c r="F424" s="94" t="s">
        <v>210</v>
      </c>
      <c r="G424" s="94" t="s">
        <v>210</v>
      </c>
      <c r="H424" s="94">
        <v>-2</v>
      </c>
      <c r="I424" s="94">
        <v>-6</v>
      </c>
      <c r="J424" s="94" t="s">
        <v>210</v>
      </c>
      <c r="K424" s="94" t="s">
        <v>210</v>
      </c>
      <c r="L424" s="94">
        <v>7</v>
      </c>
      <c r="M424" s="94" t="s">
        <v>202</v>
      </c>
      <c r="N424" s="94" t="s">
        <v>210</v>
      </c>
      <c r="O424" s="94" t="s">
        <v>210</v>
      </c>
      <c r="P424" s="94">
        <v>4</v>
      </c>
      <c r="Q424" s="94">
        <v>-5</v>
      </c>
      <c r="R424" s="94" t="s">
        <v>210</v>
      </c>
      <c r="S424" s="94" t="s">
        <v>210</v>
      </c>
      <c r="T424" s="94">
        <v>-7</v>
      </c>
      <c r="U424" s="94">
        <v>2</v>
      </c>
      <c r="V424" s="94" t="s">
        <v>210</v>
      </c>
      <c r="W424" s="94" t="s">
        <v>210</v>
      </c>
      <c r="X424" s="94">
        <v>-1</v>
      </c>
      <c r="Y424" s="94">
        <v>-4</v>
      </c>
      <c r="Z424" s="94" t="s">
        <v>210</v>
      </c>
      <c r="AA424" s="94" t="s">
        <v>210</v>
      </c>
      <c r="AB424" s="94">
        <v>-3</v>
      </c>
      <c r="AC424" s="94">
        <v>6</v>
      </c>
      <c r="AD424" s="94" t="s">
        <v>210</v>
      </c>
      <c r="AE424" s="94" t="s">
        <v>210</v>
      </c>
      <c r="AF424" s="94">
        <v>5</v>
      </c>
      <c r="AG424" s="94"/>
      <c r="AH424" s="94"/>
      <c r="AI424" s="94"/>
      <c r="AJ424" s="94"/>
      <c r="AK424" s="94"/>
      <c r="AL424" s="94"/>
      <c r="AM424" s="94"/>
      <c r="AN424" s="94"/>
      <c r="AO424" s="94"/>
      <c r="AP424" s="94"/>
      <c r="AQ424" s="94"/>
      <c r="AR424" s="94"/>
      <c r="AS424" s="94"/>
      <c r="AT424" s="94"/>
      <c r="AU424" s="94"/>
      <c r="AV424" s="94"/>
      <c r="AW424" s="94"/>
      <c r="AX424" s="94"/>
      <c r="AY424" s="94"/>
      <c r="BA424" s="95"/>
    </row>
    <row r="425" spans="1:53" s="87" customFormat="1">
      <c r="A425" s="90" t="str">
        <f t="shared" si="31"/>
        <v/>
      </c>
      <c r="B425" s="98">
        <v>19</v>
      </c>
      <c r="C425" s="94" t="s">
        <v>210</v>
      </c>
      <c r="D425" s="94">
        <v>6</v>
      </c>
      <c r="E425" s="94" t="s">
        <v>202</v>
      </c>
      <c r="F425" s="94" t="s">
        <v>210</v>
      </c>
      <c r="G425" s="94" t="s">
        <v>210</v>
      </c>
      <c r="H425" s="94">
        <v>7</v>
      </c>
      <c r="I425" s="94">
        <v>-4</v>
      </c>
      <c r="J425" s="94" t="s">
        <v>210</v>
      </c>
      <c r="K425" s="94" t="s">
        <v>210</v>
      </c>
      <c r="L425" s="94">
        <v>1</v>
      </c>
      <c r="M425" s="94">
        <v>5</v>
      </c>
      <c r="N425" s="94" t="s">
        <v>210</v>
      </c>
      <c r="O425" s="94" t="s">
        <v>210</v>
      </c>
      <c r="P425" s="94">
        <v>3</v>
      </c>
      <c r="Q425" s="94">
        <v>2</v>
      </c>
      <c r="R425" s="94" t="s">
        <v>210</v>
      </c>
      <c r="S425" s="94" t="s">
        <v>210</v>
      </c>
      <c r="T425" s="94">
        <v>-3</v>
      </c>
      <c r="U425" s="94">
        <v>-6</v>
      </c>
      <c r="V425" s="94" t="s">
        <v>210</v>
      </c>
      <c r="W425" s="94" t="s">
        <v>210</v>
      </c>
      <c r="X425" s="94">
        <v>-2</v>
      </c>
      <c r="Y425" s="94">
        <v>-7</v>
      </c>
      <c r="Z425" s="94" t="s">
        <v>210</v>
      </c>
      <c r="AA425" s="94" t="s">
        <v>210</v>
      </c>
      <c r="AB425" s="94">
        <v>4</v>
      </c>
      <c r="AC425" s="94">
        <v>-1</v>
      </c>
      <c r="AD425" s="94" t="s">
        <v>210</v>
      </c>
      <c r="AE425" s="94" t="s">
        <v>210</v>
      </c>
      <c r="AF425" s="94">
        <v>-5</v>
      </c>
      <c r="AG425" s="94"/>
      <c r="AH425" s="94"/>
      <c r="AI425" s="94"/>
      <c r="AJ425" s="94"/>
      <c r="AK425" s="94"/>
      <c r="AL425" s="94"/>
      <c r="AM425" s="94"/>
      <c r="AN425" s="94"/>
      <c r="AO425" s="94"/>
      <c r="AP425" s="94"/>
      <c r="AQ425" s="94"/>
      <c r="AR425" s="94"/>
      <c r="AS425" s="94"/>
      <c r="AT425" s="94"/>
      <c r="AU425" s="94"/>
      <c r="AV425" s="94"/>
      <c r="AW425" s="94"/>
      <c r="AX425" s="94"/>
      <c r="AY425" s="94"/>
      <c r="BA425" s="95"/>
    </row>
    <row r="426" spans="1:53" s="87" customFormat="1">
      <c r="A426" s="90" t="str">
        <f t="shared" si="31"/>
        <v/>
      </c>
      <c r="B426" s="98">
        <v>20</v>
      </c>
      <c r="C426" s="94" t="s">
        <v>210</v>
      </c>
      <c r="D426" s="94">
        <v>2</v>
      </c>
      <c r="E426" s="94">
        <v>-3</v>
      </c>
      <c r="F426" s="94" t="s">
        <v>210</v>
      </c>
      <c r="G426" s="94" t="s">
        <v>210</v>
      </c>
      <c r="H426" s="94">
        <v>-4</v>
      </c>
      <c r="I426" s="94">
        <v>1</v>
      </c>
      <c r="J426" s="94" t="s">
        <v>210</v>
      </c>
      <c r="K426" s="94" t="s">
        <v>210</v>
      </c>
      <c r="L426" s="94">
        <v>-5</v>
      </c>
      <c r="M426" s="94">
        <v>-6</v>
      </c>
      <c r="N426" s="94" t="s">
        <v>210</v>
      </c>
      <c r="O426" s="94" t="s">
        <v>210</v>
      </c>
      <c r="P426" s="94">
        <v>-7</v>
      </c>
      <c r="Q426" s="94">
        <v>-2</v>
      </c>
      <c r="R426" s="94" t="s">
        <v>210</v>
      </c>
      <c r="S426" s="94" t="s">
        <v>210</v>
      </c>
      <c r="T426" s="94">
        <v>6</v>
      </c>
      <c r="U426" s="94">
        <v>-1</v>
      </c>
      <c r="V426" s="94" t="s">
        <v>210</v>
      </c>
      <c r="W426" s="94" t="s">
        <v>210</v>
      </c>
      <c r="X426" s="94" t="s">
        <v>202</v>
      </c>
      <c r="Y426" s="94">
        <v>4</v>
      </c>
      <c r="Z426" s="94" t="s">
        <v>210</v>
      </c>
      <c r="AA426" s="94" t="s">
        <v>210</v>
      </c>
      <c r="AB426" s="94">
        <v>7</v>
      </c>
      <c r="AC426" s="94">
        <v>5</v>
      </c>
      <c r="AD426" s="94" t="s">
        <v>210</v>
      </c>
      <c r="AE426" s="94" t="s">
        <v>210</v>
      </c>
      <c r="AF426" s="94">
        <v>3</v>
      </c>
      <c r="AG426" s="94"/>
      <c r="AH426" s="94"/>
      <c r="AI426" s="94"/>
      <c r="AJ426" s="94"/>
      <c r="AK426" s="94"/>
      <c r="AL426" s="94"/>
      <c r="AM426" s="94"/>
      <c r="AN426" s="94"/>
      <c r="AO426" s="94"/>
      <c r="AP426" s="94"/>
      <c r="AQ426" s="94"/>
      <c r="AR426" s="94"/>
      <c r="AS426" s="94"/>
      <c r="AT426" s="94"/>
      <c r="AU426" s="94"/>
      <c r="AV426" s="94"/>
      <c r="AW426" s="94"/>
      <c r="AX426" s="94"/>
      <c r="AY426" s="94"/>
      <c r="BA426" s="95"/>
    </row>
    <row r="427" spans="1:53" s="87" customFormat="1">
      <c r="A427" s="90" t="str">
        <f t="shared" si="31"/>
        <v/>
      </c>
      <c r="B427" s="98">
        <v>21</v>
      </c>
      <c r="C427" s="94" t="s">
        <v>210</v>
      </c>
      <c r="D427" s="94">
        <v>7</v>
      </c>
      <c r="E427" s="94">
        <v>5</v>
      </c>
      <c r="F427" s="94" t="s">
        <v>210</v>
      </c>
      <c r="G427" s="94" t="s">
        <v>210</v>
      </c>
      <c r="H427" s="94">
        <v>-1</v>
      </c>
      <c r="I427" s="94">
        <v>4</v>
      </c>
      <c r="J427" s="94" t="s">
        <v>210</v>
      </c>
      <c r="K427" s="94" t="s">
        <v>210</v>
      </c>
      <c r="L427" s="94">
        <v>-2</v>
      </c>
      <c r="M427" s="94">
        <v>3</v>
      </c>
      <c r="N427" s="94" t="s">
        <v>210</v>
      </c>
      <c r="O427" s="94" t="s">
        <v>210</v>
      </c>
      <c r="P427" s="94" t="s">
        <v>202</v>
      </c>
      <c r="Q427" s="94">
        <v>6</v>
      </c>
      <c r="R427" s="94" t="s">
        <v>210</v>
      </c>
      <c r="S427" s="94" t="s">
        <v>210</v>
      </c>
      <c r="T427" s="94">
        <v>-5</v>
      </c>
      <c r="U427" s="94">
        <v>-4</v>
      </c>
      <c r="V427" s="94" t="s">
        <v>210</v>
      </c>
      <c r="W427" s="94" t="s">
        <v>210</v>
      </c>
      <c r="X427" s="94">
        <v>1</v>
      </c>
      <c r="Y427" s="94">
        <v>-6</v>
      </c>
      <c r="Z427" s="94" t="s">
        <v>210</v>
      </c>
      <c r="AA427" s="94" t="s">
        <v>210</v>
      </c>
      <c r="AB427" s="94">
        <v>2</v>
      </c>
      <c r="AC427" s="94">
        <v>-7</v>
      </c>
      <c r="AD427" s="94" t="s">
        <v>210</v>
      </c>
      <c r="AE427" s="94" t="s">
        <v>210</v>
      </c>
      <c r="AF427" s="94">
        <v>-3</v>
      </c>
      <c r="AG427" s="94"/>
      <c r="AH427" s="94"/>
      <c r="AI427" s="94"/>
      <c r="AJ427" s="94"/>
      <c r="AK427" s="94"/>
      <c r="AL427" s="94"/>
      <c r="AM427" s="94"/>
      <c r="AN427" s="94"/>
      <c r="AO427" s="94"/>
      <c r="AP427" s="94"/>
      <c r="AQ427" s="94"/>
      <c r="AR427" s="94"/>
      <c r="AS427" s="94"/>
      <c r="AT427" s="94"/>
      <c r="AU427" s="94"/>
      <c r="AV427" s="94"/>
      <c r="AW427" s="94"/>
      <c r="AX427" s="94"/>
      <c r="AY427" s="94"/>
      <c r="BA427" s="95"/>
    </row>
    <row r="428" spans="1:53" s="87" customFormat="1">
      <c r="A428" s="90" t="str">
        <f t="shared" si="31"/>
        <v/>
      </c>
      <c r="B428" s="98">
        <v>22</v>
      </c>
      <c r="C428" s="94" t="s">
        <v>210</v>
      </c>
      <c r="D428" s="94">
        <v>-7</v>
      </c>
      <c r="E428" s="94">
        <v>4</v>
      </c>
      <c r="F428" s="94" t="s">
        <v>210</v>
      </c>
      <c r="G428" s="94" t="s">
        <v>210</v>
      </c>
      <c r="H428" s="94" t="s">
        <v>202</v>
      </c>
      <c r="I428" s="94">
        <v>-5</v>
      </c>
      <c r="J428" s="94" t="s">
        <v>210</v>
      </c>
      <c r="K428" s="94" t="s">
        <v>210</v>
      </c>
      <c r="L428" s="94">
        <v>-3</v>
      </c>
      <c r="M428" s="94">
        <v>6</v>
      </c>
      <c r="N428" s="94" t="s">
        <v>210</v>
      </c>
      <c r="O428" s="94" t="s">
        <v>210</v>
      </c>
      <c r="P428" s="94">
        <v>-2</v>
      </c>
      <c r="Q428" s="94">
        <v>-1</v>
      </c>
      <c r="R428" s="94" t="s">
        <v>210</v>
      </c>
      <c r="S428" s="94" t="s">
        <v>210</v>
      </c>
      <c r="T428" s="94">
        <v>2</v>
      </c>
      <c r="U428" s="94">
        <v>7</v>
      </c>
      <c r="V428" s="94" t="s">
        <v>210</v>
      </c>
      <c r="W428" s="94" t="s">
        <v>210</v>
      </c>
      <c r="X428" s="94">
        <v>-4</v>
      </c>
      <c r="Y428" s="94">
        <v>5</v>
      </c>
      <c r="Z428" s="94" t="s">
        <v>210</v>
      </c>
      <c r="AA428" s="94" t="s">
        <v>210</v>
      </c>
      <c r="AB428" s="94">
        <v>3</v>
      </c>
      <c r="AC428" s="94">
        <v>1</v>
      </c>
      <c r="AD428" s="94" t="s">
        <v>210</v>
      </c>
      <c r="AE428" s="94" t="s">
        <v>210</v>
      </c>
      <c r="AF428" s="94">
        <v>-6</v>
      </c>
      <c r="AG428" s="94"/>
      <c r="AH428" s="94"/>
      <c r="AI428" s="94"/>
      <c r="AJ428" s="94"/>
      <c r="AK428" s="94"/>
      <c r="AL428" s="94"/>
      <c r="AM428" s="94"/>
      <c r="AN428" s="94"/>
      <c r="AO428" s="94"/>
      <c r="AP428" s="94"/>
      <c r="AQ428" s="94"/>
      <c r="AR428" s="94"/>
      <c r="AS428" s="94"/>
      <c r="AT428" s="94"/>
      <c r="AU428" s="94"/>
      <c r="AV428" s="94"/>
      <c r="AW428" s="94"/>
      <c r="AX428" s="94"/>
      <c r="AY428" s="94"/>
      <c r="BA428" s="95"/>
    </row>
    <row r="429" spans="1:53" s="87" customFormat="1">
      <c r="A429" s="90" t="str">
        <f t="shared" si="31"/>
        <v/>
      </c>
      <c r="B429" s="98">
        <v>23</v>
      </c>
      <c r="C429" s="94" t="s">
        <v>210</v>
      </c>
      <c r="D429" s="94">
        <v>4</v>
      </c>
      <c r="E429" s="94">
        <v>3</v>
      </c>
      <c r="F429" s="94" t="s">
        <v>210</v>
      </c>
      <c r="G429" s="94" t="s">
        <v>210</v>
      </c>
      <c r="H429" s="94">
        <v>5</v>
      </c>
      <c r="I429" s="94">
        <v>-7</v>
      </c>
      <c r="J429" s="94" t="s">
        <v>210</v>
      </c>
      <c r="K429" s="94" t="s">
        <v>210</v>
      </c>
      <c r="L429" s="94">
        <v>2</v>
      </c>
      <c r="M429" s="94">
        <v>-1</v>
      </c>
      <c r="N429" s="94" t="s">
        <v>210</v>
      </c>
      <c r="O429" s="94" t="s">
        <v>210</v>
      </c>
      <c r="P429" s="94">
        <v>-6</v>
      </c>
      <c r="Q429" s="94">
        <v>7</v>
      </c>
      <c r="R429" s="94" t="s">
        <v>210</v>
      </c>
      <c r="S429" s="94" t="s">
        <v>210</v>
      </c>
      <c r="T429" s="94" t="s">
        <v>202</v>
      </c>
      <c r="U429" s="94">
        <v>-2</v>
      </c>
      <c r="V429" s="94" t="s">
        <v>210</v>
      </c>
      <c r="W429" s="94" t="s">
        <v>210</v>
      </c>
      <c r="X429" s="94">
        <v>-5</v>
      </c>
      <c r="Y429" s="94">
        <v>1</v>
      </c>
      <c r="Z429" s="94" t="s">
        <v>210</v>
      </c>
      <c r="AA429" s="94" t="s">
        <v>210</v>
      </c>
      <c r="AB429" s="94">
        <v>-4</v>
      </c>
      <c r="AC429" s="94">
        <v>-3</v>
      </c>
      <c r="AD429" s="94" t="s">
        <v>210</v>
      </c>
      <c r="AE429" s="94" t="s">
        <v>210</v>
      </c>
      <c r="AF429" s="94">
        <v>6</v>
      </c>
      <c r="AG429" s="94"/>
      <c r="AH429" s="94"/>
      <c r="AI429" s="94"/>
      <c r="AJ429" s="94"/>
      <c r="AK429" s="94"/>
      <c r="AL429" s="94"/>
      <c r="AM429" s="94"/>
      <c r="AN429" s="94"/>
      <c r="AO429" s="94"/>
      <c r="AP429" s="94"/>
      <c r="AQ429" s="94"/>
      <c r="AR429" s="94"/>
      <c r="AS429" s="94"/>
      <c r="AT429" s="94"/>
      <c r="AU429" s="94"/>
      <c r="AV429" s="94"/>
      <c r="AW429" s="94"/>
      <c r="AX429" s="94"/>
      <c r="AY429" s="94"/>
      <c r="BA429" s="95"/>
    </row>
    <row r="430" spans="1:53" s="87" customFormat="1">
      <c r="A430" s="90" t="str">
        <f t="shared" si="31"/>
        <v/>
      </c>
      <c r="B430" s="98">
        <v>24</v>
      </c>
      <c r="C430" s="94" t="s">
        <v>210</v>
      </c>
      <c r="D430" s="94">
        <v>-4</v>
      </c>
      <c r="E430" s="94">
        <v>-1</v>
      </c>
      <c r="F430" s="94" t="s">
        <v>210</v>
      </c>
      <c r="G430" s="94" t="s">
        <v>210</v>
      </c>
      <c r="H430" s="94">
        <v>6</v>
      </c>
      <c r="I430" s="94">
        <v>-2</v>
      </c>
      <c r="J430" s="94" t="s">
        <v>210</v>
      </c>
      <c r="K430" s="94" t="s">
        <v>210</v>
      </c>
      <c r="L430" s="94">
        <v>5</v>
      </c>
      <c r="M430" s="94">
        <v>-7</v>
      </c>
      <c r="N430" s="94" t="s">
        <v>210</v>
      </c>
      <c r="O430" s="94" t="s">
        <v>210</v>
      </c>
      <c r="P430" s="94">
        <v>-3</v>
      </c>
      <c r="Q430" s="94">
        <v>1</v>
      </c>
      <c r="R430" s="94" t="s">
        <v>210</v>
      </c>
      <c r="S430" s="94" t="s">
        <v>210</v>
      </c>
      <c r="T430" s="94">
        <v>4</v>
      </c>
      <c r="U430" s="94">
        <v>-5</v>
      </c>
      <c r="V430" s="94" t="s">
        <v>210</v>
      </c>
      <c r="W430" s="94" t="s">
        <v>210</v>
      </c>
      <c r="X430" s="94">
        <v>-6</v>
      </c>
      <c r="Y430" s="94">
        <v>3</v>
      </c>
      <c r="Z430" s="94" t="s">
        <v>210</v>
      </c>
      <c r="AA430" s="94" t="s">
        <v>210</v>
      </c>
      <c r="AB430" s="94" t="s">
        <v>202</v>
      </c>
      <c r="AC430" s="94">
        <v>7</v>
      </c>
      <c r="AD430" s="94" t="s">
        <v>210</v>
      </c>
      <c r="AE430" s="94" t="s">
        <v>210</v>
      </c>
      <c r="AF430" s="94">
        <v>2</v>
      </c>
      <c r="AG430" s="94"/>
      <c r="AH430" s="94"/>
      <c r="AI430" s="94"/>
      <c r="AJ430" s="94"/>
      <c r="AK430" s="94"/>
      <c r="AL430" s="94"/>
      <c r="AM430" s="94"/>
      <c r="AN430" s="94"/>
      <c r="AO430" s="94"/>
      <c r="AP430" s="94"/>
      <c r="AQ430" s="94"/>
      <c r="AR430" s="94"/>
      <c r="AS430" s="94"/>
      <c r="AT430" s="94"/>
      <c r="AU430" s="94"/>
      <c r="AV430" s="94"/>
      <c r="AW430" s="94"/>
      <c r="AX430" s="94"/>
      <c r="AY430" s="94"/>
      <c r="BA430" s="95"/>
    </row>
    <row r="431" spans="1:53" s="87" customFormat="1">
      <c r="A431" s="90" t="str">
        <f t="shared" si="31"/>
        <v/>
      </c>
      <c r="B431" s="98">
        <v>25</v>
      </c>
      <c r="C431" s="94" t="s">
        <v>210</v>
      </c>
      <c r="D431" s="94">
        <v>-5</v>
      </c>
      <c r="E431" s="94">
        <v>7</v>
      </c>
      <c r="F431" s="94" t="s">
        <v>210</v>
      </c>
      <c r="G431" s="94" t="s">
        <v>210</v>
      </c>
      <c r="H431" s="94">
        <v>-3</v>
      </c>
      <c r="I431" s="94">
        <v>-1</v>
      </c>
      <c r="J431" s="94" t="s">
        <v>210</v>
      </c>
      <c r="K431" s="94" t="s">
        <v>210</v>
      </c>
      <c r="L431" s="94">
        <v>6</v>
      </c>
      <c r="M431" s="94">
        <v>2</v>
      </c>
      <c r="N431" s="94" t="s">
        <v>210</v>
      </c>
      <c r="O431" s="94" t="s">
        <v>210</v>
      </c>
      <c r="P431" s="94">
        <v>-4</v>
      </c>
      <c r="Q431" s="94">
        <v>-6</v>
      </c>
      <c r="R431" s="94" t="s">
        <v>210</v>
      </c>
      <c r="S431" s="94" t="s">
        <v>210</v>
      </c>
      <c r="T431" s="94">
        <v>3</v>
      </c>
      <c r="U431" s="94">
        <v>-7</v>
      </c>
      <c r="V431" s="94" t="s">
        <v>210</v>
      </c>
      <c r="W431" s="94" t="s">
        <v>210</v>
      </c>
      <c r="X431" s="94">
        <v>5</v>
      </c>
      <c r="Y431" s="94" t="s">
        <v>202</v>
      </c>
      <c r="Z431" s="94" t="s">
        <v>210</v>
      </c>
      <c r="AA431" s="94" t="s">
        <v>210</v>
      </c>
      <c r="AB431" s="94">
        <v>1</v>
      </c>
      <c r="AC431" s="94">
        <v>4</v>
      </c>
      <c r="AD431" s="94" t="s">
        <v>210</v>
      </c>
      <c r="AE431" s="94" t="s">
        <v>210</v>
      </c>
      <c r="AF431" s="94">
        <v>-2</v>
      </c>
      <c r="AG431" s="94"/>
      <c r="AH431" s="94"/>
      <c r="AI431" s="94"/>
      <c r="AJ431" s="94"/>
      <c r="AK431" s="94"/>
      <c r="AL431" s="94"/>
      <c r="AM431" s="94"/>
      <c r="AN431" s="94"/>
      <c r="AO431" s="94"/>
      <c r="AP431" s="94"/>
      <c r="AQ431" s="94"/>
      <c r="AR431" s="94"/>
      <c r="AS431" s="94"/>
      <c r="AT431" s="94"/>
      <c r="AU431" s="94"/>
      <c r="AV431" s="94"/>
      <c r="AW431" s="94"/>
      <c r="AX431" s="94"/>
      <c r="AY431" s="94"/>
      <c r="BA431" s="95"/>
    </row>
    <row r="432" spans="1:53" s="87" customFormat="1">
      <c r="A432" s="90" t="str">
        <f t="shared" si="31"/>
        <v/>
      </c>
      <c r="B432" s="98">
        <v>26</v>
      </c>
      <c r="C432" s="94" t="s">
        <v>210</v>
      </c>
      <c r="D432" s="94">
        <v>-1</v>
      </c>
      <c r="E432" s="94">
        <v>-4</v>
      </c>
      <c r="F432" s="94" t="s">
        <v>210</v>
      </c>
      <c r="G432" s="94" t="s">
        <v>210</v>
      </c>
      <c r="H432" s="94">
        <v>2</v>
      </c>
      <c r="I432" s="94" t="s">
        <v>202</v>
      </c>
      <c r="J432" s="94" t="s">
        <v>210</v>
      </c>
      <c r="K432" s="94" t="s">
        <v>210</v>
      </c>
      <c r="L432" s="94">
        <v>-6</v>
      </c>
      <c r="M432" s="94">
        <v>-5</v>
      </c>
      <c r="N432" s="94" t="s">
        <v>210</v>
      </c>
      <c r="O432" s="94" t="s">
        <v>210</v>
      </c>
      <c r="P432" s="94">
        <v>7</v>
      </c>
      <c r="Q432" s="94">
        <v>-3</v>
      </c>
      <c r="R432" s="94" t="s">
        <v>210</v>
      </c>
      <c r="S432" s="94" t="s">
        <v>210</v>
      </c>
      <c r="T432" s="94">
        <v>1</v>
      </c>
      <c r="U432" s="94">
        <v>4</v>
      </c>
      <c r="V432" s="94" t="s">
        <v>210</v>
      </c>
      <c r="W432" s="94" t="s">
        <v>210</v>
      </c>
      <c r="X432" s="94">
        <v>6</v>
      </c>
      <c r="Y432" s="94">
        <v>-2</v>
      </c>
      <c r="Z432" s="94" t="s">
        <v>210</v>
      </c>
      <c r="AA432" s="94" t="s">
        <v>210</v>
      </c>
      <c r="AB432" s="94">
        <v>5</v>
      </c>
      <c r="AC432" s="94">
        <v>3</v>
      </c>
      <c r="AD432" s="94" t="s">
        <v>210</v>
      </c>
      <c r="AE432" s="94" t="s">
        <v>210</v>
      </c>
      <c r="AF432" s="94">
        <v>-7</v>
      </c>
      <c r="AG432" s="94"/>
      <c r="AH432" s="94"/>
      <c r="AI432" s="94"/>
      <c r="AJ432" s="94"/>
      <c r="AK432" s="94"/>
      <c r="AL432" s="94"/>
      <c r="AM432" s="94"/>
      <c r="AN432" s="94"/>
      <c r="AO432" s="94"/>
      <c r="AP432" s="94"/>
      <c r="AQ432" s="94"/>
      <c r="AR432" s="94"/>
      <c r="AS432" s="94"/>
      <c r="AT432" s="94"/>
      <c r="AU432" s="94"/>
      <c r="AV432" s="94"/>
      <c r="AW432" s="94"/>
      <c r="AX432" s="94"/>
      <c r="AY432" s="94"/>
      <c r="BA432" s="95"/>
    </row>
    <row r="433" spans="1:53" s="87" customFormat="1">
      <c r="A433" s="90" t="str">
        <f t="shared" si="31"/>
        <v/>
      </c>
      <c r="B433" s="98">
        <v>27</v>
      </c>
      <c r="C433" s="94" t="s">
        <v>210</v>
      </c>
      <c r="D433" s="94" t="s">
        <v>202</v>
      </c>
      <c r="E433" s="94">
        <v>2</v>
      </c>
      <c r="F433" s="94" t="s">
        <v>210</v>
      </c>
      <c r="G433" s="94" t="s">
        <v>210</v>
      </c>
      <c r="H433" s="94">
        <v>3</v>
      </c>
      <c r="I433" s="94">
        <v>6</v>
      </c>
      <c r="J433" s="94" t="s">
        <v>210</v>
      </c>
      <c r="K433" s="94" t="s">
        <v>210</v>
      </c>
      <c r="L433" s="94">
        <v>-1</v>
      </c>
      <c r="M433" s="94">
        <v>-4</v>
      </c>
      <c r="N433" s="94" t="s">
        <v>210</v>
      </c>
      <c r="O433" s="94" t="s">
        <v>210</v>
      </c>
      <c r="P433" s="94">
        <v>-5</v>
      </c>
      <c r="Q433" s="94">
        <v>-7</v>
      </c>
      <c r="R433" s="94" t="s">
        <v>210</v>
      </c>
      <c r="S433" s="94" t="s">
        <v>210</v>
      </c>
      <c r="T433" s="94">
        <v>5</v>
      </c>
      <c r="U433" s="94">
        <v>1</v>
      </c>
      <c r="V433" s="94" t="s">
        <v>210</v>
      </c>
      <c r="W433" s="94" t="s">
        <v>210</v>
      </c>
      <c r="X433" s="94">
        <v>4</v>
      </c>
      <c r="Y433" s="94">
        <v>-3</v>
      </c>
      <c r="Z433" s="94" t="s">
        <v>210</v>
      </c>
      <c r="AA433" s="94" t="s">
        <v>210</v>
      </c>
      <c r="AB433" s="94">
        <v>-6</v>
      </c>
      <c r="AC433" s="94">
        <v>-2</v>
      </c>
      <c r="AD433" s="94" t="s">
        <v>210</v>
      </c>
      <c r="AE433" s="94" t="s">
        <v>210</v>
      </c>
      <c r="AF433" s="94">
        <v>7</v>
      </c>
      <c r="AG433" s="94"/>
      <c r="AH433" s="94"/>
      <c r="AI433" s="94"/>
      <c r="AJ433" s="94"/>
      <c r="AK433" s="94"/>
      <c r="AL433" s="94"/>
      <c r="AM433" s="94"/>
      <c r="AN433" s="94"/>
      <c r="AO433" s="94"/>
      <c r="AP433" s="94"/>
      <c r="AQ433" s="94"/>
      <c r="AR433" s="94"/>
      <c r="AS433" s="94"/>
      <c r="AT433" s="94"/>
      <c r="AU433" s="94"/>
      <c r="AV433" s="94"/>
      <c r="AW433" s="94"/>
      <c r="AX433" s="94"/>
      <c r="AY433" s="94"/>
      <c r="BA433" s="95"/>
    </row>
    <row r="434" spans="1:53" s="87" customFormat="1">
      <c r="A434" s="90" t="str">
        <f t="shared" si="31"/>
        <v/>
      </c>
      <c r="B434" s="98">
        <v>28</v>
      </c>
      <c r="C434" s="94" t="s">
        <v>210</v>
      </c>
      <c r="D434" s="94">
        <v>1</v>
      </c>
      <c r="E434" s="94">
        <v>6</v>
      </c>
      <c r="F434" s="94" t="s">
        <v>210</v>
      </c>
      <c r="G434" s="94" t="s">
        <v>210</v>
      </c>
      <c r="H434" s="94">
        <v>-5</v>
      </c>
      <c r="I434" s="94">
        <v>3</v>
      </c>
      <c r="J434" s="94" t="s">
        <v>210</v>
      </c>
      <c r="K434" s="94" t="s">
        <v>210</v>
      </c>
      <c r="L434" s="94">
        <v>-7</v>
      </c>
      <c r="M434" s="94">
        <v>4</v>
      </c>
      <c r="N434" s="94" t="s">
        <v>210</v>
      </c>
      <c r="O434" s="94" t="s">
        <v>210</v>
      </c>
      <c r="P434" s="94">
        <v>2</v>
      </c>
      <c r="Q434" s="94" t="s">
        <v>202</v>
      </c>
      <c r="R434" s="94" t="s">
        <v>210</v>
      </c>
      <c r="S434" s="94" t="s">
        <v>210</v>
      </c>
      <c r="T434" s="94">
        <v>-6</v>
      </c>
      <c r="U434" s="94">
        <v>5</v>
      </c>
      <c r="V434" s="94" t="s">
        <v>210</v>
      </c>
      <c r="W434" s="94" t="s">
        <v>210</v>
      </c>
      <c r="X434" s="94">
        <v>-3</v>
      </c>
      <c r="Y434" s="94">
        <v>7</v>
      </c>
      <c r="Z434" s="94" t="s">
        <v>210</v>
      </c>
      <c r="AA434" s="94" t="s">
        <v>210</v>
      </c>
      <c r="AB434" s="94">
        <v>-2</v>
      </c>
      <c r="AC434" s="94">
        <v>-4</v>
      </c>
      <c r="AD434" s="94" t="s">
        <v>210</v>
      </c>
      <c r="AE434" s="94" t="s">
        <v>210</v>
      </c>
      <c r="AF434" s="94">
        <v>-1</v>
      </c>
      <c r="AG434" s="94"/>
      <c r="AH434" s="94"/>
      <c r="AI434" s="94"/>
      <c r="AJ434" s="94"/>
      <c r="AK434" s="94"/>
      <c r="AL434" s="94"/>
      <c r="AM434" s="94"/>
      <c r="AN434" s="94"/>
      <c r="AO434" s="94"/>
      <c r="AP434" s="94"/>
      <c r="AQ434" s="94"/>
      <c r="AR434" s="94"/>
      <c r="AS434" s="94"/>
      <c r="AT434" s="94"/>
      <c r="AU434" s="94"/>
      <c r="AV434" s="94"/>
      <c r="AW434" s="94"/>
      <c r="AX434" s="94"/>
      <c r="AY434" s="94"/>
      <c r="BA434" s="95"/>
    </row>
    <row r="435" spans="1:53" s="87" customFormat="1">
      <c r="A435" s="90" t="str">
        <f t="shared" si="31"/>
        <v/>
      </c>
      <c r="B435" s="98">
        <v>29</v>
      </c>
      <c r="C435" s="94" t="s">
        <v>210</v>
      </c>
      <c r="D435" s="94">
        <v>-6</v>
      </c>
      <c r="E435" s="94">
        <v>-5</v>
      </c>
      <c r="F435" s="94" t="s">
        <v>210</v>
      </c>
      <c r="G435" s="94" t="s">
        <v>210</v>
      </c>
      <c r="H435" s="94">
        <v>4</v>
      </c>
      <c r="I435" s="94">
        <v>7</v>
      </c>
      <c r="J435" s="94" t="s">
        <v>210</v>
      </c>
      <c r="K435" s="94" t="s">
        <v>210</v>
      </c>
      <c r="L435" s="94">
        <v>3</v>
      </c>
      <c r="M435" s="94">
        <v>-2</v>
      </c>
      <c r="N435" s="94" t="s">
        <v>210</v>
      </c>
      <c r="O435" s="94" t="s">
        <v>210</v>
      </c>
      <c r="P435" s="94">
        <v>-1</v>
      </c>
      <c r="Q435" s="94">
        <v>5</v>
      </c>
      <c r="R435" s="94" t="s">
        <v>210</v>
      </c>
      <c r="S435" s="94" t="s">
        <v>210</v>
      </c>
      <c r="T435" s="94">
        <v>-4</v>
      </c>
      <c r="U435" s="94">
        <v>-3</v>
      </c>
      <c r="V435" s="94" t="s">
        <v>210</v>
      </c>
      <c r="W435" s="94" t="s">
        <v>210</v>
      </c>
      <c r="X435" s="94">
        <v>-7</v>
      </c>
      <c r="Y435" s="94">
        <v>2</v>
      </c>
      <c r="Z435" s="94" t="s">
        <v>210</v>
      </c>
      <c r="AA435" s="94" t="s">
        <v>210</v>
      </c>
      <c r="AB435" s="94">
        <v>6</v>
      </c>
      <c r="AC435" s="94" t="s">
        <v>202</v>
      </c>
      <c r="AD435" s="94" t="s">
        <v>210</v>
      </c>
      <c r="AE435" s="94" t="s">
        <v>210</v>
      </c>
      <c r="AF435" s="94">
        <v>1</v>
      </c>
      <c r="AG435" s="94"/>
      <c r="AH435" s="94"/>
      <c r="AI435" s="94"/>
      <c r="AJ435" s="94"/>
      <c r="AK435" s="94"/>
      <c r="AL435" s="94"/>
      <c r="AM435" s="94"/>
      <c r="AN435" s="94"/>
      <c r="AO435" s="94"/>
      <c r="AP435" s="94"/>
      <c r="AQ435" s="94"/>
      <c r="AR435" s="94"/>
      <c r="AS435" s="94"/>
      <c r="AT435" s="94"/>
      <c r="AU435" s="94"/>
      <c r="AV435" s="94"/>
      <c r="AW435" s="94"/>
      <c r="AX435" s="94"/>
      <c r="AY435" s="94"/>
      <c r="BA435" s="95"/>
    </row>
    <row r="436" spans="1:53" s="87" customFormat="1">
      <c r="A436" s="90" t="str">
        <f t="shared" si="31"/>
        <v/>
      </c>
      <c r="B436" s="98">
        <v>30</v>
      </c>
      <c r="C436" s="94" t="s">
        <v>210</v>
      </c>
      <c r="D436" s="94">
        <v>-2</v>
      </c>
      <c r="E436" s="94">
        <v>-7</v>
      </c>
      <c r="F436" s="94" t="s">
        <v>210</v>
      </c>
      <c r="G436" s="94" t="s">
        <v>210</v>
      </c>
      <c r="H436" s="94">
        <v>-6</v>
      </c>
      <c r="I436" s="94">
        <v>5</v>
      </c>
      <c r="J436" s="94" t="s">
        <v>210</v>
      </c>
      <c r="K436" s="94" t="s">
        <v>210</v>
      </c>
      <c r="L436" s="94">
        <v>4</v>
      </c>
      <c r="M436" s="94">
        <v>-3</v>
      </c>
      <c r="N436" s="94" t="s">
        <v>210</v>
      </c>
      <c r="O436" s="94" t="s">
        <v>210</v>
      </c>
      <c r="P436" s="94">
        <v>1</v>
      </c>
      <c r="Q436" s="94">
        <v>-4</v>
      </c>
      <c r="R436" s="94" t="s">
        <v>210</v>
      </c>
      <c r="S436" s="94" t="s">
        <v>210</v>
      </c>
      <c r="T436" s="94">
        <v>7</v>
      </c>
      <c r="U436" s="94">
        <v>6</v>
      </c>
      <c r="V436" s="94" t="s">
        <v>210</v>
      </c>
      <c r="W436" s="94" t="s">
        <v>210</v>
      </c>
      <c r="X436" s="94">
        <v>3</v>
      </c>
      <c r="Y436" s="94">
        <v>-1</v>
      </c>
      <c r="Z436" s="94" t="s">
        <v>210</v>
      </c>
      <c r="AA436" s="94" t="s">
        <v>210</v>
      </c>
      <c r="AB436" s="94">
        <v>-5</v>
      </c>
      <c r="AC436" s="94">
        <v>2</v>
      </c>
      <c r="AD436" s="94" t="s">
        <v>210</v>
      </c>
      <c r="AE436" s="94" t="s">
        <v>210</v>
      </c>
      <c r="AF436" s="94" t="s">
        <v>202</v>
      </c>
      <c r="AG436" s="94"/>
      <c r="AH436" s="94"/>
      <c r="AI436" s="94"/>
      <c r="AJ436" s="94"/>
      <c r="AK436" s="94"/>
      <c r="AL436" s="94"/>
      <c r="AM436" s="94"/>
      <c r="AN436" s="94"/>
      <c r="AO436" s="94"/>
      <c r="AP436" s="94"/>
      <c r="AQ436" s="94"/>
      <c r="AR436" s="94"/>
      <c r="AS436" s="94"/>
      <c r="AT436" s="94"/>
      <c r="AU436" s="94"/>
      <c r="AV436" s="94"/>
      <c r="AW436" s="94"/>
      <c r="AX436" s="94"/>
      <c r="AY436" s="94"/>
      <c r="BA436" s="95"/>
    </row>
    <row r="437" spans="1:53" s="87" customFormat="1">
      <c r="A437" s="90" t="str">
        <f t="shared" si="31"/>
        <v/>
      </c>
      <c r="B437" s="98" t="s">
        <v>438</v>
      </c>
      <c r="C437" s="94"/>
      <c r="D437" s="94"/>
      <c r="E437" s="94"/>
      <c r="F437" s="94"/>
      <c r="G437" s="94"/>
      <c r="H437" s="94"/>
      <c r="I437" s="94"/>
      <c r="J437" s="94"/>
      <c r="K437" s="94"/>
      <c r="L437" s="94"/>
      <c r="M437" s="94"/>
      <c r="N437" s="94"/>
      <c r="O437" s="94"/>
      <c r="P437" s="94"/>
      <c r="Q437" s="94"/>
      <c r="R437" s="94"/>
      <c r="S437" s="94"/>
      <c r="T437" s="94"/>
      <c r="U437" s="94"/>
      <c r="V437" s="94"/>
      <c r="W437" s="94"/>
      <c r="X437" s="94"/>
      <c r="Y437" s="94"/>
      <c r="Z437" s="94"/>
      <c r="AA437" s="94"/>
      <c r="AB437" s="94"/>
      <c r="AC437" s="94"/>
      <c r="AD437" s="94"/>
      <c r="AE437" s="94"/>
      <c r="AF437" s="94"/>
      <c r="AG437" s="94"/>
      <c r="AH437" s="94"/>
      <c r="AI437" s="94"/>
      <c r="AJ437" s="94"/>
      <c r="AK437" s="94"/>
      <c r="AL437" s="94"/>
      <c r="AM437" s="94"/>
      <c r="AN437" s="94"/>
      <c r="AO437" s="94"/>
      <c r="AP437" s="94"/>
      <c r="AQ437" s="94"/>
      <c r="AR437" s="94"/>
      <c r="AS437" s="94"/>
      <c r="AT437" s="94"/>
      <c r="AU437" s="94"/>
      <c r="AV437" s="94"/>
      <c r="AW437" s="94"/>
      <c r="AX437" s="94"/>
      <c r="AY437" s="94"/>
      <c r="BA437" s="95"/>
    </row>
    <row r="438" spans="1:53" s="87" customFormat="1">
      <c r="A438" s="90">
        <f t="shared" si="31"/>
        <v>438</v>
      </c>
      <c r="B438" s="98" t="s">
        <v>439</v>
      </c>
      <c r="C438" s="94"/>
      <c r="D438" s="94"/>
      <c r="E438" s="94"/>
      <c r="F438" s="94"/>
      <c r="G438" s="94"/>
      <c r="H438" s="94"/>
      <c r="I438" s="94"/>
      <c r="J438" s="94"/>
      <c r="K438" s="94"/>
      <c r="L438" s="94"/>
      <c r="M438" s="94"/>
      <c r="N438" s="94"/>
      <c r="O438" s="94"/>
      <c r="P438" s="94"/>
      <c r="Q438" s="94"/>
      <c r="R438" s="94"/>
      <c r="S438" s="94"/>
      <c r="T438" s="94"/>
      <c r="U438" s="94"/>
      <c r="V438" s="94"/>
      <c r="W438" s="94"/>
      <c r="X438" s="94"/>
      <c r="Y438" s="94"/>
      <c r="Z438" s="94"/>
      <c r="AA438" s="94"/>
      <c r="AB438" s="94"/>
      <c r="AC438" s="94"/>
      <c r="AD438" s="94"/>
      <c r="AE438" s="94"/>
      <c r="AF438" s="94"/>
      <c r="AG438" s="94"/>
      <c r="AH438" s="94"/>
      <c r="AI438" s="94"/>
      <c r="AJ438" s="94"/>
      <c r="AK438" s="94"/>
      <c r="AL438" s="94"/>
      <c r="AM438" s="94"/>
      <c r="AN438" s="94"/>
      <c r="AO438" s="94"/>
      <c r="AP438" s="94"/>
      <c r="AQ438" s="94"/>
      <c r="AR438" s="94"/>
      <c r="AS438" s="94"/>
      <c r="AT438" s="94"/>
      <c r="AU438" s="94"/>
      <c r="AV438" s="94"/>
      <c r="AW438" s="94"/>
      <c r="AX438" s="94"/>
      <c r="AY438" s="94"/>
      <c r="BA438" s="95"/>
    </row>
    <row r="439" spans="1:53" s="87" customFormat="1">
      <c r="A439" s="90" t="str">
        <f t="shared" si="31"/>
        <v/>
      </c>
      <c r="B439" s="98">
        <v>1</v>
      </c>
      <c r="C439" s="94">
        <v>-5</v>
      </c>
      <c r="D439" s="94" t="s">
        <v>210</v>
      </c>
      <c r="E439" s="94" t="s">
        <v>210</v>
      </c>
      <c r="F439" s="94">
        <v>7</v>
      </c>
      <c r="G439" s="94">
        <v>6</v>
      </c>
      <c r="H439" s="94" t="s">
        <v>210</v>
      </c>
      <c r="I439" s="94" t="s">
        <v>210</v>
      </c>
      <c r="J439" s="94">
        <v>-2</v>
      </c>
      <c r="K439" s="94">
        <v>-1</v>
      </c>
      <c r="L439" s="94" t="s">
        <v>210</v>
      </c>
      <c r="M439" s="94" t="s">
        <v>210</v>
      </c>
      <c r="N439" s="94">
        <v>3</v>
      </c>
      <c r="O439" s="94">
        <v>4</v>
      </c>
      <c r="P439" s="94" t="s">
        <v>210</v>
      </c>
      <c r="Q439" s="94"/>
      <c r="R439" s="94"/>
      <c r="S439" s="94"/>
      <c r="T439" s="94"/>
      <c r="U439" s="94"/>
      <c r="V439" s="94"/>
      <c r="W439" s="94"/>
      <c r="X439" s="94"/>
      <c r="Y439" s="94"/>
      <c r="Z439" s="94"/>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BA439" s="95"/>
    </row>
    <row r="440" spans="1:53" s="87" customFormat="1">
      <c r="A440" s="90" t="str">
        <f t="shared" si="31"/>
        <v/>
      </c>
      <c r="B440" s="98">
        <v>2</v>
      </c>
      <c r="C440" s="94">
        <v>1</v>
      </c>
      <c r="D440" s="94" t="s">
        <v>210</v>
      </c>
      <c r="E440" s="94" t="s">
        <v>210</v>
      </c>
      <c r="F440" s="94">
        <v>-5</v>
      </c>
      <c r="G440" s="94">
        <v>-2</v>
      </c>
      <c r="H440" s="94" t="s">
        <v>210</v>
      </c>
      <c r="I440" s="94" t="s">
        <v>210</v>
      </c>
      <c r="J440" s="94">
        <v>7</v>
      </c>
      <c r="K440" s="94">
        <v>3</v>
      </c>
      <c r="L440" s="94" t="s">
        <v>210</v>
      </c>
      <c r="M440" s="94" t="s">
        <v>210</v>
      </c>
      <c r="N440" s="94">
        <v>-6</v>
      </c>
      <c r="O440" s="94">
        <v>-4</v>
      </c>
      <c r="P440" s="94" t="s">
        <v>210</v>
      </c>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BA440" s="95"/>
    </row>
    <row r="441" spans="1:53" s="87" customFormat="1">
      <c r="A441" s="90" t="str">
        <f t="shared" si="31"/>
        <v/>
      </c>
      <c r="B441" s="98">
        <v>3</v>
      </c>
      <c r="C441" s="94">
        <v>6</v>
      </c>
      <c r="D441" s="94" t="s">
        <v>210</v>
      </c>
      <c r="E441" s="94" t="s">
        <v>210</v>
      </c>
      <c r="F441" s="94">
        <v>1</v>
      </c>
      <c r="G441" s="94">
        <v>-4</v>
      </c>
      <c r="H441" s="94" t="s">
        <v>210</v>
      </c>
      <c r="I441" s="94" t="s">
        <v>210</v>
      </c>
      <c r="J441" s="94">
        <v>-7</v>
      </c>
      <c r="K441" s="94">
        <v>2</v>
      </c>
      <c r="L441" s="94" t="s">
        <v>210</v>
      </c>
      <c r="M441" s="94" t="s">
        <v>210</v>
      </c>
      <c r="N441" s="94">
        <v>-3</v>
      </c>
      <c r="O441" s="94">
        <v>5</v>
      </c>
      <c r="P441" s="94" t="s">
        <v>210</v>
      </c>
      <c r="Q441" s="94"/>
      <c r="R441" s="94"/>
      <c r="S441" s="94"/>
      <c r="T441" s="94"/>
      <c r="U441" s="94"/>
      <c r="V441" s="94"/>
      <c r="W441" s="94"/>
      <c r="X441" s="94"/>
      <c r="Y441" s="94"/>
      <c r="Z441" s="94"/>
      <c r="AA441" s="94"/>
      <c r="AB441" s="94"/>
      <c r="AC441" s="94"/>
      <c r="AD441" s="94"/>
      <c r="AE441" s="94"/>
      <c r="AF441" s="94"/>
      <c r="AG441" s="94"/>
      <c r="AH441" s="94"/>
      <c r="AI441" s="94"/>
      <c r="AJ441" s="94"/>
      <c r="AK441" s="94"/>
      <c r="AL441" s="94"/>
      <c r="AM441" s="94"/>
      <c r="AN441" s="94"/>
      <c r="AO441" s="94"/>
      <c r="AP441" s="94"/>
      <c r="AQ441" s="94"/>
      <c r="AR441" s="94"/>
      <c r="AS441" s="94"/>
      <c r="AT441" s="94"/>
      <c r="AU441" s="94"/>
      <c r="AV441" s="94"/>
      <c r="AW441" s="94"/>
      <c r="AX441" s="94"/>
      <c r="AY441" s="94"/>
      <c r="BA441" s="95"/>
    </row>
    <row r="442" spans="1:53" s="87" customFormat="1">
      <c r="A442" s="90" t="str">
        <f t="shared" si="31"/>
        <v/>
      </c>
      <c r="B442" s="98">
        <v>4</v>
      </c>
      <c r="C442" s="94">
        <v>-2</v>
      </c>
      <c r="D442" s="94" t="s">
        <v>210</v>
      </c>
      <c r="E442" s="94" t="s">
        <v>210</v>
      </c>
      <c r="F442" s="94">
        <v>-4</v>
      </c>
      <c r="G442" s="94">
        <v>7</v>
      </c>
      <c r="H442" s="94" t="s">
        <v>210</v>
      </c>
      <c r="I442" s="94" t="s">
        <v>210</v>
      </c>
      <c r="J442" s="94">
        <v>-3</v>
      </c>
      <c r="K442" s="94">
        <v>1</v>
      </c>
      <c r="L442" s="94" t="s">
        <v>210</v>
      </c>
      <c r="M442" s="94" t="s">
        <v>210</v>
      </c>
      <c r="N442" s="94">
        <v>6</v>
      </c>
      <c r="O442" s="94">
        <v>-5</v>
      </c>
      <c r="P442" s="94" t="s">
        <v>210</v>
      </c>
      <c r="Q442" s="94"/>
      <c r="R442" s="94"/>
      <c r="S442" s="94"/>
      <c r="T442" s="94"/>
      <c r="U442" s="94"/>
      <c r="V442" s="94"/>
      <c r="W442" s="94"/>
      <c r="X442" s="94"/>
      <c r="Y442" s="94"/>
      <c r="Z442" s="94"/>
      <c r="AA442" s="94"/>
      <c r="AB442" s="94"/>
      <c r="AC442" s="94"/>
      <c r="AD442" s="94"/>
      <c r="AE442" s="94"/>
      <c r="AF442" s="94"/>
      <c r="AG442" s="94"/>
      <c r="AH442" s="94"/>
      <c r="AI442" s="94"/>
      <c r="AJ442" s="94"/>
      <c r="AK442" s="94"/>
      <c r="AL442" s="94"/>
      <c r="AM442" s="94"/>
      <c r="AN442" s="94"/>
      <c r="AO442" s="94"/>
      <c r="AP442" s="94"/>
      <c r="AQ442" s="94"/>
      <c r="AR442" s="94"/>
      <c r="AS442" s="94"/>
      <c r="AT442" s="94"/>
      <c r="AU442" s="94"/>
      <c r="AV442" s="94"/>
      <c r="AW442" s="94"/>
      <c r="AX442" s="94"/>
      <c r="AY442" s="94"/>
      <c r="BA442" s="95"/>
    </row>
    <row r="443" spans="1:53" s="87" customFormat="1">
      <c r="A443" s="90" t="str">
        <f t="shared" si="31"/>
        <v/>
      </c>
      <c r="B443" s="98">
        <v>5</v>
      </c>
      <c r="C443" s="94">
        <v>-6</v>
      </c>
      <c r="D443" s="94" t="s">
        <v>210</v>
      </c>
      <c r="E443" s="94" t="s">
        <v>210</v>
      </c>
      <c r="F443" s="94">
        <v>5</v>
      </c>
      <c r="G443" s="94">
        <v>-7</v>
      </c>
      <c r="H443" s="94" t="s">
        <v>210</v>
      </c>
      <c r="I443" s="94" t="s">
        <v>210</v>
      </c>
      <c r="J443" s="94">
        <v>2</v>
      </c>
      <c r="K443" s="94">
        <v>4</v>
      </c>
      <c r="L443" s="94" t="s">
        <v>210</v>
      </c>
      <c r="M443" s="94" t="s">
        <v>210</v>
      </c>
      <c r="N443" s="94">
        <v>-1</v>
      </c>
      <c r="O443" s="94">
        <v>-3</v>
      </c>
      <c r="P443" s="94" t="s">
        <v>210</v>
      </c>
      <c r="Q443" s="94"/>
      <c r="R443" s="94"/>
      <c r="S443" s="94"/>
      <c r="T443" s="94"/>
      <c r="U443" s="94"/>
      <c r="V443" s="94"/>
      <c r="W443" s="94"/>
      <c r="X443" s="94"/>
      <c r="Y443" s="94"/>
      <c r="Z443" s="94"/>
      <c r="AA443" s="94"/>
      <c r="AB443" s="94"/>
      <c r="AC443" s="94"/>
      <c r="AD443" s="94"/>
      <c r="AE443" s="94"/>
      <c r="AF443" s="94"/>
      <c r="AG443" s="94"/>
      <c r="AH443" s="94"/>
      <c r="AI443" s="94"/>
      <c r="AJ443" s="94"/>
      <c r="AK443" s="94"/>
      <c r="AL443" s="94"/>
      <c r="AM443" s="94"/>
      <c r="AN443" s="94"/>
      <c r="AO443" s="94"/>
      <c r="AP443" s="94"/>
      <c r="AQ443" s="94"/>
      <c r="AR443" s="94"/>
      <c r="AS443" s="94"/>
      <c r="AT443" s="94"/>
      <c r="AU443" s="94"/>
      <c r="AV443" s="94"/>
      <c r="AW443" s="94"/>
      <c r="AX443" s="94"/>
      <c r="AY443" s="94"/>
      <c r="BA443" s="95"/>
    </row>
    <row r="444" spans="1:53" s="87" customFormat="1">
      <c r="A444" s="90" t="str">
        <f t="shared" si="31"/>
        <v/>
      </c>
      <c r="B444" s="98">
        <v>6</v>
      </c>
      <c r="C444" s="94">
        <v>-1</v>
      </c>
      <c r="D444" s="94" t="s">
        <v>210</v>
      </c>
      <c r="E444" s="94" t="s">
        <v>210</v>
      </c>
      <c r="F444" s="94">
        <v>4</v>
      </c>
      <c r="G444" s="94">
        <v>-6</v>
      </c>
      <c r="H444" s="94" t="s">
        <v>210</v>
      </c>
      <c r="I444" s="94" t="s">
        <v>210</v>
      </c>
      <c r="J444" s="94">
        <v>5</v>
      </c>
      <c r="K444" s="94">
        <v>-2</v>
      </c>
      <c r="L444" s="94" t="s">
        <v>210</v>
      </c>
      <c r="M444" s="94" t="s">
        <v>210</v>
      </c>
      <c r="N444" s="94">
        <v>7</v>
      </c>
      <c r="O444" s="94">
        <v>3</v>
      </c>
      <c r="P444" s="94" t="s">
        <v>210</v>
      </c>
      <c r="Q444" s="94"/>
      <c r="R444" s="94"/>
      <c r="S444" s="94"/>
      <c r="T444" s="94"/>
      <c r="U444" s="94"/>
      <c r="V444" s="94"/>
      <c r="W444" s="94"/>
      <c r="X444" s="94"/>
      <c r="Y444" s="94"/>
      <c r="Z444" s="94"/>
      <c r="AA444" s="94"/>
      <c r="AB444" s="94"/>
      <c r="AC444" s="94"/>
      <c r="AD444" s="94"/>
      <c r="AE444" s="94"/>
      <c r="AF444" s="94"/>
      <c r="AG444" s="94"/>
      <c r="AH444" s="94"/>
      <c r="AI444" s="94"/>
      <c r="AJ444" s="94"/>
      <c r="AK444" s="94"/>
      <c r="AL444" s="94"/>
      <c r="AM444" s="94"/>
      <c r="AN444" s="94"/>
      <c r="AO444" s="94"/>
      <c r="AP444" s="94"/>
      <c r="AQ444" s="94"/>
      <c r="AR444" s="94"/>
      <c r="AS444" s="94"/>
      <c r="AT444" s="94"/>
      <c r="AU444" s="94"/>
      <c r="AV444" s="94"/>
      <c r="AW444" s="94"/>
      <c r="AX444" s="94"/>
      <c r="AY444" s="94"/>
      <c r="BA444" s="95"/>
    </row>
    <row r="445" spans="1:53" s="87" customFormat="1">
      <c r="A445" s="90" t="str">
        <f t="shared" si="31"/>
        <v/>
      </c>
      <c r="B445" s="98">
        <v>7</v>
      </c>
      <c r="C445" s="94">
        <v>2</v>
      </c>
      <c r="D445" s="94" t="s">
        <v>210</v>
      </c>
      <c r="E445" s="94" t="s">
        <v>210</v>
      </c>
      <c r="F445" s="94">
        <v>-7</v>
      </c>
      <c r="G445" s="94">
        <v>4</v>
      </c>
      <c r="H445" s="94" t="s">
        <v>210</v>
      </c>
      <c r="I445" s="94" t="s">
        <v>210</v>
      </c>
      <c r="J445" s="94">
        <v>-5</v>
      </c>
      <c r="K445" s="94">
        <v>-3</v>
      </c>
      <c r="L445" s="94" t="s">
        <v>210</v>
      </c>
      <c r="M445" s="94" t="s">
        <v>210</v>
      </c>
      <c r="N445" s="94">
        <v>1</v>
      </c>
      <c r="O445" s="94">
        <v>-6</v>
      </c>
      <c r="P445" s="94" t="s">
        <v>210</v>
      </c>
      <c r="Q445" s="94"/>
      <c r="R445" s="94"/>
      <c r="S445" s="94"/>
      <c r="T445" s="94"/>
      <c r="U445" s="94"/>
      <c r="V445" s="94"/>
      <c r="W445" s="94"/>
      <c r="X445" s="94"/>
      <c r="Y445" s="94"/>
      <c r="Z445" s="94"/>
      <c r="AA445" s="94"/>
      <c r="AB445" s="94"/>
      <c r="AC445" s="94"/>
      <c r="AD445" s="94"/>
      <c r="AE445" s="94"/>
      <c r="AF445" s="94"/>
      <c r="AG445" s="94"/>
      <c r="AH445" s="94"/>
      <c r="AI445" s="94"/>
      <c r="AJ445" s="94"/>
      <c r="AK445" s="94"/>
      <c r="AL445" s="94"/>
      <c r="AM445" s="94"/>
      <c r="AN445" s="94"/>
      <c r="AO445" s="94"/>
      <c r="AP445" s="94"/>
      <c r="AQ445" s="94"/>
      <c r="AR445" s="94"/>
      <c r="AS445" s="94"/>
      <c r="AT445" s="94"/>
      <c r="AU445" s="94"/>
      <c r="AV445" s="94"/>
      <c r="AW445" s="94"/>
      <c r="AX445" s="94"/>
      <c r="AY445" s="94"/>
      <c r="BA445" s="95"/>
    </row>
    <row r="446" spans="1:53" s="87" customFormat="1">
      <c r="A446" s="90" t="str">
        <f t="shared" si="31"/>
        <v/>
      </c>
      <c r="B446" s="99">
        <v>8</v>
      </c>
      <c r="C446" s="92">
        <v>5</v>
      </c>
      <c r="D446" s="92" t="s">
        <v>210</v>
      </c>
      <c r="E446" s="92" t="s">
        <v>210</v>
      </c>
      <c r="F446" s="92">
        <v>-1</v>
      </c>
      <c r="G446" s="92">
        <v>2</v>
      </c>
      <c r="H446" s="92" t="s">
        <v>210</v>
      </c>
      <c r="I446" s="92" t="s">
        <v>210</v>
      </c>
      <c r="J446" s="92">
        <v>3</v>
      </c>
      <c r="K446" s="92">
        <v>-4</v>
      </c>
      <c r="L446" s="92" t="s">
        <v>210</v>
      </c>
      <c r="M446" s="92" t="s">
        <v>210</v>
      </c>
      <c r="N446" s="92">
        <v>-7</v>
      </c>
      <c r="O446" s="92">
        <v>6</v>
      </c>
      <c r="P446" s="92" t="s">
        <v>210</v>
      </c>
      <c r="Q446" s="94"/>
      <c r="R446" s="94"/>
      <c r="S446" s="94"/>
      <c r="T446" s="94"/>
      <c r="U446" s="94"/>
      <c r="V446" s="94"/>
      <c r="W446" s="94"/>
      <c r="X446" s="94"/>
      <c r="Y446" s="94"/>
      <c r="Z446" s="94"/>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BA446" s="95"/>
    </row>
    <row r="447" spans="1:53" s="87" customFormat="1">
      <c r="A447" s="90" t="str">
        <f t="shared" si="31"/>
        <v/>
      </c>
      <c r="B447" s="98">
        <v>9</v>
      </c>
      <c r="C447" s="94" t="s">
        <v>210</v>
      </c>
      <c r="D447" s="94">
        <v>-5</v>
      </c>
      <c r="E447" s="94">
        <v>7</v>
      </c>
      <c r="F447" s="94" t="s">
        <v>210</v>
      </c>
      <c r="G447" s="94" t="s">
        <v>210</v>
      </c>
      <c r="H447" s="94">
        <v>6</v>
      </c>
      <c r="I447" s="94">
        <v>-2</v>
      </c>
      <c r="J447" s="94" t="s">
        <v>210</v>
      </c>
      <c r="K447" s="94" t="s">
        <v>210</v>
      </c>
      <c r="L447" s="94">
        <v>-1</v>
      </c>
      <c r="M447" s="94">
        <v>3</v>
      </c>
      <c r="N447" s="94" t="s">
        <v>210</v>
      </c>
      <c r="O447" s="94" t="s">
        <v>210</v>
      </c>
      <c r="P447" s="94">
        <v>4</v>
      </c>
      <c r="Q447" s="94"/>
      <c r="R447" s="94"/>
      <c r="S447" s="94"/>
      <c r="T447" s="94"/>
      <c r="U447" s="94"/>
      <c r="V447" s="94"/>
      <c r="W447" s="94"/>
      <c r="X447" s="94"/>
      <c r="Y447" s="94"/>
      <c r="Z447" s="94"/>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BA447" s="95"/>
    </row>
    <row r="448" spans="1:53" s="87" customFormat="1">
      <c r="A448" s="90" t="str">
        <f t="shared" si="31"/>
        <v/>
      </c>
      <c r="B448" s="98">
        <v>10</v>
      </c>
      <c r="C448" s="94" t="s">
        <v>210</v>
      </c>
      <c r="D448" s="94">
        <v>1</v>
      </c>
      <c r="E448" s="94">
        <v>-5</v>
      </c>
      <c r="F448" s="94" t="s">
        <v>210</v>
      </c>
      <c r="G448" s="94" t="s">
        <v>210</v>
      </c>
      <c r="H448" s="94">
        <v>-2</v>
      </c>
      <c r="I448" s="94">
        <v>7</v>
      </c>
      <c r="J448" s="94" t="s">
        <v>210</v>
      </c>
      <c r="K448" s="94" t="s">
        <v>210</v>
      </c>
      <c r="L448" s="94">
        <v>3</v>
      </c>
      <c r="M448" s="94">
        <v>-6</v>
      </c>
      <c r="N448" s="94" t="s">
        <v>210</v>
      </c>
      <c r="O448" s="94" t="s">
        <v>210</v>
      </c>
      <c r="P448" s="94">
        <v>-4</v>
      </c>
      <c r="Q448" s="94"/>
      <c r="R448" s="94"/>
      <c r="S448" s="94"/>
      <c r="T448" s="94"/>
      <c r="U448" s="94"/>
      <c r="V448" s="94"/>
      <c r="W448" s="94"/>
      <c r="X448" s="94"/>
      <c r="Y448" s="94"/>
      <c r="Z448" s="94"/>
      <c r="AA448" s="94"/>
      <c r="AB448" s="94"/>
      <c r="AC448" s="94"/>
      <c r="AD448" s="94"/>
      <c r="AE448" s="94"/>
      <c r="AF448" s="94"/>
      <c r="AG448" s="94"/>
      <c r="AH448" s="94"/>
      <c r="AI448" s="94"/>
      <c r="AJ448" s="94"/>
      <c r="AK448" s="94"/>
      <c r="AL448" s="94"/>
      <c r="AM448" s="94"/>
      <c r="AN448" s="94"/>
      <c r="AO448" s="94"/>
      <c r="AP448" s="94"/>
      <c r="AQ448" s="94"/>
      <c r="AR448" s="94"/>
      <c r="AS448" s="94"/>
      <c r="AT448" s="94"/>
      <c r="AU448" s="94"/>
      <c r="AV448" s="94"/>
      <c r="AW448" s="94"/>
      <c r="AX448" s="94"/>
      <c r="AY448" s="94"/>
      <c r="BA448" s="95"/>
    </row>
    <row r="449" spans="1:53" s="87" customFormat="1">
      <c r="A449" s="90" t="str">
        <f t="shared" si="31"/>
        <v/>
      </c>
      <c r="B449" s="98">
        <v>11</v>
      </c>
      <c r="C449" s="94" t="s">
        <v>210</v>
      </c>
      <c r="D449" s="94">
        <v>6</v>
      </c>
      <c r="E449" s="94">
        <v>1</v>
      </c>
      <c r="F449" s="94" t="s">
        <v>210</v>
      </c>
      <c r="G449" s="94" t="s">
        <v>210</v>
      </c>
      <c r="H449" s="94">
        <v>-4</v>
      </c>
      <c r="I449" s="94">
        <v>-7</v>
      </c>
      <c r="J449" s="94" t="s">
        <v>210</v>
      </c>
      <c r="K449" s="94" t="s">
        <v>210</v>
      </c>
      <c r="L449" s="94">
        <v>2</v>
      </c>
      <c r="M449" s="94">
        <v>-3</v>
      </c>
      <c r="N449" s="94" t="s">
        <v>210</v>
      </c>
      <c r="O449" s="94" t="s">
        <v>210</v>
      </c>
      <c r="P449" s="94">
        <v>5</v>
      </c>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BA449" s="95"/>
    </row>
    <row r="450" spans="1:53" s="87" customFormat="1">
      <c r="A450" s="90" t="str">
        <f t="shared" si="31"/>
        <v/>
      </c>
      <c r="B450" s="98">
        <v>12</v>
      </c>
      <c r="C450" s="94" t="s">
        <v>210</v>
      </c>
      <c r="D450" s="94">
        <v>-2</v>
      </c>
      <c r="E450" s="94">
        <v>-4</v>
      </c>
      <c r="F450" s="94" t="s">
        <v>210</v>
      </c>
      <c r="G450" s="94" t="s">
        <v>210</v>
      </c>
      <c r="H450" s="94">
        <v>7</v>
      </c>
      <c r="I450" s="94">
        <v>-3</v>
      </c>
      <c r="J450" s="94" t="s">
        <v>210</v>
      </c>
      <c r="K450" s="94" t="s">
        <v>210</v>
      </c>
      <c r="L450" s="94">
        <v>1</v>
      </c>
      <c r="M450" s="94">
        <v>6</v>
      </c>
      <c r="N450" s="94" t="s">
        <v>210</v>
      </c>
      <c r="O450" s="94" t="s">
        <v>210</v>
      </c>
      <c r="P450" s="94">
        <v>-5</v>
      </c>
      <c r="Q450" s="94"/>
      <c r="R450" s="94"/>
      <c r="S450" s="94"/>
      <c r="T450" s="94"/>
      <c r="U450" s="94"/>
      <c r="V450" s="94"/>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BA450" s="95"/>
    </row>
    <row r="451" spans="1:53" s="87" customFormat="1">
      <c r="A451" s="90" t="str">
        <f t="shared" si="31"/>
        <v/>
      </c>
      <c r="B451" s="98">
        <v>13</v>
      </c>
      <c r="C451" s="94" t="s">
        <v>210</v>
      </c>
      <c r="D451" s="94">
        <v>-6</v>
      </c>
      <c r="E451" s="94">
        <v>5</v>
      </c>
      <c r="F451" s="94" t="s">
        <v>210</v>
      </c>
      <c r="G451" s="94" t="s">
        <v>210</v>
      </c>
      <c r="H451" s="94">
        <v>-7</v>
      </c>
      <c r="I451" s="94">
        <v>2</v>
      </c>
      <c r="J451" s="94" t="s">
        <v>210</v>
      </c>
      <c r="K451" s="94" t="s">
        <v>210</v>
      </c>
      <c r="L451" s="94">
        <v>4</v>
      </c>
      <c r="M451" s="94">
        <v>-1</v>
      </c>
      <c r="N451" s="94" t="s">
        <v>210</v>
      </c>
      <c r="O451" s="94" t="s">
        <v>210</v>
      </c>
      <c r="P451" s="94">
        <v>-3</v>
      </c>
      <c r="Q451" s="94"/>
      <c r="R451" s="94"/>
      <c r="S451" s="94"/>
      <c r="T451" s="94"/>
      <c r="U451" s="94"/>
      <c r="V451" s="94"/>
      <c r="W451" s="94"/>
      <c r="X451" s="94"/>
      <c r="Y451" s="94"/>
      <c r="Z451" s="94"/>
      <c r="AA451" s="94"/>
      <c r="AB451" s="94"/>
      <c r="AC451" s="94"/>
      <c r="AD451" s="94"/>
      <c r="AE451" s="94"/>
      <c r="AF451" s="94"/>
      <c r="AG451" s="94"/>
      <c r="AH451" s="94"/>
      <c r="AI451" s="94"/>
      <c r="AJ451" s="94"/>
      <c r="AK451" s="94"/>
      <c r="AL451" s="94"/>
      <c r="AM451" s="94"/>
      <c r="AN451" s="94"/>
      <c r="AO451" s="94"/>
      <c r="AP451" s="94"/>
      <c r="AQ451" s="94"/>
      <c r="AR451" s="94"/>
      <c r="AS451" s="94"/>
      <c r="AT451" s="94"/>
      <c r="AU451" s="94"/>
      <c r="AV451" s="94"/>
      <c r="AW451" s="94"/>
      <c r="AX451" s="94"/>
      <c r="AY451" s="94"/>
      <c r="BA451" s="95"/>
    </row>
    <row r="452" spans="1:53" s="87" customFormat="1">
      <c r="A452" s="90" t="str">
        <f t="shared" si="31"/>
        <v/>
      </c>
      <c r="B452" s="98">
        <v>14</v>
      </c>
      <c r="C452" s="94" t="s">
        <v>210</v>
      </c>
      <c r="D452" s="94">
        <v>-1</v>
      </c>
      <c r="E452" s="94">
        <v>4</v>
      </c>
      <c r="F452" s="94" t="s">
        <v>210</v>
      </c>
      <c r="G452" s="94" t="s">
        <v>210</v>
      </c>
      <c r="H452" s="94">
        <v>-6</v>
      </c>
      <c r="I452" s="94">
        <v>5</v>
      </c>
      <c r="J452" s="94" t="s">
        <v>210</v>
      </c>
      <c r="K452" s="94" t="s">
        <v>210</v>
      </c>
      <c r="L452" s="94">
        <v>-2</v>
      </c>
      <c r="M452" s="94">
        <v>7</v>
      </c>
      <c r="N452" s="94" t="s">
        <v>210</v>
      </c>
      <c r="O452" s="94" t="s">
        <v>210</v>
      </c>
      <c r="P452" s="94">
        <v>3</v>
      </c>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BA452" s="95"/>
    </row>
    <row r="453" spans="1:53" s="87" customFormat="1">
      <c r="A453" s="90" t="str">
        <f t="shared" si="31"/>
        <v/>
      </c>
      <c r="B453" s="98">
        <v>15</v>
      </c>
      <c r="C453" s="94" t="s">
        <v>210</v>
      </c>
      <c r="D453" s="94">
        <v>2</v>
      </c>
      <c r="E453" s="94">
        <v>-7</v>
      </c>
      <c r="F453" s="94" t="s">
        <v>210</v>
      </c>
      <c r="G453" s="94" t="s">
        <v>210</v>
      </c>
      <c r="H453" s="94">
        <v>4</v>
      </c>
      <c r="I453" s="94">
        <v>-5</v>
      </c>
      <c r="J453" s="94" t="s">
        <v>210</v>
      </c>
      <c r="K453" s="94" t="s">
        <v>210</v>
      </c>
      <c r="L453" s="94">
        <v>-3</v>
      </c>
      <c r="M453" s="94">
        <v>1</v>
      </c>
      <c r="N453" s="94" t="s">
        <v>210</v>
      </c>
      <c r="O453" s="94" t="s">
        <v>210</v>
      </c>
      <c r="P453" s="94">
        <v>-6</v>
      </c>
      <c r="Q453" s="94"/>
      <c r="R453" s="94"/>
      <c r="S453" s="94"/>
      <c r="T453" s="94"/>
      <c r="U453" s="94"/>
      <c r="V453" s="94"/>
      <c r="W453" s="94"/>
      <c r="X453" s="94"/>
      <c r="Y453" s="94"/>
      <c r="Z453" s="94"/>
      <c r="AA453" s="94"/>
      <c r="AB453" s="94"/>
      <c r="AC453" s="94"/>
      <c r="AD453" s="94"/>
      <c r="AE453" s="94"/>
      <c r="AF453" s="94"/>
      <c r="AG453" s="94"/>
      <c r="AH453" s="94"/>
      <c r="AI453" s="94"/>
      <c r="AJ453" s="94"/>
      <c r="AK453" s="94"/>
      <c r="AL453" s="94"/>
      <c r="AM453" s="94"/>
      <c r="AN453" s="94"/>
      <c r="AO453" s="94"/>
      <c r="AP453" s="94"/>
      <c r="AQ453" s="94"/>
      <c r="AR453" s="94"/>
      <c r="AS453" s="94"/>
      <c r="AT453" s="94"/>
      <c r="AU453" s="94"/>
      <c r="AV453" s="94"/>
      <c r="AW453" s="94"/>
      <c r="AX453" s="94"/>
      <c r="AY453" s="94"/>
      <c r="BA453" s="95"/>
    </row>
    <row r="454" spans="1:53" s="87" customFormat="1">
      <c r="A454" s="90" t="str">
        <f t="shared" si="31"/>
        <v/>
      </c>
      <c r="B454" s="99">
        <v>16</v>
      </c>
      <c r="C454" s="92" t="s">
        <v>210</v>
      </c>
      <c r="D454" s="92">
        <v>5</v>
      </c>
      <c r="E454" s="92">
        <v>-1</v>
      </c>
      <c r="F454" s="92" t="s">
        <v>210</v>
      </c>
      <c r="G454" s="92" t="s">
        <v>210</v>
      </c>
      <c r="H454" s="92">
        <v>2</v>
      </c>
      <c r="I454" s="92">
        <v>3</v>
      </c>
      <c r="J454" s="92" t="s">
        <v>210</v>
      </c>
      <c r="K454" s="92" t="s">
        <v>210</v>
      </c>
      <c r="L454" s="92">
        <v>-4</v>
      </c>
      <c r="M454" s="92">
        <v>-7</v>
      </c>
      <c r="N454" s="92" t="s">
        <v>210</v>
      </c>
      <c r="O454" s="92" t="s">
        <v>210</v>
      </c>
      <c r="P454" s="92">
        <v>6</v>
      </c>
      <c r="Q454" s="94"/>
      <c r="R454" s="94"/>
      <c r="S454" s="94"/>
      <c r="T454" s="94"/>
      <c r="U454" s="94"/>
      <c r="V454" s="94"/>
      <c r="W454" s="94"/>
      <c r="X454" s="94"/>
      <c r="Y454" s="94"/>
      <c r="Z454" s="94"/>
      <c r="AA454" s="94"/>
      <c r="AB454" s="94"/>
      <c r="AC454" s="94"/>
      <c r="AD454" s="94"/>
      <c r="AE454" s="94"/>
      <c r="AF454" s="94"/>
      <c r="AG454" s="94"/>
      <c r="AH454" s="94"/>
      <c r="AI454" s="94"/>
      <c r="AJ454" s="94"/>
      <c r="AK454" s="94"/>
      <c r="AL454" s="94"/>
      <c r="AM454" s="94"/>
      <c r="AN454" s="94"/>
      <c r="AO454" s="94"/>
      <c r="AP454" s="94"/>
      <c r="AQ454" s="94"/>
      <c r="AR454" s="94"/>
      <c r="AS454" s="94"/>
      <c r="AT454" s="94"/>
      <c r="AU454" s="94"/>
      <c r="AV454" s="94"/>
      <c r="AW454" s="94"/>
      <c r="AX454" s="94"/>
      <c r="AY454" s="94"/>
      <c r="BA454" s="95"/>
    </row>
    <row r="455" spans="1:53" s="87" customFormat="1">
      <c r="A455" s="90" t="str">
        <f t="shared" si="31"/>
        <v/>
      </c>
      <c r="B455" s="98">
        <v>17</v>
      </c>
      <c r="C455" s="94">
        <v>3</v>
      </c>
      <c r="D455" s="94" t="s">
        <v>210</v>
      </c>
      <c r="E455" s="94" t="s">
        <v>210</v>
      </c>
      <c r="F455" s="94" t="s">
        <v>202</v>
      </c>
      <c r="G455" s="94">
        <v>-1</v>
      </c>
      <c r="H455" s="94" t="s">
        <v>210</v>
      </c>
      <c r="I455" s="94" t="s">
        <v>210</v>
      </c>
      <c r="J455" s="94">
        <v>6</v>
      </c>
      <c r="K455" s="94">
        <v>7</v>
      </c>
      <c r="L455" s="94" t="s">
        <v>210</v>
      </c>
      <c r="M455" s="94" t="s">
        <v>210</v>
      </c>
      <c r="N455" s="94">
        <v>-4</v>
      </c>
      <c r="O455" s="94">
        <v>-2</v>
      </c>
      <c r="P455" s="94" t="s">
        <v>210</v>
      </c>
      <c r="Q455" s="94"/>
      <c r="R455" s="94"/>
      <c r="S455" s="94"/>
      <c r="T455" s="94"/>
      <c r="U455" s="94"/>
      <c r="V455" s="94"/>
      <c r="W455" s="94"/>
      <c r="X455" s="94"/>
      <c r="Y455" s="94"/>
      <c r="Z455" s="94"/>
      <c r="AA455" s="94"/>
      <c r="AB455" s="94"/>
      <c r="AC455" s="94"/>
      <c r="AD455" s="94"/>
      <c r="AE455" s="94"/>
      <c r="AF455" s="94"/>
      <c r="AG455" s="94"/>
      <c r="AH455" s="94"/>
      <c r="AI455" s="94"/>
      <c r="AJ455" s="94"/>
      <c r="AK455" s="94"/>
      <c r="AL455" s="94"/>
      <c r="AM455" s="94"/>
      <c r="AN455" s="94"/>
      <c r="AO455" s="94"/>
      <c r="AP455" s="94"/>
      <c r="AQ455" s="94"/>
      <c r="AR455" s="94"/>
      <c r="AS455" s="94"/>
      <c r="AT455" s="94"/>
      <c r="AU455" s="94"/>
      <c r="AV455" s="94"/>
      <c r="AW455" s="94"/>
      <c r="AX455" s="94"/>
      <c r="AY455" s="94"/>
      <c r="BA455" s="95"/>
    </row>
    <row r="456" spans="1:53" s="87" customFormat="1">
      <c r="A456" s="90" t="str">
        <f t="shared" si="31"/>
        <v/>
      </c>
      <c r="B456" s="98">
        <v>18</v>
      </c>
      <c r="C456" s="94">
        <v>-4</v>
      </c>
      <c r="D456" s="94" t="s">
        <v>210</v>
      </c>
      <c r="E456" s="94" t="s">
        <v>210</v>
      </c>
      <c r="F456" s="94">
        <v>3</v>
      </c>
      <c r="G456" s="94" t="s">
        <v>202</v>
      </c>
      <c r="H456" s="94" t="s">
        <v>210</v>
      </c>
      <c r="I456" s="94" t="s">
        <v>210</v>
      </c>
      <c r="J456" s="94">
        <v>-1</v>
      </c>
      <c r="K456" s="94">
        <v>-6</v>
      </c>
      <c r="L456" s="94" t="s">
        <v>210</v>
      </c>
      <c r="M456" s="94" t="s">
        <v>210</v>
      </c>
      <c r="N456" s="94">
        <v>5</v>
      </c>
      <c r="O456" s="94">
        <v>2</v>
      </c>
      <c r="P456" s="94" t="s">
        <v>210</v>
      </c>
      <c r="Q456" s="94"/>
      <c r="R456" s="94"/>
      <c r="S456" s="94"/>
      <c r="T456" s="94"/>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BA456" s="95"/>
    </row>
    <row r="457" spans="1:53" s="87" customFormat="1">
      <c r="A457" s="90" t="str">
        <f t="shared" si="31"/>
        <v/>
      </c>
      <c r="B457" s="98">
        <v>19</v>
      </c>
      <c r="C457" s="94">
        <v>4</v>
      </c>
      <c r="D457" s="94" t="s">
        <v>210</v>
      </c>
      <c r="E457" s="94" t="s">
        <v>210</v>
      </c>
      <c r="F457" s="94">
        <v>-2</v>
      </c>
      <c r="G457" s="94">
        <v>3</v>
      </c>
      <c r="H457" s="94" t="s">
        <v>210</v>
      </c>
      <c r="I457" s="94" t="s">
        <v>210</v>
      </c>
      <c r="J457" s="94">
        <v>-6</v>
      </c>
      <c r="K457" s="94">
        <v>5</v>
      </c>
      <c r="L457" s="94" t="s">
        <v>210</v>
      </c>
      <c r="M457" s="94" t="s">
        <v>210</v>
      </c>
      <c r="N457" s="94" t="s">
        <v>202</v>
      </c>
      <c r="O457" s="94">
        <v>-7</v>
      </c>
      <c r="P457" s="94" t="s">
        <v>210</v>
      </c>
      <c r="Q457" s="94"/>
      <c r="R457" s="94"/>
      <c r="S457" s="94"/>
      <c r="T457" s="94"/>
      <c r="U457" s="94"/>
      <c r="V457" s="94"/>
      <c r="W457" s="94"/>
      <c r="X457" s="94"/>
      <c r="Y457" s="94"/>
      <c r="Z457" s="94"/>
      <c r="AA457" s="94"/>
      <c r="AB457" s="94"/>
      <c r="AC457" s="94"/>
      <c r="AD457" s="94"/>
      <c r="AE457" s="94"/>
      <c r="AF457" s="94"/>
      <c r="AG457" s="94"/>
      <c r="AH457" s="94"/>
      <c r="AI457" s="94"/>
      <c r="AJ457" s="94"/>
      <c r="AK457" s="94"/>
      <c r="AL457" s="94"/>
      <c r="AM457" s="94"/>
      <c r="AN457" s="94"/>
      <c r="AO457" s="94"/>
      <c r="AP457" s="94"/>
      <c r="AQ457" s="94"/>
      <c r="AR457" s="94"/>
      <c r="AS457" s="94"/>
      <c r="AT457" s="94"/>
      <c r="AU457" s="94"/>
      <c r="AV457" s="94"/>
      <c r="AW457" s="94"/>
      <c r="AX457" s="94"/>
      <c r="AY457" s="94"/>
      <c r="BA457" s="95"/>
    </row>
    <row r="458" spans="1:53" s="87" customFormat="1">
      <c r="A458" s="90" t="str">
        <f t="shared" si="31"/>
        <v/>
      </c>
      <c r="B458" s="98">
        <v>20</v>
      </c>
      <c r="C458" s="94">
        <v>-3</v>
      </c>
      <c r="D458" s="94" t="s">
        <v>210</v>
      </c>
      <c r="E458" s="94" t="s">
        <v>210</v>
      </c>
      <c r="F458" s="94">
        <v>-6</v>
      </c>
      <c r="G458" s="94">
        <v>5</v>
      </c>
      <c r="H458" s="94" t="s">
        <v>210</v>
      </c>
      <c r="I458" s="94" t="s">
        <v>210</v>
      </c>
      <c r="J458" s="94">
        <v>1</v>
      </c>
      <c r="K458" s="94" t="s">
        <v>202</v>
      </c>
      <c r="L458" s="94" t="s">
        <v>210</v>
      </c>
      <c r="M458" s="94" t="s">
        <v>210</v>
      </c>
      <c r="N458" s="94">
        <v>-2</v>
      </c>
      <c r="O458" s="94">
        <v>7</v>
      </c>
      <c r="P458" s="94" t="s">
        <v>210</v>
      </c>
      <c r="Q458" s="94"/>
      <c r="R458" s="94"/>
      <c r="S458" s="94"/>
      <c r="T458" s="94"/>
      <c r="U458" s="94"/>
      <c r="V458" s="94"/>
      <c r="W458" s="94"/>
      <c r="X458" s="94"/>
      <c r="Y458" s="94"/>
      <c r="Z458" s="94"/>
      <c r="AA458" s="94"/>
      <c r="AB458" s="94"/>
      <c r="AC458" s="94"/>
      <c r="AD458" s="94"/>
      <c r="AE458" s="94"/>
      <c r="AF458" s="94"/>
      <c r="AG458" s="94"/>
      <c r="AH458" s="94"/>
      <c r="AI458" s="94"/>
      <c r="AJ458" s="94"/>
      <c r="AK458" s="94"/>
      <c r="AL458" s="94"/>
      <c r="AM458" s="94"/>
      <c r="AN458" s="94"/>
      <c r="AO458" s="94"/>
      <c r="AP458" s="94"/>
      <c r="AQ458" s="94"/>
      <c r="AR458" s="94"/>
      <c r="AS458" s="94"/>
      <c r="AT458" s="94"/>
      <c r="AU458" s="94"/>
      <c r="AV458" s="94"/>
      <c r="AW458" s="94"/>
      <c r="AX458" s="94"/>
      <c r="AY458" s="94"/>
      <c r="BA458" s="95"/>
    </row>
    <row r="459" spans="1:53" s="87" customFormat="1">
      <c r="A459" s="90" t="str">
        <f t="shared" si="31"/>
        <v/>
      </c>
      <c r="B459" s="98">
        <v>21</v>
      </c>
      <c r="C459" s="94">
        <v>-7</v>
      </c>
      <c r="D459" s="94" t="s">
        <v>210</v>
      </c>
      <c r="E459" s="94" t="s">
        <v>210</v>
      </c>
      <c r="F459" s="94">
        <v>2</v>
      </c>
      <c r="G459" s="94">
        <v>-5</v>
      </c>
      <c r="H459" s="94" t="s">
        <v>210</v>
      </c>
      <c r="I459" s="94" t="s">
        <v>210</v>
      </c>
      <c r="J459" s="94" t="s">
        <v>202</v>
      </c>
      <c r="K459" s="94">
        <v>6</v>
      </c>
      <c r="L459" s="94" t="s">
        <v>210</v>
      </c>
      <c r="M459" s="94" t="s">
        <v>210</v>
      </c>
      <c r="N459" s="94">
        <v>4</v>
      </c>
      <c r="O459" s="94">
        <v>-1</v>
      </c>
      <c r="P459" s="94" t="s">
        <v>210</v>
      </c>
      <c r="Q459" s="94"/>
      <c r="R459" s="94"/>
      <c r="S459" s="94"/>
      <c r="T459" s="94"/>
      <c r="U459" s="94"/>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c r="AW459" s="94"/>
      <c r="AX459" s="94"/>
      <c r="AY459" s="94"/>
      <c r="BA459" s="95"/>
    </row>
    <row r="460" spans="1:53" s="87" customFormat="1">
      <c r="A460" s="90" t="str">
        <f t="shared" ref="A460:A523" si="32">IF(MID(B460,3,2)="07",ROW(),"")</f>
        <v/>
      </c>
      <c r="B460" s="98">
        <v>22</v>
      </c>
      <c r="C460" s="94" t="s">
        <v>202</v>
      </c>
      <c r="D460" s="94" t="s">
        <v>210</v>
      </c>
      <c r="E460" s="94" t="s">
        <v>210</v>
      </c>
      <c r="F460" s="94">
        <v>6</v>
      </c>
      <c r="G460" s="94">
        <v>-3</v>
      </c>
      <c r="H460" s="94" t="s">
        <v>210</v>
      </c>
      <c r="I460" s="94" t="s">
        <v>210</v>
      </c>
      <c r="J460" s="94">
        <v>4</v>
      </c>
      <c r="K460" s="94">
        <v>-7</v>
      </c>
      <c r="L460" s="94" t="s">
        <v>210</v>
      </c>
      <c r="M460" s="94" t="s">
        <v>210</v>
      </c>
      <c r="N460" s="94">
        <v>-5</v>
      </c>
      <c r="O460" s="94">
        <v>1</v>
      </c>
      <c r="P460" s="94" t="s">
        <v>210</v>
      </c>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BA460" s="95"/>
    </row>
    <row r="461" spans="1:53" s="87" customFormat="1">
      <c r="A461" s="90" t="str">
        <f t="shared" si="32"/>
        <v/>
      </c>
      <c r="B461" s="99">
        <v>23</v>
      </c>
      <c r="C461" s="92">
        <v>7</v>
      </c>
      <c r="D461" s="92" t="s">
        <v>210</v>
      </c>
      <c r="E461" s="92" t="s">
        <v>210</v>
      </c>
      <c r="F461" s="92">
        <v>-3</v>
      </c>
      <c r="G461" s="92">
        <v>1</v>
      </c>
      <c r="H461" s="92" t="s">
        <v>210</v>
      </c>
      <c r="I461" s="92" t="s">
        <v>210</v>
      </c>
      <c r="J461" s="92">
        <v>-4</v>
      </c>
      <c r="K461" s="92">
        <v>-5</v>
      </c>
      <c r="L461" s="92" t="s">
        <v>210</v>
      </c>
      <c r="M461" s="92" t="s">
        <v>210</v>
      </c>
      <c r="N461" s="92">
        <v>2</v>
      </c>
      <c r="O461" s="92" t="s">
        <v>202</v>
      </c>
      <c r="P461" s="92" t="s">
        <v>210</v>
      </c>
      <c r="Q461" s="94"/>
      <c r="R461" s="94"/>
      <c r="S461" s="94"/>
      <c r="T461" s="94"/>
      <c r="U461" s="94"/>
      <c r="V461" s="94"/>
      <c r="W461" s="94"/>
      <c r="X461" s="94"/>
      <c r="Y461" s="94"/>
      <c r="Z461" s="94"/>
      <c r="AA461" s="94"/>
      <c r="AB461" s="94"/>
      <c r="AC461" s="94"/>
      <c r="AD461" s="94"/>
      <c r="AE461" s="94"/>
      <c r="AF461" s="94"/>
      <c r="AG461" s="94"/>
      <c r="AH461" s="94"/>
      <c r="AI461" s="94"/>
      <c r="AJ461" s="94"/>
      <c r="AK461" s="94"/>
      <c r="AL461" s="94"/>
      <c r="AM461" s="94"/>
      <c r="AN461" s="94"/>
      <c r="AO461" s="94"/>
      <c r="AP461" s="94"/>
      <c r="AQ461" s="94"/>
      <c r="AR461" s="94"/>
      <c r="AS461" s="94"/>
      <c r="AT461" s="94"/>
      <c r="AU461" s="94"/>
      <c r="AV461" s="94"/>
      <c r="AW461" s="94"/>
      <c r="AX461" s="94"/>
      <c r="AY461" s="94"/>
      <c r="BA461" s="95"/>
    </row>
    <row r="462" spans="1:53" s="87" customFormat="1">
      <c r="A462" s="90" t="str">
        <f t="shared" si="32"/>
        <v/>
      </c>
      <c r="B462" s="98">
        <v>24</v>
      </c>
      <c r="C462" s="94" t="s">
        <v>210</v>
      </c>
      <c r="D462" s="94">
        <v>3</v>
      </c>
      <c r="E462" s="94" t="s">
        <v>202</v>
      </c>
      <c r="F462" s="94" t="s">
        <v>210</v>
      </c>
      <c r="G462" s="94" t="s">
        <v>210</v>
      </c>
      <c r="H462" s="94">
        <v>-1</v>
      </c>
      <c r="I462" s="94">
        <v>6</v>
      </c>
      <c r="J462" s="94" t="s">
        <v>210</v>
      </c>
      <c r="K462" s="94" t="s">
        <v>210</v>
      </c>
      <c r="L462" s="94">
        <v>7</v>
      </c>
      <c r="M462" s="94">
        <v>-4</v>
      </c>
      <c r="N462" s="94" t="s">
        <v>210</v>
      </c>
      <c r="O462" s="94" t="s">
        <v>210</v>
      </c>
      <c r="P462" s="94">
        <v>-2</v>
      </c>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BA462" s="95"/>
    </row>
    <row r="463" spans="1:53" s="87" customFormat="1">
      <c r="A463" s="90" t="str">
        <f t="shared" si="32"/>
        <v/>
      </c>
      <c r="B463" s="98">
        <v>25</v>
      </c>
      <c r="C463" s="94" t="s">
        <v>210</v>
      </c>
      <c r="D463" s="94">
        <v>-4</v>
      </c>
      <c r="E463" s="94">
        <v>3</v>
      </c>
      <c r="F463" s="94" t="s">
        <v>210</v>
      </c>
      <c r="G463" s="94" t="s">
        <v>210</v>
      </c>
      <c r="H463" s="94" t="s">
        <v>202</v>
      </c>
      <c r="I463" s="94">
        <v>-1</v>
      </c>
      <c r="J463" s="94" t="s">
        <v>210</v>
      </c>
      <c r="K463" s="94" t="s">
        <v>210</v>
      </c>
      <c r="L463" s="94">
        <v>-6</v>
      </c>
      <c r="M463" s="94">
        <v>5</v>
      </c>
      <c r="N463" s="94" t="s">
        <v>210</v>
      </c>
      <c r="O463" s="94" t="s">
        <v>210</v>
      </c>
      <c r="P463" s="94">
        <v>2</v>
      </c>
      <c r="Q463" s="94"/>
      <c r="R463" s="94"/>
      <c r="S463" s="94"/>
      <c r="T463" s="94"/>
      <c r="U463" s="94"/>
      <c r="V463" s="94"/>
      <c r="W463" s="94"/>
      <c r="X463" s="94"/>
      <c r="Y463" s="94"/>
      <c r="Z463" s="94"/>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c r="AW463" s="94"/>
      <c r="AX463" s="94"/>
      <c r="AY463" s="94"/>
      <c r="BA463" s="95"/>
    </row>
    <row r="464" spans="1:53" s="87" customFormat="1">
      <c r="A464" s="90" t="str">
        <f t="shared" si="32"/>
        <v/>
      </c>
      <c r="B464" s="98">
        <v>26</v>
      </c>
      <c r="C464" s="94" t="s">
        <v>210</v>
      </c>
      <c r="D464" s="94">
        <v>4</v>
      </c>
      <c r="E464" s="94">
        <v>-2</v>
      </c>
      <c r="F464" s="94" t="s">
        <v>210</v>
      </c>
      <c r="G464" s="94" t="s">
        <v>210</v>
      </c>
      <c r="H464" s="94">
        <v>3</v>
      </c>
      <c r="I464" s="94">
        <v>-6</v>
      </c>
      <c r="J464" s="94" t="s">
        <v>210</v>
      </c>
      <c r="K464" s="94" t="s">
        <v>210</v>
      </c>
      <c r="L464" s="94">
        <v>5</v>
      </c>
      <c r="M464" s="94" t="s">
        <v>202</v>
      </c>
      <c r="N464" s="94" t="s">
        <v>210</v>
      </c>
      <c r="O464" s="94" t="s">
        <v>210</v>
      </c>
      <c r="P464" s="94">
        <v>-7</v>
      </c>
      <c r="Q464" s="94"/>
      <c r="R464" s="94"/>
      <c r="S464" s="94"/>
      <c r="T464" s="94"/>
      <c r="U464" s="94"/>
      <c r="V464" s="94"/>
      <c r="W464" s="94"/>
      <c r="X464" s="94"/>
      <c r="Y464" s="94"/>
      <c r="Z464" s="94"/>
      <c r="AA464" s="94"/>
      <c r="AB464" s="94"/>
      <c r="AC464" s="94"/>
      <c r="AD464" s="94"/>
      <c r="AE464" s="94"/>
      <c r="AF464" s="94"/>
      <c r="AG464" s="94"/>
      <c r="AH464" s="94"/>
      <c r="AI464" s="94"/>
      <c r="AJ464" s="94"/>
      <c r="AK464" s="94"/>
      <c r="AL464" s="94"/>
      <c r="AM464" s="94"/>
      <c r="AN464" s="94"/>
      <c r="AO464" s="94"/>
      <c r="AP464" s="94"/>
      <c r="AQ464" s="94"/>
      <c r="AR464" s="94"/>
      <c r="AS464" s="94"/>
      <c r="AT464" s="94"/>
      <c r="AU464" s="94"/>
      <c r="AV464" s="94"/>
      <c r="AW464" s="94"/>
      <c r="AX464" s="94"/>
      <c r="AY464" s="94"/>
      <c r="BA464" s="95"/>
    </row>
    <row r="465" spans="1:53" s="87" customFormat="1">
      <c r="A465" s="90" t="str">
        <f t="shared" si="32"/>
        <v/>
      </c>
      <c r="B465" s="98">
        <v>27</v>
      </c>
      <c r="C465" s="94" t="s">
        <v>210</v>
      </c>
      <c r="D465" s="94">
        <v>-3</v>
      </c>
      <c r="E465" s="94">
        <v>-6</v>
      </c>
      <c r="F465" s="94" t="s">
        <v>210</v>
      </c>
      <c r="G465" s="94" t="s">
        <v>210</v>
      </c>
      <c r="H465" s="94">
        <v>5</v>
      </c>
      <c r="I465" s="94">
        <v>1</v>
      </c>
      <c r="J465" s="94" t="s">
        <v>210</v>
      </c>
      <c r="K465" s="94" t="s">
        <v>210</v>
      </c>
      <c r="L465" s="94" t="s">
        <v>202</v>
      </c>
      <c r="M465" s="94">
        <v>-2</v>
      </c>
      <c r="N465" s="94" t="s">
        <v>210</v>
      </c>
      <c r="O465" s="94" t="s">
        <v>210</v>
      </c>
      <c r="P465" s="94">
        <v>7</v>
      </c>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BA465" s="95"/>
    </row>
    <row r="466" spans="1:53" s="87" customFormat="1">
      <c r="A466" s="90" t="str">
        <f t="shared" si="32"/>
        <v/>
      </c>
      <c r="B466" s="98">
        <v>28</v>
      </c>
      <c r="C466" s="94" t="s">
        <v>210</v>
      </c>
      <c r="D466" s="94">
        <v>-7</v>
      </c>
      <c r="E466" s="94">
        <v>2</v>
      </c>
      <c r="F466" s="94" t="s">
        <v>210</v>
      </c>
      <c r="G466" s="94" t="s">
        <v>210</v>
      </c>
      <c r="H466" s="94">
        <v>-5</v>
      </c>
      <c r="I466" s="94" t="s">
        <v>202</v>
      </c>
      <c r="J466" s="94" t="s">
        <v>210</v>
      </c>
      <c r="K466" s="94" t="s">
        <v>210</v>
      </c>
      <c r="L466" s="94">
        <v>6</v>
      </c>
      <c r="M466" s="94">
        <v>4</v>
      </c>
      <c r="N466" s="94" t="s">
        <v>210</v>
      </c>
      <c r="O466" s="94" t="s">
        <v>210</v>
      </c>
      <c r="P466" s="94">
        <v>-1</v>
      </c>
      <c r="Q466" s="94"/>
      <c r="R466" s="94"/>
      <c r="S466" s="94"/>
      <c r="T466" s="94"/>
      <c r="U466" s="94"/>
      <c r="V466" s="94"/>
      <c r="W466" s="94"/>
      <c r="X466" s="94"/>
      <c r="Y466" s="94"/>
      <c r="Z466" s="94"/>
      <c r="AA466" s="94"/>
      <c r="AB466" s="94"/>
      <c r="AC466" s="94"/>
      <c r="AD466" s="94"/>
      <c r="AE466" s="94"/>
      <c r="AF466" s="94"/>
      <c r="AG466" s="94"/>
      <c r="AH466" s="94"/>
      <c r="AI466" s="94"/>
      <c r="AJ466" s="94"/>
      <c r="AK466" s="94"/>
      <c r="AL466" s="94"/>
      <c r="AM466" s="94"/>
      <c r="AN466" s="94"/>
      <c r="AO466" s="94"/>
      <c r="AP466" s="94"/>
      <c r="AQ466" s="94"/>
      <c r="AR466" s="94"/>
      <c r="AS466" s="94"/>
      <c r="AT466" s="94"/>
      <c r="AU466" s="94"/>
      <c r="AV466" s="94"/>
      <c r="AW466" s="94"/>
      <c r="AX466" s="94"/>
      <c r="AY466" s="94"/>
      <c r="BA466" s="95"/>
    </row>
    <row r="467" spans="1:53" s="87" customFormat="1">
      <c r="A467" s="90" t="str">
        <f t="shared" si="32"/>
        <v/>
      </c>
      <c r="B467" s="98">
        <v>29</v>
      </c>
      <c r="C467" s="94" t="s">
        <v>210</v>
      </c>
      <c r="D467" s="94" t="s">
        <v>202</v>
      </c>
      <c r="E467" s="94">
        <v>6</v>
      </c>
      <c r="F467" s="94" t="s">
        <v>210</v>
      </c>
      <c r="G467" s="94" t="s">
        <v>210</v>
      </c>
      <c r="H467" s="94">
        <v>-3</v>
      </c>
      <c r="I467" s="94">
        <v>4</v>
      </c>
      <c r="J467" s="94" t="s">
        <v>210</v>
      </c>
      <c r="K467" s="94" t="s">
        <v>210</v>
      </c>
      <c r="L467" s="94">
        <v>-7</v>
      </c>
      <c r="M467" s="94">
        <v>-5</v>
      </c>
      <c r="N467" s="94" t="s">
        <v>210</v>
      </c>
      <c r="O467" s="94" t="s">
        <v>210</v>
      </c>
      <c r="P467" s="94">
        <v>1</v>
      </c>
      <c r="Q467" s="94"/>
      <c r="R467" s="94"/>
      <c r="S467" s="94"/>
      <c r="T467" s="94"/>
      <c r="U467" s="94"/>
      <c r="V467" s="94"/>
      <c r="W467" s="94"/>
      <c r="X467" s="94"/>
      <c r="Y467" s="94"/>
      <c r="Z467" s="94"/>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BA467" s="95"/>
    </row>
    <row r="468" spans="1:53" s="87" customFormat="1">
      <c r="A468" s="90" t="str">
        <f t="shared" si="32"/>
        <v/>
      </c>
      <c r="B468" s="98">
        <v>30</v>
      </c>
      <c r="C468" s="94" t="s">
        <v>210</v>
      </c>
      <c r="D468" s="94">
        <v>7</v>
      </c>
      <c r="E468" s="94">
        <v>-3</v>
      </c>
      <c r="F468" s="94" t="s">
        <v>210</v>
      </c>
      <c r="G468" s="94" t="s">
        <v>210</v>
      </c>
      <c r="H468" s="94">
        <v>1</v>
      </c>
      <c r="I468" s="94">
        <v>-4</v>
      </c>
      <c r="J468" s="94" t="s">
        <v>210</v>
      </c>
      <c r="K468" s="94" t="s">
        <v>210</v>
      </c>
      <c r="L468" s="94">
        <v>-5</v>
      </c>
      <c r="M468" s="94">
        <v>2</v>
      </c>
      <c r="N468" s="94" t="s">
        <v>210</v>
      </c>
      <c r="O468" s="94" t="s">
        <v>210</v>
      </c>
      <c r="P468" s="94" t="s">
        <v>202</v>
      </c>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BA468" s="95"/>
    </row>
    <row r="469" spans="1:53" s="87" customFormat="1">
      <c r="A469" s="90" t="str">
        <f t="shared" si="32"/>
        <v/>
      </c>
      <c r="B469" s="98" t="s">
        <v>433</v>
      </c>
      <c r="C469" s="94"/>
      <c r="D469" s="94"/>
      <c r="E469" s="94"/>
      <c r="F469" s="94"/>
      <c r="G469" s="94"/>
      <c r="H469" s="94"/>
      <c r="I469" s="94"/>
      <c r="J469" s="94"/>
      <c r="K469" s="94"/>
      <c r="L469" s="94"/>
      <c r="M469" s="94"/>
      <c r="N469" s="94"/>
      <c r="O469" s="94"/>
      <c r="P469" s="94"/>
      <c r="Q469" s="94"/>
      <c r="R469" s="94"/>
      <c r="S469" s="94"/>
      <c r="T469" s="94"/>
      <c r="U469" s="94"/>
      <c r="V469" s="94"/>
      <c r="W469" s="94"/>
      <c r="X469" s="94"/>
      <c r="Y469" s="94"/>
      <c r="Z469" s="94"/>
      <c r="AA469" s="94"/>
      <c r="AB469" s="94"/>
      <c r="AC469" s="94"/>
      <c r="AD469" s="94"/>
      <c r="AE469" s="94"/>
      <c r="AF469" s="94"/>
      <c r="AG469" s="94"/>
      <c r="AH469" s="94"/>
      <c r="AI469" s="94"/>
      <c r="AJ469" s="94"/>
      <c r="AK469" s="94"/>
      <c r="AL469" s="94"/>
      <c r="AM469" s="94"/>
      <c r="AN469" s="94"/>
      <c r="AO469" s="94"/>
      <c r="AP469" s="94"/>
      <c r="AQ469" s="94"/>
      <c r="AR469" s="94"/>
      <c r="AS469" s="94"/>
      <c r="AT469" s="94"/>
      <c r="AU469" s="94"/>
      <c r="AV469" s="94"/>
      <c r="AW469" s="94"/>
      <c r="AX469" s="94"/>
      <c r="AY469" s="94"/>
      <c r="BA469" s="95"/>
    </row>
    <row r="470" spans="1:53" s="87" customFormat="1">
      <c r="A470" s="90">
        <f t="shared" si="32"/>
        <v>470</v>
      </c>
      <c r="B470" s="98" t="s">
        <v>440</v>
      </c>
      <c r="C470" s="94"/>
      <c r="D470" s="94"/>
      <c r="E470" s="94"/>
      <c r="F470" s="94"/>
      <c r="G470" s="94"/>
      <c r="H470" s="94"/>
      <c r="I470" s="94"/>
      <c r="J470" s="94"/>
      <c r="K470" s="94"/>
      <c r="L470" s="94"/>
      <c r="M470" s="94"/>
      <c r="N470" s="94"/>
      <c r="O470" s="94"/>
      <c r="P470" s="94"/>
      <c r="Q470" s="94"/>
      <c r="R470" s="94"/>
      <c r="S470" s="94"/>
      <c r="T470" s="94"/>
      <c r="U470" s="94"/>
      <c r="V470" s="94"/>
      <c r="W470" s="94"/>
      <c r="X470" s="94"/>
      <c r="Y470" s="94"/>
      <c r="Z470" s="94"/>
      <c r="AA470" s="94"/>
      <c r="AB470" s="94"/>
      <c r="AC470" s="94"/>
      <c r="AD470" s="94"/>
      <c r="AE470" s="94"/>
      <c r="AF470" s="94"/>
      <c r="AG470" s="94"/>
      <c r="AH470" s="94"/>
      <c r="AI470" s="94"/>
      <c r="AJ470" s="94"/>
      <c r="AK470" s="94"/>
      <c r="AL470" s="94"/>
      <c r="AM470" s="94"/>
      <c r="AN470" s="94"/>
      <c r="AO470" s="94"/>
      <c r="AP470" s="94"/>
      <c r="AQ470" s="94"/>
      <c r="AR470" s="94"/>
      <c r="AS470" s="94"/>
      <c r="AT470" s="94"/>
      <c r="AU470" s="94"/>
      <c r="AV470" s="94"/>
      <c r="AW470" s="94"/>
      <c r="AX470" s="94"/>
      <c r="AY470" s="94"/>
      <c r="BA470" s="95"/>
    </row>
    <row r="471" spans="1:53" s="87" customFormat="1">
      <c r="A471" s="90" t="str">
        <f t="shared" si="32"/>
        <v/>
      </c>
      <c r="B471" s="98">
        <v>1</v>
      </c>
      <c r="C471" s="94">
        <v>6</v>
      </c>
      <c r="D471" s="94" t="s">
        <v>210</v>
      </c>
      <c r="E471" s="94" t="s">
        <v>210</v>
      </c>
      <c r="F471" s="94">
        <v>-5</v>
      </c>
      <c r="G471" s="94">
        <v>2</v>
      </c>
      <c r="H471" s="94" t="s">
        <v>210</v>
      </c>
      <c r="I471" s="94" t="s">
        <v>210</v>
      </c>
      <c r="J471" s="94">
        <v>-3</v>
      </c>
      <c r="K471" s="94">
        <v>4</v>
      </c>
      <c r="L471" s="94" t="s">
        <v>210</v>
      </c>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BA471" s="95"/>
    </row>
    <row r="472" spans="1:53" s="87" customFormat="1">
      <c r="A472" s="90" t="str">
        <f t="shared" si="32"/>
        <v/>
      </c>
      <c r="B472" s="98">
        <v>2</v>
      </c>
      <c r="C472" s="94">
        <v>7</v>
      </c>
      <c r="D472" s="94" t="s">
        <v>210</v>
      </c>
      <c r="E472" s="94" t="s">
        <v>210</v>
      </c>
      <c r="F472" s="94">
        <v>2</v>
      </c>
      <c r="G472" s="94">
        <v>-3</v>
      </c>
      <c r="H472" s="94" t="s">
        <v>210</v>
      </c>
      <c r="I472" s="94" t="s">
        <v>210</v>
      </c>
      <c r="J472" s="94">
        <v>5</v>
      </c>
      <c r="K472" s="94">
        <v>-4</v>
      </c>
      <c r="L472" s="94" t="s">
        <v>210</v>
      </c>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4"/>
      <c r="AJ472" s="94"/>
      <c r="AK472" s="94"/>
      <c r="AL472" s="94"/>
      <c r="AM472" s="94"/>
      <c r="AN472" s="94"/>
      <c r="AO472" s="94"/>
      <c r="AP472" s="94"/>
      <c r="AQ472" s="94"/>
      <c r="AR472" s="94"/>
      <c r="AS472" s="94"/>
      <c r="AT472" s="94"/>
      <c r="AU472" s="94"/>
      <c r="AV472" s="94"/>
      <c r="AW472" s="94"/>
      <c r="AX472" s="94"/>
      <c r="AY472" s="94"/>
      <c r="BA472" s="95"/>
    </row>
    <row r="473" spans="1:53" s="87" customFormat="1">
      <c r="A473" s="90" t="str">
        <f t="shared" si="32"/>
        <v/>
      </c>
      <c r="B473" s="98">
        <v>3</v>
      </c>
      <c r="C473" s="94">
        <v>-6</v>
      </c>
      <c r="D473" s="94" t="s">
        <v>210</v>
      </c>
      <c r="E473" s="94" t="s">
        <v>210</v>
      </c>
      <c r="F473" s="94">
        <v>-1</v>
      </c>
      <c r="G473" s="94">
        <v>3</v>
      </c>
      <c r="H473" s="94" t="s">
        <v>210</v>
      </c>
      <c r="I473" s="94" t="s">
        <v>210</v>
      </c>
      <c r="J473" s="94">
        <v>-4</v>
      </c>
      <c r="K473" s="94">
        <v>5</v>
      </c>
      <c r="L473" s="94" t="s">
        <v>210</v>
      </c>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BA473" s="95"/>
    </row>
    <row r="474" spans="1:53" s="87" customFormat="1">
      <c r="A474" s="90" t="str">
        <f t="shared" si="32"/>
        <v/>
      </c>
      <c r="B474" s="98">
        <v>4</v>
      </c>
      <c r="C474" s="94">
        <v>4</v>
      </c>
      <c r="D474" s="94" t="s">
        <v>210</v>
      </c>
      <c r="E474" s="94" t="s">
        <v>210</v>
      </c>
      <c r="F474" s="94">
        <v>-2</v>
      </c>
      <c r="G474" s="94">
        <v>1</v>
      </c>
      <c r="H474" s="94" t="s">
        <v>210</v>
      </c>
      <c r="I474" s="94" t="s">
        <v>210</v>
      </c>
      <c r="J474" s="94">
        <v>3</v>
      </c>
      <c r="K474" s="94">
        <v>-5</v>
      </c>
      <c r="L474" s="94" t="s">
        <v>210</v>
      </c>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BA474" s="95"/>
    </row>
    <row r="475" spans="1:53" s="87" customFormat="1">
      <c r="A475" s="90" t="str">
        <f t="shared" si="32"/>
        <v/>
      </c>
      <c r="B475" s="98">
        <v>5</v>
      </c>
      <c r="C475" s="94">
        <v>-4</v>
      </c>
      <c r="D475" s="94" t="s">
        <v>210</v>
      </c>
      <c r="E475" s="94" t="s">
        <v>210</v>
      </c>
      <c r="F475" s="94">
        <v>1</v>
      </c>
      <c r="G475" s="94">
        <v>-2</v>
      </c>
      <c r="H475" s="94" t="s">
        <v>210</v>
      </c>
      <c r="I475" s="94" t="s">
        <v>210</v>
      </c>
      <c r="J475" s="94">
        <v>-5</v>
      </c>
      <c r="K475" s="94">
        <v>3</v>
      </c>
      <c r="L475" s="94" t="s">
        <v>210</v>
      </c>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BA475" s="95"/>
    </row>
    <row r="476" spans="1:53" s="87" customFormat="1">
      <c r="A476" s="90" t="str">
        <f t="shared" si="32"/>
        <v/>
      </c>
      <c r="B476" s="99">
        <v>6</v>
      </c>
      <c r="C476" s="92">
        <v>-7</v>
      </c>
      <c r="D476" s="92" t="s">
        <v>210</v>
      </c>
      <c r="E476" s="92" t="s">
        <v>210</v>
      </c>
      <c r="F476" s="92">
        <v>5</v>
      </c>
      <c r="G476" s="92">
        <v>-1</v>
      </c>
      <c r="H476" s="92" t="s">
        <v>210</v>
      </c>
      <c r="I476" s="92" t="s">
        <v>210</v>
      </c>
      <c r="J476" s="92">
        <v>4</v>
      </c>
      <c r="K476" s="92">
        <v>-3</v>
      </c>
      <c r="L476" s="92" t="s">
        <v>210</v>
      </c>
      <c r="M476" s="94"/>
      <c r="N476" s="94"/>
      <c r="O476" s="94"/>
      <c r="P476" s="94"/>
      <c r="Q476" s="94"/>
      <c r="R476" s="94"/>
      <c r="S476" s="94"/>
      <c r="T476" s="94"/>
      <c r="U476" s="94"/>
      <c r="V476" s="94"/>
      <c r="W476" s="94"/>
      <c r="X476" s="94"/>
      <c r="Y476" s="94"/>
      <c r="Z476" s="94"/>
      <c r="AA476" s="94"/>
      <c r="AB476" s="94"/>
      <c r="AC476" s="94"/>
      <c r="AD476" s="94"/>
      <c r="AE476" s="94"/>
      <c r="AF476" s="94"/>
      <c r="AG476" s="94"/>
      <c r="AH476" s="94"/>
      <c r="AI476" s="94"/>
      <c r="AJ476" s="94"/>
      <c r="AK476" s="94"/>
      <c r="AL476" s="94"/>
      <c r="AM476" s="94"/>
      <c r="AN476" s="94"/>
      <c r="AO476" s="94"/>
      <c r="AP476" s="94"/>
      <c r="AQ476" s="94"/>
      <c r="AR476" s="94"/>
      <c r="AS476" s="94"/>
      <c r="AT476" s="94"/>
      <c r="AU476" s="94"/>
      <c r="AV476" s="94"/>
      <c r="AW476" s="94"/>
      <c r="AX476" s="94"/>
      <c r="AY476" s="94"/>
      <c r="BA476" s="95"/>
    </row>
    <row r="477" spans="1:53" s="87" customFormat="1">
      <c r="A477" s="90" t="str">
        <f t="shared" si="32"/>
        <v/>
      </c>
      <c r="B477" s="98">
        <v>7</v>
      </c>
      <c r="C477" s="94" t="s">
        <v>210</v>
      </c>
      <c r="D477" s="94">
        <v>6</v>
      </c>
      <c r="E477" s="94">
        <v>-5</v>
      </c>
      <c r="F477" s="94" t="s">
        <v>210</v>
      </c>
      <c r="G477" s="94" t="s">
        <v>210</v>
      </c>
      <c r="H477" s="94">
        <v>2</v>
      </c>
      <c r="I477" s="94">
        <v>-3</v>
      </c>
      <c r="J477" s="94" t="s">
        <v>210</v>
      </c>
      <c r="K477" s="94" t="s">
        <v>210</v>
      </c>
      <c r="L477" s="94">
        <v>4</v>
      </c>
      <c r="M477" s="94"/>
      <c r="N477" s="94"/>
      <c r="O477" s="94"/>
      <c r="P477" s="94"/>
      <c r="Q477" s="94"/>
      <c r="R477" s="94"/>
      <c r="S477" s="94"/>
      <c r="T477" s="94"/>
      <c r="U477" s="94"/>
      <c r="V477" s="94"/>
      <c r="W477" s="94"/>
      <c r="X477" s="94"/>
      <c r="Y477" s="94"/>
      <c r="Z477" s="94"/>
      <c r="AA477" s="94"/>
      <c r="AB477" s="94"/>
      <c r="AC477" s="94"/>
      <c r="AD477" s="94"/>
      <c r="AE477" s="94"/>
      <c r="AF477" s="94"/>
      <c r="AG477" s="94"/>
      <c r="AH477" s="94"/>
      <c r="AI477" s="94"/>
      <c r="AJ477" s="94"/>
      <c r="AK477" s="94"/>
      <c r="AL477" s="94"/>
      <c r="AM477" s="94"/>
      <c r="AN477" s="94"/>
      <c r="AO477" s="94"/>
      <c r="AP477" s="94"/>
      <c r="AQ477" s="94"/>
      <c r="AR477" s="94"/>
      <c r="AS477" s="94"/>
      <c r="AT477" s="94"/>
      <c r="AU477" s="94"/>
      <c r="AV477" s="94"/>
      <c r="AW477" s="94"/>
      <c r="AX477" s="94"/>
      <c r="AY477" s="94"/>
      <c r="BA477" s="95"/>
    </row>
    <row r="478" spans="1:53" s="87" customFormat="1">
      <c r="A478" s="90" t="str">
        <f t="shared" si="32"/>
        <v/>
      </c>
      <c r="B478" s="98">
        <v>8</v>
      </c>
      <c r="C478" s="94" t="s">
        <v>210</v>
      </c>
      <c r="D478" s="94">
        <v>7</v>
      </c>
      <c r="E478" s="94">
        <v>2</v>
      </c>
      <c r="F478" s="94" t="s">
        <v>210</v>
      </c>
      <c r="G478" s="94" t="s">
        <v>210</v>
      </c>
      <c r="H478" s="94">
        <v>-3</v>
      </c>
      <c r="I478" s="94">
        <v>5</v>
      </c>
      <c r="J478" s="94" t="s">
        <v>210</v>
      </c>
      <c r="K478" s="94" t="s">
        <v>210</v>
      </c>
      <c r="L478" s="94">
        <v>-4</v>
      </c>
      <c r="M478" s="94"/>
      <c r="N478" s="94"/>
      <c r="O478" s="94"/>
      <c r="P478" s="94"/>
      <c r="Q478" s="94"/>
      <c r="R478" s="94"/>
      <c r="S478" s="94"/>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c r="AT478" s="94"/>
      <c r="AU478" s="94"/>
      <c r="AV478" s="94"/>
      <c r="AW478" s="94"/>
      <c r="AX478" s="94"/>
      <c r="AY478" s="94"/>
      <c r="BA478" s="95"/>
    </row>
    <row r="479" spans="1:53" s="87" customFormat="1">
      <c r="A479" s="90" t="str">
        <f t="shared" si="32"/>
        <v/>
      </c>
      <c r="B479" s="98">
        <v>9</v>
      </c>
      <c r="C479" s="94" t="s">
        <v>210</v>
      </c>
      <c r="D479" s="94">
        <v>-6</v>
      </c>
      <c r="E479" s="94">
        <v>-1</v>
      </c>
      <c r="F479" s="94" t="s">
        <v>210</v>
      </c>
      <c r="G479" s="94" t="s">
        <v>210</v>
      </c>
      <c r="H479" s="94">
        <v>3</v>
      </c>
      <c r="I479" s="94">
        <v>-4</v>
      </c>
      <c r="J479" s="94" t="s">
        <v>210</v>
      </c>
      <c r="K479" s="94" t="s">
        <v>210</v>
      </c>
      <c r="L479" s="94">
        <v>5</v>
      </c>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BA479" s="95"/>
    </row>
    <row r="480" spans="1:53" s="87" customFormat="1">
      <c r="A480" s="90" t="str">
        <f t="shared" si="32"/>
        <v/>
      </c>
      <c r="B480" s="98">
        <v>10</v>
      </c>
      <c r="C480" s="94" t="s">
        <v>210</v>
      </c>
      <c r="D480" s="94">
        <v>4</v>
      </c>
      <c r="E480" s="94">
        <v>-2</v>
      </c>
      <c r="F480" s="94" t="s">
        <v>210</v>
      </c>
      <c r="G480" s="94" t="s">
        <v>210</v>
      </c>
      <c r="H480" s="94">
        <v>1</v>
      </c>
      <c r="I480" s="94">
        <v>3</v>
      </c>
      <c r="J480" s="94" t="s">
        <v>210</v>
      </c>
      <c r="K480" s="94" t="s">
        <v>210</v>
      </c>
      <c r="L480" s="94">
        <v>-5</v>
      </c>
      <c r="M480" s="94"/>
      <c r="N480" s="94"/>
      <c r="O480" s="94"/>
      <c r="P480" s="94"/>
      <c r="Q480" s="94"/>
      <c r="R480" s="94"/>
      <c r="S480" s="94"/>
      <c r="T480" s="94"/>
      <c r="U480" s="94"/>
      <c r="V480" s="94"/>
      <c r="W480" s="94"/>
      <c r="X480" s="94"/>
      <c r="Y480" s="94"/>
      <c r="Z480" s="94"/>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BA480" s="95"/>
    </row>
    <row r="481" spans="1:53" s="87" customFormat="1">
      <c r="A481" s="90" t="str">
        <f t="shared" si="32"/>
        <v/>
      </c>
      <c r="B481" s="98">
        <v>11</v>
      </c>
      <c r="C481" s="94" t="s">
        <v>210</v>
      </c>
      <c r="D481" s="94">
        <v>-4</v>
      </c>
      <c r="E481" s="94">
        <v>1</v>
      </c>
      <c r="F481" s="94" t="s">
        <v>210</v>
      </c>
      <c r="G481" s="94" t="s">
        <v>210</v>
      </c>
      <c r="H481" s="94">
        <v>-2</v>
      </c>
      <c r="I481" s="94">
        <v>-5</v>
      </c>
      <c r="J481" s="94" t="s">
        <v>210</v>
      </c>
      <c r="K481" s="94" t="s">
        <v>210</v>
      </c>
      <c r="L481" s="94">
        <v>3</v>
      </c>
      <c r="M481" s="94"/>
      <c r="N481" s="94"/>
      <c r="O481" s="94"/>
      <c r="P481" s="94"/>
      <c r="Q481" s="94"/>
      <c r="R481" s="94"/>
      <c r="S481" s="94"/>
      <c r="T481" s="94"/>
      <c r="U481" s="94"/>
      <c r="V481" s="94"/>
      <c r="W481" s="94"/>
      <c r="X481" s="94"/>
      <c r="Y481" s="94"/>
      <c r="Z481" s="94"/>
      <c r="AA481" s="94"/>
      <c r="AB481" s="94"/>
      <c r="AC481" s="94"/>
      <c r="AD481" s="94"/>
      <c r="AE481" s="94"/>
      <c r="AF481" s="94"/>
      <c r="AG481" s="94"/>
      <c r="AH481" s="94"/>
      <c r="AI481" s="94"/>
      <c r="AJ481" s="94"/>
      <c r="AK481" s="94"/>
      <c r="AL481" s="94"/>
      <c r="AM481" s="94"/>
      <c r="AN481" s="94"/>
      <c r="AO481" s="94"/>
      <c r="AP481" s="94"/>
      <c r="AQ481" s="94"/>
      <c r="AR481" s="94"/>
      <c r="AS481" s="94"/>
      <c r="AT481" s="94"/>
      <c r="AU481" s="94"/>
      <c r="AV481" s="94"/>
      <c r="AW481" s="94"/>
      <c r="AX481" s="94"/>
      <c r="AY481" s="94"/>
      <c r="BA481" s="95"/>
    </row>
    <row r="482" spans="1:53" s="87" customFormat="1">
      <c r="A482" s="90" t="str">
        <f t="shared" si="32"/>
        <v/>
      </c>
      <c r="B482" s="99">
        <v>12</v>
      </c>
      <c r="C482" s="92" t="s">
        <v>210</v>
      </c>
      <c r="D482" s="92">
        <v>-7</v>
      </c>
      <c r="E482" s="92">
        <v>5</v>
      </c>
      <c r="F482" s="92" t="s">
        <v>210</v>
      </c>
      <c r="G482" s="92" t="s">
        <v>210</v>
      </c>
      <c r="H482" s="92">
        <v>-1</v>
      </c>
      <c r="I482" s="92">
        <v>4</v>
      </c>
      <c r="J482" s="92" t="s">
        <v>210</v>
      </c>
      <c r="K482" s="92" t="s">
        <v>210</v>
      </c>
      <c r="L482" s="92">
        <v>-3</v>
      </c>
      <c r="M482" s="94"/>
      <c r="N482" s="94"/>
      <c r="O482" s="94"/>
      <c r="P482" s="94"/>
      <c r="Q482" s="94"/>
      <c r="R482" s="94"/>
      <c r="S482" s="94"/>
      <c r="T482" s="94"/>
      <c r="U482" s="94"/>
      <c r="V482" s="94"/>
      <c r="W482" s="94"/>
      <c r="X482" s="94"/>
      <c r="Y482" s="94"/>
      <c r="Z482" s="94"/>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BA482" s="95"/>
    </row>
    <row r="483" spans="1:53" s="87" customFormat="1">
      <c r="A483" s="90" t="str">
        <f t="shared" si="32"/>
        <v/>
      </c>
      <c r="B483" s="98">
        <v>13</v>
      </c>
      <c r="C483" s="94">
        <v>-2</v>
      </c>
      <c r="D483" s="94" t="s">
        <v>210</v>
      </c>
      <c r="E483" s="94" t="s">
        <v>210</v>
      </c>
      <c r="F483" s="94">
        <v>-7</v>
      </c>
      <c r="G483" s="94">
        <v>4</v>
      </c>
      <c r="H483" s="94" t="s">
        <v>210</v>
      </c>
      <c r="I483" s="94" t="s">
        <v>210</v>
      </c>
      <c r="J483" s="94" t="s">
        <v>202</v>
      </c>
      <c r="K483" s="94">
        <v>6</v>
      </c>
      <c r="L483" s="94" t="s">
        <v>210</v>
      </c>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BA483" s="95"/>
    </row>
    <row r="484" spans="1:53" s="87" customFormat="1">
      <c r="A484" s="90" t="str">
        <f t="shared" si="32"/>
        <v/>
      </c>
      <c r="B484" s="98">
        <v>14</v>
      </c>
      <c r="C484" s="94">
        <v>-5</v>
      </c>
      <c r="D484" s="94" t="s">
        <v>210</v>
      </c>
      <c r="E484" s="94" t="s">
        <v>210</v>
      </c>
      <c r="F484" s="94">
        <v>3</v>
      </c>
      <c r="G484" s="94" t="s">
        <v>202</v>
      </c>
      <c r="H484" s="94" t="s">
        <v>210</v>
      </c>
      <c r="I484" s="94" t="s">
        <v>210</v>
      </c>
      <c r="J484" s="94">
        <v>1</v>
      </c>
      <c r="K484" s="94">
        <v>-6</v>
      </c>
      <c r="L484" s="94" t="s">
        <v>210</v>
      </c>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BA484" s="95"/>
    </row>
    <row r="485" spans="1:53" s="87" customFormat="1">
      <c r="A485" s="90" t="str">
        <f t="shared" si="32"/>
        <v/>
      </c>
      <c r="B485" s="98">
        <v>15</v>
      </c>
      <c r="C485" s="94" t="s">
        <v>202</v>
      </c>
      <c r="D485" s="94" t="s">
        <v>210</v>
      </c>
      <c r="E485" s="94" t="s">
        <v>210</v>
      </c>
      <c r="F485" s="94">
        <v>7</v>
      </c>
      <c r="G485" s="94">
        <v>-6</v>
      </c>
      <c r="H485" s="94" t="s">
        <v>210</v>
      </c>
      <c r="I485" s="94" t="s">
        <v>210</v>
      </c>
      <c r="J485" s="94">
        <v>-1</v>
      </c>
      <c r="K485" s="94">
        <v>2</v>
      </c>
      <c r="L485" s="94" t="s">
        <v>210</v>
      </c>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BA485" s="95"/>
    </row>
    <row r="486" spans="1:53" s="87" customFormat="1">
      <c r="A486" s="90" t="str">
        <f t="shared" si="32"/>
        <v/>
      </c>
      <c r="B486" s="98">
        <v>16</v>
      </c>
      <c r="C486" s="94">
        <v>5</v>
      </c>
      <c r="D486" s="94" t="s">
        <v>210</v>
      </c>
      <c r="E486" s="94" t="s">
        <v>210</v>
      </c>
      <c r="F486" s="94" t="s">
        <v>202</v>
      </c>
      <c r="G486" s="94">
        <v>-4</v>
      </c>
      <c r="H486" s="94" t="s">
        <v>210</v>
      </c>
      <c r="I486" s="94" t="s">
        <v>210</v>
      </c>
      <c r="J486" s="94">
        <v>7</v>
      </c>
      <c r="K486" s="94">
        <v>-2</v>
      </c>
      <c r="L486" s="94" t="s">
        <v>210</v>
      </c>
      <c r="M486" s="94"/>
      <c r="N486" s="94"/>
      <c r="O486" s="94"/>
      <c r="P486" s="94"/>
      <c r="Q486" s="94"/>
      <c r="R486" s="94"/>
      <c r="S486" s="94"/>
      <c r="T486" s="94"/>
      <c r="U486" s="94"/>
      <c r="V486" s="94"/>
      <c r="W486" s="94"/>
      <c r="X486" s="94"/>
      <c r="Y486" s="94"/>
      <c r="Z486" s="94"/>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4"/>
      <c r="AY486" s="94"/>
      <c r="BA486" s="95"/>
    </row>
    <row r="487" spans="1:53" s="87" customFormat="1">
      <c r="A487" s="90" t="str">
        <f t="shared" si="32"/>
        <v/>
      </c>
      <c r="B487" s="99">
        <v>17</v>
      </c>
      <c r="C487" s="92">
        <v>-2</v>
      </c>
      <c r="D487" s="92" t="s">
        <v>210</v>
      </c>
      <c r="E487" s="92" t="s">
        <v>210</v>
      </c>
      <c r="F487" s="92">
        <v>-3</v>
      </c>
      <c r="G487" s="92">
        <v>6</v>
      </c>
      <c r="H487" s="92" t="s">
        <v>210</v>
      </c>
      <c r="I487" s="92" t="s">
        <v>210</v>
      </c>
      <c r="J487" s="92">
        <v>-7</v>
      </c>
      <c r="K487" s="92" t="s">
        <v>202</v>
      </c>
      <c r="L487" s="92" t="s">
        <v>210</v>
      </c>
      <c r="M487" s="94"/>
      <c r="N487" s="94"/>
      <c r="O487" s="94"/>
      <c r="P487" s="94"/>
      <c r="Q487" s="94"/>
      <c r="R487" s="94"/>
      <c r="S487" s="94"/>
      <c r="T487" s="94"/>
      <c r="U487" s="94"/>
      <c r="V487" s="94"/>
      <c r="W487" s="94"/>
      <c r="X487" s="94"/>
      <c r="Y487" s="94"/>
      <c r="Z487" s="94"/>
      <c r="AA487" s="94"/>
      <c r="AB487" s="94"/>
      <c r="AC487" s="94"/>
      <c r="AD487" s="94"/>
      <c r="AE487" s="94"/>
      <c r="AF487" s="94"/>
      <c r="AG487" s="94"/>
      <c r="AH487" s="94"/>
      <c r="AI487" s="94"/>
      <c r="AJ487" s="94"/>
      <c r="AK487" s="94"/>
      <c r="AL487" s="94"/>
      <c r="AM487" s="94"/>
      <c r="AN487" s="94"/>
      <c r="AO487" s="94"/>
      <c r="AP487" s="94"/>
      <c r="AQ487" s="94"/>
      <c r="AR487" s="94"/>
      <c r="AS487" s="94"/>
      <c r="AT487" s="94"/>
      <c r="AU487" s="94"/>
      <c r="AV487" s="94"/>
      <c r="AW487" s="94"/>
      <c r="AX487" s="94"/>
      <c r="AY487" s="94"/>
      <c r="BA487" s="95"/>
    </row>
    <row r="488" spans="1:53" s="87" customFormat="1">
      <c r="A488" s="90" t="str">
        <f t="shared" si="32"/>
        <v/>
      </c>
      <c r="B488" s="98">
        <v>18</v>
      </c>
      <c r="C488" s="94">
        <v>-3</v>
      </c>
      <c r="D488" s="94" t="s">
        <v>210</v>
      </c>
      <c r="E488" s="94" t="s">
        <v>210</v>
      </c>
      <c r="F488" s="94">
        <v>4</v>
      </c>
      <c r="G488" s="94" t="s">
        <v>202</v>
      </c>
      <c r="H488" s="94" t="s">
        <v>210</v>
      </c>
      <c r="I488" s="94" t="s">
        <v>210</v>
      </c>
      <c r="J488" s="94">
        <v>-2</v>
      </c>
      <c r="K488" s="94">
        <v>7</v>
      </c>
      <c r="L488" s="94" t="s">
        <v>210</v>
      </c>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BA488" s="95"/>
    </row>
    <row r="489" spans="1:53" s="87" customFormat="1">
      <c r="A489" s="90" t="str">
        <f t="shared" si="32"/>
        <v/>
      </c>
      <c r="B489" s="98">
        <v>19</v>
      </c>
      <c r="C489" s="94">
        <v>-1</v>
      </c>
      <c r="D489" s="94" t="s">
        <v>210</v>
      </c>
      <c r="E489" s="94" t="s">
        <v>210</v>
      </c>
      <c r="F489" s="94">
        <v>6</v>
      </c>
      <c r="G489" s="94">
        <v>5</v>
      </c>
      <c r="H489" s="94" t="s">
        <v>210</v>
      </c>
      <c r="I489" s="94" t="s">
        <v>210</v>
      </c>
      <c r="J489" s="94" t="s">
        <v>202</v>
      </c>
      <c r="K489" s="94">
        <v>-7</v>
      </c>
      <c r="L489" s="94" t="s">
        <v>210</v>
      </c>
      <c r="M489" s="94"/>
      <c r="N489" s="94"/>
      <c r="O489" s="94"/>
      <c r="P489" s="94"/>
      <c r="Q489" s="94"/>
      <c r="R489" s="94"/>
      <c r="S489" s="94"/>
      <c r="T489" s="94"/>
      <c r="U489" s="94"/>
      <c r="V489" s="94"/>
      <c r="W489" s="94"/>
      <c r="X489" s="94"/>
      <c r="Y489" s="94"/>
      <c r="Z489" s="94"/>
      <c r="AA489" s="94"/>
      <c r="AB489" s="94"/>
      <c r="AC489" s="94"/>
      <c r="AD489" s="94"/>
      <c r="AE489" s="94"/>
      <c r="AF489" s="94"/>
      <c r="AG489" s="94"/>
      <c r="AH489" s="94"/>
      <c r="AI489" s="94"/>
      <c r="AJ489" s="94"/>
      <c r="AK489" s="94"/>
      <c r="AL489" s="94"/>
      <c r="AM489" s="94"/>
      <c r="AN489" s="94"/>
      <c r="AO489" s="94"/>
      <c r="AP489" s="94"/>
      <c r="AQ489" s="94"/>
      <c r="AR489" s="94"/>
      <c r="AS489" s="94"/>
      <c r="AT489" s="94"/>
      <c r="AU489" s="94"/>
      <c r="AV489" s="94"/>
      <c r="AW489" s="94"/>
      <c r="AX489" s="94"/>
      <c r="AY489" s="94"/>
      <c r="BA489" s="95"/>
    </row>
    <row r="490" spans="1:53" s="87" customFormat="1">
      <c r="A490" s="90" t="str">
        <f t="shared" si="32"/>
        <v/>
      </c>
      <c r="B490" s="98">
        <v>20</v>
      </c>
      <c r="C490" s="94">
        <v>3</v>
      </c>
      <c r="D490" s="94" t="s">
        <v>210</v>
      </c>
      <c r="E490" s="94" t="s">
        <v>210</v>
      </c>
      <c r="F490" s="94" t="s">
        <v>202</v>
      </c>
      <c r="G490" s="94">
        <v>-5</v>
      </c>
      <c r="H490" s="94" t="s">
        <v>210</v>
      </c>
      <c r="I490" s="94" t="s">
        <v>210</v>
      </c>
      <c r="J490" s="94">
        <v>-6</v>
      </c>
      <c r="K490" s="94">
        <v>1</v>
      </c>
      <c r="L490" s="94" t="s">
        <v>210</v>
      </c>
      <c r="M490" s="94"/>
      <c r="N490" s="94"/>
      <c r="O490" s="94"/>
      <c r="P490" s="94"/>
      <c r="Q490" s="94"/>
      <c r="R490" s="94"/>
      <c r="S490" s="94"/>
      <c r="T490" s="94"/>
      <c r="U490" s="94"/>
      <c r="V490" s="94"/>
      <c r="W490" s="94"/>
      <c r="X490" s="94"/>
      <c r="Y490" s="94"/>
      <c r="Z490" s="94"/>
      <c r="AA490" s="94"/>
      <c r="AB490" s="94"/>
      <c r="AC490" s="94"/>
      <c r="AD490" s="94"/>
      <c r="AE490" s="94"/>
      <c r="AF490" s="94"/>
      <c r="AG490" s="94"/>
      <c r="AH490" s="94"/>
      <c r="AI490" s="94"/>
      <c r="AJ490" s="94"/>
      <c r="AK490" s="94"/>
      <c r="AL490" s="94"/>
      <c r="AM490" s="94"/>
      <c r="AN490" s="94"/>
      <c r="AO490" s="94"/>
      <c r="AP490" s="94"/>
      <c r="AQ490" s="94"/>
      <c r="AR490" s="94"/>
      <c r="AS490" s="94"/>
      <c r="AT490" s="94"/>
      <c r="AU490" s="94"/>
      <c r="AV490" s="94"/>
      <c r="AW490" s="94"/>
      <c r="AX490" s="94"/>
      <c r="AY490" s="94"/>
      <c r="BA490" s="95"/>
    </row>
    <row r="491" spans="1:53" s="87" customFormat="1">
      <c r="A491" s="90" t="str">
        <f t="shared" si="32"/>
        <v/>
      </c>
      <c r="B491" s="98">
        <v>21</v>
      </c>
      <c r="C491" s="94" t="s">
        <v>202</v>
      </c>
      <c r="D491" s="94" t="s">
        <v>210</v>
      </c>
      <c r="E491" s="94" t="s">
        <v>210</v>
      </c>
      <c r="F491" s="94">
        <v>-6</v>
      </c>
      <c r="G491" s="94">
        <v>7</v>
      </c>
      <c r="H491" s="94" t="s">
        <v>210</v>
      </c>
      <c r="I491" s="94" t="s">
        <v>210</v>
      </c>
      <c r="J491" s="94">
        <v>2</v>
      </c>
      <c r="K491" s="94">
        <v>-1</v>
      </c>
      <c r="L491" s="94" t="s">
        <v>210</v>
      </c>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BA491" s="95"/>
    </row>
    <row r="492" spans="1:53" s="87" customFormat="1">
      <c r="A492" s="90" t="str">
        <f t="shared" si="32"/>
        <v/>
      </c>
      <c r="B492" s="99">
        <v>22</v>
      </c>
      <c r="C492" s="92">
        <v>1</v>
      </c>
      <c r="D492" s="92" t="s">
        <v>210</v>
      </c>
      <c r="E492" s="92" t="s">
        <v>210</v>
      </c>
      <c r="F492" s="92">
        <v>-4</v>
      </c>
      <c r="G492" s="92">
        <v>-7</v>
      </c>
      <c r="H492" s="92" t="s">
        <v>210</v>
      </c>
      <c r="I492" s="92" t="s">
        <v>210</v>
      </c>
      <c r="J492" s="92">
        <v>6</v>
      </c>
      <c r="K492" s="92" t="s">
        <v>202</v>
      </c>
      <c r="L492" s="92" t="s">
        <v>210</v>
      </c>
      <c r="M492" s="94"/>
      <c r="N492" s="94"/>
      <c r="O492" s="94"/>
      <c r="P492" s="94"/>
      <c r="Q492" s="94"/>
      <c r="R492" s="94"/>
      <c r="S492" s="94"/>
      <c r="T492" s="94"/>
      <c r="U492" s="94"/>
      <c r="V492" s="94"/>
      <c r="W492" s="94"/>
      <c r="X492" s="94"/>
      <c r="Y492" s="94"/>
      <c r="Z492" s="94"/>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BA492" s="95"/>
    </row>
    <row r="493" spans="1:53" s="87" customFormat="1">
      <c r="A493" s="90" t="str">
        <f t="shared" si="32"/>
        <v/>
      </c>
      <c r="B493" s="98">
        <v>23</v>
      </c>
      <c r="C493" s="94" t="s">
        <v>210</v>
      </c>
      <c r="D493" s="94">
        <v>-2</v>
      </c>
      <c r="E493" s="94">
        <v>-7</v>
      </c>
      <c r="F493" s="94" t="s">
        <v>210</v>
      </c>
      <c r="G493" s="94" t="s">
        <v>210</v>
      </c>
      <c r="H493" s="94">
        <v>4</v>
      </c>
      <c r="I493" s="94" t="s">
        <v>202</v>
      </c>
      <c r="J493" s="94" t="s">
        <v>210</v>
      </c>
      <c r="K493" s="94" t="s">
        <v>210</v>
      </c>
      <c r="L493" s="94">
        <v>6</v>
      </c>
      <c r="M493" s="94"/>
      <c r="N493" s="94"/>
      <c r="O493" s="94"/>
      <c r="P493" s="94"/>
      <c r="Q493" s="94"/>
      <c r="R493" s="94"/>
      <c r="S493" s="94"/>
      <c r="T493" s="94"/>
      <c r="U493" s="94"/>
      <c r="V493" s="94"/>
      <c r="W493" s="94"/>
      <c r="X493" s="94"/>
      <c r="Y493" s="94"/>
      <c r="Z493" s="94"/>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c r="AW493" s="94"/>
      <c r="AX493" s="94"/>
      <c r="AY493" s="94"/>
      <c r="BA493" s="95"/>
    </row>
    <row r="494" spans="1:53" s="87" customFormat="1">
      <c r="A494" s="90" t="str">
        <f t="shared" si="32"/>
        <v/>
      </c>
      <c r="B494" s="98">
        <v>24</v>
      </c>
      <c r="C494" s="94" t="s">
        <v>210</v>
      </c>
      <c r="D494" s="94">
        <v>-5</v>
      </c>
      <c r="E494" s="94">
        <v>3</v>
      </c>
      <c r="F494" s="94" t="s">
        <v>210</v>
      </c>
      <c r="G494" s="94" t="s">
        <v>210</v>
      </c>
      <c r="H494" s="94" t="s">
        <v>202</v>
      </c>
      <c r="I494" s="94">
        <v>1</v>
      </c>
      <c r="J494" s="94" t="s">
        <v>210</v>
      </c>
      <c r="K494" s="94" t="s">
        <v>210</v>
      </c>
      <c r="L494" s="94">
        <v>-6</v>
      </c>
      <c r="M494" s="94"/>
      <c r="N494" s="94"/>
      <c r="O494" s="94"/>
      <c r="P494" s="94"/>
      <c r="Q494" s="94"/>
      <c r="R494" s="94"/>
      <c r="S494" s="94"/>
      <c r="T494" s="94"/>
      <c r="U494" s="94"/>
      <c r="V494" s="94"/>
      <c r="W494" s="94"/>
      <c r="X494" s="94"/>
      <c r="Y494" s="94"/>
      <c r="Z494" s="94"/>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c r="AW494" s="94"/>
      <c r="AX494" s="94"/>
      <c r="AY494" s="94"/>
      <c r="BA494" s="95"/>
    </row>
    <row r="495" spans="1:53" s="87" customFormat="1">
      <c r="A495" s="90" t="str">
        <f t="shared" si="32"/>
        <v/>
      </c>
      <c r="B495" s="98">
        <v>25</v>
      </c>
      <c r="C495" s="94" t="s">
        <v>210</v>
      </c>
      <c r="D495" s="94" t="s">
        <v>202</v>
      </c>
      <c r="E495" s="94">
        <v>7</v>
      </c>
      <c r="F495" s="94" t="s">
        <v>210</v>
      </c>
      <c r="G495" s="94" t="s">
        <v>210</v>
      </c>
      <c r="H495" s="94">
        <v>-6</v>
      </c>
      <c r="I495" s="94">
        <v>-1</v>
      </c>
      <c r="J495" s="94" t="s">
        <v>210</v>
      </c>
      <c r="K495" s="94" t="s">
        <v>210</v>
      </c>
      <c r="L495" s="94">
        <v>2</v>
      </c>
      <c r="M495" s="94"/>
      <c r="N495" s="94"/>
      <c r="O495" s="94"/>
      <c r="P495" s="94"/>
      <c r="Q495" s="94"/>
      <c r="R495" s="94"/>
      <c r="S495" s="94"/>
      <c r="T495" s="94"/>
      <c r="U495" s="94"/>
      <c r="V495" s="94"/>
      <c r="W495" s="94"/>
      <c r="X495" s="94"/>
      <c r="Y495" s="94"/>
      <c r="Z495" s="94"/>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BA495" s="95"/>
    </row>
    <row r="496" spans="1:53" s="87" customFormat="1">
      <c r="A496" s="90" t="str">
        <f t="shared" si="32"/>
        <v/>
      </c>
      <c r="B496" s="98">
        <v>26</v>
      </c>
      <c r="C496" s="94" t="s">
        <v>210</v>
      </c>
      <c r="D496" s="94">
        <v>5</v>
      </c>
      <c r="E496" s="94" t="s">
        <v>202</v>
      </c>
      <c r="F496" s="94" t="s">
        <v>210</v>
      </c>
      <c r="G496" s="94" t="s">
        <v>210</v>
      </c>
      <c r="H496" s="94">
        <v>-4</v>
      </c>
      <c r="I496" s="94">
        <v>7</v>
      </c>
      <c r="J496" s="94" t="s">
        <v>210</v>
      </c>
      <c r="K496" s="94" t="s">
        <v>210</v>
      </c>
      <c r="L496" s="94">
        <v>-2</v>
      </c>
      <c r="M496" s="94"/>
      <c r="N496" s="94"/>
      <c r="O496" s="94"/>
      <c r="P496" s="94"/>
      <c r="Q496" s="94"/>
      <c r="R496" s="94"/>
      <c r="S496" s="94"/>
      <c r="T496" s="94"/>
      <c r="U496" s="94"/>
      <c r="V496" s="94"/>
      <c r="W496" s="94"/>
      <c r="X496" s="94"/>
      <c r="Y496" s="94"/>
      <c r="Z496" s="94"/>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c r="AW496" s="94"/>
      <c r="AX496" s="94"/>
      <c r="AY496" s="94"/>
      <c r="BA496" s="95"/>
    </row>
    <row r="497" spans="1:53" s="87" customFormat="1">
      <c r="A497" s="90" t="str">
        <f t="shared" si="32"/>
        <v/>
      </c>
      <c r="B497" s="99">
        <v>27</v>
      </c>
      <c r="C497" s="92" t="s">
        <v>210</v>
      </c>
      <c r="D497" s="92">
        <v>-2</v>
      </c>
      <c r="E497" s="92">
        <v>-3</v>
      </c>
      <c r="F497" s="92" t="s">
        <v>210</v>
      </c>
      <c r="G497" s="92" t="s">
        <v>210</v>
      </c>
      <c r="H497" s="92">
        <v>6</v>
      </c>
      <c r="I497" s="92">
        <v>-7</v>
      </c>
      <c r="J497" s="92" t="s">
        <v>210</v>
      </c>
      <c r="K497" s="92" t="s">
        <v>210</v>
      </c>
      <c r="L497" s="92" t="s">
        <v>202</v>
      </c>
      <c r="M497" s="94"/>
      <c r="N497" s="94"/>
      <c r="O497" s="94"/>
      <c r="P497" s="94"/>
      <c r="Q497" s="94"/>
      <c r="R497" s="94"/>
      <c r="S497" s="94"/>
      <c r="T497" s="94"/>
      <c r="U497" s="94"/>
      <c r="V497" s="94"/>
      <c r="W497" s="94"/>
      <c r="X497" s="94"/>
      <c r="Y497" s="94"/>
      <c r="Z497" s="94"/>
      <c r="AA497" s="94"/>
      <c r="AB497" s="94"/>
      <c r="AC497" s="94"/>
      <c r="AD497" s="94"/>
      <c r="AE497" s="94"/>
      <c r="AF497" s="94"/>
      <c r="AG497" s="94"/>
      <c r="AH497" s="94"/>
      <c r="AI497" s="94"/>
      <c r="AJ497" s="94"/>
      <c r="AK497" s="94"/>
      <c r="AL497" s="94"/>
      <c r="AM497" s="94"/>
      <c r="AN497" s="94"/>
      <c r="AO497" s="94"/>
      <c r="AP497" s="94"/>
      <c r="AQ497" s="94"/>
      <c r="AR497" s="94"/>
      <c r="AS497" s="94"/>
      <c r="AT497" s="94"/>
      <c r="AU497" s="94"/>
      <c r="AV497" s="94"/>
      <c r="AW497" s="94"/>
      <c r="AX497" s="94"/>
      <c r="AY497" s="94"/>
      <c r="BA497" s="95"/>
    </row>
    <row r="498" spans="1:53" s="87" customFormat="1">
      <c r="A498" s="90" t="str">
        <f t="shared" si="32"/>
        <v/>
      </c>
      <c r="B498" s="98">
        <v>28</v>
      </c>
      <c r="C498" s="94" t="s">
        <v>210</v>
      </c>
      <c r="D498" s="94">
        <v>-3</v>
      </c>
      <c r="E498" s="94">
        <v>4</v>
      </c>
      <c r="F498" s="94" t="s">
        <v>210</v>
      </c>
      <c r="G498" s="94" t="s">
        <v>210</v>
      </c>
      <c r="H498" s="94" t="s">
        <v>202</v>
      </c>
      <c r="I498" s="94">
        <v>-2</v>
      </c>
      <c r="J498" s="94" t="s">
        <v>210</v>
      </c>
      <c r="K498" s="94" t="s">
        <v>210</v>
      </c>
      <c r="L498" s="94">
        <v>7</v>
      </c>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BA498" s="95"/>
    </row>
    <row r="499" spans="1:53" s="87" customFormat="1">
      <c r="A499" s="90" t="str">
        <f t="shared" si="32"/>
        <v/>
      </c>
      <c r="B499" s="98">
        <v>29</v>
      </c>
      <c r="C499" s="94" t="s">
        <v>210</v>
      </c>
      <c r="D499" s="94">
        <v>-1</v>
      </c>
      <c r="E499" s="94">
        <v>6</v>
      </c>
      <c r="F499" s="94" t="s">
        <v>210</v>
      </c>
      <c r="G499" s="94" t="s">
        <v>210</v>
      </c>
      <c r="H499" s="94">
        <v>5</v>
      </c>
      <c r="I499" s="94" t="s">
        <v>202</v>
      </c>
      <c r="J499" s="94" t="s">
        <v>210</v>
      </c>
      <c r="K499" s="94" t="s">
        <v>210</v>
      </c>
      <c r="L499" s="94">
        <v>-7</v>
      </c>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BA499" s="95"/>
    </row>
    <row r="500" spans="1:53" s="87" customFormat="1">
      <c r="A500" s="90" t="str">
        <f t="shared" si="32"/>
        <v/>
      </c>
      <c r="B500" s="98">
        <v>30</v>
      </c>
      <c r="C500" s="94" t="s">
        <v>210</v>
      </c>
      <c r="D500" s="94">
        <v>3</v>
      </c>
      <c r="E500" s="94" t="s">
        <v>202</v>
      </c>
      <c r="F500" s="94" t="s">
        <v>210</v>
      </c>
      <c r="G500" s="94" t="s">
        <v>210</v>
      </c>
      <c r="H500" s="94">
        <v>-5</v>
      </c>
      <c r="I500" s="94">
        <v>-6</v>
      </c>
      <c r="J500" s="94" t="s">
        <v>210</v>
      </c>
      <c r="K500" s="94" t="s">
        <v>210</v>
      </c>
      <c r="L500" s="94">
        <v>1</v>
      </c>
      <c r="M500" s="94"/>
      <c r="N500" s="94"/>
      <c r="O500" s="94"/>
      <c r="P500" s="94"/>
      <c r="Q500" s="94"/>
      <c r="R500" s="94"/>
      <c r="S500" s="94"/>
      <c r="T500" s="94"/>
      <c r="U500" s="94"/>
      <c r="V500" s="94"/>
      <c r="W500" s="94"/>
      <c r="X500" s="94"/>
      <c r="Y500" s="94"/>
      <c r="Z500" s="94"/>
      <c r="AA500" s="94"/>
      <c r="AB500" s="94"/>
      <c r="AC500" s="94"/>
      <c r="AD500" s="94"/>
      <c r="AE500" s="94"/>
      <c r="AF500" s="94"/>
      <c r="AG500" s="94"/>
      <c r="AH500" s="94"/>
      <c r="AI500" s="94"/>
      <c r="AJ500" s="94"/>
      <c r="AK500" s="94"/>
      <c r="AL500" s="94"/>
      <c r="AM500" s="94"/>
      <c r="AN500" s="94"/>
      <c r="AO500" s="94"/>
      <c r="AP500" s="94"/>
      <c r="AQ500" s="94"/>
      <c r="AR500" s="94"/>
      <c r="AS500" s="94"/>
      <c r="AT500" s="94"/>
      <c r="AU500" s="94"/>
      <c r="AV500" s="94"/>
      <c r="AW500" s="94"/>
      <c r="AX500" s="94"/>
      <c r="AY500" s="94"/>
      <c r="BA500" s="95"/>
    </row>
    <row r="501" spans="1:53" s="87" customFormat="1">
      <c r="A501" s="90" t="str">
        <f t="shared" si="32"/>
        <v/>
      </c>
      <c r="B501" s="98">
        <v>31</v>
      </c>
      <c r="C501" s="94" t="s">
        <v>210</v>
      </c>
      <c r="D501" s="94" t="s">
        <v>202</v>
      </c>
      <c r="E501" s="94">
        <v>-6</v>
      </c>
      <c r="F501" s="94" t="s">
        <v>210</v>
      </c>
      <c r="G501" s="94" t="s">
        <v>210</v>
      </c>
      <c r="H501" s="94">
        <v>7</v>
      </c>
      <c r="I501" s="94">
        <v>2</v>
      </c>
      <c r="J501" s="94" t="s">
        <v>210</v>
      </c>
      <c r="K501" s="94" t="s">
        <v>210</v>
      </c>
      <c r="L501" s="94">
        <v>-1</v>
      </c>
      <c r="M501" s="94"/>
      <c r="N501" s="94"/>
      <c r="O501" s="94"/>
      <c r="P501" s="94"/>
      <c r="Q501" s="94"/>
      <c r="R501" s="94"/>
      <c r="S501" s="94"/>
      <c r="T501" s="94"/>
      <c r="U501" s="94"/>
      <c r="V501" s="94"/>
      <c r="W501" s="94"/>
      <c r="X501" s="94"/>
      <c r="Y501" s="94"/>
      <c r="Z501" s="94"/>
      <c r="AA501" s="94"/>
      <c r="AB501" s="94"/>
      <c r="AC501" s="94"/>
      <c r="AD501" s="94"/>
      <c r="AE501" s="94"/>
      <c r="AF501" s="94"/>
      <c r="AG501" s="94"/>
      <c r="AH501" s="94"/>
      <c r="AI501" s="94"/>
      <c r="AJ501" s="94"/>
      <c r="AK501" s="94"/>
      <c r="AL501" s="94"/>
      <c r="AM501" s="94"/>
      <c r="AN501" s="94"/>
      <c r="AO501" s="94"/>
      <c r="AP501" s="94"/>
      <c r="AQ501" s="94"/>
      <c r="AR501" s="94"/>
      <c r="AS501" s="94"/>
      <c r="AT501" s="94"/>
      <c r="AU501" s="94"/>
      <c r="AV501" s="94"/>
      <c r="AW501" s="94"/>
      <c r="AX501" s="94"/>
      <c r="AY501" s="94"/>
      <c r="BA501" s="95"/>
    </row>
    <row r="502" spans="1:53" s="87" customFormat="1">
      <c r="A502" s="90" t="str">
        <f t="shared" si="32"/>
        <v/>
      </c>
      <c r="B502" s="98">
        <v>32</v>
      </c>
      <c r="C502" s="94" t="s">
        <v>210</v>
      </c>
      <c r="D502" s="94">
        <v>1</v>
      </c>
      <c r="E502" s="94">
        <v>-4</v>
      </c>
      <c r="F502" s="94" t="s">
        <v>210</v>
      </c>
      <c r="G502" s="94" t="s">
        <v>210</v>
      </c>
      <c r="H502" s="94">
        <v>-7</v>
      </c>
      <c r="I502" s="94">
        <v>6</v>
      </c>
      <c r="J502" s="94" t="s">
        <v>210</v>
      </c>
      <c r="K502" s="94" t="s">
        <v>210</v>
      </c>
      <c r="L502" s="94" t="s">
        <v>202</v>
      </c>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BA502" s="95"/>
    </row>
    <row r="503" spans="1:53" s="87" customFormat="1">
      <c r="A503" s="90" t="str">
        <f t="shared" si="32"/>
        <v/>
      </c>
      <c r="B503" s="98" t="s">
        <v>441</v>
      </c>
      <c r="C503" s="94"/>
      <c r="D503" s="94"/>
      <c r="E503" s="94"/>
      <c r="F503" s="94"/>
      <c r="G503" s="94"/>
      <c r="H503" s="94"/>
      <c r="I503" s="94"/>
      <c r="J503" s="94"/>
      <c r="K503" s="94"/>
      <c r="L503" s="94"/>
      <c r="M503" s="94"/>
      <c r="N503" s="94"/>
      <c r="O503" s="94"/>
      <c r="P503" s="94"/>
      <c r="Q503" s="94"/>
      <c r="R503" s="94"/>
      <c r="S503" s="94"/>
      <c r="T503" s="94"/>
      <c r="U503" s="94"/>
      <c r="V503" s="94"/>
      <c r="W503" s="94"/>
      <c r="X503" s="94"/>
      <c r="Y503" s="94"/>
      <c r="Z503" s="94"/>
      <c r="AA503" s="94"/>
      <c r="AB503" s="94"/>
      <c r="AC503" s="94"/>
      <c r="AD503" s="94"/>
      <c r="AE503" s="94"/>
      <c r="AF503" s="94"/>
      <c r="AG503" s="94"/>
      <c r="AH503" s="94"/>
      <c r="AI503" s="94"/>
      <c r="AJ503" s="94"/>
      <c r="AK503" s="94"/>
      <c r="AL503" s="94"/>
      <c r="AM503" s="94"/>
      <c r="AN503" s="94"/>
      <c r="AO503" s="94"/>
      <c r="AP503" s="94"/>
      <c r="AQ503" s="94"/>
      <c r="AR503" s="94"/>
      <c r="AS503" s="94"/>
      <c r="AT503" s="94"/>
      <c r="AU503" s="94"/>
      <c r="AV503" s="94"/>
      <c r="AW503" s="94"/>
      <c r="AX503" s="94"/>
      <c r="AY503" s="94"/>
      <c r="BA503" s="95"/>
    </row>
    <row r="504" spans="1:53" s="87" customFormat="1">
      <c r="A504" s="90">
        <f t="shared" si="32"/>
        <v>504</v>
      </c>
      <c r="B504" s="98" t="s">
        <v>823</v>
      </c>
      <c r="C504" s="94"/>
      <c r="D504" s="94"/>
      <c r="E504" s="94"/>
      <c r="F504" s="94"/>
      <c r="G504" s="94"/>
      <c r="H504" s="94"/>
      <c r="I504" s="94"/>
      <c r="J504" s="94"/>
      <c r="K504" s="94"/>
      <c r="L504" s="94"/>
      <c r="M504" s="94"/>
      <c r="N504" s="94"/>
      <c r="O504" s="94"/>
      <c r="P504" s="94"/>
      <c r="Q504" s="94"/>
      <c r="R504" s="94"/>
      <c r="S504" s="94"/>
      <c r="T504" s="94"/>
      <c r="U504" s="94"/>
      <c r="V504" s="94"/>
      <c r="W504" s="94"/>
      <c r="X504" s="94"/>
      <c r="Y504" s="94"/>
      <c r="Z504" s="94"/>
      <c r="AA504" s="94"/>
      <c r="AB504" s="94"/>
      <c r="AC504" s="94"/>
      <c r="AD504" s="94"/>
      <c r="AE504" s="94"/>
      <c r="AF504" s="94"/>
      <c r="AG504" s="94"/>
      <c r="AH504" s="94"/>
      <c r="AI504" s="94"/>
      <c r="AJ504" s="94"/>
      <c r="AK504" s="94"/>
      <c r="AL504" s="94"/>
      <c r="AM504" s="94"/>
      <c r="AN504" s="94"/>
      <c r="AO504" s="94"/>
      <c r="AP504" s="94"/>
      <c r="AQ504" s="94"/>
      <c r="AR504" s="94"/>
      <c r="AS504" s="94"/>
      <c r="AT504" s="94"/>
      <c r="AU504" s="94"/>
      <c r="AV504" s="94"/>
      <c r="AW504" s="94"/>
      <c r="AX504" s="94"/>
      <c r="AY504" s="94"/>
      <c r="BA504" s="95"/>
    </row>
    <row r="505" spans="1:53" s="87" customFormat="1">
      <c r="A505" s="90" t="str">
        <f t="shared" si="32"/>
        <v/>
      </c>
      <c r="B505" s="98">
        <v>1</v>
      </c>
      <c r="C505" s="94">
        <v>-3</v>
      </c>
      <c r="D505" s="94" t="s">
        <v>210</v>
      </c>
      <c r="E505" s="94" t="s">
        <v>210</v>
      </c>
      <c r="F505" s="94">
        <v>5</v>
      </c>
      <c r="G505" s="94">
        <v>2</v>
      </c>
      <c r="H505" s="94" t="s">
        <v>210</v>
      </c>
      <c r="I505" s="94">
        <v>-7</v>
      </c>
      <c r="J505" s="94" t="s">
        <v>210</v>
      </c>
      <c r="K505" s="94">
        <v>-6</v>
      </c>
      <c r="L505" s="94" t="s">
        <v>210</v>
      </c>
      <c r="M505" s="94" t="s">
        <v>210</v>
      </c>
      <c r="N505" s="94">
        <v>1</v>
      </c>
      <c r="O505" s="94">
        <v>4</v>
      </c>
      <c r="P505" s="94" t="s">
        <v>210</v>
      </c>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BA505" s="95"/>
    </row>
    <row r="506" spans="1:53" s="87" customFormat="1">
      <c r="A506" s="90" t="str">
        <f t="shared" si="32"/>
        <v/>
      </c>
      <c r="B506" s="98">
        <v>2</v>
      </c>
      <c r="C506" s="94">
        <v>5</v>
      </c>
      <c r="D506" s="94" t="s">
        <v>210</v>
      </c>
      <c r="E506" s="94" t="s">
        <v>210</v>
      </c>
      <c r="F506" s="94">
        <v>-2</v>
      </c>
      <c r="G506" s="94">
        <v>-7</v>
      </c>
      <c r="H506" s="94" t="s">
        <v>210</v>
      </c>
      <c r="I506" s="94" t="s">
        <v>210</v>
      </c>
      <c r="J506" s="94">
        <v>6</v>
      </c>
      <c r="K506" s="94">
        <v>1</v>
      </c>
      <c r="L506" s="94" t="s">
        <v>210</v>
      </c>
      <c r="M506" s="94" t="s">
        <v>210</v>
      </c>
      <c r="N506" s="94">
        <v>-3</v>
      </c>
      <c r="O506" s="94">
        <v>-4</v>
      </c>
      <c r="P506" s="94" t="s">
        <v>210</v>
      </c>
      <c r="Q506" s="94"/>
      <c r="R506" s="94"/>
      <c r="S506" s="94"/>
      <c r="T506" s="94"/>
      <c r="U506" s="94"/>
      <c r="V506" s="94"/>
      <c r="W506" s="94"/>
      <c r="X506" s="94"/>
      <c r="Y506" s="94"/>
      <c r="Z506" s="94"/>
      <c r="AA506" s="94"/>
      <c r="AB506" s="94"/>
      <c r="AC506" s="94"/>
      <c r="AD506" s="94"/>
      <c r="AE506" s="94"/>
      <c r="AF506" s="94"/>
      <c r="AG506" s="94"/>
      <c r="AH506" s="94"/>
      <c r="AI506" s="94"/>
      <c r="AJ506" s="94"/>
      <c r="AK506" s="94"/>
      <c r="AL506" s="94"/>
      <c r="AM506" s="94"/>
      <c r="AN506" s="94"/>
      <c r="AO506" s="94"/>
      <c r="AP506" s="94"/>
      <c r="AQ506" s="94"/>
      <c r="AR506" s="94"/>
      <c r="AS506" s="94"/>
      <c r="AT506" s="94"/>
      <c r="AU506" s="94"/>
      <c r="AV506" s="94"/>
      <c r="AW506" s="94"/>
      <c r="AX506" s="94"/>
      <c r="AY506" s="94"/>
      <c r="BA506" s="95"/>
    </row>
    <row r="507" spans="1:53" s="87" customFormat="1">
      <c r="A507" s="90" t="str">
        <f t="shared" si="32"/>
        <v/>
      </c>
      <c r="B507" s="98">
        <v>3</v>
      </c>
      <c r="C507" s="94">
        <v>-5</v>
      </c>
      <c r="D507" s="94" t="s">
        <v>210</v>
      </c>
      <c r="E507" s="94">
        <v>1</v>
      </c>
      <c r="F507" s="94" t="s">
        <v>210</v>
      </c>
      <c r="G507" s="94">
        <v>-2</v>
      </c>
      <c r="H507" s="94" t="s">
        <v>210</v>
      </c>
      <c r="I507" s="94" t="s">
        <v>210</v>
      </c>
      <c r="J507" s="94">
        <v>4</v>
      </c>
      <c r="K507" s="94">
        <v>-7</v>
      </c>
      <c r="L507" s="94" t="s">
        <v>210</v>
      </c>
      <c r="M507" s="94" t="s">
        <v>210</v>
      </c>
      <c r="N507" s="94">
        <v>6</v>
      </c>
      <c r="O507" s="94">
        <v>-3</v>
      </c>
      <c r="P507" s="94" t="s">
        <v>210</v>
      </c>
      <c r="Q507" s="94"/>
      <c r="R507" s="94"/>
      <c r="S507" s="94"/>
      <c r="T507" s="94"/>
      <c r="U507" s="94"/>
      <c r="V507" s="94"/>
      <c r="W507" s="94"/>
      <c r="X507" s="94"/>
      <c r="Y507" s="94"/>
      <c r="Z507" s="94"/>
      <c r="AA507" s="94"/>
      <c r="AB507" s="94"/>
      <c r="AC507" s="94"/>
      <c r="AD507" s="94"/>
      <c r="AE507" s="94"/>
      <c r="AF507" s="94"/>
      <c r="AG507" s="94"/>
      <c r="AH507" s="94"/>
      <c r="AI507" s="94"/>
      <c r="AJ507" s="94"/>
      <c r="AK507" s="94"/>
      <c r="AL507" s="94"/>
      <c r="AM507" s="94"/>
      <c r="AN507" s="94"/>
      <c r="AO507" s="94"/>
      <c r="AP507" s="94"/>
      <c r="AQ507" s="94"/>
      <c r="AR507" s="94"/>
      <c r="AS507" s="94"/>
      <c r="AT507" s="94"/>
      <c r="AU507" s="94"/>
      <c r="AV507" s="94"/>
      <c r="AW507" s="94"/>
      <c r="AX507" s="94"/>
      <c r="AY507" s="94"/>
      <c r="BA507" s="95"/>
    </row>
    <row r="508" spans="1:53" s="87" customFormat="1">
      <c r="A508" s="90" t="str">
        <f t="shared" si="32"/>
        <v/>
      </c>
      <c r="B508" s="98">
        <v>4</v>
      </c>
      <c r="C508" s="94">
        <v>-6</v>
      </c>
      <c r="D508" s="94" t="s">
        <v>210</v>
      </c>
      <c r="E508" s="94" t="s">
        <v>210</v>
      </c>
      <c r="F508" s="94">
        <v>-4</v>
      </c>
      <c r="G508" s="94">
        <v>7</v>
      </c>
      <c r="H508" s="94" t="s">
        <v>210</v>
      </c>
      <c r="I508" s="94" t="s">
        <v>210</v>
      </c>
      <c r="J508" s="94">
        <v>2</v>
      </c>
      <c r="K508" s="94">
        <v>-5</v>
      </c>
      <c r="L508" s="94" t="s">
        <v>210</v>
      </c>
      <c r="M508" s="94" t="s">
        <v>210</v>
      </c>
      <c r="N508" s="94">
        <v>-1</v>
      </c>
      <c r="O508" s="94">
        <v>3</v>
      </c>
      <c r="P508" s="94" t="s">
        <v>210</v>
      </c>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BA508" s="95"/>
    </row>
    <row r="509" spans="1:53" s="87" customFormat="1">
      <c r="A509" s="90" t="str">
        <f t="shared" si="32"/>
        <v/>
      </c>
      <c r="B509" s="98">
        <v>5</v>
      </c>
      <c r="C509" s="94">
        <v>-4</v>
      </c>
      <c r="D509" s="94" t="s">
        <v>210</v>
      </c>
      <c r="E509" s="94" t="s">
        <v>210</v>
      </c>
      <c r="F509" s="94">
        <v>2</v>
      </c>
      <c r="G509" s="94">
        <v>-3</v>
      </c>
      <c r="H509" s="94" t="s">
        <v>210</v>
      </c>
      <c r="I509" s="94">
        <v>7</v>
      </c>
      <c r="J509" s="94" t="s">
        <v>210</v>
      </c>
      <c r="K509" s="94">
        <v>5</v>
      </c>
      <c r="L509" s="94" t="s">
        <v>210</v>
      </c>
      <c r="M509" s="94" t="s">
        <v>210</v>
      </c>
      <c r="N509" s="94">
        <v>-6</v>
      </c>
      <c r="O509" s="94">
        <v>-1</v>
      </c>
      <c r="P509" s="94" t="s">
        <v>210</v>
      </c>
      <c r="Q509" s="94"/>
      <c r="R509" s="94"/>
      <c r="S509" s="94"/>
      <c r="T509" s="94"/>
      <c r="U509" s="94"/>
      <c r="V509" s="94"/>
      <c r="W509" s="94"/>
      <c r="X509" s="94"/>
      <c r="Y509" s="94"/>
      <c r="Z509" s="94"/>
      <c r="AA509" s="94"/>
      <c r="AB509" s="94"/>
      <c r="AC509" s="94"/>
      <c r="AD509" s="94"/>
      <c r="AE509" s="94"/>
      <c r="AF509" s="94"/>
      <c r="AG509" s="94"/>
      <c r="AH509" s="94"/>
      <c r="AI509" s="94"/>
      <c r="AJ509" s="94"/>
      <c r="AK509" s="94"/>
      <c r="AL509" s="94"/>
      <c r="AM509" s="94"/>
      <c r="AN509" s="94"/>
      <c r="AO509" s="94"/>
      <c r="AP509" s="94"/>
      <c r="AQ509" s="94"/>
      <c r="AR509" s="94"/>
      <c r="AS509" s="94"/>
      <c r="AT509" s="94"/>
      <c r="AU509" s="94"/>
      <c r="AV509" s="94"/>
      <c r="AW509" s="94"/>
      <c r="AX509" s="94"/>
      <c r="AY509" s="94"/>
      <c r="BA509" s="95"/>
    </row>
    <row r="510" spans="1:53" s="87" customFormat="1">
      <c r="A510" s="90" t="str">
        <f t="shared" si="32"/>
        <v/>
      </c>
      <c r="B510" s="98">
        <v>6</v>
      </c>
      <c r="C510" s="94">
        <v>3</v>
      </c>
      <c r="D510" s="94" t="s">
        <v>210</v>
      </c>
      <c r="E510" s="94" t="s">
        <v>210</v>
      </c>
      <c r="F510" s="94">
        <v>4</v>
      </c>
      <c r="G510" s="94">
        <v>-5</v>
      </c>
      <c r="H510" s="94" t="s">
        <v>210</v>
      </c>
      <c r="I510" s="94" t="s">
        <v>210</v>
      </c>
      <c r="J510" s="94">
        <v>-6</v>
      </c>
      <c r="K510" s="94">
        <v>7</v>
      </c>
      <c r="L510" s="94" t="s">
        <v>210</v>
      </c>
      <c r="M510" s="94">
        <v>-2</v>
      </c>
      <c r="N510" s="94" t="s">
        <v>210</v>
      </c>
      <c r="O510" s="94">
        <v>1</v>
      </c>
      <c r="P510" s="94" t="s">
        <v>210</v>
      </c>
      <c r="Q510" s="94"/>
      <c r="R510" s="94"/>
      <c r="S510" s="94"/>
      <c r="T510" s="94"/>
      <c r="U510" s="94"/>
      <c r="V510" s="94"/>
      <c r="W510" s="94"/>
      <c r="X510" s="94"/>
      <c r="Y510" s="94"/>
      <c r="Z510" s="94"/>
      <c r="AA510" s="94"/>
      <c r="AB510" s="94"/>
      <c r="AC510" s="94"/>
      <c r="AD510" s="94"/>
      <c r="AE510" s="94"/>
      <c r="AF510" s="94"/>
      <c r="AG510" s="94"/>
      <c r="AH510" s="94"/>
      <c r="AI510" s="94"/>
      <c r="AJ510" s="94"/>
      <c r="AK510" s="94"/>
      <c r="AL510" s="94"/>
      <c r="AM510" s="94"/>
      <c r="AN510" s="94"/>
      <c r="AO510" s="94"/>
      <c r="AP510" s="94"/>
      <c r="AQ510" s="94"/>
      <c r="AR510" s="94"/>
      <c r="AS510" s="94"/>
      <c r="AT510" s="94"/>
      <c r="AU510" s="94"/>
      <c r="AV510" s="94"/>
      <c r="AW510" s="94"/>
      <c r="AX510" s="94"/>
      <c r="AY510" s="94"/>
      <c r="BA510" s="95"/>
    </row>
    <row r="511" spans="1:53" s="87" customFormat="1">
      <c r="A511" s="90" t="str">
        <f t="shared" si="32"/>
        <v/>
      </c>
      <c r="B511" s="98">
        <v>7</v>
      </c>
      <c r="C511" s="94">
        <v>4</v>
      </c>
      <c r="D511" s="94" t="s">
        <v>210</v>
      </c>
      <c r="E511" s="94">
        <v>-1</v>
      </c>
      <c r="F511" s="94" t="s">
        <v>210</v>
      </c>
      <c r="G511" s="94">
        <v>5</v>
      </c>
      <c r="H511" s="94" t="s">
        <v>210</v>
      </c>
      <c r="I511" s="94" t="s">
        <v>210</v>
      </c>
      <c r="J511" s="94">
        <v>-2</v>
      </c>
      <c r="K511" s="94">
        <v>6</v>
      </c>
      <c r="L511" s="94" t="s">
        <v>210</v>
      </c>
      <c r="M511" s="94" t="s">
        <v>210</v>
      </c>
      <c r="N511" s="94">
        <v>3</v>
      </c>
      <c r="O511" s="94">
        <v>-7</v>
      </c>
      <c r="P511" s="94" t="s">
        <v>210</v>
      </c>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BA511" s="95"/>
    </row>
    <row r="512" spans="1:53" s="87" customFormat="1">
      <c r="A512" s="90" t="str">
        <f t="shared" si="32"/>
        <v/>
      </c>
      <c r="B512" s="99">
        <v>8</v>
      </c>
      <c r="C512" s="92">
        <v>6</v>
      </c>
      <c r="D512" s="92" t="s">
        <v>210</v>
      </c>
      <c r="E512" s="92" t="s">
        <v>210</v>
      </c>
      <c r="F512" s="92">
        <v>-5</v>
      </c>
      <c r="G512" s="92">
        <v>3</v>
      </c>
      <c r="H512" s="92" t="s">
        <v>210</v>
      </c>
      <c r="I512" s="92" t="s">
        <v>210</v>
      </c>
      <c r="J512" s="92">
        <v>-4</v>
      </c>
      <c r="K512" s="92">
        <v>-1</v>
      </c>
      <c r="L512" s="92" t="s">
        <v>210</v>
      </c>
      <c r="M512" s="92">
        <v>2</v>
      </c>
      <c r="N512" s="92" t="s">
        <v>210</v>
      </c>
      <c r="O512" s="92">
        <v>7</v>
      </c>
      <c r="P512" s="92" t="s">
        <v>210</v>
      </c>
      <c r="Q512" s="94"/>
      <c r="R512" s="94"/>
      <c r="S512" s="94"/>
      <c r="T512" s="94"/>
      <c r="U512" s="94"/>
      <c r="V512" s="94"/>
      <c r="W512" s="94"/>
      <c r="X512" s="94"/>
      <c r="Y512" s="94"/>
      <c r="Z512" s="94"/>
      <c r="AA512" s="94"/>
      <c r="AB512" s="94"/>
      <c r="AC512" s="94"/>
      <c r="AD512" s="94"/>
      <c r="AE512" s="94"/>
      <c r="AF512" s="94"/>
      <c r="AG512" s="94"/>
      <c r="AH512" s="94"/>
      <c r="AI512" s="94"/>
      <c r="AJ512" s="94"/>
      <c r="AK512" s="94"/>
      <c r="AL512" s="94"/>
      <c r="AM512" s="94"/>
      <c r="AN512" s="94"/>
      <c r="AO512" s="94"/>
      <c r="AP512" s="94"/>
      <c r="AQ512" s="94"/>
      <c r="AR512" s="94"/>
      <c r="AS512" s="94"/>
      <c r="AT512" s="94"/>
      <c r="AU512" s="94"/>
      <c r="AV512" s="94"/>
      <c r="AW512" s="94"/>
      <c r="AX512" s="94"/>
      <c r="AY512" s="94"/>
      <c r="BA512" s="95"/>
    </row>
    <row r="513" spans="1:53" s="87" customFormat="1">
      <c r="A513" s="90" t="str">
        <f t="shared" si="32"/>
        <v/>
      </c>
      <c r="B513" s="98">
        <v>9</v>
      </c>
      <c r="C513" s="94">
        <v>2</v>
      </c>
      <c r="D513" s="94" t="s">
        <v>210</v>
      </c>
      <c r="E513" s="94" t="s">
        <v>210</v>
      </c>
      <c r="F513" s="94">
        <v>-7</v>
      </c>
      <c r="G513" s="94">
        <v>6</v>
      </c>
      <c r="H513" s="94" t="s">
        <v>210</v>
      </c>
      <c r="I513" s="94" t="s">
        <v>210</v>
      </c>
      <c r="J513" s="94">
        <v>-1</v>
      </c>
      <c r="K513" s="94">
        <v>4</v>
      </c>
      <c r="L513" s="94" t="s">
        <v>210</v>
      </c>
      <c r="M513" s="94" t="s">
        <v>210</v>
      </c>
      <c r="N513" s="94">
        <v>-5</v>
      </c>
      <c r="O513" s="94">
        <v>-2</v>
      </c>
      <c r="P513" s="94" t="s">
        <v>210</v>
      </c>
      <c r="Q513" s="94"/>
      <c r="R513" s="94"/>
      <c r="S513" s="94"/>
      <c r="T513" s="94"/>
      <c r="U513" s="94"/>
      <c r="V513" s="94"/>
      <c r="W513" s="94"/>
      <c r="X513" s="94"/>
      <c r="Y513" s="94"/>
      <c r="Z513" s="94"/>
      <c r="AA513" s="94"/>
      <c r="AB513" s="94"/>
      <c r="AC513" s="94"/>
      <c r="AD513" s="94"/>
      <c r="AE513" s="94"/>
      <c r="AF513" s="94"/>
      <c r="AG513" s="94"/>
      <c r="AH513" s="94"/>
      <c r="AI513" s="94"/>
      <c r="AJ513" s="94"/>
      <c r="AK513" s="94"/>
      <c r="AL513" s="94"/>
      <c r="AM513" s="94"/>
      <c r="AN513" s="94"/>
      <c r="AO513" s="94"/>
      <c r="AP513" s="94"/>
      <c r="AQ513" s="94"/>
      <c r="AR513" s="94"/>
      <c r="AS513" s="94"/>
      <c r="AT513" s="94"/>
      <c r="AU513" s="94"/>
      <c r="AV513" s="94"/>
      <c r="AW513" s="94"/>
      <c r="AX513" s="94"/>
      <c r="AY513" s="94"/>
      <c r="BA513" s="95"/>
    </row>
    <row r="514" spans="1:53" s="87" customFormat="1">
      <c r="A514" s="90" t="str">
        <f t="shared" si="32"/>
        <v/>
      </c>
      <c r="B514" s="98">
        <v>10</v>
      </c>
      <c r="C514" s="94">
        <v>-7</v>
      </c>
      <c r="D514" s="94" t="s">
        <v>210</v>
      </c>
      <c r="E514" s="94" t="s">
        <v>210</v>
      </c>
      <c r="F514" s="94">
        <v>-3</v>
      </c>
      <c r="G514" s="94">
        <v>1</v>
      </c>
      <c r="H514" s="94" t="s">
        <v>210</v>
      </c>
      <c r="I514" s="94" t="s">
        <v>210</v>
      </c>
      <c r="J514" s="94">
        <v>5</v>
      </c>
      <c r="K514" s="94">
        <v>-2</v>
      </c>
      <c r="L514" s="94" t="s">
        <v>210</v>
      </c>
      <c r="M514" s="94" t="s">
        <v>210</v>
      </c>
      <c r="N514" s="94">
        <v>-4</v>
      </c>
      <c r="O514" s="94">
        <v>2</v>
      </c>
      <c r="P514" s="94" t="s">
        <v>210</v>
      </c>
      <c r="Q514" s="94"/>
      <c r="R514" s="94"/>
      <c r="S514" s="94"/>
      <c r="T514" s="94"/>
      <c r="U514" s="94"/>
      <c r="V514" s="94"/>
      <c r="W514" s="94"/>
      <c r="X514" s="94"/>
      <c r="Y514" s="94"/>
      <c r="Z514" s="94"/>
      <c r="AA514" s="94"/>
      <c r="AB514" s="94"/>
      <c r="AC514" s="94"/>
      <c r="AD514" s="94"/>
      <c r="AE514" s="94"/>
      <c r="AF514" s="94"/>
      <c r="AG514" s="94"/>
      <c r="AH514" s="94"/>
      <c r="AI514" s="94"/>
      <c r="AJ514" s="94"/>
      <c r="AK514" s="94"/>
      <c r="AL514" s="94"/>
      <c r="AM514" s="94"/>
      <c r="AN514" s="94"/>
      <c r="AO514" s="94"/>
      <c r="AP514" s="94"/>
      <c r="AQ514" s="94"/>
      <c r="AR514" s="94"/>
      <c r="AS514" s="94"/>
      <c r="AT514" s="94"/>
      <c r="AU514" s="94"/>
      <c r="AV514" s="94"/>
      <c r="AW514" s="94"/>
      <c r="AX514" s="94"/>
      <c r="AY514" s="94"/>
      <c r="BA514" s="95"/>
    </row>
    <row r="515" spans="1:53" s="87" customFormat="1">
      <c r="A515" s="90" t="str">
        <f t="shared" si="32"/>
        <v/>
      </c>
      <c r="B515" s="98">
        <v>11</v>
      </c>
      <c r="C515" s="94">
        <v>-1</v>
      </c>
      <c r="D515" s="94" t="s">
        <v>210</v>
      </c>
      <c r="E515" s="94" t="s">
        <v>210</v>
      </c>
      <c r="F515" s="94">
        <v>6</v>
      </c>
      <c r="G515" s="94">
        <v>-4</v>
      </c>
      <c r="H515" s="94" t="s">
        <v>210</v>
      </c>
      <c r="I515" s="94" t="s">
        <v>210</v>
      </c>
      <c r="J515" s="94">
        <v>1</v>
      </c>
      <c r="K515" s="94">
        <v>-3</v>
      </c>
      <c r="L515" s="94" t="s">
        <v>210</v>
      </c>
      <c r="M515" s="94" t="s">
        <v>210</v>
      </c>
      <c r="N515" s="94">
        <v>4</v>
      </c>
      <c r="O515" s="94">
        <v>-5</v>
      </c>
      <c r="P515" s="94" t="s">
        <v>210</v>
      </c>
      <c r="Q515" s="94"/>
      <c r="R515" s="94"/>
      <c r="S515" s="94"/>
      <c r="T515" s="94"/>
      <c r="U515" s="94"/>
      <c r="V515" s="94"/>
      <c r="W515" s="94"/>
      <c r="X515" s="94"/>
      <c r="Y515" s="94"/>
      <c r="Z515" s="94"/>
      <c r="AA515" s="94"/>
      <c r="AB515" s="94"/>
      <c r="AC515" s="94"/>
      <c r="AD515" s="94"/>
      <c r="AE515" s="94"/>
      <c r="AF515" s="94"/>
      <c r="AG515" s="94"/>
      <c r="AH515" s="94"/>
      <c r="AI515" s="94"/>
      <c r="AJ515" s="94"/>
      <c r="AK515" s="94"/>
      <c r="AL515" s="94"/>
      <c r="AM515" s="94"/>
      <c r="AN515" s="94"/>
      <c r="AO515" s="94"/>
      <c r="AP515" s="94"/>
      <c r="AQ515" s="94"/>
      <c r="AR515" s="94"/>
      <c r="AS515" s="94"/>
      <c r="AT515" s="94"/>
      <c r="AU515" s="94"/>
      <c r="AV515" s="94"/>
      <c r="AW515" s="94"/>
      <c r="AX515" s="94"/>
      <c r="AY515" s="94"/>
      <c r="BA515" s="95"/>
    </row>
    <row r="516" spans="1:53" s="87" customFormat="1">
      <c r="A516" s="90" t="str">
        <f t="shared" si="32"/>
        <v/>
      </c>
      <c r="B516" s="98">
        <v>12</v>
      </c>
      <c r="C516" s="94" t="s">
        <v>210</v>
      </c>
      <c r="D516" s="94">
        <v>6</v>
      </c>
      <c r="E516" s="94">
        <v>-5</v>
      </c>
      <c r="F516" s="94" t="s">
        <v>210</v>
      </c>
      <c r="G516" s="94">
        <v>-1</v>
      </c>
      <c r="H516" s="94" t="s">
        <v>210</v>
      </c>
      <c r="I516" s="94" t="s">
        <v>210</v>
      </c>
      <c r="J516" s="94">
        <v>3</v>
      </c>
      <c r="K516" s="94">
        <v>-4</v>
      </c>
      <c r="L516" s="94" t="s">
        <v>210</v>
      </c>
      <c r="M516" s="94" t="s">
        <v>210</v>
      </c>
      <c r="N516" s="94">
        <v>7</v>
      </c>
      <c r="O516" s="94">
        <v>5</v>
      </c>
      <c r="P516" s="94" t="s">
        <v>210</v>
      </c>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BA516" s="95"/>
    </row>
    <row r="517" spans="1:53" s="87" customFormat="1">
      <c r="A517" s="90" t="str">
        <f t="shared" si="32"/>
        <v/>
      </c>
      <c r="B517" s="98">
        <v>13</v>
      </c>
      <c r="C517" s="94" t="s">
        <v>210</v>
      </c>
      <c r="D517" s="94">
        <v>3</v>
      </c>
      <c r="E517" s="94">
        <v>-2</v>
      </c>
      <c r="F517" s="94" t="s">
        <v>210</v>
      </c>
      <c r="G517" s="94">
        <v>4</v>
      </c>
      <c r="H517" s="94" t="s">
        <v>210</v>
      </c>
      <c r="I517" s="94" t="s">
        <v>210</v>
      </c>
      <c r="J517" s="94">
        <v>-3</v>
      </c>
      <c r="K517" s="94">
        <v>2</v>
      </c>
      <c r="L517" s="94" t="s">
        <v>210</v>
      </c>
      <c r="M517" s="94" t="s">
        <v>210</v>
      </c>
      <c r="N517" s="94">
        <v>5</v>
      </c>
      <c r="O517" s="94">
        <v>-6</v>
      </c>
      <c r="P517" s="94" t="s">
        <v>210</v>
      </c>
      <c r="Q517" s="94"/>
      <c r="R517" s="94"/>
      <c r="S517" s="94"/>
      <c r="T517" s="94"/>
      <c r="U517" s="94"/>
      <c r="V517" s="94"/>
      <c r="W517" s="94"/>
      <c r="X517" s="94"/>
      <c r="Y517" s="94"/>
      <c r="Z517" s="94"/>
      <c r="AA517" s="94"/>
      <c r="AB517" s="94"/>
      <c r="AC517" s="94"/>
      <c r="AD517" s="94"/>
      <c r="AE517" s="94"/>
      <c r="AF517" s="94"/>
      <c r="AG517" s="94"/>
      <c r="AH517" s="94"/>
      <c r="AI517" s="94"/>
      <c r="AJ517" s="94"/>
      <c r="AK517" s="94"/>
      <c r="AL517" s="94"/>
      <c r="AM517" s="94"/>
      <c r="AN517" s="94"/>
      <c r="AO517" s="94"/>
      <c r="AP517" s="94"/>
      <c r="AQ517" s="94"/>
      <c r="AR517" s="94"/>
      <c r="AS517" s="94"/>
      <c r="AT517" s="94"/>
      <c r="AU517" s="94"/>
      <c r="AV517" s="94"/>
      <c r="AW517" s="94"/>
      <c r="AX517" s="94"/>
      <c r="AY517" s="94"/>
      <c r="BA517" s="95"/>
    </row>
    <row r="518" spans="1:53" s="87" customFormat="1">
      <c r="A518" s="90" t="str">
        <f t="shared" si="32"/>
        <v/>
      </c>
      <c r="B518" s="99">
        <v>14</v>
      </c>
      <c r="C518" s="92" t="s">
        <v>210</v>
      </c>
      <c r="D518" s="92">
        <v>1</v>
      </c>
      <c r="E518" s="92">
        <v>4</v>
      </c>
      <c r="F518" s="92" t="s">
        <v>210</v>
      </c>
      <c r="G518" s="92">
        <v>-6</v>
      </c>
      <c r="H518" s="92" t="s">
        <v>210</v>
      </c>
      <c r="I518" s="92" t="s">
        <v>210</v>
      </c>
      <c r="J518" s="92">
        <v>-5</v>
      </c>
      <c r="K518" s="92">
        <v>3</v>
      </c>
      <c r="L518" s="92" t="s">
        <v>210</v>
      </c>
      <c r="M518" s="92" t="s">
        <v>210</v>
      </c>
      <c r="N518" s="92">
        <v>-7</v>
      </c>
      <c r="O518" s="92">
        <v>6</v>
      </c>
      <c r="P518" s="92" t="s">
        <v>210</v>
      </c>
      <c r="Q518" s="94"/>
      <c r="R518" s="94"/>
      <c r="S518" s="94"/>
      <c r="T518" s="94"/>
      <c r="U518" s="94"/>
      <c r="V518" s="94"/>
      <c r="W518" s="94"/>
      <c r="X518" s="94"/>
      <c r="Y518" s="94"/>
      <c r="Z518" s="94"/>
      <c r="AA518" s="94"/>
      <c r="AB518" s="94"/>
      <c r="AC518" s="94"/>
      <c r="AD518" s="94"/>
      <c r="AE518" s="94"/>
      <c r="AF518" s="94"/>
      <c r="AG518" s="94"/>
      <c r="AH518" s="94"/>
      <c r="AI518" s="94"/>
      <c r="AJ518" s="94"/>
      <c r="AK518" s="94"/>
      <c r="AL518" s="94"/>
      <c r="AM518" s="94"/>
      <c r="AN518" s="94"/>
      <c r="AO518" s="94"/>
      <c r="AP518" s="94"/>
      <c r="AQ518" s="94"/>
      <c r="AR518" s="94"/>
      <c r="AS518" s="94"/>
      <c r="AT518" s="94"/>
      <c r="AU518" s="94"/>
      <c r="AV518" s="94"/>
      <c r="AW518" s="94"/>
      <c r="AX518" s="94"/>
      <c r="AY518" s="94"/>
      <c r="BA518" s="95"/>
    </row>
    <row r="519" spans="1:53" s="87" customFormat="1">
      <c r="A519" s="90" t="str">
        <f t="shared" si="32"/>
        <v/>
      </c>
      <c r="B519" s="98">
        <v>15</v>
      </c>
      <c r="C519" s="94">
        <v>-2</v>
      </c>
      <c r="D519" s="94" t="s">
        <v>210</v>
      </c>
      <c r="E519" s="94" t="s">
        <v>210</v>
      </c>
      <c r="F519" s="94">
        <v>3</v>
      </c>
      <c r="G519" s="94" t="s">
        <v>210</v>
      </c>
      <c r="H519" s="94">
        <v>6</v>
      </c>
      <c r="I519" s="94">
        <v>-5</v>
      </c>
      <c r="J519" s="94" t="s">
        <v>210</v>
      </c>
      <c r="K519" s="94" t="s">
        <v>210</v>
      </c>
      <c r="L519" s="94">
        <v>2</v>
      </c>
      <c r="M519" s="94">
        <v>4</v>
      </c>
      <c r="N519" s="94" t="s">
        <v>210</v>
      </c>
      <c r="O519" s="94" t="s">
        <v>210</v>
      </c>
      <c r="P519" s="94">
        <v>-3</v>
      </c>
      <c r="Q519" s="94"/>
      <c r="R519" s="94"/>
      <c r="S519" s="94"/>
      <c r="T519" s="94"/>
      <c r="U519" s="94"/>
      <c r="V519" s="94"/>
      <c r="W519" s="94"/>
      <c r="X519" s="94"/>
      <c r="Y519" s="94"/>
      <c r="Z519" s="94"/>
      <c r="AA519" s="94"/>
      <c r="AB519" s="94"/>
      <c r="AC519" s="94"/>
      <c r="AD519" s="94"/>
      <c r="AE519" s="94"/>
      <c r="AF519" s="94"/>
      <c r="AG519" s="94"/>
      <c r="AH519" s="94"/>
      <c r="AI519" s="94"/>
      <c r="AJ519" s="94"/>
      <c r="AK519" s="94"/>
      <c r="AL519" s="94"/>
      <c r="AM519" s="94"/>
      <c r="AN519" s="94"/>
      <c r="AO519" s="94"/>
      <c r="AP519" s="94"/>
      <c r="AQ519" s="94"/>
      <c r="AR519" s="94"/>
      <c r="AS519" s="94"/>
      <c r="AT519" s="94"/>
      <c r="AU519" s="94"/>
      <c r="AV519" s="94"/>
      <c r="AW519" s="94"/>
      <c r="AX519" s="94"/>
      <c r="AY519" s="94"/>
      <c r="BA519" s="95"/>
    </row>
    <row r="520" spans="1:53" s="87" customFormat="1">
      <c r="A520" s="90" t="str">
        <f t="shared" si="32"/>
        <v/>
      </c>
      <c r="B520" s="98">
        <v>16</v>
      </c>
      <c r="C520" s="94">
        <v>1</v>
      </c>
      <c r="D520" s="94" t="s">
        <v>210</v>
      </c>
      <c r="E520" s="94" t="s">
        <v>210</v>
      </c>
      <c r="F520" s="94">
        <v>7</v>
      </c>
      <c r="G520" s="94" t="s">
        <v>210</v>
      </c>
      <c r="H520" s="94">
        <v>-2</v>
      </c>
      <c r="I520" s="94">
        <v>-4</v>
      </c>
      <c r="J520" s="94" t="s">
        <v>210</v>
      </c>
      <c r="K520" s="94" t="s">
        <v>210</v>
      </c>
      <c r="L520" s="94">
        <v>6</v>
      </c>
      <c r="M520" s="94">
        <v>-5</v>
      </c>
      <c r="N520" s="94" t="s">
        <v>210</v>
      </c>
      <c r="O520" s="94" t="s">
        <v>210</v>
      </c>
      <c r="P520" s="94">
        <v>3</v>
      </c>
      <c r="Q520" s="94"/>
      <c r="R520" s="94"/>
      <c r="S520" s="94"/>
      <c r="T520" s="94"/>
      <c r="U520" s="94"/>
      <c r="V520" s="94"/>
      <c r="W520" s="94"/>
      <c r="X520" s="94"/>
      <c r="Y520" s="94"/>
      <c r="Z520" s="94"/>
      <c r="AA520" s="94"/>
      <c r="AB520" s="94"/>
      <c r="AC520" s="94"/>
      <c r="AD520" s="94"/>
      <c r="AE520" s="94"/>
      <c r="AF520" s="94"/>
      <c r="AG520" s="94"/>
      <c r="AH520" s="94"/>
      <c r="AI520" s="94"/>
      <c r="AJ520" s="94"/>
      <c r="AK520" s="94"/>
      <c r="AL520" s="94"/>
      <c r="AM520" s="94"/>
      <c r="AN520" s="94"/>
      <c r="AO520" s="94"/>
      <c r="AP520" s="94"/>
      <c r="AQ520" s="94"/>
      <c r="AR520" s="94"/>
      <c r="AS520" s="94"/>
      <c r="AT520" s="94"/>
      <c r="AU520" s="94"/>
      <c r="AV520" s="94"/>
      <c r="AW520" s="94"/>
      <c r="AX520" s="94"/>
      <c r="AY520" s="94"/>
      <c r="BA520" s="95"/>
    </row>
    <row r="521" spans="1:53" s="87" customFormat="1">
      <c r="A521" s="90" t="str">
        <f t="shared" si="32"/>
        <v/>
      </c>
      <c r="B521" s="98">
        <v>17</v>
      </c>
      <c r="C521" s="94">
        <v>7</v>
      </c>
      <c r="D521" s="94" t="s">
        <v>210</v>
      </c>
      <c r="E521" s="94" t="s">
        <v>210</v>
      </c>
      <c r="F521" s="94">
        <v>-6</v>
      </c>
      <c r="G521" s="94" t="s">
        <v>210</v>
      </c>
      <c r="H521" s="94">
        <v>2</v>
      </c>
      <c r="I521" s="94">
        <v>-3</v>
      </c>
      <c r="J521" s="94" t="s">
        <v>210</v>
      </c>
      <c r="K521" s="94" t="s">
        <v>210</v>
      </c>
      <c r="L521" s="94">
        <v>1</v>
      </c>
      <c r="M521" s="94">
        <v>-4</v>
      </c>
      <c r="N521" s="94" t="s">
        <v>210</v>
      </c>
      <c r="O521" s="94" t="s">
        <v>210</v>
      </c>
      <c r="P521" s="94">
        <v>-2</v>
      </c>
      <c r="Q521" s="94"/>
      <c r="R521" s="94"/>
      <c r="S521" s="94"/>
      <c r="T521" s="94"/>
      <c r="U521" s="94"/>
      <c r="V521" s="94"/>
      <c r="W521" s="94"/>
      <c r="X521" s="94"/>
      <c r="Y521" s="94"/>
      <c r="Z521" s="94"/>
      <c r="AA521" s="94"/>
      <c r="AB521" s="94"/>
      <c r="AC521" s="94"/>
      <c r="AD521" s="94"/>
      <c r="AE521" s="94"/>
      <c r="AF521" s="94"/>
      <c r="AG521" s="94"/>
      <c r="AH521" s="94"/>
      <c r="AI521" s="94"/>
      <c r="AJ521" s="94"/>
      <c r="AK521" s="94"/>
      <c r="AL521" s="94"/>
      <c r="AM521" s="94"/>
      <c r="AN521" s="94"/>
      <c r="AO521" s="94"/>
      <c r="AP521" s="94"/>
      <c r="AQ521" s="94"/>
      <c r="AR521" s="94"/>
      <c r="AS521" s="94"/>
      <c r="AT521" s="94"/>
      <c r="AU521" s="94"/>
      <c r="AV521" s="94"/>
      <c r="AW521" s="94"/>
      <c r="AX521" s="94"/>
      <c r="AY521" s="94"/>
      <c r="BA521" s="95"/>
    </row>
    <row r="522" spans="1:53" s="87" customFormat="1">
      <c r="A522" s="90" t="str">
        <f t="shared" si="32"/>
        <v/>
      </c>
      <c r="B522" s="98">
        <v>18</v>
      </c>
      <c r="C522" s="94" t="s">
        <v>210</v>
      </c>
      <c r="D522" s="94">
        <v>-2</v>
      </c>
      <c r="E522" s="94">
        <v>-3</v>
      </c>
      <c r="F522" s="94" t="s">
        <v>210</v>
      </c>
      <c r="G522" s="94" t="s">
        <v>210</v>
      </c>
      <c r="H522" s="94">
        <v>7</v>
      </c>
      <c r="I522" s="94">
        <v>5</v>
      </c>
      <c r="J522" s="94" t="s">
        <v>210</v>
      </c>
      <c r="K522" s="94" t="s">
        <v>210</v>
      </c>
      <c r="L522" s="94">
        <v>-6</v>
      </c>
      <c r="M522" s="94">
        <v>3</v>
      </c>
      <c r="N522" s="94" t="s">
        <v>210</v>
      </c>
      <c r="O522" s="94" t="s">
        <v>210</v>
      </c>
      <c r="P522" s="94">
        <v>2</v>
      </c>
      <c r="Q522" s="94"/>
      <c r="R522" s="94"/>
      <c r="S522" s="94"/>
      <c r="T522" s="94"/>
      <c r="U522" s="94"/>
      <c r="V522" s="94"/>
      <c r="W522" s="94"/>
      <c r="X522" s="94"/>
      <c r="Y522" s="94"/>
      <c r="Z522" s="94"/>
      <c r="AA522" s="94"/>
      <c r="AB522" s="94"/>
      <c r="AC522" s="94"/>
      <c r="AD522" s="94"/>
      <c r="AE522" s="94"/>
      <c r="AF522" s="94"/>
      <c r="AG522" s="94"/>
      <c r="AH522" s="94"/>
      <c r="AI522" s="94"/>
      <c r="AJ522" s="94"/>
      <c r="AK522" s="94"/>
      <c r="AL522" s="94"/>
      <c r="AM522" s="94"/>
      <c r="AN522" s="94"/>
      <c r="AO522" s="94"/>
      <c r="AP522" s="94"/>
      <c r="AQ522" s="94"/>
      <c r="AR522" s="94"/>
      <c r="AS522" s="94"/>
      <c r="AT522" s="94"/>
      <c r="AU522" s="94"/>
      <c r="AV522" s="94"/>
      <c r="AW522" s="94"/>
      <c r="AX522" s="94"/>
      <c r="AY522" s="94"/>
      <c r="BA522" s="95"/>
    </row>
    <row r="523" spans="1:53" s="87" customFormat="1">
      <c r="A523" s="90" t="str">
        <f t="shared" si="32"/>
        <v/>
      </c>
      <c r="B523" s="98">
        <v>19</v>
      </c>
      <c r="C523" s="94" t="s">
        <v>210</v>
      </c>
      <c r="D523" s="94">
        <v>5</v>
      </c>
      <c r="E523" s="94">
        <v>-7</v>
      </c>
      <c r="F523" s="94" t="s">
        <v>210</v>
      </c>
      <c r="G523" s="94" t="s">
        <v>210</v>
      </c>
      <c r="H523" s="94">
        <v>-6</v>
      </c>
      <c r="I523" s="94">
        <v>4</v>
      </c>
      <c r="J523" s="94" t="s">
        <v>210</v>
      </c>
      <c r="K523" s="94" t="s">
        <v>210</v>
      </c>
      <c r="L523" s="94">
        <v>-1</v>
      </c>
      <c r="M523" s="94">
        <v>-3</v>
      </c>
      <c r="N523" s="94" t="s">
        <v>210</v>
      </c>
      <c r="O523" s="94" t="s">
        <v>210</v>
      </c>
      <c r="P523" s="94">
        <v>6</v>
      </c>
      <c r="Q523" s="94"/>
      <c r="R523" s="94"/>
      <c r="S523" s="94"/>
      <c r="T523" s="94"/>
      <c r="U523" s="94"/>
      <c r="V523" s="94"/>
      <c r="W523" s="94"/>
      <c r="X523" s="94"/>
      <c r="Y523" s="94"/>
      <c r="Z523" s="94"/>
      <c r="AA523" s="94"/>
      <c r="AB523" s="94"/>
      <c r="AC523" s="94"/>
      <c r="AD523" s="94"/>
      <c r="AE523" s="94"/>
      <c r="AF523" s="94"/>
      <c r="AG523" s="94"/>
      <c r="AH523" s="94"/>
      <c r="AI523" s="94"/>
      <c r="AJ523" s="94"/>
      <c r="AK523" s="94"/>
      <c r="AL523" s="94"/>
      <c r="AM523" s="94"/>
      <c r="AN523" s="94"/>
      <c r="AO523" s="94"/>
      <c r="AP523" s="94"/>
      <c r="AQ523" s="94"/>
      <c r="AR523" s="94"/>
      <c r="AS523" s="94"/>
      <c r="AT523" s="94"/>
      <c r="AU523" s="94"/>
      <c r="AV523" s="94"/>
      <c r="AW523" s="94"/>
      <c r="AX523" s="94"/>
      <c r="AY523" s="94"/>
      <c r="BA523" s="95"/>
    </row>
    <row r="524" spans="1:53" s="87" customFormat="1">
      <c r="A524" s="90" t="str">
        <f t="shared" ref="A524:A587" si="33">IF(MID(B524,3,2)="07",ROW(),"")</f>
        <v/>
      </c>
      <c r="B524" s="99">
        <v>20</v>
      </c>
      <c r="C524" s="92" t="s">
        <v>210</v>
      </c>
      <c r="D524" s="92">
        <v>4</v>
      </c>
      <c r="E524" s="92">
        <v>6</v>
      </c>
      <c r="F524" s="92" t="s">
        <v>210</v>
      </c>
      <c r="G524" s="92" t="s">
        <v>210</v>
      </c>
      <c r="H524" s="92">
        <v>-7</v>
      </c>
      <c r="I524" s="92">
        <v>3</v>
      </c>
      <c r="J524" s="92" t="s">
        <v>210</v>
      </c>
      <c r="K524" s="92" t="s">
        <v>210</v>
      </c>
      <c r="L524" s="92">
        <v>-2</v>
      </c>
      <c r="M524" s="92">
        <v>5</v>
      </c>
      <c r="N524" s="92" t="s">
        <v>210</v>
      </c>
      <c r="O524" s="92" t="s">
        <v>210</v>
      </c>
      <c r="P524" s="92">
        <v>-6</v>
      </c>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BA524" s="95"/>
    </row>
    <row r="525" spans="1:53" s="87" customFormat="1">
      <c r="A525" s="90" t="str">
        <f t="shared" si="33"/>
        <v/>
      </c>
      <c r="B525" s="98">
        <v>21</v>
      </c>
      <c r="C525" s="94" t="s">
        <v>210</v>
      </c>
      <c r="D525" s="94">
        <v>-1</v>
      </c>
      <c r="E525" s="94">
        <v>5</v>
      </c>
      <c r="F525" s="94" t="s">
        <v>210</v>
      </c>
      <c r="G525" s="94" t="s">
        <v>210</v>
      </c>
      <c r="H525" s="94">
        <v>-4</v>
      </c>
      <c r="I525" s="94">
        <v>2</v>
      </c>
      <c r="J525" s="94" t="s">
        <v>210</v>
      </c>
      <c r="K525" s="94" t="s">
        <v>210</v>
      </c>
      <c r="L525" s="94">
        <v>-5</v>
      </c>
      <c r="M525" s="94">
        <v>-6</v>
      </c>
      <c r="N525" s="94" t="s">
        <v>210</v>
      </c>
      <c r="O525" s="94" t="s">
        <v>210</v>
      </c>
      <c r="P525" s="94">
        <v>1</v>
      </c>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BA525" s="95"/>
    </row>
    <row r="526" spans="1:53" s="87" customFormat="1">
      <c r="A526" s="90" t="str">
        <f t="shared" si="33"/>
        <v/>
      </c>
      <c r="B526" s="98">
        <v>22</v>
      </c>
      <c r="C526" s="94" t="s">
        <v>210</v>
      </c>
      <c r="D526" s="94">
        <v>-6</v>
      </c>
      <c r="E526" s="94">
        <v>2</v>
      </c>
      <c r="F526" s="94" t="s">
        <v>210</v>
      </c>
      <c r="G526" s="94" t="s">
        <v>210</v>
      </c>
      <c r="H526" s="94">
        <v>-5</v>
      </c>
      <c r="I526" s="94">
        <v>6</v>
      </c>
      <c r="J526" s="94" t="s">
        <v>210</v>
      </c>
      <c r="K526" s="94" t="s">
        <v>210</v>
      </c>
      <c r="L526" s="94">
        <v>-4</v>
      </c>
      <c r="M526" s="94">
        <v>7</v>
      </c>
      <c r="N526" s="94" t="s">
        <v>210</v>
      </c>
      <c r="O526" s="94" t="s">
        <v>210</v>
      </c>
      <c r="P526" s="94">
        <v>-1</v>
      </c>
      <c r="Q526" s="94"/>
      <c r="R526" s="94"/>
      <c r="S526" s="94"/>
      <c r="T526" s="94"/>
      <c r="U526" s="94"/>
      <c r="V526" s="94"/>
      <c r="W526" s="94"/>
      <c r="X526" s="94"/>
      <c r="Y526" s="94"/>
      <c r="Z526" s="94"/>
      <c r="AA526" s="94"/>
      <c r="AB526" s="94"/>
      <c r="AC526" s="94"/>
      <c r="AD526" s="94"/>
      <c r="AE526" s="94"/>
      <c r="AF526" s="94"/>
      <c r="AG526" s="94"/>
      <c r="AH526" s="94"/>
      <c r="AI526" s="94"/>
      <c r="AJ526" s="94"/>
      <c r="AK526" s="94"/>
      <c r="AL526" s="94"/>
      <c r="AM526" s="94"/>
      <c r="AN526" s="94"/>
      <c r="AO526" s="94"/>
      <c r="AP526" s="94"/>
      <c r="AQ526" s="94"/>
      <c r="AR526" s="94"/>
      <c r="AS526" s="94"/>
      <c r="AT526" s="94"/>
      <c r="AU526" s="94"/>
      <c r="AV526" s="94"/>
      <c r="AW526" s="94"/>
      <c r="AX526" s="94"/>
      <c r="AY526" s="94"/>
      <c r="BA526" s="95"/>
    </row>
    <row r="527" spans="1:53" s="87" customFormat="1">
      <c r="A527" s="90" t="str">
        <f t="shared" si="33"/>
        <v/>
      </c>
      <c r="B527" s="98">
        <v>23</v>
      </c>
      <c r="C527" s="94" t="s">
        <v>210</v>
      </c>
      <c r="D527" s="94">
        <v>-3</v>
      </c>
      <c r="E527" s="94">
        <v>-4</v>
      </c>
      <c r="F527" s="94" t="s">
        <v>210</v>
      </c>
      <c r="G527" s="94" t="s">
        <v>210</v>
      </c>
      <c r="H527" s="94">
        <v>5</v>
      </c>
      <c r="I527" s="94">
        <v>-1</v>
      </c>
      <c r="J527" s="94" t="s">
        <v>210</v>
      </c>
      <c r="K527" s="94" t="s">
        <v>210</v>
      </c>
      <c r="L527" s="94">
        <v>3</v>
      </c>
      <c r="M527" s="94">
        <v>6</v>
      </c>
      <c r="N527" s="94" t="s">
        <v>210</v>
      </c>
      <c r="O527" s="94" t="s">
        <v>210</v>
      </c>
      <c r="P527" s="94">
        <v>-5</v>
      </c>
      <c r="Q527" s="94"/>
      <c r="R527" s="94"/>
      <c r="S527" s="94"/>
      <c r="T527" s="94"/>
      <c r="U527" s="94"/>
      <c r="V527" s="94"/>
      <c r="W527" s="94"/>
      <c r="X527" s="94"/>
      <c r="Y527" s="94"/>
      <c r="Z527" s="94"/>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BA527" s="95"/>
    </row>
    <row r="528" spans="1:53" s="87" customFormat="1">
      <c r="A528" s="90" t="str">
        <f t="shared" si="33"/>
        <v/>
      </c>
      <c r="B528" s="98">
        <v>24</v>
      </c>
      <c r="C528" s="94" t="s">
        <v>210</v>
      </c>
      <c r="D528" s="94">
        <v>2</v>
      </c>
      <c r="E528" s="94">
        <v>-6</v>
      </c>
      <c r="F528" s="94" t="s">
        <v>210</v>
      </c>
      <c r="G528" s="94" t="s">
        <v>210</v>
      </c>
      <c r="H528" s="94">
        <v>3</v>
      </c>
      <c r="I528" s="94">
        <v>-2</v>
      </c>
      <c r="J528" s="94" t="s">
        <v>210</v>
      </c>
      <c r="K528" s="94" t="s">
        <v>210</v>
      </c>
      <c r="L528" s="94">
        <v>4</v>
      </c>
      <c r="M528" s="94">
        <v>-1</v>
      </c>
      <c r="N528" s="94" t="s">
        <v>210</v>
      </c>
      <c r="O528" s="94" t="s">
        <v>210</v>
      </c>
      <c r="P528" s="94">
        <v>5</v>
      </c>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BA528" s="95"/>
    </row>
    <row r="529" spans="1:53" s="87" customFormat="1">
      <c r="A529" s="90" t="str">
        <f t="shared" si="33"/>
        <v/>
      </c>
      <c r="B529" s="98">
        <v>25</v>
      </c>
      <c r="C529" s="94" t="s">
        <v>210</v>
      </c>
      <c r="D529" s="94">
        <v>-5</v>
      </c>
      <c r="E529" s="94">
        <v>3</v>
      </c>
      <c r="F529" s="94" t="s">
        <v>210</v>
      </c>
      <c r="G529" s="94" t="s">
        <v>210</v>
      </c>
      <c r="H529" s="94">
        <v>4</v>
      </c>
      <c r="I529" s="94">
        <v>-6</v>
      </c>
      <c r="J529" s="94" t="s">
        <v>210</v>
      </c>
      <c r="K529" s="94" t="s">
        <v>210</v>
      </c>
      <c r="L529" s="94">
        <v>-3</v>
      </c>
      <c r="M529" s="94">
        <v>1</v>
      </c>
      <c r="N529" s="94" t="s">
        <v>210</v>
      </c>
      <c r="O529" s="94" t="s">
        <v>210</v>
      </c>
      <c r="P529" s="94">
        <v>-4</v>
      </c>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BA529" s="95"/>
    </row>
    <row r="530" spans="1:53" s="87" customFormat="1">
      <c r="A530" s="90" t="str">
        <f t="shared" si="33"/>
        <v/>
      </c>
      <c r="B530" s="98">
        <v>26</v>
      </c>
      <c r="C530" s="94" t="s">
        <v>210</v>
      </c>
      <c r="D530" s="94">
        <v>-4</v>
      </c>
      <c r="E530" s="94">
        <v>7</v>
      </c>
      <c r="F530" s="94" t="s">
        <v>210</v>
      </c>
      <c r="G530" s="94" t="s">
        <v>210</v>
      </c>
      <c r="H530" s="94">
        <v>-3</v>
      </c>
      <c r="I530" s="94">
        <v>1</v>
      </c>
      <c r="J530" s="94" t="s">
        <v>210</v>
      </c>
      <c r="K530" s="94" t="s">
        <v>210</v>
      </c>
      <c r="L530" s="94">
        <v>5</v>
      </c>
      <c r="M530" s="94">
        <v>-7</v>
      </c>
      <c r="N530" s="94" t="s">
        <v>210</v>
      </c>
      <c r="O530" s="94" t="s">
        <v>210</v>
      </c>
      <c r="P530" s="94">
        <v>4</v>
      </c>
      <c r="Q530" s="94"/>
      <c r="R530" s="94"/>
      <c r="S530" s="94"/>
      <c r="T530" s="94"/>
      <c r="U530" s="94"/>
      <c r="V530" s="94"/>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BA530" s="95"/>
    </row>
    <row r="531" spans="1:53" s="87" customFormat="1">
      <c r="A531" s="90" t="str">
        <f t="shared" si="33"/>
        <v/>
      </c>
      <c r="B531" s="268" t="s">
        <v>824</v>
      </c>
      <c r="C531" s="94"/>
      <c r="D531" s="94"/>
      <c r="E531" s="94"/>
      <c r="F531" s="94"/>
      <c r="G531" s="94"/>
      <c r="H531" s="94"/>
      <c r="I531" s="94"/>
      <c r="J531" s="94"/>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BA531" s="95"/>
    </row>
    <row r="532" spans="1:53" s="87" customFormat="1">
      <c r="A532" s="90">
        <f t="shared" si="33"/>
        <v>532</v>
      </c>
      <c r="B532" s="98" t="s">
        <v>825</v>
      </c>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BA532" s="95"/>
    </row>
    <row r="533" spans="1:53" s="87" customFormat="1">
      <c r="A533" s="90" t="str">
        <f t="shared" si="33"/>
        <v/>
      </c>
      <c r="B533" s="98">
        <v>1</v>
      </c>
      <c r="C533" s="94">
        <v>-5</v>
      </c>
      <c r="D533" s="94" t="s">
        <v>210</v>
      </c>
      <c r="E533" s="94">
        <v>3</v>
      </c>
      <c r="F533" s="94" t="s">
        <v>210</v>
      </c>
      <c r="G533" s="94" t="s">
        <v>210</v>
      </c>
      <c r="H533" s="94">
        <v>-4</v>
      </c>
      <c r="I533" s="94">
        <v>6</v>
      </c>
      <c r="J533" s="94" t="s">
        <v>210</v>
      </c>
      <c r="K533" s="94" t="s">
        <v>210</v>
      </c>
      <c r="L533" s="94">
        <v>5</v>
      </c>
      <c r="M533" s="94"/>
      <c r="N533" s="94"/>
      <c r="O533" s="94"/>
      <c r="P533" s="94"/>
      <c r="Q533" s="94"/>
      <c r="R533" s="94"/>
      <c r="S533" s="94"/>
      <c r="T533" s="94"/>
      <c r="U533" s="94"/>
      <c r="V533" s="94"/>
      <c r="W533" s="94"/>
      <c r="X533" s="94"/>
      <c r="Y533" s="94"/>
      <c r="Z533" s="94"/>
      <c r="AA533" s="94"/>
      <c r="AB533" s="94"/>
      <c r="AC533" s="94"/>
      <c r="AD533" s="94"/>
      <c r="AE533" s="94"/>
      <c r="AF533" s="94"/>
      <c r="AG533" s="94"/>
      <c r="AH533" s="94"/>
      <c r="AI533" s="94"/>
      <c r="AJ533" s="94"/>
      <c r="AK533" s="94"/>
      <c r="AL533" s="94"/>
      <c r="AM533" s="94"/>
      <c r="AN533" s="94"/>
      <c r="AO533" s="94"/>
      <c r="AP533" s="94"/>
      <c r="AQ533" s="94"/>
      <c r="AR533" s="94"/>
      <c r="AS533" s="94"/>
      <c r="AT533" s="94"/>
      <c r="AU533" s="94"/>
      <c r="AV533" s="94"/>
      <c r="AW533" s="94"/>
      <c r="AX533" s="94"/>
      <c r="AY533" s="94"/>
      <c r="BA533" s="95"/>
    </row>
    <row r="534" spans="1:53" s="87" customFormat="1">
      <c r="A534" s="90" t="str">
        <f t="shared" si="33"/>
        <v/>
      </c>
      <c r="B534" s="98">
        <v>2</v>
      </c>
      <c r="C534" s="94" t="s">
        <v>210</v>
      </c>
      <c r="D534" s="94">
        <v>3</v>
      </c>
      <c r="E534" s="94">
        <v>-7</v>
      </c>
      <c r="F534" s="94" t="s">
        <v>210</v>
      </c>
      <c r="G534" s="94" t="s">
        <v>210</v>
      </c>
      <c r="H534" s="94">
        <v>6</v>
      </c>
      <c r="I534" s="94">
        <v>-1</v>
      </c>
      <c r="J534" s="94" t="s">
        <v>210</v>
      </c>
      <c r="K534" s="94" t="s">
        <v>210</v>
      </c>
      <c r="L534" s="94">
        <v>-5</v>
      </c>
      <c r="M534" s="94"/>
      <c r="N534" s="94"/>
      <c r="O534" s="94"/>
      <c r="P534" s="94"/>
      <c r="Q534" s="94"/>
      <c r="R534" s="94"/>
      <c r="S534" s="94"/>
      <c r="T534" s="94"/>
      <c r="U534" s="94"/>
      <c r="V534" s="94"/>
      <c r="W534" s="94"/>
      <c r="X534" s="94"/>
      <c r="Y534" s="94"/>
      <c r="Z534" s="94"/>
      <c r="AA534" s="94"/>
      <c r="AB534" s="94"/>
      <c r="AC534" s="94"/>
      <c r="AD534" s="94"/>
      <c r="AE534" s="94"/>
      <c r="AF534" s="94"/>
      <c r="AG534" s="94"/>
      <c r="AH534" s="94"/>
      <c r="AI534" s="94"/>
      <c r="AJ534" s="94"/>
      <c r="AK534" s="94"/>
      <c r="AL534" s="94"/>
      <c r="AM534" s="94"/>
      <c r="AN534" s="94"/>
      <c r="AO534" s="94"/>
      <c r="AP534" s="94"/>
      <c r="AQ534" s="94"/>
      <c r="AR534" s="94"/>
      <c r="AS534" s="94"/>
      <c r="AT534" s="94"/>
      <c r="AU534" s="94"/>
      <c r="AV534" s="94"/>
      <c r="AW534" s="94"/>
      <c r="AX534" s="94"/>
      <c r="AY534" s="94"/>
      <c r="BA534" s="95"/>
    </row>
    <row r="535" spans="1:53" s="87" customFormat="1">
      <c r="A535" s="90" t="str">
        <f t="shared" si="33"/>
        <v/>
      </c>
      <c r="B535" s="98">
        <v>3</v>
      </c>
      <c r="C535" s="94">
        <v>5</v>
      </c>
      <c r="D535" s="94" t="s">
        <v>210</v>
      </c>
      <c r="E535" s="94">
        <v>-1</v>
      </c>
      <c r="F535" s="94" t="s">
        <v>210</v>
      </c>
      <c r="G535" s="94" t="s">
        <v>210</v>
      </c>
      <c r="H535" s="94">
        <v>-6</v>
      </c>
      <c r="I535" s="94">
        <v>2</v>
      </c>
      <c r="J535" s="94" t="s">
        <v>210</v>
      </c>
      <c r="K535" s="94" t="s">
        <v>210</v>
      </c>
      <c r="L535" s="94">
        <v>-4</v>
      </c>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BA535" s="95"/>
    </row>
    <row r="536" spans="1:53" s="87" customFormat="1">
      <c r="A536" s="90" t="str">
        <f t="shared" si="33"/>
        <v/>
      </c>
      <c r="B536" s="98">
        <v>4</v>
      </c>
      <c r="C536" s="94" t="s">
        <v>210</v>
      </c>
      <c r="D536" s="94">
        <v>6</v>
      </c>
      <c r="E536" s="94">
        <v>-3</v>
      </c>
      <c r="F536" s="94" t="s">
        <v>210</v>
      </c>
      <c r="G536" s="94" t="s">
        <v>210</v>
      </c>
      <c r="H536" s="94">
        <v>-5</v>
      </c>
      <c r="I536" s="94">
        <v>1</v>
      </c>
      <c r="J536" s="94" t="s">
        <v>210</v>
      </c>
      <c r="K536" s="94" t="s">
        <v>210</v>
      </c>
      <c r="L536" s="94">
        <v>4</v>
      </c>
      <c r="M536" s="94"/>
      <c r="N536" s="94"/>
      <c r="O536" s="94"/>
      <c r="P536" s="94"/>
      <c r="Q536" s="94"/>
      <c r="R536" s="94"/>
      <c r="S536" s="94"/>
      <c r="T536" s="94"/>
      <c r="U536" s="94"/>
      <c r="V536" s="94"/>
      <c r="W536" s="94"/>
      <c r="X536" s="94"/>
      <c r="Y536" s="94"/>
      <c r="Z536" s="94"/>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BA536" s="95"/>
    </row>
    <row r="537" spans="1:53" s="87" customFormat="1">
      <c r="A537" s="90" t="str">
        <f t="shared" si="33"/>
        <v/>
      </c>
      <c r="B537" s="98">
        <v>5</v>
      </c>
      <c r="C537" s="94" t="s">
        <v>210</v>
      </c>
      <c r="D537" s="94">
        <v>-6</v>
      </c>
      <c r="E537" s="94">
        <v>7</v>
      </c>
      <c r="F537" s="94" t="s">
        <v>210</v>
      </c>
      <c r="G537" s="94" t="s">
        <v>210</v>
      </c>
      <c r="H537" s="94">
        <v>4</v>
      </c>
      <c r="I537" s="94">
        <v>-2</v>
      </c>
      <c r="J537" s="94" t="s">
        <v>210</v>
      </c>
      <c r="K537" s="94" t="s">
        <v>210</v>
      </c>
      <c r="L537" s="94">
        <v>-3</v>
      </c>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BA537" s="95"/>
    </row>
    <row r="538" spans="1:53" s="87" customFormat="1">
      <c r="A538" s="90" t="str">
        <f t="shared" si="33"/>
        <v/>
      </c>
      <c r="B538" s="99">
        <v>6</v>
      </c>
      <c r="C538" s="92" t="s">
        <v>210</v>
      </c>
      <c r="D538" s="92">
        <v>-3</v>
      </c>
      <c r="E538" s="92">
        <v>1</v>
      </c>
      <c r="F538" s="92" t="s">
        <v>210</v>
      </c>
      <c r="G538" s="92" t="s">
        <v>210</v>
      </c>
      <c r="H538" s="92">
        <v>5</v>
      </c>
      <c r="I538" s="92">
        <v>-6</v>
      </c>
      <c r="J538" s="92" t="s">
        <v>210</v>
      </c>
      <c r="K538" s="92" t="s">
        <v>210</v>
      </c>
      <c r="L538" s="92">
        <v>3</v>
      </c>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BA538" s="95"/>
    </row>
    <row r="539" spans="1:53" s="87" customFormat="1">
      <c r="A539" s="90" t="str">
        <f t="shared" si="33"/>
        <v/>
      </c>
      <c r="B539" s="98">
        <v>7</v>
      </c>
      <c r="C539" s="94" t="s">
        <v>210</v>
      </c>
      <c r="D539" s="94">
        <v>-2</v>
      </c>
      <c r="E539" s="94">
        <v>6</v>
      </c>
      <c r="F539" s="94" t="s">
        <v>210</v>
      </c>
      <c r="G539" s="94" t="s">
        <v>210</v>
      </c>
      <c r="H539" s="94">
        <v>-3</v>
      </c>
      <c r="I539" s="94">
        <v>4</v>
      </c>
      <c r="J539" s="94" t="s">
        <v>210</v>
      </c>
      <c r="K539" s="94" t="s">
        <v>210</v>
      </c>
      <c r="L539" s="94">
        <v>2</v>
      </c>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BA539" s="95"/>
    </row>
    <row r="540" spans="1:53" s="87" customFormat="1">
      <c r="A540" s="90" t="str">
        <f t="shared" si="33"/>
        <v/>
      </c>
      <c r="B540" s="98">
        <v>8</v>
      </c>
      <c r="C540" s="94" t="s">
        <v>210</v>
      </c>
      <c r="D540" s="94">
        <v>-4</v>
      </c>
      <c r="E540" s="94">
        <v>-5</v>
      </c>
      <c r="F540" s="94" t="s">
        <v>210</v>
      </c>
      <c r="G540" s="94">
        <v>3</v>
      </c>
      <c r="H540" s="94" t="s">
        <v>210</v>
      </c>
      <c r="I540" s="94">
        <v>7</v>
      </c>
      <c r="J540" s="94" t="s">
        <v>210</v>
      </c>
      <c r="K540" s="94" t="s">
        <v>210</v>
      </c>
      <c r="L540" s="94">
        <v>-2</v>
      </c>
      <c r="M540" s="94"/>
      <c r="N540" s="94"/>
      <c r="O540" s="94"/>
      <c r="P540" s="94"/>
      <c r="Q540" s="94"/>
      <c r="R540" s="94"/>
      <c r="S540" s="94"/>
      <c r="T540" s="94"/>
      <c r="U540" s="94"/>
      <c r="V540" s="94"/>
      <c r="W540" s="94"/>
      <c r="X540" s="94"/>
      <c r="Y540" s="94"/>
      <c r="Z540" s="94"/>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c r="AW540" s="94"/>
      <c r="AX540" s="94"/>
      <c r="AY540" s="94"/>
      <c r="BA540" s="95"/>
    </row>
    <row r="541" spans="1:53" s="87" customFormat="1">
      <c r="A541" s="90" t="str">
        <f t="shared" si="33"/>
        <v/>
      </c>
      <c r="B541" s="98">
        <v>9</v>
      </c>
      <c r="C541" s="94">
        <v>-4</v>
      </c>
      <c r="D541" s="94" t="s">
        <v>210</v>
      </c>
      <c r="E541" s="94">
        <v>2</v>
      </c>
      <c r="F541" s="94" t="s">
        <v>210</v>
      </c>
      <c r="G541" s="94" t="s">
        <v>210</v>
      </c>
      <c r="H541" s="94">
        <v>3</v>
      </c>
      <c r="I541" s="94">
        <v>-7</v>
      </c>
      <c r="J541" s="94" t="s">
        <v>210</v>
      </c>
      <c r="K541" s="94" t="s">
        <v>210</v>
      </c>
      <c r="L541" s="94">
        <v>-6</v>
      </c>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BA541" s="95"/>
    </row>
    <row r="542" spans="1:53" s="87" customFormat="1">
      <c r="A542" s="90" t="str">
        <f t="shared" si="33"/>
        <v/>
      </c>
      <c r="B542" s="99">
        <v>10</v>
      </c>
      <c r="C542" s="92">
        <v>-6</v>
      </c>
      <c r="D542" s="92" t="s">
        <v>210</v>
      </c>
      <c r="E542" s="92" t="s">
        <v>210</v>
      </c>
      <c r="F542" s="92">
        <v>1</v>
      </c>
      <c r="G542" s="92">
        <v>-3</v>
      </c>
      <c r="H542" s="92" t="s">
        <v>210</v>
      </c>
      <c r="I542" s="92">
        <v>-4</v>
      </c>
      <c r="J542" s="92" t="s">
        <v>210</v>
      </c>
      <c r="K542" s="92" t="s">
        <v>210</v>
      </c>
      <c r="L542" s="92">
        <v>6</v>
      </c>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BA542" s="95"/>
    </row>
    <row r="543" spans="1:53" s="87" customFormat="1">
      <c r="A543" s="90" t="str">
        <f t="shared" si="33"/>
        <v/>
      </c>
      <c r="B543" s="98">
        <v>11</v>
      </c>
      <c r="C543" s="94" t="s">
        <v>210</v>
      </c>
      <c r="D543" s="94">
        <v>2</v>
      </c>
      <c r="E543" s="94">
        <v>5</v>
      </c>
      <c r="F543" s="94" t="s">
        <v>210</v>
      </c>
      <c r="G543" s="94" t="s">
        <v>210</v>
      </c>
      <c r="H543" s="94">
        <v>-1</v>
      </c>
      <c r="I543" s="94">
        <v>-3</v>
      </c>
      <c r="J543" s="94" t="s">
        <v>210</v>
      </c>
      <c r="K543" s="94">
        <v>4</v>
      </c>
      <c r="L543" s="94" t="s">
        <v>210</v>
      </c>
      <c r="M543" s="94"/>
      <c r="N543" s="94"/>
      <c r="O543" s="94"/>
      <c r="P543" s="94"/>
      <c r="Q543" s="94"/>
      <c r="R543" s="94"/>
      <c r="S543" s="94"/>
      <c r="T543" s="94"/>
      <c r="U543" s="94"/>
      <c r="V543" s="94"/>
      <c r="W543" s="94"/>
      <c r="X543" s="94"/>
      <c r="Y543" s="94"/>
      <c r="Z543" s="94"/>
      <c r="AA543" s="94"/>
      <c r="AB543" s="94"/>
      <c r="AC543" s="94"/>
      <c r="AD543" s="94"/>
      <c r="AE543" s="94"/>
      <c r="AF543" s="94"/>
      <c r="AG543" s="94"/>
      <c r="AH543" s="94"/>
      <c r="AI543" s="94"/>
      <c r="AJ543" s="94"/>
      <c r="AK543" s="94"/>
      <c r="AL543" s="94"/>
      <c r="AM543" s="94"/>
      <c r="AN543" s="94"/>
      <c r="AO543" s="94"/>
      <c r="AP543" s="94"/>
      <c r="AQ543" s="94"/>
      <c r="AR543" s="94"/>
      <c r="AS543" s="94"/>
      <c r="AT543" s="94"/>
      <c r="AU543" s="94"/>
      <c r="AV543" s="94"/>
      <c r="AW543" s="94"/>
      <c r="AX543" s="94"/>
      <c r="AY543" s="94"/>
      <c r="BA543" s="95"/>
    </row>
    <row r="544" spans="1:53" s="87" customFormat="1">
      <c r="A544" s="90" t="str">
        <f t="shared" si="33"/>
        <v/>
      </c>
      <c r="B544" s="98">
        <v>12</v>
      </c>
      <c r="C544" s="94" t="s">
        <v>210</v>
      </c>
      <c r="D544" s="94">
        <v>4</v>
      </c>
      <c r="E544" s="94">
        <v>-6</v>
      </c>
      <c r="F544" s="94" t="s">
        <v>210</v>
      </c>
      <c r="G544" s="94" t="s">
        <v>210</v>
      </c>
      <c r="H544" s="94">
        <v>2</v>
      </c>
      <c r="I544" s="94">
        <v>5</v>
      </c>
      <c r="J544" s="94" t="s">
        <v>210</v>
      </c>
      <c r="K544" s="94">
        <v>-4</v>
      </c>
      <c r="L544" s="94" t="s">
        <v>210</v>
      </c>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BA544" s="95"/>
    </row>
    <row r="545" spans="1:53" s="87" customFormat="1">
      <c r="A545" s="90" t="str">
        <f t="shared" si="33"/>
        <v/>
      </c>
      <c r="B545" s="98">
        <v>13</v>
      </c>
      <c r="C545" s="94">
        <v>4</v>
      </c>
      <c r="D545" s="94" t="s">
        <v>210</v>
      </c>
      <c r="E545" s="94" t="s">
        <v>210</v>
      </c>
      <c r="F545" s="94">
        <v>-1</v>
      </c>
      <c r="G545" s="94" t="s">
        <v>210</v>
      </c>
      <c r="H545" s="94">
        <v>-2</v>
      </c>
      <c r="I545" s="94">
        <v>3</v>
      </c>
      <c r="J545" s="94" t="s">
        <v>210</v>
      </c>
      <c r="K545" s="94" t="s">
        <v>210</v>
      </c>
      <c r="L545" s="94">
        <v>7</v>
      </c>
      <c r="M545" s="94"/>
      <c r="N545" s="94"/>
      <c r="O545" s="94"/>
      <c r="P545" s="94"/>
      <c r="Q545" s="94"/>
      <c r="R545" s="94"/>
      <c r="S545" s="94"/>
      <c r="T545" s="94"/>
      <c r="U545" s="94"/>
      <c r="V545" s="94"/>
      <c r="W545" s="94"/>
      <c r="X545" s="94"/>
      <c r="Y545" s="94"/>
      <c r="Z545" s="94"/>
      <c r="AA545" s="94"/>
      <c r="AB545" s="94"/>
      <c r="AC545" s="94"/>
      <c r="AD545" s="94"/>
      <c r="AE545" s="94"/>
      <c r="AF545" s="94"/>
      <c r="AG545" s="94"/>
      <c r="AH545" s="94"/>
      <c r="AI545" s="94"/>
      <c r="AJ545" s="94"/>
      <c r="AK545" s="94"/>
      <c r="AL545" s="94"/>
      <c r="AM545" s="94"/>
      <c r="AN545" s="94"/>
      <c r="AO545" s="94"/>
      <c r="AP545" s="94"/>
      <c r="AQ545" s="94"/>
      <c r="AR545" s="94"/>
      <c r="AS545" s="94"/>
      <c r="AT545" s="94"/>
      <c r="AU545" s="94"/>
      <c r="AV545" s="94"/>
      <c r="AW545" s="94"/>
      <c r="AX545" s="94"/>
      <c r="AY545" s="94"/>
      <c r="BA545" s="95"/>
    </row>
    <row r="546" spans="1:53" s="87" customFormat="1">
      <c r="A546" s="90" t="str">
        <f t="shared" si="33"/>
        <v/>
      </c>
      <c r="B546" s="99">
        <v>14</v>
      </c>
      <c r="C546" s="92">
        <v>6</v>
      </c>
      <c r="D546" s="92" t="s">
        <v>210</v>
      </c>
      <c r="E546" s="92">
        <v>-2</v>
      </c>
      <c r="F546" s="92" t="s">
        <v>210</v>
      </c>
      <c r="G546" s="92" t="s">
        <v>210</v>
      </c>
      <c r="H546" s="92">
        <v>1</v>
      </c>
      <c r="I546" s="92">
        <v>-5</v>
      </c>
      <c r="J546" s="92" t="s">
        <v>210</v>
      </c>
      <c r="K546" s="92" t="s">
        <v>210</v>
      </c>
      <c r="L546" s="92">
        <v>-7</v>
      </c>
      <c r="M546" s="94"/>
      <c r="N546" s="94"/>
      <c r="O546" s="94"/>
      <c r="P546" s="94"/>
      <c r="Q546" s="94"/>
      <c r="R546" s="94"/>
      <c r="S546" s="94"/>
      <c r="T546" s="94"/>
      <c r="U546" s="94"/>
      <c r="V546" s="94"/>
      <c r="W546" s="94"/>
      <c r="X546" s="94"/>
      <c r="Y546" s="94"/>
      <c r="Z546" s="94"/>
      <c r="AA546" s="94"/>
      <c r="AB546" s="94"/>
      <c r="AC546" s="94"/>
      <c r="AD546" s="94"/>
      <c r="AE546" s="94"/>
      <c r="AF546" s="94"/>
      <c r="AG546" s="94"/>
      <c r="AH546" s="94"/>
      <c r="AI546" s="94"/>
      <c r="AJ546" s="94"/>
      <c r="AK546" s="94"/>
      <c r="AL546" s="94"/>
      <c r="AM546" s="94"/>
      <c r="AN546" s="94"/>
      <c r="AO546" s="94"/>
      <c r="AP546" s="94"/>
      <c r="AQ546" s="94"/>
      <c r="AR546" s="94"/>
      <c r="AS546" s="94"/>
      <c r="AT546" s="94"/>
      <c r="AU546" s="94"/>
      <c r="AV546" s="94"/>
      <c r="AW546" s="94"/>
      <c r="AX546" s="94"/>
      <c r="AY546" s="94"/>
      <c r="BA546" s="95"/>
    </row>
    <row r="547" spans="1:53" s="87" customFormat="1">
      <c r="A547" s="90" t="str">
        <f t="shared" si="33"/>
        <v/>
      </c>
      <c r="B547" s="98">
        <v>15</v>
      </c>
      <c r="C547" s="94" t="s">
        <v>210</v>
      </c>
      <c r="D547" s="94">
        <v>5</v>
      </c>
      <c r="E547" s="94">
        <v>-4</v>
      </c>
      <c r="F547" s="94" t="s">
        <v>210</v>
      </c>
      <c r="G547" s="94">
        <v>1</v>
      </c>
      <c r="H547" s="94" t="s">
        <v>210</v>
      </c>
      <c r="I547" s="94" t="s">
        <v>210</v>
      </c>
      <c r="J547" s="94">
        <v>6</v>
      </c>
      <c r="K547" s="94">
        <v>-5</v>
      </c>
      <c r="L547" s="94" t="s">
        <v>210</v>
      </c>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BA547" s="95"/>
    </row>
    <row r="548" spans="1:53" s="87" customFormat="1">
      <c r="A548" s="90" t="str">
        <f t="shared" si="33"/>
        <v/>
      </c>
      <c r="B548" s="98">
        <v>16</v>
      </c>
      <c r="C548" s="94" t="s">
        <v>210</v>
      </c>
      <c r="D548" s="94">
        <v>1</v>
      </c>
      <c r="E548" s="94" t="s">
        <v>210</v>
      </c>
      <c r="F548" s="94">
        <v>-3</v>
      </c>
      <c r="G548" s="94">
        <v>-7</v>
      </c>
      <c r="H548" s="94" t="s">
        <v>210</v>
      </c>
      <c r="I548" s="94" t="s">
        <v>210</v>
      </c>
      <c r="J548" s="94">
        <v>2</v>
      </c>
      <c r="K548" s="94">
        <v>5</v>
      </c>
      <c r="L548" s="94" t="s">
        <v>210</v>
      </c>
      <c r="M548" s="94"/>
      <c r="N548" s="94"/>
      <c r="O548" s="94"/>
      <c r="P548" s="94"/>
      <c r="Q548" s="94"/>
      <c r="R548" s="94"/>
      <c r="S548" s="94"/>
      <c r="T548" s="94"/>
      <c r="U548" s="94"/>
      <c r="V548" s="94"/>
      <c r="W548" s="94"/>
      <c r="X548" s="94"/>
      <c r="Y548" s="94"/>
      <c r="Z548" s="94"/>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BA548" s="95"/>
    </row>
    <row r="549" spans="1:53" s="87" customFormat="1">
      <c r="A549" s="90" t="str">
        <f t="shared" si="33"/>
        <v/>
      </c>
      <c r="B549" s="98">
        <v>17</v>
      </c>
      <c r="C549" s="94">
        <v>-3</v>
      </c>
      <c r="D549" s="94" t="s">
        <v>210</v>
      </c>
      <c r="E549" s="94" t="s">
        <v>210</v>
      </c>
      <c r="F549" s="94">
        <v>6</v>
      </c>
      <c r="G549" s="94">
        <v>-1</v>
      </c>
      <c r="H549" s="94" t="s">
        <v>210</v>
      </c>
      <c r="I549" s="94" t="s">
        <v>210</v>
      </c>
      <c r="J549" s="94">
        <v>-2</v>
      </c>
      <c r="K549" s="94">
        <v>3</v>
      </c>
      <c r="L549" s="94" t="s">
        <v>210</v>
      </c>
      <c r="M549" s="94"/>
      <c r="N549" s="94"/>
      <c r="O549" s="94"/>
      <c r="P549" s="94"/>
      <c r="Q549" s="94"/>
      <c r="R549" s="94"/>
      <c r="S549" s="94"/>
      <c r="T549" s="94"/>
      <c r="U549" s="94"/>
      <c r="V549" s="94"/>
      <c r="W549" s="94"/>
      <c r="X549" s="94"/>
      <c r="Y549" s="94"/>
      <c r="Z549" s="94"/>
      <c r="AA549" s="94"/>
      <c r="AB549" s="94"/>
      <c r="AC549" s="94"/>
      <c r="AD549" s="94"/>
      <c r="AE549" s="94"/>
      <c r="AF549" s="94"/>
      <c r="AG549" s="94"/>
      <c r="AH549" s="94"/>
      <c r="AI549" s="94"/>
      <c r="AJ549" s="94"/>
      <c r="AK549" s="94"/>
      <c r="AL549" s="94"/>
      <c r="AM549" s="94"/>
      <c r="AN549" s="94"/>
      <c r="AO549" s="94"/>
      <c r="AP549" s="94"/>
      <c r="AQ549" s="94"/>
      <c r="AR549" s="94"/>
      <c r="AS549" s="94"/>
      <c r="AT549" s="94"/>
      <c r="AU549" s="94"/>
      <c r="AV549" s="94"/>
      <c r="AW549" s="94"/>
      <c r="AX549" s="94"/>
      <c r="AY549" s="94"/>
      <c r="BA549" s="95"/>
    </row>
    <row r="550" spans="1:53" s="87" customFormat="1">
      <c r="A550" s="90" t="str">
        <f t="shared" si="33"/>
        <v/>
      </c>
      <c r="B550" s="99">
        <v>18</v>
      </c>
      <c r="C550" s="92">
        <v>1</v>
      </c>
      <c r="D550" s="92" t="s">
        <v>210</v>
      </c>
      <c r="E550" s="92" t="s">
        <v>210</v>
      </c>
      <c r="F550" s="92">
        <v>-2</v>
      </c>
      <c r="G550" s="92">
        <v>7</v>
      </c>
      <c r="H550" s="92" t="s">
        <v>210</v>
      </c>
      <c r="I550" s="92" t="s">
        <v>210</v>
      </c>
      <c r="J550" s="92">
        <v>-6</v>
      </c>
      <c r="K550" s="92">
        <v>-3</v>
      </c>
      <c r="L550" s="92" t="s">
        <v>210</v>
      </c>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BA550" s="95"/>
    </row>
    <row r="551" spans="1:53" s="87" customFormat="1">
      <c r="A551" s="90" t="str">
        <f t="shared" si="33"/>
        <v/>
      </c>
      <c r="B551" s="98">
        <v>19</v>
      </c>
      <c r="C551" s="94" t="s">
        <v>210</v>
      </c>
      <c r="D551" s="94">
        <v>-5</v>
      </c>
      <c r="E551" s="94" t="s">
        <v>210</v>
      </c>
      <c r="F551" s="94">
        <v>3</v>
      </c>
      <c r="G551" s="94">
        <v>-4</v>
      </c>
      <c r="H551" s="94" t="s">
        <v>210</v>
      </c>
      <c r="I551" s="94" t="s">
        <v>210</v>
      </c>
      <c r="J551" s="94">
        <v>7</v>
      </c>
      <c r="K551" s="94">
        <v>6</v>
      </c>
      <c r="L551" s="94" t="s">
        <v>210</v>
      </c>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BA551" s="95"/>
    </row>
    <row r="552" spans="1:53" s="87" customFormat="1">
      <c r="A552" s="90" t="str">
        <f t="shared" si="33"/>
        <v/>
      </c>
      <c r="B552" s="98">
        <v>20</v>
      </c>
      <c r="C552" s="94" t="s">
        <v>210</v>
      </c>
      <c r="D552" s="94">
        <v>-1</v>
      </c>
      <c r="E552" s="94">
        <v>4</v>
      </c>
      <c r="F552" s="94" t="s">
        <v>210</v>
      </c>
      <c r="G552" s="94">
        <v>-5</v>
      </c>
      <c r="H552" s="94" t="s">
        <v>210</v>
      </c>
      <c r="I552" s="94" t="s">
        <v>210</v>
      </c>
      <c r="J552" s="94">
        <v>3</v>
      </c>
      <c r="K552" s="94">
        <v>-6</v>
      </c>
      <c r="L552" s="94" t="s">
        <v>210</v>
      </c>
      <c r="M552" s="94"/>
      <c r="N552" s="94"/>
      <c r="O552" s="94"/>
      <c r="P552" s="94"/>
      <c r="Q552" s="94"/>
      <c r="R552" s="94"/>
      <c r="S552" s="94"/>
      <c r="T552" s="94"/>
      <c r="U552" s="94"/>
      <c r="V552" s="94"/>
      <c r="W552" s="94"/>
      <c r="X552" s="94"/>
      <c r="Y552" s="94"/>
      <c r="Z552" s="94"/>
      <c r="AA552" s="94"/>
      <c r="AB552" s="94"/>
      <c r="AC552" s="94"/>
      <c r="AD552" s="94"/>
      <c r="AE552" s="94"/>
      <c r="AF552" s="94"/>
      <c r="AG552" s="94"/>
      <c r="AH552" s="94"/>
      <c r="AI552" s="94"/>
      <c r="AJ552" s="94"/>
      <c r="AK552" s="94"/>
      <c r="AL552" s="94"/>
      <c r="AM552" s="94"/>
      <c r="AN552" s="94"/>
      <c r="AO552" s="94"/>
      <c r="AP552" s="94"/>
      <c r="AQ552" s="94"/>
      <c r="AR552" s="94"/>
      <c r="AS552" s="94"/>
      <c r="AT552" s="94"/>
      <c r="AU552" s="94"/>
      <c r="AV552" s="94"/>
      <c r="AW552" s="94"/>
      <c r="AX552" s="94"/>
      <c r="AY552" s="94"/>
      <c r="BA552" s="95"/>
    </row>
    <row r="553" spans="1:53" s="87" customFormat="1">
      <c r="A553" s="90" t="str">
        <f t="shared" si="33"/>
        <v/>
      </c>
      <c r="B553" s="98">
        <v>21</v>
      </c>
      <c r="C553" s="94">
        <v>2</v>
      </c>
      <c r="D553" s="94" t="s">
        <v>210</v>
      </c>
      <c r="E553" s="94" t="s">
        <v>210</v>
      </c>
      <c r="F553" s="94">
        <v>-4</v>
      </c>
      <c r="G553" s="94">
        <v>5</v>
      </c>
      <c r="H553" s="94" t="s">
        <v>210</v>
      </c>
      <c r="I553" s="94" t="s">
        <v>210</v>
      </c>
      <c r="J553" s="94">
        <v>-7</v>
      </c>
      <c r="K553" s="94">
        <v>-2</v>
      </c>
      <c r="L553" s="94" t="s">
        <v>210</v>
      </c>
      <c r="M553" s="94"/>
      <c r="N553" s="94"/>
      <c r="O553" s="94"/>
      <c r="P553" s="94"/>
      <c r="Q553" s="94"/>
      <c r="R553" s="94"/>
      <c r="S553" s="94"/>
      <c r="T553" s="94"/>
      <c r="U553" s="94"/>
      <c r="V553" s="94"/>
      <c r="W553" s="94"/>
      <c r="X553" s="94"/>
      <c r="Y553" s="94"/>
      <c r="Z553" s="94"/>
      <c r="AA553" s="94"/>
      <c r="AB553" s="94"/>
      <c r="AC553" s="94"/>
      <c r="AD553" s="94"/>
      <c r="AE553" s="94"/>
      <c r="AF553" s="94"/>
      <c r="AG553" s="94"/>
      <c r="AH553" s="94"/>
      <c r="AI553" s="94"/>
      <c r="AJ553" s="94"/>
      <c r="AK553" s="94"/>
      <c r="AL553" s="94"/>
      <c r="AM553" s="94"/>
      <c r="AN553" s="94"/>
      <c r="AO553" s="94"/>
      <c r="AP553" s="94"/>
      <c r="AQ553" s="94"/>
      <c r="AR553" s="94"/>
      <c r="AS553" s="94"/>
      <c r="AT553" s="94"/>
      <c r="AU553" s="94"/>
      <c r="AV553" s="94"/>
      <c r="AW553" s="94"/>
      <c r="AX553" s="94"/>
      <c r="AY553" s="94"/>
      <c r="BA553" s="95"/>
    </row>
    <row r="554" spans="1:53" s="87" customFormat="1">
      <c r="A554" s="90" t="str">
        <f t="shared" si="33"/>
        <v/>
      </c>
      <c r="B554" s="99">
        <v>22</v>
      </c>
      <c r="C554" s="92">
        <v>-7</v>
      </c>
      <c r="D554" s="92" t="s">
        <v>210</v>
      </c>
      <c r="E554" s="92" t="s">
        <v>210</v>
      </c>
      <c r="F554" s="92">
        <v>5</v>
      </c>
      <c r="G554" s="92">
        <v>4</v>
      </c>
      <c r="H554" s="92" t="s">
        <v>210</v>
      </c>
      <c r="I554" s="92" t="s">
        <v>210</v>
      </c>
      <c r="J554" s="92">
        <v>-3</v>
      </c>
      <c r="K554" s="92">
        <v>2</v>
      </c>
      <c r="L554" s="92" t="s">
        <v>210</v>
      </c>
      <c r="M554" s="94"/>
      <c r="N554" s="94"/>
      <c r="O554" s="94"/>
      <c r="P554" s="94"/>
      <c r="Q554" s="94"/>
      <c r="R554" s="94"/>
      <c r="S554" s="94"/>
      <c r="T554" s="94"/>
      <c r="U554" s="94"/>
      <c r="V554" s="94"/>
      <c r="W554" s="94"/>
      <c r="X554" s="94"/>
      <c r="Y554" s="94"/>
      <c r="Z554" s="94"/>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c r="AW554" s="94"/>
      <c r="AX554" s="94"/>
      <c r="AY554" s="94"/>
      <c r="BA554" s="95"/>
    </row>
    <row r="555" spans="1:53" s="87" customFormat="1">
      <c r="A555" s="90" t="str">
        <f t="shared" si="33"/>
        <v/>
      </c>
      <c r="B555" s="98">
        <v>23</v>
      </c>
      <c r="C555" s="94">
        <v>3</v>
      </c>
      <c r="D555" s="94" t="s">
        <v>210</v>
      </c>
      <c r="E555" s="94" t="s">
        <v>210</v>
      </c>
      <c r="F555" s="94">
        <v>2</v>
      </c>
      <c r="G555" s="94">
        <v>-6</v>
      </c>
      <c r="H555" s="94" t="s">
        <v>210</v>
      </c>
      <c r="I555" s="94" t="s">
        <v>210</v>
      </c>
      <c r="J555" s="94">
        <v>5</v>
      </c>
      <c r="K555" s="94">
        <v>-7</v>
      </c>
      <c r="L555" s="94" t="s">
        <v>210</v>
      </c>
      <c r="M555" s="94"/>
      <c r="N555" s="94"/>
      <c r="O555" s="94"/>
      <c r="P555" s="94"/>
      <c r="Q555" s="94"/>
      <c r="R555" s="94"/>
      <c r="S555" s="94"/>
      <c r="T555" s="94"/>
      <c r="U555" s="94"/>
      <c r="V555" s="94"/>
      <c r="W555" s="94"/>
      <c r="X555" s="94"/>
      <c r="Y555" s="94"/>
      <c r="Z555" s="94"/>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BA555" s="95"/>
    </row>
    <row r="556" spans="1:53" s="87" customFormat="1">
      <c r="A556" s="90" t="str">
        <f t="shared" si="33"/>
        <v/>
      </c>
      <c r="B556" s="98">
        <v>24</v>
      </c>
      <c r="C556" s="94">
        <v>-1</v>
      </c>
      <c r="D556" s="94" t="s">
        <v>210</v>
      </c>
      <c r="E556" s="94" t="s">
        <v>210</v>
      </c>
      <c r="F556" s="94">
        <v>-6</v>
      </c>
      <c r="G556" s="94">
        <v>2</v>
      </c>
      <c r="H556" s="94" t="s">
        <v>210</v>
      </c>
      <c r="I556" s="94" t="s">
        <v>210</v>
      </c>
      <c r="J556" s="94">
        <v>-4</v>
      </c>
      <c r="K556" s="94">
        <v>7</v>
      </c>
      <c r="L556" s="94" t="s">
        <v>210</v>
      </c>
      <c r="M556" s="94"/>
      <c r="N556" s="94"/>
      <c r="O556" s="94"/>
      <c r="P556" s="94"/>
      <c r="Q556" s="94"/>
      <c r="R556" s="94"/>
      <c r="S556" s="94"/>
      <c r="T556" s="94"/>
      <c r="U556" s="94"/>
      <c r="V556" s="94"/>
      <c r="W556" s="94"/>
      <c r="X556" s="94"/>
      <c r="Y556" s="94"/>
      <c r="Z556" s="94"/>
      <c r="AA556" s="94"/>
      <c r="AB556" s="94"/>
      <c r="AC556" s="94"/>
      <c r="AD556" s="94"/>
      <c r="AE556" s="94"/>
      <c r="AF556" s="94"/>
      <c r="AG556" s="94"/>
      <c r="AH556" s="94"/>
      <c r="AI556" s="94"/>
      <c r="AJ556" s="94"/>
      <c r="AK556" s="94"/>
      <c r="AL556" s="94"/>
      <c r="AM556" s="94"/>
      <c r="AN556" s="94"/>
      <c r="AO556" s="94"/>
      <c r="AP556" s="94"/>
      <c r="AQ556" s="94"/>
      <c r="AR556" s="94"/>
      <c r="AS556" s="94"/>
      <c r="AT556" s="94"/>
      <c r="AU556" s="94"/>
      <c r="AV556" s="94"/>
      <c r="AW556" s="94"/>
      <c r="AX556" s="94"/>
      <c r="AY556" s="94"/>
      <c r="BA556" s="95"/>
    </row>
    <row r="557" spans="1:53" s="87" customFormat="1">
      <c r="A557" s="90" t="str">
        <f t="shared" si="33"/>
        <v/>
      </c>
      <c r="B557" s="98">
        <v>25</v>
      </c>
      <c r="C557" s="94">
        <v>-2</v>
      </c>
      <c r="D557" s="94" t="s">
        <v>210</v>
      </c>
      <c r="E557" s="94" t="s">
        <v>210</v>
      </c>
      <c r="F557" s="94">
        <v>-5</v>
      </c>
      <c r="G557" s="94">
        <v>6</v>
      </c>
      <c r="H557" s="94" t="s">
        <v>210</v>
      </c>
      <c r="I557" s="94" t="s">
        <v>210</v>
      </c>
      <c r="J557" s="94">
        <v>4</v>
      </c>
      <c r="K557" s="94">
        <v>-1</v>
      </c>
      <c r="L557" s="94" t="s">
        <v>210</v>
      </c>
      <c r="M557" s="94"/>
      <c r="N557" s="94"/>
      <c r="O557" s="94"/>
      <c r="P557" s="94"/>
      <c r="Q557" s="94"/>
      <c r="R557" s="94"/>
      <c r="S557" s="94"/>
      <c r="T557" s="94"/>
      <c r="U557" s="94"/>
      <c r="V557" s="94"/>
      <c r="W557" s="94"/>
      <c r="X557" s="94"/>
      <c r="Y557" s="94"/>
      <c r="Z557" s="94"/>
      <c r="AA557" s="94"/>
      <c r="AB557" s="94"/>
      <c r="AC557" s="94"/>
      <c r="AD557" s="94"/>
      <c r="AE557" s="94"/>
      <c r="AF557" s="94"/>
      <c r="AG557" s="94"/>
      <c r="AH557" s="94"/>
      <c r="AI557" s="94"/>
      <c r="AJ557" s="94"/>
      <c r="AK557" s="94"/>
      <c r="AL557" s="94"/>
      <c r="AM557" s="94"/>
      <c r="AN557" s="94"/>
      <c r="AO557" s="94"/>
      <c r="AP557" s="94"/>
      <c r="AQ557" s="94"/>
      <c r="AR557" s="94"/>
      <c r="AS557" s="94"/>
      <c r="AT557" s="94"/>
      <c r="AU557" s="94"/>
      <c r="AV557" s="94"/>
      <c r="AW557" s="94"/>
      <c r="AX557" s="94"/>
      <c r="AY557" s="94"/>
      <c r="BA557" s="95"/>
    </row>
    <row r="558" spans="1:53" s="87" customFormat="1">
      <c r="A558" s="90" t="str">
        <f t="shared" si="33"/>
        <v/>
      </c>
      <c r="B558" s="98">
        <v>26</v>
      </c>
      <c r="C558" s="94">
        <v>7</v>
      </c>
      <c r="D558" s="94" t="s">
        <v>210</v>
      </c>
      <c r="E558" s="94" t="s">
        <v>210</v>
      </c>
      <c r="F558" s="94">
        <v>4</v>
      </c>
      <c r="G558" s="94">
        <v>-2</v>
      </c>
      <c r="H558" s="94" t="s">
        <v>210</v>
      </c>
      <c r="I558" s="94" t="s">
        <v>210</v>
      </c>
      <c r="J558" s="94">
        <v>-5</v>
      </c>
      <c r="K558" s="94">
        <v>1</v>
      </c>
      <c r="L558" s="94" t="s">
        <v>210</v>
      </c>
      <c r="M558" s="94"/>
      <c r="N558" s="94"/>
      <c r="O558" s="94"/>
      <c r="P558" s="94"/>
      <c r="Q558" s="94"/>
      <c r="R558" s="94"/>
      <c r="S558" s="94"/>
      <c r="T558" s="94"/>
      <c r="U558" s="94"/>
      <c r="V558" s="94"/>
      <c r="W558" s="94"/>
      <c r="X558" s="94"/>
      <c r="Y558" s="94"/>
      <c r="Z558" s="94"/>
      <c r="AA558" s="94"/>
      <c r="AB558" s="94"/>
      <c r="AC558" s="94"/>
      <c r="AD558" s="94"/>
      <c r="AE558" s="94"/>
      <c r="AF558" s="94"/>
      <c r="AG558" s="94"/>
      <c r="AH558" s="94"/>
      <c r="AI558" s="94"/>
      <c r="AJ558" s="94"/>
      <c r="AK558" s="94"/>
      <c r="AL558" s="94"/>
      <c r="AM558" s="94"/>
      <c r="AN558" s="94"/>
      <c r="AO558" s="94"/>
      <c r="AP558" s="94"/>
      <c r="AQ558" s="94"/>
      <c r="AR558" s="94"/>
      <c r="AS558" s="94"/>
      <c r="AT558" s="94"/>
      <c r="AU558" s="94"/>
      <c r="AV558" s="94"/>
      <c r="AW558" s="94"/>
      <c r="AX558" s="94"/>
      <c r="AY558" s="94"/>
      <c r="BA558" s="95"/>
    </row>
    <row r="559" spans="1:53" s="87" customFormat="1">
      <c r="A559" s="90" t="str">
        <f t="shared" si="33"/>
        <v/>
      </c>
      <c r="B559" s="269" t="s">
        <v>826</v>
      </c>
      <c r="C559" s="94"/>
      <c r="D559" s="94"/>
      <c r="E559" s="94"/>
      <c r="F559" s="94"/>
      <c r="G559" s="94"/>
      <c r="H559" s="94"/>
      <c r="I559" s="94"/>
      <c r="J559" s="94"/>
      <c r="K559" s="94"/>
      <c r="L559" s="94"/>
      <c r="M559" s="94"/>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94"/>
      <c r="AT559" s="94"/>
      <c r="AU559" s="94"/>
      <c r="AV559" s="94"/>
      <c r="AW559" s="94"/>
      <c r="AX559" s="94"/>
      <c r="AY559" s="94"/>
      <c r="BA559" s="95"/>
    </row>
    <row r="560" spans="1:53" s="87" customFormat="1">
      <c r="A560" s="90">
        <f t="shared" si="33"/>
        <v>560</v>
      </c>
      <c r="B560" s="98" t="s">
        <v>827</v>
      </c>
      <c r="C560" s="94"/>
      <c r="D560" s="94"/>
      <c r="E560" s="94"/>
      <c r="F560" s="94"/>
      <c r="G560" s="94"/>
      <c r="H560" s="94"/>
      <c r="I560" s="94"/>
      <c r="J560" s="94"/>
      <c r="K560" s="94"/>
      <c r="L560" s="94"/>
      <c r="M560" s="94"/>
      <c r="N560" s="94"/>
      <c r="O560" s="94"/>
      <c r="P560" s="94"/>
      <c r="Q560" s="94"/>
      <c r="R560" s="94"/>
      <c r="S560" s="94"/>
      <c r="T560" s="94"/>
      <c r="U560" s="94"/>
      <c r="V560" s="94"/>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94"/>
      <c r="AT560" s="94"/>
      <c r="AU560" s="94"/>
      <c r="AV560" s="94"/>
      <c r="AW560" s="94"/>
      <c r="AX560" s="94"/>
      <c r="AY560" s="94"/>
      <c r="BA560" s="95"/>
    </row>
    <row r="561" spans="1:53" s="87" customFormat="1">
      <c r="A561" s="90" t="str">
        <f t="shared" si="33"/>
        <v/>
      </c>
      <c r="B561" s="98">
        <v>1</v>
      </c>
      <c r="C561" s="94">
        <v>6</v>
      </c>
      <c r="D561" s="94" t="s">
        <v>210</v>
      </c>
      <c r="E561" s="94" t="s">
        <v>210</v>
      </c>
      <c r="F561" s="94">
        <v>-1</v>
      </c>
      <c r="G561" s="94">
        <v>-2</v>
      </c>
      <c r="H561" s="94" t="s">
        <v>210</v>
      </c>
      <c r="I561" s="94" t="s">
        <v>210</v>
      </c>
      <c r="J561" s="94">
        <v>4</v>
      </c>
      <c r="K561" s="94">
        <v>3</v>
      </c>
      <c r="L561" s="94" t="s">
        <v>210</v>
      </c>
      <c r="M561" s="94"/>
      <c r="N561" s="94"/>
      <c r="O561" s="94"/>
      <c r="P561" s="94"/>
      <c r="Q561" s="94"/>
      <c r="R561" s="94"/>
      <c r="S561" s="94"/>
      <c r="T561" s="94"/>
      <c r="U561" s="94"/>
      <c r="V561" s="94"/>
      <c r="W561" s="94"/>
      <c r="X561" s="94"/>
      <c r="Y561" s="94"/>
      <c r="Z561" s="94"/>
      <c r="AA561" s="94"/>
      <c r="AB561" s="94"/>
      <c r="AC561" s="94"/>
      <c r="AD561" s="94"/>
      <c r="AE561" s="94"/>
      <c r="AF561" s="94"/>
      <c r="AG561" s="94"/>
      <c r="AH561" s="94"/>
      <c r="AI561" s="94"/>
      <c r="AJ561" s="94"/>
      <c r="AK561" s="94"/>
      <c r="AL561" s="94"/>
      <c r="AM561" s="94"/>
      <c r="AN561" s="94"/>
      <c r="AO561" s="94"/>
      <c r="AP561" s="94"/>
      <c r="AQ561" s="94"/>
      <c r="AR561" s="94"/>
      <c r="AS561" s="94"/>
      <c r="AT561" s="94"/>
      <c r="AU561" s="94"/>
      <c r="AV561" s="94"/>
      <c r="AW561" s="94"/>
      <c r="AX561" s="94"/>
      <c r="AY561" s="94"/>
      <c r="BA561" s="95"/>
    </row>
    <row r="562" spans="1:53" s="87" customFormat="1">
      <c r="A562" s="90" t="str">
        <f t="shared" si="33"/>
        <v/>
      </c>
      <c r="B562" s="98">
        <v>2</v>
      </c>
      <c r="C562" s="94">
        <v>-2</v>
      </c>
      <c r="D562" s="94" t="s">
        <v>210</v>
      </c>
      <c r="E562" s="94" t="s">
        <v>210</v>
      </c>
      <c r="F562" s="94">
        <v>-5</v>
      </c>
      <c r="G562" s="94">
        <v>6</v>
      </c>
      <c r="H562" s="94" t="s">
        <v>210</v>
      </c>
      <c r="I562" s="94" t="s">
        <v>210</v>
      </c>
      <c r="J562" s="94">
        <v>1</v>
      </c>
      <c r="K562" s="94">
        <v>-3</v>
      </c>
      <c r="L562" s="94" t="s">
        <v>210</v>
      </c>
      <c r="M562" s="94"/>
      <c r="N562" s="94"/>
      <c r="O562" s="94"/>
      <c r="P562" s="94"/>
      <c r="Q562" s="94"/>
      <c r="R562" s="94"/>
      <c r="S562" s="94"/>
      <c r="T562" s="94"/>
      <c r="U562" s="94"/>
      <c r="V562" s="94"/>
      <c r="W562" s="94"/>
      <c r="X562" s="94"/>
      <c r="Y562" s="94"/>
      <c r="Z562" s="94"/>
      <c r="AA562" s="94"/>
      <c r="AB562" s="94"/>
      <c r="AC562" s="94"/>
      <c r="AD562" s="94"/>
      <c r="AE562" s="94"/>
      <c r="AF562" s="94"/>
      <c r="AG562" s="94"/>
      <c r="AH562" s="94"/>
      <c r="AI562" s="94"/>
      <c r="AJ562" s="94"/>
      <c r="AK562" s="94"/>
      <c r="AL562" s="94"/>
      <c r="AM562" s="94"/>
      <c r="AN562" s="94"/>
      <c r="AO562" s="94"/>
      <c r="AP562" s="94"/>
      <c r="AQ562" s="94"/>
      <c r="AR562" s="94"/>
      <c r="AS562" s="94"/>
      <c r="AT562" s="94"/>
      <c r="AU562" s="94"/>
      <c r="AV562" s="94"/>
      <c r="AW562" s="94"/>
      <c r="AX562" s="94"/>
      <c r="AY562" s="94"/>
      <c r="BA562" s="95"/>
    </row>
    <row r="563" spans="1:53" s="87" customFormat="1">
      <c r="A563" s="90" t="str">
        <f t="shared" si="33"/>
        <v/>
      </c>
      <c r="B563" s="98">
        <v>3</v>
      </c>
      <c r="C563" s="94">
        <v>-3</v>
      </c>
      <c r="D563" s="94" t="s">
        <v>210</v>
      </c>
      <c r="E563" s="94" t="s">
        <v>210</v>
      </c>
      <c r="F563" s="94">
        <v>5</v>
      </c>
      <c r="G563" s="94">
        <v>2</v>
      </c>
      <c r="H563" s="94" t="s">
        <v>210</v>
      </c>
      <c r="I563" s="94" t="s">
        <v>210</v>
      </c>
      <c r="J563" s="94">
        <v>-7</v>
      </c>
      <c r="K563" s="94">
        <v>-4</v>
      </c>
      <c r="L563" s="94" t="s">
        <v>210</v>
      </c>
      <c r="M563" s="94"/>
      <c r="N563" s="94"/>
      <c r="O563" s="94"/>
      <c r="P563" s="94"/>
      <c r="Q563" s="94"/>
      <c r="R563" s="94"/>
      <c r="S563" s="94"/>
      <c r="T563" s="94"/>
      <c r="U563" s="94"/>
      <c r="V563" s="94"/>
      <c r="W563" s="94"/>
      <c r="X563" s="94"/>
      <c r="Y563" s="94"/>
      <c r="Z563" s="94"/>
      <c r="AA563" s="94"/>
      <c r="AB563" s="94"/>
      <c r="AC563" s="94"/>
      <c r="AD563" s="94"/>
      <c r="AE563" s="94"/>
      <c r="AF563" s="94"/>
      <c r="AG563" s="94"/>
      <c r="AH563" s="94"/>
      <c r="AI563" s="94"/>
      <c r="AJ563" s="94"/>
      <c r="AK563" s="94"/>
      <c r="AL563" s="94"/>
      <c r="AM563" s="94"/>
      <c r="AN563" s="94"/>
      <c r="AO563" s="94"/>
      <c r="AP563" s="94"/>
      <c r="AQ563" s="94"/>
      <c r="AR563" s="94"/>
      <c r="AS563" s="94"/>
      <c r="AT563" s="94"/>
      <c r="AU563" s="94"/>
      <c r="AV563" s="94"/>
      <c r="AW563" s="94"/>
      <c r="AX563" s="94"/>
      <c r="AY563" s="94"/>
      <c r="BA563" s="95"/>
    </row>
    <row r="564" spans="1:53" s="87" customFormat="1">
      <c r="A564" s="90" t="str">
        <f t="shared" si="33"/>
        <v/>
      </c>
      <c r="B564" s="98">
        <v>4</v>
      </c>
      <c r="C564" s="94">
        <v>-6</v>
      </c>
      <c r="D564" s="94" t="s">
        <v>210</v>
      </c>
      <c r="E564" s="94" t="s">
        <v>210</v>
      </c>
      <c r="F564" s="94">
        <v>-7</v>
      </c>
      <c r="G564" s="94">
        <v>3</v>
      </c>
      <c r="H564" s="94" t="s">
        <v>210</v>
      </c>
      <c r="I564" s="94" t="s">
        <v>210</v>
      </c>
      <c r="J564" s="94">
        <v>-1</v>
      </c>
      <c r="K564" s="94">
        <v>4</v>
      </c>
      <c r="L564" s="94" t="s">
        <v>210</v>
      </c>
      <c r="M564" s="94"/>
      <c r="N564" s="94"/>
      <c r="O564" s="94"/>
      <c r="P564" s="94"/>
      <c r="Q564" s="94"/>
      <c r="R564" s="94"/>
      <c r="S564" s="94"/>
      <c r="T564" s="94"/>
      <c r="U564" s="94"/>
      <c r="V564" s="94"/>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c r="AW564" s="94"/>
      <c r="AX564" s="94"/>
      <c r="AY564" s="94"/>
      <c r="BA564" s="95"/>
    </row>
    <row r="565" spans="1:53" s="87" customFormat="1">
      <c r="A565" s="90" t="str">
        <f t="shared" si="33"/>
        <v/>
      </c>
      <c r="B565" s="98">
        <v>5</v>
      </c>
      <c r="C565" s="94">
        <v>3</v>
      </c>
      <c r="D565" s="94" t="s">
        <v>210</v>
      </c>
      <c r="E565" s="94" t="s">
        <v>210</v>
      </c>
      <c r="F565" s="94">
        <v>7</v>
      </c>
      <c r="G565" s="94">
        <v>-6</v>
      </c>
      <c r="H565" s="94" t="s">
        <v>210</v>
      </c>
      <c r="I565" s="94" t="s">
        <v>210</v>
      </c>
      <c r="J565" s="94">
        <v>-4</v>
      </c>
      <c r="K565" s="94">
        <v>5</v>
      </c>
      <c r="L565" s="94" t="s">
        <v>210</v>
      </c>
      <c r="M565" s="94"/>
      <c r="N565" s="94"/>
      <c r="O565" s="94"/>
      <c r="P565" s="94"/>
      <c r="Q565" s="94"/>
      <c r="R565" s="94"/>
      <c r="S565" s="94"/>
      <c r="T565" s="94"/>
      <c r="U565" s="94"/>
      <c r="V565" s="94"/>
      <c r="W565" s="94"/>
      <c r="X565" s="94"/>
      <c r="Y565" s="94"/>
      <c r="Z565" s="94"/>
      <c r="AA565" s="94"/>
      <c r="AB565" s="94"/>
      <c r="AC565" s="94"/>
      <c r="AD565" s="94"/>
      <c r="AE565" s="94"/>
      <c r="AF565" s="94"/>
      <c r="AG565" s="94"/>
      <c r="AH565" s="94"/>
      <c r="AI565" s="94"/>
      <c r="AJ565" s="94"/>
      <c r="AK565" s="94"/>
      <c r="AL565" s="94"/>
      <c r="AM565" s="94"/>
      <c r="AN565" s="94"/>
      <c r="AO565" s="94"/>
      <c r="AP565" s="94"/>
      <c r="AQ565" s="94"/>
      <c r="AR565" s="94"/>
      <c r="AS565" s="94"/>
      <c r="AT565" s="94"/>
      <c r="AU565" s="94"/>
      <c r="AV565" s="94"/>
      <c r="AW565" s="94"/>
      <c r="AX565" s="94"/>
      <c r="AY565" s="94"/>
      <c r="BA565" s="95"/>
    </row>
    <row r="566" spans="1:53" s="87" customFormat="1">
      <c r="A566" s="90" t="str">
        <f t="shared" si="33"/>
        <v/>
      </c>
      <c r="B566" s="98">
        <v>6</v>
      </c>
      <c r="C566" s="94">
        <v>2</v>
      </c>
      <c r="D566" s="94" t="s">
        <v>210</v>
      </c>
      <c r="E566" s="94" t="s">
        <v>210</v>
      </c>
      <c r="F566" s="94">
        <v>1</v>
      </c>
      <c r="G566" s="94">
        <v>-3</v>
      </c>
      <c r="H566" s="94" t="s">
        <v>210</v>
      </c>
      <c r="I566" s="94" t="s">
        <v>210</v>
      </c>
      <c r="J566" s="94">
        <v>7</v>
      </c>
      <c r="K566" s="94">
        <v>-5</v>
      </c>
      <c r="L566" s="94" t="s">
        <v>210</v>
      </c>
      <c r="M566" s="94"/>
      <c r="N566" s="94"/>
      <c r="O566" s="94"/>
      <c r="P566" s="94"/>
      <c r="Q566" s="94"/>
      <c r="R566" s="94"/>
      <c r="S566" s="94"/>
      <c r="T566" s="94"/>
      <c r="U566" s="94"/>
      <c r="V566" s="94"/>
      <c r="W566" s="94"/>
      <c r="X566" s="94"/>
      <c r="Y566" s="94"/>
      <c r="Z566" s="94"/>
      <c r="AA566" s="94"/>
      <c r="AB566" s="94"/>
      <c r="AC566" s="94"/>
      <c r="AD566" s="94"/>
      <c r="AE566" s="94"/>
      <c r="AF566" s="94"/>
      <c r="AG566" s="94"/>
      <c r="AH566" s="94"/>
      <c r="AI566" s="94"/>
      <c r="AJ566" s="94"/>
      <c r="AK566" s="94"/>
      <c r="AL566" s="94"/>
      <c r="AM566" s="94"/>
      <c r="AN566" s="94"/>
      <c r="AO566" s="94"/>
      <c r="AP566" s="94"/>
      <c r="AQ566" s="94"/>
      <c r="AR566" s="94"/>
      <c r="AS566" s="94"/>
      <c r="AT566" s="94"/>
      <c r="AU566" s="94"/>
      <c r="AV566" s="94"/>
      <c r="AW566" s="94"/>
      <c r="AX566" s="94"/>
      <c r="AY566" s="94"/>
      <c r="BA566" s="95"/>
    </row>
    <row r="567" spans="1:53" s="87" customFormat="1">
      <c r="A567" s="90" t="str">
        <f t="shared" si="33"/>
        <v/>
      </c>
      <c r="B567" s="98">
        <v>7</v>
      </c>
      <c r="C567" s="94" t="s">
        <v>210</v>
      </c>
      <c r="D567" s="94">
        <v>6</v>
      </c>
      <c r="E567" s="94">
        <v>-1</v>
      </c>
      <c r="F567" s="94" t="s">
        <v>210</v>
      </c>
      <c r="G567" s="94" t="s">
        <v>210</v>
      </c>
      <c r="H567" s="94">
        <v>-2</v>
      </c>
      <c r="I567" s="94">
        <v>4</v>
      </c>
      <c r="J567" s="94" t="s">
        <v>210</v>
      </c>
      <c r="K567" s="94" t="s">
        <v>210</v>
      </c>
      <c r="L567" s="94">
        <v>3</v>
      </c>
      <c r="M567" s="94"/>
      <c r="N567" s="94"/>
      <c r="O567" s="94"/>
      <c r="P567" s="94"/>
      <c r="Q567" s="94"/>
      <c r="R567" s="94"/>
      <c r="S567" s="94"/>
      <c r="T567" s="94"/>
      <c r="U567" s="94"/>
      <c r="V567" s="94"/>
      <c r="W567" s="94"/>
      <c r="X567" s="94"/>
      <c r="Y567" s="94"/>
      <c r="Z567" s="94"/>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c r="AW567" s="94"/>
      <c r="AX567" s="94"/>
      <c r="AY567" s="94"/>
      <c r="BA567" s="95"/>
    </row>
    <row r="568" spans="1:53" s="87" customFormat="1">
      <c r="A568" s="90" t="str">
        <f t="shared" si="33"/>
        <v/>
      </c>
      <c r="B568" s="98">
        <v>8</v>
      </c>
      <c r="C568" s="94" t="s">
        <v>210</v>
      </c>
      <c r="D568" s="94">
        <v>-2</v>
      </c>
      <c r="E568" s="94">
        <v>-5</v>
      </c>
      <c r="F568" s="94" t="s">
        <v>210</v>
      </c>
      <c r="G568" s="94" t="s">
        <v>210</v>
      </c>
      <c r="H568" s="94">
        <v>6</v>
      </c>
      <c r="I568" s="94">
        <v>1</v>
      </c>
      <c r="J568" s="94" t="s">
        <v>210</v>
      </c>
      <c r="K568" s="94" t="s">
        <v>210</v>
      </c>
      <c r="L568" s="94">
        <v>-3</v>
      </c>
      <c r="M568" s="94"/>
      <c r="N568" s="94"/>
      <c r="O568" s="94"/>
      <c r="P568" s="94"/>
      <c r="Q568" s="94"/>
      <c r="R568" s="94"/>
      <c r="S568" s="94"/>
      <c r="T568" s="94"/>
      <c r="U568" s="94"/>
      <c r="V568" s="94"/>
      <c r="W568" s="94"/>
      <c r="X568" s="94"/>
      <c r="Y568" s="94"/>
      <c r="Z568" s="94"/>
      <c r="AA568" s="94"/>
      <c r="AB568" s="94"/>
      <c r="AC568" s="94"/>
      <c r="AD568" s="94"/>
      <c r="AE568" s="94"/>
      <c r="AF568" s="94"/>
      <c r="AG568" s="94"/>
      <c r="AH568" s="94"/>
      <c r="AI568" s="94"/>
      <c r="AJ568" s="94"/>
      <c r="AK568" s="94"/>
      <c r="AL568" s="94"/>
      <c r="AM568" s="94"/>
      <c r="AN568" s="94"/>
      <c r="AO568" s="94"/>
      <c r="AP568" s="94"/>
      <c r="AQ568" s="94"/>
      <c r="AR568" s="94"/>
      <c r="AS568" s="94"/>
      <c r="AT568" s="94"/>
      <c r="AU568" s="94"/>
      <c r="AV568" s="94"/>
      <c r="AW568" s="94"/>
      <c r="AX568" s="94"/>
      <c r="AY568" s="94"/>
      <c r="BA568" s="95"/>
    </row>
    <row r="569" spans="1:53" s="87" customFormat="1">
      <c r="A569" s="90" t="str">
        <f t="shared" si="33"/>
        <v/>
      </c>
      <c r="B569" s="98">
        <v>9</v>
      </c>
      <c r="C569" s="94" t="s">
        <v>210</v>
      </c>
      <c r="D569" s="94">
        <v>-3</v>
      </c>
      <c r="E569" s="94">
        <v>5</v>
      </c>
      <c r="F569" s="94" t="s">
        <v>210</v>
      </c>
      <c r="G569" s="94" t="s">
        <v>210</v>
      </c>
      <c r="H569" s="94">
        <v>2</v>
      </c>
      <c r="I569" s="94">
        <v>-7</v>
      </c>
      <c r="J569" s="94" t="s">
        <v>210</v>
      </c>
      <c r="K569" s="94" t="s">
        <v>210</v>
      </c>
      <c r="L569" s="94">
        <v>-4</v>
      </c>
      <c r="M569" s="94"/>
      <c r="N569" s="94"/>
      <c r="O569" s="94"/>
      <c r="P569" s="94"/>
      <c r="Q569" s="94"/>
      <c r="R569" s="94"/>
      <c r="S569" s="94"/>
      <c r="T569" s="94"/>
      <c r="U569" s="94"/>
      <c r="V569" s="94"/>
      <c r="W569" s="94"/>
      <c r="X569" s="94"/>
      <c r="Y569" s="94"/>
      <c r="Z569" s="94"/>
      <c r="AA569" s="94"/>
      <c r="AB569" s="94"/>
      <c r="AC569" s="94"/>
      <c r="AD569" s="94"/>
      <c r="AE569" s="94"/>
      <c r="AF569" s="94"/>
      <c r="AG569" s="94"/>
      <c r="AH569" s="94"/>
      <c r="AI569" s="94"/>
      <c r="AJ569" s="94"/>
      <c r="AK569" s="94"/>
      <c r="AL569" s="94"/>
      <c r="AM569" s="94"/>
      <c r="AN569" s="94"/>
      <c r="AO569" s="94"/>
      <c r="AP569" s="94"/>
      <c r="AQ569" s="94"/>
      <c r="AR569" s="94"/>
      <c r="AS569" s="94"/>
      <c r="AT569" s="94"/>
      <c r="AU569" s="94"/>
      <c r="AV569" s="94"/>
      <c r="AW569" s="94"/>
      <c r="AX569" s="94"/>
      <c r="AY569" s="94"/>
      <c r="BA569" s="95"/>
    </row>
    <row r="570" spans="1:53" s="87" customFormat="1">
      <c r="A570" s="90" t="str">
        <f t="shared" si="33"/>
        <v/>
      </c>
      <c r="B570" s="98">
        <v>10</v>
      </c>
      <c r="C570" s="94" t="s">
        <v>210</v>
      </c>
      <c r="D570" s="94">
        <v>-6</v>
      </c>
      <c r="E570" s="94">
        <v>-7</v>
      </c>
      <c r="F570" s="94" t="s">
        <v>210</v>
      </c>
      <c r="G570" s="94" t="s">
        <v>210</v>
      </c>
      <c r="H570" s="94">
        <v>3</v>
      </c>
      <c r="I570" s="94">
        <v>-1</v>
      </c>
      <c r="J570" s="94" t="s">
        <v>210</v>
      </c>
      <c r="K570" s="94" t="s">
        <v>210</v>
      </c>
      <c r="L570" s="94">
        <v>4</v>
      </c>
      <c r="M570" s="94"/>
      <c r="N570" s="94"/>
      <c r="O570" s="94"/>
      <c r="P570" s="94"/>
      <c r="Q570" s="94"/>
      <c r="R570" s="94"/>
      <c r="S570" s="94"/>
      <c r="T570" s="94"/>
      <c r="U570" s="94"/>
      <c r="V570" s="94"/>
      <c r="W570" s="94"/>
      <c r="X570" s="94"/>
      <c r="Y570" s="94"/>
      <c r="Z570" s="94"/>
      <c r="AA570" s="94"/>
      <c r="AB570" s="94"/>
      <c r="AC570" s="94"/>
      <c r="AD570" s="94"/>
      <c r="AE570" s="94"/>
      <c r="AF570" s="94"/>
      <c r="AG570" s="94"/>
      <c r="AH570" s="94"/>
      <c r="AI570" s="94"/>
      <c r="AJ570" s="94"/>
      <c r="AK570" s="94"/>
      <c r="AL570" s="94"/>
      <c r="AM570" s="94"/>
      <c r="AN570" s="94"/>
      <c r="AO570" s="94"/>
      <c r="AP570" s="94"/>
      <c r="AQ570" s="94"/>
      <c r="AR570" s="94"/>
      <c r="AS570" s="94"/>
      <c r="AT570" s="94"/>
      <c r="AU570" s="94"/>
      <c r="AV570" s="94"/>
      <c r="AW570" s="94"/>
      <c r="AX570" s="94"/>
      <c r="AY570" s="94"/>
      <c r="BA570" s="95"/>
    </row>
    <row r="571" spans="1:53" s="87" customFormat="1">
      <c r="A571" s="90" t="str">
        <f t="shared" si="33"/>
        <v/>
      </c>
      <c r="B571" s="98">
        <v>11</v>
      </c>
      <c r="C571" s="94" t="s">
        <v>210</v>
      </c>
      <c r="D571" s="94">
        <v>3</v>
      </c>
      <c r="E571" s="94">
        <v>7</v>
      </c>
      <c r="F571" s="94" t="s">
        <v>210</v>
      </c>
      <c r="G571" s="94" t="s">
        <v>210</v>
      </c>
      <c r="H571" s="94">
        <v>-6</v>
      </c>
      <c r="I571" s="94">
        <v>-4</v>
      </c>
      <c r="J571" s="94" t="s">
        <v>210</v>
      </c>
      <c r="K571" s="94" t="s">
        <v>210</v>
      </c>
      <c r="L571" s="94">
        <v>5</v>
      </c>
      <c r="M571" s="94"/>
      <c r="N571" s="94"/>
      <c r="O571" s="94"/>
      <c r="P571" s="94"/>
      <c r="Q571" s="94"/>
      <c r="R571" s="94"/>
      <c r="S571" s="94"/>
      <c r="T571" s="94"/>
      <c r="U571" s="94"/>
      <c r="V571" s="94"/>
      <c r="W571" s="94"/>
      <c r="X571" s="94"/>
      <c r="Y571" s="94"/>
      <c r="Z571" s="94"/>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c r="AW571" s="94"/>
      <c r="AX571" s="94"/>
      <c r="AY571" s="94"/>
      <c r="BA571" s="95"/>
    </row>
    <row r="572" spans="1:53" s="87" customFormat="1">
      <c r="A572" s="90" t="str">
        <f t="shared" si="33"/>
        <v/>
      </c>
      <c r="B572" s="98">
        <v>12</v>
      </c>
      <c r="C572" s="94" t="s">
        <v>210</v>
      </c>
      <c r="D572" s="94">
        <v>2</v>
      </c>
      <c r="E572" s="94">
        <v>1</v>
      </c>
      <c r="F572" s="94" t="s">
        <v>210</v>
      </c>
      <c r="G572" s="94" t="s">
        <v>210</v>
      </c>
      <c r="H572" s="94">
        <v>-3</v>
      </c>
      <c r="I572" s="94">
        <v>7</v>
      </c>
      <c r="J572" s="94" t="s">
        <v>210</v>
      </c>
      <c r="K572" s="94" t="s">
        <v>210</v>
      </c>
      <c r="L572" s="94">
        <v>-5</v>
      </c>
      <c r="M572" s="94"/>
      <c r="N572" s="94"/>
      <c r="O572" s="94"/>
      <c r="P572" s="94"/>
      <c r="Q572" s="94"/>
      <c r="R572" s="94"/>
      <c r="S572" s="94"/>
      <c r="T572" s="94"/>
      <c r="U572" s="94"/>
      <c r="V572" s="94"/>
      <c r="W572" s="94"/>
      <c r="X572" s="94"/>
      <c r="Y572" s="94"/>
      <c r="Z572" s="94"/>
      <c r="AA572" s="94"/>
      <c r="AB572" s="94"/>
      <c r="AC572" s="94"/>
      <c r="AD572" s="94"/>
      <c r="AE572" s="94"/>
      <c r="AF572" s="94"/>
      <c r="AG572" s="94"/>
      <c r="AH572" s="94"/>
      <c r="AI572" s="94"/>
      <c r="AJ572" s="94"/>
      <c r="AK572" s="94"/>
      <c r="AL572" s="94"/>
      <c r="AM572" s="94"/>
      <c r="AN572" s="94"/>
      <c r="AO572" s="94"/>
      <c r="AP572" s="94"/>
      <c r="AQ572" s="94"/>
      <c r="AR572" s="94"/>
      <c r="AS572" s="94"/>
      <c r="AT572" s="94"/>
      <c r="AU572" s="94"/>
      <c r="AV572" s="94"/>
      <c r="AW572" s="94"/>
      <c r="AX572" s="94"/>
      <c r="AY572" s="94"/>
      <c r="BA572" s="95"/>
    </row>
    <row r="573" spans="1:53" s="87" customFormat="1">
      <c r="A573" s="90" t="str">
        <f t="shared" si="33"/>
        <v/>
      </c>
      <c r="B573" s="98">
        <v>13</v>
      </c>
      <c r="C573" s="94">
        <v>4</v>
      </c>
      <c r="D573" s="94" t="s">
        <v>210</v>
      </c>
      <c r="E573" s="94" t="s">
        <v>210</v>
      </c>
      <c r="F573" s="94">
        <v>-6</v>
      </c>
      <c r="G573" s="94">
        <v>-7</v>
      </c>
      <c r="H573" s="94" t="s">
        <v>210</v>
      </c>
      <c r="I573" s="94" t="s">
        <v>210</v>
      </c>
      <c r="J573" s="94">
        <v>3</v>
      </c>
      <c r="K573" s="94">
        <v>2</v>
      </c>
      <c r="L573" s="94" t="s">
        <v>210</v>
      </c>
      <c r="M573" s="94"/>
      <c r="N573" s="94"/>
      <c r="O573" s="94"/>
      <c r="P573" s="94"/>
      <c r="Q573" s="94"/>
      <c r="R573" s="94"/>
      <c r="S573" s="94"/>
      <c r="T573" s="94"/>
      <c r="U573" s="94"/>
      <c r="V573" s="94"/>
      <c r="W573" s="94"/>
      <c r="X573" s="94"/>
      <c r="Y573" s="94"/>
      <c r="Z573" s="94"/>
      <c r="AA573" s="94"/>
      <c r="AB573" s="94"/>
      <c r="AC573" s="94"/>
      <c r="AD573" s="94"/>
      <c r="AE573" s="94"/>
      <c r="AF573" s="94"/>
      <c r="AG573" s="94"/>
      <c r="AH573" s="94"/>
      <c r="AI573" s="94"/>
      <c r="AJ573" s="94"/>
      <c r="AK573" s="94"/>
      <c r="AL573" s="94"/>
      <c r="AM573" s="94"/>
      <c r="AN573" s="94"/>
      <c r="AO573" s="94"/>
      <c r="AP573" s="94"/>
      <c r="AQ573" s="94"/>
      <c r="AR573" s="94"/>
      <c r="AS573" s="94"/>
      <c r="AT573" s="94"/>
      <c r="AU573" s="94"/>
      <c r="AV573" s="94"/>
      <c r="AW573" s="94"/>
      <c r="AX573" s="94"/>
      <c r="AY573" s="94"/>
      <c r="BA573" s="95"/>
    </row>
    <row r="574" spans="1:53" s="87" customFormat="1">
      <c r="A574" s="90" t="str">
        <f t="shared" si="33"/>
        <v/>
      </c>
      <c r="B574" s="98">
        <v>14</v>
      </c>
      <c r="C574" s="94">
        <v>-7</v>
      </c>
      <c r="D574" s="94" t="s">
        <v>210</v>
      </c>
      <c r="E574" s="94" t="s">
        <v>210</v>
      </c>
      <c r="F574" s="94">
        <v>-3</v>
      </c>
      <c r="G574" s="94">
        <v>1</v>
      </c>
      <c r="H574" s="94" t="s">
        <v>210</v>
      </c>
      <c r="I574" s="94" t="s">
        <v>210</v>
      </c>
      <c r="J574" s="94">
        <v>5</v>
      </c>
      <c r="K574" s="94">
        <v>-2</v>
      </c>
      <c r="L574" s="94" t="s">
        <v>210</v>
      </c>
      <c r="M574" s="94"/>
      <c r="N574" s="94"/>
      <c r="O574" s="94"/>
      <c r="P574" s="94"/>
      <c r="Q574" s="94"/>
      <c r="R574" s="94"/>
      <c r="S574" s="94"/>
      <c r="T574" s="94"/>
      <c r="U574" s="94"/>
      <c r="V574" s="94"/>
      <c r="W574" s="94"/>
      <c r="X574" s="94"/>
      <c r="Y574" s="94"/>
      <c r="Z574" s="94"/>
      <c r="AA574" s="94"/>
      <c r="AB574" s="94"/>
      <c r="AC574" s="94"/>
      <c r="AD574" s="94"/>
      <c r="AE574" s="94"/>
      <c r="AF574" s="94"/>
      <c r="AG574" s="94"/>
      <c r="AH574" s="94"/>
      <c r="AI574" s="94"/>
      <c r="AJ574" s="94"/>
      <c r="AK574" s="94"/>
      <c r="AL574" s="94"/>
      <c r="AM574" s="94"/>
      <c r="AN574" s="94"/>
      <c r="AO574" s="94"/>
      <c r="AP574" s="94"/>
      <c r="AQ574" s="94"/>
      <c r="AR574" s="94"/>
      <c r="AS574" s="94"/>
      <c r="AT574" s="94"/>
      <c r="AU574" s="94"/>
      <c r="AV574" s="94"/>
      <c r="AW574" s="94"/>
      <c r="AX574" s="94"/>
      <c r="AY574" s="94"/>
      <c r="BA574" s="95"/>
    </row>
    <row r="575" spans="1:53" s="87" customFormat="1">
      <c r="A575" s="90" t="str">
        <f t="shared" si="33"/>
        <v/>
      </c>
      <c r="B575" s="98">
        <v>15</v>
      </c>
      <c r="C575" s="94">
        <v>5</v>
      </c>
      <c r="D575" s="94" t="s">
        <v>210</v>
      </c>
      <c r="E575" s="94" t="s">
        <v>210</v>
      </c>
      <c r="F575" s="94">
        <v>4</v>
      </c>
      <c r="G575" s="94">
        <v>-1</v>
      </c>
      <c r="H575" s="94" t="s">
        <v>210</v>
      </c>
      <c r="I575" s="94" t="s">
        <v>210</v>
      </c>
      <c r="J575" s="94">
        <v>-3</v>
      </c>
      <c r="K575" s="94">
        <v>6</v>
      </c>
      <c r="L575" s="94" t="s">
        <v>210</v>
      </c>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BA575" s="95"/>
    </row>
    <row r="576" spans="1:53" s="87" customFormat="1">
      <c r="A576" s="90" t="str">
        <f t="shared" si="33"/>
        <v/>
      </c>
      <c r="B576" s="98">
        <v>16</v>
      </c>
      <c r="C576" s="94">
        <v>-1</v>
      </c>
      <c r="D576" s="94" t="s">
        <v>210</v>
      </c>
      <c r="E576" s="94" t="s">
        <v>210</v>
      </c>
      <c r="F576" s="94">
        <v>2</v>
      </c>
      <c r="G576" s="94">
        <v>7</v>
      </c>
      <c r="H576" s="94" t="s">
        <v>210</v>
      </c>
      <c r="I576" s="94" t="s">
        <v>210</v>
      </c>
      <c r="J576" s="94">
        <v>-5</v>
      </c>
      <c r="K576" s="94">
        <v>-6</v>
      </c>
      <c r="L576" s="94" t="s">
        <v>210</v>
      </c>
      <c r="M576" s="94"/>
      <c r="N576" s="94"/>
      <c r="O576" s="94"/>
      <c r="P576" s="94"/>
      <c r="Q576" s="94"/>
      <c r="R576" s="94"/>
      <c r="S576" s="94"/>
      <c r="T576" s="94"/>
      <c r="U576" s="94"/>
      <c r="V576" s="94"/>
      <c r="W576" s="94"/>
      <c r="X576" s="94"/>
      <c r="Y576" s="94"/>
      <c r="Z576" s="94"/>
      <c r="AA576" s="94"/>
      <c r="AB576" s="94"/>
      <c r="AC576" s="94"/>
      <c r="AD576" s="94"/>
      <c r="AE576" s="94"/>
      <c r="AF576" s="94"/>
      <c r="AG576" s="94"/>
      <c r="AH576" s="94"/>
      <c r="AI576" s="94"/>
      <c r="AJ576" s="94"/>
      <c r="AK576" s="94"/>
      <c r="AL576" s="94"/>
      <c r="AM576" s="94"/>
      <c r="AN576" s="94"/>
      <c r="AO576" s="94"/>
      <c r="AP576" s="94"/>
      <c r="AQ576" s="94"/>
      <c r="AR576" s="94"/>
      <c r="AS576" s="94"/>
      <c r="AT576" s="94"/>
      <c r="AU576" s="94"/>
      <c r="AV576" s="94"/>
      <c r="AW576" s="94"/>
      <c r="AX576" s="94"/>
      <c r="AY576" s="94"/>
      <c r="BA576" s="95"/>
    </row>
    <row r="577" spans="1:53" s="87" customFormat="1">
      <c r="A577" s="90" t="str">
        <f t="shared" si="33"/>
        <v/>
      </c>
      <c r="B577" s="98">
        <v>17</v>
      </c>
      <c r="C577" s="94">
        <v>-4</v>
      </c>
      <c r="D577" s="94" t="s">
        <v>210</v>
      </c>
      <c r="E577" s="94" t="s">
        <v>210</v>
      </c>
      <c r="F577" s="94">
        <v>3</v>
      </c>
      <c r="G577" s="94">
        <v>5</v>
      </c>
      <c r="H577" s="94" t="s">
        <v>210</v>
      </c>
      <c r="I577" s="94" t="s">
        <v>210</v>
      </c>
      <c r="J577" s="94">
        <v>-6</v>
      </c>
      <c r="K577" s="94">
        <v>-1</v>
      </c>
      <c r="L577" s="94" t="s">
        <v>210</v>
      </c>
      <c r="M577" s="94"/>
      <c r="N577" s="94"/>
      <c r="O577" s="94"/>
      <c r="P577" s="94"/>
      <c r="Q577" s="94"/>
      <c r="R577" s="94"/>
      <c r="S577" s="94"/>
      <c r="T577" s="94"/>
      <c r="U577" s="94"/>
      <c r="V577" s="94"/>
      <c r="W577" s="94"/>
      <c r="X577" s="94"/>
      <c r="Y577" s="94"/>
      <c r="Z577" s="94"/>
      <c r="AA577" s="94"/>
      <c r="AB577" s="94"/>
      <c r="AC577" s="94"/>
      <c r="AD577" s="94"/>
      <c r="AE577" s="94"/>
      <c r="AF577" s="94"/>
      <c r="AG577" s="94"/>
      <c r="AH577" s="94"/>
      <c r="AI577" s="94"/>
      <c r="AJ577" s="94"/>
      <c r="AK577" s="94"/>
      <c r="AL577" s="94"/>
      <c r="AM577" s="94"/>
      <c r="AN577" s="94"/>
      <c r="AO577" s="94"/>
      <c r="AP577" s="94"/>
      <c r="AQ577" s="94"/>
      <c r="AR577" s="94"/>
      <c r="AS577" s="94"/>
      <c r="AT577" s="94"/>
      <c r="AU577" s="94"/>
      <c r="AV577" s="94"/>
      <c r="AW577" s="94"/>
      <c r="AX577" s="94"/>
      <c r="AY577" s="94"/>
      <c r="BA577" s="95"/>
    </row>
    <row r="578" spans="1:53" s="87" customFormat="1">
      <c r="A578" s="90" t="str">
        <f t="shared" si="33"/>
        <v/>
      </c>
      <c r="B578" s="98">
        <v>18</v>
      </c>
      <c r="C578" s="94">
        <v>7</v>
      </c>
      <c r="D578" s="94" t="s">
        <v>210</v>
      </c>
      <c r="E578" s="94" t="s">
        <v>210</v>
      </c>
      <c r="F578" s="94">
        <v>6</v>
      </c>
      <c r="G578" s="94">
        <v>-4</v>
      </c>
      <c r="H578" s="94" t="s">
        <v>210</v>
      </c>
      <c r="I578" s="94" t="s">
        <v>210</v>
      </c>
      <c r="J578" s="94">
        <v>-2</v>
      </c>
      <c r="K578" s="94">
        <v>1</v>
      </c>
      <c r="L578" s="94" t="s">
        <v>210</v>
      </c>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BA578" s="95"/>
    </row>
    <row r="579" spans="1:53" s="87" customFormat="1">
      <c r="A579" s="90" t="str">
        <f t="shared" si="33"/>
        <v/>
      </c>
      <c r="B579" s="98">
        <v>19</v>
      </c>
      <c r="C579" s="94">
        <v>-5</v>
      </c>
      <c r="D579" s="94" t="s">
        <v>210</v>
      </c>
      <c r="E579" s="94" t="s">
        <v>210</v>
      </c>
      <c r="F579" s="94">
        <v>-2</v>
      </c>
      <c r="G579" s="94">
        <v>4</v>
      </c>
      <c r="H579" s="94" t="s">
        <v>210</v>
      </c>
      <c r="I579" s="94" t="s">
        <v>210</v>
      </c>
      <c r="J579" s="94">
        <v>6</v>
      </c>
      <c r="K579" s="94">
        <v>-7</v>
      </c>
      <c r="L579" s="94" t="s">
        <v>210</v>
      </c>
      <c r="M579" s="94"/>
      <c r="N579" s="94"/>
      <c r="O579" s="94"/>
      <c r="P579" s="94"/>
      <c r="Q579" s="94"/>
      <c r="R579" s="94"/>
      <c r="S579" s="94"/>
      <c r="T579" s="94"/>
      <c r="U579" s="94"/>
      <c r="V579" s="94"/>
      <c r="W579" s="94"/>
      <c r="X579" s="94"/>
      <c r="Y579" s="94"/>
      <c r="Z579" s="94"/>
      <c r="AA579" s="94"/>
      <c r="AB579" s="94"/>
      <c r="AC579" s="94"/>
      <c r="AD579" s="94"/>
      <c r="AE579" s="94"/>
      <c r="AF579" s="94"/>
      <c r="AG579" s="94"/>
      <c r="AH579" s="94"/>
      <c r="AI579" s="94"/>
      <c r="AJ579" s="94"/>
      <c r="AK579" s="94"/>
      <c r="AL579" s="94"/>
      <c r="AM579" s="94"/>
      <c r="AN579" s="94"/>
      <c r="AO579" s="94"/>
      <c r="AP579" s="94"/>
      <c r="AQ579" s="94"/>
      <c r="AR579" s="94"/>
      <c r="AS579" s="94"/>
      <c r="AT579" s="94"/>
      <c r="AU579" s="94"/>
      <c r="AV579" s="94"/>
      <c r="AW579" s="94"/>
      <c r="AX579" s="94"/>
      <c r="AY579" s="94"/>
      <c r="BA579" s="95"/>
    </row>
    <row r="580" spans="1:53" s="87" customFormat="1">
      <c r="A580" s="90" t="str">
        <f t="shared" si="33"/>
        <v/>
      </c>
      <c r="B580" s="98">
        <v>20</v>
      </c>
      <c r="C580" s="94">
        <v>1</v>
      </c>
      <c r="D580" s="94" t="s">
        <v>210</v>
      </c>
      <c r="E580" s="94" t="s">
        <v>210</v>
      </c>
      <c r="F580" s="94">
        <v>-4</v>
      </c>
      <c r="G580" s="94">
        <v>-5</v>
      </c>
      <c r="H580" s="94" t="s">
        <v>210</v>
      </c>
      <c r="I580" s="94" t="s">
        <v>210</v>
      </c>
      <c r="J580" s="94">
        <v>2</v>
      </c>
      <c r="K580" s="94">
        <v>7</v>
      </c>
      <c r="L580" s="94" t="s">
        <v>210</v>
      </c>
      <c r="M580" s="94"/>
      <c r="N580" s="94"/>
      <c r="O580" s="94"/>
      <c r="P580" s="94"/>
      <c r="Q580" s="94"/>
      <c r="R580" s="94"/>
      <c r="S580" s="94"/>
      <c r="T580" s="94"/>
      <c r="U580" s="94"/>
      <c r="V580" s="94"/>
      <c r="W580" s="94"/>
      <c r="X580" s="94"/>
      <c r="Y580" s="94"/>
      <c r="Z580" s="94"/>
      <c r="AA580" s="94"/>
      <c r="AB580" s="94"/>
      <c r="AC580" s="94"/>
      <c r="AD580" s="94"/>
      <c r="AE580" s="94"/>
      <c r="AF580" s="94"/>
      <c r="AG580" s="94"/>
      <c r="AH580" s="94"/>
      <c r="AI580" s="94"/>
      <c r="AJ580" s="94"/>
      <c r="AK580" s="94"/>
      <c r="AL580" s="94"/>
      <c r="AM580" s="94"/>
      <c r="AN580" s="94"/>
      <c r="AO580" s="94"/>
      <c r="AP580" s="94"/>
      <c r="AQ580" s="94"/>
      <c r="AR580" s="94"/>
      <c r="AS580" s="94"/>
      <c r="AT580" s="94"/>
      <c r="AU580" s="94"/>
      <c r="AV580" s="94"/>
      <c r="AW580" s="94"/>
      <c r="AX580" s="94"/>
      <c r="AY580" s="94"/>
      <c r="BA580" s="95"/>
    </row>
    <row r="581" spans="1:53" s="87" customFormat="1">
      <c r="A581" s="90" t="str">
        <f t="shared" si="33"/>
        <v/>
      </c>
      <c r="B581" s="98">
        <v>21</v>
      </c>
      <c r="C581" s="94" t="s">
        <v>210</v>
      </c>
      <c r="D581" s="94">
        <v>-4</v>
      </c>
      <c r="E581" s="94">
        <v>6</v>
      </c>
      <c r="F581" s="94" t="s">
        <v>210</v>
      </c>
      <c r="G581" s="94" t="s">
        <v>210</v>
      </c>
      <c r="H581" s="94">
        <v>7</v>
      </c>
      <c r="I581" s="94">
        <v>-3</v>
      </c>
      <c r="J581" s="94" t="s">
        <v>210</v>
      </c>
      <c r="K581" s="94" t="s">
        <v>210</v>
      </c>
      <c r="L581" s="94">
        <v>-2</v>
      </c>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BA581" s="95"/>
    </row>
    <row r="582" spans="1:53" s="87" customFormat="1">
      <c r="A582" s="90" t="str">
        <f t="shared" si="33"/>
        <v/>
      </c>
      <c r="B582" s="98">
        <v>22</v>
      </c>
      <c r="C582" s="94" t="s">
        <v>210</v>
      </c>
      <c r="D582" s="94">
        <v>7</v>
      </c>
      <c r="E582" s="94">
        <v>3</v>
      </c>
      <c r="F582" s="94" t="s">
        <v>210</v>
      </c>
      <c r="G582" s="94" t="s">
        <v>210</v>
      </c>
      <c r="H582" s="94">
        <v>-1</v>
      </c>
      <c r="I582" s="94">
        <v>-5</v>
      </c>
      <c r="J582" s="94" t="s">
        <v>210</v>
      </c>
      <c r="K582" s="94" t="s">
        <v>210</v>
      </c>
      <c r="L582" s="94">
        <v>2</v>
      </c>
      <c r="M582" s="94"/>
      <c r="N582" s="94"/>
      <c r="O582" s="94"/>
      <c r="P582" s="94"/>
      <c r="Q582" s="94"/>
      <c r="R582" s="94"/>
      <c r="S582" s="94"/>
      <c r="T582" s="94"/>
      <c r="U582" s="94"/>
      <c r="V582" s="94"/>
      <c r="W582" s="94"/>
      <c r="X582" s="94"/>
      <c r="Y582" s="94"/>
      <c r="Z582" s="94"/>
      <c r="AA582" s="94"/>
      <c r="AB582" s="94"/>
      <c r="AC582" s="94"/>
      <c r="AD582" s="94"/>
      <c r="AE582" s="94"/>
      <c r="AF582" s="94"/>
      <c r="AG582" s="94"/>
      <c r="AH582" s="94"/>
      <c r="AI582" s="94"/>
      <c r="AJ582" s="94"/>
      <c r="AK582" s="94"/>
      <c r="AL582" s="94"/>
      <c r="AM582" s="94"/>
      <c r="AN582" s="94"/>
      <c r="AO582" s="94"/>
      <c r="AP582" s="94"/>
      <c r="AQ582" s="94"/>
      <c r="AR582" s="94"/>
      <c r="AS582" s="94"/>
      <c r="AT582" s="94"/>
      <c r="AU582" s="94"/>
      <c r="AV582" s="94"/>
      <c r="AW582" s="94"/>
      <c r="AX582" s="94"/>
      <c r="AY582" s="94"/>
      <c r="BA582" s="95"/>
    </row>
    <row r="583" spans="1:53" s="87" customFormat="1">
      <c r="A583" s="90" t="str">
        <f t="shared" si="33"/>
        <v/>
      </c>
      <c r="B583" s="98">
        <v>23</v>
      </c>
      <c r="C583" s="94" t="s">
        <v>210</v>
      </c>
      <c r="D583" s="94">
        <v>-5</v>
      </c>
      <c r="E583" s="94">
        <v>-4</v>
      </c>
      <c r="F583" s="94" t="s">
        <v>210</v>
      </c>
      <c r="G583" s="94" t="s">
        <v>210</v>
      </c>
      <c r="H583" s="94">
        <v>1</v>
      </c>
      <c r="I583" s="94">
        <v>3</v>
      </c>
      <c r="J583" s="94" t="s">
        <v>210</v>
      </c>
      <c r="K583" s="94" t="s">
        <v>210</v>
      </c>
      <c r="L583" s="94">
        <v>-6</v>
      </c>
      <c r="M583" s="94"/>
      <c r="N583" s="94"/>
      <c r="O583" s="94"/>
      <c r="P583" s="94"/>
      <c r="Q583" s="94"/>
      <c r="R583" s="94"/>
      <c r="S583" s="94"/>
      <c r="T583" s="94"/>
      <c r="U583" s="94"/>
      <c r="V583" s="94"/>
      <c r="W583" s="94"/>
      <c r="X583" s="94"/>
      <c r="Y583" s="94"/>
      <c r="Z583" s="94"/>
      <c r="AA583" s="94"/>
      <c r="AB583" s="94"/>
      <c r="AC583" s="94"/>
      <c r="AD583" s="94"/>
      <c r="AE583" s="94"/>
      <c r="AF583" s="94"/>
      <c r="AG583" s="94"/>
      <c r="AH583" s="94"/>
      <c r="AI583" s="94"/>
      <c r="AJ583" s="94"/>
      <c r="AK583" s="94"/>
      <c r="AL583" s="94"/>
      <c r="AM583" s="94"/>
      <c r="AN583" s="94"/>
      <c r="AO583" s="94"/>
      <c r="AP583" s="94"/>
      <c r="AQ583" s="94"/>
      <c r="AR583" s="94"/>
      <c r="AS583" s="94"/>
      <c r="AT583" s="94"/>
      <c r="AU583" s="94"/>
      <c r="AV583" s="94"/>
      <c r="AW583" s="94"/>
      <c r="AX583" s="94"/>
      <c r="AY583" s="94"/>
      <c r="BA583" s="95"/>
    </row>
    <row r="584" spans="1:53" s="87" customFormat="1">
      <c r="A584" s="90" t="str">
        <f t="shared" si="33"/>
        <v/>
      </c>
      <c r="B584" s="98">
        <v>24</v>
      </c>
      <c r="C584" s="94" t="s">
        <v>210</v>
      </c>
      <c r="D584" s="94">
        <v>1</v>
      </c>
      <c r="E584" s="94">
        <v>-2</v>
      </c>
      <c r="F584" s="94" t="s">
        <v>210</v>
      </c>
      <c r="G584" s="94" t="s">
        <v>210</v>
      </c>
      <c r="H584" s="94">
        <v>-7</v>
      </c>
      <c r="I584" s="94">
        <v>5</v>
      </c>
      <c r="J584" s="94" t="s">
        <v>210</v>
      </c>
      <c r="K584" s="94" t="s">
        <v>210</v>
      </c>
      <c r="L584" s="94">
        <v>6</v>
      </c>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BA584" s="95"/>
    </row>
    <row r="585" spans="1:53" s="87" customFormat="1">
      <c r="A585" s="90" t="str">
        <f t="shared" si="33"/>
        <v/>
      </c>
      <c r="B585" s="98">
        <v>25</v>
      </c>
      <c r="C585" s="94" t="s">
        <v>210</v>
      </c>
      <c r="D585" s="94">
        <v>4</v>
      </c>
      <c r="E585" s="94">
        <v>-3</v>
      </c>
      <c r="F585" s="94" t="s">
        <v>210</v>
      </c>
      <c r="G585" s="94" t="s">
        <v>210</v>
      </c>
      <c r="H585" s="94">
        <v>-5</v>
      </c>
      <c r="I585" s="94">
        <v>6</v>
      </c>
      <c r="J585" s="94" t="s">
        <v>210</v>
      </c>
      <c r="K585" s="94" t="s">
        <v>210</v>
      </c>
      <c r="L585" s="94">
        <v>1</v>
      </c>
      <c r="M585" s="94"/>
      <c r="N585" s="94"/>
      <c r="O585" s="94"/>
      <c r="P585" s="94"/>
      <c r="Q585" s="94"/>
      <c r="R585" s="94"/>
      <c r="S585" s="94"/>
      <c r="T585" s="94"/>
      <c r="U585" s="94"/>
      <c r="V585" s="94"/>
      <c r="W585" s="94"/>
      <c r="X585" s="94"/>
      <c r="Y585" s="94"/>
      <c r="Z585" s="94"/>
      <c r="AA585" s="94"/>
      <c r="AB585" s="94"/>
      <c r="AC585" s="94"/>
      <c r="AD585" s="94"/>
      <c r="AE585" s="94"/>
      <c r="AF585" s="94"/>
      <c r="AG585" s="94"/>
      <c r="AH585" s="94"/>
      <c r="AI585" s="94"/>
      <c r="AJ585" s="94"/>
      <c r="AK585" s="94"/>
      <c r="AL585" s="94"/>
      <c r="AM585" s="94"/>
      <c r="AN585" s="94"/>
      <c r="AO585" s="94"/>
      <c r="AP585" s="94"/>
      <c r="AQ585" s="94"/>
      <c r="AR585" s="94"/>
      <c r="AS585" s="94"/>
      <c r="AT585" s="94"/>
      <c r="AU585" s="94"/>
      <c r="AV585" s="94"/>
      <c r="AW585" s="94"/>
      <c r="AX585" s="94"/>
      <c r="AY585" s="94"/>
      <c r="BA585" s="95"/>
    </row>
    <row r="586" spans="1:53" s="87" customFormat="1">
      <c r="A586" s="90" t="str">
        <f t="shared" si="33"/>
        <v/>
      </c>
      <c r="B586" s="98">
        <v>26</v>
      </c>
      <c r="C586" s="94" t="s">
        <v>210</v>
      </c>
      <c r="D586" s="94">
        <v>-7</v>
      </c>
      <c r="E586" s="94">
        <v>-6</v>
      </c>
      <c r="F586" s="94" t="s">
        <v>210</v>
      </c>
      <c r="G586" s="94" t="s">
        <v>210</v>
      </c>
      <c r="H586" s="94">
        <v>4</v>
      </c>
      <c r="I586" s="94">
        <v>2</v>
      </c>
      <c r="J586" s="94" t="s">
        <v>210</v>
      </c>
      <c r="K586" s="94" t="s">
        <v>210</v>
      </c>
      <c r="L586" s="94">
        <v>-1</v>
      </c>
      <c r="M586" s="94"/>
      <c r="N586" s="94"/>
      <c r="O586" s="94"/>
      <c r="P586" s="94"/>
      <c r="Q586" s="94"/>
      <c r="R586" s="94"/>
      <c r="S586" s="94"/>
      <c r="T586" s="94"/>
      <c r="U586" s="94"/>
      <c r="V586" s="94"/>
      <c r="W586" s="94"/>
      <c r="X586" s="94"/>
      <c r="Y586" s="94"/>
      <c r="Z586" s="94"/>
      <c r="AA586" s="94"/>
      <c r="AB586" s="94"/>
      <c r="AC586" s="94"/>
      <c r="AD586" s="94"/>
      <c r="AE586" s="94"/>
      <c r="AF586" s="94"/>
      <c r="AG586" s="94"/>
      <c r="AH586" s="94"/>
      <c r="AI586" s="94"/>
      <c r="AJ586" s="94"/>
      <c r="AK586" s="94"/>
      <c r="AL586" s="94"/>
      <c r="AM586" s="94"/>
      <c r="AN586" s="94"/>
      <c r="AO586" s="94"/>
      <c r="AP586" s="94"/>
      <c r="AQ586" s="94"/>
      <c r="AR586" s="94"/>
      <c r="AS586" s="94"/>
      <c r="AT586" s="94"/>
      <c r="AU586" s="94"/>
      <c r="AV586" s="94"/>
      <c r="AW586" s="94"/>
      <c r="AX586" s="94"/>
      <c r="AY586" s="94"/>
      <c r="BA586" s="95"/>
    </row>
    <row r="587" spans="1:53" s="87" customFormat="1">
      <c r="A587" s="90" t="str">
        <f t="shared" si="33"/>
        <v/>
      </c>
      <c r="B587" s="98">
        <v>27</v>
      </c>
      <c r="C587" s="94" t="s">
        <v>210</v>
      </c>
      <c r="D587" s="94">
        <v>5</v>
      </c>
      <c r="E587" s="94">
        <v>2</v>
      </c>
      <c r="F587" s="94" t="s">
        <v>210</v>
      </c>
      <c r="G587" s="94" t="s">
        <v>210</v>
      </c>
      <c r="H587" s="94">
        <v>-4</v>
      </c>
      <c r="I587" s="94">
        <v>-6</v>
      </c>
      <c r="J587" s="94" t="s">
        <v>210</v>
      </c>
      <c r="K587" s="94" t="s">
        <v>210</v>
      </c>
      <c r="L587" s="94">
        <v>7</v>
      </c>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BA587" s="95"/>
    </row>
    <row r="588" spans="1:53" s="87" customFormat="1">
      <c r="A588" s="90" t="str">
        <f t="shared" ref="A588:A651" si="34">IF(MID(B588,3,2)="07",ROW(),"")</f>
        <v/>
      </c>
      <c r="B588" s="98">
        <v>28</v>
      </c>
      <c r="C588" s="94" t="s">
        <v>210</v>
      </c>
      <c r="D588" s="94">
        <v>-1</v>
      </c>
      <c r="E588" s="94">
        <v>4</v>
      </c>
      <c r="F588" s="94" t="s">
        <v>210</v>
      </c>
      <c r="G588" s="94" t="s">
        <v>210</v>
      </c>
      <c r="H588" s="94">
        <v>5</v>
      </c>
      <c r="I588" s="94">
        <v>-2</v>
      </c>
      <c r="J588" s="94" t="s">
        <v>210</v>
      </c>
      <c r="K588" s="94" t="s">
        <v>210</v>
      </c>
      <c r="L588" s="94">
        <v>-7</v>
      </c>
      <c r="M588" s="94"/>
      <c r="N588" s="94"/>
      <c r="O588" s="94"/>
      <c r="P588" s="94"/>
      <c r="Q588" s="94"/>
      <c r="R588" s="94"/>
      <c r="S588" s="94"/>
      <c r="T588" s="94"/>
      <c r="U588" s="94"/>
      <c r="V588" s="94"/>
      <c r="W588" s="94"/>
      <c r="X588" s="94"/>
      <c r="Y588" s="94"/>
      <c r="Z588" s="94"/>
      <c r="AA588" s="94"/>
      <c r="AB588" s="94"/>
      <c r="AC588" s="94"/>
      <c r="AD588" s="94"/>
      <c r="AE588" s="94"/>
      <c r="AF588" s="94"/>
      <c r="AG588" s="94"/>
      <c r="AH588" s="94"/>
      <c r="AI588" s="94"/>
      <c r="AJ588" s="94"/>
      <c r="AK588" s="94"/>
      <c r="AL588" s="94"/>
      <c r="AM588" s="94"/>
      <c r="AN588" s="94"/>
      <c r="AO588" s="94"/>
      <c r="AP588" s="94"/>
      <c r="AQ588" s="94"/>
      <c r="AR588" s="94"/>
      <c r="AS588" s="94"/>
      <c r="AT588" s="94"/>
      <c r="AU588" s="94"/>
      <c r="AV588" s="94"/>
      <c r="AW588" s="94"/>
      <c r="AX588" s="94"/>
      <c r="AY588" s="94"/>
      <c r="BA588" s="95"/>
    </row>
    <row r="589" spans="1:53" s="87" customFormat="1">
      <c r="A589" s="90" t="str">
        <f t="shared" si="34"/>
        <v/>
      </c>
      <c r="B589" s="270" t="s">
        <v>828</v>
      </c>
      <c r="C589" s="94"/>
      <c r="D589" s="94"/>
      <c r="E589" s="94"/>
      <c r="F589" s="94"/>
      <c r="G589" s="94"/>
      <c r="H589" s="94"/>
      <c r="I589" s="94"/>
      <c r="J589" s="94"/>
      <c r="K589" s="94"/>
      <c r="L589" s="94"/>
      <c r="M589" s="94"/>
      <c r="N589" s="94"/>
      <c r="O589" s="94"/>
      <c r="P589" s="94"/>
      <c r="Q589" s="94"/>
      <c r="R589" s="94"/>
      <c r="S589" s="94"/>
      <c r="T589" s="94"/>
      <c r="U589" s="94"/>
      <c r="V589" s="94"/>
      <c r="W589" s="94"/>
      <c r="X589" s="94"/>
      <c r="Y589" s="94"/>
      <c r="Z589" s="94"/>
      <c r="AA589" s="94"/>
      <c r="AB589" s="94"/>
      <c r="AC589" s="94"/>
      <c r="AD589" s="94"/>
      <c r="AE589" s="94"/>
      <c r="AF589" s="94"/>
      <c r="AG589" s="94"/>
      <c r="AH589" s="94"/>
      <c r="AI589" s="94"/>
      <c r="AJ589" s="94"/>
      <c r="AK589" s="94"/>
      <c r="AL589" s="94"/>
      <c r="AM589" s="94"/>
      <c r="AN589" s="94"/>
      <c r="AO589" s="94"/>
      <c r="AP589" s="94"/>
      <c r="AQ589" s="94"/>
      <c r="AR589" s="94"/>
      <c r="AS589" s="94"/>
      <c r="AT589" s="94"/>
      <c r="AU589" s="94"/>
      <c r="AV589" s="94"/>
      <c r="AW589" s="94"/>
      <c r="AX589" s="94"/>
      <c r="AY589" s="94"/>
      <c r="BA589" s="95"/>
    </row>
    <row r="590" spans="1:53" s="87" customFormat="1" ht="13">
      <c r="A590" s="90">
        <f t="shared" si="34"/>
        <v>590</v>
      </c>
      <c r="B590" t="s">
        <v>829</v>
      </c>
      <c r="C590"/>
      <c r="D590"/>
      <c r="E590"/>
      <c r="F590"/>
      <c r="G590"/>
      <c r="H590"/>
      <c r="I590"/>
      <c r="J590"/>
      <c r="K590"/>
      <c r="L590"/>
      <c r="M590" s="94"/>
      <c r="N590" s="94"/>
      <c r="O590" s="94"/>
      <c r="P590" s="94"/>
      <c r="Q590" s="94"/>
      <c r="R590" s="94"/>
      <c r="S590" s="94"/>
      <c r="T590" s="94"/>
      <c r="U590" s="94"/>
      <c r="V590" s="94"/>
      <c r="W590" s="94"/>
      <c r="X590" s="94"/>
      <c r="Y590" s="94"/>
      <c r="Z590" s="94"/>
      <c r="AA590" s="94"/>
      <c r="AB590" s="94"/>
      <c r="AC590" s="94"/>
      <c r="AD590" s="94"/>
      <c r="AE590" s="94"/>
      <c r="AF590" s="94"/>
      <c r="AG590" s="94"/>
      <c r="AH590" s="94"/>
      <c r="AI590" s="94"/>
      <c r="AJ590" s="94"/>
      <c r="AK590" s="94"/>
      <c r="AL590" s="94"/>
      <c r="AM590" s="94"/>
      <c r="AN590" s="94"/>
      <c r="AO590" s="94"/>
      <c r="AP590" s="94"/>
      <c r="AQ590" s="94"/>
      <c r="AR590" s="94"/>
      <c r="AS590" s="94"/>
      <c r="AT590" s="94"/>
      <c r="AU590" s="94"/>
      <c r="AV590" s="94"/>
      <c r="AW590" s="94"/>
      <c r="AX590" s="94"/>
      <c r="AY590" s="94"/>
      <c r="BA590" s="95"/>
    </row>
    <row r="591" spans="1:53" s="87" customFormat="1" ht="13">
      <c r="A591" s="90" t="str">
        <f t="shared" si="34"/>
        <v/>
      </c>
      <c r="B591">
        <v>1</v>
      </c>
      <c r="C591">
        <v>6</v>
      </c>
      <c r="D591" t="s">
        <v>210</v>
      </c>
      <c r="E591" t="s">
        <v>210</v>
      </c>
      <c r="F591">
        <v>-7</v>
      </c>
      <c r="G591">
        <v>-5</v>
      </c>
      <c r="H591" t="s">
        <v>210</v>
      </c>
      <c r="I591" t="s">
        <v>210</v>
      </c>
      <c r="J591">
        <v>2</v>
      </c>
      <c r="K591">
        <v>3</v>
      </c>
      <c r="L591" t="s">
        <v>210</v>
      </c>
      <c r="M591" s="94"/>
      <c r="N591" s="94"/>
      <c r="O591" s="94"/>
      <c r="P591" s="94"/>
      <c r="Q591" s="94"/>
      <c r="R591" s="94"/>
      <c r="S591" s="94"/>
      <c r="T591" s="94"/>
      <c r="U591" s="94"/>
      <c r="V591" s="94"/>
      <c r="W591" s="94"/>
      <c r="X591" s="94"/>
      <c r="Y591" s="94"/>
      <c r="Z591" s="94"/>
      <c r="AA591" s="94"/>
      <c r="AB591" s="94"/>
      <c r="AC591" s="94"/>
      <c r="AD591" s="94"/>
      <c r="AE591" s="94"/>
      <c r="AF591" s="94"/>
      <c r="AG591" s="94"/>
      <c r="AH591" s="94"/>
      <c r="AI591" s="94"/>
      <c r="AJ591" s="94"/>
      <c r="AK591" s="94"/>
      <c r="AL591" s="94"/>
      <c r="AM591" s="94"/>
      <c r="AN591" s="94"/>
      <c r="AO591" s="94"/>
      <c r="AP591" s="94"/>
      <c r="AQ591" s="94"/>
      <c r="AR591" s="94"/>
      <c r="AS591" s="94"/>
      <c r="AT591" s="94"/>
      <c r="AU591" s="94"/>
      <c r="AV591" s="94"/>
      <c r="AW591" s="94"/>
      <c r="AX591" s="94"/>
      <c r="AY591" s="94"/>
      <c r="BA591" s="95"/>
    </row>
    <row r="592" spans="1:53" s="87" customFormat="1" ht="13">
      <c r="A592" s="90" t="str">
        <f t="shared" si="34"/>
        <v/>
      </c>
      <c r="B592">
        <v>2</v>
      </c>
      <c r="C592">
        <v>-2</v>
      </c>
      <c r="D592" t="s">
        <v>210</v>
      </c>
      <c r="E592" t="s">
        <v>210</v>
      </c>
      <c r="F592">
        <v>-5</v>
      </c>
      <c r="G592">
        <v>7</v>
      </c>
      <c r="H592" t="s">
        <v>210</v>
      </c>
      <c r="I592" t="s">
        <v>210</v>
      </c>
      <c r="J592">
        <v>4</v>
      </c>
      <c r="K592">
        <v>-3</v>
      </c>
      <c r="L592" t="s">
        <v>210</v>
      </c>
      <c r="M592" s="94"/>
      <c r="N592" s="94"/>
      <c r="O592" s="94"/>
      <c r="P592" s="94"/>
      <c r="Q592" s="94"/>
      <c r="R592" s="94"/>
      <c r="S592" s="94"/>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4"/>
      <c r="AY592" s="94"/>
      <c r="BA592" s="95"/>
    </row>
    <row r="593" spans="1:53" s="87" customFormat="1" ht="13">
      <c r="A593" s="90" t="str">
        <f t="shared" si="34"/>
        <v/>
      </c>
      <c r="B593">
        <v>3</v>
      </c>
      <c r="C593">
        <v>-7</v>
      </c>
      <c r="D593" t="s">
        <v>210</v>
      </c>
      <c r="E593" t="s">
        <v>210</v>
      </c>
      <c r="F593">
        <v>5</v>
      </c>
      <c r="G593">
        <v>1</v>
      </c>
      <c r="H593" t="s">
        <v>210</v>
      </c>
      <c r="I593" t="s">
        <v>210</v>
      </c>
      <c r="J593">
        <v>-2</v>
      </c>
      <c r="K593">
        <v>-4</v>
      </c>
      <c r="L593" t="s">
        <v>210</v>
      </c>
      <c r="M593" s="94"/>
      <c r="N593" s="94"/>
      <c r="O593" s="94"/>
      <c r="P593" s="94"/>
      <c r="Q593" s="94"/>
      <c r="R593" s="94"/>
      <c r="S593" s="94"/>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c r="AW593" s="94"/>
      <c r="AX593" s="94"/>
      <c r="AY593" s="94"/>
      <c r="BA593" s="95"/>
    </row>
    <row r="594" spans="1:53" s="87" customFormat="1" ht="13">
      <c r="A594" s="90" t="str">
        <f t="shared" si="34"/>
        <v/>
      </c>
      <c r="B594">
        <v>4</v>
      </c>
      <c r="C594">
        <v>2</v>
      </c>
      <c r="D594" t="s">
        <v>210</v>
      </c>
      <c r="E594" t="s">
        <v>210</v>
      </c>
      <c r="F594">
        <v>-3</v>
      </c>
      <c r="G594">
        <v>5</v>
      </c>
      <c r="H594" t="s">
        <v>210</v>
      </c>
      <c r="I594" t="s">
        <v>210</v>
      </c>
      <c r="J594">
        <v>-7</v>
      </c>
      <c r="K594">
        <v>4</v>
      </c>
      <c r="L594" t="s">
        <v>210</v>
      </c>
      <c r="M594" s="94"/>
      <c r="N594" s="94"/>
      <c r="O594" s="94"/>
      <c r="P594" s="94"/>
      <c r="Q594" s="94"/>
      <c r="R594" s="94"/>
      <c r="S594" s="94"/>
      <c r="T594" s="94"/>
      <c r="U594" s="94"/>
      <c r="V594" s="94"/>
      <c r="W594" s="94"/>
      <c r="X594" s="94"/>
      <c r="Y594" s="94"/>
      <c r="Z594" s="94"/>
      <c r="AA594" s="94"/>
      <c r="AB594" s="94"/>
      <c r="AC594" s="94"/>
      <c r="AD594" s="94"/>
      <c r="AE594" s="94"/>
      <c r="AF594" s="94"/>
      <c r="AG594" s="94"/>
      <c r="AH594" s="94"/>
      <c r="AI594" s="94"/>
      <c r="AJ594" s="94"/>
      <c r="AK594" s="94"/>
      <c r="AL594" s="94"/>
      <c r="AM594" s="94"/>
      <c r="AN594" s="94"/>
      <c r="AO594" s="94"/>
      <c r="AP594" s="94"/>
      <c r="AQ594" s="94"/>
      <c r="AR594" s="94"/>
      <c r="AS594" s="94"/>
      <c r="AT594" s="94"/>
      <c r="AU594" s="94"/>
      <c r="AV594" s="94"/>
      <c r="AW594" s="94"/>
      <c r="AX594" s="94"/>
      <c r="AY594" s="94"/>
      <c r="BA594" s="95"/>
    </row>
    <row r="595" spans="1:53" s="87" customFormat="1" ht="13">
      <c r="A595" s="90" t="str">
        <f t="shared" si="34"/>
        <v/>
      </c>
      <c r="B595" s="27">
        <v>5</v>
      </c>
      <c r="C595" s="27">
        <v>-6</v>
      </c>
      <c r="D595" s="27" t="s">
        <v>210</v>
      </c>
      <c r="E595" s="27" t="s">
        <v>210</v>
      </c>
      <c r="F595" s="27">
        <v>3</v>
      </c>
      <c r="G595" s="27">
        <v>-1</v>
      </c>
      <c r="H595" s="27" t="s">
        <v>210</v>
      </c>
      <c r="I595" s="27" t="s">
        <v>210</v>
      </c>
      <c r="J595" s="27">
        <v>-4</v>
      </c>
      <c r="K595" s="27">
        <v>7</v>
      </c>
      <c r="L595" s="27" t="s">
        <v>210</v>
      </c>
      <c r="M595" s="94"/>
      <c r="N595" s="94"/>
      <c r="O595" s="94"/>
      <c r="P595" s="94"/>
      <c r="Q595" s="94"/>
      <c r="R595" s="94"/>
      <c r="S595" s="94"/>
      <c r="T595" s="94"/>
      <c r="U595" s="94"/>
      <c r="V595" s="94"/>
      <c r="W595" s="94"/>
      <c r="X595" s="94"/>
      <c r="Y595" s="94"/>
      <c r="Z595" s="94"/>
      <c r="AA595" s="94"/>
      <c r="AB595" s="94"/>
      <c r="AC595" s="94"/>
      <c r="AD595" s="94"/>
      <c r="AE595" s="94"/>
      <c r="AF595" s="94"/>
      <c r="AG595" s="94"/>
      <c r="AH595" s="94"/>
      <c r="AI595" s="94"/>
      <c r="AJ595" s="94"/>
      <c r="AK595" s="94"/>
      <c r="AL595" s="94"/>
      <c r="AM595" s="94"/>
      <c r="AN595" s="94"/>
      <c r="AO595" s="94"/>
      <c r="AP595" s="94"/>
      <c r="AQ595" s="94"/>
      <c r="AR595" s="94"/>
      <c r="AS595" s="94"/>
      <c r="AT595" s="94"/>
      <c r="AU595" s="94"/>
      <c r="AV595" s="94"/>
      <c r="AW595" s="94"/>
      <c r="AX595" s="94"/>
      <c r="AY595" s="94"/>
      <c r="BA595" s="95"/>
    </row>
    <row r="596" spans="1:53" s="87" customFormat="1" ht="13">
      <c r="A596" s="90" t="str">
        <f t="shared" si="34"/>
        <v/>
      </c>
      <c r="B596">
        <v>6</v>
      </c>
      <c r="C596">
        <v>4</v>
      </c>
      <c r="D596" t="s">
        <v>210</v>
      </c>
      <c r="E596" t="s">
        <v>210</v>
      </c>
      <c r="F596">
        <v>7</v>
      </c>
      <c r="G596">
        <v>-6</v>
      </c>
      <c r="H596" t="s">
        <v>210</v>
      </c>
      <c r="I596" t="s">
        <v>210</v>
      </c>
      <c r="J596">
        <v>-1</v>
      </c>
      <c r="K596">
        <v>2</v>
      </c>
      <c r="L596" t="s">
        <v>210</v>
      </c>
      <c r="M596" s="94"/>
      <c r="N596" s="94"/>
      <c r="O596" s="94"/>
      <c r="P596" s="94"/>
      <c r="Q596" s="94"/>
      <c r="R596" s="94"/>
      <c r="S596" s="94"/>
      <c r="T596" s="94"/>
      <c r="U596" s="94"/>
      <c r="V596" s="94"/>
      <c r="W596" s="94"/>
      <c r="X596" s="94"/>
      <c r="Y596" s="94"/>
      <c r="Z596" s="94"/>
      <c r="AA596" s="94"/>
      <c r="AB596" s="94"/>
      <c r="AC596" s="94"/>
      <c r="AD596" s="94"/>
      <c r="AE596" s="94"/>
      <c r="AF596" s="94"/>
      <c r="AG596" s="94"/>
      <c r="AH596" s="94"/>
      <c r="AI596" s="94"/>
      <c r="AJ596" s="94"/>
      <c r="AK596" s="94"/>
      <c r="AL596" s="94"/>
      <c r="AM596" s="94"/>
      <c r="AN596" s="94"/>
      <c r="AO596" s="94"/>
      <c r="AP596" s="94"/>
      <c r="AQ596" s="94"/>
      <c r="AR596" s="94"/>
      <c r="AS596" s="94"/>
      <c r="AT596" s="94"/>
      <c r="AU596" s="94"/>
      <c r="AV596" s="94"/>
      <c r="AW596" s="94"/>
      <c r="AX596" s="94"/>
      <c r="AY596" s="94"/>
      <c r="BA596" s="95"/>
    </row>
    <row r="597" spans="1:53" s="87" customFormat="1" ht="13">
      <c r="A597" s="90" t="str">
        <f t="shared" si="34"/>
        <v/>
      </c>
      <c r="B597">
        <v>7</v>
      </c>
      <c r="C597">
        <v>1</v>
      </c>
      <c r="D597" t="s">
        <v>210</v>
      </c>
      <c r="E597" t="s">
        <v>210</v>
      </c>
      <c r="F597">
        <v>4</v>
      </c>
      <c r="G597">
        <v>-7</v>
      </c>
      <c r="H597" t="s">
        <v>210</v>
      </c>
      <c r="I597" t="s">
        <v>210</v>
      </c>
      <c r="J597">
        <v>6</v>
      </c>
      <c r="K597">
        <v>-2</v>
      </c>
      <c r="L597" t="s">
        <v>210</v>
      </c>
      <c r="M597" s="94"/>
      <c r="N597" s="94"/>
      <c r="O597" s="94"/>
      <c r="P597" s="94"/>
      <c r="Q597" s="94"/>
      <c r="R597" s="94"/>
      <c r="S597" s="94"/>
      <c r="T597" s="94"/>
      <c r="U597" s="94"/>
      <c r="V597" s="94"/>
      <c r="W597" s="94"/>
      <c r="X597" s="94"/>
      <c r="Y597" s="94"/>
      <c r="Z597" s="94"/>
      <c r="AA597" s="94"/>
      <c r="AB597" s="94"/>
      <c r="AC597" s="94"/>
      <c r="AD597" s="94"/>
      <c r="AE597" s="94"/>
      <c r="AF597" s="94"/>
      <c r="AG597" s="94"/>
      <c r="AH597" s="94"/>
      <c r="AI597" s="94"/>
      <c r="AJ597" s="94"/>
      <c r="AK597" s="94"/>
      <c r="AL597" s="94"/>
      <c r="AM597" s="94"/>
      <c r="AN597" s="94"/>
      <c r="AO597" s="94"/>
      <c r="AP597" s="94"/>
      <c r="AQ597" s="94"/>
      <c r="AR597" s="94"/>
      <c r="AS597" s="94"/>
      <c r="AT597" s="94"/>
      <c r="AU597" s="94"/>
      <c r="AV597" s="94"/>
      <c r="AW597" s="94"/>
      <c r="AX597" s="94"/>
      <c r="AY597" s="94"/>
      <c r="BA597" s="95"/>
    </row>
    <row r="598" spans="1:53" s="87" customFormat="1" ht="13">
      <c r="A598" s="90" t="str">
        <f t="shared" si="34"/>
        <v/>
      </c>
      <c r="B598">
        <v>8</v>
      </c>
      <c r="C598">
        <v>7</v>
      </c>
      <c r="D598" t="s">
        <v>210</v>
      </c>
      <c r="E598" t="s">
        <v>210</v>
      </c>
      <c r="F598">
        <v>-4</v>
      </c>
      <c r="G598">
        <v>-3</v>
      </c>
      <c r="H598" t="s">
        <v>210</v>
      </c>
      <c r="I598" t="s">
        <v>210</v>
      </c>
      <c r="J598">
        <v>1</v>
      </c>
      <c r="K598">
        <v>5</v>
      </c>
      <c r="L598" t="s">
        <v>210</v>
      </c>
      <c r="M598" s="94"/>
      <c r="N598" s="94"/>
      <c r="O598" s="94"/>
      <c r="P598" s="94"/>
      <c r="Q598" s="94"/>
      <c r="R598" s="94"/>
      <c r="S598" s="94"/>
      <c r="T598" s="94"/>
      <c r="U598" s="94"/>
      <c r="V598" s="94"/>
      <c r="W598" s="94"/>
      <c r="X598" s="94"/>
      <c r="Y598" s="94"/>
      <c r="Z598" s="94"/>
      <c r="AA598" s="94"/>
      <c r="AB598" s="94"/>
      <c r="AC598" s="94"/>
      <c r="AD598" s="94"/>
      <c r="AE598" s="94"/>
      <c r="AF598" s="94"/>
      <c r="AG598" s="94"/>
      <c r="AH598" s="94"/>
      <c r="AI598" s="94"/>
      <c r="AJ598" s="94"/>
      <c r="AK598" s="94"/>
      <c r="AL598" s="94"/>
      <c r="AM598" s="94"/>
      <c r="AN598" s="94"/>
      <c r="AO598" s="94"/>
      <c r="AP598" s="94"/>
      <c r="AQ598" s="94"/>
      <c r="AR598" s="94"/>
      <c r="AS598" s="94"/>
      <c r="AT598" s="94"/>
      <c r="AU598" s="94"/>
      <c r="AV598" s="94"/>
      <c r="AW598" s="94"/>
      <c r="AX598" s="94"/>
      <c r="AY598" s="94"/>
      <c r="BA598" s="95"/>
    </row>
    <row r="599" spans="1:53" s="87" customFormat="1" ht="13">
      <c r="A599" s="90" t="str">
        <f t="shared" si="34"/>
        <v/>
      </c>
      <c r="B599">
        <v>9</v>
      </c>
      <c r="C599">
        <v>-1</v>
      </c>
      <c r="D599" t="s">
        <v>210</v>
      </c>
      <c r="E599" t="s">
        <v>210</v>
      </c>
      <c r="F599">
        <v>-2</v>
      </c>
      <c r="G599">
        <v>6</v>
      </c>
      <c r="H599" t="s">
        <v>210</v>
      </c>
      <c r="I599" t="s">
        <v>210</v>
      </c>
      <c r="J599">
        <v>7</v>
      </c>
      <c r="K599">
        <v>-5</v>
      </c>
      <c r="L599" t="s">
        <v>210</v>
      </c>
      <c r="M599" s="94"/>
      <c r="N599" s="94"/>
      <c r="O599" s="94"/>
      <c r="P599" s="94"/>
      <c r="Q599" s="94"/>
      <c r="R599" s="94"/>
      <c r="S599" s="94"/>
      <c r="T599" s="94"/>
      <c r="U599" s="94"/>
      <c r="V599" s="94"/>
      <c r="W599" s="94"/>
      <c r="X599" s="94"/>
      <c r="Y599" s="94"/>
      <c r="Z599" s="94"/>
      <c r="AA599" s="94"/>
      <c r="AB599" s="94"/>
      <c r="AC599" s="94"/>
      <c r="AD599" s="94"/>
      <c r="AE599" s="94"/>
      <c r="AF599" s="94"/>
      <c r="AG599" s="94"/>
      <c r="AH599" s="94"/>
      <c r="AI599" s="94"/>
      <c r="AJ599" s="94"/>
      <c r="AK599" s="94"/>
      <c r="AL599" s="94"/>
      <c r="AM599" s="94"/>
      <c r="AN599" s="94"/>
      <c r="AO599" s="94"/>
      <c r="AP599" s="94"/>
      <c r="AQ599" s="94"/>
      <c r="AR599" s="94"/>
      <c r="AS599" s="94"/>
      <c r="AT599" s="94"/>
      <c r="AU599" s="94"/>
      <c r="AV599" s="94"/>
      <c r="AW599" s="94"/>
      <c r="AX599" s="94"/>
      <c r="AY599" s="94"/>
      <c r="BA599" s="95"/>
    </row>
    <row r="600" spans="1:53" s="87" customFormat="1" ht="13">
      <c r="A600" s="90" t="str">
        <f t="shared" si="34"/>
        <v/>
      </c>
      <c r="B600" s="27">
        <v>10</v>
      </c>
      <c r="C600" s="27">
        <v>-4</v>
      </c>
      <c r="D600" s="27" t="s">
        <v>210</v>
      </c>
      <c r="E600" s="27" t="s">
        <v>210</v>
      </c>
      <c r="F600" s="27">
        <v>2</v>
      </c>
      <c r="G600" s="27">
        <v>3</v>
      </c>
      <c r="H600" s="27" t="s">
        <v>210</v>
      </c>
      <c r="I600" s="27" t="s">
        <v>210</v>
      </c>
      <c r="J600" s="27">
        <v>-6</v>
      </c>
      <c r="K600" s="27">
        <v>-7</v>
      </c>
      <c r="L600" s="27" t="s">
        <v>210</v>
      </c>
      <c r="M600" s="94"/>
      <c r="N600" s="94"/>
      <c r="O600" s="94"/>
      <c r="P600" s="94"/>
      <c r="Q600" s="94"/>
      <c r="R600" s="94"/>
      <c r="S600" s="94"/>
      <c r="T600" s="94"/>
      <c r="U600" s="94"/>
      <c r="V600" s="94"/>
      <c r="W600" s="94"/>
      <c r="X600" s="94"/>
      <c r="Y600" s="94"/>
      <c r="Z600" s="94"/>
      <c r="AA600" s="94"/>
      <c r="AB600" s="94"/>
      <c r="AC600" s="94"/>
      <c r="AD600" s="94"/>
      <c r="AE600" s="94"/>
      <c r="AF600" s="94"/>
      <c r="AG600" s="94"/>
      <c r="AH600" s="94"/>
      <c r="AI600" s="94"/>
      <c r="AJ600" s="94"/>
      <c r="AK600" s="94"/>
      <c r="AL600" s="94"/>
      <c r="AM600" s="94"/>
      <c r="AN600" s="94"/>
      <c r="AO600" s="94"/>
      <c r="AP600" s="94"/>
      <c r="AQ600" s="94"/>
      <c r="AR600" s="94"/>
      <c r="AS600" s="94"/>
      <c r="AT600" s="94"/>
      <c r="AU600" s="94"/>
      <c r="AV600" s="94"/>
      <c r="AW600" s="94"/>
      <c r="AX600" s="94"/>
      <c r="AY600" s="94"/>
      <c r="BA600" s="95"/>
    </row>
    <row r="601" spans="1:53" s="87" customFormat="1" ht="13">
      <c r="A601" s="90" t="str">
        <f t="shared" si="34"/>
        <v/>
      </c>
      <c r="B601">
        <v>11</v>
      </c>
      <c r="C601" t="s">
        <v>210</v>
      </c>
      <c r="D601">
        <v>-6</v>
      </c>
      <c r="E601">
        <v>7</v>
      </c>
      <c r="F601" t="s">
        <v>210</v>
      </c>
      <c r="G601" t="s">
        <v>210</v>
      </c>
      <c r="H601">
        <v>5</v>
      </c>
      <c r="I601">
        <v>-2</v>
      </c>
      <c r="J601" t="s">
        <v>210</v>
      </c>
      <c r="K601" t="s">
        <v>210</v>
      </c>
      <c r="L601">
        <v>-3</v>
      </c>
      <c r="M601" s="94"/>
      <c r="N601" s="94"/>
      <c r="O601" s="94"/>
      <c r="P601" s="94"/>
      <c r="Q601" s="94"/>
      <c r="R601" s="94"/>
      <c r="S601" s="94"/>
      <c r="T601" s="94"/>
      <c r="U601" s="94"/>
      <c r="V601" s="94"/>
      <c r="W601" s="94"/>
      <c r="X601" s="94"/>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BA601" s="95"/>
    </row>
    <row r="602" spans="1:53" s="87" customFormat="1" ht="13">
      <c r="A602" s="90" t="str">
        <f t="shared" si="34"/>
        <v/>
      </c>
      <c r="B602">
        <v>12</v>
      </c>
      <c r="C602" t="s">
        <v>210</v>
      </c>
      <c r="D602">
        <v>2</v>
      </c>
      <c r="E602">
        <v>5</v>
      </c>
      <c r="F602" t="s">
        <v>210</v>
      </c>
      <c r="G602" t="s">
        <v>210</v>
      </c>
      <c r="H602">
        <v>-7</v>
      </c>
      <c r="I602">
        <v>-4</v>
      </c>
      <c r="J602" t="s">
        <v>210</v>
      </c>
      <c r="K602" t="s">
        <v>210</v>
      </c>
      <c r="L602">
        <v>3</v>
      </c>
      <c r="M602" s="94"/>
      <c r="N602" s="94"/>
      <c r="O602" s="94"/>
      <c r="P602" s="94"/>
      <c r="Q602" s="94"/>
      <c r="R602" s="94"/>
      <c r="S602" s="94"/>
      <c r="T602" s="94"/>
      <c r="U602" s="94"/>
      <c r="V602" s="94"/>
      <c r="W602" s="94"/>
      <c r="X602" s="94"/>
      <c r="Y602" s="94"/>
      <c r="Z602" s="94"/>
      <c r="AA602" s="94"/>
      <c r="AB602" s="94"/>
      <c r="AC602" s="94"/>
      <c r="AD602" s="94"/>
      <c r="AE602" s="94"/>
      <c r="AF602" s="94"/>
      <c r="AG602" s="94"/>
      <c r="AH602" s="94"/>
      <c r="AI602" s="94"/>
      <c r="AJ602" s="94"/>
      <c r="AK602" s="94"/>
      <c r="AL602" s="94"/>
      <c r="AM602" s="94"/>
      <c r="AN602" s="94"/>
      <c r="AO602" s="94"/>
      <c r="AP602" s="94"/>
      <c r="AQ602" s="94"/>
      <c r="AR602" s="94"/>
      <c r="AS602" s="94"/>
      <c r="AT602" s="94"/>
      <c r="AU602" s="94"/>
      <c r="AV602" s="94"/>
      <c r="AW602" s="94"/>
      <c r="AX602" s="94"/>
      <c r="AY602" s="94"/>
      <c r="BA602" s="95"/>
    </row>
    <row r="603" spans="1:53" s="87" customFormat="1" ht="13">
      <c r="A603" s="90" t="str">
        <f t="shared" si="34"/>
        <v/>
      </c>
      <c r="B603">
        <v>13</v>
      </c>
      <c r="C603" t="s">
        <v>210</v>
      </c>
      <c r="D603">
        <v>7</v>
      </c>
      <c r="E603">
        <v>-5</v>
      </c>
      <c r="F603" t="s">
        <v>210</v>
      </c>
      <c r="G603" t="s">
        <v>210</v>
      </c>
      <c r="H603">
        <v>-1</v>
      </c>
      <c r="I603">
        <v>2</v>
      </c>
      <c r="J603" t="s">
        <v>210</v>
      </c>
      <c r="K603" t="s">
        <v>210</v>
      </c>
      <c r="L603">
        <v>4</v>
      </c>
      <c r="M603" s="94"/>
      <c r="N603" s="94"/>
      <c r="O603" s="94"/>
      <c r="P603" s="94"/>
      <c r="Q603" s="94"/>
      <c r="R603" s="94"/>
      <c r="S603" s="94"/>
      <c r="T603" s="94"/>
      <c r="U603" s="94"/>
      <c r="V603" s="94"/>
      <c r="W603" s="94"/>
      <c r="X603" s="94"/>
      <c r="Y603" s="94"/>
      <c r="Z603" s="94"/>
      <c r="AA603" s="94"/>
      <c r="AB603" s="94"/>
      <c r="AC603" s="94"/>
      <c r="AD603" s="94"/>
      <c r="AE603" s="94"/>
      <c r="AF603" s="94"/>
      <c r="AG603" s="94"/>
      <c r="AH603" s="94"/>
      <c r="AI603" s="94"/>
      <c r="AJ603" s="94"/>
      <c r="AK603" s="94"/>
      <c r="AL603" s="94"/>
      <c r="AM603" s="94"/>
      <c r="AN603" s="94"/>
      <c r="AO603" s="94"/>
      <c r="AP603" s="94"/>
      <c r="AQ603" s="94"/>
      <c r="AR603" s="94"/>
      <c r="AS603" s="94"/>
      <c r="AT603" s="94"/>
      <c r="AU603" s="94"/>
      <c r="AV603" s="94"/>
      <c r="AW603" s="94"/>
      <c r="AX603" s="94"/>
      <c r="AY603" s="94"/>
      <c r="BA603" s="95"/>
    </row>
    <row r="604" spans="1:53" s="87" customFormat="1" ht="13">
      <c r="A604" s="90" t="str">
        <f t="shared" si="34"/>
        <v/>
      </c>
      <c r="B604">
        <v>14</v>
      </c>
      <c r="C604" t="s">
        <v>210</v>
      </c>
      <c r="D604">
        <v>-2</v>
      </c>
      <c r="E604">
        <v>3</v>
      </c>
      <c r="F604" t="s">
        <v>210</v>
      </c>
      <c r="G604" t="s">
        <v>210</v>
      </c>
      <c r="H604">
        <v>-5</v>
      </c>
      <c r="I604">
        <v>7</v>
      </c>
      <c r="J604" t="s">
        <v>210</v>
      </c>
      <c r="K604" t="s">
        <v>210</v>
      </c>
      <c r="L604">
        <v>-4</v>
      </c>
      <c r="M604" s="94"/>
      <c r="N604" s="94"/>
      <c r="O604" s="94"/>
      <c r="P604" s="94"/>
      <c r="Q604" s="94"/>
      <c r="R604" s="94"/>
      <c r="S604" s="94"/>
      <c r="T604" s="94"/>
      <c r="U604" s="94"/>
      <c r="V604" s="94"/>
      <c r="W604" s="94"/>
      <c r="X604" s="94"/>
      <c r="Y604" s="94"/>
      <c r="Z604" s="94"/>
      <c r="AA604" s="94"/>
      <c r="AB604" s="94"/>
      <c r="AC604" s="94"/>
      <c r="AD604" s="94"/>
      <c r="AE604" s="94"/>
      <c r="AF604" s="94"/>
      <c r="AG604" s="94"/>
      <c r="AH604" s="94"/>
      <c r="AI604" s="94"/>
      <c r="AJ604" s="94"/>
      <c r="AK604" s="94"/>
      <c r="AL604" s="94"/>
      <c r="AM604" s="94"/>
      <c r="AN604" s="94"/>
      <c r="AO604" s="94"/>
      <c r="AP604" s="94"/>
      <c r="AQ604" s="94"/>
      <c r="AR604" s="94"/>
      <c r="AS604" s="94"/>
      <c r="AT604" s="94"/>
      <c r="AU604" s="94"/>
      <c r="AV604" s="94"/>
      <c r="AW604" s="94"/>
      <c r="AX604" s="94"/>
      <c r="AY604" s="94"/>
      <c r="BA604" s="95"/>
    </row>
    <row r="605" spans="1:53" s="87" customFormat="1" ht="13">
      <c r="A605" s="90" t="str">
        <f t="shared" si="34"/>
        <v/>
      </c>
      <c r="B605" s="27">
        <v>15</v>
      </c>
      <c r="C605" s="27" t="s">
        <v>210</v>
      </c>
      <c r="D605" s="27">
        <v>6</v>
      </c>
      <c r="E605" s="27">
        <v>-3</v>
      </c>
      <c r="F605" s="27" t="s">
        <v>210</v>
      </c>
      <c r="G605" s="27" t="s">
        <v>210</v>
      </c>
      <c r="H605" s="27">
        <v>1</v>
      </c>
      <c r="I605" s="27">
        <v>4</v>
      </c>
      <c r="J605" s="27" t="s">
        <v>210</v>
      </c>
      <c r="K605" s="27" t="s">
        <v>210</v>
      </c>
      <c r="L605" s="27">
        <v>-7</v>
      </c>
      <c r="M605" s="94"/>
      <c r="N605" s="94"/>
      <c r="O605" s="94"/>
      <c r="P605" s="94"/>
      <c r="Q605" s="94"/>
      <c r="R605" s="94"/>
      <c r="S605" s="94"/>
      <c r="T605" s="94"/>
      <c r="U605" s="94"/>
      <c r="V605" s="94"/>
      <c r="W605" s="94"/>
      <c r="X605" s="94"/>
      <c r="Y605" s="94"/>
      <c r="Z605" s="94"/>
      <c r="AA605" s="94"/>
      <c r="AB605" s="94"/>
      <c r="AC605" s="94"/>
      <c r="AD605" s="94"/>
      <c r="AE605" s="94"/>
      <c r="AF605" s="94"/>
      <c r="AG605" s="94"/>
      <c r="AH605" s="94"/>
      <c r="AI605" s="94"/>
      <c r="AJ605" s="94"/>
      <c r="AK605" s="94"/>
      <c r="AL605" s="94"/>
      <c r="AM605" s="94"/>
      <c r="AN605" s="94"/>
      <c r="AO605" s="94"/>
      <c r="AP605" s="94"/>
      <c r="AQ605" s="94"/>
      <c r="AR605" s="94"/>
      <c r="AS605" s="94"/>
      <c r="AT605" s="94"/>
      <c r="AU605" s="94"/>
      <c r="AV605" s="94"/>
      <c r="AW605" s="94"/>
      <c r="AX605" s="94"/>
      <c r="AY605" s="94"/>
      <c r="BA605" s="95"/>
    </row>
    <row r="606" spans="1:53" s="87" customFormat="1" ht="13">
      <c r="A606" s="90" t="str">
        <f t="shared" si="34"/>
        <v/>
      </c>
      <c r="B606">
        <v>16</v>
      </c>
      <c r="C606" t="s">
        <v>210</v>
      </c>
      <c r="D606">
        <v>-4</v>
      </c>
      <c r="E606">
        <v>-7</v>
      </c>
      <c r="F606" t="s">
        <v>210</v>
      </c>
      <c r="G606" t="s">
        <v>210</v>
      </c>
      <c r="H606">
        <v>6</v>
      </c>
      <c r="I606">
        <v>1</v>
      </c>
      <c r="J606" t="s">
        <v>210</v>
      </c>
      <c r="K606" t="s">
        <v>210</v>
      </c>
      <c r="L606">
        <v>-2</v>
      </c>
      <c r="M606" s="94"/>
      <c r="N606" s="94"/>
      <c r="O606" s="94"/>
      <c r="P606" s="94"/>
      <c r="Q606" s="94"/>
      <c r="R606" s="94"/>
      <c r="S606" s="94"/>
      <c r="T606" s="94"/>
      <c r="U606" s="94"/>
      <c r="V606" s="94"/>
      <c r="W606" s="94"/>
      <c r="X606" s="94"/>
      <c r="Y606" s="94"/>
      <c r="Z606" s="94"/>
      <c r="AA606" s="94"/>
      <c r="AB606" s="94"/>
      <c r="AC606" s="94"/>
      <c r="AD606" s="94"/>
      <c r="AE606" s="94"/>
      <c r="AF606" s="94"/>
      <c r="AG606" s="94"/>
      <c r="AH606" s="94"/>
      <c r="AI606" s="94"/>
      <c r="AJ606" s="94"/>
      <c r="AK606" s="94"/>
      <c r="AL606" s="94"/>
      <c r="AM606" s="94"/>
      <c r="AN606" s="94"/>
      <c r="AO606" s="94"/>
      <c r="AP606" s="94"/>
      <c r="AQ606" s="94"/>
      <c r="AR606" s="94"/>
      <c r="AS606" s="94"/>
      <c r="AT606" s="94"/>
      <c r="AU606" s="94"/>
      <c r="AV606" s="94"/>
      <c r="AW606" s="94"/>
      <c r="AX606" s="94"/>
      <c r="AY606" s="94"/>
      <c r="BA606" s="95"/>
    </row>
    <row r="607" spans="1:53" s="87" customFormat="1" ht="13">
      <c r="A607" s="90" t="str">
        <f t="shared" si="34"/>
        <v/>
      </c>
      <c r="B607">
        <v>17</v>
      </c>
      <c r="C607" t="s">
        <v>210</v>
      </c>
      <c r="D607">
        <v>-1</v>
      </c>
      <c r="E607">
        <v>-4</v>
      </c>
      <c r="F607" t="s">
        <v>210</v>
      </c>
      <c r="G607" t="s">
        <v>210</v>
      </c>
      <c r="H607">
        <v>7</v>
      </c>
      <c r="I607">
        <v>-6</v>
      </c>
      <c r="J607" t="s">
        <v>210</v>
      </c>
      <c r="K607" t="s">
        <v>210</v>
      </c>
      <c r="L607">
        <v>2</v>
      </c>
      <c r="M607" s="94"/>
      <c r="N607" s="94"/>
      <c r="O607" s="94"/>
      <c r="P607" s="94"/>
      <c r="Q607" s="94"/>
      <c r="R607" s="94"/>
      <c r="S607" s="94"/>
      <c r="T607" s="94"/>
      <c r="U607" s="94"/>
      <c r="V607" s="94"/>
      <c r="W607" s="94"/>
      <c r="X607" s="94"/>
      <c r="Y607" s="94"/>
      <c r="Z607" s="94"/>
      <c r="AA607" s="94"/>
      <c r="AB607" s="94"/>
      <c r="AC607" s="94"/>
      <c r="AD607" s="94"/>
      <c r="AE607" s="94"/>
      <c r="AF607" s="94"/>
      <c r="AG607" s="94"/>
      <c r="AH607" s="94"/>
      <c r="AI607" s="94"/>
      <c r="AJ607" s="94"/>
      <c r="AK607" s="94"/>
      <c r="AL607" s="94"/>
      <c r="AM607" s="94"/>
      <c r="AN607" s="94"/>
      <c r="AO607" s="94"/>
      <c r="AP607" s="94"/>
      <c r="AQ607" s="94"/>
      <c r="AR607" s="94"/>
      <c r="AS607" s="94"/>
      <c r="AT607" s="94"/>
      <c r="AU607" s="94"/>
      <c r="AV607" s="94"/>
      <c r="AW607" s="94"/>
      <c r="AX607" s="94"/>
      <c r="AY607" s="94"/>
      <c r="BA607" s="95"/>
    </row>
    <row r="608" spans="1:53" s="87" customFormat="1" ht="13">
      <c r="A608" s="90" t="str">
        <f t="shared" si="34"/>
        <v/>
      </c>
      <c r="B608">
        <v>18</v>
      </c>
      <c r="C608" t="s">
        <v>210</v>
      </c>
      <c r="D608">
        <v>-7</v>
      </c>
      <c r="E608">
        <v>4</v>
      </c>
      <c r="F608" t="s">
        <v>210</v>
      </c>
      <c r="G608" t="s">
        <v>210</v>
      </c>
      <c r="H608">
        <v>3</v>
      </c>
      <c r="I608">
        <v>-1</v>
      </c>
      <c r="J608" t="s">
        <v>210</v>
      </c>
      <c r="K608" t="s">
        <v>210</v>
      </c>
      <c r="L608">
        <v>-5</v>
      </c>
      <c r="M608" s="94"/>
      <c r="N608" s="94"/>
      <c r="O608" s="94"/>
      <c r="P608" s="94"/>
      <c r="Q608" s="94"/>
      <c r="R608" s="94"/>
      <c r="S608" s="94"/>
      <c r="T608" s="94"/>
      <c r="U608" s="94"/>
      <c r="V608" s="94"/>
      <c r="W608" s="94"/>
      <c r="X608" s="94"/>
      <c r="Y608" s="94"/>
      <c r="Z608" s="94"/>
      <c r="AA608" s="94"/>
      <c r="AB608" s="94"/>
      <c r="AC608" s="94"/>
      <c r="AD608" s="94"/>
      <c r="AE608" s="94"/>
      <c r="AF608" s="94"/>
      <c r="AG608" s="94"/>
      <c r="AH608" s="94"/>
      <c r="AI608" s="94"/>
      <c r="AJ608" s="94"/>
      <c r="AK608" s="94"/>
      <c r="AL608" s="94"/>
      <c r="AM608" s="94"/>
      <c r="AN608" s="94"/>
      <c r="AO608" s="94"/>
      <c r="AP608" s="94"/>
      <c r="AQ608" s="94"/>
      <c r="AR608" s="94"/>
      <c r="AS608" s="94"/>
      <c r="AT608" s="94"/>
      <c r="AU608" s="94"/>
      <c r="AV608" s="94"/>
      <c r="AW608" s="94"/>
      <c r="AX608" s="94"/>
      <c r="AY608" s="94"/>
      <c r="BA608" s="95"/>
    </row>
    <row r="609" spans="1:53" s="87" customFormat="1" ht="13">
      <c r="A609" s="90" t="str">
        <f t="shared" si="34"/>
        <v/>
      </c>
      <c r="B609">
        <v>19</v>
      </c>
      <c r="C609" t="s">
        <v>210</v>
      </c>
      <c r="D609">
        <v>1</v>
      </c>
      <c r="E609">
        <v>2</v>
      </c>
      <c r="F609" t="s">
        <v>210</v>
      </c>
      <c r="G609" t="s">
        <v>210</v>
      </c>
      <c r="H609">
        <v>-6</v>
      </c>
      <c r="I609">
        <v>-7</v>
      </c>
      <c r="J609" t="s">
        <v>210</v>
      </c>
      <c r="K609" t="s">
        <v>210</v>
      </c>
      <c r="L609">
        <v>5</v>
      </c>
      <c r="M609" s="94"/>
      <c r="N609" s="94"/>
      <c r="O609" s="94"/>
      <c r="P609" s="94"/>
      <c r="Q609" s="94"/>
      <c r="R609" s="94"/>
      <c r="S609" s="94"/>
      <c r="T609" s="94"/>
      <c r="U609" s="94"/>
      <c r="V609" s="94"/>
      <c r="W609" s="94"/>
      <c r="X609" s="94"/>
      <c r="Y609" s="94"/>
      <c r="Z609" s="94"/>
      <c r="AA609" s="94"/>
      <c r="AB609" s="94"/>
      <c r="AC609" s="94"/>
      <c r="AD609" s="94"/>
      <c r="AE609" s="94"/>
      <c r="AF609" s="94"/>
      <c r="AG609" s="94"/>
      <c r="AH609" s="94"/>
      <c r="AI609" s="94"/>
      <c r="AJ609" s="94"/>
      <c r="AK609" s="94"/>
      <c r="AL609" s="94"/>
      <c r="AM609" s="94"/>
      <c r="AN609" s="94"/>
      <c r="AO609" s="94"/>
      <c r="AP609" s="94"/>
      <c r="AQ609" s="94"/>
      <c r="AR609" s="94"/>
      <c r="AS609" s="94"/>
      <c r="AT609" s="94"/>
      <c r="AU609" s="94"/>
      <c r="AV609" s="94"/>
      <c r="AW609" s="94"/>
      <c r="AX609" s="94"/>
      <c r="AY609" s="94"/>
      <c r="BA609" s="95"/>
    </row>
    <row r="610" spans="1:53" s="87" customFormat="1" ht="13">
      <c r="A610" s="90" t="str">
        <f t="shared" si="34"/>
        <v/>
      </c>
      <c r="B610" s="27">
        <v>20</v>
      </c>
      <c r="C610" s="27" t="s">
        <v>210</v>
      </c>
      <c r="D610" s="27">
        <v>4</v>
      </c>
      <c r="E610" s="27">
        <v>-2</v>
      </c>
      <c r="F610" s="27" t="s">
        <v>210</v>
      </c>
      <c r="G610" s="27" t="s">
        <v>210</v>
      </c>
      <c r="H610" s="27">
        <v>-3</v>
      </c>
      <c r="I610" s="27">
        <v>6</v>
      </c>
      <c r="J610" s="27" t="s">
        <v>210</v>
      </c>
      <c r="K610" s="27" t="s">
        <v>210</v>
      </c>
      <c r="L610" s="27">
        <v>7</v>
      </c>
      <c r="M610" s="94"/>
      <c r="N610" s="94"/>
      <c r="O610" s="94"/>
      <c r="P610" s="94"/>
      <c r="Q610" s="94"/>
      <c r="R610" s="94"/>
      <c r="S610" s="94"/>
      <c r="T610" s="94"/>
      <c r="U610" s="94"/>
      <c r="V610" s="94"/>
      <c r="W610" s="94"/>
      <c r="X610" s="94"/>
      <c r="Y610" s="94"/>
      <c r="Z610" s="94"/>
      <c r="AA610" s="94"/>
      <c r="AB610" s="94"/>
      <c r="AC610" s="94"/>
      <c r="AD610" s="94"/>
      <c r="AE610" s="94"/>
      <c r="AF610" s="94"/>
      <c r="AG610" s="94"/>
      <c r="AH610" s="94"/>
      <c r="AI610" s="94"/>
      <c r="AJ610" s="94"/>
      <c r="AK610" s="94"/>
      <c r="AL610" s="94"/>
      <c r="AM610" s="94"/>
      <c r="AN610" s="94"/>
      <c r="AO610" s="94"/>
      <c r="AP610" s="94"/>
      <c r="AQ610" s="94"/>
      <c r="AR610" s="94"/>
      <c r="AS610" s="94"/>
      <c r="AT610" s="94"/>
      <c r="AU610" s="94"/>
      <c r="AV610" s="94"/>
      <c r="AW610" s="94"/>
      <c r="AX610" s="94"/>
      <c r="AY610" s="94"/>
      <c r="BA610" s="95"/>
    </row>
    <row r="611" spans="1:53" s="87" customFormat="1" ht="13">
      <c r="A611" s="90" t="str">
        <f t="shared" si="34"/>
        <v/>
      </c>
      <c r="B611">
        <v>21</v>
      </c>
      <c r="C611">
        <v>5</v>
      </c>
      <c r="D611" t="s">
        <v>210</v>
      </c>
      <c r="E611" t="s">
        <v>210</v>
      </c>
      <c r="F611">
        <v>-6</v>
      </c>
      <c r="G611">
        <v>-4</v>
      </c>
      <c r="H611" t="s">
        <v>210</v>
      </c>
      <c r="I611" t="s">
        <v>210</v>
      </c>
      <c r="J611">
        <v>3</v>
      </c>
      <c r="K611">
        <v>1</v>
      </c>
      <c r="L611" t="s">
        <v>210</v>
      </c>
      <c r="M611" s="94"/>
      <c r="N611" s="94"/>
      <c r="O611" s="94"/>
      <c r="P611" s="94"/>
      <c r="Q611" s="94"/>
      <c r="R611" s="94"/>
      <c r="S611" s="94"/>
      <c r="T611" s="94"/>
      <c r="U611" s="94"/>
      <c r="V611" s="94"/>
      <c r="W611" s="94"/>
      <c r="X611" s="94"/>
      <c r="Y611" s="94"/>
      <c r="Z611" s="94"/>
      <c r="AA611" s="94"/>
      <c r="AB611" s="94"/>
      <c r="AC611" s="94"/>
      <c r="AD611" s="94"/>
      <c r="AE611" s="94"/>
      <c r="AF611" s="94"/>
      <c r="AG611" s="94"/>
      <c r="AH611" s="94"/>
      <c r="AI611" s="94"/>
      <c r="AJ611" s="94"/>
      <c r="AK611" s="94"/>
      <c r="AL611" s="94"/>
      <c r="AM611" s="94"/>
      <c r="AN611" s="94"/>
      <c r="AO611" s="94"/>
      <c r="AP611" s="94"/>
      <c r="AQ611" s="94"/>
      <c r="AR611" s="94"/>
      <c r="AS611" s="94"/>
      <c r="AT611" s="94"/>
      <c r="AU611" s="94"/>
      <c r="AV611" s="94"/>
      <c r="AW611" s="94"/>
      <c r="AX611" s="94"/>
      <c r="AY611" s="94"/>
      <c r="BA611" s="95"/>
    </row>
    <row r="612" spans="1:53" s="87" customFormat="1" ht="13">
      <c r="A612" s="90" t="str">
        <f t="shared" si="34"/>
        <v/>
      </c>
      <c r="B612">
        <v>22</v>
      </c>
      <c r="C612" t="s">
        <v>210</v>
      </c>
      <c r="D612">
        <v>-3</v>
      </c>
      <c r="E612">
        <v>-6</v>
      </c>
      <c r="F612" t="s">
        <v>210</v>
      </c>
      <c r="G612" t="s">
        <v>210</v>
      </c>
      <c r="H612">
        <v>2</v>
      </c>
      <c r="I612" t="s">
        <v>210</v>
      </c>
      <c r="J612">
        <v>5</v>
      </c>
      <c r="K612">
        <v>-1</v>
      </c>
      <c r="L612" t="s">
        <v>210</v>
      </c>
      <c r="M612" s="94"/>
      <c r="N612" s="94"/>
      <c r="O612" s="94"/>
      <c r="P612" s="94"/>
      <c r="Q612" s="94"/>
      <c r="R612" s="94"/>
      <c r="S612" s="94"/>
      <c r="T612" s="94"/>
      <c r="U612" s="94"/>
      <c r="V612" s="94"/>
      <c r="W612" s="94"/>
      <c r="X612" s="94"/>
      <c r="Y612" s="94"/>
      <c r="Z612" s="94"/>
      <c r="AA612" s="94"/>
      <c r="AB612" s="94"/>
      <c r="AC612" s="94"/>
      <c r="AD612" s="94"/>
      <c r="AE612" s="94"/>
      <c r="AF612" s="94"/>
      <c r="AG612" s="94"/>
      <c r="AH612" s="94"/>
      <c r="AI612" s="94"/>
      <c r="AJ612" s="94"/>
      <c r="AK612" s="94"/>
      <c r="AL612" s="94"/>
      <c r="AM612" s="94"/>
      <c r="AN612" s="94"/>
      <c r="AO612" s="94"/>
      <c r="AP612" s="94"/>
      <c r="AQ612" s="94"/>
      <c r="AR612" s="94"/>
      <c r="AS612" s="94"/>
      <c r="AT612" s="94"/>
      <c r="AU612" s="94"/>
      <c r="AV612" s="94"/>
      <c r="AW612" s="94"/>
      <c r="AX612" s="94"/>
      <c r="AY612" s="94"/>
      <c r="BA612" s="95"/>
    </row>
    <row r="613" spans="1:53" s="87" customFormat="1" ht="13">
      <c r="A613" s="90" t="str">
        <f t="shared" si="34"/>
        <v/>
      </c>
      <c r="B613">
        <v>23</v>
      </c>
      <c r="C613" t="s">
        <v>210</v>
      </c>
      <c r="D613">
        <v>5</v>
      </c>
      <c r="E613">
        <v>1</v>
      </c>
      <c r="F613" t="s">
        <v>210</v>
      </c>
      <c r="G613" t="s">
        <v>210</v>
      </c>
      <c r="H613">
        <v>-2</v>
      </c>
      <c r="I613" t="s">
        <v>210</v>
      </c>
      <c r="J613">
        <v>-3</v>
      </c>
      <c r="K613">
        <v>6</v>
      </c>
      <c r="L613" t="s">
        <v>210</v>
      </c>
      <c r="M613" s="94"/>
      <c r="N613" s="94"/>
      <c r="O613" s="94"/>
      <c r="P613" s="94"/>
      <c r="Q613" s="94"/>
      <c r="R613" s="94"/>
      <c r="S613" s="94"/>
      <c r="T613" s="94"/>
      <c r="U613" s="94"/>
      <c r="V613" s="94"/>
      <c r="W613" s="94"/>
      <c r="X613" s="94"/>
      <c r="Y613" s="94"/>
      <c r="Z613" s="94"/>
      <c r="AA613" s="94"/>
      <c r="AB613" s="94"/>
      <c r="AC613" s="94"/>
      <c r="AD613" s="94"/>
      <c r="AE613" s="94"/>
      <c r="AF613" s="94"/>
      <c r="AG613" s="94"/>
      <c r="AH613" s="94"/>
      <c r="AI613" s="94"/>
      <c r="AJ613" s="94"/>
      <c r="AK613" s="94"/>
      <c r="AL613" s="94"/>
      <c r="AM613" s="94"/>
      <c r="AN613" s="94"/>
      <c r="AO613" s="94"/>
      <c r="AP613" s="94"/>
      <c r="AQ613" s="94"/>
      <c r="AR613" s="94"/>
      <c r="AS613" s="94"/>
      <c r="AT613" s="94"/>
      <c r="AU613" s="94"/>
      <c r="AV613" s="94"/>
      <c r="AW613" s="94"/>
      <c r="AX613" s="94"/>
      <c r="AY613" s="94"/>
      <c r="BA613" s="95"/>
    </row>
    <row r="614" spans="1:53" s="87" customFormat="1" ht="13">
      <c r="A614" s="90" t="str">
        <f t="shared" si="34"/>
        <v/>
      </c>
      <c r="B614" s="27">
        <v>24</v>
      </c>
      <c r="C614" s="27">
        <v>-3</v>
      </c>
      <c r="D614" s="27" t="s">
        <v>210</v>
      </c>
      <c r="E614" s="27" t="s">
        <v>210</v>
      </c>
      <c r="F614" s="27">
        <v>1</v>
      </c>
      <c r="G614" s="27">
        <v>4</v>
      </c>
      <c r="H614" s="27" t="s">
        <v>210</v>
      </c>
      <c r="I614" s="27" t="s">
        <v>210</v>
      </c>
      <c r="J614" s="27">
        <v>-5</v>
      </c>
      <c r="K614" s="27">
        <v>-6</v>
      </c>
      <c r="L614" s="27" t="s">
        <v>210</v>
      </c>
      <c r="M614" s="94"/>
      <c r="N614" s="94"/>
      <c r="O614" s="94"/>
      <c r="P614" s="94"/>
      <c r="Q614" s="94"/>
      <c r="R614" s="94"/>
      <c r="S614" s="94"/>
      <c r="T614" s="94"/>
      <c r="U614" s="94"/>
      <c r="V614" s="94"/>
      <c r="W614" s="94"/>
      <c r="X614" s="94"/>
      <c r="Y614" s="94"/>
      <c r="Z614" s="94"/>
      <c r="AA614" s="94"/>
      <c r="AB614" s="94"/>
      <c r="AC614" s="94"/>
      <c r="AD614" s="94"/>
      <c r="AE614" s="94"/>
      <c r="AF614" s="94"/>
      <c r="AG614" s="94"/>
      <c r="AH614" s="94"/>
      <c r="AI614" s="94"/>
      <c r="AJ614" s="94"/>
      <c r="AK614" s="94"/>
      <c r="AL614" s="94"/>
      <c r="AM614" s="94"/>
      <c r="AN614" s="94"/>
      <c r="AO614" s="94"/>
      <c r="AP614" s="94"/>
      <c r="AQ614" s="94"/>
      <c r="AR614" s="94"/>
      <c r="AS614" s="94"/>
      <c r="AT614" s="94"/>
      <c r="AU614" s="94"/>
      <c r="AV614" s="94"/>
      <c r="AW614" s="94"/>
      <c r="AX614" s="94"/>
      <c r="AY614" s="94"/>
      <c r="BA614" s="95"/>
    </row>
    <row r="615" spans="1:53" s="87" customFormat="1" ht="13">
      <c r="A615" s="90" t="str">
        <f t="shared" si="34"/>
        <v/>
      </c>
      <c r="B615">
        <v>25</v>
      </c>
      <c r="C615">
        <v>-5</v>
      </c>
      <c r="D615" t="s">
        <v>210</v>
      </c>
      <c r="E615" t="s">
        <v>210</v>
      </c>
      <c r="F615">
        <v>-1</v>
      </c>
      <c r="G615" t="s">
        <v>210</v>
      </c>
      <c r="H615">
        <v>4</v>
      </c>
      <c r="I615">
        <v>3</v>
      </c>
      <c r="J615" t="s">
        <v>210</v>
      </c>
      <c r="K615" t="s">
        <v>210</v>
      </c>
      <c r="L615">
        <v>-6</v>
      </c>
      <c r="M615" s="94"/>
      <c r="N615" s="94"/>
      <c r="O615" s="94"/>
      <c r="P615" s="94"/>
      <c r="Q615" s="94"/>
      <c r="R615" s="94"/>
      <c r="S615" s="94"/>
      <c r="T615" s="94"/>
      <c r="U615" s="94"/>
      <c r="V615" s="94"/>
      <c r="W615" s="94"/>
      <c r="X615" s="94"/>
      <c r="Y615" s="94"/>
      <c r="Z615" s="94"/>
      <c r="AA615" s="94"/>
      <c r="AB615" s="94"/>
      <c r="AC615" s="94"/>
      <c r="AD615" s="94"/>
      <c r="AE615" s="94"/>
      <c r="AF615" s="94"/>
      <c r="AG615" s="94"/>
      <c r="AH615" s="94"/>
      <c r="AI615" s="94"/>
      <c r="AJ615" s="94"/>
      <c r="AK615" s="94"/>
      <c r="AL615" s="94"/>
      <c r="AM615" s="94"/>
      <c r="AN615" s="94"/>
      <c r="AO615" s="94"/>
      <c r="AP615" s="94"/>
      <c r="AQ615" s="94"/>
      <c r="AR615" s="94"/>
      <c r="AS615" s="94"/>
      <c r="AT615" s="94"/>
      <c r="AU615" s="94"/>
      <c r="AV615" s="94"/>
      <c r="AW615" s="94"/>
      <c r="AX615" s="94"/>
      <c r="AY615" s="94"/>
      <c r="BA615" s="95"/>
    </row>
    <row r="616" spans="1:53" s="87" customFormat="1" ht="13">
      <c r="A616" s="90" t="str">
        <f t="shared" si="34"/>
        <v/>
      </c>
      <c r="B616">
        <v>26</v>
      </c>
      <c r="C616" t="s">
        <v>210</v>
      </c>
      <c r="D616">
        <v>3</v>
      </c>
      <c r="E616">
        <v>-1</v>
      </c>
      <c r="F616" t="s">
        <v>210</v>
      </c>
      <c r="G616">
        <v>-2</v>
      </c>
      <c r="H616" t="s">
        <v>210</v>
      </c>
      <c r="I616">
        <v>5</v>
      </c>
      <c r="J616" t="s">
        <v>210</v>
      </c>
      <c r="K616" t="s">
        <v>210</v>
      </c>
      <c r="L616">
        <v>6</v>
      </c>
      <c r="M616" s="94"/>
      <c r="N616" s="94"/>
      <c r="O616" s="94"/>
      <c r="P616" s="94"/>
      <c r="Q616" s="94"/>
      <c r="R616" s="94"/>
      <c r="S616" s="94"/>
      <c r="T616" s="94"/>
      <c r="U616" s="94"/>
      <c r="V616" s="94"/>
      <c r="W616" s="94"/>
      <c r="X616" s="94"/>
      <c r="Y616" s="94"/>
      <c r="Z616" s="94"/>
      <c r="AA616" s="94"/>
      <c r="AB616" s="94"/>
      <c r="AC616" s="94"/>
      <c r="AD616" s="94"/>
      <c r="AE616" s="94"/>
      <c r="AF616" s="94"/>
      <c r="AG616" s="94"/>
      <c r="AH616" s="94"/>
      <c r="AI616" s="94"/>
      <c r="AJ616" s="94"/>
      <c r="AK616" s="94"/>
      <c r="AL616" s="94"/>
      <c r="AM616" s="94"/>
      <c r="AN616" s="94"/>
      <c r="AO616" s="94"/>
      <c r="AP616" s="94"/>
      <c r="AQ616" s="94"/>
      <c r="AR616" s="94"/>
      <c r="AS616" s="94"/>
      <c r="AT616" s="94"/>
      <c r="AU616" s="94"/>
      <c r="AV616" s="94"/>
      <c r="AW616" s="94"/>
      <c r="AX616" s="94"/>
      <c r="AY616" s="94"/>
      <c r="BA616" s="95"/>
    </row>
    <row r="617" spans="1:53" s="87" customFormat="1" ht="13">
      <c r="A617" s="90" t="str">
        <f t="shared" si="34"/>
        <v/>
      </c>
      <c r="B617">
        <v>27</v>
      </c>
      <c r="C617" t="s">
        <v>210</v>
      </c>
      <c r="D617">
        <v>-5</v>
      </c>
      <c r="E617">
        <v>6</v>
      </c>
      <c r="F617" t="s">
        <v>210</v>
      </c>
      <c r="G617">
        <v>2</v>
      </c>
      <c r="H617" t="s">
        <v>210</v>
      </c>
      <c r="I617">
        <v>-3</v>
      </c>
      <c r="J617" t="s">
        <v>210</v>
      </c>
      <c r="K617" t="s">
        <v>210</v>
      </c>
      <c r="L617">
        <v>-1</v>
      </c>
      <c r="M617" s="94"/>
      <c r="N617" s="94"/>
      <c r="O617" s="94"/>
      <c r="P617" s="94"/>
      <c r="Q617" s="94"/>
      <c r="R617" s="94"/>
      <c r="S617" s="94"/>
      <c r="T617" s="94"/>
      <c r="U617" s="94"/>
      <c r="V617" s="94"/>
      <c r="W617" s="94"/>
      <c r="X617" s="94"/>
      <c r="Y617" s="94"/>
      <c r="Z617" s="94"/>
      <c r="AA617" s="94"/>
      <c r="AB617" s="94"/>
      <c r="AC617" s="94"/>
      <c r="AD617" s="94"/>
      <c r="AE617" s="94"/>
      <c r="AF617" s="94"/>
      <c r="AG617" s="94"/>
      <c r="AH617" s="94"/>
      <c r="AI617" s="94"/>
      <c r="AJ617" s="94"/>
      <c r="AK617" s="94"/>
      <c r="AL617" s="94"/>
      <c r="AM617" s="94"/>
      <c r="AN617" s="94"/>
      <c r="AO617" s="94"/>
      <c r="AP617" s="94"/>
      <c r="AQ617" s="94"/>
      <c r="AR617" s="94"/>
      <c r="AS617" s="94"/>
      <c r="AT617" s="94"/>
      <c r="AU617" s="94"/>
      <c r="AV617" s="94"/>
      <c r="AW617" s="94"/>
      <c r="AX617" s="94"/>
      <c r="AY617" s="94"/>
      <c r="BA617" s="95"/>
    </row>
    <row r="618" spans="1:53" s="87" customFormat="1" ht="13">
      <c r="A618" s="90" t="str">
        <f t="shared" si="34"/>
        <v/>
      </c>
      <c r="B618">
        <v>28</v>
      </c>
      <c r="C618">
        <v>3</v>
      </c>
      <c r="D618" t="s">
        <v>210</v>
      </c>
      <c r="E618" t="s">
        <v>210</v>
      </c>
      <c r="F618">
        <v>6</v>
      </c>
      <c r="G618" t="s">
        <v>210</v>
      </c>
      <c r="H618">
        <v>-4</v>
      </c>
      <c r="I618">
        <v>-5</v>
      </c>
      <c r="J618" t="s">
        <v>210</v>
      </c>
      <c r="K618" t="s">
        <v>210</v>
      </c>
      <c r="L618">
        <v>1</v>
      </c>
      <c r="M618" s="94"/>
      <c r="N618" s="94"/>
      <c r="O618" s="94"/>
      <c r="P618" s="94"/>
      <c r="Q618" s="94"/>
      <c r="R618" s="94"/>
      <c r="S618" s="94"/>
      <c r="T618" s="94"/>
      <c r="U618" s="94"/>
      <c r="V618" s="94"/>
      <c r="W618" s="94"/>
      <c r="X618" s="94"/>
      <c r="Y618" s="94"/>
      <c r="Z618" s="94"/>
      <c r="AA618" s="94"/>
      <c r="AB618" s="94"/>
      <c r="AC618" s="94"/>
      <c r="AD618" s="94"/>
      <c r="AE618" s="94"/>
      <c r="AF618" s="94"/>
      <c r="AG618" s="94"/>
      <c r="AH618" s="94"/>
      <c r="AI618" s="94"/>
      <c r="AJ618" s="94"/>
      <c r="AK618" s="94"/>
      <c r="AL618" s="94"/>
      <c r="AM618" s="94"/>
      <c r="AN618" s="94"/>
      <c r="AO618" s="94"/>
      <c r="AP618" s="94"/>
      <c r="AQ618" s="94"/>
      <c r="AR618" s="94"/>
      <c r="AS618" s="94"/>
      <c r="AT618" s="94"/>
      <c r="AU618" s="94"/>
      <c r="AV618" s="94"/>
      <c r="AW618" s="94"/>
      <c r="AX618" s="94"/>
      <c r="AY618" s="94"/>
      <c r="BA618" s="95"/>
    </row>
    <row r="619" spans="1:53" s="87" customFormat="1" ht="13">
      <c r="A619" s="90" t="str">
        <f t="shared" si="34"/>
        <v/>
      </c>
      <c r="B619" t="s">
        <v>441</v>
      </c>
      <c r="C619"/>
      <c r="D619"/>
      <c r="E619"/>
      <c r="F619"/>
      <c r="G619"/>
      <c r="H619"/>
      <c r="I619"/>
      <c r="J619"/>
      <c r="K619"/>
      <c r="L619"/>
      <c r="M619" s="94"/>
      <c r="N619" s="94"/>
      <c r="O619" s="94"/>
      <c r="P619" s="94"/>
      <c r="Q619" s="94"/>
      <c r="R619" s="94"/>
      <c r="S619" s="94"/>
      <c r="T619" s="94"/>
      <c r="U619" s="94"/>
      <c r="V619" s="94"/>
      <c r="W619" s="94"/>
      <c r="X619" s="94"/>
      <c r="Y619" s="94"/>
      <c r="Z619" s="94"/>
      <c r="AA619" s="94"/>
      <c r="AB619" s="94"/>
      <c r="AC619" s="94"/>
      <c r="AD619" s="94"/>
      <c r="AE619" s="94"/>
      <c r="AF619" s="94"/>
      <c r="AG619" s="94"/>
      <c r="AH619" s="94"/>
      <c r="AI619" s="94"/>
      <c r="AJ619" s="94"/>
      <c r="AK619" s="94"/>
      <c r="AL619" s="94"/>
      <c r="AM619" s="94"/>
      <c r="AN619" s="94"/>
      <c r="AO619" s="94"/>
      <c r="AP619" s="94"/>
      <c r="AQ619" s="94"/>
      <c r="AR619" s="94"/>
      <c r="AS619" s="94"/>
      <c r="AT619" s="94"/>
      <c r="AU619" s="94"/>
      <c r="AV619" s="94"/>
      <c r="AW619" s="94"/>
      <c r="AX619" s="94"/>
      <c r="AY619" s="94"/>
      <c r="BA619" s="95"/>
    </row>
    <row r="620" spans="1:53" s="87" customFormat="1" ht="13">
      <c r="A620" s="90">
        <f t="shared" si="34"/>
        <v>620</v>
      </c>
      <c r="B620" t="s">
        <v>837</v>
      </c>
      <c r="C620"/>
      <c r="D620"/>
      <c r="E620"/>
      <c r="F620"/>
      <c r="G620"/>
      <c r="H620"/>
      <c r="I620"/>
      <c r="J620"/>
      <c r="K620"/>
      <c r="L620"/>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BA620" s="95"/>
    </row>
    <row r="621" spans="1:53" s="87" customFormat="1" ht="13">
      <c r="A621" s="90" t="str">
        <f t="shared" si="34"/>
        <v/>
      </c>
      <c r="B621">
        <v>1</v>
      </c>
      <c r="C621">
        <v>7</v>
      </c>
      <c r="D621" t="s">
        <v>210</v>
      </c>
      <c r="E621" t="s">
        <v>210</v>
      </c>
      <c r="F621">
        <v>-2</v>
      </c>
      <c r="G621">
        <v>-5</v>
      </c>
      <c r="H621" t="s">
        <v>210</v>
      </c>
      <c r="I621" t="s">
        <v>210</v>
      </c>
      <c r="J621">
        <v>1</v>
      </c>
      <c r="K621" t="s">
        <v>210</v>
      </c>
      <c r="L621">
        <v>3</v>
      </c>
      <c r="M621" s="94"/>
      <c r="N621" s="94"/>
      <c r="O621" s="94"/>
      <c r="P621" s="94"/>
      <c r="Q621" s="94"/>
      <c r="R621" s="94"/>
      <c r="S621" s="94"/>
      <c r="T621" s="94"/>
      <c r="U621" s="94"/>
      <c r="V621" s="94"/>
      <c r="W621" s="94"/>
      <c r="X621" s="94"/>
      <c r="Y621" s="94"/>
      <c r="Z621" s="94"/>
      <c r="AA621" s="94"/>
      <c r="AB621" s="94"/>
      <c r="AC621" s="94"/>
      <c r="AD621" s="94"/>
      <c r="AE621" s="94"/>
      <c r="AF621" s="94"/>
      <c r="AG621" s="94"/>
      <c r="AH621" s="94"/>
      <c r="AI621" s="94"/>
      <c r="AJ621" s="94"/>
      <c r="AK621" s="94"/>
      <c r="AL621" s="94"/>
      <c r="AM621" s="94"/>
      <c r="AN621" s="94"/>
      <c r="AO621" s="94"/>
      <c r="AP621" s="94"/>
      <c r="AQ621" s="94"/>
      <c r="AR621" s="94"/>
      <c r="AS621" s="94"/>
      <c r="AT621" s="94"/>
      <c r="AU621" s="94"/>
      <c r="AV621" s="94"/>
      <c r="AW621" s="94"/>
      <c r="AX621" s="94"/>
      <c r="AY621" s="94"/>
      <c r="BA621" s="95"/>
    </row>
    <row r="622" spans="1:53" s="87" customFormat="1" ht="13">
      <c r="A622" s="90" t="str">
        <f t="shared" si="34"/>
        <v/>
      </c>
      <c r="B622">
        <v>2</v>
      </c>
      <c r="C622">
        <v>5</v>
      </c>
      <c r="D622" t="s">
        <v>210</v>
      </c>
      <c r="E622" t="s">
        <v>210</v>
      </c>
      <c r="F622">
        <v>1</v>
      </c>
      <c r="G622">
        <v>-6</v>
      </c>
      <c r="H622" t="s">
        <v>210</v>
      </c>
      <c r="I622">
        <v>-7</v>
      </c>
      <c r="J622" t="s">
        <v>210</v>
      </c>
      <c r="K622" t="s">
        <v>210</v>
      </c>
      <c r="L622">
        <v>-3</v>
      </c>
      <c r="M622" s="94"/>
      <c r="N622" s="94"/>
      <c r="O622" s="94"/>
      <c r="P622" s="94"/>
      <c r="Q622" s="94"/>
      <c r="R622" s="94"/>
      <c r="S622" s="94"/>
      <c r="T622" s="94"/>
      <c r="U622" s="94"/>
      <c r="V622" s="94"/>
      <c r="W622" s="94"/>
      <c r="X622" s="94"/>
      <c r="Y622" s="94"/>
      <c r="Z622" s="94"/>
      <c r="AA622" s="94"/>
      <c r="AB622" s="94"/>
      <c r="AC622" s="94"/>
      <c r="AD622" s="94"/>
      <c r="AE622" s="94"/>
      <c r="AF622" s="94"/>
      <c r="AG622" s="94"/>
      <c r="AH622" s="94"/>
      <c r="AI622" s="94"/>
      <c r="AJ622" s="94"/>
      <c r="AK622" s="94"/>
      <c r="AL622" s="94"/>
      <c r="AM622" s="94"/>
      <c r="AN622" s="94"/>
      <c r="AO622" s="94"/>
      <c r="AP622" s="94"/>
      <c r="AQ622" s="94"/>
      <c r="AR622" s="94"/>
      <c r="AS622" s="94"/>
      <c r="AT622" s="94"/>
      <c r="AU622" s="94"/>
      <c r="AV622" s="94"/>
      <c r="AW622" s="94"/>
      <c r="AX622" s="94"/>
      <c r="AY622" s="94"/>
      <c r="BA622" s="95"/>
    </row>
    <row r="623" spans="1:53" s="87" customFormat="1" ht="13">
      <c r="A623" s="90" t="str">
        <f t="shared" si="34"/>
        <v/>
      </c>
      <c r="B623">
        <v>3</v>
      </c>
      <c r="C623">
        <v>-5</v>
      </c>
      <c r="D623" t="s">
        <v>210</v>
      </c>
      <c r="E623" t="s">
        <v>210</v>
      </c>
      <c r="F623">
        <v>2</v>
      </c>
      <c r="G623">
        <v>-7</v>
      </c>
      <c r="H623" t="s">
        <v>210</v>
      </c>
      <c r="I623" t="s">
        <v>210</v>
      </c>
      <c r="J623">
        <v>-6</v>
      </c>
      <c r="K623" t="s">
        <v>210</v>
      </c>
      <c r="L623">
        <v>4</v>
      </c>
      <c r="M623" s="94"/>
      <c r="N623" s="94"/>
      <c r="O623" s="94"/>
      <c r="P623" s="94"/>
      <c r="Q623" s="94"/>
      <c r="R623" s="94"/>
      <c r="S623" s="94"/>
      <c r="T623" s="94"/>
      <c r="U623" s="94"/>
      <c r="V623" s="94"/>
      <c r="W623" s="94"/>
      <c r="X623" s="94"/>
      <c r="Y623" s="94"/>
      <c r="Z623" s="94"/>
      <c r="AA623" s="94"/>
      <c r="AB623" s="94"/>
      <c r="AC623" s="94"/>
      <c r="AD623" s="94"/>
      <c r="AE623" s="94"/>
      <c r="AF623" s="94"/>
      <c r="AG623" s="94"/>
      <c r="AH623" s="94"/>
      <c r="AI623" s="94"/>
      <c r="AJ623" s="94"/>
      <c r="AK623" s="94"/>
      <c r="AL623" s="94"/>
      <c r="AM623" s="94"/>
      <c r="AN623" s="94"/>
      <c r="AO623" s="94"/>
      <c r="AP623" s="94"/>
      <c r="AQ623" s="94"/>
      <c r="AR623" s="94"/>
      <c r="AS623" s="94"/>
      <c r="AT623" s="94"/>
      <c r="AU623" s="94"/>
      <c r="AV623" s="94"/>
      <c r="AW623" s="94"/>
      <c r="AX623" s="94"/>
      <c r="AY623" s="94"/>
      <c r="BA623" s="95"/>
    </row>
    <row r="624" spans="1:53" s="87" customFormat="1" ht="13">
      <c r="A624" s="90" t="str">
        <f t="shared" si="34"/>
        <v/>
      </c>
      <c r="B624">
        <v>4</v>
      </c>
      <c r="C624" t="s">
        <v>210</v>
      </c>
      <c r="D624">
        <v>3</v>
      </c>
      <c r="E624">
        <v>-7</v>
      </c>
      <c r="F624" t="s">
        <v>210</v>
      </c>
      <c r="G624">
        <v>6</v>
      </c>
      <c r="H624" t="s">
        <v>210</v>
      </c>
      <c r="I624" t="s">
        <v>210</v>
      </c>
      <c r="J624">
        <v>-1</v>
      </c>
      <c r="K624" t="s">
        <v>210</v>
      </c>
      <c r="L624">
        <v>-4</v>
      </c>
      <c r="M624" s="94"/>
      <c r="N624" s="94"/>
      <c r="O624" s="94"/>
      <c r="P624" s="94"/>
      <c r="Q624" s="94"/>
      <c r="R624" s="94"/>
      <c r="S624" s="94"/>
      <c r="T624" s="94"/>
      <c r="U624" s="94"/>
      <c r="V624" s="94"/>
      <c r="W624" s="94"/>
      <c r="X624" s="94"/>
      <c r="Y624" s="94"/>
      <c r="Z624" s="94"/>
      <c r="AA624" s="94"/>
      <c r="AB624" s="94"/>
      <c r="AC624" s="94"/>
      <c r="AD624" s="94"/>
      <c r="AE624" s="94"/>
      <c r="AF624" s="94"/>
      <c r="AG624" s="94"/>
      <c r="AH624" s="94"/>
      <c r="AI624" s="94"/>
      <c r="AJ624" s="94"/>
      <c r="AK624" s="94"/>
      <c r="AL624" s="94"/>
      <c r="AM624" s="94"/>
      <c r="AN624" s="94"/>
      <c r="AO624" s="94"/>
      <c r="AP624" s="94"/>
      <c r="AQ624" s="94"/>
      <c r="AR624" s="94"/>
      <c r="AS624" s="94"/>
      <c r="AT624" s="94"/>
      <c r="AU624" s="94"/>
      <c r="AV624" s="94"/>
      <c r="AW624" s="94"/>
      <c r="AX624" s="94"/>
      <c r="AY624" s="94"/>
      <c r="BA624" s="95"/>
    </row>
    <row r="625" spans="1:53" s="87" customFormat="1" ht="13">
      <c r="A625" s="90" t="str">
        <f t="shared" si="34"/>
        <v/>
      </c>
      <c r="B625" s="27">
        <v>5</v>
      </c>
      <c r="C625" s="27" t="s">
        <v>210</v>
      </c>
      <c r="D625" s="27">
        <v>-3</v>
      </c>
      <c r="E625" s="27" t="s">
        <v>210</v>
      </c>
      <c r="F625" s="27">
        <v>-1</v>
      </c>
      <c r="G625" s="27">
        <v>5</v>
      </c>
      <c r="H625" s="27" t="s">
        <v>210</v>
      </c>
      <c r="I625" s="27" t="s">
        <v>210</v>
      </c>
      <c r="J625" s="27">
        <v>6</v>
      </c>
      <c r="K625" s="27">
        <v>-7</v>
      </c>
      <c r="L625" s="27" t="s">
        <v>210</v>
      </c>
      <c r="M625" s="94"/>
      <c r="N625" s="94"/>
      <c r="O625" s="94"/>
      <c r="P625" s="94"/>
      <c r="Q625" s="94"/>
      <c r="R625" s="94"/>
      <c r="S625" s="94"/>
      <c r="T625" s="94"/>
      <c r="U625" s="94"/>
      <c r="V625" s="94"/>
      <c r="W625" s="94"/>
      <c r="X625" s="94"/>
      <c r="Y625" s="94"/>
      <c r="Z625" s="94"/>
      <c r="AA625" s="94"/>
      <c r="AB625" s="94"/>
      <c r="AC625" s="94"/>
      <c r="AD625" s="94"/>
      <c r="AE625" s="94"/>
      <c r="AF625" s="94"/>
      <c r="AG625" s="94"/>
      <c r="AH625" s="94"/>
      <c r="AI625" s="94"/>
      <c r="AJ625" s="94"/>
      <c r="AK625" s="94"/>
      <c r="AL625" s="94"/>
      <c r="AM625" s="94"/>
      <c r="AN625" s="94"/>
      <c r="AO625" s="94"/>
      <c r="AP625" s="94"/>
      <c r="AQ625" s="94"/>
      <c r="AR625" s="94"/>
      <c r="AS625" s="94"/>
      <c r="AT625" s="94"/>
      <c r="AU625" s="94"/>
      <c r="AV625" s="94"/>
      <c r="AW625" s="94"/>
      <c r="AX625" s="94"/>
      <c r="AY625" s="94"/>
      <c r="BA625" s="95"/>
    </row>
    <row r="626" spans="1:53" s="87" customFormat="1" ht="13">
      <c r="A626" s="90" t="str">
        <f t="shared" si="34"/>
        <v/>
      </c>
      <c r="B626">
        <v>6</v>
      </c>
      <c r="C626">
        <v>-7</v>
      </c>
      <c r="D626" t="s">
        <v>210</v>
      </c>
      <c r="E626">
        <v>-3</v>
      </c>
      <c r="F626" t="s">
        <v>210</v>
      </c>
      <c r="G626">
        <v>-4</v>
      </c>
      <c r="H626" t="s">
        <v>210</v>
      </c>
      <c r="I626" t="s">
        <v>210</v>
      </c>
      <c r="J626">
        <v>5</v>
      </c>
      <c r="K626" t="s">
        <v>210</v>
      </c>
      <c r="L626">
        <v>2</v>
      </c>
      <c r="M626" s="94"/>
      <c r="N626" s="94"/>
      <c r="O626" s="94"/>
      <c r="P626" s="94"/>
      <c r="Q626" s="94"/>
      <c r="R626" s="94"/>
      <c r="S626" s="94"/>
      <c r="T626" s="94"/>
      <c r="U626" s="94"/>
      <c r="V626" s="94"/>
      <c r="W626" s="94"/>
      <c r="X626" s="94"/>
      <c r="Y626" s="94"/>
      <c r="Z626" s="94"/>
      <c r="AA626" s="94"/>
      <c r="AB626" s="94"/>
      <c r="AC626" s="94"/>
      <c r="AD626" s="94"/>
      <c r="AE626" s="94"/>
      <c r="AF626" s="94"/>
      <c r="AG626" s="94"/>
      <c r="AH626" s="94"/>
      <c r="AI626" s="94"/>
      <c r="AJ626" s="94"/>
      <c r="AK626" s="94"/>
      <c r="AL626" s="94"/>
      <c r="AM626" s="94"/>
      <c r="AN626" s="94"/>
      <c r="AO626" s="94"/>
      <c r="AP626" s="94"/>
      <c r="AQ626" s="94"/>
      <c r="AR626" s="94"/>
      <c r="AS626" s="94"/>
      <c r="AT626" s="94"/>
      <c r="AU626" s="94"/>
      <c r="AV626" s="94"/>
      <c r="AW626" s="94"/>
      <c r="AX626" s="94"/>
      <c r="AY626" s="94"/>
      <c r="BA626" s="95"/>
    </row>
    <row r="627" spans="1:53" s="87" customFormat="1" ht="13">
      <c r="A627" s="90" t="str">
        <f t="shared" si="34"/>
        <v/>
      </c>
      <c r="B627">
        <v>7</v>
      </c>
      <c r="C627" t="s">
        <v>210</v>
      </c>
      <c r="D627">
        <v>4</v>
      </c>
      <c r="E627">
        <v>1</v>
      </c>
      <c r="F627" t="s">
        <v>210</v>
      </c>
      <c r="G627">
        <v>-3</v>
      </c>
      <c r="H627" t="s">
        <v>210</v>
      </c>
      <c r="I627">
        <v>7</v>
      </c>
      <c r="J627" t="s">
        <v>210</v>
      </c>
      <c r="K627" t="s">
        <v>210</v>
      </c>
      <c r="L627">
        <v>-2</v>
      </c>
      <c r="M627" s="94"/>
      <c r="N627" s="94"/>
      <c r="O627" s="94"/>
      <c r="P627" s="94"/>
      <c r="Q627" s="94"/>
      <c r="R627" s="94"/>
      <c r="S627" s="94"/>
      <c r="T627" s="94"/>
      <c r="U627" s="94"/>
      <c r="V627" s="94"/>
      <c r="W627" s="94"/>
      <c r="X627" s="94"/>
      <c r="Y627" s="94"/>
      <c r="Z627" s="94"/>
      <c r="AA627" s="94"/>
      <c r="AB627" s="94"/>
      <c r="AC627" s="94"/>
      <c r="AD627" s="94"/>
      <c r="AE627" s="94"/>
      <c r="AF627" s="94"/>
      <c r="AG627" s="94"/>
      <c r="AH627" s="94"/>
      <c r="AI627" s="94"/>
      <c r="AJ627" s="94"/>
      <c r="AK627" s="94"/>
      <c r="AL627" s="94"/>
      <c r="AM627" s="94"/>
      <c r="AN627" s="94"/>
      <c r="AO627" s="94"/>
      <c r="AP627" s="94"/>
      <c r="AQ627" s="94"/>
      <c r="AR627" s="94"/>
      <c r="AS627" s="94"/>
      <c r="AT627" s="94"/>
      <c r="AU627" s="94"/>
      <c r="AV627" s="94"/>
      <c r="AW627" s="94"/>
      <c r="AX627" s="94"/>
      <c r="AY627" s="94"/>
      <c r="BA627" s="95"/>
    </row>
    <row r="628" spans="1:53" s="87" customFormat="1" ht="13">
      <c r="A628" s="90" t="str">
        <f t="shared" si="34"/>
        <v/>
      </c>
      <c r="B628">
        <v>8</v>
      </c>
      <c r="C628" t="s">
        <v>210</v>
      </c>
      <c r="D628">
        <v>-4</v>
      </c>
      <c r="E628">
        <v>3</v>
      </c>
      <c r="F628" t="s">
        <v>210</v>
      </c>
      <c r="G628">
        <v>7</v>
      </c>
      <c r="H628" t="s">
        <v>210</v>
      </c>
      <c r="I628" t="s">
        <v>210</v>
      </c>
      <c r="J628">
        <v>-2</v>
      </c>
      <c r="K628">
        <v>1</v>
      </c>
      <c r="L628" t="s">
        <v>210</v>
      </c>
      <c r="M628" s="94"/>
      <c r="N628" s="94"/>
      <c r="O628" s="94"/>
      <c r="P628" s="94"/>
      <c r="Q628" s="94"/>
      <c r="R628" s="94"/>
      <c r="S628" s="94"/>
      <c r="T628" s="94"/>
      <c r="U628" s="94"/>
      <c r="V628" s="94"/>
      <c r="W628" s="94"/>
      <c r="X628" s="94"/>
      <c r="Y628" s="94"/>
      <c r="Z628" s="94"/>
      <c r="AA628" s="94"/>
      <c r="AB628" s="94"/>
      <c r="AC628" s="94"/>
      <c r="AD628" s="94"/>
      <c r="AE628" s="94"/>
      <c r="AF628" s="94"/>
      <c r="AG628" s="94"/>
      <c r="AH628" s="94"/>
      <c r="AI628" s="94"/>
      <c r="AJ628" s="94"/>
      <c r="AK628" s="94"/>
      <c r="AL628" s="94"/>
      <c r="AM628" s="94"/>
      <c r="AN628" s="94"/>
      <c r="AO628" s="94"/>
      <c r="AP628" s="94"/>
      <c r="AQ628" s="94"/>
      <c r="AR628" s="94"/>
      <c r="AS628" s="94"/>
      <c r="AT628" s="94"/>
      <c r="AU628" s="94"/>
      <c r="AV628" s="94"/>
      <c r="AW628" s="94"/>
      <c r="AX628" s="94"/>
      <c r="AY628" s="94"/>
      <c r="BA628" s="95"/>
    </row>
    <row r="629" spans="1:53" s="87" customFormat="1" ht="13">
      <c r="A629" s="90" t="str">
        <f t="shared" si="34"/>
        <v/>
      </c>
      <c r="B629">
        <v>9</v>
      </c>
      <c r="C629" t="s">
        <v>210</v>
      </c>
      <c r="D629">
        <v>6</v>
      </c>
      <c r="E629">
        <v>7</v>
      </c>
      <c r="F629" t="s">
        <v>210</v>
      </c>
      <c r="G629">
        <v>3</v>
      </c>
      <c r="H629" t="s">
        <v>210</v>
      </c>
      <c r="I629" t="s">
        <v>210</v>
      </c>
      <c r="J629">
        <v>-5</v>
      </c>
      <c r="K629">
        <v>-1</v>
      </c>
      <c r="L629" t="s">
        <v>210</v>
      </c>
      <c r="M629" s="94"/>
      <c r="N629" s="94"/>
      <c r="O629" s="94"/>
      <c r="P629" s="94"/>
      <c r="Q629" s="94"/>
      <c r="R629" s="94"/>
      <c r="S629" s="94"/>
      <c r="T629" s="94"/>
      <c r="U629" s="94"/>
      <c r="V629" s="94"/>
      <c r="W629" s="94"/>
      <c r="X629" s="94"/>
      <c r="Y629" s="94"/>
      <c r="Z629" s="94"/>
      <c r="AA629" s="94"/>
      <c r="AB629" s="94"/>
      <c r="AC629" s="94"/>
      <c r="AD629" s="94"/>
      <c r="AE629" s="94"/>
      <c r="AF629" s="94"/>
      <c r="AG629" s="94"/>
      <c r="AH629" s="94"/>
      <c r="AI629" s="94"/>
      <c r="AJ629" s="94"/>
      <c r="AK629" s="94"/>
      <c r="AL629" s="94"/>
      <c r="AM629" s="94"/>
      <c r="AN629" s="94"/>
      <c r="AO629" s="94"/>
      <c r="AP629" s="94"/>
      <c r="AQ629" s="94"/>
      <c r="AR629" s="94"/>
      <c r="AS629" s="94"/>
      <c r="AT629" s="94"/>
      <c r="AU629" s="94"/>
      <c r="AV629" s="94"/>
      <c r="AW629" s="94"/>
      <c r="AX629" s="94"/>
      <c r="AY629" s="94"/>
      <c r="BA629" s="95"/>
    </row>
    <row r="630" spans="1:53" s="87" customFormat="1" ht="13">
      <c r="A630" s="90" t="str">
        <f t="shared" si="34"/>
        <v/>
      </c>
      <c r="B630" s="27">
        <v>10</v>
      </c>
      <c r="C630" s="27" t="s">
        <v>210</v>
      </c>
      <c r="D630" s="27">
        <v>-6</v>
      </c>
      <c r="E630" s="27">
        <v>-1</v>
      </c>
      <c r="F630" s="27" t="s">
        <v>210</v>
      </c>
      <c r="G630" s="27">
        <v>4</v>
      </c>
      <c r="H630" s="27" t="s">
        <v>210</v>
      </c>
      <c r="I630" s="27" t="s">
        <v>210</v>
      </c>
      <c r="J630" s="27">
        <v>2</v>
      </c>
      <c r="K630" s="27">
        <v>7</v>
      </c>
      <c r="L630" s="27" t="s">
        <v>210</v>
      </c>
      <c r="M630" s="94"/>
      <c r="N630" s="94"/>
      <c r="O630" s="94"/>
      <c r="P630" s="94"/>
      <c r="Q630" s="94"/>
      <c r="R630" s="94"/>
      <c r="S630" s="94"/>
      <c r="T630" s="94"/>
      <c r="U630" s="94"/>
      <c r="V630" s="94"/>
      <c r="W630" s="94"/>
      <c r="X630" s="94"/>
      <c r="Y630" s="94"/>
      <c r="Z630" s="94"/>
      <c r="AA630" s="94"/>
      <c r="AB630" s="94"/>
      <c r="AC630" s="94"/>
      <c r="AD630" s="94"/>
      <c r="AE630" s="94"/>
      <c r="AF630" s="94"/>
      <c r="AG630" s="94"/>
      <c r="AH630" s="94"/>
      <c r="AI630" s="94"/>
      <c r="AJ630" s="94"/>
      <c r="AK630" s="94"/>
      <c r="AL630" s="94"/>
      <c r="AM630" s="94"/>
      <c r="AN630" s="94"/>
      <c r="AO630" s="94"/>
      <c r="AP630" s="94"/>
      <c r="AQ630" s="94"/>
      <c r="AR630" s="94"/>
      <c r="AS630" s="94"/>
      <c r="AT630" s="94"/>
      <c r="AU630" s="94"/>
      <c r="AV630" s="94"/>
      <c r="AW630" s="94"/>
      <c r="AX630" s="94"/>
      <c r="AY630" s="94"/>
      <c r="BA630" s="95"/>
    </row>
    <row r="631" spans="1:53" s="87" customFormat="1" ht="13">
      <c r="A631" s="90" t="str">
        <f t="shared" si="34"/>
        <v/>
      </c>
      <c r="B631">
        <v>11</v>
      </c>
      <c r="C631">
        <v>2</v>
      </c>
      <c r="D631" t="s">
        <v>210</v>
      </c>
      <c r="E631" t="s">
        <v>210</v>
      </c>
      <c r="F631">
        <v>6</v>
      </c>
      <c r="G631" t="s">
        <v>210</v>
      </c>
      <c r="H631">
        <v>5</v>
      </c>
      <c r="I631">
        <v>-1</v>
      </c>
      <c r="J631" t="s">
        <v>210</v>
      </c>
      <c r="K631">
        <v>-3</v>
      </c>
      <c r="L631" t="s">
        <v>210</v>
      </c>
      <c r="M631" s="94"/>
      <c r="N631" s="94"/>
      <c r="O631" s="94"/>
      <c r="P631" s="94"/>
      <c r="Q631" s="94"/>
      <c r="R631" s="94"/>
      <c r="S631" s="94"/>
      <c r="T631" s="94"/>
      <c r="U631" s="94"/>
      <c r="V631" s="94"/>
      <c r="W631" s="94"/>
      <c r="X631" s="94"/>
      <c r="Y631" s="94"/>
      <c r="Z631" s="94"/>
      <c r="AA631" s="94"/>
      <c r="AB631" s="94"/>
      <c r="AC631" s="94"/>
      <c r="AD631" s="94"/>
      <c r="AE631" s="94"/>
      <c r="AF631" s="94"/>
      <c r="AG631" s="94"/>
      <c r="AH631" s="94"/>
      <c r="AI631" s="94"/>
      <c r="AJ631" s="94"/>
      <c r="AK631" s="94"/>
      <c r="AL631" s="94"/>
      <c r="AM631" s="94"/>
      <c r="AN631" s="94"/>
      <c r="AO631" s="94"/>
      <c r="AP631" s="94"/>
      <c r="AQ631" s="94"/>
      <c r="AR631" s="94"/>
      <c r="AS631" s="94"/>
      <c r="AT631" s="94"/>
      <c r="AU631" s="94"/>
      <c r="AV631" s="94"/>
      <c r="AW631" s="94"/>
      <c r="AX631" s="94"/>
      <c r="AY631" s="94"/>
      <c r="BA631" s="95"/>
    </row>
    <row r="632" spans="1:53" s="87" customFormat="1" ht="13">
      <c r="A632" s="90" t="str">
        <f t="shared" si="34"/>
        <v/>
      </c>
      <c r="B632">
        <v>12</v>
      </c>
      <c r="C632">
        <v>-3</v>
      </c>
      <c r="D632" t="s">
        <v>210</v>
      </c>
      <c r="E632" t="s">
        <v>210</v>
      </c>
      <c r="F632">
        <v>-4</v>
      </c>
      <c r="G632" t="s">
        <v>210</v>
      </c>
      <c r="H632">
        <v>6</v>
      </c>
      <c r="I632">
        <v>-2</v>
      </c>
      <c r="J632" t="s">
        <v>210</v>
      </c>
      <c r="K632">
        <v>3</v>
      </c>
      <c r="L632" t="s">
        <v>210</v>
      </c>
      <c r="M632" s="94"/>
      <c r="N632" s="94"/>
      <c r="O632" s="94"/>
      <c r="P632" s="94"/>
      <c r="Q632" s="94"/>
      <c r="R632" s="94"/>
      <c r="S632" s="94"/>
      <c r="T632" s="94"/>
      <c r="U632" s="94"/>
      <c r="V632" s="94"/>
      <c r="W632" s="94"/>
      <c r="X632" s="94"/>
      <c r="Y632" s="94"/>
      <c r="Z632" s="94"/>
      <c r="AA632" s="94"/>
      <c r="AB632" s="94"/>
      <c r="AC632" s="94"/>
      <c r="AD632" s="94"/>
      <c r="AE632" s="94"/>
      <c r="AF632" s="94"/>
      <c r="AG632" s="94"/>
      <c r="AH632" s="94"/>
      <c r="AI632" s="94"/>
      <c r="AJ632" s="94"/>
      <c r="AK632" s="94"/>
      <c r="AL632" s="94"/>
      <c r="AM632" s="94"/>
      <c r="AN632" s="94"/>
      <c r="AO632" s="94"/>
      <c r="AP632" s="94"/>
      <c r="AQ632" s="94"/>
      <c r="AR632" s="94"/>
      <c r="AS632" s="94"/>
      <c r="AT632" s="94"/>
      <c r="AU632" s="94"/>
      <c r="AV632" s="94"/>
      <c r="AW632" s="94"/>
      <c r="AX632" s="94"/>
      <c r="AY632" s="94"/>
      <c r="BA632" s="95"/>
    </row>
    <row r="633" spans="1:53" s="87" customFormat="1" ht="13">
      <c r="A633" s="90" t="str">
        <f t="shared" si="34"/>
        <v/>
      </c>
      <c r="B633">
        <v>13</v>
      </c>
      <c r="C633">
        <v>-4</v>
      </c>
      <c r="D633" t="s">
        <v>210</v>
      </c>
      <c r="E633" t="s">
        <v>210</v>
      </c>
      <c r="F633">
        <v>5</v>
      </c>
      <c r="G633" t="s">
        <v>210</v>
      </c>
      <c r="H633">
        <v>-6</v>
      </c>
      <c r="I633">
        <v>1</v>
      </c>
      <c r="J633" t="s">
        <v>210</v>
      </c>
      <c r="K633">
        <v>4</v>
      </c>
      <c r="L633" t="s">
        <v>210</v>
      </c>
      <c r="M633" s="94"/>
      <c r="N633" s="94"/>
      <c r="O633" s="94"/>
      <c r="P633" s="94"/>
      <c r="Q633" s="94"/>
      <c r="R633" s="94"/>
      <c r="S633" s="94"/>
      <c r="T633" s="94"/>
      <c r="U633" s="94"/>
      <c r="V633" s="94"/>
      <c r="W633" s="94"/>
      <c r="X633" s="94"/>
      <c r="Y633" s="94"/>
      <c r="Z633" s="94"/>
      <c r="AA633" s="94"/>
      <c r="AB633" s="94"/>
      <c r="AC633" s="94"/>
      <c r="AD633" s="94"/>
      <c r="AE633" s="94"/>
      <c r="AF633" s="94"/>
      <c r="AG633" s="94"/>
      <c r="AH633" s="94"/>
      <c r="AI633" s="94"/>
      <c r="AJ633" s="94"/>
      <c r="AK633" s="94"/>
      <c r="AL633" s="94"/>
      <c r="AM633" s="94"/>
      <c r="AN633" s="94"/>
      <c r="AO633" s="94"/>
      <c r="AP633" s="94"/>
      <c r="AQ633" s="94"/>
      <c r="AR633" s="94"/>
      <c r="AS633" s="94"/>
      <c r="AT633" s="94"/>
      <c r="AU633" s="94"/>
      <c r="AV633" s="94"/>
      <c r="AW633" s="94"/>
      <c r="AX633" s="94"/>
      <c r="AY633" s="94"/>
      <c r="BA633" s="95"/>
    </row>
    <row r="634" spans="1:53" s="87" customFormat="1" ht="13">
      <c r="A634" s="90" t="str">
        <f t="shared" si="34"/>
        <v/>
      </c>
      <c r="B634" s="27">
        <v>14</v>
      </c>
      <c r="C634" s="27">
        <v>1</v>
      </c>
      <c r="D634" s="27" t="s">
        <v>210</v>
      </c>
      <c r="E634" s="27" t="s">
        <v>210</v>
      </c>
      <c r="F634" s="27">
        <v>-3</v>
      </c>
      <c r="G634" s="27" t="s">
        <v>210</v>
      </c>
      <c r="H634" s="27">
        <v>-5</v>
      </c>
      <c r="I634" s="27">
        <v>2</v>
      </c>
      <c r="J634" s="27" t="s">
        <v>210</v>
      </c>
      <c r="K634" s="27">
        <v>-4</v>
      </c>
      <c r="L634" s="27" t="s">
        <v>210</v>
      </c>
      <c r="M634" s="94"/>
      <c r="N634" s="94"/>
      <c r="O634" s="94"/>
      <c r="P634" s="94"/>
      <c r="Q634" s="94"/>
      <c r="R634" s="94"/>
      <c r="S634" s="94"/>
      <c r="T634" s="94"/>
      <c r="U634" s="94"/>
      <c r="V634" s="94"/>
      <c r="W634" s="94"/>
      <c r="X634" s="94"/>
      <c r="Y634" s="94"/>
      <c r="Z634" s="94"/>
      <c r="AA634" s="94"/>
      <c r="AB634" s="94"/>
      <c r="AC634" s="94"/>
      <c r="AD634" s="94"/>
      <c r="AE634" s="94"/>
      <c r="AF634" s="94"/>
      <c r="AG634" s="94"/>
      <c r="AH634" s="94"/>
      <c r="AI634" s="94"/>
      <c r="AJ634" s="94"/>
      <c r="AK634" s="94"/>
      <c r="AL634" s="94"/>
      <c r="AM634" s="94"/>
      <c r="AN634" s="94"/>
      <c r="AO634" s="94"/>
      <c r="AP634" s="94"/>
      <c r="AQ634" s="94"/>
      <c r="AR634" s="94"/>
      <c r="AS634" s="94"/>
      <c r="AT634" s="94"/>
      <c r="AU634" s="94"/>
      <c r="AV634" s="94"/>
      <c r="AW634" s="94"/>
      <c r="AX634" s="94"/>
      <c r="AY634" s="94"/>
      <c r="BA634" s="95"/>
    </row>
    <row r="635" spans="1:53" s="87" customFormat="1" ht="13">
      <c r="A635" s="90" t="str">
        <f t="shared" si="34"/>
        <v/>
      </c>
      <c r="B635">
        <v>15</v>
      </c>
      <c r="C635">
        <v>3</v>
      </c>
      <c r="D635" t="s">
        <v>210</v>
      </c>
      <c r="E635" t="s">
        <v>210</v>
      </c>
      <c r="F635">
        <v>-6</v>
      </c>
      <c r="G635">
        <v>-2</v>
      </c>
      <c r="H635" t="s">
        <v>210</v>
      </c>
      <c r="I635" t="s">
        <v>210</v>
      </c>
      <c r="J635">
        <v>4</v>
      </c>
      <c r="K635">
        <v>5</v>
      </c>
      <c r="L635" t="s">
        <v>210</v>
      </c>
      <c r="M635" s="94"/>
      <c r="N635" s="94"/>
      <c r="O635" s="94"/>
      <c r="P635" s="94"/>
      <c r="Q635" s="94"/>
      <c r="R635" s="94"/>
      <c r="S635" s="94"/>
      <c r="T635" s="94"/>
      <c r="U635" s="94"/>
      <c r="V635" s="94"/>
      <c r="W635" s="94"/>
      <c r="X635" s="94"/>
      <c r="Y635" s="94"/>
      <c r="Z635" s="94"/>
      <c r="AA635" s="94"/>
      <c r="AB635" s="94"/>
      <c r="AC635" s="94"/>
      <c r="AD635" s="94"/>
      <c r="AE635" s="94"/>
      <c r="AF635" s="94"/>
      <c r="AG635" s="94"/>
      <c r="AH635" s="94"/>
      <c r="AI635" s="94"/>
      <c r="AJ635" s="94"/>
      <c r="AK635" s="94"/>
      <c r="AL635" s="94"/>
      <c r="AM635" s="94"/>
      <c r="AN635" s="94"/>
      <c r="AO635" s="94"/>
      <c r="AP635" s="94"/>
      <c r="AQ635" s="94"/>
      <c r="AR635" s="94"/>
      <c r="AS635" s="94"/>
      <c r="AT635" s="94"/>
      <c r="AU635" s="94"/>
      <c r="AV635" s="94"/>
      <c r="AW635" s="94"/>
      <c r="AX635" s="94"/>
      <c r="AY635" s="94"/>
      <c r="BA635" s="95"/>
    </row>
    <row r="636" spans="1:53" s="87" customFormat="1" ht="13">
      <c r="A636" s="90" t="str">
        <f t="shared" si="34"/>
        <v/>
      </c>
      <c r="B636">
        <v>16</v>
      </c>
      <c r="C636">
        <v>-2</v>
      </c>
      <c r="D636" t="s">
        <v>210</v>
      </c>
      <c r="E636" t="s">
        <v>210</v>
      </c>
      <c r="F636">
        <v>4</v>
      </c>
      <c r="G636">
        <v>1</v>
      </c>
      <c r="H636" t="s">
        <v>210</v>
      </c>
      <c r="I636" t="s">
        <v>210</v>
      </c>
      <c r="J636">
        <v>-3</v>
      </c>
      <c r="K636">
        <v>-5</v>
      </c>
      <c r="L636" t="s">
        <v>210</v>
      </c>
      <c r="M636" s="94"/>
      <c r="N636" s="94"/>
      <c r="O636" s="94"/>
      <c r="P636" s="94"/>
      <c r="Q636" s="94"/>
      <c r="R636" s="94"/>
      <c r="S636" s="94"/>
      <c r="T636" s="94"/>
      <c r="U636" s="94"/>
      <c r="V636" s="94"/>
      <c r="W636" s="94"/>
      <c r="X636" s="94"/>
      <c r="Y636" s="94"/>
      <c r="Z636" s="94"/>
      <c r="AA636" s="94"/>
      <c r="AB636" s="94"/>
      <c r="AC636" s="94"/>
      <c r="AD636" s="94"/>
      <c r="AE636" s="94"/>
      <c r="AF636" s="94"/>
      <c r="AG636" s="94"/>
      <c r="AH636" s="94"/>
      <c r="AI636" s="94"/>
      <c r="AJ636" s="94"/>
      <c r="AK636" s="94"/>
      <c r="AL636" s="94"/>
      <c r="AM636" s="94"/>
      <c r="AN636" s="94"/>
      <c r="AO636" s="94"/>
      <c r="AP636" s="94"/>
      <c r="AQ636" s="94"/>
      <c r="AR636" s="94"/>
      <c r="AS636" s="94"/>
      <c r="AT636" s="94"/>
      <c r="AU636" s="94"/>
      <c r="AV636" s="94"/>
      <c r="AW636" s="94"/>
      <c r="AX636" s="94"/>
      <c r="AY636" s="94"/>
      <c r="BA636" s="95"/>
    </row>
    <row r="637" spans="1:53" s="87" customFormat="1" ht="13">
      <c r="A637" s="90" t="str">
        <f t="shared" si="34"/>
        <v/>
      </c>
      <c r="B637">
        <v>17</v>
      </c>
      <c r="C637">
        <v>4</v>
      </c>
      <c r="D637" t="s">
        <v>210</v>
      </c>
      <c r="E637" t="s">
        <v>210</v>
      </c>
      <c r="F637">
        <v>3</v>
      </c>
      <c r="G637">
        <v>-1</v>
      </c>
      <c r="H637" t="s">
        <v>210</v>
      </c>
      <c r="I637" t="s">
        <v>210</v>
      </c>
      <c r="J637">
        <v>-4</v>
      </c>
      <c r="K637">
        <v>6</v>
      </c>
      <c r="L637" t="s">
        <v>210</v>
      </c>
      <c r="M637" s="94"/>
      <c r="N637" s="94"/>
      <c r="O637" s="94"/>
      <c r="P637" s="94"/>
      <c r="Q637" s="94"/>
      <c r="R637" s="94"/>
      <c r="S637" s="94"/>
      <c r="T637" s="94"/>
      <c r="U637" s="94"/>
      <c r="V637" s="94"/>
      <c r="W637" s="94"/>
      <c r="X637" s="94"/>
      <c r="Y637" s="94"/>
      <c r="Z637" s="94"/>
      <c r="AA637" s="94"/>
      <c r="AB637" s="94"/>
      <c r="AC637" s="94"/>
      <c r="AD637" s="94"/>
      <c r="AE637" s="94"/>
      <c r="AF637" s="94"/>
      <c r="AG637" s="94"/>
      <c r="AH637" s="94"/>
      <c r="AI637" s="94"/>
      <c r="AJ637" s="94"/>
      <c r="AK637" s="94"/>
      <c r="AL637" s="94"/>
      <c r="AM637" s="94"/>
      <c r="AN637" s="94"/>
      <c r="AO637" s="94"/>
      <c r="AP637" s="94"/>
      <c r="AQ637" s="94"/>
      <c r="AR637" s="94"/>
      <c r="AS637" s="94"/>
      <c r="AT637" s="94"/>
      <c r="AU637" s="94"/>
      <c r="AV637" s="94"/>
      <c r="AW637" s="94"/>
      <c r="AX637" s="94"/>
      <c r="AY637" s="94"/>
      <c r="BA637" s="95"/>
    </row>
    <row r="638" spans="1:53" s="87" customFormat="1" ht="13">
      <c r="A638" s="90" t="str">
        <f t="shared" si="34"/>
        <v/>
      </c>
      <c r="B638" s="27">
        <v>18</v>
      </c>
      <c r="C638" s="27">
        <v>-1</v>
      </c>
      <c r="D638" s="27" t="s">
        <v>210</v>
      </c>
      <c r="E638" s="27" t="s">
        <v>210</v>
      </c>
      <c r="F638" s="27">
        <v>-5</v>
      </c>
      <c r="G638" s="27">
        <v>2</v>
      </c>
      <c r="H638" s="27" t="s">
        <v>210</v>
      </c>
      <c r="I638" s="27" t="s">
        <v>210</v>
      </c>
      <c r="J638" s="27">
        <v>3</v>
      </c>
      <c r="K638" s="27">
        <v>-6</v>
      </c>
      <c r="L638" s="27" t="s">
        <v>210</v>
      </c>
      <c r="M638" s="94"/>
      <c r="N638" s="94"/>
      <c r="O638" s="94"/>
      <c r="P638" s="94"/>
      <c r="Q638" s="94"/>
      <c r="R638" s="94"/>
      <c r="S638" s="94"/>
      <c r="T638" s="94"/>
      <c r="U638" s="94"/>
      <c r="V638" s="94"/>
      <c r="W638" s="94"/>
      <c r="X638" s="94"/>
      <c r="Y638" s="94"/>
      <c r="Z638" s="94"/>
      <c r="AA638" s="94"/>
      <c r="AB638" s="94"/>
      <c r="AC638" s="94"/>
      <c r="AD638" s="94"/>
      <c r="AE638" s="94"/>
      <c r="AF638" s="94"/>
      <c r="AG638" s="94"/>
      <c r="AH638" s="94"/>
      <c r="AI638" s="94"/>
      <c r="AJ638" s="94"/>
      <c r="AK638" s="94"/>
      <c r="AL638" s="94"/>
      <c r="AM638" s="94"/>
      <c r="AN638" s="94"/>
      <c r="AO638" s="94"/>
      <c r="AP638" s="94"/>
      <c r="AQ638" s="94"/>
      <c r="AR638" s="94"/>
      <c r="AS638" s="94"/>
      <c r="AT638" s="94"/>
      <c r="AU638" s="94"/>
      <c r="AV638" s="94"/>
      <c r="AW638" s="94"/>
      <c r="AX638" s="94"/>
      <c r="AY638" s="94"/>
      <c r="BA638" s="95"/>
    </row>
    <row r="639" spans="1:53" s="87" customFormat="1" ht="13">
      <c r="A639" s="90" t="str">
        <f t="shared" si="34"/>
        <v/>
      </c>
      <c r="B639">
        <v>19</v>
      </c>
      <c r="C639" t="s">
        <v>210</v>
      </c>
      <c r="D639">
        <v>-5</v>
      </c>
      <c r="E639">
        <v>6</v>
      </c>
      <c r="F639" t="s">
        <v>210</v>
      </c>
      <c r="G639" t="s">
        <v>210</v>
      </c>
      <c r="H639">
        <v>-2</v>
      </c>
      <c r="I639">
        <v>-4</v>
      </c>
      <c r="J639" t="s">
        <v>210</v>
      </c>
      <c r="K639" t="s">
        <v>210</v>
      </c>
      <c r="L639">
        <v>5</v>
      </c>
      <c r="M639" s="94"/>
      <c r="N639" s="94"/>
      <c r="O639" s="94"/>
      <c r="P639" s="94"/>
      <c r="Q639" s="94"/>
      <c r="R639" s="94"/>
      <c r="S639" s="94"/>
      <c r="T639" s="94"/>
      <c r="U639" s="94"/>
      <c r="V639" s="94"/>
      <c r="W639" s="94"/>
      <c r="X639" s="94"/>
      <c r="Y639" s="94"/>
      <c r="Z639" s="94"/>
      <c r="AA639" s="94"/>
      <c r="AB639" s="94"/>
      <c r="AC639" s="94"/>
      <c r="AD639" s="94"/>
      <c r="AE639" s="94"/>
      <c r="AF639" s="94"/>
      <c r="AG639" s="94"/>
      <c r="AH639" s="94"/>
      <c r="AI639" s="94"/>
      <c r="AJ639" s="94"/>
      <c r="AK639" s="94"/>
      <c r="AL639" s="94"/>
      <c r="AM639" s="94"/>
      <c r="AN639" s="94"/>
      <c r="AO639" s="94"/>
      <c r="AP639" s="94"/>
      <c r="AQ639" s="94"/>
      <c r="AR639" s="94"/>
      <c r="AS639" s="94"/>
      <c r="AT639" s="94"/>
      <c r="AU639" s="94"/>
      <c r="AV639" s="94"/>
      <c r="AW639" s="94"/>
      <c r="AX639" s="94"/>
      <c r="AY639" s="94"/>
      <c r="BA639" s="95"/>
    </row>
    <row r="640" spans="1:53" s="87" customFormat="1" ht="13">
      <c r="A640" s="90" t="str">
        <f t="shared" si="34"/>
        <v/>
      </c>
      <c r="B640">
        <v>20</v>
      </c>
      <c r="C640" t="s">
        <v>210</v>
      </c>
      <c r="D640">
        <v>2</v>
      </c>
      <c r="E640">
        <v>-4</v>
      </c>
      <c r="F640" t="s">
        <v>210</v>
      </c>
      <c r="G640" t="s">
        <v>210</v>
      </c>
      <c r="H640">
        <v>1</v>
      </c>
      <c r="I640">
        <v>3</v>
      </c>
      <c r="J640" t="s">
        <v>210</v>
      </c>
      <c r="K640" t="s">
        <v>210</v>
      </c>
      <c r="L640">
        <v>-5</v>
      </c>
      <c r="M640" s="94"/>
      <c r="N640" s="94"/>
      <c r="O640" s="94"/>
      <c r="P640" s="94"/>
      <c r="Q640" s="94"/>
      <c r="R640" s="94"/>
      <c r="S640" s="94"/>
      <c r="T640" s="94"/>
      <c r="U640" s="94"/>
      <c r="V640" s="94"/>
      <c r="W640" s="94"/>
      <c r="X640" s="94"/>
      <c r="Y640" s="94"/>
      <c r="Z640" s="94"/>
      <c r="AA640" s="94"/>
      <c r="AB640" s="94"/>
      <c r="AC640" s="94"/>
      <c r="AD640" s="94"/>
      <c r="AE640" s="94"/>
      <c r="AF640" s="94"/>
      <c r="AG640" s="94"/>
      <c r="AH640" s="94"/>
      <c r="AI640" s="94"/>
      <c r="AJ640" s="94"/>
      <c r="AK640" s="94"/>
      <c r="AL640" s="94"/>
      <c r="AM640" s="94"/>
      <c r="AN640" s="94"/>
      <c r="AO640" s="94"/>
      <c r="AP640" s="94"/>
      <c r="AQ640" s="94"/>
      <c r="AR640" s="94"/>
      <c r="AS640" s="94"/>
      <c r="AT640" s="94"/>
      <c r="AU640" s="94"/>
      <c r="AV640" s="94"/>
      <c r="AW640" s="94"/>
      <c r="AX640" s="94"/>
      <c r="AY640" s="94"/>
      <c r="BA640" s="95"/>
    </row>
    <row r="641" spans="1:53" s="87" customFormat="1" ht="13">
      <c r="A641" s="90" t="str">
        <f t="shared" si="34"/>
        <v/>
      </c>
      <c r="B641">
        <v>21</v>
      </c>
      <c r="C641">
        <v>6</v>
      </c>
      <c r="D641" t="s">
        <v>210</v>
      </c>
      <c r="E641">
        <v>-2</v>
      </c>
      <c r="F641" t="s">
        <v>210</v>
      </c>
      <c r="G641" t="s">
        <v>210</v>
      </c>
      <c r="H641">
        <v>-1</v>
      </c>
      <c r="I641">
        <v>4</v>
      </c>
      <c r="J641" t="s">
        <v>210</v>
      </c>
      <c r="K641" t="s">
        <v>210</v>
      </c>
      <c r="L641">
        <v>-6</v>
      </c>
      <c r="M641" s="94"/>
      <c r="N641" s="94"/>
      <c r="O641" s="94"/>
      <c r="P641" s="94"/>
      <c r="Q641" s="94"/>
      <c r="R641" s="94"/>
      <c r="S641" s="94"/>
      <c r="T641" s="94"/>
      <c r="U641" s="94"/>
      <c r="V641" s="94"/>
      <c r="W641" s="94"/>
      <c r="X641" s="94"/>
      <c r="Y641" s="94"/>
      <c r="Z641" s="94"/>
      <c r="AA641" s="94"/>
      <c r="AB641" s="94"/>
      <c r="AC641" s="94"/>
      <c r="AD641" s="94"/>
      <c r="AE641" s="94"/>
      <c r="AF641" s="94"/>
      <c r="AG641" s="94"/>
      <c r="AH641" s="94"/>
      <c r="AI641" s="94"/>
      <c r="AJ641" s="94"/>
      <c r="AK641" s="94"/>
      <c r="AL641" s="94"/>
      <c r="AM641" s="94"/>
      <c r="AN641" s="94"/>
      <c r="AO641" s="94"/>
      <c r="AP641" s="94"/>
      <c r="AQ641" s="94"/>
      <c r="AR641" s="94"/>
      <c r="AS641" s="94"/>
      <c r="AT641" s="94"/>
      <c r="AU641" s="94"/>
      <c r="AV641" s="94"/>
      <c r="AW641" s="94"/>
      <c r="AX641" s="94"/>
      <c r="AY641" s="94"/>
      <c r="BA641" s="95"/>
    </row>
    <row r="642" spans="1:53" s="87" customFormat="1" ht="13">
      <c r="A642" s="90" t="str">
        <f t="shared" si="34"/>
        <v/>
      </c>
      <c r="B642" s="27">
        <v>22</v>
      </c>
      <c r="C642" s="27" t="s">
        <v>210</v>
      </c>
      <c r="D642" s="27">
        <v>7</v>
      </c>
      <c r="E642" s="27">
        <v>5</v>
      </c>
      <c r="F642" s="27" t="s">
        <v>210</v>
      </c>
      <c r="G642" s="27" t="s">
        <v>210</v>
      </c>
      <c r="H642" s="27">
        <v>2</v>
      </c>
      <c r="I642" s="27">
        <v>-3</v>
      </c>
      <c r="J642" s="27" t="s">
        <v>210</v>
      </c>
      <c r="K642" s="27" t="s">
        <v>210</v>
      </c>
      <c r="L642" s="27">
        <v>6</v>
      </c>
      <c r="M642" s="94"/>
      <c r="N642" s="94"/>
      <c r="O642" s="94"/>
      <c r="P642" s="94"/>
      <c r="Q642" s="94"/>
      <c r="R642" s="94"/>
      <c r="S642" s="94"/>
      <c r="T642" s="94"/>
      <c r="U642" s="94"/>
      <c r="V642" s="94"/>
      <c r="W642" s="94"/>
      <c r="X642" s="94"/>
      <c r="Y642" s="94"/>
      <c r="Z642" s="94"/>
      <c r="AA642" s="94"/>
      <c r="AB642" s="94"/>
      <c r="AC642" s="94"/>
      <c r="AD642" s="94"/>
      <c r="AE642" s="94"/>
      <c r="AF642" s="94"/>
      <c r="AG642" s="94"/>
      <c r="AH642" s="94"/>
      <c r="AI642" s="94"/>
      <c r="AJ642" s="94"/>
      <c r="AK642" s="94"/>
      <c r="AL642" s="94"/>
      <c r="AM642" s="94"/>
      <c r="AN642" s="94"/>
      <c r="AO642" s="94"/>
      <c r="AP642" s="94"/>
      <c r="AQ642" s="94"/>
      <c r="AR642" s="94"/>
      <c r="AS642" s="94"/>
      <c r="AT642" s="94"/>
      <c r="AU642" s="94"/>
      <c r="AV642" s="94"/>
      <c r="AW642" s="94"/>
      <c r="AX642" s="94"/>
      <c r="AY642" s="94"/>
      <c r="BA642" s="95"/>
    </row>
    <row r="643" spans="1:53" s="87" customFormat="1" ht="13">
      <c r="A643" s="90" t="str">
        <f t="shared" si="34"/>
        <v/>
      </c>
      <c r="B643">
        <v>23</v>
      </c>
      <c r="C643" t="s">
        <v>210</v>
      </c>
      <c r="D643">
        <v>5</v>
      </c>
      <c r="E643">
        <v>4</v>
      </c>
      <c r="F643" t="s">
        <v>210</v>
      </c>
      <c r="G643" t="s">
        <v>210</v>
      </c>
      <c r="H643">
        <v>3</v>
      </c>
      <c r="I643">
        <v>-6</v>
      </c>
      <c r="J643" t="s">
        <v>210</v>
      </c>
      <c r="K643">
        <v>-2</v>
      </c>
      <c r="L643" t="s">
        <v>210</v>
      </c>
      <c r="M643" s="94"/>
      <c r="N643" s="94"/>
      <c r="O643" s="94"/>
      <c r="P643" s="94"/>
      <c r="Q643" s="94"/>
      <c r="R643" s="94"/>
      <c r="S643" s="94"/>
      <c r="T643" s="94"/>
      <c r="U643" s="94"/>
      <c r="V643" s="94"/>
      <c r="W643" s="94"/>
      <c r="X643" s="94"/>
      <c r="Y643" s="94"/>
      <c r="Z643" s="94"/>
      <c r="AA643" s="94"/>
      <c r="AB643" s="94"/>
      <c r="AC643" s="94"/>
      <c r="AD643" s="94"/>
      <c r="AE643" s="94"/>
      <c r="AF643" s="94"/>
      <c r="AG643" s="94"/>
      <c r="AH643" s="94"/>
      <c r="AI643" s="94"/>
      <c r="AJ643" s="94"/>
      <c r="AK643" s="94"/>
      <c r="AL643" s="94"/>
      <c r="AM643" s="94"/>
      <c r="AN643" s="94"/>
      <c r="AO643" s="94"/>
      <c r="AP643" s="94"/>
      <c r="AQ643" s="94"/>
      <c r="AR643" s="94"/>
      <c r="AS643" s="94"/>
      <c r="AT643" s="94"/>
      <c r="AU643" s="94"/>
      <c r="AV643" s="94"/>
      <c r="AW643" s="94"/>
      <c r="AX643" s="94"/>
      <c r="AY643" s="94"/>
      <c r="BA643" s="95"/>
    </row>
    <row r="644" spans="1:53" s="87" customFormat="1" ht="13">
      <c r="A644" s="90" t="str">
        <f t="shared" si="34"/>
        <v/>
      </c>
      <c r="B644">
        <v>24</v>
      </c>
      <c r="C644" t="s">
        <v>210</v>
      </c>
      <c r="D644">
        <v>-2</v>
      </c>
      <c r="E644">
        <v>-6</v>
      </c>
      <c r="F644" t="s">
        <v>210</v>
      </c>
      <c r="G644" t="s">
        <v>210</v>
      </c>
      <c r="H644">
        <v>-4</v>
      </c>
      <c r="I644">
        <v>5</v>
      </c>
      <c r="J644" t="s">
        <v>210</v>
      </c>
      <c r="K644">
        <v>2</v>
      </c>
      <c r="L644" t="s">
        <v>210</v>
      </c>
      <c r="M644" s="94"/>
      <c r="N644" s="94"/>
      <c r="O644" s="94"/>
      <c r="P644" s="94"/>
      <c r="Q644" s="94"/>
      <c r="R644" s="94"/>
      <c r="S644" s="94"/>
      <c r="T644" s="94"/>
      <c r="U644" s="94"/>
      <c r="V644" s="94"/>
      <c r="W644" s="94"/>
      <c r="X644" s="94"/>
      <c r="Y644" s="94"/>
      <c r="Z644" s="94"/>
      <c r="AA644" s="94"/>
      <c r="AB644" s="94"/>
      <c r="AC644" s="94"/>
      <c r="AD644" s="94"/>
      <c r="AE644" s="94"/>
      <c r="AF644" s="94"/>
      <c r="AG644" s="94"/>
      <c r="AH644" s="94"/>
      <c r="AI644" s="94"/>
      <c r="AJ644" s="94"/>
      <c r="AK644" s="94"/>
      <c r="AL644" s="94"/>
      <c r="AM644" s="94"/>
      <c r="AN644" s="94"/>
      <c r="AO644" s="94"/>
      <c r="AP644" s="94"/>
      <c r="AQ644" s="94"/>
      <c r="AR644" s="94"/>
      <c r="AS644" s="94"/>
      <c r="AT644" s="94"/>
      <c r="AU644" s="94"/>
      <c r="AV644" s="94"/>
      <c r="AW644" s="94"/>
      <c r="AX644" s="94"/>
      <c r="AY644" s="94"/>
      <c r="BA644" s="95"/>
    </row>
    <row r="645" spans="1:53" s="87" customFormat="1" ht="13">
      <c r="A645" s="90" t="str">
        <f t="shared" si="34"/>
        <v/>
      </c>
      <c r="B645">
        <v>25</v>
      </c>
      <c r="C645">
        <v>-6</v>
      </c>
      <c r="D645" t="s">
        <v>210</v>
      </c>
      <c r="E645">
        <v>-5</v>
      </c>
      <c r="F645" t="s">
        <v>210</v>
      </c>
      <c r="G645" t="s">
        <v>210</v>
      </c>
      <c r="H645">
        <v>4</v>
      </c>
      <c r="I645">
        <v>6</v>
      </c>
      <c r="J645" t="s">
        <v>210</v>
      </c>
      <c r="K645" t="s">
        <v>210</v>
      </c>
      <c r="L645">
        <v>-1</v>
      </c>
      <c r="M645" s="94"/>
      <c r="N645" s="94"/>
      <c r="O645" s="94"/>
      <c r="P645" s="94"/>
      <c r="Q645" s="94"/>
      <c r="R645" s="94"/>
      <c r="S645" s="94"/>
      <c r="T645" s="94"/>
      <c r="U645" s="94"/>
      <c r="V645" s="94"/>
      <c r="W645" s="94"/>
      <c r="X645" s="94"/>
      <c r="Y645" s="94"/>
      <c r="Z645" s="94"/>
      <c r="AA645" s="94"/>
      <c r="AB645" s="94"/>
      <c r="AC645" s="94"/>
      <c r="AD645" s="94"/>
      <c r="AE645" s="94"/>
      <c r="AF645" s="94"/>
      <c r="AG645" s="94"/>
      <c r="AH645" s="94"/>
      <c r="AI645" s="94"/>
      <c r="AJ645" s="94"/>
      <c r="AK645" s="94"/>
      <c r="AL645" s="94"/>
      <c r="AM645" s="94"/>
      <c r="AN645" s="94"/>
      <c r="AO645" s="94"/>
      <c r="AP645" s="94"/>
      <c r="AQ645" s="94"/>
      <c r="AR645" s="94"/>
      <c r="AS645" s="94"/>
      <c r="AT645" s="94"/>
      <c r="AU645" s="94"/>
      <c r="AV645" s="94"/>
      <c r="AW645" s="94"/>
      <c r="AX645" s="94"/>
      <c r="AY645" s="94"/>
      <c r="BA645" s="95"/>
    </row>
    <row r="646" spans="1:53" s="87" customFormat="1" ht="13">
      <c r="A646" s="90" t="str">
        <f t="shared" si="34"/>
        <v/>
      </c>
      <c r="B646">
        <v>26</v>
      </c>
      <c r="C646" t="s">
        <v>210</v>
      </c>
      <c r="D646">
        <v>-7</v>
      </c>
      <c r="E646">
        <v>2</v>
      </c>
      <c r="F646" t="s">
        <v>210</v>
      </c>
      <c r="G646" t="s">
        <v>210</v>
      </c>
      <c r="H646">
        <v>-3</v>
      </c>
      <c r="I646">
        <v>-5</v>
      </c>
      <c r="J646" t="s">
        <v>210</v>
      </c>
      <c r="K646" t="s">
        <v>210</v>
      </c>
      <c r="L646">
        <v>1</v>
      </c>
      <c r="M646" s="94"/>
      <c r="N646" s="94"/>
      <c r="O646" s="94"/>
      <c r="P646" s="94"/>
      <c r="Q646" s="94"/>
      <c r="R646" s="94"/>
      <c r="S646" s="94"/>
      <c r="T646" s="94"/>
      <c r="U646" s="94"/>
      <c r="V646" s="94"/>
      <c r="W646" s="94"/>
      <c r="X646" s="94"/>
      <c r="Y646" s="94"/>
      <c r="Z646" s="94"/>
      <c r="AA646" s="94"/>
      <c r="AB646" s="94"/>
      <c r="AC646" s="94"/>
      <c r="AD646" s="94"/>
      <c r="AE646" s="94"/>
      <c r="AF646" s="94"/>
      <c r="AG646" s="94"/>
      <c r="AH646" s="94"/>
      <c r="AI646" s="94"/>
      <c r="AJ646" s="94"/>
      <c r="AK646" s="94"/>
      <c r="AL646" s="94"/>
      <c r="AM646" s="94"/>
      <c r="AN646" s="94"/>
      <c r="AO646" s="94"/>
      <c r="AP646" s="94"/>
      <c r="AQ646" s="94"/>
      <c r="AR646" s="94"/>
      <c r="AS646" s="94"/>
      <c r="AT646" s="94"/>
      <c r="AU646" s="94"/>
      <c r="AV646" s="94"/>
      <c r="AW646" s="94"/>
      <c r="AX646" s="94"/>
      <c r="AY646" s="94"/>
      <c r="BA646" s="95"/>
    </row>
    <row r="647" spans="1:53" s="87" customFormat="1" ht="13">
      <c r="A647" s="90" t="str">
        <f t="shared" si="34"/>
        <v/>
      </c>
      <c r="B647" t="s">
        <v>826</v>
      </c>
      <c r="C647"/>
      <c r="D647"/>
      <c r="E647"/>
      <c r="F647"/>
      <c r="G647"/>
      <c r="H647"/>
      <c r="I647"/>
      <c r="J647"/>
      <c r="K647"/>
      <c r="L647"/>
      <c r="M647" s="94"/>
      <c r="N647" s="94"/>
      <c r="O647" s="94"/>
      <c r="P647" s="94"/>
      <c r="Q647" s="94"/>
      <c r="R647" s="94"/>
      <c r="S647" s="94"/>
      <c r="T647" s="94"/>
      <c r="U647" s="94"/>
      <c r="V647" s="94"/>
      <c r="W647" s="94"/>
      <c r="X647" s="94"/>
      <c r="Y647" s="94"/>
      <c r="Z647" s="94"/>
      <c r="AA647" s="94"/>
      <c r="AB647" s="94"/>
      <c r="AC647" s="94"/>
      <c r="AD647" s="94"/>
      <c r="AE647" s="94"/>
      <c r="AF647" s="94"/>
      <c r="AG647" s="94"/>
      <c r="AH647" s="94"/>
      <c r="AI647" s="94"/>
      <c r="AJ647" s="94"/>
      <c r="AK647" s="94"/>
      <c r="AL647" s="94"/>
      <c r="AM647" s="94"/>
      <c r="AN647" s="94"/>
      <c r="AO647" s="94"/>
      <c r="AP647" s="94"/>
      <c r="AQ647" s="94"/>
      <c r="AR647" s="94"/>
      <c r="AS647" s="94"/>
      <c r="AT647" s="94"/>
      <c r="AU647" s="94"/>
      <c r="AV647" s="94"/>
      <c r="AW647" s="94"/>
      <c r="AX647" s="94"/>
      <c r="AY647" s="94"/>
      <c r="BA647" s="95"/>
    </row>
    <row r="648" spans="1:53" s="87" customFormat="1">
      <c r="A648" s="90">
        <f t="shared" si="34"/>
        <v>648</v>
      </c>
      <c r="B648" s="98" t="s">
        <v>909</v>
      </c>
      <c r="C648" s="94"/>
      <c r="D648" s="94"/>
      <c r="E648" s="94"/>
      <c r="F648" s="94"/>
      <c r="G648" s="94"/>
      <c r="H648" s="94"/>
      <c r="I648" s="94"/>
      <c r="J648" s="94"/>
      <c r="K648" s="94"/>
      <c r="L648" s="94"/>
      <c r="M648" s="94"/>
      <c r="N648" s="94"/>
      <c r="O648" s="94"/>
      <c r="P648" s="94"/>
      <c r="Q648" s="94"/>
      <c r="R648" s="94"/>
      <c r="S648" s="94"/>
      <c r="T648" s="94"/>
      <c r="U648" s="94"/>
      <c r="V648" s="94"/>
      <c r="W648" s="94"/>
      <c r="X648" s="94"/>
      <c r="Y648" s="94"/>
      <c r="Z648" s="94"/>
      <c r="AA648" s="94"/>
      <c r="AB648" s="94"/>
      <c r="AC648" s="94"/>
      <c r="AD648" s="94"/>
      <c r="AE648" s="94"/>
      <c r="AF648" s="94"/>
      <c r="AG648" s="94"/>
      <c r="AH648" s="94"/>
      <c r="AI648" s="94"/>
      <c r="AJ648" s="94"/>
      <c r="AK648" s="94"/>
      <c r="AL648" s="94"/>
      <c r="AM648" s="94"/>
      <c r="AN648" s="94"/>
      <c r="AO648" s="94"/>
      <c r="AP648" s="94"/>
      <c r="AQ648" s="94"/>
      <c r="AR648" s="94"/>
      <c r="AS648" s="94"/>
      <c r="AT648" s="94"/>
      <c r="AU648" s="94"/>
      <c r="AV648" s="94"/>
      <c r="AW648" s="94"/>
      <c r="AX648" s="94"/>
      <c r="AY648" s="94"/>
      <c r="BA648" s="95"/>
    </row>
    <row r="649" spans="1:53" s="87" customFormat="1">
      <c r="A649" s="90" t="str">
        <f t="shared" si="34"/>
        <v/>
      </c>
      <c r="B649" s="98">
        <v>1</v>
      </c>
      <c r="C649" s="94">
        <v>-7</v>
      </c>
      <c r="D649" s="94" t="s">
        <v>210</v>
      </c>
      <c r="E649" s="94" t="s">
        <v>210</v>
      </c>
      <c r="F649" s="94">
        <v>-4</v>
      </c>
      <c r="G649" s="94">
        <v>2</v>
      </c>
      <c r="H649" s="94" t="s">
        <v>210</v>
      </c>
      <c r="I649" s="94" t="s">
        <v>210</v>
      </c>
      <c r="J649" s="94">
        <v>-3</v>
      </c>
      <c r="K649" s="94">
        <v>-6</v>
      </c>
      <c r="L649" s="94" t="s">
        <v>210</v>
      </c>
      <c r="M649" s="94" t="s">
        <v>210</v>
      </c>
      <c r="N649" s="94">
        <v>5</v>
      </c>
      <c r="O649" s="94">
        <v>-1</v>
      </c>
      <c r="P649" s="94" t="s">
        <v>210</v>
      </c>
      <c r="Q649" s="94">
        <v>4</v>
      </c>
      <c r="R649" s="94" t="s">
        <v>210</v>
      </c>
      <c r="S649" s="94" t="s">
        <v>210</v>
      </c>
      <c r="T649" s="94">
        <v>2</v>
      </c>
      <c r="U649" s="94">
        <v>3</v>
      </c>
      <c r="V649" s="94" t="s">
        <v>210</v>
      </c>
      <c r="W649" s="94" t="s">
        <v>210</v>
      </c>
      <c r="X649" s="94">
        <v>1</v>
      </c>
      <c r="Y649" s="94">
        <v>-5</v>
      </c>
      <c r="Z649" s="94" t="s">
        <v>210</v>
      </c>
      <c r="AA649" s="94"/>
      <c r="AB649" s="94"/>
      <c r="AC649" s="94"/>
      <c r="AD649" s="94"/>
      <c r="AE649" s="94"/>
      <c r="AF649" s="94"/>
      <c r="AG649" s="94"/>
      <c r="AH649" s="94"/>
      <c r="AI649" s="94"/>
      <c r="AJ649" s="94"/>
      <c r="AK649" s="94"/>
      <c r="AL649" s="94"/>
      <c r="AM649" s="94"/>
      <c r="AN649" s="94"/>
      <c r="AO649" s="94"/>
      <c r="AP649" s="94"/>
      <c r="AQ649" s="94"/>
      <c r="AR649" s="94"/>
      <c r="AS649" s="94"/>
      <c r="AT649" s="94"/>
      <c r="AU649" s="94"/>
      <c r="AV649" s="94"/>
      <c r="AW649" s="94"/>
      <c r="AX649" s="94"/>
      <c r="AY649" s="94"/>
      <c r="BA649" s="95"/>
    </row>
    <row r="650" spans="1:53" s="87" customFormat="1">
      <c r="A650" s="90" t="str">
        <f t="shared" si="34"/>
        <v/>
      </c>
      <c r="B650" s="98">
        <v>2</v>
      </c>
      <c r="C650" s="94" t="s">
        <v>210</v>
      </c>
      <c r="D650" s="94">
        <v>2</v>
      </c>
      <c r="E650" s="94">
        <v>-3</v>
      </c>
      <c r="F650" s="94" t="s">
        <v>210</v>
      </c>
      <c r="G650" s="94" t="s">
        <v>210</v>
      </c>
      <c r="H650" s="94">
        <v>1</v>
      </c>
      <c r="I650" s="94">
        <v>-5</v>
      </c>
      <c r="J650" s="94" t="s">
        <v>210</v>
      </c>
      <c r="K650" s="94" t="s">
        <v>210</v>
      </c>
      <c r="L650" s="94">
        <v>-6</v>
      </c>
      <c r="M650" s="94">
        <v>-7</v>
      </c>
      <c r="N650" s="94" t="s">
        <v>210</v>
      </c>
      <c r="O650" s="94" t="s">
        <v>210</v>
      </c>
      <c r="P650" s="94">
        <v>-4</v>
      </c>
      <c r="Q650" s="94">
        <v>2</v>
      </c>
      <c r="R650" s="94" t="s">
        <v>210</v>
      </c>
      <c r="S650" s="94" t="s">
        <v>210</v>
      </c>
      <c r="T650" s="94">
        <v>3</v>
      </c>
      <c r="U650" s="94">
        <v>6</v>
      </c>
      <c r="V650" s="94" t="s">
        <v>210</v>
      </c>
      <c r="W650" s="94" t="s">
        <v>210</v>
      </c>
      <c r="X650" s="94">
        <v>5</v>
      </c>
      <c r="Y650" s="94">
        <v>-1</v>
      </c>
      <c r="Z650" s="94" t="s">
        <v>210</v>
      </c>
      <c r="AA650" s="94"/>
      <c r="AB650" s="94"/>
      <c r="AC650" s="94"/>
      <c r="AD650" s="94"/>
      <c r="AE650" s="94"/>
      <c r="AF650" s="94"/>
      <c r="AG650" s="94"/>
      <c r="AH650" s="94"/>
      <c r="AI650" s="94"/>
      <c r="AJ650" s="94"/>
      <c r="AK650" s="94"/>
      <c r="AL650" s="94"/>
      <c r="AM650" s="94"/>
      <c r="AN650" s="94"/>
      <c r="AO650" s="94"/>
      <c r="AP650" s="94"/>
      <c r="AQ650" s="94"/>
      <c r="AR650" s="94"/>
      <c r="AS650" s="94"/>
      <c r="AT650" s="94"/>
      <c r="AU650" s="94"/>
      <c r="AV650" s="94"/>
      <c r="AW650" s="94"/>
      <c r="AX650" s="94"/>
      <c r="AY650" s="94"/>
      <c r="BA650" s="95"/>
    </row>
    <row r="651" spans="1:53" s="87" customFormat="1">
      <c r="A651" s="90" t="str">
        <f t="shared" si="34"/>
        <v/>
      </c>
      <c r="B651" s="98">
        <v>3</v>
      </c>
      <c r="C651" s="94" t="s">
        <v>210</v>
      </c>
      <c r="D651" s="94">
        <v>-4</v>
      </c>
      <c r="E651" s="94">
        <v>-2</v>
      </c>
      <c r="F651" s="94" t="s">
        <v>210</v>
      </c>
      <c r="G651" s="94" t="s">
        <v>210</v>
      </c>
      <c r="H651" s="94">
        <v>-3</v>
      </c>
      <c r="I651" s="94">
        <v>6</v>
      </c>
      <c r="J651" s="94" t="s">
        <v>210</v>
      </c>
      <c r="K651" s="94" t="s">
        <v>210</v>
      </c>
      <c r="L651" s="94">
        <v>5</v>
      </c>
      <c r="M651" s="94">
        <v>-1</v>
      </c>
      <c r="N651" s="94" t="s">
        <v>210</v>
      </c>
      <c r="O651" s="94">
        <v>-4</v>
      </c>
      <c r="P651" s="94" t="s">
        <v>210</v>
      </c>
      <c r="Q651" s="94" t="s">
        <v>210</v>
      </c>
      <c r="R651" s="94">
        <v>2</v>
      </c>
      <c r="S651" s="94">
        <v>3</v>
      </c>
      <c r="T651" s="94" t="s">
        <v>210</v>
      </c>
      <c r="U651" s="94" t="s">
        <v>210</v>
      </c>
      <c r="V651" s="94">
        <v>1</v>
      </c>
      <c r="W651" s="94">
        <v>-5</v>
      </c>
      <c r="X651" s="94" t="s">
        <v>210</v>
      </c>
      <c r="Y651" s="94" t="s">
        <v>210</v>
      </c>
      <c r="Z651" s="94">
        <v>6</v>
      </c>
      <c r="AA651" s="94"/>
      <c r="AB651" s="94"/>
      <c r="AC651" s="94"/>
      <c r="AD651" s="94"/>
      <c r="AE651" s="94"/>
      <c r="AF651" s="94"/>
      <c r="AG651" s="94"/>
      <c r="AH651" s="94"/>
      <c r="AI651" s="94"/>
      <c r="AJ651" s="94"/>
      <c r="AK651" s="94"/>
      <c r="AL651" s="94"/>
      <c r="AM651" s="94"/>
      <c r="AN651" s="94"/>
      <c r="AO651" s="94"/>
      <c r="AP651" s="94"/>
      <c r="AQ651" s="94"/>
      <c r="AR651" s="94"/>
      <c r="AS651" s="94"/>
      <c r="AT651" s="94"/>
      <c r="AU651" s="94"/>
      <c r="AV651" s="94"/>
      <c r="AW651" s="94"/>
      <c r="AX651" s="94"/>
      <c r="AY651" s="94"/>
      <c r="BA651" s="95"/>
    </row>
    <row r="652" spans="1:53" s="87" customFormat="1">
      <c r="A652" s="90" t="str">
        <f t="shared" ref="A652:A715" si="35">IF(MID(B652,3,2)="07",ROW(),"")</f>
        <v/>
      </c>
      <c r="B652" s="98">
        <v>4</v>
      </c>
      <c r="C652" s="94">
        <v>-5</v>
      </c>
      <c r="D652" s="94" t="s">
        <v>210</v>
      </c>
      <c r="E652" s="94" t="s">
        <v>210</v>
      </c>
      <c r="F652" s="94">
        <v>6</v>
      </c>
      <c r="G652" s="94">
        <v>-7</v>
      </c>
      <c r="H652" s="94" t="s">
        <v>210</v>
      </c>
      <c r="I652" s="94" t="s">
        <v>210</v>
      </c>
      <c r="J652" s="94">
        <v>4</v>
      </c>
      <c r="K652" s="94">
        <v>2</v>
      </c>
      <c r="L652" s="94" t="s">
        <v>210</v>
      </c>
      <c r="M652" s="94" t="s">
        <v>210</v>
      </c>
      <c r="N652" s="94">
        <v>-3</v>
      </c>
      <c r="O652" s="94">
        <v>-6</v>
      </c>
      <c r="P652" s="94" t="s">
        <v>210</v>
      </c>
      <c r="Q652" s="94" t="s">
        <v>210</v>
      </c>
      <c r="R652" s="94">
        <v>5</v>
      </c>
      <c r="S652" s="94">
        <v>1</v>
      </c>
      <c r="T652" s="94" t="s">
        <v>210</v>
      </c>
      <c r="U652" s="94">
        <v>4</v>
      </c>
      <c r="V652" s="94" t="s">
        <v>210</v>
      </c>
      <c r="W652" s="94" t="s">
        <v>210</v>
      </c>
      <c r="X652" s="94">
        <v>-2</v>
      </c>
      <c r="Y652" s="94">
        <v>3</v>
      </c>
      <c r="Z652" s="94" t="s">
        <v>210</v>
      </c>
      <c r="AA652" s="94"/>
      <c r="AB652" s="94"/>
      <c r="AC652" s="94"/>
      <c r="AD652" s="94"/>
      <c r="AE652" s="94"/>
      <c r="AF652" s="94"/>
      <c r="AG652" s="94"/>
      <c r="AH652" s="94"/>
      <c r="AI652" s="94"/>
      <c r="AJ652" s="94"/>
      <c r="AK652" s="94"/>
      <c r="AL652" s="94"/>
      <c r="AM652" s="94"/>
      <c r="AN652" s="94"/>
      <c r="AO652" s="94"/>
      <c r="AP652" s="94"/>
      <c r="AQ652" s="94"/>
      <c r="AR652" s="94"/>
      <c r="AS652" s="94"/>
      <c r="AT652" s="94"/>
      <c r="AU652" s="94"/>
      <c r="AV652" s="94"/>
      <c r="AW652" s="94"/>
      <c r="AX652" s="94"/>
      <c r="AY652" s="94"/>
      <c r="BA652" s="95"/>
    </row>
    <row r="653" spans="1:53" s="87" customFormat="1">
      <c r="A653" s="90" t="str">
        <f t="shared" si="35"/>
        <v/>
      </c>
      <c r="B653" s="98">
        <v>5</v>
      </c>
      <c r="C653" s="94" t="s">
        <v>210</v>
      </c>
      <c r="D653" s="94">
        <v>6</v>
      </c>
      <c r="E653" s="94">
        <v>7</v>
      </c>
      <c r="F653" s="94" t="s">
        <v>210</v>
      </c>
      <c r="G653" s="94" t="s">
        <v>210</v>
      </c>
      <c r="H653" s="94">
        <v>-4</v>
      </c>
      <c r="I653" s="94">
        <v>-2</v>
      </c>
      <c r="J653" s="94" t="s">
        <v>210</v>
      </c>
      <c r="K653" s="94" t="s">
        <v>210</v>
      </c>
      <c r="L653" s="94">
        <v>-3</v>
      </c>
      <c r="M653" s="94">
        <v>-6</v>
      </c>
      <c r="N653" s="94" t="s">
        <v>210</v>
      </c>
      <c r="O653" s="94" t="s">
        <v>210</v>
      </c>
      <c r="P653" s="94">
        <v>5</v>
      </c>
      <c r="Q653" s="94">
        <v>-1</v>
      </c>
      <c r="R653" s="94" t="s">
        <v>210</v>
      </c>
      <c r="S653" s="94">
        <v>4</v>
      </c>
      <c r="T653" s="94" t="s">
        <v>210</v>
      </c>
      <c r="U653" s="94" t="s">
        <v>210</v>
      </c>
      <c r="V653" s="94">
        <v>2</v>
      </c>
      <c r="W653" s="94">
        <v>3</v>
      </c>
      <c r="X653" s="94" t="s">
        <v>210</v>
      </c>
      <c r="Y653" s="94" t="s">
        <v>210</v>
      </c>
      <c r="Z653" s="94">
        <v>1</v>
      </c>
      <c r="AA653" s="94"/>
      <c r="AB653" s="94"/>
      <c r="AC653" s="94"/>
      <c r="AD653" s="94"/>
      <c r="AE653" s="94"/>
      <c r="AF653" s="94"/>
      <c r="AG653" s="94"/>
      <c r="AH653" s="94"/>
      <c r="AI653" s="94"/>
      <c r="AJ653" s="94"/>
      <c r="AK653" s="94"/>
      <c r="AL653" s="94"/>
      <c r="AM653" s="94"/>
      <c r="AN653" s="94"/>
      <c r="AO653" s="94"/>
      <c r="AP653" s="94"/>
      <c r="AQ653" s="94"/>
      <c r="AR653" s="94"/>
      <c r="AS653" s="94"/>
      <c r="AT653" s="94"/>
      <c r="AU653" s="94"/>
      <c r="AV653" s="94"/>
      <c r="AW653" s="94"/>
      <c r="AX653" s="94"/>
      <c r="AY653" s="94"/>
      <c r="BA653" s="95"/>
    </row>
    <row r="654" spans="1:53" s="87" customFormat="1">
      <c r="A654" s="90" t="str">
        <f t="shared" si="35"/>
        <v/>
      </c>
      <c r="B654" s="98">
        <v>6</v>
      </c>
      <c r="C654" s="94">
        <v>-3</v>
      </c>
      <c r="D654" s="94" t="s">
        <v>210</v>
      </c>
      <c r="E654" s="94" t="s">
        <v>210</v>
      </c>
      <c r="F654" s="94">
        <v>1</v>
      </c>
      <c r="G654" s="94">
        <v>-5</v>
      </c>
      <c r="H654" s="94" t="s">
        <v>210</v>
      </c>
      <c r="I654" s="94" t="s">
        <v>210</v>
      </c>
      <c r="J654" s="94">
        <v>-6</v>
      </c>
      <c r="K654" s="94">
        <v>-7</v>
      </c>
      <c r="L654" s="94" t="s">
        <v>210</v>
      </c>
      <c r="M654" s="94" t="s">
        <v>210</v>
      </c>
      <c r="N654" s="94">
        <v>4</v>
      </c>
      <c r="O654" s="94">
        <v>2</v>
      </c>
      <c r="P654" s="94" t="s">
        <v>210</v>
      </c>
      <c r="Q654" s="94" t="s">
        <v>210</v>
      </c>
      <c r="R654" s="94">
        <v>3</v>
      </c>
      <c r="S654" s="94">
        <v>-6</v>
      </c>
      <c r="T654" s="94" t="s">
        <v>210</v>
      </c>
      <c r="U654" s="94" t="s">
        <v>210</v>
      </c>
      <c r="V654" s="94">
        <v>-5</v>
      </c>
      <c r="W654" s="94">
        <v>1</v>
      </c>
      <c r="X654" s="94" t="s">
        <v>210</v>
      </c>
      <c r="Y654" s="94">
        <v>-4</v>
      </c>
      <c r="Z654" s="94" t="s">
        <v>210</v>
      </c>
      <c r="AA654" s="94"/>
      <c r="AB654" s="94"/>
      <c r="AC654" s="94"/>
      <c r="AD654" s="94"/>
      <c r="AE654" s="94"/>
      <c r="AF654" s="94"/>
      <c r="AG654" s="94"/>
      <c r="AH654" s="94"/>
      <c r="AI654" s="94"/>
      <c r="AJ654" s="94"/>
      <c r="AK654" s="94"/>
      <c r="AL654" s="94"/>
      <c r="AM654" s="94"/>
      <c r="AN654" s="94"/>
      <c r="AO654" s="94"/>
      <c r="AP654" s="94"/>
      <c r="AQ654" s="94"/>
      <c r="AR654" s="94"/>
      <c r="AS654" s="94"/>
      <c r="AT654" s="94"/>
      <c r="AU654" s="94"/>
      <c r="AV654" s="94"/>
      <c r="AW654" s="94"/>
      <c r="AX654" s="94"/>
      <c r="AY654" s="94"/>
      <c r="BA654" s="95"/>
    </row>
    <row r="655" spans="1:53" s="87" customFormat="1">
      <c r="A655" s="90" t="str">
        <f t="shared" si="35"/>
        <v/>
      </c>
      <c r="B655" s="98">
        <v>7</v>
      </c>
      <c r="C655" s="94">
        <v>1</v>
      </c>
      <c r="D655" s="94" t="s">
        <v>210</v>
      </c>
      <c r="E655" s="94">
        <v>-4</v>
      </c>
      <c r="F655" s="94" t="s">
        <v>210</v>
      </c>
      <c r="G655" s="94" t="s">
        <v>210</v>
      </c>
      <c r="H655" s="94">
        <v>2</v>
      </c>
      <c r="I655" s="94">
        <v>3</v>
      </c>
      <c r="J655" s="94" t="s">
        <v>210</v>
      </c>
      <c r="K655" s="94" t="s">
        <v>210</v>
      </c>
      <c r="L655" s="94">
        <v>-1</v>
      </c>
      <c r="M655" s="94">
        <v>5</v>
      </c>
      <c r="N655" s="94" t="s">
        <v>210</v>
      </c>
      <c r="O655" s="94" t="s">
        <v>210</v>
      </c>
      <c r="P655" s="94">
        <v>6</v>
      </c>
      <c r="Q655" s="94">
        <v>-7</v>
      </c>
      <c r="R655" s="94" t="s">
        <v>210</v>
      </c>
      <c r="S655" s="94" t="s">
        <v>210</v>
      </c>
      <c r="T655" s="94">
        <v>4</v>
      </c>
      <c r="U655" s="94">
        <v>-2</v>
      </c>
      <c r="V655" s="94" t="s">
        <v>210</v>
      </c>
      <c r="W655" s="94" t="s">
        <v>210</v>
      </c>
      <c r="X655" s="94">
        <v>-3</v>
      </c>
      <c r="Y655" s="94">
        <v>6</v>
      </c>
      <c r="Z655" s="94" t="s">
        <v>210</v>
      </c>
      <c r="AA655" s="94"/>
      <c r="AB655" s="94"/>
      <c r="AC655" s="94"/>
      <c r="AD655" s="94"/>
      <c r="AE655" s="94"/>
      <c r="AF655" s="94"/>
      <c r="AG655" s="94"/>
      <c r="AH655" s="94"/>
      <c r="AI655" s="94"/>
      <c r="AJ655" s="94"/>
      <c r="AK655" s="94"/>
      <c r="AL655" s="94"/>
      <c r="AM655" s="94"/>
      <c r="AN655" s="94"/>
      <c r="AO655" s="94"/>
      <c r="AP655" s="94"/>
      <c r="AQ655" s="94"/>
      <c r="AR655" s="94"/>
      <c r="AS655" s="94"/>
      <c r="AT655" s="94"/>
      <c r="AU655" s="94"/>
      <c r="AV655" s="94"/>
      <c r="AW655" s="94"/>
      <c r="AX655" s="94"/>
      <c r="AY655" s="94"/>
      <c r="BA655" s="95"/>
    </row>
    <row r="656" spans="1:53" s="87" customFormat="1">
      <c r="A656" s="90" t="str">
        <f t="shared" si="35"/>
        <v/>
      </c>
      <c r="B656" s="98">
        <v>8</v>
      </c>
      <c r="C656" s="94">
        <v>4</v>
      </c>
      <c r="D656" s="94" t="s">
        <v>210</v>
      </c>
      <c r="E656" s="94" t="s">
        <v>210</v>
      </c>
      <c r="F656" s="94">
        <v>-2</v>
      </c>
      <c r="G656" s="94">
        <v>-3</v>
      </c>
      <c r="H656" s="94" t="s">
        <v>210</v>
      </c>
      <c r="I656" s="94" t="s">
        <v>210</v>
      </c>
      <c r="J656" s="94">
        <v>1</v>
      </c>
      <c r="K656" s="94">
        <v>5</v>
      </c>
      <c r="L656" s="94" t="s">
        <v>210</v>
      </c>
      <c r="M656" s="94" t="s">
        <v>210</v>
      </c>
      <c r="N656" s="94">
        <v>-6</v>
      </c>
      <c r="O656" s="94">
        <v>-7</v>
      </c>
      <c r="P656" s="94" t="s">
        <v>210</v>
      </c>
      <c r="Q656" s="94" t="s">
        <v>210</v>
      </c>
      <c r="R656" s="94">
        <v>4</v>
      </c>
      <c r="S656" s="94">
        <v>-2</v>
      </c>
      <c r="T656" s="94" t="s">
        <v>210</v>
      </c>
      <c r="U656" s="94" t="s">
        <v>210</v>
      </c>
      <c r="V656" s="94">
        <v>3</v>
      </c>
      <c r="W656" s="94">
        <v>6</v>
      </c>
      <c r="X656" s="94" t="s">
        <v>210</v>
      </c>
      <c r="Y656" s="94" t="s">
        <v>210</v>
      </c>
      <c r="Z656" s="94">
        <v>-5</v>
      </c>
      <c r="AA656" s="94"/>
      <c r="AB656" s="94"/>
      <c r="AC656" s="94"/>
      <c r="AD656" s="94"/>
      <c r="AE656" s="94"/>
      <c r="AF656" s="94"/>
      <c r="AG656" s="94"/>
      <c r="AH656" s="94"/>
      <c r="AI656" s="94"/>
      <c r="AJ656" s="94"/>
      <c r="AK656" s="94"/>
      <c r="AL656" s="94"/>
      <c r="AM656" s="94"/>
      <c r="AN656" s="94"/>
      <c r="AO656" s="94"/>
      <c r="AP656" s="94"/>
      <c r="AQ656" s="94"/>
      <c r="AR656" s="94"/>
      <c r="AS656" s="94"/>
      <c r="AT656" s="94"/>
      <c r="AU656" s="94"/>
      <c r="AV656" s="94"/>
      <c r="AW656" s="94"/>
      <c r="AX656" s="94"/>
      <c r="AY656" s="94"/>
      <c r="BA656" s="95"/>
    </row>
    <row r="657" spans="1:53" s="87" customFormat="1">
      <c r="A657" s="90" t="str">
        <f t="shared" si="35"/>
        <v/>
      </c>
      <c r="B657" s="98">
        <v>9</v>
      </c>
      <c r="C657" s="94">
        <v>-6</v>
      </c>
      <c r="D657" s="94" t="s">
        <v>210</v>
      </c>
      <c r="E657" s="94" t="s">
        <v>210</v>
      </c>
      <c r="F657" s="94">
        <v>5</v>
      </c>
      <c r="G657" s="94">
        <v>1</v>
      </c>
      <c r="H657" s="94" t="s">
        <v>210</v>
      </c>
      <c r="I657" s="94">
        <v>4</v>
      </c>
      <c r="J657" s="94" t="s">
        <v>210</v>
      </c>
      <c r="K657" s="94" t="s">
        <v>210</v>
      </c>
      <c r="L657" s="94">
        <v>2</v>
      </c>
      <c r="M657" s="94">
        <v>-3</v>
      </c>
      <c r="N657" s="94" t="s">
        <v>210</v>
      </c>
      <c r="O657" s="94" t="s">
        <v>210</v>
      </c>
      <c r="P657" s="94">
        <v>-1</v>
      </c>
      <c r="Q657" s="94">
        <v>5</v>
      </c>
      <c r="R657" s="94" t="s">
        <v>210</v>
      </c>
      <c r="S657" s="94" t="s">
        <v>210</v>
      </c>
      <c r="T657" s="94">
        <v>6</v>
      </c>
      <c r="U657" s="94">
        <v>-7</v>
      </c>
      <c r="V657" s="94" t="s">
        <v>210</v>
      </c>
      <c r="W657" s="94" t="s">
        <v>210</v>
      </c>
      <c r="X657" s="94">
        <v>-4</v>
      </c>
      <c r="Y657" s="94">
        <v>-2</v>
      </c>
      <c r="Z657" s="94" t="s">
        <v>210</v>
      </c>
      <c r="AA657" s="94"/>
      <c r="AB657" s="94"/>
      <c r="AC657" s="94"/>
      <c r="AD657" s="94"/>
      <c r="AE657" s="94"/>
      <c r="AF657" s="94"/>
      <c r="AG657" s="94"/>
      <c r="AH657" s="94"/>
      <c r="AI657" s="94"/>
      <c r="AJ657" s="94"/>
      <c r="AK657" s="94"/>
      <c r="AL657" s="94"/>
      <c r="AM657" s="94"/>
      <c r="AN657" s="94"/>
      <c r="AO657" s="94"/>
      <c r="AP657" s="94"/>
      <c r="AQ657" s="94"/>
      <c r="AR657" s="94"/>
      <c r="AS657" s="94"/>
      <c r="AT657" s="94"/>
      <c r="AU657" s="94"/>
      <c r="AV657" s="94"/>
      <c r="AW657" s="94"/>
      <c r="AX657" s="94"/>
      <c r="AY657" s="94"/>
      <c r="BA657" s="95"/>
    </row>
    <row r="658" spans="1:53" s="87" customFormat="1">
      <c r="A658" s="90" t="str">
        <f t="shared" si="35"/>
        <v/>
      </c>
      <c r="B658" s="98">
        <v>10</v>
      </c>
      <c r="C658" s="94" t="s">
        <v>210</v>
      </c>
      <c r="D658" s="94">
        <v>-5</v>
      </c>
      <c r="E658" s="94">
        <v>-1</v>
      </c>
      <c r="F658" s="94" t="s">
        <v>210</v>
      </c>
      <c r="G658" s="94">
        <v>-4</v>
      </c>
      <c r="H658" s="94" t="s">
        <v>210</v>
      </c>
      <c r="I658" s="94" t="s">
        <v>210</v>
      </c>
      <c r="J658" s="94">
        <v>2</v>
      </c>
      <c r="K658" s="94">
        <v>3</v>
      </c>
      <c r="L658" s="94" t="s">
        <v>210</v>
      </c>
      <c r="M658" s="94" t="s">
        <v>210</v>
      </c>
      <c r="N658" s="94">
        <v>1</v>
      </c>
      <c r="O658" s="94">
        <v>-5</v>
      </c>
      <c r="P658" s="94" t="s">
        <v>210</v>
      </c>
      <c r="Q658" s="94" t="s">
        <v>210</v>
      </c>
      <c r="R658" s="94">
        <v>-6</v>
      </c>
      <c r="S658" s="94">
        <v>7</v>
      </c>
      <c r="T658" s="94" t="s">
        <v>210</v>
      </c>
      <c r="U658" s="94" t="s">
        <v>210</v>
      </c>
      <c r="V658" s="94">
        <v>-4</v>
      </c>
      <c r="W658" s="94">
        <v>-2</v>
      </c>
      <c r="X658" s="94" t="s">
        <v>210</v>
      </c>
      <c r="Y658" s="94" t="s">
        <v>210</v>
      </c>
      <c r="Z658" s="94">
        <v>-3</v>
      </c>
      <c r="AA658" s="94"/>
      <c r="AB658" s="94"/>
      <c r="AC658" s="94"/>
      <c r="AD658" s="94"/>
      <c r="AE658" s="94"/>
      <c r="AF658" s="94"/>
      <c r="AG658" s="94"/>
      <c r="AH658" s="94"/>
      <c r="AI658" s="94"/>
      <c r="AJ658" s="94"/>
      <c r="AK658" s="94"/>
      <c r="AL658" s="94"/>
      <c r="AM658" s="94"/>
      <c r="AN658" s="94"/>
      <c r="AO658" s="94"/>
      <c r="AP658" s="94"/>
      <c r="AQ658" s="94"/>
      <c r="AR658" s="94"/>
      <c r="AS658" s="94"/>
      <c r="AT658" s="94"/>
      <c r="AU658" s="94"/>
      <c r="AV658" s="94"/>
      <c r="AW658" s="94"/>
      <c r="AX658" s="94"/>
      <c r="AY658" s="94"/>
      <c r="BA658" s="95"/>
    </row>
    <row r="659" spans="1:53" s="87" customFormat="1">
      <c r="A659" s="90" t="str">
        <f t="shared" si="35"/>
        <v/>
      </c>
      <c r="B659" s="98">
        <v>11</v>
      </c>
      <c r="C659" s="94" t="s">
        <v>210</v>
      </c>
      <c r="D659" s="94">
        <v>-3</v>
      </c>
      <c r="E659" s="94">
        <v>-6</v>
      </c>
      <c r="F659" s="94" t="s">
        <v>210</v>
      </c>
      <c r="G659" s="94" t="s">
        <v>210</v>
      </c>
      <c r="H659" s="94">
        <v>5</v>
      </c>
      <c r="I659" s="94">
        <v>-1</v>
      </c>
      <c r="J659" s="94" t="s">
        <v>210</v>
      </c>
      <c r="K659" s="94">
        <v>4</v>
      </c>
      <c r="L659" s="94" t="s">
        <v>210</v>
      </c>
      <c r="M659" s="94" t="s">
        <v>210</v>
      </c>
      <c r="N659" s="94">
        <v>-2</v>
      </c>
      <c r="O659" s="94">
        <v>-3</v>
      </c>
      <c r="P659" s="94" t="s">
        <v>210</v>
      </c>
      <c r="Q659" s="94" t="s">
        <v>210</v>
      </c>
      <c r="R659" s="94">
        <v>-1</v>
      </c>
      <c r="S659" s="94">
        <v>-5</v>
      </c>
      <c r="T659" s="94" t="s">
        <v>210</v>
      </c>
      <c r="U659" s="94" t="s">
        <v>210</v>
      </c>
      <c r="V659" s="94">
        <v>6</v>
      </c>
      <c r="W659" s="94">
        <v>7</v>
      </c>
      <c r="X659" s="94" t="s">
        <v>210</v>
      </c>
      <c r="Y659" s="94" t="s">
        <v>210</v>
      </c>
      <c r="Z659" s="94">
        <v>-4</v>
      </c>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BA659" s="95"/>
    </row>
    <row r="660" spans="1:53" s="87" customFormat="1">
      <c r="A660" s="90" t="str">
        <f t="shared" si="35"/>
        <v/>
      </c>
      <c r="B660" s="98">
        <v>12</v>
      </c>
      <c r="C660" s="94">
        <v>-2</v>
      </c>
      <c r="D660" s="94" t="s">
        <v>210</v>
      </c>
      <c r="E660" s="94" t="s">
        <v>210</v>
      </c>
      <c r="F660" s="94">
        <v>-3</v>
      </c>
      <c r="G660" s="94">
        <v>-6</v>
      </c>
      <c r="H660" s="94" t="s">
        <v>210</v>
      </c>
      <c r="I660" s="94" t="s">
        <v>210</v>
      </c>
      <c r="J660" s="94">
        <v>-5</v>
      </c>
      <c r="K660" s="94">
        <v>1</v>
      </c>
      <c r="L660" s="94" t="s">
        <v>210</v>
      </c>
      <c r="M660" s="94">
        <v>4</v>
      </c>
      <c r="N660" s="94" t="s">
        <v>210</v>
      </c>
      <c r="O660" s="94" t="s">
        <v>210</v>
      </c>
      <c r="P660" s="94">
        <v>2</v>
      </c>
      <c r="Q660" s="94">
        <v>3</v>
      </c>
      <c r="R660" s="94" t="s">
        <v>210</v>
      </c>
      <c r="S660" s="94" t="s">
        <v>210</v>
      </c>
      <c r="T660" s="94">
        <v>-1</v>
      </c>
      <c r="U660" s="94">
        <v>5</v>
      </c>
      <c r="V660" s="94" t="s">
        <v>210</v>
      </c>
      <c r="W660" s="94" t="s">
        <v>210</v>
      </c>
      <c r="X660" s="94">
        <v>6</v>
      </c>
      <c r="Y660" s="94">
        <v>-7</v>
      </c>
      <c r="Z660" s="94" t="s">
        <v>210</v>
      </c>
      <c r="AA660" s="94"/>
      <c r="AB660" s="94"/>
      <c r="AC660" s="94"/>
      <c r="AD660" s="94"/>
      <c r="AE660" s="94"/>
      <c r="AF660" s="94"/>
      <c r="AG660" s="94"/>
      <c r="AH660" s="94"/>
      <c r="AI660" s="94"/>
      <c r="AJ660" s="94"/>
      <c r="AK660" s="94"/>
      <c r="AL660" s="94"/>
      <c r="AM660" s="94"/>
      <c r="AN660" s="94"/>
      <c r="AO660" s="94"/>
      <c r="AP660" s="94"/>
      <c r="AQ660" s="94"/>
      <c r="AR660" s="94"/>
      <c r="AS660" s="94"/>
      <c r="AT660" s="94"/>
      <c r="AU660" s="94"/>
      <c r="AV660" s="94"/>
      <c r="AW660" s="94"/>
      <c r="AX660" s="94"/>
      <c r="AY660" s="94"/>
      <c r="BA660" s="95"/>
    </row>
    <row r="661" spans="1:53" s="87" customFormat="1">
      <c r="A661" s="90" t="str">
        <f t="shared" si="35"/>
        <v/>
      </c>
      <c r="B661" s="98">
        <v>13</v>
      </c>
      <c r="C661" s="94" t="s">
        <v>210</v>
      </c>
      <c r="D661" s="94">
        <v>-1</v>
      </c>
      <c r="E661" s="94">
        <v>-5</v>
      </c>
      <c r="F661" s="94" t="s">
        <v>210</v>
      </c>
      <c r="G661" s="94" t="s">
        <v>210</v>
      </c>
      <c r="H661" s="94">
        <v>6</v>
      </c>
      <c r="I661" s="94">
        <v>7</v>
      </c>
      <c r="J661" s="94" t="s">
        <v>210</v>
      </c>
      <c r="K661" s="94" t="s">
        <v>210</v>
      </c>
      <c r="L661" s="94">
        <v>4</v>
      </c>
      <c r="M661" s="94">
        <v>-2</v>
      </c>
      <c r="N661" s="94" t="s">
        <v>210</v>
      </c>
      <c r="O661" s="94" t="s">
        <v>210</v>
      </c>
      <c r="P661" s="94">
        <v>3</v>
      </c>
      <c r="Q661" s="94">
        <v>-6</v>
      </c>
      <c r="R661" s="94" t="s">
        <v>210</v>
      </c>
      <c r="S661" s="94" t="s">
        <v>210</v>
      </c>
      <c r="T661" s="94">
        <v>5</v>
      </c>
      <c r="U661" s="94">
        <v>-1</v>
      </c>
      <c r="V661" s="94" t="s">
        <v>210</v>
      </c>
      <c r="W661" s="94">
        <v>-4</v>
      </c>
      <c r="X661" s="94" t="s">
        <v>210</v>
      </c>
      <c r="Y661" s="94" t="s">
        <v>210</v>
      </c>
      <c r="Z661" s="94">
        <v>-2</v>
      </c>
      <c r="AA661" s="94"/>
      <c r="AB661" s="94"/>
      <c r="AC661" s="94"/>
      <c r="AD661" s="94"/>
      <c r="AE661" s="94"/>
      <c r="AF661" s="94"/>
      <c r="AG661" s="94"/>
      <c r="AH661" s="94"/>
      <c r="AI661" s="94"/>
      <c r="AJ661" s="94"/>
      <c r="AK661" s="94"/>
      <c r="AL661" s="94"/>
      <c r="AM661" s="94"/>
      <c r="AN661" s="94"/>
      <c r="AO661" s="94"/>
      <c r="AP661" s="94"/>
      <c r="AQ661" s="94"/>
      <c r="AR661" s="94"/>
      <c r="AS661" s="94"/>
      <c r="AT661" s="94"/>
      <c r="AU661" s="94"/>
      <c r="AV661" s="94"/>
      <c r="AW661" s="94"/>
      <c r="AX661" s="94"/>
      <c r="AY661" s="94"/>
      <c r="BA661" s="95"/>
    </row>
    <row r="662" spans="1:53" s="87" customFormat="1">
      <c r="A662" s="90" t="str">
        <f t="shared" si="35"/>
        <v/>
      </c>
      <c r="B662" s="98">
        <v>14</v>
      </c>
      <c r="C662" s="94">
        <v>5</v>
      </c>
      <c r="D662" s="94" t="s">
        <v>210</v>
      </c>
      <c r="E662" s="94" t="s">
        <v>210</v>
      </c>
      <c r="F662" s="94">
        <v>-1</v>
      </c>
      <c r="G662" s="94">
        <v>3</v>
      </c>
      <c r="H662" s="94" t="s">
        <v>210</v>
      </c>
      <c r="I662" s="94" t="s">
        <v>210</v>
      </c>
      <c r="J662" s="94">
        <v>-2</v>
      </c>
      <c r="K662" s="94">
        <v>-4</v>
      </c>
      <c r="L662" s="94" t="s">
        <v>210</v>
      </c>
      <c r="M662" s="94">
        <v>1</v>
      </c>
      <c r="N662" s="94" t="s">
        <v>210</v>
      </c>
      <c r="O662" s="94" t="s">
        <v>210</v>
      </c>
      <c r="P662" s="94">
        <v>-5</v>
      </c>
      <c r="Q662" s="94">
        <v>6</v>
      </c>
      <c r="R662" s="94" t="s">
        <v>210</v>
      </c>
      <c r="S662" s="94" t="s">
        <v>210</v>
      </c>
      <c r="T662" s="94">
        <v>-3</v>
      </c>
      <c r="U662" s="94">
        <v>2</v>
      </c>
      <c r="V662" s="94" t="s">
        <v>210</v>
      </c>
      <c r="W662" s="94" t="s">
        <v>210</v>
      </c>
      <c r="X662" s="94">
        <v>4</v>
      </c>
      <c r="Y662" s="94">
        <v>7</v>
      </c>
      <c r="Z662" s="94" t="s">
        <v>210</v>
      </c>
      <c r="AA662" s="94"/>
      <c r="AB662" s="94"/>
      <c r="AC662" s="94"/>
      <c r="AD662" s="94"/>
      <c r="AE662" s="94"/>
      <c r="AF662" s="94"/>
      <c r="AG662" s="94"/>
      <c r="AH662" s="94"/>
      <c r="AI662" s="94"/>
      <c r="AJ662" s="94"/>
      <c r="AK662" s="94"/>
      <c r="AL662" s="94"/>
      <c r="AM662" s="94"/>
      <c r="AN662" s="94"/>
      <c r="AO662" s="94"/>
      <c r="AP662" s="94"/>
      <c r="AQ662" s="94"/>
      <c r="AR662" s="94"/>
      <c r="AS662" s="94"/>
      <c r="AT662" s="94"/>
      <c r="AU662" s="94"/>
      <c r="AV662" s="94"/>
      <c r="AW662" s="94"/>
      <c r="AX662" s="94"/>
      <c r="AY662" s="94"/>
      <c r="BA662" s="95"/>
    </row>
    <row r="663" spans="1:53" s="87" customFormat="1">
      <c r="A663" s="90" t="str">
        <f t="shared" si="35"/>
        <v/>
      </c>
      <c r="B663" s="98">
        <v>15</v>
      </c>
      <c r="C663" s="94">
        <v>-1</v>
      </c>
      <c r="D663" s="94" t="s">
        <v>210</v>
      </c>
      <c r="E663" s="94" t="s">
        <v>210</v>
      </c>
      <c r="F663" s="94">
        <v>-5</v>
      </c>
      <c r="G663" s="94">
        <v>6</v>
      </c>
      <c r="H663" s="94" t="s">
        <v>210</v>
      </c>
      <c r="I663" s="94" t="s">
        <v>210</v>
      </c>
      <c r="J663" s="94">
        <v>3</v>
      </c>
      <c r="K663" s="94">
        <v>-2</v>
      </c>
      <c r="L663" s="94" t="s">
        <v>210</v>
      </c>
      <c r="M663" s="94" t="s">
        <v>210</v>
      </c>
      <c r="N663" s="94">
        <v>-4</v>
      </c>
      <c r="O663" s="94">
        <v>7</v>
      </c>
      <c r="P663" s="94" t="s">
        <v>210</v>
      </c>
      <c r="Q663" s="94" t="s">
        <v>210</v>
      </c>
      <c r="R663" s="94">
        <v>6</v>
      </c>
      <c r="S663" s="94">
        <v>5</v>
      </c>
      <c r="T663" s="94" t="s">
        <v>210</v>
      </c>
      <c r="U663" s="94" t="s">
        <v>210</v>
      </c>
      <c r="V663" s="94">
        <v>-1</v>
      </c>
      <c r="W663" s="94">
        <v>-3</v>
      </c>
      <c r="X663" s="94" t="s">
        <v>210</v>
      </c>
      <c r="Y663" s="94" t="s">
        <v>210</v>
      </c>
      <c r="Z663" s="94">
        <v>2</v>
      </c>
      <c r="AA663" s="94"/>
      <c r="AB663" s="94"/>
      <c r="AC663" s="94"/>
      <c r="AD663" s="94"/>
      <c r="AE663" s="94"/>
      <c r="AF663" s="94"/>
      <c r="AG663" s="94"/>
      <c r="AH663" s="94"/>
      <c r="AI663" s="94"/>
      <c r="AJ663" s="94"/>
      <c r="AK663" s="94"/>
      <c r="AL663" s="94"/>
      <c r="AM663" s="94"/>
      <c r="AN663" s="94"/>
      <c r="AO663" s="94"/>
      <c r="AP663" s="94"/>
      <c r="AQ663" s="94"/>
      <c r="AR663" s="94"/>
      <c r="AS663" s="94"/>
      <c r="AT663" s="94"/>
      <c r="AU663" s="94"/>
      <c r="AV663" s="94"/>
      <c r="AW663" s="94"/>
      <c r="AX663" s="94"/>
      <c r="AY663" s="94"/>
      <c r="BA663" s="95"/>
    </row>
    <row r="664" spans="1:53" s="87" customFormat="1">
      <c r="A664" s="90" t="str">
        <f t="shared" si="35"/>
        <v/>
      </c>
      <c r="B664" s="98">
        <v>16</v>
      </c>
      <c r="C664" s="94" t="s">
        <v>210</v>
      </c>
      <c r="D664" s="94">
        <v>-6</v>
      </c>
      <c r="E664" s="94">
        <v>5</v>
      </c>
      <c r="F664" s="94" t="s">
        <v>210</v>
      </c>
      <c r="G664" s="94" t="s">
        <v>210</v>
      </c>
      <c r="H664" s="94">
        <v>-1</v>
      </c>
      <c r="I664" s="94">
        <v>-3</v>
      </c>
      <c r="J664" s="94" t="s">
        <v>210</v>
      </c>
      <c r="K664" s="94" t="s">
        <v>210</v>
      </c>
      <c r="L664" s="94">
        <v>-2</v>
      </c>
      <c r="M664" s="94">
        <v>-4</v>
      </c>
      <c r="N664" s="94" t="s">
        <v>210</v>
      </c>
      <c r="O664" s="94">
        <v>1</v>
      </c>
      <c r="P664" s="94" t="s">
        <v>210</v>
      </c>
      <c r="Q664" s="94" t="s">
        <v>210</v>
      </c>
      <c r="R664" s="94">
        <v>-5</v>
      </c>
      <c r="S664" s="94">
        <v>6</v>
      </c>
      <c r="T664" s="94" t="s">
        <v>210</v>
      </c>
      <c r="U664" s="94" t="s">
        <v>210</v>
      </c>
      <c r="V664" s="94">
        <v>-3</v>
      </c>
      <c r="W664" s="94">
        <v>2</v>
      </c>
      <c r="X664" s="94" t="s">
        <v>210</v>
      </c>
      <c r="Y664" s="94" t="s">
        <v>210</v>
      </c>
      <c r="Z664" s="94">
        <v>4</v>
      </c>
      <c r="AA664" s="94"/>
      <c r="AB664" s="94"/>
      <c r="AC664" s="94"/>
      <c r="AD664" s="94"/>
      <c r="AE664" s="94"/>
      <c r="AF664" s="94"/>
      <c r="AG664" s="94"/>
      <c r="AH664" s="94"/>
      <c r="AI664" s="94"/>
      <c r="AJ664" s="94"/>
      <c r="AK664" s="94"/>
      <c r="AL664" s="94"/>
      <c r="AM664" s="94"/>
      <c r="AN664" s="94"/>
      <c r="AO664" s="94"/>
      <c r="AP664" s="94"/>
      <c r="AQ664" s="94"/>
      <c r="AR664" s="94"/>
      <c r="AS664" s="94"/>
      <c r="AT664" s="94"/>
      <c r="AU664" s="94"/>
      <c r="AV664" s="94"/>
      <c r="AW664" s="94"/>
      <c r="AX664" s="94"/>
      <c r="AY664" s="94"/>
      <c r="BA664" s="95"/>
    </row>
    <row r="665" spans="1:53" s="87" customFormat="1">
      <c r="A665" s="90" t="str">
        <f t="shared" si="35"/>
        <v/>
      </c>
      <c r="B665" s="98">
        <v>17</v>
      </c>
      <c r="C665" s="94">
        <v>3</v>
      </c>
      <c r="D665" s="94" t="s">
        <v>210</v>
      </c>
      <c r="E665" s="94" t="s">
        <v>210</v>
      </c>
      <c r="F665" s="94">
        <v>2</v>
      </c>
      <c r="G665" s="94">
        <v>4</v>
      </c>
      <c r="H665" s="94" t="s">
        <v>210</v>
      </c>
      <c r="I665" s="94">
        <v>1</v>
      </c>
      <c r="J665" s="94" t="s">
        <v>210</v>
      </c>
      <c r="K665" s="94" t="s">
        <v>210</v>
      </c>
      <c r="L665" s="94">
        <v>-5</v>
      </c>
      <c r="M665" s="94">
        <v>6</v>
      </c>
      <c r="N665" s="94" t="s">
        <v>210</v>
      </c>
      <c r="O665" s="94" t="s">
        <v>210</v>
      </c>
      <c r="P665" s="94">
        <v>-3</v>
      </c>
      <c r="Q665" s="94">
        <v>-2</v>
      </c>
      <c r="R665" s="94" t="s">
        <v>210</v>
      </c>
      <c r="S665" s="94" t="s">
        <v>210</v>
      </c>
      <c r="T665" s="94">
        <v>-4</v>
      </c>
      <c r="U665" s="94">
        <v>7</v>
      </c>
      <c r="V665" s="94" t="s">
        <v>210</v>
      </c>
      <c r="W665" s="94" t="s">
        <v>210</v>
      </c>
      <c r="X665" s="94">
        <v>-6</v>
      </c>
      <c r="Y665" s="94">
        <v>5</v>
      </c>
      <c r="Z665" s="94" t="s">
        <v>210</v>
      </c>
      <c r="AA665" s="94"/>
      <c r="AB665" s="94"/>
      <c r="AC665" s="94"/>
      <c r="AD665" s="94"/>
      <c r="AE665" s="94"/>
      <c r="AF665" s="94"/>
      <c r="AG665" s="94"/>
      <c r="AH665" s="94"/>
      <c r="AI665" s="94"/>
      <c r="AJ665" s="94"/>
      <c r="AK665" s="94"/>
      <c r="AL665" s="94"/>
      <c r="AM665" s="94"/>
      <c r="AN665" s="94"/>
      <c r="AO665" s="94"/>
      <c r="AP665" s="94"/>
      <c r="AQ665" s="94"/>
      <c r="AR665" s="94"/>
      <c r="AS665" s="94"/>
      <c r="AT665" s="94"/>
      <c r="AU665" s="94"/>
      <c r="AV665" s="94"/>
      <c r="AW665" s="94"/>
      <c r="AX665" s="94"/>
      <c r="AY665" s="94"/>
      <c r="BA665" s="95"/>
    </row>
    <row r="666" spans="1:53" s="87" customFormat="1">
      <c r="A666" s="90" t="str">
        <f t="shared" si="35"/>
        <v/>
      </c>
      <c r="B666" s="98">
        <v>18</v>
      </c>
      <c r="C666" s="94" t="s">
        <v>210</v>
      </c>
      <c r="D666" s="94">
        <v>1</v>
      </c>
      <c r="E666" s="94">
        <v>3</v>
      </c>
      <c r="F666" s="94" t="s">
        <v>210</v>
      </c>
      <c r="G666" s="94" t="s">
        <v>210</v>
      </c>
      <c r="H666" s="94">
        <v>-2</v>
      </c>
      <c r="I666" s="94">
        <v>-4</v>
      </c>
      <c r="J666" s="94" t="s">
        <v>210</v>
      </c>
      <c r="K666" s="94">
        <v>-1</v>
      </c>
      <c r="L666" s="94" t="s">
        <v>210</v>
      </c>
      <c r="M666" s="94" t="s">
        <v>210</v>
      </c>
      <c r="N666" s="94">
        <v>-5</v>
      </c>
      <c r="O666" s="94">
        <v>6</v>
      </c>
      <c r="P666" s="94" t="s">
        <v>210</v>
      </c>
      <c r="Q666" s="94" t="s">
        <v>210</v>
      </c>
      <c r="R666" s="94">
        <v>-3</v>
      </c>
      <c r="S666" s="94">
        <v>2</v>
      </c>
      <c r="T666" s="94" t="s">
        <v>210</v>
      </c>
      <c r="U666" s="94" t="s">
        <v>210</v>
      </c>
      <c r="V666" s="94">
        <v>4</v>
      </c>
      <c r="W666" s="94">
        <v>-7</v>
      </c>
      <c r="X666" s="94" t="s">
        <v>210</v>
      </c>
      <c r="Y666" s="94" t="s">
        <v>210</v>
      </c>
      <c r="Z666" s="94">
        <v>-6</v>
      </c>
      <c r="AA666" s="94"/>
      <c r="AB666" s="94"/>
      <c r="AC666" s="94"/>
      <c r="AD666" s="94"/>
      <c r="AE666" s="94"/>
      <c r="AF666" s="94"/>
      <c r="AG666" s="94"/>
      <c r="AH666" s="94"/>
      <c r="AI666" s="94"/>
      <c r="AJ666" s="94"/>
      <c r="AK666" s="94"/>
      <c r="AL666" s="94"/>
      <c r="AM666" s="94"/>
      <c r="AN666" s="94"/>
      <c r="AO666" s="94"/>
      <c r="AP666" s="94"/>
      <c r="AQ666" s="94"/>
      <c r="AR666" s="94"/>
      <c r="AS666" s="94"/>
      <c r="AT666" s="94"/>
      <c r="AU666" s="94"/>
      <c r="AV666" s="94"/>
      <c r="AW666" s="94"/>
      <c r="AX666" s="94"/>
      <c r="AY666" s="94"/>
      <c r="BA666" s="95"/>
    </row>
    <row r="667" spans="1:53" s="87" customFormat="1">
      <c r="A667" s="90" t="str">
        <f t="shared" si="35"/>
        <v/>
      </c>
      <c r="B667" s="98">
        <v>19</v>
      </c>
      <c r="C667" s="94">
        <v>-4</v>
      </c>
      <c r="D667" s="94" t="s">
        <v>210</v>
      </c>
      <c r="E667" s="94">
        <v>1</v>
      </c>
      <c r="F667" s="94" t="s">
        <v>210</v>
      </c>
      <c r="G667" s="94" t="s">
        <v>210</v>
      </c>
      <c r="H667" s="94">
        <v>-5</v>
      </c>
      <c r="I667" s="94">
        <v>-6</v>
      </c>
      <c r="J667" s="94" t="s">
        <v>210</v>
      </c>
      <c r="K667" s="94" t="s">
        <v>210</v>
      </c>
      <c r="L667" s="94">
        <v>3</v>
      </c>
      <c r="M667" s="94">
        <v>2</v>
      </c>
      <c r="N667" s="94" t="s">
        <v>210</v>
      </c>
      <c r="O667" s="94" t="s">
        <v>210</v>
      </c>
      <c r="P667" s="94">
        <v>4</v>
      </c>
      <c r="Q667" s="94">
        <v>7</v>
      </c>
      <c r="R667" s="94" t="s">
        <v>210</v>
      </c>
      <c r="S667" s="94" t="s">
        <v>210</v>
      </c>
      <c r="T667" s="94">
        <v>-6</v>
      </c>
      <c r="U667" s="94">
        <v>-5</v>
      </c>
      <c r="V667" s="94" t="s">
        <v>210</v>
      </c>
      <c r="W667" s="94" t="s">
        <v>210</v>
      </c>
      <c r="X667" s="94">
        <v>-1</v>
      </c>
      <c r="Y667" s="94">
        <v>-3</v>
      </c>
      <c r="Z667" s="94" t="s">
        <v>210</v>
      </c>
      <c r="AA667" s="94"/>
      <c r="AB667" s="94"/>
      <c r="AC667" s="94"/>
      <c r="AD667" s="94"/>
      <c r="AE667" s="94"/>
      <c r="AF667" s="94"/>
      <c r="AG667" s="94"/>
      <c r="AH667" s="94"/>
      <c r="AI667" s="94"/>
      <c r="AJ667" s="94"/>
      <c r="AK667" s="94"/>
      <c r="AL667" s="94"/>
      <c r="AM667" s="94"/>
      <c r="AN667" s="94"/>
      <c r="AO667" s="94"/>
      <c r="AP667" s="94"/>
      <c r="AQ667" s="94"/>
      <c r="AR667" s="94"/>
      <c r="AS667" s="94"/>
      <c r="AT667" s="94"/>
      <c r="AU667" s="94"/>
      <c r="AV667" s="94"/>
      <c r="AW667" s="94"/>
      <c r="AX667" s="94"/>
      <c r="AY667" s="94"/>
      <c r="BA667" s="95"/>
    </row>
    <row r="668" spans="1:53" s="87" customFormat="1">
      <c r="A668" s="90" t="str">
        <f t="shared" si="35"/>
        <v/>
      </c>
      <c r="B668" s="98">
        <v>20</v>
      </c>
      <c r="C668" s="94">
        <v>6</v>
      </c>
      <c r="D668" s="94" t="s">
        <v>210</v>
      </c>
      <c r="E668" s="94" t="s">
        <v>210</v>
      </c>
      <c r="F668" s="94">
        <v>3</v>
      </c>
      <c r="G668" s="94">
        <v>-2</v>
      </c>
      <c r="H668" s="94" t="s">
        <v>210</v>
      </c>
      <c r="I668" s="94" t="s">
        <v>210</v>
      </c>
      <c r="J668" s="94">
        <v>-4</v>
      </c>
      <c r="K668" s="94">
        <v>7</v>
      </c>
      <c r="L668" s="94" t="s">
        <v>210</v>
      </c>
      <c r="M668" s="94" t="s">
        <v>210</v>
      </c>
      <c r="N668" s="94">
        <v>6</v>
      </c>
      <c r="O668" s="94">
        <v>5</v>
      </c>
      <c r="P668" s="94" t="s">
        <v>210</v>
      </c>
      <c r="Q668" s="94" t="s">
        <v>210</v>
      </c>
      <c r="R668" s="94">
        <v>1</v>
      </c>
      <c r="S668" s="94">
        <v>-3</v>
      </c>
      <c r="T668" s="94" t="s">
        <v>210</v>
      </c>
      <c r="U668" s="94" t="s">
        <v>210</v>
      </c>
      <c r="V668" s="94">
        <v>-2</v>
      </c>
      <c r="W668" s="94">
        <v>4</v>
      </c>
      <c r="X668" s="94" t="s">
        <v>210</v>
      </c>
      <c r="Y668" s="94">
        <v>1</v>
      </c>
      <c r="Z668" s="94" t="s">
        <v>210</v>
      </c>
      <c r="AA668" s="94"/>
      <c r="AB668" s="94"/>
      <c r="AC668" s="94"/>
      <c r="AD668" s="94"/>
      <c r="AE668" s="94"/>
      <c r="AF668" s="94"/>
      <c r="AG668" s="94"/>
      <c r="AH668" s="94"/>
      <c r="AI668" s="94"/>
      <c r="AJ668" s="94"/>
      <c r="AK668" s="94"/>
      <c r="AL668" s="94"/>
      <c r="AM668" s="94"/>
      <c r="AN668" s="94"/>
      <c r="AO668" s="94"/>
      <c r="AP668" s="94"/>
      <c r="AQ668" s="94"/>
      <c r="AR668" s="94"/>
      <c r="AS668" s="94"/>
      <c r="AT668" s="94"/>
      <c r="AU668" s="94"/>
      <c r="AV668" s="94"/>
      <c r="AW668" s="94"/>
      <c r="AX668" s="94"/>
      <c r="AY668" s="94"/>
      <c r="BA668" s="95"/>
    </row>
    <row r="669" spans="1:53" s="87" customFormat="1">
      <c r="A669" s="90" t="str">
        <f t="shared" si="35"/>
        <v/>
      </c>
      <c r="B669" s="98">
        <v>21</v>
      </c>
      <c r="C669" s="94" t="s">
        <v>210</v>
      </c>
      <c r="D669" s="94">
        <v>5</v>
      </c>
      <c r="E669" s="94">
        <v>6</v>
      </c>
      <c r="F669" s="94" t="s">
        <v>210</v>
      </c>
      <c r="G669" s="94" t="s">
        <v>210</v>
      </c>
      <c r="H669" s="94">
        <v>3</v>
      </c>
      <c r="I669" s="94">
        <v>2</v>
      </c>
      <c r="J669" s="94" t="s">
        <v>210</v>
      </c>
      <c r="K669" s="94" t="s">
        <v>210</v>
      </c>
      <c r="L669" s="94">
        <v>-4</v>
      </c>
      <c r="M669" s="94">
        <v>7</v>
      </c>
      <c r="N669" s="94" t="s">
        <v>210</v>
      </c>
      <c r="O669" s="94" t="s">
        <v>210</v>
      </c>
      <c r="P669" s="94">
        <v>-6</v>
      </c>
      <c r="Q669" s="94">
        <v>-5</v>
      </c>
      <c r="R669" s="94" t="s">
        <v>210</v>
      </c>
      <c r="S669" s="94" t="s">
        <v>210</v>
      </c>
      <c r="T669" s="94">
        <v>1</v>
      </c>
      <c r="U669" s="94">
        <v>-3</v>
      </c>
      <c r="V669" s="94" t="s">
        <v>210</v>
      </c>
      <c r="W669" s="94" t="s">
        <v>210</v>
      </c>
      <c r="X669" s="94">
        <v>2</v>
      </c>
      <c r="Y669" s="94">
        <v>4</v>
      </c>
      <c r="Z669" s="94" t="s">
        <v>210</v>
      </c>
      <c r="AA669" s="94"/>
      <c r="AB669" s="94"/>
      <c r="AC669" s="94"/>
      <c r="AD669" s="94"/>
      <c r="AE669" s="94"/>
      <c r="AF669" s="94"/>
      <c r="AG669" s="94"/>
      <c r="AH669" s="94"/>
      <c r="AI669" s="94"/>
      <c r="AJ669" s="94"/>
      <c r="AK669" s="94"/>
      <c r="AL669" s="94"/>
      <c r="AM669" s="94"/>
      <c r="AN669" s="94"/>
      <c r="AO669" s="94"/>
      <c r="AP669" s="94"/>
      <c r="AQ669" s="94"/>
      <c r="AR669" s="94"/>
      <c r="AS669" s="94"/>
      <c r="AT669" s="94"/>
      <c r="AU669" s="94"/>
      <c r="AV669" s="94"/>
      <c r="AW669" s="94"/>
      <c r="AX669" s="94"/>
      <c r="AY669" s="94"/>
      <c r="BA669" s="95"/>
    </row>
    <row r="670" spans="1:53" s="87" customFormat="1">
      <c r="A670" s="90" t="str">
        <f t="shared" si="35"/>
        <v/>
      </c>
      <c r="B670" s="98">
        <v>22</v>
      </c>
      <c r="C670" s="94">
        <v>2</v>
      </c>
      <c r="D670" s="94" t="s">
        <v>210</v>
      </c>
      <c r="E670" s="94" t="s">
        <v>210</v>
      </c>
      <c r="F670" s="94">
        <v>4</v>
      </c>
      <c r="G670" s="94">
        <v>7</v>
      </c>
      <c r="H670" s="94" t="s">
        <v>210</v>
      </c>
      <c r="I670" s="94" t="s">
        <v>210</v>
      </c>
      <c r="J670" s="94">
        <v>6</v>
      </c>
      <c r="K670" s="94">
        <v>-5</v>
      </c>
      <c r="L670" s="94" t="s">
        <v>210</v>
      </c>
      <c r="M670" s="94" t="s">
        <v>210</v>
      </c>
      <c r="N670" s="94">
        <v>-1</v>
      </c>
      <c r="O670" s="94">
        <v>3</v>
      </c>
      <c r="P670" s="94" t="s">
        <v>210</v>
      </c>
      <c r="Q670" s="94" t="s">
        <v>210</v>
      </c>
      <c r="R670" s="94">
        <v>-2</v>
      </c>
      <c r="S670" s="94">
        <v>-4</v>
      </c>
      <c r="T670" s="94" t="s">
        <v>210</v>
      </c>
      <c r="U670" s="94">
        <v>1</v>
      </c>
      <c r="V670" s="94" t="s">
        <v>210</v>
      </c>
      <c r="W670" s="94" t="s">
        <v>210</v>
      </c>
      <c r="X670" s="94">
        <v>-5</v>
      </c>
      <c r="Y670" s="94">
        <v>-6</v>
      </c>
      <c r="Z670" s="94" t="s">
        <v>210</v>
      </c>
      <c r="AA670" s="94"/>
      <c r="AB670" s="94"/>
      <c r="AC670" s="94"/>
      <c r="AD670" s="94"/>
      <c r="AE670" s="94"/>
      <c r="AF670" s="94"/>
      <c r="AG670" s="94"/>
      <c r="AH670" s="94"/>
      <c r="AI670" s="94"/>
      <c r="AJ670" s="94"/>
      <c r="AK670" s="94"/>
      <c r="AL670" s="94"/>
      <c r="AM670" s="94"/>
      <c r="AN670" s="94"/>
      <c r="AO670" s="94"/>
      <c r="AP670" s="94"/>
      <c r="AQ670" s="94"/>
      <c r="AR670" s="94"/>
      <c r="AS670" s="94"/>
      <c r="AT670" s="94"/>
      <c r="AU670" s="94"/>
      <c r="AV670" s="94"/>
      <c r="AW670" s="94"/>
      <c r="AX670" s="94"/>
      <c r="AY670" s="94"/>
      <c r="BA670" s="95"/>
    </row>
    <row r="671" spans="1:53" s="87" customFormat="1">
      <c r="A671" s="90" t="str">
        <f t="shared" si="35"/>
        <v/>
      </c>
      <c r="B671" s="98">
        <v>23</v>
      </c>
      <c r="C671" s="94" t="s">
        <v>210</v>
      </c>
      <c r="D671" s="94">
        <v>3</v>
      </c>
      <c r="E671" s="94">
        <v>2</v>
      </c>
      <c r="F671" s="94" t="s">
        <v>210</v>
      </c>
      <c r="G671" s="94" t="s">
        <v>210</v>
      </c>
      <c r="H671" s="94">
        <v>4</v>
      </c>
      <c r="I671" s="94">
        <v>-7</v>
      </c>
      <c r="J671" s="94" t="s">
        <v>210</v>
      </c>
      <c r="K671" s="94" t="s">
        <v>210</v>
      </c>
      <c r="L671" s="94">
        <v>6</v>
      </c>
      <c r="M671" s="94">
        <v>-5</v>
      </c>
      <c r="N671" s="94" t="s">
        <v>210</v>
      </c>
      <c r="O671" s="94" t="s">
        <v>210</v>
      </c>
      <c r="P671" s="94">
        <v>1</v>
      </c>
      <c r="Q671" s="94">
        <v>-3</v>
      </c>
      <c r="R671" s="94" t="s">
        <v>210</v>
      </c>
      <c r="S671" s="94" t="s">
        <v>210</v>
      </c>
      <c r="T671" s="94">
        <v>-2</v>
      </c>
      <c r="U671" s="94">
        <v>-4</v>
      </c>
      <c r="V671" s="94" t="s">
        <v>210</v>
      </c>
      <c r="W671" s="94">
        <v>-1</v>
      </c>
      <c r="X671" s="94" t="s">
        <v>210</v>
      </c>
      <c r="Y671" s="94" t="s">
        <v>210</v>
      </c>
      <c r="Z671" s="94">
        <v>5</v>
      </c>
      <c r="AA671" s="94"/>
      <c r="AB671" s="94"/>
      <c r="AC671" s="94"/>
      <c r="AD671" s="94"/>
      <c r="AE671" s="94"/>
      <c r="AF671" s="94"/>
      <c r="AG671" s="94"/>
      <c r="AH671" s="94"/>
      <c r="AI671" s="94"/>
      <c r="AJ671" s="94"/>
      <c r="AK671" s="94"/>
      <c r="AL671" s="94"/>
      <c r="AM671" s="94"/>
      <c r="AN671" s="94"/>
      <c r="AO671" s="94"/>
      <c r="AP671" s="94"/>
      <c r="AQ671" s="94"/>
      <c r="AR671" s="94"/>
      <c r="AS671" s="94"/>
      <c r="AT671" s="94"/>
      <c r="AU671" s="94"/>
      <c r="AV671" s="94"/>
      <c r="AW671" s="94"/>
      <c r="AX671" s="94"/>
      <c r="AY671" s="94"/>
      <c r="BA671" s="95"/>
    </row>
    <row r="672" spans="1:53" s="87" customFormat="1">
      <c r="A672" s="90" t="str">
        <f t="shared" si="35"/>
        <v/>
      </c>
      <c r="B672" s="98">
        <v>24</v>
      </c>
      <c r="C672" s="94" t="s">
        <v>210</v>
      </c>
      <c r="D672" s="94">
        <v>4</v>
      </c>
      <c r="E672" s="94">
        <v>-7</v>
      </c>
      <c r="F672" s="94" t="s">
        <v>210</v>
      </c>
      <c r="G672" s="94" t="s">
        <v>210</v>
      </c>
      <c r="H672" s="94">
        <v>-6</v>
      </c>
      <c r="I672" s="94">
        <v>5</v>
      </c>
      <c r="J672" s="94" t="s">
        <v>210</v>
      </c>
      <c r="K672" s="94" t="s">
        <v>210</v>
      </c>
      <c r="L672" s="94">
        <v>1</v>
      </c>
      <c r="M672" s="94">
        <v>3</v>
      </c>
      <c r="N672" s="94" t="s">
        <v>210</v>
      </c>
      <c r="O672" s="94" t="s">
        <v>210</v>
      </c>
      <c r="P672" s="94">
        <v>-2</v>
      </c>
      <c r="Q672" s="94">
        <v>-4</v>
      </c>
      <c r="R672" s="94" t="s">
        <v>210</v>
      </c>
      <c r="S672" s="94">
        <v>-1</v>
      </c>
      <c r="T672" s="94" t="s">
        <v>210</v>
      </c>
      <c r="U672" s="94" t="s">
        <v>210</v>
      </c>
      <c r="V672" s="94">
        <v>5</v>
      </c>
      <c r="W672" s="94">
        <v>-6</v>
      </c>
      <c r="X672" s="94" t="s">
        <v>210</v>
      </c>
      <c r="Y672" s="94" t="s">
        <v>210</v>
      </c>
      <c r="Z672" s="94">
        <v>3</v>
      </c>
      <c r="AA672" s="94"/>
      <c r="AB672" s="94"/>
      <c r="AC672" s="94"/>
      <c r="AD672" s="94"/>
      <c r="AE672" s="94"/>
      <c r="AF672" s="94"/>
      <c r="AG672" s="94"/>
      <c r="AH672" s="94"/>
      <c r="AI672" s="94"/>
      <c r="AJ672" s="94"/>
      <c r="AK672" s="94"/>
      <c r="AL672" s="94"/>
      <c r="AM672" s="94"/>
      <c r="AN672" s="94"/>
      <c r="AO672" s="94"/>
      <c r="AP672" s="94"/>
      <c r="AQ672" s="94"/>
      <c r="AR672" s="94"/>
      <c r="AS672" s="94"/>
      <c r="AT672" s="94"/>
      <c r="AU672" s="94"/>
      <c r="AV672" s="94"/>
      <c r="AW672" s="94"/>
      <c r="AX672" s="94"/>
      <c r="AY672" s="94"/>
      <c r="BA672" s="95"/>
    </row>
    <row r="673" spans="1:53" s="87" customFormat="1">
      <c r="A673" s="90" t="str">
        <f t="shared" si="35"/>
        <v/>
      </c>
      <c r="B673" s="98">
        <v>25</v>
      </c>
      <c r="C673" s="94">
        <v>7</v>
      </c>
      <c r="D673" s="94" t="s">
        <v>210</v>
      </c>
      <c r="E673" s="94" t="s">
        <v>210</v>
      </c>
      <c r="F673" s="94">
        <v>-6</v>
      </c>
      <c r="G673" s="94">
        <v>5</v>
      </c>
      <c r="H673" s="94" t="s">
        <v>210</v>
      </c>
      <c r="I673" s="94" t="s">
        <v>210</v>
      </c>
      <c r="J673" s="94">
        <v>-1</v>
      </c>
      <c r="K673" s="94">
        <v>-3</v>
      </c>
      <c r="L673" s="94" t="s">
        <v>210</v>
      </c>
      <c r="M673" s="94" t="s">
        <v>210</v>
      </c>
      <c r="N673" s="94">
        <v>2</v>
      </c>
      <c r="O673" s="94">
        <v>4</v>
      </c>
      <c r="P673" s="94" t="s">
        <v>210</v>
      </c>
      <c r="Q673" s="94">
        <v>1</v>
      </c>
      <c r="R673" s="94" t="s">
        <v>210</v>
      </c>
      <c r="S673" s="94" t="s">
        <v>210</v>
      </c>
      <c r="T673" s="94">
        <v>-5</v>
      </c>
      <c r="U673" s="94">
        <v>-6</v>
      </c>
      <c r="V673" s="94" t="s">
        <v>210</v>
      </c>
      <c r="W673" s="94" t="s">
        <v>210</v>
      </c>
      <c r="X673" s="94">
        <v>3</v>
      </c>
      <c r="Y673" s="94">
        <v>2</v>
      </c>
      <c r="Z673" s="94" t="s">
        <v>210</v>
      </c>
      <c r="AA673" s="94"/>
      <c r="AB673" s="94"/>
      <c r="AC673" s="94"/>
      <c r="AD673" s="94"/>
      <c r="AE673" s="94"/>
      <c r="AF673" s="94"/>
      <c r="AG673" s="94"/>
      <c r="AH673" s="94"/>
      <c r="AI673" s="94"/>
      <c r="AJ673" s="94"/>
      <c r="AK673" s="94"/>
      <c r="AL673" s="94"/>
      <c r="AM673" s="94"/>
      <c r="AN673" s="94"/>
      <c r="AO673" s="94"/>
      <c r="AP673" s="94"/>
      <c r="AQ673" s="94"/>
      <c r="AR673" s="94"/>
      <c r="AS673" s="94"/>
      <c r="AT673" s="94"/>
      <c r="AU673" s="94"/>
      <c r="AV673" s="94"/>
      <c r="AW673" s="94"/>
      <c r="AX673" s="94"/>
      <c r="AY673" s="94"/>
      <c r="BA673" s="95"/>
    </row>
    <row r="674" spans="1:53" s="87" customFormat="1">
      <c r="A674" s="90" t="str">
        <f t="shared" si="35"/>
        <v/>
      </c>
      <c r="B674" s="98">
        <v>26</v>
      </c>
      <c r="C674" s="94" t="s">
        <v>210</v>
      </c>
      <c r="D674" s="94">
        <v>-2</v>
      </c>
      <c r="E674" s="94">
        <v>4</v>
      </c>
      <c r="F674" s="94" t="s">
        <v>210</v>
      </c>
      <c r="G674" s="94">
        <v>-1</v>
      </c>
      <c r="H674" s="94" t="s">
        <v>210</v>
      </c>
      <c r="I674" s="94" t="s">
        <v>210</v>
      </c>
      <c r="J674" s="94">
        <v>5</v>
      </c>
      <c r="K674" s="94">
        <v>6</v>
      </c>
      <c r="L674" s="94" t="s">
        <v>210</v>
      </c>
      <c r="M674" s="94" t="s">
        <v>210</v>
      </c>
      <c r="N674" s="94">
        <v>3</v>
      </c>
      <c r="O674" s="94">
        <v>-2</v>
      </c>
      <c r="P674" s="94" t="s">
        <v>210</v>
      </c>
      <c r="Q674" s="94" t="s">
        <v>210</v>
      </c>
      <c r="R674" s="94">
        <v>-4</v>
      </c>
      <c r="S674" s="94">
        <v>-7</v>
      </c>
      <c r="T674" s="94" t="s">
        <v>210</v>
      </c>
      <c r="U674" s="94" t="s">
        <v>210</v>
      </c>
      <c r="V674" s="94">
        <v>-6</v>
      </c>
      <c r="W674" s="94">
        <v>5</v>
      </c>
      <c r="X674" s="94" t="s">
        <v>210</v>
      </c>
      <c r="Y674" s="94" t="s">
        <v>210</v>
      </c>
      <c r="Z674" s="94">
        <v>-1</v>
      </c>
      <c r="AA674" s="94"/>
      <c r="AB674" s="94"/>
      <c r="AC674" s="94"/>
      <c r="AD674" s="94"/>
      <c r="AE674" s="94"/>
      <c r="AF674" s="94"/>
      <c r="AG674" s="94"/>
      <c r="AH674" s="94"/>
      <c r="AI674" s="94"/>
      <c r="AJ674" s="94"/>
      <c r="AK674" s="94"/>
      <c r="AL674" s="94"/>
      <c r="AM674" s="94"/>
      <c r="AN674" s="94"/>
      <c r="AO674" s="94"/>
      <c r="AP674" s="94"/>
      <c r="AQ674" s="94"/>
      <c r="AR674" s="94"/>
      <c r="AS674" s="94"/>
      <c r="AT674" s="94"/>
      <c r="AU674" s="94"/>
      <c r="AV674" s="94"/>
      <c r="AW674" s="94"/>
      <c r="AX674" s="94"/>
      <c r="AY674" s="94"/>
      <c r="BA674" s="95"/>
    </row>
    <row r="675" spans="1:53" s="87" customFormat="1">
      <c r="A675" s="90" t="str">
        <f t="shared" si="35"/>
        <v/>
      </c>
      <c r="B675" s="317" t="s">
        <v>999</v>
      </c>
      <c r="C675" s="94"/>
      <c r="D675" s="94"/>
      <c r="E675" s="94"/>
      <c r="F675" s="94"/>
      <c r="G675" s="94"/>
      <c r="H675" s="94"/>
      <c r="I675" s="94"/>
      <c r="J675" s="94"/>
      <c r="K675" s="94"/>
      <c r="L675" s="94"/>
      <c r="M675" s="94"/>
      <c r="N675" s="94"/>
      <c r="O675" s="94"/>
      <c r="P675" s="94"/>
      <c r="Q675" s="94"/>
      <c r="R675" s="94"/>
      <c r="S675" s="94"/>
      <c r="T675" s="94"/>
      <c r="U675" s="94"/>
      <c r="V675" s="94"/>
      <c r="W675" s="94"/>
      <c r="X675" s="94"/>
      <c r="Y675" s="94"/>
      <c r="Z675" s="94"/>
      <c r="AA675" s="94"/>
      <c r="AB675" s="94"/>
      <c r="AC675" s="94"/>
      <c r="AD675" s="94"/>
      <c r="AE675" s="94"/>
      <c r="AF675" s="94"/>
      <c r="AG675" s="94"/>
      <c r="AH675" s="94"/>
      <c r="AI675" s="94"/>
      <c r="AJ675" s="94"/>
      <c r="AK675" s="94"/>
      <c r="AL675" s="94"/>
      <c r="AM675" s="94"/>
      <c r="AN675" s="94"/>
      <c r="AO675" s="94"/>
      <c r="AP675" s="94"/>
      <c r="AQ675" s="94"/>
      <c r="AR675" s="94"/>
      <c r="AS675" s="94"/>
      <c r="AT675" s="94"/>
      <c r="AU675" s="94"/>
      <c r="AV675" s="94"/>
      <c r="AW675" s="94"/>
      <c r="AX675" s="94"/>
      <c r="AY675" s="94"/>
      <c r="BA675" s="95"/>
    </row>
    <row r="676" spans="1:53" s="87" customFormat="1">
      <c r="A676" s="90">
        <f t="shared" si="35"/>
        <v>676</v>
      </c>
      <c r="B676" s="98" t="s">
        <v>922</v>
      </c>
      <c r="C676" s="94"/>
      <c r="D676" s="94"/>
      <c r="E676" s="94"/>
      <c r="F676" s="94"/>
      <c r="G676" s="94"/>
      <c r="H676" s="94"/>
      <c r="I676" s="94"/>
      <c r="J676" s="94"/>
      <c r="K676" s="94"/>
      <c r="L676" s="94"/>
      <c r="M676" s="94"/>
      <c r="N676" s="94"/>
      <c r="O676" s="94"/>
      <c r="P676" s="94"/>
      <c r="Q676" s="94"/>
      <c r="R676" s="94"/>
      <c r="S676" s="94"/>
      <c r="T676" s="94"/>
      <c r="U676" s="94"/>
      <c r="V676" s="94"/>
      <c r="W676" s="94"/>
      <c r="X676" s="94"/>
      <c r="Y676" s="94"/>
      <c r="Z676" s="94"/>
      <c r="AA676" s="94"/>
      <c r="AB676" s="94"/>
      <c r="AC676" s="94"/>
      <c r="AD676" s="94"/>
      <c r="AE676" s="94"/>
      <c r="AF676" s="94"/>
      <c r="AG676" s="94"/>
      <c r="AH676" s="94"/>
      <c r="AI676" s="94"/>
      <c r="AJ676" s="94"/>
      <c r="AK676" s="94"/>
      <c r="AL676" s="94"/>
      <c r="AM676" s="94"/>
      <c r="AN676" s="94"/>
      <c r="AO676" s="94"/>
      <c r="AP676" s="94"/>
      <c r="AQ676" s="94"/>
      <c r="AR676" s="94"/>
      <c r="AS676" s="94"/>
      <c r="AT676" s="94"/>
      <c r="AU676" s="94"/>
      <c r="AV676" s="94"/>
      <c r="AW676" s="94"/>
      <c r="AX676" s="94"/>
      <c r="AY676" s="94"/>
      <c r="BA676" s="95"/>
    </row>
    <row r="677" spans="1:53" s="87" customFormat="1">
      <c r="A677" s="90" t="str">
        <f t="shared" si="35"/>
        <v/>
      </c>
      <c r="B677" s="98">
        <v>1</v>
      </c>
      <c r="C677" s="94" t="s">
        <v>210</v>
      </c>
      <c r="D677" s="94">
        <v>-3</v>
      </c>
      <c r="E677" s="94">
        <v>1</v>
      </c>
      <c r="F677" s="94" t="s">
        <v>210</v>
      </c>
      <c r="G677" s="94" t="s">
        <v>210</v>
      </c>
      <c r="H677" s="94">
        <v>6</v>
      </c>
      <c r="I677" s="94">
        <v>-2</v>
      </c>
      <c r="J677" s="94" t="s">
        <v>210</v>
      </c>
      <c r="K677" s="94" t="s">
        <v>210</v>
      </c>
      <c r="L677" s="94">
        <v>5</v>
      </c>
      <c r="M677" s="94">
        <v>4</v>
      </c>
      <c r="N677" s="94" t="s">
        <v>210</v>
      </c>
      <c r="O677" s="94" t="s">
        <v>210</v>
      </c>
      <c r="P677" s="94">
        <v>3</v>
      </c>
      <c r="Q677" s="94">
        <v>-1</v>
      </c>
      <c r="R677" s="94" t="s">
        <v>210</v>
      </c>
      <c r="S677" s="94" t="s">
        <v>210</v>
      </c>
      <c r="T677" s="94">
        <v>-5</v>
      </c>
      <c r="U677" s="94">
        <v>7</v>
      </c>
      <c r="V677" s="94" t="s">
        <v>210</v>
      </c>
      <c r="W677" s="94" t="s">
        <v>210</v>
      </c>
      <c r="X677" s="94">
        <v>-6</v>
      </c>
      <c r="Y677" s="94">
        <v>2</v>
      </c>
      <c r="Z677" s="94" t="s">
        <v>210</v>
      </c>
      <c r="AA677" s="94" t="s">
        <v>210</v>
      </c>
      <c r="AB677" s="94">
        <v>-4</v>
      </c>
      <c r="AC677" s="94"/>
      <c r="AD677" s="94"/>
      <c r="AE677" s="94"/>
      <c r="AF677" s="94"/>
      <c r="AG677" s="94"/>
      <c r="AH677" s="94"/>
      <c r="AI677" s="94"/>
      <c r="AJ677" s="94"/>
      <c r="AK677" s="94"/>
      <c r="AL677" s="94"/>
      <c r="AM677" s="94"/>
      <c r="AN677" s="94"/>
      <c r="AO677" s="94"/>
      <c r="AP677" s="94"/>
      <c r="AQ677" s="94"/>
      <c r="AR677" s="94"/>
      <c r="AS677" s="94"/>
      <c r="AT677" s="94"/>
      <c r="AU677" s="94"/>
      <c r="AV677" s="94"/>
      <c r="AW677" s="94"/>
      <c r="AX677" s="94"/>
      <c r="AY677" s="94"/>
      <c r="BA677" s="95"/>
    </row>
    <row r="678" spans="1:53" s="87" customFormat="1">
      <c r="A678" s="90" t="str">
        <f t="shared" si="35"/>
        <v/>
      </c>
      <c r="B678" s="98">
        <v>2</v>
      </c>
      <c r="C678" s="94" t="s">
        <v>210</v>
      </c>
      <c r="D678" s="94">
        <v>-2</v>
      </c>
      <c r="E678" s="94">
        <v>-4</v>
      </c>
      <c r="F678" s="94" t="s">
        <v>210</v>
      </c>
      <c r="G678" s="94" t="s">
        <v>210</v>
      </c>
      <c r="H678" s="94">
        <v>3</v>
      </c>
      <c r="I678" s="94">
        <v>6</v>
      </c>
      <c r="J678" s="94" t="s">
        <v>210</v>
      </c>
      <c r="K678" s="94" t="s">
        <v>210</v>
      </c>
      <c r="L678" s="94">
        <v>1</v>
      </c>
      <c r="M678" s="94">
        <v>5</v>
      </c>
      <c r="N678" s="94" t="s">
        <v>210</v>
      </c>
      <c r="O678" s="94" t="s">
        <v>210</v>
      </c>
      <c r="P678" s="94">
        <v>-7</v>
      </c>
      <c r="Q678" s="94">
        <v>2</v>
      </c>
      <c r="R678" s="94" t="s">
        <v>210</v>
      </c>
      <c r="S678" s="94" t="s">
        <v>210</v>
      </c>
      <c r="T678" s="94">
        <v>-3</v>
      </c>
      <c r="U678" s="94">
        <v>-6</v>
      </c>
      <c r="V678" s="94" t="s">
        <v>210</v>
      </c>
      <c r="W678" s="94" t="s">
        <v>210</v>
      </c>
      <c r="X678" s="94">
        <v>-1</v>
      </c>
      <c r="Y678" s="94">
        <v>-5</v>
      </c>
      <c r="Z678" s="94" t="s">
        <v>210</v>
      </c>
      <c r="AA678" s="94" t="s">
        <v>210</v>
      </c>
      <c r="AB678" s="94">
        <v>4</v>
      </c>
      <c r="AC678" s="94"/>
      <c r="AD678" s="94"/>
      <c r="AE678" s="94"/>
      <c r="AF678" s="94"/>
      <c r="AG678" s="94"/>
      <c r="AH678" s="94"/>
      <c r="AI678" s="94"/>
      <c r="AJ678" s="94"/>
      <c r="AK678" s="94"/>
      <c r="AL678" s="94"/>
      <c r="AM678" s="94"/>
      <c r="AN678" s="94"/>
      <c r="AO678" s="94"/>
      <c r="AP678" s="94"/>
      <c r="AQ678" s="94"/>
      <c r="AR678" s="94"/>
      <c r="AS678" s="94"/>
      <c r="AT678" s="94"/>
      <c r="AU678" s="94"/>
      <c r="AV678" s="94"/>
      <c r="AW678" s="94"/>
      <c r="AX678" s="94"/>
      <c r="AY678" s="94"/>
      <c r="BA678" s="95"/>
    </row>
    <row r="679" spans="1:53" s="87" customFormat="1">
      <c r="A679" s="90" t="str">
        <f t="shared" si="35"/>
        <v/>
      </c>
      <c r="B679" s="98">
        <v>3</v>
      </c>
      <c r="C679" s="94" t="s">
        <v>210</v>
      </c>
      <c r="D679" s="94">
        <v>1</v>
      </c>
      <c r="E679" s="94">
        <v>-3</v>
      </c>
      <c r="F679" s="94" t="s">
        <v>210</v>
      </c>
      <c r="G679" s="94" t="s">
        <v>210</v>
      </c>
      <c r="H679" s="94">
        <v>4</v>
      </c>
      <c r="I679" s="94">
        <v>-5</v>
      </c>
      <c r="J679" s="94" t="s">
        <v>210</v>
      </c>
      <c r="K679" s="94" t="s">
        <v>210</v>
      </c>
      <c r="L679" s="94">
        <v>7</v>
      </c>
      <c r="M679" s="94">
        <v>-2</v>
      </c>
      <c r="N679" s="94" t="s">
        <v>210</v>
      </c>
      <c r="O679" s="94" t="s">
        <v>210</v>
      </c>
      <c r="P679" s="94">
        <v>-1</v>
      </c>
      <c r="Q679" s="94">
        <v>-4</v>
      </c>
      <c r="R679" s="94" t="s">
        <v>210</v>
      </c>
      <c r="S679" s="94" t="s">
        <v>210</v>
      </c>
      <c r="T679" s="94">
        <v>-7</v>
      </c>
      <c r="U679" s="94">
        <v>2</v>
      </c>
      <c r="V679" s="94" t="s">
        <v>210</v>
      </c>
      <c r="W679" s="94" t="s">
        <v>210</v>
      </c>
      <c r="X679" s="94">
        <v>6</v>
      </c>
      <c r="Y679" s="94">
        <v>5</v>
      </c>
      <c r="Z679" s="94" t="s">
        <v>210</v>
      </c>
      <c r="AA679" s="94" t="s">
        <v>210</v>
      </c>
      <c r="AB679" s="94">
        <v>3</v>
      </c>
      <c r="AC679" s="94"/>
      <c r="AD679" s="94"/>
      <c r="AE679" s="94"/>
      <c r="AF679" s="94"/>
      <c r="AG679" s="94"/>
      <c r="AH679" s="94"/>
      <c r="AI679" s="94"/>
      <c r="AJ679" s="94"/>
      <c r="AK679" s="94"/>
      <c r="AL679" s="94"/>
      <c r="AM679" s="94"/>
      <c r="AN679" s="94"/>
      <c r="AO679" s="94"/>
      <c r="AP679" s="94"/>
      <c r="AQ679" s="94"/>
      <c r="AR679" s="94"/>
      <c r="AS679" s="94"/>
      <c r="AT679" s="94"/>
      <c r="AU679" s="94"/>
      <c r="AV679" s="94"/>
      <c r="AW679" s="94"/>
      <c r="AX679" s="94"/>
      <c r="AY679" s="94"/>
      <c r="BA679" s="95"/>
    </row>
    <row r="680" spans="1:53" s="87" customFormat="1">
      <c r="A680" s="90" t="str">
        <f t="shared" si="35"/>
        <v/>
      </c>
      <c r="B680" s="98">
        <v>4</v>
      </c>
      <c r="C680" s="94" t="s">
        <v>210</v>
      </c>
      <c r="D680" s="94">
        <v>-7</v>
      </c>
      <c r="E680" s="94">
        <v>5</v>
      </c>
      <c r="F680" s="94" t="s">
        <v>210</v>
      </c>
      <c r="G680" s="94" t="s">
        <v>210</v>
      </c>
      <c r="H680" s="94">
        <v>2</v>
      </c>
      <c r="I680" s="94">
        <v>-1</v>
      </c>
      <c r="J680" s="94" t="s">
        <v>210</v>
      </c>
      <c r="K680" s="94" t="s">
        <v>210</v>
      </c>
      <c r="L680" s="94">
        <v>6</v>
      </c>
      <c r="M680" s="94">
        <v>3</v>
      </c>
      <c r="N680" s="94" t="s">
        <v>210</v>
      </c>
      <c r="O680" s="94" t="s">
        <v>210</v>
      </c>
      <c r="P680" s="94">
        <v>-5</v>
      </c>
      <c r="Q680" s="94">
        <v>7</v>
      </c>
      <c r="R680" s="94" t="s">
        <v>210</v>
      </c>
      <c r="S680" s="94" t="s">
        <v>210</v>
      </c>
      <c r="T680" s="94">
        <v>-6</v>
      </c>
      <c r="U680" s="94">
        <v>-4</v>
      </c>
      <c r="V680" s="94" t="s">
        <v>210</v>
      </c>
      <c r="W680" s="94" t="s">
        <v>210</v>
      </c>
      <c r="X680" s="94">
        <v>1</v>
      </c>
      <c r="Y680" s="94">
        <v>-2</v>
      </c>
      <c r="Z680" s="94" t="s">
        <v>210</v>
      </c>
      <c r="AA680" s="94" t="s">
        <v>210</v>
      </c>
      <c r="AB680" s="94">
        <v>-3</v>
      </c>
      <c r="AC680" s="94"/>
      <c r="AD680" s="94"/>
      <c r="AE680" s="94"/>
      <c r="AF680" s="94"/>
      <c r="AG680" s="94"/>
      <c r="AH680" s="94"/>
      <c r="AI680" s="94"/>
      <c r="AJ680" s="94"/>
      <c r="AK680" s="94"/>
      <c r="AL680" s="94"/>
      <c r="AM680" s="94"/>
      <c r="AN680" s="94"/>
      <c r="AO680" s="94"/>
      <c r="AP680" s="94"/>
      <c r="AQ680" s="94"/>
      <c r="AR680" s="94"/>
      <c r="AS680" s="94"/>
      <c r="AT680" s="94"/>
      <c r="AU680" s="94"/>
      <c r="AV680" s="94"/>
      <c r="AW680" s="94"/>
      <c r="AX680" s="94"/>
      <c r="AY680" s="94"/>
      <c r="BA680" s="95"/>
    </row>
    <row r="681" spans="1:53" s="87" customFormat="1">
      <c r="A681" s="90" t="str">
        <f t="shared" si="35"/>
        <v/>
      </c>
      <c r="B681" s="98">
        <v>5</v>
      </c>
      <c r="C681" s="94" t="s">
        <v>210</v>
      </c>
      <c r="D681" s="94">
        <v>3</v>
      </c>
      <c r="E681" s="94">
        <v>2</v>
      </c>
      <c r="F681" s="94" t="s">
        <v>210</v>
      </c>
      <c r="G681" s="94" t="s">
        <v>210</v>
      </c>
      <c r="H681" s="94">
        <v>5</v>
      </c>
      <c r="I681" s="94">
        <v>-7</v>
      </c>
      <c r="J681" s="94" t="s">
        <v>210</v>
      </c>
      <c r="K681" s="94" t="s">
        <v>210</v>
      </c>
      <c r="L681" s="94">
        <v>-4</v>
      </c>
      <c r="M681" s="94">
        <v>1</v>
      </c>
      <c r="N681" s="94" t="s">
        <v>210</v>
      </c>
      <c r="O681" s="94" t="s">
        <v>210</v>
      </c>
      <c r="P681" s="94">
        <v>-6</v>
      </c>
      <c r="Q681" s="94">
        <v>-2</v>
      </c>
      <c r="R681" s="94" t="s">
        <v>210</v>
      </c>
      <c r="S681" s="94" t="s">
        <v>210</v>
      </c>
      <c r="T681" s="94">
        <v>7</v>
      </c>
      <c r="U681" s="94">
        <v>4</v>
      </c>
      <c r="V681" s="94" t="s">
        <v>210</v>
      </c>
      <c r="W681" s="94" t="s">
        <v>210</v>
      </c>
      <c r="X681" s="94">
        <v>-3</v>
      </c>
      <c r="Y681" s="94">
        <v>-1</v>
      </c>
      <c r="Z681" s="94" t="s">
        <v>210</v>
      </c>
      <c r="AA681" s="94" t="s">
        <v>210</v>
      </c>
      <c r="AB681" s="94">
        <v>-5</v>
      </c>
      <c r="AC681" s="94"/>
      <c r="AD681" s="94"/>
      <c r="AE681" s="94"/>
      <c r="AF681" s="94"/>
      <c r="AG681" s="94"/>
      <c r="AH681" s="94"/>
      <c r="AI681" s="94"/>
      <c r="AJ681" s="94"/>
      <c r="AK681" s="94"/>
      <c r="AL681" s="94"/>
      <c r="AM681" s="94"/>
      <c r="AN681" s="94"/>
      <c r="AO681" s="94"/>
      <c r="AP681" s="94"/>
      <c r="AQ681" s="94"/>
      <c r="AR681" s="94"/>
      <c r="AS681" s="94"/>
      <c r="AT681" s="94"/>
      <c r="AU681" s="94"/>
      <c r="AV681" s="94"/>
      <c r="AW681" s="94"/>
      <c r="AX681" s="94"/>
      <c r="AY681" s="94"/>
      <c r="BA681" s="95"/>
    </row>
    <row r="682" spans="1:53" s="87" customFormat="1">
      <c r="A682" s="90" t="str">
        <f t="shared" si="35"/>
        <v/>
      </c>
      <c r="B682" s="98">
        <v>6</v>
      </c>
      <c r="C682" s="94" t="s">
        <v>210</v>
      </c>
      <c r="D682" s="94">
        <v>-5</v>
      </c>
      <c r="E682" s="94">
        <v>-7</v>
      </c>
      <c r="F682" s="94" t="s">
        <v>210</v>
      </c>
      <c r="G682" s="94" t="s">
        <v>210</v>
      </c>
      <c r="H682" s="94">
        <v>-6</v>
      </c>
      <c r="I682" s="94">
        <v>4</v>
      </c>
      <c r="J682" s="94" t="s">
        <v>210</v>
      </c>
      <c r="K682" s="94" t="s">
        <v>210</v>
      </c>
      <c r="L682" s="94">
        <v>2</v>
      </c>
      <c r="M682" s="94">
        <v>-3</v>
      </c>
      <c r="N682" s="94" t="s">
        <v>210</v>
      </c>
      <c r="O682" s="94" t="s">
        <v>210</v>
      </c>
      <c r="P682" s="94">
        <v>7</v>
      </c>
      <c r="Q682" s="94">
        <v>6</v>
      </c>
      <c r="R682" s="94" t="s">
        <v>210</v>
      </c>
      <c r="S682" s="94" t="s">
        <v>210</v>
      </c>
      <c r="T682" s="94">
        <v>1</v>
      </c>
      <c r="U682" s="94">
        <v>-2</v>
      </c>
      <c r="V682" s="94" t="s">
        <v>210</v>
      </c>
      <c r="W682" s="94" t="s">
        <v>210</v>
      </c>
      <c r="X682" s="94">
        <v>-4</v>
      </c>
      <c r="Y682" s="94">
        <v>3</v>
      </c>
      <c r="Z682" s="94" t="s">
        <v>210</v>
      </c>
      <c r="AA682" s="94" t="s">
        <v>210</v>
      </c>
      <c r="AB682" s="94">
        <v>5</v>
      </c>
      <c r="AC682" s="94"/>
      <c r="AD682" s="94"/>
      <c r="AE682" s="94"/>
      <c r="AF682" s="94"/>
      <c r="AG682" s="94"/>
      <c r="AH682" s="94"/>
      <c r="AI682" s="94"/>
      <c r="AJ682" s="94"/>
      <c r="AK682" s="94"/>
      <c r="AL682" s="94"/>
      <c r="AM682" s="94"/>
      <c r="AN682" s="94"/>
      <c r="AO682" s="94"/>
      <c r="AP682" s="94"/>
      <c r="AQ682" s="94"/>
      <c r="AR682" s="94"/>
      <c r="AS682" s="94"/>
      <c r="AT682" s="94"/>
      <c r="AU682" s="94"/>
      <c r="AV682" s="94"/>
      <c r="AW682" s="94"/>
      <c r="AX682" s="94"/>
      <c r="AY682" s="94"/>
      <c r="BA682" s="95"/>
    </row>
    <row r="683" spans="1:53" s="87" customFormat="1">
      <c r="A683" s="90" t="str">
        <f t="shared" si="35"/>
        <v/>
      </c>
      <c r="B683" s="98">
        <v>7</v>
      </c>
      <c r="C683" s="94" t="s">
        <v>210</v>
      </c>
      <c r="D683" s="94">
        <v>-6</v>
      </c>
      <c r="E683" s="94">
        <v>-5</v>
      </c>
      <c r="F683" s="94" t="s">
        <v>210</v>
      </c>
      <c r="G683" s="94" t="s">
        <v>210</v>
      </c>
      <c r="H683" s="94">
        <v>-7</v>
      </c>
      <c r="I683" s="94">
        <v>3</v>
      </c>
      <c r="J683" s="94" t="s">
        <v>210</v>
      </c>
      <c r="K683" s="94" t="s">
        <v>210</v>
      </c>
      <c r="L683" s="94">
        <v>-1</v>
      </c>
      <c r="M683" s="94">
        <v>2</v>
      </c>
      <c r="N683" s="94" t="s">
        <v>210</v>
      </c>
      <c r="O683" s="94" t="s">
        <v>210</v>
      </c>
      <c r="P683" s="94">
        <v>6</v>
      </c>
      <c r="Q683" s="94">
        <v>-3</v>
      </c>
      <c r="R683" s="94" t="s">
        <v>210</v>
      </c>
      <c r="S683" s="94" t="s">
        <v>210</v>
      </c>
      <c r="T683" s="94">
        <v>5</v>
      </c>
      <c r="U683" s="94">
        <v>1</v>
      </c>
      <c r="V683" s="94" t="s">
        <v>210</v>
      </c>
      <c r="W683" s="94" t="s">
        <v>210</v>
      </c>
      <c r="X683" s="94">
        <v>4</v>
      </c>
      <c r="Y683" s="94">
        <v>7</v>
      </c>
      <c r="Z683" s="94" t="s">
        <v>210</v>
      </c>
      <c r="AA683" s="94" t="s">
        <v>210</v>
      </c>
      <c r="AB683" s="94">
        <v>-2</v>
      </c>
      <c r="AC683" s="94"/>
      <c r="AD683" s="94"/>
      <c r="AE683" s="94"/>
      <c r="AF683" s="94"/>
      <c r="AG683" s="94"/>
      <c r="AH683" s="94"/>
      <c r="AI683" s="94"/>
      <c r="AJ683" s="94"/>
      <c r="AK683" s="94"/>
      <c r="AL683" s="94"/>
      <c r="AM683" s="94"/>
      <c r="AN683" s="94"/>
      <c r="AO683" s="94"/>
      <c r="AP683" s="94"/>
      <c r="AQ683" s="94"/>
      <c r="AR683" s="94"/>
      <c r="AS683" s="94"/>
      <c r="AT683" s="94"/>
      <c r="AU683" s="94"/>
      <c r="AV683" s="94"/>
      <c r="AW683" s="94"/>
      <c r="AX683" s="94"/>
      <c r="AY683" s="94"/>
      <c r="BA683" s="95"/>
    </row>
    <row r="684" spans="1:53" s="87" customFormat="1">
      <c r="A684" s="90" t="str">
        <f t="shared" si="35"/>
        <v/>
      </c>
      <c r="B684" s="98">
        <v>8</v>
      </c>
      <c r="C684" s="94" t="s">
        <v>210</v>
      </c>
      <c r="D684" s="94">
        <v>4</v>
      </c>
      <c r="E684" s="94">
        <v>-1</v>
      </c>
      <c r="F684" s="94" t="s">
        <v>210</v>
      </c>
      <c r="G684" s="94" t="s">
        <v>210</v>
      </c>
      <c r="H684" s="94">
        <v>-2</v>
      </c>
      <c r="I684" s="94">
        <v>7</v>
      </c>
      <c r="J684" s="94" t="s">
        <v>210</v>
      </c>
      <c r="K684" s="94" t="s">
        <v>210</v>
      </c>
      <c r="L684" s="94">
        <v>3</v>
      </c>
      <c r="M684" s="94">
        <v>-6</v>
      </c>
      <c r="N684" s="94" t="s">
        <v>210</v>
      </c>
      <c r="O684" s="94" t="s">
        <v>210</v>
      </c>
      <c r="P684" s="94">
        <v>1</v>
      </c>
      <c r="Q684" s="94">
        <v>5</v>
      </c>
      <c r="R684" s="94" t="s">
        <v>210</v>
      </c>
      <c r="S684" s="94" t="s">
        <v>210</v>
      </c>
      <c r="T684" s="94">
        <v>-4</v>
      </c>
      <c r="U684" s="94">
        <v>6</v>
      </c>
      <c r="V684" s="94" t="s">
        <v>210</v>
      </c>
      <c r="W684" s="94" t="s">
        <v>210</v>
      </c>
      <c r="X684" s="94">
        <v>-7</v>
      </c>
      <c r="Y684" s="94">
        <v>-3</v>
      </c>
      <c r="Z684" s="94" t="s">
        <v>210</v>
      </c>
      <c r="AA684" s="94" t="s">
        <v>210</v>
      </c>
      <c r="AB684" s="94">
        <v>2</v>
      </c>
      <c r="AC684" s="94"/>
      <c r="AD684" s="94"/>
      <c r="AE684" s="94"/>
      <c r="AF684" s="94"/>
      <c r="AG684" s="94"/>
      <c r="AH684" s="94"/>
      <c r="AI684" s="94"/>
      <c r="AJ684" s="94"/>
      <c r="AK684" s="94"/>
      <c r="AL684" s="94"/>
      <c r="AM684" s="94"/>
      <c r="AN684" s="94"/>
      <c r="AO684" s="94"/>
      <c r="AP684" s="94"/>
      <c r="AQ684" s="94"/>
      <c r="AR684" s="94"/>
      <c r="AS684" s="94"/>
      <c r="AT684" s="94"/>
      <c r="AU684" s="94"/>
      <c r="AV684" s="94"/>
      <c r="AW684" s="94"/>
      <c r="AX684" s="94"/>
      <c r="AY684" s="94"/>
      <c r="BA684" s="95"/>
    </row>
    <row r="685" spans="1:53" s="87" customFormat="1">
      <c r="A685" s="90" t="str">
        <f t="shared" si="35"/>
        <v/>
      </c>
      <c r="B685" s="98">
        <v>9</v>
      </c>
      <c r="C685" s="94" t="s">
        <v>210</v>
      </c>
      <c r="D685" s="94">
        <v>7</v>
      </c>
      <c r="E685" s="94">
        <v>4</v>
      </c>
      <c r="F685" s="94" t="s">
        <v>210</v>
      </c>
      <c r="G685" s="94" t="s">
        <v>210</v>
      </c>
      <c r="H685" s="94">
        <v>-1</v>
      </c>
      <c r="I685" s="94">
        <v>5</v>
      </c>
      <c r="J685" s="94" t="s">
        <v>210</v>
      </c>
      <c r="K685" s="94" t="s">
        <v>210</v>
      </c>
      <c r="L685" s="94">
        <v>-2</v>
      </c>
      <c r="M685" s="94">
        <v>6</v>
      </c>
      <c r="N685" s="94" t="s">
        <v>210</v>
      </c>
      <c r="O685" s="94" t="s">
        <v>210</v>
      </c>
      <c r="P685" s="94">
        <v>-4</v>
      </c>
      <c r="Q685" s="94">
        <v>3</v>
      </c>
      <c r="R685" s="94" t="s">
        <v>210</v>
      </c>
      <c r="S685" s="94" t="s">
        <v>210</v>
      </c>
      <c r="T685" s="94">
        <v>2</v>
      </c>
      <c r="U685" s="94">
        <v>-7</v>
      </c>
      <c r="V685" s="94" t="s">
        <v>210</v>
      </c>
      <c r="W685" s="94" t="s">
        <v>210</v>
      </c>
      <c r="X685" s="94">
        <v>-5</v>
      </c>
      <c r="Y685" s="94">
        <v>1</v>
      </c>
      <c r="Z685" s="94" t="s">
        <v>210</v>
      </c>
      <c r="AA685" s="94" t="s">
        <v>210</v>
      </c>
      <c r="AB685" s="94">
        <v>-6</v>
      </c>
      <c r="AC685" s="94"/>
      <c r="AD685" s="94"/>
      <c r="AE685" s="94"/>
      <c r="AF685" s="94"/>
      <c r="AG685" s="94"/>
      <c r="AH685" s="94"/>
      <c r="AI685" s="94"/>
      <c r="AJ685" s="94"/>
      <c r="AK685" s="94"/>
      <c r="AL685" s="94"/>
      <c r="AM685" s="94"/>
      <c r="AN685" s="94"/>
      <c r="AO685" s="94"/>
      <c r="AP685" s="94"/>
      <c r="AQ685" s="94"/>
      <c r="AR685" s="94"/>
      <c r="AS685" s="94"/>
      <c r="AT685" s="94"/>
      <c r="AU685" s="94"/>
      <c r="AV685" s="94"/>
      <c r="AW685" s="94"/>
      <c r="AX685" s="94"/>
      <c r="AY685" s="94"/>
      <c r="BA685" s="95"/>
    </row>
    <row r="686" spans="1:53" s="87" customFormat="1">
      <c r="A686" s="90" t="str">
        <f t="shared" si="35"/>
        <v/>
      </c>
      <c r="B686" s="98">
        <v>10</v>
      </c>
      <c r="C686" s="94" t="s">
        <v>210</v>
      </c>
      <c r="D686" s="94">
        <v>-4</v>
      </c>
      <c r="E686" s="94">
        <v>-6</v>
      </c>
      <c r="F686" s="94" t="s">
        <v>210</v>
      </c>
      <c r="G686" s="94" t="s">
        <v>210</v>
      </c>
      <c r="H686" s="94">
        <v>-3</v>
      </c>
      <c r="I686" s="94">
        <v>1</v>
      </c>
      <c r="J686" s="94" t="s">
        <v>210</v>
      </c>
      <c r="K686" s="94" t="s">
        <v>210</v>
      </c>
      <c r="L686" s="94">
        <v>-5</v>
      </c>
      <c r="M686" s="94">
        <v>7</v>
      </c>
      <c r="N686" s="94" t="s">
        <v>210</v>
      </c>
      <c r="O686" s="94" t="s">
        <v>210</v>
      </c>
      <c r="P686" s="94">
        <v>-2</v>
      </c>
      <c r="Q686" s="94">
        <v>4</v>
      </c>
      <c r="R686" s="94" t="s">
        <v>210</v>
      </c>
      <c r="S686" s="94" t="s">
        <v>210</v>
      </c>
      <c r="T686" s="94">
        <v>-1</v>
      </c>
      <c r="U686" s="94">
        <v>5</v>
      </c>
      <c r="V686" s="94" t="s">
        <v>210</v>
      </c>
      <c r="W686" s="94" t="s">
        <v>210</v>
      </c>
      <c r="X686" s="94">
        <v>3</v>
      </c>
      <c r="Y686" s="94">
        <v>-7</v>
      </c>
      <c r="Z686" s="94" t="s">
        <v>210</v>
      </c>
      <c r="AA686" s="94" t="s">
        <v>210</v>
      </c>
      <c r="AB686" s="94">
        <v>6</v>
      </c>
      <c r="AC686" s="94"/>
      <c r="AD686" s="94"/>
      <c r="AE686" s="94"/>
      <c r="AF686" s="94"/>
      <c r="AG686" s="94"/>
      <c r="AH686" s="94"/>
      <c r="AI686" s="94"/>
      <c r="AJ686" s="94"/>
      <c r="AK686" s="94"/>
      <c r="AL686" s="94"/>
      <c r="AM686" s="94"/>
      <c r="AN686" s="94"/>
      <c r="AO686" s="94"/>
      <c r="AP686" s="94"/>
      <c r="AQ686" s="94"/>
      <c r="AR686" s="94"/>
      <c r="AS686" s="94"/>
      <c r="AT686" s="94"/>
      <c r="AU686" s="94"/>
      <c r="AV686" s="94"/>
      <c r="AW686" s="94"/>
      <c r="AX686" s="94"/>
      <c r="AY686" s="94"/>
      <c r="BA686" s="95"/>
    </row>
    <row r="687" spans="1:53" s="87" customFormat="1">
      <c r="A687" s="90" t="str">
        <f t="shared" si="35"/>
        <v/>
      </c>
      <c r="B687" s="98">
        <v>11</v>
      </c>
      <c r="C687" s="94" t="s">
        <v>210</v>
      </c>
      <c r="D687" s="94">
        <v>2</v>
      </c>
      <c r="E687" s="94">
        <v>6</v>
      </c>
      <c r="F687" s="94" t="s">
        <v>210</v>
      </c>
      <c r="G687" s="94" t="s">
        <v>210</v>
      </c>
      <c r="H687" s="94">
        <v>-5</v>
      </c>
      <c r="I687" s="94">
        <v>-3</v>
      </c>
      <c r="J687" s="94" t="s">
        <v>210</v>
      </c>
      <c r="K687" s="94" t="s">
        <v>210</v>
      </c>
      <c r="L687" s="94">
        <v>-7</v>
      </c>
      <c r="M687" s="94">
        <v>-4</v>
      </c>
      <c r="N687" s="94" t="s">
        <v>210</v>
      </c>
      <c r="O687" s="94" t="s">
        <v>210</v>
      </c>
      <c r="P687" s="94">
        <v>5</v>
      </c>
      <c r="Q687" s="94">
        <v>-6</v>
      </c>
      <c r="R687" s="94" t="s">
        <v>210</v>
      </c>
      <c r="S687" s="94" t="s">
        <v>210</v>
      </c>
      <c r="T687" s="94">
        <v>-2</v>
      </c>
      <c r="U687" s="94">
        <v>3</v>
      </c>
      <c r="V687" s="94" t="s">
        <v>210</v>
      </c>
      <c r="W687" s="94" t="s">
        <v>210</v>
      </c>
      <c r="X687" s="94">
        <v>7</v>
      </c>
      <c r="Y687" s="94">
        <v>4</v>
      </c>
      <c r="Z687" s="94" t="s">
        <v>210</v>
      </c>
      <c r="AA687" s="94" t="s">
        <v>210</v>
      </c>
      <c r="AB687" s="94">
        <v>-1</v>
      </c>
      <c r="AC687" s="94"/>
      <c r="AD687" s="94"/>
      <c r="AE687" s="94"/>
      <c r="AF687" s="94"/>
      <c r="AG687" s="94"/>
      <c r="AH687" s="94"/>
      <c r="AI687" s="94"/>
      <c r="AJ687" s="94"/>
      <c r="AK687" s="94"/>
      <c r="AL687" s="94"/>
      <c r="AM687" s="94"/>
      <c r="AN687" s="94"/>
      <c r="AO687" s="94"/>
      <c r="AP687" s="94"/>
      <c r="AQ687" s="94"/>
      <c r="AR687" s="94"/>
      <c r="AS687" s="94"/>
      <c r="AT687" s="94"/>
      <c r="AU687" s="94"/>
      <c r="AV687" s="94"/>
      <c r="AW687" s="94"/>
      <c r="AX687" s="94"/>
      <c r="AY687" s="94"/>
      <c r="BA687" s="95"/>
    </row>
    <row r="688" spans="1:53" s="87" customFormat="1">
      <c r="A688" s="90" t="str">
        <f t="shared" si="35"/>
        <v/>
      </c>
      <c r="B688" s="98">
        <v>12</v>
      </c>
      <c r="C688" s="94" t="s">
        <v>210</v>
      </c>
      <c r="D688" s="94">
        <v>6</v>
      </c>
      <c r="E688" s="94">
        <v>7</v>
      </c>
      <c r="F688" s="94" t="s">
        <v>210</v>
      </c>
      <c r="G688" s="94" t="s">
        <v>210</v>
      </c>
      <c r="H688" s="94">
        <v>-4</v>
      </c>
      <c r="I688" s="94">
        <v>2</v>
      </c>
      <c r="J688" s="94" t="s">
        <v>210</v>
      </c>
      <c r="K688" s="94" t="s">
        <v>210</v>
      </c>
      <c r="L688" s="94">
        <v>-3</v>
      </c>
      <c r="M688" s="94">
        <v>-1</v>
      </c>
      <c r="N688" s="94" t="s">
        <v>210</v>
      </c>
      <c r="O688" s="94" t="s">
        <v>210</v>
      </c>
      <c r="P688" s="94">
        <v>4</v>
      </c>
      <c r="Q688" s="94">
        <v>-7</v>
      </c>
      <c r="R688" s="94" t="s">
        <v>210</v>
      </c>
      <c r="S688" s="94" t="s">
        <v>210</v>
      </c>
      <c r="T688" s="94">
        <v>3</v>
      </c>
      <c r="U688" s="94">
        <v>-5</v>
      </c>
      <c r="V688" s="94" t="s">
        <v>210</v>
      </c>
      <c r="W688" s="94" t="s">
        <v>210</v>
      </c>
      <c r="X688" s="94">
        <v>-2</v>
      </c>
      <c r="Y688" s="94">
        <v>-6</v>
      </c>
      <c r="Z688" s="94" t="s">
        <v>210</v>
      </c>
      <c r="AA688" s="94" t="s">
        <v>210</v>
      </c>
      <c r="AB688" s="94">
        <v>1</v>
      </c>
      <c r="AC688" s="94"/>
      <c r="AD688" s="94"/>
      <c r="AE688" s="94"/>
      <c r="AF688" s="94"/>
      <c r="AG688" s="94"/>
      <c r="AH688" s="94"/>
      <c r="AI688" s="94"/>
      <c r="AJ688" s="94"/>
      <c r="AK688" s="94"/>
      <c r="AL688" s="94"/>
      <c r="AM688" s="94"/>
      <c r="AN688" s="94"/>
      <c r="AO688" s="94"/>
      <c r="AP688" s="94"/>
      <c r="AQ688" s="94"/>
      <c r="AR688" s="94"/>
      <c r="AS688" s="94"/>
      <c r="AT688" s="94"/>
      <c r="AU688" s="94"/>
      <c r="AV688" s="94"/>
      <c r="AW688" s="94"/>
      <c r="AX688" s="94"/>
      <c r="AY688" s="94"/>
      <c r="BA688" s="95"/>
    </row>
    <row r="689" spans="1:53" s="87" customFormat="1">
      <c r="A689" s="90" t="str">
        <f t="shared" si="35"/>
        <v/>
      </c>
      <c r="B689" s="98">
        <v>13</v>
      </c>
      <c r="C689" s="94" t="s">
        <v>210</v>
      </c>
      <c r="D689" s="94">
        <v>5</v>
      </c>
      <c r="E689" s="94">
        <v>3</v>
      </c>
      <c r="F689" s="94" t="s">
        <v>210</v>
      </c>
      <c r="G689" s="94" t="s">
        <v>210</v>
      </c>
      <c r="H689" s="94">
        <v>1</v>
      </c>
      <c r="I689" s="94">
        <v>-6</v>
      </c>
      <c r="J689" s="94" t="s">
        <v>210</v>
      </c>
      <c r="K689" s="94" t="s">
        <v>210</v>
      </c>
      <c r="L689" s="94">
        <v>4</v>
      </c>
      <c r="M689" s="94">
        <v>-7</v>
      </c>
      <c r="N689" s="94" t="s">
        <v>210</v>
      </c>
      <c r="O689" s="94" t="s">
        <v>210</v>
      </c>
      <c r="P689" s="94">
        <v>-3</v>
      </c>
      <c r="Q689" s="94">
        <v>-5</v>
      </c>
      <c r="R689" s="94" t="s">
        <v>210</v>
      </c>
      <c r="S689" s="94" t="s">
        <v>210</v>
      </c>
      <c r="T689" s="94">
        <v>6</v>
      </c>
      <c r="U689" s="94">
        <v>-1</v>
      </c>
      <c r="V689" s="94" t="s">
        <v>210</v>
      </c>
      <c r="W689" s="94" t="s">
        <v>210</v>
      </c>
      <c r="X689" s="94">
        <v>2</v>
      </c>
      <c r="Y689" s="94">
        <v>-4</v>
      </c>
      <c r="Z689" s="94" t="s">
        <v>210</v>
      </c>
      <c r="AA689" s="94" t="s">
        <v>210</v>
      </c>
      <c r="AB689" s="94">
        <v>7</v>
      </c>
      <c r="AC689" s="94"/>
      <c r="AD689" s="94"/>
      <c r="AE689" s="94"/>
      <c r="AF689" s="94"/>
      <c r="AG689" s="94"/>
      <c r="AH689" s="94"/>
      <c r="AI689" s="94"/>
      <c r="AJ689" s="94"/>
      <c r="AK689" s="94"/>
      <c r="AL689" s="94"/>
      <c r="AM689" s="94"/>
      <c r="AN689" s="94"/>
      <c r="AO689" s="94"/>
      <c r="AP689" s="94"/>
      <c r="AQ689" s="94"/>
      <c r="AR689" s="94"/>
      <c r="AS689" s="94"/>
      <c r="AT689" s="94"/>
      <c r="AU689" s="94"/>
      <c r="AV689" s="94"/>
      <c r="AW689" s="94"/>
      <c r="AX689" s="94"/>
      <c r="AY689" s="94"/>
      <c r="BA689" s="95"/>
    </row>
    <row r="690" spans="1:53" s="87" customFormat="1">
      <c r="A690" s="90" t="str">
        <f t="shared" si="35"/>
        <v/>
      </c>
      <c r="B690" s="98">
        <v>14</v>
      </c>
      <c r="C690" s="94" t="s">
        <v>210</v>
      </c>
      <c r="D690" s="94">
        <v>-1</v>
      </c>
      <c r="E690" s="94">
        <v>-2</v>
      </c>
      <c r="F690" s="94" t="s">
        <v>210</v>
      </c>
      <c r="G690" s="94" t="s">
        <v>210</v>
      </c>
      <c r="H690" s="94">
        <v>7</v>
      </c>
      <c r="I690" s="94">
        <v>-4</v>
      </c>
      <c r="J690" s="94" t="s">
        <v>210</v>
      </c>
      <c r="K690" s="94" t="s">
        <v>210</v>
      </c>
      <c r="L690" s="94">
        <v>-6</v>
      </c>
      <c r="M690" s="94">
        <v>-5</v>
      </c>
      <c r="N690" s="94" t="s">
        <v>210</v>
      </c>
      <c r="O690" s="94" t="s">
        <v>210</v>
      </c>
      <c r="P690" s="94">
        <v>2</v>
      </c>
      <c r="Q690" s="94">
        <v>1</v>
      </c>
      <c r="R690" s="94" t="s">
        <v>210</v>
      </c>
      <c r="S690" s="94" t="s">
        <v>210</v>
      </c>
      <c r="T690" s="94">
        <v>4</v>
      </c>
      <c r="U690" s="94">
        <v>-3</v>
      </c>
      <c r="V690" s="94" t="s">
        <v>210</v>
      </c>
      <c r="W690" s="94" t="s">
        <v>210</v>
      </c>
      <c r="X690" s="94">
        <v>5</v>
      </c>
      <c r="Y690" s="94">
        <v>6</v>
      </c>
      <c r="Z690" s="94" t="s">
        <v>210</v>
      </c>
      <c r="AA690" s="94" t="s">
        <v>210</v>
      </c>
      <c r="AB690" s="94">
        <v>-7</v>
      </c>
      <c r="AC690" s="94"/>
      <c r="AD690" s="94"/>
      <c r="AE690" s="94"/>
      <c r="AF690" s="94"/>
      <c r="AG690" s="94"/>
      <c r="AH690" s="94"/>
      <c r="AI690" s="94"/>
      <c r="AJ690" s="94"/>
      <c r="AK690" s="94"/>
      <c r="AL690" s="94"/>
      <c r="AM690" s="94"/>
      <c r="AN690" s="94"/>
      <c r="AO690" s="94"/>
      <c r="AP690" s="94"/>
      <c r="AQ690" s="94"/>
      <c r="AR690" s="94"/>
      <c r="AS690" s="94"/>
      <c r="AT690" s="94"/>
      <c r="AU690" s="94"/>
      <c r="AV690" s="94"/>
      <c r="AW690" s="94"/>
      <c r="AX690" s="94"/>
      <c r="AY690" s="94"/>
      <c r="BA690" s="95"/>
    </row>
    <row r="691" spans="1:53" s="87" customFormat="1">
      <c r="A691" s="90" t="str">
        <f t="shared" si="35"/>
        <v/>
      </c>
      <c r="B691" s="98">
        <v>15</v>
      </c>
      <c r="C691" s="94">
        <v>-6</v>
      </c>
      <c r="D691" s="94" t="s">
        <v>210</v>
      </c>
      <c r="E691" s="94" t="s">
        <v>210</v>
      </c>
      <c r="F691" s="94">
        <v>-4</v>
      </c>
      <c r="G691" s="94">
        <v>2</v>
      </c>
      <c r="H691" s="94" t="s">
        <v>210</v>
      </c>
      <c r="I691" s="94" t="s">
        <v>210</v>
      </c>
      <c r="J691" s="94">
        <v>1</v>
      </c>
      <c r="K691" s="94" t="s">
        <v>210</v>
      </c>
      <c r="L691" s="94" t="s">
        <v>210</v>
      </c>
      <c r="M691" s="94" t="s">
        <v>210</v>
      </c>
      <c r="N691" s="94">
        <v>-5</v>
      </c>
      <c r="O691" s="94">
        <v>-3</v>
      </c>
      <c r="P691" s="94" t="s">
        <v>210</v>
      </c>
      <c r="Q691" s="94" t="s">
        <v>210</v>
      </c>
      <c r="R691" s="94">
        <v>6</v>
      </c>
      <c r="S691" s="94">
        <v>4</v>
      </c>
      <c r="T691" s="94" t="s">
        <v>210</v>
      </c>
      <c r="U691" s="94" t="s">
        <v>210</v>
      </c>
      <c r="V691" s="94">
        <v>-2</v>
      </c>
      <c r="W691" s="94">
        <v>-1</v>
      </c>
      <c r="X691" s="94" t="s">
        <v>210</v>
      </c>
      <c r="Y691" s="94" t="s">
        <v>210</v>
      </c>
      <c r="Z691" s="94">
        <v>5</v>
      </c>
      <c r="AA691" s="94">
        <v>3</v>
      </c>
      <c r="AB691" s="94" t="s">
        <v>210</v>
      </c>
      <c r="AC691" s="94"/>
      <c r="AD691" s="94"/>
      <c r="AE691" s="94"/>
      <c r="AF691" s="94"/>
      <c r="AG691" s="94"/>
      <c r="AH691" s="94"/>
      <c r="AI691" s="94"/>
      <c r="AJ691" s="94"/>
      <c r="AK691" s="94"/>
      <c r="AL691" s="94"/>
      <c r="AM691" s="94"/>
      <c r="AN691" s="94"/>
      <c r="AO691" s="94"/>
      <c r="AP691" s="94"/>
      <c r="AQ691" s="94"/>
      <c r="AR691" s="94"/>
      <c r="AS691" s="94"/>
      <c r="AT691" s="94"/>
      <c r="AU691" s="94"/>
      <c r="AV691" s="94"/>
      <c r="AW691" s="94"/>
      <c r="AX691" s="94"/>
      <c r="AY691" s="94"/>
      <c r="BA691" s="95"/>
    </row>
    <row r="692" spans="1:53" s="87" customFormat="1">
      <c r="A692" s="90" t="str">
        <f t="shared" si="35"/>
        <v/>
      </c>
      <c r="B692" s="98">
        <v>16</v>
      </c>
      <c r="C692" s="94">
        <v>4</v>
      </c>
      <c r="D692" s="94" t="s">
        <v>210</v>
      </c>
      <c r="E692" s="94" t="s">
        <v>210</v>
      </c>
      <c r="F692" s="94">
        <v>3</v>
      </c>
      <c r="G692" s="94" t="s">
        <v>210</v>
      </c>
      <c r="H692" s="94" t="s">
        <v>210</v>
      </c>
      <c r="I692" s="94" t="s">
        <v>210</v>
      </c>
      <c r="J692" s="94">
        <v>-5</v>
      </c>
      <c r="K692" s="94">
        <v>-6</v>
      </c>
      <c r="L692" s="94" t="s">
        <v>210</v>
      </c>
      <c r="M692" s="94" t="s">
        <v>210</v>
      </c>
      <c r="N692" s="94">
        <v>2</v>
      </c>
      <c r="O692" s="94">
        <v>-1</v>
      </c>
      <c r="P692" s="94" t="s">
        <v>210</v>
      </c>
      <c r="Q692" s="94" t="s">
        <v>210</v>
      </c>
      <c r="R692" s="94">
        <v>5</v>
      </c>
      <c r="S692" s="94">
        <v>-2</v>
      </c>
      <c r="T692" s="94" t="s">
        <v>210</v>
      </c>
      <c r="U692" s="94" t="s">
        <v>210</v>
      </c>
      <c r="V692" s="94">
        <v>6</v>
      </c>
      <c r="W692" s="94">
        <v>-4</v>
      </c>
      <c r="X692" s="94" t="s">
        <v>210</v>
      </c>
      <c r="Y692" s="94" t="s">
        <v>210</v>
      </c>
      <c r="Z692" s="94">
        <v>1</v>
      </c>
      <c r="AA692" s="94">
        <v>-3</v>
      </c>
      <c r="AB692" s="94" t="s">
        <v>210</v>
      </c>
      <c r="AC692" s="94"/>
      <c r="AD692" s="94"/>
      <c r="AE692" s="94"/>
      <c r="AF692" s="94"/>
      <c r="AG692" s="94"/>
      <c r="AH692" s="94"/>
      <c r="AI692" s="94"/>
      <c r="AJ692" s="94"/>
      <c r="AK692" s="94"/>
      <c r="AL692" s="94"/>
      <c r="AM692" s="94"/>
      <c r="AN692" s="94"/>
      <c r="AO692" s="94"/>
      <c r="AP692" s="94"/>
      <c r="AQ692" s="94"/>
      <c r="AR692" s="94"/>
      <c r="AS692" s="94"/>
      <c r="AT692" s="94"/>
      <c r="AU692" s="94"/>
      <c r="AV692" s="94"/>
      <c r="AW692" s="94"/>
      <c r="AX692" s="94"/>
      <c r="AY692" s="94"/>
      <c r="BA692" s="95"/>
    </row>
    <row r="693" spans="1:53" s="87" customFormat="1">
      <c r="A693" s="90" t="str">
        <f t="shared" si="35"/>
        <v/>
      </c>
      <c r="B693" s="98">
        <v>17</v>
      </c>
      <c r="C693" s="94">
        <v>-2</v>
      </c>
      <c r="D693" s="94" t="s">
        <v>210</v>
      </c>
      <c r="E693" s="94" t="s">
        <v>210</v>
      </c>
      <c r="F693" s="94">
        <v>1</v>
      </c>
      <c r="G693" s="94">
        <v>-3</v>
      </c>
      <c r="H693" s="94" t="s">
        <v>210</v>
      </c>
      <c r="I693" s="94" t="s">
        <v>210</v>
      </c>
      <c r="J693" s="94">
        <v>-6</v>
      </c>
      <c r="K693" s="94">
        <v>-5</v>
      </c>
      <c r="L693" s="94" t="s">
        <v>210</v>
      </c>
      <c r="M693" s="94" t="s">
        <v>210</v>
      </c>
      <c r="N693" s="94">
        <v>-4</v>
      </c>
      <c r="O693" s="94">
        <v>3</v>
      </c>
      <c r="P693" s="94" t="s">
        <v>210</v>
      </c>
      <c r="Q693" s="94" t="s">
        <v>210</v>
      </c>
      <c r="R693" s="94" t="s">
        <v>210</v>
      </c>
      <c r="S693" s="94">
        <v>6</v>
      </c>
      <c r="T693" s="94" t="s">
        <v>210</v>
      </c>
      <c r="U693" s="94" t="s">
        <v>210</v>
      </c>
      <c r="V693" s="94">
        <v>5</v>
      </c>
      <c r="W693" s="94">
        <v>2</v>
      </c>
      <c r="X693" s="94" t="s">
        <v>210</v>
      </c>
      <c r="Y693" s="94" t="s">
        <v>210</v>
      </c>
      <c r="Z693" s="94">
        <v>-1</v>
      </c>
      <c r="AA693" s="94">
        <v>4</v>
      </c>
      <c r="AB693" s="94" t="s">
        <v>210</v>
      </c>
      <c r="AC693" s="94"/>
      <c r="AD693" s="94"/>
      <c r="AE693" s="94"/>
      <c r="AF693" s="94"/>
      <c r="AG693" s="94"/>
      <c r="AH693" s="94"/>
      <c r="AI693" s="94"/>
      <c r="AJ693" s="94"/>
      <c r="AK693" s="94"/>
      <c r="AL693" s="94"/>
      <c r="AM693" s="94"/>
      <c r="AN693" s="94"/>
      <c r="AO693" s="94"/>
      <c r="AP693" s="94"/>
      <c r="AQ693" s="94"/>
      <c r="AR693" s="94"/>
      <c r="AS693" s="94"/>
      <c r="AT693" s="94"/>
      <c r="AU693" s="94"/>
      <c r="AV693" s="94"/>
      <c r="AW693" s="94"/>
      <c r="AX693" s="94"/>
      <c r="AY693" s="94"/>
      <c r="BA693" s="95"/>
    </row>
    <row r="694" spans="1:53" s="87" customFormat="1">
      <c r="A694" s="90" t="str">
        <f t="shared" si="35"/>
        <v/>
      </c>
      <c r="B694" s="98">
        <v>18</v>
      </c>
      <c r="C694" s="94">
        <v>6</v>
      </c>
      <c r="D694" s="94" t="s">
        <v>210</v>
      </c>
      <c r="E694" s="94" t="s">
        <v>210</v>
      </c>
      <c r="F694" s="94">
        <v>-5</v>
      </c>
      <c r="G694" s="94">
        <v>4</v>
      </c>
      <c r="H694" s="94" t="s">
        <v>210</v>
      </c>
      <c r="I694" s="94" t="s">
        <v>210</v>
      </c>
      <c r="J694" s="94" t="s">
        <v>210</v>
      </c>
      <c r="K694" s="94">
        <v>-1</v>
      </c>
      <c r="L694" s="94" t="s">
        <v>210</v>
      </c>
      <c r="M694" s="94" t="s">
        <v>210</v>
      </c>
      <c r="N694" s="94">
        <v>-3</v>
      </c>
      <c r="O694" s="94">
        <v>2</v>
      </c>
      <c r="P694" s="94" t="s">
        <v>210</v>
      </c>
      <c r="Q694" s="94" t="s">
        <v>210</v>
      </c>
      <c r="R694" s="94">
        <v>1</v>
      </c>
      <c r="S694" s="94">
        <v>5</v>
      </c>
      <c r="T694" s="94" t="s">
        <v>210</v>
      </c>
      <c r="U694" s="94" t="s">
        <v>210</v>
      </c>
      <c r="V694" s="94">
        <v>-6</v>
      </c>
      <c r="W694" s="94">
        <v>3</v>
      </c>
      <c r="X694" s="94" t="s">
        <v>210</v>
      </c>
      <c r="Y694" s="94" t="s">
        <v>210</v>
      </c>
      <c r="Z694" s="94">
        <v>-2</v>
      </c>
      <c r="AA694" s="94">
        <v>-4</v>
      </c>
      <c r="AB694" s="94" t="s">
        <v>210</v>
      </c>
      <c r="AC694" s="94"/>
      <c r="AD694" s="94"/>
      <c r="AE694" s="94"/>
      <c r="AF694" s="94"/>
      <c r="AG694" s="94"/>
      <c r="AH694" s="94"/>
      <c r="AI694" s="94"/>
      <c r="AJ694" s="94"/>
      <c r="AK694" s="94"/>
      <c r="AL694" s="94"/>
      <c r="AM694" s="94"/>
      <c r="AN694" s="94"/>
      <c r="AO694" s="94"/>
      <c r="AP694" s="94"/>
      <c r="AQ694" s="94"/>
      <c r="AR694" s="94"/>
      <c r="AS694" s="94"/>
      <c r="AT694" s="94"/>
      <c r="AU694" s="94"/>
      <c r="AV694" s="94"/>
      <c r="AW694" s="94"/>
      <c r="AX694" s="94"/>
      <c r="AY694" s="94"/>
      <c r="BA694" s="95"/>
    </row>
    <row r="695" spans="1:53" s="87" customFormat="1">
      <c r="A695" s="90" t="str">
        <f t="shared" si="35"/>
        <v/>
      </c>
      <c r="B695" s="98">
        <v>19</v>
      </c>
      <c r="C695" s="94">
        <v>3</v>
      </c>
      <c r="D695" s="94" t="s">
        <v>210</v>
      </c>
      <c r="E695" s="94" t="s">
        <v>210</v>
      </c>
      <c r="F695" s="94">
        <v>4</v>
      </c>
      <c r="G695" s="94">
        <v>-6</v>
      </c>
      <c r="H695" s="94" t="s">
        <v>210</v>
      </c>
      <c r="I695" s="94" t="s">
        <v>210</v>
      </c>
      <c r="J695" s="94">
        <v>-2</v>
      </c>
      <c r="K695" s="94">
        <v>5</v>
      </c>
      <c r="L695" s="94" t="s">
        <v>210</v>
      </c>
      <c r="M695" s="94" t="s">
        <v>210</v>
      </c>
      <c r="N695" s="94">
        <v>-1</v>
      </c>
      <c r="O695" s="94">
        <v>-4</v>
      </c>
      <c r="P695" s="94" t="s">
        <v>210</v>
      </c>
      <c r="Q695" s="94" t="s">
        <v>210</v>
      </c>
      <c r="R695" s="94">
        <v>-5</v>
      </c>
      <c r="S695" s="94">
        <v>1</v>
      </c>
      <c r="T695" s="94" t="s">
        <v>210</v>
      </c>
      <c r="U695" s="94" t="s">
        <v>210</v>
      </c>
      <c r="V695" s="94" t="s">
        <v>210</v>
      </c>
      <c r="W695" s="94">
        <v>-3</v>
      </c>
      <c r="X695" s="94" t="s">
        <v>210</v>
      </c>
      <c r="Y695" s="94" t="s">
        <v>210</v>
      </c>
      <c r="Z695" s="94">
        <v>6</v>
      </c>
      <c r="AA695" s="94">
        <v>2</v>
      </c>
      <c r="AB695" s="94" t="s">
        <v>210</v>
      </c>
      <c r="AC695" s="94"/>
      <c r="AD695" s="94"/>
      <c r="AE695" s="94"/>
      <c r="AF695" s="94"/>
      <c r="AG695" s="94"/>
      <c r="AH695" s="94"/>
      <c r="AI695" s="94"/>
      <c r="AJ695" s="94"/>
      <c r="AK695" s="94"/>
      <c r="AL695" s="94"/>
      <c r="AM695" s="94"/>
      <c r="AN695" s="94"/>
      <c r="AO695" s="94"/>
      <c r="AP695" s="94"/>
      <c r="AQ695" s="94"/>
      <c r="AR695" s="94"/>
      <c r="AS695" s="94"/>
      <c r="AT695" s="94"/>
      <c r="AU695" s="94"/>
      <c r="AV695" s="94"/>
      <c r="AW695" s="94"/>
      <c r="AX695" s="94"/>
      <c r="AY695" s="94"/>
      <c r="BA695" s="95"/>
    </row>
    <row r="696" spans="1:53" s="87" customFormat="1">
      <c r="A696" s="90" t="str">
        <f t="shared" si="35"/>
        <v/>
      </c>
      <c r="B696" s="98">
        <v>20</v>
      </c>
      <c r="C696" s="94">
        <v>-5</v>
      </c>
      <c r="D696" s="94" t="s">
        <v>210</v>
      </c>
      <c r="E696" s="94" t="s">
        <v>210</v>
      </c>
      <c r="F696" s="94">
        <v>2</v>
      </c>
      <c r="G696" s="94">
        <v>1</v>
      </c>
      <c r="H696" s="94" t="s">
        <v>210</v>
      </c>
      <c r="I696" s="94" t="s">
        <v>210</v>
      </c>
      <c r="J696" s="94">
        <v>-3</v>
      </c>
      <c r="K696" s="94">
        <v>6</v>
      </c>
      <c r="L696" s="94" t="s">
        <v>210</v>
      </c>
      <c r="M696" s="94" t="s">
        <v>210</v>
      </c>
      <c r="N696" s="94">
        <v>4</v>
      </c>
      <c r="O696" s="94">
        <v>5</v>
      </c>
      <c r="P696" s="94" t="s">
        <v>210</v>
      </c>
      <c r="Q696" s="94" t="s">
        <v>210</v>
      </c>
      <c r="R696" s="94">
        <v>-1</v>
      </c>
      <c r="S696" s="94">
        <v>-4</v>
      </c>
      <c r="T696" s="94" t="s">
        <v>210</v>
      </c>
      <c r="U696" s="94" t="s">
        <v>210</v>
      </c>
      <c r="V696" s="94">
        <v>3</v>
      </c>
      <c r="W696" s="94">
        <v>-6</v>
      </c>
      <c r="X696" s="94" t="s">
        <v>210</v>
      </c>
      <c r="Y696" s="94" t="s">
        <v>210</v>
      </c>
      <c r="Z696" s="94" t="s">
        <v>210</v>
      </c>
      <c r="AA696" s="94">
        <v>-2</v>
      </c>
      <c r="AB696" s="94" t="s">
        <v>210</v>
      </c>
      <c r="AC696" s="94"/>
      <c r="AD696" s="94"/>
      <c r="AE696" s="94"/>
      <c r="AF696" s="94"/>
      <c r="AG696" s="94"/>
      <c r="AH696" s="94"/>
      <c r="AI696" s="94"/>
      <c r="AJ696" s="94"/>
      <c r="AK696" s="94"/>
      <c r="AL696" s="94"/>
      <c r="AM696" s="94"/>
      <c r="AN696" s="94"/>
      <c r="AO696" s="94"/>
      <c r="AP696" s="94"/>
      <c r="AQ696" s="94"/>
      <c r="AR696" s="94"/>
      <c r="AS696" s="94"/>
      <c r="AT696" s="94"/>
      <c r="AU696" s="94"/>
      <c r="AV696" s="94"/>
      <c r="AW696" s="94"/>
      <c r="AX696" s="94"/>
      <c r="AY696" s="94"/>
      <c r="BA696" s="95"/>
    </row>
    <row r="697" spans="1:53" s="87" customFormat="1">
      <c r="A697" s="90" t="str">
        <f t="shared" si="35"/>
        <v/>
      </c>
      <c r="B697" s="98">
        <v>21</v>
      </c>
      <c r="C697" s="94">
        <v>-1</v>
      </c>
      <c r="D697" s="94" t="s">
        <v>210</v>
      </c>
      <c r="E697" s="94" t="s">
        <v>210</v>
      </c>
      <c r="F697" s="94">
        <v>-2</v>
      </c>
      <c r="G697" s="94">
        <v>6</v>
      </c>
      <c r="H697" s="94" t="s">
        <v>210</v>
      </c>
      <c r="I697" s="94" t="s">
        <v>210</v>
      </c>
      <c r="J697" s="94">
        <v>-4</v>
      </c>
      <c r="K697" s="94">
        <v>-3</v>
      </c>
      <c r="L697" s="94" t="s">
        <v>210</v>
      </c>
      <c r="M697" s="94" t="s">
        <v>210</v>
      </c>
      <c r="N697" s="94">
        <v>5</v>
      </c>
      <c r="O697" s="94">
        <v>1</v>
      </c>
      <c r="P697" s="94" t="s">
        <v>210</v>
      </c>
      <c r="Q697" s="94" t="s">
        <v>210</v>
      </c>
      <c r="R697" s="94">
        <v>3</v>
      </c>
      <c r="S697" s="94">
        <v>-6</v>
      </c>
      <c r="T697" s="94" t="s">
        <v>210</v>
      </c>
      <c r="U697" s="94" t="s">
        <v>210</v>
      </c>
      <c r="V697" s="94">
        <v>4</v>
      </c>
      <c r="W697" s="94" t="s">
        <v>210</v>
      </c>
      <c r="X697" s="94" t="s">
        <v>210</v>
      </c>
      <c r="Y697" s="94" t="s">
        <v>210</v>
      </c>
      <c r="Z697" s="94">
        <v>2</v>
      </c>
      <c r="AA697" s="94">
        <v>-5</v>
      </c>
      <c r="AB697" s="94" t="s">
        <v>210</v>
      </c>
      <c r="AC697" s="94"/>
      <c r="AD697" s="94"/>
      <c r="AE697" s="94"/>
      <c r="AF697" s="94"/>
      <c r="AG697" s="94"/>
      <c r="AH697" s="94"/>
      <c r="AI697" s="94"/>
      <c r="AJ697" s="94"/>
      <c r="AK697" s="94"/>
      <c r="AL697" s="94"/>
      <c r="AM697" s="94"/>
      <c r="AN697" s="94"/>
      <c r="AO697" s="94"/>
      <c r="AP697" s="94"/>
      <c r="AQ697" s="94"/>
      <c r="AR697" s="94"/>
      <c r="AS697" s="94"/>
      <c r="AT697" s="94"/>
      <c r="AU697" s="94"/>
      <c r="AV697" s="94"/>
      <c r="AW697" s="94"/>
      <c r="AX697" s="94"/>
      <c r="AY697" s="94"/>
      <c r="BA697" s="95"/>
    </row>
    <row r="698" spans="1:53" s="87" customFormat="1">
      <c r="A698" s="90" t="str">
        <f t="shared" si="35"/>
        <v/>
      </c>
      <c r="B698" s="98">
        <v>22</v>
      </c>
      <c r="C698" s="94" t="s">
        <v>210</v>
      </c>
      <c r="D698" s="94" t="s">
        <v>210</v>
      </c>
      <c r="E698" s="94" t="s">
        <v>210</v>
      </c>
      <c r="F698" s="94">
        <v>-3</v>
      </c>
      <c r="G698" s="94">
        <v>-4</v>
      </c>
      <c r="H698" s="94" t="s">
        <v>210</v>
      </c>
      <c r="I698" s="94" t="s">
        <v>210</v>
      </c>
      <c r="J698" s="94">
        <v>-1</v>
      </c>
      <c r="K698" s="94">
        <v>2</v>
      </c>
      <c r="L698" s="94" t="s">
        <v>210</v>
      </c>
      <c r="M698" s="94" t="s">
        <v>210</v>
      </c>
      <c r="N698" s="94">
        <v>6</v>
      </c>
      <c r="O698" s="94">
        <v>-5</v>
      </c>
      <c r="P698" s="94" t="s">
        <v>210</v>
      </c>
      <c r="Q698" s="94" t="s">
        <v>210</v>
      </c>
      <c r="R698" s="94">
        <v>4</v>
      </c>
      <c r="S698" s="94">
        <v>3</v>
      </c>
      <c r="T698" s="94" t="s">
        <v>210</v>
      </c>
      <c r="U698" s="94" t="s">
        <v>210</v>
      </c>
      <c r="V698" s="94">
        <v>1</v>
      </c>
      <c r="W698" s="94">
        <v>-2</v>
      </c>
      <c r="X698" s="94" t="s">
        <v>210</v>
      </c>
      <c r="Y698" s="94" t="s">
        <v>210</v>
      </c>
      <c r="Z698" s="94">
        <v>-6</v>
      </c>
      <c r="AA698" s="94">
        <v>5</v>
      </c>
      <c r="AB698" s="94" t="s">
        <v>210</v>
      </c>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BA698" s="95"/>
    </row>
    <row r="699" spans="1:53" s="87" customFormat="1">
      <c r="A699" s="90" t="str">
        <f t="shared" si="35"/>
        <v/>
      </c>
      <c r="B699" s="98">
        <v>23</v>
      </c>
      <c r="C699" s="94">
        <v>-4</v>
      </c>
      <c r="D699" s="94" t="s">
        <v>210</v>
      </c>
      <c r="E699" s="94" t="s">
        <v>210</v>
      </c>
      <c r="F699" s="94">
        <v>5</v>
      </c>
      <c r="G699" s="94">
        <v>-1</v>
      </c>
      <c r="H699" s="94" t="s">
        <v>210</v>
      </c>
      <c r="I699" s="94" t="s">
        <v>210</v>
      </c>
      <c r="J699" s="94">
        <v>2</v>
      </c>
      <c r="K699" s="94">
        <v>3</v>
      </c>
      <c r="L699" s="94" t="s">
        <v>210</v>
      </c>
      <c r="M699" s="94" t="s">
        <v>210</v>
      </c>
      <c r="N699" s="94" t="s">
        <v>210</v>
      </c>
      <c r="O699" s="94">
        <v>-6</v>
      </c>
      <c r="P699" s="94" t="s">
        <v>210</v>
      </c>
      <c r="Q699" s="94" t="s">
        <v>210</v>
      </c>
      <c r="R699" s="94">
        <v>-2</v>
      </c>
      <c r="S699" s="94">
        <v>-3</v>
      </c>
      <c r="T699" s="94" t="s">
        <v>210</v>
      </c>
      <c r="U699" s="94" t="s">
        <v>210</v>
      </c>
      <c r="V699" s="94">
        <v>-5</v>
      </c>
      <c r="W699" s="94">
        <v>1</v>
      </c>
      <c r="X699" s="94" t="s">
        <v>210</v>
      </c>
      <c r="Y699" s="94" t="s">
        <v>210</v>
      </c>
      <c r="Z699" s="94">
        <v>4</v>
      </c>
      <c r="AA699" s="94">
        <v>6</v>
      </c>
      <c r="AB699" s="94" t="s">
        <v>210</v>
      </c>
      <c r="AC699" s="94"/>
      <c r="AD699" s="94"/>
      <c r="AE699" s="94"/>
      <c r="AF699" s="94"/>
      <c r="AG699" s="94"/>
      <c r="AH699" s="94"/>
      <c r="AI699" s="94"/>
      <c r="AJ699" s="94"/>
      <c r="AK699" s="94"/>
      <c r="AL699" s="94"/>
      <c r="AM699" s="94"/>
      <c r="AN699" s="94"/>
      <c r="AO699" s="94"/>
      <c r="AP699" s="94"/>
      <c r="AQ699" s="94"/>
      <c r="AR699" s="94"/>
      <c r="AS699" s="94"/>
      <c r="AT699" s="94"/>
      <c r="AU699" s="94"/>
      <c r="AV699" s="94"/>
      <c r="AW699" s="94"/>
      <c r="AX699" s="94"/>
      <c r="AY699" s="94"/>
      <c r="BA699" s="95"/>
    </row>
    <row r="700" spans="1:53" s="87" customFormat="1">
      <c r="A700" s="90" t="str">
        <f t="shared" si="35"/>
        <v/>
      </c>
      <c r="B700" s="98">
        <v>24</v>
      </c>
      <c r="C700" s="94">
        <v>2</v>
      </c>
      <c r="D700" s="94" t="s">
        <v>210</v>
      </c>
      <c r="E700" s="94" t="s">
        <v>210</v>
      </c>
      <c r="F700" s="94">
        <v>6</v>
      </c>
      <c r="G700" s="94">
        <v>5</v>
      </c>
      <c r="H700" s="94" t="s">
        <v>210</v>
      </c>
      <c r="I700" s="94" t="s">
        <v>210</v>
      </c>
      <c r="J700" s="94">
        <v>3</v>
      </c>
      <c r="K700" s="94">
        <v>-4</v>
      </c>
      <c r="L700" s="94" t="s">
        <v>210</v>
      </c>
      <c r="M700" s="94" t="s">
        <v>210</v>
      </c>
      <c r="N700" s="94">
        <v>1</v>
      </c>
      <c r="O700" s="94">
        <v>-2</v>
      </c>
      <c r="P700" s="94" t="s">
        <v>210</v>
      </c>
      <c r="Q700" s="94" t="s">
        <v>210</v>
      </c>
      <c r="R700" s="94">
        <v>-3</v>
      </c>
      <c r="S700" s="94" t="s">
        <v>210</v>
      </c>
      <c r="T700" s="94" t="s">
        <v>210</v>
      </c>
      <c r="U700" s="94" t="s">
        <v>210</v>
      </c>
      <c r="V700" s="94">
        <v>-1</v>
      </c>
      <c r="W700" s="94">
        <v>4</v>
      </c>
      <c r="X700" s="94" t="s">
        <v>210</v>
      </c>
      <c r="Y700" s="94" t="s">
        <v>210</v>
      </c>
      <c r="Z700" s="94">
        <v>-5</v>
      </c>
      <c r="AA700" s="94">
        <v>-6</v>
      </c>
      <c r="AB700" s="94" t="s">
        <v>210</v>
      </c>
      <c r="AC700" s="94"/>
      <c r="AD700" s="94"/>
      <c r="AE700" s="94"/>
      <c r="AF700" s="94"/>
      <c r="AG700" s="94"/>
      <c r="AH700" s="94"/>
      <c r="AI700" s="94"/>
      <c r="AJ700" s="94"/>
      <c r="AK700" s="94"/>
      <c r="AL700" s="94"/>
      <c r="AM700" s="94"/>
      <c r="AN700" s="94"/>
      <c r="AO700" s="94"/>
      <c r="AP700" s="94"/>
      <c r="AQ700" s="94"/>
      <c r="AR700" s="94"/>
      <c r="AS700" s="94"/>
      <c r="AT700" s="94"/>
      <c r="AU700" s="94"/>
      <c r="AV700" s="94"/>
      <c r="AW700" s="94"/>
      <c r="AX700" s="94"/>
      <c r="AY700" s="94"/>
      <c r="BA700" s="95"/>
    </row>
    <row r="701" spans="1:53" s="87" customFormat="1">
      <c r="A701" s="90" t="str">
        <f t="shared" si="35"/>
        <v/>
      </c>
      <c r="B701" s="98">
        <v>25</v>
      </c>
      <c r="C701" s="94">
        <v>-3</v>
      </c>
      <c r="D701" s="94" t="s">
        <v>210</v>
      </c>
      <c r="E701" s="94" t="s">
        <v>210</v>
      </c>
      <c r="F701" s="94">
        <v>-1</v>
      </c>
      <c r="G701" s="94">
        <v>-2</v>
      </c>
      <c r="H701" s="94" t="s">
        <v>210</v>
      </c>
      <c r="I701" s="94" t="s">
        <v>210</v>
      </c>
      <c r="J701" s="94">
        <v>5</v>
      </c>
      <c r="K701" s="94">
        <v>4</v>
      </c>
      <c r="L701" s="94" t="s">
        <v>210</v>
      </c>
      <c r="M701" s="94" t="s">
        <v>210</v>
      </c>
      <c r="N701" s="94">
        <v>-6</v>
      </c>
      <c r="O701" s="94" t="s">
        <v>210</v>
      </c>
      <c r="P701" s="94" t="s">
        <v>210</v>
      </c>
      <c r="Q701" s="94" t="s">
        <v>210</v>
      </c>
      <c r="R701" s="94">
        <v>2</v>
      </c>
      <c r="S701" s="94">
        <v>-5</v>
      </c>
      <c r="T701" s="94" t="s">
        <v>210</v>
      </c>
      <c r="U701" s="94" t="s">
        <v>210</v>
      </c>
      <c r="V701" s="94">
        <v>-4</v>
      </c>
      <c r="W701" s="94">
        <v>6</v>
      </c>
      <c r="X701" s="94" t="s">
        <v>210</v>
      </c>
      <c r="Y701" s="94" t="s">
        <v>210</v>
      </c>
      <c r="Z701" s="94">
        <v>3</v>
      </c>
      <c r="AA701" s="94">
        <v>1</v>
      </c>
      <c r="AB701" s="94" t="s">
        <v>210</v>
      </c>
      <c r="AC701" s="94"/>
      <c r="AD701" s="94"/>
      <c r="AE701" s="94"/>
      <c r="AF701" s="94"/>
      <c r="AG701" s="94"/>
      <c r="AH701" s="94"/>
      <c r="AI701" s="94"/>
      <c r="AJ701" s="94"/>
      <c r="AK701" s="94"/>
      <c r="AL701" s="94"/>
      <c r="AM701" s="94"/>
      <c r="AN701" s="94"/>
      <c r="AO701" s="94"/>
      <c r="AP701" s="94"/>
      <c r="AQ701" s="94"/>
      <c r="AR701" s="94"/>
      <c r="AS701" s="94"/>
      <c r="AT701" s="94"/>
      <c r="AU701" s="94"/>
      <c r="AV701" s="94"/>
      <c r="AW701" s="94"/>
      <c r="AX701" s="94"/>
      <c r="AY701" s="94"/>
      <c r="BA701" s="95"/>
    </row>
    <row r="702" spans="1:53" s="87" customFormat="1">
      <c r="A702" s="90" t="str">
        <f t="shared" si="35"/>
        <v/>
      </c>
      <c r="B702" s="98">
        <v>26</v>
      </c>
      <c r="C702" s="94">
        <v>1</v>
      </c>
      <c r="D702" s="94" t="s">
        <v>210</v>
      </c>
      <c r="E702" s="94" t="s">
        <v>210</v>
      </c>
      <c r="F702" s="94" t="s">
        <v>210</v>
      </c>
      <c r="G702" s="94">
        <v>-5</v>
      </c>
      <c r="H702" s="94" t="s">
        <v>210</v>
      </c>
      <c r="I702" s="94" t="s">
        <v>210</v>
      </c>
      <c r="J702" s="94">
        <v>6</v>
      </c>
      <c r="K702" s="94">
        <v>-2</v>
      </c>
      <c r="L702" s="94" t="s">
        <v>210</v>
      </c>
      <c r="M702" s="94" t="s">
        <v>210</v>
      </c>
      <c r="N702" s="94">
        <v>3</v>
      </c>
      <c r="O702" s="94">
        <v>4</v>
      </c>
      <c r="P702" s="94" t="s">
        <v>210</v>
      </c>
      <c r="Q702" s="94" t="s">
        <v>210</v>
      </c>
      <c r="R702" s="94">
        <v>-6</v>
      </c>
      <c r="S702" s="94">
        <v>2</v>
      </c>
      <c r="T702" s="94" t="s">
        <v>210</v>
      </c>
      <c r="U702" s="94" t="s">
        <v>210</v>
      </c>
      <c r="V702" s="94">
        <v>-3</v>
      </c>
      <c r="W702" s="94">
        <v>5</v>
      </c>
      <c r="X702" s="94" t="s">
        <v>210</v>
      </c>
      <c r="Y702" s="94" t="s">
        <v>210</v>
      </c>
      <c r="Z702" s="94">
        <v>-4</v>
      </c>
      <c r="AA702" s="94">
        <v>-1</v>
      </c>
      <c r="AB702" s="94" t="s">
        <v>210</v>
      </c>
      <c r="AC702" s="94"/>
      <c r="AD702" s="94"/>
      <c r="AE702" s="94"/>
      <c r="AF702" s="94"/>
      <c r="AG702" s="94"/>
      <c r="AH702" s="94"/>
      <c r="AI702" s="94"/>
      <c r="AJ702" s="94"/>
      <c r="AK702" s="94"/>
      <c r="AL702" s="94"/>
      <c r="AM702" s="94"/>
      <c r="AN702" s="94"/>
      <c r="AO702" s="94"/>
      <c r="AP702" s="94"/>
      <c r="AQ702" s="94"/>
      <c r="AR702" s="94"/>
      <c r="AS702" s="94"/>
      <c r="AT702" s="94"/>
      <c r="AU702" s="94"/>
      <c r="AV702" s="94"/>
      <c r="AW702" s="94"/>
      <c r="AX702" s="94"/>
      <c r="AY702" s="94"/>
      <c r="BA702" s="95"/>
    </row>
    <row r="703" spans="1:53" s="87" customFormat="1">
      <c r="A703" s="90" t="str">
        <f t="shared" si="35"/>
        <v/>
      </c>
      <c r="B703" s="317">
        <v>27</v>
      </c>
      <c r="C703" s="94">
        <v>5</v>
      </c>
      <c r="D703" s="94" t="s">
        <v>210</v>
      </c>
      <c r="E703" s="94" t="s">
        <v>210</v>
      </c>
      <c r="F703" s="94">
        <v>-6</v>
      </c>
      <c r="G703" s="94">
        <v>3</v>
      </c>
      <c r="H703" s="94" t="s">
        <v>210</v>
      </c>
      <c r="I703" s="94" t="s">
        <v>210</v>
      </c>
      <c r="J703" s="94">
        <v>4</v>
      </c>
      <c r="K703" s="94">
        <v>1</v>
      </c>
      <c r="L703" s="94" t="s">
        <v>210</v>
      </c>
      <c r="M703" s="94" t="s">
        <v>210</v>
      </c>
      <c r="N703" s="94">
        <v>-2</v>
      </c>
      <c r="O703" s="94">
        <v>6</v>
      </c>
      <c r="P703" s="94" t="s">
        <v>210</v>
      </c>
      <c r="Q703" s="94" t="s">
        <v>210</v>
      </c>
      <c r="R703" s="94">
        <v>-4</v>
      </c>
      <c r="S703" s="94">
        <v>-1</v>
      </c>
      <c r="T703" s="94" t="s">
        <v>210</v>
      </c>
      <c r="U703" s="94" t="s">
        <v>210</v>
      </c>
      <c r="V703" s="94">
        <v>2</v>
      </c>
      <c r="W703" s="94">
        <v>-5</v>
      </c>
      <c r="X703" s="94" t="s">
        <v>210</v>
      </c>
      <c r="Y703" s="94" t="s">
        <v>210</v>
      </c>
      <c r="Z703" s="94">
        <v>-3</v>
      </c>
      <c r="AA703" s="94" t="s">
        <v>210</v>
      </c>
      <c r="AB703" s="94" t="s">
        <v>210</v>
      </c>
      <c r="AC703" s="94"/>
      <c r="AD703" s="94"/>
      <c r="AE703" s="94"/>
      <c r="AF703" s="94"/>
      <c r="AG703" s="94"/>
      <c r="AH703" s="94"/>
      <c r="AI703" s="94"/>
      <c r="AJ703" s="94"/>
      <c r="AK703" s="94"/>
      <c r="AL703" s="94"/>
      <c r="AM703" s="94"/>
      <c r="AN703" s="94"/>
      <c r="AO703" s="94"/>
      <c r="AP703" s="94"/>
      <c r="AQ703" s="94"/>
      <c r="AR703" s="94"/>
      <c r="AS703" s="94"/>
      <c r="AT703" s="94"/>
      <c r="AU703" s="94"/>
      <c r="AV703" s="94"/>
      <c r="AW703" s="94"/>
      <c r="AX703" s="94"/>
      <c r="AY703" s="94"/>
      <c r="BA703" s="95"/>
    </row>
    <row r="704" spans="1:53" s="87" customFormat="1">
      <c r="A704" s="90" t="str">
        <f t="shared" si="35"/>
        <v/>
      </c>
      <c r="B704" s="98" t="s">
        <v>998</v>
      </c>
      <c r="C704" s="94"/>
      <c r="D704" s="94"/>
      <c r="E704" s="94"/>
      <c r="F704" s="94"/>
      <c r="G704" s="94"/>
      <c r="H704" s="94"/>
      <c r="I704" s="94"/>
      <c r="J704" s="94"/>
      <c r="K704" s="94"/>
      <c r="L704" s="94"/>
      <c r="M704" s="94"/>
      <c r="N704" s="94"/>
      <c r="O704" s="94"/>
      <c r="P704" s="94"/>
      <c r="Q704" s="94"/>
      <c r="R704" s="94"/>
      <c r="S704" s="94"/>
      <c r="T704" s="94"/>
      <c r="U704" s="94"/>
      <c r="V704" s="94"/>
      <c r="W704" s="94"/>
      <c r="X704" s="94"/>
      <c r="Y704" s="94"/>
      <c r="Z704" s="94"/>
      <c r="AA704" s="94"/>
      <c r="AB704" s="94"/>
      <c r="AC704" s="94"/>
      <c r="AD704" s="94"/>
      <c r="AE704" s="94"/>
      <c r="AF704" s="94"/>
      <c r="AG704" s="94"/>
      <c r="AH704" s="94"/>
      <c r="AI704" s="94"/>
      <c r="AJ704" s="94"/>
      <c r="AK704" s="94"/>
      <c r="AL704" s="94"/>
      <c r="AM704" s="94"/>
      <c r="AN704" s="94"/>
      <c r="AO704" s="94"/>
      <c r="AP704" s="94"/>
      <c r="AQ704" s="94"/>
      <c r="AR704" s="94"/>
      <c r="AS704" s="94"/>
      <c r="AT704" s="94"/>
      <c r="AU704" s="94"/>
      <c r="AV704" s="94"/>
      <c r="AW704" s="94"/>
      <c r="AX704" s="94"/>
      <c r="AY704" s="94"/>
      <c r="BA704" s="95"/>
    </row>
    <row r="705" spans="1:53" s="87" customFormat="1">
      <c r="A705" s="90">
        <f t="shared" si="35"/>
        <v>705</v>
      </c>
      <c r="B705" s="98" t="s">
        <v>923</v>
      </c>
      <c r="C705" s="94"/>
      <c r="D705" s="94"/>
      <c r="E705" s="94"/>
      <c r="F705" s="94"/>
      <c r="G705" s="94"/>
      <c r="H705" s="94"/>
      <c r="I705" s="94"/>
      <c r="J705" s="94"/>
      <c r="K705" s="94"/>
      <c r="L705" s="94"/>
      <c r="M705" s="94"/>
      <c r="N705" s="94"/>
      <c r="O705" s="94"/>
      <c r="P705" s="94"/>
      <c r="Q705" s="94"/>
      <c r="R705" s="94"/>
      <c r="S705" s="94"/>
      <c r="T705" s="94"/>
      <c r="U705" s="94"/>
      <c r="V705" s="94"/>
      <c r="W705" s="94"/>
      <c r="X705" s="94"/>
      <c r="Y705" s="94"/>
      <c r="Z705" s="94"/>
      <c r="AA705" s="94"/>
      <c r="AB705" s="94"/>
      <c r="AC705" s="94"/>
      <c r="AD705" s="94"/>
      <c r="AE705" s="94"/>
      <c r="AF705" s="94"/>
      <c r="AG705" s="94"/>
      <c r="AH705" s="94"/>
      <c r="AI705" s="94"/>
      <c r="AJ705" s="94"/>
      <c r="AK705" s="94"/>
      <c r="AL705" s="94"/>
      <c r="AM705" s="94"/>
      <c r="AN705" s="94"/>
      <c r="AO705" s="94"/>
      <c r="AP705" s="94"/>
      <c r="AQ705" s="94"/>
      <c r="AR705" s="94"/>
      <c r="AS705" s="94"/>
      <c r="AT705" s="94"/>
      <c r="AU705" s="94"/>
      <c r="AV705" s="94"/>
      <c r="AW705" s="94"/>
      <c r="AX705" s="94"/>
      <c r="AY705" s="94"/>
      <c r="BA705" s="95"/>
    </row>
    <row r="706" spans="1:53" s="87" customFormat="1">
      <c r="A706" s="90" t="str">
        <f t="shared" si="35"/>
        <v/>
      </c>
      <c r="B706" s="98">
        <v>1</v>
      </c>
      <c r="C706" s="94">
        <v>-5</v>
      </c>
      <c r="D706" s="94" t="s">
        <v>210</v>
      </c>
      <c r="E706" s="94" t="s">
        <v>210</v>
      </c>
      <c r="F706" s="94">
        <v>-6</v>
      </c>
      <c r="G706" s="94">
        <v>-1</v>
      </c>
      <c r="H706" s="94" t="s">
        <v>210</v>
      </c>
      <c r="I706" s="94" t="s">
        <v>210</v>
      </c>
      <c r="J706" s="94">
        <v>-2</v>
      </c>
      <c r="K706" s="94">
        <v>-4</v>
      </c>
      <c r="L706" s="94" t="s">
        <v>210</v>
      </c>
      <c r="M706" s="94" t="s">
        <v>210</v>
      </c>
      <c r="N706" s="94">
        <v>5</v>
      </c>
      <c r="O706" s="94">
        <v>6</v>
      </c>
      <c r="P706" s="94" t="s">
        <v>210</v>
      </c>
      <c r="Q706" s="94" t="s">
        <v>210</v>
      </c>
      <c r="R706" s="94">
        <v>-3</v>
      </c>
      <c r="S706" s="94">
        <v>4</v>
      </c>
      <c r="T706" s="94" t="s">
        <v>210</v>
      </c>
      <c r="U706" s="94" t="s">
        <v>210</v>
      </c>
      <c r="V706" s="94">
        <v>2</v>
      </c>
      <c r="W706" s="94">
        <v>7</v>
      </c>
      <c r="X706" s="94" t="s">
        <v>210</v>
      </c>
      <c r="Y706" s="94" t="s">
        <v>210</v>
      </c>
      <c r="Z706" s="94">
        <v>3</v>
      </c>
      <c r="AA706" s="94">
        <v>1</v>
      </c>
      <c r="AB706" s="94" t="s">
        <v>210</v>
      </c>
      <c r="AC706" s="94" t="s">
        <v>210</v>
      </c>
      <c r="AD706" s="94" t="s">
        <v>210</v>
      </c>
      <c r="AE706" s="94"/>
      <c r="AF706" s="94"/>
      <c r="AG706" s="94"/>
      <c r="AH706" s="94"/>
      <c r="AI706" s="94"/>
      <c r="AJ706" s="94"/>
      <c r="AK706" s="94"/>
      <c r="AL706" s="94"/>
      <c r="AM706" s="94"/>
      <c r="AN706" s="94"/>
      <c r="AO706" s="94"/>
      <c r="AP706" s="94"/>
      <c r="AQ706" s="94"/>
      <c r="AR706" s="94"/>
      <c r="AS706" s="94"/>
      <c r="AT706" s="94"/>
      <c r="AU706" s="94"/>
      <c r="AV706" s="94"/>
      <c r="AW706" s="94"/>
      <c r="AX706" s="94"/>
      <c r="AY706" s="94"/>
      <c r="BA706" s="95"/>
    </row>
    <row r="707" spans="1:53" s="87" customFormat="1">
      <c r="A707" s="90" t="str">
        <f t="shared" si="35"/>
        <v/>
      </c>
      <c r="B707" s="98">
        <v>2</v>
      </c>
      <c r="C707" s="94">
        <v>-4</v>
      </c>
      <c r="D707" s="94" t="s">
        <v>210</v>
      </c>
      <c r="E707" s="94" t="s">
        <v>210</v>
      </c>
      <c r="F707" s="94">
        <v>-2</v>
      </c>
      <c r="G707" s="94">
        <v>-7</v>
      </c>
      <c r="H707" s="94" t="s">
        <v>210</v>
      </c>
      <c r="I707" s="94" t="s">
        <v>210</v>
      </c>
      <c r="J707" s="94">
        <v>3</v>
      </c>
      <c r="K707" s="94">
        <v>-1</v>
      </c>
      <c r="L707" s="94" t="s">
        <v>210</v>
      </c>
      <c r="M707" s="94" t="s">
        <v>210</v>
      </c>
      <c r="N707" s="94">
        <v>2</v>
      </c>
      <c r="O707" s="94">
        <v>5</v>
      </c>
      <c r="P707" s="94" t="s">
        <v>210</v>
      </c>
      <c r="Q707" s="94" t="s">
        <v>210</v>
      </c>
      <c r="R707" s="94">
        <v>6</v>
      </c>
      <c r="S707" s="94">
        <v>7</v>
      </c>
      <c r="T707" s="94" t="s">
        <v>210</v>
      </c>
      <c r="U707" s="94" t="s">
        <v>210</v>
      </c>
      <c r="V707" s="94">
        <v>4</v>
      </c>
      <c r="W707" s="94">
        <v>-5</v>
      </c>
      <c r="X707" s="94" t="s">
        <v>210</v>
      </c>
      <c r="Y707" s="94">
        <v>-3</v>
      </c>
      <c r="Z707" s="94" t="s">
        <v>210</v>
      </c>
      <c r="AA707" s="94" t="s">
        <v>210</v>
      </c>
      <c r="AB707" s="94" t="s">
        <v>210</v>
      </c>
      <c r="AC707" s="94" t="s">
        <v>210</v>
      </c>
      <c r="AD707" s="94">
        <v>-6</v>
      </c>
      <c r="AE707" s="94"/>
      <c r="AF707" s="94"/>
      <c r="AG707" s="94"/>
      <c r="AH707" s="94"/>
      <c r="AI707" s="94"/>
      <c r="AJ707" s="94"/>
      <c r="AK707" s="94"/>
      <c r="AL707" s="94"/>
      <c r="AM707" s="94"/>
      <c r="AN707" s="94"/>
      <c r="AO707" s="94"/>
      <c r="AP707" s="94"/>
      <c r="AQ707" s="94"/>
      <c r="AR707" s="94"/>
      <c r="AS707" s="94"/>
      <c r="AT707" s="94"/>
      <c r="AU707" s="94"/>
      <c r="AV707" s="94"/>
      <c r="AW707" s="94"/>
      <c r="AX707" s="94"/>
      <c r="AY707" s="94"/>
      <c r="BA707" s="95"/>
    </row>
    <row r="708" spans="1:53" s="87" customFormat="1">
      <c r="A708" s="90" t="str">
        <f t="shared" si="35"/>
        <v/>
      </c>
      <c r="B708" s="98">
        <v>3</v>
      </c>
      <c r="C708" s="94">
        <v>-3</v>
      </c>
      <c r="D708" s="94" t="s">
        <v>210</v>
      </c>
      <c r="E708" s="94" t="s">
        <v>210</v>
      </c>
      <c r="F708" s="94">
        <v>4</v>
      </c>
      <c r="G708" s="94">
        <v>5</v>
      </c>
      <c r="H708" s="94" t="s">
        <v>210</v>
      </c>
      <c r="I708" s="94" t="s">
        <v>210</v>
      </c>
      <c r="J708" s="94">
        <v>6</v>
      </c>
      <c r="K708" s="94">
        <v>-7</v>
      </c>
      <c r="L708" s="94" t="s">
        <v>210</v>
      </c>
      <c r="M708" s="94" t="s">
        <v>210</v>
      </c>
      <c r="N708" s="94">
        <v>-4</v>
      </c>
      <c r="O708" s="94">
        <v>-2</v>
      </c>
      <c r="P708" s="94" t="s">
        <v>210</v>
      </c>
      <c r="Q708" s="94" t="s">
        <v>210</v>
      </c>
      <c r="R708" s="94">
        <v>-5</v>
      </c>
      <c r="S708" s="94">
        <v>3</v>
      </c>
      <c r="T708" s="94" t="s">
        <v>210</v>
      </c>
      <c r="U708" s="94">
        <v>1</v>
      </c>
      <c r="V708" s="94" t="s">
        <v>210</v>
      </c>
      <c r="W708" s="94" t="s">
        <v>210</v>
      </c>
      <c r="X708" s="94">
        <v>2</v>
      </c>
      <c r="Y708" s="94" t="s">
        <v>210</v>
      </c>
      <c r="Z708" s="94" t="s">
        <v>210</v>
      </c>
      <c r="AA708" s="94" t="s">
        <v>210</v>
      </c>
      <c r="AB708" s="94">
        <v>-5</v>
      </c>
      <c r="AC708" s="94">
        <v>7</v>
      </c>
      <c r="AD708" s="94" t="s">
        <v>210</v>
      </c>
      <c r="AE708" s="94"/>
      <c r="AF708" s="94"/>
      <c r="AG708" s="94"/>
      <c r="AH708" s="94"/>
      <c r="AI708" s="94"/>
      <c r="AJ708" s="94"/>
      <c r="AK708" s="94"/>
      <c r="AL708" s="94"/>
      <c r="AM708" s="94"/>
      <c r="AN708" s="94"/>
      <c r="AO708" s="94"/>
      <c r="AP708" s="94"/>
      <c r="AQ708" s="94"/>
      <c r="AR708" s="94"/>
      <c r="AS708" s="94"/>
      <c r="AT708" s="94"/>
      <c r="AU708" s="94"/>
      <c r="AV708" s="94"/>
      <c r="AW708" s="94"/>
      <c r="AX708" s="94"/>
      <c r="AY708" s="94"/>
      <c r="BA708" s="95"/>
    </row>
    <row r="709" spans="1:53" s="87" customFormat="1">
      <c r="A709" s="90" t="str">
        <f t="shared" si="35"/>
        <v/>
      </c>
      <c r="B709" s="98">
        <v>4</v>
      </c>
      <c r="C709" s="94">
        <v>-6</v>
      </c>
      <c r="D709" s="94" t="s">
        <v>210</v>
      </c>
      <c r="E709" s="94" t="s">
        <v>210</v>
      </c>
      <c r="F709" s="94">
        <v>-7</v>
      </c>
      <c r="G709" s="94">
        <v>3</v>
      </c>
      <c r="H709" s="94" t="s">
        <v>210</v>
      </c>
      <c r="I709" s="94" t="s">
        <v>210</v>
      </c>
      <c r="J709" s="94">
        <v>5</v>
      </c>
      <c r="K709" s="94">
        <v>-2</v>
      </c>
      <c r="L709" s="94" t="s">
        <v>210</v>
      </c>
      <c r="M709" s="94" t="s">
        <v>210</v>
      </c>
      <c r="N709" s="94">
        <v>1</v>
      </c>
      <c r="O709" s="94">
        <v>-4</v>
      </c>
      <c r="P709" s="94" t="s">
        <v>210</v>
      </c>
      <c r="Q709" s="94">
        <v>-6</v>
      </c>
      <c r="R709" s="94" t="s">
        <v>210</v>
      </c>
      <c r="S709" s="94" t="s">
        <v>210</v>
      </c>
      <c r="T709" s="94">
        <v>-3</v>
      </c>
      <c r="U709" s="94">
        <v>-5</v>
      </c>
      <c r="V709" s="94" t="s">
        <v>210</v>
      </c>
      <c r="W709" s="94" t="s">
        <v>210</v>
      </c>
      <c r="X709" s="94" t="s">
        <v>210</v>
      </c>
      <c r="Y709" s="94">
        <v>7</v>
      </c>
      <c r="Z709" s="94" t="s">
        <v>210</v>
      </c>
      <c r="AA709" s="94" t="s">
        <v>210</v>
      </c>
      <c r="AB709" s="94">
        <v>6</v>
      </c>
      <c r="AC709" s="94" t="s">
        <v>210</v>
      </c>
      <c r="AD709" s="94">
        <v>4</v>
      </c>
      <c r="AE709" s="94"/>
      <c r="AF709" s="94"/>
      <c r="AG709" s="94"/>
      <c r="AH709" s="94"/>
      <c r="AI709" s="94"/>
      <c r="AJ709" s="94"/>
      <c r="AK709" s="94"/>
      <c r="AL709" s="94"/>
      <c r="AM709" s="94"/>
      <c r="AN709" s="94"/>
      <c r="AO709" s="94"/>
      <c r="AP709" s="94"/>
      <c r="AQ709" s="94"/>
      <c r="AR709" s="94"/>
      <c r="AS709" s="94"/>
      <c r="AT709" s="94"/>
      <c r="AU709" s="94"/>
      <c r="AV709" s="94"/>
      <c r="AW709" s="94"/>
      <c r="AX709" s="94"/>
      <c r="AY709" s="94"/>
      <c r="BA709" s="95"/>
    </row>
    <row r="710" spans="1:53" s="87" customFormat="1">
      <c r="A710" s="90" t="str">
        <f t="shared" si="35"/>
        <v/>
      </c>
      <c r="B710" s="98">
        <v>5</v>
      </c>
      <c r="C710" s="94">
        <v>-2</v>
      </c>
      <c r="D710" s="94" t="s">
        <v>210</v>
      </c>
      <c r="E710" s="94" t="s">
        <v>210</v>
      </c>
      <c r="F710" s="94">
        <v>-5</v>
      </c>
      <c r="G710" s="94">
        <v>-4</v>
      </c>
      <c r="H710" s="94" t="s">
        <v>210</v>
      </c>
      <c r="I710" s="94" t="s">
        <v>210</v>
      </c>
      <c r="J710" s="94">
        <v>1</v>
      </c>
      <c r="K710" s="94">
        <v>3</v>
      </c>
      <c r="L710" s="94" t="s">
        <v>210</v>
      </c>
      <c r="M710" s="94">
        <v>-6</v>
      </c>
      <c r="N710" s="94" t="s">
        <v>210</v>
      </c>
      <c r="O710" s="94" t="s">
        <v>210</v>
      </c>
      <c r="P710" s="94">
        <v>-2</v>
      </c>
      <c r="Q710" s="94">
        <v>7</v>
      </c>
      <c r="R710" s="94" t="s">
        <v>210</v>
      </c>
      <c r="S710" s="94" t="s">
        <v>210</v>
      </c>
      <c r="T710" s="94">
        <v>4</v>
      </c>
      <c r="U710" s="94" t="s">
        <v>210</v>
      </c>
      <c r="V710" s="94" t="s">
        <v>210</v>
      </c>
      <c r="W710" s="94" t="s">
        <v>210</v>
      </c>
      <c r="X710" s="94">
        <v>5</v>
      </c>
      <c r="Y710" s="94">
        <v>2</v>
      </c>
      <c r="Z710" s="94" t="s">
        <v>210</v>
      </c>
      <c r="AA710" s="94" t="s">
        <v>210</v>
      </c>
      <c r="AB710" s="94">
        <v>-7</v>
      </c>
      <c r="AC710" s="94">
        <v>6</v>
      </c>
      <c r="AD710" s="94" t="s">
        <v>210</v>
      </c>
      <c r="AE710" s="94"/>
      <c r="AF710" s="94"/>
      <c r="AG710" s="94"/>
      <c r="AH710" s="94"/>
      <c r="AI710" s="94"/>
      <c r="AJ710" s="94"/>
      <c r="AK710" s="94"/>
      <c r="AL710" s="94"/>
      <c r="AM710" s="94"/>
      <c r="AN710" s="94"/>
      <c r="AO710" s="94"/>
      <c r="AP710" s="94"/>
      <c r="AQ710" s="94"/>
      <c r="AR710" s="94"/>
      <c r="AS710" s="94"/>
      <c r="AT710" s="94"/>
      <c r="AU710" s="94"/>
      <c r="AV710" s="94"/>
      <c r="AW710" s="94"/>
      <c r="AX710" s="94"/>
      <c r="AY710" s="94"/>
      <c r="BA710" s="95"/>
    </row>
    <row r="711" spans="1:53" s="87" customFormat="1">
      <c r="A711" s="90" t="str">
        <f t="shared" si="35"/>
        <v/>
      </c>
      <c r="B711" s="98">
        <v>6</v>
      </c>
      <c r="C711" s="94">
        <v>7</v>
      </c>
      <c r="D711" s="94" t="s">
        <v>210</v>
      </c>
      <c r="E711" s="94" t="s">
        <v>210</v>
      </c>
      <c r="F711" s="94">
        <v>-3</v>
      </c>
      <c r="G711" s="94">
        <v>6</v>
      </c>
      <c r="H711" s="94" t="s">
        <v>210</v>
      </c>
      <c r="I711" s="94">
        <v>-5</v>
      </c>
      <c r="J711" s="94" t="s">
        <v>210</v>
      </c>
      <c r="K711" s="94" t="s">
        <v>210</v>
      </c>
      <c r="L711" s="94">
        <v>-2</v>
      </c>
      <c r="M711" s="94">
        <v>1</v>
      </c>
      <c r="N711" s="94" t="s">
        <v>210</v>
      </c>
      <c r="O711" s="94" t="s">
        <v>210</v>
      </c>
      <c r="P711" s="94">
        <v>4</v>
      </c>
      <c r="Q711" s="94">
        <v>3</v>
      </c>
      <c r="R711" s="94" t="s">
        <v>210</v>
      </c>
      <c r="S711" s="94" t="s">
        <v>210</v>
      </c>
      <c r="T711" s="94" t="s">
        <v>210</v>
      </c>
      <c r="U711" s="94">
        <v>-2</v>
      </c>
      <c r="V711" s="94" t="s">
        <v>210</v>
      </c>
      <c r="W711" s="94" t="s">
        <v>210</v>
      </c>
      <c r="X711" s="94">
        <v>-7</v>
      </c>
      <c r="Y711" s="94">
        <v>5</v>
      </c>
      <c r="Z711" s="94" t="s">
        <v>210</v>
      </c>
      <c r="AA711" s="94" t="s">
        <v>210</v>
      </c>
      <c r="AB711" s="94">
        <v>-4</v>
      </c>
      <c r="AC711" s="94" t="s">
        <v>210</v>
      </c>
      <c r="AD711" s="94">
        <v>2</v>
      </c>
      <c r="AE711" s="94"/>
      <c r="AF711" s="94"/>
      <c r="AG711" s="94"/>
      <c r="AH711" s="94"/>
      <c r="AI711" s="94"/>
      <c r="AJ711" s="94"/>
      <c r="AK711" s="94"/>
      <c r="AL711" s="94"/>
      <c r="AM711" s="94"/>
      <c r="AN711" s="94"/>
      <c r="AO711" s="94"/>
      <c r="AP711" s="94"/>
      <c r="AQ711" s="94"/>
      <c r="AR711" s="94"/>
      <c r="AS711" s="94"/>
      <c r="AT711" s="94"/>
      <c r="AU711" s="94"/>
      <c r="AV711" s="94"/>
      <c r="AW711" s="94"/>
      <c r="AX711" s="94"/>
      <c r="AY711" s="94"/>
      <c r="BA711" s="95"/>
    </row>
    <row r="712" spans="1:53" s="87" customFormat="1">
      <c r="A712" s="90" t="str">
        <f t="shared" si="35"/>
        <v/>
      </c>
      <c r="B712" s="98">
        <v>7</v>
      </c>
      <c r="C712" s="94">
        <v>-1</v>
      </c>
      <c r="D712" s="94" t="s">
        <v>210</v>
      </c>
      <c r="E712" s="94">
        <v>-5</v>
      </c>
      <c r="F712" s="94" t="s">
        <v>210</v>
      </c>
      <c r="G712" s="94" t="s">
        <v>210</v>
      </c>
      <c r="H712" s="94">
        <v>-6</v>
      </c>
      <c r="I712" s="94">
        <v>-7</v>
      </c>
      <c r="J712" s="94" t="s">
        <v>210</v>
      </c>
      <c r="K712" s="94" t="s">
        <v>210</v>
      </c>
      <c r="L712" s="94">
        <v>-4</v>
      </c>
      <c r="M712" s="94">
        <v>2</v>
      </c>
      <c r="N712" s="94" t="s">
        <v>210</v>
      </c>
      <c r="O712" s="94" t="s">
        <v>210</v>
      </c>
      <c r="P712" s="94">
        <v>5</v>
      </c>
      <c r="Q712" s="94" t="s">
        <v>210</v>
      </c>
      <c r="R712" s="94" t="s">
        <v>210</v>
      </c>
      <c r="S712" s="94" t="s">
        <v>210</v>
      </c>
      <c r="T712" s="94">
        <v>6</v>
      </c>
      <c r="U712" s="94">
        <v>3</v>
      </c>
      <c r="V712" s="94" t="s">
        <v>210</v>
      </c>
      <c r="W712" s="94" t="s">
        <v>210</v>
      </c>
      <c r="X712" s="94">
        <v>4</v>
      </c>
      <c r="Y712" s="94">
        <v>-6</v>
      </c>
      <c r="Z712" s="94" t="s">
        <v>210</v>
      </c>
      <c r="AA712" s="94" t="s">
        <v>210</v>
      </c>
      <c r="AB712" s="94">
        <v>-3</v>
      </c>
      <c r="AC712" s="94">
        <v>1</v>
      </c>
      <c r="AD712" s="94" t="s">
        <v>210</v>
      </c>
      <c r="AE712" s="94"/>
      <c r="AF712" s="94"/>
      <c r="AG712" s="94"/>
      <c r="AH712" s="94"/>
      <c r="AI712" s="94"/>
      <c r="AJ712" s="94"/>
      <c r="AK712" s="94"/>
      <c r="AL712" s="94"/>
      <c r="AM712" s="94"/>
      <c r="AN712" s="94"/>
      <c r="AO712" s="94"/>
      <c r="AP712" s="94"/>
      <c r="AQ712" s="94"/>
      <c r="AR712" s="94"/>
      <c r="AS712" s="94"/>
      <c r="AT712" s="94"/>
      <c r="AU712" s="94"/>
      <c r="AV712" s="94"/>
      <c r="AW712" s="94"/>
      <c r="AX712" s="94"/>
      <c r="AY712" s="94"/>
      <c r="BA712" s="95"/>
    </row>
    <row r="713" spans="1:53" s="87" customFormat="1">
      <c r="A713" s="90" t="str">
        <f t="shared" si="35"/>
        <v/>
      </c>
      <c r="B713" s="98">
        <v>8</v>
      </c>
      <c r="C713" s="94" t="s">
        <v>210</v>
      </c>
      <c r="D713" s="94">
        <v>7</v>
      </c>
      <c r="E713" s="94">
        <v>-4</v>
      </c>
      <c r="F713" s="94" t="s">
        <v>210</v>
      </c>
      <c r="G713" s="94" t="s">
        <v>210</v>
      </c>
      <c r="H713" s="94">
        <v>3</v>
      </c>
      <c r="I713" s="94">
        <v>6</v>
      </c>
      <c r="J713" s="94" t="s">
        <v>210</v>
      </c>
      <c r="K713" s="94" t="s">
        <v>210</v>
      </c>
      <c r="L713" s="94">
        <v>5</v>
      </c>
      <c r="M713" s="94">
        <v>-7</v>
      </c>
      <c r="N713" s="94" t="s">
        <v>210</v>
      </c>
      <c r="O713" s="94" t="s">
        <v>210</v>
      </c>
      <c r="P713" s="94" t="s">
        <v>210</v>
      </c>
      <c r="Q713" s="94">
        <v>4</v>
      </c>
      <c r="R713" s="94" t="s">
        <v>210</v>
      </c>
      <c r="S713" s="94" t="s">
        <v>210</v>
      </c>
      <c r="T713" s="94">
        <v>1</v>
      </c>
      <c r="U713" s="94">
        <v>-6</v>
      </c>
      <c r="V713" s="94" t="s">
        <v>210</v>
      </c>
      <c r="W713" s="94" t="s">
        <v>210</v>
      </c>
      <c r="X713" s="94">
        <v>-3</v>
      </c>
      <c r="Y713" s="94">
        <v>-1</v>
      </c>
      <c r="Z713" s="94" t="s">
        <v>210</v>
      </c>
      <c r="AA713" s="94" t="s">
        <v>210</v>
      </c>
      <c r="AB713" s="94">
        <v>2</v>
      </c>
      <c r="AC713" s="94">
        <v>-5</v>
      </c>
      <c r="AD713" s="94" t="s">
        <v>210</v>
      </c>
      <c r="AE713" s="94"/>
      <c r="AF713" s="94"/>
      <c r="AG713" s="94"/>
      <c r="AH713" s="94"/>
      <c r="AI713" s="94"/>
      <c r="AJ713" s="94"/>
      <c r="AK713" s="94"/>
      <c r="AL713" s="94"/>
      <c r="AM713" s="94"/>
      <c r="AN713" s="94"/>
      <c r="AO713" s="94"/>
      <c r="AP713" s="94"/>
      <c r="AQ713" s="94"/>
      <c r="AR713" s="94"/>
      <c r="AS713" s="94"/>
      <c r="AT713" s="94"/>
      <c r="AU713" s="94"/>
      <c r="AV713" s="94"/>
      <c r="AW713" s="94"/>
      <c r="AX713" s="94"/>
      <c r="AY713" s="94"/>
      <c r="BA713" s="95"/>
    </row>
    <row r="714" spans="1:53" s="87" customFormat="1">
      <c r="A714" s="90" t="str">
        <f t="shared" si="35"/>
        <v/>
      </c>
      <c r="B714" s="98">
        <v>9</v>
      </c>
      <c r="C714" s="94" t="s">
        <v>210</v>
      </c>
      <c r="D714" s="94">
        <v>2</v>
      </c>
      <c r="E714" s="94">
        <v>-1</v>
      </c>
      <c r="F714" s="94" t="s">
        <v>210</v>
      </c>
      <c r="G714" s="94" t="s">
        <v>210</v>
      </c>
      <c r="H714" s="94">
        <v>-5</v>
      </c>
      <c r="I714" s="94">
        <v>-3</v>
      </c>
      <c r="J714" s="94" t="s">
        <v>210</v>
      </c>
      <c r="K714" s="94" t="s">
        <v>210</v>
      </c>
      <c r="L714" s="94">
        <v>6</v>
      </c>
      <c r="M714" s="94" t="s">
        <v>210</v>
      </c>
      <c r="N714" s="94" t="s">
        <v>210</v>
      </c>
      <c r="O714" s="94" t="s">
        <v>210</v>
      </c>
      <c r="P714" s="94">
        <v>1</v>
      </c>
      <c r="Q714" s="94">
        <v>5</v>
      </c>
      <c r="R714" s="94" t="s">
        <v>210</v>
      </c>
      <c r="S714" s="94" t="s">
        <v>210</v>
      </c>
      <c r="T714" s="94">
        <v>2</v>
      </c>
      <c r="U714" s="94">
        <v>7</v>
      </c>
      <c r="V714" s="94" t="s">
        <v>210</v>
      </c>
      <c r="W714" s="94" t="s">
        <v>210</v>
      </c>
      <c r="X714" s="94">
        <v>-6</v>
      </c>
      <c r="Y714" s="94">
        <v>-4</v>
      </c>
      <c r="Z714" s="94" t="s">
        <v>210</v>
      </c>
      <c r="AA714" s="94">
        <v>-2</v>
      </c>
      <c r="AB714" s="94" t="s">
        <v>210</v>
      </c>
      <c r="AC714" s="94">
        <v>4</v>
      </c>
      <c r="AD714" s="94" t="s">
        <v>210</v>
      </c>
      <c r="AE714" s="94"/>
      <c r="AF714" s="94"/>
      <c r="AG714" s="94"/>
      <c r="AH714" s="94"/>
      <c r="AI714" s="94"/>
      <c r="AJ714" s="94"/>
      <c r="AK714" s="94"/>
      <c r="AL714" s="94"/>
      <c r="AM714" s="94"/>
      <c r="AN714" s="94"/>
      <c r="AO714" s="94"/>
      <c r="AP714" s="94"/>
      <c r="AQ714" s="94"/>
      <c r="AR714" s="94"/>
      <c r="AS714" s="94"/>
      <c r="AT714" s="94"/>
      <c r="AU714" s="94"/>
      <c r="AV714" s="94"/>
      <c r="AW714" s="94"/>
      <c r="AX714" s="94"/>
      <c r="AY714" s="94"/>
      <c r="BA714" s="95"/>
    </row>
    <row r="715" spans="1:53" s="87" customFormat="1">
      <c r="A715" s="90" t="str">
        <f t="shared" si="35"/>
        <v/>
      </c>
      <c r="B715" s="98">
        <v>10</v>
      </c>
      <c r="C715" s="94" t="s">
        <v>210</v>
      </c>
      <c r="D715" s="94">
        <v>6</v>
      </c>
      <c r="E715" s="94">
        <v>2</v>
      </c>
      <c r="F715" s="94" t="s">
        <v>210</v>
      </c>
      <c r="G715" s="94" t="s">
        <v>210</v>
      </c>
      <c r="H715" s="94">
        <v>-7</v>
      </c>
      <c r="I715" s="94">
        <v>-4</v>
      </c>
      <c r="J715" s="94" t="s">
        <v>210</v>
      </c>
      <c r="K715" s="94" t="s">
        <v>210</v>
      </c>
      <c r="L715" s="94" t="s">
        <v>210</v>
      </c>
      <c r="M715" s="94">
        <v>-3</v>
      </c>
      <c r="N715" s="94" t="s">
        <v>210</v>
      </c>
      <c r="O715" s="94" t="s">
        <v>210</v>
      </c>
      <c r="P715" s="94">
        <v>-6</v>
      </c>
      <c r="Q715" s="94">
        <v>1</v>
      </c>
      <c r="R715" s="94" t="s">
        <v>210</v>
      </c>
      <c r="S715" s="94" t="s">
        <v>210</v>
      </c>
      <c r="T715" s="94">
        <v>-5</v>
      </c>
      <c r="U715" s="94">
        <v>4</v>
      </c>
      <c r="V715" s="94" t="s">
        <v>210</v>
      </c>
      <c r="W715" s="94">
        <v>-2</v>
      </c>
      <c r="X715" s="94" t="s">
        <v>210</v>
      </c>
      <c r="Y715" s="94" t="s">
        <v>210</v>
      </c>
      <c r="Z715" s="94">
        <v>7</v>
      </c>
      <c r="AA715" s="94">
        <v>3</v>
      </c>
      <c r="AB715" s="94" t="s">
        <v>210</v>
      </c>
      <c r="AC715" s="94" t="s">
        <v>210</v>
      </c>
      <c r="AD715" s="94">
        <v>-1</v>
      </c>
      <c r="AE715" s="94"/>
      <c r="AF715" s="94"/>
      <c r="AG715" s="94"/>
      <c r="AH715" s="94"/>
      <c r="AI715" s="94"/>
      <c r="AJ715" s="94"/>
      <c r="AK715" s="94"/>
      <c r="AL715" s="94"/>
      <c r="AM715" s="94"/>
      <c r="AN715" s="94"/>
      <c r="AO715" s="94"/>
      <c r="AP715" s="94"/>
      <c r="AQ715" s="94"/>
      <c r="AR715" s="94"/>
      <c r="AS715" s="94"/>
      <c r="AT715" s="94"/>
      <c r="AU715" s="94"/>
      <c r="AV715" s="94"/>
      <c r="AW715" s="94"/>
      <c r="AX715" s="94"/>
      <c r="AY715" s="94"/>
      <c r="BA715" s="95"/>
    </row>
    <row r="716" spans="1:53" s="87" customFormat="1">
      <c r="A716" s="90" t="str">
        <f t="shared" ref="A716:A779" si="36">IF(MID(B716,3,2)="07",ROW(),"")</f>
        <v/>
      </c>
      <c r="B716" s="98">
        <v>11</v>
      </c>
      <c r="C716" s="94" t="s">
        <v>210</v>
      </c>
      <c r="D716" s="94">
        <v>-3</v>
      </c>
      <c r="E716" s="94">
        <v>6</v>
      </c>
      <c r="F716" s="94" t="s">
        <v>210</v>
      </c>
      <c r="G716" s="94" t="s">
        <v>210</v>
      </c>
      <c r="H716" s="94">
        <v>-2</v>
      </c>
      <c r="I716" s="94" t="s">
        <v>210</v>
      </c>
      <c r="J716" s="94" t="s">
        <v>210</v>
      </c>
      <c r="K716" s="94" t="s">
        <v>210</v>
      </c>
      <c r="L716" s="94">
        <v>-7</v>
      </c>
      <c r="M716" s="94">
        <v>4</v>
      </c>
      <c r="N716" s="94" t="s">
        <v>210</v>
      </c>
      <c r="O716" s="94" t="s">
        <v>210</v>
      </c>
      <c r="P716" s="94">
        <v>3</v>
      </c>
      <c r="Q716" s="94">
        <v>2</v>
      </c>
      <c r="R716" s="94" t="s">
        <v>210</v>
      </c>
      <c r="S716" s="94">
        <v>1</v>
      </c>
      <c r="T716" s="94" t="s">
        <v>210</v>
      </c>
      <c r="U716" s="94" t="s">
        <v>210</v>
      </c>
      <c r="V716" s="94">
        <v>-5</v>
      </c>
      <c r="W716" s="94">
        <v>-6</v>
      </c>
      <c r="X716" s="94" t="s">
        <v>210</v>
      </c>
      <c r="Y716" s="94" t="s">
        <v>210</v>
      </c>
      <c r="Z716" s="94">
        <v>-4</v>
      </c>
      <c r="AA716" s="94">
        <v>5</v>
      </c>
      <c r="AB716" s="94" t="s">
        <v>210</v>
      </c>
      <c r="AC716" s="94">
        <v>-3</v>
      </c>
      <c r="AD716" s="94" t="s">
        <v>210</v>
      </c>
      <c r="AE716" s="94"/>
      <c r="AF716" s="94"/>
      <c r="AG716" s="94"/>
      <c r="AH716" s="94"/>
      <c r="AI716" s="94"/>
      <c r="AJ716" s="94"/>
      <c r="AK716" s="94"/>
      <c r="AL716" s="94"/>
      <c r="AM716" s="94"/>
      <c r="AN716" s="94"/>
      <c r="AO716" s="94"/>
      <c r="AP716" s="94"/>
      <c r="AQ716" s="94"/>
      <c r="AR716" s="94"/>
      <c r="AS716" s="94"/>
      <c r="AT716" s="94"/>
      <c r="AU716" s="94"/>
      <c r="AV716" s="94"/>
      <c r="AW716" s="94"/>
      <c r="AX716" s="94"/>
      <c r="AY716" s="94"/>
      <c r="BA716" s="95"/>
    </row>
    <row r="717" spans="1:53" s="87" customFormat="1">
      <c r="A717" s="90" t="str">
        <f t="shared" si="36"/>
        <v/>
      </c>
      <c r="B717" s="98">
        <v>12</v>
      </c>
      <c r="C717" s="94" t="s">
        <v>210</v>
      </c>
      <c r="D717" s="94">
        <v>-4</v>
      </c>
      <c r="E717" s="94">
        <v>7</v>
      </c>
      <c r="F717" s="94" t="s">
        <v>210</v>
      </c>
      <c r="G717" s="94" t="s">
        <v>210</v>
      </c>
      <c r="H717" s="94" t="s">
        <v>210</v>
      </c>
      <c r="I717" s="94">
        <v>2</v>
      </c>
      <c r="J717" s="94" t="s">
        <v>210</v>
      </c>
      <c r="K717" s="94" t="s">
        <v>210</v>
      </c>
      <c r="L717" s="94">
        <v>-3</v>
      </c>
      <c r="M717" s="94">
        <v>-5</v>
      </c>
      <c r="N717" s="94" t="s">
        <v>210</v>
      </c>
      <c r="O717" s="94">
        <v>1</v>
      </c>
      <c r="P717" s="94" t="s">
        <v>210</v>
      </c>
      <c r="Q717" s="94" t="s">
        <v>210</v>
      </c>
      <c r="R717" s="94">
        <v>-2</v>
      </c>
      <c r="S717" s="94">
        <v>-6</v>
      </c>
      <c r="T717" s="94" t="s">
        <v>210</v>
      </c>
      <c r="U717" s="94" t="s">
        <v>210</v>
      </c>
      <c r="V717" s="94">
        <v>3</v>
      </c>
      <c r="W717" s="94">
        <v>-1</v>
      </c>
      <c r="X717" s="94" t="s">
        <v>210</v>
      </c>
      <c r="Y717" s="94" t="s">
        <v>210</v>
      </c>
      <c r="Z717" s="94">
        <v>6</v>
      </c>
      <c r="AA717" s="94">
        <v>4</v>
      </c>
      <c r="AB717" s="94" t="s">
        <v>210</v>
      </c>
      <c r="AC717" s="94" t="s">
        <v>210</v>
      </c>
      <c r="AD717" s="94">
        <v>5</v>
      </c>
      <c r="AE717" s="94"/>
      <c r="AF717" s="94"/>
      <c r="AG717" s="94"/>
      <c r="AH717" s="94"/>
      <c r="AI717" s="94"/>
      <c r="AJ717" s="94"/>
      <c r="AK717" s="94"/>
      <c r="AL717" s="94"/>
      <c r="AM717" s="94"/>
      <c r="AN717" s="94"/>
      <c r="AO717" s="94"/>
      <c r="AP717" s="94"/>
      <c r="AQ717" s="94"/>
      <c r="AR717" s="94"/>
      <c r="AS717" s="94"/>
      <c r="AT717" s="94"/>
      <c r="AU717" s="94"/>
      <c r="AV717" s="94"/>
      <c r="AW717" s="94"/>
      <c r="AX717" s="94"/>
      <c r="AY717" s="94"/>
      <c r="BA717" s="95"/>
    </row>
    <row r="718" spans="1:53" s="87" customFormat="1">
      <c r="A718" s="90" t="str">
        <f t="shared" si="36"/>
        <v/>
      </c>
      <c r="B718" s="98">
        <v>13</v>
      </c>
      <c r="C718" s="94" t="s">
        <v>210</v>
      </c>
      <c r="D718" s="94">
        <v>-5</v>
      </c>
      <c r="E718" s="94" t="s">
        <v>210</v>
      </c>
      <c r="F718" s="94" t="s">
        <v>210</v>
      </c>
      <c r="G718" s="94" t="s">
        <v>210</v>
      </c>
      <c r="H718" s="94">
        <v>-4</v>
      </c>
      <c r="I718" s="94">
        <v>-1</v>
      </c>
      <c r="J718" s="94" t="s">
        <v>210</v>
      </c>
      <c r="K718" s="94">
        <v>6</v>
      </c>
      <c r="L718" s="94" t="s">
        <v>210</v>
      </c>
      <c r="M718" s="94" t="s">
        <v>210</v>
      </c>
      <c r="N718" s="94">
        <v>3</v>
      </c>
      <c r="O718" s="94">
        <v>7</v>
      </c>
      <c r="P718" s="94" t="s">
        <v>210</v>
      </c>
      <c r="Q718" s="94" t="s">
        <v>210</v>
      </c>
      <c r="R718" s="94">
        <v>4</v>
      </c>
      <c r="S718" s="94">
        <v>5</v>
      </c>
      <c r="T718" s="94" t="s">
        <v>210</v>
      </c>
      <c r="U718" s="94" t="s">
        <v>210</v>
      </c>
      <c r="V718" s="94">
        <v>-6</v>
      </c>
      <c r="W718" s="94">
        <v>-3</v>
      </c>
      <c r="X718" s="94" t="s">
        <v>210</v>
      </c>
      <c r="Y718" s="94" t="s">
        <v>210</v>
      </c>
      <c r="Z718" s="94">
        <v>5</v>
      </c>
      <c r="AA718" s="94">
        <v>-7</v>
      </c>
      <c r="AB718" s="94" t="s">
        <v>210</v>
      </c>
      <c r="AC718" s="94">
        <v>-2</v>
      </c>
      <c r="AD718" s="94" t="s">
        <v>210</v>
      </c>
      <c r="AE718" s="94"/>
      <c r="AF718" s="94"/>
      <c r="AG718" s="94"/>
      <c r="AH718" s="94"/>
      <c r="AI718" s="94"/>
      <c r="AJ718" s="94"/>
      <c r="AK718" s="94"/>
      <c r="AL718" s="94"/>
      <c r="AM718" s="94"/>
      <c r="AN718" s="94"/>
      <c r="AO718" s="94"/>
      <c r="AP718" s="94"/>
      <c r="AQ718" s="94"/>
      <c r="AR718" s="94"/>
      <c r="AS718" s="94"/>
      <c r="AT718" s="94"/>
      <c r="AU718" s="94"/>
      <c r="AV718" s="94"/>
      <c r="AW718" s="94"/>
      <c r="AX718" s="94"/>
      <c r="AY718" s="94"/>
      <c r="BA718" s="95"/>
    </row>
    <row r="719" spans="1:53" s="87" customFormat="1">
      <c r="A719" s="90" t="str">
        <f t="shared" si="36"/>
        <v/>
      </c>
      <c r="B719" s="98">
        <v>14</v>
      </c>
      <c r="C719" s="94" t="s">
        <v>210</v>
      </c>
      <c r="D719" s="94" t="s">
        <v>210</v>
      </c>
      <c r="E719" s="94">
        <v>3</v>
      </c>
      <c r="F719" s="94" t="s">
        <v>210</v>
      </c>
      <c r="G719" s="94">
        <v>-2</v>
      </c>
      <c r="H719" s="94" t="s">
        <v>210</v>
      </c>
      <c r="I719" s="94" t="s">
        <v>210</v>
      </c>
      <c r="J719" s="94">
        <v>-4</v>
      </c>
      <c r="K719" s="94">
        <v>5</v>
      </c>
      <c r="L719" s="94" t="s">
        <v>210</v>
      </c>
      <c r="M719" s="94" t="s">
        <v>210</v>
      </c>
      <c r="N719" s="94">
        <v>6</v>
      </c>
      <c r="O719" s="94">
        <v>-3</v>
      </c>
      <c r="P719" s="94" t="s">
        <v>210</v>
      </c>
      <c r="Q719" s="94" t="s">
        <v>210</v>
      </c>
      <c r="R719" s="94">
        <v>1</v>
      </c>
      <c r="S719" s="94">
        <v>2</v>
      </c>
      <c r="T719" s="94" t="s">
        <v>210</v>
      </c>
      <c r="U719" s="94" t="s">
        <v>210</v>
      </c>
      <c r="V719" s="94">
        <v>-7</v>
      </c>
      <c r="W719" s="94">
        <v>4</v>
      </c>
      <c r="X719" s="94" t="s">
        <v>210</v>
      </c>
      <c r="Y719" s="94" t="s">
        <v>210</v>
      </c>
      <c r="Z719" s="94">
        <v>-2</v>
      </c>
      <c r="AA719" s="94">
        <v>-6</v>
      </c>
      <c r="AB719" s="94" t="s">
        <v>210</v>
      </c>
      <c r="AC719" s="94" t="s">
        <v>210</v>
      </c>
      <c r="AD719" s="94">
        <v>-3</v>
      </c>
      <c r="AE719" s="94"/>
      <c r="AF719" s="94"/>
      <c r="AG719" s="94"/>
      <c r="AH719" s="94"/>
      <c r="AI719" s="94"/>
      <c r="AJ719" s="94"/>
      <c r="AK719" s="94"/>
      <c r="AL719" s="94"/>
      <c r="AM719" s="94"/>
      <c r="AN719" s="94"/>
      <c r="AO719" s="94"/>
      <c r="AP719" s="94"/>
      <c r="AQ719" s="94"/>
      <c r="AR719" s="94"/>
      <c r="AS719" s="94"/>
      <c r="AT719" s="94"/>
      <c r="AU719" s="94"/>
      <c r="AV719" s="94"/>
      <c r="AW719" s="94"/>
      <c r="AX719" s="94"/>
      <c r="AY719" s="94"/>
      <c r="BA719" s="95"/>
    </row>
    <row r="720" spans="1:53" s="87" customFormat="1">
      <c r="A720" s="90" t="str">
        <f t="shared" si="36"/>
        <v/>
      </c>
      <c r="B720" s="98">
        <v>15</v>
      </c>
      <c r="C720" s="94" t="s">
        <v>210</v>
      </c>
      <c r="D720" s="94">
        <v>5</v>
      </c>
      <c r="E720" s="94">
        <v>-7</v>
      </c>
      <c r="F720" s="94" t="s">
        <v>210</v>
      </c>
      <c r="G720" s="94" t="s">
        <v>210</v>
      </c>
      <c r="H720" s="94">
        <v>2</v>
      </c>
      <c r="I720" s="94">
        <v>4</v>
      </c>
      <c r="J720" s="94" t="s">
        <v>210</v>
      </c>
      <c r="K720" s="94" t="s">
        <v>210</v>
      </c>
      <c r="L720" s="94">
        <v>-6</v>
      </c>
      <c r="M720" s="94">
        <v>7</v>
      </c>
      <c r="N720" s="94" t="s">
        <v>210</v>
      </c>
      <c r="O720" s="94" t="s">
        <v>210</v>
      </c>
      <c r="P720" s="94">
        <v>-5</v>
      </c>
      <c r="Q720" s="94">
        <v>-3</v>
      </c>
      <c r="R720" s="94" t="s">
        <v>210</v>
      </c>
      <c r="S720" s="94" t="s">
        <v>210</v>
      </c>
      <c r="T720" s="94">
        <v>-4</v>
      </c>
      <c r="U720" s="94">
        <v>5</v>
      </c>
      <c r="V720" s="94" t="s">
        <v>210</v>
      </c>
      <c r="W720" s="94" t="s">
        <v>210</v>
      </c>
      <c r="X720" s="94">
        <v>-2</v>
      </c>
      <c r="Y720" s="94">
        <v>3</v>
      </c>
      <c r="Z720" s="94" t="s">
        <v>210</v>
      </c>
      <c r="AA720" s="94">
        <v>-1</v>
      </c>
      <c r="AB720" s="94" t="s">
        <v>210</v>
      </c>
      <c r="AC720" s="94" t="s">
        <v>210</v>
      </c>
      <c r="AD720" s="94">
        <v>3</v>
      </c>
      <c r="AE720" s="94"/>
      <c r="AF720" s="94"/>
      <c r="AG720" s="94"/>
      <c r="AH720" s="94"/>
      <c r="AI720" s="94"/>
      <c r="AJ720" s="94"/>
      <c r="AK720" s="94"/>
      <c r="AL720" s="94"/>
      <c r="AM720" s="94"/>
      <c r="AN720" s="94"/>
      <c r="AO720" s="94"/>
      <c r="AP720" s="94"/>
      <c r="AQ720" s="94"/>
      <c r="AR720" s="94"/>
      <c r="AS720" s="94"/>
      <c r="AT720" s="94"/>
      <c r="AU720" s="94"/>
      <c r="AV720" s="94"/>
      <c r="AW720" s="94"/>
      <c r="AX720" s="94"/>
      <c r="AY720" s="94"/>
      <c r="BA720" s="95"/>
    </row>
    <row r="721" spans="1:53" s="87" customFormat="1">
      <c r="A721" s="90" t="str">
        <f t="shared" si="36"/>
        <v/>
      </c>
      <c r="B721" s="98">
        <v>16</v>
      </c>
      <c r="C721" s="94" t="s">
        <v>210</v>
      </c>
      <c r="D721" s="94">
        <v>4</v>
      </c>
      <c r="E721" s="94">
        <v>-6</v>
      </c>
      <c r="F721" s="94" t="s">
        <v>210</v>
      </c>
      <c r="G721" s="94" t="s">
        <v>210</v>
      </c>
      <c r="H721" s="94">
        <v>7</v>
      </c>
      <c r="I721" s="94">
        <v>3</v>
      </c>
      <c r="J721" s="94" t="s">
        <v>210</v>
      </c>
      <c r="K721" s="94" t="s">
        <v>210</v>
      </c>
      <c r="L721" s="94">
        <v>-5</v>
      </c>
      <c r="M721" s="94">
        <v>-2</v>
      </c>
      <c r="N721" s="94" t="s">
        <v>210</v>
      </c>
      <c r="O721" s="94" t="s">
        <v>210</v>
      </c>
      <c r="P721" s="94">
        <v>-4</v>
      </c>
      <c r="Q721" s="94">
        <v>-7</v>
      </c>
      <c r="R721" s="94" t="s">
        <v>210</v>
      </c>
      <c r="S721" s="94" t="s">
        <v>210</v>
      </c>
      <c r="T721" s="94">
        <v>3</v>
      </c>
      <c r="U721" s="94">
        <v>-1</v>
      </c>
      <c r="V721" s="94" t="s">
        <v>210</v>
      </c>
      <c r="W721" s="94">
        <v>5</v>
      </c>
      <c r="X721" s="94" t="s">
        <v>210</v>
      </c>
      <c r="Y721" s="94" t="s">
        <v>210</v>
      </c>
      <c r="Z721" s="94">
        <v>-3</v>
      </c>
      <c r="AA721" s="94">
        <v>6</v>
      </c>
      <c r="AB721" s="94" t="s">
        <v>210</v>
      </c>
      <c r="AC721" s="94">
        <v>2</v>
      </c>
      <c r="AD721" s="94" t="s">
        <v>210</v>
      </c>
      <c r="AE721" s="94"/>
      <c r="AF721" s="94"/>
      <c r="AG721" s="94"/>
      <c r="AH721" s="94"/>
      <c r="AI721" s="94"/>
      <c r="AJ721" s="94"/>
      <c r="AK721" s="94"/>
      <c r="AL721" s="94"/>
      <c r="AM721" s="94"/>
      <c r="AN721" s="94"/>
      <c r="AO721" s="94"/>
      <c r="AP721" s="94"/>
      <c r="AQ721" s="94"/>
      <c r="AR721" s="94"/>
      <c r="AS721" s="94"/>
      <c r="AT721" s="94"/>
      <c r="AU721" s="94"/>
      <c r="AV721" s="94"/>
      <c r="AW721" s="94"/>
      <c r="AX721" s="94"/>
      <c r="AY721" s="94"/>
      <c r="BA721" s="95"/>
    </row>
    <row r="722" spans="1:53" s="87" customFormat="1">
      <c r="A722" s="90" t="str">
        <f t="shared" si="36"/>
        <v/>
      </c>
      <c r="B722" s="98">
        <v>17</v>
      </c>
      <c r="C722" s="94" t="s">
        <v>210</v>
      </c>
      <c r="D722" s="94">
        <v>3</v>
      </c>
      <c r="E722" s="94">
        <v>-2</v>
      </c>
      <c r="F722" s="94" t="s">
        <v>210</v>
      </c>
      <c r="G722" s="94" t="s">
        <v>210</v>
      </c>
      <c r="H722" s="94">
        <v>5</v>
      </c>
      <c r="I722" s="94">
        <v>-6</v>
      </c>
      <c r="J722" s="94" t="s">
        <v>210</v>
      </c>
      <c r="K722" s="94" t="s">
        <v>210</v>
      </c>
      <c r="L722" s="94">
        <v>4</v>
      </c>
      <c r="M722" s="94">
        <v>-1</v>
      </c>
      <c r="N722" s="94" t="s">
        <v>210</v>
      </c>
      <c r="O722" s="94" t="s">
        <v>210</v>
      </c>
      <c r="P722" s="94">
        <v>2</v>
      </c>
      <c r="Q722" s="94">
        <v>6</v>
      </c>
      <c r="R722" s="94" t="s">
        <v>210</v>
      </c>
      <c r="S722" s="94">
        <v>-3</v>
      </c>
      <c r="T722" s="94" t="s">
        <v>210</v>
      </c>
      <c r="U722" s="94" t="s">
        <v>210</v>
      </c>
      <c r="V722" s="94">
        <v>-4</v>
      </c>
      <c r="W722" s="94">
        <v>-7</v>
      </c>
      <c r="X722" s="94" t="s">
        <v>210</v>
      </c>
      <c r="Y722" s="94" t="s">
        <v>210</v>
      </c>
      <c r="Z722" s="94">
        <v>2</v>
      </c>
      <c r="AA722" s="94">
        <v>7</v>
      </c>
      <c r="AB722" s="94" t="s">
        <v>210</v>
      </c>
      <c r="AC722" s="94" t="s">
        <v>210</v>
      </c>
      <c r="AD722" s="94">
        <v>-5</v>
      </c>
      <c r="AE722" s="94"/>
      <c r="AF722" s="94"/>
      <c r="AG722" s="94"/>
      <c r="AH722" s="94"/>
      <c r="AI722" s="94"/>
      <c r="AJ722" s="94"/>
      <c r="AK722" s="94"/>
      <c r="AL722" s="94"/>
      <c r="AM722" s="94"/>
      <c r="AN722" s="94"/>
      <c r="AO722" s="94"/>
      <c r="AP722" s="94"/>
      <c r="AQ722" s="94"/>
      <c r="AR722" s="94"/>
      <c r="AS722" s="94"/>
      <c r="AT722" s="94"/>
      <c r="AU722" s="94"/>
      <c r="AV722" s="94"/>
      <c r="AW722" s="94"/>
      <c r="AX722" s="94"/>
      <c r="AY722" s="94"/>
      <c r="BA722" s="95"/>
    </row>
    <row r="723" spans="1:53" s="87" customFormat="1">
      <c r="A723" s="90" t="str">
        <f t="shared" si="36"/>
        <v/>
      </c>
      <c r="B723" s="98">
        <v>18</v>
      </c>
      <c r="C723" s="94" t="s">
        <v>210</v>
      </c>
      <c r="D723" s="94">
        <v>-6</v>
      </c>
      <c r="E723" s="94">
        <v>1</v>
      </c>
      <c r="F723" s="94" t="s">
        <v>210</v>
      </c>
      <c r="G723" s="94" t="s">
        <v>210</v>
      </c>
      <c r="H723" s="94">
        <v>-3</v>
      </c>
      <c r="I723" s="94">
        <v>7</v>
      </c>
      <c r="J723" s="94" t="s">
        <v>210</v>
      </c>
      <c r="K723" s="94" t="s">
        <v>210</v>
      </c>
      <c r="L723" s="94">
        <v>2</v>
      </c>
      <c r="M723" s="94">
        <v>6</v>
      </c>
      <c r="N723" s="94" t="s">
        <v>210</v>
      </c>
      <c r="O723" s="94">
        <v>4</v>
      </c>
      <c r="P723" s="94" t="s">
        <v>210</v>
      </c>
      <c r="Q723" s="94" t="s">
        <v>210</v>
      </c>
      <c r="R723" s="94">
        <v>5</v>
      </c>
      <c r="S723" s="94">
        <v>-7</v>
      </c>
      <c r="T723" s="94" t="s">
        <v>210</v>
      </c>
      <c r="U723" s="94" t="s">
        <v>210</v>
      </c>
      <c r="V723" s="94">
        <v>-2</v>
      </c>
      <c r="W723" s="94">
        <v>-4</v>
      </c>
      <c r="X723" s="94" t="s">
        <v>210</v>
      </c>
      <c r="Y723" s="94" t="s">
        <v>210</v>
      </c>
      <c r="Z723" s="94">
        <v>-5</v>
      </c>
      <c r="AA723" s="94">
        <v>-4</v>
      </c>
      <c r="AB723" s="94" t="s">
        <v>210</v>
      </c>
      <c r="AC723" s="94">
        <v>3</v>
      </c>
      <c r="AD723" s="94" t="s">
        <v>210</v>
      </c>
      <c r="AE723" s="94"/>
      <c r="AF723" s="94"/>
      <c r="AG723" s="94"/>
      <c r="AH723" s="94"/>
      <c r="AI723" s="94"/>
      <c r="AJ723" s="94"/>
      <c r="AK723" s="94"/>
      <c r="AL723" s="94"/>
      <c r="AM723" s="94"/>
      <c r="AN723" s="94"/>
      <c r="AO723" s="94"/>
      <c r="AP723" s="94"/>
      <c r="AQ723" s="94"/>
      <c r="AR723" s="94"/>
      <c r="AS723" s="94"/>
      <c r="AT723" s="94"/>
      <c r="AU723" s="94"/>
      <c r="AV723" s="94"/>
      <c r="AW723" s="94"/>
      <c r="AX723" s="94"/>
      <c r="AY723" s="94"/>
      <c r="BA723" s="95"/>
    </row>
    <row r="724" spans="1:53" s="87" customFormat="1">
      <c r="A724" s="90" t="str">
        <f t="shared" si="36"/>
        <v/>
      </c>
      <c r="B724" s="98">
        <v>19</v>
      </c>
      <c r="C724" s="94" t="s">
        <v>210</v>
      </c>
      <c r="D724" s="94">
        <v>-2</v>
      </c>
      <c r="E724" s="94">
        <v>4</v>
      </c>
      <c r="F724" s="94" t="s">
        <v>210</v>
      </c>
      <c r="G724" s="94" t="s">
        <v>210</v>
      </c>
      <c r="H724" s="94">
        <v>6</v>
      </c>
      <c r="I724" s="94">
        <v>5</v>
      </c>
      <c r="J724" s="94" t="s">
        <v>210</v>
      </c>
      <c r="K724" s="94">
        <v>-3</v>
      </c>
      <c r="L724" s="94" t="s">
        <v>210</v>
      </c>
      <c r="M724" s="94" t="s">
        <v>210</v>
      </c>
      <c r="N724" s="94">
        <v>-1</v>
      </c>
      <c r="O724" s="94">
        <v>2</v>
      </c>
      <c r="P724" s="94" t="s">
        <v>210</v>
      </c>
      <c r="Q724" s="94" t="s">
        <v>210</v>
      </c>
      <c r="R724" s="94">
        <v>-6</v>
      </c>
      <c r="S724" s="94">
        <v>-4</v>
      </c>
      <c r="T724" s="94" t="s">
        <v>210</v>
      </c>
      <c r="U724" s="94" t="s">
        <v>210</v>
      </c>
      <c r="V724" s="94">
        <v>7</v>
      </c>
      <c r="W724" s="94">
        <v>3</v>
      </c>
      <c r="X724" s="94" t="s">
        <v>210</v>
      </c>
      <c r="Y724" s="94" t="s">
        <v>210</v>
      </c>
      <c r="Z724" s="94">
        <v>-6</v>
      </c>
      <c r="AA724" s="94">
        <v>-5</v>
      </c>
      <c r="AB724" s="94" t="s">
        <v>210</v>
      </c>
      <c r="AC724" s="94" t="s">
        <v>210</v>
      </c>
      <c r="AD724" s="94">
        <v>1</v>
      </c>
      <c r="AE724" s="94"/>
      <c r="AF724" s="94"/>
      <c r="AG724" s="94"/>
      <c r="AH724" s="94"/>
      <c r="AI724" s="94"/>
      <c r="AJ724" s="94"/>
      <c r="AK724" s="94"/>
      <c r="AL724" s="94"/>
      <c r="AM724" s="94"/>
      <c r="AN724" s="94"/>
      <c r="AO724" s="94"/>
      <c r="AP724" s="94"/>
      <c r="AQ724" s="94"/>
      <c r="AR724" s="94"/>
      <c r="AS724" s="94"/>
      <c r="AT724" s="94"/>
      <c r="AU724" s="94"/>
      <c r="AV724" s="94"/>
      <c r="AW724" s="94"/>
      <c r="AX724" s="94"/>
      <c r="AY724" s="94"/>
      <c r="BA724" s="95"/>
    </row>
    <row r="725" spans="1:53" s="87" customFormat="1">
      <c r="A725" s="90" t="str">
        <f t="shared" si="36"/>
        <v/>
      </c>
      <c r="B725" s="98">
        <v>20</v>
      </c>
      <c r="C725" s="94" t="s">
        <v>210</v>
      </c>
      <c r="D725" s="94">
        <v>-7</v>
      </c>
      <c r="E725" s="94">
        <v>5</v>
      </c>
      <c r="F725" s="94" t="s">
        <v>210</v>
      </c>
      <c r="G725" s="94">
        <v>-6</v>
      </c>
      <c r="H725" s="94" t="s">
        <v>210</v>
      </c>
      <c r="I725" s="94" t="s">
        <v>210</v>
      </c>
      <c r="J725" s="94">
        <v>-1</v>
      </c>
      <c r="K725" s="94">
        <v>2</v>
      </c>
      <c r="L725" s="94" t="s">
        <v>210</v>
      </c>
      <c r="M725" s="94" t="s">
        <v>210</v>
      </c>
      <c r="N725" s="94">
        <v>4</v>
      </c>
      <c r="O725" s="94">
        <v>-5</v>
      </c>
      <c r="P725" s="94" t="s">
        <v>210</v>
      </c>
      <c r="Q725" s="94" t="s">
        <v>210</v>
      </c>
      <c r="R725" s="94">
        <v>3</v>
      </c>
      <c r="S725" s="94">
        <v>-2</v>
      </c>
      <c r="T725" s="94" t="s">
        <v>210</v>
      </c>
      <c r="U725" s="94" t="s">
        <v>210</v>
      </c>
      <c r="V725" s="94">
        <v>6</v>
      </c>
      <c r="W725" s="94">
        <v>1</v>
      </c>
      <c r="X725" s="94" t="s">
        <v>210</v>
      </c>
      <c r="Y725" s="94" t="s">
        <v>210</v>
      </c>
      <c r="Z725" s="94">
        <v>4</v>
      </c>
      <c r="AA725" s="94">
        <v>-3</v>
      </c>
      <c r="AB725" s="94" t="s">
        <v>210</v>
      </c>
      <c r="AC725" s="94">
        <v>-4</v>
      </c>
      <c r="AD725" s="94" t="s">
        <v>210</v>
      </c>
      <c r="AE725" s="94"/>
      <c r="AF725" s="94"/>
      <c r="AG725" s="94"/>
      <c r="AH725" s="94"/>
      <c r="AI725" s="94"/>
      <c r="AJ725" s="94"/>
      <c r="AK725" s="94"/>
      <c r="AL725" s="94"/>
      <c r="AM725" s="94"/>
      <c r="AN725" s="94"/>
      <c r="AO725" s="94"/>
      <c r="AP725" s="94"/>
      <c r="AQ725" s="94"/>
      <c r="AR725" s="94"/>
      <c r="AS725" s="94"/>
      <c r="AT725" s="94"/>
      <c r="AU725" s="94"/>
      <c r="AV725" s="94"/>
      <c r="AW725" s="94"/>
      <c r="AX725" s="94"/>
      <c r="AY725" s="94"/>
      <c r="BA725" s="95"/>
    </row>
    <row r="726" spans="1:53" s="87" customFormat="1">
      <c r="A726" s="90" t="str">
        <f t="shared" si="36"/>
        <v/>
      </c>
      <c r="B726" s="98">
        <v>21</v>
      </c>
      <c r="C726" s="94">
        <v>1</v>
      </c>
      <c r="D726" s="94" t="s">
        <v>210</v>
      </c>
      <c r="E726" s="94" t="s">
        <v>210</v>
      </c>
      <c r="F726" s="94">
        <v>3</v>
      </c>
      <c r="G726" s="94">
        <v>4</v>
      </c>
      <c r="H726" s="94" t="s">
        <v>210</v>
      </c>
      <c r="I726" s="94" t="s">
        <v>210</v>
      </c>
      <c r="J726" s="94">
        <v>-5</v>
      </c>
      <c r="K726" s="94">
        <v>7</v>
      </c>
      <c r="L726" s="94" t="s">
        <v>210</v>
      </c>
      <c r="M726" s="94" t="s">
        <v>210</v>
      </c>
      <c r="N726" s="94">
        <v>-2</v>
      </c>
      <c r="O726" s="94">
        <v>-6</v>
      </c>
      <c r="P726" s="94" t="s">
        <v>210</v>
      </c>
      <c r="Q726" s="94" t="s">
        <v>210</v>
      </c>
      <c r="R726" s="94">
        <v>-1</v>
      </c>
      <c r="S726" s="94">
        <v>-5</v>
      </c>
      <c r="T726" s="94" t="s">
        <v>210</v>
      </c>
      <c r="U726" s="94" t="s">
        <v>210</v>
      </c>
      <c r="V726" s="94">
        <v>-3</v>
      </c>
      <c r="W726" s="94">
        <v>6</v>
      </c>
      <c r="X726" s="94" t="s">
        <v>210</v>
      </c>
      <c r="Y726" s="94" t="s">
        <v>210</v>
      </c>
      <c r="Z726" s="94">
        <v>-7</v>
      </c>
      <c r="AA726" s="94">
        <v>2</v>
      </c>
      <c r="AB726" s="94" t="s">
        <v>210</v>
      </c>
      <c r="AC726" s="94">
        <v>5</v>
      </c>
      <c r="AD726" s="94" t="s">
        <v>210</v>
      </c>
      <c r="AE726" s="94"/>
      <c r="AF726" s="94"/>
      <c r="AG726" s="94"/>
      <c r="AH726" s="94"/>
      <c r="AI726" s="94"/>
      <c r="AJ726" s="94"/>
      <c r="AK726" s="94"/>
      <c r="AL726" s="94"/>
      <c r="AM726" s="94"/>
      <c r="AN726" s="94"/>
      <c r="AO726" s="94"/>
      <c r="AP726" s="94"/>
      <c r="AQ726" s="94"/>
      <c r="AR726" s="94"/>
      <c r="AS726" s="94"/>
      <c r="AT726" s="94"/>
      <c r="AU726" s="94"/>
      <c r="AV726" s="94"/>
      <c r="AW726" s="94"/>
      <c r="AX726" s="94"/>
      <c r="AY726" s="94"/>
      <c r="BA726" s="95"/>
    </row>
    <row r="727" spans="1:53" s="87" customFormat="1">
      <c r="A727" s="90" t="str">
        <f t="shared" si="36"/>
        <v/>
      </c>
      <c r="B727" s="98">
        <v>22</v>
      </c>
      <c r="C727" s="94">
        <v>-7</v>
      </c>
      <c r="D727" s="94" t="s">
        <v>210</v>
      </c>
      <c r="E727" s="94" t="s">
        <v>210</v>
      </c>
      <c r="F727" s="94">
        <v>5</v>
      </c>
      <c r="G727" s="94">
        <v>-3</v>
      </c>
      <c r="H727" s="94" t="s">
        <v>210</v>
      </c>
      <c r="I727" s="94" t="s">
        <v>210</v>
      </c>
      <c r="J727" s="94">
        <v>-6</v>
      </c>
      <c r="K727" s="94">
        <v>1</v>
      </c>
      <c r="L727" s="94" t="s">
        <v>210</v>
      </c>
      <c r="M727" s="94" t="s">
        <v>210</v>
      </c>
      <c r="N727" s="94">
        <v>-5</v>
      </c>
      <c r="O727" s="94">
        <v>3</v>
      </c>
      <c r="P727" s="94" t="s">
        <v>210</v>
      </c>
      <c r="Q727" s="94" t="s">
        <v>210</v>
      </c>
      <c r="R727" s="94">
        <v>-4</v>
      </c>
      <c r="S727" s="94">
        <v>6</v>
      </c>
      <c r="T727" s="94" t="s">
        <v>210</v>
      </c>
      <c r="U727" s="94" t="s">
        <v>210</v>
      </c>
      <c r="V727" s="94">
        <v>5</v>
      </c>
      <c r="W727" s="94">
        <v>2</v>
      </c>
      <c r="X727" s="94" t="s">
        <v>210</v>
      </c>
      <c r="Y727" s="94">
        <v>4</v>
      </c>
      <c r="Z727" s="94" t="s">
        <v>210</v>
      </c>
      <c r="AA727" s="94" t="s">
        <v>210</v>
      </c>
      <c r="AB727" s="94">
        <v>-2</v>
      </c>
      <c r="AC727" s="94">
        <v>-1</v>
      </c>
      <c r="AD727" s="94" t="s">
        <v>210</v>
      </c>
      <c r="AE727" s="94"/>
      <c r="AF727" s="94"/>
      <c r="AG727" s="94"/>
      <c r="AH727" s="94"/>
      <c r="AI727" s="94"/>
      <c r="AJ727" s="94"/>
      <c r="AK727" s="94"/>
      <c r="AL727" s="94"/>
      <c r="AM727" s="94"/>
      <c r="AN727" s="94"/>
      <c r="AO727" s="94"/>
      <c r="AP727" s="94"/>
      <c r="AQ727" s="94"/>
      <c r="AR727" s="94"/>
      <c r="AS727" s="94"/>
      <c r="AT727" s="94"/>
      <c r="AU727" s="94"/>
      <c r="AV727" s="94"/>
      <c r="AW727" s="94"/>
      <c r="AX727" s="94"/>
      <c r="AY727" s="94"/>
      <c r="BA727" s="95"/>
    </row>
    <row r="728" spans="1:53" s="87" customFormat="1">
      <c r="A728" s="90" t="str">
        <f t="shared" si="36"/>
        <v/>
      </c>
      <c r="B728" s="98">
        <v>23</v>
      </c>
      <c r="C728" s="94">
        <v>2</v>
      </c>
      <c r="D728" s="94" t="s">
        <v>210</v>
      </c>
      <c r="E728" s="94" t="s">
        <v>210</v>
      </c>
      <c r="F728" s="94">
        <v>7</v>
      </c>
      <c r="G728" s="94">
        <v>-5</v>
      </c>
      <c r="H728" s="94" t="s">
        <v>210</v>
      </c>
      <c r="I728" s="94" t="s">
        <v>210</v>
      </c>
      <c r="J728" s="94">
        <v>-3</v>
      </c>
      <c r="K728" s="94">
        <v>4</v>
      </c>
      <c r="L728" s="94" t="s">
        <v>210</v>
      </c>
      <c r="M728" s="94" t="s">
        <v>210</v>
      </c>
      <c r="N728" s="94">
        <v>-6</v>
      </c>
      <c r="O728" s="94">
        <v>-7</v>
      </c>
      <c r="P728" s="94" t="s">
        <v>210</v>
      </c>
      <c r="Q728" s="94" t="s">
        <v>210</v>
      </c>
      <c r="R728" s="94">
        <v>2</v>
      </c>
      <c r="S728" s="94">
        <v>-1</v>
      </c>
      <c r="T728" s="94" t="s">
        <v>210</v>
      </c>
      <c r="U728" s="94">
        <v>-4</v>
      </c>
      <c r="V728" s="94" t="s">
        <v>210</v>
      </c>
      <c r="W728" s="94" t="s">
        <v>210</v>
      </c>
      <c r="X728" s="94">
        <v>6</v>
      </c>
      <c r="Y728" s="94">
        <v>1</v>
      </c>
      <c r="Z728" s="94" t="s">
        <v>210</v>
      </c>
      <c r="AA728" s="94" t="s">
        <v>210</v>
      </c>
      <c r="AB728" s="94">
        <v>3</v>
      </c>
      <c r="AC728" s="94" t="s">
        <v>210</v>
      </c>
      <c r="AD728" s="94">
        <v>-2</v>
      </c>
      <c r="AE728" s="94"/>
      <c r="AF728" s="94"/>
      <c r="AG728" s="94"/>
      <c r="AH728" s="94"/>
      <c r="AI728" s="94"/>
      <c r="AJ728" s="94"/>
      <c r="AK728" s="94"/>
      <c r="AL728" s="94"/>
      <c r="AM728" s="94"/>
      <c r="AN728" s="94"/>
      <c r="AO728" s="94"/>
      <c r="AP728" s="94"/>
      <c r="AQ728" s="94"/>
      <c r="AR728" s="94"/>
      <c r="AS728" s="94"/>
      <c r="AT728" s="94"/>
      <c r="AU728" s="94"/>
      <c r="AV728" s="94"/>
      <c r="AW728" s="94"/>
      <c r="AX728" s="94"/>
      <c r="AY728" s="94"/>
      <c r="BA728" s="95"/>
    </row>
    <row r="729" spans="1:53" s="87" customFormat="1">
      <c r="A729" s="90" t="str">
        <f t="shared" si="36"/>
        <v/>
      </c>
      <c r="B729" s="98">
        <v>24</v>
      </c>
      <c r="C729" s="94">
        <v>6</v>
      </c>
      <c r="D729" s="94" t="s">
        <v>210</v>
      </c>
      <c r="E729" s="94" t="s">
        <v>210</v>
      </c>
      <c r="F729" s="94">
        <v>-4</v>
      </c>
      <c r="G729" s="94">
        <v>7</v>
      </c>
      <c r="H729" s="94" t="s">
        <v>210</v>
      </c>
      <c r="I729" s="94" t="s">
        <v>210</v>
      </c>
      <c r="J729" s="94">
        <v>2</v>
      </c>
      <c r="K729" s="94">
        <v>-5</v>
      </c>
      <c r="L729" s="94" t="s">
        <v>210</v>
      </c>
      <c r="M729" s="94" t="s">
        <v>210</v>
      </c>
      <c r="N729" s="94">
        <v>-3</v>
      </c>
      <c r="O729" s="94">
        <v>-1</v>
      </c>
      <c r="P729" s="94" t="s">
        <v>210</v>
      </c>
      <c r="Q729" s="94">
        <v>-2</v>
      </c>
      <c r="R729" s="94" t="s">
        <v>210</v>
      </c>
      <c r="S729" s="94" t="s">
        <v>210</v>
      </c>
      <c r="T729" s="94">
        <v>5</v>
      </c>
      <c r="U729" s="94">
        <v>-7</v>
      </c>
      <c r="V729" s="94" t="s">
        <v>210</v>
      </c>
      <c r="W729" s="94" t="s">
        <v>210</v>
      </c>
      <c r="X729" s="94">
        <v>3</v>
      </c>
      <c r="Y729" s="94">
        <v>6</v>
      </c>
      <c r="Z729" s="94" t="s">
        <v>210</v>
      </c>
      <c r="AA729" s="94" t="s">
        <v>210</v>
      </c>
      <c r="AB729" s="94">
        <v>4</v>
      </c>
      <c r="AC729" s="94">
        <v>-6</v>
      </c>
      <c r="AD729" s="94" t="s">
        <v>210</v>
      </c>
      <c r="AE729" s="94"/>
      <c r="AF729" s="94"/>
      <c r="AG729" s="94"/>
      <c r="AH729" s="94"/>
      <c r="AI729" s="94"/>
      <c r="AJ729" s="94"/>
      <c r="AK729" s="94"/>
      <c r="AL729" s="94"/>
      <c r="AM729" s="94"/>
      <c r="AN729" s="94"/>
      <c r="AO729" s="94"/>
      <c r="AP729" s="94"/>
      <c r="AQ729" s="94"/>
      <c r="AR729" s="94"/>
      <c r="AS729" s="94"/>
      <c r="AT729" s="94"/>
      <c r="AU729" s="94"/>
      <c r="AV729" s="94"/>
      <c r="AW729" s="94"/>
      <c r="AX729" s="94"/>
      <c r="AY729" s="94"/>
      <c r="BA729" s="95"/>
    </row>
    <row r="730" spans="1:53" s="87" customFormat="1">
      <c r="A730" s="90" t="str">
        <f t="shared" si="36"/>
        <v/>
      </c>
      <c r="B730" s="98">
        <v>25</v>
      </c>
      <c r="C730" s="94">
        <v>3</v>
      </c>
      <c r="D730" s="94" t="s">
        <v>210</v>
      </c>
      <c r="E730" s="94" t="s">
        <v>210</v>
      </c>
      <c r="F730" s="94">
        <v>2</v>
      </c>
      <c r="G730" s="94">
        <v>1</v>
      </c>
      <c r="H730" s="94" t="s">
        <v>210</v>
      </c>
      <c r="I730" s="94" t="s">
        <v>210</v>
      </c>
      <c r="J730" s="94">
        <v>4</v>
      </c>
      <c r="K730" s="94">
        <v>-6</v>
      </c>
      <c r="L730" s="94" t="s">
        <v>210</v>
      </c>
      <c r="M730" s="94">
        <v>5</v>
      </c>
      <c r="N730" s="94" t="s">
        <v>210</v>
      </c>
      <c r="O730" s="94" t="s">
        <v>210</v>
      </c>
      <c r="P730" s="94">
        <v>-3</v>
      </c>
      <c r="Q730" s="94">
        <v>-1</v>
      </c>
      <c r="R730" s="94" t="s">
        <v>210</v>
      </c>
      <c r="S730" s="94" t="s">
        <v>210</v>
      </c>
      <c r="T730" s="94">
        <v>-2</v>
      </c>
      <c r="U730" s="94">
        <v>6</v>
      </c>
      <c r="V730" s="94" t="s">
        <v>210</v>
      </c>
      <c r="W730" s="94" t="s">
        <v>210</v>
      </c>
      <c r="X730" s="94">
        <v>-4</v>
      </c>
      <c r="Y730" s="94">
        <v>-5</v>
      </c>
      <c r="Z730" s="94" t="s">
        <v>210</v>
      </c>
      <c r="AA730" s="94" t="s">
        <v>210</v>
      </c>
      <c r="AB730" s="94">
        <v>7</v>
      </c>
      <c r="AC730" s="94" t="s">
        <v>210</v>
      </c>
      <c r="AD730" s="94">
        <v>-4</v>
      </c>
      <c r="AE730" s="94"/>
      <c r="AF730" s="94"/>
      <c r="AG730" s="94"/>
      <c r="AH730" s="94"/>
      <c r="AI730" s="94"/>
      <c r="AJ730" s="94"/>
      <c r="AK730" s="94"/>
      <c r="AL730" s="94"/>
      <c r="AM730" s="94"/>
      <c r="AN730" s="94"/>
      <c r="AO730" s="94"/>
      <c r="AP730" s="94"/>
      <c r="AQ730" s="94"/>
      <c r="AR730" s="94"/>
      <c r="AS730" s="94"/>
      <c r="AT730" s="94"/>
      <c r="AU730" s="94"/>
      <c r="AV730" s="94"/>
      <c r="AW730" s="94"/>
      <c r="AX730" s="94"/>
      <c r="AY730" s="94"/>
      <c r="BA730" s="95"/>
    </row>
    <row r="731" spans="1:53" s="87" customFormat="1">
      <c r="A731" s="90" t="str">
        <f t="shared" si="36"/>
        <v/>
      </c>
      <c r="B731" s="98">
        <v>26</v>
      </c>
      <c r="C731" s="94">
        <v>4</v>
      </c>
      <c r="D731" s="94" t="s">
        <v>210</v>
      </c>
      <c r="E731" s="94" t="s">
        <v>210</v>
      </c>
      <c r="F731" s="94">
        <v>6</v>
      </c>
      <c r="G731" s="94">
        <v>2</v>
      </c>
      <c r="H731" s="94" t="s">
        <v>210</v>
      </c>
      <c r="I731" s="94">
        <v>1</v>
      </c>
      <c r="J731" s="94" t="s">
        <v>210</v>
      </c>
      <c r="K731" s="94" t="s">
        <v>210</v>
      </c>
      <c r="L731" s="94">
        <v>3</v>
      </c>
      <c r="M731" s="94">
        <v>-4</v>
      </c>
      <c r="N731" s="94" t="s">
        <v>210</v>
      </c>
      <c r="O731" s="94" t="s">
        <v>210</v>
      </c>
      <c r="P731" s="94">
        <v>6</v>
      </c>
      <c r="Q731" s="94">
        <v>-5</v>
      </c>
      <c r="R731" s="94" t="s">
        <v>210</v>
      </c>
      <c r="S731" s="94" t="s">
        <v>210</v>
      </c>
      <c r="T731" s="94">
        <v>-1</v>
      </c>
      <c r="U731" s="94">
        <v>-3</v>
      </c>
      <c r="V731" s="94" t="s">
        <v>210</v>
      </c>
      <c r="W731" s="94" t="s">
        <v>210</v>
      </c>
      <c r="X731" s="94">
        <v>7</v>
      </c>
      <c r="Y731" s="94">
        <v>-2</v>
      </c>
      <c r="Z731" s="94" t="s">
        <v>210</v>
      </c>
      <c r="AA731" s="94" t="s">
        <v>210</v>
      </c>
      <c r="AB731" s="94">
        <v>-6</v>
      </c>
      <c r="AC731" s="94">
        <v>-7</v>
      </c>
      <c r="AD731" s="94" t="s">
        <v>210</v>
      </c>
      <c r="AE731" s="94"/>
      <c r="AF731" s="94"/>
      <c r="AG731" s="94"/>
      <c r="AH731" s="94"/>
      <c r="AI731" s="94"/>
      <c r="AJ731" s="94"/>
      <c r="AK731" s="94"/>
      <c r="AL731" s="94"/>
      <c r="AM731" s="94"/>
      <c r="AN731" s="94"/>
      <c r="AO731" s="94"/>
      <c r="AP731" s="94"/>
      <c r="AQ731" s="94"/>
      <c r="AR731" s="94"/>
      <c r="AS731" s="94"/>
      <c r="AT731" s="94"/>
      <c r="AU731" s="94"/>
      <c r="AV731" s="94"/>
      <c r="AW731" s="94"/>
      <c r="AX731" s="94"/>
      <c r="AY731" s="94"/>
      <c r="BA731" s="95"/>
    </row>
    <row r="732" spans="1:53" s="87" customFormat="1">
      <c r="A732" s="90" t="str">
        <f t="shared" si="36"/>
        <v/>
      </c>
      <c r="B732" s="317">
        <v>27</v>
      </c>
      <c r="C732" s="94">
        <v>5</v>
      </c>
      <c r="D732" s="94" t="s">
        <v>210</v>
      </c>
      <c r="E732" s="94">
        <v>-3</v>
      </c>
      <c r="F732" s="94" t="s">
        <v>210</v>
      </c>
      <c r="G732" s="94" t="s">
        <v>210</v>
      </c>
      <c r="H732" s="94">
        <v>4</v>
      </c>
      <c r="I732" s="94">
        <v>-2</v>
      </c>
      <c r="J732" s="94" t="s">
        <v>210</v>
      </c>
      <c r="K732" s="94" t="s">
        <v>210</v>
      </c>
      <c r="L732" s="94">
        <v>7</v>
      </c>
      <c r="M732" s="94">
        <v>3</v>
      </c>
      <c r="N732" s="94" t="s">
        <v>210</v>
      </c>
      <c r="O732" s="94" t="s">
        <v>210</v>
      </c>
      <c r="P732" s="94">
        <v>-1</v>
      </c>
      <c r="Q732" s="94">
        <v>-4</v>
      </c>
      <c r="R732" s="94" t="s">
        <v>210</v>
      </c>
      <c r="S732" s="94" t="s">
        <v>210</v>
      </c>
      <c r="T732" s="94">
        <v>-6</v>
      </c>
      <c r="U732" s="94">
        <v>2</v>
      </c>
      <c r="V732" s="94" t="s">
        <v>210</v>
      </c>
      <c r="W732" s="94" t="s">
        <v>210</v>
      </c>
      <c r="X732" s="94">
        <v>-5</v>
      </c>
      <c r="Y732" s="94">
        <v>-7</v>
      </c>
      <c r="Z732" s="94" t="s">
        <v>210</v>
      </c>
      <c r="AA732" s="94" t="s">
        <v>210</v>
      </c>
      <c r="AB732" s="94">
        <v>5</v>
      </c>
      <c r="AC732" s="94" t="s">
        <v>210</v>
      </c>
      <c r="AD732" s="94">
        <v>6</v>
      </c>
      <c r="AE732" s="94"/>
      <c r="AF732" s="94"/>
      <c r="AG732" s="94"/>
      <c r="AH732" s="94"/>
      <c r="AI732" s="94"/>
      <c r="AJ732" s="94"/>
      <c r="AK732" s="94"/>
      <c r="AL732" s="94"/>
      <c r="AM732" s="94"/>
      <c r="AN732" s="94"/>
      <c r="AO732" s="94"/>
      <c r="AP732" s="94"/>
      <c r="AQ732" s="94"/>
      <c r="AR732" s="94"/>
      <c r="AS732" s="94"/>
      <c r="AT732" s="94"/>
      <c r="AU732" s="94"/>
      <c r="AV732" s="94"/>
      <c r="AW732" s="94"/>
      <c r="AX732" s="94"/>
      <c r="AY732" s="94"/>
      <c r="BA732" s="95"/>
    </row>
    <row r="733" spans="1:53" s="87" customFormat="1">
      <c r="A733" s="90" t="str">
        <f t="shared" si="36"/>
        <v/>
      </c>
      <c r="B733" s="98" t="s">
        <v>924</v>
      </c>
      <c r="C733" s="94"/>
      <c r="D733" s="94"/>
      <c r="E733" s="94"/>
      <c r="F733" s="94"/>
      <c r="G733" s="94"/>
      <c r="H733" s="94"/>
      <c r="I733" s="94"/>
      <c r="J733" s="94"/>
      <c r="K733" s="94"/>
      <c r="L733" s="94"/>
      <c r="M733" s="94"/>
      <c r="N733" s="94"/>
      <c r="O733" s="94"/>
      <c r="P733" s="94"/>
      <c r="Q733" s="94"/>
      <c r="R733" s="94"/>
      <c r="S733" s="94"/>
      <c r="T733" s="94"/>
      <c r="U733" s="94"/>
      <c r="V733" s="94"/>
      <c r="W733" s="94"/>
      <c r="X733" s="94"/>
      <c r="Y733" s="94"/>
      <c r="Z733" s="94"/>
      <c r="AA733" s="94"/>
      <c r="AB733" s="94"/>
      <c r="AC733" s="94"/>
      <c r="AD733" s="94"/>
      <c r="AE733" s="94"/>
      <c r="AF733" s="94"/>
      <c r="AG733" s="94"/>
      <c r="AH733" s="94"/>
      <c r="AI733" s="94"/>
      <c r="AJ733" s="94"/>
      <c r="AK733" s="94"/>
      <c r="AL733" s="94"/>
      <c r="AM733" s="94"/>
      <c r="AN733" s="94"/>
      <c r="AO733" s="94"/>
      <c r="AP733" s="94"/>
      <c r="AQ733" s="94"/>
      <c r="AR733" s="94"/>
      <c r="AS733" s="94"/>
      <c r="AT733" s="94"/>
      <c r="AU733" s="94"/>
      <c r="AV733" s="94"/>
      <c r="AW733" s="94"/>
      <c r="AX733" s="94"/>
      <c r="AY733" s="94"/>
      <c r="BA733" s="95"/>
    </row>
    <row r="734" spans="1:53" s="87" customFormat="1">
      <c r="A734" s="90">
        <f t="shared" si="36"/>
        <v>734</v>
      </c>
      <c r="B734" s="98" t="s">
        <v>927</v>
      </c>
      <c r="C734" s="94"/>
      <c r="D734" s="94"/>
      <c r="E734" s="94"/>
      <c r="F734" s="94"/>
      <c r="G734" s="94"/>
      <c r="H734" s="94"/>
      <c r="I734" s="94"/>
      <c r="J734" s="94"/>
      <c r="K734" s="94"/>
      <c r="L734" s="94"/>
      <c r="M734" s="94"/>
      <c r="N734" s="94"/>
      <c r="O734" s="94"/>
      <c r="P734" s="94"/>
      <c r="Q734" s="94"/>
      <c r="R734" s="94"/>
      <c r="S734" s="94"/>
      <c r="T734" s="94"/>
      <c r="U734" s="94"/>
      <c r="V734" s="94"/>
      <c r="W734" s="94"/>
      <c r="X734" s="94"/>
      <c r="Y734" s="94"/>
      <c r="Z734" s="94"/>
      <c r="AA734" s="94"/>
      <c r="AB734" s="94"/>
      <c r="AC734" s="94"/>
      <c r="AD734" s="94"/>
      <c r="AE734" s="94"/>
      <c r="AF734" s="94"/>
      <c r="AG734" s="94"/>
      <c r="AH734" s="94"/>
      <c r="AI734" s="94"/>
      <c r="AJ734" s="94"/>
      <c r="AK734" s="94"/>
      <c r="AL734" s="94"/>
      <c r="AM734" s="94"/>
      <c r="AN734" s="94"/>
      <c r="AO734" s="94"/>
      <c r="AP734" s="94"/>
      <c r="AQ734" s="94"/>
      <c r="AR734" s="94"/>
      <c r="AS734" s="94"/>
      <c r="AT734" s="94"/>
      <c r="AU734" s="94"/>
      <c r="AV734" s="94"/>
      <c r="AW734" s="94"/>
      <c r="AX734" s="94"/>
      <c r="AY734" s="94"/>
      <c r="BA734" s="95"/>
    </row>
    <row r="735" spans="1:53" s="87" customFormat="1">
      <c r="A735" s="90" t="str">
        <f t="shared" si="36"/>
        <v/>
      </c>
      <c r="B735" s="98">
        <v>1</v>
      </c>
      <c r="C735" s="94">
        <v>-7</v>
      </c>
      <c r="D735" s="94">
        <v>3</v>
      </c>
      <c r="E735" s="94">
        <v>4</v>
      </c>
      <c r="F735" s="94"/>
      <c r="G735" s="94"/>
      <c r="H735" s="94"/>
      <c r="I735" s="94"/>
      <c r="J735" s="94"/>
      <c r="K735" s="94"/>
      <c r="L735" s="94"/>
      <c r="M735" s="94"/>
      <c r="N735" s="94"/>
      <c r="O735" s="94"/>
      <c r="P735" s="94"/>
      <c r="Q735" s="94"/>
      <c r="R735" s="94"/>
      <c r="S735" s="94"/>
      <c r="T735" s="94"/>
      <c r="U735" s="94"/>
      <c r="V735" s="94"/>
      <c r="W735" s="94"/>
      <c r="X735" s="94"/>
      <c r="Y735" s="94"/>
      <c r="Z735" s="94"/>
      <c r="AA735" s="94"/>
      <c r="AB735" s="94"/>
      <c r="AC735" s="94"/>
      <c r="AD735" s="94"/>
      <c r="AE735" s="94"/>
      <c r="AF735" s="94"/>
      <c r="AG735" s="94"/>
      <c r="AH735" s="94"/>
      <c r="AI735" s="94"/>
      <c r="AJ735" s="94"/>
      <c r="AK735" s="94"/>
      <c r="AL735" s="94"/>
      <c r="AM735" s="94"/>
      <c r="AN735" s="94"/>
      <c r="AO735" s="94"/>
      <c r="AP735" s="94"/>
      <c r="AQ735" s="94"/>
      <c r="AR735" s="94"/>
      <c r="AS735" s="94"/>
      <c r="AT735" s="94"/>
      <c r="AU735" s="94"/>
      <c r="AV735" s="94"/>
      <c r="AW735" s="94"/>
      <c r="AX735" s="94"/>
      <c r="AY735" s="94"/>
      <c r="BA735" s="95"/>
    </row>
    <row r="736" spans="1:53" s="87" customFormat="1">
      <c r="A736" s="90" t="str">
        <f t="shared" si="36"/>
        <v/>
      </c>
      <c r="B736" s="98">
        <v>2</v>
      </c>
      <c r="C736" s="94">
        <v>1</v>
      </c>
      <c r="D736" s="94">
        <v>-6</v>
      </c>
      <c r="E736" s="94">
        <v>-4</v>
      </c>
      <c r="F736" s="94"/>
      <c r="G736" s="94"/>
      <c r="H736" s="94"/>
      <c r="I736" s="94"/>
      <c r="J736" s="94"/>
      <c r="K736" s="94"/>
      <c r="L736" s="94"/>
      <c r="M736" s="94"/>
      <c r="N736" s="94"/>
      <c r="O736" s="94"/>
      <c r="P736" s="94"/>
      <c r="Q736" s="94"/>
      <c r="R736" s="94"/>
      <c r="S736" s="94"/>
      <c r="T736" s="94"/>
      <c r="U736" s="94"/>
      <c r="V736" s="94"/>
      <c r="W736" s="94"/>
      <c r="X736" s="94"/>
      <c r="Y736" s="94"/>
      <c r="Z736" s="94"/>
      <c r="AA736" s="94"/>
      <c r="AB736" s="94"/>
      <c r="AC736" s="94"/>
      <c r="AD736" s="94"/>
      <c r="AE736" s="94"/>
      <c r="AF736" s="94"/>
      <c r="AG736" s="94"/>
      <c r="AH736" s="94"/>
      <c r="AI736" s="94"/>
      <c r="AJ736" s="94"/>
      <c r="AK736" s="94"/>
      <c r="AL736" s="94"/>
      <c r="AM736" s="94"/>
      <c r="AN736" s="94"/>
      <c r="AO736" s="94"/>
      <c r="AP736" s="94"/>
      <c r="AQ736" s="94"/>
      <c r="AR736" s="94"/>
      <c r="AS736" s="94"/>
      <c r="AT736" s="94"/>
      <c r="AU736" s="94"/>
      <c r="AV736" s="94"/>
      <c r="AW736" s="94"/>
      <c r="AX736" s="94"/>
      <c r="AY736" s="94"/>
      <c r="BA736" s="95"/>
    </row>
    <row r="737" spans="1:53" s="87" customFormat="1">
      <c r="A737" s="90" t="str">
        <f t="shared" si="36"/>
        <v/>
      </c>
      <c r="B737" s="98">
        <v>3</v>
      </c>
      <c r="C737" s="94">
        <v>-1</v>
      </c>
      <c r="D737" s="94">
        <v>-3</v>
      </c>
      <c r="E737" s="94">
        <v>5</v>
      </c>
      <c r="F737" s="94"/>
      <c r="G737" s="94"/>
      <c r="H737" s="94"/>
      <c r="I737" s="94"/>
      <c r="J737" s="94"/>
      <c r="K737" s="94"/>
      <c r="L737" s="94"/>
      <c r="M737" s="94"/>
      <c r="N737" s="94"/>
      <c r="O737" s="94"/>
      <c r="P737" s="94"/>
      <c r="Q737" s="94"/>
      <c r="R737" s="94"/>
      <c r="S737" s="94"/>
      <c r="T737" s="94"/>
      <c r="U737" s="94"/>
      <c r="V737" s="94"/>
      <c r="W737" s="94"/>
      <c r="X737" s="94"/>
      <c r="Y737" s="94"/>
      <c r="Z737" s="94"/>
      <c r="AA737" s="94"/>
      <c r="AB737" s="94"/>
      <c r="AC737" s="94"/>
      <c r="AD737" s="94"/>
      <c r="AE737" s="94"/>
      <c r="AF737" s="94"/>
      <c r="AG737" s="94"/>
      <c r="AH737" s="94"/>
      <c r="AI737" s="94"/>
      <c r="AJ737" s="94"/>
      <c r="AK737" s="94"/>
      <c r="AL737" s="94"/>
      <c r="AM737" s="94"/>
      <c r="AN737" s="94"/>
      <c r="AO737" s="94"/>
      <c r="AP737" s="94"/>
      <c r="AQ737" s="94"/>
      <c r="AR737" s="94"/>
      <c r="AS737" s="94"/>
      <c r="AT737" s="94"/>
      <c r="AU737" s="94"/>
      <c r="AV737" s="94"/>
      <c r="AW737" s="94"/>
      <c r="AX737" s="94"/>
      <c r="AY737" s="94"/>
      <c r="BA737" s="95"/>
    </row>
    <row r="738" spans="1:53" s="87" customFormat="1">
      <c r="A738" s="90" t="str">
        <f t="shared" si="36"/>
        <v/>
      </c>
      <c r="B738" s="99">
        <v>4</v>
      </c>
      <c r="C738" s="92">
        <v>7</v>
      </c>
      <c r="D738" s="92">
        <v>6</v>
      </c>
      <c r="E738" s="92">
        <v>-5</v>
      </c>
      <c r="F738" s="94"/>
      <c r="G738" s="94"/>
      <c r="H738" s="94"/>
      <c r="I738" s="94"/>
      <c r="J738" s="94"/>
      <c r="K738" s="94"/>
      <c r="L738" s="94"/>
      <c r="M738" s="94"/>
      <c r="N738" s="94"/>
      <c r="O738" s="94"/>
      <c r="P738" s="94"/>
      <c r="Q738" s="94"/>
      <c r="R738" s="94"/>
      <c r="S738" s="94"/>
      <c r="T738" s="94"/>
      <c r="U738" s="94"/>
      <c r="V738" s="94"/>
      <c r="W738" s="94"/>
      <c r="X738" s="94"/>
      <c r="Y738" s="94"/>
      <c r="Z738" s="94"/>
      <c r="AA738" s="94"/>
      <c r="AB738" s="94"/>
      <c r="AC738" s="94"/>
      <c r="AD738" s="94"/>
      <c r="AE738" s="94"/>
      <c r="AF738" s="94"/>
      <c r="AG738" s="94"/>
      <c r="AH738" s="94"/>
      <c r="AI738" s="94"/>
      <c r="AJ738" s="94"/>
      <c r="AK738" s="94"/>
      <c r="AL738" s="94"/>
      <c r="AM738" s="94"/>
      <c r="AN738" s="94"/>
      <c r="AO738" s="94"/>
      <c r="AP738" s="94"/>
      <c r="AQ738" s="94"/>
      <c r="AR738" s="94"/>
      <c r="AS738" s="94"/>
      <c r="AT738" s="94"/>
      <c r="AU738" s="94"/>
      <c r="AV738" s="94"/>
      <c r="AW738" s="94"/>
      <c r="AX738" s="94"/>
      <c r="AY738" s="94"/>
      <c r="BA738" s="95"/>
    </row>
    <row r="739" spans="1:53" s="87" customFormat="1">
      <c r="A739" s="90" t="str">
        <f t="shared" si="36"/>
        <v/>
      </c>
      <c r="B739" s="98">
        <v>5</v>
      </c>
      <c r="C739" s="94">
        <v>-5</v>
      </c>
      <c r="D739" s="94">
        <v>4</v>
      </c>
      <c r="E739" s="94">
        <v>3</v>
      </c>
      <c r="F739" s="94"/>
      <c r="G739" s="94"/>
      <c r="H739" s="94"/>
      <c r="I739" s="94"/>
      <c r="J739" s="94"/>
      <c r="K739" s="94"/>
      <c r="L739" s="94"/>
      <c r="M739" s="94"/>
      <c r="N739" s="94"/>
      <c r="O739" s="94"/>
      <c r="P739" s="94"/>
      <c r="Q739" s="94"/>
      <c r="R739" s="94"/>
      <c r="S739" s="94"/>
      <c r="T739" s="94"/>
      <c r="U739" s="94"/>
      <c r="V739" s="94"/>
      <c r="W739" s="94"/>
      <c r="X739" s="94"/>
      <c r="Y739" s="94"/>
      <c r="Z739" s="94"/>
      <c r="AA739" s="94"/>
      <c r="AB739" s="94"/>
      <c r="AC739" s="94"/>
      <c r="AD739" s="94"/>
      <c r="AE739" s="94"/>
      <c r="AF739" s="94"/>
      <c r="AG739" s="94"/>
      <c r="AH739" s="94"/>
      <c r="AI739" s="94"/>
      <c r="AJ739" s="94"/>
      <c r="AK739" s="94"/>
      <c r="AL739" s="94"/>
      <c r="AM739" s="94"/>
      <c r="AN739" s="94"/>
      <c r="AO739" s="94"/>
      <c r="AP739" s="94"/>
      <c r="AQ739" s="94"/>
      <c r="AR739" s="94"/>
      <c r="AS739" s="94"/>
      <c r="AT739" s="94"/>
      <c r="AU739" s="94"/>
      <c r="AV739" s="94"/>
      <c r="AW739" s="94"/>
      <c r="AX739" s="94"/>
      <c r="AY739" s="94"/>
      <c r="BA739" s="95"/>
    </row>
    <row r="740" spans="1:53" s="87" customFormat="1">
      <c r="A740" s="90" t="str">
        <f t="shared" si="36"/>
        <v/>
      </c>
      <c r="B740" s="98">
        <v>6</v>
      </c>
      <c r="C740" s="94">
        <v>2</v>
      </c>
      <c r="D740" s="94">
        <v>-7</v>
      </c>
      <c r="E740" s="94">
        <v>-3</v>
      </c>
      <c r="F740" s="94"/>
      <c r="G740" s="94"/>
      <c r="H740" s="94"/>
      <c r="I740" s="94"/>
      <c r="J740" s="94"/>
      <c r="K740" s="94"/>
      <c r="L740" s="94"/>
      <c r="M740" s="94"/>
      <c r="N740" s="94"/>
      <c r="O740" s="94"/>
      <c r="P740" s="94"/>
      <c r="Q740" s="94"/>
      <c r="R740" s="94"/>
      <c r="S740" s="94"/>
      <c r="T740" s="94"/>
      <c r="U740" s="94"/>
      <c r="V740" s="94"/>
      <c r="W740" s="94"/>
      <c r="X740" s="94"/>
      <c r="Y740" s="94"/>
      <c r="Z740" s="94"/>
      <c r="AA740" s="94"/>
      <c r="AB740" s="94"/>
      <c r="AC740" s="94"/>
      <c r="AD740" s="94"/>
      <c r="AE740" s="94"/>
      <c r="AF740" s="94"/>
      <c r="AG740" s="94"/>
      <c r="AH740" s="94"/>
      <c r="AI740" s="94"/>
      <c r="AJ740" s="94"/>
      <c r="AK740" s="94"/>
      <c r="AL740" s="94"/>
      <c r="AM740" s="94"/>
      <c r="AN740" s="94"/>
      <c r="AO740" s="94"/>
      <c r="AP740" s="94"/>
      <c r="AQ740" s="94"/>
      <c r="AR740" s="94"/>
      <c r="AS740" s="94"/>
      <c r="AT740" s="94"/>
      <c r="AU740" s="94"/>
      <c r="AV740" s="94"/>
      <c r="AW740" s="94"/>
      <c r="AX740" s="94"/>
      <c r="AY740" s="94"/>
      <c r="BA740" s="95"/>
    </row>
    <row r="741" spans="1:53" s="87" customFormat="1">
      <c r="A741" s="90" t="str">
        <f t="shared" si="36"/>
        <v/>
      </c>
      <c r="B741" s="98">
        <v>7</v>
      </c>
      <c r="C741" s="94">
        <v>-2</v>
      </c>
      <c r="D741" s="94">
        <v>-4</v>
      </c>
      <c r="E741" s="94">
        <v>6</v>
      </c>
      <c r="F741" s="94"/>
      <c r="G741" s="94"/>
      <c r="H741" s="94"/>
      <c r="I741" s="94"/>
      <c r="J741" s="94"/>
      <c r="K741" s="94"/>
      <c r="L741" s="94"/>
      <c r="M741" s="94"/>
      <c r="N741" s="94"/>
      <c r="O741" s="94"/>
      <c r="P741" s="94"/>
      <c r="Q741" s="94"/>
      <c r="R741" s="94"/>
      <c r="S741" s="94"/>
      <c r="T741" s="94"/>
      <c r="U741" s="94"/>
      <c r="V741" s="94"/>
      <c r="W741" s="94"/>
      <c r="X741" s="94"/>
      <c r="Y741" s="94"/>
      <c r="Z741" s="94"/>
      <c r="AA741" s="94"/>
      <c r="AB741" s="94"/>
      <c r="AC741" s="94"/>
      <c r="AD741" s="94"/>
      <c r="AE741" s="94"/>
      <c r="AF741" s="94"/>
      <c r="AG741" s="94"/>
      <c r="AH741" s="94"/>
      <c r="AI741" s="94"/>
      <c r="AJ741" s="94"/>
      <c r="AK741" s="94"/>
      <c r="AL741" s="94"/>
      <c r="AM741" s="94"/>
      <c r="AN741" s="94"/>
      <c r="AO741" s="94"/>
      <c r="AP741" s="94"/>
      <c r="AQ741" s="94"/>
      <c r="AR741" s="94"/>
      <c r="AS741" s="94"/>
      <c r="AT741" s="94"/>
      <c r="AU741" s="94"/>
      <c r="AV741" s="94"/>
      <c r="AW741" s="94"/>
      <c r="AX741" s="94"/>
      <c r="AY741" s="94"/>
      <c r="BA741" s="95"/>
    </row>
    <row r="742" spans="1:53" s="87" customFormat="1">
      <c r="A742" s="90" t="str">
        <f t="shared" si="36"/>
        <v/>
      </c>
      <c r="B742" s="99">
        <v>8</v>
      </c>
      <c r="C742" s="92">
        <v>5</v>
      </c>
      <c r="D742" s="92">
        <v>7</v>
      </c>
      <c r="E742" s="92">
        <v>-6</v>
      </c>
      <c r="F742" s="94"/>
      <c r="G742" s="94"/>
      <c r="H742" s="94"/>
      <c r="I742" s="94"/>
      <c r="J742" s="94"/>
      <c r="K742" s="94"/>
      <c r="L742" s="94"/>
      <c r="M742" s="94"/>
      <c r="N742" s="94"/>
      <c r="O742" s="94"/>
      <c r="P742" s="94"/>
      <c r="Q742" s="94"/>
      <c r="R742" s="94"/>
      <c r="S742" s="94"/>
      <c r="T742" s="94"/>
      <c r="U742" s="94"/>
      <c r="V742" s="94"/>
      <c r="W742" s="94"/>
      <c r="X742" s="94"/>
      <c r="Y742" s="94"/>
      <c r="Z742" s="94"/>
      <c r="AA742" s="94"/>
      <c r="AB742" s="94"/>
      <c r="AC742" s="94"/>
      <c r="AD742" s="94"/>
      <c r="AE742" s="94"/>
      <c r="AF742" s="94"/>
      <c r="AG742" s="94"/>
      <c r="AH742" s="94"/>
      <c r="AI742" s="94"/>
      <c r="AJ742" s="94"/>
      <c r="AK742" s="94"/>
      <c r="AL742" s="94"/>
      <c r="AM742" s="94"/>
      <c r="AN742" s="94"/>
      <c r="AO742" s="94"/>
      <c r="AP742" s="94"/>
      <c r="AQ742" s="94"/>
      <c r="AR742" s="94"/>
      <c r="AS742" s="94"/>
      <c r="AT742" s="94"/>
      <c r="AU742" s="94"/>
      <c r="AV742" s="94"/>
      <c r="AW742" s="94"/>
      <c r="AX742" s="94"/>
      <c r="AY742" s="94"/>
      <c r="BA742" s="95"/>
    </row>
    <row r="743" spans="1:53" s="87" customFormat="1">
      <c r="A743" s="90" t="str">
        <f t="shared" si="36"/>
        <v/>
      </c>
      <c r="B743" s="98">
        <v>9</v>
      </c>
      <c r="C743" s="94" t="s">
        <v>202</v>
      </c>
      <c r="D743" s="94">
        <v>-1</v>
      </c>
      <c r="E743" s="94">
        <v>2</v>
      </c>
      <c r="F743" s="94"/>
      <c r="G743" s="94"/>
      <c r="H743" s="94"/>
      <c r="I743" s="94"/>
      <c r="J743" s="94"/>
      <c r="K743" s="94"/>
      <c r="L743" s="94"/>
      <c r="M743" s="94"/>
      <c r="N743" s="94"/>
      <c r="O743" s="94"/>
      <c r="P743" s="94"/>
      <c r="Q743" s="94"/>
      <c r="R743" s="94"/>
      <c r="S743" s="94"/>
      <c r="T743" s="94"/>
      <c r="U743" s="94"/>
      <c r="V743" s="94"/>
      <c r="W743" s="94"/>
      <c r="X743" s="94"/>
      <c r="Y743" s="94"/>
      <c r="Z743" s="94"/>
      <c r="AA743" s="94"/>
      <c r="AB743" s="94"/>
      <c r="AC743" s="94"/>
      <c r="AD743" s="94"/>
      <c r="AE743" s="94"/>
      <c r="AF743" s="94"/>
      <c r="AG743" s="94"/>
      <c r="AH743" s="94"/>
      <c r="AI743" s="94"/>
      <c r="AJ743" s="94"/>
      <c r="AK743" s="94"/>
      <c r="AL743" s="94"/>
      <c r="AM743" s="94"/>
      <c r="AN743" s="94"/>
      <c r="AO743" s="94"/>
      <c r="AP743" s="94"/>
      <c r="AQ743" s="94"/>
      <c r="AR743" s="94"/>
      <c r="AS743" s="94"/>
      <c r="AT743" s="94"/>
      <c r="AU743" s="94"/>
      <c r="AV743" s="94"/>
      <c r="AW743" s="94"/>
      <c r="AX743" s="94"/>
      <c r="AY743" s="94"/>
      <c r="BA743" s="95"/>
    </row>
    <row r="744" spans="1:53" s="87" customFormat="1">
      <c r="A744" s="90" t="str">
        <f t="shared" si="36"/>
        <v/>
      </c>
      <c r="B744" s="98">
        <v>10</v>
      </c>
      <c r="C744" s="94">
        <v>4</v>
      </c>
      <c r="D744" s="94" t="s">
        <v>202</v>
      </c>
      <c r="E744" s="94">
        <v>-2</v>
      </c>
      <c r="F744" s="94"/>
      <c r="G744" s="94"/>
      <c r="H744" s="94"/>
      <c r="I744" s="94"/>
      <c r="J744" s="94"/>
      <c r="K744" s="94"/>
      <c r="L744" s="94"/>
      <c r="M744" s="94"/>
      <c r="N744" s="94"/>
      <c r="O744" s="94"/>
      <c r="P744" s="94"/>
      <c r="Q744" s="94"/>
      <c r="R744" s="94"/>
      <c r="S744" s="94"/>
      <c r="T744" s="94"/>
      <c r="U744" s="94"/>
      <c r="V744" s="94"/>
      <c r="W744" s="94"/>
      <c r="X744" s="94"/>
      <c r="Y744" s="94"/>
      <c r="Z744" s="94"/>
      <c r="AA744" s="94"/>
      <c r="AB744" s="94"/>
      <c r="AC744" s="94"/>
      <c r="AD744" s="94"/>
      <c r="AE744" s="94"/>
      <c r="AF744" s="94"/>
      <c r="AG744" s="94"/>
      <c r="AH744" s="94"/>
      <c r="AI744" s="94"/>
      <c r="AJ744" s="94"/>
      <c r="AK744" s="94"/>
      <c r="AL744" s="94"/>
      <c r="AM744" s="94"/>
      <c r="AN744" s="94"/>
      <c r="AO744" s="94"/>
      <c r="AP744" s="94"/>
      <c r="AQ744" s="94"/>
      <c r="AR744" s="94"/>
      <c r="AS744" s="94"/>
      <c r="AT744" s="94"/>
      <c r="AU744" s="94"/>
      <c r="AV744" s="94"/>
      <c r="AW744" s="94"/>
      <c r="AX744" s="94"/>
      <c r="AY744" s="94"/>
      <c r="BA744" s="95"/>
    </row>
    <row r="745" spans="1:53" s="87" customFormat="1">
      <c r="A745" s="90" t="str">
        <f t="shared" si="36"/>
        <v/>
      </c>
      <c r="B745" s="99">
        <v>11</v>
      </c>
      <c r="C745" s="92">
        <v>-4</v>
      </c>
      <c r="D745" s="92">
        <v>1</v>
      </c>
      <c r="E745" s="92" t="s">
        <v>202</v>
      </c>
      <c r="F745" s="94"/>
      <c r="G745" s="94"/>
      <c r="H745" s="94"/>
      <c r="I745" s="94"/>
      <c r="J745" s="94"/>
      <c r="K745" s="94"/>
      <c r="L745" s="94"/>
      <c r="M745" s="94"/>
      <c r="N745" s="94"/>
      <c r="O745" s="94"/>
      <c r="P745" s="94"/>
      <c r="Q745" s="94"/>
      <c r="R745" s="94"/>
      <c r="S745" s="94"/>
      <c r="T745" s="94"/>
      <c r="U745" s="94"/>
      <c r="V745" s="94"/>
      <c r="W745" s="94"/>
      <c r="X745" s="94"/>
      <c r="Y745" s="94"/>
      <c r="Z745" s="94"/>
      <c r="AA745" s="94"/>
      <c r="AB745" s="94"/>
      <c r="AC745" s="94"/>
      <c r="AD745" s="94"/>
      <c r="AE745" s="94"/>
      <c r="AF745" s="94"/>
      <c r="AG745" s="94"/>
      <c r="AH745" s="94"/>
      <c r="AI745" s="94"/>
      <c r="AJ745" s="94"/>
      <c r="AK745" s="94"/>
      <c r="AL745" s="94"/>
      <c r="AM745" s="94"/>
      <c r="AN745" s="94"/>
      <c r="AO745" s="94"/>
      <c r="AP745" s="94"/>
      <c r="AQ745" s="94"/>
      <c r="AR745" s="94"/>
      <c r="AS745" s="94"/>
      <c r="AT745" s="94"/>
      <c r="AU745" s="94"/>
      <c r="AV745" s="94"/>
      <c r="AW745" s="94"/>
      <c r="AX745" s="94"/>
      <c r="AY745" s="94"/>
      <c r="BA745" s="95"/>
    </row>
    <row r="746" spans="1:53" s="87" customFormat="1">
      <c r="A746" s="90" t="str">
        <f t="shared" si="36"/>
        <v/>
      </c>
      <c r="B746" s="98">
        <v>12</v>
      </c>
      <c r="C746" s="94" t="s">
        <v>202</v>
      </c>
      <c r="D746" s="94">
        <v>-5</v>
      </c>
      <c r="E746" s="94">
        <v>7</v>
      </c>
      <c r="F746" s="94"/>
      <c r="G746" s="94"/>
      <c r="H746" s="94"/>
      <c r="I746" s="94"/>
      <c r="J746" s="94"/>
      <c r="K746" s="94"/>
      <c r="L746" s="94"/>
      <c r="M746" s="94"/>
      <c r="N746" s="94"/>
      <c r="O746" s="94"/>
      <c r="P746" s="94"/>
      <c r="Q746" s="94"/>
      <c r="R746" s="94"/>
      <c r="S746" s="94"/>
      <c r="T746" s="94"/>
      <c r="U746" s="94"/>
      <c r="V746" s="94"/>
      <c r="W746" s="94"/>
      <c r="X746" s="94"/>
      <c r="Y746" s="94"/>
      <c r="Z746" s="94"/>
      <c r="AA746" s="94"/>
      <c r="AB746" s="94"/>
      <c r="AC746" s="94"/>
      <c r="AD746" s="94"/>
      <c r="AE746" s="94"/>
      <c r="AF746" s="94"/>
      <c r="AG746" s="94"/>
      <c r="AH746" s="94"/>
      <c r="AI746" s="94"/>
      <c r="AJ746" s="94"/>
      <c r="AK746" s="94"/>
      <c r="AL746" s="94"/>
      <c r="AM746" s="94"/>
      <c r="AN746" s="94"/>
      <c r="AO746" s="94"/>
      <c r="AP746" s="94"/>
      <c r="AQ746" s="94"/>
      <c r="AR746" s="94"/>
      <c r="AS746" s="94"/>
      <c r="AT746" s="94"/>
      <c r="AU746" s="94"/>
      <c r="AV746" s="94"/>
      <c r="AW746" s="94"/>
      <c r="AX746" s="94"/>
      <c r="AY746" s="94"/>
      <c r="BA746" s="95"/>
    </row>
    <row r="747" spans="1:53" s="87" customFormat="1">
      <c r="A747" s="90" t="str">
        <f t="shared" si="36"/>
        <v/>
      </c>
      <c r="B747" s="98">
        <v>13</v>
      </c>
      <c r="C747" s="94">
        <v>3</v>
      </c>
      <c r="D747" s="94" t="s">
        <v>202</v>
      </c>
      <c r="E747" s="94">
        <v>-7</v>
      </c>
      <c r="F747" s="94"/>
      <c r="G747" s="94"/>
      <c r="H747" s="94"/>
      <c r="I747" s="94"/>
      <c r="J747" s="94"/>
      <c r="K747" s="94"/>
      <c r="L747" s="94"/>
      <c r="M747" s="94"/>
      <c r="N747" s="94"/>
      <c r="O747" s="94"/>
      <c r="P747" s="94"/>
      <c r="Q747" s="94"/>
      <c r="R747" s="94"/>
      <c r="S747" s="94"/>
      <c r="T747" s="94"/>
      <c r="U747" s="94"/>
      <c r="V747" s="94"/>
      <c r="W747" s="94"/>
      <c r="X747" s="94"/>
      <c r="Y747" s="94"/>
      <c r="Z747" s="94"/>
      <c r="AA747" s="94"/>
      <c r="AB747" s="94"/>
      <c r="AC747" s="94"/>
      <c r="AD747" s="94"/>
      <c r="AE747" s="94"/>
      <c r="AF747" s="94"/>
      <c r="AG747" s="94"/>
      <c r="AH747" s="94"/>
      <c r="AI747" s="94"/>
      <c r="AJ747" s="94"/>
      <c r="AK747" s="94"/>
      <c r="AL747" s="94"/>
      <c r="AM747" s="94"/>
      <c r="AN747" s="94"/>
      <c r="AO747" s="94"/>
      <c r="AP747" s="94"/>
      <c r="AQ747" s="94"/>
      <c r="AR747" s="94"/>
      <c r="AS747" s="94"/>
      <c r="AT747" s="94"/>
      <c r="AU747" s="94"/>
      <c r="AV747" s="94"/>
      <c r="AW747" s="94"/>
      <c r="AX747" s="94"/>
      <c r="AY747" s="94"/>
      <c r="BA747" s="95"/>
    </row>
    <row r="748" spans="1:53" s="87" customFormat="1">
      <c r="A748" s="90" t="str">
        <f t="shared" si="36"/>
        <v/>
      </c>
      <c r="B748" s="99">
        <v>14</v>
      </c>
      <c r="C748" s="92">
        <v>-3</v>
      </c>
      <c r="D748" s="92">
        <v>5</v>
      </c>
      <c r="E748" s="92" t="s">
        <v>202</v>
      </c>
      <c r="F748" s="94"/>
      <c r="G748" s="94"/>
      <c r="H748" s="94"/>
      <c r="I748" s="94"/>
      <c r="J748" s="94"/>
      <c r="K748" s="94"/>
      <c r="L748" s="94"/>
      <c r="M748" s="94"/>
      <c r="N748" s="94"/>
      <c r="O748" s="94"/>
      <c r="P748" s="94"/>
      <c r="Q748" s="94"/>
      <c r="R748" s="94"/>
      <c r="S748" s="94"/>
      <c r="T748" s="94"/>
      <c r="U748" s="94"/>
      <c r="V748" s="94"/>
      <c r="W748" s="94"/>
      <c r="X748" s="94"/>
      <c r="Y748" s="94"/>
      <c r="Z748" s="94"/>
      <c r="AA748" s="94"/>
      <c r="AB748" s="94"/>
      <c r="AC748" s="94"/>
      <c r="AD748" s="94"/>
      <c r="AE748" s="94"/>
      <c r="AF748" s="94"/>
      <c r="AG748" s="94"/>
      <c r="AH748" s="94"/>
      <c r="AI748" s="94"/>
      <c r="AJ748" s="94"/>
      <c r="AK748" s="94"/>
      <c r="AL748" s="94"/>
      <c r="AM748" s="94"/>
      <c r="AN748" s="94"/>
      <c r="AO748" s="94"/>
      <c r="AP748" s="94"/>
      <c r="AQ748" s="94"/>
      <c r="AR748" s="94"/>
      <c r="AS748" s="94"/>
      <c r="AT748" s="94"/>
      <c r="AU748" s="94"/>
      <c r="AV748" s="94"/>
      <c r="AW748" s="94"/>
      <c r="AX748" s="94"/>
      <c r="AY748" s="94"/>
      <c r="BA748" s="95"/>
    </row>
    <row r="749" spans="1:53" s="87" customFormat="1">
      <c r="A749" s="90" t="str">
        <f t="shared" si="36"/>
        <v/>
      </c>
      <c r="B749" s="98">
        <v>15</v>
      </c>
      <c r="C749" s="94" t="s">
        <v>202</v>
      </c>
      <c r="D749" s="94">
        <v>-2</v>
      </c>
      <c r="E749" s="94">
        <v>1</v>
      </c>
      <c r="F749" s="94"/>
      <c r="G749" s="94"/>
      <c r="H749" s="94"/>
      <c r="I749" s="94"/>
      <c r="J749" s="94"/>
      <c r="K749" s="94"/>
      <c r="L749" s="94"/>
      <c r="M749" s="94"/>
      <c r="N749" s="94"/>
      <c r="O749" s="94"/>
      <c r="P749" s="94"/>
      <c r="Q749" s="94"/>
      <c r="R749" s="94"/>
      <c r="S749" s="94"/>
      <c r="T749" s="94"/>
      <c r="U749" s="94"/>
      <c r="V749" s="94"/>
      <c r="W749" s="94"/>
      <c r="X749" s="94"/>
      <c r="Y749" s="94"/>
      <c r="Z749" s="94"/>
      <c r="AA749" s="94"/>
      <c r="AB749" s="94"/>
      <c r="AC749" s="94"/>
      <c r="AD749" s="94"/>
      <c r="AE749" s="94"/>
      <c r="AF749" s="94"/>
      <c r="AG749" s="94"/>
      <c r="AH749" s="94"/>
      <c r="AI749" s="94"/>
      <c r="AJ749" s="94"/>
      <c r="AK749" s="94"/>
      <c r="AL749" s="94"/>
      <c r="AM749" s="94"/>
      <c r="AN749" s="94"/>
      <c r="AO749" s="94"/>
      <c r="AP749" s="94"/>
      <c r="AQ749" s="94"/>
      <c r="AR749" s="94"/>
      <c r="AS749" s="94"/>
      <c r="AT749" s="94"/>
      <c r="AU749" s="94"/>
      <c r="AV749" s="94"/>
      <c r="AW749" s="94"/>
      <c r="AX749" s="94"/>
      <c r="AY749" s="94"/>
      <c r="BA749" s="95"/>
    </row>
    <row r="750" spans="1:53" s="87" customFormat="1">
      <c r="A750" s="90" t="str">
        <f t="shared" si="36"/>
        <v/>
      </c>
      <c r="B750" s="98">
        <v>16</v>
      </c>
      <c r="C750" s="94">
        <v>6</v>
      </c>
      <c r="D750" s="94" t="s">
        <v>202</v>
      </c>
      <c r="E750" s="94">
        <v>-1</v>
      </c>
      <c r="F750" s="94"/>
      <c r="G750" s="94"/>
      <c r="H750" s="94"/>
      <c r="I750" s="94"/>
      <c r="J750" s="94"/>
      <c r="K750" s="94"/>
      <c r="L750" s="94"/>
      <c r="M750" s="94"/>
      <c r="N750" s="94"/>
      <c r="O750" s="94"/>
      <c r="P750" s="94"/>
      <c r="Q750" s="94"/>
      <c r="R750" s="94"/>
      <c r="S750" s="94"/>
      <c r="T750" s="94"/>
      <c r="U750" s="94"/>
      <c r="V750" s="94"/>
      <c r="W750" s="94"/>
      <c r="X750" s="94"/>
      <c r="Y750" s="94"/>
      <c r="Z750" s="94"/>
      <c r="AA750" s="94"/>
      <c r="AB750" s="94"/>
      <c r="AC750" s="94"/>
      <c r="AD750" s="94"/>
      <c r="AE750" s="94"/>
      <c r="AF750" s="94"/>
      <c r="AG750" s="94"/>
      <c r="AH750" s="94"/>
      <c r="AI750" s="94"/>
      <c r="AJ750" s="94"/>
      <c r="AK750" s="94"/>
      <c r="AL750" s="94"/>
      <c r="AM750" s="94"/>
      <c r="AN750" s="94"/>
      <c r="AO750" s="94"/>
      <c r="AP750" s="94"/>
      <c r="AQ750" s="94"/>
      <c r="AR750" s="94"/>
      <c r="AS750" s="94"/>
      <c r="AT750" s="94"/>
      <c r="AU750" s="94"/>
      <c r="AV750" s="94"/>
      <c r="AW750" s="94"/>
      <c r="AX750" s="94"/>
      <c r="AY750" s="94"/>
      <c r="BA750" s="95"/>
    </row>
    <row r="751" spans="1:53" s="87" customFormat="1">
      <c r="A751" s="90" t="str">
        <f t="shared" si="36"/>
        <v/>
      </c>
      <c r="B751" s="98">
        <v>17</v>
      </c>
      <c r="C751" s="94">
        <v>-6</v>
      </c>
      <c r="D751" s="94">
        <v>2</v>
      </c>
      <c r="E751" s="94" t="s">
        <v>202</v>
      </c>
      <c r="F751" s="94"/>
      <c r="G751" s="94"/>
      <c r="H751" s="94"/>
      <c r="I751" s="94"/>
      <c r="J751" s="94"/>
      <c r="K751" s="94"/>
      <c r="L751" s="94"/>
      <c r="M751" s="94"/>
      <c r="N751" s="94"/>
      <c r="O751" s="94"/>
      <c r="P751" s="94"/>
      <c r="Q751" s="94"/>
      <c r="R751" s="94"/>
      <c r="S751" s="94"/>
      <c r="T751" s="94"/>
      <c r="U751" s="94"/>
      <c r="V751" s="94"/>
      <c r="W751" s="94"/>
      <c r="X751" s="94"/>
      <c r="Y751" s="94"/>
      <c r="Z751" s="94"/>
      <c r="AA751" s="94"/>
      <c r="AB751" s="94"/>
      <c r="AC751" s="94"/>
      <c r="AD751" s="94"/>
      <c r="AE751" s="94"/>
      <c r="AF751" s="94"/>
      <c r="AG751" s="94"/>
      <c r="AH751" s="94"/>
      <c r="AI751" s="94"/>
      <c r="AJ751" s="94"/>
      <c r="AK751" s="94"/>
      <c r="AL751" s="94"/>
      <c r="AM751" s="94"/>
      <c r="AN751" s="94"/>
      <c r="AO751" s="94"/>
      <c r="AP751" s="94"/>
      <c r="AQ751" s="94"/>
      <c r="AR751" s="94"/>
      <c r="AS751" s="94"/>
      <c r="AT751" s="94"/>
      <c r="AU751" s="94"/>
      <c r="AV751" s="94"/>
      <c r="AW751" s="94"/>
      <c r="AX751" s="94"/>
      <c r="AY751" s="94"/>
      <c r="BA751" s="95"/>
    </row>
    <row r="752" spans="1:53" s="87" customFormat="1">
      <c r="A752" s="90" t="str">
        <f t="shared" si="36"/>
        <v/>
      </c>
      <c r="B752" s="98" t="s">
        <v>928</v>
      </c>
      <c r="C752" s="94"/>
      <c r="D752" s="94"/>
      <c r="E752" s="94"/>
      <c r="F752" s="94"/>
      <c r="G752" s="94"/>
      <c r="H752" s="94"/>
      <c r="I752" s="94"/>
      <c r="J752" s="94"/>
      <c r="K752" s="94"/>
      <c r="L752" s="94"/>
      <c r="M752" s="94"/>
      <c r="N752" s="94"/>
      <c r="O752" s="94"/>
      <c r="P752" s="94"/>
      <c r="Q752" s="94"/>
      <c r="R752" s="94"/>
      <c r="S752" s="94"/>
      <c r="T752" s="94"/>
      <c r="U752" s="94"/>
      <c r="V752" s="94"/>
      <c r="W752" s="94"/>
      <c r="X752" s="94"/>
      <c r="Y752" s="94"/>
      <c r="Z752" s="94"/>
      <c r="AA752" s="94"/>
      <c r="AB752" s="94"/>
      <c r="AC752" s="94"/>
      <c r="AD752" s="94"/>
      <c r="AE752" s="94"/>
      <c r="AF752" s="94"/>
      <c r="AG752" s="94"/>
      <c r="AH752" s="94"/>
      <c r="AI752" s="94"/>
      <c r="AJ752" s="94"/>
      <c r="AK752" s="94"/>
      <c r="AL752" s="94"/>
      <c r="AM752" s="94"/>
      <c r="AN752" s="94"/>
      <c r="AO752" s="94"/>
      <c r="AP752" s="94"/>
      <c r="AQ752" s="94"/>
      <c r="AR752" s="94"/>
      <c r="AS752" s="94"/>
      <c r="AT752" s="94"/>
      <c r="AU752" s="94"/>
      <c r="AV752" s="94"/>
      <c r="AW752" s="94"/>
      <c r="AX752" s="94"/>
      <c r="AY752" s="94"/>
      <c r="BA752" s="95"/>
    </row>
    <row r="753" spans="1:53" s="87" customFormat="1">
      <c r="A753" s="90" t="str">
        <f t="shared" si="36"/>
        <v/>
      </c>
      <c r="B753" s="98"/>
      <c r="C753" s="94"/>
      <c r="D753" s="94"/>
      <c r="E753" s="94"/>
      <c r="F753" s="94"/>
      <c r="G753" s="94"/>
      <c r="H753" s="94"/>
      <c r="I753" s="94"/>
      <c r="J753" s="94"/>
      <c r="K753" s="94"/>
      <c r="L753" s="94"/>
      <c r="M753" s="94"/>
      <c r="N753" s="94"/>
      <c r="O753" s="94"/>
      <c r="P753" s="94"/>
      <c r="Q753" s="94"/>
      <c r="R753" s="94"/>
      <c r="S753" s="94"/>
      <c r="T753" s="94"/>
      <c r="U753" s="94"/>
      <c r="V753" s="94"/>
      <c r="W753" s="94"/>
      <c r="X753" s="94"/>
      <c r="Y753" s="94"/>
      <c r="Z753" s="94"/>
      <c r="AA753" s="94"/>
      <c r="AB753" s="94"/>
      <c r="AC753" s="94"/>
      <c r="AD753" s="94"/>
      <c r="AE753" s="94"/>
      <c r="AF753" s="94"/>
      <c r="AG753" s="94"/>
      <c r="AH753" s="94"/>
      <c r="AI753" s="94"/>
      <c r="AJ753" s="94"/>
      <c r="AK753" s="94"/>
      <c r="AL753" s="94"/>
      <c r="AM753" s="94"/>
      <c r="AN753" s="94"/>
      <c r="AO753" s="94"/>
      <c r="AP753" s="94"/>
      <c r="AQ753" s="94"/>
      <c r="AR753" s="94"/>
      <c r="AS753" s="94"/>
      <c r="AT753" s="94"/>
      <c r="AU753" s="94"/>
      <c r="AV753" s="94"/>
      <c r="AW753" s="94"/>
      <c r="AX753" s="94"/>
      <c r="AY753" s="94"/>
      <c r="BA753" s="95"/>
    </row>
    <row r="754" spans="1:53" s="87" customFormat="1">
      <c r="A754" s="90" t="str">
        <f t="shared" si="36"/>
        <v/>
      </c>
      <c r="B754" s="98"/>
      <c r="C754" s="94"/>
      <c r="D754" s="94"/>
      <c r="E754" s="94"/>
      <c r="F754" s="94"/>
      <c r="G754" s="94"/>
      <c r="H754" s="94"/>
      <c r="I754" s="94"/>
      <c r="J754" s="94"/>
      <c r="K754" s="94"/>
      <c r="L754" s="94"/>
      <c r="M754" s="94"/>
      <c r="N754" s="94"/>
      <c r="O754" s="94"/>
      <c r="P754" s="94"/>
      <c r="Q754" s="94"/>
      <c r="R754" s="94"/>
      <c r="S754" s="94"/>
      <c r="T754" s="94"/>
      <c r="U754" s="94"/>
      <c r="V754" s="94"/>
      <c r="W754" s="94"/>
      <c r="X754" s="94"/>
      <c r="Y754" s="94"/>
      <c r="Z754" s="94"/>
      <c r="AA754" s="94"/>
      <c r="AB754" s="94"/>
      <c r="AC754" s="94"/>
      <c r="AD754" s="94"/>
      <c r="AE754" s="94"/>
      <c r="AF754" s="94"/>
      <c r="AG754" s="94"/>
      <c r="AH754" s="94"/>
      <c r="AI754" s="94"/>
      <c r="AJ754" s="94"/>
      <c r="AK754" s="94"/>
      <c r="AL754" s="94"/>
      <c r="AM754" s="94"/>
      <c r="AN754" s="94"/>
      <c r="AO754" s="94"/>
      <c r="AP754" s="94"/>
      <c r="AQ754" s="94"/>
      <c r="AR754" s="94"/>
      <c r="AS754" s="94"/>
      <c r="AT754" s="94"/>
      <c r="AU754" s="94"/>
      <c r="AV754" s="94"/>
      <c r="AW754" s="94"/>
      <c r="AX754" s="94"/>
      <c r="AY754" s="94"/>
      <c r="BA754" s="95"/>
    </row>
    <row r="755" spans="1:53" s="87" customFormat="1">
      <c r="A755" s="90" t="str">
        <f t="shared" si="36"/>
        <v/>
      </c>
      <c r="B755" s="98"/>
      <c r="C755" s="94"/>
      <c r="D755" s="94"/>
      <c r="E755" s="94"/>
      <c r="F755" s="94"/>
      <c r="G755" s="94"/>
      <c r="H755" s="94"/>
      <c r="I755" s="94"/>
      <c r="J755" s="94"/>
      <c r="K755" s="94"/>
      <c r="L755" s="94"/>
      <c r="M755" s="94"/>
      <c r="N755" s="94"/>
      <c r="O755" s="94"/>
      <c r="P755" s="94"/>
      <c r="Q755" s="94"/>
      <c r="R755" s="94"/>
      <c r="S755" s="94"/>
      <c r="T755" s="94"/>
      <c r="U755" s="94"/>
      <c r="V755" s="94"/>
      <c r="W755" s="94"/>
      <c r="X755" s="94"/>
      <c r="Y755" s="94"/>
      <c r="Z755" s="94"/>
      <c r="AA755" s="94"/>
      <c r="AB755" s="94"/>
      <c r="AC755" s="94"/>
      <c r="AD755" s="94"/>
      <c r="AE755" s="94"/>
      <c r="AF755" s="94"/>
      <c r="AG755" s="94"/>
      <c r="AH755" s="94"/>
      <c r="AI755" s="94"/>
      <c r="AJ755" s="94"/>
      <c r="AK755" s="94"/>
      <c r="AL755" s="94"/>
      <c r="AM755" s="94"/>
      <c r="AN755" s="94"/>
      <c r="AO755" s="94"/>
      <c r="AP755" s="94"/>
      <c r="AQ755" s="94"/>
      <c r="AR755" s="94"/>
      <c r="AS755" s="94"/>
      <c r="AT755" s="94"/>
      <c r="AU755" s="94"/>
      <c r="AV755" s="94"/>
      <c r="AW755" s="94"/>
      <c r="AX755" s="94"/>
      <c r="AY755" s="94"/>
      <c r="BA755" s="95"/>
    </row>
    <row r="756" spans="1:53" s="87" customFormat="1">
      <c r="A756" s="90" t="str">
        <f t="shared" si="36"/>
        <v/>
      </c>
      <c r="B756" s="98"/>
      <c r="C756" s="94"/>
      <c r="D756" s="94"/>
      <c r="E756" s="94"/>
      <c r="F756" s="94"/>
      <c r="G756" s="94"/>
      <c r="H756" s="94"/>
      <c r="I756" s="94"/>
      <c r="J756" s="94"/>
      <c r="K756" s="94"/>
      <c r="L756" s="94"/>
      <c r="M756" s="94"/>
      <c r="N756" s="94"/>
      <c r="O756" s="94"/>
      <c r="P756" s="94"/>
      <c r="Q756" s="94"/>
      <c r="R756" s="94"/>
      <c r="S756" s="94"/>
      <c r="T756" s="94"/>
      <c r="U756" s="94"/>
      <c r="V756" s="94"/>
      <c r="W756" s="94"/>
      <c r="X756" s="94"/>
      <c r="Y756" s="94"/>
      <c r="Z756" s="94"/>
      <c r="AA756" s="94"/>
      <c r="AB756" s="94"/>
      <c r="AC756" s="94"/>
      <c r="AD756" s="94"/>
      <c r="AE756" s="94"/>
      <c r="AF756" s="94"/>
      <c r="AG756" s="94"/>
      <c r="AH756" s="94"/>
      <c r="AI756" s="94"/>
      <c r="AJ756" s="94"/>
      <c r="AK756" s="94"/>
      <c r="AL756" s="94"/>
      <c r="AM756" s="94"/>
      <c r="AN756" s="94"/>
      <c r="AO756" s="94"/>
      <c r="AP756" s="94"/>
      <c r="AQ756" s="94"/>
      <c r="AR756" s="94"/>
      <c r="AS756" s="94"/>
      <c r="AT756" s="94"/>
      <c r="AU756" s="94"/>
      <c r="AV756" s="94"/>
      <c r="AW756" s="94"/>
      <c r="AX756" s="94"/>
      <c r="AY756" s="94"/>
      <c r="BA756" s="95"/>
    </row>
    <row r="757" spans="1:53" s="87" customFormat="1">
      <c r="A757" s="90" t="str">
        <f t="shared" si="36"/>
        <v/>
      </c>
      <c r="B757" s="98"/>
      <c r="C757" s="94"/>
      <c r="D757" s="94"/>
      <c r="E757" s="94"/>
      <c r="F757" s="94"/>
      <c r="G757" s="94"/>
      <c r="H757" s="94"/>
      <c r="I757" s="94"/>
      <c r="J757" s="94"/>
      <c r="K757" s="94"/>
      <c r="L757" s="94"/>
      <c r="M757" s="94"/>
      <c r="N757" s="94"/>
      <c r="O757" s="94"/>
      <c r="P757" s="94"/>
      <c r="Q757" s="94"/>
      <c r="R757" s="94"/>
      <c r="S757" s="94"/>
      <c r="T757" s="94"/>
      <c r="U757" s="94"/>
      <c r="V757" s="94"/>
      <c r="W757" s="94"/>
      <c r="X757" s="94"/>
      <c r="Y757" s="94"/>
      <c r="Z757" s="94"/>
      <c r="AA757" s="94"/>
      <c r="AB757" s="94"/>
      <c r="AC757" s="94"/>
      <c r="AD757" s="94"/>
      <c r="AE757" s="94"/>
      <c r="AF757" s="94"/>
      <c r="AG757" s="94"/>
      <c r="AH757" s="94"/>
      <c r="AI757" s="94"/>
      <c r="AJ757" s="94"/>
      <c r="AK757" s="94"/>
      <c r="AL757" s="94"/>
      <c r="AM757" s="94"/>
      <c r="AN757" s="94"/>
      <c r="AO757" s="94"/>
      <c r="AP757" s="94"/>
      <c r="AQ757" s="94"/>
      <c r="AR757" s="94"/>
      <c r="AS757" s="94"/>
      <c r="AT757" s="94"/>
      <c r="AU757" s="94"/>
      <c r="AV757" s="94"/>
      <c r="AW757" s="94"/>
      <c r="AX757" s="94"/>
      <c r="AY757" s="94"/>
      <c r="BA757" s="95"/>
    </row>
    <row r="758" spans="1:53" s="87" customFormat="1">
      <c r="A758" s="90" t="str">
        <f t="shared" si="36"/>
        <v/>
      </c>
      <c r="B758" s="98"/>
      <c r="C758" s="94"/>
      <c r="D758" s="94"/>
      <c r="E758" s="94"/>
      <c r="F758" s="94"/>
      <c r="G758" s="94"/>
      <c r="H758" s="94"/>
      <c r="I758" s="94"/>
      <c r="J758" s="94"/>
      <c r="K758" s="94"/>
      <c r="L758" s="94"/>
      <c r="M758" s="94"/>
      <c r="N758" s="94"/>
      <c r="O758" s="94"/>
      <c r="P758" s="94"/>
      <c r="Q758" s="94"/>
      <c r="R758" s="94"/>
      <c r="S758" s="94"/>
      <c r="T758" s="94"/>
      <c r="U758" s="94"/>
      <c r="V758" s="94"/>
      <c r="W758" s="94"/>
      <c r="X758" s="94"/>
      <c r="Y758" s="94"/>
      <c r="Z758" s="94"/>
      <c r="AA758" s="94"/>
      <c r="AB758" s="94"/>
      <c r="AC758" s="94"/>
      <c r="AD758" s="94"/>
      <c r="AE758" s="94"/>
      <c r="AF758" s="94"/>
      <c r="AG758" s="94"/>
      <c r="AH758" s="94"/>
      <c r="AI758" s="94"/>
      <c r="AJ758" s="94"/>
      <c r="AK758" s="94"/>
      <c r="AL758" s="94"/>
      <c r="AM758" s="94"/>
      <c r="AN758" s="94"/>
      <c r="AO758" s="94"/>
      <c r="AP758" s="94"/>
      <c r="AQ758" s="94"/>
      <c r="AR758" s="94"/>
      <c r="AS758" s="94"/>
      <c r="AT758" s="94"/>
      <c r="AU758" s="94"/>
      <c r="AV758" s="94"/>
      <c r="AW758" s="94"/>
      <c r="AX758" s="94"/>
      <c r="AY758" s="94"/>
      <c r="BA758" s="95"/>
    </row>
    <row r="759" spans="1:53" s="87" customFormat="1">
      <c r="A759" s="90" t="str">
        <f t="shared" si="36"/>
        <v/>
      </c>
      <c r="B759" s="98"/>
      <c r="C759" s="94"/>
      <c r="D759" s="94"/>
      <c r="E759" s="94"/>
      <c r="F759" s="94"/>
      <c r="G759" s="94"/>
      <c r="H759" s="94"/>
      <c r="I759" s="94"/>
      <c r="J759" s="94"/>
      <c r="K759" s="94"/>
      <c r="L759" s="94"/>
      <c r="M759" s="94"/>
      <c r="N759" s="94"/>
      <c r="O759" s="94"/>
      <c r="P759" s="94"/>
      <c r="Q759" s="94"/>
      <c r="R759" s="94"/>
      <c r="S759" s="94"/>
      <c r="T759" s="94"/>
      <c r="U759" s="94"/>
      <c r="V759" s="94"/>
      <c r="W759" s="94"/>
      <c r="X759" s="94"/>
      <c r="Y759" s="94"/>
      <c r="Z759" s="94"/>
      <c r="AA759" s="94"/>
      <c r="AB759" s="94"/>
      <c r="AC759" s="94"/>
      <c r="AD759" s="94"/>
      <c r="AE759" s="94"/>
      <c r="AF759" s="94"/>
      <c r="AG759" s="94"/>
      <c r="AH759" s="94"/>
      <c r="AI759" s="94"/>
      <c r="AJ759" s="94"/>
      <c r="AK759" s="94"/>
      <c r="AL759" s="94"/>
      <c r="AM759" s="94"/>
      <c r="AN759" s="94"/>
      <c r="AO759" s="94"/>
      <c r="AP759" s="94"/>
      <c r="AQ759" s="94"/>
      <c r="AR759" s="94"/>
      <c r="AS759" s="94"/>
      <c r="AT759" s="94"/>
      <c r="AU759" s="94"/>
      <c r="AV759" s="94"/>
      <c r="AW759" s="94"/>
      <c r="AX759" s="94"/>
      <c r="AY759" s="94"/>
      <c r="BA759" s="95"/>
    </row>
    <row r="760" spans="1:53" s="87" customFormat="1">
      <c r="A760" s="90" t="str">
        <f t="shared" si="36"/>
        <v/>
      </c>
      <c r="B760" s="98"/>
      <c r="C760" s="94"/>
      <c r="D760" s="94"/>
      <c r="E760" s="94"/>
      <c r="F760" s="94"/>
      <c r="G760" s="94"/>
      <c r="H760" s="94"/>
      <c r="I760" s="94"/>
      <c r="J760" s="94"/>
      <c r="K760" s="94"/>
      <c r="L760" s="94"/>
      <c r="M760" s="94"/>
      <c r="N760" s="94"/>
      <c r="O760" s="94"/>
      <c r="P760" s="94"/>
      <c r="Q760" s="94"/>
      <c r="R760" s="94"/>
      <c r="S760" s="94"/>
      <c r="T760" s="94"/>
      <c r="U760" s="94"/>
      <c r="V760" s="94"/>
      <c r="W760" s="94"/>
      <c r="X760" s="94"/>
      <c r="Y760" s="94"/>
      <c r="Z760" s="94"/>
      <c r="AA760" s="94"/>
      <c r="AB760" s="94"/>
      <c r="AC760" s="94"/>
      <c r="AD760" s="94"/>
      <c r="AE760" s="94"/>
      <c r="AF760" s="94"/>
      <c r="AG760" s="94"/>
      <c r="AH760" s="94"/>
      <c r="AI760" s="94"/>
      <c r="AJ760" s="94"/>
      <c r="AK760" s="94"/>
      <c r="AL760" s="94"/>
      <c r="AM760" s="94"/>
      <c r="AN760" s="94"/>
      <c r="AO760" s="94"/>
      <c r="AP760" s="94"/>
      <c r="AQ760" s="94"/>
      <c r="AR760" s="94"/>
      <c r="AS760" s="94"/>
      <c r="AT760" s="94"/>
      <c r="AU760" s="94"/>
      <c r="AV760" s="94"/>
      <c r="AW760" s="94"/>
      <c r="AX760" s="94"/>
      <c r="AY760" s="94"/>
      <c r="BA760" s="95"/>
    </row>
    <row r="761" spans="1:53" s="87" customFormat="1">
      <c r="A761" s="90" t="str">
        <f t="shared" si="36"/>
        <v/>
      </c>
      <c r="B761" s="317"/>
      <c r="C761" s="94"/>
      <c r="D761" s="94"/>
      <c r="E761" s="94"/>
      <c r="F761" s="94"/>
      <c r="G761" s="94"/>
      <c r="H761" s="94"/>
      <c r="I761" s="94"/>
      <c r="J761" s="94"/>
      <c r="K761" s="94"/>
      <c r="L761" s="94"/>
      <c r="M761" s="94"/>
      <c r="N761" s="94"/>
      <c r="O761" s="94"/>
      <c r="P761" s="94"/>
      <c r="Q761" s="94"/>
      <c r="R761" s="94"/>
      <c r="S761" s="94"/>
      <c r="T761" s="94"/>
      <c r="U761" s="94"/>
      <c r="V761" s="94"/>
      <c r="W761" s="94"/>
      <c r="X761" s="94"/>
      <c r="Y761" s="94"/>
      <c r="Z761" s="94"/>
      <c r="AA761" s="94"/>
      <c r="AB761" s="94"/>
      <c r="AC761" s="94"/>
      <c r="AD761" s="94"/>
      <c r="AE761" s="94"/>
      <c r="AF761" s="94"/>
      <c r="AG761" s="94"/>
      <c r="AH761" s="94"/>
      <c r="AI761" s="94"/>
      <c r="AJ761" s="94"/>
      <c r="AK761" s="94"/>
      <c r="AL761" s="94"/>
      <c r="AM761" s="94"/>
      <c r="AN761" s="94"/>
      <c r="AO761" s="94"/>
      <c r="AP761" s="94"/>
      <c r="AQ761" s="94"/>
      <c r="AR761" s="94"/>
      <c r="AS761" s="94"/>
      <c r="AT761" s="94"/>
      <c r="AU761" s="94"/>
      <c r="AV761" s="94"/>
      <c r="AW761" s="94"/>
      <c r="AX761" s="94"/>
      <c r="AY761" s="94"/>
      <c r="BA761" s="95"/>
    </row>
    <row r="762" spans="1:53" s="87" customFormat="1">
      <c r="A762" s="90" t="str">
        <f t="shared" si="36"/>
        <v/>
      </c>
      <c r="B762" s="98"/>
      <c r="C762" s="94"/>
      <c r="D762" s="94"/>
      <c r="E762" s="94"/>
      <c r="F762" s="94"/>
      <c r="G762" s="94"/>
      <c r="H762" s="94"/>
      <c r="I762" s="94"/>
      <c r="J762" s="94"/>
      <c r="K762" s="94"/>
      <c r="L762" s="94"/>
      <c r="M762" s="94"/>
      <c r="N762" s="94"/>
      <c r="O762" s="94"/>
      <c r="P762" s="94"/>
      <c r="Q762" s="94"/>
      <c r="R762" s="94"/>
      <c r="S762" s="94"/>
      <c r="T762" s="94"/>
      <c r="U762" s="94"/>
      <c r="V762" s="94"/>
      <c r="W762" s="94"/>
      <c r="X762" s="94"/>
      <c r="Y762" s="94"/>
      <c r="Z762" s="94"/>
      <c r="AA762" s="94"/>
      <c r="AB762" s="94"/>
      <c r="AC762" s="94"/>
      <c r="AD762" s="94"/>
      <c r="AE762" s="94"/>
      <c r="AF762" s="94"/>
      <c r="AG762" s="94"/>
      <c r="AH762" s="94"/>
      <c r="AI762" s="94"/>
      <c r="AJ762" s="94"/>
      <c r="AK762" s="94"/>
      <c r="AL762" s="94"/>
      <c r="AM762" s="94"/>
      <c r="AN762" s="94"/>
      <c r="AO762" s="94"/>
      <c r="AP762" s="94"/>
      <c r="AQ762" s="94"/>
      <c r="AR762" s="94"/>
      <c r="AS762" s="94"/>
      <c r="AT762" s="94"/>
      <c r="AU762" s="94"/>
      <c r="AV762" s="94"/>
      <c r="AW762" s="94"/>
      <c r="AX762" s="94"/>
      <c r="AY762" s="94"/>
      <c r="BA762" s="95"/>
    </row>
    <row r="763" spans="1:53" s="87" customFormat="1">
      <c r="A763" s="90" t="str">
        <f t="shared" si="36"/>
        <v/>
      </c>
      <c r="B763" s="98"/>
      <c r="C763" s="94"/>
      <c r="D763" s="94"/>
      <c r="E763" s="94"/>
      <c r="F763" s="94"/>
      <c r="G763" s="94"/>
      <c r="H763" s="94"/>
      <c r="I763" s="94"/>
      <c r="J763" s="94"/>
      <c r="K763" s="94"/>
      <c r="L763" s="94"/>
      <c r="M763" s="94"/>
      <c r="N763" s="94"/>
      <c r="O763" s="94"/>
      <c r="P763" s="94"/>
      <c r="Q763" s="94"/>
      <c r="R763" s="94"/>
      <c r="S763" s="94"/>
      <c r="T763" s="94"/>
      <c r="U763" s="94"/>
      <c r="V763" s="94"/>
      <c r="W763" s="94"/>
      <c r="X763" s="94"/>
      <c r="Y763" s="94"/>
      <c r="Z763" s="94"/>
      <c r="AA763" s="94"/>
      <c r="AB763" s="94"/>
      <c r="AC763" s="94"/>
      <c r="AD763" s="94"/>
      <c r="AE763" s="94"/>
      <c r="AF763" s="94"/>
      <c r="AG763" s="94"/>
      <c r="AH763" s="94"/>
      <c r="AI763" s="94"/>
      <c r="AJ763" s="94"/>
      <c r="AK763" s="94"/>
      <c r="AL763" s="94"/>
      <c r="AM763" s="94"/>
      <c r="AN763" s="94"/>
      <c r="AO763" s="94"/>
      <c r="AP763" s="94"/>
      <c r="AQ763" s="94"/>
      <c r="AR763" s="94"/>
      <c r="AS763" s="94"/>
      <c r="AT763" s="94"/>
      <c r="AU763" s="94"/>
      <c r="AV763" s="94"/>
      <c r="AW763" s="94"/>
      <c r="AX763" s="94"/>
      <c r="AY763" s="94"/>
      <c r="BA763" s="95"/>
    </row>
    <row r="764" spans="1:53" s="87" customFormat="1">
      <c r="A764" s="90" t="str">
        <f t="shared" si="36"/>
        <v/>
      </c>
      <c r="B764" s="98"/>
      <c r="C764" s="94"/>
      <c r="D764" s="94"/>
      <c r="E764" s="94"/>
      <c r="F764" s="94"/>
      <c r="G764" s="94"/>
      <c r="H764" s="94"/>
      <c r="I764" s="94"/>
      <c r="J764" s="94"/>
      <c r="K764" s="94"/>
      <c r="L764" s="94"/>
      <c r="M764" s="94"/>
      <c r="N764" s="94"/>
      <c r="O764" s="94"/>
      <c r="P764" s="94"/>
      <c r="Q764" s="94"/>
      <c r="R764" s="94"/>
      <c r="S764" s="94"/>
      <c r="T764" s="94"/>
      <c r="U764" s="94"/>
      <c r="V764" s="94"/>
      <c r="W764" s="94"/>
      <c r="X764" s="94"/>
      <c r="Y764" s="94"/>
      <c r="Z764" s="94"/>
      <c r="AA764" s="94"/>
      <c r="AB764" s="94"/>
      <c r="AC764" s="94"/>
      <c r="AD764" s="94"/>
      <c r="AE764" s="94"/>
      <c r="AF764" s="94"/>
      <c r="AG764" s="94"/>
      <c r="AH764" s="94"/>
      <c r="AI764" s="94"/>
      <c r="AJ764" s="94"/>
      <c r="AK764" s="94"/>
      <c r="AL764" s="94"/>
      <c r="AM764" s="94"/>
      <c r="AN764" s="94"/>
      <c r="AO764" s="94"/>
      <c r="AP764" s="94"/>
      <c r="AQ764" s="94"/>
      <c r="AR764" s="94"/>
      <c r="AS764" s="94"/>
      <c r="AT764" s="94"/>
      <c r="AU764" s="94"/>
      <c r="AV764" s="94"/>
      <c r="AW764" s="94"/>
      <c r="AX764" s="94"/>
      <c r="AY764" s="94"/>
      <c r="BA764" s="95"/>
    </row>
    <row r="765" spans="1:53" s="87" customFormat="1">
      <c r="A765" s="90" t="str">
        <f t="shared" si="36"/>
        <v/>
      </c>
      <c r="B765" s="98"/>
      <c r="C765" s="94"/>
      <c r="D765" s="94"/>
      <c r="E765" s="94"/>
      <c r="F765" s="94"/>
      <c r="G765" s="94"/>
      <c r="H765" s="94"/>
      <c r="I765" s="94"/>
      <c r="J765" s="94"/>
      <c r="K765" s="94"/>
      <c r="L765" s="94"/>
      <c r="M765" s="94"/>
      <c r="N765" s="94"/>
      <c r="O765" s="94"/>
      <c r="P765" s="94"/>
      <c r="Q765" s="94"/>
      <c r="R765" s="94"/>
      <c r="S765" s="94"/>
      <c r="T765" s="94"/>
      <c r="U765" s="94"/>
      <c r="V765" s="94"/>
      <c r="W765" s="94"/>
      <c r="X765" s="94"/>
      <c r="Y765" s="94"/>
      <c r="Z765" s="94"/>
      <c r="AA765" s="94"/>
      <c r="AB765" s="94"/>
      <c r="AC765" s="94"/>
      <c r="AD765" s="94"/>
      <c r="AE765" s="94"/>
      <c r="AF765" s="94"/>
      <c r="AG765" s="94"/>
      <c r="AH765" s="94"/>
      <c r="AI765" s="94"/>
      <c r="AJ765" s="94"/>
      <c r="AK765" s="94"/>
      <c r="AL765" s="94"/>
      <c r="AM765" s="94"/>
      <c r="AN765" s="94"/>
      <c r="AO765" s="94"/>
      <c r="AP765" s="94"/>
      <c r="AQ765" s="94"/>
      <c r="AR765" s="94"/>
      <c r="AS765" s="94"/>
      <c r="AT765" s="94"/>
      <c r="AU765" s="94"/>
      <c r="AV765" s="94"/>
      <c r="AW765" s="94"/>
      <c r="AX765" s="94"/>
      <c r="AY765" s="94"/>
      <c r="BA765" s="95"/>
    </row>
    <row r="766" spans="1:53" s="87" customFormat="1">
      <c r="A766" s="90" t="str">
        <f t="shared" si="36"/>
        <v/>
      </c>
      <c r="B766" s="98"/>
      <c r="C766" s="94"/>
      <c r="D766" s="94"/>
      <c r="E766" s="94"/>
      <c r="F766" s="94"/>
      <c r="G766" s="94"/>
      <c r="H766" s="94"/>
      <c r="I766" s="94"/>
      <c r="J766" s="94"/>
      <c r="K766" s="94"/>
      <c r="L766" s="94"/>
      <c r="M766" s="94"/>
      <c r="N766" s="94"/>
      <c r="O766" s="94"/>
      <c r="P766" s="94"/>
      <c r="Q766" s="94"/>
      <c r="R766" s="94"/>
      <c r="S766" s="94"/>
      <c r="T766" s="94"/>
      <c r="U766" s="94"/>
      <c r="V766" s="94"/>
      <c r="W766" s="94"/>
      <c r="X766" s="94"/>
      <c r="Y766" s="94"/>
      <c r="Z766" s="94"/>
      <c r="AA766" s="94"/>
      <c r="AB766" s="94"/>
      <c r="AC766" s="94"/>
      <c r="AD766" s="94"/>
      <c r="AE766" s="94"/>
      <c r="AF766" s="94"/>
      <c r="AG766" s="94"/>
      <c r="AH766" s="94"/>
      <c r="AI766" s="94"/>
      <c r="AJ766" s="94"/>
      <c r="AK766" s="94"/>
      <c r="AL766" s="94"/>
      <c r="AM766" s="94"/>
      <c r="AN766" s="94"/>
      <c r="AO766" s="94"/>
      <c r="AP766" s="94"/>
      <c r="AQ766" s="94"/>
      <c r="AR766" s="94"/>
      <c r="AS766" s="94"/>
      <c r="AT766" s="94"/>
      <c r="AU766" s="94"/>
      <c r="AV766" s="94"/>
      <c r="AW766" s="94"/>
      <c r="AX766" s="94"/>
      <c r="AY766" s="94"/>
      <c r="BA766" s="95"/>
    </row>
    <row r="767" spans="1:53" s="87" customFormat="1">
      <c r="A767" s="90" t="str">
        <f t="shared" si="36"/>
        <v/>
      </c>
      <c r="B767" s="98"/>
      <c r="C767" s="94"/>
      <c r="D767" s="94"/>
      <c r="E767" s="94"/>
      <c r="F767" s="94"/>
      <c r="G767" s="94"/>
      <c r="H767" s="94"/>
      <c r="I767" s="94"/>
      <c r="J767" s="94"/>
      <c r="K767" s="94"/>
      <c r="L767" s="94"/>
      <c r="M767" s="94"/>
      <c r="N767" s="94"/>
      <c r="O767" s="94"/>
      <c r="P767" s="94"/>
      <c r="Q767" s="94"/>
      <c r="R767" s="94"/>
      <c r="S767" s="94"/>
      <c r="T767" s="94"/>
      <c r="U767" s="94"/>
      <c r="V767" s="94"/>
      <c r="W767" s="94"/>
      <c r="X767" s="94"/>
      <c r="Y767" s="94"/>
      <c r="Z767" s="94"/>
      <c r="AA767" s="94"/>
      <c r="AB767" s="94"/>
      <c r="AC767" s="94"/>
      <c r="AD767" s="94"/>
      <c r="AE767" s="94"/>
      <c r="AF767" s="94"/>
      <c r="AG767" s="94"/>
      <c r="AH767" s="94"/>
      <c r="AI767" s="94"/>
      <c r="AJ767" s="94"/>
      <c r="AK767" s="94"/>
      <c r="AL767" s="94"/>
      <c r="AM767" s="94"/>
      <c r="AN767" s="94"/>
      <c r="AO767" s="94"/>
      <c r="AP767" s="94"/>
      <c r="AQ767" s="94"/>
      <c r="AR767" s="94"/>
      <c r="AS767" s="94"/>
      <c r="AT767" s="94"/>
      <c r="AU767" s="94"/>
      <c r="AV767" s="94"/>
      <c r="AW767" s="94"/>
      <c r="AX767" s="94"/>
      <c r="AY767" s="94"/>
      <c r="BA767" s="95"/>
    </row>
    <row r="768" spans="1:53" s="87" customFormat="1">
      <c r="A768" s="90" t="str">
        <f t="shared" si="36"/>
        <v/>
      </c>
      <c r="B768" s="98"/>
      <c r="C768" s="94"/>
      <c r="D768" s="94"/>
      <c r="E768" s="94"/>
      <c r="F768" s="94"/>
      <c r="G768" s="94"/>
      <c r="H768" s="94"/>
      <c r="I768" s="94"/>
      <c r="J768" s="94"/>
      <c r="K768" s="94"/>
      <c r="L768" s="94"/>
      <c r="M768" s="94"/>
      <c r="N768" s="94"/>
      <c r="O768" s="94"/>
      <c r="P768" s="94"/>
      <c r="Q768" s="94"/>
      <c r="R768" s="94"/>
      <c r="S768" s="94"/>
      <c r="T768" s="94"/>
      <c r="U768" s="94"/>
      <c r="V768" s="94"/>
      <c r="W768" s="94"/>
      <c r="X768" s="94"/>
      <c r="Y768" s="94"/>
      <c r="Z768" s="94"/>
      <c r="AA768" s="94"/>
      <c r="AB768" s="94"/>
      <c r="AC768" s="94"/>
      <c r="AD768" s="94"/>
      <c r="AE768" s="94"/>
      <c r="AF768" s="94"/>
      <c r="AG768" s="94"/>
      <c r="AH768" s="94"/>
      <c r="AI768" s="94"/>
      <c r="AJ768" s="94"/>
      <c r="AK768" s="94"/>
      <c r="AL768" s="94"/>
      <c r="AM768" s="94"/>
      <c r="AN768" s="94"/>
      <c r="AO768" s="94"/>
      <c r="AP768" s="94"/>
      <c r="AQ768" s="94"/>
      <c r="AR768" s="94"/>
      <c r="AS768" s="94"/>
      <c r="AT768" s="94"/>
      <c r="AU768" s="94"/>
      <c r="AV768" s="94"/>
      <c r="AW768" s="94"/>
      <c r="AX768" s="94"/>
      <c r="AY768" s="94"/>
      <c r="BA768" s="95"/>
    </row>
    <row r="769" spans="1:53" s="87" customFormat="1">
      <c r="A769" s="90" t="str">
        <f t="shared" si="36"/>
        <v/>
      </c>
      <c r="B769" s="98"/>
      <c r="C769" s="94"/>
      <c r="D769" s="94"/>
      <c r="E769" s="94"/>
      <c r="F769" s="94"/>
      <c r="G769" s="94"/>
      <c r="H769" s="94"/>
      <c r="I769" s="94"/>
      <c r="J769" s="94"/>
      <c r="K769" s="94"/>
      <c r="L769" s="94"/>
      <c r="M769" s="94"/>
      <c r="N769" s="94"/>
      <c r="O769" s="94"/>
      <c r="P769" s="94"/>
      <c r="Q769" s="94"/>
      <c r="R769" s="94"/>
      <c r="S769" s="94"/>
      <c r="T769" s="94"/>
      <c r="U769" s="94"/>
      <c r="V769" s="94"/>
      <c r="W769" s="94"/>
      <c r="X769" s="94"/>
      <c r="Y769" s="94"/>
      <c r="Z769" s="94"/>
      <c r="AA769" s="94"/>
      <c r="AB769" s="94"/>
      <c r="AC769" s="94"/>
      <c r="AD769" s="94"/>
      <c r="AE769" s="94"/>
      <c r="AF769" s="94"/>
      <c r="AG769" s="94"/>
      <c r="AH769" s="94"/>
      <c r="AI769" s="94"/>
      <c r="AJ769" s="94"/>
      <c r="AK769" s="94"/>
      <c r="AL769" s="94"/>
      <c r="AM769" s="94"/>
      <c r="AN769" s="94"/>
      <c r="AO769" s="94"/>
      <c r="AP769" s="94"/>
      <c r="AQ769" s="94"/>
      <c r="AR769" s="94"/>
      <c r="AS769" s="94"/>
      <c r="AT769" s="94"/>
      <c r="AU769" s="94"/>
      <c r="AV769" s="94"/>
      <c r="AW769" s="94"/>
      <c r="AX769" s="94"/>
      <c r="AY769" s="94"/>
      <c r="BA769" s="95"/>
    </row>
    <row r="770" spans="1:53" s="87" customFormat="1">
      <c r="A770" s="90" t="str">
        <f t="shared" si="36"/>
        <v/>
      </c>
      <c r="B770" s="98"/>
      <c r="C770" s="94"/>
      <c r="D770" s="94"/>
      <c r="E770" s="94"/>
      <c r="F770" s="94"/>
      <c r="G770" s="94"/>
      <c r="H770" s="94"/>
      <c r="I770" s="94"/>
      <c r="J770" s="94"/>
      <c r="K770" s="94"/>
      <c r="L770" s="94"/>
      <c r="M770" s="94"/>
      <c r="N770" s="94"/>
      <c r="O770" s="94"/>
      <c r="P770" s="94"/>
      <c r="Q770" s="94"/>
      <c r="R770" s="94"/>
      <c r="S770" s="94"/>
      <c r="T770" s="94"/>
      <c r="U770" s="94"/>
      <c r="V770" s="94"/>
      <c r="W770" s="94"/>
      <c r="X770" s="94"/>
      <c r="Y770" s="94"/>
      <c r="Z770" s="94"/>
      <c r="AA770" s="94"/>
      <c r="AB770" s="94"/>
      <c r="AC770" s="94"/>
      <c r="AD770" s="94"/>
      <c r="AE770" s="94"/>
      <c r="AF770" s="94"/>
      <c r="AG770" s="94"/>
      <c r="AH770" s="94"/>
      <c r="AI770" s="94"/>
      <c r="AJ770" s="94"/>
      <c r="AK770" s="94"/>
      <c r="AL770" s="94"/>
      <c r="AM770" s="94"/>
      <c r="AN770" s="94"/>
      <c r="AO770" s="94"/>
      <c r="AP770" s="94"/>
      <c r="AQ770" s="94"/>
      <c r="AR770" s="94"/>
      <c r="AS770" s="94"/>
      <c r="AT770" s="94"/>
      <c r="AU770" s="94"/>
      <c r="AV770" s="94"/>
      <c r="AW770" s="94"/>
      <c r="AX770" s="94"/>
      <c r="AY770" s="94"/>
      <c r="BA770" s="95"/>
    </row>
    <row r="771" spans="1:53" s="87" customFormat="1">
      <c r="A771" s="90" t="str">
        <f t="shared" si="36"/>
        <v/>
      </c>
      <c r="B771" s="98"/>
      <c r="C771" s="94"/>
      <c r="D771" s="94"/>
      <c r="E771" s="94"/>
      <c r="F771" s="94"/>
      <c r="G771" s="94"/>
      <c r="H771" s="94"/>
      <c r="I771" s="94"/>
      <c r="J771" s="94"/>
      <c r="K771" s="94"/>
      <c r="L771" s="94"/>
      <c r="M771" s="94"/>
      <c r="N771" s="94"/>
      <c r="O771" s="94"/>
      <c r="P771" s="94"/>
      <c r="Q771" s="94"/>
      <c r="R771" s="94"/>
      <c r="S771" s="94"/>
      <c r="T771" s="94"/>
      <c r="U771" s="94"/>
      <c r="V771" s="94"/>
      <c r="W771" s="94"/>
      <c r="X771" s="94"/>
      <c r="Y771" s="94"/>
      <c r="Z771" s="94"/>
      <c r="AA771" s="94"/>
      <c r="AB771" s="94"/>
      <c r="AC771" s="94"/>
      <c r="AD771" s="94"/>
      <c r="AE771" s="94"/>
      <c r="AF771" s="94"/>
      <c r="AG771" s="94"/>
      <c r="AH771" s="94"/>
      <c r="AI771" s="94"/>
      <c r="AJ771" s="94"/>
      <c r="AK771" s="94"/>
      <c r="AL771" s="94"/>
      <c r="AM771" s="94"/>
      <c r="AN771" s="94"/>
      <c r="AO771" s="94"/>
      <c r="AP771" s="94"/>
      <c r="AQ771" s="94"/>
      <c r="AR771" s="94"/>
      <c r="AS771" s="94"/>
      <c r="AT771" s="94"/>
      <c r="AU771" s="94"/>
      <c r="AV771" s="94"/>
      <c r="AW771" s="94"/>
      <c r="AX771" s="94"/>
      <c r="AY771" s="94"/>
      <c r="BA771" s="95"/>
    </row>
    <row r="772" spans="1:53" s="87" customFormat="1">
      <c r="A772" s="90" t="str">
        <f t="shared" si="36"/>
        <v/>
      </c>
      <c r="B772" s="98"/>
      <c r="C772" s="94"/>
      <c r="D772" s="94"/>
      <c r="E772" s="94"/>
      <c r="F772" s="94"/>
      <c r="G772" s="94"/>
      <c r="H772" s="94"/>
      <c r="I772" s="94"/>
      <c r="J772" s="94"/>
      <c r="K772" s="94"/>
      <c r="L772" s="94"/>
      <c r="M772" s="94"/>
      <c r="N772" s="94"/>
      <c r="O772" s="94"/>
      <c r="P772" s="94"/>
      <c r="Q772" s="94"/>
      <c r="R772" s="94"/>
      <c r="S772" s="94"/>
      <c r="T772" s="94"/>
      <c r="U772" s="94"/>
      <c r="V772" s="94"/>
      <c r="W772" s="94"/>
      <c r="X772" s="94"/>
      <c r="Y772" s="94"/>
      <c r="Z772" s="94"/>
      <c r="AA772" s="94"/>
      <c r="AB772" s="94"/>
      <c r="AC772" s="94"/>
      <c r="AD772" s="94"/>
      <c r="AE772" s="94"/>
      <c r="AF772" s="94"/>
      <c r="AG772" s="94"/>
      <c r="AH772" s="94"/>
      <c r="AI772" s="94"/>
      <c r="AJ772" s="94"/>
      <c r="AK772" s="94"/>
      <c r="AL772" s="94"/>
      <c r="AM772" s="94"/>
      <c r="AN772" s="94"/>
      <c r="AO772" s="94"/>
      <c r="AP772" s="94"/>
      <c r="AQ772" s="94"/>
      <c r="AR772" s="94"/>
      <c r="AS772" s="94"/>
      <c r="AT772" s="94"/>
      <c r="AU772" s="94"/>
      <c r="AV772" s="94"/>
      <c r="AW772" s="94"/>
      <c r="AX772" s="94"/>
      <c r="AY772" s="94"/>
      <c r="BA772" s="95"/>
    </row>
    <row r="773" spans="1:53" s="87" customFormat="1">
      <c r="A773" s="90" t="str">
        <f t="shared" si="36"/>
        <v/>
      </c>
      <c r="B773" s="98"/>
      <c r="C773" s="94"/>
      <c r="D773" s="94"/>
      <c r="E773" s="94"/>
      <c r="F773" s="94"/>
      <c r="G773" s="94"/>
      <c r="H773" s="94"/>
      <c r="I773" s="94"/>
      <c r="J773" s="94"/>
      <c r="K773" s="94"/>
      <c r="L773" s="94"/>
      <c r="M773" s="94"/>
      <c r="N773" s="94"/>
      <c r="O773" s="94"/>
      <c r="P773" s="94"/>
      <c r="Q773" s="94"/>
      <c r="R773" s="94"/>
      <c r="S773" s="94"/>
      <c r="T773" s="94"/>
      <c r="U773" s="94"/>
      <c r="V773" s="94"/>
      <c r="W773" s="94"/>
      <c r="X773" s="94"/>
      <c r="Y773" s="94"/>
      <c r="Z773" s="94"/>
      <c r="AA773" s="94"/>
      <c r="AB773" s="94"/>
      <c r="AC773" s="94"/>
      <c r="AD773" s="94"/>
      <c r="AE773" s="94"/>
      <c r="AF773" s="94"/>
      <c r="AG773" s="94"/>
      <c r="AH773" s="94"/>
      <c r="AI773" s="94"/>
      <c r="AJ773" s="94"/>
      <c r="AK773" s="94"/>
      <c r="AL773" s="94"/>
      <c r="AM773" s="94"/>
      <c r="AN773" s="94"/>
      <c r="AO773" s="94"/>
      <c r="AP773" s="94"/>
      <c r="AQ773" s="94"/>
      <c r="AR773" s="94"/>
      <c r="AS773" s="94"/>
      <c r="AT773" s="94"/>
      <c r="AU773" s="94"/>
      <c r="AV773" s="94"/>
      <c r="AW773" s="94"/>
      <c r="AX773" s="94"/>
      <c r="AY773" s="94"/>
      <c r="BA773" s="95"/>
    </row>
    <row r="774" spans="1:53" s="87" customFormat="1">
      <c r="A774" s="90" t="str">
        <f t="shared" si="36"/>
        <v/>
      </c>
      <c r="B774" s="98"/>
      <c r="C774" s="94"/>
      <c r="D774" s="94"/>
      <c r="E774" s="94"/>
      <c r="F774" s="94"/>
      <c r="G774" s="94"/>
      <c r="H774" s="94"/>
      <c r="I774" s="94"/>
      <c r="J774" s="94"/>
      <c r="K774" s="94"/>
      <c r="L774" s="94"/>
      <c r="M774" s="94"/>
      <c r="N774" s="94"/>
      <c r="O774" s="94"/>
      <c r="P774" s="94"/>
      <c r="Q774" s="94"/>
      <c r="R774" s="94"/>
      <c r="S774" s="94"/>
      <c r="T774" s="94"/>
      <c r="U774" s="94"/>
      <c r="V774" s="94"/>
      <c r="W774" s="94"/>
      <c r="X774" s="94"/>
      <c r="Y774" s="94"/>
      <c r="Z774" s="94"/>
      <c r="AA774" s="94"/>
      <c r="AB774" s="94"/>
      <c r="AC774" s="94"/>
      <c r="AD774" s="94"/>
      <c r="AE774" s="94"/>
      <c r="AF774" s="94"/>
      <c r="AG774" s="94"/>
      <c r="AH774" s="94"/>
      <c r="AI774" s="94"/>
      <c r="AJ774" s="94"/>
      <c r="AK774" s="94"/>
      <c r="AL774" s="94"/>
      <c r="AM774" s="94"/>
      <c r="AN774" s="94"/>
      <c r="AO774" s="94"/>
      <c r="AP774" s="94"/>
      <c r="AQ774" s="94"/>
      <c r="AR774" s="94"/>
      <c r="AS774" s="94"/>
      <c r="AT774" s="94"/>
      <c r="AU774" s="94"/>
      <c r="AV774" s="94"/>
      <c r="AW774" s="94"/>
      <c r="AX774" s="94"/>
      <c r="AY774" s="94"/>
      <c r="BA774" s="95"/>
    </row>
    <row r="775" spans="1:53" s="87" customFormat="1">
      <c r="A775" s="90" t="str">
        <f t="shared" si="36"/>
        <v/>
      </c>
      <c r="B775" s="98"/>
      <c r="C775" s="94"/>
      <c r="D775" s="94"/>
      <c r="E775" s="94"/>
      <c r="F775" s="94"/>
      <c r="G775" s="94"/>
      <c r="H775" s="94"/>
      <c r="I775" s="94"/>
      <c r="J775" s="94"/>
      <c r="K775" s="94"/>
      <c r="L775" s="94"/>
      <c r="M775" s="94"/>
      <c r="N775" s="94"/>
      <c r="O775" s="94"/>
      <c r="P775" s="94"/>
      <c r="Q775" s="94"/>
      <c r="R775" s="94"/>
      <c r="S775" s="94"/>
      <c r="T775" s="94"/>
      <c r="U775" s="94"/>
      <c r="V775" s="94"/>
      <c r="W775" s="94"/>
      <c r="X775" s="94"/>
      <c r="Y775" s="94"/>
      <c r="Z775" s="94"/>
      <c r="AA775" s="94"/>
      <c r="AB775" s="94"/>
      <c r="AC775" s="94"/>
      <c r="AD775" s="94"/>
      <c r="AE775" s="94"/>
      <c r="AF775" s="94"/>
      <c r="AG775" s="94"/>
      <c r="AH775" s="94"/>
      <c r="AI775" s="94"/>
      <c r="AJ775" s="94"/>
      <c r="AK775" s="94"/>
      <c r="AL775" s="94"/>
      <c r="AM775" s="94"/>
      <c r="AN775" s="94"/>
      <c r="AO775" s="94"/>
      <c r="AP775" s="94"/>
      <c r="AQ775" s="94"/>
      <c r="AR775" s="94"/>
      <c r="AS775" s="94"/>
      <c r="AT775" s="94"/>
      <c r="AU775" s="94"/>
      <c r="AV775" s="94"/>
      <c r="AW775" s="94"/>
      <c r="AX775" s="94"/>
      <c r="AY775" s="94"/>
      <c r="BA775" s="95"/>
    </row>
    <row r="776" spans="1:53" s="87" customFormat="1">
      <c r="A776" s="90" t="str">
        <f t="shared" si="36"/>
        <v/>
      </c>
      <c r="B776" s="98"/>
      <c r="C776" s="94"/>
      <c r="D776" s="94"/>
      <c r="E776" s="94"/>
      <c r="F776" s="94"/>
      <c r="G776" s="94"/>
      <c r="H776" s="94"/>
      <c r="I776" s="94"/>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BA776" s="95"/>
    </row>
    <row r="777" spans="1:53" s="87" customFormat="1">
      <c r="A777" s="90" t="str">
        <f t="shared" si="36"/>
        <v/>
      </c>
      <c r="B777" s="98"/>
      <c r="C777" s="94"/>
      <c r="D777" s="94"/>
      <c r="E777" s="94"/>
      <c r="F777" s="94"/>
      <c r="G777" s="94"/>
      <c r="H777" s="94"/>
      <c r="I777" s="94"/>
      <c r="J777" s="94"/>
      <c r="K777" s="94"/>
      <c r="L777" s="94"/>
      <c r="M777" s="94"/>
      <c r="N777" s="94"/>
      <c r="O777" s="94"/>
      <c r="P777" s="94"/>
      <c r="Q777" s="94"/>
      <c r="R777" s="94"/>
      <c r="S777" s="94"/>
      <c r="T777" s="94"/>
      <c r="U777" s="94"/>
      <c r="V777" s="94"/>
      <c r="W777" s="94"/>
      <c r="X777" s="94"/>
      <c r="Y777" s="94"/>
      <c r="Z777" s="94"/>
      <c r="AA777" s="94"/>
      <c r="AB777" s="94"/>
      <c r="AC777" s="94"/>
      <c r="AD777" s="94"/>
      <c r="AE777" s="94"/>
      <c r="AF777" s="94"/>
      <c r="AG777" s="94"/>
      <c r="AH777" s="94"/>
      <c r="AI777" s="94"/>
      <c r="AJ777" s="94"/>
      <c r="AK777" s="94"/>
      <c r="AL777" s="94"/>
      <c r="AM777" s="94"/>
      <c r="AN777" s="94"/>
      <c r="AO777" s="94"/>
      <c r="AP777" s="94"/>
      <c r="AQ777" s="94"/>
      <c r="AR777" s="94"/>
      <c r="AS777" s="94"/>
      <c r="AT777" s="94"/>
      <c r="AU777" s="94"/>
      <c r="AV777" s="94"/>
      <c r="AW777" s="94"/>
      <c r="AX777" s="94"/>
      <c r="AY777" s="94"/>
      <c r="BA777" s="95"/>
    </row>
    <row r="778" spans="1:53" s="87" customFormat="1">
      <c r="A778" s="90" t="str">
        <f t="shared" si="36"/>
        <v/>
      </c>
      <c r="B778" s="98"/>
      <c r="C778" s="94"/>
      <c r="D778" s="94"/>
      <c r="E778" s="94"/>
      <c r="F778" s="94"/>
      <c r="G778" s="94"/>
      <c r="H778" s="94"/>
      <c r="I778" s="94"/>
      <c r="J778" s="94"/>
      <c r="K778" s="94"/>
      <c r="L778" s="94"/>
      <c r="M778" s="94"/>
      <c r="N778" s="94"/>
      <c r="O778" s="94"/>
      <c r="P778" s="94"/>
      <c r="Q778" s="94"/>
      <c r="R778" s="94"/>
      <c r="S778" s="94"/>
      <c r="T778" s="94"/>
      <c r="U778" s="94"/>
      <c r="V778" s="94"/>
      <c r="W778" s="94"/>
      <c r="X778" s="94"/>
      <c r="Y778" s="94"/>
      <c r="Z778" s="94"/>
      <c r="AA778" s="94"/>
      <c r="AB778" s="94"/>
      <c r="AC778" s="94"/>
      <c r="AD778" s="94"/>
      <c r="AE778" s="94"/>
      <c r="AF778" s="94"/>
      <c r="AG778" s="94"/>
      <c r="AH778" s="94"/>
      <c r="AI778" s="94"/>
      <c r="AJ778" s="94"/>
      <c r="AK778" s="94"/>
      <c r="AL778" s="94"/>
      <c r="AM778" s="94"/>
      <c r="AN778" s="94"/>
      <c r="AO778" s="94"/>
      <c r="AP778" s="94"/>
      <c r="AQ778" s="94"/>
      <c r="AR778" s="94"/>
      <c r="AS778" s="94"/>
      <c r="AT778" s="94"/>
      <c r="AU778" s="94"/>
      <c r="AV778" s="94"/>
      <c r="AW778" s="94"/>
      <c r="AX778" s="94"/>
      <c r="AY778" s="94"/>
      <c r="BA778" s="95"/>
    </row>
    <row r="779" spans="1:53" s="87" customFormat="1">
      <c r="A779" s="90" t="str">
        <f t="shared" si="36"/>
        <v/>
      </c>
      <c r="B779" s="98"/>
      <c r="C779" s="94"/>
      <c r="D779" s="94"/>
      <c r="E779" s="94"/>
      <c r="F779" s="94"/>
      <c r="G779" s="94"/>
      <c r="H779" s="94"/>
      <c r="I779" s="94"/>
      <c r="J779" s="94"/>
      <c r="K779" s="94"/>
      <c r="L779" s="94"/>
      <c r="M779" s="94"/>
      <c r="N779" s="94"/>
      <c r="O779" s="94"/>
      <c r="P779" s="94"/>
      <c r="Q779" s="94"/>
      <c r="R779" s="94"/>
      <c r="S779" s="94"/>
      <c r="T779" s="94"/>
      <c r="U779" s="94"/>
      <c r="V779" s="94"/>
      <c r="W779" s="94"/>
      <c r="X779" s="94"/>
      <c r="Y779" s="94"/>
      <c r="Z779" s="94"/>
      <c r="AA779" s="94"/>
      <c r="AB779" s="94"/>
      <c r="AC779" s="94"/>
      <c r="AD779" s="94"/>
      <c r="AE779" s="94"/>
      <c r="AF779" s="94"/>
      <c r="AG779" s="94"/>
      <c r="AH779" s="94"/>
      <c r="AI779" s="94"/>
      <c r="AJ779" s="94"/>
      <c r="AK779" s="94"/>
      <c r="AL779" s="94"/>
      <c r="AM779" s="94"/>
      <c r="AN779" s="94"/>
      <c r="AO779" s="94"/>
      <c r="AP779" s="94"/>
      <c r="AQ779" s="94"/>
      <c r="AR779" s="94"/>
      <c r="AS779" s="94"/>
      <c r="AT779" s="94"/>
      <c r="AU779" s="94"/>
      <c r="AV779" s="94"/>
      <c r="AW779" s="94"/>
      <c r="AX779" s="94"/>
      <c r="AY779" s="94"/>
      <c r="BA779" s="95"/>
    </row>
    <row r="780" spans="1:53" s="87" customFormat="1">
      <c r="A780" s="90" t="str">
        <f t="shared" ref="A780:A843" si="37">IF(MID(B780,3,2)="07",ROW(),"")</f>
        <v/>
      </c>
      <c r="B780" s="98"/>
      <c r="C780" s="94"/>
      <c r="D780" s="94"/>
      <c r="E780" s="94"/>
      <c r="F780" s="94"/>
      <c r="G780" s="94"/>
      <c r="H780" s="94"/>
      <c r="I780" s="94"/>
      <c r="J780" s="94"/>
      <c r="K780" s="94"/>
      <c r="L780" s="94"/>
      <c r="M780" s="94"/>
      <c r="N780" s="94"/>
      <c r="O780" s="94"/>
      <c r="P780" s="94"/>
      <c r="Q780" s="94"/>
      <c r="R780" s="94"/>
      <c r="S780" s="94"/>
      <c r="T780" s="94"/>
      <c r="U780" s="94"/>
      <c r="V780" s="94"/>
      <c r="W780" s="94"/>
      <c r="X780" s="94"/>
      <c r="Y780" s="94"/>
      <c r="Z780" s="94"/>
      <c r="AA780" s="94"/>
      <c r="AB780" s="94"/>
      <c r="AC780" s="94"/>
      <c r="AD780" s="94"/>
      <c r="AE780" s="94"/>
      <c r="AF780" s="94"/>
      <c r="AG780" s="94"/>
      <c r="AH780" s="94"/>
      <c r="AI780" s="94"/>
      <c r="AJ780" s="94"/>
      <c r="AK780" s="94"/>
      <c r="AL780" s="94"/>
      <c r="AM780" s="94"/>
      <c r="AN780" s="94"/>
      <c r="AO780" s="94"/>
      <c r="AP780" s="94"/>
      <c r="AQ780" s="94"/>
      <c r="AR780" s="94"/>
      <c r="AS780" s="94"/>
      <c r="AT780" s="94"/>
      <c r="AU780" s="94"/>
      <c r="AV780" s="94"/>
      <c r="AW780" s="94"/>
      <c r="AX780" s="94"/>
      <c r="AY780" s="94"/>
      <c r="BA780" s="95"/>
    </row>
    <row r="781" spans="1:53" s="87" customFormat="1">
      <c r="A781" s="90" t="str">
        <f t="shared" si="37"/>
        <v/>
      </c>
      <c r="B781" s="98"/>
      <c r="C781" s="94"/>
      <c r="D781" s="94"/>
      <c r="E781" s="94"/>
      <c r="F781" s="94"/>
      <c r="G781" s="94"/>
      <c r="H781" s="94"/>
      <c r="I781" s="94"/>
      <c r="J781" s="94"/>
      <c r="K781" s="94"/>
      <c r="L781" s="94"/>
      <c r="M781" s="94"/>
      <c r="N781" s="94"/>
      <c r="O781" s="94"/>
      <c r="P781" s="94"/>
      <c r="Q781" s="94"/>
      <c r="R781" s="94"/>
      <c r="S781" s="94"/>
      <c r="T781" s="94"/>
      <c r="U781" s="94"/>
      <c r="V781" s="94"/>
      <c r="W781" s="94"/>
      <c r="X781" s="94"/>
      <c r="Y781" s="94"/>
      <c r="Z781" s="94"/>
      <c r="AA781" s="94"/>
      <c r="AB781" s="94"/>
      <c r="AC781" s="94"/>
      <c r="AD781" s="94"/>
      <c r="AE781" s="94"/>
      <c r="AF781" s="94"/>
      <c r="AG781" s="94"/>
      <c r="AH781" s="94"/>
      <c r="AI781" s="94"/>
      <c r="AJ781" s="94"/>
      <c r="AK781" s="94"/>
      <c r="AL781" s="94"/>
      <c r="AM781" s="94"/>
      <c r="AN781" s="94"/>
      <c r="AO781" s="94"/>
      <c r="AP781" s="94"/>
      <c r="AQ781" s="94"/>
      <c r="AR781" s="94"/>
      <c r="AS781" s="94"/>
      <c r="AT781" s="94"/>
      <c r="AU781" s="94"/>
      <c r="AV781" s="94"/>
      <c r="AW781" s="94"/>
      <c r="AX781" s="94"/>
      <c r="AY781" s="94"/>
      <c r="BA781" s="95"/>
    </row>
    <row r="782" spans="1:53" s="87" customFormat="1">
      <c r="A782" s="90" t="str">
        <f t="shared" si="37"/>
        <v/>
      </c>
      <c r="B782" s="98"/>
      <c r="C782" s="94"/>
      <c r="D782" s="94"/>
      <c r="E782" s="94"/>
      <c r="F782" s="94"/>
      <c r="G782" s="94"/>
      <c r="H782" s="94"/>
      <c r="I782" s="94"/>
      <c r="J782" s="94"/>
      <c r="K782" s="94"/>
      <c r="L782" s="94"/>
      <c r="M782" s="94"/>
      <c r="N782" s="94"/>
      <c r="O782" s="94"/>
      <c r="P782" s="94"/>
      <c r="Q782" s="94"/>
      <c r="R782" s="94"/>
      <c r="S782" s="94"/>
      <c r="T782" s="94"/>
      <c r="U782" s="94"/>
      <c r="V782" s="94"/>
      <c r="W782" s="94"/>
      <c r="X782" s="94"/>
      <c r="Y782" s="94"/>
      <c r="Z782" s="94"/>
      <c r="AA782" s="94"/>
      <c r="AB782" s="94"/>
      <c r="AC782" s="94"/>
      <c r="AD782" s="94"/>
      <c r="AE782" s="94"/>
      <c r="AF782" s="94"/>
      <c r="AG782" s="94"/>
      <c r="AH782" s="94"/>
      <c r="AI782" s="94"/>
      <c r="AJ782" s="94"/>
      <c r="AK782" s="94"/>
      <c r="AL782" s="94"/>
      <c r="AM782" s="94"/>
      <c r="AN782" s="94"/>
      <c r="AO782" s="94"/>
      <c r="AP782" s="94"/>
      <c r="AQ782" s="94"/>
      <c r="AR782" s="94"/>
      <c r="AS782" s="94"/>
      <c r="AT782" s="94"/>
      <c r="AU782" s="94"/>
      <c r="AV782" s="94"/>
      <c r="AW782" s="94"/>
      <c r="AX782" s="94"/>
      <c r="AY782" s="94"/>
      <c r="BA782" s="95"/>
    </row>
    <row r="783" spans="1:53" s="87" customFormat="1">
      <c r="A783" s="90" t="str">
        <f t="shared" si="37"/>
        <v/>
      </c>
      <c r="B783" s="98"/>
      <c r="C783" s="94"/>
      <c r="D783" s="94"/>
      <c r="E783" s="94"/>
      <c r="F783" s="94"/>
      <c r="G783" s="94"/>
      <c r="H783" s="94"/>
      <c r="I783" s="94"/>
      <c r="J783" s="94"/>
      <c r="K783" s="94"/>
      <c r="L783" s="94"/>
      <c r="M783" s="94"/>
      <c r="N783" s="94"/>
      <c r="O783" s="94"/>
      <c r="P783" s="94"/>
      <c r="Q783" s="94"/>
      <c r="R783" s="94"/>
      <c r="S783" s="94"/>
      <c r="T783" s="94"/>
      <c r="U783" s="94"/>
      <c r="V783" s="94"/>
      <c r="W783" s="94"/>
      <c r="X783" s="94"/>
      <c r="Y783" s="94"/>
      <c r="Z783" s="94"/>
      <c r="AA783" s="94"/>
      <c r="AB783" s="94"/>
      <c r="AC783" s="94"/>
      <c r="AD783" s="94"/>
      <c r="AE783" s="94"/>
      <c r="AF783" s="94"/>
      <c r="AG783" s="94"/>
      <c r="AH783" s="94"/>
      <c r="AI783" s="94"/>
      <c r="AJ783" s="94"/>
      <c r="AK783" s="94"/>
      <c r="AL783" s="94"/>
      <c r="AM783" s="94"/>
      <c r="AN783" s="94"/>
      <c r="AO783" s="94"/>
      <c r="AP783" s="94"/>
      <c r="AQ783" s="94"/>
      <c r="AR783" s="94"/>
      <c r="AS783" s="94"/>
      <c r="AT783" s="94"/>
      <c r="AU783" s="94"/>
      <c r="AV783" s="94"/>
      <c r="AW783" s="94"/>
      <c r="AX783" s="94"/>
      <c r="AY783" s="94"/>
      <c r="BA783" s="95"/>
    </row>
    <row r="784" spans="1:53" s="87" customFormat="1">
      <c r="A784" s="90" t="str">
        <f t="shared" si="37"/>
        <v/>
      </c>
      <c r="B784" s="98"/>
      <c r="C784" s="94"/>
      <c r="D784" s="94"/>
      <c r="E784" s="94"/>
      <c r="F784" s="94"/>
      <c r="G784" s="94"/>
      <c r="H784" s="94"/>
      <c r="I784" s="94"/>
      <c r="J784" s="94"/>
      <c r="K784" s="94"/>
      <c r="L784" s="94"/>
      <c r="M784" s="94"/>
      <c r="N784" s="94"/>
      <c r="O784" s="94"/>
      <c r="P784" s="94"/>
      <c r="Q784" s="94"/>
      <c r="R784" s="94"/>
      <c r="S784" s="94"/>
      <c r="T784" s="94"/>
      <c r="U784" s="94"/>
      <c r="V784" s="94"/>
      <c r="W784" s="94"/>
      <c r="X784" s="94"/>
      <c r="Y784" s="94"/>
      <c r="Z784" s="94"/>
      <c r="AA784" s="94"/>
      <c r="AB784" s="94"/>
      <c r="AC784" s="94"/>
      <c r="AD784" s="94"/>
      <c r="AE784" s="94"/>
      <c r="AF784" s="94"/>
      <c r="AG784" s="94"/>
      <c r="AH784" s="94"/>
      <c r="AI784" s="94"/>
      <c r="AJ784" s="94"/>
      <c r="AK784" s="94"/>
      <c r="AL784" s="94"/>
      <c r="AM784" s="94"/>
      <c r="AN784" s="94"/>
      <c r="AO784" s="94"/>
      <c r="AP784" s="94"/>
      <c r="AQ784" s="94"/>
      <c r="AR784" s="94"/>
      <c r="AS784" s="94"/>
      <c r="AT784" s="94"/>
      <c r="AU784" s="94"/>
      <c r="AV784" s="94"/>
      <c r="AW784" s="94"/>
      <c r="AX784" s="94"/>
      <c r="AY784" s="94"/>
      <c r="BA784" s="95"/>
    </row>
    <row r="785" spans="1:53" s="87" customFormat="1">
      <c r="A785" s="90" t="str">
        <f t="shared" si="37"/>
        <v/>
      </c>
      <c r="B785" s="98"/>
      <c r="C785" s="94"/>
      <c r="D785" s="94"/>
      <c r="E785" s="94"/>
      <c r="F785" s="94"/>
      <c r="G785" s="94"/>
      <c r="H785" s="94"/>
      <c r="I785" s="94"/>
      <c r="J785" s="94"/>
      <c r="K785" s="94"/>
      <c r="L785" s="94"/>
      <c r="M785" s="94"/>
      <c r="N785" s="94"/>
      <c r="O785" s="94"/>
      <c r="P785" s="94"/>
      <c r="Q785" s="94"/>
      <c r="R785" s="94"/>
      <c r="S785" s="94"/>
      <c r="T785" s="94"/>
      <c r="U785" s="94"/>
      <c r="V785" s="94"/>
      <c r="W785" s="94"/>
      <c r="X785" s="94"/>
      <c r="Y785" s="94"/>
      <c r="Z785" s="94"/>
      <c r="AA785" s="94"/>
      <c r="AB785" s="94"/>
      <c r="AC785" s="94"/>
      <c r="AD785" s="94"/>
      <c r="AE785" s="94"/>
      <c r="AF785" s="94"/>
      <c r="AG785" s="94"/>
      <c r="AH785" s="94"/>
      <c r="AI785" s="94"/>
      <c r="AJ785" s="94"/>
      <c r="AK785" s="94"/>
      <c r="AL785" s="94"/>
      <c r="AM785" s="94"/>
      <c r="AN785" s="94"/>
      <c r="AO785" s="94"/>
      <c r="AP785" s="94"/>
      <c r="AQ785" s="94"/>
      <c r="AR785" s="94"/>
      <c r="AS785" s="94"/>
      <c r="AT785" s="94"/>
      <c r="AU785" s="94"/>
      <c r="AV785" s="94"/>
      <c r="AW785" s="94"/>
      <c r="AX785" s="94"/>
      <c r="AY785" s="94"/>
      <c r="BA785" s="95"/>
    </row>
    <row r="786" spans="1:53" s="87" customFormat="1">
      <c r="A786" s="90" t="str">
        <f t="shared" si="37"/>
        <v/>
      </c>
      <c r="B786" s="98"/>
      <c r="C786" s="94"/>
      <c r="D786" s="94"/>
      <c r="E786" s="94"/>
      <c r="F786" s="94"/>
      <c r="G786" s="94"/>
      <c r="H786" s="94"/>
      <c r="I786" s="94"/>
      <c r="J786" s="94"/>
      <c r="K786" s="94"/>
      <c r="L786" s="94"/>
      <c r="M786" s="94"/>
      <c r="N786" s="94"/>
      <c r="O786" s="94"/>
      <c r="P786" s="94"/>
      <c r="Q786" s="94"/>
      <c r="R786" s="94"/>
      <c r="S786" s="94"/>
      <c r="T786" s="94"/>
      <c r="U786" s="94"/>
      <c r="V786" s="94"/>
      <c r="W786" s="94"/>
      <c r="X786" s="94"/>
      <c r="Y786" s="94"/>
      <c r="Z786" s="94"/>
      <c r="AA786" s="94"/>
      <c r="AB786" s="94"/>
      <c r="AC786" s="94"/>
      <c r="AD786" s="94"/>
      <c r="AE786" s="94"/>
      <c r="AF786" s="94"/>
      <c r="AG786" s="94"/>
      <c r="AH786" s="94"/>
      <c r="AI786" s="94"/>
      <c r="AJ786" s="94"/>
      <c r="AK786" s="94"/>
      <c r="AL786" s="94"/>
      <c r="AM786" s="94"/>
      <c r="AN786" s="94"/>
      <c r="AO786" s="94"/>
      <c r="AP786" s="94"/>
      <c r="AQ786" s="94"/>
      <c r="AR786" s="94"/>
      <c r="AS786" s="94"/>
      <c r="AT786" s="94"/>
      <c r="AU786" s="94"/>
      <c r="AV786" s="94"/>
      <c r="AW786" s="94"/>
      <c r="AX786" s="94"/>
      <c r="AY786" s="94"/>
      <c r="BA786" s="95"/>
    </row>
    <row r="787" spans="1:53" s="87" customFormat="1">
      <c r="A787" s="90" t="str">
        <f t="shared" si="37"/>
        <v/>
      </c>
      <c r="B787" s="98"/>
      <c r="C787" s="94"/>
      <c r="D787" s="94"/>
      <c r="E787" s="94"/>
      <c r="F787" s="94"/>
      <c r="G787" s="94"/>
      <c r="H787" s="94"/>
      <c r="I787" s="94"/>
      <c r="J787" s="94"/>
      <c r="K787" s="94"/>
      <c r="L787" s="94"/>
      <c r="M787" s="94"/>
      <c r="N787" s="94"/>
      <c r="O787" s="94"/>
      <c r="P787" s="94"/>
      <c r="Q787" s="94"/>
      <c r="R787" s="94"/>
      <c r="S787" s="94"/>
      <c r="T787" s="94"/>
      <c r="U787" s="94"/>
      <c r="V787" s="94"/>
      <c r="W787" s="94"/>
      <c r="X787" s="94"/>
      <c r="Y787" s="94"/>
      <c r="Z787" s="94"/>
      <c r="AA787" s="94"/>
      <c r="AB787" s="94"/>
      <c r="AC787" s="94"/>
      <c r="AD787" s="94"/>
      <c r="AE787" s="94"/>
      <c r="AF787" s="94"/>
      <c r="AG787" s="94"/>
      <c r="AH787" s="94"/>
      <c r="AI787" s="94"/>
      <c r="AJ787" s="94"/>
      <c r="AK787" s="94"/>
      <c r="AL787" s="94"/>
      <c r="AM787" s="94"/>
      <c r="AN787" s="94"/>
      <c r="AO787" s="94"/>
      <c r="AP787" s="94"/>
      <c r="AQ787" s="94"/>
      <c r="AR787" s="94"/>
      <c r="AS787" s="94"/>
      <c r="AT787" s="94"/>
      <c r="AU787" s="94"/>
      <c r="AV787" s="94"/>
      <c r="AW787" s="94"/>
      <c r="AX787" s="94"/>
      <c r="AY787" s="94"/>
      <c r="BA787" s="95"/>
    </row>
    <row r="788" spans="1:53" s="87" customFormat="1">
      <c r="A788" s="90" t="str">
        <f t="shared" si="37"/>
        <v/>
      </c>
      <c r="B788" s="98"/>
      <c r="C788" s="94"/>
      <c r="D788" s="94"/>
      <c r="E788" s="94"/>
      <c r="F788" s="94"/>
      <c r="G788" s="94"/>
      <c r="H788" s="94"/>
      <c r="I788" s="94"/>
      <c r="J788" s="94"/>
      <c r="K788" s="94"/>
      <c r="L788" s="94"/>
      <c r="M788" s="94"/>
      <c r="N788" s="94"/>
      <c r="O788" s="94"/>
      <c r="P788" s="94"/>
      <c r="Q788" s="94"/>
      <c r="R788" s="94"/>
      <c r="S788" s="94"/>
      <c r="T788" s="94"/>
      <c r="U788" s="94"/>
      <c r="V788" s="94"/>
      <c r="W788" s="94"/>
      <c r="X788" s="94"/>
      <c r="Y788" s="94"/>
      <c r="Z788" s="94"/>
      <c r="AA788" s="94"/>
      <c r="AB788" s="94"/>
      <c r="AC788" s="94"/>
      <c r="AD788" s="94"/>
      <c r="AE788" s="94"/>
      <c r="AF788" s="94"/>
      <c r="AG788" s="94"/>
      <c r="AH788" s="94"/>
      <c r="AI788" s="94"/>
      <c r="AJ788" s="94"/>
      <c r="AK788" s="94"/>
      <c r="AL788" s="94"/>
      <c r="AM788" s="94"/>
      <c r="AN788" s="94"/>
      <c r="AO788" s="94"/>
      <c r="AP788" s="94"/>
      <c r="AQ788" s="94"/>
      <c r="AR788" s="94"/>
      <c r="AS788" s="94"/>
      <c r="AT788" s="94"/>
      <c r="AU788" s="94"/>
      <c r="AV788" s="94"/>
      <c r="AW788" s="94"/>
      <c r="AX788" s="94"/>
      <c r="AY788" s="94"/>
      <c r="BA788" s="95"/>
    </row>
    <row r="789" spans="1:53" s="87" customFormat="1">
      <c r="A789" s="90" t="str">
        <f t="shared" si="37"/>
        <v/>
      </c>
      <c r="B789" s="98"/>
      <c r="C789" s="94"/>
      <c r="D789" s="94"/>
      <c r="E789" s="94"/>
      <c r="F789" s="94"/>
      <c r="G789" s="94"/>
      <c r="H789" s="94"/>
      <c r="I789" s="94"/>
      <c r="J789" s="94"/>
      <c r="K789" s="94"/>
      <c r="L789" s="94"/>
      <c r="M789" s="94"/>
      <c r="N789" s="94"/>
      <c r="O789" s="94"/>
      <c r="P789" s="94"/>
      <c r="Q789" s="94"/>
      <c r="R789" s="94"/>
      <c r="S789" s="94"/>
      <c r="T789" s="94"/>
      <c r="U789" s="94"/>
      <c r="V789" s="94"/>
      <c r="W789" s="94"/>
      <c r="X789" s="94"/>
      <c r="Y789" s="94"/>
      <c r="Z789" s="94"/>
      <c r="AA789" s="94"/>
      <c r="AB789" s="94"/>
      <c r="AC789" s="94"/>
      <c r="AD789" s="94"/>
      <c r="AE789" s="94"/>
      <c r="AF789" s="94"/>
      <c r="AG789" s="94"/>
      <c r="AH789" s="94"/>
      <c r="AI789" s="94"/>
      <c r="AJ789" s="94"/>
      <c r="AK789" s="94"/>
      <c r="AL789" s="94"/>
      <c r="AM789" s="94"/>
      <c r="AN789" s="94"/>
      <c r="AO789" s="94"/>
      <c r="AP789" s="94"/>
      <c r="AQ789" s="94"/>
      <c r="AR789" s="94"/>
      <c r="AS789" s="94"/>
      <c r="AT789" s="94"/>
      <c r="AU789" s="94"/>
      <c r="AV789" s="94"/>
      <c r="AW789" s="94"/>
      <c r="AX789" s="94"/>
      <c r="AY789" s="94"/>
      <c r="BA789" s="95"/>
    </row>
    <row r="790" spans="1:53" s="87" customFormat="1">
      <c r="A790" s="90" t="str">
        <f t="shared" si="37"/>
        <v/>
      </c>
      <c r="B790" s="98"/>
      <c r="C790" s="94"/>
      <c r="D790" s="94"/>
      <c r="E790" s="94"/>
      <c r="F790" s="94"/>
      <c r="G790" s="94"/>
      <c r="H790" s="94"/>
      <c r="I790" s="94"/>
      <c r="J790" s="94"/>
      <c r="K790" s="94"/>
      <c r="L790" s="94"/>
      <c r="M790" s="94"/>
      <c r="N790" s="94"/>
      <c r="O790" s="94"/>
      <c r="P790" s="94"/>
      <c r="Q790" s="94"/>
      <c r="R790" s="94"/>
      <c r="S790" s="94"/>
      <c r="T790" s="94"/>
      <c r="U790" s="94"/>
      <c r="V790" s="94"/>
      <c r="W790" s="94"/>
      <c r="X790" s="94"/>
      <c r="Y790" s="94"/>
      <c r="Z790" s="94"/>
      <c r="AA790" s="94"/>
      <c r="AB790" s="94"/>
      <c r="AC790" s="94"/>
      <c r="AD790" s="94"/>
      <c r="AE790" s="94"/>
      <c r="AF790" s="94"/>
      <c r="AG790" s="94"/>
      <c r="AH790" s="94"/>
      <c r="AI790" s="94"/>
      <c r="AJ790" s="94"/>
      <c r="AK790" s="94"/>
      <c r="AL790" s="94"/>
      <c r="AM790" s="94"/>
      <c r="AN790" s="94"/>
      <c r="AO790" s="94"/>
      <c r="AP790" s="94"/>
      <c r="AQ790" s="94"/>
      <c r="AR790" s="94"/>
      <c r="AS790" s="94"/>
      <c r="AT790" s="94"/>
      <c r="AU790" s="94"/>
      <c r="AV790" s="94"/>
      <c r="AW790" s="94"/>
      <c r="AX790" s="94"/>
      <c r="AY790" s="94"/>
      <c r="BA790" s="95"/>
    </row>
    <row r="791" spans="1:53" s="87" customFormat="1">
      <c r="A791" s="90" t="str">
        <f t="shared" si="37"/>
        <v/>
      </c>
      <c r="B791" s="98"/>
      <c r="C791" s="94"/>
      <c r="D791" s="94"/>
      <c r="E791" s="94"/>
      <c r="F791" s="94"/>
      <c r="G791" s="94"/>
      <c r="H791" s="94"/>
      <c r="I791" s="94"/>
      <c r="J791" s="94"/>
      <c r="K791" s="94"/>
      <c r="L791" s="94"/>
      <c r="M791" s="94"/>
      <c r="N791" s="94"/>
      <c r="O791" s="94"/>
      <c r="P791" s="94"/>
      <c r="Q791" s="94"/>
      <c r="R791" s="94"/>
      <c r="S791" s="94"/>
      <c r="T791" s="94"/>
      <c r="U791" s="94"/>
      <c r="V791" s="94"/>
      <c r="W791" s="94"/>
      <c r="X791" s="94"/>
      <c r="Y791" s="94"/>
      <c r="Z791" s="94"/>
      <c r="AA791" s="94"/>
      <c r="AB791" s="94"/>
      <c r="AC791" s="94"/>
      <c r="AD791" s="94"/>
      <c r="AE791" s="94"/>
      <c r="AF791" s="94"/>
      <c r="AG791" s="94"/>
      <c r="AH791" s="94"/>
      <c r="AI791" s="94"/>
      <c r="AJ791" s="94"/>
      <c r="AK791" s="94"/>
      <c r="AL791" s="94"/>
      <c r="AM791" s="94"/>
      <c r="AN791" s="94"/>
      <c r="AO791" s="94"/>
      <c r="AP791" s="94"/>
      <c r="AQ791" s="94"/>
      <c r="AR791" s="94"/>
      <c r="AS791" s="94"/>
      <c r="AT791" s="94"/>
      <c r="AU791" s="94"/>
      <c r="AV791" s="94"/>
      <c r="AW791" s="94"/>
      <c r="AX791" s="94"/>
      <c r="AY791" s="94"/>
      <c r="BA791" s="95"/>
    </row>
    <row r="792" spans="1:53" s="87" customFormat="1">
      <c r="A792" s="90" t="str">
        <f t="shared" si="37"/>
        <v/>
      </c>
      <c r="B792" s="98"/>
      <c r="C792" s="94"/>
      <c r="D792" s="94"/>
      <c r="E792" s="94"/>
      <c r="F792" s="94"/>
      <c r="G792" s="94"/>
      <c r="H792" s="94"/>
      <c r="I792" s="94"/>
      <c r="J792" s="94"/>
      <c r="K792" s="94"/>
      <c r="L792" s="94"/>
      <c r="M792" s="94"/>
      <c r="N792" s="94"/>
      <c r="O792" s="94"/>
      <c r="P792" s="94"/>
      <c r="Q792" s="94"/>
      <c r="R792" s="94"/>
      <c r="S792" s="94"/>
      <c r="T792" s="94"/>
      <c r="U792" s="94"/>
      <c r="V792" s="94"/>
      <c r="W792" s="94"/>
      <c r="X792" s="94"/>
      <c r="Y792" s="94"/>
      <c r="Z792" s="94"/>
      <c r="AA792" s="94"/>
      <c r="AB792" s="94"/>
      <c r="AC792" s="94"/>
      <c r="AD792" s="94"/>
      <c r="AE792" s="94"/>
      <c r="AF792" s="94"/>
      <c r="AG792" s="94"/>
      <c r="AH792" s="94"/>
      <c r="AI792" s="94"/>
      <c r="AJ792" s="94"/>
      <c r="AK792" s="94"/>
      <c r="AL792" s="94"/>
      <c r="AM792" s="94"/>
      <c r="AN792" s="94"/>
      <c r="AO792" s="94"/>
      <c r="AP792" s="94"/>
      <c r="AQ792" s="94"/>
      <c r="AR792" s="94"/>
      <c r="AS792" s="94"/>
      <c r="AT792" s="94"/>
      <c r="AU792" s="94"/>
      <c r="AV792" s="94"/>
      <c r="AW792" s="94"/>
      <c r="AX792" s="94"/>
      <c r="AY792" s="94"/>
      <c r="BA792" s="95"/>
    </row>
    <row r="793" spans="1:53" s="87" customFormat="1">
      <c r="A793" s="90" t="str">
        <f t="shared" si="37"/>
        <v/>
      </c>
      <c r="B793" s="98"/>
      <c r="C793" s="94"/>
      <c r="D793" s="94"/>
      <c r="E793" s="94"/>
      <c r="F793" s="94"/>
      <c r="G793" s="94"/>
      <c r="H793" s="94"/>
      <c r="I793" s="94"/>
      <c r="J793" s="94"/>
      <c r="K793" s="94"/>
      <c r="L793" s="94"/>
      <c r="M793" s="94"/>
      <c r="N793" s="94"/>
      <c r="O793" s="94"/>
      <c r="P793" s="94"/>
      <c r="Q793" s="94"/>
      <c r="R793" s="94"/>
      <c r="S793" s="94"/>
      <c r="T793" s="94"/>
      <c r="U793" s="94"/>
      <c r="V793" s="94"/>
      <c r="W793" s="94"/>
      <c r="X793" s="94"/>
      <c r="Y793" s="94"/>
      <c r="Z793" s="94"/>
      <c r="AA793" s="94"/>
      <c r="AB793" s="94"/>
      <c r="AC793" s="94"/>
      <c r="AD793" s="94"/>
      <c r="AE793" s="94"/>
      <c r="AF793" s="94"/>
      <c r="AG793" s="94"/>
      <c r="AH793" s="94"/>
      <c r="AI793" s="94"/>
      <c r="AJ793" s="94"/>
      <c r="AK793" s="94"/>
      <c r="AL793" s="94"/>
      <c r="AM793" s="94"/>
      <c r="AN793" s="94"/>
      <c r="AO793" s="94"/>
      <c r="AP793" s="94"/>
      <c r="AQ793" s="94"/>
      <c r="AR793" s="94"/>
      <c r="AS793" s="94"/>
      <c r="AT793" s="94"/>
      <c r="AU793" s="94"/>
      <c r="AV793" s="94"/>
      <c r="AW793" s="94"/>
      <c r="AX793" s="94"/>
      <c r="AY793" s="94"/>
      <c r="BA793" s="95"/>
    </row>
    <row r="794" spans="1:53" s="87" customFormat="1">
      <c r="A794" s="90" t="str">
        <f t="shared" si="37"/>
        <v/>
      </c>
      <c r="B794" s="98"/>
      <c r="C794" s="94"/>
      <c r="D794" s="94"/>
      <c r="E794" s="94"/>
      <c r="F794" s="94"/>
      <c r="G794" s="94"/>
      <c r="H794" s="94"/>
      <c r="I794" s="94"/>
      <c r="J794" s="94"/>
      <c r="K794" s="94"/>
      <c r="L794" s="94"/>
      <c r="M794" s="94"/>
      <c r="N794" s="94"/>
      <c r="O794" s="94"/>
      <c r="P794" s="94"/>
      <c r="Q794" s="94"/>
      <c r="R794" s="94"/>
      <c r="S794" s="94"/>
      <c r="T794" s="94"/>
      <c r="U794" s="94"/>
      <c r="V794" s="94"/>
      <c r="W794" s="94"/>
      <c r="X794" s="94"/>
      <c r="Y794" s="94"/>
      <c r="Z794" s="94"/>
      <c r="AA794" s="94"/>
      <c r="AB794" s="94"/>
      <c r="AC794" s="94"/>
      <c r="AD794" s="94"/>
      <c r="AE794" s="94"/>
      <c r="AF794" s="94"/>
      <c r="AG794" s="94"/>
      <c r="AH794" s="94"/>
      <c r="AI794" s="94"/>
      <c r="AJ794" s="94"/>
      <c r="AK794" s="94"/>
      <c r="AL794" s="94"/>
      <c r="AM794" s="94"/>
      <c r="AN794" s="94"/>
      <c r="AO794" s="94"/>
      <c r="AP794" s="94"/>
      <c r="AQ794" s="94"/>
      <c r="AR794" s="94"/>
      <c r="AS794" s="94"/>
      <c r="AT794" s="94"/>
      <c r="AU794" s="94"/>
      <c r="AV794" s="94"/>
      <c r="AW794" s="94"/>
      <c r="AX794" s="94"/>
      <c r="AY794" s="94"/>
      <c r="BA794" s="95"/>
    </row>
    <row r="795" spans="1:53" s="87" customFormat="1">
      <c r="A795" s="90" t="str">
        <f t="shared" si="37"/>
        <v/>
      </c>
      <c r="B795" s="98"/>
      <c r="C795" s="94"/>
      <c r="D795" s="94"/>
      <c r="E795" s="94"/>
      <c r="F795" s="94"/>
      <c r="G795" s="94"/>
      <c r="H795" s="94"/>
      <c r="I795" s="94"/>
      <c r="J795" s="94"/>
      <c r="K795" s="94"/>
      <c r="L795" s="94"/>
      <c r="M795" s="94"/>
      <c r="N795" s="94"/>
      <c r="O795" s="94"/>
      <c r="P795" s="94"/>
      <c r="Q795" s="94"/>
      <c r="R795" s="94"/>
      <c r="S795" s="94"/>
      <c r="T795" s="94"/>
      <c r="U795" s="94"/>
      <c r="V795" s="94"/>
      <c r="W795" s="94"/>
      <c r="X795" s="94"/>
      <c r="Y795" s="94"/>
      <c r="Z795" s="94"/>
      <c r="AA795" s="94"/>
      <c r="AB795" s="94"/>
      <c r="AC795" s="94"/>
      <c r="AD795" s="94"/>
      <c r="AE795" s="94"/>
      <c r="AF795" s="94"/>
      <c r="AG795" s="94"/>
      <c r="AH795" s="94"/>
      <c r="AI795" s="94"/>
      <c r="AJ795" s="94"/>
      <c r="AK795" s="94"/>
      <c r="AL795" s="94"/>
      <c r="AM795" s="94"/>
      <c r="AN795" s="94"/>
      <c r="AO795" s="94"/>
      <c r="AP795" s="94"/>
      <c r="AQ795" s="94"/>
      <c r="AR795" s="94"/>
      <c r="AS795" s="94"/>
      <c r="AT795" s="94"/>
      <c r="AU795" s="94"/>
      <c r="AV795" s="94"/>
      <c r="AW795" s="94"/>
      <c r="AX795" s="94"/>
      <c r="AY795" s="94"/>
      <c r="BA795" s="95"/>
    </row>
    <row r="796" spans="1:53" s="87" customFormat="1">
      <c r="A796" s="90" t="str">
        <f t="shared" si="37"/>
        <v/>
      </c>
      <c r="B796" s="98"/>
      <c r="C796" s="94"/>
      <c r="D796" s="94"/>
      <c r="E796" s="94"/>
      <c r="F796" s="94"/>
      <c r="G796" s="94"/>
      <c r="H796" s="94"/>
      <c r="I796" s="94"/>
      <c r="J796" s="94"/>
      <c r="K796" s="94"/>
      <c r="L796" s="94"/>
      <c r="M796" s="94"/>
      <c r="N796" s="94"/>
      <c r="O796" s="94"/>
      <c r="P796" s="94"/>
      <c r="Q796" s="94"/>
      <c r="R796" s="94"/>
      <c r="S796" s="94"/>
      <c r="T796" s="94"/>
      <c r="U796" s="94"/>
      <c r="V796" s="94"/>
      <c r="W796" s="94"/>
      <c r="X796" s="94"/>
      <c r="Y796" s="94"/>
      <c r="Z796" s="94"/>
      <c r="AA796" s="94"/>
      <c r="AB796" s="94"/>
      <c r="AC796" s="94"/>
      <c r="AD796" s="94"/>
      <c r="AE796" s="94"/>
      <c r="AF796" s="94"/>
      <c r="AG796" s="94"/>
      <c r="AH796" s="94"/>
      <c r="AI796" s="94"/>
      <c r="AJ796" s="94"/>
      <c r="AK796" s="94"/>
      <c r="AL796" s="94"/>
      <c r="AM796" s="94"/>
      <c r="AN796" s="94"/>
      <c r="AO796" s="94"/>
      <c r="AP796" s="94"/>
      <c r="AQ796" s="94"/>
      <c r="AR796" s="94"/>
      <c r="AS796" s="94"/>
      <c r="AT796" s="94"/>
      <c r="AU796" s="94"/>
      <c r="AV796" s="94"/>
      <c r="AW796" s="94"/>
      <c r="AX796" s="94"/>
      <c r="AY796" s="94"/>
      <c r="BA796" s="95"/>
    </row>
    <row r="797" spans="1:53" s="87" customFormat="1">
      <c r="A797" s="90" t="str">
        <f t="shared" si="37"/>
        <v/>
      </c>
      <c r="B797" s="98"/>
      <c r="C797" s="94"/>
      <c r="D797" s="94"/>
      <c r="E797" s="94"/>
      <c r="F797" s="94"/>
      <c r="G797" s="94"/>
      <c r="H797" s="94"/>
      <c r="I797" s="94"/>
      <c r="J797" s="94"/>
      <c r="K797" s="94"/>
      <c r="L797" s="94"/>
      <c r="M797" s="94"/>
      <c r="N797" s="94"/>
      <c r="O797" s="94"/>
      <c r="P797" s="94"/>
      <c r="Q797" s="94"/>
      <c r="R797" s="94"/>
      <c r="S797" s="94"/>
      <c r="T797" s="94"/>
      <c r="U797" s="94"/>
      <c r="V797" s="94"/>
      <c r="W797" s="94"/>
      <c r="X797" s="94"/>
      <c r="Y797" s="94"/>
      <c r="Z797" s="94"/>
      <c r="AA797" s="94"/>
      <c r="AB797" s="94"/>
      <c r="AC797" s="94"/>
      <c r="AD797" s="94"/>
      <c r="AE797" s="94"/>
      <c r="AF797" s="94"/>
      <c r="AG797" s="94"/>
      <c r="AH797" s="94"/>
      <c r="AI797" s="94"/>
      <c r="AJ797" s="94"/>
      <c r="AK797" s="94"/>
      <c r="AL797" s="94"/>
      <c r="AM797" s="94"/>
      <c r="AN797" s="94"/>
      <c r="AO797" s="94"/>
      <c r="AP797" s="94"/>
      <c r="AQ797" s="94"/>
      <c r="AR797" s="94"/>
      <c r="AS797" s="94"/>
      <c r="AT797" s="94"/>
      <c r="AU797" s="94"/>
      <c r="AV797" s="94"/>
      <c r="AW797" s="94"/>
      <c r="AX797" s="94"/>
      <c r="AY797" s="94"/>
      <c r="BA797" s="95"/>
    </row>
    <row r="798" spans="1:53" s="87" customFormat="1">
      <c r="A798" s="90" t="str">
        <f t="shared" si="37"/>
        <v/>
      </c>
      <c r="B798" s="98"/>
      <c r="C798" s="94"/>
      <c r="D798" s="94"/>
      <c r="E798" s="94"/>
      <c r="F798" s="94"/>
      <c r="G798" s="94"/>
      <c r="H798" s="94"/>
      <c r="I798" s="94"/>
      <c r="J798" s="94"/>
      <c r="K798" s="94"/>
      <c r="L798" s="94"/>
      <c r="M798" s="94"/>
      <c r="N798" s="94"/>
      <c r="O798" s="94"/>
      <c r="P798" s="94"/>
      <c r="Q798" s="94"/>
      <c r="R798" s="94"/>
      <c r="S798" s="94"/>
      <c r="T798" s="94"/>
      <c r="U798" s="94"/>
      <c r="V798" s="94"/>
      <c r="W798" s="94"/>
      <c r="X798" s="94"/>
      <c r="Y798" s="94"/>
      <c r="Z798" s="94"/>
      <c r="AA798" s="94"/>
      <c r="AB798" s="94"/>
      <c r="AC798" s="94"/>
      <c r="AD798" s="94"/>
      <c r="AE798" s="94"/>
      <c r="AF798" s="94"/>
      <c r="AG798" s="94"/>
      <c r="AH798" s="94"/>
      <c r="AI798" s="94"/>
      <c r="AJ798" s="94"/>
      <c r="AK798" s="94"/>
      <c r="AL798" s="94"/>
      <c r="AM798" s="94"/>
      <c r="AN798" s="94"/>
      <c r="AO798" s="94"/>
      <c r="AP798" s="94"/>
      <c r="AQ798" s="94"/>
      <c r="AR798" s="94"/>
      <c r="AS798" s="94"/>
      <c r="AT798" s="94"/>
      <c r="AU798" s="94"/>
      <c r="AV798" s="94"/>
      <c r="AW798" s="94"/>
      <c r="AX798" s="94"/>
      <c r="AY798" s="94"/>
      <c r="BA798" s="95"/>
    </row>
    <row r="799" spans="1:53" s="87" customFormat="1">
      <c r="A799" s="90" t="str">
        <f t="shared" si="37"/>
        <v/>
      </c>
      <c r="B799" s="98"/>
      <c r="C799" s="94"/>
      <c r="D799" s="94"/>
      <c r="E799" s="94"/>
      <c r="F799" s="94"/>
      <c r="G799" s="94"/>
      <c r="H799" s="94"/>
      <c r="I799" s="94"/>
      <c r="J799" s="94"/>
      <c r="K799" s="94"/>
      <c r="L799" s="94"/>
      <c r="M799" s="94"/>
      <c r="N799" s="94"/>
      <c r="O799" s="94"/>
      <c r="P799" s="94"/>
      <c r="Q799" s="94"/>
      <c r="R799" s="94"/>
      <c r="S799" s="94"/>
      <c r="T799" s="94"/>
      <c r="U799" s="94"/>
      <c r="V799" s="94"/>
      <c r="W799" s="94"/>
      <c r="X799" s="94"/>
      <c r="Y799" s="94"/>
      <c r="Z799" s="94"/>
      <c r="AA799" s="94"/>
      <c r="AB799" s="94"/>
      <c r="AC799" s="94"/>
      <c r="AD799" s="94"/>
      <c r="AE799" s="94"/>
      <c r="AF799" s="94"/>
      <c r="AG799" s="94"/>
      <c r="AH799" s="94"/>
      <c r="AI799" s="94"/>
      <c r="AJ799" s="94"/>
      <c r="AK799" s="94"/>
      <c r="AL799" s="94"/>
      <c r="AM799" s="94"/>
      <c r="AN799" s="94"/>
      <c r="AO799" s="94"/>
      <c r="AP799" s="94"/>
      <c r="AQ799" s="94"/>
      <c r="AR799" s="94"/>
      <c r="AS799" s="94"/>
      <c r="AT799" s="94"/>
      <c r="AU799" s="94"/>
      <c r="AV799" s="94"/>
      <c r="AW799" s="94"/>
      <c r="AX799" s="94"/>
      <c r="AY799" s="94"/>
      <c r="BA799" s="95"/>
    </row>
    <row r="800" spans="1:53" s="87" customFormat="1">
      <c r="A800" s="90" t="str">
        <f t="shared" si="37"/>
        <v/>
      </c>
      <c r="B800" s="98"/>
      <c r="C800" s="94"/>
      <c r="D800" s="94"/>
      <c r="E800" s="94"/>
      <c r="F800" s="94"/>
      <c r="G800" s="94"/>
      <c r="H800" s="94"/>
      <c r="I800" s="94"/>
      <c r="J800" s="94"/>
      <c r="K800" s="94"/>
      <c r="L800" s="94"/>
      <c r="M800" s="94"/>
      <c r="N800" s="94"/>
      <c r="O800" s="94"/>
      <c r="P800" s="94"/>
      <c r="Q800" s="94"/>
      <c r="R800" s="94"/>
      <c r="S800" s="94"/>
      <c r="T800" s="94"/>
      <c r="U800" s="94"/>
      <c r="V800" s="94"/>
      <c r="W800" s="94"/>
      <c r="X800" s="94"/>
      <c r="Y800" s="94"/>
      <c r="Z800" s="94"/>
      <c r="AA800" s="94"/>
      <c r="AB800" s="94"/>
      <c r="AC800" s="94"/>
      <c r="AD800" s="94"/>
      <c r="AE800" s="94"/>
      <c r="AF800" s="94"/>
      <c r="AG800" s="94"/>
      <c r="AH800" s="94"/>
      <c r="AI800" s="94"/>
      <c r="AJ800" s="94"/>
      <c r="AK800" s="94"/>
      <c r="AL800" s="94"/>
      <c r="AM800" s="94"/>
      <c r="AN800" s="94"/>
      <c r="AO800" s="94"/>
      <c r="AP800" s="94"/>
      <c r="AQ800" s="94"/>
      <c r="AR800" s="94"/>
      <c r="AS800" s="94"/>
      <c r="AT800" s="94"/>
      <c r="AU800" s="94"/>
      <c r="AV800" s="94"/>
      <c r="AW800" s="94"/>
      <c r="AX800" s="94"/>
      <c r="AY800" s="94"/>
      <c r="BA800" s="95"/>
    </row>
    <row r="801" spans="1:53" s="87" customFormat="1">
      <c r="A801" s="90" t="str">
        <f t="shared" si="37"/>
        <v/>
      </c>
      <c r="B801" s="98"/>
      <c r="C801" s="94"/>
      <c r="D801" s="94"/>
      <c r="E801" s="94"/>
      <c r="F801" s="94"/>
      <c r="G801" s="94"/>
      <c r="H801" s="94"/>
      <c r="I801" s="94"/>
      <c r="J801" s="94"/>
      <c r="K801" s="94"/>
      <c r="L801" s="94"/>
      <c r="M801" s="94"/>
      <c r="N801" s="94"/>
      <c r="O801" s="94"/>
      <c r="P801" s="94"/>
      <c r="Q801" s="94"/>
      <c r="R801" s="94"/>
      <c r="S801" s="94"/>
      <c r="T801" s="94"/>
      <c r="U801" s="94"/>
      <c r="V801" s="94"/>
      <c r="W801" s="94"/>
      <c r="X801" s="94"/>
      <c r="Y801" s="94"/>
      <c r="Z801" s="94"/>
      <c r="AA801" s="94"/>
      <c r="AB801" s="94"/>
      <c r="AC801" s="94"/>
      <c r="AD801" s="94"/>
      <c r="AE801" s="94"/>
      <c r="AF801" s="94"/>
      <c r="AG801" s="94"/>
      <c r="AH801" s="94"/>
      <c r="AI801" s="94"/>
      <c r="AJ801" s="94"/>
      <c r="AK801" s="94"/>
      <c r="AL801" s="94"/>
      <c r="AM801" s="94"/>
      <c r="AN801" s="94"/>
      <c r="AO801" s="94"/>
      <c r="AP801" s="94"/>
      <c r="AQ801" s="94"/>
      <c r="AR801" s="94"/>
      <c r="AS801" s="94"/>
      <c r="AT801" s="94"/>
      <c r="AU801" s="94"/>
      <c r="AV801" s="94"/>
      <c r="AW801" s="94"/>
      <c r="AX801" s="94"/>
      <c r="AY801" s="94"/>
      <c r="BA801" s="95"/>
    </row>
    <row r="802" spans="1:53" s="87" customFormat="1">
      <c r="A802" s="90" t="str">
        <f t="shared" si="37"/>
        <v/>
      </c>
      <c r="B802" s="98"/>
      <c r="C802" s="94"/>
      <c r="D802" s="94"/>
      <c r="E802" s="94"/>
      <c r="F802" s="94"/>
      <c r="G802" s="94"/>
      <c r="H802" s="94"/>
      <c r="I802" s="94"/>
      <c r="J802" s="94"/>
      <c r="K802" s="94"/>
      <c r="L802" s="94"/>
      <c r="M802" s="94"/>
      <c r="N802" s="94"/>
      <c r="O802" s="94"/>
      <c r="P802" s="94"/>
      <c r="Q802" s="94"/>
      <c r="R802" s="94"/>
      <c r="S802" s="94"/>
      <c r="T802" s="94"/>
      <c r="U802" s="94"/>
      <c r="V802" s="94"/>
      <c r="W802" s="94"/>
      <c r="X802" s="94"/>
      <c r="Y802" s="94"/>
      <c r="Z802" s="94"/>
      <c r="AA802" s="94"/>
      <c r="AB802" s="94"/>
      <c r="AC802" s="94"/>
      <c r="AD802" s="94"/>
      <c r="AE802" s="94"/>
      <c r="AF802" s="94"/>
      <c r="AG802" s="94"/>
      <c r="AH802" s="94"/>
      <c r="AI802" s="94"/>
      <c r="AJ802" s="94"/>
      <c r="AK802" s="94"/>
      <c r="AL802" s="94"/>
      <c r="AM802" s="94"/>
      <c r="AN802" s="94"/>
      <c r="AO802" s="94"/>
      <c r="AP802" s="94"/>
      <c r="AQ802" s="94"/>
      <c r="AR802" s="94"/>
      <c r="AS802" s="94"/>
      <c r="AT802" s="94"/>
      <c r="AU802" s="94"/>
      <c r="AV802" s="94"/>
      <c r="AW802" s="94"/>
      <c r="AX802" s="94"/>
      <c r="AY802" s="94"/>
      <c r="BA802" s="95"/>
    </row>
    <row r="803" spans="1:53" s="87" customFormat="1">
      <c r="A803" s="90" t="str">
        <f t="shared" si="37"/>
        <v/>
      </c>
      <c r="B803" s="98"/>
      <c r="C803" s="94"/>
      <c r="D803" s="94"/>
      <c r="E803" s="94"/>
      <c r="F803" s="94"/>
      <c r="G803" s="94"/>
      <c r="H803" s="94"/>
      <c r="I803" s="94"/>
      <c r="J803" s="94"/>
      <c r="K803" s="94"/>
      <c r="L803" s="94"/>
      <c r="M803" s="94"/>
      <c r="N803" s="94"/>
      <c r="O803" s="94"/>
      <c r="P803" s="94"/>
      <c r="Q803" s="94"/>
      <c r="R803" s="94"/>
      <c r="S803" s="94"/>
      <c r="T803" s="94"/>
      <c r="U803" s="94"/>
      <c r="V803" s="94"/>
      <c r="W803" s="94"/>
      <c r="X803" s="94"/>
      <c r="Y803" s="94"/>
      <c r="Z803" s="94"/>
      <c r="AA803" s="94"/>
      <c r="AB803" s="94"/>
      <c r="AC803" s="94"/>
      <c r="AD803" s="94"/>
      <c r="AE803" s="94"/>
      <c r="AF803" s="94"/>
      <c r="AG803" s="94"/>
      <c r="AH803" s="94"/>
      <c r="AI803" s="94"/>
      <c r="AJ803" s="94"/>
      <c r="AK803" s="94"/>
      <c r="AL803" s="94"/>
      <c r="AM803" s="94"/>
      <c r="AN803" s="94"/>
      <c r="AO803" s="94"/>
      <c r="AP803" s="94"/>
      <c r="AQ803" s="94"/>
      <c r="AR803" s="94"/>
      <c r="AS803" s="94"/>
      <c r="AT803" s="94"/>
      <c r="AU803" s="94"/>
      <c r="AV803" s="94"/>
      <c r="AW803" s="94"/>
      <c r="AX803" s="94"/>
      <c r="AY803" s="94"/>
      <c r="BA803" s="95"/>
    </row>
    <row r="804" spans="1:53" s="87" customFormat="1">
      <c r="A804" s="90" t="str">
        <f t="shared" si="37"/>
        <v/>
      </c>
      <c r="B804" s="98"/>
      <c r="C804" s="94"/>
      <c r="D804" s="94"/>
      <c r="E804" s="94"/>
      <c r="F804" s="94"/>
      <c r="G804" s="94"/>
      <c r="H804" s="94"/>
      <c r="I804" s="94"/>
      <c r="J804" s="94"/>
      <c r="K804" s="94"/>
      <c r="L804" s="94"/>
      <c r="M804" s="94"/>
      <c r="N804" s="94"/>
      <c r="O804" s="94"/>
      <c r="P804" s="94"/>
      <c r="Q804" s="94"/>
      <c r="R804" s="94"/>
      <c r="S804" s="94"/>
      <c r="T804" s="94"/>
      <c r="U804" s="94"/>
      <c r="V804" s="94"/>
      <c r="W804" s="94"/>
      <c r="X804" s="94"/>
      <c r="Y804" s="94"/>
      <c r="Z804" s="94"/>
      <c r="AA804" s="94"/>
      <c r="AB804" s="94"/>
      <c r="AC804" s="94"/>
      <c r="AD804" s="94"/>
      <c r="AE804" s="94"/>
      <c r="AF804" s="94"/>
      <c r="AG804" s="94"/>
      <c r="AH804" s="94"/>
      <c r="AI804" s="94"/>
      <c r="AJ804" s="94"/>
      <c r="AK804" s="94"/>
      <c r="AL804" s="94"/>
      <c r="AM804" s="94"/>
      <c r="AN804" s="94"/>
      <c r="AO804" s="94"/>
      <c r="AP804" s="94"/>
      <c r="AQ804" s="94"/>
      <c r="AR804" s="94"/>
      <c r="AS804" s="94"/>
      <c r="AT804" s="94"/>
      <c r="AU804" s="94"/>
      <c r="AV804" s="94"/>
      <c r="AW804" s="94"/>
      <c r="AX804" s="94"/>
      <c r="AY804" s="94"/>
      <c r="BA804" s="95"/>
    </row>
    <row r="805" spans="1:53" s="87" customFormat="1">
      <c r="A805" s="90" t="str">
        <f t="shared" si="37"/>
        <v/>
      </c>
      <c r="B805" s="98"/>
      <c r="C805" s="94"/>
      <c r="D805" s="94"/>
      <c r="E805" s="94"/>
      <c r="F805" s="94"/>
      <c r="G805" s="94"/>
      <c r="H805" s="94"/>
      <c r="I805" s="94"/>
      <c r="J805" s="94"/>
      <c r="K805" s="94"/>
      <c r="L805" s="94"/>
      <c r="M805" s="94"/>
      <c r="N805" s="94"/>
      <c r="O805" s="94"/>
      <c r="P805" s="94"/>
      <c r="Q805" s="94"/>
      <c r="R805" s="94"/>
      <c r="S805" s="94"/>
      <c r="T805" s="94"/>
      <c r="U805" s="94"/>
      <c r="V805" s="94"/>
      <c r="W805" s="94"/>
      <c r="X805" s="94"/>
      <c r="Y805" s="94"/>
      <c r="Z805" s="94"/>
      <c r="AA805" s="94"/>
      <c r="AB805" s="94"/>
      <c r="AC805" s="94"/>
      <c r="AD805" s="94"/>
      <c r="AE805" s="94"/>
      <c r="AF805" s="94"/>
      <c r="AG805" s="94"/>
      <c r="AH805" s="94"/>
      <c r="AI805" s="94"/>
      <c r="AJ805" s="94"/>
      <c r="AK805" s="94"/>
      <c r="AL805" s="94"/>
      <c r="AM805" s="94"/>
      <c r="AN805" s="94"/>
      <c r="AO805" s="94"/>
      <c r="AP805" s="94"/>
      <c r="AQ805" s="94"/>
      <c r="AR805" s="94"/>
      <c r="AS805" s="94"/>
      <c r="AT805" s="94"/>
      <c r="AU805" s="94"/>
      <c r="AV805" s="94"/>
      <c r="AW805" s="94"/>
      <c r="AX805" s="94"/>
      <c r="AY805" s="94"/>
      <c r="BA805" s="95"/>
    </row>
    <row r="806" spans="1:53" s="87" customFormat="1">
      <c r="A806" s="90" t="str">
        <f t="shared" si="37"/>
        <v/>
      </c>
      <c r="B806" s="98"/>
      <c r="C806" s="94"/>
      <c r="D806" s="94"/>
      <c r="E806" s="94"/>
      <c r="F806" s="94"/>
      <c r="G806" s="94"/>
      <c r="H806" s="94"/>
      <c r="I806" s="94"/>
      <c r="J806" s="94"/>
      <c r="K806" s="94"/>
      <c r="L806" s="94"/>
      <c r="M806" s="94"/>
      <c r="N806" s="94"/>
      <c r="O806" s="94"/>
      <c r="P806" s="94"/>
      <c r="Q806" s="94"/>
      <c r="R806" s="94"/>
      <c r="S806" s="94"/>
      <c r="T806" s="94"/>
      <c r="U806" s="94"/>
      <c r="V806" s="94"/>
      <c r="W806" s="94"/>
      <c r="X806" s="94"/>
      <c r="Y806" s="94"/>
      <c r="Z806" s="94"/>
      <c r="AA806" s="94"/>
      <c r="AB806" s="94"/>
      <c r="AC806" s="94"/>
      <c r="AD806" s="94"/>
      <c r="AE806" s="94"/>
      <c r="AF806" s="94"/>
      <c r="AG806" s="94"/>
      <c r="AH806" s="94"/>
      <c r="AI806" s="94"/>
      <c r="AJ806" s="94"/>
      <c r="AK806" s="94"/>
      <c r="AL806" s="94"/>
      <c r="AM806" s="94"/>
      <c r="AN806" s="94"/>
      <c r="AO806" s="94"/>
      <c r="AP806" s="94"/>
      <c r="AQ806" s="94"/>
      <c r="AR806" s="94"/>
      <c r="AS806" s="94"/>
      <c r="AT806" s="94"/>
      <c r="AU806" s="94"/>
      <c r="AV806" s="94"/>
      <c r="AW806" s="94"/>
      <c r="AX806" s="94"/>
      <c r="AY806" s="94"/>
      <c r="BA806" s="95"/>
    </row>
    <row r="807" spans="1:53" s="87" customFormat="1">
      <c r="A807" s="90" t="str">
        <f t="shared" si="37"/>
        <v/>
      </c>
      <c r="B807" s="98"/>
      <c r="C807" s="94"/>
      <c r="D807" s="94"/>
      <c r="E807" s="94"/>
      <c r="F807" s="94"/>
      <c r="G807" s="94"/>
      <c r="H807" s="94"/>
      <c r="I807" s="94"/>
      <c r="J807" s="94"/>
      <c r="K807" s="94"/>
      <c r="L807" s="94"/>
      <c r="M807" s="94"/>
      <c r="N807" s="94"/>
      <c r="O807" s="94"/>
      <c r="P807" s="94"/>
      <c r="Q807" s="94"/>
      <c r="R807" s="94"/>
      <c r="S807" s="94"/>
      <c r="T807" s="94"/>
      <c r="U807" s="94"/>
      <c r="V807" s="94"/>
      <c r="W807" s="94"/>
      <c r="X807" s="94"/>
      <c r="Y807" s="94"/>
      <c r="Z807" s="94"/>
      <c r="AA807" s="94"/>
      <c r="AB807" s="94"/>
      <c r="AC807" s="94"/>
      <c r="AD807" s="94"/>
      <c r="AE807" s="94"/>
      <c r="AF807" s="94"/>
      <c r="AG807" s="94"/>
      <c r="AH807" s="94"/>
      <c r="AI807" s="94"/>
      <c r="AJ807" s="94"/>
      <c r="AK807" s="94"/>
      <c r="AL807" s="94"/>
      <c r="AM807" s="94"/>
      <c r="AN807" s="94"/>
      <c r="AO807" s="94"/>
      <c r="AP807" s="94"/>
      <c r="AQ807" s="94"/>
      <c r="AR807" s="94"/>
      <c r="AS807" s="94"/>
      <c r="AT807" s="94"/>
      <c r="AU807" s="94"/>
      <c r="AV807" s="94"/>
      <c r="AW807" s="94"/>
      <c r="AX807" s="94"/>
      <c r="AY807" s="94"/>
      <c r="BA807" s="95"/>
    </row>
    <row r="808" spans="1:53" s="87" customFormat="1">
      <c r="A808" s="90" t="str">
        <f t="shared" si="37"/>
        <v/>
      </c>
      <c r="B808" s="98"/>
      <c r="C808" s="94"/>
      <c r="D808" s="94"/>
      <c r="E808" s="94"/>
      <c r="F808" s="94"/>
      <c r="G808" s="94"/>
      <c r="H808" s="94"/>
      <c r="I808" s="94"/>
      <c r="J808" s="94"/>
      <c r="K808" s="94"/>
      <c r="L808" s="94"/>
      <c r="M808" s="94"/>
      <c r="N808" s="94"/>
      <c r="O808" s="94"/>
      <c r="P808" s="94"/>
      <c r="Q808" s="94"/>
      <c r="R808" s="94"/>
      <c r="S808" s="94"/>
      <c r="T808" s="94"/>
      <c r="U808" s="94"/>
      <c r="V808" s="94"/>
      <c r="W808" s="94"/>
      <c r="X808" s="94"/>
      <c r="Y808" s="94"/>
      <c r="Z808" s="94"/>
      <c r="AA808" s="94"/>
      <c r="AB808" s="94"/>
      <c r="AC808" s="94"/>
      <c r="AD808" s="94"/>
      <c r="AE808" s="94"/>
      <c r="AF808" s="94"/>
      <c r="AG808" s="94"/>
      <c r="AH808" s="94"/>
      <c r="AI808" s="94"/>
      <c r="AJ808" s="94"/>
      <c r="AK808" s="94"/>
      <c r="AL808" s="94"/>
      <c r="AM808" s="94"/>
      <c r="AN808" s="94"/>
      <c r="AO808" s="94"/>
      <c r="AP808" s="94"/>
      <c r="AQ808" s="94"/>
      <c r="AR808" s="94"/>
      <c r="AS808" s="94"/>
      <c r="AT808" s="94"/>
      <c r="AU808" s="94"/>
      <c r="AV808" s="94"/>
      <c r="AW808" s="94"/>
      <c r="AX808" s="94"/>
      <c r="AY808" s="94"/>
      <c r="BA808" s="95"/>
    </row>
    <row r="809" spans="1:53" s="87" customFormat="1">
      <c r="A809" s="90" t="str">
        <f t="shared" si="37"/>
        <v/>
      </c>
      <c r="B809" s="98"/>
      <c r="C809" s="94"/>
      <c r="D809" s="94"/>
      <c r="E809" s="94"/>
      <c r="F809" s="94"/>
      <c r="G809" s="94"/>
      <c r="H809" s="94"/>
      <c r="I809" s="94"/>
      <c r="J809" s="94"/>
      <c r="K809" s="94"/>
      <c r="L809" s="94"/>
      <c r="M809" s="94"/>
      <c r="N809" s="94"/>
      <c r="O809" s="94"/>
      <c r="P809" s="94"/>
      <c r="Q809" s="94"/>
      <c r="R809" s="94"/>
      <c r="S809" s="94"/>
      <c r="T809" s="94"/>
      <c r="U809" s="94"/>
      <c r="V809" s="94"/>
      <c r="W809" s="94"/>
      <c r="X809" s="94"/>
      <c r="Y809" s="94"/>
      <c r="Z809" s="94"/>
      <c r="AA809" s="94"/>
      <c r="AB809" s="94"/>
      <c r="AC809" s="94"/>
      <c r="AD809" s="94"/>
      <c r="AE809" s="94"/>
      <c r="AF809" s="94"/>
      <c r="AG809" s="94"/>
      <c r="AH809" s="94"/>
      <c r="AI809" s="94"/>
      <c r="AJ809" s="94"/>
      <c r="AK809" s="94"/>
      <c r="AL809" s="94"/>
      <c r="AM809" s="94"/>
      <c r="AN809" s="94"/>
      <c r="AO809" s="94"/>
      <c r="AP809" s="94"/>
      <c r="AQ809" s="94"/>
      <c r="AR809" s="94"/>
      <c r="AS809" s="94"/>
      <c r="AT809" s="94"/>
      <c r="AU809" s="94"/>
      <c r="AV809" s="94"/>
      <c r="AW809" s="94"/>
      <c r="AX809" s="94"/>
      <c r="AY809" s="94"/>
      <c r="BA809" s="95"/>
    </row>
    <row r="810" spans="1:53" s="87" customFormat="1">
      <c r="A810" s="90" t="str">
        <f t="shared" si="37"/>
        <v/>
      </c>
      <c r="B810" s="98"/>
      <c r="C810" s="94"/>
      <c r="D810" s="94"/>
      <c r="E810" s="94"/>
      <c r="F810" s="94"/>
      <c r="G810" s="94"/>
      <c r="H810" s="94"/>
      <c r="I810" s="94"/>
      <c r="J810" s="94"/>
      <c r="K810" s="94"/>
      <c r="L810" s="94"/>
      <c r="M810" s="94"/>
      <c r="N810" s="94"/>
      <c r="O810" s="94"/>
      <c r="P810" s="94"/>
      <c r="Q810" s="94"/>
      <c r="R810" s="94"/>
      <c r="S810" s="94"/>
      <c r="T810" s="94"/>
      <c r="U810" s="94"/>
      <c r="V810" s="94"/>
      <c r="W810" s="94"/>
      <c r="X810" s="94"/>
      <c r="Y810" s="94"/>
      <c r="Z810" s="94"/>
      <c r="AA810" s="94"/>
      <c r="AB810" s="94"/>
      <c r="AC810" s="94"/>
      <c r="AD810" s="94"/>
      <c r="AE810" s="94"/>
      <c r="AF810" s="94"/>
      <c r="AG810" s="94"/>
      <c r="AH810" s="94"/>
      <c r="AI810" s="94"/>
      <c r="AJ810" s="94"/>
      <c r="AK810" s="94"/>
      <c r="AL810" s="94"/>
      <c r="AM810" s="94"/>
      <c r="AN810" s="94"/>
      <c r="AO810" s="94"/>
      <c r="AP810" s="94"/>
      <c r="AQ810" s="94"/>
      <c r="AR810" s="94"/>
      <c r="AS810" s="94"/>
      <c r="AT810" s="94"/>
      <c r="AU810" s="94"/>
      <c r="AV810" s="94"/>
      <c r="AW810" s="94"/>
      <c r="AX810" s="94"/>
      <c r="AY810" s="94"/>
      <c r="BA810" s="95"/>
    </row>
    <row r="811" spans="1:53" s="87" customFormat="1">
      <c r="A811" s="90" t="str">
        <f t="shared" si="37"/>
        <v/>
      </c>
      <c r="B811" s="98"/>
      <c r="C811" s="94"/>
      <c r="D811" s="94"/>
      <c r="E811" s="94"/>
      <c r="F811" s="94"/>
      <c r="G811" s="94"/>
      <c r="H811" s="94"/>
      <c r="I811" s="94"/>
      <c r="J811" s="94"/>
      <c r="K811" s="94"/>
      <c r="L811" s="94"/>
      <c r="M811" s="94"/>
      <c r="N811" s="94"/>
      <c r="O811" s="94"/>
      <c r="P811" s="94"/>
      <c r="Q811" s="94"/>
      <c r="R811" s="94"/>
      <c r="S811" s="94"/>
      <c r="T811" s="94"/>
      <c r="U811" s="94"/>
      <c r="V811" s="94"/>
      <c r="W811" s="94"/>
      <c r="X811" s="94"/>
      <c r="Y811" s="94"/>
      <c r="Z811" s="94"/>
      <c r="AA811" s="94"/>
      <c r="AB811" s="94"/>
      <c r="AC811" s="94"/>
      <c r="AD811" s="94"/>
      <c r="AE811" s="94"/>
      <c r="AF811" s="94"/>
      <c r="AG811" s="94"/>
      <c r="AH811" s="94"/>
      <c r="AI811" s="94"/>
      <c r="AJ811" s="94"/>
      <c r="AK811" s="94"/>
      <c r="AL811" s="94"/>
      <c r="AM811" s="94"/>
      <c r="AN811" s="94"/>
      <c r="AO811" s="94"/>
      <c r="AP811" s="94"/>
      <c r="AQ811" s="94"/>
      <c r="AR811" s="94"/>
      <c r="AS811" s="94"/>
      <c r="AT811" s="94"/>
      <c r="AU811" s="94"/>
      <c r="AV811" s="94"/>
      <c r="AW811" s="94"/>
      <c r="AX811" s="94"/>
      <c r="AY811" s="94"/>
      <c r="BA811" s="95"/>
    </row>
    <row r="812" spans="1:53" s="87" customFormat="1">
      <c r="A812" s="90" t="str">
        <f t="shared" si="37"/>
        <v/>
      </c>
      <c r="B812" s="98"/>
      <c r="C812" s="94"/>
      <c r="D812" s="94"/>
      <c r="E812" s="94"/>
      <c r="F812" s="94"/>
      <c r="G812" s="94"/>
      <c r="H812" s="94"/>
      <c r="I812" s="94"/>
      <c r="J812" s="94"/>
      <c r="K812" s="94"/>
      <c r="L812" s="94"/>
      <c r="M812" s="94"/>
      <c r="N812" s="94"/>
      <c r="O812" s="94"/>
      <c r="P812" s="94"/>
      <c r="Q812" s="94"/>
      <c r="R812" s="94"/>
      <c r="S812" s="94"/>
      <c r="T812" s="94"/>
      <c r="U812" s="94"/>
      <c r="V812" s="94"/>
      <c r="W812" s="94"/>
      <c r="X812" s="94"/>
      <c r="Y812" s="94"/>
      <c r="Z812" s="94"/>
      <c r="AA812" s="94"/>
      <c r="AB812" s="94"/>
      <c r="AC812" s="94"/>
      <c r="AD812" s="94"/>
      <c r="AE812" s="94"/>
      <c r="AF812" s="94"/>
      <c r="AG812" s="94"/>
      <c r="AH812" s="94"/>
      <c r="AI812" s="94"/>
      <c r="AJ812" s="94"/>
      <c r="AK812" s="94"/>
      <c r="AL812" s="94"/>
      <c r="AM812" s="94"/>
      <c r="AN812" s="94"/>
      <c r="AO812" s="94"/>
      <c r="AP812" s="94"/>
      <c r="AQ812" s="94"/>
      <c r="AR812" s="94"/>
      <c r="AS812" s="94"/>
      <c r="AT812" s="94"/>
      <c r="AU812" s="94"/>
      <c r="AV812" s="94"/>
      <c r="AW812" s="94"/>
      <c r="AX812" s="94"/>
      <c r="AY812" s="94"/>
      <c r="BA812" s="95"/>
    </row>
    <row r="813" spans="1:53" s="87" customFormat="1">
      <c r="A813" s="90" t="str">
        <f t="shared" si="37"/>
        <v/>
      </c>
      <c r="B813" s="98"/>
      <c r="C813" s="94"/>
      <c r="D813" s="94"/>
      <c r="E813" s="94"/>
      <c r="F813" s="94"/>
      <c r="G813" s="94"/>
      <c r="H813" s="94"/>
      <c r="I813" s="94"/>
      <c r="J813" s="94"/>
      <c r="K813" s="94"/>
      <c r="L813" s="94"/>
      <c r="M813" s="94"/>
      <c r="N813" s="94"/>
      <c r="O813" s="94"/>
      <c r="P813" s="94"/>
      <c r="Q813" s="94"/>
      <c r="R813" s="94"/>
      <c r="S813" s="94"/>
      <c r="T813" s="94"/>
      <c r="U813" s="94"/>
      <c r="V813" s="94"/>
      <c r="W813" s="94"/>
      <c r="X813" s="94"/>
      <c r="Y813" s="94"/>
      <c r="Z813" s="94"/>
      <c r="AA813" s="94"/>
      <c r="AB813" s="94"/>
      <c r="AC813" s="94"/>
      <c r="AD813" s="94"/>
      <c r="AE813" s="94"/>
      <c r="AF813" s="94"/>
      <c r="AG813" s="94"/>
      <c r="AH813" s="94"/>
      <c r="AI813" s="94"/>
      <c r="AJ813" s="94"/>
      <c r="AK813" s="94"/>
      <c r="AL813" s="94"/>
      <c r="AM813" s="94"/>
      <c r="AN813" s="94"/>
      <c r="AO813" s="94"/>
      <c r="AP813" s="94"/>
      <c r="AQ813" s="94"/>
      <c r="AR813" s="94"/>
      <c r="AS813" s="94"/>
      <c r="AT813" s="94"/>
      <c r="AU813" s="94"/>
      <c r="AV813" s="94"/>
      <c r="AW813" s="94"/>
      <c r="AX813" s="94"/>
      <c r="AY813" s="94"/>
      <c r="BA813" s="95"/>
    </row>
    <row r="814" spans="1:53" s="87" customFormat="1">
      <c r="A814" s="90" t="str">
        <f t="shared" si="37"/>
        <v/>
      </c>
      <c r="B814" s="98"/>
      <c r="C814" s="94"/>
      <c r="D814" s="94"/>
      <c r="E814" s="94"/>
      <c r="F814" s="94"/>
      <c r="G814" s="94"/>
      <c r="H814" s="94"/>
      <c r="I814" s="94"/>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BA814" s="95"/>
    </row>
    <row r="815" spans="1:53" s="87" customFormat="1">
      <c r="A815" s="90" t="str">
        <f t="shared" si="37"/>
        <v/>
      </c>
      <c r="B815" s="98"/>
      <c r="C815" s="94"/>
      <c r="D815" s="94"/>
      <c r="E815" s="94"/>
      <c r="F815" s="94"/>
      <c r="G815" s="94"/>
      <c r="H815" s="94"/>
      <c r="I815" s="94"/>
      <c r="J815" s="94"/>
      <c r="K815" s="94"/>
      <c r="L815" s="94"/>
      <c r="M815" s="94"/>
      <c r="N815" s="94"/>
      <c r="O815" s="94"/>
      <c r="P815" s="94"/>
      <c r="Q815" s="94"/>
      <c r="R815" s="94"/>
      <c r="S815" s="94"/>
      <c r="T815" s="94"/>
      <c r="U815" s="94"/>
      <c r="V815" s="94"/>
      <c r="W815" s="94"/>
      <c r="X815" s="94"/>
      <c r="Y815" s="94"/>
      <c r="Z815" s="94"/>
      <c r="AA815" s="94"/>
      <c r="AB815" s="94"/>
      <c r="AC815" s="94"/>
      <c r="AD815" s="94"/>
      <c r="AE815" s="94"/>
      <c r="AF815" s="94"/>
      <c r="AG815" s="94"/>
      <c r="AH815" s="94"/>
      <c r="AI815" s="94"/>
      <c r="AJ815" s="94"/>
      <c r="AK815" s="94"/>
      <c r="AL815" s="94"/>
      <c r="AM815" s="94"/>
      <c r="AN815" s="94"/>
      <c r="AO815" s="94"/>
      <c r="AP815" s="94"/>
      <c r="AQ815" s="94"/>
      <c r="AR815" s="94"/>
      <c r="AS815" s="94"/>
      <c r="AT815" s="94"/>
      <c r="AU815" s="94"/>
      <c r="AV815" s="94"/>
      <c r="AW815" s="94"/>
      <c r="AX815" s="94"/>
      <c r="AY815" s="94"/>
      <c r="BA815" s="95"/>
    </row>
    <row r="816" spans="1:53" s="87" customFormat="1">
      <c r="A816" s="90" t="str">
        <f t="shared" si="37"/>
        <v/>
      </c>
      <c r="B816" s="98"/>
      <c r="C816" s="94"/>
      <c r="D816" s="94"/>
      <c r="E816" s="94"/>
      <c r="F816" s="94"/>
      <c r="G816" s="94"/>
      <c r="H816" s="94"/>
      <c r="I816" s="94"/>
      <c r="J816" s="94"/>
      <c r="K816" s="94"/>
      <c r="L816" s="94"/>
      <c r="M816" s="94"/>
      <c r="N816" s="94"/>
      <c r="O816" s="94"/>
      <c r="P816" s="94"/>
      <c r="Q816" s="94"/>
      <c r="R816" s="94"/>
      <c r="S816" s="94"/>
      <c r="T816" s="94"/>
      <c r="U816" s="94"/>
      <c r="V816" s="94"/>
      <c r="W816" s="94"/>
      <c r="X816" s="94"/>
      <c r="Y816" s="94"/>
      <c r="Z816" s="94"/>
      <c r="AA816" s="94"/>
      <c r="AB816" s="94"/>
      <c r="AC816" s="94"/>
      <c r="AD816" s="94"/>
      <c r="AE816" s="94"/>
      <c r="AF816" s="94"/>
      <c r="AG816" s="94"/>
      <c r="AH816" s="94"/>
      <c r="AI816" s="94"/>
      <c r="AJ816" s="94"/>
      <c r="AK816" s="94"/>
      <c r="AL816" s="94"/>
      <c r="AM816" s="94"/>
      <c r="AN816" s="94"/>
      <c r="AO816" s="94"/>
      <c r="AP816" s="94"/>
      <c r="AQ816" s="94"/>
      <c r="AR816" s="94"/>
      <c r="AS816" s="94"/>
      <c r="AT816" s="94"/>
      <c r="AU816" s="94"/>
      <c r="AV816" s="94"/>
      <c r="AW816" s="94"/>
      <c r="AX816" s="94"/>
      <c r="AY816" s="94"/>
      <c r="BA816" s="95"/>
    </row>
    <row r="817" spans="1:53" s="87" customFormat="1">
      <c r="A817" s="90" t="str">
        <f t="shared" si="37"/>
        <v/>
      </c>
      <c r="B817" s="98"/>
      <c r="C817" s="94"/>
      <c r="D817" s="94"/>
      <c r="E817" s="94"/>
      <c r="F817" s="94"/>
      <c r="G817" s="94"/>
      <c r="H817" s="94"/>
      <c r="I817" s="94"/>
      <c r="J817" s="94"/>
      <c r="K817" s="94"/>
      <c r="L817" s="94"/>
      <c r="M817" s="94"/>
      <c r="N817" s="94"/>
      <c r="O817" s="94"/>
      <c r="P817" s="94"/>
      <c r="Q817" s="94"/>
      <c r="R817" s="94"/>
      <c r="S817" s="94"/>
      <c r="T817" s="94"/>
      <c r="U817" s="94"/>
      <c r="V817" s="94"/>
      <c r="W817" s="94"/>
      <c r="X817" s="94"/>
      <c r="Y817" s="94"/>
      <c r="Z817" s="94"/>
      <c r="AA817" s="94"/>
      <c r="AB817" s="94"/>
      <c r="AC817" s="94"/>
      <c r="AD817" s="94"/>
      <c r="AE817" s="94"/>
      <c r="AF817" s="94"/>
      <c r="AG817" s="94"/>
      <c r="AH817" s="94"/>
      <c r="AI817" s="94"/>
      <c r="AJ817" s="94"/>
      <c r="AK817" s="94"/>
      <c r="AL817" s="94"/>
      <c r="AM817" s="94"/>
      <c r="AN817" s="94"/>
      <c r="AO817" s="94"/>
      <c r="AP817" s="94"/>
      <c r="AQ817" s="94"/>
      <c r="AR817" s="94"/>
      <c r="AS817" s="94"/>
      <c r="AT817" s="94"/>
      <c r="AU817" s="94"/>
      <c r="AV817" s="94"/>
      <c r="AW817" s="94"/>
      <c r="AX817" s="94"/>
      <c r="AY817" s="94"/>
      <c r="BA817" s="95"/>
    </row>
    <row r="818" spans="1:53" s="87" customFormat="1">
      <c r="A818" s="90" t="str">
        <f t="shared" si="37"/>
        <v/>
      </c>
      <c r="B818" s="98"/>
      <c r="C818" s="94"/>
      <c r="D818" s="94"/>
      <c r="E818" s="94"/>
      <c r="F818" s="94"/>
      <c r="G818" s="94"/>
      <c r="H818" s="94"/>
      <c r="I818" s="94"/>
      <c r="J818" s="94"/>
      <c r="K818" s="94"/>
      <c r="L818" s="94"/>
      <c r="M818" s="94"/>
      <c r="N818" s="94"/>
      <c r="O818" s="94"/>
      <c r="P818" s="94"/>
      <c r="Q818" s="94"/>
      <c r="R818" s="94"/>
      <c r="S818" s="94"/>
      <c r="T818" s="94"/>
      <c r="U818" s="94"/>
      <c r="V818" s="94"/>
      <c r="W818" s="94"/>
      <c r="X818" s="94"/>
      <c r="Y818" s="94"/>
      <c r="Z818" s="94"/>
      <c r="AA818" s="94"/>
      <c r="AB818" s="94"/>
      <c r="AC818" s="94"/>
      <c r="AD818" s="94"/>
      <c r="AE818" s="94"/>
      <c r="AF818" s="94"/>
      <c r="AG818" s="94"/>
      <c r="AH818" s="94"/>
      <c r="AI818" s="94"/>
      <c r="AJ818" s="94"/>
      <c r="AK818" s="94"/>
      <c r="AL818" s="94"/>
      <c r="AM818" s="94"/>
      <c r="AN818" s="94"/>
      <c r="AO818" s="94"/>
      <c r="AP818" s="94"/>
      <c r="AQ818" s="94"/>
      <c r="AR818" s="94"/>
      <c r="AS818" s="94"/>
      <c r="AT818" s="94"/>
      <c r="AU818" s="94"/>
      <c r="AV818" s="94"/>
      <c r="AW818" s="94"/>
      <c r="AX818" s="94"/>
      <c r="AY818" s="94"/>
      <c r="BA818" s="95"/>
    </row>
    <row r="819" spans="1:53" s="87" customFormat="1">
      <c r="A819" s="90" t="str">
        <f t="shared" si="37"/>
        <v/>
      </c>
      <c r="B819" s="98"/>
      <c r="C819" s="94"/>
      <c r="D819" s="94"/>
      <c r="E819" s="94"/>
      <c r="F819" s="94"/>
      <c r="G819" s="94"/>
      <c r="H819" s="94"/>
      <c r="I819" s="94"/>
      <c r="J819" s="94"/>
      <c r="K819" s="94"/>
      <c r="L819" s="94"/>
      <c r="M819" s="94"/>
      <c r="N819" s="94"/>
      <c r="O819" s="94"/>
      <c r="P819" s="94"/>
      <c r="Q819" s="94"/>
      <c r="R819" s="94"/>
      <c r="S819" s="94"/>
      <c r="T819" s="94"/>
      <c r="U819" s="94"/>
      <c r="V819" s="94"/>
      <c r="W819" s="94"/>
      <c r="X819" s="94"/>
      <c r="Y819" s="94"/>
      <c r="Z819" s="94"/>
      <c r="AA819" s="94"/>
      <c r="AB819" s="94"/>
      <c r="AC819" s="94"/>
      <c r="AD819" s="94"/>
      <c r="AE819" s="94"/>
      <c r="AF819" s="94"/>
      <c r="AG819" s="94"/>
      <c r="AH819" s="94"/>
      <c r="AI819" s="94"/>
      <c r="AJ819" s="94"/>
      <c r="AK819" s="94"/>
      <c r="AL819" s="94"/>
      <c r="AM819" s="94"/>
      <c r="AN819" s="94"/>
      <c r="AO819" s="94"/>
      <c r="AP819" s="94"/>
      <c r="AQ819" s="94"/>
      <c r="AR819" s="94"/>
      <c r="AS819" s="94"/>
      <c r="AT819" s="94"/>
      <c r="AU819" s="94"/>
      <c r="AV819" s="94"/>
      <c r="AW819" s="94"/>
      <c r="AX819" s="94"/>
      <c r="AY819" s="94"/>
      <c r="BA819" s="95"/>
    </row>
    <row r="820" spans="1:53" s="87" customFormat="1">
      <c r="A820" s="90" t="str">
        <f t="shared" si="37"/>
        <v/>
      </c>
      <c r="B820" s="98"/>
      <c r="C820" s="94"/>
      <c r="D820" s="94"/>
      <c r="E820" s="94"/>
      <c r="F820" s="94"/>
      <c r="G820" s="94"/>
      <c r="H820" s="94"/>
      <c r="I820" s="94"/>
      <c r="J820" s="94"/>
      <c r="K820" s="94"/>
      <c r="L820" s="94"/>
      <c r="M820" s="94"/>
      <c r="N820" s="94"/>
      <c r="O820" s="94"/>
      <c r="P820" s="94"/>
      <c r="Q820" s="94"/>
      <c r="R820" s="94"/>
      <c r="S820" s="94"/>
      <c r="T820" s="94"/>
      <c r="U820" s="94"/>
      <c r="V820" s="94"/>
      <c r="W820" s="94"/>
      <c r="X820" s="94"/>
      <c r="Y820" s="94"/>
      <c r="Z820" s="94"/>
      <c r="AA820" s="94"/>
      <c r="AB820" s="94"/>
      <c r="AC820" s="94"/>
      <c r="AD820" s="94"/>
      <c r="AE820" s="94"/>
      <c r="AF820" s="94"/>
      <c r="AG820" s="94"/>
      <c r="AH820" s="94"/>
      <c r="AI820" s="94"/>
      <c r="AJ820" s="94"/>
      <c r="AK820" s="94"/>
      <c r="AL820" s="94"/>
      <c r="AM820" s="94"/>
      <c r="AN820" s="94"/>
      <c r="AO820" s="94"/>
      <c r="AP820" s="94"/>
      <c r="AQ820" s="94"/>
      <c r="AR820" s="94"/>
      <c r="AS820" s="94"/>
      <c r="AT820" s="94"/>
      <c r="AU820" s="94"/>
      <c r="AV820" s="94"/>
      <c r="AW820" s="94"/>
      <c r="AX820" s="94"/>
      <c r="AY820" s="94"/>
      <c r="BA820" s="95"/>
    </row>
    <row r="821" spans="1:53" s="87" customFormat="1">
      <c r="A821" s="90" t="str">
        <f t="shared" si="37"/>
        <v/>
      </c>
      <c r="B821" s="98"/>
      <c r="C821" s="94"/>
      <c r="D821" s="94"/>
      <c r="E821" s="94"/>
      <c r="F821" s="94"/>
      <c r="G821" s="94"/>
      <c r="H821" s="94"/>
      <c r="I821" s="94"/>
      <c r="J821" s="94"/>
      <c r="K821" s="94"/>
      <c r="L821" s="94"/>
      <c r="M821" s="94"/>
      <c r="N821" s="94"/>
      <c r="O821" s="94"/>
      <c r="P821" s="94"/>
      <c r="Q821" s="94"/>
      <c r="R821" s="94"/>
      <c r="S821" s="94"/>
      <c r="T821" s="94"/>
      <c r="U821" s="94"/>
      <c r="V821" s="94"/>
      <c r="W821" s="94"/>
      <c r="X821" s="94"/>
      <c r="Y821" s="94"/>
      <c r="Z821" s="94"/>
      <c r="AA821" s="94"/>
      <c r="AB821" s="94"/>
      <c r="AC821" s="94"/>
      <c r="AD821" s="94"/>
      <c r="AE821" s="94"/>
      <c r="AF821" s="94"/>
      <c r="AG821" s="94"/>
      <c r="AH821" s="94"/>
      <c r="AI821" s="94"/>
      <c r="AJ821" s="94"/>
      <c r="AK821" s="94"/>
      <c r="AL821" s="94"/>
      <c r="AM821" s="94"/>
      <c r="AN821" s="94"/>
      <c r="AO821" s="94"/>
      <c r="AP821" s="94"/>
      <c r="AQ821" s="94"/>
      <c r="AR821" s="94"/>
      <c r="AS821" s="94"/>
      <c r="AT821" s="94"/>
      <c r="AU821" s="94"/>
      <c r="AV821" s="94"/>
      <c r="AW821" s="94"/>
      <c r="AX821" s="94"/>
      <c r="AY821" s="94"/>
      <c r="BA821" s="95"/>
    </row>
    <row r="822" spans="1:53" s="87" customFormat="1">
      <c r="A822" s="90" t="str">
        <f t="shared" si="37"/>
        <v/>
      </c>
      <c r="B822" s="98"/>
      <c r="C822" s="94"/>
      <c r="D822" s="94"/>
      <c r="E822" s="94"/>
      <c r="F822" s="94"/>
      <c r="G822" s="94"/>
      <c r="H822" s="94"/>
      <c r="I822" s="94"/>
      <c r="J822" s="94"/>
      <c r="K822" s="94"/>
      <c r="L822" s="94"/>
      <c r="M822" s="94"/>
      <c r="N822" s="94"/>
      <c r="O822" s="94"/>
      <c r="P822" s="94"/>
      <c r="Q822" s="94"/>
      <c r="R822" s="94"/>
      <c r="S822" s="94"/>
      <c r="T822" s="94"/>
      <c r="U822" s="94"/>
      <c r="V822" s="94"/>
      <c r="W822" s="94"/>
      <c r="X822" s="94"/>
      <c r="Y822" s="94"/>
      <c r="Z822" s="94"/>
      <c r="AA822" s="94"/>
      <c r="AB822" s="94"/>
      <c r="AC822" s="94"/>
      <c r="AD822" s="94"/>
      <c r="AE822" s="94"/>
      <c r="AF822" s="94"/>
      <c r="AG822" s="94"/>
      <c r="AH822" s="94"/>
      <c r="AI822" s="94"/>
      <c r="AJ822" s="94"/>
      <c r="AK822" s="94"/>
      <c r="AL822" s="94"/>
      <c r="AM822" s="94"/>
      <c r="AN822" s="94"/>
      <c r="AO822" s="94"/>
      <c r="AP822" s="94"/>
      <c r="AQ822" s="94"/>
      <c r="AR822" s="94"/>
      <c r="AS822" s="94"/>
      <c r="AT822" s="94"/>
      <c r="AU822" s="94"/>
      <c r="AV822" s="94"/>
      <c r="AW822" s="94"/>
      <c r="AX822" s="94"/>
      <c r="AY822" s="94"/>
      <c r="BA822" s="95"/>
    </row>
    <row r="823" spans="1:53" s="87" customFormat="1">
      <c r="A823" s="90" t="str">
        <f t="shared" si="37"/>
        <v/>
      </c>
      <c r="B823" s="98"/>
      <c r="C823" s="94"/>
      <c r="D823" s="94"/>
      <c r="E823" s="94"/>
      <c r="F823" s="94"/>
      <c r="G823" s="94"/>
      <c r="H823" s="94"/>
      <c r="I823" s="94"/>
      <c r="J823" s="94"/>
      <c r="K823" s="94"/>
      <c r="L823" s="94"/>
      <c r="M823" s="94"/>
      <c r="N823" s="94"/>
      <c r="O823" s="94"/>
      <c r="P823" s="94"/>
      <c r="Q823" s="94"/>
      <c r="R823" s="94"/>
      <c r="S823" s="94"/>
      <c r="T823" s="94"/>
      <c r="U823" s="94"/>
      <c r="V823" s="94"/>
      <c r="W823" s="94"/>
      <c r="X823" s="94"/>
      <c r="Y823" s="94"/>
      <c r="Z823" s="94"/>
      <c r="AA823" s="94"/>
      <c r="AB823" s="94"/>
      <c r="AC823" s="94"/>
      <c r="AD823" s="94"/>
      <c r="AE823" s="94"/>
      <c r="AF823" s="94"/>
      <c r="AG823" s="94"/>
      <c r="AH823" s="94"/>
      <c r="AI823" s="94"/>
      <c r="AJ823" s="94"/>
      <c r="AK823" s="94"/>
      <c r="AL823" s="94"/>
      <c r="AM823" s="94"/>
      <c r="AN823" s="94"/>
      <c r="AO823" s="94"/>
      <c r="AP823" s="94"/>
      <c r="AQ823" s="94"/>
      <c r="AR823" s="94"/>
      <c r="AS823" s="94"/>
      <c r="AT823" s="94"/>
      <c r="AU823" s="94"/>
      <c r="AV823" s="94"/>
      <c r="AW823" s="94"/>
      <c r="AX823" s="94"/>
      <c r="AY823" s="94"/>
      <c r="BA823" s="95"/>
    </row>
    <row r="824" spans="1:53" s="87" customFormat="1">
      <c r="A824" s="90" t="str">
        <f t="shared" si="37"/>
        <v/>
      </c>
      <c r="B824" s="98"/>
      <c r="C824" s="94"/>
      <c r="D824" s="94"/>
      <c r="E824" s="94"/>
      <c r="F824" s="94"/>
      <c r="G824" s="94"/>
      <c r="H824" s="94"/>
      <c r="I824" s="94"/>
      <c r="J824" s="94"/>
      <c r="K824" s="94"/>
      <c r="L824" s="94"/>
      <c r="M824" s="94"/>
      <c r="N824" s="94"/>
      <c r="O824" s="94"/>
      <c r="P824" s="94"/>
      <c r="Q824" s="94"/>
      <c r="R824" s="94"/>
      <c r="S824" s="94"/>
      <c r="T824" s="94"/>
      <c r="U824" s="94"/>
      <c r="V824" s="94"/>
      <c r="W824" s="94"/>
      <c r="X824" s="94"/>
      <c r="Y824" s="94"/>
      <c r="Z824" s="94"/>
      <c r="AA824" s="94"/>
      <c r="AB824" s="94"/>
      <c r="AC824" s="94"/>
      <c r="AD824" s="94"/>
      <c r="AE824" s="94"/>
      <c r="AF824" s="94"/>
      <c r="AG824" s="94"/>
      <c r="AH824" s="94"/>
      <c r="AI824" s="94"/>
      <c r="AJ824" s="94"/>
      <c r="AK824" s="94"/>
      <c r="AL824" s="94"/>
      <c r="AM824" s="94"/>
      <c r="AN824" s="94"/>
      <c r="AO824" s="94"/>
      <c r="AP824" s="94"/>
      <c r="AQ824" s="94"/>
      <c r="AR824" s="94"/>
      <c r="AS824" s="94"/>
      <c r="AT824" s="94"/>
      <c r="AU824" s="94"/>
      <c r="AV824" s="94"/>
      <c r="AW824" s="94"/>
      <c r="AX824" s="94"/>
      <c r="AY824" s="94"/>
      <c r="BA824" s="95"/>
    </row>
    <row r="825" spans="1:53" s="87" customFormat="1">
      <c r="A825" s="90" t="str">
        <f t="shared" si="37"/>
        <v/>
      </c>
      <c r="B825" s="98"/>
      <c r="C825" s="94"/>
      <c r="D825" s="94"/>
      <c r="E825" s="94"/>
      <c r="F825" s="94"/>
      <c r="G825" s="94"/>
      <c r="H825" s="94"/>
      <c r="I825" s="94"/>
      <c r="J825" s="94"/>
      <c r="K825" s="94"/>
      <c r="L825" s="94"/>
      <c r="M825" s="94"/>
      <c r="N825" s="94"/>
      <c r="O825" s="94"/>
      <c r="P825" s="94"/>
      <c r="Q825" s="94"/>
      <c r="R825" s="94"/>
      <c r="S825" s="94"/>
      <c r="T825" s="94"/>
      <c r="U825" s="94"/>
      <c r="V825" s="94"/>
      <c r="W825" s="94"/>
      <c r="X825" s="94"/>
      <c r="Y825" s="94"/>
      <c r="Z825" s="94"/>
      <c r="AA825" s="94"/>
      <c r="AB825" s="94"/>
      <c r="AC825" s="94"/>
      <c r="AD825" s="94"/>
      <c r="AE825" s="94"/>
      <c r="AF825" s="94"/>
      <c r="AG825" s="94"/>
      <c r="AH825" s="94"/>
      <c r="AI825" s="94"/>
      <c r="AJ825" s="94"/>
      <c r="AK825" s="94"/>
      <c r="AL825" s="94"/>
      <c r="AM825" s="94"/>
      <c r="AN825" s="94"/>
      <c r="AO825" s="94"/>
      <c r="AP825" s="94"/>
      <c r="AQ825" s="94"/>
      <c r="AR825" s="94"/>
      <c r="AS825" s="94"/>
      <c r="AT825" s="94"/>
      <c r="AU825" s="94"/>
      <c r="AV825" s="94"/>
      <c r="AW825" s="94"/>
      <c r="AX825" s="94"/>
      <c r="AY825" s="94"/>
      <c r="BA825" s="95"/>
    </row>
    <row r="826" spans="1:53" s="87" customFormat="1">
      <c r="A826" s="90" t="str">
        <f t="shared" si="37"/>
        <v/>
      </c>
      <c r="B826" s="98"/>
      <c r="C826" s="94"/>
      <c r="D826" s="94"/>
      <c r="E826" s="94"/>
      <c r="F826" s="94"/>
      <c r="G826" s="94"/>
      <c r="H826" s="94"/>
      <c r="I826" s="94"/>
      <c r="J826" s="94"/>
      <c r="K826" s="94"/>
      <c r="L826" s="94"/>
      <c r="M826" s="94"/>
      <c r="N826" s="94"/>
      <c r="O826" s="94"/>
      <c r="P826" s="94"/>
      <c r="Q826" s="94"/>
      <c r="R826" s="94"/>
      <c r="S826" s="94"/>
      <c r="T826" s="94"/>
      <c r="U826" s="94"/>
      <c r="V826" s="94"/>
      <c r="W826" s="94"/>
      <c r="X826" s="94"/>
      <c r="Y826" s="94"/>
      <c r="Z826" s="94"/>
      <c r="AA826" s="94"/>
      <c r="AB826" s="94"/>
      <c r="AC826" s="94"/>
      <c r="AD826" s="94"/>
      <c r="AE826" s="94"/>
      <c r="AF826" s="94"/>
      <c r="AG826" s="94"/>
      <c r="AH826" s="94"/>
      <c r="AI826" s="94"/>
      <c r="AJ826" s="94"/>
      <c r="AK826" s="94"/>
      <c r="AL826" s="94"/>
      <c r="AM826" s="94"/>
      <c r="AN826" s="94"/>
      <c r="AO826" s="94"/>
      <c r="AP826" s="94"/>
      <c r="AQ826" s="94"/>
      <c r="AR826" s="94"/>
      <c r="AS826" s="94"/>
      <c r="AT826" s="94"/>
      <c r="AU826" s="94"/>
      <c r="AV826" s="94"/>
      <c r="AW826" s="94"/>
      <c r="AX826" s="94"/>
      <c r="AY826" s="94"/>
      <c r="BA826" s="95"/>
    </row>
    <row r="827" spans="1:53" s="87" customFormat="1">
      <c r="A827" s="90" t="str">
        <f t="shared" si="37"/>
        <v/>
      </c>
      <c r="B827" s="98"/>
      <c r="C827" s="94"/>
      <c r="D827" s="94"/>
      <c r="E827" s="94"/>
      <c r="F827" s="94"/>
      <c r="G827" s="94"/>
      <c r="H827" s="94"/>
      <c r="I827" s="94"/>
      <c r="J827" s="94"/>
      <c r="K827" s="94"/>
      <c r="L827" s="94"/>
      <c r="M827" s="94"/>
      <c r="N827" s="94"/>
      <c r="O827" s="94"/>
      <c r="P827" s="94"/>
      <c r="Q827" s="94"/>
      <c r="R827" s="94"/>
      <c r="S827" s="94"/>
      <c r="T827" s="94"/>
      <c r="U827" s="94"/>
      <c r="V827" s="94"/>
      <c r="W827" s="94"/>
      <c r="X827" s="94"/>
      <c r="Y827" s="94"/>
      <c r="Z827" s="94"/>
      <c r="AA827" s="94"/>
      <c r="AB827" s="94"/>
      <c r="AC827" s="94"/>
      <c r="AD827" s="94"/>
      <c r="AE827" s="94"/>
      <c r="AF827" s="94"/>
      <c r="AG827" s="94"/>
      <c r="AH827" s="94"/>
      <c r="AI827" s="94"/>
      <c r="AJ827" s="94"/>
      <c r="AK827" s="94"/>
      <c r="AL827" s="94"/>
      <c r="AM827" s="94"/>
      <c r="AN827" s="94"/>
      <c r="AO827" s="94"/>
      <c r="AP827" s="94"/>
      <c r="AQ827" s="94"/>
      <c r="AR827" s="94"/>
      <c r="AS827" s="94"/>
      <c r="AT827" s="94"/>
      <c r="AU827" s="94"/>
      <c r="AV827" s="94"/>
      <c r="AW827" s="94"/>
      <c r="AX827" s="94"/>
      <c r="AY827" s="94"/>
      <c r="BA827" s="95"/>
    </row>
    <row r="828" spans="1:53" s="87" customFormat="1">
      <c r="A828" s="90" t="str">
        <f t="shared" si="37"/>
        <v/>
      </c>
      <c r="B828" s="98"/>
      <c r="C828" s="94"/>
      <c r="D828" s="94"/>
      <c r="E828" s="94"/>
      <c r="F828" s="94"/>
      <c r="G828" s="94"/>
      <c r="H828" s="94"/>
      <c r="I828" s="94"/>
      <c r="J828" s="94"/>
      <c r="K828" s="94"/>
      <c r="L828" s="94"/>
      <c r="M828" s="94"/>
      <c r="N828" s="94"/>
      <c r="O828" s="94"/>
      <c r="P828" s="94"/>
      <c r="Q828" s="94"/>
      <c r="R828" s="94"/>
      <c r="S828" s="94"/>
      <c r="T828" s="94"/>
      <c r="U828" s="94"/>
      <c r="V828" s="94"/>
      <c r="W828" s="94"/>
      <c r="X828" s="94"/>
      <c r="Y828" s="94"/>
      <c r="Z828" s="94"/>
      <c r="AA828" s="94"/>
      <c r="AB828" s="94"/>
      <c r="AC828" s="94"/>
      <c r="AD828" s="94"/>
      <c r="AE828" s="94"/>
      <c r="AF828" s="94"/>
      <c r="AG828" s="94"/>
      <c r="AH828" s="94"/>
      <c r="AI828" s="94"/>
      <c r="AJ828" s="94"/>
      <c r="AK828" s="94"/>
      <c r="AL828" s="94"/>
      <c r="AM828" s="94"/>
      <c r="AN828" s="94"/>
      <c r="AO828" s="94"/>
      <c r="AP828" s="94"/>
      <c r="AQ828" s="94"/>
      <c r="AR828" s="94"/>
      <c r="AS828" s="94"/>
      <c r="AT828" s="94"/>
      <c r="AU828" s="94"/>
      <c r="AV828" s="94"/>
      <c r="AW828" s="94"/>
      <c r="AX828" s="94"/>
      <c r="AY828" s="94"/>
      <c r="BA828" s="95"/>
    </row>
    <row r="829" spans="1:53" s="87" customFormat="1">
      <c r="A829" s="90" t="str">
        <f t="shared" si="37"/>
        <v/>
      </c>
      <c r="B829" s="98"/>
      <c r="C829" s="94"/>
      <c r="D829" s="94"/>
      <c r="E829" s="94"/>
      <c r="F829" s="94"/>
      <c r="G829" s="94"/>
      <c r="H829" s="94"/>
      <c r="I829" s="94"/>
      <c r="J829" s="94"/>
      <c r="K829" s="94"/>
      <c r="L829" s="94"/>
      <c r="M829" s="94"/>
      <c r="N829" s="94"/>
      <c r="O829" s="94"/>
      <c r="P829" s="94"/>
      <c r="Q829" s="94"/>
      <c r="R829" s="94"/>
      <c r="S829" s="94"/>
      <c r="T829" s="94"/>
      <c r="U829" s="94"/>
      <c r="V829" s="94"/>
      <c r="W829" s="94"/>
      <c r="X829" s="94"/>
      <c r="Y829" s="94"/>
      <c r="Z829" s="94"/>
      <c r="AA829" s="94"/>
      <c r="AB829" s="94"/>
      <c r="AC829" s="94"/>
      <c r="AD829" s="94"/>
      <c r="AE829" s="94"/>
      <c r="AF829" s="94"/>
      <c r="AG829" s="94"/>
      <c r="AH829" s="94"/>
      <c r="AI829" s="94"/>
      <c r="AJ829" s="94"/>
      <c r="AK829" s="94"/>
      <c r="AL829" s="94"/>
      <c r="AM829" s="94"/>
      <c r="AN829" s="94"/>
      <c r="AO829" s="94"/>
      <c r="AP829" s="94"/>
      <c r="AQ829" s="94"/>
      <c r="AR829" s="94"/>
      <c r="AS829" s="94"/>
      <c r="AT829" s="94"/>
      <c r="AU829" s="94"/>
      <c r="AV829" s="94"/>
      <c r="AW829" s="94"/>
      <c r="AX829" s="94"/>
      <c r="AY829" s="94"/>
      <c r="BA829" s="95"/>
    </row>
    <row r="830" spans="1:53" s="87" customFormat="1">
      <c r="A830" s="90" t="str">
        <f t="shared" si="37"/>
        <v/>
      </c>
      <c r="B830" s="98"/>
      <c r="C830" s="94"/>
      <c r="D830" s="94"/>
      <c r="E830" s="94"/>
      <c r="F830" s="94"/>
      <c r="G830" s="94"/>
      <c r="H830" s="94"/>
      <c r="I830" s="94"/>
      <c r="J830" s="94"/>
      <c r="K830" s="94"/>
      <c r="L830" s="94"/>
      <c r="M830" s="94"/>
      <c r="N830" s="94"/>
      <c r="O830" s="94"/>
      <c r="P830" s="94"/>
      <c r="Q830" s="94"/>
      <c r="R830" s="94"/>
      <c r="S830" s="94"/>
      <c r="T830" s="94"/>
      <c r="U830" s="94"/>
      <c r="V830" s="94"/>
      <c r="W830" s="94"/>
      <c r="X830" s="94"/>
      <c r="Y830" s="94"/>
      <c r="Z830" s="94"/>
      <c r="AA830" s="94"/>
      <c r="AB830" s="94"/>
      <c r="AC830" s="94"/>
      <c r="AD830" s="94"/>
      <c r="AE830" s="94"/>
      <c r="AF830" s="94"/>
      <c r="AG830" s="94"/>
      <c r="AH830" s="94"/>
      <c r="AI830" s="94"/>
      <c r="AJ830" s="94"/>
      <c r="AK830" s="94"/>
      <c r="AL830" s="94"/>
      <c r="AM830" s="94"/>
      <c r="AN830" s="94"/>
      <c r="AO830" s="94"/>
      <c r="AP830" s="94"/>
      <c r="AQ830" s="94"/>
      <c r="AR830" s="94"/>
      <c r="AS830" s="94"/>
      <c r="AT830" s="94"/>
      <c r="AU830" s="94"/>
      <c r="AV830" s="94"/>
      <c r="AW830" s="94"/>
      <c r="AX830" s="94"/>
      <c r="AY830" s="94"/>
      <c r="BA830" s="95"/>
    </row>
    <row r="831" spans="1:53" s="87" customFormat="1">
      <c r="A831" s="90" t="str">
        <f t="shared" si="37"/>
        <v/>
      </c>
      <c r="B831" s="98"/>
      <c r="C831" s="94"/>
      <c r="D831" s="94"/>
      <c r="E831" s="94"/>
      <c r="F831" s="94"/>
      <c r="G831" s="94"/>
      <c r="H831" s="94"/>
      <c r="I831" s="94"/>
      <c r="J831" s="94"/>
      <c r="K831" s="94"/>
      <c r="L831" s="94"/>
      <c r="M831" s="94"/>
      <c r="N831" s="94"/>
      <c r="O831" s="94"/>
      <c r="P831" s="94"/>
      <c r="Q831" s="94"/>
      <c r="R831" s="94"/>
      <c r="S831" s="94"/>
      <c r="T831" s="94"/>
      <c r="U831" s="94"/>
      <c r="V831" s="94"/>
      <c r="W831" s="94"/>
      <c r="X831" s="94"/>
      <c r="Y831" s="94"/>
      <c r="Z831" s="94"/>
      <c r="AA831" s="94"/>
      <c r="AB831" s="94"/>
      <c r="AC831" s="94"/>
      <c r="AD831" s="94"/>
      <c r="AE831" s="94"/>
      <c r="AF831" s="94"/>
      <c r="AG831" s="94"/>
      <c r="AH831" s="94"/>
      <c r="AI831" s="94"/>
      <c r="AJ831" s="94"/>
      <c r="AK831" s="94"/>
      <c r="AL831" s="94"/>
      <c r="AM831" s="94"/>
      <c r="AN831" s="94"/>
      <c r="AO831" s="94"/>
      <c r="AP831" s="94"/>
      <c r="AQ831" s="94"/>
      <c r="AR831" s="94"/>
      <c r="AS831" s="94"/>
      <c r="AT831" s="94"/>
      <c r="AU831" s="94"/>
      <c r="AV831" s="94"/>
      <c r="AW831" s="94"/>
      <c r="AX831" s="94"/>
      <c r="AY831" s="94"/>
      <c r="BA831" s="95"/>
    </row>
    <row r="832" spans="1:53" s="87" customFormat="1">
      <c r="A832" s="90" t="str">
        <f t="shared" si="37"/>
        <v/>
      </c>
      <c r="B832" s="98"/>
      <c r="C832" s="94"/>
      <c r="D832" s="94"/>
      <c r="E832" s="94"/>
      <c r="F832" s="94"/>
      <c r="G832" s="94"/>
      <c r="H832" s="94"/>
      <c r="I832" s="94"/>
      <c r="J832" s="94"/>
      <c r="K832" s="94"/>
      <c r="L832" s="94"/>
      <c r="M832" s="94"/>
      <c r="N832" s="94"/>
      <c r="O832" s="94"/>
      <c r="P832" s="94"/>
      <c r="Q832" s="94"/>
      <c r="R832" s="94"/>
      <c r="S832" s="94"/>
      <c r="T832" s="94"/>
      <c r="U832" s="94"/>
      <c r="V832" s="94"/>
      <c r="W832" s="94"/>
      <c r="X832" s="94"/>
      <c r="Y832" s="94"/>
      <c r="Z832" s="94"/>
      <c r="AA832" s="94"/>
      <c r="AB832" s="94"/>
      <c r="AC832" s="94"/>
      <c r="AD832" s="94"/>
      <c r="AE832" s="94"/>
      <c r="AF832" s="94"/>
      <c r="AG832" s="94"/>
      <c r="AH832" s="94"/>
      <c r="AI832" s="94"/>
      <c r="AJ832" s="94"/>
      <c r="AK832" s="94"/>
      <c r="AL832" s="94"/>
      <c r="AM832" s="94"/>
      <c r="AN832" s="94"/>
      <c r="AO832" s="94"/>
      <c r="AP832" s="94"/>
      <c r="AQ832" s="94"/>
      <c r="AR832" s="94"/>
      <c r="AS832" s="94"/>
      <c r="AT832" s="94"/>
      <c r="AU832" s="94"/>
      <c r="AV832" s="94"/>
      <c r="AW832" s="94"/>
      <c r="AX832" s="94"/>
      <c r="AY832" s="94"/>
      <c r="BA832" s="95"/>
    </row>
    <row r="833" spans="1:53" s="87" customFormat="1">
      <c r="A833" s="90" t="str">
        <f t="shared" si="37"/>
        <v/>
      </c>
      <c r="B833" s="98"/>
      <c r="C833" s="94"/>
      <c r="D833" s="94"/>
      <c r="E833" s="94"/>
      <c r="F833" s="94"/>
      <c r="G833" s="94"/>
      <c r="H833" s="94"/>
      <c r="I833" s="94"/>
      <c r="J833" s="94"/>
      <c r="K833" s="94"/>
      <c r="L833" s="94"/>
      <c r="M833" s="94"/>
      <c r="N833" s="94"/>
      <c r="O833" s="94"/>
      <c r="P833" s="94"/>
      <c r="Q833" s="94"/>
      <c r="R833" s="94"/>
      <c r="S833" s="94"/>
      <c r="T833" s="94"/>
      <c r="U833" s="94"/>
      <c r="V833" s="94"/>
      <c r="W833" s="94"/>
      <c r="X833" s="94"/>
      <c r="Y833" s="94"/>
      <c r="Z833" s="94"/>
      <c r="AA833" s="94"/>
      <c r="AB833" s="94"/>
      <c r="AC833" s="94"/>
      <c r="AD833" s="94"/>
      <c r="AE833" s="94"/>
      <c r="AF833" s="94"/>
      <c r="AG833" s="94"/>
      <c r="AH833" s="94"/>
      <c r="AI833" s="94"/>
      <c r="AJ833" s="94"/>
      <c r="AK833" s="94"/>
      <c r="AL833" s="94"/>
      <c r="AM833" s="94"/>
      <c r="AN833" s="94"/>
      <c r="AO833" s="94"/>
      <c r="AP833" s="94"/>
      <c r="AQ833" s="94"/>
      <c r="AR833" s="94"/>
      <c r="AS833" s="94"/>
      <c r="AT833" s="94"/>
      <c r="AU833" s="94"/>
      <c r="AV833" s="94"/>
      <c r="AW833" s="94"/>
      <c r="AX833" s="94"/>
      <c r="AY833" s="94"/>
      <c r="BA833" s="95"/>
    </row>
    <row r="834" spans="1:53" s="87" customFormat="1">
      <c r="A834" s="90" t="str">
        <f t="shared" si="37"/>
        <v/>
      </c>
      <c r="B834" s="98"/>
      <c r="C834" s="94"/>
      <c r="D834" s="94"/>
      <c r="E834" s="94"/>
      <c r="F834" s="94"/>
      <c r="G834" s="94"/>
      <c r="H834" s="94"/>
      <c r="I834" s="94"/>
      <c r="J834" s="94"/>
      <c r="K834" s="94"/>
      <c r="L834" s="94"/>
      <c r="M834" s="94"/>
      <c r="N834" s="94"/>
      <c r="O834" s="94"/>
      <c r="P834" s="94"/>
      <c r="Q834" s="94"/>
      <c r="R834" s="94"/>
      <c r="S834" s="94"/>
      <c r="T834" s="94"/>
      <c r="U834" s="94"/>
      <c r="V834" s="94"/>
      <c r="W834" s="94"/>
      <c r="X834" s="94"/>
      <c r="Y834" s="94"/>
      <c r="Z834" s="94"/>
      <c r="AA834" s="94"/>
      <c r="AB834" s="94"/>
      <c r="AC834" s="94"/>
      <c r="AD834" s="94"/>
      <c r="AE834" s="94"/>
      <c r="AF834" s="94"/>
      <c r="AG834" s="94"/>
      <c r="AH834" s="94"/>
      <c r="AI834" s="94"/>
      <c r="AJ834" s="94"/>
      <c r="AK834" s="94"/>
      <c r="AL834" s="94"/>
      <c r="AM834" s="94"/>
      <c r="AN834" s="94"/>
      <c r="AO834" s="94"/>
      <c r="AP834" s="94"/>
      <c r="AQ834" s="94"/>
      <c r="AR834" s="94"/>
      <c r="AS834" s="94"/>
      <c r="AT834" s="94"/>
      <c r="AU834" s="94"/>
      <c r="AV834" s="94"/>
      <c r="AW834" s="94"/>
      <c r="AX834" s="94"/>
      <c r="AY834" s="94"/>
      <c r="BA834" s="95"/>
    </row>
    <row r="835" spans="1:53" s="87" customFormat="1">
      <c r="A835" s="90" t="str">
        <f t="shared" si="37"/>
        <v/>
      </c>
      <c r="B835" s="98"/>
      <c r="C835" s="94"/>
      <c r="D835" s="94"/>
      <c r="E835" s="94"/>
      <c r="F835" s="94"/>
      <c r="G835" s="94"/>
      <c r="H835" s="94"/>
      <c r="I835" s="94"/>
      <c r="J835" s="94"/>
      <c r="K835" s="94"/>
      <c r="L835" s="94"/>
      <c r="M835" s="94"/>
      <c r="N835" s="94"/>
      <c r="O835" s="94"/>
      <c r="P835" s="94"/>
      <c r="Q835" s="94"/>
      <c r="R835" s="94"/>
      <c r="S835" s="94"/>
      <c r="T835" s="94"/>
      <c r="U835" s="94"/>
      <c r="V835" s="94"/>
      <c r="W835" s="94"/>
      <c r="X835" s="94"/>
      <c r="Y835" s="94"/>
      <c r="Z835" s="94"/>
      <c r="AA835" s="94"/>
      <c r="AB835" s="94"/>
      <c r="AC835" s="94"/>
      <c r="AD835" s="94"/>
      <c r="AE835" s="94"/>
      <c r="AF835" s="94"/>
      <c r="AG835" s="94"/>
      <c r="AH835" s="94"/>
      <c r="AI835" s="94"/>
      <c r="AJ835" s="94"/>
      <c r="AK835" s="94"/>
      <c r="AL835" s="94"/>
      <c r="AM835" s="94"/>
      <c r="AN835" s="94"/>
      <c r="AO835" s="94"/>
      <c r="AP835" s="94"/>
      <c r="AQ835" s="94"/>
      <c r="AR835" s="94"/>
      <c r="AS835" s="94"/>
      <c r="AT835" s="94"/>
      <c r="AU835" s="94"/>
      <c r="AV835" s="94"/>
      <c r="AW835" s="94"/>
      <c r="AX835" s="94"/>
      <c r="AY835" s="94"/>
      <c r="BA835" s="95"/>
    </row>
    <row r="836" spans="1:53" s="87" customFormat="1">
      <c r="A836" s="90" t="str">
        <f t="shared" si="37"/>
        <v/>
      </c>
      <c r="B836" s="98"/>
      <c r="C836" s="94"/>
      <c r="D836" s="94"/>
      <c r="E836" s="94"/>
      <c r="F836" s="94"/>
      <c r="G836" s="94"/>
      <c r="H836" s="94"/>
      <c r="I836" s="94"/>
      <c r="J836" s="94"/>
      <c r="K836" s="94"/>
      <c r="L836" s="94"/>
      <c r="M836" s="94"/>
      <c r="N836" s="94"/>
      <c r="O836" s="94"/>
      <c r="P836" s="94"/>
      <c r="Q836" s="94"/>
      <c r="R836" s="94"/>
      <c r="S836" s="94"/>
      <c r="T836" s="94"/>
      <c r="U836" s="94"/>
      <c r="V836" s="94"/>
      <c r="W836" s="94"/>
      <c r="X836" s="94"/>
      <c r="Y836" s="94"/>
      <c r="Z836" s="94"/>
      <c r="AA836" s="94"/>
      <c r="AB836" s="94"/>
      <c r="AC836" s="94"/>
      <c r="AD836" s="94"/>
      <c r="AE836" s="94"/>
      <c r="AF836" s="94"/>
      <c r="AG836" s="94"/>
      <c r="AH836" s="94"/>
      <c r="AI836" s="94"/>
      <c r="AJ836" s="94"/>
      <c r="AK836" s="94"/>
      <c r="AL836" s="94"/>
      <c r="AM836" s="94"/>
      <c r="AN836" s="94"/>
      <c r="AO836" s="94"/>
      <c r="AP836" s="94"/>
      <c r="AQ836" s="94"/>
      <c r="AR836" s="94"/>
      <c r="AS836" s="94"/>
      <c r="AT836" s="94"/>
      <c r="AU836" s="94"/>
      <c r="AV836" s="94"/>
      <c r="AW836" s="94"/>
      <c r="AX836" s="94"/>
      <c r="AY836" s="94"/>
      <c r="BA836" s="95"/>
    </row>
    <row r="837" spans="1:53" s="87" customFormat="1">
      <c r="A837" s="90" t="str">
        <f t="shared" si="37"/>
        <v/>
      </c>
      <c r="B837" s="98"/>
      <c r="C837" s="94"/>
      <c r="D837" s="94"/>
      <c r="E837" s="94"/>
      <c r="F837" s="94"/>
      <c r="G837" s="94"/>
      <c r="H837" s="94"/>
      <c r="I837" s="94"/>
      <c r="J837" s="94"/>
      <c r="K837" s="94"/>
      <c r="L837" s="94"/>
      <c r="M837" s="94"/>
      <c r="N837" s="94"/>
      <c r="O837" s="94"/>
      <c r="P837" s="94"/>
      <c r="Q837" s="94"/>
      <c r="R837" s="94"/>
      <c r="S837" s="94"/>
      <c r="T837" s="94"/>
      <c r="U837" s="94"/>
      <c r="V837" s="94"/>
      <c r="W837" s="94"/>
      <c r="X837" s="94"/>
      <c r="Y837" s="94"/>
      <c r="Z837" s="94"/>
      <c r="AA837" s="94"/>
      <c r="AB837" s="94"/>
      <c r="AC837" s="94"/>
      <c r="AD837" s="94"/>
      <c r="AE837" s="94"/>
      <c r="AF837" s="94"/>
      <c r="AG837" s="94"/>
      <c r="AH837" s="94"/>
      <c r="AI837" s="94"/>
      <c r="AJ837" s="94"/>
      <c r="AK837" s="94"/>
      <c r="AL837" s="94"/>
      <c r="AM837" s="94"/>
      <c r="AN837" s="94"/>
      <c r="AO837" s="94"/>
      <c r="AP837" s="94"/>
      <c r="AQ837" s="94"/>
      <c r="AR837" s="94"/>
      <c r="AS837" s="94"/>
      <c r="AT837" s="94"/>
      <c r="AU837" s="94"/>
      <c r="AV837" s="94"/>
      <c r="AW837" s="94"/>
      <c r="AX837" s="94"/>
      <c r="AY837" s="94"/>
      <c r="BA837" s="95"/>
    </row>
    <row r="838" spans="1:53" s="87" customFormat="1">
      <c r="A838" s="90" t="str">
        <f t="shared" si="37"/>
        <v/>
      </c>
      <c r="B838" s="98"/>
      <c r="C838" s="94"/>
      <c r="D838" s="94"/>
      <c r="E838" s="94"/>
      <c r="F838" s="94"/>
      <c r="G838" s="94"/>
      <c r="H838" s="94"/>
      <c r="I838" s="94"/>
      <c r="J838" s="94"/>
      <c r="K838" s="94"/>
      <c r="L838" s="94"/>
      <c r="M838" s="94"/>
      <c r="N838" s="94"/>
      <c r="O838" s="94"/>
      <c r="P838" s="94"/>
      <c r="Q838" s="94"/>
      <c r="R838" s="94"/>
      <c r="S838" s="94"/>
      <c r="T838" s="94"/>
      <c r="U838" s="94"/>
      <c r="V838" s="94"/>
      <c r="W838" s="94"/>
      <c r="X838" s="94"/>
      <c r="Y838" s="94"/>
      <c r="Z838" s="94"/>
      <c r="AA838" s="94"/>
      <c r="AB838" s="94"/>
      <c r="AC838" s="94"/>
      <c r="AD838" s="94"/>
      <c r="AE838" s="94"/>
      <c r="AF838" s="94"/>
      <c r="AG838" s="94"/>
      <c r="AH838" s="94"/>
      <c r="AI838" s="94"/>
      <c r="AJ838" s="94"/>
      <c r="AK838" s="94"/>
      <c r="AL838" s="94"/>
      <c r="AM838" s="94"/>
      <c r="AN838" s="94"/>
      <c r="AO838" s="94"/>
      <c r="AP838" s="94"/>
      <c r="AQ838" s="94"/>
      <c r="AR838" s="94"/>
      <c r="AS838" s="94"/>
      <c r="AT838" s="94"/>
      <c r="AU838" s="94"/>
      <c r="AV838" s="94"/>
      <c r="AW838" s="94"/>
      <c r="AX838" s="94"/>
      <c r="AY838" s="94"/>
      <c r="BA838" s="95"/>
    </row>
    <row r="839" spans="1:53" s="87" customFormat="1">
      <c r="A839" s="90" t="str">
        <f t="shared" si="37"/>
        <v/>
      </c>
      <c r="B839" s="98"/>
      <c r="C839" s="94"/>
      <c r="D839" s="94"/>
      <c r="E839" s="94"/>
      <c r="F839" s="94"/>
      <c r="G839" s="94"/>
      <c r="H839" s="94"/>
      <c r="I839" s="94"/>
      <c r="J839" s="94"/>
      <c r="K839" s="94"/>
      <c r="L839" s="94"/>
      <c r="M839" s="94"/>
      <c r="N839" s="94"/>
      <c r="O839" s="94"/>
      <c r="P839" s="94"/>
      <c r="Q839" s="94"/>
      <c r="R839" s="94"/>
      <c r="S839" s="94"/>
      <c r="T839" s="94"/>
      <c r="U839" s="94"/>
      <c r="V839" s="94"/>
      <c r="W839" s="94"/>
      <c r="X839" s="94"/>
      <c r="Y839" s="94"/>
      <c r="Z839" s="94"/>
      <c r="AA839" s="94"/>
      <c r="AB839" s="94"/>
      <c r="AC839" s="94"/>
      <c r="AD839" s="94"/>
      <c r="AE839" s="94"/>
      <c r="AF839" s="94"/>
      <c r="AG839" s="94"/>
      <c r="AH839" s="94"/>
      <c r="AI839" s="94"/>
      <c r="AJ839" s="94"/>
      <c r="AK839" s="94"/>
      <c r="AL839" s="94"/>
      <c r="AM839" s="94"/>
      <c r="AN839" s="94"/>
      <c r="AO839" s="94"/>
      <c r="AP839" s="94"/>
      <c r="AQ839" s="94"/>
      <c r="AR839" s="94"/>
      <c r="AS839" s="94"/>
      <c r="AT839" s="94"/>
      <c r="AU839" s="94"/>
      <c r="AV839" s="94"/>
      <c r="AW839" s="94"/>
      <c r="AX839" s="94"/>
      <c r="AY839" s="94"/>
      <c r="BA839" s="95"/>
    </row>
    <row r="840" spans="1:53" s="87" customFormat="1">
      <c r="A840" s="90" t="str">
        <f t="shared" si="37"/>
        <v/>
      </c>
      <c r="B840" s="98"/>
      <c r="C840" s="94"/>
      <c r="D840" s="94"/>
      <c r="E840" s="94"/>
      <c r="F840" s="94"/>
      <c r="G840" s="94"/>
      <c r="H840" s="94"/>
      <c r="I840" s="94"/>
      <c r="J840" s="94"/>
      <c r="K840" s="94"/>
      <c r="L840" s="94"/>
      <c r="M840" s="94"/>
      <c r="N840" s="94"/>
      <c r="O840" s="94"/>
      <c r="P840" s="94"/>
      <c r="Q840" s="94"/>
      <c r="R840" s="94"/>
      <c r="S840" s="94"/>
      <c r="T840" s="94"/>
      <c r="U840" s="94"/>
      <c r="V840" s="94"/>
      <c r="W840" s="94"/>
      <c r="X840" s="94"/>
      <c r="Y840" s="94"/>
      <c r="Z840" s="94"/>
      <c r="AA840" s="94"/>
      <c r="AB840" s="94"/>
      <c r="AC840" s="94"/>
      <c r="AD840" s="94"/>
      <c r="AE840" s="94"/>
      <c r="AF840" s="94"/>
      <c r="AG840" s="94"/>
      <c r="AH840" s="94"/>
      <c r="AI840" s="94"/>
      <c r="AJ840" s="94"/>
      <c r="AK840" s="94"/>
      <c r="AL840" s="94"/>
      <c r="AM840" s="94"/>
      <c r="AN840" s="94"/>
      <c r="AO840" s="94"/>
      <c r="AP840" s="94"/>
      <c r="AQ840" s="94"/>
      <c r="AR840" s="94"/>
      <c r="AS840" s="94"/>
      <c r="AT840" s="94"/>
      <c r="AU840" s="94"/>
      <c r="AV840" s="94"/>
      <c r="AW840" s="94"/>
      <c r="AX840" s="94"/>
      <c r="AY840" s="94"/>
      <c r="BA840" s="95"/>
    </row>
    <row r="841" spans="1:53" s="87" customFormat="1">
      <c r="A841" s="90" t="str">
        <f t="shared" si="37"/>
        <v/>
      </c>
      <c r="B841" s="98"/>
      <c r="C841" s="94"/>
      <c r="D841" s="94"/>
      <c r="E841" s="94"/>
      <c r="F841" s="94"/>
      <c r="G841" s="94"/>
      <c r="H841" s="94"/>
      <c r="I841" s="94"/>
      <c r="J841" s="94"/>
      <c r="K841" s="94"/>
      <c r="L841" s="94"/>
      <c r="M841" s="94"/>
      <c r="N841" s="94"/>
      <c r="O841" s="94"/>
      <c r="P841" s="94"/>
      <c r="Q841" s="94"/>
      <c r="R841" s="94"/>
      <c r="S841" s="94"/>
      <c r="T841" s="94"/>
      <c r="U841" s="94"/>
      <c r="V841" s="94"/>
      <c r="W841" s="94"/>
      <c r="X841" s="94"/>
      <c r="Y841" s="94"/>
      <c r="Z841" s="94"/>
      <c r="AA841" s="94"/>
      <c r="AB841" s="94"/>
      <c r="AC841" s="94"/>
      <c r="AD841" s="94"/>
      <c r="AE841" s="94"/>
      <c r="AF841" s="94"/>
      <c r="AG841" s="94"/>
      <c r="AH841" s="94"/>
      <c r="AI841" s="94"/>
      <c r="AJ841" s="94"/>
      <c r="AK841" s="94"/>
      <c r="AL841" s="94"/>
      <c r="AM841" s="94"/>
      <c r="AN841" s="94"/>
      <c r="AO841" s="94"/>
      <c r="AP841" s="94"/>
      <c r="AQ841" s="94"/>
      <c r="AR841" s="94"/>
      <c r="AS841" s="94"/>
      <c r="AT841" s="94"/>
      <c r="AU841" s="94"/>
      <c r="AV841" s="94"/>
      <c r="AW841" s="94"/>
      <c r="AX841" s="94"/>
      <c r="AY841" s="94"/>
      <c r="BA841" s="95"/>
    </row>
    <row r="842" spans="1:53" s="87" customFormat="1">
      <c r="A842" s="90" t="str">
        <f t="shared" si="37"/>
        <v/>
      </c>
      <c r="B842" s="98"/>
      <c r="C842" s="94"/>
      <c r="D842" s="94"/>
      <c r="E842" s="94"/>
      <c r="F842" s="94"/>
      <c r="G842" s="94"/>
      <c r="H842" s="94"/>
      <c r="I842" s="94"/>
      <c r="J842" s="94"/>
      <c r="K842" s="94"/>
      <c r="L842" s="94"/>
      <c r="M842" s="94"/>
      <c r="N842" s="94"/>
      <c r="O842" s="94"/>
      <c r="P842" s="94"/>
      <c r="Q842" s="94"/>
      <c r="R842" s="94"/>
      <c r="S842" s="94"/>
      <c r="T842" s="94"/>
      <c r="U842" s="94"/>
      <c r="V842" s="94"/>
      <c r="W842" s="94"/>
      <c r="X842" s="94"/>
      <c r="Y842" s="94"/>
      <c r="Z842" s="94"/>
      <c r="AA842" s="94"/>
      <c r="AB842" s="94"/>
      <c r="AC842" s="94"/>
      <c r="AD842" s="94"/>
      <c r="AE842" s="94"/>
      <c r="AF842" s="94"/>
      <c r="AG842" s="94"/>
      <c r="AH842" s="94"/>
      <c r="AI842" s="94"/>
      <c r="AJ842" s="94"/>
      <c r="AK842" s="94"/>
      <c r="AL842" s="94"/>
      <c r="AM842" s="94"/>
      <c r="AN842" s="94"/>
      <c r="AO842" s="94"/>
      <c r="AP842" s="94"/>
      <c r="AQ842" s="94"/>
      <c r="AR842" s="94"/>
      <c r="AS842" s="94"/>
      <c r="AT842" s="94"/>
      <c r="AU842" s="94"/>
      <c r="AV842" s="94"/>
      <c r="AW842" s="94"/>
      <c r="AX842" s="94"/>
      <c r="AY842" s="94"/>
      <c r="BA842" s="95"/>
    </row>
    <row r="843" spans="1:53" s="87" customFormat="1">
      <c r="A843" s="90" t="str">
        <f t="shared" si="37"/>
        <v/>
      </c>
      <c r="B843" s="98"/>
      <c r="C843" s="94"/>
      <c r="D843" s="94"/>
      <c r="E843" s="94"/>
      <c r="F843" s="94"/>
      <c r="G843" s="94"/>
      <c r="H843" s="94"/>
      <c r="I843" s="94"/>
      <c r="J843" s="94"/>
      <c r="K843" s="94"/>
      <c r="L843" s="94"/>
      <c r="M843" s="94"/>
      <c r="N843" s="94"/>
      <c r="O843" s="94"/>
      <c r="P843" s="94"/>
      <c r="Q843" s="94"/>
      <c r="R843" s="94"/>
      <c r="S843" s="94"/>
      <c r="T843" s="94"/>
      <c r="U843" s="94"/>
      <c r="V843" s="94"/>
      <c r="W843" s="94"/>
      <c r="X843" s="94"/>
      <c r="Y843" s="94"/>
      <c r="Z843" s="94"/>
      <c r="AA843" s="94"/>
      <c r="AB843" s="94"/>
      <c r="AC843" s="94"/>
      <c r="AD843" s="94"/>
      <c r="AE843" s="94"/>
      <c r="AF843" s="94"/>
      <c r="AG843" s="94"/>
      <c r="AH843" s="94"/>
      <c r="AI843" s="94"/>
      <c r="AJ843" s="94"/>
      <c r="AK843" s="94"/>
      <c r="AL843" s="94"/>
      <c r="AM843" s="94"/>
      <c r="AN843" s="94"/>
      <c r="AO843" s="94"/>
      <c r="AP843" s="94"/>
      <c r="AQ843" s="94"/>
      <c r="AR843" s="94"/>
      <c r="AS843" s="94"/>
      <c r="AT843" s="94"/>
      <c r="AU843" s="94"/>
      <c r="AV843" s="94"/>
      <c r="AW843" s="94"/>
      <c r="AX843" s="94"/>
      <c r="AY843" s="94"/>
      <c r="BA843" s="95"/>
    </row>
    <row r="844" spans="1:53" s="87" customFormat="1">
      <c r="A844" s="90" t="str">
        <f t="shared" ref="A844:A907" si="38">IF(MID(B844,3,2)="07",ROW(),"")</f>
        <v/>
      </c>
      <c r="B844" s="98"/>
      <c r="C844" s="94"/>
      <c r="D844" s="94"/>
      <c r="E844" s="94"/>
      <c r="F844" s="94"/>
      <c r="G844" s="94"/>
      <c r="H844" s="94"/>
      <c r="I844" s="94"/>
      <c r="J844" s="94"/>
      <c r="K844" s="94"/>
      <c r="L844" s="94"/>
      <c r="M844" s="94"/>
      <c r="N844" s="94"/>
      <c r="O844" s="94"/>
      <c r="P844" s="94"/>
      <c r="Q844" s="94"/>
      <c r="R844" s="94"/>
      <c r="S844" s="94"/>
      <c r="T844" s="94"/>
      <c r="U844" s="94"/>
      <c r="V844" s="94"/>
      <c r="W844" s="94"/>
      <c r="X844" s="94"/>
      <c r="Y844" s="94"/>
      <c r="Z844" s="94"/>
      <c r="AA844" s="94"/>
      <c r="AB844" s="94"/>
      <c r="AC844" s="94"/>
      <c r="AD844" s="94"/>
      <c r="AE844" s="94"/>
      <c r="AF844" s="94"/>
      <c r="AG844" s="94"/>
      <c r="AH844" s="94"/>
      <c r="AI844" s="94"/>
      <c r="AJ844" s="94"/>
      <c r="AK844" s="94"/>
      <c r="AL844" s="94"/>
      <c r="AM844" s="94"/>
      <c r="AN844" s="94"/>
      <c r="AO844" s="94"/>
      <c r="AP844" s="94"/>
      <c r="AQ844" s="94"/>
      <c r="AR844" s="94"/>
      <c r="AS844" s="94"/>
      <c r="AT844" s="94"/>
      <c r="AU844" s="94"/>
      <c r="AV844" s="94"/>
      <c r="AW844" s="94"/>
      <c r="AX844" s="94"/>
      <c r="AY844" s="94"/>
      <c r="BA844" s="95"/>
    </row>
    <row r="845" spans="1:53" s="87" customFormat="1">
      <c r="A845" s="90" t="str">
        <f t="shared" si="38"/>
        <v/>
      </c>
      <c r="B845" s="98"/>
      <c r="C845" s="94"/>
      <c r="D845" s="94"/>
      <c r="E845" s="94"/>
      <c r="F845" s="94"/>
      <c r="G845" s="94"/>
      <c r="H845" s="94"/>
      <c r="I845" s="94"/>
      <c r="J845" s="94"/>
      <c r="K845" s="94"/>
      <c r="L845" s="94"/>
      <c r="M845" s="94"/>
      <c r="N845" s="94"/>
      <c r="O845" s="94"/>
      <c r="P845" s="94"/>
      <c r="Q845" s="94"/>
      <c r="R845" s="94"/>
      <c r="S845" s="94"/>
      <c r="T845" s="94"/>
      <c r="U845" s="94"/>
      <c r="V845" s="94"/>
      <c r="W845" s="94"/>
      <c r="X845" s="94"/>
      <c r="Y845" s="94"/>
      <c r="Z845" s="94"/>
      <c r="AA845" s="94"/>
      <c r="AB845" s="94"/>
      <c r="AC845" s="94"/>
      <c r="AD845" s="94"/>
      <c r="AE845" s="94"/>
      <c r="AF845" s="94"/>
      <c r="AG845" s="94"/>
      <c r="AH845" s="94"/>
      <c r="AI845" s="94"/>
      <c r="AJ845" s="94"/>
      <c r="AK845" s="94"/>
      <c r="AL845" s="94"/>
      <c r="AM845" s="94"/>
      <c r="AN845" s="94"/>
      <c r="AO845" s="94"/>
      <c r="AP845" s="94"/>
      <c r="AQ845" s="94"/>
      <c r="AR845" s="94"/>
      <c r="AS845" s="94"/>
      <c r="AT845" s="94"/>
      <c r="AU845" s="94"/>
      <c r="AV845" s="94"/>
      <c r="AW845" s="94"/>
      <c r="AX845" s="94"/>
      <c r="AY845" s="94"/>
      <c r="BA845" s="95"/>
    </row>
    <row r="846" spans="1:53" s="87" customFormat="1">
      <c r="A846" s="90" t="str">
        <f t="shared" si="38"/>
        <v/>
      </c>
      <c r="B846" s="98"/>
      <c r="C846" s="94"/>
      <c r="D846" s="94"/>
      <c r="E846" s="94"/>
      <c r="F846" s="94"/>
      <c r="G846" s="94"/>
      <c r="H846" s="94"/>
      <c r="I846" s="94"/>
      <c r="J846" s="94"/>
      <c r="K846" s="94"/>
      <c r="L846" s="94"/>
      <c r="M846" s="94"/>
      <c r="N846" s="94"/>
      <c r="O846" s="94"/>
      <c r="P846" s="94"/>
      <c r="Q846" s="94"/>
      <c r="R846" s="94"/>
      <c r="S846" s="94"/>
      <c r="T846" s="94"/>
      <c r="U846" s="94"/>
      <c r="V846" s="94"/>
      <c r="W846" s="94"/>
      <c r="X846" s="94"/>
      <c r="Y846" s="94"/>
      <c r="Z846" s="94"/>
      <c r="AA846" s="94"/>
      <c r="AB846" s="94"/>
      <c r="AC846" s="94"/>
      <c r="AD846" s="94"/>
      <c r="AE846" s="94"/>
      <c r="AF846" s="94"/>
      <c r="AG846" s="94"/>
      <c r="AH846" s="94"/>
      <c r="AI846" s="94"/>
      <c r="AJ846" s="94"/>
      <c r="AK846" s="94"/>
      <c r="AL846" s="94"/>
      <c r="AM846" s="94"/>
      <c r="AN846" s="94"/>
      <c r="AO846" s="94"/>
      <c r="AP846" s="94"/>
      <c r="AQ846" s="94"/>
      <c r="AR846" s="94"/>
      <c r="AS846" s="94"/>
      <c r="AT846" s="94"/>
      <c r="AU846" s="94"/>
      <c r="AV846" s="94"/>
      <c r="AW846" s="94"/>
      <c r="AX846" s="94"/>
      <c r="AY846" s="94"/>
      <c r="BA846" s="95"/>
    </row>
    <row r="847" spans="1:53" s="87" customFormat="1">
      <c r="A847" s="90" t="str">
        <f t="shared" si="38"/>
        <v/>
      </c>
      <c r="B847" s="98"/>
      <c r="C847" s="94"/>
      <c r="D847" s="94"/>
      <c r="E847" s="94"/>
      <c r="F847" s="94"/>
      <c r="G847" s="94"/>
      <c r="H847" s="94"/>
      <c r="I847" s="94"/>
      <c r="J847" s="94"/>
      <c r="K847" s="94"/>
      <c r="L847" s="94"/>
      <c r="M847" s="94"/>
      <c r="N847" s="94"/>
      <c r="O847" s="94"/>
      <c r="P847" s="94"/>
      <c r="Q847" s="94"/>
      <c r="R847" s="94"/>
      <c r="S847" s="94"/>
      <c r="T847" s="94"/>
      <c r="U847" s="94"/>
      <c r="V847" s="94"/>
      <c r="W847" s="94"/>
      <c r="X847" s="94"/>
      <c r="Y847" s="94"/>
      <c r="Z847" s="94"/>
      <c r="AA847" s="94"/>
      <c r="AB847" s="94"/>
      <c r="AC847" s="94"/>
      <c r="AD847" s="94"/>
      <c r="AE847" s="94"/>
      <c r="AF847" s="94"/>
      <c r="AG847" s="94"/>
      <c r="AH847" s="94"/>
      <c r="AI847" s="94"/>
      <c r="AJ847" s="94"/>
      <c r="AK847" s="94"/>
      <c r="AL847" s="94"/>
      <c r="AM847" s="94"/>
      <c r="AN847" s="94"/>
      <c r="AO847" s="94"/>
      <c r="AP847" s="94"/>
      <c r="AQ847" s="94"/>
      <c r="AR847" s="94"/>
      <c r="AS847" s="94"/>
      <c r="AT847" s="94"/>
      <c r="AU847" s="94"/>
      <c r="AV847" s="94"/>
      <c r="AW847" s="94"/>
      <c r="AX847" s="94"/>
      <c r="AY847" s="94"/>
      <c r="BA847" s="95"/>
    </row>
    <row r="848" spans="1:53" s="87" customFormat="1">
      <c r="A848" s="90" t="str">
        <f t="shared" si="38"/>
        <v/>
      </c>
      <c r="B848" s="98"/>
      <c r="C848" s="94"/>
      <c r="D848" s="94"/>
      <c r="E848" s="94"/>
      <c r="F848" s="94"/>
      <c r="G848" s="94"/>
      <c r="H848" s="94"/>
      <c r="I848" s="94"/>
      <c r="J848" s="94"/>
      <c r="K848" s="94"/>
      <c r="L848" s="94"/>
      <c r="M848" s="94"/>
      <c r="N848" s="94"/>
      <c r="O848" s="94"/>
      <c r="P848" s="94"/>
      <c r="Q848" s="94"/>
      <c r="R848" s="94"/>
      <c r="S848" s="94"/>
      <c r="T848" s="94"/>
      <c r="U848" s="94"/>
      <c r="V848" s="94"/>
      <c r="W848" s="94"/>
      <c r="X848" s="94"/>
      <c r="Y848" s="94"/>
      <c r="Z848" s="94"/>
      <c r="AA848" s="94"/>
      <c r="AB848" s="94"/>
      <c r="AC848" s="94"/>
      <c r="AD848" s="94"/>
      <c r="AE848" s="94"/>
      <c r="AF848" s="94"/>
      <c r="AG848" s="94"/>
      <c r="AH848" s="94"/>
      <c r="AI848" s="94"/>
      <c r="AJ848" s="94"/>
      <c r="AK848" s="94"/>
      <c r="AL848" s="94"/>
      <c r="AM848" s="94"/>
      <c r="AN848" s="94"/>
      <c r="AO848" s="94"/>
      <c r="AP848" s="94"/>
      <c r="AQ848" s="94"/>
      <c r="AR848" s="94"/>
      <c r="AS848" s="94"/>
      <c r="AT848" s="94"/>
      <c r="AU848" s="94"/>
      <c r="AV848" s="94"/>
      <c r="AW848" s="94"/>
      <c r="AX848" s="94"/>
      <c r="AY848" s="94"/>
      <c r="BA848" s="95"/>
    </row>
    <row r="849" spans="1:53" s="87" customFormat="1">
      <c r="A849" s="90" t="str">
        <f t="shared" si="38"/>
        <v/>
      </c>
      <c r="B849" s="98"/>
      <c r="C849" s="94"/>
      <c r="D849" s="94"/>
      <c r="E849" s="94"/>
      <c r="F849" s="94"/>
      <c r="G849" s="94"/>
      <c r="H849" s="94"/>
      <c r="I849" s="94"/>
      <c r="J849" s="94"/>
      <c r="K849" s="94"/>
      <c r="L849" s="94"/>
      <c r="M849" s="94"/>
      <c r="N849" s="94"/>
      <c r="O849" s="94"/>
      <c r="P849" s="94"/>
      <c r="Q849" s="94"/>
      <c r="R849" s="94"/>
      <c r="S849" s="94"/>
      <c r="T849" s="94"/>
      <c r="U849" s="94"/>
      <c r="V849" s="94"/>
      <c r="W849" s="94"/>
      <c r="X849" s="94"/>
      <c r="Y849" s="94"/>
      <c r="Z849" s="94"/>
      <c r="AA849" s="94"/>
      <c r="AB849" s="94"/>
      <c r="AC849" s="94"/>
      <c r="AD849" s="94"/>
      <c r="AE849" s="94"/>
      <c r="AF849" s="94"/>
      <c r="AG849" s="94"/>
      <c r="AH849" s="94"/>
      <c r="AI849" s="94"/>
      <c r="AJ849" s="94"/>
      <c r="AK849" s="94"/>
      <c r="AL849" s="94"/>
      <c r="AM849" s="94"/>
      <c r="AN849" s="94"/>
      <c r="AO849" s="94"/>
      <c r="AP849" s="94"/>
      <c r="AQ849" s="94"/>
      <c r="AR849" s="94"/>
      <c r="AS849" s="94"/>
      <c r="AT849" s="94"/>
      <c r="AU849" s="94"/>
      <c r="AV849" s="94"/>
      <c r="AW849" s="94"/>
      <c r="AX849" s="94"/>
      <c r="AY849" s="94"/>
      <c r="BA849" s="95"/>
    </row>
    <row r="850" spans="1:53" s="87" customFormat="1">
      <c r="A850" s="90" t="str">
        <f t="shared" si="38"/>
        <v/>
      </c>
      <c r="B850" s="98"/>
      <c r="C850" s="94"/>
      <c r="D850" s="94"/>
      <c r="E850" s="94"/>
      <c r="F850" s="94"/>
      <c r="G850" s="94"/>
      <c r="H850" s="94"/>
      <c r="I850" s="94"/>
      <c r="J850" s="94"/>
      <c r="K850" s="94"/>
      <c r="L850" s="94"/>
      <c r="M850" s="94"/>
      <c r="N850" s="94"/>
      <c r="O850" s="94"/>
      <c r="P850" s="94"/>
      <c r="Q850" s="94"/>
      <c r="R850" s="94"/>
      <c r="S850" s="94"/>
      <c r="T850" s="94"/>
      <c r="U850" s="94"/>
      <c r="V850" s="94"/>
      <c r="W850" s="94"/>
      <c r="X850" s="94"/>
      <c r="Y850" s="94"/>
      <c r="Z850" s="94"/>
      <c r="AA850" s="94"/>
      <c r="AB850" s="94"/>
      <c r="AC850" s="94"/>
      <c r="AD850" s="94"/>
      <c r="AE850" s="94"/>
      <c r="AF850" s="94"/>
      <c r="AG850" s="94"/>
      <c r="AH850" s="94"/>
      <c r="AI850" s="94"/>
      <c r="AJ850" s="94"/>
      <c r="AK850" s="94"/>
      <c r="AL850" s="94"/>
      <c r="AM850" s="94"/>
      <c r="AN850" s="94"/>
      <c r="AO850" s="94"/>
      <c r="AP850" s="94"/>
      <c r="AQ850" s="94"/>
      <c r="AR850" s="94"/>
      <c r="AS850" s="94"/>
      <c r="AT850" s="94"/>
      <c r="AU850" s="94"/>
      <c r="AV850" s="94"/>
      <c r="AW850" s="94"/>
      <c r="AX850" s="94"/>
      <c r="AY850" s="94"/>
      <c r="BA850" s="95"/>
    </row>
    <row r="851" spans="1:53" s="87" customFormat="1">
      <c r="A851" s="90" t="str">
        <f t="shared" si="38"/>
        <v/>
      </c>
      <c r="B851" s="98"/>
      <c r="C851" s="94"/>
      <c r="D851" s="94"/>
      <c r="E851" s="94"/>
      <c r="F851" s="94"/>
      <c r="G851" s="94"/>
      <c r="H851" s="94"/>
      <c r="I851" s="94"/>
      <c r="J851" s="94"/>
      <c r="K851" s="94"/>
      <c r="L851" s="94"/>
      <c r="M851" s="94"/>
      <c r="N851" s="94"/>
      <c r="O851" s="94"/>
      <c r="P851" s="94"/>
      <c r="Q851" s="94"/>
      <c r="R851" s="94"/>
      <c r="S851" s="94"/>
      <c r="T851" s="94"/>
      <c r="U851" s="94"/>
      <c r="V851" s="94"/>
      <c r="W851" s="94"/>
      <c r="X851" s="94"/>
      <c r="Y851" s="94"/>
      <c r="Z851" s="94"/>
      <c r="AA851" s="94"/>
      <c r="AB851" s="94"/>
      <c r="AC851" s="94"/>
      <c r="AD851" s="94"/>
      <c r="AE851" s="94"/>
      <c r="AF851" s="94"/>
      <c r="AG851" s="94"/>
      <c r="AH851" s="94"/>
      <c r="AI851" s="94"/>
      <c r="AJ851" s="94"/>
      <c r="AK851" s="94"/>
      <c r="AL851" s="94"/>
      <c r="AM851" s="94"/>
      <c r="AN851" s="94"/>
      <c r="AO851" s="94"/>
      <c r="AP851" s="94"/>
      <c r="AQ851" s="94"/>
      <c r="AR851" s="94"/>
      <c r="AS851" s="94"/>
      <c r="AT851" s="94"/>
      <c r="AU851" s="94"/>
      <c r="AV851" s="94"/>
      <c r="AW851" s="94"/>
      <c r="AX851" s="94"/>
      <c r="AY851" s="94"/>
      <c r="BA851" s="95"/>
    </row>
    <row r="852" spans="1:53" s="87" customFormat="1">
      <c r="A852" s="90" t="str">
        <f t="shared" si="38"/>
        <v/>
      </c>
      <c r="B852" s="98"/>
      <c r="C852" s="94"/>
      <c r="D852" s="94"/>
      <c r="E852" s="94"/>
      <c r="F852" s="94"/>
      <c r="G852" s="94"/>
      <c r="H852" s="94"/>
      <c r="I852" s="94"/>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BA852" s="95"/>
    </row>
    <row r="853" spans="1:53" s="87" customFormat="1">
      <c r="A853" s="90" t="str">
        <f t="shared" si="38"/>
        <v/>
      </c>
      <c r="B853" s="98"/>
      <c r="C853" s="94"/>
      <c r="D853" s="94"/>
      <c r="E853" s="94"/>
      <c r="F853" s="94"/>
      <c r="G853" s="94"/>
      <c r="H853" s="94"/>
      <c r="I853" s="94"/>
      <c r="J853" s="94"/>
      <c r="K853" s="94"/>
      <c r="L853" s="94"/>
      <c r="M853" s="94"/>
      <c r="N853" s="94"/>
      <c r="O853" s="94"/>
      <c r="P853" s="94"/>
      <c r="Q853" s="94"/>
      <c r="R853" s="94"/>
      <c r="S853" s="94"/>
      <c r="T853" s="94"/>
      <c r="U853" s="94"/>
      <c r="V853" s="94"/>
      <c r="W853" s="94"/>
      <c r="X853" s="94"/>
      <c r="Y853" s="94"/>
      <c r="Z853" s="94"/>
      <c r="AA853" s="94"/>
      <c r="AB853" s="94"/>
      <c r="AC853" s="94"/>
      <c r="AD853" s="94"/>
      <c r="AE853" s="94"/>
      <c r="AF853" s="94"/>
      <c r="AG853" s="94"/>
      <c r="AH853" s="94"/>
      <c r="AI853" s="94"/>
      <c r="AJ853" s="94"/>
      <c r="AK853" s="94"/>
      <c r="AL853" s="94"/>
      <c r="AM853" s="94"/>
      <c r="AN853" s="94"/>
      <c r="AO853" s="94"/>
      <c r="AP853" s="94"/>
      <c r="AQ853" s="94"/>
      <c r="AR853" s="94"/>
      <c r="AS853" s="94"/>
      <c r="AT853" s="94"/>
      <c r="AU853" s="94"/>
      <c r="AV853" s="94"/>
      <c r="AW853" s="94"/>
      <c r="AX853" s="94"/>
      <c r="AY853" s="94"/>
      <c r="BA853" s="95"/>
    </row>
    <row r="854" spans="1:53" s="87" customFormat="1">
      <c r="A854" s="90" t="str">
        <f t="shared" si="38"/>
        <v/>
      </c>
      <c r="B854" s="98"/>
      <c r="C854" s="94"/>
      <c r="D854" s="94"/>
      <c r="E854" s="94"/>
      <c r="F854" s="94"/>
      <c r="G854" s="94"/>
      <c r="H854" s="94"/>
      <c r="I854" s="94"/>
      <c r="J854" s="94"/>
      <c r="K854" s="94"/>
      <c r="L854" s="94"/>
      <c r="M854" s="94"/>
      <c r="N854" s="94"/>
      <c r="O854" s="94"/>
      <c r="P854" s="94"/>
      <c r="Q854" s="94"/>
      <c r="R854" s="94"/>
      <c r="S854" s="94"/>
      <c r="T854" s="94"/>
      <c r="U854" s="94"/>
      <c r="V854" s="94"/>
      <c r="W854" s="94"/>
      <c r="X854" s="94"/>
      <c r="Y854" s="94"/>
      <c r="Z854" s="94"/>
      <c r="AA854" s="94"/>
      <c r="AB854" s="94"/>
      <c r="AC854" s="94"/>
      <c r="AD854" s="94"/>
      <c r="AE854" s="94"/>
      <c r="AF854" s="94"/>
      <c r="AG854" s="94"/>
      <c r="AH854" s="94"/>
      <c r="AI854" s="94"/>
      <c r="AJ854" s="94"/>
      <c r="AK854" s="94"/>
      <c r="AL854" s="94"/>
      <c r="AM854" s="94"/>
      <c r="AN854" s="94"/>
      <c r="AO854" s="94"/>
      <c r="AP854" s="94"/>
      <c r="AQ854" s="94"/>
      <c r="AR854" s="94"/>
      <c r="AS854" s="94"/>
      <c r="AT854" s="94"/>
      <c r="AU854" s="94"/>
      <c r="AV854" s="94"/>
      <c r="AW854" s="94"/>
      <c r="AX854" s="94"/>
      <c r="AY854" s="94"/>
      <c r="BA854" s="95"/>
    </row>
    <row r="855" spans="1:53" s="87" customFormat="1">
      <c r="A855" s="90" t="str">
        <f t="shared" si="38"/>
        <v/>
      </c>
      <c r="B855" s="98"/>
      <c r="C855" s="94"/>
      <c r="D855" s="94"/>
      <c r="E855" s="94"/>
      <c r="F855" s="94"/>
      <c r="G855" s="94"/>
      <c r="H855" s="94"/>
      <c r="I855" s="94"/>
      <c r="J855" s="94"/>
      <c r="K855" s="94"/>
      <c r="L855" s="94"/>
      <c r="M855" s="94"/>
      <c r="N855" s="94"/>
      <c r="O855" s="94"/>
      <c r="P855" s="94"/>
      <c r="Q855" s="94"/>
      <c r="R855" s="94"/>
      <c r="S855" s="94"/>
      <c r="T855" s="94"/>
      <c r="U855" s="94"/>
      <c r="V855" s="94"/>
      <c r="W855" s="94"/>
      <c r="X855" s="94"/>
      <c r="Y855" s="94"/>
      <c r="Z855" s="94"/>
      <c r="AA855" s="94"/>
      <c r="AB855" s="94"/>
      <c r="AC855" s="94"/>
      <c r="AD855" s="94"/>
      <c r="AE855" s="94"/>
      <c r="AF855" s="94"/>
      <c r="AG855" s="94"/>
      <c r="AH855" s="94"/>
      <c r="AI855" s="94"/>
      <c r="AJ855" s="94"/>
      <c r="AK855" s="94"/>
      <c r="AL855" s="94"/>
      <c r="AM855" s="94"/>
      <c r="AN855" s="94"/>
      <c r="AO855" s="94"/>
      <c r="AP855" s="94"/>
      <c r="AQ855" s="94"/>
      <c r="AR855" s="94"/>
      <c r="AS855" s="94"/>
      <c r="AT855" s="94"/>
      <c r="AU855" s="94"/>
      <c r="AV855" s="94"/>
      <c r="AW855" s="94"/>
      <c r="AX855" s="94"/>
      <c r="AY855" s="94"/>
      <c r="BA855" s="95"/>
    </row>
    <row r="856" spans="1:53" s="87" customFormat="1">
      <c r="A856" s="90" t="str">
        <f t="shared" si="38"/>
        <v/>
      </c>
      <c r="B856" s="98"/>
      <c r="C856" s="94"/>
      <c r="D856" s="94"/>
      <c r="E856" s="94"/>
      <c r="F856" s="94"/>
      <c r="G856" s="94"/>
      <c r="H856" s="94"/>
      <c r="I856" s="94"/>
      <c r="J856" s="94"/>
      <c r="K856" s="94"/>
      <c r="L856" s="94"/>
      <c r="M856" s="94"/>
      <c r="N856" s="94"/>
      <c r="O856" s="94"/>
      <c r="P856" s="94"/>
      <c r="Q856" s="94"/>
      <c r="R856" s="94"/>
      <c r="S856" s="94"/>
      <c r="T856" s="94"/>
      <c r="U856" s="94"/>
      <c r="V856" s="94"/>
      <c r="W856" s="94"/>
      <c r="X856" s="94"/>
      <c r="Y856" s="94"/>
      <c r="Z856" s="94"/>
      <c r="AA856" s="94"/>
      <c r="AB856" s="94"/>
      <c r="AC856" s="94"/>
      <c r="AD856" s="94"/>
      <c r="AE856" s="94"/>
      <c r="AF856" s="94"/>
      <c r="AG856" s="94"/>
      <c r="AH856" s="94"/>
      <c r="AI856" s="94"/>
      <c r="AJ856" s="94"/>
      <c r="AK856" s="94"/>
      <c r="AL856" s="94"/>
      <c r="AM856" s="94"/>
      <c r="AN856" s="94"/>
      <c r="AO856" s="94"/>
      <c r="AP856" s="94"/>
      <c r="AQ856" s="94"/>
      <c r="AR856" s="94"/>
      <c r="AS856" s="94"/>
      <c r="AT856" s="94"/>
      <c r="AU856" s="94"/>
      <c r="AV856" s="94"/>
      <c r="AW856" s="94"/>
      <c r="AX856" s="94"/>
      <c r="AY856" s="94"/>
      <c r="BA856" s="95"/>
    </row>
    <row r="857" spans="1:53" s="87" customFormat="1">
      <c r="A857" s="90" t="str">
        <f t="shared" si="38"/>
        <v/>
      </c>
      <c r="B857" s="98"/>
      <c r="C857" s="94"/>
      <c r="D857" s="94"/>
      <c r="E857" s="94"/>
      <c r="F857" s="94"/>
      <c r="G857" s="94"/>
      <c r="H857" s="94"/>
      <c r="I857" s="94"/>
      <c r="J857" s="94"/>
      <c r="K857" s="94"/>
      <c r="L857" s="94"/>
      <c r="M857" s="94"/>
      <c r="N857" s="94"/>
      <c r="O857" s="94"/>
      <c r="P857" s="94"/>
      <c r="Q857" s="94"/>
      <c r="R857" s="94"/>
      <c r="S857" s="94"/>
      <c r="T857" s="94"/>
      <c r="U857" s="94"/>
      <c r="V857" s="94"/>
      <c r="W857" s="94"/>
      <c r="X857" s="94"/>
      <c r="Y857" s="94"/>
      <c r="Z857" s="94"/>
      <c r="AA857" s="94"/>
      <c r="AB857" s="94"/>
      <c r="AC857" s="94"/>
      <c r="AD857" s="94"/>
      <c r="AE857" s="94"/>
      <c r="AF857" s="94"/>
      <c r="AG857" s="94"/>
      <c r="AH857" s="94"/>
      <c r="AI857" s="94"/>
      <c r="AJ857" s="94"/>
      <c r="AK857" s="94"/>
      <c r="AL857" s="94"/>
      <c r="AM857" s="94"/>
      <c r="AN857" s="94"/>
      <c r="AO857" s="94"/>
      <c r="AP857" s="94"/>
      <c r="AQ857" s="94"/>
      <c r="AR857" s="94"/>
      <c r="AS857" s="94"/>
      <c r="AT857" s="94"/>
      <c r="AU857" s="94"/>
      <c r="AV857" s="94"/>
      <c r="AW857" s="94"/>
      <c r="AX857" s="94"/>
      <c r="AY857" s="94"/>
      <c r="BA857" s="95"/>
    </row>
    <row r="858" spans="1:53" s="87" customFormat="1">
      <c r="A858" s="90" t="str">
        <f t="shared" si="38"/>
        <v/>
      </c>
      <c r="B858" s="98"/>
      <c r="C858" s="94"/>
      <c r="D858" s="94"/>
      <c r="E858" s="94"/>
      <c r="F858" s="94"/>
      <c r="G858" s="94"/>
      <c r="H858" s="94"/>
      <c r="I858" s="94"/>
      <c r="J858" s="94"/>
      <c r="K858" s="94"/>
      <c r="L858" s="94"/>
      <c r="M858" s="94"/>
      <c r="N858" s="94"/>
      <c r="O858" s="94"/>
      <c r="P858" s="94"/>
      <c r="Q858" s="94"/>
      <c r="R858" s="94"/>
      <c r="S858" s="94"/>
      <c r="T858" s="94"/>
      <c r="U858" s="94"/>
      <c r="V858" s="94"/>
      <c r="W858" s="94"/>
      <c r="X858" s="94"/>
      <c r="Y858" s="94"/>
      <c r="Z858" s="94"/>
      <c r="AA858" s="94"/>
      <c r="AB858" s="94"/>
      <c r="AC858" s="94"/>
      <c r="AD858" s="94"/>
      <c r="AE858" s="94"/>
      <c r="AF858" s="94"/>
      <c r="AG858" s="94"/>
      <c r="AH858" s="94"/>
      <c r="AI858" s="94"/>
      <c r="AJ858" s="94"/>
      <c r="AK858" s="94"/>
      <c r="AL858" s="94"/>
      <c r="AM858" s="94"/>
      <c r="AN858" s="94"/>
      <c r="AO858" s="94"/>
      <c r="AP858" s="94"/>
      <c r="AQ858" s="94"/>
      <c r="AR858" s="94"/>
      <c r="AS858" s="94"/>
      <c r="AT858" s="94"/>
      <c r="AU858" s="94"/>
      <c r="AV858" s="94"/>
      <c r="AW858" s="94"/>
      <c r="AX858" s="94"/>
      <c r="AY858" s="94"/>
      <c r="BA858" s="95"/>
    </row>
    <row r="859" spans="1:53" s="87" customFormat="1">
      <c r="A859" s="90" t="str">
        <f t="shared" si="38"/>
        <v/>
      </c>
      <c r="B859" s="98"/>
      <c r="C859" s="94"/>
      <c r="D859" s="94"/>
      <c r="E859" s="94"/>
      <c r="F859" s="94"/>
      <c r="G859" s="94"/>
      <c r="H859" s="94"/>
      <c r="I859" s="94"/>
      <c r="J859" s="94"/>
      <c r="K859" s="94"/>
      <c r="L859" s="94"/>
      <c r="M859" s="94"/>
      <c r="N859" s="94"/>
      <c r="O859" s="94"/>
      <c r="P859" s="94"/>
      <c r="Q859" s="94"/>
      <c r="R859" s="94"/>
      <c r="S859" s="94"/>
      <c r="T859" s="94"/>
      <c r="U859" s="94"/>
      <c r="V859" s="94"/>
      <c r="W859" s="94"/>
      <c r="X859" s="94"/>
      <c r="Y859" s="94"/>
      <c r="Z859" s="94"/>
      <c r="AA859" s="94"/>
      <c r="AB859" s="94"/>
      <c r="AC859" s="94"/>
      <c r="AD859" s="94"/>
      <c r="AE859" s="94"/>
      <c r="AF859" s="94"/>
      <c r="AG859" s="94"/>
      <c r="AH859" s="94"/>
      <c r="AI859" s="94"/>
      <c r="AJ859" s="94"/>
      <c r="AK859" s="94"/>
      <c r="AL859" s="94"/>
      <c r="AM859" s="94"/>
      <c r="AN859" s="94"/>
      <c r="AO859" s="94"/>
      <c r="AP859" s="94"/>
      <c r="AQ859" s="94"/>
      <c r="AR859" s="94"/>
      <c r="AS859" s="94"/>
      <c r="AT859" s="94"/>
      <c r="AU859" s="94"/>
      <c r="AV859" s="94"/>
      <c r="AW859" s="94"/>
      <c r="AX859" s="94"/>
      <c r="AY859" s="94"/>
      <c r="BA859" s="95"/>
    </row>
    <row r="860" spans="1:53" s="87" customFormat="1">
      <c r="A860" s="90" t="str">
        <f t="shared" si="38"/>
        <v/>
      </c>
      <c r="B860" s="98"/>
      <c r="C860" s="94"/>
      <c r="D860" s="94"/>
      <c r="E860" s="94"/>
      <c r="F860" s="94"/>
      <c r="G860" s="94"/>
      <c r="H860" s="94"/>
      <c r="I860" s="94"/>
      <c r="J860" s="94"/>
      <c r="K860" s="94"/>
      <c r="L860" s="94"/>
      <c r="M860" s="94"/>
      <c r="N860" s="94"/>
      <c r="O860" s="94"/>
      <c r="P860" s="94"/>
      <c r="Q860" s="94"/>
      <c r="R860" s="94"/>
      <c r="S860" s="94"/>
      <c r="T860" s="94"/>
      <c r="U860" s="94"/>
      <c r="V860" s="94"/>
      <c r="W860" s="94"/>
      <c r="X860" s="94"/>
      <c r="Y860" s="94"/>
      <c r="Z860" s="94"/>
      <c r="AA860" s="94"/>
      <c r="AB860" s="94"/>
      <c r="AC860" s="94"/>
      <c r="AD860" s="94"/>
      <c r="AE860" s="94"/>
      <c r="AF860" s="94"/>
      <c r="AG860" s="94"/>
      <c r="AH860" s="94"/>
      <c r="AI860" s="94"/>
      <c r="AJ860" s="94"/>
      <c r="AK860" s="94"/>
      <c r="AL860" s="94"/>
      <c r="AM860" s="94"/>
      <c r="AN860" s="94"/>
      <c r="AO860" s="94"/>
      <c r="AP860" s="94"/>
      <c r="AQ860" s="94"/>
      <c r="AR860" s="94"/>
      <c r="AS860" s="94"/>
      <c r="AT860" s="94"/>
      <c r="AU860" s="94"/>
      <c r="AV860" s="94"/>
      <c r="AW860" s="94"/>
      <c r="AX860" s="94"/>
      <c r="AY860" s="94"/>
      <c r="BA860" s="95"/>
    </row>
    <row r="861" spans="1:53" s="87" customFormat="1">
      <c r="A861" s="90" t="str">
        <f t="shared" si="38"/>
        <v/>
      </c>
      <c r="B861" s="98"/>
      <c r="C861" s="94"/>
      <c r="D861" s="94"/>
      <c r="E861" s="94"/>
      <c r="F861" s="94"/>
      <c r="G861" s="94"/>
      <c r="H861" s="94"/>
      <c r="I861" s="94"/>
      <c r="J861" s="94"/>
      <c r="K861" s="94"/>
      <c r="L861" s="94"/>
      <c r="M861" s="94"/>
      <c r="N861" s="94"/>
      <c r="O861" s="94"/>
      <c r="P861" s="94"/>
      <c r="Q861" s="94"/>
      <c r="R861" s="94"/>
      <c r="S861" s="94"/>
      <c r="T861" s="94"/>
      <c r="U861" s="94"/>
      <c r="V861" s="94"/>
      <c r="W861" s="94"/>
      <c r="X861" s="94"/>
      <c r="Y861" s="94"/>
      <c r="Z861" s="94"/>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c r="AW861" s="94"/>
      <c r="AX861" s="94"/>
      <c r="AY861" s="94"/>
      <c r="BA861" s="95"/>
    </row>
    <row r="862" spans="1:53" s="87" customFormat="1">
      <c r="A862" s="90" t="str">
        <f t="shared" si="38"/>
        <v/>
      </c>
      <c r="B862" s="98"/>
      <c r="C862" s="94"/>
      <c r="D862" s="94"/>
      <c r="E862" s="94"/>
      <c r="F862" s="94"/>
      <c r="G862" s="94"/>
      <c r="H862" s="94"/>
      <c r="I862" s="94"/>
      <c r="J862" s="94"/>
      <c r="K862" s="94"/>
      <c r="L862" s="94"/>
      <c r="M862" s="94"/>
      <c r="N862" s="94"/>
      <c r="O862" s="94"/>
      <c r="P862" s="94"/>
      <c r="Q862" s="94"/>
      <c r="R862" s="94"/>
      <c r="S862" s="94"/>
      <c r="T862" s="94"/>
      <c r="U862" s="94"/>
      <c r="V862" s="94"/>
      <c r="W862" s="94"/>
      <c r="X862" s="94"/>
      <c r="Y862" s="94"/>
      <c r="Z862" s="94"/>
      <c r="AA862" s="94"/>
      <c r="AB862" s="94"/>
      <c r="AC862" s="94"/>
      <c r="AD862" s="94"/>
      <c r="AE862" s="94"/>
      <c r="AF862" s="94"/>
      <c r="AG862" s="94"/>
      <c r="AH862" s="94"/>
      <c r="AI862" s="94"/>
      <c r="AJ862" s="94"/>
      <c r="AK862" s="94"/>
      <c r="AL862" s="94"/>
      <c r="AM862" s="94"/>
      <c r="AN862" s="94"/>
      <c r="AO862" s="94"/>
      <c r="AP862" s="94"/>
      <c r="AQ862" s="94"/>
      <c r="AR862" s="94"/>
      <c r="AS862" s="94"/>
      <c r="AT862" s="94"/>
      <c r="AU862" s="94"/>
      <c r="AV862" s="94"/>
      <c r="AW862" s="94"/>
      <c r="AX862" s="94"/>
      <c r="AY862" s="94"/>
      <c r="BA862" s="95"/>
    </row>
    <row r="863" spans="1:53" s="87" customFormat="1">
      <c r="A863" s="90" t="str">
        <f t="shared" si="38"/>
        <v/>
      </c>
      <c r="B863" s="98"/>
      <c r="C863" s="94"/>
      <c r="D863" s="94"/>
      <c r="E863" s="94"/>
      <c r="F863" s="94"/>
      <c r="G863" s="94"/>
      <c r="H863" s="94"/>
      <c r="I863" s="94"/>
      <c r="J863" s="94"/>
      <c r="K863" s="94"/>
      <c r="L863" s="94"/>
      <c r="M863" s="94"/>
      <c r="N863" s="94"/>
      <c r="O863" s="94"/>
      <c r="P863" s="94"/>
      <c r="Q863" s="94"/>
      <c r="R863" s="94"/>
      <c r="S863" s="94"/>
      <c r="T863" s="94"/>
      <c r="U863" s="94"/>
      <c r="V863" s="94"/>
      <c r="W863" s="94"/>
      <c r="X863" s="94"/>
      <c r="Y863" s="94"/>
      <c r="Z863" s="94"/>
      <c r="AA863" s="94"/>
      <c r="AB863" s="94"/>
      <c r="AC863" s="94"/>
      <c r="AD863" s="94"/>
      <c r="AE863" s="94"/>
      <c r="AF863" s="94"/>
      <c r="AG863" s="94"/>
      <c r="AH863" s="94"/>
      <c r="AI863" s="94"/>
      <c r="AJ863" s="94"/>
      <c r="AK863" s="94"/>
      <c r="AL863" s="94"/>
      <c r="AM863" s="94"/>
      <c r="AN863" s="94"/>
      <c r="AO863" s="94"/>
      <c r="AP863" s="94"/>
      <c r="AQ863" s="94"/>
      <c r="AR863" s="94"/>
      <c r="AS863" s="94"/>
      <c r="AT863" s="94"/>
      <c r="AU863" s="94"/>
      <c r="AV863" s="94"/>
      <c r="AW863" s="94"/>
      <c r="AX863" s="94"/>
      <c r="AY863" s="94"/>
      <c r="BA863" s="95"/>
    </row>
    <row r="864" spans="1:53" s="87" customFormat="1">
      <c r="A864" s="90" t="str">
        <f t="shared" si="38"/>
        <v/>
      </c>
      <c r="B864" s="98"/>
      <c r="C864" s="94"/>
      <c r="D864" s="94"/>
      <c r="E864" s="94"/>
      <c r="F864" s="94"/>
      <c r="G864" s="94"/>
      <c r="H864" s="94"/>
      <c r="I864" s="94"/>
      <c r="J864" s="94"/>
      <c r="K864" s="94"/>
      <c r="L864" s="94"/>
      <c r="M864" s="94"/>
      <c r="N864" s="94"/>
      <c r="O864" s="94"/>
      <c r="P864" s="94"/>
      <c r="Q864" s="94"/>
      <c r="R864" s="94"/>
      <c r="S864" s="94"/>
      <c r="T864" s="94"/>
      <c r="U864" s="94"/>
      <c r="V864" s="94"/>
      <c r="W864" s="94"/>
      <c r="X864" s="94"/>
      <c r="Y864" s="94"/>
      <c r="Z864" s="94"/>
      <c r="AA864" s="94"/>
      <c r="AB864" s="94"/>
      <c r="AC864" s="94"/>
      <c r="AD864" s="94"/>
      <c r="AE864" s="94"/>
      <c r="AF864" s="94"/>
      <c r="AG864" s="94"/>
      <c r="AH864" s="94"/>
      <c r="AI864" s="94"/>
      <c r="AJ864" s="94"/>
      <c r="AK864" s="94"/>
      <c r="AL864" s="94"/>
      <c r="AM864" s="94"/>
      <c r="AN864" s="94"/>
      <c r="AO864" s="94"/>
      <c r="AP864" s="94"/>
      <c r="AQ864" s="94"/>
      <c r="AR864" s="94"/>
      <c r="AS864" s="94"/>
      <c r="AT864" s="94"/>
      <c r="AU864" s="94"/>
      <c r="AV864" s="94"/>
      <c r="AW864" s="94"/>
      <c r="AX864" s="94"/>
      <c r="AY864" s="94"/>
      <c r="BA864" s="95"/>
    </row>
    <row r="865" spans="1:53" s="87" customFormat="1">
      <c r="A865" s="90" t="str">
        <f t="shared" si="38"/>
        <v/>
      </c>
      <c r="B865" s="98"/>
      <c r="C865" s="94"/>
      <c r="D865" s="94"/>
      <c r="E865" s="94"/>
      <c r="F865" s="94"/>
      <c r="G865" s="94"/>
      <c r="H865" s="94"/>
      <c r="I865" s="94"/>
      <c r="J865" s="94"/>
      <c r="K865" s="94"/>
      <c r="L865" s="94"/>
      <c r="M865" s="94"/>
      <c r="N865" s="94"/>
      <c r="O865" s="94"/>
      <c r="P865" s="94"/>
      <c r="Q865" s="94"/>
      <c r="R865" s="94"/>
      <c r="S865" s="94"/>
      <c r="T865" s="94"/>
      <c r="U865" s="94"/>
      <c r="V865" s="94"/>
      <c r="W865" s="94"/>
      <c r="X865" s="94"/>
      <c r="Y865" s="94"/>
      <c r="Z865" s="94"/>
      <c r="AA865" s="94"/>
      <c r="AB865" s="94"/>
      <c r="AC865" s="94"/>
      <c r="AD865" s="94"/>
      <c r="AE865" s="94"/>
      <c r="AF865" s="94"/>
      <c r="AG865" s="94"/>
      <c r="AH865" s="94"/>
      <c r="AI865" s="94"/>
      <c r="AJ865" s="94"/>
      <c r="AK865" s="94"/>
      <c r="AL865" s="94"/>
      <c r="AM865" s="94"/>
      <c r="AN865" s="94"/>
      <c r="AO865" s="94"/>
      <c r="AP865" s="94"/>
      <c r="AQ865" s="94"/>
      <c r="AR865" s="94"/>
      <c r="AS865" s="94"/>
      <c r="AT865" s="94"/>
      <c r="AU865" s="94"/>
      <c r="AV865" s="94"/>
      <c r="AW865" s="94"/>
      <c r="AX865" s="94"/>
      <c r="AY865" s="94"/>
      <c r="BA865" s="95"/>
    </row>
    <row r="866" spans="1:53" s="87" customFormat="1">
      <c r="A866" s="90" t="str">
        <f t="shared" si="38"/>
        <v/>
      </c>
      <c r="B866" s="98"/>
      <c r="C866" s="94"/>
      <c r="D866" s="94"/>
      <c r="E866" s="94"/>
      <c r="F866" s="94"/>
      <c r="G866" s="94"/>
      <c r="H866" s="94"/>
      <c r="I866" s="94"/>
      <c r="J866" s="94"/>
      <c r="K866" s="94"/>
      <c r="L866" s="94"/>
      <c r="M866" s="94"/>
      <c r="N866" s="94"/>
      <c r="O866" s="94"/>
      <c r="P866" s="94"/>
      <c r="Q866" s="94"/>
      <c r="R866" s="94"/>
      <c r="S866" s="94"/>
      <c r="T866" s="94"/>
      <c r="U866" s="94"/>
      <c r="V866" s="94"/>
      <c r="W866" s="94"/>
      <c r="X866" s="94"/>
      <c r="Y866" s="94"/>
      <c r="Z866" s="94"/>
      <c r="AA866" s="94"/>
      <c r="AB866" s="94"/>
      <c r="AC866" s="94"/>
      <c r="AD866" s="94"/>
      <c r="AE866" s="94"/>
      <c r="AF866" s="94"/>
      <c r="AG866" s="94"/>
      <c r="AH866" s="94"/>
      <c r="AI866" s="94"/>
      <c r="AJ866" s="94"/>
      <c r="AK866" s="94"/>
      <c r="AL866" s="94"/>
      <c r="AM866" s="94"/>
      <c r="AN866" s="94"/>
      <c r="AO866" s="94"/>
      <c r="AP866" s="94"/>
      <c r="AQ866" s="94"/>
      <c r="AR866" s="94"/>
      <c r="AS866" s="94"/>
      <c r="AT866" s="94"/>
      <c r="AU866" s="94"/>
      <c r="AV866" s="94"/>
      <c r="AW866" s="94"/>
      <c r="AX866" s="94"/>
      <c r="AY866" s="94"/>
      <c r="BA866" s="95"/>
    </row>
    <row r="867" spans="1:53" s="87" customFormat="1">
      <c r="A867" s="90" t="str">
        <f t="shared" si="38"/>
        <v/>
      </c>
      <c r="B867" s="98"/>
      <c r="C867" s="94"/>
      <c r="D867" s="94"/>
      <c r="E867" s="94"/>
      <c r="F867" s="94"/>
      <c r="G867" s="94"/>
      <c r="H867" s="94"/>
      <c r="I867" s="94"/>
      <c r="J867" s="94"/>
      <c r="K867" s="94"/>
      <c r="L867" s="94"/>
      <c r="M867" s="94"/>
      <c r="N867" s="94"/>
      <c r="O867" s="94"/>
      <c r="P867" s="94"/>
      <c r="Q867" s="94"/>
      <c r="R867" s="94"/>
      <c r="S867" s="94"/>
      <c r="T867" s="94"/>
      <c r="U867" s="94"/>
      <c r="V867" s="94"/>
      <c r="W867" s="94"/>
      <c r="X867" s="94"/>
      <c r="Y867" s="94"/>
      <c r="Z867" s="94"/>
      <c r="AA867" s="94"/>
      <c r="AB867" s="94"/>
      <c r="AC867" s="94"/>
      <c r="AD867" s="94"/>
      <c r="AE867" s="94"/>
      <c r="AF867" s="94"/>
      <c r="AG867" s="94"/>
      <c r="AH867" s="94"/>
      <c r="AI867" s="94"/>
      <c r="AJ867" s="94"/>
      <c r="AK867" s="94"/>
      <c r="AL867" s="94"/>
      <c r="AM867" s="94"/>
      <c r="AN867" s="94"/>
      <c r="AO867" s="94"/>
      <c r="AP867" s="94"/>
      <c r="AQ867" s="94"/>
      <c r="AR867" s="94"/>
      <c r="AS867" s="94"/>
      <c r="AT867" s="94"/>
      <c r="AU867" s="94"/>
      <c r="AV867" s="94"/>
      <c r="AW867" s="94"/>
      <c r="AX867" s="94"/>
      <c r="AY867" s="94"/>
      <c r="BA867" s="95"/>
    </row>
    <row r="868" spans="1:53" s="87" customFormat="1">
      <c r="A868" s="90" t="str">
        <f t="shared" si="38"/>
        <v/>
      </c>
      <c r="B868" s="98"/>
      <c r="C868" s="94"/>
      <c r="D868" s="94"/>
      <c r="E868" s="94"/>
      <c r="F868" s="94"/>
      <c r="G868" s="94"/>
      <c r="H868" s="94"/>
      <c r="I868" s="94"/>
      <c r="J868" s="94"/>
      <c r="K868" s="94"/>
      <c r="L868" s="94"/>
      <c r="M868" s="94"/>
      <c r="N868" s="94"/>
      <c r="O868" s="94"/>
      <c r="P868" s="94"/>
      <c r="Q868" s="94"/>
      <c r="R868" s="94"/>
      <c r="S868" s="94"/>
      <c r="T868" s="94"/>
      <c r="U868" s="94"/>
      <c r="V868" s="94"/>
      <c r="W868" s="94"/>
      <c r="X868" s="94"/>
      <c r="Y868" s="94"/>
      <c r="Z868" s="94"/>
      <c r="AA868" s="94"/>
      <c r="AB868" s="94"/>
      <c r="AC868" s="94"/>
      <c r="AD868" s="94"/>
      <c r="AE868" s="94"/>
      <c r="AF868" s="94"/>
      <c r="AG868" s="94"/>
      <c r="AH868" s="94"/>
      <c r="AI868" s="94"/>
      <c r="AJ868" s="94"/>
      <c r="AK868" s="94"/>
      <c r="AL868" s="94"/>
      <c r="AM868" s="94"/>
      <c r="AN868" s="94"/>
      <c r="AO868" s="94"/>
      <c r="AP868" s="94"/>
      <c r="AQ868" s="94"/>
      <c r="AR868" s="94"/>
      <c r="AS868" s="94"/>
      <c r="AT868" s="94"/>
      <c r="AU868" s="94"/>
      <c r="AV868" s="94"/>
      <c r="AW868" s="94"/>
      <c r="AX868" s="94"/>
      <c r="AY868" s="94"/>
      <c r="BA868" s="95"/>
    </row>
    <row r="869" spans="1:53" s="87" customFormat="1">
      <c r="A869" s="90" t="str">
        <f t="shared" si="38"/>
        <v/>
      </c>
      <c r="B869" s="98"/>
      <c r="C869" s="94"/>
      <c r="D869" s="94"/>
      <c r="E869" s="94"/>
      <c r="F869" s="94"/>
      <c r="G869" s="94"/>
      <c r="H869" s="94"/>
      <c r="I869" s="94"/>
      <c r="J869" s="94"/>
      <c r="K869" s="94"/>
      <c r="L869" s="94"/>
      <c r="M869" s="94"/>
      <c r="N869" s="94"/>
      <c r="O869" s="94"/>
      <c r="P869" s="94"/>
      <c r="Q869" s="94"/>
      <c r="R869" s="94"/>
      <c r="S869" s="94"/>
      <c r="T869" s="94"/>
      <c r="U869" s="94"/>
      <c r="V869" s="94"/>
      <c r="W869" s="94"/>
      <c r="X869" s="94"/>
      <c r="Y869" s="94"/>
      <c r="Z869" s="94"/>
      <c r="AA869" s="94"/>
      <c r="AB869" s="94"/>
      <c r="AC869" s="94"/>
      <c r="AD869" s="94"/>
      <c r="AE869" s="94"/>
      <c r="AF869" s="94"/>
      <c r="AG869" s="94"/>
      <c r="AH869" s="94"/>
      <c r="AI869" s="94"/>
      <c r="AJ869" s="94"/>
      <c r="AK869" s="94"/>
      <c r="AL869" s="94"/>
      <c r="AM869" s="94"/>
      <c r="AN869" s="94"/>
      <c r="AO869" s="94"/>
      <c r="AP869" s="94"/>
      <c r="AQ869" s="94"/>
      <c r="AR869" s="94"/>
      <c r="AS869" s="94"/>
      <c r="AT869" s="94"/>
      <c r="AU869" s="94"/>
      <c r="AV869" s="94"/>
      <c r="AW869" s="94"/>
      <c r="AX869" s="94"/>
      <c r="AY869" s="94"/>
      <c r="BA869" s="95"/>
    </row>
    <row r="870" spans="1:53" s="87" customFormat="1">
      <c r="A870" s="90" t="str">
        <f t="shared" si="38"/>
        <v/>
      </c>
      <c r="B870" s="98"/>
      <c r="C870" s="94"/>
      <c r="D870" s="94"/>
      <c r="E870" s="94"/>
      <c r="F870" s="94"/>
      <c r="G870" s="94"/>
      <c r="H870" s="94"/>
      <c r="I870" s="94"/>
      <c r="J870" s="94"/>
      <c r="K870" s="94"/>
      <c r="L870" s="94"/>
      <c r="M870" s="94"/>
      <c r="N870" s="94"/>
      <c r="O870" s="94"/>
      <c r="P870" s="94"/>
      <c r="Q870" s="94"/>
      <c r="R870" s="94"/>
      <c r="S870" s="94"/>
      <c r="T870" s="94"/>
      <c r="U870" s="94"/>
      <c r="V870" s="94"/>
      <c r="W870" s="94"/>
      <c r="X870" s="94"/>
      <c r="Y870" s="94"/>
      <c r="Z870" s="94"/>
      <c r="AA870" s="94"/>
      <c r="AB870" s="94"/>
      <c r="AC870" s="94"/>
      <c r="AD870" s="94"/>
      <c r="AE870" s="94"/>
      <c r="AF870" s="94"/>
      <c r="AG870" s="94"/>
      <c r="AH870" s="94"/>
      <c r="AI870" s="94"/>
      <c r="AJ870" s="94"/>
      <c r="AK870" s="94"/>
      <c r="AL870" s="94"/>
      <c r="AM870" s="94"/>
      <c r="AN870" s="94"/>
      <c r="AO870" s="94"/>
      <c r="AP870" s="94"/>
      <c r="AQ870" s="94"/>
      <c r="AR870" s="94"/>
      <c r="AS870" s="94"/>
      <c r="AT870" s="94"/>
      <c r="AU870" s="94"/>
      <c r="AV870" s="94"/>
      <c r="AW870" s="94"/>
      <c r="AX870" s="94"/>
      <c r="AY870" s="94"/>
      <c r="BA870" s="95"/>
    </row>
    <row r="871" spans="1:53" s="87" customFormat="1">
      <c r="A871" s="90" t="str">
        <f t="shared" si="38"/>
        <v/>
      </c>
      <c r="B871" s="98"/>
      <c r="C871" s="94"/>
      <c r="D871" s="94"/>
      <c r="E871" s="94"/>
      <c r="F871" s="94"/>
      <c r="G871" s="94"/>
      <c r="H871" s="94"/>
      <c r="I871" s="94"/>
      <c r="J871" s="94"/>
      <c r="K871" s="94"/>
      <c r="L871" s="94"/>
      <c r="M871" s="94"/>
      <c r="N871" s="94"/>
      <c r="O871" s="94"/>
      <c r="P871" s="94"/>
      <c r="Q871" s="94"/>
      <c r="R871" s="94"/>
      <c r="S871" s="94"/>
      <c r="T871" s="94"/>
      <c r="U871" s="94"/>
      <c r="V871" s="94"/>
      <c r="W871" s="94"/>
      <c r="X871" s="94"/>
      <c r="Y871" s="94"/>
      <c r="Z871" s="94"/>
      <c r="AA871" s="94"/>
      <c r="AB871" s="94"/>
      <c r="AC871" s="94"/>
      <c r="AD871" s="94"/>
      <c r="AE871" s="94"/>
      <c r="AF871" s="94"/>
      <c r="AG871" s="94"/>
      <c r="AH871" s="94"/>
      <c r="AI871" s="94"/>
      <c r="AJ871" s="94"/>
      <c r="AK871" s="94"/>
      <c r="AL871" s="94"/>
      <c r="AM871" s="94"/>
      <c r="AN871" s="94"/>
      <c r="AO871" s="94"/>
      <c r="AP871" s="94"/>
      <c r="AQ871" s="94"/>
      <c r="AR871" s="94"/>
      <c r="AS871" s="94"/>
      <c r="AT871" s="94"/>
      <c r="AU871" s="94"/>
      <c r="AV871" s="94"/>
      <c r="AW871" s="94"/>
      <c r="AX871" s="94"/>
      <c r="AY871" s="94"/>
      <c r="BA871" s="95"/>
    </row>
    <row r="872" spans="1:53" s="87" customFormat="1">
      <c r="A872" s="90" t="str">
        <f t="shared" si="38"/>
        <v/>
      </c>
      <c r="B872" s="98"/>
      <c r="C872" s="94"/>
      <c r="D872" s="94"/>
      <c r="E872" s="94"/>
      <c r="F872" s="94"/>
      <c r="G872" s="94"/>
      <c r="H872" s="94"/>
      <c r="I872" s="94"/>
      <c r="J872" s="94"/>
      <c r="K872" s="94"/>
      <c r="L872" s="94"/>
      <c r="M872" s="94"/>
      <c r="N872" s="94"/>
      <c r="O872" s="94"/>
      <c r="P872" s="94"/>
      <c r="Q872" s="94"/>
      <c r="R872" s="94"/>
      <c r="S872" s="94"/>
      <c r="T872" s="94"/>
      <c r="U872" s="94"/>
      <c r="V872" s="94"/>
      <c r="W872" s="94"/>
      <c r="X872" s="94"/>
      <c r="Y872" s="94"/>
      <c r="Z872" s="94"/>
      <c r="AA872" s="94"/>
      <c r="AB872" s="94"/>
      <c r="AC872" s="94"/>
      <c r="AD872" s="94"/>
      <c r="AE872" s="94"/>
      <c r="AF872" s="94"/>
      <c r="AG872" s="94"/>
      <c r="AH872" s="94"/>
      <c r="AI872" s="94"/>
      <c r="AJ872" s="94"/>
      <c r="AK872" s="94"/>
      <c r="AL872" s="94"/>
      <c r="AM872" s="94"/>
      <c r="AN872" s="94"/>
      <c r="AO872" s="94"/>
      <c r="AP872" s="94"/>
      <c r="AQ872" s="94"/>
      <c r="AR872" s="94"/>
      <c r="AS872" s="94"/>
      <c r="AT872" s="94"/>
      <c r="AU872" s="94"/>
      <c r="AV872" s="94"/>
      <c r="AW872" s="94"/>
      <c r="AX872" s="94"/>
      <c r="AY872" s="94"/>
      <c r="BA872" s="95"/>
    </row>
    <row r="873" spans="1:53" s="87" customFormat="1">
      <c r="A873" s="90" t="str">
        <f t="shared" si="38"/>
        <v/>
      </c>
      <c r="B873" s="98"/>
      <c r="C873" s="94"/>
      <c r="D873" s="94"/>
      <c r="E873" s="94"/>
      <c r="F873" s="94"/>
      <c r="G873" s="94"/>
      <c r="H873" s="94"/>
      <c r="I873" s="94"/>
      <c r="J873" s="94"/>
      <c r="K873" s="94"/>
      <c r="L873" s="94"/>
      <c r="M873" s="94"/>
      <c r="N873" s="94"/>
      <c r="O873" s="94"/>
      <c r="P873" s="94"/>
      <c r="Q873" s="94"/>
      <c r="R873" s="94"/>
      <c r="S873" s="94"/>
      <c r="T873" s="94"/>
      <c r="U873" s="94"/>
      <c r="V873" s="94"/>
      <c r="W873" s="94"/>
      <c r="X873" s="94"/>
      <c r="Y873" s="94"/>
      <c r="Z873" s="94"/>
      <c r="AA873" s="94"/>
      <c r="AB873" s="94"/>
      <c r="AC873" s="94"/>
      <c r="AD873" s="94"/>
      <c r="AE873" s="94"/>
      <c r="AF873" s="94"/>
      <c r="AG873" s="94"/>
      <c r="AH873" s="94"/>
      <c r="AI873" s="94"/>
      <c r="AJ873" s="94"/>
      <c r="AK873" s="94"/>
      <c r="AL873" s="94"/>
      <c r="AM873" s="94"/>
      <c r="AN873" s="94"/>
      <c r="AO873" s="94"/>
      <c r="AP873" s="94"/>
      <c r="AQ873" s="94"/>
      <c r="AR873" s="94"/>
      <c r="AS873" s="94"/>
      <c r="AT873" s="94"/>
      <c r="AU873" s="94"/>
      <c r="AV873" s="94"/>
      <c r="AW873" s="94"/>
      <c r="AX873" s="94"/>
      <c r="AY873" s="94"/>
      <c r="BA873" s="95"/>
    </row>
    <row r="874" spans="1:53" s="87" customFormat="1">
      <c r="A874" s="90" t="str">
        <f t="shared" si="38"/>
        <v/>
      </c>
      <c r="B874" s="98"/>
      <c r="C874" s="94"/>
      <c r="D874" s="94"/>
      <c r="E874" s="94"/>
      <c r="F874" s="94"/>
      <c r="G874" s="94"/>
      <c r="H874" s="94"/>
      <c r="I874" s="94"/>
      <c r="J874" s="94"/>
      <c r="K874" s="94"/>
      <c r="L874" s="94"/>
      <c r="M874" s="94"/>
      <c r="N874" s="94"/>
      <c r="O874" s="94"/>
      <c r="P874" s="94"/>
      <c r="Q874" s="94"/>
      <c r="R874" s="94"/>
      <c r="S874" s="94"/>
      <c r="T874" s="94"/>
      <c r="U874" s="94"/>
      <c r="V874" s="94"/>
      <c r="W874" s="94"/>
      <c r="X874" s="94"/>
      <c r="Y874" s="94"/>
      <c r="Z874" s="94"/>
      <c r="AA874" s="94"/>
      <c r="AB874" s="94"/>
      <c r="AC874" s="94"/>
      <c r="AD874" s="94"/>
      <c r="AE874" s="94"/>
      <c r="AF874" s="94"/>
      <c r="AG874" s="94"/>
      <c r="AH874" s="94"/>
      <c r="AI874" s="94"/>
      <c r="AJ874" s="94"/>
      <c r="AK874" s="94"/>
      <c r="AL874" s="94"/>
      <c r="AM874" s="94"/>
      <c r="AN874" s="94"/>
      <c r="AO874" s="94"/>
      <c r="AP874" s="94"/>
      <c r="AQ874" s="94"/>
      <c r="AR874" s="94"/>
      <c r="AS874" s="94"/>
      <c r="AT874" s="94"/>
      <c r="AU874" s="94"/>
      <c r="AV874" s="94"/>
      <c r="AW874" s="94"/>
      <c r="AX874" s="94"/>
      <c r="AY874" s="94"/>
      <c r="BA874" s="95"/>
    </row>
    <row r="875" spans="1:53" s="87" customFormat="1">
      <c r="A875" s="90" t="str">
        <f t="shared" si="38"/>
        <v/>
      </c>
      <c r="B875" s="98"/>
      <c r="C875" s="94"/>
      <c r="D875" s="94"/>
      <c r="E875" s="94"/>
      <c r="F875" s="94"/>
      <c r="G875" s="94"/>
      <c r="H875" s="94"/>
      <c r="I875" s="94"/>
      <c r="J875" s="94"/>
      <c r="K875" s="94"/>
      <c r="L875" s="94"/>
      <c r="M875" s="94"/>
      <c r="N875" s="94"/>
      <c r="O875" s="94"/>
      <c r="P875" s="94"/>
      <c r="Q875" s="94"/>
      <c r="R875" s="94"/>
      <c r="S875" s="94"/>
      <c r="T875" s="94"/>
      <c r="U875" s="94"/>
      <c r="V875" s="94"/>
      <c r="W875" s="94"/>
      <c r="X875" s="94"/>
      <c r="Y875" s="94"/>
      <c r="Z875" s="94"/>
      <c r="AA875" s="94"/>
      <c r="AB875" s="94"/>
      <c r="AC875" s="94"/>
      <c r="AD875" s="94"/>
      <c r="AE875" s="94"/>
      <c r="AF875" s="94"/>
      <c r="AG875" s="94"/>
      <c r="AH875" s="94"/>
      <c r="AI875" s="94"/>
      <c r="AJ875" s="94"/>
      <c r="AK875" s="94"/>
      <c r="AL875" s="94"/>
      <c r="AM875" s="94"/>
      <c r="AN875" s="94"/>
      <c r="AO875" s="94"/>
      <c r="AP875" s="94"/>
      <c r="AQ875" s="94"/>
      <c r="AR875" s="94"/>
      <c r="AS875" s="94"/>
      <c r="AT875" s="94"/>
      <c r="AU875" s="94"/>
      <c r="AV875" s="94"/>
      <c r="AW875" s="94"/>
      <c r="AX875" s="94"/>
      <c r="AY875" s="94"/>
      <c r="BA875" s="95"/>
    </row>
    <row r="876" spans="1:53" s="87" customFormat="1">
      <c r="A876" s="90" t="str">
        <f t="shared" si="38"/>
        <v/>
      </c>
      <c r="B876" s="98"/>
      <c r="C876" s="94"/>
      <c r="D876" s="94"/>
      <c r="E876" s="94"/>
      <c r="F876" s="94"/>
      <c r="G876" s="94"/>
      <c r="H876" s="94"/>
      <c r="I876" s="94"/>
      <c r="J876" s="94"/>
      <c r="K876" s="94"/>
      <c r="L876" s="94"/>
      <c r="M876" s="94"/>
      <c r="N876" s="94"/>
      <c r="O876" s="94"/>
      <c r="P876" s="94"/>
      <c r="Q876" s="94"/>
      <c r="R876" s="94"/>
      <c r="S876" s="94"/>
      <c r="T876" s="94"/>
      <c r="U876" s="94"/>
      <c r="V876" s="94"/>
      <c r="W876" s="94"/>
      <c r="X876" s="94"/>
      <c r="Y876" s="94"/>
      <c r="Z876" s="94"/>
      <c r="AA876" s="94"/>
      <c r="AB876" s="94"/>
      <c r="AC876" s="94"/>
      <c r="AD876" s="94"/>
      <c r="AE876" s="94"/>
      <c r="AF876" s="94"/>
      <c r="AG876" s="94"/>
      <c r="AH876" s="94"/>
      <c r="AI876" s="94"/>
      <c r="AJ876" s="94"/>
      <c r="AK876" s="94"/>
      <c r="AL876" s="94"/>
      <c r="AM876" s="94"/>
      <c r="AN876" s="94"/>
      <c r="AO876" s="94"/>
      <c r="AP876" s="94"/>
      <c r="AQ876" s="94"/>
      <c r="AR876" s="94"/>
      <c r="AS876" s="94"/>
      <c r="AT876" s="94"/>
      <c r="AU876" s="94"/>
      <c r="AV876" s="94"/>
      <c r="AW876" s="94"/>
      <c r="AX876" s="94"/>
      <c r="AY876" s="94"/>
      <c r="BA876" s="95"/>
    </row>
    <row r="877" spans="1:53" s="87" customFormat="1">
      <c r="A877" s="90" t="str">
        <f t="shared" si="38"/>
        <v/>
      </c>
      <c r="B877" s="98"/>
      <c r="C877" s="94"/>
      <c r="D877" s="94"/>
      <c r="E877" s="94"/>
      <c r="F877" s="94"/>
      <c r="G877" s="94"/>
      <c r="H877" s="94"/>
      <c r="I877" s="94"/>
      <c r="J877" s="94"/>
      <c r="K877" s="94"/>
      <c r="L877" s="94"/>
      <c r="M877" s="94"/>
      <c r="N877" s="94"/>
      <c r="O877" s="94"/>
      <c r="P877" s="94"/>
      <c r="Q877" s="94"/>
      <c r="R877" s="94"/>
      <c r="S877" s="94"/>
      <c r="T877" s="94"/>
      <c r="U877" s="94"/>
      <c r="V877" s="94"/>
      <c r="W877" s="94"/>
      <c r="X877" s="94"/>
      <c r="Y877" s="94"/>
      <c r="Z877" s="94"/>
      <c r="AA877" s="94"/>
      <c r="AB877" s="94"/>
      <c r="AC877" s="94"/>
      <c r="AD877" s="94"/>
      <c r="AE877" s="94"/>
      <c r="AF877" s="94"/>
      <c r="AG877" s="94"/>
      <c r="AH877" s="94"/>
      <c r="AI877" s="94"/>
      <c r="AJ877" s="94"/>
      <c r="AK877" s="94"/>
      <c r="AL877" s="94"/>
      <c r="AM877" s="94"/>
      <c r="AN877" s="94"/>
      <c r="AO877" s="94"/>
      <c r="AP877" s="94"/>
      <c r="AQ877" s="94"/>
      <c r="AR877" s="94"/>
      <c r="AS877" s="94"/>
      <c r="AT877" s="94"/>
      <c r="AU877" s="94"/>
      <c r="AV877" s="94"/>
      <c r="AW877" s="94"/>
      <c r="AX877" s="94"/>
      <c r="AY877" s="94"/>
      <c r="BA877" s="95"/>
    </row>
    <row r="878" spans="1:53" s="87" customFormat="1">
      <c r="A878" s="90" t="str">
        <f t="shared" si="38"/>
        <v/>
      </c>
      <c r="B878" s="98"/>
      <c r="C878" s="94"/>
      <c r="D878" s="94"/>
      <c r="E878" s="94"/>
      <c r="F878" s="94"/>
      <c r="G878" s="94"/>
      <c r="H878" s="94"/>
      <c r="I878" s="94"/>
      <c r="J878" s="94"/>
      <c r="K878" s="94"/>
      <c r="L878" s="94"/>
      <c r="M878" s="94"/>
      <c r="N878" s="94"/>
      <c r="O878" s="94"/>
      <c r="P878" s="94"/>
      <c r="Q878" s="94"/>
      <c r="R878" s="94"/>
      <c r="S878" s="94"/>
      <c r="T878" s="94"/>
      <c r="U878" s="94"/>
      <c r="V878" s="94"/>
      <c r="W878" s="94"/>
      <c r="X878" s="94"/>
      <c r="Y878" s="94"/>
      <c r="Z878" s="94"/>
      <c r="AA878" s="94"/>
      <c r="AB878" s="94"/>
      <c r="AC878" s="94"/>
      <c r="AD878" s="94"/>
      <c r="AE878" s="94"/>
      <c r="AF878" s="94"/>
      <c r="AG878" s="94"/>
      <c r="AH878" s="94"/>
      <c r="AI878" s="94"/>
      <c r="AJ878" s="94"/>
      <c r="AK878" s="94"/>
      <c r="AL878" s="94"/>
      <c r="AM878" s="94"/>
      <c r="AN878" s="94"/>
      <c r="AO878" s="94"/>
      <c r="AP878" s="94"/>
      <c r="AQ878" s="94"/>
      <c r="AR878" s="94"/>
      <c r="AS878" s="94"/>
      <c r="AT878" s="94"/>
      <c r="AU878" s="94"/>
      <c r="AV878" s="94"/>
      <c r="AW878" s="94"/>
      <c r="AX878" s="94"/>
      <c r="AY878" s="94"/>
      <c r="BA878" s="95"/>
    </row>
    <row r="879" spans="1:53" s="87" customFormat="1">
      <c r="A879" s="90" t="str">
        <f t="shared" si="38"/>
        <v/>
      </c>
      <c r="B879" s="98"/>
      <c r="C879" s="94"/>
      <c r="D879" s="94"/>
      <c r="E879" s="94"/>
      <c r="F879" s="94"/>
      <c r="G879" s="94"/>
      <c r="H879" s="94"/>
      <c r="I879" s="94"/>
      <c r="J879" s="94"/>
      <c r="K879" s="94"/>
      <c r="L879" s="94"/>
      <c r="M879" s="94"/>
      <c r="N879" s="94"/>
      <c r="O879" s="94"/>
      <c r="P879" s="94"/>
      <c r="Q879" s="94"/>
      <c r="R879" s="94"/>
      <c r="S879" s="94"/>
      <c r="T879" s="94"/>
      <c r="U879" s="94"/>
      <c r="V879" s="94"/>
      <c r="W879" s="94"/>
      <c r="X879" s="94"/>
      <c r="Y879" s="94"/>
      <c r="Z879" s="94"/>
      <c r="AA879" s="94"/>
      <c r="AB879" s="94"/>
      <c r="AC879" s="94"/>
      <c r="AD879" s="94"/>
      <c r="AE879" s="94"/>
      <c r="AF879" s="94"/>
      <c r="AG879" s="94"/>
      <c r="AH879" s="94"/>
      <c r="AI879" s="94"/>
      <c r="AJ879" s="94"/>
      <c r="AK879" s="94"/>
      <c r="AL879" s="94"/>
      <c r="AM879" s="94"/>
      <c r="AN879" s="94"/>
      <c r="AO879" s="94"/>
      <c r="AP879" s="94"/>
      <c r="AQ879" s="94"/>
      <c r="AR879" s="94"/>
      <c r="AS879" s="94"/>
      <c r="AT879" s="94"/>
      <c r="AU879" s="94"/>
      <c r="AV879" s="94"/>
      <c r="AW879" s="94"/>
      <c r="AX879" s="94"/>
      <c r="AY879" s="94"/>
      <c r="BA879" s="95"/>
    </row>
    <row r="880" spans="1:53" s="87" customFormat="1">
      <c r="A880" s="90" t="str">
        <f t="shared" si="38"/>
        <v/>
      </c>
      <c r="B880" s="98"/>
      <c r="C880" s="94"/>
      <c r="D880" s="94"/>
      <c r="E880" s="94"/>
      <c r="F880" s="94"/>
      <c r="G880" s="94"/>
      <c r="H880" s="94"/>
      <c r="I880" s="94"/>
      <c r="J880" s="94"/>
      <c r="K880" s="94"/>
      <c r="L880" s="94"/>
      <c r="M880" s="94"/>
      <c r="N880" s="94"/>
      <c r="O880" s="94"/>
      <c r="P880" s="94"/>
      <c r="Q880" s="94"/>
      <c r="R880" s="94"/>
      <c r="S880" s="94"/>
      <c r="T880" s="94"/>
      <c r="U880" s="94"/>
      <c r="V880" s="94"/>
      <c r="W880" s="94"/>
      <c r="X880" s="94"/>
      <c r="Y880" s="94"/>
      <c r="Z880" s="94"/>
      <c r="AA880" s="94"/>
      <c r="AB880" s="94"/>
      <c r="AC880" s="94"/>
      <c r="AD880" s="94"/>
      <c r="AE880" s="94"/>
      <c r="AF880" s="94"/>
      <c r="AG880" s="94"/>
      <c r="AH880" s="94"/>
      <c r="AI880" s="94"/>
      <c r="AJ880" s="94"/>
      <c r="AK880" s="94"/>
      <c r="AL880" s="94"/>
      <c r="AM880" s="94"/>
      <c r="AN880" s="94"/>
      <c r="AO880" s="94"/>
      <c r="AP880" s="94"/>
      <c r="AQ880" s="94"/>
      <c r="AR880" s="94"/>
      <c r="AS880" s="94"/>
      <c r="AT880" s="94"/>
      <c r="AU880" s="94"/>
      <c r="AV880" s="94"/>
      <c r="AW880" s="94"/>
      <c r="AX880" s="94"/>
      <c r="AY880" s="94"/>
      <c r="BA880" s="95"/>
    </row>
    <row r="881" spans="1:53" s="87" customFormat="1">
      <c r="A881" s="90" t="str">
        <f t="shared" si="38"/>
        <v/>
      </c>
      <c r="B881" s="98"/>
      <c r="C881" s="94"/>
      <c r="D881" s="94"/>
      <c r="E881" s="94"/>
      <c r="F881" s="94"/>
      <c r="G881" s="94"/>
      <c r="H881" s="94"/>
      <c r="I881" s="94"/>
      <c r="J881" s="94"/>
      <c r="K881" s="94"/>
      <c r="L881" s="94"/>
      <c r="M881" s="94"/>
      <c r="N881" s="94"/>
      <c r="O881" s="94"/>
      <c r="P881" s="94"/>
      <c r="Q881" s="94"/>
      <c r="R881" s="94"/>
      <c r="S881" s="94"/>
      <c r="T881" s="94"/>
      <c r="U881" s="94"/>
      <c r="V881" s="94"/>
      <c r="W881" s="94"/>
      <c r="X881" s="94"/>
      <c r="Y881" s="94"/>
      <c r="Z881" s="94"/>
      <c r="AA881" s="94"/>
      <c r="AB881" s="94"/>
      <c r="AC881" s="94"/>
      <c r="AD881" s="94"/>
      <c r="AE881" s="94"/>
      <c r="AF881" s="94"/>
      <c r="AG881" s="94"/>
      <c r="AH881" s="94"/>
      <c r="AI881" s="94"/>
      <c r="AJ881" s="94"/>
      <c r="AK881" s="94"/>
      <c r="AL881" s="94"/>
      <c r="AM881" s="94"/>
      <c r="AN881" s="94"/>
      <c r="AO881" s="94"/>
      <c r="AP881" s="94"/>
      <c r="AQ881" s="94"/>
      <c r="AR881" s="94"/>
      <c r="AS881" s="94"/>
      <c r="AT881" s="94"/>
      <c r="AU881" s="94"/>
      <c r="AV881" s="94"/>
      <c r="AW881" s="94"/>
      <c r="AX881" s="94"/>
      <c r="AY881" s="94"/>
      <c r="BA881" s="95"/>
    </row>
    <row r="882" spans="1:53" s="87" customFormat="1">
      <c r="A882" s="90" t="str">
        <f t="shared" si="38"/>
        <v/>
      </c>
      <c r="B882" s="98"/>
      <c r="C882" s="94"/>
      <c r="D882" s="94"/>
      <c r="E882" s="94"/>
      <c r="F882" s="94"/>
      <c r="G882" s="94"/>
      <c r="H882" s="94"/>
      <c r="I882" s="94"/>
      <c r="J882" s="94"/>
      <c r="K882" s="94"/>
      <c r="L882" s="94"/>
      <c r="M882" s="94"/>
      <c r="N882" s="94"/>
      <c r="O882" s="94"/>
      <c r="P882" s="94"/>
      <c r="Q882" s="94"/>
      <c r="R882" s="94"/>
      <c r="S882" s="94"/>
      <c r="T882" s="94"/>
      <c r="U882" s="94"/>
      <c r="V882" s="94"/>
      <c r="W882" s="94"/>
      <c r="X882" s="94"/>
      <c r="Y882" s="94"/>
      <c r="Z882" s="94"/>
      <c r="AA882" s="94"/>
      <c r="AB882" s="94"/>
      <c r="AC882" s="94"/>
      <c r="AD882" s="94"/>
      <c r="AE882" s="94"/>
      <c r="AF882" s="94"/>
      <c r="AG882" s="94"/>
      <c r="AH882" s="94"/>
      <c r="AI882" s="94"/>
      <c r="AJ882" s="94"/>
      <c r="AK882" s="94"/>
      <c r="AL882" s="94"/>
      <c r="AM882" s="94"/>
      <c r="AN882" s="94"/>
      <c r="AO882" s="94"/>
      <c r="AP882" s="94"/>
      <c r="AQ882" s="94"/>
      <c r="AR882" s="94"/>
      <c r="AS882" s="94"/>
      <c r="AT882" s="94"/>
      <c r="AU882" s="94"/>
      <c r="AV882" s="94"/>
      <c r="AW882" s="94"/>
      <c r="AX882" s="94"/>
      <c r="AY882" s="94"/>
      <c r="BA882" s="95"/>
    </row>
    <row r="883" spans="1:53" s="87" customFormat="1">
      <c r="A883" s="90" t="str">
        <f t="shared" si="38"/>
        <v/>
      </c>
      <c r="B883" s="98"/>
      <c r="C883" s="94"/>
      <c r="D883" s="94"/>
      <c r="E883" s="94"/>
      <c r="F883" s="94"/>
      <c r="G883" s="94"/>
      <c r="H883" s="94"/>
      <c r="I883" s="94"/>
      <c r="J883" s="94"/>
      <c r="K883" s="94"/>
      <c r="L883" s="94"/>
      <c r="M883" s="94"/>
      <c r="N883" s="94"/>
      <c r="O883" s="94"/>
      <c r="P883" s="94"/>
      <c r="Q883" s="94"/>
      <c r="R883" s="94"/>
      <c r="S883" s="94"/>
      <c r="T883" s="94"/>
      <c r="U883" s="94"/>
      <c r="V883" s="94"/>
      <c r="W883" s="94"/>
      <c r="X883" s="94"/>
      <c r="Y883" s="94"/>
      <c r="Z883" s="94"/>
      <c r="AA883" s="94"/>
      <c r="AB883" s="94"/>
      <c r="AC883" s="94"/>
      <c r="AD883" s="94"/>
      <c r="AE883" s="94"/>
      <c r="AF883" s="94"/>
      <c r="AG883" s="94"/>
      <c r="AH883" s="94"/>
      <c r="AI883" s="94"/>
      <c r="AJ883" s="94"/>
      <c r="AK883" s="94"/>
      <c r="AL883" s="94"/>
      <c r="AM883" s="94"/>
      <c r="AN883" s="94"/>
      <c r="AO883" s="94"/>
      <c r="AP883" s="94"/>
      <c r="AQ883" s="94"/>
      <c r="AR883" s="94"/>
      <c r="AS883" s="94"/>
      <c r="AT883" s="94"/>
      <c r="AU883" s="94"/>
      <c r="AV883" s="94"/>
      <c r="AW883" s="94"/>
      <c r="AX883" s="94"/>
      <c r="AY883" s="94"/>
      <c r="BA883" s="95"/>
    </row>
    <row r="884" spans="1:53" s="87" customFormat="1">
      <c r="A884" s="90" t="str">
        <f t="shared" si="38"/>
        <v/>
      </c>
      <c r="B884" s="98"/>
      <c r="C884" s="94"/>
      <c r="D884" s="94"/>
      <c r="E884" s="94"/>
      <c r="F884" s="94"/>
      <c r="G884" s="94"/>
      <c r="H884" s="94"/>
      <c r="I884" s="94"/>
      <c r="J884" s="94"/>
      <c r="K884" s="94"/>
      <c r="L884" s="94"/>
      <c r="M884" s="94"/>
      <c r="N884" s="94"/>
      <c r="O884" s="94"/>
      <c r="P884" s="94"/>
      <c r="Q884" s="94"/>
      <c r="R884" s="94"/>
      <c r="S884" s="94"/>
      <c r="T884" s="94"/>
      <c r="U884" s="94"/>
      <c r="V884" s="94"/>
      <c r="W884" s="94"/>
      <c r="X884" s="94"/>
      <c r="Y884" s="94"/>
      <c r="Z884" s="94"/>
      <c r="AA884" s="94"/>
      <c r="AB884" s="94"/>
      <c r="AC884" s="94"/>
      <c r="AD884" s="94"/>
      <c r="AE884" s="94"/>
      <c r="AF884" s="94"/>
      <c r="AG884" s="94"/>
      <c r="AH884" s="94"/>
      <c r="AI884" s="94"/>
      <c r="AJ884" s="94"/>
      <c r="AK884" s="94"/>
      <c r="AL884" s="94"/>
      <c r="AM884" s="94"/>
      <c r="AN884" s="94"/>
      <c r="AO884" s="94"/>
      <c r="AP884" s="94"/>
      <c r="AQ884" s="94"/>
      <c r="AR884" s="94"/>
      <c r="AS884" s="94"/>
      <c r="AT884" s="94"/>
      <c r="AU884" s="94"/>
      <c r="AV884" s="94"/>
      <c r="AW884" s="94"/>
      <c r="AX884" s="94"/>
      <c r="AY884" s="94"/>
      <c r="BA884" s="95"/>
    </row>
    <row r="885" spans="1:53" s="87" customFormat="1">
      <c r="A885" s="90" t="str">
        <f t="shared" si="38"/>
        <v/>
      </c>
      <c r="B885" s="98"/>
      <c r="C885" s="94"/>
      <c r="D885" s="94"/>
      <c r="E885" s="94"/>
      <c r="F885" s="94"/>
      <c r="G885" s="94"/>
      <c r="H885" s="94"/>
      <c r="I885" s="94"/>
      <c r="J885" s="94"/>
      <c r="K885" s="94"/>
      <c r="L885" s="94"/>
      <c r="M885" s="94"/>
      <c r="N885" s="94"/>
      <c r="O885" s="94"/>
      <c r="P885" s="94"/>
      <c r="Q885" s="94"/>
      <c r="R885" s="94"/>
      <c r="S885" s="94"/>
      <c r="T885" s="94"/>
      <c r="U885" s="94"/>
      <c r="V885" s="94"/>
      <c r="W885" s="94"/>
      <c r="X885" s="94"/>
      <c r="Y885" s="94"/>
      <c r="Z885" s="94"/>
      <c r="AA885" s="94"/>
      <c r="AB885" s="94"/>
      <c r="AC885" s="94"/>
      <c r="AD885" s="94"/>
      <c r="AE885" s="94"/>
      <c r="AF885" s="94"/>
      <c r="AG885" s="94"/>
      <c r="AH885" s="94"/>
      <c r="AI885" s="94"/>
      <c r="AJ885" s="94"/>
      <c r="AK885" s="94"/>
      <c r="AL885" s="94"/>
      <c r="AM885" s="94"/>
      <c r="AN885" s="94"/>
      <c r="AO885" s="94"/>
      <c r="AP885" s="94"/>
      <c r="AQ885" s="94"/>
      <c r="AR885" s="94"/>
      <c r="AS885" s="94"/>
      <c r="AT885" s="94"/>
      <c r="AU885" s="94"/>
      <c r="AV885" s="94"/>
      <c r="AW885" s="94"/>
      <c r="AX885" s="94"/>
      <c r="AY885" s="94"/>
      <c r="BA885" s="95"/>
    </row>
    <row r="886" spans="1:53" s="87" customFormat="1">
      <c r="A886" s="90" t="str">
        <f t="shared" si="38"/>
        <v/>
      </c>
      <c r="B886" s="98"/>
      <c r="C886" s="94"/>
      <c r="D886" s="94"/>
      <c r="E886" s="94"/>
      <c r="F886" s="94"/>
      <c r="G886" s="94"/>
      <c r="H886" s="94"/>
      <c r="I886" s="94"/>
      <c r="J886" s="94"/>
      <c r="K886" s="94"/>
      <c r="L886" s="94"/>
      <c r="M886" s="94"/>
      <c r="N886" s="94"/>
      <c r="O886" s="94"/>
      <c r="P886" s="94"/>
      <c r="Q886" s="94"/>
      <c r="R886" s="94"/>
      <c r="S886" s="94"/>
      <c r="T886" s="94"/>
      <c r="U886" s="94"/>
      <c r="V886" s="94"/>
      <c r="W886" s="94"/>
      <c r="X886" s="94"/>
      <c r="Y886" s="94"/>
      <c r="Z886" s="94"/>
      <c r="AA886" s="94"/>
      <c r="AB886" s="94"/>
      <c r="AC886" s="94"/>
      <c r="AD886" s="94"/>
      <c r="AE886" s="94"/>
      <c r="AF886" s="94"/>
      <c r="AG886" s="94"/>
      <c r="AH886" s="94"/>
      <c r="AI886" s="94"/>
      <c r="AJ886" s="94"/>
      <c r="AK886" s="94"/>
      <c r="AL886" s="94"/>
      <c r="AM886" s="94"/>
      <c r="AN886" s="94"/>
      <c r="AO886" s="94"/>
      <c r="AP886" s="94"/>
      <c r="AQ886" s="94"/>
      <c r="AR886" s="94"/>
      <c r="AS886" s="94"/>
      <c r="AT886" s="94"/>
      <c r="AU886" s="94"/>
      <c r="AV886" s="94"/>
      <c r="AW886" s="94"/>
      <c r="AX886" s="94"/>
      <c r="AY886" s="94"/>
      <c r="BA886" s="95"/>
    </row>
    <row r="887" spans="1:53" s="87" customFormat="1">
      <c r="A887" s="90" t="str">
        <f t="shared" si="38"/>
        <v/>
      </c>
      <c r="B887" s="98"/>
      <c r="C887" s="94"/>
      <c r="D887" s="94"/>
      <c r="E887" s="94"/>
      <c r="F887" s="94"/>
      <c r="G887" s="94"/>
      <c r="H887" s="94"/>
      <c r="I887" s="94"/>
      <c r="J887" s="94"/>
      <c r="K887" s="94"/>
      <c r="L887" s="94"/>
      <c r="M887" s="94"/>
      <c r="N887" s="94"/>
      <c r="O887" s="94"/>
      <c r="P887" s="94"/>
      <c r="Q887" s="94"/>
      <c r="R887" s="94"/>
      <c r="S887" s="94"/>
      <c r="T887" s="94"/>
      <c r="U887" s="94"/>
      <c r="V887" s="94"/>
      <c r="W887" s="94"/>
      <c r="X887" s="94"/>
      <c r="Y887" s="94"/>
      <c r="Z887" s="94"/>
      <c r="AA887" s="94"/>
      <c r="AB887" s="94"/>
      <c r="AC887" s="94"/>
      <c r="AD887" s="94"/>
      <c r="AE887" s="94"/>
      <c r="AF887" s="94"/>
      <c r="AG887" s="94"/>
      <c r="AH887" s="94"/>
      <c r="AI887" s="94"/>
      <c r="AJ887" s="94"/>
      <c r="AK887" s="94"/>
      <c r="AL887" s="94"/>
      <c r="AM887" s="94"/>
      <c r="AN887" s="94"/>
      <c r="AO887" s="94"/>
      <c r="AP887" s="94"/>
      <c r="AQ887" s="94"/>
      <c r="AR887" s="94"/>
      <c r="AS887" s="94"/>
      <c r="AT887" s="94"/>
      <c r="AU887" s="94"/>
      <c r="AV887" s="94"/>
      <c r="AW887" s="94"/>
      <c r="AX887" s="94"/>
      <c r="AY887" s="94"/>
      <c r="BA887" s="95"/>
    </row>
    <row r="888" spans="1:53" s="87" customFormat="1">
      <c r="A888" s="90" t="str">
        <f t="shared" si="38"/>
        <v/>
      </c>
      <c r="B888" s="98"/>
      <c r="C888" s="94"/>
      <c r="D888" s="94"/>
      <c r="E888" s="94"/>
      <c r="F888" s="94"/>
      <c r="G888" s="94"/>
      <c r="H888" s="94"/>
      <c r="I888" s="94"/>
      <c r="J888" s="94"/>
      <c r="K888" s="94"/>
      <c r="L888" s="94"/>
      <c r="M888" s="94"/>
      <c r="N888" s="94"/>
      <c r="O888" s="94"/>
      <c r="P888" s="94"/>
      <c r="Q888" s="94"/>
      <c r="R888" s="94"/>
      <c r="S888" s="94"/>
      <c r="T888" s="94"/>
      <c r="U888" s="94"/>
      <c r="V888" s="94"/>
      <c r="W888" s="94"/>
      <c r="X888" s="94"/>
      <c r="Y888" s="94"/>
      <c r="Z888" s="94"/>
      <c r="AA888" s="94"/>
      <c r="AB888" s="94"/>
      <c r="AC888" s="94"/>
      <c r="AD888" s="94"/>
      <c r="AE888" s="94"/>
      <c r="AF888" s="94"/>
      <c r="AG888" s="94"/>
      <c r="AH888" s="94"/>
      <c r="AI888" s="94"/>
      <c r="AJ888" s="94"/>
      <c r="AK888" s="94"/>
      <c r="AL888" s="94"/>
      <c r="AM888" s="94"/>
      <c r="AN888" s="94"/>
      <c r="AO888" s="94"/>
      <c r="AP888" s="94"/>
      <c r="AQ888" s="94"/>
      <c r="AR888" s="94"/>
      <c r="AS888" s="94"/>
      <c r="AT888" s="94"/>
      <c r="AU888" s="94"/>
      <c r="AV888" s="94"/>
      <c r="AW888" s="94"/>
      <c r="AX888" s="94"/>
      <c r="AY888" s="94"/>
      <c r="BA888" s="95"/>
    </row>
    <row r="889" spans="1:53" s="87" customFormat="1">
      <c r="A889" s="90" t="str">
        <f t="shared" si="38"/>
        <v/>
      </c>
      <c r="B889" s="98"/>
      <c r="C889" s="94"/>
      <c r="D889" s="94"/>
      <c r="E889" s="94"/>
      <c r="F889" s="94"/>
      <c r="G889" s="94"/>
      <c r="H889" s="94"/>
      <c r="I889" s="94"/>
      <c r="J889" s="94"/>
      <c r="K889" s="94"/>
      <c r="L889" s="94"/>
      <c r="M889" s="94"/>
      <c r="N889" s="94"/>
      <c r="O889" s="94"/>
      <c r="P889" s="94"/>
      <c r="Q889" s="94"/>
      <c r="R889" s="94"/>
      <c r="S889" s="94"/>
      <c r="T889" s="94"/>
      <c r="U889" s="94"/>
      <c r="V889" s="94"/>
      <c r="W889" s="94"/>
      <c r="X889" s="94"/>
      <c r="Y889" s="94"/>
      <c r="Z889" s="94"/>
      <c r="AA889" s="94"/>
      <c r="AB889" s="94"/>
      <c r="AC889" s="94"/>
      <c r="AD889" s="94"/>
      <c r="AE889" s="94"/>
      <c r="AF889" s="94"/>
      <c r="AG889" s="94"/>
      <c r="AH889" s="94"/>
      <c r="AI889" s="94"/>
      <c r="AJ889" s="94"/>
      <c r="AK889" s="94"/>
      <c r="AL889" s="94"/>
      <c r="AM889" s="94"/>
      <c r="AN889" s="94"/>
      <c r="AO889" s="94"/>
      <c r="AP889" s="94"/>
      <c r="AQ889" s="94"/>
      <c r="AR889" s="94"/>
      <c r="AS889" s="94"/>
      <c r="AT889" s="94"/>
      <c r="AU889" s="94"/>
      <c r="AV889" s="94"/>
      <c r="AW889" s="94"/>
      <c r="AX889" s="94"/>
      <c r="AY889" s="94"/>
      <c r="BA889" s="95"/>
    </row>
    <row r="890" spans="1:53" s="87" customFormat="1">
      <c r="A890" s="90" t="str">
        <f t="shared" si="38"/>
        <v/>
      </c>
      <c r="B890" s="98"/>
      <c r="C890" s="94"/>
      <c r="D890" s="94"/>
      <c r="E890" s="94"/>
      <c r="F890" s="94"/>
      <c r="G890" s="94"/>
      <c r="H890" s="94"/>
      <c r="I890" s="94"/>
      <c r="J890" s="94"/>
      <c r="K890" s="94"/>
      <c r="L890" s="94"/>
      <c r="M890" s="94"/>
      <c r="N890" s="94"/>
      <c r="O890" s="94"/>
      <c r="P890" s="94"/>
      <c r="Q890" s="94"/>
      <c r="R890" s="94"/>
      <c r="S890" s="94"/>
      <c r="T890" s="94"/>
      <c r="U890" s="94"/>
      <c r="V890" s="94"/>
      <c r="W890" s="94"/>
      <c r="X890" s="94"/>
      <c r="Y890" s="94"/>
      <c r="Z890" s="94"/>
      <c r="AA890" s="94"/>
      <c r="AB890" s="94"/>
      <c r="AC890" s="94"/>
      <c r="AD890" s="94"/>
      <c r="AE890" s="94"/>
      <c r="AF890" s="94"/>
      <c r="AG890" s="94"/>
      <c r="AH890" s="94"/>
      <c r="AI890" s="94"/>
      <c r="AJ890" s="94"/>
      <c r="AK890" s="94"/>
      <c r="AL890" s="94"/>
      <c r="AM890" s="94"/>
      <c r="AN890" s="94"/>
      <c r="AO890" s="94"/>
      <c r="AP890" s="94"/>
      <c r="AQ890" s="94"/>
      <c r="AR890" s="94"/>
      <c r="AS890" s="94"/>
      <c r="AT890" s="94"/>
      <c r="AU890" s="94"/>
      <c r="AV890" s="94"/>
      <c r="AW890" s="94"/>
      <c r="AX890" s="94"/>
      <c r="AY890" s="94"/>
      <c r="BA890" s="95"/>
    </row>
    <row r="891" spans="1:53" s="87" customFormat="1">
      <c r="A891" s="90" t="str">
        <f t="shared" si="38"/>
        <v/>
      </c>
      <c r="B891" s="98"/>
      <c r="C891" s="94"/>
      <c r="D891" s="94"/>
      <c r="E891" s="94"/>
      <c r="F891" s="94"/>
      <c r="G891" s="94"/>
      <c r="H891" s="94"/>
      <c r="I891" s="94"/>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BA891" s="95"/>
    </row>
    <row r="892" spans="1:53" s="87" customFormat="1">
      <c r="A892" s="90" t="str">
        <f t="shared" si="38"/>
        <v/>
      </c>
      <c r="B892" s="98"/>
      <c r="C892" s="94"/>
      <c r="D892" s="94"/>
      <c r="E892" s="94"/>
      <c r="F892" s="94"/>
      <c r="G892" s="94"/>
      <c r="H892" s="94"/>
      <c r="I892" s="94"/>
      <c r="J892" s="94"/>
      <c r="K892" s="94"/>
      <c r="L892" s="94"/>
      <c r="M892" s="94"/>
      <c r="N892" s="94"/>
      <c r="O892" s="94"/>
      <c r="P892" s="94"/>
      <c r="Q892" s="94"/>
      <c r="R892" s="94"/>
      <c r="S892" s="94"/>
      <c r="T892" s="94"/>
      <c r="U892" s="94"/>
      <c r="V892" s="94"/>
      <c r="W892" s="94"/>
      <c r="X892" s="94"/>
      <c r="Y892" s="94"/>
      <c r="Z892" s="94"/>
      <c r="AA892" s="94"/>
      <c r="AB892" s="94"/>
      <c r="AC892" s="94"/>
      <c r="AD892" s="94"/>
      <c r="AE892" s="94"/>
      <c r="AF892" s="94"/>
      <c r="AG892" s="94"/>
      <c r="AH892" s="94"/>
      <c r="AI892" s="94"/>
      <c r="AJ892" s="94"/>
      <c r="AK892" s="94"/>
      <c r="AL892" s="94"/>
      <c r="AM892" s="94"/>
      <c r="AN892" s="94"/>
      <c r="AO892" s="94"/>
      <c r="AP892" s="94"/>
      <c r="AQ892" s="94"/>
      <c r="AR892" s="94"/>
      <c r="AS892" s="94"/>
      <c r="AT892" s="94"/>
      <c r="AU892" s="94"/>
      <c r="AV892" s="94"/>
      <c r="AW892" s="94"/>
      <c r="AX892" s="94"/>
      <c r="AY892" s="94"/>
      <c r="BA892" s="95"/>
    </row>
    <row r="893" spans="1:53" s="87" customFormat="1">
      <c r="A893" s="90" t="str">
        <f t="shared" si="38"/>
        <v/>
      </c>
      <c r="B893" s="98"/>
      <c r="C893" s="94"/>
      <c r="D893" s="94"/>
      <c r="E893" s="94"/>
      <c r="F893" s="94"/>
      <c r="G893" s="94"/>
      <c r="H893" s="94"/>
      <c r="I893" s="94"/>
      <c r="J893" s="94"/>
      <c r="K893" s="94"/>
      <c r="L893" s="94"/>
      <c r="M893" s="94"/>
      <c r="N893" s="94"/>
      <c r="O893" s="94"/>
      <c r="P893" s="94"/>
      <c r="Q893" s="94"/>
      <c r="R893" s="94"/>
      <c r="S893" s="94"/>
      <c r="T893" s="94"/>
      <c r="U893" s="94"/>
      <c r="V893" s="94"/>
      <c r="W893" s="94"/>
      <c r="X893" s="94"/>
      <c r="Y893" s="94"/>
      <c r="Z893" s="94"/>
      <c r="AA893" s="94"/>
      <c r="AB893" s="94"/>
      <c r="AC893" s="94"/>
      <c r="AD893" s="94"/>
      <c r="AE893" s="94"/>
      <c r="AF893" s="94"/>
      <c r="AG893" s="94"/>
      <c r="AH893" s="94"/>
      <c r="AI893" s="94"/>
      <c r="AJ893" s="94"/>
      <c r="AK893" s="94"/>
      <c r="AL893" s="94"/>
      <c r="AM893" s="94"/>
      <c r="AN893" s="94"/>
      <c r="AO893" s="94"/>
      <c r="AP893" s="94"/>
      <c r="AQ893" s="94"/>
      <c r="AR893" s="94"/>
      <c r="AS893" s="94"/>
      <c r="AT893" s="94"/>
      <c r="AU893" s="94"/>
      <c r="AV893" s="94"/>
      <c r="AW893" s="94"/>
      <c r="AX893" s="94"/>
      <c r="AY893" s="94"/>
      <c r="BA893" s="95"/>
    </row>
    <row r="894" spans="1:53" s="87" customFormat="1">
      <c r="A894" s="90" t="str">
        <f t="shared" si="38"/>
        <v/>
      </c>
      <c r="B894" s="98"/>
      <c r="C894" s="94"/>
      <c r="D894" s="94"/>
      <c r="E894" s="94"/>
      <c r="F894" s="94"/>
      <c r="G894" s="94"/>
      <c r="H894" s="94"/>
      <c r="I894" s="94"/>
      <c r="J894" s="94"/>
      <c r="K894" s="94"/>
      <c r="L894" s="94"/>
      <c r="M894" s="94"/>
      <c r="N894" s="94"/>
      <c r="O894" s="94"/>
      <c r="P894" s="94"/>
      <c r="Q894" s="94"/>
      <c r="R894" s="94"/>
      <c r="S894" s="94"/>
      <c r="T894" s="94"/>
      <c r="U894" s="94"/>
      <c r="V894" s="94"/>
      <c r="W894" s="94"/>
      <c r="X894" s="94"/>
      <c r="Y894" s="94"/>
      <c r="Z894" s="94"/>
      <c r="AA894" s="94"/>
      <c r="AB894" s="94"/>
      <c r="AC894" s="94"/>
      <c r="AD894" s="94"/>
      <c r="AE894" s="94"/>
      <c r="AF894" s="94"/>
      <c r="AG894" s="94"/>
      <c r="AH894" s="94"/>
      <c r="AI894" s="94"/>
      <c r="AJ894" s="94"/>
      <c r="AK894" s="94"/>
      <c r="AL894" s="94"/>
      <c r="AM894" s="94"/>
      <c r="AN894" s="94"/>
      <c r="AO894" s="94"/>
      <c r="AP894" s="94"/>
      <c r="AQ894" s="94"/>
      <c r="AR894" s="94"/>
      <c r="AS894" s="94"/>
      <c r="AT894" s="94"/>
      <c r="AU894" s="94"/>
      <c r="AV894" s="94"/>
      <c r="AW894" s="94"/>
      <c r="AX894" s="94"/>
      <c r="AY894" s="94"/>
      <c r="BA894" s="95"/>
    </row>
    <row r="895" spans="1:53" s="87" customFormat="1">
      <c r="A895" s="90" t="str">
        <f t="shared" si="38"/>
        <v/>
      </c>
      <c r="B895" s="98"/>
      <c r="C895" s="94"/>
      <c r="D895" s="94"/>
      <c r="E895" s="94"/>
      <c r="F895" s="94"/>
      <c r="G895" s="94"/>
      <c r="H895" s="94"/>
      <c r="I895" s="94"/>
      <c r="J895" s="94"/>
      <c r="K895" s="94"/>
      <c r="L895" s="94"/>
      <c r="M895" s="94"/>
      <c r="N895" s="94"/>
      <c r="O895" s="94"/>
      <c r="P895" s="94"/>
      <c r="Q895" s="94"/>
      <c r="R895" s="94"/>
      <c r="S895" s="94"/>
      <c r="T895" s="94"/>
      <c r="U895" s="94"/>
      <c r="V895" s="94"/>
      <c r="W895" s="94"/>
      <c r="X895" s="94"/>
      <c r="Y895" s="94"/>
      <c r="Z895" s="94"/>
      <c r="AA895" s="94"/>
      <c r="AB895" s="94"/>
      <c r="AC895" s="94"/>
      <c r="AD895" s="94"/>
      <c r="AE895" s="94"/>
      <c r="AF895" s="94"/>
      <c r="AG895" s="94"/>
      <c r="AH895" s="94"/>
      <c r="AI895" s="94"/>
      <c r="AJ895" s="94"/>
      <c r="AK895" s="94"/>
      <c r="AL895" s="94"/>
      <c r="AM895" s="94"/>
      <c r="AN895" s="94"/>
      <c r="AO895" s="94"/>
      <c r="AP895" s="94"/>
      <c r="AQ895" s="94"/>
      <c r="AR895" s="94"/>
      <c r="AS895" s="94"/>
      <c r="AT895" s="94"/>
      <c r="AU895" s="94"/>
      <c r="AV895" s="94"/>
      <c r="AW895" s="94"/>
      <c r="AX895" s="94"/>
      <c r="AY895" s="94"/>
      <c r="BA895" s="95"/>
    </row>
    <row r="896" spans="1:53" s="87" customFormat="1">
      <c r="A896" s="90" t="str">
        <f t="shared" si="38"/>
        <v/>
      </c>
      <c r="B896" s="98"/>
      <c r="C896" s="94"/>
      <c r="D896" s="94"/>
      <c r="E896" s="94"/>
      <c r="F896" s="94"/>
      <c r="G896" s="94"/>
      <c r="H896" s="94"/>
      <c r="I896" s="94"/>
      <c r="J896" s="94"/>
      <c r="K896" s="94"/>
      <c r="L896" s="94"/>
      <c r="M896" s="94"/>
      <c r="N896" s="94"/>
      <c r="O896" s="94"/>
      <c r="P896" s="94"/>
      <c r="Q896" s="94"/>
      <c r="R896" s="94"/>
      <c r="S896" s="94"/>
      <c r="T896" s="94"/>
      <c r="U896" s="94"/>
      <c r="V896" s="94"/>
      <c r="W896" s="94"/>
      <c r="X896" s="94"/>
      <c r="Y896" s="94"/>
      <c r="Z896" s="94"/>
      <c r="AA896" s="94"/>
      <c r="AB896" s="94"/>
      <c r="AC896" s="94"/>
      <c r="AD896" s="94"/>
      <c r="AE896" s="94"/>
      <c r="AF896" s="94"/>
      <c r="AG896" s="94"/>
      <c r="AH896" s="94"/>
      <c r="AI896" s="94"/>
      <c r="AJ896" s="94"/>
      <c r="AK896" s="94"/>
      <c r="AL896" s="94"/>
      <c r="AM896" s="94"/>
      <c r="AN896" s="94"/>
      <c r="AO896" s="94"/>
      <c r="AP896" s="94"/>
      <c r="AQ896" s="94"/>
      <c r="AR896" s="94"/>
      <c r="AS896" s="94"/>
      <c r="AT896" s="94"/>
      <c r="AU896" s="94"/>
      <c r="AV896" s="94"/>
      <c r="AW896" s="94"/>
      <c r="AX896" s="94"/>
      <c r="AY896" s="94"/>
      <c r="BA896" s="95"/>
    </row>
    <row r="897" spans="1:53" s="87" customFormat="1">
      <c r="A897" s="90" t="str">
        <f t="shared" si="38"/>
        <v/>
      </c>
      <c r="B897" s="98"/>
      <c r="C897" s="94"/>
      <c r="D897" s="94"/>
      <c r="E897" s="94"/>
      <c r="F897" s="94"/>
      <c r="G897" s="94"/>
      <c r="H897" s="94"/>
      <c r="I897" s="94"/>
      <c r="J897" s="94"/>
      <c r="K897" s="94"/>
      <c r="L897" s="94"/>
      <c r="M897" s="94"/>
      <c r="N897" s="94"/>
      <c r="O897" s="94"/>
      <c r="P897" s="94"/>
      <c r="Q897" s="94"/>
      <c r="R897" s="94"/>
      <c r="S897" s="94"/>
      <c r="T897" s="94"/>
      <c r="U897" s="94"/>
      <c r="V897" s="94"/>
      <c r="W897" s="94"/>
      <c r="X897" s="94"/>
      <c r="Y897" s="94"/>
      <c r="Z897" s="94"/>
      <c r="AA897" s="94"/>
      <c r="AB897" s="94"/>
      <c r="AC897" s="94"/>
      <c r="AD897" s="94"/>
      <c r="AE897" s="94"/>
      <c r="AF897" s="94"/>
      <c r="AG897" s="94"/>
      <c r="AH897" s="94"/>
      <c r="AI897" s="94"/>
      <c r="AJ897" s="94"/>
      <c r="AK897" s="94"/>
      <c r="AL897" s="94"/>
      <c r="AM897" s="94"/>
      <c r="AN897" s="94"/>
      <c r="AO897" s="94"/>
      <c r="AP897" s="94"/>
      <c r="AQ897" s="94"/>
      <c r="AR897" s="94"/>
      <c r="AS897" s="94"/>
      <c r="AT897" s="94"/>
      <c r="AU897" s="94"/>
      <c r="AV897" s="94"/>
      <c r="AW897" s="94"/>
      <c r="AX897" s="94"/>
      <c r="AY897" s="94"/>
      <c r="BA897" s="95"/>
    </row>
    <row r="898" spans="1:53" s="87" customFormat="1">
      <c r="A898" s="90" t="str">
        <f t="shared" si="38"/>
        <v/>
      </c>
      <c r="B898" s="98"/>
      <c r="C898" s="94"/>
      <c r="D898" s="94"/>
      <c r="E898" s="94"/>
      <c r="F898" s="94"/>
      <c r="G898" s="94"/>
      <c r="H898" s="94"/>
      <c r="I898" s="94"/>
      <c r="J898" s="94"/>
      <c r="K898" s="94"/>
      <c r="L898" s="94"/>
      <c r="M898" s="94"/>
      <c r="N898" s="94"/>
      <c r="O898" s="94"/>
      <c r="P898" s="94"/>
      <c r="Q898" s="94"/>
      <c r="R898" s="94"/>
      <c r="S898" s="94"/>
      <c r="T898" s="94"/>
      <c r="U898" s="94"/>
      <c r="V898" s="94"/>
      <c r="W898" s="94"/>
      <c r="X898" s="94"/>
      <c r="Y898" s="94"/>
      <c r="Z898" s="94"/>
      <c r="AA898" s="94"/>
      <c r="AB898" s="94"/>
      <c r="AC898" s="94"/>
      <c r="AD898" s="94"/>
      <c r="AE898" s="94"/>
      <c r="AF898" s="94"/>
      <c r="AG898" s="94"/>
      <c r="AH898" s="94"/>
      <c r="AI898" s="94"/>
      <c r="AJ898" s="94"/>
      <c r="AK898" s="94"/>
      <c r="AL898" s="94"/>
      <c r="AM898" s="94"/>
      <c r="AN898" s="94"/>
      <c r="AO898" s="94"/>
      <c r="AP898" s="94"/>
      <c r="AQ898" s="94"/>
      <c r="AR898" s="94"/>
      <c r="AS898" s="94"/>
      <c r="AT898" s="94"/>
      <c r="AU898" s="94"/>
      <c r="AV898" s="94"/>
      <c r="AW898" s="94"/>
      <c r="AX898" s="94"/>
      <c r="AY898" s="94"/>
      <c r="BA898" s="95"/>
    </row>
    <row r="899" spans="1:53" s="87" customFormat="1">
      <c r="A899" s="90" t="str">
        <f t="shared" si="38"/>
        <v/>
      </c>
      <c r="B899" s="98"/>
      <c r="C899" s="94"/>
      <c r="D899" s="94"/>
      <c r="E899" s="94"/>
      <c r="F899" s="94"/>
      <c r="G899" s="94"/>
      <c r="H899" s="94"/>
      <c r="I899" s="94"/>
      <c r="J899" s="94"/>
      <c r="K899" s="94"/>
      <c r="L899" s="94"/>
      <c r="M899" s="94"/>
      <c r="N899" s="94"/>
      <c r="O899" s="94"/>
      <c r="P899" s="94"/>
      <c r="Q899" s="94"/>
      <c r="R899" s="94"/>
      <c r="S899" s="94"/>
      <c r="T899" s="94"/>
      <c r="U899" s="94"/>
      <c r="V899" s="94"/>
      <c r="W899" s="94"/>
      <c r="X899" s="94"/>
      <c r="Y899" s="94"/>
      <c r="Z899" s="94"/>
      <c r="AA899" s="94"/>
      <c r="AB899" s="94"/>
      <c r="AC899" s="94"/>
      <c r="AD899" s="94"/>
      <c r="AE899" s="94"/>
      <c r="AF899" s="94"/>
      <c r="AG899" s="94"/>
      <c r="AH899" s="94"/>
      <c r="AI899" s="94"/>
      <c r="AJ899" s="94"/>
      <c r="AK899" s="94"/>
      <c r="AL899" s="94"/>
      <c r="AM899" s="94"/>
      <c r="AN899" s="94"/>
      <c r="AO899" s="94"/>
      <c r="AP899" s="94"/>
      <c r="AQ899" s="94"/>
      <c r="AR899" s="94"/>
      <c r="AS899" s="94"/>
      <c r="AT899" s="94"/>
      <c r="AU899" s="94"/>
      <c r="AV899" s="94"/>
      <c r="AW899" s="94"/>
      <c r="AX899" s="94"/>
      <c r="AY899" s="94"/>
      <c r="BA899" s="95"/>
    </row>
    <row r="900" spans="1:53" s="87" customFormat="1">
      <c r="A900" s="90" t="str">
        <f t="shared" si="38"/>
        <v/>
      </c>
      <c r="B900" s="98"/>
      <c r="C900" s="94"/>
      <c r="D900" s="94"/>
      <c r="E900" s="94"/>
      <c r="F900" s="94"/>
      <c r="G900" s="94"/>
      <c r="H900" s="94"/>
      <c r="I900" s="94"/>
      <c r="J900" s="94"/>
      <c r="K900" s="94"/>
      <c r="L900" s="94"/>
      <c r="M900" s="94"/>
      <c r="N900" s="94"/>
      <c r="O900" s="94"/>
      <c r="P900" s="94"/>
      <c r="Q900" s="94"/>
      <c r="R900" s="94"/>
      <c r="S900" s="94"/>
      <c r="T900" s="94"/>
      <c r="U900" s="94"/>
      <c r="V900" s="94"/>
      <c r="W900" s="94"/>
      <c r="X900" s="94"/>
      <c r="Y900" s="94"/>
      <c r="Z900" s="94"/>
      <c r="AA900" s="94"/>
      <c r="AB900" s="94"/>
      <c r="AC900" s="94"/>
      <c r="AD900" s="94"/>
      <c r="AE900" s="94"/>
      <c r="AF900" s="94"/>
      <c r="AG900" s="94"/>
      <c r="AH900" s="94"/>
      <c r="AI900" s="94"/>
      <c r="AJ900" s="94"/>
      <c r="AK900" s="94"/>
      <c r="AL900" s="94"/>
      <c r="AM900" s="94"/>
      <c r="AN900" s="94"/>
      <c r="AO900" s="94"/>
      <c r="AP900" s="94"/>
      <c r="AQ900" s="94"/>
      <c r="AR900" s="94"/>
      <c r="AS900" s="94"/>
      <c r="AT900" s="94"/>
      <c r="AU900" s="94"/>
      <c r="AV900" s="94"/>
      <c r="AW900" s="94"/>
      <c r="AX900" s="94"/>
      <c r="AY900" s="94"/>
      <c r="BA900" s="95"/>
    </row>
    <row r="901" spans="1:53" s="87" customFormat="1">
      <c r="A901" s="90" t="str">
        <f t="shared" si="38"/>
        <v/>
      </c>
      <c r="B901" s="98"/>
      <c r="C901" s="94"/>
      <c r="D901" s="94"/>
      <c r="E901" s="94"/>
      <c r="F901" s="94"/>
      <c r="G901" s="94"/>
      <c r="H901" s="94"/>
      <c r="I901" s="94"/>
      <c r="J901" s="94"/>
      <c r="K901" s="94"/>
      <c r="L901" s="94"/>
      <c r="M901" s="94"/>
      <c r="N901" s="94"/>
      <c r="O901" s="94"/>
      <c r="P901" s="94"/>
      <c r="Q901" s="94"/>
      <c r="R901" s="94"/>
      <c r="S901" s="94"/>
      <c r="T901" s="94"/>
      <c r="U901" s="94"/>
      <c r="V901" s="94"/>
      <c r="W901" s="94"/>
      <c r="X901" s="94"/>
      <c r="Y901" s="94"/>
      <c r="Z901" s="94"/>
      <c r="AA901" s="94"/>
      <c r="AB901" s="94"/>
      <c r="AC901" s="94"/>
      <c r="AD901" s="94"/>
      <c r="AE901" s="94"/>
      <c r="AF901" s="94"/>
      <c r="AG901" s="94"/>
      <c r="AH901" s="94"/>
      <c r="AI901" s="94"/>
      <c r="AJ901" s="94"/>
      <c r="AK901" s="94"/>
      <c r="AL901" s="94"/>
      <c r="AM901" s="94"/>
      <c r="AN901" s="94"/>
      <c r="AO901" s="94"/>
      <c r="AP901" s="94"/>
      <c r="AQ901" s="94"/>
      <c r="AR901" s="94"/>
      <c r="AS901" s="94"/>
      <c r="AT901" s="94"/>
      <c r="AU901" s="94"/>
      <c r="AV901" s="94"/>
      <c r="AW901" s="94"/>
      <c r="AX901" s="94"/>
      <c r="AY901" s="94"/>
      <c r="BA901" s="95"/>
    </row>
    <row r="902" spans="1:53" s="87" customFormat="1">
      <c r="A902" s="90" t="str">
        <f t="shared" si="38"/>
        <v/>
      </c>
      <c r="B902" s="98"/>
      <c r="C902" s="94"/>
      <c r="D902" s="94"/>
      <c r="E902" s="94"/>
      <c r="F902" s="94"/>
      <c r="G902" s="94"/>
      <c r="H902" s="94"/>
      <c r="I902" s="94"/>
      <c r="J902" s="94"/>
      <c r="K902" s="94"/>
      <c r="L902" s="94"/>
      <c r="M902" s="94"/>
      <c r="N902" s="94"/>
      <c r="O902" s="94"/>
      <c r="P902" s="94"/>
      <c r="Q902" s="94"/>
      <c r="R902" s="94"/>
      <c r="S902" s="94"/>
      <c r="T902" s="94"/>
      <c r="U902" s="94"/>
      <c r="V902" s="94"/>
      <c r="W902" s="94"/>
      <c r="X902" s="94"/>
      <c r="Y902" s="94"/>
      <c r="Z902" s="94"/>
      <c r="AA902" s="94"/>
      <c r="AB902" s="94"/>
      <c r="AC902" s="94"/>
      <c r="AD902" s="94"/>
      <c r="AE902" s="94"/>
      <c r="AF902" s="94"/>
      <c r="AG902" s="94"/>
      <c r="AH902" s="94"/>
      <c r="AI902" s="94"/>
      <c r="AJ902" s="94"/>
      <c r="AK902" s="94"/>
      <c r="AL902" s="94"/>
      <c r="AM902" s="94"/>
      <c r="AN902" s="94"/>
      <c r="AO902" s="94"/>
      <c r="AP902" s="94"/>
      <c r="AQ902" s="94"/>
      <c r="AR902" s="94"/>
      <c r="AS902" s="94"/>
      <c r="AT902" s="94"/>
      <c r="AU902" s="94"/>
      <c r="AV902" s="94"/>
      <c r="AW902" s="94"/>
      <c r="AX902" s="94"/>
      <c r="AY902" s="94"/>
      <c r="BA902" s="95"/>
    </row>
    <row r="903" spans="1:53" s="87" customFormat="1">
      <c r="A903" s="90" t="str">
        <f t="shared" si="38"/>
        <v/>
      </c>
      <c r="B903" s="98"/>
      <c r="C903" s="94"/>
      <c r="D903" s="94"/>
      <c r="E903" s="94"/>
      <c r="F903" s="94"/>
      <c r="G903" s="94"/>
      <c r="H903" s="94"/>
      <c r="I903" s="94"/>
      <c r="J903" s="94"/>
      <c r="K903" s="94"/>
      <c r="L903" s="94"/>
      <c r="M903" s="94"/>
      <c r="N903" s="94"/>
      <c r="O903" s="94"/>
      <c r="P903" s="94"/>
      <c r="Q903" s="94"/>
      <c r="R903" s="94"/>
      <c r="S903" s="94"/>
      <c r="T903" s="94"/>
      <c r="U903" s="94"/>
      <c r="V903" s="94"/>
      <c r="W903" s="94"/>
      <c r="X903" s="94"/>
      <c r="Y903" s="94"/>
      <c r="Z903" s="94"/>
      <c r="AA903" s="94"/>
      <c r="AB903" s="94"/>
      <c r="AC903" s="94"/>
      <c r="AD903" s="94"/>
      <c r="AE903" s="94"/>
      <c r="AF903" s="94"/>
      <c r="AG903" s="94"/>
      <c r="AH903" s="94"/>
      <c r="AI903" s="94"/>
      <c r="AJ903" s="94"/>
      <c r="AK903" s="94"/>
      <c r="AL903" s="94"/>
      <c r="AM903" s="94"/>
      <c r="AN903" s="94"/>
      <c r="AO903" s="94"/>
      <c r="AP903" s="94"/>
      <c r="AQ903" s="94"/>
      <c r="AR903" s="94"/>
      <c r="AS903" s="94"/>
      <c r="AT903" s="94"/>
      <c r="AU903" s="94"/>
      <c r="AV903" s="94"/>
      <c r="AW903" s="94"/>
      <c r="AX903" s="94"/>
      <c r="AY903" s="94"/>
      <c r="BA903" s="95"/>
    </row>
    <row r="904" spans="1:53" s="87" customFormat="1">
      <c r="A904" s="90" t="str">
        <f t="shared" si="38"/>
        <v/>
      </c>
      <c r="B904" s="98"/>
      <c r="C904" s="94"/>
      <c r="D904" s="94"/>
      <c r="E904" s="94"/>
      <c r="F904" s="94"/>
      <c r="G904" s="94"/>
      <c r="H904" s="94"/>
      <c r="I904" s="94"/>
      <c r="J904" s="94"/>
      <c r="K904" s="94"/>
      <c r="L904" s="94"/>
      <c r="M904" s="94"/>
      <c r="N904" s="94"/>
      <c r="O904" s="94"/>
      <c r="P904" s="94"/>
      <c r="Q904" s="94"/>
      <c r="R904" s="94"/>
      <c r="S904" s="94"/>
      <c r="T904" s="94"/>
      <c r="U904" s="94"/>
      <c r="V904" s="94"/>
      <c r="W904" s="94"/>
      <c r="X904" s="94"/>
      <c r="Y904" s="94"/>
      <c r="Z904" s="94"/>
      <c r="AA904" s="94"/>
      <c r="AB904" s="94"/>
      <c r="AC904" s="94"/>
      <c r="AD904" s="94"/>
      <c r="AE904" s="94"/>
      <c r="AF904" s="94"/>
      <c r="AG904" s="94"/>
      <c r="AH904" s="94"/>
      <c r="AI904" s="94"/>
      <c r="AJ904" s="94"/>
      <c r="AK904" s="94"/>
      <c r="AL904" s="94"/>
      <c r="AM904" s="94"/>
      <c r="AN904" s="94"/>
      <c r="AO904" s="94"/>
      <c r="AP904" s="94"/>
      <c r="AQ904" s="94"/>
      <c r="AR904" s="94"/>
      <c r="AS904" s="94"/>
      <c r="AT904" s="94"/>
      <c r="AU904" s="94"/>
      <c r="AV904" s="94"/>
      <c r="AW904" s="94"/>
      <c r="AX904" s="94"/>
      <c r="AY904" s="94"/>
      <c r="BA904" s="95"/>
    </row>
    <row r="905" spans="1:53" s="87" customFormat="1">
      <c r="A905" s="90" t="str">
        <f t="shared" si="38"/>
        <v/>
      </c>
      <c r="B905" s="98"/>
      <c r="C905" s="94"/>
      <c r="D905" s="94"/>
      <c r="E905" s="94"/>
      <c r="F905" s="94"/>
      <c r="G905" s="94"/>
      <c r="H905" s="94"/>
      <c r="I905" s="94"/>
      <c r="J905" s="94"/>
      <c r="K905" s="94"/>
      <c r="L905" s="94"/>
      <c r="M905" s="94"/>
      <c r="N905" s="94"/>
      <c r="O905" s="94"/>
      <c r="P905" s="94"/>
      <c r="Q905" s="94"/>
      <c r="R905" s="94"/>
      <c r="S905" s="94"/>
      <c r="T905" s="94"/>
      <c r="U905" s="94"/>
      <c r="V905" s="94"/>
      <c r="W905" s="94"/>
      <c r="X905" s="94"/>
      <c r="Y905" s="94"/>
      <c r="Z905" s="94"/>
      <c r="AA905" s="94"/>
      <c r="AB905" s="94"/>
      <c r="AC905" s="94"/>
      <c r="AD905" s="94"/>
      <c r="AE905" s="94"/>
      <c r="AF905" s="94"/>
      <c r="AG905" s="94"/>
      <c r="AH905" s="94"/>
      <c r="AI905" s="94"/>
      <c r="AJ905" s="94"/>
      <c r="AK905" s="94"/>
      <c r="AL905" s="94"/>
      <c r="AM905" s="94"/>
      <c r="AN905" s="94"/>
      <c r="AO905" s="94"/>
      <c r="AP905" s="94"/>
      <c r="AQ905" s="94"/>
      <c r="AR905" s="94"/>
      <c r="AS905" s="94"/>
      <c r="AT905" s="94"/>
      <c r="AU905" s="94"/>
      <c r="AV905" s="94"/>
      <c r="AW905" s="94"/>
      <c r="AX905" s="94"/>
      <c r="AY905" s="94"/>
      <c r="BA905" s="95"/>
    </row>
    <row r="906" spans="1:53" s="87" customFormat="1">
      <c r="A906" s="90" t="str">
        <f t="shared" si="38"/>
        <v/>
      </c>
      <c r="B906" s="98"/>
      <c r="C906" s="94"/>
      <c r="D906" s="94"/>
      <c r="E906" s="94"/>
      <c r="F906" s="94"/>
      <c r="G906" s="94"/>
      <c r="H906" s="94"/>
      <c r="I906" s="94"/>
      <c r="J906" s="94"/>
      <c r="K906" s="94"/>
      <c r="L906" s="94"/>
      <c r="M906" s="94"/>
      <c r="N906" s="94"/>
      <c r="O906" s="94"/>
      <c r="P906" s="94"/>
      <c r="Q906" s="94"/>
      <c r="R906" s="94"/>
      <c r="S906" s="94"/>
      <c r="T906" s="94"/>
      <c r="U906" s="94"/>
      <c r="V906" s="94"/>
      <c r="W906" s="94"/>
      <c r="X906" s="94"/>
      <c r="Y906" s="94"/>
      <c r="Z906" s="94"/>
      <c r="AA906" s="94"/>
      <c r="AB906" s="94"/>
      <c r="AC906" s="94"/>
      <c r="AD906" s="94"/>
      <c r="AE906" s="94"/>
      <c r="AF906" s="94"/>
      <c r="AG906" s="94"/>
      <c r="AH906" s="94"/>
      <c r="AI906" s="94"/>
      <c r="AJ906" s="94"/>
      <c r="AK906" s="94"/>
      <c r="AL906" s="94"/>
      <c r="AM906" s="94"/>
      <c r="AN906" s="94"/>
      <c r="AO906" s="94"/>
      <c r="AP906" s="94"/>
      <c r="AQ906" s="94"/>
      <c r="AR906" s="94"/>
      <c r="AS906" s="94"/>
      <c r="AT906" s="94"/>
      <c r="AU906" s="94"/>
      <c r="AV906" s="94"/>
      <c r="AW906" s="94"/>
      <c r="AX906" s="94"/>
      <c r="AY906" s="94"/>
      <c r="BA906" s="95"/>
    </row>
    <row r="907" spans="1:53" s="87" customFormat="1">
      <c r="A907" s="90" t="str">
        <f t="shared" si="38"/>
        <v/>
      </c>
      <c r="B907" s="98"/>
      <c r="C907" s="94"/>
      <c r="D907" s="94"/>
      <c r="E907" s="94"/>
      <c r="F907" s="94"/>
      <c r="G907" s="94"/>
      <c r="H907" s="94"/>
      <c r="I907" s="94"/>
      <c r="J907" s="94"/>
      <c r="K907" s="94"/>
      <c r="L907" s="94"/>
      <c r="M907" s="94"/>
      <c r="N907" s="94"/>
      <c r="O907" s="94"/>
      <c r="P907" s="94"/>
      <c r="Q907" s="94"/>
      <c r="R907" s="94"/>
      <c r="S907" s="94"/>
      <c r="T907" s="94"/>
      <c r="U907" s="94"/>
      <c r="V907" s="94"/>
      <c r="W907" s="94"/>
      <c r="X907" s="94"/>
      <c r="Y907" s="94"/>
      <c r="Z907" s="94"/>
      <c r="AA907" s="94"/>
      <c r="AB907" s="94"/>
      <c r="AC907" s="94"/>
      <c r="AD907" s="94"/>
      <c r="AE907" s="94"/>
      <c r="AF907" s="94"/>
      <c r="AG907" s="94"/>
      <c r="AH907" s="94"/>
      <c r="AI907" s="94"/>
      <c r="AJ907" s="94"/>
      <c r="AK907" s="94"/>
      <c r="AL907" s="94"/>
      <c r="AM907" s="94"/>
      <c r="AN907" s="94"/>
      <c r="AO907" s="94"/>
      <c r="AP907" s="94"/>
      <c r="AQ907" s="94"/>
      <c r="AR907" s="94"/>
      <c r="AS907" s="94"/>
      <c r="AT907" s="94"/>
      <c r="AU907" s="94"/>
      <c r="AV907" s="94"/>
      <c r="AW907" s="94"/>
      <c r="AX907" s="94"/>
      <c r="AY907" s="94"/>
      <c r="BA907" s="95"/>
    </row>
    <row r="908" spans="1:53" s="87" customFormat="1">
      <c r="A908" s="90" t="str">
        <f t="shared" ref="A908:A971" si="39">IF(MID(B908,3,2)="07",ROW(),"")</f>
        <v/>
      </c>
      <c r="B908" s="98"/>
      <c r="C908" s="94"/>
      <c r="D908" s="94"/>
      <c r="E908" s="94"/>
      <c r="F908" s="94"/>
      <c r="G908" s="94"/>
      <c r="H908" s="94"/>
      <c r="I908" s="94"/>
      <c r="J908" s="94"/>
      <c r="K908" s="94"/>
      <c r="L908" s="94"/>
      <c r="M908" s="94"/>
      <c r="N908" s="94"/>
      <c r="O908" s="94"/>
      <c r="P908" s="94"/>
      <c r="Q908" s="94"/>
      <c r="R908" s="94"/>
      <c r="S908" s="94"/>
      <c r="T908" s="94"/>
      <c r="U908" s="94"/>
      <c r="V908" s="94"/>
      <c r="W908" s="94"/>
      <c r="X908" s="94"/>
      <c r="Y908" s="94"/>
      <c r="Z908" s="94"/>
      <c r="AA908" s="94"/>
      <c r="AB908" s="94"/>
      <c r="AC908" s="94"/>
      <c r="AD908" s="94"/>
      <c r="AE908" s="94"/>
      <c r="AF908" s="94"/>
      <c r="AG908" s="94"/>
      <c r="AH908" s="94"/>
      <c r="AI908" s="94"/>
      <c r="AJ908" s="94"/>
      <c r="AK908" s="94"/>
      <c r="AL908" s="94"/>
      <c r="AM908" s="94"/>
      <c r="AN908" s="94"/>
      <c r="AO908" s="94"/>
      <c r="AP908" s="94"/>
      <c r="AQ908" s="94"/>
      <c r="AR908" s="94"/>
      <c r="AS908" s="94"/>
      <c r="AT908" s="94"/>
      <c r="AU908" s="94"/>
      <c r="AV908" s="94"/>
      <c r="AW908" s="94"/>
      <c r="AX908" s="94"/>
      <c r="AY908" s="94"/>
      <c r="BA908" s="95"/>
    </row>
    <row r="909" spans="1:53" s="87" customFormat="1">
      <c r="A909" s="90" t="str">
        <f t="shared" si="39"/>
        <v/>
      </c>
      <c r="B909" s="98"/>
      <c r="C909" s="94"/>
      <c r="D909" s="94"/>
      <c r="E909" s="94"/>
      <c r="F909" s="94"/>
      <c r="G909" s="94"/>
      <c r="H909" s="94"/>
      <c r="I909" s="94"/>
      <c r="J909" s="94"/>
      <c r="K909" s="94"/>
      <c r="L909" s="94"/>
      <c r="M909" s="94"/>
      <c r="N909" s="94"/>
      <c r="O909" s="94"/>
      <c r="P909" s="94"/>
      <c r="Q909" s="94"/>
      <c r="R909" s="94"/>
      <c r="S909" s="94"/>
      <c r="T909" s="94"/>
      <c r="U909" s="94"/>
      <c r="V909" s="94"/>
      <c r="W909" s="94"/>
      <c r="X909" s="94"/>
      <c r="Y909" s="94"/>
      <c r="Z909" s="94"/>
      <c r="AA909" s="94"/>
      <c r="AB909" s="94"/>
      <c r="AC909" s="94"/>
      <c r="AD909" s="94"/>
      <c r="AE909" s="94"/>
      <c r="AF909" s="94"/>
      <c r="AG909" s="94"/>
      <c r="AH909" s="94"/>
      <c r="AI909" s="94"/>
      <c r="AJ909" s="94"/>
      <c r="AK909" s="94"/>
      <c r="AL909" s="94"/>
      <c r="AM909" s="94"/>
      <c r="AN909" s="94"/>
      <c r="AO909" s="94"/>
      <c r="AP909" s="94"/>
      <c r="AQ909" s="94"/>
      <c r="AR909" s="94"/>
      <c r="AS909" s="94"/>
      <c r="AT909" s="94"/>
      <c r="AU909" s="94"/>
      <c r="AV909" s="94"/>
      <c r="AW909" s="94"/>
      <c r="AX909" s="94"/>
      <c r="AY909" s="94"/>
      <c r="BA909" s="95"/>
    </row>
    <row r="910" spans="1:53" s="87" customFormat="1">
      <c r="A910" s="90" t="str">
        <f t="shared" si="39"/>
        <v/>
      </c>
      <c r="B910" s="98"/>
      <c r="C910" s="94"/>
      <c r="D910" s="94"/>
      <c r="E910" s="94"/>
      <c r="F910" s="94"/>
      <c r="G910" s="94"/>
      <c r="H910" s="94"/>
      <c r="I910" s="94"/>
      <c r="J910" s="94"/>
      <c r="K910" s="94"/>
      <c r="L910" s="94"/>
      <c r="M910" s="94"/>
      <c r="N910" s="94"/>
      <c r="O910" s="94"/>
      <c r="P910" s="94"/>
      <c r="Q910" s="94"/>
      <c r="R910" s="94"/>
      <c r="S910" s="94"/>
      <c r="T910" s="94"/>
      <c r="U910" s="94"/>
      <c r="V910" s="94"/>
      <c r="W910" s="94"/>
      <c r="X910" s="94"/>
      <c r="Y910" s="94"/>
      <c r="Z910" s="94"/>
      <c r="AA910" s="94"/>
      <c r="AB910" s="94"/>
      <c r="AC910" s="94"/>
      <c r="AD910" s="94"/>
      <c r="AE910" s="94"/>
      <c r="AF910" s="94"/>
      <c r="AG910" s="94"/>
      <c r="AH910" s="94"/>
      <c r="AI910" s="94"/>
      <c r="AJ910" s="94"/>
      <c r="AK910" s="94"/>
      <c r="AL910" s="94"/>
      <c r="AM910" s="94"/>
      <c r="AN910" s="94"/>
      <c r="AO910" s="94"/>
      <c r="AP910" s="94"/>
      <c r="AQ910" s="94"/>
      <c r="AR910" s="94"/>
      <c r="AS910" s="94"/>
      <c r="AT910" s="94"/>
      <c r="AU910" s="94"/>
      <c r="AV910" s="94"/>
      <c r="AW910" s="94"/>
      <c r="AX910" s="94"/>
      <c r="AY910" s="94"/>
      <c r="BA910" s="95"/>
    </row>
    <row r="911" spans="1:53" s="87" customFormat="1">
      <c r="A911" s="90" t="str">
        <f t="shared" si="39"/>
        <v/>
      </c>
      <c r="B911" s="98"/>
      <c r="C911" s="94"/>
      <c r="D911" s="94"/>
      <c r="E911" s="94"/>
      <c r="F911" s="94"/>
      <c r="G911" s="94"/>
      <c r="H911" s="94"/>
      <c r="I911" s="94"/>
      <c r="J911" s="94"/>
      <c r="K911" s="94"/>
      <c r="L911" s="94"/>
      <c r="M911" s="94"/>
      <c r="N911" s="94"/>
      <c r="O911" s="94"/>
      <c r="P911" s="94"/>
      <c r="Q911" s="94"/>
      <c r="R911" s="94"/>
      <c r="S911" s="94"/>
      <c r="T911" s="94"/>
      <c r="U911" s="94"/>
      <c r="V911" s="94"/>
      <c r="W911" s="94"/>
      <c r="X911" s="94"/>
      <c r="Y911" s="94"/>
      <c r="Z911" s="94"/>
      <c r="AA911" s="94"/>
      <c r="AB911" s="94"/>
      <c r="AC911" s="94"/>
      <c r="AD911" s="94"/>
      <c r="AE911" s="94"/>
      <c r="AF911" s="94"/>
      <c r="AG911" s="94"/>
      <c r="AH911" s="94"/>
      <c r="AI911" s="94"/>
      <c r="AJ911" s="94"/>
      <c r="AK911" s="94"/>
      <c r="AL911" s="94"/>
      <c r="AM911" s="94"/>
      <c r="AN911" s="94"/>
      <c r="AO911" s="94"/>
      <c r="AP911" s="94"/>
      <c r="AQ911" s="94"/>
      <c r="AR911" s="94"/>
      <c r="AS911" s="94"/>
      <c r="AT911" s="94"/>
      <c r="AU911" s="94"/>
      <c r="AV911" s="94"/>
      <c r="AW911" s="94"/>
      <c r="AX911" s="94"/>
      <c r="AY911" s="94"/>
      <c r="BA911" s="95"/>
    </row>
    <row r="912" spans="1:53" s="87" customFormat="1">
      <c r="A912" s="90" t="str">
        <f t="shared" si="39"/>
        <v/>
      </c>
      <c r="B912" s="98"/>
      <c r="C912" s="94"/>
      <c r="D912" s="94"/>
      <c r="E912" s="94"/>
      <c r="F912" s="94"/>
      <c r="G912" s="94"/>
      <c r="H912" s="94"/>
      <c r="I912" s="94"/>
      <c r="J912" s="94"/>
      <c r="K912" s="94"/>
      <c r="L912" s="94"/>
      <c r="M912" s="94"/>
      <c r="N912" s="94"/>
      <c r="O912" s="94"/>
      <c r="P912" s="94"/>
      <c r="Q912" s="94"/>
      <c r="R912" s="94"/>
      <c r="S912" s="94"/>
      <c r="T912" s="94"/>
      <c r="U912" s="94"/>
      <c r="V912" s="94"/>
      <c r="W912" s="94"/>
      <c r="X912" s="94"/>
      <c r="Y912" s="94"/>
      <c r="Z912" s="94"/>
      <c r="AA912" s="94"/>
      <c r="AB912" s="94"/>
      <c r="AC912" s="94"/>
      <c r="AD912" s="94"/>
      <c r="AE912" s="94"/>
      <c r="AF912" s="94"/>
      <c r="AG912" s="94"/>
      <c r="AH912" s="94"/>
      <c r="AI912" s="94"/>
      <c r="AJ912" s="94"/>
      <c r="AK912" s="94"/>
      <c r="AL912" s="94"/>
      <c r="AM912" s="94"/>
      <c r="AN912" s="94"/>
      <c r="AO912" s="94"/>
      <c r="AP912" s="94"/>
      <c r="AQ912" s="94"/>
      <c r="AR912" s="94"/>
      <c r="AS912" s="94"/>
      <c r="AT912" s="94"/>
      <c r="AU912" s="94"/>
      <c r="AV912" s="94"/>
      <c r="AW912" s="94"/>
      <c r="AX912" s="94"/>
      <c r="AY912" s="94"/>
      <c r="BA912" s="95"/>
    </row>
    <row r="913" spans="1:53" s="87" customFormat="1">
      <c r="A913" s="90" t="str">
        <f t="shared" si="39"/>
        <v/>
      </c>
      <c r="B913" s="98"/>
      <c r="C913" s="94"/>
      <c r="D913" s="94"/>
      <c r="E913" s="94"/>
      <c r="F913" s="94"/>
      <c r="G913" s="94"/>
      <c r="H913" s="94"/>
      <c r="I913" s="94"/>
      <c r="J913" s="94"/>
      <c r="K913" s="94"/>
      <c r="L913" s="94"/>
      <c r="M913" s="94"/>
      <c r="N913" s="94"/>
      <c r="O913" s="94"/>
      <c r="P913" s="94"/>
      <c r="Q913" s="94"/>
      <c r="R913" s="94"/>
      <c r="S913" s="94"/>
      <c r="T913" s="94"/>
      <c r="U913" s="94"/>
      <c r="V913" s="94"/>
      <c r="W913" s="94"/>
      <c r="X913" s="94"/>
      <c r="Y913" s="94"/>
      <c r="Z913" s="94"/>
      <c r="AA913" s="94"/>
      <c r="AB913" s="94"/>
      <c r="AC913" s="94"/>
      <c r="AD913" s="94"/>
      <c r="AE913" s="94"/>
      <c r="AF913" s="94"/>
      <c r="AG913" s="94"/>
      <c r="AH913" s="94"/>
      <c r="AI913" s="94"/>
      <c r="AJ913" s="94"/>
      <c r="AK913" s="94"/>
      <c r="AL913" s="94"/>
      <c r="AM913" s="94"/>
      <c r="AN913" s="94"/>
      <c r="AO913" s="94"/>
      <c r="AP913" s="94"/>
      <c r="AQ913" s="94"/>
      <c r="AR913" s="94"/>
      <c r="AS913" s="94"/>
      <c r="AT913" s="94"/>
      <c r="AU913" s="94"/>
      <c r="AV913" s="94"/>
      <c r="AW913" s="94"/>
      <c r="AX913" s="94"/>
      <c r="AY913" s="94"/>
      <c r="BA913" s="95"/>
    </row>
    <row r="914" spans="1:53" s="87" customFormat="1">
      <c r="A914" s="90" t="str">
        <f t="shared" si="39"/>
        <v/>
      </c>
      <c r="B914" s="98"/>
      <c r="C914" s="94"/>
      <c r="D914" s="94"/>
      <c r="E914" s="94"/>
      <c r="F914" s="94"/>
      <c r="G914" s="94"/>
      <c r="H914" s="94"/>
      <c r="I914" s="94"/>
      <c r="J914" s="94"/>
      <c r="K914" s="94"/>
      <c r="L914" s="94"/>
      <c r="M914" s="94"/>
      <c r="N914" s="94"/>
      <c r="O914" s="94"/>
      <c r="P914" s="94"/>
      <c r="Q914" s="94"/>
      <c r="R914" s="94"/>
      <c r="S914" s="94"/>
      <c r="T914" s="94"/>
      <c r="U914" s="94"/>
      <c r="V914" s="94"/>
      <c r="W914" s="94"/>
      <c r="X914" s="94"/>
      <c r="Y914" s="94"/>
      <c r="Z914" s="94"/>
      <c r="AA914" s="94"/>
      <c r="AB914" s="94"/>
      <c r="AC914" s="94"/>
      <c r="AD914" s="94"/>
      <c r="AE914" s="94"/>
      <c r="AF914" s="94"/>
      <c r="AG914" s="94"/>
      <c r="AH914" s="94"/>
      <c r="AI914" s="94"/>
      <c r="AJ914" s="94"/>
      <c r="AK914" s="94"/>
      <c r="AL914" s="94"/>
      <c r="AM914" s="94"/>
      <c r="AN914" s="94"/>
      <c r="AO914" s="94"/>
      <c r="AP914" s="94"/>
      <c r="AQ914" s="94"/>
      <c r="AR914" s="94"/>
      <c r="AS914" s="94"/>
      <c r="AT914" s="94"/>
      <c r="AU914" s="94"/>
      <c r="AV914" s="94"/>
      <c r="AW914" s="94"/>
      <c r="AX914" s="94"/>
      <c r="AY914" s="94"/>
      <c r="BA914" s="95"/>
    </row>
    <row r="915" spans="1:53" s="87" customFormat="1">
      <c r="A915" s="90" t="str">
        <f t="shared" si="39"/>
        <v/>
      </c>
      <c r="B915" s="98"/>
      <c r="C915" s="94"/>
      <c r="D915" s="94"/>
      <c r="E915" s="94"/>
      <c r="F915" s="94"/>
      <c r="G915" s="94"/>
      <c r="H915" s="94"/>
      <c r="I915" s="94"/>
      <c r="J915" s="94"/>
      <c r="K915" s="94"/>
      <c r="L915" s="94"/>
      <c r="M915" s="94"/>
      <c r="N915" s="94"/>
      <c r="O915" s="94"/>
      <c r="P915" s="94"/>
      <c r="Q915" s="94"/>
      <c r="R915" s="94"/>
      <c r="S915" s="94"/>
      <c r="T915" s="94"/>
      <c r="U915" s="94"/>
      <c r="V915" s="94"/>
      <c r="W915" s="94"/>
      <c r="X915" s="94"/>
      <c r="Y915" s="94"/>
      <c r="Z915" s="94"/>
      <c r="AA915" s="94"/>
      <c r="AB915" s="94"/>
      <c r="AC915" s="94"/>
      <c r="AD915" s="94"/>
      <c r="AE915" s="94"/>
      <c r="AF915" s="94"/>
      <c r="AG915" s="94"/>
      <c r="AH915" s="94"/>
      <c r="AI915" s="94"/>
      <c r="AJ915" s="94"/>
      <c r="AK915" s="94"/>
      <c r="AL915" s="94"/>
      <c r="AM915" s="94"/>
      <c r="AN915" s="94"/>
      <c r="AO915" s="94"/>
      <c r="AP915" s="94"/>
      <c r="AQ915" s="94"/>
      <c r="AR915" s="94"/>
      <c r="AS915" s="94"/>
      <c r="AT915" s="94"/>
      <c r="AU915" s="94"/>
      <c r="AV915" s="94"/>
      <c r="AW915" s="94"/>
      <c r="AX915" s="94"/>
      <c r="AY915" s="94"/>
      <c r="BA915" s="95"/>
    </row>
    <row r="916" spans="1:53" s="87" customFormat="1">
      <c r="A916" s="90" t="str">
        <f t="shared" si="39"/>
        <v/>
      </c>
      <c r="B916" s="98"/>
      <c r="C916" s="94"/>
      <c r="D916" s="94"/>
      <c r="E916" s="94"/>
      <c r="F916" s="94"/>
      <c r="G916" s="94"/>
      <c r="H916" s="94"/>
      <c r="I916" s="94"/>
      <c r="J916" s="94"/>
      <c r="K916" s="94"/>
      <c r="L916" s="94"/>
      <c r="M916" s="94"/>
      <c r="N916" s="94"/>
      <c r="O916" s="94"/>
      <c r="P916" s="94"/>
      <c r="Q916" s="94"/>
      <c r="R916" s="94"/>
      <c r="S916" s="94"/>
      <c r="T916" s="94"/>
      <c r="U916" s="94"/>
      <c r="V916" s="94"/>
      <c r="W916" s="94"/>
      <c r="X916" s="94"/>
      <c r="Y916" s="94"/>
      <c r="Z916" s="94"/>
      <c r="AA916" s="94"/>
      <c r="AB916" s="94"/>
      <c r="AC916" s="94"/>
      <c r="AD916" s="94"/>
      <c r="AE916" s="94"/>
      <c r="AF916" s="94"/>
      <c r="AG916" s="94"/>
      <c r="AH916" s="94"/>
      <c r="AI916" s="94"/>
      <c r="AJ916" s="94"/>
      <c r="AK916" s="94"/>
      <c r="AL916" s="94"/>
      <c r="AM916" s="94"/>
      <c r="AN916" s="94"/>
      <c r="AO916" s="94"/>
      <c r="AP916" s="94"/>
      <c r="AQ916" s="94"/>
      <c r="AR916" s="94"/>
      <c r="AS916" s="94"/>
      <c r="AT916" s="94"/>
      <c r="AU916" s="94"/>
      <c r="AV916" s="94"/>
      <c r="AW916" s="94"/>
      <c r="AX916" s="94"/>
      <c r="AY916" s="94"/>
      <c r="BA916" s="95"/>
    </row>
    <row r="917" spans="1:53" s="87" customFormat="1">
      <c r="A917" s="90" t="str">
        <f t="shared" si="39"/>
        <v/>
      </c>
      <c r="B917" s="98"/>
      <c r="C917" s="94"/>
      <c r="D917" s="94"/>
      <c r="E917" s="94"/>
      <c r="F917" s="94"/>
      <c r="G917" s="94"/>
      <c r="H917" s="94"/>
      <c r="I917" s="94"/>
      <c r="J917" s="94"/>
      <c r="K917" s="94"/>
      <c r="L917" s="94"/>
      <c r="M917" s="94"/>
      <c r="N917" s="94"/>
      <c r="O917" s="94"/>
      <c r="P917" s="94"/>
      <c r="Q917" s="94"/>
      <c r="R917" s="94"/>
      <c r="S917" s="94"/>
      <c r="T917" s="94"/>
      <c r="U917" s="94"/>
      <c r="V917" s="94"/>
      <c r="W917" s="94"/>
      <c r="X917" s="94"/>
      <c r="Y917" s="94"/>
      <c r="Z917" s="94"/>
      <c r="AA917" s="94"/>
      <c r="AB917" s="94"/>
      <c r="AC917" s="94"/>
      <c r="AD917" s="94"/>
      <c r="AE917" s="94"/>
      <c r="AF917" s="94"/>
      <c r="AG917" s="94"/>
      <c r="AH917" s="94"/>
      <c r="AI917" s="94"/>
      <c r="AJ917" s="94"/>
      <c r="AK917" s="94"/>
      <c r="AL917" s="94"/>
      <c r="AM917" s="94"/>
      <c r="AN917" s="94"/>
      <c r="AO917" s="94"/>
      <c r="AP917" s="94"/>
      <c r="AQ917" s="94"/>
      <c r="AR917" s="94"/>
      <c r="AS917" s="94"/>
      <c r="AT917" s="94"/>
      <c r="AU917" s="94"/>
      <c r="AV917" s="94"/>
      <c r="AW917" s="94"/>
      <c r="AX917" s="94"/>
      <c r="AY917" s="94"/>
      <c r="BA917" s="95"/>
    </row>
    <row r="918" spans="1:53" s="87" customFormat="1">
      <c r="A918" s="90" t="str">
        <f t="shared" si="39"/>
        <v/>
      </c>
      <c r="B918" s="98"/>
      <c r="C918" s="94"/>
      <c r="D918" s="94"/>
      <c r="E918" s="94"/>
      <c r="F918" s="94"/>
      <c r="G918" s="94"/>
      <c r="H918" s="94"/>
      <c r="I918" s="94"/>
      <c r="J918" s="94"/>
      <c r="K918" s="94"/>
      <c r="L918" s="94"/>
      <c r="M918" s="94"/>
      <c r="N918" s="94"/>
      <c r="O918" s="94"/>
      <c r="P918" s="94"/>
      <c r="Q918" s="94"/>
      <c r="R918" s="94"/>
      <c r="S918" s="94"/>
      <c r="T918" s="94"/>
      <c r="U918" s="94"/>
      <c r="V918" s="94"/>
      <c r="W918" s="94"/>
      <c r="X918" s="94"/>
      <c r="Y918" s="94"/>
      <c r="Z918" s="94"/>
      <c r="AA918" s="94"/>
      <c r="AB918" s="94"/>
      <c r="AC918" s="94"/>
      <c r="AD918" s="94"/>
      <c r="AE918" s="94"/>
      <c r="AF918" s="94"/>
      <c r="AG918" s="94"/>
      <c r="AH918" s="94"/>
      <c r="AI918" s="94"/>
      <c r="AJ918" s="94"/>
      <c r="AK918" s="94"/>
      <c r="AL918" s="94"/>
      <c r="AM918" s="94"/>
      <c r="AN918" s="94"/>
      <c r="AO918" s="94"/>
      <c r="AP918" s="94"/>
      <c r="AQ918" s="94"/>
      <c r="AR918" s="94"/>
      <c r="AS918" s="94"/>
      <c r="AT918" s="94"/>
      <c r="AU918" s="94"/>
      <c r="AV918" s="94"/>
      <c r="AW918" s="94"/>
      <c r="AX918" s="94"/>
      <c r="AY918" s="94"/>
      <c r="BA918" s="95"/>
    </row>
    <row r="919" spans="1:53" s="87" customFormat="1">
      <c r="A919" s="90" t="str">
        <f t="shared" si="39"/>
        <v/>
      </c>
      <c r="B919" s="98"/>
      <c r="C919" s="94"/>
      <c r="D919" s="94"/>
      <c r="E919" s="94"/>
      <c r="F919" s="94"/>
      <c r="G919" s="94"/>
      <c r="H919" s="94"/>
      <c r="I919" s="94"/>
      <c r="J919" s="94"/>
      <c r="K919" s="94"/>
      <c r="L919" s="94"/>
      <c r="M919" s="94"/>
      <c r="N919" s="94"/>
      <c r="O919" s="94"/>
      <c r="P919" s="94"/>
      <c r="Q919" s="94"/>
      <c r="R919" s="94"/>
      <c r="S919" s="94"/>
      <c r="T919" s="94"/>
      <c r="U919" s="94"/>
      <c r="V919" s="94"/>
      <c r="W919" s="94"/>
      <c r="X919" s="94"/>
      <c r="Y919" s="94"/>
      <c r="Z919" s="94"/>
      <c r="AA919" s="94"/>
      <c r="AB919" s="94"/>
      <c r="AC919" s="94"/>
      <c r="AD919" s="94"/>
      <c r="AE919" s="94"/>
      <c r="AF919" s="94"/>
      <c r="AG919" s="94"/>
      <c r="AH919" s="94"/>
      <c r="AI919" s="94"/>
      <c r="AJ919" s="94"/>
      <c r="AK919" s="94"/>
      <c r="AL919" s="94"/>
      <c r="AM919" s="94"/>
      <c r="AN919" s="94"/>
      <c r="AO919" s="94"/>
      <c r="AP919" s="94"/>
      <c r="AQ919" s="94"/>
      <c r="AR919" s="94"/>
      <c r="AS919" s="94"/>
      <c r="AT919" s="94"/>
      <c r="AU919" s="94"/>
      <c r="AV919" s="94"/>
      <c r="AW919" s="94"/>
      <c r="AX919" s="94"/>
      <c r="AY919" s="94"/>
      <c r="BA919" s="95"/>
    </row>
    <row r="920" spans="1:53" s="87" customFormat="1">
      <c r="A920" s="90" t="str">
        <f t="shared" si="39"/>
        <v/>
      </c>
      <c r="B920" s="98"/>
      <c r="C920" s="94"/>
      <c r="D920" s="94"/>
      <c r="E920" s="94"/>
      <c r="F920" s="94"/>
      <c r="G920" s="94"/>
      <c r="H920" s="94"/>
      <c r="I920" s="94"/>
      <c r="J920" s="94"/>
      <c r="K920" s="94"/>
      <c r="L920" s="94"/>
      <c r="M920" s="94"/>
      <c r="N920" s="94"/>
      <c r="O920" s="94"/>
      <c r="P920" s="94"/>
      <c r="Q920" s="94"/>
      <c r="R920" s="94"/>
      <c r="S920" s="94"/>
      <c r="T920" s="94"/>
      <c r="U920" s="94"/>
      <c r="V920" s="94"/>
      <c r="W920" s="94"/>
      <c r="X920" s="94"/>
      <c r="Y920" s="94"/>
      <c r="Z920" s="94"/>
      <c r="AA920" s="94"/>
      <c r="AB920" s="94"/>
      <c r="AC920" s="94"/>
      <c r="AD920" s="94"/>
      <c r="AE920" s="94"/>
      <c r="AF920" s="94"/>
      <c r="AG920" s="94"/>
      <c r="AH920" s="94"/>
      <c r="AI920" s="94"/>
      <c r="AJ920" s="94"/>
      <c r="AK920" s="94"/>
      <c r="AL920" s="94"/>
      <c r="AM920" s="94"/>
      <c r="AN920" s="94"/>
      <c r="AO920" s="94"/>
      <c r="AP920" s="94"/>
      <c r="AQ920" s="94"/>
      <c r="AR920" s="94"/>
      <c r="AS920" s="94"/>
      <c r="AT920" s="94"/>
      <c r="AU920" s="94"/>
      <c r="AV920" s="94"/>
      <c r="AW920" s="94"/>
      <c r="AX920" s="94"/>
      <c r="AY920" s="94"/>
      <c r="BA920" s="95"/>
    </row>
    <row r="921" spans="1:53" s="87" customFormat="1">
      <c r="A921" s="90" t="str">
        <f t="shared" si="39"/>
        <v/>
      </c>
      <c r="B921" s="98"/>
      <c r="C921" s="94"/>
      <c r="D921" s="94"/>
      <c r="E921" s="94"/>
      <c r="F921" s="94"/>
      <c r="G921" s="94"/>
      <c r="H921" s="94"/>
      <c r="I921" s="94"/>
      <c r="J921" s="94"/>
      <c r="K921" s="94"/>
      <c r="L921" s="94"/>
      <c r="M921" s="94"/>
      <c r="N921" s="94"/>
      <c r="O921" s="94"/>
      <c r="P921" s="94"/>
      <c r="Q921" s="94"/>
      <c r="R921" s="94"/>
      <c r="S921" s="94"/>
      <c r="T921" s="94"/>
      <c r="U921" s="94"/>
      <c r="V921" s="94"/>
      <c r="W921" s="94"/>
      <c r="X921" s="94"/>
      <c r="Y921" s="94"/>
      <c r="Z921" s="94"/>
      <c r="AA921" s="94"/>
      <c r="AB921" s="94"/>
      <c r="AC921" s="94"/>
      <c r="AD921" s="94"/>
      <c r="AE921" s="94"/>
      <c r="AF921" s="94"/>
      <c r="AG921" s="94"/>
      <c r="AH921" s="94"/>
      <c r="AI921" s="94"/>
      <c r="AJ921" s="94"/>
      <c r="AK921" s="94"/>
      <c r="AL921" s="94"/>
      <c r="AM921" s="94"/>
      <c r="AN921" s="94"/>
      <c r="AO921" s="94"/>
      <c r="AP921" s="94"/>
      <c r="AQ921" s="94"/>
      <c r="AR921" s="94"/>
      <c r="AS921" s="94"/>
      <c r="AT921" s="94"/>
      <c r="AU921" s="94"/>
      <c r="AV921" s="94"/>
      <c r="AW921" s="94"/>
      <c r="AX921" s="94"/>
      <c r="AY921" s="94"/>
      <c r="BA921" s="95"/>
    </row>
    <row r="922" spans="1:53" s="87" customFormat="1">
      <c r="A922" s="90" t="str">
        <f t="shared" si="39"/>
        <v/>
      </c>
      <c r="B922" s="98"/>
      <c r="C922" s="94"/>
      <c r="D922" s="94"/>
      <c r="E922" s="94"/>
      <c r="F922" s="94"/>
      <c r="G922" s="94"/>
      <c r="H922" s="94"/>
      <c r="I922" s="94"/>
      <c r="J922" s="94"/>
      <c r="K922" s="94"/>
      <c r="L922" s="94"/>
      <c r="M922" s="94"/>
      <c r="N922" s="94"/>
      <c r="O922" s="94"/>
      <c r="P922" s="94"/>
      <c r="Q922" s="94"/>
      <c r="R922" s="94"/>
      <c r="S922" s="94"/>
      <c r="T922" s="94"/>
      <c r="U922" s="94"/>
      <c r="V922" s="94"/>
      <c r="W922" s="94"/>
      <c r="X922" s="94"/>
      <c r="Y922" s="94"/>
      <c r="Z922" s="94"/>
      <c r="AA922" s="94"/>
      <c r="AB922" s="94"/>
      <c r="AC922" s="94"/>
      <c r="AD922" s="94"/>
      <c r="AE922" s="94"/>
      <c r="AF922" s="94"/>
      <c r="AG922" s="94"/>
      <c r="AH922" s="94"/>
      <c r="AI922" s="94"/>
      <c r="AJ922" s="94"/>
      <c r="AK922" s="94"/>
      <c r="AL922" s="94"/>
      <c r="AM922" s="94"/>
      <c r="AN922" s="94"/>
      <c r="AO922" s="94"/>
      <c r="AP922" s="94"/>
      <c r="AQ922" s="94"/>
      <c r="AR922" s="94"/>
      <c r="AS922" s="94"/>
      <c r="AT922" s="94"/>
      <c r="AU922" s="94"/>
      <c r="AV922" s="94"/>
      <c r="AW922" s="94"/>
      <c r="AX922" s="94"/>
      <c r="AY922" s="94"/>
      <c r="BA922" s="95"/>
    </row>
    <row r="923" spans="1:53" s="87" customFormat="1">
      <c r="A923" s="90" t="str">
        <f t="shared" si="39"/>
        <v/>
      </c>
      <c r="B923" s="98"/>
      <c r="C923" s="94"/>
      <c r="D923" s="94"/>
      <c r="E923" s="94"/>
      <c r="F923" s="94"/>
      <c r="G923" s="94"/>
      <c r="H923" s="94"/>
      <c r="I923" s="94"/>
      <c r="J923" s="94"/>
      <c r="K923" s="94"/>
      <c r="L923" s="94"/>
      <c r="M923" s="94"/>
      <c r="N923" s="94"/>
      <c r="O923" s="94"/>
      <c r="P923" s="94"/>
      <c r="Q923" s="94"/>
      <c r="R923" s="94"/>
      <c r="S923" s="94"/>
      <c r="T923" s="94"/>
      <c r="U923" s="94"/>
      <c r="V923" s="94"/>
      <c r="W923" s="94"/>
      <c r="X923" s="94"/>
      <c r="Y923" s="94"/>
      <c r="Z923" s="94"/>
      <c r="AA923" s="94"/>
      <c r="AB923" s="94"/>
      <c r="AC923" s="94"/>
      <c r="AD923" s="94"/>
      <c r="AE923" s="94"/>
      <c r="AF923" s="94"/>
      <c r="AG923" s="94"/>
      <c r="AH923" s="94"/>
      <c r="AI923" s="94"/>
      <c r="AJ923" s="94"/>
      <c r="AK923" s="94"/>
      <c r="AL923" s="94"/>
      <c r="AM923" s="94"/>
      <c r="AN923" s="94"/>
      <c r="AO923" s="94"/>
      <c r="AP923" s="94"/>
      <c r="AQ923" s="94"/>
      <c r="AR923" s="94"/>
      <c r="AS923" s="94"/>
      <c r="AT923" s="94"/>
      <c r="AU923" s="94"/>
      <c r="AV923" s="94"/>
      <c r="AW923" s="94"/>
      <c r="AX923" s="94"/>
      <c r="AY923" s="94"/>
      <c r="BA923" s="95"/>
    </row>
    <row r="924" spans="1:53" s="87" customFormat="1">
      <c r="A924" s="90" t="str">
        <f t="shared" si="39"/>
        <v/>
      </c>
      <c r="B924" s="98"/>
      <c r="C924" s="94"/>
      <c r="D924" s="94"/>
      <c r="E924" s="94"/>
      <c r="F924" s="94"/>
      <c r="G924" s="94"/>
      <c r="H924" s="94"/>
      <c r="I924" s="94"/>
      <c r="J924" s="94"/>
      <c r="K924" s="94"/>
      <c r="L924" s="94"/>
      <c r="M924" s="94"/>
      <c r="N924" s="94"/>
      <c r="O924" s="94"/>
      <c r="P924" s="94"/>
      <c r="Q924" s="94"/>
      <c r="R924" s="94"/>
      <c r="S924" s="94"/>
      <c r="T924" s="94"/>
      <c r="U924" s="94"/>
      <c r="V924" s="94"/>
      <c r="W924" s="94"/>
      <c r="X924" s="94"/>
      <c r="Y924" s="94"/>
      <c r="Z924" s="94"/>
      <c r="AA924" s="94"/>
      <c r="AB924" s="94"/>
      <c r="AC924" s="94"/>
      <c r="AD924" s="94"/>
      <c r="AE924" s="94"/>
      <c r="AF924" s="94"/>
      <c r="AG924" s="94"/>
      <c r="AH924" s="94"/>
      <c r="AI924" s="94"/>
      <c r="AJ924" s="94"/>
      <c r="AK924" s="94"/>
      <c r="AL924" s="94"/>
      <c r="AM924" s="94"/>
      <c r="AN924" s="94"/>
      <c r="AO924" s="94"/>
      <c r="AP924" s="94"/>
      <c r="AQ924" s="94"/>
      <c r="AR924" s="94"/>
      <c r="AS924" s="94"/>
      <c r="AT924" s="94"/>
      <c r="AU924" s="94"/>
      <c r="AV924" s="94"/>
      <c r="AW924" s="94"/>
      <c r="AX924" s="94"/>
      <c r="AY924" s="94"/>
      <c r="BA924" s="95"/>
    </row>
    <row r="925" spans="1:53" s="87" customFormat="1">
      <c r="A925" s="90" t="str">
        <f t="shared" si="39"/>
        <v/>
      </c>
      <c r="B925" s="98"/>
      <c r="C925" s="94"/>
      <c r="D925" s="94"/>
      <c r="E925" s="94"/>
      <c r="F925" s="94"/>
      <c r="G925" s="94"/>
      <c r="H925" s="94"/>
      <c r="I925" s="94"/>
      <c r="J925" s="94"/>
      <c r="K925" s="94"/>
      <c r="L925" s="94"/>
      <c r="M925" s="94"/>
      <c r="N925" s="94"/>
      <c r="O925" s="94"/>
      <c r="P925" s="94"/>
      <c r="Q925" s="94"/>
      <c r="R925" s="94"/>
      <c r="S925" s="94"/>
      <c r="T925" s="94"/>
      <c r="U925" s="94"/>
      <c r="V925" s="94"/>
      <c r="W925" s="94"/>
      <c r="X925" s="94"/>
      <c r="Y925" s="94"/>
      <c r="Z925" s="94"/>
      <c r="AA925" s="94"/>
      <c r="AB925" s="94"/>
      <c r="AC925" s="94"/>
      <c r="AD925" s="94"/>
      <c r="AE925" s="94"/>
      <c r="AF925" s="94"/>
      <c r="AG925" s="94"/>
      <c r="AH925" s="94"/>
      <c r="AI925" s="94"/>
      <c r="AJ925" s="94"/>
      <c r="AK925" s="94"/>
      <c r="AL925" s="94"/>
      <c r="AM925" s="94"/>
      <c r="AN925" s="94"/>
      <c r="AO925" s="94"/>
      <c r="AP925" s="94"/>
      <c r="AQ925" s="94"/>
      <c r="AR925" s="94"/>
      <c r="AS925" s="94"/>
      <c r="AT925" s="94"/>
      <c r="AU925" s="94"/>
      <c r="AV925" s="94"/>
      <c r="AW925" s="94"/>
      <c r="AX925" s="94"/>
      <c r="AY925" s="94"/>
      <c r="BA925" s="95"/>
    </row>
    <row r="926" spans="1:53" s="87" customFormat="1">
      <c r="A926" s="90" t="str">
        <f t="shared" si="39"/>
        <v/>
      </c>
      <c r="B926" s="98"/>
      <c r="C926" s="94"/>
      <c r="D926" s="94"/>
      <c r="E926" s="94"/>
      <c r="F926" s="94"/>
      <c r="G926" s="94"/>
      <c r="H926" s="94"/>
      <c r="I926" s="94"/>
      <c r="J926" s="94"/>
      <c r="K926" s="94"/>
      <c r="L926" s="94"/>
      <c r="M926" s="94"/>
      <c r="N926" s="94"/>
      <c r="O926" s="94"/>
      <c r="P926" s="94"/>
      <c r="Q926" s="94"/>
      <c r="R926" s="94"/>
      <c r="S926" s="94"/>
      <c r="T926" s="94"/>
      <c r="U926" s="94"/>
      <c r="V926" s="94"/>
      <c r="W926" s="94"/>
      <c r="X926" s="94"/>
      <c r="Y926" s="94"/>
      <c r="Z926" s="94"/>
      <c r="AA926" s="94"/>
      <c r="AB926" s="94"/>
      <c r="AC926" s="94"/>
      <c r="AD926" s="94"/>
      <c r="AE926" s="94"/>
      <c r="AF926" s="94"/>
      <c r="AG926" s="94"/>
      <c r="AH926" s="94"/>
      <c r="AI926" s="94"/>
      <c r="AJ926" s="94"/>
      <c r="AK926" s="94"/>
      <c r="AL926" s="94"/>
      <c r="AM926" s="94"/>
      <c r="AN926" s="94"/>
      <c r="AO926" s="94"/>
      <c r="AP926" s="94"/>
      <c r="AQ926" s="94"/>
      <c r="AR926" s="94"/>
      <c r="AS926" s="94"/>
      <c r="AT926" s="94"/>
      <c r="AU926" s="94"/>
      <c r="AV926" s="94"/>
      <c r="AW926" s="94"/>
      <c r="AX926" s="94"/>
      <c r="AY926" s="94"/>
      <c r="BA926" s="95"/>
    </row>
    <row r="927" spans="1:53" s="87" customFormat="1">
      <c r="A927" s="90" t="str">
        <f t="shared" si="39"/>
        <v/>
      </c>
      <c r="B927" s="98"/>
      <c r="C927" s="94"/>
      <c r="D927" s="94"/>
      <c r="E927" s="94"/>
      <c r="F927" s="94"/>
      <c r="G927" s="94"/>
      <c r="H927" s="94"/>
      <c r="I927" s="94"/>
      <c r="J927" s="94"/>
      <c r="K927" s="94"/>
      <c r="L927" s="94"/>
      <c r="M927" s="94"/>
      <c r="N927" s="94"/>
      <c r="O927" s="94"/>
      <c r="P927" s="94"/>
      <c r="Q927" s="94"/>
      <c r="R927" s="94"/>
      <c r="S927" s="94"/>
      <c r="T927" s="94"/>
      <c r="U927" s="94"/>
      <c r="V927" s="94"/>
      <c r="W927" s="94"/>
      <c r="X927" s="94"/>
      <c r="Y927" s="94"/>
      <c r="Z927" s="94"/>
      <c r="AA927" s="94"/>
      <c r="AB927" s="94"/>
      <c r="AC927" s="94"/>
      <c r="AD927" s="94"/>
      <c r="AE927" s="94"/>
      <c r="AF927" s="94"/>
      <c r="AG927" s="94"/>
      <c r="AH927" s="94"/>
      <c r="AI927" s="94"/>
      <c r="AJ927" s="94"/>
      <c r="AK927" s="94"/>
      <c r="AL927" s="94"/>
      <c r="AM927" s="94"/>
      <c r="AN927" s="94"/>
      <c r="AO927" s="94"/>
      <c r="AP927" s="94"/>
      <c r="AQ927" s="94"/>
      <c r="AR927" s="94"/>
      <c r="AS927" s="94"/>
      <c r="AT927" s="94"/>
      <c r="AU927" s="94"/>
      <c r="AV927" s="94"/>
      <c r="AW927" s="94"/>
      <c r="AX927" s="94"/>
      <c r="AY927" s="94"/>
      <c r="BA927" s="95"/>
    </row>
    <row r="928" spans="1:53" s="87" customFormat="1">
      <c r="A928" s="90" t="str">
        <f t="shared" si="39"/>
        <v/>
      </c>
      <c r="B928" s="98"/>
      <c r="C928" s="94"/>
      <c r="D928" s="94"/>
      <c r="E928" s="94"/>
      <c r="F928" s="94"/>
      <c r="G928" s="94"/>
      <c r="H928" s="94"/>
      <c r="I928" s="94"/>
      <c r="J928" s="94"/>
      <c r="K928" s="94"/>
      <c r="L928" s="94"/>
      <c r="M928" s="94"/>
      <c r="N928" s="94"/>
      <c r="O928" s="94"/>
      <c r="P928" s="94"/>
      <c r="Q928" s="94"/>
      <c r="R928" s="94"/>
      <c r="S928" s="94"/>
      <c r="T928" s="94"/>
      <c r="U928" s="94"/>
      <c r="V928" s="94"/>
      <c r="W928" s="94"/>
      <c r="X928" s="94"/>
      <c r="Y928" s="94"/>
      <c r="Z928" s="94"/>
      <c r="AA928" s="94"/>
      <c r="AB928" s="94"/>
      <c r="AC928" s="94"/>
      <c r="AD928" s="94"/>
      <c r="AE928" s="94"/>
      <c r="AF928" s="94"/>
      <c r="AG928" s="94"/>
      <c r="AH928" s="94"/>
      <c r="AI928" s="94"/>
      <c r="AJ928" s="94"/>
      <c r="AK928" s="94"/>
      <c r="AL928" s="94"/>
      <c r="AM928" s="94"/>
      <c r="AN928" s="94"/>
      <c r="AO928" s="94"/>
      <c r="AP928" s="94"/>
      <c r="AQ928" s="94"/>
      <c r="AR928" s="94"/>
      <c r="AS928" s="94"/>
      <c r="AT928" s="94"/>
      <c r="AU928" s="94"/>
      <c r="AV928" s="94"/>
      <c r="AW928" s="94"/>
      <c r="AX928" s="94"/>
      <c r="AY928" s="94"/>
      <c r="BA928" s="95"/>
    </row>
    <row r="929" spans="1:53" s="87" customFormat="1">
      <c r="A929" s="90" t="str">
        <f t="shared" si="39"/>
        <v/>
      </c>
      <c r="B929" s="98"/>
      <c r="C929" s="94"/>
      <c r="D929" s="94"/>
      <c r="E929" s="94"/>
      <c r="F929" s="94"/>
      <c r="G929" s="94"/>
      <c r="H929" s="94"/>
      <c r="I929" s="94"/>
      <c r="J929" s="94"/>
      <c r="K929" s="94"/>
      <c r="L929" s="94"/>
      <c r="M929" s="94"/>
      <c r="N929" s="94"/>
      <c r="O929" s="94"/>
      <c r="P929" s="94"/>
      <c r="Q929" s="94"/>
      <c r="R929" s="94"/>
      <c r="S929" s="94"/>
      <c r="T929" s="94"/>
      <c r="U929" s="94"/>
      <c r="V929" s="94"/>
      <c r="W929" s="94"/>
      <c r="X929" s="94"/>
      <c r="Y929" s="94"/>
      <c r="Z929" s="94"/>
      <c r="AA929" s="94"/>
      <c r="AB929" s="94"/>
      <c r="AC929" s="94"/>
      <c r="AD929" s="94"/>
      <c r="AE929" s="94"/>
      <c r="AF929" s="94"/>
      <c r="AG929" s="94"/>
      <c r="AH929" s="94"/>
      <c r="AI929" s="94"/>
      <c r="AJ929" s="94"/>
      <c r="AK929" s="94"/>
      <c r="AL929" s="94"/>
      <c r="AM929" s="94"/>
      <c r="AN929" s="94"/>
      <c r="AO929" s="94"/>
      <c r="AP929" s="94"/>
      <c r="AQ929" s="94"/>
      <c r="AR929" s="94"/>
      <c r="AS929" s="94"/>
      <c r="AT929" s="94"/>
      <c r="AU929" s="94"/>
      <c r="AV929" s="94"/>
      <c r="AW929" s="94"/>
      <c r="AX929" s="94"/>
      <c r="AY929" s="94"/>
      <c r="BA929" s="95"/>
    </row>
    <row r="930" spans="1:53" s="87" customFormat="1">
      <c r="A930" s="90" t="str">
        <f t="shared" si="39"/>
        <v/>
      </c>
      <c r="B930" s="98"/>
      <c r="C930" s="94"/>
      <c r="D930" s="94"/>
      <c r="E930" s="94"/>
      <c r="F930" s="94"/>
      <c r="G930" s="94"/>
      <c r="H930" s="94"/>
      <c r="I930" s="94"/>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BA930" s="95"/>
    </row>
    <row r="931" spans="1:53" s="87" customFormat="1">
      <c r="A931" s="90" t="str">
        <f t="shared" si="39"/>
        <v/>
      </c>
      <c r="B931" s="98"/>
      <c r="C931" s="94"/>
      <c r="D931" s="94"/>
      <c r="E931" s="94"/>
      <c r="F931" s="94"/>
      <c r="G931" s="94"/>
      <c r="H931" s="94"/>
      <c r="I931" s="94"/>
      <c r="J931" s="94"/>
      <c r="K931" s="94"/>
      <c r="L931" s="94"/>
      <c r="M931" s="94"/>
      <c r="N931" s="94"/>
      <c r="O931" s="94"/>
      <c r="P931" s="94"/>
      <c r="Q931" s="94"/>
      <c r="R931" s="94"/>
      <c r="S931" s="94"/>
      <c r="T931" s="94"/>
      <c r="U931" s="94"/>
      <c r="V931" s="94"/>
      <c r="W931" s="94"/>
      <c r="X931" s="94"/>
      <c r="Y931" s="94"/>
      <c r="Z931" s="94"/>
      <c r="AA931" s="94"/>
      <c r="AB931" s="94"/>
      <c r="AC931" s="94"/>
      <c r="AD931" s="94"/>
      <c r="AE931" s="94"/>
      <c r="AF931" s="94"/>
      <c r="AG931" s="94"/>
      <c r="AH931" s="94"/>
      <c r="AI931" s="94"/>
      <c r="AJ931" s="94"/>
      <c r="AK931" s="94"/>
      <c r="AL931" s="94"/>
      <c r="AM931" s="94"/>
      <c r="AN931" s="94"/>
      <c r="AO931" s="94"/>
      <c r="AP931" s="94"/>
      <c r="AQ931" s="94"/>
      <c r="AR931" s="94"/>
      <c r="AS931" s="94"/>
      <c r="AT931" s="94"/>
      <c r="AU931" s="94"/>
      <c r="AV931" s="94"/>
      <c r="AW931" s="94"/>
      <c r="AX931" s="94"/>
      <c r="AY931" s="94"/>
      <c r="BA931" s="95"/>
    </row>
    <row r="932" spans="1:53" s="87" customFormat="1">
      <c r="A932" s="90" t="str">
        <f t="shared" si="39"/>
        <v/>
      </c>
      <c r="B932" s="98"/>
      <c r="C932" s="94"/>
      <c r="D932" s="94"/>
      <c r="E932" s="94"/>
      <c r="F932" s="94"/>
      <c r="G932" s="94"/>
      <c r="H932" s="94"/>
      <c r="I932" s="94"/>
      <c r="J932" s="94"/>
      <c r="K932" s="94"/>
      <c r="L932" s="94"/>
      <c r="M932" s="94"/>
      <c r="N932" s="94"/>
      <c r="O932" s="94"/>
      <c r="P932" s="94"/>
      <c r="Q932" s="94"/>
      <c r="R932" s="94"/>
      <c r="S932" s="94"/>
      <c r="T932" s="94"/>
      <c r="U932" s="94"/>
      <c r="V932" s="94"/>
      <c r="W932" s="94"/>
      <c r="X932" s="94"/>
      <c r="Y932" s="94"/>
      <c r="Z932" s="94"/>
      <c r="AA932" s="94"/>
      <c r="AB932" s="94"/>
      <c r="AC932" s="94"/>
      <c r="AD932" s="94"/>
      <c r="AE932" s="94"/>
      <c r="AF932" s="94"/>
      <c r="AG932" s="94"/>
      <c r="AH932" s="94"/>
      <c r="AI932" s="94"/>
      <c r="AJ932" s="94"/>
      <c r="AK932" s="94"/>
      <c r="AL932" s="94"/>
      <c r="AM932" s="94"/>
      <c r="AN932" s="94"/>
      <c r="AO932" s="94"/>
      <c r="AP932" s="94"/>
      <c r="AQ932" s="94"/>
      <c r="AR932" s="94"/>
      <c r="AS932" s="94"/>
      <c r="AT932" s="94"/>
      <c r="AU932" s="94"/>
      <c r="AV932" s="94"/>
      <c r="AW932" s="94"/>
      <c r="AX932" s="94"/>
      <c r="AY932" s="94"/>
      <c r="BA932" s="95"/>
    </row>
    <row r="933" spans="1:53" s="87" customFormat="1">
      <c r="A933" s="90" t="str">
        <f t="shared" si="39"/>
        <v/>
      </c>
      <c r="B933" s="98"/>
      <c r="C933" s="94"/>
      <c r="D933" s="94"/>
      <c r="E933" s="94"/>
      <c r="F933" s="94"/>
      <c r="G933" s="94"/>
      <c r="H933" s="94"/>
      <c r="I933" s="94"/>
      <c r="J933" s="94"/>
      <c r="K933" s="94"/>
      <c r="L933" s="94"/>
      <c r="M933" s="94"/>
      <c r="N933" s="94"/>
      <c r="O933" s="94"/>
      <c r="P933" s="94"/>
      <c r="Q933" s="94"/>
      <c r="R933" s="94"/>
      <c r="S933" s="94"/>
      <c r="T933" s="94"/>
      <c r="U933" s="94"/>
      <c r="V933" s="94"/>
      <c r="W933" s="94"/>
      <c r="X933" s="94"/>
      <c r="Y933" s="94"/>
      <c r="Z933" s="94"/>
      <c r="AA933" s="94"/>
      <c r="AB933" s="94"/>
      <c r="AC933" s="94"/>
      <c r="AD933" s="94"/>
      <c r="AE933" s="94"/>
      <c r="AF933" s="94"/>
      <c r="AG933" s="94"/>
      <c r="AH933" s="94"/>
      <c r="AI933" s="94"/>
      <c r="AJ933" s="94"/>
      <c r="AK933" s="94"/>
      <c r="AL933" s="94"/>
      <c r="AM933" s="94"/>
      <c r="AN933" s="94"/>
      <c r="AO933" s="94"/>
      <c r="AP933" s="94"/>
      <c r="AQ933" s="94"/>
      <c r="AR933" s="94"/>
      <c r="AS933" s="94"/>
      <c r="AT933" s="94"/>
      <c r="AU933" s="94"/>
      <c r="AV933" s="94"/>
      <c r="AW933" s="94"/>
      <c r="AX933" s="94"/>
      <c r="AY933" s="94"/>
      <c r="BA933" s="95"/>
    </row>
    <row r="934" spans="1:53" s="87" customFormat="1">
      <c r="A934" s="90" t="str">
        <f t="shared" si="39"/>
        <v/>
      </c>
      <c r="B934" s="98"/>
      <c r="C934" s="94"/>
      <c r="D934" s="94"/>
      <c r="E934" s="94"/>
      <c r="F934" s="94"/>
      <c r="G934" s="94"/>
      <c r="H934" s="94"/>
      <c r="I934" s="94"/>
      <c r="J934" s="94"/>
      <c r="K934" s="94"/>
      <c r="L934" s="94"/>
      <c r="M934" s="94"/>
      <c r="N934" s="94"/>
      <c r="O934" s="94"/>
      <c r="P934" s="94"/>
      <c r="Q934" s="94"/>
      <c r="R934" s="94"/>
      <c r="S934" s="94"/>
      <c r="T934" s="94"/>
      <c r="U934" s="94"/>
      <c r="V934" s="94"/>
      <c r="W934" s="94"/>
      <c r="X934" s="94"/>
      <c r="Y934" s="94"/>
      <c r="Z934" s="94"/>
      <c r="AA934" s="94"/>
      <c r="AB934" s="94"/>
      <c r="AC934" s="94"/>
      <c r="AD934" s="94"/>
      <c r="AE934" s="94"/>
      <c r="AF934" s="94"/>
      <c r="AG934" s="94"/>
      <c r="AH934" s="94"/>
      <c r="AI934" s="94"/>
      <c r="AJ934" s="94"/>
      <c r="AK934" s="94"/>
      <c r="AL934" s="94"/>
      <c r="AM934" s="94"/>
      <c r="AN934" s="94"/>
      <c r="AO934" s="94"/>
      <c r="AP934" s="94"/>
      <c r="AQ934" s="94"/>
      <c r="AR934" s="94"/>
      <c r="AS934" s="94"/>
      <c r="AT934" s="94"/>
      <c r="AU934" s="94"/>
      <c r="AV934" s="94"/>
      <c r="AW934" s="94"/>
      <c r="AX934" s="94"/>
      <c r="AY934" s="94"/>
      <c r="BA934" s="95"/>
    </row>
    <row r="935" spans="1:53" s="87" customFormat="1">
      <c r="A935" s="90" t="str">
        <f t="shared" si="39"/>
        <v/>
      </c>
      <c r="B935" s="98"/>
      <c r="C935" s="94"/>
      <c r="D935" s="94"/>
      <c r="E935" s="94"/>
      <c r="F935" s="94"/>
      <c r="G935" s="94"/>
      <c r="H935" s="94"/>
      <c r="I935" s="94"/>
      <c r="J935" s="94"/>
      <c r="K935" s="94"/>
      <c r="L935" s="94"/>
      <c r="M935" s="94"/>
      <c r="N935" s="94"/>
      <c r="O935" s="94"/>
      <c r="P935" s="94"/>
      <c r="Q935" s="94"/>
      <c r="R935" s="94"/>
      <c r="S935" s="94"/>
      <c r="T935" s="94"/>
      <c r="U935" s="94"/>
      <c r="V935" s="94"/>
      <c r="W935" s="94"/>
      <c r="X935" s="94"/>
      <c r="Y935" s="94"/>
      <c r="Z935" s="94"/>
      <c r="AA935" s="94"/>
      <c r="AB935" s="94"/>
      <c r="AC935" s="94"/>
      <c r="AD935" s="94"/>
      <c r="AE935" s="94"/>
      <c r="AF935" s="94"/>
      <c r="AG935" s="94"/>
      <c r="AH935" s="94"/>
      <c r="AI935" s="94"/>
      <c r="AJ935" s="94"/>
      <c r="AK935" s="94"/>
      <c r="AL935" s="94"/>
      <c r="AM935" s="94"/>
      <c r="AN935" s="94"/>
      <c r="AO935" s="94"/>
      <c r="AP935" s="94"/>
      <c r="AQ935" s="94"/>
      <c r="AR935" s="94"/>
      <c r="AS935" s="94"/>
      <c r="AT935" s="94"/>
      <c r="AU935" s="94"/>
      <c r="AV935" s="94"/>
      <c r="AW935" s="94"/>
      <c r="AX935" s="94"/>
      <c r="AY935" s="94"/>
      <c r="BA935" s="95"/>
    </row>
    <row r="936" spans="1:53" s="87" customFormat="1">
      <c r="A936" s="90" t="str">
        <f t="shared" si="39"/>
        <v/>
      </c>
      <c r="B936" s="98"/>
      <c r="C936" s="94"/>
      <c r="D936" s="94"/>
      <c r="E936" s="94"/>
      <c r="F936" s="94"/>
      <c r="G936" s="94"/>
      <c r="H936" s="94"/>
      <c r="I936" s="94"/>
      <c r="J936" s="94"/>
      <c r="K936" s="94"/>
      <c r="L936" s="94"/>
      <c r="M936" s="94"/>
      <c r="N936" s="94"/>
      <c r="O936" s="94"/>
      <c r="P936" s="94"/>
      <c r="Q936" s="94"/>
      <c r="R936" s="94"/>
      <c r="S936" s="94"/>
      <c r="T936" s="94"/>
      <c r="U936" s="94"/>
      <c r="V936" s="94"/>
      <c r="W936" s="94"/>
      <c r="X936" s="94"/>
      <c r="Y936" s="94"/>
      <c r="Z936" s="94"/>
      <c r="AA936" s="94"/>
      <c r="AB936" s="94"/>
      <c r="AC936" s="94"/>
      <c r="AD936" s="94"/>
      <c r="AE936" s="94"/>
      <c r="AF936" s="94"/>
      <c r="AG936" s="94"/>
      <c r="AH936" s="94"/>
      <c r="AI936" s="94"/>
      <c r="AJ936" s="94"/>
      <c r="AK936" s="94"/>
      <c r="AL936" s="94"/>
      <c r="AM936" s="94"/>
      <c r="AN936" s="94"/>
      <c r="AO936" s="94"/>
      <c r="AP936" s="94"/>
      <c r="AQ936" s="94"/>
      <c r="AR936" s="94"/>
      <c r="AS936" s="94"/>
      <c r="AT936" s="94"/>
      <c r="AU936" s="94"/>
      <c r="AV936" s="94"/>
      <c r="AW936" s="94"/>
      <c r="AX936" s="94"/>
      <c r="AY936" s="94"/>
      <c r="BA936" s="95"/>
    </row>
    <row r="937" spans="1:53" s="87" customFormat="1">
      <c r="A937" s="90" t="str">
        <f t="shared" si="39"/>
        <v/>
      </c>
      <c r="B937" s="98"/>
      <c r="C937" s="94"/>
      <c r="D937" s="94"/>
      <c r="E937" s="94"/>
      <c r="F937" s="94"/>
      <c r="G937" s="94"/>
      <c r="H937" s="94"/>
      <c r="I937" s="94"/>
      <c r="J937" s="94"/>
      <c r="K937" s="94"/>
      <c r="L937" s="94"/>
      <c r="M937" s="94"/>
      <c r="N937" s="94"/>
      <c r="O937" s="94"/>
      <c r="P937" s="94"/>
      <c r="Q937" s="94"/>
      <c r="R937" s="94"/>
      <c r="S937" s="94"/>
      <c r="T937" s="94"/>
      <c r="U937" s="94"/>
      <c r="V937" s="94"/>
      <c r="W937" s="94"/>
      <c r="X937" s="94"/>
      <c r="Y937" s="94"/>
      <c r="Z937" s="94"/>
      <c r="AA937" s="94"/>
      <c r="AB937" s="94"/>
      <c r="AC937" s="94"/>
      <c r="AD937" s="94"/>
      <c r="AE937" s="94"/>
      <c r="AF937" s="94"/>
      <c r="AG937" s="94"/>
      <c r="AH937" s="94"/>
      <c r="AI937" s="94"/>
      <c r="AJ937" s="94"/>
      <c r="AK937" s="94"/>
      <c r="AL937" s="94"/>
      <c r="AM937" s="94"/>
      <c r="AN937" s="94"/>
      <c r="AO937" s="94"/>
      <c r="AP937" s="94"/>
      <c r="AQ937" s="94"/>
      <c r="AR937" s="94"/>
      <c r="AS937" s="94"/>
      <c r="AT937" s="94"/>
      <c r="AU937" s="94"/>
      <c r="AV937" s="94"/>
      <c r="AW937" s="94"/>
      <c r="AX937" s="94"/>
      <c r="AY937" s="94"/>
      <c r="BA937" s="95"/>
    </row>
    <row r="938" spans="1:53" s="87" customFormat="1">
      <c r="A938" s="90" t="str">
        <f t="shared" si="39"/>
        <v/>
      </c>
      <c r="B938" s="98"/>
      <c r="C938" s="94"/>
      <c r="D938" s="94"/>
      <c r="E938" s="94"/>
      <c r="F938" s="94"/>
      <c r="G938" s="94"/>
      <c r="H938" s="94"/>
      <c r="I938" s="94"/>
      <c r="J938" s="94"/>
      <c r="K938" s="94"/>
      <c r="L938" s="94"/>
      <c r="M938" s="94"/>
      <c r="N938" s="94"/>
      <c r="O938" s="94"/>
      <c r="P938" s="94"/>
      <c r="Q938" s="94"/>
      <c r="R938" s="94"/>
      <c r="S938" s="94"/>
      <c r="T938" s="94"/>
      <c r="U938" s="94"/>
      <c r="V938" s="94"/>
      <c r="W938" s="94"/>
      <c r="X938" s="94"/>
      <c r="Y938" s="94"/>
      <c r="Z938" s="94"/>
      <c r="AA938" s="94"/>
      <c r="AB938" s="94"/>
      <c r="AC938" s="94"/>
      <c r="AD938" s="94"/>
      <c r="AE938" s="94"/>
      <c r="AF938" s="94"/>
      <c r="AG938" s="94"/>
      <c r="AH938" s="94"/>
      <c r="AI938" s="94"/>
      <c r="AJ938" s="94"/>
      <c r="AK938" s="94"/>
      <c r="AL938" s="94"/>
      <c r="AM938" s="94"/>
      <c r="AN938" s="94"/>
      <c r="AO938" s="94"/>
      <c r="AP938" s="94"/>
      <c r="AQ938" s="94"/>
      <c r="AR938" s="94"/>
      <c r="AS938" s="94"/>
      <c r="AT938" s="94"/>
      <c r="AU938" s="94"/>
      <c r="AV938" s="94"/>
      <c r="AW938" s="94"/>
      <c r="AX938" s="94"/>
      <c r="AY938" s="94"/>
      <c r="BA938" s="95"/>
    </row>
    <row r="939" spans="1:53" s="87" customFormat="1">
      <c r="A939" s="90" t="str">
        <f t="shared" si="39"/>
        <v/>
      </c>
      <c r="B939" s="98"/>
      <c r="C939" s="94"/>
      <c r="D939" s="94"/>
      <c r="E939" s="94"/>
      <c r="F939" s="94"/>
      <c r="G939" s="94"/>
      <c r="H939" s="94"/>
      <c r="I939" s="94"/>
      <c r="J939" s="94"/>
      <c r="K939" s="94"/>
      <c r="L939" s="94"/>
      <c r="M939" s="94"/>
      <c r="N939" s="94"/>
      <c r="O939" s="94"/>
      <c r="P939" s="94"/>
      <c r="Q939" s="94"/>
      <c r="R939" s="94"/>
      <c r="S939" s="94"/>
      <c r="T939" s="94"/>
      <c r="U939" s="94"/>
      <c r="V939" s="94"/>
      <c r="W939" s="94"/>
      <c r="X939" s="94"/>
      <c r="Y939" s="94"/>
      <c r="Z939" s="94"/>
      <c r="AA939" s="94"/>
      <c r="AB939" s="94"/>
      <c r="AC939" s="94"/>
      <c r="AD939" s="94"/>
      <c r="AE939" s="94"/>
      <c r="AF939" s="94"/>
      <c r="AG939" s="94"/>
      <c r="AH939" s="94"/>
      <c r="AI939" s="94"/>
      <c r="AJ939" s="94"/>
      <c r="AK939" s="94"/>
      <c r="AL939" s="94"/>
      <c r="AM939" s="94"/>
      <c r="AN939" s="94"/>
      <c r="AO939" s="94"/>
      <c r="AP939" s="94"/>
      <c r="AQ939" s="94"/>
      <c r="AR939" s="94"/>
      <c r="AS939" s="94"/>
      <c r="AT939" s="94"/>
      <c r="AU939" s="94"/>
      <c r="AV939" s="94"/>
      <c r="AW939" s="94"/>
      <c r="AX939" s="94"/>
      <c r="AY939" s="94"/>
      <c r="BA939" s="95"/>
    </row>
    <row r="940" spans="1:53" s="87" customFormat="1">
      <c r="A940" s="90" t="str">
        <f t="shared" si="39"/>
        <v/>
      </c>
      <c r="B940" s="98"/>
      <c r="C940" s="94"/>
      <c r="D940" s="94"/>
      <c r="E940" s="94"/>
      <c r="F940" s="94"/>
      <c r="G940" s="94"/>
      <c r="H940" s="94"/>
      <c r="I940" s="94"/>
      <c r="J940" s="94"/>
      <c r="K940" s="94"/>
      <c r="L940" s="94"/>
      <c r="M940" s="94"/>
      <c r="N940" s="94"/>
      <c r="O940" s="94"/>
      <c r="P940" s="94"/>
      <c r="Q940" s="94"/>
      <c r="R940" s="94"/>
      <c r="S940" s="94"/>
      <c r="T940" s="94"/>
      <c r="U940" s="94"/>
      <c r="V940" s="94"/>
      <c r="W940" s="94"/>
      <c r="X940" s="94"/>
      <c r="Y940" s="94"/>
      <c r="Z940" s="94"/>
      <c r="AA940" s="94"/>
      <c r="AB940" s="94"/>
      <c r="AC940" s="94"/>
      <c r="AD940" s="94"/>
      <c r="AE940" s="94"/>
      <c r="AF940" s="94"/>
      <c r="AG940" s="94"/>
      <c r="AH940" s="94"/>
      <c r="AI940" s="94"/>
      <c r="AJ940" s="94"/>
      <c r="AK940" s="94"/>
      <c r="AL940" s="94"/>
      <c r="AM940" s="94"/>
      <c r="AN940" s="94"/>
      <c r="AO940" s="94"/>
      <c r="AP940" s="94"/>
      <c r="AQ940" s="94"/>
      <c r="AR940" s="94"/>
      <c r="AS940" s="94"/>
      <c r="AT940" s="94"/>
      <c r="AU940" s="94"/>
      <c r="AV940" s="94"/>
      <c r="AW940" s="94"/>
      <c r="AX940" s="94"/>
      <c r="AY940" s="94"/>
      <c r="BA940" s="95"/>
    </row>
    <row r="941" spans="1:53" s="87" customFormat="1">
      <c r="A941" s="90" t="str">
        <f t="shared" si="39"/>
        <v/>
      </c>
      <c r="B941" s="98"/>
      <c r="C941" s="94"/>
      <c r="D941" s="94"/>
      <c r="E941" s="94"/>
      <c r="F941" s="94"/>
      <c r="G941" s="94"/>
      <c r="H941" s="94"/>
      <c r="I941" s="94"/>
      <c r="J941" s="94"/>
      <c r="K941" s="94"/>
      <c r="L941" s="94"/>
      <c r="M941" s="94"/>
      <c r="N941" s="94"/>
      <c r="O941" s="94"/>
      <c r="P941" s="94"/>
      <c r="Q941" s="94"/>
      <c r="R941" s="94"/>
      <c r="S941" s="94"/>
      <c r="T941" s="94"/>
      <c r="U941" s="94"/>
      <c r="V941" s="94"/>
      <c r="W941" s="94"/>
      <c r="X941" s="94"/>
      <c r="Y941" s="94"/>
      <c r="Z941" s="94"/>
      <c r="AA941" s="94"/>
      <c r="AB941" s="94"/>
      <c r="AC941" s="94"/>
      <c r="AD941" s="94"/>
      <c r="AE941" s="94"/>
      <c r="AF941" s="94"/>
      <c r="AG941" s="94"/>
      <c r="AH941" s="94"/>
      <c r="AI941" s="94"/>
      <c r="AJ941" s="94"/>
      <c r="AK941" s="94"/>
      <c r="AL941" s="94"/>
      <c r="AM941" s="94"/>
      <c r="AN941" s="94"/>
      <c r="AO941" s="94"/>
      <c r="AP941" s="94"/>
      <c r="AQ941" s="94"/>
      <c r="AR941" s="94"/>
      <c r="AS941" s="94"/>
      <c r="AT941" s="94"/>
      <c r="AU941" s="94"/>
      <c r="AV941" s="94"/>
      <c r="AW941" s="94"/>
      <c r="AX941" s="94"/>
      <c r="AY941" s="94"/>
      <c r="BA941" s="95"/>
    </row>
    <row r="942" spans="1:53" s="87" customFormat="1">
      <c r="A942" s="90" t="str">
        <f t="shared" si="39"/>
        <v/>
      </c>
      <c r="B942" s="98"/>
      <c r="C942" s="94"/>
      <c r="D942" s="94"/>
      <c r="E942" s="94"/>
      <c r="F942" s="94"/>
      <c r="G942" s="94"/>
      <c r="H942" s="94"/>
      <c r="I942" s="94"/>
      <c r="J942" s="94"/>
      <c r="K942" s="94"/>
      <c r="L942" s="94"/>
      <c r="M942" s="94"/>
      <c r="N942" s="94"/>
      <c r="O942" s="94"/>
      <c r="P942" s="94"/>
      <c r="Q942" s="94"/>
      <c r="R942" s="94"/>
      <c r="S942" s="94"/>
      <c r="T942" s="94"/>
      <c r="U942" s="94"/>
      <c r="V942" s="94"/>
      <c r="W942" s="94"/>
      <c r="X942" s="94"/>
      <c r="Y942" s="94"/>
      <c r="Z942" s="94"/>
      <c r="AA942" s="94"/>
      <c r="AB942" s="94"/>
      <c r="AC942" s="94"/>
      <c r="AD942" s="94"/>
      <c r="AE942" s="94"/>
      <c r="AF942" s="94"/>
      <c r="AG942" s="94"/>
      <c r="AH942" s="94"/>
      <c r="AI942" s="94"/>
      <c r="AJ942" s="94"/>
      <c r="AK942" s="94"/>
      <c r="AL942" s="94"/>
      <c r="AM942" s="94"/>
      <c r="AN942" s="94"/>
      <c r="AO942" s="94"/>
      <c r="AP942" s="94"/>
      <c r="AQ942" s="94"/>
      <c r="AR942" s="94"/>
      <c r="AS942" s="94"/>
      <c r="AT942" s="94"/>
      <c r="AU942" s="94"/>
      <c r="AV942" s="94"/>
      <c r="AW942" s="94"/>
      <c r="AX942" s="94"/>
      <c r="AY942" s="94"/>
      <c r="BA942" s="95"/>
    </row>
    <row r="943" spans="1:53" s="87" customFormat="1">
      <c r="A943" s="90" t="str">
        <f t="shared" si="39"/>
        <v/>
      </c>
      <c r="B943" s="98"/>
      <c r="C943" s="94"/>
      <c r="D943" s="94"/>
      <c r="E943" s="94"/>
      <c r="F943" s="94"/>
      <c r="G943" s="94"/>
      <c r="H943" s="94"/>
      <c r="I943" s="94"/>
      <c r="J943" s="94"/>
      <c r="K943" s="94"/>
      <c r="L943" s="94"/>
      <c r="M943" s="94"/>
      <c r="N943" s="94"/>
      <c r="O943" s="94"/>
      <c r="P943" s="94"/>
      <c r="Q943" s="94"/>
      <c r="R943" s="94"/>
      <c r="S943" s="94"/>
      <c r="T943" s="94"/>
      <c r="U943" s="94"/>
      <c r="V943" s="94"/>
      <c r="W943" s="94"/>
      <c r="X943" s="94"/>
      <c r="Y943" s="94"/>
      <c r="Z943" s="94"/>
      <c r="AA943" s="94"/>
      <c r="AB943" s="94"/>
      <c r="AC943" s="94"/>
      <c r="AD943" s="94"/>
      <c r="AE943" s="94"/>
      <c r="AF943" s="94"/>
      <c r="AG943" s="94"/>
      <c r="AH943" s="94"/>
      <c r="AI943" s="94"/>
      <c r="AJ943" s="94"/>
      <c r="AK943" s="94"/>
      <c r="AL943" s="94"/>
      <c r="AM943" s="94"/>
      <c r="AN943" s="94"/>
      <c r="AO943" s="94"/>
      <c r="AP943" s="94"/>
      <c r="AQ943" s="94"/>
      <c r="AR943" s="94"/>
      <c r="AS943" s="94"/>
      <c r="AT943" s="94"/>
      <c r="AU943" s="94"/>
      <c r="AV943" s="94"/>
      <c r="AW943" s="94"/>
      <c r="AX943" s="94"/>
      <c r="AY943" s="94"/>
      <c r="BA943" s="95"/>
    </row>
    <row r="944" spans="1:53" s="87" customFormat="1">
      <c r="A944" s="90" t="str">
        <f t="shared" si="39"/>
        <v/>
      </c>
      <c r="B944" s="98"/>
      <c r="C944" s="94"/>
      <c r="D944" s="94"/>
      <c r="E944" s="94"/>
      <c r="F944" s="94"/>
      <c r="G944" s="94"/>
      <c r="H944" s="94"/>
      <c r="I944" s="94"/>
      <c r="J944" s="94"/>
      <c r="K944" s="94"/>
      <c r="L944" s="94"/>
      <c r="M944" s="94"/>
      <c r="N944" s="94"/>
      <c r="O944" s="94"/>
      <c r="P944" s="94"/>
      <c r="Q944" s="94"/>
      <c r="R944" s="94"/>
      <c r="S944" s="94"/>
      <c r="T944" s="94"/>
      <c r="U944" s="94"/>
      <c r="V944" s="94"/>
      <c r="W944" s="94"/>
      <c r="X944" s="94"/>
      <c r="Y944" s="94"/>
      <c r="Z944" s="94"/>
      <c r="AA944" s="94"/>
      <c r="AB944" s="94"/>
      <c r="AC944" s="94"/>
      <c r="AD944" s="94"/>
      <c r="AE944" s="94"/>
      <c r="AF944" s="94"/>
      <c r="AG944" s="94"/>
      <c r="AH944" s="94"/>
      <c r="AI944" s="94"/>
      <c r="AJ944" s="94"/>
      <c r="AK944" s="94"/>
      <c r="AL944" s="94"/>
      <c r="AM944" s="94"/>
      <c r="AN944" s="94"/>
      <c r="AO944" s="94"/>
      <c r="AP944" s="94"/>
      <c r="AQ944" s="94"/>
      <c r="AR944" s="94"/>
      <c r="AS944" s="94"/>
      <c r="AT944" s="94"/>
      <c r="AU944" s="94"/>
      <c r="AV944" s="94"/>
      <c r="AW944" s="94"/>
      <c r="AX944" s="94"/>
      <c r="AY944" s="94"/>
      <c r="BA944" s="95"/>
    </row>
    <row r="945" spans="1:53" s="87" customFormat="1">
      <c r="A945" s="90" t="str">
        <f t="shared" si="39"/>
        <v/>
      </c>
      <c r="B945" s="98"/>
      <c r="C945" s="94"/>
      <c r="D945" s="94"/>
      <c r="E945" s="94"/>
      <c r="F945" s="94"/>
      <c r="G945" s="94"/>
      <c r="H945" s="94"/>
      <c r="I945" s="94"/>
      <c r="J945" s="94"/>
      <c r="K945" s="94"/>
      <c r="L945" s="94"/>
      <c r="M945" s="94"/>
      <c r="N945" s="94"/>
      <c r="O945" s="94"/>
      <c r="P945" s="94"/>
      <c r="Q945" s="94"/>
      <c r="R945" s="94"/>
      <c r="S945" s="94"/>
      <c r="T945" s="94"/>
      <c r="U945" s="94"/>
      <c r="V945" s="94"/>
      <c r="W945" s="94"/>
      <c r="X945" s="94"/>
      <c r="Y945" s="94"/>
      <c r="Z945" s="94"/>
      <c r="AA945" s="94"/>
      <c r="AB945" s="94"/>
      <c r="AC945" s="94"/>
      <c r="AD945" s="94"/>
      <c r="AE945" s="94"/>
      <c r="AF945" s="94"/>
      <c r="AG945" s="94"/>
      <c r="AH945" s="94"/>
      <c r="AI945" s="94"/>
      <c r="AJ945" s="94"/>
      <c r="AK945" s="94"/>
      <c r="AL945" s="94"/>
      <c r="AM945" s="94"/>
      <c r="AN945" s="94"/>
      <c r="AO945" s="94"/>
      <c r="AP945" s="94"/>
      <c r="AQ945" s="94"/>
      <c r="AR945" s="94"/>
      <c r="AS945" s="94"/>
      <c r="AT945" s="94"/>
      <c r="AU945" s="94"/>
      <c r="AV945" s="94"/>
      <c r="AW945" s="94"/>
      <c r="AX945" s="94"/>
      <c r="AY945" s="94"/>
      <c r="BA945" s="95"/>
    </row>
    <row r="946" spans="1:53" s="87" customFormat="1">
      <c r="A946" s="90" t="str">
        <f t="shared" si="39"/>
        <v/>
      </c>
      <c r="B946" s="98"/>
      <c r="C946" s="94"/>
      <c r="D946" s="94"/>
      <c r="E946" s="94"/>
      <c r="F946" s="94"/>
      <c r="G946" s="94"/>
      <c r="H946" s="94"/>
      <c r="I946" s="94"/>
      <c r="J946" s="94"/>
      <c r="K946" s="94"/>
      <c r="L946" s="94"/>
      <c r="M946" s="94"/>
      <c r="N946" s="94"/>
      <c r="O946" s="94"/>
      <c r="P946" s="94"/>
      <c r="Q946" s="94"/>
      <c r="R946" s="94"/>
      <c r="S946" s="94"/>
      <c r="T946" s="94"/>
      <c r="U946" s="94"/>
      <c r="V946" s="94"/>
      <c r="W946" s="94"/>
      <c r="X946" s="94"/>
      <c r="Y946" s="94"/>
      <c r="Z946" s="94"/>
      <c r="AA946" s="94"/>
      <c r="AB946" s="94"/>
      <c r="AC946" s="94"/>
      <c r="AD946" s="94"/>
      <c r="AE946" s="94"/>
      <c r="AF946" s="94"/>
      <c r="AG946" s="94"/>
      <c r="AH946" s="94"/>
      <c r="AI946" s="94"/>
      <c r="AJ946" s="94"/>
      <c r="AK946" s="94"/>
      <c r="AL946" s="94"/>
      <c r="AM946" s="94"/>
      <c r="AN946" s="94"/>
      <c r="AO946" s="94"/>
      <c r="AP946" s="94"/>
      <c r="AQ946" s="94"/>
      <c r="AR946" s="94"/>
      <c r="AS946" s="94"/>
      <c r="AT946" s="94"/>
      <c r="AU946" s="94"/>
      <c r="AV946" s="94"/>
      <c r="AW946" s="94"/>
      <c r="AX946" s="94"/>
      <c r="AY946" s="94"/>
      <c r="BA946" s="95"/>
    </row>
    <row r="947" spans="1:53" s="87" customFormat="1">
      <c r="A947" s="90" t="str">
        <f t="shared" si="39"/>
        <v/>
      </c>
      <c r="B947" s="98"/>
      <c r="C947" s="94"/>
      <c r="D947" s="94"/>
      <c r="E947" s="94"/>
      <c r="F947" s="94"/>
      <c r="G947" s="94"/>
      <c r="H947" s="94"/>
      <c r="I947" s="94"/>
      <c r="J947" s="94"/>
      <c r="K947" s="94"/>
      <c r="L947" s="94"/>
      <c r="M947" s="94"/>
      <c r="N947" s="94"/>
      <c r="O947" s="94"/>
      <c r="P947" s="94"/>
      <c r="Q947" s="94"/>
      <c r="R947" s="94"/>
      <c r="S947" s="94"/>
      <c r="T947" s="94"/>
      <c r="U947" s="94"/>
      <c r="V947" s="94"/>
      <c r="W947" s="94"/>
      <c r="X947" s="94"/>
      <c r="Y947" s="94"/>
      <c r="Z947" s="94"/>
      <c r="AA947" s="94"/>
      <c r="AB947" s="94"/>
      <c r="AC947" s="94"/>
      <c r="AD947" s="94"/>
      <c r="AE947" s="94"/>
      <c r="AF947" s="94"/>
      <c r="AG947" s="94"/>
      <c r="AH947" s="94"/>
      <c r="AI947" s="94"/>
      <c r="AJ947" s="94"/>
      <c r="AK947" s="94"/>
      <c r="AL947" s="94"/>
      <c r="AM947" s="94"/>
      <c r="AN947" s="94"/>
      <c r="AO947" s="94"/>
      <c r="AP947" s="94"/>
      <c r="AQ947" s="94"/>
      <c r="AR947" s="94"/>
      <c r="AS947" s="94"/>
      <c r="AT947" s="94"/>
      <c r="AU947" s="94"/>
      <c r="AV947" s="94"/>
      <c r="AW947" s="94"/>
      <c r="AX947" s="94"/>
      <c r="AY947" s="94"/>
      <c r="BA947" s="95"/>
    </row>
    <row r="948" spans="1:53" s="87" customFormat="1">
      <c r="A948" s="90" t="str">
        <f t="shared" si="39"/>
        <v/>
      </c>
      <c r="B948" s="98"/>
      <c r="C948" s="94"/>
      <c r="D948" s="94"/>
      <c r="E948" s="94"/>
      <c r="F948" s="94"/>
      <c r="G948" s="94"/>
      <c r="H948" s="94"/>
      <c r="I948" s="94"/>
      <c r="J948" s="94"/>
      <c r="K948" s="94"/>
      <c r="L948" s="94"/>
      <c r="M948" s="94"/>
      <c r="N948" s="94"/>
      <c r="O948" s="94"/>
      <c r="P948" s="94"/>
      <c r="Q948" s="94"/>
      <c r="R948" s="94"/>
      <c r="S948" s="94"/>
      <c r="T948" s="94"/>
      <c r="U948" s="94"/>
      <c r="V948" s="94"/>
      <c r="W948" s="94"/>
      <c r="X948" s="94"/>
      <c r="Y948" s="94"/>
      <c r="Z948" s="94"/>
      <c r="AA948" s="94"/>
      <c r="AB948" s="94"/>
      <c r="AC948" s="94"/>
      <c r="AD948" s="94"/>
      <c r="AE948" s="94"/>
      <c r="AF948" s="94"/>
      <c r="AG948" s="94"/>
      <c r="AH948" s="94"/>
      <c r="AI948" s="94"/>
      <c r="AJ948" s="94"/>
      <c r="AK948" s="94"/>
      <c r="AL948" s="94"/>
      <c r="AM948" s="94"/>
      <c r="AN948" s="94"/>
      <c r="AO948" s="94"/>
      <c r="AP948" s="94"/>
      <c r="AQ948" s="94"/>
      <c r="AR948" s="94"/>
      <c r="AS948" s="94"/>
      <c r="AT948" s="94"/>
      <c r="AU948" s="94"/>
      <c r="AV948" s="94"/>
      <c r="AW948" s="94"/>
      <c r="AX948" s="94"/>
      <c r="AY948" s="94"/>
      <c r="BA948" s="95"/>
    </row>
    <row r="949" spans="1:53" s="87" customFormat="1">
      <c r="A949" s="90" t="str">
        <f t="shared" si="39"/>
        <v/>
      </c>
      <c r="B949" s="98"/>
      <c r="C949" s="94"/>
      <c r="D949" s="94"/>
      <c r="E949" s="94"/>
      <c r="F949" s="94"/>
      <c r="G949" s="94"/>
      <c r="H949" s="94"/>
      <c r="I949" s="94"/>
      <c r="J949" s="94"/>
      <c r="K949" s="94"/>
      <c r="L949" s="94"/>
      <c r="M949" s="94"/>
      <c r="N949" s="94"/>
      <c r="O949" s="94"/>
      <c r="P949" s="94"/>
      <c r="Q949" s="94"/>
      <c r="R949" s="94"/>
      <c r="S949" s="94"/>
      <c r="T949" s="94"/>
      <c r="U949" s="94"/>
      <c r="V949" s="94"/>
      <c r="W949" s="94"/>
      <c r="X949" s="94"/>
      <c r="Y949" s="94"/>
      <c r="Z949" s="94"/>
      <c r="AA949" s="94"/>
      <c r="AB949" s="94"/>
      <c r="AC949" s="94"/>
      <c r="AD949" s="94"/>
      <c r="AE949" s="94"/>
      <c r="AF949" s="94"/>
      <c r="AG949" s="94"/>
      <c r="AH949" s="94"/>
      <c r="AI949" s="94"/>
      <c r="AJ949" s="94"/>
      <c r="AK949" s="94"/>
      <c r="AL949" s="94"/>
      <c r="AM949" s="94"/>
      <c r="AN949" s="94"/>
      <c r="AO949" s="94"/>
      <c r="AP949" s="94"/>
      <c r="AQ949" s="94"/>
      <c r="AR949" s="94"/>
      <c r="AS949" s="94"/>
      <c r="AT949" s="94"/>
      <c r="AU949" s="94"/>
      <c r="AV949" s="94"/>
      <c r="AW949" s="94"/>
      <c r="AX949" s="94"/>
      <c r="AY949" s="94"/>
      <c r="BA949" s="95"/>
    </row>
    <row r="950" spans="1:53" s="87" customFormat="1">
      <c r="A950" s="90" t="str">
        <f t="shared" si="39"/>
        <v/>
      </c>
      <c r="B950" s="98"/>
      <c r="C950" s="94"/>
      <c r="D950" s="94"/>
      <c r="E950" s="94"/>
      <c r="F950" s="94"/>
      <c r="G950" s="94"/>
      <c r="H950" s="94"/>
      <c r="I950" s="94"/>
      <c r="J950" s="94"/>
      <c r="K950" s="94"/>
      <c r="L950" s="94"/>
      <c r="M950" s="94"/>
      <c r="N950" s="94"/>
      <c r="O950" s="94"/>
      <c r="P950" s="94"/>
      <c r="Q950" s="94"/>
      <c r="R950" s="94"/>
      <c r="S950" s="94"/>
      <c r="T950" s="94"/>
      <c r="U950" s="94"/>
      <c r="V950" s="94"/>
      <c r="W950" s="94"/>
      <c r="X950" s="94"/>
      <c r="Y950" s="94"/>
      <c r="Z950" s="94"/>
      <c r="AA950" s="94"/>
      <c r="AB950" s="94"/>
      <c r="AC950" s="94"/>
      <c r="AD950" s="94"/>
      <c r="AE950" s="94"/>
      <c r="AF950" s="94"/>
      <c r="AG950" s="94"/>
      <c r="AH950" s="94"/>
      <c r="AI950" s="94"/>
      <c r="AJ950" s="94"/>
      <c r="AK950" s="94"/>
      <c r="AL950" s="94"/>
      <c r="AM950" s="94"/>
      <c r="AN950" s="94"/>
      <c r="AO950" s="94"/>
      <c r="AP950" s="94"/>
      <c r="AQ950" s="94"/>
      <c r="AR950" s="94"/>
      <c r="AS950" s="94"/>
      <c r="AT950" s="94"/>
      <c r="AU950" s="94"/>
      <c r="AV950" s="94"/>
      <c r="AW950" s="94"/>
      <c r="AX950" s="94"/>
      <c r="AY950" s="94"/>
      <c r="BA950" s="95"/>
    </row>
    <row r="951" spans="1:53" s="87" customFormat="1">
      <c r="A951" s="90" t="str">
        <f t="shared" si="39"/>
        <v/>
      </c>
      <c r="B951" s="98"/>
      <c r="C951" s="94"/>
      <c r="D951" s="94"/>
      <c r="E951" s="94"/>
      <c r="F951" s="94"/>
      <c r="G951" s="94"/>
      <c r="H951" s="94"/>
      <c r="I951" s="94"/>
      <c r="J951" s="94"/>
      <c r="K951" s="94"/>
      <c r="L951" s="94"/>
      <c r="M951" s="94"/>
      <c r="N951" s="94"/>
      <c r="O951" s="94"/>
      <c r="P951" s="94"/>
      <c r="Q951" s="94"/>
      <c r="R951" s="94"/>
      <c r="S951" s="94"/>
      <c r="T951" s="94"/>
      <c r="U951" s="94"/>
      <c r="V951" s="94"/>
      <c r="W951" s="94"/>
      <c r="X951" s="94"/>
      <c r="Y951" s="94"/>
      <c r="Z951" s="94"/>
      <c r="AA951" s="94"/>
      <c r="AB951" s="94"/>
      <c r="AC951" s="94"/>
      <c r="AD951" s="94"/>
      <c r="AE951" s="94"/>
      <c r="AF951" s="94"/>
      <c r="AG951" s="94"/>
      <c r="AH951" s="94"/>
      <c r="AI951" s="94"/>
      <c r="AJ951" s="94"/>
      <c r="AK951" s="94"/>
      <c r="AL951" s="94"/>
      <c r="AM951" s="94"/>
      <c r="AN951" s="94"/>
      <c r="AO951" s="94"/>
      <c r="AP951" s="94"/>
      <c r="AQ951" s="94"/>
      <c r="AR951" s="94"/>
      <c r="AS951" s="94"/>
      <c r="AT951" s="94"/>
      <c r="AU951" s="94"/>
      <c r="AV951" s="94"/>
      <c r="AW951" s="94"/>
      <c r="AX951" s="94"/>
      <c r="AY951" s="94"/>
      <c r="BA951" s="95"/>
    </row>
    <row r="952" spans="1:53" s="87" customFormat="1">
      <c r="A952" s="90" t="str">
        <f t="shared" si="39"/>
        <v/>
      </c>
      <c r="B952" s="98"/>
      <c r="C952" s="94"/>
      <c r="D952" s="94"/>
      <c r="E952" s="94"/>
      <c r="F952" s="94"/>
      <c r="G952" s="94"/>
      <c r="H952" s="94"/>
      <c r="I952" s="94"/>
      <c r="J952" s="94"/>
      <c r="K952" s="94"/>
      <c r="L952" s="94"/>
      <c r="M952" s="94"/>
      <c r="N952" s="94"/>
      <c r="O952" s="94"/>
      <c r="P952" s="94"/>
      <c r="Q952" s="94"/>
      <c r="R952" s="94"/>
      <c r="S952" s="94"/>
      <c r="T952" s="94"/>
      <c r="U952" s="94"/>
      <c r="V952" s="94"/>
      <c r="W952" s="94"/>
      <c r="X952" s="94"/>
      <c r="Y952" s="94"/>
      <c r="Z952" s="94"/>
      <c r="AA952" s="94"/>
      <c r="AB952" s="94"/>
      <c r="AC952" s="94"/>
      <c r="AD952" s="94"/>
      <c r="AE952" s="94"/>
      <c r="AF952" s="94"/>
      <c r="AG952" s="94"/>
      <c r="AH952" s="94"/>
      <c r="AI952" s="94"/>
      <c r="AJ952" s="94"/>
      <c r="AK952" s="94"/>
      <c r="AL952" s="94"/>
      <c r="AM952" s="94"/>
      <c r="AN952" s="94"/>
      <c r="AO952" s="94"/>
      <c r="AP952" s="94"/>
      <c r="AQ952" s="94"/>
      <c r="AR952" s="94"/>
      <c r="AS952" s="94"/>
      <c r="AT952" s="94"/>
      <c r="AU952" s="94"/>
      <c r="AV952" s="94"/>
      <c r="AW952" s="94"/>
      <c r="AX952" s="94"/>
      <c r="AY952" s="94"/>
      <c r="BA952" s="95"/>
    </row>
    <row r="953" spans="1:53" s="87" customFormat="1">
      <c r="A953" s="90" t="str">
        <f t="shared" si="39"/>
        <v/>
      </c>
      <c r="B953" s="98"/>
      <c r="C953" s="94"/>
      <c r="D953" s="94"/>
      <c r="E953" s="94"/>
      <c r="F953" s="94"/>
      <c r="G953" s="94"/>
      <c r="H953" s="94"/>
      <c r="I953" s="94"/>
      <c r="J953" s="94"/>
      <c r="K953" s="94"/>
      <c r="L953" s="94"/>
      <c r="M953" s="94"/>
      <c r="N953" s="94"/>
      <c r="O953" s="94"/>
      <c r="P953" s="94"/>
      <c r="Q953" s="94"/>
      <c r="R953" s="94"/>
      <c r="S953" s="94"/>
      <c r="T953" s="94"/>
      <c r="U953" s="94"/>
      <c r="V953" s="94"/>
      <c r="W953" s="94"/>
      <c r="X953" s="94"/>
      <c r="Y953" s="94"/>
      <c r="Z953" s="94"/>
      <c r="AA953" s="94"/>
      <c r="AB953" s="94"/>
      <c r="AC953" s="94"/>
      <c r="AD953" s="94"/>
      <c r="AE953" s="94"/>
      <c r="AF953" s="94"/>
      <c r="AG953" s="94"/>
      <c r="AH953" s="94"/>
      <c r="AI953" s="94"/>
      <c r="AJ953" s="94"/>
      <c r="AK953" s="94"/>
      <c r="AL953" s="94"/>
      <c r="AM953" s="94"/>
      <c r="AN953" s="94"/>
      <c r="AO953" s="94"/>
      <c r="AP953" s="94"/>
      <c r="AQ953" s="94"/>
      <c r="AR953" s="94"/>
      <c r="AS953" s="94"/>
      <c r="AT953" s="94"/>
      <c r="AU953" s="94"/>
      <c r="AV953" s="94"/>
      <c r="AW953" s="94"/>
      <c r="AX953" s="94"/>
      <c r="AY953" s="94"/>
      <c r="BA953" s="95"/>
    </row>
    <row r="954" spans="1:53" s="87" customFormat="1">
      <c r="A954" s="90" t="str">
        <f t="shared" si="39"/>
        <v/>
      </c>
      <c r="B954" s="98"/>
      <c r="C954" s="94"/>
      <c r="D954" s="94"/>
      <c r="E954" s="94"/>
      <c r="F954" s="94"/>
      <c r="G954" s="94"/>
      <c r="H954" s="94"/>
      <c r="I954" s="94"/>
      <c r="J954" s="94"/>
      <c r="K954" s="94"/>
      <c r="L954" s="94"/>
      <c r="M954" s="94"/>
      <c r="N954" s="94"/>
      <c r="O954" s="94"/>
      <c r="P954" s="94"/>
      <c r="Q954" s="94"/>
      <c r="R954" s="94"/>
      <c r="S954" s="94"/>
      <c r="T954" s="94"/>
      <c r="U954" s="94"/>
      <c r="V954" s="94"/>
      <c r="W954" s="94"/>
      <c r="X954" s="94"/>
      <c r="Y954" s="94"/>
      <c r="Z954" s="94"/>
      <c r="AA954" s="94"/>
      <c r="AB954" s="94"/>
      <c r="AC954" s="94"/>
      <c r="AD954" s="94"/>
      <c r="AE954" s="94"/>
      <c r="AF954" s="94"/>
      <c r="AG954" s="94"/>
      <c r="AH954" s="94"/>
      <c r="AI954" s="94"/>
      <c r="AJ954" s="94"/>
      <c r="AK954" s="94"/>
      <c r="AL954" s="94"/>
      <c r="AM954" s="94"/>
      <c r="AN954" s="94"/>
      <c r="AO954" s="94"/>
      <c r="AP954" s="94"/>
      <c r="AQ954" s="94"/>
      <c r="AR954" s="94"/>
      <c r="AS954" s="94"/>
      <c r="AT954" s="94"/>
      <c r="AU954" s="94"/>
      <c r="AV954" s="94"/>
      <c r="AW954" s="94"/>
      <c r="AX954" s="94"/>
      <c r="AY954" s="94"/>
      <c r="BA954" s="95"/>
    </row>
    <row r="955" spans="1:53" s="87" customFormat="1">
      <c r="A955" s="90" t="str">
        <f t="shared" si="39"/>
        <v/>
      </c>
      <c r="B955" s="98"/>
      <c r="C955" s="94"/>
      <c r="D955" s="94"/>
      <c r="E955" s="94"/>
      <c r="F955" s="94"/>
      <c r="G955" s="94"/>
      <c r="H955" s="94"/>
      <c r="I955" s="94"/>
      <c r="J955" s="94"/>
      <c r="K955" s="94"/>
      <c r="L955" s="94"/>
      <c r="M955" s="94"/>
      <c r="N955" s="94"/>
      <c r="O955" s="94"/>
      <c r="P955" s="94"/>
      <c r="Q955" s="94"/>
      <c r="R955" s="94"/>
      <c r="S955" s="94"/>
      <c r="T955" s="94"/>
      <c r="U955" s="94"/>
      <c r="V955" s="94"/>
      <c r="W955" s="94"/>
      <c r="X955" s="94"/>
      <c r="Y955" s="94"/>
      <c r="Z955" s="94"/>
      <c r="AA955" s="94"/>
      <c r="AB955" s="94"/>
      <c r="AC955" s="94"/>
      <c r="AD955" s="94"/>
      <c r="AE955" s="94"/>
      <c r="AF955" s="94"/>
      <c r="AG955" s="94"/>
      <c r="AH955" s="94"/>
      <c r="AI955" s="94"/>
      <c r="AJ955" s="94"/>
      <c r="AK955" s="94"/>
      <c r="AL955" s="94"/>
      <c r="AM955" s="94"/>
      <c r="AN955" s="94"/>
      <c r="AO955" s="94"/>
      <c r="AP955" s="94"/>
      <c r="AQ955" s="94"/>
      <c r="AR955" s="94"/>
      <c r="AS955" s="94"/>
      <c r="AT955" s="94"/>
      <c r="AU955" s="94"/>
      <c r="AV955" s="94"/>
      <c r="AW955" s="94"/>
      <c r="AX955" s="94"/>
      <c r="AY955" s="94"/>
      <c r="BA955" s="95"/>
    </row>
    <row r="956" spans="1:53" s="87" customFormat="1">
      <c r="A956" s="90" t="str">
        <f t="shared" si="39"/>
        <v/>
      </c>
      <c r="B956" s="98"/>
      <c r="C956" s="94"/>
      <c r="D956" s="94"/>
      <c r="E956" s="94"/>
      <c r="F956" s="94"/>
      <c r="G956" s="94"/>
      <c r="H956" s="94"/>
      <c r="I956" s="94"/>
      <c r="J956" s="94"/>
      <c r="K956" s="94"/>
      <c r="L956" s="94"/>
      <c r="M956" s="94"/>
      <c r="N956" s="94"/>
      <c r="O956" s="94"/>
      <c r="P956" s="94"/>
      <c r="Q956" s="94"/>
      <c r="R956" s="94"/>
      <c r="S956" s="94"/>
      <c r="T956" s="94"/>
      <c r="U956" s="94"/>
      <c r="V956" s="94"/>
      <c r="W956" s="94"/>
      <c r="X956" s="94"/>
      <c r="Y956" s="94"/>
      <c r="Z956" s="94"/>
      <c r="AA956" s="94"/>
      <c r="AB956" s="94"/>
      <c r="AC956" s="94"/>
      <c r="AD956" s="94"/>
      <c r="AE956" s="94"/>
      <c r="AF956" s="94"/>
      <c r="AG956" s="94"/>
      <c r="AH956" s="94"/>
      <c r="AI956" s="94"/>
      <c r="AJ956" s="94"/>
      <c r="AK956" s="94"/>
      <c r="AL956" s="94"/>
      <c r="AM956" s="94"/>
      <c r="AN956" s="94"/>
      <c r="AO956" s="94"/>
      <c r="AP956" s="94"/>
      <c r="AQ956" s="94"/>
      <c r="AR956" s="94"/>
      <c r="AS956" s="94"/>
      <c r="AT956" s="94"/>
      <c r="AU956" s="94"/>
      <c r="AV956" s="94"/>
      <c r="AW956" s="94"/>
      <c r="AX956" s="94"/>
      <c r="AY956" s="94"/>
      <c r="BA956" s="95"/>
    </row>
    <row r="957" spans="1:53" s="87" customFormat="1">
      <c r="A957" s="90" t="str">
        <f t="shared" si="39"/>
        <v/>
      </c>
      <c r="B957" s="98"/>
      <c r="C957" s="94"/>
      <c r="D957" s="94"/>
      <c r="E957" s="94"/>
      <c r="F957" s="94"/>
      <c r="G957" s="94"/>
      <c r="H957" s="94"/>
      <c r="I957" s="94"/>
      <c r="J957" s="94"/>
      <c r="K957" s="94"/>
      <c r="L957" s="94"/>
      <c r="M957" s="94"/>
      <c r="N957" s="94"/>
      <c r="O957" s="94"/>
      <c r="P957" s="94"/>
      <c r="Q957" s="94"/>
      <c r="R957" s="94"/>
      <c r="S957" s="94"/>
      <c r="T957" s="94"/>
      <c r="U957" s="94"/>
      <c r="V957" s="94"/>
      <c r="W957" s="94"/>
      <c r="X957" s="94"/>
      <c r="Y957" s="94"/>
      <c r="Z957" s="94"/>
      <c r="AA957" s="94"/>
      <c r="AB957" s="94"/>
      <c r="AC957" s="94"/>
      <c r="AD957" s="94"/>
      <c r="AE957" s="94"/>
      <c r="AF957" s="94"/>
      <c r="AG957" s="94"/>
      <c r="AH957" s="94"/>
      <c r="AI957" s="94"/>
      <c r="AJ957" s="94"/>
      <c r="AK957" s="94"/>
      <c r="AL957" s="94"/>
      <c r="AM957" s="94"/>
      <c r="AN957" s="94"/>
      <c r="AO957" s="94"/>
      <c r="AP957" s="94"/>
      <c r="AQ957" s="94"/>
      <c r="AR957" s="94"/>
      <c r="AS957" s="94"/>
      <c r="AT957" s="94"/>
      <c r="AU957" s="94"/>
      <c r="AV957" s="94"/>
      <c r="AW957" s="94"/>
      <c r="AX957" s="94"/>
      <c r="AY957" s="94"/>
      <c r="BA957" s="95"/>
    </row>
    <row r="958" spans="1:53" s="87" customFormat="1">
      <c r="A958" s="90" t="str">
        <f t="shared" si="39"/>
        <v/>
      </c>
      <c r="B958" s="98"/>
      <c r="C958" s="94"/>
      <c r="D958" s="94"/>
      <c r="E958" s="94"/>
      <c r="F958" s="94"/>
      <c r="G958" s="94"/>
      <c r="H958" s="94"/>
      <c r="I958" s="94"/>
      <c r="J958" s="94"/>
      <c r="K958" s="94"/>
      <c r="L958" s="94"/>
      <c r="M958" s="94"/>
      <c r="N958" s="94"/>
      <c r="O958" s="94"/>
      <c r="P958" s="94"/>
      <c r="Q958" s="94"/>
      <c r="R958" s="94"/>
      <c r="S958" s="94"/>
      <c r="T958" s="94"/>
      <c r="U958" s="94"/>
      <c r="V958" s="94"/>
      <c r="W958" s="94"/>
      <c r="X958" s="94"/>
      <c r="Y958" s="94"/>
      <c r="Z958" s="94"/>
      <c r="AA958" s="94"/>
      <c r="AB958" s="94"/>
      <c r="AC958" s="94"/>
      <c r="AD958" s="94"/>
      <c r="AE958" s="94"/>
      <c r="AF958" s="94"/>
      <c r="AG958" s="94"/>
      <c r="AH958" s="94"/>
      <c r="AI958" s="94"/>
      <c r="AJ958" s="94"/>
      <c r="AK958" s="94"/>
      <c r="AL958" s="94"/>
      <c r="AM958" s="94"/>
      <c r="AN958" s="94"/>
      <c r="AO958" s="94"/>
      <c r="AP958" s="94"/>
      <c r="AQ958" s="94"/>
      <c r="AR958" s="94"/>
      <c r="AS958" s="94"/>
      <c r="AT958" s="94"/>
      <c r="AU958" s="94"/>
      <c r="AV958" s="94"/>
      <c r="AW958" s="94"/>
      <c r="AX958" s="94"/>
      <c r="AY958" s="94"/>
      <c r="BA958" s="95"/>
    </row>
    <row r="959" spans="1:53" s="87" customFormat="1">
      <c r="A959" s="90" t="str">
        <f t="shared" si="39"/>
        <v/>
      </c>
      <c r="B959" s="98"/>
      <c r="C959" s="94"/>
      <c r="D959" s="94"/>
      <c r="E959" s="94"/>
      <c r="F959" s="94"/>
      <c r="G959" s="94"/>
      <c r="H959" s="94"/>
      <c r="I959" s="94"/>
      <c r="J959" s="94"/>
      <c r="K959" s="94"/>
      <c r="L959" s="94"/>
      <c r="M959" s="94"/>
      <c r="N959" s="94"/>
      <c r="O959" s="94"/>
      <c r="P959" s="94"/>
      <c r="Q959" s="94"/>
      <c r="R959" s="94"/>
      <c r="S959" s="94"/>
      <c r="T959" s="94"/>
      <c r="U959" s="94"/>
      <c r="V959" s="94"/>
      <c r="W959" s="94"/>
      <c r="X959" s="94"/>
      <c r="Y959" s="94"/>
      <c r="Z959" s="94"/>
      <c r="AA959" s="94"/>
      <c r="AB959" s="94"/>
      <c r="AC959" s="94"/>
      <c r="AD959" s="94"/>
      <c r="AE959" s="94"/>
      <c r="AF959" s="94"/>
      <c r="AG959" s="94"/>
      <c r="AH959" s="94"/>
      <c r="AI959" s="94"/>
      <c r="AJ959" s="94"/>
      <c r="AK959" s="94"/>
      <c r="AL959" s="94"/>
      <c r="AM959" s="94"/>
      <c r="AN959" s="94"/>
      <c r="AO959" s="94"/>
      <c r="AP959" s="94"/>
      <c r="AQ959" s="94"/>
      <c r="AR959" s="94"/>
      <c r="AS959" s="94"/>
      <c r="AT959" s="94"/>
      <c r="AU959" s="94"/>
      <c r="AV959" s="94"/>
      <c r="AW959" s="94"/>
      <c r="AX959" s="94"/>
      <c r="AY959" s="94"/>
      <c r="BA959" s="95"/>
    </row>
    <row r="960" spans="1:53" s="87" customFormat="1">
      <c r="A960" s="90" t="str">
        <f t="shared" si="39"/>
        <v/>
      </c>
      <c r="B960" s="98"/>
      <c r="C960" s="94"/>
      <c r="D960" s="94"/>
      <c r="E960" s="94"/>
      <c r="F960" s="94"/>
      <c r="G960" s="94"/>
      <c r="H960" s="94"/>
      <c r="I960" s="94"/>
      <c r="J960" s="94"/>
      <c r="K960" s="94"/>
      <c r="L960" s="94"/>
      <c r="M960" s="94"/>
      <c r="N960" s="94"/>
      <c r="O960" s="94"/>
      <c r="P960" s="94"/>
      <c r="Q960" s="94"/>
      <c r="R960" s="94"/>
      <c r="S960" s="94"/>
      <c r="T960" s="94"/>
      <c r="U960" s="94"/>
      <c r="V960" s="94"/>
      <c r="W960" s="94"/>
      <c r="X960" s="94"/>
      <c r="Y960" s="94"/>
      <c r="Z960" s="94"/>
      <c r="AA960" s="94"/>
      <c r="AB960" s="94"/>
      <c r="AC960" s="94"/>
      <c r="AD960" s="94"/>
      <c r="AE960" s="94"/>
      <c r="AF960" s="94"/>
      <c r="AG960" s="94"/>
      <c r="AH960" s="94"/>
      <c r="AI960" s="94"/>
      <c r="AJ960" s="94"/>
      <c r="AK960" s="94"/>
      <c r="AL960" s="94"/>
      <c r="AM960" s="94"/>
      <c r="AN960" s="94"/>
      <c r="AO960" s="94"/>
      <c r="AP960" s="94"/>
      <c r="AQ960" s="94"/>
      <c r="AR960" s="94"/>
      <c r="AS960" s="94"/>
      <c r="AT960" s="94"/>
      <c r="AU960" s="94"/>
      <c r="AV960" s="94"/>
      <c r="AW960" s="94"/>
      <c r="AX960" s="94"/>
      <c r="AY960" s="94"/>
      <c r="BA960" s="95"/>
    </row>
    <row r="961" spans="1:53" s="87" customFormat="1">
      <c r="A961" s="90" t="str">
        <f t="shared" si="39"/>
        <v/>
      </c>
      <c r="B961" s="98"/>
      <c r="C961" s="94"/>
      <c r="D961" s="94"/>
      <c r="E961" s="94"/>
      <c r="F961" s="94"/>
      <c r="G961" s="94"/>
      <c r="H961" s="94"/>
      <c r="I961" s="94"/>
      <c r="J961" s="94"/>
      <c r="K961" s="94"/>
      <c r="L961" s="94"/>
      <c r="M961" s="94"/>
      <c r="N961" s="94"/>
      <c r="O961" s="94"/>
      <c r="P961" s="94"/>
      <c r="Q961" s="94"/>
      <c r="R961" s="94"/>
      <c r="S961" s="94"/>
      <c r="T961" s="94"/>
      <c r="U961" s="94"/>
      <c r="V961" s="94"/>
      <c r="W961" s="94"/>
      <c r="X961" s="94"/>
      <c r="Y961" s="94"/>
      <c r="Z961" s="94"/>
      <c r="AA961" s="94"/>
      <c r="AB961" s="94"/>
      <c r="AC961" s="94"/>
      <c r="AD961" s="94"/>
      <c r="AE961" s="94"/>
      <c r="AF961" s="94"/>
      <c r="AG961" s="94"/>
      <c r="AH961" s="94"/>
      <c r="AI961" s="94"/>
      <c r="AJ961" s="94"/>
      <c r="AK961" s="94"/>
      <c r="AL961" s="94"/>
      <c r="AM961" s="94"/>
      <c r="AN961" s="94"/>
      <c r="AO961" s="94"/>
      <c r="AP961" s="94"/>
      <c r="AQ961" s="94"/>
      <c r="AR961" s="94"/>
      <c r="AS961" s="94"/>
      <c r="AT961" s="94"/>
      <c r="AU961" s="94"/>
      <c r="AV961" s="94"/>
      <c r="AW961" s="94"/>
      <c r="AX961" s="94"/>
      <c r="AY961" s="94"/>
      <c r="BA961" s="95"/>
    </row>
    <row r="962" spans="1:53" s="87" customFormat="1">
      <c r="A962" s="90" t="str">
        <f t="shared" si="39"/>
        <v/>
      </c>
      <c r="B962" s="98"/>
      <c r="C962" s="94"/>
      <c r="D962" s="94"/>
      <c r="E962" s="94"/>
      <c r="F962" s="94"/>
      <c r="G962" s="94"/>
      <c r="H962" s="94"/>
      <c r="I962" s="94"/>
      <c r="J962" s="94"/>
      <c r="K962" s="94"/>
      <c r="L962" s="94"/>
      <c r="M962" s="94"/>
      <c r="N962" s="94"/>
      <c r="O962" s="94"/>
      <c r="P962" s="94"/>
      <c r="Q962" s="94"/>
      <c r="R962" s="94"/>
      <c r="S962" s="94"/>
      <c r="T962" s="94"/>
      <c r="U962" s="94"/>
      <c r="V962" s="94"/>
      <c r="W962" s="94"/>
      <c r="X962" s="94"/>
      <c r="Y962" s="94"/>
      <c r="Z962" s="94"/>
      <c r="AA962" s="94"/>
      <c r="AB962" s="94"/>
      <c r="AC962" s="94"/>
      <c r="AD962" s="94"/>
      <c r="AE962" s="94"/>
      <c r="AF962" s="94"/>
      <c r="AG962" s="94"/>
      <c r="AH962" s="94"/>
      <c r="AI962" s="94"/>
      <c r="AJ962" s="94"/>
      <c r="AK962" s="94"/>
      <c r="AL962" s="94"/>
      <c r="AM962" s="94"/>
      <c r="AN962" s="94"/>
      <c r="AO962" s="94"/>
      <c r="AP962" s="94"/>
      <c r="AQ962" s="94"/>
      <c r="AR962" s="94"/>
      <c r="AS962" s="94"/>
      <c r="AT962" s="94"/>
      <c r="AU962" s="94"/>
      <c r="AV962" s="94"/>
      <c r="AW962" s="94"/>
      <c r="AX962" s="94"/>
      <c r="AY962" s="94"/>
      <c r="BA962" s="95"/>
    </row>
    <row r="963" spans="1:53" s="87" customFormat="1">
      <c r="A963" s="90" t="str">
        <f t="shared" si="39"/>
        <v/>
      </c>
      <c r="B963" s="98"/>
      <c r="C963" s="94"/>
      <c r="D963" s="94"/>
      <c r="E963" s="94"/>
      <c r="F963" s="94"/>
      <c r="G963" s="94"/>
      <c r="H963" s="94"/>
      <c r="I963" s="94"/>
      <c r="J963" s="94"/>
      <c r="K963" s="94"/>
      <c r="L963" s="94"/>
      <c r="M963" s="94"/>
      <c r="N963" s="94"/>
      <c r="O963" s="94"/>
      <c r="P963" s="94"/>
      <c r="Q963" s="94"/>
      <c r="R963" s="94"/>
      <c r="S963" s="94"/>
      <c r="T963" s="94"/>
      <c r="U963" s="94"/>
      <c r="V963" s="94"/>
      <c r="W963" s="94"/>
      <c r="X963" s="94"/>
      <c r="Y963" s="94"/>
      <c r="Z963" s="94"/>
      <c r="AA963" s="94"/>
      <c r="AB963" s="94"/>
      <c r="AC963" s="94"/>
      <c r="AD963" s="94"/>
      <c r="AE963" s="94"/>
      <c r="AF963" s="94"/>
      <c r="AG963" s="94"/>
      <c r="AH963" s="94"/>
      <c r="AI963" s="94"/>
      <c r="AJ963" s="94"/>
      <c r="AK963" s="94"/>
      <c r="AL963" s="94"/>
      <c r="AM963" s="94"/>
      <c r="AN963" s="94"/>
      <c r="AO963" s="94"/>
      <c r="AP963" s="94"/>
      <c r="AQ963" s="94"/>
      <c r="AR963" s="94"/>
      <c r="AS963" s="94"/>
      <c r="AT963" s="94"/>
      <c r="AU963" s="94"/>
      <c r="AV963" s="94"/>
      <c r="AW963" s="94"/>
      <c r="AX963" s="94"/>
      <c r="AY963" s="94"/>
      <c r="BA963" s="95"/>
    </row>
    <row r="964" spans="1:53" s="87" customFormat="1">
      <c r="A964" s="90" t="str">
        <f t="shared" si="39"/>
        <v/>
      </c>
      <c r="B964" s="98"/>
      <c r="C964" s="94"/>
      <c r="D964" s="94"/>
      <c r="E964" s="94"/>
      <c r="F964" s="94"/>
      <c r="G964" s="94"/>
      <c r="H964" s="94"/>
      <c r="I964" s="94"/>
      <c r="J964" s="94"/>
      <c r="K964" s="94"/>
      <c r="L964" s="94"/>
      <c r="M964" s="94"/>
      <c r="N964" s="94"/>
      <c r="O964" s="94"/>
      <c r="P964" s="94"/>
      <c r="Q964" s="94"/>
      <c r="R964" s="94"/>
      <c r="S964" s="94"/>
      <c r="T964" s="94"/>
      <c r="U964" s="94"/>
      <c r="V964" s="94"/>
      <c r="W964" s="94"/>
      <c r="X964" s="94"/>
      <c r="Y964" s="94"/>
      <c r="Z964" s="94"/>
      <c r="AA964" s="94"/>
      <c r="AB964" s="94"/>
      <c r="AC964" s="94"/>
      <c r="AD964" s="94"/>
      <c r="AE964" s="94"/>
      <c r="AF964" s="94"/>
      <c r="AG964" s="94"/>
      <c r="AH964" s="94"/>
      <c r="AI964" s="94"/>
      <c r="AJ964" s="94"/>
      <c r="AK964" s="94"/>
      <c r="AL964" s="94"/>
      <c r="AM964" s="94"/>
      <c r="AN964" s="94"/>
      <c r="AO964" s="94"/>
      <c r="AP964" s="94"/>
      <c r="AQ964" s="94"/>
      <c r="AR964" s="94"/>
      <c r="AS964" s="94"/>
      <c r="AT964" s="94"/>
      <c r="AU964" s="94"/>
      <c r="AV964" s="94"/>
      <c r="AW964" s="94"/>
      <c r="AX964" s="94"/>
      <c r="AY964" s="94"/>
      <c r="BA964" s="95"/>
    </row>
    <row r="965" spans="1:53" s="87" customFormat="1">
      <c r="A965" s="90" t="str">
        <f t="shared" si="39"/>
        <v/>
      </c>
      <c r="B965" s="98"/>
      <c r="C965" s="94"/>
      <c r="D965" s="94"/>
      <c r="E965" s="94"/>
      <c r="F965" s="94"/>
      <c r="G965" s="94"/>
      <c r="H965" s="94"/>
      <c r="I965" s="94"/>
      <c r="J965" s="94"/>
      <c r="K965" s="94"/>
      <c r="L965" s="94"/>
      <c r="M965" s="94"/>
      <c r="N965" s="94"/>
      <c r="O965" s="94"/>
      <c r="P965" s="94"/>
      <c r="Q965" s="94"/>
      <c r="R965" s="94"/>
      <c r="S965" s="94"/>
      <c r="T965" s="94"/>
      <c r="U965" s="94"/>
      <c r="V965" s="94"/>
      <c r="W965" s="94"/>
      <c r="X965" s="94"/>
      <c r="Y965" s="94"/>
      <c r="Z965" s="94"/>
      <c r="AA965" s="94"/>
      <c r="AB965" s="94"/>
      <c r="AC965" s="94"/>
      <c r="AD965" s="94"/>
      <c r="AE965" s="94"/>
      <c r="AF965" s="94"/>
      <c r="AG965" s="94"/>
      <c r="AH965" s="94"/>
      <c r="AI965" s="94"/>
      <c r="AJ965" s="94"/>
      <c r="AK965" s="94"/>
      <c r="AL965" s="94"/>
      <c r="AM965" s="94"/>
      <c r="AN965" s="94"/>
      <c r="AO965" s="94"/>
      <c r="AP965" s="94"/>
      <c r="AQ965" s="94"/>
      <c r="AR965" s="94"/>
      <c r="AS965" s="94"/>
      <c r="AT965" s="94"/>
      <c r="AU965" s="94"/>
      <c r="AV965" s="94"/>
      <c r="AW965" s="94"/>
      <c r="AX965" s="94"/>
      <c r="AY965" s="94"/>
      <c r="BA965" s="95"/>
    </row>
    <row r="966" spans="1:53" s="87" customFormat="1">
      <c r="A966" s="90" t="str">
        <f t="shared" si="39"/>
        <v/>
      </c>
      <c r="B966" s="98"/>
      <c r="C966" s="94"/>
      <c r="D966" s="94"/>
      <c r="E966" s="94"/>
      <c r="F966" s="94"/>
      <c r="G966" s="94"/>
      <c r="H966" s="94"/>
      <c r="I966" s="94"/>
      <c r="J966" s="94"/>
      <c r="K966" s="94"/>
      <c r="L966" s="94"/>
      <c r="M966" s="94"/>
      <c r="N966" s="94"/>
      <c r="O966" s="94"/>
      <c r="P966" s="94"/>
      <c r="Q966" s="94"/>
      <c r="R966" s="94"/>
      <c r="S966" s="94"/>
      <c r="T966" s="94"/>
      <c r="U966" s="94"/>
      <c r="V966" s="94"/>
      <c r="W966" s="94"/>
      <c r="X966" s="94"/>
      <c r="Y966" s="94"/>
      <c r="Z966" s="94"/>
      <c r="AA966" s="94"/>
      <c r="AB966" s="94"/>
      <c r="AC966" s="94"/>
      <c r="AD966" s="94"/>
      <c r="AE966" s="94"/>
      <c r="AF966" s="94"/>
      <c r="AG966" s="94"/>
      <c r="AH966" s="94"/>
      <c r="AI966" s="94"/>
      <c r="AJ966" s="94"/>
      <c r="AK966" s="94"/>
      <c r="AL966" s="94"/>
      <c r="AM966" s="94"/>
      <c r="AN966" s="94"/>
      <c r="AO966" s="94"/>
      <c r="AP966" s="94"/>
      <c r="AQ966" s="94"/>
      <c r="AR966" s="94"/>
      <c r="AS966" s="94"/>
      <c r="AT966" s="94"/>
      <c r="AU966" s="94"/>
      <c r="AV966" s="94"/>
      <c r="AW966" s="94"/>
      <c r="AX966" s="94"/>
      <c r="AY966" s="94"/>
      <c r="BA966" s="95"/>
    </row>
    <row r="967" spans="1:53" s="87" customFormat="1">
      <c r="A967" s="90" t="str">
        <f t="shared" si="39"/>
        <v/>
      </c>
      <c r="B967" s="98"/>
      <c r="C967" s="94"/>
      <c r="D967" s="94"/>
      <c r="E967" s="94"/>
      <c r="F967" s="94"/>
      <c r="G967" s="94"/>
      <c r="H967" s="94"/>
      <c r="I967" s="94"/>
      <c r="J967" s="94"/>
      <c r="K967" s="94"/>
      <c r="L967" s="94"/>
      <c r="M967" s="94"/>
      <c r="N967" s="94"/>
      <c r="O967" s="94"/>
      <c r="P967" s="94"/>
      <c r="Q967" s="94"/>
      <c r="R967" s="94"/>
      <c r="S967" s="94"/>
      <c r="T967" s="94"/>
      <c r="U967" s="94"/>
      <c r="V967" s="94"/>
      <c r="W967" s="94"/>
      <c r="X967" s="94"/>
      <c r="Y967" s="94"/>
      <c r="Z967" s="94"/>
      <c r="AA967" s="94"/>
      <c r="AB967" s="94"/>
      <c r="AC967" s="94"/>
      <c r="AD967" s="94"/>
      <c r="AE967" s="94"/>
      <c r="AF967" s="94"/>
      <c r="AG967" s="94"/>
      <c r="AH967" s="94"/>
      <c r="AI967" s="94"/>
      <c r="AJ967" s="94"/>
      <c r="AK967" s="94"/>
      <c r="AL967" s="94"/>
      <c r="AM967" s="94"/>
      <c r="AN967" s="94"/>
      <c r="AO967" s="94"/>
      <c r="AP967" s="94"/>
      <c r="AQ967" s="94"/>
      <c r="AR967" s="94"/>
      <c r="AS967" s="94"/>
      <c r="AT967" s="94"/>
      <c r="AU967" s="94"/>
      <c r="AV967" s="94"/>
      <c r="AW967" s="94"/>
      <c r="AX967" s="94"/>
      <c r="AY967" s="94"/>
      <c r="BA967" s="95"/>
    </row>
    <row r="968" spans="1:53" s="87" customFormat="1">
      <c r="A968" s="90" t="str">
        <f t="shared" si="39"/>
        <v/>
      </c>
      <c r="B968" s="98"/>
      <c r="C968" s="94"/>
      <c r="D968" s="94"/>
      <c r="E968" s="94"/>
      <c r="F968" s="94"/>
      <c r="G968" s="94"/>
      <c r="H968" s="94"/>
      <c r="I968" s="94"/>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BA968" s="95"/>
    </row>
    <row r="969" spans="1:53" s="87" customFormat="1">
      <c r="A969" s="90" t="str">
        <f t="shared" si="39"/>
        <v/>
      </c>
      <c r="B969" s="98"/>
      <c r="C969" s="94"/>
      <c r="D969" s="94"/>
      <c r="E969" s="94"/>
      <c r="F969" s="94"/>
      <c r="G969" s="94"/>
      <c r="H969" s="94"/>
      <c r="I969" s="94"/>
      <c r="J969" s="94"/>
      <c r="K969" s="94"/>
      <c r="L969" s="94"/>
      <c r="M969" s="94"/>
      <c r="N969" s="94"/>
      <c r="O969" s="94"/>
      <c r="P969" s="94"/>
      <c r="Q969" s="94"/>
      <c r="R969" s="94"/>
      <c r="S969" s="94"/>
      <c r="T969" s="94"/>
      <c r="U969" s="94"/>
      <c r="V969" s="94"/>
      <c r="W969" s="94"/>
      <c r="X969" s="94"/>
      <c r="Y969" s="94"/>
      <c r="Z969" s="94"/>
      <c r="AA969" s="94"/>
      <c r="AB969" s="94"/>
      <c r="AC969" s="94"/>
      <c r="AD969" s="94"/>
      <c r="AE969" s="94"/>
      <c r="AF969" s="94"/>
      <c r="AG969" s="94"/>
      <c r="AH969" s="94"/>
      <c r="AI969" s="94"/>
      <c r="AJ969" s="94"/>
      <c r="AK969" s="94"/>
      <c r="AL969" s="94"/>
      <c r="AM969" s="94"/>
      <c r="AN969" s="94"/>
      <c r="AO969" s="94"/>
      <c r="AP969" s="94"/>
      <c r="AQ969" s="94"/>
      <c r="AR969" s="94"/>
      <c r="AS969" s="94"/>
      <c r="AT969" s="94"/>
      <c r="AU969" s="94"/>
      <c r="AV969" s="94"/>
      <c r="AW969" s="94"/>
      <c r="AX969" s="94"/>
      <c r="AY969" s="94"/>
      <c r="BA969" s="95"/>
    </row>
    <row r="970" spans="1:53" s="87" customFormat="1">
      <c r="A970" s="90" t="str">
        <f t="shared" si="39"/>
        <v/>
      </c>
      <c r="B970" s="98"/>
      <c r="C970" s="94"/>
      <c r="D970" s="94"/>
      <c r="E970" s="94"/>
      <c r="F970" s="94"/>
      <c r="G970" s="94"/>
      <c r="H970" s="94"/>
      <c r="I970" s="94"/>
      <c r="J970" s="94"/>
      <c r="K970" s="94"/>
      <c r="L970" s="94"/>
      <c r="M970" s="94"/>
      <c r="N970" s="94"/>
      <c r="O970" s="94"/>
      <c r="P970" s="94"/>
      <c r="Q970" s="94"/>
      <c r="R970" s="94"/>
      <c r="S970" s="94"/>
      <c r="T970" s="94"/>
      <c r="U970" s="94"/>
      <c r="V970" s="94"/>
      <c r="W970" s="94"/>
      <c r="X970" s="94"/>
      <c r="Y970" s="94"/>
      <c r="Z970" s="94"/>
      <c r="AA970" s="94"/>
      <c r="AB970" s="94"/>
      <c r="AC970" s="94"/>
      <c r="AD970" s="94"/>
      <c r="AE970" s="94"/>
      <c r="AF970" s="94"/>
      <c r="AG970" s="94"/>
      <c r="AH970" s="94"/>
      <c r="AI970" s="94"/>
      <c r="AJ970" s="94"/>
      <c r="AK970" s="94"/>
      <c r="AL970" s="94"/>
      <c r="AM970" s="94"/>
      <c r="AN970" s="94"/>
      <c r="AO970" s="94"/>
      <c r="AP970" s="94"/>
      <c r="AQ970" s="94"/>
      <c r="AR970" s="94"/>
      <c r="AS970" s="94"/>
      <c r="AT970" s="94"/>
      <c r="AU970" s="94"/>
      <c r="AV970" s="94"/>
      <c r="AW970" s="94"/>
      <c r="AX970" s="94"/>
      <c r="AY970" s="94"/>
      <c r="BA970" s="95"/>
    </row>
    <row r="971" spans="1:53" s="87" customFormat="1">
      <c r="A971" s="90" t="str">
        <f t="shared" si="39"/>
        <v/>
      </c>
      <c r="B971" s="98"/>
      <c r="C971" s="94"/>
      <c r="D971" s="94"/>
      <c r="E971" s="94"/>
      <c r="F971" s="94"/>
      <c r="G971" s="94"/>
      <c r="H971" s="94"/>
      <c r="I971" s="94"/>
      <c r="J971" s="94"/>
      <c r="K971" s="94"/>
      <c r="L971" s="94"/>
      <c r="M971" s="94"/>
      <c r="N971" s="94"/>
      <c r="O971" s="94"/>
      <c r="P971" s="94"/>
      <c r="Q971" s="94"/>
      <c r="R971" s="94"/>
      <c r="S971" s="94"/>
      <c r="T971" s="94"/>
      <c r="U971" s="94"/>
      <c r="V971" s="94"/>
      <c r="W971" s="94"/>
      <c r="X971" s="94"/>
      <c r="Y971" s="94"/>
      <c r="Z971" s="94"/>
      <c r="AA971" s="94"/>
      <c r="AB971" s="94"/>
      <c r="AC971" s="94"/>
      <c r="AD971" s="94"/>
      <c r="AE971" s="94"/>
      <c r="AF971" s="94"/>
      <c r="AG971" s="94"/>
      <c r="AH971" s="94"/>
      <c r="AI971" s="94"/>
      <c r="AJ971" s="94"/>
      <c r="AK971" s="94"/>
      <c r="AL971" s="94"/>
      <c r="AM971" s="94"/>
      <c r="AN971" s="94"/>
      <c r="AO971" s="94"/>
      <c r="AP971" s="94"/>
      <c r="AQ971" s="94"/>
      <c r="AR971" s="94"/>
      <c r="AS971" s="94"/>
      <c r="AT971" s="94"/>
      <c r="AU971" s="94"/>
      <c r="AV971" s="94"/>
      <c r="AW971" s="94"/>
      <c r="AX971" s="94"/>
      <c r="AY971" s="94"/>
      <c r="BA971" s="95"/>
    </row>
    <row r="972" spans="1:53" s="87" customFormat="1">
      <c r="A972" s="90" t="str">
        <f t="shared" ref="A972:A1035" si="40">IF(MID(B972,3,2)="07",ROW(),"")</f>
        <v/>
      </c>
      <c r="B972" s="98"/>
      <c r="C972" s="94"/>
      <c r="D972" s="94"/>
      <c r="E972" s="94"/>
      <c r="F972" s="94"/>
      <c r="G972" s="94"/>
      <c r="H972" s="94"/>
      <c r="I972" s="94"/>
      <c r="J972" s="94"/>
      <c r="K972" s="94"/>
      <c r="L972" s="94"/>
      <c r="M972" s="94"/>
      <c r="N972" s="94"/>
      <c r="O972" s="94"/>
      <c r="P972" s="94"/>
      <c r="Q972" s="94"/>
      <c r="R972" s="94"/>
      <c r="S972" s="94"/>
      <c r="T972" s="94"/>
      <c r="U972" s="94"/>
      <c r="V972" s="94"/>
      <c r="W972" s="94"/>
      <c r="X972" s="94"/>
      <c r="Y972" s="94"/>
      <c r="Z972" s="94"/>
      <c r="AA972" s="94"/>
      <c r="AB972" s="94"/>
      <c r="AC972" s="94"/>
      <c r="AD972" s="94"/>
      <c r="AE972" s="94"/>
      <c r="AF972" s="94"/>
      <c r="AG972" s="94"/>
      <c r="AH972" s="94"/>
      <c r="AI972" s="94"/>
      <c r="AJ972" s="94"/>
      <c r="AK972" s="94"/>
      <c r="AL972" s="94"/>
      <c r="AM972" s="94"/>
      <c r="AN972" s="94"/>
      <c r="AO972" s="94"/>
      <c r="AP972" s="94"/>
      <c r="AQ972" s="94"/>
      <c r="AR972" s="94"/>
      <c r="AS972" s="94"/>
      <c r="AT972" s="94"/>
      <c r="AU972" s="94"/>
      <c r="AV972" s="94"/>
      <c r="AW972" s="94"/>
      <c r="AX972" s="94"/>
      <c r="AY972" s="94"/>
      <c r="BA972" s="95"/>
    </row>
    <row r="973" spans="1:53" s="87" customFormat="1">
      <c r="A973" s="90" t="str">
        <f t="shared" si="40"/>
        <v/>
      </c>
      <c r="B973" s="98"/>
      <c r="C973" s="94"/>
      <c r="D973" s="94"/>
      <c r="E973" s="94"/>
      <c r="F973" s="94"/>
      <c r="G973" s="94"/>
      <c r="H973" s="94"/>
      <c r="I973" s="94"/>
      <c r="J973" s="94"/>
      <c r="K973" s="94"/>
      <c r="L973" s="94"/>
      <c r="M973" s="94"/>
      <c r="N973" s="94"/>
      <c r="O973" s="94"/>
      <c r="P973" s="94"/>
      <c r="Q973" s="94"/>
      <c r="R973" s="94"/>
      <c r="S973" s="94"/>
      <c r="T973" s="94"/>
      <c r="U973" s="94"/>
      <c r="V973" s="94"/>
      <c r="W973" s="94"/>
      <c r="X973" s="94"/>
      <c r="Y973" s="94"/>
      <c r="Z973" s="94"/>
      <c r="AA973" s="94"/>
      <c r="AB973" s="94"/>
      <c r="AC973" s="94"/>
      <c r="AD973" s="94"/>
      <c r="AE973" s="94"/>
      <c r="AF973" s="94"/>
      <c r="AG973" s="94"/>
      <c r="AH973" s="94"/>
      <c r="AI973" s="94"/>
      <c r="AJ973" s="94"/>
      <c r="AK973" s="94"/>
      <c r="AL973" s="94"/>
      <c r="AM973" s="94"/>
      <c r="AN973" s="94"/>
      <c r="AO973" s="94"/>
      <c r="AP973" s="94"/>
      <c r="AQ973" s="94"/>
      <c r="AR973" s="94"/>
      <c r="AS973" s="94"/>
      <c r="AT973" s="94"/>
      <c r="AU973" s="94"/>
      <c r="AV973" s="94"/>
      <c r="AW973" s="94"/>
      <c r="AX973" s="94"/>
      <c r="AY973" s="94"/>
      <c r="BA973" s="95"/>
    </row>
    <row r="974" spans="1:53" s="87" customFormat="1">
      <c r="A974" s="90" t="str">
        <f t="shared" si="40"/>
        <v/>
      </c>
      <c r="B974" s="98"/>
      <c r="C974" s="94"/>
      <c r="D974" s="94"/>
      <c r="E974" s="94"/>
      <c r="F974" s="94"/>
      <c r="G974" s="94"/>
      <c r="H974" s="94"/>
      <c r="I974" s="94"/>
      <c r="J974" s="94"/>
      <c r="K974" s="94"/>
      <c r="L974" s="94"/>
      <c r="M974" s="94"/>
      <c r="N974" s="94"/>
      <c r="O974" s="94"/>
      <c r="P974" s="94"/>
      <c r="Q974" s="94"/>
      <c r="R974" s="94"/>
      <c r="S974" s="94"/>
      <c r="T974" s="94"/>
      <c r="U974" s="94"/>
      <c r="V974" s="94"/>
      <c r="W974" s="94"/>
      <c r="X974" s="94"/>
      <c r="Y974" s="94"/>
      <c r="Z974" s="94"/>
      <c r="AA974" s="94"/>
      <c r="AB974" s="94"/>
      <c r="AC974" s="94"/>
      <c r="AD974" s="94"/>
      <c r="AE974" s="94"/>
      <c r="AF974" s="94"/>
      <c r="AG974" s="94"/>
      <c r="AH974" s="94"/>
      <c r="AI974" s="94"/>
      <c r="AJ974" s="94"/>
      <c r="AK974" s="94"/>
      <c r="AL974" s="94"/>
      <c r="AM974" s="94"/>
      <c r="AN974" s="94"/>
      <c r="AO974" s="94"/>
      <c r="AP974" s="94"/>
      <c r="AQ974" s="94"/>
      <c r="AR974" s="94"/>
      <c r="AS974" s="94"/>
      <c r="AT974" s="94"/>
      <c r="AU974" s="94"/>
      <c r="AV974" s="94"/>
      <c r="AW974" s="94"/>
      <c r="AX974" s="94"/>
      <c r="AY974" s="94"/>
      <c r="BA974" s="95"/>
    </row>
    <row r="975" spans="1:53" s="87" customFormat="1">
      <c r="A975" s="90" t="str">
        <f t="shared" si="40"/>
        <v/>
      </c>
      <c r="B975" s="98"/>
      <c r="C975" s="94"/>
      <c r="D975" s="94"/>
      <c r="E975" s="94"/>
      <c r="F975" s="94"/>
      <c r="G975" s="94"/>
      <c r="H975" s="94"/>
      <c r="I975" s="94"/>
      <c r="J975" s="94"/>
      <c r="K975" s="94"/>
      <c r="L975" s="94"/>
      <c r="M975" s="94"/>
      <c r="N975" s="94"/>
      <c r="O975" s="94"/>
      <c r="P975" s="94"/>
      <c r="Q975" s="94"/>
      <c r="R975" s="94"/>
      <c r="S975" s="94"/>
      <c r="T975" s="94"/>
      <c r="U975" s="94"/>
      <c r="V975" s="94"/>
      <c r="W975" s="94"/>
      <c r="X975" s="94"/>
      <c r="Y975" s="94"/>
      <c r="Z975" s="94"/>
      <c r="AA975" s="94"/>
      <c r="AB975" s="94"/>
      <c r="AC975" s="94"/>
      <c r="AD975" s="94"/>
      <c r="AE975" s="94"/>
      <c r="AF975" s="94"/>
      <c r="AG975" s="94"/>
      <c r="AH975" s="94"/>
      <c r="AI975" s="94"/>
      <c r="AJ975" s="94"/>
      <c r="AK975" s="94"/>
      <c r="AL975" s="94"/>
      <c r="AM975" s="94"/>
      <c r="AN975" s="94"/>
      <c r="AO975" s="94"/>
      <c r="AP975" s="94"/>
      <c r="AQ975" s="94"/>
      <c r="AR975" s="94"/>
      <c r="AS975" s="94"/>
      <c r="AT975" s="94"/>
      <c r="AU975" s="94"/>
      <c r="AV975" s="94"/>
      <c r="AW975" s="94"/>
      <c r="AX975" s="94"/>
      <c r="AY975" s="94"/>
      <c r="BA975" s="95"/>
    </row>
    <row r="976" spans="1:53" s="87" customFormat="1">
      <c r="A976" s="90" t="str">
        <f t="shared" si="40"/>
        <v/>
      </c>
      <c r="B976" s="98"/>
      <c r="C976" s="94"/>
      <c r="D976" s="94"/>
      <c r="E976" s="94"/>
      <c r="F976" s="94"/>
      <c r="G976" s="94"/>
      <c r="H976" s="94"/>
      <c r="I976" s="94"/>
      <c r="J976" s="94"/>
      <c r="K976" s="94"/>
      <c r="L976" s="94"/>
      <c r="M976" s="94"/>
      <c r="N976" s="94"/>
      <c r="O976" s="94"/>
      <c r="P976" s="94"/>
      <c r="Q976" s="94"/>
      <c r="R976" s="94"/>
      <c r="S976" s="94"/>
      <c r="T976" s="94"/>
      <c r="U976" s="94"/>
      <c r="V976" s="94"/>
      <c r="W976" s="94"/>
      <c r="X976" s="94"/>
      <c r="Y976" s="94"/>
      <c r="Z976" s="94"/>
      <c r="AA976" s="94"/>
      <c r="AB976" s="94"/>
      <c r="AC976" s="94"/>
      <c r="AD976" s="94"/>
      <c r="AE976" s="94"/>
      <c r="AF976" s="94"/>
      <c r="AG976" s="94"/>
      <c r="AH976" s="94"/>
      <c r="AI976" s="94"/>
      <c r="AJ976" s="94"/>
      <c r="AK976" s="94"/>
      <c r="AL976" s="94"/>
      <c r="AM976" s="94"/>
      <c r="AN976" s="94"/>
      <c r="AO976" s="94"/>
      <c r="AP976" s="94"/>
      <c r="AQ976" s="94"/>
      <c r="AR976" s="94"/>
      <c r="AS976" s="94"/>
      <c r="AT976" s="94"/>
      <c r="AU976" s="94"/>
      <c r="AV976" s="94"/>
      <c r="AW976" s="94"/>
      <c r="AX976" s="94"/>
      <c r="AY976" s="94"/>
      <c r="BA976" s="95"/>
    </row>
    <row r="977" spans="1:53" s="87" customFormat="1">
      <c r="A977" s="90" t="str">
        <f t="shared" si="40"/>
        <v/>
      </c>
      <c r="B977" s="98"/>
      <c r="C977" s="94"/>
      <c r="D977" s="94"/>
      <c r="E977" s="94"/>
      <c r="F977" s="94"/>
      <c r="G977" s="94"/>
      <c r="H977" s="94"/>
      <c r="I977" s="94"/>
      <c r="J977" s="94"/>
      <c r="K977" s="94"/>
      <c r="L977" s="94"/>
      <c r="M977" s="94"/>
      <c r="N977" s="94"/>
      <c r="O977" s="94"/>
      <c r="P977" s="94"/>
      <c r="Q977" s="94"/>
      <c r="R977" s="94"/>
      <c r="S977" s="94"/>
      <c r="T977" s="94"/>
      <c r="U977" s="94"/>
      <c r="V977" s="94"/>
      <c r="W977" s="94"/>
      <c r="X977" s="94"/>
      <c r="Y977" s="94"/>
      <c r="Z977" s="94"/>
      <c r="AA977" s="94"/>
      <c r="AB977" s="94"/>
      <c r="AC977" s="94"/>
      <c r="AD977" s="94"/>
      <c r="AE977" s="94"/>
      <c r="AF977" s="94"/>
      <c r="AG977" s="94"/>
      <c r="AH977" s="94"/>
      <c r="AI977" s="94"/>
      <c r="AJ977" s="94"/>
      <c r="AK977" s="94"/>
      <c r="AL977" s="94"/>
      <c r="AM977" s="94"/>
      <c r="AN977" s="94"/>
      <c r="AO977" s="94"/>
      <c r="AP977" s="94"/>
      <c r="AQ977" s="94"/>
      <c r="AR977" s="94"/>
      <c r="AS977" s="94"/>
      <c r="AT977" s="94"/>
      <c r="AU977" s="94"/>
      <c r="AV977" s="94"/>
      <c r="AW977" s="94"/>
      <c r="AX977" s="94"/>
      <c r="AY977" s="94"/>
      <c r="BA977" s="95"/>
    </row>
    <row r="978" spans="1:53" s="87" customFormat="1">
      <c r="A978" s="90" t="str">
        <f t="shared" si="40"/>
        <v/>
      </c>
      <c r="B978" s="98"/>
      <c r="C978" s="94"/>
      <c r="D978" s="94"/>
      <c r="E978" s="94"/>
      <c r="F978" s="94"/>
      <c r="G978" s="94"/>
      <c r="H978" s="94"/>
      <c r="I978" s="94"/>
      <c r="J978" s="94"/>
      <c r="K978" s="94"/>
      <c r="L978" s="94"/>
      <c r="M978" s="94"/>
      <c r="N978" s="94"/>
      <c r="O978" s="94"/>
      <c r="P978" s="94"/>
      <c r="Q978" s="94"/>
      <c r="R978" s="94"/>
      <c r="S978" s="94"/>
      <c r="T978" s="94"/>
      <c r="U978" s="94"/>
      <c r="V978" s="94"/>
      <c r="W978" s="94"/>
      <c r="X978" s="94"/>
      <c r="Y978" s="94"/>
      <c r="Z978" s="94"/>
      <c r="AA978" s="94"/>
      <c r="AB978" s="94"/>
      <c r="AC978" s="94"/>
      <c r="AD978" s="94"/>
      <c r="AE978" s="94"/>
      <c r="AF978" s="94"/>
      <c r="AG978" s="94"/>
      <c r="AH978" s="94"/>
      <c r="AI978" s="94"/>
      <c r="AJ978" s="94"/>
      <c r="AK978" s="94"/>
      <c r="AL978" s="94"/>
      <c r="AM978" s="94"/>
      <c r="AN978" s="94"/>
      <c r="AO978" s="94"/>
      <c r="AP978" s="94"/>
      <c r="AQ978" s="94"/>
      <c r="AR978" s="94"/>
      <c r="AS978" s="94"/>
      <c r="AT978" s="94"/>
      <c r="AU978" s="94"/>
      <c r="AV978" s="94"/>
      <c r="AW978" s="94"/>
      <c r="AX978" s="94"/>
      <c r="AY978" s="94"/>
      <c r="BA978" s="95"/>
    </row>
    <row r="979" spans="1:53" s="87" customFormat="1">
      <c r="A979" s="90" t="str">
        <f t="shared" si="40"/>
        <v/>
      </c>
      <c r="B979" s="98"/>
      <c r="C979" s="94"/>
      <c r="D979" s="94"/>
      <c r="E979" s="94"/>
      <c r="F979" s="94"/>
      <c r="G979" s="94"/>
      <c r="H979" s="94"/>
      <c r="I979" s="94"/>
      <c r="J979" s="94"/>
      <c r="K979" s="94"/>
      <c r="L979" s="94"/>
      <c r="M979" s="94"/>
      <c r="N979" s="94"/>
      <c r="O979" s="94"/>
      <c r="P979" s="94"/>
      <c r="Q979" s="94"/>
      <c r="R979" s="94"/>
      <c r="S979" s="94"/>
      <c r="T979" s="94"/>
      <c r="U979" s="94"/>
      <c r="V979" s="94"/>
      <c r="W979" s="94"/>
      <c r="X979" s="94"/>
      <c r="Y979" s="94"/>
      <c r="Z979" s="94"/>
      <c r="AA979" s="94"/>
      <c r="AB979" s="94"/>
      <c r="AC979" s="94"/>
      <c r="AD979" s="94"/>
      <c r="AE979" s="94"/>
      <c r="AF979" s="94"/>
      <c r="AG979" s="94"/>
      <c r="AH979" s="94"/>
      <c r="AI979" s="94"/>
      <c r="AJ979" s="94"/>
      <c r="AK979" s="94"/>
      <c r="AL979" s="94"/>
      <c r="AM979" s="94"/>
      <c r="AN979" s="94"/>
      <c r="AO979" s="94"/>
      <c r="AP979" s="94"/>
      <c r="AQ979" s="94"/>
      <c r="AR979" s="94"/>
      <c r="AS979" s="94"/>
      <c r="AT979" s="94"/>
      <c r="AU979" s="94"/>
      <c r="AV979" s="94"/>
      <c r="AW979" s="94"/>
      <c r="AX979" s="94"/>
      <c r="AY979" s="94"/>
      <c r="BA979" s="95"/>
    </row>
    <row r="980" spans="1:53" s="87" customFormat="1">
      <c r="A980" s="90" t="str">
        <f t="shared" si="40"/>
        <v/>
      </c>
      <c r="B980" s="98"/>
      <c r="C980" s="94"/>
      <c r="D980" s="94"/>
      <c r="E980" s="94"/>
      <c r="F980" s="94"/>
      <c r="G980" s="94"/>
      <c r="H980" s="94"/>
      <c r="I980" s="94"/>
      <c r="J980" s="94"/>
      <c r="K980" s="94"/>
      <c r="L980" s="94"/>
      <c r="M980" s="94"/>
      <c r="N980" s="94"/>
      <c r="O980" s="94"/>
      <c r="P980" s="94"/>
      <c r="Q980" s="94"/>
      <c r="R980" s="94"/>
      <c r="S980" s="94"/>
      <c r="T980" s="94"/>
      <c r="U980" s="94"/>
      <c r="V980" s="94"/>
      <c r="W980" s="94"/>
      <c r="X980" s="94"/>
      <c r="Y980" s="94"/>
      <c r="Z980" s="94"/>
      <c r="AA980" s="94"/>
      <c r="AB980" s="94"/>
      <c r="AC980" s="94"/>
      <c r="AD980" s="94"/>
      <c r="AE980" s="94"/>
      <c r="AF980" s="94"/>
      <c r="AG980" s="94"/>
      <c r="AH980" s="94"/>
      <c r="AI980" s="94"/>
      <c r="AJ980" s="94"/>
      <c r="AK980" s="94"/>
      <c r="AL980" s="94"/>
      <c r="AM980" s="94"/>
      <c r="AN980" s="94"/>
      <c r="AO980" s="94"/>
      <c r="AP980" s="94"/>
      <c r="AQ980" s="94"/>
      <c r="AR980" s="94"/>
      <c r="AS980" s="94"/>
      <c r="AT980" s="94"/>
      <c r="AU980" s="94"/>
      <c r="AV980" s="94"/>
      <c r="AW980" s="94"/>
      <c r="AX980" s="94"/>
      <c r="AY980" s="94"/>
      <c r="BA980" s="95"/>
    </row>
    <row r="981" spans="1:53" s="87" customFormat="1">
      <c r="A981" s="90" t="str">
        <f t="shared" si="40"/>
        <v/>
      </c>
      <c r="B981" s="98"/>
      <c r="C981" s="94"/>
      <c r="D981" s="94"/>
      <c r="E981" s="94"/>
      <c r="F981" s="94"/>
      <c r="G981" s="94"/>
      <c r="H981" s="94"/>
      <c r="I981" s="94"/>
      <c r="J981" s="94"/>
      <c r="K981" s="94"/>
      <c r="L981" s="94"/>
      <c r="M981" s="94"/>
      <c r="N981" s="94"/>
      <c r="O981" s="94"/>
      <c r="P981" s="94"/>
      <c r="Q981" s="94"/>
      <c r="R981" s="94"/>
      <c r="S981" s="94"/>
      <c r="T981" s="94"/>
      <c r="U981" s="94"/>
      <c r="V981" s="94"/>
      <c r="W981" s="94"/>
      <c r="X981" s="94"/>
      <c r="Y981" s="94"/>
      <c r="Z981" s="94"/>
      <c r="AA981" s="94"/>
      <c r="AB981" s="94"/>
      <c r="AC981" s="94"/>
      <c r="AD981" s="94"/>
      <c r="AE981" s="94"/>
      <c r="AF981" s="94"/>
      <c r="AG981" s="94"/>
      <c r="AH981" s="94"/>
      <c r="AI981" s="94"/>
      <c r="AJ981" s="94"/>
      <c r="AK981" s="94"/>
      <c r="AL981" s="94"/>
      <c r="AM981" s="94"/>
      <c r="AN981" s="94"/>
      <c r="AO981" s="94"/>
      <c r="AP981" s="94"/>
      <c r="AQ981" s="94"/>
      <c r="AR981" s="94"/>
      <c r="AS981" s="94"/>
      <c r="AT981" s="94"/>
      <c r="AU981" s="94"/>
      <c r="AV981" s="94"/>
      <c r="AW981" s="94"/>
      <c r="AX981" s="94"/>
      <c r="AY981" s="94"/>
      <c r="BA981" s="95"/>
    </row>
    <row r="982" spans="1:53" s="87" customFormat="1">
      <c r="A982" s="90" t="str">
        <f t="shared" si="40"/>
        <v/>
      </c>
      <c r="B982" s="98"/>
      <c r="C982" s="94"/>
      <c r="D982" s="94"/>
      <c r="E982" s="94"/>
      <c r="F982" s="94"/>
      <c r="G982" s="94"/>
      <c r="H982" s="94"/>
      <c r="I982" s="94"/>
      <c r="J982" s="94"/>
      <c r="K982" s="94"/>
      <c r="L982" s="94"/>
      <c r="M982" s="94"/>
      <c r="N982" s="94"/>
      <c r="O982" s="94"/>
      <c r="P982" s="94"/>
      <c r="Q982" s="94"/>
      <c r="R982" s="94"/>
      <c r="S982" s="94"/>
      <c r="T982" s="94"/>
      <c r="U982" s="94"/>
      <c r="V982" s="94"/>
      <c r="W982" s="94"/>
      <c r="X982" s="94"/>
      <c r="Y982" s="94"/>
      <c r="Z982" s="94"/>
      <c r="AA982" s="94"/>
      <c r="AB982" s="94"/>
      <c r="AC982" s="94"/>
      <c r="AD982" s="94"/>
      <c r="AE982" s="94"/>
      <c r="AF982" s="94"/>
      <c r="AG982" s="94"/>
      <c r="AH982" s="94"/>
      <c r="AI982" s="94"/>
      <c r="AJ982" s="94"/>
      <c r="AK982" s="94"/>
      <c r="AL982" s="94"/>
      <c r="AM982" s="94"/>
      <c r="AN982" s="94"/>
      <c r="AO982" s="94"/>
      <c r="AP982" s="94"/>
      <c r="AQ982" s="94"/>
      <c r="AR982" s="94"/>
      <c r="AS982" s="94"/>
      <c r="AT982" s="94"/>
      <c r="AU982" s="94"/>
      <c r="AV982" s="94"/>
      <c r="AW982" s="94"/>
      <c r="AX982" s="94"/>
      <c r="AY982" s="94"/>
      <c r="BA982" s="95"/>
    </row>
    <row r="983" spans="1:53" s="87" customFormat="1">
      <c r="A983" s="90" t="str">
        <f t="shared" si="40"/>
        <v/>
      </c>
      <c r="B983" s="98"/>
      <c r="C983" s="94"/>
      <c r="D983" s="94"/>
      <c r="E983" s="94"/>
      <c r="F983" s="94"/>
      <c r="G983" s="94"/>
      <c r="H983" s="94"/>
      <c r="I983" s="94"/>
      <c r="J983" s="94"/>
      <c r="K983" s="94"/>
      <c r="L983" s="94"/>
      <c r="M983" s="94"/>
      <c r="N983" s="94"/>
      <c r="O983" s="94"/>
      <c r="P983" s="94"/>
      <c r="Q983" s="94"/>
      <c r="R983" s="94"/>
      <c r="S983" s="94"/>
      <c r="T983" s="94"/>
      <c r="U983" s="94"/>
      <c r="V983" s="94"/>
      <c r="W983" s="94"/>
      <c r="X983" s="94"/>
      <c r="Y983" s="94"/>
      <c r="Z983" s="94"/>
      <c r="AA983" s="94"/>
      <c r="AB983" s="94"/>
      <c r="AC983" s="94"/>
      <c r="AD983" s="94"/>
      <c r="AE983" s="94"/>
      <c r="AF983" s="94"/>
      <c r="AG983" s="94"/>
      <c r="AH983" s="94"/>
      <c r="AI983" s="94"/>
      <c r="AJ983" s="94"/>
      <c r="AK983" s="94"/>
      <c r="AL983" s="94"/>
      <c r="AM983" s="94"/>
      <c r="AN983" s="94"/>
      <c r="AO983" s="94"/>
      <c r="AP983" s="94"/>
      <c r="AQ983" s="94"/>
      <c r="AR983" s="94"/>
      <c r="AS983" s="94"/>
      <c r="AT983" s="94"/>
      <c r="AU983" s="94"/>
      <c r="AV983" s="94"/>
      <c r="AW983" s="94"/>
      <c r="AX983" s="94"/>
      <c r="AY983" s="94"/>
      <c r="BA983" s="95"/>
    </row>
    <row r="984" spans="1:53" s="87" customFormat="1">
      <c r="A984" s="90" t="str">
        <f t="shared" si="40"/>
        <v/>
      </c>
      <c r="B984" s="98"/>
      <c r="C984" s="94"/>
      <c r="D984" s="94"/>
      <c r="E984" s="94"/>
      <c r="F984" s="94"/>
      <c r="G984" s="94"/>
      <c r="H984" s="94"/>
      <c r="I984" s="94"/>
      <c r="J984" s="94"/>
      <c r="K984" s="94"/>
      <c r="L984" s="94"/>
      <c r="M984" s="94"/>
      <c r="N984" s="94"/>
      <c r="O984" s="94"/>
      <c r="P984" s="94"/>
      <c r="Q984" s="94"/>
      <c r="R984" s="94"/>
      <c r="S984" s="94"/>
      <c r="T984" s="94"/>
      <c r="U984" s="94"/>
      <c r="V984" s="94"/>
      <c r="W984" s="94"/>
      <c r="X984" s="94"/>
      <c r="Y984" s="94"/>
      <c r="Z984" s="94"/>
      <c r="AA984" s="94"/>
      <c r="AB984" s="94"/>
      <c r="AC984" s="94"/>
      <c r="AD984" s="94"/>
      <c r="AE984" s="94"/>
      <c r="AF984" s="94"/>
      <c r="AG984" s="94"/>
      <c r="AH984" s="94"/>
      <c r="AI984" s="94"/>
      <c r="AJ984" s="94"/>
      <c r="AK984" s="94"/>
      <c r="AL984" s="94"/>
      <c r="AM984" s="94"/>
      <c r="AN984" s="94"/>
      <c r="AO984" s="94"/>
      <c r="AP984" s="94"/>
      <c r="AQ984" s="94"/>
      <c r="AR984" s="94"/>
      <c r="AS984" s="94"/>
      <c r="AT984" s="94"/>
      <c r="AU984" s="94"/>
      <c r="AV984" s="94"/>
      <c r="AW984" s="94"/>
      <c r="AX984" s="94"/>
      <c r="AY984" s="94"/>
      <c r="BA984" s="95"/>
    </row>
    <row r="985" spans="1:53" s="87" customFormat="1">
      <c r="A985" s="90" t="str">
        <f t="shared" si="40"/>
        <v/>
      </c>
      <c r="B985" s="98"/>
      <c r="C985" s="94"/>
      <c r="D985" s="94"/>
      <c r="E985" s="94"/>
      <c r="F985" s="94"/>
      <c r="G985" s="94"/>
      <c r="H985" s="94"/>
      <c r="I985" s="94"/>
      <c r="J985" s="94"/>
      <c r="K985" s="94"/>
      <c r="L985" s="94"/>
      <c r="M985" s="94"/>
      <c r="N985" s="94"/>
      <c r="O985" s="94"/>
      <c r="P985" s="94"/>
      <c r="Q985" s="94"/>
      <c r="R985" s="94"/>
      <c r="S985" s="94"/>
      <c r="T985" s="94"/>
      <c r="U985" s="94"/>
      <c r="V985" s="94"/>
      <c r="W985" s="94"/>
      <c r="X985" s="94"/>
      <c r="Y985" s="94"/>
      <c r="Z985" s="94"/>
      <c r="AA985" s="94"/>
      <c r="AB985" s="94"/>
      <c r="AC985" s="94"/>
      <c r="AD985" s="94"/>
      <c r="AE985" s="94"/>
      <c r="AF985" s="94"/>
      <c r="AG985" s="94"/>
      <c r="AH985" s="94"/>
      <c r="AI985" s="94"/>
      <c r="AJ985" s="94"/>
      <c r="AK985" s="94"/>
      <c r="AL985" s="94"/>
      <c r="AM985" s="94"/>
      <c r="AN985" s="94"/>
      <c r="AO985" s="94"/>
      <c r="AP985" s="94"/>
      <c r="AQ985" s="94"/>
      <c r="AR985" s="94"/>
      <c r="AS985" s="94"/>
      <c r="AT985" s="94"/>
      <c r="AU985" s="94"/>
      <c r="AV985" s="94"/>
      <c r="AW985" s="94"/>
      <c r="AX985" s="94"/>
      <c r="AY985" s="94"/>
      <c r="BA985" s="95"/>
    </row>
    <row r="986" spans="1:53" s="87" customFormat="1">
      <c r="A986" s="90" t="str">
        <f t="shared" si="40"/>
        <v/>
      </c>
      <c r="B986" s="98"/>
      <c r="C986" s="94"/>
      <c r="D986" s="94"/>
      <c r="E986" s="94"/>
      <c r="F986" s="94"/>
      <c r="G986" s="94"/>
      <c r="H986" s="94"/>
      <c r="I986" s="94"/>
      <c r="J986" s="94"/>
      <c r="K986" s="94"/>
      <c r="L986" s="94"/>
      <c r="M986" s="94"/>
      <c r="N986" s="94"/>
      <c r="O986" s="94"/>
      <c r="P986" s="94"/>
      <c r="Q986" s="94"/>
      <c r="R986" s="94"/>
      <c r="S986" s="94"/>
      <c r="T986" s="94"/>
      <c r="U986" s="94"/>
      <c r="V986" s="94"/>
      <c r="W986" s="94"/>
      <c r="X986" s="94"/>
      <c r="Y986" s="94"/>
      <c r="Z986" s="94"/>
      <c r="AA986" s="94"/>
      <c r="AB986" s="94"/>
      <c r="AC986" s="94"/>
      <c r="AD986" s="94"/>
      <c r="AE986" s="94"/>
      <c r="AF986" s="94"/>
      <c r="AG986" s="94"/>
      <c r="AH986" s="94"/>
      <c r="AI986" s="94"/>
      <c r="AJ986" s="94"/>
      <c r="AK986" s="94"/>
      <c r="AL986" s="94"/>
      <c r="AM986" s="94"/>
      <c r="AN986" s="94"/>
      <c r="AO986" s="94"/>
      <c r="AP986" s="94"/>
      <c r="AQ986" s="94"/>
      <c r="AR986" s="94"/>
      <c r="AS986" s="94"/>
      <c r="AT986" s="94"/>
      <c r="AU986" s="94"/>
      <c r="AV986" s="94"/>
      <c r="AW986" s="94"/>
      <c r="AX986" s="94"/>
      <c r="AY986" s="94"/>
      <c r="BA986" s="95"/>
    </row>
    <row r="987" spans="1:53" s="87" customFormat="1">
      <c r="A987" s="90" t="str">
        <f t="shared" si="40"/>
        <v/>
      </c>
      <c r="B987" s="98"/>
      <c r="C987" s="94"/>
      <c r="D987" s="94"/>
      <c r="E987" s="94"/>
      <c r="F987" s="94"/>
      <c r="G987" s="94"/>
      <c r="H987" s="94"/>
      <c r="I987" s="94"/>
      <c r="J987" s="94"/>
      <c r="K987" s="94"/>
      <c r="L987" s="94"/>
      <c r="M987" s="94"/>
      <c r="N987" s="94"/>
      <c r="O987" s="94"/>
      <c r="P987" s="94"/>
      <c r="Q987" s="94"/>
      <c r="R987" s="94"/>
      <c r="S987" s="94"/>
      <c r="T987" s="94"/>
      <c r="U987" s="94"/>
      <c r="V987" s="94"/>
      <c r="W987" s="94"/>
      <c r="X987" s="94"/>
      <c r="Y987" s="94"/>
      <c r="Z987" s="94"/>
      <c r="AA987" s="94"/>
      <c r="AB987" s="94"/>
      <c r="AC987" s="94"/>
      <c r="AD987" s="94"/>
      <c r="AE987" s="94"/>
      <c r="AF987" s="94"/>
      <c r="AG987" s="94"/>
      <c r="AH987" s="94"/>
      <c r="AI987" s="94"/>
      <c r="AJ987" s="94"/>
      <c r="AK987" s="94"/>
      <c r="AL987" s="94"/>
      <c r="AM987" s="94"/>
      <c r="AN987" s="94"/>
      <c r="AO987" s="94"/>
      <c r="AP987" s="94"/>
      <c r="AQ987" s="94"/>
      <c r="AR987" s="94"/>
      <c r="AS987" s="94"/>
      <c r="AT987" s="94"/>
      <c r="AU987" s="94"/>
      <c r="AV987" s="94"/>
      <c r="AW987" s="94"/>
      <c r="AX987" s="94"/>
      <c r="AY987" s="94"/>
      <c r="BA987" s="95"/>
    </row>
    <row r="988" spans="1:53" s="87" customFormat="1">
      <c r="A988" s="90" t="str">
        <f t="shared" si="40"/>
        <v/>
      </c>
      <c r="B988" s="98"/>
      <c r="C988" s="94"/>
      <c r="D988" s="94"/>
      <c r="E988" s="94"/>
      <c r="F988" s="94"/>
      <c r="G988" s="94"/>
      <c r="H988" s="94"/>
      <c r="I988" s="94"/>
      <c r="J988" s="94"/>
      <c r="K988" s="94"/>
      <c r="L988" s="94"/>
      <c r="M988" s="94"/>
      <c r="N988" s="94"/>
      <c r="O988" s="94"/>
      <c r="P988" s="94"/>
      <c r="Q988" s="94"/>
      <c r="R988" s="94"/>
      <c r="S988" s="94"/>
      <c r="T988" s="94"/>
      <c r="U988" s="94"/>
      <c r="V988" s="94"/>
      <c r="W988" s="94"/>
      <c r="X988" s="94"/>
      <c r="Y988" s="94"/>
      <c r="Z988" s="94"/>
      <c r="AA988" s="94"/>
      <c r="AB988" s="94"/>
      <c r="AC988" s="94"/>
      <c r="AD988" s="94"/>
      <c r="AE988" s="94"/>
      <c r="AF988" s="94"/>
      <c r="AG988" s="94"/>
      <c r="AH988" s="94"/>
      <c r="AI988" s="94"/>
      <c r="AJ988" s="94"/>
      <c r="AK988" s="94"/>
      <c r="AL988" s="94"/>
      <c r="AM988" s="94"/>
      <c r="AN988" s="94"/>
      <c r="AO988" s="94"/>
      <c r="AP988" s="94"/>
      <c r="AQ988" s="94"/>
      <c r="AR988" s="94"/>
      <c r="AS988" s="94"/>
      <c r="AT988" s="94"/>
      <c r="AU988" s="94"/>
      <c r="AV988" s="94"/>
      <c r="AW988" s="94"/>
      <c r="AX988" s="94"/>
      <c r="AY988" s="94"/>
      <c r="BA988" s="95"/>
    </row>
    <row r="989" spans="1:53" s="87" customFormat="1">
      <c r="A989" s="90" t="str">
        <f t="shared" si="40"/>
        <v/>
      </c>
      <c r="B989" s="98"/>
      <c r="C989" s="94"/>
      <c r="D989" s="94"/>
      <c r="E989" s="94"/>
      <c r="F989" s="94"/>
      <c r="G989" s="94"/>
      <c r="H989" s="94"/>
      <c r="I989" s="94"/>
      <c r="J989" s="94"/>
      <c r="K989" s="94"/>
      <c r="L989" s="94"/>
      <c r="M989" s="94"/>
      <c r="N989" s="94"/>
      <c r="O989" s="94"/>
      <c r="P989" s="94"/>
      <c r="Q989" s="94"/>
      <c r="R989" s="94"/>
      <c r="S989" s="94"/>
      <c r="T989" s="94"/>
      <c r="U989" s="94"/>
      <c r="V989" s="94"/>
      <c r="W989" s="94"/>
      <c r="X989" s="94"/>
      <c r="Y989" s="94"/>
      <c r="Z989" s="94"/>
      <c r="AA989" s="94"/>
      <c r="AB989" s="94"/>
      <c r="AC989" s="94"/>
      <c r="AD989" s="94"/>
      <c r="AE989" s="94"/>
      <c r="AF989" s="94"/>
      <c r="AG989" s="94"/>
      <c r="AH989" s="94"/>
      <c r="AI989" s="94"/>
      <c r="AJ989" s="94"/>
      <c r="AK989" s="94"/>
      <c r="AL989" s="94"/>
      <c r="AM989" s="94"/>
      <c r="AN989" s="94"/>
      <c r="AO989" s="94"/>
      <c r="AP989" s="94"/>
      <c r="AQ989" s="94"/>
      <c r="AR989" s="94"/>
      <c r="AS989" s="94"/>
      <c r="AT989" s="94"/>
      <c r="AU989" s="94"/>
      <c r="AV989" s="94"/>
      <c r="AW989" s="94"/>
      <c r="AX989" s="94"/>
      <c r="AY989" s="94"/>
      <c r="BA989" s="95"/>
    </row>
    <row r="990" spans="1:53" s="87" customFormat="1">
      <c r="A990" s="90" t="str">
        <f t="shared" si="40"/>
        <v/>
      </c>
      <c r="B990" s="98"/>
      <c r="C990" s="94"/>
      <c r="D990" s="94"/>
      <c r="E990" s="94"/>
      <c r="F990" s="94"/>
      <c r="G990" s="94"/>
      <c r="H990" s="94"/>
      <c r="I990" s="94"/>
      <c r="J990" s="94"/>
      <c r="K990" s="94"/>
      <c r="L990" s="94"/>
      <c r="M990" s="94"/>
      <c r="N990" s="94"/>
      <c r="O990" s="94"/>
      <c r="P990" s="94"/>
      <c r="Q990" s="94"/>
      <c r="R990" s="94"/>
      <c r="S990" s="94"/>
      <c r="T990" s="94"/>
      <c r="U990" s="94"/>
      <c r="V990" s="94"/>
      <c r="W990" s="94"/>
      <c r="X990" s="94"/>
      <c r="Y990" s="94"/>
      <c r="Z990" s="94"/>
      <c r="AA990" s="94"/>
      <c r="AB990" s="94"/>
      <c r="AC990" s="94"/>
      <c r="AD990" s="94"/>
      <c r="AE990" s="94"/>
      <c r="AF990" s="94"/>
      <c r="AG990" s="94"/>
      <c r="AH990" s="94"/>
      <c r="AI990" s="94"/>
      <c r="AJ990" s="94"/>
      <c r="AK990" s="94"/>
      <c r="AL990" s="94"/>
      <c r="AM990" s="94"/>
      <c r="AN990" s="94"/>
      <c r="AO990" s="94"/>
      <c r="AP990" s="94"/>
      <c r="AQ990" s="94"/>
      <c r="AR990" s="94"/>
      <c r="AS990" s="94"/>
      <c r="AT990" s="94"/>
      <c r="AU990" s="94"/>
      <c r="AV990" s="94"/>
      <c r="AW990" s="94"/>
      <c r="AX990" s="94"/>
      <c r="AY990" s="94"/>
      <c r="BA990" s="95"/>
    </row>
    <row r="991" spans="1:53" s="87" customFormat="1">
      <c r="A991" s="90" t="str">
        <f t="shared" si="40"/>
        <v/>
      </c>
      <c r="B991" s="98"/>
      <c r="C991" s="94"/>
      <c r="D991" s="94"/>
      <c r="E991" s="94"/>
      <c r="F991" s="94"/>
      <c r="G991" s="94"/>
      <c r="H991" s="94"/>
      <c r="I991" s="94"/>
      <c r="J991" s="94"/>
      <c r="K991" s="94"/>
      <c r="L991" s="94"/>
      <c r="M991" s="94"/>
      <c r="N991" s="94"/>
      <c r="O991" s="94"/>
      <c r="P991" s="94"/>
      <c r="Q991" s="94"/>
      <c r="R991" s="94"/>
      <c r="S991" s="94"/>
      <c r="T991" s="94"/>
      <c r="U991" s="94"/>
      <c r="V991" s="94"/>
      <c r="W991" s="94"/>
      <c r="X991" s="94"/>
      <c r="Y991" s="94"/>
      <c r="Z991" s="94"/>
      <c r="AA991" s="94"/>
      <c r="AB991" s="94"/>
      <c r="AC991" s="94"/>
      <c r="AD991" s="94"/>
      <c r="AE991" s="94"/>
      <c r="AF991" s="94"/>
      <c r="AG991" s="94"/>
      <c r="AH991" s="94"/>
      <c r="AI991" s="94"/>
      <c r="AJ991" s="94"/>
      <c r="AK991" s="94"/>
      <c r="AL991" s="94"/>
      <c r="AM991" s="94"/>
      <c r="AN991" s="94"/>
      <c r="AO991" s="94"/>
      <c r="AP991" s="94"/>
      <c r="AQ991" s="94"/>
      <c r="AR991" s="94"/>
      <c r="AS991" s="94"/>
      <c r="AT991" s="94"/>
      <c r="AU991" s="94"/>
      <c r="AV991" s="94"/>
      <c r="AW991" s="94"/>
      <c r="AX991" s="94"/>
      <c r="AY991" s="94"/>
      <c r="BA991" s="95"/>
    </row>
    <row r="992" spans="1:53" s="87" customFormat="1">
      <c r="A992" s="90" t="str">
        <f t="shared" si="40"/>
        <v/>
      </c>
      <c r="B992" s="98"/>
      <c r="C992" s="94"/>
      <c r="D992" s="94"/>
      <c r="E992" s="94"/>
      <c r="F992" s="94"/>
      <c r="G992" s="94"/>
      <c r="H992" s="94"/>
      <c r="I992" s="94"/>
      <c r="J992" s="94"/>
      <c r="K992" s="94"/>
      <c r="L992" s="94"/>
      <c r="M992" s="94"/>
      <c r="N992" s="94"/>
      <c r="O992" s="94"/>
      <c r="P992" s="94"/>
      <c r="Q992" s="94"/>
      <c r="R992" s="94"/>
      <c r="S992" s="94"/>
      <c r="T992" s="94"/>
      <c r="U992" s="94"/>
      <c r="V992" s="94"/>
      <c r="W992" s="94"/>
      <c r="X992" s="94"/>
      <c r="Y992" s="94"/>
      <c r="Z992" s="94"/>
      <c r="AA992" s="94"/>
      <c r="AB992" s="94"/>
      <c r="AC992" s="94"/>
      <c r="AD992" s="94"/>
      <c r="AE992" s="94"/>
      <c r="AF992" s="94"/>
      <c r="AG992" s="94"/>
      <c r="AH992" s="94"/>
      <c r="AI992" s="94"/>
      <c r="AJ992" s="94"/>
      <c r="AK992" s="94"/>
      <c r="AL992" s="94"/>
      <c r="AM992" s="94"/>
      <c r="AN992" s="94"/>
      <c r="AO992" s="94"/>
      <c r="AP992" s="94"/>
      <c r="AQ992" s="94"/>
      <c r="AR992" s="94"/>
      <c r="AS992" s="94"/>
      <c r="AT992" s="94"/>
      <c r="AU992" s="94"/>
      <c r="AV992" s="94"/>
      <c r="AW992" s="94"/>
      <c r="AX992" s="94"/>
      <c r="AY992" s="94"/>
      <c r="BA992" s="95"/>
    </row>
    <row r="993" spans="1:53" s="87" customFormat="1">
      <c r="A993" s="90" t="str">
        <f t="shared" si="40"/>
        <v/>
      </c>
      <c r="B993" s="98"/>
      <c r="C993" s="94"/>
      <c r="D993" s="94"/>
      <c r="E993" s="94"/>
      <c r="F993" s="94"/>
      <c r="G993" s="94"/>
      <c r="H993" s="94"/>
      <c r="I993" s="94"/>
      <c r="J993" s="94"/>
      <c r="K993" s="94"/>
      <c r="L993" s="94"/>
      <c r="M993" s="94"/>
      <c r="N993" s="94"/>
      <c r="O993" s="94"/>
      <c r="P993" s="94"/>
      <c r="Q993" s="94"/>
      <c r="R993" s="94"/>
      <c r="S993" s="94"/>
      <c r="T993" s="94"/>
      <c r="U993" s="94"/>
      <c r="V993" s="94"/>
      <c r="W993" s="94"/>
      <c r="X993" s="94"/>
      <c r="Y993" s="94"/>
      <c r="Z993" s="94"/>
      <c r="AA993" s="94"/>
      <c r="AB993" s="94"/>
      <c r="AC993" s="94"/>
      <c r="AD993" s="94"/>
      <c r="AE993" s="94"/>
      <c r="AF993" s="94"/>
      <c r="AG993" s="94"/>
      <c r="AH993" s="94"/>
      <c r="AI993" s="94"/>
      <c r="AJ993" s="94"/>
      <c r="AK993" s="94"/>
      <c r="AL993" s="94"/>
      <c r="AM993" s="94"/>
      <c r="AN993" s="94"/>
      <c r="AO993" s="94"/>
      <c r="AP993" s="94"/>
      <c r="AQ993" s="94"/>
      <c r="AR993" s="94"/>
      <c r="AS993" s="94"/>
      <c r="AT993" s="94"/>
      <c r="AU993" s="94"/>
      <c r="AV993" s="94"/>
      <c r="AW993" s="94"/>
      <c r="AX993" s="94"/>
      <c r="AY993" s="94"/>
      <c r="BA993" s="95"/>
    </row>
    <row r="994" spans="1:53" s="87" customFormat="1">
      <c r="A994" s="90" t="str">
        <f t="shared" si="40"/>
        <v/>
      </c>
      <c r="B994" s="98"/>
      <c r="C994" s="94"/>
      <c r="D994" s="94"/>
      <c r="E994" s="94"/>
      <c r="F994" s="94"/>
      <c r="G994" s="94"/>
      <c r="H994" s="94"/>
      <c r="I994" s="94"/>
      <c r="J994" s="94"/>
      <c r="K994" s="94"/>
      <c r="L994" s="94"/>
      <c r="M994" s="94"/>
      <c r="N994" s="94"/>
      <c r="O994" s="94"/>
      <c r="P994" s="94"/>
      <c r="Q994" s="94"/>
      <c r="R994" s="94"/>
      <c r="S994" s="94"/>
      <c r="T994" s="94"/>
      <c r="U994" s="94"/>
      <c r="V994" s="94"/>
      <c r="W994" s="94"/>
      <c r="X994" s="94"/>
      <c r="Y994" s="94"/>
      <c r="Z994" s="94"/>
      <c r="AA994" s="94"/>
      <c r="AB994" s="94"/>
      <c r="AC994" s="94"/>
      <c r="AD994" s="94"/>
      <c r="AE994" s="94"/>
      <c r="AF994" s="94"/>
      <c r="AG994" s="94"/>
      <c r="AH994" s="94"/>
      <c r="AI994" s="94"/>
      <c r="AJ994" s="94"/>
      <c r="AK994" s="94"/>
      <c r="AL994" s="94"/>
      <c r="AM994" s="94"/>
      <c r="AN994" s="94"/>
      <c r="AO994" s="94"/>
      <c r="AP994" s="94"/>
      <c r="AQ994" s="94"/>
      <c r="AR994" s="94"/>
      <c r="AS994" s="94"/>
      <c r="AT994" s="94"/>
      <c r="AU994" s="94"/>
      <c r="AV994" s="94"/>
      <c r="AW994" s="94"/>
      <c r="AX994" s="94"/>
      <c r="AY994" s="94"/>
      <c r="BA994" s="95"/>
    </row>
    <row r="995" spans="1:53" s="87" customFormat="1">
      <c r="A995" s="90" t="str">
        <f t="shared" si="40"/>
        <v/>
      </c>
      <c r="B995" s="98"/>
      <c r="C995" s="94"/>
      <c r="D995" s="94"/>
      <c r="E995" s="94"/>
      <c r="F995" s="94"/>
      <c r="G995" s="94"/>
      <c r="H995" s="94"/>
      <c r="I995" s="94"/>
      <c r="J995" s="94"/>
      <c r="K995" s="94"/>
      <c r="L995" s="94"/>
      <c r="M995" s="94"/>
      <c r="N995" s="94"/>
      <c r="O995" s="94"/>
      <c r="P995" s="94"/>
      <c r="Q995" s="94"/>
      <c r="R995" s="94"/>
      <c r="S995" s="94"/>
      <c r="T995" s="94"/>
      <c r="U995" s="94"/>
      <c r="V995" s="94"/>
      <c r="W995" s="94"/>
      <c r="X995" s="94"/>
      <c r="Y995" s="94"/>
      <c r="Z995" s="94"/>
      <c r="AA995" s="94"/>
      <c r="AB995" s="94"/>
      <c r="AC995" s="94"/>
      <c r="AD995" s="94"/>
      <c r="AE995" s="94"/>
      <c r="AF995" s="94"/>
      <c r="AG995" s="94"/>
      <c r="AH995" s="94"/>
      <c r="AI995" s="94"/>
      <c r="AJ995" s="94"/>
      <c r="AK995" s="94"/>
      <c r="AL995" s="94"/>
      <c r="AM995" s="94"/>
      <c r="AN995" s="94"/>
      <c r="AO995" s="94"/>
      <c r="AP995" s="94"/>
      <c r="AQ995" s="94"/>
      <c r="AR995" s="94"/>
      <c r="AS995" s="94"/>
      <c r="AT995" s="94"/>
      <c r="AU995" s="94"/>
      <c r="AV995" s="94"/>
      <c r="AW995" s="94"/>
      <c r="AX995" s="94"/>
      <c r="AY995" s="94"/>
      <c r="BA995" s="95"/>
    </row>
    <row r="996" spans="1:53" s="87" customFormat="1">
      <c r="A996" s="90" t="str">
        <f t="shared" si="40"/>
        <v/>
      </c>
      <c r="B996" s="98"/>
      <c r="C996" s="94"/>
      <c r="D996" s="94"/>
      <c r="E996" s="94"/>
      <c r="F996" s="94"/>
      <c r="G996" s="94"/>
      <c r="H996" s="94"/>
      <c r="I996" s="94"/>
      <c r="J996" s="94"/>
      <c r="K996" s="94"/>
      <c r="L996" s="94"/>
      <c r="M996" s="94"/>
      <c r="N996" s="94"/>
      <c r="O996" s="94"/>
      <c r="P996" s="94"/>
      <c r="Q996" s="94"/>
      <c r="R996" s="94"/>
      <c r="S996" s="94"/>
      <c r="T996" s="94"/>
      <c r="U996" s="94"/>
      <c r="V996" s="94"/>
      <c r="W996" s="94"/>
      <c r="X996" s="94"/>
      <c r="Y996" s="94"/>
      <c r="Z996" s="94"/>
      <c r="AA996" s="94"/>
      <c r="AB996" s="94"/>
      <c r="AC996" s="94"/>
      <c r="AD996" s="94"/>
      <c r="AE996" s="94"/>
      <c r="AF996" s="94"/>
      <c r="AG996" s="94"/>
      <c r="AH996" s="94"/>
      <c r="AI996" s="94"/>
      <c r="AJ996" s="94"/>
      <c r="AK996" s="94"/>
      <c r="AL996" s="94"/>
      <c r="AM996" s="94"/>
      <c r="AN996" s="94"/>
      <c r="AO996" s="94"/>
      <c r="AP996" s="94"/>
      <c r="AQ996" s="94"/>
      <c r="AR996" s="94"/>
      <c r="AS996" s="94"/>
      <c r="AT996" s="94"/>
      <c r="AU996" s="94"/>
      <c r="AV996" s="94"/>
      <c r="AW996" s="94"/>
      <c r="AX996" s="94"/>
      <c r="AY996" s="94"/>
      <c r="BA996" s="95"/>
    </row>
    <row r="997" spans="1:53" s="87" customFormat="1">
      <c r="A997" s="90" t="str">
        <f t="shared" si="40"/>
        <v/>
      </c>
      <c r="B997" s="98"/>
      <c r="C997" s="94"/>
      <c r="D997" s="94"/>
      <c r="E997" s="94"/>
      <c r="F997" s="94"/>
      <c r="G997" s="94"/>
      <c r="H997" s="94"/>
      <c r="I997" s="94"/>
      <c r="J997" s="94"/>
      <c r="K997" s="94"/>
      <c r="L997" s="94"/>
      <c r="M997" s="94"/>
      <c r="N997" s="94"/>
      <c r="O997" s="94"/>
      <c r="P997" s="94"/>
      <c r="Q997" s="94"/>
      <c r="R997" s="94"/>
      <c r="S997" s="94"/>
      <c r="T997" s="94"/>
      <c r="U997" s="94"/>
      <c r="V997" s="94"/>
      <c r="W997" s="94"/>
      <c r="X997" s="94"/>
      <c r="Y997" s="94"/>
      <c r="Z997" s="94"/>
      <c r="AA997" s="94"/>
      <c r="AB997" s="94"/>
      <c r="AC997" s="94"/>
      <c r="AD997" s="94"/>
      <c r="AE997" s="94"/>
      <c r="AF997" s="94"/>
      <c r="AG997" s="94"/>
      <c r="AH997" s="94"/>
      <c r="AI997" s="94"/>
      <c r="AJ997" s="94"/>
      <c r="AK997" s="94"/>
      <c r="AL997" s="94"/>
      <c r="AM997" s="94"/>
      <c r="AN997" s="94"/>
      <c r="AO997" s="94"/>
      <c r="AP997" s="94"/>
      <c r="AQ997" s="94"/>
      <c r="AR997" s="94"/>
      <c r="AS997" s="94"/>
      <c r="AT997" s="94"/>
      <c r="AU997" s="94"/>
      <c r="AV997" s="94"/>
      <c r="AW997" s="94"/>
      <c r="AX997" s="94"/>
      <c r="AY997" s="94"/>
      <c r="BA997" s="95"/>
    </row>
    <row r="998" spans="1:53" s="87" customFormat="1">
      <c r="A998" s="90" t="str">
        <f t="shared" si="40"/>
        <v/>
      </c>
      <c r="B998" s="98"/>
      <c r="C998" s="94"/>
      <c r="D998" s="94"/>
      <c r="E998" s="94"/>
      <c r="F998" s="94"/>
      <c r="G998" s="94"/>
      <c r="H998" s="94"/>
      <c r="I998" s="94"/>
      <c r="J998" s="94"/>
      <c r="K998" s="94"/>
      <c r="L998" s="94"/>
      <c r="M998" s="94"/>
      <c r="N998" s="94"/>
      <c r="O998" s="94"/>
      <c r="P998" s="94"/>
      <c r="Q998" s="94"/>
      <c r="R998" s="94"/>
      <c r="S998" s="94"/>
      <c r="T998" s="94"/>
      <c r="U998" s="94"/>
      <c r="V998" s="94"/>
      <c r="W998" s="94"/>
      <c r="X998" s="94"/>
      <c r="Y998" s="94"/>
      <c r="Z998" s="94"/>
      <c r="AA998" s="94"/>
      <c r="AB998" s="94"/>
      <c r="AC998" s="94"/>
      <c r="AD998" s="94"/>
      <c r="AE998" s="94"/>
      <c r="AF998" s="94"/>
      <c r="AG998" s="94"/>
      <c r="AH998" s="94"/>
      <c r="AI998" s="94"/>
      <c r="AJ998" s="94"/>
      <c r="AK998" s="94"/>
      <c r="AL998" s="94"/>
      <c r="AM998" s="94"/>
      <c r="AN998" s="94"/>
      <c r="AO998" s="94"/>
      <c r="AP998" s="94"/>
      <c r="AQ998" s="94"/>
      <c r="AR998" s="94"/>
      <c r="AS998" s="94"/>
      <c r="AT998" s="94"/>
      <c r="AU998" s="94"/>
      <c r="AV998" s="94"/>
      <c r="AW998" s="94"/>
      <c r="AX998" s="94"/>
      <c r="AY998" s="94"/>
      <c r="BA998" s="95"/>
    </row>
    <row r="999" spans="1:53" s="87" customFormat="1">
      <c r="A999" s="90" t="str">
        <f t="shared" si="40"/>
        <v/>
      </c>
      <c r="B999" s="98"/>
      <c r="C999" s="94"/>
      <c r="D999" s="94"/>
      <c r="E999" s="94"/>
      <c r="F999" s="94"/>
      <c r="G999" s="94"/>
      <c r="H999" s="94"/>
      <c r="I999" s="94"/>
      <c r="J999" s="94"/>
      <c r="K999" s="94"/>
      <c r="L999" s="94"/>
      <c r="M999" s="94"/>
      <c r="N999" s="94"/>
      <c r="O999" s="94"/>
      <c r="P999" s="94"/>
      <c r="Q999" s="94"/>
      <c r="R999" s="94"/>
      <c r="S999" s="94"/>
      <c r="T999" s="94"/>
      <c r="U999" s="94"/>
      <c r="V999" s="94"/>
      <c r="W999" s="94"/>
      <c r="X999" s="94"/>
      <c r="Y999" s="94"/>
      <c r="Z999" s="94"/>
      <c r="AA999" s="94"/>
      <c r="AB999" s="94"/>
      <c r="AC999" s="94"/>
      <c r="AD999" s="94"/>
      <c r="AE999" s="94"/>
      <c r="AF999" s="94"/>
      <c r="AG999" s="94"/>
      <c r="AH999" s="94"/>
      <c r="AI999" s="94"/>
      <c r="AJ999" s="94"/>
      <c r="AK999" s="94"/>
      <c r="AL999" s="94"/>
      <c r="AM999" s="94"/>
      <c r="AN999" s="94"/>
      <c r="AO999" s="94"/>
      <c r="AP999" s="94"/>
      <c r="AQ999" s="94"/>
      <c r="AR999" s="94"/>
      <c r="AS999" s="94"/>
      <c r="AT999" s="94"/>
      <c r="AU999" s="94"/>
      <c r="AV999" s="94"/>
      <c r="AW999" s="94"/>
      <c r="AX999" s="94"/>
      <c r="AY999" s="94"/>
      <c r="BA999" s="95"/>
    </row>
    <row r="1000" spans="1:53" s="87" customFormat="1">
      <c r="A1000" s="90" t="str">
        <f t="shared" si="40"/>
        <v/>
      </c>
      <c r="B1000" s="98"/>
      <c r="C1000" s="94"/>
      <c r="D1000" s="94"/>
      <c r="E1000" s="94"/>
      <c r="F1000" s="94"/>
      <c r="G1000" s="94"/>
      <c r="H1000" s="94"/>
      <c r="I1000" s="94"/>
      <c r="J1000" s="94"/>
      <c r="K1000" s="94"/>
      <c r="L1000" s="94"/>
      <c r="M1000" s="94"/>
      <c r="N1000" s="94"/>
      <c r="O1000" s="94"/>
      <c r="P1000" s="94"/>
      <c r="Q1000" s="94"/>
      <c r="R1000" s="94"/>
      <c r="S1000" s="94"/>
      <c r="T1000" s="94"/>
      <c r="U1000" s="94"/>
      <c r="V1000" s="94"/>
      <c r="W1000" s="94"/>
      <c r="X1000" s="94"/>
      <c r="Y1000" s="94"/>
      <c r="Z1000" s="94"/>
      <c r="AA1000" s="94"/>
      <c r="AB1000" s="94"/>
      <c r="AC1000" s="94"/>
      <c r="AD1000" s="94"/>
      <c r="AE1000" s="94"/>
      <c r="AF1000" s="94"/>
      <c r="AG1000" s="94"/>
      <c r="AH1000" s="94"/>
      <c r="AI1000" s="94"/>
      <c r="AJ1000" s="94"/>
      <c r="AK1000" s="94"/>
      <c r="AL1000" s="94"/>
      <c r="AM1000" s="94"/>
      <c r="AN1000" s="94"/>
      <c r="AO1000" s="94"/>
      <c r="AP1000" s="94"/>
      <c r="AQ1000" s="94"/>
      <c r="AR1000" s="94"/>
      <c r="AS1000" s="94"/>
      <c r="AT1000" s="94"/>
      <c r="AU1000" s="94"/>
      <c r="AV1000" s="94"/>
      <c r="AW1000" s="94"/>
      <c r="AX1000" s="94"/>
      <c r="AY1000" s="94"/>
      <c r="BA1000" s="95"/>
    </row>
    <row r="1001" spans="1:53" s="87" customFormat="1">
      <c r="A1001" s="90" t="str">
        <f t="shared" si="40"/>
        <v/>
      </c>
      <c r="B1001" s="98"/>
      <c r="C1001" s="94"/>
      <c r="D1001" s="94"/>
      <c r="E1001" s="94"/>
      <c r="F1001" s="94"/>
      <c r="G1001" s="94"/>
      <c r="H1001" s="94"/>
      <c r="I1001" s="94"/>
      <c r="J1001" s="94"/>
      <c r="K1001" s="94"/>
      <c r="L1001" s="94"/>
      <c r="M1001" s="94"/>
      <c r="N1001" s="94"/>
      <c r="O1001" s="94"/>
      <c r="P1001" s="94"/>
      <c r="Q1001" s="94"/>
      <c r="R1001" s="94"/>
      <c r="S1001" s="94"/>
      <c r="T1001" s="94"/>
      <c r="U1001" s="94"/>
      <c r="V1001" s="94"/>
      <c r="W1001" s="94"/>
      <c r="X1001" s="94"/>
      <c r="Y1001" s="94"/>
      <c r="Z1001" s="94"/>
      <c r="AA1001" s="94"/>
      <c r="AB1001" s="94"/>
      <c r="AC1001" s="94"/>
      <c r="AD1001" s="94"/>
      <c r="AE1001" s="94"/>
      <c r="AF1001" s="94"/>
      <c r="AG1001" s="94"/>
      <c r="AH1001" s="94"/>
      <c r="AI1001" s="94"/>
      <c r="AJ1001" s="94"/>
      <c r="AK1001" s="94"/>
      <c r="AL1001" s="94"/>
      <c r="AM1001" s="94"/>
      <c r="AN1001" s="94"/>
      <c r="AO1001" s="94"/>
      <c r="AP1001" s="94"/>
      <c r="AQ1001" s="94"/>
      <c r="AR1001" s="94"/>
      <c r="AS1001" s="94"/>
      <c r="AT1001" s="94"/>
      <c r="AU1001" s="94"/>
      <c r="AV1001" s="94"/>
      <c r="AW1001" s="94"/>
      <c r="AX1001" s="94"/>
      <c r="AY1001" s="94"/>
      <c r="BA1001" s="95"/>
    </row>
    <row r="1002" spans="1:53" s="87" customFormat="1">
      <c r="A1002" s="90" t="str">
        <f t="shared" si="40"/>
        <v/>
      </c>
      <c r="B1002" s="98"/>
      <c r="C1002" s="94"/>
      <c r="D1002" s="94"/>
      <c r="E1002" s="94"/>
      <c r="F1002" s="94"/>
      <c r="G1002" s="94"/>
      <c r="H1002" s="94"/>
      <c r="I1002" s="94"/>
      <c r="J1002" s="94"/>
      <c r="K1002" s="94"/>
      <c r="L1002" s="94"/>
      <c r="M1002" s="94"/>
      <c r="N1002" s="94"/>
      <c r="O1002" s="94"/>
      <c r="P1002" s="94"/>
      <c r="Q1002" s="94"/>
      <c r="R1002" s="94"/>
      <c r="S1002" s="94"/>
      <c r="T1002" s="94"/>
      <c r="U1002" s="94"/>
      <c r="V1002" s="94"/>
      <c r="W1002" s="94"/>
      <c r="X1002" s="94"/>
      <c r="Y1002" s="94"/>
      <c r="Z1002" s="94"/>
      <c r="AA1002" s="94"/>
      <c r="AB1002" s="94"/>
      <c r="AC1002" s="94"/>
      <c r="AD1002" s="94"/>
      <c r="AE1002" s="94"/>
      <c r="AF1002" s="94"/>
      <c r="AG1002" s="94"/>
      <c r="AH1002" s="94"/>
      <c r="AI1002" s="94"/>
      <c r="AJ1002" s="94"/>
      <c r="AK1002" s="94"/>
      <c r="AL1002" s="94"/>
      <c r="AM1002" s="94"/>
      <c r="AN1002" s="94"/>
      <c r="AO1002" s="94"/>
      <c r="AP1002" s="94"/>
      <c r="AQ1002" s="94"/>
      <c r="AR1002" s="94"/>
      <c r="AS1002" s="94"/>
      <c r="AT1002" s="94"/>
      <c r="AU1002" s="94"/>
      <c r="AV1002" s="94"/>
      <c r="AW1002" s="94"/>
      <c r="AX1002" s="94"/>
      <c r="AY1002" s="94"/>
      <c r="BA1002" s="95"/>
    </row>
    <row r="1003" spans="1:53" s="87" customFormat="1">
      <c r="A1003" s="90" t="str">
        <f t="shared" si="40"/>
        <v/>
      </c>
      <c r="B1003" s="98"/>
      <c r="C1003" s="94"/>
      <c r="D1003" s="94"/>
      <c r="E1003" s="94"/>
      <c r="F1003" s="94"/>
      <c r="G1003" s="94"/>
      <c r="H1003" s="94"/>
      <c r="I1003" s="94"/>
      <c r="J1003" s="94"/>
      <c r="K1003" s="94"/>
      <c r="L1003" s="94"/>
      <c r="M1003" s="94"/>
      <c r="N1003" s="94"/>
      <c r="O1003" s="94"/>
      <c r="P1003" s="94"/>
      <c r="Q1003" s="94"/>
      <c r="R1003" s="94"/>
      <c r="S1003" s="94"/>
      <c r="T1003" s="94"/>
      <c r="U1003" s="94"/>
      <c r="V1003" s="94"/>
      <c r="W1003" s="94"/>
      <c r="X1003" s="94"/>
      <c r="Y1003" s="94"/>
      <c r="Z1003" s="94"/>
      <c r="AA1003" s="94"/>
      <c r="AB1003" s="94"/>
      <c r="AC1003" s="94"/>
      <c r="AD1003" s="94"/>
      <c r="AE1003" s="94"/>
      <c r="AF1003" s="94"/>
      <c r="AG1003" s="94"/>
      <c r="AH1003" s="94"/>
      <c r="AI1003" s="94"/>
      <c r="AJ1003" s="94"/>
      <c r="AK1003" s="94"/>
      <c r="AL1003" s="94"/>
      <c r="AM1003" s="94"/>
      <c r="AN1003" s="94"/>
      <c r="AO1003" s="94"/>
      <c r="AP1003" s="94"/>
      <c r="AQ1003" s="94"/>
      <c r="AR1003" s="94"/>
      <c r="AS1003" s="94"/>
      <c r="AT1003" s="94"/>
      <c r="AU1003" s="94"/>
      <c r="AV1003" s="94"/>
      <c r="AW1003" s="94"/>
      <c r="AX1003" s="94"/>
      <c r="AY1003" s="94"/>
      <c r="BA1003" s="95"/>
    </row>
    <row r="1004" spans="1:53" s="87" customFormat="1">
      <c r="A1004" s="90" t="str">
        <f t="shared" si="40"/>
        <v/>
      </c>
      <c r="B1004" s="98"/>
      <c r="C1004" s="94"/>
      <c r="D1004" s="94"/>
      <c r="E1004" s="94"/>
      <c r="F1004" s="94"/>
      <c r="G1004" s="94"/>
      <c r="H1004" s="94"/>
      <c r="I1004" s="94"/>
      <c r="J1004" s="94"/>
      <c r="K1004" s="94"/>
      <c r="L1004" s="94"/>
      <c r="M1004" s="94"/>
      <c r="N1004" s="94"/>
      <c r="O1004" s="94"/>
      <c r="P1004" s="94"/>
      <c r="Q1004" s="94"/>
      <c r="R1004" s="94"/>
      <c r="S1004" s="94"/>
      <c r="T1004" s="94"/>
      <c r="U1004" s="94"/>
      <c r="V1004" s="94"/>
      <c r="W1004" s="94"/>
      <c r="X1004" s="94"/>
      <c r="Y1004" s="94"/>
      <c r="Z1004" s="94"/>
      <c r="AA1004" s="94"/>
      <c r="AB1004" s="94"/>
      <c r="AC1004" s="94"/>
      <c r="AD1004" s="94"/>
      <c r="AE1004" s="94"/>
      <c r="AF1004" s="94"/>
      <c r="AG1004" s="94"/>
      <c r="AH1004" s="94"/>
      <c r="AI1004" s="94"/>
      <c r="AJ1004" s="94"/>
      <c r="AK1004" s="94"/>
      <c r="AL1004" s="94"/>
      <c r="AM1004" s="94"/>
      <c r="AN1004" s="94"/>
      <c r="AO1004" s="94"/>
      <c r="AP1004" s="94"/>
      <c r="AQ1004" s="94"/>
      <c r="AR1004" s="94"/>
      <c r="AS1004" s="94"/>
      <c r="AT1004" s="94"/>
      <c r="AU1004" s="94"/>
      <c r="AV1004" s="94"/>
      <c r="AW1004" s="94"/>
      <c r="AX1004" s="94"/>
      <c r="AY1004" s="94"/>
      <c r="BA1004" s="95"/>
    </row>
    <row r="1005" spans="1:53" s="87" customFormat="1">
      <c r="A1005" s="90" t="str">
        <f t="shared" si="40"/>
        <v/>
      </c>
      <c r="B1005" s="98"/>
      <c r="C1005" s="94"/>
      <c r="D1005" s="94"/>
      <c r="E1005" s="94"/>
      <c r="F1005" s="94"/>
      <c r="G1005" s="94"/>
      <c r="H1005" s="94"/>
      <c r="I1005" s="94"/>
      <c r="J1005" s="94"/>
      <c r="K1005" s="94"/>
      <c r="L1005" s="94"/>
      <c r="M1005" s="94"/>
      <c r="N1005" s="94"/>
      <c r="O1005" s="94"/>
      <c r="P1005" s="94"/>
      <c r="Q1005" s="94"/>
      <c r="R1005" s="94"/>
      <c r="S1005" s="94"/>
      <c r="T1005" s="94"/>
      <c r="U1005" s="94"/>
      <c r="V1005" s="94"/>
      <c r="W1005" s="94"/>
      <c r="X1005" s="94"/>
      <c r="Y1005" s="94"/>
      <c r="Z1005" s="94"/>
      <c r="AA1005" s="94"/>
      <c r="AB1005" s="94"/>
      <c r="AC1005" s="94"/>
      <c r="AD1005" s="94"/>
      <c r="AE1005" s="94"/>
      <c r="AF1005" s="94"/>
      <c r="AG1005" s="94"/>
      <c r="AH1005" s="94"/>
      <c r="AI1005" s="94"/>
      <c r="AJ1005" s="94"/>
      <c r="AK1005" s="94"/>
      <c r="AL1005" s="94"/>
      <c r="AM1005" s="94"/>
      <c r="AN1005" s="94"/>
      <c r="AO1005" s="94"/>
      <c r="AP1005" s="94"/>
      <c r="AQ1005" s="94"/>
      <c r="AR1005" s="94"/>
      <c r="AS1005" s="94"/>
      <c r="AT1005" s="94"/>
      <c r="AU1005" s="94"/>
      <c r="AV1005" s="94"/>
      <c r="AW1005" s="94"/>
      <c r="AX1005" s="94"/>
      <c r="AY1005" s="94"/>
      <c r="BA1005" s="95"/>
    </row>
    <row r="1006" spans="1:53" s="87" customFormat="1">
      <c r="A1006" s="90" t="str">
        <f t="shared" si="40"/>
        <v/>
      </c>
      <c r="B1006" s="98"/>
      <c r="C1006" s="94"/>
      <c r="D1006" s="94"/>
      <c r="E1006" s="94"/>
      <c r="F1006" s="94"/>
      <c r="G1006" s="94"/>
      <c r="H1006" s="94"/>
      <c r="I1006" s="94"/>
      <c r="J1006" s="94"/>
      <c r="K1006" s="94"/>
      <c r="L1006" s="94"/>
      <c r="M1006" s="94"/>
      <c r="N1006" s="94"/>
      <c r="O1006" s="94"/>
      <c r="P1006" s="94"/>
      <c r="Q1006" s="94"/>
      <c r="R1006" s="94"/>
      <c r="S1006" s="94"/>
      <c r="T1006" s="94"/>
      <c r="U1006" s="94"/>
      <c r="V1006" s="94"/>
      <c r="W1006" s="94"/>
      <c r="X1006" s="94"/>
      <c r="Y1006" s="94"/>
      <c r="Z1006" s="94"/>
      <c r="AA1006" s="94"/>
      <c r="AB1006" s="94"/>
      <c r="AC1006" s="94"/>
      <c r="AD1006" s="94"/>
      <c r="AE1006" s="94"/>
      <c r="AF1006" s="94"/>
      <c r="AG1006" s="94"/>
      <c r="AH1006" s="94"/>
      <c r="AI1006" s="94"/>
      <c r="AJ1006" s="94"/>
      <c r="AK1006" s="94"/>
      <c r="AL1006" s="94"/>
      <c r="AM1006" s="94"/>
      <c r="AN1006" s="94"/>
      <c r="AO1006" s="94"/>
      <c r="AP1006" s="94"/>
      <c r="AQ1006" s="94"/>
      <c r="AR1006" s="94"/>
      <c r="AS1006" s="94"/>
      <c r="AT1006" s="94"/>
      <c r="AU1006" s="94"/>
      <c r="AV1006" s="94"/>
      <c r="AW1006" s="94"/>
      <c r="AX1006" s="94"/>
      <c r="AY1006" s="94"/>
      <c r="BA1006" s="95"/>
    </row>
    <row r="1007" spans="1:53" s="87" customFormat="1">
      <c r="A1007" s="90" t="str">
        <f t="shared" si="40"/>
        <v/>
      </c>
      <c r="B1007" s="98"/>
      <c r="C1007" s="94"/>
      <c r="D1007" s="94"/>
      <c r="E1007" s="94"/>
      <c r="F1007" s="94"/>
      <c r="G1007" s="94"/>
      <c r="H1007" s="94"/>
      <c r="I1007" s="94"/>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BA1007" s="95"/>
    </row>
    <row r="1008" spans="1:53" s="87" customFormat="1">
      <c r="A1008" s="90" t="str">
        <f t="shared" si="40"/>
        <v/>
      </c>
      <c r="B1008" s="98"/>
      <c r="C1008" s="94"/>
      <c r="D1008" s="94"/>
      <c r="E1008" s="94"/>
      <c r="F1008" s="94"/>
      <c r="G1008" s="94"/>
      <c r="H1008" s="94"/>
      <c r="I1008" s="94"/>
      <c r="J1008" s="94"/>
      <c r="K1008" s="94"/>
      <c r="L1008" s="94"/>
      <c r="M1008" s="94"/>
      <c r="N1008" s="94"/>
      <c r="O1008" s="94"/>
      <c r="P1008" s="94"/>
      <c r="Q1008" s="94"/>
      <c r="R1008" s="94"/>
      <c r="S1008" s="94"/>
      <c r="T1008" s="94"/>
      <c r="U1008" s="94"/>
      <c r="V1008" s="94"/>
      <c r="W1008" s="94"/>
      <c r="X1008" s="94"/>
      <c r="Y1008" s="94"/>
      <c r="Z1008" s="94"/>
      <c r="AA1008" s="94"/>
      <c r="AB1008" s="94"/>
      <c r="AC1008" s="94"/>
      <c r="AD1008" s="94"/>
      <c r="AE1008" s="94"/>
      <c r="AF1008" s="94"/>
      <c r="AG1008" s="94"/>
      <c r="AH1008" s="94"/>
      <c r="AI1008" s="94"/>
      <c r="AJ1008" s="94"/>
      <c r="AK1008" s="94"/>
      <c r="AL1008" s="94"/>
      <c r="AM1008" s="94"/>
      <c r="AN1008" s="94"/>
      <c r="AO1008" s="94"/>
      <c r="AP1008" s="94"/>
      <c r="AQ1008" s="94"/>
      <c r="AR1008" s="94"/>
      <c r="AS1008" s="94"/>
      <c r="AT1008" s="94"/>
      <c r="AU1008" s="94"/>
      <c r="AV1008" s="94"/>
      <c r="AW1008" s="94"/>
      <c r="AX1008" s="94"/>
      <c r="AY1008" s="94"/>
      <c r="BA1008" s="95"/>
    </row>
    <row r="1009" spans="1:53" s="87" customFormat="1">
      <c r="A1009" s="90" t="str">
        <f t="shared" si="40"/>
        <v/>
      </c>
      <c r="B1009" s="98"/>
      <c r="C1009" s="94"/>
      <c r="D1009" s="94"/>
      <c r="E1009" s="94"/>
      <c r="F1009" s="94"/>
      <c r="G1009" s="94"/>
      <c r="H1009" s="94"/>
      <c r="I1009" s="94"/>
      <c r="J1009" s="94"/>
      <c r="K1009" s="94"/>
      <c r="L1009" s="94"/>
      <c r="M1009" s="94"/>
      <c r="N1009" s="94"/>
      <c r="O1009" s="94"/>
      <c r="P1009" s="94"/>
      <c r="Q1009" s="94"/>
      <c r="R1009" s="94"/>
      <c r="S1009" s="94"/>
      <c r="T1009" s="94"/>
      <c r="U1009" s="94"/>
      <c r="V1009" s="94"/>
      <c r="W1009" s="94"/>
      <c r="X1009" s="94"/>
      <c r="Y1009" s="94"/>
      <c r="Z1009" s="94"/>
      <c r="AA1009" s="94"/>
      <c r="AB1009" s="94"/>
      <c r="AC1009" s="94"/>
      <c r="AD1009" s="94"/>
      <c r="AE1009" s="94"/>
      <c r="AF1009" s="94"/>
      <c r="AG1009" s="94"/>
      <c r="AH1009" s="94"/>
      <c r="AI1009" s="94"/>
      <c r="AJ1009" s="94"/>
      <c r="AK1009" s="94"/>
      <c r="AL1009" s="94"/>
      <c r="AM1009" s="94"/>
      <c r="AN1009" s="94"/>
      <c r="AO1009" s="94"/>
      <c r="AP1009" s="94"/>
      <c r="AQ1009" s="94"/>
      <c r="AR1009" s="94"/>
      <c r="AS1009" s="94"/>
      <c r="AT1009" s="94"/>
      <c r="AU1009" s="94"/>
      <c r="AV1009" s="94"/>
      <c r="AW1009" s="94"/>
      <c r="AX1009" s="94"/>
      <c r="AY1009" s="94"/>
      <c r="BA1009" s="95"/>
    </row>
    <row r="1010" spans="1:53" s="87" customFormat="1">
      <c r="A1010" s="90" t="str">
        <f t="shared" si="40"/>
        <v/>
      </c>
      <c r="B1010" s="98"/>
      <c r="C1010" s="94"/>
      <c r="D1010" s="94"/>
      <c r="E1010" s="94"/>
      <c r="F1010" s="94"/>
      <c r="G1010" s="94"/>
      <c r="H1010" s="94"/>
      <c r="I1010" s="94"/>
      <c r="J1010" s="94"/>
      <c r="K1010" s="94"/>
      <c r="L1010" s="94"/>
      <c r="M1010" s="94"/>
      <c r="N1010" s="94"/>
      <c r="O1010" s="94"/>
      <c r="P1010" s="94"/>
      <c r="Q1010" s="94"/>
      <c r="R1010" s="94"/>
      <c r="S1010" s="94"/>
      <c r="T1010" s="94"/>
      <c r="U1010" s="94"/>
      <c r="V1010" s="94"/>
      <c r="W1010" s="94"/>
      <c r="X1010" s="94"/>
      <c r="Y1010" s="94"/>
      <c r="Z1010" s="94"/>
      <c r="AA1010" s="94"/>
      <c r="AB1010" s="94"/>
      <c r="AC1010" s="94"/>
      <c r="AD1010" s="94"/>
      <c r="AE1010" s="94"/>
      <c r="AF1010" s="94"/>
      <c r="AG1010" s="94"/>
      <c r="AH1010" s="94"/>
      <c r="AI1010" s="94"/>
      <c r="AJ1010" s="94"/>
      <c r="AK1010" s="94"/>
      <c r="AL1010" s="94"/>
      <c r="AM1010" s="94"/>
      <c r="AN1010" s="94"/>
      <c r="AO1010" s="94"/>
      <c r="AP1010" s="94"/>
      <c r="AQ1010" s="94"/>
      <c r="AR1010" s="94"/>
      <c r="AS1010" s="94"/>
      <c r="AT1010" s="94"/>
      <c r="AU1010" s="94"/>
      <c r="AV1010" s="94"/>
      <c r="AW1010" s="94"/>
      <c r="AX1010" s="94"/>
      <c r="AY1010" s="94"/>
      <c r="BA1010" s="95"/>
    </row>
    <row r="1011" spans="1:53" s="87" customFormat="1">
      <c r="A1011" s="90" t="str">
        <f t="shared" si="40"/>
        <v/>
      </c>
      <c r="B1011" s="98"/>
      <c r="C1011" s="94"/>
      <c r="D1011" s="94"/>
      <c r="E1011" s="94"/>
      <c r="F1011" s="94"/>
      <c r="G1011" s="94"/>
      <c r="H1011" s="94"/>
      <c r="I1011" s="94"/>
      <c r="J1011" s="94"/>
      <c r="K1011" s="94"/>
      <c r="L1011" s="94"/>
      <c r="M1011" s="94"/>
      <c r="N1011" s="94"/>
      <c r="O1011" s="94"/>
      <c r="P1011" s="94"/>
      <c r="Q1011" s="94"/>
      <c r="R1011" s="94"/>
      <c r="S1011" s="94"/>
      <c r="T1011" s="94"/>
      <c r="U1011" s="94"/>
      <c r="V1011" s="94"/>
      <c r="W1011" s="94"/>
      <c r="X1011" s="94"/>
      <c r="Y1011" s="94"/>
      <c r="Z1011" s="94"/>
      <c r="AA1011" s="94"/>
      <c r="AB1011" s="94"/>
      <c r="AC1011" s="94"/>
      <c r="AD1011" s="94"/>
      <c r="AE1011" s="94"/>
      <c r="AF1011" s="94"/>
      <c r="AG1011" s="94"/>
      <c r="AH1011" s="94"/>
      <c r="AI1011" s="94"/>
      <c r="AJ1011" s="94"/>
      <c r="AK1011" s="94"/>
      <c r="AL1011" s="94"/>
      <c r="AM1011" s="94"/>
      <c r="AN1011" s="94"/>
      <c r="AO1011" s="94"/>
      <c r="AP1011" s="94"/>
      <c r="AQ1011" s="94"/>
      <c r="AR1011" s="94"/>
      <c r="AS1011" s="94"/>
      <c r="AT1011" s="94"/>
      <c r="AU1011" s="94"/>
      <c r="AV1011" s="94"/>
      <c r="AW1011" s="94"/>
      <c r="AX1011" s="94"/>
      <c r="AY1011" s="94"/>
      <c r="BA1011" s="95"/>
    </row>
    <row r="1012" spans="1:53" s="87" customFormat="1">
      <c r="A1012" s="90" t="str">
        <f t="shared" si="40"/>
        <v/>
      </c>
      <c r="B1012" s="98"/>
      <c r="C1012" s="94"/>
      <c r="D1012" s="94"/>
      <c r="E1012" s="94"/>
      <c r="F1012" s="94"/>
      <c r="G1012" s="94"/>
      <c r="H1012" s="94"/>
      <c r="I1012" s="94"/>
      <c r="J1012" s="94"/>
      <c r="K1012" s="94"/>
      <c r="L1012" s="94"/>
      <c r="M1012" s="94"/>
      <c r="N1012" s="94"/>
      <c r="O1012" s="94"/>
      <c r="P1012" s="94"/>
      <c r="Q1012" s="94"/>
      <c r="R1012" s="94"/>
      <c r="S1012" s="94"/>
      <c r="T1012" s="94"/>
      <c r="U1012" s="94"/>
      <c r="V1012" s="94"/>
      <c r="W1012" s="94"/>
      <c r="X1012" s="94"/>
      <c r="Y1012" s="94"/>
      <c r="Z1012" s="94"/>
      <c r="AA1012" s="94"/>
      <c r="AB1012" s="94"/>
      <c r="AC1012" s="94"/>
      <c r="AD1012" s="94"/>
      <c r="AE1012" s="94"/>
      <c r="AF1012" s="94"/>
      <c r="AG1012" s="94"/>
      <c r="AH1012" s="94"/>
      <c r="AI1012" s="94"/>
      <c r="AJ1012" s="94"/>
      <c r="AK1012" s="94"/>
      <c r="AL1012" s="94"/>
      <c r="AM1012" s="94"/>
      <c r="AN1012" s="94"/>
      <c r="AO1012" s="94"/>
      <c r="AP1012" s="94"/>
      <c r="AQ1012" s="94"/>
      <c r="AR1012" s="94"/>
      <c r="AS1012" s="94"/>
      <c r="AT1012" s="94"/>
      <c r="AU1012" s="94"/>
      <c r="AV1012" s="94"/>
      <c r="AW1012" s="94"/>
      <c r="AX1012" s="94"/>
      <c r="AY1012" s="94"/>
      <c r="BA1012" s="95"/>
    </row>
    <row r="1013" spans="1:53" s="87" customFormat="1">
      <c r="A1013" s="90" t="str">
        <f t="shared" si="40"/>
        <v/>
      </c>
      <c r="B1013" s="98"/>
      <c r="C1013" s="94"/>
      <c r="D1013" s="94"/>
      <c r="E1013" s="94"/>
      <c r="F1013" s="94"/>
      <c r="G1013" s="94"/>
      <c r="H1013" s="94"/>
      <c r="I1013" s="94"/>
      <c r="J1013" s="94"/>
      <c r="K1013" s="94"/>
      <c r="L1013" s="94"/>
      <c r="M1013" s="94"/>
      <c r="N1013" s="94"/>
      <c r="O1013" s="94"/>
      <c r="P1013" s="94"/>
      <c r="Q1013" s="94"/>
      <c r="R1013" s="94"/>
      <c r="S1013" s="94"/>
      <c r="T1013" s="94"/>
      <c r="U1013" s="94"/>
      <c r="V1013" s="94"/>
      <c r="W1013" s="94"/>
      <c r="X1013" s="94"/>
      <c r="Y1013" s="94"/>
      <c r="Z1013" s="94"/>
      <c r="AA1013" s="94"/>
      <c r="AB1013" s="94"/>
      <c r="AC1013" s="94"/>
      <c r="AD1013" s="94"/>
      <c r="AE1013" s="94"/>
      <c r="AF1013" s="94"/>
      <c r="AG1013" s="94"/>
      <c r="AH1013" s="94"/>
      <c r="AI1013" s="94"/>
      <c r="AJ1013" s="94"/>
      <c r="AK1013" s="94"/>
      <c r="AL1013" s="94"/>
      <c r="AM1013" s="94"/>
      <c r="AN1013" s="94"/>
      <c r="AO1013" s="94"/>
      <c r="AP1013" s="94"/>
      <c r="AQ1013" s="94"/>
      <c r="AR1013" s="94"/>
      <c r="AS1013" s="94"/>
      <c r="AT1013" s="94"/>
      <c r="AU1013" s="94"/>
      <c r="AV1013" s="94"/>
      <c r="AW1013" s="94"/>
      <c r="AX1013" s="94"/>
      <c r="AY1013" s="94"/>
      <c r="BA1013" s="95"/>
    </row>
    <row r="1014" spans="1:53" s="87" customFormat="1">
      <c r="A1014" s="90" t="str">
        <f t="shared" si="40"/>
        <v/>
      </c>
      <c r="B1014" s="98"/>
      <c r="C1014" s="94"/>
      <c r="D1014" s="94"/>
      <c r="E1014" s="94"/>
      <c r="F1014" s="94"/>
      <c r="G1014" s="94"/>
      <c r="H1014" s="94"/>
      <c r="I1014" s="94"/>
      <c r="J1014" s="94"/>
      <c r="K1014" s="94"/>
      <c r="L1014" s="94"/>
      <c r="M1014" s="94"/>
      <c r="N1014" s="94"/>
      <c r="O1014" s="94"/>
      <c r="P1014" s="94"/>
      <c r="Q1014" s="94"/>
      <c r="R1014" s="94"/>
      <c r="S1014" s="94"/>
      <c r="T1014" s="94"/>
      <c r="U1014" s="94"/>
      <c r="V1014" s="94"/>
      <c r="W1014" s="94"/>
      <c r="X1014" s="94"/>
      <c r="Y1014" s="94"/>
      <c r="Z1014" s="94"/>
      <c r="AA1014" s="94"/>
      <c r="AB1014" s="94"/>
      <c r="AC1014" s="94"/>
      <c r="AD1014" s="94"/>
      <c r="AE1014" s="94"/>
      <c r="AF1014" s="94"/>
      <c r="AG1014" s="94"/>
      <c r="AH1014" s="94"/>
      <c r="AI1014" s="94"/>
      <c r="AJ1014" s="94"/>
      <c r="AK1014" s="94"/>
      <c r="AL1014" s="94"/>
      <c r="AM1014" s="94"/>
      <c r="AN1014" s="94"/>
      <c r="AO1014" s="94"/>
      <c r="AP1014" s="94"/>
      <c r="AQ1014" s="94"/>
      <c r="AR1014" s="94"/>
      <c r="AS1014" s="94"/>
      <c r="AT1014" s="94"/>
      <c r="AU1014" s="94"/>
      <c r="AV1014" s="94"/>
      <c r="AW1014" s="94"/>
      <c r="AX1014" s="94"/>
      <c r="AY1014" s="94"/>
      <c r="BA1014" s="95"/>
    </row>
    <row r="1015" spans="1:53" s="87" customFormat="1">
      <c r="A1015" s="90" t="str">
        <f t="shared" si="40"/>
        <v/>
      </c>
      <c r="B1015" s="98"/>
      <c r="C1015" s="94"/>
      <c r="D1015" s="94"/>
      <c r="E1015" s="94"/>
      <c r="F1015" s="94"/>
      <c r="G1015" s="94"/>
      <c r="H1015" s="94"/>
      <c r="I1015" s="94"/>
      <c r="J1015" s="94"/>
      <c r="K1015" s="94"/>
      <c r="L1015" s="94"/>
      <c r="M1015" s="94"/>
      <c r="N1015" s="94"/>
      <c r="O1015" s="94"/>
      <c r="P1015" s="94"/>
      <c r="Q1015" s="94"/>
      <c r="R1015" s="94"/>
      <c r="S1015" s="94"/>
      <c r="T1015" s="94"/>
      <c r="U1015" s="94"/>
      <c r="V1015" s="94"/>
      <c r="W1015" s="94"/>
      <c r="X1015" s="94"/>
      <c r="Y1015" s="94"/>
      <c r="Z1015" s="94"/>
      <c r="AA1015" s="94"/>
      <c r="AB1015" s="94"/>
      <c r="AC1015" s="94"/>
      <c r="AD1015" s="94"/>
      <c r="AE1015" s="94"/>
      <c r="AF1015" s="94"/>
      <c r="AG1015" s="94"/>
      <c r="AH1015" s="94"/>
      <c r="AI1015" s="94"/>
      <c r="AJ1015" s="94"/>
      <c r="AK1015" s="94"/>
      <c r="AL1015" s="94"/>
      <c r="AM1015" s="94"/>
      <c r="AN1015" s="94"/>
      <c r="AO1015" s="94"/>
      <c r="AP1015" s="94"/>
      <c r="AQ1015" s="94"/>
      <c r="AR1015" s="94"/>
      <c r="AS1015" s="94"/>
      <c r="AT1015" s="94"/>
      <c r="AU1015" s="94"/>
      <c r="AV1015" s="94"/>
      <c r="AW1015" s="94"/>
      <c r="AX1015" s="94"/>
      <c r="AY1015" s="94"/>
      <c r="BA1015" s="95"/>
    </row>
    <row r="1016" spans="1:53" s="87" customFormat="1">
      <c r="A1016" s="90" t="str">
        <f t="shared" si="40"/>
        <v/>
      </c>
      <c r="B1016" s="98"/>
      <c r="C1016" s="94"/>
      <c r="D1016" s="94"/>
      <c r="E1016" s="94"/>
      <c r="F1016" s="94"/>
      <c r="G1016" s="94"/>
      <c r="H1016" s="94"/>
      <c r="I1016" s="94"/>
      <c r="J1016" s="94"/>
      <c r="K1016" s="94"/>
      <c r="L1016" s="94"/>
      <c r="M1016" s="94"/>
      <c r="N1016" s="94"/>
      <c r="O1016" s="94"/>
      <c r="P1016" s="94"/>
      <c r="Q1016" s="94"/>
      <c r="R1016" s="94"/>
      <c r="S1016" s="94"/>
      <c r="T1016" s="94"/>
      <c r="U1016" s="94"/>
      <c r="V1016" s="94"/>
      <c r="W1016" s="94"/>
      <c r="X1016" s="94"/>
      <c r="Y1016" s="94"/>
      <c r="Z1016" s="94"/>
      <c r="AA1016" s="94"/>
      <c r="AB1016" s="94"/>
      <c r="AC1016" s="94"/>
      <c r="AD1016" s="94"/>
      <c r="AE1016" s="94"/>
      <c r="AF1016" s="94"/>
      <c r="AG1016" s="94"/>
      <c r="AH1016" s="94"/>
      <c r="AI1016" s="94"/>
      <c r="AJ1016" s="94"/>
      <c r="AK1016" s="94"/>
      <c r="AL1016" s="94"/>
      <c r="AM1016" s="94"/>
      <c r="AN1016" s="94"/>
      <c r="AO1016" s="94"/>
      <c r="AP1016" s="94"/>
      <c r="AQ1016" s="94"/>
      <c r="AR1016" s="94"/>
      <c r="AS1016" s="94"/>
      <c r="AT1016" s="94"/>
      <c r="AU1016" s="94"/>
      <c r="AV1016" s="94"/>
      <c r="AW1016" s="94"/>
      <c r="AX1016" s="94"/>
      <c r="AY1016" s="94"/>
      <c r="BA1016" s="95"/>
    </row>
    <row r="1017" spans="1:53" s="87" customFormat="1">
      <c r="A1017" s="90" t="str">
        <f t="shared" si="40"/>
        <v/>
      </c>
      <c r="B1017" s="98"/>
      <c r="C1017" s="94"/>
      <c r="D1017" s="94"/>
      <c r="E1017" s="94"/>
      <c r="F1017" s="94"/>
      <c r="G1017" s="94"/>
      <c r="H1017" s="94"/>
      <c r="I1017" s="94"/>
      <c r="J1017" s="94"/>
      <c r="K1017" s="94"/>
      <c r="L1017" s="94"/>
      <c r="M1017" s="94"/>
      <c r="N1017" s="94"/>
      <c r="O1017" s="94"/>
      <c r="P1017" s="94"/>
      <c r="Q1017" s="94"/>
      <c r="R1017" s="94"/>
      <c r="S1017" s="94"/>
      <c r="T1017" s="94"/>
      <c r="U1017" s="94"/>
      <c r="V1017" s="94"/>
      <c r="W1017" s="94"/>
      <c r="X1017" s="94"/>
      <c r="Y1017" s="94"/>
      <c r="Z1017" s="94"/>
      <c r="AA1017" s="94"/>
      <c r="AB1017" s="94"/>
      <c r="AC1017" s="94"/>
      <c r="AD1017" s="94"/>
      <c r="AE1017" s="94"/>
      <c r="AF1017" s="94"/>
      <c r="AG1017" s="94"/>
      <c r="AH1017" s="94"/>
      <c r="AI1017" s="94"/>
      <c r="AJ1017" s="94"/>
      <c r="AK1017" s="94"/>
      <c r="AL1017" s="94"/>
      <c r="AM1017" s="94"/>
      <c r="AN1017" s="94"/>
      <c r="AO1017" s="94"/>
      <c r="AP1017" s="94"/>
      <c r="AQ1017" s="94"/>
      <c r="AR1017" s="94"/>
      <c r="AS1017" s="94"/>
      <c r="AT1017" s="94"/>
      <c r="AU1017" s="94"/>
      <c r="AV1017" s="94"/>
      <c r="AW1017" s="94"/>
      <c r="AX1017" s="94"/>
      <c r="AY1017" s="94"/>
      <c r="BA1017" s="95"/>
    </row>
    <row r="1018" spans="1:53" s="87" customFormat="1">
      <c r="A1018" s="90" t="str">
        <f t="shared" si="40"/>
        <v/>
      </c>
      <c r="B1018" s="98"/>
      <c r="C1018" s="94"/>
      <c r="D1018" s="94"/>
      <c r="E1018" s="94"/>
      <c r="F1018" s="94"/>
      <c r="G1018" s="94"/>
      <c r="H1018" s="94"/>
      <c r="I1018" s="94"/>
      <c r="J1018" s="94"/>
      <c r="K1018" s="94"/>
      <c r="L1018" s="94"/>
      <c r="M1018" s="94"/>
      <c r="N1018" s="94"/>
      <c r="O1018" s="94"/>
      <c r="P1018" s="94"/>
      <c r="Q1018" s="94"/>
      <c r="R1018" s="94"/>
      <c r="S1018" s="94"/>
      <c r="T1018" s="94"/>
      <c r="U1018" s="94"/>
      <c r="V1018" s="94"/>
      <c r="W1018" s="94"/>
      <c r="X1018" s="94"/>
      <c r="Y1018" s="94"/>
      <c r="Z1018" s="94"/>
      <c r="AA1018" s="94"/>
      <c r="AB1018" s="94"/>
      <c r="AC1018" s="94"/>
      <c r="AD1018" s="94"/>
      <c r="AE1018" s="94"/>
      <c r="AF1018" s="94"/>
      <c r="AG1018" s="94"/>
      <c r="AH1018" s="94"/>
      <c r="AI1018" s="94"/>
      <c r="AJ1018" s="94"/>
      <c r="AK1018" s="94"/>
      <c r="AL1018" s="94"/>
      <c r="AM1018" s="94"/>
      <c r="AN1018" s="94"/>
      <c r="AO1018" s="94"/>
      <c r="AP1018" s="94"/>
      <c r="AQ1018" s="94"/>
      <c r="AR1018" s="94"/>
      <c r="AS1018" s="94"/>
      <c r="AT1018" s="94"/>
      <c r="AU1018" s="94"/>
      <c r="AV1018" s="94"/>
      <c r="AW1018" s="94"/>
      <c r="AX1018" s="94"/>
      <c r="AY1018" s="94"/>
      <c r="BA1018" s="95"/>
    </row>
    <row r="1019" spans="1:53" s="87" customFormat="1">
      <c r="A1019" s="90" t="str">
        <f t="shared" si="40"/>
        <v/>
      </c>
      <c r="B1019" s="98"/>
      <c r="C1019" s="94"/>
      <c r="D1019" s="94"/>
      <c r="E1019" s="94"/>
      <c r="F1019" s="94"/>
      <c r="G1019" s="94"/>
      <c r="H1019" s="94"/>
      <c r="I1019" s="94"/>
      <c r="J1019" s="94"/>
      <c r="K1019" s="94"/>
      <c r="L1019" s="94"/>
      <c r="M1019" s="94"/>
      <c r="N1019" s="94"/>
      <c r="O1019" s="94"/>
      <c r="P1019" s="94"/>
      <c r="Q1019" s="94"/>
      <c r="R1019" s="94"/>
      <c r="S1019" s="94"/>
      <c r="T1019" s="94"/>
      <c r="U1019" s="94"/>
      <c r="V1019" s="94"/>
      <c r="W1019" s="94"/>
      <c r="X1019" s="94"/>
      <c r="Y1019" s="94"/>
      <c r="Z1019" s="94"/>
      <c r="AA1019" s="94"/>
      <c r="AB1019" s="94"/>
      <c r="AC1019" s="94"/>
      <c r="AD1019" s="94"/>
      <c r="AE1019" s="94"/>
      <c r="AF1019" s="94"/>
      <c r="AG1019" s="94"/>
      <c r="AH1019" s="94"/>
      <c r="AI1019" s="94"/>
      <c r="AJ1019" s="94"/>
      <c r="AK1019" s="94"/>
      <c r="AL1019" s="94"/>
      <c r="AM1019" s="94"/>
      <c r="AN1019" s="94"/>
      <c r="AO1019" s="94"/>
      <c r="AP1019" s="94"/>
      <c r="AQ1019" s="94"/>
      <c r="AR1019" s="94"/>
      <c r="AS1019" s="94"/>
      <c r="AT1019" s="94"/>
      <c r="AU1019" s="94"/>
      <c r="AV1019" s="94"/>
      <c r="AW1019" s="94"/>
      <c r="AX1019" s="94"/>
      <c r="AY1019" s="94"/>
      <c r="BA1019" s="95"/>
    </row>
    <row r="1020" spans="1:53" s="87" customFormat="1">
      <c r="A1020" s="90" t="str">
        <f t="shared" si="40"/>
        <v/>
      </c>
      <c r="B1020" s="98"/>
      <c r="C1020" s="94"/>
      <c r="D1020" s="94"/>
      <c r="E1020" s="94"/>
      <c r="F1020" s="94"/>
      <c r="G1020" s="94"/>
      <c r="H1020" s="94"/>
      <c r="I1020" s="94"/>
      <c r="J1020" s="94"/>
      <c r="K1020" s="94"/>
      <c r="L1020" s="94"/>
      <c r="M1020" s="94"/>
      <c r="N1020" s="94"/>
      <c r="O1020" s="94"/>
      <c r="P1020" s="94"/>
      <c r="Q1020" s="94"/>
      <c r="R1020" s="94"/>
      <c r="S1020" s="94"/>
      <c r="T1020" s="94"/>
      <c r="U1020" s="94"/>
      <c r="V1020" s="94"/>
      <c r="W1020" s="94"/>
      <c r="X1020" s="94"/>
      <c r="Y1020" s="94"/>
      <c r="Z1020" s="94"/>
      <c r="AA1020" s="94"/>
      <c r="AB1020" s="94"/>
      <c r="AC1020" s="94"/>
      <c r="AD1020" s="94"/>
      <c r="AE1020" s="94"/>
      <c r="AF1020" s="94"/>
      <c r="AG1020" s="94"/>
      <c r="AH1020" s="94"/>
      <c r="AI1020" s="94"/>
      <c r="AJ1020" s="94"/>
      <c r="AK1020" s="94"/>
      <c r="AL1020" s="94"/>
      <c r="AM1020" s="94"/>
      <c r="AN1020" s="94"/>
      <c r="AO1020" s="94"/>
      <c r="AP1020" s="94"/>
      <c r="AQ1020" s="94"/>
      <c r="AR1020" s="94"/>
      <c r="AS1020" s="94"/>
      <c r="AT1020" s="94"/>
      <c r="AU1020" s="94"/>
      <c r="AV1020" s="94"/>
      <c r="AW1020" s="94"/>
      <c r="AX1020" s="94"/>
      <c r="AY1020" s="94"/>
      <c r="BA1020" s="95"/>
    </row>
    <row r="1021" spans="1:53" s="87" customFormat="1">
      <c r="A1021" s="90" t="str">
        <f t="shared" si="40"/>
        <v/>
      </c>
      <c r="B1021" s="98"/>
      <c r="C1021" s="94"/>
      <c r="D1021" s="94"/>
      <c r="E1021" s="94"/>
      <c r="F1021" s="94"/>
      <c r="G1021" s="94"/>
      <c r="H1021" s="94"/>
      <c r="I1021" s="94"/>
      <c r="J1021" s="94"/>
      <c r="K1021" s="94"/>
      <c r="L1021" s="94"/>
      <c r="M1021" s="94"/>
      <c r="N1021" s="94"/>
      <c r="O1021" s="94"/>
      <c r="P1021" s="94"/>
      <c r="Q1021" s="94"/>
      <c r="R1021" s="94"/>
      <c r="S1021" s="94"/>
      <c r="T1021" s="94"/>
      <c r="U1021" s="94"/>
      <c r="V1021" s="94"/>
      <c r="W1021" s="94"/>
      <c r="X1021" s="94"/>
      <c r="Y1021" s="94"/>
      <c r="Z1021" s="94"/>
      <c r="AA1021" s="94"/>
      <c r="AB1021" s="94"/>
      <c r="AC1021" s="94"/>
      <c r="AD1021" s="94"/>
      <c r="AE1021" s="94"/>
      <c r="AF1021" s="94"/>
      <c r="AG1021" s="94"/>
      <c r="AH1021" s="94"/>
      <c r="AI1021" s="94"/>
      <c r="AJ1021" s="94"/>
      <c r="AK1021" s="94"/>
      <c r="AL1021" s="94"/>
      <c r="AM1021" s="94"/>
      <c r="AN1021" s="94"/>
      <c r="AO1021" s="94"/>
      <c r="AP1021" s="94"/>
      <c r="AQ1021" s="94"/>
      <c r="AR1021" s="94"/>
      <c r="AS1021" s="94"/>
      <c r="AT1021" s="94"/>
      <c r="AU1021" s="94"/>
      <c r="AV1021" s="94"/>
      <c r="AW1021" s="94"/>
      <c r="AX1021" s="94"/>
      <c r="AY1021" s="94"/>
      <c r="BA1021" s="95"/>
    </row>
    <row r="1022" spans="1:53" s="87" customFormat="1">
      <c r="A1022" s="90" t="str">
        <f t="shared" si="40"/>
        <v/>
      </c>
      <c r="B1022" s="98"/>
      <c r="C1022" s="94"/>
      <c r="D1022" s="94"/>
      <c r="E1022" s="94"/>
      <c r="F1022" s="94"/>
      <c r="G1022" s="94"/>
      <c r="H1022" s="94"/>
      <c r="I1022" s="94"/>
      <c r="J1022" s="94"/>
      <c r="K1022" s="94"/>
      <c r="L1022" s="94"/>
      <c r="M1022" s="94"/>
      <c r="N1022" s="94"/>
      <c r="O1022" s="94"/>
      <c r="P1022" s="94"/>
      <c r="Q1022" s="94"/>
      <c r="R1022" s="94"/>
      <c r="S1022" s="94"/>
      <c r="T1022" s="94"/>
      <c r="U1022" s="94"/>
      <c r="V1022" s="94"/>
      <c r="W1022" s="94"/>
      <c r="X1022" s="94"/>
      <c r="Y1022" s="94"/>
      <c r="Z1022" s="94"/>
      <c r="AA1022" s="94"/>
      <c r="AB1022" s="94"/>
      <c r="AC1022" s="94"/>
      <c r="AD1022" s="94"/>
      <c r="AE1022" s="94"/>
      <c r="AF1022" s="94"/>
      <c r="AG1022" s="94"/>
      <c r="AH1022" s="94"/>
      <c r="AI1022" s="94"/>
      <c r="AJ1022" s="94"/>
      <c r="AK1022" s="94"/>
      <c r="AL1022" s="94"/>
      <c r="AM1022" s="94"/>
      <c r="AN1022" s="94"/>
      <c r="AO1022" s="94"/>
      <c r="AP1022" s="94"/>
      <c r="AQ1022" s="94"/>
      <c r="AR1022" s="94"/>
      <c r="AS1022" s="94"/>
      <c r="AT1022" s="94"/>
      <c r="AU1022" s="94"/>
      <c r="AV1022" s="94"/>
      <c r="AW1022" s="94"/>
      <c r="AX1022" s="94"/>
      <c r="AY1022" s="94"/>
      <c r="BA1022" s="95"/>
    </row>
    <row r="1023" spans="1:53" s="87" customFormat="1">
      <c r="A1023" s="90" t="str">
        <f t="shared" si="40"/>
        <v/>
      </c>
      <c r="B1023" s="98"/>
      <c r="C1023" s="94"/>
      <c r="D1023" s="94"/>
      <c r="E1023" s="94"/>
      <c r="F1023" s="94"/>
      <c r="G1023" s="94"/>
      <c r="H1023" s="94"/>
      <c r="I1023" s="94"/>
      <c r="J1023" s="94"/>
      <c r="K1023" s="94"/>
      <c r="L1023" s="94"/>
      <c r="M1023" s="94"/>
      <c r="N1023" s="94"/>
      <c r="O1023" s="94"/>
      <c r="P1023" s="94"/>
      <c r="Q1023" s="94"/>
      <c r="R1023" s="94"/>
      <c r="S1023" s="94"/>
      <c r="T1023" s="94"/>
      <c r="U1023" s="94"/>
      <c r="V1023" s="94"/>
      <c r="W1023" s="94"/>
      <c r="X1023" s="94"/>
      <c r="Y1023" s="94"/>
      <c r="Z1023" s="94"/>
      <c r="AA1023" s="94"/>
      <c r="AB1023" s="94"/>
      <c r="AC1023" s="94"/>
      <c r="AD1023" s="94"/>
      <c r="AE1023" s="94"/>
      <c r="AF1023" s="94"/>
      <c r="AG1023" s="94"/>
      <c r="AH1023" s="94"/>
      <c r="AI1023" s="94"/>
      <c r="AJ1023" s="94"/>
      <c r="AK1023" s="94"/>
      <c r="AL1023" s="94"/>
      <c r="AM1023" s="94"/>
      <c r="AN1023" s="94"/>
      <c r="AO1023" s="94"/>
      <c r="AP1023" s="94"/>
      <c r="AQ1023" s="94"/>
      <c r="AR1023" s="94"/>
      <c r="AS1023" s="94"/>
      <c r="AT1023" s="94"/>
      <c r="AU1023" s="94"/>
      <c r="AV1023" s="94"/>
      <c r="AW1023" s="94"/>
      <c r="AX1023" s="94"/>
      <c r="AY1023" s="94"/>
      <c r="BA1023" s="95"/>
    </row>
    <row r="1024" spans="1:53" s="87" customFormat="1">
      <c r="A1024" s="90" t="str">
        <f t="shared" si="40"/>
        <v/>
      </c>
      <c r="B1024" s="98"/>
      <c r="C1024" s="94"/>
      <c r="D1024" s="94"/>
      <c r="E1024" s="94"/>
      <c r="F1024" s="94"/>
      <c r="G1024" s="94"/>
      <c r="H1024" s="94"/>
      <c r="I1024" s="94"/>
      <c r="J1024" s="94"/>
      <c r="K1024" s="94"/>
      <c r="L1024" s="94"/>
      <c r="M1024" s="94"/>
      <c r="N1024" s="94"/>
      <c r="O1024" s="94"/>
      <c r="P1024" s="94"/>
      <c r="Q1024" s="94"/>
      <c r="R1024" s="94"/>
      <c r="S1024" s="94"/>
      <c r="T1024" s="94"/>
      <c r="U1024" s="94"/>
      <c r="V1024" s="94"/>
      <c r="W1024" s="94"/>
      <c r="X1024" s="94"/>
      <c r="Y1024" s="94"/>
      <c r="Z1024" s="94"/>
      <c r="AA1024" s="94"/>
      <c r="AB1024" s="94"/>
      <c r="AC1024" s="94"/>
      <c r="AD1024" s="94"/>
      <c r="AE1024" s="94"/>
      <c r="AF1024" s="94"/>
      <c r="AG1024" s="94"/>
      <c r="AH1024" s="94"/>
      <c r="AI1024" s="94"/>
      <c r="AJ1024" s="94"/>
      <c r="AK1024" s="94"/>
      <c r="AL1024" s="94"/>
      <c r="AM1024" s="94"/>
      <c r="AN1024" s="94"/>
      <c r="AO1024" s="94"/>
      <c r="AP1024" s="94"/>
      <c r="AQ1024" s="94"/>
      <c r="AR1024" s="94"/>
      <c r="AS1024" s="94"/>
      <c r="AT1024" s="94"/>
      <c r="AU1024" s="94"/>
      <c r="AV1024" s="94"/>
      <c r="AW1024" s="94"/>
      <c r="AX1024" s="94"/>
      <c r="AY1024" s="94"/>
      <c r="BA1024" s="95"/>
    </row>
    <row r="1025" spans="1:53" s="87" customFormat="1">
      <c r="A1025" s="90" t="str">
        <f t="shared" si="40"/>
        <v/>
      </c>
      <c r="B1025" s="98"/>
      <c r="C1025" s="94"/>
      <c r="D1025" s="94"/>
      <c r="E1025" s="94"/>
      <c r="F1025" s="94"/>
      <c r="G1025" s="94"/>
      <c r="H1025" s="94"/>
      <c r="I1025" s="94"/>
      <c r="J1025" s="94"/>
      <c r="K1025" s="94"/>
      <c r="L1025" s="94"/>
      <c r="M1025" s="94"/>
      <c r="N1025" s="94"/>
      <c r="O1025" s="94"/>
      <c r="P1025" s="94"/>
      <c r="Q1025" s="94"/>
      <c r="R1025" s="94"/>
      <c r="S1025" s="94"/>
      <c r="T1025" s="94"/>
      <c r="U1025" s="94"/>
      <c r="V1025" s="94"/>
      <c r="W1025" s="94"/>
      <c r="X1025" s="94"/>
      <c r="Y1025" s="94"/>
      <c r="Z1025" s="94"/>
      <c r="AA1025" s="94"/>
      <c r="AB1025" s="94"/>
      <c r="AC1025" s="94"/>
      <c r="AD1025" s="94"/>
      <c r="AE1025" s="94"/>
      <c r="AF1025" s="94"/>
      <c r="AG1025" s="94"/>
      <c r="AH1025" s="94"/>
      <c r="AI1025" s="94"/>
      <c r="AJ1025" s="94"/>
      <c r="AK1025" s="94"/>
      <c r="AL1025" s="94"/>
      <c r="AM1025" s="94"/>
      <c r="AN1025" s="94"/>
      <c r="AO1025" s="94"/>
      <c r="AP1025" s="94"/>
      <c r="AQ1025" s="94"/>
      <c r="AR1025" s="94"/>
      <c r="AS1025" s="94"/>
      <c r="AT1025" s="94"/>
      <c r="AU1025" s="94"/>
      <c r="AV1025" s="94"/>
      <c r="AW1025" s="94"/>
      <c r="AX1025" s="94"/>
      <c r="AY1025" s="94"/>
      <c r="BA1025" s="95"/>
    </row>
    <row r="1026" spans="1:53" s="87" customFormat="1">
      <c r="A1026" s="90" t="str">
        <f t="shared" si="40"/>
        <v/>
      </c>
      <c r="B1026" s="98"/>
      <c r="C1026" s="94"/>
      <c r="D1026" s="94"/>
      <c r="E1026" s="94"/>
      <c r="F1026" s="94"/>
      <c r="G1026" s="94"/>
      <c r="H1026" s="94"/>
      <c r="I1026" s="94"/>
      <c r="J1026" s="94"/>
      <c r="K1026" s="94"/>
      <c r="L1026" s="94"/>
      <c r="M1026" s="94"/>
      <c r="N1026" s="94"/>
      <c r="O1026" s="94"/>
      <c r="P1026" s="94"/>
      <c r="Q1026" s="94"/>
      <c r="R1026" s="94"/>
      <c r="S1026" s="94"/>
      <c r="T1026" s="94"/>
      <c r="U1026" s="94"/>
      <c r="V1026" s="94"/>
      <c r="W1026" s="94"/>
      <c r="X1026" s="94"/>
      <c r="Y1026" s="94"/>
      <c r="Z1026" s="94"/>
      <c r="AA1026" s="94"/>
      <c r="AB1026" s="94"/>
      <c r="AC1026" s="94"/>
      <c r="AD1026" s="94"/>
      <c r="AE1026" s="94"/>
      <c r="AF1026" s="94"/>
      <c r="AG1026" s="94"/>
      <c r="AH1026" s="94"/>
      <c r="AI1026" s="94"/>
      <c r="AJ1026" s="94"/>
      <c r="AK1026" s="94"/>
      <c r="AL1026" s="94"/>
      <c r="AM1026" s="94"/>
      <c r="AN1026" s="94"/>
      <c r="AO1026" s="94"/>
      <c r="AP1026" s="94"/>
      <c r="AQ1026" s="94"/>
      <c r="AR1026" s="94"/>
      <c r="AS1026" s="94"/>
      <c r="AT1026" s="94"/>
      <c r="AU1026" s="94"/>
      <c r="AV1026" s="94"/>
      <c r="AW1026" s="94"/>
      <c r="AX1026" s="94"/>
      <c r="AY1026" s="94"/>
      <c r="BA1026" s="95"/>
    </row>
    <row r="1027" spans="1:53" s="87" customFormat="1">
      <c r="A1027" s="90" t="str">
        <f t="shared" si="40"/>
        <v/>
      </c>
      <c r="B1027" s="98"/>
      <c r="C1027" s="94"/>
      <c r="D1027" s="94"/>
      <c r="E1027" s="94"/>
      <c r="F1027" s="94"/>
      <c r="G1027" s="94"/>
      <c r="H1027" s="94"/>
      <c r="I1027" s="94"/>
      <c r="J1027" s="94"/>
      <c r="K1027" s="94"/>
      <c r="L1027" s="94"/>
      <c r="M1027" s="94"/>
      <c r="N1027" s="94"/>
      <c r="O1027" s="94"/>
      <c r="P1027" s="94"/>
      <c r="Q1027" s="94"/>
      <c r="R1027" s="94"/>
      <c r="S1027" s="94"/>
      <c r="T1027" s="94"/>
      <c r="U1027" s="94"/>
      <c r="V1027" s="94"/>
      <c r="W1027" s="94"/>
      <c r="X1027" s="94"/>
      <c r="Y1027" s="94"/>
      <c r="Z1027" s="94"/>
      <c r="AA1027" s="94"/>
      <c r="AB1027" s="94"/>
      <c r="AC1027" s="94"/>
      <c r="AD1027" s="94"/>
      <c r="AE1027" s="94"/>
      <c r="AF1027" s="94"/>
      <c r="AG1027" s="94"/>
      <c r="AH1027" s="94"/>
      <c r="AI1027" s="94"/>
      <c r="AJ1027" s="94"/>
      <c r="AK1027" s="94"/>
      <c r="AL1027" s="94"/>
      <c r="AM1027" s="94"/>
      <c r="AN1027" s="94"/>
      <c r="AO1027" s="94"/>
      <c r="AP1027" s="94"/>
      <c r="AQ1027" s="94"/>
      <c r="AR1027" s="94"/>
      <c r="AS1027" s="94"/>
      <c r="AT1027" s="94"/>
      <c r="AU1027" s="94"/>
      <c r="AV1027" s="94"/>
      <c r="AW1027" s="94"/>
      <c r="AX1027" s="94"/>
      <c r="AY1027" s="94"/>
      <c r="BA1027" s="95"/>
    </row>
    <row r="1028" spans="1:53" s="87" customFormat="1">
      <c r="A1028" s="90" t="str">
        <f t="shared" si="40"/>
        <v/>
      </c>
      <c r="B1028" s="98"/>
      <c r="C1028" s="94"/>
      <c r="D1028" s="94"/>
      <c r="E1028" s="94"/>
      <c r="F1028" s="94"/>
      <c r="G1028" s="94"/>
      <c r="H1028" s="94"/>
      <c r="I1028" s="94"/>
      <c r="J1028" s="94"/>
      <c r="K1028" s="94"/>
      <c r="L1028" s="94"/>
      <c r="M1028" s="94"/>
      <c r="N1028" s="94"/>
      <c r="O1028" s="94"/>
      <c r="P1028" s="94"/>
      <c r="Q1028" s="94"/>
      <c r="R1028" s="94"/>
      <c r="S1028" s="94"/>
      <c r="T1028" s="94"/>
      <c r="U1028" s="94"/>
      <c r="V1028" s="94"/>
      <c r="W1028" s="94"/>
      <c r="X1028" s="94"/>
      <c r="Y1028" s="94"/>
      <c r="Z1028" s="94"/>
      <c r="AA1028" s="94"/>
      <c r="AB1028" s="94"/>
      <c r="AC1028" s="94"/>
      <c r="AD1028" s="94"/>
      <c r="AE1028" s="94"/>
      <c r="AF1028" s="94"/>
      <c r="AG1028" s="94"/>
      <c r="AH1028" s="94"/>
      <c r="AI1028" s="94"/>
      <c r="AJ1028" s="94"/>
      <c r="AK1028" s="94"/>
      <c r="AL1028" s="94"/>
      <c r="AM1028" s="94"/>
      <c r="AN1028" s="94"/>
      <c r="AO1028" s="94"/>
      <c r="AP1028" s="94"/>
      <c r="AQ1028" s="94"/>
      <c r="AR1028" s="94"/>
      <c r="AS1028" s="94"/>
      <c r="AT1028" s="94"/>
      <c r="AU1028" s="94"/>
      <c r="AV1028" s="94"/>
      <c r="AW1028" s="94"/>
      <c r="AX1028" s="94"/>
      <c r="AY1028" s="94"/>
      <c r="BA1028" s="95"/>
    </row>
    <row r="1029" spans="1:53" s="87" customFormat="1">
      <c r="A1029" s="90" t="str">
        <f t="shared" si="40"/>
        <v/>
      </c>
      <c r="B1029" s="98"/>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c r="AM1029" s="94"/>
      <c r="AN1029" s="94"/>
      <c r="AO1029" s="94"/>
      <c r="AP1029" s="94"/>
      <c r="AQ1029" s="94"/>
      <c r="AR1029" s="94"/>
      <c r="AS1029" s="94"/>
      <c r="AT1029" s="94"/>
      <c r="AU1029" s="94"/>
      <c r="AV1029" s="94"/>
      <c r="AW1029" s="94"/>
      <c r="AX1029" s="94"/>
      <c r="AY1029" s="94"/>
      <c r="BA1029" s="95"/>
    </row>
    <row r="1030" spans="1:53" s="87" customFormat="1">
      <c r="A1030" s="90" t="str">
        <f t="shared" si="40"/>
        <v/>
      </c>
      <c r="B1030" s="98"/>
      <c r="C1030" s="94"/>
      <c r="D1030" s="94"/>
      <c r="E1030" s="94"/>
      <c r="F1030" s="94"/>
      <c r="G1030" s="94"/>
      <c r="H1030" s="94"/>
      <c r="I1030" s="94"/>
      <c r="J1030" s="94"/>
      <c r="K1030" s="94"/>
      <c r="L1030" s="94"/>
      <c r="M1030" s="94"/>
      <c r="N1030" s="94"/>
      <c r="O1030" s="94"/>
      <c r="P1030" s="94"/>
      <c r="Q1030" s="94"/>
      <c r="R1030" s="94"/>
      <c r="S1030" s="94"/>
      <c r="T1030" s="94"/>
      <c r="U1030" s="94"/>
      <c r="V1030" s="94"/>
      <c r="W1030" s="94"/>
      <c r="X1030" s="94"/>
      <c r="Y1030" s="94"/>
      <c r="Z1030" s="94"/>
      <c r="AA1030" s="94"/>
      <c r="AB1030" s="94"/>
      <c r="AC1030" s="94"/>
      <c r="AD1030" s="94"/>
      <c r="AE1030" s="94"/>
      <c r="AF1030" s="94"/>
      <c r="AG1030" s="94"/>
      <c r="AH1030" s="94"/>
      <c r="AI1030" s="94"/>
      <c r="AJ1030" s="94"/>
      <c r="AK1030" s="94"/>
      <c r="AL1030" s="94"/>
      <c r="AM1030" s="94"/>
      <c r="AN1030" s="94"/>
      <c r="AO1030" s="94"/>
      <c r="AP1030" s="94"/>
      <c r="AQ1030" s="94"/>
      <c r="AR1030" s="94"/>
      <c r="AS1030" s="94"/>
      <c r="AT1030" s="94"/>
      <c r="AU1030" s="94"/>
      <c r="AV1030" s="94"/>
      <c r="AW1030" s="94"/>
      <c r="AX1030" s="94"/>
      <c r="AY1030" s="94"/>
      <c r="BA1030" s="95"/>
    </row>
    <row r="1031" spans="1:53" s="87" customFormat="1">
      <c r="A1031" s="90" t="str">
        <f t="shared" si="40"/>
        <v/>
      </c>
      <c r="B1031" s="98"/>
      <c r="C1031" s="94"/>
      <c r="D1031" s="94"/>
      <c r="E1031" s="94"/>
      <c r="F1031" s="94"/>
      <c r="G1031" s="94"/>
      <c r="H1031" s="94"/>
      <c r="I1031" s="94"/>
      <c r="J1031" s="94"/>
      <c r="K1031" s="94"/>
      <c r="L1031" s="94"/>
      <c r="M1031" s="94"/>
      <c r="N1031" s="94"/>
      <c r="O1031" s="94"/>
      <c r="P1031" s="94"/>
      <c r="Q1031" s="94"/>
      <c r="R1031" s="94"/>
      <c r="S1031" s="94"/>
      <c r="T1031" s="94"/>
      <c r="U1031" s="94"/>
      <c r="V1031" s="94"/>
      <c r="W1031" s="94"/>
      <c r="X1031" s="94"/>
      <c r="Y1031" s="94"/>
      <c r="Z1031" s="94"/>
      <c r="AA1031" s="94"/>
      <c r="AB1031" s="94"/>
      <c r="AC1031" s="94"/>
      <c r="AD1031" s="94"/>
      <c r="AE1031" s="94"/>
      <c r="AF1031" s="94"/>
      <c r="AG1031" s="94"/>
      <c r="AH1031" s="94"/>
      <c r="AI1031" s="94"/>
      <c r="AJ1031" s="94"/>
      <c r="AK1031" s="94"/>
      <c r="AL1031" s="94"/>
      <c r="AM1031" s="94"/>
      <c r="AN1031" s="94"/>
      <c r="AO1031" s="94"/>
      <c r="AP1031" s="94"/>
      <c r="AQ1031" s="94"/>
      <c r="AR1031" s="94"/>
      <c r="AS1031" s="94"/>
      <c r="AT1031" s="94"/>
      <c r="AU1031" s="94"/>
      <c r="AV1031" s="94"/>
      <c r="AW1031" s="94"/>
      <c r="AX1031" s="94"/>
      <c r="AY1031" s="94"/>
      <c r="BA1031" s="95"/>
    </row>
    <row r="1032" spans="1:53" s="87" customFormat="1">
      <c r="A1032" s="90" t="str">
        <f t="shared" si="40"/>
        <v/>
      </c>
      <c r="B1032" s="98"/>
      <c r="C1032" s="94"/>
      <c r="D1032" s="94"/>
      <c r="E1032" s="94"/>
      <c r="F1032" s="94"/>
      <c r="G1032" s="94"/>
      <c r="H1032" s="94"/>
      <c r="I1032" s="94"/>
      <c r="J1032" s="94"/>
      <c r="K1032" s="94"/>
      <c r="L1032" s="94"/>
      <c r="M1032" s="94"/>
      <c r="N1032" s="94"/>
      <c r="O1032" s="94"/>
      <c r="P1032" s="94"/>
      <c r="Q1032" s="94"/>
      <c r="R1032" s="94"/>
      <c r="S1032" s="94"/>
      <c r="T1032" s="94"/>
      <c r="U1032" s="94"/>
      <c r="V1032" s="94"/>
      <c r="W1032" s="94"/>
      <c r="X1032" s="94"/>
      <c r="Y1032" s="94"/>
      <c r="Z1032" s="94"/>
      <c r="AA1032" s="94"/>
      <c r="AB1032" s="94"/>
      <c r="AC1032" s="94"/>
      <c r="AD1032" s="94"/>
      <c r="AE1032" s="94"/>
      <c r="AF1032" s="94"/>
      <c r="AG1032" s="94"/>
      <c r="AH1032" s="94"/>
      <c r="AI1032" s="94"/>
      <c r="AJ1032" s="94"/>
      <c r="AK1032" s="94"/>
      <c r="AL1032" s="94"/>
      <c r="AM1032" s="94"/>
      <c r="AN1032" s="94"/>
      <c r="AO1032" s="94"/>
      <c r="AP1032" s="94"/>
      <c r="AQ1032" s="94"/>
      <c r="AR1032" s="94"/>
      <c r="AS1032" s="94"/>
      <c r="AT1032" s="94"/>
      <c r="AU1032" s="94"/>
      <c r="AV1032" s="94"/>
      <c r="AW1032" s="94"/>
      <c r="AX1032" s="94"/>
      <c r="AY1032" s="94"/>
      <c r="BA1032" s="95"/>
    </row>
    <row r="1033" spans="1:53" s="87" customFormat="1">
      <c r="A1033" s="90" t="str">
        <f t="shared" si="40"/>
        <v/>
      </c>
      <c r="B1033" s="98"/>
      <c r="C1033" s="94"/>
      <c r="D1033" s="94"/>
      <c r="E1033" s="94"/>
      <c r="F1033" s="94"/>
      <c r="G1033" s="94"/>
      <c r="H1033" s="94"/>
      <c r="I1033" s="94"/>
      <c r="J1033" s="94"/>
      <c r="K1033" s="94"/>
      <c r="L1033" s="94"/>
      <c r="M1033" s="94"/>
      <c r="N1033" s="94"/>
      <c r="O1033" s="94"/>
      <c r="P1033" s="94"/>
      <c r="Q1033" s="94"/>
      <c r="R1033" s="94"/>
      <c r="S1033" s="94"/>
      <c r="T1033" s="94"/>
      <c r="U1033" s="94"/>
      <c r="V1033" s="94"/>
      <c r="W1033" s="94"/>
      <c r="X1033" s="94"/>
      <c r="Y1033" s="94"/>
      <c r="Z1033" s="94"/>
      <c r="AA1033" s="94"/>
      <c r="AB1033" s="94"/>
      <c r="AC1033" s="94"/>
      <c r="AD1033" s="94"/>
      <c r="AE1033" s="94"/>
      <c r="AF1033" s="94"/>
      <c r="AG1033" s="94"/>
      <c r="AH1033" s="94"/>
      <c r="AI1033" s="94"/>
      <c r="AJ1033" s="94"/>
      <c r="AK1033" s="94"/>
      <c r="AL1033" s="94"/>
      <c r="AM1033" s="94"/>
      <c r="AN1033" s="94"/>
      <c r="AO1033" s="94"/>
      <c r="AP1033" s="94"/>
      <c r="AQ1033" s="94"/>
      <c r="AR1033" s="94"/>
      <c r="AS1033" s="94"/>
      <c r="AT1033" s="94"/>
      <c r="AU1033" s="94"/>
      <c r="AV1033" s="94"/>
      <c r="AW1033" s="94"/>
      <c r="AX1033" s="94"/>
      <c r="AY1033" s="94"/>
      <c r="BA1033" s="95"/>
    </row>
    <row r="1034" spans="1:53" s="87" customFormat="1">
      <c r="A1034" s="90" t="str">
        <f t="shared" si="40"/>
        <v/>
      </c>
      <c r="B1034" s="98"/>
      <c r="C1034" s="94"/>
      <c r="D1034" s="94"/>
      <c r="E1034" s="94"/>
      <c r="F1034" s="94"/>
      <c r="G1034" s="94"/>
      <c r="H1034" s="94"/>
      <c r="I1034" s="94"/>
      <c r="J1034" s="94"/>
      <c r="K1034" s="94"/>
      <c r="L1034" s="94"/>
      <c r="M1034" s="94"/>
      <c r="N1034" s="94"/>
      <c r="O1034" s="94"/>
      <c r="P1034" s="94"/>
      <c r="Q1034" s="94"/>
      <c r="R1034" s="94"/>
      <c r="S1034" s="94"/>
      <c r="T1034" s="94"/>
      <c r="U1034" s="94"/>
      <c r="V1034" s="94"/>
      <c r="W1034" s="94"/>
      <c r="X1034" s="94"/>
      <c r="Y1034" s="94"/>
      <c r="Z1034" s="94"/>
      <c r="AA1034" s="94"/>
      <c r="AB1034" s="94"/>
      <c r="AC1034" s="94"/>
      <c r="AD1034" s="94"/>
      <c r="AE1034" s="94"/>
      <c r="AF1034" s="94"/>
      <c r="AG1034" s="94"/>
      <c r="AH1034" s="94"/>
      <c r="AI1034" s="94"/>
      <c r="AJ1034" s="94"/>
      <c r="AK1034" s="94"/>
      <c r="AL1034" s="94"/>
      <c r="AM1034" s="94"/>
      <c r="AN1034" s="94"/>
      <c r="AO1034" s="94"/>
      <c r="AP1034" s="94"/>
      <c r="AQ1034" s="94"/>
      <c r="AR1034" s="94"/>
      <c r="AS1034" s="94"/>
      <c r="AT1034" s="94"/>
      <c r="AU1034" s="94"/>
      <c r="AV1034" s="94"/>
      <c r="AW1034" s="94"/>
      <c r="AX1034" s="94"/>
      <c r="AY1034" s="94"/>
      <c r="BA1034" s="95"/>
    </row>
    <row r="1035" spans="1:53" s="87" customFormat="1">
      <c r="A1035" s="90" t="str">
        <f t="shared" si="40"/>
        <v/>
      </c>
      <c r="B1035" s="98"/>
      <c r="C1035" s="94"/>
      <c r="D1035" s="94"/>
      <c r="E1035" s="94"/>
      <c r="F1035" s="94"/>
      <c r="G1035" s="94"/>
      <c r="H1035" s="94"/>
      <c r="I1035" s="94"/>
      <c r="J1035" s="94"/>
      <c r="K1035" s="94"/>
      <c r="L1035" s="94"/>
      <c r="M1035" s="94"/>
      <c r="N1035" s="94"/>
      <c r="O1035" s="94"/>
      <c r="P1035" s="94"/>
      <c r="Q1035" s="94"/>
      <c r="R1035" s="94"/>
      <c r="S1035" s="94"/>
      <c r="T1035" s="94"/>
      <c r="U1035" s="94"/>
      <c r="V1035" s="94"/>
      <c r="W1035" s="94"/>
      <c r="X1035" s="94"/>
      <c r="Y1035" s="94"/>
      <c r="Z1035" s="94"/>
      <c r="AA1035" s="94"/>
      <c r="AB1035" s="94"/>
      <c r="AC1035" s="94"/>
      <c r="AD1035" s="94"/>
      <c r="AE1035" s="94"/>
      <c r="AF1035" s="94"/>
      <c r="AG1035" s="94"/>
      <c r="AH1035" s="94"/>
      <c r="AI1035" s="94"/>
      <c r="AJ1035" s="94"/>
      <c r="AK1035" s="94"/>
      <c r="AL1035" s="94"/>
      <c r="AM1035" s="94"/>
      <c r="AN1035" s="94"/>
      <c r="AO1035" s="94"/>
      <c r="AP1035" s="94"/>
      <c r="AQ1035" s="94"/>
      <c r="AR1035" s="94"/>
      <c r="AS1035" s="94"/>
      <c r="AT1035" s="94"/>
      <c r="AU1035" s="94"/>
      <c r="AV1035" s="94"/>
      <c r="AW1035" s="94"/>
      <c r="AX1035" s="94"/>
      <c r="AY1035" s="94"/>
      <c r="BA1035" s="95"/>
    </row>
    <row r="1036" spans="1:53" s="87" customFormat="1">
      <c r="A1036" s="90" t="str">
        <f t="shared" ref="A1036:A1099" si="41">IF(MID(B1036,3,2)="07",ROW(),"")</f>
        <v/>
      </c>
      <c r="B1036" s="98"/>
      <c r="C1036" s="94"/>
      <c r="D1036" s="94"/>
      <c r="E1036" s="94"/>
      <c r="F1036" s="94"/>
      <c r="G1036" s="94"/>
      <c r="H1036" s="94"/>
      <c r="I1036" s="94"/>
      <c r="J1036" s="94"/>
      <c r="K1036" s="94"/>
      <c r="L1036" s="94"/>
      <c r="M1036" s="94"/>
      <c r="N1036" s="94"/>
      <c r="O1036" s="94"/>
      <c r="P1036" s="94"/>
      <c r="Q1036" s="94"/>
      <c r="R1036" s="94"/>
      <c r="S1036" s="94"/>
      <c r="T1036" s="94"/>
      <c r="U1036" s="94"/>
      <c r="V1036" s="94"/>
      <c r="W1036" s="94"/>
      <c r="X1036" s="94"/>
      <c r="Y1036" s="94"/>
      <c r="Z1036" s="94"/>
      <c r="AA1036" s="94"/>
      <c r="AB1036" s="94"/>
      <c r="AC1036" s="94"/>
      <c r="AD1036" s="94"/>
      <c r="AE1036" s="94"/>
      <c r="AF1036" s="94"/>
      <c r="AG1036" s="94"/>
      <c r="AH1036" s="94"/>
      <c r="AI1036" s="94"/>
      <c r="AJ1036" s="94"/>
      <c r="AK1036" s="94"/>
      <c r="AL1036" s="94"/>
      <c r="AM1036" s="94"/>
      <c r="AN1036" s="94"/>
      <c r="AO1036" s="94"/>
      <c r="AP1036" s="94"/>
      <c r="AQ1036" s="94"/>
      <c r="AR1036" s="94"/>
      <c r="AS1036" s="94"/>
      <c r="AT1036" s="94"/>
      <c r="AU1036" s="94"/>
      <c r="AV1036" s="94"/>
      <c r="AW1036" s="94"/>
      <c r="AX1036" s="94"/>
      <c r="AY1036" s="94"/>
      <c r="BA1036" s="95"/>
    </row>
    <row r="1037" spans="1:53" s="87" customFormat="1">
      <c r="A1037" s="90" t="str">
        <f t="shared" si="41"/>
        <v/>
      </c>
      <c r="B1037" s="98"/>
      <c r="C1037" s="94"/>
      <c r="D1037" s="94"/>
      <c r="E1037" s="94"/>
      <c r="F1037" s="94"/>
      <c r="G1037" s="94"/>
      <c r="H1037" s="94"/>
      <c r="I1037" s="94"/>
      <c r="J1037" s="94"/>
      <c r="K1037" s="94"/>
      <c r="L1037" s="94"/>
      <c r="M1037" s="94"/>
      <c r="N1037" s="94"/>
      <c r="O1037" s="94"/>
      <c r="P1037" s="94"/>
      <c r="Q1037" s="94"/>
      <c r="R1037" s="94"/>
      <c r="S1037" s="94"/>
      <c r="T1037" s="94"/>
      <c r="U1037" s="94"/>
      <c r="V1037" s="94"/>
      <c r="W1037" s="94"/>
      <c r="X1037" s="94"/>
      <c r="Y1037" s="94"/>
      <c r="Z1037" s="94"/>
      <c r="AA1037" s="94"/>
      <c r="AB1037" s="94"/>
      <c r="AC1037" s="94"/>
      <c r="AD1037" s="94"/>
      <c r="AE1037" s="94"/>
      <c r="AF1037" s="94"/>
      <c r="AG1037" s="94"/>
      <c r="AH1037" s="94"/>
      <c r="AI1037" s="94"/>
      <c r="AJ1037" s="94"/>
      <c r="AK1037" s="94"/>
      <c r="AL1037" s="94"/>
      <c r="AM1037" s="94"/>
      <c r="AN1037" s="94"/>
      <c r="AO1037" s="94"/>
      <c r="AP1037" s="94"/>
      <c r="AQ1037" s="94"/>
      <c r="AR1037" s="94"/>
      <c r="AS1037" s="94"/>
      <c r="AT1037" s="94"/>
      <c r="AU1037" s="94"/>
      <c r="AV1037" s="94"/>
      <c r="AW1037" s="94"/>
      <c r="AX1037" s="94"/>
      <c r="AY1037" s="94"/>
      <c r="BA1037" s="95"/>
    </row>
    <row r="1038" spans="1:53" s="87" customFormat="1">
      <c r="A1038" s="90" t="str">
        <f t="shared" si="41"/>
        <v/>
      </c>
      <c r="B1038" s="98"/>
      <c r="C1038" s="94"/>
      <c r="D1038" s="94"/>
      <c r="E1038" s="94"/>
      <c r="F1038" s="94"/>
      <c r="G1038" s="94"/>
      <c r="H1038" s="94"/>
      <c r="I1038" s="94"/>
      <c r="J1038" s="94"/>
      <c r="K1038" s="94"/>
      <c r="L1038" s="94"/>
      <c r="M1038" s="94"/>
      <c r="N1038" s="94"/>
      <c r="O1038" s="94"/>
      <c r="P1038" s="94"/>
      <c r="Q1038" s="94"/>
      <c r="R1038" s="94"/>
      <c r="S1038" s="94"/>
      <c r="T1038" s="94"/>
      <c r="U1038" s="94"/>
      <c r="V1038" s="94"/>
      <c r="W1038" s="94"/>
      <c r="X1038" s="94"/>
      <c r="Y1038" s="94"/>
      <c r="Z1038" s="94"/>
      <c r="AA1038" s="94"/>
      <c r="AB1038" s="94"/>
      <c r="AC1038" s="94"/>
      <c r="AD1038" s="94"/>
      <c r="AE1038" s="94"/>
      <c r="AF1038" s="94"/>
      <c r="AG1038" s="94"/>
      <c r="AH1038" s="94"/>
      <c r="AI1038" s="94"/>
      <c r="AJ1038" s="94"/>
      <c r="AK1038" s="94"/>
      <c r="AL1038" s="94"/>
      <c r="AM1038" s="94"/>
      <c r="AN1038" s="94"/>
      <c r="AO1038" s="94"/>
      <c r="AP1038" s="94"/>
      <c r="AQ1038" s="94"/>
      <c r="AR1038" s="94"/>
      <c r="AS1038" s="94"/>
      <c r="AT1038" s="94"/>
      <c r="AU1038" s="94"/>
      <c r="AV1038" s="94"/>
      <c r="AW1038" s="94"/>
      <c r="AX1038" s="94"/>
      <c r="AY1038" s="94"/>
      <c r="BA1038" s="95"/>
    </row>
    <row r="1039" spans="1:53" s="87" customFormat="1">
      <c r="A1039" s="90" t="str">
        <f t="shared" si="41"/>
        <v/>
      </c>
      <c r="B1039" s="98"/>
      <c r="C1039" s="94"/>
      <c r="D1039" s="94"/>
      <c r="E1039" s="94"/>
      <c r="F1039" s="94"/>
      <c r="G1039" s="94"/>
      <c r="H1039" s="94"/>
      <c r="I1039" s="94"/>
      <c r="J1039" s="94"/>
      <c r="K1039" s="94"/>
      <c r="L1039" s="94"/>
      <c r="M1039" s="94"/>
      <c r="N1039" s="94"/>
      <c r="O1039" s="94"/>
      <c r="P1039" s="94"/>
      <c r="Q1039" s="94"/>
      <c r="R1039" s="94"/>
      <c r="S1039" s="94"/>
      <c r="T1039" s="94"/>
      <c r="U1039" s="94"/>
      <c r="V1039" s="94"/>
      <c r="W1039" s="94"/>
      <c r="X1039" s="94"/>
      <c r="Y1039" s="94"/>
      <c r="Z1039" s="94"/>
      <c r="AA1039" s="94"/>
      <c r="AB1039" s="94"/>
      <c r="AC1039" s="94"/>
      <c r="AD1039" s="94"/>
      <c r="AE1039" s="94"/>
      <c r="AF1039" s="94"/>
      <c r="AG1039" s="94"/>
      <c r="AH1039" s="94"/>
      <c r="AI1039" s="94"/>
      <c r="AJ1039" s="94"/>
      <c r="AK1039" s="94"/>
      <c r="AL1039" s="94"/>
      <c r="AM1039" s="94"/>
      <c r="AN1039" s="94"/>
      <c r="AO1039" s="94"/>
      <c r="AP1039" s="94"/>
      <c r="AQ1039" s="94"/>
      <c r="AR1039" s="94"/>
      <c r="AS1039" s="94"/>
      <c r="AT1039" s="94"/>
      <c r="AU1039" s="94"/>
      <c r="AV1039" s="94"/>
      <c r="AW1039" s="94"/>
      <c r="AX1039" s="94"/>
      <c r="AY1039" s="94"/>
      <c r="BA1039" s="95"/>
    </row>
    <row r="1040" spans="1:53" s="87" customFormat="1">
      <c r="A1040" s="90" t="str">
        <f t="shared" si="41"/>
        <v/>
      </c>
      <c r="B1040" s="98"/>
      <c r="C1040" s="94"/>
      <c r="D1040" s="94"/>
      <c r="E1040" s="94"/>
      <c r="F1040" s="94"/>
      <c r="G1040" s="94"/>
      <c r="H1040" s="94"/>
      <c r="I1040" s="94"/>
      <c r="J1040" s="94"/>
      <c r="K1040" s="94"/>
      <c r="L1040" s="94"/>
      <c r="M1040" s="94"/>
      <c r="N1040" s="94"/>
      <c r="O1040" s="94"/>
      <c r="P1040" s="94"/>
      <c r="Q1040" s="94"/>
      <c r="R1040" s="94"/>
      <c r="S1040" s="94"/>
      <c r="T1040" s="94"/>
      <c r="U1040" s="94"/>
      <c r="V1040" s="94"/>
      <c r="W1040" s="94"/>
      <c r="X1040" s="94"/>
      <c r="Y1040" s="94"/>
      <c r="Z1040" s="94"/>
      <c r="AA1040" s="94"/>
      <c r="AB1040" s="94"/>
      <c r="AC1040" s="94"/>
      <c r="AD1040" s="94"/>
      <c r="AE1040" s="94"/>
      <c r="AF1040" s="94"/>
      <c r="AG1040" s="94"/>
      <c r="AH1040" s="94"/>
      <c r="AI1040" s="94"/>
      <c r="AJ1040" s="94"/>
      <c r="AK1040" s="94"/>
      <c r="AL1040" s="94"/>
      <c r="AM1040" s="94"/>
      <c r="AN1040" s="94"/>
      <c r="AO1040" s="94"/>
      <c r="AP1040" s="94"/>
      <c r="AQ1040" s="94"/>
      <c r="AR1040" s="94"/>
      <c r="AS1040" s="94"/>
      <c r="AT1040" s="94"/>
      <c r="AU1040" s="94"/>
      <c r="AV1040" s="94"/>
      <c r="AW1040" s="94"/>
      <c r="AX1040" s="94"/>
      <c r="AY1040" s="94"/>
      <c r="BA1040" s="95"/>
    </row>
    <row r="1041" spans="1:53" s="87" customFormat="1">
      <c r="A1041" s="90" t="str">
        <f t="shared" si="41"/>
        <v/>
      </c>
      <c r="B1041" s="98"/>
      <c r="C1041" s="94"/>
      <c r="D1041" s="94"/>
      <c r="E1041" s="94"/>
      <c r="F1041" s="94"/>
      <c r="G1041" s="94"/>
      <c r="H1041" s="94"/>
      <c r="I1041" s="94"/>
      <c r="J1041" s="94"/>
      <c r="K1041" s="94"/>
      <c r="L1041" s="94"/>
      <c r="M1041" s="94"/>
      <c r="N1041" s="94"/>
      <c r="O1041" s="94"/>
      <c r="P1041" s="94"/>
      <c r="Q1041" s="94"/>
      <c r="R1041" s="94"/>
      <c r="S1041" s="94"/>
      <c r="T1041" s="94"/>
      <c r="U1041" s="94"/>
      <c r="V1041" s="94"/>
      <c r="W1041" s="94"/>
      <c r="X1041" s="94"/>
      <c r="Y1041" s="94"/>
      <c r="Z1041" s="94"/>
      <c r="AA1041" s="94"/>
      <c r="AB1041" s="94"/>
      <c r="AC1041" s="94"/>
      <c r="AD1041" s="94"/>
      <c r="AE1041" s="94"/>
      <c r="AF1041" s="94"/>
      <c r="AG1041" s="94"/>
      <c r="AH1041" s="94"/>
      <c r="AI1041" s="94"/>
      <c r="AJ1041" s="94"/>
      <c r="AK1041" s="94"/>
      <c r="AL1041" s="94"/>
      <c r="AM1041" s="94"/>
      <c r="AN1041" s="94"/>
      <c r="AO1041" s="94"/>
      <c r="AP1041" s="94"/>
      <c r="AQ1041" s="94"/>
      <c r="AR1041" s="94"/>
      <c r="AS1041" s="94"/>
      <c r="AT1041" s="94"/>
      <c r="AU1041" s="94"/>
      <c r="AV1041" s="94"/>
      <c r="AW1041" s="94"/>
      <c r="AX1041" s="94"/>
      <c r="AY1041" s="94"/>
      <c r="BA1041" s="95"/>
    </row>
    <row r="1042" spans="1:53" s="87" customFormat="1">
      <c r="A1042" s="90" t="str">
        <f t="shared" si="41"/>
        <v/>
      </c>
      <c r="B1042" s="98"/>
      <c r="C1042" s="94"/>
      <c r="D1042" s="94"/>
      <c r="E1042" s="94"/>
      <c r="F1042" s="94"/>
      <c r="G1042" s="94"/>
      <c r="H1042" s="94"/>
      <c r="I1042" s="94"/>
      <c r="J1042" s="94"/>
      <c r="K1042" s="94"/>
      <c r="L1042" s="94"/>
      <c r="M1042" s="94"/>
      <c r="N1042" s="94"/>
      <c r="O1042" s="94"/>
      <c r="P1042" s="94"/>
      <c r="Q1042" s="94"/>
      <c r="R1042" s="94"/>
      <c r="S1042" s="94"/>
      <c r="T1042" s="94"/>
      <c r="U1042" s="94"/>
      <c r="V1042" s="94"/>
      <c r="W1042" s="94"/>
      <c r="X1042" s="94"/>
      <c r="Y1042" s="94"/>
      <c r="Z1042" s="94"/>
      <c r="AA1042" s="94"/>
      <c r="AB1042" s="94"/>
      <c r="AC1042" s="94"/>
      <c r="AD1042" s="94"/>
      <c r="AE1042" s="94"/>
      <c r="AF1042" s="94"/>
      <c r="AG1042" s="94"/>
      <c r="AH1042" s="94"/>
      <c r="AI1042" s="94"/>
      <c r="AJ1042" s="94"/>
      <c r="AK1042" s="94"/>
      <c r="AL1042" s="94"/>
      <c r="AM1042" s="94"/>
      <c r="AN1042" s="94"/>
      <c r="AO1042" s="94"/>
      <c r="AP1042" s="94"/>
      <c r="AQ1042" s="94"/>
      <c r="AR1042" s="94"/>
      <c r="AS1042" s="94"/>
      <c r="AT1042" s="94"/>
      <c r="AU1042" s="94"/>
      <c r="AV1042" s="94"/>
      <c r="AW1042" s="94"/>
      <c r="AX1042" s="94"/>
      <c r="AY1042" s="94"/>
      <c r="BA1042" s="95"/>
    </row>
    <row r="1043" spans="1:53" s="87" customFormat="1">
      <c r="A1043" s="90" t="str">
        <f t="shared" si="41"/>
        <v/>
      </c>
      <c r="B1043" s="98"/>
      <c r="C1043" s="94"/>
      <c r="D1043" s="94"/>
      <c r="E1043" s="94"/>
      <c r="F1043" s="94"/>
      <c r="G1043" s="94"/>
      <c r="H1043" s="94"/>
      <c r="I1043" s="94"/>
      <c r="J1043" s="94"/>
      <c r="K1043" s="94"/>
      <c r="L1043" s="94"/>
      <c r="M1043" s="94"/>
      <c r="N1043" s="94"/>
      <c r="O1043" s="94"/>
      <c r="P1043" s="94"/>
      <c r="Q1043" s="94"/>
      <c r="R1043" s="94"/>
      <c r="S1043" s="94"/>
      <c r="T1043" s="94"/>
      <c r="U1043" s="94"/>
      <c r="V1043" s="94"/>
      <c r="W1043" s="94"/>
      <c r="X1043" s="94"/>
      <c r="Y1043" s="94"/>
      <c r="Z1043" s="94"/>
      <c r="AA1043" s="94"/>
      <c r="AB1043" s="94"/>
      <c r="AC1043" s="94"/>
      <c r="AD1043" s="94"/>
      <c r="AE1043" s="94"/>
      <c r="AF1043" s="94"/>
      <c r="AG1043" s="94"/>
      <c r="AH1043" s="94"/>
      <c r="AI1043" s="94"/>
      <c r="AJ1043" s="94"/>
      <c r="AK1043" s="94"/>
      <c r="AL1043" s="94"/>
      <c r="AM1043" s="94"/>
      <c r="AN1043" s="94"/>
      <c r="AO1043" s="94"/>
      <c r="AP1043" s="94"/>
      <c r="AQ1043" s="94"/>
      <c r="AR1043" s="94"/>
      <c r="AS1043" s="94"/>
      <c r="AT1043" s="94"/>
      <c r="AU1043" s="94"/>
      <c r="AV1043" s="94"/>
      <c r="AW1043" s="94"/>
      <c r="AX1043" s="94"/>
      <c r="AY1043" s="94"/>
      <c r="BA1043" s="95"/>
    </row>
    <row r="1044" spans="1:53" s="87" customFormat="1">
      <c r="A1044" s="90" t="str">
        <f t="shared" si="41"/>
        <v/>
      </c>
      <c r="B1044" s="98"/>
      <c r="C1044" s="94"/>
      <c r="D1044" s="94"/>
      <c r="E1044" s="94"/>
      <c r="F1044" s="94"/>
      <c r="G1044" s="94"/>
      <c r="H1044" s="94"/>
      <c r="I1044" s="94"/>
      <c r="J1044" s="94"/>
      <c r="K1044" s="94"/>
      <c r="L1044" s="94"/>
      <c r="M1044" s="94"/>
      <c r="N1044" s="94"/>
      <c r="O1044" s="94"/>
      <c r="P1044" s="94"/>
      <c r="Q1044" s="94"/>
      <c r="R1044" s="94"/>
      <c r="S1044" s="94"/>
      <c r="T1044" s="94"/>
      <c r="U1044" s="94"/>
      <c r="V1044" s="94"/>
      <c r="W1044" s="94"/>
      <c r="X1044" s="94"/>
      <c r="Y1044" s="94"/>
      <c r="Z1044" s="94"/>
      <c r="AA1044" s="94"/>
      <c r="AB1044" s="94"/>
      <c r="AC1044" s="94"/>
      <c r="AD1044" s="94"/>
      <c r="AE1044" s="94"/>
      <c r="AF1044" s="94"/>
      <c r="AG1044" s="94"/>
      <c r="AH1044" s="94"/>
      <c r="AI1044" s="94"/>
      <c r="AJ1044" s="94"/>
      <c r="AK1044" s="94"/>
      <c r="AL1044" s="94"/>
      <c r="AM1044" s="94"/>
      <c r="AN1044" s="94"/>
      <c r="AO1044" s="94"/>
      <c r="AP1044" s="94"/>
      <c r="AQ1044" s="94"/>
      <c r="AR1044" s="94"/>
      <c r="AS1044" s="94"/>
      <c r="AT1044" s="94"/>
      <c r="AU1044" s="94"/>
      <c r="AV1044" s="94"/>
      <c r="AW1044" s="94"/>
      <c r="AX1044" s="94"/>
      <c r="AY1044" s="94"/>
      <c r="BA1044" s="95"/>
    </row>
    <row r="1045" spans="1:53" s="87" customFormat="1">
      <c r="A1045" s="90" t="str">
        <f t="shared" si="41"/>
        <v/>
      </c>
      <c r="B1045" s="98"/>
      <c r="C1045" s="94"/>
      <c r="D1045" s="94"/>
      <c r="E1045" s="94"/>
      <c r="F1045" s="94"/>
      <c r="G1045" s="94"/>
      <c r="H1045" s="94"/>
      <c r="I1045" s="94"/>
      <c r="J1045" s="94"/>
      <c r="K1045" s="94"/>
      <c r="L1045" s="94"/>
      <c r="M1045" s="94"/>
      <c r="N1045" s="94"/>
      <c r="O1045" s="94"/>
      <c r="P1045" s="94"/>
      <c r="Q1045" s="94"/>
      <c r="R1045" s="94"/>
      <c r="S1045" s="94"/>
      <c r="T1045" s="94"/>
      <c r="U1045" s="94"/>
      <c r="V1045" s="94"/>
      <c r="W1045" s="94"/>
      <c r="X1045" s="94"/>
      <c r="Y1045" s="94"/>
      <c r="Z1045" s="94"/>
      <c r="AA1045" s="94"/>
      <c r="AB1045" s="94"/>
      <c r="AC1045" s="94"/>
      <c r="AD1045" s="94"/>
      <c r="AE1045" s="94"/>
      <c r="AF1045" s="94"/>
      <c r="AG1045" s="94"/>
      <c r="AH1045" s="94"/>
      <c r="AI1045" s="94"/>
      <c r="AJ1045" s="94"/>
      <c r="AK1045" s="94"/>
      <c r="AL1045" s="94"/>
      <c r="AM1045" s="94"/>
      <c r="AN1045" s="94"/>
      <c r="AO1045" s="94"/>
      <c r="AP1045" s="94"/>
      <c r="AQ1045" s="94"/>
      <c r="AR1045" s="94"/>
      <c r="AS1045" s="94"/>
      <c r="AT1045" s="94"/>
      <c r="AU1045" s="94"/>
      <c r="AV1045" s="94"/>
      <c r="AW1045" s="94"/>
      <c r="AX1045" s="94"/>
      <c r="AY1045" s="94"/>
      <c r="BA1045" s="95"/>
    </row>
    <row r="1046" spans="1:53" s="87" customFormat="1">
      <c r="A1046" s="90" t="str">
        <f t="shared" si="41"/>
        <v/>
      </c>
      <c r="B1046" s="98"/>
      <c r="C1046" s="94"/>
      <c r="D1046" s="94"/>
      <c r="E1046" s="94"/>
      <c r="F1046" s="94"/>
      <c r="G1046" s="94"/>
      <c r="H1046" s="94"/>
      <c r="I1046" s="94"/>
      <c r="J1046" s="94"/>
      <c r="K1046" s="94"/>
      <c r="L1046" s="94"/>
      <c r="M1046" s="94"/>
      <c r="N1046" s="94"/>
      <c r="O1046" s="94"/>
      <c r="P1046" s="94"/>
      <c r="Q1046" s="94"/>
      <c r="R1046" s="94"/>
      <c r="S1046" s="94"/>
      <c r="T1046" s="94"/>
      <c r="U1046" s="94"/>
      <c r="V1046" s="94"/>
      <c r="W1046" s="94"/>
      <c r="X1046" s="94"/>
      <c r="Y1046" s="94"/>
      <c r="Z1046" s="94"/>
      <c r="AA1046" s="94"/>
      <c r="AB1046" s="94"/>
      <c r="AC1046" s="94"/>
      <c r="AD1046" s="94"/>
      <c r="AE1046" s="94"/>
      <c r="AF1046" s="94"/>
      <c r="AG1046" s="94"/>
      <c r="AH1046" s="94"/>
      <c r="AI1046" s="94"/>
      <c r="AJ1046" s="94"/>
      <c r="AK1046" s="94"/>
      <c r="AL1046" s="94"/>
      <c r="AM1046" s="94"/>
      <c r="AN1046" s="94"/>
      <c r="AO1046" s="94"/>
      <c r="AP1046" s="94"/>
      <c r="AQ1046" s="94"/>
      <c r="AR1046" s="94"/>
      <c r="AS1046" s="94"/>
      <c r="AT1046" s="94"/>
      <c r="AU1046" s="94"/>
      <c r="AV1046" s="94"/>
      <c r="AW1046" s="94"/>
      <c r="AX1046" s="94"/>
      <c r="AY1046" s="94"/>
      <c r="BA1046" s="95"/>
    </row>
    <row r="1047" spans="1:53" s="87" customFormat="1">
      <c r="A1047" s="90" t="str">
        <f t="shared" si="41"/>
        <v/>
      </c>
      <c r="B1047" s="98"/>
      <c r="C1047" s="94"/>
      <c r="D1047" s="94"/>
      <c r="E1047" s="94"/>
      <c r="F1047" s="94"/>
      <c r="G1047" s="94"/>
      <c r="H1047" s="94"/>
      <c r="I1047" s="94"/>
      <c r="J1047" s="94"/>
      <c r="K1047" s="94"/>
      <c r="L1047" s="94"/>
      <c r="M1047" s="94"/>
      <c r="N1047" s="94"/>
      <c r="O1047" s="94"/>
      <c r="P1047" s="94"/>
      <c r="Q1047" s="94"/>
      <c r="R1047" s="94"/>
      <c r="S1047" s="94"/>
      <c r="T1047" s="94"/>
      <c r="U1047" s="94"/>
      <c r="V1047" s="94"/>
      <c r="W1047" s="94"/>
      <c r="X1047" s="94"/>
      <c r="Y1047" s="94"/>
      <c r="Z1047" s="94"/>
      <c r="AA1047" s="94"/>
      <c r="AB1047" s="94"/>
      <c r="AC1047" s="94"/>
      <c r="AD1047" s="94"/>
      <c r="AE1047" s="94"/>
      <c r="AF1047" s="94"/>
      <c r="AG1047" s="94"/>
      <c r="AH1047" s="94"/>
      <c r="AI1047" s="94"/>
      <c r="AJ1047" s="94"/>
      <c r="AK1047" s="94"/>
      <c r="AL1047" s="94"/>
      <c r="AM1047" s="94"/>
      <c r="AN1047" s="94"/>
      <c r="AO1047" s="94"/>
      <c r="AP1047" s="94"/>
      <c r="AQ1047" s="94"/>
      <c r="AR1047" s="94"/>
      <c r="AS1047" s="94"/>
      <c r="AT1047" s="94"/>
      <c r="AU1047" s="94"/>
      <c r="AV1047" s="94"/>
      <c r="AW1047" s="94"/>
      <c r="AX1047" s="94"/>
      <c r="AY1047" s="94"/>
      <c r="BA1047" s="95"/>
    </row>
    <row r="1048" spans="1:53" s="87" customFormat="1">
      <c r="A1048" s="90" t="str">
        <f t="shared" si="41"/>
        <v/>
      </c>
      <c r="B1048" s="98"/>
      <c r="C1048" s="94"/>
      <c r="D1048" s="94"/>
      <c r="E1048" s="94"/>
      <c r="F1048" s="94"/>
      <c r="G1048" s="94"/>
      <c r="H1048" s="94"/>
      <c r="I1048" s="94"/>
      <c r="J1048" s="94"/>
      <c r="K1048" s="94"/>
      <c r="L1048" s="94"/>
      <c r="M1048" s="94"/>
      <c r="N1048" s="94"/>
      <c r="O1048" s="94"/>
      <c r="P1048" s="94"/>
      <c r="Q1048" s="94"/>
      <c r="R1048" s="94"/>
      <c r="S1048" s="94"/>
      <c r="T1048" s="94"/>
      <c r="U1048" s="94"/>
      <c r="V1048" s="94"/>
      <c r="W1048" s="94"/>
      <c r="X1048" s="94"/>
      <c r="Y1048" s="94"/>
      <c r="Z1048" s="94"/>
      <c r="AA1048" s="94"/>
      <c r="AB1048" s="94"/>
      <c r="AC1048" s="94"/>
      <c r="AD1048" s="94"/>
      <c r="AE1048" s="94"/>
      <c r="AF1048" s="94"/>
      <c r="AG1048" s="94"/>
      <c r="AH1048" s="94"/>
      <c r="AI1048" s="94"/>
      <c r="AJ1048" s="94"/>
      <c r="AK1048" s="94"/>
      <c r="AL1048" s="94"/>
      <c r="AM1048" s="94"/>
      <c r="AN1048" s="94"/>
      <c r="AO1048" s="94"/>
      <c r="AP1048" s="94"/>
      <c r="AQ1048" s="94"/>
      <c r="AR1048" s="94"/>
      <c r="AS1048" s="94"/>
      <c r="AT1048" s="94"/>
      <c r="AU1048" s="94"/>
      <c r="AV1048" s="94"/>
      <c r="AW1048" s="94"/>
      <c r="AX1048" s="94"/>
      <c r="AY1048" s="94"/>
      <c r="BA1048" s="95"/>
    </row>
    <row r="1049" spans="1:53" s="87" customFormat="1">
      <c r="A1049" s="90" t="str">
        <f t="shared" si="41"/>
        <v/>
      </c>
      <c r="B1049" s="98"/>
      <c r="C1049" s="94"/>
      <c r="D1049" s="94"/>
      <c r="E1049" s="94"/>
      <c r="F1049" s="94"/>
      <c r="G1049" s="94"/>
      <c r="H1049" s="94"/>
      <c r="I1049" s="94"/>
      <c r="J1049" s="94"/>
      <c r="K1049" s="94"/>
      <c r="L1049" s="94"/>
      <c r="M1049" s="94"/>
      <c r="N1049" s="94"/>
      <c r="O1049" s="94"/>
      <c r="P1049" s="94"/>
      <c r="Q1049" s="94"/>
      <c r="R1049" s="94"/>
      <c r="S1049" s="94"/>
      <c r="T1049" s="94"/>
      <c r="U1049" s="94"/>
      <c r="V1049" s="94"/>
      <c r="W1049" s="94"/>
      <c r="X1049" s="94"/>
      <c r="Y1049" s="94"/>
      <c r="Z1049" s="94"/>
      <c r="AA1049" s="94"/>
      <c r="AB1049" s="94"/>
      <c r="AC1049" s="94"/>
      <c r="AD1049" s="94"/>
      <c r="AE1049" s="94"/>
      <c r="AF1049" s="94"/>
      <c r="AG1049" s="94"/>
      <c r="AH1049" s="94"/>
      <c r="AI1049" s="94"/>
      <c r="AJ1049" s="94"/>
      <c r="AK1049" s="94"/>
      <c r="AL1049" s="94"/>
      <c r="AM1049" s="94"/>
      <c r="AN1049" s="94"/>
      <c r="AO1049" s="94"/>
      <c r="AP1049" s="94"/>
      <c r="AQ1049" s="94"/>
      <c r="AR1049" s="94"/>
      <c r="AS1049" s="94"/>
      <c r="AT1049" s="94"/>
      <c r="AU1049" s="94"/>
      <c r="AV1049" s="94"/>
      <c r="AW1049" s="94"/>
      <c r="AX1049" s="94"/>
      <c r="AY1049" s="94"/>
      <c r="BA1049" s="95"/>
    </row>
    <row r="1050" spans="1:53" s="87" customFormat="1">
      <c r="A1050" s="90" t="str">
        <f t="shared" si="41"/>
        <v/>
      </c>
      <c r="B1050" s="98"/>
      <c r="C1050" s="94"/>
      <c r="D1050" s="94"/>
      <c r="E1050" s="94"/>
      <c r="F1050" s="94"/>
      <c r="G1050" s="94"/>
      <c r="H1050" s="94"/>
      <c r="I1050" s="94"/>
      <c r="J1050" s="94"/>
      <c r="K1050" s="94"/>
      <c r="L1050" s="94"/>
      <c r="M1050" s="94"/>
      <c r="N1050" s="94"/>
      <c r="O1050" s="94"/>
      <c r="P1050" s="94"/>
      <c r="Q1050" s="94"/>
      <c r="R1050" s="94"/>
      <c r="S1050" s="94"/>
      <c r="T1050" s="94"/>
      <c r="U1050" s="94"/>
      <c r="V1050" s="94"/>
      <c r="W1050" s="94"/>
      <c r="X1050" s="94"/>
      <c r="Y1050" s="94"/>
      <c r="Z1050" s="94"/>
      <c r="AA1050" s="94"/>
      <c r="AB1050" s="94"/>
      <c r="AC1050" s="94"/>
      <c r="AD1050" s="94"/>
      <c r="AE1050" s="94"/>
      <c r="AF1050" s="94"/>
      <c r="AG1050" s="94"/>
      <c r="AH1050" s="94"/>
      <c r="AI1050" s="94"/>
      <c r="AJ1050" s="94"/>
      <c r="AK1050" s="94"/>
      <c r="AL1050" s="94"/>
      <c r="AM1050" s="94"/>
      <c r="AN1050" s="94"/>
      <c r="AO1050" s="94"/>
      <c r="AP1050" s="94"/>
      <c r="AQ1050" s="94"/>
      <c r="AR1050" s="94"/>
      <c r="AS1050" s="94"/>
      <c r="AT1050" s="94"/>
      <c r="AU1050" s="94"/>
      <c r="AV1050" s="94"/>
      <c r="AW1050" s="94"/>
      <c r="AX1050" s="94"/>
      <c r="AY1050" s="94"/>
      <c r="BA1050" s="95"/>
    </row>
    <row r="1051" spans="1:53" s="87" customFormat="1">
      <c r="A1051" s="90" t="str">
        <f t="shared" si="41"/>
        <v/>
      </c>
      <c r="B1051" s="98"/>
      <c r="C1051" s="94"/>
      <c r="D1051" s="94"/>
      <c r="E1051" s="94"/>
      <c r="F1051" s="94"/>
      <c r="G1051" s="94"/>
      <c r="H1051" s="94"/>
      <c r="I1051" s="94"/>
      <c r="J1051" s="94"/>
      <c r="K1051" s="94"/>
      <c r="L1051" s="94"/>
      <c r="M1051" s="94"/>
      <c r="N1051" s="94"/>
      <c r="O1051" s="94"/>
      <c r="P1051" s="94"/>
      <c r="Q1051" s="94"/>
      <c r="R1051" s="94"/>
      <c r="S1051" s="94"/>
      <c r="T1051" s="94"/>
      <c r="U1051" s="94"/>
      <c r="V1051" s="94"/>
      <c r="W1051" s="94"/>
      <c r="X1051" s="94"/>
      <c r="Y1051" s="94"/>
      <c r="Z1051" s="94"/>
      <c r="AA1051" s="94"/>
      <c r="AB1051" s="94"/>
      <c r="AC1051" s="94"/>
      <c r="AD1051" s="94"/>
      <c r="AE1051" s="94"/>
      <c r="AF1051" s="94"/>
      <c r="AG1051" s="94"/>
      <c r="AH1051" s="94"/>
      <c r="AI1051" s="94"/>
      <c r="AJ1051" s="94"/>
      <c r="AK1051" s="94"/>
      <c r="AL1051" s="94"/>
      <c r="AM1051" s="94"/>
      <c r="AN1051" s="94"/>
      <c r="AO1051" s="94"/>
      <c r="AP1051" s="94"/>
      <c r="AQ1051" s="94"/>
      <c r="AR1051" s="94"/>
      <c r="AS1051" s="94"/>
      <c r="AT1051" s="94"/>
      <c r="AU1051" s="94"/>
      <c r="AV1051" s="94"/>
      <c r="AW1051" s="94"/>
      <c r="AX1051" s="94"/>
      <c r="AY1051" s="94"/>
      <c r="BA1051" s="95"/>
    </row>
    <row r="1052" spans="1:53" s="87" customFormat="1">
      <c r="A1052" s="90" t="str">
        <f t="shared" si="41"/>
        <v/>
      </c>
      <c r="B1052" s="98"/>
      <c r="C1052" s="94"/>
      <c r="D1052" s="94"/>
      <c r="E1052" s="94"/>
      <c r="F1052" s="94"/>
      <c r="G1052" s="94"/>
      <c r="H1052" s="94"/>
      <c r="I1052" s="94"/>
      <c r="J1052" s="94"/>
      <c r="K1052" s="94"/>
      <c r="L1052" s="94"/>
      <c r="M1052" s="94"/>
      <c r="N1052" s="94"/>
      <c r="O1052" s="94"/>
      <c r="P1052" s="94"/>
      <c r="Q1052" s="94"/>
      <c r="R1052" s="94"/>
      <c r="S1052" s="94"/>
      <c r="T1052" s="94"/>
      <c r="U1052" s="94"/>
      <c r="V1052" s="94"/>
      <c r="W1052" s="94"/>
      <c r="X1052" s="94"/>
      <c r="Y1052" s="94"/>
      <c r="Z1052" s="94"/>
      <c r="AA1052" s="94"/>
      <c r="AB1052" s="94"/>
      <c r="AC1052" s="94"/>
      <c r="AD1052" s="94"/>
      <c r="AE1052" s="94"/>
      <c r="AF1052" s="94"/>
      <c r="AG1052" s="94"/>
      <c r="AH1052" s="94"/>
      <c r="AI1052" s="94"/>
      <c r="AJ1052" s="94"/>
      <c r="AK1052" s="94"/>
      <c r="AL1052" s="94"/>
      <c r="AM1052" s="94"/>
      <c r="AN1052" s="94"/>
      <c r="AO1052" s="94"/>
      <c r="AP1052" s="94"/>
      <c r="AQ1052" s="94"/>
      <c r="AR1052" s="94"/>
      <c r="AS1052" s="94"/>
      <c r="AT1052" s="94"/>
      <c r="AU1052" s="94"/>
      <c r="AV1052" s="94"/>
      <c r="AW1052" s="94"/>
      <c r="AX1052" s="94"/>
      <c r="AY1052" s="94"/>
      <c r="BA1052" s="95"/>
    </row>
    <row r="1053" spans="1:53" s="87" customFormat="1">
      <c r="A1053" s="90" t="str">
        <f t="shared" si="41"/>
        <v/>
      </c>
      <c r="B1053" s="98"/>
      <c r="C1053" s="94"/>
      <c r="D1053" s="94"/>
      <c r="E1053" s="94"/>
      <c r="F1053" s="94"/>
      <c r="G1053" s="94"/>
      <c r="H1053" s="94"/>
      <c r="I1053" s="94"/>
      <c r="J1053" s="94"/>
      <c r="K1053" s="94"/>
      <c r="L1053" s="94"/>
      <c r="M1053" s="94"/>
      <c r="N1053" s="94"/>
      <c r="O1053" s="94"/>
      <c r="P1053" s="94"/>
      <c r="Q1053" s="94"/>
      <c r="R1053" s="94"/>
      <c r="S1053" s="94"/>
      <c r="T1053" s="94"/>
      <c r="U1053" s="94"/>
      <c r="V1053" s="94"/>
      <c r="W1053" s="94"/>
      <c r="X1053" s="94"/>
      <c r="Y1053" s="94"/>
      <c r="Z1053" s="94"/>
      <c r="AA1053" s="94"/>
      <c r="AB1053" s="94"/>
      <c r="AC1053" s="94"/>
      <c r="AD1053" s="94"/>
      <c r="AE1053" s="94"/>
      <c r="AF1053" s="94"/>
      <c r="AG1053" s="94"/>
      <c r="AH1053" s="94"/>
      <c r="AI1053" s="94"/>
      <c r="AJ1053" s="94"/>
      <c r="AK1053" s="94"/>
      <c r="AL1053" s="94"/>
      <c r="AM1053" s="94"/>
      <c r="AN1053" s="94"/>
      <c r="AO1053" s="94"/>
      <c r="AP1053" s="94"/>
      <c r="AQ1053" s="94"/>
      <c r="AR1053" s="94"/>
      <c r="AS1053" s="94"/>
      <c r="AT1053" s="94"/>
      <c r="AU1053" s="94"/>
      <c r="AV1053" s="94"/>
      <c r="AW1053" s="94"/>
      <c r="AX1053" s="94"/>
      <c r="AY1053" s="94"/>
      <c r="BA1053" s="95"/>
    </row>
    <row r="1054" spans="1:53" s="87" customFormat="1">
      <c r="A1054" s="90" t="str">
        <f t="shared" si="41"/>
        <v/>
      </c>
      <c r="B1054" s="98"/>
      <c r="C1054" s="94"/>
      <c r="D1054" s="94"/>
      <c r="E1054" s="94"/>
      <c r="F1054" s="94"/>
      <c r="G1054" s="94"/>
      <c r="H1054" s="94"/>
      <c r="I1054" s="94"/>
      <c r="J1054" s="94"/>
      <c r="K1054" s="94"/>
      <c r="L1054" s="94"/>
      <c r="M1054" s="94"/>
      <c r="N1054" s="94"/>
      <c r="O1054" s="94"/>
      <c r="P1054" s="94"/>
      <c r="Q1054" s="94"/>
      <c r="R1054" s="94"/>
      <c r="S1054" s="94"/>
      <c r="T1054" s="94"/>
      <c r="U1054" s="94"/>
      <c r="V1054" s="94"/>
      <c r="W1054" s="94"/>
      <c r="X1054" s="94"/>
      <c r="Y1054" s="94"/>
      <c r="Z1054" s="94"/>
      <c r="AA1054" s="94"/>
      <c r="AB1054" s="94"/>
      <c r="AC1054" s="94"/>
      <c r="AD1054" s="94"/>
      <c r="AE1054" s="94"/>
      <c r="AF1054" s="94"/>
      <c r="AG1054" s="94"/>
      <c r="AH1054" s="94"/>
      <c r="AI1054" s="94"/>
      <c r="AJ1054" s="94"/>
      <c r="AK1054" s="94"/>
      <c r="AL1054" s="94"/>
      <c r="AM1054" s="94"/>
      <c r="AN1054" s="94"/>
      <c r="AO1054" s="94"/>
      <c r="AP1054" s="94"/>
      <c r="AQ1054" s="94"/>
      <c r="AR1054" s="94"/>
      <c r="AS1054" s="94"/>
      <c r="AT1054" s="94"/>
      <c r="AU1054" s="94"/>
      <c r="AV1054" s="94"/>
      <c r="AW1054" s="94"/>
      <c r="AX1054" s="94"/>
      <c r="AY1054" s="94"/>
      <c r="BA1054" s="95"/>
    </row>
    <row r="1055" spans="1:53" s="87" customFormat="1">
      <c r="A1055" s="90" t="str">
        <f t="shared" si="41"/>
        <v/>
      </c>
      <c r="B1055" s="98"/>
      <c r="C1055" s="94"/>
      <c r="D1055" s="94"/>
      <c r="E1055" s="94"/>
      <c r="F1055" s="94"/>
      <c r="G1055" s="94"/>
      <c r="H1055" s="94"/>
      <c r="I1055" s="94"/>
      <c r="J1055" s="94"/>
      <c r="K1055" s="94"/>
      <c r="L1055" s="94"/>
      <c r="M1055" s="94"/>
      <c r="N1055" s="94"/>
      <c r="O1055" s="94"/>
      <c r="P1055" s="94"/>
      <c r="Q1055" s="94"/>
      <c r="R1055" s="94"/>
      <c r="S1055" s="94"/>
      <c r="T1055" s="94"/>
      <c r="U1055" s="94"/>
      <c r="V1055" s="94"/>
      <c r="W1055" s="94"/>
      <c r="X1055" s="94"/>
      <c r="Y1055" s="94"/>
      <c r="Z1055" s="94"/>
      <c r="AA1055" s="94"/>
      <c r="AB1055" s="94"/>
      <c r="AC1055" s="94"/>
      <c r="AD1055" s="94"/>
      <c r="AE1055" s="94"/>
      <c r="AF1055" s="94"/>
      <c r="AG1055" s="94"/>
      <c r="AH1055" s="94"/>
      <c r="AI1055" s="94"/>
      <c r="AJ1055" s="94"/>
      <c r="AK1055" s="94"/>
      <c r="AL1055" s="94"/>
      <c r="AM1055" s="94"/>
      <c r="AN1055" s="94"/>
      <c r="AO1055" s="94"/>
      <c r="AP1055" s="94"/>
      <c r="AQ1055" s="94"/>
      <c r="AR1055" s="94"/>
      <c r="AS1055" s="94"/>
      <c r="AT1055" s="94"/>
      <c r="AU1055" s="94"/>
      <c r="AV1055" s="94"/>
      <c r="AW1055" s="94"/>
      <c r="AX1055" s="94"/>
      <c r="AY1055" s="94"/>
      <c r="BA1055" s="95"/>
    </row>
    <row r="1056" spans="1:53" s="87" customFormat="1">
      <c r="A1056" s="90" t="str">
        <f t="shared" si="41"/>
        <v/>
      </c>
      <c r="B1056" s="98"/>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c r="AM1056" s="94"/>
      <c r="AN1056" s="94"/>
      <c r="AO1056" s="94"/>
      <c r="AP1056" s="94"/>
      <c r="AQ1056" s="94"/>
      <c r="AR1056" s="94"/>
      <c r="AS1056" s="94"/>
      <c r="AT1056" s="94"/>
      <c r="AU1056" s="94"/>
      <c r="AV1056" s="94"/>
      <c r="AW1056" s="94"/>
      <c r="AX1056" s="94"/>
      <c r="AY1056" s="94"/>
      <c r="BA1056" s="95"/>
    </row>
    <row r="1057" spans="1:53" s="87" customFormat="1">
      <c r="A1057" s="90" t="str">
        <f t="shared" si="41"/>
        <v/>
      </c>
      <c r="B1057" s="98"/>
      <c r="C1057" s="94"/>
      <c r="D1057" s="94"/>
      <c r="E1057" s="94"/>
      <c r="F1057" s="94"/>
      <c r="G1057" s="94"/>
      <c r="H1057" s="94"/>
      <c r="I1057" s="94"/>
      <c r="J1057" s="94"/>
      <c r="K1057" s="94"/>
      <c r="L1057" s="94"/>
      <c r="M1057" s="94"/>
      <c r="N1057" s="94"/>
      <c r="O1057" s="94"/>
      <c r="P1057" s="94"/>
      <c r="Q1057" s="94"/>
      <c r="R1057" s="94"/>
      <c r="S1057" s="94"/>
      <c r="T1057" s="94"/>
      <c r="U1057" s="94"/>
      <c r="V1057" s="94"/>
      <c r="W1057" s="94"/>
      <c r="X1057" s="94"/>
      <c r="Y1057" s="94"/>
      <c r="Z1057" s="94"/>
      <c r="AA1057" s="94"/>
      <c r="AB1057" s="94"/>
      <c r="AC1057" s="94"/>
      <c r="AD1057" s="94"/>
      <c r="AE1057" s="94"/>
      <c r="AF1057" s="94"/>
      <c r="AG1057" s="94"/>
      <c r="AH1057" s="94"/>
      <c r="AI1057" s="94"/>
      <c r="AJ1057" s="94"/>
      <c r="AK1057" s="94"/>
      <c r="AL1057" s="94"/>
      <c r="AM1057" s="94"/>
      <c r="AN1057" s="94"/>
      <c r="AO1057" s="94"/>
      <c r="AP1057" s="94"/>
      <c r="AQ1057" s="94"/>
      <c r="AR1057" s="94"/>
      <c r="AS1057" s="94"/>
      <c r="AT1057" s="94"/>
      <c r="AU1057" s="94"/>
      <c r="AV1057" s="94"/>
      <c r="AW1057" s="94"/>
      <c r="AX1057" s="94"/>
      <c r="AY1057" s="94"/>
      <c r="BA1057" s="95"/>
    </row>
    <row r="1058" spans="1:53" s="87" customFormat="1">
      <c r="A1058" s="90" t="str">
        <f t="shared" si="41"/>
        <v/>
      </c>
      <c r="B1058" s="98"/>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BA1058" s="95"/>
    </row>
    <row r="1059" spans="1:53" s="87" customFormat="1">
      <c r="A1059" s="90" t="str">
        <f t="shared" si="41"/>
        <v/>
      </c>
      <c r="B1059" s="98"/>
      <c r="C1059" s="94"/>
      <c r="D1059" s="94"/>
      <c r="E1059" s="94"/>
      <c r="F1059" s="94"/>
      <c r="G1059" s="94"/>
      <c r="H1059" s="94"/>
      <c r="I1059" s="94"/>
      <c r="J1059" s="94"/>
      <c r="K1059" s="94"/>
      <c r="L1059" s="94"/>
      <c r="M1059" s="94"/>
      <c r="N1059" s="94"/>
      <c r="O1059" s="94"/>
      <c r="P1059" s="94"/>
      <c r="Q1059" s="94"/>
      <c r="R1059" s="94"/>
      <c r="S1059" s="94"/>
      <c r="T1059" s="94"/>
      <c r="U1059" s="94"/>
      <c r="V1059" s="94"/>
      <c r="W1059" s="94"/>
      <c r="X1059" s="94"/>
      <c r="Y1059" s="94"/>
      <c r="Z1059" s="94"/>
      <c r="AA1059" s="94"/>
      <c r="AB1059" s="94"/>
      <c r="AC1059" s="94"/>
      <c r="AD1059" s="94"/>
      <c r="AE1059" s="94"/>
      <c r="AF1059" s="94"/>
      <c r="AG1059" s="94"/>
      <c r="AH1059" s="94"/>
      <c r="AI1059" s="94"/>
      <c r="AJ1059" s="94"/>
      <c r="AK1059" s="94"/>
      <c r="AL1059" s="94"/>
      <c r="AM1059" s="94"/>
      <c r="AN1059" s="94"/>
      <c r="AO1059" s="94"/>
      <c r="AP1059" s="94"/>
      <c r="AQ1059" s="94"/>
      <c r="AR1059" s="94"/>
      <c r="AS1059" s="94"/>
      <c r="AT1059" s="94"/>
      <c r="AU1059" s="94"/>
      <c r="AV1059" s="94"/>
      <c r="AW1059" s="94"/>
      <c r="AX1059" s="94"/>
      <c r="AY1059" s="94"/>
      <c r="BA1059" s="95"/>
    </row>
    <row r="1060" spans="1:53" s="87" customFormat="1">
      <c r="A1060" s="90" t="str">
        <f t="shared" si="41"/>
        <v/>
      </c>
      <c r="B1060" s="98"/>
      <c r="C1060" s="94"/>
      <c r="D1060" s="94"/>
      <c r="E1060" s="94"/>
      <c r="F1060" s="94"/>
      <c r="G1060" s="94"/>
      <c r="H1060" s="94"/>
      <c r="I1060" s="94"/>
      <c r="J1060" s="94"/>
      <c r="K1060" s="94"/>
      <c r="L1060" s="94"/>
      <c r="M1060" s="94"/>
      <c r="N1060" s="94"/>
      <c r="O1060" s="94"/>
      <c r="P1060" s="94"/>
      <c r="Q1060" s="94"/>
      <c r="R1060" s="94"/>
      <c r="S1060" s="94"/>
      <c r="T1060" s="94"/>
      <c r="U1060" s="94"/>
      <c r="V1060" s="94"/>
      <c r="W1060" s="94"/>
      <c r="X1060" s="94"/>
      <c r="Y1060" s="94"/>
      <c r="Z1060" s="94"/>
      <c r="AA1060" s="94"/>
      <c r="AB1060" s="94"/>
      <c r="AC1060" s="94"/>
      <c r="AD1060" s="94"/>
      <c r="AE1060" s="94"/>
      <c r="AF1060" s="94"/>
      <c r="AG1060" s="94"/>
      <c r="AH1060" s="94"/>
      <c r="AI1060" s="94"/>
      <c r="AJ1060" s="94"/>
      <c r="AK1060" s="94"/>
      <c r="AL1060" s="94"/>
      <c r="AM1060" s="94"/>
      <c r="AN1060" s="94"/>
      <c r="AO1060" s="94"/>
      <c r="AP1060" s="94"/>
      <c r="AQ1060" s="94"/>
      <c r="AR1060" s="94"/>
      <c r="AS1060" s="94"/>
      <c r="AT1060" s="94"/>
      <c r="AU1060" s="94"/>
      <c r="AV1060" s="94"/>
      <c r="AW1060" s="94"/>
      <c r="AX1060" s="94"/>
      <c r="AY1060" s="94"/>
      <c r="BA1060" s="95"/>
    </row>
    <row r="1061" spans="1:53" s="87" customFormat="1">
      <c r="A1061" s="90" t="str">
        <f t="shared" si="41"/>
        <v/>
      </c>
      <c r="B1061" s="98"/>
      <c r="C1061" s="94"/>
      <c r="D1061" s="94"/>
      <c r="E1061" s="94"/>
      <c r="F1061" s="94"/>
      <c r="G1061" s="94"/>
      <c r="H1061" s="94"/>
      <c r="I1061" s="94"/>
      <c r="J1061" s="94"/>
      <c r="K1061" s="94"/>
      <c r="L1061" s="94"/>
      <c r="M1061" s="94"/>
      <c r="N1061" s="94"/>
      <c r="O1061" s="94"/>
      <c r="P1061" s="94"/>
      <c r="Q1061" s="94"/>
      <c r="R1061" s="94"/>
      <c r="S1061" s="94"/>
      <c r="T1061" s="94"/>
      <c r="U1061" s="94"/>
      <c r="V1061" s="94"/>
      <c r="W1061" s="94"/>
      <c r="X1061" s="94"/>
      <c r="Y1061" s="94"/>
      <c r="Z1061" s="94"/>
      <c r="AA1061" s="94"/>
      <c r="AB1061" s="94"/>
      <c r="AC1061" s="94"/>
      <c r="AD1061" s="94"/>
      <c r="AE1061" s="94"/>
      <c r="AF1061" s="94"/>
      <c r="AG1061" s="94"/>
      <c r="AH1061" s="94"/>
      <c r="AI1061" s="94"/>
      <c r="AJ1061" s="94"/>
      <c r="AK1061" s="94"/>
      <c r="AL1061" s="94"/>
      <c r="AM1061" s="94"/>
      <c r="AN1061" s="94"/>
      <c r="AO1061" s="94"/>
      <c r="AP1061" s="94"/>
      <c r="AQ1061" s="94"/>
      <c r="AR1061" s="94"/>
      <c r="AS1061" s="94"/>
      <c r="AT1061" s="94"/>
      <c r="AU1061" s="94"/>
      <c r="AV1061" s="94"/>
      <c r="AW1061" s="94"/>
      <c r="AX1061" s="94"/>
      <c r="AY1061" s="94"/>
      <c r="BA1061" s="95"/>
    </row>
    <row r="1062" spans="1:53" s="87" customFormat="1">
      <c r="A1062" s="90" t="str">
        <f t="shared" si="41"/>
        <v/>
      </c>
      <c r="B1062" s="98"/>
      <c r="C1062" s="94"/>
      <c r="D1062" s="94"/>
      <c r="E1062" s="94"/>
      <c r="F1062" s="94"/>
      <c r="G1062" s="94"/>
      <c r="H1062" s="94"/>
      <c r="I1062" s="94"/>
      <c r="J1062" s="94"/>
      <c r="K1062" s="94"/>
      <c r="L1062" s="94"/>
      <c r="M1062" s="94"/>
      <c r="N1062" s="94"/>
      <c r="O1062" s="94"/>
      <c r="P1062" s="94"/>
      <c r="Q1062" s="94"/>
      <c r="R1062" s="94"/>
      <c r="S1062" s="94"/>
      <c r="T1062" s="94"/>
      <c r="U1062" s="94"/>
      <c r="V1062" s="94"/>
      <c r="W1062" s="94"/>
      <c r="X1062" s="94"/>
      <c r="Y1062" s="94"/>
      <c r="Z1062" s="94"/>
      <c r="AA1062" s="94"/>
      <c r="AB1062" s="94"/>
      <c r="AC1062" s="94"/>
      <c r="AD1062" s="94"/>
      <c r="AE1062" s="94"/>
      <c r="AF1062" s="94"/>
      <c r="AG1062" s="94"/>
      <c r="AH1062" s="94"/>
      <c r="AI1062" s="94"/>
      <c r="AJ1062" s="94"/>
      <c r="AK1062" s="94"/>
      <c r="AL1062" s="94"/>
      <c r="AM1062" s="94"/>
      <c r="AN1062" s="94"/>
      <c r="AO1062" s="94"/>
      <c r="AP1062" s="94"/>
      <c r="AQ1062" s="94"/>
      <c r="AR1062" s="94"/>
      <c r="AS1062" s="94"/>
      <c r="AT1062" s="94"/>
      <c r="AU1062" s="94"/>
      <c r="AV1062" s="94"/>
      <c r="AW1062" s="94"/>
      <c r="AX1062" s="94"/>
      <c r="AY1062" s="94"/>
      <c r="BA1062" s="95"/>
    </row>
    <row r="1063" spans="1:53" s="87" customFormat="1">
      <c r="A1063" s="90" t="str">
        <f t="shared" si="41"/>
        <v/>
      </c>
      <c r="B1063" s="98"/>
      <c r="C1063" s="94"/>
      <c r="D1063" s="94"/>
      <c r="E1063" s="94"/>
      <c r="F1063" s="94"/>
      <c r="G1063" s="94"/>
      <c r="H1063" s="94"/>
      <c r="I1063" s="94"/>
      <c r="J1063" s="94"/>
      <c r="K1063" s="94"/>
      <c r="L1063" s="94"/>
      <c r="M1063" s="94"/>
      <c r="N1063" s="94"/>
      <c r="O1063" s="94"/>
      <c r="P1063" s="94"/>
      <c r="Q1063" s="94"/>
      <c r="R1063" s="94"/>
      <c r="S1063" s="94"/>
      <c r="T1063" s="94"/>
      <c r="U1063" s="94"/>
      <c r="V1063" s="94"/>
      <c r="W1063" s="94"/>
      <c r="X1063" s="94"/>
      <c r="Y1063" s="94"/>
      <c r="Z1063" s="94"/>
      <c r="AA1063" s="94"/>
      <c r="AB1063" s="94"/>
      <c r="AC1063" s="94"/>
      <c r="AD1063" s="94"/>
      <c r="AE1063" s="94"/>
      <c r="AF1063" s="94"/>
      <c r="AG1063" s="94"/>
      <c r="AH1063" s="94"/>
      <c r="AI1063" s="94"/>
      <c r="AJ1063" s="94"/>
      <c r="AK1063" s="94"/>
      <c r="AL1063" s="94"/>
      <c r="AM1063" s="94"/>
      <c r="AN1063" s="94"/>
      <c r="AO1063" s="94"/>
      <c r="AP1063" s="94"/>
      <c r="AQ1063" s="94"/>
      <c r="AR1063" s="94"/>
      <c r="AS1063" s="94"/>
      <c r="AT1063" s="94"/>
      <c r="AU1063" s="94"/>
      <c r="AV1063" s="94"/>
      <c r="AW1063" s="94"/>
      <c r="AX1063" s="94"/>
      <c r="AY1063" s="94"/>
      <c r="BA1063" s="95"/>
    </row>
    <row r="1064" spans="1:53" s="87" customFormat="1">
      <c r="A1064" s="90" t="str">
        <f t="shared" si="41"/>
        <v/>
      </c>
      <c r="B1064" s="98"/>
      <c r="C1064" s="94"/>
      <c r="D1064" s="94"/>
      <c r="E1064" s="94"/>
      <c r="F1064" s="94"/>
      <c r="G1064" s="94"/>
      <c r="H1064" s="94"/>
      <c r="I1064" s="94"/>
      <c r="J1064" s="94"/>
      <c r="K1064" s="94"/>
      <c r="L1064" s="94"/>
      <c r="M1064" s="94"/>
      <c r="N1064" s="94"/>
      <c r="O1064" s="94"/>
      <c r="P1064" s="94"/>
      <c r="Q1064" s="94"/>
      <c r="R1064" s="94"/>
      <c r="S1064" s="94"/>
      <c r="T1064" s="94"/>
      <c r="U1064" s="94"/>
      <c r="V1064" s="94"/>
      <c r="W1064" s="94"/>
      <c r="X1064" s="94"/>
      <c r="Y1064" s="94"/>
      <c r="Z1064" s="94"/>
      <c r="AA1064" s="94"/>
      <c r="AB1064" s="94"/>
      <c r="AC1064" s="94"/>
      <c r="AD1064" s="94"/>
      <c r="AE1064" s="94"/>
      <c r="AF1064" s="94"/>
      <c r="AG1064" s="94"/>
      <c r="AH1064" s="94"/>
      <c r="AI1064" s="94"/>
      <c r="AJ1064" s="94"/>
      <c r="AK1064" s="94"/>
      <c r="AL1064" s="94"/>
      <c r="AM1064" s="94"/>
      <c r="AN1064" s="94"/>
      <c r="AO1064" s="94"/>
      <c r="AP1064" s="94"/>
      <c r="AQ1064" s="94"/>
      <c r="AR1064" s="94"/>
      <c r="AS1064" s="94"/>
      <c r="AT1064" s="94"/>
      <c r="AU1064" s="94"/>
      <c r="AV1064" s="94"/>
      <c r="AW1064" s="94"/>
      <c r="AX1064" s="94"/>
      <c r="AY1064" s="94"/>
      <c r="BA1064" s="95"/>
    </row>
    <row r="1065" spans="1:53" s="87" customFormat="1">
      <c r="A1065" s="90" t="str">
        <f t="shared" si="41"/>
        <v/>
      </c>
      <c r="B1065" s="98"/>
      <c r="C1065" s="94"/>
      <c r="D1065" s="94"/>
      <c r="E1065" s="94"/>
      <c r="F1065" s="94"/>
      <c r="G1065" s="94"/>
      <c r="H1065" s="94"/>
      <c r="I1065" s="94"/>
      <c r="J1065" s="94"/>
      <c r="K1065" s="94"/>
      <c r="L1065" s="94"/>
      <c r="M1065" s="94"/>
      <c r="N1065" s="94"/>
      <c r="O1065" s="94"/>
      <c r="P1065" s="94"/>
      <c r="Q1065" s="94"/>
      <c r="R1065" s="94"/>
      <c r="S1065" s="94"/>
      <c r="T1065" s="94"/>
      <c r="U1065" s="94"/>
      <c r="V1065" s="94"/>
      <c r="W1065" s="94"/>
      <c r="X1065" s="94"/>
      <c r="Y1065" s="94"/>
      <c r="Z1065" s="94"/>
      <c r="AA1065" s="94"/>
      <c r="AB1065" s="94"/>
      <c r="AC1065" s="94"/>
      <c r="AD1065" s="94"/>
      <c r="AE1065" s="94"/>
      <c r="AF1065" s="94"/>
      <c r="AG1065" s="94"/>
      <c r="AH1065" s="94"/>
      <c r="AI1065" s="94"/>
      <c r="AJ1065" s="94"/>
      <c r="AK1065" s="94"/>
      <c r="AL1065" s="94"/>
      <c r="AM1065" s="94"/>
      <c r="AN1065" s="94"/>
      <c r="AO1065" s="94"/>
      <c r="AP1065" s="94"/>
      <c r="AQ1065" s="94"/>
      <c r="AR1065" s="94"/>
      <c r="AS1065" s="94"/>
      <c r="AT1065" s="94"/>
      <c r="AU1065" s="94"/>
      <c r="AV1065" s="94"/>
      <c r="AW1065" s="94"/>
      <c r="AX1065" s="94"/>
      <c r="AY1065" s="94"/>
      <c r="BA1065" s="95"/>
    </row>
    <row r="1066" spans="1:53" s="87" customFormat="1">
      <c r="A1066" s="90" t="str">
        <f t="shared" si="41"/>
        <v/>
      </c>
      <c r="B1066" s="98"/>
      <c r="C1066" s="94"/>
      <c r="D1066" s="94"/>
      <c r="E1066" s="94"/>
      <c r="F1066" s="94"/>
      <c r="G1066" s="94"/>
      <c r="H1066" s="94"/>
      <c r="I1066" s="94"/>
      <c r="J1066" s="94"/>
      <c r="K1066" s="94"/>
      <c r="L1066" s="94"/>
      <c r="M1066" s="94"/>
      <c r="N1066" s="94"/>
      <c r="O1066" s="94"/>
      <c r="P1066" s="94"/>
      <c r="Q1066" s="94"/>
      <c r="R1066" s="94"/>
      <c r="S1066" s="94"/>
      <c r="T1066" s="94"/>
      <c r="U1066" s="94"/>
      <c r="V1066" s="94"/>
      <c r="W1066" s="94"/>
      <c r="X1066" s="94"/>
      <c r="Y1066" s="94"/>
      <c r="Z1066" s="94"/>
      <c r="AA1066" s="94"/>
      <c r="AB1066" s="94"/>
      <c r="AC1066" s="94"/>
      <c r="AD1066" s="94"/>
      <c r="AE1066" s="94"/>
      <c r="AF1066" s="94"/>
      <c r="AG1066" s="94"/>
      <c r="AH1066" s="94"/>
      <c r="AI1066" s="94"/>
      <c r="AJ1066" s="94"/>
      <c r="AK1066" s="94"/>
      <c r="AL1066" s="94"/>
      <c r="AM1066" s="94"/>
      <c r="AN1066" s="94"/>
      <c r="AO1066" s="94"/>
      <c r="AP1066" s="94"/>
      <c r="AQ1066" s="94"/>
      <c r="AR1066" s="94"/>
      <c r="AS1066" s="94"/>
      <c r="AT1066" s="94"/>
      <c r="AU1066" s="94"/>
      <c r="AV1066" s="94"/>
      <c r="AW1066" s="94"/>
      <c r="AX1066" s="94"/>
      <c r="AY1066" s="94"/>
      <c r="BA1066" s="95"/>
    </row>
    <row r="1067" spans="1:53" s="87" customFormat="1">
      <c r="A1067" s="90" t="str">
        <f t="shared" si="41"/>
        <v/>
      </c>
      <c r="B1067" s="98"/>
      <c r="C1067" s="94"/>
      <c r="D1067" s="94"/>
      <c r="E1067" s="94"/>
      <c r="F1067" s="94"/>
      <c r="G1067" s="94"/>
      <c r="H1067" s="94"/>
      <c r="I1067" s="94"/>
      <c r="J1067" s="94"/>
      <c r="K1067" s="94"/>
      <c r="L1067" s="94"/>
      <c r="M1067" s="94"/>
      <c r="N1067" s="94"/>
      <c r="O1067" s="94"/>
      <c r="P1067" s="94"/>
      <c r="Q1067" s="94"/>
      <c r="R1067" s="94"/>
      <c r="S1067" s="94"/>
      <c r="T1067" s="94"/>
      <c r="U1067" s="94"/>
      <c r="V1067" s="94"/>
      <c r="W1067" s="94"/>
      <c r="X1067" s="94"/>
      <c r="Y1067" s="94"/>
      <c r="Z1067" s="94"/>
      <c r="AA1067" s="94"/>
      <c r="AB1067" s="94"/>
      <c r="AC1067" s="94"/>
      <c r="AD1067" s="94"/>
      <c r="AE1067" s="94"/>
      <c r="AF1067" s="94"/>
      <c r="AG1067" s="94"/>
      <c r="AH1067" s="94"/>
      <c r="AI1067" s="94"/>
      <c r="AJ1067" s="94"/>
      <c r="AK1067" s="94"/>
      <c r="AL1067" s="94"/>
      <c r="AM1067" s="94"/>
      <c r="AN1067" s="94"/>
      <c r="AO1067" s="94"/>
      <c r="AP1067" s="94"/>
      <c r="AQ1067" s="94"/>
      <c r="AR1067" s="94"/>
      <c r="AS1067" s="94"/>
      <c r="AT1067" s="94"/>
      <c r="AU1067" s="94"/>
      <c r="AV1067" s="94"/>
      <c r="AW1067" s="94"/>
      <c r="AX1067" s="94"/>
      <c r="AY1067" s="94"/>
      <c r="BA1067" s="95"/>
    </row>
    <row r="1068" spans="1:53" s="87" customFormat="1">
      <c r="A1068" s="90" t="str">
        <f t="shared" si="41"/>
        <v/>
      </c>
      <c r="B1068" s="98"/>
      <c r="C1068" s="94"/>
      <c r="D1068" s="94"/>
      <c r="E1068" s="94"/>
      <c r="F1068" s="94"/>
      <c r="G1068" s="94"/>
      <c r="H1068" s="94"/>
      <c r="I1068" s="94"/>
      <c r="J1068" s="94"/>
      <c r="K1068" s="94"/>
      <c r="L1068" s="94"/>
      <c r="M1068" s="94"/>
      <c r="N1068" s="94"/>
      <c r="O1068" s="94"/>
      <c r="P1068" s="94"/>
      <c r="Q1068" s="94"/>
      <c r="R1068" s="94"/>
      <c r="S1068" s="94"/>
      <c r="T1068" s="94"/>
      <c r="U1068" s="94"/>
      <c r="V1068" s="94"/>
      <c r="W1068" s="94"/>
      <c r="X1068" s="94"/>
      <c r="Y1068" s="94"/>
      <c r="Z1068" s="94"/>
      <c r="AA1068" s="94"/>
      <c r="AB1068" s="94"/>
      <c r="AC1068" s="94"/>
      <c r="AD1068" s="94"/>
      <c r="AE1068" s="94"/>
      <c r="AF1068" s="94"/>
      <c r="AG1068" s="94"/>
      <c r="AH1068" s="94"/>
      <c r="AI1068" s="94"/>
      <c r="AJ1068" s="94"/>
      <c r="AK1068" s="94"/>
      <c r="AL1068" s="94"/>
      <c r="AM1068" s="94"/>
      <c r="AN1068" s="94"/>
      <c r="AO1068" s="94"/>
      <c r="AP1068" s="94"/>
      <c r="AQ1068" s="94"/>
      <c r="AR1068" s="94"/>
      <c r="AS1068" s="94"/>
      <c r="AT1068" s="94"/>
      <c r="AU1068" s="94"/>
      <c r="AV1068" s="94"/>
      <c r="AW1068" s="94"/>
      <c r="AX1068" s="94"/>
      <c r="AY1068" s="94"/>
      <c r="BA1068" s="95"/>
    </row>
    <row r="1069" spans="1:53" s="87" customFormat="1">
      <c r="A1069" s="90" t="str">
        <f t="shared" si="41"/>
        <v/>
      </c>
      <c r="B1069" s="98"/>
      <c r="C1069" s="94"/>
      <c r="D1069" s="94"/>
      <c r="E1069" s="94"/>
      <c r="F1069" s="94"/>
      <c r="G1069" s="94"/>
      <c r="H1069" s="94"/>
      <c r="I1069" s="94"/>
      <c r="J1069" s="94"/>
      <c r="K1069" s="94"/>
      <c r="L1069" s="94"/>
      <c r="M1069" s="94"/>
      <c r="N1069" s="94"/>
      <c r="O1069" s="94"/>
      <c r="P1069" s="94"/>
      <c r="Q1069" s="94"/>
      <c r="R1069" s="94"/>
      <c r="S1069" s="94"/>
      <c r="T1069" s="94"/>
      <c r="U1069" s="94"/>
      <c r="V1069" s="94"/>
      <c r="W1069" s="94"/>
      <c r="X1069" s="94"/>
      <c r="Y1069" s="94"/>
      <c r="Z1069" s="94"/>
      <c r="AA1069" s="94"/>
      <c r="AB1069" s="94"/>
      <c r="AC1069" s="94"/>
      <c r="AD1069" s="94"/>
      <c r="AE1069" s="94"/>
      <c r="AF1069" s="94"/>
      <c r="AG1069" s="94"/>
      <c r="AH1069" s="94"/>
      <c r="AI1069" s="94"/>
      <c r="AJ1069" s="94"/>
      <c r="AK1069" s="94"/>
      <c r="AL1069" s="94"/>
      <c r="AM1069" s="94"/>
      <c r="AN1069" s="94"/>
      <c r="AO1069" s="94"/>
      <c r="AP1069" s="94"/>
      <c r="AQ1069" s="94"/>
      <c r="AR1069" s="94"/>
      <c r="AS1069" s="94"/>
      <c r="AT1069" s="94"/>
      <c r="AU1069" s="94"/>
      <c r="AV1069" s="94"/>
      <c r="AW1069" s="94"/>
      <c r="AX1069" s="94"/>
      <c r="AY1069" s="94"/>
      <c r="BA1069" s="95"/>
    </row>
    <row r="1070" spans="1:53" s="87" customFormat="1">
      <c r="A1070" s="90" t="str">
        <f t="shared" si="41"/>
        <v/>
      </c>
      <c r="B1070" s="98"/>
      <c r="C1070" s="94"/>
      <c r="D1070" s="94"/>
      <c r="E1070" s="94"/>
      <c r="F1070" s="94"/>
      <c r="G1070" s="94"/>
      <c r="H1070" s="94"/>
      <c r="I1070" s="94"/>
      <c r="J1070" s="94"/>
      <c r="K1070" s="94"/>
      <c r="L1070" s="94"/>
      <c r="M1070" s="94"/>
      <c r="N1070" s="94"/>
      <c r="O1070" s="94"/>
      <c r="P1070" s="94"/>
      <c r="Q1070" s="94"/>
      <c r="R1070" s="94"/>
      <c r="S1070" s="94"/>
      <c r="T1070" s="94"/>
      <c r="U1070" s="94"/>
      <c r="V1070" s="94"/>
      <c r="W1070" s="94"/>
      <c r="X1070" s="94"/>
      <c r="Y1070" s="94"/>
      <c r="Z1070" s="94"/>
      <c r="AA1070" s="94"/>
      <c r="AB1070" s="94"/>
      <c r="AC1070" s="94"/>
      <c r="AD1070" s="94"/>
      <c r="AE1070" s="94"/>
      <c r="AF1070" s="94"/>
      <c r="AG1070" s="94"/>
      <c r="AH1070" s="94"/>
      <c r="AI1070" s="94"/>
      <c r="AJ1070" s="94"/>
      <c r="AK1070" s="94"/>
      <c r="AL1070" s="94"/>
      <c r="AM1070" s="94"/>
      <c r="AN1070" s="94"/>
      <c r="AO1070" s="94"/>
      <c r="AP1070" s="94"/>
      <c r="AQ1070" s="94"/>
      <c r="AR1070" s="94"/>
      <c r="AS1070" s="94"/>
      <c r="AT1070" s="94"/>
      <c r="AU1070" s="94"/>
      <c r="AV1070" s="94"/>
      <c r="AW1070" s="94"/>
      <c r="AX1070" s="94"/>
      <c r="AY1070" s="94"/>
      <c r="BA1070" s="95"/>
    </row>
    <row r="1071" spans="1:53" s="87" customFormat="1">
      <c r="A1071" s="90" t="str">
        <f t="shared" si="41"/>
        <v/>
      </c>
      <c r="B1071" s="98"/>
      <c r="C1071" s="94"/>
      <c r="D1071" s="94"/>
      <c r="E1071" s="94"/>
      <c r="F1071" s="94"/>
      <c r="G1071" s="94"/>
      <c r="H1071" s="94"/>
      <c r="I1071" s="94"/>
      <c r="J1071" s="94"/>
      <c r="K1071" s="94"/>
      <c r="L1071" s="94"/>
      <c r="M1071" s="94"/>
      <c r="N1071" s="94"/>
      <c r="O1071" s="94"/>
      <c r="P1071" s="94"/>
      <c r="Q1071" s="94"/>
      <c r="R1071" s="94"/>
      <c r="S1071" s="94"/>
      <c r="T1071" s="94"/>
      <c r="U1071" s="94"/>
      <c r="V1071" s="94"/>
      <c r="W1071" s="94"/>
      <c r="X1071" s="94"/>
      <c r="Y1071" s="94"/>
      <c r="Z1071" s="94"/>
      <c r="AA1071" s="94"/>
      <c r="AB1071" s="94"/>
      <c r="AC1071" s="94"/>
      <c r="AD1071" s="94"/>
      <c r="AE1071" s="94"/>
      <c r="AF1071" s="94"/>
      <c r="AG1071" s="94"/>
      <c r="AH1071" s="94"/>
      <c r="AI1071" s="94"/>
      <c r="AJ1071" s="94"/>
      <c r="AK1071" s="94"/>
      <c r="AL1071" s="94"/>
      <c r="AM1071" s="94"/>
      <c r="AN1071" s="94"/>
      <c r="AO1071" s="94"/>
      <c r="AP1071" s="94"/>
      <c r="AQ1071" s="94"/>
      <c r="AR1071" s="94"/>
      <c r="AS1071" s="94"/>
      <c r="AT1071" s="94"/>
      <c r="AU1071" s="94"/>
      <c r="AV1071" s="94"/>
      <c r="AW1071" s="94"/>
      <c r="AX1071" s="94"/>
      <c r="AY1071" s="94"/>
      <c r="BA1071" s="95"/>
    </row>
    <row r="1072" spans="1:53" s="87" customFormat="1">
      <c r="A1072" s="90" t="str">
        <f t="shared" si="41"/>
        <v/>
      </c>
      <c r="B1072" s="98"/>
      <c r="C1072" s="94"/>
      <c r="D1072" s="94"/>
      <c r="E1072" s="94"/>
      <c r="F1072" s="94"/>
      <c r="G1072" s="94"/>
      <c r="H1072" s="94"/>
      <c r="I1072" s="94"/>
      <c r="J1072" s="94"/>
      <c r="K1072" s="94"/>
      <c r="L1072" s="94"/>
      <c r="M1072" s="94"/>
      <c r="N1072" s="94"/>
      <c r="O1072" s="94"/>
      <c r="P1072" s="94"/>
      <c r="Q1072" s="94"/>
      <c r="R1072" s="94"/>
      <c r="S1072" s="94"/>
      <c r="T1072" s="94"/>
      <c r="U1072" s="94"/>
      <c r="V1072" s="94"/>
      <c r="W1072" s="94"/>
      <c r="X1072" s="94"/>
      <c r="Y1072" s="94"/>
      <c r="Z1072" s="94"/>
      <c r="AA1072" s="94"/>
      <c r="AB1072" s="94"/>
      <c r="AC1072" s="94"/>
      <c r="AD1072" s="94"/>
      <c r="AE1072" s="94"/>
      <c r="AF1072" s="94"/>
      <c r="AG1072" s="94"/>
      <c r="AH1072" s="94"/>
      <c r="AI1072" s="94"/>
      <c r="AJ1072" s="94"/>
      <c r="AK1072" s="94"/>
      <c r="AL1072" s="94"/>
      <c r="AM1072" s="94"/>
      <c r="AN1072" s="94"/>
      <c r="AO1072" s="94"/>
      <c r="AP1072" s="94"/>
      <c r="AQ1072" s="94"/>
      <c r="AR1072" s="94"/>
      <c r="AS1072" s="94"/>
      <c r="AT1072" s="94"/>
      <c r="AU1072" s="94"/>
      <c r="AV1072" s="94"/>
      <c r="AW1072" s="94"/>
      <c r="AX1072" s="94"/>
      <c r="AY1072" s="94"/>
      <c r="BA1072" s="95"/>
    </row>
    <row r="1073" spans="1:53" s="87" customFormat="1">
      <c r="A1073" s="90" t="str">
        <f t="shared" si="41"/>
        <v/>
      </c>
      <c r="B1073" s="98"/>
      <c r="C1073" s="94"/>
      <c r="D1073" s="94"/>
      <c r="E1073" s="94"/>
      <c r="F1073" s="94"/>
      <c r="G1073" s="94"/>
      <c r="H1073" s="94"/>
      <c r="I1073" s="94"/>
      <c r="J1073" s="94"/>
      <c r="K1073" s="94"/>
      <c r="L1073" s="94"/>
      <c r="M1073" s="94"/>
      <c r="N1073" s="94"/>
      <c r="O1073" s="94"/>
      <c r="P1073" s="94"/>
      <c r="Q1073" s="94"/>
      <c r="R1073" s="94"/>
      <c r="S1073" s="94"/>
      <c r="T1073" s="94"/>
      <c r="U1073" s="94"/>
      <c r="V1073" s="94"/>
      <c r="W1073" s="94"/>
      <c r="X1073" s="94"/>
      <c r="Y1073" s="94"/>
      <c r="Z1073" s="94"/>
      <c r="AA1073" s="94"/>
      <c r="AB1073" s="94"/>
      <c r="AC1073" s="94"/>
      <c r="AD1073" s="94"/>
      <c r="AE1073" s="94"/>
      <c r="AF1073" s="94"/>
      <c r="AG1073" s="94"/>
      <c r="AH1073" s="94"/>
      <c r="AI1073" s="94"/>
      <c r="AJ1073" s="94"/>
      <c r="AK1073" s="94"/>
      <c r="AL1073" s="94"/>
      <c r="AM1073" s="94"/>
      <c r="AN1073" s="94"/>
      <c r="AO1073" s="94"/>
      <c r="AP1073" s="94"/>
      <c r="AQ1073" s="94"/>
      <c r="AR1073" s="94"/>
      <c r="AS1073" s="94"/>
      <c r="AT1073" s="94"/>
      <c r="AU1073" s="94"/>
      <c r="AV1073" s="94"/>
      <c r="AW1073" s="94"/>
      <c r="AX1073" s="94"/>
      <c r="AY1073" s="94"/>
      <c r="BA1073" s="95"/>
    </row>
    <row r="1074" spans="1:53" s="87" customFormat="1">
      <c r="A1074" s="90" t="str">
        <f t="shared" si="41"/>
        <v/>
      </c>
      <c r="B1074" s="98"/>
      <c r="C1074" s="94"/>
      <c r="D1074" s="94"/>
      <c r="E1074" s="94"/>
      <c r="F1074" s="94"/>
      <c r="G1074" s="94"/>
      <c r="H1074" s="94"/>
      <c r="I1074" s="94"/>
      <c r="J1074" s="94"/>
      <c r="K1074" s="94"/>
      <c r="L1074" s="94"/>
      <c r="M1074" s="94"/>
      <c r="N1074" s="94"/>
      <c r="O1074" s="94"/>
      <c r="P1074" s="94"/>
      <c r="Q1074" s="94"/>
      <c r="R1074" s="94"/>
      <c r="S1074" s="94"/>
      <c r="T1074" s="94"/>
      <c r="U1074" s="94"/>
      <c r="V1074" s="94"/>
      <c r="W1074" s="94"/>
      <c r="X1074" s="94"/>
      <c r="Y1074" s="94"/>
      <c r="Z1074" s="94"/>
      <c r="AA1074" s="94"/>
      <c r="AB1074" s="94"/>
      <c r="AC1074" s="94"/>
      <c r="AD1074" s="94"/>
      <c r="AE1074" s="94"/>
      <c r="AF1074" s="94"/>
      <c r="AG1074" s="94"/>
      <c r="AH1074" s="94"/>
      <c r="AI1074" s="94"/>
      <c r="AJ1074" s="94"/>
      <c r="AK1074" s="94"/>
      <c r="AL1074" s="94"/>
      <c r="AM1074" s="94"/>
      <c r="AN1074" s="94"/>
      <c r="AO1074" s="94"/>
      <c r="AP1074" s="94"/>
      <c r="AQ1074" s="94"/>
      <c r="AR1074" s="94"/>
      <c r="AS1074" s="94"/>
      <c r="AT1074" s="94"/>
      <c r="AU1074" s="94"/>
      <c r="AV1074" s="94"/>
      <c r="AW1074" s="94"/>
      <c r="AX1074" s="94"/>
      <c r="AY1074" s="94"/>
      <c r="BA1074" s="95"/>
    </row>
    <row r="1075" spans="1:53" s="87" customFormat="1">
      <c r="A1075" s="90" t="str">
        <f t="shared" si="41"/>
        <v/>
      </c>
      <c r="B1075" s="98"/>
      <c r="C1075" s="94"/>
      <c r="D1075" s="94"/>
      <c r="E1075" s="94"/>
      <c r="F1075" s="94"/>
      <c r="G1075" s="94"/>
      <c r="H1075" s="94"/>
      <c r="I1075" s="94"/>
      <c r="J1075" s="94"/>
      <c r="K1075" s="94"/>
      <c r="L1075" s="94"/>
      <c r="M1075" s="94"/>
      <c r="N1075" s="94"/>
      <c r="O1075" s="94"/>
      <c r="P1075" s="94"/>
      <c r="Q1075" s="94"/>
      <c r="R1075" s="94"/>
      <c r="S1075" s="94"/>
      <c r="T1075" s="94"/>
      <c r="U1075" s="94"/>
      <c r="V1075" s="94"/>
      <c r="W1075" s="94"/>
      <c r="X1075" s="94"/>
      <c r="Y1075" s="94"/>
      <c r="Z1075" s="94"/>
      <c r="AA1075" s="94"/>
      <c r="AB1075" s="94"/>
      <c r="AC1075" s="94"/>
      <c r="AD1075" s="94"/>
      <c r="AE1075" s="94"/>
      <c r="AF1075" s="94"/>
      <c r="AG1075" s="94"/>
      <c r="AH1075" s="94"/>
      <c r="AI1075" s="94"/>
      <c r="AJ1075" s="94"/>
      <c r="AK1075" s="94"/>
      <c r="AL1075" s="94"/>
      <c r="AM1075" s="94"/>
      <c r="AN1075" s="94"/>
      <c r="AO1075" s="94"/>
      <c r="AP1075" s="94"/>
      <c r="AQ1075" s="94"/>
      <c r="AR1075" s="94"/>
      <c r="AS1075" s="94"/>
      <c r="AT1075" s="94"/>
      <c r="AU1075" s="94"/>
      <c r="AV1075" s="94"/>
      <c r="AW1075" s="94"/>
      <c r="AX1075" s="94"/>
      <c r="AY1075" s="94"/>
      <c r="BA1075" s="95"/>
    </row>
    <row r="1076" spans="1:53" s="87" customFormat="1">
      <c r="A1076" s="90" t="str">
        <f t="shared" si="41"/>
        <v/>
      </c>
      <c r="B1076" s="98"/>
      <c r="C1076" s="94"/>
      <c r="D1076" s="94"/>
      <c r="E1076" s="94"/>
      <c r="F1076" s="94"/>
      <c r="G1076" s="94"/>
      <c r="H1076" s="94"/>
      <c r="I1076" s="94"/>
      <c r="J1076" s="94"/>
      <c r="K1076" s="94"/>
      <c r="L1076" s="94"/>
      <c r="M1076" s="94"/>
      <c r="N1076" s="94"/>
      <c r="O1076" s="94"/>
      <c r="P1076" s="94"/>
      <c r="Q1076" s="94"/>
      <c r="R1076" s="94"/>
      <c r="S1076" s="94"/>
      <c r="T1076" s="94"/>
      <c r="U1076" s="94"/>
      <c r="V1076" s="94"/>
      <c r="W1076" s="94"/>
      <c r="X1076" s="94"/>
      <c r="Y1076" s="94"/>
      <c r="Z1076" s="94"/>
      <c r="AA1076" s="94"/>
      <c r="AB1076" s="94"/>
      <c r="AC1076" s="94"/>
      <c r="AD1076" s="94"/>
      <c r="AE1076" s="94"/>
      <c r="AF1076" s="94"/>
      <c r="AG1076" s="94"/>
      <c r="AH1076" s="94"/>
      <c r="AI1076" s="94"/>
      <c r="AJ1076" s="94"/>
      <c r="AK1076" s="94"/>
      <c r="AL1076" s="94"/>
      <c r="AM1076" s="94"/>
      <c r="AN1076" s="94"/>
      <c r="AO1076" s="94"/>
      <c r="AP1076" s="94"/>
      <c r="AQ1076" s="94"/>
      <c r="AR1076" s="94"/>
      <c r="AS1076" s="94"/>
      <c r="AT1076" s="94"/>
      <c r="AU1076" s="94"/>
      <c r="AV1076" s="94"/>
      <c r="AW1076" s="94"/>
      <c r="AX1076" s="94"/>
      <c r="AY1076" s="94"/>
      <c r="BA1076" s="95"/>
    </row>
    <row r="1077" spans="1:53" s="87" customFormat="1">
      <c r="A1077" s="90" t="str">
        <f t="shared" si="41"/>
        <v/>
      </c>
      <c r="B1077" s="98"/>
      <c r="C1077" s="94"/>
      <c r="D1077" s="94"/>
      <c r="E1077" s="94"/>
      <c r="F1077" s="94"/>
      <c r="G1077" s="94"/>
      <c r="H1077" s="94"/>
      <c r="I1077" s="94"/>
      <c r="J1077" s="94"/>
      <c r="K1077" s="94"/>
      <c r="L1077" s="94"/>
      <c r="M1077" s="94"/>
      <c r="N1077" s="94"/>
      <c r="O1077" s="94"/>
      <c r="P1077" s="94"/>
      <c r="Q1077" s="94"/>
      <c r="R1077" s="94"/>
      <c r="S1077" s="94"/>
      <c r="T1077" s="94"/>
      <c r="U1077" s="94"/>
      <c r="V1077" s="94"/>
      <c r="W1077" s="94"/>
      <c r="X1077" s="94"/>
      <c r="Y1077" s="94"/>
      <c r="Z1077" s="94"/>
      <c r="AA1077" s="94"/>
      <c r="AB1077" s="94"/>
      <c r="AC1077" s="94"/>
      <c r="AD1077" s="94"/>
      <c r="AE1077" s="94"/>
      <c r="AF1077" s="94"/>
      <c r="AG1077" s="94"/>
      <c r="AH1077" s="94"/>
      <c r="AI1077" s="94"/>
      <c r="AJ1077" s="94"/>
      <c r="AK1077" s="94"/>
      <c r="AL1077" s="94"/>
      <c r="AM1077" s="94"/>
      <c r="AN1077" s="94"/>
      <c r="AO1077" s="94"/>
      <c r="AP1077" s="94"/>
      <c r="AQ1077" s="94"/>
      <c r="AR1077" s="94"/>
      <c r="AS1077" s="94"/>
      <c r="AT1077" s="94"/>
      <c r="AU1077" s="94"/>
      <c r="AV1077" s="94"/>
      <c r="AW1077" s="94"/>
      <c r="AX1077" s="94"/>
      <c r="AY1077" s="94"/>
      <c r="BA1077" s="95"/>
    </row>
    <row r="1078" spans="1:53" s="87" customFormat="1">
      <c r="A1078" s="90" t="str">
        <f t="shared" si="41"/>
        <v/>
      </c>
      <c r="B1078" s="98"/>
      <c r="C1078" s="94"/>
      <c r="D1078" s="94"/>
      <c r="E1078" s="94"/>
      <c r="F1078" s="94"/>
      <c r="G1078" s="94"/>
      <c r="H1078" s="94"/>
      <c r="I1078" s="94"/>
      <c r="J1078" s="94"/>
      <c r="K1078" s="94"/>
      <c r="L1078" s="94"/>
      <c r="M1078" s="94"/>
      <c r="N1078" s="94"/>
      <c r="O1078" s="94"/>
      <c r="P1078" s="94"/>
      <c r="Q1078" s="94"/>
      <c r="R1078" s="94"/>
      <c r="S1078" s="94"/>
      <c r="T1078" s="94"/>
      <c r="U1078" s="94"/>
      <c r="V1078" s="94"/>
      <c r="W1078" s="94"/>
      <c r="X1078" s="94"/>
      <c r="Y1078" s="94"/>
      <c r="Z1078" s="94"/>
      <c r="AA1078" s="94"/>
      <c r="AB1078" s="94"/>
      <c r="AC1078" s="94"/>
      <c r="AD1078" s="94"/>
      <c r="AE1078" s="94"/>
      <c r="AF1078" s="94"/>
      <c r="AG1078" s="94"/>
      <c r="AH1078" s="94"/>
      <c r="AI1078" s="94"/>
      <c r="AJ1078" s="94"/>
      <c r="AK1078" s="94"/>
      <c r="AL1078" s="94"/>
      <c r="AM1078" s="94"/>
      <c r="AN1078" s="94"/>
      <c r="AO1078" s="94"/>
      <c r="AP1078" s="94"/>
      <c r="AQ1078" s="94"/>
      <c r="AR1078" s="94"/>
      <c r="AS1078" s="94"/>
      <c r="AT1078" s="94"/>
      <c r="AU1078" s="94"/>
      <c r="AV1078" s="94"/>
      <c r="AW1078" s="94"/>
      <c r="AX1078" s="94"/>
      <c r="AY1078" s="94"/>
      <c r="BA1078" s="95"/>
    </row>
    <row r="1079" spans="1:53" s="87" customFormat="1">
      <c r="A1079" s="90" t="str">
        <f t="shared" si="41"/>
        <v/>
      </c>
      <c r="B1079" s="98"/>
      <c r="C1079" s="94"/>
      <c r="D1079" s="94"/>
      <c r="E1079" s="94"/>
      <c r="F1079" s="94"/>
      <c r="G1079" s="94"/>
      <c r="H1079" s="94"/>
      <c r="I1079" s="94"/>
      <c r="J1079" s="94"/>
      <c r="K1079" s="94"/>
      <c r="L1079" s="94"/>
      <c r="M1079" s="94"/>
      <c r="N1079" s="94"/>
      <c r="O1079" s="94"/>
      <c r="P1079" s="94"/>
      <c r="Q1079" s="94"/>
      <c r="R1079" s="94"/>
      <c r="S1079" s="94"/>
      <c r="T1079" s="94"/>
      <c r="U1079" s="94"/>
      <c r="V1079" s="94"/>
      <c r="W1079" s="94"/>
      <c r="X1079" s="94"/>
      <c r="Y1079" s="94"/>
      <c r="Z1079" s="94"/>
      <c r="AA1079" s="94"/>
      <c r="AB1079" s="94"/>
      <c r="AC1079" s="94"/>
      <c r="AD1079" s="94"/>
      <c r="AE1079" s="94"/>
      <c r="AF1079" s="94"/>
      <c r="AG1079" s="94"/>
      <c r="AH1079" s="94"/>
      <c r="AI1079" s="94"/>
      <c r="AJ1079" s="94"/>
      <c r="AK1079" s="94"/>
      <c r="AL1079" s="94"/>
      <c r="AM1079" s="94"/>
      <c r="AN1079" s="94"/>
      <c r="AO1079" s="94"/>
      <c r="AP1079" s="94"/>
      <c r="AQ1079" s="94"/>
      <c r="AR1079" s="94"/>
      <c r="AS1079" s="94"/>
      <c r="AT1079" s="94"/>
      <c r="AU1079" s="94"/>
      <c r="AV1079" s="94"/>
      <c r="AW1079" s="94"/>
      <c r="AX1079" s="94"/>
      <c r="AY1079" s="94"/>
      <c r="BA1079" s="95"/>
    </row>
    <row r="1080" spans="1:53" s="87" customFormat="1">
      <c r="A1080" s="90" t="str">
        <f t="shared" si="41"/>
        <v/>
      </c>
      <c r="B1080" s="98"/>
      <c r="C1080" s="94"/>
      <c r="D1080" s="94"/>
      <c r="E1080" s="94"/>
      <c r="F1080" s="94"/>
      <c r="G1080" s="94"/>
      <c r="H1080" s="94"/>
      <c r="I1080" s="94"/>
      <c r="J1080" s="94"/>
      <c r="K1080" s="94"/>
      <c r="L1080" s="94"/>
      <c r="M1080" s="94"/>
      <c r="N1080" s="94"/>
      <c r="O1080" s="94"/>
      <c r="P1080" s="94"/>
      <c r="Q1080" s="94"/>
      <c r="R1080" s="94"/>
      <c r="S1080" s="94"/>
      <c r="T1080" s="94"/>
      <c r="U1080" s="94"/>
      <c r="V1080" s="94"/>
      <c r="W1080" s="94"/>
      <c r="X1080" s="94"/>
      <c r="Y1080" s="94"/>
      <c r="Z1080" s="94"/>
      <c r="AA1080" s="94"/>
      <c r="AB1080" s="94"/>
      <c r="AC1080" s="94"/>
      <c r="AD1080" s="94"/>
      <c r="AE1080" s="94"/>
      <c r="AF1080" s="94"/>
      <c r="AG1080" s="94"/>
      <c r="AH1080" s="94"/>
      <c r="AI1080" s="94"/>
      <c r="AJ1080" s="94"/>
      <c r="AK1080" s="94"/>
      <c r="AL1080" s="94"/>
      <c r="AM1080" s="94"/>
      <c r="AN1080" s="94"/>
      <c r="AO1080" s="94"/>
      <c r="AP1080" s="94"/>
      <c r="AQ1080" s="94"/>
      <c r="AR1080" s="94"/>
      <c r="AS1080" s="94"/>
      <c r="AT1080" s="94"/>
      <c r="AU1080" s="94"/>
      <c r="AV1080" s="94"/>
      <c r="AW1080" s="94"/>
      <c r="AX1080" s="94"/>
      <c r="AY1080" s="94"/>
      <c r="BA1080" s="95"/>
    </row>
    <row r="1081" spans="1:53" s="87" customFormat="1">
      <c r="A1081" s="90" t="str">
        <f t="shared" si="41"/>
        <v/>
      </c>
      <c r="B1081" s="98"/>
      <c r="C1081" s="94"/>
      <c r="D1081" s="94"/>
      <c r="E1081" s="94"/>
      <c r="F1081" s="94"/>
      <c r="G1081" s="94"/>
      <c r="H1081" s="94"/>
      <c r="I1081" s="94"/>
      <c r="J1081" s="94"/>
      <c r="K1081" s="94"/>
      <c r="L1081" s="94"/>
      <c r="M1081" s="94"/>
      <c r="N1081" s="94"/>
      <c r="O1081" s="94"/>
      <c r="P1081" s="94"/>
      <c r="Q1081" s="94"/>
      <c r="R1081" s="94"/>
      <c r="S1081" s="94"/>
      <c r="T1081" s="94"/>
      <c r="U1081" s="94"/>
      <c r="V1081" s="94"/>
      <c r="W1081" s="94"/>
      <c r="X1081" s="94"/>
      <c r="Y1081" s="94"/>
      <c r="Z1081" s="94"/>
      <c r="AA1081" s="94"/>
      <c r="AB1081" s="94"/>
      <c r="AC1081" s="94"/>
      <c r="AD1081" s="94"/>
      <c r="AE1081" s="94"/>
      <c r="AF1081" s="94"/>
      <c r="AG1081" s="94"/>
      <c r="AH1081" s="94"/>
      <c r="AI1081" s="94"/>
      <c r="AJ1081" s="94"/>
      <c r="AK1081" s="94"/>
      <c r="AL1081" s="94"/>
      <c r="AM1081" s="94"/>
      <c r="AN1081" s="94"/>
      <c r="AO1081" s="94"/>
      <c r="AP1081" s="94"/>
      <c r="AQ1081" s="94"/>
      <c r="AR1081" s="94"/>
      <c r="AS1081" s="94"/>
      <c r="AT1081" s="94"/>
      <c r="AU1081" s="94"/>
      <c r="AV1081" s="94"/>
      <c r="AW1081" s="94"/>
      <c r="AX1081" s="94"/>
      <c r="AY1081" s="94"/>
      <c r="BA1081" s="95"/>
    </row>
    <row r="1082" spans="1:53" s="87" customFormat="1">
      <c r="A1082" s="90" t="str">
        <f t="shared" si="41"/>
        <v/>
      </c>
      <c r="B1082" s="98"/>
      <c r="C1082" s="94"/>
      <c r="D1082" s="94"/>
      <c r="E1082" s="94"/>
      <c r="F1082" s="94"/>
      <c r="G1082" s="94"/>
      <c r="H1082" s="94"/>
      <c r="I1082" s="94"/>
      <c r="J1082" s="94"/>
      <c r="K1082" s="94"/>
      <c r="L1082" s="94"/>
      <c r="M1082" s="94"/>
      <c r="N1082" s="94"/>
      <c r="O1082" s="94"/>
      <c r="P1082" s="94"/>
      <c r="Q1082" s="94"/>
      <c r="R1082" s="94"/>
      <c r="S1082" s="94"/>
      <c r="T1082" s="94"/>
      <c r="U1082" s="94"/>
      <c r="V1082" s="94"/>
      <c r="W1082" s="94"/>
      <c r="X1082" s="94"/>
      <c r="Y1082" s="94"/>
      <c r="Z1082" s="94"/>
      <c r="AA1082" s="94"/>
      <c r="AB1082" s="94"/>
      <c r="AC1082" s="94"/>
      <c r="AD1082" s="94"/>
      <c r="AE1082" s="94"/>
      <c r="AF1082" s="94"/>
      <c r="AG1082" s="94"/>
      <c r="AH1082" s="94"/>
      <c r="AI1082" s="94"/>
      <c r="AJ1082" s="94"/>
      <c r="AK1082" s="94"/>
      <c r="AL1082" s="94"/>
      <c r="AM1082" s="94"/>
      <c r="AN1082" s="94"/>
      <c r="AO1082" s="94"/>
      <c r="AP1082" s="94"/>
      <c r="AQ1082" s="94"/>
      <c r="AR1082" s="94"/>
      <c r="AS1082" s="94"/>
      <c r="AT1082" s="94"/>
      <c r="AU1082" s="94"/>
      <c r="AV1082" s="94"/>
      <c r="AW1082" s="94"/>
      <c r="AX1082" s="94"/>
      <c r="AY1082" s="94"/>
      <c r="BA1082" s="95"/>
    </row>
    <row r="1083" spans="1:53" s="87" customFormat="1">
      <c r="A1083" s="90" t="str">
        <f t="shared" si="41"/>
        <v/>
      </c>
      <c r="B1083" s="98"/>
      <c r="C1083" s="94"/>
      <c r="D1083" s="94"/>
      <c r="E1083" s="94"/>
      <c r="F1083" s="94"/>
      <c r="G1083" s="94"/>
      <c r="H1083" s="94"/>
      <c r="I1083" s="94"/>
      <c r="J1083" s="94"/>
      <c r="K1083" s="94"/>
      <c r="L1083" s="94"/>
      <c r="M1083" s="94"/>
      <c r="N1083" s="94"/>
      <c r="O1083" s="94"/>
      <c r="P1083" s="94"/>
      <c r="Q1083" s="94"/>
      <c r="R1083" s="94"/>
      <c r="S1083" s="94"/>
      <c r="T1083" s="94"/>
      <c r="U1083" s="94"/>
      <c r="V1083" s="94"/>
      <c r="W1083" s="94"/>
      <c r="X1083" s="94"/>
      <c r="Y1083" s="94"/>
      <c r="Z1083" s="94"/>
      <c r="AA1083" s="94"/>
      <c r="AB1083" s="94"/>
      <c r="AC1083" s="94"/>
      <c r="AD1083" s="94"/>
      <c r="AE1083" s="94"/>
      <c r="AF1083" s="94"/>
      <c r="AG1083" s="94"/>
      <c r="AH1083" s="94"/>
      <c r="AI1083" s="94"/>
      <c r="AJ1083" s="94"/>
      <c r="AK1083" s="94"/>
      <c r="AL1083" s="94"/>
      <c r="AM1083" s="94"/>
      <c r="AN1083" s="94"/>
      <c r="AO1083" s="94"/>
      <c r="AP1083" s="94"/>
      <c r="AQ1083" s="94"/>
      <c r="AR1083" s="94"/>
      <c r="AS1083" s="94"/>
      <c r="AT1083" s="94"/>
      <c r="AU1083" s="94"/>
      <c r="AV1083" s="94"/>
      <c r="AW1083" s="94"/>
      <c r="AX1083" s="94"/>
      <c r="AY1083" s="94"/>
      <c r="BA1083" s="95"/>
    </row>
    <row r="1084" spans="1:53" s="87" customFormat="1">
      <c r="A1084" s="90" t="str">
        <f t="shared" si="41"/>
        <v/>
      </c>
      <c r="B1084" s="98"/>
      <c r="C1084" s="94"/>
      <c r="D1084" s="94"/>
      <c r="E1084" s="94"/>
      <c r="F1084" s="94"/>
      <c r="G1084" s="94"/>
      <c r="H1084" s="94"/>
      <c r="I1084" s="94"/>
      <c r="J1084" s="94"/>
      <c r="K1084" s="94"/>
      <c r="L1084" s="94"/>
      <c r="M1084" s="94"/>
      <c r="N1084" s="94"/>
      <c r="O1084" s="94"/>
      <c r="P1084" s="94"/>
      <c r="Q1084" s="94"/>
      <c r="R1084" s="94"/>
      <c r="S1084" s="94"/>
      <c r="T1084" s="94"/>
      <c r="U1084" s="94"/>
      <c r="V1084" s="94"/>
      <c r="W1084" s="94"/>
      <c r="X1084" s="94"/>
      <c r="Y1084" s="94"/>
      <c r="Z1084" s="94"/>
      <c r="AA1084" s="94"/>
      <c r="AB1084" s="94"/>
      <c r="AC1084" s="94"/>
      <c r="AD1084" s="94"/>
      <c r="AE1084" s="94"/>
      <c r="AF1084" s="94"/>
      <c r="AG1084" s="94"/>
      <c r="AH1084" s="94"/>
      <c r="AI1084" s="94"/>
      <c r="AJ1084" s="94"/>
      <c r="AK1084" s="94"/>
      <c r="AL1084" s="94"/>
      <c r="AM1084" s="94"/>
      <c r="AN1084" s="94"/>
      <c r="AO1084" s="94"/>
      <c r="AP1084" s="94"/>
      <c r="AQ1084" s="94"/>
      <c r="AR1084" s="94"/>
      <c r="AS1084" s="94"/>
      <c r="AT1084" s="94"/>
      <c r="AU1084" s="94"/>
      <c r="AV1084" s="94"/>
      <c r="AW1084" s="94"/>
      <c r="AX1084" s="94"/>
      <c r="AY1084" s="94"/>
      <c r="BA1084" s="95"/>
    </row>
    <row r="1085" spans="1:53" s="87" customFormat="1">
      <c r="A1085" s="90" t="str">
        <f t="shared" si="41"/>
        <v/>
      </c>
      <c r="B1085" s="98"/>
      <c r="C1085" s="94"/>
      <c r="D1085" s="94"/>
      <c r="E1085" s="94"/>
      <c r="F1085" s="94"/>
      <c r="G1085" s="94"/>
      <c r="H1085" s="94"/>
      <c r="I1085" s="94"/>
      <c r="J1085" s="94"/>
      <c r="K1085" s="94"/>
      <c r="L1085" s="94"/>
      <c r="M1085" s="94"/>
      <c r="N1085" s="94"/>
      <c r="O1085" s="94"/>
      <c r="P1085" s="94"/>
      <c r="Q1085" s="94"/>
      <c r="R1085" s="94"/>
      <c r="S1085" s="94"/>
      <c r="T1085" s="94"/>
      <c r="U1085" s="94"/>
      <c r="V1085" s="94"/>
      <c r="W1085" s="94"/>
      <c r="X1085" s="94"/>
      <c r="Y1085" s="94"/>
      <c r="Z1085" s="94"/>
      <c r="AA1085" s="94"/>
      <c r="AB1085" s="94"/>
      <c r="AC1085" s="94"/>
      <c r="AD1085" s="94"/>
      <c r="AE1085" s="94"/>
      <c r="AF1085" s="94"/>
      <c r="AG1085" s="94"/>
      <c r="AH1085" s="94"/>
      <c r="AI1085" s="94"/>
      <c r="AJ1085" s="94"/>
      <c r="AK1085" s="94"/>
      <c r="AL1085" s="94"/>
      <c r="AM1085" s="94"/>
      <c r="AN1085" s="94"/>
      <c r="AO1085" s="94"/>
      <c r="AP1085" s="94"/>
      <c r="AQ1085" s="94"/>
      <c r="AR1085" s="94"/>
      <c r="AS1085" s="94"/>
      <c r="AT1085" s="94"/>
      <c r="AU1085" s="94"/>
      <c r="AV1085" s="94"/>
      <c r="AW1085" s="94"/>
      <c r="AX1085" s="94"/>
      <c r="AY1085" s="94"/>
      <c r="BA1085" s="95"/>
    </row>
    <row r="1086" spans="1:53" s="87" customFormat="1">
      <c r="A1086" s="90" t="str">
        <f t="shared" si="41"/>
        <v/>
      </c>
      <c r="B1086" s="98"/>
      <c r="C1086" s="94"/>
      <c r="D1086" s="94"/>
      <c r="E1086" s="94"/>
      <c r="F1086" s="94"/>
      <c r="G1086" s="94"/>
      <c r="H1086" s="94"/>
      <c r="I1086" s="94"/>
      <c r="J1086" s="94"/>
      <c r="K1086" s="94"/>
      <c r="L1086" s="94"/>
      <c r="M1086" s="94"/>
      <c r="N1086" s="94"/>
      <c r="O1086" s="94"/>
      <c r="P1086" s="94"/>
      <c r="Q1086" s="94"/>
      <c r="R1086" s="94"/>
      <c r="S1086" s="94"/>
      <c r="T1086" s="94"/>
      <c r="U1086" s="94"/>
      <c r="V1086" s="94"/>
      <c r="W1086" s="94"/>
      <c r="X1086" s="94"/>
      <c r="Y1086" s="94"/>
      <c r="Z1086" s="94"/>
      <c r="AA1086" s="94"/>
      <c r="AB1086" s="94"/>
      <c r="AC1086" s="94"/>
      <c r="AD1086" s="94"/>
      <c r="AE1086" s="94"/>
      <c r="AF1086" s="94"/>
      <c r="AG1086" s="94"/>
      <c r="AH1086" s="94"/>
      <c r="AI1086" s="94"/>
      <c r="AJ1086" s="94"/>
      <c r="AK1086" s="94"/>
      <c r="AL1086" s="94"/>
      <c r="AM1086" s="94"/>
      <c r="AN1086" s="94"/>
      <c r="AO1086" s="94"/>
      <c r="AP1086" s="94"/>
      <c r="AQ1086" s="94"/>
      <c r="AR1086" s="94"/>
      <c r="AS1086" s="94"/>
      <c r="AT1086" s="94"/>
      <c r="AU1086" s="94"/>
      <c r="AV1086" s="94"/>
      <c r="AW1086" s="94"/>
      <c r="AX1086" s="94"/>
      <c r="AY1086" s="94"/>
      <c r="BA1086" s="95"/>
    </row>
    <row r="1087" spans="1:53" s="87" customFormat="1">
      <c r="A1087" s="90" t="str">
        <f t="shared" si="41"/>
        <v/>
      </c>
      <c r="B1087" s="98"/>
      <c r="C1087" s="94"/>
      <c r="D1087" s="94"/>
      <c r="E1087" s="94"/>
      <c r="F1087" s="94"/>
      <c r="G1087" s="94"/>
      <c r="H1087" s="94"/>
      <c r="I1087" s="94"/>
      <c r="J1087" s="94"/>
      <c r="K1087" s="94"/>
      <c r="L1087" s="94"/>
      <c r="M1087" s="94"/>
      <c r="N1087" s="94"/>
      <c r="O1087" s="94"/>
      <c r="P1087" s="94"/>
      <c r="Q1087" s="94"/>
      <c r="R1087" s="94"/>
      <c r="S1087" s="94"/>
      <c r="T1087" s="94"/>
      <c r="U1087" s="94"/>
      <c r="V1087" s="94"/>
      <c r="W1087" s="94"/>
      <c r="X1087" s="94"/>
      <c r="Y1087" s="94"/>
      <c r="Z1087" s="94"/>
      <c r="AA1087" s="94"/>
      <c r="AB1087" s="94"/>
      <c r="AC1087" s="94"/>
      <c r="AD1087" s="94"/>
      <c r="AE1087" s="94"/>
      <c r="AF1087" s="94"/>
      <c r="AG1087" s="94"/>
      <c r="AH1087" s="94"/>
      <c r="AI1087" s="94"/>
      <c r="AJ1087" s="94"/>
      <c r="AK1087" s="94"/>
      <c r="AL1087" s="94"/>
      <c r="AM1087" s="94"/>
      <c r="AN1087" s="94"/>
      <c r="AO1087" s="94"/>
      <c r="AP1087" s="94"/>
      <c r="AQ1087" s="94"/>
      <c r="AR1087" s="94"/>
      <c r="AS1087" s="94"/>
      <c r="AT1087" s="94"/>
      <c r="AU1087" s="94"/>
      <c r="AV1087" s="94"/>
      <c r="AW1087" s="94"/>
      <c r="AX1087" s="94"/>
      <c r="AY1087" s="94"/>
      <c r="BA1087" s="95"/>
    </row>
    <row r="1088" spans="1:53" s="87" customFormat="1">
      <c r="A1088" s="90" t="str">
        <f t="shared" si="41"/>
        <v/>
      </c>
      <c r="B1088" s="98"/>
      <c r="C1088" s="94"/>
      <c r="D1088" s="94"/>
      <c r="E1088" s="94"/>
      <c r="F1088" s="94"/>
      <c r="G1088" s="94"/>
      <c r="H1088" s="94"/>
      <c r="I1088" s="94"/>
      <c r="J1088" s="94"/>
      <c r="K1088" s="94"/>
      <c r="L1088" s="94"/>
      <c r="M1088" s="94"/>
      <c r="N1088" s="94"/>
      <c r="O1088" s="94"/>
      <c r="P1088" s="94"/>
      <c r="Q1088" s="94"/>
      <c r="R1088" s="94"/>
      <c r="S1088" s="94"/>
      <c r="T1088" s="94"/>
      <c r="U1088" s="94"/>
      <c r="V1088" s="94"/>
      <c r="W1088" s="94"/>
      <c r="X1088" s="94"/>
      <c r="Y1088" s="94"/>
      <c r="Z1088" s="94"/>
      <c r="AA1088" s="94"/>
      <c r="AB1088" s="94"/>
      <c r="AC1088" s="94"/>
      <c r="AD1088" s="94"/>
      <c r="AE1088" s="94"/>
      <c r="AF1088" s="94"/>
      <c r="AG1088" s="94"/>
      <c r="AH1088" s="94"/>
      <c r="AI1088" s="94"/>
      <c r="AJ1088" s="94"/>
      <c r="AK1088" s="94"/>
      <c r="AL1088" s="94"/>
      <c r="AM1088" s="94"/>
      <c r="AN1088" s="94"/>
      <c r="AO1088" s="94"/>
      <c r="AP1088" s="94"/>
      <c r="AQ1088" s="94"/>
      <c r="AR1088" s="94"/>
      <c r="AS1088" s="94"/>
      <c r="AT1088" s="94"/>
      <c r="AU1088" s="94"/>
      <c r="AV1088" s="94"/>
      <c r="AW1088" s="94"/>
      <c r="AX1088" s="94"/>
      <c r="AY1088" s="94"/>
      <c r="BA1088" s="95"/>
    </row>
    <row r="1089" spans="1:53" s="87" customFormat="1">
      <c r="A1089" s="90" t="str">
        <f t="shared" si="41"/>
        <v/>
      </c>
      <c r="B1089" s="98"/>
      <c r="C1089" s="94"/>
      <c r="D1089" s="94"/>
      <c r="E1089" s="94"/>
      <c r="F1089" s="94"/>
      <c r="G1089" s="94"/>
      <c r="H1089" s="94"/>
      <c r="I1089" s="94"/>
      <c r="J1089" s="94"/>
      <c r="K1089" s="94"/>
      <c r="L1089" s="94"/>
      <c r="M1089" s="94"/>
      <c r="N1089" s="94"/>
      <c r="O1089" s="94"/>
      <c r="P1089" s="94"/>
      <c r="Q1089" s="94"/>
      <c r="R1089" s="94"/>
      <c r="S1089" s="94"/>
      <c r="T1089" s="94"/>
      <c r="U1089" s="94"/>
      <c r="V1089" s="94"/>
      <c r="W1089" s="94"/>
      <c r="X1089" s="94"/>
      <c r="Y1089" s="94"/>
      <c r="Z1089" s="94"/>
      <c r="AA1089" s="94"/>
      <c r="AB1089" s="94"/>
      <c r="AC1089" s="94"/>
      <c r="AD1089" s="94"/>
      <c r="AE1089" s="94"/>
      <c r="AF1089" s="94"/>
      <c r="AG1089" s="94"/>
      <c r="AH1089" s="94"/>
      <c r="AI1089" s="94"/>
      <c r="AJ1089" s="94"/>
      <c r="AK1089" s="94"/>
      <c r="AL1089" s="94"/>
      <c r="AM1089" s="94"/>
      <c r="AN1089" s="94"/>
      <c r="AO1089" s="94"/>
      <c r="AP1089" s="94"/>
      <c r="AQ1089" s="94"/>
      <c r="AR1089" s="94"/>
      <c r="AS1089" s="94"/>
      <c r="AT1089" s="94"/>
      <c r="AU1089" s="94"/>
      <c r="AV1089" s="94"/>
      <c r="AW1089" s="94"/>
      <c r="AX1089" s="94"/>
      <c r="AY1089" s="94"/>
      <c r="BA1089" s="95"/>
    </row>
    <row r="1090" spans="1:53" s="87" customFormat="1">
      <c r="A1090" s="90" t="str">
        <f t="shared" si="41"/>
        <v/>
      </c>
      <c r="B1090" s="98"/>
      <c r="C1090" s="94"/>
      <c r="D1090" s="94"/>
      <c r="E1090" s="94"/>
      <c r="F1090" s="94"/>
      <c r="G1090" s="94"/>
      <c r="H1090" s="94"/>
      <c r="I1090" s="94"/>
      <c r="J1090" s="94"/>
      <c r="K1090" s="94"/>
      <c r="L1090" s="94"/>
      <c r="M1090" s="94"/>
      <c r="N1090" s="94"/>
      <c r="O1090" s="94"/>
      <c r="P1090" s="94"/>
      <c r="Q1090" s="94"/>
      <c r="R1090" s="94"/>
      <c r="S1090" s="94"/>
      <c r="T1090" s="94"/>
      <c r="U1090" s="94"/>
      <c r="V1090" s="94"/>
      <c r="W1090" s="94"/>
      <c r="X1090" s="94"/>
      <c r="Y1090" s="94"/>
      <c r="Z1090" s="94"/>
      <c r="AA1090" s="94"/>
      <c r="AB1090" s="94"/>
      <c r="AC1090" s="94"/>
      <c r="AD1090" s="94"/>
      <c r="AE1090" s="94"/>
      <c r="AF1090" s="94"/>
      <c r="AG1090" s="94"/>
      <c r="AH1090" s="94"/>
      <c r="AI1090" s="94"/>
      <c r="AJ1090" s="94"/>
      <c r="AK1090" s="94"/>
      <c r="AL1090" s="94"/>
      <c r="AM1090" s="94"/>
      <c r="AN1090" s="94"/>
      <c r="AO1090" s="94"/>
      <c r="AP1090" s="94"/>
      <c r="AQ1090" s="94"/>
      <c r="AR1090" s="94"/>
      <c r="AS1090" s="94"/>
      <c r="AT1090" s="94"/>
      <c r="AU1090" s="94"/>
      <c r="AV1090" s="94"/>
      <c r="AW1090" s="94"/>
      <c r="AX1090" s="94"/>
      <c r="AY1090" s="94"/>
      <c r="BA1090" s="95"/>
    </row>
    <row r="1091" spans="1:53" s="87" customFormat="1">
      <c r="A1091" s="90" t="str">
        <f t="shared" si="41"/>
        <v/>
      </c>
      <c r="B1091" s="98"/>
      <c r="C1091" s="94"/>
      <c r="D1091" s="94"/>
      <c r="E1091" s="94"/>
      <c r="F1091" s="94"/>
      <c r="G1091" s="94"/>
      <c r="H1091" s="94"/>
      <c r="I1091" s="94"/>
      <c r="J1091" s="94"/>
      <c r="K1091" s="94"/>
      <c r="L1091" s="94"/>
      <c r="M1091" s="94"/>
      <c r="N1091" s="94"/>
      <c r="O1091" s="94"/>
      <c r="P1091" s="94"/>
      <c r="Q1091" s="94"/>
      <c r="R1091" s="94"/>
      <c r="S1091" s="94"/>
      <c r="T1091" s="94"/>
      <c r="U1091" s="94"/>
      <c r="V1091" s="94"/>
      <c r="W1091" s="94"/>
      <c r="X1091" s="94"/>
      <c r="Y1091" s="94"/>
      <c r="Z1091" s="94"/>
      <c r="AA1091" s="94"/>
      <c r="AB1091" s="94"/>
      <c r="AC1091" s="94"/>
      <c r="AD1091" s="94"/>
      <c r="AE1091" s="94"/>
      <c r="AF1091" s="94"/>
      <c r="AG1091" s="94"/>
      <c r="AH1091" s="94"/>
      <c r="AI1091" s="94"/>
      <c r="AJ1091" s="94"/>
      <c r="AK1091" s="94"/>
      <c r="AL1091" s="94"/>
      <c r="AM1091" s="94"/>
      <c r="AN1091" s="94"/>
      <c r="AO1091" s="94"/>
      <c r="AP1091" s="94"/>
      <c r="AQ1091" s="94"/>
      <c r="AR1091" s="94"/>
      <c r="AS1091" s="94"/>
      <c r="AT1091" s="94"/>
      <c r="AU1091" s="94"/>
      <c r="AV1091" s="94"/>
      <c r="AW1091" s="94"/>
      <c r="AX1091" s="94"/>
      <c r="AY1091" s="94"/>
      <c r="BA1091" s="95"/>
    </row>
    <row r="1092" spans="1:53" s="87" customFormat="1">
      <c r="A1092" s="90" t="str">
        <f t="shared" si="41"/>
        <v/>
      </c>
      <c r="B1092" s="98"/>
      <c r="C1092" s="94"/>
      <c r="D1092" s="94"/>
      <c r="E1092" s="94"/>
      <c r="F1092" s="94"/>
      <c r="G1092" s="94"/>
      <c r="H1092" s="94"/>
      <c r="I1092" s="94"/>
      <c r="J1092" s="94"/>
      <c r="K1092" s="94"/>
      <c r="L1092" s="94"/>
      <c r="M1092" s="94"/>
      <c r="N1092" s="94"/>
      <c r="O1092" s="94"/>
      <c r="P1092" s="94"/>
      <c r="Q1092" s="94"/>
      <c r="R1092" s="94"/>
      <c r="S1092" s="94"/>
      <c r="T1092" s="94"/>
      <c r="U1092" s="94"/>
      <c r="V1092" s="94"/>
      <c r="W1092" s="94"/>
      <c r="X1092" s="94"/>
      <c r="Y1092" s="94"/>
      <c r="Z1092" s="94"/>
      <c r="AA1092" s="94"/>
      <c r="AB1092" s="94"/>
      <c r="AC1092" s="94"/>
      <c r="AD1092" s="94"/>
      <c r="AE1092" s="94"/>
      <c r="AF1092" s="94"/>
      <c r="AG1092" s="94"/>
      <c r="AH1092" s="94"/>
      <c r="AI1092" s="94"/>
      <c r="AJ1092" s="94"/>
      <c r="AK1092" s="94"/>
      <c r="AL1092" s="94"/>
      <c r="AM1092" s="94"/>
      <c r="AN1092" s="94"/>
      <c r="AO1092" s="94"/>
      <c r="AP1092" s="94"/>
      <c r="AQ1092" s="94"/>
      <c r="AR1092" s="94"/>
      <c r="AS1092" s="94"/>
      <c r="AT1092" s="94"/>
      <c r="AU1092" s="94"/>
      <c r="AV1092" s="94"/>
      <c r="AW1092" s="94"/>
      <c r="AX1092" s="94"/>
      <c r="AY1092" s="94"/>
      <c r="BA1092" s="95"/>
    </row>
    <row r="1093" spans="1:53" s="87" customFormat="1">
      <c r="A1093" s="90" t="str">
        <f t="shared" si="41"/>
        <v/>
      </c>
      <c r="B1093" s="98"/>
      <c r="C1093" s="94"/>
      <c r="D1093" s="94"/>
      <c r="E1093" s="94"/>
      <c r="F1093" s="94"/>
      <c r="G1093" s="94"/>
      <c r="H1093" s="94"/>
      <c r="I1093" s="94"/>
      <c r="J1093" s="94"/>
      <c r="K1093" s="94"/>
      <c r="L1093" s="94"/>
      <c r="M1093" s="94"/>
      <c r="N1093" s="94"/>
      <c r="O1093" s="94"/>
      <c r="P1093" s="94"/>
      <c r="Q1093" s="94"/>
      <c r="R1093" s="94"/>
      <c r="S1093" s="94"/>
      <c r="T1093" s="94"/>
      <c r="U1093" s="94"/>
      <c r="V1093" s="94"/>
      <c r="W1093" s="94"/>
      <c r="X1093" s="94"/>
      <c r="Y1093" s="94"/>
      <c r="Z1093" s="94"/>
      <c r="AA1093" s="94"/>
      <c r="AB1093" s="94"/>
      <c r="AC1093" s="94"/>
      <c r="AD1093" s="94"/>
      <c r="AE1093" s="94"/>
      <c r="AF1093" s="94"/>
      <c r="AG1093" s="94"/>
      <c r="AH1093" s="94"/>
      <c r="AI1093" s="94"/>
      <c r="AJ1093" s="94"/>
      <c r="AK1093" s="94"/>
      <c r="AL1093" s="94"/>
      <c r="AM1093" s="94"/>
      <c r="AN1093" s="94"/>
      <c r="AO1093" s="94"/>
      <c r="AP1093" s="94"/>
      <c r="AQ1093" s="94"/>
      <c r="AR1093" s="94"/>
      <c r="AS1093" s="94"/>
      <c r="AT1093" s="94"/>
      <c r="AU1093" s="94"/>
      <c r="AV1093" s="94"/>
      <c r="AW1093" s="94"/>
      <c r="AX1093" s="94"/>
      <c r="AY1093" s="94"/>
      <c r="BA1093" s="95"/>
    </row>
    <row r="1094" spans="1:53" s="87" customFormat="1">
      <c r="A1094" s="90" t="str">
        <f t="shared" si="41"/>
        <v/>
      </c>
      <c r="B1094" s="98"/>
      <c r="C1094" s="94"/>
      <c r="D1094" s="94"/>
      <c r="E1094" s="94"/>
      <c r="F1094" s="94"/>
      <c r="G1094" s="94"/>
      <c r="H1094" s="94"/>
      <c r="I1094" s="94"/>
      <c r="J1094" s="94"/>
      <c r="K1094" s="94"/>
      <c r="L1094" s="94"/>
      <c r="M1094" s="94"/>
      <c r="N1094" s="94"/>
      <c r="O1094" s="94"/>
      <c r="P1094" s="94"/>
      <c r="Q1094" s="94"/>
      <c r="R1094" s="94"/>
      <c r="S1094" s="94"/>
      <c r="T1094" s="94"/>
      <c r="U1094" s="94"/>
      <c r="V1094" s="94"/>
      <c r="W1094" s="94"/>
      <c r="X1094" s="94"/>
      <c r="Y1094" s="94"/>
      <c r="Z1094" s="94"/>
      <c r="AA1094" s="94"/>
      <c r="AB1094" s="94"/>
      <c r="AC1094" s="94"/>
      <c r="AD1094" s="94"/>
      <c r="AE1094" s="94"/>
      <c r="AF1094" s="94"/>
      <c r="AG1094" s="94"/>
      <c r="AH1094" s="94"/>
      <c r="AI1094" s="94"/>
      <c r="AJ1094" s="94"/>
      <c r="AK1094" s="94"/>
      <c r="AL1094" s="94"/>
      <c r="AM1094" s="94"/>
      <c r="AN1094" s="94"/>
      <c r="AO1094" s="94"/>
      <c r="AP1094" s="94"/>
      <c r="AQ1094" s="94"/>
      <c r="AR1094" s="94"/>
      <c r="AS1094" s="94"/>
      <c r="AT1094" s="94"/>
      <c r="AU1094" s="94"/>
      <c r="AV1094" s="94"/>
      <c r="AW1094" s="94"/>
      <c r="AX1094" s="94"/>
      <c r="AY1094" s="94"/>
      <c r="BA1094" s="95"/>
    </row>
    <row r="1095" spans="1:53" s="87" customFormat="1">
      <c r="A1095" s="90" t="str">
        <f t="shared" si="41"/>
        <v/>
      </c>
      <c r="B1095" s="98"/>
      <c r="C1095" s="94"/>
      <c r="D1095" s="94"/>
      <c r="E1095" s="94"/>
      <c r="F1095" s="94"/>
      <c r="G1095" s="94"/>
      <c r="H1095" s="94"/>
      <c r="I1095" s="94"/>
      <c r="J1095" s="94"/>
      <c r="K1095" s="94"/>
      <c r="L1095" s="94"/>
      <c r="M1095" s="94"/>
      <c r="N1095" s="94"/>
      <c r="O1095" s="94"/>
      <c r="P1095" s="94"/>
      <c r="Q1095" s="94"/>
      <c r="R1095" s="94"/>
      <c r="S1095" s="94"/>
      <c r="T1095" s="94"/>
      <c r="U1095" s="94"/>
      <c r="V1095" s="94"/>
      <c r="W1095" s="94"/>
      <c r="X1095" s="94"/>
      <c r="Y1095" s="94"/>
      <c r="Z1095" s="94"/>
      <c r="AA1095" s="94"/>
      <c r="AB1095" s="94"/>
      <c r="AC1095" s="94"/>
      <c r="AD1095" s="94"/>
      <c r="AE1095" s="94"/>
      <c r="AF1095" s="94"/>
      <c r="AG1095" s="94"/>
      <c r="AH1095" s="94"/>
      <c r="AI1095" s="94"/>
      <c r="AJ1095" s="94"/>
      <c r="AK1095" s="94"/>
      <c r="AL1095" s="94"/>
      <c r="AM1095" s="94"/>
      <c r="AN1095" s="94"/>
      <c r="AO1095" s="94"/>
      <c r="AP1095" s="94"/>
      <c r="AQ1095" s="94"/>
      <c r="AR1095" s="94"/>
      <c r="AS1095" s="94"/>
      <c r="AT1095" s="94"/>
      <c r="AU1095" s="94"/>
      <c r="AV1095" s="94"/>
      <c r="AW1095" s="94"/>
      <c r="AX1095" s="94"/>
      <c r="AY1095" s="94"/>
      <c r="BA1095" s="95"/>
    </row>
    <row r="1096" spans="1:53" s="87" customFormat="1">
      <c r="A1096" s="90" t="str">
        <f t="shared" si="41"/>
        <v/>
      </c>
      <c r="B1096" s="98"/>
      <c r="C1096" s="94"/>
      <c r="D1096" s="94"/>
      <c r="E1096" s="94"/>
      <c r="F1096" s="94"/>
      <c r="G1096" s="94"/>
      <c r="H1096" s="94"/>
      <c r="I1096" s="94"/>
      <c r="J1096" s="94"/>
      <c r="K1096" s="94"/>
      <c r="L1096" s="94"/>
      <c r="M1096" s="94"/>
      <c r="N1096" s="94"/>
      <c r="O1096" s="94"/>
      <c r="P1096" s="94"/>
      <c r="Q1096" s="94"/>
      <c r="R1096" s="94"/>
      <c r="S1096" s="94"/>
      <c r="T1096" s="94"/>
      <c r="U1096" s="94"/>
      <c r="V1096" s="94"/>
      <c r="W1096" s="94"/>
      <c r="X1096" s="94"/>
      <c r="Y1096" s="94"/>
      <c r="Z1096" s="94"/>
      <c r="AA1096" s="94"/>
      <c r="AB1096" s="94"/>
      <c r="AC1096" s="94"/>
      <c r="AD1096" s="94"/>
      <c r="AE1096" s="94"/>
      <c r="AF1096" s="94"/>
      <c r="AG1096" s="94"/>
      <c r="AH1096" s="94"/>
      <c r="AI1096" s="94"/>
      <c r="AJ1096" s="94"/>
      <c r="AK1096" s="94"/>
      <c r="AL1096" s="94"/>
      <c r="AM1096" s="94"/>
      <c r="AN1096" s="94"/>
      <c r="AO1096" s="94"/>
      <c r="AP1096" s="94"/>
      <c r="AQ1096" s="94"/>
      <c r="AR1096" s="94"/>
      <c r="AS1096" s="94"/>
      <c r="AT1096" s="94"/>
      <c r="AU1096" s="94"/>
      <c r="AV1096" s="94"/>
      <c r="AW1096" s="94"/>
      <c r="AX1096" s="94"/>
      <c r="AY1096" s="94"/>
      <c r="BA1096" s="95"/>
    </row>
    <row r="1097" spans="1:53" s="87" customFormat="1">
      <c r="A1097" s="90" t="str">
        <f t="shared" si="41"/>
        <v/>
      </c>
      <c r="B1097" s="98"/>
      <c r="C1097" s="94"/>
      <c r="D1097" s="94"/>
      <c r="E1097" s="94"/>
      <c r="F1097" s="94"/>
      <c r="G1097" s="94"/>
      <c r="H1097" s="94"/>
      <c r="I1097" s="94"/>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BA1097" s="95"/>
    </row>
    <row r="1098" spans="1:53" s="87" customFormat="1">
      <c r="A1098" s="90" t="str">
        <f t="shared" si="41"/>
        <v/>
      </c>
      <c r="B1098" s="98"/>
      <c r="C1098" s="94"/>
      <c r="D1098" s="94"/>
      <c r="E1098" s="94"/>
      <c r="F1098" s="94"/>
      <c r="G1098" s="94"/>
      <c r="H1098" s="94"/>
      <c r="I1098" s="94"/>
      <c r="J1098" s="94"/>
      <c r="K1098" s="94"/>
      <c r="L1098" s="94"/>
      <c r="M1098" s="94"/>
      <c r="N1098" s="94"/>
      <c r="O1098" s="94"/>
      <c r="P1098" s="94"/>
      <c r="Q1098" s="94"/>
      <c r="R1098" s="94"/>
      <c r="S1098" s="94"/>
      <c r="T1098" s="94"/>
      <c r="U1098" s="94"/>
      <c r="V1098" s="94"/>
      <c r="W1098" s="94"/>
      <c r="X1098" s="94"/>
      <c r="Y1098" s="94"/>
      <c r="Z1098" s="94"/>
      <c r="AA1098" s="94"/>
      <c r="AB1098" s="94"/>
      <c r="AC1098" s="94"/>
      <c r="AD1098" s="94"/>
      <c r="AE1098" s="94"/>
      <c r="AF1098" s="94"/>
      <c r="AG1098" s="94"/>
      <c r="AH1098" s="94"/>
      <c r="AI1098" s="94"/>
      <c r="AJ1098" s="94"/>
      <c r="AK1098" s="94"/>
      <c r="AL1098" s="94"/>
      <c r="AM1098" s="94"/>
      <c r="AN1098" s="94"/>
      <c r="AO1098" s="94"/>
      <c r="AP1098" s="94"/>
      <c r="AQ1098" s="94"/>
      <c r="AR1098" s="94"/>
      <c r="AS1098" s="94"/>
      <c r="AT1098" s="94"/>
      <c r="AU1098" s="94"/>
      <c r="AV1098" s="94"/>
      <c r="AW1098" s="94"/>
      <c r="AX1098" s="94"/>
      <c r="AY1098" s="94"/>
      <c r="BA1098" s="95"/>
    </row>
    <row r="1099" spans="1:53" s="87" customFormat="1">
      <c r="A1099" s="90" t="str">
        <f t="shared" si="41"/>
        <v/>
      </c>
      <c r="B1099" s="98"/>
      <c r="C1099" s="94"/>
      <c r="D1099" s="94"/>
      <c r="E1099" s="94"/>
      <c r="F1099" s="94"/>
      <c r="G1099" s="94"/>
      <c r="H1099" s="94"/>
      <c r="I1099" s="94"/>
      <c r="J1099" s="94"/>
      <c r="K1099" s="94"/>
      <c r="L1099" s="94"/>
      <c r="M1099" s="94"/>
      <c r="N1099" s="94"/>
      <c r="O1099" s="94"/>
      <c r="P1099" s="94"/>
      <c r="Q1099" s="94"/>
      <c r="R1099" s="94"/>
      <c r="S1099" s="94"/>
      <c r="T1099" s="94"/>
      <c r="U1099" s="94"/>
      <c r="V1099" s="94"/>
      <c r="W1099" s="94"/>
      <c r="X1099" s="94"/>
      <c r="Y1099" s="94"/>
      <c r="Z1099" s="94"/>
      <c r="AA1099" s="94"/>
      <c r="AB1099" s="94"/>
      <c r="AC1099" s="94"/>
      <c r="AD1099" s="94"/>
      <c r="AE1099" s="94"/>
      <c r="AF1099" s="94"/>
      <c r="AG1099" s="94"/>
      <c r="AH1099" s="94"/>
      <c r="AI1099" s="94"/>
      <c r="AJ1099" s="94"/>
      <c r="AK1099" s="94"/>
      <c r="AL1099" s="94"/>
      <c r="AM1099" s="94"/>
      <c r="AN1099" s="94"/>
      <c r="AO1099" s="94"/>
      <c r="AP1099" s="94"/>
      <c r="AQ1099" s="94"/>
      <c r="AR1099" s="94"/>
      <c r="AS1099" s="94"/>
      <c r="AT1099" s="94"/>
      <c r="AU1099" s="94"/>
      <c r="AV1099" s="94"/>
      <c r="AW1099" s="94"/>
      <c r="AX1099" s="94"/>
      <c r="AY1099" s="94"/>
      <c r="BA1099" s="95"/>
    </row>
    <row r="1100" spans="1:53" s="87" customFormat="1">
      <c r="A1100" s="90" t="str">
        <f t="shared" ref="A1100:A1163" si="42">IF(MID(B1100,3,2)="07",ROW(),"")</f>
        <v/>
      </c>
      <c r="B1100" s="98"/>
      <c r="C1100" s="94"/>
      <c r="D1100" s="94"/>
      <c r="E1100" s="94"/>
      <c r="F1100" s="94"/>
      <c r="G1100" s="94"/>
      <c r="H1100" s="94"/>
      <c r="I1100" s="94"/>
      <c r="J1100" s="94"/>
      <c r="K1100" s="94"/>
      <c r="L1100" s="94"/>
      <c r="M1100" s="94"/>
      <c r="N1100" s="94"/>
      <c r="O1100" s="94"/>
      <c r="P1100" s="94"/>
      <c r="Q1100" s="94"/>
      <c r="R1100" s="94"/>
      <c r="S1100" s="94"/>
      <c r="T1100" s="94"/>
      <c r="U1100" s="94"/>
      <c r="V1100" s="94"/>
      <c r="W1100" s="94"/>
      <c r="X1100" s="94"/>
      <c r="Y1100" s="94"/>
      <c r="Z1100" s="94"/>
      <c r="AA1100" s="94"/>
      <c r="AB1100" s="94"/>
      <c r="AC1100" s="94"/>
      <c r="AD1100" s="94"/>
      <c r="AE1100" s="94"/>
      <c r="AF1100" s="94"/>
      <c r="AG1100" s="94"/>
      <c r="AH1100" s="94"/>
      <c r="AI1100" s="94"/>
      <c r="AJ1100" s="94"/>
      <c r="AK1100" s="94"/>
      <c r="AL1100" s="94"/>
      <c r="AM1100" s="94"/>
      <c r="AN1100" s="94"/>
      <c r="AO1100" s="94"/>
      <c r="AP1100" s="94"/>
      <c r="AQ1100" s="94"/>
      <c r="AR1100" s="94"/>
      <c r="AS1100" s="94"/>
      <c r="AT1100" s="94"/>
      <c r="AU1100" s="94"/>
      <c r="AV1100" s="94"/>
      <c r="AW1100" s="94"/>
      <c r="AX1100" s="94"/>
      <c r="AY1100" s="94"/>
      <c r="BA1100" s="95"/>
    </row>
    <row r="1101" spans="1:53" s="87" customFormat="1">
      <c r="A1101" s="90" t="str">
        <f t="shared" si="42"/>
        <v/>
      </c>
      <c r="B1101" s="98"/>
      <c r="C1101" s="94"/>
      <c r="D1101" s="94"/>
      <c r="E1101" s="94"/>
      <c r="F1101" s="94"/>
      <c r="G1101" s="94"/>
      <c r="H1101" s="94"/>
      <c r="I1101" s="94"/>
      <c r="J1101" s="94"/>
      <c r="K1101" s="94"/>
      <c r="L1101" s="94"/>
      <c r="M1101" s="94"/>
      <c r="N1101" s="94"/>
      <c r="O1101" s="94"/>
      <c r="P1101" s="94"/>
      <c r="Q1101" s="94"/>
      <c r="R1101" s="94"/>
      <c r="S1101" s="94"/>
      <c r="T1101" s="94"/>
      <c r="U1101" s="94"/>
      <c r="V1101" s="94"/>
      <c r="W1101" s="94"/>
      <c r="X1101" s="94"/>
      <c r="Y1101" s="94"/>
      <c r="Z1101" s="94"/>
      <c r="AA1101" s="94"/>
      <c r="AB1101" s="94"/>
      <c r="AC1101" s="94"/>
      <c r="AD1101" s="94"/>
      <c r="AE1101" s="94"/>
      <c r="AF1101" s="94"/>
      <c r="AG1101" s="94"/>
      <c r="AH1101" s="94"/>
      <c r="AI1101" s="94"/>
      <c r="AJ1101" s="94"/>
      <c r="AK1101" s="94"/>
      <c r="AL1101" s="94"/>
      <c r="AM1101" s="94"/>
      <c r="AN1101" s="94"/>
      <c r="AO1101" s="94"/>
      <c r="AP1101" s="94"/>
      <c r="AQ1101" s="94"/>
      <c r="AR1101" s="94"/>
      <c r="AS1101" s="94"/>
      <c r="AT1101" s="94"/>
      <c r="AU1101" s="94"/>
      <c r="AV1101" s="94"/>
      <c r="AW1101" s="94"/>
      <c r="AX1101" s="94"/>
      <c r="AY1101" s="94"/>
      <c r="BA1101" s="95"/>
    </row>
    <row r="1102" spans="1:53" s="87" customFormat="1">
      <c r="A1102" s="90" t="str">
        <f t="shared" si="42"/>
        <v/>
      </c>
      <c r="B1102" s="98"/>
      <c r="C1102" s="94"/>
      <c r="D1102" s="94"/>
      <c r="E1102" s="94"/>
      <c r="F1102" s="94"/>
      <c r="G1102" s="94"/>
      <c r="H1102" s="94"/>
      <c r="I1102" s="94"/>
      <c r="J1102" s="94"/>
      <c r="K1102" s="94"/>
      <c r="L1102" s="94"/>
      <c r="M1102" s="94"/>
      <c r="N1102" s="94"/>
      <c r="O1102" s="94"/>
      <c r="P1102" s="94"/>
      <c r="Q1102" s="94"/>
      <c r="R1102" s="94"/>
      <c r="S1102" s="94"/>
      <c r="T1102" s="94"/>
      <c r="U1102" s="94"/>
      <c r="V1102" s="94"/>
      <c r="W1102" s="94"/>
      <c r="X1102" s="94"/>
      <c r="Y1102" s="94"/>
      <c r="Z1102" s="94"/>
      <c r="AA1102" s="94"/>
      <c r="AB1102" s="94"/>
      <c r="AC1102" s="94"/>
      <c r="AD1102" s="94"/>
      <c r="AE1102" s="94"/>
      <c r="AF1102" s="94"/>
      <c r="AG1102" s="94"/>
      <c r="AH1102" s="94"/>
      <c r="AI1102" s="94"/>
      <c r="AJ1102" s="94"/>
      <c r="AK1102" s="94"/>
      <c r="AL1102" s="94"/>
      <c r="AM1102" s="94"/>
      <c r="AN1102" s="94"/>
      <c r="AO1102" s="94"/>
      <c r="AP1102" s="94"/>
      <c r="AQ1102" s="94"/>
      <c r="AR1102" s="94"/>
      <c r="AS1102" s="94"/>
      <c r="AT1102" s="94"/>
      <c r="AU1102" s="94"/>
      <c r="AV1102" s="94"/>
      <c r="AW1102" s="94"/>
      <c r="AX1102" s="94"/>
      <c r="AY1102" s="94"/>
      <c r="BA1102" s="95"/>
    </row>
    <row r="1103" spans="1:53" s="87" customFormat="1">
      <c r="A1103" s="90" t="str">
        <f t="shared" si="42"/>
        <v/>
      </c>
      <c r="B1103" s="98"/>
      <c r="C1103" s="94"/>
      <c r="D1103" s="94"/>
      <c r="E1103" s="94"/>
      <c r="F1103" s="94"/>
      <c r="G1103" s="94"/>
      <c r="H1103" s="94"/>
      <c r="I1103" s="94"/>
      <c r="J1103" s="94"/>
      <c r="K1103" s="94"/>
      <c r="L1103" s="94"/>
      <c r="M1103" s="94"/>
      <c r="N1103" s="94"/>
      <c r="O1103" s="94"/>
      <c r="P1103" s="94"/>
      <c r="Q1103" s="94"/>
      <c r="R1103" s="94"/>
      <c r="S1103" s="94"/>
      <c r="T1103" s="94"/>
      <c r="U1103" s="94"/>
      <c r="V1103" s="94"/>
      <c r="W1103" s="94"/>
      <c r="X1103" s="94"/>
      <c r="Y1103" s="94"/>
      <c r="Z1103" s="94"/>
      <c r="AA1103" s="94"/>
      <c r="AB1103" s="94"/>
      <c r="AC1103" s="94"/>
      <c r="AD1103" s="94"/>
      <c r="AE1103" s="94"/>
      <c r="AF1103" s="94"/>
      <c r="AG1103" s="94"/>
      <c r="AH1103" s="94"/>
      <c r="AI1103" s="94"/>
      <c r="AJ1103" s="94"/>
      <c r="AK1103" s="94"/>
      <c r="AL1103" s="94"/>
      <c r="AM1103" s="94"/>
      <c r="AN1103" s="94"/>
      <c r="AO1103" s="94"/>
      <c r="AP1103" s="94"/>
      <c r="AQ1103" s="94"/>
      <c r="AR1103" s="94"/>
      <c r="AS1103" s="94"/>
      <c r="AT1103" s="94"/>
      <c r="AU1103" s="94"/>
      <c r="AV1103" s="94"/>
      <c r="AW1103" s="94"/>
      <c r="AX1103" s="94"/>
      <c r="AY1103" s="94"/>
      <c r="BA1103" s="95"/>
    </row>
    <row r="1104" spans="1:53" s="87" customFormat="1">
      <c r="A1104" s="90" t="str">
        <f t="shared" si="42"/>
        <v/>
      </c>
      <c r="B1104" s="98"/>
      <c r="C1104" s="94"/>
      <c r="D1104" s="94"/>
      <c r="E1104" s="94"/>
      <c r="F1104" s="94"/>
      <c r="G1104" s="94"/>
      <c r="H1104" s="94"/>
      <c r="I1104" s="94"/>
      <c r="J1104" s="94"/>
      <c r="K1104" s="94"/>
      <c r="L1104" s="94"/>
      <c r="M1104" s="94"/>
      <c r="N1104" s="94"/>
      <c r="O1104" s="94"/>
      <c r="P1104" s="94"/>
      <c r="Q1104" s="94"/>
      <c r="R1104" s="94"/>
      <c r="S1104" s="94"/>
      <c r="T1104" s="94"/>
      <c r="U1104" s="94"/>
      <c r="V1104" s="94"/>
      <c r="W1104" s="94"/>
      <c r="X1104" s="94"/>
      <c r="Y1104" s="94"/>
      <c r="Z1104" s="94"/>
      <c r="AA1104" s="94"/>
      <c r="AB1104" s="94"/>
      <c r="AC1104" s="94"/>
      <c r="AD1104" s="94"/>
      <c r="AE1104" s="94"/>
      <c r="AF1104" s="94"/>
      <c r="AG1104" s="94"/>
      <c r="AH1104" s="94"/>
      <c r="AI1104" s="94"/>
      <c r="AJ1104" s="94"/>
      <c r="AK1104" s="94"/>
      <c r="AL1104" s="94"/>
      <c r="AM1104" s="94"/>
      <c r="AN1104" s="94"/>
      <c r="AO1104" s="94"/>
      <c r="AP1104" s="94"/>
      <c r="AQ1104" s="94"/>
      <c r="AR1104" s="94"/>
      <c r="AS1104" s="94"/>
      <c r="AT1104" s="94"/>
      <c r="AU1104" s="94"/>
      <c r="AV1104" s="94"/>
      <c r="AW1104" s="94"/>
      <c r="AX1104" s="94"/>
      <c r="AY1104" s="94"/>
      <c r="BA1104" s="95"/>
    </row>
    <row r="1105" spans="1:53" s="87" customFormat="1">
      <c r="A1105" s="90" t="str">
        <f t="shared" si="42"/>
        <v/>
      </c>
      <c r="B1105" s="98"/>
      <c r="C1105" s="94"/>
      <c r="D1105" s="94"/>
      <c r="E1105" s="94"/>
      <c r="F1105" s="94"/>
      <c r="G1105" s="94"/>
      <c r="H1105" s="94"/>
      <c r="I1105" s="94"/>
      <c r="J1105" s="94"/>
      <c r="K1105" s="94"/>
      <c r="L1105" s="94"/>
      <c r="M1105" s="94"/>
      <c r="N1105" s="94"/>
      <c r="O1105" s="94"/>
      <c r="P1105" s="94"/>
      <c r="Q1105" s="94"/>
      <c r="R1105" s="94"/>
      <c r="S1105" s="94"/>
      <c r="T1105" s="94"/>
      <c r="U1105" s="94"/>
      <c r="V1105" s="94"/>
      <c r="W1105" s="94"/>
      <c r="X1105" s="94"/>
      <c r="Y1105" s="94"/>
      <c r="Z1105" s="94"/>
      <c r="AA1105" s="94"/>
      <c r="AB1105" s="94"/>
      <c r="AC1105" s="94"/>
      <c r="AD1105" s="94"/>
      <c r="AE1105" s="94"/>
      <c r="AF1105" s="94"/>
      <c r="AG1105" s="94"/>
      <c r="AH1105" s="94"/>
      <c r="AI1105" s="94"/>
      <c r="AJ1105" s="94"/>
      <c r="AK1105" s="94"/>
      <c r="AL1105" s="94"/>
      <c r="AM1105" s="94"/>
      <c r="AN1105" s="94"/>
      <c r="AO1105" s="94"/>
      <c r="AP1105" s="94"/>
      <c r="AQ1105" s="94"/>
      <c r="AR1105" s="94"/>
      <c r="AS1105" s="94"/>
      <c r="AT1105" s="94"/>
      <c r="AU1105" s="94"/>
      <c r="AV1105" s="94"/>
      <c r="AW1105" s="94"/>
      <c r="AX1105" s="94"/>
      <c r="AY1105" s="94"/>
      <c r="BA1105" s="95"/>
    </row>
    <row r="1106" spans="1:53" s="87" customFormat="1">
      <c r="A1106" s="90" t="str">
        <f t="shared" si="42"/>
        <v/>
      </c>
      <c r="B1106" s="98"/>
      <c r="C1106" s="94"/>
      <c r="D1106" s="94"/>
      <c r="E1106" s="94"/>
      <c r="F1106" s="94"/>
      <c r="G1106" s="94"/>
      <c r="H1106" s="94"/>
      <c r="I1106" s="94"/>
      <c r="J1106" s="94"/>
      <c r="K1106" s="94"/>
      <c r="L1106" s="94"/>
      <c r="M1106" s="94"/>
      <c r="N1106" s="94"/>
      <c r="O1106" s="94"/>
      <c r="P1106" s="94"/>
      <c r="Q1106" s="94"/>
      <c r="R1106" s="94"/>
      <c r="S1106" s="94"/>
      <c r="T1106" s="94"/>
      <c r="U1106" s="94"/>
      <c r="V1106" s="94"/>
      <c r="W1106" s="94"/>
      <c r="X1106" s="94"/>
      <c r="Y1106" s="94"/>
      <c r="Z1106" s="94"/>
      <c r="AA1106" s="94"/>
      <c r="AB1106" s="94"/>
      <c r="AC1106" s="94"/>
      <c r="AD1106" s="94"/>
      <c r="AE1106" s="94"/>
      <c r="AF1106" s="94"/>
      <c r="AG1106" s="94"/>
      <c r="AH1106" s="94"/>
      <c r="AI1106" s="94"/>
      <c r="AJ1106" s="94"/>
      <c r="AK1106" s="94"/>
      <c r="AL1106" s="94"/>
      <c r="AM1106" s="94"/>
      <c r="AN1106" s="94"/>
      <c r="AO1106" s="94"/>
      <c r="AP1106" s="94"/>
      <c r="AQ1106" s="94"/>
      <c r="AR1106" s="94"/>
      <c r="AS1106" s="94"/>
      <c r="AT1106" s="94"/>
      <c r="AU1106" s="94"/>
      <c r="AV1106" s="94"/>
      <c r="AW1106" s="94"/>
      <c r="AX1106" s="94"/>
      <c r="AY1106" s="94"/>
      <c r="BA1106" s="95"/>
    </row>
    <row r="1107" spans="1:53" s="87" customFormat="1">
      <c r="A1107" s="90" t="str">
        <f t="shared" si="42"/>
        <v/>
      </c>
      <c r="B1107" s="98"/>
      <c r="C1107" s="94"/>
      <c r="D1107" s="94"/>
      <c r="E1107" s="94"/>
      <c r="F1107" s="94"/>
      <c r="G1107" s="94"/>
      <c r="H1107" s="94"/>
      <c r="I1107" s="94"/>
      <c r="J1107" s="94"/>
      <c r="K1107" s="94"/>
      <c r="L1107" s="94"/>
      <c r="M1107" s="94"/>
      <c r="N1107" s="94"/>
      <c r="O1107" s="94"/>
      <c r="P1107" s="94"/>
      <c r="Q1107" s="94"/>
      <c r="R1107" s="94"/>
      <c r="S1107" s="94"/>
      <c r="T1107" s="94"/>
      <c r="U1107" s="94"/>
      <c r="V1107" s="94"/>
      <c r="W1107" s="94"/>
      <c r="X1107" s="94"/>
      <c r="Y1107" s="94"/>
      <c r="Z1107" s="94"/>
      <c r="AA1107" s="94"/>
      <c r="AB1107" s="94"/>
      <c r="AC1107" s="94"/>
      <c r="AD1107" s="94"/>
      <c r="AE1107" s="94"/>
      <c r="AF1107" s="94"/>
      <c r="AG1107" s="94"/>
      <c r="AH1107" s="94"/>
      <c r="AI1107" s="94"/>
      <c r="AJ1107" s="94"/>
      <c r="AK1107" s="94"/>
      <c r="AL1107" s="94"/>
      <c r="AM1107" s="94"/>
      <c r="AN1107" s="94"/>
      <c r="AO1107" s="94"/>
      <c r="AP1107" s="94"/>
      <c r="AQ1107" s="94"/>
      <c r="AR1107" s="94"/>
      <c r="AS1107" s="94"/>
      <c r="AT1107" s="94"/>
      <c r="AU1107" s="94"/>
      <c r="AV1107" s="94"/>
      <c r="AW1107" s="94"/>
      <c r="AX1107" s="94"/>
      <c r="AY1107" s="94"/>
      <c r="BA1107" s="95"/>
    </row>
    <row r="1108" spans="1:53" s="87" customFormat="1">
      <c r="A1108" s="90" t="str">
        <f t="shared" si="42"/>
        <v/>
      </c>
      <c r="B1108" s="98"/>
      <c r="C1108" s="94"/>
      <c r="D1108" s="94"/>
      <c r="E1108" s="94"/>
      <c r="F1108" s="94"/>
      <c r="G1108" s="94"/>
      <c r="H1108" s="94"/>
      <c r="I1108" s="94"/>
      <c r="J1108" s="94"/>
      <c r="K1108" s="94"/>
      <c r="L1108" s="94"/>
      <c r="M1108" s="94"/>
      <c r="N1108" s="94"/>
      <c r="O1108" s="94"/>
      <c r="P1108" s="94"/>
      <c r="Q1108" s="94"/>
      <c r="R1108" s="94"/>
      <c r="S1108" s="94"/>
      <c r="T1108" s="94"/>
      <c r="U1108" s="94"/>
      <c r="V1108" s="94"/>
      <c r="W1108" s="94"/>
      <c r="X1108" s="94"/>
      <c r="Y1108" s="94"/>
      <c r="Z1108" s="94"/>
      <c r="AA1108" s="94"/>
      <c r="AB1108" s="94"/>
      <c r="AC1108" s="94"/>
      <c r="AD1108" s="94"/>
      <c r="AE1108" s="94"/>
      <c r="AF1108" s="94"/>
      <c r="AG1108" s="94"/>
      <c r="AH1108" s="94"/>
      <c r="AI1108" s="94"/>
      <c r="AJ1108" s="94"/>
      <c r="AK1108" s="94"/>
      <c r="AL1108" s="94"/>
      <c r="AM1108" s="94"/>
      <c r="AN1108" s="94"/>
      <c r="AO1108" s="94"/>
      <c r="AP1108" s="94"/>
      <c r="AQ1108" s="94"/>
      <c r="AR1108" s="94"/>
      <c r="AS1108" s="94"/>
      <c r="AT1108" s="94"/>
      <c r="AU1108" s="94"/>
      <c r="AV1108" s="94"/>
      <c r="AW1108" s="94"/>
      <c r="AX1108" s="94"/>
      <c r="AY1108" s="94"/>
      <c r="BA1108" s="95"/>
    </row>
    <row r="1109" spans="1:53" s="87" customFormat="1">
      <c r="A1109" s="90" t="str">
        <f t="shared" si="42"/>
        <v/>
      </c>
      <c r="B1109" s="98"/>
      <c r="C1109" s="94"/>
      <c r="D1109" s="94"/>
      <c r="E1109" s="94"/>
      <c r="F1109" s="94"/>
      <c r="G1109" s="94"/>
      <c r="H1109" s="94"/>
      <c r="I1109" s="94"/>
      <c r="J1109" s="94"/>
      <c r="K1109" s="94"/>
      <c r="L1109" s="94"/>
      <c r="M1109" s="94"/>
      <c r="N1109" s="94"/>
      <c r="O1109" s="94"/>
      <c r="P1109" s="94"/>
      <c r="Q1109" s="94"/>
      <c r="R1109" s="94"/>
      <c r="S1109" s="94"/>
      <c r="T1109" s="94"/>
      <c r="U1109" s="94"/>
      <c r="V1109" s="94"/>
      <c r="W1109" s="94"/>
      <c r="X1109" s="94"/>
      <c r="Y1109" s="94"/>
      <c r="Z1109" s="94"/>
      <c r="AA1109" s="94"/>
      <c r="AB1109" s="94"/>
      <c r="AC1109" s="94"/>
      <c r="AD1109" s="94"/>
      <c r="AE1109" s="94"/>
      <c r="AF1109" s="94"/>
      <c r="AG1109" s="94"/>
      <c r="AH1109" s="94"/>
      <c r="AI1109" s="94"/>
      <c r="AJ1109" s="94"/>
      <c r="AK1109" s="94"/>
      <c r="AL1109" s="94"/>
      <c r="AM1109" s="94"/>
      <c r="AN1109" s="94"/>
      <c r="AO1109" s="94"/>
      <c r="AP1109" s="94"/>
      <c r="AQ1109" s="94"/>
      <c r="AR1109" s="94"/>
      <c r="AS1109" s="94"/>
      <c r="AT1109" s="94"/>
      <c r="AU1109" s="94"/>
      <c r="AV1109" s="94"/>
      <c r="AW1109" s="94"/>
      <c r="AX1109" s="94"/>
      <c r="AY1109" s="94"/>
      <c r="BA1109" s="95"/>
    </row>
    <row r="1110" spans="1:53" s="87" customFormat="1">
      <c r="A1110" s="90" t="str">
        <f t="shared" si="42"/>
        <v/>
      </c>
      <c r="B1110" s="98"/>
      <c r="C1110" s="94"/>
      <c r="D1110" s="94"/>
      <c r="E1110" s="94"/>
      <c r="F1110" s="94"/>
      <c r="G1110" s="94"/>
      <c r="H1110" s="94"/>
      <c r="I1110" s="94"/>
      <c r="J1110" s="94"/>
      <c r="K1110" s="94"/>
      <c r="L1110" s="94"/>
      <c r="M1110" s="94"/>
      <c r="N1110" s="94"/>
      <c r="O1110" s="94"/>
      <c r="P1110" s="94"/>
      <c r="Q1110" s="94"/>
      <c r="R1110" s="94"/>
      <c r="S1110" s="94"/>
      <c r="T1110" s="94"/>
      <c r="U1110" s="94"/>
      <c r="V1110" s="94"/>
      <c r="W1110" s="94"/>
      <c r="X1110" s="94"/>
      <c r="Y1110" s="94"/>
      <c r="Z1110" s="94"/>
      <c r="AA1110" s="94"/>
      <c r="AB1110" s="94"/>
      <c r="AC1110" s="94"/>
      <c r="AD1110" s="94"/>
      <c r="AE1110" s="94"/>
      <c r="AF1110" s="94"/>
      <c r="AG1110" s="94"/>
      <c r="AH1110" s="94"/>
      <c r="AI1110" s="94"/>
      <c r="AJ1110" s="94"/>
      <c r="AK1110" s="94"/>
      <c r="AL1110" s="94"/>
      <c r="AM1110" s="94"/>
      <c r="AN1110" s="94"/>
      <c r="AO1110" s="94"/>
      <c r="AP1110" s="94"/>
      <c r="AQ1110" s="94"/>
      <c r="AR1110" s="94"/>
      <c r="AS1110" s="94"/>
      <c r="AT1110" s="94"/>
      <c r="AU1110" s="94"/>
      <c r="AV1110" s="94"/>
      <c r="AW1110" s="94"/>
      <c r="AX1110" s="94"/>
      <c r="AY1110" s="94"/>
      <c r="BA1110" s="95"/>
    </row>
    <row r="1111" spans="1:53" s="87" customFormat="1">
      <c r="A1111" s="90" t="str">
        <f t="shared" si="42"/>
        <v/>
      </c>
      <c r="B1111" s="98"/>
      <c r="C1111" s="94"/>
      <c r="D1111" s="94"/>
      <c r="E1111" s="94"/>
      <c r="F1111" s="94"/>
      <c r="G1111" s="94"/>
      <c r="H1111" s="94"/>
      <c r="I1111" s="94"/>
      <c r="J1111" s="94"/>
      <c r="K1111" s="94"/>
      <c r="L1111" s="94"/>
      <c r="M1111" s="94"/>
      <c r="N1111" s="94"/>
      <c r="O1111" s="94"/>
      <c r="P1111" s="94"/>
      <c r="Q1111" s="94"/>
      <c r="R1111" s="94"/>
      <c r="S1111" s="94"/>
      <c r="T1111" s="94"/>
      <c r="U1111" s="94"/>
      <c r="V1111" s="94"/>
      <c r="W1111" s="94"/>
      <c r="X1111" s="94"/>
      <c r="Y1111" s="94"/>
      <c r="Z1111" s="94"/>
      <c r="AA1111" s="94"/>
      <c r="AB1111" s="94"/>
      <c r="AC1111" s="94"/>
      <c r="AD1111" s="94"/>
      <c r="AE1111" s="94"/>
      <c r="AF1111" s="94"/>
      <c r="AG1111" s="94"/>
      <c r="AH1111" s="94"/>
      <c r="AI1111" s="94"/>
      <c r="AJ1111" s="94"/>
      <c r="AK1111" s="94"/>
      <c r="AL1111" s="94"/>
      <c r="AM1111" s="94"/>
      <c r="AN1111" s="94"/>
      <c r="AO1111" s="94"/>
      <c r="AP1111" s="94"/>
      <c r="AQ1111" s="94"/>
      <c r="AR1111" s="94"/>
      <c r="AS1111" s="94"/>
      <c r="AT1111" s="94"/>
      <c r="AU1111" s="94"/>
      <c r="AV1111" s="94"/>
      <c r="AW1111" s="94"/>
      <c r="AX1111" s="94"/>
      <c r="AY1111" s="94"/>
      <c r="BA1111" s="95"/>
    </row>
    <row r="1112" spans="1:53" s="87" customFormat="1">
      <c r="A1112" s="90" t="str">
        <f t="shared" si="42"/>
        <v/>
      </c>
      <c r="B1112" s="98"/>
      <c r="C1112" s="94"/>
      <c r="D1112" s="94"/>
      <c r="E1112" s="94"/>
      <c r="F1112" s="94"/>
      <c r="G1112" s="94"/>
      <c r="H1112" s="94"/>
      <c r="I1112" s="94"/>
      <c r="J1112" s="94"/>
      <c r="K1112" s="94"/>
      <c r="L1112" s="94"/>
      <c r="M1112" s="94"/>
      <c r="N1112" s="94"/>
      <c r="O1112" s="94"/>
      <c r="P1112" s="94"/>
      <c r="Q1112" s="94"/>
      <c r="R1112" s="94"/>
      <c r="S1112" s="94"/>
      <c r="T1112" s="94"/>
      <c r="U1112" s="94"/>
      <c r="V1112" s="94"/>
      <c r="W1112" s="94"/>
      <c r="X1112" s="94"/>
      <c r="Y1112" s="94"/>
      <c r="Z1112" s="94"/>
      <c r="AA1112" s="94"/>
      <c r="AB1112" s="94"/>
      <c r="AC1112" s="94"/>
      <c r="AD1112" s="94"/>
      <c r="AE1112" s="94"/>
      <c r="AF1112" s="94"/>
      <c r="AG1112" s="94"/>
      <c r="AH1112" s="94"/>
      <c r="AI1112" s="94"/>
      <c r="AJ1112" s="94"/>
      <c r="AK1112" s="94"/>
      <c r="AL1112" s="94"/>
      <c r="AM1112" s="94"/>
      <c r="AN1112" s="94"/>
      <c r="AO1112" s="94"/>
      <c r="AP1112" s="94"/>
      <c r="AQ1112" s="94"/>
      <c r="AR1112" s="94"/>
      <c r="AS1112" s="94"/>
      <c r="AT1112" s="94"/>
      <c r="AU1112" s="94"/>
      <c r="AV1112" s="94"/>
      <c r="AW1112" s="94"/>
      <c r="AX1112" s="94"/>
      <c r="AY1112" s="94"/>
      <c r="BA1112" s="95"/>
    </row>
    <row r="1113" spans="1:53" s="87" customFormat="1">
      <c r="A1113" s="90" t="str">
        <f t="shared" si="42"/>
        <v/>
      </c>
      <c r="B1113" s="98"/>
      <c r="C1113" s="94"/>
      <c r="D1113" s="94"/>
      <c r="E1113" s="94"/>
      <c r="F1113" s="94"/>
      <c r="G1113" s="94"/>
      <c r="H1113" s="94"/>
      <c r="I1113" s="94"/>
      <c r="J1113" s="94"/>
      <c r="K1113" s="94"/>
      <c r="L1113" s="94"/>
      <c r="M1113" s="94"/>
      <c r="N1113" s="94"/>
      <c r="O1113" s="94"/>
      <c r="P1113" s="94"/>
      <c r="Q1113" s="94"/>
      <c r="R1113" s="94"/>
      <c r="S1113" s="94"/>
      <c r="T1113" s="94"/>
      <c r="U1113" s="94"/>
      <c r="V1113" s="94"/>
      <c r="W1113" s="94"/>
      <c r="X1113" s="94"/>
      <c r="Y1113" s="94"/>
      <c r="Z1113" s="94"/>
      <c r="AA1113" s="94"/>
      <c r="AB1113" s="94"/>
      <c r="AC1113" s="94"/>
      <c r="AD1113" s="94"/>
      <c r="AE1113" s="94"/>
      <c r="AF1113" s="94"/>
      <c r="AG1113" s="94"/>
      <c r="AH1113" s="94"/>
      <c r="AI1113" s="94"/>
      <c r="AJ1113" s="94"/>
      <c r="AK1113" s="94"/>
      <c r="AL1113" s="94"/>
      <c r="AM1113" s="94"/>
      <c r="AN1113" s="94"/>
      <c r="AO1113" s="94"/>
      <c r="AP1113" s="94"/>
      <c r="AQ1113" s="94"/>
      <c r="AR1113" s="94"/>
      <c r="AS1113" s="94"/>
      <c r="AT1113" s="94"/>
      <c r="AU1113" s="94"/>
      <c r="AV1113" s="94"/>
      <c r="AW1113" s="94"/>
      <c r="AX1113" s="94"/>
      <c r="AY1113" s="94"/>
      <c r="BA1113" s="95"/>
    </row>
    <row r="1114" spans="1:53" s="87" customFormat="1">
      <c r="A1114" s="90" t="str">
        <f t="shared" si="42"/>
        <v/>
      </c>
      <c r="B1114" s="98"/>
      <c r="C1114" s="94"/>
      <c r="D1114" s="94"/>
      <c r="E1114" s="94"/>
      <c r="F1114" s="94"/>
      <c r="G1114" s="94"/>
      <c r="H1114" s="94"/>
      <c r="I1114" s="94"/>
      <c r="J1114" s="94"/>
      <c r="K1114" s="94"/>
      <c r="L1114" s="94"/>
      <c r="M1114" s="94"/>
      <c r="N1114" s="94"/>
      <c r="O1114" s="94"/>
      <c r="P1114" s="94"/>
      <c r="Q1114" s="94"/>
      <c r="R1114" s="94"/>
      <c r="S1114" s="94"/>
      <c r="T1114" s="94"/>
      <c r="U1114" s="94"/>
      <c r="V1114" s="94"/>
      <c r="W1114" s="94"/>
      <c r="X1114" s="94"/>
      <c r="Y1114" s="94"/>
      <c r="Z1114" s="94"/>
      <c r="AA1114" s="94"/>
      <c r="AB1114" s="94"/>
      <c r="AC1114" s="94"/>
      <c r="AD1114" s="94"/>
      <c r="AE1114" s="94"/>
      <c r="AF1114" s="94"/>
      <c r="AG1114" s="94"/>
      <c r="AH1114" s="94"/>
      <c r="AI1114" s="94"/>
      <c r="AJ1114" s="94"/>
      <c r="AK1114" s="94"/>
      <c r="AL1114" s="94"/>
      <c r="AM1114" s="94"/>
      <c r="AN1114" s="94"/>
      <c r="AO1114" s="94"/>
      <c r="AP1114" s="94"/>
      <c r="AQ1114" s="94"/>
      <c r="AR1114" s="94"/>
      <c r="AS1114" s="94"/>
      <c r="AT1114" s="94"/>
      <c r="AU1114" s="94"/>
      <c r="AV1114" s="94"/>
      <c r="AW1114" s="94"/>
      <c r="AX1114" s="94"/>
      <c r="AY1114" s="94"/>
      <c r="BA1114" s="95"/>
    </row>
    <row r="1115" spans="1:53" s="87" customFormat="1">
      <c r="A1115" s="90" t="str">
        <f t="shared" si="42"/>
        <v/>
      </c>
      <c r="B1115" s="98"/>
      <c r="C1115" s="94"/>
      <c r="D1115" s="94"/>
      <c r="E1115" s="94"/>
      <c r="F1115" s="94"/>
      <c r="G1115" s="94"/>
      <c r="H1115" s="94"/>
      <c r="I1115" s="94"/>
      <c r="J1115" s="94"/>
      <c r="K1115" s="94"/>
      <c r="L1115" s="94"/>
      <c r="M1115" s="94"/>
      <c r="N1115" s="94"/>
      <c r="O1115" s="94"/>
      <c r="P1115" s="94"/>
      <c r="Q1115" s="94"/>
      <c r="R1115" s="94"/>
      <c r="S1115" s="94"/>
      <c r="T1115" s="94"/>
      <c r="U1115" s="94"/>
      <c r="V1115" s="94"/>
      <c r="W1115" s="94"/>
      <c r="X1115" s="94"/>
      <c r="Y1115" s="94"/>
      <c r="Z1115" s="94"/>
      <c r="AA1115" s="94"/>
      <c r="AB1115" s="94"/>
      <c r="AC1115" s="94"/>
      <c r="AD1115" s="94"/>
      <c r="AE1115" s="94"/>
      <c r="AF1115" s="94"/>
      <c r="AG1115" s="94"/>
      <c r="AH1115" s="94"/>
      <c r="AI1115" s="94"/>
      <c r="AJ1115" s="94"/>
      <c r="AK1115" s="94"/>
      <c r="AL1115" s="94"/>
      <c r="AM1115" s="94"/>
      <c r="AN1115" s="94"/>
      <c r="AO1115" s="94"/>
      <c r="AP1115" s="94"/>
      <c r="AQ1115" s="94"/>
      <c r="AR1115" s="94"/>
      <c r="AS1115" s="94"/>
      <c r="AT1115" s="94"/>
      <c r="AU1115" s="94"/>
      <c r="AV1115" s="94"/>
      <c r="AW1115" s="94"/>
      <c r="AX1115" s="94"/>
      <c r="AY1115" s="94"/>
      <c r="BA1115" s="95"/>
    </row>
    <row r="1116" spans="1:53" s="87" customFormat="1">
      <c r="A1116" s="90" t="str">
        <f t="shared" si="42"/>
        <v/>
      </c>
      <c r="B1116" s="98"/>
      <c r="C1116" s="94"/>
      <c r="D1116" s="94"/>
      <c r="E1116" s="94"/>
      <c r="F1116" s="94"/>
      <c r="G1116" s="94"/>
      <c r="H1116" s="94"/>
      <c r="I1116" s="94"/>
      <c r="J1116" s="94"/>
      <c r="K1116" s="94"/>
      <c r="L1116" s="94"/>
      <c r="M1116" s="94"/>
      <c r="N1116" s="94"/>
      <c r="O1116" s="94"/>
      <c r="P1116" s="94"/>
      <c r="Q1116" s="94"/>
      <c r="R1116" s="94"/>
      <c r="S1116" s="94"/>
      <c r="T1116" s="94"/>
      <c r="U1116" s="94"/>
      <c r="V1116" s="94"/>
      <c r="W1116" s="94"/>
      <c r="X1116" s="94"/>
      <c r="Y1116" s="94"/>
      <c r="Z1116" s="94"/>
      <c r="AA1116" s="94"/>
      <c r="AB1116" s="94"/>
      <c r="AC1116" s="94"/>
      <c r="AD1116" s="94"/>
      <c r="AE1116" s="94"/>
      <c r="AF1116" s="94"/>
      <c r="AG1116" s="94"/>
      <c r="AH1116" s="94"/>
      <c r="AI1116" s="94"/>
      <c r="AJ1116" s="94"/>
      <c r="AK1116" s="94"/>
      <c r="AL1116" s="94"/>
      <c r="AM1116" s="94"/>
      <c r="AN1116" s="94"/>
      <c r="AO1116" s="94"/>
      <c r="AP1116" s="94"/>
      <c r="AQ1116" s="94"/>
      <c r="AR1116" s="94"/>
      <c r="AS1116" s="94"/>
      <c r="AT1116" s="94"/>
      <c r="AU1116" s="94"/>
      <c r="AV1116" s="94"/>
      <c r="AW1116" s="94"/>
      <c r="AX1116" s="94"/>
      <c r="AY1116" s="94"/>
      <c r="BA1116" s="95"/>
    </row>
    <row r="1117" spans="1:53" s="87" customFormat="1">
      <c r="A1117" s="90" t="str">
        <f t="shared" si="42"/>
        <v/>
      </c>
      <c r="B1117" s="98"/>
      <c r="C1117" s="94"/>
      <c r="D1117" s="94"/>
      <c r="E1117" s="94"/>
      <c r="F1117" s="94"/>
      <c r="G1117" s="94"/>
      <c r="H1117" s="94"/>
      <c r="I1117" s="94"/>
      <c r="J1117" s="94"/>
      <c r="K1117" s="94"/>
      <c r="L1117" s="94"/>
      <c r="M1117" s="94"/>
      <c r="N1117" s="94"/>
      <c r="O1117" s="94"/>
      <c r="P1117" s="94"/>
      <c r="Q1117" s="94"/>
      <c r="R1117" s="94"/>
      <c r="S1117" s="94"/>
      <c r="T1117" s="94"/>
      <c r="U1117" s="94"/>
      <c r="V1117" s="94"/>
      <c r="W1117" s="94"/>
      <c r="X1117" s="94"/>
      <c r="Y1117" s="94"/>
      <c r="Z1117" s="94"/>
      <c r="AA1117" s="94"/>
      <c r="AB1117" s="94"/>
      <c r="AC1117" s="94"/>
      <c r="AD1117" s="94"/>
      <c r="AE1117" s="94"/>
      <c r="AF1117" s="94"/>
      <c r="AG1117" s="94"/>
      <c r="AH1117" s="94"/>
      <c r="AI1117" s="94"/>
      <c r="AJ1117" s="94"/>
      <c r="AK1117" s="94"/>
      <c r="AL1117" s="94"/>
      <c r="AM1117" s="94"/>
      <c r="AN1117" s="94"/>
      <c r="AO1117" s="94"/>
      <c r="AP1117" s="94"/>
      <c r="AQ1117" s="94"/>
      <c r="AR1117" s="94"/>
      <c r="AS1117" s="94"/>
      <c r="AT1117" s="94"/>
      <c r="AU1117" s="94"/>
      <c r="AV1117" s="94"/>
      <c r="AW1117" s="94"/>
      <c r="AX1117" s="94"/>
      <c r="AY1117" s="94"/>
      <c r="BA1117" s="95"/>
    </row>
    <row r="1118" spans="1:53" s="87" customFormat="1">
      <c r="A1118" s="90" t="str">
        <f t="shared" si="42"/>
        <v/>
      </c>
      <c r="B1118" s="98"/>
      <c r="C1118" s="94"/>
      <c r="D1118" s="94"/>
      <c r="E1118" s="94"/>
      <c r="F1118" s="94"/>
      <c r="G1118" s="94"/>
      <c r="H1118" s="94"/>
      <c r="I1118" s="94"/>
      <c r="J1118" s="94"/>
      <c r="K1118" s="94"/>
      <c r="L1118" s="94"/>
      <c r="M1118" s="94"/>
      <c r="N1118" s="94"/>
      <c r="O1118" s="94"/>
      <c r="P1118" s="94"/>
      <c r="Q1118" s="94"/>
      <c r="R1118" s="94"/>
      <c r="S1118" s="94"/>
      <c r="T1118" s="94"/>
      <c r="U1118" s="94"/>
      <c r="V1118" s="94"/>
      <c r="W1118" s="94"/>
      <c r="X1118" s="94"/>
      <c r="Y1118" s="94"/>
      <c r="Z1118" s="94"/>
      <c r="AA1118" s="94"/>
      <c r="AB1118" s="94"/>
      <c r="AC1118" s="94"/>
      <c r="AD1118" s="94"/>
      <c r="AE1118" s="94"/>
      <c r="AF1118" s="94"/>
      <c r="AG1118" s="94"/>
      <c r="AH1118" s="94"/>
      <c r="AI1118" s="94"/>
      <c r="AJ1118" s="94"/>
      <c r="AK1118" s="94"/>
      <c r="AL1118" s="94"/>
      <c r="AM1118" s="94"/>
      <c r="AN1118" s="94"/>
      <c r="AO1118" s="94"/>
      <c r="AP1118" s="94"/>
      <c r="AQ1118" s="94"/>
      <c r="AR1118" s="94"/>
      <c r="AS1118" s="94"/>
      <c r="AT1118" s="94"/>
      <c r="AU1118" s="94"/>
      <c r="AV1118" s="94"/>
      <c r="AW1118" s="94"/>
      <c r="AX1118" s="94"/>
      <c r="AY1118" s="94"/>
      <c r="BA1118" s="95"/>
    </row>
    <row r="1119" spans="1:53" s="87" customFormat="1">
      <c r="A1119" s="90" t="str">
        <f t="shared" si="42"/>
        <v/>
      </c>
      <c r="B1119" s="98"/>
      <c r="C1119" s="94"/>
      <c r="D1119" s="94"/>
      <c r="E1119" s="94"/>
      <c r="F1119" s="94"/>
      <c r="G1119" s="94"/>
      <c r="H1119" s="94"/>
      <c r="I1119" s="94"/>
      <c r="J1119" s="94"/>
      <c r="K1119" s="94"/>
      <c r="L1119" s="94"/>
      <c r="M1119" s="94"/>
      <c r="N1119" s="94"/>
      <c r="O1119" s="94"/>
      <c r="P1119" s="94"/>
      <c r="Q1119" s="94"/>
      <c r="R1119" s="94"/>
      <c r="S1119" s="94"/>
      <c r="T1119" s="94"/>
      <c r="U1119" s="94"/>
      <c r="V1119" s="94"/>
      <c r="W1119" s="94"/>
      <c r="X1119" s="94"/>
      <c r="Y1119" s="94"/>
      <c r="Z1119" s="94"/>
      <c r="AA1119" s="94"/>
      <c r="AB1119" s="94"/>
      <c r="AC1119" s="94"/>
      <c r="AD1119" s="94"/>
      <c r="AE1119" s="94"/>
      <c r="AF1119" s="94"/>
      <c r="AG1119" s="94"/>
      <c r="AH1119" s="94"/>
      <c r="AI1119" s="94"/>
      <c r="AJ1119" s="94"/>
      <c r="AK1119" s="94"/>
      <c r="AL1119" s="94"/>
      <c r="AM1119" s="94"/>
      <c r="AN1119" s="94"/>
      <c r="AO1119" s="94"/>
      <c r="AP1119" s="94"/>
      <c r="AQ1119" s="94"/>
      <c r="AR1119" s="94"/>
      <c r="AS1119" s="94"/>
      <c r="AT1119" s="94"/>
      <c r="AU1119" s="94"/>
      <c r="AV1119" s="94"/>
      <c r="AW1119" s="94"/>
      <c r="AX1119" s="94"/>
      <c r="AY1119" s="94"/>
      <c r="BA1119" s="95"/>
    </row>
    <row r="1120" spans="1:53" s="87" customFormat="1">
      <c r="A1120" s="90" t="str">
        <f t="shared" si="42"/>
        <v/>
      </c>
      <c r="B1120" s="98"/>
      <c r="C1120" s="94"/>
      <c r="D1120" s="94"/>
      <c r="E1120" s="94"/>
      <c r="F1120" s="94"/>
      <c r="G1120" s="94"/>
      <c r="H1120" s="94"/>
      <c r="I1120" s="94"/>
      <c r="J1120" s="94"/>
      <c r="K1120" s="94"/>
      <c r="L1120" s="94"/>
      <c r="M1120" s="94"/>
      <c r="N1120" s="94"/>
      <c r="O1120" s="94"/>
      <c r="P1120" s="94"/>
      <c r="Q1120" s="94"/>
      <c r="R1120" s="94"/>
      <c r="S1120" s="94"/>
      <c r="T1120" s="94"/>
      <c r="U1120" s="94"/>
      <c r="V1120" s="94"/>
      <c r="W1120" s="94"/>
      <c r="X1120" s="94"/>
      <c r="Y1120" s="94"/>
      <c r="Z1120" s="94"/>
      <c r="AA1120" s="94"/>
      <c r="AB1120" s="94"/>
      <c r="AC1120" s="94"/>
      <c r="AD1120" s="94"/>
      <c r="AE1120" s="94"/>
      <c r="AF1120" s="94"/>
      <c r="AG1120" s="94"/>
      <c r="AH1120" s="94"/>
      <c r="AI1120" s="94"/>
      <c r="AJ1120" s="94"/>
      <c r="AK1120" s="94"/>
      <c r="AL1120" s="94"/>
      <c r="AM1120" s="94"/>
      <c r="AN1120" s="94"/>
      <c r="AO1120" s="94"/>
      <c r="AP1120" s="94"/>
      <c r="AQ1120" s="94"/>
      <c r="AR1120" s="94"/>
      <c r="AS1120" s="94"/>
      <c r="AT1120" s="94"/>
      <c r="AU1120" s="94"/>
      <c r="AV1120" s="94"/>
      <c r="AW1120" s="94"/>
      <c r="AX1120" s="94"/>
      <c r="AY1120" s="94"/>
      <c r="BA1120" s="95"/>
    </row>
    <row r="1121" spans="1:53" s="87" customFormat="1">
      <c r="A1121" s="90" t="str">
        <f t="shared" si="42"/>
        <v/>
      </c>
      <c r="B1121" s="98"/>
      <c r="C1121" s="94"/>
      <c r="D1121" s="94"/>
      <c r="E1121" s="94"/>
      <c r="F1121" s="94"/>
      <c r="G1121" s="94"/>
      <c r="H1121" s="94"/>
      <c r="I1121" s="94"/>
      <c r="J1121" s="94"/>
      <c r="K1121" s="94"/>
      <c r="L1121" s="94"/>
      <c r="M1121" s="94"/>
      <c r="N1121" s="94"/>
      <c r="O1121" s="94"/>
      <c r="P1121" s="94"/>
      <c r="Q1121" s="94"/>
      <c r="R1121" s="94"/>
      <c r="S1121" s="94"/>
      <c r="T1121" s="94"/>
      <c r="U1121" s="94"/>
      <c r="V1121" s="94"/>
      <c r="W1121" s="94"/>
      <c r="X1121" s="94"/>
      <c r="Y1121" s="94"/>
      <c r="Z1121" s="94"/>
      <c r="AA1121" s="94"/>
      <c r="AB1121" s="94"/>
      <c r="AC1121" s="94"/>
      <c r="AD1121" s="94"/>
      <c r="AE1121" s="94"/>
      <c r="AF1121" s="94"/>
      <c r="AG1121" s="94"/>
      <c r="AH1121" s="94"/>
      <c r="AI1121" s="94"/>
      <c r="AJ1121" s="94"/>
      <c r="AK1121" s="94"/>
      <c r="AL1121" s="94"/>
      <c r="AM1121" s="94"/>
      <c r="AN1121" s="94"/>
      <c r="AO1121" s="94"/>
      <c r="AP1121" s="94"/>
      <c r="AQ1121" s="94"/>
      <c r="AR1121" s="94"/>
      <c r="AS1121" s="94"/>
      <c r="AT1121" s="94"/>
      <c r="AU1121" s="94"/>
      <c r="AV1121" s="94"/>
      <c r="AW1121" s="94"/>
      <c r="AX1121" s="94"/>
      <c r="AY1121" s="94"/>
      <c r="BA1121" s="95"/>
    </row>
    <row r="1122" spans="1:53" s="87" customFormat="1">
      <c r="A1122" s="90" t="str">
        <f t="shared" si="42"/>
        <v/>
      </c>
      <c r="B1122" s="98"/>
      <c r="C1122" s="94"/>
      <c r="D1122" s="94"/>
      <c r="E1122" s="94"/>
      <c r="F1122" s="94"/>
      <c r="G1122" s="94"/>
      <c r="H1122" s="94"/>
      <c r="I1122" s="94"/>
      <c r="J1122" s="94"/>
      <c r="K1122" s="94"/>
      <c r="L1122" s="94"/>
      <c r="M1122" s="94"/>
      <c r="N1122" s="94"/>
      <c r="O1122" s="94"/>
      <c r="P1122" s="94"/>
      <c r="Q1122" s="94"/>
      <c r="R1122" s="94"/>
      <c r="S1122" s="94"/>
      <c r="T1122" s="94"/>
      <c r="U1122" s="94"/>
      <c r="V1122" s="94"/>
      <c r="W1122" s="94"/>
      <c r="X1122" s="94"/>
      <c r="Y1122" s="94"/>
      <c r="Z1122" s="94"/>
      <c r="AA1122" s="94"/>
      <c r="AB1122" s="94"/>
      <c r="AC1122" s="94"/>
      <c r="AD1122" s="94"/>
      <c r="AE1122" s="94"/>
      <c r="AF1122" s="94"/>
      <c r="AG1122" s="94"/>
      <c r="AH1122" s="94"/>
      <c r="AI1122" s="94"/>
      <c r="AJ1122" s="94"/>
      <c r="AK1122" s="94"/>
      <c r="AL1122" s="94"/>
      <c r="AM1122" s="94"/>
      <c r="AN1122" s="94"/>
      <c r="AO1122" s="94"/>
      <c r="AP1122" s="94"/>
      <c r="AQ1122" s="94"/>
      <c r="AR1122" s="94"/>
      <c r="AS1122" s="94"/>
      <c r="AT1122" s="94"/>
      <c r="AU1122" s="94"/>
      <c r="AV1122" s="94"/>
      <c r="AW1122" s="94"/>
      <c r="AX1122" s="94"/>
      <c r="AY1122" s="94"/>
      <c r="BA1122" s="95"/>
    </row>
    <row r="1123" spans="1:53" s="87" customFormat="1">
      <c r="A1123" s="90" t="str">
        <f t="shared" si="42"/>
        <v/>
      </c>
      <c r="B1123" s="98"/>
      <c r="C1123" s="94"/>
      <c r="D1123" s="94"/>
      <c r="E1123" s="94"/>
      <c r="F1123" s="94"/>
      <c r="G1123" s="94"/>
      <c r="H1123" s="94"/>
      <c r="I1123" s="94"/>
      <c r="J1123" s="94"/>
      <c r="K1123" s="94"/>
      <c r="L1123" s="94"/>
      <c r="M1123" s="94"/>
      <c r="N1123" s="94"/>
      <c r="O1123" s="94"/>
      <c r="P1123" s="94"/>
      <c r="Q1123" s="94"/>
      <c r="R1123" s="94"/>
      <c r="S1123" s="94"/>
      <c r="T1123" s="94"/>
      <c r="U1123" s="94"/>
      <c r="V1123" s="94"/>
      <c r="W1123" s="94"/>
      <c r="X1123" s="94"/>
      <c r="Y1123" s="94"/>
      <c r="Z1123" s="94"/>
      <c r="AA1123" s="94"/>
      <c r="AB1123" s="94"/>
      <c r="AC1123" s="94"/>
      <c r="AD1123" s="94"/>
      <c r="AE1123" s="94"/>
      <c r="AF1123" s="94"/>
      <c r="AG1123" s="94"/>
      <c r="AH1123" s="94"/>
      <c r="AI1123" s="94"/>
      <c r="AJ1123" s="94"/>
      <c r="AK1123" s="94"/>
      <c r="AL1123" s="94"/>
      <c r="AM1123" s="94"/>
      <c r="AN1123" s="94"/>
      <c r="AO1123" s="94"/>
      <c r="AP1123" s="94"/>
      <c r="AQ1123" s="94"/>
      <c r="AR1123" s="94"/>
      <c r="AS1123" s="94"/>
      <c r="AT1123" s="94"/>
      <c r="AU1123" s="94"/>
      <c r="AV1123" s="94"/>
      <c r="AW1123" s="94"/>
      <c r="AX1123" s="94"/>
      <c r="AY1123" s="94"/>
      <c r="BA1123" s="95"/>
    </row>
    <row r="1124" spans="1:53" s="87" customFormat="1">
      <c r="A1124" s="90" t="str">
        <f t="shared" si="42"/>
        <v/>
      </c>
      <c r="B1124" s="98"/>
      <c r="C1124" s="94"/>
      <c r="D1124" s="94"/>
      <c r="E1124" s="94"/>
      <c r="F1124" s="94"/>
      <c r="G1124" s="94"/>
      <c r="H1124" s="94"/>
      <c r="I1124" s="94"/>
      <c r="J1124" s="94"/>
      <c r="K1124" s="94"/>
      <c r="L1124" s="94"/>
      <c r="M1124" s="94"/>
      <c r="N1124" s="94"/>
      <c r="O1124" s="94"/>
      <c r="P1124" s="94"/>
      <c r="Q1124" s="94"/>
      <c r="R1124" s="94"/>
      <c r="S1124" s="94"/>
      <c r="T1124" s="94"/>
      <c r="U1124" s="94"/>
      <c r="V1124" s="94"/>
      <c r="W1124" s="94"/>
      <c r="X1124" s="94"/>
      <c r="Y1124" s="94"/>
      <c r="Z1124" s="94"/>
      <c r="AA1124" s="94"/>
      <c r="AB1124" s="94"/>
      <c r="AC1124" s="94"/>
      <c r="AD1124" s="94"/>
      <c r="AE1124" s="94"/>
      <c r="AF1124" s="94"/>
      <c r="AG1124" s="94"/>
      <c r="AH1124" s="94"/>
      <c r="AI1124" s="94"/>
      <c r="AJ1124" s="94"/>
      <c r="AK1124" s="94"/>
      <c r="AL1124" s="94"/>
      <c r="AM1124" s="94"/>
      <c r="AN1124" s="94"/>
      <c r="AO1124" s="94"/>
      <c r="AP1124" s="94"/>
      <c r="AQ1124" s="94"/>
      <c r="AR1124" s="94"/>
      <c r="AS1124" s="94"/>
      <c r="AT1124" s="94"/>
      <c r="AU1124" s="94"/>
      <c r="AV1124" s="94"/>
      <c r="AW1124" s="94"/>
      <c r="AX1124" s="94"/>
      <c r="AY1124" s="94"/>
      <c r="BA1124" s="95"/>
    </row>
    <row r="1125" spans="1:53" s="87" customFormat="1">
      <c r="A1125" s="90" t="str">
        <f t="shared" si="42"/>
        <v/>
      </c>
      <c r="B1125" s="98"/>
      <c r="C1125" s="94"/>
      <c r="D1125" s="94"/>
      <c r="E1125" s="94"/>
      <c r="F1125" s="94"/>
      <c r="G1125" s="94"/>
      <c r="H1125" s="94"/>
      <c r="I1125" s="94"/>
      <c r="J1125" s="94"/>
      <c r="K1125" s="94"/>
      <c r="L1125" s="94"/>
      <c r="M1125" s="94"/>
      <c r="N1125" s="94"/>
      <c r="O1125" s="94"/>
      <c r="P1125" s="94"/>
      <c r="Q1125" s="94"/>
      <c r="R1125" s="94"/>
      <c r="S1125" s="94"/>
      <c r="T1125" s="94"/>
      <c r="U1125" s="94"/>
      <c r="V1125" s="94"/>
      <c r="W1125" s="94"/>
      <c r="X1125" s="94"/>
      <c r="Y1125" s="94"/>
      <c r="Z1125" s="94"/>
      <c r="AA1125" s="94"/>
      <c r="AB1125" s="94"/>
      <c r="AC1125" s="94"/>
      <c r="AD1125" s="94"/>
      <c r="AE1125" s="94"/>
      <c r="AF1125" s="94"/>
      <c r="AG1125" s="94"/>
      <c r="AH1125" s="94"/>
      <c r="AI1125" s="94"/>
      <c r="AJ1125" s="94"/>
      <c r="AK1125" s="94"/>
      <c r="AL1125" s="94"/>
      <c r="AM1125" s="94"/>
      <c r="AN1125" s="94"/>
      <c r="AO1125" s="94"/>
      <c r="AP1125" s="94"/>
      <c r="AQ1125" s="94"/>
      <c r="AR1125" s="94"/>
      <c r="AS1125" s="94"/>
      <c r="AT1125" s="94"/>
      <c r="AU1125" s="94"/>
      <c r="AV1125" s="94"/>
      <c r="AW1125" s="94"/>
      <c r="AX1125" s="94"/>
      <c r="AY1125" s="94"/>
      <c r="BA1125" s="95"/>
    </row>
    <row r="1126" spans="1:53" s="87" customFormat="1">
      <c r="A1126" s="90" t="str">
        <f t="shared" si="42"/>
        <v/>
      </c>
      <c r="B1126" s="98"/>
      <c r="C1126" s="94"/>
      <c r="D1126" s="94"/>
      <c r="E1126" s="94"/>
      <c r="F1126" s="94"/>
      <c r="G1126" s="94"/>
      <c r="H1126" s="94"/>
      <c r="I1126" s="94"/>
      <c r="J1126" s="94"/>
      <c r="K1126" s="94"/>
      <c r="L1126" s="94"/>
      <c r="M1126" s="94"/>
      <c r="N1126" s="94"/>
      <c r="O1126" s="94"/>
      <c r="P1126" s="94"/>
      <c r="Q1126" s="94"/>
      <c r="R1126" s="94"/>
      <c r="S1126" s="94"/>
      <c r="T1126" s="94"/>
      <c r="U1126" s="94"/>
      <c r="V1126" s="94"/>
      <c r="W1126" s="94"/>
      <c r="X1126" s="94"/>
      <c r="Y1126" s="94"/>
      <c r="Z1126" s="94"/>
      <c r="AA1126" s="94"/>
      <c r="AB1126" s="94"/>
      <c r="AC1126" s="94"/>
      <c r="AD1126" s="94"/>
      <c r="AE1126" s="94"/>
      <c r="AF1126" s="94"/>
      <c r="AG1126" s="94"/>
      <c r="AH1126" s="94"/>
      <c r="AI1126" s="94"/>
      <c r="AJ1126" s="94"/>
      <c r="AK1126" s="94"/>
      <c r="AL1126" s="94"/>
      <c r="AM1126" s="94"/>
      <c r="AN1126" s="94"/>
      <c r="AO1126" s="94"/>
      <c r="AP1126" s="94"/>
      <c r="AQ1126" s="94"/>
      <c r="AR1126" s="94"/>
      <c r="AS1126" s="94"/>
      <c r="AT1126" s="94"/>
      <c r="AU1126" s="94"/>
      <c r="AV1126" s="94"/>
      <c r="AW1126" s="94"/>
      <c r="AX1126" s="94"/>
      <c r="AY1126" s="94"/>
      <c r="BA1126" s="95"/>
    </row>
    <row r="1127" spans="1:53" s="87" customFormat="1">
      <c r="A1127" s="90" t="str">
        <f t="shared" si="42"/>
        <v/>
      </c>
      <c r="B1127" s="98"/>
      <c r="C1127" s="94"/>
      <c r="D1127" s="94"/>
      <c r="E1127" s="94"/>
      <c r="F1127" s="94"/>
      <c r="G1127" s="94"/>
      <c r="H1127" s="94"/>
      <c r="I1127" s="94"/>
      <c r="J1127" s="94"/>
      <c r="K1127" s="94"/>
      <c r="L1127" s="94"/>
      <c r="M1127" s="94"/>
      <c r="N1127" s="94"/>
      <c r="O1127" s="94"/>
      <c r="P1127" s="94"/>
      <c r="Q1127" s="94"/>
      <c r="R1127" s="94"/>
      <c r="S1127" s="94"/>
      <c r="T1127" s="94"/>
      <c r="U1127" s="94"/>
      <c r="V1127" s="94"/>
      <c r="W1127" s="94"/>
      <c r="X1127" s="94"/>
      <c r="Y1127" s="94"/>
      <c r="Z1127" s="94"/>
      <c r="AA1127" s="94"/>
      <c r="AB1127" s="94"/>
      <c r="AC1127" s="94"/>
      <c r="AD1127" s="94"/>
      <c r="AE1127" s="94"/>
      <c r="AF1127" s="94"/>
      <c r="AG1127" s="94"/>
      <c r="AH1127" s="94"/>
      <c r="AI1127" s="94"/>
      <c r="AJ1127" s="94"/>
      <c r="AK1127" s="94"/>
      <c r="AL1127" s="94"/>
      <c r="AM1127" s="94"/>
      <c r="AN1127" s="94"/>
      <c r="AO1127" s="94"/>
      <c r="AP1127" s="94"/>
      <c r="AQ1127" s="94"/>
      <c r="AR1127" s="94"/>
      <c r="AS1127" s="94"/>
      <c r="AT1127" s="94"/>
      <c r="AU1127" s="94"/>
      <c r="AV1127" s="94"/>
      <c r="AW1127" s="94"/>
      <c r="AX1127" s="94"/>
      <c r="AY1127" s="94"/>
      <c r="BA1127" s="95"/>
    </row>
    <row r="1128" spans="1:53" s="87" customFormat="1">
      <c r="A1128" s="90" t="str">
        <f t="shared" si="42"/>
        <v/>
      </c>
      <c r="B1128" s="98"/>
      <c r="C1128" s="94"/>
      <c r="D1128" s="94"/>
      <c r="E1128" s="94"/>
      <c r="F1128" s="94"/>
      <c r="G1128" s="94"/>
      <c r="H1128" s="94"/>
      <c r="I1128" s="94"/>
      <c r="J1128" s="94"/>
      <c r="K1128" s="94"/>
      <c r="L1128" s="94"/>
      <c r="M1128" s="94"/>
      <c r="N1128" s="94"/>
      <c r="O1128" s="94"/>
      <c r="P1128" s="94"/>
      <c r="Q1128" s="94"/>
      <c r="R1128" s="94"/>
      <c r="S1128" s="94"/>
      <c r="T1128" s="94"/>
      <c r="U1128" s="94"/>
      <c r="V1128" s="94"/>
      <c r="W1128" s="94"/>
      <c r="X1128" s="94"/>
      <c r="Y1128" s="94"/>
      <c r="Z1128" s="94"/>
      <c r="AA1128" s="94"/>
      <c r="AB1128" s="94"/>
      <c r="AC1128" s="94"/>
      <c r="AD1128" s="94"/>
      <c r="AE1128" s="94"/>
      <c r="AF1128" s="94"/>
      <c r="AG1128" s="94"/>
      <c r="AH1128" s="94"/>
      <c r="AI1128" s="94"/>
      <c r="AJ1128" s="94"/>
      <c r="AK1128" s="94"/>
      <c r="AL1128" s="94"/>
      <c r="AM1128" s="94"/>
      <c r="AN1128" s="94"/>
      <c r="AO1128" s="94"/>
      <c r="AP1128" s="94"/>
      <c r="AQ1128" s="94"/>
      <c r="AR1128" s="94"/>
      <c r="AS1128" s="94"/>
      <c r="AT1128" s="94"/>
      <c r="AU1128" s="94"/>
      <c r="AV1128" s="94"/>
      <c r="AW1128" s="94"/>
      <c r="AX1128" s="94"/>
      <c r="AY1128" s="94"/>
      <c r="BA1128" s="95"/>
    </row>
    <row r="1129" spans="1:53" s="87" customFormat="1">
      <c r="A1129" s="90" t="str">
        <f t="shared" si="42"/>
        <v/>
      </c>
      <c r="B1129" s="98"/>
      <c r="C1129" s="94"/>
      <c r="D1129" s="94"/>
      <c r="E1129" s="94"/>
      <c r="F1129" s="94"/>
      <c r="G1129" s="94"/>
      <c r="H1129" s="94"/>
      <c r="I1129" s="94"/>
      <c r="J1129" s="94"/>
      <c r="K1129" s="94"/>
      <c r="L1129" s="94"/>
      <c r="M1129" s="94"/>
      <c r="N1129" s="94"/>
      <c r="O1129" s="94"/>
      <c r="P1129" s="94"/>
      <c r="Q1129" s="94"/>
      <c r="R1129" s="94"/>
      <c r="S1129" s="94"/>
      <c r="T1129" s="94"/>
      <c r="U1129" s="94"/>
      <c r="V1129" s="94"/>
      <c r="W1129" s="94"/>
      <c r="X1129" s="94"/>
      <c r="Y1129" s="94"/>
      <c r="Z1129" s="94"/>
      <c r="AA1129" s="94"/>
      <c r="AB1129" s="94"/>
      <c r="AC1129" s="94"/>
      <c r="AD1129" s="94"/>
      <c r="AE1129" s="94"/>
      <c r="AF1129" s="94"/>
      <c r="AG1129" s="94"/>
      <c r="AH1129" s="94"/>
      <c r="AI1129" s="94"/>
      <c r="AJ1129" s="94"/>
      <c r="AK1129" s="94"/>
      <c r="AL1129" s="94"/>
      <c r="AM1129" s="94"/>
      <c r="AN1129" s="94"/>
      <c r="AO1129" s="94"/>
      <c r="AP1129" s="94"/>
      <c r="AQ1129" s="94"/>
      <c r="AR1129" s="94"/>
      <c r="AS1129" s="94"/>
      <c r="AT1129" s="94"/>
      <c r="AU1129" s="94"/>
      <c r="AV1129" s="94"/>
      <c r="AW1129" s="94"/>
      <c r="AX1129" s="94"/>
      <c r="AY1129" s="94"/>
      <c r="BA1129" s="95"/>
    </row>
    <row r="1130" spans="1:53" s="87" customFormat="1">
      <c r="A1130" s="90" t="str">
        <f t="shared" si="42"/>
        <v/>
      </c>
      <c r="B1130" s="98"/>
      <c r="C1130" s="94"/>
      <c r="D1130" s="94"/>
      <c r="E1130" s="94"/>
      <c r="F1130" s="94"/>
      <c r="G1130" s="94"/>
      <c r="H1130" s="94"/>
      <c r="I1130" s="94"/>
      <c r="J1130" s="94"/>
      <c r="K1130" s="94"/>
      <c r="L1130" s="94"/>
      <c r="M1130" s="94"/>
      <c r="N1130" s="94"/>
      <c r="O1130" s="94"/>
      <c r="P1130" s="94"/>
      <c r="Q1130" s="94"/>
      <c r="R1130" s="94"/>
      <c r="S1130" s="94"/>
      <c r="T1130" s="94"/>
      <c r="U1130" s="94"/>
      <c r="V1130" s="94"/>
      <c r="W1130" s="94"/>
      <c r="X1130" s="94"/>
      <c r="Y1130" s="94"/>
      <c r="Z1130" s="94"/>
      <c r="AA1130" s="94"/>
      <c r="AB1130" s="94"/>
      <c r="AC1130" s="94"/>
      <c r="AD1130" s="94"/>
      <c r="AE1130" s="94"/>
      <c r="AF1130" s="94"/>
      <c r="AG1130" s="94"/>
      <c r="AH1130" s="94"/>
      <c r="AI1130" s="94"/>
      <c r="AJ1130" s="94"/>
      <c r="AK1130" s="94"/>
      <c r="AL1130" s="94"/>
      <c r="AM1130" s="94"/>
      <c r="AN1130" s="94"/>
      <c r="AO1130" s="94"/>
      <c r="AP1130" s="94"/>
      <c r="AQ1130" s="94"/>
      <c r="AR1130" s="94"/>
      <c r="AS1130" s="94"/>
      <c r="AT1130" s="94"/>
      <c r="AU1130" s="94"/>
      <c r="AV1130" s="94"/>
      <c r="AW1130" s="94"/>
      <c r="AX1130" s="94"/>
      <c r="AY1130" s="94"/>
      <c r="BA1130" s="95"/>
    </row>
    <row r="1131" spans="1:53" s="87" customFormat="1">
      <c r="A1131" s="90" t="str">
        <f t="shared" si="42"/>
        <v/>
      </c>
      <c r="B1131" s="98"/>
      <c r="C1131" s="94"/>
      <c r="D1131" s="94"/>
      <c r="E1131" s="94"/>
      <c r="F1131" s="94"/>
      <c r="G1131" s="94"/>
      <c r="H1131" s="94"/>
      <c r="I1131" s="94"/>
      <c r="J1131" s="94"/>
      <c r="K1131" s="94"/>
      <c r="L1131" s="94"/>
      <c r="M1131" s="94"/>
      <c r="N1131" s="94"/>
      <c r="O1131" s="94"/>
      <c r="P1131" s="94"/>
      <c r="Q1131" s="94"/>
      <c r="R1131" s="94"/>
      <c r="S1131" s="94"/>
      <c r="T1131" s="94"/>
      <c r="U1131" s="94"/>
      <c r="V1131" s="94"/>
      <c r="W1131" s="94"/>
      <c r="X1131" s="94"/>
      <c r="Y1131" s="94"/>
      <c r="Z1131" s="94"/>
      <c r="AA1131" s="94"/>
      <c r="AB1131" s="94"/>
      <c r="AC1131" s="94"/>
      <c r="AD1131" s="94"/>
      <c r="AE1131" s="94"/>
      <c r="AF1131" s="94"/>
      <c r="AG1131" s="94"/>
      <c r="AH1131" s="94"/>
      <c r="AI1131" s="94"/>
      <c r="AJ1131" s="94"/>
      <c r="AK1131" s="94"/>
      <c r="AL1131" s="94"/>
      <c r="AM1131" s="94"/>
      <c r="AN1131" s="94"/>
      <c r="AO1131" s="94"/>
      <c r="AP1131" s="94"/>
      <c r="AQ1131" s="94"/>
      <c r="AR1131" s="94"/>
      <c r="AS1131" s="94"/>
      <c r="AT1131" s="94"/>
      <c r="AU1131" s="94"/>
      <c r="AV1131" s="94"/>
      <c r="AW1131" s="94"/>
      <c r="AX1131" s="94"/>
      <c r="AY1131" s="94"/>
      <c r="BA1131" s="95"/>
    </row>
    <row r="1132" spans="1:53" s="87" customFormat="1">
      <c r="A1132" s="90" t="str">
        <f t="shared" si="42"/>
        <v/>
      </c>
      <c r="B1132" s="98"/>
      <c r="C1132" s="94"/>
      <c r="D1132" s="94"/>
      <c r="E1132" s="94"/>
      <c r="F1132" s="94"/>
      <c r="G1132" s="94"/>
      <c r="H1132" s="94"/>
      <c r="I1132" s="94"/>
      <c r="J1132" s="94"/>
      <c r="K1132" s="94"/>
      <c r="L1132" s="94"/>
      <c r="M1132" s="94"/>
      <c r="N1132" s="94"/>
      <c r="O1132" s="94"/>
      <c r="P1132" s="94"/>
      <c r="Q1132" s="94"/>
      <c r="R1132" s="94"/>
      <c r="S1132" s="94"/>
      <c r="T1132" s="94"/>
      <c r="U1132" s="94"/>
      <c r="V1132" s="94"/>
      <c r="W1132" s="94"/>
      <c r="X1132" s="94"/>
      <c r="Y1132" s="94"/>
      <c r="Z1132" s="94"/>
      <c r="AA1132" s="94"/>
      <c r="AB1132" s="94"/>
      <c r="AC1132" s="94"/>
      <c r="AD1132" s="94"/>
      <c r="AE1132" s="94"/>
      <c r="AF1132" s="94"/>
      <c r="AG1132" s="94"/>
      <c r="AH1132" s="94"/>
      <c r="AI1132" s="94"/>
      <c r="AJ1132" s="94"/>
      <c r="AK1132" s="94"/>
      <c r="AL1132" s="94"/>
      <c r="AM1132" s="94"/>
      <c r="AN1132" s="94"/>
      <c r="AO1132" s="94"/>
      <c r="AP1132" s="94"/>
      <c r="AQ1132" s="94"/>
      <c r="AR1132" s="94"/>
      <c r="AS1132" s="94"/>
      <c r="AT1132" s="94"/>
      <c r="AU1132" s="94"/>
      <c r="AV1132" s="94"/>
      <c r="AW1132" s="94"/>
      <c r="AX1132" s="94"/>
      <c r="AY1132" s="94"/>
      <c r="BA1132" s="95"/>
    </row>
    <row r="1133" spans="1:53" s="87" customFormat="1">
      <c r="A1133" s="90" t="str">
        <f t="shared" si="42"/>
        <v/>
      </c>
      <c r="B1133" s="98"/>
      <c r="C1133" s="94"/>
      <c r="D1133" s="94"/>
      <c r="E1133" s="94"/>
      <c r="F1133" s="94"/>
      <c r="G1133" s="94"/>
      <c r="H1133" s="94"/>
      <c r="I1133" s="94"/>
      <c r="J1133" s="94"/>
      <c r="K1133" s="94"/>
      <c r="L1133" s="94"/>
      <c r="M1133" s="94"/>
      <c r="N1133" s="94"/>
      <c r="O1133" s="94"/>
      <c r="P1133" s="94"/>
      <c r="Q1133" s="94"/>
      <c r="R1133" s="94"/>
      <c r="S1133" s="94"/>
      <c r="T1133" s="94"/>
      <c r="U1133" s="94"/>
      <c r="V1133" s="94"/>
      <c r="W1133" s="94"/>
      <c r="X1133" s="94"/>
      <c r="Y1133" s="94"/>
      <c r="Z1133" s="94"/>
      <c r="AA1133" s="94"/>
      <c r="AB1133" s="94"/>
      <c r="AC1133" s="94"/>
      <c r="AD1133" s="94"/>
      <c r="AE1133" s="94"/>
      <c r="AF1133" s="94"/>
      <c r="AG1133" s="94"/>
      <c r="AH1133" s="94"/>
      <c r="AI1133" s="94"/>
      <c r="AJ1133" s="94"/>
      <c r="AK1133" s="94"/>
      <c r="AL1133" s="94"/>
      <c r="AM1133" s="94"/>
      <c r="AN1133" s="94"/>
      <c r="AO1133" s="94"/>
      <c r="AP1133" s="94"/>
      <c r="AQ1133" s="94"/>
      <c r="AR1133" s="94"/>
      <c r="AS1133" s="94"/>
      <c r="AT1133" s="94"/>
      <c r="AU1133" s="94"/>
      <c r="AV1133" s="94"/>
      <c r="AW1133" s="94"/>
      <c r="AX1133" s="94"/>
      <c r="AY1133" s="94"/>
      <c r="BA1133" s="95"/>
    </row>
    <row r="1134" spans="1:53" s="87" customFormat="1">
      <c r="A1134" s="90" t="str">
        <f t="shared" si="42"/>
        <v/>
      </c>
      <c r="B1134" s="98"/>
      <c r="C1134" s="94"/>
      <c r="D1134" s="94"/>
      <c r="E1134" s="94"/>
      <c r="F1134" s="94"/>
      <c r="G1134" s="94"/>
      <c r="H1134" s="94"/>
      <c r="I1134" s="94"/>
      <c r="J1134" s="94"/>
      <c r="K1134" s="94"/>
      <c r="L1134" s="94"/>
      <c r="M1134" s="94"/>
      <c r="N1134" s="94"/>
      <c r="O1134" s="94"/>
      <c r="P1134" s="94"/>
      <c r="Q1134" s="94"/>
      <c r="R1134" s="94"/>
      <c r="S1134" s="94"/>
      <c r="T1134" s="94"/>
      <c r="U1134" s="94"/>
      <c r="V1134" s="94"/>
      <c r="W1134" s="94"/>
      <c r="X1134" s="94"/>
      <c r="Y1134" s="94"/>
      <c r="Z1134" s="94"/>
      <c r="AA1134" s="94"/>
      <c r="AB1134" s="94"/>
      <c r="AC1134" s="94"/>
      <c r="AD1134" s="94"/>
      <c r="AE1134" s="94"/>
      <c r="AF1134" s="94"/>
      <c r="AG1134" s="94"/>
      <c r="AH1134" s="94"/>
      <c r="AI1134" s="94"/>
      <c r="AJ1134" s="94"/>
      <c r="AK1134" s="94"/>
      <c r="AL1134" s="94"/>
      <c r="AM1134" s="94"/>
      <c r="AN1134" s="94"/>
      <c r="AO1134" s="94"/>
      <c r="AP1134" s="94"/>
      <c r="AQ1134" s="94"/>
      <c r="AR1134" s="94"/>
      <c r="AS1134" s="94"/>
      <c r="AT1134" s="94"/>
      <c r="AU1134" s="94"/>
      <c r="AV1134" s="94"/>
      <c r="AW1134" s="94"/>
      <c r="AX1134" s="94"/>
      <c r="AY1134" s="94"/>
      <c r="BA1134" s="95"/>
    </row>
    <row r="1135" spans="1:53" s="87" customFormat="1">
      <c r="A1135" s="90" t="str">
        <f t="shared" si="42"/>
        <v/>
      </c>
      <c r="B1135" s="98"/>
      <c r="C1135" s="94"/>
      <c r="D1135" s="94"/>
      <c r="E1135" s="94"/>
      <c r="F1135" s="94"/>
      <c r="G1135" s="94"/>
      <c r="H1135" s="94"/>
      <c r="I1135" s="94"/>
      <c r="J1135" s="94"/>
      <c r="K1135" s="94"/>
      <c r="L1135" s="94"/>
      <c r="M1135" s="94"/>
      <c r="N1135" s="94"/>
      <c r="O1135" s="94"/>
      <c r="P1135" s="94"/>
      <c r="Q1135" s="94"/>
      <c r="R1135" s="94"/>
      <c r="S1135" s="94"/>
      <c r="T1135" s="94"/>
      <c r="U1135" s="94"/>
      <c r="V1135" s="94"/>
      <c r="W1135" s="94"/>
      <c r="X1135" s="94"/>
      <c r="Y1135" s="94"/>
      <c r="Z1135" s="94"/>
      <c r="AA1135" s="94"/>
      <c r="AB1135" s="94"/>
      <c r="AC1135" s="94"/>
      <c r="AD1135" s="94"/>
      <c r="AE1135" s="94"/>
      <c r="AF1135" s="94"/>
      <c r="AG1135" s="94"/>
      <c r="AH1135" s="94"/>
      <c r="AI1135" s="94"/>
      <c r="AJ1135" s="94"/>
      <c r="AK1135" s="94"/>
      <c r="AL1135" s="94"/>
      <c r="AM1135" s="94"/>
      <c r="AN1135" s="94"/>
      <c r="AO1135" s="94"/>
      <c r="AP1135" s="94"/>
      <c r="AQ1135" s="94"/>
      <c r="AR1135" s="94"/>
      <c r="AS1135" s="94"/>
      <c r="AT1135" s="94"/>
      <c r="AU1135" s="94"/>
      <c r="AV1135" s="94"/>
      <c r="AW1135" s="94"/>
      <c r="AX1135" s="94"/>
      <c r="AY1135" s="94"/>
      <c r="BA1135" s="95"/>
    </row>
    <row r="1136" spans="1:53" s="87" customFormat="1">
      <c r="A1136" s="90" t="str">
        <f t="shared" si="42"/>
        <v/>
      </c>
      <c r="B1136" s="98"/>
      <c r="C1136" s="94"/>
      <c r="D1136" s="94"/>
      <c r="E1136" s="94"/>
      <c r="F1136" s="94"/>
      <c r="G1136" s="94"/>
      <c r="H1136" s="94"/>
      <c r="I1136" s="94"/>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BA1136" s="95"/>
    </row>
    <row r="1137" spans="1:53" s="87" customFormat="1">
      <c r="A1137" s="90" t="str">
        <f t="shared" si="42"/>
        <v/>
      </c>
      <c r="B1137" s="98"/>
      <c r="C1137" s="94"/>
      <c r="D1137" s="94"/>
      <c r="E1137" s="94"/>
      <c r="F1137" s="94"/>
      <c r="G1137" s="94"/>
      <c r="H1137" s="94"/>
      <c r="I1137" s="94"/>
      <c r="J1137" s="94"/>
      <c r="K1137" s="94"/>
      <c r="L1137" s="94"/>
      <c r="M1137" s="94"/>
      <c r="N1137" s="94"/>
      <c r="O1137" s="94"/>
      <c r="P1137" s="94"/>
      <c r="Q1137" s="94"/>
      <c r="R1137" s="94"/>
      <c r="S1137" s="94"/>
      <c r="T1137" s="94"/>
      <c r="U1137" s="94"/>
      <c r="V1137" s="94"/>
      <c r="W1137" s="94"/>
      <c r="X1137" s="94"/>
      <c r="Y1137" s="94"/>
      <c r="Z1137" s="94"/>
      <c r="AA1137" s="94"/>
      <c r="AB1137" s="94"/>
      <c r="AC1137" s="94"/>
      <c r="AD1137" s="94"/>
      <c r="AE1137" s="94"/>
      <c r="AF1137" s="94"/>
      <c r="AG1137" s="94"/>
      <c r="AH1137" s="94"/>
      <c r="AI1137" s="94"/>
      <c r="AJ1137" s="94"/>
      <c r="AK1137" s="94"/>
      <c r="AL1137" s="94"/>
      <c r="AM1137" s="94"/>
      <c r="AN1137" s="94"/>
      <c r="AO1137" s="94"/>
      <c r="AP1137" s="94"/>
      <c r="AQ1137" s="94"/>
      <c r="AR1137" s="94"/>
      <c r="AS1137" s="94"/>
      <c r="AT1137" s="94"/>
      <c r="AU1137" s="94"/>
      <c r="AV1137" s="94"/>
      <c r="AW1137" s="94"/>
      <c r="AX1137" s="94"/>
      <c r="AY1137" s="94"/>
      <c r="BA1137" s="95"/>
    </row>
    <row r="1138" spans="1:53" s="87" customFormat="1">
      <c r="A1138" s="90" t="str">
        <f t="shared" si="42"/>
        <v/>
      </c>
      <c r="B1138" s="98"/>
      <c r="C1138" s="94"/>
      <c r="D1138" s="94"/>
      <c r="E1138" s="94"/>
      <c r="F1138" s="94"/>
      <c r="G1138" s="94"/>
      <c r="H1138" s="94"/>
      <c r="I1138" s="94"/>
      <c r="J1138" s="94"/>
      <c r="K1138" s="94"/>
      <c r="L1138" s="94"/>
      <c r="M1138" s="94"/>
      <c r="N1138" s="94"/>
      <c r="O1138" s="94"/>
      <c r="P1138" s="94"/>
      <c r="Q1138" s="94"/>
      <c r="R1138" s="94"/>
      <c r="S1138" s="94"/>
      <c r="T1138" s="94"/>
      <c r="U1138" s="94"/>
      <c r="V1138" s="94"/>
      <c r="W1138" s="94"/>
      <c r="X1138" s="94"/>
      <c r="Y1138" s="94"/>
      <c r="Z1138" s="94"/>
      <c r="AA1138" s="94"/>
      <c r="AB1138" s="94"/>
      <c r="AC1138" s="94"/>
      <c r="AD1138" s="94"/>
      <c r="AE1138" s="94"/>
      <c r="AF1138" s="94"/>
      <c r="AG1138" s="94"/>
      <c r="AH1138" s="94"/>
      <c r="AI1138" s="94"/>
      <c r="AJ1138" s="94"/>
      <c r="AK1138" s="94"/>
      <c r="AL1138" s="94"/>
      <c r="AM1138" s="94"/>
      <c r="AN1138" s="94"/>
      <c r="AO1138" s="94"/>
      <c r="AP1138" s="94"/>
      <c r="AQ1138" s="94"/>
      <c r="AR1138" s="94"/>
      <c r="AS1138" s="94"/>
      <c r="AT1138" s="94"/>
      <c r="AU1138" s="94"/>
      <c r="AV1138" s="94"/>
      <c r="AW1138" s="94"/>
      <c r="AX1138" s="94"/>
      <c r="AY1138" s="94"/>
      <c r="BA1138" s="95"/>
    </row>
    <row r="1139" spans="1:53" s="87" customFormat="1">
      <c r="A1139" s="90" t="str">
        <f t="shared" si="42"/>
        <v/>
      </c>
      <c r="B1139" s="98"/>
      <c r="C1139" s="94"/>
      <c r="D1139" s="94"/>
      <c r="E1139" s="94"/>
      <c r="F1139" s="94"/>
      <c r="G1139" s="94"/>
      <c r="H1139" s="94"/>
      <c r="I1139" s="94"/>
      <c r="J1139" s="94"/>
      <c r="K1139" s="94"/>
      <c r="L1139" s="94"/>
      <c r="M1139" s="94"/>
      <c r="N1139" s="94"/>
      <c r="O1139" s="94"/>
      <c r="P1139" s="94"/>
      <c r="Q1139" s="94"/>
      <c r="R1139" s="94"/>
      <c r="S1139" s="94"/>
      <c r="T1139" s="94"/>
      <c r="U1139" s="94"/>
      <c r="V1139" s="94"/>
      <c r="W1139" s="94"/>
      <c r="X1139" s="94"/>
      <c r="Y1139" s="94"/>
      <c r="Z1139" s="94"/>
      <c r="AA1139" s="94"/>
      <c r="AB1139" s="94"/>
      <c r="AC1139" s="94"/>
      <c r="AD1139" s="94"/>
      <c r="AE1139" s="94"/>
      <c r="AF1139" s="94"/>
      <c r="AG1139" s="94"/>
      <c r="AH1139" s="94"/>
      <c r="AI1139" s="94"/>
      <c r="AJ1139" s="94"/>
      <c r="AK1139" s="94"/>
      <c r="AL1139" s="94"/>
      <c r="AM1139" s="94"/>
      <c r="AN1139" s="94"/>
      <c r="AO1139" s="94"/>
      <c r="AP1139" s="94"/>
      <c r="AQ1139" s="94"/>
      <c r="AR1139" s="94"/>
      <c r="AS1139" s="94"/>
      <c r="AT1139" s="94"/>
      <c r="AU1139" s="94"/>
      <c r="AV1139" s="94"/>
      <c r="AW1139" s="94"/>
      <c r="AX1139" s="94"/>
      <c r="AY1139" s="94"/>
      <c r="BA1139" s="95"/>
    </row>
    <row r="1140" spans="1:53" s="87" customFormat="1">
      <c r="A1140" s="90" t="str">
        <f t="shared" si="42"/>
        <v/>
      </c>
      <c r="B1140" s="98"/>
      <c r="C1140" s="94"/>
      <c r="D1140" s="94"/>
      <c r="E1140" s="94"/>
      <c r="F1140" s="94"/>
      <c r="G1140" s="94"/>
      <c r="H1140" s="94"/>
      <c r="I1140" s="94"/>
      <c r="J1140" s="94"/>
      <c r="K1140" s="94"/>
      <c r="L1140" s="94"/>
      <c r="M1140" s="94"/>
      <c r="N1140" s="94"/>
      <c r="O1140" s="94"/>
      <c r="P1140" s="94"/>
      <c r="Q1140" s="94"/>
      <c r="R1140" s="94"/>
      <c r="S1140" s="94"/>
      <c r="T1140" s="94"/>
      <c r="U1140" s="94"/>
      <c r="V1140" s="94"/>
      <c r="W1140" s="94"/>
      <c r="X1140" s="94"/>
      <c r="Y1140" s="94"/>
      <c r="Z1140" s="94"/>
      <c r="AA1140" s="94"/>
      <c r="AB1140" s="94"/>
      <c r="AC1140" s="94"/>
      <c r="AD1140" s="94"/>
      <c r="AE1140" s="94"/>
      <c r="AF1140" s="94"/>
      <c r="AG1140" s="94"/>
      <c r="AH1140" s="94"/>
      <c r="AI1140" s="94"/>
      <c r="AJ1140" s="94"/>
      <c r="AK1140" s="94"/>
      <c r="AL1140" s="94"/>
      <c r="AM1140" s="94"/>
      <c r="AN1140" s="94"/>
      <c r="AO1140" s="94"/>
      <c r="AP1140" s="94"/>
      <c r="AQ1140" s="94"/>
      <c r="AR1140" s="94"/>
      <c r="AS1140" s="94"/>
      <c r="AT1140" s="94"/>
      <c r="AU1140" s="94"/>
      <c r="AV1140" s="94"/>
      <c r="AW1140" s="94"/>
      <c r="AX1140" s="94"/>
      <c r="AY1140" s="94"/>
      <c r="BA1140" s="95"/>
    </row>
    <row r="1141" spans="1:53" s="87" customFormat="1">
      <c r="A1141" s="90" t="str">
        <f t="shared" si="42"/>
        <v/>
      </c>
      <c r="B1141" s="98"/>
      <c r="C1141" s="94"/>
      <c r="D1141" s="94"/>
      <c r="E1141" s="94"/>
      <c r="F1141" s="94"/>
      <c r="G1141" s="94"/>
      <c r="H1141" s="94"/>
      <c r="I1141" s="94"/>
      <c r="J1141" s="94"/>
      <c r="K1141" s="94"/>
      <c r="L1141" s="94"/>
      <c r="M1141" s="94"/>
      <c r="N1141" s="94"/>
      <c r="O1141" s="94"/>
      <c r="P1141" s="94"/>
      <c r="Q1141" s="94"/>
      <c r="R1141" s="94"/>
      <c r="S1141" s="94"/>
      <c r="T1141" s="94"/>
      <c r="U1141" s="94"/>
      <c r="V1141" s="94"/>
      <c r="W1141" s="94"/>
      <c r="X1141" s="94"/>
      <c r="Y1141" s="94"/>
      <c r="Z1141" s="94"/>
      <c r="AA1141" s="94"/>
      <c r="AB1141" s="94"/>
      <c r="AC1141" s="94"/>
      <c r="AD1141" s="94"/>
      <c r="AE1141" s="94"/>
      <c r="AF1141" s="94"/>
      <c r="AG1141" s="94"/>
      <c r="AH1141" s="94"/>
      <c r="AI1141" s="94"/>
      <c r="AJ1141" s="94"/>
      <c r="AK1141" s="94"/>
      <c r="AL1141" s="94"/>
      <c r="AM1141" s="94"/>
      <c r="AN1141" s="94"/>
      <c r="AO1141" s="94"/>
      <c r="AP1141" s="94"/>
      <c r="AQ1141" s="94"/>
      <c r="AR1141" s="94"/>
      <c r="AS1141" s="94"/>
      <c r="AT1141" s="94"/>
      <c r="AU1141" s="94"/>
      <c r="AV1141" s="94"/>
      <c r="AW1141" s="94"/>
      <c r="AX1141" s="94"/>
      <c r="AY1141" s="94"/>
      <c r="BA1141" s="95"/>
    </row>
    <row r="1142" spans="1:53" s="87" customFormat="1">
      <c r="A1142" s="90" t="str">
        <f t="shared" si="42"/>
        <v/>
      </c>
      <c r="B1142" s="98"/>
      <c r="C1142" s="94"/>
      <c r="D1142" s="94"/>
      <c r="E1142" s="94"/>
      <c r="F1142" s="94"/>
      <c r="G1142" s="94"/>
      <c r="H1142" s="94"/>
      <c r="I1142" s="94"/>
      <c r="J1142" s="94"/>
      <c r="K1142" s="94"/>
      <c r="L1142" s="94"/>
      <c r="M1142" s="94"/>
      <c r="N1142" s="94"/>
      <c r="O1142" s="94"/>
      <c r="P1142" s="94"/>
      <c r="Q1142" s="94"/>
      <c r="R1142" s="94"/>
      <c r="S1142" s="94"/>
      <c r="T1142" s="94"/>
      <c r="U1142" s="94"/>
      <c r="V1142" s="94"/>
      <c r="W1142" s="94"/>
      <c r="X1142" s="94"/>
      <c r="Y1142" s="94"/>
      <c r="Z1142" s="94"/>
      <c r="AA1142" s="94"/>
      <c r="AB1142" s="94"/>
      <c r="AC1142" s="94"/>
      <c r="AD1142" s="94"/>
      <c r="AE1142" s="94"/>
      <c r="AF1142" s="94"/>
      <c r="AG1142" s="94"/>
      <c r="AH1142" s="94"/>
      <c r="AI1142" s="94"/>
      <c r="AJ1142" s="94"/>
      <c r="AK1142" s="94"/>
      <c r="AL1142" s="94"/>
      <c r="AM1142" s="94"/>
      <c r="AN1142" s="94"/>
      <c r="AO1142" s="94"/>
      <c r="AP1142" s="94"/>
      <c r="AQ1142" s="94"/>
      <c r="AR1142" s="94"/>
      <c r="AS1142" s="94"/>
      <c r="AT1142" s="94"/>
      <c r="AU1142" s="94"/>
      <c r="AV1142" s="94"/>
      <c r="AW1142" s="94"/>
      <c r="AX1142" s="94"/>
      <c r="AY1142" s="94"/>
      <c r="BA1142" s="95"/>
    </row>
    <row r="1143" spans="1:53" s="87" customFormat="1">
      <c r="A1143" s="90" t="str">
        <f t="shared" si="42"/>
        <v/>
      </c>
      <c r="B1143" s="98"/>
      <c r="C1143" s="94"/>
      <c r="D1143" s="94"/>
      <c r="E1143" s="94"/>
      <c r="F1143" s="94"/>
      <c r="G1143" s="94"/>
      <c r="H1143" s="94"/>
      <c r="I1143" s="94"/>
      <c r="J1143" s="94"/>
      <c r="K1143" s="94"/>
      <c r="L1143" s="94"/>
      <c r="M1143" s="94"/>
      <c r="N1143" s="94"/>
      <c r="O1143" s="94"/>
      <c r="P1143" s="94"/>
      <c r="Q1143" s="94"/>
      <c r="R1143" s="94"/>
      <c r="S1143" s="94"/>
      <c r="T1143" s="94"/>
      <c r="U1143" s="94"/>
      <c r="V1143" s="94"/>
      <c r="W1143" s="94"/>
      <c r="X1143" s="94"/>
      <c r="Y1143" s="94"/>
      <c r="Z1143" s="94"/>
      <c r="AA1143" s="94"/>
      <c r="AB1143" s="94"/>
      <c r="AC1143" s="94"/>
      <c r="AD1143" s="94"/>
      <c r="AE1143" s="94"/>
      <c r="AF1143" s="94"/>
      <c r="AG1143" s="94"/>
      <c r="AH1143" s="94"/>
      <c r="AI1143" s="94"/>
      <c r="AJ1143" s="94"/>
      <c r="AK1143" s="94"/>
      <c r="AL1143" s="94"/>
      <c r="AM1143" s="94"/>
      <c r="AN1143" s="94"/>
      <c r="AO1143" s="94"/>
      <c r="AP1143" s="94"/>
      <c r="AQ1143" s="94"/>
      <c r="AR1143" s="94"/>
      <c r="AS1143" s="94"/>
      <c r="AT1143" s="94"/>
      <c r="AU1143" s="94"/>
      <c r="AV1143" s="94"/>
      <c r="AW1143" s="94"/>
      <c r="AX1143" s="94"/>
      <c r="AY1143" s="94"/>
      <c r="BA1143" s="95"/>
    </row>
    <row r="1144" spans="1:53" s="87" customFormat="1">
      <c r="A1144" s="90" t="str">
        <f t="shared" si="42"/>
        <v/>
      </c>
      <c r="B1144" s="98"/>
      <c r="C1144" s="94"/>
      <c r="D1144" s="94"/>
      <c r="E1144" s="94"/>
      <c r="F1144" s="94"/>
      <c r="G1144" s="94"/>
      <c r="H1144" s="94"/>
      <c r="I1144" s="94"/>
      <c r="J1144" s="94"/>
      <c r="K1144" s="94"/>
      <c r="L1144" s="94"/>
      <c r="M1144" s="94"/>
      <c r="N1144" s="94"/>
      <c r="O1144" s="94"/>
      <c r="P1144" s="94"/>
      <c r="Q1144" s="94"/>
      <c r="R1144" s="94"/>
      <c r="S1144" s="94"/>
      <c r="T1144" s="94"/>
      <c r="U1144" s="94"/>
      <c r="V1144" s="94"/>
      <c r="W1144" s="94"/>
      <c r="X1144" s="94"/>
      <c r="Y1144" s="94"/>
      <c r="Z1144" s="94"/>
      <c r="AA1144" s="94"/>
      <c r="AB1144" s="94"/>
      <c r="AC1144" s="94"/>
      <c r="AD1144" s="94"/>
      <c r="AE1144" s="94"/>
      <c r="AF1144" s="94"/>
      <c r="AG1144" s="94"/>
      <c r="AH1144" s="94"/>
      <c r="AI1144" s="94"/>
      <c r="AJ1144" s="94"/>
      <c r="AK1144" s="94"/>
      <c r="AL1144" s="94"/>
      <c r="AM1144" s="94"/>
      <c r="AN1144" s="94"/>
      <c r="AO1144" s="94"/>
      <c r="AP1144" s="94"/>
      <c r="AQ1144" s="94"/>
      <c r="AR1144" s="94"/>
      <c r="AS1144" s="94"/>
      <c r="AT1144" s="94"/>
      <c r="AU1144" s="94"/>
      <c r="AV1144" s="94"/>
      <c r="AW1144" s="94"/>
      <c r="AX1144" s="94"/>
      <c r="AY1144" s="94"/>
      <c r="BA1144" s="95"/>
    </row>
    <row r="1145" spans="1:53" s="87" customFormat="1">
      <c r="A1145" s="90" t="str">
        <f t="shared" si="42"/>
        <v/>
      </c>
      <c r="B1145" s="98"/>
      <c r="C1145" s="94"/>
      <c r="D1145" s="94"/>
      <c r="E1145" s="94"/>
      <c r="F1145" s="94"/>
      <c r="G1145" s="94"/>
      <c r="H1145" s="94"/>
      <c r="I1145" s="94"/>
      <c r="J1145" s="94"/>
      <c r="K1145" s="94"/>
      <c r="L1145" s="94"/>
      <c r="M1145" s="94"/>
      <c r="N1145" s="94"/>
      <c r="O1145" s="94"/>
      <c r="P1145" s="94"/>
      <c r="Q1145" s="94"/>
      <c r="R1145" s="94"/>
      <c r="S1145" s="94"/>
      <c r="T1145" s="94"/>
      <c r="U1145" s="94"/>
      <c r="V1145" s="94"/>
      <c r="W1145" s="94"/>
      <c r="X1145" s="94"/>
      <c r="Y1145" s="94"/>
      <c r="Z1145" s="94"/>
      <c r="AA1145" s="94"/>
      <c r="AB1145" s="94"/>
      <c r="AC1145" s="94"/>
      <c r="AD1145" s="94"/>
      <c r="AE1145" s="94"/>
      <c r="AF1145" s="94"/>
      <c r="AG1145" s="94"/>
      <c r="AH1145" s="94"/>
      <c r="AI1145" s="94"/>
      <c r="AJ1145" s="94"/>
      <c r="AK1145" s="94"/>
      <c r="AL1145" s="94"/>
      <c r="AM1145" s="94"/>
      <c r="AN1145" s="94"/>
      <c r="AO1145" s="94"/>
      <c r="AP1145" s="94"/>
      <c r="AQ1145" s="94"/>
      <c r="AR1145" s="94"/>
      <c r="AS1145" s="94"/>
      <c r="AT1145" s="94"/>
      <c r="AU1145" s="94"/>
      <c r="AV1145" s="94"/>
      <c r="AW1145" s="94"/>
      <c r="AX1145" s="94"/>
      <c r="AY1145" s="94"/>
      <c r="BA1145" s="95"/>
    </row>
    <row r="1146" spans="1:53" s="87" customFormat="1">
      <c r="A1146" s="90" t="str">
        <f t="shared" si="42"/>
        <v/>
      </c>
      <c r="B1146" s="98"/>
      <c r="C1146" s="94"/>
      <c r="D1146" s="94"/>
      <c r="E1146" s="94"/>
      <c r="F1146" s="94"/>
      <c r="G1146" s="94"/>
      <c r="H1146" s="94"/>
      <c r="I1146" s="94"/>
      <c r="J1146" s="94"/>
      <c r="K1146" s="94"/>
      <c r="L1146" s="94"/>
      <c r="M1146" s="94"/>
      <c r="N1146" s="94"/>
      <c r="O1146" s="94"/>
      <c r="P1146" s="94"/>
      <c r="Q1146" s="94"/>
      <c r="R1146" s="94"/>
      <c r="S1146" s="94"/>
      <c r="T1146" s="94"/>
      <c r="U1146" s="94"/>
      <c r="V1146" s="94"/>
      <c r="W1146" s="94"/>
      <c r="X1146" s="94"/>
      <c r="Y1146" s="94"/>
      <c r="Z1146" s="94"/>
      <c r="AA1146" s="94"/>
      <c r="AB1146" s="94"/>
      <c r="AC1146" s="94"/>
      <c r="AD1146" s="94"/>
      <c r="AE1146" s="94"/>
      <c r="AF1146" s="94"/>
      <c r="AG1146" s="94"/>
      <c r="AH1146" s="94"/>
      <c r="AI1146" s="94"/>
      <c r="AJ1146" s="94"/>
      <c r="AK1146" s="94"/>
      <c r="AL1146" s="94"/>
      <c r="AM1146" s="94"/>
      <c r="AN1146" s="94"/>
      <c r="AO1146" s="94"/>
      <c r="AP1146" s="94"/>
      <c r="AQ1146" s="94"/>
      <c r="AR1146" s="94"/>
      <c r="AS1146" s="94"/>
      <c r="AT1146" s="94"/>
      <c r="AU1146" s="94"/>
      <c r="AV1146" s="94"/>
      <c r="AW1146" s="94"/>
      <c r="AX1146" s="94"/>
      <c r="AY1146" s="94"/>
      <c r="BA1146" s="95"/>
    </row>
    <row r="1147" spans="1:53" s="87" customFormat="1">
      <c r="A1147" s="90" t="str">
        <f t="shared" si="42"/>
        <v/>
      </c>
      <c r="B1147" s="98"/>
      <c r="C1147" s="94"/>
      <c r="D1147" s="94"/>
      <c r="E1147" s="94"/>
      <c r="F1147" s="94"/>
      <c r="G1147" s="94"/>
      <c r="H1147" s="94"/>
      <c r="I1147" s="94"/>
      <c r="J1147" s="94"/>
      <c r="K1147" s="94"/>
      <c r="L1147" s="94"/>
      <c r="M1147" s="94"/>
      <c r="N1147" s="94"/>
      <c r="O1147" s="94"/>
      <c r="P1147" s="94"/>
      <c r="Q1147" s="94"/>
      <c r="R1147" s="94"/>
      <c r="S1147" s="94"/>
      <c r="T1147" s="94"/>
      <c r="U1147" s="94"/>
      <c r="V1147" s="94"/>
      <c r="W1147" s="94"/>
      <c r="X1147" s="94"/>
      <c r="Y1147" s="94"/>
      <c r="Z1147" s="94"/>
      <c r="AA1147" s="94"/>
      <c r="AB1147" s="94"/>
      <c r="AC1147" s="94"/>
      <c r="AD1147" s="94"/>
      <c r="AE1147" s="94"/>
      <c r="AF1147" s="94"/>
      <c r="AG1147" s="94"/>
      <c r="AH1147" s="94"/>
      <c r="AI1147" s="94"/>
      <c r="AJ1147" s="94"/>
      <c r="AK1147" s="94"/>
      <c r="AL1147" s="94"/>
      <c r="AM1147" s="94"/>
      <c r="AN1147" s="94"/>
      <c r="AO1147" s="94"/>
      <c r="AP1147" s="94"/>
      <c r="AQ1147" s="94"/>
      <c r="AR1147" s="94"/>
      <c r="AS1147" s="94"/>
      <c r="AT1147" s="94"/>
      <c r="AU1147" s="94"/>
      <c r="AV1147" s="94"/>
      <c r="AW1147" s="94"/>
      <c r="AX1147" s="94"/>
      <c r="AY1147" s="94"/>
      <c r="BA1147" s="95"/>
    </row>
    <row r="1148" spans="1:53" s="87" customFormat="1">
      <c r="A1148" s="90" t="str">
        <f t="shared" si="42"/>
        <v/>
      </c>
      <c r="B1148" s="98"/>
      <c r="C1148" s="94"/>
      <c r="D1148" s="94"/>
      <c r="E1148" s="94"/>
      <c r="F1148" s="94"/>
      <c r="G1148" s="94"/>
      <c r="H1148" s="94"/>
      <c r="I1148" s="94"/>
      <c r="J1148" s="94"/>
      <c r="K1148" s="94"/>
      <c r="L1148" s="94"/>
      <c r="M1148" s="94"/>
      <c r="N1148" s="94"/>
      <c r="O1148" s="94"/>
      <c r="P1148" s="94"/>
      <c r="Q1148" s="94"/>
      <c r="R1148" s="94"/>
      <c r="S1148" s="94"/>
      <c r="T1148" s="94"/>
      <c r="U1148" s="94"/>
      <c r="V1148" s="94"/>
      <c r="W1148" s="94"/>
      <c r="X1148" s="94"/>
      <c r="Y1148" s="94"/>
      <c r="Z1148" s="94"/>
      <c r="AA1148" s="94"/>
      <c r="AB1148" s="94"/>
      <c r="AC1148" s="94"/>
      <c r="AD1148" s="94"/>
      <c r="AE1148" s="94"/>
      <c r="AF1148" s="94"/>
      <c r="AG1148" s="94"/>
      <c r="AH1148" s="94"/>
      <c r="AI1148" s="94"/>
      <c r="AJ1148" s="94"/>
      <c r="AK1148" s="94"/>
      <c r="AL1148" s="94"/>
      <c r="AM1148" s="94"/>
      <c r="AN1148" s="94"/>
      <c r="AO1148" s="94"/>
      <c r="AP1148" s="94"/>
      <c r="AQ1148" s="94"/>
      <c r="AR1148" s="94"/>
      <c r="AS1148" s="94"/>
      <c r="AT1148" s="94"/>
      <c r="AU1148" s="94"/>
      <c r="AV1148" s="94"/>
      <c r="AW1148" s="94"/>
      <c r="AX1148" s="94"/>
      <c r="AY1148" s="94"/>
      <c r="BA1148" s="95"/>
    </row>
    <row r="1149" spans="1:53" s="87" customFormat="1">
      <c r="A1149" s="90" t="str">
        <f t="shared" si="42"/>
        <v/>
      </c>
      <c r="B1149" s="98"/>
      <c r="C1149" s="94"/>
      <c r="D1149" s="94"/>
      <c r="E1149" s="94"/>
      <c r="F1149" s="94"/>
      <c r="G1149" s="94"/>
      <c r="H1149" s="94"/>
      <c r="I1149" s="94"/>
      <c r="J1149" s="94"/>
      <c r="K1149" s="94"/>
      <c r="L1149" s="94"/>
      <c r="M1149" s="94"/>
      <c r="N1149" s="94"/>
      <c r="O1149" s="94"/>
      <c r="P1149" s="94"/>
      <c r="Q1149" s="94"/>
      <c r="R1149" s="94"/>
      <c r="S1149" s="94"/>
      <c r="T1149" s="94"/>
      <c r="U1149" s="94"/>
      <c r="V1149" s="94"/>
      <c r="W1149" s="94"/>
      <c r="X1149" s="94"/>
      <c r="Y1149" s="94"/>
      <c r="Z1149" s="94"/>
      <c r="AA1149" s="94"/>
      <c r="AB1149" s="94"/>
      <c r="AC1149" s="94"/>
      <c r="AD1149" s="94"/>
      <c r="AE1149" s="94"/>
      <c r="AF1149" s="94"/>
      <c r="AG1149" s="94"/>
      <c r="AH1149" s="94"/>
      <c r="AI1149" s="94"/>
      <c r="AJ1149" s="94"/>
      <c r="AK1149" s="94"/>
      <c r="AL1149" s="94"/>
      <c r="AM1149" s="94"/>
      <c r="AN1149" s="94"/>
      <c r="AO1149" s="94"/>
      <c r="AP1149" s="94"/>
      <c r="AQ1149" s="94"/>
      <c r="AR1149" s="94"/>
      <c r="AS1149" s="94"/>
      <c r="AT1149" s="94"/>
      <c r="AU1149" s="94"/>
      <c r="AV1149" s="94"/>
      <c r="AW1149" s="94"/>
      <c r="AX1149" s="94"/>
      <c r="AY1149" s="94"/>
      <c r="BA1149" s="95"/>
    </row>
    <row r="1150" spans="1:53" s="87" customFormat="1">
      <c r="A1150" s="90" t="str">
        <f t="shared" si="42"/>
        <v/>
      </c>
      <c r="B1150" s="98"/>
      <c r="C1150" s="94"/>
      <c r="D1150" s="94"/>
      <c r="E1150" s="94"/>
      <c r="F1150" s="94"/>
      <c r="G1150" s="94"/>
      <c r="H1150" s="94"/>
      <c r="I1150" s="94"/>
      <c r="J1150" s="94"/>
      <c r="K1150" s="94"/>
      <c r="L1150" s="94"/>
      <c r="M1150" s="94"/>
      <c r="N1150" s="94"/>
      <c r="O1150" s="94"/>
      <c r="P1150" s="94"/>
      <c r="Q1150" s="94"/>
      <c r="R1150" s="94"/>
      <c r="S1150" s="94"/>
      <c r="T1150" s="94"/>
      <c r="U1150" s="94"/>
      <c r="V1150" s="94"/>
      <c r="W1150" s="94"/>
      <c r="X1150" s="94"/>
      <c r="Y1150" s="94"/>
      <c r="Z1150" s="94"/>
      <c r="AA1150" s="94"/>
      <c r="AB1150" s="94"/>
      <c r="AC1150" s="94"/>
      <c r="AD1150" s="94"/>
      <c r="AE1150" s="94"/>
      <c r="AF1150" s="94"/>
      <c r="AG1150" s="94"/>
      <c r="AH1150" s="94"/>
      <c r="AI1150" s="94"/>
      <c r="AJ1150" s="94"/>
      <c r="AK1150" s="94"/>
      <c r="AL1150" s="94"/>
      <c r="AM1150" s="94"/>
      <c r="AN1150" s="94"/>
      <c r="AO1150" s="94"/>
      <c r="AP1150" s="94"/>
      <c r="AQ1150" s="94"/>
      <c r="AR1150" s="94"/>
      <c r="AS1150" s="94"/>
      <c r="AT1150" s="94"/>
      <c r="AU1150" s="94"/>
      <c r="AV1150" s="94"/>
      <c r="AW1150" s="94"/>
      <c r="AX1150" s="94"/>
      <c r="AY1150" s="94"/>
      <c r="BA1150" s="95"/>
    </row>
    <row r="1151" spans="1:53" s="87" customFormat="1">
      <c r="A1151" s="90" t="str">
        <f t="shared" si="42"/>
        <v/>
      </c>
      <c r="B1151" s="98"/>
      <c r="C1151" s="94"/>
      <c r="D1151" s="94"/>
      <c r="E1151" s="94"/>
      <c r="F1151" s="94"/>
      <c r="G1151" s="94"/>
      <c r="H1151" s="94"/>
      <c r="I1151" s="94"/>
      <c r="J1151" s="94"/>
      <c r="K1151" s="94"/>
      <c r="L1151" s="94"/>
      <c r="M1151" s="94"/>
      <c r="N1151" s="94"/>
      <c r="O1151" s="94"/>
      <c r="P1151" s="94"/>
      <c r="Q1151" s="94"/>
      <c r="R1151" s="94"/>
      <c r="S1151" s="94"/>
      <c r="T1151" s="94"/>
      <c r="U1151" s="94"/>
      <c r="V1151" s="94"/>
      <c r="W1151" s="94"/>
      <c r="X1151" s="94"/>
      <c r="Y1151" s="94"/>
      <c r="Z1151" s="94"/>
      <c r="AA1151" s="94"/>
      <c r="AB1151" s="94"/>
      <c r="AC1151" s="94"/>
      <c r="AD1151" s="94"/>
      <c r="AE1151" s="94"/>
      <c r="AF1151" s="94"/>
      <c r="AG1151" s="94"/>
      <c r="AH1151" s="94"/>
      <c r="AI1151" s="94"/>
      <c r="AJ1151" s="94"/>
      <c r="AK1151" s="94"/>
      <c r="AL1151" s="94"/>
      <c r="AM1151" s="94"/>
      <c r="AN1151" s="94"/>
      <c r="AO1151" s="94"/>
      <c r="AP1151" s="94"/>
      <c r="AQ1151" s="94"/>
      <c r="AR1151" s="94"/>
      <c r="AS1151" s="94"/>
      <c r="AT1151" s="94"/>
      <c r="AU1151" s="94"/>
      <c r="AV1151" s="94"/>
      <c r="AW1151" s="94"/>
      <c r="AX1151" s="94"/>
      <c r="AY1151" s="94"/>
      <c r="BA1151" s="95"/>
    </row>
    <row r="1152" spans="1:53" s="87" customFormat="1">
      <c r="A1152" s="90" t="str">
        <f t="shared" si="42"/>
        <v/>
      </c>
      <c r="B1152" s="98"/>
      <c r="C1152" s="94"/>
      <c r="D1152" s="94"/>
      <c r="E1152" s="94"/>
      <c r="F1152" s="94"/>
      <c r="G1152" s="94"/>
      <c r="H1152" s="94"/>
      <c r="I1152" s="94"/>
      <c r="J1152" s="94"/>
      <c r="K1152" s="94"/>
      <c r="L1152" s="94"/>
      <c r="M1152" s="94"/>
      <c r="N1152" s="94"/>
      <c r="O1152" s="94"/>
      <c r="P1152" s="94"/>
      <c r="Q1152" s="94"/>
      <c r="R1152" s="94"/>
      <c r="S1152" s="94"/>
      <c r="T1152" s="94"/>
      <c r="U1152" s="94"/>
      <c r="V1152" s="94"/>
      <c r="W1152" s="94"/>
      <c r="X1152" s="94"/>
      <c r="Y1152" s="94"/>
      <c r="Z1152" s="94"/>
      <c r="AA1152" s="94"/>
      <c r="AB1152" s="94"/>
      <c r="AC1152" s="94"/>
      <c r="AD1152" s="94"/>
      <c r="AE1152" s="94"/>
      <c r="AF1152" s="94"/>
      <c r="AG1152" s="94"/>
      <c r="AH1152" s="94"/>
      <c r="AI1152" s="94"/>
      <c r="AJ1152" s="94"/>
      <c r="AK1152" s="94"/>
      <c r="AL1152" s="94"/>
      <c r="AM1152" s="94"/>
      <c r="AN1152" s="94"/>
      <c r="AO1152" s="94"/>
      <c r="AP1152" s="94"/>
      <c r="AQ1152" s="94"/>
      <c r="AR1152" s="94"/>
      <c r="AS1152" s="94"/>
      <c r="AT1152" s="94"/>
      <c r="AU1152" s="94"/>
      <c r="AV1152" s="94"/>
      <c r="AW1152" s="94"/>
      <c r="AX1152" s="94"/>
      <c r="AY1152" s="94"/>
      <c r="BA1152" s="95"/>
    </row>
    <row r="1153" spans="1:53" s="87" customFormat="1">
      <c r="A1153" s="90" t="str">
        <f t="shared" si="42"/>
        <v/>
      </c>
      <c r="B1153" s="98"/>
      <c r="C1153" s="94"/>
      <c r="D1153" s="94"/>
      <c r="E1153" s="94"/>
      <c r="F1153" s="94"/>
      <c r="G1153" s="94"/>
      <c r="H1153" s="94"/>
      <c r="I1153" s="94"/>
      <c r="J1153" s="94"/>
      <c r="K1153" s="94"/>
      <c r="L1153" s="94"/>
      <c r="M1153" s="94"/>
      <c r="N1153" s="94"/>
      <c r="O1153" s="94"/>
      <c r="P1153" s="94"/>
      <c r="Q1153" s="94"/>
      <c r="R1153" s="94"/>
      <c r="S1153" s="94"/>
      <c r="T1153" s="94"/>
      <c r="U1153" s="94"/>
      <c r="V1153" s="94"/>
      <c r="W1153" s="94"/>
      <c r="X1153" s="94"/>
      <c r="Y1153" s="94"/>
      <c r="Z1153" s="94"/>
      <c r="AA1153" s="94"/>
      <c r="AB1153" s="94"/>
      <c r="AC1153" s="94"/>
      <c r="AD1153" s="94"/>
      <c r="AE1153" s="94"/>
      <c r="AF1153" s="94"/>
      <c r="AG1153" s="94"/>
      <c r="AH1153" s="94"/>
      <c r="AI1153" s="94"/>
      <c r="AJ1153" s="94"/>
      <c r="AK1153" s="94"/>
      <c r="AL1153" s="94"/>
      <c r="AM1153" s="94"/>
      <c r="AN1153" s="94"/>
      <c r="AO1153" s="94"/>
      <c r="AP1153" s="94"/>
      <c r="AQ1153" s="94"/>
      <c r="AR1153" s="94"/>
      <c r="AS1153" s="94"/>
      <c r="AT1153" s="94"/>
      <c r="AU1153" s="94"/>
      <c r="AV1153" s="94"/>
      <c r="AW1153" s="94"/>
      <c r="AX1153" s="94"/>
      <c r="AY1153" s="94"/>
      <c r="BA1153" s="95"/>
    </row>
    <row r="1154" spans="1:53" s="87" customFormat="1">
      <c r="A1154" s="90" t="str">
        <f t="shared" si="42"/>
        <v/>
      </c>
      <c r="B1154" s="98"/>
      <c r="C1154" s="94"/>
      <c r="D1154" s="94"/>
      <c r="E1154" s="94"/>
      <c r="F1154" s="94"/>
      <c r="G1154" s="94"/>
      <c r="H1154" s="94"/>
      <c r="I1154" s="94"/>
      <c r="J1154" s="94"/>
      <c r="K1154" s="94"/>
      <c r="L1154" s="94"/>
      <c r="M1154" s="94"/>
      <c r="N1154" s="94"/>
      <c r="O1154" s="94"/>
      <c r="P1154" s="94"/>
      <c r="Q1154" s="94"/>
      <c r="R1154" s="94"/>
      <c r="S1154" s="94"/>
      <c r="T1154" s="94"/>
      <c r="U1154" s="94"/>
      <c r="V1154" s="94"/>
      <c r="W1154" s="94"/>
      <c r="X1154" s="94"/>
      <c r="Y1154" s="94"/>
      <c r="Z1154" s="94"/>
      <c r="AA1154" s="94"/>
      <c r="AB1154" s="94"/>
      <c r="AC1154" s="94"/>
      <c r="AD1154" s="94"/>
      <c r="AE1154" s="94"/>
      <c r="AF1154" s="94"/>
      <c r="AG1154" s="94"/>
      <c r="AH1154" s="94"/>
      <c r="AI1154" s="94"/>
      <c r="AJ1154" s="94"/>
      <c r="AK1154" s="94"/>
      <c r="AL1154" s="94"/>
      <c r="AM1154" s="94"/>
      <c r="AN1154" s="94"/>
      <c r="AO1154" s="94"/>
      <c r="AP1154" s="94"/>
      <c r="AQ1154" s="94"/>
      <c r="AR1154" s="94"/>
      <c r="AS1154" s="94"/>
      <c r="AT1154" s="94"/>
      <c r="AU1154" s="94"/>
      <c r="AV1154" s="94"/>
      <c r="AW1154" s="94"/>
      <c r="AX1154" s="94"/>
      <c r="AY1154" s="94"/>
      <c r="BA1154" s="95"/>
    </row>
    <row r="1155" spans="1:53" s="87" customFormat="1">
      <c r="A1155" s="90" t="str">
        <f t="shared" si="42"/>
        <v/>
      </c>
      <c r="B1155" s="98"/>
      <c r="C1155" s="94"/>
      <c r="D1155" s="94"/>
      <c r="E1155" s="94"/>
      <c r="F1155" s="94"/>
      <c r="G1155" s="94"/>
      <c r="H1155" s="94"/>
      <c r="I1155" s="94"/>
      <c r="J1155" s="94"/>
      <c r="K1155" s="94"/>
      <c r="L1155" s="94"/>
      <c r="M1155" s="94"/>
      <c r="N1155" s="94"/>
      <c r="O1155" s="94"/>
      <c r="P1155" s="94"/>
      <c r="Q1155" s="94"/>
      <c r="R1155" s="94"/>
      <c r="S1155" s="94"/>
      <c r="T1155" s="94"/>
      <c r="U1155" s="94"/>
      <c r="V1155" s="94"/>
      <c r="W1155" s="94"/>
      <c r="X1155" s="94"/>
      <c r="Y1155" s="94"/>
      <c r="Z1155" s="94"/>
      <c r="AA1155" s="94"/>
      <c r="AB1155" s="94"/>
      <c r="AC1155" s="94"/>
      <c r="AD1155" s="94"/>
      <c r="AE1155" s="94"/>
      <c r="AF1155" s="94"/>
      <c r="AG1155" s="94"/>
      <c r="AH1155" s="94"/>
      <c r="AI1155" s="94"/>
      <c r="AJ1155" s="94"/>
      <c r="AK1155" s="94"/>
      <c r="AL1155" s="94"/>
      <c r="AM1155" s="94"/>
      <c r="AN1155" s="94"/>
      <c r="AO1155" s="94"/>
      <c r="AP1155" s="94"/>
      <c r="AQ1155" s="94"/>
      <c r="AR1155" s="94"/>
      <c r="AS1155" s="94"/>
      <c r="AT1155" s="94"/>
      <c r="AU1155" s="94"/>
      <c r="AV1155" s="94"/>
      <c r="AW1155" s="94"/>
      <c r="AX1155" s="94"/>
      <c r="AY1155" s="94"/>
      <c r="BA1155" s="95"/>
    </row>
    <row r="1156" spans="1:53" s="87" customFormat="1">
      <c r="A1156" s="90" t="str">
        <f t="shared" si="42"/>
        <v/>
      </c>
      <c r="B1156" s="98"/>
      <c r="C1156" s="94"/>
      <c r="D1156" s="94"/>
      <c r="E1156" s="94"/>
      <c r="F1156" s="94"/>
      <c r="G1156" s="94"/>
      <c r="H1156" s="94"/>
      <c r="I1156" s="94"/>
      <c r="J1156" s="94"/>
      <c r="K1156" s="94"/>
      <c r="L1156" s="94"/>
      <c r="M1156" s="94"/>
      <c r="N1156" s="94"/>
      <c r="O1156" s="94"/>
      <c r="P1156" s="94"/>
      <c r="Q1156" s="94"/>
      <c r="R1156" s="94"/>
      <c r="S1156" s="94"/>
      <c r="T1156" s="94"/>
      <c r="U1156" s="94"/>
      <c r="V1156" s="94"/>
      <c r="W1156" s="94"/>
      <c r="X1156" s="94"/>
      <c r="Y1156" s="94"/>
      <c r="Z1156" s="94"/>
      <c r="AA1156" s="94"/>
      <c r="AB1156" s="94"/>
      <c r="AC1156" s="94"/>
      <c r="AD1156" s="94"/>
      <c r="AE1156" s="94"/>
      <c r="AF1156" s="94"/>
      <c r="AG1156" s="94"/>
      <c r="AH1156" s="94"/>
      <c r="AI1156" s="94"/>
      <c r="AJ1156" s="94"/>
      <c r="AK1156" s="94"/>
      <c r="AL1156" s="94"/>
      <c r="AM1156" s="94"/>
      <c r="AN1156" s="94"/>
      <c r="AO1156" s="94"/>
      <c r="AP1156" s="94"/>
      <c r="AQ1156" s="94"/>
      <c r="AR1156" s="94"/>
      <c r="AS1156" s="94"/>
      <c r="AT1156" s="94"/>
      <c r="AU1156" s="94"/>
      <c r="AV1156" s="94"/>
      <c r="AW1156" s="94"/>
      <c r="AX1156" s="94"/>
      <c r="AY1156" s="94"/>
      <c r="BA1156" s="95"/>
    </row>
    <row r="1157" spans="1:53" s="87" customFormat="1">
      <c r="A1157" s="90" t="str">
        <f t="shared" si="42"/>
        <v/>
      </c>
      <c r="B1157" s="98"/>
      <c r="C1157" s="94"/>
      <c r="D1157" s="94"/>
      <c r="E1157" s="94"/>
      <c r="F1157" s="94"/>
      <c r="G1157" s="94"/>
      <c r="H1157" s="94"/>
      <c r="I1157" s="94"/>
      <c r="J1157" s="94"/>
      <c r="K1157" s="94"/>
      <c r="L1157" s="94"/>
      <c r="M1157" s="94"/>
      <c r="N1157" s="94"/>
      <c r="O1157" s="94"/>
      <c r="P1157" s="94"/>
      <c r="Q1157" s="94"/>
      <c r="R1157" s="94"/>
      <c r="S1157" s="94"/>
      <c r="T1157" s="94"/>
      <c r="U1157" s="94"/>
      <c r="V1157" s="94"/>
      <c r="W1157" s="94"/>
      <c r="X1157" s="94"/>
      <c r="Y1157" s="94"/>
      <c r="Z1157" s="94"/>
      <c r="AA1157" s="94"/>
      <c r="AB1157" s="94"/>
      <c r="AC1157" s="94"/>
      <c r="AD1157" s="94"/>
      <c r="AE1157" s="94"/>
      <c r="AF1157" s="94"/>
      <c r="AG1157" s="94"/>
      <c r="AH1157" s="94"/>
      <c r="AI1157" s="94"/>
      <c r="AJ1157" s="94"/>
      <c r="AK1157" s="94"/>
      <c r="AL1157" s="94"/>
      <c r="AM1157" s="94"/>
      <c r="AN1157" s="94"/>
      <c r="AO1157" s="94"/>
      <c r="AP1157" s="94"/>
      <c r="AQ1157" s="94"/>
      <c r="AR1157" s="94"/>
      <c r="AS1157" s="94"/>
      <c r="AT1157" s="94"/>
      <c r="AU1157" s="94"/>
      <c r="AV1157" s="94"/>
      <c r="AW1157" s="94"/>
      <c r="AX1157" s="94"/>
      <c r="AY1157" s="94"/>
      <c r="BA1157" s="95"/>
    </row>
    <row r="1158" spans="1:53" s="87" customFormat="1">
      <c r="A1158" s="90" t="str">
        <f t="shared" si="42"/>
        <v/>
      </c>
      <c r="B1158" s="98"/>
      <c r="C1158" s="94"/>
      <c r="D1158" s="94"/>
      <c r="E1158" s="94"/>
      <c r="F1158" s="94"/>
      <c r="G1158" s="94"/>
      <c r="H1158" s="94"/>
      <c r="I1158" s="94"/>
      <c r="J1158" s="94"/>
      <c r="K1158" s="94"/>
      <c r="L1158" s="94"/>
      <c r="M1158" s="94"/>
      <c r="N1158" s="94"/>
      <c r="O1158" s="94"/>
      <c r="P1158" s="94"/>
      <c r="Q1158" s="94"/>
      <c r="R1158" s="94"/>
      <c r="S1158" s="94"/>
      <c r="T1158" s="94"/>
      <c r="U1158" s="94"/>
      <c r="V1158" s="94"/>
      <c r="W1158" s="94"/>
      <c r="X1158" s="94"/>
      <c r="Y1158" s="94"/>
      <c r="Z1158" s="94"/>
      <c r="AA1158" s="94"/>
      <c r="AB1158" s="94"/>
      <c r="AC1158" s="94"/>
      <c r="AD1158" s="94"/>
      <c r="AE1158" s="94"/>
      <c r="AF1158" s="94"/>
      <c r="AG1158" s="94"/>
      <c r="AH1158" s="94"/>
      <c r="AI1158" s="94"/>
      <c r="AJ1158" s="94"/>
      <c r="AK1158" s="94"/>
      <c r="AL1158" s="94"/>
      <c r="AM1158" s="94"/>
      <c r="AN1158" s="94"/>
      <c r="AO1158" s="94"/>
      <c r="AP1158" s="94"/>
      <c r="AQ1158" s="94"/>
      <c r="AR1158" s="94"/>
      <c r="AS1158" s="94"/>
      <c r="AT1158" s="94"/>
      <c r="AU1158" s="94"/>
      <c r="AV1158" s="94"/>
      <c r="AW1158" s="94"/>
      <c r="AX1158" s="94"/>
      <c r="AY1158" s="94"/>
      <c r="BA1158" s="95"/>
    </row>
    <row r="1159" spans="1:53" s="87" customFormat="1">
      <c r="A1159" s="90" t="str">
        <f t="shared" si="42"/>
        <v/>
      </c>
      <c r="B1159" s="98"/>
      <c r="C1159" s="94"/>
      <c r="D1159" s="94"/>
      <c r="E1159" s="94"/>
      <c r="F1159" s="94"/>
      <c r="G1159" s="94"/>
      <c r="H1159" s="94"/>
      <c r="I1159" s="94"/>
      <c r="J1159" s="94"/>
      <c r="K1159" s="94"/>
      <c r="L1159" s="94"/>
      <c r="M1159" s="94"/>
      <c r="N1159" s="94"/>
      <c r="O1159" s="94"/>
      <c r="P1159" s="94"/>
      <c r="Q1159" s="94"/>
      <c r="R1159" s="94"/>
      <c r="S1159" s="94"/>
      <c r="T1159" s="94"/>
      <c r="U1159" s="94"/>
      <c r="V1159" s="94"/>
      <c r="W1159" s="94"/>
      <c r="X1159" s="94"/>
      <c r="Y1159" s="94"/>
      <c r="Z1159" s="94"/>
      <c r="AA1159" s="94"/>
      <c r="AB1159" s="94"/>
      <c r="AC1159" s="94"/>
      <c r="AD1159" s="94"/>
      <c r="AE1159" s="94"/>
      <c r="AF1159" s="94"/>
      <c r="AG1159" s="94"/>
      <c r="AH1159" s="94"/>
      <c r="AI1159" s="94"/>
      <c r="AJ1159" s="94"/>
      <c r="AK1159" s="94"/>
      <c r="AL1159" s="94"/>
      <c r="AM1159" s="94"/>
      <c r="AN1159" s="94"/>
      <c r="AO1159" s="94"/>
      <c r="AP1159" s="94"/>
      <c r="AQ1159" s="94"/>
      <c r="AR1159" s="94"/>
      <c r="AS1159" s="94"/>
      <c r="AT1159" s="94"/>
      <c r="AU1159" s="94"/>
      <c r="AV1159" s="94"/>
      <c r="AW1159" s="94"/>
      <c r="AX1159" s="94"/>
      <c r="AY1159" s="94"/>
      <c r="BA1159" s="95"/>
    </row>
    <row r="1160" spans="1:53" s="87" customFormat="1">
      <c r="A1160" s="90" t="str">
        <f t="shared" si="42"/>
        <v/>
      </c>
      <c r="B1160" s="98"/>
      <c r="C1160" s="94"/>
      <c r="D1160" s="94"/>
      <c r="E1160" s="94"/>
      <c r="F1160" s="94"/>
      <c r="G1160" s="94"/>
      <c r="H1160" s="94"/>
      <c r="I1160" s="94"/>
      <c r="J1160" s="94"/>
      <c r="K1160" s="94"/>
      <c r="L1160" s="94"/>
      <c r="M1160" s="94"/>
      <c r="N1160" s="94"/>
      <c r="O1160" s="94"/>
      <c r="P1160" s="94"/>
      <c r="Q1160" s="94"/>
      <c r="R1160" s="94"/>
      <c r="S1160" s="94"/>
      <c r="T1160" s="94"/>
      <c r="U1160" s="94"/>
      <c r="V1160" s="94"/>
      <c r="W1160" s="94"/>
      <c r="X1160" s="94"/>
      <c r="Y1160" s="94"/>
      <c r="Z1160" s="94"/>
      <c r="AA1160" s="94"/>
      <c r="AB1160" s="94"/>
      <c r="AC1160" s="94"/>
      <c r="AD1160" s="94"/>
      <c r="AE1160" s="94"/>
      <c r="AF1160" s="94"/>
      <c r="AG1160" s="94"/>
      <c r="AH1160" s="94"/>
      <c r="AI1160" s="94"/>
      <c r="AJ1160" s="94"/>
      <c r="AK1160" s="94"/>
      <c r="AL1160" s="94"/>
      <c r="AM1160" s="94"/>
      <c r="AN1160" s="94"/>
      <c r="AO1160" s="94"/>
      <c r="AP1160" s="94"/>
      <c r="AQ1160" s="94"/>
      <c r="AR1160" s="94"/>
      <c r="AS1160" s="94"/>
      <c r="AT1160" s="94"/>
      <c r="AU1160" s="94"/>
      <c r="AV1160" s="94"/>
      <c r="AW1160" s="94"/>
      <c r="AX1160" s="94"/>
      <c r="AY1160" s="94"/>
      <c r="BA1160" s="95"/>
    </row>
    <row r="1161" spans="1:53" s="87" customFormat="1">
      <c r="A1161" s="90" t="str">
        <f t="shared" si="42"/>
        <v/>
      </c>
      <c r="B1161" s="98"/>
      <c r="C1161" s="94"/>
      <c r="D1161" s="94"/>
      <c r="E1161" s="94"/>
      <c r="F1161" s="94"/>
      <c r="G1161" s="94"/>
      <c r="H1161" s="94"/>
      <c r="I1161" s="94"/>
      <c r="J1161" s="94"/>
      <c r="K1161" s="94"/>
      <c r="L1161" s="94"/>
      <c r="M1161" s="94"/>
      <c r="N1161" s="94"/>
      <c r="O1161" s="94"/>
      <c r="P1161" s="94"/>
      <c r="Q1161" s="94"/>
      <c r="R1161" s="94"/>
      <c r="S1161" s="94"/>
      <c r="T1161" s="94"/>
      <c r="U1161" s="94"/>
      <c r="V1161" s="94"/>
      <c r="W1161" s="94"/>
      <c r="X1161" s="94"/>
      <c r="Y1161" s="94"/>
      <c r="Z1161" s="94"/>
      <c r="AA1161" s="94"/>
      <c r="AB1161" s="94"/>
      <c r="AC1161" s="94"/>
      <c r="AD1161" s="94"/>
      <c r="AE1161" s="94"/>
      <c r="AF1161" s="94"/>
      <c r="AG1161" s="94"/>
      <c r="AH1161" s="94"/>
      <c r="AI1161" s="94"/>
      <c r="AJ1161" s="94"/>
      <c r="AK1161" s="94"/>
      <c r="AL1161" s="94"/>
      <c r="AM1161" s="94"/>
      <c r="AN1161" s="94"/>
      <c r="AO1161" s="94"/>
      <c r="AP1161" s="94"/>
      <c r="AQ1161" s="94"/>
      <c r="AR1161" s="94"/>
      <c r="AS1161" s="94"/>
      <c r="AT1161" s="94"/>
      <c r="AU1161" s="94"/>
      <c r="AV1161" s="94"/>
      <c r="AW1161" s="94"/>
      <c r="AX1161" s="94"/>
      <c r="AY1161" s="94"/>
      <c r="BA1161" s="95"/>
    </row>
    <row r="1162" spans="1:53" s="87" customFormat="1">
      <c r="A1162" s="90" t="str">
        <f t="shared" si="42"/>
        <v/>
      </c>
      <c r="B1162" s="98"/>
      <c r="C1162" s="94"/>
      <c r="D1162" s="94"/>
      <c r="E1162" s="94"/>
      <c r="F1162" s="94"/>
      <c r="G1162" s="94"/>
      <c r="H1162" s="94"/>
      <c r="I1162" s="94"/>
      <c r="J1162" s="94"/>
      <c r="K1162" s="94"/>
      <c r="L1162" s="94"/>
      <c r="M1162" s="94"/>
      <c r="N1162" s="94"/>
      <c r="O1162" s="94"/>
      <c r="P1162" s="94"/>
      <c r="Q1162" s="94"/>
      <c r="R1162" s="94"/>
      <c r="S1162" s="94"/>
      <c r="T1162" s="94"/>
      <c r="U1162" s="94"/>
      <c r="V1162" s="94"/>
      <c r="W1162" s="94"/>
      <c r="X1162" s="94"/>
      <c r="Y1162" s="94"/>
      <c r="Z1162" s="94"/>
      <c r="AA1162" s="94"/>
      <c r="AB1162" s="94"/>
      <c r="AC1162" s="94"/>
      <c r="AD1162" s="94"/>
      <c r="AE1162" s="94"/>
      <c r="AF1162" s="94"/>
      <c r="AG1162" s="94"/>
      <c r="AH1162" s="94"/>
      <c r="AI1162" s="94"/>
      <c r="AJ1162" s="94"/>
      <c r="AK1162" s="94"/>
      <c r="AL1162" s="94"/>
      <c r="AM1162" s="94"/>
      <c r="AN1162" s="94"/>
      <c r="AO1162" s="94"/>
      <c r="AP1162" s="94"/>
      <c r="AQ1162" s="94"/>
      <c r="AR1162" s="94"/>
      <c r="AS1162" s="94"/>
      <c r="AT1162" s="94"/>
      <c r="AU1162" s="94"/>
      <c r="AV1162" s="94"/>
      <c r="AW1162" s="94"/>
      <c r="AX1162" s="94"/>
      <c r="AY1162" s="94"/>
      <c r="BA1162" s="95"/>
    </row>
    <row r="1163" spans="1:53" s="87" customFormat="1">
      <c r="A1163" s="90" t="str">
        <f t="shared" si="42"/>
        <v/>
      </c>
      <c r="B1163" s="98"/>
      <c r="C1163" s="94"/>
      <c r="D1163" s="94"/>
      <c r="E1163" s="94"/>
      <c r="F1163" s="94"/>
      <c r="G1163" s="94"/>
      <c r="H1163" s="94"/>
      <c r="I1163" s="94"/>
      <c r="J1163" s="94"/>
      <c r="K1163" s="94"/>
      <c r="L1163" s="94"/>
      <c r="M1163" s="94"/>
      <c r="N1163" s="94"/>
      <c r="O1163" s="94"/>
      <c r="P1163" s="94"/>
      <c r="Q1163" s="94"/>
      <c r="R1163" s="94"/>
      <c r="S1163" s="94"/>
      <c r="T1163" s="94"/>
      <c r="U1163" s="94"/>
      <c r="V1163" s="94"/>
      <c r="W1163" s="94"/>
      <c r="X1163" s="94"/>
      <c r="Y1163" s="94"/>
      <c r="Z1163" s="94"/>
      <c r="AA1163" s="94"/>
      <c r="AB1163" s="94"/>
      <c r="AC1163" s="94"/>
      <c r="AD1163" s="94"/>
      <c r="AE1163" s="94"/>
      <c r="AF1163" s="94"/>
      <c r="AG1163" s="94"/>
      <c r="AH1163" s="94"/>
      <c r="AI1163" s="94"/>
      <c r="AJ1163" s="94"/>
      <c r="AK1163" s="94"/>
      <c r="AL1163" s="94"/>
      <c r="AM1163" s="94"/>
      <c r="AN1163" s="94"/>
      <c r="AO1163" s="94"/>
      <c r="AP1163" s="94"/>
      <c r="AQ1163" s="94"/>
      <c r="AR1163" s="94"/>
      <c r="AS1163" s="94"/>
      <c r="AT1163" s="94"/>
      <c r="AU1163" s="94"/>
      <c r="AV1163" s="94"/>
      <c r="AW1163" s="94"/>
      <c r="AX1163" s="94"/>
      <c r="AY1163" s="94"/>
      <c r="BA1163" s="95"/>
    </row>
    <row r="1164" spans="1:53" s="87" customFormat="1">
      <c r="A1164" s="90" t="str">
        <f t="shared" ref="A1164:A1200" si="43">IF(MID(B1164,3,2)="07",ROW(),"")</f>
        <v/>
      </c>
      <c r="B1164" s="98"/>
      <c r="C1164" s="94"/>
      <c r="D1164" s="94"/>
      <c r="E1164" s="94"/>
      <c r="F1164" s="94"/>
      <c r="G1164" s="94"/>
      <c r="H1164" s="94"/>
      <c r="I1164" s="94"/>
      <c r="J1164" s="94"/>
      <c r="K1164" s="94"/>
      <c r="L1164" s="94"/>
      <c r="M1164" s="94"/>
      <c r="N1164" s="94"/>
      <c r="O1164" s="94"/>
      <c r="P1164" s="94"/>
      <c r="Q1164" s="94"/>
      <c r="R1164" s="94"/>
      <c r="S1164" s="94"/>
      <c r="T1164" s="94"/>
      <c r="U1164" s="94"/>
      <c r="V1164" s="94"/>
      <c r="W1164" s="94"/>
      <c r="X1164" s="94"/>
      <c r="Y1164" s="94"/>
      <c r="Z1164" s="94"/>
      <c r="AA1164" s="94"/>
      <c r="AB1164" s="94"/>
      <c r="AC1164" s="94"/>
      <c r="AD1164" s="94"/>
      <c r="AE1164" s="94"/>
      <c r="AF1164" s="94"/>
      <c r="AG1164" s="94"/>
      <c r="AH1164" s="94"/>
      <c r="AI1164" s="94"/>
      <c r="AJ1164" s="94"/>
      <c r="AK1164" s="94"/>
      <c r="AL1164" s="94"/>
      <c r="AM1164" s="94"/>
      <c r="AN1164" s="94"/>
      <c r="AO1164" s="94"/>
      <c r="AP1164" s="94"/>
      <c r="AQ1164" s="94"/>
      <c r="AR1164" s="94"/>
      <c r="AS1164" s="94"/>
      <c r="AT1164" s="94"/>
      <c r="AU1164" s="94"/>
      <c r="AV1164" s="94"/>
      <c r="AW1164" s="94"/>
      <c r="AX1164" s="94"/>
      <c r="AY1164" s="94"/>
      <c r="BA1164" s="95"/>
    </row>
    <row r="1165" spans="1:53" s="87" customFormat="1">
      <c r="A1165" s="90" t="str">
        <f t="shared" si="43"/>
        <v/>
      </c>
      <c r="B1165" s="98"/>
      <c r="C1165" s="94"/>
      <c r="D1165" s="94"/>
      <c r="E1165" s="94"/>
      <c r="F1165" s="94"/>
      <c r="G1165" s="94"/>
      <c r="H1165" s="94"/>
      <c r="I1165" s="94"/>
      <c r="J1165" s="94"/>
      <c r="K1165" s="94"/>
      <c r="L1165" s="94"/>
      <c r="M1165" s="94"/>
      <c r="N1165" s="94"/>
      <c r="O1165" s="94"/>
      <c r="P1165" s="94"/>
      <c r="Q1165" s="94"/>
      <c r="R1165" s="94"/>
      <c r="S1165" s="94"/>
      <c r="T1165" s="94"/>
      <c r="U1165" s="94"/>
      <c r="V1165" s="94"/>
      <c r="W1165" s="94"/>
      <c r="X1165" s="94"/>
      <c r="Y1165" s="94"/>
      <c r="Z1165" s="94"/>
      <c r="AA1165" s="94"/>
      <c r="AB1165" s="94"/>
      <c r="AC1165" s="94"/>
      <c r="AD1165" s="94"/>
      <c r="AE1165" s="94"/>
      <c r="AF1165" s="94"/>
      <c r="AG1165" s="94"/>
      <c r="AH1165" s="94"/>
      <c r="AI1165" s="94"/>
      <c r="AJ1165" s="94"/>
      <c r="AK1165" s="94"/>
      <c r="AL1165" s="94"/>
      <c r="AM1165" s="94"/>
      <c r="AN1165" s="94"/>
      <c r="AO1165" s="94"/>
      <c r="AP1165" s="94"/>
      <c r="AQ1165" s="94"/>
      <c r="AR1165" s="94"/>
      <c r="AS1165" s="94"/>
      <c r="AT1165" s="94"/>
      <c r="AU1165" s="94"/>
      <c r="AV1165" s="94"/>
      <c r="AW1165" s="94"/>
      <c r="AX1165" s="94"/>
      <c r="AY1165" s="94"/>
      <c r="BA1165" s="95"/>
    </row>
    <row r="1166" spans="1:53" s="87" customFormat="1">
      <c r="A1166" s="90" t="str">
        <f t="shared" si="43"/>
        <v/>
      </c>
      <c r="B1166" s="98"/>
      <c r="C1166" s="94"/>
      <c r="D1166" s="94"/>
      <c r="E1166" s="94"/>
      <c r="F1166" s="94"/>
      <c r="G1166" s="94"/>
      <c r="H1166" s="94"/>
      <c r="I1166" s="94"/>
      <c r="J1166" s="94"/>
      <c r="K1166" s="94"/>
      <c r="L1166" s="94"/>
      <c r="M1166" s="94"/>
      <c r="N1166" s="94"/>
      <c r="O1166" s="94"/>
      <c r="P1166" s="94"/>
      <c r="Q1166" s="94"/>
      <c r="R1166" s="94"/>
      <c r="S1166" s="94"/>
      <c r="T1166" s="94"/>
      <c r="U1166" s="94"/>
      <c r="V1166" s="94"/>
      <c r="W1166" s="94"/>
      <c r="X1166" s="94"/>
      <c r="Y1166" s="94"/>
      <c r="Z1166" s="94"/>
      <c r="AA1166" s="94"/>
      <c r="AB1166" s="94"/>
      <c r="AC1166" s="94"/>
      <c r="AD1166" s="94"/>
      <c r="AE1166" s="94"/>
      <c r="AF1166" s="94"/>
      <c r="AG1166" s="94"/>
      <c r="AH1166" s="94"/>
      <c r="AI1166" s="94"/>
      <c r="AJ1166" s="94"/>
      <c r="AK1166" s="94"/>
      <c r="AL1166" s="94"/>
      <c r="AM1166" s="94"/>
      <c r="AN1166" s="94"/>
      <c r="AO1166" s="94"/>
      <c r="AP1166" s="94"/>
      <c r="AQ1166" s="94"/>
      <c r="AR1166" s="94"/>
      <c r="AS1166" s="94"/>
      <c r="AT1166" s="94"/>
      <c r="AU1166" s="94"/>
      <c r="AV1166" s="94"/>
      <c r="AW1166" s="94"/>
      <c r="AX1166" s="94"/>
      <c r="AY1166" s="94"/>
      <c r="BA1166" s="95"/>
    </row>
    <row r="1167" spans="1:53" s="87" customFormat="1">
      <c r="A1167" s="90" t="str">
        <f t="shared" si="43"/>
        <v/>
      </c>
      <c r="B1167" s="98"/>
      <c r="C1167" s="94"/>
      <c r="D1167" s="94"/>
      <c r="E1167" s="94"/>
      <c r="F1167" s="94"/>
      <c r="G1167" s="94"/>
      <c r="H1167" s="94"/>
      <c r="I1167" s="94"/>
      <c r="J1167" s="94"/>
      <c r="K1167" s="94"/>
      <c r="L1167" s="94"/>
      <c r="M1167" s="94"/>
      <c r="N1167" s="94"/>
      <c r="O1167" s="94"/>
      <c r="P1167" s="94"/>
      <c r="Q1167" s="94"/>
      <c r="R1167" s="94"/>
      <c r="S1167" s="94"/>
      <c r="T1167" s="94"/>
      <c r="U1167" s="94"/>
      <c r="V1167" s="94"/>
      <c r="W1167" s="94"/>
      <c r="X1167" s="94"/>
      <c r="Y1167" s="94"/>
      <c r="Z1167" s="94"/>
      <c r="AA1167" s="94"/>
      <c r="AB1167" s="94"/>
      <c r="AC1167" s="94"/>
      <c r="AD1167" s="94"/>
      <c r="AE1167" s="94"/>
      <c r="AF1167" s="94"/>
      <c r="AG1167" s="94"/>
      <c r="AH1167" s="94"/>
      <c r="AI1167" s="94"/>
      <c r="AJ1167" s="94"/>
      <c r="AK1167" s="94"/>
      <c r="AL1167" s="94"/>
      <c r="AM1167" s="94"/>
      <c r="AN1167" s="94"/>
      <c r="AO1167" s="94"/>
      <c r="AP1167" s="94"/>
      <c r="AQ1167" s="94"/>
      <c r="AR1167" s="94"/>
      <c r="AS1167" s="94"/>
      <c r="AT1167" s="94"/>
      <c r="AU1167" s="94"/>
      <c r="AV1167" s="94"/>
      <c r="AW1167" s="94"/>
      <c r="AX1167" s="94"/>
      <c r="AY1167" s="94"/>
      <c r="BA1167" s="95"/>
    </row>
    <row r="1168" spans="1:53" s="87" customFormat="1">
      <c r="A1168" s="90" t="str">
        <f t="shared" si="43"/>
        <v/>
      </c>
      <c r="B1168" s="98"/>
      <c r="C1168" s="94"/>
      <c r="D1168" s="94"/>
      <c r="E1168" s="94"/>
      <c r="F1168" s="94"/>
      <c r="G1168" s="94"/>
      <c r="H1168" s="94"/>
      <c r="I1168" s="94"/>
      <c r="J1168" s="94"/>
      <c r="K1168" s="94"/>
      <c r="L1168" s="94"/>
      <c r="M1168" s="94"/>
      <c r="N1168" s="94"/>
      <c r="O1168" s="94"/>
      <c r="P1168" s="94"/>
      <c r="Q1168" s="94"/>
      <c r="R1168" s="94"/>
      <c r="S1168" s="94"/>
      <c r="T1168" s="94"/>
      <c r="U1168" s="94"/>
      <c r="V1168" s="94"/>
      <c r="W1168" s="94"/>
      <c r="X1168" s="94"/>
      <c r="Y1168" s="94"/>
      <c r="Z1168" s="94"/>
      <c r="AA1168" s="94"/>
      <c r="AB1168" s="94"/>
      <c r="AC1168" s="94"/>
      <c r="AD1168" s="94"/>
      <c r="AE1168" s="94"/>
      <c r="AF1168" s="94"/>
      <c r="AG1168" s="94"/>
      <c r="AH1168" s="94"/>
      <c r="AI1168" s="94"/>
      <c r="AJ1168" s="94"/>
      <c r="AK1168" s="94"/>
      <c r="AL1168" s="94"/>
      <c r="AM1168" s="94"/>
      <c r="AN1168" s="94"/>
      <c r="AO1168" s="94"/>
      <c r="AP1168" s="94"/>
      <c r="AQ1168" s="94"/>
      <c r="AR1168" s="94"/>
      <c r="AS1168" s="94"/>
      <c r="AT1168" s="94"/>
      <c r="AU1168" s="94"/>
      <c r="AV1168" s="94"/>
      <c r="AW1168" s="94"/>
      <c r="AX1168" s="94"/>
      <c r="AY1168" s="94"/>
      <c r="BA1168" s="95"/>
    </row>
    <row r="1169" spans="1:53" s="87" customFormat="1">
      <c r="A1169" s="90" t="str">
        <f t="shared" si="43"/>
        <v/>
      </c>
      <c r="B1169" s="98"/>
      <c r="C1169" s="94"/>
      <c r="D1169" s="94"/>
      <c r="E1169" s="94"/>
      <c r="F1169" s="94"/>
      <c r="G1169" s="94"/>
      <c r="H1169" s="94"/>
      <c r="I1169" s="94"/>
      <c r="J1169" s="94"/>
      <c r="K1169" s="94"/>
      <c r="L1169" s="94"/>
      <c r="M1169" s="94"/>
      <c r="N1169" s="94"/>
      <c r="O1169" s="94"/>
      <c r="P1169" s="94"/>
      <c r="Q1169" s="94"/>
      <c r="R1169" s="94"/>
      <c r="S1169" s="94"/>
      <c r="T1169" s="94"/>
      <c r="U1169" s="94"/>
      <c r="V1169" s="94"/>
      <c r="W1169" s="94"/>
      <c r="X1169" s="94"/>
      <c r="Y1169" s="94"/>
      <c r="Z1169" s="94"/>
      <c r="AA1169" s="94"/>
      <c r="AB1169" s="94"/>
      <c r="AC1169" s="94"/>
      <c r="AD1169" s="94"/>
      <c r="AE1169" s="94"/>
      <c r="AF1169" s="94"/>
      <c r="AG1169" s="94"/>
      <c r="AH1169" s="94"/>
      <c r="AI1169" s="94"/>
      <c r="AJ1169" s="94"/>
      <c r="AK1169" s="94"/>
      <c r="AL1169" s="94"/>
      <c r="AM1169" s="94"/>
      <c r="AN1169" s="94"/>
      <c r="AO1169" s="94"/>
      <c r="AP1169" s="94"/>
      <c r="AQ1169" s="94"/>
      <c r="AR1169" s="94"/>
      <c r="AS1169" s="94"/>
      <c r="AT1169" s="94"/>
      <c r="AU1169" s="94"/>
      <c r="AV1169" s="94"/>
      <c r="AW1169" s="94"/>
      <c r="AX1169" s="94"/>
      <c r="AY1169" s="94"/>
      <c r="BA1169" s="95"/>
    </row>
    <row r="1170" spans="1:53" s="87" customFormat="1">
      <c r="A1170" s="90" t="str">
        <f t="shared" si="43"/>
        <v/>
      </c>
      <c r="B1170" s="98"/>
      <c r="C1170" s="94"/>
      <c r="D1170" s="94"/>
      <c r="E1170" s="94"/>
      <c r="F1170" s="94"/>
      <c r="G1170" s="94"/>
      <c r="H1170" s="94"/>
      <c r="I1170" s="94"/>
      <c r="J1170" s="94"/>
      <c r="K1170" s="94"/>
      <c r="L1170" s="94"/>
      <c r="M1170" s="94"/>
      <c r="N1170" s="94"/>
      <c r="O1170" s="94"/>
      <c r="P1170" s="94"/>
      <c r="Q1170" s="94"/>
      <c r="R1170" s="94"/>
      <c r="S1170" s="94"/>
      <c r="T1170" s="94"/>
      <c r="U1170" s="94"/>
      <c r="V1170" s="94"/>
      <c r="W1170" s="94"/>
      <c r="X1170" s="94"/>
      <c r="Y1170" s="94"/>
      <c r="Z1170" s="94"/>
      <c r="AA1170" s="94"/>
      <c r="AB1170" s="94"/>
      <c r="AC1170" s="94"/>
      <c r="AD1170" s="94"/>
      <c r="AE1170" s="94"/>
      <c r="AF1170" s="94"/>
      <c r="AG1170" s="94"/>
      <c r="AH1170" s="94"/>
      <c r="AI1170" s="94"/>
      <c r="AJ1170" s="94"/>
      <c r="AK1170" s="94"/>
      <c r="AL1170" s="94"/>
      <c r="AM1170" s="94"/>
      <c r="AN1170" s="94"/>
      <c r="AO1170" s="94"/>
      <c r="AP1170" s="94"/>
      <c r="AQ1170" s="94"/>
      <c r="AR1170" s="94"/>
      <c r="AS1170" s="94"/>
      <c r="AT1170" s="94"/>
      <c r="AU1170" s="94"/>
      <c r="AV1170" s="94"/>
      <c r="AW1170" s="94"/>
      <c r="AX1170" s="94"/>
      <c r="AY1170" s="94"/>
      <c r="BA1170" s="95"/>
    </row>
    <row r="1171" spans="1:53" s="87" customFormat="1">
      <c r="A1171" s="90" t="str">
        <f t="shared" si="43"/>
        <v/>
      </c>
      <c r="B1171" s="98"/>
      <c r="C1171" s="94"/>
      <c r="D1171" s="94"/>
      <c r="E1171" s="94"/>
      <c r="F1171" s="94"/>
      <c r="G1171" s="94"/>
      <c r="H1171" s="94"/>
      <c r="I1171" s="94"/>
      <c r="J1171" s="94"/>
      <c r="K1171" s="94"/>
      <c r="L1171" s="94"/>
      <c r="M1171" s="94"/>
      <c r="N1171" s="94"/>
      <c r="O1171" s="94"/>
      <c r="P1171" s="94"/>
      <c r="Q1171" s="94"/>
      <c r="R1171" s="94"/>
      <c r="S1171" s="94"/>
      <c r="T1171" s="94"/>
      <c r="U1171" s="94"/>
      <c r="V1171" s="94"/>
      <c r="W1171" s="94"/>
      <c r="X1171" s="94"/>
      <c r="Y1171" s="94"/>
      <c r="Z1171" s="94"/>
      <c r="AA1171" s="94"/>
      <c r="AB1171" s="94"/>
      <c r="AC1171" s="94"/>
      <c r="AD1171" s="94"/>
      <c r="AE1171" s="94"/>
      <c r="AF1171" s="94"/>
      <c r="AG1171" s="94"/>
      <c r="AH1171" s="94"/>
      <c r="AI1171" s="94"/>
      <c r="AJ1171" s="94"/>
      <c r="AK1171" s="94"/>
      <c r="AL1171" s="94"/>
      <c r="AM1171" s="94"/>
      <c r="AN1171" s="94"/>
      <c r="AO1171" s="94"/>
      <c r="AP1171" s="94"/>
      <c r="AQ1171" s="94"/>
      <c r="AR1171" s="94"/>
      <c r="AS1171" s="94"/>
      <c r="AT1171" s="94"/>
      <c r="AU1171" s="94"/>
      <c r="AV1171" s="94"/>
      <c r="AW1171" s="94"/>
      <c r="AX1171" s="94"/>
      <c r="AY1171" s="94"/>
      <c r="BA1171" s="95"/>
    </row>
    <row r="1172" spans="1:53" s="87" customFormat="1">
      <c r="A1172" s="90" t="str">
        <f t="shared" si="43"/>
        <v/>
      </c>
      <c r="B1172" s="98"/>
      <c r="C1172" s="94"/>
      <c r="D1172" s="94"/>
      <c r="E1172" s="94"/>
      <c r="F1172" s="94"/>
      <c r="G1172" s="94"/>
      <c r="H1172" s="94"/>
      <c r="I1172" s="94"/>
      <c r="J1172" s="94"/>
      <c r="K1172" s="94"/>
      <c r="L1172" s="94"/>
      <c r="M1172" s="94"/>
      <c r="N1172" s="94"/>
      <c r="O1172" s="94"/>
      <c r="P1172" s="94"/>
      <c r="Q1172" s="94"/>
      <c r="R1172" s="94"/>
      <c r="S1172" s="94"/>
      <c r="T1172" s="94"/>
      <c r="U1172" s="94"/>
      <c r="V1172" s="94"/>
      <c r="W1172" s="94"/>
      <c r="X1172" s="94"/>
      <c r="Y1172" s="94"/>
      <c r="Z1172" s="94"/>
      <c r="AA1172" s="94"/>
      <c r="AB1172" s="94"/>
      <c r="AC1172" s="94"/>
      <c r="AD1172" s="94"/>
      <c r="AE1172" s="94"/>
      <c r="AF1172" s="94"/>
      <c r="AG1172" s="94"/>
      <c r="AH1172" s="94"/>
      <c r="AI1172" s="94"/>
      <c r="AJ1172" s="94"/>
      <c r="AK1172" s="94"/>
      <c r="AL1172" s="94"/>
      <c r="AM1172" s="94"/>
      <c r="AN1172" s="94"/>
      <c r="AO1172" s="94"/>
      <c r="AP1172" s="94"/>
      <c r="AQ1172" s="94"/>
      <c r="AR1172" s="94"/>
      <c r="AS1172" s="94"/>
      <c r="AT1172" s="94"/>
      <c r="AU1172" s="94"/>
      <c r="AV1172" s="94"/>
      <c r="AW1172" s="94"/>
      <c r="AX1172" s="94"/>
      <c r="AY1172" s="94"/>
      <c r="BA1172" s="95"/>
    </row>
    <row r="1173" spans="1:53" s="87" customFormat="1">
      <c r="A1173" s="90" t="str">
        <f t="shared" si="43"/>
        <v/>
      </c>
      <c r="B1173" s="98"/>
      <c r="C1173" s="94"/>
      <c r="D1173" s="94"/>
      <c r="E1173" s="94"/>
      <c r="F1173" s="94"/>
      <c r="G1173" s="94"/>
      <c r="H1173" s="94"/>
      <c r="I1173" s="94"/>
      <c r="J1173" s="94"/>
      <c r="K1173" s="94"/>
      <c r="L1173" s="94"/>
      <c r="M1173" s="94"/>
      <c r="N1173" s="94"/>
      <c r="O1173" s="94"/>
      <c r="P1173" s="94"/>
      <c r="Q1173" s="94"/>
      <c r="R1173" s="94"/>
      <c r="S1173" s="94"/>
      <c r="T1173" s="94"/>
      <c r="U1173" s="94"/>
      <c r="V1173" s="94"/>
      <c r="W1173" s="94"/>
      <c r="X1173" s="94"/>
      <c r="Y1173" s="94"/>
      <c r="Z1173" s="94"/>
      <c r="AA1173" s="94"/>
      <c r="AB1173" s="94"/>
      <c r="AC1173" s="94"/>
      <c r="AD1173" s="94"/>
      <c r="AE1173" s="94"/>
      <c r="AF1173" s="94"/>
      <c r="AG1173" s="94"/>
      <c r="AH1173" s="94"/>
      <c r="AI1173" s="94"/>
      <c r="AJ1173" s="94"/>
      <c r="AK1173" s="94"/>
      <c r="AL1173" s="94"/>
      <c r="AM1173" s="94"/>
      <c r="AN1173" s="94"/>
      <c r="AO1173" s="94"/>
      <c r="AP1173" s="94"/>
      <c r="AQ1173" s="94"/>
      <c r="AR1173" s="94"/>
      <c r="AS1173" s="94"/>
      <c r="AT1173" s="94"/>
      <c r="AU1173" s="94"/>
      <c r="AV1173" s="94"/>
      <c r="AW1173" s="94"/>
      <c r="AX1173" s="94"/>
      <c r="AY1173" s="94"/>
      <c r="BA1173" s="95"/>
    </row>
    <row r="1174" spans="1:53" s="87" customFormat="1">
      <c r="A1174" s="90" t="str">
        <f t="shared" si="43"/>
        <v/>
      </c>
      <c r="B1174" s="98"/>
      <c r="C1174" s="94"/>
      <c r="D1174" s="94"/>
      <c r="E1174" s="94"/>
      <c r="F1174" s="94"/>
      <c r="G1174" s="94"/>
      <c r="H1174" s="94"/>
      <c r="I1174" s="94"/>
      <c r="J1174" s="94"/>
      <c r="K1174" s="94"/>
      <c r="L1174" s="94"/>
      <c r="M1174" s="94"/>
      <c r="N1174" s="94"/>
      <c r="O1174" s="94"/>
      <c r="P1174" s="94"/>
      <c r="Q1174" s="94"/>
      <c r="R1174" s="94"/>
      <c r="S1174" s="94"/>
      <c r="T1174" s="94"/>
      <c r="U1174" s="94"/>
      <c r="V1174" s="94"/>
      <c r="W1174" s="94"/>
      <c r="X1174" s="94"/>
      <c r="Y1174" s="94"/>
      <c r="Z1174" s="94"/>
      <c r="AA1174" s="94"/>
      <c r="AB1174" s="94"/>
      <c r="AC1174" s="94"/>
      <c r="AD1174" s="94"/>
      <c r="AE1174" s="94"/>
      <c r="AF1174" s="94"/>
      <c r="AG1174" s="94"/>
      <c r="AH1174" s="94"/>
      <c r="AI1174" s="94"/>
      <c r="AJ1174" s="94"/>
      <c r="AK1174" s="94"/>
      <c r="AL1174" s="94"/>
      <c r="AM1174" s="94"/>
      <c r="AN1174" s="94"/>
      <c r="AO1174" s="94"/>
      <c r="AP1174" s="94"/>
      <c r="AQ1174" s="94"/>
      <c r="AR1174" s="94"/>
      <c r="AS1174" s="94"/>
      <c r="AT1174" s="94"/>
      <c r="AU1174" s="94"/>
      <c r="AV1174" s="94"/>
      <c r="AW1174" s="94"/>
      <c r="AX1174" s="94"/>
      <c r="AY1174" s="94"/>
      <c r="BA1174" s="95"/>
    </row>
    <row r="1175" spans="1:53" s="87" customFormat="1">
      <c r="A1175" s="90" t="str">
        <f t="shared" si="43"/>
        <v/>
      </c>
      <c r="B1175" s="98"/>
      <c r="C1175" s="94"/>
      <c r="D1175" s="94"/>
      <c r="E1175" s="94"/>
      <c r="F1175" s="94"/>
      <c r="G1175" s="94"/>
      <c r="H1175" s="94"/>
      <c r="I1175" s="94"/>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BA1175" s="95"/>
    </row>
    <row r="1176" spans="1:53" s="87" customFormat="1">
      <c r="A1176" s="90" t="str">
        <f t="shared" si="43"/>
        <v/>
      </c>
      <c r="B1176" s="98"/>
      <c r="C1176" s="94"/>
      <c r="D1176" s="94"/>
      <c r="E1176" s="94"/>
      <c r="F1176" s="94"/>
      <c r="G1176" s="94"/>
      <c r="H1176" s="94"/>
      <c r="I1176" s="94"/>
      <c r="J1176" s="94"/>
      <c r="K1176" s="94"/>
      <c r="L1176" s="94"/>
      <c r="M1176" s="94"/>
      <c r="N1176" s="94"/>
      <c r="O1176" s="94"/>
      <c r="P1176" s="94"/>
      <c r="Q1176" s="94"/>
      <c r="R1176" s="94"/>
      <c r="S1176" s="94"/>
      <c r="T1176" s="94"/>
      <c r="U1176" s="94"/>
      <c r="V1176" s="94"/>
      <c r="W1176" s="94"/>
      <c r="X1176" s="94"/>
      <c r="Y1176" s="94"/>
      <c r="Z1176" s="94"/>
      <c r="AA1176" s="94"/>
      <c r="AB1176" s="94"/>
      <c r="AC1176" s="94"/>
      <c r="AD1176" s="94"/>
      <c r="AE1176" s="94"/>
      <c r="AF1176" s="94"/>
      <c r="AG1176" s="94"/>
      <c r="AH1176" s="94"/>
      <c r="AI1176" s="94"/>
      <c r="AJ1176" s="94"/>
      <c r="AK1176" s="94"/>
      <c r="AL1176" s="94"/>
      <c r="AM1176" s="94"/>
      <c r="AN1176" s="94"/>
      <c r="AO1176" s="94"/>
      <c r="AP1176" s="94"/>
      <c r="AQ1176" s="94"/>
      <c r="AR1176" s="94"/>
      <c r="AS1176" s="94"/>
      <c r="AT1176" s="94"/>
      <c r="AU1176" s="94"/>
      <c r="AV1176" s="94"/>
      <c r="AW1176" s="94"/>
      <c r="AX1176" s="94"/>
      <c r="AY1176" s="94"/>
      <c r="BA1176" s="95"/>
    </row>
    <row r="1177" spans="1:53" s="87" customFormat="1">
      <c r="A1177" s="90" t="str">
        <f t="shared" si="43"/>
        <v/>
      </c>
      <c r="B1177" s="98"/>
      <c r="C1177" s="94"/>
      <c r="D1177" s="94"/>
      <c r="E1177" s="94"/>
      <c r="F1177" s="94"/>
      <c r="G1177" s="94"/>
      <c r="H1177" s="94"/>
      <c r="I1177" s="94"/>
      <c r="J1177" s="94"/>
      <c r="K1177" s="94"/>
      <c r="L1177" s="94"/>
      <c r="M1177" s="94"/>
      <c r="N1177" s="94"/>
      <c r="O1177" s="94"/>
      <c r="P1177" s="94"/>
      <c r="Q1177" s="94"/>
      <c r="R1177" s="94"/>
      <c r="S1177" s="94"/>
      <c r="T1177" s="94"/>
      <c r="U1177" s="94"/>
      <c r="V1177" s="94"/>
      <c r="W1177" s="94"/>
      <c r="X1177" s="94"/>
      <c r="Y1177" s="94"/>
      <c r="Z1177" s="94"/>
      <c r="AA1177" s="94"/>
      <c r="AB1177" s="94"/>
      <c r="AC1177" s="94"/>
      <c r="AD1177" s="94"/>
      <c r="AE1177" s="94"/>
      <c r="AF1177" s="94"/>
      <c r="AG1177" s="94"/>
      <c r="AH1177" s="94"/>
      <c r="AI1177" s="94"/>
      <c r="AJ1177" s="94"/>
      <c r="AK1177" s="94"/>
      <c r="AL1177" s="94"/>
      <c r="AM1177" s="94"/>
      <c r="AN1177" s="94"/>
      <c r="AO1177" s="94"/>
      <c r="AP1177" s="94"/>
      <c r="AQ1177" s="94"/>
      <c r="AR1177" s="94"/>
      <c r="AS1177" s="94"/>
      <c r="AT1177" s="94"/>
      <c r="AU1177" s="94"/>
      <c r="AV1177" s="94"/>
      <c r="AW1177" s="94"/>
      <c r="AX1177" s="94"/>
      <c r="AY1177" s="94"/>
      <c r="BA1177" s="95"/>
    </row>
    <row r="1178" spans="1:53" s="87" customFormat="1">
      <c r="A1178" s="90" t="str">
        <f t="shared" si="43"/>
        <v/>
      </c>
      <c r="B1178" s="98"/>
      <c r="C1178" s="94"/>
      <c r="D1178" s="94"/>
      <c r="E1178" s="94"/>
      <c r="F1178" s="94"/>
      <c r="G1178" s="94"/>
      <c r="H1178" s="94"/>
      <c r="I1178" s="94"/>
      <c r="J1178" s="94"/>
      <c r="K1178" s="94"/>
      <c r="L1178" s="94"/>
      <c r="M1178" s="94"/>
      <c r="N1178" s="94"/>
      <c r="O1178" s="94"/>
      <c r="P1178" s="94"/>
      <c r="Q1178" s="94"/>
      <c r="R1178" s="94"/>
      <c r="S1178" s="94"/>
      <c r="T1178" s="94"/>
      <c r="U1178" s="94"/>
      <c r="V1178" s="94"/>
      <c r="W1178" s="94"/>
      <c r="X1178" s="94"/>
      <c r="Y1178" s="94"/>
      <c r="Z1178" s="94"/>
      <c r="AA1178" s="94"/>
      <c r="AB1178" s="94"/>
      <c r="AC1178" s="94"/>
      <c r="AD1178" s="94"/>
      <c r="AE1178" s="94"/>
      <c r="AF1178" s="94"/>
      <c r="AG1178" s="94"/>
      <c r="AH1178" s="94"/>
      <c r="AI1178" s="94"/>
      <c r="AJ1178" s="94"/>
      <c r="AK1178" s="94"/>
      <c r="AL1178" s="94"/>
      <c r="AM1178" s="94"/>
      <c r="AN1178" s="94"/>
      <c r="AO1178" s="94"/>
      <c r="AP1178" s="94"/>
      <c r="AQ1178" s="94"/>
      <c r="AR1178" s="94"/>
      <c r="AS1178" s="94"/>
      <c r="AT1178" s="94"/>
      <c r="AU1178" s="94"/>
      <c r="AV1178" s="94"/>
      <c r="AW1178" s="94"/>
      <c r="AX1178" s="94"/>
      <c r="AY1178" s="94"/>
      <c r="BA1178" s="95"/>
    </row>
    <row r="1179" spans="1:53" s="87" customFormat="1">
      <c r="A1179" s="90" t="str">
        <f t="shared" si="43"/>
        <v/>
      </c>
      <c r="B1179" s="98"/>
      <c r="C1179" s="94"/>
      <c r="D1179" s="94"/>
      <c r="E1179" s="94"/>
      <c r="F1179" s="94"/>
      <c r="G1179" s="94"/>
      <c r="H1179" s="94"/>
      <c r="I1179" s="94"/>
      <c r="J1179" s="94"/>
      <c r="K1179" s="94"/>
      <c r="L1179" s="94"/>
      <c r="M1179" s="94"/>
      <c r="N1179" s="94"/>
      <c r="O1179" s="94"/>
      <c r="P1179" s="94"/>
      <c r="Q1179" s="94"/>
      <c r="R1179" s="94"/>
      <c r="S1179" s="94"/>
      <c r="T1179" s="94"/>
      <c r="U1179" s="94"/>
      <c r="V1179" s="94"/>
      <c r="W1179" s="94"/>
      <c r="X1179" s="94"/>
      <c r="Y1179" s="94"/>
      <c r="Z1179" s="94"/>
      <c r="AA1179" s="94"/>
      <c r="AB1179" s="94"/>
      <c r="AC1179" s="94"/>
      <c r="AD1179" s="94"/>
      <c r="AE1179" s="94"/>
      <c r="AF1179" s="94"/>
      <c r="AG1179" s="94"/>
      <c r="AH1179" s="94"/>
      <c r="AI1179" s="94"/>
      <c r="AJ1179" s="94"/>
      <c r="AK1179" s="94"/>
      <c r="AL1179" s="94"/>
      <c r="AM1179" s="94"/>
      <c r="AN1179" s="94"/>
      <c r="AO1179" s="94"/>
      <c r="AP1179" s="94"/>
      <c r="AQ1179" s="94"/>
      <c r="AR1179" s="94"/>
      <c r="AS1179" s="94"/>
      <c r="AT1179" s="94"/>
      <c r="AU1179" s="94"/>
      <c r="AV1179" s="94"/>
      <c r="AW1179" s="94"/>
      <c r="AX1179" s="94"/>
      <c r="AY1179" s="94"/>
      <c r="BA1179" s="95"/>
    </row>
    <row r="1180" spans="1:53" s="87" customFormat="1">
      <c r="A1180" s="90" t="str">
        <f t="shared" si="43"/>
        <v/>
      </c>
      <c r="B1180" s="98"/>
      <c r="C1180" s="94"/>
      <c r="D1180" s="94"/>
      <c r="E1180" s="94"/>
      <c r="F1180" s="94"/>
      <c r="G1180" s="94"/>
      <c r="H1180" s="94"/>
      <c r="I1180" s="94"/>
      <c r="J1180" s="94"/>
      <c r="K1180" s="94"/>
      <c r="L1180" s="94"/>
      <c r="M1180" s="94"/>
      <c r="N1180" s="94"/>
      <c r="O1180" s="94"/>
      <c r="P1180" s="94"/>
      <c r="Q1180" s="94"/>
      <c r="R1180" s="94"/>
      <c r="S1180" s="94"/>
      <c r="T1180" s="94"/>
      <c r="U1180" s="94"/>
      <c r="V1180" s="94"/>
      <c r="W1180" s="94"/>
      <c r="X1180" s="94"/>
      <c r="Y1180" s="94"/>
      <c r="Z1180" s="94"/>
      <c r="AA1180" s="94"/>
      <c r="AB1180" s="94"/>
      <c r="AC1180" s="94"/>
      <c r="AD1180" s="94"/>
      <c r="AE1180" s="94"/>
      <c r="AF1180" s="94"/>
      <c r="AG1180" s="94"/>
      <c r="AH1180" s="94"/>
      <c r="AI1180" s="94"/>
      <c r="AJ1180" s="94"/>
      <c r="AK1180" s="94"/>
      <c r="AL1180" s="94"/>
      <c r="AM1180" s="94"/>
      <c r="AN1180" s="94"/>
      <c r="AO1180" s="94"/>
      <c r="AP1180" s="94"/>
      <c r="AQ1180" s="94"/>
      <c r="AR1180" s="94"/>
      <c r="AS1180" s="94"/>
      <c r="AT1180" s="94"/>
      <c r="AU1180" s="94"/>
      <c r="AV1180" s="94"/>
      <c r="AW1180" s="94"/>
      <c r="AX1180" s="94"/>
      <c r="AY1180" s="94"/>
      <c r="BA1180" s="95"/>
    </row>
    <row r="1181" spans="1:53" s="87" customFormat="1">
      <c r="A1181" s="90" t="str">
        <f t="shared" si="43"/>
        <v/>
      </c>
      <c r="B1181" s="98"/>
      <c r="C1181" s="94"/>
      <c r="D1181" s="94"/>
      <c r="E1181" s="94"/>
      <c r="F1181" s="94"/>
      <c r="G1181" s="94"/>
      <c r="H1181" s="94"/>
      <c r="I1181" s="94"/>
      <c r="J1181" s="94"/>
      <c r="K1181" s="94"/>
      <c r="L1181" s="94"/>
      <c r="M1181" s="94"/>
      <c r="N1181" s="94"/>
      <c r="O1181" s="94"/>
      <c r="P1181" s="94"/>
      <c r="Q1181" s="94"/>
      <c r="R1181" s="94"/>
      <c r="S1181" s="94"/>
      <c r="T1181" s="94"/>
      <c r="U1181" s="94"/>
      <c r="V1181" s="94"/>
      <c r="W1181" s="94"/>
      <c r="X1181" s="94"/>
      <c r="Y1181" s="94"/>
      <c r="Z1181" s="94"/>
      <c r="AA1181" s="94"/>
      <c r="AB1181" s="94"/>
      <c r="AC1181" s="94"/>
      <c r="AD1181" s="94"/>
      <c r="AE1181" s="94"/>
      <c r="AF1181" s="94"/>
      <c r="AG1181" s="94"/>
      <c r="AH1181" s="94"/>
      <c r="AI1181" s="94"/>
      <c r="AJ1181" s="94"/>
      <c r="AK1181" s="94"/>
      <c r="AL1181" s="94"/>
      <c r="AM1181" s="94"/>
      <c r="AN1181" s="94"/>
      <c r="AO1181" s="94"/>
      <c r="AP1181" s="94"/>
      <c r="AQ1181" s="94"/>
      <c r="AR1181" s="94"/>
      <c r="AS1181" s="94"/>
      <c r="AT1181" s="94"/>
      <c r="AU1181" s="94"/>
      <c r="AV1181" s="94"/>
      <c r="AW1181" s="94"/>
      <c r="AX1181" s="94"/>
      <c r="AY1181" s="94"/>
      <c r="BA1181" s="95"/>
    </row>
    <row r="1182" spans="1:53" s="87" customFormat="1">
      <c r="A1182" s="90" t="str">
        <f t="shared" si="43"/>
        <v/>
      </c>
      <c r="B1182" s="98"/>
      <c r="C1182" s="94"/>
      <c r="D1182" s="94"/>
      <c r="E1182" s="94"/>
      <c r="F1182" s="94"/>
      <c r="G1182" s="94"/>
      <c r="H1182" s="94"/>
      <c r="I1182" s="94"/>
      <c r="J1182" s="94"/>
      <c r="K1182" s="94"/>
      <c r="L1182" s="94"/>
      <c r="M1182" s="94"/>
      <c r="N1182" s="94"/>
      <c r="O1182" s="94"/>
      <c r="P1182" s="94"/>
      <c r="Q1182" s="94"/>
      <c r="R1182" s="94"/>
      <c r="S1182" s="94"/>
      <c r="T1182" s="94"/>
      <c r="U1182" s="94"/>
      <c r="V1182" s="94"/>
      <c r="W1182" s="94"/>
      <c r="X1182" s="94"/>
      <c r="Y1182" s="94"/>
      <c r="Z1182" s="94"/>
      <c r="AA1182" s="94"/>
      <c r="AB1182" s="94"/>
      <c r="AC1182" s="94"/>
      <c r="AD1182" s="94"/>
      <c r="AE1182" s="94"/>
      <c r="AF1182" s="94"/>
      <c r="AG1182" s="94"/>
      <c r="AH1182" s="94"/>
      <c r="AI1182" s="94"/>
      <c r="AJ1182" s="94"/>
      <c r="AK1182" s="94"/>
      <c r="AL1182" s="94"/>
      <c r="AM1182" s="94"/>
      <c r="AN1182" s="94"/>
      <c r="AO1182" s="94"/>
      <c r="AP1182" s="94"/>
      <c r="AQ1182" s="94"/>
      <c r="AR1182" s="94"/>
      <c r="AS1182" s="94"/>
      <c r="AT1182" s="94"/>
      <c r="AU1182" s="94"/>
      <c r="AV1182" s="94"/>
      <c r="AW1182" s="94"/>
      <c r="AX1182" s="94"/>
      <c r="AY1182" s="94"/>
      <c r="BA1182" s="95"/>
    </row>
    <row r="1183" spans="1:53" s="87" customFormat="1">
      <c r="A1183" s="90" t="str">
        <f t="shared" si="43"/>
        <v/>
      </c>
      <c r="B1183" s="98"/>
      <c r="C1183" s="94"/>
      <c r="D1183" s="94"/>
      <c r="E1183" s="94"/>
      <c r="F1183" s="94"/>
      <c r="G1183" s="94"/>
      <c r="H1183" s="94"/>
      <c r="I1183" s="94"/>
      <c r="J1183" s="94"/>
      <c r="K1183" s="94"/>
      <c r="L1183" s="94"/>
      <c r="M1183" s="94"/>
      <c r="N1183" s="94"/>
      <c r="O1183" s="94"/>
      <c r="P1183" s="94"/>
      <c r="Q1183" s="94"/>
      <c r="R1183" s="94"/>
      <c r="S1183" s="94"/>
      <c r="T1183" s="94"/>
      <c r="U1183" s="94"/>
      <c r="V1183" s="94"/>
      <c r="W1183" s="94"/>
      <c r="X1183" s="94"/>
      <c r="Y1183" s="94"/>
      <c r="Z1183" s="94"/>
      <c r="AA1183" s="94"/>
      <c r="AB1183" s="94"/>
      <c r="AC1183" s="94"/>
      <c r="AD1183" s="94"/>
      <c r="AE1183" s="94"/>
      <c r="AF1183" s="94"/>
      <c r="AG1183" s="94"/>
      <c r="AH1183" s="94"/>
      <c r="AI1183" s="94"/>
      <c r="AJ1183" s="94"/>
      <c r="AK1183" s="94"/>
      <c r="AL1183" s="94"/>
      <c r="AM1183" s="94"/>
      <c r="AN1183" s="94"/>
      <c r="AO1183" s="94"/>
      <c r="AP1183" s="94"/>
      <c r="AQ1183" s="94"/>
      <c r="AR1183" s="94"/>
      <c r="AS1183" s="94"/>
      <c r="AT1183" s="94"/>
      <c r="AU1183" s="94"/>
      <c r="AV1183" s="94"/>
      <c r="AW1183" s="94"/>
      <c r="AX1183" s="94"/>
      <c r="AY1183" s="94"/>
      <c r="BA1183" s="95"/>
    </row>
    <row r="1184" spans="1:53" s="87" customFormat="1">
      <c r="A1184" s="90" t="str">
        <f t="shared" si="43"/>
        <v/>
      </c>
      <c r="B1184" s="98"/>
      <c r="C1184" s="94"/>
      <c r="D1184" s="94"/>
      <c r="E1184" s="94"/>
      <c r="F1184" s="94"/>
      <c r="G1184" s="94"/>
      <c r="H1184" s="94"/>
      <c r="I1184" s="94"/>
      <c r="J1184" s="94"/>
      <c r="K1184" s="94"/>
      <c r="L1184" s="94"/>
      <c r="M1184" s="94"/>
      <c r="N1184" s="94"/>
      <c r="O1184" s="94"/>
      <c r="P1184" s="94"/>
      <c r="Q1184" s="94"/>
      <c r="R1184" s="94"/>
      <c r="S1184" s="94"/>
      <c r="T1184" s="94"/>
      <c r="U1184" s="94"/>
      <c r="V1184" s="94"/>
      <c r="W1184" s="94"/>
      <c r="X1184" s="94"/>
      <c r="Y1184" s="94"/>
      <c r="Z1184" s="94"/>
      <c r="AA1184" s="94"/>
      <c r="AB1184" s="94"/>
      <c r="AC1184" s="94"/>
      <c r="AD1184" s="94"/>
      <c r="AE1184" s="94"/>
      <c r="AF1184" s="94"/>
      <c r="AG1184" s="94"/>
      <c r="AH1184" s="94"/>
      <c r="AI1184" s="94"/>
      <c r="AJ1184" s="94"/>
      <c r="AK1184" s="94"/>
      <c r="AL1184" s="94"/>
      <c r="AM1184" s="94"/>
      <c r="AN1184" s="94"/>
      <c r="AO1184" s="94"/>
      <c r="AP1184" s="94"/>
      <c r="AQ1184" s="94"/>
      <c r="AR1184" s="94"/>
      <c r="AS1184" s="94"/>
      <c r="AT1184" s="94"/>
      <c r="AU1184" s="94"/>
      <c r="AV1184" s="94"/>
      <c r="AW1184" s="94"/>
      <c r="AX1184" s="94"/>
      <c r="AY1184" s="94"/>
      <c r="BA1184" s="95"/>
    </row>
    <row r="1185" spans="1:53" s="87" customFormat="1">
      <c r="A1185" s="90" t="str">
        <f t="shared" si="43"/>
        <v/>
      </c>
      <c r="B1185" s="98"/>
      <c r="C1185" s="94"/>
      <c r="D1185" s="94"/>
      <c r="E1185" s="94"/>
      <c r="F1185" s="94"/>
      <c r="G1185" s="94"/>
      <c r="H1185" s="94"/>
      <c r="I1185" s="94"/>
      <c r="J1185" s="94"/>
      <c r="K1185" s="94"/>
      <c r="L1185" s="94"/>
      <c r="M1185" s="94"/>
      <c r="N1185" s="94"/>
      <c r="O1185" s="94"/>
      <c r="P1185" s="94"/>
      <c r="Q1185" s="94"/>
      <c r="R1185" s="94"/>
      <c r="S1185" s="94"/>
      <c r="T1185" s="94"/>
      <c r="U1185" s="94"/>
      <c r="V1185" s="94"/>
      <c r="W1185" s="94"/>
      <c r="X1185" s="94"/>
      <c r="Y1185" s="94"/>
      <c r="Z1185" s="94"/>
      <c r="AA1185" s="94"/>
      <c r="AB1185" s="94"/>
      <c r="AC1185" s="94"/>
      <c r="AD1185" s="94"/>
      <c r="AE1185" s="94"/>
      <c r="AF1185" s="94"/>
      <c r="AG1185" s="94"/>
      <c r="AH1185" s="94"/>
      <c r="AI1185" s="94"/>
      <c r="AJ1185" s="94"/>
      <c r="AK1185" s="94"/>
      <c r="AL1185" s="94"/>
      <c r="AM1185" s="94"/>
      <c r="AN1185" s="94"/>
      <c r="AO1185" s="94"/>
      <c r="AP1185" s="94"/>
      <c r="AQ1185" s="94"/>
      <c r="AR1185" s="94"/>
      <c r="AS1185" s="94"/>
      <c r="AT1185" s="94"/>
      <c r="AU1185" s="94"/>
      <c r="AV1185" s="94"/>
      <c r="AW1185" s="94"/>
      <c r="AX1185" s="94"/>
      <c r="AY1185" s="94"/>
      <c r="BA1185" s="95"/>
    </row>
    <row r="1186" spans="1:53" s="87" customFormat="1">
      <c r="A1186" s="90" t="str">
        <f t="shared" si="43"/>
        <v/>
      </c>
      <c r="B1186" s="98"/>
      <c r="C1186" s="94"/>
      <c r="D1186" s="94"/>
      <c r="E1186" s="94"/>
      <c r="F1186" s="94"/>
      <c r="G1186" s="94"/>
      <c r="H1186" s="94"/>
      <c r="I1186" s="94"/>
      <c r="J1186" s="94"/>
      <c r="K1186" s="94"/>
      <c r="L1186" s="94"/>
      <c r="M1186" s="94"/>
      <c r="N1186" s="94"/>
      <c r="O1186" s="94"/>
      <c r="P1186" s="94"/>
      <c r="Q1186" s="94"/>
      <c r="R1186" s="94"/>
      <c r="S1186" s="94"/>
      <c r="T1186" s="94"/>
      <c r="U1186" s="94"/>
      <c r="V1186" s="94"/>
      <c r="W1186" s="94"/>
      <c r="X1186" s="94"/>
      <c r="Y1186" s="94"/>
      <c r="Z1186" s="94"/>
      <c r="AA1186" s="94"/>
      <c r="AB1186" s="94"/>
      <c r="AC1186" s="94"/>
      <c r="AD1186" s="94"/>
      <c r="AE1186" s="94"/>
      <c r="AF1186" s="94"/>
      <c r="AG1186" s="94"/>
      <c r="AH1186" s="94"/>
      <c r="AI1186" s="94"/>
      <c r="AJ1186" s="94"/>
      <c r="AK1186" s="94"/>
      <c r="AL1186" s="94"/>
      <c r="AM1186" s="94"/>
      <c r="AN1186" s="94"/>
      <c r="AO1186" s="94"/>
      <c r="AP1186" s="94"/>
      <c r="AQ1186" s="94"/>
      <c r="AR1186" s="94"/>
      <c r="AS1186" s="94"/>
      <c r="AT1186" s="94"/>
      <c r="AU1186" s="94"/>
      <c r="AV1186" s="94"/>
      <c r="AW1186" s="94"/>
      <c r="AX1186" s="94"/>
      <c r="AY1186" s="94"/>
      <c r="BA1186" s="95"/>
    </row>
    <row r="1187" spans="1:53" s="87" customFormat="1">
      <c r="A1187" s="90" t="str">
        <f t="shared" si="43"/>
        <v/>
      </c>
      <c r="B1187" s="98"/>
      <c r="C1187" s="94"/>
      <c r="D1187" s="94"/>
      <c r="E1187" s="94"/>
      <c r="F1187" s="94"/>
      <c r="G1187" s="94"/>
      <c r="H1187" s="94"/>
      <c r="I1187" s="94"/>
      <c r="J1187" s="94"/>
      <c r="K1187" s="94"/>
      <c r="L1187" s="94"/>
      <c r="M1187" s="94"/>
      <c r="N1187" s="94"/>
      <c r="O1187" s="94"/>
      <c r="P1187" s="94"/>
      <c r="Q1187" s="94"/>
      <c r="R1187" s="94"/>
      <c r="S1187" s="94"/>
      <c r="T1187" s="94"/>
      <c r="U1187" s="94"/>
      <c r="V1187" s="94"/>
      <c r="W1187" s="94"/>
      <c r="X1187" s="94"/>
      <c r="Y1187" s="94"/>
      <c r="Z1187" s="94"/>
      <c r="AA1187" s="94"/>
      <c r="AB1187" s="94"/>
      <c r="AC1187" s="94"/>
      <c r="AD1187" s="94"/>
      <c r="AE1187" s="94"/>
      <c r="AF1187" s="94"/>
      <c r="AG1187" s="94"/>
      <c r="AH1187" s="94"/>
      <c r="AI1187" s="94"/>
      <c r="AJ1187" s="94"/>
      <c r="AK1187" s="94"/>
      <c r="AL1187" s="94"/>
      <c r="AM1187" s="94"/>
      <c r="AN1187" s="94"/>
      <c r="AO1187" s="94"/>
      <c r="AP1187" s="94"/>
      <c r="AQ1187" s="94"/>
      <c r="AR1187" s="94"/>
      <c r="AS1187" s="94"/>
      <c r="AT1187" s="94"/>
      <c r="AU1187" s="94"/>
      <c r="AV1187" s="94"/>
      <c r="AW1187" s="94"/>
      <c r="AX1187" s="94"/>
      <c r="AY1187" s="94"/>
      <c r="BA1187" s="95"/>
    </row>
    <row r="1188" spans="1:53" s="87" customFormat="1">
      <c r="A1188" s="90" t="str">
        <f t="shared" si="43"/>
        <v/>
      </c>
      <c r="B1188" s="98"/>
      <c r="C1188" s="94"/>
      <c r="D1188" s="94"/>
      <c r="E1188" s="94"/>
      <c r="F1188" s="94"/>
      <c r="G1188" s="94"/>
      <c r="H1188" s="94"/>
      <c r="I1188" s="94"/>
      <c r="J1188" s="94"/>
      <c r="K1188" s="94"/>
      <c r="L1188" s="94"/>
      <c r="M1188" s="94"/>
      <c r="N1188" s="94"/>
      <c r="O1188" s="94"/>
      <c r="P1188" s="94"/>
      <c r="Q1188" s="94"/>
      <c r="R1188" s="94"/>
      <c r="S1188" s="94"/>
      <c r="T1188" s="94"/>
      <c r="U1188" s="94"/>
      <c r="V1188" s="94"/>
      <c r="W1188" s="94"/>
      <c r="X1188" s="94"/>
      <c r="Y1188" s="94"/>
      <c r="Z1188" s="94"/>
      <c r="AA1188" s="94"/>
      <c r="AB1188" s="94"/>
      <c r="AC1188" s="94"/>
      <c r="AD1188" s="94"/>
      <c r="AE1188" s="94"/>
      <c r="AF1188" s="94"/>
      <c r="AG1188" s="94"/>
      <c r="AH1188" s="94"/>
      <c r="AI1188" s="94"/>
      <c r="AJ1188" s="94"/>
      <c r="AK1188" s="94"/>
      <c r="AL1188" s="94"/>
      <c r="AM1188" s="94"/>
      <c r="AN1188" s="94"/>
      <c r="AO1188" s="94"/>
      <c r="AP1188" s="94"/>
      <c r="AQ1188" s="94"/>
      <c r="AR1188" s="94"/>
      <c r="AS1188" s="94"/>
      <c r="AT1188" s="94"/>
      <c r="AU1188" s="94"/>
      <c r="AV1188" s="94"/>
      <c r="AW1188" s="94"/>
      <c r="AX1188" s="94"/>
      <c r="AY1188" s="94"/>
      <c r="BA1188" s="95"/>
    </row>
    <row r="1189" spans="1:53" s="87" customFormat="1">
      <c r="A1189" s="90" t="str">
        <f t="shared" si="43"/>
        <v/>
      </c>
      <c r="B1189" s="98"/>
      <c r="C1189" s="94"/>
      <c r="D1189" s="94"/>
      <c r="E1189" s="94"/>
      <c r="F1189" s="94"/>
      <c r="G1189" s="94"/>
      <c r="H1189" s="94"/>
      <c r="I1189" s="94"/>
      <c r="J1189" s="94"/>
      <c r="K1189" s="94"/>
      <c r="L1189" s="94"/>
      <c r="M1189" s="94"/>
      <c r="N1189" s="94"/>
      <c r="O1189" s="94"/>
      <c r="P1189" s="94"/>
      <c r="Q1189" s="94"/>
      <c r="R1189" s="94"/>
      <c r="S1189" s="94"/>
      <c r="T1189" s="94"/>
      <c r="U1189" s="94"/>
      <c r="V1189" s="94"/>
      <c r="W1189" s="94"/>
      <c r="X1189" s="94"/>
      <c r="Y1189" s="94"/>
      <c r="Z1189" s="94"/>
      <c r="AA1189" s="94"/>
      <c r="AB1189" s="94"/>
      <c r="AC1189" s="94"/>
      <c r="AD1189" s="94"/>
      <c r="AE1189" s="94"/>
      <c r="AF1189" s="94"/>
      <c r="AG1189" s="94"/>
      <c r="AH1189" s="94"/>
      <c r="AI1189" s="94"/>
      <c r="AJ1189" s="94"/>
      <c r="AK1189" s="94"/>
      <c r="AL1189" s="94"/>
      <c r="AM1189" s="94"/>
      <c r="AN1189" s="94"/>
      <c r="AO1189" s="94"/>
      <c r="AP1189" s="94"/>
      <c r="AQ1189" s="94"/>
      <c r="AR1189" s="94"/>
      <c r="AS1189" s="94"/>
      <c r="AT1189" s="94"/>
      <c r="AU1189" s="94"/>
      <c r="AV1189" s="94"/>
      <c r="AW1189" s="94"/>
      <c r="AX1189" s="94"/>
      <c r="AY1189" s="94"/>
      <c r="BA1189" s="95"/>
    </row>
    <row r="1190" spans="1:53" s="87" customFormat="1">
      <c r="A1190" s="90" t="str">
        <f t="shared" si="43"/>
        <v/>
      </c>
      <c r="B1190" s="98"/>
      <c r="C1190" s="94"/>
      <c r="D1190" s="94"/>
      <c r="E1190" s="94"/>
      <c r="F1190" s="94"/>
      <c r="G1190" s="94"/>
      <c r="H1190" s="94"/>
      <c r="I1190" s="94"/>
      <c r="J1190" s="94"/>
      <c r="K1190" s="94"/>
      <c r="L1190" s="94"/>
      <c r="M1190" s="94"/>
      <c r="N1190" s="94"/>
      <c r="O1190" s="94"/>
      <c r="P1190" s="94"/>
      <c r="Q1190" s="94"/>
      <c r="R1190" s="94"/>
      <c r="S1190" s="94"/>
      <c r="T1190" s="94"/>
      <c r="U1190" s="94"/>
      <c r="V1190" s="94"/>
      <c r="W1190" s="94"/>
      <c r="X1190" s="94"/>
      <c r="Y1190" s="94"/>
      <c r="Z1190" s="94"/>
      <c r="AA1190" s="94"/>
      <c r="AB1190" s="94"/>
      <c r="AC1190" s="94"/>
      <c r="AD1190" s="94"/>
      <c r="AE1190" s="94"/>
      <c r="AF1190" s="94"/>
      <c r="AG1190" s="94"/>
      <c r="AH1190" s="94"/>
      <c r="AI1190" s="94"/>
      <c r="AJ1190" s="94"/>
      <c r="AK1190" s="94"/>
      <c r="AL1190" s="94"/>
      <c r="AM1190" s="94"/>
      <c r="AN1190" s="94"/>
      <c r="AO1190" s="94"/>
      <c r="AP1190" s="94"/>
      <c r="AQ1190" s="94"/>
      <c r="AR1190" s="94"/>
      <c r="AS1190" s="94"/>
      <c r="AT1190" s="94"/>
      <c r="AU1190" s="94"/>
      <c r="AV1190" s="94"/>
      <c r="AW1190" s="94"/>
      <c r="AX1190" s="94"/>
      <c r="AY1190" s="94"/>
      <c r="BA1190" s="95"/>
    </row>
    <row r="1191" spans="1:53" s="87" customFormat="1">
      <c r="A1191" s="90" t="str">
        <f t="shared" si="43"/>
        <v/>
      </c>
      <c r="B1191" s="98"/>
      <c r="C1191" s="94"/>
      <c r="D1191" s="94"/>
      <c r="E1191" s="94"/>
      <c r="F1191" s="94"/>
      <c r="G1191" s="94"/>
      <c r="H1191" s="94"/>
      <c r="I1191" s="94"/>
      <c r="J1191" s="94"/>
      <c r="K1191" s="94"/>
      <c r="L1191" s="94"/>
      <c r="M1191" s="94"/>
      <c r="N1191" s="94"/>
      <c r="O1191" s="94"/>
      <c r="P1191" s="94"/>
      <c r="Q1191" s="94"/>
      <c r="R1191" s="94"/>
      <c r="S1191" s="94"/>
      <c r="T1191" s="94"/>
      <c r="U1191" s="94"/>
      <c r="V1191" s="94"/>
      <c r="W1191" s="94"/>
      <c r="X1191" s="94"/>
      <c r="Y1191" s="94"/>
      <c r="Z1191" s="94"/>
      <c r="AA1191" s="94"/>
      <c r="AB1191" s="94"/>
      <c r="AC1191" s="94"/>
      <c r="AD1191" s="94"/>
      <c r="AE1191" s="94"/>
      <c r="AF1191" s="94"/>
      <c r="AG1191" s="94"/>
      <c r="AH1191" s="94"/>
      <c r="AI1191" s="94"/>
      <c r="AJ1191" s="94"/>
      <c r="AK1191" s="94"/>
      <c r="AL1191" s="94"/>
      <c r="AM1191" s="94"/>
      <c r="AN1191" s="94"/>
      <c r="AO1191" s="94"/>
      <c r="AP1191" s="94"/>
      <c r="AQ1191" s="94"/>
      <c r="AR1191" s="94"/>
      <c r="AS1191" s="94"/>
      <c r="AT1191" s="94"/>
      <c r="AU1191" s="94"/>
      <c r="AV1191" s="94"/>
      <c r="AW1191" s="94"/>
      <c r="AX1191" s="94"/>
      <c r="AY1191" s="94"/>
      <c r="BA1191" s="95"/>
    </row>
    <row r="1192" spans="1:53" s="87" customFormat="1">
      <c r="A1192" s="90" t="str">
        <f t="shared" si="43"/>
        <v/>
      </c>
      <c r="B1192" s="98"/>
      <c r="C1192" s="94"/>
      <c r="D1192" s="94"/>
      <c r="E1192" s="94"/>
      <c r="F1192" s="94"/>
      <c r="G1192" s="94"/>
      <c r="H1192" s="94"/>
      <c r="I1192" s="94"/>
      <c r="J1192" s="94"/>
      <c r="K1192" s="94"/>
      <c r="L1192" s="94"/>
      <c r="M1192" s="94"/>
      <c r="N1192" s="94"/>
      <c r="O1192" s="94"/>
      <c r="P1192" s="94"/>
      <c r="Q1192" s="94"/>
      <c r="R1192" s="94"/>
      <c r="S1192" s="94"/>
      <c r="T1192" s="94"/>
      <c r="U1192" s="94"/>
      <c r="V1192" s="94"/>
      <c r="W1192" s="94"/>
      <c r="X1192" s="94"/>
      <c r="Y1192" s="94"/>
      <c r="Z1192" s="94"/>
      <c r="AA1192" s="94"/>
      <c r="AB1192" s="94"/>
      <c r="AC1192" s="94"/>
      <c r="AD1192" s="94"/>
      <c r="AE1192" s="94"/>
      <c r="AF1192" s="94"/>
      <c r="AG1192" s="94"/>
      <c r="AH1192" s="94"/>
      <c r="AI1192" s="94"/>
      <c r="AJ1192" s="94"/>
      <c r="AK1192" s="94"/>
      <c r="AL1192" s="94"/>
      <c r="AM1192" s="94"/>
      <c r="AN1192" s="94"/>
      <c r="AO1192" s="94"/>
      <c r="AP1192" s="94"/>
      <c r="AQ1192" s="94"/>
      <c r="AR1192" s="94"/>
      <c r="AS1192" s="94"/>
      <c r="AT1192" s="94"/>
      <c r="AU1192" s="94"/>
      <c r="AV1192" s="94"/>
      <c r="AW1192" s="94"/>
      <c r="AX1192" s="94"/>
      <c r="AY1192" s="94"/>
      <c r="BA1192" s="95"/>
    </row>
    <row r="1193" spans="1:53" s="87" customFormat="1">
      <c r="A1193" s="90" t="str">
        <f t="shared" si="43"/>
        <v/>
      </c>
      <c r="B1193" s="98"/>
      <c r="C1193" s="94"/>
      <c r="D1193" s="94"/>
      <c r="E1193" s="94"/>
      <c r="F1193" s="94"/>
      <c r="G1193" s="94"/>
      <c r="H1193" s="94"/>
      <c r="I1193" s="94"/>
      <c r="J1193" s="94"/>
      <c r="K1193" s="94"/>
      <c r="L1193" s="94"/>
      <c r="M1193" s="94"/>
      <c r="N1193" s="94"/>
      <c r="O1193" s="94"/>
      <c r="P1193" s="94"/>
      <c r="Q1193" s="94"/>
      <c r="R1193" s="94"/>
      <c r="S1193" s="94"/>
      <c r="T1193" s="94"/>
      <c r="U1193" s="94"/>
      <c r="V1193" s="94"/>
      <c r="W1193" s="94"/>
      <c r="X1193" s="94"/>
      <c r="Y1193" s="94"/>
      <c r="Z1193" s="94"/>
      <c r="AA1193" s="94"/>
      <c r="AB1193" s="94"/>
      <c r="AC1193" s="94"/>
      <c r="AD1193" s="94"/>
      <c r="AE1193" s="94"/>
      <c r="AF1193" s="94"/>
      <c r="AG1193" s="94"/>
      <c r="AH1193" s="94"/>
      <c r="AI1193" s="94"/>
      <c r="AJ1193" s="94"/>
      <c r="AK1193" s="94"/>
      <c r="AL1193" s="94"/>
      <c r="AM1193" s="94"/>
      <c r="AN1193" s="94"/>
      <c r="AO1193" s="94"/>
      <c r="AP1193" s="94"/>
      <c r="AQ1193" s="94"/>
      <c r="AR1193" s="94"/>
      <c r="AS1193" s="94"/>
      <c r="AT1193" s="94"/>
      <c r="AU1193" s="94"/>
      <c r="AV1193" s="94"/>
      <c r="AW1193" s="94"/>
      <c r="AX1193" s="94"/>
      <c r="AY1193" s="94"/>
      <c r="BA1193" s="95"/>
    </row>
    <row r="1194" spans="1:53" s="87" customFormat="1">
      <c r="A1194" s="90" t="str">
        <f t="shared" si="43"/>
        <v/>
      </c>
      <c r="B1194" s="98"/>
      <c r="C1194" s="94"/>
      <c r="D1194" s="94"/>
      <c r="E1194" s="94"/>
      <c r="F1194" s="94"/>
      <c r="G1194" s="94"/>
      <c r="H1194" s="94"/>
      <c r="I1194" s="94"/>
      <c r="J1194" s="94"/>
      <c r="K1194" s="94"/>
      <c r="L1194" s="94"/>
      <c r="M1194" s="94"/>
      <c r="N1194" s="94"/>
      <c r="O1194" s="94"/>
      <c r="P1194" s="94"/>
      <c r="Q1194" s="94"/>
      <c r="R1194" s="94"/>
      <c r="S1194" s="94"/>
      <c r="T1194" s="94"/>
      <c r="U1194" s="94"/>
      <c r="V1194" s="94"/>
      <c r="W1194" s="94"/>
      <c r="X1194" s="94"/>
      <c r="Y1194" s="94"/>
      <c r="Z1194" s="94"/>
      <c r="AA1194" s="94"/>
      <c r="AB1194" s="94"/>
      <c r="AC1194" s="94"/>
      <c r="AD1194" s="94"/>
      <c r="AE1194" s="94"/>
      <c r="AF1194" s="94"/>
      <c r="AG1194" s="94"/>
      <c r="AH1194" s="94"/>
      <c r="AI1194" s="94"/>
      <c r="AJ1194" s="94"/>
      <c r="AK1194" s="94"/>
      <c r="AL1194" s="94"/>
      <c r="AM1194" s="94"/>
      <c r="AN1194" s="94"/>
      <c r="AO1194" s="94"/>
      <c r="AP1194" s="94"/>
      <c r="AQ1194" s="94"/>
      <c r="AR1194" s="94"/>
      <c r="AS1194" s="94"/>
      <c r="AT1194" s="94"/>
      <c r="AU1194" s="94"/>
      <c r="AV1194" s="94"/>
      <c r="AW1194" s="94"/>
      <c r="AX1194" s="94"/>
      <c r="AY1194" s="94"/>
      <c r="BA1194" s="95"/>
    </row>
    <row r="1195" spans="1:53" s="87" customFormat="1">
      <c r="A1195" s="90" t="str">
        <f t="shared" si="43"/>
        <v/>
      </c>
      <c r="B1195" s="98"/>
      <c r="C1195" s="94"/>
      <c r="D1195" s="94"/>
      <c r="E1195" s="94"/>
      <c r="F1195" s="94"/>
      <c r="G1195" s="94"/>
      <c r="H1195" s="94"/>
      <c r="I1195" s="94"/>
      <c r="J1195" s="94"/>
      <c r="K1195" s="94"/>
      <c r="L1195" s="94"/>
      <c r="M1195" s="94"/>
      <c r="N1195" s="94"/>
      <c r="O1195" s="94"/>
      <c r="P1195" s="94"/>
      <c r="Q1195" s="94"/>
      <c r="R1195" s="94"/>
      <c r="S1195" s="94"/>
      <c r="T1195" s="94"/>
      <c r="U1195" s="94"/>
      <c r="V1195" s="94"/>
      <c r="W1195" s="94"/>
      <c r="X1195" s="94"/>
      <c r="Y1195" s="94"/>
      <c r="Z1195" s="94"/>
      <c r="AA1195" s="94"/>
      <c r="AB1195" s="94"/>
      <c r="AC1195" s="94"/>
      <c r="AD1195" s="94"/>
      <c r="AE1195" s="94"/>
      <c r="AF1195" s="94"/>
      <c r="AG1195" s="94"/>
      <c r="AH1195" s="94"/>
      <c r="AI1195" s="94"/>
      <c r="AJ1195" s="94"/>
      <c r="AK1195" s="94"/>
      <c r="AL1195" s="94"/>
      <c r="AM1195" s="94"/>
      <c r="AN1195" s="94"/>
      <c r="AO1195" s="94"/>
      <c r="AP1195" s="94"/>
      <c r="AQ1195" s="94"/>
      <c r="AR1195" s="94"/>
      <c r="AS1195" s="94"/>
      <c r="AT1195" s="94"/>
      <c r="AU1195" s="94"/>
      <c r="AV1195" s="94"/>
      <c r="AW1195" s="94"/>
      <c r="AX1195" s="94"/>
      <c r="AY1195" s="94"/>
      <c r="BA1195" s="95"/>
    </row>
    <row r="1196" spans="1:53" s="87" customFormat="1">
      <c r="A1196" s="90" t="str">
        <f t="shared" si="43"/>
        <v/>
      </c>
      <c r="B1196" s="98"/>
      <c r="C1196" s="94"/>
      <c r="D1196" s="94"/>
      <c r="E1196" s="94"/>
      <c r="F1196" s="94"/>
      <c r="G1196" s="94"/>
      <c r="H1196" s="94"/>
      <c r="I1196" s="94"/>
      <c r="J1196" s="94"/>
      <c r="K1196" s="94"/>
      <c r="L1196" s="94"/>
      <c r="M1196" s="94"/>
      <c r="N1196" s="94"/>
      <c r="O1196" s="94"/>
      <c r="P1196" s="94"/>
      <c r="Q1196" s="94"/>
      <c r="R1196" s="94"/>
      <c r="S1196" s="94"/>
      <c r="T1196" s="94"/>
      <c r="U1196" s="94"/>
      <c r="V1196" s="94"/>
      <c r="W1196" s="94"/>
      <c r="X1196" s="94"/>
      <c r="Y1196" s="94"/>
      <c r="Z1196" s="94"/>
      <c r="AA1196" s="94"/>
      <c r="AB1196" s="94"/>
      <c r="AC1196" s="94"/>
      <c r="AD1196" s="94"/>
      <c r="AE1196" s="94"/>
      <c r="AF1196" s="94"/>
      <c r="AG1196" s="94"/>
      <c r="AH1196" s="94"/>
      <c r="AI1196" s="94"/>
      <c r="AJ1196" s="94"/>
      <c r="AK1196" s="94"/>
      <c r="AL1196" s="94"/>
      <c r="AM1196" s="94"/>
      <c r="AN1196" s="94"/>
      <c r="AO1196" s="94"/>
      <c r="AP1196" s="94"/>
      <c r="AQ1196" s="94"/>
      <c r="AR1196" s="94"/>
      <c r="AS1196" s="94"/>
      <c r="AT1196" s="94"/>
      <c r="AU1196" s="94"/>
      <c r="AV1196" s="94"/>
      <c r="AW1196" s="94"/>
      <c r="AX1196" s="94"/>
      <c r="AY1196" s="94"/>
      <c r="BA1196" s="95"/>
    </row>
    <row r="1197" spans="1:53" s="87" customFormat="1">
      <c r="A1197" s="90" t="str">
        <f t="shared" si="43"/>
        <v/>
      </c>
      <c r="B1197" s="98"/>
      <c r="C1197" s="94"/>
      <c r="D1197" s="94"/>
      <c r="E1197" s="94"/>
      <c r="F1197" s="94"/>
      <c r="G1197" s="94"/>
      <c r="H1197" s="94"/>
      <c r="I1197" s="94"/>
      <c r="J1197" s="94"/>
      <c r="K1197" s="94"/>
      <c r="L1197" s="94"/>
      <c r="M1197" s="94"/>
      <c r="N1197" s="94"/>
      <c r="O1197" s="94"/>
      <c r="P1197" s="94"/>
      <c r="Q1197" s="94"/>
      <c r="R1197" s="94"/>
      <c r="S1197" s="94"/>
      <c r="T1197" s="94"/>
      <c r="U1197" s="94"/>
      <c r="V1197" s="94"/>
      <c r="W1197" s="94"/>
      <c r="X1197" s="94"/>
      <c r="Y1197" s="94"/>
      <c r="Z1197" s="94"/>
      <c r="AA1197" s="94"/>
      <c r="AB1197" s="94"/>
      <c r="AC1197" s="94"/>
      <c r="AD1197" s="94"/>
      <c r="AE1197" s="94"/>
      <c r="AF1197" s="94"/>
      <c r="AG1197" s="94"/>
      <c r="AH1197" s="94"/>
      <c r="AI1197" s="94"/>
      <c r="AJ1197" s="94"/>
      <c r="AK1197" s="94"/>
      <c r="AL1197" s="94"/>
      <c r="AM1197" s="94"/>
      <c r="AN1197" s="94"/>
      <c r="AO1197" s="94"/>
      <c r="AP1197" s="94"/>
      <c r="AQ1197" s="94"/>
      <c r="AR1197" s="94"/>
      <c r="AS1197" s="94"/>
      <c r="AT1197" s="94"/>
      <c r="AU1197" s="94"/>
      <c r="AV1197" s="94"/>
      <c r="AW1197" s="94"/>
      <c r="AX1197" s="94"/>
      <c r="AY1197" s="94"/>
      <c r="BA1197" s="95"/>
    </row>
    <row r="1198" spans="1:53" s="87" customFormat="1">
      <c r="A1198" s="90" t="str">
        <f t="shared" si="43"/>
        <v/>
      </c>
      <c r="B1198" s="98"/>
      <c r="C1198" s="94"/>
      <c r="D1198" s="94"/>
      <c r="E1198" s="94"/>
      <c r="F1198" s="94"/>
      <c r="G1198" s="94"/>
      <c r="H1198" s="94"/>
      <c r="I1198" s="94"/>
      <c r="J1198" s="94"/>
      <c r="K1198" s="94"/>
      <c r="L1198" s="94"/>
      <c r="M1198" s="94"/>
      <c r="N1198" s="94"/>
      <c r="O1198" s="94"/>
      <c r="P1198" s="94"/>
      <c r="Q1198" s="94"/>
      <c r="R1198" s="94"/>
      <c r="S1198" s="94"/>
      <c r="T1198" s="94"/>
      <c r="U1198" s="94"/>
      <c r="V1198" s="94"/>
      <c r="W1198" s="94"/>
      <c r="X1198" s="94"/>
      <c r="Y1198" s="94"/>
      <c r="Z1198" s="94"/>
      <c r="AA1198" s="94"/>
      <c r="AB1198" s="94"/>
      <c r="AC1198" s="94"/>
      <c r="AD1198" s="94"/>
      <c r="AE1198" s="94"/>
      <c r="AF1198" s="94"/>
      <c r="AG1198" s="94"/>
      <c r="AH1198" s="94"/>
      <c r="AI1198" s="94"/>
      <c r="AJ1198" s="94"/>
      <c r="AK1198" s="94"/>
      <c r="AL1198" s="94"/>
      <c r="AM1198" s="94"/>
      <c r="AN1198" s="94"/>
      <c r="AO1198" s="94"/>
      <c r="AP1198" s="94"/>
      <c r="AQ1198" s="94"/>
      <c r="AR1198" s="94"/>
      <c r="AS1198" s="94"/>
      <c r="AT1198" s="94"/>
      <c r="AU1198" s="94"/>
      <c r="AV1198" s="94"/>
      <c r="AW1198" s="94"/>
      <c r="AX1198" s="94"/>
      <c r="AY1198" s="94"/>
      <c r="BA1198" s="95"/>
    </row>
    <row r="1199" spans="1:53" s="87" customFormat="1">
      <c r="A1199" s="90" t="str">
        <f t="shared" si="43"/>
        <v/>
      </c>
      <c r="B1199" s="98"/>
      <c r="C1199" s="94"/>
      <c r="D1199" s="94"/>
      <c r="E1199" s="94"/>
      <c r="F1199" s="94"/>
      <c r="G1199" s="94"/>
      <c r="H1199" s="94"/>
      <c r="I1199" s="94"/>
      <c r="J1199" s="94"/>
      <c r="K1199" s="94"/>
      <c r="L1199" s="94"/>
      <c r="M1199" s="94"/>
      <c r="N1199" s="94"/>
      <c r="O1199" s="94"/>
      <c r="P1199" s="94"/>
      <c r="Q1199" s="94"/>
      <c r="R1199" s="94"/>
      <c r="S1199" s="94"/>
      <c r="T1199" s="94"/>
      <c r="U1199" s="94"/>
      <c r="V1199" s="94"/>
      <c r="W1199" s="94"/>
      <c r="X1199" s="94"/>
      <c r="Y1199" s="94"/>
      <c r="Z1199" s="94"/>
      <c r="AA1199" s="94"/>
      <c r="AB1199" s="94"/>
      <c r="AC1199" s="94"/>
      <c r="AD1199" s="94"/>
      <c r="AE1199" s="94"/>
      <c r="AF1199" s="94"/>
      <c r="AG1199" s="94"/>
      <c r="AH1199" s="94"/>
      <c r="AI1199" s="94"/>
      <c r="AJ1199" s="94"/>
      <c r="AK1199" s="94"/>
      <c r="AL1199" s="94"/>
      <c r="AM1199" s="94"/>
      <c r="AN1199" s="94"/>
      <c r="AO1199" s="94"/>
      <c r="AP1199" s="94"/>
      <c r="AQ1199" s="94"/>
      <c r="AR1199" s="94"/>
      <c r="AS1199" s="94"/>
      <c r="AT1199" s="94"/>
      <c r="AU1199" s="94"/>
      <c r="AV1199" s="94"/>
      <c r="AW1199" s="94"/>
      <c r="AX1199" s="94"/>
      <c r="AY1199" s="94"/>
      <c r="BA1199" s="95"/>
    </row>
    <row r="1200" spans="1:53" s="87" customFormat="1">
      <c r="A1200" s="90" t="str">
        <f t="shared" si="43"/>
        <v/>
      </c>
      <c r="B1200" s="98"/>
      <c r="C1200" s="94"/>
      <c r="D1200" s="94"/>
      <c r="E1200" s="94"/>
      <c r="F1200" s="94"/>
      <c r="G1200" s="94"/>
      <c r="H1200" s="94"/>
      <c r="I1200" s="94"/>
      <c r="J1200" s="94"/>
      <c r="K1200" s="94"/>
      <c r="L1200" s="94"/>
      <c r="M1200" s="94"/>
      <c r="N1200" s="94"/>
      <c r="O1200" s="94"/>
      <c r="P1200" s="94"/>
      <c r="Q1200" s="94"/>
      <c r="R1200" s="94"/>
      <c r="S1200" s="94"/>
      <c r="T1200" s="94"/>
      <c r="U1200" s="94"/>
      <c r="V1200" s="94"/>
      <c r="W1200" s="94"/>
      <c r="X1200" s="94"/>
      <c r="Y1200" s="94"/>
      <c r="Z1200" s="94"/>
      <c r="AA1200" s="94"/>
      <c r="AB1200" s="94"/>
      <c r="AC1200" s="94"/>
      <c r="AD1200" s="94"/>
      <c r="AE1200" s="94"/>
      <c r="AF1200" s="94"/>
      <c r="AG1200" s="94"/>
      <c r="AH1200" s="94"/>
      <c r="AI1200" s="94"/>
      <c r="AJ1200" s="94"/>
      <c r="AK1200" s="94"/>
      <c r="AL1200" s="94"/>
      <c r="AM1200" s="94"/>
      <c r="AN1200" s="94"/>
      <c r="AO1200" s="94"/>
      <c r="AP1200" s="94"/>
      <c r="AQ1200" s="94"/>
      <c r="AR1200" s="94"/>
      <c r="AS1200" s="94"/>
      <c r="AT1200" s="94"/>
      <c r="AU1200" s="94"/>
      <c r="AV1200" s="94"/>
      <c r="AW1200" s="94"/>
      <c r="AX1200" s="94"/>
      <c r="AY1200" s="94"/>
      <c r="BA1200" s="95"/>
    </row>
    <row r="1201" spans="53:53" s="87" customFormat="1">
      <c r="BA1201" s="95"/>
    </row>
    <row r="1202" spans="53:53" s="87" customFormat="1">
      <c r="BA1202" s="95"/>
    </row>
    <row r="1203" spans="53:53" s="87" customFormat="1">
      <c r="BA1203" s="95"/>
    </row>
    <row r="1204" spans="53:53" s="87" customFormat="1">
      <c r="BA1204" s="95"/>
    </row>
    <row r="1205" spans="53:53" s="87" customFormat="1">
      <c r="BA1205" s="95"/>
    </row>
    <row r="1206" spans="53:53" s="87" customFormat="1">
      <c r="BA1206" s="95"/>
    </row>
    <row r="1207" spans="53:53" s="87" customFormat="1">
      <c r="BA1207" s="95"/>
    </row>
  </sheetData>
  <sheetProtection password="FFF0" sheet="1" objects="1" scenarios="1"/>
  <conditionalFormatting sqref="BD11:BD70">
    <cfRule type="expression" dxfId="54" priority="2">
      <formula>BD11=$BD$7</formula>
    </cfRule>
  </conditionalFormatting>
  <conditionalFormatting sqref="A11:A1200">
    <cfRule type="expression" dxfId="53" priority="1">
      <formula>A11=$BA$7</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207"/>
  <sheetViews>
    <sheetView workbookViewId="0">
      <selection activeCell="BB1" sqref="BB1"/>
    </sheetView>
  </sheetViews>
  <sheetFormatPr baseColWidth="10" defaultRowHeight="12" x14ac:dyDescent="0"/>
  <cols>
    <col min="1" max="1" width="5.140625" style="87" customWidth="1"/>
    <col min="2" max="52" width="2.5703125" style="87" customWidth="1"/>
    <col min="53" max="53" width="4.140625" style="87" customWidth="1"/>
    <col min="54" max="54" width="10.28515625" style="87" customWidth="1"/>
    <col min="55" max="55" width="5.140625" style="87" customWidth="1"/>
    <col min="56" max="56" width="3.140625" style="87" customWidth="1"/>
    <col min="57" max="57" width="7.140625" style="89" customWidth="1"/>
    <col min="58" max="58" width="10.28515625" style="89" customWidth="1"/>
    <col min="59" max="60" width="3.140625" style="87" customWidth="1"/>
    <col min="61" max="61" width="5.140625" style="87" customWidth="1"/>
    <col min="62" max="65" width="3.140625" style="87" customWidth="1"/>
    <col min="66" max="66" width="10.7109375" style="87"/>
    <col min="67" max="74" width="3.140625" style="87" customWidth="1"/>
    <col min="75" max="75" width="10.28515625" style="87" customWidth="1"/>
    <col min="76" max="79" width="5.140625" style="87" customWidth="1"/>
    <col min="80" max="16384" width="10.7109375" style="87"/>
  </cols>
  <sheetData>
    <row r="1" spans="1:76">
      <c r="B1" s="88">
        <f>COLUMN()</f>
        <v>2</v>
      </c>
      <c r="C1" s="88">
        <f>COLUMN()</f>
        <v>3</v>
      </c>
      <c r="D1" s="88">
        <f>COLUMN()</f>
        <v>4</v>
      </c>
      <c r="E1" s="88">
        <f>COLUMN()</f>
        <v>5</v>
      </c>
      <c r="F1" s="88">
        <f>COLUMN()</f>
        <v>6</v>
      </c>
      <c r="G1" s="88">
        <f>COLUMN()</f>
        <v>7</v>
      </c>
      <c r="H1" s="88">
        <f>COLUMN()</f>
        <v>8</v>
      </c>
      <c r="I1" s="88">
        <f>COLUMN()</f>
        <v>9</v>
      </c>
      <c r="J1" s="88">
        <f>COLUMN()</f>
        <v>10</v>
      </c>
      <c r="K1" s="88">
        <f>COLUMN()</f>
        <v>11</v>
      </c>
      <c r="L1" s="88">
        <f>COLUMN()</f>
        <v>12</v>
      </c>
      <c r="M1" s="88">
        <f>COLUMN()</f>
        <v>13</v>
      </c>
      <c r="N1" s="88">
        <f>COLUMN()</f>
        <v>14</v>
      </c>
      <c r="O1" s="88">
        <f>COLUMN()</f>
        <v>15</v>
      </c>
      <c r="P1" s="88">
        <f>COLUMN()</f>
        <v>16</v>
      </c>
      <c r="Q1" s="88">
        <f>COLUMN()</f>
        <v>17</v>
      </c>
      <c r="R1" s="88">
        <f>COLUMN()</f>
        <v>18</v>
      </c>
      <c r="S1" s="88">
        <f>COLUMN()</f>
        <v>19</v>
      </c>
      <c r="T1" s="88">
        <f>COLUMN()</f>
        <v>20</v>
      </c>
      <c r="U1" s="88">
        <f>COLUMN()</f>
        <v>21</v>
      </c>
      <c r="V1" s="88">
        <f>COLUMN()</f>
        <v>22</v>
      </c>
      <c r="W1" s="88">
        <f>COLUMN()</f>
        <v>23</v>
      </c>
      <c r="X1" s="88">
        <f>COLUMN()</f>
        <v>24</v>
      </c>
      <c r="Y1" s="88">
        <f>COLUMN()</f>
        <v>25</v>
      </c>
      <c r="Z1" s="88">
        <f>COLUMN()</f>
        <v>26</v>
      </c>
      <c r="AA1" s="88">
        <f>COLUMN()</f>
        <v>27</v>
      </c>
      <c r="AB1" s="88">
        <f>COLUMN()</f>
        <v>28</v>
      </c>
      <c r="AC1" s="88">
        <f>COLUMN()</f>
        <v>29</v>
      </c>
      <c r="AD1" s="88">
        <f>COLUMN()</f>
        <v>30</v>
      </c>
      <c r="AE1" s="88">
        <f>COLUMN()</f>
        <v>31</v>
      </c>
      <c r="AF1" s="88">
        <f>COLUMN()</f>
        <v>32</v>
      </c>
      <c r="AG1" s="88">
        <f>COLUMN()</f>
        <v>33</v>
      </c>
      <c r="AH1" s="88">
        <f>COLUMN()</f>
        <v>34</v>
      </c>
      <c r="AI1" s="88">
        <f>COLUMN()</f>
        <v>35</v>
      </c>
      <c r="AJ1" s="88">
        <f>COLUMN()</f>
        <v>36</v>
      </c>
      <c r="AK1" s="88">
        <f>COLUMN()</f>
        <v>37</v>
      </c>
      <c r="AL1" s="88">
        <f>COLUMN()</f>
        <v>38</v>
      </c>
      <c r="AM1" s="88">
        <f>COLUMN()</f>
        <v>39</v>
      </c>
      <c r="AN1" s="88">
        <f>COLUMN()</f>
        <v>40</v>
      </c>
      <c r="AO1" s="88">
        <f>COLUMN()</f>
        <v>41</v>
      </c>
      <c r="AP1" s="88">
        <f>COLUMN()</f>
        <v>42</v>
      </c>
      <c r="AQ1" s="88">
        <f>COLUMN()</f>
        <v>43</v>
      </c>
      <c r="AR1" s="88">
        <f>COLUMN()</f>
        <v>44</v>
      </c>
      <c r="AS1" s="88">
        <f>COLUMN()</f>
        <v>45</v>
      </c>
      <c r="AT1" s="88">
        <f>COLUMN()</f>
        <v>46</v>
      </c>
      <c r="AU1" s="88">
        <f>COLUMN()</f>
        <v>47</v>
      </c>
      <c r="AV1" s="88">
        <f>COLUMN()</f>
        <v>48</v>
      </c>
      <c r="AW1" s="88">
        <f>COLUMN()</f>
        <v>49</v>
      </c>
      <c r="AX1" s="88">
        <f>COLUMN()</f>
        <v>50</v>
      </c>
      <c r="AY1" s="88">
        <f>COLUMN()</f>
        <v>51</v>
      </c>
      <c r="AZ1" s="88">
        <f>COLUMN()</f>
        <v>52</v>
      </c>
      <c r="BB1" s="88" t="str">
        <f>Intro!D46</f>
        <v/>
      </c>
    </row>
    <row r="2" spans="1:76">
      <c r="B2" s="88" t="str">
        <f>CHAR(B1+64)</f>
        <v>B</v>
      </c>
      <c r="C2" s="88" t="str">
        <f t="shared" ref="C2:Z2" si="0">CHAR(C1+64)</f>
        <v>C</v>
      </c>
      <c r="D2" s="88" t="str">
        <f t="shared" si="0"/>
        <v>D</v>
      </c>
      <c r="E2" s="88" t="str">
        <f t="shared" si="0"/>
        <v>E</v>
      </c>
      <c r="F2" s="88" t="str">
        <f t="shared" si="0"/>
        <v>F</v>
      </c>
      <c r="G2" s="88" t="str">
        <f t="shared" si="0"/>
        <v>G</v>
      </c>
      <c r="H2" s="88" t="str">
        <f t="shared" si="0"/>
        <v>H</v>
      </c>
      <c r="I2" s="88" t="str">
        <f t="shared" si="0"/>
        <v>I</v>
      </c>
      <c r="J2" s="88" t="str">
        <f t="shared" si="0"/>
        <v>J</v>
      </c>
      <c r="K2" s="88" t="str">
        <f t="shared" si="0"/>
        <v>K</v>
      </c>
      <c r="L2" s="88" t="str">
        <f t="shared" si="0"/>
        <v>L</v>
      </c>
      <c r="M2" s="88" t="str">
        <f t="shared" si="0"/>
        <v>M</v>
      </c>
      <c r="N2" s="88" t="str">
        <f t="shared" si="0"/>
        <v>N</v>
      </c>
      <c r="O2" s="88" t="str">
        <f t="shared" si="0"/>
        <v>O</v>
      </c>
      <c r="P2" s="88" t="str">
        <f t="shared" si="0"/>
        <v>P</v>
      </c>
      <c r="Q2" s="88" t="str">
        <f t="shared" si="0"/>
        <v>Q</v>
      </c>
      <c r="R2" s="88" t="str">
        <f t="shared" si="0"/>
        <v>R</v>
      </c>
      <c r="S2" s="88" t="str">
        <f t="shared" si="0"/>
        <v>S</v>
      </c>
      <c r="T2" s="88" t="str">
        <f t="shared" si="0"/>
        <v>T</v>
      </c>
      <c r="U2" s="88" t="str">
        <f t="shared" si="0"/>
        <v>U</v>
      </c>
      <c r="V2" s="88" t="str">
        <f t="shared" si="0"/>
        <v>V</v>
      </c>
      <c r="W2" s="88" t="str">
        <f t="shared" si="0"/>
        <v>W</v>
      </c>
      <c r="X2" s="88" t="str">
        <f t="shared" si="0"/>
        <v>X</v>
      </c>
      <c r="Y2" s="88" t="str">
        <f t="shared" si="0"/>
        <v>Y</v>
      </c>
      <c r="Z2" s="88" t="str">
        <f t="shared" si="0"/>
        <v>Z</v>
      </c>
      <c r="AA2" s="88" t="str">
        <f>CONCATENATE("A",CHAR(AA1+38))</f>
        <v>AA</v>
      </c>
      <c r="AB2" s="88" t="str">
        <f t="shared" ref="AB2:AZ2" si="1">CONCATENATE("A",CHAR(AB1+38))</f>
        <v>AB</v>
      </c>
      <c r="AC2" s="88" t="str">
        <f t="shared" si="1"/>
        <v>AC</v>
      </c>
      <c r="AD2" s="88" t="str">
        <f t="shared" si="1"/>
        <v>AD</v>
      </c>
      <c r="AE2" s="88" t="str">
        <f t="shared" si="1"/>
        <v>AE</v>
      </c>
      <c r="AF2" s="88" t="str">
        <f t="shared" si="1"/>
        <v>AF</v>
      </c>
      <c r="AG2" s="88" t="str">
        <f t="shared" si="1"/>
        <v>AG</v>
      </c>
      <c r="AH2" s="88" t="str">
        <f t="shared" si="1"/>
        <v>AH</v>
      </c>
      <c r="AI2" s="88" t="str">
        <f t="shared" si="1"/>
        <v>AI</v>
      </c>
      <c r="AJ2" s="88" t="str">
        <f t="shared" si="1"/>
        <v>AJ</v>
      </c>
      <c r="AK2" s="88" t="str">
        <f t="shared" si="1"/>
        <v>AK</v>
      </c>
      <c r="AL2" s="88" t="str">
        <f t="shared" si="1"/>
        <v>AL</v>
      </c>
      <c r="AM2" s="88" t="str">
        <f t="shared" si="1"/>
        <v>AM</v>
      </c>
      <c r="AN2" s="88" t="str">
        <f t="shared" si="1"/>
        <v>AN</v>
      </c>
      <c r="AO2" s="88" t="str">
        <f t="shared" si="1"/>
        <v>AO</v>
      </c>
      <c r="AP2" s="88" t="str">
        <f t="shared" si="1"/>
        <v>AP</v>
      </c>
      <c r="AQ2" s="88" t="str">
        <f t="shared" si="1"/>
        <v>AQ</v>
      </c>
      <c r="AR2" s="88" t="str">
        <f t="shared" si="1"/>
        <v>AR</v>
      </c>
      <c r="AS2" s="88" t="str">
        <f t="shared" si="1"/>
        <v>AS</v>
      </c>
      <c r="AT2" s="88" t="str">
        <f t="shared" si="1"/>
        <v>AT</v>
      </c>
      <c r="AU2" s="88" t="str">
        <f t="shared" si="1"/>
        <v>AU</v>
      </c>
      <c r="AV2" s="88" t="str">
        <f t="shared" si="1"/>
        <v>AV</v>
      </c>
      <c r="AW2" s="88" t="str">
        <f t="shared" si="1"/>
        <v>AW</v>
      </c>
      <c r="AX2" s="88" t="str">
        <f t="shared" si="1"/>
        <v>AX</v>
      </c>
      <c r="AY2" s="88" t="str">
        <f t="shared" si="1"/>
        <v>AY</v>
      </c>
      <c r="AZ2" s="88" t="str">
        <f t="shared" si="1"/>
        <v>AZ</v>
      </c>
    </row>
    <row r="6" spans="1:76">
      <c r="BD6" s="470"/>
    </row>
    <row r="7" spans="1:76">
      <c r="BA7" s="88">
        <f ca="1">VALUE(INDIRECT(CONCATENATE("BA",BE7+10)))</f>
        <v>219</v>
      </c>
      <c r="BD7" s="472">
        <f ca="1">IF(BD6&gt;0,BD6,DrawFinder!H10)</f>
        <v>25</v>
      </c>
      <c r="BE7" s="88">
        <f ca="1">MATCH(BD7,BD11:BD70,0)</f>
        <v>12</v>
      </c>
    </row>
    <row r="8" spans="1:76">
      <c r="BD8" s="87" t="s">
        <v>190</v>
      </c>
    </row>
    <row r="9" spans="1:76">
      <c r="BD9" s="89">
        <f ca="1">LARGE(BD11:BD70,1)</f>
        <v>37</v>
      </c>
    </row>
    <row r="10" spans="1:76">
      <c r="BA10" s="88">
        <v>1</v>
      </c>
      <c r="BB10" s="88">
        <v>1200</v>
      </c>
      <c r="BD10" s="87" t="s">
        <v>191</v>
      </c>
      <c r="BG10" s="87" t="s">
        <v>192</v>
      </c>
      <c r="BH10" s="87" t="s">
        <v>193</v>
      </c>
      <c r="BJ10" s="87" t="s">
        <v>194</v>
      </c>
      <c r="BK10" s="89" t="s">
        <v>195</v>
      </c>
      <c r="BL10" s="89" t="s">
        <v>196</v>
      </c>
      <c r="BM10" s="87" t="s">
        <v>197</v>
      </c>
      <c r="BN10" s="87" t="s">
        <v>198</v>
      </c>
      <c r="BO10" s="89" t="s">
        <v>199</v>
      </c>
      <c r="BP10" s="89" t="s">
        <v>200</v>
      </c>
      <c r="BQ10" s="89" t="s">
        <v>201</v>
      </c>
      <c r="BR10" s="87" t="s">
        <v>202</v>
      </c>
      <c r="BS10" s="89" t="s">
        <v>203</v>
      </c>
      <c r="BT10" s="89" t="s">
        <v>90</v>
      </c>
      <c r="BU10" s="89" t="s">
        <v>14</v>
      </c>
      <c r="BV10" s="97" t="s">
        <v>204</v>
      </c>
      <c r="BX10" s="285" t="s">
        <v>843</v>
      </c>
    </row>
    <row r="11" spans="1:76">
      <c r="A11" s="90">
        <f>IF(MID(B11,3,2)="08",ROW(),"")</f>
        <v>11</v>
      </c>
      <c r="B11" s="98" t="s">
        <v>442</v>
      </c>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1">
        <f ca="1">IF(BA10=0,0,MIN(INDIRECT(BB11)))</f>
        <v>11</v>
      </c>
      <c r="BB11" s="88" t="str">
        <f>IF(BA10=0,"",CONCATENATE("A",BA10+1,":A",BB$10))</f>
        <v>A2:A1200</v>
      </c>
      <c r="BC11" s="89" t="str">
        <f ca="1">IF(BA11=0,0,CONCATENATE("B",BA11))</f>
        <v>B11</v>
      </c>
      <c r="BD11" s="89">
        <f ca="1">IF(BC11=0,0,RANK(BF11,$BF$11:$BF$70,0)+(COUNTIF($BF11:$BF$70,BF11)-1))</f>
        <v>37</v>
      </c>
      <c r="BE11" s="89" t="str">
        <f ca="1">IF(BC11=0,0,LEFT(INDIRECT(BC11),6))</f>
        <v>160801</v>
      </c>
      <c r="BF11" s="89">
        <f ca="1">VALUE(BW11)</f>
        <v>16080115</v>
      </c>
      <c r="BG11" s="89">
        <f ca="1">IF(BA11=0,0,VALUE(LEFT(BE11,2)))</f>
        <v>16</v>
      </c>
      <c r="BH11" s="89">
        <f ca="1">IF(BA11=0,0,VALUE(MID(BE11,5,2)))</f>
        <v>1</v>
      </c>
      <c r="BI11" s="89" t="str">
        <f ca="1">IF(BA11=0,0,CONCATENATE("B",BA11+BG11+1))</f>
        <v>B28</v>
      </c>
      <c r="BJ11" s="89">
        <f ca="1">IF(BA11=0,0,VALUE(MID(INDIRECT(BI11),4,2)))</f>
        <v>15</v>
      </c>
      <c r="BK11" s="89">
        <f ca="1">IF(BA11=0,0,VALUE(MID(INDIRECT(BI11),9,2)))</f>
        <v>15</v>
      </c>
      <c r="BL11" s="89">
        <f ca="1">IF(BA11=0,0,VALUE(MID(INDIRECT(BI11),14,3)))</f>
        <v>120</v>
      </c>
      <c r="BM11" s="89">
        <f ca="1">IF(BA11=0,0,2+BK11)</f>
        <v>17</v>
      </c>
      <c r="BN11" s="89" t="str">
        <f ca="1">IF(BA11=0,0,CONCATENATE("S8!B",BA11+1,":",HLOOKUP(BM11,$B$1:$AZ$2,2,FALSE),BA11+BG11))</f>
        <v>S8!B12:Q27</v>
      </c>
      <c r="BO11" s="89" t="str">
        <f ca="1">IF(BA11=0,0,IF(BV11="c","c",IF(ISERROR(FIND("s",INDIRECT($BC11))),IF(ISERROR(FIND("e",INDIRECT($BC11))),"L","e"),"s")))</f>
        <v>s</v>
      </c>
      <c r="BP11" s="89" t="str">
        <f ca="1">IF(BA11=0,0,IF(ISERROR(FIND("b",INDIRECT($BC11))),IF(ISERROR(FIND("w",INDIRECT($BC11))),"","w"),"b"))</f>
        <v/>
      </c>
      <c r="BQ11" s="89" t="str">
        <f ca="1">IF(BA11=0,0,IF(ISERROR(FIND("w",INDIRECT($BC11))),"","w"))</f>
        <v/>
      </c>
      <c r="BR11" s="87" t="str">
        <f ca="1">IF(BA11=0,0,IF(ISERROR(FIND("x",INDIRECT($BC11))),IF(ISERROR(FIND("E",INDIRECT($BC11))),"","E"),"x"))</f>
        <v/>
      </c>
      <c r="BS11" s="89" t="str">
        <f ca="1">IF(BA11=0,0,IF(ISERROR(FIND("a",INDIRECT($BC11))),"","a"))</f>
        <v/>
      </c>
      <c r="BT11" s="89" t="str">
        <f ca="1">IF(BA11=0,0,IF(ISERROR(FIND("E",INDIRECT($BC11))),"","E"))</f>
        <v/>
      </c>
      <c r="BU11" s="89" t="str">
        <f ca="1">IF(BA11=0,0,IF(ISERROR(FIND("X",INDIRECT($BC11))),"","X"))</f>
        <v/>
      </c>
      <c r="BV11" s="87" t="str">
        <f ca="1">IF(BA11=0,0,IF(ISERROR(FIND("c",INDIRECT($BC11))),"","c"))</f>
        <v/>
      </c>
      <c r="BW11" s="87" t="str">
        <f ca="1">CONCATENATE(BE11,IF(BK11&lt;10,"0",""),BK11)</f>
        <v>16080115</v>
      </c>
      <c r="BX11" s="89">
        <f ca="1">IF(BV11="c",RIGHT(INDIRECT(BC11),2),0)</f>
        <v>0</v>
      </c>
    </row>
    <row r="12" spans="1:76">
      <c r="A12" s="90" t="str">
        <f t="shared" ref="A12:A75" si="2">IF(MID(B12,3,2)="08",ROW(),"")</f>
        <v/>
      </c>
      <c r="B12" s="98">
        <v>1</v>
      </c>
      <c r="C12" s="94">
        <v>6</v>
      </c>
      <c r="D12" s="94">
        <v>3</v>
      </c>
      <c r="E12" s="94">
        <v>-5</v>
      </c>
      <c r="F12" s="94">
        <v>7</v>
      </c>
      <c r="G12" s="94">
        <v>1</v>
      </c>
      <c r="H12" s="94">
        <v>4</v>
      </c>
      <c r="I12" s="94">
        <v>2</v>
      </c>
      <c r="J12" s="94">
        <v>-8</v>
      </c>
      <c r="K12" s="94">
        <v>-3</v>
      </c>
      <c r="L12" s="94">
        <v>-1</v>
      </c>
      <c r="M12" s="94">
        <v>-7</v>
      </c>
      <c r="N12" s="94">
        <v>5</v>
      </c>
      <c r="O12" s="94">
        <v>-2</v>
      </c>
      <c r="P12" s="94">
        <v>-6</v>
      </c>
      <c r="Q12" s="94">
        <v>-4</v>
      </c>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1">
        <f t="shared" ref="BA12:BA70" ca="1" si="3">IF(BA11=0,0,MIN(INDIRECT(BB12)))</f>
        <v>29</v>
      </c>
      <c r="BB12" s="88" t="str">
        <f t="shared" ref="BB12:BB70" ca="1" si="4">IF(BA11=0,"",CONCATENATE("A",BA11+1,":A",BB$10))</f>
        <v>A12:A1200</v>
      </c>
      <c r="BC12" s="89" t="str">
        <f t="shared" ref="BC12:BC70" ca="1" si="5">IF(BA12=0,0,CONCATENATE("B",BA12))</f>
        <v>B29</v>
      </c>
      <c r="BD12" s="89">
        <f ca="1">IF(BC12=0,0,RANK(BF12,$BF$11:$BF$70,0)+(COUNTIF($BF12:$BF$70,BF12)-1))</f>
        <v>36</v>
      </c>
      <c r="BE12" s="89" t="str">
        <f t="shared" ref="BE12:BE70" ca="1" si="6">IF(BC12=0,0,LEFT(INDIRECT(BC12),6))</f>
        <v>160802</v>
      </c>
      <c r="BF12" s="89">
        <f t="shared" ref="BF12:BF70" ca="1" si="7">VALUE(BW12)</f>
        <v>16080207</v>
      </c>
      <c r="BG12" s="89">
        <f t="shared" ref="BG12:BG70" ca="1" si="8">IF(BA12=0,0,VALUE(LEFT(BE12,2)))</f>
        <v>16</v>
      </c>
      <c r="BH12" s="89">
        <f t="shared" ref="BH12:BH70" ca="1" si="9">IF(BA12=0,0,VALUE(MID(BE12,5,2)))</f>
        <v>2</v>
      </c>
      <c r="BI12" s="89" t="str">
        <f t="shared" ref="BI12:BI70" ca="1" si="10">IF(BA12=0,0,CONCATENATE("B",BA12+BG12+1))</f>
        <v>B46</v>
      </c>
      <c r="BJ12" s="89">
        <f t="shared" ref="BJ12:BJ70" ca="1" si="11">IF(BA12=0,0,VALUE(MID(INDIRECT(BI12),4,2)))</f>
        <v>7</v>
      </c>
      <c r="BK12" s="89">
        <f t="shared" ref="BK12:BK70" ca="1" si="12">IF(BA12=0,0,VALUE(MID(INDIRECT(BI12),9,2)))</f>
        <v>7</v>
      </c>
      <c r="BL12" s="89">
        <f t="shared" ref="BL12:BL70" ca="1" si="13">IF(BA12=0,0,VALUE(MID(INDIRECT(BI12),14,3)))</f>
        <v>56</v>
      </c>
      <c r="BM12" s="89">
        <f t="shared" ref="BM12:BM70" ca="1" si="14">IF(BA12=0,0,2+BK12)</f>
        <v>9</v>
      </c>
      <c r="BN12" s="89" t="str">
        <f t="shared" ref="BN12:BN70" ca="1" si="15">IF(BA12=0,0,CONCATENATE("S8!B",BA12+1,":",HLOOKUP(BM12,$B$1:$AZ$2,2,FALSE),BA12+BG12))</f>
        <v>S8!B30:I45</v>
      </c>
      <c r="BO12" s="89" t="str">
        <f t="shared" ref="BO12:BO70" ca="1" si="16">IF(BA12=0,0,IF(BV12="c","c",IF(ISERROR(FIND("s",INDIRECT($BC12))),IF(ISERROR(FIND("e",INDIRECT($BC12))),"L","e"),"s")))</f>
        <v>s</v>
      </c>
      <c r="BP12" s="89" t="str">
        <f t="shared" ref="BP12:BP70" ca="1" si="17">IF(BA12=0,0,IF(ISERROR(FIND("b",INDIRECT($BC12))),IF(ISERROR(FIND("w",INDIRECT($BC12))),"","w"),"b"))</f>
        <v/>
      </c>
      <c r="BQ12" s="89" t="str">
        <f t="shared" ref="BQ12:BQ70" ca="1" si="18">IF(BA12=0,0,IF(ISERROR(FIND("w",INDIRECT($BC12))),"","w"))</f>
        <v/>
      </c>
      <c r="BR12" s="87" t="str">
        <f t="shared" ref="BR12:BR70" ca="1" si="19">IF(BA12=0,0,IF(ISERROR(FIND("x",INDIRECT($BC12))),IF(ISERROR(FIND("E",INDIRECT($BC12))),"","E"),"x"))</f>
        <v/>
      </c>
      <c r="BS12" s="89" t="str">
        <f t="shared" ref="BS12:BS70" ca="1" si="20">IF(BA12=0,0,IF(ISERROR(FIND("a",INDIRECT($BC12))),"","a"))</f>
        <v/>
      </c>
      <c r="BT12" s="89" t="str">
        <f t="shared" ref="BT12:BT70" ca="1" si="21">IF(BA12=0,0,IF(ISERROR(FIND("E",INDIRECT($BC12))),"","E"))</f>
        <v/>
      </c>
      <c r="BU12" s="89" t="str">
        <f t="shared" ref="BU12:BU70" ca="1" si="22">IF(BA12=0,0,IF(ISERROR(FIND("X",INDIRECT($BC12))),"","X"))</f>
        <v/>
      </c>
      <c r="BV12" s="87" t="str">
        <f t="shared" ref="BV12:BV70" ca="1" si="23">IF(BA12=0,0,IF(ISERROR(FIND("c",INDIRECT($BC12))),"","c"))</f>
        <v/>
      </c>
      <c r="BW12" s="87" t="str">
        <f t="shared" ref="BW12:BW70" ca="1" si="24">CONCATENATE(BE12,IF(BK12&lt;10,"0",""),BK12)</f>
        <v>16080207</v>
      </c>
      <c r="BX12" s="89">
        <f t="shared" ref="BX12:BX70" ca="1" si="25">IF(BV12="c",RIGHT(INDIRECT(BC12),2),0)</f>
        <v>0</v>
      </c>
    </row>
    <row r="13" spans="1:76">
      <c r="A13" s="90" t="str">
        <f t="shared" si="2"/>
        <v/>
      </c>
      <c r="B13" s="98">
        <v>2</v>
      </c>
      <c r="C13" s="94">
        <v>7</v>
      </c>
      <c r="D13" s="94">
        <v>-5</v>
      </c>
      <c r="E13" s="94">
        <v>-1</v>
      </c>
      <c r="F13" s="94">
        <v>3</v>
      </c>
      <c r="G13" s="94">
        <v>6</v>
      </c>
      <c r="H13" s="94">
        <v>-8</v>
      </c>
      <c r="I13" s="94">
        <v>-4</v>
      </c>
      <c r="J13" s="94">
        <v>-2</v>
      </c>
      <c r="K13" s="94">
        <v>1</v>
      </c>
      <c r="L13" s="94">
        <v>5</v>
      </c>
      <c r="M13" s="94">
        <v>8</v>
      </c>
      <c r="N13" s="94">
        <v>-6</v>
      </c>
      <c r="O13" s="94">
        <v>-7</v>
      </c>
      <c r="P13" s="94">
        <v>-3</v>
      </c>
      <c r="Q13" s="94">
        <v>4</v>
      </c>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1">
        <f t="shared" ca="1" si="3"/>
        <v>47</v>
      </c>
      <c r="BB13" s="88" t="str">
        <f t="shared" ca="1" si="4"/>
        <v>A30:A1200</v>
      </c>
      <c r="BC13" s="89" t="str">
        <f t="shared" ca="1" si="5"/>
        <v>B47</v>
      </c>
      <c r="BD13" s="89">
        <f ca="1">IF(BC13=0,0,RANK(BF13,$BF$11:$BF$70,0)+(COUNTIF($BF13:$BF$70,BF13)-1))</f>
        <v>35</v>
      </c>
      <c r="BE13" s="89" t="str">
        <f t="shared" ca="1" si="6"/>
        <v>160803</v>
      </c>
      <c r="BF13" s="89">
        <f t="shared" ca="1" si="7"/>
        <v>16080305</v>
      </c>
      <c r="BG13" s="89">
        <f t="shared" ca="1" si="8"/>
        <v>16</v>
      </c>
      <c r="BH13" s="89">
        <f t="shared" ca="1" si="9"/>
        <v>3</v>
      </c>
      <c r="BI13" s="89" t="str">
        <f t="shared" ca="1" si="10"/>
        <v>B64</v>
      </c>
      <c r="BJ13" s="89">
        <f t="shared" ca="1" si="11"/>
        <v>5</v>
      </c>
      <c r="BK13" s="89">
        <f t="shared" ca="1" si="12"/>
        <v>5</v>
      </c>
      <c r="BL13" s="89">
        <f t="shared" ca="1" si="13"/>
        <v>40</v>
      </c>
      <c r="BM13" s="89">
        <f t="shared" ca="1" si="14"/>
        <v>7</v>
      </c>
      <c r="BN13" s="89" t="str">
        <f t="shared" ca="1" si="15"/>
        <v>S8!B48:G63</v>
      </c>
      <c r="BO13" s="89" t="str">
        <f t="shared" ca="1" si="16"/>
        <v>s</v>
      </c>
      <c r="BP13" s="89" t="str">
        <f t="shared" ca="1" si="17"/>
        <v/>
      </c>
      <c r="BQ13" s="89" t="str">
        <f t="shared" ca="1" si="18"/>
        <v/>
      </c>
      <c r="BR13" s="87" t="str">
        <f t="shared" ca="1" si="19"/>
        <v>x</v>
      </c>
      <c r="BS13" s="89" t="str">
        <f t="shared" ca="1" si="20"/>
        <v/>
      </c>
      <c r="BT13" s="89" t="str">
        <f t="shared" ca="1" si="21"/>
        <v/>
      </c>
      <c r="BU13" s="89" t="str">
        <f t="shared" ca="1" si="22"/>
        <v/>
      </c>
      <c r="BV13" s="87" t="str">
        <f t="shared" ca="1" si="23"/>
        <v/>
      </c>
      <c r="BW13" s="87" t="str">
        <f t="shared" ca="1" si="24"/>
        <v>16080305</v>
      </c>
      <c r="BX13" s="89">
        <f t="shared" ca="1" si="25"/>
        <v>0</v>
      </c>
    </row>
    <row r="14" spans="1:76">
      <c r="A14" s="90" t="str">
        <f t="shared" si="2"/>
        <v/>
      </c>
      <c r="B14" s="98">
        <v>3</v>
      </c>
      <c r="C14" s="94">
        <v>-1</v>
      </c>
      <c r="D14" s="94">
        <v>2</v>
      </c>
      <c r="E14" s="94">
        <v>-7</v>
      </c>
      <c r="F14" s="94">
        <v>8</v>
      </c>
      <c r="G14" s="94">
        <v>-4</v>
      </c>
      <c r="H14" s="94">
        <v>-6</v>
      </c>
      <c r="I14" s="94">
        <v>-5</v>
      </c>
      <c r="J14" s="94">
        <v>1</v>
      </c>
      <c r="K14" s="94">
        <v>-2</v>
      </c>
      <c r="L14" s="94">
        <v>-8</v>
      </c>
      <c r="M14" s="94">
        <v>3</v>
      </c>
      <c r="N14" s="94">
        <v>4</v>
      </c>
      <c r="O14" s="94">
        <v>7</v>
      </c>
      <c r="P14" s="94">
        <v>6</v>
      </c>
      <c r="Q14" s="94">
        <v>5</v>
      </c>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1">
        <f t="shared" ca="1" si="3"/>
        <v>65</v>
      </c>
      <c r="BB14" s="88" t="str">
        <f t="shared" ca="1" si="4"/>
        <v>A48:A1200</v>
      </c>
      <c r="BC14" s="89" t="str">
        <f t="shared" ca="1" si="5"/>
        <v>B65</v>
      </c>
      <c r="BD14" s="89">
        <f ca="1">IF(BC14=0,0,RANK(BF14,$BF$11:$BF$70,0)+(COUNTIF($BF14:$BF$70,BF14)-1))</f>
        <v>34</v>
      </c>
      <c r="BE14" s="89" t="str">
        <f t="shared" ca="1" si="6"/>
        <v>160804</v>
      </c>
      <c r="BF14" s="89">
        <f t="shared" ca="1" si="7"/>
        <v>16080403</v>
      </c>
      <c r="BG14" s="89">
        <f t="shared" ca="1" si="8"/>
        <v>16</v>
      </c>
      <c r="BH14" s="89">
        <f t="shared" ca="1" si="9"/>
        <v>4</v>
      </c>
      <c r="BI14" s="89" t="str">
        <f t="shared" ca="1" si="10"/>
        <v>B82</v>
      </c>
      <c r="BJ14" s="89">
        <f t="shared" ca="1" si="11"/>
        <v>3</v>
      </c>
      <c r="BK14" s="89">
        <f t="shared" ca="1" si="12"/>
        <v>3</v>
      </c>
      <c r="BL14" s="89">
        <f t="shared" ca="1" si="13"/>
        <v>24</v>
      </c>
      <c r="BM14" s="89">
        <f t="shared" ca="1" si="14"/>
        <v>5</v>
      </c>
      <c r="BN14" s="89" t="str">
        <f t="shared" ca="1" si="15"/>
        <v>S8!B66:E81</v>
      </c>
      <c r="BO14" s="89" t="str">
        <f t="shared" ca="1" si="16"/>
        <v>s</v>
      </c>
      <c r="BP14" s="89" t="str">
        <f t="shared" ca="1" si="17"/>
        <v/>
      </c>
      <c r="BQ14" s="89" t="str">
        <f t="shared" ca="1" si="18"/>
        <v/>
      </c>
      <c r="BR14" s="87" t="str">
        <f t="shared" ca="1" si="19"/>
        <v/>
      </c>
      <c r="BS14" s="89" t="str">
        <f t="shared" ca="1" si="20"/>
        <v/>
      </c>
      <c r="BT14" s="89" t="str">
        <f t="shared" ca="1" si="21"/>
        <v/>
      </c>
      <c r="BU14" s="89" t="str">
        <f t="shared" ca="1" si="22"/>
        <v/>
      </c>
      <c r="BV14" s="87" t="str">
        <f t="shared" ca="1" si="23"/>
        <v/>
      </c>
      <c r="BW14" s="87" t="str">
        <f t="shared" ca="1" si="24"/>
        <v>16080403</v>
      </c>
      <c r="BX14" s="89">
        <f t="shared" ca="1" si="25"/>
        <v>0</v>
      </c>
    </row>
    <row r="15" spans="1:76">
      <c r="A15" s="90" t="str">
        <f t="shared" si="2"/>
        <v/>
      </c>
      <c r="B15" s="98">
        <v>4</v>
      </c>
      <c r="C15" s="94">
        <v>5</v>
      </c>
      <c r="D15" s="94">
        <v>-4</v>
      </c>
      <c r="E15" s="94">
        <v>-8</v>
      </c>
      <c r="F15" s="94">
        <v>-2</v>
      </c>
      <c r="G15" s="94">
        <v>-7</v>
      </c>
      <c r="H15" s="94">
        <v>1</v>
      </c>
      <c r="I15" s="94">
        <v>-3</v>
      </c>
      <c r="J15" s="94">
        <v>4</v>
      </c>
      <c r="K15" s="94">
        <v>8</v>
      </c>
      <c r="L15" s="94">
        <v>6</v>
      </c>
      <c r="M15" s="94">
        <v>-1</v>
      </c>
      <c r="N15" s="94">
        <v>7</v>
      </c>
      <c r="O15" s="94">
        <v>2</v>
      </c>
      <c r="P15" s="94">
        <v>3</v>
      </c>
      <c r="Q15" s="94">
        <v>-5</v>
      </c>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1">
        <f t="shared" ca="1" si="3"/>
        <v>83</v>
      </c>
      <c r="BB15" s="88" t="str">
        <f t="shared" ca="1" si="4"/>
        <v>A66:A1200</v>
      </c>
      <c r="BC15" s="89" t="str">
        <f t="shared" ca="1" si="5"/>
        <v>B83</v>
      </c>
      <c r="BD15" s="89">
        <f ca="1">IF(BC15=0,0,RANK(BF15,$BF$11:$BF$70,0)+(COUNTIF($BF15:$BF$70,BF15)-1))</f>
        <v>33</v>
      </c>
      <c r="BE15" s="89" t="str">
        <f t="shared" ca="1" si="6"/>
        <v>170801</v>
      </c>
      <c r="BF15" s="89">
        <f t="shared" ca="1" si="7"/>
        <v>17080117</v>
      </c>
      <c r="BG15" s="89">
        <f t="shared" ca="1" si="8"/>
        <v>17</v>
      </c>
      <c r="BH15" s="89">
        <f t="shared" ca="1" si="9"/>
        <v>1</v>
      </c>
      <c r="BI15" s="89" t="str">
        <f t="shared" ca="1" si="10"/>
        <v>B101</v>
      </c>
      <c r="BJ15" s="89">
        <f t="shared" ca="1" si="11"/>
        <v>16</v>
      </c>
      <c r="BK15" s="89">
        <f t="shared" ca="1" si="12"/>
        <v>17</v>
      </c>
      <c r="BL15" s="89">
        <f t="shared" ca="1" si="13"/>
        <v>136</v>
      </c>
      <c r="BM15" s="89">
        <f t="shared" ca="1" si="14"/>
        <v>19</v>
      </c>
      <c r="BN15" s="89" t="str">
        <f t="shared" ca="1" si="15"/>
        <v>S8!B84:S100</v>
      </c>
      <c r="BO15" s="89" t="str">
        <f t="shared" ca="1" si="16"/>
        <v>s</v>
      </c>
      <c r="BP15" s="89" t="str">
        <f t="shared" ca="1" si="17"/>
        <v>b</v>
      </c>
      <c r="BQ15" s="89" t="str">
        <f t="shared" ca="1" si="18"/>
        <v/>
      </c>
      <c r="BR15" s="87" t="str">
        <f t="shared" ca="1" si="19"/>
        <v/>
      </c>
      <c r="BS15" s="89" t="str">
        <f t="shared" ca="1" si="20"/>
        <v/>
      </c>
      <c r="BT15" s="89" t="str">
        <f t="shared" ca="1" si="21"/>
        <v/>
      </c>
      <c r="BU15" s="89" t="str">
        <f t="shared" ca="1" si="22"/>
        <v/>
      </c>
      <c r="BV15" s="87" t="str">
        <f t="shared" ca="1" si="23"/>
        <v/>
      </c>
      <c r="BW15" s="87" t="str">
        <f t="shared" ca="1" si="24"/>
        <v>17080117</v>
      </c>
      <c r="BX15" s="89">
        <f t="shared" ca="1" si="25"/>
        <v>0</v>
      </c>
    </row>
    <row r="16" spans="1:76">
      <c r="A16" s="90" t="str">
        <f t="shared" si="2"/>
        <v/>
      </c>
      <c r="B16" s="98">
        <v>5</v>
      </c>
      <c r="C16" s="94">
        <v>-3</v>
      </c>
      <c r="D16" s="94">
        <v>7</v>
      </c>
      <c r="E16" s="94">
        <v>4</v>
      </c>
      <c r="F16" s="94">
        <v>-6</v>
      </c>
      <c r="G16" s="94">
        <v>-1</v>
      </c>
      <c r="H16" s="94">
        <v>5</v>
      </c>
      <c r="I16" s="94">
        <v>-8</v>
      </c>
      <c r="J16" s="94">
        <v>-7</v>
      </c>
      <c r="K16" s="94">
        <v>2</v>
      </c>
      <c r="L16" s="94">
        <v>-4</v>
      </c>
      <c r="M16" s="94">
        <v>1</v>
      </c>
      <c r="N16" s="94">
        <v>6</v>
      </c>
      <c r="O16" s="94">
        <v>8</v>
      </c>
      <c r="P16" s="94">
        <v>-5</v>
      </c>
      <c r="Q16" s="94">
        <v>3</v>
      </c>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1">
        <f t="shared" ca="1" si="3"/>
        <v>102</v>
      </c>
      <c r="BB16" s="88" t="str">
        <f t="shared" ca="1" si="4"/>
        <v>A84:A1200</v>
      </c>
      <c r="BC16" s="89" t="str">
        <f t="shared" ca="1" si="5"/>
        <v>B102</v>
      </c>
      <c r="BD16" s="89">
        <f ca="1">IF(BC16=0,0,RANK(BF16,$BF$11:$BF$70,0)+(COUNTIF($BF16:$BF$70,BF16)-1))</f>
        <v>32</v>
      </c>
      <c r="BE16" s="89" t="str">
        <f t="shared" ca="1" si="6"/>
        <v>170802</v>
      </c>
      <c r="BF16" s="89">
        <f t="shared" ca="1" si="7"/>
        <v>17080209</v>
      </c>
      <c r="BG16" s="89">
        <f t="shared" ca="1" si="8"/>
        <v>17</v>
      </c>
      <c r="BH16" s="89">
        <f t="shared" ca="1" si="9"/>
        <v>2</v>
      </c>
      <c r="BI16" s="89" t="str">
        <f t="shared" ca="1" si="10"/>
        <v>B120</v>
      </c>
      <c r="BJ16" s="89">
        <f t="shared" ca="1" si="11"/>
        <v>8</v>
      </c>
      <c r="BK16" s="89">
        <f t="shared" ca="1" si="12"/>
        <v>9</v>
      </c>
      <c r="BL16" s="89">
        <f t="shared" ca="1" si="13"/>
        <v>68</v>
      </c>
      <c r="BM16" s="89">
        <f t="shared" ca="1" si="14"/>
        <v>11</v>
      </c>
      <c r="BN16" s="89" t="str">
        <f t="shared" ca="1" si="15"/>
        <v>S8!B103:K119</v>
      </c>
      <c r="BO16" s="89" t="str">
        <f t="shared" ca="1" si="16"/>
        <v>s</v>
      </c>
      <c r="BP16" s="89" t="str">
        <f t="shared" ca="1" si="17"/>
        <v>b</v>
      </c>
      <c r="BQ16" s="89" t="str">
        <f t="shared" ca="1" si="18"/>
        <v/>
      </c>
      <c r="BR16" s="87" t="str">
        <f t="shared" ca="1" si="19"/>
        <v/>
      </c>
      <c r="BS16" s="89" t="str">
        <f t="shared" ca="1" si="20"/>
        <v>a</v>
      </c>
      <c r="BT16" s="89" t="str">
        <f t="shared" ca="1" si="21"/>
        <v/>
      </c>
      <c r="BU16" s="89" t="str">
        <f t="shared" ca="1" si="22"/>
        <v/>
      </c>
      <c r="BV16" s="87" t="str">
        <f t="shared" ca="1" si="23"/>
        <v/>
      </c>
      <c r="BW16" s="87" t="str">
        <f t="shared" ca="1" si="24"/>
        <v>17080209</v>
      </c>
      <c r="BX16" s="89">
        <f t="shared" ca="1" si="25"/>
        <v>0</v>
      </c>
    </row>
    <row r="17" spans="1:76">
      <c r="A17" s="90" t="str">
        <f t="shared" si="2"/>
        <v/>
      </c>
      <c r="B17" s="98">
        <v>6</v>
      </c>
      <c r="C17" s="94">
        <v>-7</v>
      </c>
      <c r="D17" s="94">
        <v>-1</v>
      </c>
      <c r="E17" s="94">
        <v>-6</v>
      </c>
      <c r="F17" s="94">
        <v>5</v>
      </c>
      <c r="G17" s="94">
        <v>-8</v>
      </c>
      <c r="H17" s="94">
        <v>-2</v>
      </c>
      <c r="I17" s="94">
        <v>3</v>
      </c>
      <c r="J17" s="94">
        <v>6</v>
      </c>
      <c r="K17" s="94">
        <v>7</v>
      </c>
      <c r="L17" s="94">
        <v>8</v>
      </c>
      <c r="M17" s="94">
        <v>2</v>
      </c>
      <c r="N17" s="94">
        <v>-5</v>
      </c>
      <c r="O17" s="94">
        <v>1</v>
      </c>
      <c r="P17" s="94">
        <v>-4</v>
      </c>
      <c r="Q17" s="94">
        <v>-3</v>
      </c>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1">
        <f t="shared" ca="1" si="3"/>
        <v>121</v>
      </c>
      <c r="BB17" s="88" t="str">
        <f t="shared" ca="1" si="4"/>
        <v>A103:A1200</v>
      </c>
      <c r="BC17" s="89" t="str">
        <f t="shared" ca="1" si="5"/>
        <v>B121</v>
      </c>
      <c r="BD17" s="89">
        <f ca="1">IF(BC17=0,0,RANK(BF17,$BF$11:$BF$70,0)+(COUNTIF($BF17:$BF$70,BF17)-1))</f>
        <v>31</v>
      </c>
      <c r="BE17" s="89" t="str">
        <f t="shared" ca="1" si="6"/>
        <v>170803</v>
      </c>
      <c r="BF17" s="89">
        <f t="shared" ca="1" si="7"/>
        <v>17080305</v>
      </c>
      <c r="BG17" s="89">
        <f t="shared" ca="1" si="8"/>
        <v>17</v>
      </c>
      <c r="BH17" s="89">
        <f t="shared" ca="1" si="9"/>
        <v>3</v>
      </c>
      <c r="BI17" s="89" t="str">
        <f t="shared" ca="1" si="10"/>
        <v>B139</v>
      </c>
      <c r="BJ17" s="89">
        <f t="shared" ca="1" si="11"/>
        <v>5</v>
      </c>
      <c r="BK17" s="89">
        <f t="shared" ca="1" si="12"/>
        <v>5</v>
      </c>
      <c r="BL17" s="89">
        <f t="shared" ca="1" si="13"/>
        <v>40</v>
      </c>
      <c r="BM17" s="89">
        <f t="shared" ca="1" si="14"/>
        <v>7</v>
      </c>
      <c r="BN17" s="89" t="str">
        <f t="shared" ca="1" si="15"/>
        <v>S8!B122:G138</v>
      </c>
      <c r="BO17" s="89" t="str">
        <f t="shared" ca="1" si="16"/>
        <v>s</v>
      </c>
      <c r="BP17" s="89" t="str">
        <f t="shared" ca="1" si="17"/>
        <v>w</v>
      </c>
      <c r="BQ17" s="89" t="str">
        <f t="shared" ca="1" si="18"/>
        <v>w</v>
      </c>
      <c r="BR17" s="87" t="str">
        <f t="shared" ca="1" si="19"/>
        <v/>
      </c>
      <c r="BS17" s="89" t="str">
        <f t="shared" ca="1" si="20"/>
        <v/>
      </c>
      <c r="BT17" s="89" t="str">
        <f t="shared" ca="1" si="21"/>
        <v/>
      </c>
      <c r="BU17" s="89" t="str">
        <f t="shared" ca="1" si="22"/>
        <v/>
      </c>
      <c r="BV17" s="87" t="str">
        <f t="shared" ca="1" si="23"/>
        <v/>
      </c>
      <c r="BW17" s="87" t="str">
        <f t="shared" ca="1" si="24"/>
        <v>17080305</v>
      </c>
      <c r="BX17" s="89">
        <f t="shared" ca="1" si="25"/>
        <v>0</v>
      </c>
    </row>
    <row r="18" spans="1:76">
      <c r="A18" s="90" t="str">
        <f t="shared" si="2"/>
        <v/>
      </c>
      <c r="B18" s="98">
        <v>7</v>
      </c>
      <c r="C18" s="94">
        <v>8</v>
      </c>
      <c r="D18" s="94">
        <v>-6</v>
      </c>
      <c r="E18" s="94">
        <v>2</v>
      </c>
      <c r="F18" s="94">
        <v>1</v>
      </c>
      <c r="G18" s="94">
        <v>3</v>
      </c>
      <c r="H18" s="94">
        <v>-4</v>
      </c>
      <c r="I18" s="94">
        <v>7</v>
      </c>
      <c r="J18" s="94">
        <v>5</v>
      </c>
      <c r="K18" s="94">
        <v>-1</v>
      </c>
      <c r="L18" s="94">
        <v>-2</v>
      </c>
      <c r="M18" s="94">
        <v>-3</v>
      </c>
      <c r="N18" s="94">
        <v>-7</v>
      </c>
      <c r="O18" s="94">
        <v>-8</v>
      </c>
      <c r="P18" s="94">
        <v>4</v>
      </c>
      <c r="Q18" s="94">
        <v>6</v>
      </c>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1">
        <f t="shared" ca="1" si="3"/>
        <v>140</v>
      </c>
      <c r="BB18" s="88" t="str">
        <f t="shared" ca="1" si="4"/>
        <v>A122:A1200</v>
      </c>
      <c r="BC18" s="89" t="str">
        <f t="shared" ca="1" si="5"/>
        <v>B140</v>
      </c>
      <c r="BD18" s="89">
        <f ca="1">IF(BC18=0,0,RANK(BF18,$BF$11:$BF$70,0)+(COUNTIF($BF18:$BF$70,BF18)-1))</f>
        <v>30</v>
      </c>
      <c r="BE18" s="89" t="str">
        <f t="shared" ca="1" si="6"/>
        <v>170804</v>
      </c>
      <c r="BF18" s="89">
        <f t="shared" ca="1" si="7"/>
        <v>17080405</v>
      </c>
      <c r="BG18" s="89">
        <f t="shared" ca="1" si="8"/>
        <v>17</v>
      </c>
      <c r="BH18" s="89">
        <f t="shared" ca="1" si="9"/>
        <v>4</v>
      </c>
      <c r="BI18" s="89" t="str">
        <f t="shared" ca="1" si="10"/>
        <v>B158</v>
      </c>
      <c r="BJ18" s="89">
        <f t="shared" ca="1" si="11"/>
        <v>4</v>
      </c>
      <c r="BK18" s="89">
        <f t="shared" ca="1" si="12"/>
        <v>5</v>
      </c>
      <c r="BL18" s="89">
        <f t="shared" ca="1" si="13"/>
        <v>34</v>
      </c>
      <c r="BM18" s="89">
        <f t="shared" ca="1" si="14"/>
        <v>7</v>
      </c>
      <c r="BN18" s="89" t="str">
        <f t="shared" ca="1" si="15"/>
        <v>S8!B141:G157</v>
      </c>
      <c r="BO18" s="89" t="str">
        <f t="shared" ca="1" si="16"/>
        <v>s</v>
      </c>
      <c r="BP18" s="89" t="str">
        <f t="shared" ca="1" si="17"/>
        <v>b</v>
      </c>
      <c r="BQ18" s="89" t="str">
        <f t="shared" ca="1" si="18"/>
        <v/>
      </c>
      <c r="BR18" s="87" t="str">
        <f t="shared" ca="1" si="19"/>
        <v/>
      </c>
      <c r="BS18" s="89" t="str">
        <f t="shared" ca="1" si="20"/>
        <v>a</v>
      </c>
      <c r="BT18" s="89" t="str">
        <f t="shared" ca="1" si="21"/>
        <v/>
      </c>
      <c r="BU18" s="89" t="str">
        <f t="shared" ca="1" si="22"/>
        <v/>
      </c>
      <c r="BV18" s="87" t="str">
        <f t="shared" ca="1" si="23"/>
        <v/>
      </c>
      <c r="BW18" s="87" t="str">
        <f t="shared" ca="1" si="24"/>
        <v>17080405</v>
      </c>
      <c r="BX18" s="89">
        <f t="shared" ca="1" si="25"/>
        <v>0</v>
      </c>
    </row>
    <row r="19" spans="1:76">
      <c r="A19" s="90" t="str">
        <f t="shared" si="2"/>
        <v/>
      </c>
      <c r="B19" s="98">
        <v>8</v>
      </c>
      <c r="C19" s="94">
        <v>-2</v>
      </c>
      <c r="D19" s="94">
        <v>8</v>
      </c>
      <c r="E19" s="94">
        <v>3</v>
      </c>
      <c r="F19" s="94">
        <v>4</v>
      </c>
      <c r="G19" s="94">
        <v>-5</v>
      </c>
      <c r="H19" s="94">
        <v>-7</v>
      </c>
      <c r="I19" s="94">
        <v>6</v>
      </c>
      <c r="J19" s="94">
        <v>2</v>
      </c>
      <c r="K19" s="94">
        <v>-8</v>
      </c>
      <c r="L19" s="94">
        <v>-3</v>
      </c>
      <c r="M19" s="94">
        <v>7</v>
      </c>
      <c r="N19" s="94">
        <v>-4</v>
      </c>
      <c r="O19" s="94">
        <v>-1</v>
      </c>
      <c r="P19" s="94">
        <v>5</v>
      </c>
      <c r="Q19" s="94">
        <v>-6</v>
      </c>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1">
        <f t="shared" ca="1" si="3"/>
        <v>159</v>
      </c>
      <c r="BB19" s="88" t="str">
        <f t="shared" ca="1" si="4"/>
        <v>A141:A1200</v>
      </c>
      <c r="BC19" s="89" t="str">
        <f t="shared" ca="1" si="5"/>
        <v>B159</v>
      </c>
      <c r="BD19" s="89">
        <f ca="1">IF(BC19=0,0,RANK(BF19,$BF$11:$BF$70,0)+(COUNTIF($BF19:$BF$70,BF19)-1))</f>
        <v>29</v>
      </c>
      <c r="BE19" s="89" t="str">
        <f t="shared" ca="1" si="6"/>
        <v>180801</v>
      </c>
      <c r="BF19" s="89">
        <f t="shared" ca="1" si="7"/>
        <v>18080120</v>
      </c>
      <c r="BG19" s="89">
        <f t="shared" ca="1" si="8"/>
        <v>18</v>
      </c>
      <c r="BH19" s="89">
        <f t="shared" ca="1" si="9"/>
        <v>1</v>
      </c>
      <c r="BI19" s="89" t="str">
        <f t="shared" ca="1" si="10"/>
        <v>B178</v>
      </c>
      <c r="BJ19" s="89">
        <f t="shared" ca="1" si="11"/>
        <v>17</v>
      </c>
      <c r="BK19" s="89">
        <f t="shared" ca="1" si="12"/>
        <v>20</v>
      </c>
      <c r="BL19" s="89">
        <f t="shared" ca="1" si="13"/>
        <v>153</v>
      </c>
      <c r="BM19" s="89">
        <f t="shared" ca="1" si="14"/>
        <v>22</v>
      </c>
      <c r="BN19" s="89" t="str">
        <f t="shared" ca="1" si="15"/>
        <v>S8!B160:V177</v>
      </c>
      <c r="BO19" s="89" t="str">
        <f t="shared" ca="1" si="16"/>
        <v>L</v>
      </c>
      <c r="BP19" s="89" t="str">
        <f t="shared" ca="1" si="17"/>
        <v/>
      </c>
      <c r="BQ19" s="89" t="str">
        <f t="shared" ca="1" si="18"/>
        <v/>
      </c>
      <c r="BR19" s="87" t="str">
        <f t="shared" ca="1" si="19"/>
        <v/>
      </c>
      <c r="BS19" s="89" t="str">
        <f t="shared" ca="1" si="20"/>
        <v/>
      </c>
      <c r="BT19" s="89" t="str">
        <f t="shared" ca="1" si="21"/>
        <v/>
      </c>
      <c r="BU19" s="89" t="str">
        <f t="shared" ca="1" si="22"/>
        <v/>
      </c>
      <c r="BV19" s="87" t="str">
        <f t="shared" ca="1" si="23"/>
        <v/>
      </c>
      <c r="BW19" s="87" t="str">
        <f t="shared" ca="1" si="24"/>
        <v>18080120</v>
      </c>
      <c r="BX19" s="89">
        <f t="shared" ca="1" si="25"/>
        <v>0</v>
      </c>
    </row>
    <row r="20" spans="1:76">
      <c r="A20" s="90" t="str">
        <f t="shared" si="2"/>
        <v/>
      </c>
      <c r="B20" s="98">
        <v>9</v>
      </c>
      <c r="C20" s="94">
        <v>-4</v>
      </c>
      <c r="D20" s="94">
        <v>5</v>
      </c>
      <c r="E20" s="94">
        <v>6</v>
      </c>
      <c r="F20" s="94">
        <v>-8</v>
      </c>
      <c r="G20" s="94">
        <v>-3</v>
      </c>
      <c r="H20" s="94">
        <v>-1</v>
      </c>
      <c r="I20" s="94">
        <v>-2</v>
      </c>
      <c r="J20" s="94">
        <v>7</v>
      </c>
      <c r="K20" s="94">
        <v>-6</v>
      </c>
      <c r="L20" s="94">
        <v>3</v>
      </c>
      <c r="M20" s="94">
        <v>-5</v>
      </c>
      <c r="N20" s="94">
        <v>8</v>
      </c>
      <c r="O20" s="94">
        <v>4</v>
      </c>
      <c r="P20" s="94">
        <v>1</v>
      </c>
      <c r="Q20" s="94">
        <v>2</v>
      </c>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1">
        <f t="shared" ca="1" si="3"/>
        <v>179</v>
      </c>
      <c r="BB20" s="88" t="str">
        <f t="shared" ca="1" si="4"/>
        <v>A160:A1200</v>
      </c>
      <c r="BC20" s="89" t="str">
        <f t="shared" ca="1" si="5"/>
        <v>B179</v>
      </c>
      <c r="BD20" s="89">
        <f ca="1">IF(BC20=0,0,RANK(BF20,$BF$11:$BF$70,0)+(COUNTIF($BF20:$BF$70,BF20)-1))</f>
        <v>28</v>
      </c>
      <c r="BE20" s="89" t="str">
        <f t="shared" ca="1" si="6"/>
        <v>180802</v>
      </c>
      <c r="BF20" s="89">
        <f t="shared" ca="1" si="7"/>
        <v>18080209</v>
      </c>
      <c r="BG20" s="89">
        <f t="shared" ca="1" si="8"/>
        <v>18</v>
      </c>
      <c r="BH20" s="89">
        <f t="shared" ca="1" si="9"/>
        <v>2</v>
      </c>
      <c r="BI20" s="89" t="str">
        <f t="shared" ca="1" si="10"/>
        <v>B198</v>
      </c>
      <c r="BJ20" s="89">
        <f t="shared" ca="1" si="11"/>
        <v>8</v>
      </c>
      <c r="BK20" s="89">
        <f t="shared" ca="1" si="12"/>
        <v>9</v>
      </c>
      <c r="BL20" s="89">
        <f t="shared" ca="1" si="13"/>
        <v>72</v>
      </c>
      <c r="BM20" s="89">
        <f t="shared" ca="1" si="14"/>
        <v>11</v>
      </c>
      <c r="BN20" s="89" t="str">
        <f t="shared" ca="1" si="15"/>
        <v>S8!B180:K197</v>
      </c>
      <c r="BO20" s="89" t="str">
        <f t="shared" ca="1" si="16"/>
        <v>s</v>
      </c>
      <c r="BP20" s="89" t="str">
        <f t="shared" ca="1" si="17"/>
        <v>b</v>
      </c>
      <c r="BQ20" s="89" t="str">
        <f t="shared" ca="1" si="18"/>
        <v/>
      </c>
      <c r="BR20" s="87" t="str">
        <f t="shared" ca="1" si="19"/>
        <v/>
      </c>
      <c r="BS20" s="89" t="str">
        <f t="shared" ca="1" si="20"/>
        <v/>
      </c>
      <c r="BT20" s="89" t="str">
        <f t="shared" ca="1" si="21"/>
        <v/>
      </c>
      <c r="BU20" s="89" t="str">
        <f t="shared" ca="1" si="22"/>
        <v/>
      </c>
      <c r="BV20" s="87" t="str">
        <f t="shared" ca="1" si="23"/>
        <v/>
      </c>
      <c r="BW20" s="87" t="str">
        <f t="shared" ca="1" si="24"/>
        <v>18080209</v>
      </c>
      <c r="BX20" s="89">
        <f t="shared" ca="1" si="25"/>
        <v>0</v>
      </c>
    </row>
    <row r="21" spans="1:76">
      <c r="A21" s="90" t="str">
        <f t="shared" si="2"/>
        <v/>
      </c>
      <c r="B21" s="98">
        <v>10</v>
      </c>
      <c r="C21" s="94">
        <v>2</v>
      </c>
      <c r="D21" s="94">
        <v>6</v>
      </c>
      <c r="E21" s="94">
        <v>8</v>
      </c>
      <c r="F21" s="94">
        <v>-3</v>
      </c>
      <c r="G21" s="94">
        <v>4</v>
      </c>
      <c r="H21" s="94">
        <v>-5</v>
      </c>
      <c r="I21" s="94">
        <v>1</v>
      </c>
      <c r="J21" s="94">
        <v>-6</v>
      </c>
      <c r="K21" s="94">
        <v>3</v>
      </c>
      <c r="L21" s="94">
        <v>-7</v>
      </c>
      <c r="M21" s="94">
        <v>-4</v>
      </c>
      <c r="N21" s="94">
        <v>-1</v>
      </c>
      <c r="O21" s="94">
        <v>5</v>
      </c>
      <c r="P21" s="94">
        <v>-8</v>
      </c>
      <c r="Q21" s="94">
        <v>-2</v>
      </c>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1">
        <f t="shared" ca="1" si="3"/>
        <v>199</v>
      </c>
      <c r="BB21" s="88" t="str">
        <f t="shared" ca="1" si="4"/>
        <v>A180:A1200</v>
      </c>
      <c r="BC21" s="89" t="str">
        <f t="shared" ca="1" si="5"/>
        <v>B199</v>
      </c>
      <c r="BD21" s="89">
        <f ca="1">IF(BC21=0,0,RANK(BF21,$BF$11:$BF$70,0)+(COUNTIF($BF21:$BF$70,BF21)-1))</f>
        <v>26</v>
      </c>
      <c r="BE21" s="89" t="str">
        <f t="shared" ca="1" si="6"/>
        <v>180804</v>
      </c>
      <c r="BF21" s="89">
        <f t="shared" ca="1" si="7"/>
        <v>18080405</v>
      </c>
      <c r="BG21" s="89">
        <f t="shared" ca="1" si="8"/>
        <v>18</v>
      </c>
      <c r="BH21" s="89">
        <f t="shared" ca="1" si="9"/>
        <v>4</v>
      </c>
      <c r="BI21" s="89" t="str">
        <f t="shared" ca="1" si="10"/>
        <v>B218</v>
      </c>
      <c r="BJ21" s="89">
        <f t="shared" ca="1" si="11"/>
        <v>4</v>
      </c>
      <c r="BK21" s="89">
        <f t="shared" ca="1" si="12"/>
        <v>5</v>
      </c>
      <c r="BL21" s="89">
        <f t="shared" ca="1" si="13"/>
        <v>36</v>
      </c>
      <c r="BM21" s="89">
        <f t="shared" ca="1" si="14"/>
        <v>7</v>
      </c>
      <c r="BN21" s="89" t="str">
        <f t="shared" ca="1" si="15"/>
        <v>S8!B200:G217</v>
      </c>
      <c r="BO21" s="89" t="str">
        <f t="shared" ca="1" si="16"/>
        <v>s</v>
      </c>
      <c r="BP21" s="89" t="str">
        <f t="shared" ca="1" si="17"/>
        <v>b</v>
      </c>
      <c r="BQ21" s="89" t="str">
        <f t="shared" ca="1" si="18"/>
        <v/>
      </c>
      <c r="BR21" s="87" t="str">
        <f t="shared" ca="1" si="19"/>
        <v/>
      </c>
      <c r="BS21" s="89" t="str">
        <f t="shared" ca="1" si="20"/>
        <v>a</v>
      </c>
      <c r="BT21" s="89" t="str">
        <f t="shared" ca="1" si="21"/>
        <v/>
      </c>
      <c r="BU21" s="89" t="str">
        <f t="shared" ca="1" si="22"/>
        <v/>
      </c>
      <c r="BV21" s="87" t="str">
        <f t="shared" ca="1" si="23"/>
        <v/>
      </c>
      <c r="BW21" s="87" t="str">
        <f t="shared" ca="1" si="24"/>
        <v>18080405</v>
      </c>
      <c r="BX21" s="89">
        <f t="shared" ca="1" si="25"/>
        <v>0</v>
      </c>
    </row>
    <row r="22" spans="1:76">
      <c r="A22" s="90" t="str">
        <f t="shared" si="2"/>
        <v/>
      </c>
      <c r="B22" s="98">
        <v>11</v>
      </c>
      <c r="C22" s="94">
        <v>-8</v>
      </c>
      <c r="D22" s="94">
        <v>-7</v>
      </c>
      <c r="E22" s="94">
        <v>1</v>
      </c>
      <c r="F22" s="94">
        <v>-4</v>
      </c>
      <c r="G22" s="94">
        <v>2</v>
      </c>
      <c r="H22" s="94">
        <v>-3</v>
      </c>
      <c r="I22" s="94">
        <v>5</v>
      </c>
      <c r="J22" s="94">
        <v>8</v>
      </c>
      <c r="K22" s="94">
        <v>4</v>
      </c>
      <c r="L22" s="94">
        <v>-6</v>
      </c>
      <c r="M22" s="94">
        <v>-2</v>
      </c>
      <c r="N22" s="94">
        <v>3</v>
      </c>
      <c r="O22" s="94">
        <v>-5</v>
      </c>
      <c r="P22" s="94">
        <v>-1</v>
      </c>
      <c r="Q22" s="94">
        <v>7</v>
      </c>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1">
        <f t="shared" ca="1" si="3"/>
        <v>219</v>
      </c>
      <c r="BB22" s="88" t="str">
        <f t="shared" ca="1" si="4"/>
        <v>A200:A1200</v>
      </c>
      <c r="BC22" s="89" t="str">
        <f t="shared" ca="1" si="5"/>
        <v>B219</v>
      </c>
      <c r="BD22" s="89">
        <f ca="1">IF(BC22=0,0,RANK(BF22,$BF$11:$BF$70,0)+(COUNTIF($BF22:$BF$70,BF22)-1))</f>
        <v>25</v>
      </c>
      <c r="BE22" s="89" t="str">
        <f t="shared" ca="1" si="6"/>
        <v>190804</v>
      </c>
      <c r="BF22" s="89">
        <f t="shared" ca="1" si="7"/>
        <v>19080405</v>
      </c>
      <c r="BG22" s="89">
        <f t="shared" ca="1" si="8"/>
        <v>19</v>
      </c>
      <c r="BH22" s="89">
        <f t="shared" ca="1" si="9"/>
        <v>4</v>
      </c>
      <c r="BI22" s="89" t="str">
        <f t="shared" ca="1" si="10"/>
        <v>B239</v>
      </c>
      <c r="BJ22" s="89">
        <f t="shared" ca="1" si="11"/>
        <v>4</v>
      </c>
      <c r="BK22" s="89">
        <f t="shared" ca="1" si="12"/>
        <v>5</v>
      </c>
      <c r="BL22" s="89">
        <f t="shared" ca="1" si="13"/>
        <v>38</v>
      </c>
      <c r="BM22" s="89">
        <f t="shared" ca="1" si="14"/>
        <v>7</v>
      </c>
      <c r="BN22" s="89" t="str">
        <f t="shared" ca="1" si="15"/>
        <v>S8!B220:G238</v>
      </c>
      <c r="BO22" s="89" t="str">
        <f t="shared" ca="1" si="16"/>
        <v>s</v>
      </c>
      <c r="BP22" s="89" t="str">
        <f t="shared" ca="1" si="17"/>
        <v>b</v>
      </c>
      <c r="BQ22" s="89" t="str">
        <f t="shared" ca="1" si="18"/>
        <v/>
      </c>
      <c r="BR22" s="87" t="str">
        <f t="shared" ca="1" si="19"/>
        <v/>
      </c>
      <c r="BS22" s="89" t="str">
        <f t="shared" ca="1" si="20"/>
        <v>a</v>
      </c>
      <c r="BT22" s="89" t="str">
        <f t="shared" ca="1" si="21"/>
        <v/>
      </c>
      <c r="BU22" s="89" t="str">
        <f t="shared" ca="1" si="22"/>
        <v/>
      </c>
      <c r="BV22" s="87" t="str">
        <f t="shared" ca="1" si="23"/>
        <v/>
      </c>
      <c r="BW22" s="87" t="str">
        <f t="shared" ca="1" si="24"/>
        <v>19080405</v>
      </c>
      <c r="BX22" s="89">
        <f t="shared" ca="1" si="25"/>
        <v>0</v>
      </c>
    </row>
    <row r="23" spans="1:76">
      <c r="A23" s="90" t="str">
        <f t="shared" si="2"/>
        <v/>
      </c>
      <c r="B23" s="98">
        <v>12</v>
      </c>
      <c r="C23" s="94">
        <v>3</v>
      </c>
      <c r="D23" s="94">
        <v>-8</v>
      </c>
      <c r="E23" s="94">
        <v>-2</v>
      </c>
      <c r="F23" s="94">
        <v>-5</v>
      </c>
      <c r="G23" s="94">
        <v>7</v>
      </c>
      <c r="H23" s="94">
        <v>6</v>
      </c>
      <c r="I23" s="94">
        <v>4</v>
      </c>
      <c r="J23" s="94">
        <v>-3</v>
      </c>
      <c r="K23" s="94">
        <v>5</v>
      </c>
      <c r="L23" s="94">
        <v>1</v>
      </c>
      <c r="M23" s="94">
        <v>-6</v>
      </c>
      <c r="N23" s="94">
        <v>2</v>
      </c>
      <c r="O23" s="94">
        <v>-4</v>
      </c>
      <c r="P23" s="94">
        <v>8</v>
      </c>
      <c r="Q23" s="94">
        <v>-7</v>
      </c>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1">
        <f t="shared" ca="1" si="3"/>
        <v>240</v>
      </c>
      <c r="BB23" s="88" t="str">
        <f t="shared" ca="1" si="4"/>
        <v>A220:A1200</v>
      </c>
      <c r="BC23" s="89" t="str">
        <f t="shared" ca="1" si="5"/>
        <v>B240</v>
      </c>
      <c r="BD23" s="89">
        <f ca="1">IF(BC23=0,0,RANK(BF23,$BF$11:$BF$70,0)+(COUNTIF($BF23:$BF$70,BF23)-1))</f>
        <v>24</v>
      </c>
      <c r="BE23" s="89" t="str">
        <f t="shared" ca="1" si="6"/>
        <v>200804</v>
      </c>
      <c r="BF23" s="89">
        <f t="shared" ca="1" si="7"/>
        <v>20080405</v>
      </c>
      <c r="BG23" s="89">
        <f t="shared" ca="1" si="8"/>
        <v>20</v>
      </c>
      <c r="BH23" s="89">
        <f t="shared" ca="1" si="9"/>
        <v>4</v>
      </c>
      <c r="BI23" s="89" t="str">
        <f t="shared" ca="1" si="10"/>
        <v>B261</v>
      </c>
      <c r="BJ23" s="89">
        <f t="shared" ca="1" si="11"/>
        <v>4</v>
      </c>
      <c r="BK23" s="89">
        <f t="shared" ca="1" si="12"/>
        <v>5</v>
      </c>
      <c r="BL23" s="89">
        <f t="shared" ca="1" si="13"/>
        <v>40</v>
      </c>
      <c r="BM23" s="89">
        <f t="shared" ca="1" si="14"/>
        <v>7</v>
      </c>
      <c r="BN23" s="89" t="str">
        <f t="shared" ca="1" si="15"/>
        <v>S8!B241:G260</v>
      </c>
      <c r="BO23" s="89" t="str">
        <f t="shared" ca="1" si="16"/>
        <v>s</v>
      </c>
      <c r="BP23" s="89" t="str">
        <f t="shared" ca="1" si="17"/>
        <v>b</v>
      </c>
      <c r="BQ23" s="89" t="str">
        <f t="shared" ca="1" si="18"/>
        <v/>
      </c>
      <c r="BR23" s="87" t="str">
        <f t="shared" ca="1" si="19"/>
        <v/>
      </c>
      <c r="BS23" s="89" t="str">
        <f t="shared" ca="1" si="20"/>
        <v/>
      </c>
      <c r="BT23" s="89" t="str">
        <f t="shared" ca="1" si="21"/>
        <v/>
      </c>
      <c r="BU23" s="89" t="str">
        <f t="shared" ca="1" si="22"/>
        <v/>
      </c>
      <c r="BV23" s="87" t="str">
        <f t="shared" ca="1" si="23"/>
        <v/>
      </c>
      <c r="BW23" s="87" t="str">
        <f t="shared" ca="1" si="24"/>
        <v>20080405</v>
      </c>
      <c r="BX23" s="89">
        <f t="shared" ca="1" si="25"/>
        <v>0</v>
      </c>
    </row>
    <row r="24" spans="1:76">
      <c r="A24" s="90" t="str">
        <f t="shared" si="2"/>
        <v/>
      </c>
      <c r="B24" s="98">
        <v>13</v>
      </c>
      <c r="C24" s="94">
        <v>4</v>
      </c>
      <c r="D24" s="94">
        <v>-2</v>
      </c>
      <c r="E24" s="94">
        <v>5</v>
      </c>
      <c r="F24" s="94">
        <v>6</v>
      </c>
      <c r="G24" s="94">
        <v>8</v>
      </c>
      <c r="H24" s="94">
        <v>7</v>
      </c>
      <c r="I24" s="94">
        <v>-1</v>
      </c>
      <c r="J24" s="94">
        <v>-4</v>
      </c>
      <c r="K24" s="94">
        <v>-5</v>
      </c>
      <c r="L24" s="94">
        <v>2</v>
      </c>
      <c r="M24" s="94">
        <v>-8</v>
      </c>
      <c r="N24" s="94">
        <v>-3</v>
      </c>
      <c r="O24" s="94">
        <v>-6</v>
      </c>
      <c r="P24" s="94">
        <v>-7</v>
      </c>
      <c r="Q24" s="94">
        <v>1</v>
      </c>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1">
        <f t="shared" ca="1" si="3"/>
        <v>262</v>
      </c>
      <c r="BB24" s="88" t="str">
        <f t="shared" ca="1" si="4"/>
        <v>A241:A1200</v>
      </c>
      <c r="BC24" s="89" t="str">
        <f t="shared" ca="1" si="5"/>
        <v>B262</v>
      </c>
      <c r="BD24" s="89">
        <f ca="1">IF(BC24=0,0,RANK(BF24,$BF$11:$BF$70,0)+(COUNTIF($BF24:$BF$70,BF24)-1))</f>
        <v>19</v>
      </c>
      <c r="BE24" s="89" t="str">
        <f t="shared" ca="1" si="6"/>
        <v>300802</v>
      </c>
      <c r="BF24" s="89">
        <f t="shared" ca="1" si="7"/>
        <v>30080230</v>
      </c>
      <c r="BG24" s="89">
        <f t="shared" ca="1" si="8"/>
        <v>30</v>
      </c>
      <c r="BH24" s="89">
        <f t="shared" ca="1" si="9"/>
        <v>2</v>
      </c>
      <c r="BI24" s="89" t="str">
        <f t="shared" ca="1" si="10"/>
        <v>B293</v>
      </c>
      <c r="BJ24" s="89">
        <f t="shared" ca="1" si="11"/>
        <v>15</v>
      </c>
      <c r="BK24" s="89">
        <f t="shared" ca="1" si="12"/>
        <v>30</v>
      </c>
      <c r="BL24" s="89">
        <f t="shared" ca="1" si="13"/>
        <v>225</v>
      </c>
      <c r="BM24" s="89">
        <f t="shared" ca="1" si="14"/>
        <v>32</v>
      </c>
      <c r="BN24" s="89" t="str">
        <f t="shared" ca="1" si="15"/>
        <v>S8!B263:AF292</v>
      </c>
      <c r="BO24" s="89" t="str">
        <f t="shared" ca="1" si="16"/>
        <v>e</v>
      </c>
      <c r="BP24" s="89" t="str">
        <f t="shared" ca="1" si="17"/>
        <v/>
      </c>
      <c r="BQ24" s="89" t="str">
        <f t="shared" ca="1" si="18"/>
        <v/>
      </c>
      <c r="BR24" s="87" t="str">
        <f t="shared" ca="1" si="19"/>
        <v>x</v>
      </c>
      <c r="BS24" s="89" t="str">
        <f t="shared" ca="1" si="20"/>
        <v/>
      </c>
      <c r="BT24" s="89" t="str">
        <f t="shared" ca="1" si="21"/>
        <v/>
      </c>
      <c r="BU24" s="89" t="str">
        <f t="shared" ca="1" si="22"/>
        <v/>
      </c>
      <c r="BV24" s="87" t="str">
        <f t="shared" ca="1" si="23"/>
        <v/>
      </c>
      <c r="BW24" s="87" t="str">
        <f t="shared" ca="1" si="24"/>
        <v>30080230</v>
      </c>
      <c r="BX24" s="89">
        <f t="shared" ca="1" si="25"/>
        <v>0</v>
      </c>
    </row>
    <row r="25" spans="1:76">
      <c r="A25" s="90" t="str">
        <f t="shared" si="2"/>
        <v/>
      </c>
      <c r="B25" s="98">
        <v>14</v>
      </c>
      <c r="C25" s="94">
        <v>1</v>
      </c>
      <c r="D25" s="94">
        <v>4</v>
      </c>
      <c r="E25" s="94">
        <v>-3</v>
      </c>
      <c r="F25" s="94">
        <v>-7</v>
      </c>
      <c r="G25" s="94">
        <v>-6</v>
      </c>
      <c r="H25" s="94">
        <v>2</v>
      </c>
      <c r="I25" s="94">
        <v>8</v>
      </c>
      <c r="J25" s="94">
        <v>-5</v>
      </c>
      <c r="K25" s="94">
        <v>-4</v>
      </c>
      <c r="L25" s="94">
        <v>7</v>
      </c>
      <c r="M25" s="94">
        <v>6</v>
      </c>
      <c r="N25" s="94">
        <v>-8</v>
      </c>
      <c r="O25" s="94">
        <v>3</v>
      </c>
      <c r="P25" s="94">
        <v>-2</v>
      </c>
      <c r="Q25" s="94">
        <v>-1</v>
      </c>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1">
        <f t="shared" ca="1" si="3"/>
        <v>294</v>
      </c>
      <c r="BB25" s="88" t="str">
        <f t="shared" ca="1" si="4"/>
        <v>A263:A1200</v>
      </c>
      <c r="BC25" s="89" t="str">
        <f t="shared" ca="1" si="5"/>
        <v>B294</v>
      </c>
      <c r="BD25" s="89">
        <f ca="1">IF(BC25=0,0,RANK(BF25,$BF$11:$BF$70,0)+(COUNTIF($BF25:$BF$70,BF25)-1))</f>
        <v>18</v>
      </c>
      <c r="BE25" s="89" t="str">
        <f t="shared" ca="1" si="6"/>
        <v>300803</v>
      </c>
      <c r="BF25" s="89">
        <f t="shared" ca="1" si="7"/>
        <v>30080318</v>
      </c>
      <c r="BG25" s="89">
        <f t="shared" ca="1" si="8"/>
        <v>30</v>
      </c>
      <c r="BH25" s="89">
        <f t="shared" ca="1" si="9"/>
        <v>3</v>
      </c>
      <c r="BI25" s="89" t="str">
        <f t="shared" ca="1" si="10"/>
        <v>B325</v>
      </c>
      <c r="BJ25" s="89">
        <f t="shared" ca="1" si="11"/>
        <v>9</v>
      </c>
      <c r="BK25" s="89">
        <f t="shared" ca="1" si="12"/>
        <v>18</v>
      </c>
      <c r="BL25" s="89">
        <f t="shared" ca="1" si="13"/>
        <v>135</v>
      </c>
      <c r="BM25" s="89">
        <f t="shared" ca="1" si="14"/>
        <v>20</v>
      </c>
      <c r="BN25" s="89" t="str">
        <f t="shared" ca="1" si="15"/>
        <v>S8!B295:T324</v>
      </c>
      <c r="BO25" s="89" t="str">
        <f t="shared" ca="1" si="16"/>
        <v>e</v>
      </c>
      <c r="BP25" s="89" t="str">
        <f t="shared" ca="1" si="17"/>
        <v/>
      </c>
      <c r="BQ25" s="89" t="str">
        <f t="shared" ca="1" si="18"/>
        <v/>
      </c>
      <c r="BR25" s="87" t="str">
        <f t="shared" ca="1" si="19"/>
        <v/>
      </c>
      <c r="BS25" s="89" t="str">
        <f t="shared" ca="1" si="20"/>
        <v/>
      </c>
      <c r="BT25" s="89" t="str">
        <f t="shared" ca="1" si="21"/>
        <v/>
      </c>
      <c r="BU25" s="89" t="str">
        <f t="shared" ca="1" si="22"/>
        <v/>
      </c>
      <c r="BV25" s="87" t="str">
        <f t="shared" ca="1" si="23"/>
        <v/>
      </c>
      <c r="BW25" s="87" t="str">
        <f t="shared" ca="1" si="24"/>
        <v>30080318</v>
      </c>
      <c r="BX25" s="89">
        <f t="shared" ca="1" si="25"/>
        <v>0</v>
      </c>
    </row>
    <row r="26" spans="1:76">
      <c r="A26" s="90" t="str">
        <f t="shared" si="2"/>
        <v/>
      </c>
      <c r="B26" s="98">
        <v>15</v>
      </c>
      <c r="C26" s="94">
        <v>-5</v>
      </c>
      <c r="D26" s="94">
        <v>-3</v>
      </c>
      <c r="E26" s="94">
        <v>7</v>
      </c>
      <c r="F26" s="94">
        <v>-1</v>
      </c>
      <c r="G26" s="94">
        <v>-2</v>
      </c>
      <c r="H26" s="94">
        <v>8</v>
      </c>
      <c r="I26" s="94">
        <v>-6</v>
      </c>
      <c r="J26" s="94">
        <v>3</v>
      </c>
      <c r="K26" s="94">
        <v>-7</v>
      </c>
      <c r="L26" s="94">
        <v>4</v>
      </c>
      <c r="M26" s="94">
        <v>5</v>
      </c>
      <c r="N26" s="94">
        <v>1</v>
      </c>
      <c r="O26" s="94">
        <v>6</v>
      </c>
      <c r="P26" s="94">
        <v>2</v>
      </c>
      <c r="Q26" s="94">
        <v>-8</v>
      </c>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1">
        <f t="shared" ca="1" si="3"/>
        <v>326</v>
      </c>
      <c r="BB26" s="88" t="str">
        <f t="shared" ca="1" si="4"/>
        <v>A295:A1200</v>
      </c>
      <c r="BC26" s="89" t="str">
        <f t="shared" ca="1" si="5"/>
        <v>B326</v>
      </c>
      <c r="BD26" s="89">
        <f ca="1">IF(BC26=0,0,RANK(BF26,$BF$11:$BF$70,0)+(COUNTIF($BF26:$BF$70,BF26)-1))</f>
        <v>17</v>
      </c>
      <c r="BE26" s="89" t="str">
        <f t="shared" ca="1" si="6"/>
        <v>300804</v>
      </c>
      <c r="BF26" s="89">
        <f t="shared" ca="1" si="7"/>
        <v>30080414</v>
      </c>
      <c r="BG26" s="89">
        <f t="shared" ca="1" si="8"/>
        <v>30</v>
      </c>
      <c r="BH26" s="89">
        <f t="shared" ca="1" si="9"/>
        <v>4</v>
      </c>
      <c r="BI26" s="89" t="str">
        <f t="shared" ca="1" si="10"/>
        <v>B357</v>
      </c>
      <c r="BJ26" s="89">
        <f t="shared" ca="1" si="11"/>
        <v>7</v>
      </c>
      <c r="BK26" s="89">
        <f t="shared" ca="1" si="12"/>
        <v>14</v>
      </c>
      <c r="BL26" s="89">
        <f t="shared" ca="1" si="13"/>
        <v>105</v>
      </c>
      <c r="BM26" s="89">
        <f t="shared" ca="1" si="14"/>
        <v>16</v>
      </c>
      <c r="BN26" s="89" t="str">
        <f t="shared" ca="1" si="15"/>
        <v>S8!B327:P356</v>
      </c>
      <c r="BO26" s="89" t="str">
        <f t="shared" ca="1" si="16"/>
        <v>e</v>
      </c>
      <c r="BP26" s="89" t="str">
        <f t="shared" ca="1" si="17"/>
        <v/>
      </c>
      <c r="BQ26" s="89" t="str">
        <f t="shared" ca="1" si="18"/>
        <v/>
      </c>
      <c r="BR26" s="87" t="str">
        <f t="shared" ca="1" si="19"/>
        <v>x</v>
      </c>
      <c r="BS26" s="89" t="str">
        <f t="shared" ca="1" si="20"/>
        <v/>
      </c>
      <c r="BT26" s="89" t="str">
        <f t="shared" ca="1" si="21"/>
        <v/>
      </c>
      <c r="BU26" s="89" t="str">
        <f t="shared" ca="1" si="22"/>
        <v/>
      </c>
      <c r="BV26" s="87" t="str">
        <f t="shared" ca="1" si="23"/>
        <v/>
      </c>
      <c r="BW26" s="87" t="str">
        <f t="shared" ca="1" si="24"/>
        <v>30080414</v>
      </c>
      <c r="BX26" s="89">
        <f t="shared" ca="1" si="25"/>
        <v>0</v>
      </c>
    </row>
    <row r="27" spans="1:76">
      <c r="A27" s="90" t="str">
        <f t="shared" si="2"/>
        <v/>
      </c>
      <c r="B27" s="98">
        <v>16</v>
      </c>
      <c r="C27" s="94">
        <v>-6</v>
      </c>
      <c r="D27" s="94">
        <v>1</v>
      </c>
      <c r="E27" s="94">
        <v>-4</v>
      </c>
      <c r="F27" s="94">
        <v>2</v>
      </c>
      <c r="G27" s="94">
        <v>5</v>
      </c>
      <c r="H27" s="94">
        <v>3</v>
      </c>
      <c r="I27" s="94">
        <v>-7</v>
      </c>
      <c r="J27" s="94">
        <v>-1</v>
      </c>
      <c r="K27" s="94">
        <v>6</v>
      </c>
      <c r="L27" s="94">
        <v>-5</v>
      </c>
      <c r="M27" s="94">
        <v>4</v>
      </c>
      <c r="N27" s="94">
        <v>-2</v>
      </c>
      <c r="O27" s="94">
        <v>-3</v>
      </c>
      <c r="P27" s="94">
        <v>7</v>
      </c>
      <c r="Q27" s="94">
        <v>8</v>
      </c>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1">
        <f t="shared" ca="1" si="3"/>
        <v>358</v>
      </c>
      <c r="BB27" s="88" t="str">
        <f t="shared" ca="1" si="4"/>
        <v>A327:A1200</v>
      </c>
      <c r="BC27" s="89" t="str">
        <f t="shared" ca="1" si="5"/>
        <v>B358</v>
      </c>
      <c r="BD27" s="89">
        <f ca="1">IF(BC27=0,0,RANK(BF27,$BF$11:$BF$70,0)+(COUNTIF($BF27:$BF$70,BF27)-1))</f>
        <v>16</v>
      </c>
      <c r="BE27" s="89" t="str">
        <f t="shared" ca="1" si="6"/>
        <v>310802</v>
      </c>
      <c r="BF27" s="89">
        <f t="shared" ca="1" si="7"/>
        <v>31080230</v>
      </c>
      <c r="BG27" s="89">
        <f t="shared" ca="1" si="8"/>
        <v>31</v>
      </c>
      <c r="BH27" s="89">
        <f t="shared" ca="1" si="9"/>
        <v>2</v>
      </c>
      <c r="BI27" s="89" t="str">
        <f t="shared" ca="1" si="10"/>
        <v>B390</v>
      </c>
      <c r="BJ27" s="89">
        <f t="shared" ca="1" si="11"/>
        <v>15</v>
      </c>
      <c r="BK27" s="89">
        <f t="shared" ca="1" si="12"/>
        <v>30</v>
      </c>
      <c r="BL27" s="89">
        <f t="shared" ca="1" si="13"/>
        <v>225</v>
      </c>
      <c r="BM27" s="89">
        <f t="shared" ca="1" si="14"/>
        <v>32</v>
      </c>
      <c r="BN27" s="89" t="str">
        <f t="shared" ca="1" si="15"/>
        <v>S8!B359:AF389</v>
      </c>
      <c r="BO27" s="89" t="str">
        <f t="shared" ca="1" si="16"/>
        <v>e</v>
      </c>
      <c r="BP27" s="89" t="str">
        <f t="shared" ca="1" si="17"/>
        <v>w</v>
      </c>
      <c r="BQ27" s="89" t="str">
        <f t="shared" ca="1" si="18"/>
        <v>w</v>
      </c>
      <c r="BR27" s="87" t="str">
        <f t="shared" ca="1" si="19"/>
        <v/>
      </c>
      <c r="BS27" s="89" t="str">
        <f t="shared" ca="1" si="20"/>
        <v/>
      </c>
      <c r="BT27" s="89" t="str">
        <f t="shared" ca="1" si="21"/>
        <v/>
      </c>
      <c r="BU27" s="89" t="str">
        <f t="shared" ca="1" si="22"/>
        <v/>
      </c>
      <c r="BV27" s="87" t="str">
        <f t="shared" ca="1" si="23"/>
        <v/>
      </c>
      <c r="BW27" s="87" t="str">
        <f t="shared" ca="1" si="24"/>
        <v>31080230</v>
      </c>
      <c r="BX27" s="89">
        <f t="shared" ca="1" si="25"/>
        <v>0</v>
      </c>
    </row>
    <row r="28" spans="1:76">
      <c r="A28" s="90" t="str">
        <f t="shared" si="2"/>
        <v/>
      </c>
      <c r="B28" s="98" t="s">
        <v>443</v>
      </c>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1">
        <f t="shared" ca="1" si="3"/>
        <v>391</v>
      </c>
      <c r="BB28" s="88" t="str">
        <f t="shared" ca="1" si="4"/>
        <v>A359:A1200</v>
      </c>
      <c r="BC28" s="89" t="str">
        <f t="shared" ca="1" si="5"/>
        <v>B391</v>
      </c>
      <c r="BD28" s="89">
        <f ca="1">IF(BC28=0,0,RANK(BF28,$BF$11:$BF$70,0)+(COUNTIF($BF28:$BF$70,BF28)-1))</f>
        <v>15</v>
      </c>
      <c r="BE28" s="89" t="str">
        <f t="shared" ca="1" si="6"/>
        <v>310803</v>
      </c>
      <c r="BF28" s="89">
        <f t="shared" ca="1" si="7"/>
        <v>31080321</v>
      </c>
      <c r="BG28" s="89">
        <f t="shared" ca="1" si="8"/>
        <v>31</v>
      </c>
      <c r="BH28" s="89">
        <f t="shared" ca="1" si="9"/>
        <v>3</v>
      </c>
      <c r="BI28" s="89" t="str">
        <f t="shared" ca="1" si="10"/>
        <v>B423</v>
      </c>
      <c r="BJ28" s="89">
        <f t="shared" ca="1" si="11"/>
        <v>10</v>
      </c>
      <c r="BK28" s="89">
        <f t="shared" ca="1" si="12"/>
        <v>21</v>
      </c>
      <c r="BL28" s="89">
        <f t="shared" ca="1" si="13"/>
        <v>155</v>
      </c>
      <c r="BM28" s="89">
        <f t="shared" ca="1" si="14"/>
        <v>23</v>
      </c>
      <c r="BN28" s="89" t="str">
        <f t="shared" ca="1" si="15"/>
        <v>S8!B392:W422</v>
      </c>
      <c r="BO28" s="89" t="str">
        <f t="shared" ca="1" si="16"/>
        <v>e</v>
      </c>
      <c r="BP28" s="89" t="str">
        <f t="shared" ca="1" si="17"/>
        <v>b</v>
      </c>
      <c r="BQ28" s="89" t="str">
        <f t="shared" ca="1" si="18"/>
        <v/>
      </c>
      <c r="BR28" s="87" t="str">
        <f t="shared" ca="1" si="19"/>
        <v/>
      </c>
      <c r="BS28" s="89" t="str">
        <f t="shared" ca="1" si="20"/>
        <v>a</v>
      </c>
      <c r="BT28" s="89" t="str">
        <f t="shared" ca="1" si="21"/>
        <v/>
      </c>
      <c r="BU28" s="89" t="str">
        <f t="shared" ca="1" si="22"/>
        <v/>
      </c>
      <c r="BV28" s="87" t="str">
        <f t="shared" ca="1" si="23"/>
        <v/>
      </c>
      <c r="BW28" s="87" t="str">
        <f t="shared" ca="1" si="24"/>
        <v>31080321</v>
      </c>
      <c r="BX28" s="89">
        <f t="shared" ca="1" si="25"/>
        <v>0</v>
      </c>
    </row>
    <row r="29" spans="1:76">
      <c r="A29" s="90">
        <f t="shared" si="2"/>
        <v>29</v>
      </c>
      <c r="B29" s="98" t="s">
        <v>444</v>
      </c>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1">
        <f t="shared" ca="1" si="3"/>
        <v>424</v>
      </c>
      <c r="BB29" s="88" t="str">
        <f t="shared" ca="1" si="4"/>
        <v>A392:A1200</v>
      </c>
      <c r="BC29" s="89" t="str">
        <f t="shared" ca="1" si="5"/>
        <v>B424</v>
      </c>
      <c r="BD29" s="89">
        <f ca="1">IF(BC29=0,0,RANK(BF29,$BF$11:$BF$70,0)+(COUNTIF($BF29:$BF$70,BF29)-1))</f>
        <v>14</v>
      </c>
      <c r="BE29" s="89" t="str">
        <f t="shared" ca="1" si="6"/>
        <v>310804</v>
      </c>
      <c r="BF29" s="89">
        <f t="shared" ca="1" si="7"/>
        <v>31080414</v>
      </c>
      <c r="BG29" s="89">
        <f t="shared" ca="1" si="8"/>
        <v>31</v>
      </c>
      <c r="BH29" s="89">
        <f t="shared" ca="1" si="9"/>
        <v>4</v>
      </c>
      <c r="BI29" s="89" t="str">
        <f t="shared" ca="1" si="10"/>
        <v>B456</v>
      </c>
      <c r="BJ29" s="89">
        <f t="shared" ca="1" si="11"/>
        <v>7</v>
      </c>
      <c r="BK29" s="89">
        <f t="shared" ca="1" si="12"/>
        <v>14</v>
      </c>
      <c r="BL29" s="89">
        <f t="shared" ca="1" si="13"/>
        <v>105</v>
      </c>
      <c r="BM29" s="89">
        <f t="shared" ca="1" si="14"/>
        <v>16</v>
      </c>
      <c r="BN29" s="89" t="str">
        <f t="shared" ca="1" si="15"/>
        <v>S8!B425:P455</v>
      </c>
      <c r="BO29" s="89" t="str">
        <f t="shared" ca="1" si="16"/>
        <v>e</v>
      </c>
      <c r="BP29" s="89" t="str">
        <f t="shared" ca="1" si="17"/>
        <v>w</v>
      </c>
      <c r="BQ29" s="89" t="str">
        <f t="shared" ca="1" si="18"/>
        <v>w</v>
      </c>
      <c r="BR29" s="87" t="str">
        <f t="shared" ca="1" si="19"/>
        <v/>
      </c>
      <c r="BS29" s="89" t="str">
        <f t="shared" ca="1" si="20"/>
        <v/>
      </c>
      <c r="BT29" s="89" t="str">
        <f t="shared" ca="1" si="21"/>
        <v/>
      </c>
      <c r="BU29" s="89" t="str">
        <f t="shared" ca="1" si="22"/>
        <v/>
      </c>
      <c r="BV29" s="87" t="str">
        <f t="shared" ca="1" si="23"/>
        <v/>
      </c>
      <c r="BW29" s="87" t="str">
        <f t="shared" ca="1" si="24"/>
        <v>31080414</v>
      </c>
      <c r="BX29" s="89">
        <f t="shared" ca="1" si="25"/>
        <v>0</v>
      </c>
    </row>
    <row r="30" spans="1:76">
      <c r="A30" s="90" t="str">
        <f t="shared" si="2"/>
        <v/>
      </c>
      <c r="B30" s="98">
        <v>1</v>
      </c>
      <c r="C30" s="94">
        <v>-1</v>
      </c>
      <c r="D30" s="94">
        <v>6</v>
      </c>
      <c r="E30" s="94">
        <v>5</v>
      </c>
      <c r="F30" s="94">
        <v>-2</v>
      </c>
      <c r="G30" s="94">
        <v>-7</v>
      </c>
      <c r="H30" s="94">
        <v>3</v>
      </c>
      <c r="I30" s="94">
        <v>4</v>
      </c>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1">
        <f t="shared" ca="1" si="3"/>
        <v>457</v>
      </c>
      <c r="BB30" s="88" t="str">
        <f t="shared" ca="1" si="4"/>
        <v>A425:A1200</v>
      </c>
      <c r="BC30" s="89" t="str">
        <f t="shared" ca="1" si="5"/>
        <v>B457</v>
      </c>
      <c r="BD30" s="89">
        <f ca="1">IF(BC30=0,0,RANK(BF30,$BF$11:$BF$70,0)+(COUNTIF($BF30:$BF$70,BF30)-1))</f>
        <v>13</v>
      </c>
      <c r="BE30" s="89" t="str">
        <f t="shared" ca="1" si="6"/>
        <v>320801</v>
      </c>
      <c r="BF30" s="89">
        <f t="shared" ca="1" si="7"/>
        <v>32080132</v>
      </c>
      <c r="BG30" s="89">
        <f t="shared" ca="1" si="8"/>
        <v>32</v>
      </c>
      <c r="BH30" s="89">
        <f t="shared" ca="1" si="9"/>
        <v>1</v>
      </c>
      <c r="BI30" s="89" t="str">
        <f t="shared" ca="1" si="10"/>
        <v>B490</v>
      </c>
      <c r="BJ30" s="89">
        <f t="shared" ca="1" si="11"/>
        <v>31</v>
      </c>
      <c r="BK30" s="89">
        <f t="shared" ca="1" si="12"/>
        <v>32</v>
      </c>
      <c r="BL30" s="89">
        <f t="shared" ca="1" si="13"/>
        <v>496</v>
      </c>
      <c r="BM30" s="89">
        <f t="shared" ca="1" si="14"/>
        <v>34</v>
      </c>
      <c r="BN30" s="89" t="str">
        <f t="shared" ca="1" si="15"/>
        <v>S8!B458:AH489</v>
      </c>
      <c r="BO30" s="89" t="str">
        <f t="shared" ca="1" si="16"/>
        <v>e</v>
      </c>
      <c r="BP30" s="89" t="str">
        <f t="shared" ca="1" si="17"/>
        <v/>
      </c>
      <c r="BQ30" s="89" t="str">
        <f t="shared" ca="1" si="18"/>
        <v/>
      </c>
      <c r="BR30" s="87" t="str">
        <f t="shared" ca="1" si="19"/>
        <v/>
      </c>
      <c r="BS30" s="89" t="str">
        <f t="shared" ca="1" si="20"/>
        <v/>
      </c>
      <c r="BT30" s="89" t="str">
        <f t="shared" ca="1" si="21"/>
        <v/>
      </c>
      <c r="BU30" s="89" t="str">
        <f t="shared" ca="1" si="22"/>
        <v>X</v>
      </c>
      <c r="BV30" s="87" t="str">
        <f t="shared" ca="1" si="23"/>
        <v/>
      </c>
      <c r="BW30" s="87" t="str">
        <f t="shared" ca="1" si="24"/>
        <v>32080132</v>
      </c>
      <c r="BX30" s="89">
        <f t="shared" ca="1" si="25"/>
        <v>0</v>
      </c>
    </row>
    <row r="31" spans="1:76">
      <c r="A31" s="90" t="str">
        <f t="shared" si="2"/>
        <v/>
      </c>
      <c r="B31" s="98">
        <v>2</v>
      </c>
      <c r="C31" s="94">
        <v>8</v>
      </c>
      <c r="D31" s="94">
        <v>-5</v>
      </c>
      <c r="E31" s="94">
        <v>-3</v>
      </c>
      <c r="F31" s="94">
        <v>7</v>
      </c>
      <c r="G31" s="94">
        <v>2</v>
      </c>
      <c r="H31" s="94">
        <v>-6</v>
      </c>
      <c r="I31" s="94">
        <v>-4</v>
      </c>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1">
        <f t="shared" ca="1" si="3"/>
        <v>491</v>
      </c>
      <c r="BB31" s="88" t="str">
        <f t="shared" ca="1" si="4"/>
        <v>A458:A1200</v>
      </c>
      <c r="BC31" s="89" t="str">
        <f t="shared" ca="1" si="5"/>
        <v>B491</v>
      </c>
      <c r="BD31" s="89">
        <f ca="1">IF(BC31=0,0,RANK(BF31,$BF$11:$BF$70,0)+(COUNTIF($BF31:$BF$70,BF31)-1))</f>
        <v>12</v>
      </c>
      <c r="BE31" s="89" t="str">
        <f t="shared" ca="1" si="6"/>
        <v>320802</v>
      </c>
      <c r="BF31" s="89">
        <f t="shared" ca="1" si="7"/>
        <v>32080230</v>
      </c>
      <c r="BG31" s="89">
        <f t="shared" ca="1" si="8"/>
        <v>32</v>
      </c>
      <c r="BH31" s="89">
        <f t="shared" ca="1" si="9"/>
        <v>2</v>
      </c>
      <c r="BI31" s="89" t="str">
        <f t="shared" ca="1" si="10"/>
        <v>B524</v>
      </c>
      <c r="BJ31" s="89">
        <f t="shared" ca="1" si="11"/>
        <v>15</v>
      </c>
      <c r="BK31" s="89">
        <f t="shared" ca="1" si="12"/>
        <v>30</v>
      </c>
      <c r="BL31" s="89">
        <f t="shared" ca="1" si="13"/>
        <v>240</v>
      </c>
      <c r="BM31" s="89">
        <f t="shared" ca="1" si="14"/>
        <v>32</v>
      </c>
      <c r="BN31" s="89" t="str">
        <f t="shared" ca="1" si="15"/>
        <v>S8!B492:AF523</v>
      </c>
      <c r="BO31" s="89" t="str">
        <f t="shared" ca="1" si="16"/>
        <v>e</v>
      </c>
      <c r="BP31" s="89" t="str">
        <f t="shared" ca="1" si="17"/>
        <v/>
      </c>
      <c r="BQ31" s="89" t="str">
        <f t="shared" ca="1" si="18"/>
        <v/>
      </c>
      <c r="BR31" s="87" t="str">
        <f t="shared" ca="1" si="19"/>
        <v/>
      </c>
      <c r="BS31" s="89" t="str">
        <f t="shared" ca="1" si="20"/>
        <v/>
      </c>
      <c r="BT31" s="89" t="str">
        <f t="shared" ca="1" si="21"/>
        <v/>
      </c>
      <c r="BU31" s="89" t="str">
        <f t="shared" ca="1" si="22"/>
        <v/>
      </c>
      <c r="BV31" s="87" t="str">
        <f t="shared" ca="1" si="23"/>
        <v/>
      </c>
      <c r="BW31" s="87" t="str">
        <f t="shared" ca="1" si="24"/>
        <v>32080230</v>
      </c>
      <c r="BX31" s="89">
        <f t="shared" ca="1" si="25"/>
        <v>0</v>
      </c>
    </row>
    <row r="32" spans="1:76">
      <c r="A32" s="90" t="str">
        <f t="shared" si="2"/>
        <v/>
      </c>
      <c r="B32" s="98">
        <v>3</v>
      </c>
      <c r="C32" s="94">
        <v>6</v>
      </c>
      <c r="D32" s="94">
        <v>-7</v>
      </c>
      <c r="E32" s="94">
        <v>-8</v>
      </c>
      <c r="F32" s="94">
        <v>4</v>
      </c>
      <c r="G32" s="94">
        <v>-2</v>
      </c>
      <c r="H32" s="94">
        <v>-3</v>
      </c>
      <c r="I32" s="94">
        <v>5</v>
      </c>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1">
        <f t="shared" ca="1" si="3"/>
        <v>525</v>
      </c>
      <c r="BB32" s="88" t="str">
        <f t="shared" ca="1" si="4"/>
        <v>A492:A1200</v>
      </c>
      <c r="BC32" s="89" t="str">
        <f t="shared" ca="1" si="5"/>
        <v>B525</v>
      </c>
      <c r="BD32" s="89">
        <f ca="1">IF(BC32=0,0,RANK(BF32,$BF$11:$BF$70,0)+(COUNTIF($BF32:$BF$70,BF32)-1))</f>
        <v>11</v>
      </c>
      <c r="BE32" s="89" t="str">
        <f t="shared" ca="1" si="6"/>
        <v>320803</v>
      </c>
      <c r="BF32" s="89">
        <f t="shared" ca="1" si="7"/>
        <v>32080322</v>
      </c>
      <c r="BG32" s="89">
        <f t="shared" ca="1" si="8"/>
        <v>32</v>
      </c>
      <c r="BH32" s="89">
        <f t="shared" ca="1" si="9"/>
        <v>3</v>
      </c>
      <c r="BI32" s="89" t="str">
        <f t="shared" ca="1" si="10"/>
        <v>B558</v>
      </c>
      <c r="BJ32" s="89">
        <f t="shared" ca="1" si="11"/>
        <v>11</v>
      </c>
      <c r="BK32" s="89">
        <f t="shared" ca="1" si="12"/>
        <v>22</v>
      </c>
      <c r="BL32" s="89">
        <f t="shared" ca="1" si="13"/>
        <v>167</v>
      </c>
      <c r="BM32" s="89">
        <f t="shared" ca="1" si="14"/>
        <v>24</v>
      </c>
      <c r="BN32" s="89" t="str">
        <f t="shared" ca="1" si="15"/>
        <v>S8!B526:X557</v>
      </c>
      <c r="BO32" s="89" t="str">
        <f t="shared" ca="1" si="16"/>
        <v>e</v>
      </c>
      <c r="BP32" s="89" t="str">
        <f t="shared" ca="1" si="17"/>
        <v/>
      </c>
      <c r="BQ32" s="89" t="str">
        <f t="shared" ca="1" si="18"/>
        <v/>
      </c>
      <c r="BR32" s="87" t="str">
        <f t="shared" ca="1" si="19"/>
        <v>E</v>
      </c>
      <c r="BS32" s="89" t="str">
        <f t="shared" ca="1" si="20"/>
        <v>a</v>
      </c>
      <c r="BT32" s="89" t="str">
        <f t="shared" ca="1" si="21"/>
        <v>E</v>
      </c>
      <c r="BU32" s="89" t="str">
        <f t="shared" ca="1" si="22"/>
        <v/>
      </c>
      <c r="BV32" s="87" t="str">
        <f t="shared" ca="1" si="23"/>
        <v/>
      </c>
      <c r="BW32" s="87" t="str">
        <f t="shared" ca="1" si="24"/>
        <v>32080322</v>
      </c>
      <c r="BX32" s="89">
        <f t="shared" ca="1" si="25"/>
        <v>0</v>
      </c>
    </row>
    <row r="33" spans="1:76">
      <c r="A33" s="90" t="str">
        <f t="shared" si="2"/>
        <v/>
      </c>
      <c r="B33" s="98">
        <v>4</v>
      </c>
      <c r="C33" s="94">
        <v>-4</v>
      </c>
      <c r="D33" s="94">
        <v>2</v>
      </c>
      <c r="E33" s="94">
        <v>1</v>
      </c>
      <c r="F33" s="94">
        <v>-3</v>
      </c>
      <c r="G33" s="94">
        <v>7</v>
      </c>
      <c r="H33" s="94">
        <v>6</v>
      </c>
      <c r="I33" s="94">
        <v>-5</v>
      </c>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1">
        <f t="shared" ca="1" si="3"/>
        <v>559</v>
      </c>
      <c r="BB33" s="88" t="str">
        <f t="shared" ca="1" si="4"/>
        <v>A526:A1200</v>
      </c>
      <c r="BC33" s="89" t="str">
        <f t="shared" ca="1" si="5"/>
        <v>B559</v>
      </c>
      <c r="BD33" s="89">
        <f ca="1">IF(BC33=0,0,RANK(BF33,$BF$11:$BF$70,0)+(COUNTIF($BF33:$BF$70,BF33)-1))</f>
        <v>10</v>
      </c>
      <c r="BE33" s="89" t="str">
        <f t="shared" ca="1" si="6"/>
        <v>320804</v>
      </c>
      <c r="BF33" s="89">
        <f t="shared" ca="1" si="7"/>
        <v>32080414</v>
      </c>
      <c r="BG33" s="89">
        <f t="shared" ca="1" si="8"/>
        <v>32</v>
      </c>
      <c r="BH33" s="89">
        <f t="shared" ca="1" si="9"/>
        <v>4</v>
      </c>
      <c r="BI33" s="89" t="str">
        <f t="shared" ca="1" si="10"/>
        <v>B592</v>
      </c>
      <c r="BJ33" s="89">
        <f t="shared" ca="1" si="11"/>
        <v>7</v>
      </c>
      <c r="BK33" s="89">
        <f t="shared" ca="1" si="12"/>
        <v>14</v>
      </c>
      <c r="BL33" s="89">
        <f t="shared" ca="1" si="13"/>
        <v>112</v>
      </c>
      <c r="BM33" s="89">
        <f t="shared" ca="1" si="14"/>
        <v>16</v>
      </c>
      <c r="BN33" s="89" t="str">
        <f t="shared" ca="1" si="15"/>
        <v>S8!B560:P591</v>
      </c>
      <c r="BO33" s="89" t="str">
        <f t="shared" ca="1" si="16"/>
        <v>e</v>
      </c>
      <c r="BP33" s="89" t="str">
        <f t="shared" ca="1" si="17"/>
        <v/>
      </c>
      <c r="BQ33" s="89" t="str">
        <f t="shared" ca="1" si="18"/>
        <v/>
      </c>
      <c r="BR33" s="87" t="str">
        <f t="shared" ca="1" si="19"/>
        <v/>
      </c>
      <c r="BS33" s="89" t="str">
        <f t="shared" ca="1" si="20"/>
        <v/>
      </c>
      <c r="BT33" s="89" t="str">
        <f t="shared" ca="1" si="21"/>
        <v/>
      </c>
      <c r="BU33" s="89" t="str">
        <f t="shared" ca="1" si="22"/>
        <v/>
      </c>
      <c r="BV33" s="87" t="str">
        <f t="shared" ca="1" si="23"/>
        <v/>
      </c>
      <c r="BW33" s="87" t="str">
        <f t="shared" ca="1" si="24"/>
        <v>32080414</v>
      </c>
      <c r="BX33" s="89">
        <f t="shared" ca="1" si="25"/>
        <v>0</v>
      </c>
    </row>
    <row r="34" spans="1:76">
      <c r="A34" s="90" t="str">
        <f t="shared" si="2"/>
        <v/>
      </c>
      <c r="B34" s="98">
        <v>5</v>
      </c>
      <c r="C34" s="94">
        <v>-6</v>
      </c>
      <c r="D34" s="94">
        <v>5</v>
      </c>
      <c r="E34" s="94">
        <v>-1</v>
      </c>
      <c r="F34" s="94">
        <v>2</v>
      </c>
      <c r="G34" s="94">
        <v>8</v>
      </c>
      <c r="H34" s="94">
        <v>-4</v>
      </c>
      <c r="I34" s="94">
        <v>-3</v>
      </c>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1">
        <f t="shared" ca="1" si="3"/>
        <v>593</v>
      </c>
      <c r="BB34" s="88" t="str">
        <f t="shared" ca="1" si="4"/>
        <v>A560:A1200</v>
      </c>
      <c r="BC34" s="89" t="str">
        <f t="shared" ca="1" si="5"/>
        <v>B593</v>
      </c>
      <c r="BD34" s="89">
        <f ca="1">IF(BC34=0,0,RANK(BF34,$BF$11:$BF$70,0)+(COUNTIF($BF34:$BF$70,BF34)-1))</f>
        <v>6</v>
      </c>
      <c r="BE34" s="89" t="str">
        <f t="shared" ca="1" si="6"/>
        <v>320806</v>
      </c>
      <c r="BF34" s="89">
        <f t="shared" ca="1" si="7"/>
        <v>32080610</v>
      </c>
      <c r="BG34" s="89">
        <f t="shared" ca="1" si="8"/>
        <v>32</v>
      </c>
      <c r="BH34" s="89">
        <f t="shared" ca="1" si="9"/>
        <v>6</v>
      </c>
      <c r="BI34" s="89" t="str">
        <f t="shared" ca="1" si="10"/>
        <v>B626</v>
      </c>
      <c r="BJ34" s="89">
        <f t="shared" ca="1" si="11"/>
        <v>5</v>
      </c>
      <c r="BK34" s="89">
        <f t="shared" ca="1" si="12"/>
        <v>10</v>
      </c>
      <c r="BL34" s="89">
        <f t="shared" ca="1" si="13"/>
        <v>80</v>
      </c>
      <c r="BM34" s="89">
        <f t="shared" ca="1" si="14"/>
        <v>12</v>
      </c>
      <c r="BN34" s="89" t="str">
        <f t="shared" ca="1" si="15"/>
        <v>S8!B594:L625</v>
      </c>
      <c r="BO34" s="89" t="str">
        <f t="shared" ca="1" si="16"/>
        <v>e</v>
      </c>
      <c r="BP34" s="89" t="str">
        <f t="shared" ca="1" si="17"/>
        <v/>
      </c>
      <c r="BQ34" s="89" t="str">
        <f t="shared" ca="1" si="18"/>
        <v/>
      </c>
      <c r="BR34" s="87" t="str">
        <f t="shared" ca="1" si="19"/>
        <v>x</v>
      </c>
      <c r="BS34" s="89" t="str">
        <f t="shared" ca="1" si="20"/>
        <v/>
      </c>
      <c r="BT34" s="89" t="str">
        <f t="shared" ca="1" si="21"/>
        <v/>
      </c>
      <c r="BU34" s="89" t="str">
        <f t="shared" ca="1" si="22"/>
        <v/>
      </c>
      <c r="BV34" s="87" t="str">
        <f t="shared" ca="1" si="23"/>
        <v/>
      </c>
      <c r="BW34" s="87" t="str">
        <f t="shared" ca="1" si="24"/>
        <v>32080610</v>
      </c>
      <c r="BX34" s="89">
        <f t="shared" ca="1" si="25"/>
        <v>0</v>
      </c>
    </row>
    <row r="35" spans="1:76">
      <c r="A35" s="90" t="str">
        <f t="shared" si="2"/>
        <v/>
      </c>
      <c r="B35" s="98">
        <v>6</v>
      </c>
      <c r="C35" s="94">
        <v>4</v>
      </c>
      <c r="D35" s="94">
        <v>-6</v>
      </c>
      <c r="E35" s="94">
        <v>8</v>
      </c>
      <c r="F35" s="94">
        <v>-7</v>
      </c>
      <c r="G35" s="94">
        <v>1</v>
      </c>
      <c r="H35" s="94">
        <v>-5</v>
      </c>
      <c r="I35" s="94">
        <v>3</v>
      </c>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1">
        <f t="shared" ca="1" si="3"/>
        <v>627</v>
      </c>
      <c r="BB35" s="88" t="str">
        <f t="shared" ca="1" si="4"/>
        <v>A594:A1200</v>
      </c>
      <c r="BC35" s="89" t="str">
        <f t="shared" ca="1" si="5"/>
        <v>B627</v>
      </c>
      <c r="BD35" s="89">
        <f ca="1">IF(BC35=0,0,RANK(BF35,$BF$11:$BF$70,0)+(COUNTIF($BF35:$BF$70,BF35)-1))</f>
        <v>5</v>
      </c>
      <c r="BE35" s="89" t="str">
        <f t="shared" ca="1" si="6"/>
        <v>330803</v>
      </c>
      <c r="BF35" s="89">
        <f t="shared" ca="1" si="7"/>
        <v>33080322</v>
      </c>
      <c r="BG35" s="89">
        <f t="shared" ca="1" si="8"/>
        <v>33</v>
      </c>
      <c r="BH35" s="89">
        <f t="shared" ca="1" si="9"/>
        <v>3</v>
      </c>
      <c r="BI35" s="89" t="str">
        <f t="shared" ca="1" si="10"/>
        <v>B661</v>
      </c>
      <c r="BJ35" s="89">
        <f t="shared" ca="1" si="11"/>
        <v>10</v>
      </c>
      <c r="BK35" s="89">
        <f t="shared" ca="1" si="12"/>
        <v>22</v>
      </c>
      <c r="BL35" s="89">
        <f t="shared" ca="1" si="13"/>
        <v>165</v>
      </c>
      <c r="BM35" s="89">
        <f t="shared" ca="1" si="14"/>
        <v>24</v>
      </c>
      <c r="BN35" s="89" t="str">
        <f t="shared" ca="1" si="15"/>
        <v>S8!B628:X660</v>
      </c>
      <c r="BO35" s="89" t="str">
        <f t="shared" ca="1" si="16"/>
        <v>e</v>
      </c>
      <c r="BP35" s="89" t="str">
        <f t="shared" ca="1" si="17"/>
        <v>b</v>
      </c>
      <c r="BQ35" s="89" t="str">
        <f t="shared" ca="1" si="18"/>
        <v/>
      </c>
      <c r="BR35" s="87" t="str">
        <f t="shared" ca="1" si="19"/>
        <v/>
      </c>
      <c r="BS35" s="89" t="str">
        <f t="shared" ca="1" si="20"/>
        <v/>
      </c>
      <c r="BT35" s="89" t="str">
        <f t="shared" ca="1" si="21"/>
        <v/>
      </c>
      <c r="BU35" s="89" t="str">
        <f t="shared" ca="1" si="22"/>
        <v/>
      </c>
      <c r="BV35" s="87" t="str">
        <f t="shared" ca="1" si="23"/>
        <v/>
      </c>
      <c r="BW35" s="87" t="str">
        <f t="shared" ca="1" si="24"/>
        <v>33080322</v>
      </c>
      <c r="BX35" s="89">
        <f t="shared" ca="1" si="25"/>
        <v>0</v>
      </c>
    </row>
    <row r="36" spans="1:76">
      <c r="A36" s="90" t="str">
        <f t="shared" si="2"/>
        <v/>
      </c>
      <c r="B36" s="98">
        <v>7</v>
      </c>
      <c r="C36" s="94">
        <v>-8</v>
      </c>
      <c r="D36" s="94">
        <v>7</v>
      </c>
      <c r="E36" s="94">
        <v>-5</v>
      </c>
      <c r="F36" s="94">
        <v>3</v>
      </c>
      <c r="G36" s="94">
        <v>-1</v>
      </c>
      <c r="H36" s="94">
        <v>4</v>
      </c>
      <c r="I36" s="94">
        <v>6</v>
      </c>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1">
        <f t="shared" ca="1" si="3"/>
        <v>662</v>
      </c>
      <c r="BB36" s="88" t="str">
        <f t="shared" ca="1" si="4"/>
        <v>A628:A1200</v>
      </c>
      <c r="BC36" s="89" t="str">
        <f t="shared" ca="1" si="5"/>
        <v>B662</v>
      </c>
      <c r="BD36" s="89">
        <f ca="1">IF(BC36=0,0,RANK(BF36,$BF$11:$BF$70,0)+(COUNTIF($BF36:$BF$70,BF36)-1))</f>
        <v>4</v>
      </c>
      <c r="BE36" s="89" t="str">
        <f t="shared" ca="1" si="6"/>
        <v>340804</v>
      </c>
      <c r="BF36" s="89">
        <f t="shared" ca="1" si="7"/>
        <v>34080417</v>
      </c>
      <c r="BG36" s="89">
        <f t="shared" ca="1" si="8"/>
        <v>34</v>
      </c>
      <c r="BH36" s="89">
        <f t="shared" ca="1" si="9"/>
        <v>4</v>
      </c>
      <c r="BI36" s="89" t="str">
        <f t="shared" ca="1" si="10"/>
        <v>B697</v>
      </c>
      <c r="BJ36" s="89">
        <f t="shared" ca="1" si="11"/>
        <v>8</v>
      </c>
      <c r="BK36" s="89">
        <f t="shared" ca="1" si="12"/>
        <v>17</v>
      </c>
      <c r="BL36" s="89">
        <f t="shared" ca="1" si="13"/>
        <v>136</v>
      </c>
      <c r="BM36" s="89">
        <f t="shared" ca="1" si="14"/>
        <v>19</v>
      </c>
      <c r="BN36" s="89" t="str">
        <f t="shared" ca="1" si="15"/>
        <v>S8!B663:S696</v>
      </c>
      <c r="BO36" s="89" t="str">
        <f t="shared" ca="1" si="16"/>
        <v>e</v>
      </c>
      <c r="BP36" s="89" t="str">
        <f t="shared" ca="1" si="17"/>
        <v>b</v>
      </c>
      <c r="BQ36" s="89" t="str">
        <f t="shared" ca="1" si="18"/>
        <v/>
      </c>
      <c r="BR36" s="87" t="str">
        <f t="shared" ca="1" si="19"/>
        <v/>
      </c>
      <c r="BS36" s="89" t="str">
        <f t="shared" ca="1" si="20"/>
        <v>a</v>
      </c>
      <c r="BT36" s="89" t="str">
        <f t="shared" ca="1" si="21"/>
        <v/>
      </c>
      <c r="BU36" s="89" t="str">
        <f t="shared" ca="1" si="22"/>
        <v/>
      </c>
      <c r="BV36" s="87" t="str">
        <f t="shared" ca="1" si="23"/>
        <v/>
      </c>
      <c r="BW36" s="87" t="str">
        <f t="shared" ca="1" si="24"/>
        <v>34080417</v>
      </c>
      <c r="BX36" s="89">
        <f t="shared" ca="1" si="25"/>
        <v>0</v>
      </c>
    </row>
    <row r="37" spans="1:76">
      <c r="A37" s="90" t="str">
        <f t="shared" si="2"/>
        <v/>
      </c>
      <c r="B37" s="99">
        <v>8</v>
      </c>
      <c r="C37" s="92">
        <v>1</v>
      </c>
      <c r="D37" s="92">
        <v>-2</v>
      </c>
      <c r="E37" s="92">
        <v>3</v>
      </c>
      <c r="F37" s="92">
        <v>-4</v>
      </c>
      <c r="G37" s="92">
        <v>-8</v>
      </c>
      <c r="H37" s="92">
        <v>5</v>
      </c>
      <c r="I37" s="92">
        <v>-6</v>
      </c>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1">
        <f t="shared" ca="1" si="3"/>
        <v>698</v>
      </c>
      <c r="BB37" s="88" t="str">
        <f t="shared" ca="1" si="4"/>
        <v>A663:A1200</v>
      </c>
      <c r="BC37" s="89" t="str">
        <f t="shared" ca="1" si="5"/>
        <v>B698</v>
      </c>
      <c r="BD37" s="89">
        <f ca="1">IF(BC37=0,0,RANK(BF37,$BF$11:$BF$70,0)+(COUNTIF($BF37:$BF$70,BF37)-1))</f>
        <v>2</v>
      </c>
      <c r="BE37" s="89" t="str">
        <f t="shared" ca="1" si="6"/>
        <v>340806</v>
      </c>
      <c r="BF37" s="89">
        <f t="shared" ca="1" si="7"/>
        <v>34080610</v>
      </c>
      <c r="BG37" s="89">
        <f t="shared" ca="1" si="8"/>
        <v>34</v>
      </c>
      <c r="BH37" s="89">
        <f t="shared" ca="1" si="9"/>
        <v>6</v>
      </c>
      <c r="BI37" s="89" t="str">
        <f t="shared" ca="1" si="10"/>
        <v>B733</v>
      </c>
      <c r="BJ37" s="89">
        <f t="shared" ca="1" si="11"/>
        <v>5</v>
      </c>
      <c r="BK37" s="89">
        <f t="shared" ca="1" si="12"/>
        <v>10</v>
      </c>
      <c r="BL37" s="89">
        <f t="shared" ca="1" si="13"/>
        <v>80</v>
      </c>
      <c r="BM37" s="89">
        <f t="shared" ca="1" si="14"/>
        <v>12</v>
      </c>
      <c r="BN37" s="89" t="str">
        <f t="shared" ca="1" si="15"/>
        <v>S8!B699:L732</v>
      </c>
      <c r="BO37" s="89" t="str">
        <f t="shared" ca="1" si="16"/>
        <v>e</v>
      </c>
      <c r="BP37" s="89" t="str">
        <f t="shared" ca="1" si="17"/>
        <v>w</v>
      </c>
      <c r="BQ37" s="89" t="str">
        <f t="shared" ca="1" si="18"/>
        <v>w</v>
      </c>
      <c r="BR37" s="87" t="str">
        <f t="shared" ca="1" si="19"/>
        <v/>
      </c>
      <c r="BS37" s="89" t="str">
        <f t="shared" ca="1" si="20"/>
        <v/>
      </c>
      <c r="BT37" s="89" t="str">
        <f t="shared" ca="1" si="21"/>
        <v/>
      </c>
      <c r="BU37" s="89" t="str">
        <f t="shared" ca="1" si="22"/>
        <v/>
      </c>
      <c r="BV37" s="87" t="str">
        <f t="shared" ca="1" si="23"/>
        <v/>
      </c>
      <c r="BW37" s="87" t="str">
        <f t="shared" ca="1" si="24"/>
        <v>34080610</v>
      </c>
      <c r="BX37" s="89">
        <f t="shared" ca="1" si="25"/>
        <v>0</v>
      </c>
    </row>
    <row r="38" spans="1:76">
      <c r="A38" s="90" t="str">
        <f t="shared" si="2"/>
        <v/>
      </c>
      <c r="B38" s="98">
        <v>9</v>
      </c>
      <c r="C38" s="94">
        <v>-7</v>
      </c>
      <c r="D38" s="94">
        <v>4</v>
      </c>
      <c r="E38" s="94">
        <v>6</v>
      </c>
      <c r="F38" s="94">
        <v>-8</v>
      </c>
      <c r="G38" s="94">
        <v>-5</v>
      </c>
      <c r="H38" s="94">
        <v>1</v>
      </c>
      <c r="I38" s="94">
        <v>2</v>
      </c>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c r="BA38" s="91">
        <f t="shared" ca="1" si="3"/>
        <v>734</v>
      </c>
      <c r="BB38" s="88" t="str">
        <f t="shared" ca="1" si="4"/>
        <v>A699:A1200</v>
      </c>
      <c r="BC38" s="89" t="str">
        <f t="shared" ca="1" si="5"/>
        <v>B734</v>
      </c>
      <c r="BD38" s="89">
        <f ca="1">IF(BC38=0,0,RANK(BF38,$BF$11:$BF$70,0)+(COUNTIF($BF38:$BF$70,BF38)-1))</f>
        <v>1</v>
      </c>
      <c r="BE38" s="89" t="str">
        <f t="shared" ca="1" si="6"/>
        <v>360804</v>
      </c>
      <c r="BF38" s="89">
        <f t="shared" ca="1" si="7"/>
        <v>36080418</v>
      </c>
      <c r="BG38" s="89">
        <f t="shared" ca="1" si="8"/>
        <v>36</v>
      </c>
      <c r="BH38" s="89">
        <f t="shared" ca="1" si="9"/>
        <v>4</v>
      </c>
      <c r="BI38" s="89" t="str">
        <f t="shared" ca="1" si="10"/>
        <v>B771</v>
      </c>
      <c r="BJ38" s="89">
        <f t="shared" ca="1" si="11"/>
        <v>8</v>
      </c>
      <c r="BK38" s="89">
        <f t="shared" ca="1" si="12"/>
        <v>18</v>
      </c>
      <c r="BL38" s="89">
        <f t="shared" ca="1" si="13"/>
        <v>144</v>
      </c>
      <c r="BM38" s="89">
        <f t="shared" ca="1" si="14"/>
        <v>20</v>
      </c>
      <c r="BN38" s="89" t="str">
        <f t="shared" ca="1" si="15"/>
        <v>S8!B735:T770</v>
      </c>
      <c r="BO38" s="89" t="str">
        <f t="shared" ca="1" si="16"/>
        <v>e</v>
      </c>
      <c r="BP38" s="89" t="str">
        <f t="shared" ca="1" si="17"/>
        <v>b</v>
      </c>
      <c r="BQ38" s="89" t="str">
        <f t="shared" ca="1" si="18"/>
        <v/>
      </c>
      <c r="BR38" s="87" t="str">
        <f t="shared" ca="1" si="19"/>
        <v/>
      </c>
      <c r="BS38" s="89" t="str">
        <f t="shared" ca="1" si="20"/>
        <v/>
      </c>
      <c r="BT38" s="89" t="str">
        <f t="shared" ca="1" si="21"/>
        <v/>
      </c>
      <c r="BU38" s="89" t="str">
        <f t="shared" ca="1" si="22"/>
        <v/>
      </c>
      <c r="BV38" s="87" t="str">
        <f t="shared" ca="1" si="23"/>
        <v/>
      </c>
      <c r="BW38" s="87" t="str">
        <f t="shared" ca="1" si="24"/>
        <v>36080418</v>
      </c>
      <c r="BX38" s="89">
        <f t="shared" ca="1" si="25"/>
        <v>0</v>
      </c>
    </row>
    <row r="39" spans="1:76">
      <c r="A39" s="90" t="str">
        <f t="shared" si="2"/>
        <v/>
      </c>
      <c r="B39" s="98">
        <v>10</v>
      </c>
      <c r="C39" s="94">
        <v>-3</v>
      </c>
      <c r="D39" s="94">
        <v>1</v>
      </c>
      <c r="E39" s="94">
        <v>-7</v>
      </c>
      <c r="F39" s="94">
        <v>5</v>
      </c>
      <c r="G39" s="94">
        <v>4</v>
      </c>
      <c r="H39" s="94">
        <v>-8</v>
      </c>
      <c r="I39" s="94">
        <v>-2</v>
      </c>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1">
        <f t="shared" ca="1" si="3"/>
        <v>772</v>
      </c>
      <c r="BB39" s="88" t="str">
        <f t="shared" ca="1" si="4"/>
        <v>A735:A1200</v>
      </c>
      <c r="BC39" s="89" t="str">
        <f t="shared" ca="1" si="5"/>
        <v>B772</v>
      </c>
      <c r="BD39" s="89">
        <f ca="1">IF(BC39=0,0,RANK(BF39,$BF$11:$BF$70,0)+(COUNTIF($BF39:$BF$70,BF39)-1))</f>
        <v>23</v>
      </c>
      <c r="BE39" s="89" t="str">
        <f t="shared" ca="1" si="6"/>
        <v>240802</v>
      </c>
      <c r="BF39" s="89">
        <f t="shared" ca="1" si="7"/>
        <v>24080217</v>
      </c>
      <c r="BG39" s="89">
        <f t="shared" ca="1" si="8"/>
        <v>24</v>
      </c>
      <c r="BH39" s="89">
        <f t="shared" ca="1" si="9"/>
        <v>2</v>
      </c>
      <c r="BI39" s="89" t="str">
        <f t="shared" ca="1" si="10"/>
        <v>B797</v>
      </c>
      <c r="BJ39" s="89">
        <f t="shared" ca="1" si="11"/>
        <v>11</v>
      </c>
      <c r="BK39" s="89">
        <f t="shared" ca="1" si="12"/>
        <v>17</v>
      </c>
      <c r="BL39" s="89">
        <f t="shared" ca="1" si="13"/>
        <v>132</v>
      </c>
      <c r="BM39" s="89">
        <f t="shared" ca="1" si="14"/>
        <v>19</v>
      </c>
      <c r="BN39" s="89" t="str">
        <f t="shared" ca="1" si="15"/>
        <v>S8!B773:S796</v>
      </c>
      <c r="BO39" s="89" t="str">
        <f t="shared" ca="1" si="16"/>
        <v>c</v>
      </c>
      <c r="BP39" s="89" t="str">
        <f t="shared" ca="1" si="17"/>
        <v/>
      </c>
      <c r="BQ39" s="89" t="str">
        <f t="shared" ca="1" si="18"/>
        <v/>
      </c>
      <c r="BR39" s="87" t="str">
        <f t="shared" ca="1" si="19"/>
        <v/>
      </c>
      <c r="BS39" s="89" t="str">
        <f t="shared" ca="1" si="20"/>
        <v/>
      </c>
      <c r="BT39" s="89" t="str">
        <f t="shared" ca="1" si="21"/>
        <v/>
      </c>
      <c r="BU39" s="89" t="str">
        <f t="shared" ca="1" si="22"/>
        <v/>
      </c>
      <c r="BV39" s="87" t="str">
        <f t="shared" ca="1" si="23"/>
        <v>c</v>
      </c>
      <c r="BW39" s="87" t="str">
        <f t="shared" ca="1" si="24"/>
        <v>24080217</v>
      </c>
      <c r="BX39" s="89" t="str">
        <f t="shared" ca="1" si="25"/>
        <v>23</v>
      </c>
    </row>
    <row r="40" spans="1:76">
      <c r="A40" s="90" t="str">
        <f t="shared" si="2"/>
        <v/>
      </c>
      <c r="B40" s="98">
        <v>11</v>
      </c>
      <c r="C40" s="94">
        <v>-5</v>
      </c>
      <c r="D40" s="94">
        <v>-8</v>
      </c>
      <c r="E40" s="94">
        <v>2</v>
      </c>
      <c r="F40" s="94">
        <v>6</v>
      </c>
      <c r="G40" s="94">
        <v>-4</v>
      </c>
      <c r="H40" s="94">
        <v>-1</v>
      </c>
      <c r="I40" s="94">
        <v>7</v>
      </c>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1">
        <f t="shared" ca="1" si="3"/>
        <v>798</v>
      </c>
      <c r="BB40" s="88" t="str">
        <f t="shared" ca="1" si="4"/>
        <v>A773:A1200</v>
      </c>
      <c r="BC40" s="89" t="str">
        <f t="shared" ca="1" si="5"/>
        <v>B798</v>
      </c>
      <c r="BD40" s="89">
        <f ca="1">IF(BC40=0,0,RANK(BF40,$BF$11:$BF$70,0)+(COUNTIF($BF40:$BF$70,BF40)-1))</f>
        <v>22</v>
      </c>
      <c r="BE40" s="89" t="str">
        <f t="shared" ca="1" si="6"/>
        <v>260802</v>
      </c>
      <c r="BF40" s="89">
        <f t="shared" ca="1" si="7"/>
        <v>26080220</v>
      </c>
      <c r="BG40" s="89">
        <f t="shared" ca="1" si="8"/>
        <v>26</v>
      </c>
      <c r="BH40" s="89">
        <f t="shared" ca="1" si="9"/>
        <v>2</v>
      </c>
      <c r="BI40" s="89" t="str">
        <f t="shared" ca="1" si="10"/>
        <v>B825</v>
      </c>
      <c r="BJ40" s="89">
        <f t="shared" ca="1" si="11"/>
        <v>12</v>
      </c>
      <c r="BK40" s="89">
        <f t="shared" ca="1" si="12"/>
        <v>20</v>
      </c>
      <c r="BL40" s="89">
        <f t="shared" ca="1" si="13"/>
        <v>156</v>
      </c>
      <c r="BM40" s="89">
        <f t="shared" ca="1" si="14"/>
        <v>22</v>
      </c>
      <c r="BN40" s="89" t="str">
        <f t="shared" ca="1" si="15"/>
        <v>S8!B799:V824</v>
      </c>
      <c r="BO40" s="89" t="str">
        <f t="shared" ca="1" si="16"/>
        <v>c</v>
      </c>
      <c r="BP40" s="89" t="str">
        <f t="shared" ca="1" si="17"/>
        <v/>
      </c>
      <c r="BQ40" s="89" t="str">
        <f t="shared" ca="1" si="18"/>
        <v/>
      </c>
      <c r="BR40" s="87" t="str">
        <f t="shared" ca="1" si="19"/>
        <v/>
      </c>
      <c r="BS40" s="89" t="str">
        <f t="shared" ca="1" si="20"/>
        <v/>
      </c>
      <c r="BT40" s="89" t="str">
        <f t="shared" ca="1" si="21"/>
        <v/>
      </c>
      <c r="BU40" s="89" t="str">
        <f t="shared" ca="1" si="22"/>
        <v/>
      </c>
      <c r="BV40" s="87" t="str">
        <f t="shared" ca="1" si="23"/>
        <v>c</v>
      </c>
      <c r="BW40" s="87" t="str">
        <f t="shared" ca="1" si="24"/>
        <v>26080220</v>
      </c>
      <c r="BX40" s="89" t="str">
        <f t="shared" ca="1" si="25"/>
        <v>33</v>
      </c>
    </row>
    <row r="41" spans="1:76">
      <c r="A41" s="90" t="str">
        <f t="shared" si="2"/>
        <v/>
      </c>
      <c r="B41" s="98">
        <v>12</v>
      </c>
      <c r="C41" s="94">
        <v>2</v>
      </c>
      <c r="D41" s="94">
        <v>3</v>
      </c>
      <c r="E41" s="94">
        <v>-4</v>
      </c>
      <c r="F41" s="94">
        <v>-1</v>
      </c>
      <c r="G41" s="94">
        <v>5</v>
      </c>
      <c r="H41" s="94">
        <v>8</v>
      </c>
      <c r="I41" s="94">
        <v>-7</v>
      </c>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1">
        <f t="shared" ca="1" si="3"/>
        <v>826</v>
      </c>
      <c r="BB41" s="88" t="str">
        <f t="shared" ca="1" si="4"/>
        <v>A799:A1200</v>
      </c>
      <c r="BC41" s="89" t="str">
        <f t="shared" ca="1" si="5"/>
        <v>B826</v>
      </c>
      <c r="BD41" s="89">
        <f ca="1">IF(BC41=0,0,RANK(BF41,$BF$11:$BF$70,0)+(COUNTIF($BF41:$BF$70,BF41)-1))</f>
        <v>21</v>
      </c>
      <c r="BE41" s="89" t="str">
        <f t="shared" ca="1" si="6"/>
        <v>280804</v>
      </c>
      <c r="BF41" s="89">
        <f t="shared" ca="1" si="7"/>
        <v>28080412</v>
      </c>
      <c r="BG41" s="89">
        <f t="shared" ca="1" si="8"/>
        <v>28</v>
      </c>
      <c r="BH41" s="89">
        <f t="shared" ca="1" si="9"/>
        <v>4</v>
      </c>
      <c r="BI41" s="89" t="str">
        <f t="shared" ca="1" si="10"/>
        <v>B855</v>
      </c>
      <c r="BJ41" s="89">
        <f t="shared" ca="1" si="11"/>
        <v>6</v>
      </c>
      <c r="BK41" s="89">
        <f t="shared" ca="1" si="12"/>
        <v>12</v>
      </c>
      <c r="BL41" s="89">
        <f t="shared" ca="1" si="13"/>
        <v>84</v>
      </c>
      <c r="BM41" s="89">
        <f t="shared" ca="1" si="14"/>
        <v>14</v>
      </c>
      <c r="BN41" s="89" t="str">
        <f t="shared" ca="1" si="15"/>
        <v>S8!B827:N854</v>
      </c>
      <c r="BO41" s="89" t="str">
        <f t="shared" ca="1" si="16"/>
        <v>c</v>
      </c>
      <c r="BP41" s="89" t="str">
        <f t="shared" ca="1" si="17"/>
        <v/>
      </c>
      <c r="BQ41" s="89" t="str">
        <f t="shared" ca="1" si="18"/>
        <v/>
      </c>
      <c r="BR41" s="87" t="str">
        <f t="shared" ca="1" si="19"/>
        <v/>
      </c>
      <c r="BS41" s="89" t="str">
        <f t="shared" ca="1" si="20"/>
        <v/>
      </c>
      <c r="BT41" s="89" t="str">
        <f t="shared" ca="1" si="21"/>
        <v/>
      </c>
      <c r="BU41" s="89" t="str">
        <f t="shared" ca="1" si="22"/>
        <v/>
      </c>
      <c r="BV41" s="87" t="str">
        <f t="shared" ca="1" si="23"/>
        <v>c</v>
      </c>
      <c r="BW41" s="87" t="str">
        <f t="shared" ca="1" si="24"/>
        <v>28080412</v>
      </c>
      <c r="BX41" s="89" t="str">
        <f t="shared" ca="1" si="25"/>
        <v>44</v>
      </c>
    </row>
    <row r="42" spans="1:76">
      <c r="A42" s="90" t="str">
        <f t="shared" si="2"/>
        <v/>
      </c>
      <c r="B42" s="98">
        <v>13</v>
      </c>
      <c r="C42" s="94">
        <v>5</v>
      </c>
      <c r="D42" s="94">
        <v>-3</v>
      </c>
      <c r="E42" s="94">
        <v>7</v>
      </c>
      <c r="F42" s="94">
        <v>8</v>
      </c>
      <c r="G42" s="94">
        <v>-6</v>
      </c>
      <c r="H42" s="94">
        <v>-2</v>
      </c>
      <c r="I42" s="94">
        <v>1</v>
      </c>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1">
        <f t="shared" ca="1" si="3"/>
        <v>856</v>
      </c>
      <c r="BB42" s="88" t="str">
        <f t="shared" ca="1" si="4"/>
        <v>A827:A1200</v>
      </c>
      <c r="BC42" s="89" t="str">
        <f t="shared" ca="1" si="5"/>
        <v>B856</v>
      </c>
      <c r="BD42" s="89">
        <f ca="1">IF(BC42=0,0,RANK(BF42,$BF$11:$BF$70,0)+(COUNTIF($BF42:$BF$70,BF42)-1))</f>
        <v>27</v>
      </c>
      <c r="BE42" s="89" t="str">
        <f t="shared" ca="1" si="6"/>
        <v>180803</v>
      </c>
      <c r="BF42" s="89">
        <f t="shared" ca="1" si="7"/>
        <v>18080306</v>
      </c>
      <c r="BG42" s="89">
        <f t="shared" ca="1" si="8"/>
        <v>18</v>
      </c>
      <c r="BH42" s="89">
        <f t="shared" ca="1" si="9"/>
        <v>3</v>
      </c>
      <c r="BI42" s="89" t="str">
        <f t="shared" ca="1" si="10"/>
        <v>B875</v>
      </c>
      <c r="BJ42" s="89">
        <f t="shared" ca="1" si="11"/>
        <v>5</v>
      </c>
      <c r="BK42" s="89">
        <f t="shared" ca="1" si="12"/>
        <v>6</v>
      </c>
      <c r="BL42" s="89">
        <f t="shared" ca="1" si="13"/>
        <v>45</v>
      </c>
      <c r="BM42" s="89">
        <f t="shared" ca="1" si="14"/>
        <v>8</v>
      </c>
      <c r="BN42" s="89" t="str">
        <f t="shared" ca="1" si="15"/>
        <v>S8!B857:H874</v>
      </c>
      <c r="BO42" s="89" t="str">
        <f t="shared" ca="1" si="16"/>
        <v>c</v>
      </c>
      <c r="BP42" s="89" t="str">
        <f t="shared" ca="1" si="17"/>
        <v/>
      </c>
      <c r="BQ42" s="89" t="str">
        <f t="shared" ca="1" si="18"/>
        <v/>
      </c>
      <c r="BR42" s="87" t="str">
        <f t="shared" ca="1" si="19"/>
        <v/>
      </c>
      <c r="BS42" s="89" t="str">
        <f t="shared" ca="1" si="20"/>
        <v/>
      </c>
      <c r="BT42" s="89" t="str">
        <f t="shared" ca="1" si="21"/>
        <v/>
      </c>
      <c r="BU42" s="89" t="str">
        <f t="shared" ca="1" si="22"/>
        <v/>
      </c>
      <c r="BV42" s="87" t="str">
        <f t="shared" ca="1" si="23"/>
        <v>c</v>
      </c>
      <c r="BW42" s="87" t="str">
        <f t="shared" ca="1" si="24"/>
        <v>18080306</v>
      </c>
      <c r="BX42" s="89" t="str">
        <f t="shared" ca="1" si="25"/>
        <v>33</v>
      </c>
    </row>
    <row r="43" spans="1:76">
      <c r="A43" s="90" t="str">
        <f t="shared" si="2"/>
        <v/>
      </c>
      <c r="B43" s="98">
        <v>14</v>
      </c>
      <c r="C43" s="94">
        <v>-2</v>
      </c>
      <c r="D43" s="94">
        <v>8</v>
      </c>
      <c r="E43" s="94">
        <v>-6</v>
      </c>
      <c r="F43" s="94">
        <v>-5</v>
      </c>
      <c r="G43" s="94">
        <v>3</v>
      </c>
      <c r="H43" s="94">
        <v>7</v>
      </c>
      <c r="I43" s="94">
        <v>-1</v>
      </c>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1">
        <f t="shared" ca="1" si="3"/>
        <v>876</v>
      </c>
      <c r="BB43" s="88" t="str">
        <f t="shared" ca="1" si="4"/>
        <v>A857:A1200</v>
      </c>
      <c r="BC43" s="89" t="str">
        <f t="shared" ca="1" si="5"/>
        <v>B876</v>
      </c>
      <c r="BD43" s="89">
        <f ca="1">IF(BC43=0,0,RANK(BF43,$BF$11:$BF$70,0)+(COUNTIF($BF43:$BF$70,BF43)-1))</f>
        <v>8</v>
      </c>
      <c r="BE43" s="89" t="str">
        <f t="shared" ca="1" si="6"/>
        <v>320805</v>
      </c>
      <c r="BF43" s="89">
        <f t="shared" ca="1" si="7"/>
        <v>32080514</v>
      </c>
      <c r="BG43" s="89">
        <f t="shared" ca="1" si="8"/>
        <v>32</v>
      </c>
      <c r="BH43" s="89">
        <f t="shared" ca="1" si="9"/>
        <v>5</v>
      </c>
      <c r="BI43" s="89" t="str">
        <f t="shared" ca="1" si="10"/>
        <v>B909</v>
      </c>
      <c r="BJ43" s="89">
        <f t="shared" ca="1" si="11"/>
        <v>7</v>
      </c>
      <c r="BK43" s="89">
        <f t="shared" ca="1" si="12"/>
        <v>14</v>
      </c>
      <c r="BL43" s="89">
        <f t="shared" ca="1" si="13"/>
        <v>112</v>
      </c>
      <c r="BM43" s="89">
        <f t="shared" ca="1" si="14"/>
        <v>16</v>
      </c>
      <c r="BN43" s="89" t="str">
        <f t="shared" ca="1" si="15"/>
        <v>S8!B877:P908</v>
      </c>
      <c r="BO43" s="89" t="str">
        <f t="shared" ca="1" si="16"/>
        <v>e</v>
      </c>
      <c r="BP43" s="89" t="str">
        <f t="shared" ca="1" si="17"/>
        <v/>
      </c>
      <c r="BQ43" s="89" t="str">
        <f t="shared" ca="1" si="18"/>
        <v/>
      </c>
      <c r="BR43" s="87" t="str">
        <f t="shared" ca="1" si="19"/>
        <v>E</v>
      </c>
      <c r="BS43" s="89" t="str">
        <f t="shared" ca="1" si="20"/>
        <v>a</v>
      </c>
      <c r="BT43" s="89" t="str">
        <f t="shared" ca="1" si="21"/>
        <v>E</v>
      </c>
      <c r="BU43" s="89" t="str">
        <f t="shared" ca="1" si="22"/>
        <v/>
      </c>
      <c r="BV43" s="87" t="str">
        <f t="shared" ca="1" si="23"/>
        <v/>
      </c>
      <c r="BW43" s="87" t="str">
        <f t="shared" ca="1" si="24"/>
        <v>32080514</v>
      </c>
      <c r="BX43" s="89">
        <f t="shared" ca="1" si="25"/>
        <v>0</v>
      </c>
    </row>
    <row r="44" spans="1:76">
      <c r="A44" s="90" t="str">
        <f t="shared" si="2"/>
        <v/>
      </c>
      <c r="B44" s="98">
        <v>15</v>
      </c>
      <c r="C44" s="94">
        <v>7</v>
      </c>
      <c r="D44" s="94">
        <v>-1</v>
      </c>
      <c r="E44" s="94">
        <v>4</v>
      </c>
      <c r="F44" s="94">
        <v>-6</v>
      </c>
      <c r="G44" s="94">
        <v>-3</v>
      </c>
      <c r="H44" s="94">
        <v>2</v>
      </c>
      <c r="I44" s="94">
        <v>8</v>
      </c>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1">
        <f t="shared" ca="1" si="3"/>
        <v>910</v>
      </c>
      <c r="BB44" s="88" t="str">
        <f t="shared" ca="1" si="4"/>
        <v>A877:A1200</v>
      </c>
      <c r="BC44" s="89" t="str">
        <f t="shared" ca="1" si="5"/>
        <v>B910</v>
      </c>
      <c r="BD44" s="89">
        <f ca="1">IF(BC44=0,0,RANK(BF44,$BF$11:$BF$70,0)+(COUNTIF($BF44:$BF$70,BF44)-1))</f>
        <v>3</v>
      </c>
      <c r="BE44" s="89" t="str">
        <f t="shared" ca="1" si="6"/>
        <v>340805</v>
      </c>
      <c r="BF44" s="89">
        <f t="shared" ca="1" si="7"/>
        <v>34080514</v>
      </c>
      <c r="BG44" s="89">
        <f t="shared" ca="1" si="8"/>
        <v>34</v>
      </c>
      <c r="BH44" s="89">
        <f t="shared" ca="1" si="9"/>
        <v>5</v>
      </c>
      <c r="BI44" s="89" t="str">
        <f t="shared" ca="1" si="10"/>
        <v>B945</v>
      </c>
      <c r="BJ44" s="89">
        <f t="shared" ca="1" si="11"/>
        <v>6</v>
      </c>
      <c r="BK44" s="89">
        <f t="shared" ca="1" si="12"/>
        <v>14</v>
      </c>
      <c r="BL44" s="89">
        <f t="shared" ca="1" si="13"/>
        <v>105</v>
      </c>
      <c r="BM44" s="89">
        <f t="shared" ca="1" si="14"/>
        <v>16</v>
      </c>
      <c r="BN44" s="89" t="str">
        <f t="shared" ca="1" si="15"/>
        <v>S8!B911:P944</v>
      </c>
      <c r="BO44" s="89" t="str">
        <f t="shared" ca="1" si="16"/>
        <v>e</v>
      </c>
      <c r="BP44" s="89" t="str">
        <f t="shared" ca="1" si="17"/>
        <v>b</v>
      </c>
      <c r="BQ44" s="89" t="str">
        <f t="shared" ca="1" si="18"/>
        <v/>
      </c>
      <c r="BR44" s="87" t="str">
        <f t="shared" ca="1" si="19"/>
        <v/>
      </c>
      <c r="BS44" s="89" t="str">
        <f t="shared" ca="1" si="20"/>
        <v>a</v>
      </c>
      <c r="BT44" s="89" t="str">
        <f t="shared" ca="1" si="21"/>
        <v/>
      </c>
      <c r="BU44" s="89" t="str">
        <f t="shared" ca="1" si="22"/>
        <v/>
      </c>
      <c r="BV44" s="87" t="str">
        <f t="shared" ca="1" si="23"/>
        <v/>
      </c>
      <c r="BW44" s="87" t="str">
        <f t="shared" ca="1" si="24"/>
        <v>34080514</v>
      </c>
      <c r="BX44" s="89">
        <f t="shared" ca="1" si="25"/>
        <v>0</v>
      </c>
    </row>
    <row r="45" spans="1:76">
      <c r="A45" s="90" t="str">
        <f t="shared" si="2"/>
        <v/>
      </c>
      <c r="B45" s="98">
        <v>16</v>
      </c>
      <c r="C45" s="94">
        <v>3</v>
      </c>
      <c r="D45" s="94">
        <v>-4</v>
      </c>
      <c r="E45" s="94">
        <v>-2</v>
      </c>
      <c r="F45" s="94">
        <v>1</v>
      </c>
      <c r="G45" s="94">
        <v>6</v>
      </c>
      <c r="H45" s="94">
        <v>-7</v>
      </c>
      <c r="I45" s="94">
        <v>-8</v>
      </c>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1">
        <f t="shared" ca="1" si="3"/>
        <v>946</v>
      </c>
      <c r="BB45" s="88" t="str">
        <f t="shared" ca="1" si="4"/>
        <v>A911:A1200</v>
      </c>
      <c r="BC45" s="89" t="str">
        <f t="shared" ca="1" si="5"/>
        <v>B946</v>
      </c>
      <c r="BD45" s="89">
        <f ca="1">IF(BC45=0,0,RANK(BF45,$BF$11:$BF$70,0)+(COUNTIF($BF45:$BF$70,BF45)-1))</f>
        <v>7</v>
      </c>
      <c r="BE45" s="89" t="str">
        <f t="shared" ca="1" si="6"/>
        <v>320805</v>
      </c>
      <c r="BF45" s="89">
        <f t="shared" ca="1" si="7"/>
        <v>32080514</v>
      </c>
      <c r="BG45" s="89">
        <f t="shared" ca="1" si="8"/>
        <v>32</v>
      </c>
      <c r="BH45" s="89">
        <f t="shared" ca="1" si="9"/>
        <v>5</v>
      </c>
      <c r="BI45" s="89" t="str">
        <f t="shared" ca="1" si="10"/>
        <v>B979</v>
      </c>
      <c r="BJ45" s="89">
        <f t="shared" ca="1" si="11"/>
        <v>7</v>
      </c>
      <c r="BK45" s="89">
        <f t="shared" ca="1" si="12"/>
        <v>14</v>
      </c>
      <c r="BL45" s="89">
        <f t="shared" ca="1" si="13"/>
        <v>112</v>
      </c>
      <c r="BM45" s="89">
        <f t="shared" ca="1" si="14"/>
        <v>16</v>
      </c>
      <c r="BN45" s="89" t="str">
        <f t="shared" ca="1" si="15"/>
        <v>S8!B947:P978</v>
      </c>
      <c r="BO45" s="89" t="str">
        <f t="shared" ca="1" si="16"/>
        <v>e</v>
      </c>
      <c r="BP45" s="89" t="str">
        <f t="shared" ca="1" si="17"/>
        <v/>
      </c>
      <c r="BQ45" s="89" t="str">
        <f t="shared" ca="1" si="18"/>
        <v/>
      </c>
      <c r="BR45" s="87" t="str">
        <f t="shared" ca="1" si="19"/>
        <v>x</v>
      </c>
      <c r="BS45" s="89" t="str">
        <f t="shared" ca="1" si="20"/>
        <v>a</v>
      </c>
      <c r="BT45" s="89" t="str">
        <f t="shared" ca="1" si="21"/>
        <v/>
      </c>
      <c r="BU45" s="89" t="str">
        <f t="shared" ca="1" si="22"/>
        <v/>
      </c>
      <c r="BV45" s="87" t="str">
        <f t="shared" ca="1" si="23"/>
        <v/>
      </c>
      <c r="BW45" s="87" t="str">
        <f t="shared" ca="1" si="24"/>
        <v>32080514</v>
      </c>
      <c r="BX45" s="89">
        <f t="shared" ca="1" si="25"/>
        <v>0</v>
      </c>
    </row>
    <row r="46" spans="1:76">
      <c r="A46" s="90" t="str">
        <f t="shared" si="2"/>
        <v/>
      </c>
      <c r="B46" s="98" t="s">
        <v>445</v>
      </c>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1">
        <f t="shared" ca="1" si="3"/>
        <v>980</v>
      </c>
      <c r="BB46" s="88" t="str">
        <f t="shared" ca="1" si="4"/>
        <v>A947:A1200</v>
      </c>
      <c r="BC46" s="89" t="str">
        <f t="shared" ca="1" si="5"/>
        <v>B980</v>
      </c>
      <c r="BD46" s="89">
        <f ca="1">IF(BC46=0,0,RANK(BF46,$BF$11:$BF$70,0)+(COUNTIF($BF46:$BF$70,BF46)-1))</f>
        <v>9</v>
      </c>
      <c r="BE46" s="89" t="str">
        <f t="shared" ca="1" si="6"/>
        <v>320804</v>
      </c>
      <c r="BF46" s="89">
        <f t="shared" ca="1" si="7"/>
        <v>32080414</v>
      </c>
      <c r="BG46" s="89">
        <f t="shared" ca="1" si="8"/>
        <v>32</v>
      </c>
      <c r="BH46" s="89">
        <f t="shared" ca="1" si="9"/>
        <v>4</v>
      </c>
      <c r="BI46" s="89" t="str">
        <f t="shared" ca="1" si="10"/>
        <v>B1013</v>
      </c>
      <c r="BJ46" s="89">
        <f t="shared" ca="1" si="11"/>
        <v>7</v>
      </c>
      <c r="BK46" s="89">
        <f t="shared" ca="1" si="12"/>
        <v>14</v>
      </c>
      <c r="BL46" s="89" t="e">
        <f t="shared" ca="1" si="13"/>
        <v>#VALUE!</v>
      </c>
      <c r="BM46" s="89">
        <f t="shared" ca="1" si="14"/>
        <v>16</v>
      </c>
      <c r="BN46" s="89" t="str">
        <f t="shared" ca="1" si="15"/>
        <v>S8!B981:P1012</v>
      </c>
      <c r="BO46" s="89" t="str">
        <f t="shared" ca="1" si="16"/>
        <v>c</v>
      </c>
      <c r="BP46" s="89" t="str">
        <f t="shared" ca="1" si="17"/>
        <v/>
      </c>
      <c r="BQ46" s="89" t="str">
        <f t="shared" ca="1" si="18"/>
        <v/>
      </c>
      <c r="BR46" s="87" t="str">
        <f t="shared" ca="1" si="19"/>
        <v/>
      </c>
      <c r="BS46" s="89" t="str">
        <f t="shared" ca="1" si="20"/>
        <v/>
      </c>
      <c r="BT46" s="89" t="str">
        <f t="shared" ca="1" si="21"/>
        <v/>
      </c>
      <c r="BU46" s="89" t="str">
        <f t="shared" ca="1" si="22"/>
        <v/>
      </c>
      <c r="BV46" s="87" t="str">
        <f t="shared" ca="1" si="23"/>
        <v>c</v>
      </c>
      <c r="BW46" s="87" t="str">
        <f t="shared" ca="1" si="24"/>
        <v>32080414</v>
      </c>
      <c r="BX46" s="89" t="str">
        <f t="shared" ca="1" si="25"/>
        <v>44</v>
      </c>
    </row>
    <row r="47" spans="1:76">
      <c r="A47" s="90">
        <f t="shared" si="2"/>
        <v>47</v>
      </c>
      <c r="B47" s="98" t="s">
        <v>446</v>
      </c>
      <c r="C47" s="94"/>
      <c r="D47" s="94"/>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1">
        <f t="shared" ca="1" si="3"/>
        <v>1014</v>
      </c>
      <c r="BB47" s="88" t="str">
        <f t="shared" ca="1" si="4"/>
        <v>A981:A1200</v>
      </c>
      <c r="BC47" s="89" t="str">
        <f t="shared" ca="1" si="5"/>
        <v>B1014</v>
      </c>
      <c r="BD47" s="89">
        <f ca="1">IF(BC47=0,0,RANK(BF47,$BF$11:$BF$70,0)+(COUNTIF($BF47:$BF$70,BF47)-1))</f>
        <v>20</v>
      </c>
      <c r="BE47" s="89" t="str">
        <f t="shared" ca="1" si="6"/>
        <v>300801</v>
      </c>
      <c r="BF47" s="89">
        <f t="shared" ca="1" si="7"/>
        <v>30080128</v>
      </c>
      <c r="BG47" s="89">
        <f t="shared" ca="1" si="8"/>
        <v>30</v>
      </c>
      <c r="BH47" s="89">
        <f t="shared" ca="1" si="9"/>
        <v>1</v>
      </c>
      <c r="BI47" s="89" t="str">
        <f t="shared" ca="1" si="10"/>
        <v>B1045</v>
      </c>
      <c r="BJ47" s="89">
        <f t="shared" ca="1" si="11"/>
        <v>15</v>
      </c>
      <c r="BK47" s="89">
        <f t="shared" ca="1" si="12"/>
        <v>28</v>
      </c>
      <c r="BL47" s="89">
        <f t="shared" ca="1" si="13"/>
        <v>210</v>
      </c>
      <c r="BM47" s="89">
        <f t="shared" ca="1" si="14"/>
        <v>30</v>
      </c>
      <c r="BN47" s="89" t="str">
        <f t="shared" ca="1" si="15"/>
        <v>S8!B1015:AD1044</v>
      </c>
      <c r="BO47" s="89" t="str">
        <f t="shared" ca="1" si="16"/>
        <v>e</v>
      </c>
      <c r="BP47" s="89" t="str">
        <f t="shared" ca="1" si="17"/>
        <v/>
      </c>
      <c r="BQ47" s="89" t="str">
        <f t="shared" ca="1" si="18"/>
        <v/>
      </c>
      <c r="BR47" s="87" t="str">
        <f t="shared" ca="1" si="19"/>
        <v/>
      </c>
      <c r="BS47" s="89" t="str">
        <f t="shared" ca="1" si="20"/>
        <v/>
      </c>
      <c r="BT47" s="89" t="str">
        <f t="shared" ca="1" si="21"/>
        <v/>
      </c>
      <c r="BU47" s="89" t="str">
        <f t="shared" ca="1" si="22"/>
        <v>X</v>
      </c>
      <c r="BV47" s="87" t="str">
        <f t="shared" ca="1" si="23"/>
        <v/>
      </c>
      <c r="BW47" s="87" t="str">
        <f t="shared" ca="1" si="24"/>
        <v>30080128</v>
      </c>
      <c r="BX47" s="89">
        <f t="shared" ca="1" si="25"/>
        <v>0</v>
      </c>
    </row>
    <row r="48" spans="1:76">
      <c r="A48" s="90" t="str">
        <f t="shared" si="2"/>
        <v/>
      </c>
      <c r="B48" s="98">
        <v>1</v>
      </c>
      <c r="C48" s="94">
        <v>-1</v>
      </c>
      <c r="D48" s="94">
        <v>2</v>
      </c>
      <c r="E48" s="94">
        <v>5</v>
      </c>
      <c r="F48" s="94">
        <v>-7</v>
      </c>
      <c r="G48" s="94">
        <v>-4</v>
      </c>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c r="AZ48" s="94"/>
      <c r="BA48" s="91">
        <f t="shared" ca="1" si="3"/>
        <v>0</v>
      </c>
      <c r="BB48" s="88" t="str">
        <f t="shared" ca="1" si="4"/>
        <v>A1015:A1200</v>
      </c>
      <c r="BC48" s="89">
        <f t="shared" ca="1" si="5"/>
        <v>0</v>
      </c>
      <c r="BD48" s="89">
        <f ca="1">IF(BC48=0,0,RANK(BF48,$BF$11:$BF$70,0)+(COUNTIF($BF48:$BF$70,BF48)-1))</f>
        <v>0</v>
      </c>
      <c r="BE48" s="89">
        <f t="shared" ca="1" si="6"/>
        <v>0</v>
      </c>
      <c r="BF48" s="89">
        <f t="shared" ca="1" si="7"/>
        <v>0</v>
      </c>
      <c r="BG48" s="89">
        <f t="shared" ca="1" si="8"/>
        <v>0</v>
      </c>
      <c r="BH48" s="89">
        <f t="shared" ca="1" si="9"/>
        <v>0</v>
      </c>
      <c r="BI48" s="89">
        <f t="shared" ca="1" si="10"/>
        <v>0</v>
      </c>
      <c r="BJ48" s="89">
        <f t="shared" ca="1" si="11"/>
        <v>0</v>
      </c>
      <c r="BK48" s="89">
        <f t="shared" ca="1" si="12"/>
        <v>0</v>
      </c>
      <c r="BL48" s="89">
        <f t="shared" ca="1" si="13"/>
        <v>0</v>
      </c>
      <c r="BM48" s="89">
        <f t="shared" ca="1" si="14"/>
        <v>0</v>
      </c>
      <c r="BN48" s="89">
        <f t="shared" ca="1" si="15"/>
        <v>0</v>
      </c>
      <c r="BO48" s="89">
        <f t="shared" ca="1" si="16"/>
        <v>0</v>
      </c>
      <c r="BP48" s="89">
        <f t="shared" ca="1" si="17"/>
        <v>0</v>
      </c>
      <c r="BQ48" s="89">
        <f t="shared" ca="1" si="18"/>
        <v>0</v>
      </c>
      <c r="BR48" s="87">
        <f t="shared" ca="1" si="19"/>
        <v>0</v>
      </c>
      <c r="BS48" s="89">
        <f t="shared" ca="1" si="20"/>
        <v>0</v>
      </c>
      <c r="BT48" s="89">
        <f t="shared" ca="1" si="21"/>
        <v>0</v>
      </c>
      <c r="BU48" s="89">
        <f t="shared" ca="1" si="22"/>
        <v>0</v>
      </c>
      <c r="BV48" s="87">
        <f t="shared" ca="1" si="23"/>
        <v>0</v>
      </c>
      <c r="BW48" s="87" t="str">
        <f t="shared" ca="1" si="24"/>
        <v>000</v>
      </c>
      <c r="BX48" s="89">
        <f t="shared" ca="1" si="25"/>
        <v>0</v>
      </c>
    </row>
    <row r="49" spans="1:76">
      <c r="A49" s="90" t="str">
        <f t="shared" si="2"/>
        <v/>
      </c>
      <c r="B49" s="98">
        <v>2</v>
      </c>
      <c r="C49" s="94">
        <v>-7</v>
      </c>
      <c r="D49" s="94">
        <v>-6</v>
      </c>
      <c r="E49" s="94">
        <v>1</v>
      </c>
      <c r="F49" s="94">
        <v>-5</v>
      </c>
      <c r="G49" s="94">
        <v>4</v>
      </c>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1">
        <f t="shared" ca="1" si="3"/>
        <v>0</v>
      </c>
      <c r="BB49" s="88" t="str">
        <f t="shared" ca="1" si="4"/>
        <v/>
      </c>
      <c r="BC49" s="89">
        <f t="shared" ca="1" si="5"/>
        <v>0</v>
      </c>
      <c r="BD49" s="89">
        <f ca="1">IF(BC49=0,0,RANK(BF49,$BF$11:$BF$70,0)+(COUNTIF($BF49:$BF$70,BF49)-1))</f>
        <v>0</v>
      </c>
      <c r="BE49" s="89">
        <f t="shared" ca="1" si="6"/>
        <v>0</v>
      </c>
      <c r="BF49" s="89">
        <f t="shared" ca="1" si="7"/>
        <v>0</v>
      </c>
      <c r="BG49" s="89">
        <f t="shared" ca="1" si="8"/>
        <v>0</v>
      </c>
      <c r="BH49" s="89">
        <f t="shared" ca="1" si="9"/>
        <v>0</v>
      </c>
      <c r="BI49" s="89">
        <f t="shared" ca="1" si="10"/>
        <v>0</v>
      </c>
      <c r="BJ49" s="89">
        <f t="shared" ca="1" si="11"/>
        <v>0</v>
      </c>
      <c r="BK49" s="89">
        <f t="shared" ca="1" si="12"/>
        <v>0</v>
      </c>
      <c r="BL49" s="89">
        <f t="shared" ca="1" si="13"/>
        <v>0</v>
      </c>
      <c r="BM49" s="89">
        <f t="shared" ca="1" si="14"/>
        <v>0</v>
      </c>
      <c r="BN49" s="89">
        <f t="shared" ca="1" si="15"/>
        <v>0</v>
      </c>
      <c r="BO49" s="89">
        <f t="shared" ca="1" si="16"/>
        <v>0</v>
      </c>
      <c r="BP49" s="89">
        <f t="shared" ca="1" si="17"/>
        <v>0</v>
      </c>
      <c r="BQ49" s="89">
        <f t="shared" ca="1" si="18"/>
        <v>0</v>
      </c>
      <c r="BR49" s="87">
        <f t="shared" ca="1" si="19"/>
        <v>0</v>
      </c>
      <c r="BS49" s="89">
        <f t="shared" ca="1" si="20"/>
        <v>0</v>
      </c>
      <c r="BT49" s="89">
        <f t="shared" ca="1" si="21"/>
        <v>0</v>
      </c>
      <c r="BU49" s="89">
        <f t="shared" ca="1" si="22"/>
        <v>0</v>
      </c>
      <c r="BV49" s="87">
        <f t="shared" ca="1" si="23"/>
        <v>0</v>
      </c>
      <c r="BW49" s="87" t="str">
        <f t="shared" ca="1" si="24"/>
        <v>000</v>
      </c>
      <c r="BX49" s="89">
        <f t="shared" ca="1" si="25"/>
        <v>0</v>
      </c>
    </row>
    <row r="50" spans="1:76">
      <c r="A50" s="90" t="str">
        <f t="shared" si="2"/>
        <v/>
      </c>
      <c r="B50" s="98">
        <v>3</v>
      </c>
      <c r="C50" s="94">
        <v>1</v>
      </c>
      <c r="D50" s="94">
        <v>6</v>
      </c>
      <c r="E50" s="94">
        <v>-7</v>
      </c>
      <c r="F50" s="94">
        <v>-2</v>
      </c>
      <c r="G50" s="94">
        <v>5</v>
      </c>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1">
        <f t="shared" ca="1" si="3"/>
        <v>0</v>
      </c>
      <c r="BB50" s="88" t="str">
        <f t="shared" ca="1" si="4"/>
        <v/>
      </c>
      <c r="BC50" s="89">
        <f t="shared" ca="1" si="5"/>
        <v>0</v>
      </c>
      <c r="BD50" s="89">
        <f ca="1">IF(BC50=0,0,RANK(BF50,$BF$11:$BF$70,0)+(COUNTIF($BF50:$BF$70,BF50)-1))</f>
        <v>0</v>
      </c>
      <c r="BE50" s="89">
        <f t="shared" ca="1" si="6"/>
        <v>0</v>
      </c>
      <c r="BF50" s="89">
        <f t="shared" ca="1" si="7"/>
        <v>0</v>
      </c>
      <c r="BG50" s="89">
        <f t="shared" ca="1" si="8"/>
        <v>0</v>
      </c>
      <c r="BH50" s="89">
        <f t="shared" ca="1" si="9"/>
        <v>0</v>
      </c>
      <c r="BI50" s="89">
        <f t="shared" ca="1" si="10"/>
        <v>0</v>
      </c>
      <c r="BJ50" s="89">
        <f t="shared" ca="1" si="11"/>
        <v>0</v>
      </c>
      <c r="BK50" s="89">
        <f t="shared" ca="1" si="12"/>
        <v>0</v>
      </c>
      <c r="BL50" s="89">
        <f t="shared" ca="1" si="13"/>
        <v>0</v>
      </c>
      <c r="BM50" s="89">
        <f t="shared" ca="1" si="14"/>
        <v>0</v>
      </c>
      <c r="BN50" s="89">
        <f t="shared" ca="1" si="15"/>
        <v>0</v>
      </c>
      <c r="BO50" s="89">
        <f t="shared" ca="1" si="16"/>
        <v>0</v>
      </c>
      <c r="BP50" s="89">
        <f t="shared" ca="1" si="17"/>
        <v>0</v>
      </c>
      <c r="BQ50" s="89">
        <f t="shared" ca="1" si="18"/>
        <v>0</v>
      </c>
      <c r="BR50" s="87">
        <f t="shared" ca="1" si="19"/>
        <v>0</v>
      </c>
      <c r="BS50" s="89">
        <f t="shared" ca="1" si="20"/>
        <v>0</v>
      </c>
      <c r="BT50" s="89">
        <f t="shared" ca="1" si="21"/>
        <v>0</v>
      </c>
      <c r="BU50" s="89">
        <f t="shared" ca="1" si="22"/>
        <v>0</v>
      </c>
      <c r="BV50" s="87">
        <f t="shared" ca="1" si="23"/>
        <v>0</v>
      </c>
      <c r="BW50" s="87" t="str">
        <f t="shared" ca="1" si="24"/>
        <v>000</v>
      </c>
      <c r="BX50" s="89">
        <f t="shared" ca="1" si="25"/>
        <v>0</v>
      </c>
    </row>
    <row r="51" spans="1:76">
      <c r="A51" s="90" t="str">
        <f t="shared" si="2"/>
        <v/>
      </c>
      <c r="B51" s="98">
        <v>4</v>
      </c>
      <c r="C51" s="94">
        <v>4</v>
      </c>
      <c r="D51" s="94">
        <v>3</v>
      </c>
      <c r="E51" s="94">
        <v>-1</v>
      </c>
      <c r="F51" s="94">
        <v>7</v>
      </c>
      <c r="G51" s="94">
        <v>-5</v>
      </c>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1">
        <f t="shared" ca="1" si="3"/>
        <v>0</v>
      </c>
      <c r="BB51" s="88" t="str">
        <f t="shared" ca="1" si="4"/>
        <v/>
      </c>
      <c r="BC51" s="89">
        <f t="shared" ca="1" si="5"/>
        <v>0</v>
      </c>
      <c r="BD51" s="89">
        <f ca="1">IF(BC51=0,0,RANK(BF51,$BF$11:$BF$70,0)+(COUNTIF($BF51:$BF$70,BF51)-1))</f>
        <v>0</v>
      </c>
      <c r="BE51" s="89">
        <f t="shared" ca="1" si="6"/>
        <v>0</v>
      </c>
      <c r="BF51" s="89">
        <f t="shared" ca="1" si="7"/>
        <v>0</v>
      </c>
      <c r="BG51" s="89">
        <f t="shared" ca="1" si="8"/>
        <v>0</v>
      </c>
      <c r="BH51" s="89">
        <f t="shared" ca="1" si="9"/>
        <v>0</v>
      </c>
      <c r="BI51" s="89">
        <f t="shared" ca="1" si="10"/>
        <v>0</v>
      </c>
      <c r="BJ51" s="89">
        <f t="shared" ca="1" si="11"/>
        <v>0</v>
      </c>
      <c r="BK51" s="89">
        <f t="shared" ca="1" si="12"/>
        <v>0</v>
      </c>
      <c r="BL51" s="89">
        <f t="shared" ca="1" si="13"/>
        <v>0</v>
      </c>
      <c r="BM51" s="89">
        <f t="shared" ca="1" si="14"/>
        <v>0</v>
      </c>
      <c r="BN51" s="89">
        <f t="shared" ca="1" si="15"/>
        <v>0</v>
      </c>
      <c r="BO51" s="89">
        <f t="shared" ca="1" si="16"/>
        <v>0</v>
      </c>
      <c r="BP51" s="89">
        <f t="shared" ca="1" si="17"/>
        <v>0</v>
      </c>
      <c r="BQ51" s="89">
        <f t="shared" ca="1" si="18"/>
        <v>0</v>
      </c>
      <c r="BR51" s="87">
        <f t="shared" ca="1" si="19"/>
        <v>0</v>
      </c>
      <c r="BS51" s="89">
        <f t="shared" ca="1" si="20"/>
        <v>0</v>
      </c>
      <c r="BT51" s="89">
        <f t="shared" ca="1" si="21"/>
        <v>0</v>
      </c>
      <c r="BU51" s="89">
        <f t="shared" ca="1" si="22"/>
        <v>0</v>
      </c>
      <c r="BV51" s="87">
        <f t="shared" ca="1" si="23"/>
        <v>0</v>
      </c>
      <c r="BW51" s="87" t="str">
        <f t="shared" ca="1" si="24"/>
        <v>000</v>
      </c>
      <c r="BX51" s="89">
        <f t="shared" ca="1" si="25"/>
        <v>0</v>
      </c>
    </row>
    <row r="52" spans="1:76">
      <c r="A52" s="90" t="str">
        <f t="shared" si="2"/>
        <v/>
      </c>
      <c r="B52" s="98">
        <v>5</v>
      </c>
      <c r="C52" s="94">
        <v>7</v>
      </c>
      <c r="D52" s="94">
        <v>-3</v>
      </c>
      <c r="E52" s="94">
        <v>-5</v>
      </c>
      <c r="F52" s="94">
        <v>2</v>
      </c>
      <c r="G52" s="94">
        <v>1</v>
      </c>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1">
        <f t="shared" ca="1" si="3"/>
        <v>0</v>
      </c>
      <c r="BB52" s="88" t="str">
        <f t="shared" ca="1" si="4"/>
        <v/>
      </c>
      <c r="BC52" s="89">
        <f t="shared" ca="1" si="5"/>
        <v>0</v>
      </c>
      <c r="BD52" s="89">
        <f ca="1">IF(BC52=0,0,RANK(BF52,$BF$11:$BF$70,0)+(COUNTIF($BF52:$BF$70,BF52)-1))</f>
        <v>0</v>
      </c>
      <c r="BE52" s="89">
        <f t="shared" ca="1" si="6"/>
        <v>0</v>
      </c>
      <c r="BF52" s="89">
        <f t="shared" ca="1" si="7"/>
        <v>0</v>
      </c>
      <c r="BG52" s="89">
        <f t="shared" ca="1" si="8"/>
        <v>0</v>
      </c>
      <c r="BH52" s="89">
        <f t="shared" ca="1" si="9"/>
        <v>0</v>
      </c>
      <c r="BI52" s="89">
        <f t="shared" ca="1" si="10"/>
        <v>0</v>
      </c>
      <c r="BJ52" s="89">
        <f t="shared" ca="1" si="11"/>
        <v>0</v>
      </c>
      <c r="BK52" s="89">
        <f t="shared" ca="1" si="12"/>
        <v>0</v>
      </c>
      <c r="BL52" s="89">
        <f t="shared" ca="1" si="13"/>
        <v>0</v>
      </c>
      <c r="BM52" s="89">
        <f t="shared" ca="1" si="14"/>
        <v>0</v>
      </c>
      <c r="BN52" s="89">
        <f t="shared" ca="1" si="15"/>
        <v>0</v>
      </c>
      <c r="BO52" s="89">
        <f t="shared" ca="1" si="16"/>
        <v>0</v>
      </c>
      <c r="BP52" s="89">
        <f t="shared" ca="1" si="17"/>
        <v>0</v>
      </c>
      <c r="BQ52" s="89">
        <f t="shared" ca="1" si="18"/>
        <v>0</v>
      </c>
      <c r="BR52" s="87">
        <f t="shared" ca="1" si="19"/>
        <v>0</v>
      </c>
      <c r="BS52" s="89">
        <f t="shared" ca="1" si="20"/>
        <v>0</v>
      </c>
      <c r="BT52" s="89">
        <f t="shared" ca="1" si="21"/>
        <v>0</v>
      </c>
      <c r="BU52" s="89">
        <f t="shared" ca="1" si="22"/>
        <v>0</v>
      </c>
      <c r="BV52" s="87">
        <f t="shared" ca="1" si="23"/>
        <v>0</v>
      </c>
      <c r="BW52" s="87" t="str">
        <f t="shared" ca="1" si="24"/>
        <v>000</v>
      </c>
      <c r="BX52" s="89">
        <f t="shared" ca="1" si="25"/>
        <v>0</v>
      </c>
    </row>
    <row r="53" spans="1:76">
      <c r="A53" s="90" t="str">
        <f t="shared" si="2"/>
        <v/>
      </c>
      <c r="B53" s="99">
        <v>6</v>
      </c>
      <c r="C53" s="92">
        <v>-4</v>
      </c>
      <c r="D53" s="92">
        <v>-2</v>
      </c>
      <c r="E53" s="92">
        <v>7</v>
      </c>
      <c r="F53" s="92">
        <v>5</v>
      </c>
      <c r="G53" s="92">
        <v>-1</v>
      </c>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1">
        <f t="shared" ca="1" si="3"/>
        <v>0</v>
      </c>
      <c r="BB53" s="88" t="str">
        <f t="shared" ca="1" si="4"/>
        <v/>
      </c>
      <c r="BC53" s="89">
        <f t="shared" ca="1" si="5"/>
        <v>0</v>
      </c>
      <c r="BD53" s="89">
        <f ca="1">IF(BC53=0,0,RANK(BF53,$BF$11:$BF$70,0)+(COUNTIF($BF53:$BF$70,BF53)-1))</f>
        <v>0</v>
      </c>
      <c r="BE53" s="89">
        <f t="shared" ca="1" si="6"/>
        <v>0</v>
      </c>
      <c r="BF53" s="89">
        <f t="shared" ca="1" si="7"/>
        <v>0</v>
      </c>
      <c r="BG53" s="89">
        <f t="shared" ca="1" si="8"/>
        <v>0</v>
      </c>
      <c r="BH53" s="89">
        <f t="shared" ca="1" si="9"/>
        <v>0</v>
      </c>
      <c r="BI53" s="89">
        <f t="shared" ca="1" si="10"/>
        <v>0</v>
      </c>
      <c r="BJ53" s="89">
        <f t="shared" ca="1" si="11"/>
        <v>0</v>
      </c>
      <c r="BK53" s="89">
        <f t="shared" ca="1" si="12"/>
        <v>0</v>
      </c>
      <c r="BL53" s="89">
        <f t="shared" ca="1" si="13"/>
        <v>0</v>
      </c>
      <c r="BM53" s="89">
        <f t="shared" ca="1" si="14"/>
        <v>0</v>
      </c>
      <c r="BN53" s="89">
        <f t="shared" ca="1" si="15"/>
        <v>0</v>
      </c>
      <c r="BO53" s="89">
        <f t="shared" ca="1" si="16"/>
        <v>0</v>
      </c>
      <c r="BP53" s="89">
        <f t="shared" ca="1" si="17"/>
        <v>0</v>
      </c>
      <c r="BQ53" s="89">
        <f t="shared" ca="1" si="18"/>
        <v>0</v>
      </c>
      <c r="BR53" s="87">
        <f t="shared" ca="1" si="19"/>
        <v>0</v>
      </c>
      <c r="BS53" s="89">
        <f t="shared" ca="1" si="20"/>
        <v>0</v>
      </c>
      <c r="BT53" s="89">
        <f t="shared" ca="1" si="21"/>
        <v>0</v>
      </c>
      <c r="BU53" s="89">
        <f t="shared" ca="1" si="22"/>
        <v>0</v>
      </c>
      <c r="BV53" s="87">
        <f t="shared" ca="1" si="23"/>
        <v>0</v>
      </c>
      <c r="BW53" s="87" t="str">
        <f t="shared" ca="1" si="24"/>
        <v>000</v>
      </c>
      <c r="BX53" s="89">
        <f t="shared" ca="1" si="25"/>
        <v>0</v>
      </c>
    </row>
    <row r="54" spans="1:76">
      <c r="A54" s="90" t="str">
        <f t="shared" si="2"/>
        <v/>
      </c>
      <c r="B54" s="98">
        <v>7</v>
      </c>
      <c r="C54" s="94">
        <v>2</v>
      </c>
      <c r="D54" s="94">
        <v>-8</v>
      </c>
      <c r="E54" s="94">
        <v>4</v>
      </c>
      <c r="F54" s="94">
        <v>-6</v>
      </c>
      <c r="G54" s="94">
        <v>-3</v>
      </c>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1">
        <f t="shared" ca="1" si="3"/>
        <v>0</v>
      </c>
      <c r="BB54" s="88" t="str">
        <f t="shared" ca="1" si="4"/>
        <v/>
      </c>
      <c r="BC54" s="89">
        <f t="shared" ca="1" si="5"/>
        <v>0</v>
      </c>
      <c r="BD54" s="89">
        <f ca="1">IF(BC54=0,0,RANK(BF54,$BF$11:$BF$70,0)+(COUNTIF($BF54:$BF$70,BF54)-1))</f>
        <v>0</v>
      </c>
      <c r="BE54" s="89">
        <f t="shared" ca="1" si="6"/>
        <v>0</v>
      </c>
      <c r="BF54" s="89">
        <f t="shared" ca="1" si="7"/>
        <v>0</v>
      </c>
      <c r="BG54" s="89">
        <f t="shared" ca="1" si="8"/>
        <v>0</v>
      </c>
      <c r="BH54" s="89">
        <f t="shared" ca="1" si="9"/>
        <v>0</v>
      </c>
      <c r="BI54" s="89">
        <f t="shared" ca="1" si="10"/>
        <v>0</v>
      </c>
      <c r="BJ54" s="89">
        <f t="shared" ca="1" si="11"/>
        <v>0</v>
      </c>
      <c r="BK54" s="89">
        <f t="shared" ca="1" si="12"/>
        <v>0</v>
      </c>
      <c r="BL54" s="89">
        <f t="shared" ca="1" si="13"/>
        <v>0</v>
      </c>
      <c r="BM54" s="89">
        <f t="shared" ca="1" si="14"/>
        <v>0</v>
      </c>
      <c r="BN54" s="89">
        <f t="shared" ca="1" si="15"/>
        <v>0</v>
      </c>
      <c r="BO54" s="89">
        <f t="shared" ca="1" si="16"/>
        <v>0</v>
      </c>
      <c r="BP54" s="89">
        <f t="shared" ca="1" si="17"/>
        <v>0</v>
      </c>
      <c r="BQ54" s="89">
        <f t="shared" ca="1" si="18"/>
        <v>0</v>
      </c>
      <c r="BR54" s="87">
        <f t="shared" ca="1" si="19"/>
        <v>0</v>
      </c>
      <c r="BS54" s="89">
        <f t="shared" ca="1" si="20"/>
        <v>0</v>
      </c>
      <c r="BT54" s="89">
        <f t="shared" ca="1" si="21"/>
        <v>0</v>
      </c>
      <c r="BU54" s="89">
        <f t="shared" ca="1" si="22"/>
        <v>0</v>
      </c>
      <c r="BV54" s="87">
        <f t="shared" ca="1" si="23"/>
        <v>0</v>
      </c>
      <c r="BW54" s="87" t="str">
        <f t="shared" ca="1" si="24"/>
        <v>000</v>
      </c>
      <c r="BX54" s="89">
        <f t="shared" ca="1" si="25"/>
        <v>0</v>
      </c>
    </row>
    <row r="55" spans="1:76">
      <c r="A55" s="90" t="str">
        <f t="shared" si="2"/>
        <v/>
      </c>
      <c r="B55" s="98">
        <v>8</v>
      </c>
      <c r="C55" s="94">
        <v>8</v>
      </c>
      <c r="D55" s="94">
        <v>-7</v>
      </c>
      <c r="E55" s="94">
        <v>-2</v>
      </c>
      <c r="F55" s="94">
        <v>4</v>
      </c>
      <c r="G55" s="94">
        <v>3</v>
      </c>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1">
        <f t="shared" ca="1" si="3"/>
        <v>0</v>
      </c>
      <c r="BB55" s="88" t="str">
        <f t="shared" ca="1" si="4"/>
        <v/>
      </c>
      <c r="BC55" s="89">
        <f t="shared" ca="1" si="5"/>
        <v>0</v>
      </c>
      <c r="BD55" s="89">
        <f ca="1">IF(BC55=0,0,RANK(BF55,$BF$11:$BF$70,0)+(COUNTIF($BF55:$BF$70,BF55)-1))</f>
        <v>0</v>
      </c>
      <c r="BE55" s="89">
        <f t="shared" ca="1" si="6"/>
        <v>0</v>
      </c>
      <c r="BF55" s="89">
        <f t="shared" ca="1" si="7"/>
        <v>0</v>
      </c>
      <c r="BG55" s="89">
        <f t="shared" ca="1" si="8"/>
        <v>0</v>
      </c>
      <c r="BH55" s="89">
        <f t="shared" ca="1" si="9"/>
        <v>0</v>
      </c>
      <c r="BI55" s="89">
        <f t="shared" ca="1" si="10"/>
        <v>0</v>
      </c>
      <c r="BJ55" s="89">
        <f t="shared" ca="1" si="11"/>
        <v>0</v>
      </c>
      <c r="BK55" s="89">
        <f t="shared" ca="1" si="12"/>
        <v>0</v>
      </c>
      <c r="BL55" s="89">
        <f t="shared" ca="1" si="13"/>
        <v>0</v>
      </c>
      <c r="BM55" s="89">
        <f t="shared" ca="1" si="14"/>
        <v>0</v>
      </c>
      <c r="BN55" s="89">
        <f t="shared" ca="1" si="15"/>
        <v>0</v>
      </c>
      <c r="BO55" s="89">
        <f t="shared" ca="1" si="16"/>
        <v>0</v>
      </c>
      <c r="BP55" s="89">
        <f t="shared" ca="1" si="17"/>
        <v>0</v>
      </c>
      <c r="BQ55" s="89">
        <f t="shared" ca="1" si="18"/>
        <v>0</v>
      </c>
      <c r="BR55" s="87">
        <f t="shared" ca="1" si="19"/>
        <v>0</v>
      </c>
      <c r="BS55" s="89">
        <f t="shared" ca="1" si="20"/>
        <v>0</v>
      </c>
      <c r="BT55" s="89">
        <f t="shared" ca="1" si="21"/>
        <v>0</v>
      </c>
      <c r="BU55" s="89">
        <f t="shared" ca="1" si="22"/>
        <v>0</v>
      </c>
      <c r="BV55" s="87">
        <f t="shared" ca="1" si="23"/>
        <v>0</v>
      </c>
      <c r="BW55" s="87" t="str">
        <f t="shared" ca="1" si="24"/>
        <v>000</v>
      </c>
      <c r="BX55" s="89">
        <f t="shared" ca="1" si="25"/>
        <v>0</v>
      </c>
    </row>
    <row r="56" spans="1:76">
      <c r="A56" s="90" t="str">
        <f t="shared" si="2"/>
        <v/>
      </c>
      <c r="B56" s="98">
        <v>9</v>
      </c>
      <c r="C56" s="94">
        <v>-2</v>
      </c>
      <c r="D56" s="94">
        <v>5</v>
      </c>
      <c r="E56" s="94">
        <v>-8</v>
      </c>
      <c r="F56" s="94">
        <v>-4</v>
      </c>
      <c r="G56" s="94">
        <v>6</v>
      </c>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1">
        <f t="shared" ca="1" si="3"/>
        <v>0</v>
      </c>
      <c r="BB56" s="88" t="str">
        <f t="shared" ca="1" si="4"/>
        <v/>
      </c>
      <c r="BC56" s="89">
        <f t="shared" ca="1" si="5"/>
        <v>0</v>
      </c>
      <c r="BD56" s="89">
        <f ca="1">IF(BC56=0,0,RANK(BF56,$BF$11:$BF$70,0)+(COUNTIF($BF56:$BF$70,BF56)-1))</f>
        <v>0</v>
      </c>
      <c r="BE56" s="89">
        <f t="shared" ca="1" si="6"/>
        <v>0</v>
      </c>
      <c r="BF56" s="89">
        <f t="shared" ca="1" si="7"/>
        <v>0</v>
      </c>
      <c r="BG56" s="89">
        <f t="shared" ca="1" si="8"/>
        <v>0</v>
      </c>
      <c r="BH56" s="89">
        <f t="shared" ca="1" si="9"/>
        <v>0</v>
      </c>
      <c r="BI56" s="89">
        <f t="shared" ca="1" si="10"/>
        <v>0</v>
      </c>
      <c r="BJ56" s="89">
        <f t="shared" ca="1" si="11"/>
        <v>0</v>
      </c>
      <c r="BK56" s="89">
        <f t="shared" ca="1" si="12"/>
        <v>0</v>
      </c>
      <c r="BL56" s="89">
        <f t="shared" ca="1" si="13"/>
        <v>0</v>
      </c>
      <c r="BM56" s="89">
        <f t="shared" ca="1" si="14"/>
        <v>0</v>
      </c>
      <c r="BN56" s="89">
        <f t="shared" ca="1" si="15"/>
        <v>0</v>
      </c>
      <c r="BO56" s="89">
        <f t="shared" ca="1" si="16"/>
        <v>0</v>
      </c>
      <c r="BP56" s="89">
        <f t="shared" ca="1" si="17"/>
        <v>0</v>
      </c>
      <c r="BQ56" s="89">
        <f t="shared" ca="1" si="18"/>
        <v>0</v>
      </c>
      <c r="BR56" s="87">
        <f t="shared" ca="1" si="19"/>
        <v>0</v>
      </c>
      <c r="BS56" s="89">
        <f t="shared" ca="1" si="20"/>
        <v>0</v>
      </c>
      <c r="BT56" s="89">
        <f t="shared" ca="1" si="21"/>
        <v>0</v>
      </c>
      <c r="BU56" s="89">
        <f t="shared" ca="1" si="22"/>
        <v>0</v>
      </c>
      <c r="BV56" s="87">
        <f t="shared" ca="1" si="23"/>
        <v>0</v>
      </c>
      <c r="BW56" s="87" t="str">
        <f t="shared" ca="1" si="24"/>
        <v>000</v>
      </c>
      <c r="BX56" s="89">
        <f t="shared" ca="1" si="25"/>
        <v>0</v>
      </c>
    </row>
    <row r="57" spans="1:76">
      <c r="A57" s="90" t="str">
        <f t="shared" si="2"/>
        <v/>
      </c>
      <c r="B57" s="98">
        <v>10</v>
      </c>
      <c r="C57" s="94">
        <v>3</v>
      </c>
      <c r="D57" s="94">
        <v>7</v>
      </c>
      <c r="E57" s="94">
        <v>-4</v>
      </c>
      <c r="F57" s="94">
        <v>8</v>
      </c>
      <c r="G57" s="94">
        <v>-6</v>
      </c>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1">
        <f t="shared" ca="1" si="3"/>
        <v>0</v>
      </c>
      <c r="BB57" s="88" t="str">
        <f t="shared" ca="1" si="4"/>
        <v/>
      </c>
      <c r="BC57" s="89">
        <f t="shared" ca="1" si="5"/>
        <v>0</v>
      </c>
      <c r="BD57" s="89">
        <f ca="1">IF(BC57=0,0,RANK(BF57,$BF$11:$BF$70,0)+(COUNTIF($BF57:$BF$70,BF57)-1))</f>
        <v>0</v>
      </c>
      <c r="BE57" s="89">
        <f t="shared" ca="1" si="6"/>
        <v>0</v>
      </c>
      <c r="BF57" s="89">
        <f t="shared" ca="1" si="7"/>
        <v>0</v>
      </c>
      <c r="BG57" s="89">
        <f t="shared" ca="1" si="8"/>
        <v>0</v>
      </c>
      <c r="BH57" s="89">
        <f t="shared" ca="1" si="9"/>
        <v>0</v>
      </c>
      <c r="BI57" s="89">
        <f t="shared" ca="1" si="10"/>
        <v>0</v>
      </c>
      <c r="BJ57" s="89">
        <f t="shared" ca="1" si="11"/>
        <v>0</v>
      </c>
      <c r="BK57" s="89">
        <f t="shared" ca="1" si="12"/>
        <v>0</v>
      </c>
      <c r="BL57" s="89">
        <f t="shared" ca="1" si="13"/>
        <v>0</v>
      </c>
      <c r="BM57" s="89">
        <f t="shared" ca="1" si="14"/>
        <v>0</v>
      </c>
      <c r="BN57" s="89">
        <f t="shared" ca="1" si="15"/>
        <v>0</v>
      </c>
      <c r="BO57" s="89">
        <f t="shared" ca="1" si="16"/>
        <v>0</v>
      </c>
      <c r="BP57" s="89">
        <f t="shared" ca="1" si="17"/>
        <v>0</v>
      </c>
      <c r="BQ57" s="89">
        <f t="shared" ca="1" si="18"/>
        <v>0</v>
      </c>
      <c r="BR57" s="87">
        <f t="shared" ca="1" si="19"/>
        <v>0</v>
      </c>
      <c r="BS57" s="89">
        <f t="shared" ca="1" si="20"/>
        <v>0</v>
      </c>
      <c r="BT57" s="89">
        <f t="shared" ca="1" si="21"/>
        <v>0</v>
      </c>
      <c r="BU57" s="89">
        <f t="shared" ca="1" si="22"/>
        <v>0</v>
      </c>
      <c r="BV57" s="87">
        <f t="shared" ca="1" si="23"/>
        <v>0</v>
      </c>
      <c r="BW57" s="87" t="str">
        <f t="shared" ca="1" si="24"/>
        <v>000</v>
      </c>
      <c r="BX57" s="89">
        <f t="shared" ca="1" si="25"/>
        <v>0</v>
      </c>
    </row>
    <row r="58" spans="1:76">
      <c r="A58" s="90" t="str">
        <f t="shared" si="2"/>
        <v/>
      </c>
      <c r="B58" s="99">
        <v>11</v>
      </c>
      <c r="C58" s="92">
        <v>-3</v>
      </c>
      <c r="D58" s="92">
        <v>-5</v>
      </c>
      <c r="E58" s="92">
        <v>2</v>
      </c>
      <c r="F58" s="92">
        <v>6</v>
      </c>
      <c r="G58" s="92">
        <v>-8</v>
      </c>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c r="AZ58" s="94"/>
      <c r="BA58" s="91">
        <f t="shared" ca="1" si="3"/>
        <v>0</v>
      </c>
      <c r="BB58" s="88" t="str">
        <f t="shared" ca="1" si="4"/>
        <v/>
      </c>
      <c r="BC58" s="89">
        <f t="shared" ca="1" si="5"/>
        <v>0</v>
      </c>
      <c r="BD58" s="89">
        <f ca="1">IF(BC58=0,0,RANK(BF58,$BF$11:$BF$70,0)+(COUNTIF($BF58:$BF$70,BF58)-1))</f>
        <v>0</v>
      </c>
      <c r="BE58" s="89">
        <f t="shared" ca="1" si="6"/>
        <v>0</v>
      </c>
      <c r="BF58" s="89">
        <f t="shared" ca="1" si="7"/>
        <v>0</v>
      </c>
      <c r="BG58" s="89">
        <f t="shared" ca="1" si="8"/>
        <v>0</v>
      </c>
      <c r="BH58" s="89">
        <f t="shared" ca="1" si="9"/>
        <v>0</v>
      </c>
      <c r="BI58" s="89">
        <f t="shared" ca="1" si="10"/>
        <v>0</v>
      </c>
      <c r="BJ58" s="89">
        <f t="shared" ca="1" si="11"/>
        <v>0</v>
      </c>
      <c r="BK58" s="89">
        <f t="shared" ca="1" si="12"/>
        <v>0</v>
      </c>
      <c r="BL58" s="89">
        <f t="shared" ca="1" si="13"/>
        <v>0</v>
      </c>
      <c r="BM58" s="89">
        <f t="shared" ca="1" si="14"/>
        <v>0</v>
      </c>
      <c r="BN58" s="89">
        <f t="shared" ca="1" si="15"/>
        <v>0</v>
      </c>
      <c r="BO58" s="89">
        <f t="shared" ca="1" si="16"/>
        <v>0</v>
      </c>
      <c r="BP58" s="89">
        <f t="shared" ca="1" si="17"/>
        <v>0</v>
      </c>
      <c r="BQ58" s="89">
        <f t="shared" ca="1" si="18"/>
        <v>0</v>
      </c>
      <c r="BR58" s="87">
        <f t="shared" ca="1" si="19"/>
        <v>0</v>
      </c>
      <c r="BS58" s="89">
        <f t="shared" ca="1" si="20"/>
        <v>0</v>
      </c>
      <c r="BT58" s="89">
        <f t="shared" ca="1" si="21"/>
        <v>0</v>
      </c>
      <c r="BU58" s="89">
        <f t="shared" ca="1" si="22"/>
        <v>0</v>
      </c>
      <c r="BV58" s="87">
        <f t="shared" ca="1" si="23"/>
        <v>0</v>
      </c>
      <c r="BW58" s="87" t="str">
        <f t="shared" ca="1" si="24"/>
        <v>000</v>
      </c>
      <c r="BX58" s="89">
        <f t="shared" ca="1" si="25"/>
        <v>0</v>
      </c>
    </row>
    <row r="59" spans="1:76">
      <c r="A59" s="90" t="str">
        <f t="shared" si="2"/>
        <v/>
      </c>
      <c r="B59" s="98">
        <v>12</v>
      </c>
      <c r="C59" s="94">
        <v>-5</v>
      </c>
      <c r="D59" s="94">
        <v>8</v>
      </c>
      <c r="E59" s="94">
        <v>-3</v>
      </c>
      <c r="F59" s="94">
        <v>1</v>
      </c>
      <c r="G59" s="94">
        <v>2</v>
      </c>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1">
        <f t="shared" ca="1" si="3"/>
        <v>0</v>
      </c>
      <c r="BB59" s="88" t="str">
        <f t="shared" ca="1" si="4"/>
        <v/>
      </c>
      <c r="BC59" s="89">
        <f t="shared" ca="1" si="5"/>
        <v>0</v>
      </c>
      <c r="BD59" s="89">
        <f ca="1">IF(BC59=0,0,RANK(BF59,$BF$11:$BF$70,0)+(COUNTIF($BF59:$BF$70,BF59)-1))</f>
        <v>0</v>
      </c>
      <c r="BE59" s="89">
        <f t="shared" ca="1" si="6"/>
        <v>0</v>
      </c>
      <c r="BF59" s="89">
        <f t="shared" ca="1" si="7"/>
        <v>0</v>
      </c>
      <c r="BG59" s="89">
        <f t="shared" ca="1" si="8"/>
        <v>0</v>
      </c>
      <c r="BH59" s="89">
        <f t="shared" ca="1" si="9"/>
        <v>0</v>
      </c>
      <c r="BI59" s="89">
        <f t="shared" ca="1" si="10"/>
        <v>0</v>
      </c>
      <c r="BJ59" s="89">
        <f t="shared" ca="1" si="11"/>
        <v>0</v>
      </c>
      <c r="BK59" s="89">
        <f t="shared" ca="1" si="12"/>
        <v>0</v>
      </c>
      <c r="BL59" s="89">
        <f t="shared" ca="1" si="13"/>
        <v>0</v>
      </c>
      <c r="BM59" s="89">
        <f t="shared" ca="1" si="14"/>
        <v>0</v>
      </c>
      <c r="BN59" s="89">
        <f t="shared" ca="1" si="15"/>
        <v>0</v>
      </c>
      <c r="BO59" s="89">
        <f t="shared" ca="1" si="16"/>
        <v>0</v>
      </c>
      <c r="BP59" s="89">
        <f t="shared" ca="1" si="17"/>
        <v>0</v>
      </c>
      <c r="BQ59" s="89">
        <f t="shared" ca="1" si="18"/>
        <v>0</v>
      </c>
      <c r="BR59" s="87">
        <f t="shared" ca="1" si="19"/>
        <v>0</v>
      </c>
      <c r="BS59" s="89">
        <f t="shared" ca="1" si="20"/>
        <v>0</v>
      </c>
      <c r="BT59" s="89">
        <f t="shared" ca="1" si="21"/>
        <v>0</v>
      </c>
      <c r="BU59" s="89">
        <f t="shared" ca="1" si="22"/>
        <v>0</v>
      </c>
      <c r="BV59" s="87">
        <f t="shared" ca="1" si="23"/>
        <v>0</v>
      </c>
      <c r="BW59" s="87" t="str">
        <f t="shared" ca="1" si="24"/>
        <v>000</v>
      </c>
      <c r="BX59" s="89">
        <f t="shared" ca="1" si="25"/>
        <v>0</v>
      </c>
    </row>
    <row r="60" spans="1:76">
      <c r="A60" s="90" t="str">
        <f t="shared" si="2"/>
        <v/>
      </c>
      <c r="B60" s="98">
        <v>13</v>
      </c>
      <c r="C60" s="94">
        <v>6</v>
      </c>
      <c r="D60" s="94">
        <v>4</v>
      </c>
      <c r="E60" s="94">
        <v>8</v>
      </c>
      <c r="F60" s="94">
        <v>-3</v>
      </c>
      <c r="G60" s="94">
        <v>-2</v>
      </c>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1">
        <f t="shared" ca="1" si="3"/>
        <v>0</v>
      </c>
      <c r="BB60" s="88" t="str">
        <f t="shared" ca="1" si="4"/>
        <v/>
      </c>
      <c r="BC60" s="89">
        <f t="shared" ca="1" si="5"/>
        <v>0</v>
      </c>
      <c r="BD60" s="89">
        <f ca="1">IF(BC60=0,0,RANK(BF60,$BF$11:$BF$70,0)+(COUNTIF($BF60:$BF$70,BF60)-1))</f>
        <v>0</v>
      </c>
      <c r="BE60" s="89">
        <f t="shared" ca="1" si="6"/>
        <v>0</v>
      </c>
      <c r="BF60" s="89">
        <f t="shared" ca="1" si="7"/>
        <v>0</v>
      </c>
      <c r="BG60" s="89">
        <f t="shared" ca="1" si="8"/>
        <v>0</v>
      </c>
      <c r="BH60" s="89">
        <f t="shared" ca="1" si="9"/>
        <v>0</v>
      </c>
      <c r="BI60" s="89">
        <f t="shared" ca="1" si="10"/>
        <v>0</v>
      </c>
      <c r="BJ60" s="89">
        <f t="shared" ca="1" si="11"/>
        <v>0</v>
      </c>
      <c r="BK60" s="89">
        <f t="shared" ca="1" si="12"/>
        <v>0</v>
      </c>
      <c r="BL60" s="89">
        <f t="shared" ca="1" si="13"/>
        <v>0</v>
      </c>
      <c r="BM60" s="89">
        <f t="shared" ca="1" si="14"/>
        <v>0</v>
      </c>
      <c r="BN60" s="89">
        <f t="shared" ca="1" si="15"/>
        <v>0</v>
      </c>
      <c r="BO60" s="89">
        <f t="shared" ca="1" si="16"/>
        <v>0</v>
      </c>
      <c r="BP60" s="89">
        <f t="shared" ca="1" si="17"/>
        <v>0</v>
      </c>
      <c r="BQ60" s="89">
        <f t="shared" ca="1" si="18"/>
        <v>0</v>
      </c>
      <c r="BR60" s="87">
        <f t="shared" ca="1" si="19"/>
        <v>0</v>
      </c>
      <c r="BS60" s="89">
        <f t="shared" ca="1" si="20"/>
        <v>0</v>
      </c>
      <c r="BT60" s="89">
        <f t="shared" ca="1" si="21"/>
        <v>0</v>
      </c>
      <c r="BU60" s="89">
        <f t="shared" ca="1" si="22"/>
        <v>0</v>
      </c>
      <c r="BV60" s="87">
        <f t="shared" ca="1" si="23"/>
        <v>0</v>
      </c>
      <c r="BW60" s="87" t="str">
        <f t="shared" ca="1" si="24"/>
        <v>000</v>
      </c>
      <c r="BX60" s="89">
        <f t="shared" ca="1" si="25"/>
        <v>0</v>
      </c>
    </row>
    <row r="61" spans="1:76">
      <c r="A61" s="90" t="str">
        <f t="shared" si="2"/>
        <v/>
      </c>
      <c r="B61" s="98">
        <v>14</v>
      </c>
      <c r="C61" s="94">
        <v>-8</v>
      </c>
      <c r="D61" s="94">
        <v>-4</v>
      </c>
      <c r="E61" s="94">
        <v>6</v>
      </c>
      <c r="F61" s="94">
        <v>-1</v>
      </c>
      <c r="G61" s="94">
        <v>7</v>
      </c>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AZ61" s="94"/>
      <c r="BA61" s="91">
        <f t="shared" ca="1" si="3"/>
        <v>0</v>
      </c>
      <c r="BB61" s="88" t="str">
        <f t="shared" ca="1" si="4"/>
        <v/>
      </c>
      <c r="BC61" s="89">
        <f t="shared" ca="1" si="5"/>
        <v>0</v>
      </c>
      <c r="BD61" s="89">
        <f ca="1">IF(BC61=0,0,RANK(BF61,$BF$11:$BF$70,0)+(COUNTIF($BF61:$BF$70,BF61)-1))</f>
        <v>0</v>
      </c>
      <c r="BE61" s="89">
        <f t="shared" ca="1" si="6"/>
        <v>0</v>
      </c>
      <c r="BF61" s="89">
        <f t="shared" ca="1" si="7"/>
        <v>0</v>
      </c>
      <c r="BG61" s="89">
        <f t="shared" ca="1" si="8"/>
        <v>0</v>
      </c>
      <c r="BH61" s="89">
        <f t="shared" ca="1" si="9"/>
        <v>0</v>
      </c>
      <c r="BI61" s="89">
        <f t="shared" ca="1" si="10"/>
        <v>0</v>
      </c>
      <c r="BJ61" s="89">
        <f t="shared" ca="1" si="11"/>
        <v>0</v>
      </c>
      <c r="BK61" s="89">
        <f t="shared" ca="1" si="12"/>
        <v>0</v>
      </c>
      <c r="BL61" s="89">
        <f t="shared" ca="1" si="13"/>
        <v>0</v>
      </c>
      <c r="BM61" s="89">
        <f t="shared" ca="1" si="14"/>
        <v>0</v>
      </c>
      <c r="BN61" s="89">
        <f t="shared" ca="1" si="15"/>
        <v>0</v>
      </c>
      <c r="BO61" s="89">
        <f t="shared" ca="1" si="16"/>
        <v>0</v>
      </c>
      <c r="BP61" s="89">
        <f t="shared" ca="1" si="17"/>
        <v>0</v>
      </c>
      <c r="BQ61" s="89">
        <f t="shared" ca="1" si="18"/>
        <v>0</v>
      </c>
      <c r="BR61" s="87">
        <f t="shared" ca="1" si="19"/>
        <v>0</v>
      </c>
      <c r="BS61" s="89">
        <f t="shared" ca="1" si="20"/>
        <v>0</v>
      </c>
      <c r="BT61" s="89">
        <f t="shared" ca="1" si="21"/>
        <v>0</v>
      </c>
      <c r="BU61" s="89">
        <f t="shared" ca="1" si="22"/>
        <v>0</v>
      </c>
      <c r="BV61" s="87">
        <f t="shared" ca="1" si="23"/>
        <v>0</v>
      </c>
      <c r="BW61" s="87" t="str">
        <f t="shared" ca="1" si="24"/>
        <v>000</v>
      </c>
      <c r="BX61" s="89">
        <f t="shared" ca="1" si="25"/>
        <v>0</v>
      </c>
    </row>
    <row r="62" spans="1:76">
      <c r="A62" s="90" t="str">
        <f t="shared" si="2"/>
        <v/>
      </c>
      <c r="B62" s="98">
        <v>15</v>
      </c>
      <c r="C62" s="94">
        <v>-6</v>
      </c>
      <c r="D62" s="94">
        <v>1</v>
      </c>
      <c r="E62" s="94">
        <v>3</v>
      </c>
      <c r="F62" s="94">
        <v>-8</v>
      </c>
      <c r="G62" s="94">
        <v>-7</v>
      </c>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1">
        <f t="shared" ca="1" si="3"/>
        <v>0</v>
      </c>
      <c r="BB62" s="88" t="str">
        <f t="shared" ca="1" si="4"/>
        <v/>
      </c>
      <c r="BC62" s="89">
        <f t="shared" ca="1" si="5"/>
        <v>0</v>
      </c>
      <c r="BD62" s="89">
        <f ca="1">IF(BC62=0,0,RANK(BF62,$BF$11:$BF$70,0)+(COUNTIF($BF62:$BF$70,BF62)-1))</f>
        <v>0</v>
      </c>
      <c r="BE62" s="89">
        <f t="shared" ca="1" si="6"/>
        <v>0</v>
      </c>
      <c r="BF62" s="89">
        <f t="shared" ca="1" si="7"/>
        <v>0</v>
      </c>
      <c r="BG62" s="89">
        <f t="shared" ca="1" si="8"/>
        <v>0</v>
      </c>
      <c r="BH62" s="89">
        <f t="shared" ca="1" si="9"/>
        <v>0</v>
      </c>
      <c r="BI62" s="89">
        <f t="shared" ca="1" si="10"/>
        <v>0</v>
      </c>
      <c r="BJ62" s="89">
        <f t="shared" ca="1" si="11"/>
        <v>0</v>
      </c>
      <c r="BK62" s="89">
        <f t="shared" ca="1" si="12"/>
        <v>0</v>
      </c>
      <c r="BL62" s="89">
        <f t="shared" ca="1" si="13"/>
        <v>0</v>
      </c>
      <c r="BM62" s="89">
        <f t="shared" ca="1" si="14"/>
        <v>0</v>
      </c>
      <c r="BN62" s="89">
        <f t="shared" ca="1" si="15"/>
        <v>0</v>
      </c>
      <c r="BO62" s="89">
        <f t="shared" ca="1" si="16"/>
        <v>0</v>
      </c>
      <c r="BP62" s="89">
        <f t="shared" ca="1" si="17"/>
        <v>0</v>
      </c>
      <c r="BQ62" s="89">
        <f t="shared" ca="1" si="18"/>
        <v>0</v>
      </c>
      <c r="BR62" s="87">
        <f t="shared" ca="1" si="19"/>
        <v>0</v>
      </c>
      <c r="BS62" s="89">
        <f t="shared" ca="1" si="20"/>
        <v>0</v>
      </c>
      <c r="BT62" s="89">
        <f t="shared" ca="1" si="21"/>
        <v>0</v>
      </c>
      <c r="BU62" s="89">
        <f t="shared" ca="1" si="22"/>
        <v>0</v>
      </c>
      <c r="BV62" s="87">
        <f t="shared" ca="1" si="23"/>
        <v>0</v>
      </c>
      <c r="BW62" s="87" t="str">
        <f t="shared" ca="1" si="24"/>
        <v>000</v>
      </c>
      <c r="BX62" s="89">
        <f t="shared" ca="1" si="25"/>
        <v>0</v>
      </c>
    </row>
    <row r="63" spans="1:76">
      <c r="A63" s="90" t="str">
        <f t="shared" si="2"/>
        <v/>
      </c>
      <c r="B63" s="98">
        <v>16</v>
      </c>
      <c r="C63" s="94">
        <v>5</v>
      </c>
      <c r="D63" s="94">
        <v>-1</v>
      </c>
      <c r="E63" s="94">
        <v>-6</v>
      </c>
      <c r="F63" s="94">
        <v>3</v>
      </c>
      <c r="G63" s="94">
        <v>8</v>
      </c>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1">
        <f t="shared" ca="1" si="3"/>
        <v>0</v>
      </c>
      <c r="BB63" s="88" t="str">
        <f t="shared" ca="1" si="4"/>
        <v/>
      </c>
      <c r="BC63" s="89">
        <f t="shared" ca="1" si="5"/>
        <v>0</v>
      </c>
      <c r="BD63" s="89">
        <f ca="1">IF(BC63=0,0,RANK(BF63,$BF$11:$BF$70,0)+(COUNTIF($BF63:$BF$70,BF63)-1))</f>
        <v>0</v>
      </c>
      <c r="BE63" s="89">
        <f t="shared" ca="1" si="6"/>
        <v>0</v>
      </c>
      <c r="BF63" s="89">
        <f t="shared" ca="1" si="7"/>
        <v>0</v>
      </c>
      <c r="BG63" s="89">
        <f t="shared" ca="1" si="8"/>
        <v>0</v>
      </c>
      <c r="BH63" s="89">
        <f t="shared" ca="1" si="9"/>
        <v>0</v>
      </c>
      <c r="BI63" s="89">
        <f t="shared" ca="1" si="10"/>
        <v>0</v>
      </c>
      <c r="BJ63" s="89">
        <f t="shared" ca="1" si="11"/>
        <v>0</v>
      </c>
      <c r="BK63" s="89">
        <f t="shared" ca="1" si="12"/>
        <v>0</v>
      </c>
      <c r="BL63" s="89">
        <f t="shared" ca="1" si="13"/>
        <v>0</v>
      </c>
      <c r="BM63" s="89">
        <f t="shared" ca="1" si="14"/>
        <v>0</v>
      </c>
      <c r="BN63" s="89">
        <f t="shared" ca="1" si="15"/>
        <v>0</v>
      </c>
      <c r="BO63" s="89">
        <f t="shared" ca="1" si="16"/>
        <v>0</v>
      </c>
      <c r="BP63" s="89">
        <f t="shared" ca="1" si="17"/>
        <v>0</v>
      </c>
      <c r="BQ63" s="89">
        <f t="shared" ca="1" si="18"/>
        <v>0</v>
      </c>
      <c r="BR63" s="87">
        <f t="shared" ca="1" si="19"/>
        <v>0</v>
      </c>
      <c r="BS63" s="89">
        <f t="shared" ca="1" si="20"/>
        <v>0</v>
      </c>
      <c r="BT63" s="89">
        <f t="shared" ca="1" si="21"/>
        <v>0</v>
      </c>
      <c r="BU63" s="89">
        <f t="shared" ca="1" si="22"/>
        <v>0</v>
      </c>
      <c r="BV63" s="87">
        <f t="shared" ca="1" si="23"/>
        <v>0</v>
      </c>
      <c r="BW63" s="87" t="str">
        <f t="shared" ca="1" si="24"/>
        <v>000</v>
      </c>
      <c r="BX63" s="89">
        <f t="shared" ca="1" si="25"/>
        <v>0</v>
      </c>
    </row>
    <row r="64" spans="1:76">
      <c r="A64" s="90" t="str">
        <f t="shared" si="2"/>
        <v/>
      </c>
      <c r="B64" s="98" t="s">
        <v>447</v>
      </c>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1">
        <f t="shared" ca="1" si="3"/>
        <v>0</v>
      </c>
      <c r="BB64" s="88" t="str">
        <f t="shared" ca="1" si="4"/>
        <v/>
      </c>
      <c r="BC64" s="89">
        <f t="shared" ca="1" si="5"/>
        <v>0</v>
      </c>
      <c r="BD64" s="89">
        <f ca="1">IF(BC64=0,0,RANK(BF64,$BF$11:$BF$70,0)+(COUNTIF($BF64:$BF$70,BF64)-1))</f>
        <v>0</v>
      </c>
      <c r="BE64" s="89">
        <f t="shared" ca="1" si="6"/>
        <v>0</v>
      </c>
      <c r="BF64" s="89">
        <f t="shared" ca="1" si="7"/>
        <v>0</v>
      </c>
      <c r="BG64" s="89">
        <f t="shared" ca="1" si="8"/>
        <v>0</v>
      </c>
      <c r="BH64" s="89">
        <f t="shared" ca="1" si="9"/>
        <v>0</v>
      </c>
      <c r="BI64" s="89">
        <f t="shared" ca="1" si="10"/>
        <v>0</v>
      </c>
      <c r="BJ64" s="89">
        <f t="shared" ca="1" si="11"/>
        <v>0</v>
      </c>
      <c r="BK64" s="89">
        <f t="shared" ca="1" si="12"/>
        <v>0</v>
      </c>
      <c r="BL64" s="89">
        <f t="shared" ca="1" si="13"/>
        <v>0</v>
      </c>
      <c r="BM64" s="89">
        <f t="shared" ca="1" si="14"/>
        <v>0</v>
      </c>
      <c r="BN64" s="89">
        <f t="shared" ca="1" si="15"/>
        <v>0</v>
      </c>
      <c r="BO64" s="89">
        <f t="shared" ca="1" si="16"/>
        <v>0</v>
      </c>
      <c r="BP64" s="89">
        <f t="shared" ca="1" si="17"/>
        <v>0</v>
      </c>
      <c r="BQ64" s="89">
        <f t="shared" ca="1" si="18"/>
        <v>0</v>
      </c>
      <c r="BR64" s="87">
        <f t="shared" ca="1" si="19"/>
        <v>0</v>
      </c>
      <c r="BS64" s="89">
        <f t="shared" ca="1" si="20"/>
        <v>0</v>
      </c>
      <c r="BT64" s="89">
        <f t="shared" ca="1" si="21"/>
        <v>0</v>
      </c>
      <c r="BU64" s="89">
        <f t="shared" ca="1" si="22"/>
        <v>0</v>
      </c>
      <c r="BV64" s="87">
        <f t="shared" ca="1" si="23"/>
        <v>0</v>
      </c>
      <c r="BW64" s="87" t="str">
        <f t="shared" ca="1" si="24"/>
        <v>000</v>
      </c>
      <c r="BX64" s="89">
        <f t="shared" ca="1" si="25"/>
        <v>0</v>
      </c>
    </row>
    <row r="65" spans="1:76">
      <c r="A65" s="90">
        <f t="shared" si="2"/>
        <v>65</v>
      </c>
      <c r="B65" s="98" t="s">
        <v>448</v>
      </c>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1">
        <f t="shared" ca="1" si="3"/>
        <v>0</v>
      </c>
      <c r="BB65" s="88" t="str">
        <f ca="1">IF(BA64=0,"",CONCATENATE("A",BA64+1,":A",BB$10))</f>
        <v/>
      </c>
      <c r="BC65" s="89">
        <f t="shared" ca="1" si="5"/>
        <v>0</v>
      </c>
      <c r="BD65" s="89">
        <f ca="1">IF(BC65=0,0,RANK(BF65,$BF$11:$BF$70,0)+(COUNTIF($BF65:$BF$70,BF65)-1))</f>
        <v>0</v>
      </c>
      <c r="BE65" s="89">
        <f t="shared" ca="1" si="6"/>
        <v>0</v>
      </c>
      <c r="BF65" s="89">
        <f t="shared" ca="1" si="7"/>
        <v>0</v>
      </c>
      <c r="BG65" s="89">
        <f t="shared" ca="1" si="8"/>
        <v>0</v>
      </c>
      <c r="BH65" s="89">
        <f t="shared" ca="1" si="9"/>
        <v>0</v>
      </c>
      <c r="BI65" s="89">
        <f t="shared" ca="1" si="10"/>
        <v>0</v>
      </c>
      <c r="BJ65" s="89">
        <f t="shared" ca="1" si="11"/>
        <v>0</v>
      </c>
      <c r="BK65" s="89">
        <f t="shared" ca="1" si="12"/>
        <v>0</v>
      </c>
      <c r="BL65" s="89">
        <f t="shared" ca="1" si="13"/>
        <v>0</v>
      </c>
      <c r="BM65" s="89">
        <f t="shared" ca="1" si="14"/>
        <v>0</v>
      </c>
      <c r="BN65" s="89">
        <f t="shared" ca="1" si="15"/>
        <v>0</v>
      </c>
      <c r="BO65" s="89">
        <f t="shared" ca="1" si="16"/>
        <v>0</v>
      </c>
      <c r="BP65" s="89">
        <f t="shared" ca="1" si="17"/>
        <v>0</v>
      </c>
      <c r="BQ65" s="89">
        <f t="shared" ca="1" si="18"/>
        <v>0</v>
      </c>
      <c r="BR65" s="87">
        <f t="shared" ca="1" si="19"/>
        <v>0</v>
      </c>
      <c r="BS65" s="89">
        <f t="shared" ca="1" si="20"/>
        <v>0</v>
      </c>
      <c r="BT65" s="89">
        <f t="shared" ca="1" si="21"/>
        <v>0</v>
      </c>
      <c r="BU65" s="89">
        <f t="shared" ca="1" si="22"/>
        <v>0</v>
      </c>
      <c r="BV65" s="87">
        <f t="shared" ca="1" si="23"/>
        <v>0</v>
      </c>
      <c r="BW65" s="87" t="str">
        <f t="shared" ca="1" si="24"/>
        <v>000</v>
      </c>
      <c r="BX65" s="89">
        <f t="shared" ca="1" si="25"/>
        <v>0</v>
      </c>
    </row>
    <row r="66" spans="1:76">
      <c r="A66" s="90" t="str">
        <f t="shared" si="2"/>
        <v/>
      </c>
      <c r="B66" s="98">
        <v>1</v>
      </c>
      <c r="C66" s="94">
        <v>-2</v>
      </c>
      <c r="D66" s="94">
        <v>3</v>
      </c>
      <c r="E66" s="94">
        <v>4</v>
      </c>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1">
        <f t="shared" ca="1" si="3"/>
        <v>0</v>
      </c>
      <c r="BB66" s="88" t="str">
        <f t="shared" ca="1" si="4"/>
        <v/>
      </c>
      <c r="BC66" s="89">
        <f t="shared" ca="1" si="5"/>
        <v>0</v>
      </c>
      <c r="BD66" s="89">
        <f ca="1">IF(BC66=0,0,RANK(BF66,$BF$11:$BF$70,0)+(COUNTIF($BF66:$BF$70,BF66)-1))</f>
        <v>0</v>
      </c>
      <c r="BE66" s="89">
        <f t="shared" ca="1" si="6"/>
        <v>0</v>
      </c>
      <c r="BF66" s="89">
        <f t="shared" ca="1" si="7"/>
        <v>0</v>
      </c>
      <c r="BG66" s="89">
        <f t="shared" ca="1" si="8"/>
        <v>0</v>
      </c>
      <c r="BH66" s="89">
        <f t="shared" ca="1" si="9"/>
        <v>0</v>
      </c>
      <c r="BI66" s="89">
        <f t="shared" ca="1" si="10"/>
        <v>0</v>
      </c>
      <c r="BJ66" s="89">
        <f t="shared" ca="1" si="11"/>
        <v>0</v>
      </c>
      <c r="BK66" s="89">
        <f t="shared" ca="1" si="12"/>
        <v>0</v>
      </c>
      <c r="BL66" s="89">
        <f t="shared" ca="1" si="13"/>
        <v>0</v>
      </c>
      <c r="BM66" s="89">
        <f t="shared" ca="1" si="14"/>
        <v>0</v>
      </c>
      <c r="BN66" s="89">
        <f t="shared" ca="1" si="15"/>
        <v>0</v>
      </c>
      <c r="BO66" s="89">
        <f t="shared" ca="1" si="16"/>
        <v>0</v>
      </c>
      <c r="BP66" s="89">
        <f t="shared" ca="1" si="17"/>
        <v>0</v>
      </c>
      <c r="BQ66" s="89">
        <f t="shared" ca="1" si="18"/>
        <v>0</v>
      </c>
      <c r="BR66" s="87">
        <f t="shared" ca="1" si="19"/>
        <v>0</v>
      </c>
      <c r="BS66" s="89">
        <f t="shared" ca="1" si="20"/>
        <v>0</v>
      </c>
      <c r="BT66" s="89">
        <f t="shared" ca="1" si="21"/>
        <v>0</v>
      </c>
      <c r="BU66" s="89">
        <f t="shared" ca="1" si="22"/>
        <v>0</v>
      </c>
      <c r="BV66" s="87">
        <f t="shared" ca="1" si="23"/>
        <v>0</v>
      </c>
      <c r="BW66" s="87" t="str">
        <f t="shared" ca="1" si="24"/>
        <v>000</v>
      </c>
      <c r="BX66" s="89">
        <f t="shared" ca="1" si="25"/>
        <v>0</v>
      </c>
    </row>
    <row r="67" spans="1:76">
      <c r="A67" s="90" t="str">
        <f t="shared" si="2"/>
        <v/>
      </c>
      <c r="B67" s="98">
        <v>2</v>
      </c>
      <c r="C67" s="94">
        <v>7</v>
      </c>
      <c r="D67" s="94">
        <v>-6</v>
      </c>
      <c r="E67" s="94">
        <v>-4</v>
      </c>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1">
        <f t="shared" ca="1" si="3"/>
        <v>0</v>
      </c>
      <c r="BB67" s="88" t="str">
        <f t="shared" ca="1" si="4"/>
        <v/>
      </c>
      <c r="BC67" s="89">
        <f t="shared" ca="1" si="5"/>
        <v>0</v>
      </c>
      <c r="BD67" s="89">
        <f ca="1">IF(BC67=0,0,RANK(BF67,$BF$11:$BF$70,0)+(COUNTIF($BF67:$BF$70,BF67)-1))</f>
        <v>0</v>
      </c>
      <c r="BE67" s="89">
        <f t="shared" ca="1" si="6"/>
        <v>0</v>
      </c>
      <c r="BF67" s="89">
        <f t="shared" ca="1" si="7"/>
        <v>0</v>
      </c>
      <c r="BG67" s="89">
        <f t="shared" ca="1" si="8"/>
        <v>0</v>
      </c>
      <c r="BH67" s="89">
        <f t="shared" ca="1" si="9"/>
        <v>0</v>
      </c>
      <c r="BI67" s="89">
        <f t="shared" ca="1" si="10"/>
        <v>0</v>
      </c>
      <c r="BJ67" s="89">
        <f t="shared" ca="1" si="11"/>
        <v>0</v>
      </c>
      <c r="BK67" s="89">
        <f t="shared" ca="1" si="12"/>
        <v>0</v>
      </c>
      <c r="BL67" s="89">
        <f t="shared" ca="1" si="13"/>
        <v>0</v>
      </c>
      <c r="BM67" s="89">
        <f t="shared" ca="1" si="14"/>
        <v>0</v>
      </c>
      <c r="BN67" s="89">
        <f t="shared" ca="1" si="15"/>
        <v>0</v>
      </c>
      <c r="BO67" s="89">
        <f t="shared" ca="1" si="16"/>
        <v>0</v>
      </c>
      <c r="BP67" s="89">
        <f t="shared" ca="1" si="17"/>
        <v>0</v>
      </c>
      <c r="BQ67" s="89">
        <f t="shared" ca="1" si="18"/>
        <v>0</v>
      </c>
      <c r="BR67" s="87">
        <f t="shared" ca="1" si="19"/>
        <v>0</v>
      </c>
      <c r="BS67" s="89">
        <f t="shared" ca="1" si="20"/>
        <v>0</v>
      </c>
      <c r="BT67" s="89">
        <f t="shared" ca="1" si="21"/>
        <v>0</v>
      </c>
      <c r="BU67" s="89">
        <f t="shared" ca="1" si="22"/>
        <v>0</v>
      </c>
      <c r="BV67" s="87">
        <f t="shared" ca="1" si="23"/>
        <v>0</v>
      </c>
      <c r="BW67" s="87" t="str">
        <f t="shared" ca="1" si="24"/>
        <v>000</v>
      </c>
      <c r="BX67" s="89">
        <f t="shared" ca="1" si="25"/>
        <v>0</v>
      </c>
    </row>
    <row r="68" spans="1:76">
      <c r="A68" s="90" t="str">
        <f t="shared" si="2"/>
        <v/>
      </c>
      <c r="B68" s="98">
        <v>3</v>
      </c>
      <c r="C68" s="94">
        <v>-7</v>
      </c>
      <c r="D68" s="94">
        <v>-3</v>
      </c>
      <c r="E68" s="94">
        <v>5</v>
      </c>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1">
        <f t="shared" ca="1" si="3"/>
        <v>0</v>
      </c>
      <c r="BB68" s="88" t="str">
        <f t="shared" ca="1" si="4"/>
        <v/>
      </c>
      <c r="BC68" s="89">
        <f t="shared" ca="1" si="5"/>
        <v>0</v>
      </c>
      <c r="BD68" s="89">
        <f ca="1">IF(BC68=0,0,RANK(BF68,$BF$11:$BF$70,0)+(COUNTIF($BF68:$BF$70,BF68)-1))</f>
        <v>0</v>
      </c>
      <c r="BE68" s="89">
        <f t="shared" ca="1" si="6"/>
        <v>0</v>
      </c>
      <c r="BF68" s="89">
        <f t="shared" ca="1" si="7"/>
        <v>0</v>
      </c>
      <c r="BG68" s="89">
        <f t="shared" ca="1" si="8"/>
        <v>0</v>
      </c>
      <c r="BH68" s="89">
        <f t="shared" ca="1" si="9"/>
        <v>0</v>
      </c>
      <c r="BI68" s="89">
        <f t="shared" ca="1" si="10"/>
        <v>0</v>
      </c>
      <c r="BJ68" s="89">
        <f t="shared" ca="1" si="11"/>
        <v>0</v>
      </c>
      <c r="BK68" s="89">
        <f t="shared" ca="1" si="12"/>
        <v>0</v>
      </c>
      <c r="BL68" s="89">
        <f t="shared" ca="1" si="13"/>
        <v>0</v>
      </c>
      <c r="BM68" s="89">
        <f t="shared" ca="1" si="14"/>
        <v>0</v>
      </c>
      <c r="BN68" s="89">
        <f t="shared" ca="1" si="15"/>
        <v>0</v>
      </c>
      <c r="BO68" s="89">
        <f t="shared" ca="1" si="16"/>
        <v>0</v>
      </c>
      <c r="BP68" s="89">
        <f t="shared" ca="1" si="17"/>
        <v>0</v>
      </c>
      <c r="BQ68" s="89">
        <f t="shared" ca="1" si="18"/>
        <v>0</v>
      </c>
      <c r="BR68" s="87">
        <f t="shared" ca="1" si="19"/>
        <v>0</v>
      </c>
      <c r="BS68" s="89">
        <f t="shared" ca="1" si="20"/>
        <v>0</v>
      </c>
      <c r="BT68" s="89">
        <f t="shared" ca="1" si="21"/>
        <v>0</v>
      </c>
      <c r="BU68" s="89">
        <f t="shared" ca="1" si="22"/>
        <v>0</v>
      </c>
      <c r="BV68" s="87">
        <f t="shared" ca="1" si="23"/>
        <v>0</v>
      </c>
      <c r="BW68" s="87" t="str">
        <f t="shared" ca="1" si="24"/>
        <v>000</v>
      </c>
      <c r="BX68" s="89">
        <f t="shared" ca="1" si="25"/>
        <v>0</v>
      </c>
    </row>
    <row r="69" spans="1:76">
      <c r="A69" s="90" t="str">
        <f t="shared" si="2"/>
        <v/>
      </c>
      <c r="B69" s="99">
        <v>4</v>
      </c>
      <c r="C69" s="92">
        <v>2</v>
      </c>
      <c r="D69" s="92">
        <v>6</v>
      </c>
      <c r="E69" s="92">
        <v>-5</v>
      </c>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1">
        <f t="shared" ca="1" si="3"/>
        <v>0</v>
      </c>
      <c r="BB69" s="88" t="str">
        <f t="shared" ca="1" si="4"/>
        <v/>
      </c>
      <c r="BC69" s="89">
        <f t="shared" ca="1" si="5"/>
        <v>0</v>
      </c>
      <c r="BD69" s="89">
        <f ca="1">IF(BC69=0,0,RANK(BF69,$BF$11:$BF$70,0)+(COUNTIF($BF69:$BF$70,BF69)-1))</f>
        <v>0</v>
      </c>
      <c r="BE69" s="89">
        <f t="shared" ca="1" si="6"/>
        <v>0</v>
      </c>
      <c r="BF69" s="89">
        <f t="shared" ca="1" si="7"/>
        <v>0</v>
      </c>
      <c r="BG69" s="89">
        <f t="shared" ca="1" si="8"/>
        <v>0</v>
      </c>
      <c r="BH69" s="89">
        <f t="shared" ca="1" si="9"/>
        <v>0</v>
      </c>
      <c r="BI69" s="89">
        <f t="shared" ca="1" si="10"/>
        <v>0</v>
      </c>
      <c r="BJ69" s="89">
        <f t="shared" ca="1" si="11"/>
        <v>0</v>
      </c>
      <c r="BK69" s="89">
        <f t="shared" ca="1" si="12"/>
        <v>0</v>
      </c>
      <c r="BL69" s="89">
        <f t="shared" ca="1" si="13"/>
        <v>0</v>
      </c>
      <c r="BM69" s="89">
        <f t="shared" ca="1" si="14"/>
        <v>0</v>
      </c>
      <c r="BN69" s="89">
        <f t="shared" ca="1" si="15"/>
        <v>0</v>
      </c>
      <c r="BO69" s="89">
        <f t="shared" ca="1" si="16"/>
        <v>0</v>
      </c>
      <c r="BP69" s="89">
        <f t="shared" ca="1" si="17"/>
        <v>0</v>
      </c>
      <c r="BQ69" s="89">
        <f t="shared" ca="1" si="18"/>
        <v>0</v>
      </c>
      <c r="BR69" s="87">
        <f t="shared" ca="1" si="19"/>
        <v>0</v>
      </c>
      <c r="BS69" s="89">
        <f t="shared" ca="1" si="20"/>
        <v>0</v>
      </c>
      <c r="BT69" s="89">
        <f t="shared" ca="1" si="21"/>
        <v>0</v>
      </c>
      <c r="BU69" s="89">
        <f t="shared" ca="1" si="22"/>
        <v>0</v>
      </c>
      <c r="BV69" s="87">
        <f t="shared" ca="1" si="23"/>
        <v>0</v>
      </c>
      <c r="BW69" s="87" t="str">
        <f t="shared" ca="1" si="24"/>
        <v>000</v>
      </c>
      <c r="BX69" s="89">
        <f t="shared" ca="1" si="25"/>
        <v>0</v>
      </c>
    </row>
    <row r="70" spans="1:76">
      <c r="A70" s="90" t="str">
        <f t="shared" si="2"/>
        <v/>
      </c>
      <c r="B70" s="98">
        <v>5</v>
      </c>
      <c r="C70" s="94">
        <v>-1</v>
      </c>
      <c r="D70" s="94">
        <v>4</v>
      </c>
      <c r="E70" s="94">
        <v>3</v>
      </c>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1">
        <f t="shared" ca="1" si="3"/>
        <v>0</v>
      </c>
      <c r="BB70" s="88" t="str">
        <f t="shared" ca="1" si="4"/>
        <v/>
      </c>
      <c r="BC70" s="89">
        <f t="shared" ca="1" si="5"/>
        <v>0</v>
      </c>
      <c r="BD70" s="89">
        <f ca="1">IF(BC70=0,0,RANK(BF70,$BF$11:$BF$70,0)+(COUNTIF($BF70:$BF$70,BF70)-1))</f>
        <v>0</v>
      </c>
      <c r="BE70" s="89">
        <f t="shared" ca="1" si="6"/>
        <v>0</v>
      </c>
      <c r="BF70" s="89">
        <f t="shared" ca="1" si="7"/>
        <v>0</v>
      </c>
      <c r="BG70" s="89">
        <f t="shared" ca="1" si="8"/>
        <v>0</v>
      </c>
      <c r="BH70" s="89">
        <f t="shared" ca="1" si="9"/>
        <v>0</v>
      </c>
      <c r="BI70" s="89">
        <f t="shared" ca="1" si="10"/>
        <v>0</v>
      </c>
      <c r="BJ70" s="89">
        <f t="shared" ca="1" si="11"/>
        <v>0</v>
      </c>
      <c r="BK70" s="89">
        <f t="shared" ca="1" si="12"/>
        <v>0</v>
      </c>
      <c r="BL70" s="89">
        <f t="shared" ca="1" si="13"/>
        <v>0</v>
      </c>
      <c r="BM70" s="89">
        <f t="shared" ca="1" si="14"/>
        <v>0</v>
      </c>
      <c r="BN70" s="89">
        <f t="shared" ca="1" si="15"/>
        <v>0</v>
      </c>
      <c r="BO70" s="89">
        <f t="shared" ca="1" si="16"/>
        <v>0</v>
      </c>
      <c r="BP70" s="89">
        <f t="shared" ca="1" si="17"/>
        <v>0</v>
      </c>
      <c r="BQ70" s="89">
        <f t="shared" ca="1" si="18"/>
        <v>0</v>
      </c>
      <c r="BR70" s="87">
        <f t="shared" ca="1" si="19"/>
        <v>0</v>
      </c>
      <c r="BS70" s="89">
        <f t="shared" ca="1" si="20"/>
        <v>0</v>
      </c>
      <c r="BT70" s="89">
        <f t="shared" ca="1" si="21"/>
        <v>0</v>
      </c>
      <c r="BU70" s="89">
        <f t="shared" ca="1" si="22"/>
        <v>0</v>
      </c>
      <c r="BV70" s="87">
        <f t="shared" ca="1" si="23"/>
        <v>0</v>
      </c>
      <c r="BW70" s="87" t="str">
        <f t="shared" ca="1" si="24"/>
        <v>000</v>
      </c>
      <c r="BX70" s="89">
        <f t="shared" ca="1" si="25"/>
        <v>0</v>
      </c>
    </row>
    <row r="71" spans="1:76">
      <c r="A71" s="90" t="str">
        <f t="shared" si="2"/>
        <v/>
      </c>
      <c r="B71" s="98">
        <v>6</v>
      </c>
      <c r="C71" s="94">
        <v>8</v>
      </c>
      <c r="D71" s="94">
        <v>-5</v>
      </c>
      <c r="E71" s="94">
        <v>-3</v>
      </c>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3"/>
      <c r="BB71" s="88"/>
    </row>
    <row r="72" spans="1:76">
      <c r="A72" s="90" t="str">
        <f t="shared" si="2"/>
        <v/>
      </c>
      <c r="B72" s="98">
        <v>7</v>
      </c>
      <c r="C72" s="94">
        <v>-8</v>
      </c>
      <c r="D72" s="94">
        <v>-4</v>
      </c>
      <c r="E72" s="94">
        <v>6</v>
      </c>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3"/>
      <c r="BB72" s="88"/>
    </row>
    <row r="73" spans="1:76">
      <c r="A73" s="90" t="str">
        <f t="shared" si="2"/>
        <v/>
      </c>
      <c r="B73" s="99">
        <v>8</v>
      </c>
      <c r="C73" s="92">
        <v>1</v>
      </c>
      <c r="D73" s="92">
        <v>5</v>
      </c>
      <c r="E73" s="92">
        <v>-6</v>
      </c>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5"/>
    </row>
    <row r="74" spans="1:76">
      <c r="A74" s="90" t="str">
        <f t="shared" si="2"/>
        <v/>
      </c>
      <c r="B74" s="98">
        <v>9</v>
      </c>
      <c r="C74" s="94">
        <v>-4</v>
      </c>
      <c r="D74" s="94">
        <v>1</v>
      </c>
      <c r="E74" s="94">
        <v>2</v>
      </c>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5"/>
    </row>
    <row r="75" spans="1:76">
      <c r="A75" s="90" t="str">
        <f t="shared" si="2"/>
        <v/>
      </c>
      <c r="B75" s="98">
        <v>10</v>
      </c>
      <c r="C75" s="94">
        <v>5</v>
      </c>
      <c r="D75" s="94">
        <v>-8</v>
      </c>
      <c r="E75" s="94">
        <v>-2</v>
      </c>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5"/>
    </row>
    <row r="76" spans="1:76">
      <c r="A76" s="90" t="str">
        <f t="shared" ref="A76:A139" si="26">IF(MID(B76,3,2)="08",ROW(),"")</f>
        <v/>
      </c>
      <c r="B76" s="98">
        <v>11</v>
      </c>
      <c r="C76" s="94">
        <v>-5</v>
      </c>
      <c r="D76" s="94">
        <v>-1</v>
      </c>
      <c r="E76" s="94">
        <v>7</v>
      </c>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5"/>
    </row>
    <row r="77" spans="1:76">
      <c r="A77" s="90" t="str">
        <f t="shared" si="26"/>
        <v/>
      </c>
      <c r="B77" s="99">
        <v>12</v>
      </c>
      <c r="C77" s="92">
        <v>4</v>
      </c>
      <c r="D77" s="92">
        <v>8</v>
      </c>
      <c r="E77" s="92">
        <v>-7</v>
      </c>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5"/>
    </row>
    <row r="78" spans="1:76">
      <c r="A78" s="90" t="str">
        <f t="shared" si="26"/>
        <v/>
      </c>
      <c r="B78" s="98">
        <v>13</v>
      </c>
      <c r="C78" s="94">
        <v>-3</v>
      </c>
      <c r="D78" s="94">
        <v>2</v>
      </c>
      <c r="E78" s="94">
        <v>1</v>
      </c>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5"/>
    </row>
    <row r="79" spans="1:76">
      <c r="A79" s="90" t="str">
        <f t="shared" si="26"/>
        <v/>
      </c>
      <c r="B79" s="98">
        <v>14</v>
      </c>
      <c r="C79" s="94">
        <v>6</v>
      </c>
      <c r="D79" s="94">
        <v>-7</v>
      </c>
      <c r="E79" s="94">
        <v>-1</v>
      </c>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5"/>
    </row>
    <row r="80" spans="1:76">
      <c r="A80" s="90" t="str">
        <f t="shared" si="26"/>
        <v/>
      </c>
      <c r="B80" s="98">
        <v>15</v>
      </c>
      <c r="C80" s="94">
        <v>-6</v>
      </c>
      <c r="D80" s="94">
        <v>-2</v>
      </c>
      <c r="E80" s="94">
        <v>8</v>
      </c>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5"/>
    </row>
    <row r="81" spans="1:53" s="87" customFormat="1">
      <c r="A81" s="90" t="str">
        <f t="shared" si="26"/>
        <v/>
      </c>
      <c r="B81" s="98">
        <v>16</v>
      </c>
      <c r="C81" s="94">
        <v>3</v>
      </c>
      <c r="D81" s="94">
        <v>7</v>
      </c>
      <c r="E81" s="94">
        <v>-8</v>
      </c>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5"/>
    </row>
    <row r="82" spans="1:53" s="87" customFormat="1">
      <c r="A82" s="90" t="str">
        <f t="shared" si="26"/>
        <v/>
      </c>
      <c r="B82" s="98" t="s">
        <v>449</v>
      </c>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5"/>
    </row>
    <row r="83" spans="1:53" s="87" customFormat="1">
      <c r="A83" s="90">
        <f t="shared" si="26"/>
        <v>83</v>
      </c>
      <c r="B83" s="98" t="s">
        <v>450</v>
      </c>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5"/>
    </row>
    <row r="84" spans="1:53" s="87" customFormat="1">
      <c r="A84" s="90" t="str">
        <f t="shared" si="26"/>
        <v/>
      </c>
      <c r="B84" s="98">
        <v>1</v>
      </c>
      <c r="C84" s="94">
        <v>-7</v>
      </c>
      <c r="D84" s="94">
        <v>5</v>
      </c>
      <c r="E84" s="94">
        <v>-8</v>
      </c>
      <c r="F84" s="94">
        <v>3</v>
      </c>
      <c r="G84" s="94">
        <v>-2</v>
      </c>
      <c r="H84" s="94">
        <v>6</v>
      </c>
      <c r="I84" s="94">
        <v>-1</v>
      </c>
      <c r="J84" s="94">
        <v>8</v>
      </c>
      <c r="K84" s="94">
        <v>-6</v>
      </c>
      <c r="L84" s="94">
        <v>2</v>
      </c>
      <c r="M84" s="94">
        <v>-3</v>
      </c>
      <c r="N84" s="94">
        <v>1</v>
      </c>
      <c r="O84" s="94">
        <v>-5</v>
      </c>
      <c r="P84" s="94">
        <v>7</v>
      </c>
      <c r="Q84" s="94">
        <v>-4</v>
      </c>
      <c r="R84" s="94" t="s">
        <v>202</v>
      </c>
      <c r="S84" s="94">
        <v>4</v>
      </c>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5"/>
    </row>
    <row r="85" spans="1:53" s="87" customFormat="1">
      <c r="A85" s="90" t="str">
        <f t="shared" si="26"/>
        <v/>
      </c>
      <c r="B85" s="98">
        <v>2</v>
      </c>
      <c r="C85" s="94" t="s">
        <v>202</v>
      </c>
      <c r="D85" s="94">
        <v>4</v>
      </c>
      <c r="E85" s="94">
        <v>-7</v>
      </c>
      <c r="F85" s="94">
        <v>5</v>
      </c>
      <c r="G85" s="94">
        <v>-8</v>
      </c>
      <c r="H85" s="94">
        <v>3</v>
      </c>
      <c r="I85" s="94">
        <v>-2</v>
      </c>
      <c r="J85" s="94">
        <v>6</v>
      </c>
      <c r="K85" s="94">
        <v>-1</v>
      </c>
      <c r="L85" s="94">
        <v>8</v>
      </c>
      <c r="M85" s="94">
        <v>-6</v>
      </c>
      <c r="N85" s="94">
        <v>2</v>
      </c>
      <c r="O85" s="94">
        <v>-3</v>
      </c>
      <c r="P85" s="94">
        <v>1</v>
      </c>
      <c r="Q85" s="94">
        <v>-5</v>
      </c>
      <c r="R85" s="94">
        <v>7</v>
      </c>
      <c r="S85" s="94">
        <v>-4</v>
      </c>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5"/>
    </row>
    <row r="86" spans="1:53" s="87" customFormat="1">
      <c r="A86" s="90" t="str">
        <f t="shared" si="26"/>
        <v/>
      </c>
      <c r="B86" s="98">
        <v>3</v>
      </c>
      <c r="C86" s="94">
        <v>-8</v>
      </c>
      <c r="D86" s="94">
        <v>3</v>
      </c>
      <c r="E86" s="94">
        <v>-2</v>
      </c>
      <c r="F86" s="94">
        <v>6</v>
      </c>
      <c r="G86" s="94">
        <v>-1</v>
      </c>
      <c r="H86" s="94">
        <v>8</v>
      </c>
      <c r="I86" s="94">
        <v>-6</v>
      </c>
      <c r="J86" s="94">
        <v>2</v>
      </c>
      <c r="K86" s="94">
        <v>-3</v>
      </c>
      <c r="L86" s="94">
        <v>1</v>
      </c>
      <c r="M86" s="94">
        <v>-5</v>
      </c>
      <c r="N86" s="94">
        <v>7</v>
      </c>
      <c r="O86" s="94">
        <v>-4</v>
      </c>
      <c r="P86" s="94" t="s">
        <v>202</v>
      </c>
      <c r="Q86" s="94">
        <v>4</v>
      </c>
      <c r="R86" s="94">
        <v>-7</v>
      </c>
      <c r="S86" s="94">
        <v>5</v>
      </c>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5"/>
    </row>
    <row r="87" spans="1:53" s="87" customFormat="1">
      <c r="A87" s="90" t="str">
        <f t="shared" si="26"/>
        <v/>
      </c>
      <c r="B87" s="98">
        <v>4</v>
      </c>
      <c r="C87" s="94">
        <v>7</v>
      </c>
      <c r="D87" s="94">
        <v>-4</v>
      </c>
      <c r="E87" s="94" t="s">
        <v>202</v>
      </c>
      <c r="F87" s="94">
        <v>4</v>
      </c>
      <c r="G87" s="94">
        <v>-7</v>
      </c>
      <c r="H87" s="94">
        <v>5</v>
      </c>
      <c r="I87" s="94">
        <v>-8</v>
      </c>
      <c r="J87" s="94">
        <v>3</v>
      </c>
      <c r="K87" s="94">
        <v>-2</v>
      </c>
      <c r="L87" s="94">
        <v>6</v>
      </c>
      <c r="M87" s="94">
        <v>-1</v>
      </c>
      <c r="N87" s="94">
        <v>8</v>
      </c>
      <c r="O87" s="94">
        <v>-6</v>
      </c>
      <c r="P87" s="94">
        <v>2</v>
      </c>
      <c r="Q87" s="94">
        <v>-3</v>
      </c>
      <c r="R87" s="94">
        <v>1</v>
      </c>
      <c r="S87" s="94">
        <v>-5</v>
      </c>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5"/>
    </row>
    <row r="88" spans="1:53" s="87" customFormat="1">
      <c r="A88" s="90" t="str">
        <f t="shared" si="26"/>
        <v/>
      </c>
      <c r="B88" s="98">
        <v>5</v>
      </c>
      <c r="C88" s="94">
        <v>-2</v>
      </c>
      <c r="D88" s="94">
        <v>6</v>
      </c>
      <c r="E88" s="94">
        <v>-1</v>
      </c>
      <c r="F88" s="94">
        <v>8</v>
      </c>
      <c r="G88" s="94">
        <v>-6</v>
      </c>
      <c r="H88" s="94">
        <v>2</v>
      </c>
      <c r="I88" s="94">
        <v>-3</v>
      </c>
      <c r="J88" s="94">
        <v>1</v>
      </c>
      <c r="K88" s="94">
        <v>-5</v>
      </c>
      <c r="L88" s="94">
        <v>7</v>
      </c>
      <c r="M88" s="94">
        <v>-4</v>
      </c>
      <c r="N88" s="94" t="s">
        <v>202</v>
      </c>
      <c r="O88" s="94">
        <v>4</v>
      </c>
      <c r="P88" s="94">
        <v>-7</v>
      </c>
      <c r="Q88" s="94">
        <v>5</v>
      </c>
      <c r="R88" s="94">
        <v>-1</v>
      </c>
      <c r="S88" s="94">
        <v>3</v>
      </c>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5"/>
    </row>
    <row r="89" spans="1:53" s="87" customFormat="1">
      <c r="A89" s="90" t="str">
        <f t="shared" si="26"/>
        <v/>
      </c>
      <c r="B89" s="98">
        <v>6</v>
      </c>
      <c r="C89" s="94">
        <v>8</v>
      </c>
      <c r="D89" s="94">
        <v>-5</v>
      </c>
      <c r="E89" s="94">
        <v>7</v>
      </c>
      <c r="F89" s="94">
        <v>-4</v>
      </c>
      <c r="G89" s="94" t="s">
        <v>202</v>
      </c>
      <c r="H89" s="94">
        <v>4</v>
      </c>
      <c r="I89" s="94">
        <v>-7</v>
      </c>
      <c r="J89" s="94">
        <v>5</v>
      </c>
      <c r="K89" s="94">
        <v>-8</v>
      </c>
      <c r="L89" s="94">
        <v>3</v>
      </c>
      <c r="M89" s="94">
        <v>-2</v>
      </c>
      <c r="N89" s="94">
        <v>6</v>
      </c>
      <c r="O89" s="94">
        <v>-1</v>
      </c>
      <c r="P89" s="94">
        <v>8</v>
      </c>
      <c r="Q89" s="94">
        <v>-6</v>
      </c>
      <c r="R89" s="94">
        <v>2</v>
      </c>
      <c r="S89" s="94">
        <v>-3</v>
      </c>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5"/>
    </row>
    <row r="90" spans="1:53" s="87" customFormat="1">
      <c r="A90" s="90" t="str">
        <f t="shared" si="26"/>
        <v/>
      </c>
      <c r="B90" s="98">
        <v>7</v>
      </c>
      <c r="C90" s="94">
        <v>-1</v>
      </c>
      <c r="D90" s="94">
        <v>8</v>
      </c>
      <c r="E90" s="94">
        <v>-6</v>
      </c>
      <c r="F90" s="94">
        <v>2</v>
      </c>
      <c r="G90" s="94">
        <v>-3</v>
      </c>
      <c r="H90" s="94">
        <v>1</v>
      </c>
      <c r="I90" s="94">
        <v>-5</v>
      </c>
      <c r="J90" s="94">
        <v>7</v>
      </c>
      <c r="K90" s="94">
        <v>-4</v>
      </c>
      <c r="L90" s="94" t="s">
        <v>202</v>
      </c>
      <c r="M90" s="94">
        <v>4</v>
      </c>
      <c r="N90" s="94">
        <v>-7</v>
      </c>
      <c r="O90" s="94">
        <v>5</v>
      </c>
      <c r="P90" s="94">
        <v>-1</v>
      </c>
      <c r="Q90" s="94">
        <v>3</v>
      </c>
      <c r="R90" s="94">
        <v>-2</v>
      </c>
      <c r="S90" s="94">
        <v>6</v>
      </c>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5"/>
    </row>
    <row r="91" spans="1:53" s="87" customFormat="1">
      <c r="A91" s="90" t="str">
        <f t="shared" si="26"/>
        <v/>
      </c>
      <c r="B91" s="98">
        <v>8</v>
      </c>
      <c r="C91" s="94">
        <v>2</v>
      </c>
      <c r="D91" s="94">
        <v>-3</v>
      </c>
      <c r="E91" s="94">
        <v>8</v>
      </c>
      <c r="F91" s="94">
        <v>-5</v>
      </c>
      <c r="G91" s="94">
        <v>7</v>
      </c>
      <c r="H91" s="94">
        <v>-4</v>
      </c>
      <c r="I91" s="94" t="s">
        <v>202</v>
      </c>
      <c r="J91" s="94">
        <v>4</v>
      </c>
      <c r="K91" s="94">
        <v>-7</v>
      </c>
      <c r="L91" s="94">
        <v>5</v>
      </c>
      <c r="M91" s="94">
        <v>-8</v>
      </c>
      <c r="N91" s="94">
        <v>3</v>
      </c>
      <c r="O91" s="94">
        <v>-2</v>
      </c>
      <c r="P91" s="94">
        <v>6</v>
      </c>
      <c r="Q91" s="94">
        <v>-1</v>
      </c>
      <c r="R91" s="94">
        <v>8</v>
      </c>
      <c r="S91" s="94">
        <v>-6</v>
      </c>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5"/>
    </row>
    <row r="92" spans="1:53" s="87" customFormat="1">
      <c r="A92" s="90" t="str">
        <f t="shared" si="26"/>
        <v/>
      </c>
      <c r="B92" s="98">
        <v>9</v>
      </c>
      <c r="C92" s="94">
        <v>-3</v>
      </c>
      <c r="D92" s="94">
        <v>1</v>
      </c>
      <c r="E92" s="94">
        <v>-5</v>
      </c>
      <c r="F92" s="94">
        <v>7</v>
      </c>
      <c r="G92" s="94">
        <v>-4</v>
      </c>
      <c r="H92" s="94" t="s">
        <v>202</v>
      </c>
      <c r="I92" s="94">
        <v>4</v>
      </c>
      <c r="J92" s="94">
        <v>-7</v>
      </c>
      <c r="K92" s="94">
        <v>5</v>
      </c>
      <c r="L92" s="94">
        <v>-1</v>
      </c>
      <c r="M92" s="94">
        <v>3</v>
      </c>
      <c r="N92" s="94">
        <v>-2</v>
      </c>
      <c r="O92" s="94">
        <v>6</v>
      </c>
      <c r="P92" s="94">
        <v>-8</v>
      </c>
      <c r="Q92" s="94">
        <v>1</v>
      </c>
      <c r="R92" s="94">
        <v>-6</v>
      </c>
      <c r="S92" s="94">
        <v>2</v>
      </c>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5"/>
    </row>
    <row r="93" spans="1:53" s="87" customFormat="1">
      <c r="A93" s="90" t="str">
        <f t="shared" si="26"/>
        <v/>
      </c>
      <c r="B93" s="98">
        <v>10</v>
      </c>
      <c r="C93" s="94">
        <v>6</v>
      </c>
      <c r="D93" s="94">
        <v>-8</v>
      </c>
      <c r="E93" s="94">
        <v>1</v>
      </c>
      <c r="F93" s="94">
        <v>-6</v>
      </c>
      <c r="G93" s="94">
        <v>2</v>
      </c>
      <c r="H93" s="94">
        <v>-3</v>
      </c>
      <c r="I93" s="94">
        <v>8</v>
      </c>
      <c r="J93" s="94">
        <v>-5</v>
      </c>
      <c r="K93" s="94">
        <v>7</v>
      </c>
      <c r="L93" s="94">
        <v>-4</v>
      </c>
      <c r="M93" s="94" t="s">
        <v>202</v>
      </c>
      <c r="N93" s="94">
        <v>4</v>
      </c>
      <c r="O93" s="94">
        <v>-7</v>
      </c>
      <c r="P93" s="94">
        <v>5</v>
      </c>
      <c r="Q93" s="94">
        <v>-8</v>
      </c>
      <c r="R93" s="94">
        <v>3</v>
      </c>
      <c r="S93" s="94">
        <v>-2</v>
      </c>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5"/>
    </row>
    <row r="94" spans="1:53" s="87" customFormat="1">
      <c r="A94" s="90" t="str">
        <f t="shared" si="26"/>
        <v/>
      </c>
      <c r="B94" s="98">
        <v>11</v>
      </c>
      <c r="C94" s="94">
        <v>-4</v>
      </c>
      <c r="D94" s="94" t="s">
        <v>202</v>
      </c>
      <c r="E94" s="94">
        <v>4</v>
      </c>
      <c r="F94" s="94">
        <v>-7</v>
      </c>
      <c r="G94" s="94">
        <v>5</v>
      </c>
      <c r="H94" s="94">
        <v>-1</v>
      </c>
      <c r="I94" s="94">
        <v>3</v>
      </c>
      <c r="J94" s="94">
        <v>-2</v>
      </c>
      <c r="K94" s="94">
        <v>6</v>
      </c>
      <c r="L94" s="94">
        <v>-8</v>
      </c>
      <c r="M94" s="94">
        <v>1</v>
      </c>
      <c r="N94" s="94">
        <v>-6</v>
      </c>
      <c r="O94" s="94">
        <v>2</v>
      </c>
      <c r="P94" s="94">
        <v>-3</v>
      </c>
      <c r="Q94" s="94">
        <v>8</v>
      </c>
      <c r="R94" s="94">
        <v>-5</v>
      </c>
      <c r="S94" s="94">
        <v>7</v>
      </c>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5"/>
    </row>
    <row r="95" spans="1:53" s="87" customFormat="1">
      <c r="A95" s="90" t="str">
        <f t="shared" si="26"/>
        <v/>
      </c>
      <c r="B95" s="98">
        <v>12</v>
      </c>
      <c r="C95" s="94">
        <v>5</v>
      </c>
      <c r="D95" s="94">
        <v>-1</v>
      </c>
      <c r="E95" s="94">
        <v>3</v>
      </c>
      <c r="F95" s="94">
        <v>-2</v>
      </c>
      <c r="G95" s="94">
        <v>6</v>
      </c>
      <c r="H95" s="94">
        <v>-8</v>
      </c>
      <c r="I95" s="94">
        <v>1</v>
      </c>
      <c r="J95" s="94">
        <v>-6</v>
      </c>
      <c r="K95" s="94">
        <v>2</v>
      </c>
      <c r="L95" s="94">
        <v>-3</v>
      </c>
      <c r="M95" s="94">
        <v>8</v>
      </c>
      <c r="N95" s="94">
        <v>-5</v>
      </c>
      <c r="O95" s="94">
        <v>7</v>
      </c>
      <c r="P95" s="94">
        <v>-4</v>
      </c>
      <c r="Q95" s="94" t="s">
        <v>202</v>
      </c>
      <c r="R95" s="94">
        <v>4</v>
      </c>
      <c r="S95" s="94">
        <v>-7</v>
      </c>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5"/>
    </row>
    <row r="96" spans="1:53" s="87" customFormat="1">
      <c r="A96" s="90" t="str">
        <f t="shared" si="26"/>
        <v/>
      </c>
      <c r="B96" s="98">
        <v>13</v>
      </c>
      <c r="C96" s="94">
        <v>1</v>
      </c>
      <c r="D96" s="94">
        <v>-6</v>
      </c>
      <c r="E96" s="94">
        <v>2</v>
      </c>
      <c r="F96" s="94">
        <v>-3</v>
      </c>
      <c r="G96" s="94">
        <v>8</v>
      </c>
      <c r="H96" s="94">
        <v>-5</v>
      </c>
      <c r="I96" s="94">
        <v>7</v>
      </c>
      <c r="J96" s="94">
        <v>-4</v>
      </c>
      <c r="K96" s="94" t="s">
        <v>202</v>
      </c>
      <c r="L96" s="94">
        <v>4</v>
      </c>
      <c r="M96" s="94">
        <v>-7</v>
      </c>
      <c r="N96" s="94">
        <v>5</v>
      </c>
      <c r="O96" s="94">
        <v>-8</v>
      </c>
      <c r="P96" s="94">
        <v>3</v>
      </c>
      <c r="Q96" s="94">
        <v>-2</v>
      </c>
      <c r="R96" s="94">
        <v>6</v>
      </c>
      <c r="S96" s="94">
        <v>-1</v>
      </c>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5"/>
    </row>
    <row r="97" spans="1:53" s="87" customFormat="1">
      <c r="A97" s="90" t="str">
        <f t="shared" si="26"/>
        <v/>
      </c>
      <c r="B97" s="98">
        <v>14</v>
      </c>
      <c r="C97" s="94">
        <v>-6</v>
      </c>
      <c r="D97" s="94">
        <v>2</v>
      </c>
      <c r="E97" s="94">
        <v>-3</v>
      </c>
      <c r="F97" s="94">
        <v>1</v>
      </c>
      <c r="G97" s="94">
        <v>-5</v>
      </c>
      <c r="H97" s="94">
        <v>7</v>
      </c>
      <c r="I97" s="94">
        <v>-4</v>
      </c>
      <c r="J97" s="94" t="s">
        <v>202</v>
      </c>
      <c r="K97" s="94">
        <v>4</v>
      </c>
      <c r="L97" s="94">
        <v>-7</v>
      </c>
      <c r="M97" s="94">
        <v>5</v>
      </c>
      <c r="N97" s="94">
        <v>-1</v>
      </c>
      <c r="O97" s="94">
        <v>3</v>
      </c>
      <c r="P97" s="94">
        <v>-2</v>
      </c>
      <c r="Q97" s="94">
        <v>6</v>
      </c>
      <c r="R97" s="94">
        <v>-8</v>
      </c>
      <c r="S97" s="94">
        <v>1</v>
      </c>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5"/>
    </row>
    <row r="98" spans="1:53" s="87" customFormat="1">
      <c r="A98" s="90" t="str">
        <f t="shared" si="26"/>
        <v/>
      </c>
      <c r="B98" s="98">
        <v>15</v>
      </c>
      <c r="C98" s="94">
        <v>-5</v>
      </c>
      <c r="D98" s="94">
        <v>7</v>
      </c>
      <c r="E98" s="94">
        <v>-4</v>
      </c>
      <c r="F98" s="94" t="s">
        <v>202</v>
      </c>
      <c r="G98" s="94">
        <v>4</v>
      </c>
      <c r="H98" s="94">
        <v>-7</v>
      </c>
      <c r="I98" s="94">
        <v>5</v>
      </c>
      <c r="J98" s="94">
        <v>-1</v>
      </c>
      <c r="K98" s="94">
        <v>3</v>
      </c>
      <c r="L98" s="94">
        <v>-2</v>
      </c>
      <c r="M98" s="94">
        <v>6</v>
      </c>
      <c r="N98" s="94">
        <v>-8</v>
      </c>
      <c r="O98" s="94">
        <v>1</v>
      </c>
      <c r="P98" s="94">
        <v>-6</v>
      </c>
      <c r="Q98" s="94">
        <v>2</v>
      </c>
      <c r="R98" s="94">
        <v>-3</v>
      </c>
      <c r="S98" s="94">
        <v>8</v>
      </c>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5"/>
    </row>
    <row r="99" spans="1:53" s="87" customFormat="1">
      <c r="A99" s="90" t="str">
        <f t="shared" si="26"/>
        <v/>
      </c>
      <c r="B99" s="98">
        <v>16</v>
      </c>
      <c r="C99" s="94">
        <v>3</v>
      </c>
      <c r="D99" s="94">
        <v>-2</v>
      </c>
      <c r="E99" s="94">
        <v>6</v>
      </c>
      <c r="F99" s="94">
        <v>-8</v>
      </c>
      <c r="G99" s="94">
        <v>1</v>
      </c>
      <c r="H99" s="94">
        <v>-6</v>
      </c>
      <c r="I99" s="94">
        <v>2</v>
      </c>
      <c r="J99" s="94">
        <v>-3</v>
      </c>
      <c r="K99" s="94">
        <v>8</v>
      </c>
      <c r="L99" s="94">
        <v>-5</v>
      </c>
      <c r="M99" s="94">
        <v>7</v>
      </c>
      <c r="N99" s="94">
        <v>-4</v>
      </c>
      <c r="O99" s="94" t="s">
        <v>202</v>
      </c>
      <c r="P99" s="94">
        <v>4</v>
      </c>
      <c r="Q99" s="94">
        <v>-7</v>
      </c>
      <c r="R99" s="94">
        <v>5</v>
      </c>
      <c r="S99" s="94">
        <v>-8</v>
      </c>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5"/>
    </row>
    <row r="100" spans="1:53" s="87" customFormat="1">
      <c r="A100" s="90" t="str">
        <f t="shared" si="26"/>
        <v/>
      </c>
      <c r="B100" s="98">
        <v>17</v>
      </c>
      <c r="C100" s="94">
        <v>4</v>
      </c>
      <c r="D100" s="94">
        <v>-7</v>
      </c>
      <c r="E100" s="94">
        <v>5</v>
      </c>
      <c r="F100" s="94">
        <v>-1</v>
      </c>
      <c r="G100" s="94">
        <v>3</v>
      </c>
      <c r="H100" s="94">
        <v>-2</v>
      </c>
      <c r="I100" s="94">
        <v>6</v>
      </c>
      <c r="J100" s="94">
        <v>-8</v>
      </c>
      <c r="K100" s="94">
        <v>1</v>
      </c>
      <c r="L100" s="94">
        <v>-6</v>
      </c>
      <c r="M100" s="94">
        <v>2</v>
      </c>
      <c r="N100" s="94">
        <v>-3</v>
      </c>
      <c r="O100" s="94">
        <v>8</v>
      </c>
      <c r="P100" s="94">
        <v>-5</v>
      </c>
      <c r="Q100" s="94">
        <v>7</v>
      </c>
      <c r="R100" s="94">
        <v>-4</v>
      </c>
      <c r="S100" s="94" t="s">
        <v>202</v>
      </c>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5"/>
    </row>
    <row r="101" spans="1:53" s="87" customFormat="1">
      <c r="A101" s="90" t="str">
        <f t="shared" si="26"/>
        <v/>
      </c>
      <c r="B101" s="317" t="s">
        <v>1043</v>
      </c>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5"/>
    </row>
    <row r="102" spans="1:53" s="87" customFormat="1">
      <c r="A102" s="90">
        <f t="shared" si="26"/>
        <v>102</v>
      </c>
      <c r="B102" s="98" t="s">
        <v>451</v>
      </c>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5"/>
    </row>
    <row r="103" spans="1:53" s="87" customFormat="1">
      <c r="A103" s="90" t="str">
        <f t="shared" si="26"/>
        <v/>
      </c>
      <c r="B103" s="98">
        <v>1</v>
      </c>
      <c r="C103" s="94">
        <v>5</v>
      </c>
      <c r="D103" s="94">
        <v>-7</v>
      </c>
      <c r="E103" s="94">
        <v>-8</v>
      </c>
      <c r="F103" s="94" t="s">
        <v>202</v>
      </c>
      <c r="G103" s="94">
        <v>3</v>
      </c>
      <c r="H103" s="94">
        <v>-5</v>
      </c>
      <c r="I103" s="94">
        <v>2</v>
      </c>
      <c r="J103" s="94">
        <v>-6</v>
      </c>
      <c r="K103" s="94">
        <v>4</v>
      </c>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5"/>
    </row>
    <row r="104" spans="1:53" s="87" customFormat="1">
      <c r="A104" s="90" t="str">
        <f t="shared" si="26"/>
        <v/>
      </c>
      <c r="B104" s="98">
        <v>2</v>
      </c>
      <c r="C104" s="94">
        <v>6</v>
      </c>
      <c r="D104" s="94">
        <v>-1</v>
      </c>
      <c r="E104" s="94">
        <v>5</v>
      </c>
      <c r="F104" s="94">
        <v>-2</v>
      </c>
      <c r="G104" s="94">
        <v>8</v>
      </c>
      <c r="H104" s="94" t="s">
        <v>202</v>
      </c>
      <c r="I104" s="94">
        <v>7</v>
      </c>
      <c r="J104" s="94">
        <v>-3</v>
      </c>
      <c r="K104" s="94">
        <v>-4</v>
      </c>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5"/>
    </row>
    <row r="105" spans="1:53" s="87" customFormat="1">
      <c r="A105" s="90" t="str">
        <f t="shared" si="26"/>
        <v/>
      </c>
      <c r="B105" s="98">
        <v>3</v>
      </c>
      <c r="C105" s="94" t="s">
        <v>202</v>
      </c>
      <c r="D105" s="94">
        <v>2</v>
      </c>
      <c r="E105" s="94">
        <v>1</v>
      </c>
      <c r="F105" s="94">
        <v>-4</v>
      </c>
      <c r="G105" s="94">
        <v>-6</v>
      </c>
      <c r="H105" s="94">
        <v>7</v>
      </c>
      <c r="I105" s="94">
        <v>-2</v>
      </c>
      <c r="J105" s="94">
        <v>3</v>
      </c>
      <c r="K105" s="94">
        <v>-5</v>
      </c>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5"/>
    </row>
    <row r="106" spans="1:53" s="87" customFormat="1">
      <c r="A106" s="90" t="str">
        <f t="shared" si="26"/>
        <v/>
      </c>
      <c r="B106" s="98">
        <v>4</v>
      </c>
      <c r="C106" s="94">
        <v>-2</v>
      </c>
      <c r="D106" s="94" t="s">
        <v>202</v>
      </c>
      <c r="E106" s="94">
        <v>8</v>
      </c>
      <c r="F106" s="94">
        <v>-6</v>
      </c>
      <c r="G106" s="94">
        <v>1</v>
      </c>
      <c r="H106" s="94">
        <v>3</v>
      </c>
      <c r="I106" s="94">
        <v>-7</v>
      </c>
      <c r="J106" s="94">
        <v>-4</v>
      </c>
      <c r="K106" s="94">
        <v>5</v>
      </c>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5"/>
    </row>
    <row r="107" spans="1:53" s="87" customFormat="1">
      <c r="A107" s="90" t="str">
        <f t="shared" si="26"/>
        <v/>
      </c>
      <c r="B107" s="98">
        <v>5</v>
      </c>
      <c r="C107" s="94">
        <v>-4</v>
      </c>
      <c r="D107" s="94">
        <v>8</v>
      </c>
      <c r="E107" s="94">
        <v>-5</v>
      </c>
      <c r="F107" s="94">
        <v>4</v>
      </c>
      <c r="G107" s="94">
        <v>-1</v>
      </c>
      <c r="H107" s="94">
        <v>-2</v>
      </c>
      <c r="I107" s="94" t="s">
        <v>202</v>
      </c>
      <c r="J107" s="94">
        <v>6</v>
      </c>
      <c r="K107" s="94">
        <v>3</v>
      </c>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5"/>
    </row>
    <row r="108" spans="1:53" s="87" customFormat="1">
      <c r="A108" s="90" t="str">
        <f t="shared" si="26"/>
        <v/>
      </c>
      <c r="B108" s="98">
        <v>6</v>
      </c>
      <c r="C108" s="94">
        <v>2</v>
      </c>
      <c r="D108" s="94">
        <v>1</v>
      </c>
      <c r="E108" s="94">
        <v>-4</v>
      </c>
      <c r="F108" s="94">
        <v>-7</v>
      </c>
      <c r="G108" s="94">
        <v>6</v>
      </c>
      <c r="H108" s="94">
        <v>5</v>
      </c>
      <c r="I108" s="94">
        <v>-8</v>
      </c>
      <c r="J108" s="94" t="s">
        <v>202</v>
      </c>
      <c r="K108" s="94">
        <v>-3</v>
      </c>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5"/>
    </row>
    <row r="109" spans="1:53" s="87" customFormat="1">
      <c r="A109" s="90" t="str">
        <f t="shared" si="26"/>
        <v/>
      </c>
      <c r="B109" s="98">
        <v>7</v>
      </c>
      <c r="C109" s="94">
        <v>-5</v>
      </c>
      <c r="D109" s="94">
        <v>-2</v>
      </c>
      <c r="E109" s="94" t="s">
        <v>202</v>
      </c>
      <c r="F109" s="94">
        <v>7</v>
      </c>
      <c r="G109" s="94">
        <v>-8</v>
      </c>
      <c r="H109" s="94">
        <v>2</v>
      </c>
      <c r="I109" s="94">
        <v>-1</v>
      </c>
      <c r="J109" s="94">
        <v>4</v>
      </c>
      <c r="K109" s="94">
        <v>6</v>
      </c>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5"/>
    </row>
    <row r="110" spans="1:53" s="87" customFormat="1">
      <c r="A110" s="90" t="str">
        <f t="shared" si="26"/>
        <v/>
      </c>
      <c r="B110" s="98">
        <v>8</v>
      </c>
      <c r="C110" s="94">
        <v>4</v>
      </c>
      <c r="D110" s="94">
        <v>7</v>
      </c>
      <c r="E110" s="94">
        <v>-1</v>
      </c>
      <c r="F110" s="94">
        <v>2</v>
      </c>
      <c r="G110" s="94" t="s">
        <v>202</v>
      </c>
      <c r="H110" s="94">
        <v>-3</v>
      </c>
      <c r="I110" s="94">
        <v>8</v>
      </c>
      <c r="J110" s="94">
        <v>-5</v>
      </c>
      <c r="K110" s="94">
        <v>-6</v>
      </c>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5"/>
    </row>
    <row r="111" spans="1:53" s="87" customFormat="1">
      <c r="A111" s="90" t="str">
        <f t="shared" si="26"/>
        <v/>
      </c>
      <c r="B111" s="99">
        <v>9</v>
      </c>
      <c r="C111" s="92">
        <v>-6</v>
      </c>
      <c r="D111" s="92">
        <v>-8</v>
      </c>
      <c r="E111" s="92">
        <v>4</v>
      </c>
      <c r="F111" s="92">
        <v>6</v>
      </c>
      <c r="G111" s="92">
        <v>-3</v>
      </c>
      <c r="H111" s="92">
        <v>-7</v>
      </c>
      <c r="I111" s="92">
        <v>1</v>
      </c>
      <c r="J111" s="92">
        <v>5</v>
      </c>
      <c r="K111" s="92" t="s">
        <v>202</v>
      </c>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5"/>
    </row>
    <row r="112" spans="1:53" s="87" customFormat="1">
      <c r="A112" s="90" t="str">
        <f t="shared" si="26"/>
        <v/>
      </c>
      <c r="B112" s="98">
        <v>10</v>
      </c>
      <c r="C112" s="94" t="s">
        <v>250</v>
      </c>
      <c r="D112" s="94">
        <v>-5</v>
      </c>
      <c r="E112" s="94">
        <v>-6</v>
      </c>
      <c r="F112" s="94">
        <v>3</v>
      </c>
      <c r="G112" s="94">
        <v>7</v>
      </c>
      <c r="H112" s="94">
        <v>-8</v>
      </c>
      <c r="I112" s="94">
        <v>-4</v>
      </c>
      <c r="J112" s="94">
        <v>1</v>
      </c>
      <c r="K112" s="94">
        <v>2</v>
      </c>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5"/>
    </row>
    <row r="113" spans="1:53" s="87" customFormat="1">
      <c r="A113" s="90" t="str">
        <f t="shared" si="26"/>
        <v/>
      </c>
      <c r="B113" s="98">
        <v>11</v>
      </c>
      <c r="C113" s="94" t="s">
        <v>250</v>
      </c>
      <c r="D113" s="94">
        <v>6</v>
      </c>
      <c r="E113" s="94">
        <v>7</v>
      </c>
      <c r="F113" s="94">
        <v>-1</v>
      </c>
      <c r="G113" s="94">
        <v>5</v>
      </c>
      <c r="H113" s="94">
        <v>-4</v>
      </c>
      <c r="I113" s="94">
        <v>3</v>
      </c>
      <c r="J113" s="94">
        <v>-8</v>
      </c>
      <c r="K113" s="94">
        <v>-2</v>
      </c>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5"/>
    </row>
    <row r="114" spans="1:53" s="87" customFormat="1">
      <c r="A114" s="90" t="str">
        <f t="shared" si="26"/>
        <v/>
      </c>
      <c r="B114" s="98">
        <v>12</v>
      </c>
      <c r="C114" s="94" t="s">
        <v>250</v>
      </c>
      <c r="D114" s="94">
        <v>5</v>
      </c>
      <c r="E114" s="94">
        <v>-2</v>
      </c>
      <c r="F114" s="94">
        <v>-8</v>
      </c>
      <c r="G114" s="94">
        <v>4</v>
      </c>
      <c r="H114" s="94">
        <v>6</v>
      </c>
      <c r="I114" s="94">
        <v>-3</v>
      </c>
      <c r="J114" s="94">
        <v>-1</v>
      </c>
      <c r="K114" s="94">
        <v>7</v>
      </c>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5"/>
    </row>
    <row r="115" spans="1:53" s="87" customFormat="1">
      <c r="A115" s="90" t="str">
        <f t="shared" si="26"/>
        <v/>
      </c>
      <c r="B115" s="98">
        <v>13</v>
      </c>
      <c r="C115" s="94" t="s">
        <v>250</v>
      </c>
      <c r="D115" s="94">
        <v>-6</v>
      </c>
      <c r="E115" s="94">
        <v>3</v>
      </c>
      <c r="F115" s="94">
        <v>-5</v>
      </c>
      <c r="G115" s="94">
        <v>2</v>
      </c>
      <c r="H115" s="94">
        <v>-1</v>
      </c>
      <c r="I115" s="94">
        <v>4</v>
      </c>
      <c r="J115" s="94">
        <v>8</v>
      </c>
      <c r="K115" s="94">
        <v>-7</v>
      </c>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5"/>
    </row>
    <row r="116" spans="1:53" s="87" customFormat="1">
      <c r="A116" s="90" t="str">
        <f t="shared" si="26"/>
        <v/>
      </c>
      <c r="B116" s="98">
        <v>14</v>
      </c>
      <c r="C116" s="94" t="s">
        <v>250</v>
      </c>
      <c r="D116" s="94">
        <v>3</v>
      </c>
      <c r="E116" s="94">
        <v>-7</v>
      </c>
      <c r="F116" s="94">
        <v>5</v>
      </c>
      <c r="G116" s="94">
        <v>-4</v>
      </c>
      <c r="H116" s="94">
        <v>8</v>
      </c>
      <c r="I116" s="94">
        <v>-6</v>
      </c>
      <c r="J116" s="94">
        <v>-2</v>
      </c>
      <c r="K116" s="94">
        <v>1</v>
      </c>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5"/>
    </row>
    <row r="117" spans="1:53" s="87" customFormat="1">
      <c r="A117" s="90" t="str">
        <f t="shared" si="26"/>
        <v/>
      </c>
      <c r="B117" s="98">
        <v>15</v>
      </c>
      <c r="C117" s="94" t="s">
        <v>250</v>
      </c>
      <c r="D117" s="94">
        <v>-3</v>
      </c>
      <c r="E117" s="94">
        <v>6</v>
      </c>
      <c r="F117" s="94">
        <v>8</v>
      </c>
      <c r="G117" s="94">
        <v>-2</v>
      </c>
      <c r="H117" s="94">
        <v>4</v>
      </c>
      <c r="I117" s="94">
        <v>-5</v>
      </c>
      <c r="J117" s="94">
        <v>7</v>
      </c>
      <c r="K117" s="94">
        <v>-1</v>
      </c>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5"/>
    </row>
    <row r="118" spans="1:53" s="87" customFormat="1">
      <c r="A118" s="90" t="str">
        <f t="shared" si="26"/>
        <v/>
      </c>
      <c r="B118" s="98">
        <v>16</v>
      </c>
      <c r="C118" s="94" t="s">
        <v>250</v>
      </c>
      <c r="D118" s="94">
        <v>4</v>
      </c>
      <c r="E118" s="94">
        <v>-3</v>
      </c>
      <c r="F118" s="94">
        <v>1</v>
      </c>
      <c r="G118" s="94">
        <v>-7</v>
      </c>
      <c r="H118" s="94">
        <v>-6</v>
      </c>
      <c r="I118" s="94">
        <v>5</v>
      </c>
      <c r="J118" s="94">
        <v>2</v>
      </c>
      <c r="K118" s="94">
        <v>-8</v>
      </c>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5"/>
    </row>
    <row r="119" spans="1:53" s="87" customFormat="1">
      <c r="A119" s="90" t="str">
        <f t="shared" si="26"/>
        <v/>
      </c>
      <c r="B119" s="98">
        <v>17</v>
      </c>
      <c r="C119" s="94" t="s">
        <v>250</v>
      </c>
      <c r="D119" s="94">
        <v>-4</v>
      </c>
      <c r="E119" s="94">
        <v>2</v>
      </c>
      <c r="F119" s="94">
        <v>-3</v>
      </c>
      <c r="G119" s="94">
        <v>-5</v>
      </c>
      <c r="H119" s="94">
        <v>1</v>
      </c>
      <c r="I119" s="94">
        <v>6</v>
      </c>
      <c r="J119" s="94">
        <v>-7</v>
      </c>
      <c r="K119" s="94">
        <v>8</v>
      </c>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5"/>
    </row>
    <row r="120" spans="1:53" s="87" customFormat="1">
      <c r="A120" s="90" t="str">
        <f t="shared" si="26"/>
        <v/>
      </c>
      <c r="B120" s="98" t="s">
        <v>452</v>
      </c>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5"/>
    </row>
    <row r="121" spans="1:53" s="87" customFormat="1">
      <c r="A121" s="90">
        <f t="shared" si="26"/>
        <v>121</v>
      </c>
      <c r="B121" s="98" t="s">
        <v>453</v>
      </c>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5"/>
    </row>
    <row r="122" spans="1:53" s="87" customFormat="1">
      <c r="A122" s="90" t="str">
        <f t="shared" si="26"/>
        <v/>
      </c>
      <c r="B122" s="98">
        <v>1</v>
      </c>
      <c r="C122" s="94">
        <v>-2</v>
      </c>
      <c r="D122" s="94">
        <v>5</v>
      </c>
      <c r="E122" s="94">
        <v>3</v>
      </c>
      <c r="F122" s="94">
        <v>-6</v>
      </c>
      <c r="G122" s="94">
        <v>-4</v>
      </c>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5"/>
    </row>
    <row r="123" spans="1:53" s="87" customFormat="1">
      <c r="A123" s="90" t="str">
        <f t="shared" si="26"/>
        <v/>
      </c>
      <c r="B123" s="98">
        <v>2</v>
      </c>
      <c r="C123" s="94">
        <v>1</v>
      </c>
      <c r="D123" s="94">
        <v>-2</v>
      </c>
      <c r="E123" s="94">
        <v>7</v>
      </c>
      <c r="F123" s="94">
        <v>-3</v>
      </c>
      <c r="G123" s="94">
        <v>4</v>
      </c>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5"/>
    </row>
    <row r="124" spans="1:53" s="87" customFormat="1">
      <c r="A124" s="90" t="str">
        <f t="shared" si="26"/>
        <v/>
      </c>
      <c r="B124" s="98">
        <v>3</v>
      </c>
      <c r="C124" s="94">
        <v>-8</v>
      </c>
      <c r="D124" s="94">
        <v>2</v>
      </c>
      <c r="E124" s="94">
        <v>-3</v>
      </c>
      <c r="F124" s="94">
        <v>-4</v>
      </c>
      <c r="G124" s="94">
        <v>5</v>
      </c>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5"/>
    </row>
    <row r="125" spans="1:53" s="87" customFormat="1">
      <c r="A125" s="90" t="str">
        <f t="shared" si="26"/>
        <v/>
      </c>
      <c r="B125" s="98">
        <v>4</v>
      </c>
      <c r="C125" s="94">
        <v>2</v>
      </c>
      <c r="D125" s="94">
        <v>4</v>
      </c>
      <c r="E125" s="94">
        <v>-8</v>
      </c>
      <c r="F125" s="94">
        <v>3</v>
      </c>
      <c r="G125" s="94">
        <v>-5</v>
      </c>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5"/>
    </row>
    <row r="126" spans="1:53" s="87" customFormat="1">
      <c r="A126" s="90" t="str">
        <f t="shared" si="26"/>
        <v/>
      </c>
      <c r="B126" s="98">
        <v>5</v>
      </c>
      <c r="C126" s="94">
        <v>8</v>
      </c>
      <c r="D126" s="94">
        <v>-4</v>
      </c>
      <c r="E126" s="94">
        <v>-7</v>
      </c>
      <c r="F126" s="94">
        <v>6</v>
      </c>
      <c r="G126" s="94">
        <v>3</v>
      </c>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c r="AW126" s="94"/>
      <c r="AX126" s="94"/>
      <c r="AY126" s="94"/>
      <c r="AZ126" s="94"/>
      <c r="BA126" s="95"/>
    </row>
    <row r="127" spans="1:53" s="87" customFormat="1">
      <c r="A127" s="90" t="str">
        <f t="shared" si="26"/>
        <v/>
      </c>
      <c r="B127" s="99">
        <v>6</v>
      </c>
      <c r="C127" s="92">
        <v>-1</v>
      </c>
      <c r="D127" s="92">
        <v>-5</v>
      </c>
      <c r="E127" s="92">
        <v>8</v>
      </c>
      <c r="F127" s="92">
        <v>4</v>
      </c>
      <c r="G127" s="92">
        <v>-3</v>
      </c>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AZ127" s="94"/>
      <c r="BA127" s="95"/>
    </row>
    <row r="128" spans="1:53" s="87" customFormat="1">
      <c r="A128" s="90" t="str">
        <f t="shared" si="26"/>
        <v/>
      </c>
      <c r="B128" s="98">
        <v>7</v>
      </c>
      <c r="C128" s="94">
        <v>3</v>
      </c>
      <c r="D128" s="94">
        <v>-1</v>
      </c>
      <c r="E128" s="94">
        <v>-4</v>
      </c>
      <c r="F128" s="94">
        <v>5</v>
      </c>
      <c r="G128" s="94">
        <v>6</v>
      </c>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5"/>
    </row>
    <row r="129" spans="1:53" s="87" customFormat="1">
      <c r="A129" s="90" t="str">
        <f t="shared" si="26"/>
        <v/>
      </c>
      <c r="B129" s="98">
        <v>8</v>
      </c>
      <c r="C129" s="94">
        <v>-7</v>
      </c>
      <c r="D129" s="94">
        <v>-3</v>
      </c>
      <c r="E129" s="94">
        <v>5</v>
      </c>
      <c r="F129" s="94">
        <v>8</v>
      </c>
      <c r="G129" s="94">
        <v>-6</v>
      </c>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5"/>
    </row>
    <row r="130" spans="1:53" s="87" customFormat="1">
      <c r="A130" s="90" t="str">
        <f t="shared" si="26"/>
        <v/>
      </c>
      <c r="B130" s="98">
        <v>9</v>
      </c>
      <c r="C130" s="94">
        <v>7</v>
      </c>
      <c r="D130" s="94">
        <v>-8</v>
      </c>
      <c r="E130" s="94">
        <v>6</v>
      </c>
      <c r="F130" s="94">
        <v>-5</v>
      </c>
      <c r="G130" s="94">
        <v>-2</v>
      </c>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5"/>
    </row>
    <row r="131" spans="1:53" s="87" customFormat="1">
      <c r="A131" s="90" t="str">
        <f t="shared" si="26"/>
        <v/>
      </c>
      <c r="B131" s="98">
        <v>10</v>
      </c>
      <c r="C131" s="94">
        <v>-5</v>
      </c>
      <c r="D131" s="94">
        <v>3</v>
      </c>
      <c r="E131" s="94">
        <v>4</v>
      </c>
      <c r="F131" s="94">
        <v>-1</v>
      </c>
      <c r="G131" s="94">
        <v>2</v>
      </c>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5"/>
    </row>
    <row r="132" spans="1:53" s="87" customFormat="1">
      <c r="A132" s="90" t="str">
        <f t="shared" si="26"/>
        <v/>
      </c>
      <c r="B132" s="98">
        <v>11</v>
      </c>
      <c r="C132" s="94">
        <v>5</v>
      </c>
      <c r="D132" s="94">
        <v>1</v>
      </c>
      <c r="E132" s="94">
        <v>-6</v>
      </c>
      <c r="F132" s="94">
        <v>-8</v>
      </c>
      <c r="G132" s="94">
        <v>7</v>
      </c>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5"/>
    </row>
    <row r="133" spans="1:53" s="87" customFormat="1">
      <c r="A133" s="90" t="str">
        <f t="shared" si="26"/>
        <v/>
      </c>
      <c r="B133" s="99">
        <v>12</v>
      </c>
      <c r="C133" s="92">
        <v>-3</v>
      </c>
      <c r="D133" s="92">
        <v>8</v>
      </c>
      <c r="E133" s="92">
        <v>-5</v>
      </c>
      <c r="F133" s="92">
        <v>1</v>
      </c>
      <c r="G133" s="92">
        <v>-7</v>
      </c>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c r="AW133" s="94"/>
      <c r="AX133" s="94"/>
      <c r="AY133" s="94"/>
      <c r="AZ133" s="94"/>
      <c r="BA133" s="95"/>
    </row>
    <row r="134" spans="1:53" s="87" customFormat="1">
      <c r="A134" s="90" t="str">
        <f t="shared" si="26"/>
        <v/>
      </c>
      <c r="B134" s="98">
        <v>13</v>
      </c>
      <c r="C134" s="94">
        <v>-4</v>
      </c>
      <c r="D134" s="94">
        <v>6</v>
      </c>
      <c r="E134" s="94" t="s">
        <v>202</v>
      </c>
      <c r="F134" s="94">
        <v>-2</v>
      </c>
      <c r="G134" s="94">
        <v>1</v>
      </c>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c r="AZ134" s="94"/>
      <c r="BA134" s="95"/>
    </row>
    <row r="135" spans="1:53" s="87" customFormat="1">
      <c r="A135" s="90" t="str">
        <f t="shared" si="26"/>
        <v/>
      </c>
      <c r="B135" s="98">
        <v>14</v>
      </c>
      <c r="C135" s="94">
        <v>6</v>
      </c>
      <c r="D135" s="94" t="s">
        <v>202</v>
      </c>
      <c r="E135" s="94">
        <v>2</v>
      </c>
      <c r="F135" s="94">
        <v>-7</v>
      </c>
      <c r="G135" s="94">
        <v>-1</v>
      </c>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5"/>
    </row>
    <row r="136" spans="1:53" s="87" customFormat="1">
      <c r="A136" s="90" t="str">
        <f t="shared" si="26"/>
        <v/>
      </c>
      <c r="B136" s="98">
        <v>15</v>
      </c>
      <c r="C136" s="94">
        <v>4</v>
      </c>
      <c r="D136" s="94">
        <v>7</v>
      </c>
      <c r="E136" s="94">
        <v>-2</v>
      </c>
      <c r="F136" s="94" t="s">
        <v>202</v>
      </c>
      <c r="G136" s="94">
        <v>-8</v>
      </c>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5"/>
    </row>
    <row r="137" spans="1:53" s="87" customFormat="1">
      <c r="A137" s="90" t="str">
        <f t="shared" si="26"/>
        <v/>
      </c>
      <c r="B137" s="98">
        <v>16</v>
      </c>
      <c r="C137" s="94" t="s">
        <v>202</v>
      </c>
      <c r="D137" s="94">
        <v>-6</v>
      </c>
      <c r="E137" s="94">
        <v>-1</v>
      </c>
      <c r="F137" s="94">
        <v>7</v>
      </c>
      <c r="G137" s="94">
        <v>8</v>
      </c>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5"/>
    </row>
    <row r="138" spans="1:53" s="87" customFormat="1">
      <c r="A138" s="90" t="str">
        <f t="shared" si="26"/>
        <v/>
      </c>
      <c r="B138" s="98">
        <v>17</v>
      </c>
      <c r="C138" s="94">
        <v>-6</v>
      </c>
      <c r="D138" s="94">
        <v>-7</v>
      </c>
      <c r="E138" s="94">
        <v>1</v>
      </c>
      <c r="F138" s="94">
        <v>2</v>
      </c>
      <c r="G138" s="94" t="s">
        <v>202</v>
      </c>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5"/>
    </row>
    <row r="139" spans="1:53" s="87" customFormat="1">
      <c r="A139" s="90" t="str">
        <f t="shared" si="26"/>
        <v/>
      </c>
      <c r="B139" s="98" t="s">
        <v>447</v>
      </c>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5"/>
    </row>
    <row r="140" spans="1:53" s="87" customFormat="1">
      <c r="A140" s="90">
        <f t="shared" ref="A140:A203" si="27">IF(MID(B140,3,2)="08",ROW(),"")</f>
        <v>140</v>
      </c>
      <c r="B140" s="98" t="s">
        <v>454</v>
      </c>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c r="AZ140" s="94"/>
      <c r="BA140" s="95"/>
    </row>
    <row r="141" spans="1:53" s="87" customFormat="1">
      <c r="A141" s="90" t="str">
        <f t="shared" si="27"/>
        <v/>
      </c>
      <c r="B141" s="98">
        <v>1</v>
      </c>
      <c r="C141" s="94">
        <v>-2</v>
      </c>
      <c r="D141" s="94" t="s">
        <v>202</v>
      </c>
      <c r="E141" s="94">
        <v>-6</v>
      </c>
      <c r="F141" s="94">
        <v>3</v>
      </c>
      <c r="G141" s="94">
        <v>4</v>
      </c>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5"/>
    </row>
    <row r="142" spans="1:53" s="87" customFormat="1">
      <c r="A142" s="90" t="str">
        <f t="shared" si="27"/>
        <v/>
      </c>
      <c r="B142" s="98">
        <v>2</v>
      </c>
      <c r="C142" s="94">
        <v>3</v>
      </c>
      <c r="D142" s="94">
        <v>1</v>
      </c>
      <c r="E142" s="94" t="s">
        <v>202</v>
      </c>
      <c r="F142" s="94">
        <v>-5</v>
      </c>
      <c r="G142" s="94">
        <v>-4</v>
      </c>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5"/>
    </row>
    <row r="143" spans="1:53" s="87" customFormat="1">
      <c r="A143" s="90" t="str">
        <f t="shared" si="27"/>
        <v/>
      </c>
      <c r="B143" s="98">
        <v>3</v>
      </c>
      <c r="C143" s="94" t="s">
        <v>202</v>
      </c>
      <c r="D143" s="94">
        <v>-1</v>
      </c>
      <c r="E143" s="94">
        <v>7</v>
      </c>
      <c r="F143" s="94">
        <v>-3</v>
      </c>
      <c r="G143" s="94">
        <v>5</v>
      </c>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5"/>
    </row>
    <row r="144" spans="1:53" s="87" customFormat="1">
      <c r="A144" s="90" t="str">
        <f t="shared" si="27"/>
        <v/>
      </c>
      <c r="B144" s="98">
        <v>4</v>
      </c>
      <c r="C144" s="94">
        <v>-3</v>
      </c>
      <c r="D144" s="94">
        <v>8</v>
      </c>
      <c r="E144" s="94">
        <v>6</v>
      </c>
      <c r="F144" s="94" t="s">
        <v>202</v>
      </c>
      <c r="G144" s="94">
        <v>-5</v>
      </c>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5"/>
    </row>
    <row r="145" spans="1:53" s="87" customFormat="1">
      <c r="A145" s="90" t="str">
        <f t="shared" si="27"/>
        <v/>
      </c>
      <c r="B145" s="99">
        <v>5</v>
      </c>
      <c r="C145" s="92">
        <v>2</v>
      </c>
      <c r="D145" s="92">
        <v>-8</v>
      </c>
      <c r="E145" s="92">
        <v>-7</v>
      </c>
      <c r="F145" s="92">
        <v>5</v>
      </c>
      <c r="G145" s="92" t="s">
        <v>202</v>
      </c>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5"/>
    </row>
    <row r="146" spans="1:53" s="87" customFormat="1">
      <c r="A146" s="90" t="str">
        <f t="shared" si="27"/>
        <v/>
      </c>
      <c r="B146" s="98">
        <v>6</v>
      </c>
      <c r="C146" s="94" t="s">
        <v>210</v>
      </c>
      <c r="D146" s="94">
        <v>-5</v>
      </c>
      <c r="E146" s="94">
        <v>-1</v>
      </c>
      <c r="F146" s="94">
        <v>4</v>
      </c>
      <c r="G146" s="94">
        <v>3</v>
      </c>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5"/>
    </row>
    <row r="147" spans="1:53" s="87" customFormat="1">
      <c r="A147" s="90" t="str">
        <f t="shared" si="27"/>
        <v/>
      </c>
      <c r="B147" s="98">
        <v>7</v>
      </c>
      <c r="C147" s="94" t="s">
        <v>210</v>
      </c>
      <c r="D147" s="94">
        <v>6</v>
      </c>
      <c r="E147" s="94">
        <v>8</v>
      </c>
      <c r="F147" s="94">
        <v>-2</v>
      </c>
      <c r="G147" s="94">
        <v>-3</v>
      </c>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5"/>
    </row>
    <row r="148" spans="1:53" s="87" customFormat="1">
      <c r="A148" s="90" t="str">
        <f t="shared" si="27"/>
        <v/>
      </c>
      <c r="B148" s="98">
        <v>8</v>
      </c>
      <c r="C148" s="94" t="s">
        <v>210</v>
      </c>
      <c r="D148" s="94">
        <v>7</v>
      </c>
      <c r="E148" s="94">
        <v>-8</v>
      </c>
      <c r="F148" s="94">
        <v>-4</v>
      </c>
      <c r="G148" s="94">
        <v>6</v>
      </c>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5"/>
    </row>
    <row r="149" spans="1:53" s="87" customFormat="1">
      <c r="A149" s="90" t="str">
        <f t="shared" si="27"/>
        <v/>
      </c>
      <c r="B149" s="99">
        <v>9</v>
      </c>
      <c r="C149" s="92" t="s">
        <v>210</v>
      </c>
      <c r="D149" s="92">
        <v>-4</v>
      </c>
      <c r="E149" s="92">
        <v>1</v>
      </c>
      <c r="F149" s="92">
        <v>2</v>
      </c>
      <c r="G149" s="92">
        <v>-6</v>
      </c>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5"/>
    </row>
    <row r="150" spans="1:53" s="87" customFormat="1">
      <c r="A150" s="90" t="str">
        <f t="shared" si="27"/>
        <v/>
      </c>
      <c r="B150" s="98">
        <v>10</v>
      </c>
      <c r="C150" s="94" t="s">
        <v>210</v>
      </c>
      <c r="D150" s="94">
        <v>5</v>
      </c>
      <c r="E150" s="94">
        <v>4</v>
      </c>
      <c r="F150" s="94">
        <v>-1</v>
      </c>
      <c r="G150" s="94">
        <v>-2</v>
      </c>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c r="AW150" s="94"/>
      <c r="AX150" s="94"/>
      <c r="AY150" s="94"/>
      <c r="AZ150" s="94"/>
      <c r="BA150" s="95"/>
    </row>
    <row r="151" spans="1:53" s="87" customFormat="1">
      <c r="A151" s="90" t="str">
        <f t="shared" si="27"/>
        <v/>
      </c>
      <c r="B151" s="98">
        <v>11</v>
      </c>
      <c r="C151" s="94" t="s">
        <v>210</v>
      </c>
      <c r="D151" s="94">
        <v>-6</v>
      </c>
      <c r="E151" s="94">
        <v>-5</v>
      </c>
      <c r="F151" s="94">
        <v>8</v>
      </c>
      <c r="G151" s="94">
        <v>2</v>
      </c>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5"/>
    </row>
    <row r="152" spans="1:53" s="87" customFormat="1">
      <c r="A152" s="90" t="str">
        <f t="shared" si="27"/>
        <v/>
      </c>
      <c r="B152" s="98">
        <v>12</v>
      </c>
      <c r="C152" s="94" t="s">
        <v>210</v>
      </c>
      <c r="D152" s="94">
        <v>-3</v>
      </c>
      <c r="E152" s="94">
        <v>5</v>
      </c>
      <c r="F152" s="94">
        <v>1</v>
      </c>
      <c r="G152" s="94">
        <v>-7</v>
      </c>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5"/>
    </row>
    <row r="153" spans="1:53" s="87" customFormat="1">
      <c r="A153" s="90" t="str">
        <f t="shared" si="27"/>
        <v/>
      </c>
      <c r="B153" s="99">
        <v>13</v>
      </c>
      <c r="C153" s="92" t="s">
        <v>210</v>
      </c>
      <c r="D153" s="92">
        <v>2</v>
      </c>
      <c r="E153" s="92">
        <v>-4</v>
      </c>
      <c r="F153" s="92">
        <v>-8</v>
      </c>
      <c r="G153" s="92">
        <v>7</v>
      </c>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5"/>
    </row>
    <row r="154" spans="1:53" s="87" customFormat="1">
      <c r="A154" s="90" t="str">
        <f t="shared" si="27"/>
        <v/>
      </c>
      <c r="B154" s="98">
        <v>14</v>
      </c>
      <c r="C154" s="94" t="s">
        <v>210</v>
      </c>
      <c r="D154" s="94">
        <v>-7</v>
      </c>
      <c r="E154" s="94">
        <v>-3</v>
      </c>
      <c r="F154" s="94">
        <v>6</v>
      </c>
      <c r="G154" s="94">
        <v>1</v>
      </c>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5"/>
    </row>
    <row r="155" spans="1:53" s="87" customFormat="1">
      <c r="A155" s="90" t="str">
        <f t="shared" si="27"/>
        <v/>
      </c>
      <c r="B155" s="98">
        <v>15</v>
      </c>
      <c r="C155" s="94" t="s">
        <v>210</v>
      </c>
      <c r="D155" s="94">
        <v>4</v>
      </c>
      <c r="E155" s="94">
        <v>2</v>
      </c>
      <c r="F155" s="94">
        <v>-7</v>
      </c>
      <c r="G155" s="94">
        <v>-1</v>
      </c>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5"/>
    </row>
    <row r="156" spans="1:53" s="87" customFormat="1">
      <c r="A156" s="90" t="str">
        <f t="shared" si="27"/>
        <v/>
      </c>
      <c r="B156" s="98">
        <v>16</v>
      </c>
      <c r="C156" s="94" t="s">
        <v>210</v>
      </c>
      <c r="D156" s="94">
        <v>3</v>
      </c>
      <c r="E156" s="94">
        <v>-2</v>
      </c>
      <c r="F156" s="94">
        <v>-6</v>
      </c>
      <c r="G156" s="94">
        <v>8</v>
      </c>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5"/>
    </row>
    <row r="157" spans="1:53" s="87" customFormat="1">
      <c r="A157" s="90" t="str">
        <f t="shared" si="27"/>
        <v/>
      </c>
      <c r="B157" s="98">
        <v>17</v>
      </c>
      <c r="C157" s="94" t="s">
        <v>210</v>
      </c>
      <c r="D157" s="94">
        <v>-2</v>
      </c>
      <c r="E157" s="94">
        <v>3</v>
      </c>
      <c r="F157" s="94">
        <v>7</v>
      </c>
      <c r="G157" s="94">
        <v>-8</v>
      </c>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c r="AW157" s="94"/>
      <c r="AX157" s="94"/>
      <c r="AY157" s="94"/>
      <c r="AZ157" s="94"/>
      <c r="BA157" s="95"/>
    </row>
    <row r="158" spans="1:53" s="87" customFormat="1">
      <c r="A158" s="90" t="str">
        <f t="shared" si="27"/>
        <v/>
      </c>
      <c r="B158" s="98" t="s">
        <v>455</v>
      </c>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5"/>
    </row>
    <row r="159" spans="1:53" s="87" customFormat="1">
      <c r="A159" s="90">
        <f t="shared" si="27"/>
        <v>159</v>
      </c>
      <c r="B159" s="98" t="s">
        <v>456</v>
      </c>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5"/>
    </row>
    <row r="160" spans="1:53" s="87" customFormat="1">
      <c r="A160" s="90" t="str">
        <f t="shared" si="27"/>
        <v/>
      </c>
      <c r="B160" s="98">
        <v>1</v>
      </c>
      <c r="C160" s="94">
        <v>-8</v>
      </c>
      <c r="D160" s="94">
        <v>4</v>
      </c>
      <c r="E160" s="94">
        <v>2</v>
      </c>
      <c r="F160" s="94">
        <v>-6</v>
      </c>
      <c r="G160" s="94" t="s">
        <v>210</v>
      </c>
      <c r="H160" s="94">
        <v>-3</v>
      </c>
      <c r="I160" s="94">
        <v>5</v>
      </c>
      <c r="J160" s="94">
        <v>-1</v>
      </c>
      <c r="K160" s="94">
        <v>7</v>
      </c>
      <c r="L160" s="94">
        <v>3</v>
      </c>
      <c r="M160" s="94" t="s">
        <v>210</v>
      </c>
      <c r="N160" s="94">
        <v>-1</v>
      </c>
      <c r="O160" s="94">
        <v>6</v>
      </c>
      <c r="P160" s="94">
        <v>5</v>
      </c>
      <c r="Q160" s="94">
        <v>-8</v>
      </c>
      <c r="R160" s="94">
        <v>2</v>
      </c>
      <c r="S160" s="94">
        <v>-3</v>
      </c>
      <c r="T160" s="94">
        <v>7</v>
      </c>
      <c r="U160" s="94" t="s">
        <v>210</v>
      </c>
      <c r="V160" s="94">
        <v>-4</v>
      </c>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5"/>
    </row>
    <row r="161" spans="1:53" s="87" customFormat="1">
      <c r="A161" s="90" t="str">
        <f t="shared" si="27"/>
        <v/>
      </c>
      <c r="B161" s="98">
        <v>2</v>
      </c>
      <c r="C161" s="94">
        <v>3</v>
      </c>
      <c r="D161" s="94">
        <v>5</v>
      </c>
      <c r="E161" s="94">
        <v>-1</v>
      </c>
      <c r="F161" s="94">
        <v>7</v>
      </c>
      <c r="G161" s="94">
        <v>-8</v>
      </c>
      <c r="H161" s="94">
        <v>4</v>
      </c>
      <c r="I161" s="94">
        <v>2</v>
      </c>
      <c r="J161" s="94">
        <v>-6</v>
      </c>
      <c r="K161" s="94" t="s">
        <v>210</v>
      </c>
      <c r="L161" s="94">
        <v>-7</v>
      </c>
      <c r="M161" s="94" t="s">
        <v>210</v>
      </c>
      <c r="N161" s="94">
        <v>-3</v>
      </c>
      <c r="O161" s="94">
        <v>-8</v>
      </c>
      <c r="P161" s="94">
        <v>2</v>
      </c>
      <c r="Q161" s="94">
        <v>-6</v>
      </c>
      <c r="R161" s="94">
        <v>5</v>
      </c>
      <c r="S161" s="94" t="s">
        <v>210</v>
      </c>
      <c r="T161" s="94">
        <v>-1</v>
      </c>
      <c r="U161" s="94">
        <v>7</v>
      </c>
      <c r="V161" s="94">
        <v>4</v>
      </c>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5"/>
    </row>
    <row r="162" spans="1:53" s="87" customFormat="1">
      <c r="A162" s="90" t="str">
        <f t="shared" si="27"/>
        <v/>
      </c>
      <c r="B162" s="98">
        <v>3</v>
      </c>
      <c r="C162" s="94">
        <v>-2</v>
      </c>
      <c r="D162" s="94">
        <v>-4</v>
      </c>
      <c r="E162" s="94">
        <v>8</v>
      </c>
      <c r="F162" s="94">
        <v>-7</v>
      </c>
      <c r="G162" s="94">
        <v>1</v>
      </c>
      <c r="H162" s="94">
        <v>-5</v>
      </c>
      <c r="I162" s="94">
        <v>3</v>
      </c>
      <c r="J162" s="94" t="s">
        <v>210</v>
      </c>
      <c r="K162" s="94">
        <v>-6</v>
      </c>
      <c r="L162" s="94" t="s">
        <v>210</v>
      </c>
      <c r="M162" s="94">
        <v>5</v>
      </c>
      <c r="N162" s="94">
        <v>-8</v>
      </c>
      <c r="O162" s="94">
        <v>3</v>
      </c>
      <c r="P162" s="94">
        <v>4</v>
      </c>
      <c r="Q162" s="94">
        <v>-1</v>
      </c>
      <c r="R162" s="94">
        <v>7</v>
      </c>
      <c r="S162" s="94">
        <v>-6</v>
      </c>
      <c r="T162" s="94">
        <v>2</v>
      </c>
      <c r="U162" s="94" t="s">
        <v>210</v>
      </c>
      <c r="V162" s="94">
        <v>-5</v>
      </c>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5"/>
    </row>
    <row r="163" spans="1:53" s="87" customFormat="1">
      <c r="A163" s="90" t="str">
        <f t="shared" si="27"/>
        <v/>
      </c>
      <c r="B163" s="98">
        <v>4</v>
      </c>
      <c r="C163" s="94" t="s">
        <v>210</v>
      </c>
      <c r="D163" s="94">
        <v>6</v>
      </c>
      <c r="E163" s="94">
        <v>-2</v>
      </c>
      <c r="F163" s="94">
        <v>-4</v>
      </c>
      <c r="G163" s="94">
        <v>8</v>
      </c>
      <c r="H163" s="94">
        <v>-7</v>
      </c>
      <c r="I163" s="94">
        <v>1</v>
      </c>
      <c r="J163" s="94">
        <v>-5</v>
      </c>
      <c r="K163" s="94">
        <v>-3</v>
      </c>
      <c r="L163" s="94" t="s">
        <v>210</v>
      </c>
      <c r="M163" s="94">
        <v>4</v>
      </c>
      <c r="N163" s="94">
        <v>-6</v>
      </c>
      <c r="O163" s="94">
        <v>-1</v>
      </c>
      <c r="P163" s="94">
        <v>7</v>
      </c>
      <c r="Q163" s="94">
        <v>-3</v>
      </c>
      <c r="R163" s="94">
        <v>4</v>
      </c>
      <c r="S163" s="94" t="s">
        <v>210</v>
      </c>
      <c r="T163" s="94">
        <v>-8</v>
      </c>
      <c r="U163" s="94">
        <v>2</v>
      </c>
      <c r="V163" s="94">
        <v>5</v>
      </c>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5"/>
    </row>
    <row r="164" spans="1:53" s="87" customFormat="1">
      <c r="A164" s="90" t="str">
        <f t="shared" si="27"/>
        <v/>
      </c>
      <c r="B164" s="98">
        <v>5</v>
      </c>
      <c r="C164" s="94">
        <v>5</v>
      </c>
      <c r="D164" s="94">
        <v>-1</v>
      </c>
      <c r="E164" s="94">
        <v>7</v>
      </c>
      <c r="F164" s="94">
        <v>8</v>
      </c>
      <c r="G164" s="94">
        <v>-4</v>
      </c>
      <c r="H164" s="94">
        <v>-2</v>
      </c>
      <c r="I164" s="94">
        <v>6</v>
      </c>
      <c r="J164" s="94" t="s">
        <v>210</v>
      </c>
      <c r="K164" s="94">
        <v>3</v>
      </c>
      <c r="L164" s="94" t="s">
        <v>210</v>
      </c>
      <c r="M164" s="94">
        <v>-5</v>
      </c>
      <c r="N164" s="94">
        <v>-4</v>
      </c>
      <c r="O164" s="94">
        <v>8</v>
      </c>
      <c r="P164" s="94" t="s">
        <v>210</v>
      </c>
      <c r="Q164" s="94">
        <v>2</v>
      </c>
      <c r="R164" s="94">
        <v>-6</v>
      </c>
      <c r="S164" s="94">
        <v>1</v>
      </c>
      <c r="T164" s="94">
        <v>-7</v>
      </c>
      <c r="U164" s="94">
        <v>4</v>
      </c>
      <c r="V164" s="94">
        <v>-3</v>
      </c>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5"/>
    </row>
    <row r="165" spans="1:53" s="87" customFormat="1">
      <c r="A165" s="90" t="str">
        <f t="shared" si="27"/>
        <v/>
      </c>
      <c r="B165" s="98">
        <v>6</v>
      </c>
      <c r="C165" s="94">
        <v>1</v>
      </c>
      <c r="D165" s="94">
        <v>7</v>
      </c>
      <c r="E165" s="94">
        <v>-8</v>
      </c>
      <c r="F165" s="94">
        <v>4</v>
      </c>
      <c r="G165" s="94">
        <v>2</v>
      </c>
      <c r="H165" s="94">
        <v>-6</v>
      </c>
      <c r="I165" s="94" t="s">
        <v>210</v>
      </c>
      <c r="J165" s="94">
        <v>3</v>
      </c>
      <c r="K165" s="94">
        <v>-5</v>
      </c>
      <c r="L165" s="94">
        <v>-4</v>
      </c>
      <c r="M165" s="94" t="s">
        <v>210</v>
      </c>
      <c r="N165" s="94">
        <v>1</v>
      </c>
      <c r="O165" s="94">
        <v>-7</v>
      </c>
      <c r="P165" s="94">
        <v>6</v>
      </c>
      <c r="Q165" s="94" t="s">
        <v>210</v>
      </c>
      <c r="R165" s="94">
        <v>-5</v>
      </c>
      <c r="S165" s="94">
        <v>2</v>
      </c>
      <c r="T165" s="94">
        <v>-4</v>
      </c>
      <c r="U165" s="94">
        <v>-1</v>
      </c>
      <c r="V165" s="94">
        <v>3</v>
      </c>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5"/>
    </row>
    <row r="166" spans="1:53" s="87" customFormat="1">
      <c r="A166" s="90" t="str">
        <f t="shared" si="27"/>
        <v/>
      </c>
      <c r="B166" s="98">
        <v>7</v>
      </c>
      <c r="C166" s="94">
        <v>-4</v>
      </c>
      <c r="D166" s="94">
        <v>8</v>
      </c>
      <c r="E166" s="94">
        <v>-7</v>
      </c>
      <c r="F166" s="94">
        <v>1</v>
      </c>
      <c r="G166" s="94">
        <v>-5</v>
      </c>
      <c r="H166" s="94">
        <v>3</v>
      </c>
      <c r="I166" s="94" t="s">
        <v>210</v>
      </c>
      <c r="J166" s="94">
        <v>6</v>
      </c>
      <c r="K166" s="94">
        <v>-2</v>
      </c>
      <c r="L166" s="94">
        <v>4</v>
      </c>
      <c r="M166" s="94" t="s">
        <v>210</v>
      </c>
      <c r="N166" s="94">
        <v>-5</v>
      </c>
      <c r="O166" s="94">
        <v>1</v>
      </c>
      <c r="P166" s="94" t="s">
        <v>210</v>
      </c>
      <c r="Q166" s="94">
        <v>7</v>
      </c>
      <c r="R166" s="94">
        <v>-3</v>
      </c>
      <c r="S166" s="94">
        <v>8</v>
      </c>
      <c r="T166" s="94">
        <v>-2</v>
      </c>
      <c r="U166" s="94">
        <v>5</v>
      </c>
      <c r="V166" s="94">
        <v>-6</v>
      </c>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c r="AW166" s="94"/>
      <c r="AX166" s="94"/>
      <c r="AY166" s="94"/>
      <c r="AZ166" s="94"/>
      <c r="BA166" s="95"/>
    </row>
    <row r="167" spans="1:53" s="87" customFormat="1">
      <c r="A167" s="90" t="str">
        <f t="shared" si="27"/>
        <v/>
      </c>
      <c r="B167" s="98">
        <v>8</v>
      </c>
      <c r="C167" s="94">
        <v>-1</v>
      </c>
      <c r="D167" s="94">
        <v>-5</v>
      </c>
      <c r="E167" s="94">
        <v>3</v>
      </c>
      <c r="F167" s="94" t="s">
        <v>210</v>
      </c>
      <c r="G167" s="94">
        <v>-6</v>
      </c>
      <c r="H167" s="94">
        <v>2</v>
      </c>
      <c r="I167" s="94">
        <v>-4</v>
      </c>
      <c r="J167" s="94">
        <v>8</v>
      </c>
      <c r="K167" s="94">
        <v>-7</v>
      </c>
      <c r="L167" s="94">
        <v>5</v>
      </c>
      <c r="M167" s="94" t="s">
        <v>210</v>
      </c>
      <c r="N167" s="94">
        <v>8</v>
      </c>
      <c r="O167" s="94">
        <v>-2</v>
      </c>
      <c r="P167" s="94">
        <v>3</v>
      </c>
      <c r="Q167" s="94" t="s">
        <v>210</v>
      </c>
      <c r="R167" s="94">
        <v>-4</v>
      </c>
      <c r="S167" s="94">
        <v>7</v>
      </c>
      <c r="T167" s="94">
        <v>-5</v>
      </c>
      <c r="U167" s="94">
        <v>-8</v>
      </c>
      <c r="V167" s="94">
        <v>6</v>
      </c>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5"/>
    </row>
    <row r="168" spans="1:53" s="87" customFormat="1">
      <c r="A168" s="90" t="str">
        <f t="shared" si="27"/>
        <v/>
      </c>
      <c r="B168" s="98">
        <v>9</v>
      </c>
      <c r="C168" s="94">
        <v>6</v>
      </c>
      <c r="D168" s="94">
        <v>-2</v>
      </c>
      <c r="E168" s="94">
        <v>4</v>
      </c>
      <c r="F168" s="94">
        <v>-8</v>
      </c>
      <c r="G168" s="94">
        <v>-7</v>
      </c>
      <c r="H168" s="94">
        <v>1</v>
      </c>
      <c r="I168" s="94">
        <v>-5</v>
      </c>
      <c r="J168" s="94">
        <v>-3</v>
      </c>
      <c r="K168" s="94" t="s">
        <v>210</v>
      </c>
      <c r="L168" s="94">
        <v>7</v>
      </c>
      <c r="M168" s="94" t="s">
        <v>210</v>
      </c>
      <c r="N168" s="94">
        <v>2</v>
      </c>
      <c r="O168" s="94" t="s">
        <v>210</v>
      </c>
      <c r="P168" s="94">
        <v>-3</v>
      </c>
      <c r="Q168" s="94">
        <v>4</v>
      </c>
      <c r="R168" s="94">
        <v>-1</v>
      </c>
      <c r="S168" s="94">
        <v>6</v>
      </c>
      <c r="T168" s="94">
        <v>8</v>
      </c>
      <c r="U168" s="94">
        <v>-5</v>
      </c>
      <c r="V168" s="94">
        <v>-2</v>
      </c>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5"/>
    </row>
    <row r="169" spans="1:53" s="87" customFormat="1">
      <c r="A169" s="90" t="str">
        <f t="shared" si="27"/>
        <v/>
      </c>
      <c r="B169" s="98">
        <v>10</v>
      </c>
      <c r="C169" s="94">
        <v>-5</v>
      </c>
      <c r="D169" s="94">
        <v>-3</v>
      </c>
      <c r="E169" s="94" t="s">
        <v>210</v>
      </c>
      <c r="F169" s="94">
        <v>6</v>
      </c>
      <c r="G169" s="94">
        <v>-2</v>
      </c>
      <c r="H169" s="94">
        <v>-4</v>
      </c>
      <c r="I169" s="94">
        <v>8</v>
      </c>
      <c r="J169" s="94">
        <v>-7</v>
      </c>
      <c r="K169" s="94">
        <v>1</v>
      </c>
      <c r="L169" s="94">
        <v>2</v>
      </c>
      <c r="M169" s="94" t="s">
        <v>210</v>
      </c>
      <c r="N169" s="94" t="s">
        <v>210</v>
      </c>
      <c r="O169" s="94">
        <v>-4</v>
      </c>
      <c r="P169" s="94">
        <v>-7</v>
      </c>
      <c r="Q169" s="94">
        <v>1</v>
      </c>
      <c r="R169" s="94">
        <v>3</v>
      </c>
      <c r="S169" s="94">
        <v>-5</v>
      </c>
      <c r="T169" s="94">
        <v>-6</v>
      </c>
      <c r="U169" s="94">
        <v>8</v>
      </c>
      <c r="V169" s="94">
        <v>2</v>
      </c>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5"/>
    </row>
    <row r="170" spans="1:53" s="87" customFormat="1">
      <c r="A170" s="90" t="str">
        <f t="shared" si="27"/>
        <v/>
      </c>
      <c r="B170" s="98">
        <v>11</v>
      </c>
      <c r="C170" s="94">
        <v>2</v>
      </c>
      <c r="D170" s="94">
        <v>-6</v>
      </c>
      <c r="E170" s="94" t="s">
        <v>210</v>
      </c>
      <c r="F170" s="94">
        <v>-3</v>
      </c>
      <c r="G170" s="94">
        <v>5</v>
      </c>
      <c r="H170" s="94">
        <v>-1</v>
      </c>
      <c r="I170" s="94">
        <v>7</v>
      </c>
      <c r="J170" s="94">
        <v>-8</v>
      </c>
      <c r="K170" s="94">
        <v>4</v>
      </c>
      <c r="L170" s="94">
        <v>-2</v>
      </c>
      <c r="M170" s="94" t="s">
        <v>210</v>
      </c>
      <c r="N170" s="94">
        <v>7</v>
      </c>
      <c r="O170" s="94" t="s">
        <v>210</v>
      </c>
      <c r="P170" s="94">
        <v>-6</v>
      </c>
      <c r="Q170" s="94">
        <v>5</v>
      </c>
      <c r="R170" s="94">
        <v>-8</v>
      </c>
      <c r="S170" s="94">
        <v>3</v>
      </c>
      <c r="T170" s="94">
        <v>1</v>
      </c>
      <c r="U170" s="94">
        <v>-4</v>
      </c>
      <c r="V170" s="94">
        <v>-7</v>
      </c>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5"/>
    </row>
    <row r="171" spans="1:53" s="87" customFormat="1">
      <c r="A171" s="90" t="str">
        <f t="shared" si="27"/>
        <v/>
      </c>
      <c r="B171" s="98">
        <v>12</v>
      </c>
      <c r="C171" s="94" t="s">
        <v>210</v>
      </c>
      <c r="D171" s="94">
        <v>3</v>
      </c>
      <c r="E171" s="94">
        <v>5</v>
      </c>
      <c r="F171" s="94">
        <v>-1</v>
      </c>
      <c r="G171" s="94">
        <v>7</v>
      </c>
      <c r="H171" s="94">
        <v>-8</v>
      </c>
      <c r="I171" s="94">
        <v>4</v>
      </c>
      <c r="J171" s="94">
        <v>-2</v>
      </c>
      <c r="K171" s="94">
        <v>6</v>
      </c>
      <c r="L171" s="94" t="s">
        <v>210</v>
      </c>
      <c r="M171" s="94">
        <v>-4</v>
      </c>
      <c r="N171" s="94" t="s">
        <v>210</v>
      </c>
      <c r="O171" s="94">
        <v>-5</v>
      </c>
      <c r="P171" s="94">
        <v>-2</v>
      </c>
      <c r="Q171" s="94">
        <v>8</v>
      </c>
      <c r="R171" s="94">
        <v>6</v>
      </c>
      <c r="S171" s="94">
        <v>-4</v>
      </c>
      <c r="T171" s="94">
        <v>-3</v>
      </c>
      <c r="U171" s="94">
        <v>1</v>
      </c>
      <c r="V171" s="94">
        <v>7</v>
      </c>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5"/>
    </row>
    <row r="172" spans="1:53" s="87" customFormat="1">
      <c r="A172" s="90" t="str">
        <f t="shared" si="27"/>
        <v/>
      </c>
      <c r="B172" s="98">
        <v>13</v>
      </c>
      <c r="C172" s="94">
        <v>-3</v>
      </c>
      <c r="D172" s="94" t="s">
        <v>210</v>
      </c>
      <c r="E172" s="94">
        <v>6</v>
      </c>
      <c r="F172" s="94">
        <v>-2</v>
      </c>
      <c r="G172" s="94">
        <v>4</v>
      </c>
      <c r="H172" s="94">
        <v>8</v>
      </c>
      <c r="I172" s="94">
        <v>-7</v>
      </c>
      <c r="J172" s="94">
        <v>1</v>
      </c>
      <c r="K172" s="94">
        <v>5</v>
      </c>
      <c r="L172" s="94">
        <v>-6</v>
      </c>
      <c r="M172" s="94" t="s">
        <v>210</v>
      </c>
      <c r="N172" s="94">
        <v>-2</v>
      </c>
      <c r="O172" s="94">
        <v>4</v>
      </c>
      <c r="P172" s="94">
        <v>-1</v>
      </c>
      <c r="Q172" s="94">
        <v>3</v>
      </c>
      <c r="R172" s="94">
        <v>-7</v>
      </c>
      <c r="S172" s="94">
        <v>-8</v>
      </c>
      <c r="T172" s="94">
        <v>5</v>
      </c>
      <c r="U172" s="94">
        <v>6</v>
      </c>
      <c r="V172" s="94" t="s">
        <v>210</v>
      </c>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5"/>
    </row>
    <row r="173" spans="1:53" s="87" customFormat="1">
      <c r="A173" s="90" t="str">
        <f t="shared" si="27"/>
        <v/>
      </c>
      <c r="B173" s="98">
        <v>14</v>
      </c>
      <c r="C173" s="94">
        <v>-6</v>
      </c>
      <c r="D173" s="94" t="s">
        <v>210</v>
      </c>
      <c r="E173" s="94">
        <v>-3</v>
      </c>
      <c r="F173" s="94">
        <v>5</v>
      </c>
      <c r="G173" s="94">
        <v>-1</v>
      </c>
      <c r="H173" s="94">
        <v>7</v>
      </c>
      <c r="I173" s="94">
        <v>-8</v>
      </c>
      <c r="J173" s="94">
        <v>-4</v>
      </c>
      <c r="K173" s="94">
        <v>2</v>
      </c>
      <c r="L173" s="94">
        <v>6</v>
      </c>
      <c r="M173" s="94" t="s">
        <v>210</v>
      </c>
      <c r="N173" s="94">
        <v>-7</v>
      </c>
      <c r="O173" s="94">
        <v>5</v>
      </c>
      <c r="P173" s="94">
        <v>-8</v>
      </c>
      <c r="Q173" s="94">
        <v>6</v>
      </c>
      <c r="R173" s="94">
        <v>-2</v>
      </c>
      <c r="S173" s="94">
        <v>-1</v>
      </c>
      <c r="T173" s="94">
        <v>4</v>
      </c>
      <c r="U173" s="94">
        <v>3</v>
      </c>
      <c r="V173" s="94" t="s">
        <v>210</v>
      </c>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5"/>
    </row>
    <row r="174" spans="1:53" s="87" customFormat="1">
      <c r="A174" s="90" t="str">
        <f t="shared" si="27"/>
        <v/>
      </c>
      <c r="B174" s="98">
        <v>15</v>
      </c>
      <c r="C174" s="94">
        <v>4</v>
      </c>
      <c r="D174" s="94">
        <v>2</v>
      </c>
      <c r="E174" s="94">
        <v>-6</v>
      </c>
      <c r="F174" s="94" t="s">
        <v>210</v>
      </c>
      <c r="G174" s="94">
        <v>-3</v>
      </c>
      <c r="H174" s="94">
        <v>5</v>
      </c>
      <c r="I174" s="94">
        <v>-1</v>
      </c>
      <c r="J174" s="94">
        <v>7</v>
      </c>
      <c r="K174" s="94">
        <v>8</v>
      </c>
      <c r="L174" s="94">
        <v>-5</v>
      </c>
      <c r="M174" s="94" t="s">
        <v>210</v>
      </c>
      <c r="N174" s="94">
        <v>4</v>
      </c>
      <c r="O174" s="94">
        <v>-6</v>
      </c>
      <c r="P174" s="94">
        <v>8</v>
      </c>
      <c r="Q174" s="94">
        <v>-5</v>
      </c>
      <c r="R174" s="94" t="s">
        <v>210</v>
      </c>
      <c r="S174" s="94">
        <v>-2</v>
      </c>
      <c r="T174" s="94">
        <v>3</v>
      </c>
      <c r="U174" s="94">
        <v>-7</v>
      </c>
      <c r="V174" s="94">
        <v>1</v>
      </c>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5"/>
    </row>
    <row r="175" spans="1:53" s="87" customFormat="1">
      <c r="A175" s="90" t="str">
        <f t="shared" si="27"/>
        <v/>
      </c>
      <c r="B175" s="98">
        <v>16</v>
      </c>
      <c r="C175" s="94">
        <v>7</v>
      </c>
      <c r="D175" s="94">
        <v>-8</v>
      </c>
      <c r="E175" s="94">
        <v>-4</v>
      </c>
      <c r="F175" s="94">
        <v>2</v>
      </c>
      <c r="G175" s="94">
        <v>6</v>
      </c>
      <c r="H175" s="94" t="s">
        <v>210</v>
      </c>
      <c r="I175" s="94">
        <v>-3</v>
      </c>
      <c r="J175" s="94">
        <v>5</v>
      </c>
      <c r="K175" s="94">
        <v>-1</v>
      </c>
      <c r="L175" s="94" t="s">
        <v>210</v>
      </c>
      <c r="M175" s="94">
        <v>-6</v>
      </c>
      <c r="N175" s="94">
        <v>3</v>
      </c>
      <c r="O175" s="94">
        <v>7</v>
      </c>
      <c r="P175" s="94">
        <v>-5</v>
      </c>
      <c r="Q175" s="94">
        <v>-2</v>
      </c>
      <c r="R175" s="94">
        <v>8</v>
      </c>
      <c r="S175" s="94">
        <v>4</v>
      </c>
      <c r="T175" s="94" t="s">
        <v>210</v>
      </c>
      <c r="U175" s="94">
        <v>-3</v>
      </c>
      <c r="V175" s="94">
        <v>-1</v>
      </c>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5"/>
    </row>
    <row r="176" spans="1:53" s="87" customFormat="1">
      <c r="A176" s="90" t="str">
        <f t="shared" si="27"/>
        <v/>
      </c>
      <c r="B176" s="98">
        <v>17</v>
      </c>
      <c r="C176" s="94">
        <v>8</v>
      </c>
      <c r="D176" s="94">
        <v>-7</v>
      </c>
      <c r="E176" s="94">
        <v>1</v>
      </c>
      <c r="F176" s="94">
        <v>-5</v>
      </c>
      <c r="G176" s="94">
        <v>3</v>
      </c>
      <c r="H176" s="94" t="s">
        <v>210</v>
      </c>
      <c r="I176" s="94">
        <v>-6</v>
      </c>
      <c r="J176" s="94">
        <v>2</v>
      </c>
      <c r="K176" s="94">
        <v>-4</v>
      </c>
      <c r="L176" s="94" t="s">
        <v>210</v>
      </c>
      <c r="M176" s="94">
        <v>6</v>
      </c>
      <c r="N176" s="94">
        <v>5</v>
      </c>
      <c r="O176" s="94">
        <v>-3</v>
      </c>
      <c r="P176" s="94">
        <v>1</v>
      </c>
      <c r="Q176" s="94">
        <v>-4</v>
      </c>
      <c r="R176" s="94" t="s">
        <v>210</v>
      </c>
      <c r="S176" s="94">
        <v>-7</v>
      </c>
      <c r="T176" s="94">
        <v>6</v>
      </c>
      <c r="U176" s="94">
        <v>-2</v>
      </c>
      <c r="V176" s="94">
        <v>8</v>
      </c>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5"/>
    </row>
    <row r="177" spans="1:53" s="87" customFormat="1">
      <c r="A177" s="90" t="str">
        <f t="shared" si="27"/>
        <v/>
      </c>
      <c r="B177" s="98">
        <v>18</v>
      </c>
      <c r="C177" s="94">
        <v>-7</v>
      </c>
      <c r="D177" s="94">
        <v>1</v>
      </c>
      <c r="E177" s="94">
        <v>-5</v>
      </c>
      <c r="F177" s="94">
        <v>3</v>
      </c>
      <c r="G177" s="94" t="s">
        <v>210</v>
      </c>
      <c r="H177" s="94">
        <v>6</v>
      </c>
      <c r="I177" s="94">
        <v>-2</v>
      </c>
      <c r="J177" s="94">
        <v>4</v>
      </c>
      <c r="K177" s="94">
        <v>-8</v>
      </c>
      <c r="L177" s="94">
        <v>-3</v>
      </c>
      <c r="M177" s="94" t="s">
        <v>210</v>
      </c>
      <c r="N177" s="94">
        <v>6</v>
      </c>
      <c r="O177" s="94">
        <v>2</v>
      </c>
      <c r="P177" s="94">
        <v>-4</v>
      </c>
      <c r="Q177" s="94">
        <v>-7</v>
      </c>
      <c r="R177" s="94">
        <v>1</v>
      </c>
      <c r="S177" s="94">
        <v>5</v>
      </c>
      <c r="T177" s="94" t="s">
        <v>210</v>
      </c>
      <c r="U177" s="94">
        <v>-6</v>
      </c>
      <c r="V177" s="94">
        <v>-8</v>
      </c>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c r="AZ177" s="94"/>
      <c r="BA177" s="95"/>
    </row>
    <row r="178" spans="1:53" s="87" customFormat="1">
      <c r="A178" s="90" t="str">
        <f t="shared" si="27"/>
        <v/>
      </c>
      <c r="B178" s="98" t="s">
        <v>457</v>
      </c>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5"/>
    </row>
    <row r="179" spans="1:53" s="87" customFormat="1">
      <c r="A179" s="90">
        <f t="shared" si="27"/>
        <v>179</v>
      </c>
      <c r="B179" s="98" t="s">
        <v>458</v>
      </c>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5"/>
    </row>
    <row r="180" spans="1:53" s="87" customFormat="1">
      <c r="A180" s="90" t="str">
        <f t="shared" si="27"/>
        <v/>
      </c>
      <c r="B180" s="98">
        <v>1</v>
      </c>
      <c r="C180" s="94">
        <v>-6</v>
      </c>
      <c r="D180" s="94">
        <v>-8</v>
      </c>
      <c r="E180" s="94">
        <v>3</v>
      </c>
      <c r="F180" s="94">
        <v>4</v>
      </c>
      <c r="G180" s="94">
        <v>-1</v>
      </c>
      <c r="H180" s="94">
        <v>-2</v>
      </c>
      <c r="I180" s="94">
        <v>7</v>
      </c>
      <c r="J180" s="94" t="s">
        <v>202</v>
      </c>
      <c r="K180" s="94">
        <v>5</v>
      </c>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5"/>
    </row>
    <row r="181" spans="1:53" s="87" customFormat="1">
      <c r="A181" s="90" t="str">
        <f t="shared" si="27"/>
        <v/>
      </c>
      <c r="B181" s="98">
        <v>2</v>
      </c>
      <c r="C181" s="94" t="s">
        <v>202</v>
      </c>
      <c r="D181" s="94">
        <v>4</v>
      </c>
      <c r="E181" s="94">
        <v>8</v>
      </c>
      <c r="F181" s="94">
        <v>-3</v>
      </c>
      <c r="G181" s="94">
        <v>-6</v>
      </c>
      <c r="H181" s="94">
        <v>7</v>
      </c>
      <c r="I181" s="94">
        <v>1</v>
      </c>
      <c r="J181" s="94">
        <v>-2</v>
      </c>
      <c r="K181" s="94">
        <v>-5</v>
      </c>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94"/>
      <c r="AW181" s="94"/>
      <c r="AX181" s="94"/>
      <c r="AY181" s="94"/>
      <c r="AZ181" s="94"/>
      <c r="BA181" s="95"/>
    </row>
    <row r="182" spans="1:53" s="87" customFormat="1">
      <c r="A182" s="90" t="str">
        <f t="shared" si="27"/>
        <v/>
      </c>
      <c r="B182" s="98">
        <v>3</v>
      </c>
      <c r="C182" s="94">
        <v>-1</v>
      </c>
      <c r="D182" s="94">
        <v>5</v>
      </c>
      <c r="E182" s="94">
        <v>-3</v>
      </c>
      <c r="F182" s="94">
        <v>8</v>
      </c>
      <c r="G182" s="94">
        <v>7</v>
      </c>
      <c r="H182" s="94" t="s">
        <v>202</v>
      </c>
      <c r="I182" s="94">
        <v>-5</v>
      </c>
      <c r="J182" s="94">
        <v>2</v>
      </c>
      <c r="K182" s="94">
        <v>-4</v>
      </c>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5"/>
    </row>
    <row r="183" spans="1:53" s="87" customFormat="1">
      <c r="A183" s="90" t="str">
        <f t="shared" si="27"/>
        <v/>
      </c>
      <c r="B183" s="98">
        <v>4</v>
      </c>
      <c r="C183" s="94">
        <v>-7</v>
      </c>
      <c r="D183" s="94">
        <v>8</v>
      </c>
      <c r="E183" s="94">
        <v>-6</v>
      </c>
      <c r="F183" s="94">
        <v>3</v>
      </c>
      <c r="G183" s="94" t="s">
        <v>202</v>
      </c>
      <c r="H183" s="94">
        <v>-5</v>
      </c>
      <c r="I183" s="94">
        <v>2</v>
      </c>
      <c r="J183" s="94">
        <v>-8</v>
      </c>
      <c r="K183" s="94">
        <v>4</v>
      </c>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c r="AZ183" s="94"/>
      <c r="BA183" s="95"/>
    </row>
    <row r="184" spans="1:53" s="87" customFormat="1">
      <c r="A184" s="90" t="str">
        <f t="shared" si="27"/>
        <v/>
      </c>
      <c r="B184" s="98">
        <v>5</v>
      </c>
      <c r="C184" s="94">
        <v>-2</v>
      </c>
      <c r="D184" s="94" t="s">
        <v>202</v>
      </c>
      <c r="E184" s="94">
        <v>4</v>
      </c>
      <c r="F184" s="94">
        <v>-6</v>
      </c>
      <c r="G184" s="94">
        <v>1</v>
      </c>
      <c r="H184" s="94">
        <v>-7</v>
      </c>
      <c r="I184" s="94">
        <v>5</v>
      </c>
      <c r="J184" s="94">
        <v>8</v>
      </c>
      <c r="K184" s="94">
        <v>-3</v>
      </c>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5"/>
    </row>
    <row r="185" spans="1:53" s="87" customFormat="1">
      <c r="A185" s="90" t="str">
        <f t="shared" si="27"/>
        <v/>
      </c>
      <c r="B185" s="98">
        <v>6</v>
      </c>
      <c r="C185" s="94">
        <v>1</v>
      </c>
      <c r="D185" s="94">
        <v>-4</v>
      </c>
      <c r="E185" s="94">
        <v>6</v>
      </c>
      <c r="F185" s="94" t="s">
        <v>202</v>
      </c>
      <c r="G185" s="94">
        <v>-2</v>
      </c>
      <c r="H185" s="94">
        <v>8</v>
      </c>
      <c r="I185" s="94">
        <v>-7</v>
      </c>
      <c r="J185" s="94">
        <v>-5</v>
      </c>
      <c r="K185" s="94">
        <v>3</v>
      </c>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c r="AW185" s="94"/>
      <c r="AX185" s="94"/>
      <c r="AY185" s="94"/>
      <c r="AZ185" s="94"/>
      <c r="BA185" s="95"/>
    </row>
    <row r="186" spans="1:53" s="87" customFormat="1">
      <c r="A186" s="90" t="str">
        <f t="shared" si="27"/>
        <v/>
      </c>
      <c r="B186" s="98">
        <v>7</v>
      </c>
      <c r="C186" s="94">
        <v>7</v>
      </c>
      <c r="D186" s="94">
        <v>-3</v>
      </c>
      <c r="E186" s="94">
        <v>-8</v>
      </c>
      <c r="F186" s="94">
        <v>6</v>
      </c>
      <c r="G186" s="94">
        <v>-7</v>
      </c>
      <c r="H186" s="94">
        <v>2</v>
      </c>
      <c r="I186" s="94" t="s">
        <v>202</v>
      </c>
      <c r="J186" s="94">
        <v>5</v>
      </c>
      <c r="K186" s="94">
        <v>-1</v>
      </c>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c r="AW186" s="94"/>
      <c r="AX186" s="94"/>
      <c r="AY186" s="94"/>
      <c r="AZ186" s="94"/>
      <c r="BA186" s="95"/>
    </row>
    <row r="187" spans="1:53" s="87" customFormat="1">
      <c r="A187" s="90" t="str">
        <f t="shared" si="27"/>
        <v/>
      </c>
      <c r="B187" s="98">
        <v>8</v>
      </c>
      <c r="C187" s="94">
        <v>2</v>
      </c>
      <c r="D187" s="94">
        <v>-5</v>
      </c>
      <c r="E187" s="94" t="s">
        <v>202</v>
      </c>
      <c r="F187" s="94">
        <v>-4</v>
      </c>
      <c r="G187" s="94">
        <v>6</v>
      </c>
      <c r="H187" s="94">
        <v>-8</v>
      </c>
      <c r="I187" s="94">
        <v>-2</v>
      </c>
      <c r="J187" s="94">
        <v>7</v>
      </c>
      <c r="K187" s="94">
        <v>1</v>
      </c>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5"/>
    </row>
    <row r="188" spans="1:53" s="87" customFormat="1">
      <c r="A188" s="90" t="str">
        <f t="shared" si="27"/>
        <v/>
      </c>
      <c r="B188" s="99">
        <v>9</v>
      </c>
      <c r="C188" s="92">
        <v>6</v>
      </c>
      <c r="D188" s="92">
        <v>3</v>
      </c>
      <c r="E188" s="92">
        <v>-4</v>
      </c>
      <c r="F188" s="92">
        <v>-8</v>
      </c>
      <c r="G188" s="92">
        <v>2</v>
      </c>
      <c r="H188" s="92">
        <v>5</v>
      </c>
      <c r="I188" s="92">
        <v>-1</v>
      </c>
      <c r="J188" s="92">
        <v>-7</v>
      </c>
      <c r="K188" s="92" t="s">
        <v>202</v>
      </c>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5"/>
    </row>
    <row r="189" spans="1:53" s="87" customFormat="1">
      <c r="A189" s="90" t="str">
        <f t="shared" si="27"/>
        <v/>
      </c>
      <c r="B189" s="98">
        <v>10</v>
      </c>
      <c r="C189" s="94">
        <v>-5</v>
      </c>
      <c r="D189" s="94">
        <v>-1</v>
      </c>
      <c r="E189" s="94">
        <v>2</v>
      </c>
      <c r="F189" s="94">
        <v>7</v>
      </c>
      <c r="G189" s="94">
        <v>-8</v>
      </c>
      <c r="H189" s="94">
        <v>-3</v>
      </c>
      <c r="I189" s="94">
        <v>4</v>
      </c>
      <c r="J189" s="94" t="s">
        <v>202</v>
      </c>
      <c r="K189" s="94">
        <v>6</v>
      </c>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c r="AZ189" s="94"/>
      <c r="BA189" s="95"/>
    </row>
    <row r="190" spans="1:53" s="87" customFormat="1">
      <c r="A190" s="90" t="str">
        <f t="shared" si="27"/>
        <v/>
      </c>
      <c r="B190" s="98">
        <v>11</v>
      </c>
      <c r="C190" s="94" t="s">
        <v>202</v>
      </c>
      <c r="D190" s="94">
        <v>7</v>
      </c>
      <c r="E190" s="94">
        <v>1</v>
      </c>
      <c r="F190" s="94">
        <v>-2</v>
      </c>
      <c r="G190" s="94">
        <v>-5</v>
      </c>
      <c r="H190" s="94">
        <v>4</v>
      </c>
      <c r="I190" s="94">
        <v>8</v>
      </c>
      <c r="J190" s="94">
        <v>-3</v>
      </c>
      <c r="K190" s="94">
        <v>-6</v>
      </c>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5"/>
    </row>
    <row r="191" spans="1:53" s="87" customFormat="1">
      <c r="A191" s="90" t="str">
        <f t="shared" si="27"/>
        <v/>
      </c>
      <c r="B191" s="98">
        <v>12</v>
      </c>
      <c r="C191" s="94">
        <v>-8</v>
      </c>
      <c r="D191" s="94">
        <v>6</v>
      </c>
      <c r="E191" s="94">
        <v>-2</v>
      </c>
      <c r="F191" s="94">
        <v>1</v>
      </c>
      <c r="G191" s="94">
        <v>4</v>
      </c>
      <c r="H191" s="94" t="s">
        <v>202</v>
      </c>
      <c r="I191" s="94">
        <v>-6</v>
      </c>
      <c r="J191" s="94">
        <v>3</v>
      </c>
      <c r="K191" s="94">
        <v>-7</v>
      </c>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5"/>
    </row>
    <row r="192" spans="1:53" s="87" customFormat="1">
      <c r="A192" s="90" t="str">
        <f t="shared" si="27"/>
        <v/>
      </c>
      <c r="B192" s="98">
        <v>13</v>
      </c>
      <c r="C192" s="94">
        <v>-4</v>
      </c>
      <c r="D192" s="94">
        <v>1</v>
      </c>
      <c r="E192" s="94">
        <v>-5</v>
      </c>
      <c r="F192" s="94">
        <v>2</v>
      </c>
      <c r="G192" s="94" t="s">
        <v>202</v>
      </c>
      <c r="H192" s="94">
        <v>-6</v>
      </c>
      <c r="I192" s="94">
        <v>3</v>
      </c>
      <c r="J192" s="94">
        <v>-1</v>
      </c>
      <c r="K192" s="94">
        <v>7</v>
      </c>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5"/>
    </row>
    <row r="193" spans="1:53" s="87" customFormat="1">
      <c r="A193" s="90" t="str">
        <f t="shared" si="27"/>
        <v/>
      </c>
      <c r="B193" s="98">
        <v>14</v>
      </c>
      <c r="C193" s="94">
        <v>-3</v>
      </c>
      <c r="D193" s="94" t="s">
        <v>202</v>
      </c>
      <c r="E193" s="94">
        <v>7</v>
      </c>
      <c r="F193" s="94">
        <v>-5</v>
      </c>
      <c r="G193" s="94">
        <v>8</v>
      </c>
      <c r="H193" s="94">
        <v>-4</v>
      </c>
      <c r="I193" s="94">
        <v>6</v>
      </c>
      <c r="J193" s="94">
        <v>1</v>
      </c>
      <c r="K193" s="94">
        <v>-2</v>
      </c>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5"/>
    </row>
    <row r="194" spans="1:53" s="87" customFormat="1">
      <c r="A194" s="90" t="str">
        <f t="shared" si="27"/>
        <v/>
      </c>
      <c r="B194" s="98">
        <v>15</v>
      </c>
      <c r="C194" s="94">
        <v>8</v>
      </c>
      <c r="D194" s="94">
        <v>-7</v>
      </c>
      <c r="E194" s="94">
        <v>5</v>
      </c>
      <c r="F194" s="94" t="s">
        <v>202</v>
      </c>
      <c r="G194" s="94">
        <v>-3</v>
      </c>
      <c r="H194" s="94">
        <v>1</v>
      </c>
      <c r="I194" s="94">
        <v>-4</v>
      </c>
      <c r="J194" s="94">
        <v>-6</v>
      </c>
      <c r="K194" s="94">
        <v>2</v>
      </c>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5"/>
    </row>
    <row r="195" spans="1:53" s="87" customFormat="1">
      <c r="A195" s="90" t="str">
        <f t="shared" si="27"/>
        <v/>
      </c>
      <c r="B195" s="98">
        <v>16</v>
      </c>
      <c r="C195" s="94">
        <v>4</v>
      </c>
      <c r="D195" s="94">
        <v>-2</v>
      </c>
      <c r="E195" s="94">
        <v>-1</v>
      </c>
      <c r="F195" s="94">
        <v>5</v>
      </c>
      <c r="G195" s="94">
        <v>-4</v>
      </c>
      <c r="H195" s="94">
        <v>3</v>
      </c>
      <c r="I195" s="94" t="s">
        <v>202</v>
      </c>
      <c r="J195" s="94">
        <v>6</v>
      </c>
      <c r="K195" s="94">
        <v>-8</v>
      </c>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5"/>
    </row>
    <row r="196" spans="1:53" s="87" customFormat="1">
      <c r="A196" s="90" t="str">
        <f t="shared" si="27"/>
        <v/>
      </c>
      <c r="B196" s="98">
        <v>17</v>
      </c>
      <c r="C196" s="94">
        <v>3</v>
      </c>
      <c r="D196" s="94">
        <v>-6</v>
      </c>
      <c r="E196" s="94" t="s">
        <v>202</v>
      </c>
      <c r="F196" s="94">
        <v>-7</v>
      </c>
      <c r="G196" s="94">
        <v>5</v>
      </c>
      <c r="H196" s="94">
        <v>-1</v>
      </c>
      <c r="I196" s="94">
        <v>-3</v>
      </c>
      <c r="J196" s="94">
        <v>4</v>
      </c>
      <c r="K196" s="94">
        <v>8</v>
      </c>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c r="AW196" s="94"/>
      <c r="AX196" s="94"/>
      <c r="AY196" s="94"/>
      <c r="AZ196" s="94"/>
      <c r="BA196" s="95"/>
    </row>
    <row r="197" spans="1:53" s="87" customFormat="1">
      <c r="A197" s="90" t="str">
        <f t="shared" si="27"/>
        <v/>
      </c>
      <c r="B197" s="98">
        <v>18</v>
      </c>
      <c r="C197" s="94">
        <v>5</v>
      </c>
      <c r="D197" s="94">
        <v>2</v>
      </c>
      <c r="E197" s="94">
        <v>-7</v>
      </c>
      <c r="F197" s="94">
        <v>-1</v>
      </c>
      <c r="G197" s="94">
        <v>3</v>
      </c>
      <c r="H197" s="94">
        <v>6</v>
      </c>
      <c r="I197" s="94">
        <v>-8</v>
      </c>
      <c r="J197" s="94">
        <v>-4</v>
      </c>
      <c r="K197" s="94" t="s">
        <v>202</v>
      </c>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5"/>
    </row>
    <row r="198" spans="1:53" s="87" customFormat="1">
      <c r="A198" s="90" t="str">
        <f t="shared" si="27"/>
        <v/>
      </c>
      <c r="B198" s="98" t="s">
        <v>459</v>
      </c>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5"/>
    </row>
    <row r="199" spans="1:53" s="87" customFormat="1">
      <c r="A199" s="90">
        <f t="shared" si="27"/>
        <v>199</v>
      </c>
      <c r="B199" s="98" t="s">
        <v>460</v>
      </c>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5"/>
    </row>
    <row r="200" spans="1:53" s="87" customFormat="1">
      <c r="A200" s="90" t="str">
        <f t="shared" si="27"/>
        <v/>
      </c>
      <c r="B200" s="98">
        <v>1</v>
      </c>
      <c r="C200" s="94">
        <v>-6</v>
      </c>
      <c r="D200" s="94">
        <v>-7</v>
      </c>
      <c r="E200" s="94">
        <v>3</v>
      </c>
      <c r="F200" s="94" t="s">
        <v>202</v>
      </c>
      <c r="G200" s="94">
        <v>4</v>
      </c>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5"/>
    </row>
    <row r="201" spans="1:53" s="87" customFormat="1">
      <c r="A201" s="90" t="str">
        <f t="shared" si="27"/>
        <v/>
      </c>
      <c r="B201" s="98">
        <v>2</v>
      </c>
      <c r="C201" s="94" t="s">
        <v>202</v>
      </c>
      <c r="D201" s="94">
        <v>1</v>
      </c>
      <c r="E201" s="94">
        <v>5</v>
      </c>
      <c r="F201" s="94">
        <v>-7</v>
      </c>
      <c r="G201" s="94">
        <v>-4</v>
      </c>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5"/>
    </row>
    <row r="202" spans="1:53" s="87" customFormat="1">
      <c r="A202" s="90" t="str">
        <f t="shared" si="27"/>
        <v/>
      </c>
      <c r="B202" s="98">
        <v>3</v>
      </c>
      <c r="C202" s="94">
        <v>-4</v>
      </c>
      <c r="D202" s="94" t="s">
        <v>202</v>
      </c>
      <c r="E202" s="94">
        <v>-3</v>
      </c>
      <c r="F202" s="94">
        <v>7</v>
      </c>
      <c r="G202" s="94">
        <v>5</v>
      </c>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5"/>
    </row>
    <row r="203" spans="1:53" s="87" customFormat="1">
      <c r="A203" s="90" t="str">
        <f t="shared" si="27"/>
        <v/>
      </c>
      <c r="B203" s="98">
        <v>4</v>
      </c>
      <c r="C203" s="94">
        <v>6</v>
      </c>
      <c r="D203" s="94">
        <v>-1</v>
      </c>
      <c r="E203" s="94" t="s">
        <v>202</v>
      </c>
      <c r="F203" s="94">
        <v>2</v>
      </c>
      <c r="G203" s="94">
        <v>-5</v>
      </c>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5"/>
    </row>
    <row r="204" spans="1:53" s="87" customFormat="1">
      <c r="A204" s="90" t="str">
        <f t="shared" ref="A204:A267" si="28">IF(MID(B204,3,2)="08",ROW(),"")</f>
        <v/>
      </c>
      <c r="B204" s="99">
        <v>5</v>
      </c>
      <c r="C204" s="92">
        <v>4</v>
      </c>
      <c r="D204" s="92">
        <v>7</v>
      </c>
      <c r="E204" s="92">
        <v>-5</v>
      </c>
      <c r="F204" s="92">
        <v>-2</v>
      </c>
      <c r="G204" s="92" t="s">
        <v>202</v>
      </c>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5"/>
    </row>
    <row r="205" spans="1:53" s="87" customFormat="1">
      <c r="A205" s="90" t="str">
        <f t="shared" si="28"/>
        <v/>
      </c>
      <c r="B205" s="98">
        <v>6</v>
      </c>
      <c r="C205" s="94">
        <v>-5</v>
      </c>
      <c r="D205" s="94">
        <v>-8</v>
      </c>
      <c r="E205" s="94">
        <v>4</v>
      </c>
      <c r="F205" s="94" t="s">
        <v>202</v>
      </c>
      <c r="G205" s="94">
        <v>3</v>
      </c>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5"/>
    </row>
    <row r="206" spans="1:53" s="87" customFormat="1">
      <c r="A206" s="90" t="str">
        <f t="shared" si="28"/>
        <v/>
      </c>
      <c r="B206" s="98">
        <v>7</v>
      </c>
      <c r="C206" s="94" t="s">
        <v>202</v>
      </c>
      <c r="D206" s="94">
        <v>2</v>
      </c>
      <c r="E206" s="94">
        <v>6</v>
      </c>
      <c r="F206" s="94">
        <v>-8</v>
      </c>
      <c r="G206" s="94">
        <v>-3</v>
      </c>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c r="AZ206" s="94"/>
      <c r="BA206" s="95"/>
    </row>
    <row r="207" spans="1:53" s="87" customFormat="1">
      <c r="A207" s="90" t="str">
        <f t="shared" si="28"/>
        <v/>
      </c>
      <c r="B207" s="98">
        <v>8</v>
      </c>
      <c r="C207" s="94">
        <v>-3</v>
      </c>
      <c r="D207" s="94" t="s">
        <v>202</v>
      </c>
      <c r="E207" s="94">
        <v>-4</v>
      </c>
      <c r="F207" s="94">
        <v>8</v>
      </c>
      <c r="G207" s="94">
        <v>6</v>
      </c>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5"/>
    </row>
    <row r="208" spans="1:53" s="87" customFormat="1">
      <c r="A208" s="90" t="str">
        <f t="shared" si="28"/>
        <v/>
      </c>
      <c r="B208" s="98">
        <v>9</v>
      </c>
      <c r="C208" s="94">
        <v>5</v>
      </c>
      <c r="D208" s="94">
        <v>-2</v>
      </c>
      <c r="E208" s="94" t="s">
        <v>202</v>
      </c>
      <c r="F208" s="94">
        <v>1</v>
      </c>
      <c r="G208" s="94">
        <v>-6</v>
      </c>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5"/>
    </row>
    <row r="209" spans="1:53" s="87" customFormat="1">
      <c r="A209" s="90" t="str">
        <f t="shared" si="28"/>
        <v/>
      </c>
      <c r="B209" s="99">
        <v>10</v>
      </c>
      <c r="C209" s="92">
        <v>3</v>
      </c>
      <c r="D209" s="92">
        <v>8</v>
      </c>
      <c r="E209" s="92">
        <v>-6</v>
      </c>
      <c r="F209" s="92">
        <v>-1</v>
      </c>
      <c r="G209" s="92" t="s">
        <v>202</v>
      </c>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5"/>
    </row>
    <row r="210" spans="1:53" s="87" customFormat="1">
      <c r="A210" s="90" t="str">
        <f t="shared" si="28"/>
        <v/>
      </c>
      <c r="B210" s="98">
        <v>11</v>
      </c>
      <c r="C210" s="94" t="s">
        <v>210</v>
      </c>
      <c r="D210" s="94">
        <v>-4</v>
      </c>
      <c r="E210" s="94">
        <v>-1</v>
      </c>
      <c r="F210" s="94">
        <v>5</v>
      </c>
      <c r="G210" s="94">
        <v>2</v>
      </c>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5"/>
    </row>
    <row r="211" spans="1:53" s="87" customFormat="1">
      <c r="A211" s="90" t="str">
        <f t="shared" si="28"/>
        <v/>
      </c>
      <c r="B211" s="98">
        <v>12</v>
      </c>
      <c r="C211" s="94" t="s">
        <v>210</v>
      </c>
      <c r="D211" s="94">
        <v>5</v>
      </c>
      <c r="E211" s="94">
        <v>8</v>
      </c>
      <c r="F211" s="94">
        <v>-4</v>
      </c>
      <c r="G211" s="94">
        <v>-2</v>
      </c>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c r="AW211" s="94"/>
      <c r="AX211" s="94"/>
      <c r="AY211" s="94"/>
      <c r="AZ211" s="94"/>
      <c r="BA211" s="95"/>
    </row>
    <row r="212" spans="1:53" s="87" customFormat="1">
      <c r="A212" s="90" t="str">
        <f t="shared" si="28"/>
        <v/>
      </c>
      <c r="B212" s="98">
        <v>13</v>
      </c>
      <c r="C212" s="94" t="s">
        <v>210</v>
      </c>
      <c r="D212" s="94">
        <v>3</v>
      </c>
      <c r="E212" s="94">
        <v>-8</v>
      </c>
      <c r="F212" s="94">
        <v>-5</v>
      </c>
      <c r="G212" s="94">
        <v>7</v>
      </c>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5"/>
    </row>
    <row r="213" spans="1:53" s="87" customFormat="1">
      <c r="A213" s="90" t="str">
        <f t="shared" si="28"/>
        <v/>
      </c>
      <c r="B213" s="99">
        <v>14</v>
      </c>
      <c r="C213" s="92" t="s">
        <v>210</v>
      </c>
      <c r="D213" s="92">
        <v>-6</v>
      </c>
      <c r="E213" s="92">
        <v>1</v>
      </c>
      <c r="F213" s="92">
        <v>4</v>
      </c>
      <c r="G213" s="92">
        <v>-7</v>
      </c>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5"/>
    </row>
    <row r="214" spans="1:53" s="87" customFormat="1">
      <c r="A214" s="90" t="str">
        <f t="shared" si="28"/>
        <v/>
      </c>
      <c r="B214" s="98">
        <v>15</v>
      </c>
      <c r="C214" s="94" t="s">
        <v>210</v>
      </c>
      <c r="D214" s="94">
        <v>4</v>
      </c>
      <c r="E214" s="94">
        <v>2</v>
      </c>
      <c r="F214" s="94">
        <v>-6</v>
      </c>
      <c r="G214" s="94">
        <v>-1</v>
      </c>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5"/>
    </row>
    <row r="215" spans="1:53" s="87" customFormat="1">
      <c r="A215" s="90" t="str">
        <f t="shared" si="28"/>
        <v/>
      </c>
      <c r="B215" s="98">
        <v>16</v>
      </c>
      <c r="C215" s="94" t="s">
        <v>210</v>
      </c>
      <c r="D215" s="94">
        <v>-5</v>
      </c>
      <c r="E215" s="94">
        <v>-7</v>
      </c>
      <c r="F215" s="94">
        <v>3</v>
      </c>
      <c r="G215" s="94">
        <v>1</v>
      </c>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94"/>
      <c r="AW215" s="94"/>
      <c r="AX215" s="94"/>
      <c r="AY215" s="94"/>
      <c r="AZ215" s="94"/>
      <c r="BA215" s="95"/>
    </row>
    <row r="216" spans="1:53" s="87" customFormat="1">
      <c r="A216" s="90" t="str">
        <f t="shared" si="28"/>
        <v/>
      </c>
      <c r="B216" s="98">
        <v>17</v>
      </c>
      <c r="C216" s="94" t="s">
        <v>210</v>
      </c>
      <c r="D216" s="94">
        <v>-3</v>
      </c>
      <c r="E216" s="94">
        <v>7</v>
      </c>
      <c r="F216" s="94">
        <v>6</v>
      </c>
      <c r="G216" s="94">
        <v>-8</v>
      </c>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5"/>
    </row>
    <row r="217" spans="1:53" s="87" customFormat="1">
      <c r="A217" s="90" t="str">
        <f t="shared" si="28"/>
        <v/>
      </c>
      <c r="B217" s="98">
        <v>18</v>
      </c>
      <c r="C217" s="94" t="s">
        <v>210</v>
      </c>
      <c r="D217" s="94">
        <v>6</v>
      </c>
      <c r="E217" s="94">
        <v>-2</v>
      </c>
      <c r="F217" s="94">
        <v>-3</v>
      </c>
      <c r="G217" s="94">
        <v>8</v>
      </c>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c r="AZ217" s="94"/>
      <c r="BA217" s="95"/>
    </row>
    <row r="218" spans="1:53" s="87" customFormat="1">
      <c r="A218" s="90" t="str">
        <f t="shared" si="28"/>
        <v/>
      </c>
      <c r="B218" s="98" t="s">
        <v>461</v>
      </c>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5"/>
    </row>
    <row r="219" spans="1:53" s="87" customFormat="1">
      <c r="A219" s="90">
        <f t="shared" si="28"/>
        <v>219</v>
      </c>
      <c r="B219" s="98" t="s">
        <v>462</v>
      </c>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94"/>
      <c r="AW219" s="94"/>
      <c r="AX219" s="94"/>
      <c r="AY219" s="94"/>
      <c r="AZ219" s="94"/>
      <c r="BA219" s="95"/>
    </row>
    <row r="220" spans="1:53" s="87" customFormat="1">
      <c r="A220" s="90" t="str">
        <f t="shared" si="28"/>
        <v/>
      </c>
      <c r="B220" s="98">
        <v>1</v>
      </c>
      <c r="C220" s="94">
        <v>-5</v>
      </c>
      <c r="D220" s="94" t="s">
        <v>202</v>
      </c>
      <c r="E220" s="94">
        <v>-7</v>
      </c>
      <c r="F220" s="94">
        <v>3</v>
      </c>
      <c r="G220" s="94">
        <v>4</v>
      </c>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5"/>
    </row>
    <row r="221" spans="1:53" s="87" customFormat="1">
      <c r="A221" s="90" t="str">
        <f t="shared" si="28"/>
        <v/>
      </c>
      <c r="B221" s="98">
        <v>2</v>
      </c>
      <c r="C221" s="94">
        <v>2</v>
      </c>
      <c r="D221" s="94">
        <v>-1</v>
      </c>
      <c r="E221" s="94" t="s">
        <v>202</v>
      </c>
      <c r="F221" s="94">
        <v>6</v>
      </c>
      <c r="G221" s="94">
        <v>-4</v>
      </c>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5"/>
    </row>
    <row r="222" spans="1:53" s="87" customFormat="1">
      <c r="A222" s="90" t="str">
        <f t="shared" si="28"/>
        <v/>
      </c>
      <c r="B222" s="98">
        <v>3</v>
      </c>
      <c r="C222" s="94">
        <v>-2</v>
      </c>
      <c r="D222" s="94">
        <v>-3</v>
      </c>
      <c r="E222" s="94">
        <v>7</v>
      </c>
      <c r="F222" s="94" t="s">
        <v>202</v>
      </c>
      <c r="G222" s="94">
        <v>5</v>
      </c>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5"/>
    </row>
    <row r="223" spans="1:53" s="87" customFormat="1">
      <c r="A223" s="90" t="str">
        <f t="shared" si="28"/>
        <v/>
      </c>
      <c r="B223" s="98">
        <v>4</v>
      </c>
      <c r="C223" s="94" t="s">
        <v>202</v>
      </c>
      <c r="D223" s="94">
        <v>1</v>
      </c>
      <c r="E223" s="94">
        <v>4</v>
      </c>
      <c r="F223" s="94">
        <v>-3</v>
      </c>
      <c r="G223" s="94">
        <v>-5</v>
      </c>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c r="AI223" s="94"/>
      <c r="AJ223" s="94"/>
      <c r="AK223" s="94"/>
      <c r="AL223" s="94"/>
      <c r="AM223" s="94"/>
      <c r="AN223" s="94"/>
      <c r="AO223" s="94"/>
      <c r="AP223" s="94"/>
      <c r="AQ223" s="94"/>
      <c r="AR223" s="94"/>
      <c r="AS223" s="94"/>
      <c r="AT223" s="94"/>
      <c r="AU223" s="94"/>
      <c r="AV223" s="94"/>
      <c r="AW223" s="94"/>
      <c r="AX223" s="94"/>
      <c r="AY223" s="94"/>
      <c r="AZ223" s="94"/>
      <c r="BA223" s="95"/>
    </row>
    <row r="224" spans="1:53" s="87" customFormat="1">
      <c r="A224" s="90" t="str">
        <f t="shared" si="28"/>
        <v/>
      </c>
      <c r="B224" s="99">
        <v>5</v>
      </c>
      <c r="C224" s="92">
        <v>5</v>
      </c>
      <c r="D224" s="92">
        <v>3</v>
      </c>
      <c r="E224" s="92">
        <v>-4</v>
      </c>
      <c r="F224" s="92">
        <v>-6</v>
      </c>
      <c r="G224" s="92" t="s">
        <v>202</v>
      </c>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5"/>
    </row>
    <row r="225" spans="1:53" s="87" customFormat="1">
      <c r="A225" s="90" t="str">
        <f t="shared" si="28"/>
        <v/>
      </c>
      <c r="B225" s="98">
        <v>6</v>
      </c>
      <c r="C225" s="94">
        <v>-6</v>
      </c>
      <c r="D225" s="94" t="s">
        <v>202</v>
      </c>
      <c r="E225" s="94">
        <v>-1</v>
      </c>
      <c r="F225" s="94">
        <v>4</v>
      </c>
      <c r="G225" s="94">
        <v>3</v>
      </c>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c r="AI225" s="94"/>
      <c r="AJ225" s="94"/>
      <c r="AK225" s="94"/>
      <c r="AL225" s="94"/>
      <c r="AM225" s="94"/>
      <c r="AN225" s="94"/>
      <c r="AO225" s="94"/>
      <c r="AP225" s="94"/>
      <c r="AQ225" s="94"/>
      <c r="AR225" s="94"/>
      <c r="AS225" s="94"/>
      <c r="AT225" s="94"/>
      <c r="AU225" s="94"/>
      <c r="AV225" s="94"/>
      <c r="AW225" s="94"/>
      <c r="AX225" s="94"/>
      <c r="AY225" s="94"/>
      <c r="AZ225" s="94"/>
      <c r="BA225" s="95"/>
    </row>
    <row r="226" spans="1:53" s="87" customFormat="1">
      <c r="A226" s="90" t="str">
        <f t="shared" si="28"/>
        <v/>
      </c>
      <c r="B226" s="98">
        <v>7</v>
      </c>
      <c r="C226" s="94">
        <v>4</v>
      </c>
      <c r="D226" s="94">
        <v>-2</v>
      </c>
      <c r="E226" s="94" t="s">
        <v>202</v>
      </c>
      <c r="F226" s="94">
        <v>5</v>
      </c>
      <c r="G226" s="94">
        <v>-3</v>
      </c>
      <c r="H226" s="94"/>
      <c r="I226" s="94"/>
      <c r="J226" s="94"/>
      <c r="K226" s="94"/>
      <c r="L226" s="94"/>
      <c r="M226" s="94"/>
      <c r="N226" s="94"/>
      <c r="O226" s="94"/>
      <c r="P226" s="94"/>
      <c r="Q226" s="94"/>
      <c r="R226" s="94"/>
      <c r="S226" s="94"/>
      <c r="T226" s="94"/>
      <c r="U226" s="94"/>
      <c r="V226" s="94"/>
      <c r="W226" s="94"/>
      <c r="X226" s="94"/>
      <c r="Y226" s="94"/>
      <c r="Z226" s="94"/>
      <c r="AA226" s="94"/>
      <c r="AB226" s="94"/>
      <c r="AC226" s="94"/>
      <c r="AD226" s="94"/>
      <c r="AE226" s="94"/>
      <c r="AF226" s="94"/>
      <c r="AG226" s="94"/>
      <c r="AH226" s="94"/>
      <c r="AI226" s="94"/>
      <c r="AJ226" s="94"/>
      <c r="AK226" s="94"/>
      <c r="AL226" s="94"/>
      <c r="AM226" s="94"/>
      <c r="AN226" s="94"/>
      <c r="AO226" s="94"/>
      <c r="AP226" s="94"/>
      <c r="AQ226" s="94"/>
      <c r="AR226" s="94"/>
      <c r="AS226" s="94"/>
      <c r="AT226" s="94"/>
      <c r="AU226" s="94"/>
      <c r="AV226" s="94"/>
      <c r="AW226" s="94"/>
      <c r="AX226" s="94"/>
      <c r="AY226" s="94"/>
      <c r="AZ226" s="94"/>
      <c r="BA226" s="95"/>
    </row>
    <row r="227" spans="1:53" s="87" customFormat="1">
      <c r="A227" s="90" t="str">
        <f t="shared" si="28"/>
        <v/>
      </c>
      <c r="B227" s="98">
        <v>8</v>
      </c>
      <c r="C227" s="94">
        <v>-4</v>
      </c>
      <c r="D227" s="94">
        <v>-7</v>
      </c>
      <c r="E227" s="94">
        <v>1</v>
      </c>
      <c r="F227" s="94" t="s">
        <v>202</v>
      </c>
      <c r="G227" s="94">
        <v>6</v>
      </c>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5"/>
    </row>
    <row r="228" spans="1:53" s="87" customFormat="1">
      <c r="A228" s="90" t="str">
        <f t="shared" si="28"/>
        <v/>
      </c>
      <c r="B228" s="98">
        <v>9</v>
      </c>
      <c r="C228" s="94" t="s">
        <v>202</v>
      </c>
      <c r="D228" s="94">
        <v>2</v>
      </c>
      <c r="E228" s="94">
        <v>8</v>
      </c>
      <c r="F228" s="94">
        <v>-4</v>
      </c>
      <c r="G228" s="94">
        <v>-6</v>
      </c>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5"/>
    </row>
    <row r="229" spans="1:53" s="87" customFormat="1">
      <c r="A229" s="90" t="str">
        <f t="shared" si="28"/>
        <v/>
      </c>
      <c r="B229" s="99">
        <v>10</v>
      </c>
      <c r="C229" s="92">
        <v>6</v>
      </c>
      <c r="D229" s="92">
        <v>7</v>
      </c>
      <c r="E229" s="92">
        <v>-8</v>
      </c>
      <c r="F229" s="92">
        <v>-5</v>
      </c>
      <c r="G229" s="92" t="s">
        <v>202</v>
      </c>
      <c r="H229" s="94"/>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5"/>
    </row>
    <row r="230" spans="1:53" s="87" customFormat="1">
      <c r="A230" s="90" t="str">
        <f t="shared" si="28"/>
        <v/>
      </c>
      <c r="B230" s="98">
        <v>11</v>
      </c>
      <c r="C230" s="94">
        <v>-7</v>
      </c>
      <c r="D230" s="94" t="s">
        <v>202</v>
      </c>
      <c r="E230" s="94">
        <v>-5</v>
      </c>
      <c r="F230" s="94">
        <v>8</v>
      </c>
      <c r="G230" s="94">
        <v>2</v>
      </c>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c r="AW230" s="94"/>
      <c r="AX230" s="94"/>
      <c r="AY230" s="94"/>
      <c r="AZ230" s="94"/>
      <c r="BA230" s="95"/>
    </row>
    <row r="231" spans="1:53" s="87" customFormat="1">
      <c r="A231" s="90" t="str">
        <f t="shared" si="28"/>
        <v/>
      </c>
      <c r="B231" s="98">
        <v>12</v>
      </c>
      <c r="C231" s="94">
        <v>3</v>
      </c>
      <c r="D231" s="94">
        <v>-6</v>
      </c>
      <c r="E231" s="94" t="s">
        <v>202</v>
      </c>
      <c r="F231" s="94">
        <v>1</v>
      </c>
      <c r="G231" s="94">
        <v>-2</v>
      </c>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5"/>
    </row>
    <row r="232" spans="1:53" s="87" customFormat="1">
      <c r="A232" s="90" t="str">
        <f t="shared" si="28"/>
        <v/>
      </c>
      <c r="B232" s="98">
        <v>13</v>
      </c>
      <c r="C232" s="94">
        <v>-3</v>
      </c>
      <c r="D232" s="94">
        <v>-8</v>
      </c>
      <c r="E232" s="94">
        <v>5</v>
      </c>
      <c r="F232" s="94" t="s">
        <v>202</v>
      </c>
      <c r="G232" s="94">
        <v>7</v>
      </c>
      <c r="H232" s="94"/>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c r="AG232" s="94"/>
      <c r="AH232" s="94"/>
      <c r="AI232" s="94"/>
      <c r="AJ232" s="94"/>
      <c r="AK232" s="94"/>
      <c r="AL232" s="94"/>
      <c r="AM232" s="94"/>
      <c r="AN232" s="94"/>
      <c r="AO232" s="94"/>
      <c r="AP232" s="94"/>
      <c r="AQ232" s="94"/>
      <c r="AR232" s="94"/>
      <c r="AS232" s="94"/>
      <c r="AT232" s="94"/>
      <c r="AU232" s="94"/>
      <c r="AV232" s="94"/>
      <c r="AW232" s="94"/>
      <c r="AX232" s="94"/>
      <c r="AY232" s="94"/>
      <c r="AZ232" s="94"/>
      <c r="BA232" s="95"/>
    </row>
    <row r="233" spans="1:53" s="87" customFormat="1">
      <c r="A233" s="90" t="str">
        <f t="shared" si="28"/>
        <v/>
      </c>
      <c r="B233" s="98">
        <v>14</v>
      </c>
      <c r="C233" s="94" t="s">
        <v>202</v>
      </c>
      <c r="D233" s="94">
        <v>6</v>
      </c>
      <c r="E233" s="94">
        <v>2</v>
      </c>
      <c r="F233" s="94">
        <v>-8</v>
      </c>
      <c r="G233" s="94">
        <v>-7</v>
      </c>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5"/>
    </row>
    <row r="234" spans="1:53" s="87" customFormat="1">
      <c r="A234" s="90" t="str">
        <f t="shared" si="28"/>
        <v/>
      </c>
      <c r="B234" s="99">
        <v>15</v>
      </c>
      <c r="C234" s="92">
        <v>7</v>
      </c>
      <c r="D234" s="92">
        <v>8</v>
      </c>
      <c r="E234" s="92">
        <v>-2</v>
      </c>
      <c r="F234" s="92">
        <v>-1</v>
      </c>
      <c r="G234" s="92" t="s">
        <v>202</v>
      </c>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5"/>
    </row>
    <row r="235" spans="1:53" s="87" customFormat="1">
      <c r="A235" s="90" t="str">
        <f t="shared" si="28"/>
        <v/>
      </c>
      <c r="B235" s="98">
        <v>16</v>
      </c>
      <c r="C235" s="94" t="s">
        <v>210</v>
      </c>
      <c r="D235" s="94">
        <v>-4</v>
      </c>
      <c r="E235" s="94">
        <v>-6</v>
      </c>
      <c r="F235" s="94">
        <v>2</v>
      </c>
      <c r="G235" s="94">
        <v>1</v>
      </c>
      <c r="H235" s="94"/>
      <c r="I235" s="94"/>
      <c r="J235" s="94"/>
      <c r="K235" s="94"/>
      <c r="L235" s="94"/>
      <c r="M235" s="94"/>
      <c r="N235" s="94"/>
      <c r="O235" s="94"/>
      <c r="P235" s="94"/>
      <c r="Q235" s="94"/>
      <c r="R235" s="94"/>
      <c r="S235" s="94"/>
      <c r="T235" s="94"/>
      <c r="U235" s="94"/>
      <c r="V235" s="94"/>
      <c r="W235" s="94"/>
      <c r="X235" s="94"/>
      <c r="Y235" s="94"/>
      <c r="Z235" s="94"/>
      <c r="AA235" s="94"/>
      <c r="AB235" s="94"/>
      <c r="AC235" s="94"/>
      <c r="AD235" s="94"/>
      <c r="AE235" s="94"/>
      <c r="AF235" s="94"/>
      <c r="AG235" s="94"/>
      <c r="AH235" s="94"/>
      <c r="AI235" s="94"/>
      <c r="AJ235" s="94"/>
      <c r="AK235" s="94"/>
      <c r="AL235" s="94"/>
      <c r="AM235" s="94"/>
      <c r="AN235" s="94"/>
      <c r="AO235" s="94"/>
      <c r="AP235" s="94"/>
      <c r="AQ235" s="94"/>
      <c r="AR235" s="94"/>
      <c r="AS235" s="94"/>
      <c r="AT235" s="94"/>
      <c r="AU235" s="94"/>
      <c r="AV235" s="94"/>
      <c r="AW235" s="94"/>
      <c r="AX235" s="94"/>
      <c r="AY235" s="94"/>
      <c r="AZ235" s="94"/>
      <c r="BA235" s="95"/>
    </row>
    <row r="236" spans="1:53" s="87" customFormat="1">
      <c r="A236" s="90" t="str">
        <f t="shared" si="28"/>
        <v/>
      </c>
      <c r="B236" s="98">
        <v>17</v>
      </c>
      <c r="C236" s="94" t="s">
        <v>210</v>
      </c>
      <c r="D236" s="94">
        <v>4</v>
      </c>
      <c r="E236" s="94">
        <v>3</v>
      </c>
      <c r="F236" s="94">
        <v>-7</v>
      </c>
      <c r="G236" s="94">
        <v>-1</v>
      </c>
      <c r="H236" s="94"/>
      <c r="I236" s="94"/>
      <c r="J236" s="94"/>
      <c r="K236" s="94"/>
      <c r="L236" s="94"/>
      <c r="M236" s="94"/>
      <c r="N236" s="94"/>
      <c r="O236" s="94"/>
      <c r="P236" s="94"/>
      <c r="Q236" s="94"/>
      <c r="R236" s="94"/>
      <c r="S236" s="94"/>
      <c r="T236" s="94"/>
      <c r="U236" s="94"/>
      <c r="V236" s="94"/>
      <c r="W236" s="94"/>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5"/>
    </row>
    <row r="237" spans="1:53" s="87" customFormat="1">
      <c r="A237" s="90" t="str">
        <f t="shared" si="28"/>
        <v/>
      </c>
      <c r="B237" s="98">
        <v>18</v>
      </c>
      <c r="C237" s="94" t="s">
        <v>210</v>
      </c>
      <c r="D237" s="94">
        <v>5</v>
      </c>
      <c r="E237" s="94">
        <v>-3</v>
      </c>
      <c r="F237" s="94">
        <v>-2</v>
      </c>
      <c r="G237" s="94">
        <v>8</v>
      </c>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5"/>
    </row>
    <row r="238" spans="1:53" s="87" customFormat="1">
      <c r="A238" s="90" t="str">
        <f t="shared" si="28"/>
        <v/>
      </c>
      <c r="B238" s="98">
        <v>19</v>
      </c>
      <c r="C238" s="94" t="s">
        <v>210</v>
      </c>
      <c r="D238" s="94">
        <v>-5</v>
      </c>
      <c r="E238" s="94">
        <v>6</v>
      </c>
      <c r="F238" s="94">
        <v>7</v>
      </c>
      <c r="G238" s="94">
        <v>-8</v>
      </c>
      <c r="H238" s="94"/>
      <c r="I238" s="94"/>
      <c r="J238" s="94"/>
      <c r="K238" s="94"/>
      <c r="L238" s="94"/>
      <c r="M238" s="94"/>
      <c r="N238" s="94"/>
      <c r="O238" s="94"/>
      <c r="P238" s="94"/>
      <c r="Q238" s="94"/>
      <c r="R238" s="94"/>
      <c r="S238" s="94"/>
      <c r="T238" s="94"/>
      <c r="U238" s="94"/>
      <c r="V238" s="94"/>
      <c r="W238" s="94"/>
      <c r="X238" s="94"/>
      <c r="Y238" s="94"/>
      <c r="Z238" s="94"/>
      <c r="AA238" s="94"/>
      <c r="AB238" s="94"/>
      <c r="AC238" s="94"/>
      <c r="AD238" s="94"/>
      <c r="AE238" s="94"/>
      <c r="AF238" s="94"/>
      <c r="AG238" s="94"/>
      <c r="AH238" s="94"/>
      <c r="AI238" s="94"/>
      <c r="AJ238" s="94"/>
      <c r="AK238" s="94"/>
      <c r="AL238" s="94"/>
      <c r="AM238" s="94"/>
      <c r="AN238" s="94"/>
      <c r="AO238" s="94"/>
      <c r="AP238" s="94"/>
      <c r="AQ238" s="94"/>
      <c r="AR238" s="94"/>
      <c r="AS238" s="94"/>
      <c r="AT238" s="94"/>
      <c r="AU238" s="94"/>
      <c r="AV238" s="94"/>
      <c r="AW238" s="94"/>
      <c r="AX238" s="94"/>
      <c r="AY238" s="94"/>
      <c r="AZ238" s="94"/>
      <c r="BA238" s="95"/>
    </row>
    <row r="239" spans="1:53" s="87" customFormat="1">
      <c r="A239" s="90" t="str">
        <f t="shared" si="28"/>
        <v/>
      </c>
      <c r="B239" s="98" t="s">
        <v>463</v>
      </c>
      <c r="C239" s="94"/>
      <c r="D239" s="94"/>
      <c r="E239" s="94"/>
      <c r="F239" s="94"/>
      <c r="G239" s="94"/>
      <c r="H239" s="94"/>
      <c r="I239" s="94"/>
      <c r="J239" s="94"/>
      <c r="K239" s="94"/>
      <c r="L239" s="94"/>
      <c r="M239" s="94"/>
      <c r="N239" s="94"/>
      <c r="O239" s="94"/>
      <c r="P239" s="94"/>
      <c r="Q239" s="94"/>
      <c r="R239" s="94"/>
      <c r="S239" s="94"/>
      <c r="T239" s="94"/>
      <c r="U239" s="94"/>
      <c r="V239" s="94"/>
      <c r="W239" s="94"/>
      <c r="X239" s="94"/>
      <c r="Y239" s="94"/>
      <c r="Z239" s="94"/>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c r="AZ239" s="94"/>
      <c r="BA239" s="95"/>
    </row>
    <row r="240" spans="1:53" s="87" customFormat="1">
      <c r="A240" s="90">
        <f t="shared" si="28"/>
        <v>240</v>
      </c>
      <c r="B240" s="98" t="s">
        <v>464</v>
      </c>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5"/>
    </row>
    <row r="241" spans="1:53" s="87" customFormat="1">
      <c r="A241" s="90" t="str">
        <f t="shared" si="28"/>
        <v/>
      </c>
      <c r="B241" s="98">
        <v>1</v>
      </c>
      <c r="C241" s="94">
        <v>-7</v>
      </c>
      <c r="D241" s="94" t="s">
        <v>202</v>
      </c>
      <c r="E241" s="94">
        <v>-6</v>
      </c>
      <c r="F241" s="94">
        <v>3</v>
      </c>
      <c r="G241" s="94">
        <v>4</v>
      </c>
      <c r="H241" s="94"/>
      <c r="I241" s="94"/>
      <c r="J241" s="94"/>
      <c r="K241" s="94"/>
      <c r="L241" s="94"/>
      <c r="M241" s="94"/>
      <c r="N241" s="94"/>
      <c r="O241" s="94"/>
      <c r="P241" s="94"/>
      <c r="Q241" s="94"/>
      <c r="R241" s="94"/>
      <c r="S241" s="94"/>
      <c r="T241" s="94"/>
      <c r="U241" s="94"/>
      <c r="V241" s="94"/>
      <c r="W241" s="94"/>
      <c r="X241" s="94"/>
      <c r="Y241" s="94"/>
      <c r="Z241" s="94"/>
      <c r="AA241" s="94"/>
      <c r="AB241" s="94"/>
      <c r="AC241" s="94"/>
      <c r="AD241" s="94"/>
      <c r="AE241" s="94"/>
      <c r="AF241" s="94"/>
      <c r="AG241" s="94"/>
      <c r="AH241" s="94"/>
      <c r="AI241" s="94"/>
      <c r="AJ241" s="94"/>
      <c r="AK241" s="94"/>
      <c r="AL241" s="94"/>
      <c r="AM241" s="94"/>
      <c r="AN241" s="94"/>
      <c r="AO241" s="94"/>
      <c r="AP241" s="94"/>
      <c r="AQ241" s="94"/>
      <c r="AR241" s="94"/>
      <c r="AS241" s="94"/>
      <c r="AT241" s="94"/>
      <c r="AU241" s="94"/>
      <c r="AV241" s="94"/>
      <c r="AW241" s="94"/>
      <c r="AX241" s="94"/>
      <c r="AY241" s="94"/>
      <c r="AZ241" s="94"/>
      <c r="BA241" s="95"/>
    </row>
    <row r="242" spans="1:53" s="87" customFormat="1">
      <c r="A242" s="90" t="str">
        <f t="shared" si="28"/>
        <v/>
      </c>
      <c r="B242" s="98">
        <v>2</v>
      </c>
      <c r="C242" s="94">
        <v>2</v>
      </c>
      <c r="D242" s="94">
        <v>1</v>
      </c>
      <c r="E242" s="94" t="s">
        <v>202</v>
      </c>
      <c r="F242" s="94">
        <v>-5</v>
      </c>
      <c r="G242" s="94">
        <v>-4</v>
      </c>
      <c r="H242" s="94"/>
      <c r="I242" s="94"/>
      <c r="J242" s="94"/>
      <c r="K242" s="94"/>
      <c r="L242" s="94"/>
      <c r="M242" s="94"/>
      <c r="N242" s="94"/>
      <c r="O242" s="94"/>
      <c r="P242" s="94"/>
      <c r="Q242" s="94"/>
      <c r="R242" s="94"/>
      <c r="S242" s="94"/>
      <c r="T242" s="94"/>
      <c r="U242" s="94"/>
      <c r="V242" s="94"/>
      <c r="W242" s="94"/>
      <c r="X242" s="94"/>
      <c r="Y242" s="94"/>
      <c r="Z242" s="94"/>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5"/>
    </row>
    <row r="243" spans="1:53" s="87" customFormat="1">
      <c r="A243" s="90" t="str">
        <f t="shared" si="28"/>
        <v/>
      </c>
      <c r="B243" s="98">
        <v>3</v>
      </c>
      <c r="C243" s="94" t="s">
        <v>202</v>
      </c>
      <c r="D243" s="94">
        <v>-1</v>
      </c>
      <c r="E243" s="94">
        <v>4</v>
      </c>
      <c r="F243" s="94">
        <v>-3</v>
      </c>
      <c r="G243" s="94">
        <v>5</v>
      </c>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5"/>
    </row>
    <row r="244" spans="1:53" s="87" customFormat="1">
      <c r="A244" s="90" t="str">
        <f t="shared" si="28"/>
        <v/>
      </c>
      <c r="B244" s="98">
        <v>4</v>
      </c>
      <c r="C244" s="94">
        <v>-2</v>
      </c>
      <c r="D244" s="94">
        <v>8</v>
      </c>
      <c r="E244" s="94">
        <v>6</v>
      </c>
      <c r="F244" s="94" t="s">
        <v>202</v>
      </c>
      <c r="G244" s="94">
        <v>-5</v>
      </c>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5"/>
    </row>
    <row r="245" spans="1:53" s="87" customFormat="1">
      <c r="A245" s="90" t="str">
        <f t="shared" si="28"/>
        <v/>
      </c>
      <c r="B245" s="99">
        <v>5</v>
      </c>
      <c r="C245" s="92">
        <v>7</v>
      </c>
      <c r="D245" s="92">
        <v>-8</v>
      </c>
      <c r="E245" s="92">
        <v>-4</v>
      </c>
      <c r="F245" s="92">
        <v>5</v>
      </c>
      <c r="G245" s="92" t="s">
        <v>202</v>
      </c>
      <c r="H245" s="94"/>
      <c r="I245" s="94"/>
      <c r="J245" s="94"/>
      <c r="K245" s="94"/>
      <c r="L245" s="94"/>
      <c r="M245" s="94"/>
      <c r="N245" s="94"/>
      <c r="O245" s="94"/>
      <c r="P245" s="94"/>
      <c r="Q245" s="94"/>
      <c r="R245" s="94"/>
      <c r="S245" s="94"/>
      <c r="T245" s="94"/>
      <c r="U245" s="94"/>
      <c r="V245" s="94"/>
      <c r="W245" s="94"/>
      <c r="X245" s="94"/>
      <c r="Y245" s="94"/>
      <c r="Z245" s="94"/>
      <c r="AA245" s="94"/>
      <c r="AB245" s="94"/>
      <c r="AC245" s="94"/>
      <c r="AD245" s="94"/>
      <c r="AE245" s="94"/>
      <c r="AF245" s="94"/>
      <c r="AG245" s="94"/>
      <c r="AH245" s="94"/>
      <c r="AI245" s="94"/>
      <c r="AJ245" s="94"/>
      <c r="AK245" s="94"/>
      <c r="AL245" s="94"/>
      <c r="AM245" s="94"/>
      <c r="AN245" s="94"/>
      <c r="AO245" s="94"/>
      <c r="AP245" s="94"/>
      <c r="AQ245" s="94"/>
      <c r="AR245" s="94"/>
      <c r="AS245" s="94"/>
      <c r="AT245" s="94"/>
      <c r="AU245" s="94"/>
      <c r="AV245" s="94"/>
      <c r="AW245" s="94"/>
      <c r="AX245" s="94"/>
      <c r="AY245" s="94"/>
      <c r="AZ245" s="94"/>
      <c r="BA245" s="95"/>
    </row>
    <row r="246" spans="1:53" s="87" customFormat="1">
      <c r="A246" s="90" t="str">
        <f t="shared" si="28"/>
        <v/>
      </c>
      <c r="B246" s="98">
        <v>6</v>
      </c>
      <c r="C246" s="94">
        <v>8</v>
      </c>
      <c r="D246" s="94">
        <v>5</v>
      </c>
      <c r="E246" s="94" t="s">
        <v>202</v>
      </c>
      <c r="F246" s="94">
        <v>-6</v>
      </c>
      <c r="G246" s="94">
        <v>-3</v>
      </c>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5"/>
    </row>
    <row r="247" spans="1:53" s="87" customFormat="1">
      <c r="A247" s="90" t="str">
        <f t="shared" si="28"/>
        <v/>
      </c>
      <c r="B247" s="98">
        <v>7</v>
      </c>
      <c r="C247" s="94" t="s">
        <v>202</v>
      </c>
      <c r="D247" s="94">
        <v>-2</v>
      </c>
      <c r="E247" s="94">
        <v>-8</v>
      </c>
      <c r="F247" s="94">
        <v>4</v>
      </c>
      <c r="G247" s="94">
        <v>3</v>
      </c>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5"/>
    </row>
    <row r="248" spans="1:53" s="87" customFormat="1">
      <c r="A248" s="90" t="str">
        <f t="shared" si="28"/>
        <v/>
      </c>
      <c r="B248" s="98">
        <v>8</v>
      </c>
      <c r="C248" s="94">
        <v>-8</v>
      </c>
      <c r="D248" s="94" t="s">
        <v>202</v>
      </c>
      <c r="E248" s="94">
        <v>5</v>
      </c>
      <c r="F248" s="94">
        <v>-4</v>
      </c>
      <c r="G248" s="94">
        <v>6</v>
      </c>
      <c r="H248" s="94"/>
      <c r="I248" s="94"/>
      <c r="J248" s="94"/>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5"/>
    </row>
    <row r="249" spans="1:53" s="87" customFormat="1">
      <c r="A249" s="90" t="str">
        <f t="shared" si="28"/>
        <v/>
      </c>
      <c r="B249" s="98">
        <v>9</v>
      </c>
      <c r="C249" s="94">
        <v>4</v>
      </c>
      <c r="D249" s="94">
        <v>-5</v>
      </c>
      <c r="E249" s="94">
        <v>8</v>
      </c>
      <c r="F249" s="94" t="s">
        <v>202</v>
      </c>
      <c r="G249" s="94">
        <v>-6</v>
      </c>
      <c r="H249" s="94"/>
      <c r="I249" s="94"/>
      <c r="J249" s="94"/>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5"/>
    </row>
    <row r="250" spans="1:53" s="87" customFormat="1">
      <c r="A250" s="90" t="str">
        <f t="shared" si="28"/>
        <v/>
      </c>
      <c r="B250" s="99">
        <v>10</v>
      </c>
      <c r="C250" s="92">
        <v>-4</v>
      </c>
      <c r="D250" s="92">
        <v>2</v>
      </c>
      <c r="E250" s="92">
        <v>-5</v>
      </c>
      <c r="F250" s="92">
        <v>6</v>
      </c>
      <c r="G250" s="92" t="s">
        <v>202</v>
      </c>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5"/>
    </row>
    <row r="251" spans="1:53" s="87" customFormat="1">
      <c r="A251" s="90" t="str">
        <f t="shared" si="28"/>
        <v/>
      </c>
      <c r="B251" s="98">
        <v>11</v>
      </c>
      <c r="C251" s="94">
        <v>-1</v>
      </c>
      <c r="D251" s="94">
        <v>4</v>
      </c>
      <c r="E251" s="94">
        <v>3</v>
      </c>
      <c r="F251" s="94" t="s">
        <v>202</v>
      </c>
      <c r="G251" s="94">
        <v>-2</v>
      </c>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5"/>
    </row>
    <row r="252" spans="1:53" s="87" customFormat="1">
      <c r="A252" s="90" t="str">
        <f t="shared" si="28"/>
        <v/>
      </c>
      <c r="B252" s="98">
        <v>12</v>
      </c>
      <c r="C252" s="94" t="s">
        <v>202</v>
      </c>
      <c r="D252" s="94">
        <v>-6</v>
      </c>
      <c r="E252" s="94">
        <v>7</v>
      </c>
      <c r="F252" s="94">
        <v>-1</v>
      </c>
      <c r="G252" s="94">
        <v>2</v>
      </c>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5"/>
    </row>
    <row r="253" spans="1:53" s="87" customFormat="1">
      <c r="A253" s="90" t="str">
        <f t="shared" si="28"/>
        <v/>
      </c>
      <c r="B253" s="98">
        <v>13</v>
      </c>
      <c r="C253" s="94">
        <v>-5</v>
      </c>
      <c r="D253" s="94" t="s">
        <v>202</v>
      </c>
      <c r="E253" s="94">
        <v>-3</v>
      </c>
      <c r="F253" s="94">
        <v>1</v>
      </c>
      <c r="G253" s="94">
        <v>7</v>
      </c>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5"/>
    </row>
    <row r="254" spans="1:53" s="87" customFormat="1">
      <c r="A254" s="90" t="str">
        <f t="shared" si="28"/>
        <v/>
      </c>
      <c r="B254" s="98">
        <v>14</v>
      </c>
      <c r="C254" s="94">
        <v>1</v>
      </c>
      <c r="D254" s="94">
        <v>6</v>
      </c>
      <c r="E254" s="94" t="s">
        <v>202</v>
      </c>
      <c r="F254" s="94">
        <v>-8</v>
      </c>
      <c r="G254" s="94">
        <v>-7</v>
      </c>
      <c r="H254" s="94"/>
      <c r="I254" s="94"/>
      <c r="J254" s="94"/>
      <c r="K254" s="94"/>
      <c r="L254" s="94"/>
      <c r="M254" s="94"/>
      <c r="N254" s="94"/>
      <c r="O254" s="94"/>
      <c r="P254" s="94"/>
      <c r="Q254" s="94"/>
      <c r="R254" s="94"/>
      <c r="S254" s="94"/>
      <c r="T254" s="94"/>
      <c r="U254" s="94"/>
      <c r="V254" s="94"/>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5"/>
    </row>
    <row r="255" spans="1:53" s="87" customFormat="1">
      <c r="A255" s="90" t="str">
        <f t="shared" si="28"/>
        <v/>
      </c>
      <c r="B255" s="99">
        <v>15</v>
      </c>
      <c r="C255" s="92">
        <v>5</v>
      </c>
      <c r="D255" s="92">
        <v>-4</v>
      </c>
      <c r="E255" s="92">
        <v>-7</v>
      </c>
      <c r="F255" s="92">
        <v>8</v>
      </c>
      <c r="G255" s="92" t="s">
        <v>202</v>
      </c>
      <c r="H255" s="92"/>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5"/>
    </row>
    <row r="256" spans="1:53" s="87" customFormat="1">
      <c r="A256" s="90" t="str">
        <f t="shared" si="28"/>
        <v/>
      </c>
      <c r="B256" s="98">
        <v>16</v>
      </c>
      <c r="C256" s="94">
        <v>-3</v>
      </c>
      <c r="D256" s="94" t="s">
        <v>202</v>
      </c>
      <c r="E256" s="94">
        <v>-2</v>
      </c>
      <c r="F256" s="94">
        <v>7</v>
      </c>
      <c r="G256" s="94">
        <v>1</v>
      </c>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5"/>
    </row>
    <row r="257" spans="1:53" s="87" customFormat="1">
      <c r="A257" s="90" t="str">
        <f t="shared" si="28"/>
        <v/>
      </c>
      <c r="B257" s="98">
        <v>17</v>
      </c>
      <c r="C257" s="94">
        <v>6</v>
      </c>
      <c r="D257" s="94">
        <v>3</v>
      </c>
      <c r="E257" s="94" t="s">
        <v>202</v>
      </c>
      <c r="F257" s="94">
        <v>-2</v>
      </c>
      <c r="G257" s="94">
        <v>-1</v>
      </c>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5"/>
    </row>
    <row r="258" spans="1:53" s="87" customFormat="1">
      <c r="A258" s="90" t="str">
        <f t="shared" si="28"/>
        <v/>
      </c>
      <c r="B258" s="98">
        <v>18</v>
      </c>
      <c r="C258" s="94">
        <v>-6</v>
      </c>
      <c r="D258" s="94">
        <v>7</v>
      </c>
      <c r="E258" s="94">
        <v>2</v>
      </c>
      <c r="F258" s="94" t="s">
        <v>202</v>
      </c>
      <c r="G258" s="94">
        <v>-8</v>
      </c>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5"/>
    </row>
    <row r="259" spans="1:53" s="87" customFormat="1">
      <c r="A259" s="90" t="str">
        <f t="shared" si="28"/>
        <v/>
      </c>
      <c r="B259" s="98">
        <v>19</v>
      </c>
      <c r="C259" s="94" t="s">
        <v>202</v>
      </c>
      <c r="D259" s="94">
        <v>-3</v>
      </c>
      <c r="E259" s="94">
        <v>1</v>
      </c>
      <c r="F259" s="94">
        <v>-7</v>
      </c>
      <c r="G259" s="94">
        <v>8</v>
      </c>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5"/>
    </row>
    <row r="260" spans="1:53" s="87" customFormat="1">
      <c r="A260" s="90" t="str">
        <f t="shared" si="28"/>
        <v/>
      </c>
      <c r="B260" s="98">
        <v>20</v>
      </c>
      <c r="C260" s="94">
        <v>3</v>
      </c>
      <c r="D260" s="94">
        <v>-7</v>
      </c>
      <c r="E260" s="94">
        <v>-1</v>
      </c>
      <c r="F260" s="94">
        <v>2</v>
      </c>
      <c r="G260" s="94" t="s">
        <v>202</v>
      </c>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5"/>
    </row>
    <row r="261" spans="1:53" s="87" customFormat="1">
      <c r="A261" s="90" t="str">
        <f t="shared" si="28"/>
        <v/>
      </c>
      <c r="B261" s="98" t="s">
        <v>465</v>
      </c>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5"/>
    </row>
    <row r="262" spans="1:53" s="87" customFormat="1">
      <c r="A262" s="90">
        <f t="shared" si="28"/>
        <v>262</v>
      </c>
      <c r="B262" s="98" t="s">
        <v>466</v>
      </c>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5"/>
    </row>
    <row r="263" spans="1:53" s="87" customFormat="1">
      <c r="A263" s="90" t="str">
        <f t="shared" si="28"/>
        <v/>
      </c>
      <c r="B263" s="98">
        <v>1</v>
      </c>
      <c r="C263" s="94">
        <v>2</v>
      </c>
      <c r="D263" s="94" t="s">
        <v>210</v>
      </c>
      <c r="E263" s="94" t="s">
        <v>210</v>
      </c>
      <c r="F263" s="94">
        <v>-4</v>
      </c>
      <c r="G263" s="94">
        <v>-7</v>
      </c>
      <c r="H263" s="94" t="s">
        <v>210</v>
      </c>
      <c r="I263" s="94" t="s">
        <v>210</v>
      </c>
      <c r="J263" s="94">
        <v>1</v>
      </c>
      <c r="K263" s="94">
        <v>-3</v>
      </c>
      <c r="L263" s="94" t="s">
        <v>210</v>
      </c>
      <c r="M263" s="94" t="s">
        <v>210</v>
      </c>
      <c r="N263" s="94">
        <v>5</v>
      </c>
      <c r="O263" s="94">
        <v>6</v>
      </c>
      <c r="P263" s="94" t="s">
        <v>210</v>
      </c>
      <c r="Q263" s="94" t="s">
        <v>210</v>
      </c>
      <c r="R263" s="94">
        <v>-2</v>
      </c>
      <c r="S263" s="94">
        <v>7</v>
      </c>
      <c r="T263" s="94" t="s">
        <v>210</v>
      </c>
      <c r="U263" s="94">
        <v>-8</v>
      </c>
      <c r="V263" s="94" t="s">
        <v>210</v>
      </c>
      <c r="W263" s="94">
        <v>-5</v>
      </c>
      <c r="X263" s="94" t="s">
        <v>210</v>
      </c>
      <c r="Y263" s="94" t="s">
        <v>210</v>
      </c>
      <c r="Z263" s="94">
        <v>-6</v>
      </c>
      <c r="AA263" s="94">
        <v>-1</v>
      </c>
      <c r="AB263" s="94" t="s">
        <v>210</v>
      </c>
      <c r="AC263" s="94" t="s">
        <v>210</v>
      </c>
      <c r="AD263" s="94">
        <v>3</v>
      </c>
      <c r="AE263" s="94">
        <v>4</v>
      </c>
      <c r="AF263" s="94" t="s">
        <v>210</v>
      </c>
      <c r="AG263" s="94"/>
      <c r="AH263" s="94"/>
      <c r="AI263" s="94"/>
      <c r="AJ263" s="94"/>
      <c r="AK263" s="94"/>
      <c r="AL263" s="94"/>
      <c r="AM263" s="94"/>
      <c r="AN263" s="94"/>
      <c r="AO263" s="94"/>
      <c r="AP263" s="94"/>
      <c r="AQ263" s="94"/>
      <c r="AR263" s="94"/>
      <c r="AS263" s="94"/>
      <c r="AT263" s="94"/>
      <c r="AU263" s="94"/>
      <c r="AV263" s="94"/>
      <c r="AW263" s="94"/>
      <c r="AX263" s="94"/>
      <c r="AY263" s="94"/>
      <c r="AZ263" s="94"/>
      <c r="BA263" s="95"/>
    </row>
    <row r="264" spans="1:53" s="87" customFormat="1">
      <c r="A264" s="90" t="str">
        <f t="shared" si="28"/>
        <v/>
      </c>
      <c r="B264" s="98">
        <v>2</v>
      </c>
      <c r="C264" s="94">
        <v>-5</v>
      </c>
      <c r="D264" s="94" t="s">
        <v>210</v>
      </c>
      <c r="E264" s="94" t="s">
        <v>210</v>
      </c>
      <c r="F264" s="94">
        <v>2</v>
      </c>
      <c r="G264" s="94">
        <v>1</v>
      </c>
      <c r="H264" s="94" t="s">
        <v>210</v>
      </c>
      <c r="I264" s="94" t="s">
        <v>210</v>
      </c>
      <c r="J264" s="94">
        <v>-7</v>
      </c>
      <c r="K264" s="94">
        <v>4</v>
      </c>
      <c r="L264" s="94" t="s">
        <v>210</v>
      </c>
      <c r="M264" s="94" t="s">
        <v>210</v>
      </c>
      <c r="N264" s="94">
        <v>6</v>
      </c>
      <c r="O264" s="94">
        <v>3</v>
      </c>
      <c r="P264" s="94" t="s">
        <v>210</v>
      </c>
      <c r="Q264" s="94" t="s">
        <v>210</v>
      </c>
      <c r="R264" s="94">
        <v>-1</v>
      </c>
      <c r="S264" s="94">
        <v>5</v>
      </c>
      <c r="T264" s="94" t="s">
        <v>210</v>
      </c>
      <c r="U264" s="94" t="s">
        <v>210</v>
      </c>
      <c r="V264" s="94">
        <v>7</v>
      </c>
      <c r="W264" s="94">
        <v>-2</v>
      </c>
      <c r="X264" s="94" t="s">
        <v>210</v>
      </c>
      <c r="Y264" s="94">
        <v>8</v>
      </c>
      <c r="Z264" s="94" t="s">
        <v>210</v>
      </c>
      <c r="AA264" s="94">
        <v>-3</v>
      </c>
      <c r="AB264" s="94" t="s">
        <v>210</v>
      </c>
      <c r="AC264" s="94" t="s">
        <v>210</v>
      </c>
      <c r="AD264" s="94">
        <v>-6</v>
      </c>
      <c r="AE264" s="94">
        <v>-4</v>
      </c>
      <c r="AF264" s="94" t="s">
        <v>210</v>
      </c>
      <c r="AG264" s="94"/>
      <c r="AH264" s="94"/>
      <c r="AI264" s="94"/>
      <c r="AJ264" s="94"/>
      <c r="AK264" s="94"/>
      <c r="AL264" s="94"/>
      <c r="AM264" s="94"/>
      <c r="AN264" s="94"/>
      <c r="AO264" s="94"/>
      <c r="AP264" s="94"/>
      <c r="AQ264" s="94"/>
      <c r="AR264" s="94"/>
      <c r="AS264" s="94"/>
      <c r="AT264" s="94"/>
      <c r="AU264" s="94"/>
      <c r="AV264" s="94"/>
      <c r="AW264" s="94"/>
      <c r="AX264" s="94"/>
      <c r="AY264" s="94"/>
      <c r="AZ264" s="94"/>
      <c r="BA264" s="95"/>
    </row>
    <row r="265" spans="1:53" s="87" customFormat="1">
      <c r="A265" s="90" t="str">
        <f t="shared" si="28"/>
        <v/>
      </c>
      <c r="B265" s="98">
        <v>3</v>
      </c>
      <c r="C265" s="94">
        <v>6</v>
      </c>
      <c r="D265" s="94" t="s">
        <v>210</v>
      </c>
      <c r="E265" s="94" t="s">
        <v>210</v>
      </c>
      <c r="F265" s="94">
        <v>-1</v>
      </c>
      <c r="G265" s="94">
        <v>2</v>
      </c>
      <c r="H265" s="94" t="s">
        <v>210</v>
      </c>
      <c r="I265" s="94" t="s">
        <v>210</v>
      </c>
      <c r="J265" s="94">
        <v>-4</v>
      </c>
      <c r="K265" s="94">
        <v>7</v>
      </c>
      <c r="L265" s="94" t="s">
        <v>210</v>
      </c>
      <c r="M265" s="94" t="s">
        <v>210</v>
      </c>
      <c r="N265" s="94">
        <v>-3</v>
      </c>
      <c r="O265" s="94">
        <v>-5</v>
      </c>
      <c r="P265" s="94" t="s">
        <v>210</v>
      </c>
      <c r="Q265" s="94" t="s">
        <v>210</v>
      </c>
      <c r="R265" s="94">
        <v>4</v>
      </c>
      <c r="S265" s="94">
        <v>-7</v>
      </c>
      <c r="T265" s="94" t="s">
        <v>210</v>
      </c>
      <c r="U265" s="94" t="s">
        <v>210</v>
      </c>
      <c r="V265" s="94">
        <v>-2</v>
      </c>
      <c r="W265" s="94">
        <v>-6</v>
      </c>
      <c r="X265" s="94" t="s">
        <v>210</v>
      </c>
      <c r="Y265" s="94" t="s">
        <v>210</v>
      </c>
      <c r="Z265" s="94">
        <v>1</v>
      </c>
      <c r="AA265" s="94">
        <v>3</v>
      </c>
      <c r="AB265" s="94" t="s">
        <v>210</v>
      </c>
      <c r="AC265" s="94">
        <v>8</v>
      </c>
      <c r="AD265" s="94" t="s">
        <v>210</v>
      </c>
      <c r="AE265" s="94">
        <v>5</v>
      </c>
      <c r="AF265" s="94" t="s">
        <v>210</v>
      </c>
      <c r="AG265" s="94"/>
      <c r="AH265" s="94"/>
      <c r="AI265" s="94"/>
      <c r="AJ265" s="94"/>
      <c r="AK265" s="94"/>
      <c r="AL265" s="94"/>
      <c r="AM265" s="94"/>
      <c r="AN265" s="94"/>
      <c r="AO265" s="94"/>
      <c r="AP265" s="94"/>
      <c r="AQ265" s="94"/>
      <c r="AR265" s="94"/>
      <c r="AS265" s="94"/>
      <c r="AT265" s="94"/>
      <c r="AU265" s="94"/>
      <c r="AV265" s="94"/>
      <c r="AW265" s="94"/>
      <c r="AX265" s="94"/>
      <c r="AY265" s="94"/>
      <c r="AZ265" s="94"/>
      <c r="BA265" s="95"/>
    </row>
    <row r="266" spans="1:53" s="87" customFormat="1">
      <c r="A266" s="90" t="str">
        <f t="shared" si="28"/>
        <v/>
      </c>
      <c r="B266" s="98">
        <v>4</v>
      </c>
      <c r="C266" s="94">
        <v>1</v>
      </c>
      <c r="D266" s="94" t="s">
        <v>210</v>
      </c>
      <c r="E266" s="94" t="s">
        <v>210</v>
      </c>
      <c r="F266" s="94">
        <v>-7</v>
      </c>
      <c r="G266" s="94">
        <v>-6</v>
      </c>
      <c r="H266" s="94" t="s">
        <v>210</v>
      </c>
      <c r="I266" s="94" t="s">
        <v>210</v>
      </c>
      <c r="J266" s="94">
        <v>3</v>
      </c>
      <c r="K266" s="94">
        <v>5</v>
      </c>
      <c r="L266" s="94" t="s">
        <v>210</v>
      </c>
      <c r="M266" s="94" t="s">
        <v>210</v>
      </c>
      <c r="N266" s="94">
        <v>-4</v>
      </c>
      <c r="O266" s="94">
        <v>-2</v>
      </c>
      <c r="P266" s="94" t="s">
        <v>210</v>
      </c>
      <c r="Q266" s="94" t="s">
        <v>210</v>
      </c>
      <c r="R266" s="94">
        <v>-3</v>
      </c>
      <c r="S266" s="94">
        <v>-1</v>
      </c>
      <c r="T266" s="94" t="s">
        <v>210</v>
      </c>
      <c r="U266" s="94" t="s">
        <v>210</v>
      </c>
      <c r="V266" s="94">
        <v>4</v>
      </c>
      <c r="W266" s="94">
        <v>2</v>
      </c>
      <c r="X266" s="94" t="s">
        <v>210</v>
      </c>
      <c r="Y266" s="94" t="s">
        <v>210</v>
      </c>
      <c r="Z266" s="94">
        <v>6</v>
      </c>
      <c r="AA266" s="94">
        <v>-8</v>
      </c>
      <c r="AB266" s="94" t="s">
        <v>210</v>
      </c>
      <c r="AC266" s="94" t="s">
        <v>210</v>
      </c>
      <c r="AD266" s="94">
        <v>7</v>
      </c>
      <c r="AE266" s="94">
        <v>-5</v>
      </c>
      <c r="AF266" s="94" t="s">
        <v>210</v>
      </c>
      <c r="AG266" s="94"/>
      <c r="AH266" s="94"/>
      <c r="AI266" s="94"/>
      <c r="AJ266" s="94"/>
      <c r="AK266" s="94"/>
      <c r="AL266" s="94"/>
      <c r="AM266" s="94"/>
      <c r="AN266" s="94"/>
      <c r="AO266" s="94"/>
      <c r="AP266" s="94"/>
      <c r="AQ266" s="94"/>
      <c r="AR266" s="94"/>
      <c r="AS266" s="94"/>
      <c r="AT266" s="94"/>
      <c r="AU266" s="94"/>
      <c r="AV266" s="94"/>
      <c r="AW266" s="94"/>
      <c r="AX266" s="94"/>
      <c r="AY266" s="94"/>
      <c r="AZ266" s="94"/>
      <c r="BA266" s="95"/>
    </row>
    <row r="267" spans="1:53" s="87" customFormat="1">
      <c r="A267" s="90" t="str">
        <f t="shared" si="28"/>
        <v/>
      </c>
      <c r="B267" s="98">
        <v>5</v>
      </c>
      <c r="C267" s="94">
        <v>-7</v>
      </c>
      <c r="D267" s="94" t="s">
        <v>210</v>
      </c>
      <c r="E267" s="94" t="s">
        <v>210</v>
      </c>
      <c r="F267" s="94">
        <v>3</v>
      </c>
      <c r="G267" s="94">
        <v>-5</v>
      </c>
      <c r="H267" s="94" t="s">
        <v>210</v>
      </c>
      <c r="I267" s="94" t="s">
        <v>210</v>
      </c>
      <c r="J267" s="94">
        <v>-6</v>
      </c>
      <c r="K267" s="94">
        <v>-2</v>
      </c>
      <c r="L267" s="94" t="s">
        <v>210</v>
      </c>
      <c r="M267" s="94" t="s">
        <v>210</v>
      </c>
      <c r="N267" s="94">
        <v>1</v>
      </c>
      <c r="O267" s="94">
        <v>4</v>
      </c>
      <c r="P267" s="94" t="s">
        <v>210</v>
      </c>
      <c r="Q267" s="94" t="s">
        <v>210</v>
      </c>
      <c r="R267" s="94">
        <v>7</v>
      </c>
      <c r="S267" s="94">
        <v>-8</v>
      </c>
      <c r="T267" s="94" t="s">
        <v>210</v>
      </c>
      <c r="U267" s="94" t="s">
        <v>210</v>
      </c>
      <c r="V267" s="94">
        <v>-4</v>
      </c>
      <c r="W267" s="94">
        <v>5</v>
      </c>
      <c r="X267" s="94" t="s">
        <v>210</v>
      </c>
      <c r="Y267" s="94" t="s">
        <v>210</v>
      </c>
      <c r="Z267" s="94">
        <v>-1</v>
      </c>
      <c r="AA267" s="94">
        <v>2</v>
      </c>
      <c r="AB267" s="94" t="s">
        <v>210</v>
      </c>
      <c r="AC267" s="94" t="s">
        <v>210</v>
      </c>
      <c r="AD267" s="94">
        <v>6</v>
      </c>
      <c r="AE267" s="94">
        <v>-3</v>
      </c>
      <c r="AF267" s="94" t="s">
        <v>210</v>
      </c>
      <c r="AG267" s="94"/>
      <c r="AH267" s="94"/>
      <c r="AI267" s="94"/>
      <c r="AJ267" s="94"/>
      <c r="AK267" s="94"/>
      <c r="AL267" s="94"/>
      <c r="AM267" s="94"/>
      <c r="AN267" s="94"/>
      <c r="AO267" s="94"/>
      <c r="AP267" s="94"/>
      <c r="AQ267" s="94"/>
      <c r="AR267" s="94"/>
      <c r="AS267" s="94"/>
      <c r="AT267" s="94"/>
      <c r="AU267" s="94"/>
      <c r="AV267" s="94"/>
      <c r="AW267" s="94"/>
      <c r="AX267" s="94"/>
      <c r="AY267" s="94"/>
      <c r="AZ267" s="94"/>
      <c r="BA267" s="95"/>
    </row>
    <row r="268" spans="1:53" s="87" customFormat="1">
      <c r="A268" s="90" t="str">
        <f t="shared" ref="A268:A331" si="29">IF(MID(B268,3,2)="08",ROW(),"")</f>
        <v/>
      </c>
      <c r="B268" s="98">
        <v>6</v>
      </c>
      <c r="C268" s="94">
        <v>-3</v>
      </c>
      <c r="D268" s="94" t="s">
        <v>210</v>
      </c>
      <c r="E268" s="94" t="s">
        <v>210</v>
      </c>
      <c r="F268" s="94">
        <v>5</v>
      </c>
      <c r="G268" s="94">
        <v>-4</v>
      </c>
      <c r="H268" s="94" t="s">
        <v>210</v>
      </c>
      <c r="I268" s="94" t="s">
        <v>210</v>
      </c>
      <c r="J268" s="94">
        <v>-2</v>
      </c>
      <c r="K268" s="94">
        <v>6</v>
      </c>
      <c r="L268" s="94" t="s">
        <v>210</v>
      </c>
      <c r="M268" s="94" t="s">
        <v>210</v>
      </c>
      <c r="N268" s="94">
        <v>7</v>
      </c>
      <c r="O268" s="94">
        <v>-1</v>
      </c>
      <c r="P268" s="94" t="s">
        <v>210</v>
      </c>
      <c r="Q268" s="94" t="s">
        <v>210</v>
      </c>
      <c r="R268" s="94">
        <v>-6</v>
      </c>
      <c r="S268" s="94">
        <v>-5</v>
      </c>
      <c r="T268" s="94" t="s">
        <v>210</v>
      </c>
      <c r="U268" s="94" t="s">
        <v>210</v>
      </c>
      <c r="V268" s="94">
        <v>2</v>
      </c>
      <c r="W268" s="94">
        <v>-8</v>
      </c>
      <c r="X268" s="94" t="s">
        <v>210</v>
      </c>
      <c r="Y268" s="94" t="s">
        <v>210</v>
      </c>
      <c r="Z268" s="94">
        <v>4</v>
      </c>
      <c r="AA268" s="94">
        <v>1</v>
      </c>
      <c r="AB268" s="94" t="s">
        <v>210</v>
      </c>
      <c r="AC268" s="94" t="s">
        <v>210</v>
      </c>
      <c r="AD268" s="94">
        <v>-7</v>
      </c>
      <c r="AE268" s="94">
        <v>3</v>
      </c>
      <c r="AF268" s="94" t="s">
        <v>210</v>
      </c>
      <c r="AG268" s="94"/>
      <c r="AH268" s="94"/>
      <c r="AI268" s="94"/>
      <c r="AJ268" s="94"/>
      <c r="AK268" s="94"/>
      <c r="AL268" s="94"/>
      <c r="AM268" s="94"/>
      <c r="AN268" s="94"/>
      <c r="AO268" s="94"/>
      <c r="AP268" s="94"/>
      <c r="AQ268" s="94"/>
      <c r="AR268" s="94"/>
      <c r="AS268" s="94"/>
      <c r="AT268" s="94"/>
      <c r="AU268" s="94"/>
      <c r="AV268" s="94"/>
      <c r="AW268" s="94"/>
      <c r="AX268" s="94"/>
      <c r="AY268" s="94"/>
      <c r="AZ268" s="94"/>
      <c r="BA268" s="95"/>
    </row>
    <row r="269" spans="1:53" s="87" customFormat="1">
      <c r="A269" s="90" t="str">
        <f t="shared" si="29"/>
        <v/>
      </c>
      <c r="B269" s="98">
        <v>7</v>
      </c>
      <c r="C269" s="94">
        <v>-4</v>
      </c>
      <c r="D269" s="94" t="s">
        <v>210</v>
      </c>
      <c r="E269" s="94" t="s">
        <v>210</v>
      </c>
      <c r="F269" s="94">
        <v>-2</v>
      </c>
      <c r="G269" s="94">
        <v>7</v>
      </c>
      <c r="H269" s="94" t="s">
        <v>210</v>
      </c>
      <c r="I269" s="94" t="s">
        <v>210</v>
      </c>
      <c r="J269" s="94">
        <v>-3</v>
      </c>
      <c r="K269" s="94">
        <v>-6</v>
      </c>
      <c r="L269" s="94" t="s">
        <v>210</v>
      </c>
      <c r="M269" s="94" t="s">
        <v>210</v>
      </c>
      <c r="N269" s="94">
        <v>-1</v>
      </c>
      <c r="O269" s="94">
        <v>5</v>
      </c>
      <c r="P269" s="94" t="s">
        <v>210</v>
      </c>
      <c r="Q269" s="94">
        <v>-8</v>
      </c>
      <c r="R269" s="94" t="s">
        <v>210</v>
      </c>
      <c r="S269" s="94">
        <v>2</v>
      </c>
      <c r="T269" s="94" t="s">
        <v>210</v>
      </c>
      <c r="U269" s="94" t="s">
        <v>210</v>
      </c>
      <c r="V269" s="94">
        <v>1</v>
      </c>
      <c r="W269" s="94">
        <v>3</v>
      </c>
      <c r="X269" s="94" t="s">
        <v>210</v>
      </c>
      <c r="Y269" s="94" t="s">
        <v>210</v>
      </c>
      <c r="Z269" s="94">
        <v>-5</v>
      </c>
      <c r="AA269" s="94">
        <v>-7</v>
      </c>
      <c r="AB269" s="94" t="s">
        <v>210</v>
      </c>
      <c r="AC269" s="94" t="s">
        <v>210</v>
      </c>
      <c r="AD269" s="94">
        <v>4</v>
      </c>
      <c r="AE269" s="94">
        <v>6</v>
      </c>
      <c r="AF269" s="94" t="s">
        <v>210</v>
      </c>
      <c r="AG269" s="94"/>
      <c r="AH269" s="94"/>
      <c r="AI269" s="94"/>
      <c r="AJ269" s="94"/>
      <c r="AK269" s="94"/>
      <c r="AL269" s="94"/>
      <c r="AM269" s="94"/>
      <c r="AN269" s="94"/>
      <c r="AO269" s="94"/>
      <c r="AP269" s="94"/>
      <c r="AQ269" s="94"/>
      <c r="AR269" s="94"/>
      <c r="AS269" s="94"/>
      <c r="AT269" s="94"/>
      <c r="AU269" s="94"/>
      <c r="AV269" s="94"/>
      <c r="AW269" s="94"/>
      <c r="AX269" s="94"/>
      <c r="AY269" s="94"/>
      <c r="AZ269" s="94"/>
      <c r="BA269" s="95"/>
    </row>
    <row r="270" spans="1:53" s="87" customFormat="1">
      <c r="A270" s="90" t="str">
        <f t="shared" si="29"/>
        <v/>
      </c>
      <c r="B270" s="98">
        <v>8</v>
      </c>
      <c r="C270" s="94">
        <v>-2</v>
      </c>
      <c r="D270" s="94" t="s">
        <v>210</v>
      </c>
      <c r="E270" s="94" t="s">
        <v>210</v>
      </c>
      <c r="F270" s="94">
        <v>1</v>
      </c>
      <c r="G270" s="94">
        <v>-3</v>
      </c>
      <c r="H270" s="94" t="s">
        <v>210</v>
      </c>
      <c r="I270" s="94" t="s">
        <v>210</v>
      </c>
      <c r="J270" s="94">
        <v>7</v>
      </c>
      <c r="K270" s="94">
        <v>-5</v>
      </c>
      <c r="L270" s="94" t="s">
        <v>210</v>
      </c>
      <c r="M270" s="94">
        <v>-8</v>
      </c>
      <c r="N270" s="94" t="s">
        <v>210</v>
      </c>
      <c r="O270" s="94">
        <v>-4</v>
      </c>
      <c r="P270" s="94" t="s">
        <v>210</v>
      </c>
      <c r="Q270" s="94" t="s">
        <v>210</v>
      </c>
      <c r="R270" s="94">
        <v>6</v>
      </c>
      <c r="S270" s="94">
        <v>4</v>
      </c>
      <c r="T270" s="94" t="s">
        <v>210</v>
      </c>
      <c r="U270" s="94" t="s">
        <v>210</v>
      </c>
      <c r="V270" s="94">
        <v>3</v>
      </c>
      <c r="W270" s="94">
        <v>-7</v>
      </c>
      <c r="X270" s="94" t="s">
        <v>210</v>
      </c>
      <c r="Y270" s="94" t="s">
        <v>210</v>
      </c>
      <c r="Z270" s="94">
        <v>2</v>
      </c>
      <c r="AA270" s="94">
        <v>5</v>
      </c>
      <c r="AB270" s="94" t="s">
        <v>210</v>
      </c>
      <c r="AC270" s="94" t="s">
        <v>210</v>
      </c>
      <c r="AD270" s="94">
        <v>-1</v>
      </c>
      <c r="AE270" s="94">
        <v>-6</v>
      </c>
      <c r="AF270" s="94" t="s">
        <v>210</v>
      </c>
      <c r="AG270" s="94"/>
      <c r="AH270" s="94"/>
      <c r="AI270" s="94"/>
      <c r="AJ270" s="94"/>
      <c r="AK270" s="94"/>
      <c r="AL270" s="94"/>
      <c r="AM270" s="94"/>
      <c r="AN270" s="94"/>
      <c r="AO270" s="94"/>
      <c r="AP270" s="94"/>
      <c r="AQ270" s="94"/>
      <c r="AR270" s="94"/>
      <c r="AS270" s="94"/>
      <c r="AT270" s="94"/>
      <c r="AU270" s="94"/>
      <c r="AV270" s="94"/>
      <c r="AW270" s="94"/>
      <c r="AX270" s="94"/>
      <c r="AY270" s="94"/>
      <c r="AZ270" s="94"/>
      <c r="BA270" s="95"/>
    </row>
    <row r="271" spans="1:53" s="87" customFormat="1">
      <c r="A271" s="90" t="str">
        <f t="shared" si="29"/>
        <v/>
      </c>
      <c r="B271" s="98">
        <v>9</v>
      </c>
      <c r="C271" s="94">
        <v>5</v>
      </c>
      <c r="D271" s="94" t="s">
        <v>210</v>
      </c>
      <c r="E271" s="94" t="s">
        <v>210</v>
      </c>
      <c r="F271" s="94">
        <v>6</v>
      </c>
      <c r="G271" s="94">
        <v>-2</v>
      </c>
      <c r="H271" s="94" t="s">
        <v>210</v>
      </c>
      <c r="I271" s="94">
        <v>-8</v>
      </c>
      <c r="J271" s="94" t="s">
        <v>210</v>
      </c>
      <c r="K271" s="94">
        <v>3</v>
      </c>
      <c r="L271" s="94" t="s">
        <v>210</v>
      </c>
      <c r="M271" s="94" t="s">
        <v>210</v>
      </c>
      <c r="N271" s="94">
        <v>4</v>
      </c>
      <c r="O271" s="94">
        <v>1</v>
      </c>
      <c r="P271" s="94" t="s">
        <v>210</v>
      </c>
      <c r="Q271" s="94" t="s">
        <v>210</v>
      </c>
      <c r="R271" s="94">
        <v>-7</v>
      </c>
      <c r="S271" s="94">
        <v>-3</v>
      </c>
      <c r="T271" s="94" t="s">
        <v>210</v>
      </c>
      <c r="U271" s="94" t="s">
        <v>210</v>
      </c>
      <c r="V271" s="94">
        <v>-6</v>
      </c>
      <c r="W271" s="94">
        <v>-1</v>
      </c>
      <c r="X271" s="94" t="s">
        <v>210</v>
      </c>
      <c r="Y271" s="94" t="s">
        <v>210</v>
      </c>
      <c r="Z271" s="94">
        <v>7</v>
      </c>
      <c r="AA271" s="94">
        <v>-5</v>
      </c>
      <c r="AB271" s="94" t="s">
        <v>210</v>
      </c>
      <c r="AC271" s="94" t="s">
        <v>210</v>
      </c>
      <c r="AD271" s="94">
        <v>-4</v>
      </c>
      <c r="AE271" s="94">
        <v>2</v>
      </c>
      <c r="AF271" s="94" t="s">
        <v>210</v>
      </c>
      <c r="AG271" s="94"/>
      <c r="AH271" s="94"/>
      <c r="AI271" s="94"/>
      <c r="AJ271" s="94"/>
      <c r="AK271" s="94"/>
      <c r="AL271" s="94"/>
      <c r="AM271" s="94"/>
      <c r="AN271" s="94"/>
      <c r="AO271" s="94"/>
      <c r="AP271" s="94"/>
      <c r="AQ271" s="94"/>
      <c r="AR271" s="94"/>
      <c r="AS271" s="94"/>
      <c r="AT271" s="94"/>
      <c r="AU271" s="94"/>
      <c r="AV271" s="94"/>
      <c r="AW271" s="94"/>
      <c r="AX271" s="94"/>
      <c r="AY271" s="94"/>
      <c r="AZ271" s="94"/>
      <c r="BA271" s="95"/>
    </row>
    <row r="272" spans="1:53" s="87" customFormat="1">
      <c r="A272" s="90" t="str">
        <f t="shared" si="29"/>
        <v/>
      </c>
      <c r="B272" s="98">
        <v>10</v>
      </c>
      <c r="C272" s="94">
        <v>-6</v>
      </c>
      <c r="D272" s="94" t="s">
        <v>210</v>
      </c>
      <c r="E272" s="94" t="s">
        <v>210</v>
      </c>
      <c r="F272" s="94">
        <v>4</v>
      </c>
      <c r="G272" s="94">
        <v>-1</v>
      </c>
      <c r="H272" s="94" t="s">
        <v>210</v>
      </c>
      <c r="I272" s="94" t="s">
        <v>210</v>
      </c>
      <c r="J272" s="94">
        <v>-5</v>
      </c>
      <c r="K272" s="94">
        <v>2</v>
      </c>
      <c r="L272" s="94" t="s">
        <v>210</v>
      </c>
      <c r="M272" s="94" t="s">
        <v>210</v>
      </c>
      <c r="N272" s="94">
        <v>-7</v>
      </c>
      <c r="O272" s="94">
        <v>-8</v>
      </c>
      <c r="P272" s="94" t="s">
        <v>210</v>
      </c>
      <c r="Q272" s="94" t="s">
        <v>210</v>
      </c>
      <c r="R272" s="94">
        <v>3</v>
      </c>
      <c r="S272" s="94">
        <v>6</v>
      </c>
      <c r="T272" s="94" t="s">
        <v>210</v>
      </c>
      <c r="U272" s="94" t="s">
        <v>210</v>
      </c>
      <c r="V272" s="94">
        <v>5</v>
      </c>
      <c r="W272" s="94">
        <v>-4</v>
      </c>
      <c r="X272" s="94" t="s">
        <v>210</v>
      </c>
      <c r="Y272" s="94" t="s">
        <v>210</v>
      </c>
      <c r="Z272" s="94">
        <v>-3</v>
      </c>
      <c r="AA272" s="94">
        <v>7</v>
      </c>
      <c r="AB272" s="94" t="s">
        <v>210</v>
      </c>
      <c r="AC272" s="94" t="s">
        <v>210</v>
      </c>
      <c r="AD272" s="94">
        <v>1</v>
      </c>
      <c r="AE272" s="94">
        <v>-2</v>
      </c>
      <c r="AF272" s="94" t="s">
        <v>210</v>
      </c>
      <c r="AG272" s="94"/>
      <c r="AH272" s="94"/>
      <c r="AI272" s="94"/>
      <c r="AJ272" s="94"/>
      <c r="AK272" s="94"/>
      <c r="AL272" s="94"/>
      <c r="AM272" s="94"/>
      <c r="AN272" s="94"/>
      <c r="AO272" s="94"/>
      <c r="AP272" s="94"/>
      <c r="AQ272" s="94"/>
      <c r="AR272" s="94"/>
      <c r="AS272" s="94"/>
      <c r="AT272" s="94"/>
      <c r="AU272" s="94"/>
      <c r="AV272" s="94"/>
      <c r="AW272" s="94"/>
      <c r="AX272" s="94"/>
      <c r="AY272" s="94"/>
      <c r="AZ272" s="94"/>
      <c r="BA272" s="95"/>
    </row>
    <row r="273" spans="1:53" s="87" customFormat="1">
      <c r="A273" s="90" t="str">
        <f t="shared" si="29"/>
        <v/>
      </c>
      <c r="B273" s="98">
        <v>11</v>
      </c>
      <c r="C273" s="94">
        <v>-1</v>
      </c>
      <c r="D273" s="94" t="s">
        <v>210</v>
      </c>
      <c r="E273" s="94" t="s">
        <v>210</v>
      </c>
      <c r="F273" s="94">
        <v>-5</v>
      </c>
      <c r="G273" s="94">
        <v>-8</v>
      </c>
      <c r="H273" s="94" t="s">
        <v>210</v>
      </c>
      <c r="I273" s="94" t="s">
        <v>210</v>
      </c>
      <c r="J273" s="94">
        <v>6</v>
      </c>
      <c r="K273" s="94">
        <v>-4</v>
      </c>
      <c r="L273" s="94" t="s">
        <v>210</v>
      </c>
      <c r="M273" s="94" t="s">
        <v>210</v>
      </c>
      <c r="N273" s="94">
        <v>3</v>
      </c>
      <c r="O273" s="94">
        <v>-7</v>
      </c>
      <c r="P273" s="94" t="s">
        <v>210</v>
      </c>
      <c r="Q273" s="94" t="s">
        <v>210</v>
      </c>
      <c r="R273" s="94">
        <v>2</v>
      </c>
      <c r="S273" s="94">
        <v>-6</v>
      </c>
      <c r="T273" s="94" t="s">
        <v>210</v>
      </c>
      <c r="U273" s="94" t="s">
        <v>210</v>
      </c>
      <c r="V273" s="94">
        <v>-3</v>
      </c>
      <c r="W273" s="94">
        <v>1</v>
      </c>
      <c r="X273" s="94" t="s">
        <v>210</v>
      </c>
      <c r="Y273" s="94" t="s">
        <v>210</v>
      </c>
      <c r="Z273" s="94">
        <v>5</v>
      </c>
      <c r="AA273" s="94">
        <v>4</v>
      </c>
      <c r="AB273" s="94" t="s">
        <v>210</v>
      </c>
      <c r="AC273" s="94" t="s">
        <v>210</v>
      </c>
      <c r="AD273" s="94">
        <v>-2</v>
      </c>
      <c r="AE273" s="94">
        <v>7</v>
      </c>
      <c r="AF273" s="94" t="s">
        <v>210</v>
      </c>
      <c r="AG273" s="94"/>
      <c r="AH273" s="94"/>
      <c r="AI273" s="94"/>
      <c r="AJ273" s="94"/>
      <c r="AK273" s="94"/>
      <c r="AL273" s="94"/>
      <c r="AM273" s="94"/>
      <c r="AN273" s="94"/>
      <c r="AO273" s="94"/>
      <c r="AP273" s="94"/>
      <c r="AQ273" s="94"/>
      <c r="AR273" s="94"/>
      <c r="AS273" s="94"/>
      <c r="AT273" s="94"/>
      <c r="AU273" s="94"/>
      <c r="AV273" s="94"/>
      <c r="AW273" s="94"/>
      <c r="AX273" s="94"/>
      <c r="AY273" s="94"/>
      <c r="AZ273" s="94"/>
      <c r="BA273" s="95"/>
    </row>
    <row r="274" spans="1:53" s="87" customFormat="1">
      <c r="A274" s="90" t="str">
        <f t="shared" si="29"/>
        <v/>
      </c>
      <c r="B274" s="98">
        <v>12</v>
      </c>
      <c r="C274" s="94">
        <v>7</v>
      </c>
      <c r="D274" s="94" t="s">
        <v>210</v>
      </c>
      <c r="E274" s="94">
        <v>-8</v>
      </c>
      <c r="F274" s="94" t="s">
        <v>210</v>
      </c>
      <c r="G274" s="94">
        <v>6</v>
      </c>
      <c r="H274" s="94" t="s">
        <v>210</v>
      </c>
      <c r="I274" s="94" t="s">
        <v>210</v>
      </c>
      <c r="J274" s="94">
        <v>2</v>
      </c>
      <c r="K274" s="94">
        <v>1</v>
      </c>
      <c r="L274" s="94" t="s">
        <v>210</v>
      </c>
      <c r="M274" s="94" t="s">
        <v>210</v>
      </c>
      <c r="N274" s="94">
        <v>-5</v>
      </c>
      <c r="O274" s="94">
        <v>-3</v>
      </c>
      <c r="P274" s="94" t="s">
        <v>210</v>
      </c>
      <c r="Q274" s="94" t="s">
        <v>210</v>
      </c>
      <c r="R274" s="94">
        <v>-4</v>
      </c>
      <c r="S274" s="94">
        <v>3</v>
      </c>
      <c r="T274" s="94" t="s">
        <v>210</v>
      </c>
      <c r="U274" s="94" t="s">
        <v>210</v>
      </c>
      <c r="V274" s="94">
        <v>-1</v>
      </c>
      <c r="W274" s="94">
        <v>4</v>
      </c>
      <c r="X274" s="94" t="s">
        <v>210</v>
      </c>
      <c r="Y274" s="94" t="s">
        <v>210</v>
      </c>
      <c r="Z274" s="94">
        <v>-2</v>
      </c>
      <c r="AA274" s="94">
        <v>-6</v>
      </c>
      <c r="AB274" s="94" t="s">
        <v>210</v>
      </c>
      <c r="AC274" s="94" t="s">
        <v>210</v>
      </c>
      <c r="AD274" s="94">
        <v>5</v>
      </c>
      <c r="AE274" s="94">
        <v>-7</v>
      </c>
      <c r="AF274" s="94" t="s">
        <v>210</v>
      </c>
      <c r="AG274" s="94"/>
      <c r="AH274" s="94"/>
      <c r="AI274" s="94"/>
      <c r="AJ274" s="94"/>
      <c r="AK274" s="94"/>
      <c r="AL274" s="94"/>
      <c r="AM274" s="94"/>
      <c r="AN274" s="94"/>
      <c r="AO274" s="94"/>
      <c r="AP274" s="94"/>
      <c r="AQ274" s="94"/>
      <c r="AR274" s="94"/>
      <c r="AS274" s="94"/>
      <c r="AT274" s="94"/>
      <c r="AU274" s="94"/>
      <c r="AV274" s="94"/>
      <c r="AW274" s="94"/>
      <c r="AX274" s="94"/>
      <c r="AY274" s="94"/>
      <c r="AZ274" s="94"/>
      <c r="BA274" s="95"/>
    </row>
    <row r="275" spans="1:53" s="87" customFormat="1">
      <c r="A275" s="90" t="str">
        <f t="shared" si="29"/>
        <v/>
      </c>
      <c r="B275" s="98">
        <v>13</v>
      </c>
      <c r="C275" s="94">
        <v>3</v>
      </c>
      <c r="D275" s="94" t="s">
        <v>210</v>
      </c>
      <c r="E275" s="94" t="s">
        <v>210</v>
      </c>
      <c r="F275" s="94">
        <v>7</v>
      </c>
      <c r="G275" s="94">
        <v>5</v>
      </c>
      <c r="H275" s="94" t="s">
        <v>210</v>
      </c>
      <c r="I275" s="94" t="s">
        <v>210</v>
      </c>
      <c r="J275" s="94">
        <v>4</v>
      </c>
      <c r="K275" s="94">
        <v>-8</v>
      </c>
      <c r="L275" s="94" t="s">
        <v>210</v>
      </c>
      <c r="M275" s="94" t="s">
        <v>210</v>
      </c>
      <c r="N275" s="94">
        <v>-2</v>
      </c>
      <c r="O275" s="94">
        <v>-6</v>
      </c>
      <c r="P275" s="94" t="s">
        <v>210</v>
      </c>
      <c r="Q275" s="94" t="s">
        <v>210</v>
      </c>
      <c r="R275" s="94">
        <v>1</v>
      </c>
      <c r="S275" s="94">
        <v>-4</v>
      </c>
      <c r="T275" s="94" t="s">
        <v>210</v>
      </c>
      <c r="U275" s="94" t="s">
        <v>210</v>
      </c>
      <c r="V275" s="94">
        <v>-5</v>
      </c>
      <c r="W275" s="94">
        <v>-3</v>
      </c>
      <c r="X275" s="94" t="s">
        <v>210</v>
      </c>
      <c r="Y275" s="94" t="s">
        <v>210</v>
      </c>
      <c r="Z275" s="94">
        <v>-7</v>
      </c>
      <c r="AA275" s="94">
        <v>6</v>
      </c>
      <c r="AB275" s="94" t="s">
        <v>210</v>
      </c>
      <c r="AC275" s="94" t="s">
        <v>210</v>
      </c>
      <c r="AD275" s="94">
        <v>2</v>
      </c>
      <c r="AE275" s="94">
        <v>-1</v>
      </c>
      <c r="AF275" s="94" t="s">
        <v>210</v>
      </c>
      <c r="AG275" s="94"/>
      <c r="AH275" s="94"/>
      <c r="AI275" s="94"/>
      <c r="AJ275" s="94"/>
      <c r="AK275" s="94"/>
      <c r="AL275" s="94"/>
      <c r="AM275" s="94"/>
      <c r="AN275" s="94"/>
      <c r="AO275" s="94"/>
      <c r="AP275" s="94"/>
      <c r="AQ275" s="94"/>
      <c r="AR275" s="94"/>
      <c r="AS275" s="94"/>
      <c r="AT275" s="94"/>
      <c r="AU275" s="94"/>
      <c r="AV275" s="94"/>
      <c r="AW275" s="94"/>
      <c r="AX275" s="94"/>
      <c r="AY275" s="94"/>
      <c r="AZ275" s="94"/>
      <c r="BA275" s="95"/>
    </row>
    <row r="276" spans="1:53" s="87" customFormat="1">
      <c r="A276" s="90" t="str">
        <f t="shared" si="29"/>
        <v/>
      </c>
      <c r="B276" s="98">
        <v>14</v>
      </c>
      <c r="C276" s="94">
        <v>-8</v>
      </c>
      <c r="D276" s="94" t="s">
        <v>210</v>
      </c>
      <c r="E276" s="94" t="s">
        <v>210</v>
      </c>
      <c r="F276" s="94">
        <v>-3</v>
      </c>
      <c r="G276" s="94">
        <v>4</v>
      </c>
      <c r="H276" s="94" t="s">
        <v>210</v>
      </c>
      <c r="I276" s="94" t="s">
        <v>210</v>
      </c>
      <c r="J276" s="94">
        <v>-1</v>
      </c>
      <c r="K276" s="94">
        <v>-7</v>
      </c>
      <c r="L276" s="94" t="s">
        <v>210</v>
      </c>
      <c r="M276" s="94" t="s">
        <v>210</v>
      </c>
      <c r="N276" s="94">
        <v>-6</v>
      </c>
      <c r="O276" s="94">
        <v>2</v>
      </c>
      <c r="P276" s="94" t="s">
        <v>210</v>
      </c>
      <c r="Q276" s="94" t="s">
        <v>210</v>
      </c>
      <c r="R276" s="94">
        <v>5</v>
      </c>
      <c r="S276" s="94">
        <v>-2</v>
      </c>
      <c r="T276" s="94" t="s">
        <v>210</v>
      </c>
      <c r="U276" s="94" t="s">
        <v>210</v>
      </c>
      <c r="V276" s="94">
        <v>6</v>
      </c>
      <c r="W276" s="94">
        <v>7</v>
      </c>
      <c r="X276" s="94" t="s">
        <v>210</v>
      </c>
      <c r="Y276" s="94" t="s">
        <v>210</v>
      </c>
      <c r="Z276" s="94">
        <v>3</v>
      </c>
      <c r="AA276" s="94">
        <v>-4</v>
      </c>
      <c r="AB276" s="94" t="s">
        <v>210</v>
      </c>
      <c r="AC276" s="94" t="s">
        <v>210</v>
      </c>
      <c r="AD276" s="94">
        <v>-5</v>
      </c>
      <c r="AE276" s="94">
        <v>1</v>
      </c>
      <c r="AF276" s="94" t="s">
        <v>210</v>
      </c>
      <c r="AG276" s="94"/>
      <c r="AH276" s="94"/>
      <c r="AI276" s="94"/>
      <c r="AJ276" s="94"/>
      <c r="AK276" s="94"/>
      <c r="AL276" s="94"/>
      <c r="AM276" s="94"/>
      <c r="AN276" s="94"/>
      <c r="AO276" s="94"/>
      <c r="AP276" s="94"/>
      <c r="AQ276" s="94"/>
      <c r="AR276" s="94"/>
      <c r="AS276" s="94"/>
      <c r="AT276" s="94"/>
      <c r="AU276" s="94"/>
      <c r="AV276" s="94"/>
      <c r="AW276" s="94"/>
      <c r="AX276" s="94"/>
      <c r="AY276" s="94"/>
      <c r="AZ276" s="94"/>
      <c r="BA276" s="95"/>
    </row>
    <row r="277" spans="1:53" s="87" customFormat="1">
      <c r="A277" s="90" t="str">
        <f t="shared" si="29"/>
        <v/>
      </c>
      <c r="B277" s="99">
        <v>15</v>
      </c>
      <c r="C277" s="92">
        <v>4</v>
      </c>
      <c r="D277" s="92" t="s">
        <v>210</v>
      </c>
      <c r="E277" s="92" t="s">
        <v>210</v>
      </c>
      <c r="F277" s="92">
        <v>-6</v>
      </c>
      <c r="G277" s="92">
        <v>3</v>
      </c>
      <c r="H277" s="92" t="s">
        <v>210</v>
      </c>
      <c r="I277" s="92" t="s">
        <v>210</v>
      </c>
      <c r="J277" s="92">
        <v>5</v>
      </c>
      <c r="K277" s="92">
        <v>-1</v>
      </c>
      <c r="L277" s="92" t="s">
        <v>210</v>
      </c>
      <c r="M277" s="92" t="s">
        <v>210</v>
      </c>
      <c r="N277" s="92">
        <v>2</v>
      </c>
      <c r="O277" s="92">
        <v>7</v>
      </c>
      <c r="P277" s="92" t="s">
        <v>210</v>
      </c>
      <c r="Q277" s="92" t="s">
        <v>210</v>
      </c>
      <c r="R277" s="92">
        <v>-5</v>
      </c>
      <c r="S277" s="92">
        <v>1</v>
      </c>
      <c r="T277" s="92" t="s">
        <v>210</v>
      </c>
      <c r="U277" s="92" t="s">
        <v>210</v>
      </c>
      <c r="V277" s="92">
        <v>-7</v>
      </c>
      <c r="W277" s="92">
        <v>6</v>
      </c>
      <c r="X277" s="92" t="s">
        <v>210</v>
      </c>
      <c r="Y277" s="92" t="s">
        <v>210</v>
      </c>
      <c r="Z277" s="92">
        <v>-4</v>
      </c>
      <c r="AA277" s="92">
        <v>-2</v>
      </c>
      <c r="AB277" s="92" t="s">
        <v>210</v>
      </c>
      <c r="AC277" s="92" t="s">
        <v>210</v>
      </c>
      <c r="AD277" s="92">
        <v>-3</v>
      </c>
      <c r="AE277" s="92">
        <v>-8</v>
      </c>
      <c r="AF277" s="92" t="s">
        <v>210</v>
      </c>
      <c r="AG277" s="94"/>
      <c r="AH277" s="94"/>
      <c r="AI277" s="94"/>
      <c r="AJ277" s="94"/>
      <c r="AK277" s="94"/>
      <c r="AL277" s="94"/>
      <c r="AM277" s="94"/>
      <c r="AN277" s="94"/>
      <c r="AO277" s="94"/>
      <c r="AP277" s="94"/>
      <c r="AQ277" s="94"/>
      <c r="AR277" s="94"/>
      <c r="AS277" s="94"/>
      <c r="AT277" s="94"/>
      <c r="AU277" s="94"/>
      <c r="AV277" s="94"/>
      <c r="AW277" s="94"/>
      <c r="AX277" s="94"/>
      <c r="AY277" s="94"/>
      <c r="AZ277" s="94"/>
      <c r="BA277" s="95"/>
    </row>
    <row r="278" spans="1:53" s="87" customFormat="1">
      <c r="A278" s="90" t="str">
        <f t="shared" si="29"/>
        <v/>
      </c>
      <c r="B278" s="98">
        <v>16</v>
      </c>
      <c r="C278" s="94" t="s">
        <v>210</v>
      </c>
      <c r="D278" s="94">
        <v>-2</v>
      </c>
      <c r="E278" s="94">
        <v>4</v>
      </c>
      <c r="F278" s="94" t="s">
        <v>210</v>
      </c>
      <c r="G278" s="94" t="s">
        <v>210</v>
      </c>
      <c r="H278" s="94">
        <v>7</v>
      </c>
      <c r="I278" s="94">
        <v>-1</v>
      </c>
      <c r="J278" s="94" t="s">
        <v>210</v>
      </c>
      <c r="K278" s="94" t="s">
        <v>210</v>
      </c>
      <c r="L278" s="94">
        <v>3</v>
      </c>
      <c r="M278" s="94">
        <v>-5</v>
      </c>
      <c r="N278" s="94" t="s">
        <v>210</v>
      </c>
      <c r="O278" s="94" t="s">
        <v>210</v>
      </c>
      <c r="P278" s="94">
        <v>-6</v>
      </c>
      <c r="Q278" s="94">
        <v>2</v>
      </c>
      <c r="R278" s="94" t="s">
        <v>210</v>
      </c>
      <c r="S278" s="94" t="s">
        <v>210</v>
      </c>
      <c r="T278" s="94">
        <v>-7</v>
      </c>
      <c r="U278" s="94">
        <v>8</v>
      </c>
      <c r="V278" s="94" t="s">
        <v>210</v>
      </c>
      <c r="W278" s="94" t="s">
        <v>210</v>
      </c>
      <c r="X278" s="94">
        <v>5</v>
      </c>
      <c r="Y278" s="94">
        <v>6</v>
      </c>
      <c r="Z278" s="94" t="s">
        <v>210</v>
      </c>
      <c r="AA278" s="94" t="s">
        <v>210</v>
      </c>
      <c r="AB278" s="94">
        <v>1</v>
      </c>
      <c r="AC278" s="94">
        <v>-3</v>
      </c>
      <c r="AD278" s="94" t="s">
        <v>210</v>
      </c>
      <c r="AE278" s="94" t="s">
        <v>210</v>
      </c>
      <c r="AF278" s="94">
        <v>-4</v>
      </c>
      <c r="AG278" s="94"/>
      <c r="AH278" s="94"/>
      <c r="AI278" s="94"/>
      <c r="AJ278" s="94"/>
      <c r="AK278" s="94"/>
      <c r="AL278" s="94"/>
      <c r="AM278" s="94"/>
      <c r="AN278" s="94"/>
      <c r="AO278" s="94"/>
      <c r="AP278" s="94"/>
      <c r="AQ278" s="94"/>
      <c r="AR278" s="94"/>
      <c r="AS278" s="94"/>
      <c r="AT278" s="94"/>
      <c r="AU278" s="94"/>
      <c r="AV278" s="94"/>
      <c r="AW278" s="94"/>
      <c r="AX278" s="94"/>
      <c r="AY278" s="94"/>
      <c r="AZ278" s="94"/>
      <c r="BA278" s="95"/>
    </row>
    <row r="279" spans="1:53" s="87" customFormat="1">
      <c r="A279" s="90" t="str">
        <f t="shared" si="29"/>
        <v/>
      </c>
      <c r="B279" s="98">
        <v>17</v>
      </c>
      <c r="C279" s="94" t="s">
        <v>210</v>
      </c>
      <c r="D279" s="94">
        <v>5</v>
      </c>
      <c r="E279" s="94">
        <v>-2</v>
      </c>
      <c r="F279" s="94" t="s">
        <v>210</v>
      </c>
      <c r="G279" s="94" t="s">
        <v>210</v>
      </c>
      <c r="H279" s="94">
        <v>-1</v>
      </c>
      <c r="I279" s="94">
        <v>7</v>
      </c>
      <c r="J279" s="94" t="s">
        <v>210</v>
      </c>
      <c r="K279" s="94" t="s">
        <v>210</v>
      </c>
      <c r="L279" s="94">
        <v>-4</v>
      </c>
      <c r="M279" s="94">
        <v>-6</v>
      </c>
      <c r="N279" s="94" t="s">
        <v>210</v>
      </c>
      <c r="O279" s="94" t="s">
        <v>210</v>
      </c>
      <c r="P279" s="94">
        <v>-3</v>
      </c>
      <c r="Q279" s="94">
        <v>1</v>
      </c>
      <c r="R279" s="94" t="s">
        <v>210</v>
      </c>
      <c r="S279" s="94" t="s">
        <v>210</v>
      </c>
      <c r="T279" s="94">
        <v>-5</v>
      </c>
      <c r="U279" s="94">
        <v>-7</v>
      </c>
      <c r="V279" s="94" t="s">
        <v>210</v>
      </c>
      <c r="W279" s="94" t="s">
        <v>210</v>
      </c>
      <c r="X279" s="94">
        <v>2</v>
      </c>
      <c r="Y279" s="94">
        <v>-8</v>
      </c>
      <c r="Z279" s="94" t="s">
        <v>210</v>
      </c>
      <c r="AA279" s="94" t="s">
        <v>210</v>
      </c>
      <c r="AB279" s="94">
        <v>3</v>
      </c>
      <c r="AC279" s="94">
        <v>6</v>
      </c>
      <c r="AD279" s="94" t="s">
        <v>210</v>
      </c>
      <c r="AE279" s="94" t="s">
        <v>210</v>
      </c>
      <c r="AF279" s="94">
        <v>4</v>
      </c>
      <c r="AG279" s="94"/>
      <c r="AH279" s="94"/>
      <c r="AI279" s="94"/>
      <c r="AJ279" s="94"/>
      <c r="AK279" s="94"/>
      <c r="AL279" s="94"/>
      <c r="AM279" s="94"/>
      <c r="AN279" s="94"/>
      <c r="AO279" s="94"/>
      <c r="AP279" s="94"/>
      <c r="AQ279" s="94"/>
      <c r="AR279" s="94"/>
      <c r="AS279" s="94"/>
      <c r="AT279" s="94"/>
      <c r="AU279" s="94"/>
      <c r="AV279" s="94"/>
      <c r="AW279" s="94"/>
      <c r="AX279" s="94"/>
      <c r="AY279" s="94"/>
      <c r="AZ279" s="94"/>
      <c r="BA279" s="95"/>
    </row>
    <row r="280" spans="1:53" s="87" customFormat="1">
      <c r="A280" s="90" t="str">
        <f t="shared" si="29"/>
        <v/>
      </c>
      <c r="B280" s="98">
        <v>18</v>
      </c>
      <c r="C280" s="94" t="s">
        <v>210</v>
      </c>
      <c r="D280" s="94">
        <v>-6</v>
      </c>
      <c r="E280" s="94">
        <v>1</v>
      </c>
      <c r="F280" s="94" t="s">
        <v>210</v>
      </c>
      <c r="G280" s="94" t="s">
        <v>210</v>
      </c>
      <c r="H280" s="94">
        <v>-2</v>
      </c>
      <c r="I280" s="94">
        <v>4</v>
      </c>
      <c r="J280" s="94" t="s">
        <v>210</v>
      </c>
      <c r="K280" s="94" t="s">
        <v>210</v>
      </c>
      <c r="L280" s="94">
        <v>-7</v>
      </c>
      <c r="M280" s="94">
        <v>3</v>
      </c>
      <c r="N280" s="94" t="s">
        <v>210</v>
      </c>
      <c r="O280" s="94" t="s">
        <v>210</v>
      </c>
      <c r="P280" s="94">
        <v>5</v>
      </c>
      <c r="Q280" s="94">
        <v>-4</v>
      </c>
      <c r="R280" s="94" t="s">
        <v>210</v>
      </c>
      <c r="S280" s="94" t="s">
        <v>210</v>
      </c>
      <c r="T280" s="94">
        <v>7</v>
      </c>
      <c r="U280" s="94">
        <v>2</v>
      </c>
      <c r="V280" s="94" t="s">
        <v>210</v>
      </c>
      <c r="W280" s="94" t="s">
        <v>210</v>
      </c>
      <c r="X280" s="94">
        <v>6</v>
      </c>
      <c r="Y280" s="94">
        <v>-1</v>
      </c>
      <c r="Z280" s="94" t="s">
        <v>210</v>
      </c>
      <c r="AA280" s="94" t="s">
        <v>210</v>
      </c>
      <c r="AB280" s="94">
        <v>-3</v>
      </c>
      <c r="AC280" s="94">
        <v>-8</v>
      </c>
      <c r="AD280" s="94" t="s">
        <v>210</v>
      </c>
      <c r="AE280" s="94" t="s">
        <v>210</v>
      </c>
      <c r="AF280" s="94">
        <v>-5</v>
      </c>
      <c r="AG280" s="94"/>
      <c r="AH280" s="94"/>
      <c r="AI280" s="94"/>
      <c r="AJ280" s="94"/>
      <c r="AK280" s="94"/>
      <c r="AL280" s="94"/>
      <c r="AM280" s="94"/>
      <c r="AN280" s="94"/>
      <c r="AO280" s="94"/>
      <c r="AP280" s="94"/>
      <c r="AQ280" s="94"/>
      <c r="AR280" s="94"/>
      <c r="AS280" s="94"/>
      <c r="AT280" s="94"/>
      <c r="AU280" s="94"/>
      <c r="AV280" s="94"/>
      <c r="AW280" s="94"/>
      <c r="AX280" s="94"/>
      <c r="AY280" s="94"/>
      <c r="AZ280" s="94"/>
      <c r="BA280" s="95"/>
    </row>
    <row r="281" spans="1:53" s="87" customFormat="1">
      <c r="A281" s="90" t="str">
        <f t="shared" si="29"/>
        <v/>
      </c>
      <c r="B281" s="98">
        <v>19</v>
      </c>
      <c r="C281" s="94" t="s">
        <v>210</v>
      </c>
      <c r="D281" s="94">
        <v>-1</v>
      </c>
      <c r="E281" s="94">
        <v>7</v>
      </c>
      <c r="F281" s="94" t="s">
        <v>210</v>
      </c>
      <c r="G281" s="94" t="s">
        <v>210</v>
      </c>
      <c r="H281" s="94">
        <v>6</v>
      </c>
      <c r="I281" s="94">
        <v>-3</v>
      </c>
      <c r="J281" s="94" t="s">
        <v>210</v>
      </c>
      <c r="K281" s="94" t="s">
        <v>210</v>
      </c>
      <c r="L281" s="94">
        <v>-5</v>
      </c>
      <c r="M281" s="94">
        <v>4</v>
      </c>
      <c r="N281" s="94" t="s">
        <v>210</v>
      </c>
      <c r="O281" s="94" t="s">
        <v>210</v>
      </c>
      <c r="P281" s="94">
        <v>2</v>
      </c>
      <c r="Q281" s="94">
        <v>3</v>
      </c>
      <c r="R281" s="94" t="s">
        <v>210</v>
      </c>
      <c r="S281" s="94" t="s">
        <v>210</v>
      </c>
      <c r="T281" s="94">
        <v>1</v>
      </c>
      <c r="U281" s="94">
        <v>-4</v>
      </c>
      <c r="V281" s="94" t="s">
        <v>210</v>
      </c>
      <c r="W281" s="94" t="s">
        <v>210</v>
      </c>
      <c r="X281" s="94">
        <v>-2</v>
      </c>
      <c r="Y281" s="94">
        <v>-6</v>
      </c>
      <c r="Z281" s="94" t="s">
        <v>210</v>
      </c>
      <c r="AA281" s="94">
        <v>8</v>
      </c>
      <c r="AB281" s="94" t="s">
        <v>210</v>
      </c>
      <c r="AC281" s="94">
        <v>-7</v>
      </c>
      <c r="AD281" s="94" t="s">
        <v>210</v>
      </c>
      <c r="AE281" s="94" t="s">
        <v>210</v>
      </c>
      <c r="AF281" s="94">
        <v>5</v>
      </c>
      <c r="AG281" s="94"/>
      <c r="AH281" s="94"/>
      <c r="AI281" s="94"/>
      <c r="AJ281" s="94"/>
      <c r="AK281" s="94"/>
      <c r="AL281" s="94"/>
      <c r="AM281" s="94"/>
      <c r="AN281" s="94"/>
      <c r="AO281" s="94"/>
      <c r="AP281" s="94"/>
      <c r="AQ281" s="94"/>
      <c r="AR281" s="94"/>
      <c r="AS281" s="94"/>
      <c r="AT281" s="94"/>
      <c r="AU281" s="94"/>
      <c r="AV281" s="94"/>
      <c r="AW281" s="94"/>
      <c r="AX281" s="94"/>
      <c r="AY281" s="94"/>
      <c r="AZ281" s="94"/>
      <c r="BA281" s="95"/>
    </row>
    <row r="282" spans="1:53" s="87" customFormat="1">
      <c r="A282" s="90" t="str">
        <f t="shared" si="29"/>
        <v/>
      </c>
      <c r="B282" s="98">
        <v>20</v>
      </c>
      <c r="C282" s="94" t="s">
        <v>210</v>
      </c>
      <c r="D282" s="94">
        <v>7</v>
      </c>
      <c r="E282" s="94">
        <v>-3</v>
      </c>
      <c r="F282" s="94" t="s">
        <v>210</v>
      </c>
      <c r="G282" s="94" t="s">
        <v>210</v>
      </c>
      <c r="H282" s="94">
        <v>5</v>
      </c>
      <c r="I282" s="94">
        <v>6</v>
      </c>
      <c r="J282" s="94" t="s">
        <v>210</v>
      </c>
      <c r="K282" s="94" t="s">
        <v>210</v>
      </c>
      <c r="L282" s="94">
        <v>2</v>
      </c>
      <c r="M282" s="94">
        <v>-1</v>
      </c>
      <c r="N282" s="94" t="s">
        <v>210</v>
      </c>
      <c r="O282" s="94" t="s">
        <v>210</v>
      </c>
      <c r="P282" s="94">
        <v>-4</v>
      </c>
      <c r="Q282" s="94">
        <v>-7</v>
      </c>
      <c r="R282" s="94" t="s">
        <v>210</v>
      </c>
      <c r="S282" s="94">
        <v>8</v>
      </c>
      <c r="T282" s="94" t="s">
        <v>210</v>
      </c>
      <c r="U282" s="94">
        <v>4</v>
      </c>
      <c r="V282" s="94" t="s">
        <v>210</v>
      </c>
      <c r="W282" s="94" t="s">
        <v>210</v>
      </c>
      <c r="X282" s="94">
        <v>-5</v>
      </c>
      <c r="Y282" s="94">
        <v>1</v>
      </c>
      <c r="Z282" s="94" t="s">
        <v>210</v>
      </c>
      <c r="AA282" s="94" t="s">
        <v>210</v>
      </c>
      <c r="AB282" s="94">
        <v>-2</v>
      </c>
      <c r="AC282" s="94">
        <v>-6</v>
      </c>
      <c r="AD282" s="94" t="s">
        <v>210</v>
      </c>
      <c r="AE282" s="94" t="s">
        <v>210</v>
      </c>
      <c r="AF282" s="94">
        <v>3</v>
      </c>
      <c r="AG282" s="94"/>
      <c r="AH282" s="94"/>
      <c r="AI282" s="94"/>
      <c r="AJ282" s="94"/>
      <c r="AK282" s="94"/>
      <c r="AL282" s="94"/>
      <c r="AM282" s="94"/>
      <c r="AN282" s="94"/>
      <c r="AO282" s="94"/>
      <c r="AP282" s="94"/>
      <c r="AQ282" s="94"/>
      <c r="AR282" s="94"/>
      <c r="AS282" s="94"/>
      <c r="AT282" s="94"/>
      <c r="AU282" s="94"/>
      <c r="AV282" s="94"/>
      <c r="AW282" s="94"/>
      <c r="AX282" s="94"/>
      <c r="AY282" s="94"/>
      <c r="AZ282" s="94"/>
      <c r="BA282" s="95"/>
    </row>
    <row r="283" spans="1:53" s="87" customFormat="1">
      <c r="A283" s="90" t="str">
        <f t="shared" si="29"/>
        <v/>
      </c>
      <c r="B283" s="98">
        <v>21</v>
      </c>
      <c r="C283" s="94" t="s">
        <v>210</v>
      </c>
      <c r="D283" s="94">
        <v>3</v>
      </c>
      <c r="E283" s="94">
        <v>-5</v>
      </c>
      <c r="F283" s="94" t="s">
        <v>210</v>
      </c>
      <c r="G283" s="94" t="s">
        <v>210</v>
      </c>
      <c r="H283" s="94">
        <v>4</v>
      </c>
      <c r="I283" s="94">
        <v>2</v>
      </c>
      <c r="J283" s="94" t="s">
        <v>210</v>
      </c>
      <c r="K283" s="94" t="s">
        <v>210</v>
      </c>
      <c r="L283" s="94">
        <v>-6</v>
      </c>
      <c r="M283" s="94">
        <v>-7</v>
      </c>
      <c r="N283" s="94" t="s">
        <v>210</v>
      </c>
      <c r="O283" s="94" t="s">
        <v>210</v>
      </c>
      <c r="P283" s="94">
        <v>1</v>
      </c>
      <c r="Q283" s="94">
        <v>6</v>
      </c>
      <c r="R283" s="94" t="s">
        <v>210</v>
      </c>
      <c r="S283" s="94" t="s">
        <v>210</v>
      </c>
      <c r="T283" s="94">
        <v>5</v>
      </c>
      <c r="U283" s="94">
        <v>-2</v>
      </c>
      <c r="V283" s="94" t="s">
        <v>210</v>
      </c>
      <c r="W283" s="94">
        <v>8</v>
      </c>
      <c r="X283" s="94" t="s">
        <v>210</v>
      </c>
      <c r="Y283" s="94">
        <v>-4</v>
      </c>
      <c r="Z283" s="94" t="s">
        <v>210</v>
      </c>
      <c r="AA283" s="94" t="s">
        <v>210</v>
      </c>
      <c r="AB283" s="94">
        <v>-1</v>
      </c>
      <c r="AC283" s="94">
        <v>7</v>
      </c>
      <c r="AD283" s="94" t="s">
        <v>210</v>
      </c>
      <c r="AE283" s="94" t="s">
        <v>210</v>
      </c>
      <c r="AF283" s="94">
        <v>-3</v>
      </c>
      <c r="AG283" s="94"/>
      <c r="AH283" s="94"/>
      <c r="AI283" s="94"/>
      <c r="AJ283" s="94"/>
      <c r="AK283" s="94"/>
      <c r="AL283" s="94"/>
      <c r="AM283" s="94"/>
      <c r="AN283" s="94"/>
      <c r="AO283" s="94"/>
      <c r="AP283" s="94"/>
      <c r="AQ283" s="94"/>
      <c r="AR283" s="94"/>
      <c r="AS283" s="94"/>
      <c r="AT283" s="94"/>
      <c r="AU283" s="94"/>
      <c r="AV283" s="94"/>
      <c r="AW283" s="94"/>
      <c r="AX283" s="94"/>
      <c r="AY283" s="94"/>
      <c r="AZ283" s="94"/>
      <c r="BA283" s="95"/>
    </row>
    <row r="284" spans="1:53" s="87" customFormat="1">
      <c r="A284" s="90" t="str">
        <f t="shared" si="29"/>
        <v/>
      </c>
      <c r="B284" s="98">
        <v>22</v>
      </c>
      <c r="C284" s="94" t="s">
        <v>210</v>
      </c>
      <c r="D284" s="94">
        <v>4</v>
      </c>
      <c r="E284" s="94">
        <v>2</v>
      </c>
      <c r="F284" s="94" t="s">
        <v>210</v>
      </c>
      <c r="G284" s="94" t="s">
        <v>210</v>
      </c>
      <c r="H284" s="94">
        <v>-7</v>
      </c>
      <c r="I284" s="94">
        <v>3</v>
      </c>
      <c r="J284" s="94" t="s">
        <v>210</v>
      </c>
      <c r="K284" s="94" t="s">
        <v>210</v>
      </c>
      <c r="L284" s="94">
        <v>6</v>
      </c>
      <c r="M284" s="94">
        <v>1</v>
      </c>
      <c r="N284" s="94" t="s">
        <v>210</v>
      </c>
      <c r="O284" s="94" t="s">
        <v>210</v>
      </c>
      <c r="P284" s="94">
        <v>-5</v>
      </c>
      <c r="Q284" s="94">
        <v>8</v>
      </c>
      <c r="R284" s="94" t="s">
        <v>210</v>
      </c>
      <c r="S284" s="94" t="s">
        <v>210</v>
      </c>
      <c r="T284" s="94">
        <v>-2</v>
      </c>
      <c r="U284" s="94">
        <v>-1</v>
      </c>
      <c r="V284" s="94" t="s">
        <v>210</v>
      </c>
      <c r="W284" s="94" t="s">
        <v>210</v>
      </c>
      <c r="X284" s="94">
        <v>-3</v>
      </c>
      <c r="Y284" s="94">
        <v>5</v>
      </c>
      <c r="Z284" s="94" t="s">
        <v>210</v>
      </c>
      <c r="AA284" s="94" t="s">
        <v>210</v>
      </c>
      <c r="AB284" s="94">
        <v>7</v>
      </c>
      <c r="AC284" s="94">
        <v>-4</v>
      </c>
      <c r="AD284" s="94" t="s">
        <v>210</v>
      </c>
      <c r="AE284" s="94" t="s">
        <v>210</v>
      </c>
      <c r="AF284" s="94">
        <v>-6</v>
      </c>
      <c r="AG284" s="94"/>
      <c r="AH284" s="94"/>
      <c r="AI284" s="94"/>
      <c r="AJ284" s="94"/>
      <c r="AK284" s="94"/>
      <c r="AL284" s="94"/>
      <c r="AM284" s="94"/>
      <c r="AN284" s="94"/>
      <c r="AO284" s="94"/>
      <c r="AP284" s="94"/>
      <c r="AQ284" s="94"/>
      <c r="AR284" s="94"/>
      <c r="AS284" s="94"/>
      <c r="AT284" s="94"/>
      <c r="AU284" s="94"/>
      <c r="AV284" s="94"/>
      <c r="AW284" s="94"/>
      <c r="AX284" s="94"/>
      <c r="AY284" s="94"/>
      <c r="AZ284" s="94"/>
      <c r="BA284" s="95"/>
    </row>
    <row r="285" spans="1:53" s="87" customFormat="1">
      <c r="A285" s="90" t="str">
        <f t="shared" si="29"/>
        <v/>
      </c>
      <c r="B285" s="98">
        <v>23</v>
      </c>
      <c r="C285" s="94" t="s">
        <v>210</v>
      </c>
      <c r="D285" s="94">
        <v>2</v>
      </c>
      <c r="E285" s="94">
        <v>-1</v>
      </c>
      <c r="F285" s="94" t="s">
        <v>210</v>
      </c>
      <c r="G285" s="94" t="s">
        <v>210</v>
      </c>
      <c r="H285" s="94">
        <v>3</v>
      </c>
      <c r="I285" s="94">
        <v>-7</v>
      </c>
      <c r="J285" s="94" t="s">
        <v>210</v>
      </c>
      <c r="K285" s="94" t="s">
        <v>210</v>
      </c>
      <c r="L285" s="94">
        <v>5</v>
      </c>
      <c r="M285" s="94">
        <v>8</v>
      </c>
      <c r="N285" s="94" t="s">
        <v>210</v>
      </c>
      <c r="O285" s="94" t="s">
        <v>210</v>
      </c>
      <c r="P285" s="94">
        <v>4</v>
      </c>
      <c r="Q285" s="94">
        <v>-6</v>
      </c>
      <c r="R285" s="94" t="s">
        <v>210</v>
      </c>
      <c r="S285" s="94" t="s">
        <v>210</v>
      </c>
      <c r="T285" s="94">
        <v>-4</v>
      </c>
      <c r="U285" s="94">
        <v>-3</v>
      </c>
      <c r="V285" s="94" t="s">
        <v>210</v>
      </c>
      <c r="W285" s="94" t="s">
        <v>210</v>
      </c>
      <c r="X285" s="94">
        <v>7</v>
      </c>
      <c r="Y285" s="94">
        <v>-2</v>
      </c>
      <c r="Z285" s="94" t="s">
        <v>210</v>
      </c>
      <c r="AA285" s="94" t="s">
        <v>210</v>
      </c>
      <c r="AB285" s="94">
        <v>-5</v>
      </c>
      <c r="AC285" s="94">
        <v>1</v>
      </c>
      <c r="AD285" s="94" t="s">
        <v>210</v>
      </c>
      <c r="AE285" s="94" t="s">
        <v>210</v>
      </c>
      <c r="AF285" s="94">
        <v>6</v>
      </c>
      <c r="AG285" s="94"/>
      <c r="AH285" s="94"/>
      <c r="AI285" s="94"/>
      <c r="AJ285" s="94"/>
      <c r="AK285" s="94"/>
      <c r="AL285" s="94"/>
      <c r="AM285" s="94"/>
      <c r="AN285" s="94"/>
      <c r="AO285" s="94"/>
      <c r="AP285" s="94"/>
      <c r="AQ285" s="94"/>
      <c r="AR285" s="94"/>
      <c r="AS285" s="94"/>
      <c r="AT285" s="94"/>
      <c r="AU285" s="94"/>
      <c r="AV285" s="94"/>
      <c r="AW285" s="94"/>
      <c r="AX285" s="94"/>
      <c r="AY285" s="94"/>
      <c r="AZ285" s="94"/>
      <c r="BA285" s="95"/>
    </row>
    <row r="286" spans="1:53" s="87" customFormat="1">
      <c r="A286" s="90" t="str">
        <f t="shared" si="29"/>
        <v/>
      </c>
      <c r="B286" s="98">
        <v>24</v>
      </c>
      <c r="C286" s="94" t="s">
        <v>210</v>
      </c>
      <c r="D286" s="94">
        <v>-5</v>
      </c>
      <c r="E286" s="94">
        <v>-6</v>
      </c>
      <c r="F286" s="94" t="s">
        <v>210</v>
      </c>
      <c r="G286" s="94" t="s">
        <v>210</v>
      </c>
      <c r="H286" s="94">
        <v>2</v>
      </c>
      <c r="I286" s="94">
        <v>8</v>
      </c>
      <c r="J286" s="94" t="s">
        <v>210</v>
      </c>
      <c r="K286" s="94" t="s">
        <v>210</v>
      </c>
      <c r="L286" s="94">
        <v>-3</v>
      </c>
      <c r="M286" s="94">
        <v>-4</v>
      </c>
      <c r="N286" s="94" t="s">
        <v>210</v>
      </c>
      <c r="O286" s="94" t="s">
        <v>210</v>
      </c>
      <c r="P286" s="94">
        <v>-1</v>
      </c>
      <c r="Q286" s="94">
        <v>7</v>
      </c>
      <c r="R286" s="94" t="s">
        <v>210</v>
      </c>
      <c r="S286" s="94" t="s">
        <v>210</v>
      </c>
      <c r="T286" s="94">
        <v>3</v>
      </c>
      <c r="U286" s="94">
        <v>6</v>
      </c>
      <c r="V286" s="94" t="s">
        <v>210</v>
      </c>
      <c r="W286" s="94" t="s">
        <v>210</v>
      </c>
      <c r="X286" s="94">
        <v>1</v>
      </c>
      <c r="Y286" s="94">
        <v>-7</v>
      </c>
      <c r="Z286" s="94" t="s">
        <v>210</v>
      </c>
      <c r="AA286" s="94" t="s">
        <v>210</v>
      </c>
      <c r="AB286" s="94">
        <v>5</v>
      </c>
      <c r="AC286" s="94">
        <v>4</v>
      </c>
      <c r="AD286" s="94" t="s">
        <v>210</v>
      </c>
      <c r="AE286" s="94" t="s">
        <v>210</v>
      </c>
      <c r="AF286" s="94">
        <v>-2</v>
      </c>
      <c r="AG286" s="94"/>
      <c r="AH286" s="94"/>
      <c r="AI286" s="94"/>
      <c r="AJ286" s="94"/>
      <c r="AK286" s="94"/>
      <c r="AL286" s="94"/>
      <c r="AM286" s="94"/>
      <c r="AN286" s="94"/>
      <c r="AO286" s="94"/>
      <c r="AP286" s="94"/>
      <c r="AQ286" s="94"/>
      <c r="AR286" s="94"/>
      <c r="AS286" s="94"/>
      <c r="AT286" s="94"/>
      <c r="AU286" s="94"/>
      <c r="AV286" s="94"/>
      <c r="AW286" s="94"/>
      <c r="AX286" s="94"/>
      <c r="AY286" s="94"/>
      <c r="AZ286" s="94"/>
      <c r="BA286" s="95"/>
    </row>
    <row r="287" spans="1:53" s="87" customFormat="1">
      <c r="A287" s="90" t="str">
        <f t="shared" si="29"/>
        <v/>
      </c>
      <c r="B287" s="98">
        <v>25</v>
      </c>
      <c r="C287" s="94" t="s">
        <v>210</v>
      </c>
      <c r="D287" s="94">
        <v>6</v>
      </c>
      <c r="E287" s="94">
        <v>-4</v>
      </c>
      <c r="F287" s="94" t="s">
        <v>210</v>
      </c>
      <c r="G287" s="94" t="s">
        <v>210</v>
      </c>
      <c r="H287" s="94">
        <v>1</v>
      </c>
      <c r="I287" s="94">
        <v>5</v>
      </c>
      <c r="J287" s="94" t="s">
        <v>210</v>
      </c>
      <c r="K287" s="94" t="s">
        <v>210</v>
      </c>
      <c r="L287" s="94">
        <v>-2</v>
      </c>
      <c r="M287" s="94">
        <v>7</v>
      </c>
      <c r="N287" s="94" t="s">
        <v>210</v>
      </c>
      <c r="O287" s="94">
        <v>8</v>
      </c>
      <c r="P287" s="94" t="s">
        <v>210</v>
      </c>
      <c r="Q287" s="94">
        <v>-3</v>
      </c>
      <c r="R287" s="94" t="s">
        <v>210</v>
      </c>
      <c r="S287" s="94" t="s">
        <v>210</v>
      </c>
      <c r="T287" s="94">
        <v>-6</v>
      </c>
      <c r="U287" s="94">
        <v>-5</v>
      </c>
      <c r="V287" s="94" t="s">
        <v>210</v>
      </c>
      <c r="W287" s="94" t="s">
        <v>210</v>
      </c>
      <c r="X287" s="94">
        <v>4</v>
      </c>
      <c r="Y287" s="94">
        <v>3</v>
      </c>
      <c r="Z287" s="94" t="s">
        <v>210</v>
      </c>
      <c r="AA287" s="94" t="s">
        <v>210</v>
      </c>
      <c r="AB287" s="94">
        <v>-7</v>
      </c>
      <c r="AC287" s="94">
        <v>-1</v>
      </c>
      <c r="AD287" s="94" t="s">
        <v>210</v>
      </c>
      <c r="AE287" s="94" t="s">
        <v>210</v>
      </c>
      <c r="AF287" s="94">
        <v>2</v>
      </c>
      <c r="AG287" s="94"/>
      <c r="AH287" s="94"/>
      <c r="AI287" s="94"/>
      <c r="AJ287" s="94"/>
      <c r="AK287" s="94"/>
      <c r="AL287" s="94"/>
      <c r="AM287" s="94"/>
      <c r="AN287" s="94"/>
      <c r="AO287" s="94"/>
      <c r="AP287" s="94"/>
      <c r="AQ287" s="94"/>
      <c r="AR287" s="94"/>
      <c r="AS287" s="94"/>
      <c r="AT287" s="94"/>
      <c r="AU287" s="94"/>
      <c r="AV287" s="94"/>
      <c r="AW287" s="94"/>
      <c r="AX287" s="94"/>
      <c r="AY287" s="94"/>
      <c r="AZ287" s="94"/>
      <c r="BA287" s="95"/>
    </row>
    <row r="288" spans="1:53" s="87" customFormat="1">
      <c r="A288" s="90" t="str">
        <f t="shared" si="29"/>
        <v/>
      </c>
      <c r="B288" s="98">
        <v>26</v>
      </c>
      <c r="C288" s="94" t="s">
        <v>210</v>
      </c>
      <c r="D288" s="94">
        <v>1</v>
      </c>
      <c r="E288" s="94">
        <v>5</v>
      </c>
      <c r="F288" s="94" t="s">
        <v>210</v>
      </c>
      <c r="G288" s="94">
        <v>8</v>
      </c>
      <c r="H288" s="94" t="s">
        <v>210</v>
      </c>
      <c r="I288" s="94">
        <v>-6</v>
      </c>
      <c r="J288" s="94" t="s">
        <v>210</v>
      </c>
      <c r="K288" s="94" t="s">
        <v>210</v>
      </c>
      <c r="L288" s="94">
        <v>4</v>
      </c>
      <c r="M288" s="94">
        <v>-3</v>
      </c>
      <c r="N288" s="94" t="s">
        <v>210</v>
      </c>
      <c r="O288" s="94" t="s">
        <v>210</v>
      </c>
      <c r="P288" s="94">
        <v>7</v>
      </c>
      <c r="Q288" s="94">
        <v>-2</v>
      </c>
      <c r="R288" s="94" t="s">
        <v>210</v>
      </c>
      <c r="S288" s="94" t="s">
        <v>210</v>
      </c>
      <c r="T288" s="94">
        <v>6</v>
      </c>
      <c r="U288" s="94">
        <v>3</v>
      </c>
      <c r="V288" s="94" t="s">
        <v>210</v>
      </c>
      <c r="W288" s="94" t="s">
        <v>210</v>
      </c>
      <c r="X288" s="94">
        <v>-1</v>
      </c>
      <c r="Y288" s="94">
        <v>-5</v>
      </c>
      <c r="Z288" s="94" t="s">
        <v>210</v>
      </c>
      <c r="AA288" s="94" t="s">
        <v>210</v>
      </c>
      <c r="AB288" s="94">
        <v>-4</v>
      </c>
      <c r="AC288" s="94">
        <v>2</v>
      </c>
      <c r="AD288" s="94" t="s">
        <v>210</v>
      </c>
      <c r="AE288" s="94" t="s">
        <v>210</v>
      </c>
      <c r="AF288" s="94">
        <v>-7</v>
      </c>
      <c r="AG288" s="94"/>
      <c r="AH288" s="94"/>
      <c r="AI288" s="94"/>
      <c r="AJ288" s="94"/>
      <c r="AK288" s="94"/>
      <c r="AL288" s="94"/>
      <c r="AM288" s="94"/>
      <c r="AN288" s="94"/>
      <c r="AO288" s="94"/>
      <c r="AP288" s="94"/>
      <c r="AQ288" s="94"/>
      <c r="AR288" s="94"/>
      <c r="AS288" s="94"/>
      <c r="AT288" s="94"/>
      <c r="AU288" s="94"/>
      <c r="AV288" s="94"/>
      <c r="AW288" s="94"/>
      <c r="AX288" s="94"/>
      <c r="AY288" s="94"/>
      <c r="AZ288" s="94"/>
      <c r="BA288" s="95"/>
    </row>
    <row r="289" spans="1:53" s="87" customFormat="1">
      <c r="A289" s="90" t="str">
        <f t="shared" si="29"/>
        <v/>
      </c>
      <c r="B289" s="98">
        <v>27</v>
      </c>
      <c r="C289" s="94" t="s">
        <v>210</v>
      </c>
      <c r="D289" s="94">
        <v>-7</v>
      </c>
      <c r="E289" s="94">
        <v>8</v>
      </c>
      <c r="F289" s="94" t="s">
        <v>210</v>
      </c>
      <c r="G289" s="94" t="s">
        <v>210</v>
      </c>
      <c r="H289" s="94">
        <v>-6</v>
      </c>
      <c r="I289" s="94">
        <v>-2</v>
      </c>
      <c r="J289" s="94" t="s">
        <v>210</v>
      </c>
      <c r="K289" s="94" t="s">
        <v>210</v>
      </c>
      <c r="L289" s="94">
        <v>-1</v>
      </c>
      <c r="M289" s="94">
        <v>5</v>
      </c>
      <c r="N289" s="94" t="s">
        <v>210</v>
      </c>
      <c r="O289" s="94" t="s">
        <v>210</v>
      </c>
      <c r="P289" s="94">
        <v>3</v>
      </c>
      <c r="Q289" s="94">
        <v>4</v>
      </c>
      <c r="R289" s="94" t="s">
        <v>210</v>
      </c>
      <c r="S289" s="94" t="s">
        <v>210</v>
      </c>
      <c r="T289" s="94">
        <v>-3</v>
      </c>
      <c r="U289" s="94">
        <v>1</v>
      </c>
      <c r="V289" s="94" t="s">
        <v>210</v>
      </c>
      <c r="W289" s="94" t="s">
        <v>210</v>
      </c>
      <c r="X289" s="94">
        <v>-4</v>
      </c>
      <c r="Y289" s="94">
        <v>2</v>
      </c>
      <c r="Z289" s="94" t="s">
        <v>210</v>
      </c>
      <c r="AA289" s="94" t="s">
        <v>210</v>
      </c>
      <c r="AB289" s="94">
        <v>6</v>
      </c>
      <c r="AC289" s="94">
        <v>-5</v>
      </c>
      <c r="AD289" s="94" t="s">
        <v>210</v>
      </c>
      <c r="AE289" s="94" t="s">
        <v>210</v>
      </c>
      <c r="AF289" s="94">
        <v>7</v>
      </c>
      <c r="AG289" s="94"/>
      <c r="AH289" s="94"/>
      <c r="AI289" s="94"/>
      <c r="AJ289" s="94"/>
      <c r="AK289" s="94"/>
      <c r="AL289" s="94"/>
      <c r="AM289" s="94"/>
      <c r="AN289" s="94"/>
      <c r="AO289" s="94"/>
      <c r="AP289" s="94"/>
      <c r="AQ289" s="94"/>
      <c r="AR289" s="94"/>
      <c r="AS289" s="94"/>
      <c r="AT289" s="94"/>
      <c r="AU289" s="94"/>
      <c r="AV289" s="94"/>
      <c r="AW289" s="94"/>
      <c r="AX289" s="94"/>
      <c r="AY289" s="94"/>
      <c r="AZ289" s="94"/>
      <c r="BA289" s="95"/>
    </row>
    <row r="290" spans="1:53" s="87" customFormat="1">
      <c r="A290" s="90" t="str">
        <f t="shared" si="29"/>
        <v/>
      </c>
      <c r="B290" s="98">
        <v>28</v>
      </c>
      <c r="C290" s="94" t="s">
        <v>210</v>
      </c>
      <c r="D290" s="94">
        <v>-3</v>
      </c>
      <c r="E290" s="94">
        <v>-7</v>
      </c>
      <c r="F290" s="94" t="s">
        <v>210</v>
      </c>
      <c r="G290" s="94" t="s">
        <v>210</v>
      </c>
      <c r="H290" s="94">
        <v>-5</v>
      </c>
      <c r="I290" s="94">
        <v>-4</v>
      </c>
      <c r="J290" s="94" t="s">
        <v>210</v>
      </c>
      <c r="K290" s="94">
        <v>8</v>
      </c>
      <c r="L290" s="94" t="s">
        <v>210</v>
      </c>
      <c r="M290" s="94">
        <v>2</v>
      </c>
      <c r="N290" s="94" t="s">
        <v>210</v>
      </c>
      <c r="O290" s="94" t="s">
        <v>210</v>
      </c>
      <c r="P290" s="94">
        <v>6</v>
      </c>
      <c r="Q290" s="94">
        <v>-1</v>
      </c>
      <c r="R290" s="94" t="s">
        <v>210</v>
      </c>
      <c r="S290" s="94" t="s">
        <v>210</v>
      </c>
      <c r="T290" s="94">
        <v>4</v>
      </c>
      <c r="U290" s="94">
        <v>5</v>
      </c>
      <c r="V290" s="94" t="s">
        <v>210</v>
      </c>
      <c r="W290" s="94" t="s">
        <v>210</v>
      </c>
      <c r="X290" s="94">
        <v>3</v>
      </c>
      <c r="Y290" s="94">
        <v>7</v>
      </c>
      <c r="Z290" s="94" t="s">
        <v>210</v>
      </c>
      <c r="AA290" s="94" t="s">
        <v>210</v>
      </c>
      <c r="AB290" s="94">
        <v>-6</v>
      </c>
      <c r="AC290" s="94">
        <v>-2</v>
      </c>
      <c r="AD290" s="94" t="s">
        <v>210</v>
      </c>
      <c r="AE290" s="94" t="s">
        <v>210</v>
      </c>
      <c r="AF290" s="94">
        <v>1</v>
      </c>
      <c r="AG290" s="94"/>
      <c r="AH290" s="94"/>
      <c r="AI290" s="94"/>
      <c r="AJ290" s="94"/>
      <c r="AK290" s="94"/>
      <c r="AL290" s="94"/>
      <c r="AM290" s="94"/>
      <c r="AN290" s="94"/>
      <c r="AO290" s="94"/>
      <c r="AP290" s="94"/>
      <c r="AQ290" s="94"/>
      <c r="AR290" s="94"/>
      <c r="AS290" s="94"/>
      <c r="AT290" s="94"/>
      <c r="AU290" s="94"/>
      <c r="AV290" s="94"/>
      <c r="AW290" s="94"/>
      <c r="AX290" s="94"/>
      <c r="AY290" s="94"/>
      <c r="AZ290" s="94"/>
      <c r="BA290" s="95"/>
    </row>
    <row r="291" spans="1:53" s="87" customFormat="1">
      <c r="A291" s="90" t="str">
        <f t="shared" si="29"/>
        <v/>
      </c>
      <c r="B291" s="98">
        <v>29</v>
      </c>
      <c r="C291" s="94">
        <v>8</v>
      </c>
      <c r="D291" s="94" t="s">
        <v>210</v>
      </c>
      <c r="E291" s="94">
        <v>3</v>
      </c>
      <c r="F291" s="94" t="s">
        <v>210</v>
      </c>
      <c r="G291" s="94" t="s">
        <v>210</v>
      </c>
      <c r="H291" s="94">
        <v>-4</v>
      </c>
      <c r="I291" s="94">
        <v>1</v>
      </c>
      <c r="J291" s="94" t="s">
        <v>210</v>
      </c>
      <c r="K291" s="94" t="s">
        <v>210</v>
      </c>
      <c r="L291" s="94">
        <v>7</v>
      </c>
      <c r="M291" s="94">
        <v>6</v>
      </c>
      <c r="N291" s="94" t="s">
        <v>210</v>
      </c>
      <c r="O291" s="94" t="s">
        <v>210</v>
      </c>
      <c r="P291" s="94">
        <v>-2</v>
      </c>
      <c r="Q291" s="94">
        <v>-5</v>
      </c>
      <c r="R291" s="94" t="s">
        <v>210</v>
      </c>
      <c r="S291" s="94" t="s">
        <v>210</v>
      </c>
      <c r="T291" s="94">
        <v>2</v>
      </c>
      <c r="U291" s="94">
        <v>-6</v>
      </c>
      <c r="V291" s="94" t="s">
        <v>210</v>
      </c>
      <c r="W291" s="94" t="s">
        <v>210</v>
      </c>
      <c r="X291" s="94">
        <v>-7</v>
      </c>
      <c r="Y291" s="94">
        <v>-3</v>
      </c>
      <c r="Z291" s="94" t="s">
        <v>210</v>
      </c>
      <c r="AA291" s="94" t="s">
        <v>210</v>
      </c>
      <c r="AB291" s="94">
        <v>4</v>
      </c>
      <c r="AC291" s="94">
        <v>5</v>
      </c>
      <c r="AD291" s="94" t="s">
        <v>210</v>
      </c>
      <c r="AE291" s="94" t="s">
        <v>210</v>
      </c>
      <c r="AF291" s="94">
        <v>-1</v>
      </c>
      <c r="AG291" s="94"/>
      <c r="AH291" s="94"/>
      <c r="AI291" s="94"/>
      <c r="AJ291" s="94"/>
      <c r="AK291" s="94"/>
      <c r="AL291" s="94"/>
      <c r="AM291" s="94"/>
      <c r="AN291" s="94"/>
      <c r="AO291" s="94"/>
      <c r="AP291" s="94"/>
      <c r="AQ291" s="94"/>
      <c r="AR291" s="94"/>
      <c r="AS291" s="94"/>
      <c r="AT291" s="94"/>
      <c r="AU291" s="94"/>
      <c r="AV291" s="94"/>
      <c r="AW291" s="94"/>
      <c r="AX291" s="94"/>
      <c r="AY291" s="94"/>
      <c r="AZ291" s="94"/>
      <c r="BA291" s="95"/>
    </row>
    <row r="292" spans="1:53" s="87" customFormat="1">
      <c r="A292" s="90" t="str">
        <f t="shared" si="29"/>
        <v/>
      </c>
      <c r="B292" s="98">
        <v>30</v>
      </c>
      <c r="C292" s="94" t="s">
        <v>210</v>
      </c>
      <c r="D292" s="94">
        <v>-4</v>
      </c>
      <c r="E292" s="94">
        <v>6</v>
      </c>
      <c r="F292" s="94" t="s">
        <v>210</v>
      </c>
      <c r="G292" s="94" t="s">
        <v>210</v>
      </c>
      <c r="H292" s="94">
        <v>-3</v>
      </c>
      <c r="I292" s="94">
        <v>-5</v>
      </c>
      <c r="J292" s="94" t="s">
        <v>210</v>
      </c>
      <c r="K292" s="94" t="s">
        <v>210</v>
      </c>
      <c r="L292" s="94">
        <v>1</v>
      </c>
      <c r="M292" s="94">
        <v>-2</v>
      </c>
      <c r="N292" s="94" t="s">
        <v>210</v>
      </c>
      <c r="O292" s="94" t="s">
        <v>210</v>
      </c>
      <c r="P292" s="94">
        <v>-7</v>
      </c>
      <c r="Q292" s="94">
        <v>5</v>
      </c>
      <c r="R292" s="94" t="s">
        <v>210</v>
      </c>
      <c r="S292" s="94" t="s">
        <v>210</v>
      </c>
      <c r="T292" s="94">
        <v>-1</v>
      </c>
      <c r="U292" s="94">
        <v>7</v>
      </c>
      <c r="V292" s="94" t="s">
        <v>210</v>
      </c>
      <c r="W292" s="94" t="s">
        <v>210</v>
      </c>
      <c r="X292" s="94">
        <v>-6</v>
      </c>
      <c r="Y292" s="94">
        <v>4</v>
      </c>
      <c r="Z292" s="94" t="s">
        <v>210</v>
      </c>
      <c r="AA292" s="94" t="s">
        <v>210</v>
      </c>
      <c r="AB292" s="94">
        <v>2</v>
      </c>
      <c r="AC292" s="94">
        <v>3</v>
      </c>
      <c r="AD292" s="94" t="s">
        <v>210</v>
      </c>
      <c r="AE292" s="94">
        <v>8</v>
      </c>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5"/>
    </row>
    <row r="293" spans="1:53" s="87" customFormat="1">
      <c r="A293" s="90" t="str">
        <f t="shared" si="29"/>
        <v/>
      </c>
      <c r="B293" s="98" t="s">
        <v>467</v>
      </c>
      <c r="C293" s="94"/>
      <c r="D293" s="94"/>
      <c r="E293" s="94"/>
      <c r="F293" s="94"/>
      <c r="G293" s="94"/>
      <c r="H293" s="94"/>
      <c r="I293" s="94"/>
      <c r="J293" s="94"/>
      <c r="K293" s="94"/>
      <c r="L293" s="94"/>
      <c r="M293" s="94"/>
      <c r="N293" s="94"/>
      <c r="O293" s="94"/>
      <c r="P293" s="94"/>
      <c r="Q293" s="94"/>
      <c r="R293" s="94"/>
      <c r="S293" s="94"/>
      <c r="T293" s="94"/>
      <c r="U293" s="94"/>
      <c r="V293" s="94"/>
      <c r="W293" s="94"/>
      <c r="X293" s="94"/>
      <c r="Y293" s="94"/>
      <c r="Z293" s="94"/>
      <c r="AA293" s="94"/>
      <c r="AB293" s="94"/>
      <c r="AC293" s="94"/>
      <c r="AD293" s="94"/>
      <c r="AE293" s="94"/>
      <c r="AF293" s="94"/>
      <c r="AG293" s="94"/>
      <c r="AH293" s="94"/>
      <c r="AI293" s="94"/>
      <c r="AJ293" s="94"/>
      <c r="AK293" s="94"/>
      <c r="AL293" s="94"/>
      <c r="AM293" s="94"/>
      <c r="AN293" s="94"/>
      <c r="AO293" s="94"/>
      <c r="AP293" s="94"/>
      <c r="AQ293" s="94"/>
      <c r="AR293" s="94"/>
      <c r="AS293" s="94"/>
      <c r="AT293" s="94"/>
      <c r="AU293" s="94"/>
      <c r="AV293" s="94"/>
      <c r="AW293" s="94"/>
      <c r="AX293" s="94"/>
      <c r="AY293" s="94"/>
      <c r="AZ293" s="94"/>
      <c r="BA293" s="95"/>
    </row>
    <row r="294" spans="1:53" s="87" customFormat="1">
      <c r="A294" s="90">
        <f t="shared" si="29"/>
        <v>294</v>
      </c>
      <c r="B294" s="98" t="s">
        <v>468</v>
      </c>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5"/>
    </row>
    <row r="295" spans="1:53" s="87" customFormat="1">
      <c r="A295" s="90" t="str">
        <f t="shared" si="29"/>
        <v/>
      </c>
      <c r="B295" s="98">
        <v>1</v>
      </c>
      <c r="C295" s="94">
        <v>5</v>
      </c>
      <c r="D295" s="94" t="s">
        <v>210</v>
      </c>
      <c r="E295" s="94" t="s">
        <v>210</v>
      </c>
      <c r="F295" s="94">
        <v>-1</v>
      </c>
      <c r="G295" s="94">
        <v>2</v>
      </c>
      <c r="H295" s="94" t="s">
        <v>210</v>
      </c>
      <c r="I295" s="94" t="s">
        <v>210</v>
      </c>
      <c r="J295" s="94">
        <v>-7</v>
      </c>
      <c r="K295" s="94">
        <v>4</v>
      </c>
      <c r="L295" s="94" t="s">
        <v>210</v>
      </c>
      <c r="M295" s="94" t="s">
        <v>210</v>
      </c>
      <c r="N295" s="94">
        <v>-6</v>
      </c>
      <c r="O295" s="94">
        <v>3</v>
      </c>
      <c r="P295" s="94" t="s">
        <v>210</v>
      </c>
      <c r="Q295" s="94" t="s">
        <v>210</v>
      </c>
      <c r="R295" s="94">
        <v>-2</v>
      </c>
      <c r="S295" s="94">
        <v>-5</v>
      </c>
      <c r="T295" s="94" t="s">
        <v>210</v>
      </c>
      <c r="U295" s="94"/>
      <c r="V295" s="94"/>
      <c r="W295" s="94"/>
      <c r="X295" s="94"/>
      <c r="Y295" s="94"/>
      <c r="Z295" s="94"/>
      <c r="AA295" s="94"/>
      <c r="AB295" s="94"/>
      <c r="AC295" s="94"/>
      <c r="AD295" s="94"/>
      <c r="AE295" s="94"/>
      <c r="AF295" s="94"/>
      <c r="AG295" s="94"/>
      <c r="AH295" s="94"/>
      <c r="AI295" s="94"/>
      <c r="AJ295" s="94"/>
      <c r="AK295" s="94"/>
      <c r="AL295" s="94"/>
      <c r="AM295" s="94"/>
      <c r="AN295" s="94"/>
      <c r="AO295" s="94"/>
      <c r="AP295" s="94"/>
      <c r="AQ295" s="94"/>
      <c r="AR295" s="94"/>
      <c r="AS295" s="94"/>
      <c r="AT295" s="94"/>
      <c r="AU295" s="94"/>
      <c r="AV295" s="94"/>
      <c r="AW295" s="94"/>
      <c r="AX295" s="94"/>
      <c r="AY295" s="94"/>
      <c r="AZ295" s="94"/>
      <c r="BA295" s="95"/>
    </row>
    <row r="296" spans="1:53" s="87" customFormat="1">
      <c r="A296" s="90" t="str">
        <f t="shared" si="29"/>
        <v/>
      </c>
      <c r="B296" s="98">
        <v>2</v>
      </c>
      <c r="C296" s="94">
        <v>-7</v>
      </c>
      <c r="D296" s="94" t="s">
        <v>210</v>
      </c>
      <c r="E296" s="94" t="s">
        <v>210</v>
      </c>
      <c r="F296" s="94">
        <v>8</v>
      </c>
      <c r="G296" s="94">
        <v>3</v>
      </c>
      <c r="H296" s="94" t="s">
        <v>210</v>
      </c>
      <c r="I296" s="94" t="s">
        <v>210</v>
      </c>
      <c r="J296" s="94">
        <v>-2</v>
      </c>
      <c r="K296" s="94">
        <v>7</v>
      </c>
      <c r="L296" s="94" t="s">
        <v>210</v>
      </c>
      <c r="M296" s="94" t="s">
        <v>210</v>
      </c>
      <c r="N296" s="94">
        <v>4</v>
      </c>
      <c r="O296" s="94">
        <v>-1</v>
      </c>
      <c r="P296" s="94" t="s">
        <v>210</v>
      </c>
      <c r="Q296" s="94" t="s">
        <v>210</v>
      </c>
      <c r="R296" s="94">
        <v>-6</v>
      </c>
      <c r="S296" s="94">
        <v>5</v>
      </c>
      <c r="T296" s="94" t="s">
        <v>210</v>
      </c>
      <c r="U296" s="94"/>
      <c r="V296" s="94"/>
      <c r="W296" s="94"/>
      <c r="X296" s="94"/>
      <c r="Y296" s="94"/>
      <c r="Z296" s="94"/>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c r="AZ296" s="94"/>
      <c r="BA296" s="95"/>
    </row>
    <row r="297" spans="1:53" s="87" customFormat="1">
      <c r="A297" s="90" t="str">
        <f t="shared" si="29"/>
        <v/>
      </c>
      <c r="B297" s="98">
        <v>3</v>
      </c>
      <c r="C297" s="94">
        <v>-1</v>
      </c>
      <c r="D297" s="94" t="s">
        <v>210</v>
      </c>
      <c r="E297" s="94" t="s">
        <v>210</v>
      </c>
      <c r="F297" s="94">
        <v>-6</v>
      </c>
      <c r="G297" s="94">
        <v>5</v>
      </c>
      <c r="H297" s="94" t="s">
        <v>210</v>
      </c>
      <c r="I297" s="94" t="s">
        <v>210</v>
      </c>
      <c r="J297" s="94">
        <v>-4</v>
      </c>
      <c r="K297" s="94">
        <v>-8</v>
      </c>
      <c r="L297" s="94" t="s">
        <v>210</v>
      </c>
      <c r="M297" s="94" t="s">
        <v>210</v>
      </c>
      <c r="N297" s="94">
        <v>2</v>
      </c>
      <c r="O297" s="94">
        <v>-3</v>
      </c>
      <c r="P297" s="94" t="s">
        <v>210</v>
      </c>
      <c r="Q297" s="94" t="s">
        <v>210</v>
      </c>
      <c r="R297" s="94">
        <v>6</v>
      </c>
      <c r="S297" s="94">
        <v>4</v>
      </c>
      <c r="T297" s="94" t="s">
        <v>210</v>
      </c>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c r="AZ297" s="94"/>
      <c r="BA297" s="95"/>
    </row>
    <row r="298" spans="1:53" s="87" customFormat="1">
      <c r="A298" s="90" t="str">
        <f t="shared" si="29"/>
        <v/>
      </c>
      <c r="B298" s="98">
        <v>4</v>
      </c>
      <c r="C298" s="94">
        <v>-8</v>
      </c>
      <c r="D298" s="94" t="s">
        <v>210</v>
      </c>
      <c r="E298" s="94" t="s">
        <v>210</v>
      </c>
      <c r="F298" s="94">
        <v>4</v>
      </c>
      <c r="G298" s="94">
        <v>-7</v>
      </c>
      <c r="H298" s="94" t="s">
        <v>210</v>
      </c>
      <c r="I298" s="94" t="s">
        <v>210</v>
      </c>
      <c r="J298" s="94">
        <v>6</v>
      </c>
      <c r="K298" s="94">
        <v>-5</v>
      </c>
      <c r="L298" s="94" t="s">
        <v>210</v>
      </c>
      <c r="M298" s="94" t="s">
        <v>210</v>
      </c>
      <c r="N298" s="94">
        <v>-3</v>
      </c>
      <c r="O298" s="94">
        <v>1</v>
      </c>
      <c r="P298" s="94" t="s">
        <v>210</v>
      </c>
      <c r="Q298" s="94" t="s">
        <v>210</v>
      </c>
      <c r="R298" s="94">
        <v>2</v>
      </c>
      <c r="S298" s="94">
        <v>-4</v>
      </c>
      <c r="T298" s="94" t="s">
        <v>210</v>
      </c>
      <c r="U298" s="94"/>
      <c r="V298" s="94"/>
      <c r="W298" s="94"/>
      <c r="X298" s="94"/>
      <c r="Y298" s="94"/>
      <c r="Z298" s="94"/>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c r="AZ298" s="94"/>
      <c r="BA298" s="95"/>
    </row>
    <row r="299" spans="1:53" s="87" customFormat="1">
      <c r="A299" s="90" t="str">
        <f t="shared" si="29"/>
        <v/>
      </c>
      <c r="B299" s="98">
        <v>5</v>
      </c>
      <c r="C299" s="94">
        <v>1</v>
      </c>
      <c r="D299" s="94" t="s">
        <v>210</v>
      </c>
      <c r="E299" s="94" t="s">
        <v>210</v>
      </c>
      <c r="F299" s="94">
        <v>-4</v>
      </c>
      <c r="G299" s="94">
        <v>-3</v>
      </c>
      <c r="H299" s="94" t="s">
        <v>210</v>
      </c>
      <c r="I299" s="94" t="s">
        <v>210</v>
      </c>
      <c r="J299" s="94">
        <v>7</v>
      </c>
      <c r="K299" s="94">
        <v>6</v>
      </c>
      <c r="L299" s="94" t="s">
        <v>210</v>
      </c>
      <c r="M299" s="94" t="s">
        <v>210</v>
      </c>
      <c r="N299" s="94">
        <v>-5</v>
      </c>
      <c r="O299" s="94">
        <v>-8</v>
      </c>
      <c r="P299" s="94" t="s">
        <v>210</v>
      </c>
      <c r="Q299" s="94" t="s">
        <v>210</v>
      </c>
      <c r="R299" s="94">
        <v>4</v>
      </c>
      <c r="S299" s="94">
        <v>3</v>
      </c>
      <c r="T299" s="94" t="s">
        <v>210</v>
      </c>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5"/>
    </row>
    <row r="300" spans="1:53" s="87" customFormat="1">
      <c r="A300" s="90" t="str">
        <f t="shared" si="29"/>
        <v/>
      </c>
      <c r="B300" s="98">
        <v>6</v>
      </c>
      <c r="C300" s="94">
        <v>-6</v>
      </c>
      <c r="D300" s="94" t="s">
        <v>210</v>
      </c>
      <c r="E300" s="94" t="s">
        <v>210</v>
      </c>
      <c r="F300" s="94">
        <v>-8</v>
      </c>
      <c r="G300" s="94">
        <v>7</v>
      </c>
      <c r="H300" s="94" t="s">
        <v>210</v>
      </c>
      <c r="I300" s="94" t="s">
        <v>210</v>
      </c>
      <c r="J300" s="94">
        <v>3</v>
      </c>
      <c r="K300" s="94">
        <v>-4</v>
      </c>
      <c r="L300" s="94" t="s">
        <v>210</v>
      </c>
      <c r="M300" s="94" t="s">
        <v>210</v>
      </c>
      <c r="N300" s="94">
        <v>-2</v>
      </c>
      <c r="O300" s="94">
        <v>5</v>
      </c>
      <c r="P300" s="94" t="s">
        <v>210</v>
      </c>
      <c r="Q300" s="94" t="s">
        <v>210</v>
      </c>
      <c r="R300" s="94">
        <v>1</v>
      </c>
      <c r="S300" s="94">
        <v>-3</v>
      </c>
      <c r="T300" s="94" t="s">
        <v>210</v>
      </c>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5"/>
    </row>
    <row r="301" spans="1:53" s="87" customFormat="1">
      <c r="A301" s="90" t="str">
        <f t="shared" si="29"/>
        <v/>
      </c>
      <c r="B301" s="98">
        <v>7</v>
      </c>
      <c r="C301" s="94">
        <v>-5</v>
      </c>
      <c r="D301" s="94" t="s">
        <v>210</v>
      </c>
      <c r="E301" s="94" t="s">
        <v>210</v>
      </c>
      <c r="F301" s="94">
        <v>6</v>
      </c>
      <c r="G301" s="94">
        <v>1</v>
      </c>
      <c r="H301" s="94" t="s">
        <v>210</v>
      </c>
      <c r="I301" s="94" t="s">
        <v>210</v>
      </c>
      <c r="J301" s="94">
        <v>-3</v>
      </c>
      <c r="K301" s="94">
        <v>5</v>
      </c>
      <c r="L301" s="94" t="s">
        <v>210</v>
      </c>
      <c r="M301" s="94" t="s">
        <v>210</v>
      </c>
      <c r="N301" s="94">
        <v>-4</v>
      </c>
      <c r="O301" s="94">
        <v>8</v>
      </c>
      <c r="P301" s="94" t="s">
        <v>210</v>
      </c>
      <c r="Q301" s="94" t="s">
        <v>210</v>
      </c>
      <c r="R301" s="94">
        <v>7</v>
      </c>
      <c r="S301" s="94">
        <v>-6</v>
      </c>
      <c r="T301" s="94" t="s">
        <v>210</v>
      </c>
      <c r="U301" s="94"/>
      <c r="V301" s="94"/>
      <c r="W301" s="94"/>
      <c r="X301" s="94"/>
      <c r="Y301" s="94"/>
      <c r="Z301" s="94"/>
      <c r="AA301" s="94"/>
      <c r="AB301" s="94"/>
      <c r="AC301" s="94"/>
      <c r="AD301" s="94"/>
      <c r="AE301" s="94"/>
      <c r="AF301" s="94"/>
      <c r="AG301" s="94"/>
      <c r="AH301" s="94"/>
      <c r="AI301" s="94"/>
      <c r="AJ301" s="94"/>
      <c r="AK301" s="94"/>
      <c r="AL301" s="94"/>
      <c r="AM301" s="94"/>
      <c r="AN301" s="94"/>
      <c r="AO301" s="94"/>
      <c r="AP301" s="94"/>
      <c r="AQ301" s="94"/>
      <c r="AR301" s="94"/>
      <c r="AS301" s="94"/>
      <c r="AT301" s="94"/>
      <c r="AU301" s="94"/>
      <c r="AV301" s="94"/>
      <c r="AW301" s="94"/>
      <c r="AX301" s="94"/>
      <c r="AY301" s="94"/>
      <c r="AZ301" s="94"/>
      <c r="BA301" s="95"/>
    </row>
    <row r="302" spans="1:53" s="87" customFormat="1">
      <c r="A302" s="90" t="str">
        <f t="shared" si="29"/>
        <v/>
      </c>
      <c r="B302" s="98">
        <v>8</v>
      </c>
      <c r="C302" s="94">
        <v>7</v>
      </c>
      <c r="D302" s="94" t="s">
        <v>210</v>
      </c>
      <c r="E302" s="94" t="s">
        <v>210</v>
      </c>
      <c r="F302" s="94">
        <v>3</v>
      </c>
      <c r="G302" s="94">
        <v>-2</v>
      </c>
      <c r="H302" s="94" t="s">
        <v>210</v>
      </c>
      <c r="I302" s="94" t="s">
        <v>210</v>
      </c>
      <c r="J302" s="94">
        <v>-6</v>
      </c>
      <c r="K302" s="94">
        <v>8</v>
      </c>
      <c r="L302" s="94" t="s">
        <v>210</v>
      </c>
      <c r="M302" s="94" t="s">
        <v>210</v>
      </c>
      <c r="N302" s="94">
        <v>5</v>
      </c>
      <c r="O302" s="94">
        <v>-4</v>
      </c>
      <c r="P302" s="94" t="s">
        <v>210</v>
      </c>
      <c r="Q302" s="94" t="s">
        <v>210</v>
      </c>
      <c r="R302" s="94">
        <v>-1</v>
      </c>
      <c r="S302" s="94">
        <v>6</v>
      </c>
      <c r="T302" s="94" t="s">
        <v>210</v>
      </c>
      <c r="U302" s="94"/>
      <c r="V302" s="94"/>
      <c r="W302" s="94"/>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5"/>
    </row>
    <row r="303" spans="1:53" s="87" customFormat="1">
      <c r="A303" s="90" t="str">
        <f t="shared" si="29"/>
        <v/>
      </c>
      <c r="B303" s="98">
        <v>9</v>
      </c>
      <c r="C303" s="94">
        <v>6</v>
      </c>
      <c r="D303" s="94" t="s">
        <v>210</v>
      </c>
      <c r="E303" s="94" t="s">
        <v>210</v>
      </c>
      <c r="F303" s="94">
        <v>1</v>
      </c>
      <c r="G303" s="94">
        <v>-5</v>
      </c>
      <c r="H303" s="94" t="s">
        <v>210</v>
      </c>
      <c r="I303" s="94" t="s">
        <v>210</v>
      </c>
      <c r="J303" s="94">
        <v>2</v>
      </c>
      <c r="K303" s="94">
        <v>-6</v>
      </c>
      <c r="L303" s="94" t="s">
        <v>210</v>
      </c>
      <c r="M303" s="94" t="s">
        <v>210</v>
      </c>
      <c r="N303" s="94">
        <v>3</v>
      </c>
      <c r="O303" s="94">
        <v>4</v>
      </c>
      <c r="P303" s="94" t="s">
        <v>210</v>
      </c>
      <c r="Q303" s="94" t="s">
        <v>210</v>
      </c>
      <c r="R303" s="94">
        <v>-7</v>
      </c>
      <c r="S303" s="94">
        <v>-1</v>
      </c>
      <c r="T303" s="94" t="s">
        <v>210</v>
      </c>
      <c r="U303" s="94"/>
      <c r="V303" s="94"/>
      <c r="W303" s="94"/>
      <c r="X303" s="94"/>
      <c r="Y303" s="94"/>
      <c r="Z303" s="94"/>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5"/>
    </row>
    <row r="304" spans="1:53" s="87" customFormat="1">
      <c r="A304" s="90" t="str">
        <f t="shared" si="29"/>
        <v/>
      </c>
      <c r="B304" s="99">
        <v>10</v>
      </c>
      <c r="C304" s="92">
        <v>8</v>
      </c>
      <c r="D304" s="92" t="s">
        <v>210</v>
      </c>
      <c r="E304" s="92" t="s">
        <v>210</v>
      </c>
      <c r="F304" s="92">
        <v>-3</v>
      </c>
      <c r="G304" s="92">
        <v>-1</v>
      </c>
      <c r="H304" s="92" t="s">
        <v>210</v>
      </c>
      <c r="I304" s="92" t="s">
        <v>210</v>
      </c>
      <c r="J304" s="92">
        <v>4</v>
      </c>
      <c r="K304" s="92">
        <v>-7</v>
      </c>
      <c r="L304" s="92" t="s">
        <v>210</v>
      </c>
      <c r="M304" s="92" t="s">
        <v>210</v>
      </c>
      <c r="N304" s="92">
        <v>6</v>
      </c>
      <c r="O304" s="92">
        <v>-5</v>
      </c>
      <c r="P304" s="92" t="s">
        <v>210</v>
      </c>
      <c r="Q304" s="92" t="s">
        <v>210</v>
      </c>
      <c r="R304" s="92">
        <v>-4</v>
      </c>
      <c r="S304" s="92">
        <v>1</v>
      </c>
      <c r="T304" s="92" t="s">
        <v>210</v>
      </c>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5"/>
    </row>
    <row r="305" spans="1:53" s="87" customFormat="1">
      <c r="A305" s="90" t="str">
        <f t="shared" si="29"/>
        <v/>
      </c>
      <c r="B305" s="98">
        <v>11</v>
      </c>
      <c r="C305" s="94" t="s">
        <v>210</v>
      </c>
      <c r="D305" s="94">
        <v>-6</v>
      </c>
      <c r="E305" s="94">
        <v>2</v>
      </c>
      <c r="F305" s="94" t="s">
        <v>210</v>
      </c>
      <c r="G305" s="94" t="s">
        <v>210</v>
      </c>
      <c r="H305" s="94">
        <v>3</v>
      </c>
      <c r="I305" s="94">
        <v>-1</v>
      </c>
      <c r="J305" s="94" t="s">
        <v>210</v>
      </c>
      <c r="K305" s="94" t="s">
        <v>210</v>
      </c>
      <c r="L305" s="94">
        <v>4</v>
      </c>
      <c r="M305" s="94">
        <v>-7</v>
      </c>
      <c r="N305" s="94" t="s">
        <v>210</v>
      </c>
      <c r="O305" s="94" t="s">
        <v>210</v>
      </c>
      <c r="P305" s="94">
        <v>-2</v>
      </c>
      <c r="Q305" s="94">
        <v>6</v>
      </c>
      <c r="R305" s="94" t="s">
        <v>210</v>
      </c>
      <c r="S305" s="94" t="s">
        <v>210</v>
      </c>
      <c r="T305" s="94">
        <v>-5</v>
      </c>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5"/>
    </row>
    <row r="306" spans="1:53" s="87" customFormat="1">
      <c r="A306" s="90" t="str">
        <f t="shared" si="29"/>
        <v/>
      </c>
      <c r="B306" s="98">
        <v>12</v>
      </c>
      <c r="C306" s="94" t="s">
        <v>210</v>
      </c>
      <c r="D306" s="94">
        <v>-4</v>
      </c>
      <c r="E306" s="94">
        <v>3</v>
      </c>
      <c r="F306" s="94" t="s">
        <v>210</v>
      </c>
      <c r="G306" s="94" t="s">
        <v>210</v>
      </c>
      <c r="H306" s="94">
        <v>-6</v>
      </c>
      <c r="I306" s="94">
        <v>-7</v>
      </c>
      <c r="J306" s="94" t="s">
        <v>210</v>
      </c>
      <c r="K306" s="94" t="s">
        <v>210</v>
      </c>
      <c r="L306" s="94">
        <v>2</v>
      </c>
      <c r="M306" s="94">
        <v>8</v>
      </c>
      <c r="N306" s="94" t="s">
        <v>210</v>
      </c>
      <c r="O306" s="94" t="s">
        <v>210</v>
      </c>
      <c r="P306" s="94">
        <v>4</v>
      </c>
      <c r="Q306" s="94">
        <v>-3</v>
      </c>
      <c r="R306" s="94" t="s">
        <v>210</v>
      </c>
      <c r="S306" s="94" t="s">
        <v>210</v>
      </c>
      <c r="T306" s="94">
        <v>5</v>
      </c>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5"/>
    </row>
    <row r="307" spans="1:53" s="87" customFormat="1">
      <c r="A307" s="90" t="str">
        <f t="shared" si="29"/>
        <v/>
      </c>
      <c r="B307" s="98">
        <v>13</v>
      </c>
      <c r="C307" s="94" t="s">
        <v>210</v>
      </c>
      <c r="D307" s="94">
        <v>2</v>
      </c>
      <c r="E307" s="94">
        <v>-1</v>
      </c>
      <c r="F307" s="94" t="s">
        <v>210</v>
      </c>
      <c r="G307" s="94" t="s">
        <v>210</v>
      </c>
      <c r="H307" s="94">
        <v>-7</v>
      </c>
      <c r="I307" s="94">
        <v>6</v>
      </c>
      <c r="J307" s="94" t="s">
        <v>210</v>
      </c>
      <c r="K307" s="94" t="s">
        <v>210</v>
      </c>
      <c r="L307" s="94">
        <v>5</v>
      </c>
      <c r="M307" s="94">
        <v>7</v>
      </c>
      <c r="N307" s="94" t="s">
        <v>210</v>
      </c>
      <c r="O307" s="94" t="s">
        <v>210</v>
      </c>
      <c r="P307" s="94">
        <v>-4</v>
      </c>
      <c r="Q307" s="94">
        <v>-2</v>
      </c>
      <c r="R307" s="94" t="s">
        <v>210</v>
      </c>
      <c r="S307" s="94" t="s">
        <v>210</v>
      </c>
      <c r="T307" s="94">
        <v>-3</v>
      </c>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5"/>
    </row>
    <row r="308" spans="1:53" s="87" customFormat="1">
      <c r="A308" s="90" t="str">
        <f t="shared" si="29"/>
        <v/>
      </c>
      <c r="B308" s="98">
        <v>14</v>
      </c>
      <c r="C308" s="94" t="s">
        <v>210</v>
      </c>
      <c r="D308" s="94">
        <v>-5</v>
      </c>
      <c r="E308" s="94">
        <v>-4</v>
      </c>
      <c r="F308" s="94" t="s">
        <v>210</v>
      </c>
      <c r="G308" s="94" t="s">
        <v>210</v>
      </c>
      <c r="H308" s="94">
        <v>2</v>
      </c>
      <c r="I308" s="94">
        <v>1</v>
      </c>
      <c r="J308" s="94" t="s">
        <v>210</v>
      </c>
      <c r="K308" s="94" t="s">
        <v>210</v>
      </c>
      <c r="L308" s="94">
        <v>-2</v>
      </c>
      <c r="M308" s="94">
        <v>6</v>
      </c>
      <c r="N308" s="94" t="s">
        <v>210</v>
      </c>
      <c r="O308" s="94" t="s">
        <v>210</v>
      </c>
      <c r="P308" s="94">
        <v>5</v>
      </c>
      <c r="Q308" s="94">
        <v>-7</v>
      </c>
      <c r="R308" s="94" t="s">
        <v>210</v>
      </c>
      <c r="S308" s="94" t="s">
        <v>210</v>
      </c>
      <c r="T308" s="94">
        <v>3</v>
      </c>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5"/>
    </row>
    <row r="309" spans="1:53" s="87" customFormat="1">
      <c r="A309" s="90" t="str">
        <f t="shared" si="29"/>
        <v/>
      </c>
      <c r="B309" s="98">
        <v>15</v>
      </c>
      <c r="C309" s="94" t="s">
        <v>210</v>
      </c>
      <c r="D309" s="94">
        <v>5</v>
      </c>
      <c r="E309" s="94">
        <v>1</v>
      </c>
      <c r="F309" s="94" t="s">
        <v>210</v>
      </c>
      <c r="G309" s="94" t="s">
        <v>210</v>
      </c>
      <c r="H309" s="94">
        <v>6</v>
      </c>
      <c r="I309" s="94">
        <v>-2</v>
      </c>
      <c r="J309" s="94" t="s">
        <v>210</v>
      </c>
      <c r="K309" s="94" t="s">
        <v>210</v>
      </c>
      <c r="L309" s="94">
        <v>3</v>
      </c>
      <c r="M309" s="94">
        <v>-5</v>
      </c>
      <c r="N309" s="94" t="s">
        <v>210</v>
      </c>
      <c r="O309" s="94" t="s">
        <v>210</v>
      </c>
      <c r="P309" s="94">
        <v>7</v>
      </c>
      <c r="Q309" s="94">
        <v>-6</v>
      </c>
      <c r="R309" s="94" t="s">
        <v>210</v>
      </c>
      <c r="S309" s="94" t="s">
        <v>210</v>
      </c>
      <c r="T309" s="94">
        <v>-4</v>
      </c>
      <c r="U309" s="94"/>
      <c r="V309" s="94"/>
      <c r="W309" s="94"/>
      <c r="X309" s="94"/>
      <c r="Y309" s="94"/>
      <c r="Z309" s="94"/>
      <c r="AA309" s="94"/>
      <c r="AB309" s="94"/>
      <c r="AC309" s="94"/>
      <c r="AD309" s="94"/>
      <c r="AE309" s="94"/>
      <c r="AF309" s="94"/>
      <c r="AG309" s="94"/>
      <c r="AH309" s="94"/>
      <c r="AI309" s="94"/>
      <c r="AJ309" s="94"/>
      <c r="AK309" s="94"/>
      <c r="AL309" s="94"/>
      <c r="AM309" s="94"/>
      <c r="AN309" s="94"/>
      <c r="AO309" s="94"/>
      <c r="AP309" s="94"/>
      <c r="AQ309" s="94"/>
      <c r="AR309" s="94"/>
      <c r="AS309" s="94"/>
      <c r="AT309" s="94"/>
      <c r="AU309" s="94"/>
      <c r="AV309" s="94"/>
      <c r="AW309" s="94"/>
      <c r="AX309" s="94"/>
      <c r="AY309" s="94"/>
      <c r="AZ309" s="94"/>
      <c r="BA309" s="95"/>
    </row>
    <row r="310" spans="1:53" s="87" customFormat="1">
      <c r="A310" s="90" t="str">
        <f t="shared" si="29"/>
        <v/>
      </c>
      <c r="B310" s="98">
        <v>16</v>
      </c>
      <c r="C310" s="94" t="s">
        <v>210</v>
      </c>
      <c r="D310" s="94">
        <v>-1</v>
      </c>
      <c r="E310" s="94">
        <v>5</v>
      </c>
      <c r="F310" s="94" t="s">
        <v>210</v>
      </c>
      <c r="G310" s="94" t="s">
        <v>210</v>
      </c>
      <c r="H310" s="94">
        <v>7</v>
      </c>
      <c r="I310" s="94">
        <v>-8</v>
      </c>
      <c r="J310" s="94" t="s">
        <v>210</v>
      </c>
      <c r="K310" s="94" t="s">
        <v>210</v>
      </c>
      <c r="L310" s="94">
        <v>-7</v>
      </c>
      <c r="M310" s="94">
        <v>-6</v>
      </c>
      <c r="N310" s="94" t="s">
        <v>210</v>
      </c>
      <c r="O310" s="94" t="s">
        <v>210</v>
      </c>
      <c r="P310" s="94">
        <v>2</v>
      </c>
      <c r="Q310" s="94">
        <v>3</v>
      </c>
      <c r="R310" s="94" t="s">
        <v>210</v>
      </c>
      <c r="S310" s="94" t="s">
        <v>210</v>
      </c>
      <c r="T310" s="94">
        <v>4</v>
      </c>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5"/>
    </row>
    <row r="311" spans="1:53" s="87" customFormat="1">
      <c r="A311" s="90" t="str">
        <f t="shared" si="29"/>
        <v/>
      </c>
      <c r="B311" s="98">
        <v>17</v>
      </c>
      <c r="C311" s="94" t="s">
        <v>210</v>
      </c>
      <c r="D311" s="94">
        <v>4</v>
      </c>
      <c r="E311" s="94">
        <v>-5</v>
      </c>
      <c r="F311" s="94" t="s">
        <v>210</v>
      </c>
      <c r="G311" s="94" t="s">
        <v>210</v>
      </c>
      <c r="H311" s="94">
        <v>8</v>
      </c>
      <c r="I311" s="94">
        <v>-6</v>
      </c>
      <c r="J311" s="94" t="s">
        <v>210</v>
      </c>
      <c r="K311" s="94" t="s">
        <v>210</v>
      </c>
      <c r="L311" s="94">
        <v>-4</v>
      </c>
      <c r="M311" s="94">
        <v>5</v>
      </c>
      <c r="N311" s="94" t="s">
        <v>210</v>
      </c>
      <c r="O311" s="94" t="s">
        <v>210</v>
      </c>
      <c r="P311" s="94">
        <v>-3</v>
      </c>
      <c r="Q311" s="94">
        <v>7</v>
      </c>
      <c r="R311" s="94" t="s">
        <v>210</v>
      </c>
      <c r="S311" s="94" t="s">
        <v>210</v>
      </c>
      <c r="T311" s="94">
        <v>-2</v>
      </c>
      <c r="U311" s="94"/>
      <c r="V311" s="94"/>
      <c r="W311" s="94"/>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5"/>
    </row>
    <row r="312" spans="1:53" s="87" customFormat="1">
      <c r="A312" s="90" t="str">
        <f t="shared" si="29"/>
        <v/>
      </c>
      <c r="B312" s="98">
        <v>18</v>
      </c>
      <c r="C312" s="94" t="s">
        <v>210</v>
      </c>
      <c r="D312" s="94">
        <v>6</v>
      </c>
      <c r="E312" s="94">
        <v>-3</v>
      </c>
      <c r="F312" s="94" t="s">
        <v>210</v>
      </c>
      <c r="G312" s="94" t="s">
        <v>210</v>
      </c>
      <c r="H312" s="94">
        <v>-2</v>
      </c>
      <c r="I312" s="94">
        <v>8</v>
      </c>
      <c r="J312" s="94" t="s">
        <v>210</v>
      </c>
      <c r="K312" s="94" t="s">
        <v>210</v>
      </c>
      <c r="L312" s="94">
        <v>-5</v>
      </c>
      <c r="M312" s="94">
        <v>-4</v>
      </c>
      <c r="N312" s="94" t="s">
        <v>210</v>
      </c>
      <c r="O312" s="94" t="s">
        <v>210</v>
      </c>
      <c r="P312" s="94">
        <v>-7</v>
      </c>
      <c r="Q312" s="94">
        <v>1</v>
      </c>
      <c r="R312" s="94" t="s">
        <v>210</v>
      </c>
      <c r="S312" s="94" t="s">
        <v>210</v>
      </c>
      <c r="T312" s="94">
        <v>2</v>
      </c>
      <c r="U312" s="94"/>
      <c r="V312" s="94"/>
      <c r="W312" s="94"/>
      <c r="X312" s="94"/>
      <c r="Y312" s="94"/>
      <c r="Z312" s="94"/>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5"/>
    </row>
    <row r="313" spans="1:53" s="87" customFormat="1">
      <c r="A313" s="90" t="str">
        <f t="shared" si="29"/>
        <v/>
      </c>
      <c r="B313" s="98">
        <v>19</v>
      </c>
      <c r="C313" s="94" t="s">
        <v>210</v>
      </c>
      <c r="D313" s="94">
        <v>-2</v>
      </c>
      <c r="E313" s="94">
        <v>4</v>
      </c>
      <c r="F313" s="94" t="s">
        <v>210</v>
      </c>
      <c r="G313" s="94" t="s">
        <v>210</v>
      </c>
      <c r="H313" s="94">
        <v>-3</v>
      </c>
      <c r="I313" s="94">
        <v>2</v>
      </c>
      <c r="J313" s="94" t="s">
        <v>210</v>
      </c>
      <c r="K313" s="94" t="s">
        <v>210</v>
      </c>
      <c r="L313" s="94">
        <v>7</v>
      </c>
      <c r="M313" s="94">
        <v>-8</v>
      </c>
      <c r="N313" s="94" t="s">
        <v>210</v>
      </c>
      <c r="O313" s="94" t="s">
        <v>210</v>
      </c>
      <c r="P313" s="94">
        <v>3</v>
      </c>
      <c r="Q313" s="94">
        <v>-1</v>
      </c>
      <c r="R313" s="94" t="s">
        <v>210</v>
      </c>
      <c r="S313" s="94" t="s">
        <v>210</v>
      </c>
      <c r="T313" s="94">
        <v>-6</v>
      </c>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5"/>
    </row>
    <row r="314" spans="1:53" s="87" customFormat="1">
      <c r="A314" s="90" t="str">
        <f t="shared" si="29"/>
        <v/>
      </c>
      <c r="B314" s="99">
        <v>20</v>
      </c>
      <c r="C314" s="92" t="s">
        <v>210</v>
      </c>
      <c r="D314" s="92">
        <v>1</v>
      </c>
      <c r="E314" s="92">
        <v>-2</v>
      </c>
      <c r="F314" s="92" t="s">
        <v>210</v>
      </c>
      <c r="G314" s="92" t="s">
        <v>210</v>
      </c>
      <c r="H314" s="92">
        <v>-8</v>
      </c>
      <c r="I314" s="92">
        <v>7</v>
      </c>
      <c r="J314" s="92" t="s">
        <v>210</v>
      </c>
      <c r="K314" s="92" t="s">
        <v>210</v>
      </c>
      <c r="L314" s="92">
        <v>-3</v>
      </c>
      <c r="M314" s="92">
        <v>4</v>
      </c>
      <c r="N314" s="92" t="s">
        <v>210</v>
      </c>
      <c r="O314" s="92" t="s">
        <v>210</v>
      </c>
      <c r="P314" s="92">
        <v>-5</v>
      </c>
      <c r="Q314" s="92">
        <v>2</v>
      </c>
      <c r="R314" s="92" t="s">
        <v>210</v>
      </c>
      <c r="S314" s="92" t="s">
        <v>210</v>
      </c>
      <c r="T314" s="92">
        <v>6</v>
      </c>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5"/>
    </row>
    <row r="315" spans="1:53" s="87" customFormat="1">
      <c r="A315" s="90" t="str">
        <f t="shared" si="29"/>
        <v/>
      </c>
      <c r="B315" s="98">
        <v>21</v>
      </c>
      <c r="C315" s="94" t="s">
        <v>210</v>
      </c>
      <c r="D315" s="94">
        <v>3</v>
      </c>
      <c r="E315" s="94" t="s">
        <v>210</v>
      </c>
      <c r="F315" s="94">
        <v>-7</v>
      </c>
      <c r="G315" s="94">
        <v>-8</v>
      </c>
      <c r="H315" s="94" t="s">
        <v>210</v>
      </c>
      <c r="I315" s="94" t="s">
        <v>210</v>
      </c>
      <c r="J315" s="94">
        <v>5</v>
      </c>
      <c r="K315" s="94">
        <v>1</v>
      </c>
      <c r="L315" s="94" t="s">
        <v>210</v>
      </c>
      <c r="M315" s="94">
        <v>-3</v>
      </c>
      <c r="N315" s="94" t="s">
        <v>210</v>
      </c>
      <c r="O315" s="94" t="s">
        <v>210</v>
      </c>
      <c r="P315" s="94">
        <v>-6</v>
      </c>
      <c r="Q315" s="94">
        <v>4</v>
      </c>
      <c r="R315" s="94" t="s">
        <v>210</v>
      </c>
      <c r="S315" s="94">
        <v>2</v>
      </c>
      <c r="T315" s="94" t="s">
        <v>210</v>
      </c>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5"/>
    </row>
    <row r="316" spans="1:53" s="87" customFormat="1">
      <c r="A316" s="90" t="str">
        <f t="shared" si="29"/>
        <v/>
      </c>
      <c r="B316" s="98">
        <v>22</v>
      </c>
      <c r="C316" s="94">
        <v>3</v>
      </c>
      <c r="D316" s="94" t="s">
        <v>210</v>
      </c>
      <c r="E316" s="94">
        <v>-6</v>
      </c>
      <c r="F316" s="94" t="s">
        <v>210</v>
      </c>
      <c r="G316" s="94" t="s">
        <v>210</v>
      </c>
      <c r="H316" s="94">
        <v>-4</v>
      </c>
      <c r="I316" s="94" t="s">
        <v>210</v>
      </c>
      <c r="J316" s="94">
        <v>1</v>
      </c>
      <c r="K316" s="94">
        <v>-3</v>
      </c>
      <c r="L316" s="94" t="s">
        <v>210</v>
      </c>
      <c r="M316" s="94" t="s">
        <v>210</v>
      </c>
      <c r="N316" s="94">
        <v>-7</v>
      </c>
      <c r="O316" s="94" t="s">
        <v>210</v>
      </c>
      <c r="P316" s="94">
        <v>8</v>
      </c>
      <c r="Q316" s="94">
        <v>5</v>
      </c>
      <c r="R316" s="94" t="s">
        <v>210</v>
      </c>
      <c r="S316" s="94">
        <v>-2</v>
      </c>
      <c r="T316" s="94" t="s">
        <v>210</v>
      </c>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5"/>
    </row>
    <row r="317" spans="1:53" s="87" customFormat="1">
      <c r="A317" s="90" t="str">
        <f t="shared" si="29"/>
        <v/>
      </c>
      <c r="B317" s="98">
        <v>23</v>
      </c>
      <c r="C317" s="94" t="s">
        <v>210</v>
      </c>
      <c r="D317" s="94">
        <v>7</v>
      </c>
      <c r="E317" s="94" t="s">
        <v>210</v>
      </c>
      <c r="F317" s="94">
        <v>-2</v>
      </c>
      <c r="G317" s="94">
        <v>-4</v>
      </c>
      <c r="H317" s="94" t="s">
        <v>210</v>
      </c>
      <c r="I317" s="94">
        <v>5</v>
      </c>
      <c r="J317" s="94" t="s">
        <v>210</v>
      </c>
      <c r="K317" s="94">
        <v>3</v>
      </c>
      <c r="L317" s="94" t="s">
        <v>210</v>
      </c>
      <c r="M317" s="94" t="s">
        <v>210</v>
      </c>
      <c r="N317" s="94">
        <v>-1</v>
      </c>
      <c r="O317" s="94" t="s">
        <v>210</v>
      </c>
      <c r="P317" s="94">
        <v>6</v>
      </c>
      <c r="Q317" s="94">
        <v>-8</v>
      </c>
      <c r="R317" s="94" t="s">
        <v>210</v>
      </c>
      <c r="S317" s="94">
        <v>-7</v>
      </c>
      <c r="T317" s="94" t="s">
        <v>210</v>
      </c>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5"/>
    </row>
    <row r="318" spans="1:53" s="87" customFormat="1">
      <c r="A318" s="90" t="str">
        <f t="shared" si="29"/>
        <v/>
      </c>
      <c r="B318" s="98">
        <v>24</v>
      </c>
      <c r="C318" s="94">
        <v>-2</v>
      </c>
      <c r="D318" s="94" t="s">
        <v>210</v>
      </c>
      <c r="E318" s="94">
        <v>8</v>
      </c>
      <c r="F318" s="94" t="s">
        <v>210</v>
      </c>
      <c r="G318" s="94">
        <v>-6</v>
      </c>
      <c r="H318" s="94" t="s">
        <v>210</v>
      </c>
      <c r="I318" s="94">
        <v>4</v>
      </c>
      <c r="J318" s="94" t="s">
        <v>210</v>
      </c>
      <c r="K318" s="94" t="s">
        <v>210</v>
      </c>
      <c r="L318" s="94">
        <v>-1</v>
      </c>
      <c r="M318" s="94">
        <v>3</v>
      </c>
      <c r="N318" s="94" t="s">
        <v>210</v>
      </c>
      <c r="O318" s="94" t="s">
        <v>210</v>
      </c>
      <c r="P318" s="94">
        <v>-8</v>
      </c>
      <c r="Q318" s="94" t="s">
        <v>210</v>
      </c>
      <c r="R318" s="94">
        <v>-5</v>
      </c>
      <c r="S318" s="94">
        <v>7</v>
      </c>
      <c r="T318" s="94" t="s">
        <v>210</v>
      </c>
      <c r="U318" s="94"/>
      <c r="V318" s="94"/>
      <c r="W318" s="94"/>
      <c r="X318" s="94"/>
      <c r="Y318" s="94"/>
      <c r="Z318" s="94"/>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c r="AZ318" s="94"/>
      <c r="BA318" s="95"/>
    </row>
    <row r="319" spans="1:53" s="87" customFormat="1">
      <c r="A319" s="90" t="str">
        <f t="shared" si="29"/>
        <v/>
      </c>
      <c r="B319" s="98">
        <v>25</v>
      </c>
      <c r="C319" s="94" t="s">
        <v>210</v>
      </c>
      <c r="D319" s="94">
        <v>-3</v>
      </c>
      <c r="E319" s="94">
        <v>7</v>
      </c>
      <c r="F319" s="94" t="s">
        <v>210</v>
      </c>
      <c r="G319" s="94">
        <v>4</v>
      </c>
      <c r="H319" s="94" t="s">
        <v>210</v>
      </c>
      <c r="I319" s="94" t="s">
        <v>210</v>
      </c>
      <c r="J319" s="94">
        <v>-1</v>
      </c>
      <c r="K319" s="94" t="s">
        <v>210</v>
      </c>
      <c r="L319" s="94">
        <v>-6</v>
      </c>
      <c r="M319" s="94">
        <v>2</v>
      </c>
      <c r="N319" s="94" t="s">
        <v>210</v>
      </c>
      <c r="O319" s="94">
        <v>-7</v>
      </c>
      <c r="P319" s="94" t="s">
        <v>210</v>
      </c>
      <c r="Q319" s="94" t="s">
        <v>210</v>
      </c>
      <c r="R319" s="94">
        <v>5</v>
      </c>
      <c r="S319" s="94">
        <v>-8</v>
      </c>
      <c r="T319" s="94" t="s">
        <v>210</v>
      </c>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5"/>
    </row>
    <row r="320" spans="1:53" s="87" customFormat="1">
      <c r="A320" s="90" t="str">
        <f t="shared" si="29"/>
        <v/>
      </c>
      <c r="B320" s="98">
        <v>26</v>
      </c>
      <c r="C320" s="94" t="s">
        <v>210</v>
      </c>
      <c r="D320" s="94">
        <v>-7</v>
      </c>
      <c r="E320" s="94">
        <v>-8</v>
      </c>
      <c r="F320" s="94" t="s">
        <v>210</v>
      </c>
      <c r="G320" s="94" t="s">
        <v>210</v>
      </c>
      <c r="H320" s="94">
        <v>4</v>
      </c>
      <c r="I320" s="94" t="s">
        <v>210</v>
      </c>
      <c r="J320" s="94">
        <v>-5</v>
      </c>
      <c r="K320" s="94">
        <v>2</v>
      </c>
      <c r="L320" s="94" t="s">
        <v>210</v>
      </c>
      <c r="M320" s="94">
        <v>1</v>
      </c>
      <c r="N320" s="94" t="s">
        <v>210</v>
      </c>
      <c r="O320" s="94">
        <v>-6</v>
      </c>
      <c r="P320" s="94" t="s">
        <v>210</v>
      </c>
      <c r="Q320" s="94" t="s">
        <v>210</v>
      </c>
      <c r="R320" s="94">
        <v>-3</v>
      </c>
      <c r="S320" s="94">
        <v>8</v>
      </c>
      <c r="T320" s="94" t="s">
        <v>210</v>
      </c>
      <c r="U320" s="94"/>
      <c r="V320" s="94"/>
      <c r="W320" s="94"/>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5"/>
    </row>
    <row r="321" spans="1:53" s="87" customFormat="1">
      <c r="A321" s="90" t="str">
        <f t="shared" si="29"/>
        <v/>
      </c>
      <c r="B321" s="98">
        <v>27</v>
      </c>
      <c r="C321" s="94">
        <v>-4</v>
      </c>
      <c r="D321" s="94" t="s">
        <v>210</v>
      </c>
      <c r="E321" s="94" t="s">
        <v>210</v>
      </c>
      <c r="F321" s="94">
        <v>2</v>
      </c>
      <c r="G321" s="94">
        <v>8</v>
      </c>
      <c r="H321" s="94" t="s">
        <v>210</v>
      </c>
      <c r="I321" s="94">
        <v>-3</v>
      </c>
      <c r="J321" s="94" t="s">
        <v>210</v>
      </c>
      <c r="K321" s="94" t="s">
        <v>210</v>
      </c>
      <c r="L321" s="94">
        <v>1</v>
      </c>
      <c r="M321" s="94">
        <v>-2</v>
      </c>
      <c r="N321" s="94" t="s">
        <v>210</v>
      </c>
      <c r="O321" s="94">
        <v>6</v>
      </c>
      <c r="P321" s="94" t="s">
        <v>210</v>
      </c>
      <c r="Q321" s="94">
        <v>-5</v>
      </c>
      <c r="R321" s="94" t="s">
        <v>210</v>
      </c>
      <c r="S321" s="94" t="s">
        <v>210</v>
      </c>
      <c r="T321" s="94">
        <v>7</v>
      </c>
      <c r="U321" s="94"/>
      <c r="V321" s="94"/>
      <c r="W321" s="94"/>
      <c r="X321" s="94"/>
      <c r="Y321" s="94"/>
      <c r="Z321" s="94"/>
      <c r="AA321" s="94"/>
      <c r="AB321" s="94"/>
      <c r="AC321" s="94"/>
      <c r="AD321" s="94"/>
      <c r="AE321" s="94"/>
      <c r="AF321" s="94"/>
      <c r="AG321" s="94"/>
      <c r="AH321" s="94"/>
      <c r="AI321" s="94"/>
      <c r="AJ321" s="94"/>
      <c r="AK321" s="94"/>
      <c r="AL321" s="94"/>
      <c r="AM321" s="94"/>
      <c r="AN321" s="94"/>
      <c r="AO321" s="94"/>
      <c r="AP321" s="94"/>
      <c r="AQ321" s="94"/>
      <c r="AR321" s="94"/>
      <c r="AS321" s="94"/>
      <c r="AT321" s="94"/>
      <c r="AU321" s="94"/>
      <c r="AV321" s="94"/>
      <c r="AW321" s="94"/>
      <c r="AX321" s="94"/>
      <c r="AY321" s="94"/>
      <c r="AZ321" s="94"/>
      <c r="BA321" s="95"/>
    </row>
    <row r="322" spans="1:53" s="87" customFormat="1">
      <c r="A322" s="90" t="str">
        <f t="shared" si="29"/>
        <v/>
      </c>
      <c r="B322" s="98">
        <v>28</v>
      </c>
      <c r="C322" s="94">
        <v>-3</v>
      </c>
      <c r="D322" s="94" t="s">
        <v>210</v>
      </c>
      <c r="E322" s="94" t="s">
        <v>210</v>
      </c>
      <c r="F322" s="94">
        <v>7</v>
      </c>
      <c r="G322" s="94" t="s">
        <v>210</v>
      </c>
      <c r="H322" s="94">
        <v>5</v>
      </c>
      <c r="I322" s="94">
        <v>-4</v>
      </c>
      <c r="J322" s="94" t="s">
        <v>210</v>
      </c>
      <c r="K322" s="94" t="s">
        <v>210</v>
      </c>
      <c r="L322" s="94">
        <v>6</v>
      </c>
      <c r="M322" s="94">
        <v>-1</v>
      </c>
      <c r="N322" s="94" t="s">
        <v>210</v>
      </c>
      <c r="O322" s="94">
        <v>2</v>
      </c>
      <c r="P322" s="94" t="s">
        <v>210</v>
      </c>
      <c r="Q322" s="94">
        <v>8</v>
      </c>
      <c r="R322" s="94" t="s">
        <v>210</v>
      </c>
      <c r="S322" s="94" t="s">
        <v>210</v>
      </c>
      <c r="T322" s="94">
        <v>-7</v>
      </c>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5"/>
    </row>
    <row r="323" spans="1:53" s="87" customFormat="1">
      <c r="A323" s="90" t="str">
        <f t="shared" si="29"/>
        <v/>
      </c>
      <c r="B323" s="98">
        <v>29</v>
      </c>
      <c r="C323" s="94">
        <v>2</v>
      </c>
      <c r="D323" s="94" t="s">
        <v>210</v>
      </c>
      <c r="E323" s="94">
        <v>6</v>
      </c>
      <c r="F323" s="94" t="s">
        <v>210</v>
      </c>
      <c r="G323" s="94" t="s">
        <v>210</v>
      </c>
      <c r="H323" s="94">
        <v>-5</v>
      </c>
      <c r="I323" s="94">
        <v>3</v>
      </c>
      <c r="J323" s="94" t="s">
        <v>210</v>
      </c>
      <c r="K323" s="94">
        <v>-2</v>
      </c>
      <c r="L323" s="94" t="s">
        <v>210</v>
      </c>
      <c r="M323" s="94" t="s">
        <v>210</v>
      </c>
      <c r="N323" s="94">
        <v>1</v>
      </c>
      <c r="O323" s="94">
        <v>7</v>
      </c>
      <c r="P323" s="94" t="s">
        <v>210</v>
      </c>
      <c r="Q323" s="94">
        <v>-4</v>
      </c>
      <c r="R323" s="94" t="s">
        <v>210</v>
      </c>
      <c r="S323" s="94" t="s">
        <v>210</v>
      </c>
      <c r="T323" s="94">
        <v>-8</v>
      </c>
      <c r="U323" s="94"/>
      <c r="V323" s="94"/>
      <c r="W323" s="94"/>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c r="AZ323" s="94"/>
      <c r="BA323" s="95"/>
    </row>
    <row r="324" spans="1:53" s="87" customFormat="1">
      <c r="A324" s="90" t="str">
        <f t="shared" si="29"/>
        <v/>
      </c>
      <c r="B324" s="98">
        <v>30</v>
      </c>
      <c r="C324" s="94">
        <v>4</v>
      </c>
      <c r="D324" s="94" t="s">
        <v>210</v>
      </c>
      <c r="E324" s="94">
        <v>-7</v>
      </c>
      <c r="F324" s="94" t="s">
        <v>210</v>
      </c>
      <c r="G324" s="94">
        <v>6</v>
      </c>
      <c r="H324" s="94" t="s">
        <v>210</v>
      </c>
      <c r="I324" s="94">
        <v>-5</v>
      </c>
      <c r="J324" s="94" t="s">
        <v>210</v>
      </c>
      <c r="K324" s="94">
        <v>-1</v>
      </c>
      <c r="L324" s="94" t="s">
        <v>210</v>
      </c>
      <c r="M324" s="94" t="s">
        <v>210</v>
      </c>
      <c r="N324" s="94">
        <v>7</v>
      </c>
      <c r="O324" s="94">
        <v>-2</v>
      </c>
      <c r="P324" s="94" t="s">
        <v>210</v>
      </c>
      <c r="Q324" s="94" t="s">
        <v>210</v>
      </c>
      <c r="R324" s="94">
        <v>3</v>
      </c>
      <c r="S324" s="94" t="s">
        <v>210</v>
      </c>
      <c r="T324" s="94">
        <v>8</v>
      </c>
      <c r="U324" s="94"/>
      <c r="V324" s="94"/>
      <c r="W324" s="94"/>
      <c r="X324" s="94"/>
      <c r="Y324" s="94"/>
      <c r="Z324" s="94"/>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5"/>
    </row>
    <row r="325" spans="1:53" s="87" customFormat="1">
      <c r="A325" s="90" t="str">
        <f t="shared" si="29"/>
        <v/>
      </c>
      <c r="B325" s="98" t="s">
        <v>469</v>
      </c>
      <c r="C325" s="94"/>
      <c r="D325" s="94"/>
      <c r="E325" s="94"/>
      <c r="F325" s="94"/>
      <c r="G325" s="94"/>
      <c r="H325" s="94"/>
      <c r="I325" s="94"/>
      <c r="J325" s="94"/>
      <c r="K325" s="94"/>
      <c r="L325" s="94"/>
      <c r="M325" s="94"/>
      <c r="N325" s="94"/>
      <c r="O325" s="94"/>
      <c r="P325" s="94"/>
      <c r="Q325" s="94"/>
      <c r="R325" s="94"/>
      <c r="S325" s="94"/>
      <c r="T325" s="94"/>
      <c r="U325" s="94"/>
      <c r="V325" s="94"/>
      <c r="W325" s="94"/>
      <c r="X325" s="94"/>
      <c r="Y325" s="94"/>
      <c r="Z325" s="94"/>
      <c r="AA325" s="94"/>
      <c r="AB325" s="94"/>
      <c r="AC325" s="94"/>
      <c r="AD325" s="94"/>
      <c r="AE325" s="94"/>
      <c r="AF325" s="94"/>
      <c r="AG325" s="94"/>
      <c r="AH325" s="94"/>
      <c r="AI325" s="94"/>
      <c r="AJ325" s="94"/>
      <c r="AK325" s="94"/>
      <c r="AL325" s="94"/>
      <c r="AM325" s="94"/>
      <c r="AN325" s="94"/>
      <c r="AO325" s="94"/>
      <c r="AP325" s="94"/>
      <c r="AQ325" s="94"/>
      <c r="AR325" s="94"/>
      <c r="AS325" s="94"/>
      <c r="AT325" s="94"/>
      <c r="AU325" s="94"/>
      <c r="AV325" s="94"/>
      <c r="AW325" s="94"/>
      <c r="AX325" s="94"/>
      <c r="AY325" s="94"/>
      <c r="AZ325" s="94"/>
      <c r="BA325" s="95"/>
    </row>
    <row r="326" spans="1:53" s="87" customFormat="1">
      <c r="A326" s="90">
        <f t="shared" si="29"/>
        <v>326</v>
      </c>
      <c r="B326" s="98" t="s">
        <v>470</v>
      </c>
      <c r="C326" s="94"/>
      <c r="D326" s="94"/>
      <c r="E326" s="94"/>
      <c r="F326" s="94"/>
      <c r="G326" s="94"/>
      <c r="H326" s="94"/>
      <c r="I326" s="94"/>
      <c r="J326" s="94"/>
      <c r="K326" s="94"/>
      <c r="L326" s="94"/>
      <c r="M326" s="94"/>
      <c r="N326" s="94"/>
      <c r="O326" s="94"/>
      <c r="P326" s="94"/>
      <c r="Q326" s="94"/>
      <c r="R326" s="94"/>
      <c r="S326" s="94"/>
      <c r="T326" s="94"/>
      <c r="U326" s="94"/>
      <c r="V326" s="94"/>
      <c r="W326" s="94"/>
      <c r="X326" s="94"/>
      <c r="Y326" s="94"/>
      <c r="Z326" s="94"/>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c r="AW326" s="94"/>
      <c r="AX326" s="94"/>
      <c r="AY326" s="94"/>
      <c r="AZ326" s="94"/>
      <c r="BA326" s="95"/>
    </row>
    <row r="327" spans="1:53" s="87" customFormat="1">
      <c r="A327" s="90" t="str">
        <f t="shared" si="29"/>
        <v/>
      </c>
      <c r="B327" s="98">
        <v>1</v>
      </c>
      <c r="C327" s="94">
        <v>2</v>
      </c>
      <c r="D327" s="94" t="s">
        <v>210</v>
      </c>
      <c r="E327" s="94" t="s">
        <v>210</v>
      </c>
      <c r="F327" s="94">
        <v>-4</v>
      </c>
      <c r="G327" s="94">
        <v>6</v>
      </c>
      <c r="H327" s="94" t="s">
        <v>210</v>
      </c>
      <c r="I327" s="94" t="s">
        <v>210</v>
      </c>
      <c r="J327" s="94">
        <v>5</v>
      </c>
      <c r="K327" s="94">
        <v>-7</v>
      </c>
      <c r="L327" s="94" t="s">
        <v>210</v>
      </c>
      <c r="M327" s="94" t="s">
        <v>210</v>
      </c>
      <c r="N327" s="94">
        <v>-3</v>
      </c>
      <c r="O327" s="94">
        <v>4</v>
      </c>
      <c r="P327" s="94" t="s">
        <v>210</v>
      </c>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5"/>
    </row>
    <row r="328" spans="1:53" s="87" customFormat="1">
      <c r="A328" s="90" t="str">
        <f t="shared" si="29"/>
        <v/>
      </c>
      <c r="B328" s="98">
        <v>2</v>
      </c>
      <c r="C328" s="94">
        <v>3</v>
      </c>
      <c r="D328" s="94" t="s">
        <v>210</v>
      </c>
      <c r="E328" s="94" t="s">
        <v>210</v>
      </c>
      <c r="F328" s="94">
        <v>5</v>
      </c>
      <c r="G328" s="94">
        <v>-7</v>
      </c>
      <c r="H328" s="94" t="s">
        <v>210</v>
      </c>
      <c r="I328" s="94" t="s">
        <v>210</v>
      </c>
      <c r="J328" s="94">
        <v>1</v>
      </c>
      <c r="K328" s="94">
        <v>2</v>
      </c>
      <c r="L328" s="94" t="s">
        <v>210</v>
      </c>
      <c r="M328" s="94" t="s">
        <v>210</v>
      </c>
      <c r="N328" s="94">
        <v>-5</v>
      </c>
      <c r="O328" s="94">
        <v>-4</v>
      </c>
      <c r="P328" s="94" t="s">
        <v>210</v>
      </c>
      <c r="Q328" s="94"/>
      <c r="R328" s="94"/>
      <c r="S328" s="94"/>
      <c r="T328" s="94"/>
      <c r="U328" s="94"/>
      <c r="V328" s="94"/>
      <c r="W328" s="94"/>
      <c r="X328" s="94"/>
      <c r="Y328" s="94"/>
      <c r="Z328" s="94"/>
      <c r="AA328" s="94"/>
      <c r="AB328" s="94"/>
      <c r="AC328" s="94"/>
      <c r="AD328" s="94"/>
      <c r="AE328" s="94"/>
      <c r="AF328" s="94"/>
      <c r="AG328" s="94"/>
      <c r="AH328" s="94"/>
      <c r="AI328" s="94"/>
      <c r="AJ328" s="94"/>
      <c r="AK328" s="94"/>
      <c r="AL328" s="94"/>
      <c r="AM328" s="94"/>
      <c r="AN328" s="94"/>
      <c r="AO328" s="94"/>
      <c r="AP328" s="94"/>
      <c r="AQ328" s="94"/>
      <c r="AR328" s="94"/>
      <c r="AS328" s="94"/>
      <c r="AT328" s="94"/>
      <c r="AU328" s="94"/>
      <c r="AV328" s="94"/>
      <c r="AW328" s="94"/>
      <c r="AX328" s="94"/>
      <c r="AY328" s="94"/>
      <c r="AZ328" s="94"/>
      <c r="BA328" s="95"/>
    </row>
    <row r="329" spans="1:53" s="87" customFormat="1">
      <c r="A329" s="90" t="str">
        <f t="shared" si="29"/>
        <v/>
      </c>
      <c r="B329" s="98">
        <v>3</v>
      </c>
      <c r="C329" s="94">
        <v>-3</v>
      </c>
      <c r="D329" s="94" t="s">
        <v>210</v>
      </c>
      <c r="E329" s="94" t="s">
        <v>210</v>
      </c>
      <c r="F329" s="94">
        <v>4</v>
      </c>
      <c r="G329" s="94">
        <v>-2</v>
      </c>
      <c r="H329" s="94" t="s">
        <v>210</v>
      </c>
      <c r="I329" s="94">
        <v>7</v>
      </c>
      <c r="J329" s="94" t="s">
        <v>210</v>
      </c>
      <c r="K329" s="94">
        <v>8</v>
      </c>
      <c r="L329" s="94" t="s">
        <v>210</v>
      </c>
      <c r="M329" s="94" t="s">
        <v>210</v>
      </c>
      <c r="N329" s="94">
        <v>-4</v>
      </c>
      <c r="O329" s="94">
        <v>5</v>
      </c>
      <c r="P329" s="94" t="s">
        <v>210</v>
      </c>
      <c r="Q329" s="94"/>
      <c r="R329" s="94"/>
      <c r="S329" s="94"/>
      <c r="T329" s="94"/>
      <c r="U329" s="94"/>
      <c r="V329" s="94"/>
      <c r="W329" s="94"/>
      <c r="X329" s="94"/>
      <c r="Y329" s="94"/>
      <c r="Z329" s="94"/>
      <c r="AA329" s="94"/>
      <c r="AB329" s="94"/>
      <c r="AC329" s="94"/>
      <c r="AD329" s="94"/>
      <c r="AE329" s="94"/>
      <c r="AF329" s="94"/>
      <c r="AG329" s="94"/>
      <c r="AH329" s="94"/>
      <c r="AI329" s="94"/>
      <c r="AJ329" s="94"/>
      <c r="AK329" s="94"/>
      <c r="AL329" s="94"/>
      <c r="AM329" s="94"/>
      <c r="AN329" s="94"/>
      <c r="AO329" s="94"/>
      <c r="AP329" s="94"/>
      <c r="AQ329" s="94"/>
      <c r="AR329" s="94"/>
      <c r="AS329" s="94"/>
      <c r="AT329" s="94"/>
      <c r="AU329" s="94"/>
      <c r="AV329" s="94"/>
      <c r="AW329" s="94"/>
      <c r="AX329" s="94"/>
      <c r="AY329" s="94"/>
      <c r="AZ329" s="94"/>
      <c r="BA329" s="95"/>
    </row>
    <row r="330" spans="1:53" s="87" customFormat="1">
      <c r="A330" s="90" t="str">
        <f t="shared" si="29"/>
        <v/>
      </c>
      <c r="B330" s="98">
        <v>4</v>
      </c>
      <c r="C330" s="94">
        <v>8</v>
      </c>
      <c r="D330" s="94" t="s">
        <v>210</v>
      </c>
      <c r="E330" s="94" t="s">
        <v>210</v>
      </c>
      <c r="F330" s="94">
        <v>-6</v>
      </c>
      <c r="G330" s="94">
        <v>7</v>
      </c>
      <c r="H330" s="94" t="s">
        <v>210</v>
      </c>
      <c r="I330" s="94" t="s">
        <v>210</v>
      </c>
      <c r="J330" s="94">
        <v>-2</v>
      </c>
      <c r="K330" s="94">
        <v>-1</v>
      </c>
      <c r="L330" s="94" t="s">
        <v>210</v>
      </c>
      <c r="M330" s="94" t="s">
        <v>210</v>
      </c>
      <c r="N330" s="94">
        <v>3</v>
      </c>
      <c r="O330" s="94">
        <v>-5</v>
      </c>
      <c r="P330" s="94" t="s">
        <v>210</v>
      </c>
      <c r="Q330" s="94"/>
      <c r="R330" s="94"/>
      <c r="S330" s="94"/>
      <c r="T330" s="94"/>
      <c r="U330" s="94"/>
      <c r="V330" s="94"/>
      <c r="W330" s="94"/>
      <c r="X330" s="94"/>
      <c r="Y330" s="94"/>
      <c r="Z330" s="94"/>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c r="AW330" s="94"/>
      <c r="AX330" s="94"/>
      <c r="AY330" s="94"/>
      <c r="AZ330" s="94"/>
      <c r="BA330" s="95"/>
    </row>
    <row r="331" spans="1:53" s="87" customFormat="1">
      <c r="A331" s="90" t="str">
        <f t="shared" si="29"/>
        <v/>
      </c>
      <c r="B331" s="98">
        <v>5</v>
      </c>
      <c r="C331" s="94">
        <v>7</v>
      </c>
      <c r="D331" s="94" t="s">
        <v>210</v>
      </c>
      <c r="E331" s="94" t="s">
        <v>210</v>
      </c>
      <c r="F331" s="94">
        <v>-5</v>
      </c>
      <c r="G331" s="94">
        <v>-6</v>
      </c>
      <c r="H331" s="94" t="s">
        <v>210</v>
      </c>
      <c r="I331" s="94" t="s">
        <v>210</v>
      </c>
      <c r="J331" s="94">
        <v>2</v>
      </c>
      <c r="K331" s="94">
        <v>-8</v>
      </c>
      <c r="L331" s="94" t="s">
        <v>210</v>
      </c>
      <c r="M331" s="94">
        <v>5</v>
      </c>
      <c r="N331" s="94" t="s">
        <v>210</v>
      </c>
      <c r="O331" s="94">
        <v>3</v>
      </c>
      <c r="P331" s="94" t="s">
        <v>210</v>
      </c>
      <c r="Q331" s="94"/>
      <c r="R331" s="94"/>
      <c r="S331" s="94"/>
      <c r="T331" s="94"/>
      <c r="U331" s="94"/>
      <c r="V331" s="94"/>
      <c r="W331" s="94"/>
      <c r="X331" s="94"/>
      <c r="Y331" s="94"/>
      <c r="Z331" s="94"/>
      <c r="AA331" s="94"/>
      <c r="AB331" s="94"/>
      <c r="AC331" s="94"/>
      <c r="AD331" s="94"/>
      <c r="AE331" s="94"/>
      <c r="AF331" s="94"/>
      <c r="AG331" s="94"/>
      <c r="AH331" s="94"/>
      <c r="AI331" s="94"/>
      <c r="AJ331" s="94"/>
      <c r="AK331" s="94"/>
      <c r="AL331" s="94"/>
      <c r="AM331" s="94"/>
      <c r="AN331" s="94"/>
      <c r="AO331" s="94"/>
      <c r="AP331" s="94"/>
      <c r="AQ331" s="94"/>
      <c r="AR331" s="94"/>
      <c r="AS331" s="94"/>
      <c r="AT331" s="94"/>
      <c r="AU331" s="94"/>
      <c r="AV331" s="94"/>
      <c r="AW331" s="94"/>
      <c r="AX331" s="94"/>
      <c r="AY331" s="94"/>
      <c r="AZ331" s="94"/>
      <c r="BA331" s="95"/>
    </row>
    <row r="332" spans="1:53" s="87" customFormat="1">
      <c r="A332" s="90" t="str">
        <f t="shared" ref="A332:A395" si="30">IF(MID(B332,3,2)="08",ROW(),"")</f>
        <v/>
      </c>
      <c r="B332" s="98">
        <v>6</v>
      </c>
      <c r="C332" s="94">
        <v>-2</v>
      </c>
      <c r="D332" s="94" t="s">
        <v>210</v>
      </c>
      <c r="E332" s="94" t="s">
        <v>210</v>
      </c>
      <c r="F332" s="94">
        <v>3</v>
      </c>
      <c r="G332" s="94">
        <v>-8</v>
      </c>
      <c r="H332" s="94" t="s">
        <v>210</v>
      </c>
      <c r="I332" s="94">
        <v>-7</v>
      </c>
      <c r="J332" s="94" t="s">
        <v>210</v>
      </c>
      <c r="K332" s="94">
        <v>1</v>
      </c>
      <c r="L332" s="94" t="s">
        <v>210</v>
      </c>
      <c r="M332" s="94" t="s">
        <v>210</v>
      </c>
      <c r="N332" s="94">
        <v>5</v>
      </c>
      <c r="O332" s="94">
        <v>-3</v>
      </c>
      <c r="P332" s="94" t="s">
        <v>210</v>
      </c>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5"/>
    </row>
    <row r="333" spans="1:53" s="87" customFormat="1">
      <c r="A333" s="90" t="str">
        <f t="shared" si="30"/>
        <v/>
      </c>
      <c r="B333" s="98">
        <v>7</v>
      </c>
      <c r="C333" s="94">
        <v>-7</v>
      </c>
      <c r="D333" s="94" t="s">
        <v>210</v>
      </c>
      <c r="E333" s="94" t="s">
        <v>210</v>
      </c>
      <c r="F333" s="94">
        <v>6</v>
      </c>
      <c r="G333" s="94">
        <v>8</v>
      </c>
      <c r="H333" s="94" t="s">
        <v>210</v>
      </c>
      <c r="I333" s="94" t="s">
        <v>210</v>
      </c>
      <c r="J333" s="94">
        <v>-5</v>
      </c>
      <c r="K333" s="94">
        <v>-2</v>
      </c>
      <c r="L333" s="94" t="s">
        <v>210</v>
      </c>
      <c r="M333" s="94" t="s">
        <v>210</v>
      </c>
      <c r="N333" s="94">
        <v>4</v>
      </c>
      <c r="O333" s="94">
        <v>-6</v>
      </c>
      <c r="P333" s="94" t="s">
        <v>210</v>
      </c>
      <c r="Q333" s="94"/>
      <c r="R333" s="94"/>
      <c r="S333" s="94"/>
      <c r="T333" s="94"/>
      <c r="U333" s="94"/>
      <c r="V333" s="94"/>
      <c r="W333" s="94"/>
      <c r="X333" s="94"/>
      <c r="Y333" s="94"/>
      <c r="Z333" s="94"/>
      <c r="AA333" s="94"/>
      <c r="AB333" s="94"/>
      <c r="AC333" s="94"/>
      <c r="AD333" s="94"/>
      <c r="AE333" s="94"/>
      <c r="AF333" s="94"/>
      <c r="AG333" s="94"/>
      <c r="AH333" s="94"/>
      <c r="AI333" s="94"/>
      <c r="AJ333" s="94"/>
      <c r="AK333" s="94"/>
      <c r="AL333" s="94"/>
      <c r="AM333" s="94"/>
      <c r="AN333" s="94"/>
      <c r="AO333" s="94"/>
      <c r="AP333" s="94"/>
      <c r="AQ333" s="94"/>
      <c r="AR333" s="94"/>
      <c r="AS333" s="94"/>
      <c r="AT333" s="94"/>
      <c r="AU333" s="94"/>
      <c r="AV333" s="94"/>
      <c r="AW333" s="94"/>
      <c r="AX333" s="94"/>
      <c r="AY333" s="94"/>
      <c r="AZ333" s="94"/>
      <c r="BA333" s="95"/>
    </row>
    <row r="334" spans="1:53" s="87" customFormat="1">
      <c r="A334" s="90" t="str">
        <f t="shared" si="30"/>
        <v/>
      </c>
      <c r="B334" s="99">
        <v>8</v>
      </c>
      <c r="C334" s="92">
        <v>-8</v>
      </c>
      <c r="D334" s="92" t="s">
        <v>210</v>
      </c>
      <c r="E334" s="92" t="s">
        <v>210</v>
      </c>
      <c r="F334" s="92">
        <v>-3</v>
      </c>
      <c r="G334" s="92">
        <v>2</v>
      </c>
      <c r="H334" s="92" t="s">
        <v>210</v>
      </c>
      <c r="I334" s="92" t="s">
        <v>210</v>
      </c>
      <c r="J334" s="92">
        <v>-1</v>
      </c>
      <c r="K334" s="92">
        <v>7</v>
      </c>
      <c r="L334" s="92" t="s">
        <v>210</v>
      </c>
      <c r="M334" s="92">
        <v>-5</v>
      </c>
      <c r="N334" s="92" t="s">
        <v>210</v>
      </c>
      <c r="O334" s="92">
        <v>6</v>
      </c>
      <c r="P334" s="92" t="s">
        <v>210</v>
      </c>
      <c r="Q334" s="94"/>
      <c r="R334" s="94"/>
      <c r="S334" s="94"/>
      <c r="T334" s="94"/>
      <c r="U334" s="94"/>
      <c r="V334" s="94"/>
      <c r="W334" s="94"/>
      <c r="X334" s="94"/>
      <c r="Y334" s="94"/>
      <c r="Z334" s="94"/>
      <c r="AA334" s="94"/>
      <c r="AB334" s="94"/>
      <c r="AC334" s="94"/>
      <c r="AD334" s="94"/>
      <c r="AE334" s="94"/>
      <c r="AF334" s="94"/>
      <c r="AG334" s="94"/>
      <c r="AH334" s="94"/>
      <c r="AI334" s="94"/>
      <c r="AJ334" s="94"/>
      <c r="AK334" s="94"/>
      <c r="AL334" s="94"/>
      <c r="AM334" s="94"/>
      <c r="AN334" s="94"/>
      <c r="AO334" s="94"/>
      <c r="AP334" s="94"/>
      <c r="AQ334" s="94"/>
      <c r="AR334" s="94"/>
      <c r="AS334" s="94"/>
      <c r="AT334" s="94"/>
      <c r="AU334" s="94"/>
      <c r="AV334" s="94"/>
      <c r="AW334" s="94"/>
      <c r="AX334" s="94"/>
      <c r="AY334" s="94"/>
      <c r="AZ334" s="94"/>
      <c r="BA334" s="95"/>
    </row>
    <row r="335" spans="1:53" s="87" customFormat="1">
      <c r="A335" s="90" t="str">
        <f t="shared" si="30"/>
        <v/>
      </c>
      <c r="B335" s="98">
        <v>9</v>
      </c>
      <c r="C335" s="94">
        <v>-1</v>
      </c>
      <c r="D335" s="94" t="s">
        <v>210</v>
      </c>
      <c r="E335" s="94" t="s">
        <v>210</v>
      </c>
      <c r="F335" s="94">
        <v>7</v>
      </c>
      <c r="G335" s="94">
        <v>5</v>
      </c>
      <c r="H335" s="94" t="s">
        <v>210</v>
      </c>
      <c r="I335" s="94" t="s">
        <v>210</v>
      </c>
      <c r="J335" s="94">
        <v>-4</v>
      </c>
      <c r="K335" s="94">
        <v>3</v>
      </c>
      <c r="L335" s="94" t="s">
        <v>210</v>
      </c>
      <c r="M335" s="94" t="s">
        <v>210</v>
      </c>
      <c r="N335" s="94">
        <v>-6</v>
      </c>
      <c r="O335" s="94">
        <v>-2</v>
      </c>
      <c r="P335" s="94" t="s">
        <v>210</v>
      </c>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5"/>
    </row>
    <row r="336" spans="1:53" s="87" customFormat="1">
      <c r="A336" s="90" t="str">
        <f t="shared" si="30"/>
        <v/>
      </c>
      <c r="B336" s="98">
        <v>10</v>
      </c>
      <c r="C336" s="94">
        <v>-4</v>
      </c>
      <c r="D336" s="94" t="s">
        <v>210</v>
      </c>
      <c r="E336" s="94">
        <v>5</v>
      </c>
      <c r="F336" s="94" t="s">
        <v>210</v>
      </c>
      <c r="G336" s="94">
        <v>3</v>
      </c>
      <c r="H336" s="94" t="s">
        <v>210</v>
      </c>
      <c r="I336" s="94" t="s">
        <v>210</v>
      </c>
      <c r="J336" s="94">
        <v>-7</v>
      </c>
      <c r="K336" s="94">
        <v>4</v>
      </c>
      <c r="L336" s="94" t="s">
        <v>210</v>
      </c>
      <c r="M336" s="94" t="s">
        <v>210</v>
      </c>
      <c r="N336" s="94">
        <v>-8</v>
      </c>
      <c r="O336" s="94">
        <v>2</v>
      </c>
      <c r="P336" s="94" t="s">
        <v>210</v>
      </c>
      <c r="Q336" s="94"/>
      <c r="R336" s="94"/>
      <c r="S336" s="94"/>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5"/>
    </row>
    <row r="337" spans="1:53" s="87" customFormat="1">
      <c r="A337" s="90" t="str">
        <f t="shared" si="30"/>
        <v/>
      </c>
      <c r="B337" s="98">
        <v>11</v>
      </c>
      <c r="C337" s="94">
        <v>-6</v>
      </c>
      <c r="D337" s="94" t="s">
        <v>210</v>
      </c>
      <c r="E337" s="94" t="s">
        <v>210</v>
      </c>
      <c r="F337" s="94">
        <v>2</v>
      </c>
      <c r="G337" s="94">
        <v>1</v>
      </c>
      <c r="H337" s="94" t="s">
        <v>210</v>
      </c>
      <c r="I337" s="94" t="s">
        <v>210</v>
      </c>
      <c r="J337" s="94">
        <v>-3</v>
      </c>
      <c r="K337" s="94">
        <v>-4</v>
      </c>
      <c r="L337" s="94" t="s">
        <v>210</v>
      </c>
      <c r="M337" s="94" t="s">
        <v>210</v>
      </c>
      <c r="N337" s="94">
        <v>6</v>
      </c>
      <c r="O337" s="94">
        <v>-7</v>
      </c>
      <c r="P337" s="94" t="s">
        <v>210</v>
      </c>
      <c r="Q337" s="94"/>
      <c r="R337" s="94"/>
      <c r="S337" s="94"/>
      <c r="T337" s="94"/>
      <c r="U337" s="94"/>
      <c r="V337" s="94"/>
      <c r="W337" s="94"/>
      <c r="X337" s="94"/>
      <c r="Y337" s="94"/>
      <c r="Z337" s="94"/>
      <c r="AA337" s="94"/>
      <c r="AB337" s="94"/>
      <c r="AC337" s="94"/>
      <c r="AD337" s="94"/>
      <c r="AE337" s="94"/>
      <c r="AF337" s="94"/>
      <c r="AG337" s="94"/>
      <c r="AH337" s="94"/>
      <c r="AI337" s="94"/>
      <c r="AJ337" s="94"/>
      <c r="AK337" s="94"/>
      <c r="AL337" s="94"/>
      <c r="AM337" s="94"/>
      <c r="AN337" s="94"/>
      <c r="AO337" s="94"/>
      <c r="AP337" s="94"/>
      <c r="AQ337" s="94"/>
      <c r="AR337" s="94"/>
      <c r="AS337" s="94"/>
      <c r="AT337" s="94"/>
      <c r="AU337" s="94"/>
      <c r="AV337" s="94"/>
      <c r="AW337" s="94"/>
      <c r="AX337" s="94"/>
      <c r="AY337" s="94"/>
      <c r="AZ337" s="94"/>
      <c r="BA337" s="95"/>
    </row>
    <row r="338" spans="1:53" s="87" customFormat="1">
      <c r="A338" s="90" t="str">
        <f t="shared" si="30"/>
        <v/>
      </c>
      <c r="B338" s="98">
        <v>12</v>
      </c>
      <c r="C338" s="94">
        <v>-5</v>
      </c>
      <c r="D338" s="94" t="s">
        <v>210</v>
      </c>
      <c r="E338" s="94" t="s">
        <v>210</v>
      </c>
      <c r="F338" s="94">
        <v>-8</v>
      </c>
      <c r="G338" s="94">
        <v>4</v>
      </c>
      <c r="H338" s="94" t="s">
        <v>210</v>
      </c>
      <c r="I338" s="94" t="s">
        <v>210</v>
      </c>
      <c r="J338" s="94">
        <v>-6</v>
      </c>
      <c r="K338" s="94">
        <v>-3</v>
      </c>
      <c r="L338" s="94" t="s">
        <v>210</v>
      </c>
      <c r="M338" s="94" t="s">
        <v>210</v>
      </c>
      <c r="N338" s="94">
        <v>8</v>
      </c>
      <c r="O338" s="94">
        <v>7</v>
      </c>
      <c r="P338" s="94" t="s">
        <v>210</v>
      </c>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5"/>
    </row>
    <row r="339" spans="1:53" s="87" customFormat="1">
      <c r="A339" s="90" t="str">
        <f t="shared" si="30"/>
        <v/>
      </c>
      <c r="B339" s="98">
        <v>13</v>
      </c>
      <c r="C339" s="94">
        <v>5</v>
      </c>
      <c r="D339" s="94" t="s">
        <v>210</v>
      </c>
      <c r="E339" s="94" t="s">
        <v>210</v>
      </c>
      <c r="F339" s="94">
        <v>-2</v>
      </c>
      <c r="G339" s="94">
        <v>-3</v>
      </c>
      <c r="H339" s="94" t="s">
        <v>210</v>
      </c>
      <c r="I339" s="94" t="s">
        <v>210</v>
      </c>
      <c r="J339" s="94">
        <v>4</v>
      </c>
      <c r="K339" s="94">
        <v>-5</v>
      </c>
      <c r="L339" s="94" t="s">
        <v>210</v>
      </c>
      <c r="M339" s="94" t="s">
        <v>210</v>
      </c>
      <c r="N339" s="94">
        <v>7</v>
      </c>
      <c r="O339" s="94">
        <v>1</v>
      </c>
      <c r="P339" s="94" t="s">
        <v>210</v>
      </c>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5"/>
    </row>
    <row r="340" spans="1:53" s="87" customFormat="1">
      <c r="A340" s="90" t="str">
        <f t="shared" si="30"/>
        <v/>
      </c>
      <c r="B340" s="98">
        <v>14</v>
      </c>
      <c r="C340" s="94">
        <v>6</v>
      </c>
      <c r="D340" s="94" t="s">
        <v>210</v>
      </c>
      <c r="E340" s="94" t="s">
        <v>210</v>
      </c>
      <c r="F340" s="94">
        <v>8</v>
      </c>
      <c r="G340" s="94">
        <v>-5</v>
      </c>
      <c r="H340" s="94" t="s">
        <v>210</v>
      </c>
      <c r="I340" s="94" t="s">
        <v>210</v>
      </c>
      <c r="J340" s="94">
        <v>7</v>
      </c>
      <c r="K340" s="94">
        <v>-6</v>
      </c>
      <c r="L340" s="94" t="s">
        <v>210</v>
      </c>
      <c r="M340" s="94" t="s">
        <v>210</v>
      </c>
      <c r="N340" s="94">
        <v>2</v>
      </c>
      <c r="O340" s="94">
        <v>-1</v>
      </c>
      <c r="P340" s="94" t="s">
        <v>210</v>
      </c>
      <c r="Q340" s="94"/>
      <c r="R340" s="94"/>
      <c r="S340" s="94"/>
      <c r="T340" s="94"/>
      <c r="U340" s="94"/>
      <c r="V340" s="94"/>
      <c r="W340" s="94"/>
      <c r="X340" s="94"/>
      <c r="Y340" s="94"/>
      <c r="Z340" s="94"/>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c r="AZ340" s="94"/>
      <c r="BA340" s="95"/>
    </row>
    <row r="341" spans="1:53" s="87" customFormat="1">
      <c r="A341" s="90" t="str">
        <f t="shared" si="30"/>
        <v/>
      </c>
      <c r="B341" s="98">
        <v>15</v>
      </c>
      <c r="C341" s="94">
        <v>1</v>
      </c>
      <c r="D341" s="94" t="s">
        <v>210</v>
      </c>
      <c r="E341" s="94">
        <v>-5</v>
      </c>
      <c r="F341" s="94" t="s">
        <v>210</v>
      </c>
      <c r="G341" s="94">
        <v>-4</v>
      </c>
      <c r="H341" s="94" t="s">
        <v>210</v>
      </c>
      <c r="I341" s="94" t="s">
        <v>210</v>
      </c>
      <c r="J341" s="94">
        <v>3</v>
      </c>
      <c r="K341" s="94">
        <v>6</v>
      </c>
      <c r="L341" s="94" t="s">
        <v>210</v>
      </c>
      <c r="M341" s="94" t="s">
        <v>210</v>
      </c>
      <c r="N341" s="94">
        <v>-7</v>
      </c>
      <c r="O341" s="94">
        <v>8</v>
      </c>
      <c r="P341" s="94" t="s">
        <v>210</v>
      </c>
      <c r="Q341" s="94"/>
      <c r="R341" s="94"/>
      <c r="S341" s="94"/>
      <c r="T341" s="94"/>
      <c r="U341" s="94"/>
      <c r="V341" s="94"/>
      <c r="W341" s="94"/>
      <c r="X341" s="94"/>
      <c r="Y341" s="94"/>
      <c r="Z341" s="94"/>
      <c r="AA341" s="94"/>
      <c r="AB341" s="94"/>
      <c r="AC341" s="94"/>
      <c r="AD341" s="94"/>
      <c r="AE341" s="94"/>
      <c r="AF341" s="94"/>
      <c r="AG341" s="94"/>
      <c r="AH341" s="94"/>
      <c r="AI341" s="94"/>
      <c r="AJ341" s="94"/>
      <c r="AK341" s="94"/>
      <c r="AL341" s="94"/>
      <c r="AM341" s="94"/>
      <c r="AN341" s="94"/>
      <c r="AO341" s="94"/>
      <c r="AP341" s="94"/>
      <c r="AQ341" s="94"/>
      <c r="AR341" s="94"/>
      <c r="AS341" s="94"/>
      <c r="AT341" s="94"/>
      <c r="AU341" s="94"/>
      <c r="AV341" s="94"/>
      <c r="AW341" s="94"/>
      <c r="AX341" s="94"/>
      <c r="AY341" s="94"/>
      <c r="AZ341" s="94"/>
      <c r="BA341" s="95"/>
    </row>
    <row r="342" spans="1:53" s="87" customFormat="1">
      <c r="A342" s="90" t="str">
        <f t="shared" si="30"/>
        <v/>
      </c>
      <c r="B342" s="99">
        <v>16</v>
      </c>
      <c r="C342" s="92">
        <v>4</v>
      </c>
      <c r="D342" s="92" t="s">
        <v>210</v>
      </c>
      <c r="E342" s="92" t="s">
        <v>210</v>
      </c>
      <c r="F342" s="92">
        <v>-7</v>
      </c>
      <c r="G342" s="92">
        <v>-1</v>
      </c>
      <c r="H342" s="92" t="s">
        <v>210</v>
      </c>
      <c r="I342" s="92" t="s">
        <v>210</v>
      </c>
      <c r="J342" s="92">
        <v>6</v>
      </c>
      <c r="K342" s="92">
        <v>5</v>
      </c>
      <c r="L342" s="92" t="s">
        <v>210</v>
      </c>
      <c r="M342" s="92" t="s">
        <v>210</v>
      </c>
      <c r="N342" s="92">
        <v>-2</v>
      </c>
      <c r="O342" s="92">
        <v>-8</v>
      </c>
      <c r="P342" s="92" t="s">
        <v>210</v>
      </c>
      <c r="Q342" s="94"/>
      <c r="R342" s="94"/>
      <c r="S342" s="94"/>
      <c r="T342" s="94"/>
      <c r="U342" s="94"/>
      <c r="V342" s="94"/>
      <c r="W342" s="94"/>
      <c r="X342" s="94"/>
      <c r="Y342" s="94"/>
      <c r="Z342" s="94"/>
      <c r="AA342" s="94"/>
      <c r="AB342" s="94"/>
      <c r="AC342" s="94"/>
      <c r="AD342" s="94"/>
      <c r="AE342" s="94"/>
      <c r="AF342" s="94"/>
      <c r="AG342" s="94"/>
      <c r="AH342" s="94"/>
      <c r="AI342" s="94"/>
      <c r="AJ342" s="94"/>
      <c r="AK342" s="94"/>
      <c r="AL342" s="94"/>
      <c r="AM342" s="94"/>
      <c r="AN342" s="94"/>
      <c r="AO342" s="94"/>
      <c r="AP342" s="94"/>
      <c r="AQ342" s="94"/>
      <c r="AR342" s="94"/>
      <c r="AS342" s="94"/>
      <c r="AT342" s="94"/>
      <c r="AU342" s="94"/>
      <c r="AV342" s="94"/>
      <c r="AW342" s="94"/>
      <c r="AX342" s="94"/>
      <c r="AY342" s="94"/>
      <c r="AZ342" s="94"/>
      <c r="BA342" s="95"/>
    </row>
    <row r="343" spans="1:53" s="87" customFormat="1">
      <c r="A343" s="90" t="str">
        <f t="shared" si="30"/>
        <v/>
      </c>
      <c r="B343" s="98">
        <v>17</v>
      </c>
      <c r="C343" s="94" t="s">
        <v>210</v>
      </c>
      <c r="D343" s="94">
        <v>7</v>
      </c>
      <c r="E343" s="94">
        <v>-8</v>
      </c>
      <c r="F343" s="94" t="s">
        <v>210</v>
      </c>
      <c r="G343" s="94" t="s">
        <v>210</v>
      </c>
      <c r="H343" s="94">
        <v>-4</v>
      </c>
      <c r="I343" s="94">
        <v>2</v>
      </c>
      <c r="J343" s="94" t="s">
        <v>210</v>
      </c>
      <c r="K343" s="94" t="s">
        <v>210</v>
      </c>
      <c r="L343" s="94">
        <v>-7</v>
      </c>
      <c r="M343" s="94">
        <v>6</v>
      </c>
      <c r="N343" s="94" t="s">
        <v>210</v>
      </c>
      <c r="O343" s="94" t="s">
        <v>210</v>
      </c>
      <c r="P343" s="94">
        <v>3</v>
      </c>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5"/>
    </row>
    <row r="344" spans="1:53" s="87" customFormat="1">
      <c r="A344" s="90" t="str">
        <f t="shared" si="30"/>
        <v/>
      </c>
      <c r="B344" s="98">
        <v>18</v>
      </c>
      <c r="C344" s="94" t="s">
        <v>210</v>
      </c>
      <c r="D344" s="94">
        <v>-5</v>
      </c>
      <c r="E344" s="94">
        <v>2</v>
      </c>
      <c r="F344" s="94" t="s">
        <v>210</v>
      </c>
      <c r="G344" s="94" t="s">
        <v>210</v>
      </c>
      <c r="H344" s="94">
        <v>7</v>
      </c>
      <c r="I344" s="94">
        <v>-8</v>
      </c>
      <c r="J344" s="94" t="s">
        <v>210</v>
      </c>
      <c r="K344" s="94" t="s">
        <v>210</v>
      </c>
      <c r="L344" s="94">
        <v>5</v>
      </c>
      <c r="M344" s="94">
        <v>-4</v>
      </c>
      <c r="N344" s="94" t="s">
        <v>210</v>
      </c>
      <c r="O344" s="94" t="s">
        <v>210</v>
      </c>
      <c r="P344" s="94">
        <v>-3</v>
      </c>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5"/>
    </row>
    <row r="345" spans="1:53" s="87" customFormat="1">
      <c r="A345" s="90" t="str">
        <f t="shared" si="30"/>
        <v/>
      </c>
      <c r="B345" s="98">
        <v>19</v>
      </c>
      <c r="C345" s="94" t="s">
        <v>210</v>
      </c>
      <c r="D345" s="94">
        <v>5</v>
      </c>
      <c r="E345" s="94">
        <v>3</v>
      </c>
      <c r="F345" s="94" t="s">
        <v>210</v>
      </c>
      <c r="G345" s="94" t="s">
        <v>210</v>
      </c>
      <c r="H345" s="94">
        <v>-6</v>
      </c>
      <c r="I345" s="94">
        <v>-2</v>
      </c>
      <c r="J345" s="94" t="s">
        <v>210</v>
      </c>
      <c r="K345" s="94" t="s">
        <v>210</v>
      </c>
      <c r="L345" s="94">
        <v>8</v>
      </c>
      <c r="M345" s="94">
        <v>-3</v>
      </c>
      <c r="N345" s="94" t="s">
        <v>210</v>
      </c>
      <c r="O345" s="94" t="s">
        <v>210</v>
      </c>
      <c r="P345" s="94">
        <v>4</v>
      </c>
      <c r="Q345" s="94"/>
      <c r="R345" s="94"/>
      <c r="S345" s="94"/>
      <c r="T345" s="94"/>
      <c r="U345" s="94"/>
      <c r="V345" s="94"/>
      <c r="W345" s="94"/>
      <c r="X345" s="94"/>
      <c r="Y345" s="94"/>
      <c r="Z345" s="94"/>
      <c r="AA345" s="94"/>
      <c r="AB345" s="94"/>
      <c r="AC345" s="94"/>
      <c r="AD345" s="94"/>
      <c r="AE345" s="94"/>
      <c r="AF345" s="94"/>
      <c r="AG345" s="94"/>
      <c r="AH345" s="94"/>
      <c r="AI345" s="94"/>
      <c r="AJ345" s="94"/>
      <c r="AK345" s="94"/>
      <c r="AL345" s="94"/>
      <c r="AM345" s="94"/>
      <c r="AN345" s="94"/>
      <c r="AO345" s="94"/>
      <c r="AP345" s="94"/>
      <c r="AQ345" s="94"/>
      <c r="AR345" s="94"/>
      <c r="AS345" s="94"/>
      <c r="AT345" s="94"/>
      <c r="AU345" s="94"/>
      <c r="AV345" s="94"/>
      <c r="AW345" s="94"/>
      <c r="AX345" s="94"/>
      <c r="AY345" s="94"/>
      <c r="AZ345" s="94"/>
      <c r="BA345" s="95"/>
    </row>
    <row r="346" spans="1:53" s="87" customFormat="1">
      <c r="A346" s="90" t="str">
        <f t="shared" si="30"/>
        <v/>
      </c>
      <c r="B346" s="98">
        <v>20</v>
      </c>
      <c r="C346" s="94" t="s">
        <v>210</v>
      </c>
      <c r="D346" s="94">
        <v>-2</v>
      </c>
      <c r="E346" s="94">
        <v>1</v>
      </c>
      <c r="F346" s="94" t="s">
        <v>210</v>
      </c>
      <c r="G346" s="94" t="s">
        <v>210</v>
      </c>
      <c r="H346" s="94">
        <v>-5</v>
      </c>
      <c r="I346" s="94">
        <v>8</v>
      </c>
      <c r="J346" s="94" t="s">
        <v>210</v>
      </c>
      <c r="K346" s="94" t="s">
        <v>210</v>
      </c>
      <c r="L346" s="94">
        <v>2</v>
      </c>
      <c r="M346" s="94">
        <v>-6</v>
      </c>
      <c r="N346" s="94" t="s">
        <v>210</v>
      </c>
      <c r="O346" s="94" t="s">
        <v>210</v>
      </c>
      <c r="P346" s="94">
        <v>-4</v>
      </c>
      <c r="Q346" s="94"/>
      <c r="R346" s="94"/>
      <c r="S346" s="94"/>
      <c r="T346" s="94"/>
      <c r="U346" s="94"/>
      <c r="V346" s="94"/>
      <c r="W346" s="94"/>
      <c r="X346" s="94"/>
      <c r="Y346" s="94"/>
      <c r="Z346" s="94"/>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5"/>
    </row>
    <row r="347" spans="1:53" s="87" customFormat="1">
      <c r="A347" s="90" t="str">
        <f t="shared" si="30"/>
        <v/>
      </c>
      <c r="B347" s="98">
        <v>21</v>
      </c>
      <c r="C347" s="94" t="s">
        <v>210</v>
      </c>
      <c r="D347" s="94">
        <v>-4</v>
      </c>
      <c r="E347" s="94">
        <v>-1</v>
      </c>
      <c r="F347" s="94" t="s">
        <v>210</v>
      </c>
      <c r="G347" s="94" t="s">
        <v>210</v>
      </c>
      <c r="H347" s="94">
        <v>6</v>
      </c>
      <c r="I347" s="94">
        <v>-3</v>
      </c>
      <c r="J347" s="94" t="s">
        <v>210</v>
      </c>
      <c r="K347" s="94" t="s">
        <v>210</v>
      </c>
      <c r="L347" s="94">
        <v>7</v>
      </c>
      <c r="M347" s="94">
        <v>4</v>
      </c>
      <c r="N347" s="94" t="s">
        <v>210</v>
      </c>
      <c r="O347" s="94" t="s">
        <v>210</v>
      </c>
      <c r="P347" s="94">
        <v>-5</v>
      </c>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5"/>
    </row>
    <row r="348" spans="1:53" s="87" customFormat="1">
      <c r="A348" s="90" t="str">
        <f t="shared" si="30"/>
        <v/>
      </c>
      <c r="B348" s="98">
        <v>22</v>
      </c>
      <c r="C348" s="94" t="s">
        <v>210</v>
      </c>
      <c r="D348" s="94">
        <v>-7</v>
      </c>
      <c r="E348" s="94">
        <v>-2</v>
      </c>
      <c r="F348" s="94" t="s">
        <v>210</v>
      </c>
      <c r="G348" s="94" t="s">
        <v>210</v>
      </c>
      <c r="H348" s="94">
        <v>5</v>
      </c>
      <c r="I348" s="94">
        <v>3</v>
      </c>
      <c r="J348" s="94" t="s">
        <v>210</v>
      </c>
      <c r="K348" s="94" t="s">
        <v>210</v>
      </c>
      <c r="L348" s="94">
        <v>-8</v>
      </c>
      <c r="M348" s="94">
        <v>2</v>
      </c>
      <c r="N348" s="94" t="s">
        <v>210</v>
      </c>
      <c r="O348" s="94" t="s">
        <v>210</v>
      </c>
      <c r="P348" s="94">
        <v>6</v>
      </c>
      <c r="Q348" s="94"/>
      <c r="R348" s="94"/>
      <c r="S348" s="94"/>
      <c r="T348" s="94"/>
      <c r="U348" s="94"/>
      <c r="V348" s="94"/>
      <c r="W348" s="94"/>
      <c r="X348" s="94"/>
      <c r="Y348" s="94"/>
      <c r="Z348" s="94"/>
      <c r="AA348" s="94"/>
      <c r="AB348" s="94"/>
      <c r="AC348" s="94"/>
      <c r="AD348" s="94"/>
      <c r="AE348" s="94"/>
      <c r="AF348" s="94"/>
      <c r="AG348" s="94"/>
      <c r="AH348" s="94"/>
      <c r="AI348" s="94"/>
      <c r="AJ348" s="94"/>
      <c r="AK348" s="94"/>
      <c r="AL348" s="94"/>
      <c r="AM348" s="94"/>
      <c r="AN348" s="94"/>
      <c r="AO348" s="94"/>
      <c r="AP348" s="94"/>
      <c r="AQ348" s="94"/>
      <c r="AR348" s="94"/>
      <c r="AS348" s="94"/>
      <c r="AT348" s="94"/>
      <c r="AU348" s="94"/>
      <c r="AV348" s="94"/>
      <c r="AW348" s="94"/>
      <c r="AX348" s="94"/>
      <c r="AY348" s="94"/>
      <c r="AZ348" s="94"/>
      <c r="BA348" s="95"/>
    </row>
    <row r="349" spans="1:53" s="87" customFormat="1">
      <c r="A349" s="90" t="str">
        <f t="shared" si="30"/>
        <v/>
      </c>
      <c r="B349" s="99">
        <v>23</v>
      </c>
      <c r="C349" s="92" t="s">
        <v>210</v>
      </c>
      <c r="D349" s="92">
        <v>4</v>
      </c>
      <c r="E349" s="92">
        <v>8</v>
      </c>
      <c r="F349" s="92" t="s">
        <v>210</v>
      </c>
      <c r="G349" s="92" t="s">
        <v>210</v>
      </c>
      <c r="H349" s="92">
        <v>-7</v>
      </c>
      <c r="I349" s="92">
        <v>1</v>
      </c>
      <c r="J349" s="92" t="s">
        <v>210</v>
      </c>
      <c r="K349" s="92" t="s">
        <v>210</v>
      </c>
      <c r="L349" s="92">
        <v>-2</v>
      </c>
      <c r="M349" s="92">
        <v>3</v>
      </c>
      <c r="N349" s="92" t="s">
        <v>210</v>
      </c>
      <c r="O349" s="92" t="s">
        <v>210</v>
      </c>
      <c r="P349" s="92">
        <v>-6</v>
      </c>
      <c r="Q349" s="94"/>
      <c r="R349" s="94"/>
      <c r="S349" s="94"/>
      <c r="T349" s="94"/>
      <c r="U349" s="94"/>
      <c r="V349" s="94"/>
      <c r="W349" s="94"/>
      <c r="X349" s="94"/>
      <c r="Y349" s="94"/>
      <c r="Z349" s="94"/>
      <c r="AA349" s="94"/>
      <c r="AB349" s="94"/>
      <c r="AC349" s="94"/>
      <c r="AD349" s="94"/>
      <c r="AE349" s="94"/>
      <c r="AF349" s="94"/>
      <c r="AG349" s="94"/>
      <c r="AH349" s="94"/>
      <c r="AI349" s="94"/>
      <c r="AJ349" s="94"/>
      <c r="AK349" s="94"/>
      <c r="AL349" s="94"/>
      <c r="AM349" s="94"/>
      <c r="AN349" s="94"/>
      <c r="AO349" s="94"/>
      <c r="AP349" s="94"/>
      <c r="AQ349" s="94"/>
      <c r="AR349" s="94"/>
      <c r="AS349" s="94"/>
      <c r="AT349" s="94"/>
      <c r="AU349" s="94"/>
      <c r="AV349" s="94"/>
      <c r="AW349" s="94"/>
      <c r="AX349" s="94"/>
      <c r="AY349" s="94"/>
      <c r="AZ349" s="94"/>
      <c r="BA349" s="95"/>
    </row>
    <row r="350" spans="1:53" s="87" customFormat="1">
      <c r="A350" s="90" t="str">
        <f t="shared" si="30"/>
        <v/>
      </c>
      <c r="B350" s="98">
        <v>24</v>
      </c>
      <c r="C350" s="94" t="s">
        <v>210</v>
      </c>
      <c r="D350" s="94">
        <v>-8</v>
      </c>
      <c r="E350" s="94">
        <v>-6</v>
      </c>
      <c r="F350" s="94" t="s">
        <v>210</v>
      </c>
      <c r="G350" s="94" t="s">
        <v>210</v>
      </c>
      <c r="H350" s="94">
        <v>4</v>
      </c>
      <c r="I350" s="94">
        <v>-5</v>
      </c>
      <c r="J350" s="94" t="s">
        <v>210</v>
      </c>
      <c r="K350" s="94" t="s">
        <v>210</v>
      </c>
      <c r="L350" s="94">
        <v>-3</v>
      </c>
      <c r="M350" s="94">
        <v>1</v>
      </c>
      <c r="N350" s="94" t="s">
        <v>210</v>
      </c>
      <c r="O350" s="94" t="s">
        <v>210</v>
      </c>
      <c r="P350" s="94">
        <v>7</v>
      </c>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5"/>
    </row>
    <row r="351" spans="1:53" s="87" customFormat="1">
      <c r="A351" s="90" t="str">
        <f t="shared" si="30"/>
        <v/>
      </c>
      <c r="B351" s="98">
        <v>25</v>
      </c>
      <c r="C351" s="94" t="s">
        <v>210</v>
      </c>
      <c r="D351" s="94">
        <v>3</v>
      </c>
      <c r="E351" s="94">
        <v>-4</v>
      </c>
      <c r="F351" s="94" t="s">
        <v>210</v>
      </c>
      <c r="G351" s="94" t="s">
        <v>210</v>
      </c>
      <c r="H351" s="94">
        <v>1</v>
      </c>
      <c r="I351" s="94">
        <v>6</v>
      </c>
      <c r="J351" s="94" t="s">
        <v>210</v>
      </c>
      <c r="K351" s="94" t="s">
        <v>210</v>
      </c>
      <c r="L351" s="94">
        <v>-5</v>
      </c>
      <c r="M351" s="94">
        <v>8</v>
      </c>
      <c r="N351" s="94" t="s">
        <v>210</v>
      </c>
      <c r="O351" s="94" t="s">
        <v>210</v>
      </c>
      <c r="P351" s="94">
        <v>-7</v>
      </c>
      <c r="Q351" s="94"/>
      <c r="R351" s="94"/>
      <c r="S351" s="94"/>
      <c r="T351" s="94"/>
      <c r="U351" s="94"/>
      <c r="V351" s="94"/>
      <c r="W351" s="94"/>
      <c r="X351" s="94"/>
      <c r="Y351" s="94"/>
      <c r="Z351" s="94"/>
      <c r="AA351" s="94"/>
      <c r="AB351" s="94"/>
      <c r="AC351" s="94"/>
      <c r="AD351" s="94"/>
      <c r="AE351" s="94"/>
      <c r="AF351" s="94"/>
      <c r="AG351" s="94"/>
      <c r="AH351" s="94"/>
      <c r="AI351" s="94"/>
      <c r="AJ351" s="94"/>
      <c r="AK351" s="94"/>
      <c r="AL351" s="94"/>
      <c r="AM351" s="94"/>
      <c r="AN351" s="94"/>
      <c r="AO351" s="94"/>
      <c r="AP351" s="94"/>
      <c r="AQ351" s="94"/>
      <c r="AR351" s="94"/>
      <c r="AS351" s="94"/>
      <c r="AT351" s="94"/>
      <c r="AU351" s="94"/>
      <c r="AV351" s="94"/>
      <c r="AW351" s="94"/>
      <c r="AX351" s="94"/>
      <c r="AY351" s="94"/>
      <c r="AZ351" s="94"/>
      <c r="BA351" s="95"/>
    </row>
    <row r="352" spans="1:53" s="87" customFormat="1">
      <c r="A352" s="90" t="str">
        <f t="shared" si="30"/>
        <v/>
      </c>
      <c r="B352" s="98">
        <v>26</v>
      </c>
      <c r="C352" s="94" t="s">
        <v>210</v>
      </c>
      <c r="D352" s="94">
        <v>8</v>
      </c>
      <c r="E352" s="94">
        <v>-3</v>
      </c>
      <c r="F352" s="94" t="s">
        <v>210</v>
      </c>
      <c r="G352" s="94" t="s">
        <v>210</v>
      </c>
      <c r="H352" s="94">
        <v>-1</v>
      </c>
      <c r="I352" s="94">
        <v>4</v>
      </c>
      <c r="J352" s="94" t="s">
        <v>210</v>
      </c>
      <c r="K352" s="94" t="s">
        <v>210</v>
      </c>
      <c r="L352" s="94">
        <v>-6</v>
      </c>
      <c r="M352" s="94">
        <v>-7</v>
      </c>
      <c r="N352" s="94" t="s">
        <v>210</v>
      </c>
      <c r="O352" s="94" t="s">
        <v>210</v>
      </c>
      <c r="P352" s="94">
        <v>2</v>
      </c>
      <c r="Q352" s="94"/>
      <c r="R352" s="94"/>
      <c r="S352" s="94"/>
      <c r="T352" s="94"/>
      <c r="U352" s="94"/>
      <c r="V352" s="94"/>
      <c r="W352" s="94"/>
      <c r="X352" s="94"/>
      <c r="Y352" s="94"/>
      <c r="Z352" s="94"/>
      <c r="AA352" s="94"/>
      <c r="AB352" s="94"/>
      <c r="AC352" s="94"/>
      <c r="AD352" s="94"/>
      <c r="AE352" s="94"/>
      <c r="AF352" s="94"/>
      <c r="AG352" s="94"/>
      <c r="AH352" s="94"/>
      <c r="AI352" s="94"/>
      <c r="AJ352" s="94"/>
      <c r="AK352" s="94"/>
      <c r="AL352" s="94"/>
      <c r="AM352" s="94"/>
      <c r="AN352" s="94"/>
      <c r="AO352" s="94"/>
      <c r="AP352" s="94"/>
      <c r="AQ352" s="94"/>
      <c r="AR352" s="94"/>
      <c r="AS352" s="94"/>
      <c r="AT352" s="94"/>
      <c r="AU352" s="94"/>
      <c r="AV352" s="94"/>
      <c r="AW352" s="94"/>
      <c r="AX352" s="94"/>
      <c r="AY352" s="94"/>
      <c r="AZ352" s="94"/>
      <c r="BA352" s="95"/>
    </row>
    <row r="353" spans="1:53" s="87" customFormat="1">
      <c r="A353" s="90" t="str">
        <f t="shared" si="30"/>
        <v/>
      </c>
      <c r="B353" s="98">
        <v>27</v>
      </c>
      <c r="C353" s="94" t="s">
        <v>210</v>
      </c>
      <c r="D353" s="94">
        <v>2</v>
      </c>
      <c r="E353" s="94">
        <v>-7</v>
      </c>
      <c r="F353" s="94" t="s">
        <v>210</v>
      </c>
      <c r="G353" s="94" t="s">
        <v>210</v>
      </c>
      <c r="H353" s="94">
        <v>3</v>
      </c>
      <c r="I353" s="94">
        <v>-6</v>
      </c>
      <c r="J353" s="94" t="s">
        <v>210</v>
      </c>
      <c r="K353" s="94" t="s">
        <v>210</v>
      </c>
      <c r="L353" s="94">
        <v>4</v>
      </c>
      <c r="M353" s="94">
        <v>-1</v>
      </c>
      <c r="N353" s="94" t="s">
        <v>210</v>
      </c>
      <c r="O353" s="94" t="s">
        <v>210</v>
      </c>
      <c r="P353" s="94">
        <v>-2</v>
      </c>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5"/>
    </row>
    <row r="354" spans="1:53" s="87" customFormat="1">
      <c r="A354" s="90" t="str">
        <f t="shared" si="30"/>
        <v/>
      </c>
      <c r="B354" s="98">
        <v>28</v>
      </c>
      <c r="C354" s="94" t="s">
        <v>210</v>
      </c>
      <c r="D354" s="94">
        <v>6</v>
      </c>
      <c r="E354" s="94">
        <v>7</v>
      </c>
      <c r="F354" s="94" t="s">
        <v>210</v>
      </c>
      <c r="G354" s="94" t="s">
        <v>210</v>
      </c>
      <c r="H354" s="94">
        <v>-2</v>
      </c>
      <c r="I354" s="94">
        <v>-4</v>
      </c>
      <c r="J354" s="94" t="s">
        <v>210</v>
      </c>
      <c r="K354" s="94" t="s">
        <v>210</v>
      </c>
      <c r="L354" s="94">
        <v>3</v>
      </c>
      <c r="M354" s="94">
        <v>-8</v>
      </c>
      <c r="N354" s="94" t="s">
        <v>210</v>
      </c>
      <c r="O354" s="94" t="s">
        <v>210</v>
      </c>
      <c r="P354" s="94">
        <v>5</v>
      </c>
      <c r="Q354" s="94"/>
      <c r="R354" s="94"/>
      <c r="S354" s="94"/>
      <c r="T354" s="94"/>
      <c r="U354" s="94"/>
      <c r="V354" s="94"/>
      <c r="W354" s="94"/>
      <c r="X354" s="94"/>
      <c r="Y354" s="94"/>
      <c r="Z354" s="94"/>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c r="AW354" s="94"/>
      <c r="AX354" s="94"/>
      <c r="AY354" s="94"/>
      <c r="AZ354" s="94"/>
      <c r="BA354" s="95"/>
    </row>
    <row r="355" spans="1:53" s="87" customFormat="1">
      <c r="A355" s="90" t="str">
        <f t="shared" si="30"/>
        <v/>
      </c>
      <c r="B355" s="98">
        <v>29</v>
      </c>
      <c r="C355" s="94" t="s">
        <v>210</v>
      </c>
      <c r="D355" s="94">
        <v>-6</v>
      </c>
      <c r="E355" s="94">
        <v>4</v>
      </c>
      <c r="F355" s="94" t="s">
        <v>210</v>
      </c>
      <c r="G355" s="94" t="s">
        <v>210</v>
      </c>
      <c r="H355" s="94">
        <v>-3</v>
      </c>
      <c r="I355" s="94">
        <v>5</v>
      </c>
      <c r="J355" s="94" t="s">
        <v>210</v>
      </c>
      <c r="K355" s="94" t="s">
        <v>210</v>
      </c>
      <c r="L355" s="94">
        <v>6</v>
      </c>
      <c r="M355" s="94">
        <v>-2</v>
      </c>
      <c r="N355" s="94" t="s">
        <v>210</v>
      </c>
      <c r="O355" s="94" t="s">
        <v>210</v>
      </c>
      <c r="P355" s="94">
        <v>-8</v>
      </c>
      <c r="Q355" s="94"/>
      <c r="R355" s="94"/>
      <c r="S355" s="94"/>
      <c r="T355" s="94"/>
      <c r="U355" s="94"/>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5"/>
    </row>
    <row r="356" spans="1:53" s="87" customFormat="1">
      <c r="A356" s="90" t="str">
        <f t="shared" si="30"/>
        <v/>
      </c>
      <c r="B356" s="98">
        <v>30</v>
      </c>
      <c r="C356" s="94" t="s">
        <v>210</v>
      </c>
      <c r="D356" s="94">
        <v>-3</v>
      </c>
      <c r="E356" s="94">
        <v>6</v>
      </c>
      <c r="F356" s="94" t="s">
        <v>210</v>
      </c>
      <c r="G356" s="94" t="s">
        <v>210</v>
      </c>
      <c r="H356" s="94">
        <v>2</v>
      </c>
      <c r="I356" s="94">
        <v>-1</v>
      </c>
      <c r="J356" s="94" t="s">
        <v>210</v>
      </c>
      <c r="K356" s="94" t="s">
        <v>210</v>
      </c>
      <c r="L356" s="94">
        <v>-4</v>
      </c>
      <c r="M356" s="94">
        <v>7</v>
      </c>
      <c r="N356" s="94" t="s">
        <v>210</v>
      </c>
      <c r="O356" s="94" t="s">
        <v>210</v>
      </c>
      <c r="P356" s="94">
        <v>8</v>
      </c>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5"/>
    </row>
    <row r="357" spans="1:53" s="87" customFormat="1">
      <c r="A357" s="90" t="str">
        <f t="shared" si="30"/>
        <v/>
      </c>
      <c r="B357" s="98" t="s">
        <v>471</v>
      </c>
      <c r="C357" s="94"/>
      <c r="D357" s="94"/>
      <c r="E357" s="94"/>
      <c r="F357" s="94"/>
      <c r="G357" s="94"/>
      <c r="H357" s="94"/>
      <c r="I357" s="94"/>
      <c r="J357" s="94"/>
      <c r="K357" s="94"/>
      <c r="L357" s="94"/>
      <c r="M357" s="94"/>
      <c r="N357" s="94"/>
      <c r="O357" s="94"/>
      <c r="P357" s="94"/>
      <c r="Q357" s="94"/>
      <c r="R357" s="94"/>
      <c r="S357" s="94"/>
      <c r="T357" s="94"/>
      <c r="U357" s="94"/>
      <c r="V357" s="94"/>
      <c r="W357" s="94"/>
      <c r="X357" s="94"/>
      <c r="Y357" s="94"/>
      <c r="Z357" s="94"/>
      <c r="AA357" s="94"/>
      <c r="AB357" s="94"/>
      <c r="AC357" s="94"/>
      <c r="AD357" s="94"/>
      <c r="AE357" s="94"/>
      <c r="AF357" s="94"/>
      <c r="AG357" s="94"/>
      <c r="AH357" s="94"/>
      <c r="AI357" s="94"/>
      <c r="AJ357" s="94"/>
      <c r="AK357" s="94"/>
      <c r="AL357" s="94"/>
      <c r="AM357" s="94"/>
      <c r="AN357" s="94"/>
      <c r="AO357" s="94"/>
      <c r="AP357" s="94"/>
      <c r="AQ357" s="94"/>
      <c r="AR357" s="94"/>
      <c r="AS357" s="94"/>
      <c r="AT357" s="94"/>
      <c r="AU357" s="94"/>
      <c r="AV357" s="94"/>
      <c r="AW357" s="94"/>
      <c r="AX357" s="94"/>
      <c r="AY357" s="94"/>
      <c r="AZ357" s="94"/>
      <c r="BA357" s="95"/>
    </row>
    <row r="358" spans="1:53" s="87" customFormat="1">
      <c r="A358" s="90">
        <f t="shared" si="30"/>
        <v>358</v>
      </c>
      <c r="B358" s="98" t="s">
        <v>472</v>
      </c>
      <c r="C358" s="94"/>
      <c r="D358" s="94"/>
      <c r="E358" s="94"/>
      <c r="F358" s="94"/>
      <c r="G358" s="94"/>
      <c r="H358" s="94"/>
      <c r="I358" s="94"/>
      <c r="J358" s="94"/>
      <c r="K358" s="94"/>
      <c r="L358" s="94"/>
      <c r="M358" s="94"/>
      <c r="N358" s="94"/>
      <c r="O358" s="94"/>
      <c r="P358" s="94"/>
      <c r="Q358" s="94"/>
      <c r="R358" s="94"/>
      <c r="S358" s="94"/>
      <c r="T358" s="94"/>
      <c r="U358" s="94"/>
      <c r="V358" s="94"/>
      <c r="W358" s="94"/>
      <c r="X358" s="94"/>
      <c r="Y358" s="94"/>
      <c r="Z358" s="94"/>
      <c r="AA358" s="94"/>
      <c r="AB358" s="94"/>
      <c r="AC358" s="94"/>
      <c r="AD358" s="94"/>
      <c r="AE358" s="94"/>
      <c r="AF358" s="94"/>
      <c r="AG358" s="94"/>
      <c r="AH358" s="94"/>
      <c r="AI358" s="94"/>
      <c r="AJ358" s="94"/>
      <c r="AK358" s="94"/>
      <c r="AL358" s="94"/>
      <c r="AM358" s="94"/>
      <c r="AN358" s="94"/>
      <c r="AO358" s="94"/>
      <c r="AP358" s="94"/>
      <c r="AQ358" s="94"/>
      <c r="AR358" s="94"/>
      <c r="AS358" s="94"/>
      <c r="AT358" s="94"/>
      <c r="AU358" s="94"/>
      <c r="AV358" s="94"/>
      <c r="AW358" s="94"/>
      <c r="AX358" s="94"/>
      <c r="AY358" s="94"/>
      <c r="AZ358" s="94"/>
      <c r="BA358" s="95"/>
    </row>
    <row r="359" spans="1:53" s="87" customFormat="1">
      <c r="A359" s="90" t="str">
        <f t="shared" si="30"/>
        <v/>
      </c>
      <c r="B359" s="98">
        <v>1</v>
      </c>
      <c r="C359" s="94">
        <v>-2</v>
      </c>
      <c r="D359" s="94" t="s">
        <v>210</v>
      </c>
      <c r="E359" s="94" t="s">
        <v>210</v>
      </c>
      <c r="F359" s="94">
        <v>3</v>
      </c>
      <c r="G359" s="94">
        <v>-8</v>
      </c>
      <c r="H359" s="94" t="s">
        <v>210</v>
      </c>
      <c r="I359" s="94" t="s">
        <v>210</v>
      </c>
      <c r="J359" s="94">
        <v>-5</v>
      </c>
      <c r="K359" s="94">
        <v>6</v>
      </c>
      <c r="L359" s="94" t="s">
        <v>210</v>
      </c>
      <c r="M359" s="94" t="s">
        <v>210</v>
      </c>
      <c r="N359" s="94">
        <v>7</v>
      </c>
      <c r="O359" s="94">
        <v>-4</v>
      </c>
      <c r="P359" s="94" t="s">
        <v>210</v>
      </c>
      <c r="Q359" s="94" t="s">
        <v>210</v>
      </c>
      <c r="R359" s="94">
        <v>-1</v>
      </c>
      <c r="S359" s="94">
        <v>5</v>
      </c>
      <c r="T359" s="94" t="s">
        <v>210</v>
      </c>
      <c r="U359" s="94" t="s">
        <v>210</v>
      </c>
      <c r="V359" s="94">
        <v>8</v>
      </c>
      <c r="W359" s="94">
        <v>-7</v>
      </c>
      <c r="X359" s="94" t="s">
        <v>210</v>
      </c>
      <c r="Y359" s="94" t="s">
        <v>210</v>
      </c>
      <c r="Z359" s="94">
        <v>-6</v>
      </c>
      <c r="AA359" s="94">
        <v>-3</v>
      </c>
      <c r="AB359" s="94" t="s">
        <v>210</v>
      </c>
      <c r="AC359" s="94" t="s">
        <v>210</v>
      </c>
      <c r="AD359" s="94">
        <v>2</v>
      </c>
      <c r="AE359" s="94">
        <v>4</v>
      </c>
      <c r="AF359" s="94" t="s">
        <v>210</v>
      </c>
      <c r="AG359" s="94"/>
      <c r="AH359" s="94"/>
      <c r="AI359" s="94"/>
      <c r="AJ359" s="94"/>
      <c r="AK359" s="94"/>
      <c r="AL359" s="94"/>
      <c r="AM359" s="94"/>
      <c r="AN359" s="94"/>
      <c r="AO359" s="94"/>
      <c r="AP359" s="94"/>
      <c r="AQ359" s="94"/>
      <c r="AR359" s="94"/>
      <c r="AS359" s="94"/>
      <c r="AT359" s="94"/>
      <c r="AU359" s="94"/>
      <c r="AV359" s="94"/>
      <c r="AW359" s="94"/>
      <c r="AX359" s="94"/>
      <c r="AY359" s="94"/>
      <c r="AZ359" s="94"/>
      <c r="BA359" s="95"/>
    </row>
    <row r="360" spans="1:53" s="87" customFormat="1">
      <c r="A360" s="90" t="str">
        <f t="shared" si="30"/>
        <v/>
      </c>
      <c r="B360" s="98">
        <v>2</v>
      </c>
      <c r="C360" s="94">
        <v>5</v>
      </c>
      <c r="D360" s="94" t="s">
        <v>210</v>
      </c>
      <c r="E360" s="94" t="s">
        <v>210</v>
      </c>
      <c r="F360" s="94">
        <v>8</v>
      </c>
      <c r="G360" s="94">
        <v>-3</v>
      </c>
      <c r="H360" s="94" t="s">
        <v>210</v>
      </c>
      <c r="I360" s="94" t="s">
        <v>210</v>
      </c>
      <c r="J360" s="94">
        <v>-2</v>
      </c>
      <c r="K360" s="94">
        <v>-1</v>
      </c>
      <c r="L360" s="94" t="s">
        <v>210</v>
      </c>
      <c r="M360" s="94" t="s">
        <v>210</v>
      </c>
      <c r="N360" s="94">
        <v>4</v>
      </c>
      <c r="O360" s="94">
        <v>-7</v>
      </c>
      <c r="P360" s="94" t="s">
        <v>210</v>
      </c>
      <c r="Q360" s="94" t="s">
        <v>210</v>
      </c>
      <c r="R360" s="94">
        <v>-6</v>
      </c>
      <c r="S360" s="94">
        <v>3</v>
      </c>
      <c r="T360" s="94" t="s">
        <v>210</v>
      </c>
      <c r="U360" s="94" t="s">
        <v>210</v>
      </c>
      <c r="V360" s="94">
        <v>1</v>
      </c>
      <c r="W360" s="94">
        <v>2</v>
      </c>
      <c r="X360" s="94" t="s">
        <v>210</v>
      </c>
      <c r="Y360" s="94" t="s">
        <v>210</v>
      </c>
      <c r="Z360" s="94">
        <v>-5</v>
      </c>
      <c r="AA360" s="94">
        <v>6</v>
      </c>
      <c r="AB360" s="94" t="s">
        <v>210</v>
      </c>
      <c r="AC360" s="94" t="s">
        <v>210</v>
      </c>
      <c r="AD360" s="94">
        <v>7</v>
      </c>
      <c r="AE360" s="94">
        <v>-4</v>
      </c>
      <c r="AF360" s="94" t="s">
        <v>210</v>
      </c>
      <c r="AG360" s="94"/>
      <c r="AH360" s="94"/>
      <c r="AI360" s="94"/>
      <c r="AJ360" s="94"/>
      <c r="AK360" s="94"/>
      <c r="AL360" s="94"/>
      <c r="AM360" s="94"/>
      <c r="AN360" s="94"/>
      <c r="AO360" s="94"/>
      <c r="AP360" s="94"/>
      <c r="AQ360" s="94"/>
      <c r="AR360" s="94"/>
      <c r="AS360" s="94"/>
      <c r="AT360" s="94"/>
      <c r="AU360" s="94"/>
      <c r="AV360" s="94"/>
      <c r="AW360" s="94"/>
      <c r="AX360" s="94"/>
      <c r="AY360" s="94"/>
      <c r="AZ360" s="94"/>
      <c r="BA360" s="95"/>
    </row>
    <row r="361" spans="1:53" s="87" customFormat="1">
      <c r="A361" s="90" t="str">
        <f t="shared" si="30"/>
        <v/>
      </c>
      <c r="B361" s="98">
        <v>3</v>
      </c>
      <c r="C361" s="94">
        <v>4</v>
      </c>
      <c r="D361" s="94" t="s">
        <v>210</v>
      </c>
      <c r="E361" s="94" t="s">
        <v>210</v>
      </c>
      <c r="F361" s="94">
        <v>1</v>
      </c>
      <c r="G361" s="94">
        <v>6</v>
      </c>
      <c r="H361" s="94" t="s">
        <v>210</v>
      </c>
      <c r="I361" s="94" t="s">
        <v>210</v>
      </c>
      <c r="J361" s="94">
        <v>7</v>
      </c>
      <c r="K361" s="94">
        <v>-8</v>
      </c>
      <c r="L361" s="94" t="s">
        <v>210</v>
      </c>
      <c r="M361" s="94" t="s">
        <v>210</v>
      </c>
      <c r="N361" s="94">
        <v>-5</v>
      </c>
      <c r="O361" s="94">
        <v>2</v>
      </c>
      <c r="P361" s="94" t="s">
        <v>210</v>
      </c>
      <c r="Q361" s="94" t="s">
        <v>210</v>
      </c>
      <c r="R361" s="94">
        <v>3</v>
      </c>
      <c r="S361" s="94">
        <v>-7</v>
      </c>
      <c r="T361" s="94" t="s">
        <v>210</v>
      </c>
      <c r="U361" s="94" t="s">
        <v>210</v>
      </c>
      <c r="V361" s="94">
        <v>-3</v>
      </c>
      <c r="W361" s="94">
        <v>-4</v>
      </c>
      <c r="X361" s="94" t="s">
        <v>210</v>
      </c>
      <c r="Y361" s="94" t="s">
        <v>210</v>
      </c>
      <c r="Z361" s="94">
        <v>8</v>
      </c>
      <c r="AA361" s="94">
        <v>-6</v>
      </c>
      <c r="AB361" s="94" t="s">
        <v>210</v>
      </c>
      <c r="AC361" s="94" t="s">
        <v>210</v>
      </c>
      <c r="AD361" s="94">
        <v>-2</v>
      </c>
      <c r="AE361" s="94">
        <v>5</v>
      </c>
      <c r="AF361" s="94" t="s">
        <v>210</v>
      </c>
      <c r="AG361" s="94"/>
      <c r="AH361" s="94"/>
      <c r="AI361" s="94"/>
      <c r="AJ361" s="94"/>
      <c r="AK361" s="94"/>
      <c r="AL361" s="94"/>
      <c r="AM361" s="94"/>
      <c r="AN361" s="94"/>
      <c r="AO361" s="94"/>
      <c r="AP361" s="94"/>
      <c r="AQ361" s="94"/>
      <c r="AR361" s="94"/>
      <c r="AS361" s="94"/>
      <c r="AT361" s="94"/>
      <c r="AU361" s="94"/>
      <c r="AV361" s="94"/>
      <c r="AW361" s="94"/>
      <c r="AX361" s="94"/>
      <c r="AY361" s="94"/>
      <c r="AZ361" s="94"/>
      <c r="BA361" s="95"/>
    </row>
    <row r="362" spans="1:53" s="87" customFormat="1">
      <c r="A362" s="90" t="str">
        <f t="shared" si="30"/>
        <v/>
      </c>
      <c r="B362" s="98">
        <v>4</v>
      </c>
      <c r="C362" s="94">
        <v>7</v>
      </c>
      <c r="D362" s="94" t="s">
        <v>210</v>
      </c>
      <c r="E362" s="94" t="s">
        <v>210</v>
      </c>
      <c r="F362" s="94">
        <v>6</v>
      </c>
      <c r="G362" s="94">
        <v>1</v>
      </c>
      <c r="H362" s="94" t="s">
        <v>210</v>
      </c>
      <c r="I362" s="94" t="s">
        <v>210</v>
      </c>
      <c r="J362" s="94">
        <v>-4</v>
      </c>
      <c r="K362" s="94">
        <v>-3</v>
      </c>
      <c r="L362" s="94" t="s">
        <v>210</v>
      </c>
      <c r="M362" s="94" t="s">
        <v>210</v>
      </c>
      <c r="N362" s="94">
        <v>-2</v>
      </c>
      <c r="O362" s="94">
        <v>5</v>
      </c>
      <c r="P362" s="94" t="s">
        <v>210</v>
      </c>
      <c r="Q362" s="94" t="s">
        <v>210</v>
      </c>
      <c r="R362" s="94">
        <v>-8</v>
      </c>
      <c r="S362" s="94">
        <v>2</v>
      </c>
      <c r="T362" s="94" t="s">
        <v>210</v>
      </c>
      <c r="U362" s="94" t="s">
        <v>210</v>
      </c>
      <c r="V362" s="94">
        <v>4</v>
      </c>
      <c r="W362" s="94">
        <v>-6</v>
      </c>
      <c r="X362" s="94" t="s">
        <v>210</v>
      </c>
      <c r="Y362" s="94" t="s">
        <v>210</v>
      </c>
      <c r="Z362" s="94">
        <v>-1</v>
      </c>
      <c r="AA362" s="94">
        <v>3</v>
      </c>
      <c r="AB362" s="94" t="s">
        <v>210</v>
      </c>
      <c r="AC362" s="94" t="s">
        <v>210</v>
      </c>
      <c r="AD362" s="94">
        <v>-7</v>
      </c>
      <c r="AE362" s="94">
        <v>-5</v>
      </c>
      <c r="AF362" s="94" t="s">
        <v>210</v>
      </c>
      <c r="AG362" s="94"/>
      <c r="AH362" s="94"/>
      <c r="AI362" s="94"/>
      <c r="AJ362" s="94"/>
      <c r="AK362" s="94"/>
      <c r="AL362" s="94"/>
      <c r="AM362" s="94"/>
      <c r="AN362" s="94"/>
      <c r="AO362" s="94"/>
      <c r="AP362" s="94"/>
      <c r="AQ362" s="94"/>
      <c r="AR362" s="94"/>
      <c r="AS362" s="94"/>
      <c r="AT362" s="94"/>
      <c r="AU362" s="94"/>
      <c r="AV362" s="94"/>
      <c r="AW362" s="94"/>
      <c r="AX362" s="94"/>
      <c r="AY362" s="94"/>
      <c r="AZ362" s="94"/>
      <c r="BA362" s="95"/>
    </row>
    <row r="363" spans="1:53" s="87" customFormat="1">
      <c r="A363" s="90" t="str">
        <f t="shared" si="30"/>
        <v/>
      </c>
      <c r="B363" s="98">
        <v>5</v>
      </c>
      <c r="C363" s="94">
        <v>1</v>
      </c>
      <c r="D363" s="94" t="s">
        <v>210</v>
      </c>
      <c r="E363" s="94" t="s">
        <v>210</v>
      </c>
      <c r="F363" s="94">
        <v>4</v>
      </c>
      <c r="G363" s="94">
        <v>-7</v>
      </c>
      <c r="H363" s="94" t="s">
        <v>210</v>
      </c>
      <c r="I363" s="94" t="s">
        <v>210</v>
      </c>
      <c r="J363" s="94">
        <v>-6</v>
      </c>
      <c r="K363" s="94">
        <v>-5</v>
      </c>
      <c r="L363" s="94" t="s">
        <v>210</v>
      </c>
      <c r="M363" s="94" t="s">
        <v>210</v>
      </c>
      <c r="N363" s="94">
        <v>8</v>
      </c>
      <c r="O363" s="94">
        <v>-3</v>
      </c>
      <c r="P363" s="94" t="s">
        <v>210</v>
      </c>
      <c r="Q363" s="94" t="s">
        <v>210</v>
      </c>
      <c r="R363" s="94">
        <v>-2</v>
      </c>
      <c r="S363" s="94">
        <v>7</v>
      </c>
      <c r="T363" s="94" t="s">
        <v>210</v>
      </c>
      <c r="U363" s="94" t="s">
        <v>210</v>
      </c>
      <c r="V363" s="94">
        <v>-8</v>
      </c>
      <c r="W363" s="94">
        <v>6</v>
      </c>
      <c r="X363" s="94" t="s">
        <v>210</v>
      </c>
      <c r="Y363" s="94" t="s">
        <v>210</v>
      </c>
      <c r="Z363" s="94">
        <v>5</v>
      </c>
      <c r="AA363" s="94">
        <v>-4</v>
      </c>
      <c r="AB363" s="94" t="s">
        <v>210</v>
      </c>
      <c r="AC363" s="94" t="s">
        <v>210</v>
      </c>
      <c r="AD363" s="94">
        <v>-1</v>
      </c>
      <c r="AE363" s="94">
        <v>3</v>
      </c>
      <c r="AF363" s="94" t="s">
        <v>210</v>
      </c>
      <c r="AG363" s="94"/>
      <c r="AH363" s="94"/>
      <c r="AI363" s="94"/>
      <c r="AJ363" s="94"/>
      <c r="AK363" s="94"/>
      <c r="AL363" s="94"/>
      <c r="AM363" s="94"/>
      <c r="AN363" s="94"/>
      <c r="AO363" s="94"/>
      <c r="AP363" s="94"/>
      <c r="AQ363" s="94"/>
      <c r="AR363" s="94"/>
      <c r="AS363" s="94"/>
      <c r="AT363" s="94"/>
      <c r="AU363" s="94"/>
      <c r="AV363" s="94"/>
      <c r="AW363" s="94"/>
      <c r="AX363" s="94"/>
      <c r="AY363" s="94"/>
      <c r="AZ363" s="94"/>
      <c r="BA363" s="95"/>
    </row>
    <row r="364" spans="1:53" s="87" customFormat="1">
      <c r="A364" s="90" t="str">
        <f t="shared" si="30"/>
        <v/>
      </c>
      <c r="B364" s="98">
        <v>6</v>
      </c>
      <c r="C364" s="94">
        <v>8</v>
      </c>
      <c r="D364" s="94" t="s">
        <v>210</v>
      </c>
      <c r="E364" s="94" t="s">
        <v>210</v>
      </c>
      <c r="F364" s="94">
        <v>5</v>
      </c>
      <c r="G364" s="94">
        <v>2</v>
      </c>
      <c r="H364" s="94" t="s">
        <v>210</v>
      </c>
      <c r="I364" s="94" t="s">
        <v>210</v>
      </c>
      <c r="J364" s="94">
        <v>3</v>
      </c>
      <c r="K364" s="94">
        <v>-4</v>
      </c>
      <c r="L364" s="94" t="s">
        <v>210</v>
      </c>
      <c r="M364" s="94" t="s">
        <v>210</v>
      </c>
      <c r="N364" s="94">
        <v>1</v>
      </c>
      <c r="O364" s="94">
        <v>-6</v>
      </c>
      <c r="P364" s="94" t="s">
        <v>210</v>
      </c>
      <c r="Q364" s="94" t="s">
        <v>210</v>
      </c>
      <c r="R364" s="94">
        <v>7</v>
      </c>
      <c r="S364" s="94">
        <v>-2</v>
      </c>
      <c r="T364" s="94" t="s">
        <v>210</v>
      </c>
      <c r="U364" s="94" t="s">
        <v>210</v>
      </c>
      <c r="V364" s="94">
        <v>-1</v>
      </c>
      <c r="W364" s="94">
        <v>4</v>
      </c>
      <c r="X364" s="94" t="s">
        <v>210</v>
      </c>
      <c r="Y364" s="94" t="s">
        <v>210</v>
      </c>
      <c r="Z364" s="94">
        <v>6</v>
      </c>
      <c r="AA364" s="94">
        <v>-5</v>
      </c>
      <c r="AB364" s="94" t="s">
        <v>210</v>
      </c>
      <c r="AC364" s="94" t="s">
        <v>210</v>
      </c>
      <c r="AD364" s="94">
        <v>-8</v>
      </c>
      <c r="AE364" s="94">
        <v>-3</v>
      </c>
      <c r="AF364" s="94" t="s">
        <v>210</v>
      </c>
      <c r="AG364" s="94"/>
      <c r="AH364" s="94"/>
      <c r="AI364" s="94"/>
      <c r="AJ364" s="94"/>
      <c r="AK364" s="94"/>
      <c r="AL364" s="94"/>
      <c r="AM364" s="94"/>
      <c r="AN364" s="94"/>
      <c r="AO364" s="94"/>
      <c r="AP364" s="94"/>
      <c r="AQ364" s="94"/>
      <c r="AR364" s="94"/>
      <c r="AS364" s="94"/>
      <c r="AT364" s="94"/>
      <c r="AU364" s="94"/>
      <c r="AV364" s="94"/>
      <c r="AW364" s="94"/>
      <c r="AX364" s="94"/>
      <c r="AY364" s="94"/>
      <c r="AZ364" s="94"/>
      <c r="BA364" s="95"/>
    </row>
    <row r="365" spans="1:53" s="87" customFormat="1">
      <c r="A365" s="90" t="str">
        <f t="shared" si="30"/>
        <v/>
      </c>
      <c r="B365" s="98">
        <v>7</v>
      </c>
      <c r="C365" s="94">
        <v>-6</v>
      </c>
      <c r="D365" s="94" t="s">
        <v>210</v>
      </c>
      <c r="E365" s="94" t="s">
        <v>210</v>
      </c>
      <c r="F365" s="94">
        <v>-7</v>
      </c>
      <c r="G365" s="94">
        <v>4</v>
      </c>
      <c r="H365" s="94" t="s">
        <v>210</v>
      </c>
      <c r="I365" s="94" t="s">
        <v>210</v>
      </c>
      <c r="J365" s="94">
        <v>-1</v>
      </c>
      <c r="K365" s="94">
        <v>2</v>
      </c>
      <c r="L365" s="94" t="s">
        <v>210</v>
      </c>
      <c r="M365" s="94" t="s">
        <v>210</v>
      </c>
      <c r="N365" s="94">
        <v>3</v>
      </c>
      <c r="O365" s="94">
        <v>8</v>
      </c>
      <c r="P365" s="94" t="s">
        <v>210</v>
      </c>
      <c r="Q365" s="94" t="s">
        <v>210</v>
      </c>
      <c r="R365" s="94">
        <v>-5</v>
      </c>
      <c r="S365" s="94">
        <v>-3</v>
      </c>
      <c r="T365" s="94" t="s">
        <v>210</v>
      </c>
      <c r="U365" s="94" t="s">
        <v>210</v>
      </c>
      <c r="V365" s="94">
        <v>-4</v>
      </c>
      <c r="W365" s="94">
        <v>7</v>
      </c>
      <c r="X365" s="94" t="s">
        <v>210</v>
      </c>
      <c r="Y365" s="94" t="s">
        <v>210</v>
      </c>
      <c r="Z365" s="94">
        <v>-8</v>
      </c>
      <c r="AA365" s="94">
        <v>5</v>
      </c>
      <c r="AB365" s="94" t="s">
        <v>210</v>
      </c>
      <c r="AC365" s="94" t="s">
        <v>210</v>
      </c>
      <c r="AD365" s="94">
        <v>1</v>
      </c>
      <c r="AE365" s="94">
        <v>6</v>
      </c>
      <c r="AF365" s="94" t="s">
        <v>210</v>
      </c>
      <c r="AG365" s="94"/>
      <c r="AH365" s="94"/>
      <c r="AI365" s="94"/>
      <c r="AJ365" s="94"/>
      <c r="AK365" s="94"/>
      <c r="AL365" s="94"/>
      <c r="AM365" s="94"/>
      <c r="AN365" s="94"/>
      <c r="AO365" s="94"/>
      <c r="AP365" s="94"/>
      <c r="AQ365" s="94"/>
      <c r="AR365" s="94"/>
      <c r="AS365" s="94"/>
      <c r="AT365" s="94"/>
      <c r="AU365" s="94"/>
      <c r="AV365" s="94"/>
      <c r="AW365" s="94"/>
      <c r="AX365" s="94"/>
      <c r="AY365" s="94"/>
      <c r="AZ365" s="94"/>
      <c r="BA365" s="95"/>
    </row>
    <row r="366" spans="1:53" s="87" customFormat="1">
      <c r="A366" s="90" t="str">
        <f t="shared" si="30"/>
        <v/>
      </c>
      <c r="B366" s="98">
        <v>8</v>
      </c>
      <c r="C366" s="94">
        <v>-3</v>
      </c>
      <c r="D366" s="94" t="s">
        <v>210</v>
      </c>
      <c r="E366" s="94" t="s">
        <v>210</v>
      </c>
      <c r="F366" s="94">
        <v>2</v>
      </c>
      <c r="G366" s="94">
        <v>5</v>
      </c>
      <c r="H366" s="94" t="s">
        <v>210</v>
      </c>
      <c r="I366" s="94" t="s">
        <v>210</v>
      </c>
      <c r="J366" s="94">
        <v>-8</v>
      </c>
      <c r="K366" s="94">
        <v>-7</v>
      </c>
      <c r="L366" s="94" t="s">
        <v>210</v>
      </c>
      <c r="M366" s="94" t="s">
        <v>210</v>
      </c>
      <c r="N366" s="94">
        <v>6</v>
      </c>
      <c r="O366" s="94">
        <v>-1</v>
      </c>
      <c r="P366" s="94" t="s">
        <v>210</v>
      </c>
      <c r="Q366" s="94" t="s">
        <v>210</v>
      </c>
      <c r="R366" s="94">
        <v>-4</v>
      </c>
      <c r="S366" s="94">
        <v>-5</v>
      </c>
      <c r="T366" s="94" t="s">
        <v>210</v>
      </c>
      <c r="U366" s="94" t="s">
        <v>210</v>
      </c>
      <c r="V366" s="94">
        <v>3</v>
      </c>
      <c r="W366" s="94">
        <v>-2</v>
      </c>
      <c r="X366" s="94" t="s">
        <v>210</v>
      </c>
      <c r="Y366" s="94" t="s">
        <v>210</v>
      </c>
      <c r="Z366" s="94">
        <v>1</v>
      </c>
      <c r="AA366" s="94">
        <v>4</v>
      </c>
      <c r="AB366" s="94" t="s">
        <v>210</v>
      </c>
      <c r="AC366" s="94" t="s">
        <v>210</v>
      </c>
      <c r="AD366" s="94">
        <v>8</v>
      </c>
      <c r="AE366" s="94">
        <v>-6</v>
      </c>
      <c r="AF366" s="94" t="s">
        <v>210</v>
      </c>
      <c r="AG366" s="94"/>
      <c r="AH366" s="94"/>
      <c r="AI366" s="94"/>
      <c r="AJ366" s="94"/>
      <c r="AK366" s="94"/>
      <c r="AL366" s="94"/>
      <c r="AM366" s="94"/>
      <c r="AN366" s="94"/>
      <c r="AO366" s="94"/>
      <c r="AP366" s="94"/>
      <c r="AQ366" s="94"/>
      <c r="AR366" s="94"/>
      <c r="AS366" s="94"/>
      <c r="AT366" s="94"/>
      <c r="AU366" s="94"/>
      <c r="AV366" s="94"/>
      <c r="AW366" s="94"/>
      <c r="AX366" s="94"/>
      <c r="AY366" s="94"/>
      <c r="AZ366" s="94"/>
      <c r="BA366" s="95"/>
    </row>
    <row r="367" spans="1:53" s="87" customFormat="1">
      <c r="A367" s="90" t="str">
        <f t="shared" si="30"/>
        <v/>
      </c>
      <c r="B367" s="98">
        <v>9</v>
      </c>
      <c r="C367" s="94">
        <v>3</v>
      </c>
      <c r="D367" s="94" t="s">
        <v>210</v>
      </c>
      <c r="E367" s="94" t="s">
        <v>210</v>
      </c>
      <c r="F367" s="94">
        <v>7</v>
      </c>
      <c r="G367" s="94">
        <v>-6</v>
      </c>
      <c r="H367" s="94" t="s">
        <v>210</v>
      </c>
      <c r="I367" s="94" t="s">
        <v>210</v>
      </c>
      <c r="J367" s="94">
        <v>2</v>
      </c>
      <c r="K367" s="94">
        <v>5</v>
      </c>
      <c r="L367" s="94" t="s">
        <v>210</v>
      </c>
      <c r="M367" s="94" t="s">
        <v>210</v>
      </c>
      <c r="N367" s="94">
        <v>-1</v>
      </c>
      <c r="O367" s="94">
        <v>4</v>
      </c>
      <c r="P367" s="94" t="s">
        <v>210</v>
      </c>
      <c r="Q367" s="94" t="s">
        <v>210</v>
      </c>
      <c r="R367" s="94">
        <v>8</v>
      </c>
      <c r="S367" s="94">
        <v>6</v>
      </c>
      <c r="T367" s="94" t="s">
        <v>210</v>
      </c>
      <c r="U367" s="94" t="s">
        <v>210</v>
      </c>
      <c r="V367" s="94">
        <v>-7</v>
      </c>
      <c r="W367" s="94">
        <v>1</v>
      </c>
      <c r="X367" s="94" t="s">
        <v>210</v>
      </c>
      <c r="Y367" s="94" t="s">
        <v>210</v>
      </c>
      <c r="Z367" s="94">
        <v>-4</v>
      </c>
      <c r="AA367" s="94">
        <v>-8</v>
      </c>
      <c r="AB367" s="94" t="s">
        <v>210</v>
      </c>
      <c r="AC367" s="94" t="s">
        <v>210</v>
      </c>
      <c r="AD367" s="94">
        <v>-5</v>
      </c>
      <c r="AE367" s="94">
        <v>-2</v>
      </c>
      <c r="AF367" s="94" t="s">
        <v>210</v>
      </c>
      <c r="AG367" s="94"/>
      <c r="AH367" s="94"/>
      <c r="AI367" s="94"/>
      <c r="AJ367" s="94"/>
      <c r="AK367" s="94"/>
      <c r="AL367" s="94"/>
      <c r="AM367" s="94"/>
      <c r="AN367" s="94"/>
      <c r="AO367" s="94"/>
      <c r="AP367" s="94"/>
      <c r="AQ367" s="94"/>
      <c r="AR367" s="94"/>
      <c r="AS367" s="94"/>
      <c r="AT367" s="94"/>
      <c r="AU367" s="94"/>
      <c r="AV367" s="94"/>
      <c r="AW367" s="94"/>
      <c r="AX367" s="94"/>
      <c r="AY367" s="94"/>
      <c r="AZ367" s="94"/>
      <c r="BA367" s="95"/>
    </row>
    <row r="368" spans="1:53" s="87" customFormat="1">
      <c r="A368" s="90" t="str">
        <f t="shared" si="30"/>
        <v/>
      </c>
      <c r="B368" s="98">
        <v>10</v>
      </c>
      <c r="C368" s="94">
        <v>-1</v>
      </c>
      <c r="D368" s="94" t="s">
        <v>210</v>
      </c>
      <c r="E368" s="94" t="s">
        <v>210</v>
      </c>
      <c r="F368" s="94">
        <v>-5</v>
      </c>
      <c r="G368" s="94">
        <v>8</v>
      </c>
      <c r="H368" s="94" t="s">
        <v>210</v>
      </c>
      <c r="I368" s="94" t="s">
        <v>210</v>
      </c>
      <c r="J368" s="94">
        <v>4</v>
      </c>
      <c r="K368" s="94">
        <v>7</v>
      </c>
      <c r="L368" s="94" t="s">
        <v>210</v>
      </c>
      <c r="M368" s="94" t="s">
        <v>210</v>
      </c>
      <c r="N368" s="94">
        <v>-3</v>
      </c>
      <c r="O368" s="94">
        <v>-2</v>
      </c>
      <c r="P368" s="94" t="s">
        <v>210</v>
      </c>
      <c r="Q368" s="94" t="s">
        <v>210</v>
      </c>
      <c r="R368" s="94">
        <v>6</v>
      </c>
      <c r="S368" s="94">
        <v>-8</v>
      </c>
      <c r="T368" s="94" t="s">
        <v>210</v>
      </c>
      <c r="U368" s="94" t="s">
        <v>210</v>
      </c>
      <c r="V368" s="94">
        <v>-6</v>
      </c>
      <c r="W368" s="94">
        <v>5</v>
      </c>
      <c r="X368" s="94" t="s">
        <v>210</v>
      </c>
      <c r="Y368" s="94" t="s">
        <v>210</v>
      </c>
      <c r="Z368" s="94">
        <v>-7</v>
      </c>
      <c r="AA368" s="94">
        <v>1</v>
      </c>
      <c r="AB368" s="94" t="s">
        <v>210</v>
      </c>
      <c r="AC368" s="94" t="s">
        <v>210</v>
      </c>
      <c r="AD368" s="94">
        <v>-4</v>
      </c>
      <c r="AE368" s="94">
        <v>2</v>
      </c>
      <c r="AF368" s="94" t="s">
        <v>210</v>
      </c>
      <c r="AG368" s="94"/>
      <c r="AH368" s="94"/>
      <c r="AI368" s="94"/>
      <c r="AJ368" s="94"/>
      <c r="AK368" s="94"/>
      <c r="AL368" s="94"/>
      <c r="AM368" s="94"/>
      <c r="AN368" s="94"/>
      <c r="AO368" s="94"/>
      <c r="AP368" s="94"/>
      <c r="AQ368" s="94"/>
      <c r="AR368" s="94"/>
      <c r="AS368" s="94"/>
      <c r="AT368" s="94"/>
      <c r="AU368" s="94"/>
      <c r="AV368" s="94"/>
      <c r="AW368" s="94"/>
      <c r="AX368" s="94"/>
      <c r="AY368" s="94"/>
      <c r="AZ368" s="94"/>
      <c r="BA368" s="95"/>
    </row>
    <row r="369" spans="1:53" s="87" customFormat="1">
      <c r="A369" s="90" t="str">
        <f t="shared" si="30"/>
        <v/>
      </c>
      <c r="B369" s="98">
        <v>11</v>
      </c>
      <c r="C369" s="94">
        <v>-8</v>
      </c>
      <c r="D369" s="94" t="s">
        <v>210</v>
      </c>
      <c r="E369" s="94" t="s">
        <v>210</v>
      </c>
      <c r="F369" s="94">
        <v>-4</v>
      </c>
      <c r="G369" s="94">
        <v>-1</v>
      </c>
      <c r="H369" s="94" t="s">
        <v>210</v>
      </c>
      <c r="I369" s="94" t="s">
        <v>210</v>
      </c>
      <c r="J369" s="94">
        <v>5</v>
      </c>
      <c r="K369" s="94">
        <v>-2</v>
      </c>
      <c r="L369" s="94" t="s">
        <v>210</v>
      </c>
      <c r="M369" s="94" t="s">
        <v>210</v>
      </c>
      <c r="N369" s="94">
        <v>-6</v>
      </c>
      <c r="O369" s="94">
        <v>7</v>
      </c>
      <c r="P369" s="94" t="s">
        <v>210</v>
      </c>
      <c r="Q369" s="94" t="s">
        <v>210</v>
      </c>
      <c r="R369" s="94">
        <v>-3</v>
      </c>
      <c r="S369" s="94">
        <v>1</v>
      </c>
      <c r="T369" s="94" t="s">
        <v>210</v>
      </c>
      <c r="U369" s="94" t="s">
        <v>210</v>
      </c>
      <c r="V369" s="94">
        <v>-5</v>
      </c>
      <c r="W369" s="94">
        <v>3</v>
      </c>
      <c r="X369" s="94" t="s">
        <v>210</v>
      </c>
      <c r="Y369" s="94" t="s">
        <v>210</v>
      </c>
      <c r="Z369" s="94">
        <v>2</v>
      </c>
      <c r="AA369" s="94">
        <v>8</v>
      </c>
      <c r="AB369" s="94" t="s">
        <v>210</v>
      </c>
      <c r="AC369" s="94" t="s">
        <v>210</v>
      </c>
      <c r="AD369" s="94">
        <v>4</v>
      </c>
      <c r="AE369" s="94">
        <v>-7</v>
      </c>
      <c r="AF369" s="94" t="s">
        <v>210</v>
      </c>
      <c r="AG369" s="94"/>
      <c r="AH369" s="94"/>
      <c r="AI369" s="94"/>
      <c r="AJ369" s="94"/>
      <c r="AK369" s="94"/>
      <c r="AL369" s="94"/>
      <c r="AM369" s="94"/>
      <c r="AN369" s="94"/>
      <c r="AO369" s="94"/>
      <c r="AP369" s="94"/>
      <c r="AQ369" s="94"/>
      <c r="AR369" s="94"/>
      <c r="AS369" s="94"/>
      <c r="AT369" s="94"/>
      <c r="AU369" s="94"/>
      <c r="AV369" s="94"/>
      <c r="AW369" s="94"/>
      <c r="AX369" s="94"/>
      <c r="AY369" s="94"/>
      <c r="AZ369" s="94"/>
      <c r="BA369" s="95"/>
    </row>
    <row r="370" spans="1:53" s="87" customFormat="1">
      <c r="A370" s="90" t="str">
        <f t="shared" si="30"/>
        <v/>
      </c>
      <c r="B370" s="98">
        <v>12</v>
      </c>
      <c r="C370" s="94">
        <v>6</v>
      </c>
      <c r="D370" s="94" t="s">
        <v>210</v>
      </c>
      <c r="E370" s="94" t="s">
        <v>210</v>
      </c>
      <c r="F370" s="94">
        <v>-2</v>
      </c>
      <c r="G370" s="94">
        <v>3</v>
      </c>
      <c r="H370" s="94" t="s">
        <v>210</v>
      </c>
      <c r="I370" s="94" t="s">
        <v>210</v>
      </c>
      <c r="J370" s="94">
        <v>-7</v>
      </c>
      <c r="K370" s="94">
        <v>4</v>
      </c>
      <c r="L370" s="94" t="s">
        <v>210</v>
      </c>
      <c r="M370" s="94" t="s">
        <v>210</v>
      </c>
      <c r="N370" s="94">
        <v>-8</v>
      </c>
      <c r="O370" s="94">
        <v>-5</v>
      </c>
      <c r="P370" s="94" t="s">
        <v>210</v>
      </c>
      <c r="Q370" s="94" t="s">
        <v>210</v>
      </c>
      <c r="R370" s="94">
        <v>1</v>
      </c>
      <c r="S370" s="94">
        <v>-4</v>
      </c>
      <c r="T370" s="94" t="s">
        <v>210</v>
      </c>
      <c r="U370" s="94" t="s">
        <v>210</v>
      </c>
      <c r="V370" s="94">
        <v>2</v>
      </c>
      <c r="W370" s="94">
        <v>8</v>
      </c>
      <c r="X370" s="94" t="s">
        <v>210</v>
      </c>
      <c r="Y370" s="94" t="s">
        <v>210</v>
      </c>
      <c r="Z370" s="94">
        <v>-3</v>
      </c>
      <c r="AA370" s="94">
        <v>-1</v>
      </c>
      <c r="AB370" s="94" t="s">
        <v>210</v>
      </c>
      <c r="AC370" s="94" t="s">
        <v>210</v>
      </c>
      <c r="AD370" s="94">
        <v>5</v>
      </c>
      <c r="AE370" s="94">
        <v>7</v>
      </c>
      <c r="AF370" s="94" t="s">
        <v>210</v>
      </c>
      <c r="AG370" s="94"/>
      <c r="AH370" s="94"/>
      <c r="AI370" s="94"/>
      <c r="AJ370" s="94"/>
      <c r="AK370" s="94"/>
      <c r="AL370" s="94"/>
      <c r="AM370" s="94"/>
      <c r="AN370" s="94"/>
      <c r="AO370" s="94"/>
      <c r="AP370" s="94"/>
      <c r="AQ370" s="94"/>
      <c r="AR370" s="94"/>
      <c r="AS370" s="94"/>
      <c r="AT370" s="94"/>
      <c r="AU370" s="94"/>
      <c r="AV370" s="94"/>
      <c r="AW370" s="94"/>
      <c r="AX370" s="94"/>
      <c r="AY370" s="94"/>
      <c r="AZ370" s="94"/>
      <c r="BA370" s="95"/>
    </row>
    <row r="371" spans="1:53" s="87" customFormat="1">
      <c r="A371" s="90" t="str">
        <f t="shared" si="30"/>
        <v/>
      </c>
      <c r="B371" s="98">
        <v>13</v>
      </c>
      <c r="C371" s="94">
        <v>-5</v>
      </c>
      <c r="D371" s="94" t="s">
        <v>210</v>
      </c>
      <c r="E371" s="94" t="s">
        <v>210</v>
      </c>
      <c r="F371" s="94">
        <v>-1</v>
      </c>
      <c r="G371" s="94">
        <v>-4</v>
      </c>
      <c r="H371" s="94" t="s">
        <v>210</v>
      </c>
      <c r="I371" s="94" t="s">
        <v>210</v>
      </c>
      <c r="J371" s="94">
        <v>8</v>
      </c>
      <c r="K371" s="94">
        <v>3</v>
      </c>
      <c r="L371" s="94" t="s">
        <v>210</v>
      </c>
      <c r="M371" s="94" t="s">
        <v>210</v>
      </c>
      <c r="N371" s="94">
        <v>-7</v>
      </c>
      <c r="O371" s="94">
        <v>6</v>
      </c>
      <c r="P371" s="94" t="s">
        <v>210</v>
      </c>
      <c r="Q371" s="94" t="s">
        <v>210</v>
      </c>
      <c r="R371" s="94">
        <v>2</v>
      </c>
      <c r="S371" s="94">
        <v>-6</v>
      </c>
      <c r="T371" s="94" t="s">
        <v>210</v>
      </c>
      <c r="U371" s="94" t="s">
        <v>210</v>
      </c>
      <c r="V371" s="94">
        <v>5</v>
      </c>
      <c r="W371" s="94">
        <v>-8</v>
      </c>
      <c r="X371" s="94" t="s">
        <v>210</v>
      </c>
      <c r="Y371" s="94" t="s">
        <v>210</v>
      </c>
      <c r="Z371" s="94">
        <v>7</v>
      </c>
      <c r="AA371" s="94">
        <v>-2</v>
      </c>
      <c r="AB371" s="94" t="s">
        <v>210</v>
      </c>
      <c r="AC371" s="94" t="s">
        <v>210</v>
      </c>
      <c r="AD371" s="94">
        <v>-3</v>
      </c>
      <c r="AE371" s="94">
        <v>1</v>
      </c>
      <c r="AF371" s="94" t="s">
        <v>210</v>
      </c>
      <c r="AG371" s="94"/>
      <c r="AH371" s="94"/>
      <c r="AI371" s="94"/>
      <c r="AJ371" s="94"/>
      <c r="AK371" s="94"/>
      <c r="AL371" s="94"/>
      <c r="AM371" s="94"/>
      <c r="AN371" s="94"/>
      <c r="AO371" s="94"/>
      <c r="AP371" s="94"/>
      <c r="AQ371" s="94"/>
      <c r="AR371" s="94"/>
      <c r="AS371" s="94"/>
      <c r="AT371" s="94"/>
      <c r="AU371" s="94"/>
      <c r="AV371" s="94"/>
      <c r="AW371" s="94"/>
      <c r="AX371" s="94"/>
      <c r="AY371" s="94"/>
      <c r="AZ371" s="94"/>
      <c r="BA371" s="95"/>
    </row>
    <row r="372" spans="1:53" s="87" customFormat="1">
      <c r="A372" s="90" t="str">
        <f t="shared" si="30"/>
        <v/>
      </c>
      <c r="B372" s="98">
        <v>14</v>
      </c>
      <c r="C372" s="94">
        <v>-4</v>
      </c>
      <c r="D372" s="94" t="s">
        <v>210</v>
      </c>
      <c r="E372" s="94" t="s">
        <v>210</v>
      </c>
      <c r="F372" s="94">
        <v>-8</v>
      </c>
      <c r="G372" s="94">
        <v>-5</v>
      </c>
      <c r="H372" s="94" t="s">
        <v>210</v>
      </c>
      <c r="I372" s="94" t="s">
        <v>210</v>
      </c>
      <c r="J372" s="94">
        <v>1</v>
      </c>
      <c r="K372" s="94">
        <v>-6</v>
      </c>
      <c r="L372" s="94" t="s">
        <v>210</v>
      </c>
      <c r="M372" s="94" t="s">
        <v>210</v>
      </c>
      <c r="N372" s="94">
        <v>2</v>
      </c>
      <c r="O372" s="94">
        <v>3</v>
      </c>
      <c r="P372" s="94" t="s">
        <v>210</v>
      </c>
      <c r="Q372" s="94" t="s">
        <v>210</v>
      </c>
      <c r="R372" s="94">
        <v>-7</v>
      </c>
      <c r="S372" s="94">
        <v>8</v>
      </c>
      <c r="T372" s="94" t="s">
        <v>210</v>
      </c>
      <c r="U372" s="94" t="s">
        <v>210</v>
      </c>
      <c r="V372" s="94">
        <v>-2</v>
      </c>
      <c r="W372" s="94">
        <v>-3</v>
      </c>
      <c r="X372" s="94" t="s">
        <v>210</v>
      </c>
      <c r="Y372" s="94" t="s">
        <v>210</v>
      </c>
      <c r="Z372" s="94">
        <v>4</v>
      </c>
      <c r="AA372" s="94">
        <v>7</v>
      </c>
      <c r="AB372" s="94" t="s">
        <v>210</v>
      </c>
      <c r="AC372" s="94" t="s">
        <v>210</v>
      </c>
      <c r="AD372" s="94">
        <v>6</v>
      </c>
      <c r="AE372" s="94">
        <v>-1</v>
      </c>
      <c r="AF372" s="94" t="s">
        <v>210</v>
      </c>
      <c r="AG372" s="94"/>
      <c r="AH372" s="94"/>
      <c r="AI372" s="94"/>
      <c r="AJ372" s="94"/>
      <c r="AK372" s="94"/>
      <c r="AL372" s="94"/>
      <c r="AM372" s="94"/>
      <c r="AN372" s="94"/>
      <c r="AO372" s="94"/>
      <c r="AP372" s="94"/>
      <c r="AQ372" s="94"/>
      <c r="AR372" s="94"/>
      <c r="AS372" s="94"/>
      <c r="AT372" s="94"/>
      <c r="AU372" s="94"/>
      <c r="AV372" s="94"/>
      <c r="AW372" s="94"/>
      <c r="AX372" s="94"/>
      <c r="AY372" s="94"/>
      <c r="AZ372" s="94"/>
      <c r="BA372" s="95"/>
    </row>
    <row r="373" spans="1:53" s="87" customFormat="1">
      <c r="A373" s="90" t="str">
        <f t="shared" si="30"/>
        <v/>
      </c>
      <c r="B373" s="98">
        <v>15</v>
      </c>
      <c r="C373" s="94">
        <v>2</v>
      </c>
      <c r="D373" s="94" t="s">
        <v>210</v>
      </c>
      <c r="E373" s="94" t="s">
        <v>210</v>
      </c>
      <c r="F373" s="94">
        <v>-6</v>
      </c>
      <c r="G373" s="94">
        <v>7</v>
      </c>
      <c r="H373" s="94" t="s">
        <v>210</v>
      </c>
      <c r="I373" s="94" t="s">
        <v>210</v>
      </c>
      <c r="J373" s="94">
        <v>-3</v>
      </c>
      <c r="K373" s="94">
        <v>8</v>
      </c>
      <c r="L373" s="94" t="s">
        <v>210</v>
      </c>
      <c r="M373" s="94" t="s">
        <v>210</v>
      </c>
      <c r="N373" s="94">
        <v>-4</v>
      </c>
      <c r="O373" s="94">
        <v>1</v>
      </c>
      <c r="P373" s="94" t="s">
        <v>210</v>
      </c>
      <c r="Q373" s="94" t="s">
        <v>210</v>
      </c>
      <c r="R373" s="94">
        <v>5</v>
      </c>
      <c r="S373" s="94">
        <v>4</v>
      </c>
      <c r="T373" s="94" t="s">
        <v>210</v>
      </c>
      <c r="U373" s="94" t="s">
        <v>210</v>
      </c>
      <c r="V373" s="94">
        <v>6</v>
      </c>
      <c r="W373" s="94">
        <v>-1</v>
      </c>
      <c r="X373" s="94" t="s">
        <v>210</v>
      </c>
      <c r="Y373" s="94" t="s">
        <v>210</v>
      </c>
      <c r="Z373" s="94">
        <v>-2</v>
      </c>
      <c r="AA373" s="94">
        <v>-7</v>
      </c>
      <c r="AB373" s="94" t="s">
        <v>210</v>
      </c>
      <c r="AC373" s="94" t="s">
        <v>210</v>
      </c>
      <c r="AD373" s="94">
        <v>3</v>
      </c>
      <c r="AE373" s="94">
        <v>-8</v>
      </c>
      <c r="AF373" s="94" t="s">
        <v>210</v>
      </c>
      <c r="AG373" s="94"/>
      <c r="AH373" s="94"/>
      <c r="AI373" s="94"/>
      <c r="AJ373" s="94"/>
      <c r="AK373" s="94"/>
      <c r="AL373" s="94"/>
      <c r="AM373" s="94"/>
      <c r="AN373" s="94"/>
      <c r="AO373" s="94"/>
      <c r="AP373" s="94"/>
      <c r="AQ373" s="94"/>
      <c r="AR373" s="94"/>
      <c r="AS373" s="94"/>
      <c r="AT373" s="94"/>
      <c r="AU373" s="94"/>
      <c r="AV373" s="94"/>
      <c r="AW373" s="94"/>
      <c r="AX373" s="94"/>
      <c r="AY373" s="94"/>
      <c r="AZ373" s="94"/>
      <c r="BA373" s="95"/>
    </row>
    <row r="374" spans="1:53" s="87" customFormat="1">
      <c r="A374" s="90" t="str">
        <f t="shared" si="30"/>
        <v/>
      </c>
      <c r="B374" s="99">
        <v>16</v>
      </c>
      <c r="C374" s="92">
        <v>-7</v>
      </c>
      <c r="D374" s="92" t="s">
        <v>210</v>
      </c>
      <c r="E374" s="92" t="s">
        <v>210</v>
      </c>
      <c r="F374" s="92">
        <v>-3</v>
      </c>
      <c r="G374" s="92">
        <v>-2</v>
      </c>
      <c r="H374" s="92" t="s">
        <v>210</v>
      </c>
      <c r="I374" s="92" t="s">
        <v>210</v>
      </c>
      <c r="J374" s="92">
        <v>6</v>
      </c>
      <c r="K374" s="92">
        <v>1</v>
      </c>
      <c r="L374" s="92" t="s">
        <v>210</v>
      </c>
      <c r="M374" s="92" t="s">
        <v>210</v>
      </c>
      <c r="N374" s="92">
        <v>5</v>
      </c>
      <c r="O374" s="92">
        <v>-8</v>
      </c>
      <c r="P374" s="92" t="s">
        <v>210</v>
      </c>
      <c r="Q374" s="92" t="s">
        <v>210</v>
      </c>
      <c r="R374" s="92">
        <v>4</v>
      </c>
      <c r="S374" s="92">
        <v>-1</v>
      </c>
      <c r="T374" s="92" t="s">
        <v>210</v>
      </c>
      <c r="U374" s="92" t="s">
        <v>210</v>
      </c>
      <c r="V374" s="92">
        <v>7</v>
      </c>
      <c r="W374" s="92">
        <v>-5</v>
      </c>
      <c r="X374" s="92" t="s">
        <v>210</v>
      </c>
      <c r="Y374" s="92" t="s">
        <v>210</v>
      </c>
      <c r="Z374" s="92">
        <v>3</v>
      </c>
      <c r="AA374" s="92">
        <v>2</v>
      </c>
      <c r="AB374" s="92" t="s">
        <v>210</v>
      </c>
      <c r="AC374" s="92" t="s">
        <v>210</v>
      </c>
      <c r="AD374" s="92">
        <v>-6</v>
      </c>
      <c r="AE374" s="92">
        <v>8</v>
      </c>
      <c r="AF374" s="92" t="s">
        <v>210</v>
      </c>
      <c r="AG374" s="94"/>
      <c r="AH374" s="94"/>
      <c r="AI374" s="94"/>
      <c r="AJ374" s="94"/>
      <c r="AK374" s="94"/>
      <c r="AL374" s="94"/>
      <c r="AM374" s="94"/>
      <c r="AN374" s="94"/>
      <c r="AO374" s="94"/>
      <c r="AP374" s="94"/>
      <c r="AQ374" s="94"/>
      <c r="AR374" s="94"/>
      <c r="AS374" s="94"/>
      <c r="AT374" s="94"/>
      <c r="AU374" s="94"/>
      <c r="AV374" s="94"/>
      <c r="AW374" s="94"/>
      <c r="AX374" s="94"/>
      <c r="AY374" s="94"/>
      <c r="AZ374" s="94"/>
      <c r="BA374" s="95"/>
    </row>
    <row r="375" spans="1:53" s="87" customFormat="1">
      <c r="A375" s="90" t="str">
        <f t="shared" si="30"/>
        <v/>
      </c>
      <c r="B375" s="98">
        <v>17</v>
      </c>
      <c r="C375" s="94" t="s">
        <v>210</v>
      </c>
      <c r="D375" s="94">
        <v>-3</v>
      </c>
      <c r="E375" s="94">
        <v>5</v>
      </c>
      <c r="F375" s="94" t="s">
        <v>210</v>
      </c>
      <c r="G375" s="94" t="s">
        <v>210</v>
      </c>
      <c r="H375" s="94" t="s">
        <v>202</v>
      </c>
      <c r="I375" s="94">
        <v>6</v>
      </c>
      <c r="J375" s="94" t="s">
        <v>210</v>
      </c>
      <c r="K375" s="94" t="s">
        <v>210</v>
      </c>
      <c r="L375" s="94">
        <v>7</v>
      </c>
      <c r="M375" s="94">
        <v>-3</v>
      </c>
      <c r="N375" s="94" t="s">
        <v>210</v>
      </c>
      <c r="O375" s="94" t="s">
        <v>210</v>
      </c>
      <c r="P375" s="94">
        <v>2</v>
      </c>
      <c r="Q375" s="94">
        <v>-4</v>
      </c>
      <c r="R375" s="94" t="s">
        <v>210</v>
      </c>
      <c r="S375" s="94" t="s">
        <v>210</v>
      </c>
      <c r="T375" s="94">
        <v>-7</v>
      </c>
      <c r="U375" s="94">
        <v>-6</v>
      </c>
      <c r="V375" s="94" t="s">
        <v>210</v>
      </c>
      <c r="W375" s="94" t="s">
        <v>210</v>
      </c>
      <c r="X375" s="94">
        <v>-2</v>
      </c>
      <c r="Y375" s="94">
        <v>8</v>
      </c>
      <c r="Z375" s="94" t="s">
        <v>210</v>
      </c>
      <c r="AA375" s="94" t="s">
        <v>210</v>
      </c>
      <c r="AB375" s="94">
        <v>-5</v>
      </c>
      <c r="AC375" s="94">
        <v>3</v>
      </c>
      <c r="AD375" s="94" t="s">
        <v>210</v>
      </c>
      <c r="AE375" s="94" t="s">
        <v>210</v>
      </c>
      <c r="AF375" s="94">
        <v>4</v>
      </c>
      <c r="AG375" s="94"/>
      <c r="AH375" s="94"/>
      <c r="AI375" s="94"/>
      <c r="AJ375" s="94"/>
      <c r="AK375" s="94"/>
      <c r="AL375" s="94"/>
      <c r="AM375" s="94"/>
      <c r="AN375" s="94"/>
      <c r="AO375" s="94"/>
      <c r="AP375" s="94"/>
      <c r="AQ375" s="94"/>
      <c r="AR375" s="94"/>
      <c r="AS375" s="94"/>
      <c r="AT375" s="94"/>
      <c r="AU375" s="94"/>
      <c r="AV375" s="94"/>
      <c r="AW375" s="94"/>
      <c r="AX375" s="94"/>
      <c r="AY375" s="94"/>
      <c r="AZ375" s="94"/>
      <c r="BA375" s="95"/>
    </row>
    <row r="376" spans="1:53" s="87" customFormat="1">
      <c r="A376" s="90" t="str">
        <f t="shared" si="30"/>
        <v/>
      </c>
      <c r="B376" s="98">
        <v>18</v>
      </c>
      <c r="C376" s="94" t="s">
        <v>210</v>
      </c>
      <c r="D376" s="94">
        <v>6</v>
      </c>
      <c r="E376" s="94">
        <v>-1</v>
      </c>
      <c r="F376" s="94" t="s">
        <v>210</v>
      </c>
      <c r="G376" s="94" t="s">
        <v>210</v>
      </c>
      <c r="H376" s="94">
        <v>4</v>
      </c>
      <c r="I376" s="94">
        <v>5</v>
      </c>
      <c r="J376" s="94" t="s">
        <v>210</v>
      </c>
      <c r="K376" s="94" t="s">
        <v>210</v>
      </c>
      <c r="L376" s="94">
        <v>-6</v>
      </c>
      <c r="M376" s="94">
        <v>2</v>
      </c>
      <c r="N376" s="94" t="s">
        <v>210</v>
      </c>
      <c r="O376" s="94" t="s">
        <v>210</v>
      </c>
      <c r="P376" s="94">
        <v>3</v>
      </c>
      <c r="Q376" s="94">
        <v>-7</v>
      </c>
      <c r="R376" s="94" t="s">
        <v>210</v>
      </c>
      <c r="S376" s="94" t="s">
        <v>210</v>
      </c>
      <c r="T376" s="94" t="s">
        <v>202</v>
      </c>
      <c r="U376" s="94">
        <v>-5</v>
      </c>
      <c r="V376" s="94" t="s">
        <v>210</v>
      </c>
      <c r="W376" s="94" t="s">
        <v>210</v>
      </c>
      <c r="X376" s="94">
        <v>6</v>
      </c>
      <c r="Y376" s="94">
        <v>-3</v>
      </c>
      <c r="Z376" s="94" t="s">
        <v>210</v>
      </c>
      <c r="AA376" s="94" t="s">
        <v>210</v>
      </c>
      <c r="AB376" s="94">
        <v>8</v>
      </c>
      <c r="AC376" s="94">
        <v>-2</v>
      </c>
      <c r="AD376" s="94" t="s">
        <v>210</v>
      </c>
      <c r="AE376" s="94" t="s">
        <v>210</v>
      </c>
      <c r="AF376" s="94">
        <v>-4</v>
      </c>
      <c r="AG376" s="94"/>
      <c r="AH376" s="94"/>
      <c r="AI376" s="94"/>
      <c r="AJ376" s="94"/>
      <c r="AK376" s="94"/>
      <c r="AL376" s="94"/>
      <c r="AM376" s="94"/>
      <c r="AN376" s="94"/>
      <c r="AO376" s="94"/>
      <c r="AP376" s="94"/>
      <c r="AQ376" s="94"/>
      <c r="AR376" s="94"/>
      <c r="AS376" s="94"/>
      <c r="AT376" s="94"/>
      <c r="AU376" s="94"/>
      <c r="AV376" s="94"/>
      <c r="AW376" s="94"/>
      <c r="AX376" s="94"/>
      <c r="AY376" s="94"/>
      <c r="AZ376" s="94"/>
      <c r="BA376" s="95"/>
    </row>
    <row r="377" spans="1:53" s="87" customFormat="1">
      <c r="A377" s="90" t="str">
        <f t="shared" si="30"/>
        <v/>
      </c>
      <c r="B377" s="98">
        <v>19</v>
      </c>
      <c r="C377" s="94" t="s">
        <v>210</v>
      </c>
      <c r="D377" s="94">
        <v>5</v>
      </c>
      <c r="E377" s="94" t="s">
        <v>202</v>
      </c>
      <c r="F377" s="94" t="s">
        <v>210</v>
      </c>
      <c r="G377" s="94" t="s">
        <v>210</v>
      </c>
      <c r="H377" s="94">
        <v>-2</v>
      </c>
      <c r="I377" s="94">
        <v>-7</v>
      </c>
      <c r="J377" s="94" t="s">
        <v>210</v>
      </c>
      <c r="K377" s="94" t="s">
        <v>210</v>
      </c>
      <c r="L377" s="94">
        <v>3</v>
      </c>
      <c r="M377" s="94">
        <v>1</v>
      </c>
      <c r="N377" s="94" t="s">
        <v>210</v>
      </c>
      <c r="O377" s="94" t="s">
        <v>210</v>
      </c>
      <c r="P377" s="94">
        <v>-4</v>
      </c>
      <c r="Q377" s="94">
        <v>-5</v>
      </c>
      <c r="R377" s="94" t="s">
        <v>210</v>
      </c>
      <c r="S377" s="94" t="s">
        <v>210</v>
      </c>
      <c r="T377" s="94">
        <v>-3</v>
      </c>
      <c r="U377" s="94">
        <v>2</v>
      </c>
      <c r="V377" s="94" t="s">
        <v>210</v>
      </c>
      <c r="W377" s="94" t="s">
        <v>210</v>
      </c>
      <c r="X377" s="94">
        <v>-6</v>
      </c>
      <c r="Y377" s="94">
        <v>-8</v>
      </c>
      <c r="Z377" s="94" t="s">
        <v>210</v>
      </c>
      <c r="AA377" s="94" t="s">
        <v>210</v>
      </c>
      <c r="AB377" s="94">
        <v>4</v>
      </c>
      <c r="AC377" s="94">
        <v>7</v>
      </c>
      <c r="AD377" s="94" t="s">
        <v>210</v>
      </c>
      <c r="AE377" s="94" t="s">
        <v>210</v>
      </c>
      <c r="AF377" s="94">
        <v>5</v>
      </c>
      <c r="AG377" s="94"/>
      <c r="AH377" s="94"/>
      <c r="AI377" s="94"/>
      <c r="AJ377" s="94"/>
      <c r="AK377" s="94"/>
      <c r="AL377" s="94"/>
      <c r="AM377" s="94"/>
      <c r="AN377" s="94"/>
      <c r="AO377" s="94"/>
      <c r="AP377" s="94"/>
      <c r="AQ377" s="94"/>
      <c r="AR377" s="94"/>
      <c r="AS377" s="94"/>
      <c r="AT377" s="94"/>
      <c r="AU377" s="94"/>
      <c r="AV377" s="94"/>
      <c r="AW377" s="94"/>
      <c r="AX377" s="94"/>
      <c r="AY377" s="94"/>
      <c r="AZ377" s="94"/>
      <c r="BA377" s="95"/>
    </row>
    <row r="378" spans="1:53" s="87" customFormat="1">
      <c r="A378" s="90" t="str">
        <f t="shared" si="30"/>
        <v/>
      </c>
      <c r="B378" s="98">
        <v>20</v>
      </c>
      <c r="C378" s="94" t="s">
        <v>210</v>
      </c>
      <c r="D378" s="94" t="s">
        <v>202</v>
      </c>
      <c r="E378" s="94">
        <v>7</v>
      </c>
      <c r="F378" s="94" t="s">
        <v>210</v>
      </c>
      <c r="G378" s="94" t="s">
        <v>210</v>
      </c>
      <c r="H378" s="94">
        <v>6</v>
      </c>
      <c r="I378" s="94">
        <v>4</v>
      </c>
      <c r="J378" s="94" t="s">
        <v>210</v>
      </c>
      <c r="K378" s="94" t="s">
        <v>210</v>
      </c>
      <c r="L378" s="94">
        <v>-2</v>
      </c>
      <c r="M378" s="94">
        <v>7</v>
      </c>
      <c r="N378" s="94" t="s">
        <v>210</v>
      </c>
      <c r="O378" s="94" t="s">
        <v>210</v>
      </c>
      <c r="P378" s="94">
        <v>5</v>
      </c>
      <c r="Q378" s="94">
        <v>-3</v>
      </c>
      <c r="R378" s="94" t="s">
        <v>210</v>
      </c>
      <c r="S378" s="94" t="s">
        <v>210</v>
      </c>
      <c r="T378" s="94">
        <v>-4</v>
      </c>
      <c r="U378" s="94">
        <v>-7</v>
      </c>
      <c r="V378" s="94" t="s">
        <v>210</v>
      </c>
      <c r="W378" s="94" t="s">
        <v>210</v>
      </c>
      <c r="X378" s="94">
        <v>2</v>
      </c>
      <c r="Y378" s="94">
        <v>3</v>
      </c>
      <c r="Z378" s="94" t="s">
        <v>210</v>
      </c>
      <c r="AA378" s="94" t="s">
        <v>210</v>
      </c>
      <c r="AB378" s="94">
        <v>-6</v>
      </c>
      <c r="AC378" s="94">
        <v>-8</v>
      </c>
      <c r="AD378" s="94" t="s">
        <v>210</v>
      </c>
      <c r="AE378" s="94" t="s">
        <v>210</v>
      </c>
      <c r="AF378" s="94">
        <v>-5</v>
      </c>
      <c r="AG378" s="94"/>
      <c r="AH378" s="94"/>
      <c r="AI378" s="94"/>
      <c r="AJ378" s="94"/>
      <c r="AK378" s="94"/>
      <c r="AL378" s="94"/>
      <c r="AM378" s="94"/>
      <c r="AN378" s="94"/>
      <c r="AO378" s="94"/>
      <c r="AP378" s="94"/>
      <c r="AQ378" s="94"/>
      <c r="AR378" s="94"/>
      <c r="AS378" s="94"/>
      <c r="AT378" s="94"/>
      <c r="AU378" s="94"/>
      <c r="AV378" s="94"/>
      <c r="AW378" s="94"/>
      <c r="AX378" s="94"/>
      <c r="AY378" s="94"/>
      <c r="AZ378" s="94"/>
      <c r="BA378" s="95"/>
    </row>
    <row r="379" spans="1:53" s="87" customFormat="1">
      <c r="A379" s="90" t="str">
        <f t="shared" si="30"/>
        <v/>
      </c>
      <c r="B379" s="98">
        <v>21</v>
      </c>
      <c r="C379" s="94" t="s">
        <v>210</v>
      </c>
      <c r="D379" s="94">
        <v>3</v>
      </c>
      <c r="E379" s="94">
        <v>-7</v>
      </c>
      <c r="F379" s="94" t="s">
        <v>210</v>
      </c>
      <c r="G379" s="94" t="s">
        <v>210</v>
      </c>
      <c r="H379" s="94">
        <v>-4</v>
      </c>
      <c r="I379" s="94">
        <v>-1</v>
      </c>
      <c r="J379" s="94" t="s">
        <v>210</v>
      </c>
      <c r="K379" s="94" t="s">
        <v>210</v>
      </c>
      <c r="L379" s="94">
        <v>-3</v>
      </c>
      <c r="M379" s="94">
        <v>-5</v>
      </c>
      <c r="N379" s="94" t="s">
        <v>210</v>
      </c>
      <c r="O379" s="94" t="s">
        <v>210</v>
      </c>
      <c r="P379" s="94">
        <v>6</v>
      </c>
      <c r="Q379" s="94">
        <v>-2</v>
      </c>
      <c r="R379" s="94" t="s">
        <v>210</v>
      </c>
      <c r="S379" s="94" t="s">
        <v>210</v>
      </c>
      <c r="T379" s="94">
        <v>8</v>
      </c>
      <c r="U379" s="94" t="s">
        <v>202</v>
      </c>
      <c r="V379" s="94" t="s">
        <v>210</v>
      </c>
      <c r="W379" s="94" t="s">
        <v>210</v>
      </c>
      <c r="X379" s="94">
        <v>5</v>
      </c>
      <c r="Y379" s="94">
        <v>-6</v>
      </c>
      <c r="Z379" s="94" t="s">
        <v>210</v>
      </c>
      <c r="AA379" s="94" t="s">
        <v>210</v>
      </c>
      <c r="AB379" s="94">
        <v>7</v>
      </c>
      <c r="AC379" s="94">
        <v>4</v>
      </c>
      <c r="AD379" s="94" t="s">
        <v>210</v>
      </c>
      <c r="AE379" s="94" t="s">
        <v>210</v>
      </c>
      <c r="AF379" s="94">
        <v>3</v>
      </c>
      <c r="AG379" s="94"/>
      <c r="AH379" s="94"/>
      <c r="AI379" s="94"/>
      <c r="AJ379" s="94"/>
      <c r="AK379" s="94"/>
      <c r="AL379" s="94"/>
      <c r="AM379" s="94"/>
      <c r="AN379" s="94"/>
      <c r="AO379" s="94"/>
      <c r="AP379" s="94"/>
      <c r="AQ379" s="94"/>
      <c r="AR379" s="94"/>
      <c r="AS379" s="94"/>
      <c r="AT379" s="94"/>
      <c r="AU379" s="94"/>
      <c r="AV379" s="94"/>
      <c r="AW379" s="94"/>
      <c r="AX379" s="94"/>
      <c r="AY379" s="94"/>
      <c r="AZ379" s="94"/>
      <c r="BA379" s="95"/>
    </row>
    <row r="380" spans="1:53" s="87" customFormat="1">
      <c r="A380" s="90" t="str">
        <f t="shared" si="30"/>
        <v/>
      </c>
      <c r="B380" s="98">
        <v>22</v>
      </c>
      <c r="C380" s="94" t="s">
        <v>210</v>
      </c>
      <c r="D380" s="94">
        <v>4</v>
      </c>
      <c r="E380" s="94">
        <v>3</v>
      </c>
      <c r="F380" s="94" t="s">
        <v>210</v>
      </c>
      <c r="G380" s="94" t="s">
        <v>210</v>
      </c>
      <c r="H380" s="94">
        <v>-7</v>
      </c>
      <c r="I380" s="94">
        <v>2</v>
      </c>
      <c r="J380" s="94" t="s">
        <v>210</v>
      </c>
      <c r="K380" s="94" t="s">
        <v>210</v>
      </c>
      <c r="L380" s="94">
        <v>6</v>
      </c>
      <c r="M380" s="94">
        <v>-1</v>
      </c>
      <c r="N380" s="94" t="s">
        <v>210</v>
      </c>
      <c r="O380" s="94" t="s">
        <v>210</v>
      </c>
      <c r="P380" s="94">
        <v>-5</v>
      </c>
      <c r="Q380" s="94" t="s">
        <v>202</v>
      </c>
      <c r="R380" s="94" t="s">
        <v>210</v>
      </c>
      <c r="S380" s="94" t="s">
        <v>210</v>
      </c>
      <c r="T380" s="94">
        <v>7</v>
      </c>
      <c r="U380" s="94">
        <v>-4</v>
      </c>
      <c r="V380" s="94" t="s">
        <v>210</v>
      </c>
      <c r="W380" s="94" t="s">
        <v>210</v>
      </c>
      <c r="X380" s="94">
        <v>8</v>
      </c>
      <c r="Y380" s="94">
        <v>5</v>
      </c>
      <c r="Z380" s="94" t="s">
        <v>210</v>
      </c>
      <c r="AA380" s="94" t="s">
        <v>210</v>
      </c>
      <c r="AB380" s="94">
        <v>-2</v>
      </c>
      <c r="AC380" s="94">
        <v>-6</v>
      </c>
      <c r="AD380" s="94" t="s">
        <v>210</v>
      </c>
      <c r="AE380" s="94" t="s">
        <v>210</v>
      </c>
      <c r="AF380" s="94">
        <v>-3</v>
      </c>
      <c r="AG380" s="94"/>
      <c r="AH380" s="94"/>
      <c r="AI380" s="94"/>
      <c r="AJ380" s="94"/>
      <c r="AK380" s="94"/>
      <c r="AL380" s="94"/>
      <c r="AM380" s="94"/>
      <c r="AN380" s="94"/>
      <c r="AO380" s="94"/>
      <c r="AP380" s="94"/>
      <c r="AQ380" s="94"/>
      <c r="AR380" s="94"/>
      <c r="AS380" s="94"/>
      <c r="AT380" s="94"/>
      <c r="AU380" s="94"/>
      <c r="AV380" s="94"/>
      <c r="AW380" s="94"/>
      <c r="AX380" s="94"/>
      <c r="AY380" s="94"/>
      <c r="AZ380" s="94"/>
      <c r="BA380" s="95"/>
    </row>
    <row r="381" spans="1:53" s="87" customFormat="1">
      <c r="A381" s="90" t="str">
        <f t="shared" si="30"/>
        <v/>
      </c>
      <c r="B381" s="98">
        <v>23</v>
      </c>
      <c r="C381" s="94" t="s">
        <v>210</v>
      </c>
      <c r="D381" s="94">
        <v>-4</v>
      </c>
      <c r="E381" s="94">
        <v>-2</v>
      </c>
      <c r="F381" s="94" t="s">
        <v>210</v>
      </c>
      <c r="G381" s="94" t="s">
        <v>210</v>
      </c>
      <c r="H381" s="94">
        <v>-5</v>
      </c>
      <c r="I381" s="94">
        <v>1</v>
      </c>
      <c r="J381" s="94" t="s">
        <v>210</v>
      </c>
      <c r="K381" s="94" t="s">
        <v>210</v>
      </c>
      <c r="L381" s="94">
        <v>-4</v>
      </c>
      <c r="M381" s="94">
        <v>-7</v>
      </c>
      <c r="N381" s="94" t="s">
        <v>210</v>
      </c>
      <c r="O381" s="94" t="s">
        <v>210</v>
      </c>
      <c r="P381" s="94" t="s">
        <v>202</v>
      </c>
      <c r="Q381" s="94">
        <v>-6</v>
      </c>
      <c r="R381" s="94" t="s">
        <v>210</v>
      </c>
      <c r="S381" s="94" t="s">
        <v>210</v>
      </c>
      <c r="T381" s="94">
        <v>3</v>
      </c>
      <c r="U381" s="94">
        <v>-8</v>
      </c>
      <c r="V381" s="94" t="s">
        <v>210</v>
      </c>
      <c r="W381" s="94" t="s">
        <v>210</v>
      </c>
      <c r="X381" s="94">
        <v>4</v>
      </c>
      <c r="Y381" s="94">
        <v>7</v>
      </c>
      <c r="Z381" s="94" t="s">
        <v>210</v>
      </c>
      <c r="AA381" s="94" t="s">
        <v>210</v>
      </c>
      <c r="AB381" s="94">
        <v>5</v>
      </c>
      <c r="AC381" s="94">
        <v>2</v>
      </c>
      <c r="AD381" s="94" t="s">
        <v>210</v>
      </c>
      <c r="AE381" s="94" t="s">
        <v>210</v>
      </c>
      <c r="AF381" s="94">
        <v>6</v>
      </c>
      <c r="AG381" s="94"/>
      <c r="AH381" s="94"/>
      <c r="AI381" s="94"/>
      <c r="AJ381" s="94"/>
      <c r="AK381" s="94"/>
      <c r="AL381" s="94"/>
      <c r="AM381" s="94"/>
      <c r="AN381" s="94"/>
      <c r="AO381" s="94"/>
      <c r="AP381" s="94"/>
      <c r="AQ381" s="94"/>
      <c r="AR381" s="94"/>
      <c r="AS381" s="94"/>
      <c r="AT381" s="94"/>
      <c r="AU381" s="94"/>
      <c r="AV381" s="94"/>
      <c r="AW381" s="94"/>
      <c r="AX381" s="94"/>
      <c r="AY381" s="94"/>
      <c r="AZ381" s="94"/>
      <c r="BA381" s="95"/>
    </row>
    <row r="382" spans="1:53" s="87" customFormat="1">
      <c r="A382" s="90" t="str">
        <f t="shared" si="30"/>
        <v/>
      </c>
      <c r="B382" s="98">
        <v>24</v>
      </c>
      <c r="C382" s="94" t="s">
        <v>210</v>
      </c>
      <c r="D382" s="94">
        <v>-1</v>
      </c>
      <c r="E382" s="94">
        <v>6</v>
      </c>
      <c r="F382" s="94" t="s">
        <v>210</v>
      </c>
      <c r="G382" s="94" t="s">
        <v>210</v>
      </c>
      <c r="H382" s="94">
        <v>3</v>
      </c>
      <c r="I382" s="94">
        <v>-2</v>
      </c>
      <c r="J382" s="94" t="s">
        <v>210</v>
      </c>
      <c r="K382" s="94" t="s">
        <v>210</v>
      </c>
      <c r="L382" s="94">
        <v>5</v>
      </c>
      <c r="M382" s="94" t="s">
        <v>202</v>
      </c>
      <c r="N382" s="94" t="s">
        <v>210</v>
      </c>
      <c r="O382" s="94" t="s">
        <v>210</v>
      </c>
      <c r="P382" s="94">
        <v>4</v>
      </c>
      <c r="Q382" s="94">
        <v>1</v>
      </c>
      <c r="R382" s="94" t="s">
        <v>210</v>
      </c>
      <c r="S382" s="94" t="s">
        <v>210</v>
      </c>
      <c r="T382" s="94">
        <v>2</v>
      </c>
      <c r="U382" s="94">
        <v>7</v>
      </c>
      <c r="V382" s="94" t="s">
        <v>210</v>
      </c>
      <c r="W382" s="94" t="s">
        <v>210</v>
      </c>
      <c r="X382" s="94">
        <v>-5</v>
      </c>
      <c r="Y382" s="94">
        <v>-4</v>
      </c>
      <c r="Z382" s="94" t="s">
        <v>210</v>
      </c>
      <c r="AA382" s="94" t="s">
        <v>210</v>
      </c>
      <c r="AB382" s="94">
        <v>-8</v>
      </c>
      <c r="AC382" s="94">
        <v>-3</v>
      </c>
      <c r="AD382" s="94" t="s">
        <v>210</v>
      </c>
      <c r="AE382" s="94" t="s">
        <v>210</v>
      </c>
      <c r="AF382" s="94">
        <v>-6</v>
      </c>
      <c r="AG382" s="94"/>
      <c r="AH382" s="94"/>
      <c r="AI382" s="94"/>
      <c r="AJ382" s="94"/>
      <c r="AK382" s="94"/>
      <c r="AL382" s="94"/>
      <c r="AM382" s="94"/>
      <c r="AN382" s="94"/>
      <c r="AO382" s="94"/>
      <c r="AP382" s="94"/>
      <c r="AQ382" s="94"/>
      <c r="AR382" s="94"/>
      <c r="AS382" s="94"/>
      <c r="AT382" s="94"/>
      <c r="AU382" s="94"/>
      <c r="AV382" s="94"/>
      <c r="AW382" s="94"/>
      <c r="AX382" s="94"/>
      <c r="AY382" s="94"/>
      <c r="AZ382" s="94"/>
      <c r="BA382" s="95"/>
    </row>
    <row r="383" spans="1:53" s="87" customFormat="1">
      <c r="A383" s="90" t="str">
        <f t="shared" si="30"/>
        <v/>
      </c>
      <c r="B383" s="98">
        <v>25</v>
      </c>
      <c r="C383" s="94" t="s">
        <v>210</v>
      </c>
      <c r="D383" s="94">
        <v>-2</v>
      </c>
      <c r="E383" s="94">
        <v>-4</v>
      </c>
      <c r="F383" s="94" t="s">
        <v>210</v>
      </c>
      <c r="G383" s="94" t="s">
        <v>210</v>
      </c>
      <c r="H383" s="94">
        <v>5</v>
      </c>
      <c r="I383" s="94" t="s">
        <v>202</v>
      </c>
      <c r="J383" s="94" t="s">
        <v>210</v>
      </c>
      <c r="K383" s="94" t="s">
        <v>210</v>
      </c>
      <c r="L383" s="94">
        <v>1</v>
      </c>
      <c r="M383" s="94">
        <v>3</v>
      </c>
      <c r="N383" s="94" t="s">
        <v>210</v>
      </c>
      <c r="O383" s="94" t="s">
        <v>210</v>
      </c>
      <c r="P383" s="94">
        <v>-6</v>
      </c>
      <c r="Q383" s="94">
        <v>7</v>
      </c>
      <c r="R383" s="94" t="s">
        <v>210</v>
      </c>
      <c r="S383" s="94" t="s">
        <v>210</v>
      </c>
      <c r="T383" s="94">
        <v>-5</v>
      </c>
      <c r="U383" s="94">
        <v>-3</v>
      </c>
      <c r="V383" s="94" t="s">
        <v>210</v>
      </c>
      <c r="W383" s="94" t="s">
        <v>210</v>
      </c>
      <c r="X383" s="94">
        <v>-8</v>
      </c>
      <c r="Y383" s="94">
        <v>4</v>
      </c>
      <c r="Z383" s="94" t="s">
        <v>210</v>
      </c>
      <c r="AA383" s="94" t="s">
        <v>210</v>
      </c>
      <c r="AB383" s="94">
        <v>6</v>
      </c>
      <c r="AC383" s="94">
        <v>-7</v>
      </c>
      <c r="AD383" s="94" t="s">
        <v>210</v>
      </c>
      <c r="AE383" s="94" t="s">
        <v>210</v>
      </c>
      <c r="AF383" s="94">
        <v>2</v>
      </c>
      <c r="AG383" s="94"/>
      <c r="AH383" s="94"/>
      <c r="AI383" s="94"/>
      <c r="AJ383" s="94"/>
      <c r="AK383" s="94"/>
      <c r="AL383" s="94"/>
      <c r="AM383" s="94"/>
      <c r="AN383" s="94"/>
      <c r="AO383" s="94"/>
      <c r="AP383" s="94"/>
      <c r="AQ383" s="94"/>
      <c r="AR383" s="94"/>
      <c r="AS383" s="94"/>
      <c r="AT383" s="94"/>
      <c r="AU383" s="94"/>
      <c r="AV383" s="94"/>
      <c r="AW383" s="94"/>
      <c r="AX383" s="94"/>
      <c r="AY383" s="94"/>
      <c r="AZ383" s="94"/>
      <c r="BA383" s="95"/>
    </row>
    <row r="384" spans="1:53" s="87" customFormat="1">
      <c r="A384" s="90" t="str">
        <f t="shared" si="30"/>
        <v/>
      </c>
      <c r="B384" s="98">
        <v>26</v>
      </c>
      <c r="C384" s="94" t="s">
        <v>210</v>
      </c>
      <c r="D384" s="94">
        <v>1</v>
      </c>
      <c r="E384" s="94">
        <v>-5</v>
      </c>
      <c r="F384" s="94" t="s">
        <v>210</v>
      </c>
      <c r="G384" s="94" t="s">
        <v>210</v>
      </c>
      <c r="H384" s="94">
        <v>7</v>
      </c>
      <c r="I384" s="94">
        <v>3</v>
      </c>
      <c r="J384" s="94" t="s">
        <v>210</v>
      </c>
      <c r="K384" s="94" t="s">
        <v>210</v>
      </c>
      <c r="L384" s="94" t="s">
        <v>202</v>
      </c>
      <c r="M384" s="94">
        <v>4</v>
      </c>
      <c r="N384" s="94" t="s">
        <v>210</v>
      </c>
      <c r="O384" s="94" t="s">
        <v>210</v>
      </c>
      <c r="P384" s="94">
        <v>-8</v>
      </c>
      <c r="Q384" s="94">
        <v>2</v>
      </c>
      <c r="R384" s="94" t="s">
        <v>210</v>
      </c>
      <c r="S384" s="94" t="s">
        <v>210</v>
      </c>
      <c r="T384" s="94">
        <v>-6</v>
      </c>
      <c r="U384" s="94">
        <v>5</v>
      </c>
      <c r="V384" s="94" t="s">
        <v>210</v>
      </c>
      <c r="W384" s="94" t="s">
        <v>210</v>
      </c>
      <c r="X384" s="94">
        <v>-3</v>
      </c>
      <c r="Y384" s="94">
        <v>-7</v>
      </c>
      <c r="Z384" s="94" t="s">
        <v>210</v>
      </c>
      <c r="AA384" s="94" t="s">
        <v>210</v>
      </c>
      <c r="AB384" s="94">
        <v>-4</v>
      </c>
      <c r="AC384" s="94">
        <v>8</v>
      </c>
      <c r="AD384" s="94" t="s">
        <v>210</v>
      </c>
      <c r="AE384" s="94" t="s">
        <v>210</v>
      </c>
      <c r="AF384" s="94">
        <v>-2</v>
      </c>
      <c r="AG384" s="94"/>
      <c r="AH384" s="94"/>
      <c r="AI384" s="94"/>
      <c r="AJ384" s="94"/>
      <c r="AK384" s="94"/>
      <c r="AL384" s="94"/>
      <c r="AM384" s="94"/>
      <c r="AN384" s="94"/>
      <c r="AO384" s="94"/>
      <c r="AP384" s="94"/>
      <c r="AQ384" s="94"/>
      <c r="AR384" s="94"/>
      <c r="AS384" s="94"/>
      <c r="AT384" s="94"/>
      <c r="AU384" s="94"/>
      <c r="AV384" s="94"/>
      <c r="AW384" s="94"/>
      <c r="AX384" s="94"/>
      <c r="AY384" s="94"/>
      <c r="AZ384" s="94"/>
      <c r="BA384" s="95"/>
    </row>
    <row r="385" spans="1:53" s="87" customFormat="1">
      <c r="A385" s="90" t="str">
        <f t="shared" si="30"/>
        <v/>
      </c>
      <c r="B385" s="98">
        <v>27</v>
      </c>
      <c r="C385" s="94" t="s">
        <v>210</v>
      </c>
      <c r="D385" s="94">
        <v>-7</v>
      </c>
      <c r="E385" s="94">
        <v>4</v>
      </c>
      <c r="F385" s="94" t="s">
        <v>210</v>
      </c>
      <c r="G385" s="94" t="s">
        <v>210</v>
      </c>
      <c r="H385" s="94">
        <v>8</v>
      </c>
      <c r="I385" s="94">
        <v>-6</v>
      </c>
      <c r="J385" s="94" t="s">
        <v>210</v>
      </c>
      <c r="K385" s="94" t="s">
        <v>210</v>
      </c>
      <c r="L385" s="94">
        <v>2</v>
      </c>
      <c r="M385" s="94">
        <v>5</v>
      </c>
      <c r="N385" s="94" t="s">
        <v>210</v>
      </c>
      <c r="O385" s="94" t="s">
        <v>210</v>
      </c>
      <c r="P385" s="94">
        <v>-3</v>
      </c>
      <c r="Q385" s="94">
        <v>-1</v>
      </c>
      <c r="R385" s="94" t="s">
        <v>210</v>
      </c>
      <c r="S385" s="94" t="s">
        <v>210</v>
      </c>
      <c r="T385" s="94">
        <v>6</v>
      </c>
      <c r="U385" s="94">
        <v>-2</v>
      </c>
      <c r="V385" s="94" t="s">
        <v>210</v>
      </c>
      <c r="W385" s="94" t="s">
        <v>210</v>
      </c>
      <c r="X385" s="94">
        <v>-4</v>
      </c>
      <c r="Y385" s="94">
        <v>-5</v>
      </c>
      <c r="Z385" s="94" t="s">
        <v>210</v>
      </c>
      <c r="AA385" s="94" t="s">
        <v>210</v>
      </c>
      <c r="AB385" s="94">
        <v>3</v>
      </c>
      <c r="AC385" s="94" t="s">
        <v>202</v>
      </c>
      <c r="AD385" s="94" t="s">
        <v>210</v>
      </c>
      <c r="AE385" s="94" t="s">
        <v>210</v>
      </c>
      <c r="AF385" s="94">
        <v>7</v>
      </c>
      <c r="AG385" s="94"/>
      <c r="AH385" s="94"/>
      <c r="AI385" s="94"/>
      <c r="AJ385" s="94"/>
      <c r="AK385" s="94"/>
      <c r="AL385" s="94"/>
      <c r="AM385" s="94"/>
      <c r="AN385" s="94"/>
      <c r="AO385" s="94"/>
      <c r="AP385" s="94"/>
      <c r="AQ385" s="94"/>
      <c r="AR385" s="94"/>
      <c r="AS385" s="94"/>
      <c r="AT385" s="94"/>
      <c r="AU385" s="94"/>
      <c r="AV385" s="94"/>
      <c r="AW385" s="94"/>
      <c r="AX385" s="94"/>
      <c r="AY385" s="94"/>
      <c r="AZ385" s="94"/>
      <c r="BA385" s="95"/>
    </row>
    <row r="386" spans="1:53" s="87" customFormat="1">
      <c r="A386" s="90" t="str">
        <f t="shared" si="30"/>
        <v/>
      </c>
      <c r="B386" s="98">
        <v>28</v>
      </c>
      <c r="C386" s="94" t="s">
        <v>210</v>
      </c>
      <c r="D386" s="94">
        <v>-6</v>
      </c>
      <c r="E386" s="94">
        <v>-3</v>
      </c>
      <c r="F386" s="94" t="s">
        <v>210</v>
      </c>
      <c r="G386" s="94" t="s">
        <v>210</v>
      </c>
      <c r="H386" s="94">
        <v>2</v>
      </c>
      <c r="I386" s="94">
        <v>-4</v>
      </c>
      <c r="J386" s="94" t="s">
        <v>210</v>
      </c>
      <c r="K386" s="94" t="s">
        <v>210</v>
      </c>
      <c r="L386" s="94">
        <v>-1</v>
      </c>
      <c r="M386" s="94">
        <v>6</v>
      </c>
      <c r="N386" s="94" t="s">
        <v>210</v>
      </c>
      <c r="O386" s="94" t="s">
        <v>210</v>
      </c>
      <c r="P386" s="94">
        <v>7</v>
      </c>
      <c r="Q386" s="94">
        <v>4</v>
      </c>
      <c r="R386" s="94" t="s">
        <v>210</v>
      </c>
      <c r="S386" s="94" t="s">
        <v>210</v>
      </c>
      <c r="T386" s="94">
        <v>-2</v>
      </c>
      <c r="U386" s="94">
        <v>8</v>
      </c>
      <c r="V386" s="94" t="s">
        <v>210</v>
      </c>
      <c r="W386" s="94" t="s">
        <v>210</v>
      </c>
      <c r="X386" s="94">
        <v>3</v>
      </c>
      <c r="Y386" s="94">
        <v>6</v>
      </c>
      <c r="Z386" s="94" t="s">
        <v>210</v>
      </c>
      <c r="AA386" s="94" t="s">
        <v>210</v>
      </c>
      <c r="AB386" s="94" t="s">
        <v>202</v>
      </c>
      <c r="AC386" s="94">
        <v>-5</v>
      </c>
      <c r="AD386" s="94" t="s">
        <v>210</v>
      </c>
      <c r="AE386" s="94" t="s">
        <v>210</v>
      </c>
      <c r="AF386" s="94">
        <v>-7</v>
      </c>
      <c r="AG386" s="94"/>
      <c r="AH386" s="94"/>
      <c r="AI386" s="94"/>
      <c r="AJ386" s="94"/>
      <c r="AK386" s="94"/>
      <c r="AL386" s="94"/>
      <c r="AM386" s="94"/>
      <c r="AN386" s="94"/>
      <c r="AO386" s="94"/>
      <c r="AP386" s="94"/>
      <c r="AQ386" s="94"/>
      <c r="AR386" s="94"/>
      <c r="AS386" s="94"/>
      <c r="AT386" s="94"/>
      <c r="AU386" s="94"/>
      <c r="AV386" s="94"/>
      <c r="AW386" s="94"/>
      <c r="AX386" s="94"/>
      <c r="AY386" s="94"/>
      <c r="AZ386" s="94"/>
      <c r="BA386" s="95"/>
    </row>
    <row r="387" spans="1:53" s="87" customFormat="1">
      <c r="A387" s="90" t="str">
        <f t="shared" si="30"/>
        <v/>
      </c>
      <c r="B387" s="98">
        <v>29</v>
      </c>
      <c r="C387" s="94" t="s">
        <v>210</v>
      </c>
      <c r="D387" s="94">
        <v>-5</v>
      </c>
      <c r="E387" s="94">
        <v>-6</v>
      </c>
      <c r="F387" s="94" t="s">
        <v>210</v>
      </c>
      <c r="G387" s="94" t="s">
        <v>210</v>
      </c>
      <c r="H387" s="94">
        <v>-8</v>
      </c>
      <c r="I387" s="94">
        <v>-3</v>
      </c>
      <c r="J387" s="94" t="s">
        <v>210</v>
      </c>
      <c r="K387" s="94" t="s">
        <v>210</v>
      </c>
      <c r="L387" s="94">
        <v>4</v>
      </c>
      <c r="M387" s="94">
        <v>-2</v>
      </c>
      <c r="N387" s="94" t="s">
        <v>210</v>
      </c>
      <c r="O387" s="94" t="s">
        <v>210</v>
      </c>
      <c r="P387" s="94">
        <v>-7</v>
      </c>
      <c r="Q387" s="94">
        <v>3</v>
      </c>
      <c r="R387" s="94" t="s">
        <v>210</v>
      </c>
      <c r="S387" s="94" t="s">
        <v>210</v>
      </c>
      <c r="T387" s="94">
        <v>5</v>
      </c>
      <c r="U387" s="94">
        <v>6</v>
      </c>
      <c r="V387" s="94" t="s">
        <v>210</v>
      </c>
      <c r="W387" s="94" t="s">
        <v>210</v>
      </c>
      <c r="X387" s="94">
        <v>7</v>
      </c>
      <c r="Y387" s="94" t="s">
        <v>202</v>
      </c>
      <c r="Z387" s="94" t="s">
        <v>210</v>
      </c>
      <c r="AA387" s="94" t="s">
        <v>210</v>
      </c>
      <c r="AB387" s="94">
        <v>2</v>
      </c>
      <c r="AC387" s="94">
        <v>-4</v>
      </c>
      <c r="AD387" s="94" t="s">
        <v>210</v>
      </c>
      <c r="AE387" s="94" t="s">
        <v>210</v>
      </c>
      <c r="AF387" s="94">
        <v>1</v>
      </c>
      <c r="AG387" s="94"/>
      <c r="AH387" s="94"/>
      <c r="AI387" s="94"/>
      <c r="AJ387" s="94"/>
      <c r="AK387" s="94"/>
      <c r="AL387" s="94"/>
      <c r="AM387" s="94"/>
      <c r="AN387" s="94"/>
      <c r="AO387" s="94"/>
      <c r="AP387" s="94"/>
      <c r="AQ387" s="94"/>
      <c r="AR387" s="94"/>
      <c r="AS387" s="94"/>
      <c r="AT387" s="94"/>
      <c r="AU387" s="94"/>
      <c r="AV387" s="94"/>
      <c r="AW387" s="94"/>
      <c r="AX387" s="94"/>
      <c r="AY387" s="94"/>
      <c r="AZ387" s="94"/>
      <c r="BA387" s="95"/>
    </row>
    <row r="388" spans="1:53" s="87" customFormat="1">
      <c r="A388" s="90" t="str">
        <f t="shared" si="30"/>
        <v/>
      </c>
      <c r="B388" s="98">
        <v>30</v>
      </c>
      <c r="C388" s="94" t="s">
        <v>210</v>
      </c>
      <c r="D388" s="94">
        <v>7</v>
      </c>
      <c r="E388" s="94">
        <v>2</v>
      </c>
      <c r="F388" s="94" t="s">
        <v>210</v>
      </c>
      <c r="G388" s="94" t="s">
        <v>210</v>
      </c>
      <c r="H388" s="94">
        <v>-3</v>
      </c>
      <c r="I388" s="94">
        <v>-5</v>
      </c>
      <c r="J388" s="94" t="s">
        <v>210</v>
      </c>
      <c r="K388" s="94" t="s">
        <v>210</v>
      </c>
      <c r="L388" s="94">
        <v>-7</v>
      </c>
      <c r="M388" s="94">
        <v>-6</v>
      </c>
      <c r="N388" s="94" t="s">
        <v>210</v>
      </c>
      <c r="O388" s="94" t="s">
        <v>210</v>
      </c>
      <c r="P388" s="94">
        <v>8</v>
      </c>
      <c r="Q388" s="94">
        <v>5</v>
      </c>
      <c r="R388" s="94" t="s">
        <v>210</v>
      </c>
      <c r="S388" s="94" t="s">
        <v>210</v>
      </c>
      <c r="T388" s="94">
        <v>4</v>
      </c>
      <c r="U388" s="94">
        <v>3</v>
      </c>
      <c r="V388" s="94" t="s">
        <v>210</v>
      </c>
      <c r="W388" s="94" t="s">
        <v>210</v>
      </c>
      <c r="X388" s="94" t="s">
        <v>202</v>
      </c>
      <c r="Y388" s="94">
        <v>-2</v>
      </c>
      <c r="Z388" s="94" t="s">
        <v>210</v>
      </c>
      <c r="AA388" s="94" t="s">
        <v>210</v>
      </c>
      <c r="AB388" s="94">
        <v>-7</v>
      </c>
      <c r="AC388" s="94">
        <v>6</v>
      </c>
      <c r="AD388" s="94" t="s">
        <v>210</v>
      </c>
      <c r="AE388" s="94" t="s">
        <v>210</v>
      </c>
      <c r="AF388" s="94">
        <v>-1</v>
      </c>
      <c r="AG388" s="94"/>
      <c r="AH388" s="94"/>
      <c r="AI388" s="94"/>
      <c r="AJ388" s="94"/>
      <c r="AK388" s="94"/>
      <c r="AL388" s="94"/>
      <c r="AM388" s="94"/>
      <c r="AN388" s="94"/>
      <c r="AO388" s="94"/>
      <c r="AP388" s="94"/>
      <c r="AQ388" s="94"/>
      <c r="AR388" s="94"/>
      <c r="AS388" s="94"/>
      <c r="AT388" s="94"/>
      <c r="AU388" s="94"/>
      <c r="AV388" s="94"/>
      <c r="AW388" s="94"/>
      <c r="AX388" s="94"/>
      <c r="AY388" s="94"/>
      <c r="AZ388" s="94"/>
      <c r="BA388" s="95"/>
    </row>
    <row r="389" spans="1:53" s="87" customFormat="1">
      <c r="A389" s="90" t="str">
        <f t="shared" si="30"/>
        <v/>
      </c>
      <c r="B389" s="98">
        <v>31</v>
      </c>
      <c r="C389" s="94" t="s">
        <v>210</v>
      </c>
      <c r="D389" s="94">
        <v>2</v>
      </c>
      <c r="E389" s="94">
        <v>1</v>
      </c>
      <c r="F389" s="94" t="s">
        <v>210</v>
      </c>
      <c r="G389" s="94" t="s">
        <v>210</v>
      </c>
      <c r="H389" s="94">
        <v>-6</v>
      </c>
      <c r="I389" s="94">
        <v>7</v>
      </c>
      <c r="J389" s="94" t="s">
        <v>210</v>
      </c>
      <c r="K389" s="94" t="s">
        <v>210</v>
      </c>
      <c r="L389" s="94">
        <v>-5</v>
      </c>
      <c r="M389" s="94">
        <v>-4</v>
      </c>
      <c r="N389" s="94" t="s">
        <v>210</v>
      </c>
      <c r="O389" s="94" t="s">
        <v>210</v>
      </c>
      <c r="P389" s="94">
        <v>-2</v>
      </c>
      <c r="Q389" s="94">
        <v>6</v>
      </c>
      <c r="R389" s="94" t="s">
        <v>210</v>
      </c>
      <c r="S389" s="94" t="s">
        <v>210</v>
      </c>
      <c r="T389" s="94">
        <v>-8</v>
      </c>
      <c r="U389" s="94">
        <v>4</v>
      </c>
      <c r="V389" s="94" t="s">
        <v>210</v>
      </c>
      <c r="W389" s="94" t="s">
        <v>210</v>
      </c>
      <c r="X389" s="94">
        <v>-7</v>
      </c>
      <c r="Y389" s="94">
        <v>2</v>
      </c>
      <c r="Z389" s="94" t="s">
        <v>210</v>
      </c>
      <c r="AA389" s="94" t="s">
        <v>210</v>
      </c>
      <c r="AB389" s="94">
        <v>-3</v>
      </c>
      <c r="AC389" s="94">
        <v>5</v>
      </c>
      <c r="AD389" s="94" t="s">
        <v>210</v>
      </c>
      <c r="AE389" s="94" t="s">
        <v>210</v>
      </c>
      <c r="AF389" s="94" t="s">
        <v>202</v>
      </c>
      <c r="AG389" s="94"/>
      <c r="AH389" s="94"/>
      <c r="AI389" s="94"/>
      <c r="AJ389" s="94"/>
      <c r="AK389" s="94"/>
      <c r="AL389" s="94"/>
      <c r="AM389" s="94"/>
      <c r="AN389" s="94"/>
      <c r="AO389" s="94"/>
      <c r="AP389" s="94"/>
      <c r="AQ389" s="94"/>
      <c r="AR389" s="94"/>
      <c r="AS389" s="94"/>
      <c r="AT389" s="94"/>
      <c r="AU389" s="94"/>
      <c r="AV389" s="94"/>
      <c r="AW389" s="94"/>
      <c r="AX389" s="94"/>
      <c r="AY389" s="94"/>
      <c r="AZ389" s="94"/>
      <c r="BA389" s="95"/>
    </row>
    <row r="390" spans="1:53" s="87" customFormat="1">
      <c r="A390" s="90" t="str">
        <f t="shared" si="30"/>
        <v/>
      </c>
      <c r="B390" s="98" t="s">
        <v>467</v>
      </c>
      <c r="C390" s="94"/>
      <c r="D390" s="94"/>
      <c r="E390" s="94"/>
      <c r="F390" s="94"/>
      <c r="G390" s="94"/>
      <c r="H390" s="94"/>
      <c r="I390" s="94"/>
      <c r="J390" s="94"/>
      <c r="K390" s="94"/>
      <c r="L390" s="94"/>
      <c r="M390" s="94"/>
      <c r="N390" s="94"/>
      <c r="O390" s="94"/>
      <c r="P390" s="94"/>
      <c r="Q390" s="94"/>
      <c r="R390" s="94"/>
      <c r="S390" s="94"/>
      <c r="T390" s="94"/>
      <c r="U390" s="94"/>
      <c r="V390" s="94"/>
      <c r="W390" s="94"/>
      <c r="X390" s="94"/>
      <c r="Y390" s="94"/>
      <c r="Z390" s="94"/>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c r="AW390" s="94"/>
      <c r="AX390" s="94"/>
      <c r="AY390" s="94"/>
      <c r="AZ390" s="94"/>
      <c r="BA390" s="95"/>
    </row>
    <row r="391" spans="1:53" s="87" customFormat="1">
      <c r="A391" s="90">
        <f t="shared" si="30"/>
        <v>391</v>
      </c>
      <c r="B391" s="98" t="s">
        <v>473</v>
      </c>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c r="AW391" s="94"/>
      <c r="AX391" s="94"/>
      <c r="AY391" s="94"/>
      <c r="AZ391" s="94"/>
      <c r="BA391" s="95"/>
    </row>
    <row r="392" spans="1:53" s="87" customFormat="1">
      <c r="A392" s="90" t="str">
        <f t="shared" si="30"/>
        <v/>
      </c>
      <c r="B392" s="98">
        <v>1</v>
      </c>
      <c r="C392" s="94">
        <v>2</v>
      </c>
      <c r="D392" s="94" t="s">
        <v>210</v>
      </c>
      <c r="E392" s="94" t="s">
        <v>210</v>
      </c>
      <c r="F392" s="94" t="s">
        <v>202</v>
      </c>
      <c r="G392" s="94">
        <v>-4</v>
      </c>
      <c r="H392" s="94" t="s">
        <v>210</v>
      </c>
      <c r="I392" s="94" t="s">
        <v>210</v>
      </c>
      <c r="J392" s="94">
        <v>-7</v>
      </c>
      <c r="K392" s="94">
        <v>-3</v>
      </c>
      <c r="L392" s="94" t="s">
        <v>210</v>
      </c>
      <c r="M392" s="94" t="s">
        <v>210</v>
      </c>
      <c r="N392" s="94">
        <v>8</v>
      </c>
      <c r="O392" s="94">
        <v>6</v>
      </c>
      <c r="P392" s="94" t="s">
        <v>210</v>
      </c>
      <c r="Q392" s="94" t="s">
        <v>210</v>
      </c>
      <c r="R392" s="94">
        <v>-5</v>
      </c>
      <c r="S392" s="94">
        <v>-2</v>
      </c>
      <c r="T392" s="94" t="s">
        <v>210</v>
      </c>
      <c r="U392" s="94" t="s">
        <v>210</v>
      </c>
      <c r="V392" s="94">
        <v>3</v>
      </c>
      <c r="W392" s="94">
        <v>4</v>
      </c>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5"/>
    </row>
    <row r="393" spans="1:53" s="87" customFormat="1">
      <c r="A393" s="90" t="str">
        <f t="shared" si="30"/>
        <v/>
      </c>
      <c r="B393" s="98">
        <v>2</v>
      </c>
      <c r="C393" s="94" t="s">
        <v>202</v>
      </c>
      <c r="D393" s="94" t="s">
        <v>210</v>
      </c>
      <c r="E393" s="94" t="s">
        <v>210</v>
      </c>
      <c r="F393" s="94">
        <v>2</v>
      </c>
      <c r="G393" s="94">
        <v>7</v>
      </c>
      <c r="H393" s="94" t="s">
        <v>210</v>
      </c>
      <c r="I393" s="94" t="s">
        <v>210</v>
      </c>
      <c r="J393" s="94">
        <v>3</v>
      </c>
      <c r="K393" s="94">
        <v>-8</v>
      </c>
      <c r="L393" s="94" t="s">
        <v>210</v>
      </c>
      <c r="M393" s="94" t="s">
        <v>210</v>
      </c>
      <c r="N393" s="94">
        <v>-2</v>
      </c>
      <c r="O393" s="94">
        <v>4</v>
      </c>
      <c r="P393" s="94" t="s">
        <v>210</v>
      </c>
      <c r="Q393" s="94" t="s">
        <v>210</v>
      </c>
      <c r="R393" s="94">
        <v>-1</v>
      </c>
      <c r="S393" s="94">
        <v>-6</v>
      </c>
      <c r="T393" s="94" t="s">
        <v>210</v>
      </c>
      <c r="U393" s="94">
        <v>8</v>
      </c>
      <c r="V393" s="94" t="s">
        <v>210</v>
      </c>
      <c r="W393" s="94">
        <v>-4</v>
      </c>
      <c r="X393" s="94"/>
      <c r="Y393" s="94"/>
      <c r="Z393" s="94"/>
      <c r="AA393" s="94"/>
      <c r="AB393" s="94"/>
      <c r="AC393" s="94"/>
      <c r="AD393" s="94"/>
      <c r="AE393" s="94"/>
      <c r="AF393" s="94"/>
      <c r="AG393" s="94"/>
      <c r="AH393" s="94"/>
      <c r="AI393" s="94"/>
      <c r="AJ393" s="94"/>
      <c r="AK393" s="94"/>
      <c r="AL393" s="94"/>
      <c r="AM393" s="94"/>
      <c r="AN393" s="94"/>
      <c r="AO393" s="94"/>
      <c r="AP393" s="94"/>
      <c r="AQ393" s="94"/>
      <c r="AR393" s="94"/>
      <c r="AS393" s="94"/>
      <c r="AT393" s="94"/>
      <c r="AU393" s="94"/>
      <c r="AV393" s="94"/>
      <c r="AW393" s="94"/>
      <c r="AX393" s="94"/>
      <c r="AY393" s="94"/>
      <c r="AZ393" s="94"/>
      <c r="BA393" s="95"/>
    </row>
    <row r="394" spans="1:53" s="87" customFormat="1">
      <c r="A394" s="90" t="str">
        <f t="shared" si="30"/>
        <v/>
      </c>
      <c r="B394" s="98">
        <v>3</v>
      </c>
      <c r="C394" s="94">
        <v>4</v>
      </c>
      <c r="D394" s="94" t="s">
        <v>210</v>
      </c>
      <c r="E394" s="94" t="s">
        <v>210</v>
      </c>
      <c r="F394" s="94">
        <v>7</v>
      </c>
      <c r="G394" s="94">
        <v>-6</v>
      </c>
      <c r="H394" s="94" t="s">
        <v>210</v>
      </c>
      <c r="I394" s="94" t="s">
        <v>210</v>
      </c>
      <c r="J394" s="94">
        <v>1</v>
      </c>
      <c r="K394" s="94">
        <v>-5</v>
      </c>
      <c r="L394" s="94" t="s">
        <v>210</v>
      </c>
      <c r="M394" s="94" t="s">
        <v>210</v>
      </c>
      <c r="N394" s="94" t="s">
        <v>202</v>
      </c>
      <c r="O394" s="94">
        <v>-2</v>
      </c>
      <c r="P394" s="94" t="s">
        <v>210</v>
      </c>
      <c r="Q394" s="94" t="s">
        <v>210</v>
      </c>
      <c r="R394" s="94">
        <v>-4</v>
      </c>
      <c r="S394" s="94">
        <v>6</v>
      </c>
      <c r="T394" s="94" t="s">
        <v>210</v>
      </c>
      <c r="U394" s="94" t="s">
        <v>210</v>
      </c>
      <c r="V394" s="94">
        <v>-3</v>
      </c>
      <c r="W394" s="94">
        <v>5</v>
      </c>
      <c r="X394" s="94"/>
      <c r="Y394" s="94"/>
      <c r="Z394" s="94"/>
      <c r="AA394" s="94"/>
      <c r="AB394" s="94"/>
      <c r="AC394" s="94"/>
      <c r="AD394" s="94"/>
      <c r="AE394" s="94"/>
      <c r="AF394" s="94"/>
      <c r="AG394" s="94"/>
      <c r="AH394" s="94"/>
      <c r="AI394" s="94"/>
      <c r="AJ394" s="94"/>
      <c r="AK394" s="94"/>
      <c r="AL394" s="94"/>
      <c r="AM394" s="94"/>
      <c r="AN394" s="94"/>
      <c r="AO394" s="94"/>
      <c r="AP394" s="94"/>
      <c r="AQ394" s="94"/>
      <c r="AR394" s="94"/>
      <c r="AS394" s="94"/>
      <c r="AT394" s="94"/>
      <c r="AU394" s="94"/>
      <c r="AV394" s="94"/>
      <c r="AW394" s="94"/>
      <c r="AX394" s="94"/>
      <c r="AY394" s="94"/>
      <c r="AZ394" s="94"/>
      <c r="BA394" s="95"/>
    </row>
    <row r="395" spans="1:53" s="87" customFormat="1">
      <c r="A395" s="90" t="str">
        <f t="shared" si="30"/>
        <v/>
      </c>
      <c r="B395" s="98">
        <v>4</v>
      </c>
      <c r="C395" s="94">
        <v>-1</v>
      </c>
      <c r="D395" s="94" t="s">
        <v>210</v>
      </c>
      <c r="E395" s="94" t="s">
        <v>210</v>
      </c>
      <c r="F395" s="94">
        <v>-3</v>
      </c>
      <c r="G395" s="94" t="s">
        <v>202</v>
      </c>
      <c r="H395" s="94" t="s">
        <v>210</v>
      </c>
      <c r="I395" s="94" t="s">
        <v>210</v>
      </c>
      <c r="J395" s="94">
        <v>6</v>
      </c>
      <c r="K395" s="94">
        <v>1</v>
      </c>
      <c r="L395" s="94" t="s">
        <v>210</v>
      </c>
      <c r="M395" s="94" t="s">
        <v>210</v>
      </c>
      <c r="N395" s="94">
        <v>-7</v>
      </c>
      <c r="O395" s="94">
        <v>5</v>
      </c>
      <c r="P395" s="94" t="s">
        <v>210</v>
      </c>
      <c r="Q395" s="94" t="s">
        <v>210</v>
      </c>
      <c r="R395" s="94">
        <v>3</v>
      </c>
      <c r="S395" s="94">
        <v>2</v>
      </c>
      <c r="T395" s="94" t="s">
        <v>210</v>
      </c>
      <c r="U395" s="94">
        <v>-8</v>
      </c>
      <c r="V395" s="94" t="s">
        <v>210</v>
      </c>
      <c r="W395" s="94">
        <v>-5</v>
      </c>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c r="AW395" s="94"/>
      <c r="AX395" s="94"/>
      <c r="AY395" s="94"/>
      <c r="AZ395" s="94"/>
      <c r="BA395" s="95"/>
    </row>
    <row r="396" spans="1:53" s="87" customFormat="1">
      <c r="A396" s="90" t="str">
        <f t="shared" ref="A396:A459" si="31">IF(MID(B396,3,2)="08",ROW(),"")</f>
        <v/>
      </c>
      <c r="B396" s="98">
        <v>5</v>
      </c>
      <c r="C396" s="94">
        <v>3</v>
      </c>
      <c r="D396" s="94" t="s">
        <v>210</v>
      </c>
      <c r="E396" s="94" t="s">
        <v>210</v>
      </c>
      <c r="F396" s="94">
        <v>5</v>
      </c>
      <c r="G396" s="94">
        <v>6</v>
      </c>
      <c r="H396" s="94" t="s">
        <v>210</v>
      </c>
      <c r="I396" s="94" t="s">
        <v>210</v>
      </c>
      <c r="J396" s="94" t="s">
        <v>202</v>
      </c>
      <c r="K396" s="94">
        <v>-4</v>
      </c>
      <c r="L396" s="94" t="s">
        <v>210</v>
      </c>
      <c r="M396" s="94" t="s">
        <v>210</v>
      </c>
      <c r="N396" s="94">
        <v>-8</v>
      </c>
      <c r="O396" s="94">
        <v>-5</v>
      </c>
      <c r="P396" s="94" t="s">
        <v>210</v>
      </c>
      <c r="Q396" s="94" t="s">
        <v>210</v>
      </c>
      <c r="R396" s="94">
        <v>1</v>
      </c>
      <c r="S396" s="94">
        <v>7</v>
      </c>
      <c r="T396" s="94" t="s">
        <v>210</v>
      </c>
      <c r="U396" s="94" t="s">
        <v>210</v>
      </c>
      <c r="V396" s="94">
        <v>-2</v>
      </c>
      <c r="W396" s="94">
        <v>-3</v>
      </c>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5"/>
    </row>
    <row r="397" spans="1:53" s="87" customFormat="1">
      <c r="A397" s="90" t="str">
        <f t="shared" si="31"/>
        <v/>
      </c>
      <c r="B397" s="98">
        <v>6</v>
      </c>
      <c r="C397" s="94">
        <v>-5</v>
      </c>
      <c r="D397" s="94" t="s">
        <v>210</v>
      </c>
      <c r="E397" s="94" t="s">
        <v>210</v>
      </c>
      <c r="F397" s="94">
        <v>-8</v>
      </c>
      <c r="G397" s="94">
        <v>4</v>
      </c>
      <c r="H397" s="94" t="s">
        <v>210</v>
      </c>
      <c r="I397" s="94" t="s">
        <v>210</v>
      </c>
      <c r="J397" s="94">
        <v>-6</v>
      </c>
      <c r="K397" s="94">
        <v>5</v>
      </c>
      <c r="L397" s="94" t="s">
        <v>210</v>
      </c>
      <c r="M397" s="94" t="s">
        <v>210</v>
      </c>
      <c r="N397" s="94">
        <v>2</v>
      </c>
      <c r="O397" s="94">
        <v>-7</v>
      </c>
      <c r="P397" s="94" t="s">
        <v>210</v>
      </c>
      <c r="Q397" s="94" t="s">
        <v>210</v>
      </c>
      <c r="R397" s="94">
        <v>6</v>
      </c>
      <c r="S397" s="94" t="s">
        <v>202</v>
      </c>
      <c r="T397" s="94" t="s">
        <v>210</v>
      </c>
      <c r="U397" s="94">
        <v>-1</v>
      </c>
      <c r="V397" s="94" t="s">
        <v>210</v>
      </c>
      <c r="W397" s="94">
        <v>3</v>
      </c>
      <c r="X397" s="94"/>
      <c r="Y397" s="94"/>
      <c r="Z397" s="94"/>
      <c r="AA397" s="94"/>
      <c r="AB397" s="94"/>
      <c r="AC397" s="94"/>
      <c r="AD397" s="94"/>
      <c r="AE397" s="94"/>
      <c r="AF397" s="94"/>
      <c r="AG397" s="94"/>
      <c r="AH397" s="94"/>
      <c r="AI397" s="94"/>
      <c r="AJ397" s="94"/>
      <c r="AK397" s="94"/>
      <c r="AL397" s="94"/>
      <c r="AM397" s="94"/>
      <c r="AN397" s="94"/>
      <c r="AO397" s="94"/>
      <c r="AP397" s="94"/>
      <c r="AQ397" s="94"/>
      <c r="AR397" s="94"/>
      <c r="AS397" s="94"/>
      <c r="AT397" s="94"/>
      <c r="AU397" s="94"/>
      <c r="AV397" s="94"/>
      <c r="AW397" s="94"/>
      <c r="AX397" s="94"/>
      <c r="AY397" s="94"/>
      <c r="AZ397" s="94"/>
      <c r="BA397" s="95"/>
    </row>
    <row r="398" spans="1:53" s="87" customFormat="1">
      <c r="A398" s="90" t="str">
        <f t="shared" si="31"/>
        <v/>
      </c>
      <c r="B398" s="98">
        <v>7</v>
      </c>
      <c r="C398" s="94">
        <v>-4</v>
      </c>
      <c r="D398" s="94" t="s">
        <v>210</v>
      </c>
      <c r="E398" s="94" t="s">
        <v>210</v>
      </c>
      <c r="F398" s="94">
        <v>3</v>
      </c>
      <c r="G398" s="94">
        <v>-1</v>
      </c>
      <c r="H398" s="94" t="s">
        <v>210</v>
      </c>
      <c r="I398" s="94" t="s">
        <v>210</v>
      </c>
      <c r="J398" s="94">
        <v>-2</v>
      </c>
      <c r="K398" s="94">
        <v>8</v>
      </c>
      <c r="L398" s="94" t="s">
        <v>210</v>
      </c>
      <c r="M398" s="94" t="s">
        <v>210</v>
      </c>
      <c r="N398" s="94">
        <v>-3</v>
      </c>
      <c r="O398" s="94" t="s">
        <v>210</v>
      </c>
      <c r="P398" s="94" t="s">
        <v>210</v>
      </c>
      <c r="Q398" s="94" t="s">
        <v>210</v>
      </c>
      <c r="R398" s="94">
        <v>5</v>
      </c>
      <c r="S398" s="94">
        <v>-7</v>
      </c>
      <c r="T398" s="94" t="s">
        <v>210</v>
      </c>
      <c r="U398" s="94">
        <v>1</v>
      </c>
      <c r="V398" s="94" t="s">
        <v>210</v>
      </c>
      <c r="W398" s="94">
        <v>6</v>
      </c>
      <c r="X398" s="94"/>
      <c r="Y398" s="94"/>
      <c r="Z398" s="94"/>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5"/>
    </row>
    <row r="399" spans="1:53" s="87" customFormat="1">
      <c r="A399" s="90" t="str">
        <f t="shared" si="31"/>
        <v/>
      </c>
      <c r="B399" s="98">
        <v>8</v>
      </c>
      <c r="C399" s="94">
        <v>-2</v>
      </c>
      <c r="D399" s="94" t="s">
        <v>210</v>
      </c>
      <c r="E399" s="94" t="s">
        <v>210</v>
      </c>
      <c r="F399" s="94">
        <v>8</v>
      </c>
      <c r="G399" s="94">
        <v>5</v>
      </c>
      <c r="H399" s="94" t="s">
        <v>210</v>
      </c>
      <c r="I399" s="94" t="s">
        <v>210</v>
      </c>
      <c r="J399" s="94">
        <v>-1</v>
      </c>
      <c r="K399" s="94" t="s">
        <v>202</v>
      </c>
      <c r="L399" s="94" t="s">
        <v>210</v>
      </c>
      <c r="M399" s="94" t="s">
        <v>210</v>
      </c>
      <c r="N399" s="94">
        <v>6</v>
      </c>
      <c r="O399" s="94">
        <v>-4</v>
      </c>
      <c r="P399" s="94" t="s">
        <v>210</v>
      </c>
      <c r="Q399" s="94" t="s">
        <v>210</v>
      </c>
      <c r="R399" s="94">
        <v>-3</v>
      </c>
      <c r="S399" s="94">
        <v>1</v>
      </c>
      <c r="T399" s="94" t="s">
        <v>210</v>
      </c>
      <c r="U399" s="94" t="s">
        <v>210</v>
      </c>
      <c r="V399" s="94">
        <v>2</v>
      </c>
      <c r="W399" s="94">
        <v>-6</v>
      </c>
      <c r="X399" s="94"/>
      <c r="Y399" s="94"/>
      <c r="Z399" s="94"/>
      <c r="AA399" s="94"/>
      <c r="AB399" s="94"/>
      <c r="AC399" s="94"/>
      <c r="AD399" s="94"/>
      <c r="AE399" s="94"/>
      <c r="AF399" s="94"/>
      <c r="AG399" s="94"/>
      <c r="AH399" s="94"/>
      <c r="AI399" s="94"/>
      <c r="AJ399" s="94"/>
      <c r="AK399" s="94"/>
      <c r="AL399" s="94"/>
      <c r="AM399" s="94"/>
      <c r="AN399" s="94"/>
      <c r="AO399" s="94"/>
      <c r="AP399" s="94"/>
      <c r="AQ399" s="94"/>
      <c r="AR399" s="94"/>
      <c r="AS399" s="94"/>
      <c r="AT399" s="94"/>
      <c r="AU399" s="94"/>
      <c r="AV399" s="94"/>
      <c r="AW399" s="94"/>
      <c r="AX399" s="94"/>
      <c r="AY399" s="94"/>
      <c r="AZ399" s="94"/>
      <c r="BA399" s="95"/>
    </row>
    <row r="400" spans="1:53" s="87" customFormat="1">
      <c r="A400" s="90" t="str">
        <f t="shared" si="31"/>
        <v/>
      </c>
      <c r="B400" s="98">
        <v>9</v>
      </c>
      <c r="C400" s="94">
        <v>1</v>
      </c>
      <c r="D400" s="94" t="s">
        <v>210</v>
      </c>
      <c r="E400" s="94" t="s">
        <v>210</v>
      </c>
      <c r="F400" s="94">
        <v>-5</v>
      </c>
      <c r="G400" s="94">
        <v>-7</v>
      </c>
      <c r="H400" s="94" t="s">
        <v>210</v>
      </c>
      <c r="I400" s="94" t="s">
        <v>210</v>
      </c>
      <c r="J400" s="94">
        <v>2</v>
      </c>
      <c r="K400" s="94">
        <v>3</v>
      </c>
      <c r="L400" s="94" t="s">
        <v>210</v>
      </c>
      <c r="M400" s="94" t="s">
        <v>210</v>
      </c>
      <c r="N400" s="94">
        <v>-6</v>
      </c>
      <c r="O400" s="94">
        <v>7</v>
      </c>
      <c r="P400" s="94" t="s">
        <v>210</v>
      </c>
      <c r="Q400" s="94" t="s">
        <v>210</v>
      </c>
      <c r="R400" s="94">
        <v>4</v>
      </c>
      <c r="S400" s="94">
        <v>-8</v>
      </c>
      <c r="T400" s="94" t="s">
        <v>210</v>
      </c>
      <c r="U400" s="94" t="s">
        <v>202</v>
      </c>
      <c r="V400" s="94" t="s">
        <v>210</v>
      </c>
      <c r="W400" s="94">
        <v>-2</v>
      </c>
      <c r="X400" s="94"/>
      <c r="Y400" s="94"/>
      <c r="Z400" s="94"/>
      <c r="AA400" s="94"/>
      <c r="AB400" s="94"/>
      <c r="AC400" s="94"/>
      <c r="AD400" s="94"/>
      <c r="AE400" s="94"/>
      <c r="AF400" s="94"/>
      <c r="AG400" s="94"/>
      <c r="AH400" s="94"/>
      <c r="AI400" s="94"/>
      <c r="AJ400" s="94"/>
      <c r="AK400" s="94"/>
      <c r="AL400" s="94"/>
      <c r="AM400" s="94"/>
      <c r="AN400" s="94"/>
      <c r="AO400" s="94"/>
      <c r="AP400" s="94"/>
      <c r="AQ400" s="94"/>
      <c r="AR400" s="94"/>
      <c r="AS400" s="94"/>
      <c r="AT400" s="94"/>
      <c r="AU400" s="94"/>
      <c r="AV400" s="94"/>
      <c r="AW400" s="94"/>
      <c r="AX400" s="94"/>
      <c r="AY400" s="94"/>
      <c r="AZ400" s="94"/>
      <c r="BA400" s="95"/>
    </row>
    <row r="401" spans="1:53" s="87" customFormat="1">
      <c r="A401" s="90" t="str">
        <f t="shared" si="31"/>
        <v/>
      </c>
      <c r="B401" s="98">
        <v>10</v>
      </c>
      <c r="C401" s="94">
        <v>5</v>
      </c>
      <c r="D401" s="94" t="s">
        <v>210</v>
      </c>
      <c r="E401" s="94" t="s">
        <v>210</v>
      </c>
      <c r="F401" s="94">
        <v>-7</v>
      </c>
      <c r="G401" s="94">
        <v>1</v>
      </c>
      <c r="H401" s="94" t="s">
        <v>210</v>
      </c>
      <c r="I401" s="94" t="s">
        <v>210</v>
      </c>
      <c r="J401" s="94">
        <v>-3</v>
      </c>
      <c r="K401" s="94">
        <v>4</v>
      </c>
      <c r="L401" s="94" t="s">
        <v>210</v>
      </c>
      <c r="M401" s="94" t="s">
        <v>210</v>
      </c>
      <c r="N401" s="94">
        <v>7</v>
      </c>
      <c r="O401" s="94">
        <v>-6</v>
      </c>
      <c r="P401" s="94" t="s">
        <v>210</v>
      </c>
      <c r="Q401" s="94" t="s">
        <v>210</v>
      </c>
      <c r="R401" s="94" t="s">
        <v>202</v>
      </c>
      <c r="S401" s="94">
        <v>-1</v>
      </c>
      <c r="T401" s="94" t="s">
        <v>210</v>
      </c>
      <c r="U401" s="94" t="s">
        <v>210</v>
      </c>
      <c r="V401" s="94">
        <v>-5</v>
      </c>
      <c r="W401" s="94">
        <v>2</v>
      </c>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AZ401" s="94"/>
      <c r="BA401" s="95"/>
    </row>
    <row r="402" spans="1:53" s="87" customFormat="1">
      <c r="A402" s="90" t="str">
        <f t="shared" si="31"/>
        <v/>
      </c>
      <c r="B402" s="99">
        <v>11</v>
      </c>
      <c r="C402" s="92">
        <v>-3</v>
      </c>
      <c r="D402" s="92" t="s">
        <v>210</v>
      </c>
      <c r="E402" s="92" t="s">
        <v>210</v>
      </c>
      <c r="F402" s="92">
        <v>-2</v>
      </c>
      <c r="G402" s="92">
        <v>-5</v>
      </c>
      <c r="H402" s="92" t="s">
        <v>210</v>
      </c>
      <c r="I402" s="92" t="s">
        <v>210</v>
      </c>
      <c r="J402" s="92">
        <v>7</v>
      </c>
      <c r="K402" s="92">
        <v>-1</v>
      </c>
      <c r="L402" s="92" t="s">
        <v>210</v>
      </c>
      <c r="M402" s="92" t="s">
        <v>210</v>
      </c>
      <c r="N402" s="92">
        <v>3</v>
      </c>
      <c r="O402" s="92">
        <v>2</v>
      </c>
      <c r="P402" s="92" t="s">
        <v>210</v>
      </c>
      <c r="Q402" s="92" t="s">
        <v>210</v>
      </c>
      <c r="R402" s="92">
        <v>-6</v>
      </c>
      <c r="S402" s="92">
        <v>8</v>
      </c>
      <c r="T402" s="92" t="s">
        <v>210</v>
      </c>
      <c r="U402" s="92" t="s">
        <v>210</v>
      </c>
      <c r="V402" s="92">
        <v>5</v>
      </c>
      <c r="W402" s="92" t="s">
        <v>202</v>
      </c>
      <c r="X402" s="94"/>
      <c r="Y402" s="94"/>
      <c r="Z402" s="94"/>
      <c r="AA402" s="94"/>
      <c r="AB402" s="94"/>
      <c r="AC402" s="94"/>
      <c r="AD402" s="94"/>
      <c r="AE402" s="94"/>
      <c r="AF402" s="94"/>
      <c r="AG402" s="94"/>
      <c r="AH402" s="94"/>
      <c r="AI402" s="94"/>
      <c r="AJ402" s="94"/>
      <c r="AK402" s="94"/>
      <c r="AL402" s="94"/>
      <c r="AM402" s="94"/>
      <c r="AN402" s="94"/>
      <c r="AO402" s="94"/>
      <c r="AP402" s="94"/>
      <c r="AQ402" s="94"/>
      <c r="AR402" s="94"/>
      <c r="AS402" s="94"/>
      <c r="AT402" s="94"/>
      <c r="AU402" s="94"/>
      <c r="AV402" s="94"/>
      <c r="AW402" s="94"/>
      <c r="AX402" s="94"/>
      <c r="AY402" s="94"/>
      <c r="AZ402" s="94"/>
      <c r="BA402" s="95"/>
    </row>
    <row r="403" spans="1:53" s="87" customFormat="1">
      <c r="A403" s="90" t="str">
        <f t="shared" si="31"/>
        <v/>
      </c>
      <c r="B403" s="98">
        <v>12</v>
      </c>
      <c r="C403" s="94" t="s">
        <v>210</v>
      </c>
      <c r="D403" s="94">
        <v>4</v>
      </c>
      <c r="E403" s="94">
        <v>5</v>
      </c>
      <c r="F403" s="94" t="s">
        <v>210</v>
      </c>
      <c r="G403" s="94" t="s">
        <v>210</v>
      </c>
      <c r="H403" s="94">
        <v>-1</v>
      </c>
      <c r="I403" s="94">
        <v>-2</v>
      </c>
      <c r="J403" s="94" t="s">
        <v>210</v>
      </c>
      <c r="K403" s="94" t="s">
        <v>210</v>
      </c>
      <c r="L403" s="94">
        <v>-8</v>
      </c>
      <c r="M403" s="94">
        <v>6</v>
      </c>
      <c r="N403" s="94" t="s">
        <v>210</v>
      </c>
      <c r="O403" s="94" t="s">
        <v>210</v>
      </c>
      <c r="P403" s="94">
        <v>1</v>
      </c>
      <c r="Q403" s="94">
        <v>-5</v>
      </c>
      <c r="R403" s="94" t="s">
        <v>210</v>
      </c>
      <c r="S403" s="94" t="s">
        <v>210</v>
      </c>
      <c r="T403" s="94">
        <v>2</v>
      </c>
      <c r="U403" s="94" t="s">
        <v>210</v>
      </c>
      <c r="V403" s="94" t="s">
        <v>210</v>
      </c>
      <c r="W403" s="94">
        <v>-7</v>
      </c>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c r="AZ403" s="94"/>
      <c r="BA403" s="95"/>
    </row>
    <row r="404" spans="1:53" s="87" customFormat="1">
      <c r="A404" s="90" t="str">
        <f t="shared" si="31"/>
        <v/>
      </c>
      <c r="B404" s="98">
        <v>13</v>
      </c>
      <c r="C404" s="94" t="s">
        <v>210</v>
      </c>
      <c r="D404" s="94">
        <v>-3</v>
      </c>
      <c r="E404" s="94">
        <v>4</v>
      </c>
      <c r="F404" s="94" t="s">
        <v>210</v>
      </c>
      <c r="G404" s="94" t="s">
        <v>210</v>
      </c>
      <c r="H404" s="94">
        <v>2</v>
      </c>
      <c r="I404" s="94">
        <v>-1</v>
      </c>
      <c r="J404" s="94" t="s">
        <v>210</v>
      </c>
      <c r="K404" s="94" t="s">
        <v>210</v>
      </c>
      <c r="L404" s="94">
        <v>6</v>
      </c>
      <c r="M404" s="94">
        <v>-7</v>
      </c>
      <c r="N404" s="94" t="s">
        <v>210</v>
      </c>
      <c r="O404" s="94" t="s">
        <v>210</v>
      </c>
      <c r="P404" s="94">
        <v>-5</v>
      </c>
      <c r="Q404" s="94">
        <v>8</v>
      </c>
      <c r="R404" s="94" t="s">
        <v>210</v>
      </c>
      <c r="S404" s="94" t="s">
        <v>210</v>
      </c>
      <c r="T404" s="94">
        <v>-6</v>
      </c>
      <c r="U404" s="94" t="s">
        <v>210</v>
      </c>
      <c r="V404" s="94" t="s">
        <v>210</v>
      </c>
      <c r="W404" s="94">
        <v>7</v>
      </c>
      <c r="X404" s="94"/>
      <c r="Y404" s="94"/>
      <c r="Z404" s="94"/>
      <c r="AA404" s="94"/>
      <c r="AB404" s="94"/>
      <c r="AC404" s="94"/>
      <c r="AD404" s="94"/>
      <c r="AE404" s="94"/>
      <c r="AF404" s="94"/>
      <c r="AG404" s="94"/>
      <c r="AH404" s="94"/>
      <c r="AI404" s="94"/>
      <c r="AJ404" s="94"/>
      <c r="AK404" s="94"/>
      <c r="AL404" s="94"/>
      <c r="AM404" s="94"/>
      <c r="AN404" s="94"/>
      <c r="AO404" s="94"/>
      <c r="AP404" s="94"/>
      <c r="AQ404" s="94"/>
      <c r="AR404" s="94"/>
      <c r="AS404" s="94"/>
      <c r="AT404" s="94"/>
      <c r="AU404" s="94"/>
      <c r="AV404" s="94"/>
      <c r="AW404" s="94"/>
      <c r="AX404" s="94"/>
      <c r="AY404" s="94"/>
      <c r="AZ404" s="94"/>
      <c r="BA404" s="95"/>
    </row>
    <row r="405" spans="1:53" s="87" customFormat="1">
      <c r="A405" s="90" t="str">
        <f t="shared" si="31"/>
        <v/>
      </c>
      <c r="B405" s="98">
        <v>14</v>
      </c>
      <c r="C405" s="94" t="s">
        <v>210</v>
      </c>
      <c r="D405" s="94">
        <v>6</v>
      </c>
      <c r="E405" s="94">
        <v>-1</v>
      </c>
      <c r="F405" s="94" t="s">
        <v>210</v>
      </c>
      <c r="G405" s="94" t="s">
        <v>210</v>
      </c>
      <c r="H405" s="94">
        <v>7</v>
      </c>
      <c r="I405" s="94">
        <v>-5</v>
      </c>
      <c r="J405" s="94" t="s">
        <v>210</v>
      </c>
      <c r="K405" s="94" t="s">
        <v>210</v>
      </c>
      <c r="L405" s="94">
        <v>2</v>
      </c>
      <c r="M405" s="94">
        <v>4</v>
      </c>
      <c r="N405" s="94" t="s">
        <v>210</v>
      </c>
      <c r="O405" s="94" t="s">
        <v>210</v>
      </c>
      <c r="P405" s="94">
        <v>-7</v>
      </c>
      <c r="Q405" s="94">
        <v>-8</v>
      </c>
      <c r="R405" s="94" t="s">
        <v>210</v>
      </c>
      <c r="S405" s="94" t="s">
        <v>210</v>
      </c>
      <c r="T405" s="94">
        <v>-2</v>
      </c>
      <c r="U405" s="94" t="s">
        <v>210</v>
      </c>
      <c r="V405" s="94" t="s">
        <v>210</v>
      </c>
      <c r="W405" s="94">
        <v>1</v>
      </c>
      <c r="X405" s="94"/>
      <c r="Y405" s="94"/>
      <c r="Z405" s="94"/>
      <c r="AA405" s="94"/>
      <c r="AB405" s="94"/>
      <c r="AC405" s="94"/>
      <c r="AD405" s="94"/>
      <c r="AE405" s="94"/>
      <c r="AF405" s="94"/>
      <c r="AG405" s="94"/>
      <c r="AH405" s="94"/>
      <c r="AI405" s="94"/>
      <c r="AJ405" s="94"/>
      <c r="AK405" s="94"/>
      <c r="AL405" s="94"/>
      <c r="AM405" s="94"/>
      <c r="AN405" s="94"/>
      <c r="AO405" s="94"/>
      <c r="AP405" s="94"/>
      <c r="AQ405" s="94"/>
      <c r="AR405" s="94"/>
      <c r="AS405" s="94"/>
      <c r="AT405" s="94"/>
      <c r="AU405" s="94"/>
      <c r="AV405" s="94"/>
      <c r="AW405" s="94"/>
      <c r="AX405" s="94"/>
      <c r="AY405" s="94"/>
      <c r="AZ405" s="94"/>
      <c r="BA405" s="95"/>
    </row>
    <row r="406" spans="1:53" s="87" customFormat="1">
      <c r="A406" s="90" t="str">
        <f t="shared" si="31"/>
        <v/>
      </c>
      <c r="B406" s="98">
        <v>15</v>
      </c>
      <c r="C406" s="94" t="s">
        <v>210</v>
      </c>
      <c r="D406" s="94">
        <v>7</v>
      </c>
      <c r="E406" s="94">
        <v>-6</v>
      </c>
      <c r="F406" s="94" t="s">
        <v>210</v>
      </c>
      <c r="G406" s="94" t="s">
        <v>210</v>
      </c>
      <c r="H406" s="94">
        <v>-4</v>
      </c>
      <c r="I406" s="94">
        <v>8</v>
      </c>
      <c r="J406" s="94" t="s">
        <v>210</v>
      </c>
      <c r="K406" s="94" t="s">
        <v>210</v>
      </c>
      <c r="L406" s="94">
        <v>-7</v>
      </c>
      <c r="M406" s="94">
        <v>-2</v>
      </c>
      <c r="N406" s="94" t="s">
        <v>210</v>
      </c>
      <c r="O406" s="94" t="s">
        <v>210</v>
      </c>
      <c r="P406" s="94">
        <v>3</v>
      </c>
      <c r="Q406" s="94">
        <v>5</v>
      </c>
      <c r="R406" s="94" t="s">
        <v>210</v>
      </c>
      <c r="S406" s="94" t="s">
        <v>210</v>
      </c>
      <c r="T406" s="94">
        <v>6</v>
      </c>
      <c r="U406" s="94" t="s">
        <v>210</v>
      </c>
      <c r="V406" s="94" t="s">
        <v>210</v>
      </c>
      <c r="W406" s="94">
        <v>-1</v>
      </c>
      <c r="X406" s="94"/>
      <c r="Y406" s="94"/>
      <c r="Z406" s="94"/>
      <c r="AA406" s="94"/>
      <c r="AB406" s="94"/>
      <c r="AC406" s="94"/>
      <c r="AD406" s="94"/>
      <c r="AE406" s="94"/>
      <c r="AF406" s="94"/>
      <c r="AG406" s="94"/>
      <c r="AH406" s="94"/>
      <c r="AI406" s="94"/>
      <c r="AJ406" s="94"/>
      <c r="AK406" s="94"/>
      <c r="AL406" s="94"/>
      <c r="AM406" s="94"/>
      <c r="AN406" s="94"/>
      <c r="AO406" s="94"/>
      <c r="AP406" s="94"/>
      <c r="AQ406" s="94"/>
      <c r="AR406" s="94"/>
      <c r="AS406" s="94"/>
      <c r="AT406" s="94"/>
      <c r="AU406" s="94"/>
      <c r="AV406" s="94"/>
      <c r="AW406" s="94"/>
      <c r="AX406" s="94"/>
      <c r="AY406" s="94"/>
      <c r="AZ406" s="94"/>
      <c r="BA406" s="95"/>
    </row>
    <row r="407" spans="1:53" s="87" customFormat="1">
      <c r="A407" s="90" t="str">
        <f t="shared" si="31"/>
        <v/>
      </c>
      <c r="B407" s="98">
        <v>16</v>
      </c>
      <c r="C407" s="94" t="s">
        <v>210</v>
      </c>
      <c r="D407" s="94">
        <v>1</v>
      </c>
      <c r="E407" s="94">
        <v>-5</v>
      </c>
      <c r="F407" s="94" t="s">
        <v>210</v>
      </c>
      <c r="G407" s="94" t="s">
        <v>210</v>
      </c>
      <c r="H407" s="94">
        <v>6</v>
      </c>
      <c r="I407" s="94">
        <v>3</v>
      </c>
      <c r="J407" s="94" t="s">
        <v>210</v>
      </c>
      <c r="K407" s="94" t="s">
        <v>210</v>
      </c>
      <c r="L407" s="94">
        <v>7</v>
      </c>
      <c r="M407" s="94">
        <v>-4</v>
      </c>
      <c r="N407" s="94" t="s">
        <v>210</v>
      </c>
      <c r="O407" s="94" t="s">
        <v>210</v>
      </c>
      <c r="P407" s="94">
        <v>5</v>
      </c>
      <c r="Q407" s="94">
        <v>-3</v>
      </c>
      <c r="R407" s="94" t="s">
        <v>210</v>
      </c>
      <c r="S407" s="94" t="s">
        <v>210</v>
      </c>
      <c r="T407" s="94">
        <v>-7</v>
      </c>
      <c r="U407" s="94" t="s">
        <v>210</v>
      </c>
      <c r="V407" s="94" t="s">
        <v>210</v>
      </c>
      <c r="W407" s="94">
        <v>-8</v>
      </c>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5"/>
    </row>
    <row r="408" spans="1:53" s="87" customFormat="1">
      <c r="A408" s="90" t="str">
        <f t="shared" si="31"/>
        <v/>
      </c>
      <c r="B408" s="98">
        <v>17</v>
      </c>
      <c r="C408" s="94" t="s">
        <v>210</v>
      </c>
      <c r="D408" s="94">
        <v>-2</v>
      </c>
      <c r="E408" s="94">
        <v>3</v>
      </c>
      <c r="F408" s="94" t="s">
        <v>210</v>
      </c>
      <c r="G408" s="94" t="s">
        <v>210</v>
      </c>
      <c r="H408" s="94">
        <v>-7</v>
      </c>
      <c r="I408" s="94">
        <v>2</v>
      </c>
      <c r="J408" s="94" t="s">
        <v>210</v>
      </c>
      <c r="K408" s="94" t="s">
        <v>210</v>
      </c>
      <c r="L408" s="94">
        <v>-6</v>
      </c>
      <c r="M408" s="94">
        <v>5</v>
      </c>
      <c r="N408" s="94" t="s">
        <v>210</v>
      </c>
      <c r="O408" s="94" t="s">
        <v>210</v>
      </c>
      <c r="P408" s="94">
        <v>-3</v>
      </c>
      <c r="Q408" s="94">
        <v>1</v>
      </c>
      <c r="R408" s="94" t="s">
        <v>210</v>
      </c>
      <c r="S408" s="94" t="s">
        <v>210</v>
      </c>
      <c r="T408" s="94">
        <v>-4</v>
      </c>
      <c r="U408" s="94" t="s">
        <v>210</v>
      </c>
      <c r="V408" s="94" t="s">
        <v>210</v>
      </c>
      <c r="W408" s="94">
        <v>8</v>
      </c>
      <c r="X408" s="94"/>
      <c r="Y408" s="94"/>
      <c r="Z408" s="94"/>
      <c r="AA408" s="94"/>
      <c r="AB408" s="94"/>
      <c r="AC408" s="94"/>
      <c r="AD408" s="94"/>
      <c r="AE408" s="94"/>
      <c r="AF408" s="94"/>
      <c r="AG408" s="94"/>
      <c r="AH408" s="94"/>
      <c r="AI408" s="94"/>
      <c r="AJ408" s="94"/>
      <c r="AK408" s="94"/>
      <c r="AL408" s="94"/>
      <c r="AM408" s="94"/>
      <c r="AN408" s="94"/>
      <c r="AO408" s="94"/>
      <c r="AP408" s="94"/>
      <c r="AQ408" s="94"/>
      <c r="AR408" s="94"/>
      <c r="AS408" s="94"/>
      <c r="AT408" s="94"/>
      <c r="AU408" s="94"/>
      <c r="AV408" s="94"/>
      <c r="AW408" s="94"/>
      <c r="AX408" s="94"/>
      <c r="AY408" s="94"/>
      <c r="AZ408" s="94"/>
      <c r="BA408" s="95"/>
    </row>
    <row r="409" spans="1:53" s="87" customFormat="1">
      <c r="A409" s="90" t="str">
        <f t="shared" si="31"/>
        <v/>
      </c>
      <c r="B409" s="98">
        <v>18</v>
      </c>
      <c r="C409" s="94" t="s">
        <v>210</v>
      </c>
      <c r="D409" s="94">
        <v>-5</v>
      </c>
      <c r="E409" s="94">
        <v>1</v>
      </c>
      <c r="F409" s="94" t="s">
        <v>210</v>
      </c>
      <c r="G409" s="94" t="s">
        <v>210</v>
      </c>
      <c r="H409" s="94">
        <v>-6</v>
      </c>
      <c r="I409" s="94">
        <v>-8</v>
      </c>
      <c r="J409" s="94" t="s">
        <v>210</v>
      </c>
      <c r="K409" s="94" t="s">
        <v>210</v>
      </c>
      <c r="L409" s="94">
        <v>3</v>
      </c>
      <c r="M409" s="94">
        <v>7</v>
      </c>
      <c r="N409" s="94" t="s">
        <v>210</v>
      </c>
      <c r="O409" s="94" t="s">
        <v>210</v>
      </c>
      <c r="P409" s="94">
        <v>-1</v>
      </c>
      <c r="Q409" s="94">
        <v>6</v>
      </c>
      <c r="R409" s="94" t="s">
        <v>210</v>
      </c>
      <c r="S409" s="94" t="s">
        <v>210</v>
      </c>
      <c r="T409" s="94">
        <v>4</v>
      </c>
      <c r="U409" s="94">
        <v>-7</v>
      </c>
      <c r="V409" s="94" t="s">
        <v>210</v>
      </c>
      <c r="W409" s="94" t="s">
        <v>210</v>
      </c>
      <c r="X409" s="94"/>
      <c r="Y409" s="94"/>
      <c r="Z409" s="94"/>
      <c r="AA409" s="94"/>
      <c r="AB409" s="94"/>
      <c r="AC409" s="94"/>
      <c r="AD409" s="94"/>
      <c r="AE409" s="94"/>
      <c r="AF409" s="94"/>
      <c r="AG409" s="94"/>
      <c r="AH409" s="94"/>
      <c r="AI409" s="94"/>
      <c r="AJ409" s="94"/>
      <c r="AK409" s="94"/>
      <c r="AL409" s="94"/>
      <c r="AM409" s="94"/>
      <c r="AN409" s="94"/>
      <c r="AO409" s="94"/>
      <c r="AP409" s="94"/>
      <c r="AQ409" s="94"/>
      <c r="AR409" s="94"/>
      <c r="AS409" s="94"/>
      <c r="AT409" s="94"/>
      <c r="AU409" s="94"/>
      <c r="AV409" s="94"/>
      <c r="AW409" s="94"/>
      <c r="AX409" s="94"/>
      <c r="AY409" s="94"/>
      <c r="AZ409" s="94"/>
      <c r="BA409" s="95"/>
    </row>
    <row r="410" spans="1:53" s="87" customFormat="1">
      <c r="A410" s="90" t="str">
        <f t="shared" si="31"/>
        <v/>
      </c>
      <c r="B410" s="98">
        <v>19</v>
      </c>
      <c r="C410" s="94">
        <v>8</v>
      </c>
      <c r="D410" s="94" t="s">
        <v>210</v>
      </c>
      <c r="E410" s="94">
        <v>-3</v>
      </c>
      <c r="F410" s="94" t="s">
        <v>210</v>
      </c>
      <c r="G410" s="94" t="s">
        <v>210</v>
      </c>
      <c r="H410" s="94">
        <v>4</v>
      </c>
      <c r="I410" s="94">
        <v>1</v>
      </c>
      <c r="J410" s="94" t="s">
        <v>210</v>
      </c>
      <c r="K410" s="94" t="s">
        <v>210</v>
      </c>
      <c r="L410" s="94">
        <v>-2</v>
      </c>
      <c r="M410" s="94">
        <v>-6</v>
      </c>
      <c r="N410" s="94" t="s">
        <v>210</v>
      </c>
      <c r="O410" s="94" t="s">
        <v>210</v>
      </c>
      <c r="P410" s="94">
        <v>-4</v>
      </c>
      <c r="Q410" s="94">
        <v>3</v>
      </c>
      <c r="R410" s="94" t="s">
        <v>210</v>
      </c>
      <c r="S410" s="94" t="s">
        <v>210</v>
      </c>
      <c r="T410" s="94">
        <v>-1</v>
      </c>
      <c r="U410" s="94">
        <v>7</v>
      </c>
      <c r="V410" s="94" t="s">
        <v>210</v>
      </c>
      <c r="W410" s="94" t="s">
        <v>210</v>
      </c>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5"/>
    </row>
    <row r="411" spans="1:53" s="87" customFormat="1">
      <c r="A411" s="90" t="str">
        <f t="shared" si="31"/>
        <v/>
      </c>
      <c r="B411" s="98">
        <v>20</v>
      </c>
      <c r="C411" s="94">
        <v>-6</v>
      </c>
      <c r="D411" s="94" t="s">
        <v>210</v>
      </c>
      <c r="E411" s="94">
        <v>-4</v>
      </c>
      <c r="F411" s="94" t="s">
        <v>210</v>
      </c>
      <c r="G411" s="94" t="s">
        <v>210</v>
      </c>
      <c r="H411" s="94">
        <v>1</v>
      </c>
      <c r="I411" s="94">
        <v>5</v>
      </c>
      <c r="J411" s="94" t="s">
        <v>210</v>
      </c>
      <c r="K411" s="94" t="s">
        <v>210</v>
      </c>
      <c r="L411" s="94">
        <v>-3</v>
      </c>
      <c r="M411" s="94">
        <v>2</v>
      </c>
      <c r="N411" s="94" t="s">
        <v>210</v>
      </c>
      <c r="O411" s="94" t="s">
        <v>210</v>
      </c>
      <c r="P411" s="94">
        <v>4</v>
      </c>
      <c r="Q411" s="94">
        <v>-1</v>
      </c>
      <c r="R411" s="94" t="s">
        <v>210</v>
      </c>
      <c r="S411" s="94" t="s">
        <v>210</v>
      </c>
      <c r="T411" s="94">
        <v>7</v>
      </c>
      <c r="U411" s="94">
        <v>-2</v>
      </c>
      <c r="V411" s="94" t="s">
        <v>210</v>
      </c>
      <c r="W411" s="94" t="s">
        <v>210</v>
      </c>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AZ411" s="94"/>
      <c r="BA411" s="95"/>
    </row>
    <row r="412" spans="1:53" s="87" customFormat="1">
      <c r="A412" s="90" t="str">
        <f t="shared" si="31"/>
        <v/>
      </c>
      <c r="B412" s="99">
        <v>21</v>
      </c>
      <c r="C412" s="92">
        <v>-7</v>
      </c>
      <c r="D412" s="92" t="s">
        <v>210</v>
      </c>
      <c r="E412" s="92">
        <v>6</v>
      </c>
      <c r="F412" s="92" t="s">
        <v>210</v>
      </c>
      <c r="G412" s="92" t="s">
        <v>210</v>
      </c>
      <c r="H412" s="92">
        <v>-2</v>
      </c>
      <c r="I412" s="92">
        <v>-3</v>
      </c>
      <c r="J412" s="92" t="s">
        <v>210</v>
      </c>
      <c r="K412" s="92" t="s">
        <v>210</v>
      </c>
      <c r="L412" s="92">
        <v>8</v>
      </c>
      <c r="M412" s="92">
        <v>-5</v>
      </c>
      <c r="N412" s="92" t="s">
        <v>210</v>
      </c>
      <c r="O412" s="92" t="s">
        <v>210</v>
      </c>
      <c r="P412" s="92">
        <v>7</v>
      </c>
      <c r="Q412" s="92">
        <v>-6</v>
      </c>
      <c r="R412" s="92" t="s">
        <v>210</v>
      </c>
      <c r="S412" s="92" t="s">
        <v>210</v>
      </c>
      <c r="T412" s="92">
        <v>1</v>
      </c>
      <c r="U412" s="92">
        <v>2</v>
      </c>
      <c r="V412" s="92" t="s">
        <v>210</v>
      </c>
      <c r="W412" s="92" t="s">
        <v>210</v>
      </c>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5"/>
    </row>
    <row r="413" spans="1:53" s="87" customFormat="1">
      <c r="A413" s="90" t="str">
        <f t="shared" si="31"/>
        <v/>
      </c>
      <c r="B413" s="98">
        <v>22</v>
      </c>
      <c r="C413" s="94" t="s">
        <v>210</v>
      </c>
      <c r="D413" s="94">
        <v>-4</v>
      </c>
      <c r="E413" s="94">
        <v>8</v>
      </c>
      <c r="F413" s="94" t="s">
        <v>210</v>
      </c>
      <c r="G413" s="94">
        <v>3</v>
      </c>
      <c r="H413" s="94" t="s">
        <v>210</v>
      </c>
      <c r="I413" s="94" t="s">
        <v>210</v>
      </c>
      <c r="J413" s="94">
        <v>-5</v>
      </c>
      <c r="K413" s="94">
        <v>6</v>
      </c>
      <c r="L413" s="94" t="s">
        <v>210</v>
      </c>
      <c r="M413" s="94" t="s">
        <v>210</v>
      </c>
      <c r="N413" s="94">
        <v>4</v>
      </c>
      <c r="O413" s="94">
        <v>-1</v>
      </c>
      <c r="P413" s="94" t="s">
        <v>210</v>
      </c>
      <c r="Q413" s="94" t="s">
        <v>210</v>
      </c>
      <c r="R413" s="94">
        <v>-2</v>
      </c>
      <c r="S413" s="94">
        <v>5</v>
      </c>
      <c r="T413" s="94" t="s">
        <v>210</v>
      </c>
      <c r="U413" s="94">
        <v>-6</v>
      </c>
      <c r="V413" s="94" t="s">
        <v>210</v>
      </c>
      <c r="W413" s="94" t="s">
        <v>210</v>
      </c>
      <c r="X413" s="94"/>
      <c r="Y413" s="94"/>
      <c r="Z413" s="94"/>
      <c r="AA413" s="94"/>
      <c r="AB413" s="94"/>
      <c r="AC413" s="94"/>
      <c r="AD413" s="94"/>
      <c r="AE413" s="94"/>
      <c r="AF413" s="94"/>
      <c r="AG413" s="94"/>
      <c r="AH413" s="94"/>
      <c r="AI413" s="94"/>
      <c r="AJ413" s="94"/>
      <c r="AK413" s="94"/>
      <c r="AL413" s="94"/>
      <c r="AM413" s="94"/>
      <c r="AN413" s="94"/>
      <c r="AO413" s="94"/>
      <c r="AP413" s="94"/>
      <c r="AQ413" s="94"/>
      <c r="AR413" s="94"/>
      <c r="AS413" s="94"/>
      <c r="AT413" s="94"/>
      <c r="AU413" s="94"/>
      <c r="AV413" s="94"/>
      <c r="AW413" s="94"/>
      <c r="AX413" s="94"/>
      <c r="AY413" s="94"/>
      <c r="AZ413" s="94"/>
      <c r="BA413" s="95"/>
    </row>
    <row r="414" spans="1:53" s="87" customFormat="1">
      <c r="A414" s="90" t="str">
        <f t="shared" si="31"/>
        <v/>
      </c>
      <c r="B414" s="98">
        <v>23</v>
      </c>
      <c r="C414" s="94" t="s">
        <v>210</v>
      </c>
      <c r="D414" s="94">
        <v>3</v>
      </c>
      <c r="E414" s="94">
        <v>-7</v>
      </c>
      <c r="F414" s="94" t="s">
        <v>210</v>
      </c>
      <c r="G414" s="94">
        <v>8</v>
      </c>
      <c r="H414" s="94" t="s">
        <v>210</v>
      </c>
      <c r="I414" s="94" t="s">
        <v>210</v>
      </c>
      <c r="J414" s="94">
        <v>-4</v>
      </c>
      <c r="K414" s="94">
        <v>-2</v>
      </c>
      <c r="L414" s="94" t="s">
        <v>210</v>
      </c>
      <c r="M414" s="94" t="s">
        <v>210</v>
      </c>
      <c r="N414" s="94">
        <v>5</v>
      </c>
      <c r="O414" s="94">
        <v>-8</v>
      </c>
      <c r="P414" s="94" t="s">
        <v>210</v>
      </c>
      <c r="Q414" s="94" t="s">
        <v>210</v>
      </c>
      <c r="R414" s="94">
        <v>7</v>
      </c>
      <c r="S414" s="94">
        <v>-3</v>
      </c>
      <c r="T414" s="94" t="s">
        <v>210</v>
      </c>
      <c r="U414" s="94">
        <v>6</v>
      </c>
      <c r="V414" s="94" t="s">
        <v>210</v>
      </c>
      <c r="W414" s="94" t="s">
        <v>210</v>
      </c>
      <c r="X414" s="94"/>
      <c r="Y414" s="94"/>
      <c r="Z414" s="94"/>
      <c r="AA414" s="94"/>
      <c r="AB414" s="94"/>
      <c r="AC414" s="94"/>
      <c r="AD414" s="94"/>
      <c r="AE414" s="94"/>
      <c r="AF414" s="94"/>
      <c r="AG414" s="94"/>
      <c r="AH414" s="94"/>
      <c r="AI414" s="94"/>
      <c r="AJ414" s="94"/>
      <c r="AK414" s="94"/>
      <c r="AL414" s="94"/>
      <c r="AM414" s="94"/>
      <c r="AN414" s="94"/>
      <c r="AO414" s="94"/>
      <c r="AP414" s="94"/>
      <c r="AQ414" s="94"/>
      <c r="AR414" s="94"/>
      <c r="AS414" s="94"/>
      <c r="AT414" s="94"/>
      <c r="AU414" s="94"/>
      <c r="AV414" s="94"/>
      <c r="AW414" s="94"/>
      <c r="AX414" s="94"/>
      <c r="AY414" s="94"/>
      <c r="AZ414" s="94"/>
      <c r="BA414" s="95"/>
    </row>
    <row r="415" spans="1:53" s="87" customFormat="1">
      <c r="A415" s="90" t="str">
        <f t="shared" si="31"/>
        <v/>
      </c>
      <c r="B415" s="98">
        <v>24</v>
      </c>
      <c r="C415" s="94" t="s">
        <v>210</v>
      </c>
      <c r="D415" s="94">
        <v>-6</v>
      </c>
      <c r="E415" s="94">
        <v>2</v>
      </c>
      <c r="F415" s="94" t="s">
        <v>210</v>
      </c>
      <c r="G415" s="94" t="s">
        <v>210</v>
      </c>
      <c r="H415" s="94">
        <v>-3</v>
      </c>
      <c r="I415" s="94" t="s">
        <v>210</v>
      </c>
      <c r="J415" s="94">
        <v>4</v>
      </c>
      <c r="K415" s="94">
        <v>7</v>
      </c>
      <c r="L415" s="94" t="s">
        <v>210</v>
      </c>
      <c r="M415" s="94">
        <v>1</v>
      </c>
      <c r="N415" s="94" t="s">
        <v>210</v>
      </c>
      <c r="O415" s="94" t="s">
        <v>210</v>
      </c>
      <c r="P415" s="94">
        <v>-2</v>
      </c>
      <c r="Q415" s="94">
        <v>-4</v>
      </c>
      <c r="R415" s="94" t="s">
        <v>210</v>
      </c>
      <c r="S415" s="94">
        <v>-5</v>
      </c>
      <c r="T415" s="94" t="s">
        <v>210</v>
      </c>
      <c r="U415" s="94">
        <v>3</v>
      </c>
      <c r="V415" s="94" t="s">
        <v>210</v>
      </c>
      <c r="W415" s="94" t="s">
        <v>210</v>
      </c>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5"/>
    </row>
    <row r="416" spans="1:53" s="87" customFormat="1">
      <c r="A416" s="90" t="str">
        <f t="shared" si="31"/>
        <v/>
      </c>
      <c r="B416" s="98">
        <v>25</v>
      </c>
      <c r="C416" s="94" t="s">
        <v>210</v>
      </c>
      <c r="D416" s="94">
        <v>-7</v>
      </c>
      <c r="E416" s="94" t="s">
        <v>210</v>
      </c>
      <c r="F416" s="94">
        <v>6</v>
      </c>
      <c r="G416" s="94">
        <v>-2</v>
      </c>
      <c r="H416" s="94" t="s">
        <v>210</v>
      </c>
      <c r="I416" s="94">
        <v>4</v>
      </c>
      <c r="J416" s="94" t="s">
        <v>210</v>
      </c>
      <c r="K416" s="94" t="s">
        <v>210</v>
      </c>
      <c r="L416" s="94">
        <v>-5</v>
      </c>
      <c r="M416" s="94">
        <v>3</v>
      </c>
      <c r="N416" s="94" t="s">
        <v>210</v>
      </c>
      <c r="O416" s="94">
        <v>8</v>
      </c>
      <c r="P416" s="94" t="s">
        <v>210</v>
      </c>
      <c r="Q416" s="94" t="s">
        <v>210</v>
      </c>
      <c r="R416" s="94">
        <v>2</v>
      </c>
      <c r="S416" s="94">
        <v>-4</v>
      </c>
      <c r="T416" s="94" t="s">
        <v>210</v>
      </c>
      <c r="U416" s="94">
        <v>-3</v>
      </c>
      <c r="V416" s="94" t="s">
        <v>210</v>
      </c>
      <c r="W416" s="94" t="s">
        <v>210</v>
      </c>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5"/>
    </row>
    <row r="417" spans="1:53" s="87" customFormat="1">
      <c r="A417" s="90" t="str">
        <f t="shared" si="31"/>
        <v/>
      </c>
      <c r="B417" s="98">
        <v>26</v>
      </c>
      <c r="C417" s="94" t="s">
        <v>210</v>
      </c>
      <c r="D417" s="94">
        <v>-1</v>
      </c>
      <c r="E417" s="94" t="s">
        <v>210</v>
      </c>
      <c r="F417" s="94">
        <v>-4</v>
      </c>
      <c r="G417" s="94">
        <v>-3</v>
      </c>
      <c r="H417" s="94" t="s">
        <v>210</v>
      </c>
      <c r="I417" s="94">
        <v>7</v>
      </c>
      <c r="J417" s="94" t="s">
        <v>210</v>
      </c>
      <c r="K417" s="94" t="s">
        <v>210</v>
      </c>
      <c r="L417" s="94">
        <v>5</v>
      </c>
      <c r="M417" s="94">
        <v>8</v>
      </c>
      <c r="N417" s="94" t="s">
        <v>210</v>
      </c>
      <c r="O417" s="94" t="s">
        <v>210</v>
      </c>
      <c r="P417" s="94">
        <v>-6</v>
      </c>
      <c r="Q417" s="94">
        <v>4</v>
      </c>
      <c r="R417" s="94" t="s">
        <v>210</v>
      </c>
      <c r="S417" s="94">
        <v>3</v>
      </c>
      <c r="T417" s="94" t="s">
        <v>210</v>
      </c>
      <c r="U417" s="94">
        <v>-5</v>
      </c>
      <c r="V417" s="94" t="s">
        <v>210</v>
      </c>
      <c r="W417" s="94" t="s">
        <v>210</v>
      </c>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5"/>
    </row>
    <row r="418" spans="1:53" s="87" customFormat="1">
      <c r="A418" s="90" t="str">
        <f t="shared" si="31"/>
        <v/>
      </c>
      <c r="B418" s="98">
        <v>27</v>
      </c>
      <c r="C418" s="94" t="s">
        <v>210</v>
      </c>
      <c r="D418" s="94">
        <v>2</v>
      </c>
      <c r="E418" s="94">
        <v>-8</v>
      </c>
      <c r="F418" s="94" t="s">
        <v>210</v>
      </c>
      <c r="G418" s="94" t="s">
        <v>210</v>
      </c>
      <c r="H418" s="94">
        <v>-5</v>
      </c>
      <c r="I418" s="94">
        <v>6</v>
      </c>
      <c r="J418" s="94" t="s">
        <v>210</v>
      </c>
      <c r="K418" s="94" t="s">
        <v>210</v>
      </c>
      <c r="L418" s="94">
        <v>-4</v>
      </c>
      <c r="M418" s="94">
        <v>-1</v>
      </c>
      <c r="N418" s="94" t="s">
        <v>210</v>
      </c>
      <c r="O418" s="94">
        <v>3</v>
      </c>
      <c r="P418" s="94" t="s">
        <v>210</v>
      </c>
      <c r="Q418" s="94" t="s">
        <v>210</v>
      </c>
      <c r="R418" s="94">
        <v>-7</v>
      </c>
      <c r="S418" s="94">
        <v>4</v>
      </c>
      <c r="T418" s="94" t="s">
        <v>210</v>
      </c>
      <c r="U418" s="94">
        <v>5</v>
      </c>
      <c r="V418" s="94" t="s">
        <v>210</v>
      </c>
      <c r="W418" s="94" t="s">
        <v>210</v>
      </c>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5"/>
    </row>
    <row r="419" spans="1:53" s="87" customFormat="1">
      <c r="A419" s="90" t="str">
        <f t="shared" si="31"/>
        <v/>
      </c>
      <c r="B419" s="98">
        <v>28</v>
      </c>
      <c r="C419" s="94" t="s">
        <v>210</v>
      </c>
      <c r="D419" s="94">
        <v>5</v>
      </c>
      <c r="E419" s="94" t="s">
        <v>210</v>
      </c>
      <c r="F419" s="94">
        <v>4</v>
      </c>
      <c r="G419" s="94">
        <v>2</v>
      </c>
      <c r="H419" s="94" t="s">
        <v>210</v>
      </c>
      <c r="I419" s="94">
        <v>-6</v>
      </c>
      <c r="J419" s="94" t="s">
        <v>210</v>
      </c>
      <c r="K419" s="94">
        <v>-7</v>
      </c>
      <c r="L419" s="94" t="s">
        <v>210</v>
      </c>
      <c r="M419" s="94" t="s">
        <v>210</v>
      </c>
      <c r="N419" s="94">
        <v>-5</v>
      </c>
      <c r="O419" s="94">
        <v>1</v>
      </c>
      <c r="P419" s="94" t="s">
        <v>210</v>
      </c>
      <c r="Q419" s="94">
        <v>-2</v>
      </c>
      <c r="R419" s="94" t="s">
        <v>210</v>
      </c>
      <c r="S419" s="94" t="s">
        <v>210</v>
      </c>
      <c r="T419" s="94">
        <v>3</v>
      </c>
      <c r="U419" s="94">
        <v>-4</v>
      </c>
      <c r="V419" s="94" t="s">
        <v>210</v>
      </c>
      <c r="W419" s="94" t="s">
        <v>210</v>
      </c>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5"/>
    </row>
    <row r="420" spans="1:53" s="87" customFormat="1">
      <c r="A420" s="90" t="str">
        <f t="shared" si="31"/>
        <v/>
      </c>
      <c r="B420" s="98">
        <v>29</v>
      </c>
      <c r="C420" s="94">
        <v>-8</v>
      </c>
      <c r="D420" s="94" t="s">
        <v>210</v>
      </c>
      <c r="E420" s="94" t="s">
        <v>210</v>
      </c>
      <c r="F420" s="94">
        <v>-6</v>
      </c>
      <c r="G420" s="94" t="s">
        <v>210</v>
      </c>
      <c r="H420" s="94">
        <v>3</v>
      </c>
      <c r="I420" s="94">
        <v>-7</v>
      </c>
      <c r="J420" s="94" t="s">
        <v>210</v>
      </c>
      <c r="K420" s="94">
        <v>2</v>
      </c>
      <c r="L420" s="94" t="s">
        <v>210</v>
      </c>
      <c r="M420" s="94" t="s">
        <v>210</v>
      </c>
      <c r="N420" s="94">
        <v>-4</v>
      </c>
      <c r="O420" s="94">
        <v>-3</v>
      </c>
      <c r="P420" s="94" t="s">
        <v>210</v>
      </c>
      <c r="Q420" s="94">
        <v>7</v>
      </c>
      <c r="R420" s="94" t="s">
        <v>210</v>
      </c>
      <c r="S420" s="94" t="s">
        <v>210</v>
      </c>
      <c r="T420" s="94">
        <v>5</v>
      </c>
      <c r="U420" s="94">
        <v>4</v>
      </c>
      <c r="V420" s="94" t="s">
        <v>210</v>
      </c>
      <c r="W420" s="94" t="s">
        <v>210</v>
      </c>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5"/>
    </row>
    <row r="421" spans="1:53" s="87" customFormat="1">
      <c r="A421" s="90" t="str">
        <f t="shared" si="31"/>
        <v/>
      </c>
      <c r="B421" s="98">
        <v>30</v>
      </c>
      <c r="C421" s="94">
        <v>6</v>
      </c>
      <c r="D421" s="94" t="s">
        <v>210</v>
      </c>
      <c r="E421" s="94">
        <v>7</v>
      </c>
      <c r="F421" s="94" t="s">
        <v>210</v>
      </c>
      <c r="G421" s="94" t="s">
        <v>210</v>
      </c>
      <c r="H421" s="94">
        <v>5</v>
      </c>
      <c r="I421" s="94">
        <v>-4</v>
      </c>
      <c r="J421" s="94" t="s">
        <v>210</v>
      </c>
      <c r="K421" s="94">
        <v>-6</v>
      </c>
      <c r="L421" s="94" t="s">
        <v>210</v>
      </c>
      <c r="M421" s="94">
        <v>-8</v>
      </c>
      <c r="N421" s="94" t="s">
        <v>210</v>
      </c>
      <c r="O421" s="94" t="s">
        <v>210</v>
      </c>
      <c r="P421" s="94">
        <v>2</v>
      </c>
      <c r="Q421" s="94">
        <v>-7</v>
      </c>
      <c r="R421" s="94" t="s">
        <v>210</v>
      </c>
      <c r="S421" s="94" t="s">
        <v>210</v>
      </c>
      <c r="T421" s="94">
        <v>-3</v>
      </c>
      <c r="U421" s="94" t="s">
        <v>210</v>
      </c>
      <c r="V421" s="94">
        <v>4</v>
      </c>
      <c r="W421" s="94" t="s">
        <v>210</v>
      </c>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5"/>
    </row>
    <row r="422" spans="1:53" s="87" customFormat="1">
      <c r="A422" s="90" t="str">
        <f t="shared" si="31"/>
        <v/>
      </c>
      <c r="B422" s="98">
        <v>31</v>
      </c>
      <c r="C422" s="94">
        <v>7</v>
      </c>
      <c r="D422" s="94" t="s">
        <v>210</v>
      </c>
      <c r="E422" s="94">
        <v>-2</v>
      </c>
      <c r="F422" s="94" t="s">
        <v>210</v>
      </c>
      <c r="G422" s="94">
        <v>-8</v>
      </c>
      <c r="H422" s="94" t="s">
        <v>210</v>
      </c>
      <c r="I422" s="94" t="s">
        <v>210</v>
      </c>
      <c r="J422" s="94">
        <v>5</v>
      </c>
      <c r="K422" s="94" t="s">
        <v>210</v>
      </c>
      <c r="L422" s="94">
        <v>4</v>
      </c>
      <c r="M422" s="94">
        <v>-3</v>
      </c>
      <c r="N422" s="94" t="s">
        <v>210</v>
      </c>
      <c r="O422" s="94" t="s">
        <v>210</v>
      </c>
      <c r="P422" s="94">
        <v>6</v>
      </c>
      <c r="Q422" s="94">
        <v>2</v>
      </c>
      <c r="R422" s="94" t="s">
        <v>210</v>
      </c>
      <c r="S422" s="94" t="s">
        <v>210</v>
      </c>
      <c r="T422" s="94">
        <v>-5</v>
      </c>
      <c r="U422" s="94" t="s">
        <v>210</v>
      </c>
      <c r="V422" s="94">
        <v>-4</v>
      </c>
      <c r="W422" s="94" t="s">
        <v>210</v>
      </c>
      <c r="X422" s="94"/>
      <c r="Y422" s="94"/>
      <c r="Z422" s="94"/>
      <c r="AA422" s="94"/>
      <c r="AB422" s="94"/>
      <c r="AC422" s="94"/>
      <c r="AD422" s="94"/>
      <c r="AE422" s="94"/>
      <c r="AF422" s="94"/>
      <c r="AG422" s="94"/>
      <c r="AH422" s="94"/>
      <c r="AI422" s="94"/>
      <c r="AJ422" s="94"/>
      <c r="AK422" s="94"/>
      <c r="AL422" s="94"/>
      <c r="AM422" s="94"/>
      <c r="AN422" s="94"/>
      <c r="AO422" s="94"/>
      <c r="AP422" s="94"/>
      <c r="AQ422" s="94"/>
      <c r="AR422" s="94"/>
      <c r="AS422" s="94"/>
      <c r="AT422" s="94"/>
      <c r="AU422" s="94"/>
      <c r="AV422" s="94"/>
      <c r="AW422" s="94"/>
      <c r="AX422" s="94"/>
      <c r="AY422" s="94"/>
      <c r="AZ422" s="94"/>
      <c r="BA422" s="95"/>
    </row>
    <row r="423" spans="1:53" s="87" customFormat="1">
      <c r="A423" s="90" t="str">
        <f t="shared" si="31"/>
        <v/>
      </c>
      <c r="B423" s="98" t="s">
        <v>474</v>
      </c>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5"/>
    </row>
    <row r="424" spans="1:53" s="87" customFormat="1">
      <c r="A424" s="90">
        <f t="shared" si="31"/>
        <v>424</v>
      </c>
      <c r="B424" s="98" t="s">
        <v>475</v>
      </c>
      <c r="C424" s="94"/>
      <c r="D424" s="94"/>
      <c r="E424" s="94"/>
      <c r="F424" s="94"/>
      <c r="G424" s="94"/>
      <c r="H424" s="94"/>
      <c r="I424" s="94"/>
      <c r="J424" s="94"/>
      <c r="K424" s="94"/>
      <c r="L424" s="94"/>
      <c r="M424" s="94"/>
      <c r="N424" s="94"/>
      <c r="O424" s="94"/>
      <c r="P424" s="94"/>
      <c r="Q424" s="94"/>
      <c r="R424" s="94"/>
      <c r="S424" s="94"/>
      <c r="T424" s="94"/>
      <c r="U424" s="94"/>
      <c r="V424" s="94"/>
      <c r="W424" s="94"/>
      <c r="X424" s="94"/>
      <c r="Y424" s="94"/>
      <c r="Z424" s="94"/>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5"/>
    </row>
    <row r="425" spans="1:53" s="87" customFormat="1">
      <c r="A425" s="90" t="str">
        <f t="shared" si="31"/>
        <v/>
      </c>
      <c r="B425" s="98">
        <v>1</v>
      </c>
      <c r="C425" s="94">
        <v>5</v>
      </c>
      <c r="D425" s="94" t="s">
        <v>210</v>
      </c>
      <c r="E425" s="94" t="s">
        <v>210</v>
      </c>
      <c r="F425" s="94">
        <v>-3</v>
      </c>
      <c r="G425" s="94">
        <v>-7</v>
      </c>
      <c r="H425" s="94" t="s">
        <v>210</v>
      </c>
      <c r="I425" s="94" t="s">
        <v>210</v>
      </c>
      <c r="J425" s="94">
        <v>6</v>
      </c>
      <c r="K425" s="94">
        <v>-5</v>
      </c>
      <c r="L425" s="94" t="s">
        <v>210</v>
      </c>
      <c r="M425" s="94" t="s">
        <v>210</v>
      </c>
      <c r="N425" s="94">
        <v>2</v>
      </c>
      <c r="O425" s="94">
        <v>4</v>
      </c>
      <c r="P425" s="94" t="s">
        <v>210</v>
      </c>
      <c r="Q425" s="94"/>
      <c r="R425" s="94"/>
      <c r="S425" s="94"/>
      <c r="T425" s="94"/>
      <c r="U425" s="94"/>
      <c r="V425" s="94"/>
      <c r="W425" s="94"/>
      <c r="X425" s="94"/>
      <c r="Y425" s="94"/>
      <c r="Z425" s="94"/>
      <c r="AA425" s="94"/>
      <c r="AB425" s="94"/>
      <c r="AC425" s="94"/>
      <c r="AD425" s="94"/>
      <c r="AE425" s="94"/>
      <c r="AF425" s="94"/>
      <c r="AG425" s="94"/>
      <c r="AH425" s="94"/>
      <c r="AI425" s="94"/>
      <c r="AJ425" s="94"/>
      <c r="AK425" s="94"/>
      <c r="AL425" s="94"/>
      <c r="AM425" s="94"/>
      <c r="AN425" s="94"/>
      <c r="AO425" s="94"/>
      <c r="AP425" s="94"/>
      <c r="AQ425" s="94"/>
      <c r="AR425" s="94"/>
      <c r="AS425" s="94"/>
      <c r="AT425" s="94"/>
      <c r="AU425" s="94"/>
      <c r="AV425" s="94"/>
      <c r="AW425" s="94"/>
      <c r="AX425" s="94"/>
      <c r="AY425" s="94"/>
      <c r="AZ425" s="94"/>
      <c r="BA425" s="95"/>
    </row>
    <row r="426" spans="1:53" s="87" customFormat="1">
      <c r="A426" s="90" t="str">
        <f t="shared" si="31"/>
        <v/>
      </c>
      <c r="B426" s="98">
        <v>2</v>
      </c>
      <c r="C426" s="94">
        <v>-1</v>
      </c>
      <c r="D426" s="94" t="s">
        <v>210</v>
      </c>
      <c r="E426" s="94" t="s">
        <v>210</v>
      </c>
      <c r="F426" s="94">
        <v>5</v>
      </c>
      <c r="G426" s="94">
        <v>-3</v>
      </c>
      <c r="H426" s="94" t="s">
        <v>210</v>
      </c>
      <c r="I426" s="94" t="s">
        <v>210</v>
      </c>
      <c r="J426" s="94">
        <v>2</v>
      </c>
      <c r="K426" s="94">
        <v>6</v>
      </c>
      <c r="L426" s="94" t="s">
        <v>210</v>
      </c>
      <c r="M426" s="94" t="s">
        <v>210</v>
      </c>
      <c r="N426" s="94">
        <v>-5</v>
      </c>
      <c r="O426" s="94">
        <v>-4</v>
      </c>
      <c r="P426" s="94" t="s">
        <v>210</v>
      </c>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5"/>
    </row>
    <row r="427" spans="1:53" s="87" customFormat="1">
      <c r="A427" s="90" t="str">
        <f t="shared" si="31"/>
        <v/>
      </c>
      <c r="B427" s="98">
        <v>3</v>
      </c>
      <c r="C427" s="94">
        <v>-4</v>
      </c>
      <c r="D427" s="94" t="s">
        <v>210</v>
      </c>
      <c r="E427" s="94" t="s">
        <v>210</v>
      </c>
      <c r="F427" s="94">
        <v>3</v>
      </c>
      <c r="G427" s="94">
        <v>6</v>
      </c>
      <c r="H427" s="94" t="s">
        <v>210</v>
      </c>
      <c r="I427" s="94" t="s">
        <v>210</v>
      </c>
      <c r="J427" s="94">
        <v>-2</v>
      </c>
      <c r="K427" s="94">
        <v>-3</v>
      </c>
      <c r="L427" s="94" t="s">
        <v>210</v>
      </c>
      <c r="M427" s="94" t="s">
        <v>210</v>
      </c>
      <c r="N427" s="94">
        <v>7</v>
      </c>
      <c r="O427" s="94">
        <v>-5</v>
      </c>
      <c r="P427" s="94" t="s">
        <v>210</v>
      </c>
      <c r="Q427" s="94"/>
      <c r="R427" s="94"/>
      <c r="S427" s="94"/>
      <c r="T427" s="94"/>
      <c r="U427" s="94"/>
      <c r="V427" s="94"/>
      <c r="W427" s="94"/>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5"/>
    </row>
    <row r="428" spans="1:53" s="87" customFormat="1">
      <c r="A428" s="90" t="str">
        <f t="shared" si="31"/>
        <v/>
      </c>
      <c r="B428" s="98">
        <v>4</v>
      </c>
      <c r="C428" s="94">
        <v>2</v>
      </c>
      <c r="D428" s="94" t="s">
        <v>210</v>
      </c>
      <c r="E428" s="94" t="s">
        <v>210</v>
      </c>
      <c r="F428" s="94">
        <v>-5</v>
      </c>
      <c r="G428" s="94">
        <v>1</v>
      </c>
      <c r="H428" s="94" t="s">
        <v>210</v>
      </c>
      <c r="I428" s="94" t="s">
        <v>210</v>
      </c>
      <c r="J428" s="94">
        <v>-6</v>
      </c>
      <c r="K428" s="94">
        <v>4</v>
      </c>
      <c r="L428" s="94" t="s">
        <v>210</v>
      </c>
      <c r="M428" s="94" t="s">
        <v>210</v>
      </c>
      <c r="N428" s="94">
        <v>-8</v>
      </c>
      <c r="O428" s="94">
        <v>5</v>
      </c>
      <c r="P428" s="94" t="s">
        <v>210</v>
      </c>
      <c r="Q428" s="94"/>
      <c r="R428" s="94"/>
      <c r="S428" s="94"/>
      <c r="T428" s="94"/>
      <c r="U428" s="94"/>
      <c r="V428" s="94"/>
      <c r="W428" s="94"/>
      <c r="X428" s="94"/>
      <c r="Y428" s="94"/>
      <c r="Z428" s="94"/>
      <c r="AA428" s="94"/>
      <c r="AB428" s="94"/>
      <c r="AC428" s="94"/>
      <c r="AD428" s="94"/>
      <c r="AE428" s="94"/>
      <c r="AF428" s="94"/>
      <c r="AG428" s="94"/>
      <c r="AH428" s="94"/>
      <c r="AI428" s="94"/>
      <c r="AJ428" s="94"/>
      <c r="AK428" s="94"/>
      <c r="AL428" s="94"/>
      <c r="AM428" s="94"/>
      <c r="AN428" s="94"/>
      <c r="AO428" s="94"/>
      <c r="AP428" s="94"/>
      <c r="AQ428" s="94"/>
      <c r="AR428" s="94"/>
      <c r="AS428" s="94"/>
      <c r="AT428" s="94"/>
      <c r="AU428" s="94"/>
      <c r="AV428" s="94"/>
      <c r="AW428" s="94"/>
      <c r="AX428" s="94"/>
      <c r="AY428" s="94"/>
      <c r="AZ428" s="94"/>
      <c r="BA428" s="95"/>
    </row>
    <row r="429" spans="1:53" s="87" customFormat="1">
      <c r="A429" s="90" t="str">
        <f t="shared" si="31"/>
        <v/>
      </c>
      <c r="B429" s="98">
        <v>5</v>
      </c>
      <c r="C429" s="94">
        <v>4</v>
      </c>
      <c r="D429" s="94" t="s">
        <v>210</v>
      </c>
      <c r="E429" s="94">
        <v>6</v>
      </c>
      <c r="F429" s="94" t="s">
        <v>210</v>
      </c>
      <c r="G429" s="94">
        <v>-1</v>
      </c>
      <c r="H429" s="94" t="s">
        <v>210</v>
      </c>
      <c r="I429" s="94" t="s">
        <v>210</v>
      </c>
      <c r="J429" s="94">
        <v>5</v>
      </c>
      <c r="K429" s="94">
        <v>-6</v>
      </c>
      <c r="L429" s="94" t="s">
        <v>210</v>
      </c>
      <c r="M429" s="94" t="s">
        <v>210</v>
      </c>
      <c r="N429" s="94">
        <v>-2</v>
      </c>
      <c r="O429" s="94">
        <v>3</v>
      </c>
      <c r="P429" s="94" t="s">
        <v>210</v>
      </c>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5"/>
    </row>
    <row r="430" spans="1:53" s="87" customFormat="1">
      <c r="A430" s="90" t="str">
        <f t="shared" si="31"/>
        <v/>
      </c>
      <c r="B430" s="98">
        <v>6</v>
      </c>
      <c r="C430" s="94">
        <v>-5</v>
      </c>
      <c r="D430" s="94" t="s">
        <v>210</v>
      </c>
      <c r="E430" s="94" t="s">
        <v>210</v>
      </c>
      <c r="F430" s="94">
        <v>2</v>
      </c>
      <c r="G430" s="94">
        <v>-6</v>
      </c>
      <c r="H430" s="94" t="s">
        <v>210</v>
      </c>
      <c r="I430" s="94" t="s">
        <v>210</v>
      </c>
      <c r="J430" s="94">
        <v>8</v>
      </c>
      <c r="K430" s="94">
        <v>-4</v>
      </c>
      <c r="L430" s="94" t="s">
        <v>210</v>
      </c>
      <c r="M430" s="94" t="s">
        <v>210</v>
      </c>
      <c r="N430" s="94">
        <v>5</v>
      </c>
      <c r="O430" s="94">
        <v>-3</v>
      </c>
      <c r="P430" s="94" t="s">
        <v>210</v>
      </c>
      <c r="Q430" s="94"/>
      <c r="R430" s="94"/>
      <c r="S430" s="94"/>
      <c r="T430" s="94"/>
      <c r="U430" s="94"/>
      <c r="V430" s="94"/>
      <c r="W430" s="94"/>
      <c r="X430" s="94"/>
      <c r="Y430" s="94"/>
      <c r="Z430" s="94"/>
      <c r="AA430" s="94"/>
      <c r="AB430" s="94"/>
      <c r="AC430" s="94"/>
      <c r="AD430" s="94"/>
      <c r="AE430" s="94"/>
      <c r="AF430" s="94"/>
      <c r="AG430" s="94"/>
      <c r="AH430" s="94"/>
      <c r="AI430" s="94"/>
      <c r="AJ430" s="94"/>
      <c r="AK430" s="94"/>
      <c r="AL430" s="94"/>
      <c r="AM430" s="94"/>
      <c r="AN430" s="94"/>
      <c r="AO430" s="94"/>
      <c r="AP430" s="94"/>
      <c r="AQ430" s="94"/>
      <c r="AR430" s="94"/>
      <c r="AS430" s="94"/>
      <c r="AT430" s="94"/>
      <c r="AU430" s="94"/>
      <c r="AV430" s="94"/>
      <c r="AW430" s="94"/>
      <c r="AX430" s="94"/>
      <c r="AY430" s="94"/>
      <c r="AZ430" s="94"/>
      <c r="BA430" s="95"/>
    </row>
    <row r="431" spans="1:53" s="87" customFormat="1">
      <c r="A431" s="90" t="str">
        <f t="shared" si="31"/>
        <v/>
      </c>
      <c r="B431" s="98">
        <v>7</v>
      </c>
      <c r="C431" s="94">
        <v>-2</v>
      </c>
      <c r="D431" s="94" t="s">
        <v>210</v>
      </c>
      <c r="E431" s="94">
        <v>-6</v>
      </c>
      <c r="F431" s="94" t="s">
        <v>210</v>
      </c>
      <c r="G431" s="94">
        <v>3</v>
      </c>
      <c r="H431" s="94" t="s">
        <v>210</v>
      </c>
      <c r="I431" s="94" t="s">
        <v>210</v>
      </c>
      <c r="J431" s="94">
        <v>-8</v>
      </c>
      <c r="K431" s="94">
        <v>5</v>
      </c>
      <c r="L431" s="94" t="s">
        <v>210</v>
      </c>
      <c r="M431" s="94" t="s">
        <v>210</v>
      </c>
      <c r="N431" s="94">
        <v>-7</v>
      </c>
      <c r="O431" s="94">
        <v>6</v>
      </c>
      <c r="P431" s="94" t="s">
        <v>210</v>
      </c>
      <c r="Q431" s="94"/>
      <c r="R431" s="94"/>
      <c r="S431" s="94"/>
      <c r="T431" s="94"/>
      <c r="U431" s="94"/>
      <c r="V431" s="94"/>
      <c r="W431" s="94"/>
      <c r="X431" s="94"/>
      <c r="Y431" s="94"/>
      <c r="Z431" s="94"/>
      <c r="AA431" s="94"/>
      <c r="AB431" s="94"/>
      <c r="AC431" s="94"/>
      <c r="AD431" s="94"/>
      <c r="AE431" s="94"/>
      <c r="AF431" s="94"/>
      <c r="AG431" s="94"/>
      <c r="AH431" s="94"/>
      <c r="AI431" s="94"/>
      <c r="AJ431" s="94"/>
      <c r="AK431" s="94"/>
      <c r="AL431" s="94"/>
      <c r="AM431" s="94"/>
      <c r="AN431" s="94"/>
      <c r="AO431" s="94"/>
      <c r="AP431" s="94"/>
      <c r="AQ431" s="94"/>
      <c r="AR431" s="94"/>
      <c r="AS431" s="94"/>
      <c r="AT431" s="94"/>
      <c r="AU431" s="94"/>
      <c r="AV431" s="94"/>
      <c r="AW431" s="94"/>
      <c r="AX431" s="94"/>
      <c r="AY431" s="94"/>
      <c r="AZ431" s="94"/>
      <c r="BA431" s="95"/>
    </row>
    <row r="432" spans="1:53" s="87" customFormat="1">
      <c r="A432" s="90" t="str">
        <f t="shared" si="31"/>
        <v/>
      </c>
      <c r="B432" s="99">
        <v>8</v>
      </c>
      <c r="C432" s="92">
        <v>1</v>
      </c>
      <c r="D432" s="92" t="s">
        <v>210</v>
      </c>
      <c r="E432" s="92" t="s">
        <v>210</v>
      </c>
      <c r="F432" s="92">
        <v>-2</v>
      </c>
      <c r="G432" s="92">
        <v>7</v>
      </c>
      <c r="H432" s="92" t="s">
        <v>210</v>
      </c>
      <c r="I432" s="92" t="s">
        <v>210</v>
      </c>
      <c r="J432" s="92">
        <v>-5</v>
      </c>
      <c r="K432" s="92">
        <v>3</v>
      </c>
      <c r="L432" s="92" t="s">
        <v>210</v>
      </c>
      <c r="M432" s="92" t="s">
        <v>210</v>
      </c>
      <c r="N432" s="92">
        <v>8</v>
      </c>
      <c r="O432" s="92">
        <v>-6</v>
      </c>
      <c r="P432" s="92" t="s">
        <v>210</v>
      </c>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5"/>
    </row>
    <row r="433" spans="1:53" s="87" customFormat="1">
      <c r="A433" s="90" t="str">
        <f t="shared" si="31"/>
        <v/>
      </c>
      <c r="B433" s="98">
        <v>9</v>
      </c>
      <c r="C433" s="94" t="s">
        <v>210</v>
      </c>
      <c r="D433" s="94">
        <v>-5</v>
      </c>
      <c r="E433" s="94">
        <v>4</v>
      </c>
      <c r="F433" s="94" t="s">
        <v>210</v>
      </c>
      <c r="G433" s="94" t="s">
        <v>210</v>
      </c>
      <c r="H433" s="94">
        <v>2</v>
      </c>
      <c r="I433" s="94">
        <v>-6</v>
      </c>
      <c r="J433" s="94" t="s">
        <v>210</v>
      </c>
      <c r="K433" s="94" t="s">
        <v>210</v>
      </c>
      <c r="L433" s="94">
        <v>-7</v>
      </c>
      <c r="M433" s="94">
        <v>5</v>
      </c>
      <c r="N433" s="94" t="s">
        <v>210</v>
      </c>
      <c r="O433" s="94" t="s">
        <v>210</v>
      </c>
      <c r="P433" s="94">
        <v>3</v>
      </c>
      <c r="Q433" s="94"/>
      <c r="R433" s="94"/>
      <c r="S433" s="94"/>
      <c r="T433" s="94"/>
      <c r="U433" s="94"/>
      <c r="V433" s="94"/>
      <c r="W433" s="94"/>
      <c r="X433" s="94"/>
      <c r="Y433" s="94"/>
      <c r="Z433" s="94"/>
      <c r="AA433" s="94"/>
      <c r="AB433" s="94"/>
      <c r="AC433" s="94"/>
      <c r="AD433" s="94"/>
      <c r="AE433" s="94"/>
      <c r="AF433" s="94"/>
      <c r="AG433" s="94"/>
      <c r="AH433" s="94"/>
      <c r="AI433" s="94"/>
      <c r="AJ433" s="94"/>
      <c r="AK433" s="94"/>
      <c r="AL433" s="94"/>
      <c r="AM433" s="94"/>
      <c r="AN433" s="94"/>
      <c r="AO433" s="94"/>
      <c r="AP433" s="94"/>
      <c r="AQ433" s="94"/>
      <c r="AR433" s="94"/>
      <c r="AS433" s="94"/>
      <c r="AT433" s="94"/>
      <c r="AU433" s="94"/>
      <c r="AV433" s="94"/>
      <c r="AW433" s="94"/>
      <c r="AX433" s="94"/>
      <c r="AY433" s="94"/>
      <c r="AZ433" s="94"/>
      <c r="BA433" s="95"/>
    </row>
    <row r="434" spans="1:53" s="87" customFormat="1">
      <c r="A434" s="90" t="str">
        <f t="shared" si="31"/>
        <v/>
      </c>
      <c r="B434" s="98">
        <v>10</v>
      </c>
      <c r="C434" s="94" t="s">
        <v>210</v>
      </c>
      <c r="D434" s="94">
        <v>-8</v>
      </c>
      <c r="E434" s="94">
        <v>7</v>
      </c>
      <c r="F434" s="94" t="s">
        <v>210</v>
      </c>
      <c r="G434" s="94" t="s">
        <v>210</v>
      </c>
      <c r="H434" s="94">
        <v>4</v>
      </c>
      <c r="I434" s="94">
        <v>-2</v>
      </c>
      <c r="J434" s="94" t="s">
        <v>210</v>
      </c>
      <c r="K434" s="94" t="s">
        <v>210</v>
      </c>
      <c r="L434" s="94">
        <v>-5</v>
      </c>
      <c r="M434" s="94">
        <v>8</v>
      </c>
      <c r="N434" s="94" t="s">
        <v>210</v>
      </c>
      <c r="O434" s="94" t="s">
        <v>210</v>
      </c>
      <c r="P434" s="94">
        <v>-3</v>
      </c>
      <c r="Q434" s="94"/>
      <c r="R434" s="94"/>
      <c r="S434" s="94"/>
      <c r="T434" s="94"/>
      <c r="U434" s="94"/>
      <c r="V434" s="94"/>
      <c r="W434" s="94"/>
      <c r="X434" s="94"/>
      <c r="Y434" s="94"/>
      <c r="Z434" s="94"/>
      <c r="AA434" s="94"/>
      <c r="AB434" s="94"/>
      <c r="AC434" s="94"/>
      <c r="AD434" s="94"/>
      <c r="AE434" s="94"/>
      <c r="AF434" s="94"/>
      <c r="AG434" s="94"/>
      <c r="AH434" s="94"/>
      <c r="AI434" s="94"/>
      <c r="AJ434" s="94"/>
      <c r="AK434" s="94"/>
      <c r="AL434" s="94"/>
      <c r="AM434" s="94"/>
      <c r="AN434" s="94"/>
      <c r="AO434" s="94"/>
      <c r="AP434" s="94"/>
      <c r="AQ434" s="94"/>
      <c r="AR434" s="94"/>
      <c r="AS434" s="94"/>
      <c r="AT434" s="94"/>
      <c r="AU434" s="94"/>
      <c r="AV434" s="94"/>
      <c r="AW434" s="94"/>
      <c r="AX434" s="94"/>
      <c r="AY434" s="94"/>
      <c r="AZ434" s="94"/>
      <c r="BA434" s="95"/>
    </row>
    <row r="435" spans="1:53" s="87" customFormat="1">
      <c r="A435" s="90" t="str">
        <f t="shared" si="31"/>
        <v/>
      </c>
      <c r="B435" s="98">
        <v>11</v>
      </c>
      <c r="C435" s="94" t="s">
        <v>210</v>
      </c>
      <c r="D435" s="94">
        <v>-3</v>
      </c>
      <c r="E435" s="94">
        <v>-7</v>
      </c>
      <c r="F435" s="94" t="s">
        <v>210</v>
      </c>
      <c r="G435" s="94" t="s">
        <v>210</v>
      </c>
      <c r="H435" s="94">
        <v>1</v>
      </c>
      <c r="I435" s="94">
        <v>6</v>
      </c>
      <c r="J435" s="94" t="s">
        <v>210</v>
      </c>
      <c r="K435" s="94" t="s">
        <v>210</v>
      </c>
      <c r="L435" s="94">
        <v>-2</v>
      </c>
      <c r="M435" s="94">
        <v>3</v>
      </c>
      <c r="N435" s="94" t="s">
        <v>210</v>
      </c>
      <c r="O435" s="94" t="s">
        <v>210</v>
      </c>
      <c r="P435" s="94">
        <v>5</v>
      </c>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5"/>
    </row>
    <row r="436" spans="1:53" s="87" customFormat="1">
      <c r="A436" s="90" t="str">
        <f t="shared" si="31"/>
        <v/>
      </c>
      <c r="B436" s="98">
        <v>12</v>
      </c>
      <c r="C436" s="94" t="s">
        <v>210</v>
      </c>
      <c r="D436" s="94">
        <v>5</v>
      </c>
      <c r="E436" s="94">
        <v>2</v>
      </c>
      <c r="F436" s="94" t="s">
        <v>210</v>
      </c>
      <c r="G436" s="94" t="s">
        <v>210</v>
      </c>
      <c r="H436" s="94">
        <v>-4</v>
      </c>
      <c r="I436" s="94">
        <v>-7</v>
      </c>
      <c r="J436" s="94" t="s">
        <v>210</v>
      </c>
      <c r="K436" s="94" t="s">
        <v>210</v>
      </c>
      <c r="L436" s="94">
        <v>6</v>
      </c>
      <c r="M436" s="94">
        <v>1</v>
      </c>
      <c r="N436" s="94" t="s">
        <v>210</v>
      </c>
      <c r="O436" s="94" t="s">
        <v>210</v>
      </c>
      <c r="P436" s="94">
        <v>-5</v>
      </c>
      <c r="Q436" s="94"/>
      <c r="R436" s="94"/>
      <c r="S436" s="94"/>
      <c r="T436" s="94"/>
      <c r="U436" s="94"/>
      <c r="V436" s="94"/>
      <c r="W436" s="94"/>
      <c r="X436" s="94"/>
      <c r="Y436" s="94"/>
      <c r="Z436" s="94"/>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c r="AW436" s="94"/>
      <c r="AX436" s="94"/>
      <c r="AY436" s="94"/>
      <c r="AZ436" s="94"/>
      <c r="BA436" s="95"/>
    </row>
    <row r="437" spans="1:53" s="87" customFormat="1">
      <c r="A437" s="90" t="str">
        <f t="shared" si="31"/>
        <v/>
      </c>
      <c r="B437" s="98">
        <v>13</v>
      </c>
      <c r="C437" s="94" t="s">
        <v>210</v>
      </c>
      <c r="D437" s="94">
        <v>-4</v>
      </c>
      <c r="E437" s="94">
        <v>8</v>
      </c>
      <c r="F437" s="94" t="s">
        <v>210</v>
      </c>
      <c r="G437" s="94" t="s">
        <v>210</v>
      </c>
      <c r="H437" s="94">
        <v>-2</v>
      </c>
      <c r="I437" s="94">
        <v>7</v>
      </c>
      <c r="J437" s="94" t="s">
        <v>210</v>
      </c>
      <c r="K437" s="94" t="s">
        <v>210</v>
      </c>
      <c r="L437" s="94">
        <v>5</v>
      </c>
      <c r="M437" s="94">
        <v>-3</v>
      </c>
      <c r="N437" s="94" t="s">
        <v>210</v>
      </c>
      <c r="O437" s="94" t="s">
        <v>210</v>
      </c>
      <c r="P437" s="94">
        <v>6</v>
      </c>
      <c r="Q437" s="94"/>
      <c r="R437" s="94"/>
      <c r="S437" s="94"/>
      <c r="T437" s="94"/>
      <c r="U437" s="94"/>
      <c r="V437" s="94"/>
      <c r="W437" s="94"/>
      <c r="X437" s="94"/>
      <c r="Y437" s="94"/>
      <c r="Z437" s="94"/>
      <c r="AA437" s="94"/>
      <c r="AB437" s="94"/>
      <c r="AC437" s="94"/>
      <c r="AD437" s="94"/>
      <c r="AE437" s="94"/>
      <c r="AF437" s="94"/>
      <c r="AG437" s="94"/>
      <c r="AH437" s="94"/>
      <c r="AI437" s="94"/>
      <c r="AJ437" s="94"/>
      <c r="AK437" s="94"/>
      <c r="AL437" s="94"/>
      <c r="AM437" s="94"/>
      <c r="AN437" s="94"/>
      <c r="AO437" s="94"/>
      <c r="AP437" s="94"/>
      <c r="AQ437" s="94"/>
      <c r="AR437" s="94"/>
      <c r="AS437" s="94"/>
      <c r="AT437" s="94"/>
      <c r="AU437" s="94"/>
      <c r="AV437" s="94"/>
      <c r="AW437" s="94"/>
      <c r="AX437" s="94"/>
      <c r="AY437" s="94"/>
      <c r="AZ437" s="94"/>
      <c r="BA437" s="95"/>
    </row>
    <row r="438" spans="1:53" s="87" customFormat="1">
      <c r="A438" s="90" t="str">
        <f t="shared" si="31"/>
        <v/>
      </c>
      <c r="B438" s="98">
        <v>14</v>
      </c>
      <c r="C438" s="94" t="s">
        <v>210</v>
      </c>
      <c r="D438" s="94">
        <v>8</v>
      </c>
      <c r="E438" s="94">
        <v>-4</v>
      </c>
      <c r="F438" s="94" t="s">
        <v>210</v>
      </c>
      <c r="G438" s="94" t="s">
        <v>210</v>
      </c>
      <c r="H438" s="94">
        <v>7</v>
      </c>
      <c r="I438" s="94">
        <v>-3</v>
      </c>
      <c r="J438" s="94" t="s">
        <v>210</v>
      </c>
      <c r="K438" s="94" t="s">
        <v>210</v>
      </c>
      <c r="L438" s="94">
        <v>2</v>
      </c>
      <c r="M438" s="94">
        <v>-1</v>
      </c>
      <c r="N438" s="94" t="s">
        <v>210</v>
      </c>
      <c r="O438" s="94" t="s">
        <v>210</v>
      </c>
      <c r="P438" s="94">
        <v>-6</v>
      </c>
      <c r="Q438" s="94"/>
      <c r="R438" s="94"/>
      <c r="S438" s="94"/>
      <c r="T438" s="94"/>
      <c r="U438" s="94"/>
      <c r="V438" s="94"/>
      <c r="W438" s="94"/>
      <c r="X438" s="94"/>
      <c r="Y438" s="94"/>
      <c r="Z438" s="94"/>
      <c r="AA438" s="94"/>
      <c r="AB438" s="94"/>
      <c r="AC438" s="94"/>
      <c r="AD438" s="94"/>
      <c r="AE438" s="94"/>
      <c r="AF438" s="94"/>
      <c r="AG438" s="94"/>
      <c r="AH438" s="94"/>
      <c r="AI438" s="94"/>
      <c r="AJ438" s="94"/>
      <c r="AK438" s="94"/>
      <c r="AL438" s="94"/>
      <c r="AM438" s="94"/>
      <c r="AN438" s="94"/>
      <c r="AO438" s="94"/>
      <c r="AP438" s="94"/>
      <c r="AQ438" s="94"/>
      <c r="AR438" s="94"/>
      <c r="AS438" s="94"/>
      <c r="AT438" s="94"/>
      <c r="AU438" s="94"/>
      <c r="AV438" s="94"/>
      <c r="AW438" s="94"/>
      <c r="AX438" s="94"/>
      <c r="AY438" s="94"/>
      <c r="AZ438" s="94"/>
      <c r="BA438" s="95"/>
    </row>
    <row r="439" spans="1:53" s="87" customFormat="1">
      <c r="A439" s="90" t="str">
        <f t="shared" si="31"/>
        <v/>
      </c>
      <c r="B439" s="98">
        <v>15</v>
      </c>
      <c r="C439" s="94" t="s">
        <v>210</v>
      </c>
      <c r="D439" s="94">
        <v>3</v>
      </c>
      <c r="E439" s="94">
        <v>-8</v>
      </c>
      <c r="F439" s="94" t="s">
        <v>210</v>
      </c>
      <c r="G439" s="94" t="s">
        <v>210</v>
      </c>
      <c r="H439" s="94">
        <v>-7</v>
      </c>
      <c r="I439" s="94">
        <v>2</v>
      </c>
      <c r="J439" s="94" t="s">
        <v>210</v>
      </c>
      <c r="K439" s="94" t="s">
        <v>210</v>
      </c>
      <c r="L439" s="94">
        <v>-6</v>
      </c>
      <c r="M439" s="94">
        <v>-5</v>
      </c>
      <c r="N439" s="94" t="s">
        <v>210</v>
      </c>
      <c r="O439" s="94" t="s">
        <v>210</v>
      </c>
      <c r="P439" s="94">
        <v>4</v>
      </c>
      <c r="Q439" s="94"/>
      <c r="R439" s="94"/>
      <c r="S439" s="94"/>
      <c r="T439" s="94"/>
      <c r="U439" s="94"/>
      <c r="V439" s="94"/>
      <c r="W439" s="94"/>
      <c r="X439" s="94"/>
      <c r="Y439" s="94"/>
      <c r="Z439" s="94"/>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AZ439" s="94"/>
      <c r="BA439" s="95"/>
    </row>
    <row r="440" spans="1:53" s="87" customFormat="1">
      <c r="A440" s="90" t="str">
        <f t="shared" si="31"/>
        <v/>
      </c>
      <c r="B440" s="99">
        <v>16</v>
      </c>
      <c r="C440" s="92" t="s">
        <v>210</v>
      </c>
      <c r="D440" s="92">
        <v>4</v>
      </c>
      <c r="E440" s="92">
        <v>-2</v>
      </c>
      <c r="F440" s="92" t="s">
        <v>210</v>
      </c>
      <c r="G440" s="92" t="s">
        <v>210</v>
      </c>
      <c r="H440" s="92">
        <v>-1</v>
      </c>
      <c r="I440" s="92">
        <v>3</v>
      </c>
      <c r="J440" s="92" t="s">
        <v>210</v>
      </c>
      <c r="K440" s="92" t="s">
        <v>210</v>
      </c>
      <c r="L440" s="92">
        <v>7</v>
      </c>
      <c r="M440" s="92">
        <v>-8</v>
      </c>
      <c r="N440" s="92" t="s">
        <v>210</v>
      </c>
      <c r="O440" s="92" t="s">
        <v>210</v>
      </c>
      <c r="P440" s="92">
        <v>-4</v>
      </c>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5"/>
    </row>
    <row r="441" spans="1:53" s="87" customFormat="1">
      <c r="A441" s="90" t="str">
        <f t="shared" si="31"/>
        <v/>
      </c>
      <c r="B441" s="98">
        <v>17</v>
      </c>
      <c r="C441" s="94">
        <v>-7</v>
      </c>
      <c r="D441" s="94" t="s">
        <v>210</v>
      </c>
      <c r="E441" s="94" t="s">
        <v>210</v>
      </c>
      <c r="F441" s="94">
        <v>6</v>
      </c>
      <c r="G441" s="94">
        <v>-4</v>
      </c>
      <c r="H441" s="94" t="s">
        <v>210</v>
      </c>
      <c r="I441" s="94">
        <v>5</v>
      </c>
      <c r="J441" s="94" t="s">
        <v>210</v>
      </c>
      <c r="K441" s="94">
        <v>8</v>
      </c>
      <c r="L441" s="94" t="s">
        <v>210</v>
      </c>
      <c r="M441" s="94" t="s">
        <v>210</v>
      </c>
      <c r="N441" s="94">
        <v>-3</v>
      </c>
      <c r="O441" s="94">
        <v>7</v>
      </c>
      <c r="P441" s="94" t="s">
        <v>210</v>
      </c>
      <c r="Q441" s="94"/>
      <c r="R441" s="94"/>
      <c r="S441" s="94"/>
      <c r="T441" s="94"/>
      <c r="U441" s="94"/>
      <c r="V441" s="94"/>
      <c r="W441" s="94"/>
      <c r="X441" s="94"/>
      <c r="Y441" s="94"/>
      <c r="Z441" s="94"/>
      <c r="AA441" s="94"/>
      <c r="AB441" s="94"/>
      <c r="AC441" s="94"/>
      <c r="AD441" s="94"/>
      <c r="AE441" s="94"/>
      <c r="AF441" s="94"/>
      <c r="AG441" s="94"/>
      <c r="AH441" s="94"/>
      <c r="AI441" s="94"/>
      <c r="AJ441" s="94"/>
      <c r="AK441" s="94"/>
      <c r="AL441" s="94"/>
      <c r="AM441" s="94"/>
      <c r="AN441" s="94"/>
      <c r="AO441" s="94"/>
      <c r="AP441" s="94"/>
      <c r="AQ441" s="94"/>
      <c r="AR441" s="94"/>
      <c r="AS441" s="94"/>
      <c r="AT441" s="94"/>
      <c r="AU441" s="94"/>
      <c r="AV441" s="94"/>
      <c r="AW441" s="94"/>
      <c r="AX441" s="94"/>
      <c r="AY441" s="94"/>
      <c r="AZ441" s="94"/>
      <c r="BA441" s="95"/>
    </row>
    <row r="442" spans="1:53" s="87" customFormat="1">
      <c r="A442" s="90" t="str">
        <f t="shared" si="31"/>
        <v/>
      </c>
      <c r="B442" s="98">
        <v>18</v>
      </c>
      <c r="C442" s="94">
        <v>8</v>
      </c>
      <c r="D442" s="94" t="s">
        <v>210</v>
      </c>
      <c r="E442" s="94" t="s">
        <v>210</v>
      </c>
      <c r="F442" s="94">
        <v>4</v>
      </c>
      <c r="G442" s="94">
        <v>-2</v>
      </c>
      <c r="H442" s="94" t="s">
        <v>210</v>
      </c>
      <c r="I442" s="94" t="s">
        <v>210</v>
      </c>
      <c r="J442" s="94">
        <v>3</v>
      </c>
      <c r="K442" s="94">
        <v>1</v>
      </c>
      <c r="L442" s="94" t="s">
        <v>210</v>
      </c>
      <c r="M442" s="94" t="s">
        <v>210</v>
      </c>
      <c r="N442" s="94">
        <v>-4</v>
      </c>
      <c r="O442" s="94">
        <v>-7</v>
      </c>
      <c r="P442" s="94" t="s">
        <v>210</v>
      </c>
      <c r="Q442" s="94"/>
      <c r="R442" s="94"/>
      <c r="S442" s="94"/>
      <c r="T442" s="94"/>
      <c r="U442" s="94"/>
      <c r="V442" s="94"/>
      <c r="W442" s="94"/>
      <c r="X442" s="94"/>
      <c r="Y442" s="94"/>
      <c r="Z442" s="94"/>
      <c r="AA442" s="94"/>
      <c r="AB442" s="94"/>
      <c r="AC442" s="94"/>
      <c r="AD442" s="94"/>
      <c r="AE442" s="94"/>
      <c r="AF442" s="94"/>
      <c r="AG442" s="94"/>
      <c r="AH442" s="94"/>
      <c r="AI442" s="94"/>
      <c r="AJ442" s="94"/>
      <c r="AK442" s="94"/>
      <c r="AL442" s="94"/>
      <c r="AM442" s="94"/>
      <c r="AN442" s="94"/>
      <c r="AO442" s="94"/>
      <c r="AP442" s="94"/>
      <c r="AQ442" s="94"/>
      <c r="AR442" s="94"/>
      <c r="AS442" s="94"/>
      <c r="AT442" s="94"/>
      <c r="AU442" s="94"/>
      <c r="AV442" s="94"/>
      <c r="AW442" s="94"/>
      <c r="AX442" s="94"/>
      <c r="AY442" s="94"/>
      <c r="AZ442" s="94"/>
      <c r="BA442" s="95"/>
    </row>
    <row r="443" spans="1:53" s="87" customFormat="1">
      <c r="A443" s="90" t="str">
        <f t="shared" si="31"/>
        <v/>
      </c>
      <c r="B443" s="98">
        <v>19</v>
      </c>
      <c r="C443" s="94">
        <v>-6</v>
      </c>
      <c r="D443" s="94" t="s">
        <v>210</v>
      </c>
      <c r="E443" s="94" t="s">
        <v>210</v>
      </c>
      <c r="F443" s="94">
        <v>7</v>
      </c>
      <c r="G443" s="94">
        <v>-8</v>
      </c>
      <c r="H443" s="94" t="s">
        <v>210</v>
      </c>
      <c r="I443" s="94" t="s">
        <v>210</v>
      </c>
      <c r="J443" s="94">
        <v>4</v>
      </c>
      <c r="K443" s="94">
        <v>-1</v>
      </c>
      <c r="L443" s="94" t="s">
        <v>210</v>
      </c>
      <c r="M443" s="94" t="s">
        <v>210</v>
      </c>
      <c r="N443" s="94">
        <v>3</v>
      </c>
      <c r="O443" s="94">
        <v>2</v>
      </c>
      <c r="P443" s="94" t="s">
        <v>210</v>
      </c>
      <c r="Q443" s="94"/>
      <c r="R443" s="94"/>
      <c r="S443" s="94"/>
      <c r="T443" s="94"/>
      <c r="U443" s="94"/>
      <c r="V443" s="94"/>
      <c r="W443" s="94"/>
      <c r="X443" s="94"/>
      <c r="Y443" s="94"/>
      <c r="Z443" s="94"/>
      <c r="AA443" s="94"/>
      <c r="AB443" s="94"/>
      <c r="AC443" s="94"/>
      <c r="AD443" s="94"/>
      <c r="AE443" s="94"/>
      <c r="AF443" s="94"/>
      <c r="AG443" s="94"/>
      <c r="AH443" s="94"/>
      <c r="AI443" s="94"/>
      <c r="AJ443" s="94"/>
      <c r="AK443" s="94"/>
      <c r="AL443" s="94"/>
      <c r="AM443" s="94"/>
      <c r="AN443" s="94"/>
      <c r="AO443" s="94"/>
      <c r="AP443" s="94"/>
      <c r="AQ443" s="94"/>
      <c r="AR443" s="94"/>
      <c r="AS443" s="94"/>
      <c r="AT443" s="94"/>
      <c r="AU443" s="94"/>
      <c r="AV443" s="94"/>
      <c r="AW443" s="94"/>
      <c r="AX443" s="94"/>
      <c r="AY443" s="94"/>
      <c r="AZ443" s="94"/>
      <c r="BA443" s="95"/>
    </row>
    <row r="444" spans="1:53" s="87" customFormat="1">
      <c r="A444" s="90" t="str">
        <f t="shared" si="31"/>
        <v/>
      </c>
      <c r="B444" s="98">
        <v>20</v>
      </c>
      <c r="C444" s="94">
        <v>3</v>
      </c>
      <c r="D444" s="94" t="s">
        <v>210</v>
      </c>
      <c r="E444" s="94" t="s">
        <v>210</v>
      </c>
      <c r="F444" s="94">
        <v>1</v>
      </c>
      <c r="G444" s="94">
        <v>-5</v>
      </c>
      <c r="H444" s="94" t="s">
        <v>210</v>
      </c>
      <c r="I444" s="94" t="s">
        <v>210</v>
      </c>
      <c r="J444" s="94">
        <v>7</v>
      </c>
      <c r="K444" s="94">
        <v>-8</v>
      </c>
      <c r="L444" s="94" t="s">
        <v>210</v>
      </c>
      <c r="M444" s="94" t="s">
        <v>210</v>
      </c>
      <c r="N444" s="94">
        <v>4</v>
      </c>
      <c r="O444" s="94">
        <v>-2</v>
      </c>
      <c r="P444" s="94" t="s">
        <v>210</v>
      </c>
      <c r="Q444" s="94"/>
      <c r="R444" s="94"/>
      <c r="S444" s="94"/>
      <c r="T444" s="94"/>
      <c r="U444" s="94"/>
      <c r="V444" s="94"/>
      <c r="W444" s="94"/>
      <c r="X444" s="94"/>
      <c r="Y444" s="94"/>
      <c r="Z444" s="94"/>
      <c r="AA444" s="94"/>
      <c r="AB444" s="94"/>
      <c r="AC444" s="94"/>
      <c r="AD444" s="94"/>
      <c r="AE444" s="94"/>
      <c r="AF444" s="94"/>
      <c r="AG444" s="94"/>
      <c r="AH444" s="94"/>
      <c r="AI444" s="94"/>
      <c r="AJ444" s="94"/>
      <c r="AK444" s="94"/>
      <c r="AL444" s="94"/>
      <c r="AM444" s="94"/>
      <c r="AN444" s="94"/>
      <c r="AO444" s="94"/>
      <c r="AP444" s="94"/>
      <c r="AQ444" s="94"/>
      <c r="AR444" s="94"/>
      <c r="AS444" s="94"/>
      <c r="AT444" s="94"/>
      <c r="AU444" s="94"/>
      <c r="AV444" s="94"/>
      <c r="AW444" s="94"/>
      <c r="AX444" s="94"/>
      <c r="AY444" s="94"/>
      <c r="AZ444" s="94"/>
      <c r="BA444" s="95"/>
    </row>
    <row r="445" spans="1:53" s="87" customFormat="1">
      <c r="A445" s="90" t="str">
        <f t="shared" si="31"/>
        <v/>
      </c>
      <c r="B445" s="98">
        <v>21</v>
      </c>
      <c r="C445" s="94">
        <v>7</v>
      </c>
      <c r="D445" s="94" t="s">
        <v>210</v>
      </c>
      <c r="E445" s="94" t="s">
        <v>210</v>
      </c>
      <c r="F445" s="94">
        <v>-4</v>
      </c>
      <c r="G445" s="94">
        <v>8</v>
      </c>
      <c r="H445" s="94" t="s">
        <v>210</v>
      </c>
      <c r="I445" s="94" t="s">
        <v>210</v>
      </c>
      <c r="J445" s="94">
        <v>-7</v>
      </c>
      <c r="K445" s="94">
        <v>-2</v>
      </c>
      <c r="L445" s="94" t="s">
        <v>210</v>
      </c>
      <c r="M445" s="94" t="s">
        <v>210</v>
      </c>
      <c r="N445" s="94">
        <v>6</v>
      </c>
      <c r="O445" s="94">
        <v>-1</v>
      </c>
      <c r="P445" s="94" t="s">
        <v>210</v>
      </c>
      <c r="Q445" s="94"/>
      <c r="R445" s="94"/>
      <c r="S445" s="94"/>
      <c r="T445" s="94"/>
      <c r="U445" s="94"/>
      <c r="V445" s="94"/>
      <c r="W445" s="94"/>
      <c r="X445" s="94"/>
      <c r="Y445" s="94"/>
      <c r="Z445" s="94"/>
      <c r="AA445" s="94"/>
      <c r="AB445" s="94"/>
      <c r="AC445" s="94"/>
      <c r="AD445" s="94"/>
      <c r="AE445" s="94"/>
      <c r="AF445" s="94"/>
      <c r="AG445" s="94"/>
      <c r="AH445" s="94"/>
      <c r="AI445" s="94"/>
      <c r="AJ445" s="94"/>
      <c r="AK445" s="94"/>
      <c r="AL445" s="94"/>
      <c r="AM445" s="94"/>
      <c r="AN445" s="94"/>
      <c r="AO445" s="94"/>
      <c r="AP445" s="94"/>
      <c r="AQ445" s="94"/>
      <c r="AR445" s="94"/>
      <c r="AS445" s="94"/>
      <c r="AT445" s="94"/>
      <c r="AU445" s="94"/>
      <c r="AV445" s="94"/>
      <c r="AW445" s="94"/>
      <c r="AX445" s="94"/>
      <c r="AY445" s="94"/>
      <c r="AZ445" s="94"/>
      <c r="BA445" s="95"/>
    </row>
    <row r="446" spans="1:53" s="87" customFormat="1">
      <c r="A446" s="90" t="str">
        <f t="shared" si="31"/>
        <v/>
      </c>
      <c r="B446" s="98">
        <v>22</v>
      </c>
      <c r="C446" s="94">
        <v>-8</v>
      </c>
      <c r="D446" s="94" t="s">
        <v>210</v>
      </c>
      <c r="E446" s="94" t="s">
        <v>210</v>
      </c>
      <c r="F446" s="94">
        <v>-6</v>
      </c>
      <c r="G446" s="94">
        <v>5</v>
      </c>
      <c r="H446" s="94" t="s">
        <v>210</v>
      </c>
      <c r="I446" s="94" t="s">
        <v>210</v>
      </c>
      <c r="J446" s="94">
        <v>-4</v>
      </c>
      <c r="K446" s="94">
        <v>-7</v>
      </c>
      <c r="L446" s="94" t="s">
        <v>210</v>
      </c>
      <c r="M446" s="94">
        <v>6</v>
      </c>
      <c r="N446" s="94" t="s">
        <v>210</v>
      </c>
      <c r="O446" s="94">
        <v>1</v>
      </c>
      <c r="P446" s="94" t="s">
        <v>210</v>
      </c>
      <c r="Q446" s="94"/>
      <c r="R446" s="94"/>
      <c r="S446" s="94"/>
      <c r="T446" s="94"/>
      <c r="U446" s="94"/>
      <c r="V446" s="94"/>
      <c r="W446" s="94"/>
      <c r="X446" s="94"/>
      <c r="Y446" s="94"/>
      <c r="Z446" s="94"/>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AZ446" s="94"/>
      <c r="BA446" s="95"/>
    </row>
    <row r="447" spans="1:53" s="87" customFormat="1">
      <c r="A447" s="90" t="str">
        <f t="shared" si="31"/>
        <v/>
      </c>
      <c r="B447" s="98">
        <v>23</v>
      </c>
      <c r="C447" s="94">
        <v>-3</v>
      </c>
      <c r="D447" s="94" t="s">
        <v>210</v>
      </c>
      <c r="E447" s="94" t="s">
        <v>210</v>
      </c>
      <c r="F447" s="94">
        <v>-7</v>
      </c>
      <c r="G447" s="94">
        <v>2</v>
      </c>
      <c r="H447" s="94" t="s">
        <v>210</v>
      </c>
      <c r="I447" s="94">
        <v>-5</v>
      </c>
      <c r="J447" s="94" t="s">
        <v>210</v>
      </c>
      <c r="K447" s="94">
        <v>7</v>
      </c>
      <c r="L447" s="94" t="s">
        <v>210</v>
      </c>
      <c r="M447" s="94" t="s">
        <v>210</v>
      </c>
      <c r="N447" s="94">
        <v>-6</v>
      </c>
      <c r="O447" s="94">
        <v>8</v>
      </c>
      <c r="P447" s="94" t="s">
        <v>210</v>
      </c>
      <c r="Q447" s="94"/>
      <c r="R447" s="94"/>
      <c r="S447" s="94"/>
      <c r="T447" s="94"/>
      <c r="U447" s="94"/>
      <c r="V447" s="94"/>
      <c r="W447" s="94"/>
      <c r="X447" s="94"/>
      <c r="Y447" s="94"/>
      <c r="Z447" s="94"/>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5"/>
    </row>
    <row r="448" spans="1:53" s="87" customFormat="1">
      <c r="A448" s="90" t="str">
        <f t="shared" si="31"/>
        <v/>
      </c>
      <c r="B448" s="99">
        <v>24</v>
      </c>
      <c r="C448" s="92">
        <v>6</v>
      </c>
      <c r="D448" s="92" t="s">
        <v>210</v>
      </c>
      <c r="E448" s="92" t="s">
        <v>210</v>
      </c>
      <c r="F448" s="92">
        <v>-1</v>
      </c>
      <c r="G448" s="92">
        <v>4</v>
      </c>
      <c r="H448" s="92" t="s">
        <v>210</v>
      </c>
      <c r="I448" s="92" t="s">
        <v>210</v>
      </c>
      <c r="J448" s="92">
        <v>-3</v>
      </c>
      <c r="K448" s="92">
        <v>2</v>
      </c>
      <c r="L448" s="92" t="s">
        <v>210</v>
      </c>
      <c r="M448" s="92">
        <v>-6</v>
      </c>
      <c r="N448" s="92" t="s">
        <v>210</v>
      </c>
      <c r="O448" s="92">
        <v>-8</v>
      </c>
      <c r="P448" s="92" t="s">
        <v>210</v>
      </c>
      <c r="Q448" s="94"/>
      <c r="R448" s="94"/>
      <c r="S448" s="94"/>
      <c r="T448" s="94"/>
      <c r="U448" s="94"/>
      <c r="V448" s="94"/>
      <c r="W448" s="94"/>
      <c r="X448" s="94"/>
      <c r="Y448" s="94"/>
      <c r="Z448" s="94"/>
      <c r="AA448" s="94"/>
      <c r="AB448" s="94"/>
      <c r="AC448" s="94"/>
      <c r="AD448" s="94"/>
      <c r="AE448" s="94"/>
      <c r="AF448" s="94"/>
      <c r="AG448" s="94"/>
      <c r="AH448" s="94"/>
      <c r="AI448" s="94"/>
      <c r="AJ448" s="94"/>
      <c r="AK448" s="94"/>
      <c r="AL448" s="94"/>
      <c r="AM448" s="94"/>
      <c r="AN448" s="94"/>
      <c r="AO448" s="94"/>
      <c r="AP448" s="94"/>
      <c r="AQ448" s="94"/>
      <c r="AR448" s="94"/>
      <c r="AS448" s="94"/>
      <c r="AT448" s="94"/>
      <c r="AU448" s="94"/>
      <c r="AV448" s="94"/>
      <c r="AW448" s="94"/>
      <c r="AX448" s="94"/>
      <c r="AY448" s="94"/>
      <c r="AZ448" s="94"/>
      <c r="BA448" s="95"/>
    </row>
    <row r="449" spans="1:53" s="87" customFormat="1">
      <c r="A449" s="90" t="str">
        <f t="shared" si="31"/>
        <v/>
      </c>
      <c r="B449" s="98">
        <v>25</v>
      </c>
      <c r="C449" s="94" t="s">
        <v>210</v>
      </c>
      <c r="D449" s="94">
        <v>-7</v>
      </c>
      <c r="E449" s="94">
        <v>3</v>
      </c>
      <c r="F449" s="94" t="s">
        <v>210</v>
      </c>
      <c r="G449" s="94" t="s">
        <v>210</v>
      </c>
      <c r="H449" s="94">
        <v>-6</v>
      </c>
      <c r="I449" s="94">
        <v>-1</v>
      </c>
      <c r="J449" s="94" t="s">
        <v>210</v>
      </c>
      <c r="K449" s="94" t="s">
        <v>210</v>
      </c>
      <c r="L449" s="94">
        <v>4</v>
      </c>
      <c r="M449" s="94" t="s">
        <v>202</v>
      </c>
      <c r="N449" s="94" t="s">
        <v>210</v>
      </c>
      <c r="O449" s="94" t="s">
        <v>210</v>
      </c>
      <c r="P449" s="94">
        <v>2</v>
      </c>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5"/>
    </row>
    <row r="450" spans="1:53" s="87" customFormat="1">
      <c r="A450" s="90" t="str">
        <f t="shared" si="31"/>
        <v/>
      </c>
      <c r="B450" s="98">
        <v>26</v>
      </c>
      <c r="C450" s="94" t="s">
        <v>210</v>
      </c>
      <c r="D450" s="94">
        <v>6</v>
      </c>
      <c r="E450" s="94">
        <v>-1</v>
      </c>
      <c r="F450" s="94" t="s">
        <v>210</v>
      </c>
      <c r="G450" s="94" t="s">
        <v>210</v>
      </c>
      <c r="H450" s="94">
        <v>5</v>
      </c>
      <c r="I450" s="94">
        <v>4</v>
      </c>
      <c r="J450" s="94" t="s">
        <v>210</v>
      </c>
      <c r="K450" s="94" t="s">
        <v>210</v>
      </c>
      <c r="L450" s="94" t="s">
        <v>202</v>
      </c>
      <c r="M450" s="94">
        <v>-7</v>
      </c>
      <c r="N450" s="94" t="s">
        <v>210</v>
      </c>
      <c r="O450" s="94" t="s">
        <v>210</v>
      </c>
      <c r="P450" s="94">
        <v>-2</v>
      </c>
      <c r="Q450" s="94"/>
      <c r="R450" s="94"/>
      <c r="S450" s="94"/>
      <c r="T450" s="94"/>
      <c r="U450" s="94"/>
      <c r="V450" s="94"/>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5"/>
    </row>
    <row r="451" spans="1:53" s="87" customFormat="1">
      <c r="A451" s="90" t="str">
        <f t="shared" si="31"/>
        <v/>
      </c>
      <c r="B451" s="98">
        <v>27</v>
      </c>
      <c r="C451" s="94" t="s">
        <v>210</v>
      </c>
      <c r="D451" s="94">
        <v>2</v>
      </c>
      <c r="E451" s="94">
        <v>-3</v>
      </c>
      <c r="F451" s="94" t="s">
        <v>210</v>
      </c>
      <c r="G451" s="94" t="s">
        <v>210</v>
      </c>
      <c r="H451" s="94">
        <v>-5</v>
      </c>
      <c r="I451" s="94" t="s">
        <v>202</v>
      </c>
      <c r="J451" s="94" t="s">
        <v>210</v>
      </c>
      <c r="K451" s="94" t="s">
        <v>210</v>
      </c>
      <c r="L451" s="94">
        <v>1</v>
      </c>
      <c r="M451" s="94">
        <v>-4</v>
      </c>
      <c r="N451" s="94" t="s">
        <v>210</v>
      </c>
      <c r="O451" s="94" t="s">
        <v>210</v>
      </c>
      <c r="P451" s="94">
        <v>7</v>
      </c>
      <c r="Q451" s="94"/>
      <c r="R451" s="94"/>
      <c r="S451" s="94"/>
      <c r="T451" s="94"/>
      <c r="U451" s="94"/>
      <c r="V451" s="94"/>
      <c r="W451" s="94"/>
      <c r="X451" s="94"/>
      <c r="Y451" s="94"/>
      <c r="Z451" s="94"/>
      <c r="AA451" s="94"/>
      <c r="AB451" s="94"/>
      <c r="AC451" s="94"/>
      <c r="AD451" s="94"/>
      <c r="AE451" s="94"/>
      <c r="AF451" s="94"/>
      <c r="AG451" s="94"/>
      <c r="AH451" s="94"/>
      <c r="AI451" s="94"/>
      <c r="AJ451" s="94"/>
      <c r="AK451" s="94"/>
      <c r="AL451" s="94"/>
      <c r="AM451" s="94"/>
      <c r="AN451" s="94"/>
      <c r="AO451" s="94"/>
      <c r="AP451" s="94"/>
      <c r="AQ451" s="94"/>
      <c r="AR451" s="94"/>
      <c r="AS451" s="94"/>
      <c r="AT451" s="94"/>
      <c r="AU451" s="94"/>
      <c r="AV451" s="94"/>
      <c r="AW451" s="94"/>
      <c r="AX451" s="94"/>
      <c r="AY451" s="94"/>
      <c r="AZ451" s="94"/>
      <c r="BA451" s="95"/>
    </row>
    <row r="452" spans="1:53" s="87" customFormat="1">
      <c r="A452" s="90" t="str">
        <f t="shared" si="31"/>
        <v/>
      </c>
      <c r="B452" s="98">
        <v>28</v>
      </c>
      <c r="C452" s="94" t="s">
        <v>210</v>
      </c>
      <c r="D452" s="94" t="s">
        <v>202</v>
      </c>
      <c r="E452" s="94">
        <v>1</v>
      </c>
      <c r="F452" s="94" t="s">
        <v>210</v>
      </c>
      <c r="G452" s="94" t="s">
        <v>210</v>
      </c>
      <c r="H452" s="94">
        <v>6</v>
      </c>
      <c r="I452" s="94">
        <v>-8</v>
      </c>
      <c r="J452" s="94" t="s">
        <v>210</v>
      </c>
      <c r="K452" s="94" t="s">
        <v>210</v>
      </c>
      <c r="L452" s="94">
        <v>3</v>
      </c>
      <c r="M452" s="94">
        <v>-2</v>
      </c>
      <c r="N452" s="94" t="s">
        <v>210</v>
      </c>
      <c r="O452" s="94" t="s">
        <v>210</v>
      </c>
      <c r="P452" s="94">
        <v>-7</v>
      </c>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5"/>
    </row>
    <row r="453" spans="1:53" s="87" customFormat="1">
      <c r="A453" s="90" t="str">
        <f t="shared" si="31"/>
        <v/>
      </c>
      <c r="B453" s="98">
        <v>29</v>
      </c>
      <c r="C453" s="94" t="s">
        <v>210</v>
      </c>
      <c r="D453" s="94">
        <v>-6</v>
      </c>
      <c r="E453" s="94">
        <v>-5</v>
      </c>
      <c r="F453" s="94" t="s">
        <v>210</v>
      </c>
      <c r="G453" s="94" t="s">
        <v>210</v>
      </c>
      <c r="H453" s="94" t="s">
        <v>202</v>
      </c>
      <c r="I453" s="94">
        <v>1</v>
      </c>
      <c r="J453" s="94" t="s">
        <v>210</v>
      </c>
      <c r="K453" s="94" t="s">
        <v>210</v>
      </c>
      <c r="L453" s="94">
        <v>-3</v>
      </c>
      <c r="M453" s="94">
        <v>4</v>
      </c>
      <c r="N453" s="94" t="s">
        <v>210</v>
      </c>
      <c r="O453" s="94" t="s">
        <v>210</v>
      </c>
      <c r="P453" s="94">
        <v>8</v>
      </c>
      <c r="Q453" s="94"/>
      <c r="R453" s="94"/>
      <c r="S453" s="94"/>
      <c r="T453" s="94"/>
      <c r="U453" s="94"/>
      <c r="V453" s="94"/>
      <c r="W453" s="94"/>
      <c r="X453" s="94"/>
      <c r="Y453" s="94"/>
      <c r="Z453" s="94"/>
      <c r="AA453" s="94"/>
      <c r="AB453" s="94"/>
      <c r="AC453" s="94"/>
      <c r="AD453" s="94"/>
      <c r="AE453" s="94"/>
      <c r="AF453" s="94"/>
      <c r="AG453" s="94"/>
      <c r="AH453" s="94"/>
      <c r="AI453" s="94"/>
      <c r="AJ453" s="94"/>
      <c r="AK453" s="94"/>
      <c r="AL453" s="94"/>
      <c r="AM453" s="94"/>
      <c r="AN453" s="94"/>
      <c r="AO453" s="94"/>
      <c r="AP453" s="94"/>
      <c r="AQ453" s="94"/>
      <c r="AR453" s="94"/>
      <c r="AS453" s="94"/>
      <c r="AT453" s="94"/>
      <c r="AU453" s="94"/>
      <c r="AV453" s="94"/>
      <c r="AW453" s="94"/>
      <c r="AX453" s="94"/>
      <c r="AY453" s="94"/>
      <c r="AZ453" s="94"/>
      <c r="BA453" s="95"/>
    </row>
    <row r="454" spans="1:53" s="87" customFormat="1">
      <c r="A454" s="90" t="str">
        <f t="shared" si="31"/>
        <v/>
      </c>
      <c r="B454" s="98">
        <v>30</v>
      </c>
      <c r="C454" s="94" t="s">
        <v>210</v>
      </c>
      <c r="D454" s="94">
        <v>7</v>
      </c>
      <c r="E454" s="94" t="s">
        <v>202</v>
      </c>
      <c r="F454" s="94" t="s">
        <v>210</v>
      </c>
      <c r="G454" s="94" t="s">
        <v>210</v>
      </c>
      <c r="H454" s="94">
        <v>3</v>
      </c>
      <c r="I454" s="94">
        <v>-4</v>
      </c>
      <c r="J454" s="94" t="s">
        <v>210</v>
      </c>
      <c r="K454" s="94" t="s">
        <v>210</v>
      </c>
      <c r="L454" s="94">
        <v>-1</v>
      </c>
      <c r="M454" s="94">
        <v>2</v>
      </c>
      <c r="N454" s="94" t="s">
        <v>210</v>
      </c>
      <c r="O454" s="94" t="s">
        <v>210</v>
      </c>
      <c r="P454" s="94">
        <v>-8</v>
      </c>
      <c r="Q454" s="94"/>
      <c r="R454" s="94"/>
      <c r="S454" s="94"/>
      <c r="T454" s="94"/>
      <c r="U454" s="94"/>
      <c r="V454" s="94"/>
      <c r="W454" s="94"/>
      <c r="X454" s="94"/>
      <c r="Y454" s="94"/>
      <c r="Z454" s="94"/>
      <c r="AA454" s="94"/>
      <c r="AB454" s="94"/>
      <c r="AC454" s="94"/>
      <c r="AD454" s="94"/>
      <c r="AE454" s="94"/>
      <c r="AF454" s="94"/>
      <c r="AG454" s="94"/>
      <c r="AH454" s="94"/>
      <c r="AI454" s="94"/>
      <c r="AJ454" s="94"/>
      <c r="AK454" s="94"/>
      <c r="AL454" s="94"/>
      <c r="AM454" s="94"/>
      <c r="AN454" s="94"/>
      <c r="AO454" s="94"/>
      <c r="AP454" s="94"/>
      <c r="AQ454" s="94"/>
      <c r="AR454" s="94"/>
      <c r="AS454" s="94"/>
      <c r="AT454" s="94"/>
      <c r="AU454" s="94"/>
      <c r="AV454" s="94"/>
      <c r="AW454" s="94"/>
      <c r="AX454" s="94"/>
      <c r="AY454" s="94"/>
      <c r="AZ454" s="94"/>
      <c r="BA454" s="95"/>
    </row>
    <row r="455" spans="1:53" s="87" customFormat="1">
      <c r="A455" s="90" t="str">
        <f t="shared" si="31"/>
        <v/>
      </c>
      <c r="B455" s="98">
        <v>31</v>
      </c>
      <c r="C455" s="94" t="s">
        <v>210</v>
      </c>
      <c r="D455" s="94">
        <v>-2</v>
      </c>
      <c r="E455" s="94">
        <v>5</v>
      </c>
      <c r="F455" s="94" t="s">
        <v>210</v>
      </c>
      <c r="G455" s="94" t="s">
        <v>210</v>
      </c>
      <c r="H455" s="94">
        <v>-3</v>
      </c>
      <c r="I455" s="94">
        <v>8</v>
      </c>
      <c r="J455" s="94" t="s">
        <v>210</v>
      </c>
      <c r="K455" s="94" t="s">
        <v>210</v>
      </c>
      <c r="L455" s="94">
        <v>-4</v>
      </c>
      <c r="M455" s="94">
        <v>7</v>
      </c>
      <c r="N455" s="94" t="s">
        <v>210</v>
      </c>
      <c r="O455" s="94" t="s">
        <v>210</v>
      </c>
      <c r="P455" s="94" t="s">
        <v>202</v>
      </c>
      <c r="Q455" s="94"/>
      <c r="R455" s="94"/>
      <c r="S455" s="94"/>
      <c r="T455" s="94"/>
      <c r="U455" s="94"/>
      <c r="V455" s="94"/>
      <c r="W455" s="94"/>
      <c r="X455" s="94"/>
      <c r="Y455" s="94"/>
      <c r="Z455" s="94"/>
      <c r="AA455" s="94"/>
      <c r="AB455" s="94"/>
      <c r="AC455" s="94"/>
      <c r="AD455" s="94"/>
      <c r="AE455" s="94"/>
      <c r="AF455" s="94"/>
      <c r="AG455" s="94"/>
      <c r="AH455" s="94"/>
      <c r="AI455" s="94"/>
      <c r="AJ455" s="94"/>
      <c r="AK455" s="94"/>
      <c r="AL455" s="94"/>
      <c r="AM455" s="94"/>
      <c r="AN455" s="94"/>
      <c r="AO455" s="94"/>
      <c r="AP455" s="94"/>
      <c r="AQ455" s="94"/>
      <c r="AR455" s="94"/>
      <c r="AS455" s="94"/>
      <c r="AT455" s="94"/>
      <c r="AU455" s="94"/>
      <c r="AV455" s="94"/>
      <c r="AW455" s="94"/>
      <c r="AX455" s="94"/>
      <c r="AY455" s="94"/>
      <c r="AZ455" s="94"/>
      <c r="BA455" s="95"/>
    </row>
    <row r="456" spans="1:53" s="87" customFormat="1">
      <c r="A456" s="90" t="str">
        <f t="shared" si="31"/>
        <v/>
      </c>
      <c r="B456" s="98" t="s">
        <v>471</v>
      </c>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5"/>
    </row>
    <row r="457" spans="1:53" s="87" customFormat="1">
      <c r="A457" s="90">
        <f t="shared" si="31"/>
        <v>457</v>
      </c>
      <c r="B457" s="98" t="s">
        <v>476</v>
      </c>
      <c r="C457" s="94"/>
      <c r="D457" s="94"/>
      <c r="E457" s="94"/>
      <c r="F457" s="94"/>
      <c r="G457" s="94"/>
      <c r="H457" s="94"/>
      <c r="I457" s="94"/>
      <c r="J457" s="94"/>
      <c r="K457" s="94"/>
      <c r="L457" s="94"/>
      <c r="M457" s="94"/>
      <c r="N457" s="94"/>
      <c r="O457" s="94"/>
      <c r="P457" s="94"/>
      <c r="Q457" s="94"/>
      <c r="R457" s="94"/>
      <c r="S457" s="94"/>
      <c r="T457" s="94"/>
      <c r="U457" s="94"/>
      <c r="V457" s="94"/>
      <c r="W457" s="94"/>
      <c r="X457" s="94"/>
      <c r="Y457" s="94"/>
      <c r="Z457" s="94"/>
      <c r="AA457" s="94"/>
      <c r="AB457" s="94"/>
      <c r="AC457" s="94"/>
      <c r="AD457" s="94"/>
      <c r="AE457" s="94"/>
      <c r="AF457" s="94"/>
      <c r="AG457" s="94"/>
      <c r="AH457" s="94"/>
      <c r="AI457" s="94"/>
      <c r="AJ457" s="94"/>
      <c r="AK457" s="94"/>
      <c r="AL457" s="94"/>
      <c r="AM457" s="94"/>
      <c r="AN457" s="94"/>
      <c r="AO457" s="94"/>
      <c r="AP457" s="94"/>
      <c r="AQ457" s="94"/>
      <c r="AR457" s="94"/>
      <c r="AS457" s="94"/>
      <c r="AT457" s="94"/>
      <c r="AU457" s="94"/>
      <c r="AV457" s="94"/>
      <c r="AW457" s="94"/>
      <c r="AX457" s="94"/>
      <c r="AY457" s="94"/>
      <c r="AZ457" s="94"/>
      <c r="BA457" s="95"/>
    </row>
    <row r="458" spans="1:53" s="87" customFormat="1">
      <c r="A458" s="90" t="str">
        <f t="shared" si="31"/>
        <v/>
      </c>
      <c r="B458" s="98">
        <v>1</v>
      </c>
      <c r="C458" s="94">
        <v>-4</v>
      </c>
      <c r="D458" s="94" t="s">
        <v>210</v>
      </c>
      <c r="E458" s="94" t="s">
        <v>210</v>
      </c>
      <c r="F458" s="94">
        <v>3</v>
      </c>
      <c r="G458" s="94">
        <v>-8</v>
      </c>
      <c r="H458" s="94" t="s">
        <v>210</v>
      </c>
      <c r="I458" s="94" t="s">
        <v>210</v>
      </c>
      <c r="J458" s="94">
        <v>5</v>
      </c>
      <c r="K458" s="94">
        <v>-2</v>
      </c>
      <c r="L458" s="94" t="s">
        <v>210</v>
      </c>
      <c r="M458" s="94" t="s">
        <v>210</v>
      </c>
      <c r="N458" s="94">
        <v>6</v>
      </c>
      <c r="O458" s="94">
        <v>-1</v>
      </c>
      <c r="P458" s="94" t="s">
        <v>210</v>
      </c>
      <c r="Q458" s="94" t="s">
        <v>210</v>
      </c>
      <c r="R458" s="94">
        <v>7</v>
      </c>
      <c r="S458" s="94">
        <v>4</v>
      </c>
      <c r="T458" s="94" t="s">
        <v>210</v>
      </c>
      <c r="U458" s="94" t="s">
        <v>210</v>
      </c>
      <c r="V458" s="94">
        <v>-3</v>
      </c>
      <c r="W458" s="94">
        <v>8</v>
      </c>
      <c r="X458" s="94" t="s">
        <v>210</v>
      </c>
      <c r="Y458" s="94" t="s">
        <v>210</v>
      </c>
      <c r="Z458" s="94">
        <v>-5</v>
      </c>
      <c r="AA458" s="94">
        <v>2</v>
      </c>
      <c r="AB458" s="94" t="s">
        <v>210</v>
      </c>
      <c r="AC458" s="94" t="s">
        <v>210</v>
      </c>
      <c r="AD458" s="94">
        <v>-6</v>
      </c>
      <c r="AE458" s="94">
        <v>1</v>
      </c>
      <c r="AF458" s="94" t="s">
        <v>210</v>
      </c>
      <c r="AG458" s="94" t="s">
        <v>210</v>
      </c>
      <c r="AH458" s="94">
        <v>-7</v>
      </c>
      <c r="AI458" s="94"/>
      <c r="AJ458" s="94"/>
      <c r="AK458" s="94"/>
      <c r="AL458" s="94"/>
      <c r="AM458" s="94"/>
      <c r="AN458" s="94"/>
      <c r="AO458" s="94"/>
      <c r="AP458" s="94"/>
      <c r="AQ458" s="94"/>
      <c r="AR458" s="94"/>
      <c r="AS458" s="94"/>
      <c r="AT458" s="94"/>
      <c r="AU458" s="94"/>
      <c r="AV458" s="94"/>
      <c r="AW458" s="94"/>
      <c r="AX458" s="94"/>
      <c r="AY458" s="94"/>
      <c r="AZ458" s="94"/>
      <c r="BA458" s="95"/>
    </row>
    <row r="459" spans="1:53" s="87" customFormat="1">
      <c r="A459" s="90" t="str">
        <f t="shared" si="31"/>
        <v/>
      </c>
      <c r="B459" s="98">
        <v>2</v>
      </c>
      <c r="C459" s="94">
        <v>-3</v>
      </c>
      <c r="D459" s="94" t="s">
        <v>210</v>
      </c>
      <c r="E459" s="94" t="s">
        <v>210</v>
      </c>
      <c r="F459" s="94">
        <v>4</v>
      </c>
      <c r="G459" s="94">
        <v>-7</v>
      </c>
      <c r="H459" s="94" t="s">
        <v>210</v>
      </c>
      <c r="I459" s="94" t="s">
        <v>210</v>
      </c>
      <c r="J459" s="94">
        <v>6</v>
      </c>
      <c r="K459" s="94">
        <v>-1</v>
      </c>
      <c r="L459" s="94" t="s">
        <v>210</v>
      </c>
      <c r="M459" s="94" t="s">
        <v>210</v>
      </c>
      <c r="N459" s="94">
        <v>5</v>
      </c>
      <c r="O459" s="94">
        <v>-2</v>
      </c>
      <c r="P459" s="94" t="s">
        <v>210</v>
      </c>
      <c r="Q459" s="94" t="s">
        <v>210</v>
      </c>
      <c r="R459" s="94">
        <v>8</v>
      </c>
      <c r="S459" s="94">
        <v>3</v>
      </c>
      <c r="T459" s="94" t="s">
        <v>210</v>
      </c>
      <c r="U459" s="94" t="s">
        <v>210</v>
      </c>
      <c r="V459" s="94">
        <v>-4</v>
      </c>
      <c r="W459" s="94">
        <v>7</v>
      </c>
      <c r="X459" s="94" t="s">
        <v>210</v>
      </c>
      <c r="Y459" s="94" t="s">
        <v>210</v>
      </c>
      <c r="Z459" s="94">
        <v>-6</v>
      </c>
      <c r="AA459" s="94">
        <v>1</v>
      </c>
      <c r="AB459" s="94" t="s">
        <v>210</v>
      </c>
      <c r="AC459" s="94" t="s">
        <v>210</v>
      </c>
      <c r="AD459" s="94">
        <v>-5</v>
      </c>
      <c r="AE459" s="94">
        <v>2</v>
      </c>
      <c r="AF459" s="94" t="s">
        <v>210</v>
      </c>
      <c r="AG459" s="94" t="s">
        <v>210</v>
      </c>
      <c r="AH459" s="94">
        <v>-8</v>
      </c>
      <c r="AI459" s="94"/>
      <c r="AJ459" s="94"/>
      <c r="AK459" s="94"/>
      <c r="AL459" s="94"/>
      <c r="AM459" s="94"/>
      <c r="AN459" s="94"/>
      <c r="AO459" s="94"/>
      <c r="AP459" s="94"/>
      <c r="AQ459" s="94"/>
      <c r="AR459" s="94"/>
      <c r="AS459" s="94"/>
      <c r="AT459" s="94"/>
      <c r="AU459" s="94"/>
      <c r="AV459" s="94"/>
      <c r="AW459" s="94"/>
      <c r="AX459" s="94"/>
      <c r="AY459" s="94"/>
      <c r="AZ459" s="94"/>
      <c r="BA459" s="95"/>
    </row>
    <row r="460" spans="1:53" s="87" customFormat="1">
      <c r="A460" s="90" t="str">
        <f t="shared" ref="A460:A523" si="32">IF(MID(B460,3,2)="08",ROW(),"")</f>
        <v/>
      </c>
      <c r="B460" s="98">
        <v>3</v>
      </c>
      <c r="C460" s="94">
        <v>-7</v>
      </c>
      <c r="D460" s="94" t="s">
        <v>210</v>
      </c>
      <c r="E460" s="94" t="s">
        <v>210</v>
      </c>
      <c r="F460" s="94">
        <v>8</v>
      </c>
      <c r="G460" s="94">
        <v>-3</v>
      </c>
      <c r="H460" s="94" t="s">
        <v>210</v>
      </c>
      <c r="I460" s="94" t="s">
        <v>210</v>
      </c>
      <c r="J460" s="94">
        <v>2</v>
      </c>
      <c r="K460" s="94">
        <v>-5</v>
      </c>
      <c r="L460" s="94" t="s">
        <v>210</v>
      </c>
      <c r="M460" s="94" t="s">
        <v>210</v>
      </c>
      <c r="N460" s="94">
        <v>1</v>
      </c>
      <c r="O460" s="94">
        <v>-6</v>
      </c>
      <c r="P460" s="94" t="s">
        <v>210</v>
      </c>
      <c r="Q460" s="94" t="s">
        <v>210</v>
      </c>
      <c r="R460" s="94">
        <v>4</v>
      </c>
      <c r="S460" s="94">
        <v>7</v>
      </c>
      <c r="T460" s="94" t="s">
        <v>210</v>
      </c>
      <c r="U460" s="94" t="s">
        <v>210</v>
      </c>
      <c r="V460" s="94">
        <v>-8</v>
      </c>
      <c r="W460" s="94">
        <v>3</v>
      </c>
      <c r="X460" s="94" t="s">
        <v>210</v>
      </c>
      <c r="Y460" s="94" t="s">
        <v>210</v>
      </c>
      <c r="Z460" s="94">
        <v>-2</v>
      </c>
      <c r="AA460" s="94">
        <v>5</v>
      </c>
      <c r="AB460" s="94" t="s">
        <v>210</v>
      </c>
      <c r="AC460" s="94" t="s">
        <v>210</v>
      </c>
      <c r="AD460" s="94">
        <v>-1</v>
      </c>
      <c r="AE460" s="94">
        <v>6</v>
      </c>
      <c r="AF460" s="94" t="s">
        <v>210</v>
      </c>
      <c r="AG460" s="94" t="s">
        <v>210</v>
      </c>
      <c r="AH460" s="94">
        <v>-4</v>
      </c>
      <c r="AI460" s="94"/>
      <c r="AJ460" s="94"/>
      <c r="AK460" s="94"/>
      <c r="AL460" s="94"/>
      <c r="AM460" s="94"/>
      <c r="AN460" s="94"/>
      <c r="AO460" s="94"/>
      <c r="AP460" s="94"/>
      <c r="AQ460" s="94"/>
      <c r="AR460" s="94"/>
      <c r="AS460" s="94"/>
      <c r="AT460" s="94"/>
      <c r="AU460" s="94"/>
      <c r="AV460" s="94"/>
      <c r="AW460" s="94"/>
      <c r="AX460" s="94"/>
      <c r="AY460" s="94"/>
      <c r="AZ460" s="94"/>
      <c r="BA460" s="95"/>
    </row>
    <row r="461" spans="1:53" s="87" customFormat="1">
      <c r="A461" s="90" t="str">
        <f t="shared" si="32"/>
        <v/>
      </c>
      <c r="B461" s="98">
        <v>4</v>
      </c>
      <c r="C461" s="94">
        <v>-8</v>
      </c>
      <c r="D461" s="94" t="s">
        <v>210</v>
      </c>
      <c r="E461" s="94" t="s">
        <v>210</v>
      </c>
      <c r="F461" s="94">
        <v>7</v>
      </c>
      <c r="G461" s="94">
        <v>-4</v>
      </c>
      <c r="H461" s="94" t="s">
        <v>210</v>
      </c>
      <c r="I461" s="94" t="s">
        <v>210</v>
      </c>
      <c r="J461" s="94">
        <v>1</v>
      </c>
      <c r="K461" s="94">
        <v>-6</v>
      </c>
      <c r="L461" s="94" t="s">
        <v>210</v>
      </c>
      <c r="M461" s="94" t="s">
        <v>210</v>
      </c>
      <c r="N461" s="94">
        <v>2</v>
      </c>
      <c r="O461" s="94">
        <v>-5</v>
      </c>
      <c r="P461" s="94" t="s">
        <v>210</v>
      </c>
      <c r="Q461" s="94" t="s">
        <v>210</v>
      </c>
      <c r="R461" s="94">
        <v>3</v>
      </c>
      <c r="S461" s="94">
        <v>8</v>
      </c>
      <c r="T461" s="94" t="s">
        <v>210</v>
      </c>
      <c r="U461" s="94" t="s">
        <v>210</v>
      </c>
      <c r="V461" s="94">
        <v>-7</v>
      </c>
      <c r="W461" s="94">
        <v>4</v>
      </c>
      <c r="X461" s="94" t="s">
        <v>210</v>
      </c>
      <c r="Y461" s="94" t="s">
        <v>210</v>
      </c>
      <c r="Z461" s="94">
        <v>-1</v>
      </c>
      <c r="AA461" s="94">
        <v>6</v>
      </c>
      <c r="AB461" s="94" t="s">
        <v>210</v>
      </c>
      <c r="AC461" s="94" t="s">
        <v>210</v>
      </c>
      <c r="AD461" s="94">
        <v>-2</v>
      </c>
      <c r="AE461" s="94">
        <v>5</v>
      </c>
      <c r="AF461" s="94" t="s">
        <v>210</v>
      </c>
      <c r="AG461" s="94" t="s">
        <v>210</v>
      </c>
      <c r="AH461" s="94">
        <v>-3</v>
      </c>
      <c r="AI461" s="94"/>
      <c r="AJ461" s="94"/>
      <c r="AK461" s="94"/>
      <c r="AL461" s="94"/>
      <c r="AM461" s="94"/>
      <c r="AN461" s="94"/>
      <c r="AO461" s="94"/>
      <c r="AP461" s="94"/>
      <c r="AQ461" s="94"/>
      <c r="AR461" s="94"/>
      <c r="AS461" s="94"/>
      <c r="AT461" s="94"/>
      <c r="AU461" s="94"/>
      <c r="AV461" s="94"/>
      <c r="AW461" s="94"/>
      <c r="AX461" s="94"/>
      <c r="AY461" s="94"/>
      <c r="AZ461" s="94"/>
      <c r="BA461" s="95"/>
    </row>
    <row r="462" spans="1:53" s="87" customFormat="1">
      <c r="A462" s="90" t="str">
        <f t="shared" si="32"/>
        <v/>
      </c>
      <c r="B462" s="98">
        <v>5</v>
      </c>
      <c r="C462" s="94">
        <v>-2</v>
      </c>
      <c r="D462" s="94" t="s">
        <v>210</v>
      </c>
      <c r="E462" s="94" t="s">
        <v>210</v>
      </c>
      <c r="F462" s="94">
        <v>1</v>
      </c>
      <c r="G462" s="94">
        <v>-6</v>
      </c>
      <c r="H462" s="94" t="s">
        <v>210</v>
      </c>
      <c r="I462" s="94" t="s">
        <v>210</v>
      </c>
      <c r="J462" s="94">
        <v>7</v>
      </c>
      <c r="K462" s="94">
        <v>-4</v>
      </c>
      <c r="L462" s="94" t="s">
        <v>210</v>
      </c>
      <c r="M462" s="94" t="s">
        <v>210</v>
      </c>
      <c r="N462" s="94">
        <v>8</v>
      </c>
      <c r="O462" s="94">
        <v>-3</v>
      </c>
      <c r="P462" s="94" t="s">
        <v>210</v>
      </c>
      <c r="Q462" s="94" t="s">
        <v>210</v>
      </c>
      <c r="R462" s="94">
        <v>5</v>
      </c>
      <c r="S462" s="94">
        <v>2</v>
      </c>
      <c r="T462" s="94" t="s">
        <v>210</v>
      </c>
      <c r="U462" s="94" t="s">
        <v>210</v>
      </c>
      <c r="V462" s="94">
        <v>-1</v>
      </c>
      <c r="W462" s="94">
        <v>6</v>
      </c>
      <c r="X462" s="94" t="s">
        <v>210</v>
      </c>
      <c r="Y462" s="94" t="s">
        <v>210</v>
      </c>
      <c r="Z462" s="94">
        <v>-7</v>
      </c>
      <c r="AA462" s="94">
        <v>4</v>
      </c>
      <c r="AB462" s="94" t="s">
        <v>210</v>
      </c>
      <c r="AC462" s="94" t="s">
        <v>210</v>
      </c>
      <c r="AD462" s="94">
        <v>-8</v>
      </c>
      <c r="AE462" s="94">
        <v>3</v>
      </c>
      <c r="AF462" s="94" t="s">
        <v>210</v>
      </c>
      <c r="AG462" s="94" t="s">
        <v>210</v>
      </c>
      <c r="AH462" s="94">
        <v>-5</v>
      </c>
      <c r="AI462" s="94"/>
      <c r="AJ462" s="94"/>
      <c r="AK462" s="94"/>
      <c r="AL462" s="94"/>
      <c r="AM462" s="94"/>
      <c r="AN462" s="94"/>
      <c r="AO462" s="94"/>
      <c r="AP462" s="94"/>
      <c r="AQ462" s="94"/>
      <c r="AR462" s="94"/>
      <c r="AS462" s="94"/>
      <c r="AT462" s="94"/>
      <c r="AU462" s="94"/>
      <c r="AV462" s="94"/>
      <c r="AW462" s="94"/>
      <c r="AX462" s="94"/>
      <c r="AY462" s="94"/>
      <c r="AZ462" s="94"/>
      <c r="BA462" s="95"/>
    </row>
    <row r="463" spans="1:53" s="87" customFormat="1">
      <c r="A463" s="90" t="str">
        <f t="shared" si="32"/>
        <v/>
      </c>
      <c r="B463" s="98">
        <v>6</v>
      </c>
      <c r="C463" s="94">
        <v>-5</v>
      </c>
      <c r="D463" s="94" t="s">
        <v>210</v>
      </c>
      <c r="E463" s="94" t="s">
        <v>210</v>
      </c>
      <c r="F463" s="94">
        <v>6</v>
      </c>
      <c r="G463" s="94">
        <v>-1</v>
      </c>
      <c r="H463" s="94" t="s">
        <v>210</v>
      </c>
      <c r="I463" s="94" t="s">
        <v>210</v>
      </c>
      <c r="J463" s="94">
        <v>4</v>
      </c>
      <c r="K463" s="94">
        <v>-7</v>
      </c>
      <c r="L463" s="94" t="s">
        <v>210</v>
      </c>
      <c r="M463" s="94" t="s">
        <v>210</v>
      </c>
      <c r="N463" s="94">
        <v>3</v>
      </c>
      <c r="O463" s="94">
        <v>-8</v>
      </c>
      <c r="P463" s="94" t="s">
        <v>210</v>
      </c>
      <c r="Q463" s="94" t="s">
        <v>210</v>
      </c>
      <c r="R463" s="94">
        <v>2</v>
      </c>
      <c r="S463" s="94">
        <v>5</v>
      </c>
      <c r="T463" s="94" t="s">
        <v>210</v>
      </c>
      <c r="U463" s="94" t="s">
        <v>210</v>
      </c>
      <c r="V463" s="94">
        <v>-6</v>
      </c>
      <c r="W463" s="94">
        <v>1</v>
      </c>
      <c r="X463" s="94" t="s">
        <v>210</v>
      </c>
      <c r="Y463" s="94" t="s">
        <v>210</v>
      </c>
      <c r="Z463" s="94">
        <v>-4</v>
      </c>
      <c r="AA463" s="94">
        <v>7</v>
      </c>
      <c r="AB463" s="94" t="s">
        <v>210</v>
      </c>
      <c r="AC463" s="94" t="s">
        <v>210</v>
      </c>
      <c r="AD463" s="94">
        <v>-3</v>
      </c>
      <c r="AE463" s="94">
        <v>8</v>
      </c>
      <c r="AF463" s="94" t="s">
        <v>210</v>
      </c>
      <c r="AG463" s="94" t="s">
        <v>210</v>
      </c>
      <c r="AH463" s="94">
        <v>-2</v>
      </c>
      <c r="AI463" s="94"/>
      <c r="AJ463" s="94"/>
      <c r="AK463" s="94"/>
      <c r="AL463" s="94"/>
      <c r="AM463" s="94"/>
      <c r="AN463" s="94"/>
      <c r="AO463" s="94"/>
      <c r="AP463" s="94"/>
      <c r="AQ463" s="94"/>
      <c r="AR463" s="94"/>
      <c r="AS463" s="94"/>
      <c r="AT463" s="94"/>
      <c r="AU463" s="94"/>
      <c r="AV463" s="94"/>
      <c r="AW463" s="94"/>
      <c r="AX463" s="94"/>
      <c r="AY463" s="94"/>
      <c r="AZ463" s="94"/>
      <c r="BA463" s="95"/>
    </row>
    <row r="464" spans="1:53" s="87" customFormat="1">
      <c r="A464" s="90" t="str">
        <f t="shared" si="32"/>
        <v/>
      </c>
      <c r="B464" s="98">
        <v>7</v>
      </c>
      <c r="C464" s="94">
        <v>-6</v>
      </c>
      <c r="D464" s="94" t="s">
        <v>210</v>
      </c>
      <c r="E464" s="94" t="s">
        <v>210</v>
      </c>
      <c r="F464" s="94">
        <v>5</v>
      </c>
      <c r="G464" s="94">
        <v>-2</v>
      </c>
      <c r="H464" s="94" t="s">
        <v>210</v>
      </c>
      <c r="I464" s="94" t="s">
        <v>210</v>
      </c>
      <c r="J464" s="94">
        <v>3</v>
      </c>
      <c r="K464" s="94">
        <v>-8</v>
      </c>
      <c r="L464" s="94" t="s">
        <v>210</v>
      </c>
      <c r="M464" s="94" t="s">
        <v>210</v>
      </c>
      <c r="N464" s="94">
        <v>4</v>
      </c>
      <c r="O464" s="94">
        <v>-7</v>
      </c>
      <c r="P464" s="94" t="s">
        <v>210</v>
      </c>
      <c r="Q464" s="94" t="s">
        <v>210</v>
      </c>
      <c r="R464" s="94">
        <v>1</v>
      </c>
      <c r="S464" s="94">
        <v>6</v>
      </c>
      <c r="T464" s="94" t="s">
        <v>210</v>
      </c>
      <c r="U464" s="94" t="s">
        <v>210</v>
      </c>
      <c r="V464" s="94">
        <v>-5</v>
      </c>
      <c r="W464" s="94">
        <v>2</v>
      </c>
      <c r="X464" s="94" t="s">
        <v>210</v>
      </c>
      <c r="Y464" s="94" t="s">
        <v>210</v>
      </c>
      <c r="Z464" s="94">
        <v>-3</v>
      </c>
      <c r="AA464" s="94">
        <v>8</v>
      </c>
      <c r="AB464" s="94" t="s">
        <v>210</v>
      </c>
      <c r="AC464" s="94" t="s">
        <v>210</v>
      </c>
      <c r="AD464" s="94">
        <v>-4</v>
      </c>
      <c r="AE464" s="94">
        <v>7</v>
      </c>
      <c r="AF464" s="94" t="s">
        <v>210</v>
      </c>
      <c r="AG464" s="94" t="s">
        <v>210</v>
      </c>
      <c r="AH464" s="94">
        <v>-1</v>
      </c>
      <c r="AI464" s="94"/>
      <c r="AJ464" s="94"/>
      <c r="AK464" s="94"/>
      <c r="AL464" s="94"/>
      <c r="AM464" s="94"/>
      <c r="AN464" s="94"/>
      <c r="AO464" s="94"/>
      <c r="AP464" s="94"/>
      <c r="AQ464" s="94"/>
      <c r="AR464" s="94"/>
      <c r="AS464" s="94"/>
      <c r="AT464" s="94"/>
      <c r="AU464" s="94"/>
      <c r="AV464" s="94"/>
      <c r="AW464" s="94"/>
      <c r="AX464" s="94"/>
      <c r="AY464" s="94"/>
      <c r="AZ464" s="94"/>
      <c r="BA464" s="95"/>
    </row>
    <row r="465" spans="1:53" s="87" customFormat="1">
      <c r="A465" s="90" t="str">
        <f t="shared" si="32"/>
        <v/>
      </c>
      <c r="B465" s="98">
        <v>8</v>
      </c>
      <c r="C465" s="94">
        <v>-1</v>
      </c>
      <c r="D465" s="94" t="s">
        <v>210</v>
      </c>
      <c r="E465" s="94" t="s">
        <v>210</v>
      </c>
      <c r="F465" s="94">
        <v>2</v>
      </c>
      <c r="G465" s="94">
        <v>-5</v>
      </c>
      <c r="H465" s="94" t="s">
        <v>210</v>
      </c>
      <c r="I465" s="94" t="s">
        <v>210</v>
      </c>
      <c r="J465" s="94">
        <v>8</v>
      </c>
      <c r="K465" s="94">
        <v>-3</v>
      </c>
      <c r="L465" s="94" t="s">
        <v>210</v>
      </c>
      <c r="M465" s="94" t="s">
        <v>210</v>
      </c>
      <c r="N465" s="94">
        <v>7</v>
      </c>
      <c r="O465" s="94">
        <v>-4</v>
      </c>
      <c r="P465" s="94" t="s">
        <v>210</v>
      </c>
      <c r="Q465" s="94" t="s">
        <v>210</v>
      </c>
      <c r="R465" s="94">
        <v>6</v>
      </c>
      <c r="S465" s="94">
        <v>1</v>
      </c>
      <c r="T465" s="94" t="s">
        <v>210</v>
      </c>
      <c r="U465" s="94" t="s">
        <v>210</v>
      </c>
      <c r="V465" s="94">
        <v>-2</v>
      </c>
      <c r="W465" s="94">
        <v>5</v>
      </c>
      <c r="X465" s="94" t="s">
        <v>210</v>
      </c>
      <c r="Y465" s="94" t="s">
        <v>210</v>
      </c>
      <c r="Z465" s="94">
        <v>-8</v>
      </c>
      <c r="AA465" s="94">
        <v>3</v>
      </c>
      <c r="AB465" s="94" t="s">
        <v>210</v>
      </c>
      <c r="AC465" s="94" t="s">
        <v>210</v>
      </c>
      <c r="AD465" s="94">
        <v>-7</v>
      </c>
      <c r="AE465" s="94">
        <v>4</v>
      </c>
      <c r="AF465" s="94" t="s">
        <v>210</v>
      </c>
      <c r="AG465" s="94" t="s">
        <v>210</v>
      </c>
      <c r="AH465" s="94">
        <v>-6</v>
      </c>
      <c r="AI465" s="94"/>
      <c r="AJ465" s="94"/>
      <c r="AK465" s="94"/>
      <c r="AL465" s="94"/>
      <c r="AM465" s="94"/>
      <c r="AN465" s="94"/>
      <c r="AO465" s="94"/>
      <c r="AP465" s="94"/>
      <c r="AQ465" s="94"/>
      <c r="AR465" s="94"/>
      <c r="AS465" s="94"/>
      <c r="AT465" s="94"/>
      <c r="AU465" s="94"/>
      <c r="AV465" s="94"/>
      <c r="AW465" s="94"/>
      <c r="AX465" s="94"/>
      <c r="AY465" s="94"/>
      <c r="AZ465" s="94"/>
      <c r="BA465" s="95"/>
    </row>
    <row r="466" spans="1:53" s="87" customFormat="1">
      <c r="A466" s="90" t="str">
        <f t="shared" si="32"/>
        <v/>
      </c>
      <c r="B466" s="98">
        <v>9</v>
      </c>
      <c r="C466" s="94" t="s">
        <v>210</v>
      </c>
      <c r="D466" s="94">
        <v>2</v>
      </c>
      <c r="E466" s="94">
        <v>-4</v>
      </c>
      <c r="F466" s="94" t="s">
        <v>210</v>
      </c>
      <c r="G466" s="94" t="s">
        <v>210</v>
      </c>
      <c r="H466" s="94">
        <v>3</v>
      </c>
      <c r="I466" s="94">
        <v>-8</v>
      </c>
      <c r="J466" s="94" t="s">
        <v>210</v>
      </c>
      <c r="K466" s="94" t="s">
        <v>210</v>
      </c>
      <c r="L466" s="94">
        <v>7</v>
      </c>
      <c r="M466" s="94">
        <v>-6</v>
      </c>
      <c r="N466" s="94" t="s">
        <v>210</v>
      </c>
      <c r="O466" s="94" t="s">
        <v>210</v>
      </c>
      <c r="P466" s="94">
        <v>5</v>
      </c>
      <c r="Q466" s="94">
        <v>-1</v>
      </c>
      <c r="R466" s="94" t="s">
        <v>210</v>
      </c>
      <c r="S466" s="94" t="s">
        <v>210</v>
      </c>
      <c r="T466" s="94">
        <v>-2</v>
      </c>
      <c r="U466" s="94">
        <v>4</v>
      </c>
      <c r="V466" s="94" t="s">
        <v>210</v>
      </c>
      <c r="W466" s="94" t="s">
        <v>210</v>
      </c>
      <c r="X466" s="94">
        <v>-3</v>
      </c>
      <c r="Y466" s="94">
        <v>8</v>
      </c>
      <c r="Z466" s="94" t="s">
        <v>210</v>
      </c>
      <c r="AA466" s="94" t="s">
        <v>210</v>
      </c>
      <c r="AB466" s="94">
        <v>-7</v>
      </c>
      <c r="AC466" s="94">
        <v>6</v>
      </c>
      <c r="AD466" s="94" t="s">
        <v>210</v>
      </c>
      <c r="AE466" s="94" t="s">
        <v>210</v>
      </c>
      <c r="AF466" s="94">
        <v>-5</v>
      </c>
      <c r="AG466" s="94">
        <v>1</v>
      </c>
      <c r="AH466" s="94" t="s">
        <v>210</v>
      </c>
      <c r="AI466" s="94"/>
      <c r="AJ466" s="94"/>
      <c r="AK466" s="94"/>
      <c r="AL466" s="94"/>
      <c r="AM466" s="94"/>
      <c r="AN466" s="94"/>
      <c r="AO466" s="94"/>
      <c r="AP466" s="94"/>
      <c r="AQ466" s="94"/>
      <c r="AR466" s="94"/>
      <c r="AS466" s="94"/>
      <c r="AT466" s="94"/>
      <c r="AU466" s="94"/>
      <c r="AV466" s="94"/>
      <c r="AW466" s="94"/>
      <c r="AX466" s="94"/>
      <c r="AY466" s="94"/>
      <c r="AZ466" s="94"/>
      <c r="BA466" s="95"/>
    </row>
    <row r="467" spans="1:53" s="87" customFormat="1">
      <c r="A467" s="90" t="str">
        <f t="shared" si="32"/>
        <v/>
      </c>
      <c r="B467" s="98">
        <v>10</v>
      </c>
      <c r="C467" s="94" t="s">
        <v>210</v>
      </c>
      <c r="D467" s="94">
        <v>1</v>
      </c>
      <c r="E467" s="94">
        <v>-3</v>
      </c>
      <c r="F467" s="94" t="s">
        <v>210</v>
      </c>
      <c r="G467" s="94" t="s">
        <v>210</v>
      </c>
      <c r="H467" s="94">
        <v>4</v>
      </c>
      <c r="I467" s="94">
        <v>-7</v>
      </c>
      <c r="J467" s="94" t="s">
        <v>210</v>
      </c>
      <c r="K467" s="94" t="s">
        <v>210</v>
      </c>
      <c r="L467" s="94">
        <v>8</v>
      </c>
      <c r="M467" s="94">
        <v>-5</v>
      </c>
      <c r="N467" s="94" t="s">
        <v>210</v>
      </c>
      <c r="O467" s="94" t="s">
        <v>210</v>
      </c>
      <c r="P467" s="94">
        <v>6</v>
      </c>
      <c r="Q467" s="94">
        <v>-2</v>
      </c>
      <c r="R467" s="94" t="s">
        <v>210</v>
      </c>
      <c r="S467" s="94" t="s">
        <v>210</v>
      </c>
      <c r="T467" s="94">
        <v>-1</v>
      </c>
      <c r="U467" s="94">
        <v>3</v>
      </c>
      <c r="V467" s="94" t="s">
        <v>210</v>
      </c>
      <c r="W467" s="94" t="s">
        <v>210</v>
      </c>
      <c r="X467" s="94">
        <v>-4</v>
      </c>
      <c r="Y467" s="94">
        <v>7</v>
      </c>
      <c r="Z467" s="94" t="s">
        <v>210</v>
      </c>
      <c r="AA467" s="94" t="s">
        <v>210</v>
      </c>
      <c r="AB467" s="94">
        <v>-8</v>
      </c>
      <c r="AC467" s="94">
        <v>5</v>
      </c>
      <c r="AD467" s="94" t="s">
        <v>210</v>
      </c>
      <c r="AE467" s="94" t="s">
        <v>210</v>
      </c>
      <c r="AF467" s="94">
        <v>-6</v>
      </c>
      <c r="AG467" s="94">
        <v>2</v>
      </c>
      <c r="AH467" s="94" t="s">
        <v>210</v>
      </c>
      <c r="AI467" s="94"/>
      <c r="AJ467" s="94"/>
      <c r="AK467" s="94"/>
      <c r="AL467" s="94"/>
      <c r="AM467" s="94"/>
      <c r="AN467" s="94"/>
      <c r="AO467" s="94"/>
      <c r="AP467" s="94"/>
      <c r="AQ467" s="94"/>
      <c r="AR467" s="94"/>
      <c r="AS467" s="94"/>
      <c r="AT467" s="94"/>
      <c r="AU467" s="94"/>
      <c r="AV467" s="94"/>
      <c r="AW467" s="94"/>
      <c r="AX467" s="94"/>
      <c r="AY467" s="94"/>
      <c r="AZ467" s="94"/>
      <c r="BA467" s="95"/>
    </row>
    <row r="468" spans="1:53" s="87" customFormat="1">
      <c r="A468" s="90" t="str">
        <f t="shared" si="32"/>
        <v/>
      </c>
      <c r="B468" s="98">
        <v>11</v>
      </c>
      <c r="C468" s="94" t="s">
        <v>210</v>
      </c>
      <c r="D468" s="94">
        <v>5</v>
      </c>
      <c r="E468" s="94">
        <v>-7</v>
      </c>
      <c r="F468" s="94" t="s">
        <v>210</v>
      </c>
      <c r="G468" s="94" t="s">
        <v>210</v>
      </c>
      <c r="H468" s="94">
        <v>8</v>
      </c>
      <c r="I468" s="94">
        <v>-3</v>
      </c>
      <c r="J468" s="94" t="s">
        <v>210</v>
      </c>
      <c r="K468" s="94" t="s">
        <v>210</v>
      </c>
      <c r="L468" s="94">
        <v>4</v>
      </c>
      <c r="M468" s="94">
        <v>-1</v>
      </c>
      <c r="N468" s="94" t="s">
        <v>210</v>
      </c>
      <c r="O468" s="94" t="s">
        <v>210</v>
      </c>
      <c r="P468" s="94">
        <v>2</v>
      </c>
      <c r="Q468" s="94">
        <v>-6</v>
      </c>
      <c r="R468" s="94" t="s">
        <v>210</v>
      </c>
      <c r="S468" s="94" t="s">
        <v>210</v>
      </c>
      <c r="T468" s="94">
        <v>-5</v>
      </c>
      <c r="U468" s="94">
        <v>7</v>
      </c>
      <c r="V468" s="94" t="s">
        <v>210</v>
      </c>
      <c r="W468" s="94" t="s">
        <v>210</v>
      </c>
      <c r="X468" s="94">
        <v>-8</v>
      </c>
      <c r="Y468" s="94">
        <v>3</v>
      </c>
      <c r="Z468" s="94" t="s">
        <v>210</v>
      </c>
      <c r="AA468" s="94" t="s">
        <v>210</v>
      </c>
      <c r="AB468" s="94">
        <v>-4</v>
      </c>
      <c r="AC468" s="94">
        <v>1</v>
      </c>
      <c r="AD468" s="94" t="s">
        <v>210</v>
      </c>
      <c r="AE468" s="94" t="s">
        <v>210</v>
      </c>
      <c r="AF468" s="94">
        <v>-2</v>
      </c>
      <c r="AG468" s="94">
        <v>6</v>
      </c>
      <c r="AH468" s="94" t="s">
        <v>210</v>
      </c>
      <c r="AI468" s="94"/>
      <c r="AJ468" s="94"/>
      <c r="AK468" s="94"/>
      <c r="AL468" s="94"/>
      <c r="AM468" s="94"/>
      <c r="AN468" s="94"/>
      <c r="AO468" s="94"/>
      <c r="AP468" s="94"/>
      <c r="AQ468" s="94"/>
      <c r="AR468" s="94"/>
      <c r="AS468" s="94"/>
      <c r="AT468" s="94"/>
      <c r="AU468" s="94"/>
      <c r="AV468" s="94"/>
      <c r="AW468" s="94"/>
      <c r="AX468" s="94"/>
      <c r="AY468" s="94"/>
      <c r="AZ468" s="94"/>
      <c r="BA468" s="95"/>
    </row>
    <row r="469" spans="1:53" s="87" customFormat="1">
      <c r="A469" s="90" t="str">
        <f t="shared" si="32"/>
        <v/>
      </c>
      <c r="B469" s="98">
        <v>12</v>
      </c>
      <c r="C469" s="94" t="s">
        <v>210</v>
      </c>
      <c r="D469" s="94">
        <v>6</v>
      </c>
      <c r="E469" s="94">
        <v>-8</v>
      </c>
      <c r="F469" s="94" t="s">
        <v>210</v>
      </c>
      <c r="G469" s="94" t="s">
        <v>210</v>
      </c>
      <c r="H469" s="94">
        <v>7</v>
      </c>
      <c r="I469" s="94">
        <v>-4</v>
      </c>
      <c r="J469" s="94" t="s">
        <v>210</v>
      </c>
      <c r="K469" s="94" t="s">
        <v>210</v>
      </c>
      <c r="L469" s="94">
        <v>3</v>
      </c>
      <c r="M469" s="94">
        <v>-2</v>
      </c>
      <c r="N469" s="94" t="s">
        <v>210</v>
      </c>
      <c r="O469" s="94" t="s">
        <v>210</v>
      </c>
      <c r="P469" s="94">
        <v>1</v>
      </c>
      <c r="Q469" s="94">
        <v>-5</v>
      </c>
      <c r="R469" s="94" t="s">
        <v>210</v>
      </c>
      <c r="S469" s="94" t="s">
        <v>210</v>
      </c>
      <c r="T469" s="94">
        <v>-6</v>
      </c>
      <c r="U469" s="94">
        <v>8</v>
      </c>
      <c r="V469" s="94" t="s">
        <v>210</v>
      </c>
      <c r="W469" s="94" t="s">
        <v>210</v>
      </c>
      <c r="X469" s="94">
        <v>-7</v>
      </c>
      <c r="Y469" s="94">
        <v>4</v>
      </c>
      <c r="Z469" s="94" t="s">
        <v>210</v>
      </c>
      <c r="AA469" s="94" t="s">
        <v>210</v>
      </c>
      <c r="AB469" s="94">
        <v>-3</v>
      </c>
      <c r="AC469" s="94">
        <v>2</v>
      </c>
      <c r="AD469" s="94" t="s">
        <v>210</v>
      </c>
      <c r="AE469" s="94" t="s">
        <v>210</v>
      </c>
      <c r="AF469" s="94">
        <v>-1</v>
      </c>
      <c r="AG469" s="94">
        <v>5</v>
      </c>
      <c r="AH469" s="94" t="s">
        <v>210</v>
      </c>
      <c r="AI469" s="94"/>
      <c r="AJ469" s="94"/>
      <c r="AK469" s="94"/>
      <c r="AL469" s="94"/>
      <c r="AM469" s="94"/>
      <c r="AN469" s="94"/>
      <c r="AO469" s="94"/>
      <c r="AP469" s="94"/>
      <c r="AQ469" s="94"/>
      <c r="AR469" s="94"/>
      <c r="AS469" s="94"/>
      <c r="AT469" s="94"/>
      <c r="AU469" s="94"/>
      <c r="AV469" s="94"/>
      <c r="AW469" s="94"/>
      <c r="AX469" s="94"/>
      <c r="AY469" s="94"/>
      <c r="AZ469" s="94"/>
      <c r="BA469" s="95"/>
    </row>
    <row r="470" spans="1:53" s="87" customFormat="1">
      <c r="A470" s="90" t="str">
        <f t="shared" si="32"/>
        <v/>
      </c>
      <c r="B470" s="98">
        <v>13</v>
      </c>
      <c r="C470" s="94" t="s">
        <v>210</v>
      </c>
      <c r="D470" s="94">
        <v>4</v>
      </c>
      <c r="E470" s="94">
        <v>-2</v>
      </c>
      <c r="F470" s="94" t="s">
        <v>210</v>
      </c>
      <c r="G470" s="94" t="s">
        <v>210</v>
      </c>
      <c r="H470" s="94">
        <v>1</v>
      </c>
      <c r="I470" s="94">
        <v>-6</v>
      </c>
      <c r="J470" s="94" t="s">
        <v>210</v>
      </c>
      <c r="K470" s="94" t="s">
        <v>210</v>
      </c>
      <c r="L470" s="94">
        <v>5</v>
      </c>
      <c r="M470" s="94">
        <v>-8</v>
      </c>
      <c r="N470" s="94" t="s">
        <v>210</v>
      </c>
      <c r="O470" s="94" t="s">
        <v>210</v>
      </c>
      <c r="P470" s="94">
        <v>7</v>
      </c>
      <c r="Q470" s="94">
        <v>-3</v>
      </c>
      <c r="R470" s="94" t="s">
        <v>210</v>
      </c>
      <c r="S470" s="94" t="s">
        <v>210</v>
      </c>
      <c r="T470" s="94">
        <v>-4</v>
      </c>
      <c r="U470" s="94">
        <v>2</v>
      </c>
      <c r="V470" s="94" t="s">
        <v>210</v>
      </c>
      <c r="W470" s="94" t="s">
        <v>210</v>
      </c>
      <c r="X470" s="94">
        <v>-1</v>
      </c>
      <c r="Y470" s="94">
        <v>6</v>
      </c>
      <c r="Z470" s="94" t="s">
        <v>210</v>
      </c>
      <c r="AA470" s="94" t="s">
        <v>210</v>
      </c>
      <c r="AB470" s="94">
        <v>-5</v>
      </c>
      <c r="AC470" s="94">
        <v>8</v>
      </c>
      <c r="AD470" s="94" t="s">
        <v>210</v>
      </c>
      <c r="AE470" s="94" t="s">
        <v>210</v>
      </c>
      <c r="AF470" s="94">
        <v>-7</v>
      </c>
      <c r="AG470" s="94">
        <v>3</v>
      </c>
      <c r="AH470" s="94" t="s">
        <v>210</v>
      </c>
      <c r="AI470" s="94"/>
      <c r="AJ470" s="94"/>
      <c r="AK470" s="94"/>
      <c r="AL470" s="94"/>
      <c r="AM470" s="94"/>
      <c r="AN470" s="94"/>
      <c r="AO470" s="94"/>
      <c r="AP470" s="94"/>
      <c r="AQ470" s="94"/>
      <c r="AR470" s="94"/>
      <c r="AS470" s="94"/>
      <c r="AT470" s="94"/>
      <c r="AU470" s="94"/>
      <c r="AV470" s="94"/>
      <c r="AW470" s="94"/>
      <c r="AX470" s="94"/>
      <c r="AY470" s="94"/>
      <c r="AZ470" s="94"/>
      <c r="BA470" s="95"/>
    </row>
    <row r="471" spans="1:53" s="87" customFormat="1">
      <c r="A471" s="90" t="str">
        <f t="shared" si="32"/>
        <v/>
      </c>
      <c r="B471" s="98">
        <v>14</v>
      </c>
      <c r="C471" s="94" t="s">
        <v>210</v>
      </c>
      <c r="D471" s="94">
        <v>7</v>
      </c>
      <c r="E471" s="94">
        <v>-5</v>
      </c>
      <c r="F471" s="94" t="s">
        <v>210</v>
      </c>
      <c r="G471" s="94" t="s">
        <v>210</v>
      </c>
      <c r="H471" s="94">
        <v>6</v>
      </c>
      <c r="I471" s="94">
        <v>-1</v>
      </c>
      <c r="J471" s="94" t="s">
        <v>210</v>
      </c>
      <c r="K471" s="94" t="s">
        <v>210</v>
      </c>
      <c r="L471" s="94">
        <v>2</v>
      </c>
      <c r="M471" s="94">
        <v>-3</v>
      </c>
      <c r="N471" s="94" t="s">
        <v>210</v>
      </c>
      <c r="O471" s="94" t="s">
        <v>210</v>
      </c>
      <c r="P471" s="94">
        <v>4</v>
      </c>
      <c r="Q471" s="94">
        <v>-8</v>
      </c>
      <c r="R471" s="94" t="s">
        <v>210</v>
      </c>
      <c r="S471" s="94" t="s">
        <v>210</v>
      </c>
      <c r="T471" s="94">
        <v>-7</v>
      </c>
      <c r="U471" s="94">
        <v>5</v>
      </c>
      <c r="V471" s="94" t="s">
        <v>210</v>
      </c>
      <c r="W471" s="94" t="s">
        <v>210</v>
      </c>
      <c r="X471" s="94">
        <v>-6</v>
      </c>
      <c r="Y471" s="94">
        <v>1</v>
      </c>
      <c r="Z471" s="94" t="s">
        <v>210</v>
      </c>
      <c r="AA471" s="94" t="s">
        <v>210</v>
      </c>
      <c r="AB471" s="94">
        <v>-2</v>
      </c>
      <c r="AC471" s="94">
        <v>3</v>
      </c>
      <c r="AD471" s="94" t="s">
        <v>210</v>
      </c>
      <c r="AE471" s="94" t="s">
        <v>210</v>
      </c>
      <c r="AF471" s="94">
        <v>-4</v>
      </c>
      <c r="AG471" s="94">
        <v>8</v>
      </c>
      <c r="AH471" s="94" t="s">
        <v>210</v>
      </c>
      <c r="AI471" s="94"/>
      <c r="AJ471" s="94"/>
      <c r="AK471" s="94"/>
      <c r="AL471" s="94"/>
      <c r="AM471" s="94"/>
      <c r="AN471" s="94"/>
      <c r="AO471" s="94"/>
      <c r="AP471" s="94"/>
      <c r="AQ471" s="94"/>
      <c r="AR471" s="94"/>
      <c r="AS471" s="94"/>
      <c r="AT471" s="94"/>
      <c r="AU471" s="94"/>
      <c r="AV471" s="94"/>
      <c r="AW471" s="94"/>
      <c r="AX471" s="94"/>
      <c r="AY471" s="94"/>
      <c r="AZ471" s="94"/>
      <c r="BA471" s="95"/>
    </row>
    <row r="472" spans="1:53" s="87" customFormat="1">
      <c r="A472" s="90" t="str">
        <f t="shared" si="32"/>
        <v/>
      </c>
      <c r="B472" s="98">
        <v>15</v>
      </c>
      <c r="C472" s="94" t="s">
        <v>210</v>
      </c>
      <c r="D472" s="94">
        <v>8</v>
      </c>
      <c r="E472" s="94">
        <v>-6</v>
      </c>
      <c r="F472" s="94" t="s">
        <v>210</v>
      </c>
      <c r="G472" s="94" t="s">
        <v>210</v>
      </c>
      <c r="H472" s="94">
        <v>5</v>
      </c>
      <c r="I472" s="94">
        <v>-2</v>
      </c>
      <c r="J472" s="94" t="s">
        <v>210</v>
      </c>
      <c r="K472" s="94" t="s">
        <v>210</v>
      </c>
      <c r="L472" s="94">
        <v>1</v>
      </c>
      <c r="M472" s="94">
        <v>-4</v>
      </c>
      <c r="N472" s="94" t="s">
        <v>210</v>
      </c>
      <c r="O472" s="94" t="s">
        <v>210</v>
      </c>
      <c r="P472" s="94">
        <v>3</v>
      </c>
      <c r="Q472" s="94">
        <v>-7</v>
      </c>
      <c r="R472" s="94" t="s">
        <v>210</v>
      </c>
      <c r="S472" s="94" t="s">
        <v>210</v>
      </c>
      <c r="T472" s="94">
        <v>-8</v>
      </c>
      <c r="U472" s="94">
        <v>6</v>
      </c>
      <c r="V472" s="94" t="s">
        <v>210</v>
      </c>
      <c r="W472" s="94" t="s">
        <v>210</v>
      </c>
      <c r="X472" s="94">
        <v>-5</v>
      </c>
      <c r="Y472" s="94">
        <v>2</v>
      </c>
      <c r="Z472" s="94" t="s">
        <v>210</v>
      </c>
      <c r="AA472" s="94" t="s">
        <v>210</v>
      </c>
      <c r="AB472" s="94">
        <v>-1</v>
      </c>
      <c r="AC472" s="94">
        <v>4</v>
      </c>
      <c r="AD472" s="94" t="s">
        <v>210</v>
      </c>
      <c r="AE472" s="94" t="s">
        <v>210</v>
      </c>
      <c r="AF472" s="94">
        <v>-3</v>
      </c>
      <c r="AG472" s="94">
        <v>7</v>
      </c>
      <c r="AH472" s="94" t="s">
        <v>210</v>
      </c>
      <c r="AI472" s="94"/>
      <c r="AJ472" s="94"/>
      <c r="AK472" s="94"/>
      <c r="AL472" s="94"/>
      <c r="AM472" s="94"/>
      <c r="AN472" s="94"/>
      <c r="AO472" s="94"/>
      <c r="AP472" s="94"/>
      <c r="AQ472" s="94"/>
      <c r="AR472" s="94"/>
      <c r="AS472" s="94"/>
      <c r="AT472" s="94"/>
      <c r="AU472" s="94"/>
      <c r="AV472" s="94"/>
      <c r="AW472" s="94"/>
      <c r="AX472" s="94"/>
      <c r="AY472" s="94"/>
      <c r="AZ472" s="94"/>
      <c r="BA472" s="95"/>
    </row>
    <row r="473" spans="1:53" s="87" customFormat="1">
      <c r="A473" s="90" t="str">
        <f t="shared" si="32"/>
        <v/>
      </c>
      <c r="B473" s="98">
        <v>16</v>
      </c>
      <c r="C473" s="94" t="s">
        <v>210</v>
      </c>
      <c r="D473" s="94">
        <v>3</v>
      </c>
      <c r="E473" s="94">
        <v>-1</v>
      </c>
      <c r="F473" s="94" t="s">
        <v>210</v>
      </c>
      <c r="G473" s="94" t="s">
        <v>210</v>
      </c>
      <c r="H473" s="94">
        <v>2</v>
      </c>
      <c r="I473" s="94">
        <v>-5</v>
      </c>
      <c r="J473" s="94" t="s">
        <v>210</v>
      </c>
      <c r="K473" s="94" t="s">
        <v>210</v>
      </c>
      <c r="L473" s="94">
        <v>6</v>
      </c>
      <c r="M473" s="94">
        <v>-7</v>
      </c>
      <c r="N473" s="94" t="s">
        <v>210</v>
      </c>
      <c r="O473" s="94" t="s">
        <v>210</v>
      </c>
      <c r="P473" s="94">
        <v>8</v>
      </c>
      <c r="Q473" s="94">
        <v>-4</v>
      </c>
      <c r="R473" s="94" t="s">
        <v>210</v>
      </c>
      <c r="S473" s="94" t="s">
        <v>210</v>
      </c>
      <c r="T473" s="94">
        <v>-3</v>
      </c>
      <c r="U473" s="94">
        <v>1</v>
      </c>
      <c r="V473" s="94" t="s">
        <v>210</v>
      </c>
      <c r="W473" s="94" t="s">
        <v>210</v>
      </c>
      <c r="X473" s="94">
        <v>-2</v>
      </c>
      <c r="Y473" s="94">
        <v>5</v>
      </c>
      <c r="Z473" s="94" t="s">
        <v>210</v>
      </c>
      <c r="AA473" s="94" t="s">
        <v>210</v>
      </c>
      <c r="AB473" s="94">
        <v>-6</v>
      </c>
      <c r="AC473" s="94">
        <v>7</v>
      </c>
      <c r="AD473" s="94" t="s">
        <v>210</v>
      </c>
      <c r="AE473" s="94" t="s">
        <v>210</v>
      </c>
      <c r="AF473" s="94">
        <v>-8</v>
      </c>
      <c r="AG473" s="94">
        <v>4</v>
      </c>
      <c r="AH473" s="94" t="s">
        <v>210</v>
      </c>
      <c r="AI473" s="94"/>
      <c r="AJ473" s="94"/>
      <c r="AK473" s="94"/>
      <c r="AL473" s="94"/>
      <c r="AM473" s="94"/>
      <c r="AN473" s="94"/>
      <c r="AO473" s="94"/>
      <c r="AP473" s="94"/>
      <c r="AQ473" s="94"/>
      <c r="AR473" s="94"/>
      <c r="AS473" s="94"/>
      <c r="AT473" s="94"/>
      <c r="AU473" s="94"/>
      <c r="AV473" s="94"/>
      <c r="AW473" s="94"/>
      <c r="AX473" s="94"/>
      <c r="AY473" s="94"/>
      <c r="AZ473" s="94"/>
      <c r="BA473" s="95"/>
    </row>
    <row r="474" spans="1:53" s="87" customFormat="1">
      <c r="A474" s="90" t="str">
        <f t="shared" si="32"/>
        <v/>
      </c>
      <c r="B474" s="98">
        <v>17</v>
      </c>
      <c r="C474" s="94">
        <v>2</v>
      </c>
      <c r="D474" s="94" t="s">
        <v>210</v>
      </c>
      <c r="E474" s="94" t="s">
        <v>210</v>
      </c>
      <c r="F474" s="94">
        <v>-4</v>
      </c>
      <c r="G474" s="94">
        <v>3</v>
      </c>
      <c r="H474" s="94" t="s">
        <v>210</v>
      </c>
      <c r="I474" s="94" t="s">
        <v>210</v>
      </c>
      <c r="J474" s="94">
        <v>-8</v>
      </c>
      <c r="K474" s="94">
        <v>7</v>
      </c>
      <c r="L474" s="94" t="s">
        <v>210</v>
      </c>
      <c r="M474" s="94" t="s">
        <v>210</v>
      </c>
      <c r="N474" s="94">
        <v>-6</v>
      </c>
      <c r="O474" s="94">
        <v>5</v>
      </c>
      <c r="P474" s="94" t="s">
        <v>210</v>
      </c>
      <c r="Q474" s="94" t="s">
        <v>210</v>
      </c>
      <c r="R474" s="94">
        <v>-1</v>
      </c>
      <c r="S474" s="94" t="s">
        <v>210</v>
      </c>
      <c r="T474" s="94">
        <v>4</v>
      </c>
      <c r="U474" s="94">
        <v>-3</v>
      </c>
      <c r="V474" s="94" t="s">
        <v>210</v>
      </c>
      <c r="W474" s="94" t="s">
        <v>210</v>
      </c>
      <c r="X474" s="94">
        <v>8</v>
      </c>
      <c r="Y474" s="94">
        <v>-5</v>
      </c>
      <c r="Z474" s="94" t="s">
        <v>210</v>
      </c>
      <c r="AA474" s="94" t="s">
        <v>210</v>
      </c>
      <c r="AB474" s="94">
        <v>2</v>
      </c>
      <c r="AC474" s="94">
        <v>-6</v>
      </c>
      <c r="AD474" s="94" t="s">
        <v>210</v>
      </c>
      <c r="AE474" s="94" t="s">
        <v>210</v>
      </c>
      <c r="AF474" s="94">
        <v>1</v>
      </c>
      <c r="AG474" s="94">
        <v>-7</v>
      </c>
      <c r="AH474" s="94" t="s">
        <v>210</v>
      </c>
      <c r="AI474" s="94"/>
      <c r="AJ474" s="94"/>
      <c r="AK474" s="94"/>
      <c r="AL474" s="94"/>
      <c r="AM474" s="94"/>
      <c r="AN474" s="94"/>
      <c r="AO474" s="94"/>
      <c r="AP474" s="94"/>
      <c r="AQ474" s="94"/>
      <c r="AR474" s="94"/>
      <c r="AS474" s="94"/>
      <c r="AT474" s="94"/>
      <c r="AU474" s="94"/>
      <c r="AV474" s="94"/>
      <c r="AW474" s="94"/>
      <c r="AX474" s="94"/>
      <c r="AY474" s="94"/>
      <c r="AZ474" s="94"/>
      <c r="BA474" s="95"/>
    </row>
    <row r="475" spans="1:53" s="87" customFormat="1">
      <c r="A475" s="90" t="str">
        <f t="shared" si="32"/>
        <v/>
      </c>
      <c r="B475" s="98">
        <v>18</v>
      </c>
      <c r="C475" s="94">
        <v>1</v>
      </c>
      <c r="D475" s="94" t="s">
        <v>210</v>
      </c>
      <c r="E475" s="94" t="s">
        <v>210</v>
      </c>
      <c r="F475" s="94">
        <v>-3</v>
      </c>
      <c r="G475" s="94">
        <v>4</v>
      </c>
      <c r="H475" s="94" t="s">
        <v>210</v>
      </c>
      <c r="I475" s="94" t="s">
        <v>210</v>
      </c>
      <c r="J475" s="94">
        <v>-7</v>
      </c>
      <c r="K475" s="94">
        <v>8</v>
      </c>
      <c r="L475" s="94" t="s">
        <v>210</v>
      </c>
      <c r="M475" s="94" t="s">
        <v>210</v>
      </c>
      <c r="N475" s="94">
        <v>-5</v>
      </c>
      <c r="O475" s="94">
        <v>6</v>
      </c>
      <c r="P475" s="94" t="s">
        <v>210</v>
      </c>
      <c r="Q475" s="94" t="s">
        <v>210</v>
      </c>
      <c r="R475" s="94">
        <v>-2</v>
      </c>
      <c r="S475" s="94" t="s">
        <v>210</v>
      </c>
      <c r="T475" s="94">
        <v>3</v>
      </c>
      <c r="U475" s="94">
        <v>-4</v>
      </c>
      <c r="V475" s="94" t="s">
        <v>210</v>
      </c>
      <c r="W475" s="94" t="s">
        <v>210</v>
      </c>
      <c r="X475" s="94">
        <v>7</v>
      </c>
      <c r="Y475" s="94">
        <v>-6</v>
      </c>
      <c r="Z475" s="94" t="s">
        <v>210</v>
      </c>
      <c r="AA475" s="94" t="s">
        <v>210</v>
      </c>
      <c r="AB475" s="94">
        <v>1</v>
      </c>
      <c r="AC475" s="94">
        <v>-5</v>
      </c>
      <c r="AD475" s="94" t="s">
        <v>210</v>
      </c>
      <c r="AE475" s="94" t="s">
        <v>210</v>
      </c>
      <c r="AF475" s="94">
        <v>2</v>
      </c>
      <c r="AG475" s="94">
        <v>-8</v>
      </c>
      <c r="AH475" s="94" t="s">
        <v>210</v>
      </c>
      <c r="AI475" s="94"/>
      <c r="AJ475" s="94"/>
      <c r="AK475" s="94"/>
      <c r="AL475" s="94"/>
      <c r="AM475" s="94"/>
      <c r="AN475" s="94"/>
      <c r="AO475" s="94"/>
      <c r="AP475" s="94"/>
      <c r="AQ475" s="94"/>
      <c r="AR475" s="94"/>
      <c r="AS475" s="94"/>
      <c r="AT475" s="94"/>
      <c r="AU475" s="94"/>
      <c r="AV475" s="94"/>
      <c r="AW475" s="94"/>
      <c r="AX475" s="94"/>
      <c r="AY475" s="94"/>
      <c r="AZ475" s="94"/>
      <c r="BA475" s="95"/>
    </row>
    <row r="476" spans="1:53" s="87" customFormat="1">
      <c r="A476" s="90" t="str">
        <f t="shared" si="32"/>
        <v/>
      </c>
      <c r="B476" s="98">
        <v>19</v>
      </c>
      <c r="C476" s="94">
        <v>5</v>
      </c>
      <c r="D476" s="94" t="s">
        <v>210</v>
      </c>
      <c r="E476" s="94" t="s">
        <v>210</v>
      </c>
      <c r="F476" s="94">
        <v>-7</v>
      </c>
      <c r="G476" s="94">
        <v>8</v>
      </c>
      <c r="H476" s="94" t="s">
        <v>210</v>
      </c>
      <c r="I476" s="94" t="s">
        <v>210</v>
      </c>
      <c r="J476" s="94">
        <v>-3</v>
      </c>
      <c r="K476" s="94">
        <v>4</v>
      </c>
      <c r="L476" s="94" t="s">
        <v>210</v>
      </c>
      <c r="M476" s="94" t="s">
        <v>210</v>
      </c>
      <c r="N476" s="94">
        <v>-1</v>
      </c>
      <c r="O476" s="94">
        <v>2</v>
      </c>
      <c r="P476" s="94" t="s">
        <v>210</v>
      </c>
      <c r="Q476" s="94" t="s">
        <v>210</v>
      </c>
      <c r="R476" s="94">
        <v>-6</v>
      </c>
      <c r="S476" s="94" t="s">
        <v>210</v>
      </c>
      <c r="T476" s="94">
        <v>7</v>
      </c>
      <c r="U476" s="94">
        <v>-8</v>
      </c>
      <c r="V476" s="94" t="s">
        <v>210</v>
      </c>
      <c r="W476" s="94" t="s">
        <v>210</v>
      </c>
      <c r="X476" s="94">
        <v>3</v>
      </c>
      <c r="Y476" s="94">
        <v>-2</v>
      </c>
      <c r="Z476" s="94" t="s">
        <v>210</v>
      </c>
      <c r="AA476" s="94" t="s">
        <v>210</v>
      </c>
      <c r="AB476" s="94">
        <v>5</v>
      </c>
      <c r="AC476" s="94">
        <v>-1</v>
      </c>
      <c r="AD476" s="94" t="s">
        <v>210</v>
      </c>
      <c r="AE476" s="94" t="s">
        <v>210</v>
      </c>
      <c r="AF476" s="94">
        <v>6</v>
      </c>
      <c r="AG476" s="94">
        <v>-4</v>
      </c>
      <c r="AH476" s="94" t="s">
        <v>210</v>
      </c>
      <c r="AI476" s="94"/>
      <c r="AJ476" s="94"/>
      <c r="AK476" s="94"/>
      <c r="AL476" s="94"/>
      <c r="AM476" s="94"/>
      <c r="AN476" s="94"/>
      <c r="AO476" s="94"/>
      <c r="AP476" s="94"/>
      <c r="AQ476" s="94"/>
      <c r="AR476" s="94"/>
      <c r="AS476" s="94"/>
      <c r="AT476" s="94"/>
      <c r="AU476" s="94"/>
      <c r="AV476" s="94"/>
      <c r="AW476" s="94"/>
      <c r="AX476" s="94"/>
      <c r="AY476" s="94"/>
      <c r="AZ476" s="94"/>
      <c r="BA476" s="95"/>
    </row>
    <row r="477" spans="1:53" s="87" customFormat="1">
      <c r="A477" s="90" t="str">
        <f t="shared" si="32"/>
        <v/>
      </c>
      <c r="B477" s="98">
        <v>20</v>
      </c>
      <c r="C477" s="94">
        <v>6</v>
      </c>
      <c r="D477" s="94" t="s">
        <v>210</v>
      </c>
      <c r="E477" s="94" t="s">
        <v>210</v>
      </c>
      <c r="F477" s="94">
        <v>-8</v>
      </c>
      <c r="G477" s="94">
        <v>7</v>
      </c>
      <c r="H477" s="94" t="s">
        <v>210</v>
      </c>
      <c r="I477" s="94" t="s">
        <v>210</v>
      </c>
      <c r="J477" s="94">
        <v>-4</v>
      </c>
      <c r="K477" s="94">
        <v>3</v>
      </c>
      <c r="L477" s="94" t="s">
        <v>210</v>
      </c>
      <c r="M477" s="94" t="s">
        <v>210</v>
      </c>
      <c r="N477" s="94">
        <v>-2</v>
      </c>
      <c r="O477" s="94">
        <v>1</v>
      </c>
      <c r="P477" s="94" t="s">
        <v>210</v>
      </c>
      <c r="Q477" s="94" t="s">
        <v>210</v>
      </c>
      <c r="R477" s="94">
        <v>-5</v>
      </c>
      <c r="S477" s="94" t="s">
        <v>210</v>
      </c>
      <c r="T477" s="94">
        <v>8</v>
      </c>
      <c r="U477" s="94">
        <v>-7</v>
      </c>
      <c r="V477" s="94" t="s">
        <v>210</v>
      </c>
      <c r="W477" s="94" t="s">
        <v>210</v>
      </c>
      <c r="X477" s="94">
        <v>4</v>
      </c>
      <c r="Y477" s="94">
        <v>-1</v>
      </c>
      <c r="Z477" s="94" t="s">
        <v>210</v>
      </c>
      <c r="AA477" s="94" t="s">
        <v>210</v>
      </c>
      <c r="AB477" s="94">
        <v>6</v>
      </c>
      <c r="AC477" s="94">
        <v>-2</v>
      </c>
      <c r="AD477" s="94" t="s">
        <v>210</v>
      </c>
      <c r="AE477" s="94" t="s">
        <v>210</v>
      </c>
      <c r="AF477" s="94">
        <v>5</v>
      </c>
      <c r="AG477" s="94">
        <v>-3</v>
      </c>
      <c r="AH477" s="94" t="s">
        <v>210</v>
      </c>
      <c r="AI477" s="94"/>
      <c r="AJ477" s="94"/>
      <c r="AK477" s="94"/>
      <c r="AL477" s="94"/>
      <c r="AM477" s="94"/>
      <c r="AN477" s="94"/>
      <c r="AO477" s="94"/>
      <c r="AP477" s="94"/>
      <c r="AQ477" s="94"/>
      <c r="AR477" s="94"/>
      <c r="AS477" s="94"/>
      <c r="AT477" s="94"/>
      <c r="AU477" s="94"/>
      <c r="AV477" s="94"/>
      <c r="AW477" s="94"/>
      <c r="AX477" s="94"/>
      <c r="AY477" s="94"/>
      <c r="AZ477" s="94"/>
      <c r="BA477" s="95"/>
    </row>
    <row r="478" spans="1:53" s="87" customFormat="1">
      <c r="A478" s="90" t="str">
        <f t="shared" si="32"/>
        <v/>
      </c>
      <c r="B478" s="98">
        <v>21</v>
      </c>
      <c r="C478" s="94">
        <v>4</v>
      </c>
      <c r="D478" s="94" t="s">
        <v>210</v>
      </c>
      <c r="E478" s="94" t="s">
        <v>210</v>
      </c>
      <c r="F478" s="94">
        <v>-2</v>
      </c>
      <c r="G478" s="94">
        <v>1</v>
      </c>
      <c r="H478" s="94" t="s">
        <v>210</v>
      </c>
      <c r="I478" s="94" t="s">
        <v>210</v>
      </c>
      <c r="J478" s="94">
        <v>-6</v>
      </c>
      <c r="K478" s="94">
        <v>5</v>
      </c>
      <c r="L478" s="94" t="s">
        <v>210</v>
      </c>
      <c r="M478" s="94" t="s">
        <v>210</v>
      </c>
      <c r="N478" s="94">
        <v>-8</v>
      </c>
      <c r="O478" s="94">
        <v>7</v>
      </c>
      <c r="P478" s="94" t="s">
        <v>210</v>
      </c>
      <c r="Q478" s="94" t="s">
        <v>210</v>
      </c>
      <c r="R478" s="94">
        <v>-3</v>
      </c>
      <c r="S478" s="94" t="s">
        <v>210</v>
      </c>
      <c r="T478" s="94">
        <v>2</v>
      </c>
      <c r="U478" s="94">
        <v>-1</v>
      </c>
      <c r="V478" s="94" t="s">
        <v>210</v>
      </c>
      <c r="W478" s="94" t="s">
        <v>210</v>
      </c>
      <c r="X478" s="94">
        <v>6</v>
      </c>
      <c r="Y478" s="94">
        <v>-7</v>
      </c>
      <c r="Z478" s="94" t="s">
        <v>210</v>
      </c>
      <c r="AA478" s="94" t="s">
        <v>210</v>
      </c>
      <c r="AB478" s="94">
        <v>4</v>
      </c>
      <c r="AC478" s="94">
        <v>-8</v>
      </c>
      <c r="AD478" s="94" t="s">
        <v>210</v>
      </c>
      <c r="AE478" s="94" t="s">
        <v>210</v>
      </c>
      <c r="AF478" s="94">
        <v>3</v>
      </c>
      <c r="AG478" s="94">
        <v>-5</v>
      </c>
      <c r="AH478" s="94" t="s">
        <v>210</v>
      </c>
      <c r="AI478" s="94"/>
      <c r="AJ478" s="94"/>
      <c r="AK478" s="94"/>
      <c r="AL478" s="94"/>
      <c r="AM478" s="94"/>
      <c r="AN478" s="94"/>
      <c r="AO478" s="94"/>
      <c r="AP478" s="94"/>
      <c r="AQ478" s="94"/>
      <c r="AR478" s="94"/>
      <c r="AS478" s="94"/>
      <c r="AT478" s="94"/>
      <c r="AU478" s="94"/>
      <c r="AV478" s="94"/>
      <c r="AW478" s="94"/>
      <c r="AX478" s="94"/>
      <c r="AY478" s="94"/>
      <c r="AZ478" s="94"/>
      <c r="BA478" s="95"/>
    </row>
    <row r="479" spans="1:53" s="87" customFormat="1">
      <c r="A479" s="90" t="str">
        <f t="shared" si="32"/>
        <v/>
      </c>
      <c r="B479" s="98">
        <v>22</v>
      </c>
      <c r="C479" s="94">
        <v>7</v>
      </c>
      <c r="D479" s="94" t="s">
        <v>210</v>
      </c>
      <c r="E479" s="94" t="s">
        <v>210</v>
      </c>
      <c r="F479" s="94">
        <v>-5</v>
      </c>
      <c r="G479" s="94">
        <v>6</v>
      </c>
      <c r="H479" s="94" t="s">
        <v>210</v>
      </c>
      <c r="I479" s="94" t="s">
        <v>210</v>
      </c>
      <c r="J479" s="94">
        <v>-1</v>
      </c>
      <c r="K479" s="94">
        <v>2</v>
      </c>
      <c r="L479" s="94" t="s">
        <v>210</v>
      </c>
      <c r="M479" s="94" t="s">
        <v>210</v>
      </c>
      <c r="N479" s="94">
        <v>-3</v>
      </c>
      <c r="O479" s="94">
        <v>4</v>
      </c>
      <c r="P479" s="94" t="s">
        <v>210</v>
      </c>
      <c r="Q479" s="94" t="s">
        <v>210</v>
      </c>
      <c r="R479" s="94">
        <v>-8</v>
      </c>
      <c r="S479" s="94" t="s">
        <v>210</v>
      </c>
      <c r="T479" s="94">
        <v>5</v>
      </c>
      <c r="U479" s="94">
        <v>-6</v>
      </c>
      <c r="V479" s="94" t="s">
        <v>210</v>
      </c>
      <c r="W479" s="94" t="s">
        <v>210</v>
      </c>
      <c r="X479" s="94">
        <v>1</v>
      </c>
      <c r="Y479" s="94">
        <v>-4</v>
      </c>
      <c r="Z479" s="94" t="s">
        <v>210</v>
      </c>
      <c r="AA479" s="94" t="s">
        <v>210</v>
      </c>
      <c r="AB479" s="94">
        <v>7</v>
      </c>
      <c r="AC479" s="94">
        <v>-3</v>
      </c>
      <c r="AD479" s="94" t="s">
        <v>210</v>
      </c>
      <c r="AE479" s="94" t="s">
        <v>210</v>
      </c>
      <c r="AF479" s="94">
        <v>8</v>
      </c>
      <c r="AG479" s="94">
        <v>-2</v>
      </c>
      <c r="AH479" s="94" t="s">
        <v>210</v>
      </c>
      <c r="AI479" s="94"/>
      <c r="AJ479" s="94"/>
      <c r="AK479" s="94"/>
      <c r="AL479" s="94"/>
      <c r="AM479" s="94"/>
      <c r="AN479" s="94"/>
      <c r="AO479" s="94"/>
      <c r="AP479" s="94"/>
      <c r="AQ479" s="94"/>
      <c r="AR479" s="94"/>
      <c r="AS479" s="94"/>
      <c r="AT479" s="94"/>
      <c r="AU479" s="94"/>
      <c r="AV479" s="94"/>
      <c r="AW479" s="94"/>
      <c r="AX479" s="94"/>
      <c r="AY479" s="94"/>
      <c r="AZ479" s="94"/>
      <c r="BA479" s="95"/>
    </row>
    <row r="480" spans="1:53" s="87" customFormat="1">
      <c r="A480" s="90" t="str">
        <f t="shared" si="32"/>
        <v/>
      </c>
      <c r="B480" s="98">
        <v>23</v>
      </c>
      <c r="C480" s="94">
        <v>8</v>
      </c>
      <c r="D480" s="94" t="s">
        <v>210</v>
      </c>
      <c r="E480" s="94" t="s">
        <v>210</v>
      </c>
      <c r="F480" s="94">
        <v>-6</v>
      </c>
      <c r="G480" s="94">
        <v>5</v>
      </c>
      <c r="H480" s="94" t="s">
        <v>210</v>
      </c>
      <c r="I480" s="94" t="s">
        <v>210</v>
      </c>
      <c r="J480" s="94">
        <v>-2</v>
      </c>
      <c r="K480" s="94">
        <v>1</v>
      </c>
      <c r="L480" s="94" t="s">
        <v>210</v>
      </c>
      <c r="M480" s="94" t="s">
        <v>210</v>
      </c>
      <c r="N480" s="94">
        <v>-4</v>
      </c>
      <c r="O480" s="94">
        <v>3</v>
      </c>
      <c r="P480" s="94" t="s">
        <v>210</v>
      </c>
      <c r="Q480" s="94" t="s">
        <v>210</v>
      </c>
      <c r="R480" s="94">
        <v>-7</v>
      </c>
      <c r="S480" s="94" t="s">
        <v>210</v>
      </c>
      <c r="T480" s="94">
        <v>6</v>
      </c>
      <c r="U480" s="94">
        <v>-5</v>
      </c>
      <c r="V480" s="94" t="s">
        <v>210</v>
      </c>
      <c r="W480" s="94" t="s">
        <v>210</v>
      </c>
      <c r="X480" s="94">
        <v>2</v>
      </c>
      <c r="Y480" s="94">
        <v>-3</v>
      </c>
      <c r="Z480" s="94" t="s">
        <v>210</v>
      </c>
      <c r="AA480" s="94" t="s">
        <v>210</v>
      </c>
      <c r="AB480" s="94">
        <v>8</v>
      </c>
      <c r="AC480" s="94">
        <v>-4</v>
      </c>
      <c r="AD480" s="94" t="s">
        <v>210</v>
      </c>
      <c r="AE480" s="94" t="s">
        <v>210</v>
      </c>
      <c r="AF480" s="94">
        <v>7</v>
      </c>
      <c r="AG480" s="94">
        <v>-1</v>
      </c>
      <c r="AH480" s="94" t="s">
        <v>210</v>
      </c>
      <c r="AI480" s="94"/>
      <c r="AJ480" s="94"/>
      <c r="AK480" s="94"/>
      <c r="AL480" s="94"/>
      <c r="AM480" s="94"/>
      <c r="AN480" s="94"/>
      <c r="AO480" s="94"/>
      <c r="AP480" s="94"/>
      <c r="AQ480" s="94"/>
      <c r="AR480" s="94"/>
      <c r="AS480" s="94"/>
      <c r="AT480" s="94"/>
      <c r="AU480" s="94"/>
      <c r="AV480" s="94"/>
      <c r="AW480" s="94"/>
      <c r="AX480" s="94"/>
      <c r="AY480" s="94"/>
      <c r="AZ480" s="94"/>
      <c r="BA480" s="95"/>
    </row>
    <row r="481" spans="1:53" s="87" customFormat="1">
      <c r="A481" s="90" t="str">
        <f t="shared" si="32"/>
        <v/>
      </c>
      <c r="B481" s="98">
        <v>24</v>
      </c>
      <c r="C481" s="94">
        <v>3</v>
      </c>
      <c r="D481" s="94" t="s">
        <v>210</v>
      </c>
      <c r="E481" s="94" t="s">
        <v>210</v>
      </c>
      <c r="F481" s="94">
        <v>-1</v>
      </c>
      <c r="G481" s="94">
        <v>2</v>
      </c>
      <c r="H481" s="94" t="s">
        <v>210</v>
      </c>
      <c r="I481" s="94" t="s">
        <v>210</v>
      </c>
      <c r="J481" s="94">
        <v>-5</v>
      </c>
      <c r="K481" s="94">
        <v>6</v>
      </c>
      <c r="L481" s="94" t="s">
        <v>210</v>
      </c>
      <c r="M481" s="94" t="s">
        <v>210</v>
      </c>
      <c r="N481" s="94">
        <v>-7</v>
      </c>
      <c r="O481" s="94">
        <v>8</v>
      </c>
      <c r="P481" s="94" t="s">
        <v>210</v>
      </c>
      <c r="Q481" s="94" t="s">
        <v>210</v>
      </c>
      <c r="R481" s="94">
        <v>-4</v>
      </c>
      <c r="S481" s="94" t="s">
        <v>210</v>
      </c>
      <c r="T481" s="94">
        <v>1</v>
      </c>
      <c r="U481" s="94">
        <v>-2</v>
      </c>
      <c r="V481" s="94" t="s">
        <v>210</v>
      </c>
      <c r="W481" s="94" t="s">
        <v>210</v>
      </c>
      <c r="X481" s="94">
        <v>5</v>
      </c>
      <c r="Y481" s="94">
        <v>-8</v>
      </c>
      <c r="Z481" s="94" t="s">
        <v>210</v>
      </c>
      <c r="AA481" s="94" t="s">
        <v>210</v>
      </c>
      <c r="AB481" s="94">
        <v>3</v>
      </c>
      <c r="AC481" s="94">
        <v>-7</v>
      </c>
      <c r="AD481" s="94" t="s">
        <v>210</v>
      </c>
      <c r="AE481" s="94" t="s">
        <v>210</v>
      </c>
      <c r="AF481" s="94">
        <v>4</v>
      </c>
      <c r="AG481" s="94">
        <v>-6</v>
      </c>
      <c r="AH481" s="94" t="s">
        <v>210</v>
      </c>
      <c r="AI481" s="94"/>
      <c r="AJ481" s="94"/>
      <c r="AK481" s="94"/>
      <c r="AL481" s="94"/>
      <c r="AM481" s="94"/>
      <c r="AN481" s="94"/>
      <c r="AO481" s="94"/>
      <c r="AP481" s="94"/>
      <c r="AQ481" s="94"/>
      <c r="AR481" s="94"/>
      <c r="AS481" s="94"/>
      <c r="AT481" s="94"/>
      <c r="AU481" s="94"/>
      <c r="AV481" s="94"/>
      <c r="AW481" s="94"/>
      <c r="AX481" s="94"/>
      <c r="AY481" s="94"/>
      <c r="AZ481" s="94"/>
      <c r="BA481" s="95"/>
    </row>
    <row r="482" spans="1:53" s="87" customFormat="1">
      <c r="A482" s="90" t="str">
        <f t="shared" si="32"/>
        <v/>
      </c>
      <c r="B482" s="98">
        <v>25</v>
      </c>
      <c r="C482" s="94" t="s">
        <v>210</v>
      </c>
      <c r="D482" s="94">
        <v>-4</v>
      </c>
      <c r="E482" s="94">
        <v>3</v>
      </c>
      <c r="F482" s="94" t="s">
        <v>210</v>
      </c>
      <c r="G482" s="94" t="s">
        <v>210</v>
      </c>
      <c r="H482" s="94">
        <v>-8</v>
      </c>
      <c r="I482" s="94">
        <v>5</v>
      </c>
      <c r="J482" s="94" t="s">
        <v>210</v>
      </c>
      <c r="K482" s="94" t="s">
        <v>210</v>
      </c>
      <c r="L482" s="94">
        <v>-2</v>
      </c>
      <c r="M482" s="94">
        <v>6</v>
      </c>
      <c r="N482" s="94" t="s">
        <v>210</v>
      </c>
      <c r="O482" s="94" t="s">
        <v>210</v>
      </c>
      <c r="P482" s="94">
        <v>-1</v>
      </c>
      <c r="Q482" s="94">
        <v>7</v>
      </c>
      <c r="R482" s="94" t="s">
        <v>210</v>
      </c>
      <c r="S482" s="94">
        <v>-2</v>
      </c>
      <c r="T482" s="94" t="s">
        <v>210</v>
      </c>
      <c r="U482" s="94" t="s">
        <v>210</v>
      </c>
      <c r="V482" s="94">
        <v>4</v>
      </c>
      <c r="W482" s="94">
        <v>-3</v>
      </c>
      <c r="X482" s="94" t="s">
        <v>210</v>
      </c>
      <c r="Y482" s="94" t="s">
        <v>210</v>
      </c>
      <c r="Z482" s="94">
        <v>8</v>
      </c>
      <c r="AA482" s="94">
        <v>-7</v>
      </c>
      <c r="AB482" s="94" t="s">
        <v>210</v>
      </c>
      <c r="AC482" s="94" t="s">
        <v>210</v>
      </c>
      <c r="AD482" s="94">
        <v>6</v>
      </c>
      <c r="AE482" s="94">
        <v>-5</v>
      </c>
      <c r="AF482" s="94" t="s">
        <v>210</v>
      </c>
      <c r="AG482" s="94" t="s">
        <v>210</v>
      </c>
      <c r="AH482" s="94">
        <v>1</v>
      </c>
      <c r="AI482" s="94"/>
      <c r="AJ482" s="94"/>
      <c r="AK482" s="94"/>
      <c r="AL482" s="94"/>
      <c r="AM482" s="94"/>
      <c r="AN482" s="94"/>
      <c r="AO482" s="94"/>
      <c r="AP482" s="94"/>
      <c r="AQ482" s="94"/>
      <c r="AR482" s="94"/>
      <c r="AS482" s="94"/>
      <c r="AT482" s="94"/>
      <c r="AU482" s="94"/>
      <c r="AV482" s="94"/>
      <c r="AW482" s="94"/>
      <c r="AX482" s="94"/>
      <c r="AY482" s="94"/>
      <c r="AZ482" s="94"/>
      <c r="BA482" s="95"/>
    </row>
    <row r="483" spans="1:53" s="87" customFormat="1">
      <c r="A483" s="90" t="str">
        <f t="shared" si="32"/>
        <v/>
      </c>
      <c r="B483" s="98">
        <v>26</v>
      </c>
      <c r="C483" s="94" t="s">
        <v>210</v>
      </c>
      <c r="D483" s="94">
        <v>-3</v>
      </c>
      <c r="E483" s="94">
        <v>4</v>
      </c>
      <c r="F483" s="94" t="s">
        <v>210</v>
      </c>
      <c r="G483" s="94" t="s">
        <v>210</v>
      </c>
      <c r="H483" s="94">
        <v>-7</v>
      </c>
      <c r="I483" s="94">
        <v>6</v>
      </c>
      <c r="J483" s="94" t="s">
        <v>210</v>
      </c>
      <c r="K483" s="94" t="s">
        <v>210</v>
      </c>
      <c r="L483" s="94">
        <v>-1</v>
      </c>
      <c r="M483" s="94">
        <v>5</v>
      </c>
      <c r="N483" s="94" t="s">
        <v>210</v>
      </c>
      <c r="O483" s="94" t="s">
        <v>210</v>
      </c>
      <c r="P483" s="94">
        <v>-2</v>
      </c>
      <c r="Q483" s="94">
        <v>8</v>
      </c>
      <c r="R483" s="94" t="s">
        <v>210</v>
      </c>
      <c r="S483" s="94">
        <v>-1</v>
      </c>
      <c r="T483" s="94" t="s">
        <v>210</v>
      </c>
      <c r="U483" s="94" t="s">
        <v>210</v>
      </c>
      <c r="V483" s="94">
        <v>3</v>
      </c>
      <c r="W483" s="94">
        <v>-4</v>
      </c>
      <c r="X483" s="94" t="s">
        <v>210</v>
      </c>
      <c r="Y483" s="94" t="s">
        <v>210</v>
      </c>
      <c r="Z483" s="94">
        <v>7</v>
      </c>
      <c r="AA483" s="94">
        <v>-8</v>
      </c>
      <c r="AB483" s="94" t="s">
        <v>210</v>
      </c>
      <c r="AC483" s="94" t="s">
        <v>210</v>
      </c>
      <c r="AD483" s="94">
        <v>5</v>
      </c>
      <c r="AE483" s="94">
        <v>-6</v>
      </c>
      <c r="AF483" s="94" t="s">
        <v>210</v>
      </c>
      <c r="AG483" s="94" t="s">
        <v>210</v>
      </c>
      <c r="AH483" s="94">
        <v>2</v>
      </c>
      <c r="AI483" s="94"/>
      <c r="AJ483" s="94"/>
      <c r="AK483" s="94"/>
      <c r="AL483" s="94"/>
      <c r="AM483" s="94"/>
      <c r="AN483" s="94"/>
      <c r="AO483" s="94"/>
      <c r="AP483" s="94"/>
      <c r="AQ483" s="94"/>
      <c r="AR483" s="94"/>
      <c r="AS483" s="94"/>
      <c r="AT483" s="94"/>
      <c r="AU483" s="94"/>
      <c r="AV483" s="94"/>
      <c r="AW483" s="94"/>
      <c r="AX483" s="94"/>
      <c r="AY483" s="94"/>
      <c r="AZ483" s="94"/>
      <c r="BA483" s="95"/>
    </row>
    <row r="484" spans="1:53" s="87" customFormat="1">
      <c r="A484" s="90" t="str">
        <f t="shared" si="32"/>
        <v/>
      </c>
      <c r="B484" s="98">
        <v>27</v>
      </c>
      <c r="C484" s="94" t="s">
        <v>210</v>
      </c>
      <c r="D484" s="94">
        <v>-7</v>
      </c>
      <c r="E484" s="94">
        <v>8</v>
      </c>
      <c r="F484" s="94" t="s">
        <v>210</v>
      </c>
      <c r="G484" s="94" t="s">
        <v>210</v>
      </c>
      <c r="H484" s="94">
        <v>-3</v>
      </c>
      <c r="I484" s="94">
        <v>2</v>
      </c>
      <c r="J484" s="94" t="s">
        <v>210</v>
      </c>
      <c r="K484" s="94" t="s">
        <v>210</v>
      </c>
      <c r="L484" s="94">
        <v>-5</v>
      </c>
      <c r="M484" s="94">
        <v>1</v>
      </c>
      <c r="N484" s="94" t="s">
        <v>210</v>
      </c>
      <c r="O484" s="94" t="s">
        <v>210</v>
      </c>
      <c r="P484" s="94">
        <v>-6</v>
      </c>
      <c r="Q484" s="94">
        <v>4</v>
      </c>
      <c r="R484" s="94" t="s">
        <v>210</v>
      </c>
      <c r="S484" s="94">
        <v>-5</v>
      </c>
      <c r="T484" s="94" t="s">
        <v>210</v>
      </c>
      <c r="U484" s="94" t="s">
        <v>210</v>
      </c>
      <c r="V484" s="94">
        <v>7</v>
      </c>
      <c r="W484" s="94">
        <v>-8</v>
      </c>
      <c r="X484" s="94" t="s">
        <v>210</v>
      </c>
      <c r="Y484" s="94" t="s">
        <v>210</v>
      </c>
      <c r="Z484" s="94">
        <v>3</v>
      </c>
      <c r="AA484" s="94">
        <v>-4</v>
      </c>
      <c r="AB484" s="94" t="s">
        <v>210</v>
      </c>
      <c r="AC484" s="94" t="s">
        <v>210</v>
      </c>
      <c r="AD484" s="94">
        <v>1</v>
      </c>
      <c r="AE484" s="94">
        <v>-2</v>
      </c>
      <c r="AF484" s="94" t="s">
        <v>210</v>
      </c>
      <c r="AG484" s="94" t="s">
        <v>210</v>
      </c>
      <c r="AH484" s="94">
        <v>6</v>
      </c>
      <c r="AI484" s="94"/>
      <c r="AJ484" s="94"/>
      <c r="AK484" s="94"/>
      <c r="AL484" s="94"/>
      <c r="AM484" s="94"/>
      <c r="AN484" s="94"/>
      <c r="AO484" s="94"/>
      <c r="AP484" s="94"/>
      <c r="AQ484" s="94"/>
      <c r="AR484" s="94"/>
      <c r="AS484" s="94"/>
      <c r="AT484" s="94"/>
      <c r="AU484" s="94"/>
      <c r="AV484" s="94"/>
      <c r="AW484" s="94"/>
      <c r="AX484" s="94"/>
      <c r="AY484" s="94"/>
      <c r="AZ484" s="94"/>
      <c r="BA484" s="95"/>
    </row>
    <row r="485" spans="1:53" s="87" customFormat="1">
      <c r="A485" s="90" t="str">
        <f t="shared" si="32"/>
        <v/>
      </c>
      <c r="B485" s="98">
        <v>28</v>
      </c>
      <c r="C485" s="94" t="s">
        <v>210</v>
      </c>
      <c r="D485" s="94">
        <v>-8</v>
      </c>
      <c r="E485" s="94">
        <v>7</v>
      </c>
      <c r="F485" s="94" t="s">
        <v>210</v>
      </c>
      <c r="G485" s="94" t="s">
        <v>210</v>
      </c>
      <c r="H485" s="94">
        <v>-4</v>
      </c>
      <c r="I485" s="94">
        <v>1</v>
      </c>
      <c r="J485" s="94" t="s">
        <v>210</v>
      </c>
      <c r="K485" s="94" t="s">
        <v>210</v>
      </c>
      <c r="L485" s="94">
        <v>-6</v>
      </c>
      <c r="M485" s="94">
        <v>2</v>
      </c>
      <c r="N485" s="94" t="s">
        <v>210</v>
      </c>
      <c r="O485" s="94" t="s">
        <v>210</v>
      </c>
      <c r="P485" s="94">
        <v>-5</v>
      </c>
      <c r="Q485" s="94">
        <v>3</v>
      </c>
      <c r="R485" s="94" t="s">
        <v>210</v>
      </c>
      <c r="S485" s="94">
        <v>-6</v>
      </c>
      <c r="T485" s="94" t="s">
        <v>210</v>
      </c>
      <c r="U485" s="94" t="s">
        <v>210</v>
      </c>
      <c r="V485" s="94">
        <v>8</v>
      </c>
      <c r="W485" s="94">
        <v>-7</v>
      </c>
      <c r="X485" s="94" t="s">
        <v>210</v>
      </c>
      <c r="Y485" s="94" t="s">
        <v>210</v>
      </c>
      <c r="Z485" s="94">
        <v>4</v>
      </c>
      <c r="AA485" s="94">
        <v>-3</v>
      </c>
      <c r="AB485" s="94" t="s">
        <v>210</v>
      </c>
      <c r="AC485" s="94" t="s">
        <v>210</v>
      </c>
      <c r="AD485" s="94">
        <v>2</v>
      </c>
      <c r="AE485" s="94">
        <v>-1</v>
      </c>
      <c r="AF485" s="94" t="s">
        <v>210</v>
      </c>
      <c r="AG485" s="94" t="s">
        <v>210</v>
      </c>
      <c r="AH485" s="94">
        <v>5</v>
      </c>
      <c r="AI485" s="94"/>
      <c r="AJ485" s="94"/>
      <c r="AK485" s="94"/>
      <c r="AL485" s="94"/>
      <c r="AM485" s="94"/>
      <c r="AN485" s="94"/>
      <c r="AO485" s="94"/>
      <c r="AP485" s="94"/>
      <c r="AQ485" s="94"/>
      <c r="AR485" s="94"/>
      <c r="AS485" s="94"/>
      <c r="AT485" s="94"/>
      <c r="AU485" s="94"/>
      <c r="AV485" s="94"/>
      <c r="AW485" s="94"/>
      <c r="AX485" s="94"/>
      <c r="AY485" s="94"/>
      <c r="AZ485" s="94"/>
      <c r="BA485" s="95"/>
    </row>
    <row r="486" spans="1:53" s="87" customFormat="1">
      <c r="A486" s="90" t="str">
        <f t="shared" si="32"/>
        <v/>
      </c>
      <c r="B486" s="98">
        <v>29</v>
      </c>
      <c r="C486" s="94" t="s">
        <v>210</v>
      </c>
      <c r="D486" s="94">
        <v>-2</v>
      </c>
      <c r="E486" s="94">
        <v>1</v>
      </c>
      <c r="F486" s="94" t="s">
        <v>210</v>
      </c>
      <c r="G486" s="94" t="s">
        <v>210</v>
      </c>
      <c r="H486" s="94">
        <v>-6</v>
      </c>
      <c r="I486" s="94">
        <v>7</v>
      </c>
      <c r="J486" s="94" t="s">
        <v>210</v>
      </c>
      <c r="K486" s="94" t="s">
        <v>210</v>
      </c>
      <c r="L486" s="94">
        <v>-4</v>
      </c>
      <c r="M486" s="94">
        <v>8</v>
      </c>
      <c r="N486" s="94" t="s">
        <v>210</v>
      </c>
      <c r="O486" s="94" t="s">
        <v>210</v>
      </c>
      <c r="P486" s="94">
        <v>-3</v>
      </c>
      <c r="Q486" s="94">
        <v>5</v>
      </c>
      <c r="R486" s="94" t="s">
        <v>210</v>
      </c>
      <c r="S486" s="94">
        <v>-4</v>
      </c>
      <c r="T486" s="94" t="s">
        <v>210</v>
      </c>
      <c r="U486" s="94" t="s">
        <v>210</v>
      </c>
      <c r="V486" s="94">
        <v>2</v>
      </c>
      <c r="W486" s="94">
        <v>-1</v>
      </c>
      <c r="X486" s="94" t="s">
        <v>210</v>
      </c>
      <c r="Y486" s="94" t="s">
        <v>210</v>
      </c>
      <c r="Z486" s="94">
        <v>6</v>
      </c>
      <c r="AA486" s="94">
        <v>-5</v>
      </c>
      <c r="AB486" s="94" t="s">
        <v>210</v>
      </c>
      <c r="AC486" s="94" t="s">
        <v>210</v>
      </c>
      <c r="AD486" s="94">
        <v>8</v>
      </c>
      <c r="AE486" s="94">
        <v>-7</v>
      </c>
      <c r="AF486" s="94" t="s">
        <v>210</v>
      </c>
      <c r="AG486" s="94" t="s">
        <v>210</v>
      </c>
      <c r="AH486" s="94">
        <v>3</v>
      </c>
      <c r="AI486" s="94"/>
      <c r="AJ486" s="94"/>
      <c r="AK486" s="94"/>
      <c r="AL486" s="94"/>
      <c r="AM486" s="94"/>
      <c r="AN486" s="94"/>
      <c r="AO486" s="94"/>
      <c r="AP486" s="94"/>
      <c r="AQ486" s="94"/>
      <c r="AR486" s="94"/>
      <c r="AS486" s="94"/>
      <c r="AT486" s="94"/>
      <c r="AU486" s="94"/>
      <c r="AV486" s="94"/>
      <c r="AW486" s="94"/>
      <c r="AX486" s="94"/>
      <c r="AY486" s="94"/>
      <c r="AZ486" s="94"/>
      <c r="BA486" s="95"/>
    </row>
    <row r="487" spans="1:53" s="87" customFormat="1">
      <c r="A487" s="90" t="str">
        <f t="shared" si="32"/>
        <v/>
      </c>
      <c r="B487" s="98">
        <v>30</v>
      </c>
      <c r="C487" s="94" t="s">
        <v>210</v>
      </c>
      <c r="D487" s="94">
        <v>-5</v>
      </c>
      <c r="E487" s="94">
        <v>6</v>
      </c>
      <c r="F487" s="94" t="s">
        <v>210</v>
      </c>
      <c r="G487" s="94" t="s">
        <v>210</v>
      </c>
      <c r="H487" s="94">
        <v>-1</v>
      </c>
      <c r="I487" s="94">
        <v>4</v>
      </c>
      <c r="J487" s="94" t="s">
        <v>210</v>
      </c>
      <c r="K487" s="94" t="s">
        <v>210</v>
      </c>
      <c r="L487" s="94">
        <v>-7</v>
      </c>
      <c r="M487" s="94">
        <v>3</v>
      </c>
      <c r="N487" s="94" t="s">
        <v>210</v>
      </c>
      <c r="O487" s="94" t="s">
        <v>210</v>
      </c>
      <c r="P487" s="94">
        <v>-8</v>
      </c>
      <c r="Q487" s="94">
        <v>2</v>
      </c>
      <c r="R487" s="94" t="s">
        <v>210</v>
      </c>
      <c r="S487" s="94">
        <v>-7</v>
      </c>
      <c r="T487" s="94" t="s">
        <v>210</v>
      </c>
      <c r="U487" s="94" t="s">
        <v>210</v>
      </c>
      <c r="V487" s="94">
        <v>5</v>
      </c>
      <c r="W487" s="94">
        <v>-6</v>
      </c>
      <c r="X487" s="94" t="s">
        <v>210</v>
      </c>
      <c r="Y487" s="94" t="s">
        <v>210</v>
      </c>
      <c r="Z487" s="94">
        <v>1</v>
      </c>
      <c r="AA487" s="94">
        <v>-2</v>
      </c>
      <c r="AB487" s="94" t="s">
        <v>210</v>
      </c>
      <c r="AC487" s="94" t="s">
        <v>210</v>
      </c>
      <c r="AD487" s="94">
        <v>3</v>
      </c>
      <c r="AE487" s="94">
        <v>-4</v>
      </c>
      <c r="AF487" s="94" t="s">
        <v>210</v>
      </c>
      <c r="AG487" s="94" t="s">
        <v>210</v>
      </c>
      <c r="AH487" s="94">
        <v>8</v>
      </c>
      <c r="AI487" s="94"/>
      <c r="AJ487" s="94"/>
      <c r="AK487" s="94"/>
      <c r="AL487" s="94"/>
      <c r="AM487" s="94"/>
      <c r="AN487" s="94"/>
      <c r="AO487" s="94"/>
      <c r="AP487" s="94"/>
      <c r="AQ487" s="94"/>
      <c r="AR487" s="94"/>
      <c r="AS487" s="94"/>
      <c r="AT487" s="94"/>
      <c r="AU487" s="94"/>
      <c r="AV487" s="94"/>
      <c r="AW487" s="94"/>
      <c r="AX487" s="94"/>
      <c r="AY487" s="94"/>
      <c r="AZ487" s="94"/>
      <c r="BA487" s="95"/>
    </row>
    <row r="488" spans="1:53" s="87" customFormat="1">
      <c r="A488" s="90" t="str">
        <f t="shared" si="32"/>
        <v/>
      </c>
      <c r="B488" s="98">
        <v>31</v>
      </c>
      <c r="C488" s="94" t="s">
        <v>210</v>
      </c>
      <c r="D488" s="94">
        <v>-6</v>
      </c>
      <c r="E488" s="94">
        <v>5</v>
      </c>
      <c r="F488" s="94" t="s">
        <v>210</v>
      </c>
      <c r="G488" s="94" t="s">
        <v>210</v>
      </c>
      <c r="H488" s="94">
        <v>-2</v>
      </c>
      <c r="I488" s="94">
        <v>3</v>
      </c>
      <c r="J488" s="94" t="s">
        <v>210</v>
      </c>
      <c r="K488" s="94" t="s">
        <v>210</v>
      </c>
      <c r="L488" s="94">
        <v>-8</v>
      </c>
      <c r="M488" s="94">
        <v>4</v>
      </c>
      <c r="N488" s="94" t="s">
        <v>210</v>
      </c>
      <c r="O488" s="94" t="s">
        <v>210</v>
      </c>
      <c r="P488" s="94">
        <v>-7</v>
      </c>
      <c r="Q488" s="94">
        <v>1</v>
      </c>
      <c r="R488" s="94" t="s">
        <v>210</v>
      </c>
      <c r="S488" s="94">
        <v>-8</v>
      </c>
      <c r="T488" s="94" t="s">
        <v>210</v>
      </c>
      <c r="U488" s="94" t="s">
        <v>210</v>
      </c>
      <c r="V488" s="94">
        <v>6</v>
      </c>
      <c r="W488" s="94">
        <v>-5</v>
      </c>
      <c r="X488" s="94" t="s">
        <v>210</v>
      </c>
      <c r="Y488" s="94" t="s">
        <v>210</v>
      </c>
      <c r="Z488" s="94">
        <v>2</v>
      </c>
      <c r="AA488" s="94">
        <v>-1</v>
      </c>
      <c r="AB488" s="94" t="s">
        <v>210</v>
      </c>
      <c r="AC488" s="94" t="s">
        <v>210</v>
      </c>
      <c r="AD488" s="94">
        <v>4</v>
      </c>
      <c r="AE488" s="94">
        <v>-3</v>
      </c>
      <c r="AF488" s="94" t="s">
        <v>210</v>
      </c>
      <c r="AG488" s="94" t="s">
        <v>210</v>
      </c>
      <c r="AH488" s="94">
        <v>7</v>
      </c>
      <c r="AI488" s="94"/>
      <c r="AJ488" s="94"/>
      <c r="AK488" s="94"/>
      <c r="AL488" s="94"/>
      <c r="AM488" s="94"/>
      <c r="AN488" s="94"/>
      <c r="AO488" s="94"/>
      <c r="AP488" s="94"/>
      <c r="AQ488" s="94"/>
      <c r="AR488" s="94"/>
      <c r="AS488" s="94"/>
      <c r="AT488" s="94"/>
      <c r="AU488" s="94"/>
      <c r="AV488" s="94"/>
      <c r="AW488" s="94"/>
      <c r="AX488" s="94"/>
      <c r="AY488" s="94"/>
      <c r="AZ488" s="94"/>
      <c r="BA488" s="95"/>
    </row>
    <row r="489" spans="1:53" s="87" customFormat="1">
      <c r="A489" s="90" t="str">
        <f t="shared" si="32"/>
        <v/>
      </c>
      <c r="B489" s="98">
        <v>32</v>
      </c>
      <c r="C489" s="94" t="s">
        <v>210</v>
      </c>
      <c r="D489" s="94">
        <v>-1</v>
      </c>
      <c r="E489" s="94">
        <v>2</v>
      </c>
      <c r="F489" s="94" t="s">
        <v>210</v>
      </c>
      <c r="G489" s="94" t="s">
        <v>210</v>
      </c>
      <c r="H489" s="94">
        <v>-5</v>
      </c>
      <c r="I489" s="94">
        <v>8</v>
      </c>
      <c r="J489" s="94" t="s">
        <v>210</v>
      </c>
      <c r="K489" s="94" t="s">
        <v>210</v>
      </c>
      <c r="L489" s="94">
        <v>-3</v>
      </c>
      <c r="M489" s="94">
        <v>7</v>
      </c>
      <c r="N489" s="94" t="s">
        <v>210</v>
      </c>
      <c r="O489" s="94" t="s">
        <v>210</v>
      </c>
      <c r="P489" s="94">
        <v>-4</v>
      </c>
      <c r="Q489" s="94">
        <v>6</v>
      </c>
      <c r="R489" s="94" t="s">
        <v>210</v>
      </c>
      <c r="S489" s="94">
        <v>-3</v>
      </c>
      <c r="T489" s="94" t="s">
        <v>210</v>
      </c>
      <c r="U489" s="94" t="s">
        <v>210</v>
      </c>
      <c r="V489" s="94">
        <v>1</v>
      </c>
      <c r="W489" s="94">
        <v>-2</v>
      </c>
      <c r="X489" s="94" t="s">
        <v>210</v>
      </c>
      <c r="Y489" s="94" t="s">
        <v>210</v>
      </c>
      <c r="Z489" s="94">
        <v>5</v>
      </c>
      <c r="AA489" s="94">
        <v>-6</v>
      </c>
      <c r="AB489" s="94" t="s">
        <v>210</v>
      </c>
      <c r="AC489" s="94" t="s">
        <v>210</v>
      </c>
      <c r="AD489" s="94">
        <v>7</v>
      </c>
      <c r="AE489" s="94">
        <v>-8</v>
      </c>
      <c r="AF489" s="94" t="s">
        <v>210</v>
      </c>
      <c r="AG489" s="94" t="s">
        <v>210</v>
      </c>
      <c r="AH489" s="94">
        <v>4</v>
      </c>
      <c r="AI489" s="94"/>
      <c r="AJ489" s="94"/>
      <c r="AK489" s="94"/>
      <c r="AL489" s="94"/>
      <c r="AM489" s="94"/>
      <c r="AN489" s="94"/>
      <c r="AO489" s="94"/>
      <c r="AP489" s="94"/>
      <c r="AQ489" s="94"/>
      <c r="AR489" s="94"/>
      <c r="AS489" s="94"/>
      <c r="AT489" s="94"/>
      <c r="AU489" s="94"/>
      <c r="AV489" s="94"/>
      <c r="AW489" s="94"/>
      <c r="AX489" s="94"/>
      <c r="AY489" s="94"/>
      <c r="AZ489" s="94"/>
      <c r="BA489" s="95"/>
    </row>
    <row r="490" spans="1:53" s="87" customFormat="1">
      <c r="A490" s="90" t="str">
        <f t="shared" si="32"/>
        <v/>
      </c>
      <c r="B490" s="98" t="s">
        <v>477</v>
      </c>
      <c r="C490" s="94"/>
      <c r="D490" s="94"/>
      <c r="E490" s="94"/>
      <c r="F490" s="94"/>
      <c r="G490" s="94"/>
      <c r="H490" s="94"/>
      <c r="I490" s="94"/>
      <c r="J490" s="94"/>
      <c r="K490" s="94"/>
      <c r="L490" s="94"/>
      <c r="M490" s="94"/>
      <c r="N490" s="94"/>
      <c r="O490" s="94"/>
      <c r="P490" s="94"/>
      <c r="Q490" s="94"/>
      <c r="R490" s="94"/>
      <c r="S490" s="94"/>
      <c r="T490" s="94"/>
      <c r="U490" s="94"/>
      <c r="V490" s="94"/>
      <c r="W490" s="94"/>
      <c r="X490" s="94"/>
      <c r="Y490" s="94"/>
      <c r="Z490" s="94"/>
      <c r="AA490" s="94"/>
      <c r="AB490" s="94"/>
      <c r="AC490" s="94"/>
      <c r="AD490" s="94"/>
      <c r="AE490" s="94"/>
      <c r="AF490" s="94"/>
      <c r="AG490" s="94"/>
      <c r="AH490" s="94"/>
      <c r="AI490" s="94"/>
      <c r="AJ490" s="94"/>
      <c r="AK490" s="94"/>
      <c r="AL490" s="94"/>
      <c r="AM490" s="94"/>
      <c r="AN490" s="94"/>
      <c r="AO490" s="94"/>
      <c r="AP490" s="94"/>
      <c r="AQ490" s="94"/>
      <c r="AR490" s="94"/>
      <c r="AS490" s="94"/>
      <c r="AT490" s="94"/>
      <c r="AU490" s="94"/>
      <c r="AV490" s="94"/>
      <c r="AW490" s="94"/>
      <c r="AX490" s="94"/>
      <c r="AY490" s="94"/>
      <c r="AZ490" s="94"/>
      <c r="BA490" s="95"/>
    </row>
    <row r="491" spans="1:53" s="87" customFormat="1">
      <c r="A491" s="90">
        <f t="shared" si="32"/>
        <v>491</v>
      </c>
      <c r="B491" s="98" t="s">
        <v>478</v>
      </c>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AZ491" s="94"/>
      <c r="BA491" s="95"/>
    </row>
    <row r="492" spans="1:53" s="87" customFormat="1">
      <c r="A492" s="90" t="str">
        <f t="shared" si="32"/>
        <v/>
      </c>
      <c r="B492" s="98">
        <v>1</v>
      </c>
      <c r="C492" s="94">
        <v>-5</v>
      </c>
      <c r="D492" s="94" t="s">
        <v>210</v>
      </c>
      <c r="E492" s="94" t="s">
        <v>210</v>
      </c>
      <c r="F492" s="94">
        <v>8</v>
      </c>
      <c r="G492" s="94">
        <v>-6</v>
      </c>
      <c r="H492" s="94" t="s">
        <v>210</v>
      </c>
      <c r="I492" s="94" t="s">
        <v>210</v>
      </c>
      <c r="J492" s="94">
        <v>2</v>
      </c>
      <c r="K492" s="94">
        <v>-3</v>
      </c>
      <c r="L492" s="94" t="s">
        <v>210</v>
      </c>
      <c r="M492" s="94" t="s">
        <v>210</v>
      </c>
      <c r="N492" s="94">
        <v>7</v>
      </c>
      <c r="O492" s="94">
        <v>-4</v>
      </c>
      <c r="P492" s="94" t="s">
        <v>210</v>
      </c>
      <c r="Q492" s="94" t="s">
        <v>210</v>
      </c>
      <c r="R492" s="94">
        <v>5</v>
      </c>
      <c r="S492" s="94">
        <v>-8</v>
      </c>
      <c r="T492" s="94" t="s">
        <v>210</v>
      </c>
      <c r="U492" s="94" t="s">
        <v>210</v>
      </c>
      <c r="V492" s="94">
        <v>6</v>
      </c>
      <c r="W492" s="94">
        <v>-7</v>
      </c>
      <c r="X492" s="94" t="s">
        <v>210</v>
      </c>
      <c r="Y492" s="94" t="s">
        <v>210</v>
      </c>
      <c r="Z492" s="94">
        <v>-1</v>
      </c>
      <c r="AA492" s="94">
        <v>-2</v>
      </c>
      <c r="AB492" s="94" t="s">
        <v>210</v>
      </c>
      <c r="AC492" s="94" t="s">
        <v>210</v>
      </c>
      <c r="AD492" s="94">
        <v>3</v>
      </c>
      <c r="AE492" s="94">
        <v>4</v>
      </c>
      <c r="AF492" s="94" t="s">
        <v>210</v>
      </c>
      <c r="AG492" s="94"/>
      <c r="AH492" s="94"/>
      <c r="AI492" s="94"/>
      <c r="AJ492" s="94"/>
      <c r="AK492" s="94"/>
      <c r="AL492" s="94"/>
      <c r="AM492" s="94"/>
      <c r="AN492" s="94"/>
      <c r="AO492" s="94"/>
      <c r="AP492" s="94"/>
      <c r="AQ492" s="94"/>
      <c r="AR492" s="94"/>
      <c r="AS492" s="94"/>
      <c r="AT492" s="94"/>
      <c r="AU492" s="94"/>
      <c r="AV492" s="94"/>
      <c r="AW492" s="94"/>
      <c r="AX492" s="94"/>
      <c r="AY492" s="94"/>
      <c r="AZ492" s="94"/>
      <c r="BA492" s="95"/>
    </row>
    <row r="493" spans="1:53" s="87" customFormat="1">
      <c r="A493" s="90" t="str">
        <f t="shared" si="32"/>
        <v/>
      </c>
      <c r="B493" s="98">
        <v>2</v>
      </c>
      <c r="C493" s="94">
        <v>6</v>
      </c>
      <c r="D493" s="94" t="s">
        <v>210</v>
      </c>
      <c r="E493" s="94" t="s">
        <v>210</v>
      </c>
      <c r="F493" s="94">
        <v>1</v>
      </c>
      <c r="G493" s="94">
        <v>7</v>
      </c>
      <c r="H493" s="94" t="s">
        <v>210</v>
      </c>
      <c r="I493" s="94" t="s">
        <v>210</v>
      </c>
      <c r="J493" s="94">
        <v>3</v>
      </c>
      <c r="K493" s="94">
        <v>-8</v>
      </c>
      <c r="L493" s="94" t="s">
        <v>210</v>
      </c>
      <c r="M493" s="94" t="s">
        <v>210</v>
      </c>
      <c r="N493" s="94">
        <v>4</v>
      </c>
      <c r="O493" s="94">
        <v>5</v>
      </c>
      <c r="P493" s="94" t="s">
        <v>210</v>
      </c>
      <c r="Q493" s="94" t="s">
        <v>210</v>
      </c>
      <c r="R493" s="94">
        <v>-1</v>
      </c>
      <c r="S493" s="94">
        <v>2</v>
      </c>
      <c r="T493" s="94" t="s">
        <v>210</v>
      </c>
      <c r="U493" s="94" t="s">
        <v>210</v>
      </c>
      <c r="V493" s="94">
        <v>-3</v>
      </c>
      <c r="W493" s="94">
        <v>-6</v>
      </c>
      <c r="X493" s="94" t="s">
        <v>210</v>
      </c>
      <c r="Y493" s="94" t="s">
        <v>210</v>
      </c>
      <c r="Z493" s="94">
        <v>8</v>
      </c>
      <c r="AA493" s="94">
        <v>-7</v>
      </c>
      <c r="AB493" s="94" t="s">
        <v>210</v>
      </c>
      <c r="AC493" s="94" t="s">
        <v>210</v>
      </c>
      <c r="AD493" s="94">
        <v>-5</v>
      </c>
      <c r="AE493" s="94">
        <v>-4</v>
      </c>
      <c r="AF493" s="94" t="s">
        <v>210</v>
      </c>
      <c r="AG493" s="94"/>
      <c r="AH493" s="94"/>
      <c r="AI493" s="94"/>
      <c r="AJ493" s="94"/>
      <c r="AK493" s="94"/>
      <c r="AL493" s="94"/>
      <c r="AM493" s="94"/>
      <c r="AN493" s="94"/>
      <c r="AO493" s="94"/>
      <c r="AP493" s="94"/>
      <c r="AQ493" s="94"/>
      <c r="AR493" s="94"/>
      <c r="AS493" s="94"/>
      <c r="AT493" s="94"/>
      <c r="AU493" s="94"/>
      <c r="AV493" s="94"/>
      <c r="AW493" s="94"/>
      <c r="AX493" s="94"/>
      <c r="AY493" s="94"/>
      <c r="AZ493" s="94"/>
      <c r="BA493" s="95"/>
    </row>
    <row r="494" spans="1:53" s="87" customFormat="1">
      <c r="A494" s="90" t="str">
        <f t="shared" si="32"/>
        <v/>
      </c>
      <c r="B494" s="98">
        <v>3</v>
      </c>
      <c r="C494" s="94">
        <v>1</v>
      </c>
      <c r="D494" s="94" t="s">
        <v>210</v>
      </c>
      <c r="E494" s="94" t="s">
        <v>210</v>
      </c>
      <c r="F494" s="94">
        <v>7</v>
      </c>
      <c r="G494" s="94">
        <v>-5</v>
      </c>
      <c r="H494" s="94" t="s">
        <v>210</v>
      </c>
      <c r="I494" s="94" t="s">
        <v>210</v>
      </c>
      <c r="J494" s="94">
        <v>-3</v>
      </c>
      <c r="K494" s="94">
        <v>-6</v>
      </c>
      <c r="L494" s="94" t="s">
        <v>210</v>
      </c>
      <c r="M494" s="94" t="s">
        <v>210</v>
      </c>
      <c r="N494" s="94">
        <v>-2</v>
      </c>
      <c r="O494" s="94">
        <v>4</v>
      </c>
      <c r="P494" s="94" t="s">
        <v>210</v>
      </c>
      <c r="Q494" s="94" t="s">
        <v>210</v>
      </c>
      <c r="R494" s="94">
        <v>-8</v>
      </c>
      <c r="S494" s="94">
        <v>3</v>
      </c>
      <c r="T494" s="94" t="s">
        <v>210</v>
      </c>
      <c r="U494" s="94" t="s">
        <v>210</v>
      </c>
      <c r="V494" s="94">
        <v>-7</v>
      </c>
      <c r="W494" s="94">
        <v>2</v>
      </c>
      <c r="X494" s="94" t="s">
        <v>210</v>
      </c>
      <c r="Y494" s="94" t="s">
        <v>210</v>
      </c>
      <c r="Z494" s="94">
        <v>-4</v>
      </c>
      <c r="AA494" s="94">
        <v>-1</v>
      </c>
      <c r="AB494" s="94" t="s">
        <v>210</v>
      </c>
      <c r="AC494" s="94" t="s">
        <v>210</v>
      </c>
      <c r="AD494" s="94">
        <v>6</v>
      </c>
      <c r="AE494" s="94">
        <v>5</v>
      </c>
      <c r="AF494" s="94" t="s">
        <v>210</v>
      </c>
      <c r="AG494" s="94"/>
      <c r="AH494" s="94"/>
      <c r="AI494" s="94"/>
      <c r="AJ494" s="94"/>
      <c r="AK494" s="94"/>
      <c r="AL494" s="94"/>
      <c r="AM494" s="94"/>
      <c r="AN494" s="94"/>
      <c r="AO494" s="94"/>
      <c r="AP494" s="94"/>
      <c r="AQ494" s="94"/>
      <c r="AR494" s="94"/>
      <c r="AS494" s="94"/>
      <c r="AT494" s="94"/>
      <c r="AU494" s="94"/>
      <c r="AV494" s="94"/>
      <c r="AW494" s="94"/>
      <c r="AX494" s="94"/>
      <c r="AY494" s="94"/>
      <c r="AZ494" s="94"/>
      <c r="BA494" s="95"/>
    </row>
    <row r="495" spans="1:53" s="87" customFormat="1">
      <c r="A495" s="90" t="str">
        <f t="shared" si="32"/>
        <v/>
      </c>
      <c r="B495" s="98">
        <v>4</v>
      </c>
      <c r="C495" s="94">
        <v>-8</v>
      </c>
      <c r="D495" s="94" t="s">
        <v>210</v>
      </c>
      <c r="E495" s="94" t="s">
        <v>210</v>
      </c>
      <c r="F495" s="94">
        <v>-4</v>
      </c>
      <c r="G495" s="94">
        <v>-7</v>
      </c>
      <c r="H495" s="94" t="s">
        <v>210</v>
      </c>
      <c r="I495" s="94" t="s">
        <v>210</v>
      </c>
      <c r="J495" s="94">
        <v>1</v>
      </c>
      <c r="K495" s="94">
        <v>3</v>
      </c>
      <c r="L495" s="94" t="s">
        <v>210</v>
      </c>
      <c r="M495" s="94" t="s">
        <v>210</v>
      </c>
      <c r="N495" s="94">
        <v>5</v>
      </c>
      <c r="O495" s="94">
        <v>6</v>
      </c>
      <c r="P495" s="94" t="s">
        <v>210</v>
      </c>
      <c r="Q495" s="94" t="s">
        <v>210</v>
      </c>
      <c r="R495" s="94">
        <v>-2</v>
      </c>
      <c r="S495" s="94">
        <v>7</v>
      </c>
      <c r="T495" s="94" t="s">
        <v>210</v>
      </c>
      <c r="U495" s="94" t="s">
        <v>210</v>
      </c>
      <c r="V495" s="94">
        <v>-1</v>
      </c>
      <c r="W495" s="94">
        <v>-3</v>
      </c>
      <c r="X495" s="94" t="s">
        <v>210</v>
      </c>
      <c r="Y495" s="94" t="s">
        <v>210</v>
      </c>
      <c r="Z495" s="94">
        <v>-6</v>
      </c>
      <c r="AA495" s="94">
        <v>8</v>
      </c>
      <c r="AB495" s="94" t="s">
        <v>210</v>
      </c>
      <c r="AC495" s="94" t="s">
        <v>210</v>
      </c>
      <c r="AD495" s="94">
        <v>4</v>
      </c>
      <c r="AE495" s="94">
        <v>-5</v>
      </c>
      <c r="AF495" s="94" t="s">
        <v>210</v>
      </c>
      <c r="AG495" s="94"/>
      <c r="AH495" s="94"/>
      <c r="AI495" s="94"/>
      <c r="AJ495" s="94"/>
      <c r="AK495" s="94"/>
      <c r="AL495" s="94"/>
      <c r="AM495" s="94"/>
      <c r="AN495" s="94"/>
      <c r="AO495" s="94"/>
      <c r="AP495" s="94"/>
      <c r="AQ495" s="94"/>
      <c r="AR495" s="94"/>
      <c r="AS495" s="94"/>
      <c r="AT495" s="94"/>
      <c r="AU495" s="94"/>
      <c r="AV495" s="94"/>
      <c r="AW495" s="94"/>
      <c r="AX495" s="94"/>
      <c r="AY495" s="94"/>
      <c r="AZ495" s="94"/>
      <c r="BA495" s="95"/>
    </row>
    <row r="496" spans="1:53" s="87" customFormat="1">
      <c r="A496" s="90" t="str">
        <f t="shared" si="32"/>
        <v/>
      </c>
      <c r="B496" s="98">
        <v>5</v>
      </c>
      <c r="C496" s="94">
        <v>2</v>
      </c>
      <c r="D496" s="94" t="s">
        <v>210</v>
      </c>
      <c r="E496" s="94" t="s">
        <v>210</v>
      </c>
      <c r="F496" s="94">
        <v>6</v>
      </c>
      <c r="G496" s="94">
        <v>-3</v>
      </c>
      <c r="H496" s="94" t="s">
        <v>210</v>
      </c>
      <c r="I496" s="94" t="s">
        <v>210</v>
      </c>
      <c r="J496" s="94">
        <v>4</v>
      </c>
      <c r="K496" s="94">
        <v>5</v>
      </c>
      <c r="L496" s="94" t="s">
        <v>210</v>
      </c>
      <c r="M496" s="94" t="s">
        <v>210</v>
      </c>
      <c r="N496" s="94">
        <v>-7</v>
      </c>
      <c r="O496" s="94">
        <v>-1</v>
      </c>
      <c r="P496" s="94" t="s">
        <v>210</v>
      </c>
      <c r="Q496" s="94" t="s">
        <v>210</v>
      </c>
      <c r="R496" s="94">
        <v>-6</v>
      </c>
      <c r="S496" s="94">
        <v>-2</v>
      </c>
      <c r="T496" s="94" t="s">
        <v>210</v>
      </c>
      <c r="U496" s="94" t="s">
        <v>210</v>
      </c>
      <c r="V496" s="94">
        <v>8</v>
      </c>
      <c r="W496" s="94">
        <v>-5</v>
      </c>
      <c r="X496" s="94" t="s">
        <v>210</v>
      </c>
      <c r="Y496" s="94" t="s">
        <v>210</v>
      </c>
      <c r="Z496" s="94">
        <v>7</v>
      </c>
      <c r="AA496" s="94">
        <v>1</v>
      </c>
      <c r="AB496" s="94" t="s">
        <v>210</v>
      </c>
      <c r="AC496" s="94" t="s">
        <v>210</v>
      </c>
      <c r="AD496" s="94">
        <v>-4</v>
      </c>
      <c r="AE496" s="94">
        <v>3</v>
      </c>
      <c r="AF496" s="94" t="s">
        <v>210</v>
      </c>
      <c r="AG496" s="94"/>
      <c r="AH496" s="94"/>
      <c r="AI496" s="94"/>
      <c r="AJ496" s="94"/>
      <c r="AK496" s="94"/>
      <c r="AL496" s="94"/>
      <c r="AM496" s="94"/>
      <c r="AN496" s="94"/>
      <c r="AO496" s="94"/>
      <c r="AP496" s="94"/>
      <c r="AQ496" s="94"/>
      <c r="AR496" s="94"/>
      <c r="AS496" s="94"/>
      <c r="AT496" s="94"/>
      <c r="AU496" s="94"/>
      <c r="AV496" s="94"/>
      <c r="AW496" s="94"/>
      <c r="AX496" s="94"/>
      <c r="AY496" s="94"/>
      <c r="AZ496" s="94"/>
      <c r="BA496" s="95"/>
    </row>
    <row r="497" spans="1:53" s="87" customFormat="1">
      <c r="A497" s="90" t="str">
        <f t="shared" si="32"/>
        <v/>
      </c>
      <c r="B497" s="98">
        <v>6</v>
      </c>
      <c r="C497" s="94">
        <v>-4</v>
      </c>
      <c r="D497" s="94" t="s">
        <v>210</v>
      </c>
      <c r="E497" s="94" t="s">
        <v>210</v>
      </c>
      <c r="F497" s="94">
        <v>-1</v>
      </c>
      <c r="G497" s="94">
        <v>6</v>
      </c>
      <c r="H497" s="94" t="s">
        <v>210</v>
      </c>
      <c r="I497" s="94" t="s">
        <v>210</v>
      </c>
      <c r="J497" s="94">
        <v>5</v>
      </c>
      <c r="K497" s="94">
        <v>-2</v>
      </c>
      <c r="L497" s="94" t="s">
        <v>210</v>
      </c>
      <c r="M497" s="94" t="s">
        <v>210</v>
      </c>
      <c r="N497" s="94">
        <v>3</v>
      </c>
      <c r="O497" s="94">
        <v>8</v>
      </c>
      <c r="P497" s="94" t="s">
        <v>210</v>
      </c>
      <c r="Q497" s="94" t="s">
        <v>210</v>
      </c>
      <c r="R497" s="94">
        <v>7</v>
      </c>
      <c r="S497" s="94">
        <v>1</v>
      </c>
      <c r="T497" s="94" t="s">
        <v>210</v>
      </c>
      <c r="U497" s="94" t="s">
        <v>210</v>
      </c>
      <c r="V497" s="94">
        <v>-5</v>
      </c>
      <c r="W497" s="94">
        <v>4</v>
      </c>
      <c r="X497" s="94" t="s">
        <v>210</v>
      </c>
      <c r="Y497" s="94" t="s">
        <v>210</v>
      </c>
      <c r="Z497" s="94">
        <v>2</v>
      </c>
      <c r="AA497" s="94">
        <v>-8</v>
      </c>
      <c r="AB497" s="94" t="s">
        <v>210</v>
      </c>
      <c r="AC497" s="94" t="s">
        <v>210</v>
      </c>
      <c r="AD497" s="94">
        <v>-6</v>
      </c>
      <c r="AE497" s="94">
        <v>-3</v>
      </c>
      <c r="AF497" s="94" t="s">
        <v>210</v>
      </c>
      <c r="AG497" s="94"/>
      <c r="AH497" s="94"/>
      <c r="AI497" s="94"/>
      <c r="AJ497" s="94"/>
      <c r="AK497" s="94"/>
      <c r="AL497" s="94"/>
      <c r="AM497" s="94"/>
      <c r="AN497" s="94"/>
      <c r="AO497" s="94"/>
      <c r="AP497" s="94"/>
      <c r="AQ497" s="94"/>
      <c r="AR497" s="94"/>
      <c r="AS497" s="94"/>
      <c r="AT497" s="94"/>
      <c r="AU497" s="94"/>
      <c r="AV497" s="94"/>
      <c r="AW497" s="94"/>
      <c r="AX497" s="94"/>
      <c r="AY497" s="94"/>
      <c r="AZ497" s="94"/>
      <c r="BA497" s="95"/>
    </row>
    <row r="498" spans="1:53" s="87" customFormat="1">
      <c r="A498" s="90" t="str">
        <f t="shared" si="32"/>
        <v/>
      </c>
      <c r="B498" s="98">
        <v>7</v>
      </c>
      <c r="C498" s="94">
        <v>3</v>
      </c>
      <c r="D498" s="94" t="s">
        <v>210</v>
      </c>
      <c r="E498" s="94" t="s">
        <v>210</v>
      </c>
      <c r="F498" s="94">
        <v>-6</v>
      </c>
      <c r="G498" s="94">
        <v>-8</v>
      </c>
      <c r="H498" s="94" t="s">
        <v>210</v>
      </c>
      <c r="I498" s="94" t="s">
        <v>210</v>
      </c>
      <c r="J498" s="94">
        <v>-5</v>
      </c>
      <c r="K498" s="94">
        <v>4</v>
      </c>
      <c r="L498" s="94" t="s">
        <v>210</v>
      </c>
      <c r="M498" s="94" t="s">
        <v>210</v>
      </c>
      <c r="N498" s="94">
        <v>-1</v>
      </c>
      <c r="O498" s="94">
        <v>-2</v>
      </c>
      <c r="P498" s="94" t="s">
        <v>210</v>
      </c>
      <c r="Q498" s="94" t="s">
        <v>210</v>
      </c>
      <c r="R498" s="94">
        <v>8</v>
      </c>
      <c r="S498" s="94">
        <v>-7</v>
      </c>
      <c r="T498" s="94" t="s">
        <v>210</v>
      </c>
      <c r="U498" s="94" t="s">
        <v>210</v>
      </c>
      <c r="V498" s="94">
        <v>-4</v>
      </c>
      <c r="W498" s="94">
        <v>1</v>
      </c>
      <c r="X498" s="94" t="s">
        <v>210</v>
      </c>
      <c r="Y498" s="94" t="s">
        <v>210</v>
      </c>
      <c r="Z498" s="94">
        <v>-3</v>
      </c>
      <c r="AA498" s="94">
        <v>2</v>
      </c>
      <c r="AB498" s="94" t="s">
        <v>210</v>
      </c>
      <c r="AC498" s="94" t="s">
        <v>210</v>
      </c>
      <c r="AD498" s="94">
        <v>5</v>
      </c>
      <c r="AE498" s="94">
        <v>6</v>
      </c>
      <c r="AF498" s="94" t="s">
        <v>210</v>
      </c>
      <c r="AG498" s="94"/>
      <c r="AH498" s="94"/>
      <c r="AI498" s="94"/>
      <c r="AJ498" s="94"/>
      <c r="AK498" s="94"/>
      <c r="AL498" s="94"/>
      <c r="AM498" s="94"/>
      <c r="AN498" s="94"/>
      <c r="AO498" s="94"/>
      <c r="AP498" s="94"/>
      <c r="AQ498" s="94"/>
      <c r="AR498" s="94"/>
      <c r="AS498" s="94"/>
      <c r="AT498" s="94"/>
      <c r="AU498" s="94"/>
      <c r="AV498" s="94"/>
      <c r="AW498" s="94"/>
      <c r="AX498" s="94"/>
      <c r="AY498" s="94"/>
      <c r="AZ498" s="94"/>
      <c r="BA498" s="95"/>
    </row>
    <row r="499" spans="1:53" s="87" customFormat="1">
      <c r="A499" s="90" t="str">
        <f t="shared" si="32"/>
        <v/>
      </c>
      <c r="B499" s="98">
        <v>8</v>
      </c>
      <c r="C499" s="94">
        <v>-2</v>
      </c>
      <c r="D499" s="94" t="s">
        <v>210</v>
      </c>
      <c r="E499" s="94" t="s">
        <v>210</v>
      </c>
      <c r="F499" s="94">
        <v>4</v>
      </c>
      <c r="G499" s="94">
        <v>1</v>
      </c>
      <c r="H499" s="94" t="s">
        <v>210</v>
      </c>
      <c r="I499" s="94" t="s">
        <v>210</v>
      </c>
      <c r="J499" s="94">
        <v>-7</v>
      </c>
      <c r="K499" s="94">
        <v>6</v>
      </c>
      <c r="L499" s="94" t="s">
        <v>210</v>
      </c>
      <c r="M499" s="94" t="s">
        <v>210</v>
      </c>
      <c r="N499" s="94">
        <v>-8</v>
      </c>
      <c r="O499" s="94">
        <v>3</v>
      </c>
      <c r="P499" s="94" t="s">
        <v>210</v>
      </c>
      <c r="Q499" s="94" t="s">
        <v>210</v>
      </c>
      <c r="R499" s="94">
        <v>-4</v>
      </c>
      <c r="S499" s="94">
        <v>-1</v>
      </c>
      <c r="T499" s="94" t="s">
        <v>210</v>
      </c>
      <c r="U499" s="94" t="s">
        <v>210</v>
      </c>
      <c r="V499" s="94">
        <v>2</v>
      </c>
      <c r="W499" s="94">
        <v>8</v>
      </c>
      <c r="X499" s="94" t="s">
        <v>210</v>
      </c>
      <c r="Y499" s="94" t="s">
        <v>210</v>
      </c>
      <c r="Z499" s="94">
        <v>5</v>
      </c>
      <c r="AA499" s="94">
        <v>7</v>
      </c>
      <c r="AB499" s="94" t="s">
        <v>210</v>
      </c>
      <c r="AC499" s="94" t="s">
        <v>210</v>
      </c>
      <c r="AD499" s="94">
        <v>-3</v>
      </c>
      <c r="AE499" s="94">
        <v>-6</v>
      </c>
      <c r="AF499" s="94" t="s">
        <v>210</v>
      </c>
      <c r="AG499" s="94"/>
      <c r="AH499" s="94"/>
      <c r="AI499" s="94"/>
      <c r="AJ499" s="94"/>
      <c r="AK499" s="94"/>
      <c r="AL499" s="94"/>
      <c r="AM499" s="94"/>
      <c r="AN499" s="94"/>
      <c r="AO499" s="94"/>
      <c r="AP499" s="94"/>
      <c r="AQ499" s="94"/>
      <c r="AR499" s="94"/>
      <c r="AS499" s="94"/>
      <c r="AT499" s="94"/>
      <c r="AU499" s="94"/>
      <c r="AV499" s="94"/>
      <c r="AW499" s="94"/>
      <c r="AX499" s="94"/>
      <c r="AY499" s="94"/>
      <c r="AZ499" s="94"/>
      <c r="BA499" s="95"/>
    </row>
    <row r="500" spans="1:53" s="87" customFormat="1">
      <c r="A500" s="90" t="str">
        <f t="shared" si="32"/>
        <v/>
      </c>
      <c r="B500" s="98">
        <v>9</v>
      </c>
      <c r="C500" s="94">
        <v>-7</v>
      </c>
      <c r="D500" s="94" t="s">
        <v>210</v>
      </c>
      <c r="E500" s="94" t="s">
        <v>210</v>
      </c>
      <c r="F500" s="94">
        <v>-2</v>
      </c>
      <c r="G500" s="94">
        <v>-4</v>
      </c>
      <c r="H500" s="94" t="s">
        <v>210</v>
      </c>
      <c r="I500" s="94" t="s">
        <v>210</v>
      </c>
      <c r="J500" s="94">
        <v>8</v>
      </c>
      <c r="K500" s="94">
        <v>-5</v>
      </c>
      <c r="L500" s="94" t="s">
        <v>210</v>
      </c>
      <c r="M500" s="94" t="s">
        <v>210</v>
      </c>
      <c r="N500" s="94">
        <v>1</v>
      </c>
      <c r="O500" s="94">
        <v>-6</v>
      </c>
      <c r="P500" s="94" t="s">
        <v>210</v>
      </c>
      <c r="Q500" s="94" t="s">
        <v>210</v>
      </c>
      <c r="R500" s="94">
        <v>4</v>
      </c>
      <c r="S500" s="94">
        <v>-3</v>
      </c>
      <c r="T500" s="94" t="s">
        <v>210</v>
      </c>
      <c r="U500" s="94" t="s">
        <v>210</v>
      </c>
      <c r="V500" s="94">
        <v>5</v>
      </c>
      <c r="W500" s="94">
        <v>7</v>
      </c>
      <c r="X500" s="94" t="s">
        <v>210</v>
      </c>
      <c r="Y500" s="94" t="s">
        <v>210</v>
      </c>
      <c r="Z500" s="94">
        <v>-8</v>
      </c>
      <c r="AA500" s="94">
        <v>6</v>
      </c>
      <c r="AB500" s="94" t="s">
        <v>210</v>
      </c>
      <c r="AC500" s="94" t="s">
        <v>210</v>
      </c>
      <c r="AD500" s="94">
        <v>-1</v>
      </c>
      <c r="AE500" s="94">
        <v>2</v>
      </c>
      <c r="AF500" s="94" t="s">
        <v>210</v>
      </c>
      <c r="AG500" s="94"/>
      <c r="AH500" s="94"/>
      <c r="AI500" s="94"/>
      <c r="AJ500" s="94"/>
      <c r="AK500" s="94"/>
      <c r="AL500" s="94"/>
      <c r="AM500" s="94"/>
      <c r="AN500" s="94"/>
      <c r="AO500" s="94"/>
      <c r="AP500" s="94"/>
      <c r="AQ500" s="94"/>
      <c r="AR500" s="94"/>
      <c r="AS500" s="94"/>
      <c r="AT500" s="94"/>
      <c r="AU500" s="94"/>
      <c r="AV500" s="94"/>
      <c r="AW500" s="94"/>
      <c r="AX500" s="94"/>
      <c r="AY500" s="94"/>
      <c r="AZ500" s="94"/>
      <c r="BA500" s="95"/>
    </row>
    <row r="501" spans="1:53" s="87" customFormat="1">
      <c r="A501" s="90" t="str">
        <f t="shared" si="32"/>
        <v/>
      </c>
      <c r="B501" s="98">
        <v>10</v>
      </c>
      <c r="C501" s="94">
        <v>4</v>
      </c>
      <c r="D501" s="94" t="s">
        <v>210</v>
      </c>
      <c r="E501" s="94" t="s">
        <v>210</v>
      </c>
      <c r="F501" s="94">
        <v>-5</v>
      </c>
      <c r="G501" s="94">
        <v>3</v>
      </c>
      <c r="H501" s="94" t="s">
        <v>210</v>
      </c>
      <c r="I501" s="94" t="s">
        <v>210</v>
      </c>
      <c r="J501" s="94">
        <v>-1</v>
      </c>
      <c r="K501" s="94">
        <v>-7</v>
      </c>
      <c r="L501" s="94" t="s">
        <v>210</v>
      </c>
      <c r="M501" s="94" t="s">
        <v>210</v>
      </c>
      <c r="N501" s="94">
        <v>8</v>
      </c>
      <c r="O501" s="94">
        <v>2</v>
      </c>
      <c r="P501" s="94" t="s">
        <v>210</v>
      </c>
      <c r="Q501" s="94" t="s">
        <v>210</v>
      </c>
      <c r="R501" s="94">
        <v>-3</v>
      </c>
      <c r="S501" s="94">
        <v>5</v>
      </c>
      <c r="T501" s="94" t="s">
        <v>210</v>
      </c>
      <c r="U501" s="94" t="s">
        <v>210</v>
      </c>
      <c r="V501" s="94">
        <v>7</v>
      </c>
      <c r="W501" s="94">
        <v>6</v>
      </c>
      <c r="X501" s="94" t="s">
        <v>210</v>
      </c>
      <c r="Y501" s="94" t="s">
        <v>210</v>
      </c>
      <c r="Z501" s="94">
        <v>1</v>
      </c>
      <c r="AA501" s="94">
        <v>-4</v>
      </c>
      <c r="AB501" s="94" t="s">
        <v>210</v>
      </c>
      <c r="AC501" s="94" t="s">
        <v>210</v>
      </c>
      <c r="AD501" s="94">
        <v>-8</v>
      </c>
      <c r="AE501" s="94">
        <v>-2</v>
      </c>
      <c r="AF501" s="94" t="s">
        <v>210</v>
      </c>
      <c r="AG501" s="94"/>
      <c r="AH501" s="94"/>
      <c r="AI501" s="94"/>
      <c r="AJ501" s="94"/>
      <c r="AK501" s="94"/>
      <c r="AL501" s="94"/>
      <c r="AM501" s="94"/>
      <c r="AN501" s="94"/>
      <c r="AO501" s="94"/>
      <c r="AP501" s="94"/>
      <c r="AQ501" s="94"/>
      <c r="AR501" s="94"/>
      <c r="AS501" s="94"/>
      <c r="AT501" s="94"/>
      <c r="AU501" s="94"/>
      <c r="AV501" s="94"/>
      <c r="AW501" s="94"/>
      <c r="AX501" s="94"/>
      <c r="AY501" s="94"/>
      <c r="AZ501" s="94"/>
      <c r="BA501" s="95"/>
    </row>
    <row r="502" spans="1:53" s="87" customFormat="1">
      <c r="A502" s="90" t="str">
        <f t="shared" si="32"/>
        <v/>
      </c>
      <c r="B502" s="98">
        <v>11</v>
      </c>
      <c r="C502" s="94">
        <v>5</v>
      </c>
      <c r="D502" s="94" t="s">
        <v>210</v>
      </c>
      <c r="E502" s="94" t="s">
        <v>210</v>
      </c>
      <c r="F502" s="94">
        <v>-7</v>
      </c>
      <c r="G502" s="94">
        <v>-2</v>
      </c>
      <c r="H502" s="94" t="s">
        <v>210</v>
      </c>
      <c r="I502" s="94" t="s">
        <v>210</v>
      </c>
      <c r="J502" s="94">
        <v>-4</v>
      </c>
      <c r="K502" s="94">
        <v>1</v>
      </c>
      <c r="L502" s="94" t="s">
        <v>210</v>
      </c>
      <c r="M502" s="94" t="s">
        <v>210</v>
      </c>
      <c r="N502" s="94">
        <v>6</v>
      </c>
      <c r="O502" s="94">
        <v>-8</v>
      </c>
      <c r="P502" s="94" t="s">
        <v>210</v>
      </c>
      <c r="Q502" s="94" t="s">
        <v>210</v>
      </c>
      <c r="R502" s="94">
        <v>2</v>
      </c>
      <c r="S502" s="94">
        <v>4</v>
      </c>
      <c r="T502" s="94" t="s">
        <v>210</v>
      </c>
      <c r="U502" s="94" t="s">
        <v>210</v>
      </c>
      <c r="V502" s="94">
        <v>3</v>
      </c>
      <c r="W502" s="94">
        <v>-1</v>
      </c>
      <c r="X502" s="94" t="s">
        <v>210</v>
      </c>
      <c r="Y502" s="94" t="s">
        <v>210</v>
      </c>
      <c r="Z502" s="94">
        <v>-5</v>
      </c>
      <c r="AA502" s="94">
        <v>-6</v>
      </c>
      <c r="AB502" s="94" t="s">
        <v>210</v>
      </c>
      <c r="AC502" s="94" t="s">
        <v>210</v>
      </c>
      <c r="AD502" s="94">
        <v>8</v>
      </c>
      <c r="AE502" s="94">
        <v>7</v>
      </c>
      <c r="AF502" s="94" t="s">
        <v>210</v>
      </c>
      <c r="AG502" s="94"/>
      <c r="AH502" s="94"/>
      <c r="AI502" s="94"/>
      <c r="AJ502" s="94"/>
      <c r="AK502" s="94"/>
      <c r="AL502" s="94"/>
      <c r="AM502" s="94"/>
      <c r="AN502" s="94"/>
      <c r="AO502" s="94"/>
      <c r="AP502" s="94"/>
      <c r="AQ502" s="94"/>
      <c r="AR502" s="94"/>
      <c r="AS502" s="94"/>
      <c r="AT502" s="94"/>
      <c r="AU502" s="94"/>
      <c r="AV502" s="94"/>
      <c r="AW502" s="94"/>
      <c r="AX502" s="94"/>
      <c r="AY502" s="94"/>
      <c r="AZ502" s="94"/>
      <c r="BA502" s="95"/>
    </row>
    <row r="503" spans="1:53" s="87" customFormat="1">
      <c r="A503" s="90" t="str">
        <f t="shared" si="32"/>
        <v/>
      </c>
      <c r="B503" s="98">
        <v>12</v>
      </c>
      <c r="C503" s="94">
        <v>8</v>
      </c>
      <c r="D503" s="94" t="s">
        <v>210</v>
      </c>
      <c r="E503" s="94" t="s">
        <v>210</v>
      </c>
      <c r="F503" s="94">
        <v>-3</v>
      </c>
      <c r="G503" s="94">
        <v>-1</v>
      </c>
      <c r="H503" s="94" t="s">
        <v>210</v>
      </c>
      <c r="I503" s="94" t="s">
        <v>210</v>
      </c>
      <c r="J503" s="94">
        <v>-6</v>
      </c>
      <c r="K503" s="94">
        <v>2</v>
      </c>
      <c r="L503" s="94" t="s">
        <v>210</v>
      </c>
      <c r="M503" s="94" t="s">
        <v>210</v>
      </c>
      <c r="N503" s="94">
        <v>-4</v>
      </c>
      <c r="O503" s="94">
        <v>7</v>
      </c>
      <c r="P503" s="94" t="s">
        <v>210</v>
      </c>
      <c r="Q503" s="94" t="s">
        <v>210</v>
      </c>
      <c r="R503" s="94">
        <v>-5</v>
      </c>
      <c r="S503" s="94">
        <v>6</v>
      </c>
      <c r="T503" s="94" t="s">
        <v>210</v>
      </c>
      <c r="U503" s="94" t="s">
        <v>210</v>
      </c>
      <c r="V503" s="94">
        <v>-8</v>
      </c>
      <c r="W503" s="94">
        <v>-2</v>
      </c>
      <c r="X503" s="94" t="s">
        <v>210</v>
      </c>
      <c r="Y503" s="94" t="s">
        <v>210</v>
      </c>
      <c r="Z503" s="94">
        <v>3</v>
      </c>
      <c r="AA503" s="94">
        <v>4</v>
      </c>
      <c r="AB503" s="94" t="s">
        <v>210</v>
      </c>
      <c r="AC503" s="94" t="s">
        <v>210</v>
      </c>
      <c r="AD503" s="94">
        <v>1</v>
      </c>
      <c r="AE503" s="94">
        <v>-7</v>
      </c>
      <c r="AF503" s="94" t="s">
        <v>210</v>
      </c>
      <c r="AG503" s="94"/>
      <c r="AH503" s="94"/>
      <c r="AI503" s="94"/>
      <c r="AJ503" s="94"/>
      <c r="AK503" s="94"/>
      <c r="AL503" s="94"/>
      <c r="AM503" s="94"/>
      <c r="AN503" s="94"/>
      <c r="AO503" s="94"/>
      <c r="AP503" s="94"/>
      <c r="AQ503" s="94"/>
      <c r="AR503" s="94"/>
      <c r="AS503" s="94"/>
      <c r="AT503" s="94"/>
      <c r="AU503" s="94"/>
      <c r="AV503" s="94"/>
      <c r="AW503" s="94"/>
      <c r="AX503" s="94"/>
      <c r="AY503" s="94"/>
      <c r="AZ503" s="94"/>
      <c r="BA503" s="95"/>
    </row>
    <row r="504" spans="1:53" s="87" customFormat="1">
      <c r="A504" s="90" t="str">
        <f t="shared" si="32"/>
        <v/>
      </c>
      <c r="B504" s="98">
        <v>13</v>
      </c>
      <c r="C504" s="94">
        <v>-6</v>
      </c>
      <c r="D504" s="94" t="s">
        <v>210</v>
      </c>
      <c r="E504" s="94" t="s">
        <v>210</v>
      </c>
      <c r="F504" s="94">
        <v>5</v>
      </c>
      <c r="G504" s="94">
        <v>2</v>
      </c>
      <c r="H504" s="94" t="s">
        <v>210</v>
      </c>
      <c r="I504" s="94" t="s">
        <v>210</v>
      </c>
      <c r="J504" s="94">
        <v>-8</v>
      </c>
      <c r="K504" s="94">
        <v>-4</v>
      </c>
      <c r="L504" s="94" t="s">
        <v>210</v>
      </c>
      <c r="M504" s="94" t="s">
        <v>210</v>
      </c>
      <c r="N504" s="94">
        <v>-3</v>
      </c>
      <c r="O504" s="94">
        <v>-7</v>
      </c>
      <c r="P504" s="94" t="s">
        <v>210</v>
      </c>
      <c r="Q504" s="94" t="s">
        <v>210</v>
      </c>
      <c r="R504" s="94">
        <v>6</v>
      </c>
      <c r="S504" s="94">
        <v>8</v>
      </c>
      <c r="T504" s="94" t="s">
        <v>210</v>
      </c>
      <c r="U504" s="94" t="s">
        <v>210</v>
      </c>
      <c r="V504" s="94">
        <v>-2</v>
      </c>
      <c r="W504" s="94">
        <v>3</v>
      </c>
      <c r="X504" s="94" t="s">
        <v>210</v>
      </c>
      <c r="Y504" s="94" t="s">
        <v>210</v>
      </c>
      <c r="Z504" s="94">
        <v>4</v>
      </c>
      <c r="AA504" s="94">
        <v>-5</v>
      </c>
      <c r="AB504" s="94" t="s">
        <v>210</v>
      </c>
      <c r="AC504" s="94" t="s">
        <v>210</v>
      </c>
      <c r="AD504" s="94">
        <v>7</v>
      </c>
      <c r="AE504" s="94">
        <v>1</v>
      </c>
      <c r="AF504" s="94" t="s">
        <v>210</v>
      </c>
      <c r="AG504" s="94"/>
      <c r="AH504" s="94"/>
      <c r="AI504" s="94"/>
      <c r="AJ504" s="94"/>
      <c r="AK504" s="94"/>
      <c r="AL504" s="94"/>
      <c r="AM504" s="94"/>
      <c r="AN504" s="94"/>
      <c r="AO504" s="94"/>
      <c r="AP504" s="94"/>
      <c r="AQ504" s="94"/>
      <c r="AR504" s="94"/>
      <c r="AS504" s="94"/>
      <c r="AT504" s="94"/>
      <c r="AU504" s="94"/>
      <c r="AV504" s="94"/>
      <c r="AW504" s="94"/>
      <c r="AX504" s="94"/>
      <c r="AY504" s="94"/>
      <c r="AZ504" s="94"/>
      <c r="BA504" s="95"/>
    </row>
    <row r="505" spans="1:53" s="87" customFormat="1">
      <c r="A505" s="90" t="str">
        <f t="shared" si="32"/>
        <v/>
      </c>
      <c r="B505" s="98">
        <v>14</v>
      </c>
      <c r="C505" s="94">
        <v>7</v>
      </c>
      <c r="D505" s="94" t="s">
        <v>210</v>
      </c>
      <c r="E505" s="94" t="s">
        <v>210</v>
      </c>
      <c r="F505" s="94">
        <v>3</v>
      </c>
      <c r="G505" s="94">
        <v>5</v>
      </c>
      <c r="H505" s="94" t="s">
        <v>210</v>
      </c>
      <c r="I505" s="94" t="s">
        <v>210</v>
      </c>
      <c r="J505" s="94">
        <v>-2</v>
      </c>
      <c r="K505" s="94">
        <v>8</v>
      </c>
      <c r="L505" s="94" t="s">
        <v>210</v>
      </c>
      <c r="M505" s="94" t="s">
        <v>210</v>
      </c>
      <c r="N505" s="94">
        <v>-6</v>
      </c>
      <c r="O505" s="94">
        <v>1</v>
      </c>
      <c r="P505" s="94" t="s">
        <v>210</v>
      </c>
      <c r="Q505" s="94" t="s">
        <v>210</v>
      </c>
      <c r="R505" s="94">
        <v>-7</v>
      </c>
      <c r="S505" s="94">
        <v>-5</v>
      </c>
      <c r="T505" s="94" t="s">
        <v>210</v>
      </c>
      <c r="U505" s="94" t="s">
        <v>210</v>
      </c>
      <c r="V505" s="94">
        <v>4</v>
      </c>
      <c r="W505" s="94">
        <v>-8</v>
      </c>
      <c r="X505" s="94" t="s">
        <v>210</v>
      </c>
      <c r="Y505" s="94" t="s">
        <v>210</v>
      </c>
      <c r="Z505" s="94">
        <v>6</v>
      </c>
      <c r="AA505" s="94">
        <v>-3</v>
      </c>
      <c r="AB505" s="94" t="s">
        <v>210</v>
      </c>
      <c r="AC505" s="94" t="s">
        <v>210</v>
      </c>
      <c r="AD505" s="94">
        <v>2</v>
      </c>
      <c r="AE505" s="94">
        <v>-1</v>
      </c>
      <c r="AF505" s="94" t="s">
        <v>210</v>
      </c>
      <c r="AG505" s="94"/>
      <c r="AH505" s="94"/>
      <c r="AI505" s="94"/>
      <c r="AJ505" s="94"/>
      <c r="AK505" s="94"/>
      <c r="AL505" s="94"/>
      <c r="AM505" s="94"/>
      <c r="AN505" s="94"/>
      <c r="AO505" s="94"/>
      <c r="AP505" s="94"/>
      <c r="AQ505" s="94"/>
      <c r="AR505" s="94"/>
      <c r="AS505" s="94"/>
      <c r="AT505" s="94"/>
      <c r="AU505" s="94"/>
      <c r="AV505" s="94"/>
      <c r="AW505" s="94"/>
      <c r="AX505" s="94"/>
      <c r="AY505" s="94"/>
      <c r="AZ505" s="94"/>
      <c r="BA505" s="95"/>
    </row>
    <row r="506" spans="1:53" s="87" customFormat="1">
      <c r="A506" s="90" t="str">
        <f t="shared" si="32"/>
        <v/>
      </c>
      <c r="B506" s="98">
        <v>15</v>
      </c>
      <c r="C506" s="94">
        <v>-3</v>
      </c>
      <c r="D506" s="94" t="s">
        <v>210</v>
      </c>
      <c r="E506" s="94" t="s">
        <v>210</v>
      </c>
      <c r="F506" s="94">
        <v>-8</v>
      </c>
      <c r="G506" s="94">
        <v>4</v>
      </c>
      <c r="H506" s="94" t="s">
        <v>210</v>
      </c>
      <c r="I506" s="94" t="s">
        <v>210</v>
      </c>
      <c r="J506" s="94">
        <v>7</v>
      </c>
      <c r="K506" s="94">
        <v>-1</v>
      </c>
      <c r="L506" s="94" t="s">
        <v>210</v>
      </c>
      <c r="M506" s="94" t="s">
        <v>210</v>
      </c>
      <c r="N506" s="94">
        <v>2</v>
      </c>
      <c r="O506" s="94">
        <v>-5</v>
      </c>
      <c r="P506" s="94" t="s">
        <v>210</v>
      </c>
      <c r="Q506" s="94" t="s">
        <v>210</v>
      </c>
      <c r="R506" s="94">
        <v>3</v>
      </c>
      <c r="S506" s="94">
        <v>-6</v>
      </c>
      <c r="T506" s="94" t="s">
        <v>210</v>
      </c>
      <c r="U506" s="94" t="s">
        <v>210</v>
      </c>
      <c r="V506" s="94">
        <v>1</v>
      </c>
      <c r="W506" s="94">
        <v>-4</v>
      </c>
      <c r="X506" s="94" t="s">
        <v>210</v>
      </c>
      <c r="Y506" s="94" t="s">
        <v>210</v>
      </c>
      <c r="Z506" s="94">
        <v>-7</v>
      </c>
      <c r="AA506" s="94">
        <v>5</v>
      </c>
      <c r="AB506" s="94" t="s">
        <v>210</v>
      </c>
      <c r="AC506" s="94" t="s">
        <v>210</v>
      </c>
      <c r="AD506" s="94">
        <v>-2</v>
      </c>
      <c r="AE506" s="94">
        <v>8</v>
      </c>
      <c r="AF506" s="94" t="s">
        <v>210</v>
      </c>
      <c r="AG506" s="94"/>
      <c r="AH506" s="94"/>
      <c r="AI506" s="94"/>
      <c r="AJ506" s="94"/>
      <c r="AK506" s="94"/>
      <c r="AL506" s="94"/>
      <c r="AM506" s="94"/>
      <c r="AN506" s="94"/>
      <c r="AO506" s="94"/>
      <c r="AP506" s="94"/>
      <c r="AQ506" s="94"/>
      <c r="AR506" s="94"/>
      <c r="AS506" s="94"/>
      <c r="AT506" s="94"/>
      <c r="AU506" s="94"/>
      <c r="AV506" s="94"/>
      <c r="AW506" s="94"/>
      <c r="AX506" s="94"/>
      <c r="AY506" s="94"/>
      <c r="AZ506" s="94"/>
      <c r="BA506" s="95"/>
    </row>
    <row r="507" spans="1:53" s="87" customFormat="1">
      <c r="A507" s="90" t="str">
        <f t="shared" si="32"/>
        <v/>
      </c>
      <c r="B507" s="99">
        <v>16</v>
      </c>
      <c r="C507" s="92">
        <v>-1</v>
      </c>
      <c r="D507" s="92" t="s">
        <v>210</v>
      </c>
      <c r="E507" s="92" t="s">
        <v>210</v>
      </c>
      <c r="F507" s="92">
        <v>2</v>
      </c>
      <c r="G507" s="92">
        <v>8</v>
      </c>
      <c r="H507" s="92" t="s">
        <v>210</v>
      </c>
      <c r="I507" s="92" t="s">
        <v>210</v>
      </c>
      <c r="J507" s="92">
        <v>6</v>
      </c>
      <c r="K507" s="92">
        <v>7</v>
      </c>
      <c r="L507" s="92" t="s">
        <v>210</v>
      </c>
      <c r="M507" s="92" t="s">
        <v>210</v>
      </c>
      <c r="N507" s="92">
        <v>-5</v>
      </c>
      <c r="O507" s="92">
        <v>-3</v>
      </c>
      <c r="P507" s="92" t="s">
        <v>210</v>
      </c>
      <c r="Q507" s="92" t="s">
        <v>210</v>
      </c>
      <c r="R507" s="92">
        <v>1</v>
      </c>
      <c r="S507" s="92">
        <v>-4</v>
      </c>
      <c r="T507" s="92" t="s">
        <v>210</v>
      </c>
      <c r="U507" s="92" t="s">
        <v>210</v>
      </c>
      <c r="V507" s="92">
        <v>-6</v>
      </c>
      <c r="W507" s="92">
        <v>5</v>
      </c>
      <c r="X507" s="92" t="s">
        <v>210</v>
      </c>
      <c r="Y507" s="92" t="s">
        <v>210</v>
      </c>
      <c r="Z507" s="92">
        <v>-2</v>
      </c>
      <c r="AA507" s="92">
        <v>3</v>
      </c>
      <c r="AB507" s="92" t="s">
        <v>210</v>
      </c>
      <c r="AC507" s="92" t="s">
        <v>210</v>
      </c>
      <c r="AD507" s="92">
        <v>-7</v>
      </c>
      <c r="AE507" s="92">
        <v>-8</v>
      </c>
      <c r="AF507" s="92" t="s">
        <v>210</v>
      </c>
      <c r="AG507" s="94"/>
      <c r="AH507" s="94"/>
      <c r="AI507" s="94"/>
      <c r="AJ507" s="94"/>
      <c r="AK507" s="94"/>
      <c r="AL507" s="94"/>
      <c r="AM507" s="94"/>
      <c r="AN507" s="94"/>
      <c r="AO507" s="94"/>
      <c r="AP507" s="94"/>
      <c r="AQ507" s="94"/>
      <c r="AR507" s="94"/>
      <c r="AS507" s="94"/>
      <c r="AT507" s="94"/>
      <c r="AU507" s="94"/>
      <c r="AV507" s="94"/>
      <c r="AW507" s="94"/>
      <c r="AX507" s="94"/>
      <c r="AY507" s="94"/>
      <c r="AZ507" s="94"/>
      <c r="BA507" s="95"/>
    </row>
    <row r="508" spans="1:53" s="87" customFormat="1">
      <c r="A508" s="90" t="str">
        <f t="shared" si="32"/>
        <v/>
      </c>
      <c r="B508" s="98">
        <v>17</v>
      </c>
      <c r="C508" s="94" t="s">
        <v>210</v>
      </c>
      <c r="D508" s="94">
        <v>-5</v>
      </c>
      <c r="E508" s="94">
        <v>8</v>
      </c>
      <c r="F508" s="94" t="s">
        <v>210</v>
      </c>
      <c r="G508" s="94" t="s">
        <v>210</v>
      </c>
      <c r="H508" s="94">
        <v>-6</v>
      </c>
      <c r="I508" s="94">
        <v>2</v>
      </c>
      <c r="J508" s="94" t="s">
        <v>210</v>
      </c>
      <c r="K508" s="94" t="s">
        <v>210</v>
      </c>
      <c r="L508" s="94">
        <v>-3</v>
      </c>
      <c r="M508" s="94">
        <v>7</v>
      </c>
      <c r="N508" s="94" t="s">
        <v>210</v>
      </c>
      <c r="O508" s="94" t="s">
        <v>210</v>
      </c>
      <c r="P508" s="94">
        <v>-4</v>
      </c>
      <c r="Q508" s="94">
        <v>5</v>
      </c>
      <c r="R508" s="94" t="s">
        <v>210</v>
      </c>
      <c r="S508" s="94" t="s">
        <v>210</v>
      </c>
      <c r="T508" s="94">
        <v>-8</v>
      </c>
      <c r="U508" s="94">
        <v>6</v>
      </c>
      <c r="V508" s="94" t="s">
        <v>210</v>
      </c>
      <c r="W508" s="94" t="s">
        <v>210</v>
      </c>
      <c r="X508" s="94">
        <v>-7</v>
      </c>
      <c r="Y508" s="94">
        <v>-1</v>
      </c>
      <c r="Z508" s="94" t="s">
        <v>210</v>
      </c>
      <c r="AA508" s="94" t="s">
        <v>210</v>
      </c>
      <c r="AB508" s="94">
        <v>-2</v>
      </c>
      <c r="AC508" s="94">
        <v>3</v>
      </c>
      <c r="AD508" s="94" t="s">
        <v>210</v>
      </c>
      <c r="AE508" s="94" t="s">
        <v>210</v>
      </c>
      <c r="AF508" s="94">
        <v>4</v>
      </c>
      <c r="AG508" s="94"/>
      <c r="AH508" s="94"/>
      <c r="AI508" s="94"/>
      <c r="AJ508" s="94"/>
      <c r="AK508" s="94"/>
      <c r="AL508" s="94"/>
      <c r="AM508" s="94"/>
      <c r="AN508" s="94"/>
      <c r="AO508" s="94"/>
      <c r="AP508" s="94"/>
      <c r="AQ508" s="94"/>
      <c r="AR508" s="94"/>
      <c r="AS508" s="94"/>
      <c r="AT508" s="94"/>
      <c r="AU508" s="94"/>
      <c r="AV508" s="94"/>
      <c r="AW508" s="94"/>
      <c r="AX508" s="94"/>
      <c r="AY508" s="94"/>
      <c r="AZ508" s="94"/>
      <c r="BA508" s="95"/>
    </row>
    <row r="509" spans="1:53" s="87" customFormat="1">
      <c r="A509" s="90" t="str">
        <f t="shared" si="32"/>
        <v/>
      </c>
      <c r="B509" s="98">
        <v>18</v>
      </c>
      <c r="C509" s="94" t="s">
        <v>210</v>
      </c>
      <c r="D509" s="94">
        <v>6</v>
      </c>
      <c r="E509" s="94">
        <v>1</v>
      </c>
      <c r="F509" s="94" t="s">
        <v>210</v>
      </c>
      <c r="G509" s="94" t="s">
        <v>210</v>
      </c>
      <c r="H509" s="94">
        <v>7</v>
      </c>
      <c r="I509" s="94">
        <v>3</v>
      </c>
      <c r="J509" s="94" t="s">
        <v>210</v>
      </c>
      <c r="K509" s="94" t="s">
        <v>210</v>
      </c>
      <c r="L509" s="94">
        <v>-8</v>
      </c>
      <c r="M509" s="94">
        <v>4</v>
      </c>
      <c r="N509" s="94" t="s">
        <v>210</v>
      </c>
      <c r="O509" s="94" t="s">
        <v>210</v>
      </c>
      <c r="P509" s="94">
        <v>5</v>
      </c>
      <c r="Q509" s="94">
        <v>-1</v>
      </c>
      <c r="R509" s="94" t="s">
        <v>210</v>
      </c>
      <c r="S509" s="94" t="s">
        <v>210</v>
      </c>
      <c r="T509" s="94">
        <v>2</v>
      </c>
      <c r="U509" s="94">
        <v>-3</v>
      </c>
      <c r="V509" s="94" t="s">
        <v>210</v>
      </c>
      <c r="W509" s="94" t="s">
        <v>210</v>
      </c>
      <c r="X509" s="94">
        <v>-6</v>
      </c>
      <c r="Y509" s="94">
        <v>8</v>
      </c>
      <c r="Z509" s="94" t="s">
        <v>210</v>
      </c>
      <c r="AA509" s="94" t="s">
        <v>210</v>
      </c>
      <c r="AB509" s="94">
        <v>-7</v>
      </c>
      <c r="AC509" s="94">
        <v>-5</v>
      </c>
      <c r="AD509" s="94" t="s">
        <v>210</v>
      </c>
      <c r="AE509" s="94" t="s">
        <v>210</v>
      </c>
      <c r="AF509" s="94">
        <v>-4</v>
      </c>
      <c r="AG509" s="94"/>
      <c r="AH509" s="94"/>
      <c r="AI509" s="94"/>
      <c r="AJ509" s="94"/>
      <c r="AK509" s="94"/>
      <c r="AL509" s="94"/>
      <c r="AM509" s="94"/>
      <c r="AN509" s="94"/>
      <c r="AO509" s="94"/>
      <c r="AP509" s="94"/>
      <c r="AQ509" s="94"/>
      <c r="AR509" s="94"/>
      <c r="AS509" s="94"/>
      <c r="AT509" s="94"/>
      <c r="AU509" s="94"/>
      <c r="AV509" s="94"/>
      <c r="AW509" s="94"/>
      <c r="AX509" s="94"/>
      <c r="AY509" s="94"/>
      <c r="AZ509" s="94"/>
      <c r="BA509" s="95"/>
    </row>
    <row r="510" spans="1:53" s="87" customFormat="1">
      <c r="A510" s="90" t="str">
        <f t="shared" si="32"/>
        <v/>
      </c>
      <c r="B510" s="98">
        <v>19</v>
      </c>
      <c r="C510" s="94" t="s">
        <v>210</v>
      </c>
      <c r="D510" s="94">
        <v>1</v>
      </c>
      <c r="E510" s="94">
        <v>7</v>
      </c>
      <c r="F510" s="94" t="s">
        <v>210</v>
      </c>
      <c r="G510" s="94" t="s">
        <v>210</v>
      </c>
      <c r="H510" s="94">
        <v>-5</v>
      </c>
      <c r="I510" s="94">
        <v>-3</v>
      </c>
      <c r="J510" s="94" t="s">
        <v>210</v>
      </c>
      <c r="K510" s="94" t="s">
        <v>210</v>
      </c>
      <c r="L510" s="94">
        <v>-6</v>
      </c>
      <c r="M510" s="94">
        <v>-2</v>
      </c>
      <c r="N510" s="94" t="s">
        <v>210</v>
      </c>
      <c r="O510" s="94" t="s">
        <v>210</v>
      </c>
      <c r="P510" s="94">
        <v>4</v>
      </c>
      <c r="Q510" s="94">
        <v>-8</v>
      </c>
      <c r="R510" s="94" t="s">
        <v>210</v>
      </c>
      <c r="S510" s="94" t="s">
        <v>210</v>
      </c>
      <c r="T510" s="94">
        <v>3</v>
      </c>
      <c r="U510" s="94">
        <v>-7</v>
      </c>
      <c r="V510" s="94" t="s">
        <v>210</v>
      </c>
      <c r="W510" s="94" t="s">
        <v>210</v>
      </c>
      <c r="X510" s="94">
        <v>2</v>
      </c>
      <c r="Y510" s="94">
        <v>-4</v>
      </c>
      <c r="Z510" s="94" t="s">
        <v>210</v>
      </c>
      <c r="AA510" s="94" t="s">
        <v>210</v>
      </c>
      <c r="AB510" s="94">
        <v>-1</v>
      </c>
      <c r="AC510" s="94">
        <v>6</v>
      </c>
      <c r="AD510" s="94" t="s">
        <v>210</v>
      </c>
      <c r="AE510" s="94" t="s">
        <v>210</v>
      </c>
      <c r="AF510" s="94">
        <v>5</v>
      </c>
      <c r="AG510" s="94"/>
      <c r="AH510" s="94"/>
      <c r="AI510" s="94"/>
      <c r="AJ510" s="94"/>
      <c r="AK510" s="94"/>
      <c r="AL510" s="94"/>
      <c r="AM510" s="94"/>
      <c r="AN510" s="94"/>
      <c r="AO510" s="94"/>
      <c r="AP510" s="94"/>
      <c r="AQ510" s="94"/>
      <c r="AR510" s="94"/>
      <c r="AS510" s="94"/>
      <c r="AT510" s="94"/>
      <c r="AU510" s="94"/>
      <c r="AV510" s="94"/>
      <c r="AW510" s="94"/>
      <c r="AX510" s="94"/>
      <c r="AY510" s="94"/>
      <c r="AZ510" s="94"/>
      <c r="BA510" s="95"/>
    </row>
    <row r="511" spans="1:53" s="87" customFormat="1">
      <c r="A511" s="90" t="str">
        <f t="shared" si="32"/>
        <v/>
      </c>
      <c r="B511" s="98">
        <v>20</v>
      </c>
      <c r="C511" s="94" t="s">
        <v>210</v>
      </c>
      <c r="D511" s="94">
        <v>-8</v>
      </c>
      <c r="E511" s="94">
        <v>-4</v>
      </c>
      <c r="F511" s="94" t="s">
        <v>210</v>
      </c>
      <c r="G511" s="94" t="s">
        <v>210</v>
      </c>
      <c r="H511" s="94">
        <v>-7</v>
      </c>
      <c r="I511" s="94">
        <v>1</v>
      </c>
      <c r="J511" s="94" t="s">
        <v>210</v>
      </c>
      <c r="K511" s="94" t="s">
        <v>210</v>
      </c>
      <c r="L511" s="94">
        <v>3</v>
      </c>
      <c r="M511" s="94">
        <v>5</v>
      </c>
      <c r="N511" s="94" t="s">
        <v>210</v>
      </c>
      <c r="O511" s="94" t="s">
        <v>210</v>
      </c>
      <c r="P511" s="94">
        <v>6</v>
      </c>
      <c r="Q511" s="94">
        <v>-2</v>
      </c>
      <c r="R511" s="94" t="s">
        <v>210</v>
      </c>
      <c r="S511" s="94" t="s">
        <v>210</v>
      </c>
      <c r="T511" s="94">
        <v>7</v>
      </c>
      <c r="U511" s="94">
        <v>-1</v>
      </c>
      <c r="V511" s="94" t="s">
        <v>210</v>
      </c>
      <c r="W511" s="94" t="s">
        <v>210</v>
      </c>
      <c r="X511" s="94">
        <v>-3</v>
      </c>
      <c r="Y511" s="94">
        <v>-6</v>
      </c>
      <c r="Z511" s="94" t="s">
        <v>210</v>
      </c>
      <c r="AA511" s="94" t="s">
        <v>210</v>
      </c>
      <c r="AB511" s="94">
        <v>8</v>
      </c>
      <c r="AC511" s="94">
        <v>4</v>
      </c>
      <c r="AD511" s="94" t="s">
        <v>210</v>
      </c>
      <c r="AE511" s="94" t="s">
        <v>210</v>
      </c>
      <c r="AF511" s="94">
        <v>-5</v>
      </c>
      <c r="AG511" s="94"/>
      <c r="AH511" s="94"/>
      <c r="AI511" s="94"/>
      <c r="AJ511" s="94"/>
      <c r="AK511" s="94"/>
      <c r="AL511" s="94"/>
      <c r="AM511" s="94"/>
      <c r="AN511" s="94"/>
      <c r="AO511" s="94"/>
      <c r="AP511" s="94"/>
      <c r="AQ511" s="94"/>
      <c r="AR511" s="94"/>
      <c r="AS511" s="94"/>
      <c r="AT511" s="94"/>
      <c r="AU511" s="94"/>
      <c r="AV511" s="94"/>
      <c r="AW511" s="94"/>
      <c r="AX511" s="94"/>
      <c r="AY511" s="94"/>
      <c r="AZ511" s="94"/>
      <c r="BA511" s="95"/>
    </row>
    <row r="512" spans="1:53" s="87" customFormat="1">
      <c r="A512" s="90" t="str">
        <f t="shared" si="32"/>
        <v/>
      </c>
      <c r="B512" s="98">
        <v>21</v>
      </c>
      <c r="C512" s="94" t="s">
        <v>210</v>
      </c>
      <c r="D512" s="94">
        <v>2</v>
      </c>
      <c r="E512" s="94">
        <v>6</v>
      </c>
      <c r="F512" s="94" t="s">
        <v>210</v>
      </c>
      <c r="G512" s="94" t="s">
        <v>210</v>
      </c>
      <c r="H512" s="94">
        <v>-3</v>
      </c>
      <c r="I512" s="94">
        <v>4</v>
      </c>
      <c r="J512" s="94" t="s">
        <v>210</v>
      </c>
      <c r="K512" s="94" t="s">
        <v>210</v>
      </c>
      <c r="L512" s="94">
        <v>5</v>
      </c>
      <c r="M512" s="94">
        <v>-7</v>
      </c>
      <c r="N512" s="94" t="s">
        <v>210</v>
      </c>
      <c r="O512" s="94" t="s">
        <v>210</v>
      </c>
      <c r="P512" s="94">
        <v>-1</v>
      </c>
      <c r="Q512" s="94">
        <v>-6</v>
      </c>
      <c r="R512" s="94" t="s">
        <v>210</v>
      </c>
      <c r="S512" s="94" t="s">
        <v>210</v>
      </c>
      <c r="T512" s="94">
        <v>-2</v>
      </c>
      <c r="U512" s="94">
        <v>8</v>
      </c>
      <c r="V512" s="94" t="s">
        <v>210</v>
      </c>
      <c r="W512" s="94" t="s">
        <v>210</v>
      </c>
      <c r="X512" s="94">
        <v>-5</v>
      </c>
      <c r="Y512" s="94">
        <v>7</v>
      </c>
      <c r="Z512" s="94" t="s">
        <v>210</v>
      </c>
      <c r="AA512" s="94" t="s">
        <v>210</v>
      </c>
      <c r="AB512" s="94">
        <v>1</v>
      </c>
      <c r="AC512" s="94">
        <v>-4</v>
      </c>
      <c r="AD512" s="94" t="s">
        <v>210</v>
      </c>
      <c r="AE512" s="94" t="s">
        <v>210</v>
      </c>
      <c r="AF512" s="94">
        <v>3</v>
      </c>
      <c r="AG512" s="94"/>
      <c r="AH512" s="94"/>
      <c r="AI512" s="94"/>
      <c r="AJ512" s="94"/>
      <c r="AK512" s="94"/>
      <c r="AL512" s="94"/>
      <c r="AM512" s="94"/>
      <c r="AN512" s="94"/>
      <c r="AO512" s="94"/>
      <c r="AP512" s="94"/>
      <c r="AQ512" s="94"/>
      <c r="AR512" s="94"/>
      <c r="AS512" s="94"/>
      <c r="AT512" s="94"/>
      <c r="AU512" s="94"/>
      <c r="AV512" s="94"/>
      <c r="AW512" s="94"/>
      <c r="AX512" s="94"/>
      <c r="AY512" s="94"/>
      <c r="AZ512" s="94"/>
      <c r="BA512" s="95"/>
    </row>
    <row r="513" spans="1:53" s="87" customFormat="1">
      <c r="A513" s="90" t="str">
        <f t="shared" si="32"/>
        <v/>
      </c>
      <c r="B513" s="98">
        <v>22</v>
      </c>
      <c r="C513" s="94" t="s">
        <v>210</v>
      </c>
      <c r="D513" s="94">
        <v>-4</v>
      </c>
      <c r="E513" s="94">
        <v>-1</v>
      </c>
      <c r="F513" s="94" t="s">
        <v>210</v>
      </c>
      <c r="G513" s="94" t="s">
        <v>210</v>
      </c>
      <c r="H513" s="94">
        <v>6</v>
      </c>
      <c r="I513" s="94">
        <v>5</v>
      </c>
      <c r="J513" s="94" t="s">
        <v>210</v>
      </c>
      <c r="K513" s="94" t="s">
        <v>210</v>
      </c>
      <c r="L513" s="94">
        <v>-2</v>
      </c>
      <c r="M513" s="94">
        <v>3</v>
      </c>
      <c r="N513" s="94" t="s">
        <v>210</v>
      </c>
      <c r="O513" s="94" t="s">
        <v>210</v>
      </c>
      <c r="P513" s="94">
        <v>8</v>
      </c>
      <c r="Q513" s="94">
        <v>7</v>
      </c>
      <c r="R513" s="94" t="s">
        <v>210</v>
      </c>
      <c r="S513" s="94" t="s">
        <v>210</v>
      </c>
      <c r="T513" s="94">
        <v>1</v>
      </c>
      <c r="U513" s="94">
        <v>-5</v>
      </c>
      <c r="V513" s="94" t="s">
        <v>210</v>
      </c>
      <c r="W513" s="94" t="s">
        <v>210</v>
      </c>
      <c r="X513" s="94">
        <v>4</v>
      </c>
      <c r="Y513" s="94">
        <v>2</v>
      </c>
      <c r="Z513" s="94" t="s">
        <v>210</v>
      </c>
      <c r="AA513" s="94" t="s">
        <v>210</v>
      </c>
      <c r="AB513" s="94">
        <v>-8</v>
      </c>
      <c r="AC513" s="94">
        <v>-6</v>
      </c>
      <c r="AD513" s="94" t="s">
        <v>210</v>
      </c>
      <c r="AE513" s="94" t="s">
        <v>210</v>
      </c>
      <c r="AF513" s="94">
        <v>-3</v>
      </c>
      <c r="AG513" s="94"/>
      <c r="AH513" s="94"/>
      <c r="AI513" s="94"/>
      <c r="AJ513" s="94"/>
      <c r="AK513" s="94"/>
      <c r="AL513" s="94"/>
      <c r="AM513" s="94"/>
      <c r="AN513" s="94"/>
      <c r="AO513" s="94"/>
      <c r="AP513" s="94"/>
      <c r="AQ513" s="94"/>
      <c r="AR513" s="94"/>
      <c r="AS513" s="94"/>
      <c r="AT513" s="94"/>
      <c r="AU513" s="94"/>
      <c r="AV513" s="94"/>
      <c r="AW513" s="94"/>
      <c r="AX513" s="94"/>
      <c r="AY513" s="94"/>
      <c r="AZ513" s="94"/>
      <c r="BA513" s="95"/>
    </row>
    <row r="514" spans="1:53" s="87" customFormat="1">
      <c r="A514" s="90" t="str">
        <f t="shared" si="32"/>
        <v/>
      </c>
      <c r="B514" s="98">
        <v>23</v>
      </c>
      <c r="C514" s="94" t="s">
        <v>210</v>
      </c>
      <c r="D514" s="94">
        <v>3</v>
      </c>
      <c r="E514" s="94">
        <v>-6</v>
      </c>
      <c r="F514" s="94" t="s">
        <v>210</v>
      </c>
      <c r="G514" s="94" t="s">
        <v>210</v>
      </c>
      <c r="H514" s="94">
        <v>-8</v>
      </c>
      <c r="I514" s="94">
        <v>-5</v>
      </c>
      <c r="J514" s="94" t="s">
        <v>210</v>
      </c>
      <c r="K514" s="94" t="s">
        <v>210</v>
      </c>
      <c r="L514" s="94">
        <v>4</v>
      </c>
      <c r="M514" s="94">
        <v>-1</v>
      </c>
      <c r="N514" s="94" t="s">
        <v>210</v>
      </c>
      <c r="O514" s="94" t="s">
        <v>210</v>
      </c>
      <c r="P514" s="94">
        <v>-2</v>
      </c>
      <c r="Q514" s="94">
        <v>8</v>
      </c>
      <c r="R514" s="94" t="s">
        <v>210</v>
      </c>
      <c r="S514" s="94" t="s">
        <v>210</v>
      </c>
      <c r="T514" s="94">
        <v>-7</v>
      </c>
      <c r="U514" s="94">
        <v>-4</v>
      </c>
      <c r="V514" s="94" t="s">
        <v>210</v>
      </c>
      <c r="W514" s="94" t="s">
        <v>210</v>
      </c>
      <c r="X514" s="94">
        <v>1</v>
      </c>
      <c r="Y514" s="94">
        <v>-3</v>
      </c>
      <c r="Z514" s="94" t="s">
        <v>210</v>
      </c>
      <c r="AA514" s="94" t="s">
        <v>210</v>
      </c>
      <c r="AB514" s="94">
        <v>2</v>
      </c>
      <c r="AC514" s="94">
        <v>5</v>
      </c>
      <c r="AD514" s="94" t="s">
        <v>210</v>
      </c>
      <c r="AE514" s="94" t="s">
        <v>210</v>
      </c>
      <c r="AF514" s="94">
        <v>6</v>
      </c>
      <c r="AG514" s="94"/>
      <c r="AH514" s="94"/>
      <c r="AI514" s="94"/>
      <c r="AJ514" s="94"/>
      <c r="AK514" s="94"/>
      <c r="AL514" s="94"/>
      <c r="AM514" s="94"/>
      <c r="AN514" s="94"/>
      <c r="AO514" s="94"/>
      <c r="AP514" s="94"/>
      <c r="AQ514" s="94"/>
      <c r="AR514" s="94"/>
      <c r="AS514" s="94"/>
      <c r="AT514" s="94"/>
      <c r="AU514" s="94"/>
      <c r="AV514" s="94"/>
      <c r="AW514" s="94"/>
      <c r="AX514" s="94"/>
      <c r="AY514" s="94"/>
      <c r="AZ514" s="94"/>
      <c r="BA514" s="95"/>
    </row>
    <row r="515" spans="1:53" s="87" customFormat="1">
      <c r="A515" s="90" t="str">
        <f t="shared" si="32"/>
        <v/>
      </c>
      <c r="B515" s="98">
        <v>24</v>
      </c>
      <c r="C515" s="94" t="s">
        <v>210</v>
      </c>
      <c r="D515" s="94">
        <v>-2</v>
      </c>
      <c r="E515" s="94">
        <v>4</v>
      </c>
      <c r="F515" s="94" t="s">
        <v>210</v>
      </c>
      <c r="G515" s="94" t="s">
        <v>210</v>
      </c>
      <c r="H515" s="94">
        <v>1</v>
      </c>
      <c r="I515" s="94">
        <v>-7</v>
      </c>
      <c r="J515" s="94" t="s">
        <v>210</v>
      </c>
      <c r="K515" s="94" t="s">
        <v>210</v>
      </c>
      <c r="L515" s="94">
        <v>6</v>
      </c>
      <c r="M515" s="94">
        <v>-8</v>
      </c>
      <c r="N515" s="94" t="s">
        <v>210</v>
      </c>
      <c r="O515" s="94" t="s">
        <v>210</v>
      </c>
      <c r="P515" s="94">
        <v>3</v>
      </c>
      <c r="Q515" s="94">
        <v>-4</v>
      </c>
      <c r="R515" s="94" t="s">
        <v>210</v>
      </c>
      <c r="S515" s="94" t="s">
        <v>210</v>
      </c>
      <c r="T515" s="94">
        <v>-1</v>
      </c>
      <c r="U515" s="94">
        <v>2</v>
      </c>
      <c r="V515" s="94" t="s">
        <v>210</v>
      </c>
      <c r="W515" s="94" t="s">
        <v>210</v>
      </c>
      <c r="X515" s="94">
        <v>8</v>
      </c>
      <c r="Y515" s="94">
        <v>5</v>
      </c>
      <c r="Z515" s="94" t="s">
        <v>210</v>
      </c>
      <c r="AA515" s="94" t="s">
        <v>210</v>
      </c>
      <c r="AB515" s="94">
        <v>7</v>
      </c>
      <c r="AC515" s="94">
        <v>-3</v>
      </c>
      <c r="AD515" s="94" t="s">
        <v>210</v>
      </c>
      <c r="AE515" s="94" t="s">
        <v>210</v>
      </c>
      <c r="AF515" s="94">
        <v>-6</v>
      </c>
      <c r="AG515" s="94"/>
      <c r="AH515" s="94"/>
      <c r="AI515" s="94"/>
      <c r="AJ515" s="94"/>
      <c r="AK515" s="94"/>
      <c r="AL515" s="94"/>
      <c r="AM515" s="94"/>
      <c r="AN515" s="94"/>
      <c r="AO515" s="94"/>
      <c r="AP515" s="94"/>
      <c r="AQ515" s="94"/>
      <c r="AR515" s="94"/>
      <c r="AS515" s="94"/>
      <c r="AT515" s="94"/>
      <c r="AU515" s="94"/>
      <c r="AV515" s="94"/>
      <c r="AW515" s="94"/>
      <c r="AX515" s="94"/>
      <c r="AY515" s="94"/>
      <c r="AZ515" s="94"/>
      <c r="BA515" s="95"/>
    </row>
    <row r="516" spans="1:53" s="87" customFormat="1">
      <c r="A516" s="90" t="str">
        <f t="shared" si="32"/>
        <v/>
      </c>
      <c r="B516" s="98">
        <v>25</v>
      </c>
      <c r="C516" s="94" t="s">
        <v>210</v>
      </c>
      <c r="D516" s="94">
        <v>-7</v>
      </c>
      <c r="E516" s="94">
        <v>-2</v>
      </c>
      <c r="F516" s="94" t="s">
        <v>210</v>
      </c>
      <c r="G516" s="94" t="s">
        <v>210</v>
      </c>
      <c r="H516" s="94">
        <v>-4</v>
      </c>
      <c r="I516" s="94">
        <v>8</v>
      </c>
      <c r="J516" s="94" t="s">
        <v>210</v>
      </c>
      <c r="K516" s="94" t="s">
        <v>210</v>
      </c>
      <c r="L516" s="94">
        <v>-5</v>
      </c>
      <c r="M516" s="94">
        <v>1</v>
      </c>
      <c r="N516" s="94" t="s">
        <v>210</v>
      </c>
      <c r="O516" s="94" t="s">
        <v>210</v>
      </c>
      <c r="P516" s="94">
        <v>-6</v>
      </c>
      <c r="Q516" s="94">
        <v>4</v>
      </c>
      <c r="R516" s="94" t="s">
        <v>210</v>
      </c>
      <c r="S516" s="94" t="s">
        <v>210</v>
      </c>
      <c r="T516" s="94">
        <v>-3</v>
      </c>
      <c r="U516" s="94">
        <v>5</v>
      </c>
      <c r="V516" s="94" t="s">
        <v>210</v>
      </c>
      <c r="W516" s="94" t="s">
        <v>210</v>
      </c>
      <c r="X516" s="94">
        <v>7</v>
      </c>
      <c r="Y516" s="94">
        <v>-8</v>
      </c>
      <c r="Z516" s="94" t="s">
        <v>210</v>
      </c>
      <c r="AA516" s="94" t="s">
        <v>210</v>
      </c>
      <c r="AB516" s="94">
        <v>6</v>
      </c>
      <c r="AC516" s="94">
        <v>-1</v>
      </c>
      <c r="AD516" s="94" t="s">
        <v>210</v>
      </c>
      <c r="AE516" s="94" t="s">
        <v>210</v>
      </c>
      <c r="AF516" s="94">
        <v>2</v>
      </c>
      <c r="AG516" s="94"/>
      <c r="AH516" s="94"/>
      <c r="AI516" s="94"/>
      <c r="AJ516" s="94"/>
      <c r="AK516" s="94"/>
      <c r="AL516" s="94"/>
      <c r="AM516" s="94"/>
      <c r="AN516" s="94"/>
      <c r="AO516" s="94"/>
      <c r="AP516" s="94"/>
      <c r="AQ516" s="94"/>
      <c r="AR516" s="94"/>
      <c r="AS516" s="94"/>
      <c r="AT516" s="94"/>
      <c r="AU516" s="94"/>
      <c r="AV516" s="94"/>
      <c r="AW516" s="94"/>
      <c r="AX516" s="94"/>
      <c r="AY516" s="94"/>
      <c r="AZ516" s="94"/>
      <c r="BA516" s="95"/>
    </row>
    <row r="517" spans="1:53" s="87" customFormat="1">
      <c r="A517" s="90" t="str">
        <f t="shared" si="32"/>
        <v/>
      </c>
      <c r="B517" s="98">
        <v>26</v>
      </c>
      <c r="C517" s="94" t="s">
        <v>210</v>
      </c>
      <c r="D517" s="94">
        <v>4</v>
      </c>
      <c r="E517" s="94">
        <v>-5</v>
      </c>
      <c r="F517" s="94" t="s">
        <v>210</v>
      </c>
      <c r="G517" s="94" t="s">
        <v>210</v>
      </c>
      <c r="H517" s="94">
        <v>3</v>
      </c>
      <c r="I517" s="94">
        <v>-1</v>
      </c>
      <c r="J517" s="94" t="s">
        <v>210</v>
      </c>
      <c r="K517" s="94" t="s">
        <v>210</v>
      </c>
      <c r="L517" s="94">
        <v>-7</v>
      </c>
      <c r="M517" s="94">
        <v>8</v>
      </c>
      <c r="N517" s="94" t="s">
        <v>210</v>
      </c>
      <c r="O517" s="94" t="s">
        <v>210</v>
      </c>
      <c r="P517" s="94">
        <v>2</v>
      </c>
      <c r="Q517" s="94">
        <v>-3</v>
      </c>
      <c r="R517" s="94" t="s">
        <v>210</v>
      </c>
      <c r="S517" s="94" t="s">
        <v>210</v>
      </c>
      <c r="T517" s="94">
        <v>5</v>
      </c>
      <c r="U517" s="94">
        <v>7</v>
      </c>
      <c r="V517" s="94" t="s">
        <v>210</v>
      </c>
      <c r="W517" s="94" t="s">
        <v>210</v>
      </c>
      <c r="X517" s="94">
        <v>6</v>
      </c>
      <c r="Y517" s="94">
        <v>1</v>
      </c>
      <c r="Z517" s="94" t="s">
        <v>210</v>
      </c>
      <c r="AA517" s="94" t="s">
        <v>210</v>
      </c>
      <c r="AB517" s="94">
        <v>-4</v>
      </c>
      <c r="AC517" s="94">
        <v>-8</v>
      </c>
      <c r="AD517" s="94" t="s">
        <v>210</v>
      </c>
      <c r="AE517" s="94" t="s">
        <v>210</v>
      </c>
      <c r="AF517" s="94">
        <v>-2</v>
      </c>
      <c r="AG517" s="94"/>
      <c r="AH517" s="94"/>
      <c r="AI517" s="94"/>
      <c r="AJ517" s="94"/>
      <c r="AK517" s="94"/>
      <c r="AL517" s="94"/>
      <c r="AM517" s="94"/>
      <c r="AN517" s="94"/>
      <c r="AO517" s="94"/>
      <c r="AP517" s="94"/>
      <c r="AQ517" s="94"/>
      <c r="AR517" s="94"/>
      <c r="AS517" s="94"/>
      <c r="AT517" s="94"/>
      <c r="AU517" s="94"/>
      <c r="AV517" s="94"/>
      <c r="AW517" s="94"/>
      <c r="AX517" s="94"/>
      <c r="AY517" s="94"/>
      <c r="AZ517" s="94"/>
      <c r="BA517" s="95"/>
    </row>
    <row r="518" spans="1:53" s="87" customFormat="1">
      <c r="A518" s="90" t="str">
        <f t="shared" si="32"/>
        <v/>
      </c>
      <c r="B518" s="98">
        <v>27</v>
      </c>
      <c r="C518" s="94" t="s">
        <v>210</v>
      </c>
      <c r="D518" s="94">
        <v>5</v>
      </c>
      <c r="E518" s="94">
        <v>-7</v>
      </c>
      <c r="F518" s="94" t="s">
        <v>210</v>
      </c>
      <c r="G518" s="94" t="s">
        <v>210</v>
      </c>
      <c r="H518" s="94">
        <v>-2</v>
      </c>
      <c r="I518" s="94">
        <v>-4</v>
      </c>
      <c r="J518" s="94" t="s">
        <v>210</v>
      </c>
      <c r="K518" s="94" t="s">
        <v>210</v>
      </c>
      <c r="L518" s="94">
        <v>1</v>
      </c>
      <c r="M518" s="94">
        <v>6</v>
      </c>
      <c r="N518" s="94" t="s">
        <v>210</v>
      </c>
      <c r="O518" s="94" t="s">
        <v>210</v>
      </c>
      <c r="P518" s="94">
        <v>-8</v>
      </c>
      <c r="Q518" s="94">
        <v>2</v>
      </c>
      <c r="R518" s="94" t="s">
        <v>210</v>
      </c>
      <c r="S518" s="94" t="s">
        <v>210</v>
      </c>
      <c r="T518" s="94">
        <v>4</v>
      </c>
      <c r="U518" s="94">
        <v>3</v>
      </c>
      <c r="V518" s="94" t="s">
        <v>210</v>
      </c>
      <c r="W518" s="94" t="s">
        <v>210</v>
      </c>
      <c r="X518" s="94">
        <v>-1</v>
      </c>
      <c r="Y518" s="94">
        <v>-5</v>
      </c>
      <c r="Z518" s="94" t="s">
        <v>210</v>
      </c>
      <c r="AA518" s="94" t="s">
        <v>210</v>
      </c>
      <c r="AB518" s="94">
        <v>-6</v>
      </c>
      <c r="AC518" s="94">
        <v>8</v>
      </c>
      <c r="AD518" s="94" t="s">
        <v>210</v>
      </c>
      <c r="AE518" s="94" t="s">
        <v>210</v>
      </c>
      <c r="AF518" s="94">
        <v>7</v>
      </c>
      <c r="AG518" s="94"/>
      <c r="AH518" s="94"/>
      <c r="AI518" s="94"/>
      <c r="AJ518" s="94"/>
      <c r="AK518" s="94"/>
      <c r="AL518" s="94"/>
      <c r="AM518" s="94"/>
      <c r="AN518" s="94"/>
      <c r="AO518" s="94"/>
      <c r="AP518" s="94"/>
      <c r="AQ518" s="94"/>
      <c r="AR518" s="94"/>
      <c r="AS518" s="94"/>
      <c r="AT518" s="94"/>
      <c r="AU518" s="94"/>
      <c r="AV518" s="94"/>
      <c r="AW518" s="94"/>
      <c r="AX518" s="94"/>
      <c r="AY518" s="94"/>
      <c r="AZ518" s="94"/>
      <c r="BA518" s="95"/>
    </row>
    <row r="519" spans="1:53" s="87" customFormat="1">
      <c r="A519" s="90" t="str">
        <f t="shared" si="32"/>
        <v/>
      </c>
      <c r="B519" s="98">
        <v>28</v>
      </c>
      <c r="C519" s="94" t="s">
        <v>210</v>
      </c>
      <c r="D519" s="94">
        <v>8</v>
      </c>
      <c r="E519" s="94">
        <v>-3</v>
      </c>
      <c r="F519" s="94" t="s">
        <v>210</v>
      </c>
      <c r="G519" s="94" t="s">
        <v>210</v>
      </c>
      <c r="H519" s="94">
        <v>-1</v>
      </c>
      <c r="I519" s="94">
        <v>-6</v>
      </c>
      <c r="J519" s="94" t="s">
        <v>210</v>
      </c>
      <c r="K519" s="94" t="s">
        <v>210</v>
      </c>
      <c r="L519" s="94">
        <v>2</v>
      </c>
      <c r="M519" s="94">
        <v>-4</v>
      </c>
      <c r="N519" s="94" t="s">
        <v>210</v>
      </c>
      <c r="O519" s="94" t="s">
        <v>210</v>
      </c>
      <c r="P519" s="94">
        <v>7</v>
      </c>
      <c r="Q519" s="94">
        <v>-5</v>
      </c>
      <c r="R519" s="94" t="s">
        <v>210</v>
      </c>
      <c r="S519" s="94" t="s">
        <v>210</v>
      </c>
      <c r="T519" s="94">
        <v>6</v>
      </c>
      <c r="U519" s="94">
        <v>-8</v>
      </c>
      <c r="V519" s="94" t="s">
        <v>210</v>
      </c>
      <c r="W519" s="94" t="s">
        <v>210</v>
      </c>
      <c r="X519" s="94">
        <v>-2</v>
      </c>
      <c r="Y519" s="94">
        <v>3</v>
      </c>
      <c r="Z519" s="94" t="s">
        <v>210</v>
      </c>
      <c r="AA519" s="94" t="s">
        <v>210</v>
      </c>
      <c r="AB519" s="94">
        <v>4</v>
      </c>
      <c r="AC519" s="94">
        <v>1</v>
      </c>
      <c r="AD519" s="94" t="s">
        <v>210</v>
      </c>
      <c r="AE519" s="94" t="s">
        <v>210</v>
      </c>
      <c r="AF519" s="94">
        <v>-7</v>
      </c>
      <c r="AG519" s="94"/>
      <c r="AH519" s="94"/>
      <c r="AI519" s="94"/>
      <c r="AJ519" s="94"/>
      <c r="AK519" s="94"/>
      <c r="AL519" s="94"/>
      <c r="AM519" s="94"/>
      <c r="AN519" s="94"/>
      <c r="AO519" s="94"/>
      <c r="AP519" s="94"/>
      <c r="AQ519" s="94"/>
      <c r="AR519" s="94"/>
      <c r="AS519" s="94"/>
      <c r="AT519" s="94"/>
      <c r="AU519" s="94"/>
      <c r="AV519" s="94"/>
      <c r="AW519" s="94"/>
      <c r="AX519" s="94"/>
      <c r="AY519" s="94"/>
      <c r="AZ519" s="94"/>
      <c r="BA519" s="95"/>
    </row>
    <row r="520" spans="1:53" s="87" customFormat="1">
      <c r="A520" s="90" t="str">
        <f t="shared" si="32"/>
        <v/>
      </c>
      <c r="B520" s="98">
        <v>29</v>
      </c>
      <c r="C520" s="94" t="s">
        <v>210</v>
      </c>
      <c r="D520" s="94">
        <v>-6</v>
      </c>
      <c r="E520" s="94">
        <v>5</v>
      </c>
      <c r="F520" s="94" t="s">
        <v>210</v>
      </c>
      <c r="G520" s="94" t="s">
        <v>210</v>
      </c>
      <c r="H520" s="94">
        <v>2</v>
      </c>
      <c r="I520" s="94">
        <v>-8</v>
      </c>
      <c r="J520" s="94" t="s">
        <v>210</v>
      </c>
      <c r="K520" s="94" t="s">
        <v>210</v>
      </c>
      <c r="L520" s="94">
        <v>-4</v>
      </c>
      <c r="M520" s="94">
        <v>-3</v>
      </c>
      <c r="N520" s="94" t="s">
        <v>210</v>
      </c>
      <c r="O520" s="94" t="s">
        <v>210</v>
      </c>
      <c r="P520" s="94">
        <v>-7</v>
      </c>
      <c r="Q520" s="94">
        <v>6</v>
      </c>
      <c r="R520" s="94" t="s">
        <v>210</v>
      </c>
      <c r="S520" s="94" t="s">
        <v>210</v>
      </c>
      <c r="T520" s="94">
        <v>8</v>
      </c>
      <c r="U520" s="94">
        <v>-2</v>
      </c>
      <c r="V520" s="94" t="s">
        <v>210</v>
      </c>
      <c r="W520" s="94" t="s">
        <v>210</v>
      </c>
      <c r="X520" s="94">
        <v>3</v>
      </c>
      <c r="Y520" s="94">
        <v>4</v>
      </c>
      <c r="Z520" s="94" t="s">
        <v>210</v>
      </c>
      <c r="AA520" s="94" t="s">
        <v>210</v>
      </c>
      <c r="AB520" s="94">
        <v>-5</v>
      </c>
      <c r="AC520" s="94">
        <v>7</v>
      </c>
      <c r="AD520" s="94" t="s">
        <v>210</v>
      </c>
      <c r="AE520" s="94" t="s">
        <v>210</v>
      </c>
      <c r="AF520" s="94">
        <v>1</v>
      </c>
      <c r="AG520" s="94"/>
      <c r="AH520" s="94"/>
      <c r="AI520" s="94"/>
      <c r="AJ520" s="94"/>
      <c r="AK520" s="94"/>
      <c r="AL520" s="94"/>
      <c r="AM520" s="94"/>
      <c r="AN520" s="94"/>
      <c r="AO520" s="94"/>
      <c r="AP520" s="94"/>
      <c r="AQ520" s="94"/>
      <c r="AR520" s="94"/>
      <c r="AS520" s="94"/>
      <c r="AT520" s="94"/>
      <c r="AU520" s="94"/>
      <c r="AV520" s="94"/>
      <c r="AW520" s="94"/>
      <c r="AX520" s="94"/>
      <c r="AY520" s="94"/>
      <c r="AZ520" s="94"/>
      <c r="BA520" s="95"/>
    </row>
    <row r="521" spans="1:53" s="87" customFormat="1">
      <c r="A521" s="90" t="str">
        <f t="shared" si="32"/>
        <v/>
      </c>
      <c r="B521" s="98">
        <v>30</v>
      </c>
      <c r="C521" s="94" t="s">
        <v>210</v>
      </c>
      <c r="D521" s="94">
        <v>7</v>
      </c>
      <c r="E521" s="94">
        <v>3</v>
      </c>
      <c r="F521" s="94" t="s">
        <v>210</v>
      </c>
      <c r="G521" s="94" t="s">
        <v>210</v>
      </c>
      <c r="H521" s="94">
        <v>5</v>
      </c>
      <c r="I521" s="94">
        <v>-2</v>
      </c>
      <c r="J521" s="94" t="s">
        <v>210</v>
      </c>
      <c r="K521" s="94" t="s">
        <v>210</v>
      </c>
      <c r="L521" s="94">
        <v>8</v>
      </c>
      <c r="M521" s="94">
        <v>-6</v>
      </c>
      <c r="N521" s="94" t="s">
        <v>210</v>
      </c>
      <c r="O521" s="94" t="s">
        <v>210</v>
      </c>
      <c r="P521" s="94">
        <v>1</v>
      </c>
      <c r="Q521" s="94">
        <v>-7</v>
      </c>
      <c r="R521" s="94" t="s">
        <v>210</v>
      </c>
      <c r="S521" s="94" t="s">
        <v>210</v>
      </c>
      <c r="T521" s="94">
        <v>-5</v>
      </c>
      <c r="U521" s="94">
        <v>4</v>
      </c>
      <c r="V521" s="94" t="s">
        <v>210</v>
      </c>
      <c r="W521" s="94" t="s">
        <v>210</v>
      </c>
      <c r="X521" s="94">
        <v>-8</v>
      </c>
      <c r="Y521" s="94">
        <v>6</v>
      </c>
      <c r="Z521" s="94" t="s">
        <v>210</v>
      </c>
      <c r="AA521" s="94" t="s">
        <v>210</v>
      </c>
      <c r="AB521" s="94">
        <v>-3</v>
      </c>
      <c r="AC521" s="94">
        <v>2</v>
      </c>
      <c r="AD521" s="94" t="s">
        <v>210</v>
      </c>
      <c r="AE521" s="94" t="s">
        <v>210</v>
      </c>
      <c r="AF521" s="94">
        <v>-1</v>
      </c>
      <c r="AG521" s="94"/>
      <c r="AH521" s="94"/>
      <c r="AI521" s="94"/>
      <c r="AJ521" s="94"/>
      <c r="AK521" s="94"/>
      <c r="AL521" s="94"/>
      <c r="AM521" s="94"/>
      <c r="AN521" s="94"/>
      <c r="AO521" s="94"/>
      <c r="AP521" s="94"/>
      <c r="AQ521" s="94"/>
      <c r="AR521" s="94"/>
      <c r="AS521" s="94"/>
      <c r="AT521" s="94"/>
      <c r="AU521" s="94"/>
      <c r="AV521" s="94"/>
      <c r="AW521" s="94"/>
      <c r="AX521" s="94"/>
      <c r="AY521" s="94"/>
      <c r="AZ521" s="94"/>
      <c r="BA521" s="95"/>
    </row>
    <row r="522" spans="1:53" s="87" customFormat="1">
      <c r="A522" s="90" t="str">
        <f t="shared" si="32"/>
        <v/>
      </c>
      <c r="B522" s="98">
        <v>31</v>
      </c>
      <c r="C522" s="94" t="s">
        <v>210</v>
      </c>
      <c r="D522" s="94">
        <v>-3</v>
      </c>
      <c r="E522" s="94">
        <v>-8</v>
      </c>
      <c r="F522" s="94" t="s">
        <v>210</v>
      </c>
      <c r="G522" s="94" t="s">
        <v>210</v>
      </c>
      <c r="H522" s="94">
        <v>4</v>
      </c>
      <c r="I522" s="94">
        <v>7</v>
      </c>
      <c r="J522" s="94" t="s">
        <v>210</v>
      </c>
      <c r="K522" s="94" t="s">
        <v>210</v>
      </c>
      <c r="L522" s="94">
        <v>-1</v>
      </c>
      <c r="M522" s="94">
        <v>2</v>
      </c>
      <c r="N522" s="94" t="s">
        <v>210</v>
      </c>
      <c r="O522" s="94" t="s">
        <v>210</v>
      </c>
      <c r="P522" s="94">
        <v>-5</v>
      </c>
      <c r="Q522" s="94">
        <v>3</v>
      </c>
      <c r="R522" s="94" t="s">
        <v>210</v>
      </c>
      <c r="S522" s="94" t="s">
        <v>210</v>
      </c>
      <c r="T522" s="94">
        <v>-6</v>
      </c>
      <c r="U522" s="94">
        <v>1</v>
      </c>
      <c r="V522" s="94" t="s">
        <v>210</v>
      </c>
      <c r="W522" s="94" t="s">
        <v>210</v>
      </c>
      <c r="X522" s="94">
        <v>-4</v>
      </c>
      <c r="Y522" s="94">
        <v>-7</v>
      </c>
      <c r="Z522" s="94" t="s">
        <v>210</v>
      </c>
      <c r="AA522" s="94" t="s">
        <v>210</v>
      </c>
      <c r="AB522" s="94">
        <v>5</v>
      </c>
      <c r="AC522" s="94">
        <v>-2</v>
      </c>
      <c r="AD522" s="94" t="s">
        <v>210</v>
      </c>
      <c r="AE522" s="94" t="s">
        <v>210</v>
      </c>
      <c r="AF522" s="94">
        <v>8</v>
      </c>
      <c r="AG522" s="94"/>
      <c r="AH522" s="94"/>
      <c r="AI522" s="94"/>
      <c r="AJ522" s="94"/>
      <c r="AK522" s="94"/>
      <c r="AL522" s="94"/>
      <c r="AM522" s="94"/>
      <c r="AN522" s="94"/>
      <c r="AO522" s="94"/>
      <c r="AP522" s="94"/>
      <c r="AQ522" s="94"/>
      <c r="AR522" s="94"/>
      <c r="AS522" s="94"/>
      <c r="AT522" s="94"/>
      <c r="AU522" s="94"/>
      <c r="AV522" s="94"/>
      <c r="AW522" s="94"/>
      <c r="AX522" s="94"/>
      <c r="AY522" s="94"/>
      <c r="AZ522" s="94"/>
      <c r="BA522" s="95"/>
    </row>
    <row r="523" spans="1:53" s="87" customFormat="1">
      <c r="A523" s="90" t="str">
        <f t="shared" si="32"/>
        <v/>
      </c>
      <c r="B523" s="98">
        <v>32</v>
      </c>
      <c r="C523" s="94" t="s">
        <v>210</v>
      </c>
      <c r="D523" s="94">
        <v>-1</v>
      </c>
      <c r="E523" s="94">
        <v>2</v>
      </c>
      <c r="F523" s="94" t="s">
        <v>210</v>
      </c>
      <c r="G523" s="94" t="s">
        <v>210</v>
      </c>
      <c r="H523" s="94">
        <v>8</v>
      </c>
      <c r="I523" s="94">
        <v>6</v>
      </c>
      <c r="J523" s="94" t="s">
        <v>210</v>
      </c>
      <c r="K523" s="94" t="s">
        <v>210</v>
      </c>
      <c r="L523" s="94">
        <v>7</v>
      </c>
      <c r="M523" s="94">
        <v>-5</v>
      </c>
      <c r="N523" s="94" t="s">
        <v>210</v>
      </c>
      <c r="O523" s="94" t="s">
        <v>210</v>
      </c>
      <c r="P523" s="94">
        <v>-3</v>
      </c>
      <c r="Q523" s="94">
        <v>1</v>
      </c>
      <c r="R523" s="94" t="s">
        <v>210</v>
      </c>
      <c r="S523" s="94" t="s">
        <v>210</v>
      </c>
      <c r="T523" s="94">
        <v>-4</v>
      </c>
      <c r="U523" s="94">
        <v>-6</v>
      </c>
      <c r="V523" s="94" t="s">
        <v>210</v>
      </c>
      <c r="W523" s="94" t="s">
        <v>210</v>
      </c>
      <c r="X523" s="94">
        <v>5</v>
      </c>
      <c r="Y523" s="94">
        <v>-2</v>
      </c>
      <c r="Z523" s="94" t="s">
        <v>210</v>
      </c>
      <c r="AA523" s="94" t="s">
        <v>210</v>
      </c>
      <c r="AB523" s="94">
        <v>3</v>
      </c>
      <c r="AC523" s="94">
        <v>-7</v>
      </c>
      <c r="AD523" s="94" t="s">
        <v>210</v>
      </c>
      <c r="AE523" s="94" t="s">
        <v>210</v>
      </c>
      <c r="AF523" s="94">
        <v>-8</v>
      </c>
      <c r="AG523" s="94"/>
      <c r="AH523" s="94"/>
      <c r="AI523" s="94"/>
      <c r="AJ523" s="94"/>
      <c r="AK523" s="94"/>
      <c r="AL523" s="94"/>
      <c r="AM523" s="94"/>
      <c r="AN523" s="94"/>
      <c r="AO523" s="94"/>
      <c r="AP523" s="94"/>
      <c r="AQ523" s="94"/>
      <c r="AR523" s="94"/>
      <c r="AS523" s="94"/>
      <c r="AT523" s="94"/>
      <c r="AU523" s="94"/>
      <c r="AV523" s="94"/>
      <c r="AW523" s="94"/>
      <c r="AX523" s="94"/>
      <c r="AY523" s="94"/>
      <c r="AZ523" s="94"/>
      <c r="BA523" s="95"/>
    </row>
    <row r="524" spans="1:53" s="87" customFormat="1">
      <c r="A524" s="90" t="str">
        <f t="shared" ref="A524:A587" si="33">IF(MID(B524,3,2)="08",ROW(),"")</f>
        <v/>
      </c>
      <c r="B524" s="98" t="s">
        <v>479</v>
      </c>
      <c r="C524" s="94"/>
      <c r="D524" s="94"/>
      <c r="E524" s="94"/>
      <c r="F524" s="94"/>
      <c r="G524" s="94"/>
      <c r="H524" s="94"/>
      <c r="I524" s="94"/>
      <c r="J524" s="94"/>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AZ524" s="94"/>
      <c r="BA524" s="95"/>
    </row>
    <row r="525" spans="1:53" s="87" customFormat="1">
      <c r="A525" s="90">
        <f t="shared" si="33"/>
        <v>525</v>
      </c>
      <c r="B525" s="98" t="s">
        <v>480</v>
      </c>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5"/>
    </row>
    <row r="526" spans="1:53" s="87" customFormat="1">
      <c r="A526" s="90" t="str">
        <f t="shared" si="33"/>
        <v/>
      </c>
      <c r="B526" s="98">
        <v>1</v>
      </c>
      <c r="C526" s="94">
        <v>-7</v>
      </c>
      <c r="D526" s="94" t="s">
        <v>210</v>
      </c>
      <c r="E526" s="94" t="s">
        <v>210</v>
      </c>
      <c r="F526" s="94">
        <v>-6</v>
      </c>
      <c r="G526" s="94">
        <v>-2</v>
      </c>
      <c r="H526" s="94" t="s">
        <v>210</v>
      </c>
      <c r="I526" s="94" t="s">
        <v>210</v>
      </c>
      <c r="J526" s="94">
        <v>5</v>
      </c>
      <c r="K526" s="94">
        <v>-3</v>
      </c>
      <c r="L526" s="94" t="s">
        <v>210</v>
      </c>
      <c r="M526" s="94" t="s">
        <v>210</v>
      </c>
      <c r="N526" s="94">
        <v>-4</v>
      </c>
      <c r="O526" s="94">
        <v>-5</v>
      </c>
      <c r="P526" s="94" t="s">
        <v>210</v>
      </c>
      <c r="Q526" s="94" t="s">
        <v>210</v>
      </c>
      <c r="R526" s="94">
        <v>6</v>
      </c>
      <c r="S526" s="94">
        <v>2</v>
      </c>
      <c r="T526" s="94" t="s">
        <v>210</v>
      </c>
      <c r="U526" s="94" t="s">
        <v>210</v>
      </c>
      <c r="V526" s="94">
        <v>3</v>
      </c>
      <c r="W526" s="94">
        <v>4</v>
      </c>
      <c r="X526" s="94" t="s">
        <v>210</v>
      </c>
      <c r="Y526" s="94"/>
      <c r="Z526" s="94"/>
      <c r="AA526" s="94"/>
      <c r="AB526" s="94"/>
      <c r="AC526" s="94"/>
      <c r="AD526" s="94"/>
      <c r="AE526" s="94"/>
      <c r="AF526" s="94"/>
      <c r="AG526" s="94"/>
      <c r="AH526" s="94"/>
      <c r="AI526" s="94"/>
      <c r="AJ526" s="94"/>
      <c r="AK526" s="94"/>
      <c r="AL526" s="94"/>
      <c r="AM526" s="94"/>
      <c r="AN526" s="94"/>
      <c r="AO526" s="94"/>
      <c r="AP526" s="94"/>
      <c r="AQ526" s="94"/>
      <c r="AR526" s="94"/>
      <c r="AS526" s="94"/>
      <c r="AT526" s="94"/>
      <c r="AU526" s="94"/>
      <c r="AV526" s="94"/>
      <c r="AW526" s="94"/>
      <c r="AX526" s="94"/>
      <c r="AY526" s="94"/>
      <c r="AZ526" s="94"/>
      <c r="BA526" s="95"/>
    </row>
    <row r="527" spans="1:53" s="87" customFormat="1">
      <c r="A527" s="90" t="str">
        <f t="shared" si="33"/>
        <v/>
      </c>
      <c r="B527" s="98">
        <v>2</v>
      </c>
      <c r="C527" s="94">
        <v>4</v>
      </c>
      <c r="D527" s="94" t="s">
        <v>210</v>
      </c>
      <c r="E527" s="94" t="s">
        <v>210</v>
      </c>
      <c r="F527" s="94">
        <v>8</v>
      </c>
      <c r="G527" s="94">
        <v>5</v>
      </c>
      <c r="H527" s="94" t="s">
        <v>210</v>
      </c>
      <c r="I527" s="94" t="s">
        <v>210</v>
      </c>
      <c r="J527" s="94">
        <v>-8</v>
      </c>
      <c r="K527" s="94">
        <v>7</v>
      </c>
      <c r="L527" s="94" t="s">
        <v>210</v>
      </c>
      <c r="M527" s="94" t="s">
        <v>210</v>
      </c>
      <c r="N527" s="94">
        <v>3</v>
      </c>
      <c r="O527" s="94">
        <v>2</v>
      </c>
      <c r="P527" s="94" t="s">
        <v>210</v>
      </c>
      <c r="Q527" s="94" t="s">
        <v>210</v>
      </c>
      <c r="R527" s="94">
        <v>-5</v>
      </c>
      <c r="S527" s="94">
        <v>-6</v>
      </c>
      <c r="T527" s="94" t="s">
        <v>210</v>
      </c>
      <c r="U527" s="94" t="s">
        <v>210</v>
      </c>
      <c r="V527" s="94">
        <v>-7</v>
      </c>
      <c r="W527" s="94">
        <v>-4</v>
      </c>
      <c r="X527" s="94" t="s">
        <v>210</v>
      </c>
      <c r="Y527" s="94"/>
      <c r="Z527" s="94"/>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AZ527" s="94"/>
      <c r="BA527" s="95"/>
    </row>
    <row r="528" spans="1:53" s="87" customFormat="1">
      <c r="A528" s="90" t="str">
        <f t="shared" si="33"/>
        <v/>
      </c>
      <c r="B528" s="98">
        <v>3</v>
      </c>
      <c r="C528" s="94">
        <v>3</v>
      </c>
      <c r="D528" s="94" t="s">
        <v>210</v>
      </c>
      <c r="E528" s="94" t="s">
        <v>210</v>
      </c>
      <c r="F528" s="94">
        <v>-5</v>
      </c>
      <c r="G528" s="94">
        <v>4</v>
      </c>
      <c r="H528" s="94" t="s">
        <v>210</v>
      </c>
      <c r="I528" s="94" t="s">
        <v>210</v>
      </c>
      <c r="J528" s="94">
        <v>-7</v>
      </c>
      <c r="K528" s="94">
        <v>-6</v>
      </c>
      <c r="L528" s="94" t="s">
        <v>210</v>
      </c>
      <c r="M528" s="94" t="s">
        <v>210</v>
      </c>
      <c r="N528" s="94">
        <v>-2</v>
      </c>
      <c r="O528" s="94">
        <v>-4</v>
      </c>
      <c r="P528" s="94" t="s">
        <v>210</v>
      </c>
      <c r="Q528" s="94" t="s">
        <v>210</v>
      </c>
      <c r="R528" s="94">
        <v>8</v>
      </c>
      <c r="S528" s="94">
        <v>6</v>
      </c>
      <c r="T528" s="94" t="s">
        <v>210</v>
      </c>
      <c r="U528" s="94" t="s">
        <v>210</v>
      </c>
      <c r="V528" s="94">
        <v>-3</v>
      </c>
      <c r="W528" s="94">
        <v>5</v>
      </c>
      <c r="X528" s="94" t="s">
        <v>210</v>
      </c>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5"/>
    </row>
    <row r="529" spans="1:53" s="87" customFormat="1">
      <c r="A529" s="90" t="str">
        <f t="shared" si="33"/>
        <v/>
      </c>
      <c r="B529" s="98">
        <v>4</v>
      </c>
      <c r="C529" s="94">
        <v>-1</v>
      </c>
      <c r="D529" s="94" t="s">
        <v>210</v>
      </c>
      <c r="E529" s="94" t="s">
        <v>210</v>
      </c>
      <c r="F529" s="94">
        <v>-4</v>
      </c>
      <c r="G529" s="94">
        <v>1</v>
      </c>
      <c r="H529" s="94" t="s">
        <v>210</v>
      </c>
      <c r="I529" s="94" t="s">
        <v>210</v>
      </c>
      <c r="J529" s="94">
        <v>-3</v>
      </c>
      <c r="K529" s="94">
        <v>2</v>
      </c>
      <c r="L529" s="94" t="s">
        <v>210</v>
      </c>
      <c r="M529" s="94" t="s">
        <v>210</v>
      </c>
      <c r="N529" s="94">
        <v>-7</v>
      </c>
      <c r="O529" s="94">
        <v>3</v>
      </c>
      <c r="P529" s="94" t="s">
        <v>210</v>
      </c>
      <c r="Q529" s="94" t="s">
        <v>210</v>
      </c>
      <c r="R529" s="94">
        <v>4</v>
      </c>
      <c r="S529" s="94">
        <v>-2</v>
      </c>
      <c r="T529" s="94" t="s">
        <v>210</v>
      </c>
      <c r="U529" s="94" t="s">
        <v>210</v>
      </c>
      <c r="V529" s="94">
        <v>7</v>
      </c>
      <c r="W529" s="94">
        <v>-5</v>
      </c>
      <c r="X529" s="94" t="s">
        <v>210</v>
      </c>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5"/>
    </row>
    <row r="530" spans="1:53" s="87" customFormat="1">
      <c r="A530" s="90" t="str">
        <f t="shared" si="33"/>
        <v/>
      </c>
      <c r="B530" s="98">
        <v>5</v>
      </c>
      <c r="C530" s="94">
        <v>1</v>
      </c>
      <c r="D530" s="94" t="s">
        <v>210</v>
      </c>
      <c r="E530" s="94" t="s">
        <v>210</v>
      </c>
      <c r="F530" s="94">
        <v>6</v>
      </c>
      <c r="G530" s="94">
        <v>-7</v>
      </c>
      <c r="H530" s="94" t="s">
        <v>210</v>
      </c>
      <c r="I530" s="94" t="s">
        <v>210</v>
      </c>
      <c r="J530" s="94">
        <v>-4</v>
      </c>
      <c r="K530" s="94">
        <v>-5</v>
      </c>
      <c r="L530" s="94" t="s">
        <v>210</v>
      </c>
      <c r="M530" s="94" t="s">
        <v>210</v>
      </c>
      <c r="N530" s="94">
        <v>-3</v>
      </c>
      <c r="O530" s="94">
        <v>4</v>
      </c>
      <c r="P530" s="94" t="s">
        <v>210</v>
      </c>
      <c r="Q530" s="94" t="s">
        <v>210</v>
      </c>
      <c r="R530" s="94">
        <v>7</v>
      </c>
      <c r="S530" s="94">
        <v>-8</v>
      </c>
      <c r="T530" s="94" t="s">
        <v>210</v>
      </c>
      <c r="U530" s="94" t="s">
        <v>210</v>
      </c>
      <c r="V530" s="94">
        <v>5</v>
      </c>
      <c r="W530" s="94">
        <v>3</v>
      </c>
      <c r="X530" s="94" t="s">
        <v>210</v>
      </c>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AZ530" s="94"/>
      <c r="BA530" s="95"/>
    </row>
    <row r="531" spans="1:53" s="87" customFormat="1">
      <c r="A531" s="90" t="str">
        <f t="shared" si="33"/>
        <v/>
      </c>
      <c r="B531" s="98">
        <v>6</v>
      </c>
      <c r="C531" s="94">
        <v>-5</v>
      </c>
      <c r="D531" s="94" t="s">
        <v>210</v>
      </c>
      <c r="E531" s="94" t="s">
        <v>210</v>
      </c>
      <c r="F531" s="94">
        <v>7</v>
      </c>
      <c r="G531" s="94">
        <v>-4</v>
      </c>
      <c r="H531" s="94" t="s">
        <v>210</v>
      </c>
      <c r="I531" s="94" t="s">
        <v>210</v>
      </c>
      <c r="J531" s="94">
        <v>3</v>
      </c>
      <c r="K531" s="94">
        <v>1</v>
      </c>
      <c r="L531" s="94" t="s">
        <v>210</v>
      </c>
      <c r="M531" s="94" t="s">
        <v>210</v>
      </c>
      <c r="N531" s="94">
        <v>5</v>
      </c>
      <c r="O531" s="94">
        <v>-2</v>
      </c>
      <c r="P531" s="94" t="s">
        <v>210</v>
      </c>
      <c r="Q531" s="94" t="s">
        <v>210</v>
      </c>
      <c r="R531" s="94">
        <v>-6</v>
      </c>
      <c r="S531" s="94">
        <v>-1</v>
      </c>
      <c r="T531" s="94" t="s">
        <v>210</v>
      </c>
      <c r="U531" s="94" t="s">
        <v>210</v>
      </c>
      <c r="V531" s="94">
        <v>4</v>
      </c>
      <c r="W531" s="94">
        <v>-3</v>
      </c>
      <c r="X531" s="94" t="s">
        <v>210</v>
      </c>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AZ531" s="94"/>
      <c r="BA531" s="95"/>
    </row>
    <row r="532" spans="1:53" s="87" customFormat="1">
      <c r="A532" s="90" t="str">
        <f t="shared" si="33"/>
        <v/>
      </c>
      <c r="B532" s="98">
        <v>7</v>
      </c>
      <c r="C532" s="94">
        <v>-4</v>
      </c>
      <c r="D532" s="94" t="s">
        <v>210</v>
      </c>
      <c r="E532" s="94" t="s">
        <v>210</v>
      </c>
      <c r="F532" s="94">
        <v>-7</v>
      </c>
      <c r="G532" s="94">
        <v>2</v>
      </c>
      <c r="H532" s="94" t="s">
        <v>210</v>
      </c>
      <c r="I532" s="94" t="s">
        <v>210</v>
      </c>
      <c r="J532" s="94">
        <v>7</v>
      </c>
      <c r="K532" s="94">
        <v>5</v>
      </c>
      <c r="L532" s="94" t="s">
        <v>210</v>
      </c>
      <c r="M532" s="94" t="s">
        <v>210</v>
      </c>
      <c r="N532" s="94">
        <v>8</v>
      </c>
      <c r="O532" s="94">
        <v>-3</v>
      </c>
      <c r="P532" s="94" t="s">
        <v>210</v>
      </c>
      <c r="Q532" s="94" t="s">
        <v>210</v>
      </c>
      <c r="R532" s="94">
        <v>-2</v>
      </c>
      <c r="S532" s="94">
        <v>4</v>
      </c>
      <c r="T532" s="94" t="s">
        <v>210</v>
      </c>
      <c r="U532" s="94" t="s">
        <v>210</v>
      </c>
      <c r="V532" s="94">
        <v>-8</v>
      </c>
      <c r="W532" s="94">
        <v>6</v>
      </c>
      <c r="X532" s="94" t="s">
        <v>210</v>
      </c>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5"/>
    </row>
    <row r="533" spans="1:53" s="87" customFormat="1">
      <c r="A533" s="90" t="str">
        <f t="shared" si="33"/>
        <v/>
      </c>
      <c r="B533" s="98">
        <v>8</v>
      </c>
      <c r="C533" s="94">
        <v>7</v>
      </c>
      <c r="D533" s="94" t="s">
        <v>210</v>
      </c>
      <c r="E533" s="94" t="s">
        <v>210</v>
      </c>
      <c r="F533" s="94">
        <v>4</v>
      </c>
      <c r="G533" s="94">
        <v>-3</v>
      </c>
      <c r="H533" s="94" t="s">
        <v>210</v>
      </c>
      <c r="I533" s="94" t="s">
        <v>210</v>
      </c>
      <c r="J533" s="94">
        <v>8</v>
      </c>
      <c r="K533" s="94">
        <v>6</v>
      </c>
      <c r="L533" s="94" t="s">
        <v>210</v>
      </c>
      <c r="M533" s="94" t="s">
        <v>210</v>
      </c>
      <c r="N533" s="94">
        <v>-5</v>
      </c>
      <c r="O533" s="94">
        <v>-8</v>
      </c>
      <c r="P533" s="94" t="s">
        <v>210</v>
      </c>
      <c r="Q533" s="94" t="s">
        <v>210</v>
      </c>
      <c r="R533" s="94">
        <v>-7</v>
      </c>
      <c r="S533" s="94">
        <v>5</v>
      </c>
      <c r="T533" s="94" t="s">
        <v>210</v>
      </c>
      <c r="U533" s="94" t="s">
        <v>210</v>
      </c>
      <c r="V533" s="94">
        <v>-1</v>
      </c>
      <c r="W533" s="94">
        <v>-6</v>
      </c>
      <c r="X533" s="94" t="s">
        <v>210</v>
      </c>
      <c r="Y533" s="94"/>
      <c r="Z533" s="94"/>
      <c r="AA533" s="94"/>
      <c r="AB533" s="94"/>
      <c r="AC533" s="94"/>
      <c r="AD533" s="94"/>
      <c r="AE533" s="94"/>
      <c r="AF533" s="94"/>
      <c r="AG533" s="94"/>
      <c r="AH533" s="94"/>
      <c r="AI533" s="94"/>
      <c r="AJ533" s="94"/>
      <c r="AK533" s="94"/>
      <c r="AL533" s="94"/>
      <c r="AM533" s="94"/>
      <c r="AN533" s="94"/>
      <c r="AO533" s="94"/>
      <c r="AP533" s="94"/>
      <c r="AQ533" s="94"/>
      <c r="AR533" s="94"/>
      <c r="AS533" s="94"/>
      <c r="AT533" s="94"/>
      <c r="AU533" s="94"/>
      <c r="AV533" s="94"/>
      <c r="AW533" s="94"/>
      <c r="AX533" s="94"/>
      <c r="AY533" s="94"/>
      <c r="AZ533" s="94"/>
      <c r="BA533" s="95"/>
    </row>
    <row r="534" spans="1:53" s="87" customFormat="1">
      <c r="A534" s="90" t="str">
        <f t="shared" si="33"/>
        <v/>
      </c>
      <c r="B534" s="98">
        <v>9</v>
      </c>
      <c r="C534" s="94">
        <v>5</v>
      </c>
      <c r="D534" s="94" t="s">
        <v>210</v>
      </c>
      <c r="E534" s="94" t="s">
        <v>210</v>
      </c>
      <c r="F534" s="94">
        <v>-8</v>
      </c>
      <c r="G534" s="94">
        <v>7</v>
      </c>
      <c r="H534" s="94" t="s">
        <v>210</v>
      </c>
      <c r="I534" s="94" t="s">
        <v>210</v>
      </c>
      <c r="J534" s="94">
        <v>6</v>
      </c>
      <c r="K534" s="94">
        <v>3</v>
      </c>
      <c r="L534" s="94" t="s">
        <v>210</v>
      </c>
      <c r="M534" s="94" t="s">
        <v>210</v>
      </c>
      <c r="N534" s="94">
        <v>2</v>
      </c>
      <c r="O534" s="94">
        <v>-6</v>
      </c>
      <c r="P534" s="94" t="s">
        <v>210</v>
      </c>
      <c r="Q534" s="94" t="s">
        <v>210</v>
      </c>
      <c r="R534" s="94">
        <v>-4</v>
      </c>
      <c r="S534" s="94">
        <v>-5</v>
      </c>
      <c r="T534" s="94" t="s">
        <v>210</v>
      </c>
      <c r="U534" s="94" t="s">
        <v>210</v>
      </c>
      <c r="V534" s="94">
        <v>8</v>
      </c>
      <c r="W534" s="94">
        <v>-2</v>
      </c>
      <c r="X534" s="94" t="s">
        <v>210</v>
      </c>
      <c r="Y534" s="94"/>
      <c r="Z534" s="94"/>
      <c r="AA534" s="94"/>
      <c r="AB534" s="94"/>
      <c r="AC534" s="94"/>
      <c r="AD534" s="94"/>
      <c r="AE534" s="94"/>
      <c r="AF534" s="94"/>
      <c r="AG534" s="94"/>
      <c r="AH534" s="94"/>
      <c r="AI534" s="94"/>
      <c r="AJ534" s="94"/>
      <c r="AK534" s="94"/>
      <c r="AL534" s="94"/>
      <c r="AM534" s="94"/>
      <c r="AN534" s="94"/>
      <c r="AO534" s="94"/>
      <c r="AP534" s="94"/>
      <c r="AQ534" s="94"/>
      <c r="AR534" s="94"/>
      <c r="AS534" s="94"/>
      <c r="AT534" s="94"/>
      <c r="AU534" s="94"/>
      <c r="AV534" s="94"/>
      <c r="AW534" s="94"/>
      <c r="AX534" s="94"/>
      <c r="AY534" s="94"/>
      <c r="AZ534" s="94"/>
      <c r="BA534" s="95"/>
    </row>
    <row r="535" spans="1:53" s="87" customFormat="1">
      <c r="A535" s="90" t="str">
        <f t="shared" si="33"/>
        <v/>
      </c>
      <c r="B535" s="98">
        <v>10</v>
      </c>
      <c r="C535" s="94">
        <v>8</v>
      </c>
      <c r="D535" s="94" t="s">
        <v>210</v>
      </c>
      <c r="E535" s="94" t="s">
        <v>210</v>
      </c>
      <c r="F535" s="94">
        <v>-2</v>
      </c>
      <c r="G535" s="94">
        <v>-5</v>
      </c>
      <c r="H535" s="94" t="s">
        <v>210</v>
      </c>
      <c r="I535" s="94" t="s">
        <v>210</v>
      </c>
      <c r="J535" s="94">
        <v>4</v>
      </c>
      <c r="K535" s="94">
        <v>-1</v>
      </c>
      <c r="L535" s="94" t="s">
        <v>210</v>
      </c>
      <c r="M535" s="94" t="s">
        <v>210</v>
      </c>
      <c r="N535" s="94">
        <v>7</v>
      </c>
      <c r="O535" s="94">
        <v>5</v>
      </c>
      <c r="P535" s="94" t="s">
        <v>210</v>
      </c>
      <c r="Q535" s="94" t="s">
        <v>210</v>
      </c>
      <c r="R535" s="94">
        <v>-8</v>
      </c>
      <c r="S535" s="94">
        <v>-4</v>
      </c>
      <c r="T535" s="94" t="s">
        <v>210</v>
      </c>
      <c r="U535" s="94" t="s">
        <v>210</v>
      </c>
      <c r="V535" s="94">
        <v>1</v>
      </c>
      <c r="W535" s="94">
        <v>2</v>
      </c>
      <c r="X535" s="94" t="s">
        <v>210</v>
      </c>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5"/>
    </row>
    <row r="536" spans="1:53" s="87" customFormat="1">
      <c r="A536" s="90" t="str">
        <f t="shared" si="33"/>
        <v/>
      </c>
      <c r="B536" s="98">
        <v>11</v>
      </c>
      <c r="C536" s="94">
        <v>-3</v>
      </c>
      <c r="D536" s="94" t="s">
        <v>210</v>
      </c>
      <c r="E536" s="94" t="s">
        <v>210</v>
      </c>
      <c r="F536" s="94">
        <v>2</v>
      </c>
      <c r="G536" s="94">
        <v>3</v>
      </c>
      <c r="H536" s="94" t="s">
        <v>210</v>
      </c>
      <c r="I536" s="94" t="s">
        <v>210</v>
      </c>
      <c r="J536" s="94">
        <v>-5</v>
      </c>
      <c r="K536" s="94">
        <v>-2</v>
      </c>
      <c r="L536" s="94" t="s">
        <v>210</v>
      </c>
      <c r="M536" s="94" t="s">
        <v>210</v>
      </c>
      <c r="N536" s="94">
        <v>-8</v>
      </c>
      <c r="O536" s="94">
        <v>6</v>
      </c>
      <c r="P536" s="94" t="s">
        <v>210</v>
      </c>
      <c r="Q536" s="94" t="s">
        <v>210</v>
      </c>
      <c r="R536" s="94">
        <v>5</v>
      </c>
      <c r="S536" s="94">
        <v>8</v>
      </c>
      <c r="T536" s="94" t="s">
        <v>210</v>
      </c>
      <c r="U536" s="94" t="s">
        <v>210</v>
      </c>
      <c r="V536" s="94">
        <v>-4</v>
      </c>
      <c r="W536" s="94">
        <v>-7</v>
      </c>
      <c r="X536" s="94" t="s">
        <v>210</v>
      </c>
      <c r="Y536" s="94"/>
      <c r="Z536" s="94"/>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5"/>
    </row>
    <row r="537" spans="1:53" s="87" customFormat="1">
      <c r="A537" s="90" t="str">
        <f t="shared" si="33"/>
        <v/>
      </c>
      <c r="B537" s="99">
        <v>12</v>
      </c>
      <c r="C537" s="92">
        <v>-8</v>
      </c>
      <c r="D537" s="92" t="s">
        <v>210</v>
      </c>
      <c r="E537" s="92" t="s">
        <v>210</v>
      </c>
      <c r="F537" s="92">
        <v>5</v>
      </c>
      <c r="G537" s="92">
        <v>-1</v>
      </c>
      <c r="H537" s="92" t="s">
        <v>210</v>
      </c>
      <c r="I537" s="92" t="s">
        <v>210</v>
      </c>
      <c r="J537" s="92">
        <v>-6</v>
      </c>
      <c r="K537" s="92">
        <v>-7</v>
      </c>
      <c r="L537" s="92" t="s">
        <v>210</v>
      </c>
      <c r="M537" s="92" t="s">
        <v>210</v>
      </c>
      <c r="N537" s="92">
        <v>4</v>
      </c>
      <c r="O537" s="92">
        <v>8</v>
      </c>
      <c r="P537" s="92" t="s">
        <v>210</v>
      </c>
      <c r="Q537" s="92" t="s">
        <v>210</v>
      </c>
      <c r="R537" s="92">
        <v>2</v>
      </c>
      <c r="S537" s="92">
        <v>1</v>
      </c>
      <c r="T537" s="92" t="s">
        <v>210</v>
      </c>
      <c r="U537" s="92" t="s">
        <v>210</v>
      </c>
      <c r="V537" s="92">
        <v>-5</v>
      </c>
      <c r="W537" s="92">
        <v>7</v>
      </c>
      <c r="X537" s="92" t="s">
        <v>210</v>
      </c>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5"/>
    </row>
    <row r="538" spans="1:53" s="87" customFormat="1">
      <c r="A538" s="90" t="str">
        <f t="shared" si="33"/>
        <v/>
      </c>
      <c r="B538" s="98">
        <v>13</v>
      </c>
      <c r="C538" s="94" t="s">
        <v>210</v>
      </c>
      <c r="D538" s="94">
        <v>7</v>
      </c>
      <c r="E538" s="94">
        <v>3</v>
      </c>
      <c r="F538" s="94" t="s">
        <v>210</v>
      </c>
      <c r="G538" s="94" t="s">
        <v>210</v>
      </c>
      <c r="H538" s="94">
        <v>-2</v>
      </c>
      <c r="I538" s="94">
        <v>4</v>
      </c>
      <c r="J538" s="94" t="s">
        <v>210</v>
      </c>
      <c r="K538" s="94" t="s">
        <v>210</v>
      </c>
      <c r="L538" s="94">
        <v>-7</v>
      </c>
      <c r="M538" s="94">
        <v>5</v>
      </c>
      <c r="N538" s="94" t="s">
        <v>210</v>
      </c>
      <c r="O538" s="94" t="s">
        <v>210</v>
      </c>
      <c r="P538" s="94">
        <v>-3</v>
      </c>
      <c r="Q538" s="94">
        <v>-4</v>
      </c>
      <c r="R538" s="94" t="s">
        <v>210</v>
      </c>
      <c r="S538" s="94" t="s">
        <v>210</v>
      </c>
      <c r="T538" s="94">
        <v>-1</v>
      </c>
      <c r="U538" s="94">
        <v>-5</v>
      </c>
      <c r="V538" s="94" t="s">
        <v>210</v>
      </c>
      <c r="W538" s="94" t="s">
        <v>210</v>
      </c>
      <c r="X538" s="94">
        <v>2</v>
      </c>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5"/>
    </row>
    <row r="539" spans="1:53" s="87" customFormat="1">
      <c r="A539" s="90" t="str">
        <f t="shared" si="33"/>
        <v/>
      </c>
      <c r="B539" s="98">
        <v>14</v>
      </c>
      <c r="C539" s="94" t="s">
        <v>210</v>
      </c>
      <c r="D539" s="94">
        <v>-6</v>
      </c>
      <c r="E539" s="94">
        <v>-7</v>
      </c>
      <c r="F539" s="94" t="s">
        <v>210</v>
      </c>
      <c r="G539" s="94" t="s">
        <v>210</v>
      </c>
      <c r="H539" s="94">
        <v>-8</v>
      </c>
      <c r="I539" s="94">
        <v>2</v>
      </c>
      <c r="J539" s="94" t="s">
        <v>210</v>
      </c>
      <c r="K539" s="94" t="s">
        <v>210</v>
      </c>
      <c r="L539" s="94">
        <v>-5</v>
      </c>
      <c r="M539" s="94">
        <v>3</v>
      </c>
      <c r="N539" s="94" t="s">
        <v>210</v>
      </c>
      <c r="O539" s="94" t="s">
        <v>210</v>
      </c>
      <c r="P539" s="94">
        <v>6</v>
      </c>
      <c r="Q539" s="94">
        <v>1</v>
      </c>
      <c r="R539" s="94" t="s">
        <v>210</v>
      </c>
      <c r="S539" s="94" t="s">
        <v>210</v>
      </c>
      <c r="T539" s="94">
        <v>4</v>
      </c>
      <c r="U539" s="94">
        <v>-3</v>
      </c>
      <c r="V539" s="94" t="s">
        <v>210</v>
      </c>
      <c r="W539" s="94" t="s">
        <v>210</v>
      </c>
      <c r="X539" s="94">
        <v>-2</v>
      </c>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5"/>
    </row>
    <row r="540" spans="1:53" s="87" customFormat="1">
      <c r="A540" s="90" t="str">
        <f t="shared" si="33"/>
        <v/>
      </c>
      <c r="B540" s="98">
        <v>15</v>
      </c>
      <c r="C540" s="94" t="s">
        <v>210</v>
      </c>
      <c r="D540" s="94">
        <v>4</v>
      </c>
      <c r="E540" s="94">
        <v>-6</v>
      </c>
      <c r="F540" s="94" t="s">
        <v>210</v>
      </c>
      <c r="G540" s="94" t="s">
        <v>210</v>
      </c>
      <c r="H540" s="94">
        <v>-1</v>
      </c>
      <c r="I540" s="94">
        <v>-3</v>
      </c>
      <c r="J540" s="94" t="s">
        <v>210</v>
      </c>
      <c r="K540" s="94" t="s">
        <v>210</v>
      </c>
      <c r="L540" s="94">
        <v>6</v>
      </c>
      <c r="M540" s="94">
        <v>-7</v>
      </c>
      <c r="N540" s="94" t="s">
        <v>210</v>
      </c>
      <c r="O540" s="94" t="s">
        <v>210</v>
      </c>
      <c r="P540" s="94">
        <v>8</v>
      </c>
      <c r="Q540" s="94">
        <v>3</v>
      </c>
      <c r="R540" s="94" t="s">
        <v>210</v>
      </c>
      <c r="S540" s="94" t="s">
        <v>210</v>
      </c>
      <c r="T540" s="94">
        <v>-4</v>
      </c>
      <c r="U540" s="94">
        <v>5</v>
      </c>
      <c r="V540" s="94" t="s">
        <v>210</v>
      </c>
      <c r="W540" s="94" t="s">
        <v>210</v>
      </c>
      <c r="X540" s="94">
        <v>7</v>
      </c>
      <c r="Y540" s="94"/>
      <c r="Z540" s="94"/>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c r="AW540" s="94"/>
      <c r="AX540" s="94"/>
      <c r="AY540" s="94"/>
      <c r="AZ540" s="94"/>
      <c r="BA540" s="95"/>
    </row>
    <row r="541" spans="1:53" s="87" customFormat="1">
      <c r="A541" s="90" t="str">
        <f t="shared" si="33"/>
        <v/>
      </c>
      <c r="B541" s="98">
        <v>16</v>
      </c>
      <c r="C541" s="94" t="s">
        <v>210</v>
      </c>
      <c r="D541" s="94">
        <v>-3</v>
      </c>
      <c r="E541" s="94">
        <v>-1</v>
      </c>
      <c r="F541" s="94" t="s">
        <v>210</v>
      </c>
      <c r="G541" s="94" t="s">
        <v>210</v>
      </c>
      <c r="H541" s="94">
        <v>7</v>
      </c>
      <c r="I541" s="94">
        <v>-5</v>
      </c>
      <c r="J541" s="94" t="s">
        <v>210</v>
      </c>
      <c r="K541" s="94" t="s">
        <v>210</v>
      </c>
      <c r="L541" s="94">
        <v>-8</v>
      </c>
      <c r="M541" s="94">
        <v>-2</v>
      </c>
      <c r="N541" s="94" t="s">
        <v>210</v>
      </c>
      <c r="O541" s="94" t="s">
        <v>210</v>
      </c>
      <c r="P541" s="94">
        <v>1</v>
      </c>
      <c r="Q541" s="94">
        <v>4</v>
      </c>
      <c r="R541" s="94" t="s">
        <v>210</v>
      </c>
      <c r="S541" s="94" t="s">
        <v>210</v>
      </c>
      <c r="T541" s="94">
        <v>8</v>
      </c>
      <c r="U541" s="94">
        <v>3</v>
      </c>
      <c r="V541" s="94" t="s">
        <v>210</v>
      </c>
      <c r="W541" s="94" t="s">
        <v>210</v>
      </c>
      <c r="X541" s="94">
        <v>-7</v>
      </c>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5"/>
    </row>
    <row r="542" spans="1:53" s="87" customFormat="1">
      <c r="A542" s="90" t="str">
        <f t="shared" si="33"/>
        <v/>
      </c>
      <c r="B542" s="98">
        <v>17</v>
      </c>
      <c r="C542" s="94" t="s">
        <v>210</v>
      </c>
      <c r="D542" s="94">
        <v>2</v>
      </c>
      <c r="E542" s="94">
        <v>4</v>
      </c>
      <c r="F542" s="94" t="s">
        <v>210</v>
      </c>
      <c r="G542" s="94" t="s">
        <v>210</v>
      </c>
      <c r="H542" s="94">
        <v>1</v>
      </c>
      <c r="I542" s="94">
        <v>-2</v>
      </c>
      <c r="J542" s="94" t="s">
        <v>210</v>
      </c>
      <c r="K542" s="94" t="s">
        <v>210</v>
      </c>
      <c r="L542" s="94">
        <v>-1</v>
      </c>
      <c r="M542" s="94">
        <v>-4</v>
      </c>
      <c r="N542" s="94" t="s">
        <v>210</v>
      </c>
      <c r="O542" s="94" t="s">
        <v>210</v>
      </c>
      <c r="P542" s="94">
        <v>3</v>
      </c>
      <c r="Q542" s="94">
        <v>5</v>
      </c>
      <c r="R542" s="94" t="s">
        <v>210</v>
      </c>
      <c r="S542" s="94" t="s">
        <v>210</v>
      </c>
      <c r="T542" s="94">
        <v>-8</v>
      </c>
      <c r="U542" s="94">
        <v>7</v>
      </c>
      <c r="V542" s="94" t="s">
        <v>210</v>
      </c>
      <c r="W542" s="94" t="s">
        <v>210</v>
      </c>
      <c r="X542" s="94">
        <v>-6</v>
      </c>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5"/>
    </row>
    <row r="543" spans="1:53" s="87" customFormat="1">
      <c r="A543" s="90" t="str">
        <f t="shared" si="33"/>
        <v/>
      </c>
      <c r="B543" s="98">
        <v>18</v>
      </c>
      <c r="C543" s="94" t="s">
        <v>210</v>
      </c>
      <c r="D543" s="94">
        <v>-5</v>
      </c>
      <c r="E543" s="94">
        <v>8</v>
      </c>
      <c r="F543" s="94" t="s">
        <v>210</v>
      </c>
      <c r="G543" s="94" t="s">
        <v>210</v>
      </c>
      <c r="H543" s="94">
        <v>-6</v>
      </c>
      <c r="I543" s="94">
        <v>-1</v>
      </c>
      <c r="J543" s="94" t="s">
        <v>210</v>
      </c>
      <c r="K543" s="94" t="s">
        <v>210</v>
      </c>
      <c r="L543" s="94">
        <v>5</v>
      </c>
      <c r="M543" s="94">
        <v>2</v>
      </c>
      <c r="N543" s="94" t="s">
        <v>210</v>
      </c>
      <c r="O543" s="94" t="s">
        <v>210</v>
      </c>
      <c r="P543" s="94">
        <v>-8</v>
      </c>
      <c r="Q543" s="94">
        <v>-7</v>
      </c>
      <c r="R543" s="94" t="s">
        <v>210</v>
      </c>
      <c r="S543" s="94" t="s">
        <v>210</v>
      </c>
      <c r="T543" s="94">
        <v>1</v>
      </c>
      <c r="U543" s="94">
        <v>-2</v>
      </c>
      <c r="V543" s="94" t="s">
        <v>210</v>
      </c>
      <c r="W543" s="94" t="s">
        <v>210</v>
      </c>
      <c r="X543" s="94">
        <v>6</v>
      </c>
      <c r="Y543" s="94"/>
      <c r="Z543" s="94"/>
      <c r="AA543" s="94"/>
      <c r="AB543" s="94"/>
      <c r="AC543" s="94"/>
      <c r="AD543" s="94"/>
      <c r="AE543" s="94"/>
      <c r="AF543" s="94"/>
      <c r="AG543" s="94"/>
      <c r="AH543" s="94"/>
      <c r="AI543" s="94"/>
      <c r="AJ543" s="94"/>
      <c r="AK543" s="94"/>
      <c r="AL543" s="94"/>
      <c r="AM543" s="94"/>
      <c r="AN543" s="94"/>
      <c r="AO543" s="94"/>
      <c r="AP543" s="94"/>
      <c r="AQ543" s="94"/>
      <c r="AR543" s="94"/>
      <c r="AS543" s="94"/>
      <c r="AT543" s="94"/>
      <c r="AU543" s="94"/>
      <c r="AV543" s="94"/>
      <c r="AW543" s="94"/>
      <c r="AX543" s="94"/>
      <c r="AY543" s="94"/>
      <c r="AZ543" s="94"/>
      <c r="BA543" s="95"/>
    </row>
    <row r="544" spans="1:53" s="87" customFormat="1">
      <c r="A544" s="90" t="str">
        <f t="shared" si="33"/>
        <v/>
      </c>
      <c r="B544" s="98">
        <v>19</v>
      </c>
      <c r="C544" s="94">
        <v>-2</v>
      </c>
      <c r="D544" s="94" t="s">
        <v>210</v>
      </c>
      <c r="E544" s="94" t="s">
        <v>210</v>
      </c>
      <c r="F544" s="94">
        <v>3</v>
      </c>
      <c r="G544" s="94" t="s">
        <v>210</v>
      </c>
      <c r="H544" s="94">
        <v>2</v>
      </c>
      <c r="I544" s="94">
        <v>1</v>
      </c>
      <c r="J544" s="94" t="s">
        <v>210</v>
      </c>
      <c r="K544" s="94" t="s">
        <v>210</v>
      </c>
      <c r="L544" s="94">
        <v>-6</v>
      </c>
      <c r="M544" s="94">
        <v>-3</v>
      </c>
      <c r="N544" s="94" t="s">
        <v>210</v>
      </c>
      <c r="O544" s="94" t="s">
        <v>210</v>
      </c>
      <c r="P544" s="94">
        <v>-1</v>
      </c>
      <c r="Q544" s="94">
        <v>-5</v>
      </c>
      <c r="R544" s="94" t="s">
        <v>210</v>
      </c>
      <c r="S544" s="94" t="s">
        <v>210</v>
      </c>
      <c r="T544" s="94">
        <v>6</v>
      </c>
      <c r="U544" s="94">
        <v>4</v>
      </c>
      <c r="V544" s="94" t="s">
        <v>210</v>
      </c>
      <c r="W544" s="94" t="s">
        <v>210</v>
      </c>
      <c r="X544" s="94">
        <v>8</v>
      </c>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5"/>
    </row>
    <row r="545" spans="1:53" s="87" customFormat="1">
      <c r="A545" s="90" t="str">
        <f t="shared" si="33"/>
        <v/>
      </c>
      <c r="B545" s="98">
        <v>20</v>
      </c>
      <c r="C545" s="94">
        <v>-6</v>
      </c>
      <c r="D545" s="94" t="s">
        <v>210</v>
      </c>
      <c r="E545" s="94" t="s">
        <v>210</v>
      </c>
      <c r="F545" s="94">
        <v>1</v>
      </c>
      <c r="G545" s="94" t="s">
        <v>210</v>
      </c>
      <c r="H545" s="94">
        <v>6</v>
      </c>
      <c r="I545" s="94">
        <v>-4</v>
      </c>
      <c r="J545" s="94" t="s">
        <v>210</v>
      </c>
      <c r="K545" s="94" t="s">
        <v>210</v>
      </c>
      <c r="L545" s="94">
        <v>8</v>
      </c>
      <c r="M545" s="94">
        <v>7</v>
      </c>
      <c r="N545" s="94" t="s">
        <v>210</v>
      </c>
      <c r="O545" s="94" t="s">
        <v>210</v>
      </c>
      <c r="P545" s="94">
        <v>5</v>
      </c>
      <c r="Q545" s="94">
        <v>-1</v>
      </c>
      <c r="R545" s="94" t="s">
        <v>210</v>
      </c>
      <c r="S545" s="94" t="s">
        <v>210</v>
      </c>
      <c r="T545" s="94">
        <v>-2</v>
      </c>
      <c r="U545" s="94">
        <v>-7</v>
      </c>
      <c r="V545" s="94" t="s">
        <v>210</v>
      </c>
      <c r="W545" s="94" t="s">
        <v>210</v>
      </c>
      <c r="X545" s="94">
        <v>-8</v>
      </c>
      <c r="Y545" s="94"/>
      <c r="Z545" s="94"/>
      <c r="AA545" s="94"/>
      <c r="AB545" s="94"/>
      <c r="AC545" s="94"/>
      <c r="AD545" s="94"/>
      <c r="AE545" s="94"/>
      <c r="AF545" s="94"/>
      <c r="AG545" s="94"/>
      <c r="AH545" s="94"/>
      <c r="AI545" s="94"/>
      <c r="AJ545" s="94"/>
      <c r="AK545" s="94"/>
      <c r="AL545" s="94"/>
      <c r="AM545" s="94"/>
      <c r="AN545" s="94"/>
      <c r="AO545" s="94"/>
      <c r="AP545" s="94"/>
      <c r="AQ545" s="94"/>
      <c r="AR545" s="94"/>
      <c r="AS545" s="94"/>
      <c r="AT545" s="94"/>
      <c r="AU545" s="94"/>
      <c r="AV545" s="94"/>
      <c r="AW545" s="94"/>
      <c r="AX545" s="94"/>
      <c r="AY545" s="94"/>
      <c r="AZ545" s="94"/>
      <c r="BA545" s="95"/>
    </row>
    <row r="546" spans="1:53" s="87" customFormat="1">
      <c r="A546" s="90" t="str">
        <f t="shared" si="33"/>
        <v/>
      </c>
      <c r="B546" s="98">
        <v>21</v>
      </c>
      <c r="C546" s="94" t="s">
        <v>210</v>
      </c>
      <c r="D546" s="94">
        <v>-8</v>
      </c>
      <c r="E546" s="94">
        <v>5</v>
      </c>
      <c r="F546" s="94" t="s">
        <v>210</v>
      </c>
      <c r="G546" s="94" t="s">
        <v>210</v>
      </c>
      <c r="H546" s="94">
        <v>-7</v>
      </c>
      <c r="I546" s="94">
        <v>3</v>
      </c>
      <c r="J546" s="94" t="s">
        <v>210</v>
      </c>
      <c r="K546" s="94" t="s">
        <v>210</v>
      </c>
      <c r="L546" s="94">
        <v>1</v>
      </c>
      <c r="M546" s="94">
        <v>-5</v>
      </c>
      <c r="N546" s="94" t="s">
        <v>210</v>
      </c>
      <c r="O546" s="94" t="s">
        <v>210</v>
      </c>
      <c r="P546" s="94">
        <v>-6</v>
      </c>
      <c r="Q546" s="94">
        <v>7</v>
      </c>
      <c r="R546" s="94" t="s">
        <v>210</v>
      </c>
      <c r="S546" s="94" t="s">
        <v>210</v>
      </c>
      <c r="T546" s="94">
        <v>2</v>
      </c>
      <c r="U546" s="94">
        <v>-4</v>
      </c>
      <c r="V546" s="94" t="s">
        <v>210</v>
      </c>
      <c r="W546" s="94" t="s">
        <v>210</v>
      </c>
      <c r="X546" s="94">
        <v>-1</v>
      </c>
      <c r="Y546" s="94"/>
      <c r="Z546" s="94"/>
      <c r="AA546" s="94"/>
      <c r="AB546" s="94"/>
      <c r="AC546" s="94"/>
      <c r="AD546" s="94"/>
      <c r="AE546" s="94"/>
      <c r="AF546" s="94"/>
      <c r="AG546" s="94"/>
      <c r="AH546" s="94"/>
      <c r="AI546" s="94"/>
      <c r="AJ546" s="94"/>
      <c r="AK546" s="94"/>
      <c r="AL546" s="94"/>
      <c r="AM546" s="94"/>
      <c r="AN546" s="94"/>
      <c r="AO546" s="94"/>
      <c r="AP546" s="94"/>
      <c r="AQ546" s="94"/>
      <c r="AR546" s="94"/>
      <c r="AS546" s="94"/>
      <c r="AT546" s="94"/>
      <c r="AU546" s="94"/>
      <c r="AV546" s="94"/>
      <c r="AW546" s="94"/>
      <c r="AX546" s="94"/>
      <c r="AY546" s="94"/>
      <c r="AZ546" s="94"/>
      <c r="BA546" s="95"/>
    </row>
    <row r="547" spans="1:53" s="87" customFormat="1">
      <c r="A547" s="90" t="str">
        <f t="shared" si="33"/>
        <v/>
      </c>
      <c r="B547" s="99">
        <v>22</v>
      </c>
      <c r="C547" s="92" t="s">
        <v>210</v>
      </c>
      <c r="D547" s="92">
        <v>-1</v>
      </c>
      <c r="E547" s="92">
        <v>-2</v>
      </c>
      <c r="F547" s="92" t="s">
        <v>210</v>
      </c>
      <c r="G547" s="92" t="s">
        <v>210</v>
      </c>
      <c r="H547" s="92">
        <v>8</v>
      </c>
      <c r="I547" s="92">
        <v>5</v>
      </c>
      <c r="J547" s="92" t="s">
        <v>210</v>
      </c>
      <c r="K547" s="92" t="s">
        <v>210</v>
      </c>
      <c r="L547" s="92">
        <v>7</v>
      </c>
      <c r="M547" s="92">
        <v>4</v>
      </c>
      <c r="N547" s="92" t="s">
        <v>210</v>
      </c>
      <c r="O547" s="92" t="s">
        <v>210</v>
      </c>
      <c r="P547" s="92">
        <v>-5</v>
      </c>
      <c r="Q547" s="92">
        <v>-3</v>
      </c>
      <c r="R547" s="92" t="s">
        <v>210</v>
      </c>
      <c r="S547" s="92" t="s">
        <v>210</v>
      </c>
      <c r="T547" s="92">
        <v>-6</v>
      </c>
      <c r="U547" s="92">
        <v>2</v>
      </c>
      <c r="V547" s="92" t="s">
        <v>210</v>
      </c>
      <c r="W547" s="92" t="s">
        <v>210</v>
      </c>
      <c r="X547" s="92">
        <v>1</v>
      </c>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5"/>
    </row>
    <row r="548" spans="1:53" s="87" customFormat="1">
      <c r="A548" s="90" t="str">
        <f t="shared" si="33"/>
        <v/>
      </c>
      <c r="B548" s="98">
        <v>23</v>
      </c>
      <c r="C548" s="94" t="s">
        <v>210</v>
      </c>
      <c r="D548" s="94">
        <v>6</v>
      </c>
      <c r="E548" s="94">
        <v>-3</v>
      </c>
      <c r="F548" s="94" t="s">
        <v>210</v>
      </c>
      <c r="G548" s="94">
        <v>-8</v>
      </c>
      <c r="H548" s="94" t="s">
        <v>210</v>
      </c>
      <c r="I548" s="94">
        <v>7</v>
      </c>
      <c r="J548" s="94" t="s">
        <v>210</v>
      </c>
      <c r="K548" s="94" t="s">
        <v>210</v>
      </c>
      <c r="L548" s="94">
        <v>4</v>
      </c>
      <c r="M548" s="94" t="s">
        <v>210</v>
      </c>
      <c r="N548" s="94">
        <v>1</v>
      </c>
      <c r="O548" s="94">
        <v>-7</v>
      </c>
      <c r="P548" s="94" t="s">
        <v>210</v>
      </c>
      <c r="Q548" s="94">
        <v>8</v>
      </c>
      <c r="R548" s="94" t="s">
        <v>210</v>
      </c>
      <c r="S548" s="94" t="s">
        <v>210</v>
      </c>
      <c r="T548" s="94">
        <v>3</v>
      </c>
      <c r="U548" s="94">
        <v>-1</v>
      </c>
      <c r="V548" s="94" t="s">
        <v>210</v>
      </c>
      <c r="W548" s="94" t="s">
        <v>210</v>
      </c>
      <c r="X548" s="94">
        <v>-4</v>
      </c>
      <c r="Y548" s="94"/>
      <c r="Z548" s="94"/>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5"/>
    </row>
    <row r="549" spans="1:53" s="87" customFormat="1">
      <c r="A549" s="90" t="str">
        <f t="shared" si="33"/>
        <v/>
      </c>
      <c r="B549" s="98">
        <v>24</v>
      </c>
      <c r="C549" s="94" t="s">
        <v>210</v>
      </c>
      <c r="D549" s="94">
        <v>-4</v>
      </c>
      <c r="E549" s="94">
        <v>1</v>
      </c>
      <c r="F549" s="94" t="s">
        <v>210</v>
      </c>
      <c r="G549" s="94" t="s">
        <v>210</v>
      </c>
      <c r="H549" s="94">
        <v>5</v>
      </c>
      <c r="I549" s="94">
        <v>8</v>
      </c>
      <c r="J549" s="94" t="s">
        <v>210</v>
      </c>
      <c r="K549" s="94" t="s">
        <v>210</v>
      </c>
      <c r="L549" s="94">
        <v>2</v>
      </c>
      <c r="M549" s="94">
        <v>-1</v>
      </c>
      <c r="N549" s="94" t="s">
        <v>210</v>
      </c>
      <c r="O549" s="94" t="s">
        <v>210</v>
      </c>
      <c r="P549" s="94">
        <v>-7</v>
      </c>
      <c r="Q549" s="94">
        <v>6</v>
      </c>
      <c r="R549" s="94" t="s">
        <v>210</v>
      </c>
      <c r="S549" s="94" t="s">
        <v>210</v>
      </c>
      <c r="T549" s="94">
        <v>-5</v>
      </c>
      <c r="U549" s="94">
        <v>-8</v>
      </c>
      <c r="V549" s="94" t="s">
        <v>210</v>
      </c>
      <c r="W549" s="94" t="s">
        <v>210</v>
      </c>
      <c r="X549" s="94">
        <v>4</v>
      </c>
      <c r="Y549" s="94"/>
      <c r="Z549" s="94"/>
      <c r="AA549" s="94"/>
      <c r="AB549" s="94"/>
      <c r="AC549" s="94"/>
      <c r="AD549" s="94"/>
      <c r="AE549" s="94"/>
      <c r="AF549" s="94"/>
      <c r="AG549" s="94"/>
      <c r="AH549" s="94"/>
      <c r="AI549" s="94"/>
      <c r="AJ549" s="94"/>
      <c r="AK549" s="94"/>
      <c r="AL549" s="94"/>
      <c r="AM549" s="94"/>
      <c r="AN549" s="94"/>
      <c r="AO549" s="94"/>
      <c r="AP549" s="94"/>
      <c r="AQ549" s="94"/>
      <c r="AR549" s="94"/>
      <c r="AS549" s="94"/>
      <c r="AT549" s="94"/>
      <c r="AU549" s="94"/>
      <c r="AV549" s="94"/>
      <c r="AW549" s="94"/>
      <c r="AX549" s="94"/>
      <c r="AY549" s="94"/>
      <c r="AZ549" s="94"/>
      <c r="BA549" s="95"/>
    </row>
    <row r="550" spans="1:53" s="87" customFormat="1">
      <c r="A550" s="90" t="str">
        <f t="shared" si="33"/>
        <v/>
      </c>
      <c r="B550" s="98">
        <v>25</v>
      </c>
      <c r="C550" s="94" t="s">
        <v>210</v>
      </c>
      <c r="D550" s="94">
        <v>-7</v>
      </c>
      <c r="E550" s="94">
        <v>-8</v>
      </c>
      <c r="F550" s="94" t="s">
        <v>210</v>
      </c>
      <c r="G550" s="94">
        <v>6</v>
      </c>
      <c r="H550" s="94" t="s">
        <v>210</v>
      </c>
      <c r="I550" s="94" t="s">
        <v>210</v>
      </c>
      <c r="J550" s="94">
        <v>2</v>
      </c>
      <c r="K550" s="94">
        <v>-4</v>
      </c>
      <c r="L550" s="94" t="s">
        <v>210</v>
      </c>
      <c r="M550" s="94">
        <v>8</v>
      </c>
      <c r="N550" s="94" t="s">
        <v>210</v>
      </c>
      <c r="O550" s="94" t="s">
        <v>210</v>
      </c>
      <c r="P550" s="94">
        <v>-2</v>
      </c>
      <c r="Q550" s="94">
        <v>-6</v>
      </c>
      <c r="R550" s="94" t="s">
        <v>210</v>
      </c>
      <c r="S550" s="94" t="s">
        <v>210</v>
      </c>
      <c r="T550" s="94">
        <v>7</v>
      </c>
      <c r="U550" s="94">
        <v>1</v>
      </c>
      <c r="V550" s="94" t="s">
        <v>210</v>
      </c>
      <c r="W550" s="94" t="s">
        <v>210</v>
      </c>
      <c r="X550" s="94">
        <v>5</v>
      </c>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AZ550" s="94"/>
      <c r="BA550" s="95"/>
    </row>
    <row r="551" spans="1:53" s="87" customFormat="1">
      <c r="A551" s="90" t="str">
        <f t="shared" si="33"/>
        <v/>
      </c>
      <c r="B551" s="98">
        <v>26</v>
      </c>
      <c r="C551" s="94" t="s">
        <v>210</v>
      </c>
      <c r="D551" s="94">
        <v>3</v>
      </c>
      <c r="E551" s="94">
        <v>6</v>
      </c>
      <c r="F551" s="94" t="s">
        <v>210</v>
      </c>
      <c r="G551" s="94" t="s">
        <v>210</v>
      </c>
      <c r="H551" s="94">
        <v>4</v>
      </c>
      <c r="I551" s="94" t="s">
        <v>210</v>
      </c>
      <c r="J551" s="94">
        <v>-1</v>
      </c>
      <c r="K551" s="94">
        <v>-8</v>
      </c>
      <c r="L551" s="94" t="s">
        <v>210</v>
      </c>
      <c r="M551" s="94" t="s">
        <v>210</v>
      </c>
      <c r="N551" s="94">
        <v>-6</v>
      </c>
      <c r="O551" s="94">
        <v>1</v>
      </c>
      <c r="P551" s="94" t="s">
        <v>210</v>
      </c>
      <c r="Q551" s="94">
        <v>-2</v>
      </c>
      <c r="R551" s="94" t="s">
        <v>210</v>
      </c>
      <c r="S551" s="94" t="s">
        <v>210</v>
      </c>
      <c r="T551" s="94">
        <v>-3</v>
      </c>
      <c r="U551" s="94">
        <v>8</v>
      </c>
      <c r="V551" s="94" t="s">
        <v>210</v>
      </c>
      <c r="W551" s="94" t="s">
        <v>210</v>
      </c>
      <c r="X551" s="94">
        <v>-5</v>
      </c>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5"/>
    </row>
    <row r="552" spans="1:53" s="87" customFormat="1">
      <c r="A552" s="90" t="str">
        <f t="shared" si="33"/>
        <v/>
      </c>
      <c r="B552" s="98">
        <v>27</v>
      </c>
      <c r="C552" s="94" t="s">
        <v>210</v>
      </c>
      <c r="D552" s="94">
        <v>5</v>
      </c>
      <c r="E552" s="94">
        <v>7</v>
      </c>
      <c r="F552" s="94" t="s">
        <v>210</v>
      </c>
      <c r="G552" s="94" t="s">
        <v>210</v>
      </c>
      <c r="H552" s="94">
        <v>-4</v>
      </c>
      <c r="I552" s="94">
        <v>-6</v>
      </c>
      <c r="J552" s="94" t="s">
        <v>210</v>
      </c>
      <c r="K552" s="94" t="s">
        <v>210</v>
      </c>
      <c r="L552" s="94">
        <v>-3</v>
      </c>
      <c r="M552" s="94">
        <v>1</v>
      </c>
      <c r="N552" s="94" t="s">
        <v>210</v>
      </c>
      <c r="O552" s="94" t="s">
        <v>210</v>
      </c>
      <c r="P552" s="94">
        <v>4</v>
      </c>
      <c r="Q552" s="94">
        <v>-8</v>
      </c>
      <c r="R552" s="94" t="s">
        <v>210</v>
      </c>
      <c r="S552" s="94" t="s">
        <v>210</v>
      </c>
      <c r="T552" s="94">
        <v>-7</v>
      </c>
      <c r="U552" s="94">
        <v>6</v>
      </c>
      <c r="V552" s="94" t="s">
        <v>210</v>
      </c>
      <c r="W552" s="94" t="s">
        <v>210</v>
      </c>
      <c r="X552" s="94">
        <v>3</v>
      </c>
      <c r="Y552" s="94"/>
      <c r="Z552" s="94"/>
      <c r="AA552" s="94"/>
      <c r="AB552" s="94"/>
      <c r="AC552" s="94"/>
      <c r="AD552" s="94"/>
      <c r="AE552" s="94"/>
      <c r="AF552" s="94"/>
      <c r="AG552" s="94"/>
      <c r="AH552" s="94"/>
      <c r="AI552" s="94"/>
      <c r="AJ552" s="94"/>
      <c r="AK552" s="94"/>
      <c r="AL552" s="94"/>
      <c r="AM552" s="94"/>
      <c r="AN552" s="94"/>
      <c r="AO552" s="94"/>
      <c r="AP552" s="94"/>
      <c r="AQ552" s="94"/>
      <c r="AR552" s="94"/>
      <c r="AS552" s="94"/>
      <c r="AT552" s="94"/>
      <c r="AU552" s="94"/>
      <c r="AV552" s="94"/>
      <c r="AW552" s="94"/>
      <c r="AX552" s="94"/>
      <c r="AY552" s="94"/>
      <c r="AZ552" s="94"/>
      <c r="BA552" s="95"/>
    </row>
    <row r="553" spans="1:53" s="87" customFormat="1">
      <c r="A553" s="90" t="str">
        <f t="shared" si="33"/>
        <v/>
      </c>
      <c r="B553" s="98">
        <v>28</v>
      </c>
      <c r="C553" s="94" t="s">
        <v>210</v>
      </c>
      <c r="D553" s="94">
        <v>1</v>
      </c>
      <c r="E553" s="94">
        <v>-4</v>
      </c>
      <c r="F553" s="94" t="s">
        <v>210</v>
      </c>
      <c r="G553" s="94" t="s">
        <v>210</v>
      </c>
      <c r="H553" s="94">
        <v>-5</v>
      </c>
      <c r="I553" s="94">
        <v>-7</v>
      </c>
      <c r="J553" s="94" t="s">
        <v>210</v>
      </c>
      <c r="K553" s="94">
        <v>8</v>
      </c>
      <c r="L553" s="94" t="s">
        <v>210</v>
      </c>
      <c r="M553" s="94">
        <v>-6</v>
      </c>
      <c r="N553" s="94" t="s">
        <v>210</v>
      </c>
      <c r="O553" s="94" t="s">
        <v>210</v>
      </c>
      <c r="P553" s="94">
        <v>2</v>
      </c>
      <c r="Q553" s="94" t="s">
        <v>210</v>
      </c>
      <c r="R553" s="94">
        <v>-1</v>
      </c>
      <c r="S553" s="94">
        <v>7</v>
      </c>
      <c r="T553" s="94" t="s">
        <v>210</v>
      </c>
      <c r="U553" s="94" t="s">
        <v>210</v>
      </c>
      <c r="V553" s="94">
        <v>6</v>
      </c>
      <c r="W553" s="94" t="s">
        <v>210</v>
      </c>
      <c r="X553" s="94">
        <v>-3</v>
      </c>
      <c r="Y553" s="94"/>
      <c r="Z553" s="94"/>
      <c r="AA553" s="94"/>
      <c r="AB553" s="94"/>
      <c r="AC553" s="94"/>
      <c r="AD553" s="94"/>
      <c r="AE553" s="94"/>
      <c r="AF553" s="94"/>
      <c r="AG553" s="94"/>
      <c r="AH553" s="94"/>
      <c r="AI553" s="94"/>
      <c r="AJ553" s="94"/>
      <c r="AK553" s="94"/>
      <c r="AL553" s="94"/>
      <c r="AM553" s="94"/>
      <c r="AN553" s="94"/>
      <c r="AO553" s="94"/>
      <c r="AP553" s="94"/>
      <c r="AQ553" s="94"/>
      <c r="AR553" s="94"/>
      <c r="AS553" s="94"/>
      <c r="AT553" s="94"/>
      <c r="AU553" s="94"/>
      <c r="AV553" s="94"/>
      <c r="AW553" s="94"/>
      <c r="AX553" s="94"/>
      <c r="AY553" s="94"/>
      <c r="AZ553" s="94"/>
      <c r="BA553" s="95"/>
    </row>
    <row r="554" spans="1:53" s="87" customFormat="1">
      <c r="A554" s="90" t="str">
        <f t="shared" si="33"/>
        <v/>
      </c>
      <c r="B554" s="98">
        <v>29</v>
      </c>
      <c r="C554" s="94" t="s">
        <v>210</v>
      </c>
      <c r="D554" s="94">
        <v>-2</v>
      </c>
      <c r="E554" s="94">
        <v>-5</v>
      </c>
      <c r="F554" s="94" t="s">
        <v>210</v>
      </c>
      <c r="G554" s="94" t="s">
        <v>210</v>
      </c>
      <c r="H554" s="94">
        <v>-3</v>
      </c>
      <c r="I554" s="94">
        <v>6</v>
      </c>
      <c r="J554" s="94" t="s">
        <v>210</v>
      </c>
      <c r="K554" s="94">
        <v>4</v>
      </c>
      <c r="L554" s="94" t="s">
        <v>210</v>
      </c>
      <c r="M554" s="94" t="s">
        <v>210</v>
      </c>
      <c r="N554" s="94">
        <v>-1</v>
      </c>
      <c r="O554" s="94" t="s">
        <v>210</v>
      </c>
      <c r="P554" s="94">
        <v>7</v>
      </c>
      <c r="Q554" s="94">
        <v>2</v>
      </c>
      <c r="R554" s="94" t="s">
        <v>210</v>
      </c>
      <c r="S554" s="94">
        <v>3</v>
      </c>
      <c r="T554" s="94" t="s">
        <v>210</v>
      </c>
      <c r="U554" s="94" t="s">
        <v>210</v>
      </c>
      <c r="V554" s="94">
        <v>-6</v>
      </c>
      <c r="W554" s="94">
        <v>1</v>
      </c>
      <c r="X554" s="94" t="s">
        <v>210</v>
      </c>
      <c r="Y554" s="94"/>
      <c r="Z554" s="94"/>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c r="AW554" s="94"/>
      <c r="AX554" s="94"/>
      <c r="AY554" s="94"/>
      <c r="AZ554" s="94"/>
      <c r="BA554" s="95"/>
    </row>
    <row r="555" spans="1:53" s="87" customFormat="1">
      <c r="A555" s="90" t="str">
        <f t="shared" si="33"/>
        <v/>
      </c>
      <c r="B555" s="98">
        <v>30</v>
      </c>
      <c r="C555" s="94">
        <v>6</v>
      </c>
      <c r="D555" s="94" t="s">
        <v>210</v>
      </c>
      <c r="E555" s="94" t="s">
        <v>210</v>
      </c>
      <c r="F555" s="94">
        <v>-3</v>
      </c>
      <c r="G555" s="94">
        <v>8</v>
      </c>
      <c r="H555" s="94" t="s">
        <v>210</v>
      </c>
      <c r="I555" s="94" t="s">
        <v>210</v>
      </c>
      <c r="J555" s="94">
        <v>1</v>
      </c>
      <c r="K555" s="94" t="s">
        <v>210</v>
      </c>
      <c r="L555" s="94">
        <v>-2</v>
      </c>
      <c r="M555" s="94">
        <v>-8</v>
      </c>
      <c r="N555" s="94" t="s">
        <v>210</v>
      </c>
      <c r="O555" s="94" t="s">
        <v>210</v>
      </c>
      <c r="P555" s="94">
        <v>-4</v>
      </c>
      <c r="Q555" s="94" t="s">
        <v>210</v>
      </c>
      <c r="R555" s="94">
        <v>3</v>
      </c>
      <c r="S555" s="94">
        <v>-7</v>
      </c>
      <c r="T555" s="94" t="s">
        <v>210</v>
      </c>
      <c r="U555" s="94" t="s">
        <v>210</v>
      </c>
      <c r="V555" s="94">
        <v>2</v>
      </c>
      <c r="W555" s="94">
        <v>-1</v>
      </c>
      <c r="X555" s="94" t="s">
        <v>210</v>
      </c>
      <c r="Y555" s="94"/>
      <c r="Z555" s="94"/>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AZ555" s="94"/>
      <c r="BA555" s="95"/>
    </row>
    <row r="556" spans="1:53" s="87" customFormat="1">
      <c r="A556" s="90" t="str">
        <f t="shared" si="33"/>
        <v/>
      </c>
      <c r="B556" s="98">
        <v>31</v>
      </c>
      <c r="C556" s="94" t="s">
        <v>210</v>
      </c>
      <c r="D556" s="94">
        <v>8</v>
      </c>
      <c r="E556" s="94">
        <v>2</v>
      </c>
      <c r="F556" s="94" t="s">
        <v>210</v>
      </c>
      <c r="G556" s="94" t="s">
        <v>210</v>
      </c>
      <c r="H556" s="94">
        <v>3</v>
      </c>
      <c r="I556" s="94" t="s">
        <v>210</v>
      </c>
      <c r="J556" s="94">
        <v>-2</v>
      </c>
      <c r="K556" s="94" t="s">
        <v>210</v>
      </c>
      <c r="L556" s="94">
        <v>-4</v>
      </c>
      <c r="M556" s="94">
        <v>6</v>
      </c>
      <c r="N556" s="94" t="s">
        <v>210</v>
      </c>
      <c r="O556" s="94">
        <v>-1</v>
      </c>
      <c r="P556" s="94" t="s">
        <v>210</v>
      </c>
      <c r="Q556" s="94" t="s">
        <v>210</v>
      </c>
      <c r="R556" s="94">
        <v>-3</v>
      </c>
      <c r="S556" s="94" t="s">
        <v>210</v>
      </c>
      <c r="T556" s="94">
        <v>5</v>
      </c>
      <c r="U556" s="94">
        <v>-6</v>
      </c>
      <c r="V556" s="94" t="s">
        <v>210</v>
      </c>
      <c r="W556" s="94">
        <v>-8</v>
      </c>
      <c r="X556" s="94" t="s">
        <v>210</v>
      </c>
      <c r="Y556" s="94"/>
      <c r="Z556" s="94"/>
      <c r="AA556" s="94"/>
      <c r="AB556" s="94"/>
      <c r="AC556" s="94"/>
      <c r="AD556" s="94"/>
      <c r="AE556" s="94"/>
      <c r="AF556" s="94"/>
      <c r="AG556" s="94"/>
      <c r="AH556" s="94"/>
      <c r="AI556" s="94"/>
      <c r="AJ556" s="94"/>
      <c r="AK556" s="94"/>
      <c r="AL556" s="94"/>
      <c r="AM556" s="94"/>
      <c r="AN556" s="94"/>
      <c r="AO556" s="94"/>
      <c r="AP556" s="94"/>
      <c r="AQ556" s="94"/>
      <c r="AR556" s="94"/>
      <c r="AS556" s="94"/>
      <c r="AT556" s="94"/>
      <c r="AU556" s="94"/>
      <c r="AV556" s="94"/>
      <c r="AW556" s="94"/>
      <c r="AX556" s="94"/>
      <c r="AY556" s="94"/>
      <c r="AZ556" s="94"/>
      <c r="BA556" s="95"/>
    </row>
    <row r="557" spans="1:53" s="87" customFormat="1">
      <c r="A557" s="90" t="str">
        <f t="shared" si="33"/>
        <v/>
      </c>
      <c r="B557" s="98">
        <v>32</v>
      </c>
      <c r="C557" s="94">
        <v>2</v>
      </c>
      <c r="D557" s="94" t="s">
        <v>210</v>
      </c>
      <c r="E557" s="94" t="s">
        <v>210</v>
      </c>
      <c r="F557" s="94">
        <v>-1</v>
      </c>
      <c r="G557" s="94">
        <v>-6</v>
      </c>
      <c r="H557" s="94" t="s">
        <v>210</v>
      </c>
      <c r="I557" s="94">
        <v>-8</v>
      </c>
      <c r="J557" s="94" t="s">
        <v>210</v>
      </c>
      <c r="K557" s="94" t="s">
        <v>210</v>
      </c>
      <c r="L557" s="94">
        <v>3</v>
      </c>
      <c r="M557" s="94" t="s">
        <v>210</v>
      </c>
      <c r="N557" s="94">
        <v>6</v>
      </c>
      <c r="O557" s="94">
        <v>7</v>
      </c>
      <c r="P557" s="94" t="s">
        <v>210</v>
      </c>
      <c r="Q557" s="94" t="s">
        <v>210</v>
      </c>
      <c r="R557" s="94">
        <v>1</v>
      </c>
      <c r="S557" s="94">
        <v>-3</v>
      </c>
      <c r="T557" s="94" t="s">
        <v>210</v>
      </c>
      <c r="U557" s="94" t="s">
        <v>210</v>
      </c>
      <c r="V557" s="94">
        <v>-2</v>
      </c>
      <c r="W557" s="94">
        <v>8</v>
      </c>
      <c r="X557" s="94" t="s">
        <v>210</v>
      </c>
      <c r="Y557" s="94"/>
      <c r="Z557" s="94"/>
      <c r="AA557" s="94"/>
      <c r="AB557" s="94"/>
      <c r="AC557" s="94"/>
      <c r="AD557" s="94"/>
      <c r="AE557" s="94"/>
      <c r="AF557" s="94"/>
      <c r="AG557" s="94"/>
      <c r="AH557" s="94"/>
      <c r="AI557" s="94"/>
      <c r="AJ557" s="94"/>
      <c r="AK557" s="94"/>
      <c r="AL557" s="94"/>
      <c r="AM557" s="94"/>
      <c r="AN557" s="94"/>
      <c r="AO557" s="94"/>
      <c r="AP557" s="94"/>
      <c r="AQ557" s="94"/>
      <c r="AR557" s="94"/>
      <c r="AS557" s="94"/>
      <c r="AT557" s="94"/>
      <c r="AU557" s="94"/>
      <c r="AV557" s="94"/>
      <c r="AW557" s="94"/>
      <c r="AX557" s="94"/>
      <c r="AY557" s="94"/>
      <c r="AZ557" s="94"/>
      <c r="BA557" s="95"/>
    </row>
    <row r="558" spans="1:53" s="87" customFormat="1">
      <c r="A558" s="90" t="str">
        <f t="shared" si="33"/>
        <v/>
      </c>
      <c r="B558" s="98" t="s">
        <v>481</v>
      </c>
      <c r="C558" s="94"/>
      <c r="D558" s="94"/>
      <c r="E558" s="94"/>
      <c r="F558" s="94"/>
      <c r="G558" s="94"/>
      <c r="H558" s="94"/>
      <c r="I558" s="94"/>
      <c r="J558" s="94"/>
      <c r="K558" s="94"/>
      <c r="L558" s="94"/>
      <c r="M558" s="94"/>
      <c r="N558" s="94"/>
      <c r="O558" s="94"/>
      <c r="P558" s="94"/>
      <c r="Q558" s="94"/>
      <c r="R558" s="94"/>
      <c r="S558" s="94"/>
      <c r="T558" s="94"/>
      <c r="U558" s="94"/>
      <c r="V558" s="94"/>
      <c r="W558" s="94"/>
      <c r="X558" s="94"/>
      <c r="Y558" s="94"/>
      <c r="Z558" s="94"/>
      <c r="AA558" s="94"/>
      <c r="AB558" s="94"/>
      <c r="AC558" s="94"/>
      <c r="AD558" s="94"/>
      <c r="AE558" s="94"/>
      <c r="AF558" s="94"/>
      <c r="AG558" s="94"/>
      <c r="AH558" s="94"/>
      <c r="AI558" s="94"/>
      <c r="AJ558" s="94"/>
      <c r="AK558" s="94"/>
      <c r="AL558" s="94"/>
      <c r="AM558" s="94"/>
      <c r="AN558" s="94"/>
      <c r="AO558" s="94"/>
      <c r="AP558" s="94"/>
      <c r="AQ558" s="94"/>
      <c r="AR558" s="94"/>
      <c r="AS558" s="94"/>
      <c r="AT558" s="94"/>
      <c r="AU558" s="94"/>
      <c r="AV558" s="94"/>
      <c r="AW558" s="94"/>
      <c r="AX558" s="94"/>
      <c r="AY558" s="94"/>
      <c r="AZ558" s="94"/>
      <c r="BA558" s="95"/>
    </row>
    <row r="559" spans="1:53" s="87" customFormat="1">
      <c r="A559" s="90">
        <f t="shared" si="33"/>
        <v>559</v>
      </c>
      <c r="B559" s="98" t="s">
        <v>482</v>
      </c>
      <c r="C559" s="94"/>
      <c r="D559" s="94"/>
      <c r="E559" s="94"/>
      <c r="F559" s="94"/>
      <c r="G559" s="94"/>
      <c r="H559" s="94"/>
      <c r="I559" s="94"/>
      <c r="J559" s="94"/>
      <c r="K559" s="94"/>
      <c r="L559" s="94"/>
      <c r="M559" s="94"/>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94"/>
      <c r="AT559" s="94"/>
      <c r="AU559" s="94"/>
      <c r="AV559" s="94"/>
      <c r="AW559" s="94"/>
      <c r="AX559" s="94"/>
      <c r="AY559" s="94"/>
      <c r="AZ559" s="94"/>
      <c r="BA559" s="95"/>
    </row>
    <row r="560" spans="1:53" s="87" customFormat="1">
      <c r="A560" s="90" t="str">
        <f t="shared" si="33"/>
        <v/>
      </c>
      <c r="B560" s="98">
        <v>1</v>
      </c>
      <c r="C560" s="94">
        <v>-1</v>
      </c>
      <c r="D560" s="94" t="s">
        <v>210</v>
      </c>
      <c r="E560" s="94" t="s">
        <v>210</v>
      </c>
      <c r="F560" s="94">
        <v>6</v>
      </c>
      <c r="G560" s="94">
        <v>5</v>
      </c>
      <c r="H560" s="94" t="s">
        <v>210</v>
      </c>
      <c r="I560" s="94" t="s">
        <v>210</v>
      </c>
      <c r="J560" s="94">
        <v>-2</v>
      </c>
      <c r="K560" s="94">
        <v>-7</v>
      </c>
      <c r="L560" s="94" t="s">
        <v>210</v>
      </c>
      <c r="M560" s="94" t="s">
        <v>210</v>
      </c>
      <c r="N560" s="94">
        <v>3</v>
      </c>
      <c r="O560" s="94">
        <v>4</v>
      </c>
      <c r="P560" s="94" t="s">
        <v>210</v>
      </c>
      <c r="Q560" s="94"/>
      <c r="R560" s="94"/>
      <c r="S560" s="94"/>
      <c r="T560" s="94"/>
      <c r="U560" s="94"/>
      <c r="V560" s="94"/>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94"/>
      <c r="AT560" s="94"/>
      <c r="AU560" s="94"/>
      <c r="AV560" s="94"/>
      <c r="AW560" s="94"/>
      <c r="AX560" s="94"/>
      <c r="AY560" s="94"/>
      <c r="AZ560" s="94"/>
      <c r="BA560" s="95"/>
    </row>
    <row r="561" spans="1:53" s="87" customFormat="1">
      <c r="A561" s="90" t="str">
        <f t="shared" si="33"/>
        <v/>
      </c>
      <c r="B561" s="98">
        <v>2</v>
      </c>
      <c r="C561" s="94">
        <v>8</v>
      </c>
      <c r="D561" s="94" t="s">
        <v>210</v>
      </c>
      <c r="E561" s="94" t="s">
        <v>210</v>
      </c>
      <c r="F561" s="94">
        <v>-5</v>
      </c>
      <c r="G561" s="94">
        <v>-3</v>
      </c>
      <c r="H561" s="94" t="s">
        <v>210</v>
      </c>
      <c r="I561" s="94" t="s">
        <v>210</v>
      </c>
      <c r="J561" s="94">
        <v>7</v>
      </c>
      <c r="K561" s="94">
        <v>2</v>
      </c>
      <c r="L561" s="94" t="s">
        <v>210</v>
      </c>
      <c r="M561" s="94" t="s">
        <v>210</v>
      </c>
      <c r="N561" s="94">
        <v>-6</v>
      </c>
      <c r="O561" s="94">
        <v>-4</v>
      </c>
      <c r="P561" s="94" t="s">
        <v>210</v>
      </c>
      <c r="Q561" s="94"/>
      <c r="R561" s="94"/>
      <c r="S561" s="94"/>
      <c r="T561" s="94"/>
      <c r="U561" s="94"/>
      <c r="V561" s="94"/>
      <c r="W561" s="94"/>
      <c r="X561" s="94"/>
      <c r="Y561" s="94"/>
      <c r="Z561" s="94"/>
      <c r="AA561" s="94"/>
      <c r="AB561" s="94"/>
      <c r="AC561" s="94"/>
      <c r="AD561" s="94"/>
      <c r="AE561" s="94"/>
      <c r="AF561" s="94"/>
      <c r="AG561" s="94"/>
      <c r="AH561" s="94"/>
      <c r="AI561" s="94"/>
      <c r="AJ561" s="94"/>
      <c r="AK561" s="94"/>
      <c r="AL561" s="94"/>
      <c r="AM561" s="94"/>
      <c r="AN561" s="94"/>
      <c r="AO561" s="94"/>
      <c r="AP561" s="94"/>
      <c r="AQ561" s="94"/>
      <c r="AR561" s="94"/>
      <c r="AS561" s="94"/>
      <c r="AT561" s="94"/>
      <c r="AU561" s="94"/>
      <c r="AV561" s="94"/>
      <c r="AW561" s="94"/>
      <c r="AX561" s="94"/>
      <c r="AY561" s="94"/>
      <c r="AZ561" s="94"/>
      <c r="BA561" s="95"/>
    </row>
    <row r="562" spans="1:53" s="87" customFormat="1">
      <c r="A562" s="90" t="str">
        <f t="shared" si="33"/>
        <v/>
      </c>
      <c r="B562" s="98">
        <v>3</v>
      </c>
      <c r="C562" s="94">
        <v>6</v>
      </c>
      <c r="D562" s="94" t="s">
        <v>210</v>
      </c>
      <c r="E562" s="94" t="s">
        <v>210</v>
      </c>
      <c r="F562" s="94">
        <v>-7</v>
      </c>
      <c r="G562" s="94">
        <v>-8</v>
      </c>
      <c r="H562" s="94" t="s">
        <v>210</v>
      </c>
      <c r="I562" s="94" t="s">
        <v>210</v>
      </c>
      <c r="J562" s="94">
        <v>4</v>
      </c>
      <c r="K562" s="94">
        <v>-2</v>
      </c>
      <c r="L562" s="94" t="s">
        <v>210</v>
      </c>
      <c r="M562" s="94" t="s">
        <v>210</v>
      </c>
      <c r="N562" s="94">
        <v>-3</v>
      </c>
      <c r="O562" s="94">
        <v>5</v>
      </c>
      <c r="P562" s="94" t="s">
        <v>210</v>
      </c>
      <c r="Q562" s="94"/>
      <c r="R562" s="94"/>
      <c r="S562" s="94"/>
      <c r="T562" s="94"/>
      <c r="U562" s="94"/>
      <c r="V562" s="94"/>
      <c r="W562" s="94"/>
      <c r="X562" s="94"/>
      <c r="Y562" s="94"/>
      <c r="Z562" s="94"/>
      <c r="AA562" s="94"/>
      <c r="AB562" s="94"/>
      <c r="AC562" s="94"/>
      <c r="AD562" s="94"/>
      <c r="AE562" s="94"/>
      <c r="AF562" s="94"/>
      <c r="AG562" s="94"/>
      <c r="AH562" s="94"/>
      <c r="AI562" s="94"/>
      <c r="AJ562" s="94"/>
      <c r="AK562" s="94"/>
      <c r="AL562" s="94"/>
      <c r="AM562" s="94"/>
      <c r="AN562" s="94"/>
      <c r="AO562" s="94"/>
      <c r="AP562" s="94"/>
      <c r="AQ562" s="94"/>
      <c r="AR562" s="94"/>
      <c r="AS562" s="94"/>
      <c r="AT562" s="94"/>
      <c r="AU562" s="94"/>
      <c r="AV562" s="94"/>
      <c r="AW562" s="94"/>
      <c r="AX562" s="94"/>
      <c r="AY562" s="94"/>
      <c r="AZ562" s="94"/>
      <c r="BA562" s="95"/>
    </row>
    <row r="563" spans="1:53" s="87" customFormat="1">
      <c r="A563" s="90" t="str">
        <f t="shared" si="33"/>
        <v/>
      </c>
      <c r="B563" s="98">
        <v>4</v>
      </c>
      <c r="C563" s="94">
        <v>-4</v>
      </c>
      <c r="D563" s="94" t="s">
        <v>210</v>
      </c>
      <c r="E563" s="94" t="s">
        <v>210</v>
      </c>
      <c r="F563" s="94">
        <v>2</v>
      </c>
      <c r="G563" s="94">
        <v>1</v>
      </c>
      <c r="H563" s="94" t="s">
        <v>210</v>
      </c>
      <c r="I563" s="94" t="s">
        <v>210</v>
      </c>
      <c r="J563" s="94">
        <v>-3</v>
      </c>
      <c r="K563" s="94">
        <v>7</v>
      </c>
      <c r="L563" s="94" t="s">
        <v>210</v>
      </c>
      <c r="M563" s="94" t="s">
        <v>210</v>
      </c>
      <c r="N563" s="94">
        <v>6</v>
      </c>
      <c r="O563" s="94">
        <v>-5</v>
      </c>
      <c r="P563" s="94" t="s">
        <v>210</v>
      </c>
      <c r="Q563" s="94"/>
      <c r="R563" s="94"/>
      <c r="S563" s="94"/>
      <c r="T563" s="94"/>
      <c r="U563" s="94"/>
      <c r="V563" s="94"/>
      <c r="W563" s="94"/>
      <c r="X563" s="94"/>
      <c r="Y563" s="94"/>
      <c r="Z563" s="94"/>
      <c r="AA563" s="94"/>
      <c r="AB563" s="94"/>
      <c r="AC563" s="94"/>
      <c r="AD563" s="94"/>
      <c r="AE563" s="94"/>
      <c r="AF563" s="94"/>
      <c r="AG563" s="94"/>
      <c r="AH563" s="94"/>
      <c r="AI563" s="94"/>
      <c r="AJ563" s="94"/>
      <c r="AK563" s="94"/>
      <c r="AL563" s="94"/>
      <c r="AM563" s="94"/>
      <c r="AN563" s="94"/>
      <c r="AO563" s="94"/>
      <c r="AP563" s="94"/>
      <c r="AQ563" s="94"/>
      <c r="AR563" s="94"/>
      <c r="AS563" s="94"/>
      <c r="AT563" s="94"/>
      <c r="AU563" s="94"/>
      <c r="AV563" s="94"/>
      <c r="AW563" s="94"/>
      <c r="AX563" s="94"/>
      <c r="AY563" s="94"/>
      <c r="AZ563" s="94"/>
      <c r="BA563" s="95"/>
    </row>
    <row r="564" spans="1:53" s="87" customFormat="1">
      <c r="A564" s="90" t="str">
        <f t="shared" si="33"/>
        <v/>
      </c>
      <c r="B564" s="98">
        <v>5</v>
      </c>
      <c r="C564" s="94">
        <v>-6</v>
      </c>
      <c r="D564" s="94" t="s">
        <v>210</v>
      </c>
      <c r="E564" s="94" t="s">
        <v>210</v>
      </c>
      <c r="F564" s="94">
        <v>5</v>
      </c>
      <c r="G564" s="94">
        <v>-1</v>
      </c>
      <c r="H564" s="94" t="s">
        <v>210</v>
      </c>
      <c r="I564" s="94" t="s">
        <v>210</v>
      </c>
      <c r="J564" s="94">
        <v>2</v>
      </c>
      <c r="K564" s="94">
        <v>8</v>
      </c>
      <c r="L564" s="94" t="s">
        <v>210</v>
      </c>
      <c r="M564" s="94" t="s">
        <v>210</v>
      </c>
      <c r="N564" s="94">
        <v>-4</v>
      </c>
      <c r="O564" s="94">
        <v>-3</v>
      </c>
      <c r="P564" s="94" t="s">
        <v>210</v>
      </c>
      <c r="Q564" s="94"/>
      <c r="R564" s="94"/>
      <c r="S564" s="94"/>
      <c r="T564" s="94"/>
      <c r="U564" s="94"/>
      <c r="V564" s="94"/>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c r="AW564" s="94"/>
      <c r="AX564" s="94"/>
      <c r="AY564" s="94"/>
      <c r="AZ564" s="94"/>
      <c r="BA564" s="95"/>
    </row>
    <row r="565" spans="1:53" s="87" customFormat="1">
      <c r="A565" s="90" t="str">
        <f t="shared" si="33"/>
        <v/>
      </c>
      <c r="B565" s="98">
        <v>6</v>
      </c>
      <c r="C565" s="94">
        <v>4</v>
      </c>
      <c r="D565" s="94" t="s">
        <v>210</v>
      </c>
      <c r="E565" s="94" t="s">
        <v>210</v>
      </c>
      <c r="F565" s="94">
        <v>-6</v>
      </c>
      <c r="G565" s="94">
        <v>8</v>
      </c>
      <c r="H565" s="94" t="s">
        <v>210</v>
      </c>
      <c r="I565" s="94" t="s">
        <v>210</v>
      </c>
      <c r="J565" s="94">
        <v>-7</v>
      </c>
      <c r="K565" s="94">
        <v>1</v>
      </c>
      <c r="L565" s="94" t="s">
        <v>210</v>
      </c>
      <c r="M565" s="94" t="s">
        <v>210</v>
      </c>
      <c r="N565" s="94">
        <v>-5</v>
      </c>
      <c r="O565" s="94">
        <v>3</v>
      </c>
      <c r="P565" s="94" t="s">
        <v>210</v>
      </c>
      <c r="Q565" s="94"/>
      <c r="R565" s="94"/>
      <c r="S565" s="94"/>
      <c r="T565" s="94"/>
      <c r="U565" s="94"/>
      <c r="V565" s="94"/>
      <c r="W565" s="94"/>
      <c r="X565" s="94"/>
      <c r="Y565" s="94"/>
      <c r="Z565" s="94"/>
      <c r="AA565" s="94"/>
      <c r="AB565" s="94"/>
      <c r="AC565" s="94"/>
      <c r="AD565" s="94"/>
      <c r="AE565" s="94"/>
      <c r="AF565" s="94"/>
      <c r="AG565" s="94"/>
      <c r="AH565" s="94"/>
      <c r="AI565" s="94"/>
      <c r="AJ565" s="94"/>
      <c r="AK565" s="94"/>
      <c r="AL565" s="94"/>
      <c r="AM565" s="94"/>
      <c r="AN565" s="94"/>
      <c r="AO565" s="94"/>
      <c r="AP565" s="94"/>
      <c r="AQ565" s="94"/>
      <c r="AR565" s="94"/>
      <c r="AS565" s="94"/>
      <c r="AT565" s="94"/>
      <c r="AU565" s="94"/>
      <c r="AV565" s="94"/>
      <c r="AW565" s="94"/>
      <c r="AX565" s="94"/>
      <c r="AY565" s="94"/>
      <c r="AZ565" s="94"/>
      <c r="BA565" s="95"/>
    </row>
    <row r="566" spans="1:53" s="87" customFormat="1">
      <c r="A566" s="90" t="str">
        <f t="shared" si="33"/>
        <v/>
      </c>
      <c r="B566" s="98">
        <v>7</v>
      </c>
      <c r="C566" s="94">
        <v>-8</v>
      </c>
      <c r="D566" s="94" t="s">
        <v>210</v>
      </c>
      <c r="E566" s="94" t="s">
        <v>210</v>
      </c>
      <c r="F566" s="94">
        <v>7</v>
      </c>
      <c r="G566" s="94">
        <v>-5</v>
      </c>
      <c r="H566" s="94" t="s">
        <v>210</v>
      </c>
      <c r="I566" s="94" t="s">
        <v>210</v>
      </c>
      <c r="J566" s="94">
        <v>3</v>
      </c>
      <c r="K566" s="94">
        <v>-1</v>
      </c>
      <c r="L566" s="94" t="s">
        <v>210</v>
      </c>
      <c r="M566" s="94" t="s">
        <v>210</v>
      </c>
      <c r="N566" s="94">
        <v>4</v>
      </c>
      <c r="O566" s="94">
        <v>6</v>
      </c>
      <c r="P566" s="94" t="s">
        <v>210</v>
      </c>
      <c r="Q566" s="94"/>
      <c r="R566" s="94"/>
      <c r="S566" s="94"/>
      <c r="T566" s="94"/>
      <c r="U566" s="94"/>
      <c r="V566" s="94"/>
      <c r="W566" s="94"/>
      <c r="X566" s="94"/>
      <c r="Y566" s="94"/>
      <c r="Z566" s="94"/>
      <c r="AA566" s="94"/>
      <c r="AB566" s="94"/>
      <c r="AC566" s="94"/>
      <c r="AD566" s="94"/>
      <c r="AE566" s="94"/>
      <c r="AF566" s="94"/>
      <c r="AG566" s="94"/>
      <c r="AH566" s="94"/>
      <c r="AI566" s="94"/>
      <c r="AJ566" s="94"/>
      <c r="AK566" s="94"/>
      <c r="AL566" s="94"/>
      <c r="AM566" s="94"/>
      <c r="AN566" s="94"/>
      <c r="AO566" s="94"/>
      <c r="AP566" s="94"/>
      <c r="AQ566" s="94"/>
      <c r="AR566" s="94"/>
      <c r="AS566" s="94"/>
      <c r="AT566" s="94"/>
      <c r="AU566" s="94"/>
      <c r="AV566" s="94"/>
      <c r="AW566" s="94"/>
      <c r="AX566" s="94"/>
      <c r="AY566" s="94"/>
      <c r="AZ566" s="94"/>
      <c r="BA566" s="95"/>
    </row>
    <row r="567" spans="1:53" s="87" customFormat="1">
      <c r="A567" s="90" t="str">
        <f t="shared" si="33"/>
        <v/>
      </c>
      <c r="B567" s="99">
        <v>8</v>
      </c>
      <c r="C567" s="92">
        <v>1</v>
      </c>
      <c r="D567" s="92" t="s">
        <v>210</v>
      </c>
      <c r="E567" s="92" t="s">
        <v>210</v>
      </c>
      <c r="F567" s="92">
        <v>-2</v>
      </c>
      <c r="G567" s="92">
        <v>3</v>
      </c>
      <c r="H567" s="92" t="s">
        <v>210</v>
      </c>
      <c r="I567" s="92" t="s">
        <v>210</v>
      </c>
      <c r="J567" s="92">
        <v>-4</v>
      </c>
      <c r="K567" s="92">
        <v>-8</v>
      </c>
      <c r="L567" s="92" t="s">
        <v>210</v>
      </c>
      <c r="M567" s="92" t="s">
        <v>210</v>
      </c>
      <c r="N567" s="92">
        <v>5</v>
      </c>
      <c r="O567" s="92">
        <v>-6</v>
      </c>
      <c r="P567" s="92" t="s">
        <v>210</v>
      </c>
      <c r="Q567" s="94"/>
      <c r="R567" s="94"/>
      <c r="S567" s="94"/>
      <c r="T567" s="94"/>
      <c r="U567" s="94"/>
      <c r="V567" s="94"/>
      <c r="W567" s="94"/>
      <c r="X567" s="94"/>
      <c r="Y567" s="94"/>
      <c r="Z567" s="94"/>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c r="AW567" s="94"/>
      <c r="AX567" s="94"/>
      <c r="AY567" s="94"/>
      <c r="AZ567" s="94"/>
      <c r="BA567" s="95"/>
    </row>
    <row r="568" spans="1:53" s="87" customFormat="1">
      <c r="A568" s="90" t="str">
        <f t="shared" si="33"/>
        <v/>
      </c>
      <c r="B568" s="98">
        <v>9</v>
      </c>
      <c r="C568" s="94">
        <v>-7</v>
      </c>
      <c r="D568" s="94" t="s">
        <v>210</v>
      </c>
      <c r="E568" s="94" t="s">
        <v>210</v>
      </c>
      <c r="F568" s="94">
        <v>4</v>
      </c>
      <c r="G568" s="94">
        <v>6</v>
      </c>
      <c r="H568" s="94" t="s">
        <v>210</v>
      </c>
      <c r="I568" s="94" t="s">
        <v>210</v>
      </c>
      <c r="J568" s="94">
        <v>-8</v>
      </c>
      <c r="K568" s="94">
        <v>-5</v>
      </c>
      <c r="L568" s="94" t="s">
        <v>210</v>
      </c>
      <c r="M568" s="94" t="s">
        <v>210</v>
      </c>
      <c r="N568" s="94">
        <v>1</v>
      </c>
      <c r="O568" s="94">
        <v>2</v>
      </c>
      <c r="P568" s="94" t="s">
        <v>210</v>
      </c>
      <c r="Q568" s="94"/>
      <c r="R568" s="94"/>
      <c r="S568" s="94"/>
      <c r="T568" s="94"/>
      <c r="U568" s="94"/>
      <c r="V568" s="94"/>
      <c r="W568" s="94"/>
      <c r="X568" s="94"/>
      <c r="Y568" s="94"/>
      <c r="Z568" s="94"/>
      <c r="AA568" s="94"/>
      <c r="AB568" s="94"/>
      <c r="AC568" s="94"/>
      <c r="AD568" s="94"/>
      <c r="AE568" s="94"/>
      <c r="AF568" s="94"/>
      <c r="AG568" s="94"/>
      <c r="AH568" s="94"/>
      <c r="AI568" s="94"/>
      <c r="AJ568" s="94"/>
      <c r="AK568" s="94"/>
      <c r="AL568" s="94"/>
      <c r="AM568" s="94"/>
      <c r="AN568" s="94"/>
      <c r="AO568" s="94"/>
      <c r="AP568" s="94"/>
      <c r="AQ568" s="94"/>
      <c r="AR568" s="94"/>
      <c r="AS568" s="94"/>
      <c r="AT568" s="94"/>
      <c r="AU568" s="94"/>
      <c r="AV568" s="94"/>
      <c r="AW568" s="94"/>
      <c r="AX568" s="94"/>
      <c r="AY568" s="94"/>
      <c r="AZ568" s="94"/>
      <c r="BA568" s="95"/>
    </row>
    <row r="569" spans="1:53" s="87" customFormat="1">
      <c r="A569" s="90" t="str">
        <f t="shared" si="33"/>
        <v/>
      </c>
      <c r="B569" s="98">
        <v>10</v>
      </c>
      <c r="C569" s="94">
        <v>-3</v>
      </c>
      <c r="D569" s="94" t="s">
        <v>210</v>
      </c>
      <c r="E569" s="94" t="s">
        <v>210</v>
      </c>
      <c r="F569" s="94">
        <v>1</v>
      </c>
      <c r="G569" s="94">
        <v>-7</v>
      </c>
      <c r="H569" s="94" t="s">
        <v>210</v>
      </c>
      <c r="I569" s="94" t="s">
        <v>210</v>
      </c>
      <c r="J569" s="94">
        <v>5</v>
      </c>
      <c r="K569" s="94">
        <v>4</v>
      </c>
      <c r="L569" s="94" t="s">
        <v>210</v>
      </c>
      <c r="M569" s="94" t="s">
        <v>210</v>
      </c>
      <c r="N569" s="94">
        <v>-8</v>
      </c>
      <c r="O569" s="94">
        <v>-2</v>
      </c>
      <c r="P569" s="94" t="s">
        <v>210</v>
      </c>
      <c r="Q569" s="94"/>
      <c r="R569" s="94"/>
      <c r="S569" s="94"/>
      <c r="T569" s="94"/>
      <c r="U569" s="94"/>
      <c r="V569" s="94"/>
      <c r="W569" s="94"/>
      <c r="X569" s="94"/>
      <c r="Y569" s="94"/>
      <c r="Z569" s="94"/>
      <c r="AA569" s="94"/>
      <c r="AB569" s="94"/>
      <c r="AC569" s="94"/>
      <c r="AD569" s="94"/>
      <c r="AE569" s="94"/>
      <c r="AF569" s="94"/>
      <c r="AG569" s="94"/>
      <c r="AH569" s="94"/>
      <c r="AI569" s="94"/>
      <c r="AJ569" s="94"/>
      <c r="AK569" s="94"/>
      <c r="AL569" s="94"/>
      <c r="AM569" s="94"/>
      <c r="AN569" s="94"/>
      <c r="AO569" s="94"/>
      <c r="AP569" s="94"/>
      <c r="AQ569" s="94"/>
      <c r="AR569" s="94"/>
      <c r="AS569" s="94"/>
      <c r="AT569" s="94"/>
      <c r="AU569" s="94"/>
      <c r="AV569" s="94"/>
      <c r="AW569" s="94"/>
      <c r="AX569" s="94"/>
      <c r="AY569" s="94"/>
      <c r="AZ569" s="94"/>
      <c r="BA569" s="95"/>
    </row>
    <row r="570" spans="1:53" s="87" customFormat="1">
      <c r="A570" s="90" t="str">
        <f t="shared" si="33"/>
        <v/>
      </c>
      <c r="B570" s="98">
        <v>11</v>
      </c>
      <c r="C570" s="94">
        <v>-5</v>
      </c>
      <c r="D570" s="94" t="s">
        <v>210</v>
      </c>
      <c r="E570" s="94" t="s">
        <v>210</v>
      </c>
      <c r="F570" s="94">
        <v>-8</v>
      </c>
      <c r="G570" s="94">
        <v>2</v>
      </c>
      <c r="H570" s="94" t="s">
        <v>210</v>
      </c>
      <c r="I570" s="94" t="s">
        <v>210</v>
      </c>
      <c r="J570" s="94">
        <v>6</v>
      </c>
      <c r="K570" s="94">
        <v>-4</v>
      </c>
      <c r="L570" s="94" t="s">
        <v>210</v>
      </c>
      <c r="M570" s="94" t="s">
        <v>210</v>
      </c>
      <c r="N570" s="94">
        <v>-1</v>
      </c>
      <c r="O570" s="94">
        <v>7</v>
      </c>
      <c r="P570" s="94" t="s">
        <v>210</v>
      </c>
      <c r="Q570" s="94"/>
      <c r="R570" s="94"/>
      <c r="S570" s="94"/>
      <c r="T570" s="94"/>
      <c r="U570" s="94"/>
      <c r="V570" s="94"/>
      <c r="W570" s="94"/>
      <c r="X570" s="94"/>
      <c r="Y570" s="94"/>
      <c r="Z570" s="94"/>
      <c r="AA570" s="94"/>
      <c r="AB570" s="94"/>
      <c r="AC570" s="94"/>
      <c r="AD570" s="94"/>
      <c r="AE570" s="94"/>
      <c r="AF570" s="94"/>
      <c r="AG570" s="94"/>
      <c r="AH570" s="94"/>
      <c r="AI570" s="94"/>
      <c r="AJ570" s="94"/>
      <c r="AK570" s="94"/>
      <c r="AL570" s="94"/>
      <c r="AM570" s="94"/>
      <c r="AN570" s="94"/>
      <c r="AO570" s="94"/>
      <c r="AP570" s="94"/>
      <c r="AQ570" s="94"/>
      <c r="AR570" s="94"/>
      <c r="AS570" s="94"/>
      <c r="AT570" s="94"/>
      <c r="AU570" s="94"/>
      <c r="AV570" s="94"/>
      <c r="AW570" s="94"/>
      <c r="AX570" s="94"/>
      <c r="AY570" s="94"/>
      <c r="AZ570" s="94"/>
      <c r="BA570" s="95"/>
    </row>
    <row r="571" spans="1:53" s="87" customFormat="1">
      <c r="A571" s="90" t="str">
        <f t="shared" si="33"/>
        <v/>
      </c>
      <c r="B571" s="98">
        <v>12</v>
      </c>
      <c r="C571" s="94">
        <v>2</v>
      </c>
      <c r="D571" s="94" t="s">
        <v>210</v>
      </c>
      <c r="E571" s="94" t="s">
        <v>210</v>
      </c>
      <c r="F571" s="94">
        <v>3</v>
      </c>
      <c r="G571" s="94">
        <v>-4</v>
      </c>
      <c r="H571" s="94" t="s">
        <v>210</v>
      </c>
      <c r="I571" s="94" t="s">
        <v>210</v>
      </c>
      <c r="J571" s="94">
        <v>-1</v>
      </c>
      <c r="K571" s="94">
        <v>5</v>
      </c>
      <c r="L571" s="94" t="s">
        <v>210</v>
      </c>
      <c r="M571" s="94" t="s">
        <v>210</v>
      </c>
      <c r="N571" s="94">
        <v>8</v>
      </c>
      <c r="O571" s="94">
        <v>-7</v>
      </c>
      <c r="P571" s="94" t="s">
        <v>210</v>
      </c>
      <c r="Q571" s="94"/>
      <c r="R571" s="94"/>
      <c r="S571" s="94"/>
      <c r="T571" s="94"/>
      <c r="U571" s="94"/>
      <c r="V571" s="94"/>
      <c r="W571" s="94"/>
      <c r="X571" s="94"/>
      <c r="Y571" s="94"/>
      <c r="Z571" s="94"/>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c r="AW571" s="94"/>
      <c r="AX571" s="94"/>
      <c r="AY571" s="94"/>
      <c r="AZ571" s="94"/>
      <c r="BA571" s="95"/>
    </row>
    <row r="572" spans="1:53" s="87" customFormat="1">
      <c r="A572" s="90" t="str">
        <f t="shared" si="33"/>
        <v/>
      </c>
      <c r="B572" s="98">
        <v>13</v>
      </c>
      <c r="C572" s="94">
        <v>5</v>
      </c>
      <c r="D572" s="94" t="s">
        <v>210</v>
      </c>
      <c r="E572" s="94" t="s">
        <v>210</v>
      </c>
      <c r="F572" s="94">
        <v>-3</v>
      </c>
      <c r="G572" s="94">
        <v>7</v>
      </c>
      <c r="H572" s="94" t="s">
        <v>210</v>
      </c>
      <c r="I572" s="94" t="s">
        <v>210</v>
      </c>
      <c r="J572" s="94">
        <v>8</v>
      </c>
      <c r="K572" s="94">
        <v>-6</v>
      </c>
      <c r="L572" s="94" t="s">
        <v>210</v>
      </c>
      <c r="M572" s="94" t="s">
        <v>210</v>
      </c>
      <c r="N572" s="94">
        <v>-2</v>
      </c>
      <c r="O572" s="94">
        <v>1</v>
      </c>
      <c r="P572" s="94" t="s">
        <v>210</v>
      </c>
      <c r="Q572" s="94"/>
      <c r="R572" s="94"/>
      <c r="S572" s="94"/>
      <c r="T572" s="94"/>
      <c r="U572" s="94"/>
      <c r="V572" s="94"/>
      <c r="W572" s="94"/>
      <c r="X572" s="94"/>
      <c r="Y572" s="94"/>
      <c r="Z572" s="94"/>
      <c r="AA572" s="94"/>
      <c r="AB572" s="94"/>
      <c r="AC572" s="94"/>
      <c r="AD572" s="94"/>
      <c r="AE572" s="94"/>
      <c r="AF572" s="94"/>
      <c r="AG572" s="94"/>
      <c r="AH572" s="94"/>
      <c r="AI572" s="94"/>
      <c r="AJ572" s="94"/>
      <c r="AK572" s="94"/>
      <c r="AL572" s="94"/>
      <c r="AM572" s="94"/>
      <c r="AN572" s="94"/>
      <c r="AO572" s="94"/>
      <c r="AP572" s="94"/>
      <c r="AQ572" s="94"/>
      <c r="AR572" s="94"/>
      <c r="AS572" s="94"/>
      <c r="AT572" s="94"/>
      <c r="AU572" s="94"/>
      <c r="AV572" s="94"/>
      <c r="AW572" s="94"/>
      <c r="AX572" s="94"/>
      <c r="AY572" s="94"/>
      <c r="AZ572" s="94"/>
      <c r="BA572" s="95"/>
    </row>
    <row r="573" spans="1:53" s="87" customFormat="1">
      <c r="A573" s="90" t="str">
        <f t="shared" si="33"/>
        <v/>
      </c>
      <c r="B573" s="98">
        <v>14</v>
      </c>
      <c r="C573" s="94">
        <v>-2</v>
      </c>
      <c r="D573" s="94" t="s">
        <v>210</v>
      </c>
      <c r="E573" s="94" t="s">
        <v>210</v>
      </c>
      <c r="F573" s="94">
        <v>8</v>
      </c>
      <c r="G573" s="94">
        <v>-6</v>
      </c>
      <c r="H573" s="94" t="s">
        <v>210</v>
      </c>
      <c r="I573" s="94" t="s">
        <v>210</v>
      </c>
      <c r="J573" s="94">
        <v>-5</v>
      </c>
      <c r="K573" s="94">
        <v>3</v>
      </c>
      <c r="L573" s="94" t="s">
        <v>210</v>
      </c>
      <c r="M573" s="94" t="s">
        <v>210</v>
      </c>
      <c r="N573" s="94">
        <v>7</v>
      </c>
      <c r="O573" s="94">
        <v>-1</v>
      </c>
      <c r="P573" s="94" t="s">
        <v>210</v>
      </c>
      <c r="Q573" s="94"/>
      <c r="R573" s="94"/>
      <c r="S573" s="94"/>
      <c r="T573" s="94"/>
      <c r="U573" s="94"/>
      <c r="V573" s="94"/>
      <c r="W573" s="94"/>
      <c r="X573" s="94"/>
      <c r="Y573" s="94"/>
      <c r="Z573" s="94"/>
      <c r="AA573" s="94"/>
      <c r="AB573" s="94"/>
      <c r="AC573" s="94"/>
      <c r="AD573" s="94"/>
      <c r="AE573" s="94"/>
      <c r="AF573" s="94"/>
      <c r="AG573" s="94"/>
      <c r="AH573" s="94"/>
      <c r="AI573" s="94"/>
      <c r="AJ573" s="94"/>
      <c r="AK573" s="94"/>
      <c r="AL573" s="94"/>
      <c r="AM573" s="94"/>
      <c r="AN573" s="94"/>
      <c r="AO573" s="94"/>
      <c r="AP573" s="94"/>
      <c r="AQ573" s="94"/>
      <c r="AR573" s="94"/>
      <c r="AS573" s="94"/>
      <c r="AT573" s="94"/>
      <c r="AU573" s="94"/>
      <c r="AV573" s="94"/>
      <c r="AW573" s="94"/>
      <c r="AX573" s="94"/>
      <c r="AY573" s="94"/>
      <c r="AZ573" s="94"/>
      <c r="BA573" s="95"/>
    </row>
    <row r="574" spans="1:53" s="87" customFormat="1">
      <c r="A574" s="90" t="str">
        <f t="shared" si="33"/>
        <v/>
      </c>
      <c r="B574" s="98">
        <v>15</v>
      </c>
      <c r="C574" s="94">
        <v>7</v>
      </c>
      <c r="D574" s="94" t="s">
        <v>210</v>
      </c>
      <c r="E574" s="94" t="s">
        <v>210</v>
      </c>
      <c r="F574" s="94">
        <v>-1</v>
      </c>
      <c r="G574" s="94">
        <v>4</v>
      </c>
      <c r="H574" s="94" t="s">
        <v>210</v>
      </c>
      <c r="I574" s="94" t="s">
        <v>210</v>
      </c>
      <c r="J574" s="94">
        <v>-6</v>
      </c>
      <c r="K574" s="94">
        <v>-3</v>
      </c>
      <c r="L574" s="94" t="s">
        <v>210</v>
      </c>
      <c r="M574" s="94" t="s">
        <v>210</v>
      </c>
      <c r="N574" s="94">
        <v>2</v>
      </c>
      <c r="O574" s="94">
        <v>8</v>
      </c>
      <c r="P574" s="94" t="s">
        <v>210</v>
      </c>
      <c r="Q574" s="94"/>
      <c r="R574" s="94"/>
      <c r="S574" s="94"/>
      <c r="T574" s="94"/>
      <c r="U574" s="94"/>
      <c r="V574" s="94"/>
      <c r="W574" s="94"/>
      <c r="X574" s="94"/>
      <c r="Y574" s="94"/>
      <c r="Z574" s="94"/>
      <c r="AA574" s="94"/>
      <c r="AB574" s="94"/>
      <c r="AC574" s="94"/>
      <c r="AD574" s="94"/>
      <c r="AE574" s="94"/>
      <c r="AF574" s="94"/>
      <c r="AG574" s="94"/>
      <c r="AH574" s="94"/>
      <c r="AI574" s="94"/>
      <c r="AJ574" s="94"/>
      <c r="AK574" s="94"/>
      <c r="AL574" s="94"/>
      <c r="AM574" s="94"/>
      <c r="AN574" s="94"/>
      <c r="AO574" s="94"/>
      <c r="AP574" s="94"/>
      <c r="AQ574" s="94"/>
      <c r="AR574" s="94"/>
      <c r="AS574" s="94"/>
      <c r="AT574" s="94"/>
      <c r="AU574" s="94"/>
      <c r="AV574" s="94"/>
      <c r="AW574" s="94"/>
      <c r="AX574" s="94"/>
      <c r="AY574" s="94"/>
      <c r="AZ574" s="94"/>
      <c r="BA574" s="95"/>
    </row>
    <row r="575" spans="1:53" s="87" customFormat="1">
      <c r="A575" s="90" t="str">
        <f t="shared" si="33"/>
        <v/>
      </c>
      <c r="B575" s="99">
        <v>16</v>
      </c>
      <c r="C575" s="92">
        <v>3</v>
      </c>
      <c r="D575" s="92" t="s">
        <v>210</v>
      </c>
      <c r="E575" s="92" t="s">
        <v>210</v>
      </c>
      <c r="F575" s="92">
        <v>-4</v>
      </c>
      <c r="G575" s="92">
        <v>-2</v>
      </c>
      <c r="H575" s="92" t="s">
        <v>210</v>
      </c>
      <c r="I575" s="92" t="s">
        <v>210</v>
      </c>
      <c r="J575" s="92">
        <v>1</v>
      </c>
      <c r="K575" s="92">
        <v>6</v>
      </c>
      <c r="L575" s="92" t="s">
        <v>210</v>
      </c>
      <c r="M575" s="92" t="s">
        <v>210</v>
      </c>
      <c r="N575" s="92">
        <v>-7</v>
      </c>
      <c r="O575" s="92">
        <v>-8</v>
      </c>
      <c r="P575" s="92" t="s">
        <v>210</v>
      </c>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5"/>
    </row>
    <row r="576" spans="1:53" s="87" customFormat="1">
      <c r="A576" s="90" t="str">
        <f t="shared" si="33"/>
        <v/>
      </c>
      <c r="B576" s="98">
        <v>17</v>
      </c>
      <c r="C576" s="94" t="s">
        <v>210</v>
      </c>
      <c r="D576" s="94">
        <v>-1</v>
      </c>
      <c r="E576" s="94">
        <v>6</v>
      </c>
      <c r="F576" s="94" t="s">
        <v>210</v>
      </c>
      <c r="G576" s="94" t="s">
        <v>210</v>
      </c>
      <c r="H576" s="94">
        <v>5</v>
      </c>
      <c r="I576" s="94">
        <v>-2</v>
      </c>
      <c r="J576" s="94" t="s">
        <v>210</v>
      </c>
      <c r="K576" s="94" t="s">
        <v>210</v>
      </c>
      <c r="L576" s="94">
        <v>-7</v>
      </c>
      <c r="M576" s="94">
        <v>3</v>
      </c>
      <c r="N576" s="94" t="s">
        <v>210</v>
      </c>
      <c r="O576" s="94" t="s">
        <v>210</v>
      </c>
      <c r="P576" s="94">
        <v>4</v>
      </c>
      <c r="Q576" s="94"/>
      <c r="R576" s="94"/>
      <c r="S576" s="94"/>
      <c r="T576" s="94"/>
      <c r="U576" s="94"/>
      <c r="V576" s="94"/>
      <c r="W576" s="94"/>
      <c r="X576" s="94"/>
      <c r="Y576" s="94"/>
      <c r="Z576" s="94"/>
      <c r="AA576" s="94"/>
      <c r="AB576" s="94"/>
      <c r="AC576" s="94"/>
      <c r="AD576" s="94"/>
      <c r="AE576" s="94"/>
      <c r="AF576" s="94"/>
      <c r="AG576" s="94"/>
      <c r="AH576" s="94"/>
      <c r="AI576" s="94"/>
      <c r="AJ576" s="94"/>
      <c r="AK576" s="94"/>
      <c r="AL576" s="94"/>
      <c r="AM576" s="94"/>
      <c r="AN576" s="94"/>
      <c r="AO576" s="94"/>
      <c r="AP576" s="94"/>
      <c r="AQ576" s="94"/>
      <c r="AR576" s="94"/>
      <c r="AS576" s="94"/>
      <c r="AT576" s="94"/>
      <c r="AU576" s="94"/>
      <c r="AV576" s="94"/>
      <c r="AW576" s="94"/>
      <c r="AX576" s="94"/>
      <c r="AY576" s="94"/>
      <c r="AZ576" s="94"/>
      <c r="BA576" s="95"/>
    </row>
    <row r="577" spans="1:53" s="87" customFormat="1">
      <c r="A577" s="90" t="str">
        <f t="shared" si="33"/>
        <v/>
      </c>
      <c r="B577" s="98">
        <v>18</v>
      </c>
      <c r="C577" s="94" t="s">
        <v>210</v>
      </c>
      <c r="D577" s="94">
        <v>8</v>
      </c>
      <c r="E577" s="94">
        <v>-5</v>
      </c>
      <c r="F577" s="94" t="s">
        <v>210</v>
      </c>
      <c r="G577" s="94" t="s">
        <v>210</v>
      </c>
      <c r="H577" s="94">
        <v>-3</v>
      </c>
      <c r="I577" s="94">
        <v>7</v>
      </c>
      <c r="J577" s="94" t="s">
        <v>210</v>
      </c>
      <c r="K577" s="94" t="s">
        <v>210</v>
      </c>
      <c r="L577" s="94">
        <v>2</v>
      </c>
      <c r="M577" s="94">
        <v>-6</v>
      </c>
      <c r="N577" s="94" t="s">
        <v>210</v>
      </c>
      <c r="O577" s="94" t="s">
        <v>210</v>
      </c>
      <c r="P577" s="94">
        <v>-4</v>
      </c>
      <c r="Q577" s="94"/>
      <c r="R577" s="94"/>
      <c r="S577" s="94"/>
      <c r="T577" s="94"/>
      <c r="U577" s="94"/>
      <c r="V577" s="94"/>
      <c r="W577" s="94"/>
      <c r="X577" s="94"/>
      <c r="Y577" s="94"/>
      <c r="Z577" s="94"/>
      <c r="AA577" s="94"/>
      <c r="AB577" s="94"/>
      <c r="AC577" s="94"/>
      <c r="AD577" s="94"/>
      <c r="AE577" s="94"/>
      <c r="AF577" s="94"/>
      <c r="AG577" s="94"/>
      <c r="AH577" s="94"/>
      <c r="AI577" s="94"/>
      <c r="AJ577" s="94"/>
      <c r="AK577" s="94"/>
      <c r="AL577" s="94"/>
      <c r="AM577" s="94"/>
      <c r="AN577" s="94"/>
      <c r="AO577" s="94"/>
      <c r="AP577" s="94"/>
      <c r="AQ577" s="94"/>
      <c r="AR577" s="94"/>
      <c r="AS577" s="94"/>
      <c r="AT577" s="94"/>
      <c r="AU577" s="94"/>
      <c r="AV577" s="94"/>
      <c r="AW577" s="94"/>
      <c r="AX577" s="94"/>
      <c r="AY577" s="94"/>
      <c r="AZ577" s="94"/>
      <c r="BA577" s="95"/>
    </row>
    <row r="578" spans="1:53" s="87" customFormat="1">
      <c r="A578" s="90" t="str">
        <f t="shared" si="33"/>
        <v/>
      </c>
      <c r="B578" s="98">
        <v>19</v>
      </c>
      <c r="C578" s="94" t="s">
        <v>210</v>
      </c>
      <c r="D578" s="94">
        <v>6</v>
      </c>
      <c r="E578" s="94">
        <v>-7</v>
      </c>
      <c r="F578" s="94" t="s">
        <v>210</v>
      </c>
      <c r="G578" s="94" t="s">
        <v>210</v>
      </c>
      <c r="H578" s="94">
        <v>-8</v>
      </c>
      <c r="I578" s="94">
        <v>4</v>
      </c>
      <c r="J578" s="94" t="s">
        <v>210</v>
      </c>
      <c r="K578" s="94" t="s">
        <v>210</v>
      </c>
      <c r="L578" s="94">
        <v>-2</v>
      </c>
      <c r="M578" s="94">
        <v>-3</v>
      </c>
      <c r="N578" s="94" t="s">
        <v>210</v>
      </c>
      <c r="O578" s="94" t="s">
        <v>210</v>
      </c>
      <c r="P578" s="94">
        <v>5</v>
      </c>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5"/>
    </row>
    <row r="579" spans="1:53" s="87" customFormat="1">
      <c r="A579" s="90" t="str">
        <f t="shared" si="33"/>
        <v/>
      </c>
      <c r="B579" s="98">
        <v>20</v>
      </c>
      <c r="C579" s="94" t="s">
        <v>210</v>
      </c>
      <c r="D579" s="94">
        <v>-4</v>
      </c>
      <c r="E579" s="94">
        <v>2</v>
      </c>
      <c r="F579" s="94" t="s">
        <v>210</v>
      </c>
      <c r="G579" s="94" t="s">
        <v>210</v>
      </c>
      <c r="H579" s="94">
        <v>1</v>
      </c>
      <c r="I579" s="94">
        <v>-3</v>
      </c>
      <c r="J579" s="94" t="s">
        <v>210</v>
      </c>
      <c r="K579" s="94" t="s">
        <v>210</v>
      </c>
      <c r="L579" s="94">
        <v>7</v>
      </c>
      <c r="M579" s="94">
        <v>6</v>
      </c>
      <c r="N579" s="94" t="s">
        <v>210</v>
      </c>
      <c r="O579" s="94" t="s">
        <v>210</v>
      </c>
      <c r="P579" s="94">
        <v>-5</v>
      </c>
      <c r="Q579" s="94"/>
      <c r="R579" s="94"/>
      <c r="S579" s="94"/>
      <c r="T579" s="94"/>
      <c r="U579" s="94"/>
      <c r="V579" s="94"/>
      <c r="W579" s="94"/>
      <c r="X579" s="94"/>
      <c r="Y579" s="94"/>
      <c r="Z579" s="94"/>
      <c r="AA579" s="94"/>
      <c r="AB579" s="94"/>
      <c r="AC579" s="94"/>
      <c r="AD579" s="94"/>
      <c r="AE579" s="94"/>
      <c r="AF579" s="94"/>
      <c r="AG579" s="94"/>
      <c r="AH579" s="94"/>
      <c r="AI579" s="94"/>
      <c r="AJ579" s="94"/>
      <c r="AK579" s="94"/>
      <c r="AL579" s="94"/>
      <c r="AM579" s="94"/>
      <c r="AN579" s="94"/>
      <c r="AO579" s="94"/>
      <c r="AP579" s="94"/>
      <c r="AQ579" s="94"/>
      <c r="AR579" s="94"/>
      <c r="AS579" s="94"/>
      <c r="AT579" s="94"/>
      <c r="AU579" s="94"/>
      <c r="AV579" s="94"/>
      <c r="AW579" s="94"/>
      <c r="AX579" s="94"/>
      <c r="AY579" s="94"/>
      <c r="AZ579" s="94"/>
      <c r="BA579" s="95"/>
    </row>
    <row r="580" spans="1:53" s="87" customFormat="1">
      <c r="A580" s="90" t="str">
        <f t="shared" si="33"/>
        <v/>
      </c>
      <c r="B580" s="98">
        <v>21</v>
      </c>
      <c r="C580" s="94" t="s">
        <v>210</v>
      </c>
      <c r="D580" s="94">
        <v>-6</v>
      </c>
      <c r="E580" s="94">
        <v>5</v>
      </c>
      <c r="F580" s="94" t="s">
        <v>210</v>
      </c>
      <c r="G580" s="94" t="s">
        <v>210</v>
      </c>
      <c r="H580" s="94">
        <v>-1</v>
      </c>
      <c r="I580" s="94">
        <v>2</v>
      </c>
      <c r="J580" s="94" t="s">
        <v>210</v>
      </c>
      <c r="K580" s="94" t="s">
        <v>210</v>
      </c>
      <c r="L580" s="94">
        <v>8</v>
      </c>
      <c r="M580" s="94">
        <v>-4</v>
      </c>
      <c r="N580" s="94" t="s">
        <v>210</v>
      </c>
      <c r="O580" s="94" t="s">
        <v>210</v>
      </c>
      <c r="P580" s="94">
        <v>-3</v>
      </c>
      <c r="Q580" s="94"/>
      <c r="R580" s="94"/>
      <c r="S580" s="94"/>
      <c r="T580" s="94"/>
      <c r="U580" s="94"/>
      <c r="V580" s="94"/>
      <c r="W580" s="94"/>
      <c r="X580" s="94"/>
      <c r="Y580" s="94"/>
      <c r="Z580" s="94"/>
      <c r="AA580" s="94"/>
      <c r="AB580" s="94"/>
      <c r="AC580" s="94"/>
      <c r="AD580" s="94"/>
      <c r="AE580" s="94"/>
      <c r="AF580" s="94"/>
      <c r="AG580" s="94"/>
      <c r="AH580" s="94"/>
      <c r="AI580" s="94"/>
      <c r="AJ580" s="94"/>
      <c r="AK580" s="94"/>
      <c r="AL580" s="94"/>
      <c r="AM580" s="94"/>
      <c r="AN580" s="94"/>
      <c r="AO580" s="94"/>
      <c r="AP580" s="94"/>
      <c r="AQ580" s="94"/>
      <c r="AR580" s="94"/>
      <c r="AS580" s="94"/>
      <c r="AT580" s="94"/>
      <c r="AU580" s="94"/>
      <c r="AV580" s="94"/>
      <c r="AW580" s="94"/>
      <c r="AX580" s="94"/>
      <c r="AY580" s="94"/>
      <c r="AZ580" s="94"/>
      <c r="BA580" s="95"/>
    </row>
    <row r="581" spans="1:53" s="87" customFormat="1">
      <c r="A581" s="90" t="str">
        <f t="shared" si="33"/>
        <v/>
      </c>
      <c r="B581" s="98">
        <v>22</v>
      </c>
      <c r="C581" s="94" t="s">
        <v>210</v>
      </c>
      <c r="D581" s="94">
        <v>4</v>
      </c>
      <c r="E581" s="94">
        <v>-6</v>
      </c>
      <c r="F581" s="94" t="s">
        <v>210</v>
      </c>
      <c r="G581" s="94" t="s">
        <v>210</v>
      </c>
      <c r="H581" s="94">
        <v>8</v>
      </c>
      <c r="I581" s="94">
        <v>-7</v>
      </c>
      <c r="J581" s="94" t="s">
        <v>210</v>
      </c>
      <c r="K581" s="94" t="s">
        <v>210</v>
      </c>
      <c r="L581" s="94">
        <v>1</v>
      </c>
      <c r="M581" s="94">
        <v>-5</v>
      </c>
      <c r="N581" s="94" t="s">
        <v>210</v>
      </c>
      <c r="O581" s="94" t="s">
        <v>210</v>
      </c>
      <c r="P581" s="94">
        <v>3</v>
      </c>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5"/>
    </row>
    <row r="582" spans="1:53" s="87" customFormat="1">
      <c r="A582" s="90" t="str">
        <f t="shared" si="33"/>
        <v/>
      </c>
      <c r="B582" s="98">
        <v>23</v>
      </c>
      <c r="C582" s="94" t="s">
        <v>210</v>
      </c>
      <c r="D582" s="94">
        <v>-8</v>
      </c>
      <c r="E582" s="94">
        <v>7</v>
      </c>
      <c r="F582" s="94" t="s">
        <v>210</v>
      </c>
      <c r="G582" s="94" t="s">
        <v>210</v>
      </c>
      <c r="H582" s="94">
        <v>-5</v>
      </c>
      <c r="I582" s="94">
        <v>3</v>
      </c>
      <c r="J582" s="94" t="s">
        <v>210</v>
      </c>
      <c r="K582" s="94" t="s">
        <v>210</v>
      </c>
      <c r="L582" s="94">
        <v>-1</v>
      </c>
      <c r="M582" s="94">
        <v>4</v>
      </c>
      <c r="N582" s="94" t="s">
        <v>210</v>
      </c>
      <c r="O582" s="94" t="s">
        <v>210</v>
      </c>
      <c r="P582" s="94">
        <v>6</v>
      </c>
      <c r="Q582" s="94"/>
      <c r="R582" s="94"/>
      <c r="S582" s="94"/>
      <c r="T582" s="94"/>
      <c r="U582" s="94"/>
      <c r="V582" s="94"/>
      <c r="W582" s="94"/>
      <c r="X582" s="94"/>
      <c r="Y582" s="94"/>
      <c r="Z582" s="94"/>
      <c r="AA582" s="94"/>
      <c r="AB582" s="94"/>
      <c r="AC582" s="94"/>
      <c r="AD582" s="94"/>
      <c r="AE582" s="94"/>
      <c r="AF582" s="94"/>
      <c r="AG582" s="94"/>
      <c r="AH582" s="94"/>
      <c r="AI582" s="94"/>
      <c r="AJ582" s="94"/>
      <c r="AK582" s="94"/>
      <c r="AL582" s="94"/>
      <c r="AM582" s="94"/>
      <c r="AN582" s="94"/>
      <c r="AO582" s="94"/>
      <c r="AP582" s="94"/>
      <c r="AQ582" s="94"/>
      <c r="AR582" s="94"/>
      <c r="AS582" s="94"/>
      <c r="AT582" s="94"/>
      <c r="AU582" s="94"/>
      <c r="AV582" s="94"/>
      <c r="AW582" s="94"/>
      <c r="AX582" s="94"/>
      <c r="AY582" s="94"/>
      <c r="AZ582" s="94"/>
      <c r="BA582" s="95"/>
    </row>
    <row r="583" spans="1:53" s="87" customFormat="1">
      <c r="A583" s="90" t="str">
        <f t="shared" si="33"/>
        <v/>
      </c>
      <c r="B583" s="99">
        <v>24</v>
      </c>
      <c r="C583" s="92" t="s">
        <v>210</v>
      </c>
      <c r="D583" s="92">
        <v>1</v>
      </c>
      <c r="E583" s="92">
        <v>-2</v>
      </c>
      <c r="F583" s="92" t="s">
        <v>210</v>
      </c>
      <c r="G583" s="92" t="s">
        <v>210</v>
      </c>
      <c r="H583" s="92">
        <v>3</v>
      </c>
      <c r="I583" s="92">
        <v>-4</v>
      </c>
      <c r="J583" s="92" t="s">
        <v>210</v>
      </c>
      <c r="K583" s="92" t="s">
        <v>210</v>
      </c>
      <c r="L583" s="92">
        <v>-8</v>
      </c>
      <c r="M583" s="92">
        <v>5</v>
      </c>
      <c r="N583" s="92" t="s">
        <v>210</v>
      </c>
      <c r="O583" s="92" t="s">
        <v>210</v>
      </c>
      <c r="P583" s="92">
        <v>-6</v>
      </c>
      <c r="Q583" s="94"/>
      <c r="R583" s="94"/>
      <c r="S583" s="94"/>
      <c r="T583" s="94"/>
      <c r="U583" s="94"/>
      <c r="V583" s="94"/>
      <c r="W583" s="94"/>
      <c r="X583" s="94"/>
      <c r="Y583" s="94"/>
      <c r="Z583" s="94"/>
      <c r="AA583" s="94"/>
      <c r="AB583" s="94"/>
      <c r="AC583" s="94"/>
      <c r="AD583" s="94"/>
      <c r="AE583" s="94"/>
      <c r="AF583" s="94"/>
      <c r="AG583" s="94"/>
      <c r="AH583" s="94"/>
      <c r="AI583" s="94"/>
      <c r="AJ583" s="94"/>
      <c r="AK583" s="94"/>
      <c r="AL583" s="94"/>
      <c r="AM583" s="94"/>
      <c r="AN583" s="94"/>
      <c r="AO583" s="94"/>
      <c r="AP583" s="94"/>
      <c r="AQ583" s="94"/>
      <c r="AR583" s="94"/>
      <c r="AS583" s="94"/>
      <c r="AT583" s="94"/>
      <c r="AU583" s="94"/>
      <c r="AV583" s="94"/>
      <c r="AW583" s="94"/>
      <c r="AX583" s="94"/>
      <c r="AY583" s="94"/>
      <c r="AZ583" s="94"/>
      <c r="BA583" s="95"/>
    </row>
    <row r="584" spans="1:53" s="87" customFormat="1">
      <c r="A584" s="90" t="str">
        <f t="shared" si="33"/>
        <v/>
      </c>
      <c r="B584" s="98">
        <v>25</v>
      </c>
      <c r="C584" s="94" t="s">
        <v>210</v>
      </c>
      <c r="D584" s="94">
        <v>-7</v>
      </c>
      <c r="E584" s="94">
        <v>4</v>
      </c>
      <c r="F584" s="94" t="s">
        <v>210</v>
      </c>
      <c r="G584" s="94" t="s">
        <v>210</v>
      </c>
      <c r="H584" s="94">
        <v>6</v>
      </c>
      <c r="I584" s="94">
        <v>-8</v>
      </c>
      <c r="J584" s="94" t="s">
        <v>210</v>
      </c>
      <c r="K584" s="94" t="s">
        <v>210</v>
      </c>
      <c r="L584" s="94">
        <v>-5</v>
      </c>
      <c r="M584" s="94">
        <v>1</v>
      </c>
      <c r="N584" s="94" t="s">
        <v>210</v>
      </c>
      <c r="O584" s="94" t="s">
        <v>210</v>
      </c>
      <c r="P584" s="94">
        <v>2</v>
      </c>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5"/>
    </row>
    <row r="585" spans="1:53" s="87" customFormat="1">
      <c r="A585" s="90" t="str">
        <f t="shared" si="33"/>
        <v/>
      </c>
      <c r="B585" s="98">
        <v>26</v>
      </c>
      <c r="C585" s="94" t="s">
        <v>210</v>
      </c>
      <c r="D585" s="94">
        <v>-3</v>
      </c>
      <c r="E585" s="94">
        <v>1</v>
      </c>
      <c r="F585" s="94" t="s">
        <v>210</v>
      </c>
      <c r="G585" s="94" t="s">
        <v>210</v>
      </c>
      <c r="H585" s="94">
        <v>-7</v>
      </c>
      <c r="I585" s="94">
        <v>5</v>
      </c>
      <c r="J585" s="94" t="s">
        <v>210</v>
      </c>
      <c r="K585" s="94" t="s">
        <v>210</v>
      </c>
      <c r="L585" s="94">
        <v>4</v>
      </c>
      <c r="M585" s="94">
        <v>-8</v>
      </c>
      <c r="N585" s="94" t="s">
        <v>210</v>
      </c>
      <c r="O585" s="94" t="s">
        <v>210</v>
      </c>
      <c r="P585" s="94">
        <v>-2</v>
      </c>
      <c r="Q585" s="94"/>
      <c r="R585" s="94"/>
      <c r="S585" s="94"/>
      <c r="T585" s="94"/>
      <c r="U585" s="94"/>
      <c r="V585" s="94"/>
      <c r="W585" s="94"/>
      <c r="X585" s="94"/>
      <c r="Y585" s="94"/>
      <c r="Z585" s="94"/>
      <c r="AA585" s="94"/>
      <c r="AB585" s="94"/>
      <c r="AC585" s="94"/>
      <c r="AD585" s="94"/>
      <c r="AE585" s="94"/>
      <c r="AF585" s="94"/>
      <c r="AG585" s="94"/>
      <c r="AH585" s="94"/>
      <c r="AI585" s="94"/>
      <c r="AJ585" s="94"/>
      <c r="AK585" s="94"/>
      <c r="AL585" s="94"/>
      <c r="AM585" s="94"/>
      <c r="AN585" s="94"/>
      <c r="AO585" s="94"/>
      <c r="AP585" s="94"/>
      <c r="AQ585" s="94"/>
      <c r="AR585" s="94"/>
      <c r="AS585" s="94"/>
      <c r="AT585" s="94"/>
      <c r="AU585" s="94"/>
      <c r="AV585" s="94"/>
      <c r="AW585" s="94"/>
      <c r="AX585" s="94"/>
      <c r="AY585" s="94"/>
      <c r="AZ585" s="94"/>
      <c r="BA585" s="95"/>
    </row>
    <row r="586" spans="1:53" s="87" customFormat="1">
      <c r="A586" s="90" t="str">
        <f t="shared" si="33"/>
        <v/>
      </c>
      <c r="B586" s="98">
        <v>27</v>
      </c>
      <c r="C586" s="94" t="s">
        <v>210</v>
      </c>
      <c r="D586" s="94">
        <v>-5</v>
      </c>
      <c r="E586" s="94">
        <v>-8</v>
      </c>
      <c r="F586" s="94" t="s">
        <v>210</v>
      </c>
      <c r="G586" s="94" t="s">
        <v>210</v>
      </c>
      <c r="H586" s="94">
        <v>2</v>
      </c>
      <c r="I586" s="94">
        <v>6</v>
      </c>
      <c r="J586" s="94" t="s">
        <v>210</v>
      </c>
      <c r="K586" s="94" t="s">
        <v>210</v>
      </c>
      <c r="L586" s="94">
        <v>-4</v>
      </c>
      <c r="M586" s="94">
        <v>-1</v>
      </c>
      <c r="N586" s="94" t="s">
        <v>210</v>
      </c>
      <c r="O586" s="94" t="s">
        <v>210</v>
      </c>
      <c r="P586" s="94">
        <v>7</v>
      </c>
      <c r="Q586" s="94"/>
      <c r="R586" s="94"/>
      <c r="S586" s="94"/>
      <c r="T586" s="94"/>
      <c r="U586" s="94"/>
      <c r="V586" s="94"/>
      <c r="W586" s="94"/>
      <c r="X586" s="94"/>
      <c r="Y586" s="94"/>
      <c r="Z586" s="94"/>
      <c r="AA586" s="94"/>
      <c r="AB586" s="94"/>
      <c r="AC586" s="94"/>
      <c r="AD586" s="94"/>
      <c r="AE586" s="94"/>
      <c r="AF586" s="94"/>
      <c r="AG586" s="94"/>
      <c r="AH586" s="94"/>
      <c r="AI586" s="94"/>
      <c r="AJ586" s="94"/>
      <c r="AK586" s="94"/>
      <c r="AL586" s="94"/>
      <c r="AM586" s="94"/>
      <c r="AN586" s="94"/>
      <c r="AO586" s="94"/>
      <c r="AP586" s="94"/>
      <c r="AQ586" s="94"/>
      <c r="AR586" s="94"/>
      <c r="AS586" s="94"/>
      <c r="AT586" s="94"/>
      <c r="AU586" s="94"/>
      <c r="AV586" s="94"/>
      <c r="AW586" s="94"/>
      <c r="AX586" s="94"/>
      <c r="AY586" s="94"/>
      <c r="AZ586" s="94"/>
      <c r="BA586" s="95"/>
    </row>
    <row r="587" spans="1:53" s="87" customFormat="1">
      <c r="A587" s="90" t="str">
        <f t="shared" si="33"/>
        <v/>
      </c>
      <c r="B587" s="98">
        <v>28</v>
      </c>
      <c r="C587" s="94" t="s">
        <v>210</v>
      </c>
      <c r="D587" s="94">
        <v>2</v>
      </c>
      <c r="E587" s="94">
        <v>3</v>
      </c>
      <c r="F587" s="94" t="s">
        <v>210</v>
      </c>
      <c r="G587" s="94" t="s">
        <v>210</v>
      </c>
      <c r="H587" s="94">
        <v>-4</v>
      </c>
      <c r="I587" s="94">
        <v>-1</v>
      </c>
      <c r="J587" s="94" t="s">
        <v>210</v>
      </c>
      <c r="K587" s="94" t="s">
        <v>210</v>
      </c>
      <c r="L587" s="94">
        <v>5</v>
      </c>
      <c r="M587" s="94">
        <v>8</v>
      </c>
      <c r="N587" s="94" t="s">
        <v>210</v>
      </c>
      <c r="O587" s="94" t="s">
        <v>210</v>
      </c>
      <c r="P587" s="94">
        <v>-7</v>
      </c>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5"/>
    </row>
    <row r="588" spans="1:53" s="87" customFormat="1">
      <c r="A588" s="90" t="str">
        <f t="shared" ref="A588:A651" si="34">IF(MID(B588,3,2)="08",ROW(),"")</f>
        <v/>
      </c>
      <c r="B588" s="98">
        <v>29</v>
      </c>
      <c r="C588" s="94" t="s">
        <v>210</v>
      </c>
      <c r="D588" s="94">
        <v>5</v>
      </c>
      <c r="E588" s="94">
        <v>-3</v>
      </c>
      <c r="F588" s="94" t="s">
        <v>210</v>
      </c>
      <c r="G588" s="94" t="s">
        <v>210</v>
      </c>
      <c r="H588" s="94">
        <v>7</v>
      </c>
      <c r="I588" s="94">
        <v>8</v>
      </c>
      <c r="J588" s="94" t="s">
        <v>210</v>
      </c>
      <c r="K588" s="94" t="s">
        <v>210</v>
      </c>
      <c r="L588" s="94">
        <v>-6</v>
      </c>
      <c r="M588" s="94">
        <v>-2</v>
      </c>
      <c r="N588" s="94" t="s">
        <v>210</v>
      </c>
      <c r="O588" s="94" t="s">
        <v>210</v>
      </c>
      <c r="P588" s="94">
        <v>1</v>
      </c>
      <c r="Q588" s="94"/>
      <c r="R588" s="94"/>
      <c r="S588" s="94"/>
      <c r="T588" s="94"/>
      <c r="U588" s="94"/>
      <c r="V588" s="94"/>
      <c r="W588" s="94"/>
      <c r="X588" s="94"/>
      <c r="Y588" s="94"/>
      <c r="Z588" s="94"/>
      <c r="AA588" s="94"/>
      <c r="AB588" s="94"/>
      <c r="AC588" s="94"/>
      <c r="AD588" s="94"/>
      <c r="AE588" s="94"/>
      <c r="AF588" s="94"/>
      <c r="AG588" s="94"/>
      <c r="AH588" s="94"/>
      <c r="AI588" s="94"/>
      <c r="AJ588" s="94"/>
      <c r="AK588" s="94"/>
      <c r="AL588" s="94"/>
      <c r="AM588" s="94"/>
      <c r="AN588" s="94"/>
      <c r="AO588" s="94"/>
      <c r="AP588" s="94"/>
      <c r="AQ588" s="94"/>
      <c r="AR588" s="94"/>
      <c r="AS588" s="94"/>
      <c r="AT588" s="94"/>
      <c r="AU588" s="94"/>
      <c r="AV588" s="94"/>
      <c r="AW588" s="94"/>
      <c r="AX588" s="94"/>
      <c r="AY588" s="94"/>
      <c r="AZ588" s="94"/>
      <c r="BA588" s="95"/>
    </row>
    <row r="589" spans="1:53" s="87" customFormat="1">
      <c r="A589" s="90" t="str">
        <f t="shared" si="34"/>
        <v/>
      </c>
      <c r="B589" s="98">
        <v>30</v>
      </c>
      <c r="C589" s="94" t="s">
        <v>210</v>
      </c>
      <c r="D589" s="94">
        <v>-2</v>
      </c>
      <c r="E589" s="94">
        <v>8</v>
      </c>
      <c r="F589" s="94" t="s">
        <v>210</v>
      </c>
      <c r="G589" s="94" t="s">
        <v>210</v>
      </c>
      <c r="H589" s="94">
        <v>-6</v>
      </c>
      <c r="I589" s="94">
        <v>-5</v>
      </c>
      <c r="J589" s="94" t="s">
        <v>210</v>
      </c>
      <c r="K589" s="94" t="s">
        <v>210</v>
      </c>
      <c r="L589" s="94">
        <v>3</v>
      </c>
      <c r="M589" s="94">
        <v>7</v>
      </c>
      <c r="N589" s="94" t="s">
        <v>210</v>
      </c>
      <c r="O589" s="94" t="s">
        <v>210</v>
      </c>
      <c r="P589" s="94">
        <v>-1</v>
      </c>
      <c r="Q589" s="94"/>
      <c r="R589" s="94"/>
      <c r="S589" s="94"/>
      <c r="T589" s="94"/>
      <c r="U589" s="94"/>
      <c r="V589" s="94"/>
      <c r="W589" s="94"/>
      <c r="X589" s="94"/>
      <c r="Y589" s="94"/>
      <c r="Z589" s="94"/>
      <c r="AA589" s="94"/>
      <c r="AB589" s="94"/>
      <c r="AC589" s="94"/>
      <c r="AD589" s="94"/>
      <c r="AE589" s="94"/>
      <c r="AF589" s="94"/>
      <c r="AG589" s="94"/>
      <c r="AH589" s="94"/>
      <c r="AI589" s="94"/>
      <c r="AJ589" s="94"/>
      <c r="AK589" s="94"/>
      <c r="AL589" s="94"/>
      <c r="AM589" s="94"/>
      <c r="AN589" s="94"/>
      <c r="AO589" s="94"/>
      <c r="AP589" s="94"/>
      <c r="AQ589" s="94"/>
      <c r="AR589" s="94"/>
      <c r="AS589" s="94"/>
      <c r="AT589" s="94"/>
      <c r="AU589" s="94"/>
      <c r="AV589" s="94"/>
      <c r="AW589" s="94"/>
      <c r="AX589" s="94"/>
      <c r="AY589" s="94"/>
      <c r="AZ589" s="94"/>
      <c r="BA589" s="95"/>
    </row>
    <row r="590" spans="1:53" s="87" customFormat="1">
      <c r="A590" s="90" t="str">
        <f t="shared" si="34"/>
        <v/>
      </c>
      <c r="B590" s="98">
        <v>31</v>
      </c>
      <c r="C590" s="94" t="s">
        <v>210</v>
      </c>
      <c r="D590" s="94">
        <v>7</v>
      </c>
      <c r="E590" s="94">
        <v>-1</v>
      </c>
      <c r="F590" s="94" t="s">
        <v>210</v>
      </c>
      <c r="G590" s="94" t="s">
        <v>210</v>
      </c>
      <c r="H590" s="94">
        <v>4</v>
      </c>
      <c r="I590" s="94">
        <v>-6</v>
      </c>
      <c r="J590" s="94" t="s">
        <v>210</v>
      </c>
      <c r="K590" s="94" t="s">
        <v>210</v>
      </c>
      <c r="L590" s="94">
        <v>-3</v>
      </c>
      <c r="M590" s="94">
        <v>2</v>
      </c>
      <c r="N590" s="94" t="s">
        <v>210</v>
      </c>
      <c r="O590" s="94" t="s">
        <v>210</v>
      </c>
      <c r="P590" s="94">
        <v>8</v>
      </c>
      <c r="Q590" s="94"/>
      <c r="R590" s="94"/>
      <c r="S590" s="94"/>
      <c r="T590" s="94"/>
      <c r="U590" s="94"/>
      <c r="V590" s="94"/>
      <c r="W590" s="94"/>
      <c r="X590" s="94"/>
      <c r="Y590" s="94"/>
      <c r="Z590" s="94"/>
      <c r="AA590" s="94"/>
      <c r="AB590" s="94"/>
      <c r="AC590" s="94"/>
      <c r="AD590" s="94"/>
      <c r="AE590" s="94"/>
      <c r="AF590" s="94"/>
      <c r="AG590" s="94"/>
      <c r="AH590" s="94"/>
      <c r="AI590" s="94"/>
      <c r="AJ590" s="94"/>
      <c r="AK590" s="94"/>
      <c r="AL590" s="94"/>
      <c r="AM590" s="94"/>
      <c r="AN590" s="94"/>
      <c r="AO590" s="94"/>
      <c r="AP590" s="94"/>
      <c r="AQ590" s="94"/>
      <c r="AR590" s="94"/>
      <c r="AS590" s="94"/>
      <c r="AT590" s="94"/>
      <c r="AU590" s="94"/>
      <c r="AV590" s="94"/>
      <c r="AW590" s="94"/>
      <c r="AX590" s="94"/>
      <c r="AY590" s="94"/>
      <c r="AZ590" s="94"/>
      <c r="BA590" s="95"/>
    </row>
    <row r="591" spans="1:53" s="87" customFormat="1">
      <c r="A591" s="90" t="str">
        <f t="shared" si="34"/>
        <v/>
      </c>
      <c r="B591" s="98">
        <v>32</v>
      </c>
      <c r="C591" s="94" t="s">
        <v>210</v>
      </c>
      <c r="D591" s="94">
        <v>3</v>
      </c>
      <c r="E591" s="94">
        <v>-4</v>
      </c>
      <c r="F591" s="94" t="s">
        <v>210</v>
      </c>
      <c r="G591" s="94" t="s">
        <v>210</v>
      </c>
      <c r="H591" s="94">
        <v>-2</v>
      </c>
      <c r="I591" s="94">
        <v>1</v>
      </c>
      <c r="J591" s="94" t="s">
        <v>210</v>
      </c>
      <c r="K591" s="94" t="s">
        <v>210</v>
      </c>
      <c r="L591" s="94">
        <v>6</v>
      </c>
      <c r="M591" s="94">
        <v>-7</v>
      </c>
      <c r="N591" s="94" t="s">
        <v>210</v>
      </c>
      <c r="O591" s="94" t="s">
        <v>210</v>
      </c>
      <c r="P591" s="94">
        <v>-8</v>
      </c>
      <c r="Q591" s="94"/>
      <c r="R591" s="94"/>
      <c r="S591" s="94"/>
      <c r="T591" s="94"/>
      <c r="U591" s="94"/>
      <c r="V591" s="94"/>
      <c r="W591" s="94"/>
      <c r="X591" s="94"/>
      <c r="Y591" s="94"/>
      <c r="Z591" s="94"/>
      <c r="AA591" s="94"/>
      <c r="AB591" s="94"/>
      <c r="AC591" s="94"/>
      <c r="AD591" s="94"/>
      <c r="AE591" s="94"/>
      <c r="AF591" s="94"/>
      <c r="AG591" s="94"/>
      <c r="AH591" s="94"/>
      <c r="AI591" s="94"/>
      <c r="AJ591" s="94"/>
      <c r="AK591" s="94"/>
      <c r="AL591" s="94"/>
      <c r="AM591" s="94"/>
      <c r="AN591" s="94"/>
      <c r="AO591" s="94"/>
      <c r="AP591" s="94"/>
      <c r="AQ591" s="94"/>
      <c r="AR591" s="94"/>
      <c r="AS591" s="94"/>
      <c r="AT591" s="94"/>
      <c r="AU591" s="94"/>
      <c r="AV591" s="94"/>
      <c r="AW591" s="94"/>
      <c r="AX591" s="94"/>
      <c r="AY591" s="94"/>
      <c r="AZ591" s="94"/>
      <c r="BA591" s="95"/>
    </row>
    <row r="592" spans="1:53" s="87" customFormat="1">
      <c r="A592" s="90" t="str">
        <f t="shared" si="34"/>
        <v/>
      </c>
      <c r="B592" s="98" t="s">
        <v>483</v>
      </c>
      <c r="C592" s="94"/>
      <c r="D592" s="94"/>
      <c r="E592" s="94"/>
      <c r="F592" s="94"/>
      <c r="G592" s="94"/>
      <c r="H592" s="94"/>
      <c r="I592" s="94"/>
      <c r="J592" s="94"/>
      <c r="K592" s="94"/>
      <c r="L592" s="94"/>
      <c r="M592" s="94"/>
      <c r="N592" s="94"/>
      <c r="O592" s="94"/>
      <c r="P592" s="94"/>
      <c r="Q592" s="94"/>
      <c r="R592" s="94"/>
      <c r="S592" s="94"/>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4"/>
      <c r="AY592" s="94"/>
      <c r="AZ592" s="94"/>
      <c r="BA592" s="95"/>
    </row>
    <row r="593" spans="1:53" s="87" customFormat="1">
      <c r="A593" s="90">
        <f t="shared" si="34"/>
        <v>593</v>
      </c>
      <c r="B593" s="98" t="s">
        <v>484</v>
      </c>
      <c r="C593" s="94"/>
      <c r="D593" s="94"/>
      <c r="E593" s="94"/>
      <c r="F593" s="94"/>
      <c r="G593" s="94"/>
      <c r="H593" s="94"/>
      <c r="I593" s="94"/>
      <c r="J593" s="94"/>
      <c r="K593" s="94"/>
      <c r="L593" s="94"/>
      <c r="M593" s="94"/>
      <c r="N593" s="94"/>
      <c r="O593" s="94"/>
      <c r="P593" s="94"/>
      <c r="Q593" s="94"/>
      <c r="R593" s="94"/>
      <c r="S593" s="94"/>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c r="AW593" s="94"/>
      <c r="AX593" s="94"/>
      <c r="AY593" s="94"/>
      <c r="AZ593" s="94"/>
      <c r="BA593" s="95"/>
    </row>
    <row r="594" spans="1:53" s="87" customFormat="1">
      <c r="A594" s="90" t="str">
        <f t="shared" si="34"/>
        <v/>
      </c>
      <c r="B594" s="98">
        <v>1</v>
      </c>
      <c r="C594" s="94">
        <v>-1</v>
      </c>
      <c r="D594" s="94" t="s">
        <v>210</v>
      </c>
      <c r="E594" s="94" t="s">
        <v>210</v>
      </c>
      <c r="F594" s="94">
        <v>2</v>
      </c>
      <c r="G594" s="94">
        <v>5</v>
      </c>
      <c r="H594" s="94" t="s">
        <v>210</v>
      </c>
      <c r="I594" s="94" t="s">
        <v>210</v>
      </c>
      <c r="J594" s="94">
        <v>-7</v>
      </c>
      <c r="K594" s="94">
        <v>-4</v>
      </c>
      <c r="L594" s="94" t="s">
        <v>210</v>
      </c>
      <c r="M594" s="94"/>
      <c r="N594" s="94"/>
      <c r="O594" s="94"/>
      <c r="P594" s="94"/>
      <c r="Q594" s="94"/>
      <c r="R594" s="94"/>
      <c r="S594" s="94"/>
      <c r="T594" s="94"/>
      <c r="U594" s="94"/>
      <c r="V594" s="94"/>
      <c r="W594" s="94"/>
      <c r="X594" s="94"/>
      <c r="Y594" s="94"/>
      <c r="Z594" s="94"/>
      <c r="AA594" s="94"/>
      <c r="AB594" s="94"/>
      <c r="AC594" s="94"/>
      <c r="AD594" s="94"/>
      <c r="AE594" s="94"/>
      <c r="AF594" s="94"/>
      <c r="AG594" s="94"/>
      <c r="AH594" s="94"/>
      <c r="AI594" s="94"/>
      <c r="AJ594" s="94"/>
      <c r="AK594" s="94"/>
      <c r="AL594" s="94"/>
      <c r="AM594" s="94"/>
      <c r="AN594" s="94"/>
      <c r="AO594" s="94"/>
      <c r="AP594" s="94"/>
      <c r="AQ594" s="94"/>
      <c r="AR594" s="94"/>
      <c r="AS594" s="94"/>
      <c r="AT594" s="94"/>
      <c r="AU594" s="94"/>
      <c r="AV594" s="94"/>
      <c r="AW594" s="94"/>
      <c r="AX594" s="94"/>
      <c r="AY594" s="94"/>
      <c r="AZ594" s="94"/>
      <c r="BA594" s="95"/>
    </row>
    <row r="595" spans="1:53" s="87" customFormat="1">
      <c r="A595" s="90" t="str">
        <f t="shared" si="34"/>
        <v/>
      </c>
      <c r="B595" s="98">
        <v>2</v>
      </c>
      <c r="C595" s="94">
        <v>-7</v>
      </c>
      <c r="D595" s="94" t="s">
        <v>210</v>
      </c>
      <c r="E595" s="94" t="s">
        <v>210</v>
      </c>
      <c r="F595" s="94">
        <v>-6</v>
      </c>
      <c r="G595" s="94">
        <v>1</v>
      </c>
      <c r="H595" s="94" t="s">
        <v>210</v>
      </c>
      <c r="I595" s="94" t="s">
        <v>210</v>
      </c>
      <c r="J595" s="94">
        <v>-5</v>
      </c>
      <c r="K595" s="94">
        <v>4</v>
      </c>
      <c r="L595" s="94" t="s">
        <v>210</v>
      </c>
      <c r="M595" s="94"/>
      <c r="N595" s="94"/>
      <c r="O595" s="94"/>
      <c r="P595" s="94"/>
      <c r="Q595" s="94"/>
      <c r="R595" s="94"/>
      <c r="S595" s="94"/>
      <c r="T595" s="94"/>
      <c r="U595" s="94"/>
      <c r="V595" s="94"/>
      <c r="W595" s="94"/>
      <c r="X595" s="94"/>
      <c r="Y595" s="94"/>
      <c r="Z595" s="94"/>
      <c r="AA595" s="94"/>
      <c r="AB595" s="94"/>
      <c r="AC595" s="94"/>
      <c r="AD595" s="94"/>
      <c r="AE595" s="94"/>
      <c r="AF595" s="94"/>
      <c r="AG595" s="94"/>
      <c r="AH595" s="94"/>
      <c r="AI595" s="94"/>
      <c r="AJ595" s="94"/>
      <c r="AK595" s="94"/>
      <c r="AL595" s="94"/>
      <c r="AM595" s="94"/>
      <c r="AN595" s="94"/>
      <c r="AO595" s="94"/>
      <c r="AP595" s="94"/>
      <c r="AQ595" s="94"/>
      <c r="AR595" s="94"/>
      <c r="AS595" s="94"/>
      <c r="AT595" s="94"/>
      <c r="AU595" s="94"/>
      <c r="AV595" s="94"/>
      <c r="AW595" s="94"/>
      <c r="AX595" s="94"/>
      <c r="AY595" s="94"/>
      <c r="AZ595" s="94"/>
      <c r="BA595" s="95"/>
    </row>
    <row r="596" spans="1:53" s="87" customFormat="1">
      <c r="A596" s="90" t="str">
        <f t="shared" si="34"/>
        <v/>
      </c>
      <c r="B596" s="98">
        <v>3</v>
      </c>
      <c r="C596" s="94">
        <v>1</v>
      </c>
      <c r="D596" s="94" t="s">
        <v>210</v>
      </c>
      <c r="E596" s="94" t="s">
        <v>210</v>
      </c>
      <c r="F596" s="94">
        <v>6</v>
      </c>
      <c r="G596" s="94">
        <v>-7</v>
      </c>
      <c r="H596" s="94" t="s">
        <v>210</v>
      </c>
      <c r="I596" s="94" t="s">
        <v>210</v>
      </c>
      <c r="J596" s="94">
        <v>-2</v>
      </c>
      <c r="K596" s="94">
        <v>5</v>
      </c>
      <c r="L596" s="94" t="s">
        <v>210</v>
      </c>
      <c r="M596" s="94"/>
      <c r="N596" s="94"/>
      <c r="O596" s="94"/>
      <c r="P596" s="94"/>
      <c r="Q596" s="94"/>
      <c r="R596" s="94"/>
      <c r="S596" s="94"/>
      <c r="T596" s="94"/>
      <c r="U596" s="94"/>
      <c r="V596" s="94"/>
      <c r="W596" s="94"/>
      <c r="X596" s="94"/>
      <c r="Y596" s="94"/>
      <c r="Z596" s="94"/>
      <c r="AA596" s="94"/>
      <c r="AB596" s="94"/>
      <c r="AC596" s="94"/>
      <c r="AD596" s="94"/>
      <c r="AE596" s="94"/>
      <c r="AF596" s="94"/>
      <c r="AG596" s="94"/>
      <c r="AH596" s="94"/>
      <c r="AI596" s="94"/>
      <c r="AJ596" s="94"/>
      <c r="AK596" s="94"/>
      <c r="AL596" s="94"/>
      <c r="AM596" s="94"/>
      <c r="AN596" s="94"/>
      <c r="AO596" s="94"/>
      <c r="AP596" s="94"/>
      <c r="AQ596" s="94"/>
      <c r="AR596" s="94"/>
      <c r="AS596" s="94"/>
      <c r="AT596" s="94"/>
      <c r="AU596" s="94"/>
      <c r="AV596" s="94"/>
      <c r="AW596" s="94"/>
      <c r="AX596" s="94"/>
      <c r="AY596" s="94"/>
      <c r="AZ596" s="94"/>
      <c r="BA596" s="95"/>
    </row>
    <row r="597" spans="1:53" s="87" customFormat="1">
      <c r="A597" s="90" t="str">
        <f t="shared" si="34"/>
        <v/>
      </c>
      <c r="B597" s="98">
        <v>4</v>
      </c>
      <c r="C597" s="94">
        <v>4</v>
      </c>
      <c r="D597" s="94" t="s">
        <v>210</v>
      </c>
      <c r="E597" s="94" t="s">
        <v>210</v>
      </c>
      <c r="F597" s="94">
        <v>3</v>
      </c>
      <c r="G597" s="94">
        <v>-1</v>
      </c>
      <c r="H597" s="94" t="s">
        <v>210</v>
      </c>
      <c r="I597" s="94" t="s">
        <v>210</v>
      </c>
      <c r="J597" s="94">
        <v>7</v>
      </c>
      <c r="K597" s="94">
        <v>-5</v>
      </c>
      <c r="L597" s="94" t="s">
        <v>210</v>
      </c>
      <c r="M597" s="94"/>
      <c r="N597" s="94"/>
      <c r="O597" s="94"/>
      <c r="P597" s="94"/>
      <c r="Q597" s="94"/>
      <c r="R597" s="94"/>
      <c r="S597" s="94"/>
      <c r="T597" s="94"/>
      <c r="U597" s="94"/>
      <c r="V597" s="94"/>
      <c r="W597" s="94"/>
      <c r="X597" s="94"/>
      <c r="Y597" s="94"/>
      <c r="Z597" s="94"/>
      <c r="AA597" s="94"/>
      <c r="AB597" s="94"/>
      <c r="AC597" s="94"/>
      <c r="AD597" s="94"/>
      <c r="AE597" s="94"/>
      <c r="AF597" s="94"/>
      <c r="AG597" s="94"/>
      <c r="AH597" s="94"/>
      <c r="AI597" s="94"/>
      <c r="AJ597" s="94"/>
      <c r="AK597" s="94"/>
      <c r="AL597" s="94"/>
      <c r="AM597" s="94"/>
      <c r="AN597" s="94"/>
      <c r="AO597" s="94"/>
      <c r="AP597" s="94"/>
      <c r="AQ597" s="94"/>
      <c r="AR597" s="94"/>
      <c r="AS597" s="94"/>
      <c r="AT597" s="94"/>
      <c r="AU597" s="94"/>
      <c r="AV597" s="94"/>
      <c r="AW597" s="94"/>
      <c r="AX597" s="94"/>
      <c r="AY597" s="94"/>
      <c r="AZ597" s="94"/>
      <c r="BA597" s="95"/>
    </row>
    <row r="598" spans="1:53" s="87" customFormat="1">
      <c r="A598" s="90" t="str">
        <f t="shared" si="34"/>
        <v/>
      </c>
      <c r="B598" s="98">
        <v>5</v>
      </c>
      <c r="C598" s="94">
        <v>7</v>
      </c>
      <c r="D598" s="94" t="s">
        <v>210</v>
      </c>
      <c r="E598" s="94" t="s">
        <v>210</v>
      </c>
      <c r="F598" s="94">
        <v>-3</v>
      </c>
      <c r="G598" s="94">
        <v>-5</v>
      </c>
      <c r="H598" s="94" t="s">
        <v>210</v>
      </c>
      <c r="I598" s="94" t="s">
        <v>210</v>
      </c>
      <c r="J598" s="94">
        <v>2</v>
      </c>
      <c r="K598" s="94">
        <v>1</v>
      </c>
      <c r="L598" s="94" t="s">
        <v>210</v>
      </c>
      <c r="M598" s="94"/>
      <c r="N598" s="94"/>
      <c r="O598" s="94"/>
      <c r="P598" s="94"/>
      <c r="Q598" s="94"/>
      <c r="R598" s="94"/>
      <c r="S598" s="94"/>
      <c r="T598" s="94"/>
      <c r="U598" s="94"/>
      <c r="V598" s="94"/>
      <c r="W598" s="94"/>
      <c r="X598" s="94"/>
      <c r="Y598" s="94"/>
      <c r="Z598" s="94"/>
      <c r="AA598" s="94"/>
      <c r="AB598" s="94"/>
      <c r="AC598" s="94"/>
      <c r="AD598" s="94"/>
      <c r="AE598" s="94"/>
      <c r="AF598" s="94"/>
      <c r="AG598" s="94"/>
      <c r="AH598" s="94"/>
      <c r="AI598" s="94"/>
      <c r="AJ598" s="94"/>
      <c r="AK598" s="94"/>
      <c r="AL598" s="94"/>
      <c r="AM598" s="94"/>
      <c r="AN598" s="94"/>
      <c r="AO598" s="94"/>
      <c r="AP598" s="94"/>
      <c r="AQ598" s="94"/>
      <c r="AR598" s="94"/>
      <c r="AS598" s="94"/>
      <c r="AT598" s="94"/>
      <c r="AU598" s="94"/>
      <c r="AV598" s="94"/>
      <c r="AW598" s="94"/>
      <c r="AX598" s="94"/>
      <c r="AY598" s="94"/>
      <c r="AZ598" s="94"/>
      <c r="BA598" s="95"/>
    </row>
    <row r="599" spans="1:53" s="87" customFormat="1">
      <c r="A599" s="90" t="str">
        <f t="shared" si="34"/>
        <v/>
      </c>
      <c r="B599" s="99">
        <v>6</v>
      </c>
      <c r="C599" s="92">
        <v>-4</v>
      </c>
      <c r="D599" s="92" t="s">
        <v>210</v>
      </c>
      <c r="E599" s="92" t="s">
        <v>210</v>
      </c>
      <c r="F599" s="92">
        <v>-2</v>
      </c>
      <c r="G599" s="92">
        <v>7</v>
      </c>
      <c r="H599" s="92" t="s">
        <v>210</v>
      </c>
      <c r="I599" s="92" t="s">
        <v>210</v>
      </c>
      <c r="J599" s="92">
        <v>5</v>
      </c>
      <c r="K599" s="92">
        <v>-1</v>
      </c>
      <c r="L599" s="92" t="s">
        <v>210</v>
      </c>
      <c r="M599" s="94"/>
      <c r="N599" s="94"/>
      <c r="O599" s="94"/>
      <c r="P599" s="94"/>
      <c r="Q599" s="94"/>
      <c r="R599" s="94"/>
      <c r="S599" s="94"/>
      <c r="T599" s="94"/>
      <c r="U599" s="94"/>
      <c r="V599" s="94"/>
      <c r="W599" s="94"/>
      <c r="X599" s="94"/>
      <c r="Y599" s="94"/>
      <c r="Z599" s="94"/>
      <c r="AA599" s="94"/>
      <c r="AB599" s="94"/>
      <c r="AC599" s="94"/>
      <c r="AD599" s="94"/>
      <c r="AE599" s="94"/>
      <c r="AF599" s="94"/>
      <c r="AG599" s="94"/>
      <c r="AH599" s="94"/>
      <c r="AI599" s="94"/>
      <c r="AJ599" s="94"/>
      <c r="AK599" s="94"/>
      <c r="AL599" s="94"/>
      <c r="AM599" s="94"/>
      <c r="AN599" s="94"/>
      <c r="AO599" s="94"/>
      <c r="AP599" s="94"/>
      <c r="AQ599" s="94"/>
      <c r="AR599" s="94"/>
      <c r="AS599" s="94"/>
      <c r="AT599" s="94"/>
      <c r="AU599" s="94"/>
      <c r="AV599" s="94"/>
      <c r="AW599" s="94"/>
      <c r="AX599" s="94"/>
      <c r="AY599" s="94"/>
      <c r="AZ599" s="94"/>
      <c r="BA599" s="95"/>
    </row>
    <row r="600" spans="1:53" s="87" customFormat="1">
      <c r="A600" s="90" t="str">
        <f t="shared" si="34"/>
        <v/>
      </c>
      <c r="B600" s="98">
        <v>7</v>
      </c>
      <c r="C600" s="94" t="s">
        <v>210</v>
      </c>
      <c r="D600" s="94">
        <v>-1</v>
      </c>
      <c r="E600" s="94">
        <v>2</v>
      </c>
      <c r="F600" s="94" t="s">
        <v>210</v>
      </c>
      <c r="G600" s="94" t="s">
        <v>210</v>
      </c>
      <c r="H600" s="94">
        <v>5</v>
      </c>
      <c r="I600" s="94">
        <v>-7</v>
      </c>
      <c r="J600" s="94" t="s">
        <v>210</v>
      </c>
      <c r="K600" s="94" t="s">
        <v>210</v>
      </c>
      <c r="L600" s="94">
        <v>-4</v>
      </c>
      <c r="M600" s="94"/>
      <c r="N600" s="94"/>
      <c r="O600" s="94"/>
      <c r="P600" s="94"/>
      <c r="Q600" s="94"/>
      <c r="R600" s="94"/>
      <c r="S600" s="94"/>
      <c r="T600" s="94"/>
      <c r="U600" s="94"/>
      <c r="V600" s="94"/>
      <c r="W600" s="94"/>
      <c r="X600" s="94"/>
      <c r="Y600" s="94"/>
      <c r="Z600" s="94"/>
      <c r="AA600" s="94"/>
      <c r="AB600" s="94"/>
      <c r="AC600" s="94"/>
      <c r="AD600" s="94"/>
      <c r="AE600" s="94"/>
      <c r="AF600" s="94"/>
      <c r="AG600" s="94"/>
      <c r="AH600" s="94"/>
      <c r="AI600" s="94"/>
      <c r="AJ600" s="94"/>
      <c r="AK600" s="94"/>
      <c r="AL600" s="94"/>
      <c r="AM600" s="94"/>
      <c r="AN600" s="94"/>
      <c r="AO600" s="94"/>
      <c r="AP600" s="94"/>
      <c r="AQ600" s="94"/>
      <c r="AR600" s="94"/>
      <c r="AS600" s="94"/>
      <c r="AT600" s="94"/>
      <c r="AU600" s="94"/>
      <c r="AV600" s="94"/>
      <c r="AW600" s="94"/>
      <c r="AX600" s="94"/>
      <c r="AY600" s="94"/>
      <c r="AZ600" s="94"/>
      <c r="BA600" s="95"/>
    </row>
    <row r="601" spans="1:53" s="87" customFormat="1">
      <c r="A601" s="90" t="str">
        <f t="shared" si="34"/>
        <v/>
      </c>
      <c r="B601" s="98">
        <v>8</v>
      </c>
      <c r="C601" s="94" t="s">
        <v>210</v>
      </c>
      <c r="D601" s="94">
        <v>-7</v>
      </c>
      <c r="E601" s="94">
        <v>-6</v>
      </c>
      <c r="F601" s="94" t="s">
        <v>210</v>
      </c>
      <c r="G601" s="94" t="s">
        <v>210</v>
      </c>
      <c r="H601" s="94">
        <v>1</v>
      </c>
      <c r="I601" s="94">
        <v>-5</v>
      </c>
      <c r="J601" s="94" t="s">
        <v>210</v>
      </c>
      <c r="K601" s="94" t="s">
        <v>210</v>
      </c>
      <c r="L601" s="94">
        <v>4</v>
      </c>
      <c r="M601" s="94"/>
      <c r="N601" s="94"/>
      <c r="O601" s="94"/>
      <c r="P601" s="94"/>
      <c r="Q601" s="94"/>
      <c r="R601" s="94"/>
      <c r="S601" s="94"/>
      <c r="T601" s="94"/>
      <c r="U601" s="94"/>
      <c r="V601" s="94"/>
      <c r="W601" s="94"/>
      <c r="X601" s="94"/>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AZ601" s="94"/>
      <c r="BA601" s="95"/>
    </row>
    <row r="602" spans="1:53" s="87" customFormat="1">
      <c r="A602" s="90" t="str">
        <f t="shared" si="34"/>
        <v/>
      </c>
      <c r="B602" s="98">
        <v>9</v>
      </c>
      <c r="C602" s="94" t="s">
        <v>210</v>
      </c>
      <c r="D602" s="94">
        <v>1</v>
      </c>
      <c r="E602" s="94">
        <v>6</v>
      </c>
      <c r="F602" s="94" t="s">
        <v>210</v>
      </c>
      <c r="G602" s="94" t="s">
        <v>210</v>
      </c>
      <c r="H602" s="94">
        <v>-7</v>
      </c>
      <c r="I602" s="94">
        <v>-2</v>
      </c>
      <c r="J602" s="94" t="s">
        <v>210</v>
      </c>
      <c r="K602" s="94" t="s">
        <v>210</v>
      </c>
      <c r="L602" s="94">
        <v>5</v>
      </c>
      <c r="M602" s="94"/>
      <c r="N602" s="94"/>
      <c r="O602" s="94"/>
      <c r="P602" s="94"/>
      <c r="Q602" s="94"/>
      <c r="R602" s="94"/>
      <c r="S602" s="94"/>
      <c r="T602" s="94"/>
      <c r="U602" s="94"/>
      <c r="V602" s="94"/>
      <c r="W602" s="94"/>
      <c r="X602" s="94"/>
      <c r="Y602" s="94"/>
      <c r="Z602" s="94"/>
      <c r="AA602" s="94"/>
      <c r="AB602" s="94"/>
      <c r="AC602" s="94"/>
      <c r="AD602" s="94"/>
      <c r="AE602" s="94"/>
      <c r="AF602" s="94"/>
      <c r="AG602" s="94"/>
      <c r="AH602" s="94"/>
      <c r="AI602" s="94"/>
      <c r="AJ602" s="94"/>
      <c r="AK602" s="94"/>
      <c r="AL602" s="94"/>
      <c r="AM602" s="94"/>
      <c r="AN602" s="94"/>
      <c r="AO602" s="94"/>
      <c r="AP602" s="94"/>
      <c r="AQ602" s="94"/>
      <c r="AR602" s="94"/>
      <c r="AS602" s="94"/>
      <c r="AT602" s="94"/>
      <c r="AU602" s="94"/>
      <c r="AV602" s="94"/>
      <c r="AW602" s="94"/>
      <c r="AX602" s="94"/>
      <c r="AY602" s="94"/>
      <c r="AZ602" s="94"/>
      <c r="BA602" s="95"/>
    </row>
    <row r="603" spans="1:53" s="87" customFormat="1">
      <c r="A603" s="90" t="str">
        <f t="shared" si="34"/>
        <v/>
      </c>
      <c r="B603" s="98">
        <v>10</v>
      </c>
      <c r="C603" s="94" t="s">
        <v>210</v>
      </c>
      <c r="D603" s="94">
        <v>4</v>
      </c>
      <c r="E603" s="94">
        <v>3</v>
      </c>
      <c r="F603" s="94" t="s">
        <v>210</v>
      </c>
      <c r="G603" s="94" t="s">
        <v>210</v>
      </c>
      <c r="H603" s="94">
        <v>-1</v>
      </c>
      <c r="I603" s="94">
        <v>7</v>
      </c>
      <c r="J603" s="94" t="s">
        <v>210</v>
      </c>
      <c r="K603" s="94" t="s">
        <v>210</v>
      </c>
      <c r="L603" s="94">
        <v>-5</v>
      </c>
      <c r="M603" s="94"/>
      <c r="N603" s="94"/>
      <c r="O603" s="94"/>
      <c r="P603" s="94"/>
      <c r="Q603" s="94"/>
      <c r="R603" s="94"/>
      <c r="S603" s="94"/>
      <c r="T603" s="94"/>
      <c r="U603" s="94"/>
      <c r="V603" s="94"/>
      <c r="W603" s="94"/>
      <c r="X603" s="94"/>
      <c r="Y603" s="94"/>
      <c r="Z603" s="94"/>
      <c r="AA603" s="94"/>
      <c r="AB603" s="94"/>
      <c r="AC603" s="94"/>
      <c r="AD603" s="94"/>
      <c r="AE603" s="94"/>
      <c r="AF603" s="94"/>
      <c r="AG603" s="94"/>
      <c r="AH603" s="94"/>
      <c r="AI603" s="94"/>
      <c r="AJ603" s="94"/>
      <c r="AK603" s="94"/>
      <c r="AL603" s="94"/>
      <c r="AM603" s="94"/>
      <c r="AN603" s="94"/>
      <c r="AO603" s="94"/>
      <c r="AP603" s="94"/>
      <c r="AQ603" s="94"/>
      <c r="AR603" s="94"/>
      <c r="AS603" s="94"/>
      <c r="AT603" s="94"/>
      <c r="AU603" s="94"/>
      <c r="AV603" s="94"/>
      <c r="AW603" s="94"/>
      <c r="AX603" s="94"/>
      <c r="AY603" s="94"/>
      <c r="AZ603" s="94"/>
      <c r="BA603" s="95"/>
    </row>
    <row r="604" spans="1:53" s="87" customFormat="1">
      <c r="A604" s="90" t="str">
        <f t="shared" si="34"/>
        <v/>
      </c>
      <c r="B604" s="98">
        <v>11</v>
      </c>
      <c r="C604" s="94" t="s">
        <v>210</v>
      </c>
      <c r="D604" s="94">
        <v>7</v>
      </c>
      <c r="E604" s="94">
        <v>-3</v>
      </c>
      <c r="F604" s="94" t="s">
        <v>210</v>
      </c>
      <c r="G604" s="94" t="s">
        <v>210</v>
      </c>
      <c r="H604" s="94">
        <v>-5</v>
      </c>
      <c r="I604" s="94">
        <v>2</v>
      </c>
      <c r="J604" s="94" t="s">
        <v>210</v>
      </c>
      <c r="K604" s="94" t="s">
        <v>210</v>
      </c>
      <c r="L604" s="94">
        <v>1</v>
      </c>
      <c r="M604" s="94"/>
      <c r="N604" s="94"/>
      <c r="O604" s="94"/>
      <c r="P604" s="94"/>
      <c r="Q604" s="94"/>
      <c r="R604" s="94"/>
      <c r="S604" s="94"/>
      <c r="T604" s="94"/>
      <c r="U604" s="94"/>
      <c r="V604" s="94"/>
      <c r="W604" s="94"/>
      <c r="X604" s="94"/>
      <c r="Y604" s="94"/>
      <c r="Z604" s="94"/>
      <c r="AA604" s="94"/>
      <c r="AB604" s="94"/>
      <c r="AC604" s="94"/>
      <c r="AD604" s="94"/>
      <c r="AE604" s="94"/>
      <c r="AF604" s="94"/>
      <c r="AG604" s="94"/>
      <c r="AH604" s="94"/>
      <c r="AI604" s="94"/>
      <c r="AJ604" s="94"/>
      <c r="AK604" s="94"/>
      <c r="AL604" s="94"/>
      <c r="AM604" s="94"/>
      <c r="AN604" s="94"/>
      <c r="AO604" s="94"/>
      <c r="AP604" s="94"/>
      <c r="AQ604" s="94"/>
      <c r="AR604" s="94"/>
      <c r="AS604" s="94"/>
      <c r="AT604" s="94"/>
      <c r="AU604" s="94"/>
      <c r="AV604" s="94"/>
      <c r="AW604" s="94"/>
      <c r="AX604" s="94"/>
      <c r="AY604" s="94"/>
      <c r="AZ604" s="94"/>
      <c r="BA604" s="95"/>
    </row>
    <row r="605" spans="1:53" s="87" customFormat="1">
      <c r="A605" s="90" t="str">
        <f t="shared" si="34"/>
        <v/>
      </c>
      <c r="B605" s="99">
        <v>12</v>
      </c>
      <c r="C605" s="92" t="s">
        <v>210</v>
      </c>
      <c r="D605" s="92">
        <v>-4</v>
      </c>
      <c r="E605" s="92">
        <v>-2</v>
      </c>
      <c r="F605" s="92" t="s">
        <v>210</v>
      </c>
      <c r="G605" s="92" t="s">
        <v>210</v>
      </c>
      <c r="H605" s="92">
        <v>7</v>
      </c>
      <c r="I605" s="92">
        <v>5</v>
      </c>
      <c r="J605" s="92" t="s">
        <v>210</v>
      </c>
      <c r="K605" s="92" t="s">
        <v>210</v>
      </c>
      <c r="L605" s="92">
        <v>-1</v>
      </c>
      <c r="M605" s="94"/>
      <c r="N605" s="94"/>
      <c r="O605" s="94"/>
      <c r="P605" s="94"/>
      <c r="Q605" s="94"/>
      <c r="R605" s="94"/>
      <c r="S605" s="94"/>
      <c r="T605" s="94"/>
      <c r="U605" s="94"/>
      <c r="V605" s="94"/>
      <c r="W605" s="94"/>
      <c r="X605" s="94"/>
      <c r="Y605" s="94"/>
      <c r="Z605" s="94"/>
      <c r="AA605" s="94"/>
      <c r="AB605" s="94"/>
      <c r="AC605" s="94"/>
      <c r="AD605" s="94"/>
      <c r="AE605" s="94"/>
      <c r="AF605" s="94"/>
      <c r="AG605" s="94"/>
      <c r="AH605" s="94"/>
      <c r="AI605" s="94"/>
      <c r="AJ605" s="94"/>
      <c r="AK605" s="94"/>
      <c r="AL605" s="94"/>
      <c r="AM605" s="94"/>
      <c r="AN605" s="94"/>
      <c r="AO605" s="94"/>
      <c r="AP605" s="94"/>
      <c r="AQ605" s="94"/>
      <c r="AR605" s="94"/>
      <c r="AS605" s="94"/>
      <c r="AT605" s="94"/>
      <c r="AU605" s="94"/>
      <c r="AV605" s="94"/>
      <c r="AW605" s="94"/>
      <c r="AX605" s="94"/>
      <c r="AY605" s="94"/>
      <c r="AZ605" s="94"/>
      <c r="BA605" s="95"/>
    </row>
    <row r="606" spans="1:53" s="87" customFormat="1">
      <c r="A606" s="90" t="str">
        <f t="shared" si="34"/>
        <v/>
      </c>
      <c r="B606" s="98">
        <v>13</v>
      </c>
      <c r="C606" s="94">
        <v>2</v>
      </c>
      <c r="D606" s="94" t="s">
        <v>210</v>
      </c>
      <c r="E606" s="94" t="s">
        <v>210</v>
      </c>
      <c r="F606" s="94">
        <v>-8</v>
      </c>
      <c r="G606" s="94">
        <v>4</v>
      </c>
      <c r="H606" s="94" t="s">
        <v>210</v>
      </c>
      <c r="I606" s="94" t="s">
        <v>210</v>
      </c>
      <c r="J606" s="94">
        <v>-6</v>
      </c>
      <c r="K606" s="94">
        <v>-3</v>
      </c>
      <c r="L606" s="94" t="s">
        <v>210</v>
      </c>
      <c r="M606" s="94"/>
      <c r="N606" s="94"/>
      <c r="O606" s="94"/>
      <c r="P606" s="94"/>
      <c r="Q606" s="94"/>
      <c r="R606" s="94"/>
      <c r="S606" s="94"/>
      <c r="T606" s="94"/>
      <c r="U606" s="94"/>
      <c r="V606" s="94"/>
      <c r="W606" s="94"/>
      <c r="X606" s="94"/>
      <c r="Y606" s="94"/>
      <c r="Z606" s="94"/>
      <c r="AA606" s="94"/>
      <c r="AB606" s="94"/>
      <c r="AC606" s="94"/>
      <c r="AD606" s="94"/>
      <c r="AE606" s="94"/>
      <c r="AF606" s="94"/>
      <c r="AG606" s="94"/>
      <c r="AH606" s="94"/>
      <c r="AI606" s="94"/>
      <c r="AJ606" s="94"/>
      <c r="AK606" s="94"/>
      <c r="AL606" s="94"/>
      <c r="AM606" s="94"/>
      <c r="AN606" s="94"/>
      <c r="AO606" s="94"/>
      <c r="AP606" s="94"/>
      <c r="AQ606" s="94"/>
      <c r="AR606" s="94"/>
      <c r="AS606" s="94"/>
      <c r="AT606" s="94"/>
      <c r="AU606" s="94"/>
      <c r="AV606" s="94"/>
      <c r="AW606" s="94"/>
      <c r="AX606" s="94"/>
      <c r="AY606" s="94"/>
      <c r="AZ606" s="94"/>
      <c r="BA606" s="95"/>
    </row>
    <row r="607" spans="1:53" s="87" customFormat="1">
      <c r="A607" s="90" t="str">
        <f t="shared" si="34"/>
        <v/>
      </c>
      <c r="B607" s="98">
        <v>14</v>
      </c>
      <c r="C607" s="94">
        <v>8</v>
      </c>
      <c r="D607" s="94" t="s">
        <v>210</v>
      </c>
      <c r="E607" s="94" t="s">
        <v>210</v>
      </c>
      <c r="F607" s="94">
        <v>-7</v>
      </c>
      <c r="G607" s="94">
        <v>-2</v>
      </c>
      <c r="H607" s="94" t="s">
        <v>210</v>
      </c>
      <c r="I607" s="94" t="s">
        <v>210</v>
      </c>
      <c r="J607" s="94">
        <v>4</v>
      </c>
      <c r="K607" s="94">
        <v>3</v>
      </c>
      <c r="L607" s="94" t="s">
        <v>210</v>
      </c>
      <c r="M607" s="94"/>
      <c r="N607" s="94"/>
      <c r="O607" s="94"/>
      <c r="P607" s="94"/>
      <c r="Q607" s="94"/>
      <c r="R607" s="94"/>
      <c r="S607" s="94"/>
      <c r="T607" s="94"/>
      <c r="U607" s="94"/>
      <c r="V607" s="94"/>
      <c r="W607" s="94"/>
      <c r="X607" s="94"/>
      <c r="Y607" s="94"/>
      <c r="Z607" s="94"/>
      <c r="AA607" s="94"/>
      <c r="AB607" s="94"/>
      <c r="AC607" s="94"/>
      <c r="AD607" s="94"/>
      <c r="AE607" s="94"/>
      <c r="AF607" s="94"/>
      <c r="AG607" s="94"/>
      <c r="AH607" s="94"/>
      <c r="AI607" s="94"/>
      <c r="AJ607" s="94"/>
      <c r="AK607" s="94"/>
      <c r="AL607" s="94"/>
      <c r="AM607" s="94"/>
      <c r="AN607" s="94"/>
      <c r="AO607" s="94"/>
      <c r="AP607" s="94"/>
      <c r="AQ607" s="94"/>
      <c r="AR607" s="94"/>
      <c r="AS607" s="94"/>
      <c r="AT607" s="94"/>
      <c r="AU607" s="94"/>
      <c r="AV607" s="94"/>
      <c r="AW607" s="94"/>
      <c r="AX607" s="94"/>
      <c r="AY607" s="94"/>
      <c r="AZ607" s="94"/>
      <c r="BA607" s="95"/>
    </row>
    <row r="608" spans="1:53" s="87" customFormat="1">
      <c r="A608" s="90" t="str">
        <f t="shared" si="34"/>
        <v/>
      </c>
      <c r="B608" s="98">
        <v>15</v>
      </c>
      <c r="C608" s="94">
        <v>-2</v>
      </c>
      <c r="D608" s="94" t="s">
        <v>210</v>
      </c>
      <c r="E608" s="94" t="s">
        <v>210</v>
      </c>
      <c r="F608" s="94">
        <v>5</v>
      </c>
      <c r="G608" s="94">
        <v>-8</v>
      </c>
      <c r="H608" s="94" t="s">
        <v>210</v>
      </c>
      <c r="I608" s="94" t="s">
        <v>210</v>
      </c>
      <c r="J608" s="94">
        <v>-4</v>
      </c>
      <c r="K608" s="94">
        <v>6</v>
      </c>
      <c r="L608" s="94" t="s">
        <v>210</v>
      </c>
      <c r="M608" s="94"/>
      <c r="N608" s="94"/>
      <c r="O608" s="94"/>
      <c r="P608" s="94"/>
      <c r="Q608" s="94"/>
      <c r="R608" s="94"/>
      <c r="S608" s="94"/>
      <c r="T608" s="94"/>
      <c r="U608" s="94"/>
      <c r="V608" s="94"/>
      <c r="W608" s="94"/>
      <c r="X608" s="94"/>
      <c r="Y608" s="94"/>
      <c r="Z608" s="94"/>
      <c r="AA608" s="94"/>
      <c r="AB608" s="94"/>
      <c r="AC608" s="94"/>
      <c r="AD608" s="94"/>
      <c r="AE608" s="94"/>
      <c r="AF608" s="94"/>
      <c r="AG608" s="94"/>
      <c r="AH608" s="94"/>
      <c r="AI608" s="94"/>
      <c r="AJ608" s="94"/>
      <c r="AK608" s="94"/>
      <c r="AL608" s="94"/>
      <c r="AM608" s="94"/>
      <c r="AN608" s="94"/>
      <c r="AO608" s="94"/>
      <c r="AP608" s="94"/>
      <c r="AQ608" s="94"/>
      <c r="AR608" s="94"/>
      <c r="AS608" s="94"/>
      <c r="AT608" s="94"/>
      <c r="AU608" s="94"/>
      <c r="AV608" s="94"/>
      <c r="AW608" s="94"/>
      <c r="AX608" s="94"/>
      <c r="AY608" s="94"/>
      <c r="AZ608" s="94"/>
      <c r="BA608" s="95"/>
    </row>
    <row r="609" spans="1:53" s="87" customFormat="1">
      <c r="A609" s="90" t="str">
        <f t="shared" si="34"/>
        <v/>
      </c>
      <c r="B609" s="98">
        <v>16</v>
      </c>
      <c r="C609" s="94">
        <v>3</v>
      </c>
      <c r="D609" s="94" t="s">
        <v>210</v>
      </c>
      <c r="E609" s="94" t="s">
        <v>210</v>
      </c>
      <c r="F609" s="94">
        <v>7</v>
      </c>
      <c r="G609" s="94">
        <v>-4</v>
      </c>
      <c r="H609" s="94" t="s">
        <v>210</v>
      </c>
      <c r="I609" s="94" t="s">
        <v>210</v>
      </c>
      <c r="J609" s="94">
        <v>8</v>
      </c>
      <c r="K609" s="94">
        <v>-6</v>
      </c>
      <c r="L609" s="94" t="s">
        <v>210</v>
      </c>
      <c r="M609" s="94"/>
      <c r="N609" s="94"/>
      <c r="O609" s="94"/>
      <c r="P609" s="94"/>
      <c r="Q609" s="94"/>
      <c r="R609" s="94"/>
      <c r="S609" s="94"/>
      <c r="T609" s="94"/>
      <c r="U609" s="94"/>
      <c r="V609" s="94"/>
      <c r="W609" s="94"/>
      <c r="X609" s="94"/>
      <c r="Y609" s="94"/>
      <c r="Z609" s="94"/>
      <c r="AA609" s="94"/>
      <c r="AB609" s="94"/>
      <c r="AC609" s="94"/>
      <c r="AD609" s="94"/>
      <c r="AE609" s="94"/>
      <c r="AF609" s="94"/>
      <c r="AG609" s="94"/>
      <c r="AH609" s="94"/>
      <c r="AI609" s="94"/>
      <c r="AJ609" s="94"/>
      <c r="AK609" s="94"/>
      <c r="AL609" s="94"/>
      <c r="AM609" s="94"/>
      <c r="AN609" s="94"/>
      <c r="AO609" s="94"/>
      <c r="AP609" s="94"/>
      <c r="AQ609" s="94"/>
      <c r="AR609" s="94"/>
      <c r="AS609" s="94"/>
      <c r="AT609" s="94"/>
      <c r="AU609" s="94"/>
      <c r="AV609" s="94"/>
      <c r="AW609" s="94"/>
      <c r="AX609" s="94"/>
      <c r="AY609" s="94"/>
      <c r="AZ609" s="94"/>
      <c r="BA609" s="95"/>
    </row>
    <row r="610" spans="1:53" s="87" customFormat="1">
      <c r="A610" s="90" t="str">
        <f t="shared" si="34"/>
        <v/>
      </c>
      <c r="B610" s="99">
        <v>17</v>
      </c>
      <c r="C610" s="92">
        <v>-3</v>
      </c>
      <c r="D610" s="92" t="s">
        <v>210</v>
      </c>
      <c r="E610" s="92" t="s">
        <v>210</v>
      </c>
      <c r="F610" s="92">
        <v>-5</v>
      </c>
      <c r="G610" s="92">
        <v>2</v>
      </c>
      <c r="H610" s="92" t="s">
        <v>210</v>
      </c>
      <c r="I610" s="92" t="s">
        <v>210</v>
      </c>
      <c r="J610" s="92">
        <v>6</v>
      </c>
      <c r="K610" s="92">
        <v>-8</v>
      </c>
      <c r="L610" s="92" t="s">
        <v>210</v>
      </c>
      <c r="M610" s="94"/>
      <c r="N610" s="94"/>
      <c r="O610" s="94"/>
      <c r="P610" s="94"/>
      <c r="Q610" s="94"/>
      <c r="R610" s="94"/>
      <c r="S610" s="94"/>
      <c r="T610" s="94"/>
      <c r="U610" s="94"/>
      <c r="V610" s="94"/>
      <c r="W610" s="94"/>
      <c r="X610" s="94"/>
      <c r="Y610" s="94"/>
      <c r="Z610" s="94"/>
      <c r="AA610" s="94"/>
      <c r="AB610" s="94"/>
      <c r="AC610" s="94"/>
      <c r="AD610" s="94"/>
      <c r="AE610" s="94"/>
      <c r="AF610" s="94"/>
      <c r="AG610" s="94"/>
      <c r="AH610" s="94"/>
      <c r="AI610" s="94"/>
      <c r="AJ610" s="94"/>
      <c r="AK610" s="94"/>
      <c r="AL610" s="94"/>
      <c r="AM610" s="94"/>
      <c r="AN610" s="94"/>
      <c r="AO610" s="94"/>
      <c r="AP610" s="94"/>
      <c r="AQ610" s="94"/>
      <c r="AR610" s="94"/>
      <c r="AS610" s="94"/>
      <c r="AT610" s="94"/>
      <c r="AU610" s="94"/>
      <c r="AV610" s="94"/>
      <c r="AW610" s="94"/>
      <c r="AX610" s="94"/>
      <c r="AY610" s="94"/>
      <c r="AZ610" s="94"/>
      <c r="BA610" s="95"/>
    </row>
    <row r="611" spans="1:53" s="87" customFormat="1">
      <c r="A611" s="90" t="str">
        <f t="shared" si="34"/>
        <v/>
      </c>
      <c r="B611" s="98">
        <v>18</v>
      </c>
      <c r="C611" s="94">
        <v>-5</v>
      </c>
      <c r="D611" s="94" t="s">
        <v>210</v>
      </c>
      <c r="E611" s="94" t="s">
        <v>210</v>
      </c>
      <c r="F611" s="94">
        <v>8</v>
      </c>
      <c r="G611" s="94">
        <v>-3</v>
      </c>
      <c r="H611" s="94" t="s">
        <v>210</v>
      </c>
      <c r="I611" s="94" t="s">
        <v>210</v>
      </c>
      <c r="J611" s="94">
        <v>1</v>
      </c>
      <c r="K611" s="94">
        <v>2</v>
      </c>
      <c r="L611" s="94" t="s">
        <v>210</v>
      </c>
      <c r="M611" s="94"/>
      <c r="N611" s="94"/>
      <c r="O611" s="94"/>
      <c r="P611" s="94"/>
      <c r="Q611" s="94"/>
      <c r="R611" s="94"/>
      <c r="S611" s="94"/>
      <c r="T611" s="94"/>
      <c r="U611" s="94"/>
      <c r="V611" s="94"/>
      <c r="W611" s="94"/>
      <c r="X611" s="94"/>
      <c r="Y611" s="94"/>
      <c r="Z611" s="94"/>
      <c r="AA611" s="94"/>
      <c r="AB611" s="94"/>
      <c r="AC611" s="94"/>
      <c r="AD611" s="94"/>
      <c r="AE611" s="94"/>
      <c r="AF611" s="94"/>
      <c r="AG611" s="94"/>
      <c r="AH611" s="94"/>
      <c r="AI611" s="94"/>
      <c r="AJ611" s="94"/>
      <c r="AK611" s="94"/>
      <c r="AL611" s="94"/>
      <c r="AM611" s="94"/>
      <c r="AN611" s="94"/>
      <c r="AO611" s="94"/>
      <c r="AP611" s="94"/>
      <c r="AQ611" s="94"/>
      <c r="AR611" s="94"/>
      <c r="AS611" s="94"/>
      <c r="AT611" s="94"/>
      <c r="AU611" s="94"/>
      <c r="AV611" s="94"/>
      <c r="AW611" s="94"/>
      <c r="AX611" s="94"/>
      <c r="AY611" s="94"/>
      <c r="AZ611" s="94"/>
      <c r="BA611" s="95"/>
    </row>
    <row r="612" spans="1:53" s="87" customFormat="1">
      <c r="A612" s="90" t="str">
        <f t="shared" si="34"/>
        <v/>
      </c>
      <c r="B612" s="98">
        <v>19</v>
      </c>
      <c r="C612" s="94">
        <v>6</v>
      </c>
      <c r="D612" s="94" t="s">
        <v>210</v>
      </c>
      <c r="E612" s="94" t="s">
        <v>210</v>
      </c>
      <c r="F612" s="94">
        <v>4</v>
      </c>
      <c r="G612" s="94">
        <v>8</v>
      </c>
      <c r="H612" s="94" t="s">
        <v>210</v>
      </c>
      <c r="I612" s="94" t="s">
        <v>210</v>
      </c>
      <c r="J612" s="94">
        <v>-3</v>
      </c>
      <c r="K612" s="94">
        <v>-2</v>
      </c>
      <c r="L612" s="94" t="s">
        <v>210</v>
      </c>
      <c r="M612" s="94"/>
      <c r="N612" s="94"/>
      <c r="O612" s="94"/>
      <c r="P612" s="94"/>
      <c r="Q612" s="94"/>
      <c r="R612" s="94"/>
      <c r="S612" s="94"/>
      <c r="T612" s="94"/>
      <c r="U612" s="94"/>
      <c r="V612" s="94"/>
      <c r="W612" s="94"/>
      <c r="X612" s="94"/>
      <c r="Y612" s="94"/>
      <c r="Z612" s="94"/>
      <c r="AA612" s="94"/>
      <c r="AB612" s="94"/>
      <c r="AC612" s="94"/>
      <c r="AD612" s="94"/>
      <c r="AE612" s="94"/>
      <c r="AF612" s="94"/>
      <c r="AG612" s="94"/>
      <c r="AH612" s="94"/>
      <c r="AI612" s="94"/>
      <c r="AJ612" s="94"/>
      <c r="AK612" s="94"/>
      <c r="AL612" s="94"/>
      <c r="AM612" s="94"/>
      <c r="AN612" s="94"/>
      <c r="AO612" s="94"/>
      <c r="AP612" s="94"/>
      <c r="AQ612" s="94"/>
      <c r="AR612" s="94"/>
      <c r="AS612" s="94"/>
      <c r="AT612" s="94"/>
      <c r="AU612" s="94"/>
      <c r="AV612" s="94"/>
      <c r="AW612" s="94"/>
      <c r="AX612" s="94"/>
      <c r="AY612" s="94"/>
      <c r="AZ612" s="94"/>
      <c r="BA612" s="95"/>
    </row>
    <row r="613" spans="1:53" s="87" customFormat="1">
      <c r="A613" s="90" t="str">
        <f t="shared" si="34"/>
        <v/>
      </c>
      <c r="B613" s="98">
        <v>20</v>
      </c>
      <c r="C613" s="94">
        <v>-8</v>
      </c>
      <c r="D613" s="94" t="s">
        <v>210</v>
      </c>
      <c r="E613" s="94" t="s">
        <v>210</v>
      </c>
      <c r="F613" s="94">
        <v>-4</v>
      </c>
      <c r="G613" s="94">
        <v>6</v>
      </c>
      <c r="H613" s="94" t="s">
        <v>210</v>
      </c>
      <c r="I613" s="94" t="s">
        <v>210</v>
      </c>
      <c r="J613" s="94">
        <v>-1</v>
      </c>
      <c r="K613" s="94">
        <v>7</v>
      </c>
      <c r="L613" s="94" t="s">
        <v>210</v>
      </c>
      <c r="M613" s="94"/>
      <c r="N613" s="94"/>
      <c r="O613" s="94"/>
      <c r="P613" s="94"/>
      <c r="Q613" s="94"/>
      <c r="R613" s="94"/>
      <c r="S613" s="94"/>
      <c r="T613" s="94"/>
      <c r="U613" s="94"/>
      <c r="V613" s="94"/>
      <c r="W613" s="94"/>
      <c r="X613" s="94"/>
      <c r="Y613" s="94"/>
      <c r="Z613" s="94"/>
      <c r="AA613" s="94"/>
      <c r="AB613" s="94"/>
      <c r="AC613" s="94"/>
      <c r="AD613" s="94"/>
      <c r="AE613" s="94"/>
      <c r="AF613" s="94"/>
      <c r="AG613" s="94"/>
      <c r="AH613" s="94"/>
      <c r="AI613" s="94"/>
      <c r="AJ613" s="94"/>
      <c r="AK613" s="94"/>
      <c r="AL613" s="94"/>
      <c r="AM613" s="94"/>
      <c r="AN613" s="94"/>
      <c r="AO613" s="94"/>
      <c r="AP613" s="94"/>
      <c r="AQ613" s="94"/>
      <c r="AR613" s="94"/>
      <c r="AS613" s="94"/>
      <c r="AT613" s="94"/>
      <c r="AU613" s="94"/>
      <c r="AV613" s="94"/>
      <c r="AW613" s="94"/>
      <c r="AX613" s="94"/>
      <c r="AY613" s="94"/>
      <c r="AZ613" s="94"/>
      <c r="BA613" s="95"/>
    </row>
    <row r="614" spans="1:53" s="87" customFormat="1">
      <c r="A614" s="90" t="str">
        <f t="shared" si="34"/>
        <v/>
      </c>
      <c r="B614" s="98">
        <v>21</v>
      </c>
      <c r="C614" s="94">
        <v>-6</v>
      </c>
      <c r="D614" s="94" t="s">
        <v>210</v>
      </c>
      <c r="E614" s="94" t="s">
        <v>210</v>
      </c>
      <c r="F614" s="94">
        <v>1</v>
      </c>
      <c r="G614" s="94">
        <v>3</v>
      </c>
      <c r="H614" s="94" t="s">
        <v>210</v>
      </c>
      <c r="I614" s="94" t="s">
        <v>210</v>
      </c>
      <c r="J614" s="94">
        <v>-8</v>
      </c>
      <c r="K614" s="94">
        <v>-7</v>
      </c>
      <c r="L614" s="94" t="s">
        <v>210</v>
      </c>
      <c r="M614" s="94"/>
      <c r="N614" s="94"/>
      <c r="O614" s="94"/>
      <c r="P614" s="94"/>
      <c r="Q614" s="94"/>
      <c r="R614" s="94"/>
      <c r="S614" s="94"/>
      <c r="T614" s="94"/>
      <c r="U614" s="94"/>
      <c r="V614" s="94"/>
      <c r="W614" s="94"/>
      <c r="X614" s="94"/>
      <c r="Y614" s="94"/>
      <c r="Z614" s="94"/>
      <c r="AA614" s="94"/>
      <c r="AB614" s="94"/>
      <c r="AC614" s="94"/>
      <c r="AD614" s="94"/>
      <c r="AE614" s="94"/>
      <c r="AF614" s="94"/>
      <c r="AG614" s="94"/>
      <c r="AH614" s="94"/>
      <c r="AI614" s="94"/>
      <c r="AJ614" s="94"/>
      <c r="AK614" s="94"/>
      <c r="AL614" s="94"/>
      <c r="AM614" s="94"/>
      <c r="AN614" s="94"/>
      <c r="AO614" s="94"/>
      <c r="AP614" s="94"/>
      <c r="AQ614" s="94"/>
      <c r="AR614" s="94"/>
      <c r="AS614" s="94"/>
      <c r="AT614" s="94"/>
      <c r="AU614" s="94"/>
      <c r="AV614" s="94"/>
      <c r="AW614" s="94"/>
      <c r="AX614" s="94"/>
      <c r="AY614" s="94"/>
      <c r="AZ614" s="94"/>
      <c r="BA614" s="95"/>
    </row>
    <row r="615" spans="1:53" s="87" customFormat="1">
      <c r="A615" s="90" t="str">
        <f t="shared" si="34"/>
        <v/>
      </c>
      <c r="B615" s="99">
        <v>22</v>
      </c>
      <c r="C615" s="92">
        <v>5</v>
      </c>
      <c r="D615" s="92" t="s">
        <v>210</v>
      </c>
      <c r="E615" s="92" t="s">
        <v>210</v>
      </c>
      <c r="F615" s="92">
        <v>-1</v>
      </c>
      <c r="G615" s="92">
        <v>-6</v>
      </c>
      <c r="H615" s="92" t="s">
        <v>210</v>
      </c>
      <c r="I615" s="92" t="s">
        <v>210</v>
      </c>
      <c r="J615" s="92">
        <v>3</v>
      </c>
      <c r="K615" s="92">
        <v>8</v>
      </c>
      <c r="L615" s="92" t="s">
        <v>210</v>
      </c>
      <c r="M615" s="94"/>
      <c r="N615" s="94"/>
      <c r="O615" s="94"/>
      <c r="P615" s="94"/>
      <c r="Q615" s="94"/>
      <c r="R615" s="94"/>
      <c r="S615" s="94"/>
      <c r="T615" s="94"/>
      <c r="U615" s="94"/>
      <c r="V615" s="94"/>
      <c r="W615" s="94"/>
      <c r="X615" s="94"/>
      <c r="Y615" s="94"/>
      <c r="Z615" s="94"/>
      <c r="AA615" s="94"/>
      <c r="AB615" s="94"/>
      <c r="AC615" s="94"/>
      <c r="AD615" s="94"/>
      <c r="AE615" s="94"/>
      <c r="AF615" s="94"/>
      <c r="AG615" s="94"/>
      <c r="AH615" s="94"/>
      <c r="AI615" s="94"/>
      <c r="AJ615" s="94"/>
      <c r="AK615" s="94"/>
      <c r="AL615" s="94"/>
      <c r="AM615" s="94"/>
      <c r="AN615" s="94"/>
      <c r="AO615" s="94"/>
      <c r="AP615" s="94"/>
      <c r="AQ615" s="94"/>
      <c r="AR615" s="94"/>
      <c r="AS615" s="94"/>
      <c r="AT615" s="94"/>
      <c r="AU615" s="94"/>
      <c r="AV615" s="94"/>
      <c r="AW615" s="94"/>
      <c r="AX615" s="94"/>
      <c r="AY615" s="94"/>
      <c r="AZ615" s="94"/>
      <c r="BA615" s="95"/>
    </row>
    <row r="616" spans="1:53" s="87" customFormat="1">
      <c r="A616" s="90" t="str">
        <f t="shared" si="34"/>
        <v/>
      </c>
      <c r="B616" s="98">
        <v>23</v>
      </c>
      <c r="C616" s="94" t="s">
        <v>210</v>
      </c>
      <c r="D616" s="94">
        <v>2</v>
      </c>
      <c r="E616" s="94">
        <v>-8</v>
      </c>
      <c r="F616" s="94" t="s">
        <v>210</v>
      </c>
      <c r="G616" s="94" t="s">
        <v>210</v>
      </c>
      <c r="H616" s="94">
        <v>4</v>
      </c>
      <c r="I616" s="94">
        <v>-6</v>
      </c>
      <c r="J616" s="94" t="s">
        <v>210</v>
      </c>
      <c r="K616" s="94" t="s">
        <v>210</v>
      </c>
      <c r="L616" s="94">
        <v>-3</v>
      </c>
      <c r="M616" s="94"/>
      <c r="N616" s="94"/>
      <c r="O616" s="94"/>
      <c r="P616" s="94"/>
      <c r="Q616" s="94"/>
      <c r="R616" s="94"/>
      <c r="S616" s="94"/>
      <c r="T616" s="94"/>
      <c r="U616" s="94"/>
      <c r="V616" s="94"/>
      <c r="W616" s="94"/>
      <c r="X616" s="94"/>
      <c r="Y616" s="94"/>
      <c r="Z616" s="94"/>
      <c r="AA616" s="94"/>
      <c r="AB616" s="94"/>
      <c r="AC616" s="94"/>
      <c r="AD616" s="94"/>
      <c r="AE616" s="94"/>
      <c r="AF616" s="94"/>
      <c r="AG616" s="94"/>
      <c r="AH616" s="94"/>
      <c r="AI616" s="94"/>
      <c r="AJ616" s="94"/>
      <c r="AK616" s="94"/>
      <c r="AL616" s="94"/>
      <c r="AM616" s="94"/>
      <c r="AN616" s="94"/>
      <c r="AO616" s="94"/>
      <c r="AP616" s="94"/>
      <c r="AQ616" s="94"/>
      <c r="AR616" s="94"/>
      <c r="AS616" s="94"/>
      <c r="AT616" s="94"/>
      <c r="AU616" s="94"/>
      <c r="AV616" s="94"/>
      <c r="AW616" s="94"/>
      <c r="AX616" s="94"/>
      <c r="AY616" s="94"/>
      <c r="AZ616" s="94"/>
      <c r="BA616" s="95"/>
    </row>
    <row r="617" spans="1:53" s="87" customFormat="1">
      <c r="A617" s="90" t="str">
        <f t="shared" si="34"/>
        <v/>
      </c>
      <c r="B617" s="98">
        <v>24</v>
      </c>
      <c r="C617" s="94" t="s">
        <v>210</v>
      </c>
      <c r="D617" s="94">
        <v>8</v>
      </c>
      <c r="E617" s="94">
        <v>-7</v>
      </c>
      <c r="F617" s="94" t="s">
        <v>210</v>
      </c>
      <c r="G617" s="94" t="s">
        <v>210</v>
      </c>
      <c r="H617" s="94">
        <v>-2</v>
      </c>
      <c r="I617" s="94">
        <v>4</v>
      </c>
      <c r="J617" s="94" t="s">
        <v>210</v>
      </c>
      <c r="K617" s="94" t="s">
        <v>210</v>
      </c>
      <c r="L617" s="94">
        <v>3</v>
      </c>
      <c r="M617" s="94"/>
      <c r="N617" s="94"/>
      <c r="O617" s="94"/>
      <c r="P617" s="94"/>
      <c r="Q617" s="94"/>
      <c r="R617" s="94"/>
      <c r="S617" s="94"/>
      <c r="T617" s="94"/>
      <c r="U617" s="94"/>
      <c r="V617" s="94"/>
      <c r="W617" s="94"/>
      <c r="X617" s="94"/>
      <c r="Y617" s="94"/>
      <c r="Z617" s="94"/>
      <c r="AA617" s="94"/>
      <c r="AB617" s="94"/>
      <c r="AC617" s="94"/>
      <c r="AD617" s="94"/>
      <c r="AE617" s="94"/>
      <c r="AF617" s="94"/>
      <c r="AG617" s="94"/>
      <c r="AH617" s="94"/>
      <c r="AI617" s="94"/>
      <c r="AJ617" s="94"/>
      <c r="AK617" s="94"/>
      <c r="AL617" s="94"/>
      <c r="AM617" s="94"/>
      <c r="AN617" s="94"/>
      <c r="AO617" s="94"/>
      <c r="AP617" s="94"/>
      <c r="AQ617" s="94"/>
      <c r="AR617" s="94"/>
      <c r="AS617" s="94"/>
      <c r="AT617" s="94"/>
      <c r="AU617" s="94"/>
      <c r="AV617" s="94"/>
      <c r="AW617" s="94"/>
      <c r="AX617" s="94"/>
      <c r="AY617" s="94"/>
      <c r="AZ617" s="94"/>
      <c r="BA617" s="95"/>
    </row>
    <row r="618" spans="1:53" s="87" customFormat="1">
      <c r="A618" s="90" t="str">
        <f t="shared" si="34"/>
        <v/>
      </c>
      <c r="B618" s="98">
        <v>25</v>
      </c>
      <c r="C618" s="94" t="s">
        <v>210</v>
      </c>
      <c r="D618" s="94">
        <v>-2</v>
      </c>
      <c r="E618" s="94">
        <v>5</v>
      </c>
      <c r="F618" s="94" t="s">
        <v>210</v>
      </c>
      <c r="G618" s="94" t="s">
        <v>210</v>
      </c>
      <c r="H618" s="94">
        <v>-8</v>
      </c>
      <c r="I618" s="94">
        <v>-4</v>
      </c>
      <c r="J618" s="94" t="s">
        <v>210</v>
      </c>
      <c r="K618" s="94" t="s">
        <v>210</v>
      </c>
      <c r="L618" s="94">
        <v>6</v>
      </c>
      <c r="M618" s="94"/>
      <c r="N618" s="94"/>
      <c r="O618" s="94"/>
      <c r="P618" s="94"/>
      <c r="Q618" s="94"/>
      <c r="R618" s="94"/>
      <c r="S618" s="94"/>
      <c r="T618" s="94"/>
      <c r="U618" s="94"/>
      <c r="V618" s="94"/>
      <c r="W618" s="94"/>
      <c r="X618" s="94"/>
      <c r="Y618" s="94"/>
      <c r="Z618" s="94"/>
      <c r="AA618" s="94"/>
      <c r="AB618" s="94"/>
      <c r="AC618" s="94"/>
      <c r="AD618" s="94"/>
      <c r="AE618" s="94"/>
      <c r="AF618" s="94"/>
      <c r="AG618" s="94"/>
      <c r="AH618" s="94"/>
      <c r="AI618" s="94"/>
      <c r="AJ618" s="94"/>
      <c r="AK618" s="94"/>
      <c r="AL618" s="94"/>
      <c r="AM618" s="94"/>
      <c r="AN618" s="94"/>
      <c r="AO618" s="94"/>
      <c r="AP618" s="94"/>
      <c r="AQ618" s="94"/>
      <c r="AR618" s="94"/>
      <c r="AS618" s="94"/>
      <c r="AT618" s="94"/>
      <c r="AU618" s="94"/>
      <c r="AV618" s="94"/>
      <c r="AW618" s="94"/>
      <c r="AX618" s="94"/>
      <c r="AY618" s="94"/>
      <c r="AZ618" s="94"/>
      <c r="BA618" s="95"/>
    </row>
    <row r="619" spans="1:53" s="87" customFormat="1">
      <c r="A619" s="90" t="str">
        <f t="shared" si="34"/>
        <v/>
      </c>
      <c r="B619" s="98">
        <v>26</v>
      </c>
      <c r="C619" s="94" t="s">
        <v>210</v>
      </c>
      <c r="D619" s="94">
        <v>3</v>
      </c>
      <c r="E619" s="94">
        <v>7</v>
      </c>
      <c r="F619" s="94" t="s">
        <v>210</v>
      </c>
      <c r="G619" s="94" t="s">
        <v>210</v>
      </c>
      <c r="H619" s="94">
        <v>-4</v>
      </c>
      <c r="I619" s="94">
        <v>8</v>
      </c>
      <c r="J619" s="94" t="s">
        <v>210</v>
      </c>
      <c r="K619" s="94" t="s">
        <v>210</v>
      </c>
      <c r="L619" s="94">
        <v>-6</v>
      </c>
      <c r="M619" s="94"/>
      <c r="N619" s="94"/>
      <c r="O619" s="94"/>
      <c r="P619" s="94"/>
      <c r="Q619" s="94"/>
      <c r="R619" s="94"/>
      <c r="S619" s="94"/>
      <c r="T619" s="94"/>
      <c r="U619" s="94"/>
      <c r="V619" s="94"/>
      <c r="W619" s="94"/>
      <c r="X619" s="94"/>
      <c r="Y619" s="94"/>
      <c r="Z619" s="94"/>
      <c r="AA619" s="94"/>
      <c r="AB619" s="94"/>
      <c r="AC619" s="94"/>
      <c r="AD619" s="94"/>
      <c r="AE619" s="94"/>
      <c r="AF619" s="94"/>
      <c r="AG619" s="94"/>
      <c r="AH619" s="94"/>
      <c r="AI619" s="94"/>
      <c r="AJ619" s="94"/>
      <c r="AK619" s="94"/>
      <c r="AL619" s="94"/>
      <c r="AM619" s="94"/>
      <c r="AN619" s="94"/>
      <c r="AO619" s="94"/>
      <c r="AP619" s="94"/>
      <c r="AQ619" s="94"/>
      <c r="AR619" s="94"/>
      <c r="AS619" s="94"/>
      <c r="AT619" s="94"/>
      <c r="AU619" s="94"/>
      <c r="AV619" s="94"/>
      <c r="AW619" s="94"/>
      <c r="AX619" s="94"/>
      <c r="AY619" s="94"/>
      <c r="AZ619" s="94"/>
      <c r="BA619" s="95"/>
    </row>
    <row r="620" spans="1:53" s="87" customFormat="1">
      <c r="A620" s="90" t="str">
        <f t="shared" si="34"/>
        <v/>
      </c>
      <c r="B620" s="99">
        <v>27</v>
      </c>
      <c r="C620" s="92" t="s">
        <v>210</v>
      </c>
      <c r="D620" s="92">
        <v>-3</v>
      </c>
      <c r="E620" s="92">
        <v>-5</v>
      </c>
      <c r="F620" s="92" t="s">
        <v>210</v>
      </c>
      <c r="G620" s="92" t="s">
        <v>210</v>
      </c>
      <c r="H620" s="92">
        <v>2</v>
      </c>
      <c r="I620" s="92">
        <v>6</v>
      </c>
      <c r="J620" s="92" t="s">
        <v>210</v>
      </c>
      <c r="K620" s="92" t="s">
        <v>210</v>
      </c>
      <c r="L620" s="92">
        <v>-8</v>
      </c>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5"/>
    </row>
    <row r="621" spans="1:53" s="87" customFormat="1">
      <c r="A621" s="90" t="str">
        <f t="shared" si="34"/>
        <v/>
      </c>
      <c r="B621" s="98">
        <v>28</v>
      </c>
      <c r="C621" s="94" t="s">
        <v>210</v>
      </c>
      <c r="D621" s="94">
        <v>-5</v>
      </c>
      <c r="E621" s="94">
        <v>8</v>
      </c>
      <c r="F621" s="94" t="s">
        <v>210</v>
      </c>
      <c r="G621" s="94" t="s">
        <v>210</v>
      </c>
      <c r="H621" s="94">
        <v>-3</v>
      </c>
      <c r="I621" s="94">
        <v>1</v>
      </c>
      <c r="J621" s="94" t="s">
        <v>210</v>
      </c>
      <c r="K621" s="94" t="s">
        <v>210</v>
      </c>
      <c r="L621" s="94">
        <v>2</v>
      </c>
      <c r="M621" s="94"/>
      <c r="N621" s="94"/>
      <c r="O621" s="94"/>
      <c r="P621" s="94"/>
      <c r="Q621" s="94"/>
      <c r="R621" s="94"/>
      <c r="S621" s="94"/>
      <c r="T621" s="94"/>
      <c r="U621" s="94"/>
      <c r="V621" s="94"/>
      <c r="W621" s="94"/>
      <c r="X621" s="94"/>
      <c r="Y621" s="94"/>
      <c r="Z621" s="94"/>
      <c r="AA621" s="94"/>
      <c r="AB621" s="94"/>
      <c r="AC621" s="94"/>
      <c r="AD621" s="94"/>
      <c r="AE621" s="94"/>
      <c r="AF621" s="94"/>
      <c r="AG621" s="94"/>
      <c r="AH621" s="94"/>
      <c r="AI621" s="94"/>
      <c r="AJ621" s="94"/>
      <c r="AK621" s="94"/>
      <c r="AL621" s="94"/>
      <c r="AM621" s="94"/>
      <c r="AN621" s="94"/>
      <c r="AO621" s="94"/>
      <c r="AP621" s="94"/>
      <c r="AQ621" s="94"/>
      <c r="AR621" s="94"/>
      <c r="AS621" s="94"/>
      <c r="AT621" s="94"/>
      <c r="AU621" s="94"/>
      <c r="AV621" s="94"/>
      <c r="AW621" s="94"/>
      <c r="AX621" s="94"/>
      <c r="AY621" s="94"/>
      <c r="AZ621" s="94"/>
      <c r="BA621" s="95"/>
    </row>
    <row r="622" spans="1:53" s="87" customFormat="1">
      <c r="A622" s="90" t="str">
        <f t="shared" si="34"/>
        <v/>
      </c>
      <c r="B622" s="98">
        <v>29</v>
      </c>
      <c r="C622" s="94" t="s">
        <v>210</v>
      </c>
      <c r="D622" s="94">
        <v>6</v>
      </c>
      <c r="E622" s="94">
        <v>4</v>
      </c>
      <c r="F622" s="94" t="s">
        <v>210</v>
      </c>
      <c r="G622" s="94" t="s">
        <v>210</v>
      </c>
      <c r="H622" s="94">
        <v>8</v>
      </c>
      <c r="I622" s="94">
        <v>-3</v>
      </c>
      <c r="J622" s="94" t="s">
        <v>210</v>
      </c>
      <c r="K622" s="94" t="s">
        <v>210</v>
      </c>
      <c r="L622" s="94">
        <v>-2</v>
      </c>
      <c r="M622" s="94"/>
      <c r="N622" s="94"/>
      <c r="O622" s="94"/>
      <c r="P622" s="94"/>
      <c r="Q622" s="94"/>
      <c r="R622" s="94"/>
      <c r="S622" s="94"/>
      <c r="T622" s="94"/>
      <c r="U622" s="94"/>
      <c r="V622" s="94"/>
      <c r="W622" s="94"/>
      <c r="X622" s="94"/>
      <c r="Y622" s="94"/>
      <c r="Z622" s="94"/>
      <c r="AA622" s="94"/>
      <c r="AB622" s="94"/>
      <c r="AC622" s="94"/>
      <c r="AD622" s="94"/>
      <c r="AE622" s="94"/>
      <c r="AF622" s="94"/>
      <c r="AG622" s="94"/>
      <c r="AH622" s="94"/>
      <c r="AI622" s="94"/>
      <c r="AJ622" s="94"/>
      <c r="AK622" s="94"/>
      <c r="AL622" s="94"/>
      <c r="AM622" s="94"/>
      <c r="AN622" s="94"/>
      <c r="AO622" s="94"/>
      <c r="AP622" s="94"/>
      <c r="AQ622" s="94"/>
      <c r="AR622" s="94"/>
      <c r="AS622" s="94"/>
      <c r="AT622" s="94"/>
      <c r="AU622" s="94"/>
      <c r="AV622" s="94"/>
      <c r="AW622" s="94"/>
      <c r="AX622" s="94"/>
      <c r="AY622" s="94"/>
      <c r="AZ622" s="94"/>
      <c r="BA622" s="95"/>
    </row>
    <row r="623" spans="1:53" s="87" customFormat="1">
      <c r="A623" s="90" t="str">
        <f t="shared" si="34"/>
        <v/>
      </c>
      <c r="B623" s="98">
        <v>30</v>
      </c>
      <c r="C623" s="94" t="s">
        <v>210</v>
      </c>
      <c r="D623" s="94">
        <v>-8</v>
      </c>
      <c r="E623" s="94">
        <v>-4</v>
      </c>
      <c r="F623" s="94" t="s">
        <v>210</v>
      </c>
      <c r="G623" s="94" t="s">
        <v>210</v>
      </c>
      <c r="H623" s="94">
        <v>6</v>
      </c>
      <c r="I623" s="94">
        <v>-1</v>
      </c>
      <c r="J623" s="94" t="s">
        <v>210</v>
      </c>
      <c r="K623" s="94" t="s">
        <v>210</v>
      </c>
      <c r="L623" s="94">
        <v>7</v>
      </c>
      <c r="M623" s="94"/>
      <c r="N623" s="94"/>
      <c r="O623" s="94"/>
      <c r="P623" s="94"/>
      <c r="Q623" s="94"/>
      <c r="R623" s="94"/>
      <c r="S623" s="94"/>
      <c r="T623" s="94"/>
      <c r="U623" s="94"/>
      <c r="V623" s="94"/>
      <c r="W623" s="94"/>
      <c r="X623" s="94"/>
      <c r="Y623" s="94"/>
      <c r="Z623" s="94"/>
      <c r="AA623" s="94"/>
      <c r="AB623" s="94"/>
      <c r="AC623" s="94"/>
      <c r="AD623" s="94"/>
      <c r="AE623" s="94"/>
      <c r="AF623" s="94"/>
      <c r="AG623" s="94"/>
      <c r="AH623" s="94"/>
      <c r="AI623" s="94"/>
      <c r="AJ623" s="94"/>
      <c r="AK623" s="94"/>
      <c r="AL623" s="94"/>
      <c r="AM623" s="94"/>
      <c r="AN623" s="94"/>
      <c r="AO623" s="94"/>
      <c r="AP623" s="94"/>
      <c r="AQ623" s="94"/>
      <c r="AR623" s="94"/>
      <c r="AS623" s="94"/>
      <c r="AT623" s="94"/>
      <c r="AU623" s="94"/>
      <c r="AV623" s="94"/>
      <c r="AW623" s="94"/>
      <c r="AX623" s="94"/>
      <c r="AY623" s="94"/>
      <c r="AZ623" s="94"/>
      <c r="BA623" s="95"/>
    </row>
    <row r="624" spans="1:53" s="87" customFormat="1">
      <c r="A624" s="90" t="str">
        <f t="shared" si="34"/>
        <v/>
      </c>
      <c r="B624" s="98">
        <v>31</v>
      </c>
      <c r="C624" s="94" t="s">
        <v>210</v>
      </c>
      <c r="D624" s="94">
        <v>-6</v>
      </c>
      <c r="E624" s="94">
        <v>1</v>
      </c>
      <c r="F624" s="94" t="s">
        <v>210</v>
      </c>
      <c r="G624" s="94" t="s">
        <v>210</v>
      </c>
      <c r="H624" s="94">
        <v>3</v>
      </c>
      <c r="I624" s="94">
        <v>-8</v>
      </c>
      <c r="J624" s="94" t="s">
        <v>210</v>
      </c>
      <c r="K624" s="94" t="s">
        <v>210</v>
      </c>
      <c r="L624" s="94">
        <v>-7</v>
      </c>
      <c r="M624" s="94"/>
      <c r="N624" s="94"/>
      <c r="O624" s="94"/>
      <c r="P624" s="94"/>
      <c r="Q624" s="94"/>
      <c r="R624" s="94"/>
      <c r="S624" s="94"/>
      <c r="T624" s="94"/>
      <c r="U624" s="94"/>
      <c r="V624" s="94"/>
      <c r="W624" s="94"/>
      <c r="X624" s="94"/>
      <c r="Y624" s="94"/>
      <c r="Z624" s="94"/>
      <c r="AA624" s="94"/>
      <c r="AB624" s="94"/>
      <c r="AC624" s="94"/>
      <c r="AD624" s="94"/>
      <c r="AE624" s="94"/>
      <c r="AF624" s="94"/>
      <c r="AG624" s="94"/>
      <c r="AH624" s="94"/>
      <c r="AI624" s="94"/>
      <c r="AJ624" s="94"/>
      <c r="AK624" s="94"/>
      <c r="AL624" s="94"/>
      <c r="AM624" s="94"/>
      <c r="AN624" s="94"/>
      <c r="AO624" s="94"/>
      <c r="AP624" s="94"/>
      <c r="AQ624" s="94"/>
      <c r="AR624" s="94"/>
      <c r="AS624" s="94"/>
      <c r="AT624" s="94"/>
      <c r="AU624" s="94"/>
      <c r="AV624" s="94"/>
      <c r="AW624" s="94"/>
      <c r="AX624" s="94"/>
      <c r="AY624" s="94"/>
      <c r="AZ624" s="94"/>
      <c r="BA624" s="95"/>
    </row>
    <row r="625" spans="1:53" s="87" customFormat="1">
      <c r="A625" s="90" t="str">
        <f t="shared" si="34"/>
        <v/>
      </c>
      <c r="B625" s="98">
        <v>32</v>
      </c>
      <c r="C625" s="94" t="s">
        <v>210</v>
      </c>
      <c r="D625" s="94">
        <v>5</v>
      </c>
      <c r="E625" s="94">
        <v>-1</v>
      </c>
      <c r="F625" s="94" t="s">
        <v>210</v>
      </c>
      <c r="G625" s="94" t="s">
        <v>210</v>
      </c>
      <c r="H625" s="94">
        <v>-6</v>
      </c>
      <c r="I625" s="94">
        <v>3</v>
      </c>
      <c r="J625" s="94" t="s">
        <v>210</v>
      </c>
      <c r="K625" s="94" t="s">
        <v>210</v>
      </c>
      <c r="L625" s="94">
        <v>8</v>
      </c>
      <c r="M625" s="94"/>
      <c r="N625" s="94"/>
      <c r="O625" s="94"/>
      <c r="P625" s="94"/>
      <c r="Q625" s="94"/>
      <c r="R625" s="94"/>
      <c r="S625" s="94"/>
      <c r="T625" s="94"/>
      <c r="U625" s="94"/>
      <c r="V625" s="94"/>
      <c r="W625" s="94"/>
      <c r="X625" s="94"/>
      <c r="Y625" s="94"/>
      <c r="Z625" s="94"/>
      <c r="AA625" s="94"/>
      <c r="AB625" s="94"/>
      <c r="AC625" s="94"/>
      <c r="AD625" s="94"/>
      <c r="AE625" s="94"/>
      <c r="AF625" s="94"/>
      <c r="AG625" s="94"/>
      <c r="AH625" s="94"/>
      <c r="AI625" s="94"/>
      <c r="AJ625" s="94"/>
      <c r="AK625" s="94"/>
      <c r="AL625" s="94"/>
      <c r="AM625" s="94"/>
      <c r="AN625" s="94"/>
      <c r="AO625" s="94"/>
      <c r="AP625" s="94"/>
      <c r="AQ625" s="94"/>
      <c r="AR625" s="94"/>
      <c r="AS625" s="94"/>
      <c r="AT625" s="94"/>
      <c r="AU625" s="94"/>
      <c r="AV625" s="94"/>
      <c r="AW625" s="94"/>
      <c r="AX625" s="94"/>
      <c r="AY625" s="94"/>
      <c r="AZ625" s="94"/>
      <c r="BA625" s="95"/>
    </row>
    <row r="626" spans="1:53" s="87" customFormat="1">
      <c r="A626" s="90" t="str">
        <f t="shared" si="34"/>
        <v/>
      </c>
      <c r="B626" s="98" t="s">
        <v>485</v>
      </c>
      <c r="C626" s="94"/>
      <c r="D626" s="94"/>
      <c r="E626" s="94"/>
      <c r="F626" s="94"/>
      <c r="G626" s="94"/>
      <c r="H626" s="94"/>
      <c r="I626" s="94"/>
      <c r="J626" s="94"/>
      <c r="K626" s="94"/>
      <c r="L626" s="94"/>
      <c r="M626" s="94"/>
      <c r="N626" s="94"/>
      <c r="O626" s="94"/>
      <c r="P626" s="94"/>
      <c r="Q626" s="94"/>
      <c r="R626" s="94"/>
      <c r="S626" s="94"/>
      <c r="T626" s="94"/>
      <c r="U626" s="94"/>
      <c r="V626" s="94"/>
      <c r="W626" s="94"/>
      <c r="X626" s="94"/>
      <c r="Y626" s="94"/>
      <c r="Z626" s="94"/>
      <c r="AA626" s="94"/>
      <c r="AB626" s="94"/>
      <c r="AC626" s="94"/>
      <c r="AD626" s="94"/>
      <c r="AE626" s="94"/>
      <c r="AF626" s="94"/>
      <c r="AG626" s="94"/>
      <c r="AH626" s="94"/>
      <c r="AI626" s="94"/>
      <c r="AJ626" s="94"/>
      <c r="AK626" s="94"/>
      <c r="AL626" s="94"/>
      <c r="AM626" s="94"/>
      <c r="AN626" s="94"/>
      <c r="AO626" s="94"/>
      <c r="AP626" s="94"/>
      <c r="AQ626" s="94"/>
      <c r="AR626" s="94"/>
      <c r="AS626" s="94"/>
      <c r="AT626" s="94"/>
      <c r="AU626" s="94"/>
      <c r="AV626" s="94"/>
      <c r="AW626" s="94"/>
      <c r="AX626" s="94"/>
      <c r="AY626" s="94"/>
      <c r="AZ626" s="94"/>
      <c r="BA626" s="95"/>
    </row>
    <row r="627" spans="1:53" s="87" customFormat="1">
      <c r="A627" s="90">
        <f t="shared" si="34"/>
        <v>627</v>
      </c>
      <c r="B627" s="98" t="s">
        <v>486</v>
      </c>
      <c r="C627" s="94"/>
      <c r="D627" s="94"/>
      <c r="E627" s="94"/>
      <c r="F627" s="94"/>
      <c r="G627" s="94"/>
      <c r="H627" s="94"/>
      <c r="I627" s="94"/>
      <c r="J627" s="94"/>
      <c r="K627" s="94"/>
      <c r="L627" s="94"/>
      <c r="M627" s="94"/>
      <c r="N627" s="94"/>
      <c r="O627" s="94"/>
      <c r="P627" s="94"/>
      <c r="Q627" s="94"/>
      <c r="R627" s="94"/>
      <c r="S627" s="94"/>
      <c r="T627" s="94"/>
      <c r="U627" s="94"/>
      <c r="V627" s="94"/>
      <c r="W627" s="94"/>
      <c r="X627" s="94"/>
      <c r="Y627" s="94"/>
      <c r="Z627" s="94"/>
      <c r="AA627" s="94"/>
      <c r="AB627" s="94"/>
      <c r="AC627" s="94"/>
      <c r="AD627" s="94"/>
      <c r="AE627" s="94"/>
      <c r="AF627" s="94"/>
      <c r="AG627" s="94"/>
      <c r="AH627" s="94"/>
      <c r="AI627" s="94"/>
      <c r="AJ627" s="94"/>
      <c r="AK627" s="94"/>
      <c r="AL627" s="94"/>
      <c r="AM627" s="94"/>
      <c r="AN627" s="94"/>
      <c r="AO627" s="94"/>
      <c r="AP627" s="94"/>
      <c r="AQ627" s="94"/>
      <c r="AR627" s="94"/>
      <c r="AS627" s="94"/>
      <c r="AT627" s="94"/>
      <c r="AU627" s="94"/>
      <c r="AV627" s="94"/>
      <c r="AW627" s="94"/>
      <c r="AX627" s="94"/>
      <c r="AY627" s="94"/>
      <c r="AZ627" s="94"/>
      <c r="BA627" s="95"/>
    </row>
    <row r="628" spans="1:53" s="87" customFormat="1">
      <c r="A628" s="90" t="str">
        <f t="shared" si="34"/>
        <v/>
      </c>
      <c r="B628" s="98">
        <v>1</v>
      </c>
      <c r="C628" s="94">
        <v>-2</v>
      </c>
      <c r="D628" s="94" t="s">
        <v>210</v>
      </c>
      <c r="E628" s="94" t="s">
        <v>210</v>
      </c>
      <c r="F628" s="94">
        <v>-3</v>
      </c>
      <c r="G628" s="94">
        <v>6</v>
      </c>
      <c r="H628" s="94" t="s">
        <v>210</v>
      </c>
      <c r="I628" s="94" t="s">
        <v>210</v>
      </c>
      <c r="J628" s="94">
        <v>-7</v>
      </c>
      <c r="K628" s="94">
        <v>-4</v>
      </c>
      <c r="L628" s="94" t="s">
        <v>210</v>
      </c>
      <c r="M628" s="94" t="s">
        <v>210</v>
      </c>
      <c r="N628" s="94">
        <v>2</v>
      </c>
      <c r="O628" s="94" t="s">
        <v>202</v>
      </c>
      <c r="P628" s="94" t="s">
        <v>210</v>
      </c>
      <c r="Q628" s="94" t="s">
        <v>210</v>
      </c>
      <c r="R628" s="94">
        <v>7</v>
      </c>
      <c r="S628" s="94">
        <v>3</v>
      </c>
      <c r="T628" s="94" t="s">
        <v>210</v>
      </c>
      <c r="U628" s="94" t="s">
        <v>210</v>
      </c>
      <c r="V628" s="94">
        <v>-5</v>
      </c>
      <c r="W628" s="94">
        <v>4</v>
      </c>
      <c r="X628" s="94" t="s">
        <v>210</v>
      </c>
      <c r="Y628" s="94"/>
      <c r="Z628" s="94"/>
      <c r="AA628" s="94"/>
      <c r="AB628" s="94"/>
      <c r="AC628" s="94"/>
      <c r="AD628" s="94"/>
      <c r="AE628" s="94"/>
      <c r="AF628" s="94"/>
      <c r="AG628" s="94"/>
      <c r="AH628" s="94"/>
      <c r="AI628" s="94"/>
      <c r="AJ628" s="94"/>
      <c r="AK628" s="94"/>
      <c r="AL628" s="94"/>
      <c r="AM628" s="94"/>
      <c r="AN628" s="94"/>
      <c r="AO628" s="94"/>
      <c r="AP628" s="94"/>
      <c r="AQ628" s="94"/>
      <c r="AR628" s="94"/>
      <c r="AS628" s="94"/>
      <c r="AT628" s="94"/>
      <c r="AU628" s="94"/>
      <c r="AV628" s="94"/>
      <c r="AW628" s="94"/>
      <c r="AX628" s="94"/>
      <c r="AY628" s="94"/>
      <c r="AZ628" s="94"/>
      <c r="BA628" s="95"/>
    </row>
    <row r="629" spans="1:53" s="87" customFormat="1">
      <c r="A629" s="90" t="str">
        <f t="shared" si="34"/>
        <v/>
      </c>
      <c r="B629" s="98">
        <v>2</v>
      </c>
      <c r="C629" s="94">
        <v>4</v>
      </c>
      <c r="D629" s="94" t="s">
        <v>210</v>
      </c>
      <c r="E629" s="94" t="s">
        <v>210</v>
      </c>
      <c r="F629" s="94">
        <v>6</v>
      </c>
      <c r="G629" s="94">
        <v>5</v>
      </c>
      <c r="H629" s="94" t="s">
        <v>210</v>
      </c>
      <c r="I629" s="94" t="s">
        <v>210</v>
      </c>
      <c r="J629" s="94" t="s">
        <v>202</v>
      </c>
      <c r="K629" s="94">
        <v>-7</v>
      </c>
      <c r="L629" s="94" t="s">
        <v>210</v>
      </c>
      <c r="M629" s="94" t="s">
        <v>210</v>
      </c>
      <c r="N629" s="94">
        <v>-3</v>
      </c>
      <c r="O629" s="94">
        <v>-1</v>
      </c>
      <c r="P629" s="94" t="s">
        <v>210</v>
      </c>
      <c r="Q629" s="94" t="s">
        <v>210</v>
      </c>
      <c r="R629" s="94">
        <v>2</v>
      </c>
      <c r="S629" s="94">
        <v>-5</v>
      </c>
      <c r="T629" s="94" t="s">
        <v>210</v>
      </c>
      <c r="U629" s="94" t="s">
        <v>210</v>
      </c>
      <c r="V629" s="94">
        <v>3</v>
      </c>
      <c r="W629" s="94">
        <v>-4</v>
      </c>
      <c r="X629" s="94" t="s">
        <v>210</v>
      </c>
      <c r="Y629" s="94"/>
      <c r="Z629" s="94"/>
      <c r="AA629" s="94"/>
      <c r="AB629" s="94"/>
      <c r="AC629" s="94"/>
      <c r="AD629" s="94"/>
      <c r="AE629" s="94"/>
      <c r="AF629" s="94"/>
      <c r="AG629" s="94"/>
      <c r="AH629" s="94"/>
      <c r="AI629" s="94"/>
      <c r="AJ629" s="94"/>
      <c r="AK629" s="94"/>
      <c r="AL629" s="94"/>
      <c r="AM629" s="94"/>
      <c r="AN629" s="94"/>
      <c r="AO629" s="94"/>
      <c r="AP629" s="94"/>
      <c r="AQ629" s="94"/>
      <c r="AR629" s="94"/>
      <c r="AS629" s="94"/>
      <c r="AT629" s="94"/>
      <c r="AU629" s="94"/>
      <c r="AV629" s="94"/>
      <c r="AW629" s="94"/>
      <c r="AX629" s="94"/>
      <c r="AY629" s="94"/>
      <c r="AZ629" s="94"/>
      <c r="BA629" s="95"/>
    </row>
    <row r="630" spans="1:53" s="87" customFormat="1">
      <c r="A630" s="90" t="str">
        <f t="shared" si="34"/>
        <v/>
      </c>
      <c r="B630" s="98">
        <v>3</v>
      </c>
      <c r="C630" s="94" t="s">
        <v>202</v>
      </c>
      <c r="D630" s="94" t="s">
        <v>210</v>
      </c>
      <c r="E630" s="94" t="s">
        <v>210</v>
      </c>
      <c r="F630" s="94">
        <v>-2</v>
      </c>
      <c r="G630" s="94">
        <v>7</v>
      </c>
      <c r="H630" s="94" t="s">
        <v>210</v>
      </c>
      <c r="I630" s="94" t="s">
        <v>210</v>
      </c>
      <c r="J630" s="94">
        <v>-3</v>
      </c>
      <c r="K630" s="94">
        <v>5</v>
      </c>
      <c r="L630" s="94" t="s">
        <v>210</v>
      </c>
      <c r="M630" s="94" t="s">
        <v>210</v>
      </c>
      <c r="N630" s="94">
        <v>-4</v>
      </c>
      <c r="O630" s="94">
        <v>1</v>
      </c>
      <c r="P630" s="94" t="s">
        <v>210</v>
      </c>
      <c r="Q630" s="94" t="s">
        <v>210</v>
      </c>
      <c r="R630" s="94">
        <v>-7</v>
      </c>
      <c r="S630" s="94">
        <v>6</v>
      </c>
      <c r="T630" s="94" t="s">
        <v>210</v>
      </c>
      <c r="U630" s="94" t="s">
        <v>210</v>
      </c>
      <c r="V630" s="94">
        <v>2</v>
      </c>
      <c r="W630" s="94">
        <v>-5</v>
      </c>
      <c r="X630" s="94" t="s">
        <v>210</v>
      </c>
      <c r="Y630" s="94"/>
      <c r="Z630" s="94"/>
      <c r="AA630" s="94"/>
      <c r="AB630" s="94"/>
      <c r="AC630" s="94"/>
      <c r="AD630" s="94"/>
      <c r="AE630" s="94"/>
      <c r="AF630" s="94"/>
      <c r="AG630" s="94"/>
      <c r="AH630" s="94"/>
      <c r="AI630" s="94"/>
      <c r="AJ630" s="94"/>
      <c r="AK630" s="94"/>
      <c r="AL630" s="94"/>
      <c r="AM630" s="94"/>
      <c r="AN630" s="94"/>
      <c r="AO630" s="94"/>
      <c r="AP630" s="94"/>
      <c r="AQ630" s="94"/>
      <c r="AR630" s="94"/>
      <c r="AS630" s="94"/>
      <c r="AT630" s="94"/>
      <c r="AU630" s="94"/>
      <c r="AV630" s="94"/>
      <c r="AW630" s="94"/>
      <c r="AX630" s="94"/>
      <c r="AY630" s="94"/>
      <c r="AZ630" s="94"/>
      <c r="BA630" s="95"/>
    </row>
    <row r="631" spans="1:53" s="87" customFormat="1">
      <c r="A631" s="90" t="str">
        <f t="shared" si="34"/>
        <v/>
      </c>
      <c r="B631" s="98">
        <v>4</v>
      </c>
      <c r="C631" s="94">
        <v>-1</v>
      </c>
      <c r="D631" s="94" t="s">
        <v>210</v>
      </c>
      <c r="E631" s="94" t="s">
        <v>210</v>
      </c>
      <c r="F631" s="94">
        <v>7</v>
      </c>
      <c r="G631" s="94" t="s">
        <v>202</v>
      </c>
      <c r="H631" s="94" t="s">
        <v>210</v>
      </c>
      <c r="I631" s="94" t="s">
        <v>210</v>
      </c>
      <c r="J631" s="94">
        <v>8</v>
      </c>
      <c r="K631" s="94">
        <v>4</v>
      </c>
      <c r="L631" s="94" t="s">
        <v>210</v>
      </c>
      <c r="M631" s="94" t="s">
        <v>210</v>
      </c>
      <c r="N631" s="94">
        <v>-7</v>
      </c>
      <c r="O631" s="94">
        <v>3</v>
      </c>
      <c r="P631" s="94" t="s">
        <v>210</v>
      </c>
      <c r="Q631" s="94" t="s">
        <v>210</v>
      </c>
      <c r="R631" s="94">
        <v>-2</v>
      </c>
      <c r="S631" s="94">
        <v>-8</v>
      </c>
      <c r="T631" s="94" t="s">
        <v>210</v>
      </c>
      <c r="U631" s="94" t="s">
        <v>210</v>
      </c>
      <c r="V631" s="94">
        <v>-4</v>
      </c>
      <c r="W631" s="94">
        <v>5</v>
      </c>
      <c r="X631" s="94" t="s">
        <v>210</v>
      </c>
      <c r="Y631" s="94"/>
      <c r="Z631" s="94"/>
      <c r="AA631" s="94"/>
      <c r="AB631" s="94"/>
      <c r="AC631" s="94"/>
      <c r="AD631" s="94"/>
      <c r="AE631" s="94"/>
      <c r="AF631" s="94"/>
      <c r="AG631" s="94"/>
      <c r="AH631" s="94"/>
      <c r="AI631" s="94"/>
      <c r="AJ631" s="94"/>
      <c r="AK631" s="94"/>
      <c r="AL631" s="94"/>
      <c r="AM631" s="94"/>
      <c r="AN631" s="94"/>
      <c r="AO631" s="94"/>
      <c r="AP631" s="94"/>
      <c r="AQ631" s="94"/>
      <c r="AR631" s="94"/>
      <c r="AS631" s="94"/>
      <c r="AT631" s="94"/>
      <c r="AU631" s="94"/>
      <c r="AV631" s="94"/>
      <c r="AW631" s="94"/>
      <c r="AX631" s="94"/>
      <c r="AY631" s="94"/>
      <c r="AZ631" s="94"/>
      <c r="BA631" s="95"/>
    </row>
    <row r="632" spans="1:53" s="87" customFormat="1">
      <c r="A632" s="90" t="str">
        <f t="shared" si="34"/>
        <v/>
      </c>
      <c r="B632" s="98">
        <v>5</v>
      </c>
      <c r="C632" s="94">
        <v>7</v>
      </c>
      <c r="D632" s="94" t="s">
        <v>210</v>
      </c>
      <c r="E632" s="94" t="s">
        <v>210</v>
      </c>
      <c r="F632" s="94" t="s">
        <v>202</v>
      </c>
      <c r="G632" s="94">
        <v>-6</v>
      </c>
      <c r="H632" s="94" t="s">
        <v>210</v>
      </c>
      <c r="I632" s="94" t="s">
        <v>210</v>
      </c>
      <c r="J632" s="94">
        <v>4</v>
      </c>
      <c r="K632" s="94">
        <v>1</v>
      </c>
      <c r="L632" s="94" t="s">
        <v>210</v>
      </c>
      <c r="M632" s="94" t="s">
        <v>210</v>
      </c>
      <c r="N632" s="94">
        <v>3</v>
      </c>
      <c r="O632" s="94">
        <v>-7</v>
      </c>
      <c r="P632" s="94" t="s">
        <v>210</v>
      </c>
      <c r="Q632" s="94" t="s">
        <v>210</v>
      </c>
      <c r="R632" s="94">
        <v>-5</v>
      </c>
      <c r="S632" s="94">
        <v>8</v>
      </c>
      <c r="T632" s="94" t="s">
        <v>210</v>
      </c>
      <c r="U632" s="94" t="s">
        <v>210</v>
      </c>
      <c r="V632" s="94">
        <v>-2</v>
      </c>
      <c r="W632" s="94">
        <v>-3</v>
      </c>
      <c r="X632" s="94" t="s">
        <v>210</v>
      </c>
      <c r="Y632" s="94"/>
      <c r="Z632" s="94"/>
      <c r="AA632" s="94"/>
      <c r="AB632" s="94"/>
      <c r="AC632" s="94"/>
      <c r="AD632" s="94"/>
      <c r="AE632" s="94"/>
      <c r="AF632" s="94"/>
      <c r="AG632" s="94"/>
      <c r="AH632" s="94"/>
      <c r="AI632" s="94"/>
      <c r="AJ632" s="94"/>
      <c r="AK632" s="94"/>
      <c r="AL632" s="94"/>
      <c r="AM632" s="94"/>
      <c r="AN632" s="94"/>
      <c r="AO632" s="94"/>
      <c r="AP632" s="94"/>
      <c r="AQ632" s="94"/>
      <c r="AR632" s="94"/>
      <c r="AS632" s="94"/>
      <c r="AT632" s="94"/>
      <c r="AU632" s="94"/>
      <c r="AV632" s="94"/>
      <c r="AW632" s="94"/>
      <c r="AX632" s="94"/>
      <c r="AY632" s="94"/>
      <c r="AZ632" s="94"/>
      <c r="BA632" s="95"/>
    </row>
    <row r="633" spans="1:53" s="87" customFormat="1">
      <c r="A633" s="90" t="str">
        <f t="shared" si="34"/>
        <v/>
      </c>
      <c r="B633" s="98">
        <v>6</v>
      </c>
      <c r="C633" s="94">
        <v>8</v>
      </c>
      <c r="D633" s="94" t="s">
        <v>210</v>
      </c>
      <c r="E633" s="94" t="s">
        <v>210</v>
      </c>
      <c r="F633" s="94">
        <v>-4</v>
      </c>
      <c r="G633" s="94">
        <v>-5</v>
      </c>
      <c r="H633" s="94" t="s">
        <v>210</v>
      </c>
      <c r="I633" s="94" t="s">
        <v>210</v>
      </c>
      <c r="J633" s="94">
        <v>7</v>
      </c>
      <c r="K633" s="94">
        <v>-2</v>
      </c>
      <c r="L633" s="94" t="s">
        <v>210</v>
      </c>
      <c r="M633" s="94" t="s">
        <v>210</v>
      </c>
      <c r="N633" s="94" t="s">
        <v>202</v>
      </c>
      <c r="O633" s="94">
        <v>5</v>
      </c>
      <c r="P633" s="94" t="s">
        <v>210</v>
      </c>
      <c r="Q633" s="94" t="s">
        <v>210</v>
      </c>
      <c r="R633" s="94">
        <v>-1</v>
      </c>
      <c r="S633" s="94">
        <v>-6</v>
      </c>
      <c r="T633" s="94" t="s">
        <v>210</v>
      </c>
      <c r="U633" s="94" t="s">
        <v>210</v>
      </c>
      <c r="V633" s="94">
        <v>4</v>
      </c>
      <c r="W633" s="94">
        <v>3</v>
      </c>
      <c r="X633" s="94" t="s">
        <v>210</v>
      </c>
      <c r="Y633" s="94"/>
      <c r="Z633" s="94"/>
      <c r="AA633" s="94"/>
      <c r="AB633" s="94"/>
      <c r="AC633" s="94"/>
      <c r="AD633" s="94"/>
      <c r="AE633" s="94"/>
      <c r="AF633" s="94"/>
      <c r="AG633" s="94"/>
      <c r="AH633" s="94"/>
      <c r="AI633" s="94"/>
      <c r="AJ633" s="94"/>
      <c r="AK633" s="94"/>
      <c r="AL633" s="94"/>
      <c r="AM633" s="94"/>
      <c r="AN633" s="94"/>
      <c r="AO633" s="94"/>
      <c r="AP633" s="94"/>
      <c r="AQ633" s="94"/>
      <c r="AR633" s="94"/>
      <c r="AS633" s="94"/>
      <c r="AT633" s="94"/>
      <c r="AU633" s="94"/>
      <c r="AV633" s="94"/>
      <c r="AW633" s="94"/>
      <c r="AX633" s="94"/>
      <c r="AY633" s="94"/>
      <c r="AZ633" s="94"/>
      <c r="BA633" s="95"/>
    </row>
    <row r="634" spans="1:53" s="87" customFormat="1">
      <c r="A634" s="90" t="str">
        <f t="shared" si="34"/>
        <v/>
      </c>
      <c r="B634" s="98">
        <v>7</v>
      </c>
      <c r="C634" s="94">
        <v>-7</v>
      </c>
      <c r="D634" s="94" t="s">
        <v>210</v>
      </c>
      <c r="E634" s="94" t="s">
        <v>210</v>
      </c>
      <c r="F634" s="94">
        <v>-6</v>
      </c>
      <c r="G634" s="94">
        <v>-1</v>
      </c>
      <c r="H634" s="94" t="s">
        <v>210</v>
      </c>
      <c r="I634" s="94" t="s">
        <v>210</v>
      </c>
      <c r="J634" s="94">
        <v>2</v>
      </c>
      <c r="K634" s="94" t="s">
        <v>202</v>
      </c>
      <c r="L634" s="94" t="s">
        <v>210</v>
      </c>
      <c r="M634" s="94" t="s">
        <v>210</v>
      </c>
      <c r="N634" s="94">
        <v>4</v>
      </c>
      <c r="O634" s="94">
        <v>-3</v>
      </c>
      <c r="P634" s="94" t="s">
        <v>210</v>
      </c>
      <c r="Q634" s="94" t="s">
        <v>210</v>
      </c>
      <c r="R634" s="94">
        <v>1</v>
      </c>
      <c r="S634" s="94">
        <v>-4</v>
      </c>
      <c r="T634" s="94" t="s">
        <v>210</v>
      </c>
      <c r="U634" s="94" t="s">
        <v>210</v>
      </c>
      <c r="V634" s="94">
        <v>5</v>
      </c>
      <c r="W634" s="94">
        <v>6</v>
      </c>
      <c r="X634" s="94" t="s">
        <v>210</v>
      </c>
      <c r="Y634" s="94"/>
      <c r="Z634" s="94"/>
      <c r="AA634" s="94"/>
      <c r="AB634" s="94"/>
      <c r="AC634" s="94"/>
      <c r="AD634" s="94"/>
      <c r="AE634" s="94"/>
      <c r="AF634" s="94"/>
      <c r="AG634" s="94"/>
      <c r="AH634" s="94"/>
      <c r="AI634" s="94"/>
      <c r="AJ634" s="94"/>
      <c r="AK634" s="94"/>
      <c r="AL634" s="94"/>
      <c r="AM634" s="94"/>
      <c r="AN634" s="94"/>
      <c r="AO634" s="94"/>
      <c r="AP634" s="94"/>
      <c r="AQ634" s="94"/>
      <c r="AR634" s="94"/>
      <c r="AS634" s="94"/>
      <c r="AT634" s="94"/>
      <c r="AU634" s="94"/>
      <c r="AV634" s="94"/>
      <c r="AW634" s="94"/>
      <c r="AX634" s="94"/>
      <c r="AY634" s="94"/>
      <c r="AZ634" s="94"/>
      <c r="BA634" s="95"/>
    </row>
    <row r="635" spans="1:53" s="87" customFormat="1">
      <c r="A635" s="90" t="str">
        <f t="shared" si="34"/>
        <v/>
      </c>
      <c r="B635" s="98">
        <v>8</v>
      </c>
      <c r="C635" s="94">
        <v>2</v>
      </c>
      <c r="D635" s="94" t="s">
        <v>210</v>
      </c>
      <c r="E635" s="94" t="s">
        <v>210</v>
      </c>
      <c r="F635" s="94">
        <v>4</v>
      </c>
      <c r="G635" s="94">
        <v>3</v>
      </c>
      <c r="H635" s="94" t="s">
        <v>210</v>
      </c>
      <c r="I635" s="94" t="s">
        <v>210</v>
      </c>
      <c r="J635" s="94">
        <v>-8</v>
      </c>
      <c r="K635" s="94">
        <v>-5</v>
      </c>
      <c r="L635" s="94" t="s">
        <v>210</v>
      </c>
      <c r="M635" s="94" t="s">
        <v>210</v>
      </c>
      <c r="N635" s="94">
        <v>1</v>
      </c>
      <c r="O635" s="94">
        <v>-2</v>
      </c>
      <c r="P635" s="94" t="s">
        <v>210</v>
      </c>
      <c r="Q635" s="94" t="s">
        <v>210</v>
      </c>
      <c r="R635" s="94">
        <v>5</v>
      </c>
      <c r="S635" s="94" t="s">
        <v>202</v>
      </c>
      <c r="T635" s="94" t="s">
        <v>210</v>
      </c>
      <c r="U635" s="94" t="s">
        <v>210</v>
      </c>
      <c r="V635" s="94">
        <v>-3</v>
      </c>
      <c r="W635" s="94">
        <v>-6</v>
      </c>
      <c r="X635" s="94" t="s">
        <v>210</v>
      </c>
      <c r="Y635" s="94"/>
      <c r="Z635" s="94"/>
      <c r="AA635" s="94"/>
      <c r="AB635" s="94"/>
      <c r="AC635" s="94"/>
      <c r="AD635" s="94"/>
      <c r="AE635" s="94"/>
      <c r="AF635" s="94"/>
      <c r="AG635" s="94"/>
      <c r="AH635" s="94"/>
      <c r="AI635" s="94"/>
      <c r="AJ635" s="94"/>
      <c r="AK635" s="94"/>
      <c r="AL635" s="94"/>
      <c r="AM635" s="94"/>
      <c r="AN635" s="94"/>
      <c r="AO635" s="94"/>
      <c r="AP635" s="94"/>
      <c r="AQ635" s="94"/>
      <c r="AR635" s="94"/>
      <c r="AS635" s="94"/>
      <c r="AT635" s="94"/>
      <c r="AU635" s="94"/>
      <c r="AV635" s="94"/>
      <c r="AW635" s="94"/>
      <c r="AX635" s="94"/>
      <c r="AY635" s="94"/>
      <c r="AZ635" s="94"/>
      <c r="BA635" s="95"/>
    </row>
    <row r="636" spans="1:53" s="87" customFormat="1">
      <c r="A636" s="90" t="str">
        <f t="shared" si="34"/>
        <v/>
      </c>
      <c r="B636" s="98">
        <v>9</v>
      </c>
      <c r="C636" s="94">
        <v>-8</v>
      </c>
      <c r="D636" s="94" t="s">
        <v>210</v>
      </c>
      <c r="E636" s="94" t="s">
        <v>210</v>
      </c>
      <c r="F636" s="94">
        <v>3</v>
      </c>
      <c r="G636" s="94">
        <v>-7</v>
      </c>
      <c r="H636" s="94" t="s">
        <v>210</v>
      </c>
      <c r="I636" s="94" t="s">
        <v>210</v>
      </c>
      <c r="J636" s="94">
        <v>-2</v>
      </c>
      <c r="K636" s="94">
        <v>-1</v>
      </c>
      <c r="L636" s="94" t="s">
        <v>210</v>
      </c>
      <c r="M636" s="94" t="s">
        <v>210</v>
      </c>
      <c r="N636" s="94">
        <v>7</v>
      </c>
      <c r="O636" s="94">
        <v>2</v>
      </c>
      <c r="P636" s="94" t="s">
        <v>210</v>
      </c>
      <c r="Q636" s="94" t="s">
        <v>210</v>
      </c>
      <c r="R636" s="94">
        <v>-3</v>
      </c>
      <c r="S636" s="94">
        <v>5</v>
      </c>
      <c r="T636" s="94" t="s">
        <v>210</v>
      </c>
      <c r="U636" s="94" t="s">
        <v>210</v>
      </c>
      <c r="V636" s="94" t="s">
        <v>202</v>
      </c>
      <c r="W636" s="94">
        <v>8</v>
      </c>
      <c r="X636" s="94" t="s">
        <v>210</v>
      </c>
      <c r="Y636" s="94"/>
      <c r="Z636" s="94"/>
      <c r="AA636" s="94"/>
      <c r="AB636" s="94"/>
      <c r="AC636" s="94"/>
      <c r="AD636" s="94"/>
      <c r="AE636" s="94"/>
      <c r="AF636" s="94"/>
      <c r="AG636" s="94"/>
      <c r="AH636" s="94"/>
      <c r="AI636" s="94"/>
      <c r="AJ636" s="94"/>
      <c r="AK636" s="94"/>
      <c r="AL636" s="94"/>
      <c r="AM636" s="94"/>
      <c r="AN636" s="94"/>
      <c r="AO636" s="94"/>
      <c r="AP636" s="94"/>
      <c r="AQ636" s="94"/>
      <c r="AR636" s="94"/>
      <c r="AS636" s="94"/>
      <c r="AT636" s="94"/>
      <c r="AU636" s="94"/>
      <c r="AV636" s="94"/>
      <c r="AW636" s="94"/>
      <c r="AX636" s="94"/>
      <c r="AY636" s="94"/>
      <c r="AZ636" s="94"/>
      <c r="BA636" s="95"/>
    </row>
    <row r="637" spans="1:53" s="87" customFormat="1">
      <c r="A637" s="90" t="str">
        <f t="shared" si="34"/>
        <v/>
      </c>
      <c r="B637" s="98">
        <v>10</v>
      </c>
      <c r="C637" s="94">
        <v>-4</v>
      </c>
      <c r="D637" s="94" t="s">
        <v>210</v>
      </c>
      <c r="E637" s="94" t="s">
        <v>210</v>
      </c>
      <c r="F637" s="94">
        <v>-7</v>
      </c>
      <c r="G637" s="94">
        <v>1</v>
      </c>
      <c r="H637" s="94" t="s">
        <v>210</v>
      </c>
      <c r="I637" s="94" t="s">
        <v>210</v>
      </c>
      <c r="J637" s="94">
        <v>3</v>
      </c>
      <c r="K637" s="94">
        <v>2</v>
      </c>
      <c r="L637" s="94" t="s">
        <v>210</v>
      </c>
      <c r="M637" s="94" t="s">
        <v>210</v>
      </c>
      <c r="N637" s="94">
        <v>-1</v>
      </c>
      <c r="O637" s="94">
        <v>7</v>
      </c>
      <c r="P637" s="94" t="s">
        <v>210</v>
      </c>
      <c r="Q637" s="94" t="s">
        <v>210</v>
      </c>
      <c r="R637" s="94" t="s">
        <v>202</v>
      </c>
      <c r="S637" s="94">
        <v>-3</v>
      </c>
      <c r="T637" s="94" t="s">
        <v>210</v>
      </c>
      <c r="U637" s="94" t="s">
        <v>210</v>
      </c>
      <c r="V637" s="94">
        <v>6</v>
      </c>
      <c r="W637" s="94">
        <v>-8</v>
      </c>
      <c r="X637" s="94" t="s">
        <v>210</v>
      </c>
      <c r="Y637" s="94"/>
      <c r="Z637" s="94"/>
      <c r="AA637" s="94"/>
      <c r="AB637" s="94"/>
      <c r="AC637" s="94"/>
      <c r="AD637" s="94"/>
      <c r="AE637" s="94"/>
      <c r="AF637" s="94"/>
      <c r="AG637" s="94"/>
      <c r="AH637" s="94"/>
      <c r="AI637" s="94"/>
      <c r="AJ637" s="94"/>
      <c r="AK637" s="94"/>
      <c r="AL637" s="94"/>
      <c r="AM637" s="94"/>
      <c r="AN637" s="94"/>
      <c r="AO637" s="94"/>
      <c r="AP637" s="94"/>
      <c r="AQ637" s="94"/>
      <c r="AR637" s="94"/>
      <c r="AS637" s="94"/>
      <c r="AT637" s="94"/>
      <c r="AU637" s="94"/>
      <c r="AV637" s="94"/>
      <c r="AW637" s="94"/>
      <c r="AX637" s="94"/>
      <c r="AY637" s="94"/>
      <c r="AZ637" s="94"/>
      <c r="BA637" s="95"/>
    </row>
    <row r="638" spans="1:53" s="87" customFormat="1">
      <c r="A638" s="90" t="str">
        <f t="shared" si="34"/>
        <v/>
      </c>
      <c r="B638" s="99">
        <v>11</v>
      </c>
      <c r="C638" s="92">
        <v>1</v>
      </c>
      <c r="D638" s="92" t="s">
        <v>210</v>
      </c>
      <c r="E638" s="92" t="s">
        <v>210</v>
      </c>
      <c r="F638" s="92">
        <v>2</v>
      </c>
      <c r="G638" s="92">
        <v>-3</v>
      </c>
      <c r="H638" s="92" t="s">
        <v>210</v>
      </c>
      <c r="I638" s="92" t="s">
        <v>210</v>
      </c>
      <c r="J638" s="92">
        <v>-4</v>
      </c>
      <c r="K638" s="92">
        <v>7</v>
      </c>
      <c r="L638" s="92" t="s">
        <v>210</v>
      </c>
      <c r="M638" s="92" t="s">
        <v>210</v>
      </c>
      <c r="N638" s="92">
        <v>-2</v>
      </c>
      <c r="O638" s="92">
        <v>-5</v>
      </c>
      <c r="P638" s="92" t="s">
        <v>210</v>
      </c>
      <c r="Q638" s="92" t="s">
        <v>210</v>
      </c>
      <c r="R638" s="92">
        <v>3</v>
      </c>
      <c r="S638" s="92">
        <v>4</v>
      </c>
      <c r="T638" s="92" t="s">
        <v>210</v>
      </c>
      <c r="U638" s="92" t="s">
        <v>210</v>
      </c>
      <c r="V638" s="92">
        <v>-6</v>
      </c>
      <c r="W638" s="92" t="s">
        <v>202</v>
      </c>
      <c r="X638" s="92" t="s">
        <v>210</v>
      </c>
      <c r="Y638" s="94"/>
      <c r="Z638" s="94"/>
      <c r="AA638" s="94"/>
      <c r="AB638" s="94"/>
      <c r="AC638" s="94"/>
      <c r="AD638" s="94"/>
      <c r="AE638" s="94"/>
      <c r="AF638" s="94"/>
      <c r="AG638" s="94"/>
      <c r="AH638" s="94"/>
      <c r="AI638" s="94"/>
      <c r="AJ638" s="94"/>
      <c r="AK638" s="94"/>
      <c r="AL638" s="94"/>
      <c r="AM638" s="94"/>
      <c r="AN638" s="94"/>
      <c r="AO638" s="94"/>
      <c r="AP638" s="94"/>
      <c r="AQ638" s="94"/>
      <c r="AR638" s="94"/>
      <c r="AS638" s="94"/>
      <c r="AT638" s="94"/>
      <c r="AU638" s="94"/>
      <c r="AV638" s="94"/>
      <c r="AW638" s="94"/>
      <c r="AX638" s="94"/>
      <c r="AY638" s="94"/>
      <c r="AZ638" s="94"/>
      <c r="BA638" s="95"/>
    </row>
    <row r="639" spans="1:53" s="87" customFormat="1">
      <c r="A639" s="90" t="str">
        <f t="shared" si="34"/>
        <v/>
      </c>
      <c r="B639" s="98">
        <v>12</v>
      </c>
      <c r="C639" s="94" t="s">
        <v>210</v>
      </c>
      <c r="D639" s="94">
        <v>-6</v>
      </c>
      <c r="E639" s="94">
        <v>4</v>
      </c>
      <c r="F639" s="94" t="s">
        <v>210</v>
      </c>
      <c r="G639" s="94" t="s">
        <v>210</v>
      </c>
      <c r="H639" s="94">
        <v>-7</v>
      </c>
      <c r="I639" s="94">
        <v>-4</v>
      </c>
      <c r="J639" s="94" t="s">
        <v>210</v>
      </c>
      <c r="K639" s="94" t="s">
        <v>210</v>
      </c>
      <c r="L639" s="94">
        <v>3</v>
      </c>
      <c r="M639" s="94">
        <v>1</v>
      </c>
      <c r="N639" s="94" t="s">
        <v>210</v>
      </c>
      <c r="O639" s="94" t="s">
        <v>210</v>
      </c>
      <c r="P639" s="94">
        <v>-2</v>
      </c>
      <c r="Q639" s="94">
        <v>5</v>
      </c>
      <c r="R639" s="94" t="s">
        <v>210</v>
      </c>
      <c r="S639" s="94" t="s">
        <v>210</v>
      </c>
      <c r="T639" s="94" t="s">
        <v>202</v>
      </c>
      <c r="U639" s="94">
        <v>-3</v>
      </c>
      <c r="V639" s="94" t="s">
        <v>210</v>
      </c>
      <c r="W639" s="94" t="s">
        <v>210</v>
      </c>
      <c r="X639" s="94">
        <v>6</v>
      </c>
      <c r="Y639" s="94"/>
      <c r="Z639" s="94"/>
      <c r="AA639" s="94"/>
      <c r="AB639" s="94"/>
      <c r="AC639" s="94"/>
      <c r="AD639" s="94"/>
      <c r="AE639" s="94"/>
      <c r="AF639" s="94"/>
      <c r="AG639" s="94"/>
      <c r="AH639" s="94"/>
      <c r="AI639" s="94"/>
      <c r="AJ639" s="94"/>
      <c r="AK639" s="94"/>
      <c r="AL639" s="94"/>
      <c r="AM639" s="94"/>
      <c r="AN639" s="94"/>
      <c r="AO639" s="94"/>
      <c r="AP639" s="94"/>
      <c r="AQ639" s="94"/>
      <c r="AR639" s="94"/>
      <c r="AS639" s="94"/>
      <c r="AT639" s="94"/>
      <c r="AU639" s="94"/>
      <c r="AV639" s="94"/>
      <c r="AW639" s="94"/>
      <c r="AX639" s="94"/>
      <c r="AY639" s="94"/>
      <c r="AZ639" s="94"/>
      <c r="BA639" s="95"/>
    </row>
    <row r="640" spans="1:53" s="87" customFormat="1">
      <c r="A640" s="90" t="str">
        <f t="shared" si="34"/>
        <v/>
      </c>
      <c r="B640" s="98">
        <v>13</v>
      </c>
      <c r="C640" s="94" t="s">
        <v>210</v>
      </c>
      <c r="D640" s="94">
        <v>2</v>
      </c>
      <c r="E640" s="94">
        <v>7</v>
      </c>
      <c r="F640" s="94" t="s">
        <v>210</v>
      </c>
      <c r="G640" s="94" t="s">
        <v>210</v>
      </c>
      <c r="H640" s="94">
        <v>-4</v>
      </c>
      <c r="I640" s="94">
        <v>-5</v>
      </c>
      <c r="J640" s="94" t="s">
        <v>210</v>
      </c>
      <c r="K640" s="94" t="s">
        <v>210</v>
      </c>
      <c r="L640" s="94">
        <v>-1</v>
      </c>
      <c r="M640" s="94">
        <v>6</v>
      </c>
      <c r="N640" s="94" t="s">
        <v>210</v>
      </c>
      <c r="O640" s="94" t="s">
        <v>210</v>
      </c>
      <c r="P640" s="94">
        <v>-3</v>
      </c>
      <c r="Q640" s="94">
        <v>1</v>
      </c>
      <c r="R640" s="94" t="s">
        <v>210</v>
      </c>
      <c r="S640" s="94" t="s">
        <v>210</v>
      </c>
      <c r="T640" s="94">
        <v>4</v>
      </c>
      <c r="U640" s="94" t="s">
        <v>202</v>
      </c>
      <c r="V640" s="94" t="s">
        <v>210</v>
      </c>
      <c r="W640" s="94" t="s">
        <v>210</v>
      </c>
      <c r="X640" s="94">
        <v>-6</v>
      </c>
      <c r="Y640" s="94"/>
      <c r="Z640" s="94"/>
      <c r="AA640" s="94"/>
      <c r="AB640" s="94"/>
      <c r="AC640" s="94"/>
      <c r="AD640" s="94"/>
      <c r="AE640" s="94"/>
      <c r="AF640" s="94"/>
      <c r="AG640" s="94"/>
      <c r="AH640" s="94"/>
      <c r="AI640" s="94"/>
      <c r="AJ640" s="94"/>
      <c r="AK640" s="94"/>
      <c r="AL640" s="94"/>
      <c r="AM640" s="94"/>
      <c r="AN640" s="94"/>
      <c r="AO640" s="94"/>
      <c r="AP640" s="94"/>
      <c r="AQ640" s="94"/>
      <c r="AR640" s="94"/>
      <c r="AS640" s="94"/>
      <c r="AT640" s="94"/>
      <c r="AU640" s="94"/>
      <c r="AV640" s="94"/>
      <c r="AW640" s="94"/>
      <c r="AX640" s="94"/>
      <c r="AY640" s="94"/>
      <c r="AZ640" s="94"/>
      <c r="BA640" s="95"/>
    </row>
    <row r="641" spans="1:53" s="87" customFormat="1">
      <c r="A641" s="90" t="str">
        <f t="shared" si="34"/>
        <v/>
      </c>
      <c r="B641" s="98">
        <v>14</v>
      </c>
      <c r="C641" s="94" t="s">
        <v>210</v>
      </c>
      <c r="D641" s="94">
        <v>3</v>
      </c>
      <c r="E641" s="94">
        <v>6</v>
      </c>
      <c r="F641" s="94" t="s">
        <v>210</v>
      </c>
      <c r="G641" s="94" t="s">
        <v>210</v>
      </c>
      <c r="H641" s="94" t="s">
        <v>202</v>
      </c>
      <c r="I641" s="94">
        <v>5</v>
      </c>
      <c r="J641" s="94" t="s">
        <v>210</v>
      </c>
      <c r="K641" s="94" t="s">
        <v>210</v>
      </c>
      <c r="L641" s="94">
        <v>-2</v>
      </c>
      <c r="M641" s="94">
        <v>-8</v>
      </c>
      <c r="N641" s="94" t="s">
        <v>210</v>
      </c>
      <c r="O641" s="94" t="s">
        <v>210</v>
      </c>
      <c r="P641" s="94">
        <v>2</v>
      </c>
      <c r="Q641" s="94">
        <v>-7</v>
      </c>
      <c r="R641" s="94" t="s">
        <v>210</v>
      </c>
      <c r="S641" s="94" t="s">
        <v>210</v>
      </c>
      <c r="T641" s="94">
        <v>-5</v>
      </c>
      <c r="U641" s="94">
        <v>4</v>
      </c>
      <c r="V641" s="94" t="s">
        <v>210</v>
      </c>
      <c r="W641" s="94" t="s">
        <v>210</v>
      </c>
      <c r="X641" s="94">
        <v>-3</v>
      </c>
      <c r="Y641" s="94"/>
      <c r="Z641" s="94"/>
      <c r="AA641" s="94"/>
      <c r="AB641" s="94"/>
      <c r="AC641" s="94"/>
      <c r="AD641" s="94"/>
      <c r="AE641" s="94"/>
      <c r="AF641" s="94"/>
      <c r="AG641" s="94"/>
      <c r="AH641" s="94"/>
      <c r="AI641" s="94"/>
      <c r="AJ641" s="94"/>
      <c r="AK641" s="94"/>
      <c r="AL641" s="94"/>
      <c r="AM641" s="94"/>
      <c r="AN641" s="94"/>
      <c r="AO641" s="94"/>
      <c r="AP641" s="94"/>
      <c r="AQ641" s="94"/>
      <c r="AR641" s="94"/>
      <c r="AS641" s="94"/>
      <c r="AT641" s="94"/>
      <c r="AU641" s="94"/>
      <c r="AV641" s="94"/>
      <c r="AW641" s="94"/>
      <c r="AX641" s="94"/>
      <c r="AY641" s="94"/>
      <c r="AZ641" s="94"/>
      <c r="BA641" s="95"/>
    </row>
    <row r="642" spans="1:53" s="87" customFormat="1">
      <c r="A642" s="90" t="str">
        <f t="shared" si="34"/>
        <v/>
      </c>
      <c r="B642" s="98">
        <v>15</v>
      </c>
      <c r="C642" s="94" t="s">
        <v>210</v>
      </c>
      <c r="D642" s="94">
        <v>-2</v>
      </c>
      <c r="E642" s="94">
        <v>5</v>
      </c>
      <c r="F642" s="94" t="s">
        <v>210</v>
      </c>
      <c r="G642" s="94" t="s">
        <v>210</v>
      </c>
      <c r="H642" s="94">
        <v>6</v>
      </c>
      <c r="I642" s="94">
        <v>-1</v>
      </c>
      <c r="J642" s="94" t="s">
        <v>210</v>
      </c>
      <c r="K642" s="94" t="s">
        <v>210</v>
      </c>
      <c r="L642" s="94">
        <v>4</v>
      </c>
      <c r="M642" s="94" t="s">
        <v>202</v>
      </c>
      <c r="N642" s="94" t="s">
        <v>210</v>
      </c>
      <c r="O642" s="94" t="s">
        <v>210</v>
      </c>
      <c r="P642" s="94">
        <v>-7</v>
      </c>
      <c r="Q642" s="94">
        <v>-5</v>
      </c>
      <c r="R642" s="94" t="s">
        <v>210</v>
      </c>
      <c r="S642" s="94" t="s">
        <v>210</v>
      </c>
      <c r="T642" s="94">
        <v>1</v>
      </c>
      <c r="U642" s="94">
        <v>-6</v>
      </c>
      <c r="V642" s="94" t="s">
        <v>210</v>
      </c>
      <c r="W642" s="94" t="s">
        <v>210</v>
      </c>
      <c r="X642" s="94">
        <v>3</v>
      </c>
      <c r="Y642" s="94"/>
      <c r="Z642" s="94"/>
      <c r="AA642" s="94"/>
      <c r="AB642" s="94"/>
      <c r="AC642" s="94"/>
      <c r="AD642" s="94"/>
      <c r="AE642" s="94"/>
      <c r="AF642" s="94"/>
      <c r="AG642" s="94"/>
      <c r="AH642" s="94"/>
      <c r="AI642" s="94"/>
      <c r="AJ642" s="94"/>
      <c r="AK642" s="94"/>
      <c r="AL642" s="94"/>
      <c r="AM642" s="94"/>
      <c r="AN642" s="94"/>
      <c r="AO642" s="94"/>
      <c r="AP642" s="94"/>
      <c r="AQ642" s="94"/>
      <c r="AR642" s="94"/>
      <c r="AS642" s="94"/>
      <c r="AT642" s="94"/>
      <c r="AU642" s="94"/>
      <c r="AV642" s="94"/>
      <c r="AW642" s="94"/>
      <c r="AX642" s="94"/>
      <c r="AY642" s="94"/>
      <c r="AZ642" s="94"/>
      <c r="BA642" s="95"/>
    </row>
    <row r="643" spans="1:53" s="87" customFormat="1">
      <c r="A643" s="90" t="str">
        <f t="shared" si="34"/>
        <v/>
      </c>
      <c r="B643" s="98">
        <v>16</v>
      </c>
      <c r="C643" s="94" t="s">
        <v>210</v>
      </c>
      <c r="D643" s="94">
        <v>6</v>
      </c>
      <c r="E643" s="94">
        <v>-7</v>
      </c>
      <c r="F643" s="94" t="s">
        <v>210</v>
      </c>
      <c r="G643" s="94" t="s">
        <v>210</v>
      </c>
      <c r="H643" s="94">
        <v>-6</v>
      </c>
      <c r="I643" s="94" t="s">
        <v>202</v>
      </c>
      <c r="J643" s="94" t="s">
        <v>210</v>
      </c>
      <c r="K643" s="94" t="s">
        <v>210</v>
      </c>
      <c r="L643" s="94">
        <v>7</v>
      </c>
      <c r="M643" s="94">
        <v>4</v>
      </c>
      <c r="N643" s="94" t="s">
        <v>210</v>
      </c>
      <c r="O643" s="94" t="s">
        <v>210</v>
      </c>
      <c r="P643" s="94">
        <v>-5</v>
      </c>
      <c r="Q643" s="94">
        <v>-3</v>
      </c>
      <c r="R643" s="94" t="s">
        <v>210</v>
      </c>
      <c r="S643" s="94" t="s">
        <v>210</v>
      </c>
      <c r="T643" s="94">
        <v>5</v>
      </c>
      <c r="U643" s="94">
        <v>8</v>
      </c>
      <c r="V643" s="94" t="s">
        <v>210</v>
      </c>
      <c r="W643" s="94" t="s">
        <v>210</v>
      </c>
      <c r="X643" s="94">
        <v>-4</v>
      </c>
      <c r="Y643" s="94"/>
      <c r="Z643" s="94"/>
      <c r="AA643" s="94"/>
      <c r="AB643" s="94"/>
      <c r="AC643" s="94"/>
      <c r="AD643" s="94"/>
      <c r="AE643" s="94"/>
      <c r="AF643" s="94"/>
      <c r="AG643" s="94"/>
      <c r="AH643" s="94"/>
      <c r="AI643" s="94"/>
      <c r="AJ643" s="94"/>
      <c r="AK643" s="94"/>
      <c r="AL643" s="94"/>
      <c r="AM643" s="94"/>
      <c r="AN643" s="94"/>
      <c r="AO643" s="94"/>
      <c r="AP643" s="94"/>
      <c r="AQ643" s="94"/>
      <c r="AR643" s="94"/>
      <c r="AS643" s="94"/>
      <c r="AT643" s="94"/>
      <c r="AU643" s="94"/>
      <c r="AV643" s="94"/>
      <c r="AW643" s="94"/>
      <c r="AX643" s="94"/>
      <c r="AY643" s="94"/>
      <c r="AZ643" s="94"/>
      <c r="BA643" s="95"/>
    </row>
    <row r="644" spans="1:53" s="87" customFormat="1">
      <c r="A644" s="90" t="str">
        <f t="shared" si="34"/>
        <v/>
      </c>
      <c r="B644" s="98">
        <v>17</v>
      </c>
      <c r="C644" s="94" t="s">
        <v>210</v>
      </c>
      <c r="D644" s="94">
        <v>-8</v>
      </c>
      <c r="E644" s="94">
        <v>-4</v>
      </c>
      <c r="F644" s="94" t="s">
        <v>210</v>
      </c>
      <c r="G644" s="94" t="s">
        <v>210</v>
      </c>
      <c r="H644" s="94">
        <v>5</v>
      </c>
      <c r="I644" s="94">
        <v>1</v>
      </c>
      <c r="J644" s="94" t="s">
        <v>210</v>
      </c>
      <c r="K644" s="94" t="s">
        <v>210</v>
      </c>
      <c r="L644" s="94">
        <v>2</v>
      </c>
      <c r="M644" s="94">
        <v>-6</v>
      </c>
      <c r="N644" s="94" t="s">
        <v>210</v>
      </c>
      <c r="O644" s="94" t="s">
        <v>210</v>
      </c>
      <c r="P644" s="94" t="s">
        <v>202</v>
      </c>
      <c r="Q644" s="94">
        <v>-2</v>
      </c>
      <c r="R644" s="94" t="s">
        <v>210</v>
      </c>
      <c r="S644" s="94" t="s">
        <v>210</v>
      </c>
      <c r="T644" s="94">
        <v>3</v>
      </c>
      <c r="U644" s="94">
        <v>-5</v>
      </c>
      <c r="V644" s="94" t="s">
        <v>210</v>
      </c>
      <c r="W644" s="94" t="s">
        <v>210</v>
      </c>
      <c r="X644" s="94">
        <v>4</v>
      </c>
      <c r="Y644" s="94"/>
      <c r="Z644" s="94"/>
      <c r="AA644" s="94"/>
      <c r="AB644" s="94"/>
      <c r="AC644" s="94"/>
      <c r="AD644" s="94"/>
      <c r="AE644" s="94"/>
      <c r="AF644" s="94"/>
      <c r="AG644" s="94"/>
      <c r="AH644" s="94"/>
      <c r="AI644" s="94"/>
      <c r="AJ644" s="94"/>
      <c r="AK644" s="94"/>
      <c r="AL644" s="94"/>
      <c r="AM644" s="94"/>
      <c r="AN644" s="94"/>
      <c r="AO644" s="94"/>
      <c r="AP644" s="94"/>
      <c r="AQ644" s="94"/>
      <c r="AR644" s="94"/>
      <c r="AS644" s="94"/>
      <c r="AT644" s="94"/>
      <c r="AU644" s="94"/>
      <c r="AV644" s="94"/>
      <c r="AW644" s="94"/>
      <c r="AX644" s="94"/>
      <c r="AY644" s="94"/>
      <c r="AZ644" s="94"/>
      <c r="BA644" s="95"/>
    </row>
    <row r="645" spans="1:53" s="87" customFormat="1">
      <c r="A645" s="90" t="str">
        <f t="shared" si="34"/>
        <v/>
      </c>
      <c r="B645" s="98">
        <v>18</v>
      </c>
      <c r="C645" s="94" t="s">
        <v>210</v>
      </c>
      <c r="D645" s="94">
        <v>-5</v>
      </c>
      <c r="E645" s="94" t="s">
        <v>202</v>
      </c>
      <c r="F645" s="94" t="s">
        <v>210</v>
      </c>
      <c r="G645" s="94" t="s">
        <v>210</v>
      </c>
      <c r="H645" s="94">
        <v>-1</v>
      </c>
      <c r="I645" s="94">
        <v>4</v>
      </c>
      <c r="J645" s="94" t="s">
        <v>210</v>
      </c>
      <c r="K645" s="94" t="s">
        <v>210</v>
      </c>
      <c r="L645" s="94">
        <v>1</v>
      </c>
      <c r="M645" s="94">
        <v>-4</v>
      </c>
      <c r="N645" s="94" t="s">
        <v>210</v>
      </c>
      <c r="O645" s="94" t="s">
        <v>210</v>
      </c>
      <c r="P645" s="94">
        <v>-6</v>
      </c>
      <c r="Q645" s="94">
        <v>7</v>
      </c>
      <c r="R645" s="94" t="s">
        <v>210</v>
      </c>
      <c r="S645" s="94" t="s">
        <v>210</v>
      </c>
      <c r="T645" s="94">
        <v>-3</v>
      </c>
      <c r="U645" s="94">
        <v>6</v>
      </c>
      <c r="V645" s="94" t="s">
        <v>210</v>
      </c>
      <c r="W645" s="94" t="s">
        <v>210</v>
      </c>
      <c r="X645" s="94">
        <v>5</v>
      </c>
      <c r="Y645" s="94"/>
      <c r="Z645" s="94"/>
      <c r="AA645" s="94"/>
      <c r="AB645" s="94"/>
      <c r="AC645" s="94"/>
      <c r="AD645" s="94"/>
      <c r="AE645" s="94"/>
      <c r="AF645" s="94"/>
      <c r="AG645" s="94"/>
      <c r="AH645" s="94"/>
      <c r="AI645" s="94"/>
      <c r="AJ645" s="94"/>
      <c r="AK645" s="94"/>
      <c r="AL645" s="94"/>
      <c r="AM645" s="94"/>
      <c r="AN645" s="94"/>
      <c r="AO645" s="94"/>
      <c r="AP645" s="94"/>
      <c r="AQ645" s="94"/>
      <c r="AR645" s="94"/>
      <c r="AS645" s="94"/>
      <c r="AT645" s="94"/>
      <c r="AU645" s="94"/>
      <c r="AV645" s="94"/>
      <c r="AW645" s="94"/>
      <c r="AX645" s="94"/>
      <c r="AY645" s="94"/>
      <c r="AZ645" s="94"/>
      <c r="BA645" s="95"/>
    </row>
    <row r="646" spans="1:53" s="87" customFormat="1">
      <c r="A646" s="90" t="str">
        <f t="shared" si="34"/>
        <v/>
      </c>
      <c r="B646" s="98">
        <v>19</v>
      </c>
      <c r="C646" s="94" t="s">
        <v>210</v>
      </c>
      <c r="D646" s="94" t="s">
        <v>202</v>
      </c>
      <c r="E646" s="94">
        <v>8</v>
      </c>
      <c r="F646" s="94" t="s">
        <v>210</v>
      </c>
      <c r="G646" s="94" t="s">
        <v>210</v>
      </c>
      <c r="H646" s="94">
        <v>4</v>
      </c>
      <c r="I646" s="94">
        <v>7</v>
      </c>
      <c r="J646" s="94" t="s">
        <v>210</v>
      </c>
      <c r="K646" s="94" t="s">
        <v>210</v>
      </c>
      <c r="L646" s="94">
        <v>-3</v>
      </c>
      <c r="M646" s="94">
        <v>-2</v>
      </c>
      <c r="N646" s="94" t="s">
        <v>210</v>
      </c>
      <c r="O646" s="94" t="s">
        <v>210</v>
      </c>
      <c r="P646" s="94">
        <v>5</v>
      </c>
      <c r="Q646" s="94">
        <v>2</v>
      </c>
      <c r="R646" s="94" t="s">
        <v>210</v>
      </c>
      <c r="S646" s="94" t="s">
        <v>210</v>
      </c>
      <c r="T646" s="94">
        <v>-1</v>
      </c>
      <c r="U646" s="94">
        <v>-4</v>
      </c>
      <c r="V646" s="94" t="s">
        <v>210</v>
      </c>
      <c r="W646" s="94" t="s">
        <v>210</v>
      </c>
      <c r="X646" s="94">
        <v>-5</v>
      </c>
      <c r="Y646" s="94"/>
      <c r="Z646" s="94"/>
      <c r="AA646" s="94"/>
      <c r="AB646" s="94"/>
      <c r="AC646" s="94"/>
      <c r="AD646" s="94"/>
      <c r="AE646" s="94"/>
      <c r="AF646" s="94"/>
      <c r="AG646" s="94"/>
      <c r="AH646" s="94"/>
      <c r="AI646" s="94"/>
      <c r="AJ646" s="94"/>
      <c r="AK646" s="94"/>
      <c r="AL646" s="94"/>
      <c r="AM646" s="94"/>
      <c r="AN646" s="94"/>
      <c r="AO646" s="94"/>
      <c r="AP646" s="94"/>
      <c r="AQ646" s="94"/>
      <c r="AR646" s="94"/>
      <c r="AS646" s="94"/>
      <c r="AT646" s="94"/>
      <c r="AU646" s="94"/>
      <c r="AV646" s="94"/>
      <c r="AW646" s="94"/>
      <c r="AX646" s="94"/>
      <c r="AY646" s="94"/>
      <c r="AZ646" s="94"/>
      <c r="BA646" s="95"/>
    </row>
    <row r="647" spans="1:53" s="87" customFormat="1">
      <c r="A647" s="90" t="str">
        <f t="shared" si="34"/>
        <v/>
      </c>
      <c r="B647" s="98">
        <v>20</v>
      </c>
      <c r="C647" s="94" t="s">
        <v>210</v>
      </c>
      <c r="D647" s="94">
        <v>-3</v>
      </c>
      <c r="E647" s="94">
        <v>-5</v>
      </c>
      <c r="F647" s="94" t="s">
        <v>210</v>
      </c>
      <c r="G647" s="94" t="s">
        <v>210</v>
      </c>
      <c r="H647" s="94">
        <v>7</v>
      </c>
      <c r="I647" s="94">
        <v>-6</v>
      </c>
      <c r="J647" s="94" t="s">
        <v>210</v>
      </c>
      <c r="K647" s="94" t="s">
        <v>210</v>
      </c>
      <c r="L647" s="94" t="s">
        <v>202</v>
      </c>
      <c r="M647" s="94">
        <v>2</v>
      </c>
      <c r="N647" s="94" t="s">
        <v>210</v>
      </c>
      <c r="O647" s="94" t="s">
        <v>210</v>
      </c>
      <c r="P647" s="94">
        <v>6</v>
      </c>
      <c r="Q647" s="94">
        <v>3</v>
      </c>
      <c r="R647" s="94" t="s">
        <v>210</v>
      </c>
      <c r="S647" s="94" t="s">
        <v>210</v>
      </c>
      <c r="T647" s="94">
        <v>-4</v>
      </c>
      <c r="U647" s="94">
        <v>5</v>
      </c>
      <c r="V647" s="94" t="s">
        <v>210</v>
      </c>
      <c r="W647" s="94" t="s">
        <v>210</v>
      </c>
      <c r="X647" s="94">
        <v>-7</v>
      </c>
      <c r="Y647" s="94"/>
      <c r="Z647" s="94"/>
      <c r="AA647" s="94"/>
      <c r="AB647" s="94"/>
      <c r="AC647" s="94"/>
      <c r="AD647" s="94"/>
      <c r="AE647" s="94"/>
      <c r="AF647" s="94"/>
      <c r="AG647" s="94"/>
      <c r="AH647" s="94"/>
      <c r="AI647" s="94"/>
      <c r="AJ647" s="94"/>
      <c r="AK647" s="94"/>
      <c r="AL647" s="94"/>
      <c r="AM647" s="94"/>
      <c r="AN647" s="94"/>
      <c r="AO647" s="94"/>
      <c r="AP647" s="94"/>
      <c r="AQ647" s="94"/>
      <c r="AR647" s="94"/>
      <c r="AS647" s="94"/>
      <c r="AT647" s="94"/>
      <c r="AU647" s="94"/>
      <c r="AV647" s="94"/>
      <c r="AW647" s="94"/>
      <c r="AX647" s="94"/>
      <c r="AY647" s="94"/>
      <c r="AZ647" s="94"/>
      <c r="BA647" s="95"/>
    </row>
    <row r="648" spans="1:53" s="87" customFormat="1">
      <c r="A648" s="90" t="str">
        <f t="shared" si="34"/>
        <v/>
      </c>
      <c r="B648" s="98">
        <v>21</v>
      </c>
      <c r="C648" s="94" t="s">
        <v>210</v>
      </c>
      <c r="D648" s="94">
        <v>8</v>
      </c>
      <c r="E648" s="94">
        <v>-6</v>
      </c>
      <c r="F648" s="94" t="s">
        <v>210</v>
      </c>
      <c r="G648" s="94" t="s">
        <v>210</v>
      </c>
      <c r="H648" s="94">
        <v>1</v>
      </c>
      <c r="I648" s="94">
        <v>-7</v>
      </c>
      <c r="J648" s="94" t="s">
        <v>210</v>
      </c>
      <c r="K648" s="94" t="s">
        <v>210</v>
      </c>
      <c r="L648" s="94">
        <v>-4</v>
      </c>
      <c r="M648" s="94">
        <v>-1</v>
      </c>
      <c r="N648" s="94" t="s">
        <v>210</v>
      </c>
      <c r="O648" s="94" t="s">
        <v>210</v>
      </c>
      <c r="P648" s="94">
        <v>3</v>
      </c>
      <c r="Q648" s="94" t="s">
        <v>202</v>
      </c>
      <c r="R648" s="94" t="s">
        <v>210</v>
      </c>
      <c r="S648" s="94" t="s">
        <v>210</v>
      </c>
      <c r="T648" s="94">
        <v>6</v>
      </c>
      <c r="U648" s="94">
        <v>-8</v>
      </c>
      <c r="V648" s="94" t="s">
        <v>210</v>
      </c>
      <c r="W648" s="94" t="s">
        <v>210</v>
      </c>
      <c r="X648" s="94">
        <v>7</v>
      </c>
      <c r="Y648" s="94"/>
      <c r="Z648" s="94"/>
      <c r="AA648" s="94"/>
      <c r="AB648" s="94"/>
      <c r="AC648" s="94"/>
      <c r="AD648" s="94"/>
      <c r="AE648" s="94"/>
      <c r="AF648" s="94"/>
      <c r="AG648" s="94"/>
      <c r="AH648" s="94"/>
      <c r="AI648" s="94"/>
      <c r="AJ648" s="94"/>
      <c r="AK648" s="94"/>
      <c r="AL648" s="94"/>
      <c r="AM648" s="94"/>
      <c r="AN648" s="94"/>
      <c r="AO648" s="94"/>
      <c r="AP648" s="94"/>
      <c r="AQ648" s="94"/>
      <c r="AR648" s="94"/>
      <c r="AS648" s="94"/>
      <c r="AT648" s="94"/>
      <c r="AU648" s="94"/>
      <c r="AV648" s="94"/>
      <c r="AW648" s="94"/>
      <c r="AX648" s="94"/>
      <c r="AY648" s="94"/>
      <c r="AZ648" s="94"/>
      <c r="BA648" s="95"/>
    </row>
    <row r="649" spans="1:53" s="87" customFormat="1">
      <c r="A649" s="90" t="str">
        <f t="shared" si="34"/>
        <v/>
      </c>
      <c r="B649" s="99">
        <v>22</v>
      </c>
      <c r="C649" s="92" t="s">
        <v>210</v>
      </c>
      <c r="D649" s="92">
        <v>5</v>
      </c>
      <c r="E649" s="92">
        <v>-8</v>
      </c>
      <c r="F649" s="92" t="s">
        <v>210</v>
      </c>
      <c r="G649" s="92" t="s">
        <v>210</v>
      </c>
      <c r="H649" s="92">
        <v>-5</v>
      </c>
      <c r="I649" s="92">
        <v>6</v>
      </c>
      <c r="J649" s="92" t="s">
        <v>210</v>
      </c>
      <c r="K649" s="92" t="s">
        <v>210</v>
      </c>
      <c r="L649" s="92">
        <v>-7</v>
      </c>
      <c r="M649" s="92">
        <v>8</v>
      </c>
      <c r="N649" s="92" t="s">
        <v>210</v>
      </c>
      <c r="O649" s="92" t="s">
        <v>210</v>
      </c>
      <c r="P649" s="92">
        <v>7</v>
      </c>
      <c r="Q649" s="92">
        <v>-1</v>
      </c>
      <c r="R649" s="92" t="s">
        <v>210</v>
      </c>
      <c r="S649" s="92" t="s">
        <v>210</v>
      </c>
      <c r="T649" s="92">
        <v>-6</v>
      </c>
      <c r="U649" s="92">
        <v>3</v>
      </c>
      <c r="V649" s="92" t="s">
        <v>210</v>
      </c>
      <c r="W649" s="92" t="s">
        <v>210</v>
      </c>
      <c r="X649" s="92" t="s">
        <v>202</v>
      </c>
      <c r="Y649" s="94"/>
      <c r="Z649" s="94"/>
      <c r="AA649" s="94"/>
      <c r="AB649" s="94"/>
      <c r="AC649" s="94"/>
      <c r="AD649" s="94"/>
      <c r="AE649" s="94"/>
      <c r="AF649" s="94"/>
      <c r="AG649" s="94"/>
      <c r="AH649" s="94"/>
      <c r="AI649" s="94"/>
      <c r="AJ649" s="94"/>
      <c r="AK649" s="94"/>
      <c r="AL649" s="94"/>
      <c r="AM649" s="94"/>
      <c r="AN649" s="94"/>
      <c r="AO649" s="94"/>
      <c r="AP649" s="94"/>
      <c r="AQ649" s="94"/>
      <c r="AR649" s="94"/>
      <c r="AS649" s="94"/>
      <c r="AT649" s="94"/>
      <c r="AU649" s="94"/>
      <c r="AV649" s="94"/>
      <c r="AW649" s="94"/>
      <c r="AX649" s="94"/>
      <c r="AY649" s="94"/>
      <c r="AZ649" s="94"/>
      <c r="BA649" s="95"/>
    </row>
    <row r="650" spans="1:53" s="87" customFormat="1">
      <c r="A650" s="90" t="str">
        <f t="shared" si="34"/>
        <v/>
      </c>
      <c r="B650" s="98">
        <v>23</v>
      </c>
      <c r="C650" s="94">
        <v>-6</v>
      </c>
      <c r="D650" s="94" t="s">
        <v>210</v>
      </c>
      <c r="E650" s="94">
        <v>3</v>
      </c>
      <c r="F650" s="94" t="s">
        <v>210</v>
      </c>
      <c r="G650" s="94">
        <v>-2</v>
      </c>
      <c r="H650" s="94" t="s">
        <v>210</v>
      </c>
      <c r="I650" s="94" t="s">
        <v>210</v>
      </c>
      <c r="J650" s="94">
        <v>5</v>
      </c>
      <c r="K650" s="94">
        <v>8</v>
      </c>
      <c r="L650" s="94" t="s">
        <v>210</v>
      </c>
      <c r="M650" s="94" t="s">
        <v>210</v>
      </c>
      <c r="N650" s="94">
        <v>6</v>
      </c>
      <c r="O650" s="94" t="s">
        <v>210</v>
      </c>
      <c r="P650" s="94">
        <v>-4</v>
      </c>
      <c r="Q650" s="94" t="s">
        <v>202</v>
      </c>
      <c r="R650" s="94" t="s">
        <v>210</v>
      </c>
      <c r="S650" s="94">
        <v>-7</v>
      </c>
      <c r="T650" s="94" t="s">
        <v>210</v>
      </c>
      <c r="U650" s="94" t="s">
        <v>210</v>
      </c>
      <c r="V650" s="94">
        <v>-1</v>
      </c>
      <c r="W650" s="94">
        <v>2</v>
      </c>
      <c r="X650" s="94" t="s">
        <v>210</v>
      </c>
      <c r="Y650" s="94"/>
      <c r="Z650" s="94"/>
      <c r="AA650" s="94"/>
      <c r="AB650" s="94"/>
      <c r="AC650" s="94"/>
      <c r="AD650" s="94"/>
      <c r="AE650" s="94"/>
      <c r="AF650" s="94"/>
      <c r="AG650" s="94"/>
      <c r="AH650" s="94"/>
      <c r="AI650" s="94"/>
      <c r="AJ650" s="94"/>
      <c r="AK650" s="94"/>
      <c r="AL650" s="94"/>
      <c r="AM650" s="94"/>
      <c r="AN650" s="94"/>
      <c r="AO650" s="94"/>
      <c r="AP650" s="94"/>
      <c r="AQ650" s="94"/>
      <c r="AR650" s="94"/>
      <c r="AS650" s="94"/>
      <c r="AT650" s="94"/>
      <c r="AU650" s="94"/>
      <c r="AV650" s="94"/>
      <c r="AW650" s="94"/>
      <c r="AX650" s="94"/>
      <c r="AY650" s="94"/>
      <c r="AZ650" s="94"/>
      <c r="BA650" s="95"/>
    </row>
    <row r="651" spans="1:53" s="87" customFormat="1">
      <c r="A651" s="90" t="str">
        <f t="shared" si="34"/>
        <v/>
      </c>
      <c r="B651" s="98">
        <v>24</v>
      </c>
      <c r="C651" s="94" t="s">
        <v>210</v>
      </c>
      <c r="D651" s="94">
        <v>4</v>
      </c>
      <c r="E651" s="94">
        <v>-1</v>
      </c>
      <c r="F651" s="94" t="s">
        <v>210</v>
      </c>
      <c r="G651" s="94" t="s">
        <v>210</v>
      </c>
      <c r="H651" s="94">
        <v>3</v>
      </c>
      <c r="I651" s="94" t="s">
        <v>202</v>
      </c>
      <c r="J651" s="94" t="s">
        <v>210</v>
      </c>
      <c r="K651" s="94">
        <v>-6</v>
      </c>
      <c r="L651" s="94" t="s">
        <v>210</v>
      </c>
      <c r="M651" s="94">
        <v>-5</v>
      </c>
      <c r="N651" s="94" t="s">
        <v>210</v>
      </c>
      <c r="O651" s="94" t="s">
        <v>210</v>
      </c>
      <c r="P651" s="94">
        <v>-8</v>
      </c>
      <c r="Q651" s="94">
        <v>6</v>
      </c>
      <c r="R651" s="94" t="s">
        <v>210</v>
      </c>
      <c r="S651" s="94">
        <v>1</v>
      </c>
      <c r="T651" s="94" t="s">
        <v>210</v>
      </c>
      <c r="U651" s="94" t="s">
        <v>210</v>
      </c>
      <c r="V651" s="94">
        <v>7</v>
      </c>
      <c r="W651" s="94">
        <v>-2</v>
      </c>
      <c r="X651" s="94" t="s">
        <v>210</v>
      </c>
      <c r="Y651" s="94"/>
      <c r="Z651" s="94"/>
      <c r="AA651" s="94"/>
      <c r="AB651" s="94"/>
      <c r="AC651" s="94"/>
      <c r="AD651" s="94"/>
      <c r="AE651" s="94"/>
      <c r="AF651" s="94"/>
      <c r="AG651" s="94"/>
      <c r="AH651" s="94"/>
      <c r="AI651" s="94"/>
      <c r="AJ651" s="94"/>
      <c r="AK651" s="94"/>
      <c r="AL651" s="94"/>
      <c r="AM651" s="94"/>
      <c r="AN651" s="94"/>
      <c r="AO651" s="94"/>
      <c r="AP651" s="94"/>
      <c r="AQ651" s="94"/>
      <c r="AR651" s="94"/>
      <c r="AS651" s="94"/>
      <c r="AT651" s="94"/>
      <c r="AU651" s="94"/>
      <c r="AV651" s="94"/>
      <c r="AW651" s="94"/>
      <c r="AX651" s="94"/>
      <c r="AY651" s="94"/>
      <c r="AZ651" s="94"/>
      <c r="BA651" s="95"/>
    </row>
    <row r="652" spans="1:53" s="87" customFormat="1">
      <c r="A652" s="90" t="str">
        <f t="shared" ref="A652:A715" si="35">IF(MID(B652,3,2)="08",ROW(),"")</f>
        <v/>
      </c>
      <c r="B652" s="98">
        <v>25</v>
      </c>
      <c r="C652" s="94" t="s">
        <v>210</v>
      </c>
      <c r="D652" s="94">
        <v>7</v>
      </c>
      <c r="E652" s="94">
        <v>1</v>
      </c>
      <c r="F652" s="94" t="s">
        <v>210</v>
      </c>
      <c r="G652" s="94" t="s">
        <v>210</v>
      </c>
      <c r="H652" s="94">
        <v>-2</v>
      </c>
      <c r="I652" s="94">
        <v>3</v>
      </c>
      <c r="J652" s="94" t="s">
        <v>210</v>
      </c>
      <c r="K652" s="94" t="s">
        <v>210</v>
      </c>
      <c r="L652" s="94">
        <v>5</v>
      </c>
      <c r="M652" s="94" t="s">
        <v>210</v>
      </c>
      <c r="N652" s="94">
        <v>-6</v>
      </c>
      <c r="O652" s="94">
        <v>-4</v>
      </c>
      <c r="P652" s="94" t="s">
        <v>210</v>
      </c>
      <c r="Q652" s="94">
        <v>-8</v>
      </c>
      <c r="R652" s="94" t="s">
        <v>210</v>
      </c>
      <c r="S652" s="94">
        <v>2</v>
      </c>
      <c r="T652" s="94" t="s">
        <v>210</v>
      </c>
      <c r="U652" s="94" t="s">
        <v>202</v>
      </c>
      <c r="V652" s="94" t="s">
        <v>210</v>
      </c>
      <c r="W652" s="94">
        <v>-7</v>
      </c>
      <c r="X652" s="94" t="s">
        <v>210</v>
      </c>
      <c r="Y652" s="94"/>
      <c r="Z652" s="94"/>
      <c r="AA652" s="94"/>
      <c r="AB652" s="94"/>
      <c r="AC652" s="94"/>
      <c r="AD652" s="94"/>
      <c r="AE652" s="94"/>
      <c r="AF652" s="94"/>
      <c r="AG652" s="94"/>
      <c r="AH652" s="94"/>
      <c r="AI652" s="94"/>
      <c r="AJ652" s="94"/>
      <c r="AK652" s="94"/>
      <c r="AL652" s="94"/>
      <c r="AM652" s="94"/>
      <c r="AN652" s="94"/>
      <c r="AO652" s="94"/>
      <c r="AP652" s="94"/>
      <c r="AQ652" s="94"/>
      <c r="AR652" s="94"/>
      <c r="AS652" s="94"/>
      <c r="AT652" s="94"/>
      <c r="AU652" s="94"/>
      <c r="AV652" s="94"/>
      <c r="AW652" s="94"/>
      <c r="AX652" s="94"/>
      <c r="AY652" s="94"/>
      <c r="AZ652" s="94"/>
      <c r="BA652" s="95"/>
    </row>
    <row r="653" spans="1:53" s="87" customFormat="1">
      <c r="A653" s="90" t="str">
        <f t="shared" si="35"/>
        <v/>
      </c>
      <c r="B653" s="98">
        <v>26</v>
      </c>
      <c r="C653" s="94">
        <v>-3</v>
      </c>
      <c r="D653" s="94" t="s">
        <v>210</v>
      </c>
      <c r="E653" s="94" t="s">
        <v>210</v>
      </c>
      <c r="F653" s="94">
        <v>5</v>
      </c>
      <c r="G653" s="94">
        <v>-8</v>
      </c>
      <c r="H653" s="94" t="s">
        <v>210</v>
      </c>
      <c r="I653" s="94">
        <v>-2</v>
      </c>
      <c r="J653" s="94" t="s">
        <v>210</v>
      </c>
      <c r="K653" s="94" t="s">
        <v>210</v>
      </c>
      <c r="L653" s="94">
        <v>6</v>
      </c>
      <c r="M653" s="94">
        <v>-7</v>
      </c>
      <c r="N653" s="94" t="s">
        <v>210</v>
      </c>
      <c r="O653" s="94" t="s">
        <v>210</v>
      </c>
      <c r="P653" s="94">
        <v>8</v>
      </c>
      <c r="Q653" s="94">
        <v>-4</v>
      </c>
      <c r="R653" s="94" t="s">
        <v>210</v>
      </c>
      <c r="S653" s="94" t="s">
        <v>202</v>
      </c>
      <c r="T653" s="94" t="s">
        <v>210</v>
      </c>
      <c r="U653" s="94" t="s">
        <v>210</v>
      </c>
      <c r="V653" s="94">
        <v>1</v>
      </c>
      <c r="W653" s="94">
        <v>7</v>
      </c>
      <c r="X653" s="94" t="s">
        <v>210</v>
      </c>
      <c r="Y653" s="94"/>
      <c r="Z653" s="94"/>
      <c r="AA653" s="94"/>
      <c r="AB653" s="94"/>
      <c r="AC653" s="94"/>
      <c r="AD653" s="94"/>
      <c r="AE653" s="94"/>
      <c r="AF653" s="94"/>
      <c r="AG653" s="94"/>
      <c r="AH653" s="94"/>
      <c r="AI653" s="94"/>
      <c r="AJ653" s="94"/>
      <c r="AK653" s="94"/>
      <c r="AL653" s="94"/>
      <c r="AM653" s="94"/>
      <c r="AN653" s="94"/>
      <c r="AO653" s="94"/>
      <c r="AP653" s="94"/>
      <c r="AQ653" s="94"/>
      <c r="AR653" s="94"/>
      <c r="AS653" s="94"/>
      <c r="AT653" s="94"/>
      <c r="AU653" s="94"/>
      <c r="AV653" s="94"/>
      <c r="AW653" s="94"/>
      <c r="AX653" s="94"/>
      <c r="AY653" s="94"/>
      <c r="AZ653" s="94"/>
      <c r="BA653" s="95"/>
    </row>
    <row r="654" spans="1:53" s="87" customFormat="1">
      <c r="A654" s="90" t="str">
        <f t="shared" si="35"/>
        <v/>
      </c>
      <c r="B654" s="98">
        <v>27</v>
      </c>
      <c r="C654" s="94" t="s">
        <v>210</v>
      </c>
      <c r="D654" s="94">
        <v>-7</v>
      </c>
      <c r="E654" s="94">
        <v>-2</v>
      </c>
      <c r="F654" s="94" t="s">
        <v>210</v>
      </c>
      <c r="G654" s="94">
        <v>8</v>
      </c>
      <c r="H654" s="94" t="s">
        <v>210</v>
      </c>
      <c r="I654" s="94" t="s">
        <v>210</v>
      </c>
      <c r="J654" s="94">
        <v>-5</v>
      </c>
      <c r="K654" s="94">
        <v>3</v>
      </c>
      <c r="L654" s="94" t="s">
        <v>210</v>
      </c>
      <c r="M654" s="94" t="s">
        <v>202</v>
      </c>
      <c r="N654" s="94" t="s">
        <v>210</v>
      </c>
      <c r="O654" s="94">
        <v>6</v>
      </c>
      <c r="P654" s="94" t="s">
        <v>210</v>
      </c>
      <c r="Q654" s="94" t="s">
        <v>210</v>
      </c>
      <c r="R654" s="94">
        <v>-4</v>
      </c>
      <c r="S654" s="94">
        <v>-1</v>
      </c>
      <c r="T654" s="94" t="s">
        <v>210</v>
      </c>
      <c r="U654" s="94">
        <v>7</v>
      </c>
      <c r="V654" s="94" t="s">
        <v>210</v>
      </c>
      <c r="W654" s="94" t="s">
        <v>210</v>
      </c>
      <c r="X654" s="94">
        <v>2</v>
      </c>
      <c r="Y654" s="94"/>
      <c r="Z654" s="94"/>
      <c r="AA654" s="94"/>
      <c r="AB654" s="94"/>
      <c r="AC654" s="94"/>
      <c r="AD654" s="94"/>
      <c r="AE654" s="94"/>
      <c r="AF654" s="94"/>
      <c r="AG654" s="94"/>
      <c r="AH654" s="94"/>
      <c r="AI654" s="94"/>
      <c r="AJ654" s="94"/>
      <c r="AK654" s="94"/>
      <c r="AL654" s="94"/>
      <c r="AM654" s="94"/>
      <c r="AN654" s="94"/>
      <c r="AO654" s="94"/>
      <c r="AP654" s="94"/>
      <c r="AQ654" s="94"/>
      <c r="AR654" s="94"/>
      <c r="AS654" s="94"/>
      <c r="AT654" s="94"/>
      <c r="AU654" s="94"/>
      <c r="AV654" s="94"/>
      <c r="AW654" s="94"/>
      <c r="AX654" s="94"/>
      <c r="AY654" s="94"/>
      <c r="AZ654" s="94"/>
      <c r="BA654" s="95"/>
    </row>
    <row r="655" spans="1:53" s="87" customFormat="1">
      <c r="A655" s="90" t="str">
        <f t="shared" si="35"/>
        <v/>
      </c>
      <c r="B655" s="98">
        <v>28</v>
      </c>
      <c r="C655" s="94" t="s">
        <v>202</v>
      </c>
      <c r="D655" s="94" t="s">
        <v>210</v>
      </c>
      <c r="E655" s="94">
        <v>-3</v>
      </c>
      <c r="F655" s="94" t="s">
        <v>210</v>
      </c>
      <c r="G655" s="94" t="s">
        <v>210</v>
      </c>
      <c r="H655" s="94">
        <v>2</v>
      </c>
      <c r="I655" s="94">
        <v>-8</v>
      </c>
      <c r="J655" s="94" t="s">
        <v>210</v>
      </c>
      <c r="K655" s="94">
        <v>6</v>
      </c>
      <c r="L655" s="94" t="s">
        <v>210</v>
      </c>
      <c r="M655" s="94" t="s">
        <v>210</v>
      </c>
      <c r="N655" s="94">
        <v>-5</v>
      </c>
      <c r="O655" s="94">
        <v>8</v>
      </c>
      <c r="P655" s="94" t="s">
        <v>210</v>
      </c>
      <c r="Q655" s="94">
        <v>4</v>
      </c>
      <c r="R655" s="94" t="s">
        <v>210</v>
      </c>
      <c r="S655" s="94" t="s">
        <v>210</v>
      </c>
      <c r="T655" s="94">
        <v>-7</v>
      </c>
      <c r="U655" s="94">
        <v>1</v>
      </c>
      <c r="V655" s="94" t="s">
        <v>210</v>
      </c>
      <c r="W655" s="94" t="s">
        <v>210</v>
      </c>
      <c r="X655" s="94">
        <v>-2</v>
      </c>
      <c r="Y655" s="94"/>
      <c r="Z655" s="94"/>
      <c r="AA655" s="94"/>
      <c r="AB655" s="94"/>
      <c r="AC655" s="94"/>
      <c r="AD655" s="94"/>
      <c r="AE655" s="94"/>
      <c r="AF655" s="94"/>
      <c r="AG655" s="94"/>
      <c r="AH655" s="94"/>
      <c r="AI655" s="94"/>
      <c r="AJ655" s="94"/>
      <c r="AK655" s="94"/>
      <c r="AL655" s="94"/>
      <c r="AM655" s="94"/>
      <c r="AN655" s="94"/>
      <c r="AO655" s="94"/>
      <c r="AP655" s="94"/>
      <c r="AQ655" s="94"/>
      <c r="AR655" s="94"/>
      <c r="AS655" s="94"/>
      <c r="AT655" s="94"/>
      <c r="AU655" s="94"/>
      <c r="AV655" s="94"/>
      <c r="AW655" s="94"/>
      <c r="AX655" s="94"/>
      <c r="AY655" s="94"/>
      <c r="AZ655" s="94"/>
      <c r="BA655" s="95"/>
    </row>
    <row r="656" spans="1:53" s="87" customFormat="1">
      <c r="A656" s="90" t="str">
        <f t="shared" si="35"/>
        <v/>
      </c>
      <c r="B656" s="98">
        <v>29</v>
      </c>
      <c r="C656" s="94">
        <v>6</v>
      </c>
      <c r="D656" s="94" t="s">
        <v>210</v>
      </c>
      <c r="E656" s="94" t="s">
        <v>210</v>
      </c>
      <c r="F656" s="94">
        <v>-8</v>
      </c>
      <c r="G656" s="94">
        <v>4</v>
      </c>
      <c r="H656" s="94" t="s">
        <v>210</v>
      </c>
      <c r="I656" s="94">
        <v>2</v>
      </c>
      <c r="J656" s="94" t="s">
        <v>210</v>
      </c>
      <c r="K656" s="94">
        <v>-3</v>
      </c>
      <c r="L656" s="94" t="s">
        <v>210</v>
      </c>
      <c r="M656" s="94" t="s">
        <v>210</v>
      </c>
      <c r="N656" s="94">
        <v>5</v>
      </c>
      <c r="O656" s="94" t="s">
        <v>202</v>
      </c>
      <c r="P656" s="94" t="s">
        <v>210</v>
      </c>
      <c r="Q656" s="94" t="s">
        <v>210</v>
      </c>
      <c r="R656" s="94">
        <v>-6</v>
      </c>
      <c r="S656" s="94">
        <v>-2</v>
      </c>
      <c r="T656" s="94" t="s">
        <v>210</v>
      </c>
      <c r="U656" s="94" t="s">
        <v>210</v>
      </c>
      <c r="V656" s="94">
        <v>-7</v>
      </c>
      <c r="W656" s="94">
        <v>1</v>
      </c>
      <c r="X656" s="94" t="s">
        <v>210</v>
      </c>
      <c r="Y656" s="94"/>
      <c r="Z656" s="94"/>
      <c r="AA656" s="94"/>
      <c r="AB656" s="94"/>
      <c r="AC656" s="94"/>
      <c r="AD656" s="94"/>
      <c r="AE656" s="94"/>
      <c r="AF656" s="94"/>
      <c r="AG656" s="94"/>
      <c r="AH656" s="94"/>
      <c r="AI656" s="94"/>
      <c r="AJ656" s="94"/>
      <c r="AK656" s="94"/>
      <c r="AL656" s="94"/>
      <c r="AM656" s="94"/>
      <c r="AN656" s="94"/>
      <c r="AO656" s="94"/>
      <c r="AP656" s="94"/>
      <c r="AQ656" s="94"/>
      <c r="AR656" s="94"/>
      <c r="AS656" s="94"/>
      <c r="AT656" s="94"/>
      <c r="AU656" s="94"/>
      <c r="AV656" s="94"/>
      <c r="AW656" s="94"/>
      <c r="AX656" s="94"/>
      <c r="AY656" s="94"/>
      <c r="AZ656" s="94"/>
      <c r="BA656" s="95"/>
    </row>
    <row r="657" spans="1:53" s="87" customFormat="1">
      <c r="A657" s="90" t="str">
        <f t="shared" si="35"/>
        <v/>
      </c>
      <c r="B657" s="98">
        <v>30</v>
      </c>
      <c r="C657" s="94" t="s">
        <v>210</v>
      </c>
      <c r="D657" s="94">
        <v>-4</v>
      </c>
      <c r="E657" s="94" t="s">
        <v>210</v>
      </c>
      <c r="F657" s="94">
        <v>-5</v>
      </c>
      <c r="G657" s="94">
        <v>2</v>
      </c>
      <c r="H657" s="94" t="s">
        <v>210</v>
      </c>
      <c r="I657" s="94" t="s">
        <v>210</v>
      </c>
      <c r="J657" s="94">
        <v>6</v>
      </c>
      <c r="K657" s="94" t="s">
        <v>202</v>
      </c>
      <c r="L657" s="94" t="s">
        <v>210</v>
      </c>
      <c r="M657" s="94">
        <v>3</v>
      </c>
      <c r="N657" s="94" t="s">
        <v>210</v>
      </c>
      <c r="O657" s="94">
        <v>-6</v>
      </c>
      <c r="P657" s="94" t="s">
        <v>210</v>
      </c>
      <c r="Q657" s="94">
        <v>8</v>
      </c>
      <c r="R657" s="94" t="s">
        <v>210</v>
      </c>
      <c r="S657" s="94" t="s">
        <v>210</v>
      </c>
      <c r="T657" s="94">
        <v>7</v>
      </c>
      <c r="U657" s="94">
        <v>-2</v>
      </c>
      <c r="V657" s="94" t="s">
        <v>210</v>
      </c>
      <c r="W657" s="94">
        <v>-1</v>
      </c>
      <c r="X657" s="94" t="s">
        <v>210</v>
      </c>
      <c r="Y657" s="94"/>
      <c r="Z657" s="94"/>
      <c r="AA657" s="94"/>
      <c r="AB657" s="94"/>
      <c r="AC657" s="94"/>
      <c r="AD657" s="94"/>
      <c r="AE657" s="94"/>
      <c r="AF657" s="94"/>
      <c r="AG657" s="94"/>
      <c r="AH657" s="94"/>
      <c r="AI657" s="94"/>
      <c r="AJ657" s="94"/>
      <c r="AK657" s="94"/>
      <c r="AL657" s="94"/>
      <c r="AM657" s="94"/>
      <c r="AN657" s="94"/>
      <c r="AO657" s="94"/>
      <c r="AP657" s="94"/>
      <c r="AQ657" s="94"/>
      <c r="AR657" s="94"/>
      <c r="AS657" s="94"/>
      <c r="AT657" s="94"/>
      <c r="AU657" s="94"/>
      <c r="AV657" s="94"/>
      <c r="AW657" s="94"/>
      <c r="AX657" s="94"/>
      <c r="AY657" s="94"/>
      <c r="AZ657" s="94"/>
      <c r="BA657" s="95"/>
    </row>
    <row r="658" spans="1:53" s="87" customFormat="1">
      <c r="A658" s="90" t="str">
        <f t="shared" si="35"/>
        <v/>
      </c>
      <c r="B658" s="98">
        <v>31</v>
      </c>
      <c r="C658" s="94">
        <v>3</v>
      </c>
      <c r="D658" s="94" t="s">
        <v>210</v>
      </c>
      <c r="E658" s="94" t="s">
        <v>202</v>
      </c>
      <c r="F658" s="94" t="s">
        <v>210</v>
      </c>
      <c r="G658" s="94">
        <v>-4</v>
      </c>
      <c r="H658" s="94" t="s">
        <v>210</v>
      </c>
      <c r="I658" s="94">
        <v>8</v>
      </c>
      <c r="J658" s="94" t="s">
        <v>210</v>
      </c>
      <c r="K658" s="94" t="s">
        <v>210</v>
      </c>
      <c r="L658" s="94">
        <v>-5</v>
      </c>
      <c r="M658" s="94">
        <v>-3</v>
      </c>
      <c r="N658" s="94" t="s">
        <v>210</v>
      </c>
      <c r="O658" s="94" t="s">
        <v>210</v>
      </c>
      <c r="P658" s="94">
        <v>4</v>
      </c>
      <c r="Q658" s="94">
        <v>-6</v>
      </c>
      <c r="R658" s="94" t="s">
        <v>210</v>
      </c>
      <c r="S658" s="94" t="s">
        <v>210</v>
      </c>
      <c r="T658" s="94">
        <v>2</v>
      </c>
      <c r="U658" s="94">
        <v>-7</v>
      </c>
      <c r="V658" s="94" t="s">
        <v>210</v>
      </c>
      <c r="W658" s="94" t="s">
        <v>210</v>
      </c>
      <c r="X658" s="94">
        <v>1</v>
      </c>
      <c r="Y658" s="94"/>
      <c r="Z658" s="94"/>
      <c r="AA658" s="94"/>
      <c r="AB658" s="94"/>
      <c r="AC658" s="94"/>
      <c r="AD658" s="94"/>
      <c r="AE658" s="94"/>
      <c r="AF658" s="94"/>
      <c r="AG658" s="94"/>
      <c r="AH658" s="94"/>
      <c r="AI658" s="94"/>
      <c r="AJ658" s="94"/>
      <c r="AK658" s="94"/>
      <c r="AL658" s="94"/>
      <c r="AM658" s="94"/>
      <c r="AN658" s="94"/>
      <c r="AO658" s="94"/>
      <c r="AP658" s="94"/>
      <c r="AQ658" s="94"/>
      <c r="AR658" s="94"/>
      <c r="AS658" s="94"/>
      <c r="AT658" s="94"/>
      <c r="AU658" s="94"/>
      <c r="AV658" s="94"/>
      <c r="AW658" s="94"/>
      <c r="AX658" s="94"/>
      <c r="AY658" s="94"/>
      <c r="AZ658" s="94"/>
      <c r="BA658" s="95"/>
    </row>
    <row r="659" spans="1:53" s="87" customFormat="1">
      <c r="A659" s="90" t="str">
        <f t="shared" si="35"/>
        <v/>
      </c>
      <c r="B659" s="98">
        <v>32</v>
      </c>
      <c r="C659" s="94">
        <v>-5</v>
      </c>
      <c r="D659" s="94" t="s">
        <v>210</v>
      </c>
      <c r="E659" s="94" t="s">
        <v>210</v>
      </c>
      <c r="F659" s="94">
        <v>8</v>
      </c>
      <c r="G659" s="94" t="s">
        <v>202</v>
      </c>
      <c r="H659" s="94" t="s">
        <v>210</v>
      </c>
      <c r="I659" s="94">
        <v>-3</v>
      </c>
      <c r="J659" s="94" t="s">
        <v>210</v>
      </c>
      <c r="K659" s="94" t="s">
        <v>210</v>
      </c>
      <c r="L659" s="94">
        <v>-6</v>
      </c>
      <c r="M659" s="94">
        <v>5</v>
      </c>
      <c r="N659" s="94" t="s">
        <v>210</v>
      </c>
      <c r="O659" s="94">
        <v>-8</v>
      </c>
      <c r="P659" s="94" t="s">
        <v>210</v>
      </c>
      <c r="Q659" s="94" t="s">
        <v>210</v>
      </c>
      <c r="R659" s="94">
        <v>4</v>
      </c>
      <c r="S659" s="94">
        <v>7</v>
      </c>
      <c r="T659" s="94" t="s">
        <v>210</v>
      </c>
      <c r="U659" s="94">
        <v>2</v>
      </c>
      <c r="V659" s="94" t="s">
        <v>210</v>
      </c>
      <c r="W659" s="94" t="s">
        <v>210</v>
      </c>
      <c r="X659" s="94">
        <v>-1</v>
      </c>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5"/>
    </row>
    <row r="660" spans="1:53" s="87" customFormat="1">
      <c r="A660" s="90" t="str">
        <f t="shared" si="35"/>
        <v/>
      </c>
      <c r="B660" s="98">
        <v>33</v>
      </c>
      <c r="C660" s="94">
        <v>5</v>
      </c>
      <c r="D660" s="94" t="s">
        <v>210</v>
      </c>
      <c r="E660" s="94">
        <v>2</v>
      </c>
      <c r="F660" s="94" t="s">
        <v>210</v>
      </c>
      <c r="G660" s="94" t="s">
        <v>210</v>
      </c>
      <c r="H660" s="94">
        <v>-3</v>
      </c>
      <c r="I660" s="94" t="s">
        <v>210</v>
      </c>
      <c r="J660" s="94">
        <v>-6</v>
      </c>
      <c r="K660" s="94">
        <v>-8</v>
      </c>
      <c r="L660" s="94" t="s">
        <v>210</v>
      </c>
      <c r="M660" s="94">
        <v>7</v>
      </c>
      <c r="N660" s="94" t="s">
        <v>210</v>
      </c>
      <c r="O660" s="94">
        <v>4</v>
      </c>
      <c r="P660" s="94" t="s">
        <v>210</v>
      </c>
      <c r="Q660" s="94" t="s">
        <v>210</v>
      </c>
      <c r="R660" s="94">
        <v>6</v>
      </c>
      <c r="S660" s="94" t="s">
        <v>210</v>
      </c>
      <c r="T660" s="94">
        <v>-2</v>
      </c>
      <c r="U660" s="94">
        <v>-1</v>
      </c>
      <c r="V660" s="94" t="s">
        <v>210</v>
      </c>
      <c r="W660" s="94" t="s">
        <v>202</v>
      </c>
      <c r="X660" s="94" t="s">
        <v>210</v>
      </c>
      <c r="Y660" s="94"/>
      <c r="Z660" s="94"/>
      <c r="AA660" s="94"/>
      <c r="AB660" s="94"/>
      <c r="AC660" s="94"/>
      <c r="AD660" s="94"/>
      <c r="AE660" s="94"/>
      <c r="AF660" s="94"/>
      <c r="AG660" s="94"/>
      <c r="AH660" s="94"/>
      <c r="AI660" s="94"/>
      <c r="AJ660" s="94"/>
      <c r="AK660" s="94"/>
      <c r="AL660" s="94"/>
      <c r="AM660" s="94"/>
      <c r="AN660" s="94"/>
      <c r="AO660" s="94"/>
      <c r="AP660" s="94"/>
      <c r="AQ660" s="94"/>
      <c r="AR660" s="94"/>
      <c r="AS660" s="94"/>
      <c r="AT660" s="94"/>
      <c r="AU660" s="94"/>
      <c r="AV660" s="94"/>
      <c r="AW660" s="94"/>
      <c r="AX660" s="94"/>
      <c r="AY660" s="94"/>
      <c r="AZ660" s="94"/>
      <c r="BA660" s="95"/>
    </row>
    <row r="661" spans="1:53" s="87" customFormat="1">
      <c r="A661" s="90" t="str">
        <f t="shared" si="35"/>
        <v/>
      </c>
      <c r="B661" s="98" t="s">
        <v>487</v>
      </c>
      <c r="C661" s="94"/>
      <c r="D661" s="94"/>
      <c r="E661" s="94"/>
      <c r="F661" s="94"/>
      <c r="G661" s="94"/>
      <c r="H661" s="94"/>
      <c r="I661" s="94"/>
      <c r="J661" s="94"/>
      <c r="K661" s="94"/>
      <c r="L661" s="94"/>
      <c r="M661" s="94"/>
      <c r="N661" s="94"/>
      <c r="O661" s="94"/>
      <c r="P661" s="94"/>
      <c r="Q661" s="94"/>
      <c r="R661" s="94"/>
      <c r="S661" s="94"/>
      <c r="T661" s="94"/>
      <c r="U661" s="94"/>
      <c r="V661" s="94"/>
      <c r="W661" s="94"/>
      <c r="X661" s="94"/>
      <c r="Y661" s="94"/>
      <c r="Z661" s="94"/>
      <c r="AA661" s="94"/>
      <c r="AB661" s="94"/>
      <c r="AC661" s="94"/>
      <c r="AD661" s="94"/>
      <c r="AE661" s="94"/>
      <c r="AF661" s="94"/>
      <c r="AG661" s="94"/>
      <c r="AH661" s="94"/>
      <c r="AI661" s="94"/>
      <c r="AJ661" s="94"/>
      <c r="AK661" s="94"/>
      <c r="AL661" s="94"/>
      <c r="AM661" s="94"/>
      <c r="AN661" s="94"/>
      <c r="AO661" s="94"/>
      <c r="AP661" s="94"/>
      <c r="AQ661" s="94"/>
      <c r="AR661" s="94"/>
      <c r="AS661" s="94"/>
      <c r="AT661" s="94"/>
      <c r="AU661" s="94"/>
      <c r="AV661" s="94"/>
      <c r="AW661" s="94"/>
      <c r="AX661" s="94"/>
      <c r="AY661" s="94"/>
      <c r="AZ661" s="94"/>
      <c r="BA661" s="95"/>
    </row>
    <row r="662" spans="1:53" s="87" customFormat="1">
      <c r="A662" s="90">
        <f t="shared" si="35"/>
        <v>662</v>
      </c>
      <c r="B662" s="98" t="s">
        <v>488</v>
      </c>
      <c r="C662" s="94"/>
      <c r="D662" s="94"/>
      <c r="E662" s="94"/>
      <c r="F662" s="94"/>
      <c r="G662" s="94"/>
      <c r="H662" s="94"/>
      <c r="I662" s="94"/>
      <c r="J662" s="94"/>
      <c r="K662" s="94"/>
      <c r="L662" s="94"/>
      <c r="M662" s="94"/>
      <c r="N662" s="94"/>
      <c r="O662" s="94"/>
      <c r="P662" s="94"/>
      <c r="Q662" s="94"/>
      <c r="R662" s="94"/>
      <c r="S662" s="94"/>
      <c r="T662" s="94"/>
      <c r="U662" s="94"/>
      <c r="V662" s="94"/>
      <c r="W662" s="94"/>
      <c r="X662" s="94"/>
      <c r="Y662" s="94"/>
      <c r="Z662" s="94"/>
      <c r="AA662" s="94"/>
      <c r="AB662" s="94"/>
      <c r="AC662" s="94"/>
      <c r="AD662" s="94"/>
      <c r="AE662" s="94"/>
      <c r="AF662" s="94"/>
      <c r="AG662" s="94"/>
      <c r="AH662" s="94"/>
      <c r="AI662" s="94"/>
      <c r="AJ662" s="94"/>
      <c r="AK662" s="94"/>
      <c r="AL662" s="94"/>
      <c r="AM662" s="94"/>
      <c r="AN662" s="94"/>
      <c r="AO662" s="94"/>
      <c r="AP662" s="94"/>
      <c r="AQ662" s="94"/>
      <c r="AR662" s="94"/>
      <c r="AS662" s="94"/>
      <c r="AT662" s="94"/>
      <c r="AU662" s="94"/>
      <c r="AV662" s="94"/>
      <c r="AW662" s="94"/>
      <c r="AX662" s="94"/>
      <c r="AY662" s="94"/>
      <c r="AZ662" s="94"/>
      <c r="BA662" s="95"/>
    </row>
    <row r="663" spans="1:53" s="87" customFormat="1">
      <c r="A663" s="90" t="str">
        <f t="shared" si="35"/>
        <v/>
      </c>
      <c r="B663" s="98">
        <v>1</v>
      </c>
      <c r="C663" s="94">
        <v>-1</v>
      </c>
      <c r="D663" s="94" t="s">
        <v>210</v>
      </c>
      <c r="E663" s="94" t="s">
        <v>210</v>
      </c>
      <c r="F663" s="94">
        <v>6</v>
      </c>
      <c r="G663" s="94">
        <v>3</v>
      </c>
      <c r="H663" s="94" t="s">
        <v>210</v>
      </c>
      <c r="I663" s="94" t="s">
        <v>210</v>
      </c>
      <c r="J663" s="94">
        <v>-8</v>
      </c>
      <c r="K663" s="94">
        <v>2</v>
      </c>
      <c r="L663" s="94" t="s">
        <v>210</v>
      </c>
      <c r="M663" s="94" t="s">
        <v>210</v>
      </c>
      <c r="N663" s="94">
        <v>-5</v>
      </c>
      <c r="O663" s="94">
        <v>7</v>
      </c>
      <c r="P663" s="94" t="s">
        <v>210</v>
      </c>
      <c r="Q663" s="94" t="s">
        <v>210</v>
      </c>
      <c r="R663" s="94" t="s">
        <v>202</v>
      </c>
      <c r="S663" s="94">
        <v>-4</v>
      </c>
      <c r="T663" s="94"/>
      <c r="U663" s="94"/>
      <c r="V663" s="94"/>
      <c r="W663" s="94"/>
      <c r="X663" s="94"/>
      <c r="Y663" s="94"/>
      <c r="Z663" s="94"/>
      <c r="AA663" s="94"/>
      <c r="AB663" s="94"/>
      <c r="AC663" s="94"/>
      <c r="AD663" s="94"/>
      <c r="AE663" s="94"/>
      <c r="AF663" s="94"/>
      <c r="AG663" s="94"/>
      <c r="AH663" s="94"/>
      <c r="AI663" s="94"/>
      <c r="AJ663" s="94"/>
      <c r="AK663" s="94"/>
      <c r="AL663" s="94"/>
      <c r="AM663" s="94"/>
      <c r="AN663" s="94"/>
      <c r="AO663" s="94"/>
      <c r="AP663" s="94"/>
      <c r="AQ663" s="94"/>
      <c r="AR663" s="94"/>
      <c r="AS663" s="94"/>
      <c r="AT663" s="94"/>
      <c r="AU663" s="94"/>
      <c r="AV663" s="94"/>
      <c r="AW663" s="94"/>
      <c r="AX663" s="94"/>
      <c r="AY663" s="94"/>
      <c r="AZ663" s="94"/>
      <c r="BA663" s="95"/>
    </row>
    <row r="664" spans="1:53" s="87" customFormat="1">
      <c r="A664" s="90" t="str">
        <f t="shared" si="35"/>
        <v/>
      </c>
      <c r="B664" s="98">
        <v>2</v>
      </c>
      <c r="C664" s="94">
        <v>-5</v>
      </c>
      <c r="D664" s="94" t="s">
        <v>210</v>
      </c>
      <c r="E664" s="94" t="s">
        <v>210</v>
      </c>
      <c r="F664" s="94">
        <v>-8</v>
      </c>
      <c r="G664" s="94">
        <v>2</v>
      </c>
      <c r="H664" s="94" t="s">
        <v>210</v>
      </c>
      <c r="I664" s="94" t="s">
        <v>210</v>
      </c>
      <c r="J664" s="94">
        <v>-6</v>
      </c>
      <c r="K664" s="94">
        <v>3</v>
      </c>
      <c r="L664" s="94" t="s">
        <v>210</v>
      </c>
      <c r="M664" s="94" t="s">
        <v>210</v>
      </c>
      <c r="N664" s="94" t="s">
        <v>202</v>
      </c>
      <c r="O664" s="94">
        <v>-1</v>
      </c>
      <c r="P664" s="94" t="s">
        <v>210</v>
      </c>
      <c r="Q664" s="94" t="s">
        <v>210</v>
      </c>
      <c r="R664" s="94">
        <v>7</v>
      </c>
      <c r="S664" s="94">
        <v>4</v>
      </c>
      <c r="T664" s="94"/>
      <c r="U664" s="94"/>
      <c r="V664" s="94"/>
      <c r="W664" s="94"/>
      <c r="X664" s="94"/>
      <c r="Y664" s="94"/>
      <c r="Z664" s="94"/>
      <c r="AA664" s="94"/>
      <c r="AB664" s="94"/>
      <c r="AC664" s="94"/>
      <c r="AD664" s="94"/>
      <c r="AE664" s="94"/>
      <c r="AF664" s="94"/>
      <c r="AG664" s="94"/>
      <c r="AH664" s="94"/>
      <c r="AI664" s="94"/>
      <c r="AJ664" s="94"/>
      <c r="AK664" s="94"/>
      <c r="AL664" s="94"/>
      <c r="AM664" s="94"/>
      <c r="AN664" s="94"/>
      <c r="AO664" s="94"/>
      <c r="AP664" s="94"/>
      <c r="AQ664" s="94"/>
      <c r="AR664" s="94"/>
      <c r="AS664" s="94"/>
      <c r="AT664" s="94"/>
      <c r="AU664" s="94"/>
      <c r="AV664" s="94"/>
      <c r="AW664" s="94"/>
      <c r="AX664" s="94"/>
      <c r="AY664" s="94"/>
      <c r="AZ664" s="94"/>
      <c r="BA664" s="95"/>
    </row>
    <row r="665" spans="1:53" s="87" customFormat="1">
      <c r="A665" s="90" t="str">
        <f t="shared" si="35"/>
        <v/>
      </c>
      <c r="B665" s="98">
        <v>3</v>
      </c>
      <c r="C665" s="94">
        <v>1</v>
      </c>
      <c r="D665" s="94" t="s">
        <v>210</v>
      </c>
      <c r="E665" s="94" t="s">
        <v>210</v>
      </c>
      <c r="F665" s="94">
        <v>-7</v>
      </c>
      <c r="G665" s="94">
        <v>6</v>
      </c>
      <c r="H665" s="94" t="s">
        <v>210</v>
      </c>
      <c r="I665" s="94" t="s">
        <v>210</v>
      </c>
      <c r="J665" s="94" t="s">
        <v>202</v>
      </c>
      <c r="K665" s="94">
        <v>-3</v>
      </c>
      <c r="L665" s="94" t="s">
        <v>210</v>
      </c>
      <c r="M665" s="94" t="s">
        <v>210</v>
      </c>
      <c r="N665" s="94">
        <v>2</v>
      </c>
      <c r="O665" s="94">
        <v>-4</v>
      </c>
      <c r="P665" s="94" t="s">
        <v>210</v>
      </c>
      <c r="Q665" s="94" t="s">
        <v>210</v>
      </c>
      <c r="R665" s="94">
        <v>-1</v>
      </c>
      <c r="S665" s="94">
        <v>5</v>
      </c>
      <c r="T665" s="94"/>
      <c r="U665" s="94"/>
      <c r="V665" s="94"/>
      <c r="W665" s="94"/>
      <c r="X665" s="94"/>
      <c r="Y665" s="94"/>
      <c r="Z665" s="94"/>
      <c r="AA665" s="94"/>
      <c r="AB665" s="94"/>
      <c r="AC665" s="94"/>
      <c r="AD665" s="94"/>
      <c r="AE665" s="94"/>
      <c r="AF665" s="94"/>
      <c r="AG665" s="94"/>
      <c r="AH665" s="94"/>
      <c r="AI665" s="94"/>
      <c r="AJ665" s="94"/>
      <c r="AK665" s="94"/>
      <c r="AL665" s="94"/>
      <c r="AM665" s="94"/>
      <c r="AN665" s="94"/>
      <c r="AO665" s="94"/>
      <c r="AP665" s="94"/>
      <c r="AQ665" s="94"/>
      <c r="AR665" s="94"/>
      <c r="AS665" s="94"/>
      <c r="AT665" s="94"/>
      <c r="AU665" s="94"/>
      <c r="AV665" s="94"/>
      <c r="AW665" s="94"/>
      <c r="AX665" s="94"/>
      <c r="AY665" s="94"/>
      <c r="AZ665" s="94"/>
      <c r="BA665" s="95"/>
    </row>
    <row r="666" spans="1:53" s="87" customFormat="1">
      <c r="A666" s="90" t="str">
        <f t="shared" si="35"/>
        <v/>
      </c>
      <c r="B666" s="98">
        <v>4</v>
      </c>
      <c r="C666" s="94">
        <v>-4</v>
      </c>
      <c r="D666" s="94" t="s">
        <v>210</v>
      </c>
      <c r="E666" s="94" t="s">
        <v>210</v>
      </c>
      <c r="F666" s="94">
        <v>8</v>
      </c>
      <c r="G666" s="94" t="s">
        <v>202</v>
      </c>
      <c r="H666" s="94" t="s">
        <v>210</v>
      </c>
      <c r="I666" s="94" t="s">
        <v>210</v>
      </c>
      <c r="J666" s="94">
        <v>2</v>
      </c>
      <c r="K666" s="94">
        <v>-6</v>
      </c>
      <c r="L666" s="94" t="s">
        <v>210</v>
      </c>
      <c r="M666" s="94" t="s">
        <v>210</v>
      </c>
      <c r="N666" s="94">
        <v>1</v>
      </c>
      <c r="O666" s="94">
        <v>-7</v>
      </c>
      <c r="P666" s="94" t="s">
        <v>210</v>
      </c>
      <c r="Q666" s="94" t="s">
        <v>210</v>
      </c>
      <c r="R666" s="94">
        <v>4</v>
      </c>
      <c r="S666" s="94">
        <v>-5</v>
      </c>
      <c r="T666" s="94"/>
      <c r="U666" s="94"/>
      <c r="V666" s="94"/>
      <c r="W666" s="94"/>
      <c r="X666" s="94"/>
      <c r="Y666" s="94"/>
      <c r="Z666" s="94"/>
      <c r="AA666" s="94"/>
      <c r="AB666" s="94"/>
      <c r="AC666" s="94"/>
      <c r="AD666" s="94"/>
      <c r="AE666" s="94"/>
      <c r="AF666" s="94"/>
      <c r="AG666" s="94"/>
      <c r="AH666" s="94"/>
      <c r="AI666" s="94"/>
      <c r="AJ666" s="94"/>
      <c r="AK666" s="94"/>
      <c r="AL666" s="94"/>
      <c r="AM666" s="94"/>
      <c r="AN666" s="94"/>
      <c r="AO666" s="94"/>
      <c r="AP666" s="94"/>
      <c r="AQ666" s="94"/>
      <c r="AR666" s="94"/>
      <c r="AS666" s="94"/>
      <c r="AT666" s="94"/>
      <c r="AU666" s="94"/>
      <c r="AV666" s="94"/>
      <c r="AW666" s="94"/>
      <c r="AX666" s="94"/>
      <c r="AY666" s="94"/>
      <c r="AZ666" s="94"/>
      <c r="BA666" s="95"/>
    </row>
    <row r="667" spans="1:53" s="87" customFormat="1">
      <c r="A667" s="90" t="str">
        <f t="shared" si="35"/>
        <v/>
      </c>
      <c r="B667" s="98">
        <v>5</v>
      </c>
      <c r="C667" s="94">
        <v>7</v>
      </c>
      <c r="D667" s="94" t="s">
        <v>210</v>
      </c>
      <c r="E667" s="94" t="s">
        <v>210</v>
      </c>
      <c r="F667" s="94" t="s">
        <v>202</v>
      </c>
      <c r="G667" s="94">
        <v>-6</v>
      </c>
      <c r="H667" s="94" t="s">
        <v>210</v>
      </c>
      <c r="I667" s="94" t="s">
        <v>210</v>
      </c>
      <c r="J667" s="94">
        <v>3</v>
      </c>
      <c r="K667" s="94">
        <v>-8</v>
      </c>
      <c r="L667" s="94" t="s">
        <v>210</v>
      </c>
      <c r="M667" s="94" t="s">
        <v>210</v>
      </c>
      <c r="N667" s="94">
        <v>5</v>
      </c>
      <c r="O667" s="94">
        <v>1</v>
      </c>
      <c r="P667" s="94" t="s">
        <v>210</v>
      </c>
      <c r="Q667" s="94" t="s">
        <v>210</v>
      </c>
      <c r="R667" s="94">
        <v>-4</v>
      </c>
      <c r="S667" s="94">
        <v>-7</v>
      </c>
      <c r="T667" s="94"/>
      <c r="U667" s="94"/>
      <c r="V667" s="94"/>
      <c r="W667" s="94"/>
      <c r="X667" s="94"/>
      <c r="Y667" s="94"/>
      <c r="Z667" s="94"/>
      <c r="AA667" s="94"/>
      <c r="AB667" s="94"/>
      <c r="AC667" s="94"/>
      <c r="AD667" s="94"/>
      <c r="AE667" s="94"/>
      <c r="AF667" s="94"/>
      <c r="AG667" s="94"/>
      <c r="AH667" s="94"/>
      <c r="AI667" s="94"/>
      <c r="AJ667" s="94"/>
      <c r="AK667" s="94"/>
      <c r="AL667" s="94"/>
      <c r="AM667" s="94"/>
      <c r="AN667" s="94"/>
      <c r="AO667" s="94"/>
      <c r="AP667" s="94"/>
      <c r="AQ667" s="94"/>
      <c r="AR667" s="94"/>
      <c r="AS667" s="94"/>
      <c r="AT667" s="94"/>
      <c r="AU667" s="94"/>
      <c r="AV667" s="94"/>
      <c r="AW667" s="94"/>
      <c r="AX667" s="94"/>
      <c r="AY667" s="94"/>
      <c r="AZ667" s="94"/>
      <c r="BA667" s="95"/>
    </row>
    <row r="668" spans="1:53" s="87" customFormat="1">
      <c r="A668" s="90" t="str">
        <f t="shared" si="35"/>
        <v/>
      </c>
      <c r="B668" s="98">
        <v>6</v>
      </c>
      <c r="C668" s="94" t="s">
        <v>202</v>
      </c>
      <c r="D668" s="94" t="s">
        <v>210</v>
      </c>
      <c r="E668" s="94" t="s">
        <v>210</v>
      </c>
      <c r="F668" s="94">
        <v>-3</v>
      </c>
      <c r="G668" s="94">
        <v>-2</v>
      </c>
      <c r="H668" s="94" t="s">
        <v>210</v>
      </c>
      <c r="I668" s="94" t="s">
        <v>210</v>
      </c>
      <c r="J668" s="94">
        <v>8</v>
      </c>
      <c r="K668" s="94">
        <v>6</v>
      </c>
      <c r="L668" s="94" t="s">
        <v>210</v>
      </c>
      <c r="M668" s="94" t="s">
        <v>210</v>
      </c>
      <c r="N668" s="94">
        <v>-4</v>
      </c>
      <c r="O668" s="94">
        <v>-5</v>
      </c>
      <c r="P668" s="94" t="s">
        <v>210</v>
      </c>
      <c r="Q668" s="94" t="s">
        <v>210</v>
      </c>
      <c r="R668" s="94">
        <v>1</v>
      </c>
      <c r="S668" s="94">
        <v>7</v>
      </c>
      <c r="T668" s="94"/>
      <c r="U668" s="94"/>
      <c r="V668" s="94"/>
      <c r="W668" s="94"/>
      <c r="X668" s="94"/>
      <c r="Y668" s="94"/>
      <c r="Z668" s="94"/>
      <c r="AA668" s="94"/>
      <c r="AB668" s="94"/>
      <c r="AC668" s="94"/>
      <c r="AD668" s="94"/>
      <c r="AE668" s="94"/>
      <c r="AF668" s="94"/>
      <c r="AG668" s="94"/>
      <c r="AH668" s="94"/>
      <c r="AI668" s="94"/>
      <c r="AJ668" s="94"/>
      <c r="AK668" s="94"/>
      <c r="AL668" s="94"/>
      <c r="AM668" s="94"/>
      <c r="AN668" s="94"/>
      <c r="AO668" s="94"/>
      <c r="AP668" s="94"/>
      <c r="AQ668" s="94"/>
      <c r="AR668" s="94"/>
      <c r="AS668" s="94"/>
      <c r="AT668" s="94"/>
      <c r="AU668" s="94"/>
      <c r="AV668" s="94"/>
      <c r="AW668" s="94"/>
      <c r="AX668" s="94"/>
      <c r="AY668" s="94"/>
      <c r="AZ668" s="94"/>
      <c r="BA668" s="95"/>
    </row>
    <row r="669" spans="1:53" s="87" customFormat="1">
      <c r="A669" s="90" t="str">
        <f t="shared" si="35"/>
        <v/>
      </c>
      <c r="B669" s="98">
        <v>7</v>
      </c>
      <c r="C669" s="94">
        <v>4</v>
      </c>
      <c r="D669" s="94" t="s">
        <v>210</v>
      </c>
      <c r="E669" s="94" t="s">
        <v>210</v>
      </c>
      <c r="F669" s="94">
        <v>-6</v>
      </c>
      <c r="G669" s="94">
        <v>8</v>
      </c>
      <c r="H669" s="94" t="s">
        <v>210</v>
      </c>
      <c r="I669" s="94" t="s">
        <v>210</v>
      </c>
      <c r="J669" s="94">
        <v>-3</v>
      </c>
      <c r="K669" s="94" t="s">
        <v>202</v>
      </c>
      <c r="L669" s="94" t="s">
        <v>210</v>
      </c>
      <c r="M669" s="94" t="s">
        <v>210</v>
      </c>
      <c r="N669" s="94">
        <v>-2</v>
      </c>
      <c r="O669" s="94">
        <v>5</v>
      </c>
      <c r="P669" s="94" t="s">
        <v>210</v>
      </c>
      <c r="Q669" s="94" t="s">
        <v>210</v>
      </c>
      <c r="R669" s="94">
        <v>-7</v>
      </c>
      <c r="S669" s="94">
        <v>1</v>
      </c>
      <c r="T669" s="94"/>
      <c r="U669" s="94"/>
      <c r="V669" s="94"/>
      <c r="W669" s="94"/>
      <c r="X669" s="94"/>
      <c r="Y669" s="94"/>
      <c r="Z669" s="94"/>
      <c r="AA669" s="94"/>
      <c r="AB669" s="94"/>
      <c r="AC669" s="94"/>
      <c r="AD669" s="94"/>
      <c r="AE669" s="94"/>
      <c r="AF669" s="94"/>
      <c r="AG669" s="94"/>
      <c r="AH669" s="94"/>
      <c r="AI669" s="94"/>
      <c r="AJ669" s="94"/>
      <c r="AK669" s="94"/>
      <c r="AL669" s="94"/>
      <c r="AM669" s="94"/>
      <c r="AN669" s="94"/>
      <c r="AO669" s="94"/>
      <c r="AP669" s="94"/>
      <c r="AQ669" s="94"/>
      <c r="AR669" s="94"/>
      <c r="AS669" s="94"/>
      <c r="AT669" s="94"/>
      <c r="AU669" s="94"/>
      <c r="AV669" s="94"/>
      <c r="AW669" s="94"/>
      <c r="AX669" s="94"/>
      <c r="AY669" s="94"/>
      <c r="AZ669" s="94"/>
      <c r="BA669" s="95"/>
    </row>
    <row r="670" spans="1:53" s="87" customFormat="1">
      <c r="A670" s="90" t="str">
        <f t="shared" si="35"/>
        <v/>
      </c>
      <c r="B670" s="98">
        <v>8</v>
      </c>
      <c r="C670" s="94">
        <v>5</v>
      </c>
      <c r="D670" s="94" t="s">
        <v>210</v>
      </c>
      <c r="E670" s="94" t="s">
        <v>210</v>
      </c>
      <c r="F670" s="94">
        <v>7</v>
      </c>
      <c r="G670" s="94">
        <v>-3</v>
      </c>
      <c r="H670" s="94" t="s">
        <v>210</v>
      </c>
      <c r="I670" s="94" t="s">
        <v>210</v>
      </c>
      <c r="J670" s="94">
        <v>-2</v>
      </c>
      <c r="K670" s="94">
        <v>8</v>
      </c>
      <c r="L670" s="94" t="s">
        <v>210</v>
      </c>
      <c r="M670" s="94" t="s">
        <v>210</v>
      </c>
      <c r="N670" s="94">
        <v>4</v>
      </c>
      <c r="O670" s="94" t="s">
        <v>202</v>
      </c>
      <c r="P670" s="94" t="s">
        <v>210</v>
      </c>
      <c r="Q670" s="94" t="s">
        <v>210</v>
      </c>
      <c r="R670" s="94">
        <v>-5</v>
      </c>
      <c r="S670" s="94">
        <v>-1</v>
      </c>
      <c r="T670" s="94"/>
      <c r="U670" s="94"/>
      <c r="V670" s="94"/>
      <c r="W670" s="94"/>
      <c r="X670" s="94"/>
      <c r="Y670" s="94"/>
      <c r="Z670" s="94"/>
      <c r="AA670" s="94"/>
      <c r="AB670" s="94"/>
      <c r="AC670" s="94"/>
      <c r="AD670" s="94"/>
      <c r="AE670" s="94"/>
      <c r="AF670" s="94"/>
      <c r="AG670" s="94"/>
      <c r="AH670" s="94"/>
      <c r="AI670" s="94"/>
      <c r="AJ670" s="94"/>
      <c r="AK670" s="94"/>
      <c r="AL670" s="94"/>
      <c r="AM670" s="94"/>
      <c r="AN670" s="94"/>
      <c r="AO670" s="94"/>
      <c r="AP670" s="94"/>
      <c r="AQ670" s="94"/>
      <c r="AR670" s="94"/>
      <c r="AS670" s="94"/>
      <c r="AT670" s="94"/>
      <c r="AU670" s="94"/>
      <c r="AV670" s="94"/>
      <c r="AW670" s="94"/>
      <c r="AX670" s="94"/>
      <c r="AY670" s="94"/>
      <c r="AZ670" s="94"/>
      <c r="BA670" s="95"/>
    </row>
    <row r="671" spans="1:53" s="87" customFormat="1">
      <c r="A671" s="90" t="str">
        <f t="shared" si="35"/>
        <v/>
      </c>
      <c r="B671" s="99">
        <v>9</v>
      </c>
      <c r="C671" s="92">
        <v>-7</v>
      </c>
      <c r="D671" s="92" t="s">
        <v>210</v>
      </c>
      <c r="E671" s="92" t="s">
        <v>210</v>
      </c>
      <c r="F671" s="92">
        <v>3</v>
      </c>
      <c r="G671" s="92">
        <v>-8</v>
      </c>
      <c r="H671" s="92" t="s">
        <v>210</v>
      </c>
      <c r="I671" s="92" t="s">
        <v>210</v>
      </c>
      <c r="J671" s="92">
        <v>6</v>
      </c>
      <c r="K671" s="92">
        <v>-2</v>
      </c>
      <c r="L671" s="92" t="s">
        <v>210</v>
      </c>
      <c r="M671" s="92" t="s">
        <v>210</v>
      </c>
      <c r="N671" s="92">
        <v>-1</v>
      </c>
      <c r="O671" s="92">
        <v>4</v>
      </c>
      <c r="P671" s="92" t="s">
        <v>210</v>
      </c>
      <c r="Q671" s="92" t="s">
        <v>210</v>
      </c>
      <c r="R671" s="92">
        <v>5</v>
      </c>
      <c r="S671" s="92" t="s">
        <v>202</v>
      </c>
      <c r="T671" s="94"/>
      <c r="U671" s="94"/>
      <c r="V671" s="94"/>
      <c r="W671" s="94"/>
      <c r="X671" s="94"/>
      <c r="Y671" s="94"/>
      <c r="Z671" s="94"/>
      <c r="AA671" s="94"/>
      <c r="AB671" s="94"/>
      <c r="AC671" s="94"/>
      <c r="AD671" s="94"/>
      <c r="AE671" s="94"/>
      <c r="AF671" s="94"/>
      <c r="AG671" s="94"/>
      <c r="AH671" s="94"/>
      <c r="AI671" s="94"/>
      <c r="AJ671" s="94"/>
      <c r="AK671" s="94"/>
      <c r="AL671" s="94"/>
      <c r="AM671" s="94"/>
      <c r="AN671" s="94"/>
      <c r="AO671" s="94"/>
      <c r="AP671" s="94"/>
      <c r="AQ671" s="94"/>
      <c r="AR671" s="94"/>
      <c r="AS671" s="94"/>
      <c r="AT671" s="94"/>
      <c r="AU671" s="94"/>
      <c r="AV671" s="94"/>
      <c r="AW671" s="94"/>
      <c r="AX671" s="94"/>
      <c r="AY671" s="94"/>
      <c r="AZ671" s="94"/>
      <c r="BA671" s="95"/>
    </row>
    <row r="672" spans="1:53" s="87" customFormat="1">
      <c r="A672" s="90" t="str">
        <f t="shared" si="35"/>
        <v/>
      </c>
      <c r="B672" s="98">
        <v>10</v>
      </c>
      <c r="C672" s="94">
        <v>-8</v>
      </c>
      <c r="D672" s="94" t="s">
        <v>210</v>
      </c>
      <c r="E672" s="94" t="s">
        <v>210</v>
      </c>
      <c r="F672" s="94">
        <v>5</v>
      </c>
      <c r="G672" s="94">
        <v>4</v>
      </c>
      <c r="H672" s="94" t="s">
        <v>210</v>
      </c>
      <c r="I672" s="94" t="s">
        <v>210</v>
      </c>
      <c r="J672" s="94">
        <v>-1</v>
      </c>
      <c r="K672" s="94">
        <v>7</v>
      </c>
      <c r="L672" s="94" t="s">
        <v>210</v>
      </c>
      <c r="M672" s="94" t="s">
        <v>210</v>
      </c>
      <c r="N672" s="94">
        <v>-6</v>
      </c>
      <c r="O672" s="94">
        <v>2</v>
      </c>
      <c r="P672" s="94" t="s">
        <v>210</v>
      </c>
      <c r="Q672" s="94" t="s">
        <v>210</v>
      </c>
      <c r="R672" s="94" t="s">
        <v>202</v>
      </c>
      <c r="S672" s="94">
        <v>-3</v>
      </c>
      <c r="T672" s="94"/>
      <c r="U672" s="94"/>
      <c r="V672" s="94"/>
      <c r="W672" s="94"/>
      <c r="X672" s="94"/>
      <c r="Y672" s="94"/>
      <c r="Z672" s="94"/>
      <c r="AA672" s="94"/>
      <c r="AB672" s="94"/>
      <c r="AC672" s="94"/>
      <c r="AD672" s="94"/>
      <c r="AE672" s="94"/>
      <c r="AF672" s="94"/>
      <c r="AG672" s="94"/>
      <c r="AH672" s="94"/>
      <c r="AI672" s="94"/>
      <c r="AJ672" s="94"/>
      <c r="AK672" s="94"/>
      <c r="AL672" s="94"/>
      <c r="AM672" s="94"/>
      <c r="AN672" s="94"/>
      <c r="AO672" s="94"/>
      <c r="AP672" s="94"/>
      <c r="AQ672" s="94"/>
      <c r="AR672" s="94"/>
      <c r="AS672" s="94"/>
      <c r="AT672" s="94"/>
      <c r="AU672" s="94"/>
      <c r="AV672" s="94"/>
      <c r="AW672" s="94"/>
      <c r="AX672" s="94"/>
      <c r="AY672" s="94"/>
      <c r="AZ672" s="94"/>
      <c r="BA672" s="95"/>
    </row>
    <row r="673" spans="1:53" s="87" customFormat="1">
      <c r="A673" s="90" t="str">
        <f t="shared" si="35"/>
        <v/>
      </c>
      <c r="B673" s="98">
        <v>11</v>
      </c>
      <c r="C673" s="94">
        <v>-6</v>
      </c>
      <c r="D673" s="94" t="s">
        <v>210</v>
      </c>
      <c r="E673" s="94" t="s">
        <v>210</v>
      </c>
      <c r="F673" s="94">
        <v>-1</v>
      </c>
      <c r="G673" s="94">
        <v>7</v>
      </c>
      <c r="H673" s="94" t="s">
        <v>210</v>
      </c>
      <c r="I673" s="94" t="s">
        <v>210</v>
      </c>
      <c r="J673" s="94">
        <v>-5</v>
      </c>
      <c r="K673" s="94">
        <v>4</v>
      </c>
      <c r="L673" s="94" t="s">
        <v>210</v>
      </c>
      <c r="M673" s="94" t="s">
        <v>210</v>
      </c>
      <c r="N673" s="94" t="s">
        <v>202</v>
      </c>
      <c r="O673" s="94">
        <v>-8</v>
      </c>
      <c r="P673" s="94" t="s">
        <v>210</v>
      </c>
      <c r="Q673" s="94" t="s">
        <v>210</v>
      </c>
      <c r="R673" s="94">
        <v>2</v>
      </c>
      <c r="S673" s="94">
        <v>3</v>
      </c>
      <c r="T673" s="94"/>
      <c r="U673" s="94"/>
      <c r="V673" s="94"/>
      <c r="W673" s="94"/>
      <c r="X673" s="94"/>
      <c r="Y673" s="94"/>
      <c r="Z673" s="94"/>
      <c r="AA673" s="94"/>
      <c r="AB673" s="94"/>
      <c r="AC673" s="94"/>
      <c r="AD673" s="94"/>
      <c r="AE673" s="94"/>
      <c r="AF673" s="94"/>
      <c r="AG673" s="94"/>
      <c r="AH673" s="94"/>
      <c r="AI673" s="94"/>
      <c r="AJ673" s="94"/>
      <c r="AK673" s="94"/>
      <c r="AL673" s="94"/>
      <c r="AM673" s="94"/>
      <c r="AN673" s="94"/>
      <c r="AO673" s="94"/>
      <c r="AP673" s="94"/>
      <c r="AQ673" s="94"/>
      <c r="AR673" s="94"/>
      <c r="AS673" s="94"/>
      <c r="AT673" s="94"/>
      <c r="AU673" s="94"/>
      <c r="AV673" s="94"/>
      <c r="AW673" s="94"/>
      <c r="AX673" s="94"/>
      <c r="AY673" s="94"/>
      <c r="AZ673" s="94"/>
      <c r="BA673" s="95"/>
    </row>
    <row r="674" spans="1:53" s="87" customFormat="1">
      <c r="A674" s="90" t="str">
        <f t="shared" si="35"/>
        <v/>
      </c>
      <c r="B674" s="98">
        <v>12</v>
      </c>
      <c r="C674" s="94">
        <v>8</v>
      </c>
      <c r="D674" s="94" t="s">
        <v>210</v>
      </c>
      <c r="E674" s="94" t="s">
        <v>210</v>
      </c>
      <c r="F674" s="94">
        <v>-2</v>
      </c>
      <c r="G674" s="94">
        <v>5</v>
      </c>
      <c r="H674" s="94" t="s">
        <v>210</v>
      </c>
      <c r="I674" s="94" t="s">
        <v>210</v>
      </c>
      <c r="J674" s="94" t="s">
        <v>202</v>
      </c>
      <c r="K674" s="94">
        <v>-4</v>
      </c>
      <c r="L674" s="94" t="s">
        <v>210</v>
      </c>
      <c r="M674" s="94" t="s">
        <v>210</v>
      </c>
      <c r="N674" s="94">
        <v>7</v>
      </c>
      <c r="O674" s="94">
        <v>-3</v>
      </c>
      <c r="P674" s="94" t="s">
        <v>210</v>
      </c>
      <c r="Q674" s="94" t="s">
        <v>210</v>
      </c>
      <c r="R674" s="94">
        <v>-8</v>
      </c>
      <c r="S674" s="94">
        <v>6</v>
      </c>
      <c r="T674" s="94"/>
      <c r="U674" s="94"/>
      <c r="V674" s="94"/>
      <c r="W674" s="94"/>
      <c r="X674" s="94"/>
      <c r="Y674" s="94"/>
      <c r="Z674" s="94"/>
      <c r="AA674" s="94"/>
      <c r="AB674" s="94"/>
      <c r="AC674" s="94"/>
      <c r="AD674" s="94"/>
      <c r="AE674" s="94"/>
      <c r="AF674" s="94"/>
      <c r="AG674" s="94"/>
      <c r="AH674" s="94"/>
      <c r="AI674" s="94"/>
      <c r="AJ674" s="94"/>
      <c r="AK674" s="94"/>
      <c r="AL674" s="94"/>
      <c r="AM674" s="94"/>
      <c r="AN674" s="94"/>
      <c r="AO674" s="94"/>
      <c r="AP674" s="94"/>
      <c r="AQ674" s="94"/>
      <c r="AR674" s="94"/>
      <c r="AS674" s="94"/>
      <c r="AT674" s="94"/>
      <c r="AU674" s="94"/>
      <c r="AV674" s="94"/>
      <c r="AW674" s="94"/>
      <c r="AX674" s="94"/>
      <c r="AY674" s="94"/>
      <c r="AZ674" s="94"/>
      <c r="BA674" s="95"/>
    </row>
    <row r="675" spans="1:53" s="87" customFormat="1">
      <c r="A675" s="90" t="str">
        <f t="shared" si="35"/>
        <v/>
      </c>
      <c r="B675" s="98">
        <v>13</v>
      </c>
      <c r="C675" s="94">
        <v>-3</v>
      </c>
      <c r="D675" s="94" t="s">
        <v>210</v>
      </c>
      <c r="E675" s="94" t="s">
        <v>210</v>
      </c>
      <c r="F675" s="94">
        <v>1</v>
      </c>
      <c r="G675" s="94" t="s">
        <v>202</v>
      </c>
      <c r="H675" s="94" t="s">
        <v>210</v>
      </c>
      <c r="I675" s="94" t="s">
        <v>210</v>
      </c>
      <c r="J675" s="94">
        <v>7</v>
      </c>
      <c r="K675" s="94">
        <v>-5</v>
      </c>
      <c r="L675" s="94" t="s">
        <v>210</v>
      </c>
      <c r="M675" s="94" t="s">
        <v>210</v>
      </c>
      <c r="N675" s="94">
        <v>8</v>
      </c>
      <c r="O675" s="94">
        <v>-2</v>
      </c>
      <c r="P675" s="94" t="s">
        <v>210</v>
      </c>
      <c r="Q675" s="94" t="s">
        <v>210</v>
      </c>
      <c r="R675" s="94">
        <v>3</v>
      </c>
      <c r="S675" s="94">
        <v>-6</v>
      </c>
      <c r="T675" s="94"/>
      <c r="U675" s="94"/>
      <c r="V675" s="94"/>
      <c r="W675" s="94"/>
      <c r="X675" s="94"/>
      <c r="Y675" s="94"/>
      <c r="Z675" s="94"/>
      <c r="AA675" s="94"/>
      <c r="AB675" s="94"/>
      <c r="AC675" s="94"/>
      <c r="AD675" s="94"/>
      <c r="AE675" s="94"/>
      <c r="AF675" s="94"/>
      <c r="AG675" s="94"/>
      <c r="AH675" s="94"/>
      <c r="AI675" s="94"/>
      <c r="AJ675" s="94"/>
      <c r="AK675" s="94"/>
      <c r="AL675" s="94"/>
      <c r="AM675" s="94"/>
      <c r="AN675" s="94"/>
      <c r="AO675" s="94"/>
      <c r="AP675" s="94"/>
      <c r="AQ675" s="94"/>
      <c r="AR675" s="94"/>
      <c r="AS675" s="94"/>
      <c r="AT675" s="94"/>
      <c r="AU675" s="94"/>
      <c r="AV675" s="94"/>
      <c r="AW675" s="94"/>
      <c r="AX675" s="94"/>
      <c r="AY675" s="94"/>
      <c r="AZ675" s="94"/>
      <c r="BA675" s="95"/>
    </row>
    <row r="676" spans="1:53" s="87" customFormat="1">
      <c r="A676" s="90" t="str">
        <f t="shared" si="35"/>
        <v/>
      </c>
      <c r="B676" s="98">
        <v>14</v>
      </c>
      <c r="C676" s="94">
        <v>2</v>
      </c>
      <c r="D676" s="94" t="s">
        <v>210</v>
      </c>
      <c r="E676" s="94" t="s">
        <v>210</v>
      </c>
      <c r="F676" s="94" t="s">
        <v>202</v>
      </c>
      <c r="G676" s="94">
        <v>-5</v>
      </c>
      <c r="H676" s="94" t="s">
        <v>210</v>
      </c>
      <c r="I676" s="94" t="s">
        <v>210</v>
      </c>
      <c r="J676" s="94">
        <v>4</v>
      </c>
      <c r="K676" s="94">
        <v>-1</v>
      </c>
      <c r="L676" s="94" t="s">
        <v>210</v>
      </c>
      <c r="M676" s="94" t="s">
        <v>210</v>
      </c>
      <c r="N676" s="94">
        <v>6</v>
      </c>
      <c r="O676" s="94">
        <v>8</v>
      </c>
      <c r="P676" s="94" t="s">
        <v>210</v>
      </c>
      <c r="Q676" s="94" t="s">
        <v>210</v>
      </c>
      <c r="R676" s="94">
        <v>-3</v>
      </c>
      <c r="S676" s="94">
        <v>-2</v>
      </c>
      <c r="T676" s="94"/>
      <c r="U676" s="94"/>
      <c r="V676" s="94"/>
      <c r="W676" s="94"/>
      <c r="X676" s="94"/>
      <c r="Y676" s="94"/>
      <c r="Z676" s="94"/>
      <c r="AA676" s="94"/>
      <c r="AB676" s="94"/>
      <c r="AC676" s="94"/>
      <c r="AD676" s="94"/>
      <c r="AE676" s="94"/>
      <c r="AF676" s="94"/>
      <c r="AG676" s="94"/>
      <c r="AH676" s="94"/>
      <c r="AI676" s="94"/>
      <c r="AJ676" s="94"/>
      <c r="AK676" s="94"/>
      <c r="AL676" s="94"/>
      <c r="AM676" s="94"/>
      <c r="AN676" s="94"/>
      <c r="AO676" s="94"/>
      <c r="AP676" s="94"/>
      <c r="AQ676" s="94"/>
      <c r="AR676" s="94"/>
      <c r="AS676" s="94"/>
      <c r="AT676" s="94"/>
      <c r="AU676" s="94"/>
      <c r="AV676" s="94"/>
      <c r="AW676" s="94"/>
      <c r="AX676" s="94"/>
      <c r="AY676" s="94"/>
      <c r="AZ676" s="94"/>
      <c r="BA676" s="95"/>
    </row>
    <row r="677" spans="1:53" s="87" customFormat="1">
      <c r="A677" s="90" t="str">
        <f t="shared" si="35"/>
        <v/>
      </c>
      <c r="B677" s="98">
        <v>15</v>
      </c>
      <c r="C677" s="94" t="s">
        <v>202</v>
      </c>
      <c r="D677" s="94" t="s">
        <v>210</v>
      </c>
      <c r="E677" s="94" t="s">
        <v>210</v>
      </c>
      <c r="F677" s="94">
        <v>-4</v>
      </c>
      <c r="G677" s="94">
        <v>-7</v>
      </c>
      <c r="H677" s="94" t="s">
        <v>210</v>
      </c>
      <c r="I677" s="94" t="s">
        <v>210</v>
      </c>
      <c r="J677" s="94">
        <v>1</v>
      </c>
      <c r="K677" s="94">
        <v>5</v>
      </c>
      <c r="L677" s="94" t="s">
        <v>210</v>
      </c>
      <c r="M677" s="94" t="s">
        <v>210</v>
      </c>
      <c r="N677" s="94">
        <v>-3</v>
      </c>
      <c r="O677" s="94">
        <v>-6</v>
      </c>
      <c r="P677" s="94" t="s">
        <v>210</v>
      </c>
      <c r="Q677" s="94" t="s">
        <v>210</v>
      </c>
      <c r="R677" s="94">
        <v>8</v>
      </c>
      <c r="S677" s="94">
        <v>2</v>
      </c>
      <c r="T677" s="94"/>
      <c r="U677" s="94"/>
      <c r="V677" s="94"/>
      <c r="W677" s="94"/>
      <c r="X677" s="94"/>
      <c r="Y677" s="94"/>
      <c r="Z677" s="94"/>
      <c r="AA677" s="94"/>
      <c r="AB677" s="94"/>
      <c r="AC677" s="94"/>
      <c r="AD677" s="94"/>
      <c r="AE677" s="94"/>
      <c r="AF677" s="94"/>
      <c r="AG677" s="94"/>
      <c r="AH677" s="94"/>
      <c r="AI677" s="94"/>
      <c r="AJ677" s="94"/>
      <c r="AK677" s="94"/>
      <c r="AL677" s="94"/>
      <c r="AM677" s="94"/>
      <c r="AN677" s="94"/>
      <c r="AO677" s="94"/>
      <c r="AP677" s="94"/>
      <c r="AQ677" s="94"/>
      <c r="AR677" s="94"/>
      <c r="AS677" s="94"/>
      <c r="AT677" s="94"/>
      <c r="AU677" s="94"/>
      <c r="AV677" s="94"/>
      <c r="AW677" s="94"/>
      <c r="AX677" s="94"/>
      <c r="AY677" s="94"/>
      <c r="AZ677" s="94"/>
      <c r="BA677" s="95"/>
    </row>
    <row r="678" spans="1:53" s="87" customFormat="1">
      <c r="A678" s="90" t="str">
        <f t="shared" si="35"/>
        <v/>
      </c>
      <c r="B678" s="98">
        <v>16</v>
      </c>
      <c r="C678" s="94">
        <v>3</v>
      </c>
      <c r="D678" s="94" t="s">
        <v>210</v>
      </c>
      <c r="E678" s="94" t="s">
        <v>210</v>
      </c>
      <c r="F678" s="94">
        <v>-5</v>
      </c>
      <c r="G678" s="94">
        <v>1</v>
      </c>
      <c r="H678" s="94" t="s">
        <v>210</v>
      </c>
      <c r="I678" s="94" t="s">
        <v>210</v>
      </c>
      <c r="J678" s="94">
        <v>-4</v>
      </c>
      <c r="K678" s="94" t="s">
        <v>202</v>
      </c>
      <c r="L678" s="94" t="s">
        <v>210</v>
      </c>
      <c r="M678" s="94" t="s">
        <v>210</v>
      </c>
      <c r="N678" s="94">
        <v>-7</v>
      </c>
      <c r="O678" s="94">
        <v>6</v>
      </c>
      <c r="P678" s="94" t="s">
        <v>210</v>
      </c>
      <c r="Q678" s="94" t="s">
        <v>210</v>
      </c>
      <c r="R678" s="94">
        <v>-2</v>
      </c>
      <c r="S678" s="94">
        <v>8</v>
      </c>
      <c r="T678" s="94"/>
      <c r="U678" s="94"/>
      <c r="V678" s="94"/>
      <c r="W678" s="94"/>
      <c r="X678" s="94"/>
      <c r="Y678" s="94"/>
      <c r="Z678" s="94"/>
      <c r="AA678" s="94"/>
      <c r="AB678" s="94"/>
      <c r="AC678" s="94"/>
      <c r="AD678" s="94"/>
      <c r="AE678" s="94"/>
      <c r="AF678" s="94"/>
      <c r="AG678" s="94"/>
      <c r="AH678" s="94"/>
      <c r="AI678" s="94"/>
      <c r="AJ678" s="94"/>
      <c r="AK678" s="94"/>
      <c r="AL678" s="94"/>
      <c r="AM678" s="94"/>
      <c r="AN678" s="94"/>
      <c r="AO678" s="94"/>
      <c r="AP678" s="94"/>
      <c r="AQ678" s="94"/>
      <c r="AR678" s="94"/>
      <c r="AS678" s="94"/>
      <c r="AT678" s="94"/>
      <c r="AU678" s="94"/>
      <c r="AV678" s="94"/>
      <c r="AW678" s="94"/>
      <c r="AX678" s="94"/>
      <c r="AY678" s="94"/>
      <c r="AZ678" s="94"/>
      <c r="BA678" s="95"/>
    </row>
    <row r="679" spans="1:53" s="87" customFormat="1">
      <c r="A679" s="90" t="str">
        <f t="shared" si="35"/>
        <v/>
      </c>
      <c r="B679" s="98">
        <v>17</v>
      </c>
      <c r="C679" s="94">
        <v>6</v>
      </c>
      <c r="D679" s="94" t="s">
        <v>210</v>
      </c>
      <c r="E679" s="94" t="s">
        <v>210</v>
      </c>
      <c r="F679" s="94">
        <v>2</v>
      </c>
      <c r="G679" s="94">
        <v>-4</v>
      </c>
      <c r="H679" s="94" t="s">
        <v>210</v>
      </c>
      <c r="I679" s="94" t="s">
        <v>210</v>
      </c>
      <c r="J679" s="94">
        <v>-7</v>
      </c>
      <c r="K679" s="94">
        <v>1</v>
      </c>
      <c r="L679" s="94" t="s">
        <v>210</v>
      </c>
      <c r="M679" s="94" t="s">
        <v>210</v>
      </c>
      <c r="N679" s="94">
        <v>3</v>
      </c>
      <c r="O679" s="94" t="s">
        <v>202</v>
      </c>
      <c r="P679" s="94" t="s">
        <v>210</v>
      </c>
      <c r="Q679" s="94" t="s">
        <v>210</v>
      </c>
      <c r="R679" s="94">
        <v>-6</v>
      </c>
      <c r="S679" s="94">
        <v>-8</v>
      </c>
      <c r="T679" s="94"/>
      <c r="U679" s="94"/>
      <c r="V679" s="94"/>
      <c r="W679" s="94"/>
      <c r="X679" s="94"/>
      <c r="Y679" s="94"/>
      <c r="Z679" s="94"/>
      <c r="AA679" s="94"/>
      <c r="AB679" s="94"/>
      <c r="AC679" s="94"/>
      <c r="AD679" s="94"/>
      <c r="AE679" s="94"/>
      <c r="AF679" s="94"/>
      <c r="AG679" s="94"/>
      <c r="AH679" s="94"/>
      <c r="AI679" s="94"/>
      <c r="AJ679" s="94"/>
      <c r="AK679" s="94"/>
      <c r="AL679" s="94"/>
      <c r="AM679" s="94"/>
      <c r="AN679" s="94"/>
      <c r="AO679" s="94"/>
      <c r="AP679" s="94"/>
      <c r="AQ679" s="94"/>
      <c r="AR679" s="94"/>
      <c r="AS679" s="94"/>
      <c r="AT679" s="94"/>
      <c r="AU679" s="94"/>
      <c r="AV679" s="94"/>
      <c r="AW679" s="94"/>
      <c r="AX679" s="94"/>
      <c r="AY679" s="94"/>
      <c r="AZ679" s="94"/>
      <c r="BA679" s="95"/>
    </row>
    <row r="680" spans="1:53" s="87" customFormat="1">
      <c r="A680" s="90" t="str">
        <f t="shared" si="35"/>
        <v/>
      </c>
      <c r="B680" s="99">
        <v>18</v>
      </c>
      <c r="C680" s="92">
        <v>-2</v>
      </c>
      <c r="D680" s="92" t="s">
        <v>210</v>
      </c>
      <c r="E680" s="92" t="s">
        <v>210</v>
      </c>
      <c r="F680" s="92">
        <v>4</v>
      </c>
      <c r="G680" s="92">
        <v>-1</v>
      </c>
      <c r="H680" s="92" t="s">
        <v>210</v>
      </c>
      <c r="I680" s="92" t="s">
        <v>210</v>
      </c>
      <c r="J680" s="92">
        <v>5</v>
      </c>
      <c r="K680" s="92">
        <v>-7</v>
      </c>
      <c r="L680" s="92" t="s">
        <v>210</v>
      </c>
      <c r="M680" s="92" t="s">
        <v>210</v>
      </c>
      <c r="N680" s="92">
        <v>-8</v>
      </c>
      <c r="O680" s="92">
        <v>3</v>
      </c>
      <c r="P680" s="92" t="s">
        <v>210</v>
      </c>
      <c r="Q680" s="92" t="s">
        <v>210</v>
      </c>
      <c r="R680" s="92">
        <v>6</v>
      </c>
      <c r="S680" s="92" t="s">
        <v>202</v>
      </c>
      <c r="T680" s="94"/>
      <c r="U680" s="94"/>
      <c r="V680" s="94"/>
      <c r="W680" s="94"/>
      <c r="X680" s="94"/>
      <c r="Y680" s="94"/>
      <c r="Z680" s="94"/>
      <c r="AA680" s="94"/>
      <c r="AB680" s="94"/>
      <c r="AC680" s="94"/>
      <c r="AD680" s="94"/>
      <c r="AE680" s="94"/>
      <c r="AF680" s="94"/>
      <c r="AG680" s="94"/>
      <c r="AH680" s="94"/>
      <c r="AI680" s="94"/>
      <c r="AJ680" s="94"/>
      <c r="AK680" s="94"/>
      <c r="AL680" s="94"/>
      <c r="AM680" s="94"/>
      <c r="AN680" s="94"/>
      <c r="AO680" s="94"/>
      <c r="AP680" s="94"/>
      <c r="AQ680" s="94"/>
      <c r="AR680" s="94"/>
      <c r="AS680" s="94"/>
      <c r="AT680" s="94"/>
      <c r="AU680" s="94"/>
      <c r="AV680" s="94"/>
      <c r="AW680" s="94"/>
      <c r="AX680" s="94"/>
      <c r="AY680" s="94"/>
      <c r="AZ680" s="94"/>
      <c r="BA680" s="95"/>
    </row>
    <row r="681" spans="1:53" s="87" customFormat="1">
      <c r="A681" s="90" t="str">
        <f t="shared" si="35"/>
        <v/>
      </c>
      <c r="B681" s="98">
        <v>19</v>
      </c>
      <c r="C681" s="94" t="s">
        <v>210</v>
      </c>
      <c r="D681" s="94">
        <v>8</v>
      </c>
      <c r="E681" s="94">
        <v>-4</v>
      </c>
      <c r="F681" s="94" t="s">
        <v>210</v>
      </c>
      <c r="G681" s="94" t="s">
        <v>210</v>
      </c>
      <c r="H681" s="94">
        <v>-6</v>
      </c>
      <c r="I681" s="94">
        <v>1</v>
      </c>
      <c r="J681" s="94" t="s">
        <v>210</v>
      </c>
      <c r="K681" s="94" t="s">
        <v>210</v>
      </c>
      <c r="L681" s="94">
        <v>-2</v>
      </c>
      <c r="M681" s="94">
        <v>-5</v>
      </c>
      <c r="N681" s="94" t="s">
        <v>210</v>
      </c>
      <c r="O681" s="94" t="s">
        <v>210</v>
      </c>
      <c r="P681" s="94">
        <v>3</v>
      </c>
      <c r="Q681" s="94">
        <v>4</v>
      </c>
      <c r="R681" s="94" t="s">
        <v>210</v>
      </c>
      <c r="S681" s="94" t="s">
        <v>210</v>
      </c>
      <c r="T681" s="94"/>
      <c r="U681" s="94"/>
      <c r="V681" s="94"/>
      <c r="W681" s="94"/>
      <c r="X681" s="94"/>
      <c r="Y681" s="94"/>
      <c r="Z681" s="94"/>
      <c r="AA681" s="94"/>
      <c r="AB681" s="94"/>
      <c r="AC681" s="94"/>
      <c r="AD681" s="94"/>
      <c r="AE681" s="94"/>
      <c r="AF681" s="94"/>
      <c r="AG681" s="94"/>
      <c r="AH681" s="94"/>
      <c r="AI681" s="94"/>
      <c r="AJ681" s="94"/>
      <c r="AK681" s="94"/>
      <c r="AL681" s="94"/>
      <c r="AM681" s="94"/>
      <c r="AN681" s="94"/>
      <c r="AO681" s="94"/>
      <c r="AP681" s="94"/>
      <c r="AQ681" s="94"/>
      <c r="AR681" s="94"/>
      <c r="AS681" s="94"/>
      <c r="AT681" s="94"/>
      <c r="AU681" s="94"/>
      <c r="AV681" s="94"/>
      <c r="AW681" s="94"/>
      <c r="AX681" s="94"/>
      <c r="AY681" s="94"/>
      <c r="AZ681" s="94"/>
      <c r="BA681" s="95"/>
    </row>
    <row r="682" spans="1:53" s="87" customFormat="1">
      <c r="A682" s="90" t="str">
        <f t="shared" si="35"/>
        <v/>
      </c>
      <c r="B682" s="98">
        <v>20</v>
      </c>
      <c r="C682" s="94" t="s">
        <v>210</v>
      </c>
      <c r="D682" s="94">
        <v>3</v>
      </c>
      <c r="E682" s="94">
        <v>-5</v>
      </c>
      <c r="F682" s="94" t="s">
        <v>210</v>
      </c>
      <c r="G682" s="94" t="s">
        <v>210</v>
      </c>
      <c r="H682" s="94">
        <v>2</v>
      </c>
      <c r="I682" s="94">
        <v>8</v>
      </c>
      <c r="J682" s="94" t="s">
        <v>210</v>
      </c>
      <c r="K682" s="94" t="s">
        <v>210</v>
      </c>
      <c r="L682" s="94">
        <v>-7</v>
      </c>
      <c r="M682" s="94">
        <v>6</v>
      </c>
      <c r="N682" s="94" t="s">
        <v>210</v>
      </c>
      <c r="O682" s="94" t="s">
        <v>210</v>
      </c>
      <c r="P682" s="94">
        <v>-1</v>
      </c>
      <c r="Q682" s="94">
        <v>-4</v>
      </c>
      <c r="R682" s="94" t="s">
        <v>210</v>
      </c>
      <c r="S682" s="94" t="s">
        <v>210</v>
      </c>
      <c r="T682" s="94"/>
      <c r="U682" s="94"/>
      <c r="V682" s="94"/>
      <c r="W682" s="94"/>
      <c r="X682" s="94"/>
      <c r="Y682" s="94"/>
      <c r="Z682" s="94"/>
      <c r="AA682" s="94"/>
      <c r="AB682" s="94"/>
      <c r="AC682" s="94"/>
      <c r="AD682" s="94"/>
      <c r="AE682" s="94"/>
      <c r="AF682" s="94"/>
      <c r="AG682" s="94"/>
      <c r="AH682" s="94"/>
      <c r="AI682" s="94"/>
      <c r="AJ682" s="94"/>
      <c r="AK682" s="94"/>
      <c r="AL682" s="94"/>
      <c r="AM682" s="94"/>
      <c r="AN682" s="94"/>
      <c r="AO682" s="94"/>
      <c r="AP682" s="94"/>
      <c r="AQ682" s="94"/>
      <c r="AR682" s="94"/>
      <c r="AS682" s="94"/>
      <c r="AT682" s="94"/>
      <c r="AU682" s="94"/>
      <c r="AV682" s="94"/>
      <c r="AW682" s="94"/>
      <c r="AX682" s="94"/>
      <c r="AY682" s="94"/>
      <c r="AZ682" s="94"/>
      <c r="BA682" s="95"/>
    </row>
    <row r="683" spans="1:53" s="87" customFormat="1">
      <c r="A683" s="90" t="str">
        <f t="shared" si="35"/>
        <v/>
      </c>
      <c r="B683" s="98">
        <v>21</v>
      </c>
      <c r="C683" s="94" t="s">
        <v>210</v>
      </c>
      <c r="D683" s="94">
        <v>-1</v>
      </c>
      <c r="E683" s="94">
        <v>3</v>
      </c>
      <c r="F683" s="94" t="s">
        <v>210</v>
      </c>
      <c r="G683" s="94" t="s">
        <v>210</v>
      </c>
      <c r="H683" s="94">
        <v>-5</v>
      </c>
      <c r="I683" s="94">
        <v>7</v>
      </c>
      <c r="J683" s="94" t="s">
        <v>210</v>
      </c>
      <c r="K683" s="94" t="s">
        <v>210</v>
      </c>
      <c r="L683" s="94">
        <v>8</v>
      </c>
      <c r="M683" s="94">
        <v>-6</v>
      </c>
      <c r="N683" s="94" t="s">
        <v>210</v>
      </c>
      <c r="O683" s="94" t="s">
        <v>210</v>
      </c>
      <c r="P683" s="94">
        <v>-3</v>
      </c>
      <c r="Q683" s="94">
        <v>2</v>
      </c>
      <c r="R683" s="94" t="s">
        <v>210</v>
      </c>
      <c r="S683" s="94" t="s">
        <v>210</v>
      </c>
      <c r="T683" s="94"/>
      <c r="U683" s="94"/>
      <c r="V683" s="94"/>
      <c r="W683" s="94"/>
      <c r="X683" s="94"/>
      <c r="Y683" s="94"/>
      <c r="Z683" s="94"/>
      <c r="AA683" s="94"/>
      <c r="AB683" s="94"/>
      <c r="AC683" s="94"/>
      <c r="AD683" s="94"/>
      <c r="AE683" s="94"/>
      <c r="AF683" s="94"/>
      <c r="AG683" s="94"/>
      <c r="AH683" s="94"/>
      <c r="AI683" s="94"/>
      <c r="AJ683" s="94"/>
      <c r="AK683" s="94"/>
      <c r="AL683" s="94"/>
      <c r="AM683" s="94"/>
      <c r="AN683" s="94"/>
      <c r="AO683" s="94"/>
      <c r="AP683" s="94"/>
      <c r="AQ683" s="94"/>
      <c r="AR683" s="94"/>
      <c r="AS683" s="94"/>
      <c r="AT683" s="94"/>
      <c r="AU683" s="94"/>
      <c r="AV683" s="94"/>
      <c r="AW683" s="94"/>
      <c r="AX683" s="94"/>
      <c r="AY683" s="94"/>
      <c r="AZ683" s="94"/>
      <c r="BA683" s="95"/>
    </row>
    <row r="684" spans="1:53" s="87" customFormat="1">
      <c r="A684" s="90" t="str">
        <f t="shared" si="35"/>
        <v/>
      </c>
      <c r="B684" s="98">
        <v>22</v>
      </c>
      <c r="C684" s="94" t="s">
        <v>210</v>
      </c>
      <c r="D684" s="94">
        <v>7</v>
      </c>
      <c r="E684" s="94">
        <v>-1</v>
      </c>
      <c r="F684" s="94" t="s">
        <v>210</v>
      </c>
      <c r="G684" s="94" t="s">
        <v>210</v>
      </c>
      <c r="H684" s="94">
        <v>-4</v>
      </c>
      <c r="I684" s="94">
        <v>3</v>
      </c>
      <c r="J684" s="94" t="s">
        <v>210</v>
      </c>
      <c r="K684" s="94" t="s">
        <v>210</v>
      </c>
      <c r="L684" s="94">
        <v>-6</v>
      </c>
      <c r="M684" s="94">
        <v>5</v>
      </c>
      <c r="N684" s="94" t="s">
        <v>210</v>
      </c>
      <c r="O684" s="94" t="s">
        <v>210</v>
      </c>
      <c r="P684" s="94">
        <v>1</v>
      </c>
      <c r="Q684" s="94">
        <v>-2</v>
      </c>
      <c r="R684" s="94" t="s">
        <v>210</v>
      </c>
      <c r="S684" s="94" t="s">
        <v>210</v>
      </c>
      <c r="T684" s="94"/>
      <c r="U684" s="94"/>
      <c r="V684" s="94"/>
      <c r="W684" s="94"/>
      <c r="X684" s="94"/>
      <c r="Y684" s="94"/>
      <c r="Z684" s="94"/>
      <c r="AA684" s="94"/>
      <c r="AB684" s="94"/>
      <c r="AC684" s="94"/>
      <c r="AD684" s="94"/>
      <c r="AE684" s="94"/>
      <c r="AF684" s="94"/>
      <c r="AG684" s="94"/>
      <c r="AH684" s="94"/>
      <c r="AI684" s="94"/>
      <c r="AJ684" s="94"/>
      <c r="AK684" s="94"/>
      <c r="AL684" s="94"/>
      <c r="AM684" s="94"/>
      <c r="AN684" s="94"/>
      <c r="AO684" s="94"/>
      <c r="AP684" s="94"/>
      <c r="AQ684" s="94"/>
      <c r="AR684" s="94"/>
      <c r="AS684" s="94"/>
      <c r="AT684" s="94"/>
      <c r="AU684" s="94"/>
      <c r="AV684" s="94"/>
      <c r="AW684" s="94"/>
      <c r="AX684" s="94"/>
      <c r="AY684" s="94"/>
      <c r="AZ684" s="94"/>
      <c r="BA684" s="95"/>
    </row>
    <row r="685" spans="1:53" s="87" customFormat="1">
      <c r="A685" s="90" t="str">
        <f t="shared" si="35"/>
        <v/>
      </c>
      <c r="B685" s="98">
        <v>23</v>
      </c>
      <c r="C685" s="94" t="s">
        <v>210</v>
      </c>
      <c r="D685" s="94">
        <v>-4</v>
      </c>
      <c r="E685" s="94">
        <v>1</v>
      </c>
      <c r="F685" s="94" t="s">
        <v>210</v>
      </c>
      <c r="G685" s="94" t="s">
        <v>210</v>
      </c>
      <c r="H685" s="94">
        <v>5</v>
      </c>
      <c r="I685" s="94">
        <v>-8</v>
      </c>
      <c r="J685" s="94" t="s">
        <v>210</v>
      </c>
      <c r="K685" s="94" t="s">
        <v>210</v>
      </c>
      <c r="L685" s="94">
        <v>2</v>
      </c>
      <c r="M685" s="94">
        <v>-7</v>
      </c>
      <c r="N685" s="94" t="s">
        <v>210</v>
      </c>
      <c r="O685" s="94" t="s">
        <v>210</v>
      </c>
      <c r="P685" s="94">
        <v>4</v>
      </c>
      <c r="Q685" s="94">
        <v>-3</v>
      </c>
      <c r="R685" s="94" t="s">
        <v>210</v>
      </c>
      <c r="S685" s="94" t="s">
        <v>210</v>
      </c>
      <c r="T685" s="94"/>
      <c r="U685" s="94"/>
      <c r="V685" s="94"/>
      <c r="W685" s="94"/>
      <c r="X685" s="94"/>
      <c r="Y685" s="94"/>
      <c r="Z685" s="94"/>
      <c r="AA685" s="94"/>
      <c r="AB685" s="94"/>
      <c r="AC685" s="94"/>
      <c r="AD685" s="94"/>
      <c r="AE685" s="94"/>
      <c r="AF685" s="94"/>
      <c r="AG685" s="94"/>
      <c r="AH685" s="94"/>
      <c r="AI685" s="94"/>
      <c r="AJ685" s="94"/>
      <c r="AK685" s="94"/>
      <c r="AL685" s="94"/>
      <c r="AM685" s="94"/>
      <c r="AN685" s="94"/>
      <c r="AO685" s="94"/>
      <c r="AP685" s="94"/>
      <c r="AQ685" s="94"/>
      <c r="AR685" s="94"/>
      <c r="AS685" s="94"/>
      <c r="AT685" s="94"/>
      <c r="AU685" s="94"/>
      <c r="AV685" s="94"/>
      <c r="AW685" s="94"/>
      <c r="AX685" s="94"/>
      <c r="AY685" s="94"/>
      <c r="AZ685" s="94"/>
      <c r="BA685" s="95"/>
    </row>
    <row r="686" spans="1:53" s="87" customFormat="1">
      <c r="A686" s="90" t="str">
        <f t="shared" si="35"/>
        <v/>
      </c>
      <c r="B686" s="98">
        <v>24</v>
      </c>
      <c r="C686" s="94" t="s">
        <v>210</v>
      </c>
      <c r="D686" s="94">
        <v>-6</v>
      </c>
      <c r="E686" s="94">
        <v>-3</v>
      </c>
      <c r="F686" s="94" t="s">
        <v>210</v>
      </c>
      <c r="G686" s="94" t="s">
        <v>210</v>
      </c>
      <c r="H686" s="94">
        <v>4</v>
      </c>
      <c r="I686" s="94">
        <v>-1</v>
      </c>
      <c r="J686" s="94" t="s">
        <v>210</v>
      </c>
      <c r="K686" s="94" t="s">
        <v>210</v>
      </c>
      <c r="L686" s="94">
        <v>7</v>
      </c>
      <c r="M686" s="94">
        <v>8</v>
      </c>
      <c r="N686" s="94" t="s">
        <v>210</v>
      </c>
      <c r="O686" s="94" t="s">
        <v>210</v>
      </c>
      <c r="P686" s="94">
        <v>-2</v>
      </c>
      <c r="Q686" s="94">
        <v>3</v>
      </c>
      <c r="R686" s="94" t="s">
        <v>210</v>
      </c>
      <c r="S686" s="94" t="s">
        <v>210</v>
      </c>
      <c r="T686" s="94"/>
      <c r="U686" s="94"/>
      <c r="V686" s="94"/>
      <c r="W686" s="94"/>
      <c r="X686" s="94"/>
      <c r="Y686" s="94"/>
      <c r="Z686" s="94"/>
      <c r="AA686" s="94"/>
      <c r="AB686" s="94"/>
      <c r="AC686" s="94"/>
      <c r="AD686" s="94"/>
      <c r="AE686" s="94"/>
      <c r="AF686" s="94"/>
      <c r="AG686" s="94"/>
      <c r="AH686" s="94"/>
      <c r="AI686" s="94"/>
      <c r="AJ686" s="94"/>
      <c r="AK686" s="94"/>
      <c r="AL686" s="94"/>
      <c r="AM686" s="94"/>
      <c r="AN686" s="94"/>
      <c r="AO686" s="94"/>
      <c r="AP686" s="94"/>
      <c r="AQ686" s="94"/>
      <c r="AR686" s="94"/>
      <c r="AS686" s="94"/>
      <c r="AT686" s="94"/>
      <c r="AU686" s="94"/>
      <c r="AV686" s="94"/>
      <c r="AW686" s="94"/>
      <c r="AX686" s="94"/>
      <c r="AY686" s="94"/>
      <c r="AZ686" s="94"/>
      <c r="BA686" s="95"/>
    </row>
    <row r="687" spans="1:53" s="87" customFormat="1">
      <c r="A687" s="90" t="str">
        <f t="shared" si="35"/>
        <v/>
      </c>
      <c r="B687" s="98">
        <v>25</v>
      </c>
      <c r="C687" s="94" t="s">
        <v>210</v>
      </c>
      <c r="D687" s="94">
        <v>5</v>
      </c>
      <c r="E687" s="94">
        <v>4</v>
      </c>
      <c r="F687" s="94" t="s">
        <v>210</v>
      </c>
      <c r="G687" s="94" t="s">
        <v>210</v>
      </c>
      <c r="H687" s="94">
        <v>-2</v>
      </c>
      <c r="I687" s="94">
        <v>-7</v>
      </c>
      <c r="J687" s="94" t="s">
        <v>210</v>
      </c>
      <c r="K687" s="94" t="s">
        <v>210</v>
      </c>
      <c r="L687" s="94">
        <v>6</v>
      </c>
      <c r="M687" s="94">
        <v>-8</v>
      </c>
      <c r="N687" s="94" t="s">
        <v>210</v>
      </c>
      <c r="O687" s="94" t="s">
        <v>210</v>
      </c>
      <c r="P687" s="94">
        <v>-4</v>
      </c>
      <c r="Q687" s="94">
        <v>1</v>
      </c>
      <c r="R687" s="94" t="s">
        <v>210</v>
      </c>
      <c r="S687" s="94" t="s">
        <v>210</v>
      </c>
      <c r="T687" s="94"/>
      <c r="U687" s="94"/>
      <c r="V687" s="94"/>
      <c r="W687" s="94"/>
      <c r="X687" s="94"/>
      <c r="Y687" s="94"/>
      <c r="Z687" s="94"/>
      <c r="AA687" s="94"/>
      <c r="AB687" s="94"/>
      <c r="AC687" s="94"/>
      <c r="AD687" s="94"/>
      <c r="AE687" s="94"/>
      <c r="AF687" s="94"/>
      <c r="AG687" s="94"/>
      <c r="AH687" s="94"/>
      <c r="AI687" s="94"/>
      <c r="AJ687" s="94"/>
      <c r="AK687" s="94"/>
      <c r="AL687" s="94"/>
      <c r="AM687" s="94"/>
      <c r="AN687" s="94"/>
      <c r="AO687" s="94"/>
      <c r="AP687" s="94"/>
      <c r="AQ687" s="94"/>
      <c r="AR687" s="94"/>
      <c r="AS687" s="94"/>
      <c r="AT687" s="94"/>
      <c r="AU687" s="94"/>
      <c r="AV687" s="94"/>
      <c r="AW687" s="94"/>
      <c r="AX687" s="94"/>
      <c r="AY687" s="94"/>
      <c r="AZ687" s="94"/>
      <c r="BA687" s="95"/>
    </row>
    <row r="688" spans="1:53" s="87" customFormat="1">
      <c r="A688" s="90" t="str">
        <f t="shared" si="35"/>
        <v/>
      </c>
      <c r="B688" s="99">
        <v>26</v>
      </c>
      <c r="C688" s="92" t="s">
        <v>210</v>
      </c>
      <c r="D688" s="92">
        <v>-2</v>
      </c>
      <c r="E688" s="92">
        <v>5</v>
      </c>
      <c r="F688" s="92" t="s">
        <v>210</v>
      </c>
      <c r="G688" s="92" t="s">
        <v>210</v>
      </c>
      <c r="H688" s="92">
        <v>6</v>
      </c>
      <c r="I688" s="92">
        <v>-3</v>
      </c>
      <c r="J688" s="92" t="s">
        <v>210</v>
      </c>
      <c r="K688" s="92" t="s">
        <v>210</v>
      </c>
      <c r="L688" s="92">
        <v>-8</v>
      </c>
      <c r="M688" s="92">
        <v>7</v>
      </c>
      <c r="N688" s="92" t="s">
        <v>210</v>
      </c>
      <c r="O688" s="92" t="s">
        <v>210</v>
      </c>
      <c r="P688" s="92">
        <v>2</v>
      </c>
      <c r="Q688" s="92">
        <v>-1</v>
      </c>
      <c r="R688" s="92" t="s">
        <v>210</v>
      </c>
      <c r="S688" s="92" t="s">
        <v>210</v>
      </c>
      <c r="T688" s="94"/>
      <c r="U688" s="94"/>
      <c r="V688" s="94"/>
      <c r="W688" s="94"/>
      <c r="X688" s="94"/>
      <c r="Y688" s="94"/>
      <c r="Z688" s="94"/>
      <c r="AA688" s="94"/>
      <c r="AB688" s="94"/>
      <c r="AC688" s="94"/>
      <c r="AD688" s="94"/>
      <c r="AE688" s="94"/>
      <c r="AF688" s="94"/>
      <c r="AG688" s="94"/>
      <c r="AH688" s="94"/>
      <c r="AI688" s="94"/>
      <c r="AJ688" s="94"/>
      <c r="AK688" s="94"/>
      <c r="AL688" s="94"/>
      <c r="AM688" s="94"/>
      <c r="AN688" s="94"/>
      <c r="AO688" s="94"/>
      <c r="AP688" s="94"/>
      <c r="AQ688" s="94"/>
      <c r="AR688" s="94"/>
      <c r="AS688" s="94"/>
      <c r="AT688" s="94"/>
      <c r="AU688" s="94"/>
      <c r="AV688" s="94"/>
      <c r="AW688" s="94"/>
      <c r="AX688" s="94"/>
      <c r="AY688" s="94"/>
      <c r="AZ688" s="94"/>
      <c r="BA688" s="95"/>
    </row>
    <row r="689" spans="1:53" s="87" customFormat="1">
      <c r="A689" s="90" t="str">
        <f t="shared" si="35"/>
        <v/>
      </c>
      <c r="B689" s="98">
        <v>27</v>
      </c>
      <c r="C689" s="94" t="s">
        <v>210</v>
      </c>
      <c r="D689" s="94">
        <v>-8</v>
      </c>
      <c r="E689" s="94">
        <v>7</v>
      </c>
      <c r="F689" s="94" t="s">
        <v>210</v>
      </c>
      <c r="G689" s="94" t="s">
        <v>210</v>
      </c>
      <c r="H689" s="94">
        <v>1</v>
      </c>
      <c r="I689" s="94">
        <v>-2</v>
      </c>
      <c r="J689" s="94" t="s">
        <v>210</v>
      </c>
      <c r="K689" s="94" t="s">
        <v>210</v>
      </c>
      <c r="L689" s="94">
        <v>3</v>
      </c>
      <c r="M689" s="94">
        <v>-4</v>
      </c>
      <c r="N689" s="94" t="s">
        <v>210</v>
      </c>
      <c r="O689" s="94" t="s">
        <v>210</v>
      </c>
      <c r="P689" s="94">
        <v>-7</v>
      </c>
      <c r="Q689" s="94">
        <v>5</v>
      </c>
      <c r="R689" s="94" t="s">
        <v>210</v>
      </c>
      <c r="S689" s="94" t="s">
        <v>210</v>
      </c>
      <c r="T689" s="94"/>
      <c r="U689" s="94"/>
      <c r="V689" s="94"/>
      <c r="W689" s="94"/>
      <c r="X689" s="94"/>
      <c r="Y689" s="94"/>
      <c r="Z689" s="94"/>
      <c r="AA689" s="94"/>
      <c r="AB689" s="94"/>
      <c r="AC689" s="94"/>
      <c r="AD689" s="94"/>
      <c r="AE689" s="94"/>
      <c r="AF689" s="94"/>
      <c r="AG689" s="94"/>
      <c r="AH689" s="94"/>
      <c r="AI689" s="94"/>
      <c r="AJ689" s="94"/>
      <c r="AK689" s="94"/>
      <c r="AL689" s="94"/>
      <c r="AM689" s="94"/>
      <c r="AN689" s="94"/>
      <c r="AO689" s="94"/>
      <c r="AP689" s="94"/>
      <c r="AQ689" s="94"/>
      <c r="AR689" s="94"/>
      <c r="AS689" s="94"/>
      <c r="AT689" s="94"/>
      <c r="AU689" s="94"/>
      <c r="AV689" s="94"/>
      <c r="AW689" s="94"/>
      <c r="AX689" s="94"/>
      <c r="AY689" s="94"/>
      <c r="AZ689" s="94"/>
      <c r="BA689" s="95"/>
    </row>
    <row r="690" spans="1:53" s="87" customFormat="1">
      <c r="A690" s="90" t="str">
        <f t="shared" si="35"/>
        <v/>
      </c>
      <c r="B690" s="98">
        <v>28</v>
      </c>
      <c r="C690" s="94" t="s">
        <v>210</v>
      </c>
      <c r="D690" s="94">
        <v>-3</v>
      </c>
      <c r="E690" s="94">
        <v>-8</v>
      </c>
      <c r="F690" s="94" t="s">
        <v>210</v>
      </c>
      <c r="G690" s="94" t="s">
        <v>210</v>
      </c>
      <c r="H690" s="94">
        <v>7</v>
      </c>
      <c r="I690" s="94">
        <v>6</v>
      </c>
      <c r="J690" s="94" t="s">
        <v>210</v>
      </c>
      <c r="K690" s="94" t="s">
        <v>210</v>
      </c>
      <c r="L690" s="94">
        <v>-4</v>
      </c>
      <c r="M690" s="94">
        <v>2</v>
      </c>
      <c r="N690" s="94" t="s">
        <v>210</v>
      </c>
      <c r="O690" s="94" t="s">
        <v>210</v>
      </c>
      <c r="P690" s="94">
        <v>8</v>
      </c>
      <c r="Q690" s="94">
        <v>-5</v>
      </c>
      <c r="R690" s="94" t="s">
        <v>210</v>
      </c>
      <c r="S690" s="94" t="s">
        <v>210</v>
      </c>
      <c r="T690" s="94"/>
      <c r="U690" s="94"/>
      <c r="V690" s="94"/>
      <c r="W690" s="94"/>
      <c r="X690" s="94"/>
      <c r="Y690" s="94"/>
      <c r="Z690" s="94"/>
      <c r="AA690" s="94"/>
      <c r="AB690" s="94"/>
      <c r="AC690" s="94"/>
      <c r="AD690" s="94"/>
      <c r="AE690" s="94"/>
      <c r="AF690" s="94"/>
      <c r="AG690" s="94"/>
      <c r="AH690" s="94"/>
      <c r="AI690" s="94"/>
      <c r="AJ690" s="94"/>
      <c r="AK690" s="94"/>
      <c r="AL690" s="94"/>
      <c r="AM690" s="94"/>
      <c r="AN690" s="94"/>
      <c r="AO690" s="94"/>
      <c r="AP690" s="94"/>
      <c r="AQ690" s="94"/>
      <c r="AR690" s="94"/>
      <c r="AS690" s="94"/>
      <c r="AT690" s="94"/>
      <c r="AU690" s="94"/>
      <c r="AV690" s="94"/>
      <c r="AW690" s="94"/>
      <c r="AX690" s="94"/>
      <c r="AY690" s="94"/>
      <c r="AZ690" s="94"/>
      <c r="BA690" s="95"/>
    </row>
    <row r="691" spans="1:53" s="87" customFormat="1">
      <c r="A691" s="90" t="str">
        <f t="shared" si="35"/>
        <v/>
      </c>
      <c r="B691" s="98">
        <v>29</v>
      </c>
      <c r="C691" s="94" t="s">
        <v>210</v>
      </c>
      <c r="D691" s="94">
        <v>1</v>
      </c>
      <c r="E691" s="94">
        <v>6</v>
      </c>
      <c r="F691" s="94" t="s">
        <v>210</v>
      </c>
      <c r="G691" s="94" t="s">
        <v>210</v>
      </c>
      <c r="H691" s="94">
        <v>-8</v>
      </c>
      <c r="I691" s="94">
        <v>-4</v>
      </c>
      <c r="J691" s="94" t="s">
        <v>210</v>
      </c>
      <c r="K691" s="94" t="s">
        <v>210</v>
      </c>
      <c r="L691" s="94">
        <v>5</v>
      </c>
      <c r="M691" s="94">
        <v>-2</v>
      </c>
      <c r="N691" s="94" t="s">
        <v>210</v>
      </c>
      <c r="O691" s="94" t="s">
        <v>210</v>
      </c>
      <c r="P691" s="94">
        <v>7</v>
      </c>
      <c r="Q691" s="94">
        <v>-6</v>
      </c>
      <c r="R691" s="94" t="s">
        <v>210</v>
      </c>
      <c r="S691" s="94" t="s">
        <v>210</v>
      </c>
      <c r="T691" s="94"/>
      <c r="U691" s="94"/>
      <c r="V691" s="94"/>
      <c r="W691" s="94"/>
      <c r="X691" s="94"/>
      <c r="Y691" s="94"/>
      <c r="Z691" s="94"/>
      <c r="AA691" s="94"/>
      <c r="AB691" s="94"/>
      <c r="AC691" s="94"/>
      <c r="AD691" s="94"/>
      <c r="AE691" s="94"/>
      <c r="AF691" s="94"/>
      <c r="AG691" s="94"/>
      <c r="AH691" s="94"/>
      <c r="AI691" s="94"/>
      <c r="AJ691" s="94"/>
      <c r="AK691" s="94"/>
      <c r="AL691" s="94"/>
      <c r="AM691" s="94"/>
      <c r="AN691" s="94"/>
      <c r="AO691" s="94"/>
      <c r="AP691" s="94"/>
      <c r="AQ691" s="94"/>
      <c r="AR691" s="94"/>
      <c r="AS691" s="94"/>
      <c r="AT691" s="94"/>
      <c r="AU691" s="94"/>
      <c r="AV691" s="94"/>
      <c r="AW691" s="94"/>
      <c r="AX691" s="94"/>
      <c r="AY691" s="94"/>
      <c r="AZ691" s="94"/>
      <c r="BA691" s="95"/>
    </row>
    <row r="692" spans="1:53" s="87" customFormat="1">
      <c r="A692" s="90" t="str">
        <f t="shared" si="35"/>
        <v/>
      </c>
      <c r="B692" s="98">
        <v>30</v>
      </c>
      <c r="C692" s="94" t="s">
        <v>210</v>
      </c>
      <c r="D692" s="94">
        <v>-7</v>
      </c>
      <c r="E692" s="94">
        <v>-2</v>
      </c>
      <c r="F692" s="94" t="s">
        <v>210</v>
      </c>
      <c r="G692" s="94" t="s">
        <v>210</v>
      </c>
      <c r="H692" s="94">
        <v>3</v>
      </c>
      <c r="I692" s="94">
        <v>-5</v>
      </c>
      <c r="J692" s="94" t="s">
        <v>210</v>
      </c>
      <c r="K692" s="94" t="s">
        <v>210</v>
      </c>
      <c r="L692" s="94">
        <v>1</v>
      </c>
      <c r="M692" s="94">
        <v>4</v>
      </c>
      <c r="N692" s="94" t="s">
        <v>210</v>
      </c>
      <c r="O692" s="94" t="s">
        <v>210</v>
      </c>
      <c r="P692" s="94">
        <v>-8</v>
      </c>
      <c r="Q692" s="94">
        <v>6</v>
      </c>
      <c r="R692" s="94" t="s">
        <v>210</v>
      </c>
      <c r="S692" s="94" t="s">
        <v>210</v>
      </c>
      <c r="T692" s="94"/>
      <c r="U692" s="94"/>
      <c r="V692" s="94"/>
      <c r="W692" s="94"/>
      <c r="X692" s="94"/>
      <c r="Y692" s="94"/>
      <c r="Z692" s="94"/>
      <c r="AA692" s="94"/>
      <c r="AB692" s="94"/>
      <c r="AC692" s="94"/>
      <c r="AD692" s="94"/>
      <c r="AE692" s="94"/>
      <c r="AF692" s="94"/>
      <c r="AG692" s="94"/>
      <c r="AH692" s="94"/>
      <c r="AI692" s="94"/>
      <c r="AJ692" s="94"/>
      <c r="AK692" s="94"/>
      <c r="AL692" s="94"/>
      <c r="AM692" s="94"/>
      <c r="AN692" s="94"/>
      <c r="AO692" s="94"/>
      <c r="AP692" s="94"/>
      <c r="AQ692" s="94"/>
      <c r="AR692" s="94"/>
      <c r="AS692" s="94"/>
      <c r="AT692" s="94"/>
      <c r="AU692" s="94"/>
      <c r="AV692" s="94"/>
      <c r="AW692" s="94"/>
      <c r="AX692" s="94"/>
      <c r="AY692" s="94"/>
      <c r="AZ692" s="94"/>
      <c r="BA692" s="95"/>
    </row>
    <row r="693" spans="1:53" s="87" customFormat="1">
      <c r="A693" s="90" t="str">
        <f t="shared" si="35"/>
        <v/>
      </c>
      <c r="B693" s="98">
        <v>31</v>
      </c>
      <c r="C693" s="94" t="s">
        <v>210</v>
      </c>
      <c r="D693" s="94">
        <v>4</v>
      </c>
      <c r="E693" s="94">
        <v>-7</v>
      </c>
      <c r="F693" s="94" t="s">
        <v>210</v>
      </c>
      <c r="G693" s="94" t="s">
        <v>210</v>
      </c>
      <c r="H693" s="94">
        <v>8</v>
      </c>
      <c r="I693" s="94">
        <v>-6</v>
      </c>
      <c r="J693" s="94" t="s">
        <v>210</v>
      </c>
      <c r="K693" s="94" t="s">
        <v>210</v>
      </c>
      <c r="L693" s="94">
        <v>-1</v>
      </c>
      <c r="M693" s="94">
        <v>3</v>
      </c>
      <c r="N693" s="94" t="s">
        <v>210</v>
      </c>
      <c r="O693" s="94" t="s">
        <v>210</v>
      </c>
      <c r="P693" s="94">
        <v>-5</v>
      </c>
      <c r="Q693" s="94">
        <v>7</v>
      </c>
      <c r="R693" s="94" t="s">
        <v>210</v>
      </c>
      <c r="S693" s="94" t="s">
        <v>210</v>
      </c>
      <c r="T693" s="94"/>
      <c r="U693" s="94"/>
      <c r="V693" s="94"/>
      <c r="W693" s="94"/>
      <c r="X693" s="94"/>
      <c r="Y693" s="94"/>
      <c r="Z693" s="94"/>
      <c r="AA693" s="94"/>
      <c r="AB693" s="94"/>
      <c r="AC693" s="94"/>
      <c r="AD693" s="94"/>
      <c r="AE693" s="94"/>
      <c r="AF693" s="94"/>
      <c r="AG693" s="94"/>
      <c r="AH693" s="94"/>
      <c r="AI693" s="94"/>
      <c r="AJ693" s="94"/>
      <c r="AK693" s="94"/>
      <c r="AL693" s="94"/>
      <c r="AM693" s="94"/>
      <c r="AN693" s="94"/>
      <c r="AO693" s="94"/>
      <c r="AP693" s="94"/>
      <c r="AQ693" s="94"/>
      <c r="AR693" s="94"/>
      <c r="AS693" s="94"/>
      <c r="AT693" s="94"/>
      <c r="AU693" s="94"/>
      <c r="AV693" s="94"/>
      <c r="AW693" s="94"/>
      <c r="AX693" s="94"/>
      <c r="AY693" s="94"/>
      <c r="AZ693" s="94"/>
      <c r="BA693" s="95"/>
    </row>
    <row r="694" spans="1:53" s="87" customFormat="1">
      <c r="A694" s="90" t="str">
        <f t="shared" si="35"/>
        <v/>
      </c>
      <c r="B694" s="98">
        <v>32</v>
      </c>
      <c r="C694" s="94" t="s">
        <v>210</v>
      </c>
      <c r="D694" s="94">
        <v>6</v>
      </c>
      <c r="E694" s="94">
        <v>8</v>
      </c>
      <c r="F694" s="94" t="s">
        <v>210</v>
      </c>
      <c r="G694" s="94" t="s">
        <v>210</v>
      </c>
      <c r="H694" s="94">
        <v>-3</v>
      </c>
      <c r="I694" s="94">
        <v>2</v>
      </c>
      <c r="J694" s="94" t="s">
        <v>210</v>
      </c>
      <c r="K694" s="94" t="s">
        <v>210</v>
      </c>
      <c r="L694" s="94">
        <v>-5</v>
      </c>
      <c r="M694" s="94">
        <v>1</v>
      </c>
      <c r="N694" s="94" t="s">
        <v>210</v>
      </c>
      <c r="O694" s="94" t="s">
        <v>210</v>
      </c>
      <c r="P694" s="94">
        <v>-6</v>
      </c>
      <c r="Q694" s="94">
        <v>-7</v>
      </c>
      <c r="R694" s="94" t="s">
        <v>210</v>
      </c>
      <c r="S694" s="94" t="s">
        <v>210</v>
      </c>
      <c r="T694" s="94"/>
      <c r="U694" s="94"/>
      <c r="V694" s="94"/>
      <c r="W694" s="94"/>
      <c r="X694" s="94"/>
      <c r="Y694" s="94"/>
      <c r="Z694" s="94"/>
      <c r="AA694" s="94"/>
      <c r="AB694" s="94"/>
      <c r="AC694" s="94"/>
      <c r="AD694" s="94"/>
      <c r="AE694" s="94"/>
      <c r="AF694" s="94"/>
      <c r="AG694" s="94"/>
      <c r="AH694" s="94"/>
      <c r="AI694" s="94"/>
      <c r="AJ694" s="94"/>
      <c r="AK694" s="94"/>
      <c r="AL694" s="94"/>
      <c r="AM694" s="94"/>
      <c r="AN694" s="94"/>
      <c r="AO694" s="94"/>
      <c r="AP694" s="94"/>
      <c r="AQ694" s="94"/>
      <c r="AR694" s="94"/>
      <c r="AS694" s="94"/>
      <c r="AT694" s="94"/>
      <c r="AU694" s="94"/>
      <c r="AV694" s="94"/>
      <c r="AW694" s="94"/>
      <c r="AX694" s="94"/>
      <c r="AY694" s="94"/>
      <c r="AZ694" s="94"/>
      <c r="BA694" s="95"/>
    </row>
    <row r="695" spans="1:53" s="87" customFormat="1">
      <c r="A695" s="90" t="str">
        <f t="shared" si="35"/>
        <v/>
      </c>
      <c r="B695" s="98">
        <v>33</v>
      </c>
      <c r="C695" s="94" t="s">
        <v>210</v>
      </c>
      <c r="D695" s="94">
        <v>-5</v>
      </c>
      <c r="E695" s="94">
        <v>2</v>
      </c>
      <c r="F695" s="94" t="s">
        <v>210</v>
      </c>
      <c r="G695" s="94" t="s">
        <v>210</v>
      </c>
      <c r="H695" s="94">
        <v>-7</v>
      </c>
      <c r="I695" s="94">
        <v>4</v>
      </c>
      <c r="J695" s="94" t="s">
        <v>210</v>
      </c>
      <c r="K695" s="94" t="s">
        <v>210</v>
      </c>
      <c r="L695" s="94">
        <v>-3</v>
      </c>
      <c r="M695" s="94">
        <v>-1</v>
      </c>
      <c r="N695" s="94" t="s">
        <v>210</v>
      </c>
      <c r="O695" s="94" t="s">
        <v>210</v>
      </c>
      <c r="P695" s="94">
        <v>5</v>
      </c>
      <c r="Q695" s="94">
        <v>8</v>
      </c>
      <c r="R695" s="94" t="s">
        <v>210</v>
      </c>
      <c r="S695" s="94" t="s">
        <v>210</v>
      </c>
      <c r="T695" s="94"/>
      <c r="U695" s="94"/>
      <c r="V695" s="94"/>
      <c r="W695" s="94"/>
      <c r="X695" s="94"/>
      <c r="Y695" s="94"/>
      <c r="Z695" s="94"/>
      <c r="AA695" s="94"/>
      <c r="AB695" s="94"/>
      <c r="AC695" s="94"/>
      <c r="AD695" s="94"/>
      <c r="AE695" s="94"/>
      <c r="AF695" s="94"/>
      <c r="AG695" s="94"/>
      <c r="AH695" s="94"/>
      <c r="AI695" s="94"/>
      <c r="AJ695" s="94"/>
      <c r="AK695" s="94"/>
      <c r="AL695" s="94"/>
      <c r="AM695" s="94"/>
      <c r="AN695" s="94"/>
      <c r="AO695" s="94"/>
      <c r="AP695" s="94"/>
      <c r="AQ695" s="94"/>
      <c r="AR695" s="94"/>
      <c r="AS695" s="94"/>
      <c r="AT695" s="94"/>
      <c r="AU695" s="94"/>
      <c r="AV695" s="94"/>
      <c r="AW695" s="94"/>
      <c r="AX695" s="94"/>
      <c r="AY695" s="94"/>
      <c r="AZ695" s="94"/>
      <c r="BA695" s="95"/>
    </row>
    <row r="696" spans="1:53" s="87" customFormat="1">
      <c r="A696" s="90" t="str">
        <f t="shared" si="35"/>
        <v/>
      </c>
      <c r="B696" s="98">
        <v>34</v>
      </c>
      <c r="C696" s="94" t="s">
        <v>210</v>
      </c>
      <c r="D696" s="94">
        <v>2</v>
      </c>
      <c r="E696" s="94">
        <v>-6</v>
      </c>
      <c r="F696" s="94" t="s">
        <v>210</v>
      </c>
      <c r="G696" s="94" t="s">
        <v>210</v>
      </c>
      <c r="H696" s="94">
        <v>-1</v>
      </c>
      <c r="I696" s="94">
        <v>5</v>
      </c>
      <c r="J696" s="94" t="s">
        <v>210</v>
      </c>
      <c r="K696" s="94" t="s">
        <v>210</v>
      </c>
      <c r="L696" s="94">
        <v>4</v>
      </c>
      <c r="M696" s="94">
        <v>-3</v>
      </c>
      <c r="N696" s="94" t="s">
        <v>210</v>
      </c>
      <c r="O696" s="94" t="s">
        <v>210</v>
      </c>
      <c r="P696" s="94">
        <v>6</v>
      </c>
      <c r="Q696" s="94">
        <v>-8</v>
      </c>
      <c r="R696" s="94" t="s">
        <v>210</v>
      </c>
      <c r="S696" s="94" t="s">
        <v>210</v>
      </c>
      <c r="T696" s="94"/>
      <c r="U696" s="94"/>
      <c r="V696" s="94"/>
      <c r="W696" s="94"/>
      <c r="X696" s="94"/>
      <c r="Y696" s="94"/>
      <c r="Z696" s="94"/>
      <c r="AA696" s="94"/>
      <c r="AB696" s="94"/>
      <c r="AC696" s="94"/>
      <c r="AD696" s="94"/>
      <c r="AE696" s="94"/>
      <c r="AF696" s="94"/>
      <c r="AG696" s="94"/>
      <c r="AH696" s="94"/>
      <c r="AI696" s="94"/>
      <c r="AJ696" s="94"/>
      <c r="AK696" s="94"/>
      <c r="AL696" s="94"/>
      <c r="AM696" s="94"/>
      <c r="AN696" s="94"/>
      <c r="AO696" s="94"/>
      <c r="AP696" s="94"/>
      <c r="AQ696" s="94"/>
      <c r="AR696" s="94"/>
      <c r="AS696" s="94"/>
      <c r="AT696" s="94"/>
      <c r="AU696" s="94"/>
      <c r="AV696" s="94"/>
      <c r="AW696" s="94"/>
      <c r="AX696" s="94"/>
      <c r="AY696" s="94"/>
      <c r="AZ696" s="94"/>
      <c r="BA696" s="95"/>
    </row>
    <row r="697" spans="1:53" s="87" customFormat="1">
      <c r="A697" s="90" t="str">
        <f t="shared" si="35"/>
        <v/>
      </c>
      <c r="B697" s="98" t="s">
        <v>489</v>
      </c>
      <c r="C697" s="94"/>
      <c r="D697" s="94"/>
      <c r="E697" s="94"/>
      <c r="F697" s="94"/>
      <c r="G697" s="94"/>
      <c r="H697" s="94"/>
      <c r="I697" s="94"/>
      <c r="J697" s="94"/>
      <c r="K697" s="94"/>
      <c r="L697" s="94"/>
      <c r="M697" s="94"/>
      <c r="N697" s="94"/>
      <c r="O697" s="94"/>
      <c r="P697" s="94"/>
      <c r="Q697" s="94"/>
      <c r="R697" s="94"/>
      <c r="S697" s="94"/>
      <c r="T697" s="94"/>
      <c r="U697" s="94"/>
      <c r="V697" s="94"/>
      <c r="W697" s="94"/>
      <c r="X697" s="94"/>
      <c r="Y697" s="94"/>
      <c r="Z697" s="94"/>
      <c r="AA697" s="94"/>
      <c r="AB697" s="94"/>
      <c r="AC697" s="94"/>
      <c r="AD697" s="94"/>
      <c r="AE697" s="94"/>
      <c r="AF697" s="94"/>
      <c r="AG697" s="94"/>
      <c r="AH697" s="94"/>
      <c r="AI697" s="94"/>
      <c r="AJ697" s="94"/>
      <c r="AK697" s="94"/>
      <c r="AL697" s="94"/>
      <c r="AM697" s="94"/>
      <c r="AN697" s="94"/>
      <c r="AO697" s="94"/>
      <c r="AP697" s="94"/>
      <c r="AQ697" s="94"/>
      <c r="AR697" s="94"/>
      <c r="AS697" s="94"/>
      <c r="AT697" s="94"/>
      <c r="AU697" s="94"/>
      <c r="AV697" s="94"/>
      <c r="AW697" s="94"/>
      <c r="AX697" s="94"/>
      <c r="AY697" s="94"/>
      <c r="AZ697" s="94"/>
      <c r="BA697" s="95"/>
    </row>
    <row r="698" spans="1:53" s="87" customFormat="1">
      <c r="A698" s="90">
        <f t="shared" si="35"/>
        <v>698</v>
      </c>
      <c r="B698" s="98" t="s">
        <v>490</v>
      </c>
      <c r="C698" s="94"/>
      <c r="D698" s="94"/>
      <c r="E698" s="94"/>
      <c r="F698" s="94"/>
      <c r="G698" s="94"/>
      <c r="H698" s="94"/>
      <c r="I698" s="94"/>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5"/>
    </row>
    <row r="699" spans="1:53" s="87" customFormat="1">
      <c r="A699" s="90" t="str">
        <f t="shared" si="35"/>
        <v/>
      </c>
      <c r="B699" s="98">
        <v>1</v>
      </c>
      <c r="C699" s="94">
        <v>-2</v>
      </c>
      <c r="D699" s="94" t="s">
        <v>210</v>
      </c>
      <c r="E699" s="94" t="s">
        <v>210</v>
      </c>
      <c r="F699" s="94">
        <v>5</v>
      </c>
      <c r="G699" s="94">
        <v>3</v>
      </c>
      <c r="H699" s="94" t="s">
        <v>210</v>
      </c>
      <c r="I699" s="94" t="s">
        <v>210</v>
      </c>
      <c r="J699" s="94">
        <v>-6</v>
      </c>
      <c r="K699" s="94">
        <v>-4</v>
      </c>
      <c r="L699" s="94" t="s">
        <v>210</v>
      </c>
      <c r="M699" s="94"/>
      <c r="N699" s="94"/>
      <c r="O699" s="94"/>
      <c r="P699" s="94"/>
      <c r="Q699" s="94"/>
      <c r="R699" s="94"/>
      <c r="S699" s="94"/>
      <c r="T699" s="94"/>
      <c r="U699" s="94"/>
      <c r="V699" s="94"/>
      <c r="W699" s="94"/>
      <c r="X699" s="94"/>
      <c r="Y699" s="94"/>
      <c r="Z699" s="94"/>
      <c r="AA699" s="94"/>
      <c r="AB699" s="94"/>
      <c r="AC699" s="94"/>
      <c r="AD699" s="94"/>
      <c r="AE699" s="94"/>
      <c r="AF699" s="94"/>
      <c r="AG699" s="94"/>
      <c r="AH699" s="94"/>
      <c r="AI699" s="94"/>
      <c r="AJ699" s="94"/>
      <c r="AK699" s="94"/>
      <c r="AL699" s="94"/>
      <c r="AM699" s="94"/>
      <c r="AN699" s="94"/>
      <c r="AO699" s="94"/>
      <c r="AP699" s="94"/>
      <c r="AQ699" s="94"/>
      <c r="AR699" s="94"/>
      <c r="AS699" s="94"/>
      <c r="AT699" s="94"/>
      <c r="AU699" s="94"/>
      <c r="AV699" s="94"/>
      <c r="AW699" s="94"/>
      <c r="AX699" s="94"/>
      <c r="AY699" s="94"/>
      <c r="AZ699" s="94"/>
      <c r="BA699" s="95"/>
    </row>
    <row r="700" spans="1:53" s="87" customFormat="1">
      <c r="A700" s="90" t="str">
        <f t="shared" si="35"/>
        <v/>
      </c>
      <c r="B700" s="98">
        <v>2</v>
      </c>
      <c r="C700" s="94">
        <v>1</v>
      </c>
      <c r="D700" s="94" t="s">
        <v>210</v>
      </c>
      <c r="E700" s="94" t="s">
        <v>210</v>
      </c>
      <c r="F700" s="94">
        <v>-2</v>
      </c>
      <c r="G700" s="94">
        <v>7</v>
      </c>
      <c r="H700" s="94" t="s">
        <v>210</v>
      </c>
      <c r="I700" s="94" t="s">
        <v>210</v>
      </c>
      <c r="J700" s="94">
        <v>-3</v>
      </c>
      <c r="K700" s="94">
        <v>4</v>
      </c>
      <c r="L700" s="94" t="s">
        <v>210</v>
      </c>
      <c r="M700" s="94"/>
      <c r="N700" s="94"/>
      <c r="O700" s="94"/>
      <c r="P700" s="94"/>
      <c r="Q700" s="94"/>
      <c r="R700" s="94"/>
      <c r="S700" s="94"/>
      <c r="T700" s="94"/>
      <c r="U700" s="94"/>
      <c r="V700" s="94"/>
      <c r="W700" s="94"/>
      <c r="X700" s="94"/>
      <c r="Y700" s="94"/>
      <c r="Z700" s="94"/>
      <c r="AA700" s="94"/>
      <c r="AB700" s="94"/>
      <c r="AC700" s="94"/>
      <c r="AD700" s="94"/>
      <c r="AE700" s="94"/>
      <c r="AF700" s="94"/>
      <c r="AG700" s="94"/>
      <c r="AH700" s="94"/>
      <c r="AI700" s="94"/>
      <c r="AJ700" s="94"/>
      <c r="AK700" s="94"/>
      <c r="AL700" s="94"/>
      <c r="AM700" s="94"/>
      <c r="AN700" s="94"/>
      <c r="AO700" s="94"/>
      <c r="AP700" s="94"/>
      <c r="AQ700" s="94"/>
      <c r="AR700" s="94"/>
      <c r="AS700" s="94"/>
      <c r="AT700" s="94"/>
      <c r="AU700" s="94"/>
      <c r="AV700" s="94"/>
      <c r="AW700" s="94"/>
      <c r="AX700" s="94"/>
      <c r="AY700" s="94"/>
      <c r="AZ700" s="94"/>
      <c r="BA700" s="95"/>
    </row>
    <row r="701" spans="1:53" s="87" customFormat="1">
      <c r="A701" s="90" t="str">
        <f t="shared" si="35"/>
        <v/>
      </c>
      <c r="B701" s="98">
        <v>3</v>
      </c>
      <c r="C701" s="94">
        <v>-8</v>
      </c>
      <c r="D701" s="94" t="s">
        <v>210</v>
      </c>
      <c r="E701" s="94" t="s">
        <v>210</v>
      </c>
      <c r="F701" s="94">
        <v>2</v>
      </c>
      <c r="G701" s="94">
        <v>-3</v>
      </c>
      <c r="H701" s="94" t="s">
        <v>210</v>
      </c>
      <c r="I701" s="94" t="s">
        <v>210</v>
      </c>
      <c r="J701" s="94">
        <v>-4</v>
      </c>
      <c r="K701" s="94">
        <v>5</v>
      </c>
      <c r="L701" s="94" t="s">
        <v>210</v>
      </c>
      <c r="M701" s="94"/>
      <c r="N701" s="94"/>
      <c r="O701" s="94"/>
      <c r="P701" s="94"/>
      <c r="Q701" s="94"/>
      <c r="R701" s="94"/>
      <c r="S701" s="94"/>
      <c r="T701" s="94"/>
      <c r="U701" s="94"/>
      <c r="V701" s="94"/>
      <c r="W701" s="94"/>
      <c r="X701" s="94"/>
      <c r="Y701" s="94"/>
      <c r="Z701" s="94"/>
      <c r="AA701" s="94"/>
      <c r="AB701" s="94"/>
      <c r="AC701" s="94"/>
      <c r="AD701" s="94"/>
      <c r="AE701" s="94"/>
      <c r="AF701" s="94"/>
      <c r="AG701" s="94"/>
      <c r="AH701" s="94"/>
      <c r="AI701" s="94"/>
      <c r="AJ701" s="94"/>
      <c r="AK701" s="94"/>
      <c r="AL701" s="94"/>
      <c r="AM701" s="94"/>
      <c r="AN701" s="94"/>
      <c r="AO701" s="94"/>
      <c r="AP701" s="94"/>
      <c r="AQ701" s="94"/>
      <c r="AR701" s="94"/>
      <c r="AS701" s="94"/>
      <c r="AT701" s="94"/>
      <c r="AU701" s="94"/>
      <c r="AV701" s="94"/>
      <c r="AW701" s="94"/>
      <c r="AX701" s="94"/>
      <c r="AY701" s="94"/>
      <c r="AZ701" s="94"/>
      <c r="BA701" s="95"/>
    </row>
    <row r="702" spans="1:53" s="87" customFormat="1">
      <c r="A702" s="90" t="str">
        <f t="shared" si="35"/>
        <v/>
      </c>
      <c r="B702" s="98">
        <v>4</v>
      </c>
      <c r="C702" s="94">
        <v>2</v>
      </c>
      <c r="D702" s="94" t="s">
        <v>210</v>
      </c>
      <c r="E702" s="94" t="s">
        <v>210</v>
      </c>
      <c r="F702" s="94">
        <v>4</v>
      </c>
      <c r="G702" s="94">
        <v>-8</v>
      </c>
      <c r="H702" s="94" t="s">
        <v>210</v>
      </c>
      <c r="I702" s="94" t="s">
        <v>210</v>
      </c>
      <c r="J702" s="94">
        <v>3</v>
      </c>
      <c r="K702" s="94">
        <v>-5</v>
      </c>
      <c r="L702" s="94" t="s">
        <v>210</v>
      </c>
      <c r="M702" s="94"/>
      <c r="N702" s="94"/>
      <c r="O702" s="94"/>
      <c r="P702" s="94"/>
      <c r="Q702" s="94"/>
      <c r="R702" s="94"/>
      <c r="S702" s="94"/>
      <c r="T702" s="94"/>
      <c r="U702" s="94"/>
      <c r="V702" s="94"/>
      <c r="W702" s="94"/>
      <c r="X702" s="94"/>
      <c r="Y702" s="94"/>
      <c r="Z702" s="94"/>
      <c r="AA702" s="94"/>
      <c r="AB702" s="94"/>
      <c r="AC702" s="94"/>
      <c r="AD702" s="94"/>
      <c r="AE702" s="94"/>
      <c r="AF702" s="94"/>
      <c r="AG702" s="94"/>
      <c r="AH702" s="94"/>
      <c r="AI702" s="94"/>
      <c r="AJ702" s="94"/>
      <c r="AK702" s="94"/>
      <c r="AL702" s="94"/>
      <c r="AM702" s="94"/>
      <c r="AN702" s="94"/>
      <c r="AO702" s="94"/>
      <c r="AP702" s="94"/>
      <c r="AQ702" s="94"/>
      <c r="AR702" s="94"/>
      <c r="AS702" s="94"/>
      <c r="AT702" s="94"/>
      <c r="AU702" s="94"/>
      <c r="AV702" s="94"/>
      <c r="AW702" s="94"/>
      <c r="AX702" s="94"/>
      <c r="AY702" s="94"/>
      <c r="AZ702" s="94"/>
      <c r="BA702" s="95"/>
    </row>
    <row r="703" spans="1:53" s="87" customFormat="1">
      <c r="A703" s="90" t="str">
        <f t="shared" si="35"/>
        <v/>
      </c>
      <c r="B703" s="98">
        <v>5</v>
      </c>
      <c r="C703" s="94">
        <v>8</v>
      </c>
      <c r="D703" s="94" t="s">
        <v>210</v>
      </c>
      <c r="E703" s="94" t="s">
        <v>210</v>
      </c>
      <c r="F703" s="94">
        <v>-4</v>
      </c>
      <c r="G703" s="94">
        <v>-7</v>
      </c>
      <c r="H703" s="94" t="s">
        <v>210</v>
      </c>
      <c r="I703" s="94" t="s">
        <v>210</v>
      </c>
      <c r="J703" s="94">
        <v>6</v>
      </c>
      <c r="K703" s="94">
        <v>3</v>
      </c>
      <c r="L703" s="94" t="s">
        <v>210</v>
      </c>
      <c r="M703" s="94"/>
      <c r="N703" s="94"/>
      <c r="O703" s="94"/>
      <c r="P703" s="94"/>
      <c r="Q703" s="94"/>
      <c r="R703" s="94"/>
      <c r="S703" s="94"/>
      <c r="T703" s="94"/>
      <c r="U703" s="94"/>
      <c r="V703" s="94"/>
      <c r="W703" s="94"/>
      <c r="X703" s="94"/>
      <c r="Y703" s="94"/>
      <c r="Z703" s="94"/>
      <c r="AA703" s="94"/>
      <c r="AB703" s="94"/>
      <c r="AC703" s="94"/>
      <c r="AD703" s="94"/>
      <c r="AE703" s="94"/>
      <c r="AF703" s="94"/>
      <c r="AG703" s="94"/>
      <c r="AH703" s="94"/>
      <c r="AI703" s="94"/>
      <c r="AJ703" s="94"/>
      <c r="AK703" s="94"/>
      <c r="AL703" s="94"/>
      <c r="AM703" s="94"/>
      <c r="AN703" s="94"/>
      <c r="AO703" s="94"/>
      <c r="AP703" s="94"/>
      <c r="AQ703" s="94"/>
      <c r="AR703" s="94"/>
      <c r="AS703" s="94"/>
      <c r="AT703" s="94"/>
      <c r="AU703" s="94"/>
      <c r="AV703" s="94"/>
      <c r="AW703" s="94"/>
      <c r="AX703" s="94"/>
      <c r="AY703" s="94"/>
      <c r="AZ703" s="94"/>
      <c r="BA703" s="95"/>
    </row>
    <row r="704" spans="1:53" s="87" customFormat="1">
      <c r="A704" s="90" t="str">
        <f t="shared" si="35"/>
        <v/>
      </c>
      <c r="B704" s="99">
        <v>6</v>
      </c>
      <c r="C704" s="92">
        <v>-1</v>
      </c>
      <c r="D704" s="92" t="s">
        <v>210</v>
      </c>
      <c r="E704" s="92" t="s">
        <v>210</v>
      </c>
      <c r="F704" s="92">
        <v>-5</v>
      </c>
      <c r="G704" s="92">
        <v>8</v>
      </c>
      <c r="H704" s="92" t="s">
        <v>210</v>
      </c>
      <c r="I704" s="92" t="s">
        <v>210</v>
      </c>
      <c r="J704" s="92">
        <v>4</v>
      </c>
      <c r="K704" s="92">
        <v>-3</v>
      </c>
      <c r="L704" s="92" t="s">
        <v>210</v>
      </c>
      <c r="M704" s="94"/>
      <c r="N704" s="94"/>
      <c r="O704" s="94"/>
      <c r="P704" s="94"/>
      <c r="Q704" s="94"/>
      <c r="R704" s="94"/>
      <c r="S704" s="94"/>
      <c r="T704" s="94"/>
      <c r="U704" s="94"/>
      <c r="V704" s="94"/>
      <c r="W704" s="94"/>
      <c r="X704" s="94"/>
      <c r="Y704" s="94"/>
      <c r="Z704" s="94"/>
      <c r="AA704" s="94"/>
      <c r="AB704" s="94"/>
      <c r="AC704" s="94"/>
      <c r="AD704" s="94"/>
      <c r="AE704" s="94"/>
      <c r="AF704" s="94"/>
      <c r="AG704" s="94"/>
      <c r="AH704" s="94"/>
      <c r="AI704" s="94"/>
      <c r="AJ704" s="94"/>
      <c r="AK704" s="94"/>
      <c r="AL704" s="94"/>
      <c r="AM704" s="94"/>
      <c r="AN704" s="94"/>
      <c r="AO704" s="94"/>
      <c r="AP704" s="94"/>
      <c r="AQ704" s="94"/>
      <c r="AR704" s="94"/>
      <c r="AS704" s="94"/>
      <c r="AT704" s="94"/>
      <c r="AU704" s="94"/>
      <c r="AV704" s="94"/>
      <c r="AW704" s="94"/>
      <c r="AX704" s="94"/>
      <c r="AY704" s="94"/>
      <c r="AZ704" s="94"/>
      <c r="BA704" s="95"/>
    </row>
    <row r="705" spans="1:53" s="87" customFormat="1">
      <c r="A705" s="90" t="str">
        <f t="shared" si="35"/>
        <v/>
      </c>
      <c r="B705" s="98">
        <v>7</v>
      </c>
      <c r="C705" s="94">
        <v>3</v>
      </c>
      <c r="D705" s="94" t="s">
        <v>210</v>
      </c>
      <c r="E705" s="94" t="s">
        <v>210</v>
      </c>
      <c r="F705" s="94">
        <v>-1</v>
      </c>
      <c r="G705" s="94">
        <v>-4</v>
      </c>
      <c r="H705" s="94" t="s">
        <v>210</v>
      </c>
      <c r="I705" s="94" t="s">
        <v>210</v>
      </c>
      <c r="J705" s="94">
        <v>5</v>
      </c>
      <c r="K705" s="94">
        <v>6</v>
      </c>
      <c r="L705" s="94" t="s">
        <v>210</v>
      </c>
      <c r="M705" s="94"/>
      <c r="N705" s="94"/>
      <c r="O705" s="94"/>
      <c r="P705" s="94"/>
      <c r="Q705" s="94"/>
      <c r="R705" s="94"/>
      <c r="S705" s="94"/>
      <c r="T705" s="94"/>
      <c r="U705" s="94"/>
      <c r="V705" s="94"/>
      <c r="W705" s="94"/>
      <c r="X705" s="94"/>
      <c r="Y705" s="94"/>
      <c r="Z705" s="94"/>
      <c r="AA705" s="94"/>
      <c r="AB705" s="94"/>
      <c r="AC705" s="94"/>
      <c r="AD705" s="94"/>
      <c r="AE705" s="94"/>
      <c r="AF705" s="94"/>
      <c r="AG705" s="94"/>
      <c r="AH705" s="94"/>
      <c r="AI705" s="94"/>
      <c r="AJ705" s="94"/>
      <c r="AK705" s="94"/>
      <c r="AL705" s="94"/>
      <c r="AM705" s="94"/>
      <c r="AN705" s="94"/>
      <c r="AO705" s="94"/>
      <c r="AP705" s="94"/>
      <c r="AQ705" s="94"/>
      <c r="AR705" s="94"/>
      <c r="AS705" s="94"/>
      <c r="AT705" s="94"/>
      <c r="AU705" s="94"/>
      <c r="AV705" s="94"/>
      <c r="AW705" s="94"/>
      <c r="AX705" s="94"/>
      <c r="AY705" s="94"/>
      <c r="AZ705" s="94"/>
      <c r="BA705" s="95"/>
    </row>
    <row r="706" spans="1:53" s="87" customFormat="1">
      <c r="A706" s="90" t="str">
        <f t="shared" si="35"/>
        <v/>
      </c>
      <c r="B706" s="98">
        <v>8</v>
      </c>
      <c r="C706" s="94">
        <v>-7</v>
      </c>
      <c r="D706" s="94" t="s">
        <v>210</v>
      </c>
      <c r="E706" s="94" t="s">
        <v>210</v>
      </c>
      <c r="F706" s="94">
        <v>-3</v>
      </c>
      <c r="G706" s="94">
        <v>5</v>
      </c>
      <c r="H706" s="94" t="s">
        <v>210</v>
      </c>
      <c r="I706" s="94" t="s">
        <v>210</v>
      </c>
      <c r="J706" s="94">
        <v>8</v>
      </c>
      <c r="K706" s="94">
        <v>-6</v>
      </c>
      <c r="L706" s="94" t="s">
        <v>210</v>
      </c>
      <c r="M706" s="94"/>
      <c r="N706" s="94"/>
      <c r="O706" s="94"/>
      <c r="P706" s="94"/>
      <c r="Q706" s="94"/>
      <c r="R706" s="94"/>
      <c r="S706" s="94"/>
      <c r="T706" s="94"/>
      <c r="U706" s="94"/>
      <c r="V706" s="94"/>
      <c r="W706" s="94"/>
      <c r="X706" s="94"/>
      <c r="Y706" s="94"/>
      <c r="Z706" s="94"/>
      <c r="AA706" s="94"/>
      <c r="AB706" s="94"/>
      <c r="AC706" s="94"/>
      <c r="AD706" s="94"/>
      <c r="AE706" s="94"/>
      <c r="AF706" s="94"/>
      <c r="AG706" s="94"/>
      <c r="AH706" s="94"/>
      <c r="AI706" s="94"/>
      <c r="AJ706" s="94"/>
      <c r="AK706" s="94"/>
      <c r="AL706" s="94"/>
      <c r="AM706" s="94"/>
      <c r="AN706" s="94"/>
      <c r="AO706" s="94"/>
      <c r="AP706" s="94"/>
      <c r="AQ706" s="94"/>
      <c r="AR706" s="94"/>
      <c r="AS706" s="94"/>
      <c r="AT706" s="94"/>
      <c r="AU706" s="94"/>
      <c r="AV706" s="94"/>
      <c r="AW706" s="94"/>
      <c r="AX706" s="94"/>
      <c r="AY706" s="94"/>
      <c r="AZ706" s="94"/>
      <c r="BA706" s="95"/>
    </row>
    <row r="707" spans="1:53" s="87" customFormat="1">
      <c r="A707" s="90" t="str">
        <f t="shared" si="35"/>
        <v/>
      </c>
      <c r="B707" s="98">
        <v>9</v>
      </c>
      <c r="C707" s="94">
        <v>7</v>
      </c>
      <c r="D707" s="94" t="s">
        <v>210</v>
      </c>
      <c r="E707" s="94" t="s">
        <v>210</v>
      </c>
      <c r="F707" s="94">
        <v>-8</v>
      </c>
      <c r="G707" s="94">
        <v>6</v>
      </c>
      <c r="H707" s="94" t="s">
        <v>210</v>
      </c>
      <c r="I707" s="94" t="s">
        <v>210</v>
      </c>
      <c r="J707" s="94">
        <v>-5</v>
      </c>
      <c r="K707" s="94">
        <v>-2</v>
      </c>
      <c r="L707" s="94" t="s">
        <v>210</v>
      </c>
      <c r="M707" s="94"/>
      <c r="N707" s="94"/>
      <c r="O707" s="94"/>
      <c r="P707" s="94"/>
      <c r="Q707" s="94"/>
      <c r="R707" s="94"/>
      <c r="S707" s="94"/>
      <c r="T707" s="94"/>
      <c r="U707" s="94"/>
      <c r="V707" s="94"/>
      <c r="W707" s="94"/>
      <c r="X707" s="94"/>
      <c r="Y707" s="94"/>
      <c r="Z707" s="94"/>
      <c r="AA707" s="94"/>
      <c r="AB707" s="94"/>
      <c r="AC707" s="94"/>
      <c r="AD707" s="94"/>
      <c r="AE707" s="94"/>
      <c r="AF707" s="94"/>
      <c r="AG707" s="94"/>
      <c r="AH707" s="94"/>
      <c r="AI707" s="94"/>
      <c r="AJ707" s="94"/>
      <c r="AK707" s="94"/>
      <c r="AL707" s="94"/>
      <c r="AM707" s="94"/>
      <c r="AN707" s="94"/>
      <c r="AO707" s="94"/>
      <c r="AP707" s="94"/>
      <c r="AQ707" s="94"/>
      <c r="AR707" s="94"/>
      <c r="AS707" s="94"/>
      <c r="AT707" s="94"/>
      <c r="AU707" s="94"/>
      <c r="AV707" s="94"/>
      <c r="AW707" s="94"/>
      <c r="AX707" s="94"/>
      <c r="AY707" s="94"/>
      <c r="AZ707" s="94"/>
      <c r="BA707" s="95"/>
    </row>
    <row r="708" spans="1:53" s="87" customFormat="1">
      <c r="A708" s="90" t="str">
        <f t="shared" si="35"/>
        <v/>
      </c>
      <c r="B708" s="98">
        <v>10</v>
      </c>
      <c r="C708" s="94">
        <v>-5</v>
      </c>
      <c r="D708" s="94" t="s">
        <v>210</v>
      </c>
      <c r="E708" s="94" t="s">
        <v>210</v>
      </c>
      <c r="F708" s="94">
        <v>3</v>
      </c>
      <c r="G708" s="94">
        <v>4</v>
      </c>
      <c r="H708" s="94" t="s">
        <v>210</v>
      </c>
      <c r="I708" s="94" t="s">
        <v>210</v>
      </c>
      <c r="J708" s="94">
        <v>-1</v>
      </c>
      <c r="K708" s="94">
        <v>2</v>
      </c>
      <c r="L708" s="94" t="s">
        <v>210</v>
      </c>
      <c r="M708" s="94"/>
      <c r="N708" s="94"/>
      <c r="O708" s="94"/>
      <c r="P708" s="94"/>
      <c r="Q708" s="94"/>
      <c r="R708" s="94"/>
      <c r="S708" s="94"/>
      <c r="T708" s="94"/>
      <c r="U708" s="94"/>
      <c r="V708" s="94"/>
      <c r="W708" s="94"/>
      <c r="X708" s="94"/>
      <c r="Y708" s="94"/>
      <c r="Z708" s="94"/>
      <c r="AA708" s="94"/>
      <c r="AB708" s="94"/>
      <c r="AC708" s="94"/>
      <c r="AD708" s="94"/>
      <c r="AE708" s="94"/>
      <c r="AF708" s="94"/>
      <c r="AG708" s="94"/>
      <c r="AH708" s="94"/>
      <c r="AI708" s="94"/>
      <c r="AJ708" s="94"/>
      <c r="AK708" s="94"/>
      <c r="AL708" s="94"/>
      <c r="AM708" s="94"/>
      <c r="AN708" s="94"/>
      <c r="AO708" s="94"/>
      <c r="AP708" s="94"/>
      <c r="AQ708" s="94"/>
      <c r="AR708" s="94"/>
      <c r="AS708" s="94"/>
      <c r="AT708" s="94"/>
      <c r="AU708" s="94"/>
      <c r="AV708" s="94"/>
      <c r="AW708" s="94"/>
      <c r="AX708" s="94"/>
      <c r="AY708" s="94"/>
      <c r="AZ708" s="94"/>
      <c r="BA708" s="95"/>
    </row>
    <row r="709" spans="1:53" s="87" customFormat="1">
      <c r="A709" s="90" t="str">
        <f t="shared" si="35"/>
        <v/>
      </c>
      <c r="B709" s="98">
        <v>11</v>
      </c>
      <c r="C709" s="94">
        <v>5</v>
      </c>
      <c r="D709" s="94" t="s">
        <v>210</v>
      </c>
      <c r="E709" s="94" t="s">
        <v>210</v>
      </c>
      <c r="F709" s="94">
        <v>1</v>
      </c>
      <c r="G709" s="94">
        <v>-6</v>
      </c>
      <c r="H709" s="94" t="s">
        <v>210</v>
      </c>
      <c r="I709" s="94" t="s">
        <v>210</v>
      </c>
      <c r="J709" s="94">
        <v>-8</v>
      </c>
      <c r="K709" s="94">
        <v>7</v>
      </c>
      <c r="L709" s="94" t="s">
        <v>210</v>
      </c>
      <c r="M709" s="94"/>
      <c r="N709" s="94"/>
      <c r="O709" s="94"/>
      <c r="P709" s="94"/>
      <c r="Q709" s="94"/>
      <c r="R709" s="94"/>
      <c r="S709" s="94"/>
      <c r="T709" s="94"/>
      <c r="U709" s="94"/>
      <c r="V709" s="94"/>
      <c r="W709" s="94"/>
      <c r="X709" s="94"/>
      <c r="Y709" s="94"/>
      <c r="Z709" s="94"/>
      <c r="AA709" s="94"/>
      <c r="AB709" s="94"/>
      <c r="AC709" s="94"/>
      <c r="AD709" s="94"/>
      <c r="AE709" s="94"/>
      <c r="AF709" s="94"/>
      <c r="AG709" s="94"/>
      <c r="AH709" s="94"/>
      <c r="AI709" s="94"/>
      <c r="AJ709" s="94"/>
      <c r="AK709" s="94"/>
      <c r="AL709" s="94"/>
      <c r="AM709" s="94"/>
      <c r="AN709" s="94"/>
      <c r="AO709" s="94"/>
      <c r="AP709" s="94"/>
      <c r="AQ709" s="94"/>
      <c r="AR709" s="94"/>
      <c r="AS709" s="94"/>
      <c r="AT709" s="94"/>
      <c r="AU709" s="94"/>
      <c r="AV709" s="94"/>
      <c r="AW709" s="94"/>
      <c r="AX709" s="94"/>
      <c r="AY709" s="94"/>
      <c r="AZ709" s="94"/>
      <c r="BA709" s="95"/>
    </row>
    <row r="710" spans="1:53" s="87" customFormat="1">
      <c r="A710" s="90" t="str">
        <f t="shared" si="35"/>
        <v/>
      </c>
      <c r="B710" s="99">
        <v>12</v>
      </c>
      <c r="C710" s="92">
        <v>-3</v>
      </c>
      <c r="D710" s="92" t="s">
        <v>210</v>
      </c>
      <c r="E710" s="92" t="s">
        <v>210</v>
      </c>
      <c r="F710" s="92">
        <v>8</v>
      </c>
      <c r="G710" s="92">
        <v>-5</v>
      </c>
      <c r="H710" s="92" t="s">
        <v>210</v>
      </c>
      <c r="I710" s="92" t="s">
        <v>210</v>
      </c>
      <c r="J710" s="92">
        <v>1</v>
      </c>
      <c r="K710" s="92">
        <v>-7</v>
      </c>
      <c r="L710" s="92" t="s">
        <v>210</v>
      </c>
      <c r="M710" s="94"/>
      <c r="N710" s="94"/>
      <c r="O710" s="94"/>
      <c r="P710" s="94"/>
      <c r="Q710" s="94"/>
      <c r="R710" s="94"/>
      <c r="S710" s="94"/>
      <c r="T710" s="94"/>
      <c r="U710" s="94"/>
      <c r="V710" s="94"/>
      <c r="W710" s="94"/>
      <c r="X710" s="94"/>
      <c r="Y710" s="94"/>
      <c r="Z710" s="94"/>
      <c r="AA710" s="94"/>
      <c r="AB710" s="94"/>
      <c r="AC710" s="94"/>
      <c r="AD710" s="94"/>
      <c r="AE710" s="94"/>
      <c r="AF710" s="94"/>
      <c r="AG710" s="94"/>
      <c r="AH710" s="94"/>
      <c r="AI710" s="94"/>
      <c r="AJ710" s="94"/>
      <c r="AK710" s="94"/>
      <c r="AL710" s="94"/>
      <c r="AM710" s="94"/>
      <c r="AN710" s="94"/>
      <c r="AO710" s="94"/>
      <c r="AP710" s="94"/>
      <c r="AQ710" s="94"/>
      <c r="AR710" s="94"/>
      <c r="AS710" s="94"/>
      <c r="AT710" s="94"/>
      <c r="AU710" s="94"/>
      <c r="AV710" s="94"/>
      <c r="AW710" s="94"/>
      <c r="AX710" s="94"/>
      <c r="AY710" s="94"/>
      <c r="AZ710" s="94"/>
      <c r="BA710" s="95"/>
    </row>
    <row r="711" spans="1:53" s="87" customFormat="1">
      <c r="A711" s="90" t="str">
        <f t="shared" si="35"/>
        <v/>
      </c>
      <c r="B711" s="98">
        <v>13</v>
      </c>
      <c r="C711" s="94" t="s">
        <v>210</v>
      </c>
      <c r="D711" s="94">
        <v>-2</v>
      </c>
      <c r="E711" s="94">
        <v>5</v>
      </c>
      <c r="F711" s="94" t="s">
        <v>210</v>
      </c>
      <c r="G711" s="94" t="s">
        <v>210</v>
      </c>
      <c r="H711" s="94">
        <v>3</v>
      </c>
      <c r="I711" s="94">
        <v>-6</v>
      </c>
      <c r="J711" s="94" t="s">
        <v>210</v>
      </c>
      <c r="K711" s="94" t="s">
        <v>210</v>
      </c>
      <c r="L711" s="94">
        <v>-4</v>
      </c>
      <c r="M711" s="94"/>
      <c r="N711" s="94"/>
      <c r="O711" s="94"/>
      <c r="P711" s="94"/>
      <c r="Q711" s="94"/>
      <c r="R711" s="94"/>
      <c r="S711" s="94"/>
      <c r="T711" s="94"/>
      <c r="U711" s="94"/>
      <c r="V711" s="94"/>
      <c r="W711" s="94"/>
      <c r="X711" s="94"/>
      <c r="Y711" s="94"/>
      <c r="Z711" s="94"/>
      <c r="AA711" s="94"/>
      <c r="AB711" s="94"/>
      <c r="AC711" s="94"/>
      <c r="AD711" s="94"/>
      <c r="AE711" s="94"/>
      <c r="AF711" s="94"/>
      <c r="AG711" s="94"/>
      <c r="AH711" s="94"/>
      <c r="AI711" s="94"/>
      <c r="AJ711" s="94"/>
      <c r="AK711" s="94"/>
      <c r="AL711" s="94"/>
      <c r="AM711" s="94"/>
      <c r="AN711" s="94"/>
      <c r="AO711" s="94"/>
      <c r="AP711" s="94"/>
      <c r="AQ711" s="94"/>
      <c r="AR711" s="94"/>
      <c r="AS711" s="94"/>
      <c r="AT711" s="94"/>
      <c r="AU711" s="94"/>
      <c r="AV711" s="94"/>
      <c r="AW711" s="94"/>
      <c r="AX711" s="94"/>
      <c r="AY711" s="94"/>
      <c r="AZ711" s="94"/>
      <c r="BA711" s="95"/>
    </row>
    <row r="712" spans="1:53" s="87" customFormat="1">
      <c r="A712" s="90" t="str">
        <f t="shared" si="35"/>
        <v/>
      </c>
      <c r="B712" s="98">
        <v>14</v>
      </c>
      <c r="C712" s="94" t="s">
        <v>210</v>
      </c>
      <c r="D712" s="94">
        <v>1</v>
      </c>
      <c r="E712" s="94">
        <v>-2</v>
      </c>
      <c r="F712" s="94" t="s">
        <v>210</v>
      </c>
      <c r="G712" s="94" t="s">
        <v>210</v>
      </c>
      <c r="H712" s="94">
        <v>7</v>
      </c>
      <c r="I712" s="94">
        <v>-3</v>
      </c>
      <c r="J712" s="94" t="s">
        <v>210</v>
      </c>
      <c r="K712" s="94" t="s">
        <v>210</v>
      </c>
      <c r="L712" s="94">
        <v>4</v>
      </c>
      <c r="M712" s="94"/>
      <c r="N712" s="94"/>
      <c r="O712" s="94"/>
      <c r="P712" s="94"/>
      <c r="Q712" s="94"/>
      <c r="R712" s="94"/>
      <c r="S712" s="94"/>
      <c r="T712" s="94"/>
      <c r="U712" s="94"/>
      <c r="V712" s="94"/>
      <c r="W712" s="94"/>
      <c r="X712" s="94"/>
      <c r="Y712" s="94"/>
      <c r="Z712" s="94"/>
      <c r="AA712" s="94"/>
      <c r="AB712" s="94"/>
      <c r="AC712" s="94"/>
      <c r="AD712" s="94"/>
      <c r="AE712" s="94"/>
      <c r="AF712" s="94"/>
      <c r="AG712" s="94"/>
      <c r="AH712" s="94"/>
      <c r="AI712" s="94"/>
      <c r="AJ712" s="94"/>
      <c r="AK712" s="94"/>
      <c r="AL712" s="94"/>
      <c r="AM712" s="94"/>
      <c r="AN712" s="94"/>
      <c r="AO712" s="94"/>
      <c r="AP712" s="94"/>
      <c r="AQ712" s="94"/>
      <c r="AR712" s="94"/>
      <c r="AS712" s="94"/>
      <c r="AT712" s="94"/>
      <c r="AU712" s="94"/>
      <c r="AV712" s="94"/>
      <c r="AW712" s="94"/>
      <c r="AX712" s="94"/>
      <c r="AY712" s="94"/>
      <c r="AZ712" s="94"/>
      <c r="BA712" s="95"/>
    </row>
    <row r="713" spans="1:53" s="87" customFormat="1">
      <c r="A713" s="90" t="str">
        <f t="shared" si="35"/>
        <v/>
      </c>
      <c r="B713" s="98">
        <v>15</v>
      </c>
      <c r="C713" s="94" t="s">
        <v>210</v>
      </c>
      <c r="D713" s="94">
        <v>-8</v>
      </c>
      <c r="E713" s="94">
        <v>2</v>
      </c>
      <c r="F713" s="94" t="s">
        <v>210</v>
      </c>
      <c r="G713" s="94" t="s">
        <v>210</v>
      </c>
      <c r="H713" s="94">
        <v>-3</v>
      </c>
      <c r="I713" s="94">
        <v>-4</v>
      </c>
      <c r="J713" s="94" t="s">
        <v>210</v>
      </c>
      <c r="K713" s="94" t="s">
        <v>210</v>
      </c>
      <c r="L713" s="94">
        <v>5</v>
      </c>
      <c r="M713" s="94"/>
      <c r="N713" s="94"/>
      <c r="O713" s="94"/>
      <c r="P713" s="94"/>
      <c r="Q713" s="94"/>
      <c r="R713" s="94"/>
      <c r="S713" s="94"/>
      <c r="T713" s="94"/>
      <c r="U713" s="94"/>
      <c r="V713" s="94"/>
      <c r="W713" s="94"/>
      <c r="X713" s="94"/>
      <c r="Y713" s="94"/>
      <c r="Z713" s="94"/>
      <c r="AA713" s="94"/>
      <c r="AB713" s="94"/>
      <c r="AC713" s="94"/>
      <c r="AD713" s="94"/>
      <c r="AE713" s="94"/>
      <c r="AF713" s="94"/>
      <c r="AG713" s="94"/>
      <c r="AH713" s="94"/>
      <c r="AI713" s="94"/>
      <c r="AJ713" s="94"/>
      <c r="AK713" s="94"/>
      <c r="AL713" s="94"/>
      <c r="AM713" s="94"/>
      <c r="AN713" s="94"/>
      <c r="AO713" s="94"/>
      <c r="AP713" s="94"/>
      <c r="AQ713" s="94"/>
      <c r="AR713" s="94"/>
      <c r="AS713" s="94"/>
      <c r="AT713" s="94"/>
      <c r="AU713" s="94"/>
      <c r="AV713" s="94"/>
      <c r="AW713" s="94"/>
      <c r="AX713" s="94"/>
      <c r="AY713" s="94"/>
      <c r="AZ713" s="94"/>
      <c r="BA713" s="95"/>
    </row>
    <row r="714" spans="1:53" s="87" customFormat="1">
      <c r="A714" s="90" t="str">
        <f t="shared" si="35"/>
        <v/>
      </c>
      <c r="B714" s="98">
        <v>16</v>
      </c>
      <c r="C714" s="94" t="s">
        <v>210</v>
      </c>
      <c r="D714" s="94">
        <v>2</v>
      </c>
      <c r="E714" s="94">
        <v>4</v>
      </c>
      <c r="F714" s="94" t="s">
        <v>210</v>
      </c>
      <c r="G714" s="94" t="s">
        <v>210</v>
      </c>
      <c r="H714" s="94">
        <v>-8</v>
      </c>
      <c r="I714" s="94">
        <v>3</v>
      </c>
      <c r="J714" s="94" t="s">
        <v>210</v>
      </c>
      <c r="K714" s="94" t="s">
        <v>210</v>
      </c>
      <c r="L714" s="94">
        <v>-5</v>
      </c>
      <c r="M714" s="94"/>
      <c r="N714" s="94"/>
      <c r="O714" s="94"/>
      <c r="P714" s="94"/>
      <c r="Q714" s="94"/>
      <c r="R714" s="94"/>
      <c r="S714" s="94"/>
      <c r="T714" s="94"/>
      <c r="U714" s="94"/>
      <c r="V714" s="94"/>
      <c r="W714" s="94"/>
      <c r="X714" s="94"/>
      <c r="Y714" s="94"/>
      <c r="Z714" s="94"/>
      <c r="AA714" s="94"/>
      <c r="AB714" s="94"/>
      <c r="AC714" s="94"/>
      <c r="AD714" s="94"/>
      <c r="AE714" s="94"/>
      <c r="AF714" s="94"/>
      <c r="AG714" s="94"/>
      <c r="AH714" s="94"/>
      <c r="AI714" s="94"/>
      <c r="AJ714" s="94"/>
      <c r="AK714" s="94"/>
      <c r="AL714" s="94"/>
      <c r="AM714" s="94"/>
      <c r="AN714" s="94"/>
      <c r="AO714" s="94"/>
      <c r="AP714" s="94"/>
      <c r="AQ714" s="94"/>
      <c r="AR714" s="94"/>
      <c r="AS714" s="94"/>
      <c r="AT714" s="94"/>
      <c r="AU714" s="94"/>
      <c r="AV714" s="94"/>
      <c r="AW714" s="94"/>
      <c r="AX714" s="94"/>
      <c r="AY714" s="94"/>
      <c r="AZ714" s="94"/>
      <c r="BA714" s="95"/>
    </row>
    <row r="715" spans="1:53" s="87" customFormat="1">
      <c r="A715" s="90" t="str">
        <f t="shared" si="35"/>
        <v/>
      </c>
      <c r="B715" s="98">
        <v>17</v>
      </c>
      <c r="C715" s="94" t="s">
        <v>210</v>
      </c>
      <c r="D715" s="94">
        <v>8</v>
      </c>
      <c r="E715" s="94">
        <v>-4</v>
      </c>
      <c r="F715" s="94" t="s">
        <v>210</v>
      </c>
      <c r="G715" s="94" t="s">
        <v>210</v>
      </c>
      <c r="H715" s="94">
        <v>-7</v>
      </c>
      <c r="I715" s="94">
        <v>6</v>
      </c>
      <c r="J715" s="94" t="s">
        <v>210</v>
      </c>
      <c r="K715" s="94" t="s">
        <v>210</v>
      </c>
      <c r="L715" s="94">
        <v>3</v>
      </c>
      <c r="M715" s="94"/>
      <c r="N715" s="94"/>
      <c r="O715" s="94"/>
      <c r="P715" s="94"/>
      <c r="Q715" s="94"/>
      <c r="R715" s="94"/>
      <c r="S715" s="94"/>
      <c r="T715" s="94"/>
      <c r="U715" s="94"/>
      <c r="V715" s="94"/>
      <c r="W715" s="94"/>
      <c r="X715" s="94"/>
      <c r="Y715" s="94"/>
      <c r="Z715" s="94"/>
      <c r="AA715" s="94"/>
      <c r="AB715" s="94"/>
      <c r="AC715" s="94"/>
      <c r="AD715" s="94"/>
      <c r="AE715" s="94"/>
      <c r="AF715" s="94"/>
      <c r="AG715" s="94"/>
      <c r="AH715" s="94"/>
      <c r="AI715" s="94"/>
      <c r="AJ715" s="94"/>
      <c r="AK715" s="94"/>
      <c r="AL715" s="94"/>
      <c r="AM715" s="94"/>
      <c r="AN715" s="94"/>
      <c r="AO715" s="94"/>
      <c r="AP715" s="94"/>
      <c r="AQ715" s="94"/>
      <c r="AR715" s="94"/>
      <c r="AS715" s="94"/>
      <c r="AT715" s="94"/>
      <c r="AU715" s="94"/>
      <c r="AV715" s="94"/>
      <c r="AW715" s="94"/>
      <c r="AX715" s="94"/>
      <c r="AY715" s="94"/>
      <c r="AZ715" s="94"/>
      <c r="BA715" s="95"/>
    </row>
    <row r="716" spans="1:53" s="87" customFormat="1">
      <c r="A716" s="90" t="str">
        <f t="shared" ref="A716:A779" si="36">IF(MID(B716,3,2)="08",ROW(),"")</f>
        <v/>
      </c>
      <c r="B716" s="99">
        <v>18</v>
      </c>
      <c r="C716" s="92" t="s">
        <v>210</v>
      </c>
      <c r="D716" s="92">
        <v>-1</v>
      </c>
      <c r="E716" s="92">
        <v>-5</v>
      </c>
      <c r="F716" s="92" t="s">
        <v>210</v>
      </c>
      <c r="G716" s="92" t="s">
        <v>210</v>
      </c>
      <c r="H716" s="92">
        <v>8</v>
      </c>
      <c r="I716" s="92">
        <v>4</v>
      </c>
      <c r="J716" s="92" t="s">
        <v>210</v>
      </c>
      <c r="K716" s="92" t="s">
        <v>210</v>
      </c>
      <c r="L716" s="92">
        <v>-3</v>
      </c>
      <c r="M716" s="94"/>
      <c r="N716" s="94"/>
      <c r="O716" s="94"/>
      <c r="P716" s="94"/>
      <c r="Q716" s="94"/>
      <c r="R716" s="94"/>
      <c r="S716" s="94"/>
      <c r="T716" s="94"/>
      <c r="U716" s="94"/>
      <c r="V716" s="94"/>
      <c r="W716" s="94"/>
      <c r="X716" s="94"/>
      <c r="Y716" s="94"/>
      <c r="Z716" s="94"/>
      <c r="AA716" s="94"/>
      <c r="AB716" s="94"/>
      <c r="AC716" s="94"/>
      <c r="AD716" s="94"/>
      <c r="AE716" s="94"/>
      <c r="AF716" s="94"/>
      <c r="AG716" s="94"/>
      <c r="AH716" s="94"/>
      <c r="AI716" s="94"/>
      <c r="AJ716" s="94"/>
      <c r="AK716" s="94"/>
      <c r="AL716" s="94"/>
      <c r="AM716" s="94"/>
      <c r="AN716" s="94"/>
      <c r="AO716" s="94"/>
      <c r="AP716" s="94"/>
      <c r="AQ716" s="94"/>
      <c r="AR716" s="94"/>
      <c r="AS716" s="94"/>
      <c r="AT716" s="94"/>
      <c r="AU716" s="94"/>
      <c r="AV716" s="94"/>
      <c r="AW716" s="94"/>
      <c r="AX716" s="94"/>
      <c r="AY716" s="94"/>
      <c r="AZ716" s="94"/>
      <c r="BA716" s="95"/>
    </row>
    <row r="717" spans="1:53" s="87" customFormat="1">
      <c r="A717" s="90" t="str">
        <f t="shared" si="36"/>
        <v/>
      </c>
      <c r="B717" s="98">
        <v>19</v>
      </c>
      <c r="C717" s="94" t="s">
        <v>210</v>
      </c>
      <c r="D717" s="94">
        <v>3</v>
      </c>
      <c r="E717" s="94">
        <v>-1</v>
      </c>
      <c r="F717" s="94" t="s">
        <v>210</v>
      </c>
      <c r="G717" s="94" t="s">
        <v>210</v>
      </c>
      <c r="H717" s="94">
        <v>-4</v>
      </c>
      <c r="I717" s="94">
        <v>5</v>
      </c>
      <c r="J717" s="94" t="s">
        <v>210</v>
      </c>
      <c r="K717" s="94" t="s">
        <v>210</v>
      </c>
      <c r="L717" s="94">
        <v>6</v>
      </c>
      <c r="M717" s="94"/>
      <c r="N717" s="94"/>
      <c r="O717" s="94"/>
      <c r="P717" s="94"/>
      <c r="Q717" s="94"/>
      <c r="R717" s="94"/>
      <c r="S717" s="94"/>
      <c r="T717" s="94"/>
      <c r="U717" s="94"/>
      <c r="V717" s="94"/>
      <c r="W717" s="94"/>
      <c r="X717" s="94"/>
      <c r="Y717" s="94"/>
      <c r="Z717" s="94"/>
      <c r="AA717" s="94"/>
      <c r="AB717" s="94"/>
      <c r="AC717" s="94"/>
      <c r="AD717" s="94"/>
      <c r="AE717" s="94"/>
      <c r="AF717" s="94"/>
      <c r="AG717" s="94"/>
      <c r="AH717" s="94"/>
      <c r="AI717" s="94"/>
      <c r="AJ717" s="94"/>
      <c r="AK717" s="94"/>
      <c r="AL717" s="94"/>
      <c r="AM717" s="94"/>
      <c r="AN717" s="94"/>
      <c r="AO717" s="94"/>
      <c r="AP717" s="94"/>
      <c r="AQ717" s="94"/>
      <c r="AR717" s="94"/>
      <c r="AS717" s="94"/>
      <c r="AT717" s="94"/>
      <c r="AU717" s="94"/>
      <c r="AV717" s="94"/>
      <c r="AW717" s="94"/>
      <c r="AX717" s="94"/>
      <c r="AY717" s="94"/>
      <c r="AZ717" s="94"/>
      <c r="BA717" s="95"/>
    </row>
    <row r="718" spans="1:53" s="87" customFormat="1">
      <c r="A718" s="90" t="str">
        <f t="shared" si="36"/>
        <v/>
      </c>
      <c r="B718" s="98">
        <v>20</v>
      </c>
      <c r="C718" s="94" t="s">
        <v>210</v>
      </c>
      <c r="D718" s="94">
        <v>-7</v>
      </c>
      <c r="E718" s="94">
        <v>-3</v>
      </c>
      <c r="F718" s="94" t="s">
        <v>210</v>
      </c>
      <c r="G718" s="94" t="s">
        <v>210</v>
      </c>
      <c r="H718" s="94">
        <v>5</v>
      </c>
      <c r="I718" s="94">
        <v>8</v>
      </c>
      <c r="J718" s="94" t="s">
        <v>210</v>
      </c>
      <c r="K718" s="94" t="s">
        <v>210</v>
      </c>
      <c r="L718" s="94">
        <v>-6</v>
      </c>
      <c r="M718" s="94"/>
      <c r="N718" s="94"/>
      <c r="O718" s="94"/>
      <c r="P718" s="94"/>
      <c r="Q718" s="94"/>
      <c r="R718" s="94"/>
      <c r="S718" s="94"/>
      <c r="T718" s="94"/>
      <c r="U718" s="94"/>
      <c r="V718" s="94"/>
      <c r="W718" s="94"/>
      <c r="X718" s="94"/>
      <c r="Y718" s="94"/>
      <c r="Z718" s="94"/>
      <c r="AA718" s="94"/>
      <c r="AB718" s="94"/>
      <c r="AC718" s="94"/>
      <c r="AD718" s="94"/>
      <c r="AE718" s="94"/>
      <c r="AF718" s="94"/>
      <c r="AG718" s="94"/>
      <c r="AH718" s="94"/>
      <c r="AI718" s="94"/>
      <c r="AJ718" s="94"/>
      <c r="AK718" s="94"/>
      <c r="AL718" s="94"/>
      <c r="AM718" s="94"/>
      <c r="AN718" s="94"/>
      <c r="AO718" s="94"/>
      <c r="AP718" s="94"/>
      <c r="AQ718" s="94"/>
      <c r="AR718" s="94"/>
      <c r="AS718" s="94"/>
      <c r="AT718" s="94"/>
      <c r="AU718" s="94"/>
      <c r="AV718" s="94"/>
      <c r="AW718" s="94"/>
      <c r="AX718" s="94"/>
      <c r="AY718" s="94"/>
      <c r="AZ718" s="94"/>
      <c r="BA718" s="95"/>
    </row>
    <row r="719" spans="1:53" s="87" customFormat="1">
      <c r="A719" s="90" t="str">
        <f t="shared" si="36"/>
        <v/>
      </c>
      <c r="B719" s="98">
        <v>21</v>
      </c>
      <c r="C719" s="94" t="s">
        <v>210</v>
      </c>
      <c r="D719" s="94">
        <v>7</v>
      </c>
      <c r="E719" s="94">
        <v>-8</v>
      </c>
      <c r="F719" s="94" t="s">
        <v>210</v>
      </c>
      <c r="G719" s="94" t="s">
        <v>210</v>
      </c>
      <c r="H719" s="94">
        <v>6</v>
      </c>
      <c r="I719" s="94">
        <v>-5</v>
      </c>
      <c r="J719" s="94" t="s">
        <v>210</v>
      </c>
      <c r="K719" s="94" t="s">
        <v>210</v>
      </c>
      <c r="L719" s="94">
        <v>-2</v>
      </c>
      <c r="M719" s="94"/>
      <c r="N719" s="94"/>
      <c r="O719" s="94"/>
      <c r="P719" s="94"/>
      <c r="Q719" s="94"/>
      <c r="R719" s="94"/>
      <c r="S719" s="94"/>
      <c r="T719" s="94"/>
      <c r="U719" s="94"/>
      <c r="V719" s="94"/>
      <c r="W719" s="94"/>
      <c r="X719" s="94"/>
      <c r="Y719" s="94"/>
      <c r="Z719" s="94"/>
      <c r="AA719" s="94"/>
      <c r="AB719" s="94"/>
      <c r="AC719" s="94"/>
      <c r="AD719" s="94"/>
      <c r="AE719" s="94"/>
      <c r="AF719" s="94"/>
      <c r="AG719" s="94"/>
      <c r="AH719" s="94"/>
      <c r="AI719" s="94"/>
      <c r="AJ719" s="94"/>
      <c r="AK719" s="94"/>
      <c r="AL719" s="94"/>
      <c r="AM719" s="94"/>
      <c r="AN719" s="94"/>
      <c r="AO719" s="94"/>
      <c r="AP719" s="94"/>
      <c r="AQ719" s="94"/>
      <c r="AR719" s="94"/>
      <c r="AS719" s="94"/>
      <c r="AT719" s="94"/>
      <c r="AU719" s="94"/>
      <c r="AV719" s="94"/>
      <c r="AW719" s="94"/>
      <c r="AX719" s="94"/>
      <c r="AY719" s="94"/>
      <c r="AZ719" s="94"/>
      <c r="BA719" s="95"/>
    </row>
    <row r="720" spans="1:53" s="87" customFormat="1">
      <c r="A720" s="90" t="str">
        <f t="shared" si="36"/>
        <v/>
      </c>
      <c r="B720" s="98">
        <v>22</v>
      </c>
      <c r="C720" s="94" t="s">
        <v>210</v>
      </c>
      <c r="D720" s="94">
        <v>-5</v>
      </c>
      <c r="E720" s="94">
        <v>3</v>
      </c>
      <c r="F720" s="94" t="s">
        <v>210</v>
      </c>
      <c r="G720" s="94" t="s">
        <v>210</v>
      </c>
      <c r="H720" s="94">
        <v>4</v>
      </c>
      <c r="I720" s="94">
        <v>-1</v>
      </c>
      <c r="J720" s="94" t="s">
        <v>210</v>
      </c>
      <c r="K720" s="94" t="s">
        <v>210</v>
      </c>
      <c r="L720" s="94">
        <v>2</v>
      </c>
      <c r="M720" s="94"/>
      <c r="N720" s="94"/>
      <c r="O720" s="94"/>
      <c r="P720" s="94"/>
      <c r="Q720" s="94"/>
      <c r="R720" s="94"/>
      <c r="S720" s="94"/>
      <c r="T720" s="94"/>
      <c r="U720" s="94"/>
      <c r="V720" s="94"/>
      <c r="W720" s="94"/>
      <c r="X720" s="94"/>
      <c r="Y720" s="94"/>
      <c r="Z720" s="94"/>
      <c r="AA720" s="94"/>
      <c r="AB720" s="94"/>
      <c r="AC720" s="94"/>
      <c r="AD720" s="94"/>
      <c r="AE720" s="94"/>
      <c r="AF720" s="94"/>
      <c r="AG720" s="94"/>
      <c r="AH720" s="94"/>
      <c r="AI720" s="94"/>
      <c r="AJ720" s="94"/>
      <c r="AK720" s="94"/>
      <c r="AL720" s="94"/>
      <c r="AM720" s="94"/>
      <c r="AN720" s="94"/>
      <c r="AO720" s="94"/>
      <c r="AP720" s="94"/>
      <c r="AQ720" s="94"/>
      <c r="AR720" s="94"/>
      <c r="AS720" s="94"/>
      <c r="AT720" s="94"/>
      <c r="AU720" s="94"/>
      <c r="AV720" s="94"/>
      <c r="AW720" s="94"/>
      <c r="AX720" s="94"/>
      <c r="AY720" s="94"/>
      <c r="AZ720" s="94"/>
      <c r="BA720" s="95"/>
    </row>
    <row r="721" spans="1:53" s="87" customFormat="1">
      <c r="A721" s="90" t="str">
        <f t="shared" si="36"/>
        <v/>
      </c>
      <c r="B721" s="98">
        <v>23</v>
      </c>
      <c r="C721" s="94" t="s">
        <v>210</v>
      </c>
      <c r="D721" s="94">
        <v>5</v>
      </c>
      <c r="E721" s="94">
        <v>1</v>
      </c>
      <c r="F721" s="94" t="s">
        <v>210</v>
      </c>
      <c r="G721" s="94" t="s">
        <v>210</v>
      </c>
      <c r="H721" s="94">
        <v>-6</v>
      </c>
      <c r="I721" s="94">
        <v>-8</v>
      </c>
      <c r="J721" s="94" t="s">
        <v>210</v>
      </c>
      <c r="K721" s="94" t="s">
        <v>210</v>
      </c>
      <c r="L721" s="94">
        <v>7</v>
      </c>
      <c r="M721" s="94"/>
      <c r="N721" s="94"/>
      <c r="O721" s="94"/>
      <c r="P721" s="94"/>
      <c r="Q721" s="94"/>
      <c r="R721" s="94"/>
      <c r="S721" s="94"/>
      <c r="T721" s="94"/>
      <c r="U721" s="94"/>
      <c r="V721" s="94"/>
      <c r="W721" s="94"/>
      <c r="X721" s="94"/>
      <c r="Y721" s="94"/>
      <c r="Z721" s="94"/>
      <c r="AA721" s="94"/>
      <c r="AB721" s="94"/>
      <c r="AC721" s="94"/>
      <c r="AD721" s="94"/>
      <c r="AE721" s="94"/>
      <c r="AF721" s="94"/>
      <c r="AG721" s="94"/>
      <c r="AH721" s="94"/>
      <c r="AI721" s="94"/>
      <c r="AJ721" s="94"/>
      <c r="AK721" s="94"/>
      <c r="AL721" s="94"/>
      <c r="AM721" s="94"/>
      <c r="AN721" s="94"/>
      <c r="AO721" s="94"/>
      <c r="AP721" s="94"/>
      <c r="AQ721" s="94"/>
      <c r="AR721" s="94"/>
      <c r="AS721" s="94"/>
      <c r="AT721" s="94"/>
      <c r="AU721" s="94"/>
      <c r="AV721" s="94"/>
      <c r="AW721" s="94"/>
      <c r="AX721" s="94"/>
      <c r="AY721" s="94"/>
      <c r="AZ721" s="94"/>
      <c r="BA721" s="95"/>
    </row>
    <row r="722" spans="1:53" s="87" customFormat="1">
      <c r="A722" s="90" t="str">
        <f t="shared" si="36"/>
        <v/>
      </c>
      <c r="B722" s="99">
        <v>24</v>
      </c>
      <c r="C722" s="92" t="s">
        <v>210</v>
      </c>
      <c r="D722" s="92">
        <v>-3</v>
      </c>
      <c r="E722" s="92">
        <v>8</v>
      </c>
      <c r="F722" s="92" t="s">
        <v>210</v>
      </c>
      <c r="G722" s="92" t="s">
        <v>210</v>
      </c>
      <c r="H722" s="92">
        <v>-5</v>
      </c>
      <c r="I722" s="92">
        <v>1</v>
      </c>
      <c r="J722" s="92" t="s">
        <v>210</v>
      </c>
      <c r="K722" s="92" t="s">
        <v>210</v>
      </c>
      <c r="L722" s="92">
        <v>-7</v>
      </c>
      <c r="M722" s="94"/>
      <c r="N722" s="94"/>
      <c r="O722" s="94"/>
      <c r="P722" s="94"/>
      <c r="Q722" s="94"/>
      <c r="R722" s="94"/>
      <c r="S722" s="94"/>
      <c r="T722" s="94"/>
      <c r="U722" s="94"/>
      <c r="V722" s="94"/>
      <c r="W722" s="94"/>
      <c r="X722" s="94"/>
      <c r="Y722" s="94"/>
      <c r="Z722" s="94"/>
      <c r="AA722" s="94"/>
      <c r="AB722" s="94"/>
      <c r="AC722" s="94"/>
      <c r="AD722" s="94"/>
      <c r="AE722" s="94"/>
      <c r="AF722" s="94"/>
      <c r="AG722" s="94"/>
      <c r="AH722" s="94"/>
      <c r="AI722" s="94"/>
      <c r="AJ722" s="94"/>
      <c r="AK722" s="94"/>
      <c r="AL722" s="94"/>
      <c r="AM722" s="94"/>
      <c r="AN722" s="94"/>
      <c r="AO722" s="94"/>
      <c r="AP722" s="94"/>
      <c r="AQ722" s="94"/>
      <c r="AR722" s="94"/>
      <c r="AS722" s="94"/>
      <c r="AT722" s="94"/>
      <c r="AU722" s="94"/>
      <c r="AV722" s="94"/>
      <c r="AW722" s="94"/>
      <c r="AX722" s="94"/>
      <c r="AY722" s="94"/>
      <c r="AZ722" s="94"/>
      <c r="BA722" s="95"/>
    </row>
    <row r="723" spans="1:53" s="87" customFormat="1">
      <c r="A723" s="90" t="str">
        <f t="shared" si="36"/>
        <v/>
      </c>
      <c r="B723" s="98">
        <v>25</v>
      </c>
      <c r="C723" s="94">
        <v>-4</v>
      </c>
      <c r="D723" s="94" t="s">
        <v>210</v>
      </c>
      <c r="E723" s="94" t="s">
        <v>210</v>
      </c>
      <c r="F723" s="94">
        <v>6</v>
      </c>
      <c r="G723" s="94" t="s">
        <v>202</v>
      </c>
      <c r="H723" s="94" t="s">
        <v>210</v>
      </c>
      <c r="I723" s="94" t="s">
        <v>210</v>
      </c>
      <c r="J723" s="94">
        <v>-2</v>
      </c>
      <c r="K723" s="94">
        <v>1</v>
      </c>
      <c r="L723" s="94" t="s">
        <v>210</v>
      </c>
      <c r="M723" s="94"/>
      <c r="N723" s="94"/>
      <c r="O723" s="94"/>
      <c r="P723" s="94"/>
      <c r="Q723" s="94"/>
      <c r="R723" s="94"/>
      <c r="S723" s="94"/>
      <c r="T723" s="94"/>
      <c r="U723" s="94"/>
      <c r="V723" s="94"/>
      <c r="W723" s="94"/>
      <c r="X723" s="94"/>
      <c r="Y723" s="94"/>
      <c r="Z723" s="94"/>
      <c r="AA723" s="94"/>
      <c r="AB723" s="94"/>
      <c r="AC723" s="94"/>
      <c r="AD723" s="94"/>
      <c r="AE723" s="94"/>
      <c r="AF723" s="94"/>
      <c r="AG723" s="94"/>
      <c r="AH723" s="94"/>
      <c r="AI723" s="94"/>
      <c r="AJ723" s="94"/>
      <c r="AK723" s="94"/>
      <c r="AL723" s="94"/>
      <c r="AM723" s="94"/>
      <c r="AN723" s="94"/>
      <c r="AO723" s="94"/>
      <c r="AP723" s="94"/>
      <c r="AQ723" s="94"/>
      <c r="AR723" s="94"/>
      <c r="AS723" s="94"/>
      <c r="AT723" s="94"/>
      <c r="AU723" s="94"/>
      <c r="AV723" s="94"/>
      <c r="AW723" s="94"/>
      <c r="AX723" s="94"/>
      <c r="AY723" s="94"/>
      <c r="AZ723" s="94"/>
      <c r="BA723" s="95"/>
    </row>
    <row r="724" spans="1:53" s="87" customFormat="1">
      <c r="A724" s="90" t="str">
        <f t="shared" si="36"/>
        <v/>
      </c>
      <c r="B724" s="98">
        <v>26</v>
      </c>
      <c r="C724" s="94">
        <v>6</v>
      </c>
      <c r="D724" s="94" t="s">
        <v>210</v>
      </c>
      <c r="E724" s="94" t="s">
        <v>210</v>
      </c>
      <c r="F724" s="94" t="s">
        <v>202</v>
      </c>
      <c r="G724" s="264" t="s">
        <v>210</v>
      </c>
      <c r="H724" s="94">
        <v>2</v>
      </c>
      <c r="I724" s="94" t="s">
        <v>210</v>
      </c>
      <c r="J724" s="94">
        <v>-7</v>
      </c>
      <c r="K724" s="94">
        <v>-1</v>
      </c>
      <c r="L724" s="94" t="s">
        <v>210</v>
      </c>
      <c r="M724" s="94"/>
      <c r="N724" s="94"/>
      <c r="O724" s="94"/>
      <c r="P724" s="94"/>
      <c r="Q724" s="94"/>
      <c r="R724" s="94"/>
      <c r="S724" s="94"/>
      <c r="T724" s="94"/>
      <c r="U724" s="94"/>
      <c r="V724" s="94"/>
      <c r="W724" s="94"/>
      <c r="X724" s="94"/>
      <c r="Y724" s="94"/>
      <c r="Z724" s="94"/>
      <c r="AA724" s="94"/>
      <c r="AB724" s="94"/>
      <c r="AC724" s="94"/>
      <c r="AD724" s="94"/>
      <c r="AE724" s="94"/>
      <c r="AF724" s="94"/>
      <c r="AG724" s="94"/>
      <c r="AH724" s="94"/>
      <c r="AI724" s="94"/>
      <c r="AJ724" s="94"/>
      <c r="AK724" s="94"/>
      <c r="AL724" s="94"/>
      <c r="AM724" s="94"/>
      <c r="AN724" s="94"/>
      <c r="AO724" s="94"/>
      <c r="AP724" s="94"/>
      <c r="AQ724" s="94"/>
      <c r="AR724" s="94"/>
      <c r="AS724" s="94"/>
      <c r="AT724" s="94"/>
      <c r="AU724" s="94"/>
      <c r="AV724" s="94"/>
      <c r="AW724" s="94"/>
      <c r="AX724" s="94"/>
      <c r="AY724" s="94"/>
      <c r="AZ724" s="94"/>
      <c r="BA724" s="95"/>
    </row>
    <row r="725" spans="1:53" s="87" customFormat="1">
      <c r="A725" s="90" t="str">
        <f t="shared" si="36"/>
        <v/>
      </c>
      <c r="B725" s="98">
        <v>27</v>
      </c>
      <c r="C725" s="94">
        <v>4</v>
      </c>
      <c r="D725" s="94" t="s">
        <v>210</v>
      </c>
      <c r="E725" s="94" t="s">
        <v>210</v>
      </c>
      <c r="F725" s="94">
        <v>7</v>
      </c>
      <c r="G725" s="264" t="s">
        <v>210</v>
      </c>
      <c r="H725" s="94">
        <v>-2</v>
      </c>
      <c r="I725" s="94" t="s">
        <v>210</v>
      </c>
      <c r="J725" s="94" t="s">
        <v>202</v>
      </c>
      <c r="K725" s="94">
        <v>-8</v>
      </c>
      <c r="L725" s="94" t="s">
        <v>210</v>
      </c>
      <c r="M725" s="94"/>
      <c r="N725" s="94"/>
      <c r="O725" s="94"/>
      <c r="P725" s="94"/>
      <c r="Q725" s="94"/>
      <c r="R725" s="94"/>
      <c r="S725" s="94"/>
      <c r="T725" s="94"/>
      <c r="U725" s="94"/>
      <c r="V725" s="94"/>
      <c r="W725" s="94"/>
      <c r="X725" s="94"/>
      <c r="Y725" s="94"/>
      <c r="Z725" s="94"/>
      <c r="AA725" s="94"/>
      <c r="AB725" s="94"/>
      <c r="AC725" s="94"/>
      <c r="AD725" s="94"/>
      <c r="AE725" s="94"/>
      <c r="AF725" s="94"/>
      <c r="AG725" s="94"/>
      <c r="AH725" s="94"/>
      <c r="AI725" s="94"/>
      <c r="AJ725" s="94"/>
      <c r="AK725" s="94"/>
      <c r="AL725" s="94"/>
      <c r="AM725" s="94"/>
      <c r="AN725" s="94"/>
      <c r="AO725" s="94"/>
      <c r="AP725" s="94"/>
      <c r="AQ725" s="94"/>
      <c r="AR725" s="94"/>
      <c r="AS725" s="94"/>
      <c r="AT725" s="94"/>
      <c r="AU725" s="94"/>
      <c r="AV725" s="94"/>
      <c r="AW725" s="94"/>
      <c r="AX725" s="94"/>
      <c r="AY725" s="94"/>
      <c r="AZ725" s="94"/>
      <c r="BA725" s="95"/>
    </row>
    <row r="726" spans="1:53" s="87" customFormat="1">
      <c r="A726" s="90" t="str">
        <f t="shared" si="36"/>
        <v/>
      </c>
      <c r="B726" s="98">
        <v>28</v>
      </c>
      <c r="C726" s="94" t="s">
        <v>202</v>
      </c>
      <c r="D726" s="94" t="s">
        <v>210</v>
      </c>
      <c r="E726" s="94" t="s">
        <v>210</v>
      </c>
      <c r="F726" s="94">
        <v>-6</v>
      </c>
      <c r="G726" s="94">
        <v>-1</v>
      </c>
      <c r="H726" s="94" t="s">
        <v>210</v>
      </c>
      <c r="I726" s="94" t="s">
        <v>210</v>
      </c>
      <c r="J726" s="94">
        <v>7</v>
      </c>
      <c r="K726" s="94">
        <v>8</v>
      </c>
      <c r="L726" s="94" t="s">
        <v>210</v>
      </c>
      <c r="M726" s="94"/>
      <c r="N726" s="94"/>
      <c r="O726" s="94"/>
      <c r="P726" s="94"/>
      <c r="Q726" s="94"/>
      <c r="R726" s="94"/>
      <c r="S726" s="94"/>
      <c r="T726" s="94"/>
      <c r="U726" s="94"/>
      <c r="V726" s="94"/>
      <c r="W726" s="94"/>
      <c r="X726" s="94"/>
      <c r="Y726" s="94"/>
      <c r="Z726" s="94"/>
      <c r="AA726" s="94"/>
      <c r="AB726" s="94"/>
      <c r="AC726" s="94"/>
      <c r="AD726" s="94"/>
      <c r="AE726" s="94"/>
      <c r="AF726" s="94"/>
      <c r="AG726" s="94"/>
      <c r="AH726" s="94"/>
      <c r="AI726" s="94"/>
      <c r="AJ726" s="94"/>
      <c r="AK726" s="94"/>
      <c r="AL726" s="94"/>
      <c r="AM726" s="94"/>
      <c r="AN726" s="94"/>
      <c r="AO726" s="94"/>
      <c r="AP726" s="94"/>
      <c r="AQ726" s="94"/>
      <c r="AR726" s="94"/>
      <c r="AS726" s="94"/>
      <c r="AT726" s="94"/>
      <c r="AU726" s="94"/>
      <c r="AV726" s="94"/>
      <c r="AW726" s="94"/>
      <c r="AX726" s="94"/>
      <c r="AY726" s="94"/>
      <c r="AZ726" s="94"/>
      <c r="BA726" s="95"/>
    </row>
    <row r="727" spans="1:53" s="87" customFormat="1">
      <c r="A727" s="90" t="str">
        <f t="shared" si="36"/>
        <v/>
      </c>
      <c r="B727" s="99">
        <v>29</v>
      </c>
      <c r="C727" s="92">
        <v>-6</v>
      </c>
      <c r="D727" s="92" t="s">
        <v>210</v>
      </c>
      <c r="E727" s="92" t="s">
        <v>210</v>
      </c>
      <c r="F727" s="92">
        <v>-7</v>
      </c>
      <c r="G727" s="92">
        <v>1</v>
      </c>
      <c r="H727" s="92" t="s">
        <v>210</v>
      </c>
      <c r="I727" s="92" t="s">
        <v>210</v>
      </c>
      <c r="J727" s="92">
        <v>2</v>
      </c>
      <c r="K727" s="92" t="s">
        <v>202</v>
      </c>
      <c r="L727" s="92" t="s">
        <v>210</v>
      </c>
      <c r="M727" s="94"/>
      <c r="N727" s="94"/>
      <c r="O727" s="94"/>
      <c r="P727" s="94"/>
      <c r="Q727" s="94"/>
      <c r="R727" s="94"/>
      <c r="S727" s="94"/>
      <c r="T727" s="94"/>
      <c r="U727" s="94"/>
      <c r="V727" s="94"/>
      <c r="W727" s="94"/>
      <c r="X727" s="94"/>
      <c r="Y727" s="94"/>
      <c r="Z727" s="94"/>
      <c r="AA727" s="94"/>
      <c r="AB727" s="94"/>
      <c r="AC727" s="94"/>
      <c r="AD727" s="94"/>
      <c r="AE727" s="94"/>
      <c r="AF727" s="94"/>
      <c r="AG727" s="94"/>
      <c r="AH727" s="94"/>
      <c r="AI727" s="94"/>
      <c r="AJ727" s="94"/>
      <c r="AK727" s="94"/>
      <c r="AL727" s="94"/>
      <c r="AM727" s="94"/>
      <c r="AN727" s="94"/>
      <c r="AO727" s="94"/>
      <c r="AP727" s="94"/>
      <c r="AQ727" s="94"/>
      <c r="AR727" s="94"/>
      <c r="AS727" s="94"/>
      <c r="AT727" s="94"/>
      <c r="AU727" s="94"/>
      <c r="AV727" s="94"/>
      <c r="AW727" s="94"/>
      <c r="AX727" s="94"/>
      <c r="AY727" s="94"/>
      <c r="AZ727" s="94"/>
      <c r="BA727" s="95"/>
    </row>
    <row r="728" spans="1:53" s="87" customFormat="1">
      <c r="A728" s="90" t="str">
        <f t="shared" si="36"/>
        <v/>
      </c>
      <c r="B728" s="98">
        <v>30</v>
      </c>
      <c r="C728" s="94" t="s">
        <v>210</v>
      </c>
      <c r="D728" s="94">
        <v>-4</v>
      </c>
      <c r="E728" s="94">
        <v>6</v>
      </c>
      <c r="F728" s="94" t="s">
        <v>210</v>
      </c>
      <c r="G728" s="94" t="s">
        <v>210</v>
      </c>
      <c r="H728" s="94" t="s">
        <v>202</v>
      </c>
      <c r="I728" s="94">
        <v>-2</v>
      </c>
      <c r="J728" s="94" t="s">
        <v>210</v>
      </c>
      <c r="K728" s="94" t="s">
        <v>210</v>
      </c>
      <c r="L728" s="94">
        <v>1</v>
      </c>
      <c r="M728" s="94"/>
      <c r="N728" s="94"/>
      <c r="O728" s="94"/>
      <c r="P728" s="94"/>
      <c r="Q728" s="94"/>
      <c r="R728" s="94"/>
      <c r="S728" s="94"/>
      <c r="T728" s="94"/>
      <c r="U728" s="94"/>
      <c r="V728" s="94"/>
      <c r="W728" s="94"/>
      <c r="X728" s="94"/>
      <c r="Y728" s="94"/>
      <c r="Z728" s="94"/>
      <c r="AA728" s="94"/>
      <c r="AB728" s="94"/>
      <c r="AC728" s="94"/>
      <c r="AD728" s="94"/>
      <c r="AE728" s="94"/>
      <c r="AF728" s="94"/>
      <c r="AG728" s="94"/>
      <c r="AH728" s="94"/>
      <c r="AI728" s="94"/>
      <c r="AJ728" s="94"/>
      <c r="AK728" s="94"/>
      <c r="AL728" s="94"/>
      <c r="AM728" s="94"/>
      <c r="AN728" s="94"/>
      <c r="AO728" s="94"/>
      <c r="AP728" s="94"/>
      <c r="AQ728" s="94"/>
      <c r="AR728" s="94"/>
      <c r="AS728" s="94"/>
      <c r="AT728" s="94"/>
      <c r="AU728" s="94"/>
      <c r="AV728" s="94"/>
      <c r="AW728" s="94"/>
      <c r="AX728" s="94"/>
      <c r="AY728" s="94"/>
      <c r="AZ728" s="94"/>
      <c r="BA728" s="95"/>
    </row>
    <row r="729" spans="1:53" s="87" customFormat="1">
      <c r="A729" s="90" t="str">
        <f t="shared" si="36"/>
        <v/>
      </c>
      <c r="B729" s="98">
        <v>31</v>
      </c>
      <c r="C729" s="94" t="s">
        <v>210</v>
      </c>
      <c r="D729" s="94">
        <v>6</v>
      </c>
      <c r="E729" s="94" t="s">
        <v>202</v>
      </c>
      <c r="F729" s="94" t="s">
        <v>210</v>
      </c>
      <c r="G729" s="94">
        <v>2</v>
      </c>
      <c r="H729" s="264" t="s">
        <v>210</v>
      </c>
      <c r="I729" s="94">
        <v>-7</v>
      </c>
      <c r="J729" s="94" t="s">
        <v>210</v>
      </c>
      <c r="K729" s="94" t="s">
        <v>210</v>
      </c>
      <c r="L729" s="94">
        <v>-1</v>
      </c>
      <c r="M729" s="94"/>
      <c r="N729" s="94"/>
      <c r="O729" s="94"/>
      <c r="P729" s="94"/>
      <c r="Q729" s="94"/>
      <c r="R729" s="94"/>
      <c r="S729" s="94"/>
      <c r="T729" s="94"/>
      <c r="U729" s="94"/>
      <c r="V729" s="94"/>
      <c r="W729" s="94"/>
      <c r="X729" s="94"/>
      <c r="Y729" s="94"/>
      <c r="Z729" s="94"/>
      <c r="AA729" s="94"/>
      <c r="AB729" s="94"/>
      <c r="AC729" s="94"/>
      <c r="AD729" s="94"/>
      <c r="AE729" s="94"/>
      <c r="AF729" s="94"/>
      <c r="AG729" s="94"/>
      <c r="AH729" s="94"/>
      <c r="AI729" s="94"/>
      <c r="AJ729" s="94"/>
      <c r="AK729" s="94"/>
      <c r="AL729" s="94"/>
      <c r="AM729" s="94"/>
      <c r="AN729" s="94"/>
      <c r="AO729" s="94"/>
      <c r="AP729" s="94"/>
      <c r="AQ729" s="94"/>
      <c r="AR729" s="94"/>
      <c r="AS729" s="94"/>
      <c r="AT729" s="94"/>
      <c r="AU729" s="94"/>
      <c r="AV729" s="94"/>
      <c r="AW729" s="94"/>
      <c r="AX729" s="94"/>
      <c r="AY729" s="94"/>
      <c r="AZ729" s="94"/>
      <c r="BA729" s="95"/>
    </row>
    <row r="730" spans="1:53" s="87" customFormat="1">
      <c r="A730" s="90" t="str">
        <f t="shared" si="36"/>
        <v/>
      </c>
      <c r="B730" s="98">
        <v>32</v>
      </c>
      <c r="C730" s="94" t="s">
        <v>210</v>
      </c>
      <c r="D730" s="94">
        <v>4</v>
      </c>
      <c r="E730" s="94">
        <v>7</v>
      </c>
      <c r="F730" s="94" t="s">
        <v>210</v>
      </c>
      <c r="G730" s="94">
        <v>-2</v>
      </c>
      <c r="H730" s="264" t="s">
        <v>210</v>
      </c>
      <c r="I730" s="94" t="s">
        <v>202</v>
      </c>
      <c r="J730" s="94" t="s">
        <v>210</v>
      </c>
      <c r="K730" s="94" t="s">
        <v>210</v>
      </c>
      <c r="L730" s="94">
        <v>-8</v>
      </c>
      <c r="M730" s="94"/>
      <c r="N730" s="94"/>
      <c r="O730" s="94"/>
      <c r="P730" s="94"/>
      <c r="Q730" s="94"/>
      <c r="R730" s="94"/>
      <c r="S730" s="94"/>
      <c r="T730" s="94"/>
      <c r="U730" s="94"/>
      <c r="V730" s="94"/>
      <c r="W730" s="94"/>
      <c r="X730" s="94"/>
      <c r="Y730" s="94"/>
      <c r="Z730" s="94"/>
      <c r="AA730" s="94"/>
      <c r="AB730" s="94"/>
      <c r="AC730" s="94"/>
      <c r="AD730" s="94"/>
      <c r="AE730" s="94"/>
      <c r="AF730" s="94"/>
      <c r="AG730" s="94"/>
      <c r="AH730" s="94"/>
      <c r="AI730" s="94"/>
      <c r="AJ730" s="94"/>
      <c r="AK730" s="94"/>
      <c r="AL730" s="94"/>
      <c r="AM730" s="94"/>
      <c r="AN730" s="94"/>
      <c r="AO730" s="94"/>
      <c r="AP730" s="94"/>
      <c r="AQ730" s="94"/>
      <c r="AR730" s="94"/>
      <c r="AS730" s="94"/>
      <c r="AT730" s="94"/>
      <c r="AU730" s="94"/>
      <c r="AV730" s="94"/>
      <c r="AW730" s="94"/>
      <c r="AX730" s="94"/>
      <c r="AY730" s="94"/>
      <c r="AZ730" s="94"/>
      <c r="BA730" s="95"/>
    </row>
    <row r="731" spans="1:53" s="87" customFormat="1">
      <c r="A731" s="90" t="str">
        <f t="shared" si="36"/>
        <v/>
      </c>
      <c r="B731" s="98">
        <v>33</v>
      </c>
      <c r="C731" s="94" t="s">
        <v>210</v>
      </c>
      <c r="D731" s="94" t="s">
        <v>202</v>
      </c>
      <c r="E731" s="94">
        <v>-6</v>
      </c>
      <c r="F731" s="94" t="s">
        <v>210</v>
      </c>
      <c r="G731" s="94" t="s">
        <v>210</v>
      </c>
      <c r="H731" s="94">
        <v>-1</v>
      </c>
      <c r="I731" s="94">
        <v>7</v>
      </c>
      <c r="J731" s="94" t="s">
        <v>210</v>
      </c>
      <c r="K731" s="94" t="s">
        <v>210</v>
      </c>
      <c r="L731" s="94">
        <v>8</v>
      </c>
      <c r="M731" s="94"/>
      <c r="N731" s="94"/>
      <c r="O731" s="94"/>
      <c r="P731" s="94"/>
      <c r="Q731" s="94"/>
      <c r="R731" s="94"/>
      <c r="S731" s="94"/>
      <c r="T731" s="94"/>
      <c r="U731" s="94"/>
      <c r="V731" s="94"/>
      <c r="W731" s="94"/>
      <c r="X731" s="94"/>
      <c r="Y731" s="94"/>
      <c r="Z731" s="94"/>
      <c r="AA731" s="94"/>
      <c r="AB731" s="94"/>
      <c r="AC731" s="94"/>
      <c r="AD731" s="94"/>
      <c r="AE731" s="94"/>
      <c r="AF731" s="94"/>
      <c r="AG731" s="94"/>
      <c r="AH731" s="94"/>
      <c r="AI731" s="94"/>
      <c r="AJ731" s="94"/>
      <c r="AK731" s="94"/>
      <c r="AL731" s="94"/>
      <c r="AM731" s="94"/>
      <c r="AN731" s="94"/>
      <c r="AO731" s="94"/>
      <c r="AP731" s="94"/>
      <c r="AQ731" s="94"/>
      <c r="AR731" s="94"/>
      <c r="AS731" s="94"/>
      <c r="AT731" s="94"/>
      <c r="AU731" s="94"/>
      <c r="AV731" s="94"/>
      <c r="AW731" s="94"/>
      <c r="AX731" s="94"/>
      <c r="AY731" s="94"/>
      <c r="AZ731" s="94"/>
      <c r="BA731" s="95"/>
    </row>
    <row r="732" spans="1:53" s="87" customFormat="1">
      <c r="A732" s="90" t="str">
        <f t="shared" si="36"/>
        <v/>
      </c>
      <c r="B732" s="98">
        <v>34</v>
      </c>
      <c r="C732" s="94" t="s">
        <v>210</v>
      </c>
      <c r="D732" s="94">
        <v>-6</v>
      </c>
      <c r="E732" s="94">
        <v>-7</v>
      </c>
      <c r="F732" s="94" t="s">
        <v>210</v>
      </c>
      <c r="G732" s="94" t="s">
        <v>210</v>
      </c>
      <c r="H732" s="94">
        <v>1</v>
      </c>
      <c r="I732" s="94">
        <v>2</v>
      </c>
      <c r="J732" s="94" t="s">
        <v>210</v>
      </c>
      <c r="K732" s="94" t="s">
        <v>210</v>
      </c>
      <c r="L732" s="94" t="s">
        <v>202</v>
      </c>
      <c r="M732" s="94"/>
      <c r="N732" s="94"/>
      <c r="O732" s="94"/>
      <c r="P732" s="94"/>
      <c r="Q732" s="94"/>
      <c r="R732" s="94"/>
      <c r="S732" s="94"/>
      <c r="T732" s="94"/>
      <c r="U732" s="94"/>
      <c r="V732" s="94"/>
      <c r="W732" s="94"/>
      <c r="X732" s="94"/>
      <c r="Y732" s="94"/>
      <c r="Z732" s="94"/>
      <c r="AA732" s="94"/>
      <c r="AB732" s="94"/>
      <c r="AC732" s="94"/>
      <c r="AD732" s="94"/>
      <c r="AE732" s="94"/>
      <c r="AF732" s="94"/>
      <c r="AG732" s="94"/>
      <c r="AH732" s="94"/>
      <c r="AI732" s="94"/>
      <c r="AJ732" s="94"/>
      <c r="AK732" s="94"/>
      <c r="AL732" s="94"/>
      <c r="AM732" s="94"/>
      <c r="AN732" s="94"/>
      <c r="AO732" s="94"/>
      <c r="AP732" s="94"/>
      <c r="AQ732" s="94"/>
      <c r="AR732" s="94"/>
      <c r="AS732" s="94"/>
      <c r="AT732" s="94"/>
      <c r="AU732" s="94"/>
      <c r="AV732" s="94"/>
      <c r="AW732" s="94"/>
      <c r="AX732" s="94"/>
      <c r="AY732" s="94"/>
      <c r="AZ732" s="94"/>
      <c r="BA732" s="95"/>
    </row>
    <row r="733" spans="1:53" s="87" customFormat="1">
      <c r="A733" s="90" t="str">
        <f t="shared" si="36"/>
        <v/>
      </c>
      <c r="B733" s="98" t="s">
        <v>485</v>
      </c>
      <c r="C733" s="94"/>
      <c r="D733" s="94"/>
      <c r="E733" s="94"/>
      <c r="F733" s="94"/>
      <c r="G733" s="94"/>
      <c r="H733" s="94"/>
      <c r="I733" s="94"/>
      <c r="J733" s="94"/>
      <c r="K733" s="94"/>
      <c r="L733" s="94"/>
      <c r="M733" s="94"/>
      <c r="N733" s="94"/>
      <c r="O733" s="94"/>
      <c r="P733" s="94"/>
      <c r="Q733" s="94"/>
      <c r="R733" s="94"/>
      <c r="S733" s="94"/>
      <c r="T733" s="94"/>
      <c r="U733" s="94"/>
      <c r="V733" s="94"/>
      <c r="W733" s="94"/>
      <c r="X733" s="94"/>
      <c r="Y733" s="94"/>
      <c r="Z733" s="94"/>
      <c r="AA733" s="94"/>
      <c r="AB733" s="94"/>
      <c r="AC733" s="94"/>
      <c r="AD733" s="94"/>
      <c r="AE733" s="94"/>
      <c r="AF733" s="94"/>
      <c r="AG733" s="94"/>
      <c r="AH733" s="94"/>
      <c r="AI733" s="94"/>
      <c r="AJ733" s="94"/>
      <c r="AK733" s="94"/>
      <c r="AL733" s="94"/>
      <c r="AM733" s="94"/>
      <c r="AN733" s="94"/>
      <c r="AO733" s="94"/>
      <c r="AP733" s="94"/>
      <c r="AQ733" s="94"/>
      <c r="AR733" s="94"/>
      <c r="AS733" s="94"/>
      <c r="AT733" s="94"/>
      <c r="AU733" s="94"/>
      <c r="AV733" s="94"/>
      <c r="AW733" s="94"/>
      <c r="AX733" s="94"/>
      <c r="AY733" s="94"/>
      <c r="AZ733" s="94"/>
      <c r="BA733" s="95"/>
    </row>
    <row r="734" spans="1:53" s="87" customFormat="1">
      <c r="A734" s="90">
        <f t="shared" si="36"/>
        <v>734</v>
      </c>
      <c r="B734" s="98" t="s">
        <v>491</v>
      </c>
      <c r="C734" s="94"/>
      <c r="D734" s="94"/>
      <c r="E734" s="94"/>
      <c r="F734" s="94"/>
      <c r="G734" s="94"/>
      <c r="H734" s="94"/>
      <c r="I734" s="94"/>
      <c r="J734" s="94"/>
      <c r="K734" s="94"/>
      <c r="L734" s="94"/>
      <c r="M734" s="94"/>
      <c r="N734" s="94"/>
      <c r="O734" s="94"/>
      <c r="P734" s="94"/>
      <c r="Q734" s="94"/>
      <c r="R734" s="94"/>
      <c r="S734" s="94"/>
      <c r="T734" s="94"/>
      <c r="U734" s="94"/>
      <c r="V734" s="94"/>
      <c r="W734" s="94"/>
      <c r="X734" s="94"/>
      <c r="Y734" s="94"/>
      <c r="Z734" s="94"/>
      <c r="AA734" s="94"/>
      <c r="AB734" s="94"/>
      <c r="AC734" s="94"/>
      <c r="AD734" s="94"/>
      <c r="AE734" s="94"/>
      <c r="AF734" s="94"/>
      <c r="AG734" s="94"/>
      <c r="AH734" s="94"/>
      <c r="AI734" s="94"/>
      <c r="AJ734" s="94"/>
      <c r="AK734" s="94"/>
      <c r="AL734" s="94"/>
      <c r="AM734" s="94"/>
      <c r="AN734" s="94"/>
      <c r="AO734" s="94"/>
      <c r="AP734" s="94"/>
      <c r="AQ734" s="94"/>
      <c r="AR734" s="94"/>
      <c r="AS734" s="94"/>
      <c r="AT734" s="94"/>
      <c r="AU734" s="94"/>
      <c r="AV734" s="94"/>
      <c r="AW734" s="94"/>
      <c r="AX734" s="94"/>
      <c r="AY734" s="94"/>
      <c r="AZ734" s="94"/>
      <c r="BA734" s="95"/>
    </row>
    <row r="735" spans="1:53" s="87" customFormat="1">
      <c r="A735" s="90" t="str">
        <f t="shared" si="36"/>
        <v/>
      </c>
      <c r="B735" s="98">
        <v>1</v>
      </c>
      <c r="C735" s="94" t="s">
        <v>202</v>
      </c>
      <c r="D735" s="94" t="s">
        <v>210</v>
      </c>
      <c r="E735" s="94" t="s">
        <v>210</v>
      </c>
      <c r="F735" s="94">
        <v>2</v>
      </c>
      <c r="G735" s="94">
        <v>1</v>
      </c>
      <c r="H735" s="94" t="s">
        <v>210</v>
      </c>
      <c r="I735" s="94" t="s">
        <v>210</v>
      </c>
      <c r="J735" s="94">
        <v>-6</v>
      </c>
      <c r="K735" s="94">
        <v>7</v>
      </c>
      <c r="L735" s="94" t="s">
        <v>210</v>
      </c>
      <c r="M735" s="94" t="s">
        <v>210</v>
      </c>
      <c r="N735" s="94">
        <v>-2</v>
      </c>
      <c r="O735" s="94">
        <v>3</v>
      </c>
      <c r="P735" s="94" t="s">
        <v>210</v>
      </c>
      <c r="Q735" s="94" t="s">
        <v>210</v>
      </c>
      <c r="R735" s="94">
        <v>-5</v>
      </c>
      <c r="S735" s="94">
        <v>-4</v>
      </c>
      <c r="T735" s="94" t="s">
        <v>210</v>
      </c>
      <c r="U735" s="94"/>
      <c r="V735" s="94"/>
      <c r="W735" s="94"/>
      <c r="X735" s="94"/>
      <c r="Y735" s="94"/>
      <c r="Z735" s="94"/>
      <c r="AA735" s="94"/>
      <c r="AB735" s="94"/>
      <c r="AC735" s="94"/>
      <c r="AD735" s="94"/>
      <c r="AE735" s="94"/>
      <c r="AF735" s="94"/>
      <c r="AG735" s="94"/>
      <c r="AH735" s="94"/>
      <c r="AI735" s="94"/>
      <c r="AJ735" s="94"/>
      <c r="AK735" s="94"/>
      <c r="AL735" s="94"/>
      <c r="AM735" s="94"/>
      <c r="AN735" s="94"/>
      <c r="AO735" s="94"/>
      <c r="AP735" s="94"/>
      <c r="AQ735" s="94"/>
      <c r="AR735" s="94"/>
      <c r="AS735" s="94"/>
      <c r="AT735" s="94"/>
      <c r="AU735" s="94"/>
      <c r="AV735" s="94"/>
      <c r="AW735" s="94"/>
      <c r="AX735" s="94"/>
      <c r="AY735" s="94"/>
      <c r="AZ735" s="94"/>
      <c r="BA735" s="95"/>
    </row>
    <row r="736" spans="1:53" s="87" customFormat="1">
      <c r="A736" s="90" t="str">
        <f t="shared" si="36"/>
        <v/>
      </c>
      <c r="B736" s="98">
        <v>2</v>
      </c>
      <c r="C736" s="94">
        <v>-1</v>
      </c>
      <c r="D736" s="94" t="s">
        <v>210</v>
      </c>
      <c r="E736" s="94" t="s">
        <v>210</v>
      </c>
      <c r="F736" s="94">
        <v>3</v>
      </c>
      <c r="G736" s="94" t="s">
        <v>202</v>
      </c>
      <c r="H736" s="94" t="s">
        <v>210</v>
      </c>
      <c r="I736" s="94" t="s">
        <v>210</v>
      </c>
      <c r="J736" s="94">
        <v>-7</v>
      </c>
      <c r="K736" s="94">
        <v>-8</v>
      </c>
      <c r="L736" s="94" t="s">
        <v>210</v>
      </c>
      <c r="M736" s="94" t="s">
        <v>210</v>
      </c>
      <c r="N736" s="94">
        <v>5</v>
      </c>
      <c r="O736" s="94">
        <v>2</v>
      </c>
      <c r="P736" s="94" t="s">
        <v>210</v>
      </c>
      <c r="Q736" s="94" t="s">
        <v>210</v>
      </c>
      <c r="R736" s="94">
        <v>-3</v>
      </c>
      <c r="S736" s="94">
        <v>4</v>
      </c>
      <c r="T736" s="94" t="s">
        <v>210</v>
      </c>
      <c r="U736" s="94"/>
      <c r="V736" s="94"/>
      <c r="W736" s="94"/>
      <c r="X736" s="94"/>
      <c r="Y736" s="94"/>
      <c r="Z736" s="94"/>
      <c r="AA736" s="94"/>
      <c r="AB736" s="94"/>
      <c r="AC736" s="94"/>
      <c r="AD736" s="94"/>
      <c r="AE736" s="94"/>
      <c r="AF736" s="94"/>
      <c r="AG736" s="94"/>
      <c r="AH736" s="94"/>
      <c r="AI736" s="94"/>
      <c r="AJ736" s="94"/>
      <c r="AK736" s="94"/>
      <c r="AL736" s="94"/>
      <c r="AM736" s="94"/>
      <c r="AN736" s="94"/>
      <c r="AO736" s="94"/>
      <c r="AP736" s="94"/>
      <c r="AQ736" s="94"/>
      <c r="AR736" s="94"/>
      <c r="AS736" s="94"/>
      <c r="AT736" s="94"/>
      <c r="AU736" s="94"/>
      <c r="AV736" s="94"/>
      <c r="AW736" s="94"/>
      <c r="AX736" s="94"/>
      <c r="AY736" s="94"/>
      <c r="AZ736" s="94"/>
      <c r="BA736" s="95"/>
    </row>
    <row r="737" spans="1:53" s="87" customFormat="1">
      <c r="A737" s="90" t="str">
        <f t="shared" si="36"/>
        <v/>
      </c>
      <c r="B737" s="98">
        <v>3</v>
      </c>
      <c r="C737" s="94">
        <v>4</v>
      </c>
      <c r="D737" s="94" t="s">
        <v>210</v>
      </c>
      <c r="E737" s="94" t="s">
        <v>210</v>
      </c>
      <c r="F737" s="94">
        <v>-2</v>
      </c>
      <c r="G737" s="94">
        <v>-7</v>
      </c>
      <c r="H737" s="94" t="s">
        <v>210</v>
      </c>
      <c r="I737" s="94" t="s">
        <v>210</v>
      </c>
      <c r="J737" s="94">
        <v>3</v>
      </c>
      <c r="K737" s="94">
        <v>8</v>
      </c>
      <c r="L737" s="94" t="s">
        <v>210</v>
      </c>
      <c r="M737" s="94" t="s">
        <v>210</v>
      </c>
      <c r="N737" s="94" t="s">
        <v>202</v>
      </c>
      <c r="O737" s="94">
        <v>-6</v>
      </c>
      <c r="P737" s="94" t="s">
        <v>210</v>
      </c>
      <c r="Q737" s="94" t="s">
        <v>210</v>
      </c>
      <c r="R737" s="94">
        <v>-4</v>
      </c>
      <c r="S737" s="94">
        <v>5</v>
      </c>
      <c r="T737" s="94" t="s">
        <v>210</v>
      </c>
      <c r="U737" s="94"/>
      <c r="V737" s="94"/>
      <c r="W737" s="94"/>
      <c r="X737" s="94"/>
      <c r="Y737" s="94"/>
      <c r="Z737" s="94"/>
      <c r="AA737" s="94"/>
      <c r="AB737" s="94"/>
      <c r="AC737" s="94"/>
      <c r="AD737" s="94"/>
      <c r="AE737" s="94"/>
      <c r="AF737" s="94"/>
      <c r="AG737" s="94"/>
      <c r="AH737" s="94"/>
      <c r="AI737" s="94"/>
      <c r="AJ737" s="94"/>
      <c r="AK737" s="94"/>
      <c r="AL737" s="94"/>
      <c r="AM737" s="94"/>
      <c r="AN737" s="94"/>
      <c r="AO737" s="94"/>
      <c r="AP737" s="94"/>
      <c r="AQ737" s="94"/>
      <c r="AR737" s="94"/>
      <c r="AS737" s="94"/>
      <c r="AT737" s="94"/>
      <c r="AU737" s="94"/>
      <c r="AV737" s="94"/>
      <c r="AW737" s="94"/>
      <c r="AX737" s="94"/>
      <c r="AY737" s="94"/>
      <c r="AZ737" s="94"/>
      <c r="BA737" s="95"/>
    </row>
    <row r="738" spans="1:53" s="87" customFormat="1">
      <c r="A738" s="90" t="str">
        <f t="shared" si="36"/>
        <v/>
      </c>
      <c r="B738" s="98">
        <v>4</v>
      </c>
      <c r="C738" s="94">
        <v>2</v>
      </c>
      <c r="D738" s="94" t="s">
        <v>210</v>
      </c>
      <c r="E738" s="94" t="s">
        <v>210</v>
      </c>
      <c r="F738" s="94">
        <v>5</v>
      </c>
      <c r="G738" s="94">
        <v>-1</v>
      </c>
      <c r="H738" s="94" t="s">
        <v>210</v>
      </c>
      <c r="I738" s="94" t="s">
        <v>210</v>
      </c>
      <c r="J738" s="94" t="s">
        <v>202</v>
      </c>
      <c r="K738" s="94">
        <v>-4</v>
      </c>
      <c r="L738" s="94" t="s">
        <v>210</v>
      </c>
      <c r="M738" s="94" t="s">
        <v>210</v>
      </c>
      <c r="N738" s="94">
        <v>8</v>
      </c>
      <c r="O738" s="94">
        <v>-7</v>
      </c>
      <c r="P738" s="94" t="s">
        <v>210</v>
      </c>
      <c r="Q738" s="94" t="s">
        <v>210</v>
      </c>
      <c r="R738" s="94">
        <v>3</v>
      </c>
      <c r="S738" s="94">
        <v>-5</v>
      </c>
      <c r="T738" s="94" t="s">
        <v>210</v>
      </c>
      <c r="U738" s="94"/>
      <c r="V738" s="94"/>
      <c r="W738" s="94"/>
      <c r="X738" s="94"/>
      <c r="Y738" s="94"/>
      <c r="Z738" s="94"/>
      <c r="AA738" s="94"/>
      <c r="AB738" s="94"/>
      <c r="AC738" s="94"/>
      <c r="AD738" s="94"/>
      <c r="AE738" s="94"/>
      <c r="AF738" s="94"/>
      <c r="AG738" s="94"/>
      <c r="AH738" s="94"/>
      <c r="AI738" s="94"/>
      <c r="AJ738" s="94"/>
      <c r="AK738" s="94"/>
      <c r="AL738" s="94"/>
      <c r="AM738" s="94"/>
      <c r="AN738" s="94"/>
      <c r="AO738" s="94"/>
      <c r="AP738" s="94"/>
      <c r="AQ738" s="94"/>
      <c r="AR738" s="94"/>
      <c r="AS738" s="94"/>
      <c r="AT738" s="94"/>
      <c r="AU738" s="94"/>
      <c r="AV738" s="94"/>
      <c r="AW738" s="94"/>
      <c r="AX738" s="94"/>
      <c r="AY738" s="94"/>
      <c r="AZ738" s="94"/>
      <c r="BA738" s="95"/>
    </row>
    <row r="739" spans="1:53" s="87" customFormat="1">
      <c r="A739" s="90" t="str">
        <f t="shared" si="36"/>
        <v/>
      </c>
      <c r="B739" s="98">
        <v>5</v>
      </c>
      <c r="C739" s="94">
        <v>1</v>
      </c>
      <c r="D739" s="94" t="s">
        <v>210</v>
      </c>
      <c r="E739" s="94" t="s">
        <v>210</v>
      </c>
      <c r="F739" s="94">
        <v>-6</v>
      </c>
      <c r="G739" s="94">
        <v>-4</v>
      </c>
      <c r="H739" s="94" t="s">
        <v>210</v>
      </c>
      <c r="I739" s="94" t="s">
        <v>210</v>
      </c>
      <c r="J739" s="94">
        <v>5</v>
      </c>
      <c r="K739" s="94">
        <v>-7</v>
      </c>
      <c r="L739" s="94" t="s">
        <v>210</v>
      </c>
      <c r="M739" s="94" t="s">
        <v>210</v>
      </c>
      <c r="N739" s="94">
        <v>-8</v>
      </c>
      <c r="O739" s="94">
        <v>6</v>
      </c>
      <c r="P739" s="94" t="s">
        <v>210</v>
      </c>
      <c r="Q739" s="94" t="s">
        <v>210</v>
      </c>
      <c r="R739" s="94" t="s">
        <v>202</v>
      </c>
      <c r="S739" s="94">
        <v>3</v>
      </c>
      <c r="T739" s="94" t="s">
        <v>210</v>
      </c>
      <c r="U739" s="94"/>
      <c r="V739" s="94"/>
      <c r="W739" s="94"/>
      <c r="X739" s="94"/>
      <c r="Y739" s="94"/>
      <c r="Z739" s="94"/>
      <c r="AA739" s="94"/>
      <c r="AB739" s="94"/>
      <c r="AC739" s="94"/>
      <c r="AD739" s="94"/>
      <c r="AE739" s="94"/>
      <c r="AF739" s="94"/>
      <c r="AG739" s="94"/>
      <c r="AH739" s="94"/>
      <c r="AI739" s="94"/>
      <c r="AJ739" s="94"/>
      <c r="AK739" s="94"/>
      <c r="AL739" s="94"/>
      <c r="AM739" s="94"/>
      <c r="AN739" s="94"/>
      <c r="AO739" s="94"/>
      <c r="AP739" s="94"/>
      <c r="AQ739" s="94"/>
      <c r="AR739" s="94"/>
      <c r="AS739" s="94"/>
      <c r="AT739" s="94"/>
      <c r="AU739" s="94"/>
      <c r="AV739" s="94"/>
      <c r="AW739" s="94"/>
      <c r="AX739" s="94"/>
      <c r="AY739" s="94"/>
      <c r="AZ739" s="94"/>
      <c r="BA739" s="95"/>
    </row>
    <row r="740" spans="1:53" s="87" customFormat="1">
      <c r="A740" s="90" t="str">
        <f t="shared" si="36"/>
        <v/>
      </c>
      <c r="B740" s="98">
        <v>6</v>
      </c>
      <c r="C740" s="94">
        <v>-8</v>
      </c>
      <c r="D740" s="94" t="s">
        <v>210</v>
      </c>
      <c r="E740" s="94" t="s">
        <v>210</v>
      </c>
      <c r="F740" s="94" t="s">
        <v>202</v>
      </c>
      <c r="G740" s="94">
        <v>2</v>
      </c>
      <c r="H740" s="94" t="s">
        <v>210</v>
      </c>
      <c r="I740" s="94" t="s">
        <v>210</v>
      </c>
      <c r="J740" s="94">
        <v>6</v>
      </c>
      <c r="K740" s="94">
        <v>-1</v>
      </c>
      <c r="L740" s="94" t="s">
        <v>210</v>
      </c>
      <c r="M740" s="94" t="s">
        <v>210</v>
      </c>
      <c r="N740" s="94">
        <v>-5</v>
      </c>
      <c r="O740" s="94">
        <v>7</v>
      </c>
      <c r="P740" s="94" t="s">
        <v>210</v>
      </c>
      <c r="Q740" s="94" t="s">
        <v>210</v>
      </c>
      <c r="R740" s="94">
        <v>4</v>
      </c>
      <c r="S740" s="94">
        <v>-3</v>
      </c>
      <c r="T740" s="94" t="s">
        <v>210</v>
      </c>
      <c r="U740" s="94"/>
      <c r="V740" s="94"/>
      <c r="W740" s="94"/>
      <c r="X740" s="94"/>
      <c r="Y740" s="94"/>
      <c r="Z740" s="94"/>
      <c r="AA740" s="94"/>
      <c r="AB740" s="94"/>
      <c r="AC740" s="94"/>
      <c r="AD740" s="94"/>
      <c r="AE740" s="94"/>
      <c r="AF740" s="94"/>
      <c r="AG740" s="94"/>
      <c r="AH740" s="94"/>
      <c r="AI740" s="94"/>
      <c r="AJ740" s="94"/>
      <c r="AK740" s="94"/>
      <c r="AL740" s="94"/>
      <c r="AM740" s="94"/>
      <c r="AN740" s="94"/>
      <c r="AO740" s="94"/>
      <c r="AP740" s="94"/>
      <c r="AQ740" s="94"/>
      <c r="AR740" s="94"/>
      <c r="AS740" s="94"/>
      <c r="AT740" s="94"/>
      <c r="AU740" s="94"/>
      <c r="AV740" s="94"/>
      <c r="AW740" s="94"/>
      <c r="AX740" s="94"/>
      <c r="AY740" s="94"/>
      <c r="AZ740" s="94"/>
      <c r="BA740" s="95"/>
    </row>
    <row r="741" spans="1:53" s="87" customFormat="1">
      <c r="A741" s="90" t="str">
        <f t="shared" si="36"/>
        <v/>
      </c>
      <c r="B741" s="98">
        <v>7</v>
      </c>
      <c r="C741" s="94">
        <v>8</v>
      </c>
      <c r="D741" s="94" t="s">
        <v>210</v>
      </c>
      <c r="E741" s="94" t="s">
        <v>210</v>
      </c>
      <c r="F741" s="94">
        <v>-5</v>
      </c>
      <c r="G741" s="94">
        <v>4</v>
      </c>
      <c r="H741" s="94" t="s">
        <v>210</v>
      </c>
      <c r="I741" s="94" t="s">
        <v>210</v>
      </c>
      <c r="J741" s="94">
        <v>-3</v>
      </c>
      <c r="K741" s="94" t="s">
        <v>202</v>
      </c>
      <c r="L741" s="94" t="s">
        <v>210</v>
      </c>
      <c r="M741" s="94" t="s">
        <v>210</v>
      </c>
      <c r="N741" s="94">
        <v>1</v>
      </c>
      <c r="O741" s="94">
        <v>-2</v>
      </c>
      <c r="P741" s="94" t="s">
        <v>210</v>
      </c>
      <c r="Q741" s="94" t="s">
        <v>210</v>
      </c>
      <c r="R741" s="94">
        <v>5</v>
      </c>
      <c r="S741" s="94">
        <v>-6</v>
      </c>
      <c r="T741" s="94" t="s">
        <v>210</v>
      </c>
      <c r="U741" s="94"/>
      <c r="V741" s="94"/>
      <c r="W741" s="94"/>
      <c r="X741" s="94"/>
      <c r="Y741" s="94"/>
      <c r="Z741" s="94"/>
      <c r="AA741" s="94"/>
      <c r="AB741" s="94"/>
      <c r="AC741" s="94"/>
      <c r="AD741" s="94"/>
      <c r="AE741" s="94"/>
      <c r="AF741" s="94"/>
      <c r="AG741" s="94"/>
      <c r="AH741" s="94"/>
      <c r="AI741" s="94"/>
      <c r="AJ741" s="94"/>
      <c r="AK741" s="94"/>
      <c r="AL741" s="94"/>
      <c r="AM741" s="94"/>
      <c r="AN741" s="94"/>
      <c r="AO741" s="94"/>
      <c r="AP741" s="94"/>
      <c r="AQ741" s="94"/>
      <c r="AR741" s="94"/>
      <c r="AS741" s="94"/>
      <c r="AT741" s="94"/>
      <c r="AU741" s="94"/>
      <c r="AV741" s="94"/>
      <c r="AW741" s="94"/>
      <c r="AX741" s="94"/>
      <c r="AY741" s="94"/>
      <c r="AZ741" s="94"/>
      <c r="BA741" s="95"/>
    </row>
    <row r="742" spans="1:53" s="87" customFormat="1">
      <c r="A742" s="90" t="str">
        <f t="shared" si="36"/>
        <v/>
      </c>
      <c r="B742" s="98">
        <v>8</v>
      </c>
      <c r="C742" s="94">
        <v>-2</v>
      </c>
      <c r="D742" s="94" t="s">
        <v>210</v>
      </c>
      <c r="E742" s="94" t="s">
        <v>210</v>
      </c>
      <c r="F742" s="94">
        <v>-3</v>
      </c>
      <c r="G742" s="94">
        <v>7</v>
      </c>
      <c r="H742" s="94" t="s">
        <v>210</v>
      </c>
      <c r="I742" s="94" t="s">
        <v>210</v>
      </c>
      <c r="J742" s="94">
        <v>-5</v>
      </c>
      <c r="K742" s="94">
        <v>1</v>
      </c>
      <c r="L742" s="94" t="s">
        <v>210</v>
      </c>
      <c r="M742" s="94" t="s">
        <v>210</v>
      </c>
      <c r="N742" s="94">
        <v>2</v>
      </c>
      <c r="O742" s="94" t="s">
        <v>202</v>
      </c>
      <c r="P742" s="94" t="s">
        <v>210</v>
      </c>
      <c r="Q742" s="94" t="s">
        <v>210</v>
      </c>
      <c r="R742" s="94">
        <v>-8</v>
      </c>
      <c r="S742" s="94">
        <v>6</v>
      </c>
      <c r="T742" s="94" t="s">
        <v>210</v>
      </c>
      <c r="U742" s="94"/>
      <c r="V742" s="94"/>
      <c r="W742" s="94"/>
      <c r="X742" s="94"/>
      <c r="Y742" s="94"/>
      <c r="Z742" s="94"/>
      <c r="AA742" s="94"/>
      <c r="AB742" s="94"/>
      <c r="AC742" s="94"/>
      <c r="AD742" s="94"/>
      <c r="AE742" s="94"/>
      <c r="AF742" s="94"/>
      <c r="AG742" s="94"/>
      <c r="AH742" s="94"/>
      <c r="AI742" s="94"/>
      <c r="AJ742" s="94"/>
      <c r="AK742" s="94"/>
      <c r="AL742" s="94"/>
      <c r="AM742" s="94"/>
      <c r="AN742" s="94"/>
      <c r="AO742" s="94"/>
      <c r="AP742" s="94"/>
      <c r="AQ742" s="94"/>
      <c r="AR742" s="94"/>
      <c r="AS742" s="94"/>
      <c r="AT742" s="94"/>
      <c r="AU742" s="94"/>
      <c r="AV742" s="94"/>
      <c r="AW742" s="94"/>
      <c r="AX742" s="94"/>
      <c r="AY742" s="94"/>
      <c r="AZ742" s="94"/>
      <c r="BA742" s="95"/>
    </row>
    <row r="743" spans="1:53" s="87" customFormat="1">
      <c r="A743" s="90" t="str">
        <f t="shared" si="36"/>
        <v/>
      </c>
      <c r="B743" s="99">
        <v>9</v>
      </c>
      <c r="C743" s="92">
        <v>-4</v>
      </c>
      <c r="D743" s="92" t="s">
        <v>210</v>
      </c>
      <c r="E743" s="92" t="s">
        <v>210</v>
      </c>
      <c r="F743" s="92">
        <v>6</v>
      </c>
      <c r="G743" s="92">
        <v>-2</v>
      </c>
      <c r="H743" s="92" t="s">
        <v>210</v>
      </c>
      <c r="I743" s="92" t="s">
        <v>210</v>
      </c>
      <c r="J743" s="92">
        <v>7</v>
      </c>
      <c r="K743" s="92">
        <v>4</v>
      </c>
      <c r="L743" s="92" t="s">
        <v>210</v>
      </c>
      <c r="M743" s="92" t="s">
        <v>210</v>
      </c>
      <c r="N743" s="92">
        <v>-1</v>
      </c>
      <c r="O743" s="92">
        <v>-3</v>
      </c>
      <c r="P743" s="92" t="s">
        <v>210</v>
      </c>
      <c r="Q743" s="92" t="s">
        <v>210</v>
      </c>
      <c r="R743" s="92">
        <v>8</v>
      </c>
      <c r="S743" s="92" t="s">
        <v>202</v>
      </c>
      <c r="T743" s="92" t="s">
        <v>210</v>
      </c>
      <c r="U743" s="94"/>
      <c r="V743" s="94"/>
      <c r="W743" s="94"/>
      <c r="X743" s="94"/>
      <c r="Y743" s="94"/>
      <c r="Z743" s="94"/>
      <c r="AA743" s="94"/>
      <c r="AB743" s="94"/>
      <c r="AC743" s="94"/>
      <c r="AD743" s="94"/>
      <c r="AE743" s="94"/>
      <c r="AF743" s="94"/>
      <c r="AG743" s="94"/>
      <c r="AH743" s="94"/>
      <c r="AI743" s="94"/>
      <c r="AJ743" s="94"/>
      <c r="AK743" s="94"/>
      <c r="AL743" s="94"/>
      <c r="AM743" s="94"/>
      <c r="AN743" s="94"/>
      <c r="AO743" s="94"/>
      <c r="AP743" s="94"/>
      <c r="AQ743" s="94"/>
      <c r="AR743" s="94"/>
      <c r="AS743" s="94"/>
      <c r="AT743" s="94"/>
      <c r="AU743" s="94"/>
      <c r="AV743" s="94"/>
      <c r="AW743" s="94"/>
      <c r="AX743" s="94"/>
      <c r="AY743" s="94"/>
      <c r="AZ743" s="94"/>
      <c r="BA743" s="95"/>
    </row>
    <row r="744" spans="1:53" s="87" customFormat="1">
      <c r="A744" s="90" t="str">
        <f t="shared" si="36"/>
        <v/>
      </c>
      <c r="B744" s="98">
        <v>10</v>
      </c>
      <c r="C744" s="94">
        <v>-7</v>
      </c>
      <c r="D744" s="94" t="s">
        <v>210</v>
      </c>
      <c r="E744" s="94" t="s">
        <v>210</v>
      </c>
      <c r="F744" s="94">
        <v>4</v>
      </c>
      <c r="G744" s="94">
        <v>5</v>
      </c>
      <c r="H744" s="94" t="s">
        <v>210</v>
      </c>
      <c r="I744" s="94" t="s">
        <v>210</v>
      </c>
      <c r="J744" s="94">
        <v>-8</v>
      </c>
      <c r="K744" s="94" t="s">
        <v>202</v>
      </c>
      <c r="L744" s="94" t="s">
        <v>210</v>
      </c>
      <c r="M744" s="94" t="s">
        <v>210</v>
      </c>
      <c r="N744" s="94">
        <v>-3</v>
      </c>
      <c r="O744" s="94">
        <v>1</v>
      </c>
      <c r="P744" s="94" t="s">
        <v>210</v>
      </c>
      <c r="Q744" s="94" t="s">
        <v>210</v>
      </c>
      <c r="R744" s="94">
        <v>6</v>
      </c>
      <c r="S744" s="94">
        <v>-2</v>
      </c>
      <c r="T744" s="94" t="s">
        <v>210</v>
      </c>
      <c r="U744" s="94"/>
      <c r="V744" s="94"/>
      <c r="W744" s="94"/>
      <c r="X744" s="94"/>
      <c r="Y744" s="94"/>
      <c r="Z744" s="94"/>
      <c r="AA744" s="94"/>
      <c r="AB744" s="94"/>
      <c r="AC744" s="94"/>
      <c r="AD744" s="94"/>
      <c r="AE744" s="94"/>
      <c r="AF744" s="94"/>
      <c r="AG744" s="94"/>
      <c r="AH744" s="94"/>
      <c r="AI744" s="94"/>
      <c r="AJ744" s="94"/>
      <c r="AK744" s="94"/>
      <c r="AL744" s="94"/>
      <c r="AM744" s="94"/>
      <c r="AN744" s="94"/>
      <c r="AO744" s="94"/>
      <c r="AP744" s="94"/>
      <c r="AQ744" s="94"/>
      <c r="AR744" s="94"/>
      <c r="AS744" s="94"/>
      <c r="AT744" s="94"/>
      <c r="AU744" s="94"/>
      <c r="AV744" s="94"/>
      <c r="AW744" s="94"/>
      <c r="AX744" s="94"/>
      <c r="AY744" s="94"/>
      <c r="AZ744" s="94"/>
      <c r="BA744" s="95"/>
    </row>
    <row r="745" spans="1:53" s="87" customFormat="1">
      <c r="A745" s="90" t="str">
        <f t="shared" si="36"/>
        <v/>
      </c>
      <c r="B745" s="98">
        <v>11</v>
      </c>
      <c r="C745" s="94">
        <v>-3</v>
      </c>
      <c r="D745" s="94" t="s">
        <v>210</v>
      </c>
      <c r="E745" s="94" t="s">
        <v>210</v>
      </c>
      <c r="F745" s="94">
        <v>7</v>
      </c>
      <c r="G745" s="94">
        <v>8</v>
      </c>
      <c r="H745" s="94" t="s">
        <v>210</v>
      </c>
      <c r="I745" s="94" t="s">
        <v>210</v>
      </c>
      <c r="J745" s="94" t="s">
        <v>202</v>
      </c>
      <c r="K745" s="94">
        <v>-6</v>
      </c>
      <c r="L745" s="94" t="s">
        <v>210</v>
      </c>
      <c r="M745" s="94" t="s">
        <v>210</v>
      </c>
      <c r="N745" s="94">
        <v>-4</v>
      </c>
      <c r="O745" s="94">
        <v>5</v>
      </c>
      <c r="P745" s="94" t="s">
        <v>210</v>
      </c>
      <c r="Q745" s="94" t="s">
        <v>210</v>
      </c>
      <c r="R745" s="94">
        <v>-1</v>
      </c>
      <c r="S745" s="94">
        <v>2</v>
      </c>
      <c r="T745" s="94" t="s">
        <v>210</v>
      </c>
      <c r="U745" s="94"/>
      <c r="V745" s="94"/>
      <c r="W745" s="94"/>
      <c r="X745" s="94"/>
      <c r="Y745" s="94"/>
      <c r="Z745" s="94"/>
      <c r="AA745" s="94"/>
      <c r="AB745" s="94"/>
      <c r="AC745" s="94"/>
      <c r="AD745" s="94"/>
      <c r="AE745" s="94"/>
      <c r="AF745" s="94"/>
      <c r="AG745" s="94"/>
      <c r="AH745" s="94"/>
      <c r="AI745" s="94"/>
      <c r="AJ745" s="94"/>
      <c r="AK745" s="94"/>
      <c r="AL745" s="94"/>
      <c r="AM745" s="94"/>
      <c r="AN745" s="94"/>
      <c r="AO745" s="94"/>
      <c r="AP745" s="94"/>
      <c r="AQ745" s="94"/>
      <c r="AR745" s="94"/>
      <c r="AS745" s="94"/>
      <c r="AT745" s="94"/>
      <c r="AU745" s="94"/>
      <c r="AV745" s="94"/>
      <c r="AW745" s="94"/>
      <c r="AX745" s="94"/>
      <c r="AY745" s="94"/>
      <c r="AZ745" s="94"/>
      <c r="BA745" s="95"/>
    </row>
    <row r="746" spans="1:53" s="87" customFormat="1">
      <c r="A746" s="90" t="str">
        <f t="shared" si="36"/>
        <v/>
      </c>
      <c r="B746" s="98">
        <v>12</v>
      </c>
      <c r="C746" s="94">
        <v>5</v>
      </c>
      <c r="D746" s="94" t="s">
        <v>210</v>
      </c>
      <c r="E746" s="94" t="s">
        <v>210</v>
      </c>
      <c r="F746" s="94">
        <v>8</v>
      </c>
      <c r="G746" s="94">
        <v>-6</v>
      </c>
      <c r="H746" s="94" t="s">
        <v>210</v>
      </c>
      <c r="I746" s="94" t="s">
        <v>210</v>
      </c>
      <c r="J746" s="94">
        <v>-1</v>
      </c>
      <c r="K746" s="94">
        <v>2</v>
      </c>
      <c r="L746" s="94" t="s">
        <v>210</v>
      </c>
      <c r="M746" s="94" t="s">
        <v>210</v>
      </c>
      <c r="N746" s="94">
        <v>3</v>
      </c>
      <c r="O746" s="94">
        <v>-5</v>
      </c>
      <c r="P746" s="94" t="s">
        <v>210</v>
      </c>
      <c r="Q746" s="94" t="s">
        <v>210</v>
      </c>
      <c r="R746" s="94" t="s">
        <v>202</v>
      </c>
      <c r="S746" s="94">
        <v>-7</v>
      </c>
      <c r="T746" s="94" t="s">
        <v>210</v>
      </c>
      <c r="U746" s="94"/>
      <c r="V746" s="94"/>
      <c r="W746" s="94"/>
      <c r="X746" s="94"/>
      <c r="Y746" s="94"/>
      <c r="Z746" s="94"/>
      <c r="AA746" s="94"/>
      <c r="AB746" s="94"/>
      <c r="AC746" s="94"/>
      <c r="AD746" s="94"/>
      <c r="AE746" s="94"/>
      <c r="AF746" s="94"/>
      <c r="AG746" s="94"/>
      <c r="AH746" s="94"/>
      <c r="AI746" s="94"/>
      <c r="AJ746" s="94"/>
      <c r="AK746" s="94"/>
      <c r="AL746" s="94"/>
      <c r="AM746" s="94"/>
      <c r="AN746" s="94"/>
      <c r="AO746" s="94"/>
      <c r="AP746" s="94"/>
      <c r="AQ746" s="94"/>
      <c r="AR746" s="94"/>
      <c r="AS746" s="94"/>
      <c r="AT746" s="94"/>
      <c r="AU746" s="94"/>
      <c r="AV746" s="94"/>
      <c r="AW746" s="94"/>
      <c r="AX746" s="94"/>
      <c r="AY746" s="94"/>
      <c r="AZ746" s="94"/>
      <c r="BA746" s="95"/>
    </row>
    <row r="747" spans="1:53" s="87" customFormat="1">
      <c r="A747" s="90" t="str">
        <f t="shared" si="36"/>
        <v/>
      </c>
      <c r="B747" s="98">
        <v>13</v>
      </c>
      <c r="C747" s="94">
        <v>-6</v>
      </c>
      <c r="D747" s="94" t="s">
        <v>210</v>
      </c>
      <c r="E747" s="94" t="s">
        <v>210</v>
      </c>
      <c r="F747" s="94">
        <v>-1</v>
      </c>
      <c r="G747" s="94">
        <v>3</v>
      </c>
      <c r="H747" s="94" t="s">
        <v>210</v>
      </c>
      <c r="I747" s="94" t="s">
        <v>210</v>
      </c>
      <c r="J747" s="94">
        <v>8</v>
      </c>
      <c r="K747" s="94">
        <v>-5</v>
      </c>
      <c r="L747" s="94" t="s">
        <v>210</v>
      </c>
      <c r="M747" s="94" t="s">
        <v>210</v>
      </c>
      <c r="N747" s="94" t="s">
        <v>202</v>
      </c>
      <c r="O747" s="94">
        <v>-4</v>
      </c>
      <c r="P747" s="94" t="s">
        <v>210</v>
      </c>
      <c r="Q747" s="94" t="s">
        <v>210</v>
      </c>
      <c r="R747" s="94">
        <v>1</v>
      </c>
      <c r="S747" s="94">
        <v>7</v>
      </c>
      <c r="T747" s="94" t="s">
        <v>210</v>
      </c>
      <c r="U747" s="94"/>
      <c r="V747" s="94"/>
      <c r="W747" s="94"/>
      <c r="X747" s="94"/>
      <c r="Y747" s="94"/>
      <c r="Z747" s="94"/>
      <c r="AA747" s="94"/>
      <c r="AB747" s="94"/>
      <c r="AC747" s="94"/>
      <c r="AD747" s="94"/>
      <c r="AE747" s="94"/>
      <c r="AF747" s="94"/>
      <c r="AG747" s="94"/>
      <c r="AH747" s="94"/>
      <c r="AI747" s="94"/>
      <c r="AJ747" s="94"/>
      <c r="AK747" s="94"/>
      <c r="AL747" s="94"/>
      <c r="AM747" s="94"/>
      <c r="AN747" s="94"/>
      <c r="AO747" s="94"/>
      <c r="AP747" s="94"/>
      <c r="AQ747" s="94"/>
      <c r="AR747" s="94"/>
      <c r="AS747" s="94"/>
      <c r="AT747" s="94"/>
      <c r="AU747" s="94"/>
      <c r="AV747" s="94"/>
      <c r="AW747" s="94"/>
      <c r="AX747" s="94"/>
      <c r="AY747" s="94"/>
      <c r="AZ747" s="94"/>
      <c r="BA747" s="95"/>
    </row>
    <row r="748" spans="1:53" s="87" customFormat="1">
      <c r="A748" s="90" t="str">
        <f t="shared" si="36"/>
        <v/>
      </c>
      <c r="B748" s="98">
        <v>14</v>
      </c>
      <c r="C748" s="94" t="s">
        <v>202</v>
      </c>
      <c r="D748" s="94" t="s">
        <v>210</v>
      </c>
      <c r="E748" s="94" t="s">
        <v>210</v>
      </c>
      <c r="F748" s="94">
        <v>-4</v>
      </c>
      <c r="G748" s="94">
        <v>6</v>
      </c>
      <c r="H748" s="94" t="s">
        <v>210</v>
      </c>
      <c r="I748" s="94" t="s">
        <v>210</v>
      </c>
      <c r="J748" s="94">
        <v>-2</v>
      </c>
      <c r="K748" s="94">
        <v>5</v>
      </c>
      <c r="L748" s="94" t="s">
        <v>210</v>
      </c>
      <c r="M748" s="94" t="s">
        <v>210</v>
      </c>
      <c r="N748" s="94">
        <v>4</v>
      </c>
      <c r="O748" s="94">
        <v>-8</v>
      </c>
      <c r="P748" s="94" t="s">
        <v>210</v>
      </c>
      <c r="Q748" s="94" t="s">
        <v>210</v>
      </c>
      <c r="R748" s="94">
        <v>-7</v>
      </c>
      <c r="S748" s="94">
        <v>1</v>
      </c>
      <c r="T748" s="94" t="s">
        <v>210</v>
      </c>
      <c r="U748" s="94"/>
      <c r="V748" s="94"/>
      <c r="W748" s="94"/>
      <c r="X748" s="94"/>
      <c r="Y748" s="94"/>
      <c r="Z748" s="94"/>
      <c r="AA748" s="94"/>
      <c r="AB748" s="94"/>
      <c r="AC748" s="94"/>
      <c r="AD748" s="94"/>
      <c r="AE748" s="94"/>
      <c r="AF748" s="94"/>
      <c r="AG748" s="94"/>
      <c r="AH748" s="94"/>
      <c r="AI748" s="94"/>
      <c r="AJ748" s="94"/>
      <c r="AK748" s="94"/>
      <c r="AL748" s="94"/>
      <c r="AM748" s="94"/>
      <c r="AN748" s="94"/>
      <c r="AO748" s="94"/>
      <c r="AP748" s="94"/>
      <c r="AQ748" s="94"/>
      <c r="AR748" s="94"/>
      <c r="AS748" s="94"/>
      <c r="AT748" s="94"/>
      <c r="AU748" s="94"/>
      <c r="AV748" s="94"/>
      <c r="AW748" s="94"/>
      <c r="AX748" s="94"/>
      <c r="AY748" s="94"/>
      <c r="AZ748" s="94"/>
      <c r="BA748" s="95"/>
    </row>
    <row r="749" spans="1:53" s="87" customFormat="1">
      <c r="A749" s="90" t="str">
        <f t="shared" si="36"/>
        <v/>
      </c>
      <c r="B749" s="98">
        <v>15</v>
      </c>
      <c r="C749" s="94">
        <v>7</v>
      </c>
      <c r="D749" s="94" t="s">
        <v>210</v>
      </c>
      <c r="E749" s="94" t="s">
        <v>210</v>
      </c>
      <c r="F749" s="94">
        <v>-8</v>
      </c>
      <c r="G749" s="94">
        <v>-3</v>
      </c>
      <c r="H749" s="94" t="s">
        <v>210</v>
      </c>
      <c r="I749" s="94" t="s">
        <v>210</v>
      </c>
      <c r="J749" s="94">
        <v>4</v>
      </c>
      <c r="K749" s="94">
        <v>6</v>
      </c>
      <c r="L749" s="94" t="s">
        <v>210</v>
      </c>
      <c r="M749" s="94" t="s">
        <v>210</v>
      </c>
      <c r="N749" s="94">
        <v>-7</v>
      </c>
      <c r="O749" s="94" t="s">
        <v>202</v>
      </c>
      <c r="P749" s="94" t="s">
        <v>210</v>
      </c>
      <c r="Q749" s="94" t="s">
        <v>210</v>
      </c>
      <c r="R749" s="94">
        <v>2</v>
      </c>
      <c r="S749" s="94">
        <v>-1</v>
      </c>
      <c r="T749" s="94" t="s">
        <v>210</v>
      </c>
      <c r="U749" s="94"/>
      <c r="V749" s="94"/>
      <c r="W749" s="94"/>
      <c r="X749" s="94"/>
      <c r="Y749" s="94"/>
      <c r="Z749" s="94"/>
      <c r="AA749" s="94"/>
      <c r="AB749" s="94"/>
      <c r="AC749" s="94"/>
      <c r="AD749" s="94"/>
      <c r="AE749" s="94"/>
      <c r="AF749" s="94"/>
      <c r="AG749" s="94"/>
      <c r="AH749" s="94"/>
      <c r="AI749" s="94"/>
      <c r="AJ749" s="94"/>
      <c r="AK749" s="94"/>
      <c r="AL749" s="94"/>
      <c r="AM749" s="94"/>
      <c r="AN749" s="94"/>
      <c r="AO749" s="94"/>
      <c r="AP749" s="94"/>
      <c r="AQ749" s="94"/>
      <c r="AR749" s="94"/>
      <c r="AS749" s="94"/>
      <c r="AT749" s="94"/>
      <c r="AU749" s="94"/>
      <c r="AV749" s="94"/>
      <c r="AW749" s="94"/>
      <c r="AX749" s="94"/>
      <c r="AY749" s="94"/>
      <c r="AZ749" s="94"/>
      <c r="BA749" s="95"/>
    </row>
    <row r="750" spans="1:53" s="87" customFormat="1">
      <c r="A750" s="90" t="str">
        <f t="shared" si="36"/>
        <v/>
      </c>
      <c r="B750" s="98">
        <v>16</v>
      </c>
      <c r="C750" s="94">
        <v>-5</v>
      </c>
      <c r="D750" s="94" t="s">
        <v>210</v>
      </c>
      <c r="E750" s="94" t="s">
        <v>210</v>
      </c>
      <c r="F750" s="94" t="s">
        <v>202</v>
      </c>
      <c r="G750" s="94">
        <v>-8</v>
      </c>
      <c r="H750" s="94" t="s">
        <v>210</v>
      </c>
      <c r="I750" s="94" t="s">
        <v>210</v>
      </c>
      <c r="J750" s="94">
        <v>2</v>
      </c>
      <c r="K750" s="94">
        <v>-3</v>
      </c>
      <c r="L750" s="94" t="s">
        <v>210</v>
      </c>
      <c r="M750" s="94" t="s">
        <v>210</v>
      </c>
      <c r="N750" s="94">
        <v>7</v>
      </c>
      <c r="O750" s="94">
        <v>4</v>
      </c>
      <c r="P750" s="94" t="s">
        <v>210</v>
      </c>
      <c r="Q750" s="94" t="s">
        <v>210</v>
      </c>
      <c r="R750" s="94">
        <v>-6</v>
      </c>
      <c r="S750" s="94">
        <v>8</v>
      </c>
      <c r="T750" s="94" t="s">
        <v>210</v>
      </c>
      <c r="U750" s="94"/>
      <c r="V750" s="94"/>
      <c r="W750" s="94"/>
      <c r="X750" s="94"/>
      <c r="Y750" s="94"/>
      <c r="Z750" s="94"/>
      <c r="AA750" s="94"/>
      <c r="AB750" s="94"/>
      <c r="AC750" s="94"/>
      <c r="AD750" s="94"/>
      <c r="AE750" s="94"/>
      <c r="AF750" s="94"/>
      <c r="AG750" s="94"/>
      <c r="AH750" s="94"/>
      <c r="AI750" s="94"/>
      <c r="AJ750" s="94"/>
      <c r="AK750" s="94"/>
      <c r="AL750" s="94"/>
      <c r="AM750" s="94"/>
      <c r="AN750" s="94"/>
      <c r="AO750" s="94"/>
      <c r="AP750" s="94"/>
      <c r="AQ750" s="94"/>
      <c r="AR750" s="94"/>
      <c r="AS750" s="94"/>
      <c r="AT750" s="94"/>
      <c r="AU750" s="94"/>
      <c r="AV750" s="94"/>
      <c r="AW750" s="94"/>
      <c r="AX750" s="94"/>
      <c r="AY750" s="94"/>
      <c r="AZ750" s="94"/>
      <c r="BA750" s="95"/>
    </row>
    <row r="751" spans="1:53" s="87" customFormat="1">
      <c r="A751" s="90" t="str">
        <f t="shared" si="36"/>
        <v/>
      </c>
      <c r="B751" s="98">
        <v>17</v>
      </c>
      <c r="C751" s="94">
        <v>3</v>
      </c>
      <c r="D751" s="94" t="s">
        <v>210</v>
      </c>
      <c r="E751" s="94" t="s">
        <v>210</v>
      </c>
      <c r="F751" s="94">
        <v>1</v>
      </c>
      <c r="G751" s="94" t="s">
        <v>202</v>
      </c>
      <c r="H751" s="94" t="s">
        <v>210</v>
      </c>
      <c r="I751" s="94" t="s">
        <v>210</v>
      </c>
      <c r="J751" s="94">
        <v>-4</v>
      </c>
      <c r="K751" s="94">
        <v>-2</v>
      </c>
      <c r="L751" s="94" t="s">
        <v>210</v>
      </c>
      <c r="M751" s="94" t="s">
        <v>210</v>
      </c>
      <c r="N751" s="94">
        <v>6</v>
      </c>
      <c r="O751" s="94">
        <v>-1</v>
      </c>
      <c r="P751" s="94" t="s">
        <v>210</v>
      </c>
      <c r="Q751" s="94" t="s">
        <v>210</v>
      </c>
      <c r="R751" s="94">
        <v>7</v>
      </c>
      <c r="S751" s="94">
        <v>-8</v>
      </c>
      <c r="T751" s="94" t="s">
        <v>210</v>
      </c>
      <c r="U751" s="94"/>
      <c r="V751" s="94"/>
      <c r="W751" s="94"/>
      <c r="X751" s="94"/>
      <c r="Y751" s="94"/>
      <c r="Z751" s="94"/>
      <c r="AA751" s="94"/>
      <c r="AB751" s="94"/>
      <c r="AC751" s="94"/>
      <c r="AD751" s="94"/>
      <c r="AE751" s="94"/>
      <c r="AF751" s="94"/>
      <c r="AG751" s="94"/>
      <c r="AH751" s="94"/>
      <c r="AI751" s="94"/>
      <c r="AJ751" s="94"/>
      <c r="AK751" s="94"/>
      <c r="AL751" s="94"/>
      <c r="AM751" s="94"/>
      <c r="AN751" s="94"/>
      <c r="AO751" s="94"/>
      <c r="AP751" s="94"/>
      <c r="AQ751" s="94"/>
      <c r="AR751" s="94"/>
      <c r="AS751" s="94"/>
      <c r="AT751" s="94"/>
      <c r="AU751" s="94"/>
      <c r="AV751" s="94"/>
      <c r="AW751" s="94"/>
      <c r="AX751" s="94"/>
      <c r="AY751" s="94"/>
      <c r="AZ751" s="94"/>
      <c r="BA751" s="95"/>
    </row>
    <row r="752" spans="1:53" s="87" customFormat="1">
      <c r="A752" s="90" t="str">
        <f t="shared" si="36"/>
        <v/>
      </c>
      <c r="B752" s="99">
        <v>18</v>
      </c>
      <c r="C752" s="92">
        <v>6</v>
      </c>
      <c r="D752" s="92" t="s">
        <v>210</v>
      </c>
      <c r="E752" s="92" t="s">
        <v>210</v>
      </c>
      <c r="F752" s="92">
        <v>-7</v>
      </c>
      <c r="G752" s="92">
        <v>-5</v>
      </c>
      <c r="H752" s="92" t="s">
        <v>210</v>
      </c>
      <c r="I752" s="92" t="s">
        <v>210</v>
      </c>
      <c r="J752" s="92">
        <v>1</v>
      </c>
      <c r="K752" s="92">
        <v>3</v>
      </c>
      <c r="L752" s="92" t="s">
        <v>210</v>
      </c>
      <c r="M752" s="92" t="s">
        <v>210</v>
      </c>
      <c r="N752" s="92">
        <v>-6</v>
      </c>
      <c r="O752" s="92">
        <v>8</v>
      </c>
      <c r="P752" s="92" t="s">
        <v>210</v>
      </c>
      <c r="Q752" s="92" t="s">
        <v>210</v>
      </c>
      <c r="R752" s="92">
        <v>-2</v>
      </c>
      <c r="S752" s="92" t="s">
        <v>202</v>
      </c>
      <c r="T752" s="92" t="s">
        <v>210</v>
      </c>
      <c r="U752" s="94"/>
      <c r="V752" s="94"/>
      <c r="W752" s="94"/>
      <c r="X752" s="94"/>
      <c r="Y752" s="94"/>
      <c r="Z752" s="94"/>
      <c r="AA752" s="94"/>
      <c r="AB752" s="94"/>
      <c r="AC752" s="94"/>
      <c r="AD752" s="94"/>
      <c r="AE752" s="94"/>
      <c r="AF752" s="94"/>
      <c r="AG752" s="94"/>
      <c r="AH752" s="94"/>
      <c r="AI752" s="94"/>
      <c r="AJ752" s="94"/>
      <c r="AK752" s="94"/>
      <c r="AL752" s="94"/>
      <c r="AM752" s="94"/>
      <c r="AN752" s="94"/>
      <c r="AO752" s="94"/>
      <c r="AP752" s="94"/>
      <c r="AQ752" s="94"/>
      <c r="AR752" s="94"/>
      <c r="AS752" s="94"/>
      <c r="AT752" s="94"/>
      <c r="AU752" s="94"/>
      <c r="AV752" s="94"/>
      <c r="AW752" s="94"/>
      <c r="AX752" s="94"/>
      <c r="AY752" s="94"/>
      <c r="AZ752" s="94"/>
      <c r="BA752" s="95"/>
    </row>
    <row r="753" spans="1:53" s="87" customFormat="1">
      <c r="A753" s="90" t="str">
        <f t="shared" si="36"/>
        <v/>
      </c>
      <c r="B753" s="98">
        <v>19</v>
      </c>
      <c r="C753" s="94" t="s">
        <v>210</v>
      </c>
      <c r="D753" s="94" t="s">
        <v>202</v>
      </c>
      <c r="E753" s="94">
        <v>2</v>
      </c>
      <c r="F753" s="94" t="s">
        <v>210</v>
      </c>
      <c r="G753" s="94" t="s">
        <v>210</v>
      </c>
      <c r="H753" s="94">
        <v>1</v>
      </c>
      <c r="I753" s="94">
        <v>-6</v>
      </c>
      <c r="J753" s="94" t="s">
        <v>210</v>
      </c>
      <c r="K753" s="94" t="s">
        <v>210</v>
      </c>
      <c r="L753" s="94">
        <v>7</v>
      </c>
      <c r="M753" s="94">
        <v>-2</v>
      </c>
      <c r="N753" s="94" t="s">
        <v>210</v>
      </c>
      <c r="O753" s="94" t="s">
        <v>210</v>
      </c>
      <c r="P753" s="94">
        <v>3</v>
      </c>
      <c r="Q753" s="94">
        <v>-5</v>
      </c>
      <c r="R753" s="94" t="s">
        <v>210</v>
      </c>
      <c r="S753" s="94" t="s">
        <v>210</v>
      </c>
      <c r="T753" s="94">
        <v>-4</v>
      </c>
      <c r="U753" s="94"/>
      <c r="V753" s="94"/>
      <c r="W753" s="94"/>
      <c r="X753" s="94"/>
      <c r="Y753" s="94"/>
      <c r="Z753" s="94"/>
      <c r="AA753" s="94"/>
      <c r="AB753" s="94"/>
      <c r="AC753" s="94"/>
      <c r="AD753" s="94"/>
      <c r="AE753" s="94"/>
      <c r="AF753" s="94"/>
      <c r="AG753" s="94"/>
      <c r="AH753" s="94"/>
      <c r="AI753" s="94"/>
      <c r="AJ753" s="94"/>
      <c r="AK753" s="94"/>
      <c r="AL753" s="94"/>
      <c r="AM753" s="94"/>
      <c r="AN753" s="94"/>
      <c r="AO753" s="94"/>
      <c r="AP753" s="94"/>
      <c r="AQ753" s="94"/>
      <c r="AR753" s="94"/>
      <c r="AS753" s="94"/>
      <c r="AT753" s="94"/>
      <c r="AU753" s="94"/>
      <c r="AV753" s="94"/>
      <c r="AW753" s="94"/>
      <c r="AX753" s="94"/>
      <c r="AY753" s="94"/>
      <c r="AZ753" s="94"/>
      <c r="BA753" s="95"/>
    </row>
    <row r="754" spans="1:53" s="87" customFormat="1">
      <c r="A754" s="90" t="str">
        <f t="shared" si="36"/>
        <v/>
      </c>
      <c r="B754" s="98">
        <v>20</v>
      </c>
      <c r="C754" s="94" t="s">
        <v>210</v>
      </c>
      <c r="D754" s="94">
        <v>-1</v>
      </c>
      <c r="E754" s="94">
        <v>3</v>
      </c>
      <c r="F754" s="94" t="s">
        <v>210</v>
      </c>
      <c r="G754" s="94" t="s">
        <v>210</v>
      </c>
      <c r="H754" s="94" t="s">
        <v>202</v>
      </c>
      <c r="I754" s="94">
        <v>-7</v>
      </c>
      <c r="J754" s="94" t="s">
        <v>210</v>
      </c>
      <c r="K754" s="94" t="s">
        <v>210</v>
      </c>
      <c r="L754" s="94">
        <v>-8</v>
      </c>
      <c r="M754" s="94">
        <v>5</v>
      </c>
      <c r="N754" s="94" t="s">
        <v>210</v>
      </c>
      <c r="O754" s="94" t="s">
        <v>210</v>
      </c>
      <c r="P754" s="94">
        <v>2</v>
      </c>
      <c r="Q754" s="94">
        <v>-3</v>
      </c>
      <c r="R754" s="94" t="s">
        <v>210</v>
      </c>
      <c r="S754" s="94" t="s">
        <v>210</v>
      </c>
      <c r="T754" s="94">
        <v>4</v>
      </c>
      <c r="U754" s="94"/>
      <c r="V754" s="94"/>
      <c r="W754" s="94"/>
      <c r="X754" s="94"/>
      <c r="Y754" s="94"/>
      <c r="Z754" s="94"/>
      <c r="AA754" s="94"/>
      <c r="AB754" s="94"/>
      <c r="AC754" s="94"/>
      <c r="AD754" s="94"/>
      <c r="AE754" s="94"/>
      <c r="AF754" s="94"/>
      <c r="AG754" s="94"/>
      <c r="AH754" s="94"/>
      <c r="AI754" s="94"/>
      <c r="AJ754" s="94"/>
      <c r="AK754" s="94"/>
      <c r="AL754" s="94"/>
      <c r="AM754" s="94"/>
      <c r="AN754" s="94"/>
      <c r="AO754" s="94"/>
      <c r="AP754" s="94"/>
      <c r="AQ754" s="94"/>
      <c r="AR754" s="94"/>
      <c r="AS754" s="94"/>
      <c r="AT754" s="94"/>
      <c r="AU754" s="94"/>
      <c r="AV754" s="94"/>
      <c r="AW754" s="94"/>
      <c r="AX754" s="94"/>
      <c r="AY754" s="94"/>
      <c r="AZ754" s="94"/>
      <c r="BA754" s="95"/>
    </row>
    <row r="755" spans="1:53" s="87" customFormat="1">
      <c r="A755" s="90" t="str">
        <f t="shared" si="36"/>
        <v/>
      </c>
      <c r="B755" s="98">
        <v>21</v>
      </c>
      <c r="C755" s="94" t="s">
        <v>210</v>
      </c>
      <c r="D755" s="94">
        <v>4</v>
      </c>
      <c r="E755" s="94">
        <v>-2</v>
      </c>
      <c r="F755" s="94" t="s">
        <v>210</v>
      </c>
      <c r="G755" s="94" t="s">
        <v>210</v>
      </c>
      <c r="H755" s="94">
        <v>-7</v>
      </c>
      <c r="I755" s="94">
        <v>3</v>
      </c>
      <c r="J755" s="94" t="s">
        <v>210</v>
      </c>
      <c r="K755" s="94" t="s">
        <v>210</v>
      </c>
      <c r="L755" s="94">
        <v>8</v>
      </c>
      <c r="M755" s="94" t="s">
        <v>202</v>
      </c>
      <c r="N755" s="94" t="s">
        <v>210</v>
      </c>
      <c r="O755" s="94" t="s">
        <v>210</v>
      </c>
      <c r="P755" s="94">
        <v>-6</v>
      </c>
      <c r="Q755" s="94">
        <v>-4</v>
      </c>
      <c r="R755" s="94" t="s">
        <v>210</v>
      </c>
      <c r="S755" s="94" t="s">
        <v>210</v>
      </c>
      <c r="T755" s="94">
        <v>5</v>
      </c>
      <c r="U755" s="94"/>
      <c r="V755" s="94"/>
      <c r="W755" s="94"/>
      <c r="X755" s="94"/>
      <c r="Y755" s="94"/>
      <c r="Z755" s="94"/>
      <c r="AA755" s="94"/>
      <c r="AB755" s="94"/>
      <c r="AC755" s="94"/>
      <c r="AD755" s="94"/>
      <c r="AE755" s="94"/>
      <c r="AF755" s="94"/>
      <c r="AG755" s="94"/>
      <c r="AH755" s="94"/>
      <c r="AI755" s="94"/>
      <c r="AJ755" s="94"/>
      <c r="AK755" s="94"/>
      <c r="AL755" s="94"/>
      <c r="AM755" s="94"/>
      <c r="AN755" s="94"/>
      <c r="AO755" s="94"/>
      <c r="AP755" s="94"/>
      <c r="AQ755" s="94"/>
      <c r="AR755" s="94"/>
      <c r="AS755" s="94"/>
      <c r="AT755" s="94"/>
      <c r="AU755" s="94"/>
      <c r="AV755" s="94"/>
      <c r="AW755" s="94"/>
      <c r="AX755" s="94"/>
      <c r="AY755" s="94"/>
      <c r="AZ755" s="94"/>
      <c r="BA755" s="95"/>
    </row>
    <row r="756" spans="1:53" s="87" customFormat="1">
      <c r="A756" s="90" t="str">
        <f t="shared" si="36"/>
        <v/>
      </c>
      <c r="B756" s="98">
        <v>22</v>
      </c>
      <c r="C756" s="94" t="s">
        <v>210</v>
      </c>
      <c r="D756" s="94">
        <v>2</v>
      </c>
      <c r="E756" s="94">
        <v>5</v>
      </c>
      <c r="F756" s="94" t="s">
        <v>210</v>
      </c>
      <c r="G756" s="94" t="s">
        <v>210</v>
      </c>
      <c r="H756" s="94">
        <v>-1</v>
      </c>
      <c r="I756" s="94" t="s">
        <v>202</v>
      </c>
      <c r="J756" s="94" t="s">
        <v>210</v>
      </c>
      <c r="K756" s="94" t="s">
        <v>210</v>
      </c>
      <c r="L756" s="94">
        <v>-4</v>
      </c>
      <c r="M756" s="94">
        <v>8</v>
      </c>
      <c r="N756" s="94" t="s">
        <v>210</v>
      </c>
      <c r="O756" s="94" t="s">
        <v>210</v>
      </c>
      <c r="P756" s="94">
        <v>-7</v>
      </c>
      <c r="Q756" s="94">
        <v>3</v>
      </c>
      <c r="R756" s="94" t="s">
        <v>210</v>
      </c>
      <c r="S756" s="94" t="s">
        <v>210</v>
      </c>
      <c r="T756" s="94">
        <v>-5</v>
      </c>
      <c r="U756" s="94"/>
      <c r="V756" s="94"/>
      <c r="W756" s="94"/>
      <c r="X756" s="94"/>
      <c r="Y756" s="94"/>
      <c r="Z756" s="94"/>
      <c r="AA756" s="94"/>
      <c r="AB756" s="94"/>
      <c r="AC756" s="94"/>
      <c r="AD756" s="94"/>
      <c r="AE756" s="94"/>
      <c r="AF756" s="94"/>
      <c r="AG756" s="94"/>
      <c r="AH756" s="94"/>
      <c r="AI756" s="94"/>
      <c r="AJ756" s="94"/>
      <c r="AK756" s="94"/>
      <c r="AL756" s="94"/>
      <c r="AM756" s="94"/>
      <c r="AN756" s="94"/>
      <c r="AO756" s="94"/>
      <c r="AP756" s="94"/>
      <c r="AQ756" s="94"/>
      <c r="AR756" s="94"/>
      <c r="AS756" s="94"/>
      <c r="AT756" s="94"/>
      <c r="AU756" s="94"/>
      <c r="AV756" s="94"/>
      <c r="AW756" s="94"/>
      <c r="AX756" s="94"/>
      <c r="AY756" s="94"/>
      <c r="AZ756" s="94"/>
      <c r="BA756" s="95"/>
    </row>
    <row r="757" spans="1:53" s="87" customFormat="1">
      <c r="A757" s="90" t="str">
        <f t="shared" si="36"/>
        <v/>
      </c>
      <c r="B757" s="98">
        <v>23</v>
      </c>
      <c r="C757" s="94" t="s">
        <v>210</v>
      </c>
      <c r="D757" s="94">
        <v>1</v>
      </c>
      <c r="E757" s="94">
        <v>-6</v>
      </c>
      <c r="F757" s="94" t="s">
        <v>210</v>
      </c>
      <c r="G757" s="94" t="s">
        <v>210</v>
      </c>
      <c r="H757" s="94">
        <v>-4</v>
      </c>
      <c r="I757" s="94">
        <v>5</v>
      </c>
      <c r="J757" s="94" t="s">
        <v>210</v>
      </c>
      <c r="K757" s="94" t="s">
        <v>210</v>
      </c>
      <c r="L757" s="94">
        <v>-7</v>
      </c>
      <c r="M757" s="94">
        <v>-8</v>
      </c>
      <c r="N757" s="94" t="s">
        <v>210</v>
      </c>
      <c r="O757" s="94" t="s">
        <v>210</v>
      </c>
      <c r="P757" s="94">
        <v>6</v>
      </c>
      <c r="Q757" s="94" t="s">
        <v>202</v>
      </c>
      <c r="R757" s="94" t="s">
        <v>210</v>
      </c>
      <c r="S757" s="94" t="s">
        <v>210</v>
      </c>
      <c r="T757" s="94">
        <v>3</v>
      </c>
      <c r="U757" s="94"/>
      <c r="V757" s="94"/>
      <c r="W757" s="94"/>
      <c r="X757" s="94"/>
      <c r="Y757" s="94"/>
      <c r="Z757" s="94"/>
      <c r="AA757" s="94"/>
      <c r="AB757" s="94"/>
      <c r="AC757" s="94"/>
      <c r="AD757" s="94"/>
      <c r="AE757" s="94"/>
      <c r="AF757" s="94"/>
      <c r="AG757" s="94"/>
      <c r="AH757" s="94"/>
      <c r="AI757" s="94"/>
      <c r="AJ757" s="94"/>
      <c r="AK757" s="94"/>
      <c r="AL757" s="94"/>
      <c r="AM757" s="94"/>
      <c r="AN757" s="94"/>
      <c r="AO757" s="94"/>
      <c r="AP757" s="94"/>
      <c r="AQ757" s="94"/>
      <c r="AR757" s="94"/>
      <c r="AS757" s="94"/>
      <c r="AT757" s="94"/>
      <c r="AU757" s="94"/>
      <c r="AV757" s="94"/>
      <c r="AW757" s="94"/>
      <c r="AX757" s="94"/>
      <c r="AY757" s="94"/>
      <c r="AZ757" s="94"/>
      <c r="BA757" s="95"/>
    </row>
    <row r="758" spans="1:53" s="87" customFormat="1">
      <c r="A758" s="90" t="str">
        <f t="shared" si="36"/>
        <v/>
      </c>
      <c r="B758" s="98">
        <v>24</v>
      </c>
      <c r="C758" s="94" t="s">
        <v>210</v>
      </c>
      <c r="D758" s="94">
        <v>-8</v>
      </c>
      <c r="E758" s="94" t="s">
        <v>202</v>
      </c>
      <c r="F758" s="94" t="s">
        <v>210</v>
      </c>
      <c r="G758" s="94" t="s">
        <v>210</v>
      </c>
      <c r="H758" s="94">
        <v>2</v>
      </c>
      <c r="I758" s="94">
        <v>6</v>
      </c>
      <c r="J758" s="94" t="s">
        <v>210</v>
      </c>
      <c r="K758" s="94" t="s">
        <v>210</v>
      </c>
      <c r="L758" s="94">
        <v>-1</v>
      </c>
      <c r="M758" s="94">
        <v>-5</v>
      </c>
      <c r="N758" s="94" t="s">
        <v>210</v>
      </c>
      <c r="O758" s="94" t="s">
        <v>210</v>
      </c>
      <c r="P758" s="94">
        <v>7</v>
      </c>
      <c r="Q758" s="94">
        <v>4</v>
      </c>
      <c r="R758" s="94" t="s">
        <v>210</v>
      </c>
      <c r="S758" s="94" t="s">
        <v>210</v>
      </c>
      <c r="T758" s="94">
        <v>-3</v>
      </c>
      <c r="U758" s="94"/>
      <c r="V758" s="94"/>
      <c r="W758" s="94"/>
      <c r="X758" s="94"/>
      <c r="Y758" s="94"/>
      <c r="Z758" s="94"/>
      <c r="AA758" s="94"/>
      <c r="AB758" s="94"/>
      <c r="AC758" s="94"/>
      <c r="AD758" s="94"/>
      <c r="AE758" s="94"/>
      <c r="AF758" s="94"/>
      <c r="AG758" s="94"/>
      <c r="AH758" s="94"/>
      <c r="AI758" s="94"/>
      <c r="AJ758" s="94"/>
      <c r="AK758" s="94"/>
      <c r="AL758" s="94"/>
      <c r="AM758" s="94"/>
      <c r="AN758" s="94"/>
      <c r="AO758" s="94"/>
      <c r="AP758" s="94"/>
      <c r="AQ758" s="94"/>
      <c r="AR758" s="94"/>
      <c r="AS758" s="94"/>
      <c r="AT758" s="94"/>
      <c r="AU758" s="94"/>
      <c r="AV758" s="94"/>
      <c r="AW758" s="94"/>
      <c r="AX758" s="94"/>
      <c r="AY758" s="94"/>
      <c r="AZ758" s="94"/>
      <c r="BA758" s="95"/>
    </row>
    <row r="759" spans="1:53" s="87" customFormat="1">
      <c r="A759" s="90" t="str">
        <f t="shared" si="36"/>
        <v/>
      </c>
      <c r="B759" s="98">
        <v>25</v>
      </c>
      <c r="C759" s="94" t="s">
        <v>210</v>
      </c>
      <c r="D759" s="94">
        <v>8</v>
      </c>
      <c r="E759" s="94">
        <v>-5</v>
      </c>
      <c r="F759" s="94" t="s">
        <v>210</v>
      </c>
      <c r="G759" s="94" t="s">
        <v>210</v>
      </c>
      <c r="H759" s="94">
        <v>4</v>
      </c>
      <c r="I759" s="94">
        <v>-3</v>
      </c>
      <c r="J759" s="94" t="s">
        <v>210</v>
      </c>
      <c r="K759" s="94" t="s">
        <v>210</v>
      </c>
      <c r="L759" s="94" t="s">
        <v>202</v>
      </c>
      <c r="M759" s="94">
        <v>1</v>
      </c>
      <c r="N759" s="94" t="s">
        <v>210</v>
      </c>
      <c r="O759" s="94" t="s">
        <v>210</v>
      </c>
      <c r="P759" s="94">
        <v>-2</v>
      </c>
      <c r="Q759" s="94">
        <v>5</v>
      </c>
      <c r="R759" s="94" t="s">
        <v>210</v>
      </c>
      <c r="S759" s="94" t="s">
        <v>210</v>
      </c>
      <c r="T759" s="94">
        <v>-6</v>
      </c>
      <c r="U759" s="94"/>
      <c r="V759" s="94"/>
      <c r="W759" s="94"/>
      <c r="X759" s="94"/>
      <c r="Y759" s="94"/>
      <c r="Z759" s="94"/>
      <c r="AA759" s="94"/>
      <c r="AB759" s="94"/>
      <c r="AC759" s="94"/>
      <c r="AD759" s="94"/>
      <c r="AE759" s="94"/>
      <c r="AF759" s="94"/>
      <c r="AG759" s="94"/>
      <c r="AH759" s="94"/>
      <c r="AI759" s="94"/>
      <c r="AJ759" s="94"/>
      <c r="AK759" s="94"/>
      <c r="AL759" s="94"/>
      <c r="AM759" s="94"/>
      <c r="AN759" s="94"/>
      <c r="AO759" s="94"/>
      <c r="AP759" s="94"/>
      <c r="AQ759" s="94"/>
      <c r="AR759" s="94"/>
      <c r="AS759" s="94"/>
      <c r="AT759" s="94"/>
      <c r="AU759" s="94"/>
      <c r="AV759" s="94"/>
      <c r="AW759" s="94"/>
      <c r="AX759" s="94"/>
      <c r="AY759" s="94"/>
      <c r="AZ759" s="94"/>
      <c r="BA759" s="95"/>
    </row>
    <row r="760" spans="1:53" s="87" customFormat="1">
      <c r="A760" s="90" t="str">
        <f t="shared" si="36"/>
        <v/>
      </c>
      <c r="B760" s="98">
        <v>26</v>
      </c>
      <c r="C760" s="94" t="s">
        <v>210</v>
      </c>
      <c r="D760" s="94">
        <v>-2</v>
      </c>
      <c r="E760" s="94">
        <v>-3</v>
      </c>
      <c r="F760" s="94" t="s">
        <v>210</v>
      </c>
      <c r="G760" s="94" t="s">
        <v>210</v>
      </c>
      <c r="H760" s="94">
        <v>7</v>
      </c>
      <c r="I760" s="94">
        <v>-5</v>
      </c>
      <c r="J760" s="94" t="s">
        <v>210</v>
      </c>
      <c r="K760" s="94" t="s">
        <v>210</v>
      </c>
      <c r="L760" s="94">
        <v>1</v>
      </c>
      <c r="M760" s="94">
        <v>2</v>
      </c>
      <c r="N760" s="94" t="s">
        <v>210</v>
      </c>
      <c r="O760" s="94" t="s">
        <v>210</v>
      </c>
      <c r="P760" s="94" t="s">
        <v>202</v>
      </c>
      <c r="Q760" s="94">
        <v>-8</v>
      </c>
      <c r="R760" s="94" t="s">
        <v>210</v>
      </c>
      <c r="S760" s="94" t="s">
        <v>210</v>
      </c>
      <c r="T760" s="94">
        <v>6</v>
      </c>
      <c r="U760" s="94"/>
      <c r="V760" s="94"/>
      <c r="W760" s="94"/>
      <c r="X760" s="94"/>
      <c r="Y760" s="94"/>
      <c r="Z760" s="94"/>
      <c r="AA760" s="94"/>
      <c r="AB760" s="94"/>
      <c r="AC760" s="94"/>
      <c r="AD760" s="94"/>
      <c r="AE760" s="94"/>
      <c r="AF760" s="94"/>
      <c r="AG760" s="94"/>
      <c r="AH760" s="94"/>
      <c r="AI760" s="94"/>
      <c r="AJ760" s="94"/>
      <c r="AK760" s="94"/>
      <c r="AL760" s="94"/>
      <c r="AM760" s="94"/>
      <c r="AN760" s="94"/>
      <c r="AO760" s="94"/>
      <c r="AP760" s="94"/>
      <c r="AQ760" s="94"/>
      <c r="AR760" s="94"/>
      <c r="AS760" s="94"/>
      <c r="AT760" s="94"/>
      <c r="AU760" s="94"/>
      <c r="AV760" s="94"/>
      <c r="AW760" s="94"/>
      <c r="AX760" s="94"/>
      <c r="AY760" s="94"/>
      <c r="AZ760" s="94"/>
      <c r="BA760" s="95"/>
    </row>
    <row r="761" spans="1:53" s="87" customFormat="1">
      <c r="A761" s="90" t="str">
        <f t="shared" si="36"/>
        <v/>
      </c>
      <c r="B761" s="99">
        <v>27</v>
      </c>
      <c r="C761" s="92" t="s">
        <v>210</v>
      </c>
      <c r="D761" s="92">
        <v>-4</v>
      </c>
      <c r="E761" s="92">
        <v>6</v>
      </c>
      <c r="F761" s="92" t="s">
        <v>210</v>
      </c>
      <c r="G761" s="92" t="s">
        <v>210</v>
      </c>
      <c r="H761" s="92">
        <v>-2</v>
      </c>
      <c r="I761" s="92">
        <v>7</v>
      </c>
      <c r="J761" s="92" t="s">
        <v>210</v>
      </c>
      <c r="K761" s="92" t="s">
        <v>210</v>
      </c>
      <c r="L761" s="92">
        <v>4</v>
      </c>
      <c r="M761" s="92">
        <v>-1</v>
      </c>
      <c r="N761" s="92" t="s">
        <v>210</v>
      </c>
      <c r="O761" s="92" t="s">
        <v>210</v>
      </c>
      <c r="P761" s="92">
        <v>-3</v>
      </c>
      <c r="Q761" s="92">
        <v>8</v>
      </c>
      <c r="R761" s="92" t="s">
        <v>210</v>
      </c>
      <c r="S761" s="92" t="s">
        <v>210</v>
      </c>
      <c r="T761" s="92" t="s">
        <v>202</v>
      </c>
      <c r="U761" s="94"/>
      <c r="V761" s="94"/>
      <c r="W761" s="94"/>
      <c r="X761" s="94"/>
      <c r="Y761" s="94"/>
      <c r="Z761" s="94"/>
      <c r="AA761" s="94"/>
      <c r="AB761" s="94"/>
      <c r="AC761" s="94"/>
      <c r="AD761" s="94"/>
      <c r="AE761" s="94"/>
      <c r="AF761" s="94"/>
      <c r="AG761" s="94"/>
      <c r="AH761" s="94"/>
      <c r="AI761" s="94"/>
      <c r="AJ761" s="94"/>
      <c r="AK761" s="94"/>
      <c r="AL761" s="94"/>
      <c r="AM761" s="94"/>
      <c r="AN761" s="94"/>
      <c r="AO761" s="94"/>
      <c r="AP761" s="94"/>
      <c r="AQ761" s="94"/>
      <c r="AR761" s="94"/>
      <c r="AS761" s="94"/>
      <c r="AT761" s="94"/>
      <c r="AU761" s="94"/>
      <c r="AV761" s="94"/>
      <c r="AW761" s="94"/>
      <c r="AX761" s="94"/>
      <c r="AY761" s="94"/>
      <c r="AZ761" s="94"/>
      <c r="BA761" s="95"/>
    </row>
    <row r="762" spans="1:53" s="87" customFormat="1">
      <c r="A762" s="90" t="str">
        <f t="shared" si="36"/>
        <v/>
      </c>
      <c r="B762" s="98">
        <v>28</v>
      </c>
      <c r="C762" s="94" t="s">
        <v>210</v>
      </c>
      <c r="D762" s="94">
        <v>-7</v>
      </c>
      <c r="E762" s="94">
        <v>4</v>
      </c>
      <c r="F762" s="94" t="s">
        <v>210</v>
      </c>
      <c r="G762" s="94" t="s">
        <v>210</v>
      </c>
      <c r="H762" s="94">
        <v>5</v>
      </c>
      <c r="I762" s="94">
        <v>-8</v>
      </c>
      <c r="J762" s="94" t="s">
        <v>210</v>
      </c>
      <c r="K762" s="94" t="s">
        <v>210</v>
      </c>
      <c r="L762" s="94" t="s">
        <v>202</v>
      </c>
      <c r="M762" s="94">
        <v>-3</v>
      </c>
      <c r="N762" s="94" t="s">
        <v>210</v>
      </c>
      <c r="O762" s="94" t="s">
        <v>210</v>
      </c>
      <c r="P762" s="94">
        <v>1</v>
      </c>
      <c r="Q762" s="94">
        <v>6</v>
      </c>
      <c r="R762" s="94" t="s">
        <v>210</v>
      </c>
      <c r="S762" s="94" t="s">
        <v>210</v>
      </c>
      <c r="T762" s="94">
        <v>-2</v>
      </c>
      <c r="U762" s="94"/>
      <c r="V762" s="94"/>
      <c r="W762" s="94"/>
      <c r="X762" s="94"/>
      <c r="Y762" s="94"/>
      <c r="Z762" s="94"/>
      <c r="AA762" s="94"/>
      <c r="AB762" s="94"/>
      <c r="AC762" s="94"/>
      <c r="AD762" s="94"/>
      <c r="AE762" s="94"/>
      <c r="AF762" s="94"/>
      <c r="AG762" s="94"/>
      <c r="AH762" s="94"/>
      <c r="AI762" s="94"/>
      <c r="AJ762" s="94"/>
      <c r="AK762" s="94"/>
      <c r="AL762" s="94"/>
      <c r="AM762" s="94"/>
      <c r="AN762" s="94"/>
      <c r="AO762" s="94"/>
      <c r="AP762" s="94"/>
      <c r="AQ762" s="94"/>
      <c r="AR762" s="94"/>
      <c r="AS762" s="94"/>
      <c r="AT762" s="94"/>
      <c r="AU762" s="94"/>
      <c r="AV762" s="94"/>
      <c r="AW762" s="94"/>
      <c r="AX762" s="94"/>
      <c r="AY762" s="94"/>
      <c r="AZ762" s="94"/>
      <c r="BA762" s="95"/>
    </row>
    <row r="763" spans="1:53" s="87" customFormat="1">
      <c r="A763" s="90" t="str">
        <f t="shared" si="36"/>
        <v/>
      </c>
      <c r="B763" s="98">
        <v>29</v>
      </c>
      <c r="C763" s="94" t="s">
        <v>210</v>
      </c>
      <c r="D763" s="94">
        <v>-3</v>
      </c>
      <c r="E763" s="94">
        <v>7</v>
      </c>
      <c r="F763" s="94" t="s">
        <v>210</v>
      </c>
      <c r="G763" s="94" t="s">
        <v>210</v>
      </c>
      <c r="H763" s="94">
        <v>8</v>
      </c>
      <c r="I763" s="94" t="s">
        <v>202</v>
      </c>
      <c r="J763" s="94" t="s">
        <v>210</v>
      </c>
      <c r="K763" s="94" t="s">
        <v>210</v>
      </c>
      <c r="L763" s="94">
        <v>-6</v>
      </c>
      <c r="M763" s="94">
        <v>-4</v>
      </c>
      <c r="N763" s="94" t="s">
        <v>210</v>
      </c>
      <c r="O763" s="94" t="s">
        <v>210</v>
      </c>
      <c r="P763" s="94">
        <v>5</v>
      </c>
      <c r="Q763" s="94">
        <v>-1</v>
      </c>
      <c r="R763" s="94" t="s">
        <v>210</v>
      </c>
      <c r="S763" s="94" t="s">
        <v>210</v>
      </c>
      <c r="T763" s="94">
        <v>2</v>
      </c>
      <c r="U763" s="94"/>
      <c r="V763" s="94"/>
      <c r="W763" s="94"/>
      <c r="X763" s="94"/>
      <c r="Y763" s="94"/>
      <c r="Z763" s="94"/>
      <c r="AA763" s="94"/>
      <c r="AB763" s="94"/>
      <c r="AC763" s="94"/>
      <c r="AD763" s="94"/>
      <c r="AE763" s="94"/>
      <c r="AF763" s="94"/>
      <c r="AG763" s="94"/>
      <c r="AH763" s="94"/>
      <c r="AI763" s="94"/>
      <c r="AJ763" s="94"/>
      <c r="AK763" s="94"/>
      <c r="AL763" s="94"/>
      <c r="AM763" s="94"/>
      <c r="AN763" s="94"/>
      <c r="AO763" s="94"/>
      <c r="AP763" s="94"/>
      <c r="AQ763" s="94"/>
      <c r="AR763" s="94"/>
      <c r="AS763" s="94"/>
      <c r="AT763" s="94"/>
      <c r="AU763" s="94"/>
      <c r="AV763" s="94"/>
      <c r="AW763" s="94"/>
      <c r="AX763" s="94"/>
      <c r="AY763" s="94"/>
      <c r="AZ763" s="94"/>
      <c r="BA763" s="95"/>
    </row>
    <row r="764" spans="1:53" s="87" customFormat="1">
      <c r="A764" s="90" t="str">
        <f t="shared" si="36"/>
        <v/>
      </c>
      <c r="B764" s="98">
        <v>30</v>
      </c>
      <c r="C764" s="94" t="s">
        <v>210</v>
      </c>
      <c r="D764" s="94">
        <v>5</v>
      </c>
      <c r="E764" s="94">
        <v>8</v>
      </c>
      <c r="F764" s="94" t="s">
        <v>210</v>
      </c>
      <c r="G764" s="94" t="s">
        <v>210</v>
      </c>
      <c r="H764" s="94">
        <v>-6</v>
      </c>
      <c r="I764" s="94">
        <v>-1</v>
      </c>
      <c r="J764" s="94" t="s">
        <v>210</v>
      </c>
      <c r="K764" s="94" t="s">
        <v>210</v>
      </c>
      <c r="L764" s="94">
        <v>2</v>
      </c>
      <c r="M764" s="94">
        <v>3</v>
      </c>
      <c r="N764" s="94" t="s">
        <v>210</v>
      </c>
      <c r="O764" s="94" t="s">
        <v>210</v>
      </c>
      <c r="P764" s="94">
        <v>-5</v>
      </c>
      <c r="Q764" s="94" t="s">
        <v>202</v>
      </c>
      <c r="R764" s="94" t="s">
        <v>210</v>
      </c>
      <c r="S764" s="94" t="s">
        <v>210</v>
      </c>
      <c r="T764" s="94">
        <v>-7</v>
      </c>
      <c r="U764" s="94"/>
      <c r="V764" s="94"/>
      <c r="W764" s="94"/>
      <c r="X764" s="94"/>
      <c r="Y764" s="94"/>
      <c r="Z764" s="94"/>
      <c r="AA764" s="94"/>
      <c r="AB764" s="94"/>
      <c r="AC764" s="94"/>
      <c r="AD764" s="94"/>
      <c r="AE764" s="94"/>
      <c r="AF764" s="94"/>
      <c r="AG764" s="94"/>
      <c r="AH764" s="94"/>
      <c r="AI764" s="94"/>
      <c r="AJ764" s="94"/>
      <c r="AK764" s="94"/>
      <c r="AL764" s="94"/>
      <c r="AM764" s="94"/>
      <c r="AN764" s="94"/>
      <c r="AO764" s="94"/>
      <c r="AP764" s="94"/>
      <c r="AQ764" s="94"/>
      <c r="AR764" s="94"/>
      <c r="AS764" s="94"/>
      <c r="AT764" s="94"/>
      <c r="AU764" s="94"/>
      <c r="AV764" s="94"/>
      <c r="AW764" s="94"/>
      <c r="AX764" s="94"/>
      <c r="AY764" s="94"/>
      <c r="AZ764" s="94"/>
      <c r="BA764" s="95"/>
    </row>
    <row r="765" spans="1:53" s="87" customFormat="1">
      <c r="A765" s="90" t="str">
        <f t="shared" si="36"/>
        <v/>
      </c>
      <c r="B765" s="98">
        <v>31</v>
      </c>
      <c r="C765" s="94" t="s">
        <v>210</v>
      </c>
      <c r="D765" s="94">
        <v>-6</v>
      </c>
      <c r="E765" s="94">
        <v>-1</v>
      </c>
      <c r="F765" s="94" t="s">
        <v>210</v>
      </c>
      <c r="G765" s="94" t="s">
        <v>210</v>
      </c>
      <c r="H765" s="94">
        <v>3</v>
      </c>
      <c r="I765" s="94">
        <v>8</v>
      </c>
      <c r="J765" s="94" t="s">
        <v>210</v>
      </c>
      <c r="K765" s="94" t="s">
        <v>210</v>
      </c>
      <c r="L765" s="94">
        <v>-5</v>
      </c>
      <c r="M765" s="94" t="s">
        <v>202</v>
      </c>
      <c r="N765" s="94" t="s">
        <v>210</v>
      </c>
      <c r="O765" s="94" t="s">
        <v>210</v>
      </c>
      <c r="P765" s="94">
        <v>-4</v>
      </c>
      <c r="Q765" s="94">
        <v>1</v>
      </c>
      <c r="R765" s="94" t="s">
        <v>210</v>
      </c>
      <c r="S765" s="94" t="s">
        <v>210</v>
      </c>
      <c r="T765" s="94">
        <v>7</v>
      </c>
      <c r="U765" s="94"/>
      <c r="V765" s="94"/>
      <c r="W765" s="94"/>
      <c r="X765" s="94"/>
      <c r="Y765" s="94"/>
      <c r="Z765" s="94"/>
      <c r="AA765" s="94"/>
      <c r="AB765" s="94"/>
      <c r="AC765" s="94"/>
      <c r="AD765" s="94"/>
      <c r="AE765" s="94"/>
      <c r="AF765" s="94"/>
      <c r="AG765" s="94"/>
      <c r="AH765" s="94"/>
      <c r="AI765" s="94"/>
      <c r="AJ765" s="94"/>
      <c r="AK765" s="94"/>
      <c r="AL765" s="94"/>
      <c r="AM765" s="94"/>
      <c r="AN765" s="94"/>
      <c r="AO765" s="94"/>
      <c r="AP765" s="94"/>
      <c r="AQ765" s="94"/>
      <c r="AR765" s="94"/>
      <c r="AS765" s="94"/>
      <c r="AT765" s="94"/>
      <c r="AU765" s="94"/>
      <c r="AV765" s="94"/>
      <c r="AW765" s="94"/>
      <c r="AX765" s="94"/>
      <c r="AY765" s="94"/>
      <c r="AZ765" s="94"/>
      <c r="BA765" s="95"/>
    </row>
    <row r="766" spans="1:53" s="87" customFormat="1">
      <c r="A766" s="90" t="str">
        <f t="shared" si="36"/>
        <v/>
      </c>
      <c r="B766" s="98">
        <v>32</v>
      </c>
      <c r="C766" s="94" t="s">
        <v>210</v>
      </c>
      <c r="D766" s="94" t="s">
        <v>202</v>
      </c>
      <c r="E766" s="94">
        <v>-4</v>
      </c>
      <c r="F766" s="94" t="s">
        <v>210</v>
      </c>
      <c r="G766" s="94" t="s">
        <v>210</v>
      </c>
      <c r="H766" s="94">
        <v>6</v>
      </c>
      <c r="I766" s="94">
        <v>-2</v>
      </c>
      <c r="J766" s="94" t="s">
        <v>210</v>
      </c>
      <c r="K766" s="94" t="s">
        <v>210</v>
      </c>
      <c r="L766" s="94">
        <v>5</v>
      </c>
      <c r="M766" s="94">
        <v>4</v>
      </c>
      <c r="N766" s="94" t="s">
        <v>210</v>
      </c>
      <c r="O766" s="94" t="s">
        <v>210</v>
      </c>
      <c r="P766" s="94">
        <v>-8</v>
      </c>
      <c r="Q766" s="94">
        <v>-7</v>
      </c>
      <c r="R766" s="94" t="s">
        <v>210</v>
      </c>
      <c r="S766" s="94" t="s">
        <v>210</v>
      </c>
      <c r="T766" s="94">
        <v>1</v>
      </c>
      <c r="U766" s="94"/>
      <c r="V766" s="94"/>
      <c r="W766" s="94"/>
      <c r="X766" s="94"/>
      <c r="Y766" s="94"/>
      <c r="Z766" s="94"/>
      <c r="AA766" s="94"/>
      <c r="AB766" s="94"/>
      <c r="AC766" s="94"/>
      <c r="AD766" s="94"/>
      <c r="AE766" s="94"/>
      <c r="AF766" s="94"/>
      <c r="AG766" s="94"/>
      <c r="AH766" s="94"/>
      <c r="AI766" s="94"/>
      <c r="AJ766" s="94"/>
      <c r="AK766" s="94"/>
      <c r="AL766" s="94"/>
      <c r="AM766" s="94"/>
      <c r="AN766" s="94"/>
      <c r="AO766" s="94"/>
      <c r="AP766" s="94"/>
      <c r="AQ766" s="94"/>
      <c r="AR766" s="94"/>
      <c r="AS766" s="94"/>
      <c r="AT766" s="94"/>
      <c r="AU766" s="94"/>
      <c r="AV766" s="94"/>
      <c r="AW766" s="94"/>
      <c r="AX766" s="94"/>
      <c r="AY766" s="94"/>
      <c r="AZ766" s="94"/>
      <c r="BA766" s="95"/>
    </row>
    <row r="767" spans="1:53" s="87" customFormat="1">
      <c r="A767" s="90" t="str">
        <f t="shared" si="36"/>
        <v/>
      </c>
      <c r="B767" s="98">
        <v>33</v>
      </c>
      <c r="C767" s="94" t="s">
        <v>210</v>
      </c>
      <c r="D767" s="94">
        <v>7</v>
      </c>
      <c r="E767" s="94">
        <v>-8</v>
      </c>
      <c r="F767" s="94" t="s">
        <v>210</v>
      </c>
      <c r="G767" s="94" t="s">
        <v>210</v>
      </c>
      <c r="H767" s="94">
        <v>-3</v>
      </c>
      <c r="I767" s="94">
        <v>4</v>
      </c>
      <c r="J767" s="94" t="s">
        <v>210</v>
      </c>
      <c r="K767" s="94" t="s">
        <v>210</v>
      </c>
      <c r="L767" s="94">
        <v>6</v>
      </c>
      <c r="M767" s="94">
        <v>-7</v>
      </c>
      <c r="N767" s="94" t="s">
        <v>210</v>
      </c>
      <c r="O767" s="94" t="s">
        <v>210</v>
      </c>
      <c r="P767" s="94" t="s">
        <v>202</v>
      </c>
      <c r="Q767" s="94">
        <v>2</v>
      </c>
      <c r="R767" s="94" t="s">
        <v>210</v>
      </c>
      <c r="S767" s="94" t="s">
        <v>210</v>
      </c>
      <c r="T767" s="94">
        <v>-1</v>
      </c>
      <c r="U767" s="94"/>
      <c r="V767" s="94"/>
      <c r="W767" s="94"/>
      <c r="X767" s="94"/>
      <c r="Y767" s="94"/>
      <c r="Z767" s="94"/>
      <c r="AA767" s="94"/>
      <c r="AB767" s="94"/>
      <c r="AC767" s="94"/>
      <c r="AD767" s="94"/>
      <c r="AE767" s="94"/>
      <c r="AF767" s="94"/>
      <c r="AG767" s="94"/>
      <c r="AH767" s="94"/>
      <c r="AI767" s="94"/>
      <c r="AJ767" s="94"/>
      <c r="AK767" s="94"/>
      <c r="AL767" s="94"/>
      <c r="AM767" s="94"/>
      <c r="AN767" s="94"/>
      <c r="AO767" s="94"/>
      <c r="AP767" s="94"/>
      <c r="AQ767" s="94"/>
      <c r="AR767" s="94"/>
      <c r="AS767" s="94"/>
      <c r="AT767" s="94"/>
      <c r="AU767" s="94"/>
      <c r="AV767" s="94"/>
      <c r="AW767" s="94"/>
      <c r="AX767" s="94"/>
      <c r="AY767" s="94"/>
      <c r="AZ767" s="94"/>
      <c r="BA767" s="95"/>
    </row>
    <row r="768" spans="1:53" s="87" customFormat="1">
      <c r="A768" s="90" t="str">
        <f t="shared" si="36"/>
        <v/>
      </c>
      <c r="B768" s="98">
        <v>34</v>
      </c>
      <c r="C768" s="94" t="s">
        <v>210</v>
      </c>
      <c r="D768" s="94">
        <v>-5</v>
      </c>
      <c r="E768" s="94" t="s">
        <v>202</v>
      </c>
      <c r="F768" s="94" t="s">
        <v>210</v>
      </c>
      <c r="G768" s="94" t="s">
        <v>210</v>
      </c>
      <c r="H768" s="94">
        <v>-8</v>
      </c>
      <c r="I768" s="94">
        <v>2</v>
      </c>
      <c r="J768" s="94" t="s">
        <v>210</v>
      </c>
      <c r="K768" s="94" t="s">
        <v>210</v>
      </c>
      <c r="L768" s="94">
        <v>-3</v>
      </c>
      <c r="M768" s="94">
        <v>7</v>
      </c>
      <c r="N768" s="94" t="s">
        <v>210</v>
      </c>
      <c r="O768" s="94" t="s">
        <v>210</v>
      </c>
      <c r="P768" s="94">
        <v>4</v>
      </c>
      <c r="Q768" s="94">
        <v>-6</v>
      </c>
      <c r="R768" s="94" t="s">
        <v>210</v>
      </c>
      <c r="S768" s="94" t="s">
        <v>210</v>
      </c>
      <c r="T768" s="94">
        <v>8</v>
      </c>
      <c r="U768" s="94"/>
      <c r="V768" s="94"/>
      <c r="W768" s="94"/>
      <c r="X768" s="94"/>
      <c r="Y768" s="94"/>
      <c r="Z768" s="94"/>
      <c r="AA768" s="94"/>
      <c r="AB768" s="94"/>
      <c r="AC768" s="94"/>
      <c r="AD768" s="94"/>
      <c r="AE768" s="94"/>
      <c r="AF768" s="94"/>
      <c r="AG768" s="94"/>
      <c r="AH768" s="94"/>
      <c r="AI768" s="94"/>
      <c r="AJ768" s="94"/>
      <c r="AK768" s="94"/>
      <c r="AL768" s="94"/>
      <c r="AM768" s="94"/>
      <c r="AN768" s="94"/>
      <c r="AO768" s="94"/>
      <c r="AP768" s="94"/>
      <c r="AQ768" s="94"/>
      <c r="AR768" s="94"/>
      <c r="AS768" s="94"/>
      <c r="AT768" s="94"/>
      <c r="AU768" s="94"/>
      <c r="AV768" s="94"/>
      <c r="AW768" s="94"/>
      <c r="AX768" s="94"/>
      <c r="AY768" s="94"/>
      <c r="AZ768" s="94"/>
      <c r="BA768" s="95"/>
    </row>
    <row r="769" spans="1:53" s="87" customFormat="1">
      <c r="A769" s="90" t="str">
        <f t="shared" si="36"/>
        <v/>
      </c>
      <c r="B769" s="98">
        <v>35</v>
      </c>
      <c r="C769" s="94" t="s">
        <v>210</v>
      </c>
      <c r="D769" s="94">
        <v>3</v>
      </c>
      <c r="E769" s="94">
        <v>1</v>
      </c>
      <c r="F769" s="94" t="s">
        <v>210</v>
      </c>
      <c r="G769" s="94" t="s">
        <v>210</v>
      </c>
      <c r="H769" s="94" t="s">
        <v>202</v>
      </c>
      <c r="I769" s="94">
        <v>-4</v>
      </c>
      <c r="J769" s="94" t="s">
        <v>210</v>
      </c>
      <c r="K769" s="94" t="s">
        <v>210</v>
      </c>
      <c r="L769" s="94">
        <v>-2</v>
      </c>
      <c r="M769" s="94">
        <v>6</v>
      </c>
      <c r="N769" s="94" t="s">
        <v>210</v>
      </c>
      <c r="O769" s="94" t="s">
        <v>210</v>
      </c>
      <c r="P769" s="94">
        <v>-1</v>
      </c>
      <c r="Q769" s="94">
        <v>7</v>
      </c>
      <c r="R769" s="94" t="s">
        <v>210</v>
      </c>
      <c r="S769" s="94" t="s">
        <v>210</v>
      </c>
      <c r="T769" s="94">
        <v>-8</v>
      </c>
      <c r="U769" s="94"/>
      <c r="V769" s="94"/>
      <c r="W769" s="94"/>
      <c r="X769" s="94"/>
      <c r="Y769" s="94"/>
      <c r="Z769" s="94"/>
      <c r="AA769" s="94"/>
      <c r="AB769" s="94"/>
      <c r="AC769" s="94"/>
      <c r="AD769" s="94"/>
      <c r="AE769" s="94"/>
      <c r="AF769" s="94"/>
      <c r="AG769" s="94"/>
      <c r="AH769" s="94"/>
      <c r="AI769" s="94"/>
      <c r="AJ769" s="94"/>
      <c r="AK769" s="94"/>
      <c r="AL769" s="94"/>
      <c r="AM769" s="94"/>
      <c r="AN769" s="94"/>
      <c r="AO769" s="94"/>
      <c r="AP769" s="94"/>
      <c r="AQ769" s="94"/>
      <c r="AR769" s="94"/>
      <c r="AS769" s="94"/>
      <c r="AT769" s="94"/>
      <c r="AU769" s="94"/>
      <c r="AV769" s="94"/>
      <c r="AW769" s="94"/>
      <c r="AX769" s="94"/>
      <c r="AY769" s="94"/>
      <c r="AZ769" s="94"/>
      <c r="BA769" s="95"/>
    </row>
    <row r="770" spans="1:53" s="87" customFormat="1">
      <c r="A770" s="90" t="str">
        <f t="shared" si="36"/>
        <v/>
      </c>
      <c r="B770" s="98">
        <v>36</v>
      </c>
      <c r="C770" s="94" t="s">
        <v>210</v>
      </c>
      <c r="D770" s="94">
        <v>6</v>
      </c>
      <c r="E770" s="94">
        <v>-7</v>
      </c>
      <c r="F770" s="94" t="s">
        <v>210</v>
      </c>
      <c r="G770" s="94" t="s">
        <v>210</v>
      </c>
      <c r="H770" s="94">
        <v>-5</v>
      </c>
      <c r="I770" s="94">
        <v>1</v>
      </c>
      <c r="J770" s="94" t="s">
        <v>210</v>
      </c>
      <c r="K770" s="94" t="s">
        <v>210</v>
      </c>
      <c r="L770" s="94">
        <v>3</v>
      </c>
      <c r="M770" s="94">
        <v>-6</v>
      </c>
      <c r="N770" s="94" t="s">
        <v>210</v>
      </c>
      <c r="O770" s="94" t="s">
        <v>210</v>
      </c>
      <c r="P770" s="94">
        <v>8</v>
      </c>
      <c r="Q770" s="94">
        <v>-2</v>
      </c>
      <c r="R770" s="94" t="s">
        <v>210</v>
      </c>
      <c r="S770" s="94" t="s">
        <v>210</v>
      </c>
      <c r="T770" s="94" t="s">
        <v>202</v>
      </c>
      <c r="U770" s="94"/>
      <c r="V770" s="94"/>
      <c r="W770" s="94"/>
      <c r="X770" s="94"/>
      <c r="Y770" s="94"/>
      <c r="Z770" s="94"/>
      <c r="AA770" s="94"/>
      <c r="AB770" s="94"/>
      <c r="AC770" s="94"/>
      <c r="AD770" s="94"/>
      <c r="AE770" s="94"/>
      <c r="AF770" s="94"/>
      <c r="AG770" s="94"/>
      <c r="AH770" s="94"/>
      <c r="AI770" s="94"/>
      <c r="AJ770" s="94"/>
      <c r="AK770" s="94"/>
      <c r="AL770" s="94"/>
      <c r="AM770" s="94"/>
      <c r="AN770" s="94"/>
      <c r="AO770" s="94"/>
      <c r="AP770" s="94"/>
      <c r="AQ770" s="94"/>
      <c r="AR770" s="94"/>
      <c r="AS770" s="94"/>
      <c r="AT770" s="94"/>
      <c r="AU770" s="94"/>
      <c r="AV770" s="94"/>
      <c r="AW770" s="94"/>
      <c r="AX770" s="94"/>
      <c r="AY770" s="94"/>
      <c r="AZ770" s="94"/>
      <c r="BA770" s="95"/>
    </row>
    <row r="771" spans="1:53" s="87" customFormat="1">
      <c r="A771" s="90" t="str">
        <f t="shared" si="36"/>
        <v/>
      </c>
      <c r="B771" s="98" t="s">
        <v>492</v>
      </c>
      <c r="C771" s="94"/>
      <c r="D771" s="94"/>
      <c r="E771" s="94"/>
      <c r="F771" s="94"/>
      <c r="G771" s="94"/>
      <c r="H771" s="94"/>
      <c r="I771" s="94"/>
      <c r="J771" s="94"/>
      <c r="K771" s="94"/>
      <c r="L771" s="94"/>
      <c r="M771" s="94"/>
      <c r="N771" s="94"/>
      <c r="O771" s="94"/>
      <c r="P771" s="94"/>
      <c r="Q771" s="94"/>
      <c r="R771" s="94"/>
      <c r="S771" s="94"/>
      <c r="T771" s="94"/>
      <c r="U771" s="94"/>
      <c r="V771" s="94"/>
      <c r="W771" s="94"/>
      <c r="X771" s="94"/>
      <c r="Y771" s="94"/>
      <c r="Z771" s="94"/>
      <c r="AA771" s="94"/>
      <c r="AB771" s="94"/>
      <c r="AC771" s="94"/>
      <c r="AD771" s="94"/>
      <c r="AE771" s="94"/>
      <c r="AF771" s="94"/>
      <c r="AG771" s="94"/>
      <c r="AH771" s="94"/>
      <c r="AI771" s="94"/>
      <c r="AJ771" s="94"/>
      <c r="AK771" s="94"/>
      <c r="AL771" s="94"/>
      <c r="AM771" s="94"/>
      <c r="AN771" s="94"/>
      <c r="AO771" s="94"/>
      <c r="AP771" s="94"/>
      <c r="AQ771" s="94"/>
      <c r="AR771" s="94"/>
      <c r="AS771" s="94"/>
      <c r="AT771" s="94"/>
      <c r="AU771" s="94"/>
      <c r="AV771" s="94"/>
      <c r="AW771" s="94"/>
      <c r="AX771" s="94"/>
      <c r="AY771" s="94"/>
      <c r="AZ771" s="94"/>
      <c r="BA771" s="95"/>
    </row>
    <row r="772" spans="1:53" s="87" customFormat="1">
      <c r="A772" s="90">
        <f t="shared" si="36"/>
        <v>772</v>
      </c>
      <c r="B772" s="317" t="s">
        <v>1256</v>
      </c>
      <c r="C772" s="94"/>
      <c r="D772" s="94"/>
      <c r="E772" s="94"/>
      <c r="F772" s="94"/>
      <c r="G772" s="94"/>
      <c r="H772" s="94"/>
      <c r="I772" s="94"/>
      <c r="J772" s="94"/>
      <c r="K772" s="94"/>
      <c r="L772" s="94"/>
      <c r="M772" s="94"/>
      <c r="N772" s="94"/>
      <c r="O772" s="94"/>
      <c r="P772" s="94"/>
      <c r="Q772" s="94"/>
      <c r="R772" s="94"/>
      <c r="S772" s="94"/>
      <c r="T772" s="94"/>
      <c r="U772" s="94"/>
      <c r="V772" s="94"/>
      <c r="W772" s="94"/>
      <c r="X772" s="94"/>
      <c r="Y772" s="94"/>
      <c r="Z772" s="94"/>
      <c r="AA772" s="94"/>
      <c r="AB772" s="94"/>
      <c r="AC772" s="94"/>
      <c r="AD772" s="94"/>
      <c r="AE772" s="94"/>
      <c r="AF772" s="94"/>
      <c r="AG772" s="94"/>
      <c r="AH772" s="94"/>
      <c r="AI772" s="94"/>
      <c r="AJ772" s="94"/>
      <c r="AK772" s="94"/>
      <c r="AL772" s="94"/>
      <c r="AM772" s="94"/>
      <c r="AN772" s="94"/>
      <c r="AO772" s="94"/>
      <c r="AP772" s="94"/>
      <c r="AQ772" s="94"/>
      <c r="AR772" s="94"/>
      <c r="AS772" s="94"/>
      <c r="AT772" s="94"/>
      <c r="AU772" s="94"/>
      <c r="AV772" s="94"/>
      <c r="AW772" s="94"/>
      <c r="AX772" s="94"/>
      <c r="AY772" s="94"/>
      <c r="AZ772" s="94"/>
      <c r="BA772" s="95"/>
    </row>
    <row r="773" spans="1:53" s="87" customFormat="1">
      <c r="A773" s="90" t="str">
        <f t="shared" si="36"/>
        <v/>
      </c>
      <c r="B773" s="98">
        <v>1</v>
      </c>
      <c r="C773" s="94">
        <v>-2</v>
      </c>
      <c r="D773" s="94" t="s">
        <v>210</v>
      </c>
      <c r="E773" s="94">
        <v>4</v>
      </c>
      <c r="F773" s="94" t="s">
        <v>210</v>
      </c>
      <c r="G773" s="94">
        <v>6</v>
      </c>
      <c r="H773" s="94" t="s">
        <v>210</v>
      </c>
      <c r="I773" s="94">
        <v>5</v>
      </c>
      <c r="J773" s="94">
        <v>-8</v>
      </c>
      <c r="K773" s="94">
        <v>2</v>
      </c>
      <c r="L773" s="94">
        <v>-1</v>
      </c>
      <c r="M773" s="94" t="s">
        <v>210</v>
      </c>
      <c r="N773" s="94">
        <v>-3</v>
      </c>
      <c r="O773" s="94" t="s">
        <v>210</v>
      </c>
      <c r="P773" s="94">
        <v>8</v>
      </c>
      <c r="Q773" s="94" t="s">
        <v>210</v>
      </c>
      <c r="R773" s="94">
        <v>7</v>
      </c>
      <c r="S773" s="94">
        <v>-4</v>
      </c>
      <c r="T773" s="94"/>
      <c r="U773" s="94"/>
      <c r="V773" s="94"/>
      <c r="W773" s="94"/>
      <c r="X773" s="94"/>
      <c r="Y773" s="94"/>
      <c r="Z773" s="94"/>
      <c r="AA773" s="94"/>
      <c r="AB773" s="94"/>
      <c r="AC773" s="94"/>
      <c r="AD773" s="94"/>
      <c r="AE773" s="94"/>
      <c r="AF773" s="94"/>
      <c r="AG773" s="94"/>
      <c r="AH773" s="94"/>
      <c r="AI773" s="94"/>
      <c r="AJ773" s="94"/>
      <c r="AK773" s="94"/>
      <c r="AL773" s="94"/>
      <c r="AM773" s="94"/>
      <c r="AN773" s="94"/>
      <c r="AO773" s="94"/>
      <c r="AP773" s="94"/>
      <c r="AQ773" s="94"/>
      <c r="AR773" s="94"/>
      <c r="AS773" s="94"/>
      <c r="AT773" s="94"/>
      <c r="AU773" s="94"/>
      <c r="AV773" s="94"/>
      <c r="AW773" s="94"/>
      <c r="AX773" s="94"/>
      <c r="AY773" s="94"/>
      <c r="AZ773" s="94"/>
      <c r="BA773" s="95"/>
    </row>
    <row r="774" spans="1:53" s="87" customFormat="1">
      <c r="A774" s="90" t="str">
        <f t="shared" si="36"/>
        <v/>
      </c>
      <c r="B774" s="98">
        <v>2</v>
      </c>
      <c r="C774" s="94">
        <v>-3</v>
      </c>
      <c r="D774" s="94" t="s">
        <v>210</v>
      </c>
      <c r="E774" s="94">
        <v>-4</v>
      </c>
      <c r="F774" s="94" t="s">
        <v>210</v>
      </c>
      <c r="G774" s="94">
        <v>1</v>
      </c>
      <c r="H774" s="94" t="s">
        <v>210</v>
      </c>
      <c r="I774" s="94">
        <v>3</v>
      </c>
      <c r="J774" s="94">
        <v>-7</v>
      </c>
      <c r="K774" s="94">
        <v>-6</v>
      </c>
      <c r="L774" s="94">
        <v>2</v>
      </c>
      <c r="M774" s="94" t="s">
        <v>210</v>
      </c>
      <c r="N774" s="94">
        <v>-5</v>
      </c>
      <c r="O774" s="94" t="s">
        <v>210</v>
      </c>
      <c r="P774" s="94">
        <v>7</v>
      </c>
      <c r="Q774" s="94" t="s">
        <v>210</v>
      </c>
      <c r="R774" s="94">
        <v>8</v>
      </c>
      <c r="S774" s="94">
        <v>-2</v>
      </c>
      <c r="T774" s="94"/>
      <c r="U774" s="94"/>
      <c r="V774" s="94"/>
      <c r="W774" s="94"/>
      <c r="X774" s="94"/>
      <c r="Y774" s="94"/>
      <c r="Z774" s="94"/>
      <c r="AA774" s="94"/>
      <c r="AB774" s="94"/>
      <c r="AC774" s="94"/>
      <c r="AD774" s="94"/>
      <c r="AE774" s="94"/>
      <c r="AF774" s="94"/>
      <c r="AG774" s="94"/>
      <c r="AH774" s="94"/>
      <c r="AI774" s="94"/>
      <c r="AJ774" s="94"/>
      <c r="AK774" s="94"/>
      <c r="AL774" s="94"/>
      <c r="AM774" s="94"/>
      <c r="AN774" s="94"/>
      <c r="AO774" s="94"/>
      <c r="AP774" s="94"/>
      <c r="AQ774" s="94"/>
      <c r="AR774" s="94"/>
      <c r="AS774" s="94"/>
      <c r="AT774" s="94"/>
      <c r="AU774" s="94"/>
      <c r="AV774" s="94"/>
      <c r="AW774" s="94"/>
      <c r="AX774" s="94"/>
      <c r="AY774" s="94"/>
      <c r="AZ774" s="94"/>
      <c r="BA774" s="95"/>
    </row>
    <row r="775" spans="1:53" s="87" customFormat="1">
      <c r="A775" s="90" t="str">
        <f t="shared" si="36"/>
        <v/>
      </c>
      <c r="B775" s="98">
        <v>3</v>
      </c>
      <c r="C775" s="94">
        <v>-7</v>
      </c>
      <c r="D775" s="94" t="s">
        <v>210</v>
      </c>
      <c r="E775" s="94">
        <v>-2</v>
      </c>
      <c r="F775" s="94">
        <v>6</v>
      </c>
      <c r="G775" s="94" t="s">
        <v>210</v>
      </c>
      <c r="H775" s="94">
        <v>-3</v>
      </c>
      <c r="I775" s="94" t="s">
        <v>210</v>
      </c>
      <c r="J775" s="94">
        <v>8</v>
      </c>
      <c r="K775" s="94" t="s">
        <v>210</v>
      </c>
      <c r="L775" s="94">
        <v>4</v>
      </c>
      <c r="M775" s="94">
        <v>-1</v>
      </c>
      <c r="N775" s="94">
        <v>7</v>
      </c>
      <c r="O775" s="94">
        <v>5</v>
      </c>
      <c r="P775" s="94" t="s">
        <v>210</v>
      </c>
      <c r="Q775" s="94">
        <v>-4</v>
      </c>
      <c r="R775" s="94">
        <v>-8</v>
      </c>
      <c r="S775" s="94" t="s">
        <v>210</v>
      </c>
      <c r="T775" s="94"/>
      <c r="U775" s="94"/>
      <c r="V775" s="94"/>
      <c r="W775" s="94"/>
      <c r="X775" s="94"/>
      <c r="Y775" s="94"/>
      <c r="Z775" s="94"/>
      <c r="AA775" s="94"/>
      <c r="AB775" s="94"/>
      <c r="AC775" s="94"/>
      <c r="AD775" s="94"/>
      <c r="AE775" s="94"/>
      <c r="AF775" s="94"/>
      <c r="AG775" s="94"/>
      <c r="AH775" s="94"/>
      <c r="AI775" s="94"/>
      <c r="AJ775" s="94"/>
      <c r="AK775" s="94"/>
      <c r="AL775" s="94"/>
      <c r="AM775" s="94"/>
      <c r="AN775" s="94"/>
      <c r="AO775" s="94"/>
      <c r="AP775" s="94"/>
      <c r="AQ775" s="94"/>
      <c r="AR775" s="94"/>
      <c r="AS775" s="94"/>
      <c r="AT775" s="94"/>
      <c r="AU775" s="94"/>
      <c r="AV775" s="94"/>
      <c r="AW775" s="94"/>
      <c r="AX775" s="94"/>
      <c r="AY775" s="94"/>
      <c r="AZ775" s="94"/>
      <c r="BA775" s="95"/>
    </row>
    <row r="776" spans="1:53" s="87" customFormat="1">
      <c r="A776" s="90" t="str">
        <f t="shared" si="36"/>
        <v/>
      </c>
      <c r="B776" s="98">
        <v>4</v>
      </c>
      <c r="C776" s="94">
        <v>-5</v>
      </c>
      <c r="D776" s="94" t="s">
        <v>210</v>
      </c>
      <c r="E776" s="94">
        <v>2</v>
      </c>
      <c r="F776" s="94">
        <v>-1</v>
      </c>
      <c r="G776" s="94" t="s">
        <v>210</v>
      </c>
      <c r="H776" s="94">
        <v>5</v>
      </c>
      <c r="I776" s="94" t="s">
        <v>210</v>
      </c>
      <c r="J776" s="94">
        <v>7</v>
      </c>
      <c r="K776" s="94" t="s">
        <v>210</v>
      </c>
      <c r="L776" s="94">
        <v>-6</v>
      </c>
      <c r="M776" s="94">
        <v>-4</v>
      </c>
      <c r="N776" s="94">
        <v>8</v>
      </c>
      <c r="O776" s="94">
        <v>3</v>
      </c>
      <c r="P776" s="94" t="s">
        <v>210</v>
      </c>
      <c r="Q776" s="94">
        <v>-2</v>
      </c>
      <c r="R776" s="94">
        <v>-7</v>
      </c>
      <c r="S776" s="94" t="s">
        <v>210</v>
      </c>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5"/>
    </row>
    <row r="777" spans="1:53" s="87" customFormat="1">
      <c r="A777" s="90" t="str">
        <f t="shared" si="36"/>
        <v/>
      </c>
      <c r="B777" s="98">
        <v>5</v>
      </c>
      <c r="C777" s="94">
        <v>3</v>
      </c>
      <c r="D777" s="94" t="s">
        <v>210</v>
      </c>
      <c r="E777" s="94" t="s">
        <v>210</v>
      </c>
      <c r="F777" s="94">
        <v>-6</v>
      </c>
      <c r="G777" s="94">
        <v>4</v>
      </c>
      <c r="H777" s="94">
        <v>-5</v>
      </c>
      <c r="I777" s="94">
        <v>8</v>
      </c>
      <c r="J777" s="94" t="s">
        <v>210</v>
      </c>
      <c r="K777" s="94">
        <v>-1</v>
      </c>
      <c r="L777" s="94" t="s">
        <v>210</v>
      </c>
      <c r="M777" s="94">
        <v>2</v>
      </c>
      <c r="N777" s="94" t="s">
        <v>210</v>
      </c>
      <c r="O777" s="94">
        <v>7</v>
      </c>
      <c r="P777" s="94">
        <v>-8</v>
      </c>
      <c r="Q777" s="94">
        <v>6</v>
      </c>
      <c r="R777" s="94">
        <v>-3</v>
      </c>
      <c r="S777" s="94" t="s">
        <v>210</v>
      </c>
      <c r="T777" s="94"/>
      <c r="U777" s="94"/>
      <c r="V777" s="94"/>
      <c r="W777" s="94"/>
      <c r="X777" s="94"/>
      <c r="Y777" s="94"/>
      <c r="Z777" s="94"/>
      <c r="AA777" s="94"/>
      <c r="AB777" s="94"/>
      <c r="AC777" s="94"/>
      <c r="AD777" s="94"/>
      <c r="AE777" s="94"/>
      <c r="AF777" s="94"/>
      <c r="AG777" s="94"/>
      <c r="AH777" s="94"/>
      <c r="AI777" s="94"/>
      <c r="AJ777" s="94"/>
      <c r="AK777" s="94"/>
      <c r="AL777" s="94"/>
      <c r="AM777" s="94"/>
      <c r="AN777" s="94"/>
      <c r="AO777" s="94"/>
      <c r="AP777" s="94"/>
      <c r="AQ777" s="94"/>
      <c r="AR777" s="94"/>
      <c r="AS777" s="94"/>
      <c r="AT777" s="94"/>
      <c r="AU777" s="94"/>
      <c r="AV777" s="94"/>
      <c r="AW777" s="94"/>
      <c r="AX777" s="94"/>
      <c r="AY777" s="94"/>
      <c r="AZ777" s="94"/>
      <c r="BA777" s="95"/>
    </row>
    <row r="778" spans="1:53" s="87" customFormat="1">
      <c r="A778" s="90" t="str">
        <f t="shared" si="36"/>
        <v/>
      </c>
      <c r="B778" s="98">
        <v>6</v>
      </c>
      <c r="C778" s="94">
        <v>4</v>
      </c>
      <c r="D778" s="94" t="s">
        <v>210</v>
      </c>
      <c r="E778" s="94" t="s">
        <v>210</v>
      </c>
      <c r="F778" s="94">
        <v>1</v>
      </c>
      <c r="G778" s="94">
        <v>-4</v>
      </c>
      <c r="H778" s="94">
        <v>3</v>
      </c>
      <c r="I778" s="94">
        <v>7</v>
      </c>
      <c r="J778" s="94" t="s">
        <v>210</v>
      </c>
      <c r="K778" s="94">
        <v>-2</v>
      </c>
      <c r="L778" s="94" t="s">
        <v>210</v>
      </c>
      <c r="M778" s="94">
        <v>-6</v>
      </c>
      <c r="N778" s="94" t="s">
        <v>210</v>
      </c>
      <c r="O778" s="94">
        <v>8</v>
      </c>
      <c r="P778" s="94">
        <v>-7</v>
      </c>
      <c r="Q778" s="94">
        <v>1</v>
      </c>
      <c r="R778" s="94">
        <v>-5</v>
      </c>
      <c r="S778" s="94" t="s">
        <v>210</v>
      </c>
      <c r="T778" s="94"/>
      <c r="U778" s="94"/>
      <c r="V778" s="94"/>
      <c r="W778" s="94"/>
      <c r="X778" s="94"/>
      <c r="Y778" s="94"/>
      <c r="Z778" s="94"/>
      <c r="AA778" s="94"/>
      <c r="AB778" s="94"/>
      <c r="AC778" s="94"/>
      <c r="AD778" s="94"/>
      <c r="AE778" s="94"/>
      <c r="AF778" s="94"/>
      <c r="AG778" s="94"/>
      <c r="AH778" s="94"/>
      <c r="AI778" s="94"/>
      <c r="AJ778" s="94"/>
      <c r="AK778" s="94"/>
      <c r="AL778" s="94"/>
      <c r="AM778" s="94"/>
      <c r="AN778" s="94"/>
      <c r="AO778" s="94"/>
      <c r="AP778" s="94"/>
      <c r="AQ778" s="94"/>
      <c r="AR778" s="94"/>
      <c r="AS778" s="94"/>
      <c r="AT778" s="94"/>
      <c r="AU778" s="94"/>
      <c r="AV778" s="94"/>
      <c r="AW778" s="94"/>
      <c r="AX778" s="94"/>
      <c r="AY778" s="94"/>
      <c r="AZ778" s="94"/>
      <c r="BA778" s="95"/>
    </row>
    <row r="779" spans="1:53" s="87" customFormat="1">
      <c r="A779" s="90" t="str">
        <f t="shared" si="36"/>
        <v/>
      </c>
      <c r="B779" s="98">
        <v>7</v>
      </c>
      <c r="C779" s="94">
        <v>5</v>
      </c>
      <c r="D779" s="94" t="s">
        <v>210</v>
      </c>
      <c r="E779" s="94">
        <v>6</v>
      </c>
      <c r="F779" s="94" t="s">
        <v>210</v>
      </c>
      <c r="G779" s="94">
        <v>-2</v>
      </c>
      <c r="H779" s="94" t="s">
        <v>210</v>
      </c>
      <c r="I779" s="94">
        <v>-8</v>
      </c>
      <c r="J779" s="94">
        <v>3</v>
      </c>
      <c r="K779" s="94">
        <v>-4</v>
      </c>
      <c r="L779" s="94">
        <v>1</v>
      </c>
      <c r="M779" s="94" t="s">
        <v>210</v>
      </c>
      <c r="N779" s="94">
        <v>-7</v>
      </c>
      <c r="O779" s="94" t="s">
        <v>210</v>
      </c>
      <c r="P779" s="94">
        <v>-3</v>
      </c>
      <c r="Q779" s="94" t="s">
        <v>210</v>
      </c>
      <c r="R779" s="94">
        <v>5</v>
      </c>
      <c r="S779" s="94">
        <v>2</v>
      </c>
      <c r="T779" s="94"/>
      <c r="U779" s="94"/>
      <c r="V779" s="94"/>
      <c r="W779" s="94"/>
      <c r="X779" s="94"/>
      <c r="Y779" s="94"/>
      <c r="Z779" s="94"/>
      <c r="AA779" s="94"/>
      <c r="AB779" s="94"/>
      <c r="AC779" s="94"/>
      <c r="AD779" s="94"/>
      <c r="AE779" s="94"/>
      <c r="AF779" s="94"/>
      <c r="AG779" s="94"/>
      <c r="AH779" s="94"/>
      <c r="AI779" s="94"/>
      <c r="AJ779" s="94"/>
      <c r="AK779" s="94"/>
      <c r="AL779" s="94"/>
      <c r="AM779" s="94"/>
      <c r="AN779" s="94"/>
      <c r="AO779" s="94"/>
      <c r="AP779" s="94"/>
      <c r="AQ779" s="94"/>
      <c r="AR779" s="94"/>
      <c r="AS779" s="94"/>
      <c r="AT779" s="94"/>
      <c r="AU779" s="94"/>
      <c r="AV779" s="94"/>
      <c r="AW779" s="94"/>
      <c r="AX779" s="94"/>
      <c r="AY779" s="94"/>
      <c r="AZ779" s="94"/>
      <c r="BA779" s="95"/>
    </row>
    <row r="780" spans="1:53" s="87" customFormat="1">
      <c r="A780" s="90" t="str">
        <f t="shared" ref="A780:A843" si="37">IF(MID(B780,3,2)="08",ROW(),"")</f>
        <v/>
      </c>
      <c r="B780" s="98">
        <v>8</v>
      </c>
      <c r="C780" s="94">
        <v>-6</v>
      </c>
      <c r="D780" s="94" t="s">
        <v>210</v>
      </c>
      <c r="E780" s="94">
        <v>-1</v>
      </c>
      <c r="F780" s="94" t="s">
        <v>210</v>
      </c>
      <c r="G780" s="94">
        <v>2</v>
      </c>
      <c r="H780" s="94" t="s">
        <v>210</v>
      </c>
      <c r="I780" s="94">
        <v>-7</v>
      </c>
      <c r="J780" s="94">
        <v>5</v>
      </c>
      <c r="K780" s="94">
        <v>6</v>
      </c>
      <c r="L780" s="94">
        <v>-4</v>
      </c>
      <c r="M780" s="94" t="s">
        <v>210</v>
      </c>
      <c r="N780" s="94">
        <v>-8</v>
      </c>
      <c r="O780" s="94" t="s">
        <v>210</v>
      </c>
      <c r="P780" s="94">
        <v>-5</v>
      </c>
      <c r="Q780" s="94" t="s">
        <v>210</v>
      </c>
      <c r="R780" s="94">
        <v>3</v>
      </c>
      <c r="S780" s="94">
        <v>4</v>
      </c>
      <c r="T780" s="94"/>
      <c r="U780" s="94"/>
      <c r="V780" s="94"/>
      <c r="W780" s="94"/>
      <c r="X780" s="94"/>
      <c r="Y780" s="94"/>
      <c r="Z780" s="94"/>
      <c r="AA780" s="94"/>
      <c r="AB780" s="94"/>
      <c r="AC780" s="94"/>
      <c r="AD780" s="94"/>
      <c r="AE780" s="94"/>
      <c r="AF780" s="94"/>
      <c r="AG780" s="94"/>
      <c r="AH780" s="94"/>
      <c r="AI780" s="94"/>
      <c r="AJ780" s="94"/>
      <c r="AK780" s="94"/>
      <c r="AL780" s="94"/>
      <c r="AM780" s="94"/>
      <c r="AN780" s="94"/>
      <c r="AO780" s="94"/>
      <c r="AP780" s="94"/>
      <c r="AQ780" s="94"/>
      <c r="AR780" s="94"/>
      <c r="AS780" s="94"/>
      <c r="AT780" s="94"/>
      <c r="AU780" s="94"/>
      <c r="AV780" s="94"/>
      <c r="AW780" s="94"/>
      <c r="AX780" s="94"/>
      <c r="AY780" s="94"/>
      <c r="AZ780" s="94"/>
      <c r="BA780" s="95"/>
    </row>
    <row r="781" spans="1:53" s="87" customFormat="1">
      <c r="A781" s="90" t="str">
        <f t="shared" si="37"/>
        <v/>
      </c>
      <c r="B781" s="98">
        <v>9</v>
      </c>
      <c r="C781" s="94">
        <v>-4</v>
      </c>
      <c r="D781" s="94" t="s">
        <v>210</v>
      </c>
      <c r="E781" s="94">
        <v>-6</v>
      </c>
      <c r="F781" s="94">
        <v>4</v>
      </c>
      <c r="G781" s="94" t="s">
        <v>210</v>
      </c>
      <c r="H781" s="94">
        <v>-8</v>
      </c>
      <c r="I781" s="94" t="s">
        <v>210</v>
      </c>
      <c r="J781" s="94">
        <v>-5</v>
      </c>
      <c r="K781" s="94" t="s">
        <v>210</v>
      </c>
      <c r="L781" s="94">
        <v>-2</v>
      </c>
      <c r="M781" s="94">
        <v>1</v>
      </c>
      <c r="N781" s="94">
        <v>3</v>
      </c>
      <c r="O781" s="94">
        <v>-7</v>
      </c>
      <c r="P781" s="94" t="s">
        <v>210</v>
      </c>
      <c r="Q781" s="94">
        <v>2</v>
      </c>
      <c r="R781" s="94" t="s">
        <v>210</v>
      </c>
      <c r="S781" s="94">
        <v>8</v>
      </c>
      <c r="T781" s="94"/>
      <c r="U781" s="94"/>
      <c r="V781" s="94"/>
      <c r="W781" s="94"/>
      <c r="X781" s="94"/>
      <c r="Y781" s="94"/>
      <c r="Z781" s="94"/>
      <c r="AA781" s="94"/>
      <c r="AB781" s="94"/>
      <c r="AC781" s="94"/>
      <c r="AD781" s="94"/>
      <c r="AE781" s="94"/>
      <c r="AF781" s="94"/>
      <c r="AG781" s="94"/>
      <c r="AH781" s="94"/>
      <c r="AI781" s="94"/>
      <c r="AJ781" s="94"/>
      <c r="AK781" s="94"/>
      <c r="AL781" s="94"/>
      <c r="AM781" s="94"/>
      <c r="AN781" s="94"/>
      <c r="AO781" s="94"/>
      <c r="AP781" s="94"/>
      <c r="AQ781" s="94"/>
      <c r="AR781" s="94"/>
      <c r="AS781" s="94"/>
      <c r="AT781" s="94"/>
      <c r="AU781" s="94"/>
      <c r="AV781" s="94"/>
      <c r="AW781" s="94"/>
      <c r="AX781" s="94"/>
      <c r="AY781" s="94"/>
      <c r="AZ781" s="94"/>
      <c r="BA781" s="95"/>
    </row>
    <row r="782" spans="1:53" s="87" customFormat="1">
      <c r="A782" s="90" t="str">
        <f t="shared" si="37"/>
        <v/>
      </c>
      <c r="B782" s="98">
        <v>10</v>
      </c>
      <c r="C782" s="94">
        <v>2</v>
      </c>
      <c r="D782" s="94" t="s">
        <v>210</v>
      </c>
      <c r="E782" s="94">
        <v>1</v>
      </c>
      <c r="F782" s="94">
        <v>-4</v>
      </c>
      <c r="G782" s="94" t="s">
        <v>210</v>
      </c>
      <c r="H782" s="94">
        <v>7</v>
      </c>
      <c r="I782" s="94" t="s">
        <v>210</v>
      </c>
      <c r="J782" s="94">
        <v>-3</v>
      </c>
      <c r="K782" s="94" t="s">
        <v>210</v>
      </c>
      <c r="L782" s="94">
        <v>6</v>
      </c>
      <c r="M782" s="94">
        <v>-2</v>
      </c>
      <c r="N782" s="94">
        <v>5</v>
      </c>
      <c r="O782" s="94">
        <v>-8</v>
      </c>
      <c r="P782" s="94" t="s">
        <v>210</v>
      </c>
      <c r="Q782" s="94">
        <v>4</v>
      </c>
      <c r="R782" s="94" t="s">
        <v>210</v>
      </c>
      <c r="S782" s="94">
        <v>-7</v>
      </c>
      <c r="T782" s="94"/>
      <c r="U782" s="94"/>
      <c r="V782" s="94"/>
      <c r="W782" s="94"/>
      <c r="X782" s="94"/>
      <c r="Y782" s="94"/>
      <c r="Z782" s="94"/>
      <c r="AA782" s="94"/>
      <c r="AB782" s="94"/>
      <c r="AC782" s="94"/>
      <c r="AD782" s="94"/>
      <c r="AE782" s="94"/>
      <c r="AF782" s="94"/>
      <c r="AG782" s="94"/>
      <c r="AH782" s="94"/>
      <c r="AI782" s="94"/>
      <c r="AJ782" s="94"/>
      <c r="AK782" s="94"/>
      <c r="AL782" s="94"/>
      <c r="AM782" s="94"/>
      <c r="AN782" s="94"/>
      <c r="AO782" s="94"/>
      <c r="AP782" s="94"/>
      <c r="AQ782" s="94"/>
      <c r="AR782" s="94"/>
      <c r="AS782" s="94"/>
      <c r="AT782" s="94"/>
      <c r="AU782" s="94"/>
      <c r="AV782" s="94"/>
      <c r="AW782" s="94"/>
      <c r="AX782" s="94"/>
      <c r="AY782" s="94"/>
      <c r="AZ782" s="94"/>
      <c r="BA782" s="95"/>
    </row>
    <row r="783" spans="1:53" s="87" customFormat="1">
      <c r="A783" s="90" t="str">
        <f t="shared" si="37"/>
        <v/>
      </c>
      <c r="B783" s="98">
        <v>11</v>
      </c>
      <c r="C783" s="94">
        <v>6</v>
      </c>
      <c r="D783" s="94" t="s">
        <v>210</v>
      </c>
      <c r="E783" s="94" t="s">
        <v>210</v>
      </c>
      <c r="F783" s="94">
        <v>-2</v>
      </c>
      <c r="G783" s="94">
        <v>-6</v>
      </c>
      <c r="H783" s="94">
        <v>8</v>
      </c>
      <c r="I783" s="94">
        <v>-3</v>
      </c>
      <c r="J783" s="94" t="s">
        <v>210</v>
      </c>
      <c r="K783" s="94">
        <v>1</v>
      </c>
      <c r="L783" s="94" t="s">
        <v>210</v>
      </c>
      <c r="M783" s="94">
        <v>4</v>
      </c>
      <c r="N783" s="94" t="s">
        <v>210</v>
      </c>
      <c r="O783" s="94">
        <v>-5</v>
      </c>
      <c r="P783" s="94">
        <v>3</v>
      </c>
      <c r="Q783" s="94">
        <v>-1</v>
      </c>
      <c r="R783" s="94" t="s">
        <v>210</v>
      </c>
      <c r="S783" s="94">
        <v>7</v>
      </c>
      <c r="T783" s="94"/>
      <c r="U783" s="94"/>
      <c r="V783" s="94"/>
      <c r="W783" s="94"/>
      <c r="X783" s="94"/>
      <c r="Y783" s="94"/>
      <c r="Z783" s="94"/>
      <c r="AA783" s="94"/>
      <c r="AB783" s="94"/>
      <c r="AC783" s="94"/>
      <c r="AD783" s="94"/>
      <c r="AE783" s="94"/>
      <c r="AF783" s="94"/>
      <c r="AG783" s="94"/>
      <c r="AH783" s="94"/>
      <c r="AI783" s="94"/>
      <c r="AJ783" s="94"/>
      <c r="AK783" s="94"/>
      <c r="AL783" s="94"/>
      <c r="AM783" s="94"/>
      <c r="AN783" s="94"/>
      <c r="AO783" s="94"/>
      <c r="AP783" s="94"/>
      <c r="AQ783" s="94"/>
      <c r="AR783" s="94"/>
      <c r="AS783" s="94"/>
      <c r="AT783" s="94"/>
      <c r="AU783" s="94"/>
      <c r="AV783" s="94"/>
      <c r="AW783" s="94"/>
      <c r="AX783" s="94"/>
      <c r="AY783" s="94"/>
      <c r="AZ783" s="94"/>
      <c r="BA783" s="95"/>
    </row>
    <row r="784" spans="1:53" s="87" customFormat="1">
      <c r="A784" s="90" t="str">
        <f t="shared" si="37"/>
        <v/>
      </c>
      <c r="B784" s="99">
        <v>12</v>
      </c>
      <c r="C784" s="92">
        <v>7</v>
      </c>
      <c r="D784" s="92" t="s">
        <v>210</v>
      </c>
      <c r="E784" s="92" t="s">
        <v>210</v>
      </c>
      <c r="F784" s="92">
        <v>2</v>
      </c>
      <c r="G784" s="92">
        <v>-1</v>
      </c>
      <c r="H784" s="92">
        <v>-7</v>
      </c>
      <c r="I784" s="92">
        <v>-5</v>
      </c>
      <c r="J784" s="92" t="s">
        <v>210</v>
      </c>
      <c r="K784" s="92">
        <v>4</v>
      </c>
      <c r="L784" s="92" t="s">
        <v>210</v>
      </c>
      <c r="M784" s="92">
        <v>6</v>
      </c>
      <c r="N784" s="92" t="s">
        <v>210</v>
      </c>
      <c r="O784" s="92">
        <v>-3</v>
      </c>
      <c r="P784" s="92">
        <v>5</v>
      </c>
      <c r="Q784" s="92">
        <v>-6</v>
      </c>
      <c r="R784" s="92" t="s">
        <v>210</v>
      </c>
      <c r="S784" s="92">
        <v>-8</v>
      </c>
      <c r="T784" s="94"/>
      <c r="U784" s="94"/>
      <c r="V784" s="94"/>
      <c r="W784" s="94"/>
      <c r="X784" s="94"/>
      <c r="Y784" s="94"/>
      <c r="Z784" s="94"/>
      <c r="AA784" s="94"/>
      <c r="AB784" s="94"/>
      <c r="AC784" s="94"/>
      <c r="AD784" s="94"/>
      <c r="AE784" s="94"/>
      <c r="AF784" s="94"/>
      <c r="AG784" s="94"/>
      <c r="AH784" s="94"/>
      <c r="AI784" s="94"/>
      <c r="AJ784" s="94"/>
      <c r="AK784" s="94"/>
      <c r="AL784" s="94"/>
      <c r="AM784" s="94"/>
      <c r="AN784" s="94"/>
      <c r="AO784" s="94"/>
      <c r="AP784" s="94"/>
      <c r="AQ784" s="94"/>
      <c r="AR784" s="94"/>
      <c r="AS784" s="94"/>
      <c r="AT784" s="94"/>
      <c r="AU784" s="94"/>
      <c r="AV784" s="94"/>
      <c r="AW784" s="94"/>
      <c r="AX784" s="94"/>
      <c r="AY784" s="94"/>
      <c r="AZ784" s="94"/>
      <c r="BA784" s="95"/>
    </row>
    <row r="785" spans="1:53" s="87" customFormat="1">
      <c r="A785" s="90" t="str">
        <f t="shared" si="37"/>
        <v/>
      </c>
      <c r="B785" s="98">
        <v>13</v>
      </c>
      <c r="C785" s="94" t="s">
        <v>210</v>
      </c>
      <c r="D785" s="94">
        <v>3</v>
      </c>
      <c r="E785" s="94">
        <v>5</v>
      </c>
      <c r="F785" s="94" t="s">
        <v>210</v>
      </c>
      <c r="G785" s="94">
        <v>-7</v>
      </c>
      <c r="H785" s="94" t="s">
        <v>210</v>
      </c>
      <c r="I785" s="94">
        <v>4</v>
      </c>
      <c r="J785" s="94">
        <v>1</v>
      </c>
      <c r="K785" s="94">
        <v>-3</v>
      </c>
      <c r="L785" s="94">
        <v>-8</v>
      </c>
      <c r="M785" s="94" t="s">
        <v>210</v>
      </c>
      <c r="N785" s="94">
        <v>2</v>
      </c>
      <c r="O785" s="94" t="s">
        <v>210</v>
      </c>
      <c r="P785" s="94">
        <v>-1</v>
      </c>
      <c r="Q785" s="94" t="s">
        <v>210</v>
      </c>
      <c r="R785" s="94">
        <v>6</v>
      </c>
      <c r="S785" s="94">
        <v>-5</v>
      </c>
      <c r="T785" s="94"/>
      <c r="U785" s="94"/>
      <c r="V785" s="94"/>
      <c r="W785" s="94"/>
      <c r="X785" s="94"/>
      <c r="Y785" s="94"/>
      <c r="Z785" s="94"/>
      <c r="AA785" s="94"/>
      <c r="AB785" s="94"/>
      <c r="AC785" s="94"/>
      <c r="AD785" s="94"/>
      <c r="AE785" s="94"/>
      <c r="AF785" s="94"/>
      <c r="AG785" s="94"/>
      <c r="AH785" s="94"/>
      <c r="AI785" s="94"/>
      <c r="AJ785" s="94"/>
      <c r="AK785" s="94"/>
      <c r="AL785" s="94"/>
      <c r="AM785" s="94"/>
      <c r="AN785" s="94"/>
      <c r="AO785" s="94"/>
      <c r="AP785" s="94"/>
      <c r="AQ785" s="94"/>
      <c r="AR785" s="94"/>
      <c r="AS785" s="94"/>
      <c r="AT785" s="94"/>
      <c r="AU785" s="94"/>
      <c r="AV785" s="94"/>
      <c r="AW785" s="94"/>
      <c r="AX785" s="94"/>
      <c r="AY785" s="94"/>
      <c r="AZ785" s="94"/>
      <c r="BA785" s="95"/>
    </row>
    <row r="786" spans="1:53" s="87" customFormat="1">
      <c r="A786" s="90" t="str">
        <f t="shared" si="37"/>
        <v/>
      </c>
      <c r="B786" s="98">
        <v>14</v>
      </c>
      <c r="C786" s="94" t="s">
        <v>210</v>
      </c>
      <c r="D786" s="94">
        <v>-2</v>
      </c>
      <c r="E786" s="94">
        <v>-5</v>
      </c>
      <c r="F786" s="94" t="s">
        <v>210</v>
      </c>
      <c r="G786" s="94">
        <v>8</v>
      </c>
      <c r="H786" s="94" t="s">
        <v>210</v>
      </c>
      <c r="I786" s="94">
        <v>2</v>
      </c>
      <c r="J786" s="94">
        <v>-6</v>
      </c>
      <c r="K786" s="94">
        <v>7</v>
      </c>
      <c r="L786" s="94">
        <v>3</v>
      </c>
      <c r="M786" s="94" t="s">
        <v>210</v>
      </c>
      <c r="N786" s="94">
        <v>-4</v>
      </c>
      <c r="O786" s="94" t="s">
        <v>210</v>
      </c>
      <c r="P786" s="94">
        <v>6</v>
      </c>
      <c r="Q786" s="94" t="s">
        <v>210</v>
      </c>
      <c r="R786" s="94">
        <v>-1</v>
      </c>
      <c r="S786" s="94">
        <v>-3</v>
      </c>
      <c r="T786" s="94"/>
      <c r="U786" s="94"/>
      <c r="V786" s="94"/>
      <c r="W786" s="94"/>
      <c r="X786" s="94"/>
      <c r="Y786" s="94"/>
      <c r="Z786" s="94"/>
      <c r="AA786" s="94"/>
      <c r="AB786" s="94"/>
      <c r="AC786" s="94"/>
      <c r="AD786" s="94"/>
      <c r="AE786" s="94"/>
      <c r="AF786" s="94"/>
      <c r="AG786" s="94"/>
      <c r="AH786" s="94"/>
      <c r="AI786" s="94"/>
      <c r="AJ786" s="94"/>
      <c r="AK786" s="94"/>
      <c r="AL786" s="94"/>
      <c r="AM786" s="94"/>
      <c r="AN786" s="94"/>
      <c r="AO786" s="94"/>
      <c r="AP786" s="94"/>
      <c r="AQ786" s="94"/>
      <c r="AR786" s="94"/>
      <c r="AS786" s="94"/>
      <c r="AT786" s="94"/>
      <c r="AU786" s="94"/>
      <c r="AV786" s="94"/>
      <c r="AW786" s="94"/>
      <c r="AX786" s="94"/>
      <c r="AY786" s="94"/>
      <c r="AZ786" s="94"/>
      <c r="BA786" s="95"/>
    </row>
    <row r="787" spans="1:53" s="87" customFormat="1">
      <c r="A787" s="90" t="str">
        <f t="shared" si="37"/>
        <v/>
      </c>
      <c r="B787" s="98">
        <v>15</v>
      </c>
      <c r="C787" s="94" t="s">
        <v>210</v>
      </c>
      <c r="D787" s="94">
        <v>-6</v>
      </c>
      <c r="E787" s="94">
        <v>-3</v>
      </c>
      <c r="F787" s="94">
        <v>7</v>
      </c>
      <c r="G787" s="94" t="s">
        <v>210</v>
      </c>
      <c r="H787" s="94">
        <v>2</v>
      </c>
      <c r="I787" s="94" t="s">
        <v>210</v>
      </c>
      <c r="J787" s="94">
        <v>-1</v>
      </c>
      <c r="K787" s="94" t="s">
        <v>210</v>
      </c>
      <c r="L787" s="94">
        <v>5</v>
      </c>
      <c r="M787" s="94">
        <v>-8</v>
      </c>
      <c r="N787" s="94">
        <v>6</v>
      </c>
      <c r="O787" s="94">
        <v>-4</v>
      </c>
      <c r="P787" s="94" t="s">
        <v>210</v>
      </c>
      <c r="Q787" s="94">
        <v>-5</v>
      </c>
      <c r="R787" s="94">
        <v>1</v>
      </c>
      <c r="S787" s="94" t="s">
        <v>210</v>
      </c>
      <c r="T787" s="94"/>
      <c r="U787" s="94"/>
      <c r="V787" s="94"/>
      <c r="W787" s="94"/>
      <c r="X787" s="94"/>
      <c r="Y787" s="94"/>
      <c r="Z787" s="94"/>
      <c r="AA787" s="94"/>
      <c r="AB787" s="94"/>
      <c r="AC787" s="94"/>
      <c r="AD787" s="94"/>
      <c r="AE787" s="94"/>
      <c r="AF787" s="94"/>
      <c r="AG787" s="94"/>
      <c r="AH787" s="94"/>
      <c r="AI787" s="94"/>
      <c r="AJ787" s="94"/>
      <c r="AK787" s="94"/>
      <c r="AL787" s="94"/>
      <c r="AM787" s="94"/>
      <c r="AN787" s="94"/>
      <c r="AO787" s="94"/>
      <c r="AP787" s="94"/>
      <c r="AQ787" s="94"/>
      <c r="AR787" s="94"/>
      <c r="AS787" s="94"/>
      <c r="AT787" s="94"/>
      <c r="AU787" s="94"/>
      <c r="AV787" s="94"/>
      <c r="AW787" s="94"/>
      <c r="AX787" s="94"/>
      <c r="AY787" s="94"/>
      <c r="AZ787" s="94"/>
      <c r="BA787" s="95"/>
    </row>
    <row r="788" spans="1:53" s="87" customFormat="1">
      <c r="A788" s="90" t="str">
        <f t="shared" si="37"/>
        <v/>
      </c>
      <c r="B788" s="98">
        <v>16</v>
      </c>
      <c r="C788" s="94" t="s">
        <v>210</v>
      </c>
      <c r="D788" s="94">
        <v>5</v>
      </c>
      <c r="E788" s="94">
        <v>3</v>
      </c>
      <c r="F788" s="94">
        <v>-8</v>
      </c>
      <c r="G788" s="94" t="s">
        <v>210</v>
      </c>
      <c r="H788" s="94">
        <v>-4</v>
      </c>
      <c r="I788" s="94" t="s">
        <v>210</v>
      </c>
      <c r="J788" s="94">
        <v>6</v>
      </c>
      <c r="K788" s="94" t="s">
        <v>210</v>
      </c>
      <c r="L788" s="94">
        <v>7</v>
      </c>
      <c r="M788" s="94">
        <v>-5</v>
      </c>
      <c r="N788" s="94">
        <v>-1</v>
      </c>
      <c r="O788" s="94">
        <v>2</v>
      </c>
      <c r="P788" s="94" t="s">
        <v>210</v>
      </c>
      <c r="Q788" s="94">
        <v>-3</v>
      </c>
      <c r="R788" s="94">
        <v>-6</v>
      </c>
      <c r="S788" s="94" t="s">
        <v>210</v>
      </c>
      <c r="T788" s="94"/>
      <c r="U788" s="94"/>
      <c r="V788" s="94"/>
      <c r="W788" s="94"/>
      <c r="X788" s="94"/>
      <c r="Y788" s="94"/>
      <c r="Z788" s="94"/>
      <c r="AA788" s="94"/>
      <c r="AB788" s="94"/>
      <c r="AC788" s="94"/>
      <c r="AD788" s="94"/>
      <c r="AE788" s="94"/>
      <c r="AF788" s="94"/>
      <c r="AG788" s="94"/>
      <c r="AH788" s="94"/>
      <c r="AI788" s="94"/>
      <c r="AJ788" s="94"/>
      <c r="AK788" s="94"/>
      <c r="AL788" s="94"/>
      <c r="AM788" s="94"/>
      <c r="AN788" s="94"/>
      <c r="AO788" s="94"/>
      <c r="AP788" s="94"/>
      <c r="AQ788" s="94"/>
      <c r="AR788" s="94"/>
      <c r="AS788" s="94"/>
      <c r="AT788" s="94"/>
      <c r="AU788" s="94"/>
      <c r="AV788" s="94"/>
      <c r="AW788" s="94"/>
      <c r="AX788" s="94"/>
      <c r="AY788" s="94"/>
      <c r="AZ788" s="94"/>
      <c r="BA788" s="95"/>
    </row>
    <row r="789" spans="1:53" s="87" customFormat="1">
      <c r="A789" s="90" t="str">
        <f t="shared" si="37"/>
        <v/>
      </c>
      <c r="B789" s="98">
        <v>17</v>
      </c>
      <c r="C789" s="94" t="s">
        <v>210</v>
      </c>
      <c r="D789" s="94">
        <v>2</v>
      </c>
      <c r="E789" s="94" t="s">
        <v>210</v>
      </c>
      <c r="F789" s="94">
        <v>-7</v>
      </c>
      <c r="G789" s="94">
        <v>-5</v>
      </c>
      <c r="H789" s="94">
        <v>4</v>
      </c>
      <c r="I789" s="94">
        <v>-1</v>
      </c>
      <c r="J789" s="94" t="s">
        <v>210</v>
      </c>
      <c r="K789" s="94">
        <v>8</v>
      </c>
      <c r="L789" s="94" t="s">
        <v>210</v>
      </c>
      <c r="M789" s="94">
        <v>-3</v>
      </c>
      <c r="N789" s="94" t="s">
        <v>210</v>
      </c>
      <c r="O789" s="94">
        <v>-6</v>
      </c>
      <c r="P789" s="94">
        <v>1</v>
      </c>
      <c r="Q789" s="94">
        <v>7</v>
      </c>
      <c r="R789" s="94">
        <v>-2</v>
      </c>
      <c r="S789" s="94" t="s">
        <v>210</v>
      </c>
      <c r="T789" s="94"/>
      <c r="U789" s="94"/>
      <c r="V789" s="94"/>
      <c r="W789" s="94"/>
      <c r="X789" s="94"/>
      <c r="Y789" s="94"/>
      <c r="Z789" s="94"/>
      <c r="AA789" s="94"/>
      <c r="AB789" s="94"/>
      <c r="AC789" s="94"/>
      <c r="AD789" s="94"/>
      <c r="AE789" s="94"/>
      <c r="AF789" s="94"/>
      <c r="AG789" s="94"/>
      <c r="AH789" s="94"/>
      <c r="AI789" s="94"/>
      <c r="AJ789" s="94"/>
      <c r="AK789" s="94"/>
      <c r="AL789" s="94"/>
      <c r="AM789" s="94"/>
      <c r="AN789" s="94"/>
      <c r="AO789" s="94"/>
      <c r="AP789" s="94"/>
      <c r="AQ789" s="94"/>
      <c r="AR789" s="94"/>
      <c r="AS789" s="94"/>
      <c r="AT789" s="94"/>
      <c r="AU789" s="94"/>
      <c r="AV789" s="94"/>
      <c r="AW789" s="94"/>
      <c r="AX789" s="94"/>
      <c r="AY789" s="94"/>
      <c r="AZ789" s="94"/>
      <c r="BA789" s="95"/>
    </row>
    <row r="790" spans="1:53" s="87" customFormat="1">
      <c r="A790" s="90" t="str">
        <f t="shared" si="37"/>
        <v/>
      </c>
      <c r="B790" s="98">
        <v>18</v>
      </c>
      <c r="C790" s="94" t="s">
        <v>210</v>
      </c>
      <c r="D790" s="94">
        <v>-4</v>
      </c>
      <c r="E790" s="94" t="s">
        <v>210</v>
      </c>
      <c r="F790" s="94">
        <v>8</v>
      </c>
      <c r="G790" s="94">
        <v>5</v>
      </c>
      <c r="H790" s="94">
        <v>-2</v>
      </c>
      <c r="I790" s="94">
        <v>6</v>
      </c>
      <c r="J790" s="94" t="s">
        <v>210</v>
      </c>
      <c r="K790" s="94">
        <v>3</v>
      </c>
      <c r="L790" s="94" t="s">
        <v>210</v>
      </c>
      <c r="M790" s="94">
        <v>-7</v>
      </c>
      <c r="N790" s="94" t="s">
        <v>210</v>
      </c>
      <c r="O790" s="94">
        <v>1</v>
      </c>
      <c r="P790" s="94">
        <v>-6</v>
      </c>
      <c r="Q790" s="94">
        <v>-8</v>
      </c>
      <c r="R790" s="94">
        <v>4</v>
      </c>
      <c r="S790" s="94" t="s">
        <v>210</v>
      </c>
      <c r="T790" s="94"/>
      <c r="U790" s="94"/>
      <c r="V790" s="94"/>
      <c r="W790" s="94"/>
      <c r="X790" s="94"/>
      <c r="Y790" s="94"/>
      <c r="Z790" s="94"/>
      <c r="AA790" s="94"/>
      <c r="AB790" s="94"/>
      <c r="AC790" s="94"/>
      <c r="AD790" s="94"/>
      <c r="AE790" s="94"/>
      <c r="AF790" s="94"/>
      <c r="AG790" s="94"/>
      <c r="AH790" s="94"/>
      <c r="AI790" s="94"/>
      <c r="AJ790" s="94"/>
      <c r="AK790" s="94"/>
      <c r="AL790" s="94"/>
      <c r="AM790" s="94"/>
      <c r="AN790" s="94"/>
      <c r="AO790" s="94"/>
      <c r="AP790" s="94"/>
      <c r="AQ790" s="94"/>
      <c r="AR790" s="94"/>
      <c r="AS790" s="94"/>
      <c r="AT790" s="94"/>
      <c r="AU790" s="94"/>
      <c r="AV790" s="94"/>
      <c r="AW790" s="94"/>
      <c r="AX790" s="94"/>
      <c r="AY790" s="94"/>
      <c r="AZ790" s="94"/>
      <c r="BA790" s="95"/>
    </row>
    <row r="791" spans="1:53" s="87" customFormat="1">
      <c r="A791" s="90" t="str">
        <f t="shared" si="37"/>
        <v/>
      </c>
      <c r="B791" s="98">
        <v>19</v>
      </c>
      <c r="C791" s="94" t="s">
        <v>210</v>
      </c>
      <c r="D791" s="94">
        <v>-5</v>
      </c>
      <c r="E791" s="94">
        <v>7</v>
      </c>
      <c r="F791" s="94" t="s">
        <v>210</v>
      </c>
      <c r="G791" s="94">
        <v>-3</v>
      </c>
      <c r="H791" s="94" t="s">
        <v>210</v>
      </c>
      <c r="I791" s="94">
        <v>1</v>
      </c>
      <c r="J791" s="94">
        <v>-2</v>
      </c>
      <c r="K791" s="94">
        <v>5</v>
      </c>
      <c r="L791" s="94">
        <v>8</v>
      </c>
      <c r="M791" s="94" t="s">
        <v>210</v>
      </c>
      <c r="N791" s="94">
        <v>-6</v>
      </c>
      <c r="O791" s="94" t="s">
        <v>210</v>
      </c>
      <c r="P791" s="94">
        <v>2</v>
      </c>
      <c r="Q791" s="94" t="s">
        <v>210</v>
      </c>
      <c r="R791" s="94">
        <v>-4</v>
      </c>
      <c r="S791" s="94">
        <v>3</v>
      </c>
      <c r="T791" s="94"/>
      <c r="U791" s="94"/>
      <c r="V791" s="94"/>
      <c r="W791" s="94"/>
      <c r="X791" s="94"/>
      <c r="Y791" s="94"/>
      <c r="Z791" s="94"/>
      <c r="AA791" s="94"/>
      <c r="AB791" s="94"/>
      <c r="AC791" s="94"/>
      <c r="AD791" s="94"/>
      <c r="AE791" s="94"/>
      <c r="AF791" s="94"/>
      <c r="AG791" s="94"/>
      <c r="AH791" s="94"/>
      <c r="AI791" s="94"/>
      <c r="AJ791" s="94"/>
      <c r="AK791" s="94"/>
      <c r="AL791" s="94"/>
      <c r="AM791" s="94"/>
      <c r="AN791" s="94"/>
      <c r="AO791" s="94"/>
      <c r="AP791" s="94"/>
      <c r="AQ791" s="94"/>
      <c r="AR791" s="94"/>
      <c r="AS791" s="94"/>
      <c r="AT791" s="94"/>
      <c r="AU791" s="94"/>
      <c r="AV791" s="94"/>
      <c r="AW791" s="94"/>
      <c r="AX791" s="94"/>
      <c r="AY791" s="94"/>
      <c r="AZ791" s="94"/>
      <c r="BA791" s="95"/>
    </row>
    <row r="792" spans="1:53" s="87" customFormat="1">
      <c r="A792" s="90" t="str">
        <f t="shared" si="37"/>
        <v/>
      </c>
      <c r="B792" s="98">
        <v>20</v>
      </c>
      <c r="C792" s="94" t="s">
        <v>210</v>
      </c>
      <c r="D792" s="94">
        <v>7</v>
      </c>
      <c r="E792" s="94">
        <v>-8</v>
      </c>
      <c r="F792" s="94" t="s">
        <v>210</v>
      </c>
      <c r="G792" s="94">
        <v>3</v>
      </c>
      <c r="H792" s="94" t="s">
        <v>210</v>
      </c>
      <c r="I792" s="94">
        <v>-6</v>
      </c>
      <c r="J792" s="94">
        <v>4</v>
      </c>
      <c r="K792" s="94">
        <v>-7</v>
      </c>
      <c r="L792" s="94">
        <v>-5</v>
      </c>
      <c r="M792" s="94" t="s">
        <v>210</v>
      </c>
      <c r="N792" s="94">
        <v>1</v>
      </c>
      <c r="O792" s="94" t="s">
        <v>210</v>
      </c>
      <c r="P792" s="94">
        <v>-4</v>
      </c>
      <c r="Q792" s="94" t="s">
        <v>210</v>
      </c>
      <c r="R792" s="94">
        <v>2</v>
      </c>
      <c r="S792" s="94">
        <v>5</v>
      </c>
      <c r="T792" s="94"/>
      <c r="U792" s="94"/>
      <c r="V792" s="94"/>
      <c r="W792" s="94"/>
      <c r="X792" s="94"/>
      <c r="Y792" s="94"/>
      <c r="Z792" s="94"/>
      <c r="AA792" s="94"/>
      <c r="AB792" s="94"/>
      <c r="AC792" s="94"/>
      <c r="AD792" s="94"/>
      <c r="AE792" s="94"/>
      <c r="AF792" s="94"/>
      <c r="AG792" s="94"/>
      <c r="AH792" s="94"/>
      <c r="AI792" s="94"/>
      <c r="AJ792" s="94"/>
      <c r="AK792" s="94"/>
      <c r="AL792" s="94"/>
      <c r="AM792" s="94"/>
      <c r="AN792" s="94"/>
      <c r="AO792" s="94"/>
      <c r="AP792" s="94"/>
      <c r="AQ792" s="94"/>
      <c r="AR792" s="94"/>
      <c r="AS792" s="94"/>
      <c r="AT792" s="94"/>
      <c r="AU792" s="94"/>
      <c r="AV792" s="94"/>
      <c r="AW792" s="94"/>
      <c r="AX792" s="94"/>
      <c r="AY792" s="94"/>
      <c r="AZ792" s="94"/>
      <c r="BA792" s="95"/>
    </row>
    <row r="793" spans="1:53" s="87" customFormat="1">
      <c r="A793" s="90" t="str">
        <f t="shared" si="37"/>
        <v/>
      </c>
      <c r="B793" s="98">
        <v>21</v>
      </c>
      <c r="C793" s="94" t="s">
        <v>210</v>
      </c>
      <c r="D793" s="94">
        <v>4</v>
      </c>
      <c r="E793" s="94">
        <v>-7</v>
      </c>
      <c r="F793" s="94">
        <v>5</v>
      </c>
      <c r="G793" s="94" t="s">
        <v>210</v>
      </c>
      <c r="H793" s="94">
        <v>1</v>
      </c>
      <c r="I793" s="94" t="s">
        <v>210</v>
      </c>
      <c r="J793" s="94">
        <v>-4</v>
      </c>
      <c r="K793" s="94" t="s">
        <v>210</v>
      </c>
      <c r="L793" s="94">
        <v>-3</v>
      </c>
      <c r="M793" s="94">
        <v>8</v>
      </c>
      <c r="N793" s="94">
        <v>-2</v>
      </c>
      <c r="O793" s="94">
        <v>6</v>
      </c>
      <c r="P793" s="94" t="s">
        <v>210</v>
      </c>
      <c r="Q793" s="94">
        <v>3</v>
      </c>
      <c r="R793" s="94" t="s">
        <v>210</v>
      </c>
      <c r="S793" s="94">
        <v>-1</v>
      </c>
      <c r="T793" s="94"/>
      <c r="U793" s="94"/>
      <c r="V793" s="94"/>
      <c r="W793" s="94"/>
      <c r="X793" s="94"/>
      <c r="Y793" s="94"/>
      <c r="Z793" s="94"/>
      <c r="AA793" s="94"/>
      <c r="AB793" s="94"/>
      <c r="AC793" s="94"/>
      <c r="AD793" s="94"/>
      <c r="AE793" s="94"/>
      <c r="AF793" s="94"/>
      <c r="AG793" s="94"/>
      <c r="AH793" s="94"/>
      <c r="AI793" s="94"/>
      <c r="AJ793" s="94"/>
      <c r="AK793" s="94"/>
      <c r="AL793" s="94"/>
      <c r="AM793" s="94"/>
      <c r="AN793" s="94"/>
      <c r="AO793" s="94"/>
      <c r="AP793" s="94"/>
      <c r="AQ793" s="94"/>
      <c r="AR793" s="94"/>
      <c r="AS793" s="94"/>
      <c r="AT793" s="94"/>
      <c r="AU793" s="94"/>
      <c r="AV793" s="94"/>
      <c r="AW793" s="94"/>
      <c r="AX793" s="94"/>
      <c r="AY793" s="94"/>
      <c r="AZ793" s="94"/>
      <c r="BA793" s="95"/>
    </row>
    <row r="794" spans="1:53" s="87" customFormat="1">
      <c r="A794" s="90" t="str">
        <f t="shared" si="37"/>
        <v/>
      </c>
      <c r="B794" s="98">
        <v>22</v>
      </c>
      <c r="C794" s="94" t="s">
        <v>210</v>
      </c>
      <c r="D794" s="94">
        <v>-3</v>
      </c>
      <c r="E794" s="94">
        <v>8</v>
      </c>
      <c r="F794" s="94">
        <v>-5</v>
      </c>
      <c r="G794" s="94" t="s">
        <v>210</v>
      </c>
      <c r="H794" s="94">
        <v>-6</v>
      </c>
      <c r="I794" s="94" t="s">
        <v>210</v>
      </c>
      <c r="J794" s="94">
        <v>2</v>
      </c>
      <c r="K794" s="94" t="s">
        <v>210</v>
      </c>
      <c r="L794" s="94">
        <v>-7</v>
      </c>
      <c r="M794" s="94">
        <v>3</v>
      </c>
      <c r="N794" s="94">
        <v>4</v>
      </c>
      <c r="O794" s="94">
        <v>-1</v>
      </c>
      <c r="P794" s="94" t="s">
        <v>210</v>
      </c>
      <c r="Q794" s="94">
        <v>5</v>
      </c>
      <c r="R794" s="94" t="s">
        <v>210</v>
      </c>
      <c r="S794" s="94">
        <v>6</v>
      </c>
      <c r="T794" s="94"/>
      <c r="U794" s="94"/>
      <c r="V794" s="94"/>
      <c r="W794" s="94"/>
      <c r="X794" s="94"/>
      <c r="Y794" s="94"/>
      <c r="Z794" s="94"/>
      <c r="AA794" s="94"/>
      <c r="AB794" s="94"/>
      <c r="AC794" s="94"/>
      <c r="AD794" s="94"/>
      <c r="AE794" s="94"/>
      <c r="AF794" s="94"/>
      <c r="AG794" s="94"/>
      <c r="AH794" s="94"/>
      <c r="AI794" s="94"/>
      <c r="AJ794" s="94"/>
      <c r="AK794" s="94"/>
      <c r="AL794" s="94"/>
      <c r="AM794" s="94"/>
      <c r="AN794" s="94"/>
      <c r="AO794" s="94"/>
      <c r="AP794" s="94"/>
      <c r="AQ794" s="94"/>
      <c r="AR794" s="94"/>
      <c r="AS794" s="94"/>
      <c r="AT794" s="94"/>
      <c r="AU794" s="94"/>
      <c r="AV794" s="94"/>
      <c r="AW794" s="94"/>
      <c r="AX794" s="94"/>
      <c r="AY794" s="94"/>
      <c r="AZ794" s="94"/>
      <c r="BA794" s="95"/>
    </row>
    <row r="795" spans="1:53" s="87" customFormat="1">
      <c r="A795" s="90" t="str">
        <f t="shared" si="37"/>
        <v/>
      </c>
      <c r="B795" s="98">
        <v>23</v>
      </c>
      <c r="C795" s="94" t="s">
        <v>210</v>
      </c>
      <c r="D795" s="94">
        <v>-7</v>
      </c>
      <c r="E795" s="94" t="s">
        <v>210</v>
      </c>
      <c r="F795" s="94">
        <v>3</v>
      </c>
      <c r="G795" s="94">
        <v>7</v>
      </c>
      <c r="H795" s="94">
        <v>-1</v>
      </c>
      <c r="I795" s="94">
        <v>-2</v>
      </c>
      <c r="J795" s="94" t="s">
        <v>210</v>
      </c>
      <c r="K795" s="94">
        <v>-8</v>
      </c>
      <c r="L795" s="94" t="s">
        <v>210</v>
      </c>
      <c r="M795" s="94">
        <v>5</v>
      </c>
      <c r="N795" s="94" t="s">
        <v>210</v>
      </c>
      <c r="O795" s="94">
        <v>4</v>
      </c>
      <c r="P795" s="94">
        <v>-2</v>
      </c>
      <c r="Q795" s="94">
        <v>8</v>
      </c>
      <c r="R795" s="94" t="s">
        <v>210</v>
      </c>
      <c r="S795" s="94">
        <v>-6</v>
      </c>
      <c r="T795" s="94"/>
      <c r="U795" s="94"/>
      <c r="V795" s="94"/>
      <c r="W795" s="94"/>
      <c r="X795" s="94"/>
      <c r="Y795" s="94"/>
      <c r="Z795" s="94"/>
      <c r="AA795" s="94"/>
      <c r="AB795" s="94"/>
      <c r="AC795" s="94"/>
      <c r="AD795" s="94"/>
      <c r="AE795" s="94"/>
      <c r="AF795" s="94"/>
      <c r="AG795" s="94"/>
      <c r="AH795" s="94"/>
      <c r="AI795" s="94"/>
      <c r="AJ795" s="94"/>
      <c r="AK795" s="94"/>
      <c r="AL795" s="94"/>
      <c r="AM795" s="94"/>
      <c r="AN795" s="94"/>
      <c r="AO795" s="94"/>
      <c r="AP795" s="94"/>
      <c r="AQ795" s="94"/>
      <c r="AR795" s="94"/>
      <c r="AS795" s="94"/>
      <c r="AT795" s="94"/>
      <c r="AU795" s="94"/>
      <c r="AV795" s="94"/>
      <c r="AW795" s="94"/>
      <c r="AX795" s="94"/>
      <c r="AY795" s="94"/>
      <c r="AZ795" s="94"/>
      <c r="BA795" s="95"/>
    </row>
    <row r="796" spans="1:53" s="87" customFormat="1">
      <c r="A796" s="90" t="str">
        <f t="shared" si="37"/>
        <v/>
      </c>
      <c r="B796" s="98">
        <v>24</v>
      </c>
      <c r="C796" s="94" t="s">
        <v>210</v>
      </c>
      <c r="D796" s="94">
        <v>6</v>
      </c>
      <c r="E796" s="94" t="s">
        <v>210</v>
      </c>
      <c r="F796" s="94">
        <v>-3</v>
      </c>
      <c r="G796" s="94">
        <v>-8</v>
      </c>
      <c r="H796" s="94">
        <v>6</v>
      </c>
      <c r="I796" s="94">
        <v>-4</v>
      </c>
      <c r="J796" s="94" t="s">
        <v>210</v>
      </c>
      <c r="K796" s="94">
        <v>-5</v>
      </c>
      <c r="L796" s="94" t="s">
        <v>210</v>
      </c>
      <c r="M796" s="94">
        <v>7</v>
      </c>
      <c r="N796" s="94" t="s">
        <v>210</v>
      </c>
      <c r="O796" s="94">
        <v>-2</v>
      </c>
      <c r="P796" s="94">
        <v>4</v>
      </c>
      <c r="Q796" s="94">
        <v>-7</v>
      </c>
      <c r="R796" s="94" t="s">
        <v>210</v>
      </c>
      <c r="S796" s="94">
        <v>1</v>
      </c>
      <c r="T796" s="94"/>
      <c r="U796" s="94"/>
      <c r="V796" s="94"/>
      <c r="W796" s="94"/>
      <c r="X796" s="94"/>
      <c r="Y796" s="94"/>
      <c r="Z796" s="94"/>
      <c r="AA796" s="94"/>
      <c r="AB796" s="94"/>
      <c r="AC796" s="94"/>
      <c r="AD796" s="94"/>
      <c r="AE796" s="94"/>
      <c r="AF796" s="94"/>
      <c r="AG796" s="94"/>
      <c r="AH796" s="94"/>
      <c r="AI796" s="94"/>
      <c r="AJ796" s="94"/>
      <c r="AK796" s="94"/>
      <c r="AL796" s="94"/>
      <c r="AM796" s="94"/>
      <c r="AN796" s="94"/>
      <c r="AO796" s="94"/>
      <c r="AP796" s="94"/>
      <c r="AQ796" s="94"/>
      <c r="AR796" s="94"/>
      <c r="AS796" s="94"/>
      <c r="AT796" s="94"/>
      <c r="AU796" s="94"/>
      <c r="AV796" s="94"/>
      <c r="AW796" s="94"/>
      <c r="AX796" s="94"/>
      <c r="AY796" s="94"/>
      <c r="AZ796" s="94"/>
      <c r="BA796" s="95"/>
    </row>
    <row r="797" spans="1:53" s="87" customFormat="1">
      <c r="A797" s="90" t="str">
        <f t="shared" si="37"/>
        <v/>
      </c>
      <c r="B797" s="98" t="s">
        <v>493</v>
      </c>
      <c r="C797" s="94"/>
      <c r="D797" s="94"/>
      <c r="E797" s="94"/>
      <c r="F797" s="94"/>
      <c r="G797" s="94"/>
      <c r="H797" s="94"/>
      <c r="I797" s="94"/>
      <c r="J797" s="94"/>
      <c r="K797" s="94"/>
      <c r="L797" s="94"/>
      <c r="M797" s="94"/>
      <c r="N797" s="94"/>
      <c r="O797" s="94"/>
      <c r="P797" s="94"/>
      <c r="Q797" s="94"/>
      <c r="R797" s="94"/>
      <c r="S797" s="94"/>
      <c r="T797" s="94"/>
      <c r="U797" s="94"/>
      <c r="V797" s="94"/>
      <c r="W797" s="94"/>
      <c r="X797" s="94"/>
      <c r="Y797" s="94"/>
      <c r="Z797" s="94"/>
      <c r="AA797" s="94"/>
      <c r="AB797" s="94"/>
      <c r="AC797" s="94"/>
      <c r="AD797" s="94"/>
      <c r="AE797" s="94"/>
      <c r="AF797" s="94"/>
      <c r="AG797" s="94"/>
      <c r="AH797" s="94"/>
      <c r="AI797" s="94"/>
      <c r="AJ797" s="94"/>
      <c r="AK797" s="94"/>
      <c r="AL797" s="94"/>
      <c r="AM797" s="94"/>
      <c r="AN797" s="94"/>
      <c r="AO797" s="94"/>
      <c r="AP797" s="94"/>
      <c r="AQ797" s="94"/>
      <c r="AR797" s="94"/>
      <c r="AS797" s="94"/>
      <c r="AT797" s="94"/>
      <c r="AU797" s="94"/>
      <c r="AV797" s="94"/>
      <c r="AW797" s="94"/>
      <c r="AX797" s="94"/>
      <c r="AY797" s="94"/>
      <c r="AZ797" s="94"/>
      <c r="BA797" s="95"/>
    </row>
    <row r="798" spans="1:53" s="87" customFormat="1">
      <c r="A798" s="90">
        <f t="shared" si="37"/>
        <v>798</v>
      </c>
      <c r="B798" s="304" t="s">
        <v>867</v>
      </c>
      <c r="C798" s="94"/>
      <c r="D798" s="94"/>
      <c r="E798" s="94"/>
      <c r="F798" s="94"/>
      <c r="G798" s="94"/>
      <c r="H798" s="94"/>
      <c r="I798" s="94"/>
      <c r="J798" s="94"/>
      <c r="K798" s="94"/>
      <c r="L798" s="94"/>
      <c r="M798" s="94"/>
      <c r="N798" s="94"/>
      <c r="O798" s="94"/>
      <c r="P798" s="94"/>
      <c r="Q798" s="94"/>
      <c r="R798" s="94"/>
      <c r="S798" s="94"/>
      <c r="T798" s="94"/>
      <c r="U798" s="94"/>
      <c r="V798" s="94"/>
      <c r="W798" s="94"/>
      <c r="X798" s="94"/>
      <c r="Y798" s="94"/>
      <c r="Z798" s="94"/>
      <c r="AA798" s="94"/>
      <c r="AB798" s="94"/>
      <c r="AC798" s="94"/>
      <c r="AD798" s="94"/>
      <c r="AE798" s="94"/>
      <c r="AF798" s="94"/>
      <c r="AG798" s="94"/>
      <c r="AH798" s="94"/>
      <c r="AI798" s="94"/>
      <c r="AJ798" s="94"/>
      <c r="AK798" s="94"/>
      <c r="AL798" s="94"/>
      <c r="AM798" s="94"/>
      <c r="AN798" s="94"/>
      <c r="AO798" s="94"/>
      <c r="AP798" s="94"/>
      <c r="AQ798" s="94"/>
      <c r="AR798" s="94"/>
      <c r="AS798" s="94"/>
      <c r="AT798" s="94"/>
      <c r="AU798" s="94"/>
      <c r="AV798" s="94"/>
      <c r="AW798" s="94"/>
      <c r="AX798" s="94"/>
      <c r="AY798" s="94"/>
      <c r="AZ798" s="94"/>
      <c r="BA798" s="95"/>
    </row>
    <row r="799" spans="1:53" s="87" customFormat="1">
      <c r="A799" s="90" t="str">
        <f t="shared" si="37"/>
        <v/>
      </c>
      <c r="B799" s="98">
        <v>1</v>
      </c>
      <c r="C799" s="94">
        <v>3</v>
      </c>
      <c r="D799" s="94" t="s">
        <v>210</v>
      </c>
      <c r="E799" s="94">
        <v>-6</v>
      </c>
      <c r="F799" s="94">
        <v>-5</v>
      </c>
      <c r="G799" s="94" t="s">
        <v>210</v>
      </c>
      <c r="H799" s="94">
        <v>2</v>
      </c>
      <c r="I799" s="94">
        <v>4</v>
      </c>
      <c r="J799" s="94" t="s">
        <v>210</v>
      </c>
      <c r="K799" s="94">
        <v>-3</v>
      </c>
      <c r="L799" s="94" t="s">
        <v>210</v>
      </c>
      <c r="M799" s="94">
        <v>6</v>
      </c>
      <c r="N799" s="94">
        <v>7</v>
      </c>
      <c r="O799" s="94" t="s">
        <v>210</v>
      </c>
      <c r="P799" s="94">
        <v>-8</v>
      </c>
      <c r="Q799" s="94" t="s">
        <v>210</v>
      </c>
      <c r="R799" s="94">
        <v>-1</v>
      </c>
      <c r="S799" s="94">
        <v>-4</v>
      </c>
      <c r="T799" s="94" t="s">
        <v>210</v>
      </c>
      <c r="U799" s="94" t="s">
        <v>210</v>
      </c>
      <c r="V799" s="94">
        <v>5</v>
      </c>
      <c r="W799" s="94"/>
      <c r="X799" s="94"/>
      <c r="Y799" s="94"/>
      <c r="Z799" s="94"/>
      <c r="AA799" s="94"/>
      <c r="AB799" s="94"/>
      <c r="AC799" s="94"/>
      <c r="AD799" s="94"/>
      <c r="AE799" s="94"/>
      <c r="AF799" s="94"/>
      <c r="AG799" s="94"/>
      <c r="AH799" s="94"/>
      <c r="AI799" s="94"/>
      <c r="AJ799" s="94"/>
      <c r="AK799" s="94"/>
      <c r="AL799" s="94"/>
      <c r="AM799" s="94"/>
      <c r="AN799" s="94"/>
      <c r="AO799" s="94"/>
      <c r="AP799" s="94"/>
      <c r="AQ799" s="94"/>
      <c r="AR799" s="94"/>
      <c r="AS799" s="94"/>
      <c r="AT799" s="94"/>
      <c r="AU799" s="94"/>
      <c r="AV799" s="94"/>
      <c r="AW799" s="94"/>
      <c r="AX799" s="94"/>
      <c r="AY799" s="94"/>
      <c r="AZ799" s="94"/>
      <c r="BA799" s="95"/>
    </row>
    <row r="800" spans="1:53" s="87" customFormat="1">
      <c r="A800" s="90" t="str">
        <f t="shared" si="37"/>
        <v/>
      </c>
      <c r="B800" s="98">
        <v>2</v>
      </c>
      <c r="C800" s="94" t="s">
        <v>210</v>
      </c>
      <c r="D800" s="94">
        <v>-2</v>
      </c>
      <c r="E800" s="94">
        <v>-3</v>
      </c>
      <c r="F800" s="94" t="s">
        <v>210</v>
      </c>
      <c r="G800" s="94">
        <v>8</v>
      </c>
      <c r="H800" s="94" t="s">
        <v>210</v>
      </c>
      <c r="I800" s="94">
        <v>6</v>
      </c>
      <c r="J800" s="94">
        <v>5</v>
      </c>
      <c r="K800" s="94" t="s">
        <v>210</v>
      </c>
      <c r="L800" s="94">
        <v>-4</v>
      </c>
      <c r="M800" s="94" t="s">
        <v>210</v>
      </c>
      <c r="N800" s="94">
        <v>2</v>
      </c>
      <c r="O800" s="94">
        <v>1</v>
      </c>
      <c r="P800" s="94" t="s">
        <v>210</v>
      </c>
      <c r="Q800" s="94">
        <v>3</v>
      </c>
      <c r="R800" s="94">
        <v>-6</v>
      </c>
      <c r="S800" s="94" t="s">
        <v>210</v>
      </c>
      <c r="T800" s="94">
        <v>-7</v>
      </c>
      <c r="U800" s="94" t="s">
        <v>210</v>
      </c>
      <c r="V800" s="94">
        <v>-5</v>
      </c>
      <c r="W800" s="94"/>
      <c r="X800" s="94"/>
      <c r="Y800" s="94"/>
      <c r="Z800" s="94"/>
      <c r="AA800" s="94"/>
      <c r="AB800" s="94"/>
      <c r="AC800" s="94"/>
      <c r="AD800" s="94"/>
      <c r="AE800" s="94"/>
      <c r="AF800" s="94"/>
      <c r="AG800" s="94"/>
      <c r="AH800" s="94"/>
      <c r="AI800" s="94"/>
      <c r="AJ800" s="94"/>
      <c r="AK800" s="94"/>
      <c r="AL800" s="94"/>
      <c r="AM800" s="94"/>
      <c r="AN800" s="94"/>
      <c r="AO800" s="94"/>
      <c r="AP800" s="94"/>
      <c r="AQ800" s="94"/>
      <c r="AR800" s="94"/>
      <c r="AS800" s="94"/>
      <c r="AT800" s="94"/>
      <c r="AU800" s="94"/>
      <c r="AV800" s="94"/>
      <c r="AW800" s="94"/>
      <c r="AX800" s="94"/>
      <c r="AY800" s="94"/>
      <c r="AZ800" s="94"/>
      <c r="BA800" s="95"/>
    </row>
    <row r="801" spans="1:53" s="87" customFormat="1">
      <c r="A801" s="90" t="str">
        <f t="shared" si="37"/>
        <v/>
      </c>
      <c r="B801" s="98">
        <v>3</v>
      </c>
      <c r="C801" s="94">
        <v>1</v>
      </c>
      <c r="D801" s="94" t="s">
        <v>210</v>
      </c>
      <c r="E801" s="94">
        <v>6</v>
      </c>
      <c r="F801" s="94" t="s">
        <v>210</v>
      </c>
      <c r="G801" s="94">
        <v>-5</v>
      </c>
      <c r="H801" s="94">
        <v>-7</v>
      </c>
      <c r="I801" s="94" t="s">
        <v>210</v>
      </c>
      <c r="J801" s="94">
        <v>8</v>
      </c>
      <c r="K801" s="94" t="s">
        <v>210</v>
      </c>
      <c r="L801" s="94">
        <v>-2</v>
      </c>
      <c r="M801" s="94">
        <v>-1</v>
      </c>
      <c r="N801" s="94" t="s">
        <v>210</v>
      </c>
      <c r="O801" s="94">
        <v>3</v>
      </c>
      <c r="P801" s="94">
        <v>-6</v>
      </c>
      <c r="Q801" s="94" t="s">
        <v>210</v>
      </c>
      <c r="R801" s="94">
        <v>-4</v>
      </c>
      <c r="S801" s="94" t="s">
        <v>210</v>
      </c>
      <c r="T801" s="94">
        <v>7</v>
      </c>
      <c r="U801" s="94" t="s">
        <v>210</v>
      </c>
      <c r="V801" s="94">
        <v>2</v>
      </c>
      <c r="W801" s="94"/>
      <c r="X801" s="94"/>
      <c r="Y801" s="94"/>
      <c r="Z801" s="94"/>
      <c r="AA801" s="94"/>
      <c r="AB801" s="94"/>
      <c r="AC801" s="94"/>
      <c r="AD801" s="94"/>
      <c r="AE801" s="94"/>
      <c r="AF801" s="94"/>
      <c r="AG801" s="94"/>
      <c r="AH801" s="94"/>
      <c r="AI801" s="94"/>
      <c r="AJ801" s="94"/>
      <c r="AK801" s="94"/>
      <c r="AL801" s="94"/>
      <c r="AM801" s="94"/>
      <c r="AN801" s="94"/>
      <c r="AO801" s="94"/>
      <c r="AP801" s="94"/>
      <c r="AQ801" s="94"/>
      <c r="AR801" s="94"/>
      <c r="AS801" s="94"/>
      <c r="AT801" s="94"/>
      <c r="AU801" s="94"/>
      <c r="AV801" s="94"/>
      <c r="AW801" s="94"/>
      <c r="AX801" s="94"/>
      <c r="AY801" s="94"/>
      <c r="AZ801" s="94"/>
      <c r="BA801" s="95"/>
    </row>
    <row r="802" spans="1:53" s="87" customFormat="1">
      <c r="A802" s="90" t="str">
        <f t="shared" si="37"/>
        <v/>
      </c>
      <c r="B802" s="98">
        <v>4</v>
      </c>
      <c r="C802" s="94" t="s">
        <v>210</v>
      </c>
      <c r="D802" s="94">
        <v>-1</v>
      </c>
      <c r="E802" s="94" t="s">
        <v>210</v>
      </c>
      <c r="F802" s="94">
        <v>8</v>
      </c>
      <c r="G802" s="94">
        <v>4</v>
      </c>
      <c r="H802" s="94" t="s">
        <v>210</v>
      </c>
      <c r="I802" s="94">
        <v>-6</v>
      </c>
      <c r="J802" s="94" t="s">
        <v>210</v>
      </c>
      <c r="K802" s="94">
        <v>2</v>
      </c>
      <c r="L802" s="94">
        <v>1</v>
      </c>
      <c r="M802" s="94" t="s">
        <v>210</v>
      </c>
      <c r="N802" s="94">
        <v>-7</v>
      </c>
      <c r="O802" s="94">
        <v>-8</v>
      </c>
      <c r="P802" s="94" t="s">
        <v>210</v>
      </c>
      <c r="Q802" s="94">
        <v>6</v>
      </c>
      <c r="R802" s="94" t="s">
        <v>210</v>
      </c>
      <c r="S802" s="94">
        <v>5</v>
      </c>
      <c r="T802" s="94">
        <v>-3</v>
      </c>
      <c r="U802" s="94" t="s">
        <v>210</v>
      </c>
      <c r="V802" s="94">
        <v>-2</v>
      </c>
      <c r="W802" s="94"/>
      <c r="X802" s="94"/>
      <c r="Y802" s="94"/>
      <c r="Z802" s="94"/>
      <c r="AA802" s="94"/>
      <c r="AB802" s="94"/>
      <c r="AC802" s="94"/>
      <c r="AD802" s="94"/>
      <c r="AE802" s="94"/>
      <c r="AF802" s="94"/>
      <c r="AG802" s="94"/>
      <c r="AH802" s="94"/>
      <c r="AI802" s="94"/>
      <c r="AJ802" s="94"/>
      <c r="AK802" s="94"/>
      <c r="AL802" s="94"/>
      <c r="AM802" s="94"/>
      <c r="AN802" s="94"/>
      <c r="AO802" s="94"/>
      <c r="AP802" s="94"/>
      <c r="AQ802" s="94"/>
      <c r="AR802" s="94"/>
      <c r="AS802" s="94"/>
      <c r="AT802" s="94"/>
      <c r="AU802" s="94"/>
      <c r="AV802" s="94"/>
      <c r="AW802" s="94"/>
      <c r="AX802" s="94"/>
      <c r="AY802" s="94"/>
      <c r="AZ802" s="94"/>
      <c r="BA802" s="95"/>
    </row>
    <row r="803" spans="1:53" s="87" customFormat="1">
      <c r="A803" s="90" t="str">
        <f t="shared" si="37"/>
        <v/>
      </c>
      <c r="B803" s="98">
        <v>5</v>
      </c>
      <c r="C803" s="94" t="s">
        <v>210</v>
      </c>
      <c r="D803" s="94">
        <v>-6</v>
      </c>
      <c r="E803" s="94">
        <v>7</v>
      </c>
      <c r="F803" s="94" t="s">
        <v>210</v>
      </c>
      <c r="G803" s="94">
        <v>1</v>
      </c>
      <c r="H803" s="94">
        <v>-2</v>
      </c>
      <c r="I803" s="94" t="s">
        <v>210</v>
      </c>
      <c r="J803" s="94">
        <v>-3</v>
      </c>
      <c r="K803" s="94" t="s">
        <v>210</v>
      </c>
      <c r="L803" s="94">
        <v>5</v>
      </c>
      <c r="M803" s="94">
        <v>-8</v>
      </c>
      <c r="N803" s="94" t="s">
        <v>210</v>
      </c>
      <c r="O803" s="94">
        <v>-1</v>
      </c>
      <c r="P803" s="94" t="s">
        <v>210</v>
      </c>
      <c r="Q803" s="94">
        <v>2</v>
      </c>
      <c r="R803" s="94">
        <v>4</v>
      </c>
      <c r="S803" s="94" t="s">
        <v>210</v>
      </c>
      <c r="T803" s="94">
        <v>3</v>
      </c>
      <c r="U803" s="94">
        <v>-5</v>
      </c>
      <c r="V803" s="94" t="s">
        <v>210</v>
      </c>
      <c r="W803" s="94"/>
      <c r="X803" s="94"/>
      <c r="Y803" s="94"/>
      <c r="Z803" s="94"/>
      <c r="AA803" s="94"/>
      <c r="AB803" s="94"/>
      <c r="AC803" s="94"/>
      <c r="AD803" s="94"/>
      <c r="AE803" s="94"/>
      <c r="AF803" s="94"/>
      <c r="AG803" s="94"/>
      <c r="AH803" s="94"/>
      <c r="AI803" s="94"/>
      <c r="AJ803" s="94"/>
      <c r="AK803" s="94"/>
      <c r="AL803" s="94"/>
      <c r="AM803" s="94"/>
      <c r="AN803" s="94"/>
      <c r="AO803" s="94"/>
      <c r="AP803" s="94"/>
      <c r="AQ803" s="94"/>
      <c r="AR803" s="94"/>
      <c r="AS803" s="94"/>
      <c r="AT803" s="94"/>
      <c r="AU803" s="94"/>
      <c r="AV803" s="94"/>
      <c r="AW803" s="94"/>
      <c r="AX803" s="94"/>
      <c r="AY803" s="94"/>
      <c r="AZ803" s="94"/>
      <c r="BA803" s="95"/>
    </row>
    <row r="804" spans="1:53" s="87" customFormat="1">
      <c r="A804" s="90" t="str">
        <f t="shared" si="37"/>
        <v/>
      </c>
      <c r="B804" s="98">
        <v>6</v>
      </c>
      <c r="C804" s="94">
        <v>-5</v>
      </c>
      <c r="D804" s="94" t="s">
        <v>210</v>
      </c>
      <c r="E804" s="94">
        <v>3</v>
      </c>
      <c r="F804" s="94">
        <v>-8</v>
      </c>
      <c r="G804" s="94" t="s">
        <v>210</v>
      </c>
      <c r="H804" s="94">
        <v>-4</v>
      </c>
      <c r="I804" s="94" t="s">
        <v>210</v>
      </c>
      <c r="J804" s="94">
        <v>-7</v>
      </c>
      <c r="K804" s="94">
        <v>6</v>
      </c>
      <c r="L804" s="94" t="s">
        <v>210</v>
      </c>
      <c r="M804" s="94">
        <v>1</v>
      </c>
      <c r="N804" s="94">
        <v>-3</v>
      </c>
      <c r="O804" s="94" t="s">
        <v>210</v>
      </c>
      <c r="P804" s="94">
        <v>8</v>
      </c>
      <c r="Q804" s="94" t="s">
        <v>210</v>
      </c>
      <c r="R804" s="94">
        <v>-2</v>
      </c>
      <c r="S804" s="94">
        <v>7</v>
      </c>
      <c r="T804" s="94" t="s">
        <v>210</v>
      </c>
      <c r="U804" s="94">
        <v>5</v>
      </c>
      <c r="V804" s="94" t="s">
        <v>210</v>
      </c>
      <c r="W804" s="94"/>
      <c r="X804" s="94"/>
      <c r="Y804" s="94"/>
      <c r="Z804" s="94"/>
      <c r="AA804" s="94"/>
      <c r="AB804" s="94"/>
      <c r="AC804" s="94"/>
      <c r="AD804" s="94"/>
      <c r="AE804" s="94"/>
      <c r="AF804" s="94"/>
      <c r="AG804" s="94"/>
      <c r="AH804" s="94"/>
      <c r="AI804" s="94"/>
      <c r="AJ804" s="94"/>
      <c r="AK804" s="94"/>
      <c r="AL804" s="94"/>
      <c r="AM804" s="94"/>
      <c r="AN804" s="94"/>
      <c r="AO804" s="94"/>
      <c r="AP804" s="94"/>
      <c r="AQ804" s="94"/>
      <c r="AR804" s="94"/>
      <c r="AS804" s="94"/>
      <c r="AT804" s="94"/>
      <c r="AU804" s="94"/>
      <c r="AV804" s="94"/>
      <c r="AW804" s="94"/>
      <c r="AX804" s="94"/>
      <c r="AY804" s="94"/>
      <c r="AZ804" s="94"/>
      <c r="BA804" s="95"/>
    </row>
    <row r="805" spans="1:53" s="87" customFormat="1">
      <c r="A805" s="90" t="str">
        <f t="shared" si="37"/>
        <v/>
      </c>
      <c r="B805" s="98">
        <v>7</v>
      </c>
      <c r="C805" s="94">
        <v>2</v>
      </c>
      <c r="D805" s="94" t="s">
        <v>210</v>
      </c>
      <c r="E805" s="94">
        <v>-8</v>
      </c>
      <c r="F805" s="94" t="s">
        <v>210</v>
      </c>
      <c r="G805" s="94">
        <v>-1</v>
      </c>
      <c r="H805" s="94">
        <v>7</v>
      </c>
      <c r="I805" s="94" t="s">
        <v>210</v>
      </c>
      <c r="J805" s="94">
        <v>-5</v>
      </c>
      <c r="K805" s="94">
        <v>-6</v>
      </c>
      <c r="L805" s="94" t="s">
        <v>210</v>
      </c>
      <c r="M805" s="94">
        <v>-3</v>
      </c>
      <c r="N805" s="94" t="s">
        <v>210</v>
      </c>
      <c r="O805" s="94">
        <v>8</v>
      </c>
      <c r="P805" s="94">
        <v>-7</v>
      </c>
      <c r="Q805" s="94" t="s">
        <v>210</v>
      </c>
      <c r="R805" s="94">
        <v>1</v>
      </c>
      <c r="S805" s="94" t="s">
        <v>210</v>
      </c>
      <c r="T805" s="94">
        <v>6</v>
      </c>
      <c r="U805" s="94">
        <v>4</v>
      </c>
      <c r="V805" s="94" t="s">
        <v>210</v>
      </c>
      <c r="W805" s="94"/>
      <c r="X805" s="94"/>
      <c r="Y805" s="94"/>
      <c r="Z805" s="94"/>
      <c r="AA805" s="94"/>
      <c r="AB805" s="94"/>
      <c r="AC805" s="94"/>
      <c r="AD805" s="94"/>
      <c r="AE805" s="94"/>
      <c r="AF805" s="94"/>
      <c r="AG805" s="94"/>
      <c r="AH805" s="94"/>
      <c r="AI805" s="94"/>
      <c r="AJ805" s="94"/>
      <c r="AK805" s="94"/>
      <c r="AL805" s="94"/>
      <c r="AM805" s="94"/>
      <c r="AN805" s="94"/>
      <c r="AO805" s="94"/>
      <c r="AP805" s="94"/>
      <c r="AQ805" s="94"/>
      <c r="AR805" s="94"/>
      <c r="AS805" s="94"/>
      <c r="AT805" s="94"/>
      <c r="AU805" s="94"/>
      <c r="AV805" s="94"/>
      <c r="AW805" s="94"/>
      <c r="AX805" s="94"/>
      <c r="AY805" s="94"/>
      <c r="AZ805" s="94"/>
      <c r="BA805" s="95"/>
    </row>
    <row r="806" spans="1:53" s="87" customFormat="1">
      <c r="A806" s="90" t="str">
        <f t="shared" si="37"/>
        <v/>
      </c>
      <c r="B806" s="98">
        <v>8</v>
      </c>
      <c r="C806" s="94">
        <v>5</v>
      </c>
      <c r="D806" s="94">
        <v>4</v>
      </c>
      <c r="E806" s="94" t="s">
        <v>210</v>
      </c>
      <c r="F806" s="94">
        <v>-1</v>
      </c>
      <c r="G806" s="94" t="s">
        <v>210</v>
      </c>
      <c r="H806" s="94">
        <v>-6</v>
      </c>
      <c r="I806" s="94">
        <v>-7</v>
      </c>
      <c r="J806" s="94" t="s">
        <v>210</v>
      </c>
      <c r="K806" s="94">
        <v>3</v>
      </c>
      <c r="L806" s="94" t="s">
        <v>210</v>
      </c>
      <c r="M806" s="94">
        <v>8</v>
      </c>
      <c r="N806" s="94">
        <v>-2</v>
      </c>
      <c r="O806" s="94" t="s">
        <v>210</v>
      </c>
      <c r="P806" s="94">
        <v>6</v>
      </c>
      <c r="Q806" s="94">
        <v>7</v>
      </c>
      <c r="R806" s="94" t="s">
        <v>210</v>
      </c>
      <c r="S806" s="94">
        <v>-5</v>
      </c>
      <c r="T806" s="94" t="s">
        <v>210</v>
      </c>
      <c r="U806" s="94">
        <v>-4</v>
      </c>
      <c r="V806" s="94" t="s">
        <v>210</v>
      </c>
      <c r="W806" s="94"/>
      <c r="X806" s="94"/>
      <c r="Y806" s="94"/>
      <c r="Z806" s="94"/>
      <c r="AA806" s="94"/>
      <c r="AB806" s="94"/>
      <c r="AC806" s="94"/>
      <c r="AD806" s="94"/>
      <c r="AE806" s="94"/>
      <c r="AF806" s="94"/>
      <c r="AG806" s="94"/>
      <c r="AH806" s="94"/>
      <c r="AI806" s="94"/>
      <c r="AJ806" s="94"/>
      <c r="AK806" s="94"/>
      <c r="AL806" s="94"/>
      <c r="AM806" s="94"/>
      <c r="AN806" s="94"/>
      <c r="AO806" s="94"/>
      <c r="AP806" s="94"/>
      <c r="AQ806" s="94"/>
      <c r="AR806" s="94"/>
      <c r="AS806" s="94"/>
      <c r="AT806" s="94"/>
      <c r="AU806" s="94"/>
      <c r="AV806" s="94"/>
      <c r="AW806" s="94"/>
      <c r="AX806" s="94"/>
      <c r="AY806" s="94"/>
      <c r="AZ806" s="94"/>
      <c r="BA806" s="95"/>
    </row>
    <row r="807" spans="1:53" s="87" customFormat="1">
      <c r="A807" s="90" t="str">
        <f t="shared" si="37"/>
        <v/>
      </c>
      <c r="B807" s="98">
        <v>9</v>
      </c>
      <c r="C807" s="94">
        <v>-1</v>
      </c>
      <c r="D807" s="94">
        <v>2</v>
      </c>
      <c r="E807" s="94" t="s">
        <v>210</v>
      </c>
      <c r="F807" s="94">
        <v>-3</v>
      </c>
      <c r="G807" s="94" t="s">
        <v>210</v>
      </c>
      <c r="H807" s="94">
        <v>6</v>
      </c>
      <c r="I807" s="94">
        <v>-4</v>
      </c>
      <c r="J807" s="94" t="s">
        <v>210</v>
      </c>
      <c r="K807" s="94">
        <v>1</v>
      </c>
      <c r="L807" s="94">
        <v>-5</v>
      </c>
      <c r="M807" s="94" t="s">
        <v>210</v>
      </c>
      <c r="N807" s="94">
        <v>3</v>
      </c>
      <c r="O807" s="94" t="s">
        <v>210</v>
      </c>
      <c r="P807" s="94">
        <v>7</v>
      </c>
      <c r="Q807" s="94">
        <v>-6</v>
      </c>
      <c r="R807" s="94" t="s">
        <v>210</v>
      </c>
      <c r="S807" s="94">
        <v>-8</v>
      </c>
      <c r="T807" s="94" t="s">
        <v>210</v>
      </c>
      <c r="U807" s="94" t="s">
        <v>210</v>
      </c>
      <c r="V807" s="94">
        <v>4</v>
      </c>
      <c r="W807" s="94"/>
      <c r="X807" s="94"/>
      <c r="Y807" s="94"/>
      <c r="Z807" s="94"/>
      <c r="AA807" s="94"/>
      <c r="AB807" s="94"/>
      <c r="AC807" s="94"/>
      <c r="AD807" s="94"/>
      <c r="AE807" s="94"/>
      <c r="AF807" s="94"/>
      <c r="AG807" s="94"/>
      <c r="AH807" s="94"/>
      <c r="AI807" s="94"/>
      <c r="AJ807" s="94"/>
      <c r="AK807" s="94"/>
      <c r="AL807" s="94"/>
      <c r="AM807" s="94"/>
      <c r="AN807" s="94"/>
      <c r="AO807" s="94"/>
      <c r="AP807" s="94"/>
      <c r="AQ807" s="94"/>
      <c r="AR807" s="94"/>
      <c r="AS807" s="94"/>
      <c r="AT807" s="94"/>
      <c r="AU807" s="94"/>
      <c r="AV807" s="94"/>
      <c r="AW807" s="94"/>
      <c r="AX807" s="94"/>
      <c r="AY807" s="94"/>
      <c r="AZ807" s="94"/>
      <c r="BA807" s="95"/>
    </row>
    <row r="808" spans="1:53" s="87" customFormat="1">
      <c r="A808" s="90" t="str">
        <f t="shared" si="37"/>
        <v/>
      </c>
      <c r="B808" s="98">
        <v>10</v>
      </c>
      <c r="C808" s="94" t="s">
        <v>210</v>
      </c>
      <c r="D808" s="94">
        <v>1</v>
      </c>
      <c r="E808" s="94">
        <v>8</v>
      </c>
      <c r="F808" s="94" t="s">
        <v>210</v>
      </c>
      <c r="G808" s="94">
        <v>5</v>
      </c>
      <c r="H808" s="94" t="s">
        <v>210</v>
      </c>
      <c r="I808" s="94">
        <v>-2</v>
      </c>
      <c r="J808" s="94">
        <v>3</v>
      </c>
      <c r="K808" s="94" t="s">
        <v>210</v>
      </c>
      <c r="L808" s="94">
        <v>4</v>
      </c>
      <c r="M808" s="94">
        <v>-6</v>
      </c>
      <c r="N808" s="94" t="s">
        <v>210</v>
      </c>
      <c r="O808" s="94">
        <v>-5</v>
      </c>
      <c r="P808" s="94" t="s">
        <v>210</v>
      </c>
      <c r="Q808" s="94">
        <v>-7</v>
      </c>
      <c r="R808" s="94">
        <v>2</v>
      </c>
      <c r="S808" s="94" t="s">
        <v>210</v>
      </c>
      <c r="T808" s="94">
        <v>-8</v>
      </c>
      <c r="U808" s="94" t="s">
        <v>210</v>
      </c>
      <c r="V808" s="94">
        <v>-4</v>
      </c>
      <c r="W808" s="94"/>
      <c r="X808" s="94"/>
      <c r="Y808" s="94"/>
      <c r="Z808" s="94"/>
      <c r="AA808" s="94"/>
      <c r="AB808" s="94"/>
      <c r="AC808" s="94"/>
      <c r="AD808" s="94"/>
      <c r="AE808" s="94"/>
      <c r="AF808" s="94"/>
      <c r="AG808" s="94"/>
      <c r="AH808" s="94"/>
      <c r="AI808" s="94"/>
      <c r="AJ808" s="94"/>
      <c r="AK808" s="94"/>
      <c r="AL808" s="94"/>
      <c r="AM808" s="94"/>
      <c r="AN808" s="94"/>
      <c r="AO808" s="94"/>
      <c r="AP808" s="94"/>
      <c r="AQ808" s="94"/>
      <c r="AR808" s="94"/>
      <c r="AS808" s="94"/>
      <c r="AT808" s="94"/>
      <c r="AU808" s="94"/>
      <c r="AV808" s="94"/>
      <c r="AW808" s="94"/>
      <c r="AX808" s="94"/>
      <c r="AY808" s="94"/>
      <c r="AZ808" s="94"/>
      <c r="BA808" s="95"/>
    </row>
    <row r="809" spans="1:53" s="87" customFormat="1">
      <c r="A809" s="90" t="str">
        <f t="shared" si="37"/>
        <v/>
      </c>
      <c r="B809" s="98">
        <v>11</v>
      </c>
      <c r="C809" s="94">
        <v>-3</v>
      </c>
      <c r="D809" s="94" t="s">
        <v>210</v>
      </c>
      <c r="E809" s="94">
        <v>-7</v>
      </c>
      <c r="F809" s="94">
        <v>1</v>
      </c>
      <c r="G809" s="94" t="s">
        <v>210</v>
      </c>
      <c r="H809" s="94">
        <v>4</v>
      </c>
      <c r="I809" s="94" t="s">
        <v>210</v>
      </c>
      <c r="J809" s="94">
        <v>-8</v>
      </c>
      <c r="K809" s="94">
        <v>-2</v>
      </c>
      <c r="L809" s="94" t="s">
        <v>210</v>
      </c>
      <c r="M809" s="94">
        <v>3</v>
      </c>
      <c r="N809" s="94" t="s">
        <v>210</v>
      </c>
      <c r="O809" s="94">
        <v>5</v>
      </c>
      <c r="P809" s="94">
        <v>-4</v>
      </c>
      <c r="Q809" s="94" t="s">
        <v>210</v>
      </c>
      <c r="R809" s="94">
        <v>6</v>
      </c>
      <c r="S809" s="94">
        <v>8</v>
      </c>
      <c r="T809" s="94" t="s">
        <v>210</v>
      </c>
      <c r="U809" s="94" t="s">
        <v>210</v>
      </c>
      <c r="V809" s="94">
        <v>-1</v>
      </c>
      <c r="W809" s="94"/>
      <c r="X809" s="94"/>
      <c r="Y809" s="94"/>
      <c r="Z809" s="94"/>
      <c r="AA809" s="94"/>
      <c r="AB809" s="94"/>
      <c r="AC809" s="94"/>
      <c r="AD809" s="94"/>
      <c r="AE809" s="94"/>
      <c r="AF809" s="94"/>
      <c r="AG809" s="94"/>
      <c r="AH809" s="94"/>
      <c r="AI809" s="94"/>
      <c r="AJ809" s="94"/>
      <c r="AK809" s="94"/>
      <c r="AL809" s="94"/>
      <c r="AM809" s="94"/>
      <c r="AN809" s="94"/>
      <c r="AO809" s="94"/>
      <c r="AP809" s="94"/>
      <c r="AQ809" s="94"/>
      <c r="AR809" s="94"/>
      <c r="AS809" s="94"/>
      <c r="AT809" s="94"/>
      <c r="AU809" s="94"/>
      <c r="AV809" s="94"/>
      <c r="AW809" s="94"/>
      <c r="AX809" s="94"/>
      <c r="AY809" s="94"/>
      <c r="AZ809" s="94"/>
      <c r="BA809" s="95"/>
    </row>
    <row r="810" spans="1:53" s="87" customFormat="1">
      <c r="A810" s="90" t="str">
        <f t="shared" si="37"/>
        <v/>
      </c>
      <c r="B810" s="98">
        <v>12</v>
      </c>
      <c r="C810" s="94" t="s">
        <v>210</v>
      </c>
      <c r="D810" s="94">
        <v>-4</v>
      </c>
      <c r="E810" s="94" t="s">
        <v>210</v>
      </c>
      <c r="F810" s="94">
        <v>3</v>
      </c>
      <c r="G810" s="94">
        <v>-8</v>
      </c>
      <c r="H810" s="94" t="s">
        <v>210</v>
      </c>
      <c r="I810" s="94">
        <v>2</v>
      </c>
      <c r="J810" s="94">
        <v>7</v>
      </c>
      <c r="K810" s="94" t="s">
        <v>210</v>
      </c>
      <c r="L810" s="94">
        <v>-1</v>
      </c>
      <c r="M810" s="94" t="s">
        <v>210</v>
      </c>
      <c r="N810" s="94">
        <v>5</v>
      </c>
      <c r="O810" s="94">
        <v>-3</v>
      </c>
      <c r="P810" s="94" t="s">
        <v>210</v>
      </c>
      <c r="Q810" s="94">
        <v>-2</v>
      </c>
      <c r="R810" s="94" t="s">
        <v>210</v>
      </c>
      <c r="S810" s="94">
        <v>4</v>
      </c>
      <c r="T810" s="94">
        <v>-6</v>
      </c>
      <c r="U810" s="94" t="s">
        <v>210</v>
      </c>
      <c r="V810" s="94">
        <v>1</v>
      </c>
      <c r="W810" s="94"/>
      <c r="X810" s="94"/>
      <c r="Y810" s="94"/>
      <c r="Z810" s="94"/>
      <c r="AA810" s="94"/>
      <c r="AB810" s="94"/>
      <c r="AC810" s="94"/>
      <c r="AD810" s="94"/>
      <c r="AE810" s="94"/>
      <c r="AF810" s="94"/>
      <c r="AG810" s="94"/>
      <c r="AH810" s="94"/>
      <c r="AI810" s="94"/>
      <c r="AJ810" s="94"/>
      <c r="AK810" s="94"/>
      <c r="AL810" s="94"/>
      <c r="AM810" s="94"/>
      <c r="AN810" s="94"/>
      <c r="AO810" s="94"/>
      <c r="AP810" s="94"/>
      <c r="AQ810" s="94"/>
      <c r="AR810" s="94"/>
      <c r="AS810" s="94"/>
      <c r="AT810" s="94"/>
      <c r="AU810" s="94"/>
      <c r="AV810" s="94"/>
      <c r="AW810" s="94"/>
      <c r="AX810" s="94"/>
      <c r="AY810" s="94"/>
      <c r="AZ810" s="94"/>
      <c r="BA810" s="95"/>
    </row>
    <row r="811" spans="1:53" s="87" customFormat="1">
      <c r="A811" s="90" t="str">
        <f t="shared" si="37"/>
        <v/>
      </c>
      <c r="B811" s="99">
        <v>13</v>
      </c>
      <c r="C811" s="92">
        <v>-2</v>
      </c>
      <c r="D811" s="92">
        <v>6</v>
      </c>
      <c r="E811" s="92" t="s">
        <v>210</v>
      </c>
      <c r="F811" s="92">
        <v>5</v>
      </c>
      <c r="G811" s="92">
        <v>-4</v>
      </c>
      <c r="H811" s="92" t="s">
        <v>210</v>
      </c>
      <c r="I811" s="92">
        <v>7</v>
      </c>
      <c r="J811" s="92" t="s">
        <v>210</v>
      </c>
      <c r="K811" s="92">
        <v>-1</v>
      </c>
      <c r="L811" s="92">
        <v>2</v>
      </c>
      <c r="M811" s="92" t="s">
        <v>210</v>
      </c>
      <c r="N811" s="92">
        <v>-5</v>
      </c>
      <c r="O811" s="92" t="s">
        <v>210</v>
      </c>
      <c r="P811" s="92">
        <v>4</v>
      </c>
      <c r="Q811" s="92">
        <v>-3</v>
      </c>
      <c r="R811" s="92" t="s">
        <v>210</v>
      </c>
      <c r="S811" s="92">
        <v>-7</v>
      </c>
      <c r="T811" s="92">
        <v>8</v>
      </c>
      <c r="U811" s="92" t="s">
        <v>210</v>
      </c>
      <c r="V811" s="92" t="s">
        <v>210</v>
      </c>
      <c r="W811" s="94"/>
      <c r="X811" s="94"/>
      <c r="Y811" s="94"/>
      <c r="Z811" s="94"/>
      <c r="AA811" s="94"/>
      <c r="AB811" s="94"/>
      <c r="AC811" s="94"/>
      <c r="AD811" s="94"/>
      <c r="AE811" s="94"/>
      <c r="AF811" s="94"/>
      <c r="AG811" s="94"/>
      <c r="AH811" s="94"/>
      <c r="AI811" s="94"/>
      <c r="AJ811" s="94"/>
      <c r="AK811" s="94"/>
      <c r="AL811" s="94"/>
      <c r="AM811" s="94"/>
      <c r="AN811" s="94"/>
      <c r="AO811" s="94"/>
      <c r="AP811" s="94"/>
      <c r="AQ811" s="94"/>
      <c r="AR811" s="94"/>
      <c r="AS811" s="94"/>
      <c r="AT811" s="94"/>
      <c r="AU811" s="94"/>
      <c r="AV811" s="94"/>
      <c r="AW811" s="94"/>
      <c r="AX811" s="94"/>
      <c r="AY811" s="94"/>
      <c r="AZ811" s="94"/>
      <c r="BA811" s="95"/>
    </row>
    <row r="812" spans="1:53" s="87" customFormat="1">
      <c r="A812" s="90" t="str">
        <f t="shared" si="37"/>
        <v/>
      </c>
      <c r="B812" s="98">
        <v>14</v>
      </c>
      <c r="C812" s="94">
        <v>4</v>
      </c>
      <c r="D812" s="94" t="s">
        <v>210</v>
      </c>
      <c r="E812" s="94">
        <v>-5</v>
      </c>
      <c r="F812" s="94">
        <v>-6</v>
      </c>
      <c r="G812" s="94" t="s">
        <v>210</v>
      </c>
      <c r="H812" s="94">
        <v>8</v>
      </c>
      <c r="I812" s="94">
        <v>3</v>
      </c>
      <c r="J812" s="94" t="s">
        <v>210</v>
      </c>
      <c r="K812" s="94">
        <v>-4</v>
      </c>
      <c r="L812" s="94" t="s">
        <v>210</v>
      </c>
      <c r="M812" s="94">
        <v>5</v>
      </c>
      <c r="N812" s="94">
        <v>1</v>
      </c>
      <c r="O812" s="94" t="s">
        <v>210</v>
      </c>
      <c r="P812" s="94">
        <v>-2</v>
      </c>
      <c r="Q812" s="94" t="s">
        <v>210</v>
      </c>
      <c r="R812" s="94">
        <v>-7</v>
      </c>
      <c r="S812" s="94">
        <v>-3</v>
      </c>
      <c r="T812" s="94" t="s">
        <v>210</v>
      </c>
      <c r="U812" s="94" t="s">
        <v>210</v>
      </c>
      <c r="V812" s="94">
        <v>6</v>
      </c>
      <c r="W812" s="94"/>
      <c r="X812" s="94"/>
      <c r="Y812" s="94"/>
      <c r="Z812" s="94"/>
      <c r="AA812" s="94"/>
      <c r="AB812" s="94"/>
      <c r="AC812" s="94"/>
      <c r="AD812" s="94"/>
      <c r="AE812" s="94"/>
      <c r="AF812" s="94"/>
      <c r="AG812" s="94"/>
      <c r="AH812" s="94"/>
      <c r="AI812" s="94"/>
      <c r="AJ812" s="94"/>
      <c r="AK812" s="94"/>
      <c r="AL812" s="94"/>
      <c r="AM812" s="94"/>
      <c r="AN812" s="94"/>
      <c r="AO812" s="94"/>
      <c r="AP812" s="94"/>
      <c r="AQ812" s="94"/>
      <c r="AR812" s="94"/>
      <c r="AS812" s="94"/>
      <c r="AT812" s="94"/>
      <c r="AU812" s="94"/>
      <c r="AV812" s="94"/>
      <c r="AW812" s="94"/>
      <c r="AX812" s="94"/>
      <c r="AY812" s="94"/>
      <c r="AZ812" s="94"/>
      <c r="BA812" s="95"/>
    </row>
    <row r="813" spans="1:53" s="87" customFormat="1">
      <c r="A813" s="90" t="str">
        <f t="shared" si="37"/>
        <v/>
      </c>
      <c r="B813" s="98">
        <v>15</v>
      </c>
      <c r="C813" s="94" t="s">
        <v>210</v>
      </c>
      <c r="D813" s="94">
        <v>-8</v>
      </c>
      <c r="E813" s="94">
        <v>-4</v>
      </c>
      <c r="F813" s="94" t="s">
        <v>210</v>
      </c>
      <c r="G813" s="94">
        <v>2</v>
      </c>
      <c r="H813" s="94" t="s">
        <v>210</v>
      </c>
      <c r="I813" s="94">
        <v>5</v>
      </c>
      <c r="J813" s="94">
        <v>6</v>
      </c>
      <c r="K813" s="94" t="s">
        <v>210</v>
      </c>
      <c r="L813" s="94">
        <v>-3</v>
      </c>
      <c r="M813" s="94" t="s">
        <v>210</v>
      </c>
      <c r="N813" s="94">
        <v>8</v>
      </c>
      <c r="O813" s="94">
        <v>7</v>
      </c>
      <c r="P813" s="94" t="s">
        <v>210</v>
      </c>
      <c r="Q813" s="94">
        <v>4</v>
      </c>
      <c r="R813" s="94">
        <v>-5</v>
      </c>
      <c r="S813" s="94" t="s">
        <v>210</v>
      </c>
      <c r="T813" s="94">
        <v>-1</v>
      </c>
      <c r="U813" s="94" t="s">
        <v>210</v>
      </c>
      <c r="V813" s="94">
        <v>-6</v>
      </c>
      <c r="W813" s="94"/>
      <c r="X813" s="94"/>
      <c r="Y813" s="94"/>
      <c r="Z813" s="94"/>
      <c r="AA813" s="94"/>
      <c r="AB813" s="94"/>
      <c r="AC813" s="94"/>
      <c r="AD813" s="94"/>
      <c r="AE813" s="94"/>
      <c r="AF813" s="94"/>
      <c r="AG813" s="94"/>
      <c r="AH813" s="94"/>
      <c r="AI813" s="94"/>
      <c r="AJ813" s="94"/>
      <c r="AK813" s="94"/>
      <c r="AL813" s="94"/>
      <c r="AM813" s="94"/>
      <c r="AN813" s="94"/>
      <c r="AO813" s="94"/>
      <c r="AP813" s="94"/>
      <c r="AQ813" s="94"/>
      <c r="AR813" s="94"/>
      <c r="AS813" s="94"/>
      <c r="AT813" s="94"/>
      <c r="AU813" s="94"/>
      <c r="AV813" s="94"/>
      <c r="AW813" s="94"/>
      <c r="AX813" s="94"/>
      <c r="AY813" s="94"/>
      <c r="AZ813" s="94"/>
      <c r="BA813" s="95"/>
    </row>
    <row r="814" spans="1:53" s="87" customFormat="1">
      <c r="A814" s="90" t="str">
        <f t="shared" si="37"/>
        <v/>
      </c>
      <c r="B814" s="98">
        <v>16</v>
      </c>
      <c r="C814" s="94">
        <v>7</v>
      </c>
      <c r="D814" s="94" t="s">
        <v>210</v>
      </c>
      <c r="E814" s="94">
        <v>5</v>
      </c>
      <c r="F814" s="94" t="s">
        <v>210</v>
      </c>
      <c r="G814" s="94">
        <v>-6</v>
      </c>
      <c r="H814" s="94">
        <v>-1</v>
      </c>
      <c r="I814" s="94" t="s">
        <v>210</v>
      </c>
      <c r="J814" s="94">
        <v>2</v>
      </c>
      <c r="K814" s="94" t="s">
        <v>210</v>
      </c>
      <c r="L814" s="94">
        <v>-8</v>
      </c>
      <c r="M814" s="94">
        <v>-7</v>
      </c>
      <c r="N814" s="94" t="s">
        <v>210</v>
      </c>
      <c r="O814" s="94">
        <v>4</v>
      </c>
      <c r="P814" s="94">
        <v>-5</v>
      </c>
      <c r="Q814" s="94" t="s">
        <v>210</v>
      </c>
      <c r="R814" s="94">
        <v>-3</v>
      </c>
      <c r="S814" s="94" t="s">
        <v>210</v>
      </c>
      <c r="T814" s="94">
        <v>1</v>
      </c>
      <c r="U814" s="94" t="s">
        <v>210</v>
      </c>
      <c r="V814" s="94">
        <v>8</v>
      </c>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5"/>
    </row>
    <row r="815" spans="1:53" s="87" customFormat="1">
      <c r="A815" s="90" t="str">
        <f t="shared" si="37"/>
        <v/>
      </c>
      <c r="B815" s="98">
        <v>17</v>
      </c>
      <c r="C815" s="94" t="s">
        <v>210</v>
      </c>
      <c r="D815" s="94">
        <v>-7</v>
      </c>
      <c r="E815" s="94" t="s">
        <v>210</v>
      </c>
      <c r="F815" s="94">
        <v>2</v>
      </c>
      <c r="G815" s="94">
        <v>3</v>
      </c>
      <c r="H815" s="94" t="s">
        <v>210</v>
      </c>
      <c r="I815" s="94">
        <v>-5</v>
      </c>
      <c r="J815" s="94" t="s">
        <v>210</v>
      </c>
      <c r="K815" s="94">
        <v>8</v>
      </c>
      <c r="L815" s="94">
        <v>7</v>
      </c>
      <c r="M815" s="94" t="s">
        <v>210</v>
      </c>
      <c r="N815" s="94">
        <v>-1</v>
      </c>
      <c r="O815" s="94">
        <v>-2</v>
      </c>
      <c r="P815" s="94" t="s">
        <v>210</v>
      </c>
      <c r="Q815" s="94">
        <v>5</v>
      </c>
      <c r="R815" s="94" t="s">
        <v>210</v>
      </c>
      <c r="S815" s="94">
        <v>6</v>
      </c>
      <c r="T815" s="94">
        <v>-4</v>
      </c>
      <c r="U815" s="94" t="s">
        <v>210</v>
      </c>
      <c r="V815" s="94">
        <v>-8</v>
      </c>
      <c r="W815" s="94"/>
      <c r="X815" s="94"/>
      <c r="Y815" s="94"/>
      <c r="Z815" s="94"/>
      <c r="AA815" s="94"/>
      <c r="AB815" s="94"/>
      <c r="AC815" s="94"/>
      <c r="AD815" s="94"/>
      <c r="AE815" s="94"/>
      <c r="AF815" s="94"/>
      <c r="AG815" s="94"/>
      <c r="AH815" s="94"/>
      <c r="AI815" s="94"/>
      <c r="AJ815" s="94"/>
      <c r="AK815" s="94"/>
      <c r="AL815" s="94"/>
      <c r="AM815" s="94"/>
      <c r="AN815" s="94"/>
      <c r="AO815" s="94"/>
      <c r="AP815" s="94"/>
      <c r="AQ815" s="94"/>
      <c r="AR815" s="94"/>
      <c r="AS815" s="94"/>
      <c r="AT815" s="94"/>
      <c r="AU815" s="94"/>
      <c r="AV815" s="94"/>
      <c r="AW815" s="94"/>
      <c r="AX815" s="94"/>
      <c r="AY815" s="94"/>
      <c r="AZ815" s="94"/>
      <c r="BA815" s="95"/>
    </row>
    <row r="816" spans="1:53" s="87" customFormat="1">
      <c r="A816" s="90" t="str">
        <f t="shared" si="37"/>
        <v/>
      </c>
      <c r="B816" s="98">
        <v>18</v>
      </c>
      <c r="C816" s="94" t="s">
        <v>210</v>
      </c>
      <c r="D816" s="94">
        <v>-5</v>
      </c>
      <c r="E816" s="94">
        <v>1</v>
      </c>
      <c r="F816" s="94" t="s">
        <v>210</v>
      </c>
      <c r="G816" s="94">
        <v>7</v>
      </c>
      <c r="H816" s="94">
        <v>-8</v>
      </c>
      <c r="I816" s="94" t="s">
        <v>210</v>
      </c>
      <c r="J816" s="94">
        <v>-4</v>
      </c>
      <c r="K816" s="94" t="s">
        <v>210</v>
      </c>
      <c r="L816" s="94">
        <v>6</v>
      </c>
      <c r="M816" s="94">
        <v>-2</v>
      </c>
      <c r="N816" s="94" t="s">
        <v>210</v>
      </c>
      <c r="O816" s="94">
        <v>-7</v>
      </c>
      <c r="P816" s="94" t="s">
        <v>210</v>
      </c>
      <c r="Q816" s="94">
        <v>8</v>
      </c>
      <c r="R816" s="94">
        <v>3</v>
      </c>
      <c r="S816" s="94" t="s">
        <v>210</v>
      </c>
      <c r="T816" s="94">
        <v>4</v>
      </c>
      <c r="U816" s="94">
        <v>-6</v>
      </c>
      <c r="V816" s="94" t="s">
        <v>210</v>
      </c>
      <c r="W816" s="94"/>
      <c r="X816" s="94"/>
      <c r="Y816" s="94"/>
      <c r="Z816" s="94"/>
      <c r="AA816" s="94"/>
      <c r="AB816" s="94"/>
      <c r="AC816" s="94"/>
      <c r="AD816" s="94"/>
      <c r="AE816" s="94"/>
      <c r="AF816" s="94"/>
      <c r="AG816" s="94"/>
      <c r="AH816" s="94"/>
      <c r="AI816" s="94"/>
      <c r="AJ816" s="94"/>
      <c r="AK816" s="94"/>
      <c r="AL816" s="94"/>
      <c r="AM816" s="94"/>
      <c r="AN816" s="94"/>
      <c r="AO816" s="94"/>
      <c r="AP816" s="94"/>
      <c r="AQ816" s="94"/>
      <c r="AR816" s="94"/>
      <c r="AS816" s="94"/>
      <c r="AT816" s="94"/>
      <c r="AU816" s="94"/>
      <c r="AV816" s="94"/>
      <c r="AW816" s="94"/>
      <c r="AX816" s="94"/>
      <c r="AY816" s="94"/>
      <c r="AZ816" s="94"/>
      <c r="BA816" s="95"/>
    </row>
    <row r="817" spans="1:53" s="87" customFormat="1">
      <c r="A817" s="90" t="str">
        <f t="shared" si="37"/>
        <v/>
      </c>
      <c r="B817" s="98">
        <v>19</v>
      </c>
      <c r="C817" s="94">
        <v>-6</v>
      </c>
      <c r="D817" s="94" t="s">
        <v>210</v>
      </c>
      <c r="E817" s="94">
        <v>4</v>
      </c>
      <c r="F817" s="94">
        <v>-2</v>
      </c>
      <c r="G817" s="94" t="s">
        <v>210</v>
      </c>
      <c r="H817" s="94">
        <v>-3</v>
      </c>
      <c r="I817" s="94" t="s">
        <v>210</v>
      </c>
      <c r="J817" s="94">
        <v>-1</v>
      </c>
      <c r="K817" s="94">
        <v>5</v>
      </c>
      <c r="L817" s="94" t="s">
        <v>210</v>
      </c>
      <c r="M817" s="94">
        <v>7</v>
      </c>
      <c r="N817" s="94">
        <v>-4</v>
      </c>
      <c r="O817" s="94" t="s">
        <v>210</v>
      </c>
      <c r="P817" s="94">
        <v>2</v>
      </c>
      <c r="Q817" s="94" t="s">
        <v>210</v>
      </c>
      <c r="R817" s="94">
        <v>-8</v>
      </c>
      <c r="S817" s="94">
        <v>1</v>
      </c>
      <c r="T817" s="94" t="s">
        <v>210</v>
      </c>
      <c r="U817" s="94">
        <v>6</v>
      </c>
      <c r="V817" s="94" t="s">
        <v>210</v>
      </c>
      <c r="W817" s="94"/>
      <c r="X817" s="94"/>
      <c r="Y817" s="94"/>
      <c r="Z817" s="94"/>
      <c r="AA817" s="94"/>
      <c r="AB817" s="94"/>
      <c r="AC817" s="94"/>
      <c r="AD817" s="94"/>
      <c r="AE817" s="94"/>
      <c r="AF817" s="94"/>
      <c r="AG817" s="94"/>
      <c r="AH817" s="94"/>
      <c r="AI817" s="94"/>
      <c r="AJ817" s="94"/>
      <c r="AK817" s="94"/>
      <c r="AL817" s="94"/>
      <c r="AM817" s="94"/>
      <c r="AN817" s="94"/>
      <c r="AO817" s="94"/>
      <c r="AP817" s="94"/>
      <c r="AQ817" s="94"/>
      <c r="AR817" s="94"/>
      <c r="AS817" s="94"/>
      <c r="AT817" s="94"/>
      <c r="AU817" s="94"/>
      <c r="AV817" s="94"/>
      <c r="AW817" s="94"/>
      <c r="AX817" s="94"/>
      <c r="AY817" s="94"/>
      <c r="AZ817" s="94"/>
      <c r="BA817" s="95"/>
    </row>
    <row r="818" spans="1:53" s="87" customFormat="1">
      <c r="A818" s="90" t="str">
        <f t="shared" si="37"/>
        <v/>
      </c>
      <c r="B818" s="98">
        <v>20</v>
      </c>
      <c r="C818" s="94">
        <v>8</v>
      </c>
      <c r="D818" s="94" t="s">
        <v>210</v>
      </c>
      <c r="E818" s="94">
        <v>-2</v>
      </c>
      <c r="F818" s="94" t="s">
        <v>210</v>
      </c>
      <c r="G818" s="94">
        <v>-7</v>
      </c>
      <c r="H818" s="94">
        <v>1</v>
      </c>
      <c r="I818" s="94" t="s">
        <v>210</v>
      </c>
      <c r="J818" s="94">
        <v>-6</v>
      </c>
      <c r="K818" s="94">
        <v>-5</v>
      </c>
      <c r="L818" s="94" t="s">
        <v>210</v>
      </c>
      <c r="M818" s="94">
        <v>-4</v>
      </c>
      <c r="N818" s="94" t="s">
        <v>210</v>
      </c>
      <c r="O818" s="94">
        <v>2</v>
      </c>
      <c r="P818" s="94">
        <v>-1</v>
      </c>
      <c r="Q818" s="94" t="s">
        <v>210</v>
      </c>
      <c r="R818" s="94">
        <v>7</v>
      </c>
      <c r="S818" s="94" t="s">
        <v>210</v>
      </c>
      <c r="T818" s="94">
        <v>5</v>
      </c>
      <c r="U818" s="94">
        <v>3</v>
      </c>
      <c r="V818" s="94" t="s">
        <v>210</v>
      </c>
      <c r="W818" s="94"/>
      <c r="X818" s="94"/>
      <c r="Y818" s="94"/>
      <c r="Z818" s="94"/>
      <c r="AA818" s="94"/>
      <c r="AB818" s="94"/>
      <c r="AC818" s="94"/>
      <c r="AD818" s="94"/>
      <c r="AE818" s="94"/>
      <c r="AF818" s="94"/>
      <c r="AG818" s="94"/>
      <c r="AH818" s="94"/>
      <c r="AI818" s="94"/>
      <c r="AJ818" s="94"/>
      <c r="AK818" s="94"/>
      <c r="AL818" s="94"/>
      <c r="AM818" s="94"/>
      <c r="AN818" s="94"/>
      <c r="AO818" s="94"/>
      <c r="AP818" s="94"/>
      <c r="AQ818" s="94"/>
      <c r="AR818" s="94"/>
      <c r="AS818" s="94"/>
      <c r="AT818" s="94"/>
      <c r="AU818" s="94"/>
      <c r="AV818" s="94"/>
      <c r="AW818" s="94"/>
      <c r="AX818" s="94"/>
      <c r="AY818" s="94"/>
      <c r="AZ818" s="94"/>
      <c r="BA818" s="95"/>
    </row>
    <row r="819" spans="1:53" s="87" customFormat="1">
      <c r="A819" s="90" t="str">
        <f t="shared" si="37"/>
        <v/>
      </c>
      <c r="B819" s="98">
        <v>21</v>
      </c>
      <c r="C819" s="94">
        <v>6</v>
      </c>
      <c r="D819" s="94">
        <v>3</v>
      </c>
      <c r="E819" s="94" t="s">
        <v>210</v>
      </c>
      <c r="F819" s="94">
        <v>-7</v>
      </c>
      <c r="G819" s="94" t="s">
        <v>210</v>
      </c>
      <c r="H819" s="94">
        <v>-5</v>
      </c>
      <c r="I819" s="94">
        <v>-1</v>
      </c>
      <c r="J819" s="94" t="s">
        <v>210</v>
      </c>
      <c r="K819" s="94">
        <v>4</v>
      </c>
      <c r="L819" s="94" t="s">
        <v>210</v>
      </c>
      <c r="M819" s="94">
        <v>2</v>
      </c>
      <c r="N819" s="94">
        <v>-8</v>
      </c>
      <c r="O819" s="94" t="s">
        <v>210</v>
      </c>
      <c r="P819" s="94">
        <v>5</v>
      </c>
      <c r="Q819" s="94">
        <v>1</v>
      </c>
      <c r="R819" s="94" t="s">
        <v>210</v>
      </c>
      <c r="S819" s="94">
        <v>-6</v>
      </c>
      <c r="T819" s="94" t="s">
        <v>210</v>
      </c>
      <c r="U819" s="94">
        <v>-3</v>
      </c>
      <c r="V819" s="94" t="s">
        <v>210</v>
      </c>
      <c r="W819" s="94"/>
      <c r="X819" s="94"/>
      <c r="Y819" s="94"/>
      <c r="Z819" s="94"/>
      <c r="AA819" s="94"/>
      <c r="AB819" s="94"/>
      <c r="AC819" s="94"/>
      <c r="AD819" s="94"/>
      <c r="AE819" s="94"/>
      <c r="AF819" s="94"/>
      <c r="AG819" s="94"/>
      <c r="AH819" s="94"/>
      <c r="AI819" s="94"/>
      <c r="AJ819" s="94"/>
      <c r="AK819" s="94"/>
      <c r="AL819" s="94"/>
      <c r="AM819" s="94"/>
      <c r="AN819" s="94"/>
      <c r="AO819" s="94"/>
      <c r="AP819" s="94"/>
      <c r="AQ819" s="94"/>
      <c r="AR819" s="94"/>
      <c r="AS819" s="94"/>
      <c r="AT819" s="94"/>
      <c r="AU819" s="94"/>
      <c r="AV819" s="94"/>
      <c r="AW819" s="94"/>
      <c r="AX819" s="94"/>
      <c r="AY819" s="94"/>
      <c r="AZ819" s="94"/>
      <c r="BA819" s="95"/>
    </row>
    <row r="820" spans="1:53" s="87" customFormat="1">
      <c r="A820" s="90" t="str">
        <f t="shared" si="37"/>
        <v/>
      </c>
      <c r="B820" s="98">
        <v>22</v>
      </c>
      <c r="C820" s="94">
        <v>-7</v>
      </c>
      <c r="D820" s="94">
        <v>8</v>
      </c>
      <c r="E820" s="94" t="s">
        <v>210</v>
      </c>
      <c r="F820" s="94">
        <v>-4</v>
      </c>
      <c r="G820" s="94" t="s">
        <v>210</v>
      </c>
      <c r="H820" s="94">
        <v>5</v>
      </c>
      <c r="I820" s="94">
        <v>-3</v>
      </c>
      <c r="J820" s="94" t="s">
        <v>210</v>
      </c>
      <c r="K820" s="94">
        <v>7</v>
      </c>
      <c r="L820" s="94">
        <v>-6</v>
      </c>
      <c r="M820" s="94" t="s">
        <v>210</v>
      </c>
      <c r="N820" s="94">
        <v>4</v>
      </c>
      <c r="O820" s="94" t="s">
        <v>210</v>
      </c>
      <c r="P820" s="94">
        <v>1</v>
      </c>
      <c r="Q820" s="94">
        <v>-5</v>
      </c>
      <c r="R820" s="94" t="s">
        <v>210</v>
      </c>
      <c r="S820" s="94">
        <v>-2</v>
      </c>
      <c r="T820" s="94" t="s">
        <v>210</v>
      </c>
      <c r="U820" s="94" t="s">
        <v>210</v>
      </c>
      <c r="V820" s="94">
        <v>3</v>
      </c>
      <c r="W820" s="94"/>
      <c r="X820" s="94"/>
      <c r="Y820" s="94"/>
      <c r="Z820" s="94"/>
      <c r="AA820" s="94"/>
      <c r="AB820" s="94"/>
      <c r="AC820" s="94"/>
      <c r="AD820" s="94"/>
      <c r="AE820" s="94"/>
      <c r="AF820" s="94"/>
      <c r="AG820" s="94"/>
      <c r="AH820" s="94"/>
      <c r="AI820" s="94"/>
      <c r="AJ820" s="94"/>
      <c r="AK820" s="94"/>
      <c r="AL820" s="94"/>
      <c r="AM820" s="94"/>
      <c r="AN820" s="94"/>
      <c r="AO820" s="94"/>
      <c r="AP820" s="94"/>
      <c r="AQ820" s="94"/>
      <c r="AR820" s="94"/>
      <c r="AS820" s="94"/>
      <c r="AT820" s="94"/>
      <c r="AU820" s="94"/>
      <c r="AV820" s="94"/>
      <c r="AW820" s="94"/>
      <c r="AX820" s="94"/>
      <c r="AY820" s="94"/>
      <c r="AZ820" s="94"/>
      <c r="BA820" s="95"/>
    </row>
    <row r="821" spans="1:53" s="87" customFormat="1">
      <c r="A821" s="90" t="str">
        <f t="shared" si="37"/>
        <v/>
      </c>
      <c r="B821" s="98">
        <v>23</v>
      </c>
      <c r="C821" s="94" t="s">
        <v>210</v>
      </c>
      <c r="D821" s="94">
        <v>7</v>
      </c>
      <c r="E821" s="94">
        <v>2</v>
      </c>
      <c r="F821" s="94" t="s">
        <v>210</v>
      </c>
      <c r="G821" s="94">
        <v>6</v>
      </c>
      <c r="H821" s="94" t="s">
        <v>210</v>
      </c>
      <c r="I821" s="94">
        <v>-8</v>
      </c>
      <c r="J821" s="94">
        <v>4</v>
      </c>
      <c r="K821" s="94" t="s">
        <v>210</v>
      </c>
      <c r="L821" s="94">
        <v>3</v>
      </c>
      <c r="M821" s="94">
        <v>-5</v>
      </c>
      <c r="N821" s="94" t="s">
        <v>210</v>
      </c>
      <c r="O821" s="94">
        <v>-6</v>
      </c>
      <c r="P821" s="94" t="s">
        <v>210</v>
      </c>
      <c r="Q821" s="94">
        <v>-1</v>
      </c>
      <c r="R821" s="94">
        <v>8</v>
      </c>
      <c r="S821" s="94" t="s">
        <v>210</v>
      </c>
      <c r="T821" s="94">
        <v>-2</v>
      </c>
      <c r="U821" s="94" t="s">
        <v>210</v>
      </c>
      <c r="V821" s="94">
        <v>-3</v>
      </c>
      <c r="W821" s="94"/>
      <c r="X821" s="94"/>
      <c r="Y821" s="94"/>
      <c r="Z821" s="94"/>
      <c r="AA821" s="94"/>
      <c r="AB821" s="94"/>
      <c r="AC821" s="94"/>
      <c r="AD821" s="94"/>
      <c r="AE821" s="94"/>
      <c r="AF821" s="94"/>
      <c r="AG821" s="94"/>
      <c r="AH821" s="94"/>
      <c r="AI821" s="94"/>
      <c r="AJ821" s="94"/>
      <c r="AK821" s="94"/>
      <c r="AL821" s="94"/>
      <c r="AM821" s="94"/>
      <c r="AN821" s="94"/>
      <c r="AO821" s="94"/>
      <c r="AP821" s="94"/>
      <c r="AQ821" s="94"/>
      <c r="AR821" s="94"/>
      <c r="AS821" s="94"/>
      <c r="AT821" s="94"/>
      <c r="AU821" s="94"/>
      <c r="AV821" s="94"/>
      <c r="AW821" s="94"/>
      <c r="AX821" s="94"/>
      <c r="AY821" s="94"/>
      <c r="AZ821" s="94"/>
      <c r="BA821" s="95"/>
    </row>
    <row r="822" spans="1:53" s="87" customFormat="1">
      <c r="A822" s="90" t="str">
        <f t="shared" si="37"/>
        <v/>
      </c>
      <c r="B822" s="98">
        <v>24</v>
      </c>
      <c r="C822" s="94">
        <v>-4</v>
      </c>
      <c r="D822" s="94" t="s">
        <v>210</v>
      </c>
      <c r="E822" s="94">
        <v>-1</v>
      </c>
      <c r="F822" s="94">
        <v>7</v>
      </c>
      <c r="G822" s="94" t="s">
        <v>210</v>
      </c>
      <c r="H822" s="94">
        <v>3</v>
      </c>
      <c r="I822" s="94" t="s">
        <v>210</v>
      </c>
      <c r="J822" s="94">
        <v>-2</v>
      </c>
      <c r="K822" s="94">
        <v>-8</v>
      </c>
      <c r="L822" s="94" t="s">
        <v>210</v>
      </c>
      <c r="M822" s="94">
        <v>4</v>
      </c>
      <c r="N822" s="94" t="s">
        <v>210</v>
      </c>
      <c r="O822" s="94">
        <v>6</v>
      </c>
      <c r="P822" s="94">
        <v>-3</v>
      </c>
      <c r="Q822" s="94" t="s">
        <v>210</v>
      </c>
      <c r="R822" s="94">
        <v>5</v>
      </c>
      <c r="S822" s="94">
        <v>2</v>
      </c>
      <c r="T822" s="94" t="s">
        <v>210</v>
      </c>
      <c r="U822" s="94" t="s">
        <v>210</v>
      </c>
      <c r="V822" s="94">
        <v>-7</v>
      </c>
      <c r="W822" s="94"/>
      <c r="X822" s="94"/>
      <c r="Y822" s="94"/>
      <c r="Z822" s="94"/>
      <c r="AA822" s="94"/>
      <c r="AB822" s="94"/>
      <c r="AC822" s="94"/>
      <c r="AD822" s="94"/>
      <c r="AE822" s="94"/>
      <c r="AF822" s="94"/>
      <c r="AG822" s="94"/>
      <c r="AH822" s="94"/>
      <c r="AI822" s="94"/>
      <c r="AJ822" s="94"/>
      <c r="AK822" s="94"/>
      <c r="AL822" s="94"/>
      <c r="AM822" s="94"/>
      <c r="AN822" s="94"/>
      <c r="AO822" s="94"/>
      <c r="AP822" s="94"/>
      <c r="AQ822" s="94"/>
      <c r="AR822" s="94"/>
      <c r="AS822" s="94"/>
      <c r="AT822" s="94"/>
      <c r="AU822" s="94"/>
      <c r="AV822" s="94"/>
      <c r="AW822" s="94"/>
      <c r="AX822" s="94"/>
      <c r="AY822" s="94"/>
      <c r="AZ822" s="94"/>
      <c r="BA822" s="95"/>
    </row>
    <row r="823" spans="1:53" s="87" customFormat="1">
      <c r="A823" s="90" t="str">
        <f t="shared" si="37"/>
        <v/>
      </c>
      <c r="B823" s="98">
        <v>25</v>
      </c>
      <c r="C823" s="94" t="s">
        <v>210</v>
      </c>
      <c r="D823" s="94">
        <v>-3</v>
      </c>
      <c r="E823" s="94" t="s">
        <v>210</v>
      </c>
      <c r="F823" s="94">
        <v>4</v>
      </c>
      <c r="G823" s="94">
        <v>-2</v>
      </c>
      <c r="H823" s="94" t="s">
        <v>210</v>
      </c>
      <c r="I823" s="94">
        <v>8</v>
      </c>
      <c r="J823" s="94">
        <v>1</v>
      </c>
      <c r="K823" s="94" t="s">
        <v>210</v>
      </c>
      <c r="L823" s="94">
        <v>-7</v>
      </c>
      <c r="M823" s="94" t="s">
        <v>210</v>
      </c>
      <c r="N823" s="94">
        <v>6</v>
      </c>
      <c r="O823" s="94">
        <v>-4</v>
      </c>
      <c r="P823" s="94" t="s">
        <v>210</v>
      </c>
      <c r="Q823" s="94">
        <v>-8</v>
      </c>
      <c r="R823" s="94" t="s">
        <v>210</v>
      </c>
      <c r="S823" s="94">
        <v>3</v>
      </c>
      <c r="T823" s="94">
        <v>-5</v>
      </c>
      <c r="U823" s="94" t="s">
        <v>210</v>
      </c>
      <c r="V823" s="94">
        <v>7</v>
      </c>
      <c r="W823" s="94"/>
      <c r="X823" s="94"/>
      <c r="Y823" s="94"/>
      <c r="Z823" s="94"/>
      <c r="AA823" s="94"/>
      <c r="AB823" s="94"/>
      <c r="AC823" s="94"/>
      <c r="AD823" s="94"/>
      <c r="AE823" s="94"/>
      <c r="AF823" s="94"/>
      <c r="AG823" s="94"/>
      <c r="AH823" s="94"/>
      <c r="AI823" s="94"/>
      <c r="AJ823" s="94"/>
      <c r="AK823" s="94"/>
      <c r="AL823" s="94"/>
      <c r="AM823" s="94"/>
      <c r="AN823" s="94"/>
      <c r="AO823" s="94"/>
      <c r="AP823" s="94"/>
      <c r="AQ823" s="94"/>
      <c r="AR823" s="94"/>
      <c r="AS823" s="94"/>
      <c r="AT823" s="94"/>
      <c r="AU823" s="94"/>
      <c r="AV823" s="94"/>
      <c r="AW823" s="94"/>
      <c r="AX823" s="94"/>
      <c r="AY823" s="94"/>
      <c r="AZ823" s="94"/>
      <c r="BA823" s="95"/>
    </row>
    <row r="824" spans="1:53" s="87" customFormat="1">
      <c r="A824" s="90" t="str">
        <f t="shared" si="37"/>
        <v/>
      </c>
      <c r="B824" s="98">
        <v>26</v>
      </c>
      <c r="C824" s="94">
        <v>-8</v>
      </c>
      <c r="D824" s="94">
        <v>5</v>
      </c>
      <c r="E824" s="94" t="s">
        <v>210</v>
      </c>
      <c r="F824" s="94">
        <v>6</v>
      </c>
      <c r="G824" s="94">
        <v>-3</v>
      </c>
      <c r="H824" s="94" t="s">
        <v>210</v>
      </c>
      <c r="I824" s="94">
        <v>1</v>
      </c>
      <c r="J824" s="94" t="s">
        <v>210</v>
      </c>
      <c r="K824" s="94">
        <v>-7</v>
      </c>
      <c r="L824" s="94">
        <v>8</v>
      </c>
      <c r="M824" s="94" t="s">
        <v>210</v>
      </c>
      <c r="N824" s="94">
        <v>-6</v>
      </c>
      <c r="O824" s="94" t="s">
        <v>210</v>
      </c>
      <c r="P824" s="94">
        <v>3</v>
      </c>
      <c r="Q824" s="94">
        <v>-4</v>
      </c>
      <c r="R824" s="94" t="s">
        <v>210</v>
      </c>
      <c r="S824" s="94">
        <v>-1</v>
      </c>
      <c r="T824" s="94">
        <v>2</v>
      </c>
      <c r="U824" s="94" t="s">
        <v>210</v>
      </c>
      <c r="V824" s="94" t="s">
        <v>210</v>
      </c>
      <c r="W824" s="94"/>
      <c r="X824" s="94"/>
      <c r="Y824" s="94"/>
      <c r="Z824" s="94"/>
      <c r="AA824" s="94"/>
      <c r="AB824" s="94"/>
      <c r="AC824" s="94"/>
      <c r="AD824" s="94"/>
      <c r="AE824" s="94"/>
      <c r="AF824" s="94"/>
      <c r="AG824" s="94"/>
      <c r="AH824" s="94"/>
      <c r="AI824" s="94"/>
      <c r="AJ824" s="94"/>
      <c r="AK824" s="94"/>
      <c r="AL824" s="94"/>
      <c r="AM824" s="94"/>
      <c r="AN824" s="94"/>
      <c r="AO824" s="94"/>
      <c r="AP824" s="94"/>
      <c r="AQ824" s="94"/>
      <c r="AR824" s="94"/>
      <c r="AS824" s="94"/>
      <c r="AT824" s="94"/>
      <c r="AU824" s="94"/>
      <c r="AV824" s="94"/>
      <c r="AW824" s="94"/>
      <c r="AX824" s="94"/>
      <c r="AY824" s="94"/>
      <c r="AZ824" s="94"/>
      <c r="BA824" s="95"/>
    </row>
    <row r="825" spans="1:53" s="87" customFormat="1">
      <c r="A825" s="90" t="str">
        <f t="shared" si="37"/>
        <v/>
      </c>
      <c r="B825" s="98" t="s">
        <v>494</v>
      </c>
      <c r="C825" s="94"/>
      <c r="D825" s="94"/>
      <c r="E825" s="94"/>
      <c r="F825" s="94"/>
      <c r="G825" s="94"/>
      <c r="H825" s="94"/>
      <c r="I825" s="94"/>
      <c r="J825" s="94"/>
      <c r="K825" s="94"/>
      <c r="L825" s="94"/>
      <c r="M825" s="94"/>
      <c r="N825" s="94"/>
      <c r="O825" s="94"/>
      <c r="P825" s="94"/>
      <c r="Q825" s="94"/>
      <c r="R825" s="94"/>
      <c r="S825" s="94"/>
      <c r="T825" s="94"/>
      <c r="U825" s="94"/>
      <c r="V825" s="94"/>
      <c r="W825" s="94"/>
      <c r="X825" s="94"/>
      <c r="Y825" s="94"/>
      <c r="Z825" s="94"/>
      <c r="AA825" s="94"/>
      <c r="AB825" s="94"/>
      <c r="AC825" s="94"/>
      <c r="AD825" s="94"/>
      <c r="AE825" s="94"/>
      <c r="AF825" s="94"/>
      <c r="AG825" s="94"/>
      <c r="AH825" s="94"/>
      <c r="AI825" s="94"/>
      <c r="AJ825" s="94"/>
      <c r="AK825" s="94"/>
      <c r="AL825" s="94"/>
      <c r="AM825" s="94"/>
      <c r="AN825" s="94"/>
      <c r="AO825" s="94"/>
      <c r="AP825" s="94"/>
      <c r="AQ825" s="94"/>
      <c r="AR825" s="94"/>
      <c r="AS825" s="94"/>
      <c r="AT825" s="94"/>
      <c r="AU825" s="94"/>
      <c r="AV825" s="94"/>
      <c r="AW825" s="94"/>
      <c r="AX825" s="94"/>
      <c r="AY825" s="94"/>
      <c r="AZ825" s="94"/>
      <c r="BA825" s="95"/>
    </row>
    <row r="826" spans="1:53" s="87" customFormat="1">
      <c r="A826" s="90">
        <f t="shared" si="37"/>
        <v>826</v>
      </c>
      <c r="B826" s="317" t="s">
        <v>1257</v>
      </c>
      <c r="C826" s="94"/>
      <c r="D826" s="94"/>
      <c r="E826" s="94"/>
      <c r="F826" s="94"/>
      <c r="G826" s="94"/>
      <c r="H826" s="94"/>
      <c r="I826" s="94"/>
      <c r="J826" s="94"/>
      <c r="K826" s="94"/>
      <c r="L826" s="94"/>
      <c r="M826" s="94"/>
      <c r="N826" s="94"/>
      <c r="O826" s="94"/>
      <c r="P826" s="94"/>
      <c r="Q826" s="94"/>
      <c r="R826" s="94"/>
      <c r="S826" s="94"/>
      <c r="T826" s="94"/>
      <c r="U826" s="94"/>
      <c r="V826" s="94"/>
      <c r="W826" s="94"/>
      <c r="X826" s="94"/>
      <c r="Y826" s="94"/>
      <c r="Z826" s="94"/>
      <c r="AA826" s="94"/>
      <c r="AB826" s="94"/>
      <c r="AC826" s="94"/>
      <c r="AD826" s="94"/>
      <c r="AE826" s="94"/>
      <c r="AF826" s="94"/>
      <c r="AG826" s="94"/>
      <c r="AH826" s="94"/>
      <c r="AI826" s="94"/>
      <c r="AJ826" s="94"/>
      <c r="AK826" s="94"/>
      <c r="AL826" s="94"/>
      <c r="AM826" s="94"/>
      <c r="AN826" s="94"/>
      <c r="AO826" s="94"/>
      <c r="AP826" s="94"/>
      <c r="AQ826" s="94"/>
      <c r="AR826" s="94"/>
      <c r="AS826" s="94"/>
      <c r="AT826" s="94"/>
      <c r="AU826" s="94"/>
      <c r="AV826" s="94"/>
      <c r="AW826" s="94"/>
      <c r="AX826" s="94"/>
      <c r="AY826" s="94"/>
      <c r="AZ826" s="94"/>
      <c r="BA826" s="95"/>
    </row>
    <row r="827" spans="1:53" s="87" customFormat="1">
      <c r="A827" s="90" t="str">
        <f t="shared" si="37"/>
        <v/>
      </c>
      <c r="B827" s="98">
        <v>1</v>
      </c>
      <c r="C827" s="94" t="s">
        <v>210</v>
      </c>
      <c r="D827" s="94" t="s">
        <v>210</v>
      </c>
      <c r="E827" s="94">
        <v>-3</v>
      </c>
      <c r="F827" s="94">
        <v>2</v>
      </c>
      <c r="G827" s="94" t="s">
        <v>210</v>
      </c>
      <c r="H827" s="94">
        <v>-4</v>
      </c>
      <c r="I827" s="94" t="s">
        <v>210</v>
      </c>
      <c r="J827" s="94">
        <v>-5</v>
      </c>
      <c r="K827" s="94" t="s">
        <v>210</v>
      </c>
      <c r="L827" s="94">
        <v>8</v>
      </c>
      <c r="M827" s="94">
        <v>6</v>
      </c>
      <c r="N827" s="94" t="s">
        <v>210</v>
      </c>
      <c r="O827" s="94"/>
      <c r="P827" s="94"/>
      <c r="Q827" s="94"/>
      <c r="R827" s="94"/>
      <c r="S827" s="94"/>
      <c r="T827" s="94"/>
      <c r="U827" s="94"/>
      <c r="V827" s="94"/>
      <c r="W827" s="94"/>
      <c r="X827" s="94"/>
      <c r="Y827" s="94"/>
      <c r="Z827" s="94"/>
      <c r="AA827" s="94"/>
      <c r="AB827" s="94"/>
      <c r="AC827" s="94"/>
      <c r="AD827" s="94"/>
      <c r="AE827" s="94"/>
      <c r="AF827" s="94"/>
      <c r="AG827" s="94"/>
      <c r="AH827" s="94"/>
      <c r="AI827" s="94"/>
      <c r="AJ827" s="94"/>
      <c r="AK827" s="94"/>
      <c r="AL827" s="94"/>
      <c r="AM827" s="94"/>
      <c r="AN827" s="94"/>
      <c r="AO827" s="94"/>
      <c r="AP827" s="94"/>
      <c r="AQ827" s="94"/>
      <c r="AR827" s="94"/>
      <c r="AS827" s="94"/>
      <c r="AT827" s="94"/>
      <c r="AU827" s="94"/>
      <c r="AV827" s="94"/>
      <c r="AW827" s="94"/>
      <c r="AX827" s="94"/>
      <c r="AY827" s="94"/>
      <c r="AZ827" s="94"/>
      <c r="BA827" s="95"/>
    </row>
    <row r="828" spans="1:53" s="87" customFormat="1">
      <c r="A828" s="90" t="str">
        <f t="shared" si="37"/>
        <v/>
      </c>
      <c r="B828" s="98">
        <v>2</v>
      </c>
      <c r="C828" s="94" t="s">
        <v>210</v>
      </c>
      <c r="D828" s="94">
        <v>5</v>
      </c>
      <c r="E828" s="94" t="s">
        <v>210</v>
      </c>
      <c r="F828" s="94">
        <v>-2</v>
      </c>
      <c r="G828" s="94" t="s">
        <v>210</v>
      </c>
      <c r="H828" s="94">
        <v>8</v>
      </c>
      <c r="I828" s="94">
        <v>7</v>
      </c>
      <c r="J828" s="94" t="s">
        <v>210</v>
      </c>
      <c r="K828" s="94">
        <v>-6</v>
      </c>
      <c r="L828" s="94" t="s">
        <v>210</v>
      </c>
      <c r="M828" s="94" t="s">
        <v>210</v>
      </c>
      <c r="N828" s="94">
        <v>-3</v>
      </c>
      <c r="O828" s="94"/>
      <c r="P828" s="94"/>
      <c r="Q828" s="94"/>
      <c r="R828" s="94"/>
      <c r="S828" s="94"/>
      <c r="T828" s="94"/>
      <c r="U828" s="94"/>
      <c r="V828" s="94"/>
      <c r="W828" s="94"/>
      <c r="X828" s="94"/>
      <c r="Y828" s="94"/>
      <c r="Z828" s="94"/>
      <c r="AA828" s="94"/>
      <c r="AB828" s="94"/>
      <c r="AC828" s="94"/>
      <c r="AD828" s="94"/>
      <c r="AE828" s="94"/>
      <c r="AF828" s="94"/>
      <c r="AG828" s="94"/>
      <c r="AH828" s="94"/>
      <c r="AI828" s="94"/>
      <c r="AJ828" s="94"/>
      <c r="AK828" s="94"/>
      <c r="AL828" s="94"/>
      <c r="AM828" s="94"/>
      <c r="AN828" s="94"/>
      <c r="AO828" s="94"/>
      <c r="AP828" s="94"/>
      <c r="AQ828" s="94"/>
      <c r="AR828" s="94"/>
      <c r="AS828" s="94"/>
      <c r="AT828" s="94"/>
      <c r="AU828" s="94"/>
      <c r="AV828" s="94"/>
      <c r="AW828" s="94"/>
      <c r="AX828" s="94"/>
      <c r="AY828" s="94"/>
      <c r="AZ828" s="94"/>
      <c r="BA828" s="95"/>
    </row>
    <row r="829" spans="1:53" s="87" customFormat="1">
      <c r="A829" s="90" t="str">
        <f t="shared" si="37"/>
        <v/>
      </c>
      <c r="B829" s="98">
        <v>3</v>
      </c>
      <c r="C829" s="94" t="s">
        <v>210</v>
      </c>
      <c r="D829" s="94">
        <v>-8</v>
      </c>
      <c r="E829" s="94" t="s">
        <v>210</v>
      </c>
      <c r="F829" s="94">
        <v>-3</v>
      </c>
      <c r="G829" s="94" t="s">
        <v>210</v>
      </c>
      <c r="H829" s="94">
        <v>4</v>
      </c>
      <c r="I829" s="94">
        <v>-1</v>
      </c>
      <c r="J829" s="94" t="s">
        <v>210</v>
      </c>
      <c r="K829" s="94">
        <v>6</v>
      </c>
      <c r="L829" s="94" t="s">
        <v>210</v>
      </c>
      <c r="M829" s="94">
        <v>7</v>
      </c>
      <c r="N829" s="94" t="s">
        <v>210</v>
      </c>
      <c r="O829" s="94"/>
      <c r="P829" s="94"/>
      <c r="Q829" s="94"/>
      <c r="R829" s="94"/>
      <c r="S829" s="94"/>
      <c r="T829" s="94"/>
      <c r="U829" s="94"/>
      <c r="V829" s="94"/>
      <c r="W829" s="94"/>
      <c r="X829" s="94"/>
      <c r="Y829" s="94"/>
      <c r="Z829" s="94"/>
      <c r="AA829" s="94"/>
      <c r="AB829" s="94"/>
      <c r="AC829" s="94"/>
      <c r="AD829" s="94"/>
      <c r="AE829" s="94"/>
      <c r="AF829" s="94"/>
      <c r="AG829" s="94"/>
      <c r="AH829" s="94"/>
      <c r="AI829" s="94"/>
      <c r="AJ829" s="94"/>
      <c r="AK829" s="94"/>
      <c r="AL829" s="94"/>
      <c r="AM829" s="94"/>
      <c r="AN829" s="94"/>
      <c r="AO829" s="94"/>
      <c r="AP829" s="94"/>
      <c r="AQ829" s="94"/>
      <c r="AR829" s="94"/>
      <c r="AS829" s="94"/>
      <c r="AT829" s="94"/>
      <c r="AU829" s="94"/>
      <c r="AV829" s="94"/>
      <c r="AW829" s="94"/>
      <c r="AX829" s="94"/>
      <c r="AY829" s="94"/>
      <c r="AZ829" s="94"/>
      <c r="BA829" s="95"/>
    </row>
    <row r="830" spans="1:53" s="87" customFormat="1">
      <c r="A830" s="90" t="str">
        <f t="shared" si="37"/>
        <v/>
      </c>
      <c r="B830" s="98">
        <v>4</v>
      </c>
      <c r="C830" s="94" t="s">
        <v>210</v>
      </c>
      <c r="D830" s="94">
        <v>8</v>
      </c>
      <c r="E830" s="94">
        <v>-4</v>
      </c>
      <c r="F830" s="94" t="s">
        <v>210</v>
      </c>
      <c r="G830" s="94">
        <v>7</v>
      </c>
      <c r="H830" s="94" t="s">
        <v>210</v>
      </c>
      <c r="I830" s="94" t="s">
        <v>210</v>
      </c>
      <c r="J830" s="94">
        <v>-2</v>
      </c>
      <c r="K830" s="94" t="s">
        <v>210</v>
      </c>
      <c r="L830" s="94" t="s">
        <v>210</v>
      </c>
      <c r="M830" s="94">
        <v>-6</v>
      </c>
      <c r="N830" s="94">
        <v>3</v>
      </c>
      <c r="O830" s="94"/>
      <c r="P830" s="94"/>
      <c r="Q830" s="94"/>
      <c r="R830" s="94"/>
      <c r="S830" s="94"/>
      <c r="T830" s="94"/>
      <c r="U830" s="94"/>
      <c r="V830" s="94"/>
      <c r="W830" s="94"/>
      <c r="X830" s="94"/>
      <c r="Y830" s="94"/>
      <c r="Z830" s="94"/>
      <c r="AA830" s="94"/>
      <c r="AB830" s="94"/>
      <c r="AC830" s="94"/>
      <c r="AD830" s="94"/>
      <c r="AE830" s="94"/>
      <c r="AF830" s="94"/>
      <c r="AG830" s="94"/>
      <c r="AH830" s="94"/>
      <c r="AI830" s="94"/>
      <c r="AJ830" s="94"/>
      <c r="AK830" s="94"/>
      <c r="AL830" s="94"/>
      <c r="AM830" s="94"/>
      <c r="AN830" s="94"/>
      <c r="AO830" s="94"/>
      <c r="AP830" s="94"/>
      <c r="AQ830" s="94"/>
      <c r="AR830" s="94"/>
      <c r="AS830" s="94"/>
      <c r="AT830" s="94"/>
      <c r="AU830" s="94"/>
      <c r="AV830" s="94"/>
      <c r="AW830" s="94"/>
      <c r="AX830" s="94"/>
      <c r="AY830" s="94"/>
      <c r="AZ830" s="94"/>
      <c r="BA830" s="95"/>
    </row>
    <row r="831" spans="1:53" s="87" customFormat="1">
      <c r="A831" s="90" t="str">
        <f t="shared" si="37"/>
        <v/>
      </c>
      <c r="B831" s="98">
        <v>5</v>
      </c>
      <c r="C831" s="94" t="s">
        <v>210</v>
      </c>
      <c r="D831" s="94">
        <v>-5</v>
      </c>
      <c r="E831" s="94">
        <v>3</v>
      </c>
      <c r="F831" s="94" t="s">
        <v>210</v>
      </c>
      <c r="G831" s="94">
        <v>-7</v>
      </c>
      <c r="H831" s="94" t="s">
        <v>210</v>
      </c>
      <c r="I831" s="94">
        <v>1</v>
      </c>
      <c r="J831" s="94" t="s">
        <v>210</v>
      </c>
      <c r="K831" s="94" t="s">
        <v>210</v>
      </c>
      <c r="L831" s="94">
        <v>2</v>
      </c>
      <c r="M831" s="94" t="s">
        <v>210</v>
      </c>
      <c r="N831" s="94">
        <v>-4</v>
      </c>
      <c r="O831" s="94"/>
      <c r="P831" s="94"/>
      <c r="Q831" s="94"/>
      <c r="R831" s="94"/>
      <c r="S831" s="94"/>
      <c r="T831" s="94"/>
      <c r="U831" s="94"/>
      <c r="V831" s="94"/>
      <c r="W831" s="94"/>
      <c r="X831" s="94"/>
      <c r="Y831" s="94"/>
      <c r="Z831" s="94"/>
      <c r="AA831" s="94"/>
      <c r="AB831" s="94"/>
      <c r="AC831" s="94"/>
      <c r="AD831" s="94"/>
      <c r="AE831" s="94"/>
      <c r="AF831" s="94"/>
      <c r="AG831" s="94"/>
      <c r="AH831" s="94"/>
      <c r="AI831" s="94"/>
      <c r="AJ831" s="94"/>
      <c r="AK831" s="94"/>
      <c r="AL831" s="94"/>
      <c r="AM831" s="94"/>
      <c r="AN831" s="94"/>
      <c r="AO831" s="94"/>
      <c r="AP831" s="94"/>
      <c r="AQ831" s="94"/>
      <c r="AR831" s="94"/>
      <c r="AS831" s="94"/>
      <c r="AT831" s="94"/>
      <c r="AU831" s="94"/>
      <c r="AV831" s="94"/>
      <c r="AW831" s="94"/>
      <c r="AX831" s="94"/>
      <c r="AY831" s="94"/>
      <c r="AZ831" s="94"/>
      <c r="BA831" s="95"/>
    </row>
    <row r="832" spans="1:53" s="87" customFormat="1">
      <c r="A832" s="90" t="str">
        <f t="shared" si="37"/>
        <v/>
      </c>
      <c r="B832" s="98">
        <v>6</v>
      </c>
      <c r="C832" s="94">
        <v>-6</v>
      </c>
      <c r="D832" s="94" t="s">
        <v>210</v>
      </c>
      <c r="E832" s="94" t="s">
        <v>210</v>
      </c>
      <c r="F832" s="94">
        <v>3</v>
      </c>
      <c r="G832" s="94" t="s">
        <v>210</v>
      </c>
      <c r="H832" s="94" t="s">
        <v>210</v>
      </c>
      <c r="I832" s="94">
        <v>-7</v>
      </c>
      <c r="J832" s="94">
        <v>2</v>
      </c>
      <c r="K832" s="94" t="s">
        <v>210</v>
      </c>
      <c r="L832" s="94">
        <v>-8</v>
      </c>
      <c r="M832" s="94" t="s">
        <v>210</v>
      </c>
      <c r="N832" s="94">
        <v>4</v>
      </c>
      <c r="O832" s="94"/>
      <c r="P832" s="94"/>
      <c r="Q832" s="94"/>
      <c r="R832" s="94"/>
      <c r="S832" s="94"/>
      <c r="T832" s="94"/>
      <c r="U832" s="94"/>
      <c r="V832" s="94"/>
      <c r="W832" s="94"/>
      <c r="X832" s="94"/>
      <c r="Y832" s="94"/>
      <c r="Z832" s="94"/>
      <c r="AA832" s="94"/>
      <c r="AB832" s="94"/>
      <c r="AC832" s="94"/>
      <c r="AD832" s="94"/>
      <c r="AE832" s="94"/>
      <c r="AF832" s="94"/>
      <c r="AG832" s="94"/>
      <c r="AH832" s="94"/>
      <c r="AI832" s="94"/>
      <c r="AJ832" s="94"/>
      <c r="AK832" s="94"/>
      <c r="AL832" s="94"/>
      <c r="AM832" s="94"/>
      <c r="AN832" s="94"/>
      <c r="AO832" s="94"/>
      <c r="AP832" s="94"/>
      <c r="AQ832" s="94"/>
      <c r="AR832" s="94"/>
      <c r="AS832" s="94"/>
      <c r="AT832" s="94"/>
      <c r="AU832" s="94"/>
      <c r="AV832" s="94"/>
      <c r="AW832" s="94"/>
      <c r="AX832" s="94"/>
      <c r="AY832" s="94"/>
      <c r="AZ832" s="94"/>
      <c r="BA832" s="95"/>
    </row>
    <row r="833" spans="1:53" s="87" customFormat="1">
      <c r="A833" s="90" t="str">
        <f t="shared" si="37"/>
        <v/>
      </c>
      <c r="B833" s="99">
        <v>7</v>
      </c>
      <c r="C833" s="92">
        <v>6</v>
      </c>
      <c r="D833" s="92" t="s">
        <v>210</v>
      </c>
      <c r="E833" s="92">
        <v>4</v>
      </c>
      <c r="F833" s="92" t="s">
        <v>210</v>
      </c>
      <c r="G833" s="92" t="s">
        <v>210</v>
      </c>
      <c r="H833" s="92">
        <v>-8</v>
      </c>
      <c r="I833" s="92" t="s">
        <v>210</v>
      </c>
      <c r="J833" s="92">
        <v>5</v>
      </c>
      <c r="K833" s="92" t="s">
        <v>210</v>
      </c>
      <c r="L833" s="92">
        <v>-2</v>
      </c>
      <c r="M833" s="92">
        <v>-7</v>
      </c>
      <c r="N833" s="92" t="s">
        <v>210</v>
      </c>
      <c r="O833" s="94"/>
      <c r="P833" s="94"/>
      <c r="Q833" s="94"/>
      <c r="R833" s="94"/>
      <c r="S833" s="94"/>
      <c r="T833" s="94"/>
      <c r="U833" s="94"/>
      <c r="V833" s="94"/>
      <c r="W833" s="94"/>
      <c r="X833" s="94"/>
      <c r="Y833" s="94"/>
      <c r="Z833" s="94"/>
      <c r="AA833" s="94"/>
      <c r="AB833" s="94"/>
      <c r="AC833" s="94"/>
      <c r="AD833" s="94"/>
      <c r="AE833" s="94"/>
      <c r="AF833" s="94"/>
      <c r="AG833" s="94"/>
      <c r="AH833" s="94"/>
      <c r="AI833" s="94"/>
      <c r="AJ833" s="94"/>
      <c r="AK833" s="94"/>
      <c r="AL833" s="94"/>
      <c r="AM833" s="94"/>
      <c r="AN833" s="94"/>
      <c r="AO833" s="94"/>
      <c r="AP833" s="94"/>
      <c r="AQ833" s="94"/>
      <c r="AR833" s="94"/>
      <c r="AS833" s="94"/>
      <c r="AT833" s="94"/>
      <c r="AU833" s="94"/>
      <c r="AV833" s="94"/>
      <c r="AW833" s="94"/>
      <c r="AX833" s="94"/>
      <c r="AY833" s="94"/>
      <c r="AZ833" s="94"/>
      <c r="BA833" s="95"/>
    </row>
    <row r="834" spans="1:53" s="87" customFormat="1">
      <c r="A834" s="90" t="str">
        <f t="shared" si="37"/>
        <v/>
      </c>
      <c r="B834" s="98">
        <v>8</v>
      </c>
      <c r="C834" s="94" t="s">
        <v>210</v>
      </c>
      <c r="D834" s="94" t="s">
        <v>210</v>
      </c>
      <c r="E834" s="94">
        <v>1</v>
      </c>
      <c r="F834" s="94">
        <v>-4</v>
      </c>
      <c r="G834" s="94" t="s">
        <v>210</v>
      </c>
      <c r="H834" s="94">
        <v>7</v>
      </c>
      <c r="I834" s="94" t="s">
        <v>210</v>
      </c>
      <c r="J834" s="94">
        <v>3</v>
      </c>
      <c r="K834" s="94" t="s">
        <v>210</v>
      </c>
      <c r="L834" s="94">
        <v>-6</v>
      </c>
      <c r="M834" s="94">
        <v>-5</v>
      </c>
      <c r="N834" s="94" t="s">
        <v>210</v>
      </c>
      <c r="O834" s="94"/>
      <c r="P834" s="94"/>
      <c r="Q834" s="94"/>
      <c r="R834" s="94"/>
      <c r="S834" s="94"/>
      <c r="T834" s="94"/>
      <c r="U834" s="94"/>
      <c r="V834" s="94"/>
      <c r="W834" s="94"/>
      <c r="X834" s="94"/>
      <c r="Y834" s="94"/>
      <c r="Z834" s="94"/>
      <c r="AA834" s="94"/>
      <c r="AB834" s="94"/>
      <c r="AC834" s="94"/>
      <c r="AD834" s="94"/>
      <c r="AE834" s="94"/>
      <c r="AF834" s="94"/>
      <c r="AG834" s="94"/>
      <c r="AH834" s="94"/>
      <c r="AI834" s="94"/>
      <c r="AJ834" s="94"/>
      <c r="AK834" s="94"/>
      <c r="AL834" s="94"/>
      <c r="AM834" s="94"/>
      <c r="AN834" s="94"/>
      <c r="AO834" s="94"/>
      <c r="AP834" s="94"/>
      <c r="AQ834" s="94"/>
      <c r="AR834" s="94"/>
      <c r="AS834" s="94"/>
      <c r="AT834" s="94"/>
      <c r="AU834" s="94"/>
      <c r="AV834" s="94"/>
      <c r="AW834" s="94"/>
      <c r="AX834" s="94"/>
      <c r="AY834" s="94"/>
      <c r="AZ834" s="94"/>
      <c r="BA834" s="95"/>
    </row>
    <row r="835" spans="1:53" s="87" customFormat="1">
      <c r="A835" s="90" t="str">
        <f t="shared" si="37"/>
        <v/>
      </c>
      <c r="B835" s="98">
        <v>9</v>
      </c>
      <c r="C835" s="94" t="s">
        <v>210</v>
      </c>
      <c r="D835" s="94">
        <v>-7</v>
      </c>
      <c r="E835" s="94" t="s">
        <v>210</v>
      </c>
      <c r="F835" s="94">
        <v>4</v>
      </c>
      <c r="G835" s="94" t="s">
        <v>210</v>
      </c>
      <c r="H835" s="94">
        <v>-6</v>
      </c>
      <c r="I835" s="94">
        <v>-3</v>
      </c>
      <c r="J835" s="94" t="s">
        <v>210</v>
      </c>
      <c r="K835" s="94">
        <v>2</v>
      </c>
      <c r="L835" s="94" t="s">
        <v>210</v>
      </c>
      <c r="M835" s="94" t="s">
        <v>210</v>
      </c>
      <c r="N835" s="94">
        <v>1</v>
      </c>
      <c r="O835" s="94"/>
      <c r="P835" s="94"/>
      <c r="Q835" s="94"/>
      <c r="R835" s="94"/>
      <c r="S835" s="94"/>
      <c r="T835" s="94"/>
      <c r="U835" s="94"/>
      <c r="V835" s="94"/>
      <c r="W835" s="94"/>
      <c r="X835" s="94"/>
      <c r="Y835" s="94"/>
      <c r="Z835" s="94"/>
      <c r="AA835" s="94"/>
      <c r="AB835" s="94"/>
      <c r="AC835" s="94"/>
      <c r="AD835" s="94"/>
      <c r="AE835" s="94"/>
      <c r="AF835" s="94"/>
      <c r="AG835" s="94"/>
      <c r="AH835" s="94"/>
      <c r="AI835" s="94"/>
      <c r="AJ835" s="94"/>
      <c r="AK835" s="94"/>
      <c r="AL835" s="94"/>
      <c r="AM835" s="94"/>
      <c r="AN835" s="94"/>
      <c r="AO835" s="94"/>
      <c r="AP835" s="94"/>
      <c r="AQ835" s="94"/>
      <c r="AR835" s="94"/>
      <c r="AS835" s="94"/>
      <c r="AT835" s="94"/>
      <c r="AU835" s="94"/>
      <c r="AV835" s="94"/>
      <c r="AW835" s="94"/>
      <c r="AX835" s="94"/>
      <c r="AY835" s="94"/>
      <c r="AZ835" s="94"/>
      <c r="BA835" s="95"/>
    </row>
    <row r="836" spans="1:53" s="87" customFormat="1">
      <c r="A836" s="90" t="str">
        <f t="shared" si="37"/>
        <v/>
      </c>
      <c r="B836" s="98">
        <v>10</v>
      </c>
      <c r="C836" s="94" t="s">
        <v>210</v>
      </c>
      <c r="D836" s="94">
        <v>6</v>
      </c>
      <c r="E836" s="94" t="s">
        <v>210</v>
      </c>
      <c r="F836" s="94">
        <v>1</v>
      </c>
      <c r="G836" s="94" t="s">
        <v>210</v>
      </c>
      <c r="H836" s="94">
        <v>-7</v>
      </c>
      <c r="I836" s="94">
        <v>4</v>
      </c>
      <c r="J836" s="94" t="s">
        <v>210</v>
      </c>
      <c r="K836" s="94">
        <v>-2</v>
      </c>
      <c r="L836" s="94" t="s">
        <v>210</v>
      </c>
      <c r="M836" s="94">
        <v>-8</v>
      </c>
      <c r="N836" s="94" t="s">
        <v>210</v>
      </c>
      <c r="O836" s="94"/>
      <c r="P836" s="94"/>
      <c r="Q836" s="94"/>
      <c r="R836" s="94"/>
      <c r="S836" s="94"/>
      <c r="T836" s="94"/>
      <c r="U836" s="94"/>
      <c r="V836" s="94"/>
      <c r="W836" s="94"/>
      <c r="X836" s="94"/>
      <c r="Y836" s="94"/>
      <c r="Z836" s="94"/>
      <c r="AA836" s="94"/>
      <c r="AB836" s="94"/>
      <c r="AC836" s="94"/>
      <c r="AD836" s="94"/>
      <c r="AE836" s="94"/>
      <c r="AF836" s="94"/>
      <c r="AG836" s="94"/>
      <c r="AH836" s="94"/>
      <c r="AI836" s="94"/>
      <c r="AJ836" s="94"/>
      <c r="AK836" s="94"/>
      <c r="AL836" s="94"/>
      <c r="AM836" s="94"/>
      <c r="AN836" s="94"/>
      <c r="AO836" s="94"/>
      <c r="AP836" s="94"/>
      <c r="AQ836" s="94"/>
      <c r="AR836" s="94"/>
      <c r="AS836" s="94"/>
      <c r="AT836" s="94"/>
      <c r="AU836" s="94"/>
      <c r="AV836" s="94"/>
      <c r="AW836" s="94"/>
      <c r="AX836" s="94"/>
      <c r="AY836" s="94"/>
      <c r="AZ836" s="94"/>
      <c r="BA836" s="95"/>
    </row>
    <row r="837" spans="1:53" s="87" customFormat="1">
      <c r="A837" s="90" t="str">
        <f t="shared" si="37"/>
        <v/>
      </c>
      <c r="B837" s="98">
        <v>11</v>
      </c>
      <c r="C837" s="94" t="s">
        <v>210</v>
      </c>
      <c r="D837" s="94">
        <v>-6</v>
      </c>
      <c r="E837" s="94">
        <v>2</v>
      </c>
      <c r="F837" s="94" t="s">
        <v>210</v>
      </c>
      <c r="G837" s="94">
        <v>-3</v>
      </c>
      <c r="H837" s="94" t="s">
        <v>210</v>
      </c>
      <c r="I837" s="94" t="s">
        <v>210</v>
      </c>
      <c r="J837" s="94">
        <v>8</v>
      </c>
      <c r="K837" s="94" t="s">
        <v>210</v>
      </c>
      <c r="L837" s="94" t="s">
        <v>210</v>
      </c>
      <c r="M837" s="94">
        <v>5</v>
      </c>
      <c r="N837" s="94">
        <v>-1</v>
      </c>
      <c r="O837" s="94"/>
      <c r="P837" s="94"/>
      <c r="Q837" s="94"/>
      <c r="R837" s="94"/>
      <c r="S837" s="94"/>
      <c r="T837" s="94"/>
      <c r="U837" s="94"/>
      <c r="V837" s="94"/>
      <c r="W837" s="94"/>
      <c r="X837" s="94"/>
      <c r="Y837" s="94"/>
      <c r="Z837" s="94"/>
      <c r="AA837" s="94"/>
      <c r="AB837" s="94"/>
      <c r="AC837" s="94"/>
      <c r="AD837" s="94"/>
      <c r="AE837" s="94"/>
      <c r="AF837" s="94"/>
      <c r="AG837" s="94"/>
      <c r="AH837" s="94"/>
      <c r="AI837" s="94"/>
      <c r="AJ837" s="94"/>
      <c r="AK837" s="94"/>
      <c r="AL837" s="94"/>
      <c r="AM837" s="94"/>
      <c r="AN837" s="94"/>
      <c r="AO837" s="94"/>
      <c r="AP837" s="94"/>
      <c r="AQ837" s="94"/>
      <c r="AR837" s="94"/>
      <c r="AS837" s="94"/>
      <c r="AT837" s="94"/>
      <c r="AU837" s="94"/>
      <c r="AV837" s="94"/>
      <c r="AW837" s="94"/>
      <c r="AX837" s="94"/>
      <c r="AY837" s="94"/>
      <c r="AZ837" s="94"/>
      <c r="BA837" s="95"/>
    </row>
    <row r="838" spans="1:53" s="87" customFormat="1">
      <c r="A838" s="90" t="str">
        <f t="shared" si="37"/>
        <v/>
      </c>
      <c r="B838" s="98">
        <v>12</v>
      </c>
      <c r="C838" s="94" t="s">
        <v>210</v>
      </c>
      <c r="D838" s="94">
        <v>7</v>
      </c>
      <c r="E838" s="94">
        <v>-1</v>
      </c>
      <c r="F838" s="94" t="s">
        <v>210</v>
      </c>
      <c r="G838" s="94">
        <v>3</v>
      </c>
      <c r="H838" s="94" t="s">
        <v>210</v>
      </c>
      <c r="I838" s="94">
        <v>-4</v>
      </c>
      <c r="J838" s="94" t="s">
        <v>210</v>
      </c>
      <c r="K838" s="94" t="s">
        <v>210</v>
      </c>
      <c r="L838" s="94">
        <v>-5</v>
      </c>
      <c r="M838" s="94" t="s">
        <v>210</v>
      </c>
      <c r="N838" s="94">
        <v>2</v>
      </c>
      <c r="O838" s="94"/>
      <c r="P838" s="94"/>
      <c r="Q838" s="94"/>
      <c r="R838" s="94"/>
      <c r="S838" s="94"/>
      <c r="T838" s="94"/>
      <c r="U838" s="94"/>
      <c r="V838" s="94"/>
      <c r="W838" s="94"/>
      <c r="X838" s="94"/>
      <c r="Y838" s="94"/>
      <c r="Z838" s="94"/>
      <c r="AA838" s="94"/>
      <c r="AB838" s="94"/>
      <c r="AC838" s="94"/>
      <c r="AD838" s="94"/>
      <c r="AE838" s="94"/>
      <c r="AF838" s="94"/>
      <c r="AG838" s="94"/>
      <c r="AH838" s="94"/>
      <c r="AI838" s="94"/>
      <c r="AJ838" s="94"/>
      <c r="AK838" s="94"/>
      <c r="AL838" s="94"/>
      <c r="AM838" s="94"/>
      <c r="AN838" s="94"/>
      <c r="AO838" s="94"/>
      <c r="AP838" s="94"/>
      <c r="AQ838" s="94"/>
      <c r="AR838" s="94"/>
      <c r="AS838" s="94"/>
      <c r="AT838" s="94"/>
      <c r="AU838" s="94"/>
      <c r="AV838" s="94"/>
      <c r="AW838" s="94"/>
      <c r="AX838" s="94"/>
      <c r="AY838" s="94"/>
      <c r="AZ838" s="94"/>
      <c r="BA838" s="95"/>
    </row>
    <row r="839" spans="1:53" s="87" customFormat="1">
      <c r="A839" s="90" t="str">
        <f t="shared" si="37"/>
        <v/>
      </c>
      <c r="B839" s="98">
        <v>13</v>
      </c>
      <c r="C839" s="94">
        <v>7</v>
      </c>
      <c r="D839" s="94" t="s">
        <v>210</v>
      </c>
      <c r="E839" s="94" t="s">
        <v>210</v>
      </c>
      <c r="F839" s="94">
        <v>-1</v>
      </c>
      <c r="G839" s="94" t="s">
        <v>210</v>
      </c>
      <c r="H839" s="94" t="s">
        <v>210</v>
      </c>
      <c r="I839" s="94">
        <v>3</v>
      </c>
      <c r="J839" s="94">
        <v>-8</v>
      </c>
      <c r="K839" s="94" t="s">
        <v>210</v>
      </c>
      <c r="L839" s="94">
        <v>6</v>
      </c>
      <c r="M839" s="94" t="s">
        <v>210</v>
      </c>
      <c r="N839" s="94">
        <v>-2</v>
      </c>
      <c r="O839" s="94"/>
      <c r="P839" s="94"/>
      <c r="Q839" s="94"/>
      <c r="R839" s="94"/>
      <c r="S839" s="94"/>
      <c r="T839" s="94"/>
      <c r="U839" s="94"/>
      <c r="V839" s="94"/>
      <c r="W839" s="94"/>
      <c r="X839" s="94"/>
      <c r="Y839" s="94"/>
      <c r="Z839" s="94"/>
      <c r="AA839" s="94"/>
      <c r="AB839" s="94"/>
      <c r="AC839" s="94"/>
      <c r="AD839" s="94"/>
      <c r="AE839" s="94"/>
      <c r="AF839" s="94"/>
      <c r="AG839" s="94"/>
      <c r="AH839" s="94"/>
      <c r="AI839" s="94"/>
      <c r="AJ839" s="94"/>
      <c r="AK839" s="94"/>
      <c r="AL839" s="94"/>
      <c r="AM839" s="94"/>
      <c r="AN839" s="94"/>
      <c r="AO839" s="94"/>
      <c r="AP839" s="94"/>
      <c r="AQ839" s="94"/>
      <c r="AR839" s="94"/>
      <c r="AS839" s="94"/>
      <c r="AT839" s="94"/>
      <c r="AU839" s="94"/>
      <c r="AV839" s="94"/>
      <c r="AW839" s="94"/>
      <c r="AX839" s="94"/>
      <c r="AY839" s="94"/>
      <c r="AZ839" s="94"/>
      <c r="BA839" s="95"/>
    </row>
    <row r="840" spans="1:53" s="87" customFormat="1">
      <c r="A840" s="90" t="str">
        <f t="shared" si="37"/>
        <v/>
      </c>
      <c r="B840" s="99">
        <v>14</v>
      </c>
      <c r="C840" s="92">
        <v>-7</v>
      </c>
      <c r="D840" s="92" t="s">
        <v>210</v>
      </c>
      <c r="E840" s="92">
        <v>-2</v>
      </c>
      <c r="F840" s="92" t="s">
        <v>210</v>
      </c>
      <c r="G840" s="92" t="s">
        <v>210</v>
      </c>
      <c r="H840" s="92">
        <v>6</v>
      </c>
      <c r="I840" s="92" t="s">
        <v>210</v>
      </c>
      <c r="J840" s="92">
        <v>-3</v>
      </c>
      <c r="K840" s="92" t="s">
        <v>210</v>
      </c>
      <c r="L840" s="92">
        <v>5</v>
      </c>
      <c r="M840" s="92">
        <v>8</v>
      </c>
      <c r="N840" s="92" t="s">
        <v>210</v>
      </c>
      <c r="O840" s="94"/>
      <c r="P840" s="94"/>
      <c r="Q840" s="94"/>
      <c r="R840" s="94"/>
      <c r="S840" s="94"/>
      <c r="T840" s="94"/>
      <c r="U840" s="94"/>
      <c r="V840" s="94"/>
      <c r="W840" s="94"/>
      <c r="X840" s="94"/>
      <c r="Y840" s="94"/>
      <c r="Z840" s="94"/>
      <c r="AA840" s="94"/>
      <c r="AB840" s="94"/>
      <c r="AC840" s="94"/>
      <c r="AD840" s="94"/>
      <c r="AE840" s="94"/>
      <c r="AF840" s="94"/>
      <c r="AG840" s="94"/>
      <c r="AH840" s="94"/>
      <c r="AI840" s="94"/>
      <c r="AJ840" s="94"/>
      <c r="AK840" s="94"/>
      <c r="AL840" s="94"/>
      <c r="AM840" s="94"/>
      <c r="AN840" s="94"/>
      <c r="AO840" s="94"/>
      <c r="AP840" s="94"/>
      <c r="AQ840" s="94"/>
      <c r="AR840" s="94"/>
      <c r="AS840" s="94"/>
      <c r="AT840" s="94"/>
      <c r="AU840" s="94"/>
      <c r="AV840" s="94"/>
      <c r="AW840" s="94"/>
      <c r="AX840" s="94"/>
      <c r="AY840" s="94"/>
      <c r="AZ840" s="94"/>
      <c r="BA840" s="95"/>
    </row>
    <row r="841" spans="1:53" s="87" customFormat="1">
      <c r="A841" s="90" t="str">
        <f t="shared" si="37"/>
        <v/>
      </c>
      <c r="B841" s="98">
        <v>15</v>
      </c>
      <c r="C841" s="94" t="s">
        <v>210</v>
      </c>
      <c r="D841" s="94" t="s">
        <v>210</v>
      </c>
      <c r="E841" s="94">
        <v>-6</v>
      </c>
      <c r="F841" s="94">
        <v>7</v>
      </c>
      <c r="G841" s="94" t="s">
        <v>210</v>
      </c>
      <c r="H841" s="94">
        <v>-5</v>
      </c>
      <c r="I841" s="94" t="s">
        <v>210</v>
      </c>
      <c r="J841" s="94">
        <v>-4</v>
      </c>
      <c r="K841" s="94" t="s">
        <v>210</v>
      </c>
      <c r="L841" s="94">
        <v>1</v>
      </c>
      <c r="M841" s="94">
        <v>3</v>
      </c>
      <c r="N841" s="94" t="s">
        <v>210</v>
      </c>
      <c r="O841" s="94"/>
      <c r="P841" s="94"/>
      <c r="Q841" s="94"/>
      <c r="R841" s="94"/>
      <c r="S841" s="94"/>
      <c r="T841" s="94"/>
      <c r="U841" s="94"/>
      <c r="V841" s="94"/>
      <c r="W841" s="94"/>
      <c r="X841" s="94"/>
      <c r="Y841" s="94"/>
      <c r="Z841" s="94"/>
      <c r="AA841" s="94"/>
      <c r="AB841" s="94"/>
      <c r="AC841" s="94"/>
      <c r="AD841" s="94"/>
      <c r="AE841" s="94"/>
      <c r="AF841" s="94"/>
      <c r="AG841" s="94"/>
      <c r="AH841" s="94"/>
      <c r="AI841" s="94"/>
      <c r="AJ841" s="94"/>
      <c r="AK841" s="94"/>
      <c r="AL841" s="94"/>
      <c r="AM841" s="94"/>
      <c r="AN841" s="94"/>
      <c r="AO841" s="94"/>
      <c r="AP841" s="94"/>
      <c r="AQ841" s="94"/>
      <c r="AR841" s="94"/>
      <c r="AS841" s="94"/>
      <c r="AT841" s="94"/>
      <c r="AU841" s="94"/>
      <c r="AV841" s="94"/>
      <c r="AW841" s="94"/>
      <c r="AX841" s="94"/>
      <c r="AY841" s="94"/>
      <c r="AZ841" s="94"/>
      <c r="BA841" s="95"/>
    </row>
    <row r="842" spans="1:53" s="87" customFormat="1">
      <c r="A842" s="90" t="str">
        <f t="shared" si="37"/>
        <v/>
      </c>
      <c r="B842" s="98">
        <v>16</v>
      </c>
      <c r="C842" s="94" t="s">
        <v>210</v>
      </c>
      <c r="D842" s="94">
        <v>4</v>
      </c>
      <c r="E842" s="94" t="s">
        <v>210</v>
      </c>
      <c r="F842" s="94">
        <v>-7</v>
      </c>
      <c r="G842" s="94" t="s">
        <v>210</v>
      </c>
      <c r="H842" s="94">
        <v>1</v>
      </c>
      <c r="I842" s="94">
        <v>2</v>
      </c>
      <c r="J842" s="94" t="s">
        <v>210</v>
      </c>
      <c r="K842" s="94">
        <v>-3</v>
      </c>
      <c r="L842" s="94" t="s">
        <v>210</v>
      </c>
      <c r="M842" s="94" t="s">
        <v>210</v>
      </c>
      <c r="N842" s="94">
        <v>-6</v>
      </c>
      <c r="O842" s="94"/>
      <c r="P842" s="94"/>
      <c r="Q842" s="94"/>
      <c r="R842" s="94"/>
      <c r="S842" s="94"/>
      <c r="T842" s="94"/>
      <c r="U842" s="94"/>
      <c r="V842" s="94"/>
      <c r="W842" s="94"/>
      <c r="X842" s="94"/>
      <c r="Y842" s="94"/>
      <c r="Z842" s="94"/>
      <c r="AA842" s="94"/>
      <c r="AB842" s="94"/>
      <c r="AC842" s="94"/>
      <c r="AD842" s="94"/>
      <c r="AE842" s="94"/>
      <c r="AF842" s="94"/>
      <c r="AG842" s="94"/>
      <c r="AH842" s="94"/>
      <c r="AI842" s="94"/>
      <c r="AJ842" s="94"/>
      <c r="AK842" s="94"/>
      <c r="AL842" s="94"/>
      <c r="AM842" s="94"/>
      <c r="AN842" s="94"/>
      <c r="AO842" s="94"/>
      <c r="AP842" s="94"/>
      <c r="AQ842" s="94"/>
      <c r="AR842" s="94"/>
      <c r="AS842" s="94"/>
      <c r="AT842" s="94"/>
      <c r="AU842" s="94"/>
      <c r="AV842" s="94"/>
      <c r="AW842" s="94"/>
      <c r="AX842" s="94"/>
      <c r="AY842" s="94"/>
      <c r="AZ842" s="94"/>
      <c r="BA842" s="95"/>
    </row>
    <row r="843" spans="1:53" s="87" customFormat="1">
      <c r="A843" s="90" t="str">
        <f t="shared" si="37"/>
        <v/>
      </c>
      <c r="B843" s="98">
        <v>17</v>
      </c>
      <c r="C843" s="94" t="s">
        <v>210</v>
      </c>
      <c r="D843" s="94">
        <v>-1</v>
      </c>
      <c r="E843" s="94" t="s">
        <v>210</v>
      </c>
      <c r="F843" s="94">
        <v>-6</v>
      </c>
      <c r="G843" s="94" t="s">
        <v>210</v>
      </c>
      <c r="H843" s="94">
        <v>5</v>
      </c>
      <c r="I843" s="94">
        <v>-8</v>
      </c>
      <c r="J843" s="94" t="s">
        <v>210</v>
      </c>
      <c r="K843" s="94">
        <v>3</v>
      </c>
      <c r="L843" s="94" t="s">
        <v>210</v>
      </c>
      <c r="M843" s="94">
        <v>2</v>
      </c>
      <c r="N843" s="94" t="s">
        <v>210</v>
      </c>
      <c r="O843" s="94"/>
      <c r="P843" s="94"/>
      <c r="Q843" s="94"/>
      <c r="R843" s="94"/>
      <c r="S843" s="94"/>
      <c r="T843" s="94"/>
      <c r="U843" s="94"/>
      <c r="V843" s="94"/>
      <c r="W843" s="94"/>
      <c r="X843" s="94"/>
      <c r="Y843" s="94"/>
      <c r="Z843" s="94"/>
      <c r="AA843" s="94"/>
      <c r="AB843" s="94"/>
      <c r="AC843" s="94"/>
      <c r="AD843" s="94"/>
      <c r="AE843" s="94"/>
      <c r="AF843" s="94"/>
      <c r="AG843" s="94"/>
      <c r="AH843" s="94"/>
      <c r="AI843" s="94"/>
      <c r="AJ843" s="94"/>
      <c r="AK843" s="94"/>
      <c r="AL843" s="94"/>
      <c r="AM843" s="94"/>
      <c r="AN843" s="94"/>
      <c r="AO843" s="94"/>
      <c r="AP843" s="94"/>
      <c r="AQ843" s="94"/>
      <c r="AR843" s="94"/>
      <c r="AS843" s="94"/>
      <c r="AT843" s="94"/>
      <c r="AU843" s="94"/>
      <c r="AV843" s="94"/>
      <c r="AW843" s="94"/>
      <c r="AX843" s="94"/>
      <c r="AY843" s="94"/>
      <c r="AZ843" s="94"/>
      <c r="BA843" s="95"/>
    </row>
    <row r="844" spans="1:53" s="87" customFormat="1">
      <c r="A844" s="90" t="str">
        <f t="shared" ref="A844:A907" si="38">IF(MID(B844,3,2)="08",ROW(),"")</f>
        <v/>
      </c>
      <c r="B844" s="98">
        <v>18</v>
      </c>
      <c r="C844" s="94" t="s">
        <v>210</v>
      </c>
      <c r="D844" s="94">
        <v>1</v>
      </c>
      <c r="E844" s="94">
        <v>-5</v>
      </c>
      <c r="F844" s="94" t="s">
        <v>210</v>
      </c>
      <c r="G844" s="94">
        <v>2</v>
      </c>
      <c r="H844" s="94" t="s">
        <v>210</v>
      </c>
      <c r="I844" s="94" t="s">
        <v>210</v>
      </c>
      <c r="J844" s="94">
        <v>-7</v>
      </c>
      <c r="K844" s="94" t="s">
        <v>210</v>
      </c>
      <c r="L844" s="94" t="s">
        <v>210</v>
      </c>
      <c r="M844" s="94">
        <v>-3</v>
      </c>
      <c r="N844" s="94">
        <v>6</v>
      </c>
      <c r="O844" s="94"/>
      <c r="P844" s="94"/>
      <c r="Q844" s="94"/>
      <c r="R844" s="94"/>
      <c r="S844" s="94"/>
      <c r="T844" s="94"/>
      <c r="U844" s="94"/>
      <c r="V844" s="94"/>
      <c r="W844" s="94"/>
      <c r="X844" s="94"/>
      <c r="Y844" s="94"/>
      <c r="Z844" s="94"/>
      <c r="AA844" s="94"/>
      <c r="AB844" s="94"/>
      <c r="AC844" s="94"/>
      <c r="AD844" s="94"/>
      <c r="AE844" s="94"/>
      <c r="AF844" s="94"/>
      <c r="AG844" s="94"/>
      <c r="AH844" s="94"/>
      <c r="AI844" s="94"/>
      <c r="AJ844" s="94"/>
      <c r="AK844" s="94"/>
      <c r="AL844" s="94"/>
      <c r="AM844" s="94"/>
      <c r="AN844" s="94"/>
      <c r="AO844" s="94"/>
      <c r="AP844" s="94"/>
      <c r="AQ844" s="94"/>
      <c r="AR844" s="94"/>
      <c r="AS844" s="94"/>
      <c r="AT844" s="94"/>
      <c r="AU844" s="94"/>
      <c r="AV844" s="94"/>
      <c r="AW844" s="94"/>
      <c r="AX844" s="94"/>
      <c r="AY844" s="94"/>
      <c r="AZ844" s="94"/>
      <c r="BA844" s="95"/>
    </row>
    <row r="845" spans="1:53" s="87" customFormat="1">
      <c r="A845" s="90" t="str">
        <f t="shared" si="38"/>
        <v/>
      </c>
      <c r="B845" s="98">
        <v>19</v>
      </c>
      <c r="C845" s="94" t="s">
        <v>210</v>
      </c>
      <c r="D845" s="94">
        <v>-4</v>
      </c>
      <c r="E845" s="94">
        <v>6</v>
      </c>
      <c r="F845" s="94" t="s">
        <v>210</v>
      </c>
      <c r="G845" s="94">
        <v>-2</v>
      </c>
      <c r="H845" s="94" t="s">
        <v>210</v>
      </c>
      <c r="I845" s="94">
        <v>8</v>
      </c>
      <c r="J845" s="94" t="s">
        <v>210</v>
      </c>
      <c r="K845" s="94" t="s">
        <v>210</v>
      </c>
      <c r="L845" s="94">
        <v>7</v>
      </c>
      <c r="M845" s="94" t="s">
        <v>210</v>
      </c>
      <c r="N845" s="94">
        <v>-5</v>
      </c>
      <c r="O845" s="94"/>
      <c r="P845" s="94"/>
      <c r="Q845" s="94"/>
      <c r="R845" s="94"/>
      <c r="S845" s="94"/>
      <c r="T845" s="94"/>
      <c r="U845" s="94"/>
      <c r="V845" s="94"/>
      <c r="W845" s="94"/>
      <c r="X845" s="94"/>
      <c r="Y845" s="94"/>
      <c r="Z845" s="94"/>
      <c r="AA845" s="94"/>
      <c r="AB845" s="94"/>
      <c r="AC845" s="94"/>
      <c r="AD845" s="94"/>
      <c r="AE845" s="94"/>
      <c r="AF845" s="94"/>
      <c r="AG845" s="94"/>
      <c r="AH845" s="94"/>
      <c r="AI845" s="94"/>
      <c r="AJ845" s="94"/>
      <c r="AK845" s="94"/>
      <c r="AL845" s="94"/>
      <c r="AM845" s="94"/>
      <c r="AN845" s="94"/>
      <c r="AO845" s="94"/>
      <c r="AP845" s="94"/>
      <c r="AQ845" s="94"/>
      <c r="AR845" s="94"/>
      <c r="AS845" s="94"/>
      <c r="AT845" s="94"/>
      <c r="AU845" s="94"/>
      <c r="AV845" s="94"/>
      <c r="AW845" s="94"/>
      <c r="AX845" s="94"/>
      <c r="AY845" s="94"/>
      <c r="AZ845" s="94"/>
      <c r="BA845" s="95"/>
    </row>
    <row r="846" spans="1:53" s="87" customFormat="1">
      <c r="A846" s="90" t="str">
        <f t="shared" si="38"/>
        <v/>
      </c>
      <c r="B846" s="98">
        <v>20</v>
      </c>
      <c r="C846" s="94">
        <v>-3</v>
      </c>
      <c r="D846" s="94" t="s">
        <v>210</v>
      </c>
      <c r="E846" s="94" t="s">
        <v>210</v>
      </c>
      <c r="F846" s="94">
        <v>6</v>
      </c>
      <c r="G846" s="94" t="s">
        <v>210</v>
      </c>
      <c r="H846" s="94" t="s">
        <v>210</v>
      </c>
      <c r="I846" s="94">
        <v>-2</v>
      </c>
      <c r="J846" s="94">
        <v>7</v>
      </c>
      <c r="K846" s="94" t="s">
        <v>210</v>
      </c>
      <c r="L846" s="94">
        <v>-1</v>
      </c>
      <c r="M846" s="94" t="s">
        <v>210</v>
      </c>
      <c r="N846" s="94">
        <v>5</v>
      </c>
      <c r="O846" s="94"/>
      <c r="P846" s="94"/>
      <c r="Q846" s="94"/>
      <c r="R846" s="94"/>
      <c r="S846" s="94"/>
      <c r="T846" s="94"/>
      <c r="U846" s="94"/>
      <c r="V846" s="94"/>
      <c r="W846" s="94"/>
      <c r="X846" s="94"/>
      <c r="Y846" s="94"/>
      <c r="Z846" s="94"/>
      <c r="AA846" s="94"/>
      <c r="AB846" s="94"/>
      <c r="AC846" s="94"/>
      <c r="AD846" s="94"/>
      <c r="AE846" s="94"/>
      <c r="AF846" s="94"/>
      <c r="AG846" s="94"/>
      <c r="AH846" s="94"/>
      <c r="AI846" s="94"/>
      <c r="AJ846" s="94"/>
      <c r="AK846" s="94"/>
      <c r="AL846" s="94"/>
      <c r="AM846" s="94"/>
      <c r="AN846" s="94"/>
      <c r="AO846" s="94"/>
      <c r="AP846" s="94"/>
      <c r="AQ846" s="94"/>
      <c r="AR846" s="94"/>
      <c r="AS846" s="94"/>
      <c r="AT846" s="94"/>
      <c r="AU846" s="94"/>
      <c r="AV846" s="94"/>
      <c r="AW846" s="94"/>
      <c r="AX846" s="94"/>
      <c r="AY846" s="94"/>
      <c r="AZ846" s="94"/>
      <c r="BA846" s="95"/>
    </row>
    <row r="847" spans="1:53" s="87" customFormat="1">
      <c r="A847" s="90" t="str">
        <f t="shared" si="38"/>
        <v/>
      </c>
      <c r="B847" s="99">
        <v>21</v>
      </c>
      <c r="C847" s="92">
        <v>3</v>
      </c>
      <c r="D847" s="92" t="s">
        <v>210</v>
      </c>
      <c r="E847" s="92">
        <v>5</v>
      </c>
      <c r="F847" s="92" t="s">
        <v>210</v>
      </c>
      <c r="G847" s="92" t="s">
        <v>210</v>
      </c>
      <c r="H847" s="92">
        <v>-1</v>
      </c>
      <c r="I847" s="92" t="s">
        <v>210</v>
      </c>
      <c r="J847" s="92">
        <v>4</v>
      </c>
      <c r="K847" s="92" t="s">
        <v>210</v>
      </c>
      <c r="L847" s="92">
        <v>-7</v>
      </c>
      <c r="M847" s="92">
        <v>-2</v>
      </c>
      <c r="N847" s="92" t="s">
        <v>210</v>
      </c>
      <c r="O847" s="94"/>
      <c r="P847" s="94"/>
      <c r="Q847" s="94"/>
      <c r="R847" s="94"/>
      <c r="S847" s="94"/>
      <c r="T847" s="94"/>
      <c r="U847" s="94"/>
      <c r="V847" s="94"/>
      <c r="W847" s="94"/>
      <c r="X847" s="94"/>
      <c r="Y847" s="94"/>
      <c r="Z847" s="94"/>
      <c r="AA847" s="94"/>
      <c r="AB847" s="94"/>
      <c r="AC847" s="94"/>
      <c r="AD847" s="94"/>
      <c r="AE847" s="94"/>
      <c r="AF847" s="94"/>
      <c r="AG847" s="94"/>
      <c r="AH847" s="94"/>
      <c r="AI847" s="94"/>
      <c r="AJ847" s="94"/>
      <c r="AK847" s="94"/>
      <c r="AL847" s="94"/>
      <c r="AM847" s="94"/>
      <c r="AN847" s="94"/>
      <c r="AO847" s="94"/>
      <c r="AP847" s="94"/>
      <c r="AQ847" s="94"/>
      <c r="AR847" s="94"/>
      <c r="AS847" s="94"/>
      <c r="AT847" s="94"/>
      <c r="AU847" s="94"/>
      <c r="AV847" s="94"/>
      <c r="AW847" s="94"/>
      <c r="AX847" s="94"/>
      <c r="AY847" s="94"/>
      <c r="AZ847" s="94"/>
      <c r="BA847" s="95"/>
    </row>
    <row r="848" spans="1:53" s="87" customFormat="1">
      <c r="A848" s="90" t="str">
        <f t="shared" si="38"/>
        <v/>
      </c>
      <c r="B848" s="98">
        <v>22</v>
      </c>
      <c r="C848" s="94" t="s">
        <v>210</v>
      </c>
      <c r="D848" s="94" t="s">
        <v>210</v>
      </c>
      <c r="E848" s="94">
        <v>8</v>
      </c>
      <c r="F848" s="94">
        <v>-5</v>
      </c>
      <c r="G848" s="94" t="s">
        <v>210</v>
      </c>
      <c r="H848" s="94">
        <v>2</v>
      </c>
      <c r="I848" s="94" t="s">
        <v>210</v>
      </c>
      <c r="J848" s="94">
        <v>6</v>
      </c>
      <c r="K848" s="94" t="s">
        <v>210</v>
      </c>
      <c r="L848" s="94">
        <v>-3</v>
      </c>
      <c r="M848" s="94">
        <v>-4</v>
      </c>
      <c r="N848" s="94" t="s">
        <v>210</v>
      </c>
      <c r="O848" s="94"/>
      <c r="P848" s="94"/>
      <c r="Q848" s="94"/>
      <c r="R848" s="94"/>
      <c r="S848" s="94"/>
      <c r="T848" s="94"/>
      <c r="U848" s="94"/>
      <c r="V848" s="94"/>
      <c r="W848" s="94"/>
      <c r="X848" s="94"/>
      <c r="Y848" s="94"/>
      <c r="Z848" s="94"/>
      <c r="AA848" s="94"/>
      <c r="AB848" s="94"/>
      <c r="AC848" s="94"/>
      <c r="AD848" s="94"/>
      <c r="AE848" s="94"/>
      <c r="AF848" s="94"/>
      <c r="AG848" s="94"/>
      <c r="AH848" s="94"/>
      <c r="AI848" s="94"/>
      <c r="AJ848" s="94"/>
      <c r="AK848" s="94"/>
      <c r="AL848" s="94"/>
      <c r="AM848" s="94"/>
      <c r="AN848" s="94"/>
      <c r="AO848" s="94"/>
      <c r="AP848" s="94"/>
      <c r="AQ848" s="94"/>
      <c r="AR848" s="94"/>
      <c r="AS848" s="94"/>
      <c r="AT848" s="94"/>
      <c r="AU848" s="94"/>
      <c r="AV848" s="94"/>
      <c r="AW848" s="94"/>
      <c r="AX848" s="94"/>
      <c r="AY848" s="94"/>
      <c r="AZ848" s="94"/>
      <c r="BA848" s="95"/>
    </row>
    <row r="849" spans="1:53" s="87" customFormat="1">
      <c r="A849" s="90" t="str">
        <f t="shared" si="38"/>
        <v/>
      </c>
      <c r="B849" s="98">
        <v>23</v>
      </c>
      <c r="C849" s="94" t="s">
        <v>210</v>
      </c>
      <c r="D849" s="94">
        <v>-2</v>
      </c>
      <c r="E849" s="94" t="s">
        <v>210</v>
      </c>
      <c r="F849" s="94">
        <v>5</v>
      </c>
      <c r="G849" s="94" t="s">
        <v>210</v>
      </c>
      <c r="H849" s="94">
        <v>-3</v>
      </c>
      <c r="I849" s="94">
        <v>-6</v>
      </c>
      <c r="J849" s="94" t="s">
        <v>210</v>
      </c>
      <c r="K849" s="94">
        <v>7</v>
      </c>
      <c r="L849" s="94" t="s">
        <v>210</v>
      </c>
      <c r="M849" s="94" t="s">
        <v>210</v>
      </c>
      <c r="N849" s="94">
        <v>8</v>
      </c>
      <c r="O849" s="94"/>
      <c r="P849" s="94"/>
      <c r="Q849" s="94"/>
      <c r="R849" s="94"/>
      <c r="S849" s="94"/>
      <c r="T849" s="94"/>
      <c r="U849" s="94"/>
      <c r="V849" s="94"/>
      <c r="W849" s="94"/>
      <c r="X849" s="94"/>
      <c r="Y849" s="94"/>
      <c r="Z849" s="94"/>
      <c r="AA849" s="94"/>
      <c r="AB849" s="94"/>
      <c r="AC849" s="94"/>
      <c r="AD849" s="94"/>
      <c r="AE849" s="94"/>
      <c r="AF849" s="94"/>
      <c r="AG849" s="94"/>
      <c r="AH849" s="94"/>
      <c r="AI849" s="94"/>
      <c r="AJ849" s="94"/>
      <c r="AK849" s="94"/>
      <c r="AL849" s="94"/>
      <c r="AM849" s="94"/>
      <c r="AN849" s="94"/>
      <c r="AO849" s="94"/>
      <c r="AP849" s="94"/>
      <c r="AQ849" s="94"/>
      <c r="AR849" s="94"/>
      <c r="AS849" s="94"/>
      <c r="AT849" s="94"/>
      <c r="AU849" s="94"/>
      <c r="AV849" s="94"/>
      <c r="AW849" s="94"/>
      <c r="AX849" s="94"/>
      <c r="AY849" s="94"/>
      <c r="AZ849" s="94"/>
      <c r="BA849" s="95"/>
    </row>
    <row r="850" spans="1:53" s="87" customFormat="1">
      <c r="A850" s="90" t="str">
        <f t="shared" si="38"/>
        <v/>
      </c>
      <c r="B850" s="98">
        <v>24</v>
      </c>
      <c r="C850" s="94" t="s">
        <v>210</v>
      </c>
      <c r="D850" s="94">
        <v>3</v>
      </c>
      <c r="E850" s="94" t="s">
        <v>210</v>
      </c>
      <c r="F850" s="94">
        <v>8</v>
      </c>
      <c r="G850" s="94" t="s">
        <v>210</v>
      </c>
      <c r="H850" s="94">
        <v>-2</v>
      </c>
      <c r="I850" s="94">
        <v>5</v>
      </c>
      <c r="J850" s="94" t="s">
        <v>210</v>
      </c>
      <c r="K850" s="94">
        <v>-7</v>
      </c>
      <c r="L850" s="94" t="s">
        <v>210</v>
      </c>
      <c r="M850" s="94">
        <v>-1</v>
      </c>
      <c r="N850" s="94" t="s">
        <v>210</v>
      </c>
      <c r="O850" s="94"/>
      <c r="P850" s="94"/>
      <c r="Q850" s="94"/>
      <c r="R850" s="94"/>
      <c r="S850" s="94"/>
      <c r="T850" s="94"/>
      <c r="U850" s="94"/>
      <c r="V850" s="94"/>
      <c r="W850" s="94"/>
      <c r="X850" s="94"/>
      <c r="Y850" s="94"/>
      <c r="Z850" s="94"/>
      <c r="AA850" s="94"/>
      <c r="AB850" s="94"/>
      <c r="AC850" s="94"/>
      <c r="AD850" s="94"/>
      <c r="AE850" s="94"/>
      <c r="AF850" s="94"/>
      <c r="AG850" s="94"/>
      <c r="AH850" s="94"/>
      <c r="AI850" s="94"/>
      <c r="AJ850" s="94"/>
      <c r="AK850" s="94"/>
      <c r="AL850" s="94"/>
      <c r="AM850" s="94"/>
      <c r="AN850" s="94"/>
      <c r="AO850" s="94"/>
      <c r="AP850" s="94"/>
      <c r="AQ850" s="94"/>
      <c r="AR850" s="94"/>
      <c r="AS850" s="94"/>
      <c r="AT850" s="94"/>
      <c r="AU850" s="94"/>
      <c r="AV850" s="94"/>
      <c r="AW850" s="94"/>
      <c r="AX850" s="94"/>
      <c r="AY850" s="94"/>
      <c r="AZ850" s="94"/>
      <c r="BA850" s="95"/>
    </row>
    <row r="851" spans="1:53" s="87" customFormat="1">
      <c r="A851" s="90" t="str">
        <f t="shared" si="38"/>
        <v/>
      </c>
      <c r="B851" s="98">
        <v>25</v>
      </c>
      <c r="C851" s="94" t="s">
        <v>210</v>
      </c>
      <c r="D851" s="94">
        <v>-3</v>
      </c>
      <c r="E851" s="94">
        <v>7</v>
      </c>
      <c r="F851" s="94" t="s">
        <v>210</v>
      </c>
      <c r="G851" s="94">
        <v>-6</v>
      </c>
      <c r="H851" s="94" t="s">
        <v>210</v>
      </c>
      <c r="I851" s="94" t="s">
        <v>210</v>
      </c>
      <c r="J851" s="94">
        <v>1</v>
      </c>
      <c r="K851" s="94" t="s">
        <v>210</v>
      </c>
      <c r="L851" s="94" t="s">
        <v>210</v>
      </c>
      <c r="M851" s="94">
        <v>4</v>
      </c>
      <c r="N851" s="94">
        <v>-8</v>
      </c>
      <c r="O851" s="94"/>
      <c r="P851" s="94"/>
      <c r="Q851" s="94"/>
      <c r="R851" s="94"/>
      <c r="S851" s="94"/>
      <c r="T851" s="94"/>
      <c r="U851" s="94"/>
      <c r="V851" s="94"/>
      <c r="W851" s="94"/>
      <c r="X851" s="94"/>
      <c r="Y851" s="94"/>
      <c r="Z851" s="94"/>
      <c r="AA851" s="94"/>
      <c r="AB851" s="94"/>
      <c r="AC851" s="94"/>
      <c r="AD851" s="94"/>
      <c r="AE851" s="94"/>
      <c r="AF851" s="94"/>
      <c r="AG851" s="94"/>
      <c r="AH851" s="94"/>
      <c r="AI851" s="94"/>
      <c r="AJ851" s="94"/>
      <c r="AK851" s="94"/>
      <c r="AL851" s="94"/>
      <c r="AM851" s="94"/>
      <c r="AN851" s="94"/>
      <c r="AO851" s="94"/>
      <c r="AP851" s="94"/>
      <c r="AQ851" s="94"/>
      <c r="AR851" s="94"/>
      <c r="AS851" s="94"/>
      <c r="AT851" s="94"/>
      <c r="AU851" s="94"/>
      <c r="AV851" s="94"/>
      <c r="AW851" s="94"/>
      <c r="AX851" s="94"/>
      <c r="AY851" s="94"/>
      <c r="AZ851" s="94"/>
      <c r="BA851" s="95"/>
    </row>
    <row r="852" spans="1:53" s="87" customFormat="1">
      <c r="A852" s="90" t="str">
        <f t="shared" si="38"/>
        <v/>
      </c>
      <c r="B852" s="98">
        <v>26</v>
      </c>
      <c r="C852" s="94" t="s">
        <v>210</v>
      </c>
      <c r="D852" s="94">
        <v>2</v>
      </c>
      <c r="E852" s="94">
        <v>-8</v>
      </c>
      <c r="F852" s="94" t="s">
        <v>210</v>
      </c>
      <c r="G852" s="94">
        <v>6</v>
      </c>
      <c r="H852" s="94" t="s">
        <v>210</v>
      </c>
      <c r="I852" s="94">
        <v>-5</v>
      </c>
      <c r="J852" s="94" t="s">
        <v>210</v>
      </c>
      <c r="K852" s="94" t="s">
        <v>210</v>
      </c>
      <c r="L852" s="94">
        <v>-4</v>
      </c>
      <c r="M852" s="94" t="s">
        <v>210</v>
      </c>
      <c r="N852" s="94">
        <v>7</v>
      </c>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5"/>
    </row>
    <row r="853" spans="1:53" s="87" customFormat="1">
      <c r="A853" s="90" t="str">
        <f t="shared" si="38"/>
        <v/>
      </c>
      <c r="B853" s="98">
        <v>27</v>
      </c>
      <c r="C853" s="94">
        <v>2</v>
      </c>
      <c r="D853" s="94" t="s">
        <v>210</v>
      </c>
      <c r="E853" s="94" t="s">
        <v>210</v>
      </c>
      <c r="F853" s="94">
        <v>-8</v>
      </c>
      <c r="G853" s="94" t="s">
        <v>210</v>
      </c>
      <c r="H853" s="94" t="s">
        <v>210</v>
      </c>
      <c r="I853" s="94">
        <v>6</v>
      </c>
      <c r="J853" s="94">
        <v>-1</v>
      </c>
      <c r="K853" s="94" t="s">
        <v>210</v>
      </c>
      <c r="L853" s="94">
        <v>3</v>
      </c>
      <c r="M853" s="94" t="s">
        <v>210</v>
      </c>
      <c r="N853" s="94">
        <v>-7</v>
      </c>
      <c r="O853" s="94"/>
      <c r="P853" s="94"/>
      <c r="Q853" s="94"/>
      <c r="R853" s="94"/>
      <c r="S853" s="94"/>
      <c r="T853" s="94"/>
      <c r="U853" s="94"/>
      <c r="V853" s="94"/>
      <c r="W853" s="94"/>
      <c r="X853" s="94"/>
      <c r="Y853" s="94"/>
      <c r="Z853" s="94"/>
      <c r="AA853" s="94"/>
      <c r="AB853" s="94"/>
      <c r="AC853" s="94"/>
      <c r="AD853" s="94"/>
      <c r="AE853" s="94"/>
      <c r="AF853" s="94"/>
      <c r="AG853" s="94"/>
      <c r="AH853" s="94"/>
      <c r="AI853" s="94"/>
      <c r="AJ853" s="94"/>
      <c r="AK853" s="94"/>
      <c r="AL853" s="94"/>
      <c r="AM853" s="94"/>
      <c r="AN853" s="94"/>
      <c r="AO853" s="94"/>
      <c r="AP853" s="94"/>
      <c r="AQ853" s="94"/>
      <c r="AR853" s="94"/>
      <c r="AS853" s="94"/>
      <c r="AT853" s="94"/>
      <c r="AU853" s="94"/>
      <c r="AV853" s="94"/>
      <c r="AW853" s="94"/>
      <c r="AX853" s="94"/>
      <c r="AY853" s="94"/>
      <c r="AZ853" s="94"/>
      <c r="BA853" s="95"/>
    </row>
    <row r="854" spans="1:53" s="87" customFormat="1">
      <c r="A854" s="90" t="str">
        <f t="shared" si="38"/>
        <v/>
      </c>
      <c r="B854" s="98">
        <v>28</v>
      </c>
      <c r="C854" s="94">
        <v>-2</v>
      </c>
      <c r="D854" s="94" t="s">
        <v>210</v>
      </c>
      <c r="E854" s="94">
        <v>-7</v>
      </c>
      <c r="F854" s="94" t="s">
        <v>210</v>
      </c>
      <c r="G854" s="94" t="s">
        <v>210</v>
      </c>
      <c r="H854" s="94">
        <v>3</v>
      </c>
      <c r="I854" s="94" t="s">
        <v>210</v>
      </c>
      <c r="J854" s="94">
        <v>-6</v>
      </c>
      <c r="K854" s="94" t="s">
        <v>210</v>
      </c>
      <c r="L854" s="94">
        <v>4</v>
      </c>
      <c r="M854" s="94">
        <v>1</v>
      </c>
      <c r="N854" s="94" t="s">
        <v>210</v>
      </c>
      <c r="O854" s="94"/>
      <c r="P854" s="94"/>
      <c r="Q854" s="94"/>
      <c r="R854" s="94"/>
      <c r="S854" s="94"/>
      <c r="T854" s="94"/>
      <c r="U854" s="94"/>
      <c r="V854" s="94"/>
      <c r="W854" s="94"/>
      <c r="X854" s="94"/>
      <c r="Y854" s="94"/>
      <c r="Z854" s="94"/>
      <c r="AA854" s="94"/>
      <c r="AB854" s="94"/>
      <c r="AC854" s="94"/>
      <c r="AD854" s="94"/>
      <c r="AE854" s="94"/>
      <c r="AF854" s="94"/>
      <c r="AG854" s="94"/>
      <c r="AH854" s="94"/>
      <c r="AI854" s="94"/>
      <c r="AJ854" s="94"/>
      <c r="AK854" s="94"/>
      <c r="AL854" s="94"/>
      <c r="AM854" s="94"/>
      <c r="AN854" s="94"/>
      <c r="AO854" s="94"/>
      <c r="AP854" s="94"/>
      <c r="AQ854" s="94"/>
      <c r="AR854" s="94"/>
      <c r="AS854" s="94"/>
      <c r="AT854" s="94"/>
      <c r="AU854" s="94"/>
      <c r="AV854" s="94"/>
      <c r="AW854" s="94"/>
      <c r="AX854" s="94"/>
      <c r="AY854" s="94"/>
      <c r="AZ854" s="94"/>
      <c r="BA854" s="95"/>
    </row>
    <row r="855" spans="1:53" s="87" customFormat="1">
      <c r="A855" s="90" t="str">
        <f t="shared" si="38"/>
        <v/>
      </c>
      <c r="B855" s="98" t="s">
        <v>495</v>
      </c>
      <c r="C855" s="94"/>
      <c r="D855" s="94"/>
      <c r="E855" s="94"/>
      <c r="F855" s="94"/>
      <c r="G855" s="94"/>
      <c r="H855" s="94"/>
      <c r="I855" s="94"/>
      <c r="J855" s="94"/>
      <c r="K855" s="94"/>
      <c r="L855" s="94"/>
      <c r="M855" s="94"/>
      <c r="N855" s="94"/>
      <c r="O855" s="94"/>
      <c r="P855" s="94"/>
      <c r="Q855" s="94"/>
      <c r="R855" s="94"/>
      <c r="S855" s="94"/>
      <c r="T855" s="94"/>
      <c r="U855" s="94"/>
      <c r="V855" s="94"/>
      <c r="W855" s="94"/>
      <c r="X855" s="94"/>
      <c r="Y855" s="94"/>
      <c r="Z855" s="94"/>
      <c r="AA855" s="94"/>
      <c r="AB855" s="94"/>
      <c r="AC855" s="94"/>
      <c r="AD855" s="94"/>
      <c r="AE855" s="94"/>
      <c r="AF855" s="94"/>
      <c r="AG855" s="94"/>
      <c r="AH855" s="94"/>
      <c r="AI855" s="94"/>
      <c r="AJ855" s="94"/>
      <c r="AK855" s="94"/>
      <c r="AL855" s="94"/>
      <c r="AM855" s="94"/>
      <c r="AN855" s="94"/>
      <c r="AO855" s="94"/>
      <c r="AP855" s="94"/>
      <c r="AQ855" s="94"/>
      <c r="AR855" s="94"/>
      <c r="AS855" s="94"/>
      <c r="AT855" s="94"/>
      <c r="AU855" s="94"/>
      <c r="AV855" s="94"/>
      <c r="AW855" s="94"/>
      <c r="AX855" s="94"/>
      <c r="AY855" s="94"/>
      <c r="AZ855" s="94"/>
      <c r="BA855" s="95"/>
    </row>
    <row r="856" spans="1:53" s="87" customFormat="1">
      <c r="A856" s="90">
        <f t="shared" si="38"/>
        <v>856</v>
      </c>
      <c r="B856" s="317" t="s">
        <v>1192</v>
      </c>
      <c r="C856" s="94"/>
      <c r="D856" s="94"/>
      <c r="E856" s="94"/>
      <c r="F856" s="94"/>
      <c r="G856" s="94"/>
      <c r="H856" s="94"/>
      <c r="I856" s="94"/>
      <c r="J856" s="94"/>
      <c r="K856" s="94"/>
      <c r="L856" s="94"/>
      <c r="M856" s="94"/>
      <c r="N856" s="94"/>
      <c r="O856" s="94"/>
      <c r="P856" s="94"/>
      <c r="Q856" s="94"/>
      <c r="R856" s="94"/>
      <c r="S856" s="94"/>
      <c r="T856" s="94"/>
      <c r="U856" s="94"/>
      <c r="V856" s="94"/>
      <c r="W856" s="94"/>
      <c r="X856" s="94"/>
      <c r="Y856" s="94"/>
      <c r="Z856" s="94"/>
      <c r="AA856" s="94"/>
      <c r="AB856" s="94"/>
      <c r="AC856" s="94"/>
      <c r="AD856" s="94"/>
      <c r="AE856" s="94"/>
      <c r="AF856" s="94"/>
      <c r="AG856" s="94"/>
      <c r="AH856" s="94"/>
      <c r="AI856" s="94"/>
      <c r="AJ856" s="94"/>
      <c r="AK856" s="94"/>
      <c r="AL856" s="94"/>
      <c r="AM856" s="94"/>
      <c r="AN856" s="94"/>
      <c r="AO856" s="94"/>
      <c r="AP856" s="94"/>
      <c r="AQ856" s="94"/>
      <c r="AR856" s="94"/>
      <c r="AS856" s="94"/>
      <c r="AT856" s="94"/>
      <c r="AU856" s="94"/>
      <c r="AV856" s="94"/>
      <c r="AW856" s="94"/>
      <c r="AX856" s="94"/>
      <c r="AY856" s="94"/>
      <c r="AZ856" s="94"/>
      <c r="BA856" s="95"/>
    </row>
    <row r="857" spans="1:53" s="87" customFormat="1">
      <c r="A857" s="90" t="str">
        <f t="shared" si="38"/>
        <v/>
      </c>
      <c r="B857" s="98">
        <v>1</v>
      </c>
      <c r="C857" s="94">
        <v>-5</v>
      </c>
      <c r="D857" s="94" t="s">
        <v>210</v>
      </c>
      <c r="E857" s="94">
        <v>7</v>
      </c>
      <c r="F857" s="94">
        <v>4</v>
      </c>
      <c r="G857" s="94">
        <v>-2</v>
      </c>
      <c r="H857" s="94">
        <v>-3</v>
      </c>
      <c r="I857" s="94"/>
      <c r="J857" s="94"/>
      <c r="K857" s="94"/>
      <c r="L857" s="94"/>
      <c r="M857" s="94"/>
      <c r="N857" s="94"/>
      <c r="O857" s="94"/>
      <c r="P857" s="94"/>
      <c r="Q857" s="94"/>
      <c r="R857" s="94"/>
      <c r="S857" s="94"/>
      <c r="T857" s="94"/>
      <c r="U857" s="94"/>
      <c r="V857" s="94"/>
      <c r="W857" s="94"/>
      <c r="X857" s="94"/>
      <c r="Y857" s="94"/>
      <c r="Z857" s="94"/>
      <c r="AA857" s="94"/>
      <c r="AB857" s="94"/>
      <c r="AC857" s="94"/>
      <c r="AD857" s="94"/>
      <c r="AE857" s="94"/>
      <c r="AF857" s="94"/>
      <c r="AG857" s="94"/>
      <c r="AH857" s="94"/>
      <c r="AI857" s="94"/>
      <c r="AJ857" s="94"/>
      <c r="AK857" s="94"/>
      <c r="AL857" s="94"/>
      <c r="AM857" s="94"/>
      <c r="AN857" s="94"/>
      <c r="AO857" s="94"/>
      <c r="AP857" s="94"/>
      <c r="AQ857" s="94"/>
      <c r="AR857" s="94"/>
      <c r="AS857" s="94"/>
      <c r="AT857" s="94"/>
      <c r="AU857" s="94"/>
      <c r="AV857" s="94"/>
      <c r="AW857" s="94"/>
      <c r="AX857" s="94"/>
      <c r="AY857" s="94"/>
      <c r="AZ857" s="94"/>
      <c r="BA857" s="95"/>
    </row>
    <row r="858" spans="1:53" s="87" customFormat="1">
      <c r="A858" s="90" t="str">
        <f t="shared" si="38"/>
        <v/>
      </c>
      <c r="B858" s="98">
        <v>2</v>
      </c>
      <c r="C858" s="94" t="s">
        <v>210</v>
      </c>
      <c r="D858" s="94">
        <v>4</v>
      </c>
      <c r="E858" s="94">
        <v>8</v>
      </c>
      <c r="F858" s="94">
        <v>-7</v>
      </c>
      <c r="G858" s="94">
        <v>-6</v>
      </c>
      <c r="H858" s="94">
        <v>3</v>
      </c>
      <c r="I858" s="94"/>
      <c r="J858" s="94"/>
      <c r="K858" s="94"/>
      <c r="L858" s="94"/>
      <c r="M858" s="94"/>
      <c r="N858" s="94"/>
      <c r="O858" s="94"/>
      <c r="P858" s="94"/>
      <c r="Q858" s="94"/>
      <c r="R858" s="94"/>
      <c r="S858" s="94"/>
      <c r="T858" s="94"/>
      <c r="U858" s="94"/>
      <c r="V858" s="94"/>
      <c r="W858" s="94"/>
      <c r="X858" s="94"/>
      <c r="Y858" s="94"/>
      <c r="Z858" s="94"/>
      <c r="AA858" s="94"/>
      <c r="AB858" s="94"/>
      <c r="AC858" s="94"/>
      <c r="AD858" s="94"/>
      <c r="AE858" s="94"/>
      <c r="AF858" s="94"/>
      <c r="AG858" s="94"/>
      <c r="AH858" s="94"/>
      <c r="AI858" s="94"/>
      <c r="AJ858" s="94"/>
      <c r="AK858" s="94"/>
      <c r="AL858" s="94"/>
      <c r="AM858" s="94"/>
      <c r="AN858" s="94"/>
      <c r="AO858" s="94"/>
      <c r="AP858" s="94"/>
      <c r="AQ858" s="94"/>
      <c r="AR858" s="94"/>
      <c r="AS858" s="94"/>
      <c r="AT858" s="94"/>
      <c r="AU858" s="94"/>
      <c r="AV858" s="94"/>
      <c r="AW858" s="94"/>
      <c r="AX858" s="94"/>
      <c r="AY858" s="94"/>
      <c r="AZ858" s="94"/>
      <c r="BA858" s="95"/>
    </row>
    <row r="859" spans="1:53" s="87" customFormat="1">
      <c r="A859" s="90" t="str">
        <f t="shared" si="38"/>
        <v/>
      </c>
      <c r="B859" s="98">
        <v>3</v>
      </c>
      <c r="C859" s="94" t="s">
        <v>210</v>
      </c>
      <c r="D859" s="94">
        <v>-5</v>
      </c>
      <c r="E859" s="94">
        <v>-4</v>
      </c>
      <c r="F859" s="94">
        <v>7</v>
      </c>
      <c r="G859" s="94">
        <v>2</v>
      </c>
      <c r="H859" s="94">
        <v>-6</v>
      </c>
      <c r="I859" s="94"/>
      <c r="J859" s="94"/>
      <c r="K859" s="94"/>
      <c r="L859" s="94"/>
      <c r="M859" s="94"/>
      <c r="N859" s="94"/>
      <c r="O859" s="94"/>
      <c r="P859" s="94"/>
      <c r="Q859" s="94"/>
      <c r="R859" s="94"/>
      <c r="S859" s="94"/>
      <c r="T859" s="94"/>
      <c r="U859" s="94"/>
      <c r="V859" s="94"/>
      <c r="W859" s="94"/>
      <c r="X859" s="94"/>
      <c r="Y859" s="94"/>
      <c r="Z859" s="94"/>
      <c r="AA859" s="94"/>
      <c r="AB859" s="94"/>
      <c r="AC859" s="94"/>
      <c r="AD859" s="94"/>
      <c r="AE859" s="94"/>
      <c r="AF859" s="94"/>
      <c r="AG859" s="94"/>
      <c r="AH859" s="94"/>
      <c r="AI859" s="94"/>
      <c r="AJ859" s="94"/>
      <c r="AK859" s="94"/>
      <c r="AL859" s="94"/>
      <c r="AM859" s="94"/>
      <c r="AN859" s="94"/>
      <c r="AO859" s="94"/>
      <c r="AP859" s="94"/>
      <c r="AQ859" s="94"/>
      <c r="AR859" s="94"/>
      <c r="AS859" s="94"/>
      <c r="AT859" s="94"/>
      <c r="AU859" s="94"/>
      <c r="AV859" s="94"/>
      <c r="AW859" s="94"/>
      <c r="AX859" s="94"/>
      <c r="AY859" s="94"/>
      <c r="AZ859" s="94"/>
      <c r="BA859" s="95"/>
    </row>
    <row r="860" spans="1:53" s="87" customFormat="1">
      <c r="A860" s="90" t="str">
        <f t="shared" si="38"/>
        <v/>
      </c>
      <c r="B860" s="98">
        <v>4</v>
      </c>
      <c r="C860" s="94" t="s">
        <v>210</v>
      </c>
      <c r="D860" s="94">
        <v>-4</v>
      </c>
      <c r="E860" s="94">
        <v>-7</v>
      </c>
      <c r="F860" s="94">
        <v>1</v>
      </c>
      <c r="G860" s="94">
        <v>-3</v>
      </c>
      <c r="H860" s="94">
        <v>6</v>
      </c>
      <c r="I860" s="94"/>
      <c r="J860" s="94"/>
      <c r="K860" s="94"/>
      <c r="L860" s="94"/>
      <c r="M860" s="94"/>
      <c r="N860" s="94"/>
      <c r="O860" s="94"/>
      <c r="P860" s="94"/>
      <c r="Q860" s="94"/>
      <c r="R860" s="94"/>
      <c r="S860" s="94"/>
      <c r="T860" s="94"/>
      <c r="U860" s="94"/>
      <c r="V860" s="94"/>
      <c r="W860" s="94"/>
      <c r="X860" s="94"/>
      <c r="Y860" s="94"/>
      <c r="Z860" s="94"/>
      <c r="AA860" s="94"/>
      <c r="AB860" s="94"/>
      <c r="AC860" s="94"/>
      <c r="AD860" s="94"/>
      <c r="AE860" s="94"/>
      <c r="AF860" s="94"/>
      <c r="AG860" s="94"/>
      <c r="AH860" s="94"/>
      <c r="AI860" s="94"/>
      <c r="AJ860" s="94"/>
      <c r="AK860" s="94"/>
      <c r="AL860" s="94"/>
      <c r="AM860" s="94"/>
      <c r="AN860" s="94"/>
      <c r="AO860" s="94"/>
      <c r="AP860" s="94"/>
      <c r="AQ860" s="94"/>
      <c r="AR860" s="94"/>
      <c r="AS860" s="94"/>
      <c r="AT860" s="94"/>
      <c r="AU860" s="94"/>
      <c r="AV860" s="94"/>
      <c r="AW860" s="94"/>
      <c r="AX860" s="94"/>
      <c r="AY860" s="94"/>
      <c r="AZ860" s="94"/>
      <c r="BA860" s="95"/>
    </row>
    <row r="861" spans="1:53" s="87" customFormat="1">
      <c r="A861" s="90" t="str">
        <f t="shared" si="38"/>
        <v/>
      </c>
      <c r="B861" s="98">
        <v>5</v>
      </c>
      <c r="C861" s="94">
        <v>5</v>
      </c>
      <c r="D861" s="94" t="s">
        <v>210</v>
      </c>
      <c r="E861" s="94">
        <v>4</v>
      </c>
      <c r="F861" s="94">
        <v>-1</v>
      </c>
      <c r="G861" s="94">
        <v>6</v>
      </c>
      <c r="H861" s="94">
        <v>-2</v>
      </c>
      <c r="I861" s="94"/>
      <c r="J861" s="94"/>
      <c r="K861" s="94"/>
      <c r="L861" s="94"/>
      <c r="M861" s="94"/>
      <c r="N861" s="94"/>
      <c r="O861" s="94"/>
      <c r="P861" s="94"/>
      <c r="Q861" s="94"/>
      <c r="R861" s="94"/>
      <c r="S861" s="94"/>
      <c r="T861" s="94"/>
      <c r="U861" s="94"/>
      <c r="V861" s="94"/>
      <c r="W861" s="94"/>
      <c r="X861" s="94"/>
      <c r="Y861" s="94"/>
      <c r="Z861" s="94"/>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c r="AW861" s="94"/>
      <c r="AX861" s="94"/>
      <c r="AY861" s="94"/>
      <c r="AZ861" s="94"/>
      <c r="BA861" s="95"/>
    </row>
    <row r="862" spans="1:53" s="87" customFormat="1">
      <c r="A862" s="90" t="str">
        <f t="shared" si="38"/>
        <v/>
      </c>
      <c r="B862" s="99">
        <v>6</v>
      </c>
      <c r="C862" s="92" t="s">
        <v>210</v>
      </c>
      <c r="D862" s="92">
        <v>5</v>
      </c>
      <c r="E862" s="92">
        <v>-8</v>
      </c>
      <c r="F862" s="92">
        <v>-4</v>
      </c>
      <c r="G862" s="92">
        <v>3</v>
      </c>
      <c r="H862" s="92">
        <v>2</v>
      </c>
      <c r="I862" s="94"/>
      <c r="J862" s="94"/>
      <c r="K862" s="94"/>
      <c r="L862" s="94"/>
      <c r="M862" s="94"/>
      <c r="N862" s="94"/>
      <c r="O862" s="94"/>
      <c r="P862" s="94"/>
      <c r="Q862" s="94"/>
      <c r="R862" s="94"/>
      <c r="S862" s="94"/>
      <c r="T862" s="94"/>
      <c r="U862" s="94"/>
      <c r="V862" s="94"/>
      <c r="W862" s="94"/>
      <c r="X862" s="94"/>
      <c r="Y862" s="94"/>
      <c r="Z862" s="94"/>
      <c r="AA862" s="94"/>
      <c r="AB862" s="94"/>
      <c r="AC862" s="94"/>
      <c r="AD862" s="94"/>
      <c r="AE862" s="94"/>
      <c r="AF862" s="94"/>
      <c r="AG862" s="94"/>
      <c r="AH862" s="94"/>
      <c r="AI862" s="94"/>
      <c r="AJ862" s="94"/>
      <c r="AK862" s="94"/>
      <c r="AL862" s="94"/>
      <c r="AM862" s="94"/>
      <c r="AN862" s="94"/>
      <c r="AO862" s="94"/>
      <c r="AP862" s="94"/>
      <c r="AQ862" s="94"/>
      <c r="AR862" s="94"/>
      <c r="AS862" s="94"/>
      <c r="AT862" s="94"/>
      <c r="AU862" s="94"/>
      <c r="AV862" s="94"/>
      <c r="AW862" s="94"/>
      <c r="AX862" s="94"/>
      <c r="AY862" s="94"/>
      <c r="AZ862" s="94"/>
      <c r="BA862" s="95"/>
    </row>
    <row r="863" spans="1:53" s="87" customFormat="1">
      <c r="A863" s="90" t="str">
        <f t="shared" si="38"/>
        <v/>
      </c>
      <c r="B863" s="98">
        <v>7</v>
      </c>
      <c r="C863" s="94">
        <v>3</v>
      </c>
      <c r="D863" s="94">
        <v>-7</v>
      </c>
      <c r="E863" s="94">
        <v>1</v>
      </c>
      <c r="F863" s="94" t="s">
        <v>210</v>
      </c>
      <c r="G863" s="94">
        <v>-8</v>
      </c>
      <c r="H863" s="94">
        <v>-4</v>
      </c>
      <c r="I863" s="94"/>
      <c r="J863" s="94"/>
      <c r="K863" s="94"/>
      <c r="L863" s="94"/>
      <c r="M863" s="94"/>
      <c r="N863" s="94"/>
      <c r="O863" s="94"/>
      <c r="P863" s="94"/>
      <c r="Q863" s="94"/>
      <c r="R863" s="94"/>
      <c r="S863" s="94"/>
      <c r="T863" s="94"/>
      <c r="U863" s="94"/>
      <c r="V863" s="94"/>
      <c r="W863" s="94"/>
      <c r="X863" s="94"/>
      <c r="Y863" s="94"/>
      <c r="Z863" s="94"/>
      <c r="AA863" s="94"/>
      <c r="AB863" s="94"/>
      <c r="AC863" s="94"/>
      <c r="AD863" s="94"/>
      <c r="AE863" s="94"/>
      <c r="AF863" s="94"/>
      <c r="AG863" s="94"/>
      <c r="AH863" s="94"/>
      <c r="AI863" s="94"/>
      <c r="AJ863" s="94"/>
      <c r="AK863" s="94"/>
      <c r="AL863" s="94"/>
      <c r="AM863" s="94"/>
      <c r="AN863" s="94"/>
      <c r="AO863" s="94"/>
      <c r="AP863" s="94"/>
      <c r="AQ863" s="94"/>
      <c r="AR863" s="94"/>
      <c r="AS863" s="94"/>
      <c r="AT863" s="94"/>
      <c r="AU863" s="94"/>
      <c r="AV863" s="94"/>
      <c r="AW863" s="94"/>
      <c r="AX863" s="94"/>
      <c r="AY863" s="94"/>
      <c r="AZ863" s="94"/>
      <c r="BA863" s="95"/>
    </row>
    <row r="864" spans="1:53" s="87" customFormat="1">
      <c r="A864" s="90" t="str">
        <f t="shared" si="38"/>
        <v/>
      </c>
      <c r="B864" s="98">
        <v>8</v>
      </c>
      <c r="C864" s="94" t="s">
        <v>210</v>
      </c>
      <c r="D864" s="94">
        <v>-8</v>
      </c>
      <c r="E864" s="94">
        <v>2</v>
      </c>
      <c r="F864" s="94">
        <v>-5</v>
      </c>
      <c r="G864" s="94">
        <v>-7</v>
      </c>
      <c r="H864" s="94">
        <v>4</v>
      </c>
      <c r="I864" s="94"/>
      <c r="J864" s="94"/>
      <c r="K864" s="94"/>
      <c r="L864" s="94"/>
      <c r="M864" s="94"/>
      <c r="N864" s="94"/>
      <c r="O864" s="94"/>
      <c r="P864" s="94"/>
      <c r="Q864" s="94"/>
      <c r="R864" s="94"/>
      <c r="S864" s="94"/>
      <c r="T864" s="94"/>
      <c r="U864" s="94"/>
      <c r="V864" s="94"/>
      <c r="W864" s="94"/>
      <c r="X864" s="94"/>
      <c r="Y864" s="94"/>
      <c r="Z864" s="94"/>
      <c r="AA864" s="94"/>
      <c r="AB864" s="94"/>
      <c r="AC864" s="94"/>
      <c r="AD864" s="94"/>
      <c r="AE864" s="94"/>
      <c r="AF864" s="94"/>
      <c r="AG864" s="94"/>
      <c r="AH864" s="94"/>
      <c r="AI864" s="94"/>
      <c r="AJ864" s="94"/>
      <c r="AK864" s="94"/>
      <c r="AL864" s="94"/>
      <c r="AM864" s="94"/>
      <c r="AN864" s="94"/>
      <c r="AO864" s="94"/>
      <c r="AP864" s="94"/>
      <c r="AQ864" s="94"/>
      <c r="AR864" s="94"/>
      <c r="AS864" s="94"/>
      <c r="AT864" s="94"/>
      <c r="AU864" s="94"/>
      <c r="AV864" s="94"/>
      <c r="AW864" s="94"/>
      <c r="AX864" s="94"/>
      <c r="AY864" s="94"/>
      <c r="AZ864" s="94"/>
      <c r="BA864" s="95"/>
    </row>
    <row r="865" spans="1:53" s="87" customFormat="1">
      <c r="A865" s="90" t="str">
        <f t="shared" si="38"/>
        <v/>
      </c>
      <c r="B865" s="98">
        <v>9</v>
      </c>
      <c r="C865" s="94">
        <v>-3</v>
      </c>
      <c r="D865" s="94">
        <v>8</v>
      </c>
      <c r="E865" s="94">
        <v>6</v>
      </c>
      <c r="F865" s="94" t="s">
        <v>210</v>
      </c>
      <c r="G865" s="94">
        <v>-1</v>
      </c>
      <c r="H865" s="94">
        <v>-5</v>
      </c>
      <c r="I865" s="94"/>
      <c r="J865" s="94"/>
      <c r="K865" s="94"/>
      <c r="L865" s="94"/>
      <c r="M865" s="94"/>
      <c r="N865" s="94"/>
      <c r="O865" s="94"/>
      <c r="P865" s="94"/>
      <c r="Q865" s="94"/>
      <c r="R865" s="94"/>
      <c r="S865" s="94"/>
      <c r="T865" s="94"/>
      <c r="U865" s="94"/>
      <c r="V865" s="94"/>
      <c r="W865" s="94"/>
      <c r="X865" s="94"/>
      <c r="Y865" s="94"/>
      <c r="Z865" s="94"/>
      <c r="AA865" s="94"/>
      <c r="AB865" s="94"/>
      <c r="AC865" s="94"/>
      <c r="AD865" s="94"/>
      <c r="AE865" s="94"/>
      <c r="AF865" s="94"/>
      <c r="AG865" s="94"/>
      <c r="AH865" s="94"/>
      <c r="AI865" s="94"/>
      <c r="AJ865" s="94"/>
      <c r="AK865" s="94"/>
      <c r="AL865" s="94"/>
      <c r="AM865" s="94"/>
      <c r="AN865" s="94"/>
      <c r="AO865" s="94"/>
      <c r="AP865" s="94"/>
      <c r="AQ865" s="94"/>
      <c r="AR865" s="94"/>
      <c r="AS865" s="94"/>
      <c r="AT865" s="94"/>
      <c r="AU865" s="94"/>
      <c r="AV865" s="94"/>
      <c r="AW865" s="94"/>
      <c r="AX865" s="94"/>
      <c r="AY865" s="94"/>
      <c r="AZ865" s="94"/>
      <c r="BA865" s="95"/>
    </row>
    <row r="866" spans="1:53" s="87" customFormat="1">
      <c r="A866" s="90" t="str">
        <f t="shared" si="38"/>
        <v/>
      </c>
      <c r="B866" s="98">
        <v>10</v>
      </c>
      <c r="C866" s="94" t="s">
        <v>210</v>
      </c>
      <c r="D866" s="94">
        <v>2</v>
      </c>
      <c r="E866" s="94">
        <v>-1</v>
      </c>
      <c r="F866" s="94">
        <v>-3</v>
      </c>
      <c r="G866" s="94">
        <v>7</v>
      </c>
      <c r="H866" s="94">
        <v>5</v>
      </c>
      <c r="I866" s="94"/>
      <c r="J866" s="94"/>
      <c r="K866" s="94"/>
      <c r="L866" s="94"/>
      <c r="M866" s="94"/>
      <c r="N866" s="94"/>
      <c r="O866" s="94"/>
      <c r="P866" s="94"/>
      <c r="Q866" s="94"/>
      <c r="R866" s="94"/>
      <c r="S866" s="94"/>
      <c r="T866" s="94"/>
      <c r="U866" s="94"/>
      <c r="V866" s="94"/>
      <c r="W866" s="94"/>
      <c r="X866" s="94"/>
      <c r="Y866" s="94"/>
      <c r="Z866" s="94"/>
      <c r="AA866" s="94"/>
      <c r="AB866" s="94"/>
      <c r="AC866" s="94"/>
      <c r="AD866" s="94"/>
      <c r="AE866" s="94"/>
      <c r="AF866" s="94"/>
      <c r="AG866" s="94"/>
      <c r="AH866" s="94"/>
      <c r="AI866" s="94"/>
      <c r="AJ866" s="94"/>
      <c r="AK866" s="94"/>
      <c r="AL866" s="94"/>
      <c r="AM866" s="94"/>
      <c r="AN866" s="94"/>
      <c r="AO866" s="94"/>
      <c r="AP866" s="94"/>
      <c r="AQ866" s="94"/>
      <c r="AR866" s="94"/>
      <c r="AS866" s="94"/>
      <c r="AT866" s="94"/>
      <c r="AU866" s="94"/>
      <c r="AV866" s="94"/>
      <c r="AW866" s="94"/>
      <c r="AX866" s="94"/>
      <c r="AY866" s="94"/>
      <c r="AZ866" s="94"/>
      <c r="BA866" s="95"/>
    </row>
    <row r="867" spans="1:53" s="87" customFormat="1">
      <c r="A867" s="90" t="str">
        <f t="shared" si="38"/>
        <v/>
      </c>
      <c r="B867" s="98">
        <v>11</v>
      </c>
      <c r="C867" s="94">
        <v>4</v>
      </c>
      <c r="D867" s="94">
        <v>-2</v>
      </c>
      <c r="E867" s="94">
        <v>-6</v>
      </c>
      <c r="F867" s="94">
        <v>5</v>
      </c>
      <c r="G867" s="94">
        <v>8</v>
      </c>
      <c r="H867" s="94" t="s">
        <v>210</v>
      </c>
      <c r="I867" s="94"/>
      <c r="J867" s="94"/>
      <c r="K867" s="94"/>
      <c r="L867" s="94"/>
      <c r="M867" s="94"/>
      <c r="N867" s="94"/>
      <c r="O867" s="94"/>
      <c r="P867" s="94"/>
      <c r="Q867" s="94"/>
      <c r="R867" s="94"/>
      <c r="S867" s="94"/>
      <c r="T867" s="94"/>
      <c r="U867" s="94"/>
      <c r="V867" s="94"/>
      <c r="W867" s="94"/>
      <c r="X867" s="94"/>
      <c r="Y867" s="94"/>
      <c r="Z867" s="94"/>
      <c r="AA867" s="94"/>
      <c r="AB867" s="94"/>
      <c r="AC867" s="94"/>
      <c r="AD867" s="94"/>
      <c r="AE867" s="94"/>
      <c r="AF867" s="94"/>
      <c r="AG867" s="94"/>
      <c r="AH867" s="94"/>
      <c r="AI867" s="94"/>
      <c r="AJ867" s="94"/>
      <c r="AK867" s="94"/>
      <c r="AL867" s="94"/>
      <c r="AM867" s="94"/>
      <c r="AN867" s="94"/>
      <c r="AO867" s="94"/>
      <c r="AP867" s="94"/>
      <c r="AQ867" s="94"/>
      <c r="AR867" s="94"/>
      <c r="AS867" s="94"/>
      <c r="AT867" s="94"/>
      <c r="AU867" s="94"/>
      <c r="AV867" s="94"/>
      <c r="AW867" s="94"/>
      <c r="AX867" s="94"/>
      <c r="AY867" s="94"/>
      <c r="AZ867" s="94"/>
      <c r="BA867" s="95"/>
    </row>
    <row r="868" spans="1:53" s="87" customFormat="1">
      <c r="A868" s="90" t="str">
        <f t="shared" si="38"/>
        <v/>
      </c>
      <c r="B868" s="99">
        <v>12</v>
      </c>
      <c r="C868" s="92">
        <v>-4</v>
      </c>
      <c r="D868" s="92">
        <v>7</v>
      </c>
      <c r="E868" s="92">
        <v>-2</v>
      </c>
      <c r="F868" s="92">
        <v>3</v>
      </c>
      <c r="G868" s="92">
        <v>1</v>
      </c>
      <c r="H868" s="92" t="s">
        <v>210</v>
      </c>
      <c r="I868" s="94"/>
      <c r="J868" s="94"/>
      <c r="K868" s="94"/>
      <c r="L868" s="94"/>
      <c r="M868" s="94"/>
      <c r="N868" s="94"/>
      <c r="O868" s="94"/>
      <c r="P868" s="94"/>
      <c r="Q868" s="94"/>
      <c r="R868" s="94"/>
      <c r="S868" s="94"/>
      <c r="T868" s="94"/>
      <c r="U868" s="94"/>
      <c r="V868" s="94"/>
      <c r="W868" s="94"/>
      <c r="X868" s="94"/>
      <c r="Y868" s="94"/>
      <c r="Z868" s="94"/>
      <c r="AA868" s="94"/>
      <c r="AB868" s="94"/>
      <c r="AC868" s="94"/>
      <c r="AD868" s="94"/>
      <c r="AE868" s="94"/>
      <c r="AF868" s="94"/>
      <c r="AG868" s="94"/>
      <c r="AH868" s="94"/>
      <c r="AI868" s="94"/>
      <c r="AJ868" s="94"/>
      <c r="AK868" s="94"/>
      <c r="AL868" s="94"/>
      <c r="AM868" s="94"/>
      <c r="AN868" s="94"/>
      <c r="AO868" s="94"/>
      <c r="AP868" s="94"/>
      <c r="AQ868" s="94"/>
      <c r="AR868" s="94"/>
      <c r="AS868" s="94"/>
      <c r="AT868" s="94"/>
      <c r="AU868" s="94"/>
      <c r="AV868" s="94"/>
      <c r="AW868" s="94"/>
      <c r="AX868" s="94"/>
      <c r="AY868" s="94"/>
      <c r="AZ868" s="94"/>
      <c r="BA868" s="95"/>
    </row>
    <row r="869" spans="1:53" s="87" customFormat="1">
      <c r="A869" s="90" t="str">
        <f t="shared" si="38"/>
        <v/>
      </c>
      <c r="B869" s="98">
        <v>13</v>
      </c>
      <c r="C869" s="94" t="s">
        <v>210</v>
      </c>
      <c r="D869" s="94">
        <v>-1</v>
      </c>
      <c r="E869" s="94">
        <v>3</v>
      </c>
      <c r="F869" s="94">
        <v>6</v>
      </c>
      <c r="G869" s="94">
        <v>-5</v>
      </c>
      <c r="H869" s="94">
        <v>-7</v>
      </c>
      <c r="I869" s="94"/>
      <c r="J869" s="94"/>
      <c r="K869" s="94"/>
      <c r="L869" s="94"/>
      <c r="M869" s="94"/>
      <c r="N869" s="94"/>
      <c r="O869" s="94"/>
      <c r="P869" s="94"/>
      <c r="Q869" s="94"/>
      <c r="R869" s="94"/>
      <c r="S869" s="94"/>
      <c r="T869" s="94"/>
      <c r="U869" s="94"/>
      <c r="V869" s="94"/>
      <c r="W869" s="94"/>
      <c r="X869" s="94"/>
      <c r="Y869" s="94"/>
      <c r="Z869" s="94"/>
      <c r="AA869" s="94"/>
      <c r="AB869" s="94"/>
      <c r="AC869" s="94"/>
      <c r="AD869" s="94"/>
      <c r="AE869" s="94"/>
      <c r="AF869" s="94"/>
      <c r="AG869" s="94"/>
      <c r="AH869" s="94"/>
      <c r="AI869" s="94"/>
      <c r="AJ869" s="94"/>
      <c r="AK869" s="94"/>
      <c r="AL869" s="94"/>
      <c r="AM869" s="94"/>
      <c r="AN869" s="94"/>
      <c r="AO869" s="94"/>
      <c r="AP869" s="94"/>
      <c r="AQ869" s="94"/>
      <c r="AR869" s="94"/>
      <c r="AS869" s="94"/>
      <c r="AT869" s="94"/>
      <c r="AU869" s="94"/>
      <c r="AV869" s="94"/>
      <c r="AW869" s="94"/>
      <c r="AX869" s="94"/>
      <c r="AY869" s="94"/>
      <c r="AZ869" s="94"/>
      <c r="BA869" s="95"/>
    </row>
    <row r="870" spans="1:53" s="87" customFormat="1">
      <c r="A870" s="90" t="str">
        <f t="shared" si="38"/>
        <v/>
      </c>
      <c r="B870" s="98">
        <v>14</v>
      </c>
      <c r="C870" s="94" t="s">
        <v>210</v>
      </c>
      <c r="D870" s="94">
        <v>6</v>
      </c>
      <c r="E870" s="94">
        <v>5</v>
      </c>
      <c r="F870" s="94">
        <v>-8</v>
      </c>
      <c r="G870" s="94">
        <v>-4</v>
      </c>
      <c r="H870" s="94">
        <v>7</v>
      </c>
      <c r="I870" s="94"/>
      <c r="J870" s="94"/>
      <c r="K870" s="94"/>
      <c r="L870" s="94"/>
      <c r="M870" s="94"/>
      <c r="N870" s="94"/>
      <c r="O870" s="94"/>
      <c r="P870" s="94"/>
      <c r="Q870" s="94"/>
      <c r="R870" s="94"/>
      <c r="S870" s="94"/>
      <c r="T870" s="94"/>
      <c r="U870" s="94"/>
      <c r="V870" s="94"/>
      <c r="W870" s="94"/>
      <c r="X870" s="94"/>
      <c r="Y870" s="94"/>
      <c r="Z870" s="94"/>
      <c r="AA870" s="94"/>
      <c r="AB870" s="94"/>
      <c r="AC870" s="94"/>
      <c r="AD870" s="94"/>
      <c r="AE870" s="94"/>
      <c r="AF870" s="94"/>
      <c r="AG870" s="94"/>
      <c r="AH870" s="94"/>
      <c r="AI870" s="94"/>
      <c r="AJ870" s="94"/>
      <c r="AK870" s="94"/>
      <c r="AL870" s="94"/>
      <c r="AM870" s="94"/>
      <c r="AN870" s="94"/>
      <c r="AO870" s="94"/>
      <c r="AP870" s="94"/>
      <c r="AQ870" s="94"/>
      <c r="AR870" s="94"/>
      <c r="AS870" s="94"/>
      <c r="AT870" s="94"/>
      <c r="AU870" s="94"/>
      <c r="AV870" s="94"/>
      <c r="AW870" s="94"/>
      <c r="AX870" s="94"/>
      <c r="AY870" s="94"/>
      <c r="AZ870" s="94"/>
      <c r="BA870" s="95"/>
    </row>
    <row r="871" spans="1:53" s="87" customFormat="1">
      <c r="A871" s="90" t="str">
        <f t="shared" si="38"/>
        <v/>
      </c>
      <c r="B871" s="98">
        <v>15</v>
      </c>
      <c r="C871" s="94">
        <v>-6</v>
      </c>
      <c r="D871" s="94">
        <v>-3</v>
      </c>
      <c r="E871" s="94" t="s">
        <v>210</v>
      </c>
      <c r="F871" s="94">
        <v>8</v>
      </c>
      <c r="G871" s="94">
        <v>5</v>
      </c>
      <c r="H871" s="94">
        <v>-1</v>
      </c>
      <c r="I871" s="94"/>
      <c r="J871" s="94"/>
      <c r="K871" s="94"/>
      <c r="L871" s="94"/>
      <c r="M871" s="94"/>
      <c r="N871" s="94"/>
      <c r="O871" s="94"/>
      <c r="P871" s="94"/>
      <c r="Q871" s="94"/>
      <c r="R871" s="94"/>
      <c r="S871" s="94"/>
      <c r="T871" s="94"/>
      <c r="U871" s="94"/>
      <c r="V871" s="94"/>
      <c r="W871" s="94"/>
      <c r="X871" s="94"/>
      <c r="Y871" s="94"/>
      <c r="Z871" s="94"/>
      <c r="AA871" s="94"/>
      <c r="AB871" s="94"/>
      <c r="AC871" s="94"/>
      <c r="AD871" s="94"/>
      <c r="AE871" s="94"/>
      <c r="AF871" s="94"/>
      <c r="AG871" s="94"/>
      <c r="AH871" s="94"/>
      <c r="AI871" s="94"/>
      <c r="AJ871" s="94"/>
      <c r="AK871" s="94"/>
      <c r="AL871" s="94"/>
      <c r="AM871" s="94"/>
      <c r="AN871" s="94"/>
      <c r="AO871" s="94"/>
      <c r="AP871" s="94"/>
      <c r="AQ871" s="94"/>
      <c r="AR871" s="94"/>
      <c r="AS871" s="94"/>
      <c r="AT871" s="94"/>
      <c r="AU871" s="94"/>
      <c r="AV871" s="94"/>
      <c r="AW871" s="94"/>
      <c r="AX871" s="94"/>
      <c r="AY871" s="94"/>
      <c r="AZ871" s="94"/>
      <c r="BA871" s="95"/>
    </row>
    <row r="872" spans="1:53" s="87" customFormat="1">
      <c r="A872" s="90" t="str">
        <f t="shared" si="38"/>
        <v/>
      </c>
      <c r="B872" s="98">
        <v>16</v>
      </c>
      <c r="C872" s="94">
        <v>7</v>
      </c>
      <c r="D872" s="94">
        <v>-6</v>
      </c>
      <c r="E872" s="94">
        <v>-3</v>
      </c>
      <c r="F872" s="94">
        <v>2</v>
      </c>
      <c r="G872" s="94" t="s">
        <v>210</v>
      </c>
      <c r="H872" s="94">
        <v>1</v>
      </c>
      <c r="I872" s="94"/>
      <c r="J872" s="94"/>
      <c r="K872" s="94"/>
      <c r="L872" s="94"/>
      <c r="M872" s="94"/>
      <c r="N872" s="94"/>
      <c r="O872" s="94"/>
      <c r="P872" s="94"/>
      <c r="Q872" s="94"/>
      <c r="R872" s="94"/>
      <c r="S872" s="94"/>
      <c r="T872" s="94"/>
      <c r="U872" s="94"/>
      <c r="V872" s="94"/>
      <c r="W872" s="94"/>
      <c r="X872" s="94"/>
      <c r="Y872" s="94"/>
      <c r="Z872" s="94"/>
      <c r="AA872" s="94"/>
      <c r="AB872" s="94"/>
      <c r="AC872" s="94"/>
      <c r="AD872" s="94"/>
      <c r="AE872" s="94"/>
      <c r="AF872" s="94"/>
      <c r="AG872" s="94"/>
      <c r="AH872" s="94"/>
      <c r="AI872" s="94"/>
      <c r="AJ872" s="94"/>
      <c r="AK872" s="94"/>
      <c r="AL872" s="94"/>
      <c r="AM872" s="94"/>
      <c r="AN872" s="94"/>
      <c r="AO872" s="94"/>
      <c r="AP872" s="94"/>
      <c r="AQ872" s="94"/>
      <c r="AR872" s="94"/>
      <c r="AS872" s="94"/>
      <c r="AT872" s="94"/>
      <c r="AU872" s="94"/>
      <c r="AV872" s="94"/>
      <c r="AW872" s="94"/>
      <c r="AX872" s="94"/>
      <c r="AY872" s="94"/>
      <c r="AZ872" s="94"/>
      <c r="BA872" s="95"/>
    </row>
    <row r="873" spans="1:53" s="87" customFormat="1">
      <c r="A873" s="90" t="str">
        <f t="shared" si="38"/>
        <v/>
      </c>
      <c r="B873" s="98">
        <v>17</v>
      </c>
      <c r="C873" s="94">
        <v>6</v>
      </c>
      <c r="D873" s="94">
        <v>1</v>
      </c>
      <c r="E873" s="94" t="s">
        <v>210</v>
      </c>
      <c r="F873" s="94">
        <v>-2</v>
      </c>
      <c r="G873" s="94">
        <v>4</v>
      </c>
      <c r="H873" s="94">
        <v>-8</v>
      </c>
      <c r="I873" s="94"/>
      <c r="J873" s="94"/>
      <c r="K873" s="94"/>
      <c r="L873" s="94"/>
      <c r="M873" s="94"/>
      <c r="N873" s="94"/>
      <c r="O873" s="94"/>
      <c r="P873" s="94"/>
      <c r="Q873" s="94"/>
      <c r="R873" s="94"/>
      <c r="S873" s="94"/>
      <c r="T873" s="94"/>
      <c r="U873" s="94"/>
      <c r="V873" s="94"/>
      <c r="W873" s="94"/>
      <c r="X873" s="94"/>
      <c r="Y873" s="94"/>
      <c r="Z873" s="94"/>
      <c r="AA873" s="94"/>
      <c r="AB873" s="94"/>
      <c r="AC873" s="94"/>
      <c r="AD873" s="94"/>
      <c r="AE873" s="94"/>
      <c r="AF873" s="94"/>
      <c r="AG873" s="94"/>
      <c r="AH873" s="94"/>
      <c r="AI873" s="94"/>
      <c r="AJ873" s="94"/>
      <c r="AK873" s="94"/>
      <c r="AL873" s="94"/>
      <c r="AM873" s="94"/>
      <c r="AN873" s="94"/>
      <c r="AO873" s="94"/>
      <c r="AP873" s="94"/>
      <c r="AQ873" s="94"/>
      <c r="AR873" s="94"/>
      <c r="AS873" s="94"/>
      <c r="AT873" s="94"/>
      <c r="AU873" s="94"/>
      <c r="AV873" s="94"/>
      <c r="AW873" s="94"/>
      <c r="AX873" s="94"/>
      <c r="AY873" s="94"/>
      <c r="AZ873" s="94"/>
      <c r="BA873" s="95"/>
    </row>
    <row r="874" spans="1:53" s="87" customFormat="1">
      <c r="A874" s="90" t="str">
        <f t="shared" si="38"/>
        <v/>
      </c>
      <c r="B874" s="98">
        <v>18</v>
      </c>
      <c r="C874" s="94">
        <v>-7</v>
      </c>
      <c r="D874" s="94">
        <v>3</v>
      </c>
      <c r="E874" s="94">
        <v>-5</v>
      </c>
      <c r="F874" s="94">
        <v>-6</v>
      </c>
      <c r="G874" s="94" t="s">
        <v>210</v>
      </c>
      <c r="H874" s="94">
        <v>8</v>
      </c>
      <c r="I874" s="94"/>
      <c r="J874" s="94"/>
      <c r="K874" s="94"/>
      <c r="L874" s="94"/>
      <c r="M874" s="94"/>
      <c r="N874" s="94"/>
      <c r="O874" s="94"/>
      <c r="P874" s="94"/>
      <c r="Q874" s="94"/>
      <c r="R874" s="94"/>
      <c r="S874" s="94"/>
      <c r="T874" s="94"/>
      <c r="U874" s="94"/>
      <c r="V874" s="94"/>
      <c r="W874" s="94"/>
      <c r="X874" s="94"/>
      <c r="Y874" s="94"/>
      <c r="Z874" s="94"/>
      <c r="AA874" s="94"/>
      <c r="AB874" s="94"/>
      <c r="AC874" s="94"/>
      <c r="AD874" s="94"/>
      <c r="AE874" s="94"/>
      <c r="AF874" s="94"/>
      <c r="AG874" s="94"/>
      <c r="AH874" s="94"/>
      <c r="AI874" s="94"/>
      <c r="AJ874" s="94"/>
      <c r="AK874" s="94"/>
      <c r="AL874" s="94"/>
      <c r="AM874" s="94"/>
      <c r="AN874" s="94"/>
      <c r="AO874" s="94"/>
      <c r="AP874" s="94"/>
      <c r="AQ874" s="94"/>
      <c r="AR874" s="94"/>
      <c r="AS874" s="94"/>
      <c r="AT874" s="94"/>
      <c r="AU874" s="94"/>
      <c r="AV874" s="94"/>
      <c r="AW874" s="94"/>
      <c r="AX874" s="94"/>
      <c r="AY874" s="94"/>
      <c r="AZ874" s="94"/>
      <c r="BA874" s="95"/>
    </row>
    <row r="875" spans="1:53" s="87" customFormat="1">
      <c r="A875" s="90" t="str">
        <f t="shared" si="38"/>
        <v/>
      </c>
      <c r="B875" s="257" t="s">
        <v>809</v>
      </c>
      <c r="C875" s="94"/>
      <c r="D875" s="94"/>
      <c r="E875" s="94"/>
      <c r="F875" s="94"/>
      <c r="G875" s="94"/>
      <c r="H875" s="94"/>
      <c r="I875" s="94"/>
      <c r="J875" s="94"/>
      <c r="K875" s="94"/>
      <c r="L875" s="94"/>
      <c r="M875" s="94"/>
      <c r="N875" s="94"/>
      <c r="O875" s="94"/>
      <c r="P875" s="94"/>
      <c r="Q875" s="94"/>
      <c r="R875" s="94"/>
      <c r="S875" s="94"/>
      <c r="T875" s="94"/>
      <c r="U875" s="94"/>
      <c r="V875" s="94"/>
      <c r="W875" s="94"/>
      <c r="X875" s="94"/>
      <c r="Y875" s="94"/>
      <c r="Z875" s="94"/>
      <c r="AA875" s="94"/>
      <c r="AB875" s="94"/>
      <c r="AC875" s="94"/>
      <c r="AD875" s="94"/>
      <c r="AE875" s="94"/>
      <c r="AF875" s="94"/>
      <c r="AG875" s="94"/>
      <c r="AH875" s="94"/>
      <c r="AI875" s="94"/>
      <c r="AJ875" s="94"/>
      <c r="AK875" s="94"/>
      <c r="AL875" s="94"/>
      <c r="AM875" s="94"/>
      <c r="AN875" s="94"/>
      <c r="AO875" s="94"/>
      <c r="AP875" s="94"/>
      <c r="AQ875" s="94"/>
      <c r="AR875" s="94"/>
      <c r="AS875" s="94"/>
      <c r="AT875" s="94"/>
      <c r="AU875" s="94"/>
      <c r="AV875" s="94"/>
      <c r="AW875" s="94"/>
      <c r="AX875" s="94"/>
      <c r="AY875" s="94"/>
      <c r="AZ875" s="94"/>
      <c r="BA875" s="95"/>
    </row>
    <row r="876" spans="1:53" s="87" customFormat="1" ht="13">
      <c r="A876" s="90">
        <f t="shared" si="38"/>
        <v>876</v>
      </c>
      <c r="B876" t="s">
        <v>813</v>
      </c>
      <c r="C876" s="94"/>
      <c r="D876" s="94"/>
      <c r="E876" s="94"/>
      <c r="F876" s="94"/>
      <c r="G876" s="94"/>
      <c r="H876" s="94"/>
      <c r="I876" s="94"/>
      <c r="J876" s="94"/>
      <c r="K876" s="94"/>
      <c r="L876" s="94"/>
      <c r="M876" s="94"/>
      <c r="N876" s="94"/>
      <c r="O876" s="94"/>
      <c r="P876" s="94"/>
      <c r="Q876" s="94"/>
      <c r="R876" s="94"/>
      <c r="S876" s="94"/>
      <c r="T876" s="94"/>
      <c r="U876" s="94"/>
      <c r="V876" s="94"/>
      <c r="W876" s="94"/>
      <c r="X876" s="94"/>
      <c r="Y876" s="94"/>
      <c r="Z876" s="94"/>
      <c r="AA876" s="94"/>
      <c r="AB876" s="94"/>
      <c r="AC876" s="94"/>
      <c r="AD876" s="94"/>
      <c r="AE876" s="94"/>
      <c r="AF876" s="94"/>
      <c r="AG876" s="94"/>
      <c r="AH876" s="94"/>
      <c r="AI876" s="94"/>
      <c r="AJ876" s="94"/>
      <c r="AK876" s="94"/>
      <c r="AL876" s="94"/>
      <c r="AM876" s="94"/>
      <c r="AN876" s="94"/>
      <c r="AO876" s="94"/>
      <c r="AP876" s="94"/>
      <c r="AQ876" s="94"/>
      <c r="AR876" s="94"/>
      <c r="AS876" s="94"/>
      <c r="AT876" s="94"/>
      <c r="AU876" s="94"/>
      <c r="AV876" s="94"/>
      <c r="AW876" s="94"/>
      <c r="AX876" s="94"/>
      <c r="AY876" s="94"/>
      <c r="AZ876" s="94"/>
      <c r="BA876" s="95"/>
    </row>
    <row r="877" spans="1:53" s="87" customFormat="1" ht="13">
      <c r="A877" s="90" t="str">
        <f t="shared" si="38"/>
        <v/>
      </c>
      <c r="B877">
        <v>1</v>
      </c>
      <c r="C877" s="94">
        <v>-5</v>
      </c>
      <c r="D877" s="94" t="s">
        <v>210</v>
      </c>
      <c r="E877" s="94" t="s">
        <v>210</v>
      </c>
      <c r="F877" s="94">
        <v>7</v>
      </c>
      <c r="G877" s="94">
        <v>1</v>
      </c>
      <c r="H877" s="94" t="s">
        <v>210</v>
      </c>
      <c r="I877" s="94" t="s">
        <v>210</v>
      </c>
      <c r="J877" s="94">
        <v>-2</v>
      </c>
      <c r="K877" s="94">
        <v>-4</v>
      </c>
      <c r="L877" s="94" t="s">
        <v>210</v>
      </c>
      <c r="M877" s="94" t="s">
        <v>210</v>
      </c>
      <c r="N877" s="94">
        <v>2</v>
      </c>
      <c r="O877" s="94">
        <v>6</v>
      </c>
      <c r="P877" s="94" t="s">
        <v>210</v>
      </c>
      <c r="Q877" s="94"/>
      <c r="R877" s="94"/>
      <c r="S877" s="94"/>
      <c r="T877" s="94"/>
      <c r="U877" s="94"/>
      <c r="V877" s="94"/>
      <c r="W877" s="94"/>
      <c r="X877" s="94"/>
      <c r="Y877" s="94"/>
      <c r="Z877" s="94"/>
      <c r="AA877" s="94"/>
      <c r="AB877" s="94"/>
      <c r="AC877" s="94"/>
      <c r="AD877" s="94"/>
      <c r="AE877" s="94"/>
      <c r="AF877" s="94"/>
      <c r="AG877" s="94"/>
      <c r="AH877" s="94"/>
      <c r="AI877" s="94"/>
      <c r="AJ877" s="94"/>
      <c r="AK877" s="94"/>
      <c r="AL877" s="94"/>
      <c r="AM877" s="94"/>
      <c r="AN877" s="94"/>
      <c r="AO877" s="94"/>
      <c r="AP877" s="94"/>
      <c r="AQ877" s="94"/>
      <c r="AR877" s="94"/>
      <c r="AS877" s="94"/>
      <c r="AT877" s="94"/>
      <c r="AU877" s="94"/>
      <c r="AV877" s="94"/>
      <c r="AW877" s="94"/>
      <c r="AX877" s="94"/>
      <c r="AY877" s="94"/>
      <c r="AZ877" s="94"/>
      <c r="BA877" s="95"/>
    </row>
    <row r="878" spans="1:53" s="87" customFormat="1">
      <c r="A878" s="90" t="str">
        <f t="shared" si="38"/>
        <v/>
      </c>
      <c r="B878" s="98">
        <v>2</v>
      </c>
      <c r="C878" s="94">
        <v>-2</v>
      </c>
      <c r="D878" s="94" t="s">
        <v>210</v>
      </c>
      <c r="E878" s="94" t="s">
        <v>210</v>
      </c>
      <c r="F878" s="94">
        <v>-8</v>
      </c>
      <c r="G878" s="94">
        <v>4</v>
      </c>
      <c r="H878" s="94" t="s">
        <v>210</v>
      </c>
      <c r="I878" s="94" t="s">
        <v>210</v>
      </c>
      <c r="J878" s="94">
        <v>-7</v>
      </c>
      <c r="K878" s="94">
        <v>5</v>
      </c>
      <c r="L878" s="94" t="s">
        <v>210</v>
      </c>
      <c r="M878" s="94" t="s">
        <v>210</v>
      </c>
      <c r="N878" s="94">
        <v>1</v>
      </c>
      <c r="O878" s="94">
        <v>-6</v>
      </c>
      <c r="P878" s="94" t="s">
        <v>210</v>
      </c>
      <c r="Q878" s="94"/>
      <c r="R878" s="94"/>
      <c r="S878" s="94"/>
      <c r="T878" s="94"/>
      <c r="U878" s="94"/>
      <c r="V878" s="94"/>
      <c r="W878" s="94"/>
      <c r="X878" s="94"/>
      <c r="Y878" s="94"/>
      <c r="Z878" s="94"/>
      <c r="AA878" s="94"/>
      <c r="AB878" s="94"/>
      <c r="AC878" s="94"/>
      <c r="AD878" s="94"/>
      <c r="AE878" s="94"/>
      <c r="AF878" s="94"/>
      <c r="AG878" s="94"/>
      <c r="AH878" s="94"/>
      <c r="AI878" s="94"/>
      <c r="AJ878" s="94"/>
      <c r="AK878" s="94"/>
      <c r="AL878" s="94"/>
      <c r="AM878" s="94"/>
      <c r="AN878" s="94"/>
      <c r="AO878" s="94"/>
      <c r="AP878" s="94"/>
      <c r="AQ878" s="94"/>
      <c r="AR878" s="94"/>
      <c r="AS878" s="94"/>
      <c r="AT878" s="94"/>
      <c r="AU878" s="94"/>
      <c r="AV878" s="94"/>
      <c r="AW878" s="94"/>
      <c r="AX878" s="94"/>
      <c r="AY878" s="94"/>
      <c r="AZ878" s="94"/>
      <c r="BA878" s="95"/>
    </row>
    <row r="879" spans="1:53" s="87" customFormat="1">
      <c r="A879" s="90" t="str">
        <f t="shared" si="38"/>
        <v/>
      </c>
      <c r="B879" s="98">
        <v>3</v>
      </c>
      <c r="C879" s="94">
        <v>-6</v>
      </c>
      <c r="D879" s="94" t="s">
        <v>210</v>
      </c>
      <c r="E879" s="94" t="s">
        <v>210</v>
      </c>
      <c r="F879" s="94">
        <v>5</v>
      </c>
      <c r="G879" s="94">
        <v>3</v>
      </c>
      <c r="H879" s="94" t="s">
        <v>210</v>
      </c>
      <c r="I879" s="94" t="s">
        <v>210</v>
      </c>
      <c r="J879" s="94">
        <v>-8</v>
      </c>
      <c r="K879" s="94">
        <v>4</v>
      </c>
      <c r="L879" s="94" t="s">
        <v>210</v>
      </c>
      <c r="M879" s="94" t="s">
        <v>210</v>
      </c>
      <c r="N879" s="94">
        <v>-1</v>
      </c>
      <c r="O879" s="94">
        <v>-3</v>
      </c>
      <c r="P879" s="94" t="s">
        <v>210</v>
      </c>
      <c r="Q879" s="94"/>
      <c r="R879" s="94"/>
      <c r="S879" s="94"/>
      <c r="T879" s="94"/>
      <c r="U879" s="94"/>
      <c r="V879" s="94"/>
      <c r="W879" s="94"/>
      <c r="X879" s="94"/>
      <c r="Y879" s="94"/>
      <c r="Z879" s="94"/>
      <c r="AA879" s="94"/>
      <c r="AB879" s="94"/>
      <c r="AC879" s="94"/>
      <c r="AD879" s="94"/>
      <c r="AE879" s="94"/>
      <c r="AF879" s="94"/>
      <c r="AG879" s="94"/>
      <c r="AH879" s="94"/>
      <c r="AI879" s="94"/>
      <c r="AJ879" s="94"/>
      <c r="AK879" s="94"/>
      <c r="AL879" s="94"/>
      <c r="AM879" s="94"/>
      <c r="AN879" s="94"/>
      <c r="AO879" s="94"/>
      <c r="AP879" s="94"/>
      <c r="AQ879" s="94"/>
      <c r="AR879" s="94"/>
      <c r="AS879" s="94"/>
      <c r="AT879" s="94"/>
      <c r="AU879" s="94"/>
      <c r="AV879" s="94"/>
      <c r="AW879" s="94"/>
      <c r="AX879" s="94"/>
      <c r="AY879" s="94"/>
      <c r="AZ879" s="94"/>
      <c r="BA879" s="95"/>
    </row>
    <row r="880" spans="1:53" s="87" customFormat="1">
      <c r="A880" s="90" t="str">
        <f t="shared" si="38"/>
        <v/>
      </c>
      <c r="B880" s="98">
        <v>4</v>
      </c>
      <c r="C880" s="94">
        <v>-8</v>
      </c>
      <c r="D880" s="94" t="s">
        <v>210</v>
      </c>
      <c r="E880" s="94" t="s">
        <v>210</v>
      </c>
      <c r="F880" s="94">
        <v>-4</v>
      </c>
      <c r="G880" s="94">
        <v>5</v>
      </c>
      <c r="H880" s="94" t="s">
        <v>210</v>
      </c>
      <c r="I880" s="94" t="s">
        <v>210</v>
      </c>
      <c r="J880" s="94">
        <v>1</v>
      </c>
      <c r="K880" s="94">
        <v>-5</v>
      </c>
      <c r="L880" s="94" t="s">
        <v>210</v>
      </c>
      <c r="M880" s="94" t="s">
        <v>210</v>
      </c>
      <c r="N880" s="94">
        <v>-2</v>
      </c>
      <c r="O880" s="94">
        <v>3</v>
      </c>
      <c r="P880" s="94" t="s">
        <v>210</v>
      </c>
      <c r="Q880" s="94"/>
      <c r="R880" s="94"/>
      <c r="S880" s="94"/>
      <c r="T880" s="94"/>
      <c r="U880" s="94"/>
      <c r="V880" s="94"/>
      <c r="W880" s="94"/>
      <c r="X880" s="94"/>
      <c r="Y880" s="94"/>
      <c r="Z880" s="94"/>
      <c r="AA880" s="94"/>
      <c r="AB880" s="94"/>
      <c r="AC880" s="94"/>
      <c r="AD880" s="94"/>
      <c r="AE880" s="94"/>
      <c r="AF880" s="94"/>
      <c r="AG880" s="94"/>
      <c r="AH880" s="94"/>
      <c r="AI880" s="94"/>
      <c r="AJ880" s="94"/>
      <c r="AK880" s="94"/>
      <c r="AL880" s="94"/>
      <c r="AM880" s="94"/>
      <c r="AN880" s="94"/>
      <c r="AO880" s="94"/>
      <c r="AP880" s="94"/>
      <c r="AQ880" s="94"/>
      <c r="AR880" s="94"/>
      <c r="AS880" s="94"/>
      <c r="AT880" s="94"/>
      <c r="AU880" s="94"/>
      <c r="AV880" s="94"/>
      <c r="AW880" s="94"/>
      <c r="AX880" s="94"/>
      <c r="AY880" s="94"/>
      <c r="AZ880" s="94"/>
      <c r="BA880" s="95"/>
    </row>
    <row r="881" spans="1:53" s="87" customFormat="1">
      <c r="A881" s="90" t="str">
        <f t="shared" si="38"/>
        <v/>
      </c>
      <c r="B881" s="98">
        <v>5</v>
      </c>
      <c r="C881" s="94">
        <v>2</v>
      </c>
      <c r="D881" s="94" t="s">
        <v>210</v>
      </c>
      <c r="E881" s="94" t="s">
        <v>210</v>
      </c>
      <c r="F881" s="94">
        <v>-7</v>
      </c>
      <c r="G881" s="94">
        <v>-5</v>
      </c>
      <c r="H881" s="94" t="s">
        <v>210</v>
      </c>
      <c r="I881" s="94" t="s">
        <v>210</v>
      </c>
      <c r="J881" s="94">
        <v>8</v>
      </c>
      <c r="K881" s="94">
        <v>3</v>
      </c>
      <c r="L881" s="94" t="s">
        <v>210</v>
      </c>
      <c r="M881" s="94" t="s">
        <v>210</v>
      </c>
      <c r="N881" s="94">
        <v>-8</v>
      </c>
      <c r="O881" s="94">
        <v>-4</v>
      </c>
      <c r="P881" s="94" t="s">
        <v>210</v>
      </c>
      <c r="Q881" s="94"/>
      <c r="R881" s="94"/>
      <c r="S881" s="94"/>
      <c r="T881" s="94"/>
      <c r="U881" s="94"/>
      <c r="V881" s="94"/>
      <c r="W881" s="94"/>
      <c r="X881" s="94"/>
      <c r="Y881" s="94"/>
      <c r="Z881" s="94"/>
      <c r="AA881" s="94"/>
      <c r="AB881" s="94"/>
      <c r="AC881" s="94"/>
      <c r="AD881" s="94"/>
      <c r="AE881" s="94"/>
      <c r="AF881" s="94"/>
      <c r="AG881" s="94"/>
      <c r="AH881" s="94"/>
      <c r="AI881" s="94"/>
      <c r="AJ881" s="94"/>
      <c r="AK881" s="94"/>
      <c r="AL881" s="94"/>
      <c r="AM881" s="94"/>
      <c r="AN881" s="94"/>
      <c r="AO881" s="94"/>
      <c r="AP881" s="94"/>
      <c r="AQ881" s="94"/>
      <c r="AR881" s="94"/>
      <c r="AS881" s="94"/>
      <c r="AT881" s="94"/>
      <c r="AU881" s="94"/>
      <c r="AV881" s="94"/>
      <c r="AW881" s="94"/>
      <c r="AX881" s="94"/>
      <c r="AY881" s="94"/>
      <c r="AZ881" s="94"/>
      <c r="BA881" s="95"/>
    </row>
    <row r="882" spans="1:53" s="87" customFormat="1">
      <c r="A882" s="90" t="str">
        <f t="shared" si="38"/>
        <v/>
      </c>
      <c r="B882" s="98">
        <v>6</v>
      </c>
      <c r="C882" s="94">
        <v>5</v>
      </c>
      <c r="D882" s="94" t="s">
        <v>210</v>
      </c>
      <c r="E882" s="94" t="s">
        <v>210</v>
      </c>
      <c r="F882" s="94">
        <v>8</v>
      </c>
      <c r="G882" s="94">
        <v>-3</v>
      </c>
      <c r="H882" s="94" t="s">
        <v>210</v>
      </c>
      <c r="I882" s="94" t="s">
        <v>210</v>
      </c>
      <c r="J882" s="94">
        <v>-1</v>
      </c>
      <c r="K882" s="94">
        <v>6</v>
      </c>
      <c r="L882" s="94" t="s">
        <v>210</v>
      </c>
      <c r="M882" s="94" t="s">
        <v>210</v>
      </c>
      <c r="N882" s="94">
        <v>-7</v>
      </c>
      <c r="O882" s="94">
        <v>4</v>
      </c>
      <c r="P882" s="94" t="s">
        <v>210</v>
      </c>
      <c r="Q882" s="94"/>
      <c r="R882" s="94"/>
      <c r="S882" s="94"/>
      <c r="T882" s="94"/>
      <c r="U882" s="94"/>
      <c r="V882" s="94"/>
      <c r="W882" s="94"/>
      <c r="X882" s="94"/>
      <c r="Y882" s="94"/>
      <c r="Z882" s="94"/>
      <c r="AA882" s="94"/>
      <c r="AB882" s="94"/>
      <c r="AC882" s="94"/>
      <c r="AD882" s="94"/>
      <c r="AE882" s="94"/>
      <c r="AF882" s="94"/>
      <c r="AG882" s="94"/>
      <c r="AH882" s="94"/>
      <c r="AI882" s="94"/>
      <c r="AJ882" s="94"/>
      <c r="AK882" s="94"/>
      <c r="AL882" s="94"/>
      <c r="AM882" s="94"/>
      <c r="AN882" s="94"/>
      <c r="AO882" s="94"/>
      <c r="AP882" s="94"/>
      <c r="AQ882" s="94"/>
      <c r="AR882" s="94"/>
      <c r="AS882" s="94"/>
      <c r="AT882" s="94"/>
      <c r="AU882" s="94"/>
      <c r="AV882" s="94"/>
      <c r="AW882" s="94"/>
      <c r="AX882" s="94"/>
      <c r="AY882" s="94"/>
      <c r="AZ882" s="94"/>
      <c r="BA882" s="95"/>
    </row>
    <row r="883" spans="1:53" s="87" customFormat="1">
      <c r="A883" s="90" t="str">
        <f t="shared" si="38"/>
        <v/>
      </c>
      <c r="B883" s="98">
        <v>7</v>
      </c>
      <c r="C883" s="94">
        <v>6</v>
      </c>
      <c r="D883" s="94" t="s">
        <v>210</v>
      </c>
      <c r="E883" s="94" t="s">
        <v>210</v>
      </c>
      <c r="F883" s="94">
        <v>4</v>
      </c>
      <c r="G883" s="94">
        <v>-1</v>
      </c>
      <c r="H883" s="94" t="s">
        <v>210</v>
      </c>
      <c r="I883" s="94" t="s">
        <v>210</v>
      </c>
      <c r="J883" s="94">
        <v>7</v>
      </c>
      <c r="K883" s="94">
        <v>-6</v>
      </c>
      <c r="L883" s="94" t="s">
        <v>210</v>
      </c>
      <c r="M883" s="94" t="s">
        <v>210</v>
      </c>
      <c r="N883" s="94">
        <v>8</v>
      </c>
      <c r="O883" s="94">
        <v>-5</v>
      </c>
      <c r="P883" s="94" t="s">
        <v>210</v>
      </c>
      <c r="Q883" s="94"/>
      <c r="R883" s="94"/>
      <c r="S883" s="94"/>
      <c r="T883" s="94"/>
      <c r="U883" s="94"/>
      <c r="V883" s="94"/>
      <c r="W883" s="94"/>
      <c r="X883" s="94"/>
      <c r="Y883" s="94"/>
      <c r="Z883" s="94"/>
      <c r="AA883" s="94"/>
      <c r="AB883" s="94"/>
      <c r="AC883" s="94"/>
      <c r="AD883" s="94"/>
      <c r="AE883" s="94"/>
      <c r="AF883" s="94"/>
      <c r="AG883" s="94"/>
      <c r="AH883" s="94"/>
      <c r="AI883" s="94"/>
      <c r="AJ883" s="94"/>
      <c r="AK883" s="94"/>
      <c r="AL883" s="94"/>
      <c r="AM883" s="94"/>
      <c r="AN883" s="94"/>
      <c r="AO883" s="94"/>
      <c r="AP883" s="94"/>
      <c r="AQ883" s="94"/>
      <c r="AR883" s="94"/>
      <c r="AS883" s="94"/>
      <c r="AT883" s="94"/>
      <c r="AU883" s="94"/>
      <c r="AV883" s="94"/>
      <c r="AW883" s="94"/>
      <c r="AX883" s="94"/>
      <c r="AY883" s="94"/>
      <c r="AZ883" s="94"/>
      <c r="BA883" s="95"/>
    </row>
    <row r="884" spans="1:53" s="87" customFormat="1">
      <c r="A884" s="90" t="str">
        <f t="shared" si="38"/>
        <v/>
      </c>
      <c r="B884" s="99">
        <v>8</v>
      </c>
      <c r="C884" s="92">
        <v>8</v>
      </c>
      <c r="D884" s="92" t="s">
        <v>210</v>
      </c>
      <c r="E884" s="92" t="s">
        <v>210</v>
      </c>
      <c r="F884" s="92">
        <v>-5</v>
      </c>
      <c r="G884" s="92">
        <v>-4</v>
      </c>
      <c r="H884" s="92" t="s">
        <v>210</v>
      </c>
      <c r="I884" s="92" t="s">
        <v>210</v>
      </c>
      <c r="J884" s="92">
        <v>2</v>
      </c>
      <c r="K884" s="92">
        <v>-3</v>
      </c>
      <c r="L884" s="92" t="s">
        <v>210</v>
      </c>
      <c r="M884" s="92" t="s">
        <v>210</v>
      </c>
      <c r="N884" s="92">
        <v>7</v>
      </c>
      <c r="O884" s="92">
        <v>5</v>
      </c>
      <c r="P884" s="92" t="s">
        <v>210</v>
      </c>
      <c r="Q884" s="94"/>
      <c r="R884" s="94"/>
      <c r="S884" s="94"/>
      <c r="T884" s="94"/>
      <c r="U884" s="94"/>
      <c r="V884" s="94"/>
      <c r="W884" s="94"/>
      <c r="X884" s="94"/>
      <c r="Y884" s="94"/>
      <c r="Z884" s="94"/>
      <c r="AA884" s="94"/>
      <c r="AB884" s="94"/>
      <c r="AC884" s="94"/>
      <c r="AD884" s="94"/>
      <c r="AE884" s="94"/>
      <c r="AF884" s="94"/>
      <c r="AG884" s="94"/>
      <c r="AH884" s="94"/>
      <c r="AI884" s="94"/>
      <c r="AJ884" s="94"/>
      <c r="AK884" s="94"/>
      <c r="AL884" s="94"/>
      <c r="AM884" s="94"/>
      <c r="AN884" s="94"/>
      <c r="AO884" s="94"/>
      <c r="AP884" s="94"/>
      <c r="AQ884" s="94"/>
      <c r="AR884" s="94"/>
      <c r="AS884" s="94"/>
      <c r="AT884" s="94"/>
      <c r="AU884" s="94"/>
      <c r="AV884" s="94"/>
      <c r="AW884" s="94"/>
      <c r="AX884" s="94"/>
      <c r="AY884" s="94"/>
      <c r="AZ884" s="94"/>
      <c r="BA884" s="95"/>
    </row>
    <row r="885" spans="1:53" s="87" customFormat="1">
      <c r="A885" s="90" t="str">
        <f t="shared" si="38"/>
        <v/>
      </c>
      <c r="B885" s="98">
        <v>9</v>
      </c>
      <c r="C885" s="94" t="s">
        <v>210</v>
      </c>
      <c r="D885" s="94">
        <v>1</v>
      </c>
      <c r="E885" s="94">
        <v>6</v>
      </c>
      <c r="F885" s="94" t="s">
        <v>210</v>
      </c>
      <c r="G885" s="94" t="s">
        <v>210</v>
      </c>
      <c r="H885" s="94">
        <v>-4</v>
      </c>
      <c r="I885" s="94">
        <v>-7</v>
      </c>
      <c r="J885" s="94" t="s">
        <v>210</v>
      </c>
      <c r="K885" s="94" t="s">
        <v>210</v>
      </c>
      <c r="L885" s="94">
        <v>5</v>
      </c>
      <c r="M885" s="94">
        <v>-8</v>
      </c>
      <c r="N885" s="94" t="s">
        <v>210</v>
      </c>
      <c r="O885" s="94" t="s">
        <v>210</v>
      </c>
      <c r="P885" s="94">
        <v>-3</v>
      </c>
      <c r="Q885" s="94"/>
      <c r="R885" s="94"/>
      <c r="S885" s="94"/>
      <c r="T885" s="94"/>
      <c r="U885" s="94"/>
      <c r="V885" s="94"/>
      <c r="W885" s="94"/>
      <c r="X885" s="94"/>
      <c r="Y885" s="94"/>
      <c r="Z885" s="94"/>
      <c r="AA885" s="94"/>
      <c r="AB885" s="94"/>
      <c r="AC885" s="94"/>
      <c r="AD885" s="94"/>
      <c r="AE885" s="94"/>
      <c r="AF885" s="94"/>
      <c r="AG885" s="94"/>
      <c r="AH885" s="94"/>
      <c r="AI885" s="94"/>
      <c r="AJ885" s="94"/>
      <c r="AK885" s="94"/>
      <c r="AL885" s="94"/>
      <c r="AM885" s="94"/>
      <c r="AN885" s="94"/>
      <c r="AO885" s="94"/>
      <c r="AP885" s="94"/>
      <c r="AQ885" s="94"/>
      <c r="AR885" s="94"/>
      <c r="AS885" s="94"/>
      <c r="AT885" s="94"/>
      <c r="AU885" s="94"/>
      <c r="AV885" s="94"/>
      <c r="AW885" s="94"/>
      <c r="AX885" s="94"/>
      <c r="AY885" s="94"/>
      <c r="AZ885" s="94"/>
      <c r="BA885" s="95"/>
    </row>
    <row r="886" spans="1:53" s="87" customFormat="1">
      <c r="A886" s="90" t="str">
        <f t="shared" si="38"/>
        <v/>
      </c>
      <c r="B886" s="98">
        <v>10</v>
      </c>
      <c r="C886" s="94" t="s">
        <v>210</v>
      </c>
      <c r="D886" s="94">
        <v>-2</v>
      </c>
      <c r="E886" s="94">
        <v>8</v>
      </c>
      <c r="F886" s="94" t="s">
        <v>210</v>
      </c>
      <c r="G886" s="94" t="s">
        <v>210</v>
      </c>
      <c r="H886" s="94">
        <v>2</v>
      </c>
      <c r="I886" s="94">
        <v>-6</v>
      </c>
      <c r="J886" s="94" t="s">
        <v>210</v>
      </c>
      <c r="K886" s="94" t="s">
        <v>210</v>
      </c>
      <c r="L886" s="94">
        <v>-7</v>
      </c>
      <c r="M886" s="94">
        <v>6</v>
      </c>
      <c r="N886" s="94" t="s">
        <v>210</v>
      </c>
      <c r="O886" s="94" t="s">
        <v>210</v>
      </c>
      <c r="P886" s="94">
        <v>3</v>
      </c>
      <c r="Q886" s="94"/>
      <c r="R886" s="94"/>
      <c r="S886" s="94"/>
      <c r="T886" s="94"/>
      <c r="U886" s="94"/>
      <c r="V886" s="94"/>
      <c r="W886" s="94"/>
      <c r="X886" s="94"/>
      <c r="Y886" s="94"/>
      <c r="Z886" s="94"/>
      <c r="AA886" s="94"/>
      <c r="AB886" s="94"/>
      <c r="AC886" s="94"/>
      <c r="AD886" s="94"/>
      <c r="AE886" s="94"/>
      <c r="AF886" s="94"/>
      <c r="AG886" s="94"/>
      <c r="AH886" s="94"/>
      <c r="AI886" s="94"/>
      <c r="AJ886" s="94"/>
      <c r="AK886" s="94"/>
      <c r="AL886" s="94"/>
      <c r="AM886" s="94"/>
      <c r="AN886" s="94"/>
      <c r="AO886" s="94"/>
      <c r="AP886" s="94"/>
      <c r="AQ886" s="94"/>
      <c r="AR886" s="94"/>
      <c r="AS886" s="94"/>
      <c r="AT886" s="94"/>
      <c r="AU886" s="94"/>
      <c r="AV886" s="94"/>
      <c r="AW886" s="94"/>
      <c r="AX886" s="94"/>
      <c r="AY886" s="94"/>
      <c r="AZ886" s="94"/>
      <c r="BA886" s="95"/>
    </row>
    <row r="887" spans="1:53" s="87" customFormat="1">
      <c r="A887" s="90" t="str">
        <f t="shared" si="38"/>
        <v/>
      </c>
      <c r="B887" s="98">
        <v>11</v>
      </c>
      <c r="C887" s="94" t="s">
        <v>210</v>
      </c>
      <c r="D887" s="94">
        <v>-5</v>
      </c>
      <c r="E887" s="94">
        <v>-4</v>
      </c>
      <c r="F887" s="94" t="s">
        <v>210</v>
      </c>
      <c r="G887" s="94" t="s">
        <v>210</v>
      </c>
      <c r="H887" s="94">
        <v>3</v>
      </c>
      <c r="I887" s="94">
        <v>-2</v>
      </c>
      <c r="J887" s="94" t="s">
        <v>210</v>
      </c>
      <c r="K887" s="94" t="s">
        <v>210</v>
      </c>
      <c r="L887" s="94">
        <v>7</v>
      </c>
      <c r="M887" s="94">
        <v>8</v>
      </c>
      <c r="N887" s="94" t="s">
        <v>210</v>
      </c>
      <c r="O887" s="94" t="s">
        <v>210</v>
      </c>
      <c r="P887" s="94">
        <v>-6</v>
      </c>
      <c r="Q887" s="94"/>
      <c r="R887" s="94"/>
      <c r="S887" s="94"/>
      <c r="T887" s="94"/>
      <c r="U887" s="94"/>
      <c r="V887" s="94"/>
      <c r="W887" s="94"/>
      <c r="X887" s="94"/>
      <c r="Y887" s="94"/>
      <c r="Z887" s="94"/>
      <c r="AA887" s="94"/>
      <c r="AB887" s="94"/>
      <c r="AC887" s="94"/>
      <c r="AD887" s="94"/>
      <c r="AE887" s="94"/>
      <c r="AF887" s="94"/>
      <c r="AG887" s="94"/>
      <c r="AH887" s="94"/>
      <c r="AI887" s="94"/>
      <c r="AJ887" s="94"/>
      <c r="AK887" s="94"/>
      <c r="AL887" s="94"/>
      <c r="AM887" s="94"/>
      <c r="AN887" s="94"/>
      <c r="AO887" s="94"/>
      <c r="AP887" s="94"/>
      <c r="AQ887" s="94"/>
      <c r="AR887" s="94"/>
      <c r="AS887" s="94"/>
      <c r="AT887" s="94"/>
      <c r="AU887" s="94"/>
      <c r="AV887" s="94"/>
      <c r="AW887" s="94"/>
      <c r="AX887" s="94"/>
      <c r="AY887" s="94"/>
      <c r="AZ887" s="94"/>
      <c r="BA887" s="95"/>
    </row>
    <row r="888" spans="1:53" s="87" customFormat="1">
      <c r="A888" s="90" t="str">
        <f t="shared" si="38"/>
        <v/>
      </c>
      <c r="B888" s="98">
        <v>12</v>
      </c>
      <c r="C888" s="94" t="s">
        <v>210</v>
      </c>
      <c r="D888" s="94">
        <v>-3</v>
      </c>
      <c r="E888" s="94">
        <v>1</v>
      </c>
      <c r="F888" s="94" t="s">
        <v>210</v>
      </c>
      <c r="G888" s="94" t="s">
        <v>210</v>
      </c>
      <c r="H888" s="94">
        <v>-2</v>
      </c>
      <c r="I888" s="94">
        <v>7</v>
      </c>
      <c r="J888" s="94" t="s">
        <v>210</v>
      </c>
      <c r="K888" s="94" t="s">
        <v>210</v>
      </c>
      <c r="L888" s="94">
        <v>8</v>
      </c>
      <c r="M888" s="94">
        <v>-7</v>
      </c>
      <c r="N888" s="94" t="s">
        <v>210</v>
      </c>
      <c r="O888" s="94" t="s">
        <v>210</v>
      </c>
      <c r="P888" s="94">
        <v>6</v>
      </c>
      <c r="Q888" s="94"/>
      <c r="R888" s="94"/>
      <c r="S888" s="94"/>
      <c r="T888" s="94"/>
      <c r="U888" s="94"/>
      <c r="V888" s="94"/>
      <c r="W888" s="94"/>
      <c r="X888" s="94"/>
      <c r="Y888" s="94"/>
      <c r="Z888" s="94"/>
      <c r="AA888" s="94"/>
      <c r="AB888" s="94"/>
      <c r="AC888" s="94"/>
      <c r="AD888" s="94"/>
      <c r="AE888" s="94"/>
      <c r="AF888" s="94"/>
      <c r="AG888" s="94"/>
      <c r="AH888" s="94"/>
      <c r="AI888" s="94"/>
      <c r="AJ888" s="94"/>
      <c r="AK888" s="94"/>
      <c r="AL888" s="94"/>
      <c r="AM888" s="94"/>
      <c r="AN888" s="94"/>
      <c r="AO888" s="94"/>
      <c r="AP888" s="94"/>
      <c r="AQ888" s="94"/>
      <c r="AR888" s="94"/>
      <c r="AS888" s="94"/>
      <c r="AT888" s="94"/>
      <c r="AU888" s="94"/>
      <c r="AV888" s="94"/>
      <c r="AW888" s="94"/>
      <c r="AX888" s="94"/>
      <c r="AY888" s="94"/>
      <c r="AZ888" s="94"/>
      <c r="BA888" s="95"/>
    </row>
    <row r="889" spans="1:53" s="87" customFormat="1">
      <c r="A889" s="90" t="str">
        <f t="shared" si="38"/>
        <v/>
      </c>
      <c r="B889" s="98">
        <v>13</v>
      </c>
      <c r="C889" s="94" t="s">
        <v>210</v>
      </c>
      <c r="D889" s="94">
        <v>-7</v>
      </c>
      <c r="E889" s="94">
        <v>-3</v>
      </c>
      <c r="F889" s="94" t="s">
        <v>210</v>
      </c>
      <c r="G889" s="94" t="s">
        <v>210</v>
      </c>
      <c r="H889" s="94">
        <v>4</v>
      </c>
      <c r="I889" s="94">
        <v>2</v>
      </c>
      <c r="J889" s="94" t="s">
        <v>210</v>
      </c>
      <c r="K889" s="94" t="s">
        <v>210</v>
      </c>
      <c r="L889" s="94">
        <v>-8</v>
      </c>
      <c r="M889" s="94">
        <v>-6</v>
      </c>
      <c r="N889" s="94" t="s">
        <v>210</v>
      </c>
      <c r="O889" s="94" t="s">
        <v>210</v>
      </c>
      <c r="P889" s="94">
        <v>1</v>
      </c>
      <c r="Q889" s="94"/>
      <c r="R889" s="94"/>
      <c r="S889" s="94"/>
      <c r="T889" s="94"/>
      <c r="U889" s="94"/>
      <c r="V889" s="94"/>
      <c r="W889" s="94"/>
      <c r="X889" s="94"/>
      <c r="Y889" s="94"/>
      <c r="Z889" s="94"/>
      <c r="AA889" s="94"/>
      <c r="AB889" s="94"/>
      <c r="AC889" s="94"/>
      <c r="AD889" s="94"/>
      <c r="AE889" s="94"/>
      <c r="AF889" s="94"/>
      <c r="AG889" s="94"/>
      <c r="AH889" s="94"/>
      <c r="AI889" s="94"/>
      <c r="AJ889" s="94"/>
      <c r="AK889" s="94"/>
      <c r="AL889" s="94"/>
      <c r="AM889" s="94"/>
      <c r="AN889" s="94"/>
      <c r="AO889" s="94"/>
      <c r="AP889" s="94"/>
      <c r="AQ889" s="94"/>
      <c r="AR889" s="94"/>
      <c r="AS889" s="94"/>
      <c r="AT889" s="94"/>
      <c r="AU889" s="94"/>
      <c r="AV889" s="94"/>
      <c r="AW889" s="94"/>
      <c r="AX889" s="94"/>
      <c r="AY889" s="94"/>
      <c r="AZ889" s="94"/>
      <c r="BA889" s="95"/>
    </row>
    <row r="890" spans="1:53" s="87" customFormat="1">
      <c r="A890" s="90" t="str">
        <f t="shared" si="38"/>
        <v/>
      </c>
      <c r="B890" s="99">
        <v>14</v>
      </c>
      <c r="C890" s="92" t="s">
        <v>210</v>
      </c>
      <c r="D890" s="92">
        <v>-4</v>
      </c>
      <c r="E890" s="92">
        <v>5</v>
      </c>
      <c r="F890" s="92" t="s">
        <v>210</v>
      </c>
      <c r="G890" s="92" t="s">
        <v>210</v>
      </c>
      <c r="H890" s="92">
        <v>-3</v>
      </c>
      <c r="I890" s="92">
        <v>6</v>
      </c>
      <c r="J890" s="92" t="s">
        <v>210</v>
      </c>
      <c r="K890" s="92" t="s">
        <v>210</v>
      </c>
      <c r="L890" s="92">
        <v>-5</v>
      </c>
      <c r="M890" s="92">
        <v>7</v>
      </c>
      <c r="N890" s="92" t="s">
        <v>210</v>
      </c>
      <c r="O890" s="92" t="s">
        <v>210</v>
      </c>
      <c r="P890" s="92">
        <v>-1</v>
      </c>
      <c r="Q890" s="94"/>
      <c r="R890" s="94"/>
      <c r="S890" s="94"/>
      <c r="T890" s="94"/>
      <c r="U890" s="94"/>
      <c r="V890" s="94"/>
      <c r="W890" s="94"/>
      <c r="X890" s="94"/>
      <c r="Y890" s="94"/>
      <c r="Z890" s="94"/>
      <c r="AA890" s="94"/>
      <c r="AB890" s="94"/>
      <c r="AC890" s="94"/>
      <c r="AD890" s="94"/>
      <c r="AE890" s="94"/>
      <c r="AF890" s="94"/>
      <c r="AG890" s="94"/>
      <c r="AH890" s="94"/>
      <c r="AI890" s="94"/>
      <c r="AJ890" s="94"/>
      <c r="AK890" s="94"/>
      <c r="AL890" s="94"/>
      <c r="AM890" s="94"/>
      <c r="AN890" s="94"/>
      <c r="AO890" s="94"/>
      <c r="AP890" s="94"/>
      <c r="AQ890" s="94"/>
      <c r="AR890" s="94"/>
      <c r="AS890" s="94"/>
      <c r="AT890" s="94"/>
      <c r="AU890" s="94"/>
      <c r="AV890" s="94"/>
      <c r="AW890" s="94"/>
      <c r="AX890" s="94"/>
      <c r="AY890" s="94"/>
      <c r="AZ890" s="94"/>
      <c r="BA890" s="95"/>
    </row>
    <row r="891" spans="1:53" s="87" customFormat="1">
      <c r="A891" s="90" t="str">
        <f t="shared" si="38"/>
        <v/>
      </c>
      <c r="B891" s="98">
        <v>15</v>
      </c>
      <c r="C891" s="94" t="s">
        <v>210</v>
      </c>
      <c r="D891" s="94">
        <v>2</v>
      </c>
      <c r="E891" s="94">
        <v>-6</v>
      </c>
      <c r="F891" s="94" t="s">
        <v>210</v>
      </c>
      <c r="G891" s="94" t="s">
        <v>210</v>
      </c>
      <c r="H891" s="94">
        <v>8</v>
      </c>
      <c r="I891" s="94">
        <v>4</v>
      </c>
      <c r="J891" s="94" t="s">
        <v>210</v>
      </c>
      <c r="K891" s="94" t="s">
        <v>210</v>
      </c>
      <c r="L891" s="94">
        <v>-1</v>
      </c>
      <c r="M891" s="94">
        <v>5</v>
      </c>
      <c r="N891" s="94" t="s">
        <v>210</v>
      </c>
      <c r="O891" s="94" t="s">
        <v>210</v>
      </c>
      <c r="P891" s="94">
        <v>-7</v>
      </c>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5"/>
    </row>
    <row r="892" spans="1:53" s="87" customFormat="1">
      <c r="A892" s="90" t="str">
        <f t="shared" si="38"/>
        <v/>
      </c>
      <c r="B892" s="98">
        <v>16</v>
      </c>
      <c r="C892" s="94" t="s">
        <v>210</v>
      </c>
      <c r="D892" s="94">
        <v>5</v>
      </c>
      <c r="E892" s="94">
        <v>-8</v>
      </c>
      <c r="F892" s="94" t="s">
        <v>210</v>
      </c>
      <c r="G892" s="94" t="s">
        <v>210</v>
      </c>
      <c r="H892" s="94">
        <v>1</v>
      </c>
      <c r="I892" s="94">
        <v>-3</v>
      </c>
      <c r="J892" s="94" t="s">
        <v>210</v>
      </c>
      <c r="K892" s="94" t="s">
        <v>210</v>
      </c>
      <c r="L892" s="94">
        <v>-6</v>
      </c>
      <c r="M892" s="94">
        <v>3</v>
      </c>
      <c r="N892" s="94" t="s">
        <v>210</v>
      </c>
      <c r="O892" s="94" t="s">
        <v>210</v>
      </c>
      <c r="P892" s="94">
        <v>7</v>
      </c>
      <c r="Q892" s="94"/>
      <c r="R892" s="94"/>
      <c r="S892" s="94"/>
      <c r="T892" s="94"/>
      <c r="U892" s="94"/>
      <c r="V892" s="94"/>
      <c r="W892" s="94"/>
      <c r="X892" s="94"/>
      <c r="Y892" s="94"/>
      <c r="Z892" s="94"/>
      <c r="AA892" s="94"/>
      <c r="AB892" s="94"/>
      <c r="AC892" s="94"/>
      <c r="AD892" s="94"/>
      <c r="AE892" s="94"/>
      <c r="AF892" s="94"/>
      <c r="AG892" s="94"/>
      <c r="AH892" s="94"/>
      <c r="AI892" s="94"/>
      <c r="AJ892" s="94"/>
      <c r="AK892" s="94"/>
      <c r="AL892" s="94"/>
      <c r="AM892" s="94"/>
      <c r="AN892" s="94"/>
      <c r="AO892" s="94"/>
      <c r="AP892" s="94"/>
      <c r="AQ892" s="94"/>
      <c r="AR892" s="94"/>
      <c r="AS892" s="94"/>
      <c r="AT892" s="94"/>
      <c r="AU892" s="94"/>
      <c r="AV892" s="94"/>
      <c r="AW892" s="94"/>
      <c r="AX892" s="94"/>
      <c r="AY892" s="94"/>
      <c r="AZ892" s="94"/>
      <c r="BA892" s="95"/>
    </row>
    <row r="893" spans="1:53" s="87" customFormat="1">
      <c r="A893" s="90" t="str">
        <f t="shared" si="38"/>
        <v/>
      </c>
      <c r="B893" s="98">
        <v>17</v>
      </c>
      <c r="C893" s="94" t="s">
        <v>210</v>
      </c>
      <c r="D893" s="94">
        <v>-1</v>
      </c>
      <c r="E893" s="94">
        <v>4</v>
      </c>
      <c r="F893" s="94" t="s">
        <v>210</v>
      </c>
      <c r="G893" s="94" t="s">
        <v>210</v>
      </c>
      <c r="H893" s="94">
        <v>-7</v>
      </c>
      <c r="I893" s="94">
        <v>-5</v>
      </c>
      <c r="J893" s="94" t="s">
        <v>210</v>
      </c>
      <c r="K893" s="94" t="s">
        <v>210</v>
      </c>
      <c r="L893" s="94">
        <v>1</v>
      </c>
      <c r="M893" s="94">
        <v>-3</v>
      </c>
      <c r="N893" s="94" t="s">
        <v>210</v>
      </c>
      <c r="O893" s="94" t="s">
        <v>210</v>
      </c>
      <c r="P893" s="94">
        <v>2</v>
      </c>
      <c r="Q893" s="94"/>
      <c r="R893" s="94"/>
      <c r="S893" s="94"/>
      <c r="T893" s="94"/>
      <c r="U893" s="94"/>
      <c r="V893" s="94"/>
      <c r="W893" s="94"/>
      <c r="X893" s="94"/>
      <c r="Y893" s="94"/>
      <c r="Z893" s="94"/>
      <c r="AA893" s="94"/>
      <c r="AB893" s="94"/>
      <c r="AC893" s="94"/>
      <c r="AD893" s="94"/>
      <c r="AE893" s="94"/>
      <c r="AF893" s="94"/>
      <c r="AG893" s="94"/>
      <c r="AH893" s="94"/>
      <c r="AI893" s="94"/>
      <c r="AJ893" s="94"/>
      <c r="AK893" s="94"/>
      <c r="AL893" s="94"/>
      <c r="AM893" s="94"/>
      <c r="AN893" s="94"/>
      <c r="AO893" s="94"/>
      <c r="AP893" s="94"/>
      <c r="AQ893" s="94"/>
      <c r="AR893" s="94"/>
      <c r="AS893" s="94"/>
      <c r="AT893" s="94"/>
      <c r="AU893" s="94"/>
      <c r="AV893" s="94"/>
      <c r="AW893" s="94"/>
      <c r="AX893" s="94"/>
      <c r="AY893" s="94"/>
      <c r="AZ893" s="94"/>
      <c r="BA893" s="95"/>
    </row>
    <row r="894" spans="1:53" s="87" customFormat="1">
      <c r="A894" s="90" t="str">
        <f t="shared" si="38"/>
        <v/>
      </c>
      <c r="B894" s="98">
        <v>18</v>
      </c>
      <c r="C894" s="94" t="s">
        <v>210</v>
      </c>
      <c r="D894" s="94">
        <v>7</v>
      </c>
      <c r="E894" s="94">
        <v>-1</v>
      </c>
      <c r="F894" s="94" t="s">
        <v>210</v>
      </c>
      <c r="G894" s="94" t="s">
        <v>210</v>
      </c>
      <c r="H894" s="94">
        <v>-8</v>
      </c>
      <c r="I894" s="94">
        <v>3</v>
      </c>
      <c r="J894" s="94" t="s">
        <v>210</v>
      </c>
      <c r="K894" s="94" t="s">
        <v>210</v>
      </c>
      <c r="L894" s="94">
        <v>2</v>
      </c>
      <c r="M894" s="94">
        <v>-4</v>
      </c>
      <c r="N894" s="94" t="s">
        <v>210</v>
      </c>
      <c r="O894" s="94" t="s">
        <v>210</v>
      </c>
      <c r="P894" s="94">
        <v>-2</v>
      </c>
      <c r="Q894" s="94"/>
      <c r="R894" s="94"/>
      <c r="S894" s="94"/>
      <c r="T894" s="94"/>
      <c r="U894" s="94"/>
      <c r="V894" s="94"/>
      <c r="W894" s="94"/>
      <c r="X894" s="94"/>
      <c r="Y894" s="94"/>
      <c r="Z894" s="94"/>
      <c r="AA894" s="94"/>
      <c r="AB894" s="94"/>
      <c r="AC894" s="94"/>
      <c r="AD894" s="94"/>
      <c r="AE894" s="94"/>
      <c r="AF894" s="94"/>
      <c r="AG894" s="94"/>
      <c r="AH894" s="94"/>
      <c r="AI894" s="94"/>
      <c r="AJ894" s="94"/>
      <c r="AK894" s="94"/>
      <c r="AL894" s="94"/>
      <c r="AM894" s="94"/>
      <c r="AN894" s="94"/>
      <c r="AO894" s="94"/>
      <c r="AP894" s="94"/>
      <c r="AQ894" s="94"/>
      <c r="AR894" s="94"/>
      <c r="AS894" s="94"/>
      <c r="AT894" s="94"/>
      <c r="AU894" s="94"/>
      <c r="AV894" s="94"/>
      <c r="AW894" s="94"/>
      <c r="AX894" s="94"/>
      <c r="AY894" s="94"/>
      <c r="AZ894" s="94"/>
      <c r="BA894" s="95"/>
    </row>
    <row r="895" spans="1:53" s="87" customFormat="1">
      <c r="A895" s="90" t="str">
        <f t="shared" si="38"/>
        <v/>
      </c>
      <c r="B895" s="98">
        <v>19</v>
      </c>
      <c r="C895" s="94" t="s">
        <v>210</v>
      </c>
      <c r="D895" s="94">
        <v>4</v>
      </c>
      <c r="E895" s="94">
        <v>3</v>
      </c>
      <c r="F895" s="94" t="s">
        <v>210</v>
      </c>
      <c r="G895" s="94" t="s">
        <v>210</v>
      </c>
      <c r="H895" s="94">
        <v>-1</v>
      </c>
      <c r="I895" s="94">
        <v>5</v>
      </c>
      <c r="J895" s="94" t="s">
        <v>210</v>
      </c>
      <c r="K895" s="94" t="s">
        <v>210</v>
      </c>
      <c r="L895" s="94">
        <v>-2</v>
      </c>
      <c r="M895" s="94">
        <v>-5</v>
      </c>
      <c r="N895" s="94" t="s">
        <v>210</v>
      </c>
      <c r="O895" s="94" t="s">
        <v>210</v>
      </c>
      <c r="P895" s="94">
        <v>8</v>
      </c>
      <c r="Q895" s="94"/>
      <c r="R895" s="94"/>
      <c r="S895" s="94"/>
      <c r="T895" s="94"/>
      <c r="U895" s="94"/>
      <c r="V895" s="94"/>
      <c r="W895" s="94"/>
      <c r="X895" s="94"/>
      <c r="Y895" s="94"/>
      <c r="Z895" s="94"/>
      <c r="AA895" s="94"/>
      <c r="AB895" s="94"/>
      <c r="AC895" s="94"/>
      <c r="AD895" s="94"/>
      <c r="AE895" s="94"/>
      <c r="AF895" s="94"/>
      <c r="AG895" s="94"/>
      <c r="AH895" s="94"/>
      <c r="AI895" s="94"/>
      <c r="AJ895" s="94"/>
      <c r="AK895" s="94"/>
      <c r="AL895" s="94"/>
      <c r="AM895" s="94"/>
      <c r="AN895" s="94"/>
      <c r="AO895" s="94"/>
      <c r="AP895" s="94"/>
      <c r="AQ895" s="94"/>
      <c r="AR895" s="94"/>
      <c r="AS895" s="94"/>
      <c r="AT895" s="94"/>
      <c r="AU895" s="94"/>
      <c r="AV895" s="94"/>
      <c r="AW895" s="94"/>
      <c r="AX895" s="94"/>
      <c r="AY895" s="94"/>
      <c r="AZ895" s="94"/>
      <c r="BA895" s="95"/>
    </row>
    <row r="896" spans="1:53" s="87" customFormat="1">
      <c r="A896" s="90" t="str">
        <f t="shared" si="38"/>
        <v/>
      </c>
      <c r="B896" s="99">
        <v>20</v>
      </c>
      <c r="C896" s="92" t="s">
        <v>210</v>
      </c>
      <c r="D896" s="92">
        <v>3</v>
      </c>
      <c r="E896" s="92">
        <v>-5</v>
      </c>
      <c r="F896" s="92" t="s">
        <v>210</v>
      </c>
      <c r="G896" s="92" t="s">
        <v>210</v>
      </c>
      <c r="H896" s="92">
        <v>7</v>
      </c>
      <c r="I896" s="92">
        <v>-4</v>
      </c>
      <c r="J896" s="92" t="s">
        <v>210</v>
      </c>
      <c r="K896" s="92" t="s">
        <v>210</v>
      </c>
      <c r="L896" s="92">
        <v>6</v>
      </c>
      <c r="M896" s="92">
        <v>4</v>
      </c>
      <c r="N896" s="92" t="s">
        <v>210</v>
      </c>
      <c r="O896" s="92" t="s">
        <v>210</v>
      </c>
      <c r="P896" s="92">
        <v>-8</v>
      </c>
      <c r="Q896" s="94"/>
      <c r="R896" s="94"/>
      <c r="S896" s="94"/>
      <c r="T896" s="94"/>
      <c r="U896" s="94"/>
      <c r="V896" s="94"/>
      <c r="W896" s="94"/>
      <c r="X896" s="94"/>
      <c r="Y896" s="94"/>
      <c r="Z896" s="94"/>
      <c r="AA896" s="94"/>
      <c r="AB896" s="94"/>
      <c r="AC896" s="94"/>
      <c r="AD896" s="94"/>
      <c r="AE896" s="94"/>
      <c r="AF896" s="94"/>
      <c r="AG896" s="94"/>
      <c r="AH896" s="94"/>
      <c r="AI896" s="94"/>
      <c r="AJ896" s="94"/>
      <c r="AK896" s="94"/>
      <c r="AL896" s="94"/>
      <c r="AM896" s="94"/>
      <c r="AN896" s="94"/>
      <c r="AO896" s="94"/>
      <c r="AP896" s="94"/>
      <c r="AQ896" s="94"/>
      <c r="AR896" s="94"/>
      <c r="AS896" s="94"/>
      <c r="AT896" s="94"/>
      <c r="AU896" s="94"/>
      <c r="AV896" s="94"/>
      <c r="AW896" s="94"/>
      <c r="AX896" s="94"/>
      <c r="AY896" s="94"/>
      <c r="AZ896" s="94"/>
      <c r="BA896" s="95"/>
    </row>
    <row r="897" spans="1:53" s="87" customFormat="1">
      <c r="A897" s="90" t="str">
        <f t="shared" si="38"/>
        <v/>
      </c>
      <c r="B897" s="98">
        <v>21</v>
      </c>
      <c r="C897" s="94">
        <v>-3</v>
      </c>
      <c r="D897" s="94" t="s">
        <v>210</v>
      </c>
      <c r="E897" s="94" t="s">
        <v>210</v>
      </c>
      <c r="F897" s="94">
        <v>1</v>
      </c>
      <c r="G897" s="94">
        <v>8</v>
      </c>
      <c r="H897" s="94" t="s">
        <v>210</v>
      </c>
      <c r="I897" s="94" t="s">
        <v>210</v>
      </c>
      <c r="J897" s="94">
        <v>-6</v>
      </c>
      <c r="K897" s="94">
        <v>-7</v>
      </c>
      <c r="L897" s="94" t="s">
        <v>210</v>
      </c>
      <c r="M897" s="94" t="s">
        <v>210</v>
      </c>
      <c r="N897" s="94">
        <v>6</v>
      </c>
      <c r="O897" s="94">
        <v>2</v>
      </c>
      <c r="P897" s="94" t="s">
        <v>210</v>
      </c>
      <c r="Q897" s="94"/>
      <c r="R897" s="94"/>
      <c r="S897" s="94"/>
      <c r="T897" s="94"/>
      <c r="U897" s="94"/>
      <c r="V897" s="94"/>
      <c r="W897" s="94"/>
      <c r="X897" s="94"/>
      <c r="Y897" s="94"/>
      <c r="Z897" s="94"/>
      <c r="AA897" s="94"/>
      <c r="AB897" s="94"/>
      <c r="AC897" s="94"/>
      <c r="AD897" s="94"/>
      <c r="AE897" s="94"/>
      <c r="AF897" s="94"/>
      <c r="AG897" s="94"/>
      <c r="AH897" s="94"/>
      <c r="AI897" s="94"/>
      <c r="AJ897" s="94"/>
      <c r="AK897" s="94"/>
      <c r="AL897" s="94"/>
      <c r="AM897" s="94"/>
      <c r="AN897" s="94"/>
      <c r="AO897" s="94"/>
      <c r="AP897" s="94"/>
      <c r="AQ897" s="94"/>
      <c r="AR897" s="94"/>
      <c r="AS897" s="94"/>
      <c r="AT897" s="94"/>
      <c r="AU897" s="94"/>
      <c r="AV897" s="94"/>
      <c r="AW897" s="94"/>
      <c r="AX897" s="94"/>
      <c r="AY897" s="94"/>
      <c r="AZ897" s="94"/>
      <c r="BA897" s="95"/>
    </row>
    <row r="898" spans="1:53" s="87" customFormat="1">
      <c r="A898" s="90" t="str">
        <f t="shared" si="38"/>
        <v/>
      </c>
      <c r="B898" s="98">
        <v>22</v>
      </c>
      <c r="C898" s="94">
        <v>-7</v>
      </c>
      <c r="D898" s="94" t="s">
        <v>210</v>
      </c>
      <c r="E898" s="94" t="s">
        <v>210</v>
      </c>
      <c r="F898" s="94">
        <v>-6</v>
      </c>
      <c r="G898" s="94">
        <v>2</v>
      </c>
      <c r="H898" s="94" t="s">
        <v>210</v>
      </c>
      <c r="I898" s="94" t="s">
        <v>210</v>
      </c>
      <c r="J898" s="94">
        <v>5</v>
      </c>
      <c r="K898" s="94">
        <v>-1</v>
      </c>
      <c r="L898" s="94" t="s">
        <v>210</v>
      </c>
      <c r="M898" s="94" t="s">
        <v>210</v>
      </c>
      <c r="N898" s="94">
        <v>3</v>
      </c>
      <c r="O898" s="94">
        <v>-2</v>
      </c>
      <c r="P898" s="94" t="s">
        <v>210</v>
      </c>
      <c r="Q898" s="94"/>
      <c r="R898" s="94"/>
      <c r="S898" s="94"/>
      <c r="T898" s="94"/>
      <c r="U898" s="94"/>
      <c r="V898" s="94"/>
      <c r="W898" s="94"/>
      <c r="X898" s="94"/>
      <c r="Y898" s="94"/>
      <c r="Z898" s="94"/>
      <c r="AA898" s="94"/>
      <c r="AB898" s="94"/>
      <c r="AC898" s="94"/>
      <c r="AD898" s="94"/>
      <c r="AE898" s="94"/>
      <c r="AF898" s="94"/>
      <c r="AG898" s="94"/>
      <c r="AH898" s="94"/>
      <c r="AI898" s="94"/>
      <c r="AJ898" s="94"/>
      <c r="AK898" s="94"/>
      <c r="AL898" s="94"/>
      <c r="AM898" s="94"/>
      <c r="AN898" s="94"/>
      <c r="AO898" s="94"/>
      <c r="AP898" s="94"/>
      <c r="AQ898" s="94"/>
      <c r="AR898" s="94"/>
      <c r="AS898" s="94"/>
      <c r="AT898" s="94"/>
      <c r="AU898" s="94"/>
      <c r="AV898" s="94"/>
      <c r="AW898" s="94"/>
      <c r="AX898" s="94"/>
      <c r="AY898" s="94"/>
      <c r="AZ898" s="94"/>
      <c r="BA898" s="95"/>
    </row>
    <row r="899" spans="1:53" s="87" customFormat="1">
      <c r="A899" s="90" t="str">
        <f t="shared" si="38"/>
        <v/>
      </c>
      <c r="B899" s="98">
        <v>23</v>
      </c>
      <c r="C899" s="94">
        <v>-4</v>
      </c>
      <c r="D899" s="94" t="s">
        <v>210</v>
      </c>
      <c r="E899" s="94" t="s">
        <v>210</v>
      </c>
      <c r="F899" s="94">
        <v>2</v>
      </c>
      <c r="G899" s="94">
        <v>6</v>
      </c>
      <c r="H899" s="94" t="s">
        <v>210</v>
      </c>
      <c r="I899" s="94" t="s">
        <v>210</v>
      </c>
      <c r="J899" s="94">
        <v>-3</v>
      </c>
      <c r="K899" s="94">
        <v>1</v>
      </c>
      <c r="L899" s="94" t="s">
        <v>210</v>
      </c>
      <c r="M899" s="94" t="s">
        <v>210</v>
      </c>
      <c r="N899" s="94">
        <v>-6</v>
      </c>
      <c r="O899" s="94">
        <v>-8</v>
      </c>
      <c r="P899" s="94" t="s">
        <v>210</v>
      </c>
      <c r="Q899" s="94"/>
      <c r="R899" s="94"/>
      <c r="S899" s="94"/>
      <c r="T899" s="94"/>
      <c r="U899" s="94"/>
      <c r="V899" s="94"/>
      <c r="W899" s="94"/>
      <c r="X899" s="94"/>
      <c r="Y899" s="94"/>
      <c r="Z899" s="94"/>
      <c r="AA899" s="94"/>
      <c r="AB899" s="94"/>
      <c r="AC899" s="94"/>
      <c r="AD899" s="94"/>
      <c r="AE899" s="94"/>
      <c r="AF899" s="94"/>
      <c r="AG899" s="94"/>
      <c r="AH899" s="94"/>
      <c r="AI899" s="94"/>
      <c r="AJ899" s="94"/>
      <c r="AK899" s="94"/>
      <c r="AL899" s="94"/>
      <c r="AM899" s="94"/>
      <c r="AN899" s="94"/>
      <c r="AO899" s="94"/>
      <c r="AP899" s="94"/>
      <c r="AQ899" s="94"/>
      <c r="AR899" s="94"/>
      <c r="AS899" s="94"/>
      <c r="AT899" s="94"/>
      <c r="AU899" s="94"/>
      <c r="AV899" s="94"/>
      <c r="AW899" s="94"/>
      <c r="AX899" s="94"/>
      <c r="AY899" s="94"/>
      <c r="AZ899" s="94"/>
      <c r="BA899" s="95"/>
    </row>
    <row r="900" spans="1:53" s="87" customFormat="1">
      <c r="A900" s="90" t="str">
        <f t="shared" si="38"/>
        <v/>
      </c>
      <c r="B900" s="98">
        <v>24</v>
      </c>
      <c r="C900" s="94">
        <v>1</v>
      </c>
      <c r="D900" s="94" t="s">
        <v>210</v>
      </c>
      <c r="E900" s="94" t="s">
        <v>210</v>
      </c>
      <c r="F900" s="94">
        <v>-3</v>
      </c>
      <c r="G900" s="94">
        <v>-2</v>
      </c>
      <c r="H900" s="94" t="s">
        <v>210</v>
      </c>
      <c r="I900" s="94" t="s">
        <v>210</v>
      </c>
      <c r="J900" s="94">
        <v>6</v>
      </c>
      <c r="K900" s="94">
        <v>2</v>
      </c>
      <c r="L900" s="94" t="s">
        <v>210</v>
      </c>
      <c r="M900" s="94" t="s">
        <v>210</v>
      </c>
      <c r="N900" s="94">
        <v>-4</v>
      </c>
      <c r="O900" s="94">
        <v>8</v>
      </c>
      <c r="P900" s="94" t="s">
        <v>210</v>
      </c>
      <c r="Q900" s="94"/>
      <c r="R900" s="94"/>
      <c r="S900" s="94"/>
      <c r="T900" s="94"/>
      <c r="U900" s="94"/>
      <c r="V900" s="94"/>
      <c r="W900" s="94"/>
      <c r="X900" s="94"/>
      <c r="Y900" s="94"/>
      <c r="Z900" s="94"/>
      <c r="AA900" s="94"/>
      <c r="AB900" s="94"/>
      <c r="AC900" s="94"/>
      <c r="AD900" s="94"/>
      <c r="AE900" s="94"/>
      <c r="AF900" s="94"/>
      <c r="AG900" s="94"/>
      <c r="AH900" s="94"/>
      <c r="AI900" s="94"/>
      <c r="AJ900" s="94"/>
      <c r="AK900" s="94"/>
      <c r="AL900" s="94"/>
      <c r="AM900" s="94"/>
      <c r="AN900" s="94"/>
      <c r="AO900" s="94"/>
      <c r="AP900" s="94"/>
      <c r="AQ900" s="94"/>
      <c r="AR900" s="94"/>
      <c r="AS900" s="94"/>
      <c r="AT900" s="94"/>
      <c r="AU900" s="94"/>
      <c r="AV900" s="94"/>
      <c r="AW900" s="94"/>
      <c r="AX900" s="94"/>
      <c r="AY900" s="94"/>
      <c r="AZ900" s="94"/>
      <c r="BA900" s="95"/>
    </row>
    <row r="901" spans="1:53" s="87" customFormat="1">
      <c r="A901" s="90" t="str">
        <f t="shared" si="38"/>
        <v/>
      </c>
      <c r="B901" s="98">
        <v>25</v>
      </c>
      <c r="C901" s="94" t="s">
        <v>210</v>
      </c>
      <c r="D901" s="94">
        <v>-6</v>
      </c>
      <c r="E901" s="94">
        <v>7</v>
      </c>
      <c r="F901" s="94" t="s">
        <v>210</v>
      </c>
      <c r="G901" s="94">
        <v>-8</v>
      </c>
      <c r="H901" s="94" t="s">
        <v>210</v>
      </c>
      <c r="I901" s="94" t="s">
        <v>210</v>
      </c>
      <c r="J901" s="94">
        <v>3</v>
      </c>
      <c r="K901" s="94">
        <v>-2</v>
      </c>
      <c r="L901" s="94" t="s">
        <v>210</v>
      </c>
      <c r="M901" s="94" t="s">
        <v>210</v>
      </c>
      <c r="N901" s="94">
        <v>-3</v>
      </c>
      <c r="O901" s="94">
        <v>1</v>
      </c>
      <c r="P901" s="94" t="s">
        <v>210</v>
      </c>
      <c r="Q901" s="94"/>
      <c r="R901" s="94"/>
      <c r="S901" s="94"/>
      <c r="T901" s="94"/>
      <c r="U901" s="94"/>
      <c r="V901" s="94"/>
      <c r="W901" s="94"/>
      <c r="X901" s="94"/>
      <c r="Y901" s="94"/>
      <c r="Z901" s="94"/>
      <c r="AA901" s="94"/>
      <c r="AB901" s="94"/>
      <c r="AC901" s="94"/>
      <c r="AD901" s="94"/>
      <c r="AE901" s="94"/>
      <c r="AF901" s="94"/>
      <c r="AG901" s="94"/>
      <c r="AH901" s="94"/>
      <c r="AI901" s="94"/>
      <c r="AJ901" s="94"/>
      <c r="AK901" s="94"/>
      <c r="AL901" s="94"/>
      <c r="AM901" s="94"/>
      <c r="AN901" s="94"/>
      <c r="AO901" s="94"/>
      <c r="AP901" s="94"/>
      <c r="AQ901" s="94"/>
      <c r="AR901" s="94"/>
      <c r="AS901" s="94"/>
      <c r="AT901" s="94"/>
      <c r="AU901" s="94"/>
      <c r="AV901" s="94"/>
      <c r="AW901" s="94"/>
      <c r="AX901" s="94"/>
      <c r="AY901" s="94"/>
      <c r="AZ901" s="94"/>
      <c r="BA901" s="95"/>
    </row>
    <row r="902" spans="1:53" s="87" customFormat="1">
      <c r="A902" s="90" t="str">
        <f t="shared" si="38"/>
        <v/>
      </c>
      <c r="B902" s="99">
        <v>26</v>
      </c>
      <c r="C902" s="92" t="s">
        <v>210</v>
      </c>
      <c r="D902" s="92">
        <v>8</v>
      </c>
      <c r="E902" s="92">
        <v>2</v>
      </c>
      <c r="F902" s="92" t="s">
        <v>210</v>
      </c>
      <c r="G902" s="92">
        <v>-6</v>
      </c>
      <c r="H902" s="92" t="s">
        <v>210</v>
      </c>
      <c r="I902" s="92" t="s">
        <v>210</v>
      </c>
      <c r="J902" s="92">
        <v>-5</v>
      </c>
      <c r="K902" s="92">
        <v>7</v>
      </c>
      <c r="L902" s="92" t="s">
        <v>210</v>
      </c>
      <c r="M902" s="92" t="s">
        <v>210</v>
      </c>
      <c r="N902" s="92">
        <v>4</v>
      </c>
      <c r="O902" s="92">
        <v>-1</v>
      </c>
      <c r="P902" s="92" t="s">
        <v>210</v>
      </c>
      <c r="Q902" s="94"/>
      <c r="R902" s="94"/>
      <c r="S902" s="94"/>
      <c r="T902" s="94"/>
      <c r="U902" s="94"/>
      <c r="V902" s="94"/>
      <c r="W902" s="94"/>
      <c r="X902" s="94"/>
      <c r="Y902" s="94"/>
      <c r="Z902" s="94"/>
      <c r="AA902" s="94"/>
      <c r="AB902" s="94"/>
      <c r="AC902" s="94"/>
      <c r="AD902" s="94"/>
      <c r="AE902" s="94"/>
      <c r="AF902" s="94"/>
      <c r="AG902" s="94"/>
      <c r="AH902" s="94"/>
      <c r="AI902" s="94"/>
      <c r="AJ902" s="94"/>
      <c r="AK902" s="94"/>
      <c r="AL902" s="94"/>
      <c r="AM902" s="94"/>
      <c r="AN902" s="94"/>
      <c r="AO902" s="94"/>
      <c r="AP902" s="94"/>
      <c r="AQ902" s="94"/>
      <c r="AR902" s="94"/>
      <c r="AS902" s="94"/>
      <c r="AT902" s="94"/>
      <c r="AU902" s="94"/>
      <c r="AV902" s="94"/>
      <c r="AW902" s="94"/>
      <c r="AX902" s="94"/>
      <c r="AY902" s="94"/>
      <c r="AZ902" s="94"/>
      <c r="BA902" s="95"/>
    </row>
    <row r="903" spans="1:53" s="87" customFormat="1">
      <c r="A903" s="90" t="str">
        <f t="shared" si="38"/>
        <v/>
      </c>
      <c r="B903" s="98">
        <v>27</v>
      </c>
      <c r="C903" s="94">
        <v>4</v>
      </c>
      <c r="D903" s="94" t="s">
        <v>210</v>
      </c>
      <c r="E903" s="94" t="s">
        <v>210</v>
      </c>
      <c r="F903" s="94">
        <v>-1</v>
      </c>
      <c r="G903" s="94">
        <v>7</v>
      </c>
      <c r="H903" s="94" t="s">
        <v>210</v>
      </c>
      <c r="I903" s="94" t="s">
        <v>210</v>
      </c>
      <c r="J903" s="94">
        <v>-4</v>
      </c>
      <c r="K903" s="94" t="s">
        <v>210</v>
      </c>
      <c r="L903" s="94">
        <v>3</v>
      </c>
      <c r="M903" s="94" t="s">
        <v>210</v>
      </c>
      <c r="N903" s="94">
        <v>5</v>
      </c>
      <c r="O903" s="94">
        <v>-7</v>
      </c>
      <c r="P903" s="94" t="s">
        <v>210</v>
      </c>
      <c r="Q903" s="94"/>
      <c r="R903" s="94"/>
      <c r="S903" s="94"/>
      <c r="T903" s="94"/>
      <c r="U903" s="94"/>
      <c r="V903" s="94"/>
      <c r="W903" s="94"/>
      <c r="X903" s="94"/>
      <c r="Y903" s="94"/>
      <c r="Z903" s="94"/>
      <c r="AA903" s="94"/>
      <c r="AB903" s="94"/>
      <c r="AC903" s="94"/>
      <c r="AD903" s="94"/>
      <c r="AE903" s="94"/>
      <c r="AF903" s="94"/>
      <c r="AG903" s="94"/>
      <c r="AH903" s="94"/>
      <c r="AI903" s="94"/>
      <c r="AJ903" s="94"/>
      <c r="AK903" s="94"/>
      <c r="AL903" s="94"/>
      <c r="AM903" s="94"/>
      <c r="AN903" s="94"/>
      <c r="AO903" s="94"/>
      <c r="AP903" s="94"/>
      <c r="AQ903" s="94"/>
      <c r="AR903" s="94"/>
      <c r="AS903" s="94"/>
      <c r="AT903" s="94"/>
      <c r="AU903" s="94"/>
      <c r="AV903" s="94"/>
      <c r="AW903" s="94"/>
      <c r="AX903" s="94"/>
      <c r="AY903" s="94"/>
      <c r="AZ903" s="94"/>
      <c r="BA903" s="95"/>
    </row>
    <row r="904" spans="1:53" s="87" customFormat="1">
      <c r="A904" s="90" t="str">
        <f t="shared" si="38"/>
        <v/>
      </c>
      <c r="B904" s="98">
        <v>28</v>
      </c>
      <c r="C904" s="94">
        <v>3</v>
      </c>
      <c r="D904" s="94" t="s">
        <v>210</v>
      </c>
      <c r="E904" s="94" t="s">
        <v>210</v>
      </c>
      <c r="F904" s="94">
        <v>6</v>
      </c>
      <c r="G904" s="94" t="s">
        <v>210</v>
      </c>
      <c r="H904" s="94">
        <v>-5</v>
      </c>
      <c r="I904" s="94">
        <v>8</v>
      </c>
      <c r="J904" s="94" t="s">
        <v>210</v>
      </c>
      <c r="K904" s="94" t="s">
        <v>210</v>
      </c>
      <c r="L904" s="94">
        <v>-4</v>
      </c>
      <c r="M904" s="94">
        <v>-1</v>
      </c>
      <c r="N904" s="94" t="s">
        <v>210</v>
      </c>
      <c r="O904" s="94">
        <v>7</v>
      </c>
      <c r="P904" s="94" t="s">
        <v>210</v>
      </c>
      <c r="Q904" s="94"/>
      <c r="R904" s="94"/>
      <c r="S904" s="94"/>
      <c r="T904" s="94"/>
      <c r="U904" s="94"/>
      <c r="V904" s="94"/>
      <c r="W904" s="94"/>
      <c r="X904" s="94"/>
      <c r="Y904" s="94"/>
      <c r="Z904" s="94"/>
      <c r="AA904" s="94"/>
      <c r="AB904" s="94"/>
      <c r="AC904" s="94"/>
      <c r="AD904" s="94"/>
      <c r="AE904" s="94"/>
      <c r="AF904" s="94"/>
      <c r="AG904" s="94"/>
      <c r="AH904" s="94"/>
      <c r="AI904" s="94"/>
      <c r="AJ904" s="94"/>
      <c r="AK904" s="94"/>
      <c r="AL904" s="94"/>
      <c r="AM904" s="94"/>
      <c r="AN904" s="94"/>
      <c r="AO904" s="94"/>
      <c r="AP904" s="94"/>
      <c r="AQ904" s="94"/>
      <c r="AR904" s="94"/>
      <c r="AS904" s="94"/>
      <c r="AT904" s="94"/>
      <c r="AU904" s="94"/>
      <c r="AV904" s="94"/>
      <c r="AW904" s="94"/>
      <c r="AX904" s="94"/>
      <c r="AY904" s="94"/>
      <c r="AZ904" s="94"/>
      <c r="BA904" s="95"/>
    </row>
    <row r="905" spans="1:53" s="87" customFormat="1">
      <c r="A905" s="90" t="str">
        <f t="shared" si="38"/>
        <v/>
      </c>
      <c r="B905" s="98">
        <v>29</v>
      </c>
      <c r="C905" s="94">
        <v>7</v>
      </c>
      <c r="D905" s="94" t="s">
        <v>210</v>
      </c>
      <c r="E905" s="94" t="s">
        <v>210</v>
      </c>
      <c r="F905" s="94">
        <v>-2</v>
      </c>
      <c r="G905" s="94" t="s">
        <v>210</v>
      </c>
      <c r="H905" s="94">
        <v>5</v>
      </c>
      <c r="I905" s="94">
        <v>-1</v>
      </c>
      <c r="J905" s="94" t="s">
        <v>210</v>
      </c>
      <c r="K905" s="94">
        <v>8</v>
      </c>
      <c r="L905" s="94" t="s">
        <v>210</v>
      </c>
      <c r="M905" s="94" t="s">
        <v>210</v>
      </c>
      <c r="N905" s="94">
        <v>-5</v>
      </c>
      <c r="O905" s="94" t="s">
        <v>210</v>
      </c>
      <c r="P905" s="94">
        <v>-4</v>
      </c>
      <c r="Q905" s="94"/>
      <c r="R905" s="94"/>
      <c r="S905" s="94"/>
      <c r="T905" s="94"/>
      <c r="U905" s="94"/>
      <c r="V905" s="94"/>
      <c r="W905" s="94"/>
      <c r="X905" s="94"/>
      <c r="Y905" s="94"/>
      <c r="Z905" s="94"/>
      <c r="AA905" s="94"/>
      <c r="AB905" s="94"/>
      <c r="AC905" s="94"/>
      <c r="AD905" s="94"/>
      <c r="AE905" s="94"/>
      <c r="AF905" s="94"/>
      <c r="AG905" s="94"/>
      <c r="AH905" s="94"/>
      <c r="AI905" s="94"/>
      <c r="AJ905" s="94"/>
      <c r="AK905" s="94"/>
      <c r="AL905" s="94"/>
      <c r="AM905" s="94"/>
      <c r="AN905" s="94"/>
      <c r="AO905" s="94"/>
      <c r="AP905" s="94"/>
      <c r="AQ905" s="94"/>
      <c r="AR905" s="94"/>
      <c r="AS905" s="94"/>
      <c r="AT905" s="94"/>
      <c r="AU905" s="94"/>
      <c r="AV905" s="94"/>
      <c r="AW905" s="94"/>
      <c r="AX905" s="94"/>
      <c r="AY905" s="94"/>
      <c r="AZ905" s="94"/>
      <c r="BA905" s="95"/>
    </row>
    <row r="906" spans="1:53" s="87" customFormat="1">
      <c r="A906" s="90" t="str">
        <f t="shared" si="38"/>
        <v/>
      </c>
      <c r="B906" s="98">
        <v>30</v>
      </c>
      <c r="C906" s="94">
        <v>-1</v>
      </c>
      <c r="D906" s="94" t="s">
        <v>210</v>
      </c>
      <c r="E906" s="94">
        <v>-7</v>
      </c>
      <c r="F906" s="94" t="s">
        <v>210</v>
      </c>
      <c r="G906" s="94" t="s">
        <v>210</v>
      </c>
      <c r="H906" s="94">
        <v>6</v>
      </c>
      <c r="I906" s="94">
        <v>-8</v>
      </c>
      <c r="J906" s="94" t="s">
        <v>210</v>
      </c>
      <c r="K906" s="94" t="s">
        <v>210</v>
      </c>
      <c r="L906" s="94">
        <v>-3</v>
      </c>
      <c r="M906" s="94">
        <v>2</v>
      </c>
      <c r="N906" s="94" t="s">
        <v>210</v>
      </c>
      <c r="O906" s="94" t="s">
        <v>210</v>
      </c>
      <c r="P906" s="94">
        <v>4</v>
      </c>
      <c r="Q906" s="94"/>
      <c r="R906" s="94"/>
      <c r="S906" s="94"/>
      <c r="T906" s="94"/>
      <c r="U906" s="94"/>
      <c r="V906" s="94"/>
      <c r="W906" s="94"/>
      <c r="X906" s="94"/>
      <c r="Y906" s="94"/>
      <c r="Z906" s="94"/>
      <c r="AA906" s="94"/>
      <c r="AB906" s="94"/>
      <c r="AC906" s="94"/>
      <c r="AD906" s="94"/>
      <c r="AE906" s="94"/>
      <c r="AF906" s="94"/>
      <c r="AG906" s="94"/>
      <c r="AH906" s="94"/>
      <c r="AI906" s="94"/>
      <c r="AJ906" s="94"/>
      <c r="AK906" s="94"/>
      <c r="AL906" s="94"/>
      <c r="AM906" s="94"/>
      <c r="AN906" s="94"/>
      <c r="AO906" s="94"/>
      <c r="AP906" s="94"/>
      <c r="AQ906" s="94"/>
      <c r="AR906" s="94"/>
      <c r="AS906" s="94"/>
      <c r="AT906" s="94"/>
      <c r="AU906" s="94"/>
      <c r="AV906" s="94"/>
      <c r="AW906" s="94"/>
      <c r="AX906" s="94"/>
      <c r="AY906" s="94"/>
      <c r="AZ906" s="94"/>
      <c r="BA906" s="95"/>
    </row>
    <row r="907" spans="1:53" s="87" customFormat="1">
      <c r="A907" s="90" t="str">
        <f t="shared" si="38"/>
        <v/>
      </c>
      <c r="B907" s="98">
        <v>31</v>
      </c>
      <c r="C907" s="94" t="s">
        <v>210</v>
      </c>
      <c r="D907" s="94">
        <v>6</v>
      </c>
      <c r="E907" s="94">
        <v>-2</v>
      </c>
      <c r="F907" s="94" t="s">
        <v>210</v>
      </c>
      <c r="G907" s="94" t="s">
        <v>210</v>
      </c>
      <c r="H907" s="94">
        <v>-6</v>
      </c>
      <c r="I907" s="94" t="s">
        <v>210</v>
      </c>
      <c r="J907" s="94">
        <v>4</v>
      </c>
      <c r="K907" s="94">
        <v>-8</v>
      </c>
      <c r="L907" s="94" t="s">
        <v>210</v>
      </c>
      <c r="M907" s="94">
        <v>1</v>
      </c>
      <c r="N907" s="94" t="s">
        <v>210</v>
      </c>
      <c r="O907" s="94" t="s">
        <v>210</v>
      </c>
      <c r="P907" s="94">
        <v>5</v>
      </c>
      <c r="Q907" s="94"/>
      <c r="R907" s="94"/>
      <c r="S907" s="94"/>
      <c r="T907" s="94"/>
      <c r="U907" s="94"/>
      <c r="V907" s="94"/>
      <c r="W907" s="94"/>
      <c r="X907" s="94"/>
      <c r="Y907" s="94"/>
      <c r="Z907" s="94"/>
      <c r="AA907" s="94"/>
      <c r="AB907" s="94"/>
      <c r="AC907" s="94"/>
      <c r="AD907" s="94"/>
      <c r="AE907" s="94"/>
      <c r="AF907" s="94"/>
      <c r="AG907" s="94"/>
      <c r="AH907" s="94"/>
      <c r="AI907" s="94"/>
      <c r="AJ907" s="94"/>
      <c r="AK907" s="94"/>
      <c r="AL907" s="94"/>
      <c r="AM907" s="94"/>
      <c r="AN907" s="94"/>
      <c r="AO907" s="94"/>
      <c r="AP907" s="94"/>
      <c r="AQ907" s="94"/>
      <c r="AR907" s="94"/>
      <c r="AS907" s="94"/>
      <c r="AT907" s="94"/>
      <c r="AU907" s="94"/>
      <c r="AV907" s="94"/>
      <c r="AW907" s="94"/>
      <c r="AX907" s="94"/>
      <c r="AY907" s="94"/>
      <c r="AZ907" s="94"/>
      <c r="BA907" s="95"/>
    </row>
    <row r="908" spans="1:53" s="87" customFormat="1">
      <c r="A908" s="90" t="str">
        <f t="shared" ref="A908:A971" si="39">IF(MID(B908,3,2)="08",ROW(),"")</f>
        <v/>
      </c>
      <c r="B908" s="98">
        <v>32</v>
      </c>
      <c r="C908" s="94" t="s">
        <v>210</v>
      </c>
      <c r="D908" s="94">
        <v>-8</v>
      </c>
      <c r="E908" s="94" t="s">
        <v>210</v>
      </c>
      <c r="F908" s="94">
        <v>3</v>
      </c>
      <c r="G908" s="94">
        <v>-7</v>
      </c>
      <c r="H908" s="94" t="s">
        <v>210</v>
      </c>
      <c r="I908" s="94">
        <v>1</v>
      </c>
      <c r="J908" s="94" t="s">
        <v>210</v>
      </c>
      <c r="K908" s="94" t="s">
        <v>210</v>
      </c>
      <c r="L908" s="94">
        <v>4</v>
      </c>
      <c r="M908" s="94">
        <v>-2</v>
      </c>
      <c r="N908" s="94" t="s">
        <v>210</v>
      </c>
      <c r="O908" s="94" t="s">
        <v>210</v>
      </c>
      <c r="P908" s="94">
        <v>-5</v>
      </c>
      <c r="Q908" s="94"/>
      <c r="R908" s="94"/>
      <c r="S908" s="94"/>
      <c r="T908" s="94"/>
      <c r="U908" s="94"/>
      <c r="V908" s="94"/>
      <c r="W908" s="94"/>
      <c r="X908" s="94"/>
      <c r="Y908" s="94"/>
      <c r="Z908" s="94"/>
      <c r="AA908" s="94"/>
      <c r="AB908" s="94"/>
      <c r="AC908" s="94"/>
      <c r="AD908" s="94"/>
      <c r="AE908" s="94"/>
      <c r="AF908" s="94"/>
      <c r="AG908" s="94"/>
      <c r="AH908" s="94"/>
      <c r="AI908" s="94"/>
      <c r="AJ908" s="94"/>
      <c r="AK908" s="94"/>
      <c r="AL908" s="94"/>
      <c r="AM908" s="94"/>
      <c r="AN908" s="94"/>
      <c r="AO908" s="94"/>
      <c r="AP908" s="94"/>
      <c r="AQ908" s="94"/>
      <c r="AR908" s="94"/>
      <c r="AS908" s="94"/>
      <c r="AT908" s="94"/>
      <c r="AU908" s="94"/>
      <c r="AV908" s="94"/>
      <c r="AW908" s="94"/>
      <c r="AX908" s="94"/>
      <c r="AY908" s="94"/>
      <c r="AZ908" s="94"/>
      <c r="BA908" s="95"/>
    </row>
    <row r="909" spans="1:53" s="87" customFormat="1">
      <c r="A909" s="90" t="str">
        <f t="shared" si="39"/>
        <v/>
      </c>
      <c r="B909" s="260" t="s">
        <v>814</v>
      </c>
      <c r="C909" s="94"/>
      <c r="D909" s="94"/>
      <c r="E909" s="94"/>
      <c r="F909" s="94"/>
      <c r="G909" s="94"/>
      <c r="H909" s="94"/>
      <c r="I909" s="94"/>
      <c r="J909" s="94"/>
      <c r="K909" s="94"/>
      <c r="L909" s="94"/>
      <c r="M909" s="94"/>
      <c r="N909" s="94"/>
      <c r="O909" s="94"/>
      <c r="P909" s="94"/>
      <c r="Q909" s="94"/>
      <c r="R909" s="94"/>
      <c r="S909" s="94"/>
      <c r="T909" s="94"/>
      <c r="U909" s="94"/>
      <c r="V909" s="94"/>
      <c r="W909" s="94"/>
      <c r="X909" s="94"/>
      <c r="Y909" s="94"/>
      <c r="Z909" s="94"/>
      <c r="AA909" s="94"/>
      <c r="AB909" s="94"/>
      <c r="AC909" s="94"/>
      <c r="AD909" s="94"/>
      <c r="AE909" s="94"/>
      <c r="AF909" s="94"/>
      <c r="AG909" s="94"/>
      <c r="AH909" s="94"/>
      <c r="AI909" s="94"/>
      <c r="AJ909" s="94"/>
      <c r="AK909" s="94"/>
      <c r="AL909" s="94"/>
      <c r="AM909" s="94"/>
      <c r="AN909" s="94"/>
      <c r="AO909" s="94"/>
      <c r="AP909" s="94"/>
      <c r="AQ909" s="94"/>
      <c r="AR909" s="94"/>
      <c r="AS909" s="94"/>
      <c r="AT909" s="94"/>
      <c r="AU909" s="94"/>
      <c r="AV909" s="94"/>
      <c r="AW909" s="94"/>
      <c r="AX909" s="94"/>
      <c r="AY909" s="94"/>
      <c r="AZ909" s="94"/>
      <c r="BA909" s="95"/>
    </row>
    <row r="910" spans="1:53" s="87" customFormat="1" ht="13">
      <c r="A910" s="90">
        <f t="shared" si="39"/>
        <v>910</v>
      </c>
      <c r="B910" t="s">
        <v>817</v>
      </c>
      <c r="C910"/>
      <c r="D910"/>
      <c r="E910"/>
      <c r="F910"/>
      <c r="G910"/>
      <c r="H910"/>
      <c r="I910"/>
      <c r="J910"/>
      <c r="K910"/>
      <c r="L910"/>
      <c r="M910"/>
      <c r="N910"/>
      <c r="O910"/>
      <c r="P910"/>
      <c r="Q910" s="94"/>
      <c r="R910" s="94"/>
      <c r="S910" s="94"/>
      <c r="T910" s="94"/>
      <c r="U910" s="94"/>
      <c r="V910" s="94"/>
      <c r="W910" s="94"/>
      <c r="X910" s="94"/>
      <c r="Y910" s="94"/>
      <c r="Z910" s="94"/>
      <c r="AA910" s="94"/>
      <c r="AB910" s="94"/>
      <c r="AC910" s="94"/>
      <c r="AD910" s="94"/>
      <c r="AE910" s="94"/>
      <c r="AF910" s="94"/>
      <c r="AG910" s="94"/>
      <c r="AH910" s="94"/>
      <c r="AI910" s="94"/>
      <c r="AJ910" s="94"/>
      <c r="AK910" s="94"/>
      <c r="AL910" s="94"/>
      <c r="AM910" s="94"/>
      <c r="AN910" s="94"/>
      <c r="AO910" s="94"/>
      <c r="AP910" s="94"/>
      <c r="AQ910" s="94"/>
      <c r="AR910" s="94"/>
      <c r="AS910" s="94"/>
      <c r="AT910" s="94"/>
      <c r="AU910" s="94"/>
      <c r="AV910" s="94"/>
      <c r="AW910" s="94"/>
      <c r="AX910" s="94"/>
      <c r="AY910" s="94"/>
      <c r="AZ910" s="94"/>
      <c r="BA910" s="95"/>
    </row>
    <row r="911" spans="1:53" s="87" customFormat="1" ht="13">
      <c r="A911" s="90" t="str">
        <f t="shared" si="39"/>
        <v/>
      </c>
      <c r="B911">
        <v>1</v>
      </c>
      <c r="C911" s="261">
        <v>-3</v>
      </c>
      <c r="D911" s="261" t="s">
        <v>210</v>
      </c>
      <c r="E911" s="261">
        <v>5</v>
      </c>
      <c r="F911" s="261" t="s">
        <v>210</v>
      </c>
      <c r="G911" s="261">
        <v>-2</v>
      </c>
      <c r="H911" s="261" t="s">
        <v>210</v>
      </c>
      <c r="I911" s="261" t="s">
        <v>210</v>
      </c>
      <c r="J911" s="261">
        <v>-7</v>
      </c>
      <c r="K911" s="261" t="s">
        <v>202</v>
      </c>
      <c r="L911" s="261" t="s">
        <v>210</v>
      </c>
      <c r="M911" s="261" t="s">
        <v>210</v>
      </c>
      <c r="N911" s="261">
        <v>3</v>
      </c>
      <c r="O911" s="261">
        <v>4</v>
      </c>
      <c r="P911" s="261" t="s">
        <v>210</v>
      </c>
      <c r="Q911" s="94"/>
      <c r="R911" s="94"/>
      <c r="S911" s="94"/>
      <c r="T911" s="94"/>
      <c r="U911" s="94"/>
      <c r="V911" s="94"/>
      <c r="W911" s="94"/>
      <c r="X911" s="94"/>
      <c r="Y911" s="94"/>
      <c r="Z911" s="94"/>
      <c r="AA911" s="94"/>
      <c r="AB911" s="94"/>
      <c r="AC911" s="94"/>
      <c r="AD911" s="94"/>
      <c r="AE911" s="94"/>
      <c r="AF911" s="94"/>
      <c r="AG911" s="94"/>
      <c r="AH911" s="94"/>
      <c r="AI911" s="94"/>
      <c r="AJ911" s="94"/>
      <c r="AK911" s="94"/>
      <c r="AL911" s="94"/>
      <c r="AM911" s="94"/>
      <c r="AN911" s="94"/>
      <c r="AO911" s="94"/>
      <c r="AP911" s="94"/>
      <c r="AQ911" s="94"/>
      <c r="AR911" s="94"/>
      <c r="AS911" s="94"/>
      <c r="AT911" s="94"/>
      <c r="AU911" s="94"/>
      <c r="AV911" s="94"/>
      <c r="AW911" s="94"/>
      <c r="AX911" s="94"/>
      <c r="AY911" s="94"/>
      <c r="AZ911" s="94"/>
      <c r="BA911" s="95"/>
    </row>
    <row r="912" spans="1:53" s="87" customFormat="1" ht="13">
      <c r="A912" s="90" t="str">
        <f t="shared" si="39"/>
        <v/>
      </c>
      <c r="B912">
        <v>2</v>
      </c>
      <c r="C912" s="261" t="s">
        <v>210</v>
      </c>
      <c r="D912" s="261">
        <v>4</v>
      </c>
      <c r="E912" s="261" t="s">
        <v>210</v>
      </c>
      <c r="F912" s="261">
        <v>-2</v>
      </c>
      <c r="G912" s="261">
        <v>3</v>
      </c>
      <c r="H912" s="261" t="s">
        <v>210</v>
      </c>
      <c r="I912" s="261" t="s">
        <v>210</v>
      </c>
      <c r="J912" s="261">
        <v>5</v>
      </c>
      <c r="K912" s="261">
        <v>-7</v>
      </c>
      <c r="L912" s="261" t="s">
        <v>210</v>
      </c>
      <c r="M912" s="261" t="s">
        <v>210</v>
      </c>
      <c r="N912" s="261" t="s">
        <v>202</v>
      </c>
      <c r="O912" s="261">
        <v>-4</v>
      </c>
      <c r="P912" s="261" t="s">
        <v>210</v>
      </c>
      <c r="Q912" s="94"/>
      <c r="R912" s="94"/>
      <c r="S912" s="94"/>
      <c r="T912" s="94"/>
      <c r="U912" s="94"/>
      <c r="V912" s="94"/>
      <c r="W912" s="94"/>
      <c r="X912" s="94"/>
      <c r="Y912" s="94"/>
      <c r="Z912" s="94"/>
      <c r="AA912" s="94"/>
      <c r="AB912" s="94"/>
      <c r="AC912" s="94"/>
      <c r="AD912" s="94"/>
      <c r="AE912" s="94"/>
      <c r="AF912" s="94"/>
      <c r="AG912" s="94"/>
      <c r="AH912" s="94"/>
      <c r="AI912" s="94"/>
      <c r="AJ912" s="94"/>
      <c r="AK912" s="94"/>
      <c r="AL912" s="94"/>
      <c r="AM912" s="94"/>
      <c r="AN912" s="94"/>
      <c r="AO912" s="94"/>
      <c r="AP912" s="94"/>
      <c r="AQ912" s="94"/>
      <c r="AR912" s="94"/>
      <c r="AS912" s="94"/>
      <c r="AT912" s="94"/>
      <c r="AU912" s="94"/>
      <c r="AV912" s="94"/>
      <c r="AW912" s="94"/>
      <c r="AX912" s="94"/>
      <c r="AY912" s="94"/>
      <c r="AZ912" s="94"/>
      <c r="BA912" s="95"/>
    </row>
    <row r="913" spans="1:53" s="87" customFormat="1" ht="13">
      <c r="A913" s="90" t="str">
        <f t="shared" si="39"/>
        <v/>
      </c>
      <c r="B913">
        <v>3</v>
      </c>
      <c r="C913" s="261">
        <v>3</v>
      </c>
      <c r="D913" s="261" t="s">
        <v>210</v>
      </c>
      <c r="E913" s="261" t="s">
        <v>210</v>
      </c>
      <c r="F913" s="261">
        <v>2</v>
      </c>
      <c r="G913" s="261">
        <v>-6</v>
      </c>
      <c r="H913" s="261" t="s">
        <v>210</v>
      </c>
      <c r="I913" s="261" t="s">
        <v>210</v>
      </c>
      <c r="J913" s="261" t="s">
        <v>202</v>
      </c>
      <c r="K913" s="261">
        <v>4</v>
      </c>
      <c r="L913" s="261" t="s">
        <v>210</v>
      </c>
      <c r="M913" s="261" t="s">
        <v>210</v>
      </c>
      <c r="N913" s="261">
        <v>-7</v>
      </c>
      <c r="O913" s="261">
        <v>-5</v>
      </c>
      <c r="P913" s="261" t="s">
        <v>210</v>
      </c>
      <c r="Q913" s="94"/>
      <c r="R913" s="94"/>
      <c r="S913" s="94"/>
      <c r="T913" s="94"/>
      <c r="U913" s="94"/>
      <c r="V913" s="94"/>
      <c r="W913" s="94"/>
      <c r="X913" s="94"/>
      <c r="Y913" s="94"/>
      <c r="Z913" s="94"/>
      <c r="AA913" s="94"/>
      <c r="AB913" s="94"/>
      <c r="AC913" s="94"/>
      <c r="AD913" s="94"/>
      <c r="AE913" s="94"/>
      <c r="AF913" s="94"/>
      <c r="AG913" s="94"/>
      <c r="AH913" s="94"/>
      <c r="AI913" s="94"/>
      <c r="AJ913" s="94"/>
      <c r="AK913" s="94"/>
      <c r="AL913" s="94"/>
      <c r="AM913" s="94"/>
      <c r="AN913" s="94"/>
      <c r="AO913" s="94"/>
      <c r="AP913" s="94"/>
      <c r="AQ913" s="94"/>
      <c r="AR913" s="94"/>
      <c r="AS913" s="94"/>
      <c r="AT913" s="94"/>
      <c r="AU913" s="94"/>
      <c r="AV913" s="94"/>
      <c r="AW913" s="94"/>
      <c r="AX913" s="94"/>
      <c r="AY913" s="94"/>
      <c r="AZ913" s="94"/>
      <c r="BA913" s="95"/>
    </row>
    <row r="914" spans="1:53" s="87" customFormat="1" ht="13">
      <c r="A914" s="90" t="str">
        <f t="shared" si="39"/>
        <v/>
      </c>
      <c r="B914">
        <v>4</v>
      </c>
      <c r="C914" s="261" t="s">
        <v>202</v>
      </c>
      <c r="D914" s="261" t="s">
        <v>210</v>
      </c>
      <c r="E914" s="261" t="s">
        <v>210</v>
      </c>
      <c r="F914" s="261">
        <v>-4</v>
      </c>
      <c r="G914" s="261">
        <v>-3</v>
      </c>
      <c r="H914" s="261" t="s">
        <v>210</v>
      </c>
      <c r="I914" s="261" t="s">
        <v>210</v>
      </c>
      <c r="J914" s="261">
        <v>7</v>
      </c>
      <c r="K914" s="261">
        <v>8</v>
      </c>
      <c r="L914" s="261" t="s">
        <v>210</v>
      </c>
      <c r="M914" s="261" t="s">
        <v>210</v>
      </c>
      <c r="N914" s="261">
        <v>-6</v>
      </c>
      <c r="O914" s="261">
        <v>5</v>
      </c>
      <c r="P914" s="261" t="s">
        <v>210</v>
      </c>
      <c r="Q914" s="94"/>
      <c r="R914" s="94"/>
      <c r="S914" s="94"/>
      <c r="T914" s="94"/>
      <c r="U914" s="94"/>
      <c r="V914" s="94"/>
      <c r="W914" s="94"/>
      <c r="X914" s="94"/>
      <c r="Y914" s="94"/>
      <c r="Z914" s="94"/>
      <c r="AA914" s="94"/>
      <c r="AB914" s="94"/>
      <c r="AC914" s="94"/>
      <c r="AD914" s="94"/>
      <c r="AE914" s="94"/>
      <c r="AF914" s="94"/>
      <c r="AG914" s="94"/>
      <c r="AH914" s="94"/>
      <c r="AI914" s="94"/>
      <c r="AJ914" s="94"/>
      <c r="AK914" s="94"/>
      <c r="AL914" s="94"/>
      <c r="AM914" s="94"/>
      <c r="AN914" s="94"/>
      <c r="AO914" s="94"/>
      <c r="AP914" s="94"/>
      <c r="AQ914" s="94"/>
      <c r="AR914" s="94"/>
      <c r="AS914" s="94"/>
      <c r="AT914" s="94"/>
      <c r="AU914" s="94"/>
      <c r="AV914" s="94"/>
      <c r="AW914" s="94"/>
      <c r="AX914" s="94"/>
      <c r="AY914" s="94"/>
      <c r="AZ914" s="94"/>
      <c r="BA914" s="95"/>
    </row>
    <row r="915" spans="1:53" s="87" customFormat="1" ht="13">
      <c r="A915" s="90" t="str">
        <f t="shared" si="39"/>
        <v/>
      </c>
      <c r="B915">
        <v>5</v>
      </c>
      <c r="C915" s="261">
        <v>7</v>
      </c>
      <c r="D915" s="261" t="s">
        <v>210</v>
      </c>
      <c r="E915" s="261" t="s">
        <v>210</v>
      </c>
      <c r="F915" s="261" t="s">
        <v>202</v>
      </c>
      <c r="G915" s="261">
        <v>2</v>
      </c>
      <c r="H915" s="261" t="s">
        <v>210</v>
      </c>
      <c r="I915" s="261" t="s">
        <v>210</v>
      </c>
      <c r="J915" s="261">
        <v>-5</v>
      </c>
      <c r="K915" s="261">
        <v>-4</v>
      </c>
      <c r="L915" s="261" t="s">
        <v>210</v>
      </c>
      <c r="M915" s="261" t="s">
        <v>210</v>
      </c>
      <c r="N915" s="261">
        <v>6</v>
      </c>
      <c r="O915" s="261">
        <v>-3</v>
      </c>
      <c r="P915" s="261" t="s">
        <v>210</v>
      </c>
      <c r="Q915" s="94"/>
      <c r="R915" s="94"/>
      <c r="S915" s="94"/>
      <c r="T915" s="94"/>
      <c r="U915" s="94"/>
      <c r="V915" s="94"/>
      <c r="W915" s="94"/>
      <c r="X915" s="94"/>
      <c r="Y915" s="94"/>
      <c r="Z915" s="94"/>
      <c r="AA915" s="94"/>
      <c r="AB915" s="94"/>
      <c r="AC915" s="94"/>
      <c r="AD915" s="94"/>
      <c r="AE915" s="94"/>
      <c r="AF915" s="94"/>
      <c r="AG915" s="94"/>
      <c r="AH915" s="94"/>
      <c r="AI915" s="94"/>
      <c r="AJ915" s="94"/>
      <c r="AK915" s="94"/>
      <c r="AL915" s="94"/>
      <c r="AM915" s="94"/>
      <c r="AN915" s="94"/>
      <c r="AO915" s="94"/>
      <c r="AP915" s="94"/>
      <c r="AQ915" s="94"/>
      <c r="AR915" s="94"/>
      <c r="AS915" s="94"/>
      <c r="AT915" s="94"/>
      <c r="AU915" s="94"/>
      <c r="AV915" s="94"/>
      <c r="AW915" s="94"/>
      <c r="AX915" s="94"/>
      <c r="AY915" s="94"/>
      <c r="AZ915" s="94"/>
      <c r="BA915" s="95"/>
    </row>
    <row r="916" spans="1:53" s="87" customFormat="1" ht="13">
      <c r="A916" s="90" t="str">
        <f t="shared" si="39"/>
        <v/>
      </c>
      <c r="B916">
        <v>6</v>
      </c>
      <c r="C916" s="261" t="s">
        <v>210</v>
      </c>
      <c r="D916" s="261">
        <v>-4</v>
      </c>
      <c r="E916" s="261">
        <v>-5</v>
      </c>
      <c r="F916" s="261" t="s">
        <v>210</v>
      </c>
      <c r="G916" s="261" t="s">
        <v>202</v>
      </c>
      <c r="H916" s="261" t="s">
        <v>210</v>
      </c>
      <c r="I916" s="261" t="s">
        <v>210</v>
      </c>
      <c r="J916" s="261">
        <v>2</v>
      </c>
      <c r="K916" s="261">
        <v>-8</v>
      </c>
      <c r="L916" s="261" t="s">
        <v>210</v>
      </c>
      <c r="M916" s="261" t="s">
        <v>210</v>
      </c>
      <c r="N916" s="261">
        <v>7</v>
      </c>
      <c r="O916" s="261">
        <v>3</v>
      </c>
      <c r="P916" s="261" t="s">
        <v>210</v>
      </c>
      <c r="Q916" s="94"/>
      <c r="R916" s="94"/>
      <c r="S916" s="94"/>
      <c r="T916" s="94"/>
      <c r="U916" s="94"/>
      <c r="V916" s="94"/>
      <c r="W916" s="94"/>
      <c r="X916" s="94"/>
      <c r="Y916" s="94"/>
      <c r="Z916" s="94"/>
      <c r="AA916" s="94"/>
      <c r="AB916" s="94"/>
      <c r="AC916" s="94"/>
      <c r="AD916" s="94"/>
      <c r="AE916" s="94"/>
      <c r="AF916" s="94"/>
      <c r="AG916" s="94"/>
      <c r="AH916" s="94"/>
      <c r="AI916" s="94"/>
      <c r="AJ916" s="94"/>
      <c r="AK916" s="94"/>
      <c r="AL916" s="94"/>
      <c r="AM916" s="94"/>
      <c r="AN916" s="94"/>
      <c r="AO916" s="94"/>
      <c r="AP916" s="94"/>
      <c r="AQ916" s="94"/>
      <c r="AR916" s="94"/>
      <c r="AS916" s="94"/>
      <c r="AT916" s="94"/>
      <c r="AU916" s="94"/>
      <c r="AV916" s="94"/>
      <c r="AW916" s="94"/>
      <c r="AX916" s="94"/>
      <c r="AY916" s="94"/>
      <c r="AZ916" s="94"/>
      <c r="BA916" s="95"/>
    </row>
    <row r="917" spans="1:53" s="87" customFormat="1" ht="13">
      <c r="A917" s="90" t="str">
        <f t="shared" si="39"/>
        <v/>
      </c>
      <c r="B917">
        <v>7</v>
      </c>
      <c r="C917" s="262">
        <v>-7</v>
      </c>
      <c r="D917" s="262" t="s">
        <v>210</v>
      </c>
      <c r="E917" s="262" t="s">
        <v>210</v>
      </c>
      <c r="F917" s="262">
        <v>4</v>
      </c>
      <c r="G917" s="262">
        <v>6</v>
      </c>
      <c r="H917" s="262" t="s">
        <v>210</v>
      </c>
      <c r="I917" s="262" t="s">
        <v>210</v>
      </c>
      <c r="J917" s="262">
        <v>-2</v>
      </c>
      <c r="K917" s="262">
        <v>7</v>
      </c>
      <c r="L917" s="262" t="s">
        <v>210</v>
      </c>
      <c r="M917" s="262" t="s">
        <v>210</v>
      </c>
      <c r="N917" s="262">
        <v>-3</v>
      </c>
      <c r="O917" s="262" t="s">
        <v>202</v>
      </c>
      <c r="P917" s="262" t="s">
        <v>210</v>
      </c>
      <c r="Q917" s="94"/>
      <c r="R917" s="94"/>
      <c r="S917" s="94"/>
      <c r="T917" s="94"/>
      <c r="U917" s="94"/>
      <c r="V917" s="94"/>
      <c r="W917" s="94"/>
      <c r="X917" s="94"/>
      <c r="Y917" s="94"/>
      <c r="Z917" s="94"/>
      <c r="AA917" s="94"/>
      <c r="AB917" s="94"/>
      <c r="AC917" s="94"/>
      <c r="AD917" s="94"/>
      <c r="AE917" s="94"/>
      <c r="AF917" s="94"/>
      <c r="AG917" s="94"/>
      <c r="AH917" s="94"/>
      <c r="AI917" s="94"/>
      <c r="AJ917" s="94"/>
      <c r="AK917" s="94"/>
      <c r="AL917" s="94"/>
      <c r="AM917" s="94"/>
      <c r="AN917" s="94"/>
      <c r="AO917" s="94"/>
      <c r="AP917" s="94"/>
      <c r="AQ917" s="94"/>
      <c r="AR917" s="94"/>
      <c r="AS917" s="94"/>
      <c r="AT917" s="94"/>
      <c r="AU917" s="94"/>
      <c r="AV917" s="94"/>
      <c r="AW917" s="94"/>
      <c r="AX917" s="94"/>
      <c r="AY917" s="94"/>
      <c r="AZ917" s="94"/>
      <c r="BA917" s="95"/>
    </row>
    <row r="918" spans="1:53" s="87" customFormat="1" ht="13">
      <c r="A918" s="90" t="str">
        <f t="shared" si="39"/>
        <v/>
      </c>
      <c r="B918">
        <v>8</v>
      </c>
      <c r="C918" s="261">
        <v>-2</v>
      </c>
      <c r="D918" s="261" t="s">
        <v>210</v>
      </c>
      <c r="E918" s="261" t="s">
        <v>210</v>
      </c>
      <c r="F918" s="261">
        <v>7</v>
      </c>
      <c r="G918" s="261">
        <v>-1</v>
      </c>
      <c r="H918" s="261" t="s">
        <v>210</v>
      </c>
      <c r="I918" s="261" t="s">
        <v>210</v>
      </c>
      <c r="J918" s="261">
        <v>-4</v>
      </c>
      <c r="K918" s="261" t="s">
        <v>202</v>
      </c>
      <c r="L918" s="261" t="s">
        <v>210</v>
      </c>
      <c r="M918" s="261">
        <v>5</v>
      </c>
      <c r="N918" s="261" t="s">
        <v>210</v>
      </c>
      <c r="O918" s="261">
        <v>6</v>
      </c>
      <c r="P918" s="261" t="s">
        <v>210</v>
      </c>
      <c r="Q918" s="94"/>
      <c r="R918" s="94"/>
      <c r="S918" s="94"/>
      <c r="T918" s="94"/>
      <c r="U918" s="94"/>
      <c r="V918" s="94"/>
      <c r="W918" s="94"/>
      <c r="X918" s="94"/>
      <c r="Y918" s="94"/>
      <c r="Z918" s="94"/>
      <c r="AA918" s="94"/>
      <c r="AB918" s="94"/>
      <c r="AC918" s="94"/>
      <c r="AD918" s="94"/>
      <c r="AE918" s="94"/>
      <c r="AF918" s="94"/>
      <c r="AG918" s="94"/>
      <c r="AH918" s="94"/>
      <c r="AI918" s="94"/>
      <c r="AJ918" s="94"/>
      <c r="AK918" s="94"/>
      <c r="AL918" s="94"/>
      <c r="AM918" s="94"/>
      <c r="AN918" s="94"/>
      <c r="AO918" s="94"/>
      <c r="AP918" s="94"/>
      <c r="AQ918" s="94"/>
      <c r="AR918" s="94"/>
      <c r="AS918" s="94"/>
      <c r="AT918" s="94"/>
      <c r="AU918" s="94"/>
      <c r="AV918" s="94"/>
      <c r="AW918" s="94"/>
      <c r="AX918" s="94"/>
      <c r="AY918" s="94"/>
      <c r="AZ918" s="94"/>
      <c r="BA918" s="95"/>
    </row>
    <row r="919" spans="1:53" s="87" customFormat="1" ht="13">
      <c r="A919" s="90" t="str">
        <f t="shared" si="39"/>
        <v/>
      </c>
      <c r="B919">
        <v>9</v>
      </c>
      <c r="C919" s="261">
        <v>5</v>
      </c>
      <c r="D919" s="261" t="s">
        <v>210</v>
      </c>
      <c r="E919" s="261" t="s">
        <v>210</v>
      </c>
      <c r="F919" s="261">
        <v>3</v>
      </c>
      <c r="G919" s="261">
        <v>-4</v>
      </c>
      <c r="H919" s="261" t="s">
        <v>210</v>
      </c>
      <c r="I919" s="261" t="s">
        <v>210</v>
      </c>
      <c r="J919" s="261">
        <v>1</v>
      </c>
      <c r="K919" s="261" t="s">
        <v>210</v>
      </c>
      <c r="L919" s="261">
        <v>-2</v>
      </c>
      <c r="M919" s="261" t="s">
        <v>210</v>
      </c>
      <c r="N919" s="261" t="s">
        <v>202</v>
      </c>
      <c r="O919" s="261">
        <v>-6</v>
      </c>
      <c r="P919" s="261" t="s">
        <v>210</v>
      </c>
      <c r="Q919" s="94"/>
      <c r="R919" s="94"/>
      <c r="S919" s="94"/>
      <c r="T919" s="94"/>
      <c r="U919" s="94"/>
      <c r="V919" s="94"/>
      <c r="W919" s="94"/>
      <c r="X919" s="94"/>
      <c r="Y919" s="94"/>
      <c r="Z919" s="94"/>
      <c r="AA919" s="94"/>
      <c r="AB919" s="94"/>
      <c r="AC919" s="94"/>
      <c r="AD919" s="94"/>
      <c r="AE919" s="94"/>
      <c r="AF919" s="94"/>
      <c r="AG919" s="94"/>
      <c r="AH919" s="94"/>
      <c r="AI919" s="94"/>
      <c r="AJ919" s="94"/>
      <c r="AK919" s="94"/>
      <c r="AL919" s="94"/>
      <c r="AM919" s="94"/>
      <c r="AN919" s="94"/>
      <c r="AO919" s="94"/>
      <c r="AP919" s="94"/>
      <c r="AQ919" s="94"/>
      <c r="AR919" s="94"/>
      <c r="AS919" s="94"/>
      <c r="AT919" s="94"/>
      <c r="AU919" s="94"/>
      <c r="AV919" s="94"/>
      <c r="AW919" s="94"/>
      <c r="AX919" s="94"/>
      <c r="AY919" s="94"/>
      <c r="AZ919" s="94"/>
      <c r="BA919" s="95"/>
    </row>
    <row r="920" spans="1:53" s="87" customFormat="1" ht="13">
      <c r="A920" s="90" t="str">
        <f t="shared" si="39"/>
        <v/>
      </c>
      <c r="B920">
        <v>10</v>
      </c>
      <c r="C920" s="261" t="s">
        <v>202</v>
      </c>
      <c r="D920" s="261" t="s">
        <v>210</v>
      </c>
      <c r="E920" s="261" t="s">
        <v>210</v>
      </c>
      <c r="F920" s="261">
        <v>-3</v>
      </c>
      <c r="G920" s="261">
        <v>7</v>
      </c>
      <c r="H920" s="261" t="s">
        <v>210</v>
      </c>
      <c r="I920" s="261" t="s">
        <v>210</v>
      </c>
      <c r="J920" s="261">
        <v>4</v>
      </c>
      <c r="K920" s="261">
        <v>-6</v>
      </c>
      <c r="L920" s="261" t="s">
        <v>210</v>
      </c>
      <c r="M920" s="261" t="s">
        <v>210</v>
      </c>
      <c r="N920" s="261">
        <v>-1</v>
      </c>
      <c r="O920" s="261">
        <v>2</v>
      </c>
      <c r="P920" s="261" t="s">
        <v>210</v>
      </c>
      <c r="Q920" s="94"/>
      <c r="R920" s="94"/>
      <c r="S920" s="94"/>
      <c r="T920" s="94"/>
      <c r="U920" s="94"/>
      <c r="V920" s="94"/>
      <c r="W920" s="94"/>
      <c r="X920" s="94"/>
      <c r="Y920" s="94"/>
      <c r="Z920" s="94"/>
      <c r="AA920" s="94"/>
      <c r="AB920" s="94"/>
      <c r="AC920" s="94"/>
      <c r="AD920" s="94"/>
      <c r="AE920" s="94"/>
      <c r="AF920" s="94"/>
      <c r="AG920" s="94"/>
      <c r="AH920" s="94"/>
      <c r="AI920" s="94"/>
      <c r="AJ920" s="94"/>
      <c r="AK920" s="94"/>
      <c r="AL920" s="94"/>
      <c r="AM920" s="94"/>
      <c r="AN920" s="94"/>
      <c r="AO920" s="94"/>
      <c r="AP920" s="94"/>
      <c r="AQ920" s="94"/>
      <c r="AR920" s="94"/>
      <c r="AS920" s="94"/>
      <c r="AT920" s="94"/>
      <c r="AU920" s="94"/>
      <c r="AV920" s="94"/>
      <c r="AW920" s="94"/>
      <c r="AX920" s="94"/>
      <c r="AY920" s="94"/>
      <c r="AZ920" s="94"/>
      <c r="BA920" s="95"/>
    </row>
    <row r="921" spans="1:53" s="87" customFormat="1" ht="13">
      <c r="A921" s="90" t="str">
        <f t="shared" si="39"/>
        <v/>
      </c>
      <c r="B921">
        <v>11</v>
      </c>
      <c r="C921" s="261">
        <v>6</v>
      </c>
      <c r="D921" s="261" t="s">
        <v>210</v>
      </c>
      <c r="E921" s="261" t="s">
        <v>210</v>
      </c>
      <c r="F921" s="261">
        <v>-7</v>
      </c>
      <c r="G921" s="261" t="s">
        <v>202</v>
      </c>
      <c r="H921" s="261" t="s">
        <v>210</v>
      </c>
      <c r="I921" s="261" t="s">
        <v>210</v>
      </c>
      <c r="J921" s="261">
        <v>-1</v>
      </c>
      <c r="K921" s="261">
        <v>3</v>
      </c>
      <c r="L921" s="261" t="s">
        <v>210</v>
      </c>
      <c r="M921" s="261" t="s">
        <v>210</v>
      </c>
      <c r="N921" s="261">
        <v>4</v>
      </c>
      <c r="O921" s="261">
        <v>-2</v>
      </c>
      <c r="P921" s="261" t="s">
        <v>210</v>
      </c>
      <c r="Q921" s="94"/>
      <c r="R921" s="94"/>
      <c r="S921" s="94"/>
      <c r="T921" s="94"/>
      <c r="U921" s="94"/>
      <c r="V921" s="94"/>
      <c r="W921" s="94"/>
      <c r="X921" s="94"/>
      <c r="Y921" s="94"/>
      <c r="Z921" s="94"/>
      <c r="AA921" s="94"/>
      <c r="AB921" s="94"/>
      <c r="AC921" s="94"/>
      <c r="AD921" s="94"/>
      <c r="AE921" s="94"/>
      <c r="AF921" s="94"/>
      <c r="AG921" s="94"/>
      <c r="AH921" s="94"/>
      <c r="AI921" s="94"/>
      <c r="AJ921" s="94"/>
      <c r="AK921" s="94"/>
      <c r="AL921" s="94"/>
      <c r="AM921" s="94"/>
      <c r="AN921" s="94"/>
      <c r="AO921" s="94"/>
      <c r="AP921" s="94"/>
      <c r="AQ921" s="94"/>
      <c r="AR921" s="94"/>
      <c r="AS921" s="94"/>
      <c r="AT921" s="94"/>
      <c r="AU921" s="94"/>
      <c r="AV921" s="94"/>
      <c r="AW921" s="94"/>
      <c r="AX921" s="94"/>
      <c r="AY921" s="94"/>
      <c r="AZ921" s="94"/>
      <c r="BA921" s="95"/>
    </row>
    <row r="922" spans="1:53" s="87" customFormat="1" ht="13">
      <c r="A922" s="90" t="str">
        <f t="shared" si="39"/>
        <v/>
      </c>
      <c r="B922">
        <v>12</v>
      </c>
      <c r="C922" s="261">
        <v>-5</v>
      </c>
      <c r="D922" s="261" t="s">
        <v>210</v>
      </c>
      <c r="E922" s="261" t="s">
        <v>210</v>
      </c>
      <c r="F922" s="261" t="s">
        <v>202</v>
      </c>
      <c r="G922" s="261">
        <v>1</v>
      </c>
      <c r="H922" s="261" t="s">
        <v>210</v>
      </c>
      <c r="I922" s="261" t="s">
        <v>210</v>
      </c>
      <c r="J922" s="261">
        <v>-3</v>
      </c>
      <c r="K922" s="261">
        <v>6</v>
      </c>
      <c r="L922" s="261" t="s">
        <v>210</v>
      </c>
      <c r="M922" s="261" t="s">
        <v>210</v>
      </c>
      <c r="N922" s="261">
        <v>-4</v>
      </c>
      <c r="O922" s="261" t="s">
        <v>210</v>
      </c>
      <c r="P922" s="261">
        <v>7</v>
      </c>
      <c r="Q922" s="94"/>
      <c r="R922" s="94"/>
      <c r="S922" s="94"/>
      <c r="T922" s="94"/>
      <c r="U922" s="94"/>
      <c r="V922" s="94"/>
      <c r="W922" s="94"/>
      <c r="X922" s="94"/>
      <c r="Y922" s="94"/>
      <c r="Z922" s="94"/>
      <c r="AA922" s="94"/>
      <c r="AB922" s="94"/>
      <c r="AC922" s="94"/>
      <c r="AD922" s="94"/>
      <c r="AE922" s="94"/>
      <c r="AF922" s="94"/>
      <c r="AG922" s="94"/>
      <c r="AH922" s="94"/>
      <c r="AI922" s="94"/>
      <c r="AJ922" s="94"/>
      <c r="AK922" s="94"/>
      <c r="AL922" s="94"/>
      <c r="AM922" s="94"/>
      <c r="AN922" s="94"/>
      <c r="AO922" s="94"/>
      <c r="AP922" s="94"/>
      <c r="AQ922" s="94"/>
      <c r="AR922" s="94"/>
      <c r="AS922" s="94"/>
      <c r="AT922" s="94"/>
      <c r="AU922" s="94"/>
      <c r="AV922" s="94"/>
      <c r="AW922" s="94"/>
      <c r="AX922" s="94"/>
      <c r="AY922" s="94"/>
      <c r="AZ922" s="94"/>
      <c r="BA922" s="95"/>
    </row>
    <row r="923" spans="1:53" s="87" customFormat="1" ht="13">
      <c r="A923" s="90" t="str">
        <f t="shared" si="39"/>
        <v/>
      </c>
      <c r="B923">
        <v>13</v>
      </c>
      <c r="C923" s="261">
        <v>2</v>
      </c>
      <c r="D923" s="261" t="s">
        <v>210</v>
      </c>
      <c r="E923" s="261" t="s">
        <v>210</v>
      </c>
      <c r="F923" s="261">
        <v>-8</v>
      </c>
      <c r="G923" s="261">
        <v>4</v>
      </c>
      <c r="H923" s="261" t="s">
        <v>210</v>
      </c>
      <c r="I923" s="261" t="s">
        <v>210</v>
      </c>
      <c r="J923" s="261" t="s">
        <v>202</v>
      </c>
      <c r="K923" s="261">
        <v>-3</v>
      </c>
      <c r="L923" s="261" t="s">
        <v>210</v>
      </c>
      <c r="M923" s="261" t="s">
        <v>210</v>
      </c>
      <c r="N923" s="261">
        <v>1</v>
      </c>
      <c r="O923" s="261" t="s">
        <v>210</v>
      </c>
      <c r="P923" s="261">
        <v>-7</v>
      </c>
      <c r="Q923" s="94"/>
      <c r="R923" s="94"/>
      <c r="S923" s="94"/>
      <c r="T923" s="94"/>
      <c r="U923" s="94"/>
      <c r="V923" s="94"/>
      <c r="W923" s="94"/>
      <c r="X923" s="94"/>
      <c r="Y923" s="94"/>
      <c r="Z923" s="94"/>
      <c r="AA923" s="94"/>
      <c r="AB923" s="94"/>
      <c r="AC923" s="94"/>
      <c r="AD923" s="94"/>
      <c r="AE923" s="94"/>
      <c r="AF923" s="94"/>
      <c r="AG923" s="94"/>
      <c r="AH923" s="94"/>
      <c r="AI923" s="94"/>
      <c r="AJ923" s="94"/>
      <c r="AK923" s="94"/>
      <c r="AL923" s="94"/>
      <c r="AM923" s="94"/>
      <c r="AN923" s="94"/>
      <c r="AO923" s="94"/>
      <c r="AP923" s="94"/>
      <c r="AQ923" s="94"/>
      <c r="AR923" s="94"/>
      <c r="AS923" s="94"/>
      <c r="AT923" s="94"/>
      <c r="AU923" s="94"/>
      <c r="AV923" s="94"/>
      <c r="AW923" s="94"/>
      <c r="AX923" s="94"/>
      <c r="AY923" s="94"/>
      <c r="AZ923" s="94"/>
      <c r="BA923" s="95"/>
    </row>
    <row r="924" spans="1:53" s="87" customFormat="1" ht="13">
      <c r="A924" s="90" t="str">
        <f t="shared" si="39"/>
        <v/>
      </c>
      <c r="B924">
        <v>14</v>
      </c>
      <c r="C924" s="262">
        <v>-6</v>
      </c>
      <c r="D924" s="262" t="s">
        <v>210</v>
      </c>
      <c r="E924" s="262" t="s">
        <v>210</v>
      </c>
      <c r="F924" s="262">
        <v>8</v>
      </c>
      <c r="G924" s="262">
        <v>-7</v>
      </c>
      <c r="H924" s="262" t="s">
        <v>210</v>
      </c>
      <c r="I924" s="262" t="s">
        <v>210</v>
      </c>
      <c r="J924" s="262">
        <v>3</v>
      </c>
      <c r="K924" s="262" t="s">
        <v>210</v>
      </c>
      <c r="L924" s="262">
        <v>2</v>
      </c>
      <c r="M924" s="262">
        <v>-5</v>
      </c>
      <c r="N924" s="262" t="s">
        <v>210</v>
      </c>
      <c r="O924" s="262" t="s">
        <v>202</v>
      </c>
      <c r="P924" s="262" t="s">
        <v>210</v>
      </c>
      <c r="Q924" s="94"/>
      <c r="R924" s="94"/>
      <c r="S924" s="94"/>
      <c r="T924" s="94"/>
      <c r="U924" s="94"/>
      <c r="V924" s="94"/>
      <c r="W924" s="94"/>
      <c r="X924" s="94"/>
      <c r="Y924" s="94"/>
      <c r="Z924" s="94"/>
      <c r="AA924" s="94"/>
      <c r="AB924" s="94"/>
      <c r="AC924" s="94"/>
      <c r="AD924" s="94"/>
      <c r="AE924" s="94"/>
      <c r="AF924" s="94"/>
      <c r="AG924" s="94"/>
      <c r="AH924" s="94"/>
      <c r="AI924" s="94"/>
      <c r="AJ924" s="94"/>
      <c r="AK924" s="94"/>
      <c r="AL924" s="94"/>
      <c r="AM924" s="94"/>
      <c r="AN924" s="94"/>
      <c r="AO924" s="94"/>
      <c r="AP924" s="94"/>
      <c r="AQ924" s="94"/>
      <c r="AR924" s="94"/>
      <c r="AS924" s="94"/>
      <c r="AT924" s="94"/>
      <c r="AU924" s="94"/>
      <c r="AV924" s="94"/>
      <c r="AW924" s="94"/>
      <c r="AX924" s="94"/>
      <c r="AY924" s="94"/>
      <c r="AZ924" s="94"/>
      <c r="BA924" s="95"/>
    </row>
    <row r="925" spans="1:53" s="87" customFormat="1" ht="13">
      <c r="A925" s="90" t="str">
        <f t="shared" si="39"/>
        <v/>
      </c>
      <c r="B925">
        <v>15</v>
      </c>
      <c r="C925" s="261" t="s">
        <v>210</v>
      </c>
      <c r="D925" s="261" t="s">
        <v>202</v>
      </c>
      <c r="E925" s="261">
        <v>8</v>
      </c>
      <c r="F925" s="261" t="s">
        <v>210</v>
      </c>
      <c r="G925" s="261" t="s">
        <v>210</v>
      </c>
      <c r="H925" s="261">
        <v>-3</v>
      </c>
      <c r="I925" s="261">
        <v>4</v>
      </c>
      <c r="J925" s="261" t="s">
        <v>210</v>
      </c>
      <c r="K925" s="261" t="s">
        <v>210</v>
      </c>
      <c r="L925" s="261">
        <v>5</v>
      </c>
      <c r="M925" s="261">
        <v>-6</v>
      </c>
      <c r="N925" s="261" t="s">
        <v>210</v>
      </c>
      <c r="O925" s="261">
        <v>-7</v>
      </c>
      <c r="P925" s="261" t="s">
        <v>210</v>
      </c>
      <c r="Q925" s="94"/>
      <c r="R925" s="94"/>
      <c r="S925" s="94"/>
      <c r="T925" s="94"/>
      <c r="U925" s="94"/>
      <c r="V925" s="94"/>
      <c r="W925" s="94"/>
      <c r="X925" s="94"/>
      <c r="Y925" s="94"/>
      <c r="Z925" s="94"/>
      <c r="AA925" s="94"/>
      <c r="AB925" s="94"/>
      <c r="AC925" s="94"/>
      <c r="AD925" s="94"/>
      <c r="AE925" s="94"/>
      <c r="AF925" s="94"/>
      <c r="AG925" s="94"/>
      <c r="AH925" s="94"/>
      <c r="AI925" s="94"/>
      <c r="AJ925" s="94"/>
      <c r="AK925" s="94"/>
      <c r="AL925" s="94"/>
      <c r="AM925" s="94"/>
      <c r="AN925" s="94"/>
      <c r="AO925" s="94"/>
      <c r="AP925" s="94"/>
      <c r="AQ925" s="94"/>
      <c r="AR925" s="94"/>
      <c r="AS925" s="94"/>
      <c r="AT925" s="94"/>
      <c r="AU925" s="94"/>
      <c r="AV925" s="94"/>
      <c r="AW925" s="94"/>
      <c r="AX925" s="94"/>
      <c r="AY925" s="94"/>
      <c r="AZ925" s="94"/>
      <c r="BA925" s="95"/>
    </row>
    <row r="926" spans="1:53" s="87" customFormat="1" ht="13">
      <c r="A926" s="90" t="str">
        <f t="shared" si="39"/>
        <v/>
      </c>
      <c r="B926">
        <v>16</v>
      </c>
      <c r="C926" s="261" t="s">
        <v>210</v>
      </c>
      <c r="D926" s="261">
        <v>-5</v>
      </c>
      <c r="E926" s="261">
        <v>1</v>
      </c>
      <c r="F926" s="261" t="s">
        <v>210</v>
      </c>
      <c r="G926" s="261" t="s">
        <v>210</v>
      </c>
      <c r="H926" s="261">
        <v>-2</v>
      </c>
      <c r="I926" s="261" t="s">
        <v>202</v>
      </c>
      <c r="J926" s="261" t="s">
        <v>210</v>
      </c>
      <c r="K926" s="261" t="s">
        <v>210</v>
      </c>
      <c r="L926" s="261">
        <v>-3</v>
      </c>
      <c r="M926" s="261">
        <v>4</v>
      </c>
      <c r="N926" s="261" t="s">
        <v>210</v>
      </c>
      <c r="O926" s="261">
        <v>7</v>
      </c>
      <c r="P926" s="261" t="s">
        <v>210</v>
      </c>
      <c r="Q926" s="94"/>
      <c r="R926" s="94"/>
      <c r="S926" s="94"/>
      <c r="T926" s="94"/>
      <c r="U926" s="94"/>
      <c r="V926" s="94"/>
      <c r="W926" s="94"/>
      <c r="X926" s="94"/>
      <c r="Y926" s="94"/>
      <c r="Z926" s="94"/>
      <c r="AA926" s="94"/>
      <c r="AB926" s="94"/>
      <c r="AC926" s="94"/>
      <c r="AD926" s="94"/>
      <c r="AE926" s="94"/>
      <c r="AF926" s="94"/>
      <c r="AG926" s="94"/>
      <c r="AH926" s="94"/>
      <c r="AI926" s="94"/>
      <c r="AJ926" s="94"/>
      <c r="AK926" s="94"/>
      <c r="AL926" s="94"/>
      <c r="AM926" s="94"/>
      <c r="AN926" s="94"/>
      <c r="AO926" s="94"/>
      <c r="AP926" s="94"/>
      <c r="AQ926" s="94"/>
      <c r="AR926" s="94"/>
      <c r="AS926" s="94"/>
      <c r="AT926" s="94"/>
      <c r="AU926" s="94"/>
      <c r="AV926" s="94"/>
      <c r="AW926" s="94"/>
      <c r="AX926" s="94"/>
      <c r="AY926" s="94"/>
      <c r="AZ926" s="94"/>
      <c r="BA926" s="95"/>
    </row>
    <row r="927" spans="1:53" s="87" customFormat="1" ht="13">
      <c r="A927" s="90" t="str">
        <f t="shared" si="39"/>
        <v/>
      </c>
      <c r="B927">
        <v>17</v>
      </c>
      <c r="C927" s="261">
        <v>4</v>
      </c>
      <c r="D927" s="261" t="s">
        <v>210</v>
      </c>
      <c r="E927" s="261" t="s">
        <v>202</v>
      </c>
      <c r="F927" s="261" t="s">
        <v>210</v>
      </c>
      <c r="G927" s="261" t="s">
        <v>210</v>
      </c>
      <c r="H927" s="261">
        <v>-8</v>
      </c>
      <c r="I927" s="261">
        <v>-5</v>
      </c>
      <c r="J927" s="261" t="s">
        <v>210</v>
      </c>
      <c r="K927" s="261" t="s">
        <v>210</v>
      </c>
      <c r="L927" s="261">
        <v>3</v>
      </c>
      <c r="M927" s="261">
        <v>6</v>
      </c>
      <c r="N927" s="261" t="s">
        <v>210</v>
      </c>
      <c r="O927" s="261" t="s">
        <v>210</v>
      </c>
      <c r="P927" s="261">
        <v>-2</v>
      </c>
      <c r="Q927" s="94"/>
      <c r="R927" s="94"/>
      <c r="S927" s="94"/>
      <c r="T927" s="94"/>
      <c r="U927" s="94"/>
      <c r="V927" s="94"/>
      <c r="W927" s="94"/>
      <c r="X927" s="94"/>
      <c r="Y927" s="94"/>
      <c r="Z927" s="94"/>
      <c r="AA927" s="94"/>
      <c r="AB927" s="94"/>
      <c r="AC927" s="94"/>
      <c r="AD927" s="94"/>
      <c r="AE927" s="94"/>
      <c r="AF927" s="94"/>
      <c r="AG927" s="94"/>
      <c r="AH927" s="94"/>
      <c r="AI927" s="94"/>
      <c r="AJ927" s="94"/>
      <c r="AK927" s="94"/>
      <c r="AL927" s="94"/>
      <c r="AM927" s="94"/>
      <c r="AN927" s="94"/>
      <c r="AO927" s="94"/>
      <c r="AP927" s="94"/>
      <c r="AQ927" s="94"/>
      <c r="AR927" s="94"/>
      <c r="AS927" s="94"/>
      <c r="AT927" s="94"/>
      <c r="AU927" s="94"/>
      <c r="AV927" s="94"/>
      <c r="AW927" s="94"/>
      <c r="AX927" s="94"/>
      <c r="AY927" s="94"/>
      <c r="AZ927" s="94"/>
      <c r="BA927" s="95"/>
    </row>
    <row r="928" spans="1:53" s="87" customFormat="1" ht="13">
      <c r="A928" s="90" t="str">
        <f t="shared" si="39"/>
        <v/>
      </c>
      <c r="B928">
        <v>18</v>
      </c>
      <c r="C928" s="261" t="s">
        <v>210</v>
      </c>
      <c r="D928" s="261">
        <v>-7</v>
      </c>
      <c r="E928" s="261">
        <v>6</v>
      </c>
      <c r="F928" s="261" t="s">
        <v>210</v>
      </c>
      <c r="G928" s="261" t="s">
        <v>210</v>
      </c>
      <c r="H928" s="261" t="s">
        <v>202</v>
      </c>
      <c r="I928" s="261">
        <v>1</v>
      </c>
      <c r="J928" s="261" t="s">
        <v>210</v>
      </c>
      <c r="K928" s="261" t="s">
        <v>210</v>
      </c>
      <c r="L928" s="261">
        <v>-5</v>
      </c>
      <c r="M928" s="261">
        <v>-4</v>
      </c>
      <c r="N928" s="261" t="s">
        <v>210</v>
      </c>
      <c r="O928" s="261" t="s">
        <v>210</v>
      </c>
      <c r="P928" s="261">
        <v>2</v>
      </c>
      <c r="Q928" s="94"/>
      <c r="R928" s="94"/>
      <c r="S928" s="94"/>
      <c r="T928" s="94"/>
      <c r="U928" s="94"/>
      <c r="V928" s="94"/>
      <c r="W928" s="94"/>
      <c r="X928" s="94"/>
      <c r="Y928" s="94"/>
      <c r="Z928" s="94"/>
      <c r="AA928" s="94"/>
      <c r="AB928" s="94"/>
      <c r="AC928" s="94"/>
      <c r="AD928" s="94"/>
      <c r="AE928" s="94"/>
      <c r="AF928" s="94"/>
      <c r="AG928" s="94"/>
      <c r="AH928" s="94"/>
      <c r="AI928" s="94"/>
      <c r="AJ928" s="94"/>
      <c r="AK928" s="94"/>
      <c r="AL928" s="94"/>
      <c r="AM928" s="94"/>
      <c r="AN928" s="94"/>
      <c r="AO928" s="94"/>
      <c r="AP928" s="94"/>
      <c r="AQ928" s="94"/>
      <c r="AR928" s="94"/>
      <c r="AS928" s="94"/>
      <c r="AT928" s="94"/>
      <c r="AU928" s="94"/>
      <c r="AV928" s="94"/>
      <c r="AW928" s="94"/>
      <c r="AX928" s="94"/>
      <c r="AY928" s="94"/>
      <c r="AZ928" s="94"/>
      <c r="BA928" s="95"/>
    </row>
    <row r="929" spans="1:53" s="87" customFormat="1" ht="13">
      <c r="A929" s="90" t="str">
        <f t="shared" si="39"/>
        <v/>
      </c>
      <c r="B929">
        <v>19</v>
      </c>
      <c r="C929" s="261" t="s">
        <v>210</v>
      </c>
      <c r="D929" s="261">
        <v>7</v>
      </c>
      <c r="E929" s="261">
        <v>-1</v>
      </c>
      <c r="F929" s="261" t="s">
        <v>210</v>
      </c>
      <c r="G929" s="261" t="s">
        <v>210</v>
      </c>
      <c r="H929" s="261">
        <v>3</v>
      </c>
      <c r="I929" s="261">
        <v>5</v>
      </c>
      <c r="J929" s="261" t="s">
        <v>210</v>
      </c>
      <c r="K929" s="261" t="s">
        <v>210</v>
      </c>
      <c r="L929" s="261" t="s">
        <v>202</v>
      </c>
      <c r="M929" s="261">
        <v>-2</v>
      </c>
      <c r="N929" s="261" t="s">
        <v>210</v>
      </c>
      <c r="O929" s="261" t="s">
        <v>210</v>
      </c>
      <c r="P929" s="261">
        <v>-6</v>
      </c>
      <c r="Q929" s="94"/>
      <c r="R929" s="94"/>
      <c r="S929" s="94"/>
      <c r="T929" s="94"/>
      <c r="U929" s="94"/>
      <c r="V929" s="94"/>
      <c r="W929" s="94"/>
      <c r="X929" s="94"/>
      <c r="Y929" s="94"/>
      <c r="Z929" s="94"/>
      <c r="AA929" s="94"/>
      <c r="AB929" s="94"/>
      <c r="AC929" s="94"/>
      <c r="AD929" s="94"/>
      <c r="AE929" s="94"/>
      <c r="AF929" s="94"/>
      <c r="AG929" s="94"/>
      <c r="AH929" s="94"/>
      <c r="AI929" s="94"/>
      <c r="AJ929" s="94"/>
      <c r="AK929" s="94"/>
      <c r="AL929" s="94"/>
      <c r="AM929" s="94"/>
      <c r="AN929" s="94"/>
      <c r="AO929" s="94"/>
      <c r="AP929" s="94"/>
      <c r="AQ929" s="94"/>
      <c r="AR929" s="94"/>
      <c r="AS929" s="94"/>
      <c r="AT929" s="94"/>
      <c r="AU929" s="94"/>
      <c r="AV929" s="94"/>
      <c r="AW929" s="94"/>
      <c r="AX929" s="94"/>
      <c r="AY929" s="94"/>
      <c r="AZ929" s="94"/>
      <c r="BA929" s="95"/>
    </row>
    <row r="930" spans="1:53" s="87" customFormat="1" ht="13">
      <c r="A930" s="90" t="str">
        <f t="shared" si="39"/>
        <v/>
      </c>
      <c r="B930">
        <v>20</v>
      </c>
      <c r="C930" s="261">
        <v>-4</v>
      </c>
      <c r="D930" s="261" t="s">
        <v>210</v>
      </c>
      <c r="E930" s="261">
        <v>-8</v>
      </c>
      <c r="F930" s="261" t="s">
        <v>210</v>
      </c>
      <c r="G930" s="261" t="s">
        <v>210</v>
      </c>
      <c r="H930" s="261">
        <v>2</v>
      </c>
      <c r="I930" s="261">
        <v>-1</v>
      </c>
      <c r="J930" s="261" t="s">
        <v>210</v>
      </c>
      <c r="K930" s="261" t="s">
        <v>210</v>
      </c>
      <c r="L930" s="261">
        <v>7</v>
      </c>
      <c r="M930" s="261" t="s">
        <v>202</v>
      </c>
      <c r="N930" s="261" t="s">
        <v>210</v>
      </c>
      <c r="O930" s="261" t="s">
        <v>210</v>
      </c>
      <c r="P930" s="261">
        <v>6</v>
      </c>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5"/>
    </row>
    <row r="931" spans="1:53" s="87" customFormat="1" ht="13">
      <c r="A931" s="90" t="str">
        <f t="shared" si="39"/>
        <v/>
      </c>
      <c r="B931">
        <v>21</v>
      </c>
      <c r="C931" s="262" t="s">
        <v>210</v>
      </c>
      <c r="D931" s="262">
        <v>5</v>
      </c>
      <c r="E931" s="262">
        <v>-6</v>
      </c>
      <c r="F931" s="262" t="s">
        <v>210</v>
      </c>
      <c r="G931" s="262" t="s">
        <v>210</v>
      </c>
      <c r="H931" s="262">
        <v>8</v>
      </c>
      <c r="I931" s="262">
        <v>-4</v>
      </c>
      <c r="J931" s="262" t="s">
        <v>210</v>
      </c>
      <c r="K931" s="262" t="s">
        <v>210</v>
      </c>
      <c r="L931" s="262">
        <v>-7</v>
      </c>
      <c r="M931" s="262">
        <v>2</v>
      </c>
      <c r="N931" s="262" t="s">
        <v>210</v>
      </c>
      <c r="O931" s="262" t="s">
        <v>210</v>
      </c>
      <c r="P931" s="262" t="s">
        <v>202</v>
      </c>
      <c r="Q931" s="94"/>
      <c r="R931" s="94"/>
      <c r="S931" s="94"/>
      <c r="T931" s="94"/>
      <c r="U931" s="94"/>
      <c r="V931" s="94"/>
      <c r="W931" s="94"/>
      <c r="X931" s="94"/>
      <c r="Y931" s="94"/>
      <c r="Z931" s="94"/>
      <c r="AA931" s="94"/>
      <c r="AB931" s="94"/>
      <c r="AC931" s="94"/>
      <c r="AD931" s="94"/>
      <c r="AE931" s="94"/>
      <c r="AF931" s="94"/>
      <c r="AG931" s="94"/>
      <c r="AH931" s="94"/>
      <c r="AI931" s="94"/>
      <c r="AJ931" s="94"/>
      <c r="AK931" s="94"/>
      <c r="AL931" s="94"/>
      <c r="AM931" s="94"/>
      <c r="AN931" s="94"/>
      <c r="AO931" s="94"/>
      <c r="AP931" s="94"/>
      <c r="AQ931" s="94"/>
      <c r="AR931" s="94"/>
      <c r="AS931" s="94"/>
      <c r="AT931" s="94"/>
      <c r="AU931" s="94"/>
      <c r="AV931" s="94"/>
      <c r="AW931" s="94"/>
      <c r="AX931" s="94"/>
      <c r="AY931" s="94"/>
      <c r="AZ931" s="94"/>
      <c r="BA931" s="95"/>
    </row>
    <row r="932" spans="1:53" s="87" customFormat="1" ht="13">
      <c r="A932" s="90" t="str">
        <f t="shared" si="39"/>
        <v/>
      </c>
      <c r="B932">
        <v>22</v>
      </c>
      <c r="C932" s="261">
        <v>-8</v>
      </c>
      <c r="D932" s="261" t="s">
        <v>210</v>
      </c>
      <c r="E932" s="261">
        <v>4</v>
      </c>
      <c r="F932" s="261" t="s">
        <v>210</v>
      </c>
      <c r="G932" s="261" t="s">
        <v>210</v>
      </c>
      <c r="H932" s="261">
        <v>-6</v>
      </c>
      <c r="I932" s="261" t="s">
        <v>202</v>
      </c>
      <c r="J932" s="261" t="s">
        <v>210</v>
      </c>
      <c r="K932" s="261">
        <v>-2</v>
      </c>
      <c r="L932" s="261" t="s">
        <v>210</v>
      </c>
      <c r="M932" s="261">
        <v>8</v>
      </c>
      <c r="N932" s="261" t="s">
        <v>210</v>
      </c>
      <c r="O932" s="261" t="s">
        <v>210</v>
      </c>
      <c r="P932" s="261">
        <v>5</v>
      </c>
      <c r="Q932" s="94"/>
      <c r="R932" s="94"/>
      <c r="S932" s="94"/>
      <c r="T932" s="94"/>
      <c r="U932" s="94"/>
      <c r="V932" s="94"/>
      <c r="W932" s="94"/>
      <c r="X932" s="94"/>
      <c r="Y932" s="94"/>
      <c r="Z932" s="94"/>
      <c r="AA932" s="94"/>
      <c r="AB932" s="94"/>
      <c r="AC932" s="94"/>
      <c r="AD932" s="94"/>
      <c r="AE932" s="94"/>
      <c r="AF932" s="94"/>
      <c r="AG932" s="94"/>
      <c r="AH932" s="94"/>
      <c r="AI932" s="94"/>
      <c r="AJ932" s="94"/>
      <c r="AK932" s="94"/>
      <c r="AL932" s="94"/>
      <c r="AM932" s="94"/>
      <c r="AN932" s="94"/>
      <c r="AO932" s="94"/>
      <c r="AP932" s="94"/>
      <c r="AQ932" s="94"/>
      <c r="AR932" s="94"/>
      <c r="AS932" s="94"/>
      <c r="AT932" s="94"/>
      <c r="AU932" s="94"/>
      <c r="AV932" s="94"/>
      <c r="AW932" s="94"/>
      <c r="AX932" s="94"/>
      <c r="AY932" s="94"/>
      <c r="AZ932" s="94"/>
      <c r="BA932" s="95"/>
    </row>
    <row r="933" spans="1:53" s="87" customFormat="1" ht="13">
      <c r="A933" s="90" t="str">
        <f t="shared" si="39"/>
        <v/>
      </c>
      <c r="B933">
        <v>23</v>
      </c>
      <c r="C933" s="261" t="s">
        <v>210</v>
      </c>
      <c r="D933" s="261">
        <v>2</v>
      </c>
      <c r="E933" s="261">
        <v>-3</v>
      </c>
      <c r="F933" s="261" t="s">
        <v>210</v>
      </c>
      <c r="G933" s="261" t="s">
        <v>210</v>
      </c>
      <c r="H933" s="261" t="s">
        <v>202</v>
      </c>
      <c r="I933" s="261">
        <v>8</v>
      </c>
      <c r="J933" s="261" t="s">
        <v>210</v>
      </c>
      <c r="K933" s="261" t="s">
        <v>210</v>
      </c>
      <c r="L933" s="261">
        <v>6</v>
      </c>
      <c r="M933" s="261">
        <v>-1</v>
      </c>
      <c r="N933" s="261" t="s">
        <v>210</v>
      </c>
      <c r="O933" s="261" t="s">
        <v>210</v>
      </c>
      <c r="P933" s="261">
        <v>-5</v>
      </c>
      <c r="Q933" s="94"/>
      <c r="R933" s="94"/>
      <c r="S933" s="94"/>
      <c r="T933" s="94"/>
      <c r="U933" s="94"/>
      <c r="V933" s="94"/>
      <c r="W933" s="94"/>
      <c r="X933" s="94"/>
      <c r="Y933" s="94"/>
      <c r="Z933" s="94"/>
      <c r="AA933" s="94"/>
      <c r="AB933" s="94"/>
      <c r="AC933" s="94"/>
      <c r="AD933" s="94"/>
      <c r="AE933" s="94"/>
      <c r="AF933" s="94"/>
      <c r="AG933" s="94"/>
      <c r="AH933" s="94"/>
      <c r="AI933" s="94"/>
      <c r="AJ933" s="94"/>
      <c r="AK933" s="94"/>
      <c r="AL933" s="94"/>
      <c r="AM933" s="94"/>
      <c r="AN933" s="94"/>
      <c r="AO933" s="94"/>
      <c r="AP933" s="94"/>
      <c r="AQ933" s="94"/>
      <c r="AR933" s="94"/>
      <c r="AS933" s="94"/>
      <c r="AT933" s="94"/>
      <c r="AU933" s="94"/>
      <c r="AV933" s="94"/>
      <c r="AW933" s="94"/>
      <c r="AX933" s="94"/>
      <c r="AY933" s="94"/>
      <c r="AZ933" s="94"/>
      <c r="BA933" s="95"/>
    </row>
    <row r="934" spans="1:53" s="87" customFormat="1" ht="13">
      <c r="A934" s="90" t="str">
        <f t="shared" si="39"/>
        <v/>
      </c>
      <c r="B934">
        <v>24</v>
      </c>
      <c r="C934" s="261" t="s">
        <v>210</v>
      </c>
      <c r="D934" s="261" t="s">
        <v>202</v>
      </c>
      <c r="E934" s="261" t="s">
        <v>210</v>
      </c>
      <c r="F934" s="261">
        <v>-5</v>
      </c>
      <c r="G934" s="261" t="s">
        <v>210</v>
      </c>
      <c r="H934" s="261">
        <v>7</v>
      </c>
      <c r="I934" s="261">
        <v>-6</v>
      </c>
      <c r="J934" s="261" t="s">
        <v>210</v>
      </c>
      <c r="K934" s="261">
        <v>2</v>
      </c>
      <c r="L934" s="261" t="s">
        <v>210</v>
      </c>
      <c r="M934" s="261">
        <v>1</v>
      </c>
      <c r="N934" s="261" t="s">
        <v>210</v>
      </c>
      <c r="O934" s="261" t="s">
        <v>210</v>
      </c>
      <c r="P934" s="261">
        <v>-3</v>
      </c>
      <c r="Q934" s="94"/>
      <c r="R934" s="94"/>
      <c r="S934" s="94"/>
      <c r="T934" s="94"/>
      <c r="U934" s="94"/>
      <c r="V934" s="94"/>
      <c r="W934" s="94"/>
      <c r="X934" s="94"/>
      <c r="Y934" s="94"/>
      <c r="Z934" s="94"/>
      <c r="AA934" s="94"/>
      <c r="AB934" s="94"/>
      <c r="AC934" s="94"/>
      <c r="AD934" s="94"/>
      <c r="AE934" s="94"/>
      <c r="AF934" s="94"/>
      <c r="AG934" s="94"/>
      <c r="AH934" s="94"/>
      <c r="AI934" s="94"/>
      <c r="AJ934" s="94"/>
      <c r="AK934" s="94"/>
      <c r="AL934" s="94"/>
      <c r="AM934" s="94"/>
      <c r="AN934" s="94"/>
      <c r="AO934" s="94"/>
      <c r="AP934" s="94"/>
      <c r="AQ934" s="94"/>
      <c r="AR934" s="94"/>
      <c r="AS934" s="94"/>
      <c r="AT934" s="94"/>
      <c r="AU934" s="94"/>
      <c r="AV934" s="94"/>
      <c r="AW934" s="94"/>
      <c r="AX934" s="94"/>
      <c r="AY934" s="94"/>
      <c r="AZ934" s="94"/>
      <c r="BA934" s="95"/>
    </row>
    <row r="935" spans="1:53" s="87" customFormat="1" ht="13">
      <c r="A935" s="90" t="str">
        <f t="shared" si="39"/>
        <v/>
      </c>
      <c r="B935">
        <v>25</v>
      </c>
      <c r="C935" s="261">
        <v>1</v>
      </c>
      <c r="D935" s="261" t="s">
        <v>210</v>
      </c>
      <c r="E935" s="261" t="s">
        <v>202</v>
      </c>
      <c r="F935" s="261" t="s">
        <v>210</v>
      </c>
      <c r="G935" s="261" t="s">
        <v>210</v>
      </c>
      <c r="H935" s="261">
        <v>-5</v>
      </c>
      <c r="I935" s="261">
        <v>2</v>
      </c>
      <c r="J935" s="261" t="s">
        <v>210</v>
      </c>
      <c r="K935" s="261" t="s">
        <v>210</v>
      </c>
      <c r="L935" s="261">
        <v>-6</v>
      </c>
      <c r="M935" s="261">
        <v>-8</v>
      </c>
      <c r="N935" s="261" t="s">
        <v>210</v>
      </c>
      <c r="O935" s="261" t="s">
        <v>210</v>
      </c>
      <c r="P935" s="261">
        <v>3</v>
      </c>
      <c r="Q935" s="94"/>
      <c r="R935" s="94"/>
      <c r="S935" s="94"/>
      <c r="T935" s="94"/>
      <c r="U935" s="94"/>
      <c r="V935" s="94"/>
      <c r="W935" s="94"/>
      <c r="X935" s="94"/>
      <c r="Y935" s="94"/>
      <c r="Z935" s="94"/>
      <c r="AA935" s="94"/>
      <c r="AB935" s="94"/>
      <c r="AC935" s="94"/>
      <c r="AD935" s="94"/>
      <c r="AE935" s="94"/>
      <c r="AF935" s="94"/>
      <c r="AG935" s="94"/>
      <c r="AH935" s="94"/>
      <c r="AI935" s="94"/>
      <c r="AJ935" s="94"/>
      <c r="AK935" s="94"/>
      <c r="AL935" s="94"/>
      <c r="AM935" s="94"/>
      <c r="AN935" s="94"/>
      <c r="AO935" s="94"/>
      <c r="AP935" s="94"/>
      <c r="AQ935" s="94"/>
      <c r="AR935" s="94"/>
      <c r="AS935" s="94"/>
      <c r="AT935" s="94"/>
      <c r="AU935" s="94"/>
      <c r="AV935" s="94"/>
      <c r="AW935" s="94"/>
      <c r="AX935" s="94"/>
      <c r="AY935" s="94"/>
      <c r="AZ935" s="94"/>
      <c r="BA935" s="95"/>
    </row>
    <row r="936" spans="1:53" s="87" customFormat="1" ht="13">
      <c r="A936" s="90" t="str">
        <f t="shared" si="39"/>
        <v/>
      </c>
      <c r="B936">
        <v>26</v>
      </c>
      <c r="C936" s="261" t="s">
        <v>210</v>
      </c>
      <c r="D936" s="261">
        <v>-2</v>
      </c>
      <c r="E936" s="261">
        <v>-4</v>
      </c>
      <c r="F936" s="261" t="s">
        <v>210</v>
      </c>
      <c r="G936" s="261" t="s">
        <v>210</v>
      </c>
      <c r="H936" s="261">
        <v>5</v>
      </c>
      <c r="I936" s="261">
        <v>6</v>
      </c>
      <c r="J936" s="261" t="s">
        <v>210</v>
      </c>
      <c r="K936" s="261" t="s">
        <v>210</v>
      </c>
      <c r="L936" s="261" t="s">
        <v>202</v>
      </c>
      <c r="M936" s="261">
        <v>-7</v>
      </c>
      <c r="N936" s="261" t="s">
        <v>210</v>
      </c>
      <c r="O936" s="261" t="s">
        <v>210</v>
      </c>
      <c r="P936" s="261">
        <v>1</v>
      </c>
      <c r="Q936" s="94"/>
      <c r="R936" s="94"/>
      <c r="S936" s="94"/>
      <c r="T936" s="94"/>
      <c r="U936" s="94"/>
      <c r="V936" s="94"/>
      <c r="W936" s="94"/>
      <c r="X936" s="94"/>
      <c r="Y936" s="94"/>
      <c r="Z936" s="94"/>
      <c r="AA936" s="94"/>
      <c r="AB936" s="94"/>
      <c r="AC936" s="94"/>
      <c r="AD936" s="94"/>
      <c r="AE936" s="94"/>
      <c r="AF936" s="94"/>
      <c r="AG936" s="94"/>
      <c r="AH936" s="94"/>
      <c r="AI936" s="94"/>
      <c r="AJ936" s="94"/>
      <c r="AK936" s="94"/>
      <c r="AL936" s="94"/>
      <c r="AM936" s="94"/>
      <c r="AN936" s="94"/>
      <c r="AO936" s="94"/>
      <c r="AP936" s="94"/>
      <c r="AQ936" s="94"/>
      <c r="AR936" s="94"/>
      <c r="AS936" s="94"/>
      <c r="AT936" s="94"/>
      <c r="AU936" s="94"/>
      <c r="AV936" s="94"/>
      <c r="AW936" s="94"/>
      <c r="AX936" s="94"/>
      <c r="AY936" s="94"/>
      <c r="AZ936" s="94"/>
      <c r="BA936" s="95"/>
    </row>
    <row r="937" spans="1:53" s="87" customFormat="1" ht="13">
      <c r="A937" s="90" t="str">
        <f t="shared" si="39"/>
        <v/>
      </c>
      <c r="B937">
        <v>27</v>
      </c>
      <c r="C937" s="261">
        <v>8</v>
      </c>
      <c r="D937" s="261" t="s">
        <v>210</v>
      </c>
      <c r="E937" s="261">
        <v>3</v>
      </c>
      <c r="F937" s="261" t="s">
        <v>210</v>
      </c>
      <c r="G937" s="261" t="s">
        <v>210</v>
      </c>
      <c r="H937" s="261">
        <v>-7</v>
      </c>
      <c r="I937" s="261">
        <v>-2</v>
      </c>
      <c r="J937" s="261" t="s">
        <v>210</v>
      </c>
      <c r="K937" s="261" t="s">
        <v>210</v>
      </c>
      <c r="L937" s="261">
        <v>4</v>
      </c>
      <c r="M937" s="261" t="s">
        <v>202</v>
      </c>
      <c r="N937" s="261" t="s">
        <v>210</v>
      </c>
      <c r="O937" s="261" t="s">
        <v>210</v>
      </c>
      <c r="P937" s="261">
        <v>-1</v>
      </c>
      <c r="Q937" s="94"/>
      <c r="R937" s="94"/>
      <c r="S937" s="94"/>
      <c r="T937" s="94"/>
      <c r="U937" s="94"/>
      <c r="V937" s="94"/>
      <c r="W937" s="94"/>
      <c r="X937" s="94"/>
      <c r="Y937" s="94"/>
      <c r="Z937" s="94"/>
      <c r="AA937" s="94"/>
      <c r="AB937" s="94"/>
      <c r="AC937" s="94"/>
      <c r="AD937" s="94"/>
      <c r="AE937" s="94"/>
      <c r="AF937" s="94"/>
      <c r="AG937" s="94"/>
      <c r="AH937" s="94"/>
      <c r="AI937" s="94"/>
      <c r="AJ937" s="94"/>
      <c r="AK937" s="94"/>
      <c r="AL937" s="94"/>
      <c r="AM937" s="94"/>
      <c r="AN937" s="94"/>
      <c r="AO937" s="94"/>
      <c r="AP937" s="94"/>
      <c r="AQ937" s="94"/>
      <c r="AR937" s="94"/>
      <c r="AS937" s="94"/>
      <c r="AT937" s="94"/>
      <c r="AU937" s="94"/>
      <c r="AV937" s="94"/>
      <c r="AW937" s="94"/>
      <c r="AX937" s="94"/>
      <c r="AY937" s="94"/>
      <c r="AZ937" s="94"/>
      <c r="BA937" s="95"/>
    </row>
    <row r="938" spans="1:53" s="87" customFormat="1" ht="13">
      <c r="A938" s="90" t="str">
        <f t="shared" si="39"/>
        <v/>
      </c>
      <c r="B938">
        <v>28</v>
      </c>
      <c r="C938" s="262">
        <v>-1</v>
      </c>
      <c r="D938" s="262" t="s">
        <v>210</v>
      </c>
      <c r="E938" s="262" t="s">
        <v>210</v>
      </c>
      <c r="F938" s="262">
        <v>5</v>
      </c>
      <c r="G938" s="262" t="s">
        <v>210</v>
      </c>
      <c r="H938" s="262">
        <v>6</v>
      </c>
      <c r="I938" s="262">
        <v>-8</v>
      </c>
      <c r="J938" s="262" t="s">
        <v>210</v>
      </c>
      <c r="K938" s="262" t="s">
        <v>210</v>
      </c>
      <c r="L938" s="262">
        <v>-4</v>
      </c>
      <c r="M938" s="262">
        <v>7</v>
      </c>
      <c r="N938" s="262" t="s">
        <v>210</v>
      </c>
      <c r="O938" s="262" t="s">
        <v>210</v>
      </c>
      <c r="P938" s="262" t="s">
        <v>202</v>
      </c>
      <c r="Q938" s="94"/>
      <c r="R938" s="94"/>
      <c r="S938" s="94"/>
      <c r="T938" s="94"/>
      <c r="U938" s="94"/>
      <c r="V938" s="94"/>
      <c r="W938" s="94"/>
      <c r="X938" s="94"/>
      <c r="Y938" s="94"/>
      <c r="Z938" s="94"/>
      <c r="AA938" s="94"/>
      <c r="AB938" s="94"/>
      <c r="AC938" s="94"/>
      <c r="AD938" s="94"/>
      <c r="AE938" s="94"/>
      <c r="AF938" s="94"/>
      <c r="AG938" s="94"/>
      <c r="AH938" s="94"/>
      <c r="AI938" s="94"/>
      <c r="AJ938" s="94"/>
      <c r="AK938" s="94"/>
      <c r="AL938" s="94"/>
      <c r="AM938" s="94"/>
      <c r="AN938" s="94"/>
      <c r="AO938" s="94"/>
      <c r="AP938" s="94"/>
      <c r="AQ938" s="94"/>
      <c r="AR938" s="94"/>
      <c r="AS938" s="94"/>
      <c r="AT938" s="94"/>
      <c r="AU938" s="94"/>
      <c r="AV938" s="94"/>
      <c r="AW938" s="94"/>
      <c r="AX938" s="94"/>
      <c r="AY938" s="94"/>
      <c r="AZ938" s="94"/>
      <c r="BA938" s="95"/>
    </row>
    <row r="939" spans="1:53" s="87" customFormat="1" ht="13">
      <c r="A939" s="90" t="str">
        <f t="shared" si="39"/>
        <v/>
      </c>
      <c r="B939">
        <v>29</v>
      </c>
      <c r="C939" s="261" t="s">
        <v>210</v>
      </c>
      <c r="D939" s="261" t="s">
        <v>210</v>
      </c>
      <c r="E939" s="261">
        <v>-2</v>
      </c>
      <c r="F939" s="261" t="s">
        <v>210</v>
      </c>
      <c r="G939" s="261">
        <v>5</v>
      </c>
      <c r="H939" s="261" t="s">
        <v>210</v>
      </c>
      <c r="I939" s="261">
        <v>-7</v>
      </c>
      <c r="J939" s="261" t="s">
        <v>210</v>
      </c>
      <c r="K939" s="261" t="s">
        <v>210</v>
      </c>
      <c r="L939" s="261">
        <v>-8</v>
      </c>
      <c r="M939" s="261">
        <v>3</v>
      </c>
      <c r="N939" s="261" t="s">
        <v>210</v>
      </c>
      <c r="O939" s="261" t="s">
        <v>210</v>
      </c>
      <c r="P939" s="261">
        <v>4</v>
      </c>
      <c r="Q939" s="94"/>
      <c r="R939" s="94"/>
      <c r="S939" s="94"/>
      <c r="T939" s="94"/>
      <c r="U939" s="94"/>
      <c r="V939" s="94"/>
      <c r="W939" s="94"/>
      <c r="X939" s="94"/>
      <c r="Y939" s="94"/>
      <c r="Z939" s="94"/>
      <c r="AA939" s="94"/>
      <c r="AB939" s="94"/>
      <c r="AC939" s="94"/>
      <c r="AD939" s="94"/>
      <c r="AE939" s="94"/>
      <c r="AF939" s="94"/>
      <c r="AG939" s="94"/>
      <c r="AH939" s="94"/>
      <c r="AI939" s="94"/>
      <c r="AJ939" s="94"/>
      <c r="AK939" s="94"/>
      <c r="AL939" s="94"/>
      <c r="AM939" s="94"/>
      <c r="AN939" s="94"/>
      <c r="AO939" s="94"/>
      <c r="AP939" s="94"/>
      <c r="AQ939" s="94"/>
      <c r="AR939" s="94"/>
      <c r="AS939" s="94"/>
      <c r="AT939" s="94"/>
      <c r="AU939" s="94"/>
      <c r="AV939" s="94"/>
      <c r="AW939" s="94"/>
      <c r="AX939" s="94"/>
      <c r="AY939" s="94"/>
      <c r="AZ939" s="94"/>
      <c r="BA939" s="95"/>
    </row>
    <row r="940" spans="1:53" s="87" customFormat="1" ht="13">
      <c r="A940" s="90" t="str">
        <f t="shared" si="39"/>
        <v/>
      </c>
      <c r="B940">
        <v>30</v>
      </c>
      <c r="C940" s="261" t="s">
        <v>210</v>
      </c>
      <c r="D940" s="261" t="s">
        <v>210</v>
      </c>
      <c r="E940" s="261">
        <v>2</v>
      </c>
      <c r="F940" s="261" t="s">
        <v>210</v>
      </c>
      <c r="G940" s="261">
        <v>-8</v>
      </c>
      <c r="H940" s="261" t="s">
        <v>210</v>
      </c>
      <c r="I940" s="261" t="s">
        <v>210</v>
      </c>
      <c r="J940" s="261">
        <v>6</v>
      </c>
      <c r="K940" s="261">
        <v>1</v>
      </c>
      <c r="L940" s="261" t="s">
        <v>210</v>
      </c>
      <c r="M940" s="261" t="s">
        <v>210</v>
      </c>
      <c r="N940" s="261">
        <v>-5</v>
      </c>
      <c r="O940" s="261" t="s">
        <v>210</v>
      </c>
      <c r="P940" s="261">
        <v>-4</v>
      </c>
      <c r="Q940" s="94"/>
      <c r="R940" s="94"/>
      <c r="S940" s="94"/>
      <c r="T940" s="94"/>
      <c r="U940" s="94"/>
      <c r="V940" s="94"/>
      <c r="W940" s="94"/>
      <c r="X940" s="94"/>
      <c r="Y940" s="94"/>
      <c r="Z940" s="94"/>
      <c r="AA940" s="94"/>
      <c r="AB940" s="94"/>
      <c r="AC940" s="94"/>
      <c r="AD940" s="94"/>
      <c r="AE940" s="94"/>
      <c r="AF940" s="94"/>
      <c r="AG940" s="94"/>
      <c r="AH940" s="94"/>
      <c r="AI940" s="94"/>
      <c r="AJ940" s="94"/>
      <c r="AK940" s="94"/>
      <c r="AL940" s="94"/>
      <c r="AM940" s="94"/>
      <c r="AN940" s="94"/>
      <c r="AO940" s="94"/>
      <c r="AP940" s="94"/>
      <c r="AQ940" s="94"/>
      <c r="AR940" s="94"/>
      <c r="AS940" s="94"/>
      <c r="AT940" s="94"/>
      <c r="AU940" s="94"/>
      <c r="AV940" s="94"/>
      <c r="AW940" s="94"/>
      <c r="AX940" s="94"/>
      <c r="AY940" s="94"/>
      <c r="AZ940" s="94"/>
      <c r="BA940" s="95"/>
    </row>
    <row r="941" spans="1:53" s="87" customFormat="1" ht="13">
      <c r="A941" s="90" t="str">
        <f t="shared" si="39"/>
        <v/>
      </c>
      <c r="B941">
        <v>31</v>
      </c>
      <c r="C941" s="261" t="s">
        <v>210</v>
      </c>
      <c r="D941" s="261" t="s">
        <v>210</v>
      </c>
      <c r="E941" s="261">
        <v>-7</v>
      </c>
      <c r="F941" s="261" t="s">
        <v>210</v>
      </c>
      <c r="G941" s="261" t="s">
        <v>210</v>
      </c>
      <c r="H941" s="261">
        <v>4</v>
      </c>
      <c r="I941" s="261" t="s">
        <v>210</v>
      </c>
      <c r="J941" s="261">
        <v>-6</v>
      </c>
      <c r="K941" s="261">
        <v>5</v>
      </c>
      <c r="L941" s="261" t="s">
        <v>210</v>
      </c>
      <c r="M941" s="261">
        <v>-3</v>
      </c>
      <c r="N941" s="261" t="s">
        <v>210</v>
      </c>
      <c r="O941" s="261">
        <v>8</v>
      </c>
      <c r="P941" s="261" t="s">
        <v>210</v>
      </c>
      <c r="Q941" s="94"/>
      <c r="R941" s="94"/>
      <c r="S941" s="94"/>
      <c r="T941" s="94"/>
      <c r="U941" s="94"/>
      <c r="V941" s="94"/>
      <c r="W941" s="94"/>
      <c r="X941" s="94"/>
      <c r="Y941" s="94"/>
      <c r="Z941" s="94"/>
      <c r="AA941" s="94"/>
      <c r="AB941" s="94"/>
      <c r="AC941" s="94"/>
      <c r="AD941" s="94"/>
      <c r="AE941" s="94"/>
      <c r="AF941" s="94"/>
      <c r="AG941" s="94"/>
      <c r="AH941" s="94"/>
      <c r="AI941" s="94"/>
      <c r="AJ941" s="94"/>
      <c r="AK941" s="94"/>
      <c r="AL941" s="94"/>
      <c r="AM941" s="94"/>
      <c r="AN941" s="94"/>
      <c r="AO941" s="94"/>
      <c r="AP941" s="94"/>
      <c r="AQ941" s="94"/>
      <c r="AR941" s="94"/>
      <c r="AS941" s="94"/>
      <c r="AT941" s="94"/>
      <c r="AU941" s="94"/>
      <c r="AV941" s="94"/>
      <c r="AW941" s="94"/>
      <c r="AX941" s="94"/>
      <c r="AY941" s="94"/>
      <c r="AZ941" s="94"/>
      <c r="BA941" s="95"/>
    </row>
    <row r="942" spans="1:53" s="87" customFormat="1" ht="13">
      <c r="A942" s="90" t="str">
        <f t="shared" si="39"/>
        <v/>
      </c>
      <c r="B942">
        <v>32</v>
      </c>
      <c r="C942" s="261" t="s">
        <v>210</v>
      </c>
      <c r="D942" s="261" t="s">
        <v>210</v>
      </c>
      <c r="E942" s="261" t="s">
        <v>210</v>
      </c>
      <c r="F942" s="261">
        <v>6</v>
      </c>
      <c r="G942" s="261">
        <v>-5</v>
      </c>
      <c r="H942" s="261" t="s">
        <v>210</v>
      </c>
      <c r="I942" s="261">
        <v>3</v>
      </c>
      <c r="J942" s="261" t="s">
        <v>210</v>
      </c>
      <c r="K942" s="261">
        <v>-1</v>
      </c>
      <c r="L942" s="261" t="s">
        <v>210</v>
      </c>
      <c r="M942" s="261" t="s">
        <v>210</v>
      </c>
      <c r="N942" s="261">
        <v>2</v>
      </c>
      <c r="O942" s="261">
        <v>-8</v>
      </c>
      <c r="P942" s="261" t="s">
        <v>210</v>
      </c>
      <c r="Q942" s="94"/>
      <c r="R942" s="94"/>
      <c r="S942" s="94"/>
      <c r="T942" s="94"/>
      <c r="U942" s="94"/>
      <c r="V942" s="94"/>
      <c r="W942" s="94"/>
      <c r="X942" s="94"/>
      <c r="Y942" s="94"/>
      <c r="Z942" s="94"/>
      <c r="AA942" s="94"/>
      <c r="AB942" s="94"/>
      <c r="AC942" s="94"/>
      <c r="AD942" s="94"/>
      <c r="AE942" s="94"/>
      <c r="AF942" s="94"/>
      <c r="AG942" s="94"/>
      <c r="AH942" s="94"/>
      <c r="AI942" s="94"/>
      <c r="AJ942" s="94"/>
      <c r="AK942" s="94"/>
      <c r="AL942" s="94"/>
      <c r="AM942" s="94"/>
      <c r="AN942" s="94"/>
      <c r="AO942" s="94"/>
      <c r="AP942" s="94"/>
      <c r="AQ942" s="94"/>
      <c r="AR942" s="94"/>
      <c r="AS942" s="94"/>
      <c r="AT942" s="94"/>
      <c r="AU942" s="94"/>
      <c r="AV942" s="94"/>
      <c r="AW942" s="94"/>
      <c r="AX942" s="94"/>
      <c r="AY942" s="94"/>
      <c r="AZ942" s="94"/>
      <c r="BA942" s="95"/>
    </row>
    <row r="943" spans="1:53" s="87" customFormat="1" ht="13">
      <c r="A943" s="90" t="str">
        <f t="shared" si="39"/>
        <v/>
      </c>
      <c r="B943">
        <v>33</v>
      </c>
      <c r="C943" s="261" t="s">
        <v>210</v>
      </c>
      <c r="D943" s="261" t="s">
        <v>210</v>
      </c>
      <c r="E943" s="261" t="s">
        <v>210</v>
      </c>
      <c r="F943" s="261">
        <v>-6</v>
      </c>
      <c r="G943" s="261">
        <v>8</v>
      </c>
      <c r="H943" s="261" t="s">
        <v>210</v>
      </c>
      <c r="I943" s="261">
        <v>7</v>
      </c>
      <c r="J943" s="261" t="s">
        <v>210</v>
      </c>
      <c r="K943" s="261">
        <v>-5</v>
      </c>
      <c r="L943" s="261" t="s">
        <v>210</v>
      </c>
      <c r="M943" s="261" t="s">
        <v>210</v>
      </c>
      <c r="N943" s="261">
        <v>-2</v>
      </c>
      <c r="O943" s="261">
        <v>1</v>
      </c>
      <c r="P943" s="261" t="s">
        <v>210</v>
      </c>
      <c r="Q943" s="94"/>
      <c r="R943" s="94"/>
      <c r="S943" s="94"/>
      <c r="T943" s="94"/>
      <c r="U943" s="94"/>
      <c r="V943" s="94"/>
      <c r="W943" s="94"/>
      <c r="X943" s="94"/>
      <c r="Y943" s="94"/>
      <c r="Z943" s="94"/>
      <c r="AA943" s="94"/>
      <c r="AB943" s="94"/>
      <c r="AC943" s="94"/>
      <c r="AD943" s="94"/>
      <c r="AE943" s="94"/>
      <c r="AF943" s="94"/>
      <c r="AG943" s="94"/>
      <c r="AH943" s="94"/>
      <c r="AI943" s="94"/>
      <c r="AJ943" s="94"/>
      <c r="AK943" s="94"/>
      <c r="AL943" s="94"/>
      <c r="AM943" s="94"/>
      <c r="AN943" s="94"/>
      <c r="AO943" s="94"/>
      <c r="AP943" s="94"/>
      <c r="AQ943" s="94"/>
      <c r="AR943" s="94"/>
      <c r="AS943" s="94"/>
      <c r="AT943" s="94"/>
      <c r="AU943" s="94"/>
      <c r="AV943" s="94"/>
      <c r="AW943" s="94"/>
      <c r="AX943" s="94"/>
      <c r="AY943" s="94"/>
      <c r="AZ943" s="94"/>
      <c r="BA943" s="95"/>
    </row>
    <row r="944" spans="1:53" s="87" customFormat="1" ht="13">
      <c r="A944" s="90" t="str">
        <f t="shared" si="39"/>
        <v/>
      </c>
      <c r="B944">
        <v>34</v>
      </c>
      <c r="C944" s="261" t="s">
        <v>210</v>
      </c>
      <c r="D944" s="261" t="s">
        <v>210</v>
      </c>
      <c r="E944" s="261">
        <v>7</v>
      </c>
      <c r="F944" s="261" t="s">
        <v>210</v>
      </c>
      <c r="G944" s="261" t="s">
        <v>210</v>
      </c>
      <c r="H944" s="261">
        <v>-4</v>
      </c>
      <c r="I944" s="261">
        <v>-3</v>
      </c>
      <c r="J944" s="261" t="s">
        <v>210</v>
      </c>
      <c r="K944" s="261" t="s">
        <v>210</v>
      </c>
      <c r="L944" s="261">
        <v>8</v>
      </c>
      <c r="M944" s="261" t="s">
        <v>210</v>
      </c>
      <c r="N944" s="261">
        <v>5</v>
      </c>
      <c r="O944" s="261">
        <v>-1</v>
      </c>
      <c r="P944" s="261" t="s">
        <v>210</v>
      </c>
      <c r="Q944" s="94"/>
      <c r="R944" s="94"/>
      <c r="S944" s="94"/>
      <c r="T944" s="94"/>
      <c r="U944" s="94"/>
      <c r="V944" s="94"/>
      <c r="W944" s="94"/>
      <c r="X944" s="94"/>
      <c r="Y944" s="94"/>
      <c r="Z944" s="94"/>
      <c r="AA944" s="94"/>
      <c r="AB944" s="94"/>
      <c r="AC944" s="94"/>
      <c r="AD944" s="94"/>
      <c r="AE944" s="94"/>
      <c r="AF944" s="94"/>
      <c r="AG944" s="94"/>
      <c r="AH944" s="94"/>
      <c r="AI944" s="94"/>
      <c r="AJ944" s="94"/>
      <c r="AK944" s="94"/>
      <c r="AL944" s="94"/>
      <c r="AM944" s="94"/>
      <c r="AN944" s="94"/>
      <c r="AO944" s="94"/>
      <c r="AP944" s="94"/>
      <c r="AQ944" s="94"/>
      <c r="AR944" s="94"/>
      <c r="AS944" s="94"/>
      <c r="AT944" s="94"/>
      <c r="AU944" s="94"/>
      <c r="AV944" s="94"/>
      <c r="AW944" s="94"/>
      <c r="AX944" s="94"/>
      <c r="AY944" s="94"/>
      <c r="AZ944" s="94"/>
      <c r="BA944" s="95"/>
    </row>
    <row r="945" spans="1:53" s="87" customFormat="1" ht="13">
      <c r="A945" s="90" t="str">
        <f t="shared" si="39"/>
        <v/>
      </c>
      <c r="B945" t="s">
        <v>818</v>
      </c>
      <c r="C945"/>
      <c r="D945"/>
      <c r="E945"/>
      <c r="F945"/>
      <c r="G945"/>
      <c r="H945"/>
      <c r="I945"/>
      <c r="J945"/>
      <c r="K945"/>
      <c r="L945"/>
      <c r="M945"/>
      <c r="N945"/>
      <c r="O945"/>
      <c r="P945"/>
      <c r="Q945" s="94"/>
      <c r="R945" s="94"/>
      <c r="S945" s="94"/>
      <c r="T945" s="94"/>
      <c r="U945" s="94"/>
      <c r="V945" s="94"/>
      <c r="W945" s="94"/>
      <c r="X945" s="94"/>
      <c r="Y945" s="94"/>
      <c r="Z945" s="94"/>
      <c r="AA945" s="94"/>
      <c r="AB945" s="94"/>
      <c r="AC945" s="94"/>
      <c r="AD945" s="94"/>
      <c r="AE945" s="94"/>
      <c r="AF945" s="94"/>
      <c r="AG945" s="94"/>
      <c r="AH945" s="94"/>
      <c r="AI945" s="94"/>
      <c r="AJ945" s="94"/>
      <c r="AK945" s="94"/>
      <c r="AL945" s="94"/>
      <c r="AM945" s="94"/>
      <c r="AN945" s="94"/>
      <c r="AO945" s="94"/>
      <c r="AP945" s="94"/>
      <c r="AQ945" s="94"/>
      <c r="AR945" s="94"/>
      <c r="AS945" s="94"/>
      <c r="AT945" s="94"/>
      <c r="AU945" s="94"/>
      <c r="AV945" s="94"/>
      <c r="AW945" s="94"/>
      <c r="AX945" s="94"/>
      <c r="AY945" s="94"/>
      <c r="AZ945" s="94"/>
      <c r="BA945" s="95"/>
    </row>
    <row r="946" spans="1:53" s="87" customFormat="1">
      <c r="A946" s="90">
        <f t="shared" si="39"/>
        <v>946</v>
      </c>
      <c r="B946" s="98" t="s">
        <v>830</v>
      </c>
      <c r="C946" s="94"/>
      <c r="D946" s="94"/>
      <c r="E946" s="94"/>
      <c r="F946" s="94"/>
      <c r="G946" s="94"/>
      <c r="H946" s="94"/>
      <c r="I946" s="94"/>
      <c r="J946" s="94"/>
      <c r="K946" s="94"/>
      <c r="L946" s="94"/>
      <c r="M946" s="94"/>
      <c r="N946" s="94"/>
      <c r="O946" s="94"/>
      <c r="P946" s="94"/>
      <c r="Q946" s="94"/>
      <c r="R946" s="94"/>
      <c r="S946" s="94"/>
      <c r="T946" s="94"/>
      <c r="U946" s="94"/>
      <c r="V946" s="94"/>
      <c r="W946" s="94"/>
      <c r="X946" s="94"/>
      <c r="Y946" s="94"/>
      <c r="Z946" s="94"/>
      <c r="AA946" s="94"/>
      <c r="AB946" s="94"/>
      <c r="AC946" s="94"/>
      <c r="AD946" s="94"/>
      <c r="AE946" s="94"/>
      <c r="AF946" s="94"/>
      <c r="AG946" s="94"/>
      <c r="AH946" s="94"/>
      <c r="AI946" s="94"/>
      <c r="AJ946" s="94"/>
      <c r="AK946" s="94"/>
      <c r="AL946" s="94"/>
      <c r="AM946" s="94"/>
      <c r="AN946" s="94"/>
      <c r="AO946" s="94"/>
      <c r="AP946" s="94"/>
      <c r="AQ946" s="94"/>
      <c r="AR946" s="94"/>
      <c r="AS946" s="94"/>
      <c r="AT946" s="94"/>
      <c r="AU946" s="94"/>
      <c r="AV946" s="94"/>
      <c r="AW946" s="94"/>
      <c r="AX946" s="94"/>
      <c r="AY946" s="94"/>
      <c r="AZ946" s="94"/>
      <c r="BA946" s="95"/>
    </row>
    <row r="947" spans="1:53" s="87" customFormat="1">
      <c r="A947" s="90" t="str">
        <f t="shared" si="39"/>
        <v/>
      </c>
      <c r="B947" s="98">
        <v>1</v>
      </c>
      <c r="C947" s="94">
        <v>-5</v>
      </c>
      <c r="D947" s="94" t="s">
        <v>210</v>
      </c>
      <c r="E947" s="94" t="s">
        <v>210</v>
      </c>
      <c r="F947" s="94">
        <v>6</v>
      </c>
      <c r="G947" s="94">
        <v>1</v>
      </c>
      <c r="H947" s="94" t="s">
        <v>210</v>
      </c>
      <c r="I947" s="94" t="s">
        <v>210</v>
      </c>
      <c r="J947" s="94">
        <v>-7</v>
      </c>
      <c r="K947" s="94">
        <v>-2</v>
      </c>
      <c r="L947" s="94" t="s">
        <v>210</v>
      </c>
      <c r="M947" s="94" t="s">
        <v>210</v>
      </c>
      <c r="N947" s="94">
        <v>8</v>
      </c>
      <c r="O947" s="94">
        <v>3</v>
      </c>
      <c r="P947" s="94" t="s">
        <v>210</v>
      </c>
      <c r="Q947" s="94"/>
      <c r="R947" s="94"/>
      <c r="S947" s="94"/>
      <c r="T947" s="94"/>
      <c r="U947" s="94"/>
      <c r="V947" s="94"/>
      <c r="W947" s="94"/>
      <c r="X947" s="94"/>
      <c r="Y947" s="94"/>
      <c r="Z947" s="94"/>
      <c r="AA947" s="94"/>
      <c r="AB947" s="94"/>
      <c r="AC947" s="94"/>
      <c r="AD947" s="94"/>
      <c r="AE947" s="94"/>
      <c r="AF947" s="94"/>
      <c r="AG947" s="94"/>
      <c r="AH947" s="94"/>
      <c r="AI947" s="94"/>
      <c r="AJ947" s="94"/>
      <c r="AK947" s="94"/>
      <c r="AL947" s="94"/>
      <c r="AM947" s="94"/>
      <c r="AN947" s="94"/>
      <c r="AO947" s="94"/>
      <c r="AP947" s="94"/>
      <c r="AQ947" s="94"/>
      <c r="AR947" s="94"/>
      <c r="AS947" s="94"/>
      <c r="AT947" s="94"/>
      <c r="AU947" s="94"/>
      <c r="AV947" s="94"/>
      <c r="AW947" s="94"/>
      <c r="AX947" s="94"/>
      <c r="AY947" s="94"/>
      <c r="AZ947" s="94"/>
      <c r="BA947" s="95"/>
    </row>
    <row r="948" spans="1:53" s="87" customFormat="1">
      <c r="A948" s="90" t="str">
        <f t="shared" si="39"/>
        <v/>
      </c>
      <c r="B948" s="98">
        <v>2</v>
      </c>
      <c r="C948" s="94">
        <v>4</v>
      </c>
      <c r="D948" s="94" t="s">
        <v>210</v>
      </c>
      <c r="E948" s="94" t="s">
        <v>210</v>
      </c>
      <c r="F948" s="94">
        <v>-1</v>
      </c>
      <c r="G948" s="94">
        <v>-7</v>
      </c>
      <c r="H948" s="94" t="s">
        <v>210</v>
      </c>
      <c r="I948" s="94" t="s">
        <v>210</v>
      </c>
      <c r="J948" s="94">
        <v>5</v>
      </c>
      <c r="K948" s="94">
        <v>8</v>
      </c>
      <c r="L948" s="94" t="s">
        <v>210</v>
      </c>
      <c r="M948" s="94" t="s">
        <v>210</v>
      </c>
      <c r="N948" s="94">
        <v>-6</v>
      </c>
      <c r="O948" s="94">
        <v>-3</v>
      </c>
      <c r="P948" s="94" t="s">
        <v>210</v>
      </c>
      <c r="Q948" s="94"/>
      <c r="R948" s="94"/>
      <c r="S948" s="94"/>
      <c r="T948" s="94"/>
      <c r="U948" s="94"/>
      <c r="V948" s="94"/>
      <c r="W948" s="94"/>
      <c r="X948" s="94"/>
      <c r="Y948" s="94"/>
      <c r="Z948" s="94"/>
      <c r="AA948" s="94"/>
      <c r="AB948" s="94"/>
      <c r="AC948" s="94"/>
      <c r="AD948" s="94"/>
      <c r="AE948" s="94"/>
      <c r="AF948" s="94"/>
      <c r="AG948" s="94"/>
      <c r="AH948" s="94"/>
      <c r="AI948" s="94"/>
      <c r="AJ948" s="94"/>
      <c r="AK948" s="94"/>
      <c r="AL948" s="94"/>
      <c r="AM948" s="94"/>
      <c r="AN948" s="94"/>
      <c r="AO948" s="94"/>
      <c r="AP948" s="94"/>
      <c r="AQ948" s="94"/>
      <c r="AR948" s="94"/>
      <c r="AS948" s="94"/>
      <c r="AT948" s="94"/>
      <c r="AU948" s="94"/>
      <c r="AV948" s="94"/>
      <c r="AW948" s="94"/>
      <c r="AX948" s="94"/>
      <c r="AY948" s="94"/>
      <c r="AZ948" s="94"/>
      <c r="BA948" s="95"/>
    </row>
    <row r="949" spans="1:53" s="87" customFormat="1">
      <c r="A949" s="90" t="str">
        <f t="shared" si="39"/>
        <v/>
      </c>
      <c r="B949" s="98">
        <v>3</v>
      </c>
      <c r="C949" s="94">
        <v>1</v>
      </c>
      <c r="D949" s="94" t="s">
        <v>210</v>
      </c>
      <c r="E949" s="94" t="s">
        <v>210</v>
      </c>
      <c r="F949" s="94">
        <v>-6</v>
      </c>
      <c r="G949" s="94">
        <v>8</v>
      </c>
      <c r="H949" s="94" t="s">
        <v>210</v>
      </c>
      <c r="I949" s="94" t="s">
        <v>210</v>
      </c>
      <c r="J949" s="94">
        <v>-5</v>
      </c>
      <c r="K949" s="94">
        <v>-4</v>
      </c>
      <c r="L949" s="94" t="s">
        <v>210</v>
      </c>
      <c r="M949" s="94" t="s">
        <v>210</v>
      </c>
      <c r="N949" s="94">
        <v>3</v>
      </c>
      <c r="O949" s="94">
        <v>2</v>
      </c>
      <c r="P949" s="94" t="s">
        <v>210</v>
      </c>
      <c r="Q949" s="94"/>
      <c r="R949" s="94"/>
      <c r="S949" s="94"/>
      <c r="T949" s="94"/>
      <c r="U949" s="94"/>
      <c r="V949" s="94"/>
      <c r="W949" s="94"/>
      <c r="X949" s="94"/>
      <c r="Y949" s="94"/>
      <c r="Z949" s="94"/>
      <c r="AA949" s="94"/>
      <c r="AB949" s="94"/>
      <c r="AC949" s="94"/>
      <c r="AD949" s="94"/>
      <c r="AE949" s="94"/>
      <c r="AF949" s="94"/>
      <c r="AG949" s="94"/>
      <c r="AH949" s="94"/>
      <c r="AI949" s="94"/>
      <c r="AJ949" s="94"/>
      <c r="AK949" s="94"/>
      <c r="AL949" s="94"/>
      <c r="AM949" s="94"/>
      <c r="AN949" s="94"/>
      <c r="AO949" s="94"/>
      <c r="AP949" s="94"/>
      <c r="AQ949" s="94"/>
      <c r="AR949" s="94"/>
      <c r="AS949" s="94"/>
      <c r="AT949" s="94"/>
      <c r="AU949" s="94"/>
      <c r="AV949" s="94"/>
      <c r="AW949" s="94"/>
      <c r="AX949" s="94"/>
      <c r="AY949" s="94"/>
      <c r="AZ949" s="94"/>
      <c r="BA949" s="95"/>
    </row>
    <row r="950" spans="1:53" s="87" customFormat="1">
      <c r="A950" s="90" t="str">
        <f t="shared" si="39"/>
        <v/>
      </c>
      <c r="B950" s="98">
        <v>4</v>
      </c>
      <c r="C950" s="94">
        <v>3</v>
      </c>
      <c r="D950" s="94" t="s">
        <v>210</v>
      </c>
      <c r="E950" s="94" t="s">
        <v>210</v>
      </c>
      <c r="F950" s="94">
        <v>4</v>
      </c>
      <c r="G950" s="94">
        <v>-1</v>
      </c>
      <c r="H950" s="94" t="s">
        <v>210</v>
      </c>
      <c r="I950" s="94" t="s">
        <v>210</v>
      </c>
      <c r="J950" s="94">
        <v>6</v>
      </c>
      <c r="K950" s="94">
        <v>-8</v>
      </c>
      <c r="L950" s="94" t="s">
        <v>210</v>
      </c>
      <c r="M950" s="94" t="s">
        <v>210</v>
      </c>
      <c r="N950" s="94">
        <v>7</v>
      </c>
      <c r="O950" s="94">
        <v>-2</v>
      </c>
      <c r="P950" s="94" t="s">
        <v>210</v>
      </c>
      <c r="Q950" s="94"/>
      <c r="R950" s="94"/>
      <c r="S950" s="94"/>
      <c r="T950" s="94"/>
      <c r="U950" s="94"/>
      <c r="V950" s="94"/>
      <c r="W950" s="94"/>
      <c r="X950" s="94"/>
      <c r="Y950" s="94"/>
      <c r="Z950" s="94"/>
      <c r="AA950" s="94"/>
      <c r="AB950" s="94"/>
      <c r="AC950" s="94"/>
      <c r="AD950" s="94"/>
      <c r="AE950" s="94"/>
      <c r="AF950" s="94"/>
      <c r="AG950" s="94"/>
      <c r="AH950" s="94"/>
      <c r="AI950" s="94"/>
      <c r="AJ950" s="94"/>
      <c r="AK950" s="94"/>
      <c r="AL950" s="94"/>
      <c r="AM950" s="94"/>
      <c r="AN950" s="94"/>
      <c r="AO950" s="94"/>
      <c r="AP950" s="94"/>
      <c r="AQ950" s="94"/>
      <c r="AR950" s="94"/>
      <c r="AS950" s="94"/>
      <c r="AT950" s="94"/>
      <c r="AU950" s="94"/>
      <c r="AV950" s="94"/>
      <c r="AW950" s="94"/>
      <c r="AX950" s="94"/>
      <c r="AY950" s="94"/>
      <c r="AZ950" s="94"/>
      <c r="BA950" s="95"/>
    </row>
    <row r="951" spans="1:53" s="87" customFormat="1">
      <c r="A951" s="90" t="str">
        <f t="shared" si="39"/>
        <v/>
      </c>
      <c r="B951" s="98">
        <v>5</v>
      </c>
      <c r="C951" s="94">
        <v>-4</v>
      </c>
      <c r="D951" s="94" t="s">
        <v>210</v>
      </c>
      <c r="E951" s="94" t="s">
        <v>210</v>
      </c>
      <c r="F951" s="94">
        <v>7</v>
      </c>
      <c r="G951" s="94">
        <v>5</v>
      </c>
      <c r="H951" s="94" t="s">
        <v>210</v>
      </c>
      <c r="I951" s="94" t="s">
        <v>210</v>
      </c>
      <c r="J951" s="94">
        <v>-6</v>
      </c>
      <c r="K951" s="94">
        <v>2</v>
      </c>
      <c r="L951" s="94" t="s">
        <v>210</v>
      </c>
      <c r="M951" s="94" t="s">
        <v>210</v>
      </c>
      <c r="N951" s="94">
        <v>-3</v>
      </c>
      <c r="O951" s="94">
        <v>1</v>
      </c>
      <c r="P951" s="94" t="s">
        <v>210</v>
      </c>
      <c r="Q951" s="94"/>
      <c r="R951" s="94"/>
      <c r="S951" s="94"/>
      <c r="T951" s="94"/>
      <c r="U951" s="94"/>
      <c r="V951" s="94"/>
      <c r="W951" s="94"/>
      <c r="X951" s="94"/>
      <c r="Y951" s="94"/>
      <c r="Z951" s="94"/>
      <c r="AA951" s="94"/>
      <c r="AB951" s="94"/>
      <c r="AC951" s="94"/>
      <c r="AD951" s="94"/>
      <c r="AE951" s="94"/>
      <c r="AF951" s="94"/>
      <c r="AG951" s="94"/>
      <c r="AH951" s="94"/>
      <c r="AI951" s="94"/>
      <c r="AJ951" s="94"/>
      <c r="AK951" s="94"/>
      <c r="AL951" s="94"/>
      <c r="AM951" s="94"/>
      <c r="AN951" s="94"/>
      <c r="AO951" s="94"/>
      <c r="AP951" s="94"/>
      <c r="AQ951" s="94"/>
      <c r="AR951" s="94"/>
      <c r="AS951" s="94"/>
      <c r="AT951" s="94"/>
      <c r="AU951" s="94"/>
      <c r="AV951" s="94"/>
      <c r="AW951" s="94"/>
      <c r="AX951" s="94"/>
      <c r="AY951" s="94"/>
      <c r="AZ951" s="94"/>
      <c r="BA951" s="95"/>
    </row>
    <row r="952" spans="1:53" s="87" customFormat="1">
      <c r="A952" s="90" t="str">
        <f t="shared" si="39"/>
        <v/>
      </c>
      <c r="B952" s="98">
        <v>6</v>
      </c>
      <c r="C952" s="94">
        <v>5</v>
      </c>
      <c r="D952" s="94" t="s">
        <v>210</v>
      </c>
      <c r="E952" s="94" t="s">
        <v>210</v>
      </c>
      <c r="F952" s="94">
        <v>-4</v>
      </c>
      <c r="G952" s="94">
        <v>-8</v>
      </c>
      <c r="H952" s="94" t="s">
        <v>210</v>
      </c>
      <c r="I952" s="94" t="s">
        <v>210</v>
      </c>
      <c r="J952" s="94">
        <v>2</v>
      </c>
      <c r="K952" s="94" t="s">
        <v>210</v>
      </c>
      <c r="L952" s="94">
        <v>-7</v>
      </c>
      <c r="M952" s="94" t="s">
        <v>210</v>
      </c>
      <c r="N952" s="94">
        <v>6</v>
      </c>
      <c r="O952" s="94">
        <v>-1</v>
      </c>
      <c r="P952" s="94" t="s">
        <v>210</v>
      </c>
      <c r="Q952" s="94"/>
      <c r="R952" s="94"/>
      <c r="S952" s="94"/>
      <c r="T952" s="94"/>
      <c r="U952" s="94"/>
      <c r="V952" s="94"/>
      <c r="W952" s="94"/>
      <c r="X952" s="94"/>
      <c r="Y952" s="94"/>
      <c r="Z952" s="94"/>
      <c r="AA952" s="94"/>
      <c r="AB952" s="94"/>
      <c r="AC952" s="94"/>
      <c r="AD952" s="94"/>
      <c r="AE952" s="94"/>
      <c r="AF952" s="94"/>
      <c r="AG952" s="94"/>
      <c r="AH952" s="94"/>
      <c r="AI952" s="94"/>
      <c r="AJ952" s="94"/>
      <c r="AK952" s="94"/>
      <c r="AL952" s="94"/>
      <c r="AM952" s="94"/>
      <c r="AN952" s="94"/>
      <c r="AO952" s="94"/>
      <c r="AP952" s="94"/>
      <c r="AQ952" s="94"/>
      <c r="AR952" s="94"/>
      <c r="AS952" s="94"/>
      <c r="AT952" s="94"/>
      <c r="AU952" s="94"/>
      <c r="AV952" s="94"/>
      <c r="AW952" s="94"/>
      <c r="AX952" s="94"/>
      <c r="AY952" s="94"/>
      <c r="AZ952" s="94"/>
      <c r="BA952" s="95"/>
    </row>
    <row r="953" spans="1:53" s="87" customFormat="1">
      <c r="A953" s="90" t="str">
        <f t="shared" si="39"/>
        <v/>
      </c>
      <c r="B953" s="98">
        <v>7</v>
      </c>
      <c r="C953" s="92">
        <v>-3</v>
      </c>
      <c r="D953" s="92" t="s">
        <v>210</v>
      </c>
      <c r="E953" s="92" t="s">
        <v>210</v>
      </c>
      <c r="F953" s="92">
        <v>1</v>
      </c>
      <c r="G953" s="92">
        <v>-5</v>
      </c>
      <c r="H953" s="92" t="s">
        <v>210</v>
      </c>
      <c r="I953" s="92" t="s">
        <v>210</v>
      </c>
      <c r="J953" s="92">
        <v>-2</v>
      </c>
      <c r="K953" s="92">
        <v>4</v>
      </c>
      <c r="L953" s="92" t="s">
        <v>210</v>
      </c>
      <c r="M953" s="92" t="s">
        <v>210</v>
      </c>
      <c r="N953" s="92">
        <v>-8</v>
      </c>
      <c r="O953" s="92">
        <v>7</v>
      </c>
      <c r="P953" s="92" t="s">
        <v>210</v>
      </c>
      <c r="Q953" s="94"/>
      <c r="R953" s="94"/>
      <c r="S953" s="94"/>
      <c r="T953" s="94"/>
      <c r="U953" s="94"/>
      <c r="V953" s="94"/>
      <c r="W953" s="94"/>
      <c r="X953" s="94"/>
      <c r="Y953" s="94"/>
      <c r="Z953" s="94"/>
      <c r="AA953" s="94"/>
      <c r="AB953" s="94"/>
      <c r="AC953" s="94"/>
      <c r="AD953" s="94"/>
      <c r="AE953" s="94"/>
      <c r="AF953" s="94"/>
      <c r="AG953" s="94"/>
      <c r="AH953" s="94"/>
      <c r="AI953" s="94"/>
      <c r="AJ953" s="94"/>
      <c r="AK953" s="94"/>
      <c r="AL953" s="94"/>
      <c r="AM953" s="94"/>
      <c r="AN953" s="94"/>
      <c r="AO953" s="94"/>
      <c r="AP953" s="94"/>
      <c r="AQ953" s="94"/>
      <c r="AR953" s="94"/>
      <c r="AS953" s="94"/>
      <c r="AT953" s="94"/>
      <c r="AU953" s="94"/>
      <c r="AV953" s="94"/>
      <c r="AW953" s="94"/>
      <c r="AX953" s="94"/>
      <c r="AY953" s="94"/>
      <c r="AZ953" s="94"/>
      <c r="BA953" s="95"/>
    </row>
    <row r="954" spans="1:53" s="87" customFormat="1">
      <c r="A954" s="90" t="str">
        <f t="shared" si="39"/>
        <v/>
      </c>
      <c r="B954" s="98">
        <v>8</v>
      </c>
      <c r="C954" s="94">
        <v>8</v>
      </c>
      <c r="D954" s="94" t="s">
        <v>210</v>
      </c>
      <c r="E954" s="94" t="s">
        <v>210</v>
      </c>
      <c r="F954" s="94">
        <v>-3</v>
      </c>
      <c r="G954" s="94">
        <v>-6</v>
      </c>
      <c r="H954" s="94" t="s">
        <v>210</v>
      </c>
      <c r="I954" s="94" t="s">
        <v>210</v>
      </c>
      <c r="J954" s="94">
        <v>7</v>
      </c>
      <c r="K954" s="94">
        <v>-1</v>
      </c>
      <c r="L954" s="94" t="s">
        <v>210</v>
      </c>
      <c r="M954" s="94" t="s">
        <v>210</v>
      </c>
      <c r="N954" s="94">
        <v>2</v>
      </c>
      <c r="O954" s="94">
        <v>5</v>
      </c>
      <c r="P954" s="94" t="s">
        <v>210</v>
      </c>
      <c r="Q954" s="94"/>
      <c r="R954" s="94"/>
      <c r="S954" s="94"/>
      <c r="T954" s="94"/>
      <c r="U954" s="94"/>
      <c r="V954" s="94"/>
      <c r="W954" s="94"/>
      <c r="X954" s="94"/>
      <c r="Y954" s="94"/>
      <c r="Z954" s="94"/>
      <c r="AA954" s="94"/>
      <c r="AB954" s="94"/>
      <c r="AC954" s="94"/>
      <c r="AD954" s="94"/>
      <c r="AE954" s="94"/>
      <c r="AF954" s="94"/>
      <c r="AG954" s="94"/>
      <c r="AH954" s="94"/>
      <c r="AI954" s="94"/>
      <c r="AJ954" s="94"/>
      <c r="AK954" s="94"/>
      <c r="AL954" s="94"/>
      <c r="AM954" s="94"/>
      <c r="AN954" s="94"/>
      <c r="AO954" s="94"/>
      <c r="AP954" s="94"/>
      <c r="AQ954" s="94"/>
      <c r="AR954" s="94"/>
      <c r="AS954" s="94"/>
      <c r="AT954" s="94"/>
      <c r="AU954" s="94"/>
      <c r="AV954" s="94"/>
      <c r="AW954" s="94"/>
      <c r="AX954" s="94"/>
      <c r="AY954" s="94"/>
      <c r="AZ954" s="94"/>
      <c r="BA954" s="95"/>
    </row>
    <row r="955" spans="1:53" s="87" customFormat="1">
      <c r="A955" s="90" t="str">
        <f t="shared" si="39"/>
        <v/>
      </c>
      <c r="B955" s="98">
        <v>9</v>
      </c>
      <c r="C955" s="94">
        <v>-6</v>
      </c>
      <c r="D955" s="94" t="s">
        <v>210</v>
      </c>
      <c r="E955" s="94" t="s">
        <v>210</v>
      </c>
      <c r="F955" s="94">
        <v>-5</v>
      </c>
      <c r="G955" s="94">
        <v>7</v>
      </c>
      <c r="H955" s="94" t="s">
        <v>210</v>
      </c>
      <c r="I955" s="94" t="s">
        <v>210</v>
      </c>
      <c r="J955" s="94">
        <v>-3</v>
      </c>
      <c r="K955" s="94">
        <v>1</v>
      </c>
      <c r="L955" s="94" t="s">
        <v>210</v>
      </c>
      <c r="M955" s="94" t="s">
        <v>210</v>
      </c>
      <c r="N955" s="94">
        <v>-4</v>
      </c>
      <c r="O955" s="94">
        <v>8</v>
      </c>
      <c r="P955" s="94" t="s">
        <v>210</v>
      </c>
      <c r="Q955" s="94"/>
      <c r="R955" s="94"/>
      <c r="S955" s="94"/>
      <c r="T955" s="94"/>
      <c r="U955" s="94"/>
      <c r="V955" s="94"/>
      <c r="W955" s="94"/>
      <c r="X955" s="94"/>
      <c r="Y955" s="94"/>
      <c r="Z955" s="94"/>
      <c r="AA955" s="94"/>
      <c r="AB955" s="94"/>
      <c r="AC955" s="94"/>
      <c r="AD955" s="94"/>
      <c r="AE955" s="94"/>
      <c r="AF955" s="94"/>
      <c r="AG955" s="94"/>
      <c r="AH955" s="94"/>
      <c r="AI955" s="94"/>
      <c r="AJ955" s="94"/>
      <c r="AK955" s="94"/>
      <c r="AL955" s="94"/>
      <c r="AM955" s="94"/>
      <c r="AN955" s="94"/>
      <c r="AO955" s="94"/>
      <c r="AP955" s="94"/>
      <c r="AQ955" s="94"/>
      <c r="AR955" s="94"/>
      <c r="AS955" s="94"/>
      <c r="AT955" s="94"/>
      <c r="AU955" s="94"/>
      <c r="AV955" s="94"/>
      <c r="AW955" s="94"/>
      <c r="AX955" s="94"/>
      <c r="AY955" s="94"/>
      <c r="AZ955" s="94"/>
      <c r="BA955" s="95"/>
    </row>
    <row r="956" spans="1:53" s="87" customFormat="1">
      <c r="A956" s="90" t="str">
        <f t="shared" si="39"/>
        <v/>
      </c>
      <c r="B956" s="98">
        <v>10</v>
      </c>
      <c r="C956" s="94">
        <v>-1</v>
      </c>
      <c r="D956" s="94" t="s">
        <v>210</v>
      </c>
      <c r="E956" s="94" t="s">
        <v>210</v>
      </c>
      <c r="F956" s="94">
        <v>2</v>
      </c>
      <c r="G956" s="94">
        <v>-3</v>
      </c>
      <c r="H956" s="94" t="s">
        <v>210</v>
      </c>
      <c r="I956" s="94" t="s">
        <v>210</v>
      </c>
      <c r="J956" s="94">
        <v>8</v>
      </c>
      <c r="K956" s="94" t="s">
        <v>210</v>
      </c>
      <c r="L956" s="94">
        <v>-6</v>
      </c>
      <c r="M956" s="94" t="s">
        <v>210</v>
      </c>
      <c r="N956" s="94">
        <v>4</v>
      </c>
      <c r="O956" s="94">
        <v>-5</v>
      </c>
      <c r="P956" s="94" t="s">
        <v>210</v>
      </c>
      <c r="Q956" s="94"/>
      <c r="R956" s="94"/>
      <c r="S956" s="94"/>
      <c r="T956" s="94"/>
      <c r="U956" s="94"/>
      <c r="V956" s="94"/>
      <c r="W956" s="94"/>
      <c r="X956" s="94"/>
      <c r="Y956" s="94"/>
      <c r="Z956" s="94"/>
      <c r="AA956" s="94"/>
      <c r="AB956" s="94"/>
      <c r="AC956" s="94"/>
      <c r="AD956" s="94"/>
      <c r="AE956" s="94"/>
      <c r="AF956" s="94"/>
      <c r="AG956" s="94"/>
      <c r="AH956" s="94"/>
      <c r="AI956" s="94"/>
      <c r="AJ956" s="94"/>
      <c r="AK956" s="94"/>
      <c r="AL956" s="94"/>
      <c r="AM956" s="94"/>
      <c r="AN956" s="94"/>
      <c r="AO956" s="94"/>
      <c r="AP956" s="94"/>
      <c r="AQ956" s="94"/>
      <c r="AR956" s="94"/>
      <c r="AS956" s="94"/>
      <c r="AT956" s="94"/>
      <c r="AU956" s="94"/>
      <c r="AV956" s="94"/>
      <c r="AW956" s="94"/>
      <c r="AX956" s="94"/>
      <c r="AY956" s="94"/>
      <c r="AZ956" s="94"/>
      <c r="BA956" s="95"/>
    </row>
    <row r="957" spans="1:53" s="87" customFormat="1">
      <c r="A957" s="90" t="str">
        <f t="shared" si="39"/>
        <v/>
      </c>
      <c r="B957" s="98">
        <v>11</v>
      </c>
      <c r="C957" s="94">
        <v>2</v>
      </c>
      <c r="D957" s="94" t="s">
        <v>210</v>
      </c>
      <c r="E957" s="94" t="s">
        <v>210</v>
      </c>
      <c r="F957" s="94">
        <v>3</v>
      </c>
      <c r="G957" s="94">
        <v>-4</v>
      </c>
      <c r="H957" s="94" t="s">
        <v>210</v>
      </c>
      <c r="I957" s="94" t="s">
        <v>210</v>
      </c>
      <c r="J957" s="94">
        <v>1</v>
      </c>
      <c r="K957" s="94" t="s">
        <v>210</v>
      </c>
      <c r="L957" s="94">
        <v>6</v>
      </c>
      <c r="M957" s="94" t="s">
        <v>210</v>
      </c>
      <c r="N957" s="94">
        <v>-7</v>
      </c>
      <c r="O957" s="94">
        <v>-8</v>
      </c>
      <c r="P957" s="94" t="s">
        <v>210</v>
      </c>
      <c r="Q957" s="94"/>
      <c r="R957" s="94"/>
      <c r="S957" s="94"/>
      <c r="T957" s="94"/>
      <c r="U957" s="94"/>
      <c r="V957" s="94"/>
      <c r="W957" s="94"/>
      <c r="X957" s="94"/>
      <c r="Y957" s="94"/>
      <c r="Z957" s="94"/>
      <c r="AA957" s="94"/>
      <c r="AB957" s="94"/>
      <c r="AC957" s="94"/>
      <c r="AD957" s="94"/>
      <c r="AE957" s="94"/>
      <c r="AF957" s="94"/>
      <c r="AG957" s="94"/>
      <c r="AH957" s="94"/>
      <c r="AI957" s="94"/>
      <c r="AJ957" s="94"/>
      <c r="AK957" s="94"/>
      <c r="AL957" s="94"/>
      <c r="AM957" s="94"/>
      <c r="AN957" s="94"/>
      <c r="AO957" s="94"/>
      <c r="AP957" s="94"/>
      <c r="AQ957" s="94"/>
      <c r="AR957" s="94"/>
      <c r="AS957" s="94"/>
      <c r="AT957" s="94"/>
      <c r="AU957" s="94"/>
      <c r="AV957" s="94"/>
      <c r="AW957" s="94"/>
      <c r="AX957" s="94"/>
      <c r="AY957" s="94"/>
      <c r="AZ957" s="94"/>
      <c r="BA957" s="95"/>
    </row>
    <row r="958" spans="1:53" s="87" customFormat="1">
      <c r="A958" s="90" t="str">
        <f t="shared" si="39"/>
        <v/>
      </c>
      <c r="B958" s="98">
        <v>12</v>
      </c>
      <c r="C958" s="94">
        <v>6</v>
      </c>
      <c r="D958" s="94" t="s">
        <v>210</v>
      </c>
      <c r="E958" s="94" t="s">
        <v>210</v>
      </c>
      <c r="F958" s="94">
        <v>-7</v>
      </c>
      <c r="G958" s="94">
        <v>3</v>
      </c>
      <c r="H958" s="94" t="s">
        <v>210</v>
      </c>
      <c r="I958" s="94" t="s">
        <v>210</v>
      </c>
      <c r="J958" s="94">
        <v>-1</v>
      </c>
      <c r="K958" s="94">
        <v>5</v>
      </c>
      <c r="L958" s="94" t="s">
        <v>210</v>
      </c>
      <c r="M958" s="94" t="s">
        <v>210</v>
      </c>
      <c r="N958" s="94">
        <v>-2</v>
      </c>
      <c r="O958" s="94">
        <v>4</v>
      </c>
      <c r="P958" s="94" t="s">
        <v>210</v>
      </c>
      <c r="Q958" s="94"/>
      <c r="R958" s="94"/>
      <c r="S958" s="94"/>
      <c r="T958" s="94"/>
      <c r="U958" s="94"/>
      <c r="V958" s="94"/>
      <c r="W958" s="94"/>
      <c r="X958" s="94"/>
      <c r="Y958" s="94"/>
      <c r="Z958" s="94"/>
      <c r="AA958" s="94"/>
      <c r="AB958" s="94"/>
      <c r="AC958" s="94"/>
      <c r="AD958" s="94"/>
      <c r="AE958" s="94"/>
      <c r="AF958" s="94"/>
      <c r="AG958" s="94"/>
      <c r="AH958" s="94"/>
      <c r="AI958" s="94"/>
      <c r="AJ958" s="94"/>
      <c r="AK958" s="94"/>
      <c r="AL958" s="94"/>
      <c r="AM958" s="94"/>
      <c r="AN958" s="94"/>
      <c r="AO958" s="94"/>
      <c r="AP958" s="94"/>
      <c r="AQ958" s="94"/>
      <c r="AR958" s="94"/>
      <c r="AS958" s="94"/>
      <c r="AT958" s="94"/>
      <c r="AU958" s="94"/>
      <c r="AV958" s="94"/>
      <c r="AW958" s="94"/>
      <c r="AX958" s="94"/>
      <c r="AY958" s="94"/>
      <c r="AZ958" s="94"/>
      <c r="BA958" s="95"/>
    </row>
    <row r="959" spans="1:53" s="87" customFormat="1">
      <c r="A959" s="90" t="str">
        <f t="shared" si="39"/>
        <v/>
      </c>
      <c r="B959" s="98">
        <v>13</v>
      </c>
      <c r="C959" s="94">
        <v>-2</v>
      </c>
      <c r="D959" s="94" t="s">
        <v>210</v>
      </c>
      <c r="E959" s="94" t="s">
        <v>210</v>
      </c>
      <c r="F959" s="94">
        <v>5</v>
      </c>
      <c r="G959" s="94">
        <v>6</v>
      </c>
      <c r="H959" s="94" t="s">
        <v>210</v>
      </c>
      <c r="I959" s="94" t="s">
        <v>210</v>
      </c>
      <c r="J959" s="94">
        <v>-8</v>
      </c>
      <c r="K959" s="94" t="s">
        <v>210</v>
      </c>
      <c r="L959" s="94">
        <v>7</v>
      </c>
      <c r="M959" s="94" t="s">
        <v>210</v>
      </c>
      <c r="N959" s="94">
        <v>-1</v>
      </c>
      <c r="O959" s="94">
        <v>-4</v>
      </c>
      <c r="P959" s="94" t="s">
        <v>210</v>
      </c>
      <c r="Q959" s="94"/>
      <c r="R959" s="94"/>
      <c r="S959" s="94"/>
      <c r="T959" s="94"/>
      <c r="U959" s="94"/>
      <c r="V959" s="94"/>
      <c r="W959" s="94"/>
      <c r="X959" s="94"/>
      <c r="Y959" s="94"/>
      <c r="Z959" s="94"/>
      <c r="AA959" s="94"/>
      <c r="AB959" s="94"/>
      <c r="AC959" s="94"/>
      <c r="AD959" s="94"/>
      <c r="AE959" s="94"/>
      <c r="AF959" s="94"/>
      <c r="AG959" s="94"/>
      <c r="AH959" s="94"/>
      <c r="AI959" s="94"/>
      <c r="AJ959" s="94"/>
      <c r="AK959" s="94"/>
      <c r="AL959" s="94"/>
      <c r="AM959" s="94"/>
      <c r="AN959" s="94"/>
      <c r="AO959" s="94"/>
      <c r="AP959" s="94"/>
      <c r="AQ959" s="94"/>
      <c r="AR959" s="94"/>
      <c r="AS959" s="94"/>
      <c r="AT959" s="94"/>
      <c r="AU959" s="94"/>
      <c r="AV959" s="94"/>
      <c r="AW959" s="94"/>
      <c r="AX959" s="94"/>
      <c r="AY959" s="94"/>
      <c r="AZ959" s="94"/>
      <c r="BA959" s="95"/>
    </row>
    <row r="960" spans="1:53" s="87" customFormat="1">
      <c r="A960" s="90" t="str">
        <f t="shared" si="39"/>
        <v/>
      </c>
      <c r="B960" s="98">
        <v>14</v>
      </c>
      <c r="C960" s="92">
        <v>-8</v>
      </c>
      <c r="D960" s="92" t="s">
        <v>210</v>
      </c>
      <c r="E960" s="92" t="s">
        <v>210</v>
      </c>
      <c r="F960" s="92">
        <v>-2</v>
      </c>
      <c r="G960" s="92">
        <v>4</v>
      </c>
      <c r="H960" s="92" t="s">
        <v>210</v>
      </c>
      <c r="I960" s="92" t="s">
        <v>210</v>
      </c>
      <c r="J960" s="92">
        <v>3</v>
      </c>
      <c r="K960" s="92">
        <v>-5</v>
      </c>
      <c r="L960" s="92" t="s">
        <v>210</v>
      </c>
      <c r="M960" s="92" t="s">
        <v>210</v>
      </c>
      <c r="N960" s="92">
        <v>1</v>
      </c>
      <c r="O960" s="92">
        <v>-7</v>
      </c>
      <c r="P960" s="92" t="s">
        <v>210</v>
      </c>
      <c r="Q960" s="94"/>
      <c r="R960" s="94"/>
      <c r="S960" s="94"/>
      <c r="T960" s="94"/>
      <c r="U960" s="94"/>
      <c r="V960" s="94"/>
      <c r="W960" s="94"/>
      <c r="X960" s="94"/>
      <c r="Y960" s="94"/>
      <c r="Z960" s="94"/>
      <c r="AA960" s="94"/>
      <c r="AB960" s="94"/>
      <c r="AC960" s="94"/>
      <c r="AD960" s="94"/>
      <c r="AE960" s="94"/>
      <c r="AF960" s="94"/>
      <c r="AG960" s="94"/>
      <c r="AH960" s="94"/>
      <c r="AI960" s="94"/>
      <c r="AJ960" s="94"/>
      <c r="AK960" s="94"/>
      <c r="AL960" s="94"/>
      <c r="AM960" s="94"/>
      <c r="AN960" s="94"/>
      <c r="AO960" s="94"/>
      <c r="AP960" s="94"/>
      <c r="AQ960" s="94"/>
      <c r="AR960" s="94"/>
      <c r="AS960" s="94"/>
      <c r="AT960" s="94"/>
      <c r="AU960" s="94"/>
      <c r="AV960" s="94"/>
      <c r="AW960" s="94"/>
      <c r="AX960" s="94"/>
      <c r="AY960" s="94"/>
      <c r="AZ960" s="94"/>
      <c r="BA960" s="95"/>
    </row>
    <row r="961" spans="1:53" s="87" customFormat="1">
      <c r="A961" s="90" t="str">
        <f t="shared" si="39"/>
        <v/>
      </c>
      <c r="B961" s="98">
        <v>15</v>
      </c>
      <c r="C961" s="94">
        <v>7</v>
      </c>
      <c r="D961" s="94" t="s">
        <v>210</v>
      </c>
      <c r="E961" s="94" t="s">
        <v>210</v>
      </c>
      <c r="F961" s="94">
        <v>-8</v>
      </c>
      <c r="G961" s="94">
        <v>-2</v>
      </c>
      <c r="H961" s="94" t="s">
        <v>210</v>
      </c>
      <c r="I961" s="94" t="s">
        <v>210</v>
      </c>
      <c r="J961" s="94">
        <v>4</v>
      </c>
      <c r="K961" s="94">
        <v>3</v>
      </c>
      <c r="L961" s="94" t="s">
        <v>210</v>
      </c>
      <c r="M961" s="94" t="s">
        <v>210</v>
      </c>
      <c r="N961" s="94">
        <v>-5</v>
      </c>
      <c r="O961" s="94">
        <v>-6</v>
      </c>
      <c r="P961" s="94" t="s">
        <v>210</v>
      </c>
      <c r="Q961" s="94"/>
      <c r="R961" s="94"/>
      <c r="S961" s="94"/>
      <c r="T961" s="94"/>
      <c r="U961" s="94"/>
      <c r="V961" s="94"/>
      <c r="W961" s="94"/>
      <c r="X961" s="94"/>
      <c r="Y961" s="94"/>
      <c r="Z961" s="94"/>
      <c r="AA961" s="94"/>
      <c r="AB961" s="94"/>
      <c r="AC961" s="94"/>
      <c r="AD961" s="94"/>
      <c r="AE961" s="94"/>
      <c r="AF961" s="94"/>
      <c r="AG961" s="94"/>
      <c r="AH961" s="94"/>
      <c r="AI961" s="94"/>
      <c r="AJ961" s="94"/>
      <c r="AK961" s="94"/>
      <c r="AL961" s="94"/>
      <c r="AM961" s="94"/>
      <c r="AN961" s="94"/>
      <c r="AO961" s="94"/>
      <c r="AP961" s="94"/>
      <c r="AQ961" s="94"/>
      <c r="AR961" s="94"/>
      <c r="AS961" s="94"/>
      <c r="AT961" s="94"/>
      <c r="AU961" s="94"/>
      <c r="AV961" s="94"/>
      <c r="AW961" s="94"/>
      <c r="AX961" s="94"/>
      <c r="AY961" s="94"/>
      <c r="AZ961" s="94"/>
      <c r="BA961" s="95"/>
    </row>
    <row r="962" spans="1:53" s="87" customFormat="1">
      <c r="A962" s="90" t="str">
        <f t="shared" si="39"/>
        <v/>
      </c>
      <c r="B962" s="98">
        <v>16</v>
      </c>
      <c r="C962" s="94" t="s">
        <v>210</v>
      </c>
      <c r="D962" s="94">
        <v>-6</v>
      </c>
      <c r="E962" s="94">
        <v>2</v>
      </c>
      <c r="F962" s="94" t="s">
        <v>210</v>
      </c>
      <c r="G962" s="94" t="s">
        <v>210</v>
      </c>
      <c r="H962" s="94">
        <v>8</v>
      </c>
      <c r="I962" s="94">
        <v>-3</v>
      </c>
      <c r="J962" s="94" t="s">
        <v>210</v>
      </c>
      <c r="K962" s="94" t="s">
        <v>210</v>
      </c>
      <c r="L962" s="94">
        <v>-5</v>
      </c>
      <c r="M962" s="94">
        <v>4</v>
      </c>
      <c r="N962" s="94" t="s">
        <v>210</v>
      </c>
      <c r="O962" s="94">
        <v>6</v>
      </c>
      <c r="P962" s="94" t="s">
        <v>210</v>
      </c>
      <c r="Q962" s="94"/>
      <c r="R962" s="94"/>
      <c r="S962" s="94"/>
      <c r="T962" s="94"/>
      <c r="U962" s="94"/>
      <c r="V962" s="94"/>
      <c r="W962" s="94"/>
      <c r="X962" s="94"/>
      <c r="Y962" s="94"/>
      <c r="Z962" s="94"/>
      <c r="AA962" s="94"/>
      <c r="AB962" s="94"/>
      <c r="AC962" s="94"/>
      <c r="AD962" s="94"/>
      <c r="AE962" s="94"/>
      <c r="AF962" s="94"/>
      <c r="AG962" s="94"/>
      <c r="AH962" s="94"/>
      <c r="AI962" s="94"/>
      <c r="AJ962" s="94"/>
      <c r="AK962" s="94"/>
      <c r="AL962" s="94"/>
      <c r="AM962" s="94"/>
      <c r="AN962" s="94"/>
      <c r="AO962" s="94"/>
      <c r="AP962" s="94"/>
      <c r="AQ962" s="94"/>
      <c r="AR962" s="94"/>
      <c r="AS962" s="94"/>
      <c r="AT962" s="94"/>
      <c r="AU962" s="94"/>
      <c r="AV962" s="94"/>
      <c r="AW962" s="94"/>
      <c r="AX962" s="94"/>
      <c r="AY962" s="94"/>
      <c r="AZ962" s="94"/>
      <c r="BA962" s="95"/>
    </row>
    <row r="963" spans="1:53" s="87" customFormat="1">
      <c r="A963" s="90" t="str">
        <f t="shared" si="39"/>
        <v/>
      </c>
      <c r="B963" s="98">
        <v>17</v>
      </c>
      <c r="C963" s="94" t="s">
        <v>210</v>
      </c>
      <c r="D963" s="94">
        <v>7</v>
      </c>
      <c r="E963" s="94">
        <v>-1</v>
      </c>
      <c r="F963" s="94" t="s">
        <v>210</v>
      </c>
      <c r="G963" s="94" t="s">
        <v>210</v>
      </c>
      <c r="H963" s="94">
        <v>-2</v>
      </c>
      <c r="I963" s="94">
        <v>3</v>
      </c>
      <c r="J963" s="94" t="s">
        <v>210</v>
      </c>
      <c r="K963" s="94">
        <v>-6</v>
      </c>
      <c r="L963" s="94" t="s">
        <v>210</v>
      </c>
      <c r="M963" s="94" t="s">
        <v>210</v>
      </c>
      <c r="N963" s="94">
        <v>5</v>
      </c>
      <c r="O963" s="94" t="s">
        <v>210</v>
      </c>
      <c r="P963" s="94">
        <v>4</v>
      </c>
      <c r="Q963" s="94"/>
      <c r="R963" s="94"/>
      <c r="S963" s="94"/>
      <c r="T963" s="94"/>
      <c r="U963" s="94"/>
      <c r="V963" s="94"/>
      <c r="W963" s="94"/>
      <c r="X963" s="94"/>
      <c r="Y963" s="94"/>
      <c r="Z963" s="94"/>
      <c r="AA963" s="94"/>
      <c r="AB963" s="94"/>
      <c r="AC963" s="94"/>
      <c r="AD963" s="94"/>
      <c r="AE963" s="94"/>
      <c r="AF963" s="94"/>
      <c r="AG963" s="94"/>
      <c r="AH963" s="94"/>
      <c r="AI963" s="94"/>
      <c r="AJ963" s="94"/>
      <c r="AK963" s="94"/>
      <c r="AL963" s="94"/>
      <c r="AM963" s="94"/>
      <c r="AN963" s="94"/>
      <c r="AO963" s="94"/>
      <c r="AP963" s="94"/>
      <c r="AQ963" s="94"/>
      <c r="AR963" s="94"/>
      <c r="AS963" s="94"/>
      <c r="AT963" s="94"/>
      <c r="AU963" s="94"/>
      <c r="AV963" s="94"/>
      <c r="AW963" s="94"/>
      <c r="AX963" s="94"/>
      <c r="AY963" s="94"/>
      <c r="AZ963" s="94"/>
      <c r="BA963" s="95"/>
    </row>
    <row r="964" spans="1:53" s="87" customFormat="1">
      <c r="A964" s="90" t="str">
        <f t="shared" si="39"/>
        <v/>
      </c>
      <c r="B964" s="98">
        <v>18</v>
      </c>
      <c r="C964" s="94" t="s">
        <v>210</v>
      </c>
      <c r="D964" s="94">
        <v>-3</v>
      </c>
      <c r="E964" s="94">
        <v>-8</v>
      </c>
      <c r="F964" s="94" t="s">
        <v>210</v>
      </c>
      <c r="G964" s="94">
        <v>2</v>
      </c>
      <c r="H964" s="94" t="s">
        <v>210</v>
      </c>
      <c r="I964" s="94">
        <v>-7</v>
      </c>
      <c r="J964" s="94" t="s">
        <v>210</v>
      </c>
      <c r="K964" s="94" t="s">
        <v>210</v>
      </c>
      <c r="L964" s="94">
        <v>5</v>
      </c>
      <c r="M964" s="94">
        <v>3</v>
      </c>
      <c r="N964" s="94" t="s">
        <v>210</v>
      </c>
      <c r="O964" s="94" t="s">
        <v>210</v>
      </c>
      <c r="P964" s="94">
        <v>-4</v>
      </c>
      <c r="Q964" s="94"/>
      <c r="R964" s="94"/>
      <c r="S964" s="94"/>
      <c r="T964" s="94"/>
      <c r="U964" s="94"/>
      <c r="V964" s="94"/>
      <c r="W964" s="94"/>
      <c r="X964" s="94"/>
      <c r="Y964" s="94"/>
      <c r="Z964" s="94"/>
      <c r="AA964" s="94"/>
      <c r="AB964" s="94"/>
      <c r="AC964" s="94"/>
      <c r="AD964" s="94"/>
      <c r="AE964" s="94"/>
      <c r="AF964" s="94"/>
      <c r="AG964" s="94"/>
      <c r="AH964" s="94"/>
      <c r="AI964" s="94"/>
      <c r="AJ964" s="94"/>
      <c r="AK964" s="94"/>
      <c r="AL964" s="94"/>
      <c r="AM964" s="94"/>
      <c r="AN964" s="94"/>
      <c r="AO964" s="94"/>
      <c r="AP964" s="94"/>
      <c r="AQ964" s="94"/>
      <c r="AR964" s="94"/>
      <c r="AS964" s="94"/>
      <c r="AT964" s="94"/>
      <c r="AU964" s="94"/>
      <c r="AV964" s="94"/>
      <c r="AW964" s="94"/>
      <c r="AX964" s="94"/>
      <c r="AY964" s="94"/>
      <c r="AZ964" s="94"/>
      <c r="BA964" s="95"/>
    </row>
    <row r="965" spans="1:53" s="87" customFormat="1">
      <c r="A965" s="90" t="str">
        <f t="shared" si="39"/>
        <v/>
      </c>
      <c r="B965" s="98">
        <v>19</v>
      </c>
      <c r="C965" s="94" t="s">
        <v>210</v>
      </c>
      <c r="D965" s="94">
        <v>-8</v>
      </c>
      <c r="E965" s="94">
        <v>-6</v>
      </c>
      <c r="F965" s="94" t="s">
        <v>210</v>
      </c>
      <c r="G965" s="94" t="s">
        <v>210</v>
      </c>
      <c r="H965" s="94">
        <v>2</v>
      </c>
      <c r="I965" s="94">
        <v>7</v>
      </c>
      <c r="J965" s="94" t="s">
        <v>210</v>
      </c>
      <c r="K965" s="94">
        <v>-3</v>
      </c>
      <c r="L965" s="94" t="s">
        <v>210</v>
      </c>
      <c r="M965" s="94">
        <v>-4</v>
      </c>
      <c r="N965" s="94" t="s">
        <v>210</v>
      </c>
      <c r="O965" s="94" t="s">
        <v>210</v>
      </c>
      <c r="P965" s="94">
        <v>5</v>
      </c>
      <c r="Q965" s="94"/>
      <c r="R965" s="94"/>
      <c r="S965" s="94"/>
      <c r="T965" s="94"/>
      <c r="U965" s="94"/>
      <c r="V965" s="94"/>
      <c r="W965" s="94"/>
      <c r="X965" s="94"/>
      <c r="Y965" s="94"/>
      <c r="Z965" s="94"/>
      <c r="AA965" s="94"/>
      <c r="AB965" s="94"/>
      <c r="AC965" s="94"/>
      <c r="AD965" s="94"/>
      <c r="AE965" s="94"/>
      <c r="AF965" s="94"/>
      <c r="AG965" s="94"/>
      <c r="AH965" s="94"/>
      <c r="AI965" s="94"/>
      <c r="AJ965" s="94"/>
      <c r="AK965" s="94"/>
      <c r="AL965" s="94"/>
      <c r="AM965" s="94"/>
      <c r="AN965" s="94"/>
      <c r="AO965" s="94"/>
      <c r="AP965" s="94"/>
      <c r="AQ965" s="94"/>
      <c r="AR965" s="94"/>
      <c r="AS965" s="94"/>
      <c r="AT965" s="94"/>
      <c r="AU965" s="94"/>
      <c r="AV965" s="94"/>
      <c r="AW965" s="94"/>
      <c r="AX965" s="94"/>
      <c r="AY965" s="94"/>
      <c r="AZ965" s="94"/>
      <c r="BA965" s="95"/>
    </row>
    <row r="966" spans="1:53" s="87" customFormat="1">
      <c r="A966" s="90" t="str">
        <f t="shared" si="39"/>
        <v/>
      </c>
      <c r="B966" s="98">
        <v>20</v>
      </c>
      <c r="C966" s="92" t="s">
        <v>210</v>
      </c>
      <c r="D966" s="92">
        <v>2</v>
      </c>
      <c r="E966" s="92">
        <v>7</v>
      </c>
      <c r="F966" s="92" t="s">
        <v>210</v>
      </c>
      <c r="G966" s="92" t="s">
        <v>210</v>
      </c>
      <c r="H966" s="92">
        <v>-8</v>
      </c>
      <c r="I966" s="92" t="s">
        <v>210</v>
      </c>
      <c r="J966" s="92">
        <v>-4</v>
      </c>
      <c r="K966" s="92">
        <v>6</v>
      </c>
      <c r="L966" s="92" t="s">
        <v>210</v>
      </c>
      <c r="M966" s="92">
        <v>-3</v>
      </c>
      <c r="N966" s="92" t="s">
        <v>210</v>
      </c>
      <c r="O966" s="92" t="s">
        <v>210</v>
      </c>
      <c r="P966" s="92">
        <v>-5</v>
      </c>
      <c r="Q966" s="94"/>
      <c r="R966" s="94"/>
      <c r="S966" s="94"/>
      <c r="T966" s="94"/>
      <c r="U966" s="94"/>
      <c r="V966" s="94"/>
      <c r="W966" s="94"/>
      <c r="X966" s="94"/>
      <c r="Y966" s="94"/>
      <c r="Z966" s="94"/>
      <c r="AA966" s="94"/>
      <c r="AB966" s="94"/>
      <c r="AC966" s="94"/>
      <c r="AD966" s="94"/>
      <c r="AE966" s="94"/>
      <c r="AF966" s="94"/>
      <c r="AG966" s="94"/>
      <c r="AH966" s="94"/>
      <c r="AI966" s="94"/>
      <c r="AJ966" s="94"/>
      <c r="AK966" s="94"/>
      <c r="AL966" s="94"/>
      <c r="AM966" s="94"/>
      <c r="AN966" s="94"/>
      <c r="AO966" s="94"/>
      <c r="AP966" s="94"/>
      <c r="AQ966" s="94"/>
      <c r="AR966" s="94"/>
      <c r="AS966" s="94"/>
      <c r="AT966" s="94"/>
      <c r="AU966" s="94"/>
      <c r="AV966" s="94"/>
      <c r="AW966" s="94"/>
      <c r="AX966" s="94"/>
      <c r="AY966" s="94"/>
      <c r="AZ966" s="94"/>
      <c r="BA966" s="95"/>
    </row>
    <row r="967" spans="1:53" s="87" customFormat="1">
      <c r="A967" s="90" t="str">
        <f t="shared" si="39"/>
        <v/>
      </c>
      <c r="B967" s="98">
        <v>21</v>
      </c>
      <c r="C967" s="94">
        <v>-7</v>
      </c>
      <c r="D967" s="94" t="s">
        <v>210</v>
      </c>
      <c r="E967" s="94">
        <v>1</v>
      </c>
      <c r="F967" s="94" t="s">
        <v>210</v>
      </c>
      <c r="G967" s="94" t="s">
        <v>210</v>
      </c>
      <c r="H967" s="94">
        <v>6</v>
      </c>
      <c r="I967" s="94">
        <v>-8</v>
      </c>
      <c r="J967" s="94" t="s">
        <v>210</v>
      </c>
      <c r="K967" s="94" t="s">
        <v>210</v>
      </c>
      <c r="L967" s="94">
        <v>-4</v>
      </c>
      <c r="M967" s="94">
        <v>5</v>
      </c>
      <c r="N967" s="94" t="s">
        <v>210</v>
      </c>
      <c r="O967" s="94" t="s">
        <v>210</v>
      </c>
      <c r="P967" s="94">
        <v>3</v>
      </c>
      <c r="Q967" s="94"/>
      <c r="R967" s="94"/>
      <c r="S967" s="94"/>
      <c r="T967" s="94"/>
      <c r="U967" s="94"/>
      <c r="V967" s="94"/>
      <c r="W967" s="94"/>
      <c r="X967" s="94"/>
      <c r="Y967" s="94"/>
      <c r="Z967" s="94"/>
      <c r="AA967" s="94"/>
      <c r="AB967" s="94"/>
      <c r="AC967" s="94"/>
      <c r="AD967" s="94"/>
      <c r="AE967" s="94"/>
      <c r="AF967" s="94"/>
      <c r="AG967" s="94"/>
      <c r="AH967" s="94"/>
      <c r="AI967" s="94"/>
      <c r="AJ967" s="94"/>
      <c r="AK967" s="94"/>
      <c r="AL967" s="94"/>
      <c r="AM967" s="94"/>
      <c r="AN967" s="94"/>
      <c r="AO967" s="94"/>
      <c r="AP967" s="94"/>
      <c r="AQ967" s="94"/>
      <c r="AR967" s="94"/>
      <c r="AS967" s="94"/>
      <c r="AT967" s="94"/>
      <c r="AU967" s="94"/>
      <c r="AV967" s="94"/>
      <c r="AW967" s="94"/>
      <c r="AX967" s="94"/>
      <c r="AY967" s="94"/>
      <c r="AZ967" s="94"/>
      <c r="BA967" s="95"/>
    </row>
    <row r="968" spans="1:53" s="87" customFormat="1">
      <c r="A968" s="90" t="str">
        <f t="shared" si="39"/>
        <v/>
      </c>
      <c r="B968" s="98">
        <v>22</v>
      </c>
      <c r="C968" s="94" t="s">
        <v>210</v>
      </c>
      <c r="D968" s="94">
        <v>6</v>
      </c>
      <c r="E968" s="94" t="s">
        <v>210</v>
      </c>
      <c r="F968" s="94">
        <v>8</v>
      </c>
      <c r="G968" s="94" t="s">
        <v>210</v>
      </c>
      <c r="H968" s="94">
        <v>-4</v>
      </c>
      <c r="I968" s="94">
        <v>-2</v>
      </c>
      <c r="J968" s="94" t="s">
        <v>210</v>
      </c>
      <c r="K968" s="94">
        <v>7</v>
      </c>
      <c r="L968" s="94" t="s">
        <v>210</v>
      </c>
      <c r="M968" s="94">
        <v>1</v>
      </c>
      <c r="N968" s="94" t="s">
        <v>210</v>
      </c>
      <c r="O968" s="94" t="s">
        <v>210</v>
      </c>
      <c r="P968" s="94">
        <v>-3</v>
      </c>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5"/>
    </row>
    <row r="969" spans="1:53" s="87" customFormat="1">
      <c r="A969" s="90" t="str">
        <f t="shared" si="39"/>
        <v/>
      </c>
      <c r="B969" s="98">
        <v>23</v>
      </c>
      <c r="C969" s="94" t="s">
        <v>210</v>
      </c>
      <c r="D969" s="94">
        <v>-7</v>
      </c>
      <c r="E969" s="94">
        <v>-2</v>
      </c>
      <c r="F969" s="94" t="s">
        <v>210</v>
      </c>
      <c r="G969" s="94" t="s">
        <v>210</v>
      </c>
      <c r="H969" s="94">
        <v>4</v>
      </c>
      <c r="I969" s="94">
        <v>-1</v>
      </c>
      <c r="J969" s="94" t="s">
        <v>210</v>
      </c>
      <c r="K969" s="94" t="s">
        <v>210</v>
      </c>
      <c r="L969" s="94">
        <v>3</v>
      </c>
      <c r="M969" s="94">
        <v>-5</v>
      </c>
      <c r="N969" s="94" t="s">
        <v>210</v>
      </c>
      <c r="O969" s="94" t="s">
        <v>210</v>
      </c>
      <c r="P969" s="94">
        <v>6</v>
      </c>
      <c r="Q969" s="94"/>
      <c r="R969" s="94"/>
      <c r="S969" s="94"/>
      <c r="T969" s="94"/>
      <c r="U969" s="94"/>
      <c r="V969" s="94"/>
      <c r="W969" s="94"/>
      <c r="X969" s="94"/>
      <c r="Y969" s="94"/>
      <c r="Z969" s="94"/>
      <c r="AA969" s="94"/>
      <c r="AB969" s="94"/>
      <c r="AC969" s="94"/>
      <c r="AD969" s="94"/>
      <c r="AE969" s="94"/>
      <c r="AF969" s="94"/>
      <c r="AG969" s="94"/>
      <c r="AH969" s="94"/>
      <c r="AI969" s="94"/>
      <c r="AJ969" s="94"/>
      <c r="AK969" s="94"/>
      <c r="AL969" s="94"/>
      <c r="AM969" s="94"/>
      <c r="AN969" s="94"/>
      <c r="AO969" s="94"/>
      <c r="AP969" s="94"/>
      <c r="AQ969" s="94"/>
      <c r="AR969" s="94"/>
      <c r="AS969" s="94"/>
      <c r="AT969" s="94"/>
      <c r="AU969" s="94"/>
      <c r="AV969" s="94"/>
      <c r="AW969" s="94"/>
      <c r="AX969" s="94"/>
      <c r="AY969" s="94"/>
      <c r="AZ969" s="94"/>
      <c r="BA969" s="95"/>
    </row>
    <row r="970" spans="1:53" s="87" customFormat="1">
      <c r="A970" s="90" t="str">
        <f t="shared" si="39"/>
        <v/>
      </c>
      <c r="B970" s="98">
        <v>24</v>
      </c>
      <c r="C970" s="94" t="s">
        <v>210</v>
      </c>
      <c r="D970" s="94">
        <v>1</v>
      </c>
      <c r="E970" s="94">
        <v>-5</v>
      </c>
      <c r="F970" s="94" t="s">
        <v>210</v>
      </c>
      <c r="G970" s="94" t="s">
        <v>210</v>
      </c>
      <c r="H970" s="94">
        <v>-7</v>
      </c>
      <c r="I970" s="94">
        <v>2</v>
      </c>
      <c r="J970" s="94" t="s">
        <v>210</v>
      </c>
      <c r="K970" s="94" t="s">
        <v>210</v>
      </c>
      <c r="L970" s="94">
        <v>4</v>
      </c>
      <c r="M970" s="94">
        <v>-8</v>
      </c>
      <c r="N970" s="94" t="s">
        <v>210</v>
      </c>
      <c r="O970" s="94" t="s">
        <v>210</v>
      </c>
      <c r="P970" s="94">
        <v>-6</v>
      </c>
      <c r="Q970" s="94"/>
      <c r="R970" s="94"/>
      <c r="S970" s="94"/>
      <c r="T970" s="94"/>
      <c r="U970" s="94"/>
      <c r="V970" s="94"/>
      <c r="W970" s="94"/>
      <c r="X970" s="94"/>
      <c r="Y970" s="94"/>
      <c r="Z970" s="94"/>
      <c r="AA970" s="94"/>
      <c r="AB970" s="94"/>
      <c r="AC970" s="94"/>
      <c r="AD970" s="94"/>
      <c r="AE970" s="94"/>
      <c r="AF970" s="94"/>
      <c r="AG970" s="94"/>
      <c r="AH970" s="94"/>
      <c r="AI970" s="94"/>
      <c r="AJ970" s="94"/>
      <c r="AK970" s="94"/>
      <c r="AL970" s="94"/>
      <c r="AM970" s="94"/>
      <c r="AN970" s="94"/>
      <c r="AO970" s="94"/>
      <c r="AP970" s="94"/>
      <c r="AQ970" s="94"/>
      <c r="AR970" s="94"/>
      <c r="AS970" s="94"/>
      <c r="AT970" s="94"/>
      <c r="AU970" s="94"/>
      <c r="AV970" s="94"/>
      <c r="AW970" s="94"/>
      <c r="AX970" s="94"/>
      <c r="AY970" s="94"/>
      <c r="AZ970" s="94"/>
      <c r="BA970" s="95"/>
    </row>
    <row r="971" spans="1:53" s="87" customFormat="1">
      <c r="A971" s="90" t="str">
        <f t="shared" si="39"/>
        <v/>
      </c>
      <c r="B971" s="98">
        <v>25</v>
      </c>
      <c r="C971" s="94" t="s">
        <v>210</v>
      </c>
      <c r="D971" s="94">
        <v>-5</v>
      </c>
      <c r="E971" s="94">
        <v>-4</v>
      </c>
      <c r="F971" s="94" t="s">
        <v>210</v>
      </c>
      <c r="G971" s="94" t="s">
        <v>210</v>
      </c>
      <c r="H971" s="94">
        <v>7</v>
      </c>
      <c r="I971" s="94">
        <v>8</v>
      </c>
      <c r="J971" s="94" t="s">
        <v>210</v>
      </c>
      <c r="K971" s="94" t="s">
        <v>210</v>
      </c>
      <c r="L971" s="94">
        <v>-3</v>
      </c>
      <c r="M971" s="94">
        <v>-1</v>
      </c>
      <c r="N971" s="94" t="s">
        <v>210</v>
      </c>
      <c r="O971" s="94" t="s">
        <v>210</v>
      </c>
      <c r="P971" s="94">
        <v>2</v>
      </c>
      <c r="Q971" s="94"/>
      <c r="R971" s="94"/>
      <c r="S971" s="94"/>
      <c r="T971" s="94"/>
      <c r="U971" s="94"/>
      <c r="V971" s="94"/>
      <c r="W971" s="94"/>
      <c r="X971" s="94"/>
      <c r="Y971" s="94"/>
      <c r="Z971" s="94"/>
      <c r="AA971" s="94"/>
      <c r="AB971" s="94"/>
      <c r="AC971" s="94"/>
      <c r="AD971" s="94"/>
      <c r="AE971" s="94"/>
      <c r="AF971" s="94"/>
      <c r="AG971" s="94"/>
      <c r="AH971" s="94"/>
      <c r="AI971" s="94"/>
      <c r="AJ971" s="94"/>
      <c r="AK971" s="94"/>
      <c r="AL971" s="94"/>
      <c r="AM971" s="94"/>
      <c r="AN971" s="94"/>
      <c r="AO971" s="94"/>
      <c r="AP971" s="94"/>
      <c r="AQ971" s="94"/>
      <c r="AR971" s="94"/>
      <c r="AS971" s="94"/>
      <c r="AT971" s="94"/>
      <c r="AU971" s="94"/>
      <c r="AV971" s="94"/>
      <c r="AW971" s="94"/>
      <c r="AX971" s="94"/>
      <c r="AY971" s="94"/>
      <c r="AZ971" s="94"/>
      <c r="BA971" s="95"/>
    </row>
    <row r="972" spans="1:53" s="87" customFormat="1">
      <c r="A972" s="90" t="str">
        <f t="shared" ref="A972:A1035" si="40">IF(MID(B972,3,2)="08",ROW(),"")</f>
        <v/>
      </c>
      <c r="B972" s="98">
        <v>26</v>
      </c>
      <c r="C972" s="92" t="s">
        <v>210</v>
      </c>
      <c r="D972" s="92">
        <v>4</v>
      </c>
      <c r="E972" s="92">
        <v>3</v>
      </c>
      <c r="F972" s="92" t="s">
        <v>210</v>
      </c>
      <c r="G972" s="92" t="s">
        <v>210</v>
      </c>
      <c r="H972" s="92">
        <v>-6</v>
      </c>
      <c r="I972" s="92">
        <v>1</v>
      </c>
      <c r="J972" s="92" t="s">
        <v>210</v>
      </c>
      <c r="K972" s="92">
        <v>-7</v>
      </c>
      <c r="L972" s="92" t="s">
        <v>210</v>
      </c>
      <c r="M972" s="92">
        <v>8</v>
      </c>
      <c r="N972" s="92" t="s">
        <v>210</v>
      </c>
      <c r="O972" s="92" t="s">
        <v>210</v>
      </c>
      <c r="P972" s="92">
        <v>-2</v>
      </c>
      <c r="Q972" s="94"/>
      <c r="R972" s="94"/>
      <c r="S972" s="94"/>
      <c r="T972" s="94"/>
      <c r="U972" s="94"/>
      <c r="V972" s="94"/>
      <c r="W972" s="94"/>
      <c r="X972" s="94"/>
      <c r="Y972" s="94"/>
      <c r="Z972" s="94"/>
      <c r="AA972" s="94"/>
      <c r="AB972" s="94"/>
      <c r="AC972" s="94"/>
      <c r="AD972" s="94"/>
      <c r="AE972" s="94"/>
      <c r="AF972" s="94"/>
      <c r="AG972" s="94"/>
      <c r="AH972" s="94"/>
      <c r="AI972" s="94"/>
      <c r="AJ972" s="94"/>
      <c r="AK972" s="94"/>
      <c r="AL972" s="94"/>
      <c r="AM972" s="94"/>
      <c r="AN972" s="94"/>
      <c r="AO972" s="94"/>
      <c r="AP972" s="94"/>
      <c r="AQ972" s="94"/>
      <c r="AR972" s="94"/>
      <c r="AS972" s="94"/>
      <c r="AT972" s="94"/>
      <c r="AU972" s="94"/>
      <c r="AV972" s="94"/>
      <c r="AW972" s="94"/>
      <c r="AX972" s="94"/>
      <c r="AY972" s="94"/>
      <c r="AZ972" s="94"/>
      <c r="BA972" s="95"/>
    </row>
    <row r="973" spans="1:53" s="87" customFormat="1">
      <c r="A973" s="90" t="str">
        <f t="shared" si="40"/>
        <v/>
      </c>
      <c r="B973" s="98">
        <v>27</v>
      </c>
      <c r="C973" s="94" t="s">
        <v>210</v>
      </c>
      <c r="D973" s="94">
        <v>-2</v>
      </c>
      <c r="E973" s="94">
        <v>8</v>
      </c>
      <c r="F973" s="94" t="s">
        <v>210</v>
      </c>
      <c r="G973" s="94" t="s">
        <v>210</v>
      </c>
      <c r="H973" s="94">
        <v>5</v>
      </c>
      <c r="I973" s="94">
        <v>-4</v>
      </c>
      <c r="J973" s="94" t="s">
        <v>210</v>
      </c>
      <c r="K973" s="94" t="s">
        <v>210</v>
      </c>
      <c r="L973" s="94">
        <v>-1</v>
      </c>
      <c r="M973" s="94">
        <v>6</v>
      </c>
      <c r="N973" s="94" t="s">
        <v>210</v>
      </c>
      <c r="O973" s="94" t="s">
        <v>210</v>
      </c>
      <c r="P973" s="94">
        <v>7</v>
      </c>
      <c r="Q973" s="94"/>
      <c r="R973" s="94"/>
      <c r="S973" s="94"/>
      <c r="T973" s="94"/>
      <c r="U973" s="94"/>
      <c r="V973" s="94"/>
      <c r="W973" s="94"/>
      <c r="X973" s="94"/>
      <c r="Y973" s="94"/>
      <c r="Z973" s="94"/>
      <c r="AA973" s="94"/>
      <c r="AB973" s="94"/>
      <c r="AC973" s="94"/>
      <c r="AD973" s="94"/>
      <c r="AE973" s="94"/>
      <c r="AF973" s="94"/>
      <c r="AG973" s="94"/>
      <c r="AH973" s="94"/>
      <c r="AI973" s="94"/>
      <c r="AJ973" s="94"/>
      <c r="AK973" s="94"/>
      <c r="AL973" s="94"/>
      <c r="AM973" s="94"/>
      <c r="AN973" s="94"/>
      <c r="AO973" s="94"/>
      <c r="AP973" s="94"/>
      <c r="AQ973" s="94"/>
      <c r="AR973" s="94"/>
      <c r="AS973" s="94"/>
      <c r="AT973" s="94"/>
      <c r="AU973" s="94"/>
      <c r="AV973" s="94"/>
      <c r="AW973" s="94"/>
      <c r="AX973" s="94"/>
      <c r="AY973" s="94"/>
      <c r="AZ973" s="94"/>
      <c r="BA973" s="95"/>
    </row>
    <row r="974" spans="1:53" s="87" customFormat="1">
      <c r="A974" s="90" t="str">
        <f t="shared" si="40"/>
        <v/>
      </c>
      <c r="B974" s="98">
        <v>28</v>
      </c>
      <c r="C974" s="94" t="s">
        <v>210</v>
      </c>
      <c r="D974" s="94">
        <v>3</v>
      </c>
      <c r="E974" s="94">
        <v>6</v>
      </c>
      <c r="F974" s="94" t="s">
        <v>210</v>
      </c>
      <c r="G974" s="94" t="s">
        <v>210</v>
      </c>
      <c r="H974" s="94">
        <v>-1</v>
      </c>
      <c r="I974" s="94">
        <v>-5</v>
      </c>
      <c r="J974" s="94" t="s">
        <v>210</v>
      </c>
      <c r="K974" s="94" t="s">
        <v>210</v>
      </c>
      <c r="L974" s="94">
        <v>8</v>
      </c>
      <c r="M974" s="94">
        <v>2</v>
      </c>
      <c r="N974" s="94" t="s">
        <v>210</v>
      </c>
      <c r="O974" s="94" t="s">
        <v>210</v>
      </c>
      <c r="P974" s="94">
        <v>-7</v>
      </c>
      <c r="Q974" s="94"/>
      <c r="R974" s="94"/>
      <c r="S974" s="94"/>
      <c r="T974" s="94"/>
      <c r="U974" s="94"/>
      <c r="V974" s="94"/>
      <c r="W974" s="94"/>
      <c r="X974" s="94"/>
      <c r="Y974" s="94"/>
      <c r="Z974" s="94"/>
      <c r="AA974" s="94"/>
      <c r="AB974" s="94"/>
      <c r="AC974" s="94"/>
      <c r="AD974" s="94"/>
      <c r="AE974" s="94"/>
      <c r="AF974" s="94"/>
      <c r="AG974" s="94"/>
      <c r="AH974" s="94"/>
      <c r="AI974" s="94"/>
      <c r="AJ974" s="94"/>
      <c r="AK974" s="94"/>
      <c r="AL974" s="94"/>
      <c r="AM974" s="94"/>
      <c r="AN974" s="94"/>
      <c r="AO974" s="94"/>
      <c r="AP974" s="94"/>
      <c r="AQ974" s="94"/>
      <c r="AR974" s="94"/>
      <c r="AS974" s="94"/>
      <c r="AT974" s="94"/>
      <c r="AU974" s="94"/>
      <c r="AV974" s="94"/>
      <c r="AW974" s="94"/>
      <c r="AX974" s="94"/>
      <c r="AY974" s="94"/>
      <c r="AZ974" s="94"/>
      <c r="BA974" s="95"/>
    </row>
    <row r="975" spans="1:53" s="87" customFormat="1">
      <c r="A975" s="90" t="str">
        <f t="shared" si="40"/>
        <v/>
      </c>
      <c r="B975" s="98">
        <v>29</v>
      </c>
      <c r="C975" s="94" t="s">
        <v>210</v>
      </c>
      <c r="D975" s="94">
        <v>8</v>
      </c>
      <c r="E975" s="94">
        <v>-7</v>
      </c>
      <c r="F975" s="94" t="s">
        <v>210</v>
      </c>
      <c r="G975" s="94" t="s">
        <v>210</v>
      </c>
      <c r="H975" s="94">
        <v>-3</v>
      </c>
      <c r="I975" s="94">
        <v>5</v>
      </c>
      <c r="J975" s="94" t="s">
        <v>210</v>
      </c>
      <c r="K975" s="94" t="s">
        <v>210</v>
      </c>
      <c r="L975" s="94">
        <v>2</v>
      </c>
      <c r="M975" s="94">
        <v>-6</v>
      </c>
      <c r="N975" s="94" t="s">
        <v>210</v>
      </c>
      <c r="O975" s="94" t="s">
        <v>210</v>
      </c>
      <c r="P975" s="94">
        <v>-1</v>
      </c>
      <c r="Q975" s="94"/>
      <c r="R975" s="94"/>
      <c r="S975" s="94"/>
      <c r="T975" s="94"/>
      <c r="U975" s="94"/>
      <c r="V975" s="94"/>
      <c r="W975" s="94"/>
      <c r="X975" s="94"/>
      <c r="Y975" s="94"/>
      <c r="Z975" s="94"/>
      <c r="AA975" s="94"/>
      <c r="AB975" s="94"/>
      <c r="AC975" s="94"/>
      <c r="AD975" s="94"/>
      <c r="AE975" s="94"/>
      <c r="AF975" s="94"/>
      <c r="AG975" s="94"/>
      <c r="AH975" s="94"/>
      <c r="AI975" s="94"/>
      <c r="AJ975" s="94"/>
      <c r="AK975" s="94"/>
      <c r="AL975" s="94"/>
      <c r="AM975" s="94"/>
      <c r="AN975" s="94"/>
      <c r="AO975" s="94"/>
      <c r="AP975" s="94"/>
      <c r="AQ975" s="94"/>
      <c r="AR975" s="94"/>
      <c r="AS975" s="94"/>
      <c r="AT975" s="94"/>
      <c r="AU975" s="94"/>
      <c r="AV975" s="94"/>
      <c r="AW975" s="94"/>
      <c r="AX975" s="94"/>
      <c r="AY975" s="94"/>
      <c r="AZ975" s="94"/>
      <c r="BA975" s="95"/>
    </row>
    <row r="976" spans="1:53" s="87" customFormat="1">
      <c r="A976" s="90" t="str">
        <f t="shared" si="40"/>
        <v/>
      </c>
      <c r="B976" s="98">
        <v>30</v>
      </c>
      <c r="C976" s="94" t="s">
        <v>210</v>
      </c>
      <c r="D976" s="94">
        <v>-1</v>
      </c>
      <c r="E976" s="94">
        <v>4</v>
      </c>
      <c r="F976" s="94" t="s">
        <v>210</v>
      </c>
      <c r="G976" s="94" t="s">
        <v>210</v>
      </c>
      <c r="H976" s="94">
        <v>-5</v>
      </c>
      <c r="I976" s="94">
        <v>6</v>
      </c>
      <c r="J976" s="94" t="s">
        <v>210</v>
      </c>
      <c r="K976" s="94" t="s">
        <v>210</v>
      </c>
      <c r="L976" s="94">
        <v>-8</v>
      </c>
      <c r="M976" s="94">
        <v>-7</v>
      </c>
      <c r="N976" s="94" t="s">
        <v>210</v>
      </c>
      <c r="O976" s="94" t="s">
        <v>210</v>
      </c>
      <c r="P976" s="94">
        <v>1</v>
      </c>
      <c r="Q976" s="94"/>
      <c r="R976" s="94"/>
      <c r="S976" s="94"/>
      <c r="T976" s="94"/>
      <c r="U976" s="94"/>
      <c r="V976" s="94"/>
      <c r="W976" s="94"/>
      <c r="X976" s="94"/>
      <c r="Y976" s="94"/>
      <c r="Z976" s="94"/>
      <c r="AA976" s="94"/>
      <c r="AB976" s="94"/>
      <c r="AC976" s="94"/>
      <c r="AD976" s="94"/>
      <c r="AE976" s="94"/>
      <c r="AF976" s="94"/>
      <c r="AG976" s="94"/>
      <c r="AH976" s="94"/>
      <c r="AI976" s="94"/>
      <c r="AJ976" s="94"/>
      <c r="AK976" s="94"/>
      <c r="AL976" s="94"/>
      <c r="AM976" s="94"/>
      <c r="AN976" s="94"/>
      <c r="AO976" s="94"/>
      <c r="AP976" s="94"/>
      <c r="AQ976" s="94"/>
      <c r="AR976" s="94"/>
      <c r="AS976" s="94"/>
      <c r="AT976" s="94"/>
      <c r="AU976" s="94"/>
      <c r="AV976" s="94"/>
      <c r="AW976" s="94"/>
      <c r="AX976" s="94"/>
      <c r="AY976" s="94"/>
      <c r="AZ976" s="94"/>
      <c r="BA976" s="95"/>
    </row>
    <row r="977" spans="1:53" s="87" customFormat="1">
      <c r="A977" s="90" t="str">
        <f t="shared" si="40"/>
        <v/>
      </c>
      <c r="B977" s="98">
        <v>31</v>
      </c>
      <c r="C977" s="94" t="s">
        <v>210</v>
      </c>
      <c r="D977" s="94">
        <v>-4</v>
      </c>
      <c r="E977" s="94">
        <v>5</v>
      </c>
      <c r="F977" s="94" t="s">
        <v>210</v>
      </c>
      <c r="G977" s="94" t="s">
        <v>210</v>
      </c>
      <c r="H977" s="94">
        <v>3</v>
      </c>
      <c r="I977" s="94">
        <v>-6</v>
      </c>
      <c r="J977" s="94" t="s">
        <v>210</v>
      </c>
      <c r="K977" s="94" t="s">
        <v>210</v>
      </c>
      <c r="L977" s="94">
        <v>1</v>
      </c>
      <c r="M977" s="94">
        <v>-2</v>
      </c>
      <c r="N977" s="94" t="s">
        <v>210</v>
      </c>
      <c r="O977" s="94" t="s">
        <v>210</v>
      </c>
      <c r="P977" s="94">
        <v>8</v>
      </c>
      <c r="Q977" s="94"/>
      <c r="R977" s="94"/>
      <c r="S977" s="94"/>
      <c r="T977" s="94"/>
      <c r="U977" s="94"/>
      <c r="V977" s="94"/>
      <c r="W977" s="94"/>
      <c r="X977" s="94"/>
      <c r="Y977" s="94"/>
      <c r="Z977" s="94"/>
      <c r="AA977" s="94"/>
      <c r="AB977" s="94"/>
      <c r="AC977" s="94"/>
      <c r="AD977" s="94"/>
      <c r="AE977" s="94"/>
      <c r="AF977" s="94"/>
      <c r="AG977" s="94"/>
      <c r="AH977" s="94"/>
      <c r="AI977" s="94"/>
      <c r="AJ977" s="94"/>
      <c r="AK977" s="94"/>
      <c r="AL977" s="94"/>
      <c r="AM977" s="94"/>
      <c r="AN977" s="94"/>
      <c r="AO977" s="94"/>
      <c r="AP977" s="94"/>
      <c r="AQ977" s="94"/>
      <c r="AR977" s="94"/>
      <c r="AS977" s="94"/>
      <c r="AT977" s="94"/>
      <c r="AU977" s="94"/>
      <c r="AV977" s="94"/>
      <c r="AW977" s="94"/>
      <c r="AX977" s="94"/>
      <c r="AY977" s="94"/>
      <c r="AZ977" s="94"/>
      <c r="BA977" s="95"/>
    </row>
    <row r="978" spans="1:53" s="87" customFormat="1">
      <c r="A978" s="90" t="str">
        <f t="shared" si="40"/>
        <v/>
      </c>
      <c r="B978" s="98">
        <v>32</v>
      </c>
      <c r="C978" s="94" t="s">
        <v>210</v>
      </c>
      <c r="D978" s="94">
        <v>5</v>
      </c>
      <c r="E978" s="94">
        <v>-3</v>
      </c>
      <c r="F978" s="94" t="s">
        <v>210</v>
      </c>
      <c r="G978" s="94" t="s">
        <v>210</v>
      </c>
      <c r="H978" s="94">
        <v>1</v>
      </c>
      <c r="I978" s="94">
        <v>4</v>
      </c>
      <c r="J978" s="94" t="s">
        <v>210</v>
      </c>
      <c r="K978" s="94" t="s">
        <v>210</v>
      </c>
      <c r="L978" s="94">
        <v>-2</v>
      </c>
      <c r="M978" s="94">
        <v>7</v>
      </c>
      <c r="N978" s="94" t="s">
        <v>210</v>
      </c>
      <c r="O978" s="94" t="s">
        <v>210</v>
      </c>
      <c r="P978" s="94">
        <v>-8</v>
      </c>
      <c r="Q978" s="94"/>
      <c r="R978" s="94"/>
      <c r="S978" s="94"/>
      <c r="T978" s="94"/>
      <c r="U978" s="94"/>
      <c r="V978" s="94"/>
      <c r="W978" s="94"/>
      <c r="X978" s="94"/>
      <c r="Y978" s="94"/>
      <c r="Z978" s="94"/>
      <c r="AA978" s="94"/>
      <c r="AB978" s="94"/>
      <c r="AC978" s="94"/>
      <c r="AD978" s="94"/>
      <c r="AE978" s="94"/>
      <c r="AF978" s="94"/>
      <c r="AG978" s="94"/>
      <c r="AH978" s="94"/>
      <c r="AI978" s="94"/>
      <c r="AJ978" s="94"/>
      <c r="AK978" s="94"/>
      <c r="AL978" s="94"/>
      <c r="AM978" s="94"/>
      <c r="AN978" s="94"/>
      <c r="AO978" s="94"/>
      <c r="AP978" s="94"/>
      <c r="AQ978" s="94"/>
      <c r="AR978" s="94"/>
      <c r="AS978" s="94"/>
      <c r="AT978" s="94"/>
      <c r="AU978" s="94"/>
      <c r="AV978" s="94"/>
      <c r="AW978" s="94"/>
      <c r="AX978" s="94"/>
      <c r="AY978" s="94"/>
      <c r="AZ978" s="94"/>
      <c r="BA978" s="95"/>
    </row>
    <row r="979" spans="1:53" s="87" customFormat="1">
      <c r="A979" s="90" t="str">
        <f t="shared" si="40"/>
        <v/>
      </c>
      <c r="B979" s="271" t="s">
        <v>483</v>
      </c>
      <c r="C979" s="94"/>
      <c r="D979" s="94"/>
      <c r="E979" s="94"/>
      <c r="F979" s="94"/>
      <c r="G979" s="94"/>
      <c r="H979" s="94"/>
      <c r="I979" s="94"/>
      <c r="J979" s="94"/>
      <c r="K979" s="94"/>
      <c r="L979" s="94"/>
      <c r="M979" s="94"/>
      <c r="N979" s="94"/>
      <c r="O979" s="94"/>
      <c r="P979" s="94"/>
      <c r="Q979" s="94"/>
      <c r="R979" s="94"/>
      <c r="S979" s="94"/>
      <c r="T979" s="94"/>
      <c r="U979" s="94"/>
      <c r="V979" s="94"/>
      <c r="W979" s="94"/>
      <c r="X979" s="94"/>
      <c r="Y979" s="94"/>
      <c r="Z979" s="94"/>
      <c r="AA979" s="94"/>
      <c r="AB979" s="94"/>
      <c r="AC979" s="94"/>
      <c r="AD979" s="94"/>
      <c r="AE979" s="94"/>
      <c r="AF979" s="94"/>
      <c r="AG979" s="94"/>
      <c r="AH979" s="94"/>
      <c r="AI979" s="94"/>
      <c r="AJ979" s="94"/>
      <c r="AK979" s="94"/>
      <c r="AL979" s="94"/>
      <c r="AM979" s="94"/>
      <c r="AN979" s="94"/>
      <c r="AO979" s="94"/>
      <c r="AP979" s="94"/>
      <c r="AQ979" s="94"/>
      <c r="AR979" s="94"/>
      <c r="AS979" s="94"/>
      <c r="AT979" s="94"/>
      <c r="AU979" s="94"/>
      <c r="AV979" s="94"/>
      <c r="AW979" s="94"/>
      <c r="AX979" s="94"/>
      <c r="AY979" s="94"/>
      <c r="AZ979" s="94"/>
      <c r="BA979" s="95"/>
    </row>
    <row r="980" spans="1:53" s="87" customFormat="1">
      <c r="A980" s="90">
        <f t="shared" si="40"/>
        <v>980</v>
      </c>
      <c r="B980" s="317" t="s">
        <v>1193</v>
      </c>
      <c r="C980" s="94"/>
      <c r="D980" s="94"/>
      <c r="E980" s="94"/>
      <c r="F980" s="94"/>
      <c r="G980" s="94"/>
      <c r="H980" s="94"/>
      <c r="I980" s="94"/>
      <c r="J980" s="94"/>
      <c r="K980" s="94"/>
      <c r="L980" s="94"/>
      <c r="M980" s="94"/>
      <c r="N980" s="94"/>
      <c r="O980" s="94"/>
      <c r="P980" s="94"/>
      <c r="Q980" s="94"/>
      <c r="R980" s="94"/>
      <c r="S980" s="94"/>
      <c r="T980" s="94"/>
      <c r="U980" s="94"/>
      <c r="V980" s="94"/>
      <c r="W980" s="94"/>
      <c r="X980" s="94"/>
      <c r="Y980" s="94"/>
      <c r="Z980" s="94"/>
      <c r="AA980" s="94"/>
      <c r="AB980" s="94"/>
      <c r="AC980" s="94"/>
      <c r="AD980" s="94"/>
      <c r="AE980" s="94"/>
      <c r="AF980" s="94"/>
      <c r="AG980" s="94"/>
      <c r="AH980" s="94"/>
      <c r="AI980" s="94"/>
      <c r="AJ980" s="94"/>
      <c r="AK980" s="94"/>
      <c r="AL980" s="94"/>
      <c r="AM980" s="94"/>
      <c r="AN980" s="94"/>
      <c r="AO980" s="94"/>
      <c r="AP980" s="94"/>
      <c r="AQ980" s="94"/>
      <c r="AR980" s="94"/>
      <c r="AS980" s="94"/>
      <c r="AT980" s="94"/>
      <c r="AU980" s="94"/>
      <c r="AV980" s="94"/>
      <c r="AW980" s="94"/>
      <c r="AX980" s="94"/>
      <c r="AY980" s="94"/>
      <c r="AZ980" s="94"/>
      <c r="BA980" s="95"/>
    </row>
    <row r="981" spans="1:53" s="87" customFormat="1">
      <c r="A981" s="90" t="str">
        <f t="shared" si="40"/>
        <v/>
      </c>
      <c r="B981" s="98">
        <v>1</v>
      </c>
      <c r="C981" s="94">
        <v>-1</v>
      </c>
      <c r="D981" s="94" t="s">
        <v>210</v>
      </c>
      <c r="E981" s="94">
        <v>6</v>
      </c>
      <c r="F981" s="94" t="s">
        <v>210</v>
      </c>
      <c r="G981" s="94">
        <v>3</v>
      </c>
      <c r="H981" s="94" t="s">
        <v>210</v>
      </c>
      <c r="I981" s="94">
        <v>-5</v>
      </c>
      <c r="J981" s="94" t="s">
        <v>210</v>
      </c>
      <c r="K981" s="94" t="s">
        <v>210</v>
      </c>
      <c r="L981" s="94">
        <v>-7</v>
      </c>
      <c r="M981" s="94" t="s">
        <v>210</v>
      </c>
      <c r="N981" s="94">
        <v>8</v>
      </c>
      <c r="O981" s="94" t="s">
        <v>210</v>
      </c>
      <c r="P981" s="94">
        <v>2</v>
      </c>
      <c r="Q981" s="94"/>
      <c r="R981" s="94"/>
      <c r="S981" s="94"/>
      <c r="T981" s="94"/>
      <c r="U981" s="94"/>
      <c r="V981" s="94"/>
      <c r="W981" s="94"/>
      <c r="X981" s="94"/>
      <c r="Y981" s="94"/>
      <c r="Z981" s="94"/>
      <c r="AA981" s="94"/>
      <c r="AB981" s="94"/>
      <c r="AC981" s="94"/>
      <c r="AD981" s="94"/>
      <c r="AE981" s="94"/>
      <c r="AF981" s="94"/>
      <c r="AG981" s="94"/>
      <c r="AH981" s="94"/>
      <c r="AI981" s="94"/>
      <c r="AJ981" s="94"/>
      <c r="AK981" s="94"/>
      <c r="AL981" s="94"/>
      <c r="AM981" s="94"/>
      <c r="AN981" s="94"/>
      <c r="AO981" s="94"/>
      <c r="AP981" s="94"/>
      <c r="AQ981" s="94"/>
      <c r="AR981" s="94"/>
      <c r="AS981" s="94"/>
      <c r="AT981" s="94"/>
      <c r="AU981" s="94"/>
      <c r="AV981" s="94"/>
      <c r="AW981" s="94"/>
      <c r="AX981" s="94"/>
      <c r="AY981" s="94"/>
      <c r="AZ981" s="94"/>
      <c r="BA981" s="95"/>
    </row>
    <row r="982" spans="1:53" s="87" customFormat="1">
      <c r="A982" s="90" t="str">
        <f t="shared" si="40"/>
        <v/>
      </c>
      <c r="B982" s="98">
        <v>2</v>
      </c>
      <c r="C982" s="94">
        <v>-3</v>
      </c>
      <c r="D982" s="94" t="s">
        <v>210</v>
      </c>
      <c r="E982" s="94">
        <v>7</v>
      </c>
      <c r="F982" s="94" t="s">
        <v>210</v>
      </c>
      <c r="G982" s="94">
        <v>4</v>
      </c>
      <c r="H982" s="94" t="s">
        <v>210</v>
      </c>
      <c r="I982" s="94">
        <v>-8</v>
      </c>
      <c r="J982" s="94" t="s">
        <v>210</v>
      </c>
      <c r="K982" s="94" t="s">
        <v>210</v>
      </c>
      <c r="L982" s="94">
        <v>6</v>
      </c>
      <c r="M982" s="94" t="s">
        <v>210</v>
      </c>
      <c r="N982" s="94">
        <v>-5</v>
      </c>
      <c r="O982" s="94" t="s">
        <v>210</v>
      </c>
      <c r="P982" s="94">
        <v>-2</v>
      </c>
      <c r="Q982" s="94"/>
      <c r="R982" s="94"/>
      <c r="S982" s="94"/>
      <c r="T982" s="94"/>
      <c r="U982" s="94"/>
      <c r="V982" s="94"/>
      <c r="W982" s="94"/>
      <c r="X982" s="94"/>
      <c r="Y982" s="94"/>
      <c r="Z982" s="94"/>
      <c r="AA982" s="94"/>
      <c r="AB982" s="94"/>
      <c r="AC982" s="94"/>
      <c r="AD982" s="94"/>
      <c r="AE982" s="94"/>
      <c r="AF982" s="94"/>
      <c r="AG982" s="94"/>
      <c r="AH982" s="94"/>
      <c r="AI982" s="94"/>
      <c r="AJ982" s="94"/>
      <c r="AK982" s="94"/>
      <c r="AL982" s="94"/>
      <c r="AM982" s="94"/>
      <c r="AN982" s="94"/>
      <c r="AO982" s="94"/>
      <c r="AP982" s="94"/>
      <c r="AQ982" s="94"/>
      <c r="AR982" s="94"/>
      <c r="AS982" s="94"/>
      <c r="AT982" s="94"/>
      <c r="AU982" s="94"/>
      <c r="AV982" s="94"/>
      <c r="AW982" s="94"/>
      <c r="AX982" s="94"/>
      <c r="AY982" s="94"/>
      <c r="AZ982" s="94"/>
      <c r="BA982" s="95"/>
    </row>
    <row r="983" spans="1:53" s="87" customFormat="1">
      <c r="A983" s="90" t="str">
        <f t="shared" si="40"/>
        <v/>
      </c>
      <c r="B983" s="98">
        <v>3</v>
      </c>
      <c r="C983" s="94">
        <v>-7</v>
      </c>
      <c r="D983" s="94" t="s">
        <v>210</v>
      </c>
      <c r="E983" s="94">
        <v>-2</v>
      </c>
      <c r="F983" s="94" t="s">
        <v>210</v>
      </c>
      <c r="G983" s="94">
        <v>5</v>
      </c>
      <c r="H983" s="94" t="s">
        <v>210</v>
      </c>
      <c r="I983" s="94">
        <v>1</v>
      </c>
      <c r="J983" s="94" t="s">
        <v>210</v>
      </c>
      <c r="K983" s="94" t="s">
        <v>210</v>
      </c>
      <c r="L983" s="94">
        <v>-6</v>
      </c>
      <c r="M983" s="94" t="s">
        <v>210</v>
      </c>
      <c r="N983" s="94">
        <v>-8</v>
      </c>
      <c r="O983" s="94" t="s">
        <v>210</v>
      </c>
      <c r="P983" s="94">
        <v>3</v>
      </c>
      <c r="Q983" s="94"/>
      <c r="R983" s="94"/>
      <c r="S983" s="94"/>
      <c r="T983" s="94"/>
      <c r="U983" s="94"/>
      <c r="V983" s="94"/>
      <c r="W983" s="94"/>
      <c r="X983" s="94"/>
      <c r="Y983" s="94"/>
      <c r="Z983" s="94"/>
      <c r="AA983" s="94"/>
      <c r="AB983" s="94"/>
      <c r="AC983" s="94"/>
      <c r="AD983" s="94"/>
      <c r="AE983" s="94"/>
      <c r="AF983" s="94"/>
      <c r="AG983" s="94"/>
      <c r="AH983" s="94"/>
      <c r="AI983" s="94"/>
      <c r="AJ983" s="94"/>
      <c r="AK983" s="94"/>
      <c r="AL983" s="94"/>
      <c r="AM983" s="94"/>
      <c r="AN983" s="94"/>
      <c r="AO983" s="94"/>
      <c r="AP983" s="94"/>
      <c r="AQ983" s="94"/>
      <c r="AR983" s="94"/>
      <c r="AS983" s="94"/>
      <c r="AT983" s="94"/>
      <c r="AU983" s="94"/>
      <c r="AV983" s="94"/>
      <c r="AW983" s="94"/>
      <c r="AX983" s="94"/>
      <c r="AY983" s="94"/>
      <c r="AZ983" s="94"/>
      <c r="BA983" s="95"/>
    </row>
    <row r="984" spans="1:53" s="87" customFormat="1">
      <c r="A984" s="90" t="str">
        <f t="shared" si="40"/>
        <v/>
      </c>
      <c r="B984" s="98">
        <v>4</v>
      </c>
      <c r="C984" s="94">
        <v>6</v>
      </c>
      <c r="D984" s="94" t="s">
        <v>210</v>
      </c>
      <c r="E984" s="94">
        <v>4</v>
      </c>
      <c r="F984" s="94" t="s">
        <v>210</v>
      </c>
      <c r="G984" s="94">
        <v>-8</v>
      </c>
      <c r="H984" s="94" t="s">
        <v>210</v>
      </c>
      <c r="I984" s="94">
        <v>-2</v>
      </c>
      <c r="J984" s="94" t="s">
        <v>210</v>
      </c>
      <c r="K984" s="94" t="s">
        <v>210</v>
      </c>
      <c r="L984" s="94">
        <v>7</v>
      </c>
      <c r="M984" s="94" t="s">
        <v>210</v>
      </c>
      <c r="N984" s="94">
        <v>5</v>
      </c>
      <c r="O984" s="94" t="s">
        <v>210</v>
      </c>
      <c r="P984" s="94">
        <v>-3</v>
      </c>
      <c r="Q984" s="94"/>
      <c r="R984" s="94"/>
      <c r="S984" s="94"/>
      <c r="T984" s="94"/>
      <c r="U984" s="94"/>
      <c r="V984" s="94"/>
      <c r="W984" s="94"/>
      <c r="X984" s="94"/>
      <c r="Y984" s="94"/>
      <c r="Z984" s="94"/>
      <c r="AA984" s="94"/>
      <c r="AB984" s="94"/>
      <c r="AC984" s="94"/>
      <c r="AD984" s="94"/>
      <c r="AE984" s="94"/>
      <c r="AF984" s="94"/>
      <c r="AG984" s="94"/>
      <c r="AH984" s="94"/>
      <c r="AI984" s="94"/>
      <c r="AJ984" s="94"/>
      <c r="AK984" s="94"/>
      <c r="AL984" s="94"/>
      <c r="AM984" s="94"/>
      <c r="AN984" s="94"/>
      <c r="AO984" s="94"/>
      <c r="AP984" s="94"/>
      <c r="AQ984" s="94"/>
      <c r="AR984" s="94"/>
      <c r="AS984" s="94"/>
      <c r="AT984" s="94"/>
      <c r="AU984" s="94"/>
      <c r="AV984" s="94"/>
      <c r="AW984" s="94"/>
      <c r="AX984" s="94"/>
      <c r="AY984" s="94"/>
      <c r="AZ984" s="94"/>
      <c r="BA984" s="95"/>
    </row>
    <row r="985" spans="1:53" s="87" customFormat="1">
      <c r="A985" s="90" t="str">
        <f t="shared" si="40"/>
        <v/>
      </c>
      <c r="B985" s="98">
        <v>5</v>
      </c>
      <c r="C985" s="94">
        <v>-6</v>
      </c>
      <c r="D985" s="94" t="s">
        <v>210</v>
      </c>
      <c r="E985" s="94">
        <v>2</v>
      </c>
      <c r="F985" s="94" t="s">
        <v>210</v>
      </c>
      <c r="G985" s="94">
        <v>-4</v>
      </c>
      <c r="H985" s="94" t="s">
        <v>210</v>
      </c>
      <c r="I985" s="94">
        <v>5</v>
      </c>
      <c r="J985" s="94" t="s">
        <v>210</v>
      </c>
      <c r="K985" s="94" t="s">
        <v>210</v>
      </c>
      <c r="L985" s="94">
        <v>-8</v>
      </c>
      <c r="M985" s="94" t="s">
        <v>210</v>
      </c>
      <c r="N985" s="94">
        <v>7</v>
      </c>
      <c r="O985" s="94" t="s">
        <v>210</v>
      </c>
      <c r="P985" s="94">
        <v>1</v>
      </c>
      <c r="Q985" s="94"/>
      <c r="R985" s="94"/>
      <c r="S985" s="94"/>
      <c r="T985" s="94"/>
      <c r="U985" s="94"/>
      <c r="V985" s="94"/>
      <c r="W985" s="94"/>
      <c r="X985" s="94"/>
      <c r="Y985" s="94"/>
      <c r="Z985" s="94"/>
      <c r="AA985" s="94"/>
      <c r="AB985" s="94"/>
      <c r="AC985" s="94"/>
      <c r="AD985" s="94"/>
      <c r="AE985" s="94"/>
      <c r="AF985" s="94"/>
      <c r="AG985" s="94"/>
      <c r="AH985" s="94"/>
      <c r="AI985" s="94"/>
      <c r="AJ985" s="94"/>
      <c r="AK985" s="94"/>
      <c r="AL985" s="94"/>
      <c r="AM985" s="94"/>
      <c r="AN985" s="94"/>
      <c r="AO985" s="94"/>
      <c r="AP985" s="94"/>
      <c r="AQ985" s="94"/>
      <c r="AR985" s="94"/>
      <c r="AS985" s="94"/>
      <c r="AT985" s="94"/>
      <c r="AU985" s="94"/>
      <c r="AV985" s="94"/>
      <c r="AW985" s="94"/>
      <c r="AX985" s="94"/>
      <c r="AY985" s="94"/>
      <c r="AZ985" s="94"/>
      <c r="BA985" s="95"/>
    </row>
    <row r="986" spans="1:53" s="87" customFormat="1">
      <c r="A986" s="90" t="str">
        <f t="shared" si="40"/>
        <v/>
      </c>
      <c r="B986" s="98">
        <v>6</v>
      </c>
      <c r="C986" s="94">
        <v>7</v>
      </c>
      <c r="D986" s="94" t="s">
        <v>210</v>
      </c>
      <c r="E986" s="94">
        <v>-4</v>
      </c>
      <c r="F986" s="94" t="s">
        <v>210</v>
      </c>
      <c r="G986" s="94">
        <v>-3</v>
      </c>
      <c r="H986" s="94" t="s">
        <v>210</v>
      </c>
      <c r="I986" s="94">
        <v>8</v>
      </c>
      <c r="J986" s="94" t="s">
        <v>210</v>
      </c>
      <c r="K986" s="94" t="s">
        <v>210</v>
      </c>
      <c r="L986" s="94">
        <v>-5</v>
      </c>
      <c r="M986" s="94" t="s">
        <v>210</v>
      </c>
      <c r="N986" s="94">
        <v>6</v>
      </c>
      <c r="O986" s="94" t="s">
        <v>210</v>
      </c>
      <c r="P986" s="94">
        <v>-1</v>
      </c>
      <c r="Q986" s="94"/>
      <c r="R986" s="94"/>
      <c r="S986" s="94"/>
      <c r="T986" s="94"/>
      <c r="U986" s="94"/>
      <c r="V986" s="94"/>
      <c r="W986" s="94"/>
      <c r="X986" s="94"/>
      <c r="Y986" s="94"/>
      <c r="Z986" s="94"/>
      <c r="AA986" s="94"/>
      <c r="AB986" s="94"/>
      <c r="AC986" s="94"/>
      <c r="AD986" s="94"/>
      <c r="AE986" s="94"/>
      <c r="AF986" s="94"/>
      <c r="AG986" s="94"/>
      <c r="AH986" s="94"/>
      <c r="AI986" s="94"/>
      <c r="AJ986" s="94"/>
      <c r="AK986" s="94"/>
      <c r="AL986" s="94"/>
      <c r="AM986" s="94"/>
      <c r="AN986" s="94"/>
      <c r="AO986" s="94"/>
      <c r="AP986" s="94"/>
      <c r="AQ986" s="94"/>
      <c r="AR986" s="94"/>
      <c r="AS986" s="94"/>
      <c r="AT986" s="94"/>
      <c r="AU986" s="94"/>
      <c r="AV986" s="94"/>
      <c r="AW986" s="94"/>
      <c r="AX986" s="94"/>
      <c r="AY986" s="94"/>
      <c r="AZ986" s="94"/>
      <c r="BA986" s="95"/>
    </row>
    <row r="987" spans="1:53" s="87" customFormat="1">
      <c r="A987" s="90" t="str">
        <f t="shared" si="40"/>
        <v/>
      </c>
      <c r="B987" s="98">
        <v>7</v>
      </c>
      <c r="C987" s="94">
        <v>3</v>
      </c>
      <c r="D987" s="94" t="s">
        <v>210</v>
      </c>
      <c r="E987" s="94">
        <v>-6</v>
      </c>
      <c r="F987" s="94" t="s">
        <v>210</v>
      </c>
      <c r="G987" s="94">
        <v>8</v>
      </c>
      <c r="H987" s="94" t="s">
        <v>210</v>
      </c>
      <c r="I987" s="94">
        <v>-1</v>
      </c>
      <c r="J987" s="94" t="s">
        <v>210</v>
      </c>
      <c r="K987" s="94" t="s">
        <v>210</v>
      </c>
      <c r="L987" s="94">
        <v>5</v>
      </c>
      <c r="M987" s="94" t="s">
        <v>210</v>
      </c>
      <c r="N987" s="94">
        <v>-7</v>
      </c>
      <c r="O987" s="94" t="s">
        <v>210</v>
      </c>
      <c r="P987" s="94">
        <v>-4</v>
      </c>
      <c r="Q987" s="94"/>
      <c r="R987" s="94"/>
      <c r="S987" s="94"/>
      <c r="T987" s="94"/>
      <c r="U987" s="94"/>
      <c r="V987" s="94"/>
      <c r="W987" s="94"/>
      <c r="X987" s="94"/>
      <c r="Y987" s="94"/>
      <c r="Z987" s="94"/>
      <c r="AA987" s="94"/>
      <c r="AB987" s="94"/>
      <c r="AC987" s="94"/>
      <c r="AD987" s="94"/>
      <c r="AE987" s="94"/>
      <c r="AF987" s="94"/>
      <c r="AG987" s="94"/>
      <c r="AH987" s="94"/>
      <c r="AI987" s="94"/>
      <c r="AJ987" s="94"/>
      <c r="AK987" s="94"/>
      <c r="AL987" s="94"/>
      <c r="AM987" s="94"/>
      <c r="AN987" s="94"/>
      <c r="AO987" s="94"/>
      <c r="AP987" s="94"/>
      <c r="AQ987" s="94"/>
      <c r="AR987" s="94"/>
      <c r="AS987" s="94"/>
      <c r="AT987" s="94"/>
      <c r="AU987" s="94"/>
      <c r="AV987" s="94"/>
      <c r="AW987" s="94"/>
      <c r="AX987" s="94"/>
      <c r="AY987" s="94"/>
      <c r="AZ987" s="94"/>
      <c r="BA987" s="95"/>
    </row>
    <row r="988" spans="1:53" s="87" customFormat="1">
      <c r="A988" s="90" t="str">
        <f t="shared" si="40"/>
        <v/>
      </c>
      <c r="B988" s="99">
        <v>8</v>
      </c>
      <c r="C988" s="92">
        <v>1</v>
      </c>
      <c r="D988" s="92" t="s">
        <v>210</v>
      </c>
      <c r="E988" s="92">
        <v>-7</v>
      </c>
      <c r="F988" s="92" t="s">
        <v>210</v>
      </c>
      <c r="G988" s="92">
        <v>-5</v>
      </c>
      <c r="H988" s="92" t="s">
        <v>210</v>
      </c>
      <c r="I988" s="92">
        <v>2</v>
      </c>
      <c r="J988" s="92" t="s">
        <v>210</v>
      </c>
      <c r="K988" s="92" t="s">
        <v>210</v>
      </c>
      <c r="L988" s="92">
        <v>8</v>
      </c>
      <c r="M988" s="92" t="s">
        <v>210</v>
      </c>
      <c r="N988" s="92">
        <v>-6</v>
      </c>
      <c r="O988" s="92" t="s">
        <v>210</v>
      </c>
      <c r="P988" s="92">
        <v>4</v>
      </c>
      <c r="Q988" s="94"/>
      <c r="R988" s="94"/>
      <c r="S988" s="94"/>
      <c r="T988" s="94"/>
      <c r="U988" s="94"/>
      <c r="V988" s="94"/>
      <c r="W988" s="94"/>
      <c r="X988" s="94"/>
      <c r="Y988" s="94"/>
      <c r="Z988" s="94"/>
      <c r="AA988" s="94"/>
      <c r="AB988" s="94"/>
      <c r="AC988" s="94"/>
      <c r="AD988" s="94"/>
      <c r="AE988" s="94"/>
      <c r="AF988" s="94"/>
      <c r="AG988" s="94"/>
      <c r="AH988" s="94"/>
      <c r="AI988" s="94"/>
      <c r="AJ988" s="94"/>
      <c r="AK988" s="94"/>
      <c r="AL988" s="94"/>
      <c r="AM988" s="94"/>
      <c r="AN988" s="94"/>
      <c r="AO988" s="94"/>
      <c r="AP988" s="94"/>
      <c r="AQ988" s="94"/>
      <c r="AR988" s="94"/>
      <c r="AS988" s="94"/>
      <c r="AT988" s="94"/>
      <c r="AU988" s="94"/>
      <c r="AV988" s="94"/>
      <c r="AW988" s="94"/>
      <c r="AX988" s="94"/>
      <c r="AY988" s="94"/>
      <c r="AZ988" s="94"/>
      <c r="BA988" s="95"/>
    </row>
    <row r="989" spans="1:53" s="87" customFormat="1">
      <c r="A989" s="90" t="str">
        <f t="shared" si="40"/>
        <v/>
      </c>
      <c r="B989" s="98">
        <v>9</v>
      </c>
      <c r="C989" s="94" t="s">
        <v>210</v>
      </c>
      <c r="D989" s="94">
        <v>1</v>
      </c>
      <c r="E989" s="94" t="s">
        <v>210</v>
      </c>
      <c r="F989" s="94">
        <v>-6</v>
      </c>
      <c r="G989" s="94" t="s">
        <v>210</v>
      </c>
      <c r="H989" s="94">
        <v>-3</v>
      </c>
      <c r="I989" s="94" t="s">
        <v>210</v>
      </c>
      <c r="J989" s="94">
        <v>5</v>
      </c>
      <c r="K989" s="94">
        <v>7</v>
      </c>
      <c r="L989" s="94" t="s">
        <v>210</v>
      </c>
      <c r="M989" s="94">
        <v>-8</v>
      </c>
      <c r="N989" s="94" t="s">
        <v>210</v>
      </c>
      <c r="O989" s="94">
        <v>-2</v>
      </c>
      <c r="P989" s="94" t="s">
        <v>210</v>
      </c>
      <c r="Q989" s="94"/>
      <c r="R989" s="94"/>
      <c r="S989" s="94"/>
      <c r="T989" s="94"/>
      <c r="U989" s="94"/>
      <c r="V989" s="94"/>
      <c r="W989" s="94"/>
      <c r="X989" s="94"/>
      <c r="Y989" s="94"/>
      <c r="Z989" s="94"/>
      <c r="AA989" s="94"/>
      <c r="AB989" s="94"/>
      <c r="AC989" s="94"/>
      <c r="AD989" s="94"/>
      <c r="AE989" s="94"/>
      <c r="AF989" s="94"/>
      <c r="AG989" s="94"/>
      <c r="AH989" s="94"/>
      <c r="AI989" s="94"/>
      <c r="AJ989" s="94"/>
      <c r="AK989" s="94"/>
      <c r="AL989" s="94"/>
      <c r="AM989" s="94"/>
      <c r="AN989" s="94"/>
      <c r="AO989" s="94"/>
      <c r="AP989" s="94"/>
      <c r="AQ989" s="94"/>
      <c r="AR989" s="94"/>
      <c r="AS989" s="94"/>
      <c r="AT989" s="94"/>
      <c r="AU989" s="94"/>
      <c r="AV989" s="94"/>
      <c r="AW989" s="94"/>
      <c r="AX989" s="94"/>
      <c r="AY989" s="94"/>
      <c r="AZ989" s="94"/>
      <c r="BA989" s="95"/>
    </row>
    <row r="990" spans="1:53" s="87" customFormat="1">
      <c r="A990" s="90" t="str">
        <f t="shared" si="40"/>
        <v/>
      </c>
      <c r="B990" s="98">
        <v>10</v>
      </c>
      <c r="C990" s="94" t="s">
        <v>210</v>
      </c>
      <c r="D990" s="94">
        <v>3</v>
      </c>
      <c r="E990" s="94" t="s">
        <v>210</v>
      </c>
      <c r="F990" s="94">
        <v>-7</v>
      </c>
      <c r="G990" s="94" t="s">
        <v>210</v>
      </c>
      <c r="H990" s="94">
        <v>-4</v>
      </c>
      <c r="I990" s="94" t="s">
        <v>210</v>
      </c>
      <c r="J990" s="94">
        <v>8</v>
      </c>
      <c r="K990" s="94">
        <v>-6</v>
      </c>
      <c r="L990" s="94" t="s">
        <v>210</v>
      </c>
      <c r="M990" s="94">
        <v>5</v>
      </c>
      <c r="N990" s="94" t="s">
        <v>210</v>
      </c>
      <c r="O990" s="94">
        <v>2</v>
      </c>
      <c r="P990" s="94" t="s">
        <v>210</v>
      </c>
      <c r="Q990" s="94"/>
      <c r="R990" s="94"/>
      <c r="S990" s="94"/>
      <c r="T990" s="94"/>
      <c r="U990" s="94"/>
      <c r="V990" s="94"/>
      <c r="W990" s="94"/>
      <c r="X990" s="94"/>
      <c r="Y990" s="94"/>
      <c r="Z990" s="94"/>
      <c r="AA990" s="94"/>
      <c r="AB990" s="94"/>
      <c r="AC990" s="94"/>
      <c r="AD990" s="94"/>
      <c r="AE990" s="94"/>
      <c r="AF990" s="94"/>
      <c r="AG990" s="94"/>
      <c r="AH990" s="94"/>
      <c r="AI990" s="94"/>
      <c r="AJ990" s="94"/>
      <c r="AK990" s="94"/>
      <c r="AL990" s="94"/>
      <c r="AM990" s="94"/>
      <c r="AN990" s="94"/>
      <c r="AO990" s="94"/>
      <c r="AP990" s="94"/>
      <c r="AQ990" s="94"/>
      <c r="AR990" s="94"/>
      <c r="AS990" s="94"/>
      <c r="AT990" s="94"/>
      <c r="AU990" s="94"/>
      <c r="AV990" s="94"/>
      <c r="AW990" s="94"/>
      <c r="AX990" s="94"/>
      <c r="AY990" s="94"/>
      <c r="AZ990" s="94"/>
      <c r="BA990" s="95"/>
    </row>
    <row r="991" spans="1:53" s="87" customFormat="1">
      <c r="A991" s="90" t="str">
        <f t="shared" si="40"/>
        <v/>
      </c>
      <c r="B991" s="98">
        <v>11</v>
      </c>
      <c r="C991" s="94" t="s">
        <v>210</v>
      </c>
      <c r="D991" s="94">
        <v>7</v>
      </c>
      <c r="E991" s="94" t="s">
        <v>210</v>
      </c>
      <c r="F991" s="94">
        <v>2</v>
      </c>
      <c r="G991" s="94" t="s">
        <v>210</v>
      </c>
      <c r="H991" s="94">
        <v>-5</v>
      </c>
      <c r="I991" s="94" t="s">
        <v>210</v>
      </c>
      <c r="J991" s="94">
        <v>-1</v>
      </c>
      <c r="K991" s="94">
        <v>6</v>
      </c>
      <c r="L991" s="94" t="s">
        <v>210</v>
      </c>
      <c r="M991" s="94">
        <v>8</v>
      </c>
      <c r="N991" s="94" t="s">
        <v>210</v>
      </c>
      <c r="O991" s="94">
        <v>-3</v>
      </c>
      <c r="P991" s="94" t="s">
        <v>210</v>
      </c>
      <c r="Q991" s="94"/>
      <c r="R991" s="94"/>
      <c r="S991" s="94"/>
      <c r="T991" s="94"/>
      <c r="U991" s="94"/>
      <c r="V991" s="94"/>
      <c r="W991" s="94"/>
      <c r="X991" s="94"/>
      <c r="Y991" s="94"/>
      <c r="Z991" s="94"/>
      <c r="AA991" s="94"/>
      <c r="AB991" s="94"/>
      <c r="AC991" s="94"/>
      <c r="AD991" s="94"/>
      <c r="AE991" s="94"/>
      <c r="AF991" s="94"/>
      <c r="AG991" s="94"/>
      <c r="AH991" s="94"/>
      <c r="AI991" s="94"/>
      <c r="AJ991" s="94"/>
      <c r="AK991" s="94"/>
      <c r="AL991" s="94"/>
      <c r="AM991" s="94"/>
      <c r="AN991" s="94"/>
      <c r="AO991" s="94"/>
      <c r="AP991" s="94"/>
      <c r="AQ991" s="94"/>
      <c r="AR991" s="94"/>
      <c r="AS991" s="94"/>
      <c r="AT991" s="94"/>
      <c r="AU991" s="94"/>
      <c r="AV991" s="94"/>
      <c r="AW991" s="94"/>
      <c r="AX991" s="94"/>
      <c r="AY991" s="94"/>
      <c r="AZ991" s="94"/>
      <c r="BA991" s="95"/>
    </row>
    <row r="992" spans="1:53" s="87" customFormat="1">
      <c r="A992" s="90" t="str">
        <f t="shared" si="40"/>
        <v/>
      </c>
      <c r="B992" s="98">
        <v>12</v>
      </c>
      <c r="C992" s="94" t="s">
        <v>210</v>
      </c>
      <c r="D992" s="94">
        <v>-6</v>
      </c>
      <c r="E992" s="94" t="s">
        <v>210</v>
      </c>
      <c r="F992" s="94">
        <v>-4</v>
      </c>
      <c r="G992" s="94" t="s">
        <v>210</v>
      </c>
      <c r="H992" s="94">
        <v>8</v>
      </c>
      <c r="I992" s="94" t="s">
        <v>210</v>
      </c>
      <c r="J992" s="94">
        <v>2</v>
      </c>
      <c r="K992" s="94">
        <v>-7</v>
      </c>
      <c r="L992" s="94" t="s">
        <v>210</v>
      </c>
      <c r="M992" s="94">
        <v>-5</v>
      </c>
      <c r="N992" s="94" t="s">
        <v>210</v>
      </c>
      <c r="O992" s="94">
        <v>3</v>
      </c>
      <c r="P992" s="94" t="s">
        <v>210</v>
      </c>
      <c r="Q992" s="94"/>
      <c r="R992" s="94"/>
      <c r="S992" s="94"/>
      <c r="T992" s="94"/>
      <c r="U992" s="94"/>
      <c r="V992" s="94"/>
      <c r="W992" s="94"/>
      <c r="X992" s="94"/>
      <c r="Y992" s="94"/>
      <c r="Z992" s="94"/>
      <c r="AA992" s="94"/>
      <c r="AB992" s="94"/>
      <c r="AC992" s="94"/>
      <c r="AD992" s="94"/>
      <c r="AE992" s="94"/>
      <c r="AF992" s="94"/>
      <c r="AG992" s="94"/>
      <c r="AH992" s="94"/>
      <c r="AI992" s="94"/>
      <c r="AJ992" s="94"/>
      <c r="AK992" s="94"/>
      <c r="AL992" s="94"/>
      <c r="AM992" s="94"/>
      <c r="AN992" s="94"/>
      <c r="AO992" s="94"/>
      <c r="AP992" s="94"/>
      <c r="AQ992" s="94"/>
      <c r="AR992" s="94"/>
      <c r="AS992" s="94"/>
      <c r="AT992" s="94"/>
      <c r="AU992" s="94"/>
      <c r="AV992" s="94"/>
      <c r="AW992" s="94"/>
      <c r="AX992" s="94"/>
      <c r="AY992" s="94"/>
      <c r="AZ992" s="94"/>
      <c r="BA992" s="95"/>
    </row>
    <row r="993" spans="1:53" s="87" customFormat="1">
      <c r="A993" s="90" t="str">
        <f t="shared" si="40"/>
        <v/>
      </c>
      <c r="B993" s="98">
        <v>13</v>
      </c>
      <c r="C993" s="94" t="s">
        <v>210</v>
      </c>
      <c r="D993" s="94">
        <v>6</v>
      </c>
      <c r="E993" s="94" t="s">
        <v>210</v>
      </c>
      <c r="F993" s="94">
        <v>-2</v>
      </c>
      <c r="G993" s="94" t="s">
        <v>210</v>
      </c>
      <c r="H993" s="94">
        <v>4</v>
      </c>
      <c r="I993" s="94" t="s">
        <v>210</v>
      </c>
      <c r="J993" s="94">
        <v>-5</v>
      </c>
      <c r="K993" s="94">
        <v>8</v>
      </c>
      <c r="L993" s="94" t="s">
        <v>210</v>
      </c>
      <c r="M993" s="94">
        <v>-7</v>
      </c>
      <c r="N993" s="94" t="s">
        <v>210</v>
      </c>
      <c r="O993" s="94">
        <v>-1</v>
      </c>
      <c r="P993" s="94" t="s">
        <v>210</v>
      </c>
      <c r="Q993" s="94"/>
      <c r="R993" s="94"/>
      <c r="S993" s="94"/>
      <c r="T993" s="94"/>
      <c r="U993" s="94"/>
      <c r="V993" s="94"/>
      <c r="W993" s="94"/>
      <c r="X993" s="94"/>
      <c r="Y993" s="94"/>
      <c r="Z993" s="94"/>
      <c r="AA993" s="94"/>
      <c r="AB993" s="94"/>
      <c r="AC993" s="94"/>
      <c r="AD993" s="94"/>
      <c r="AE993" s="94"/>
      <c r="AF993" s="94"/>
      <c r="AG993" s="94"/>
      <c r="AH993" s="94"/>
      <c r="AI993" s="94"/>
      <c r="AJ993" s="94"/>
      <c r="AK993" s="94"/>
      <c r="AL993" s="94"/>
      <c r="AM993" s="94"/>
      <c r="AN993" s="94"/>
      <c r="AO993" s="94"/>
      <c r="AP993" s="94"/>
      <c r="AQ993" s="94"/>
      <c r="AR993" s="94"/>
      <c r="AS993" s="94"/>
      <c r="AT993" s="94"/>
      <c r="AU993" s="94"/>
      <c r="AV993" s="94"/>
      <c r="AW993" s="94"/>
      <c r="AX993" s="94"/>
      <c r="AY993" s="94"/>
      <c r="AZ993" s="94"/>
      <c r="BA993" s="95"/>
    </row>
    <row r="994" spans="1:53" s="87" customFormat="1">
      <c r="A994" s="90" t="str">
        <f t="shared" si="40"/>
        <v/>
      </c>
      <c r="B994" s="98">
        <v>14</v>
      </c>
      <c r="C994" s="94" t="s">
        <v>210</v>
      </c>
      <c r="D994" s="94">
        <v>-7</v>
      </c>
      <c r="E994" s="94" t="s">
        <v>210</v>
      </c>
      <c r="F994" s="94">
        <v>4</v>
      </c>
      <c r="G994" s="94" t="s">
        <v>210</v>
      </c>
      <c r="H994" s="94">
        <v>3</v>
      </c>
      <c r="I994" s="94" t="s">
        <v>210</v>
      </c>
      <c r="J994" s="94">
        <v>-8</v>
      </c>
      <c r="K994" s="94">
        <v>5</v>
      </c>
      <c r="L994" s="94" t="s">
        <v>210</v>
      </c>
      <c r="M994" s="94">
        <v>-6</v>
      </c>
      <c r="N994" s="94" t="s">
        <v>210</v>
      </c>
      <c r="O994" s="94">
        <v>1</v>
      </c>
      <c r="P994" s="94" t="s">
        <v>210</v>
      </c>
      <c r="Q994" s="94"/>
      <c r="R994" s="94"/>
      <c r="S994" s="94"/>
      <c r="T994" s="94"/>
      <c r="U994" s="94"/>
      <c r="V994" s="94"/>
      <c r="W994" s="94"/>
      <c r="X994" s="94"/>
      <c r="Y994" s="94"/>
      <c r="Z994" s="94"/>
      <c r="AA994" s="94"/>
      <c r="AB994" s="94"/>
      <c r="AC994" s="94"/>
      <c r="AD994" s="94"/>
      <c r="AE994" s="94"/>
      <c r="AF994" s="94"/>
      <c r="AG994" s="94"/>
      <c r="AH994" s="94"/>
      <c r="AI994" s="94"/>
      <c r="AJ994" s="94"/>
      <c r="AK994" s="94"/>
      <c r="AL994" s="94"/>
      <c r="AM994" s="94"/>
      <c r="AN994" s="94"/>
      <c r="AO994" s="94"/>
      <c r="AP994" s="94"/>
      <c r="AQ994" s="94"/>
      <c r="AR994" s="94"/>
      <c r="AS994" s="94"/>
      <c r="AT994" s="94"/>
      <c r="AU994" s="94"/>
      <c r="AV994" s="94"/>
      <c r="AW994" s="94"/>
      <c r="AX994" s="94"/>
      <c r="AY994" s="94"/>
      <c r="AZ994" s="94"/>
      <c r="BA994" s="95"/>
    </row>
    <row r="995" spans="1:53" s="87" customFormat="1">
      <c r="A995" s="90" t="str">
        <f t="shared" si="40"/>
        <v/>
      </c>
      <c r="B995" s="98">
        <v>15</v>
      </c>
      <c r="C995" s="94" t="s">
        <v>210</v>
      </c>
      <c r="D995" s="94">
        <v>-3</v>
      </c>
      <c r="E995" s="94" t="s">
        <v>210</v>
      </c>
      <c r="F995" s="94">
        <v>6</v>
      </c>
      <c r="G995" s="94" t="s">
        <v>210</v>
      </c>
      <c r="H995" s="94">
        <v>-8</v>
      </c>
      <c r="I995" s="94" t="s">
        <v>210</v>
      </c>
      <c r="J995" s="94">
        <v>1</v>
      </c>
      <c r="K995" s="94">
        <v>-5</v>
      </c>
      <c r="L995" s="94" t="s">
        <v>210</v>
      </c>
      <c r="M995" s="94">
        <v>7</v>
      </c>
      <c r="N995" s="94" t="s">
        <v>210</v>
      </c>
      <c r="O995" s="94">
        <v>4</v>
      </c>
      <c r="P995" s="94" t="s">
        <v>210</v>
      </c>
      <c r="Q995" s="94"/>
      <c r="R995" s="94"/>
      <c r="S995" s="94"/>
      <c r="T995" s="94"/>
      <c r="U995" s="94"/>
      <c r="V995" s="94"/>
      <c r="W995" s="94"/>
      <c r="X995" s="94"/>
      <c r="Y995" s="94"/>
      <c r="Z995" s="94"/>
      <c r="AA995" s="94"/>
      <c r="AB995" s="94"/>
      <c r="AC995" s="94"/>
      <c r="AD995" s="94"/>
      <c r="AE995" s="94"/>
      <c r="AF995" s="94"/>
      <c r="AG995" s="94"/>
      <c r="AH995" s="94"/>
      <c r="AI995" s="94"/>
      <c r="AJ995" s="94"/>
      <c r="AK995" s="94"/>
      <c r="AL995" s="94"/>
      <c r="AM995" s="94"/>
      <c r="AN995" s="94"/>
      <c r="AO995" s="94"/>
      <c r="AP995" s="94"/>
      <c r="AQ995" s="94"/>
      <c r="AR995" s="94"/>
      <c r="AS995" s="94"/>
      <c r="AT995" s="94"/>
      <c r="AU995" s="94"/>
      <c r="AV995" s="94"/>
      <c r="AW995" s="94"/>
      <c r="AX995" s="94"/>
      <c r="AY995" s="94"/>
      <c r="AZ995" s="94"/>
      <c r="BA995" s="95"/>
    </row>
    <row r="996" spans="1:53" s="87" customFormat="1">
      <c r="A996" s="90" t="str">
        <f t="shared" si="40"/>
        <v/>
      </c>
      <c r="B996" s="99">
        <v>16</v>
      </c>
      <c r="C996" s="92" t="s">
        <v>210</v>
      </c>
      <c r="D996" s="92">
        <v>-1</v>
      </c>
      <c r="E996" s="92" t="s">
        <v>210</v>
      </c>
      <c r="F996" s="92">
        <v>7</v>
      </c>
      <c r="G996" s="92" t="s">
        <v>210</v>
      </c>
      <c r="H996" s="92">
        <v>5</v>
      </c>
      <c r="I996" s="92" t="s">
        <v>210</v>
      </c>
      <c r="J996" s="92">
        <v>-2</v>
      </c>
      <c r="K996" s="92">
        <v>-8</v>
      </c>
      <c r="L996" s="92" t="s">
        <v>210</v>
      </c>
      <c r="M996" s="92">
        <v>6</v>
      </c>
      <c r="N996" s="92" t="s">
        <v>210</v>
      </c>
      <c r="O996" s="92">
        <v>-4</v>
      </c>
      <c r="P996" s="92" t="s">
        <v>210</v>
      </c>
      <c r="Q996" s="94"/>
      <c r="R996" s="94"/>
      <c r="S996" s="94"/>
      <c r="T996" s="94"/>
      <c r="U996" s="94"/>
      <c r="V996" s="94"/>
      <c r="W996" s="94"/>
      <c r="X996" s="94"/>
      <c r="Y996" s="94"/>
      <c r="Z996" s="94"/>
      <c r="AA996" s="94"/>
      <c r="AB996" s="94"/>
      <c r="AC996" s="94"/>
      <c r="AD996" s="94"/>
      <c r="AE996" s="94"/>
      <c r="AF996" s="94"/>
      <c r="AG996" s="94"/>
      <c r="AH996" s="94"/>
      <c r="AI996" s="94"/>
      <c r="AJ996" s="94"/>
      <c r="AK996" s="94"/>
      <c r="AL996" s="94"/>
      <c r="AM996" s="94"/>
      <c r="AN996" s="94"/>
      <c r="AO996" s="94"/>
      <c r="AP996" s="94"/>
      <c r="AQ996" s="94"/>
      <c r="AR996" s="94"/>
      <c r="AS996" s="94"/>
      <c r="AT996" s="94"/>
      <c r="AU996" s="94"/>
      <c r="AV996" s="94"/>
      <c r="AW996" s="94"/>
      <c r="AX996" s="94"/>
      <c r="AY996" s="94"/>
      <c r="AZ996" s="94"/>
      <c r="BA996" s="95"/>
    </row>
    <row r="997" spans="1:53" s="87" customFormat="1">
      <c r="A997" s="90" t="str">
        <f t="shared" si="40"/>
        <v/>
      </c>
      <c r="B997" s="98">
        <v>17</v>
      </c>
      <c r="C997" s="94">
        <v>-2</v>
      </c>
      <c r="D997" s="94" t="s">
        <v>210</v>
      </c>
      <c r="E997" s="94">
        <v>8</v>
      </c>
      <c r="F997" s="94" t="s">
        <v>210</v>
      </c>
      <c r="G997" s="94">
        <v>1</v>
      </c>
      <c r="H997" s="94" t="s">
        <v>210</v>
      </c>
      <c r="I997" s="94">
        <v>-7</v>
      </c>
      <c r="J997" s="94" t="s">
        <v>210</v>
      </c>
      <c r="K997" s="94" t="s">
        <v>210</v>
      </c>
      <c r="L997" s="94">
        <v>-3</v>
      </c>
      <c r="M997" s="94" t="s">
        <v>210</v>
      </c>
      <c r="N997" s="94">
        <v>4</v>
      </c>
      <c r="O997" s="94" t="s">
        <v>210</v>
      </c>
      <c r="P997" s="94">
        <v>6</v>
      </c>
      <c r="Q997" s="94"/>
      <c r="R997" s="94"/>
      <c r="S997" s="94"/>
      <c r="T997" s="94"/>
      <c r="U997" s="94"/>
      <c r="V997" s="94"/>
      <c r="W997" s="94"/>
      <c r="X997" s="94"/>
      <c r="Y997" s="94"/>
      <c r="Z997" s="94"/>
      <c r="AA997" s="94"/>
      <c r="AB997" s="94"/>
      <c r="AC997" s="94"/>
      <c r="AD997" s="94"/>
      <c r="AE997" s="94"/>
      <c r="AF997" s="94"/>
      <c r="AG997" s="94"/>
      <c r="AH997" s="94"/>
      <c r="AI997" s="94"/>
      <c r="AJ997" s="94"/>
      <c r="AK997" s="94"/>
      <c r="AL997" s="94"/>
      <c r="AM997" s="94"/>
      <c r="AN997" s="94"/>
      <c r="AO997" s="94"/>
      <c r="AP997" s="94"/>
      <c r="AQ997" s="94"/>
      <c r="AR997" s="94"/>
      <c r="AS997" s="94"/>
      <c r="AT997" s="94"/>
      <c r="AU997" s="94"/>
      <c r="AV997" s="94"/>
      <c r="AW997" s="94"/>
      <c r="AX997" s="94"/>
      <c r="AY997" s="94"/>
      <c r="AZ997" s="94"/>
      <c r="BA997" s="95"/>
    </row>
    <row r="998" spans="1:53" s="87" customFormat="1">
      <c r="A998" s="90" t="str">
        <f t="shared" si="40"/>
        <v/>
      </c>
      <c r="B998" s="98">
        <v>18</v>
      </c>
      <c r="C998" s="94">
        <v>8</v>
      </c>
      <c r="D998" s="94" t="s">
        <v>210</v>
      </c>
      <c r="E998" s="94">
        <v>-3</v>
      </c>
      <c r="F998" s="94" t="s">
        <v>210</v>
      </c>
      <c r="G998" s="94">
        <v>-7</v>
      </c>
      <c r="H998" s="94" t="s">
        <v>210</v>
      </c>
      <c r="I998" s="94">
        <v>4</v>
      </c>
      <c r="J998" s="94" t="s">
        <v>210</v>
      </c>
      <c r="K998" s="94" t="s">
        <v>210</v>
      </c>
      <c r="L998" s="94">
        <v>2</v>
      </c>
      <c r="M998" s="94" t="s">
        <v>210</v>
      </c>
      <c r="N998" s="94">
        <v>-1</v>
      </c>
      <c r="O998" s="94" t="s">
        <v>210</v>
      </c>
      <c r="P998" s="94">
        <v>-6</v>
      </c>
      <c r="Q998" s="94"/>
      <c r="R998" s="94"/>
      <c r="S998" s="94"/>
      <c r="T998" s="94"/>
      <c r="U998" s="94"/>
      <c r="V998" s="94"/>
      <c r="W998" s="94"/>
      <c r="X998" s="94"/>
      <c r="Y998" s="94"/>
      <c r="Z998" s="94"/>
      <c r="AA998" s="94"/>
      <c r="AB998" s="94"/>
      <c r="AC998" s="94"/>
      <c r="AD998" s="94"/>
      <c r="AE998" s="94"/>
      <c r="AF998" s="94"/>
      <c r="AG998" s="94"/>
      <c r="AH998" s="94"/>
      <c r="AI998" s="94"/>
      <c r="AJ998" s="94"/>
      <c r="AK998" s="94"/>
      <c r="AL998" s="94"/>
      <c r="AM998" s="94"/>
      <c r="AN998" s="94"/>
      <c r="AO998" s="94"/>
      <c r="AP998" s="94"/>
      <c r="AQ998" s="94"/>
      <c r="AR998" s="94"/>
      <c r="AS998" s="94"/>
      <c r="AT998" s="94"/>
      <c r="AU998" s="94"/>
      <c r="AV998" s="94"/>
      <c r="AW998" s="94"/>
      <c r="AX998" s="94"/>
      <c r="AY998" s="94"/>
      <c r="AZ998" s="94"/>
      <c r="BA998" s="95"/>
    </row>
    <row r="999" spans="1:53" s="87" customFormat="1">
      <c r="A999" s="90" t="str">
        <f t="shared" si="40"/>
        <v/>
      </c>
      <c r="B999" s="98">
        <v>19</v>
      </c>
      <c r="C999" s="94">
        <v>-5</v>
      </c>
      <c r="D999" s="94" t="s">
        <v>210</v>
      </c>
      <c r="E999" s="94">
        <v>-1</v>
      </c>
      <c r="F999" s="94" t="s">
        <v>210</v>
      </c>
      <c r="G999" s="94">
        <v>6</v>
      </c>
      <c r="H999" s="94" t="s">
        <v>210</v>
      </c>
      <c r="I999" s="94">
        <v>3</v>
      </c>
      <c r="J999" s="94" t="s">
        <v>210</v>
      </c>
      <c r="K999" s="94" t="s">
        <v>210</v>
      </c>
      <c r="L999" s="94">
        <v>-2</v>
      </c>
      <c r="M999" s="94" t="s">
        <v>210</v>
      </c>
      <c r="N999" s="94">
        <v>-4</v>
      </c>
      <c r="O999" s="94" t="s">
        <v>210</v>
      </c>
      <c r="P999" s="94">
        <v>7</v>
      </c>
      <c r="Q999" s="94"/>
      <c r="R999" s="94"/>
      <c r="S999" s="94"/>
      <c r="T999" s="94"/>
      <c r="U999" s="94"/>
      <c r="V999" s="94"/>
      <c r="W999" s="94"/>
      <c r="X999" s="94"/>
      <c r="Y999" s="94"/>
      <c r="Z999" s="94"/>
      <c r="AA999" s="94"/>
      <c r="AB999" s="94"/>
      <c r="AC999" s="94"/>
      <c r="AD999" s="94"/>
      <c r="AE999" s="94"/>
      <c r="AF999" s="94"/>
      <c r="AG999" s="94"/>
      <c r="AH999" s="94"/>
      <c r="AI999" s="94"/>
      <c r="AJ999" s="94"/>
      <c r="AK999" s="94"/>
      <c r="AL999" s="94"/>
      <c r="AM999" s="94"/>
      <c r="AN999" s="94"/>
      <c r="AO999" s="94"/>
      <c r="AP999" s="94"/>
      <c r="AQ999" s="94"/>
      <c r="AR999" s="94"/>
      <c r="AS999" s="94"/>
      <c r="AT999" s="94"/>
      <c r="AU999" s="94"/>
      <c r="AV999" s="94"/>
      <c r="AW999" s="94"/>
      <c r="AX999" s="94"/>
      <c r="AY999" s="94"/>
      <c r="AZ999" s="94"/>
      <c r="BA999" s="95"/>
    </row>
    <row r="1000" spans="1:53" s="87" customFormat="1">
      <c r="A1000" s="90" t="str">
        <f t="shared" si="40"/>
        <v/>
      </c>
      <c r="B1000" s="98">
        <v>20</v>
      </c>
      <c r="C1000" s="94">
        <v>-4</v>
      </c>
      <c r="D1000" s="94" t="s">
        <v>210</v>
      </c>
      <c r="E1000" s="94">
        <v>-5</v>
      </c>
      <c r="F1000" s="94" t="s">
        <v>210</v>
      </c>
      <c r="G1000" s="94">
        <v>2</v>
      </c>
      <c r="H1000" s="94" t="s">
        <v>210</v>
      </c>
      <c r="I1000" s="94">
        <v>-6</v>
      </c>
      <c r="J1000" s="94" t="s">
        <v>210</v>
      </c>
      <c r="K1000" s="94" t="s">
        <v>210</v>
      </c>
      <c r="L1000" s="94">
        <v>3</v>
      </c>
      <c r="M1000" s="94" t="s">
        <v>210</v>
      </c>
      <c r="N1000" s="94">
        <v>1</v>
      </c>
      <c r="O1000" s="94" t="s">
        <v>210</v>
      </c>
      <c r="P1000" s="94">
        <v>-7</v>
      </c>
      <c r="Q1000" s="94"/>
      <c r="R1000" s="94"/>
      <c r="S1000" s="94"/>
      <c r="T1000" s="94"/>
      <c r="U1000" s="94"/>
      <c r="V1000" s="94"/>
      <c r="W1000" s="94"/>
      <c r="X1000" s="94"/>
      <c r="Y1000" s="94"/>
      <c r="Z1000" s="94"/>
      <c r="AA1000" s="94"/>
      <c r="AB1000" s="94"/>
      <c r="AC1000" s="94"/>
      <c r="AD1000" s="94"/>
      <c r="AE1000" s="94"/>
      <c r="AF1000" s="94"/>
      <c r="AG1000" s="94"/>
      <c r="AH1000" s="94"/>
      <c r="AI1000" s="94"/>
      <c r="AJ1000" s="94"/>
      <c r="AK1000" s="94"/>
      <c r="AL1000" s="94"/>
      <c r="AM1000" s="94"/>
      <c r="AN1000" s="94"/>
      <c r="AO1000" s="94"/>
      <c r="AP1000" s="94"/>
      <c r="AQ1000" s="94"/>
      <c r="AR1000" s="94"/>
      <c r="AS1000" s="94"/>
      <c r="AT1000" s="94"/>
      <c r="AU1000" s="94"/>
      <c r="AV1000" s="94"/>
      <c r="AW1000" s="94"/>
      <c r="AX1000" s="94"/>
      <c r="AY1000" s="94"/>
      <c r="AZ1000" s="94"/>
      <c r="BA1000" s="95"/>
    </row>
    <row r="1001" spans="1:53" s="87" customFormat="1">
      <c r="A1001" s="90" t="str">
        <f t="shared" si="40"/>
        <v/>
      </c>
      <c r="B1001" s="98">
        <v>21</v>
      </c>
      <c r="C1001" s="94">
        <v>-8</v>
      </c>
      <c r="D1001" s="94" t="s">
        <v>210</v>
      </c>
      <c r="E1001" s="94">
        <v>1</v>
      </c>
      <c r="F1001" s="94" t="s">
        <v>210</v>
      </c>
      <c r="G1001" s="94">
        <v>-2</v>
      </c>
      <c r="H1001" s="94" t="s">
        <v>210</v>
      </c>
      <c r="I1001" s="94">
        <v>7</v>
      </c>
      <c r="J1001" s="94" t="s">
        <v>210</v>
      </c>
      <c r="K1001" s="94" t="s">
        <v>210</v>
      </c>
      <c r="L1001" s="94">
        <v>4</v>
      </c>
      <c r="M1001" s="94" t="s">
        <v>210</v>
      </c>
      <c r="N1001" s="94">
        <v>-3</v>
      </c>
      <c r="O1001" s="94" t="s">
        <v>210</v>
      </c>
      <c r="P1001" s="94">
        <v>-5</v>
      </c>
      <c r="Q1001" s="94"/>
      <c r="R1001" s="94"/>
      <c r="S1001" s="94"/>
      <c r="T1001" s="94"/>
      <c r="U1001" s="94"/>
      <c r="V1001" s="94"/>
      <c r="W1001" s="94"/>
      <c r="X1001" s="94"/>
      <c r="Y1001" s="94"/>
      <c r="Z1001" s="94"/>
      <c r="AA1001" s="94"/>
      <c r="AB1001" s="94"/>
      <c r="AC1001" s="94"/>
      <c r="AD1001" s="94"/>
      <c r="AE1001" s="94"/>
      <c r="AF1001" s="94"/>
      <c r="AG1001" s="94"/>
      <c r="AH1001" s="94"/>
      <c r="AI1001" s="94"/>
      <c r="AJ1001" s="94"/>
      <c r="AK1001" s="94"/>
      <c r="AL1001" s="94"/>
      <c r="AM1001" s="94"/>
      <c r="AN1001" s="94"/>
      <c r="AO1001" s="94"/>
      <c r="AP1001" s="94"/>
      <c r="AQ1001" s="94"/>
      <c r="AR1001" s="94"/>
      <c r="AS1001" s="94"/>
      <c r="AT1001" s="94"/>
      <c r="AU1001" s="94"/>
      <c r="AV1001" s="94"/>
      <c r="AW1001" s="94"/>
      <c r="AX1001" s="94"/>
      <c r="AY1001" s="94"/>
      <c r="AZ1001" s="94"/>
      <c r="BA1001" s="95"/>
    </row>
    <row r="1002" spans="1:53" s="87" customFormat="1">
      <c r="A1002" s="90" t="str">
        <f t="shared" si="40"/>
        <v/>
      </c>
      <c r="B1002" s="98">
        <v>22</v>
      </c>
      <c r="C1002" s="94">
        <v>4</v>
      </c>
      <c r="D1002" s="94" t="s">
        <v>210</v>
      </c>
      <c r="E1002" s="94">
        <v>-8</v>
      </c>
      <c r="F1002" s="94" t="s">
        <v>210</v>
      </c>
      <c r="G1002" s="94">
        <v>7</v>
      </c>
      <c r="H1002" s="94" t="s">
        <v>210</v>
      </c>
      <c r="I1002" s="94">
        <v>-3</v>
      </c>
      <c r="J1002" s="94" t="s">
        <v>210</v>
      </c>
      <c r="K1002" s="94" t="s">
        <v>210</v>
      </c>
      <c r="L1002" s="94">
        <v>-1</v>
      </c>
      <c r="M1002" s="94" t="s">
        <v>210</v>
      </c>
      <c r="N1002" s="94">
        <v>2</v>
      </c>
      <c r="O1002" s="94" t="s">
        <v>210</v>
      </c>
      <c r="P1002" s="94">
        <v>5</v>
      </c>
      <c r="Q1002" s="94"/>
      <c r="R1002" s="94"/>
      <c r="S1002" s="94"/>
      <c r="T1002" s="94"/>
      <c r="U1002" s="94"/>
      <c r="V1002" s="94"/>
      <c r="W1002" s="94"/>
      <c r="X1002" s="94"/>
      <c r="Y1002" s="94"/>
      <c r="Z1002" s="94"/>
      <c r="AA1002" s="94"/>
      <c r="AB1002" s="94"/>
      <c r="AC1002" s="94"/>
      <c r="AD1002" s="94"/>
      <c r="AE1002" s="94"/>
      <c r="AF1002" s="94"/>
      <c r="AG1002" s="94"/>
      <c r="AH1002" s="94"/>
      <c r="AI1002" s="94"/>
      <c r="AJ1002" s="94"/>
      <c r="AK1002" s="94"/>
      <c r="AL1002" s="94"/>
      <c r="AM1002" s="94"/>
      <c r="AN1002" s="94"/>
      <c r="AO1002" s="94"/>
      <c r="AP1002" s="94"/>
      <c r="AQ1002" s="94"/>
      <c r="AR1002" s="94"/>
      <c r="AS1002" s="94"/>
      <c r="AT1002" s="94"/>
      <c r="AU1002" s="94"/>
      <c r="AV1002" s="94"/>
      <c r="AW1002" s="94"/>
      <c r="AX1002" s="94"/>
      <c r="AY1002" s="94"/>
      <c r="AZ1002" s="94"/>
      <c r="BA1002" s="95"/>
    </row>
    <row r="1003" spans="1:53" s="87" customFormat="1">
      <c r="A1003" s="90" t="str">
        <f t="shared" si="40"/>
        <v/>
      </c>
      <c r="B1003" s="98">
        <v>23</v>
      </c>
      <c r="C1003" s="94">
        <v>2</v>
      </c>
      <c r="D1003" s="94" t="s">
        <v>210</v>
      </c>
      <c r="E1003" s="94">
        <v>5</v>
      </c>
      <c r="F1003" s="94" t="s">
        <v>210</v>
      </c>
      <c r="G1003" s="94">
        <v>-6</v>
      </c>
      <c r="H1003" s="94" t="s">
        <v>210</v>
      </c>
      <c r="I1003" s="94">
        <v>-4</v>
      </c>
      <c r="J1003" s="94" t="s">
        <v>210</v>
      </c>
      <c r="K1003" s="94" t="s">
        <v>210</v>
      </c>
      <c r="L1003" s="94">
        <v>1</v>
      </c>
      <c r="M1003" s="94" t="s">
        <v>210</v>
      </c>
      <c r="N1003" s="94">
        <v>3</v>
      </c>
      <c r="O1003" s="94" t="s">
        <v>210</v>
      </c>
      <c r="P1003" s="94">
        <v>-8</v>
      </c>
      <c r="Q1003" s="94"/>
      <c r="R1003" s="94"/>
      <c r="S1003" s="94"/>
      <c r="T1003" s="94"/>
      <c r="U1003" s="94"/>
      <c r="V1003" s="94"/>
      <c r="W1003" s="94"/>
      <c r="X1003" s="94"/>
      <c r="Y1003" s="94"/>
      <c r="Z1003" s="94"/>
      <c r="AA1003" s="94"/>
      <c r="AB1003" s="94"/>
      <c r="AC1003" s="94"/>
      <c r="AD1003" s="94"/>
      <c r="AE1003" s="94"/>
      <c r="AF1003" s="94"/>
      <c r="AG1003" s="94"/>
      <c r="AH1003" s="94"/>
      <c r="AI1003" s="94"/>
      <c r="AJ1003" s="94"/>
      <c r="AK1003" s="94"/>
      <c r="AL1003" s="94"/>
      <c r="AM1003" s="94"/>
      <c r="AN1003" s="94"/>
      <c r="AO1003" s="94"/>
      <c r="AP1003" s="94"/>
      <c r="AQ1003" s="94"/>
      <c r="AR1003" s="94"/>
      <c r="AS1003" s="94"/>
      <c r="AT1003" s="94"/>
      <c r="AU1003" s="94"/>
      <c r="AV1003" s="94"/>
      <c r="AW1003" s="94"/>
      <c r="AX1003" s="94"/>
      <c r="AY1003" s="94"/>
      <c r="AZ1003" s="94"/>
      <c r="BA1003" s="95"/>
    </row>
    <row r="1004" spans="1:53" s="87" customFormat="1">
      <c r="A1004" s="90" t="str">
        <f t="shared" si="40"/>
        <v/>
      </c>
      <c r="B1004" s="99">
        <v>24</v>
      </c>
      <c r="C1004" s="92">
        <v>5</v>
      </c>
      <c r="D1004" s="92" t="s">
        <v>210</v>
      </c>
      <c r="E1004" s="92">
        <v>3</v>
      </c>
      <c r="F1004" s="92" t="s">
        <v>210</v>
      </c>
      <c r="G1004" s="92">
        <v>-1</v>
      </c>
      <c r="H1004" s="92" t="s">
        <v>210</v>
      </c>
      <c r="I1004" s="92">
        <v>6</v>
      </c>
      <c r="J1004" s="92" t="s">
        <v>210</v>
      </c>
      <c r="K1004" s="92" t="s">
        <v>210</v>
      </c>
      <c r="L1004" s="92">
        <v>-4</v>
      </c>
      <c r="M1004" s="92" t="s">
        <v>210</v>
      </c>
      <c r="N1004" s="92">
        <v>-2</v>
      </c>
      <c r="O1004" s="92" t="s">
        <v>210</v>
      </c>
      <c r="P1004" s="92">
        <v>8</v>
      </c>
      <c r="Q1004" s="94"/>
      <c r="R1004" s="94"/>
      <c r="S1004" s="94"/>
      <c r="T1004" s="94"/>
      <c r="U1004" s="94"/>
      <c r="V1004" s="94"/>
      <c r="W1004" s="94"/>
      <c r="X1004" s="94"/>
      <c r="Y1004" s="94"/>
      <c r="Z1004" s="94"/>
      <c r="AA1004" s="94"/>
      <c r="AB1004" s="94"/>
      <c r="AC1004" s="94"/>
      <c r="AD1004" s="94"/>
      <c r="AE1004" s="94"/>
      <c r="AF1004" s="94"/>
      <c r="AG1004" s="94"/>
      <c r="AH1004" s="94"/>
      <c r="AI1004" s="94"/>
      <c r="AJ1004" s="94"/>
      <c r="AK1004" s="94"/>
      <c r="AL1004" s="94"/>
      <c r="AM1004" s="94"/>
      <c r="AN1004" s="94"/>
      <c r="AO1004" s="94"/>
      <c r="AP1004" s="94"/>
      <c r="AQ1004" s="94"/>
      <c r="AR1004" s="94"/>
      <c r="AS1004" s="94"/>
      <c r="AT1004" s="94"/>
      <c r="AU1004" s="94"/>
      <c r="AV1004" s="94"/>
      <c r="AW1004" s="94"/>
      <c r="AX1004" s="94"/>
      <c r="AY1004" s="94"/>
      <c r="AZ1004" s="94"/>
      <c r="BA1004" s="95"/>
    </row>
    <row r="1005" spans="1:53" s="87" customFormat="1">
      <c r="A1005" s="90" t="str">
        <f t="shared" si="40"/>
        <v/>
      </c>
      <c r="B1005" s="98">
        <v>25</v>
      </c>
      <c r="C1005" s="94" t="s">
        <v>210</v>
      </c>
      <c r="D1005" s="94">
        <v>2</v>
      </c>
      <c r="E1005" s="94" t="s">
        <v>210</v>
      </c>
      <c r="F1005" s="94">
        <v>-8</v>
      </c>
      <c r="G1005" s="94" t="s">
        <v>210</v>
      </c>
      <c r="H1005" s="94">
        <v>-1</v>
      </c>
      <c r="I1005" s="94" t="s">
        <v>210</v>
      </c>
      <c r="J1005" s="94">
        <v>7</v>
      </c>
      <c r="K1005" s="94">
        <v>3</v>
      </c>
      <c r="L1005" s="94" t="s">
        <v>210</v>
      </c>
      <c r="M1005" s="94">
        <v>-4</v>
      </c>
      <c r="N1005" s="94" t="s">
        <v>210</v>
      </c>
      <c r="O1005" s="94">
        <v>-6</v>
      </c>
      <c r="P1005" s="94" t="s">
        <v>210</v>
      </c>
      <c r="Q1005" s="94"/>
      <c r="R1005" s="94"/>
      <c r="S1005" s="94"/>
      <c r="T1005" s="94"/>
      <c r="U1005" s="94"/>
      <c r="V1005" s="94"/>
      <c r="W1005" s="94"/>
      <c r="X1005" s="94"/>
      <c r="Y1005" s="94"/>
      <c r="Z1005" s="94"/>
      <c r="AA1005" s="94"/>
      <c r="AB1005" s="94"/>
      <c r="AC1005" s="94"/>
      <c r="AD1005" s="94"/>
      <c r="AE1005" s="94"/>
      <c r="AF1005" s="94"/>
      <c r="AG1005" s="94"/>
      <c r="AH1005" s="94"/>
      <c r="AI1005" s="94"/>
      <c r="AJ1005" s="94"/>
      <c r="AK1005" s="94"/>
      <c r="AL1005" s="94"/>
      <c r="AM1005" s="94"/>
      <c r="AN1005" s="94"/>
      <c r="AO1005" s="94"/>
      <c r="AP1005" s="94"/>
      <c r="AQ1005" s="94"/>
      <c r="AR1005" s="94"/>
      <c r="AS1005" s="94"/>
      <c r="AT1005" s="94"/>
      <c r="AU1005" s="94"/>
      <c r="AV1005" s="94"/>
      <c r="AW1005" s="94"/>
      <c r="AX1005" s="94"/>
      <c r="AY1005" s="94"/>
      <c r="AZ1005" s="94"/>
      <c r="BA1005" s="95"/>
    </row>
    <row r="1006" spans="1:53" s="87" customFormat="1">
      <c r="A1006" s="90" t="str">
        <f t="shared" si="40"/>
        <v/>
      </c>
      <c r="B1006" s="98">
        <v>26</v>
      </c>
      <c r="C1006" s="94" t="s">
        <v>210</v>
      </c>
      <c r="D1006" s="94">
        <v>-8</v>
      </c>
      <c r="E1006" s="94" t="s">
        <v>210</v>
      </c>
      <c r="F1006" s="94">
        <v>3</v>
      </c>
      <c r="G1006" s="94" t="s">
        <v>210</v>
      </c>
      <c r="H1006" s="94">
        <v>7</v>
      </c>
      <c r="I1006" s="94" t="s">
        <v>210</v>
      </c>
      <c r="J1006" s="94">
        <v>-4</v>
      </c>
      <c r="K1006" s="94">
        <v>-2</v>
      </c>
      <c r="L1006" s="94" t="s">
        <v>210</v>
      </c>
      <c r="M1006" s="94">
        <v>1</v>
      </c>
      <c r="N1006" s="94" t="s">
        <v>210</v>
      </c>
      <c r="O1006" s="94">
        <v>6</v>
      </c>
      <c r="P1006" s="94" t="s">
        <v>210</v>
      </c>
      <c r="Q1006" s="94"/>
      <c r="R1006" s="94"/>
      <c r="S1006" s="94"/>
      <c r="T1006" s="94"/>
      <c r="U1006" s="94"/>
      <c r="V1006" s="94"/>
      <c r="W1006" s="94"/>
      <c r="X1006" s="94"/>
      <c r="Y1006" s="94"/>
      <c r="Z1006" s="94"/>
      <c r="AA1006" s="94"/>
      <c r="AB1006" s="94"/>
      <c r="AC1006" s="94"/>
      <c r="AD1006" s="94"/>
      <c r="AE1006" s="94"/>
      <c r="AF1006" s="94"/>
      <c r="AG1006" s="94"/>
      <c r="AH1006" s="94"/>
      <c r="AI1006" s="94"/>
      <c r="AJ1006" s="94"/>
      <c r="AK1006" s="94"/>
      <c r="AL1006" s="94"/>
      <c r="AM1006" s="94"/>
      <c r="AN1006" s="94"/>
      <c r="AO1006" s="94"/>
      <c r="AP1006" s="94"/>
      <c r="AQ1006" s="94"/>
      <c r="AR1006" s="94"/>
      <c r="AS1006" s="94"/>
      <c r="AT1006" s="94"/>
      <c r="AU1006" s="94"/>
      <c r="AV1006" s="94"/>
      <c r="AW1006" s="94"/>
      <c r="AX1006" s="94"/>
      <c r="AY1006" s="94"/>
      <c r="AZ1006" s="94"/>
      <c r="BA1006" s="95"/>
    </row>
    <row r="1007" spans="1:53" s="87" customFormat="1">
      <c r="A1007" s="90" t="str">
        <f t="shared" si="40"/>
        <v/>
      </c>
      <c r="B1007" s="98">
        <v>27</v>
      </c>
      <c r="C1007" s="94" t="s">
        <v>210</v>
      </c>
      <c r="D1007" s="94">
        <v>5</v>
      </c>
      <c r="E1007" s="94" t="s">
        <v>210</v>
      </c>
      <c r="F1007" s="94">
        <v>1</v>
      </c>
      <c r="G1007" s="94" t="s">
        <v>210</v>
      </c>
      <c r="H1007" s="94">
        <v>-6</v>
      </c>
      <c r="I1007" s="94" t="s">
        <v>210</v>
      </c>
      <c r="J1007" s="94">
        <v>-3</v>
      </c>
      <c r="K1007" s="94">
        <v>2</v>
      </c>
      <c r="L1007" s="94" t="s">
        <v>210</v>
      </c>
      <c r="M1007" s="94">
        <v>4</v>
      </c>
      <c r="N1007" s="94" t="s">
        <v>210</v>
      </c>
      <c r="O1007" s="94">
        <v>-7</v>
      </c>
      <c r="P1007" s="94" t="s">
        <v>210</v>
      </c>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5"/>
    </row>
    <row r="1008" spans="1:53" s="87" customFormat="1">
      <c r="A1008" s="90" t="str">
        <f t="shared" si="40"/>
        <v/>
      </c>
      <c r="B1008" s="98">
        <v>28</v>
      </c>
      <c r="C1008" s="94" t="s">
        <v>210</v>
      </c>
      <c r="D1008" s="94">
        <v>4</v>
      </c>
      <c r="E1008" s="94" t="s">
        <v>210</v>
      </c>
      <c r="F1008" s="94">
        <v>5</v>
      </c>
      <c r="G1008" s="94" t="s">
        <v>210</v>
      </c>
      <c r="H1008" s="94">
        <v>-2</v>
      </c>
      <c r="I1008" s="94" t="s">
        <v>210</v>
      </c>
      <c r="J1008" s="94">
        <v>6</v>
      </c>
      <c r="K1008" s="94">
        <v>-3</v>
      </c>
      <c r="L1008" s="94" t="s">
        <v>210</v>
      </c>
      <c r="M1008" s="94">
        <v>-1</v>
      </c>
      <c r="N1008" s="94" t="s">
        <v>210</v>
      </c>
      <c r="O1008" s="94">
        <v>7</v>
      </c>
      <c r="P1008" s="94" t="s">
        <v>210</v>
      </c>
      <c r="Q1008" s="94"/>
      <c r="R1008" s="94"/>
      <c r="S1008" s="94"/>
      <c r="T1008" s="94"/>
      <c r="U1008" s="94"/>
      <c r="V1008" s="94"/>
      <c r="W1008" s="94"/>
      <c r="X1008" s="94"/>
      <c r="Y1008" s="94"/>
      <c r="Z1008" s="94"/>
      <c r="AA1008" s="94"/>
      <c r="AB1008" s="94"/>
      <c r="AC1008" s="94"/>
      <c r="AD1008" s="94"/>
      <c r="AE1008" s="94"/>
      <c r="AF1008" s="94"/>
      <c r="AG1008" s="94"/>
      <c r="AH1008" s="94"/>
      <c r="AI1008" s="94"/>
      <c r="AJ1008" s="94"/>
      <c r="AK1008" s="94"/>
      <c r="AL1008" s="94"/>
      <c r="AM1008" s="94"/>
      <c r="AN1008" s="94"/>
      <c r="AO1008" s="94"/>
      <c r="AP1008" s="94"/>
      <c r="AQ1008" s="94"/>
      <c r="AR1008" s="94"/>
      <c r="AS1008" s="94"/>
      <c r="AT1008" s="94"/>
      <c r="AU1008" s="94"/>
      <c r="AV1008" s="94"/>
      <c r="AW1008" s="94"/>
      <c r="AX1008" s="94"/>
      <c r="AY1008" s="94"/>
      <c r="AZ1008" s="94"/>
      <c r="BA1008" s="95"/>
    </row>
    <row r="1009" spans="1:53" s="87" customFormat="1">
      <c r="A1009" s="90" t="str">
        <f t="shared" si="40"/>
        <v/>
      </c>
      <c r="B1009" s="98">
        <v>29</v>
      </c>
      <c r="C1009" s="94" t="s">
        <v>210</v>
      </c>
      <c r="D1009" s="94">
        <v>8</v>
      </c>
      <c r="E1009" s="94" t="s">
        <v>210</v>
      </c>
      <c r="F1009" s="94">
        <v>-1</v>
      </c>
      <c r="G1009" s="94" t="s">
        <v>210</v>
      </c>
      <c r="H1009" s="94">
        <v>2</v>
      </c>
      <c r="I1009" s="94" t="s">
        <v>210</v>
      </c>
      <c r="J1009" s="94">
        <v>-7</v>
      </c>
      <c r="K1009" s="94">
        <v>-4</v>
      </c>
      <c r="L1009" s="94" t="s">
        <v>210</v>
      </c>
      <c r="M1009" s="94">
        <v>3</v>
      </c>
      <c r="N1009" s="94" t="s">
        <v>210</v>
      </c>
      <c r="O1009" s="94">
        <v>5</v>
      </c>
      <c r="P1009" s="94" t="s">
        <v>210</v>
      </c>
      <c r="Q1009" s="94"/>
      <c r="R1009" s="94"/>
      <c r="S1009" s="94"/>
      <c r="T1009" s="94"/>
      <c r="U1009" s="94"/>
      <c r="V1009" s="94"/>
      <c r="W1009" s="94"/>
      <c r="X1009" s="94"/>
      <c r="Y1009" s="94"/>
      <c r="Z1009" s="94"/>
      <c r="AA1009" s="94"/>
      <c r="AB1009" s="94"/>
      <c r="AC1009" s="94"/>
      <c r="AD1009" s="94"/>
      <c r="AE1009" s="94"/>
      <c r="AF1009" s="94"/>
      <c r="AG1009" s="94"/>
      <c r="AH1009" s="94"/>
      <c r="AI1009" s="94"/>
      <c r="AJ1009" s="94"/>
      <c r="AK1009" s="94"/>
      <c r="AL1009" s="94"/>
      <c r="AM1009" s="94"/>
      <c r="AN1009" s="94"/>
      <c r="AO1009" s="94"/>
      <c r="AP1009" s="94"/>
      <c r="AQ1009" s="94"/>
      <c r="AR1009" s="94"/>
      <c r="AS1009" s="94"/>
      <c r="AT1009" s="94"/>
      <c r="AU1009" s="94"/>
      <c r="AV1009" s="94"/>
      <c r="AW1009" s="94"/>
      <c r="AX1009" s="94"/>
      <c r="AY1009" s="94"/>
      <c r="AZ1009" s="94"/>
      <c r="BA1009" s="95"/>
    </row>
    <row r="1010" spans="1:53" s="87" customFormat="1">
      <c r="A1010" s="90" t="str">
        <f t="shared" si="40"/>
        <v/>
      </c>
      <c r="B1010" s="98">
        <v>30</v>
      </c>
      <c r="C1010" s="94" t="s">
        <v>210</v>
      </c>
      <c r="D1010" s="94">
        <v>-4</v>
      </c>
      <c r="E1010" s="94" t="s">
        <v>210</v>
      </c>
      <c r="F1010" s="94">
        <v>8</v>
      </c>
      <c r="G1010" s="94" t="s">
        <v>210</v>
      </c>
      <c r="H1010" s="94">
        <v>-7</v>
      </c>
      <c r="I1010" s="94" t="s">
        <v>210</v>
      </c>
      <c r="J1010" s="94">
        <v>3</v>
      </c>
      <c r="K1010" s="94">
        <v>1</v>
      </c>
      <c r="L1010" s="94" t="s">
        <v>210</v>
      </c>
      <c r="M1010" s="94">
        <v>-2</v>
      </c>
      <c r="N1010" s="94" t="s">
        <v>210</v>
      </c>
      <c r="O1010" s="94">
        <v>-5</v>
      </c>
      <c r="P1010" s="94" t="s">
        <v>210</v>
      </c>
      <c r="Q1010" s="94"/>
      <c r="R1010" s="94"/>
      <c r="S1010" s="94"/>
      <c r="T1010" s="94"/>
      <c r="U1010" s="94"/>
      <c r="V1010" s="94"/>
      <c r="W1010" s="94"/>
      <c r="X1010" s="94"/>
      <c r="Y1010" s="94"/>
      <c r="Z1010" s="94"/>
      <c r="AA1010" s="94"/>
      <c r="AB1010" s="94"/>
      <c r="AC1010" s="94"/>
      <c r="AD1010" s="94"/>
      <c r="AE1010" s="94"/>
      <c r="AF1010" s="94"/>
      <c r="AG1010" s="94"/>
      <c r="AH1010" s="94"/>
      <c r="AI1010" s="94"/>
      <c r="AJ1010" s="94"/>
      <c r="AK1010" s="94"/>
      <c r="AL1010" s="94"/>
      <c r="AM1010" s="94"/>
      <c r="AN1010" s="94"/>
      <c r="AO1010" s="94"/>
      <c r="AP1010" s="94"/>
      <c r="AQ1010" s="94"/>
      <c r="AR1010" s="94"/>
      <c r="AS1010" s="94"/>
      <c r="AT1010" s="94"/>
      <c r="AU1010" s="94"/>
      <c r="AV1010" s="94"/>
      <c r="AW1010" s="94"/>
      <c r="AX1010" s="94"/>
      <c r="AY1010" s="94"/>
      <c r="AZ1010" s="94"/>
      <c r="BA1010" s="95"/>
    </row>
    <row r="1011" spans="1:53" s="87" customFormat="1">
      <c r="A1011" s="90" t="str">
        <f t="shared" si="40"/>
        <v/>
      </c>
      <c r="B1011" s="98">
        <v>31</v>
      </c>
      <c r="C1011" s="94" t="s">
        <v>210</v>
      </c>
      <c r="D1011" s="94">
        <v>-2</v>
      </c>
      <c r="E1011" s="94" t="s">
        <v>210</v>
      </c>
      <c r="F1011" s="94">
        <v>-5</v>
      </c>
      <c r="G1011" s="94" t="s">
        <v>210</v>
      </c>
      <c r="H1011" s="94">
        <v>6</v>
      </c>
      <c r="I1011" s="94" t="s">
        <v>210</v>
      </c>
      <c r="J1011" s="94">
        <v>4</v>
      </c>
      <c r="K1011" s="94">
        <v>-1</v>
      </c>
      <c r="L1011" s="94" t="s">
        <v>210</v>
      </c>
      <c r="M1011" s="94">
        <v>-3</v>
      </c>
      <c r="N1011" s="94" t="s">
        <v>210</v>
      </c>
      <c r="O1011" s="94">
        <v>8</v>
      </c>
      <c r="P1011" s="94" t="s">
        <v>210</v>
      </c>
      <c r="Q1011" s="94"/>
      <c r="R1011" s="94"/>
      <c r="S1011" s="94"/>
      <c r="T1011" s="94"/>
      <c r="U1011" s="94"/>
      <c r="V1011" s="94"/>
      <c r="W1011" s="94"/>
      <c r="X1011" s="94"/>
      <c r="Y1011" s="94"/>
      <c r="Z1011" s="94"/>
      <c r="AA1011" s="94"/>
      <c r="AB1011" s="94"/>
      <c r="AC1011" s="94"/>
      <c r="AD1011" s="94"/>
      <c r="AE1011" s="94"/>
      <c r="AF1011" s="94"/>
      <c r="AG1011" s="94"/>
      <c r="AH1011" s="94"/>
      <c r="AI1011" s="94"/>
      <c r="AJ1011" s="94"/>
      <c r="AK1011" s="94"/>
      <c r="AL1011" s="94"/>
      <c r="AM1011" s="94"/>
      <c r="AN1011" s="94"/>
      <c r="AO1011" s="94"/>
      <c r="AP1011" s="94"/>
      <c r="AQ1011" s="94"/>
      <c r="AR1011" s="94"/>
      <c r="AS1011" s="94"/>
      <c r="AT1011" s="94"/>
      <c r="AU1011" s="94"/>
      <c r="AV1011" s="94"/>
      <c r="AW1011" s="94"/>
      <c r="AX1011" s="94"/>
      <c r="AY1011" s="94"/>
      <c r="AZ1011" s="94"/>
      <c r="BA1011" s="95"/>
    </row>
    <row r="1012" spans="1:53" s="87" customFormat="1">
      <c r="A1012" s="90" t="str">
        <f t="shared" si="40"/>
        <v/>
      </c>
      <c r="B1012" s="98">
        <v>32</v>
      </c>
      <c r="C1012" s="94" t="s">
        <v>210</v>
      </c>
      <c r="D1012" s="94">
        <v>-5</v>
      </c>
      <c r="E1012" s="94" t="s">
        <v>210</v>
      </c>
      <c r="F1012" s="94">
        <v>-3</v>
      </c>
      <c r="G1012" s="94" t="s">
        <v>210</v>
      </c>
      <c r="H1012" s="94">
        <v>1</v>
      </c>
      <c r="I1012" s="94" t="s">
        <v>210</v>
      </c>
      <c r="J1012" s="94">
        <v>-6</v>
      </c>
      <c r="K1012" s="94">
        <v>4</v>
      </c>
      <c r="L1012" s="94" t="s">
        <v>210</v>
      </c>
      <c r="M1012" s="94">
        <v>2</v>
      </c>
      <c r="N1012" s="94" t="s">
        <v>210</v>
      </c>
      <c r="O1012" s="94">
        <v>-8</v>
      </c>
      <c r="P1012" s="94" t="s">
        <v>210</v>
      </c>
      <c r="Q1012" s="94"/>
      <c r="R1012" s="94"/>
      <c r="S1012" s="94"/>
      <c r="T1012" s="94"/>
      <c r="U1012" s="94"/>
      <c r="V1012" s="94"/>
      <c r="W1012" s="94"/>
      <c r="X1012" s="94"/>
      <c r="Y1012" s="94"/>
      <c r="Z1012" s="94"/>
      <c r="AA1012" s="94"/>
      <c r="AB1012" s="94"/>
      <c r="AC1012" s="94"/>
      <c r="AD1012" s="94"/>
      <c r="AE1012" s="94"/>
      <c r="AF1012" s="94"/>
      <c r="AG1012" s="94"/>
      <c r="AH1012" s="94"/>
      <c r="AI1012" s="94"/>
      <c r="AJ1012" s="94"/>
      <c r="AK1012" s="94"/>
      <c r="AL1012" s="94"/>
      <c r="AM1012" s="94"/>
      <c r="AN1012" s="94"/>
      <c r="AO1012" s="94"/>
      <c r="AP1012" s="94"/>
      <c r="AQ1012" s="94"/>
      <c r="AR1012" s="94"/>
      <c r="AS1012" s="94"/>
      <c r="AT1012" s="94"/>
      <c r="AU1012" s="94"/>
      <c r="AV1012" s="94"/>
      <c r="AW1012" s="94"/>
      <c r="AX1012" s="94"/>
      <c r="AY1012" s="94"/>
      <c r="AZ1012" s="94"/>
      <c r="BA1012" s="95"/>
    </row>
    <row r="1013" spans="1:53" s="87" customFormat="1">
      <c r="A1013" s="90" t="str">
        <f t="shared" si="40"/>
        <v/>
      </c>
      <c r="B1013" s="317" t="s">
        <v>917</v>
      </c>
      <c r="C1013" s="94"/>
      <c r="D1013" s="94"/>
      <c r="E1013" s="94"/>
      <c r="F1013" s="94"/>
      <c r="G1013" s="94"/>
      <c r="H1013" s="94"/>
      <c r="I1013" s="94"/>
      <c r="J1013" s="94"/>
      <c r="K1013" s="94"/>
      <c r="L1013" s="94"/>
      <c r="M1013" s="94"/>
      <c r="N1013" s="94"/>
      <c r="O1013" s="94"/>
      <c r="P1013" s="94"/>
      <c r="Q1013" s="94"/>
      <c r="R1013" s="94"/>
      <c r="S1013" s="94"/>
      <c r="T1013" s="94"/>
      <c r="U1013" s="94"/>
      <c r="V1013" s="94"/>
      <c r="W1013" s="94"/>
      <c r="X1013" s="94"/>
      <c r="Y1013" s="94"/>
      <c r="Z1013" s="94"/>
      <c r="AA1013" s="94"/>
      <c r="AB1013" s="94"/>
      <c r="AC1013" s="94"/>
      <c r="AD1013" s="94"/>
      <c r="AE1013" s="94"/>
      <c r="AF1013" s="94"/>
      <c r="AG1013" s="94"/>
      <c r="AH1013" s="94"/>
      <c r="AI1013" s="94"/>
      <c r="AJ1013" s="94"/>
      <c r="AK1013" s="94"/>
      <c r="AL1013" s="94"/>
      <c r="AM1013" s="94"/>
      <c r="AN1013" s="94"/>
      <c r="AO1013" s="94"/>
      <c r="AP1013" s="94"/>
      <c r="AQ1013" s="94"/>
      <c r="AR1013" s="94"/>
      <c r="AS1013" s="94"/>
      <c r="AT1013" s="94"/>
      <c r="AU1013" s="94"/>
      <c r="AV1013" s="94"/>
      <c r="AW1013" s="94"/>
      <c r="AX1013" s="94"/>
      <c r="AY1013" s="94"/>
      <c r="AZ1013" s="94"/>
      <c r="BA1013" s="95"/>
    </row>
    <row r="1014" spans="1:53" s="87" customFormat="1">
      <c r="A1014" s="90">
        <f t="shared" si="40"/>
        <v>1014</v>
      </c>
      <c r="B1014" s="98" t="s">
        <v>931</v>
      </c>
      <c r="C1014" s="94"/>
      <c r="D1014" s="94"/>
      <c r="E1014" s="94"/>
      <c r="F1014" s="94"/>
      <c r="G1014" s="94"/>
      <c r="H1014" s="94"/>
      <c r="I1014" s="94"/>
      <c r="J1014" s="94"/>
      <c r="K1014" s="94"/>
      <c r="L1014" s="94"/>
      <c r="M1014" s="94"/>
      <c r="N1014" s="94"/>
      <c r="O1014" s="94"/>
      <c r="P1014" s="94"/>
      <c r="Q1014" s="94"/>
      <c r="R1014" s="94"/>
      <c r="S1014" s="94"/>
      <c r="T1014" s="94"/>
      <c r="U1014" s="94"/>
      <c r="V1014" s="94"/>
      <c r="W1014" s="94"/>
      <c r="X1014" s="94"/>
      <c r="Y1014" s="94"/>
      <c r="Z1014" s="94"/>
      <c r="AA1014" s="94"/>
      <c r="AB1014" s="94"/>
      <c r="AC1014" s="94"/>
      <c r="AD1014" s="94"/>
      <c r="AE1014" s="94"/>
      <c r="AF1014" s="94"/>
      <c r="AG1014" s="94"/>
      <c r="AH1014" s="94"/>
      <c r="AI1014" s="94"/>
      <c r="AJ1014" s="94"/>
      <c r="AK1014" s="94"/>
      <c r="AL1014" s="94"/>
      <c r="AM1014" s="94"/>
      <c r="AN1014" s="94"/>
      <c r="AO1014" s="94"/>
      <c r="AP1014" s="94"/>
      <c r="AQ1014" s="94"/>
      <c r="AR1014" s="94"/>
      <c r="AS1014" s="94"/>
      <c r="AT1014" s="94"/>
      <c r="AU1014" s="94"/>
      <c r="AV1014" s="94"/>
      <c r="AW1014" s="94"/>
      <c r="AX1014" s="94"/>
      <c r="AY1014" s="94"/>
      <c r="AZ1014" s="94"/>
      <c r="BA1014" s="95"/>
    </row>
    <row r="1015" spans="1:53" s="87" customFormat="1">
      <c r="A1015" s="90" t="str">
        <f t="shared" si="40"/>
        <v/>
      </c>
      <c r="B1015" s="98">
        <v>1</v>
      </c>
      <c r="C1015" s="94" t="s">
        <v>210</v>
      </c>
      <c r="D1015" s="94">
        <v>3</v>
      </c>
      <c r="E1015" s="94">
        <v>-4</v>
      </c>
      <c r="F1015" s="94" t="s">
        <v>210</v>
      </c>
      <c r="G1015" s="94">
        <v>-2</v>
      </c>
      <c r="H1015" s="94" t="s">
        <v>210</v>
      </c>
      <c r="I1015" s="94" t="s">
        <v>210</v>
      </c>
      <c r="J1015" s="94">
        <v>5</v>
      </c>
      <c r="K1015" s="94">
        <v>8</v>
      </c>
      <c r="L1015" s="94" t="s">
        <v>210</v>
      </c>
      <c r="M1015" s="94">
        <v>-6</v>
      </c>
      <c r="N1015" s="94" t="s">
        <v>210</v>
      </c>
      <c r="O1015" s="94" t="s">
        <v>210</v>
      </c>
      <c r="P1015" s="94">
        <v>4</v>
      </c>
      <c r="Q1015" s="94" t="s">
        <v>210</v>
      </c>
      <c r="R1015" s="94">
        <v>2</v>
      </c>
      <c r="S1015" s="94">
        <v>-3</v>
      </c>
      <c r="T1015" s="94" t="s">
        <v>210</v>
      </c>
      <c r="U1015" s="94" t="s">
        <v>210</v>
      </c>
      <c r="V1015" s="94">
        <v>8</v>
      </c>
      <c r="W1015" s="94" t="s">
        <v>210</v>
      </c>
      <c r="X1015" s="94">
        <v>7</v>
      </c>
      <c r="Y1015" s="94">
        <v>-5</v>
      </c>
      <c r="Z1015" s="94" t="s">
        <v>210</v>
      </c>
      <c r="AA1015" s="94">
        <v>-7</v>
      </c>
      <c r="AB1015" s="94" t="s">
        <v>210</v>
      </c>
      <c r="AC1015" s="94" t="s">
        <v>210</v>
      </c>
      <c r="AD1015" s="94">
        <v>6</v>
      </c>
      <c r="AE1015" s="94"/>
      <c r="AF1015" s="94"/>
      <c r="AG1015" s="94"/>
      <c r="AH1015" s="94"/>
      <c r="AI1015" s="94"/>
      <c r="AJ1015" s="94"/>
      <c r="AK1015" s="94"/>
      <c r="AL1015" s="94"/>
      <c r="AM1015" s="94"/>
      <c r="AN1015" s="94"/>
      <c r="AO1015" s="94"/>
      <c r="AP1015" s="94"/>
      <c r="AQ1015" s="94"/>
      <c r="AR1015" s="94"/>
      <c r="AS1015" s="94"/>
      <c r="AT1015" s="94"/>
      <c r="AU1015" s="94"/>
      <c r="AV1015" s="94"/>
      <c r="AW1015" s="94"/>
      <c r="AX1015" s="94"/>
      <c r="AY1015" s="94"/>
      <c r="AZ1015" s="94"/>
      <c r="BA1015" s="95"/>
    </row>
    <row r="1016" spans="1:53" s="87" customFormat="1">
      <c r="A1016" s="90" t="str">
        <f t="shared" si="40"/>
        <v/>
      </c>
      <c r="B1016" s="98">
        <v>2</v>
      </c>
      <c r="C1016" s="94">
        <v>7</v>
      </c>
      <c r="D1016" s="94" t="s">
        <v>210</v>
      </c>
      <c r="E1016" s="94" t="s">
        <v>210</v>
      </c>
      <c r="F1016" s="94">
        <v>-3</v>
      </c>
      <c r="G1016" s="94">
        <v>-8</v>
      </c>
      <c r="H1016" s="94" t="s">
        <v>210</v>
      </c>
      <c r="I1016" s="94">
        <v>2</v>
      </c>
      <c r="J1016" s="94" t="s">
        <v>210</v>
      </c>
      <c r="K1016" s="94" t="s">
        <v>210</v>
      </c>
      <c r="L1016" s="94">
        <v>-5</v>
      </c>
      <c r="M1016" s="94" t="s">
        <v>210</v>
      </c>
      <c r="N1016" s="94">
        <v>-7</v>
      </c>
      <c r="O1016" s="94">
        <v>6</v>
      </c>
      <c r="P1016" s="94" t="s">
        <v>210</v>
      </c>
      <c r="Q1016" s="94" t="s">
        <v>210</v>
      </c>
      <c r="R1016" s="94">
        <v>8</v>
      </c>
      <c r="S1016" s="94" t="s">
        <v>210</v>
      </c>
      <c r="T1016" s="94">
        <v>-2</v>
      </c>
      <c r="U1016" s="94">
        <v>3</v>
      </c>
      <c r="V1016" s="94" t="s">
        <v>210</v>
      </c>
      <c r="W1016" s="94" t="s">
        <v>210</v>
      </c>
      <c r="X1016" s="94">
        <v>4</v>
      </c>
      <c r="Y1016" s="94" t="s">
        <v>210</v>
      </c>
      <c r="Z1016" s="94">
        <v>-6</v>
      </c>
      <c r="AA1016" s="94">
        <v>-4</v>
      </c>
      <c r="AB1016" s="94" t="s">
        <v>210</v>
      </c>
      <c r="AC1016" s="94">
        <v>1</v>
      </c>
      <c r="AD1016" s="94" t="s">
        <v>210</v>
      </c>
      <c r="AE1016" s="94"/>
      <c r="AF1016" s="94"/>
      <c r="AG1016" s="94"/>
      <c r="AH1016" s="94"/>
      <c r="AI1016" s="94"/>
      <c r="AJ1016" s="94"/>
      <c r="AK1016" s="94"/>
      <c r="AL1016" s="94"/>
      <c r="AM1016" s="94"/>
      <c r="AN1016" s="94"/>
      <c r="AO1016" s="94"/>
      <c r="AP1016" s="94"/>
      <c r="AQ1016" s="94"/>
      <c r="AR1016" s="94"/>
      <c r="AS1016" s="94"/>
      <c r="AT1016" s="94"/>
      <c r="AU1016" s="94"/>
      <c r="AV1016" s="94"/>
      <c r="AW1016" s="94"/>
      <c r="AX1016" s="94"/>
      <c r="AY1016" s="94"/>
      <c r="AZ1016" s="94"/>
      <c r="BA1016" s="95"/>
    </row>
    <row r="1017" spans="1:53" s="87" customFormat="1">
      <c r="A1017" s="90" t="str">
        <f t="shared" si="40"/>
        <v/>
      </c>
      <c r="B1017" s="98">
        <v>3</v>
      </c>
      <c r="C1017" s="94" t="s">
        <v>210</v>
      </c>
      <c r="D1017" s="94">
        <v>7</v>
      </c>
      <c r="E1017" s="94">
        <v>-6</v>
      </c>
      <c r="F1017" s="94" t="s">
        <v>210</v>
      </c>
      <c r="G1017" s="94" t="s">
        <v>210</v>
      </c>
      <c r="H1017" s="94">
        <v>-8</v>
      </c>
      <c r="I1017" s="94" t="s">
        <v>210</v>
      </c>
      <c r="J1017" s="94">
        <v>2</v>
      </c>
      <c r="K1017" s="94">
        <v>-3</v>
      </c>
      <c r="L1017" s="94" t="s">
        <v>210</v>
      </c>
      <c r="M1017" s="94">
        <v>-1</v>
      </c>
      <c r="N1017" s="94" t="s">
        <v>210</v>
      </c>
      <c r="O1017" s="94" t="s">
        <v>210</v>
      </c>
      <c r="P1017" s="94">
        <v>6</v>
      </c>
      <c r="Q1017" s="94">
        <v>4</v>
      </c>
      <c r="R1017" s="94" t="s">
        <v>210</v>
      </c>
      <c r="S1017" s="94">
        <v>-7</v>
      </c>
      <c r="T1017" s="94" t="s">
        <v>210</v>
      </c>
      <c r="U1017" s="94" t="s">
        <v>210</v>
      </c>
      <c r="V1017" s="94">
        <v>3</v>
      </c>
      <c r="W1017" s="94">
        <v>5</v>
      </c>
      <c r="X1017" s="94" t="s">
        <v>210</v>
      </c>
      <c r="Y1017" s="94">
        <v>-2</v>
      </c>
      <c r="Z1017" s="94" t="s">
        <v>210</v>
      </c>
      <c r="AA1017" s="94" t="s">
        <v>210</v>
      </c>
      <c r="AB1017" s="94">
        <v>-4</v>
      </c>
      <c r="AC1017" s="94">
        <v>8</v>
      </c>
      <c r="AD1017" s="94" t="s">
        <v>210</v>
      </c>
      <c r="AE1017" s="94"/>
      <c r="AF1017" s="94"/>
      <c r="AG1017" s="94"/>
      <c r="AH1017" s="94"/>
      <c r="AI1017" s="94"/>
      <c r="AJ1017" s="94"/>
      <c r="AK1017" s="94"/>
      <c r="AL1017" s="94"/>
      <c r="AM1017" s="94"/>
      <c r="AN1017" s="94"/>
      <c r="AO1017" s="94"/>
      <c r="AP1017" s="94"/>
      <c r="AQ1017" s="94"/>
      <c r="AR1017" s="94"/>
      <c r="AS1017" s="94"/>
      <c r="AT1017" s="94"/>
      <c r="AU1017" s="94"/>
      <c r="AV1017" s="94"/>
      <c r="AW1017" s="94"/>
      <c r="AX1017" s="94"/>
      <c r="AY1017" s="94"/>
      <c r="AZ1017" s="94"/>
      <c r="BA1017" s="95"/>
    </row>
    <row r="1018" spans="1:53" s="87" customFormat="1">
      <c r="A1018" s="90" t="str">
        <f t="shared" si="40"/>
        <v/>
      </c>
      <c r="B1018" s="98">
        <v>4</v>
      </c>
      <c r="C1018" s="94">
        <v>3</v>
      </c>
      <c r="D1018" s="94" t="s">
        <v>210</v>
      </c>
      <c r="E1018" s="94" t="s">
        <v>210</v>
      </c>
      <c r="F1018" s="94">
        <v>-8</v>
      </c>
      <c r="G1018" s="94" t="s">
        <v>210</v>
      </c>
      <c r="H1018" s="94">
        <v>-6</v>
      </c>
      <c r="I1018" s="94">
        <v>5</v>
      </c>
      <c r="J1018" s="94" t="s">
        <v>210</v>
      </c>
      <c r="K1018" s="94">
        <v>-1</v>
      </c>
      <c r="L1018" s="94" t="s">
        <v>210</v>
      </c>
      <c r="M1018" s="94" t="s">
        <v>210</v>
      </c>
      <c r="N1018" s="94">
        <v>-3</v>
      </c>
      <c r="O1018" s="94">
        <v>4</v>
      </c>
      <c r="P1018" s="94" t="s">
        <v>210</v>
      </c>
      <c r="Q1018" s="94">
        <v>2</v>
      </c>
      <c r="R1018" s="94" t="s">
        <v>210</v>
      </c>
      <c r="S1018" s="94" t="s">
        <v>210</v>
      </c>
      <c r="T1018" s="94">
        <v>-5</v>
      </c>
      <c r="U1018" s="94">
        <v>8</v>
      </c>
      <c r="V1018" s="94" t="s">
        <v>210</v>
      </c>
      <c r="W1018" s="94">
        <v>7</v>
      </c>
      <c r="X1018" s="94" t="s">
        <v>210</v>
      </c>
      <c r="Y1018" s="94" t="s">
        <v>210</v>
      </c>
      <c r="Z1018" s="94">
        <v>-4</v>
      </c>
      <c r="AA1018" s="94" t="s">
        <v>210</v>
      </c>
      <c r="AB1018" s="94">
        <v>-2</v>
      </c>
      <c r="AC1018" s="94">
        <v>6</v>
      </c>
      <c r="AD1018" s="94" t="s">
        <v>210</v>
      </c>
      <c r="AE1018" s="94"/>
      <c r="AF1018" s="94"/>
      <c r="AG1018" s="94"/>
      <c r="AH1018" s="94"/>
      <c r="AI1018" s="94"/>
      <c r="AJ1018" s="94"/>
      <c r="AK1018" s="94"/>
      <c r="AL1018" s="94"/>
      <c r="AM1018" s="94"/>
      <c r="AN1018" s="94"/>
      <c r="AO1018" s="94"/>
      <c r="AP1018" s="94"/>
      <c r="AQ1018" s="94"/>
      <c r="AR1018" s="94"/>
      <c r="AS1018" s="94"/>
      <c r="AT1018" s="94"/>
      <c r="AU1018" s="94"/>
      <c r="AV1018" s="94"/>
      <c r="AW1018" s="94"/>
      <c r="AX1018" s="94"/>
      <c r="AY1018" s="94"/>
      <c r="AZ1018" s="94"/>
      <c r="BA1018" s="95"/>
    </row>
    <row r="1019" spans="1:53" s="87" customFormat="1">
      <c r="A1019" s="90" t="str">
        <f t="shared" si="40"/>
        <v/>
      </c>
      <c r="B1019" s="98">
        <v>5</v>
      </c>
      <c r="C1019" s="94">
        <v>1</v>
      </c>
      <c r="D1019" s="94" t="s">
        <v>210</v>
      </c>
      <c r="E1019" s="94" t="s">
        <v>210</v>
      </c>
      <c r="F1019" s="94">
        <v>-6</v>
      </c>
      <c r="G1019" s="94">
        <v>-4</v>
      </c>
      <c r="H1019" s="94" t="s">
        <v>210</v>
      </c>
      <c r="I1019" s="94">
        <v>7</v>
      </c>
      <c r="J1019" s="94" t="s">
        <v>210</v>
      </c>
      <c r="K1019" s="94" t="s">
        <v>210</v>
      </c>
      <c r="L1019" s="94">
        <v>-3</v>
      </c>
      <c r="M1019" s="94">
        <v>-8</v>
      </c>
      <c r="N1019" s="94" t="s">
        <v>210</v>
      </c>
      <c r="O1019" s="94">
        <v>2</v>
      </c>
      <c r="P1019" s="94" t="s">
        <v>210</v>
      </c>
      <c r="Q1019" s="94" t="s">
        <v>210</v>
      </c>
      <c r="R1019" s="94">
        <v>4</v>
      </c>
      <c r="S1019" s="94" t="s">
        <v>210</v>
      </c>
      <c r="T1019" s="94">
        <v>-7</v>
      </c>
      <c r="U1019" s="94">
        <v>6</v>
      </c>
      <c r="V1019" s="94" t="s">
        <v>210</v>
      </c>
      <c r="W1019" s="94" t="s">
        <v>210</v>
      </c>
      <c r="X1019" s="94">
        <v>5</v>
      </c>
      <c r="Y1019" s="94" t="s">
        <v>210</v>
      </c>
      <c r="Z1019" s="94">
        <v>-2</v>
      </c>
      <c r="AA1019" s="94">
        <v>-5</v>
      </c>
      <c r="AB1019" s="94" t="s">
        <v>210</v>
      </c>
      <c r="AC1019" s="94" t="s">
        <v>210</v>
      </c>
      <c r="AD1019" s="94">
        <v>8</v>
      </c>
      <c r="AE1019" s="94"/>
      <c r="AF1019" s="94"/>
      <c r="AG1019" s="94"/>
      <c r="AH1019" s="94"/>
      <c r="AI1019" s="94"/>
      <c r="AJ1019" s="94"/>
      <c r="AK1019" s="94"/>
      <c r="AL1019" s="94"/>
      <c r="AM1019" s="94"/>
      <c r="AN1019" s="94"/>
      <c r="AO1019" s="94"/>
      <c r="AP1019" s="94"/>
      <c r="AQ1019" s="94"/>
      <c r="AR1019" s="94"/>
      <c r="AS1019" s="94"/>
      <c r="AT1019" s="94"/>
      <c r="AU1019" s="94"/>
      <c r="AV1019" s="94"/>
      <c r="AW1019" s="94"/>
      <c r="AX1019" s="94"/>
      <c r="AY1019" s="94"/>
      <c r="AZ1019" s="94"/>
      <c r="BA1019" s="95"/>
    </row>
    <row r="1020" spans="1:53" s="87" customFormat="1">
      <c r="A1020" s="90" t="str">
        <f t="shared" si="40"/>
        <v/>
      </c>
      <c r="B1020" s="98">
        <v>6</v>
      </c>
      <c r="C1020" s="94" t="s">
        <v>210</v>
      </c>
      <c r="D1020" s="94">
        <v>2</v>
      </c>
      <c r="E1020" s="94">
        <v>-3</v>
      </c>
      <c r="F1020" s="94" t="s">
        <v>210</v>
      </c>
      <c r="G1020" s="94">
        <v>-1</v>
      </c>
      <c r="H1020" s="94" t="s">
        <v>210</v>
      </c>
      <c r="I1020" s="94" t="s">
        <v>210</v>
      </c>
      <c r="J1020" s="94">
        <v>6</v>
      </c>
      <c r="K1020" s="94">
        <v>-5</v>
      </c>
      <c r="L1020" s="94" t="s">
        <v>210</v>
      </c>
      <c r="M1020" s="94">
        <v>-7</v>
      </c>
      <c r="N1020" s="94" t="s">
        <v>210</v>
      </c>
      <c r="O1020" s="94" t="s">
        <v>210</v>
      </c>
      <c r="P1020" s="94">
        <v>3</v>
      </c>
      <c r="Q1020" s="94">
        <v>8</v>
      </c>
      <c r="R1020" s="94" t="s">
        <v>210</v>
      </c>
      <c r="S1020" s="94">
        <v>-2</v>
      </c>
      <c r="T1020" s="94" t="s">
        <v>210</v>
      </c>
      <c r="U1020" s="94" t="s">
        <v>210</v>
      </c>
      <c r="V1020" s="94">
        <v>5</v>
      </c>
      <c r="W1020" s="94">
        <v>4</v>
      </c>
      <c r="X1020" s="94" t="s">
        <v>210</v>
      </c>
      <c r="Y1020" s="94">
        <v>-6</v>
      </c>
      <c r="Z1020" s="94" t="s">
        <v>210</v>
      </c>
      <c r="AA1020" s="94" t="s">
        <v>210</v>
      </c>
      <c r="AB1020" s="94">
        <v>-8</v>
      </c>
      <c r="AC1020" s="94" t="s">
        <v>210</v>
      </c>
      <c r="AD1020" s="94">
        <v>7</v>
      </c>
      <c r="AE1020" s="94"/>
      <c r="AF1020" s="94"/>
      <c r="AG1020" s="94"/>
      <c r="AH1020" s="94"/>
      <c r="AI1020" s="94"/>
      <c r="AJ1020" s="94"/>
      <c r="AK1020" s="94"/>
      <c r="AL1020" s="94"/>
      <c r="AM1020" s="94"/>
      <c r="AN1020" s="94"/>
      <c r="AO1020" s="94"/>
      <c r="AP1020" s="94"/>
      <c r="AQ1020" s="94"/>
      <c r="AR1020" s="94"/>
      <c r="AS1020" s="94"/>
      <c r="AT1020" s="94"/>
      <c r="AU1020" s="94"/>
      <c r="AV1020" s="94"/>
      <c r="AW1020" s="94"/>
      <c r="AX1020" s="94"/>
      <c r="AY1020" s="94"/>
      <c r="AZ1020" s="94"/>
      <c r="BA1020" s="95"/>
    </row>
    <row r="1021" spans="1:53" s="87" customFormat="1">
      <c r="A1021" s="90" t="str">
        <f t="shared" si="40"/>
        <v/>
      </c>
      <c r="B1021" s="98">
        <v>7</v>
      </c>
      <c r="C1021" s="94">
        <v>5</v>
      </c>
      <c r="D1021" s="94" t="s">
        <v>210</v>
      </c>
      <c r="E1021" s="94">
        <v>-1</v>
      </c>
      <c r="F1021" s="94" t="s">
        <v>210</v>
      </c>
      <c r="G1021" s="94" t="s">
        <v>210</v>
      </c>
      <c r="H1021" s="94">
        <v>-3</v>
      </c>
      <c r="I1021" s="94">
        <v>4</v>
      </c>
      <c r="J1021" s="94" t="s">
        <v>210</v>
      </c>
      <c r="K1021" s="94">
        <v>-7</v>
      </c>
      <c r="L1021" s="94" t="s">
        <v>210</v>
      </c>
      <c r="M1021" s="94" t="s">
        <v>210</v>
      </c>
      <c r="N1021" s="94">
        <v>-5</v>
      </c>
      <c r="O1021" s="94">
        <v>8</v>
      </c>
      <c r="P1021" s="94" t="s">
        <v>210</v>
      </c>
      <c r="Q1021" s="94">
        <v>6</v>
      </c>
      <c r="R1021" s="94" t="s">
        <v>210</v>
      </c>
      <c r="S1021" s="94" t="s">
        <v>210</v>
      </c>
      <c r="T1021" s="94">
        <v>-4</v>
      </c>
      <c r="U1021" s="94" t="s">
        <v>210</v>
      </c>
      <c r="V1021" s="94">
        <v>7</v>
      </c>
      <c r="W1021" s="94">
        <v>2</v>
      </c>
      <c r="X1021" s="94" t="s">
        <v>210</v>
      </c>
      <c r="Y1021" s="94" t="s">
        <v>210</v>
      </c>
      <c r="Z1021" s="94">
        <v>-8</v>
      </c>
      <c r="AA1021" s="94" t="s">
        <v>210</v>
      </c>
      <c r="AB1021" s="94">
        <v>-6</v>
      </c>
      <c r="AC1021" s="94">
        <v>3</v>
      </c>
      <c r="AD1021" s="94" t="s">
        <v>210</v>
      </c>
      <c r="AE1021" s="94"/>
      <c r="AF1021" s="94"/>
      <c r="AG1021" s="94"/>
      <c r="AH1021" s="94"/>
      <c r="AI1021" s="94"/>
      <c r="AJ1021" s="94"/>
      <c r="AK1021" s="94"/>
      <c r="AL1021" s="94"/>
      <c r="AM1021" s="94"/>
      <c r="AN1021" s="94"/>
      <c r="AO1021" s="94"/>
      <c r="AP1021" s="94"/>
      <c r="AQ1021" s="94"/>
      <c r="AR1021" s="94"/>
      <c r="AS1021" s="94"/>
      <c r="AT1021" s="94"/>
      <c r="AU1021" s="94"/>
      <c r="AV1021" s="94"/>
      <c r="AW1021" s="94"/>
      <c r="AX1021" s="94"/>
      <c r="AY1021" s="94"/>
      <c r="AZ1021" s="94"/>
      <c r="BA1021" s="95"/>
    </row>
    <row r="1022" spans="1:53" s="87" customFormat="1">
      <c r="A1022" s="90" t="str">
        <f t="shared" si="40"/>
        <v/>
      </c>
      <c r="B1022" s="98">
        <v>8</v>
      </c>
      <c r="C1022" s="94" t="s">
        <v>210</v>
      </c>
      <c r="D1022" s="94">
        <v>4</v>
      </c>
      <c r="E1022" s="94" t="s">
        <v>210</v>
      </c>
      <c r="F1022" s="94">
        <v>-7</v>
      </c>
      <c r="G1022" s="94">
        <v>-3</v>
      </c>
      <c r="H1022" s="94" t="s">
        <v>210</v>
      </c>
      <c r="I1022" s="94" t="s">
        <v>210</v>
      </c>
      <c r="J1022" s="94">
        <v>8</v>
      </c>
      <c r="K1022" s="94" t="s">
        <v>210</v>
      </c>
      <c r="L1022" s="94">
        <v>-2</v>
      </c>
      <c r="M1022" s="94">
        <v>-5</v>
      </c>
      <c r="N1022" s="94" t="s">
        <v>210</v>
      </c>
      <c r="O1022" s="94">
        <v>1</v>
      </c>
      <c r="P1022" s="94" t="s">
        <v>210</v>
      </c>
      <c r="Q1022" s="94" t="s">
        <v>210</v>
      </c>
      <c r="R1022" s="94">
        <v>3</v>
      </c>
      <c r="S1022" s="94">
        <v>-4</v>
      </c>
      <c r="T1022" s="94" t="s">
        <v>210</v>
      </c>
      <c r="U1022" s="94">
        <v>7</v>
      </c>
      <c r="V1022" s="94" t="s">
        <v>210</v>
      </c>
      <c r="W1022" s="94" t="s">
        <v>210</v>
      </c>
      <c r="X1022" s="94">
        <v>6</v>
      </c>
      <c r="Y1022" s="94">
        <v>-8</v>
      </c>
      <c r="Z1022" s="94" t="s">
        <v>210</v>
      </c>
      <c r="AA1022" s="94">
        <v>-6</v>
      </c>
      <c r="AB1022" s="94" t="s">
        <v>210</v>
      </c>
      <c r="AC1022" s="94" t="s">
        <v>210</v>
      </c>
      <c r="AD1022" s="94">
        <v>5</v>
      </c>
      <c r="AE1022" s="94"/>
      <c r="AF1022" s="94"/>
      <c r="AG1022" s="94"/>
      <c r="AH1022" s="94"/>
      <c r="AI1022" s="94"/>
      <c r="AJ1022" s="94"/>
      <c r="AK1022" s="94"/>
      <c r="AL1022" s="94"/>
      <c r="AM1022" s="94"/>
      <c r="AN1022" s="94"/>
      <c r="AO1022" s="94"/>
      <c r="AP1022" s="94"/>
      <c r="AQ1022" s="94"/>
      <c r="AR1022" s="94"/>
      <c r="AS1022" s="94"/>
      <c r="AT1022" s="94"/>
      <c r="AU1022" s="94"/>
      <c r="AV1022" s="94"/>
      <c r="AW1022" s="94"/>
      <c r="AX1022" s="94"/>
      <c r="AY1022" s="94"/>
      <c r="AZ1022" s="94"/>
      <c r="BA1022" s="95"/>
    </row>
    <row r="1023" spans="1:53" s="87" customFormat="1">
      <c r="A1023" s="90" t="str">
        <f t="shared" si="40"/>
        <v/>
      </c>
      <c r="B1023" s="98">
        <v>9</v>
      </c>
      <c r="C1023" s="94" t="s">
        <v>210</v>
      </c>
      <c r="D1023" s="94">
        <v>5</v>
      </c>
      <c r="E1023" s="94">
        <v>-8</v>
      </c>
      <c r="F1023" s="94" t="s">
        <v>210</v>
      </c>
      <c r="G1023" s="94">
        <v>-6</v>
      </c>
      <c r="H1023" s="94" t="s">
        <v>210</v>
      </c>
      <c r="I1023" s="94" t="s">
        <v>210</v>
      </c>
      <c r="J1023" s="94">
        <v>4</v>
      </c>
      <c r="K1023" s="94" t="s">
        <v>210</v>
      </c>
      <c r="L1023" s="94">
        <v>-7</v>
      </c>
      <c r="M1023" s="94">
        <v>-3</v>
      </c>
      <c r="N1023" s="94" t="s">
        <v>210</v>
      </c>
      <c r="O1023" s="94" t="s">
        <v>210</v>
      </c>
      <c r="P1023" s="94">
        <v>8</v>
      </c>
      <c r="Q1023" s="94" t="s">
        <v>210</v>
      </c>
      <c r="R1023" s="94">
        <v>6</v>
      </c>
      <c r="S1023" s="94">
        <v>-5</v>
      </c>
      <c r="T1023" s="94" t="s">
        <v>210</v>
      </c>
      <c r="U1023" s="94">
        <v>1</v>
      </c>
      <c r="V1023" s="94" t="s">
        <v>210</v>
      </c>
      <c r="W1023" s="94" t="s">
        <v>210</v>
      </c>
      <c r="X1023" s="94">
        <v>2</v>
      </c>
      <c r="Y1023" s="94">
        <v>-4</v>
      </c>
      <c r="Z1023" s="94" t="s">
        <v>210</v>
      </c>
      <c r="AA1023" s="94">
        <v>-2</v>
      </c>
      <c r="AB1023" s="94" t="s">
        <v>210</v>
      </c>
      <c r="AC1023" s="94" t="s">
        <v>210</v>
      </c>
      <c r="AD1023" s="94">
        <v>3</v>
      </c>
      <c r="AE1023" s="94"/>
      <c r="AF1023" s="94"/>
      <c r="AG1023" s="94"/>
      <c r="AH1023" s="94"/>
      <c r="AI1023" s="94"/>
      <c r="AJ1023" s="94"/>
      <c r="AK1023" s="94"/>
      <c r="AL1023" s="94"/>
      <c r="AM1023" s="94"/>
      <c r="AN1023" s="94"/>
      <c r="AO1023" s="94"/>
      <c r="AP1023" s="94"/>
      <c r="AQ1023" s="94"/>
      <c r="AR1023" s="94"/>
      <c r="AS1023" s="94"/>
      <c r="AT1023" s="94"/>
      <c r="AU1023" s="94"/>
      <c r="AV1023" s="94"/>
      <c r="AW1023" s="94"/>
      <c r="AX1023" s="94"/>
      <c r="AY1023" s="94"/>
      <c r="AZ1023" s="94"/>
      <c r="BA1023" s="95"/>
    </row>
    <row r="1024" spans="1:53" s="87" customFormat="1">
      <c r="A1024" s="90" t="str">
        <f t="shared" si="40"/>
        <v/>
      </c>
      <c r="B1024" s="98">
        <v>10</v>
      </c>
      <c r="C1024" s="94">
        <v>2</v>
      </c>
      <c r="D1024" s="94" t="s">
        <v>210</v>
      </c>
      <c r="E1024" s="94" t="s">
        <v>210</v>
      </c>
      <c r="F1024" s="94">
        <v>-5</v>
      </c>
      <c r="G1024" s="94" t="s">
        <v>210</v>
      </c>
      <c r="H1024" s="94">
        <v>-7</v>
      </c>
      <c r="I1024" s="94">
        <v>6</v>
      </c>
      <c r="J1024" s="94" t="s">
        <v>210</v>
      </c>
      <c r="K1024" s="94" t="s">
        <v>210</v>
      </c>
      <c r="L1024" s="94">
        <v>-4</v>
      </c>
      <c r="M1024" s="94" t="s">
        <v>210</v>
      </c>
      <c r="N1024" s="94">
        <v>-2</v>
      </c>
      <c r="O1024" s="94">
        <v>3</v>
      </c>
      <c r="P1024" s="94" t="s">
        <v>210</v>
      </c>
      <c r="Q1024" s="94">
        <v>1</v>
      </c>
      <c r="R1024" s="94" t="s">
        <v>210</v>
      </c>
      <c r="S1024" s="94" t="s">
        <v>210</v>
      </c>
      <c r="T1024" s="94">
        <v>-6</v>
      </c>
      <c r="U1024" s="94">
        <v>5</v>
      </c>
      <c r="V1024" s="94" t="s">
        <v>210</v>
      </c>
      <c r="W1024" s="94" t="s">
        <v>210</v>
      </c>
      <c r="X1024" s="94">
        <v>8</v>
      </c>
      <c r="Y1024" s="94" t="s">
        <v>210</v>
      </c>
      <c r="Z1024" s="94">
        <v>-3</v>
      </c>
      <c r="AA1024" s="94">
        <v>-8</v>
      </c>
      <c r="AB1024" s="94" t="s">
        <v>210</v>
      </c>
      <c r="AC1024" s="94">
        <v>7</v>
      </c>
      <c r="AD1024" s="94" t="s">
        <v>210</v>
      </c>
      <c r="AE1024" s="94"/>
      <c r="AF1024" s="94"/>
      <c r="AG1024" s="94"/>
      <c r="AH1024" s="94"/>
      <c r="AI1024" s="94"/>
      <c r="AJ1024" s="94"/>
      <c r="AK1024" s="94"/>
      <c r="AL1024" s="94"/>
      <c r="AM1024" s="94"/>
      <c r="AN1024" s="94"/>
      <c r="AO1024" s="94"/>
      <c r="AP1024" s="94"/>
      <c r="AQ1024" s="94"/>
      <c r="AR1024" s="94"/>
      <c r="AS1024" s="94"/>
      <c r="AT1024" s="94"/>
      <c r="AU1024" s="94"/>
      <c r="AV1024" s="94"/>
      <c r="AW1024" s="94"/>
      <c r="AX1024" s="94"/>
      <c r="AY1024" s="94"/>
      <c r="AZ1024" s="94"/>
      <c r="BA1024" s="95"/>
    </row>
    <row r="1025" spans="1:53" s="87" customFormat="1">
      <c r="A1025" s="90" t="str">
        <f t="shared" si="40"/>
        <v/>
      </c>
      <c r="B1025" s="98">
        <v>11</v>
      </c>
      <c r="C1025" s="94" t="s">
        <v>210</v>
      </c>
      <c r="D1025" s="94">
        <v>8</v>
      </c>
      <c r="E1025" s="94" t="s">
        <v>210</v>
      </c>
      <c r="F1025" s="94">
        <v>-2</v>
      </c>
      <c r="G1025" s="94">
        <v>-5</v>
      </c>
      <c r="H1025" s="94" t="s">
        <v>210</v>
      </c>
      <c r="I1025" s="94">
        <v>1</v>
      </c>
      <c r="J1025" s="94" t="s">
        <v>210</v>
      </c>
      <c r="K1025" s="94" t="s">
        <v>210</v>
      </c>
      <c r="L1025" s="94">
        <v>-6</v>
      </c>
      <c r="M1025" s="94">
        <v>-4</v>
      </c>
      <c r="N1025" s="94" t="s">
        <v>210</v>
      </c>
      <c r="O1025" s="94">
        <v>7</v>
      </c>
      <c r="P1025" s="94" t="s">
        <v>210</v>
      </c>
      <c r="Q1025" s="94" t="s">
        <v>210</v>
      </c>
      <c r="R1025" s="94">
        <v>5</v>
      </c>
      <c r="S1025" s="94">
        <v>-8</v>
      </c>
      <c r="T1025" s="94" t="s">
        <v>210</v>
      </c>
      <c r="U1025" s="94">
        <v>2</v>
      </c>
      <c r="V1025" s="94" t="s">
        <v>210</v>
      </c>
      <c r="W1025" s="94" t="s">
        <v>210</v>
      </c>
      <c r="X1025" s="94">
        <v>3</v>
      </c>
      <c r="Y1025" s="94" t="s">
        <v>210</v>
      </c>
      <c r="Z1025" s="94">
        <v>-7</v>
      </c>
      <c r="AA1025" s="94">
        <v>-3</v>
      </c>
      <c r="AB1025" s="94" t="s">
        <v>210</v>
      </c>
      <c r="AC1025" s="94" t="s">
        <v>210</v>
      </c>
      <c r="AD1025" s="94">
        <v>4</v>
      </c>
      <c r="AE1025" s="94"/>
      <c r="AF1025" s="94"/>
      <c r="AG1025" s="94"/>
      <c r="AH1025" s="94"/>
      <c r="AI1025" s="94"/>
      <c r="AJ1025" s="94"/>
      <c r="AK1025" s="94"/>
      <c r="AL1025" s="94"/>
      <c r="AM1025" s="94"/>
      <c r="AN1025" s="94"/>
      <c r="AO1025" s="94"/>
      <c r="AP1025" s="94"/>
      <c r="AQ1025" s="94"/>
      <c r="AR1025" s="94"/>
      <c r="AS1025" s="94"/>
      <c r="AT1025" s="94"/>
      <c r="AU1025" s="94"/>
      <c r="AV1025" s="94"/>
      <c r="AW1025" s="94"/>
      <c r="AX1025" s="94"/>
      <c r="AY1025" s="94"/>
      <c r="AZ1025" s="94"/>
      <c r="BA1025" s="95"/>
    </row>
    <row r="1026" spans="1:53" s="87" customFormat="1">
      <c r="A1026" s="90" t="str">
        <f t="shared" si="40"/>
        <v/>
      </c>
      <c r="B1026" s="98">
        <v>12</v>
      </c>
      <c r="C1026" s="94">
        <v>4</v>
      </c>
      <c r="D1026" s="94" t="s">
        <v>210</v>
      </c>
      <c r="E1026" s="94">
        <v>-7</v>
      </c>
      <c r="F1026" s="94" t="s">
        <v>210</v>
      </c>
      <c r="G1026" s="94" t="s">
        <v>210</v>
      </c>
      <c r="H1026" s="94">
        <v>-5</v>
      </c>
      <c r="I1026" s="94">
        <v>8</v>
      </c>
      <c r="J1026" s="94" t="s">
        <v>210</v>
      </c>
      <c r="K1026" s="94">
        <v>-2</v>
      </c>
      <c r="L1026" s="94" t="s">
        <v>210</v>
      </c>
      <c r="M1026" s="94" t="s">
        <v>210</v>
      </c>
      <c r="N1026" s="94">
        <v>-4</v>
      </c>
      <c r="O1026" s="94" t="s">
        <v>210</v>
      </c>
      <c r="P1026" s="94">
        <v>7</v>
      </c>
      <c r="Q1026" s="94">
        <v>3</v>
      </c>
      <c r="R1026" s="94" t="s">
        <v>210</v>
      </c>
      <c r="S1026" s="94" t="s">
        <v>210</v>
      </c>
      <c r="T1026" s="94">
        <v>-8</v>
      </c>
      <c r="U1026" s="94" t="s">
        <v>210</v>
      </c>
      <c r="V1026" s="94">
        <v>2</v>
      </c>
      <c r="W1026" s="94">
        <v>6</v>
      </c>
      <c r="X1026" s="94" t="s">
        <v>210</v>
      </c>
      <c r="Y1026" s="94">
        <v>-1</v>
      </c>
      <c r="Z1026" s="94" t="s">
        <v>210</v>
      </c>
      <c r="AA1026" s="94" t="s">
        <v>210</v>
      </c>
      <c r="AB1026" s="94">
        <v>-3</v>
      </c>
      <c r="AC1026" s="94">
        <v>5</v>
      </c>
      <c r="AD1026" s="94" t="s">
        <v>210</v>
      </c>
      <c r="AE1026" s="94"/>
      <c r="AF1026" s="94"/>
      <c r="AG1026" s="94"/>
      <c r="AH1026" s="94"/>
      <c r="AI1026" s="94"/>
      <c r="AJ1026" s="94"/>
      <c r="AK1026" s="94"/>
      <c r="AL1026" s="94"/>
      <c r="AM1026" s="94"/>
      <c r="AN1026" s="94"/>
      <c r="AO1026" s="94"/>
      <c r="AP1026" s="94"/>
      <c r="AQ1026" s="94"/>
      <c r="AR1026" s="94"/>
      <c r="AS1026" s="94"/>
      <c r="AT1026" s="94"/>
      <c r="AU1026" s="94"/>
      <c r="AV1026" s="94"/>
      <c r="AW1026" s="94"/>
      <c r="AX1026" s="94"/>
      <c r="AY1026" s="94"/>
      <c r="AZ1026" s="94"/>
      <c r="BA1026" s="95"/>
    </row>
    <row r="1027" spans="1:53" s="87" customFormat="1">
      <c r="A1027" s="90" t="str">
        <f t="shared" si="40"/>
        <v/>
      </c>
      <c r="B1027" s="98">
        <v>13</v>
      </c>
      <c r="C1027" s="94">
        <v>8</v>
      </c>
      <c r="D1027" s="94" t="s">
        <v>210</v>
      </c>
      <c r="E1027" s="94">
        <v>-2</v>
      </c>
      <c r="F1027" s="94" t="s">
        <v>210</v>
      </c>
      <c r="G1027" s="94" t="s">
        <v>210</v>
      </c>
      <c r="H1027" s="94">
        <v>-4</v>
      </c>
      <c r="I1027" s="94" t="s">
        <v>210</v>
      </c>
      <c r="J1027" s="94">
        <v>7</v>
      </c>
      <c r="K1027" s="94">
        <v>-6</v>
      </c>
      <c r="L1027" s="94" t="s">
        <v>210</v>
      </c>
      <c r="M1027" s="94" t="s">
        <v>210</v>
      </c>
      <c r="N1027" s="94">
        <v>-8</v>
      </c>
      <c r="O1027" s="94" t="s">
        <v>210</v>
      </c>
      <c r="P1027" s="94">
        <v>2</v>
      </c>
      <c r="Q1027" s="94">
        <v>5</v>
      </c>
      <c r="R1027" s="94" t="s">
        <v>210</v>
      </c>
      <c r="S1027" s="94">
        <v>-1</v>
      </c>
      <c r="T1027" s="94" t="s">
        <v>210</v>
      </c>
      <c r="U1027" s="94" t="s">
        <v>210</v>
      </c>
      <c r="V1027" s="94">
        <v>6</v>
      </c>
      <c r="W1027" s="94">
        <v>3</v>
      </c>
      <c r="X1027" s="94" t="s">
        <v>210</v>
      </c>
      <c r="Y1027" s="94">
        <v>-7</v>
      </c>
      <c r="Z1027" s="94" t="s">
        <v>210</v>
      </c>
      <c r="AA1027" s="94" t="s">
        <v>210</v>
      </c>
      <c r="AB1027" s="94">
        <v>-5</v>
      </c>
      <c r="AC1027" s="94">
        <v>4</v>
      </c>
      <c r="AD1027" s="94" t="s">
        <v>210</v>
      </c>
      <c r="AE1027" s="94"/>
      <c r="AF1027" s="94"/>
      <c r="AG1027" s="94"/>
      <c r="AH1027" s="94"/>
      <c r="AI1027" s="94"/>
      <c r="AJ1027" s="94"/>
      <c r="AK1027" s="94"/>
      <c r="AL1027" s="94"/>
      <c r="AM1027" s="94"/>
      <c r="AN1027" s="94"/>
      <c r="AO1027" s="94"/>
      <c r="AP1027" s="94"/>
      <c r="AQ1027" s="94"/>
      <c r="AR1027" s="94"/>
      <c r="AS1027" s="94"/>
      <c r="AT1027" s="94"/>
      <c r="AU1027" s="94"/>
      <c r="AV1027" s="94"/>
      <c r="AW1027" s="94"/>
      <c r="AX1027" s="94"/>
      <c r="AY1027" s="94"/>
      <c r="AZ1027" s="94"/>
      <c r="BA1027" s="95"/>
    </row>
    <row r="1028" spans="1:53" s="87" customFormat="1">
      <c r="A1028" s="90" t="str">
        <f t="shared" si="40"/>
        <v/>
      </c>
      <c r="B1028" s="98">
        <v>14</v>
      </c>
      <c r="C1028" s="94" t="s">
        <v>210</v>
      </c>
      <c r="D1028" s="94">
        <v>6</v>
      </c>
      <c r="E1028" s="94">
        <v>-5</v>
      </c>
      <c r="F1028" s="94" t="s">
        <v>210</v>
      </c>
      <c r="G1028" s="94">
        <v>-7</v>
      </c>
      <c r="H1028" s="94" t="s">
        <v>210</v>
      </c>
      <c r="I1028" s="94" t="s">
        <v>210</v>
      </c>
      <c r="J1028" s="94">
        <v>3</v>
      </c>
      <c r="K1028" s="94">
        <v>-4</v>
      </c>
      <c r="L1028" s="94" t="s">
        <v>210</v>
      </c>
      <c r="M1028" s="94">
        <v>-2</v>
      </c>
      <c r="N1028" s="94" t="s">
        <v>210</v>
      </c>
      <c r="O1028" s="94" t="s">
        <v>210</v>
      </c>
      <c r="P1028" s="94">
        <v>5</v>
      </c>
      <c r="Q1028" s="94" t="s">
        <v>210</v>
      </c>
      <c r="R1028" s="94">
        <v>7</v>
      </c>
      <c r="S1028" s="94">
        <v>-6</v>
      </c>
      <c r="T1028" s="94" t="s">
        <v>210</v>
      </c>
      <c r="U1028" s="94" t="s">
        <v>210</v>
      </c>
      <c r="V1028" s="94">
        <v>4</v>
      </c>
      <c r="W1028" s="94">
        <v>8</v>
      </c>
      <c r="X1028" s="94" t="s">
        <v>210</v>
      </c>
      <c r="Y1028" s="94">
        <v>-3</v>
      </c>
      <c r="Z1028" s="94" t="s">
        <v>210</v>
      </c>
      <c r="AA1028" s="94">
        <v>-1</v>
      </c>
      <c r="AB1028" s="94" t="s">
        <v>210</v>
      </c>
      <c r="AC1028" s="94" t="s">
        <v>210</v>
      </c>
      <c r="AD1028" s="94">
        <v>2</v>
      </c>
      <c r="AE1028" s="94"/>
      <c r="AF1028" s="94"/>
      <c r="AG1028" s="94"/>
      <c r="AH1028" s="94"/>
      <c r="AI1028" s="94"/>
      <c r="AJ1028" s="94"/>
      <c r="AK1028" s="94"/>
      <c r="AL1028" s="94"/>
      <c r="AM1028" s="94"/>
      <c r="AN1028" s="94"/>
      <c r="AO1028" s="94"/>
      <c r="AP1028" s="94"/>
      <c r="AQ1028" s="94"/>
      <c r="AR1028" s="94"/>
      <c r="AS1028" s="94"/>
      <c r="AT1028" s="94"/>
      <c r="AU1028" s="94"/>
      <c r="AV1028" s="94"/>
      <c r="AW1028" s="94"/>
      <c r="AX1028" s="94"/>
      <c r="AY1028" s="94"/>
      <c r="AZ1028" s="94"/>
      <c r="BA1028" s="95"/>
    </row>
    <row r="1029" spans="1:53" s="87" customFormat="1">
      <c r="A1029" s="90" t="str">
        <f t="shared" si="40"/>
        <v/>
      </c>
      <c r="B1029" s="98">
        <v>15</v>
      </c>
      <c r="C1029" s="94">
        <v>6</v>
      </c>
      <c r="D1029" s="94" t="s">
        <v>210</v>
      </c>
      <c r="E1029" s="94" t="s">
        <v>210</v>
      </c>
      <c r="F1029" s="94">
        <v>-4</v>
      </c>
      <c r="G1029" s="94" t="s">
        <v>210</v>
      </c>
      <c r="H1029" s="94">
        <v>-2</v>
      </c>
      <c r="I1029" s="94">
        <v>3</v>
      </c>
      <c r="J1029" s="94" t="s">
        <v>210</v>
      </c>
      <c r="K1029" s="94" t="s">
        <v>210</v>
      </c>
      <c r="L1029" s="94">
        <v>8</v>
      </c>
      <c r="M1029" s="94" t="s">
        <v>210</v>
      </c>
      <c r="N1029" s="94">
        <v>-6</v>
      </c>
      <c r="O1029" s="94">
        <v>5</v>
      </c>
      <c r="P1029" s="94" t="s">
        <v>210</v>
      </c>
      <c r="Q1029" s="94">
        <v>7</v>
      </c>
      <c r="R1029" s="94" t="s">
        <v>210</v>
      </c>
      <c r="S1029" s="94" t="s">
        <v>210</v>
      </c>
      <c r="T1029" s="94">
        <v>-3</v>
      </c>
      <c r="U1029" s="94">
        <v>4</v>
      </c>
      <c r="V1029" s="94" t="s">
        <v>210</v>
      </c>
      <c r="W1029" s="94">
        <v>1</v>
      </c>
      <c r="X1029" s="94" t="s">
        <v>210</v>
      </c>
      <c r="Y1029" s="94" t="s">
        <v>210</v>
      </c>
      <c r="Z1029" s="94">
        <v>-5</v>
      </c>
      <c r="AA1029" s="94" t="s">
        <v>210</v>
      </c>
      <c r="AB1029" s="94">
        <v>-7</v>
      </c>
      <c r="AC1029" s="94">
        <v>2</v>
      </c>
      <c r="AD1029" s="94" t="s">
        <v>210</v>
      </c>
      <c r="AE1029" s="94"/>
      <c r="AF1029" s="94"/>
      <c r="AG1029" s="94"/>
      <c r="AH1029" s="94"/>
      <c r="AI1029" s="94"/>
      <c r="AJ1029" s="94"/>
      <c r="AK1029" s="94"/>
      <c r="AL1029" s="94"/>
      <c r="AM1029" s="94"/>
      <c r="AN1029" s="94"/>
      <c r="AO1029" s="94"/>
      <c r="AP1029" s="94"/>
      <c r="AQ1029" s="94"/>
      <c r="AR1029" s="94"/>
      <c r="AS1029" s="94"/>
      <c r="AT1029" s="94"/>
      <c r="AU1029" s="94"/>
      <c r="AV1029" s="94"/>
      <c r="AW1029" s="94"/>
      <c r="AX1029" s="94"/>
      <c r="AY1029" s="94"/>
      <c r="AZ1029" s="94"/>
      <c r="BA1029" s="95"/>
    </row>
    <row r="1030" spans="1:53" s="87" customFormat="1">
      <c r="A1030" s="90" t="str">
        <f t="shared" si="40"/>
        <v/>
      </c>
      <c r="B1030" s="98">
        <v>16</v>
      </c>
      <c r="C1030" s="94">
        <v>-3</v>
      </c>
      <c r="D1030" s="94" t="s">
        <v>210</v>
      </c>
      <c r="E1030" s="94" t="s">
        <v>210</v>
      </c>
      <c r="F1030" s="94">
        <v>2</v>
      </c>
      <c r="G1030" s="94" t="s">
        <v>210</v>
      </c>
      <c r="H1030" s="94">
        <v>4</v>
      </c>
      <c r="I1030" s="94">
        <v>-6</v>
      </c>
      <c r="J1030" s="94" t="s">
        <v>210</v>
      </c>
      <c r="K1030" s="94" t="s">
        <v>210</v>
      </c>
      <c r="L1030" s="94">
        <v>7</v>
      </c>
      <c r="M1030" s="94" t="s">
        <v>210</v>
      </c>
      <c r="N1030" s="94">
        <v>5</v>
      </c>
      <c r="O1030" s="94">
        <v>-2</v>
      </c>
      <c r="P1030" s="94" t="s">
        <v>210</v>
      </c>
      <c r="Q1030" s="94">
        <v>-4</v>
      </c>
      <c r="R1030" s="94" t="s">
        <v>210</v>
      </c>
      <c r="S1030" s="94" t="s">
        <v>210</v>
      </c>
      <c r="T1030" s="94">
        <v>3</v>
      </c>
      <c r="U1030" s="94">
        <v>-7</v>
      </c>
      <c r="V1030" s="94" t="s">
        <v>210</v>
      </c>
      <c r="W1030" s="94">
        <v>-8</v>
      </c>
      <c r="X1030" s="94" t="s">
        <v>210</v>
      </c>
      <c r="Y1030" s="94" t="s">
        <v>210</v>
      </c>
      <c r="Z1030" s="94">
        <v>6</v>
      </c>
      <c r="AA1030" s="94" t="s">
        <v>210</v>
      </c>
      <c r="AB1030" s="94">
        <v>8</v>
      </c>
      <c r="AC1030" s="94">
        <v>-5</v>
      </c>
      <c r="AD1030" s="94" t="s">
        <v>210</v>
      </c>
      <c r="AE1030" s="94"/>
      <c r="AF1030" s="94"/>
      <c r="AG1030" s="94"/>
      <c r="AH1030" s="94"/>
      <c r="AI1030" s="94"/>
      <c r="AJ1030" s="94"/>
      <c r="AK1030" s="94"/>
      <c r="AL1030" s="94"/>
      <c r="AM1030" s="94"/>
      <c r="AN1030" s="94"/>
      <c r="AO1030" s="94"/>
      <c r="AP1030" s="94"/>
      <c r="AQ1030" s="94"/>
      <c r="AR1030" s="94"/>
      <c r="AS1030" s="94"/>
      <c r="AT1030" s="94"/>
      <c r="AU1030" s="94"/>
      <c r="AV1030" s="94"/>
      <c r="AW1030" s="94"/>
      <c r="AX1030" s="94"/>
      <c r="AY1030" s="94"/>
      <c r="AZ1030" s="94"/>
      <c r="BA1030" s="95"/>
    </row>
    <row r="1031" spans="1:53" s="87" customFormat="1">
      <c r="A1031" s="90" t="str">
        <f t="shared" si="40"/>
        <v/>
      </c>
      <c r="B1031" s="98">
        <v>17</v>
      </c>
      <c r="C1031" s="94" t="s">
        <v>210</v>
      </c>
      <c r="D1031" s="94">
        <v>-2</v>
      </c>
      <c r="E1031" s="94" t="s">
        <v>210</v>
      </c>
      <c r="F1031" s="94">
        <v>8</v>
      </c>
      <c r="G1031" s="94">
        <v>6</v>
      </c>
      <c r="H1031" s="94" t="s">
        <v>210</v>
      </c>
      <c r="I1031" s="94" t="s">
        <v>210</v>
      </c>
      <c r="J1031" s="94">
        <v>-7</v>
      </c>
      <c r="K1031" s="94" t="s">
        <v>210</v>
      </c>
      <c r="L1031" s="94">
        <v>4</v>
      </c>
      <c r="M1031" s="94">
        <v>2</v>
      </c>
      <c r="N1031" s="94" t="s">
        <v>210</v>
      </c>
      <c r="O1031" s="94">
        <v>-8</v>
      </c>
      <c r="P1031" s="94" t="s">
        <v>210</v>
      </c>
      <c r="Q1031" s="94" t="s">
        <v>210</v>
      </c>
      <c r="R1031" s="94">
        <v>-3</v>
      </c>
      <c r="S1031" s="94">
        <v>7</v>
      </c>
      <c r="T1031" s="94" t="s">
        <v>210</v>
      </c>
      <c r="U1031" s="94">
        <v>-4</v>
      </c>
      <c r="V1031" s="94" t="s">
        <v>210</v>
      </c>
      <c r="W1031" s="94" t="s">
        <v>210</v>
      </c>
      <c r="X1031" s="94">
        <v>-5</v>
      </c>
      <c r="Y1031" s="94">
        <v>1</v>
      </c>
      <c r="Z1031" s="94" t="s">
        <v>210</v>
      </c>
      <c r="AA1031" s="94">
        <v>3</v>
      </c>
      <c r="AB1031" s="94" t="s">
        <v>210</v>
      </c>
      <c r="AC1031" s="94" t="s">
        <v>210</v>
      </c>
      <c r="AD1031" s="94">
        <v>-6</v>
      </c>
      <c r="AE1031" s="94"/>
      <c r="AF1031" s="94"/>
      <c r="AG1031" s="94"/>
      <c r="AH1031" s="94"/>
      <c r="AI1031" s="94"/>
      <c r="AJ1031" s="94"/>
      <c r="AK1031" s="94"/>
      <c r="AL1031" s="94"/>
      <c r="AM1031" s="94"/>
      <c r="AN1031" s="94"/>
      <c r="AO1031" s="94"/>
      <c r="AP1031" s="94"/>
      <c r="AQ1031" s="94"/>
      <c r="AR1031" s="94"/>
      <c r="AS1031" s="94"/>
      <c r="AT1031" s="94"/>
      <c r="AU1031" s="94"/>
      <c r="AV1031" s="94"/>
      <c r="AW1031" s="94"/>
      <c r="AX1031" s="94"/>
      <c r="AY1031" s="94"/>
      <c r="AZ1031" s="94"/>
      <c r="BA1031" s="95"/>
    </row>
    <row r="1032" spans="1:53" s="87" customFormat="1">
      <c r="A1032" s="90" t="str">
        <f t="shared" si="40"/>
        <v/>
      </c>
      <c r="B1032" s="98">
        <v>18</v>
      </c>
      <c r="C1032" s="94">
        <v>-7</v>
      </c>
      <c r="D1032" s="94" t="s">
        <v>210</v>
      </c>
      <c r="E1032" s="94">
        <v>4</v>
      </c>
      <c r="F1032" s="94" t="s">
        <v>210</v>
      </c>
      <c r="G1032" s="94" t="s">
        <v>210</v>
      </c>
      <c r="H1032" s="94">
        <v>6</v>
      </c>
      <c r="I1032" s="94">
        <v>-1</v>
      </c>
      <c r="J1032" s="94" t="s">
        <v>210</v>
      </c>
      <c r="K1032" s="94">
        <v>5</v>
      </c>
      <c r="L1032" s="94" t="s">
        <v>210</v>
      </c>
      <c r="M1032" s="94" t="s">
        <v>210</v>
      </c>
      <c r="N1032" s="94">
        <v>2</v>
      </c>
      <c r="O1032" s="94" t="s">
        <v>210</v>
      </c>
      <c r="P1032" s="94">
        <v>-8</v>
      </c>
      <c r="Q1032" s="94">
        <v>-6</v>
      </c>
      <c r="R1032" s="94" t="s">
        <v>210</v>
      </c>
      <c r="S1032" s="94" t="s">
        <v>210</v>
      </c>
      <c r="T1032" s="94">
        <v>7</v>
      </c>
      <c r="U1032" s="94" t="s">
        <v>210</v>
      </c>
      <c r="V1032" s="94">
        <v>-4</v>
      </c>
      <c r="W1032" s="94">
        <v>-3</v>
      </c>
      <c r="X1032" s="94" t="s">
        <v>210</v>
      </c>
      <c r="Y1032" s="94">
        <v>8</v>
      </c>
      <c r="Z1032" s="94" t="s">
        <v>210</v>
      </c>
      <c r="AA1032" s="94" t="s">
        <v>210</v>
      </c>
      <c r="AB1032" s="94">
        <v>3</v>
      </c>
      <c r="AC1032" s="94">
        <v>-2</v>
      </c>
      <c r="AD1032" s="94" t="s">
        <v>210</v>
      </c>
      <c r="AE1032" s="94"/>
      <c r="AF1032" s="94"/>
      <c r="AG1032" s="94"/>
      <c r="AH1032" s="94"/>
      <c r="AI1032" s="94"/>
      <c r="AJ1032" s="94"/>
      <c r="AK1032" s="94"/>
      <c r="AL1032" s="94"/>
      <c r="AM1032" s="94"/>
      <c r="AN1032" s="94"/>
      <c r="AO1032" s="94"/>
      <c r="AP1032" s="94"/>
      <c r="AQ1032" s="94"/>
      <c r="AR1032" s="94"/>
      <c r="AS1032" s="94"/>
      <c r="AT1032" s="94"/>
      <c r="AU1032" s="94"/>
      <c r="AV1032" s="94"/>
      <c r="AW1032" s="94"/>
      <c r="AX1032" s="94"/>
      <c r="AY1032" s="94"/>
      <c r="AZ1032" s="94"/>
      <c r="BA1032" s="95"/>
    </row>
    <row r="1033" spans="1:53" s="87" customFormat="1">
      <c r="A1033" s="90" t="str">
        <f t="shared" si="40"/>
        <v/>
      </c>
      <c r="B1033" s="98">
        <v>19</v>
      </c>
      <c r="C1033" s="94" t="s">
        <v>210</v>
      </c>
      <c r="D1033" s="94">
        <v>-5</v>
      </c>
      <c r="E1033" s="94">
        <v>2</v>
      </c>
      <c r="F1033" s="94" t="s">
        <v>210</v>
      </c>
      <c r="G1033" s="94">
        <v>4</v>
      </c>
      <c r="H1033" s="94" t="s">
        <v>210</v>
      </c>
      <c r="I1033" s="94" t="s">
        <v>210</v>
      </c>
      <c r="J1033" s="94">
        <v>-3</v>
      </c>
      <c r="K1033" s="94">
        <v>7</v>
      </c>
      <c r="L1033" s="94" t="s">
        <v>210</v>
      </c>
      <c r="M1033" s="94">
        <v>5</v>
      </c>
      <c r="N1033" s="94" t="s">
        <v>210</v>
      </c>
      <c r="O1033" s="94" t="s">
        <v>210</v>
      </c>
      <c r="P1033" s="94">
        <v>-6</v>
      </c>
      <c r="Q1033" s="94" t="s">
        <v>210</v>
      </c>
      <c r="R1033" s="94">
        <v>-8</v>
      </c>
      <c r="S1033" s="94">
        <v>3</v>
      </c>
      <c r="T1033" s="94" t="s">
        <v>210</v>
      </c>
      <c r="U1033" s="94" t="s">
        <v>210</v>
      </c>
      <c r="V1033" s="94">
        <v>-2</v>
      </c>
      <c r="W1033" s="94">
        <v>-1</v>
      </c>
      <c r="X1033" s="94" t="s">
        <v>210</v>
      </c>
      <c r="Y1033" s="94">
        <v>6</v>
      </c>
      <c r="Z1033" s="94" t="s">
        <v>210</v>
      </c>
      <c r="AA1033" s="94">
        <v>8</v>
      </c>
      <c r="AB1033" s="94" t="s">
        <v>210</v>
      </c>
      <c r="AC1033" s="94" t="s">
        <v>210</v>
      </c>
      <c r="AD1033" s="94">
        <v>-4</v>
      </c>
      <c r="AE1033" s="94"/>
      <c r="AF1033" s="94"/>
      <c r="AG1033" s="94"/>
      <c r="AH1033" s="94"/>
      <c r="AI1033" s="94"/>
      <c r="AJ1033" s="94"/>
      <c r="AK1033" s="94"/>
      <c r="AL1033" s="94"/>
      <c r="AM1033" s="94"/>
      <c r="AN1033" s="94"/>
      <c r="AO1033" s="94"/>
      <c r="AP1033" s="94"/>
      <c r="AQ1033" s="94"/>
      <c r="AR1033" s="94"/>
      <c r="AS1033" s="94"/>
      <c r="AT1033" s="94"/>
      <c r="AU1033" s="94"/>
      <c r="AV1033" s="94"/>
      <c r="AW1033" s="94"/>
      <c r="AX1033" s="94"/>
      <c r="AY1033" s="94"/>
      <c r="AZ1033" s="94"/>
      <c r="BA1033" s="95"/>
    </row>
    <row r="1034" spans="1:53" s="87" customFormat="1">
      <c r="A1034" s="90" t="str">
        <f t="shared" si="40"/>
        <v/>
      </c>
      <c r="B1034" s="98">
        <v>20</v>
      </c>
      <c r="C1034" s="94" t="s">
        <v>210</v>
      </c>
      <c r="D1034" s="94">
        <v>-7</v>
      </c>
      <c r="E1034" s="94" t="s">
        <v>210</v>
      </c>
      <c r="F1034" s="94">
        <v>4</v>
      </c>
      <c r="G1034" s="94">
        <v>2</v>
      </c>
      <c r="H1034" s="94" t="s">
        <v>210</v>
      </c>
      <c r="I1034" s="94">
        <v>-8</v>
      </c>
      <c r="J1034" s="94" t="s">
        <v>210</v>
      </c>
      <c r="K1034" s="94" t="s">
        <v>210</v>
      </c>
      <c r="L1034" s="94">
        <v>5</v>
      </c>
      <c r="M1034" s="94">
        <v>7</v>
      </c>
      <c r="N1034" s="94" t="s">
        <v>210</v>
      </c>
      <c r="O1034" s="94">
        <v>-4</v>
      </c>
      <c r="P1034" s="94" t="s">
        <v>210</v>
      </c>
      <c r="Q1034" s="94" t="s">
        <v>210</v>
      </c>
      <c r="R1034" s="94">
        <v>-6</v>
      </c>
      <c r="S1034" s="94">
        <v>1</v>
      </c>
      <c r="T1034" s="94" t="s">
        <v>210</v>
      </c>
      <c r="U1034" s="94">
        <v>-5</v>
      </c>
      <c r="V1034" s="94" t="s">
        <v>210</v>
      </c>
      <c r="W1034" s="94" t="s">
        <v>210</v>
      </c>
      <c r="X1034" s="94">
        <v>-3</v>
      </c>
      <c r="Y1034" s="94" t="s">
        <v>210</v>
      </c>
      <c r="Z1034" s="94">
        <v>8</v>
      </c>
      <c r="AA1034" s="94">
        <v>6</v>
      </c>
      <c r="AB1034" s="94" t="s">
        <v>210</v>
      </c>
      <c r="AC1034" s="94" t="s">
        <v>210</v>
      </c>
      <c r="AD1034" s="94">
        <v>-2</v>
      </c>
      <c r="AE1034" s="94"/>
      <c r="AF1034" s="94"/>
      <c r="AG1034" s="94"/>
      <c r="AH1034" s="94"/>
      <c r="AI1034" s="94"/>
      <c r="AJ1034" s="94"/>
      <c r="AK1034" s="94"/>
      <c r="AL1034" s="94"/>
      <c r="AM1034" s="94"/>
      <c r="AN1034" s="94"/>
      <c r="AO1034" s="94"/>
      <c r="AP1034" s="94"/>
      <c r="AQ1034" s="94"/>
      <c r="AR1034" s="94"/>
      <c r="AS1034" s="94"/>
      <c r="AT1034" s="94"/>
      <c r="AU1034" s="94"/>
      <c r="AV1034" s="94"/>
      <c r="AW1034" s="94"/>
      <c r="AX1034" s="94"/>
      <c r="AY1034" s="94"/>
      <c r="AZ1034" s="94"/>
      <c r="BA1034" s="95"/>
    </row>
    <row r="1035" spans="1:53" s="87" customFormat="1">
      <c r="A1035" s="90" t="str">
        <f t="shared" si="40"/>
        <v/>
      </c>
      <c r="B1035" s="98">
        <v>21</v>
      </c>
      <c r="C1035" s="94">
        <v>-2</v>
      </c>
      <c r="D1035" s="94" t="s">
        <v>210</v>
      </c>
      <c r="E1035" s="94">
        <v>8</v>
      </c>
      <c r="F1035" s="94" t="s">
        <v>210</v>
      </c>
      <c r="G1035" s="94" t="s">
        <v>210</v>
      </c>
      <c r="H1035" s="94">
        <v>3</v>
      </c>
      <c r="I1035" s="94">
        <v>-7</v>
      </c>
      <c r="J1035" s="94" t="s">
        <v>210</v>
      </c>
      <c r="K1035" s="94">
        <v>4</v>
      </c>
      <c r="L1035" s="94" t="s">
        <v>210</v>
      </c>
      <c r="M1035" s="94" t="s">
        <v>210</v>
      </c>
      <c r="N1035" s="94">
        <v>6</v>
      </c>
      <c r="O1035" s="94">
        <v>-1</v>
      </c>
      <c r="P1035" s="94" t="s">
        <v>210</v>
      </c>
      <c r="Q1035" s="94">
        <v>-3</v>
      </c>
      <c r="R1035" s="94" t="s">
        <v>210</v>
      </c>
      <c r="S1035" s="94" t="s">
        <v>210</v>
      </c>
      <c r="T1035" s="94">
        <v>2</v>
      </c>
      <c r="U1035" s="94" t="s">
        <v>210</v>
      </c>
      <c r="V1035" s="94">
        <v>-8</v>
      </c>
      <c r="W1035" s="94">
        <v>-5</v>
      </c>
      <c r="X1035" s="94" t="s">
        <v>210</v>
      </c>
      <c r="Y1035" s="94" t="s">
        <v>210</v>
      </c>
      <c r="Z1035" s="94">
        <v>7</v>
      </c>
      <c r="AA1035" s="94" t="s">
        <v>210</v>
      </c>
      <c r="AB1035" s="94">
        <v>5</v>
      </c>
      <c r="AC1035" s="94">
        <v>-6</v>
      </c>
      <c r="AD1035" s="94" t="s">
        <v>210</v>
      </c>
      <c r="AE1035" s="94"/>
      <c r="AF1035" s="94"/>
      <c r="AG1035" s="94"/>
      <c r="AH1035" s="94"/>
      <c r="AI1035" s="94"/>
      <c r="AJ1035" s="94"/>
      <c r="AK1035" s="94"/>
      <c r="AL1035" s="94"/>
      <c r="AM1035" s="94"/>
      <c r="AN1035" s="94"/>
      <c r="AO1035" s="94"/>
      <c r="AP1035" s="94"/>
      <c r="AQ1035" s="94"/>
      <c r="AR1035" s="94"/>
      <c r="AS1035" s="94"/>
      <c r="AT1035" s="94"/>
      <c r="AU1035" s="94"/>
      <c r="AV1035" s="94"/>
      <c r="AW1035" s="94"/>
      <c r="AX1035" s="94"/>
      <c r="AY1035" s="94"/>
      <c r="AZ1035" s="94"/>
      <c r="BA1035" s="95"/>
    </row>
    <row r="1036" spans="1:53" s="87" customFormat="1">
      <c r="A1036" s="90" t="str">
        <f t="shared" ref="A1036:A1099" si="41">IF(MID(B1036,3,2)="08",ROW(),"")</f>
        <v/>
      </c>
      <c r="B1036" s="98">
        <v>22</v>
      </c>
      <c r="C1036" s="94" t="s">
        <v>210</v>
      </c>
      <c r="D1036" s="94">
        <v>-4</v>
      </c>
      <c r="E1036" s="94">
        <v>6</v>
      </c>
      <c r="F1036" s="94" t="s">
        <v>210</v>
      </c>
      <c r="G1036" s="94">
        <v>8</v>
      </c>
      <c r="H1036" s="94" t="s">
        <v>210</v>
      </c>
      <c r="I1036" s="94" t="s">
        <v>210</v>
      </c>
      <c r="J1036" s="94">
        <v>-5</v>
      </c>
      <c r="K1036" s="94">
        <v>2</v>
      </c>
      <c r="L1036" s="94" t="s">
        <v>210</v>
      </c>
      <c r="M1036" s="94">
        <v>4</v>
      </c>
      <c r="N1036" s="94" t="s">
        <v>210</v>
      </c>
      <c r="O1036" s="94" t="s">
        <v>210</v>
      </c>
      <c r="P1036" s="94">
        <v>-3</v>
      </c>
      <c r="Q1036" s="94">
        <v>-1</v>
      </c>
      <c r="R1036" s="94" t="s">
        <v>210</v>
      </c>
      <c r="S1036" s="94">
        <v>5</v>
      </c>
      <c r="T1036" s="94" t="s">
        <v>210</v>
      </c>
      <c r="U1036" s="94" t="s">
        <v>210</v>
      </c>
      <c r="V1036" s="94">
        <v>-6</v>
      </c>
      <c r="W1036" s="94">
        <v>-7</v>
      </c>
      <c r="X1036" s="94" t="s">
        <v>210</v>
      </c>
      <c r="Y1036" s="94">
        <v>3</v>
      </c>
      <c r="Z1036" s="94" t="s">
        <v>210</v>
      </c>
      <c r="AA1036" s="94" t="s">
        <v>210</v>
      </c>
      <c r="AB1036" s="94">
        <v>7</v>
      </c>
      <c r="AC1036" s="94" t="s">
        <v>210</v>
      </c>
      <c r="AD1036" s="94">
        <v>-8</v>
      </c>
      <c r="AE1036" s="94"/>
      <c r="AF1036" s="94"/>
      <c r="AG1036" s="94"/>
      <c r="AH1036" s="94"/>
      <c r="AI1036" s="94"/>
      <c r="AJ1036" s="94"/>
      <c r="AK1036" s="94"/>
      <c r="AL1036" s="94"/>
      <c r="AM1036" s="94"/>
      <c r="AN1036" s="94"/>
      <c r="AO1036" s="94"/>
      <c r="AP1036" s="94"/>
      <c r="AQ1036" s="94"/>
      <c r="AR1036" s="94"/>
      <c r="AS1036" s="94"/>
      <c r="AT1036" s="94"/>
      <c r="AU1036" s="94"/>
      <c r="AV1036" s="94"/>
      <c r="AW1036" s="94"/>
      <c r="AX1036" s="94"/>
      <c r="AY1036" s="94"/>
      <c r="AZ1036" s="94"/>
      <c r="BA1036" s="95"/>
    </row>
    <row r="1037" spans="1:53" s="87" customFormat="1">
      <c r="A1037" s="90" t="str">
        <f t="shared" si="41"/>
        <v/>
      </c>
      <c r="B1037" s="98">
        <v>23</v>
      </c>
      <c r="C1037" s="94">
        <v>-4</v>
      </c>
      <c r="D1037" s="94" t="s">
        <v>210</v>
      </c>
      <c r="E1037" s="94" t="s">
        <v>210</v>
      </c>
      <c r="F1037" s="94">
        <v>3</v>
      </c>
      <c r="G1037" s="94">
        <v>1</v>
      </c>
      <c r="H1037" s="94" t="s">
        <v>210</v>
      </c>
      <c r="I1037" s="94">
        <v>-5</v>
      </c>
      <c r="J1037" s="94" t="s">
        <v>210</v>
      </c>
      <c r="K1037" s="94" t="s">
        <v>210</v>
      </c>
      <c r="L1037" s="94">
        <v>6</v>
      </c>
      <c r="M1037" s="94" t="s">
        <v>210</v>
      </c>
      <c r="N1037" s="94">
        <v>8</v>
      </c>
      <c r="O1037" s="94">
        <v>-3</v>
      </c>
      <c r="P1037" s="94" t="s">
        <v>210</v>
      </c>
      <c r="Q1037" s="94" t="s">
        <v>210</v>
      </c>
      <c r="R1037" s="94">
        <v>-7</v>
      </c>
      <c r="S1037" s="94" t="s">
        <v>210</v>
      </c>
      <c r="T1037" s="94">
        <v>4</v>
      </c>
      <c r="U1037" s="94">
        <v>-6</v>
      </c>
      <c r="V1037" s="94" t="s">
        <v>210</v>
      </c>
      <c r="W1037" s="94" t="s">
        <v>210</v>
      </c>
      <c r="X1037" s="94">
        <v>-2</v>
      </c>
      <c r="Y1037" s="94" t="s">
        <v>210</v>
      </c>
      <c r="Z1037" s="94">
        <v>5</v>
      </c>
      <c r="AA1037" s="94">
        <v>7</v>
      </c>
      <c r="AB1037" s="94" t="s">
        <v>210</v>
      </c>
      <c r="AC1037" s="94">
        <v>-8</v>
      </c>
      <c r="AD1037" s="94" t="s">
        <v>210</v>
      </c>
      <c r="AE1037" s="94"/>
      <c r="AF1037" s="94"/>
      <c r="AG1037" s="94"/>
      <c r="AH1037" s="94"/>
      <c r="AI1037" s="94"/>
      <c r="AJ1037" s="94"/>
      <c r="AK1037" s="94"/>
      <c r="AL1037" s="94"/>
      <c r="AM1037" s="94"/>
      <c r="AN1037" s="94"/>
      <c r="AO1037" s="94"/>
      <c r="AP1037" s="94"/>
      <c r="AQ1037" s="94"/>
      <c r="AR1037" s="94"/>
      <c r="AS1037" s="94"/>
      <c r="AT1037" s="94"/>
      <c r="AU1037" s="94"/>
      <c r="AV1037" s="94"/>
      <c r="AW1037" s="94"/>
      <c r="AX1037" s="94"/>
      <c r="AY1037" s="94"/>
      <c r="AZ1037" s="94"/>
      <c r="BA1037" s="95"/>
    </row>
    <row r="1038" spans="1:53" s="87" customFormat="1">
      <c r="A1038" s="90" t="str">
        <f t="shared" si="41"/>
        <v/>
      </c>
      <c r="B1038" s="98">
        <v>24</v>
      </c>
      <c r="C1038" s="94">
        <v>-5</v>
      </c>
      <c r="D1038" s="94" t="s">
        <v>210</v>
      </c>
      <c r="E1038" s="94" t="s">
        <v>210</v>
      </c>
      <c r="F1038" s="94">
        <v>6</v>
      </c>
      <c r="G1038" s="94" t="s">
        <v>210</v>
      </c>
      <c r="H1038" s="94">
        <v>8</v>
      </c>
      <c r="I1038" s="94">
        <v>-3</v>
      </c>
      <c r="J1038" s="94" t="s">
        <v>210</v>
      </c>
      <c r="K1038" s="94" t="s">
        <v>210</v>
      </c>
      <c r="L1038" s="94">
        <v>2</v>
      </c>
      <c r="M1038" s="94" t="s">
        <v>210</v>
      </c>
      <c r="N1038" s="94">
        <v>4</v>
      </c>
      <c r="O1038" s="94">
        <v>-6</v>
      </c>
      <c r="P1038" s="94" t="s">
        <v>210</v>
      </c>
      <c r="Q1038" s="94">
        <v>-8</v>
      </c>
      <c r="R1038" s="94" t="s">
        <v>210</v>
      </c>
      <c r="S1038" s="94" t="s">
        <v>210</v>
      </c>
      <c r="T1038" s="94">
        <v>5</v>
      </c>
      <c r="U1038" s="94">
        <v>-2</v>
      </c>
      <c r="V1038" s="94" t="s">
        <v>210</v>
      </c>
      <c r="W1038" s="94" t="s">
        <v>210</v>
      </c>
      <c r="X1038" s="94">
        <v>-7</v>
      </c>
      <c r="Y1038" s="94" t="s">
        <v>210</v>
      </c>
      <c r="Z1038" s="94">
        <v>3</v>
      </c>
      <c r="AA1038" s="94">
        <v>1</v>
      </c>
      <c r="AB1038" s="94" t="s">
        <v>210</v>
      </c>
      <c r="AC1038" s="94">
        <v>-4</v>
      </c>
      <c r="AD1038" s="94" t="s">
        <v>210</v>
      </c>
      <c r="AE1038" s="94"/>
      <c r="AF1038" s="94"/>
      <c r="AG1038" s="94"/>
      <c r="AH1038" s="94"/>
      <c r="AI1038" s="94"/>
      <c r="AJ1038" s="94"/>
      <c r="AK1038" s="94"/>
      <c r="AL1038" s="94"/>
      <c r="AM1038" s="94"/>
      <c r="AN1038" s="94"/>
      <c r="AO1038" s="94"/>
      <c r="AP1038" s="94"/>
      <c r="AQ1038" s="94"/>
      <c r="AR1038" s="94"/>
      <c r="AS1038" s="94"/>
      <c r="AT1038" s="94"/>
      <c r="AU1038" s="94"/>
      <c r="AV1038" s="94"/>
      <c r="AW1038" s="94"/>
      <c r="AX1038" s="94"/>
      <c r="AY1038" s="94"/>
      <c r="AZ1038" s="94"/>
      <c r="BA1038" s="95"/>
    </row>
    <row r="1039" spans="1:53" s="87" customFormat="1">
      <c r="A1039" s="90" t="str">
        <f t="shared" si="41"/>
        <v/>
      </c>
      <c r="B1039" s="98">
        <v>25</v>
      </c>
      <c r="C1039" s="94" t="s">
        <v>210</v>
      </c>
      <c r="D1039" s="94">
        <v>-6</v>
      </c>
      <c r="E1039" s="94">
        <v>1</v>
      </c>
      <c r="F1039" s="94" t="s">
        <v>210</v>
      </c>
      <c r="G1039" s="94">
        <v>3</v>
      </c>
      <c r="H1039" s="94" t="s">
        <v>210</v>
      </c>
      <c r="I1039" s="94" t="s">
        <v>210</v>
      </c>
      <c r="J1039" s="94">
        <v>-2</v>
      </c>
      <c r="K1039" s="94" t="s">
        <v>210</v>
      </c>
      <c r="L1039" s="94">
        <v>-8</v>
      </c>
      <c r="M1039" s="94">
        <v>6</v>
      </c>
      <c r="N1039" s="94" t="s">
        <v>210</v>
      </c>
      <c r="O1039" s="94" t="s">
        <v>210</v>
      </c>
      <c r="P1039" s="94">
        <v>-7</v>
      </c>
      <c r="Q1039" s="94" t="s">
        <v>210</v>
      </c>
      <c r="R1039" s="94">
        <v>-5</v>
      </c>
      <c r="S1039" s="94">
        <v>2</v>
      </c>
      <c r="T1039" s="94" t="s">
        <v>210</v>
      </c>
      <c r="U1039" s="94">
        <v>-8</v>
      </c>
      <c r="V1039" s="94" t="s">
        <v>210</v>
      </c>
      <c r="W1039" s="94" t="s">
        <v>210</v>
      </c>
      <c r="X1039" s="94">
        <v>-4</v>
      </c>
      <c r="Y1039" s="94">
        <v>7</v>
      </c>
      <c r="Z1039" s="94" t="s">
        <v>210</v>
      </c>
      <c r="AA1039" s="94">
        <v>5</v>
      </c>
      <c r="AB1039" s="94" t="s">
        <v>210</v>
      </c>
      <c r="AC1039" s="94" t="s">
        <v>210</v>
      </c>
      <c r="AD1039" s="94">
        <v>-3</v>
      </c>
      <c r="AE1039" s="94"/>
      <c r="AF1039" s="94"/>
      <c r="AG1039" s="94"/>
      <c r="AH1039" s="94"/>
      <c r="AI1039" s="94"/>
      <c r="AJ1039" s="94"/>
      <c r="AK1039" s="94"/>
      <c r="AL1039" s="94"/>
      <c r="AM1039" s="94"/>
      <c r="AN1039" s="94"/>
      <c r="AO1039" s="94"/>
      <c r="AP1039" s="94"/>
      <c r="AQ1039" s="94"/>
      <c r="AR1039" s="94"/>
      <c r="AS1039" s="94"/>
      <c r="AT1039" s="94"/>
      <c r="AU1039" s="94"/>
      <c r="AV1039" s="94"/>
      <c r="AW1039" s="94"/>
      <c r="AX1039" s="94"/>
      <c r="AY1039" s="94"/>
      <c r="AZ1039" s="94"/>
      <c r="BA1039" s="95"/>
    </row>
    <row r="1040" spans="1:53" s="87" customFormat="1">
      <c r="A1040" s="90" t="str">
        <f t="shared" si="41"/>
        <v/>
      </c>
      <c r="B1040" s="98">
        <v>26</v>
      </c>
      <c r="C1040" s="94">
        <v>-8</v>
      </c>
      <c r="D1040" s="94" t="s">
        <v>210</v>
      </c>
      <c r="E1040" s="94" t="s">
        <v>210</v>
      </c>
      <c r="F1040" s="94">
        <v>5</v>
      </c>
      <c r="G1040" s="94">
        <v>7</v>
      </c>
      <c r="H1040" s="94" t="s">
        <v>210</v>
      </c>
      <c r="I1040" s="94">
        <v>-4</v>
      </c>
      <c r="J1040" s="94" t="s">
        <v>210</v>
      </c>
      <c r="K1040" s="94" t="s">
        <v>210</v>
      </c>
      <c r="L1040" s="94">
        <v>3</v>
      </c>
      <c r="M1040" s="94">
        <v>1</v>
      </c>
      <c r="N1040" s="94" t="s">
        <v>210</v>
      </c>
      <c r="O1040" s="94">
        <v>-5</v>
      </c>
      <c r="P1040" s="94" t="s">
        <v>210</v>
      </c>
      <c r="Q1040" s="94" t="s">
        <v>210</v>
      </c>
      <c r="R1040" s="94">
        <v>-2</v>
      </c>
      <c r="S1040" s="94" t="s">
        <v>210</v>
      </c>
      <c r="T1040" s="94">
        <v>8</v>
      </c>
      <c r="U1040" s="94">
        <v>-3</v>
      </c>
      <c r="V1040" s="94" t="s">
        <v>210</v>
      </c>
      <c r="W1040" s="94" t="s">
        <v>210</v>
      </c>
      <c r="X1040" s="94">
        <v>-6</v>
      </c>
      <c r="Y1040" s="94" t="s">
        <v>210</v>
      </c>
      <c r="Z1040" s="94">
        <v>4</v>
      </c>
      <c r="AA1040" s="94">
        <v>2</v>
      </c>
      <c r="AB1040" s="94" t="s">
        <v>210</v>
      </c>
      <c r="AC1040" s="94" t="s">
        <v>210</v>
      </c>
      <c r="AD1040" s="94">
        <v>-7</v>
      </c>
      <c r="AE1040" s="94"/>
      <c r="AF1040" s="94"/>
      <c r="AG1040" s="94"/>
      <c r="AH1040" s="94"/>
      <c r="AI1040" s="94"/>
      <c r="AJ1040" s="94"/>
      <c r="AK1040" s="94"/>
      <c r="AL1040" s="94"/>
      <c r="AM1040" s="94"/>
      <c r="AN1040" s="94"/>
      <c r="AO1040" s="94"/>
      <c r="AP1040" s="94"/>
      <c r="AQ1040" s="94"/>
      <c r="AR1040" s="94"/>
      <c r="AS1040" s="94"/>
      <c r="AT1040" s="94"/>
      <c r="AU1040" s="94"/>
      <c r="AV1040" s="94"/>
      <c r="AW1040" s="94"/>
      <c r="AX1040" s="94"/>
      <c r="AY1040" s="94"/>
      <c r="AZ1040" s="94"/>
      <c r="BA1040" s="95"/>
    </row>
    <row r="1041" spans="1:53" s="87" customFormat="1">
      <c r="A1041" s="90" t="str">
        <f t="shared" si="41"/>
        <v/>
      </c>
      <c r="B1041" s="98">
        <v>27</v>
      </c>
      <c r="C1041" s="94" t="s">
        <v>210</v>
      </c>
      <c r="D1041" s="94">
        <v>-8</v>
      </c>
      <c r="E1041" s="94">
        <v>3</v>
      </c>
      <c r="F1041" s="94" t="s">
        <v>210</v>
      </c>
      <c r="G1041" s="94" t="s">
        <v>210</v>
      </c>
      <c r="H1041" s="94">
        <v>7</v>
      </c>
      <c r="I1041" s="94" t="s">
        <v>210</v>
      </c>
      <c r="J1041" s="94">
        <v>-4</v>
      </c>
      <c r="K1041" s="94">
        <v>6</v>
      </c>
      <c r="L1041" s="94" t="s">
        <v>210</v>
      </c>
      <c r="M1041" s="94">
        <v>8</v>
      </c>
      <c r="N1041" s="94" t="s">
        <v>210</v>
      </c>
      <c r="O1041" s="94" t="s">
        <v>210</v>
      </c>
      <c r="P1041" s="94">
        <v>-5</v>
      </c>
      <c r="Q1041" s="94">
        <v>-7</v>
      </c>
      <c r="R1041" s="94" t="s">
        <v>210</v>
      </c>
      <c r="S1041" s="94">
        <v>4</v>
      </c>
      <c r="T1041" s="94" t="s">
        <v>210</v>
      </c>
      <c r="U1041" s="94" t="s">
        <v>210</v>
      </c>
      <c r="V1041" s="94">
        <v>-3</v>
      </c>
      <c r="W1041" s="94">
        <v>-2</v>
      </c>
      <c r="X1041" s="94" t="s">
        <v>210</v>
      </c>
      <c r="Y1041" s="94">
        <v>5</v>
      </c>
      <c r="Z1041" s="94" t="s">
        <v>210</v>
      </c>
      <c r="AA1041" s="94" t="s">
        <v>210</v>
      </c>
      <c r="AB1041" s="94">
        <v>2</v>
      </c>
      <c r="AC1041" s="94">
        <v>-1</v>
      </c>
      <c r="AD1041" s="94" t="s">
        <v>210</v>
      </c>
      <c r="AE1041" s="94"/>
      <c r="AF1041" s="94"/>
      <c r="AG1041" s="94"/>
      <c r="AH1041" s="94"/>
      <c r="AI1041" s="94"/>
      <c r="AJ1041" s="94"/>
      <c r="AK1041" s="94"/>
      <c r="AL1041" s="94"/>
      <c r="AM1041" s="94"/>
      <c r="AN1041" s="94"/>
      <c r="AO1041" s="94"/>
      <c r="AP1041" s="94"/>
      <c r="AQ1041" s="94"/>
      <c r="AR1041" s="94"/>
      <c r="AS1041" s="94"/>
      <c r="AT1041" s="94"/>
      <c r="AU1041" s="94"/>
      <c r="AV1041" s="94"/>
      <c r="AW1041" s="94"/>
      <c r="AX1041" s="94"/>
      <c r="AY1041" s="94"/>
      <c r="AZ1041" s="94"/>
      <c r="BA1041" s="95"/>
    </row>
    <row r="1042" spans="1:53" s="87" customFormat="1">
      <c r="A1042" s="90" t="str">
        <f t="shared" si="41"/>
        <v/>
      </c>
      <c r="B1042" s="98">
        <v>28</v>
      </c>
      <c r="C1042" s="94">
        <v>-1</v>
      </c>
      <c r="D1042" s="94" t="s">
        <v>210</v>
      </c>
      <c r="E1042" s="94">
        <v>5</v>
      </c>
      <c r="F1042" s="94" t="s">
        <v>210</v>
      </c>
      <c r="G1042" s="94" t="s">
        <v>210</v>
      </c>
      <c r="H1042" s="94">
        <v>2</v>
      </c>
      <c r="I1042" s="94" t="s">
        <v>210</v>
      </c>
      <c r="J1042" s="94">
        <v>-8</v>
      </c>
      <c r="K1042" s="94">
        <v>3</v>
      </c>
      <c r="L1042" s="94" t="s">
        <v>210</v>
      </c>
      <c r="M1042" s="94" t="s">
        <v>210</v>
      </c>
      <c r="N1042" s="94">
        <v>7</v>
      </c>
      <c r="O1042" s="94" t="s">
        <v>210</v>
      </c>
      <c r="P1042" s="94">
        <v>-4</v>
      </c>
      <c r="Q1042" s="94">
        <v>-2</v>
      </c>
      <c r="R1042" s="94" t="s">
        <v>210</v>
      </c>
      <c r="S1042" s="94">
        <v>8</v>
      </c>
      <c r="T1042" s="94" t="s">
        <v>210</v>
      </c>
      <c r="U1042" s="94" t="s">
        <v>210</v>
      </c>
      <c r="V1042" s="94">
        <v>-5</v>
      </c>
      <c r="W1042" s="94">
        <v>-6</v>
      </c>
      <c r="X1042" s="94" t="s">
        <v>210</v>
      </c>
      <c r="Y1042" s="94">
        <v>4</v>
      </c>
      <c r="Z1042" s="94" t="s">
        <v>210</v>
      </c>
      <c r="AA1042" s="94" t="s">
        <v>210</v>
      </c>
      <c r="AB1042" s="94">
        <v>6</v>
      </c>
      <c r="AC1042" s="94">
        <v>-7</v>
      </c>
      <c r="AD1042" s="94" t="s">
        <v>210</v>
      </c>
      <c r="AE1042" s="94"/>
      <c r="AF1042" s="94"/>
      <c r="AG1042" s="94"/>
      <c r="AH1042" s="94"/>
      <c r="AI1042" s="94"/>
      <c r="AJ1042" s="94"/>
      <c r="AK1042" s="94"/>
      <c r="AL1042" s="94"/>
      <c r="AM1042" s="94"/>
      <c r="AN1042" s="94"/>
      <c r="AO1042" s="94"/>
      <c r="AP1042" s="94"/>
      <c r="AQ1042" s="94"/>
      <c r="AR1042" s="94"/>
      <c r="AS1042" s="94"/>
      <c r="AT1042" s="94"/>
      <c r="AU1042" s="94"/>
      <c r="AV1042" s="94"/>
      <c r="AW1042" s="94"/>
      <c r="AX1042" s="94"/>
      <c r="AY1042" s="94"/>
      <c r="AZ1042" s="94"/>
      <c r="BA1042" s="95"/>
    </row>
    <row r="1043" spans="1:53" s="87" customFormat="1">
      <c r="A1043" s="90" t="str">
        <f t="shared" si="41"/>
        <v/>
      </c>
      <c r="B1043" s="98">
        <v>29</v>
      </c>
      <c r="C1043" s="94">
        <v>-6</v>
      </c>
      <c r="D1043" s="94" t="s">
        <v>210</v>
      </c>
      <c r="E1043" s="94" t="s">
        <v>210</v>
      </c>
      <c r="F1043" s="94">
        <v>7</v>
      </c>
      <c r="G1043" s="94" t="s">
        <v>210</v>
      </c>
      <c r="H1043" s="94">
        <v>5</v>
      </c>
      <c r="I1043" s="94">
        <v>-2</v>
      </c>
      <c r="J1043" s="94" t="s">
        <v>210</v>
      </c>
      <c r="K1043" s="94">
        <v>-8</v>
      </c>
      <c r="L1043" s="94" t="s">
        <v>210</v>
      </c>
      <c r="M1043" s="94" t="s">
        <v>210</v>
      </c>
      <c r="N1043" s="94">
        <v>3</v>
      </c>
      <c r="O1043" s="94">
        <v>-7</v>
      </c>
      <c r="P1043" s="94" t="s">
        <v>210</v>
      </c>
      <c r="Q1043" s="94">
        <v>-5</v>
      </c>
      <c r="R1043" s="94" t="s">
        <v>210</v>
      </c>
      <c r="S1043" s="94" t="s">
        <v>210</v>
      </c>
      <c r="T1043" s="94">
        <v>6</v>
      </c>
      <c r="U1043" s="94">
        <v>-1</v>
      </c>
      <c r="V1043" s="94" t="s">
        <v>210</v>
      </c>
      <c r="W1043" s="94">
        <v>-4</v>
      </c>
      <c r="X1043" s="94" t="s">
        <v>210</v>
      </c>
      <c r="Y1043" s="94" t="s">
        <v>210</v>
      </c>
      <c r="Z1043" s="94">
        <v>2</v>
      </c>
      <c r="AA1043" s="94" t="s">
        <v>210</v>
      </c>
      <c r="AB1043" s="94">
        <v>4</v>
      </c>
      <c r="AC1043" s="94">
        <v>-3</v>
      </c>
      <c r="AD1043" s="94" t="s">
        <v>210</v>
      </c>
      <c r="AE1043" s="94"/>
      <c r="AF1043" s="94"/>
      <c r="AG1043" s="94"/>
      <c r="AH1043" s="94"/>
      <c r="AI1043" s="94"/>
      <c r="AJ1043" s="94"/>
      <c r="AK1043" s="94"/>
      <c r="AL1043" s="94"/>
      <c r="AM1043" s="94"/>
      <c r="AN1043" s="94"/>
      <c r="AO1043" s="94"/>
      <c r="AP1043" s="94"/>
      <c r="AQ1043" s="94"/>
      <c r="AR1043" s="94"/>
      <c r="AS1043" s="94"/>
      <c r="AT1043" s="94"/>
      <c r="AU1043" s="94"/>
      <c r="AV1043" s="94"/>
      <c r="AW1043" s="94"/>
      <c r="AX1043" s="94"/>
      <c r="AY1043" s="94"/>
      <c r="AZ1043" s="94"/>
      <c r="BA1043" s="95"/>
    </row>
    <row r="1044" spans="1:53" s="87" customFormat="1">
      <c r="A1044" s="90" t="str">
        <f t="shared" si="41"/>
        <v/>
      </c>
      <c r="B1044" s="98">
        <v>30</v>
      </c>
      <c r="C1044" s="94" t="s">
        <v>210</v>
      </c>
      <c r="D1044" s="94">
        <v>-3</v>
      </c>
      <c r="E1044" s="94">
        <v>7</v>
      </c>
      <c r="F1044" s="94" t="s">
        <v>210</v>
      </c>
      <c r="G1044" s="94">
        <v>5</v>
      </c>
      <c r="H1044" s="94" t="s">
        <v>210</v>
      </c>
      <c r="I1044" s="94" t="s">
        <v>210</v>
      </c>
      <c r="J1044" s="94">
        <v>-6</v>
      </c>
      <c r="K1044" s="94">
        <v>1</v>
      </c>
      <c r="L1044" s="94" t="s">
        <v>210</v>
      </c>
      <c r="M1044" s="94">
        <v>3</v>
      </c>
      <c r="N1044" s="94" t="s">
        <v>210</v>
      </c>
      <c r="O1044" s="94" t="s">
        <v>210</v>
      </c>
      <c r="P1044" s="94">
        <v>-2</v>
      </c>
      <c r="Q1044" s="94" t="s">
        <v>210</v>
      </c>
      <c r="R1044" s="94">
        <v>-4</v>
      </c>
      <c r="S1044" s="94">
        <v>6</v>
      </c>
      <c r="T1044" s="94" t="s">
        <v>210</v>
      </c>
      <c r="U1044" s="94" t="s">
        <v>210</v>
      </c>
      <c r="V1044" s="94">
        <v>-7</v>
      </c>
      <c r="W1044" s="94" t="s">
        <v>210</v>
      </c>
      <c r="X1044" s="94">
        <v>-8</v>
      </c>
      <c r="Y1044" s="94">
        <v>2</v>
      </c>
      <c r="Z1044" s="94" t="s">
        <v>210</v>
      </c>
      <c r="AA1044" s="94">
        <v>4</v>
      </c>
      <c r="AB1044" s="94" t="s">
        <v>210</v>
      </c>
      <c r="AC1044" s="94" t="s">
        <v>210</v>
      </c>
      <c r="AD1044" s="94">
        <v>-5</v>
      </c>
      <c r="AE1044" s="94"/>
      <c r="AF1044" s="94"/>
      <c r="AG1044" s="94"/>
      <c r="AH1044" s="94"/>
      <c r="AI1044" s="94"/>
      <c r="AJ1044" s="94"/>
      <c r="AK1044" s="94"/>
      <c r="AL1044" s="94"/>
      <c r="AM1044" s="94"/>
      <c r="AN1044" s="94"/>
      <c r="AO1044" s="94"/>
      <c r="AP1044" s="94"/>
      <c r="AQ1044" s="94"/>
      <c r="AR1044" s="94"/>
      <c r="AS1044" s="94"/>
      <c r="AT1044" s="94"/>
      <c r="AU1044" s="94"/>
      <c r="AV1044" s="94"/>
      <c r="AW1044" s="94"/>
      <c r="AX1044" s="94"/>
      <c r="AY1044" s="94"/>
      <c r="AZ1044" s="94"/>
      <c r="BA1044" s="95"/>
    </row>
    <row r="1045" spans="1:53" s="87" customFormat="1">
      <c r="A1045" s="90" t="str">
        <f t="shared" si="41"/>
        <v/>
      </c>
      <c r="B1045" s="317" t="s">
        <v>932</v>
      </c>
      <c r="C1045" s="94"/>
      <c r="D1045" s="94"/>
      <c r="E1045" s="94"/>
      <c r="F1045" s="94"/>
      <c r="G1045" s="94"/>
      <c r="H1045" s="94"/>
      <c r="I1045" s="94"/>
      <c r="J1045" s="94"/>
      <c r="K1045" s="94"/>
      <c r="L1045" s="94"/>
      <c r="M1045" s="94"/>
      <c r="N1045" s="94"/>
      <c r="O1045" s="94"/>
      <c r="P1045" s="94"/>
      <c r="Q1045" s="94"/>
      <c r="R1045" s="94"/>
      <c r="S1045" s="94"/>
      <c r="T1045" s="94"/>
      <c r="U1045" s="94"/>
      <c r="V1045" s="94"/>
      <c r="W1045" s="94"/>
      <c r="X1045" s="94"/>
      <c r="Y1045" s="94"/>
      <c r="Z1045" s="94"/>
      <c r="AA1045" s="94"/>
      <c r="AB1045" s="94"/>
      <c r="AC1045" s="94"/>
      <c r="AD1045" s="94"/>
      <c r="AE1045" s="94"/>
      <c r="AF1045" s="94"/>
      <c r="AG1045" s="94"/>
      <c r="AH1045" s="94"/>
      <c r="AI1045" s="94"/>
      <c r="AJ1045" s="94"/>
      <c r="AK1045" s="94"/>
      <c r="AL1045" s="94"/>
      <c r="AM1045" s="94"/>
      <c r="AN1045" s="94"/>
      <c r="AO1045" s="94"/>
      <c r="AP1045" s="94"/>
      <c r="AQ1045" s="94"/>
      <c r="AR1045" s="94"/>
      <c r="AS1045" s="94"/>
      <c r="AT1045" s="94"/>
      <c r="AU1045" s="94"/>
      <c r="AV1045" s="94"/>
      <c r="AW1045" s="94"/>
      <c r="AX1045" s="94"/>
      <c r="AY1045" s="94"/>
      <c r="AZ1045" s="94"/>
      <c r="BA1045" s="95"/>
    </row>
    <row r="1046" spans="1:53" s="87" customFormat="1">
      <c r="A1046" s="90" t="str">
        <f t="shared" si="41"/>
        <v/>
      </c>
      <c r="B1046" s="98"/>
      <c r="C1046" s="94"/>
      <c r="D1046" s="94"/>
      <c r="E1046" s="94"/>
      <c r="F1046" s="94"/>
      <c r="G1046" s="94"/>
      <c r="H1046" s="94"/>
      <c r="I1046" s="94"/>
      <c r="J1046" s="94"/>
      <c r="K1046" s="94"/>
      <c r="L1046" s="94"/>
      <c r="M1046" s="94"/>
      <c r="N1046" s="94"/>
      <c r="O1046" s="94"/>
      <c r="P1046" s="94"/>
      <c r="Q1046" s="94"/>
      <c r="R1046" s="94"/>
      <c r="S1046" s="94"/>
      <c r="T1046" s="94"/>
      <c r="U1046" s="94"/>
      <c r="V1046" s="94"/>
      <c r="W1046" s="94"/>
      <c r="X1046" s="94"/>
      <c r="Y1046" s="94"/>
      <c r="Z1046" s="94"/>
      <c r="AA1046" s="94"/>
      <c r="AB1046" s="94"/>
      <c r="AC1046" s="94"/>
      <c r="AD1046" s="94"/>
      <c r="AE1046" s="94"/>
      <c r="AF1046" s="94"/>
      <c r="AG1046" s="94"/>
      <c r="AH1046" s="94"/>
      <c r="AI1046" s="94"/>
      <c r="AJ1046" s="94"/>
      <c r="AK1046" s="94"/>
      <c r="AL1046" s="94"/>
      <c r="AM1046" s="94"/>
      <c r="AN1046" s="94"/>
      <c r="AO1046" s="94"/>
      <c r="AP1046" s="94"/>
      <c r="AQ1046" s="94"/>
      <c r="AR1046" s="94"/>
      <c r="AS1046" s="94"/>
      <c r="AT1046" s="94"/>
      <c r="AU1046" s="94"/>
      <c r="AV1046" s="94"/>
      <c r="AW1046" s="94"/>
      <c r="AX1046" s="94"/>
      <c r="AY1046" s="94"/>
      <c r="AZ1046" s="94"/>
      <c r="BA1046" s="95"/>
    </row>
    <row r="1047" spans="1:53" s="87" customFormat="1">
      <c r="A1047" s="90" t="str">
        <f t="shared" si="41"/>
        <v/>
      </c>
      <c r="B1047" s="98"/>
      <c r="C1047" s="94"/>
      <c r="D1047" s="94"/>
      <c r="E1047" s="94"/>
      <c r="F1047" s="94"/>
      <c r="G1047" s="94"/>
      <c r="H1047" s="94"/>
      <c r="I1047" s="94"/>
      <c r="J1047" s="94"/>
      <c r="K1047" s="94"/>
      <c r="L1047" s="94"/>
      <c r="M1047" s="94"/>
      <c r="N1047" s="94"/>
      <c r="O1047" s="94"/>
      <c r="P1047" s="94"/>
      <c r="Q1047" s="94"/>
      <c r="R1047" s="94"/>
      <c r="S1047" s="94"/>
      <c r="T1047" s="94"/>
      <c r="U1047" s="94"/>
      <c r="V1047" s="94"/>
      <c r="W1047" s="94"/>
      <c r="X1047" s="94"/>
      <c r="Y1047" s="94"/>
      <c r="Z1047" s="94"/>
      <c r="AA1047" s="94"/>
      <c r="AB1047" s="94"/>
      <c r="AC1047" s="94"/>
      <c r="AD1047" s="94"/>
      <c r="AE1047" s="94"/>
      <c r="AF1047" s="94"/>
      <c r="AG1047" s="94"/>
      <c r="AH1047" s="94"/>
      <c r="AI1047" s="94"/>
      <c r="AJ1047" s="94"/>
      <c r="AK1047" s="94"/>
      <c r="AL1047" s="94"/>
      <c r="AM1047" s="94"/>
      <c r="AN1047" s="94"/>
      <c r="AO1047" s="94"/>
      <c r="AP1047" s="94"/>
      <c r="AQ1047" s="94"/>
      <c r="AR1047" s="94"/>
      <c r="AS1047" s="94"/>
      <c r="AT1047" s="94"/>
      <c r="AU1047" s="94"/>
      <c r="AV1047" s="94"/>
      <c r="AW1047" s="94"/>
      <c r="AX1047" s="94"/>
      <c r="AY1047" s="94"/>
      <c r="AZ1047" s="94"/>
      <c r="BA1047" s="95"/>
    </row>
    <row r="1048" spans="1:53" s="87" customFormat="1">
      <c r="A1048" s="90" t="str">
        <f t="shared" si="41"/>
        <v/>
      </c>
      <c r="B1048" s="98"/>
      <c r="C1048" s="94"/>
      <c r="D1048" s="94"/>
      <c r="E1048" s="94"/>
      <c r="F1048" s="94"/>
      <c r="G1048" s="94"/>
      <c r="H1048" s="94"/>
      <c r="I1048" s="94"/>
      <c r="J1048" s="94"/>
      <c r="K1048" s="94"/>
      <c r="L1048" s="94"/>
      <c r="M1048" s="94"/>
      <c r="N1048" s="94"/>
      <c r="O1048" s="94"/>
      <c r="P1048" s="94"/>
      <c r="Q1048" s="94"/>
      <c r="R1048" s="94"/>
      <c r="S1048" s="94"/>
      <c r="T1048" s="94"/>
      <c r="U1048" s="94"/>
      <c r="V1048" s="94"/>
      <c r="W1048" s="94"/>
      <c r="X1048" s="94"/>
      <c r="Y1048" s="94"/>
      <c r="Z1048" s="94"/>
      <c r="AA1048" s="94"/>
      <c r="AB1048" s="94"/>
      <c r="AC1048" s="94"/>
      <c r="AD1048" s="94"/>
      <c r="AE1048" s="94"/>
      <c r="AF1048" s="94"/>
      <c r="AG1048" s="94"/>
      <c r="AH1048" s="94"/>
      <c r="AI1048" s="94"/>
      <c r="AJ1048" s="94"/>
      <c r="AK1048" s="94"/>
      <c r="AL1048" s="94"/>
      <c r="AM1048" s="94"/>
      <c r="AN1048" s="94"/>
      <c r="AO1048" s="94"/>
      <c r="AP1048" s="94"/>
      <c r="AQ1048" s="94"/>
      <c r="AR1048" s="94"/>
      <c r="AS1048" s="94"/>
      <c r="AT1048" s="94"/>
      <c r="AU1048" s="94"/>
      <c r="AV1048" s="94"/>
      <c r="AW1048" s="94"/>
      <c r="AX1048" s="94"/>
      <c r="AY1048" s="94"/>
      <c r="AZ1048" s="94"/>
      <c r="BA1048" s="95"/>
    </row>
    <row r="1049" spans="1:53" s="87" customFormat="1">
      <c r="A1049" s="90" t="str">
        <f t="shared" si="41"/>
        <v/>
      </c>
      <c r="B1049" s="98"/>
      <c r="C1049" s="94"/>
      <c r="D1049" s="94"/>
      <c r="E1049" s="94"/>
      <c r="F1049" s="94"/>
      <c r="G1049" s="94"/>
      <c r="H1049" s="94"/>
      <c r="I1049" s="94"/>
      <c r="J1049" s="94"/>
      <c r="K1049" s="94"/>
      <c r="L1049" s="94"/>
      <c r="M1049" s="94"/>
      <c r="N1049" s="94"/>
      <c r="O1049" s="94"/>
      <c r="P1049" s="94"/>
      <c r="Q1049" s="94"/>
      <c r="R1049" s="94"/>
      <c r="S1049" s="94"/>
      <c r="T1049" s="94"/>
      <c r="U1049" s="94"/>
      <c r="V1049" s="94"/>
      <c r="W1049" s="94"/>
      <c r="X1049" s="94"/>
      <c r="Y1049" s="94"/>
      <c r="Z1049" s="94"/>
      <c r="AA1049" s="94"/>
      <c r="AB1049" s="94"/>
      <c r="AC1049" s="94"/>
      <c r="AD1049" s="94"/>
      <c r="AE1049" s="94"/>
      <c r="AF1049" s="94"/>
      <c r="AG1049" s="94"/>
      <c r="AH1049" s="94"/>
      <c r="AI1049" s="94"/>
      <c r="AJ1049" s="94"/>
      <c r="AK1049" s="94"/>
      <c r="AL1049" s="94"/>
      <c r="AM1049" s="94"/>
      <c r="AN1049" s="94"/>
      <c r="AO1049" s="94"/>
      <c r="AP1049" s="94"/>
      <c r="AQ1049" s="94"/>
      <c r="AR1049" s="94"/>
      <c r="AS1049" s="94"/>
      <c r="AT1049" s="94"/>
      <c r="AU1049" s="94"/>
      <c r="AV1049" s="94"/>
      <c r="AW1049" s="94"/>
      <c r="AX1049" s="94"/>
      <c r="AY1049" s="94"/>
      <c r="AZ1049" s="94"/>
      <c r="BA1049" s="95"/>
    </row>
    <row r="1050" spans="1:53" s="87" customFormat="1">
      <c r="A1050" s="90" t="str">
        <f t="shared" si="41"/>
        <v/>
      </c>
      <c r="B1050" s="98"/>
      <c r="C1050" s="94"/>
      <c r="D1050" s="94"/>
      <c r="E1050" s="94"/>
      <c r="F1050" s="94"/>
      <c r="G1050" s="94"/>
      <c r="H1050" s="94"/>
      <c r="I1050" s="94"/>
      <c r="J1050" s="94"/>
      <c r="K1050" s="94"/>
      <c r="L1050" s="94"/>
      <c r="M1050" s="94"/>
      <c r="N1050" s="94"/>
      <c r="O1050" s="94"/>
      <c r="P1050" s="94"/>
      <c r="Q1050" s="94"/>
      <c r="R1050" s="94"/>
      <c r="S1050" s="94"/>
      <c r="T1050" s="94"/>
      <c r="U1050" s="94"/>
      <c r="V1050" s="94"/>
      <c r="W1050" s="94"/>
      <c r="X1050" s="94"/>
      <c r="Y1050" s="94"/>
      <c r="Z1050" s="94"/>
      <c r="AA1050" s="94"/>
      <c r="AB1050" s="94"/>
      <c r="AC1050" s="94"/>
      <c r="AD1050" s="94"/>
      <c r="AE1050" s="94"/>
      <c r="AF1050" s="94"/>
      <c r="AG1050" s="94"/>
      <c r="AH1050" s="94"/>
      <c r="AI1050" s="94"/>
      <c r="AJ1050" s="94"/>
      <c r="AK1050" s="94"/>
      <c r="AL1050" s="94"/>
      <c r="AM1050" s="94"/>
      <c r="AN1050" s="94"/>
      <c r="AO1050" s="94"/>
      <c r="AP1050" s="94"/>
      <c r="AQ1050" s="94"/>
      <c r="AR1050" s="94"/>
      <c r="AS1050" s="94"/>
      <c r="AT1050" s="94"/>
      <c r="AU1050" s="94"/>
      <c r="AV1050" s="94"/>
      <c r="AW1050" s="94"/>
      <c r="AX1050" s="94"/>
      <c r="AY1050" s="94"/>
      <c r="AZ1050" s="94"/>
      <c r="BA1050" s="95"/>
    </row>
    <row r="1051" spans="1:53" s="87" customFormat="1">
      <c r="A1051" s="90" t="str">
        <f t="shared" si="41"/>
        <v/>
      </c>
      <c r="B1051" s="98"/>
      <c r="C1051" s="94"/>
      <c r="D1051" s="94"/>
      <c r="E1051" s="94"/>
      <c r="F1051" s="94"/>
      <c r="G1051" s="94"/>
      <c r="H1051" s="94"/>
      <c r="I1051" s="94"/>
      <c r="J1051" s="94"/>
      <c r="K1051" s="94"/>
      <c r="L1051" s="94"/>
      <c r="M1051" s="94"/>
      <c r="N1051" s="94"/>
      <c r="O1051" s="94"/>
      <c r="P1051" s="94"/>
      <c r="Q1051" s="94"/>
      <c r="R1051" s="94"/>
      <c r="S1051" s="94"/>
      <c r="T1051" s="94"/>
      <c r="U1051" s="94"/>
      <c r="V1051" s="94"/>
      <c r="W1051" s="94"/>
      <c r="X1051" s="94"/>
      <c r="Y1051" s="94"/>
      <c r="Z1051" s="94"/>
      <c r="AA1051" s="94"/>
      <c r="AB1051" s="94"/>
      <c r="AC1051" s="94"/>
      <c r="AD1051" s="94"/>
      <c r="AE1051" s="94"/>
      <c r="AF1051" s="94"/>
      <c r="AG1051" s="94"/>
      <c r="AH1051" s="94"/>
      <c r="AI1051" s="94"/>
      <c r="AJ1051" s="94"/>
      <c r="AK1051" s="94"/>
      <c r="AL1051" s="94"/>
      <c r="AM1051" s="94"/>
      <c r="AN1051" s="94"/>
      <c r="AO1051" s="94"/>
      <c r="AP1051" s="94"/>
      <c r="AQ1051" s="94"/>
      <c r="AR1051" s="94"/>
      <c r="AS1051" s="94"/>
      <c r="AT1051" s="94"/>
      <c r="AU1051" s="94"/>
      <c r="AV1051" s="94"/>
      <c r="AW1051" s="94"/>
      <c r="AX1051" s="94"/>
      <c r="AY1051" s="94"/>
      <c r="AZ1051" s="94"/>
      <c r="BA1051" s="95"/>
    </row>
    <row r="1052" spans="1:53" s="87" customFormat="1">
      <c r="A1052" s="90" t="str">
        <f t="shared" si="41"/>
        <v/>
      </c>
      <c r="B1052" s="98"/>
      <c r="C1052" s="94"/>
      <c r="D1052" s="94"/>
      <c r="E1052" s="94"/>
      <c r="F1052" s="94"/>
      <c r="G1052" s="94"/>
      <c r="H1052" s="94"/>
      <c r="I1052" s="94"/>
      <c r="J1052" s="94"/>
      <c r="K1052" s="94"/>
      <c r="L1052" s="94"/>
      <c r="M1052" s="94"/>
      <c r="N1052" s="94"/>
      <c r="O1052" s="94"/>
      <c r="P1052" s="94"/>
      <c r="Q1052" s="94"/>
      <c r="R1052" s="94"/>
      <c r="S1052" s="94"/>
      <c r="T1052" s="94"/>
      <c r="U1052" s="94"/>
      <c r="V1052" s="94"/>
      <c r="W1052" s="94"/>
      <c r="X1052" s="94"/>
      <c r="Y1052" s="94"/>
      <c r="Z1052" s="94"/>
      <c r="AA1052" s="94"/>
      <c r="AB1052" s="94"/>
      <c r="AC1052" s="94"/>
      <c r="AD1052" s="94"/>
      <c r="AE1052" s="94"/>
      <c r="AF1052" s="94"/>
      <c r="AG1052" s="94"/>
      <c r="AH1052" s="94"/>
      <c r="AI1052" s="94"/>
      <c r="AJ1052" s="94"/>
      <c r="AK1052" s="94"/>
      <c r="AL1052" s="94"/>
      <c r="AM1052" s="94"/>
      <c r="AN1052" s="94"/>
      <c r="AO1052" s="94"/>
      <c r="AP1052" s="94"/>
      <c r="AQ1052" s="94"/>
      <c r="AR1052" s="94"/>
      <c r="AS1052" s="94"/>
      <c r="AT1052" s="94"/>
      <c r="AU1052" s="94"/>
      <c r="AV1052" s="94"/>
      <c r="AW1052" s="94"/>
      <c r="AX1052" s="94"/>
      <c r="AY1052" s="94"/>
      <c r="AZ1052" s="94"/>
      <c r="BA1052" s="95"/>
    </row>
    <row r="1053" spans="1:53" s="87" customFormat="1">
      <c r="A1053" s="90" t="str">
        <f t="shared" si="41"/>
        <v/>
      </c>
      <c r="B1053" s="98"/>
      <c r="C1053" s="94"/>
      <c r="D1053" s="94"/>
      <c r="E1053" s="94"/>
      <c r="F1053" s="94"/>
      <c r="G1053" s="94"/>
      <c r="H1053" s="94"/>
      <c r="I1053" s="94"/>
      <c r="J1053" s="94"/>
      <c r="K1053" s="94"/>
      <c r="L1053" s="94"/>
      <c r="M1053" s="94"/>
      <c r="N1053" s="94"/>
      <c r="O1053" s="94"/>
      <c r="P1053" s="94"/>
      <c r="Q1053" s="94"/>
      <c r="R1053" s="94"/>
      <c r="S1053" s="94"/>
      <c r="T1053" s="94"/>
      <c r="U1053" s="94"/>
      <c r="V1053" s="94"/>
      <c r="W1053" s="94"/>
      <c r="X1053" s="94"/>
      <c r="Y1053" s="94"/>
      <c r="Z1053" s="94"/>
      <c r="AA1053" s="94"/>
      <c r="AB1053" s="94"/>
      <c r="AC1053" s="94"/>
      <c r="AD1053" s="94"/>
      <c r="AE1053" s="94"/>
      <c r="AF1053" s="94"/>
      <c r="AG1053" s="94"/>
      <c r="AH1053" s="94"/>
      <c r="AI1053" s="94"/>
      <c r="AJ1053" s="94"/>
      <c r="AK1053" s="94"/>
      <c r="AL1053" s="94"/>
      <c r="AM1053" s="94"/>
      <c r="AN1053" s="94"/>
      <c r="AO1053" s="94"/>
      <c r="AP1053" s="94"/>
      <c r="AQ1053" s="94"/>
      <c r="AR1053" s="94"/>
      <c r="AS1053" s="94"/>
      <c r="AT1053" s="94"/>
      <c r="AU1053" s="94"/>
      <c r="AV1053" s="94"/>
      <c r="AW1053" s="94"/>
      <c r="AX1053" s="94"/>
      <c r="AY1053" s="94"/>
      <c r="AZ1053" s="94"/>
      <c r="BA1053" s="95"/>
    </row>
    <row r="1054" spans="1:53" s="87" customFormat="1">
      <c r="A1054" s="90" t="str">
        <f t="shared" si="41"/>
        <v/>
      </c>
      <c r="B1054" s="98"/>
      <c r="C1054" s="94"/>
      <c r="D1054" s="94"/>
      <c r="E1054" s="94"/>
      <c r="F1054" s="94"/>
      <c r="G1054" s="94"/>
      <c r="H1054" s="94"/>
      <c r="I1054" s="94"/>
      <c r="J1054" s="94"/>
      <c r="K1054" s="94"/>
      <c r="L1054" s="94"/>
      <c r="M1054" s="94"/>
      <c r="N1054" s="94"/>
      <c r="O1054" s="94"/>
      <c r="P1054" s="94"/>
      <c r="Q1054" s="94"/>
      <c r="R1054" s="94"/>
      <c r="S1054" s="94"/>
      <c r="T1054" s="94"/>
      <c r="U1054" s="94"/>
      <c r="V1054" s="94"/>
      <c r="W1054" s="94"/>
      <c r="X1054" s="94"/>
      <c r="Y1054" s="94"/>
      <c r="Z1054" s="94"/>
      <c r="AA1054" s="94"/>
      <c r="AB1054" s="94"/>
      <c r="AC1054" s="94"/>
      <c r="AD1054" s="94"/>
      <c r="AE1054" s="94"/>
      <c r="AF1054" s="94"/>
      <c r="AG1054" s="94"/>
      <c r="AH1054" s="94"/>
      <c r="AI1054" s="94"/>
      <c r="AJ1054" s="94"/>
      <c r="AK1054" s="94"/>
      <c r="AL1054" s="94"/>
      <c r="AM1054" s="94"/>
      <c r="AN1054" s="94"/>
      <c r="AO1054" s="94"/>
      <c r="AP1054" s="94"/>
      <c r="AQ1054" s="94"/>
      <c r="AR1054" s="94"/>
      <c r="AS1054" s="94"/>
      <c r="AT1054" s="94"/>
      <c r="AU1054" s="94"/>
      <c r="AV1054" s="94"/>
      <c r="AW1054" s="94"/>
      <c r="AX1054" s="94"/>
      <c r="AY1054" s="94"/>
      <c r="AZ1054" s="94"/>
      <c r="BA1054" s="95"/>
    </row>
    <row r="1055" spans="1:53" s="87" customFormat="1">
      <c r="A1055" s="90" t="str">
        <f t="shared" si="41"/>
        <v/>
      </c>
      <c r="B1055" s="98"/>
      <c r="C1055" s="94"/>
      <c r="D1055" s="94"/>
      <c r="E1055" s="94"/>
      <c r="F1055" s="94"/>
      <c r="G1055" s="94"/>
      <c r="H1055" s="94"/>
      <c r="I1055" s="94"/>
      <c r="J1055" s="94"/>
      <c r="K1055" s="94"/>
      <c r="L1055" s="94"/>
      <c r="M1055" s="94"/>
      <c r="N1055" s="94"/>
      <c r="O1055" s="94"/>
      <c r="P1055" s="94"/>
      <c r="Q1055" s="94"/>
      <c r="R1055" s="94"/>
      <c r="S1055" s="94"/>
      <c r="T1055" s="94"/>
      <c r="U1055" s="94"/>
      <c r="V1055" s="94"/>
      <c r="W1055" s="94"/>
      <c r="X1055" s="94"/>
      <c r="Y1055" s="94"/>
      <c r="Z1055" s="94"/>
      <c r="AA1055" s="94"/>
      <c r="AB1055" s="94"/>
      <c r="AC1055" s="94"/>
      <c r="AD1055" s="94"/>
      <c r="AE1055" s="94"/>
      <c r="AF1055" s="94"/>
      <c r="AG1055" s="94"/>
      <c r="AH1055" s="94"/>
      <c r="AI1055" s="94"/>
      <c r="AJ1055" s="94"/>
      <c r="AK1055" s="94"/>
      <c r="AL1055" s="94"/>
      <c r="AM1055" s="94"/>
      <c r="AN1055" s="94"/>
      <c r="AO1055" s="94"/>
      <c r="AP1055" s="94"/>
      <c r="AQ1055" s="94"/>
      <c r="AR1055" s="94"/>
      <c r="AS1055" s="94"/>
      <c r="AT1055" s="94"/>
      <c r="AU1055" s="94"/>
      <c r="AV1055" s="94"/>
      <c r="AW1055" s="94"/>
      <c r="AX1055" s="94"/>
      <c r="AY1055" s="94"/>
      <c r="AZ1055" s="94"/>
      <c r="BA1055" s="95"/>
    </row>
    <row r="1056" spans="1:53" s="87" customFormat="1">
      <c r="A1056" s="90" t="str">
        <f t="shared" si="41"/>
        <v/>
      </c>
      <c r="B1056" s="98"/>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c r="AM1056" s="94"/>
      <c r="AN1056" s="94"/>
      <c r="AO1056" s="94"/>
      <c r="AP1056" s="94"/>
      <c r="AQ1056" s="94"/>
      <c r="AR1056" s="94"/>
      <c r="AS1056" s="94"/>
      <c r="AT1056" s="94"/>
      <c r="AU1056" s="94"/>
      <c r="AV1056" s="94"/>
      <c r="AW1056" s="94"/>
      <c r="AX1056" s="94"/>
      <c r="AY1056" s="94"/>
      <c r="AZ1056" s="94"/>
      <c r="BA1056" s="95"/>
    </row>
    <row r="1057" spans="1:53" s="87" customFormat="1">
      <c r="A1057" s="90" t="str">
        <f t="shared" si="41"/>
        <v/>
      </c>
      <c r="B1057" s="98"/>
      <c r="C1057" s="94"/>
      <c r="D1057" s="94"/>
      <c r="E1057" s="94"/>
      <c r="F1057" s="94"/>
      <c r="G1057" s="94"/>
      <c r="H1057" s="94"/>
      <c r="I1057" s="94"/>
      <c r="J1057" s="94"/>
      <c r="K1057" s="94"/>
      <c r="L1057" s="94"/>
      <c r="M1057" s="94"/>
      <c r="N1057" s="94"/>
      <c r="O1057" s="94"/>
      <c r="P1057" s="94"/>
      <c r="Q1057" s="94"/>
      <c r="R1057" s="94"/>
      <c r="S1057" s="94"/>
      <c r="T1057" s="94"/>
      <c r="U1057" s="94"/>
      <c r="V1057" s="94"/>
      <c r="W1057" s="94"/>
      <c r="X1057" s="94"/>
      <c r="Y1057" s="94"/>
      <c r="Z1057" s="94"/>
      <c r="AA1057" s="94"/>
      <c r="AB1057" s="94"/>
      <c r="AC1057" s="94"/>
      <c r="AD1057" s="94"/>
      <c r="AE1057" s="94"/>
      <c r="AF1057" s="94"/>
      <c r="AG1057" s="94"/>
      <c r="AH1057" s="94"/>
      <c r="AI1057" s="94"/>
      <c r="AJ1057" s="94"/>
      <c r="AK1057" s="94"/>
      <c r="AL1057" s="94"/>
      <c r="AM1057" s="94"/>
      <c r="AN1057" s="94"/>
      <c r="AO1057" s="94"/>
      <c r="AP1057" s="94"/>
      <c r="AQ1057" s="94"/>
      <c r="AR1057" s="94"/>
      <c r="AS1057" s="94"/>
      <c r="AT1057" s="94"/>
      <c r="AU1057" s="94"/>
      <c r="AV1057" s="94"/>
      <c r="AW1057" s="94"/>
      <c r="AX1057" s="94"/>
      <c r="AY1057" s="94"/>
      <c r="AZ1057" s="94"/>
      <c r="BA1057" s="95"/>
    </row>
    <row r="1058" spans="1:53" s="87" customFormat="1">
      <c r="A1058" s="90" t="str">
        <f t="shared" si="41"/>
        <v/>
      </c>
      <c r="B1058" s="98"/>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5"/>
    </row>
    <row r="1059" spans="1:53" s="87" customFormat="1">
      <c r="A1059" s="90" t="str">
        <f t="shared" si="41"/>
        <v/>
      </c>
      <c r="B1059" s="98"/>
      <c r="C1059" s="94"/>
      <c r="D1059" s="94"/>
      <c r="E1059" s="94"/>
      <c r="F1059" s="94"/>
      <c r="G1059" s="94"/>
      <c r="H1059" s="94"/>
      <c r="I1059" s="94"/>
      <c r="J1059" s="94"/>
      <c r="K1059" s="94"/>
      <c r="L1059" s="94"/>
      <c r="M1059" s="94"/>
      <c r="N1059" s="94"/>
      <c r="O1059" s="94"/>
      <c r="P1059" s="94"/>
      <c r="Q1059" s="94"/>
      <c r="R1059" s="94"/>
      <c r="S1059" s="94"/>
      <c r="T1059" s="94"/>
      <c r="U1059" s="94"/>
      <c r="V1059" s="94"/>
      <c r="W1059" s="94"/>
      <c r="X1059" s="94"/>
      <c r="Y1059" s="94"/>
      <c r="Z1059" s="94"/>
      <c r="AA1059" s="94"/>
      <c r="AB1059" s="94"/>
      <c r="AC1059" s="94"/>
      <c r="AD1059" s="94"/>
      <c r="AE1059" s="94"/>
      <c r="AF1059" s="94"/>
      <c r="AG1059" s="94"/>
      <c r="AH1059" s="94"/>
      <c r="AI1059" s="94"/>
      <c r="AJ1059" s="94"/>
      <c r="AK1059" s="94"/>
      <c r="AL1059" s="94"/>
      <c r="AM1059" s="94"/>
      <c r="AN1059" s="94"/>
      <c r="AO1059" s="94"/>
      <c r="AP1059" s="94"/>
      <c r="AQ1059" s="94"/>
      <c r="AR1059" s="94"/>
      <c r="AS1059" s="94"/>
      <c r="AT1059" s="94"/>
      <c r="AU1059" s="94"/>
      <c r="AV1059" s="94"/>
      <c r="AW1059" s="94"/>
      <c r="AX1059" s="94"/>
      <c r="AY1059" s="94"/>
      <c r="AZ1059" s="94"/>
      <c r="BA1059" s="95"/>
    </row>
    <row r="1060" spans="1:53" s="87" customFormat="1">
      <c r="A1060" s="90" t="str">
        <f t="shared" si="41"/>
        <v/>
      </c>
      <c r="B1060" s="98"/>
      <c r="C1060" s="94"/>
      <c r="D1060" s="94"/>
      <c r="E1060" s="94"/>
      <c r="F1060" s="94"/>
      <c r="G1060" s="94"/>
      <c r="H1060" s="94"/>
      <c r="I1060" s="94"/>
      <c r="J1060" s="94"/>
      <c r="K1060" s="94"/>
      <c r="L1060" s="94"/>
      <c r="M1060" s="94"/>
      <c r="N1060" s="94"/>
      <c r="O1060" s="94"/>
      <c r="P1060" s="94"/>
      <c r="Q1060" s="94"/>
      <c r="R1060" s="94"/>
      <c r="S1060" s="94"/>
      <c r="T1060" s="94"/>
      <c r="U1060" s="94"/>
      <c r="V1060" s="94"/>
      <c r="W1060" s="94"/>
      <c r="X1060" s="94"/>
      <c r="Y1060" s="94"/>
      <c r="Z1060" s="94"/>
      <c r="AA1060" s="94"/>
      <c r="AB1060" s="94"/>
      <c r="AC1060" s="94"/>
      <c r="AD1060" s="94"/>
      <c r="AE1060" s="94"/>
      <c r="AF1060" s="94"/>
      <c r="AG1060" s="94"/>
      <c r="AH1060" s="94"/>
      <c r="AI1060" s="94"/>
      <c r="AJ1060" s="94"/>
      <c r="AK1060" s="94"/>
      <c r="AL1060" s="94"/>
      <c r="AM1060" s="94"/>
      <c r="AN1060" s="94"/>
      <c r="AO1060" s="94"/>
      <c r="AP1060" s="94"/>
      <c r="AQ1060" s="94"/>
      <c r="AR1060" s="94"/>
      <c r="AS1060" s="94"/>
      <c r="AT1060" s="94"/>
      <c r="AU1060" s="94"/>
      <c r="AV1060" s="94"/>
      <c r="AW1060" s="94"/>
      <c r="AX1060" s="94"/>
      <c r="AY1060" s="94"/>
      <c r="AZ1060" s="94"/>
      <c r="BA1060" s="95"/>
    </row>
    <row r="1061" spans="1:53" s="87" customFormat="1">
      <c r="A1061" s="90" t="str">
        <f t="shared" si="41"/>
        <v/>
      </c>
      <c r="B1061" s="98"/>
      <c r="C1061" s="94"/>
      <c r="D1061" s="94"/>
      <c r="E1061" s="94"/>
      <c r="F1061" s="94"/>
      <c r="G1061" s="94"/>
      <c r="H1061" s="94"/>
      <c r="I1061" s="94"/>
      <c r="J1061" s="94"/>
      <c r="K1061" s="94"/>
      <c r="L1061" s="94"/>
      <c r="M1061" s="94"/>
      <c r="N1061" s="94"/>
      <c r="O1061" s="94"/>
      <c r="P1061" s="94"/>
      <c r="Q1061" s="94"/>
      <c r="R1061" s="94"/>
      <c r="S1061" s="94"/>
      <c r="T1061" s="94"/>
      <c r="U1061" s="94"/>
      <c r="V1061" s="94"/>
      <c r="W1061" s="94"/>
      <c r="X1061" s="94"/>
      <c r="Y1061" s="94"/>
      <c r="Z1061" s="94"/>
      <c r="AA1061" s="94"/>
      <c r="AB1061" s="94"/>
      <c r="AC1061" s="94"/>
      <c r="AD1061" s="94"/>
      <c r="AE1061" s="94"/>
      <c r="AF1061" s="94"/>
      <c r="AG1061" s="94"/>
      <c r="AH1061" s="94"/>
      <c r="AI1061" s="94"/>
      <c r="AJ1061" s="94"/>
      <c r="AK1061" s="94"/>
      <c r="AL1061" s="94"/>
      <c r="AM1061" s="94"/>
      <c r="AN1061" s="94"/>
      <c r="AO1061" s="94"/>
      <c r="AP1061" s="94"/>
      <c r="AQ1061" s="94"/>
      <c r="AR1061" s="94"/>
      <c r="AS1061" s="94"/>
      <c r="AT1061" s="94"/>
      <c r="AU1061" s="94"/>
      <c r="AV1061" s="94"/>
      <c r="AW1061" s="94"/>
      <c r="AX1061" s="94"/>
      <c r="AY1061" s="94"/>
      <c r="AZ1061" s="94"/>
      <c r="BA1061" s="95"/>
    </row>
    <row r="1062" spans="1:53" s="87" customFormat="1">
      <c r="A1062" s="90" t="str">
        <f t="shared" si="41"/>
        <v/>
      </c>
      <c r="B1062" s="98"/>
      <c r="C1062" s="94"/>
      <c r="D1062" s="94"/>
      <c r="E1062" s="94"/>
      <c r="F1062" s="94"/>
      <c r="G1062" s="94"/>
      <c r="H1062" s="94"/>
      <c r="I1062" s="94"/>
      <c r="J1062" s="94"/>
      <c r="K1062" s="94"/>
      <c r="L1062" s="94"/>
      <c r="M1062" s="94"/>
      <c r="N1062" s="94"/>
      <c r="O1062" s="94"/>
      <c r="P1062" s="94"/>
      <c r="Q1062" s="94"/>
      <c r="R1062" s="94"/>
      <c r="S1062" s="94"/>
      <c r="T1062" s="94"/>
      <c r="U1062" s="94"/>
      <c r="V1062" s="94"/>
      <c r="W1062" s="94"/>
      <c r="X1062" s="94"/>
      <c r="Y1062" s="94"/>
      <c r="Z1062" s="94"/>
      <c r="AA1062" s="94"/>
      <c r="AB1062" s="94"/>
      <c r="AC1062" s="94"/>
      <c r="AD1062" s="94"/>
      <c r="AE1062" s="94"/>
      <c r="AF1062" s="94"/>
      <c r="AG1062" s="94"/>
      <c r="AH1062" s="94"/>
      <c r="AI1062" s="94"/>
      <c r="AJ1062" s="94"/>
      <c r="AK1062" s="94"/>
      <c r="AL1062" s="94"/>
      <c r="AM1062" s="94"/>
      <c r="AN1062" s="94"/>
      <c r="AO1062" s="94"/>
      <c r="AP1062" s="94"/>
      <c r="AQ1062" s="94"/>
      <c r="AR1062" s="94"/>
      <c r="AS1062" s="94"/>
      <c r="AT1062" s="94"/>
      <c r="AU1062" s="94"/>
      <c r="AV1062" s="94"/>
      <c r="AW1062" s="94"/>
      <c r="AX1062" s="94"/>
      <c r="AY1062" s="94"/>
      <c r="AZ1062" s="94"/>
      <c r="BA1062" s="95"/>
    </row>
    <row r="1063" spans="1:53" s="87" customFormat="1">
      <c r="A1063" s="90" t="str">
        <f t="shared" si="41"/>
        <v/>
      </c>
      <c r="B1063" s="98"/>
      <c r="C1063" s="94"/>
      <c r="D1063" s="94"/>
      <c r="E1063" s="94"/>
      <c r="F1063" s="94"/>
      <c r="G1063" s="94"/>
      <c r="H1063" s="94"/>
      <c r="I1063" s="94"/>
      <c r="J1063" s="94"/>
      <c r="K1063" s="94"/>
      <c r="L1063" s="94"/>
      <c r="M1063" s="94"/>
      <c r="N1063" s="94"/>
      <c r="O1063" s="94"/>
      <c r="P1063" s="94"/>
      <c r="Q1063" s="94"/>
      <c r="R1063" s="94"/>
      <c r="S1063" s="94"/>
      <c r="T1063" s="94"/>
      <c r="U1063" s="94"/>
      <c r="V1063" s="94"/>
      <c r="W1063" s="94"/>
      <c r="X1063" s="94"/>
      <c r="Y1063" s="94"/>
      <c r="Z1063" s="94"/>
      <c r="AA1063" s="94"/>
      <c r="AB1063" s="94"/>
      <c r="AC1063" s="94"/>
      <c r="AD1063" s="94"/>
      <c r="AE1063" s="94"/>
      <c r="AF1063" s="94"/>
      <c r="AG1063" s="94"/>
      <c r="AH1063" s="94"/>
      <c r="AI1063" s="94"/>
      <c r="AJ1063" s="94"/>
      <c r="AK1063" s="94"/>
      <c r="AL1063" s="94"/>
      <c r="AM1063" s="94"/>
      <c r="AN1063" s="94"/>
      <c r="AO1063" s="94"/>
      <c r="AP1063" s="94"/>
      <c r="AQ1063" s="94"/>
      <c r="AR1063" s="94"/>
      <c r="AS1063" s="94"/>
      <c r="AT1063" s="94"/>
      <c r="AU1063" s="94"/>
      <c r="AV1063" s="94"/>
      <c r="AW1063" s="94"/>
      <c r="AX1063" s="94"/>
      <c r="AY1063" s="94"/>
      <c r="AZ1063" s="94"/>
      <c r="BA1063" s="95"/>
    </row>
    <row r="1064" spans="1:53" s="87" customFormat="1">
      <c r="A1064" s="90" t="str">
        <f t="shared" si="41"/>
        <v/>
      </c>
      <c r="B1064" s="98"/>
      <c r="C1064" s="94"/>
      <c r="D1064" s="94"/>
      <c r="E1064" s="94"/>
      <c r="F1064" s="94"/>
      <c r="G1064" s="94"/>
      <c r="H1064" s="94"/>
      <c r="I1064" s="94"/>
      <c r="J1064" s="94"/>
      <c r="K1064" s="94"/>
      <c r="L1064" s="94"/>
      <c r="M1064" s="94"/>
      <c r="N1064" s="94"/>
      <c r="O1064" s="94"/>
      <c r="P1064" s="94"/>
      <c r="Q1064" s="94"/>
      <c r="R1064" s="94"/>
      <c r="S1064" s="94"/>
      <c r="T1064" s="94"/>
      <c r="U1064" s="94"/>
      <c r="V1064" s="94"/>
      <c r="W1064" s="94"/>
      <c r="X1064" s="94"/>
      <c r="Y1064" s="94"/>
      <c r="Z1064" s="94"/>
      <c r="AA1064" s="94"/>
      <c r="AB1064" s="94"/>
      <c r="AC1064" s="94"/>
      <c r="AD1064" s="94"/>
      <c r="AE1064" s="94"/>
      <c r="AF1064" s="94"/>
      <c r="AG1064" s="94"/>
      <c r="AH1064" s="94"/>
      <c r="AI1064" s="94"/>
      <c r="AJ1064" s="94"/>
      <c r="AK1064" s="94"/>
      <c r="AL1064" s="94"/>
      <c r="AM1064" s="94"/>
      <c r="AN1064" s="94"/>
      <c r="AO1064" s="94"/>
      <c r="AP1064" s="94"/>
      <c r="AQ1064" s="94"/>
      <c r="AR1064" s="94"/>
      <c r="AS1064" s="94"/>
      <c r="AT1064" s="94"/>
      <c r="AU1064" s="94"/>
      <c r="AV1064" s="94"/>
      <c r="AW1064" s="94"/>
      <c r="AX1064" s="94"/>
      <c r="AY1064" s="94"/>
      <c r="AZ1064" s="94"/>
      <c r="BA1064" s="95"/>
    </row>
    <row r="1065" spans="1:53" s="87" customFormat="1">
      <c r="A1065" s="90" t="str">
        <f t="shared" si="41"/>
        <v/>
      </c>
      <c r="B1065" s="98"/>
      <c r="C1065" s="94"/>
      <c r="D1065" s="94"/>
      <c r="E1065" s="94"/>
      <c r="F1065" s="94"/>
      <c r="G1065" s="94"/>
      <c r="H1065" s="94"/>
      <c r="I1065" s="94"/>
      <c r="J1065" s="94"/>
      <c r="K1065" s="94"/>
      <c r="L1065" s="94"/>
      <c r="M1065" s="94"/>
      <c r="N1065" s="94"/>
      <c r="O1065" s="94"/>
      <c r="P1065" s="94"/>
      <c r="Q1065" s="94"/>
      <c r="R1065" s="94"/>
      <c r="S1065" s="94"/>
      <c r="T1065" s="94"/>
      <c r="U1065" s="94"/>
      <c r="V1065" s="94"/>
      <c r="W1065" s="94"/>
      <c r="X1065" s="94"/>
      <c r="Y1065" s="94"/>
      <c r="Z1065" s="94"/>
      <c r="AA1065" s="94"/>
      <c r="AB1065" s="94"/>
      <c r="AC1065" s="94"/>
      <c r="AD1065" s="94"/>
      <c r="AE1065" s="94"/>
      <c r="AF1065" s="94"/>
      <c r="AG1065" s="94"/>
      <c r="AH1065" s="94"/>
      <c r="AI1065" s="94"/>
      <c r="AJ1065" s="94"/>
      <c r="AK1065" s="94"/>
      <c r="AL1065" s="94"/>
      <c r="AM1065" s="94"/>
      <c r="AN1065" s="94"/>
      <c r="AO1065" s="94"/>
      <c r="AP1065" s="94"/>
      <c r="AQ1065" s="94"/>
      <c r="AR1065" s="94"/>
      <c r="AS1065" s="94"/>
      <c r="AT1065" s="94"/>
      <c r="AU1065" s="94"/>
      <c r="AV1065" s="94"/>
      <c r="AW1065" s="94"/>
      <c r="AX1065" s="94"/>
      <c r="AY1065" s="94"/>
      <c r="AZ1065" s="94"/>
      <c r="BA1065" s="95"/>
    </row>
    <row r="1066" spans="1:53" s="87" customFormat="1">
      <c r="A1066" s="90" t="str">
        <f t="shared" si="41"/>
        <v/>
      </c>
      <c r="B1066" s="98"/>
      <c r="C1066" s="94"/>
      <c r="D1066" s="94"/>
      <c r="E1066" s="94"/>
      <c r="F1066" s="94"/>
      <c r="G1066" s="94"/>
      <c r="H1066" s="94"/>
      <c r="I1066" s="94"/>
      <c r="J1066" s="94"/>
      <c r="K1066" s="94"/>
      <c r="L1066" s="94"/>
      <c r="M1066" s="94"/>
      <c r="N1066" s="94"/>
      <c r="O1066" s="94"/>
      <c r="P1066" s="94"/>
      <c r="Q1066" s="94"/>
      <c r="R1066" s="94"/>
      <c r="S1066" s="94"/>
      <c r="T1066" s="94"/>
      <c r="U1066" s="94"/>
      <c r="V1066" s="94"/>
      <c r="W1066" s="94"/>
      <c r="X1066" s="94"/>
      <c r="Y1066" s="94"/>
      <c r="Z1066" s="94"/>
      <c r="AA1066" s="94"/>
      <c r="AB1066" s="94"/>
      <c r="AC1066" s="94"/>
      <c r="AD1066" s="94"/>
      <c r="AE1066" s="94"/>
      <c r="AF1066" s="94"/>
      <c r="AG1066" s="94"/>
      <c r="AH1066" s="94"/>
      <c r="AI1066" s="94"/>
      <c r="AJ1066" s="94"/>
      <c r="AK1066" s="94"/>
      <c r="AL1066" s="94"/>
      <c r="AM1066" s="94"/>
      <c r="AN1066" s="94"/>
      <c r="AO1066" s="94"/>
      <c r="AP1066" s="94"/>
      <c r="AQ1066" s="94"/>
      <c r="AR1066" s="94"/>
      <c r="AS1066" s="94"/>
      <c r="AT1066" s="94"/>
      <c r="AU1066" s="94"/>
      <c r="AV1066" s="94"/>
      <c r="AW1066" s="94"/>
      <c r="AX1066" s="94"/>
      <c r="AY1066" s="94"/>
      <c r="AZ1066" s="94"/>
      <c r="BA1066" s="95"/>
    </row>
    <row r="1067" spans="1:53" s="87" customFormat="1">
      <c r="A1067" s="90" t="str">
        <f t="shared" si="41"/>
        <v/>
      </c>
      <c r="B1067" s="98"/>
      <c r="C1067" s="94"/>
      <c r="D1067" s="94"/>
      <c r="E1067" s="94"/>
      <c r="F1067" s="94"/>
      <c r="G1067" s="94"/>
      <c r="H1067" s="94"/>
      <c r="I1067" s="94"/>
      <c r="J1067" s="94"/>
      <c r="K1067" s="94"/>
      <c r="L1067" s="94"/>
      <c r="M1067" s="94"/>
      <c r="N1067" s="94"/>
      <c r="O1067" s="94"/>
      <c r="P1067" s="94"/>
      <c r="Q1067" s="94"/>
      <c r="R1067" s="94"/>
      <c r="S1067" s="94"/>
      <c r="T1067" s="94"/>
      <c r="U1067" s="94"/>
      <c r="V1067" s="94"/>
      <c r="W1067" s="94"/>
      <c r="X1067" s="94"/>
      <c r="Y1067" s="94"/>
      <c r="Z1067" s="94"/>
      <c r="AA1067" s="94"/>
      <c r="AB1067" s="94"/>
      <c r="AC1067" s="94"/>
      <c r="AD1067" s="94"/>
      <c r="AE1067" s="94"/>
      <c r="AF1067" s="94"/>
      <c r="AG1067" s="94"/>
      <c r="AH1067" s="94"/>
      <c r="AI1067" s="94"/>
      <c r="AJ1067" s="94"/>
      <c r="AK1067" s="94"/>
      <c r="AL1067" s="94"/>
      <c r="AM1067" s="94"/>
      <c r="AN1067" s="94"/>
      <c r="AO1067" s="94"/>
      <c r="AP1067" s="94"/>
      <c r="AQ1067" s="94"/>
      <c r="AR1067" s="94"/>
      <c r="AS1067" s="94"/>
      <c r="AT1067" s="94"/>
      <c r="AU1067" s="94"/>
      <c r="AV1067" s="94"/>
      <c r="AW1067" s="94"/>
      <c r="AX1067" s="94"/>
      <c r="AY1067" s="94"/>
      <c r="AZ1067" s="94"/>
      <c r="BA1067" s="95"/>
    </row>
    <row r="1068" spans="1:53" s="87" customFormat="1">
      <c r="A1068" s="90" t="str">
        <f t="shared" si="41"/>
        <v/>
      </c>
      <c r="B1068" s="98"/>
      <c r="C1068" s="94"/>
      <c r="D1068" s="94"/>
      <c r="E1068" s="94"/>
      <c r="F1068" s="94"/>
      <c r="G1068" s="94"/>
      <c r="H1068" s="94"/>
      <c r="I1068" s="94"/>
      <c r="J1068" s="94"/>
      <c r="K1068" s="94"/>
      <c r="L1068" s="94"/>
      <c r="M1068" s="94"/>
      <c r="N1068" s="94"/>
      <c r="O1068" s="94"/>
      <c r="P1068" s="94"/>
      <c r="Q1068" s="94"/>
      <c r="R1068" s="94"/>
      <c r="S1068" s="94"/>
      <c r="T1068" s="94"/>
      <c r="U1068" s="94"/>
      <c r="V1068" s="94"/>
      <c r="W1068" s="94"/>
      <c r="X1068" s="94"/>
      <c r="Y1068" s="94"/>
      <c r="Z1068" s="94"/>
      <c r="AA1068" s="94"/>
      <c r="AB1068" s="94"/>
      <c r="AC1068" s="94"/>
      <c r="AD1068" s="94"/>
      <c r="AE1068" s="94"/>
      <c r="AF1068" s="94"/>
      <c r="AG1068" s="94"/>
      <c r="AH1068" s="94"/>
      <c r="AI1068" s="94"/>
      <c r="AJ1068" s="94"/>
      <c r="AK1068" s="94"/>
      <c r="AL1068" s="94"/>
      <c r="AM1068" s="94"/>
      <c r="AN1068" s="94"/>
      <c r="AO1068" s="94"/>
      <c r="AP1068" s="94"/>
      <c r="AQ1068" s="94"/>
      <c r="AR1068" s="94"/>
      <c r="AS1068" s="94"/>
      <c r="AT1068" s="94"/>
      <c r="AU1068" s="94"/>
      <c r="AV1068" s="94"/>
      <c r="AW1068" s="94"/>
      <c r="AX1068" s="94"/>
      <c r="AY1068" s="94"/>
      <c r="AZ1068" s="94"/>
      <c r="BA1068" s="95"/>
    </row>
    <row r="1069" spans="1:53" s="87" customFormat="1">
      <c r="A1069" s="90" t="str">
        <f t="shared" si="41"/>
        <v/>
      </c>
      <c r="B1069" s="98"/>
      <c r="C1069" s="94"/>
      <c r="D1069" s="94"/>
      <c r="E1069" s="94"/>
      <c r="F1069" s="94"/>
      <c r="G1069" s="94"/>
      <c r="H1069" s="94"/>
      <c r="I1069" s="94"/>
      <c r="J1069" s="94"/>
      <c r="K1069" s="94"/>
      <c r="L1069" s="94"/>
      <c r="M1069" s="94"/>
      <c r="N1069" s="94"/>
      <c r="O1069" s="94"/>
      <c r="P1069" s="94"/>
      <c r="Q1069" s="94"/>
      <c r="R1069" s="94"/>
      <c r="S1069" s="94"/>
      <c r="T1069" s="94"/>
      <c r="U1069" s="94"/>
      <c r="V1069" s="94"/>
      <c r="W1069" s="94"/>
      <c r="X1069" s="94"/>
      <c r="Y1069" s="94"/>
      <c r="Z1069" s="94"/>
      <c r="AA1069" s="94"/>
      <c r="AB1069" s="94"/>
      <c r="AC1069" s="94"/>
      <c r="AD1069" s="94"/>
      <c r="AE1069" s="94"/>
      <c r="AF1069" s="94"/>
      <c r="AG1069" s="94"/>
      <c r="AH1069" s="94"/>
      <c r="AI1069" s="94"/>
      <c r="AJ1069" s="94"/>
      <c r="AK1069" s="94"/>
      <c r="AL1069" s="94"/>
      <c r="AM1069" s="94"/>
      <c r="AN1069" s="94"/>
      <c r="AO1069" s="94"/>
      <c r="AP1069" s="94"/>
      <c r="AQ1069" s="94"/>
      <c r="AR1069" s="94"/>
      <c r="AS1069" s="94"/>
      <c r="AT1069" s="94"/>
      <c r="AU1069" s="94"/>
      <c r="AV1069" s="94"/>
      <c r="AW1069" s="94"/>
      <c r="AX1069" s="94"/>
      <c r="AY1069" s="94"/>
      <c r="AZ1069" s="94"/>
      <c r="BA1069" s="95"/>
    </row>
    <row r="1070" spans="1:53" s="87" customFormat="1">
      <c r="A1070" s="90" t="str">
        <f t="shared" si="41"/>
        <v/>
      </c>
      <c r="B1070" s="98"/>
      <c r="C1070" s="94"/>
      <c r="D1070" s="94"/>
      <c r="E1070" s="94"/>
      <c r="F1070" s="94"/>
      <c r="G1070" s="94"/>
      <c r="H1070" s="94"/>
      <c r="I1070" s="94"/>
      <c r="J1070" s="94"/>
      <c r="K1070" s="94"/>
      <c r="L1070" s="94"/>
      <c r="M1070" s="94"/>
      <c r="N1070" s="94"/>
      <c r="O1070" s="94"/>
      <c r="P1070" s="94"/>
      <c r="Q1070" s="94"/>
      <c r="R1070" s="94"/>
      <c r="S1070" s="94"/>
      <c r="T1070" s="94"/>
      <c r="U1070" s="94"/>
      <c r="V1070" s="94"/>
      <c r="W1070" s="94"/>
      <c r="X1070" s="94"/>
      <c r="Y1070" s="94"/>
      <c r="Z1070" s="94"/>
      <c r="AA1070" s="94"/>
      <c r="AB1070" s="94"/>
      <c r="AC1070" s="94"/>
      <c r="AD1070" s="94"/>
      <c r="AE1070" s="94"/>
      <c r="AF1070" s="94"/>
      <c r="AG1070" s="94"/>
      <c r="AH1070" s="94"/>
      <c r="AI1070" s="94"/>
      <c r="AJ1070" s="94"/>
      <c r="AK1070" s="94"/>
      <c r="AL1070" s="94"/>
      <c r="AM1070" s="94"/>
      <c r="AN1070" s="94"/>
      <c r="AO1070" s="94"/>
      <c r="AP1070" s="94"/>
      <c r="AQ1070" s="94"/>
      <c r="AR1070" s="94"/>
      <c r="AS1070" s="94"/>
      <c r="AT1070" s="94"/>
      <c r="AU1070" s="94"/>
      <c r="AV1070" s="94"/>
      <c r="AW1070" s="94"/>
      <c r="AX1070" s="94"/>
      <c r="AY1070" s="94"/>
      <c r="AZ1070" s="94"/>
      <c r="BA1070" s="95"/>
    </row>
    <row r="1071" spans="1:53" s="87" customFormat="1">
      <c r="A1071" s="90" t="str">
        <f t="shared" si="41"/>
        <v/>
      </c>
      <c r="B1071" s="98"/>
      <c r="C1071" s="94"/>
      <c r="D1071" s="94"/>
      <c r="E1071" s="94"/>
      <c r="F1071" s="94"/>
      <c r="G1071" s="94"/>
      <c r="H1071" s="94"/>
      <c r="I1071" s="94"/>
      <c r="J1071" s="94"/>
      <c r="K1071" s="94"/>
      <c r="L1071" s="94"/>
      <c r="M1071" s="94"/>
      <c r="N1071" s="94"/>
      <c r="O1071" s="94"/>
      <c r="P1071" s="94"/>
      <c r="Q1071" s="94"/>
      <c r="R1071" s="94"/>
      <c r="S1071" s="94"/>
      <c r="T1071" s="94"/>
      <c r="U1071" s="94"/>
      <c r="V1071" s="94"/>
      <c r="W1071" s="94"/>
      <c r="X1071" s="94"/>
      <c r="Y1071" s="94"/>
      <c r="Z1071" s="94"/>
      <c r="AA1071" s="94"/>
      <c r="AB1071" s="94"/>
      <c r="AC1071" s="94"/>
      <c r="AD1071" s="94"/>
      <c r="AE1071" s="94"/>
      <c r="AF1071" s="94"/>
      <c r="AG1071" s="94"/>
      <c r="AH1071" s="94"/>
      <c r="AI1071" s="94"/>
      <c r="AJ1071" s="94"/>
      <c r="AK1071" s="94"/>
      <c r="AL1071" s="94"/>
      <c r="AM1071" s="94"/>
      <c r="AN1071" s="94"/>
      <c r="AO1071" s="94"/>
      <c r="AP1071" s="94"/>
      <c r="AQ1071" s="94"/>
      <c r="AR1071" s="94"/>
      <c r="AS1071" s="94"/>
      <c r="AT1071" s="94"/>
      <c r="AU1071" s="94"/>
      <c r="AV1071" s="94"/>
      <c r="AW1071" s="94"/>
      <c r="AX1071" s="94"/>
      <c r="AY1071" s="94"/>
      <c r="AZ1071" s="94"/>
      <c r="BA1071" s="95"/>
    </row>
    <row r="1072" spans="1:53" s="87" customFormat="1">
      <c r="A1072" s="90" t="str">
        <f t="shared" si="41"/>
        <v/>
      </c>
      <c r="B1072" s="98"/>
      <c r="C1072" s="94"/>
      <c r="D1072" s="94"/>
      <c r="E1072" s="94"/>
      <c r="F1072" s="94"/>
      <c r="G1072" s="94"/>
      <c r="H1072" s="94"/>
      <c r="I1072" s="94"/>
      <c r="J1072" s="94"/>
      <c r="K1072" s="94"/>
      <c r="L1072" s="94"/>
      <c r="M1072" s="94"/>
      <c r="N1072" s="94"/>
      <c r="O1072" s="94"/>
      <c r="P1072" s="94"/>
      <c r="Q1072" s="94"/>
      <c r="R1072" s="94"/>
      <c r="S1072" s="94"/>
      <c r="T1072" s="94"/>
      <c r="U1072" s="94"/>
      <c r="V1072" s="94"/>
      <c r="W1072" s="94"/>
      <c r="X1072" s="94"/>
      <c r="Y1072" s="94"/>
      <c r="Z1072" s="94"/>
      <c r="AA1072" s="94"/>
      <c r="AB1072" s="94"/>
      <c r="AC1072" s="94"/>
      <c r="AD1072" s="94"/>
      <c r="AE1072" s="94"/>
      <c r="AF1072" s="94"/>
      <c r="AG1072" s="94"/>
      <c r="AH1072" s="94"/>
      <c r="AI1072" s="94"/>
      <c r="AJ1072" s="94"/>
      <c r="AK1072" s="94"/>
      <c r="AL1072" s="94"/>
      <c r="AM1072" s="94"/>
      <c r="AN1072" s="94"/>
      <c r="AO1072" s="94"/>
      <c r="AP1072" s="94"/>
      <c r="AQ1072" s="94"/>
      <c r="AR1072" s="94"/>
      <c r="AS1072" s="94"/>
      <c r="AT1072" s="94"/>
      <c r="AU1072" s="94"/>
      <c r="AV1072" s="94"/>
      <c r="AW1072" s="94"/>
      <c r="AX1072" s="94"/>
      <c r="AY1072" s="94"/>
      <c r="AZ1072" s="94"/>
      <c r="BA1072" s="95"/>
    </row>
    <row r="1073" spans="1:53" s="87" customFormat="1">
      <c r="A1073" s="90" t="str">
        <f t="shared" si="41"/>
        <v/>
      </c>
      <c r="B1073" s="317"/>
      <c r="C1073" s="94"/>
      <c r="D1073" s="94"/>
      <c r="E1073" s="94"/>
      <c r="F1073" s="94"/>
      <c r="G1073" s="94"/>
      <c r="H1073" s="94"/>
      <c r="I1073" s="94"/>
      <c r="J1073" s="94"/>
      <c r="K1073" s="94"/>
      <c r="L1073" s="94"/>
      <c r="M1073" s="94"/>
      <c r="N1073" s="94"/>
      <c r="O1073" s="94"/>
      <c r="P1073" s="94"/>
      <c r="Q1073" s="94"/>
      <c r="R1073" s="94"/>
      <c r="S1073" s="94"/>
      <c r="T1073" s="94"/>
      <c r="U1073" s="94"/>
      <c r="V1073" s="94"/>
      <c r="W1073" s="94"/>
      <c r="X1073" s="94"/>
      <c r="Y1073" s="94"/>
      <c r="Z1073" s="94"/>
      <c r="AA1073" s="94"/>
      <c r="AB1073" s="94"/>
      <c r="AC1073" s="94"/>
      <c r="AD1073" s="94"/>
      <c r="AE1073" s="94"/>
      <c r="AF1073" s="94"/>
      <c r="AG1073" s="94"/>
      <c r="AH1073" s="94"/>
      <c r="AI1073" s="94"/>
      <c r="AJ1073" s="94"/>
      <c r="AK1073" s="94"/>
      <c r="AL1073" s="94"/>
      <c r="AM1073" s="94"/>
      <c r="AN1073" s="94"/>
      <c r="AO1073" s="94"/>
      <c r="AP1073" s="94"/>
      <c r="AQ1073" s="94"/>
      <c r="AR1073" s="94"/>
      <c r="AS1073" s="94"/>
      <c r="AT1073" s="94"/>
      <c r="AU1073" s="94"/>
      <c r="AV1073" s="94"/>
      <c r="AW1073" s="94"/>
      <c r="AX1073" s="94"/>
      <c r="AY1073" s="94"/>
      <c r="AZ1073" s="94"/>
      <c r="BA1073" s="95"/>
    </row>
    <row r="1074" spans="1:53" s="87" customFormat="1">
      <c r="A1074" s="90" t="str">
        <f t="shared" si="41"/>
        <v/>
      </c>
      <c r="B1074" s="98"/>
      <c r="C1074" s="94"/>
      <c r="D1074" s="94"/>
      <c r="E1074" s="94"/>
      <c r="F1074" s="94"/>
      <c r="G1074" s="94"/>
      <c r="H1074" s="94"/>
      <c r="I1074" s="94"/>
      <c r="J1074" s="94"/>
      <c r="K1074" s="94"/>
      <c r="L1074" s="94"/>
      <c r="M1074" s="94"/>
      <c r="N1074" s="94"/>
      <c r="O1074" s="94"/>
      <c r="P1074" s="94"/>
      <c r="Q1074" s="94"/>
      <c r="R1074" s="94"/>
      <c r="S1074" s="94"/>
      <c r="T1074" s="94"/>
      <c r="U1074" s="94"/>
      <c r="V1074" s="94"/>
      <c r="W1074" s="94"/>
      <c r="X1074" s="94"/>
      <c r="Y1074" s="94"/>
      <c r="Z1074" s="94"/>
      <c r="AA1074" s="94"/>
      <c r="AB1074" s="94"/>
      <c r="AC1074" s="94"/>
      <c r="AD1074" s="94"/>
      <c r="AE1074" s="94"/>
      <c r="AF1074" s="94"/>
      <c r="AG1074" s="94"/>
      <c r="AH1074" s="94"/>
      <c r="AI1074" s="94"/>
      <c r="AJ1074" s="94"/>
      <c r="AK1074" s="94"/>
      <c r="AL1074" s="94"/>
      <c r="AM1074" s="94"/>
      <c r="AN1074" s="94"/>
      <c r="AO1074" s="94"/>
      <c r="AP1074" s="94"/>
      <c r="AQ1074" s="94"/>
      <c r="AR1074" s="94"/>
      <c r="AS1074" s="94"/>
      <c r="AT1074" s="94"/>
      <c r="AU1074" s="94"/>
      <c r="AV1074" s="94"/>
      <c r="AW1074" s="94"/>
      <c r="AX1074" s="94"/>
      <c r="AY1074" s="94"/>
      <c r="AZ1074" s="94"/>
      <c r="BA1074" s="95"/>
    </row>
    <row r="1075" spans="1:53" s="87" customFormat="1">
      <c r="A1075" s="90" t="str">
        <f t="shared" si="41"/>
        <v/>
      </c>
      <c r="B1075" s="98"/>
      <c r="C1075" s="94"/>
      <c r="D1075" s="94"/>
      <c r="E1075" s="94"/>
      <c r="F1075" s="94"/>
      <c r="G1075" s="94"/>
      <c r="H1075" s="94"/>
      <c r="I1075" s="94"/>
      <c r="J1075" s="94"/>
      <c r="K1075" s="94"/>
      <c r="L1075" s="94"/>
      <c r="M1075" s="94"/>
      <c r="N1075" s="94"/>
      <c r="O1075" s="94"/>
      <c r="P1075" s="94"/>
      <c r="Q1075" s="94"/>
      <c r="R1075" s="94"/>
      <c r="S1075" s="94"/>
      <c r="T1075" s="94"/>
      <c r="U1075" s="94"/>
      <c r="V1075" s="94"/>
      <c r="W1075" s="94"/>
      <c r="X1075" s="94"/>
      <c r="Y1075" s="94"/>
      <c r="Z1075" s="94"/>
      <c r="AA1075" s="94"/>
      <c r="AB1075" s="94"/>
      <c r="AC1075" s="94"/>
      <c r="AD1075" s="94"/>
      <c r="AE1075" s="94"/>
      <c r="AF1075" s="94"/>
      <c r="AG1075" s="94"/>
      <c r="AH1075" s="94"/>
      <c r="AI1075" s="94"/>
      <c r="AJ1075" s="94"/>
      <c r="AK1075" s="94"/>
      <c r="AL1075" s="94"/>
      <c r="AM1075" s="94"/>
      <c r="AN1075" s="94"/>
      <c r="AO1075" s="94"/>
      <c r="AP1075" s="94"/>
      <c r="AQ1075" s="94"/>
      <c r="AR1075" s="94"/>
      <c r="AS1075" s="94"/>
      <c r="AT1075" s="94"/>
      <c r="AU1075" s="94"/>
      <c r="AV1075" s="94"/>
      <c r="AW1075" s="94"/>
      <c r="AX1075" s="94"/>
      <c r="AY1075" s="94"/>
      <c r="AZ1075" s="94"/>
      <c r="BA1075" s="95"/>
    </row>
    <row r="1076" spans="1:53" s="87" customFormat="1">
      <c r="A1076" s="90" t="str">
        <f t="shared" si="41"/>
        <v/>
      </c>
      <c r="B1076" s="98"/>
      <c r="C1076" s="94"/>
      <c r="D1076" s="94"/>
      <c r="E1076" s="94"/>
      <c r="F1076" s="94"/>
      <c r="G1076" s="94"/>
      <c r="H1076" s="94"/>
      <c r="I1076" s="94"/>
      <c r="J1076" s="94"/>
      <c r="K1076" s="94"/>
      <c r="L1076" s="94"/>
      <c r="M1076" s="94"/>
      <c r="N1076" s="94"/>
      <c r="O1076" s="94"/>
      <c r="P1076" s="94"/>
      <c r="Q1076" s="94"/>
      <c r="R1076" s="94"/>
      <c r="S1076" s="94"/>
      <c r="T1076" s="94"/>
      <c r="U1076" s="94"/>
      <c r="V1076" s="94"/>
      <c r="W1076" s="94"/>
      <c r="X1076" s="94"/>
      <c r="Y1076" s="94"/>
      <c r="Z1076" s="94"/>
      <c r="AA1076" s="94"/>
      <c r="AB1076" s="94"/>
      <c r="AC1076" s="94"/>
      <c r="AD1076" s="94"/>
      <c r="AE1076" s="94"/>
      <c r="AF1076" s="94"/>
      <c r="AG1076" s="94"/>
      <c r="AH1076" s="94"/>
      <c r="AI1076" s="94"/>
      <c r="AJ1076" s="94"/>
      <c r="AK1076" s="94"/>
      <c r="AL1076" s="94"/>
      <c r="AM1076" s="94"/>
      <c r="AN1076" s="94"/>
      <c r="AO1076" s="94"/>
      <c r="AP1076" s="94"/>
      <c r="AQ1076" s="94"/>
      <c r="AR1076" s="94"/>
      <c r="AS1076" s="94"/>
      <c r="AT1076" s="94"/>
      <c r="AU1076" s="94"/>
      <c r="AV1076" s="94"/>
      <c r="AW1076" s="94"/>
      <c r="AX1076" s="94"/>
      <c r="AY1076" s="94"/>
      <c r="AZ1076" s="94"/>
      <c r="BA1076" s="95"/>
    </row>
    <row r="1077" spans="1:53" s="87" customFormat="1">
      <c r="A1077" s="90" t="str">
        <f t="shared" si="41"/>
        <v/>
      </c>
      <c r="B1077" s="98"/>
      <c r="C1077" s="94"/>
      <c r="D1077" s="94"/>
      <c r="E1077" s="94"/>
      <c r="F1077" s="94"/>
      <c r="G1077" s="94"/>
      <c r="H1077" s="94"/>
      <c r="I1077" s="94"/>
      <c r="J1077" s="94"/>
      <c r="K1077" s="94"/>
      <c r="L1077" s="94"/>
      <c r="M1077" s="94"/>
      <c r="N1077" s="94"/>
      <c r="O1077" s="94"/>
      <c r="P1077" s="94"/>
      <c r="Q1077" s="94"/>
      <c r="R1077" s="94"/>
      <c r="S1077" s="94"/>
      <c r="T1077" s="94"/>
      <c r="U1077" s="94"/>
      <c r="V1077" s="94"/>
      <c r="W1077" s="94"/>
      <c r="X1077" s="94"/>
      <c r="Y1077" s="94"/>
      <c r="Z1077" s="94"/>
      <c r="AA1077" s="94"/>
      <c r="AB1077" s="94"/>
      <c r="AC1077" s="94"/>
      <c r="AD1077" s="94"/>
      <c r="AE1077" s="94"/>
      <c r="AF1077" s="94"/>
      <c r="AG1077" s="94"/>
      <c r="AH1077" s="94"/>
      <c r="AI1077" s="94"/>
      <c r="AJ1077" s="94"/>
      <c r="AK1077" s="94"/>
      <c r="AL1077" s="94"/>
      <c r="AM1077" s="94"/>
      <c r="AN1077" s="94"/>
      <c r="AO1077" s="94"/>
      <c r="AP1077" s="94"/>
      <c r="AQ1077" s="94"/>
      <c r="AR1077" s="94"/>
      <c r="AS1077" s="94"/>
      <c r="AT1077" s="94"/>
      <c r="AU1077" s="94"/>
      <c r="AV1077" s="94"/>
      <c r="AW1077" s="94"/>
      <c r="AX1077" s="94"/>
      <c r="AY1077" s="94"/>
      <c r="AZ1077" s="94"/>
      <c r="BA1077" s="95"/>
    </row>
    <row r="1078" spans="1:53" s="87" customFormat="1">
      <c r="A1078" s="90" t="str">
        <f t="shared" si="41"/>
        <v/>
      </c>
      <c r="B1078" s="98"/>
      <c r="C1078" s="94"/>
      <c r="D1078" s="94"/>
      <c r="E1078" s="94"/>
      <c r="F1078" s="94"/>
      <c r="G1078" s="94"/>
      <c r="H1078" s="94"/>
      <c r="I1078" s="94"/>
      <c r="J1078" s="94"/>
      <c r="K1078" s="94"/>
      <c r="L1078" s="94"/>
      <c r="M1078" s="94"/>
      <c r="N1078" s="94"/>
      <c r="O1078" s="94"/>
      <c r="P1078" s="94"/>
      <c r="Q1078" s="94"/>
      <c r="R1078" s="94"/>
      <c r="S1078" s="94"/>
      <c r="T1078" s="94"/>
      <c r="U1078" s="94"/>
      <c r="V1078" s="94"/>
      <c r="W1078" s="94"/>
      <c r="X1078" s="94"/>
      <c r="Y1078" s="94"/>
      <c r="Z1078" s="94"/>
      <c r="AA1078" s="94"/>
      <c r="AB1078" s="94"/>
      <c r="AC1078" s="94"/>
      <c r="AD1078" s="94"/>
      <c r="AE1078" s="94"/>
      <c r="AF1078" s="94"/>
      <c r="AG1078" s="94"/>
      <c r="AH1078" s="94"/>
      <c r="AI1078" s="94"/>
      <c r="AJ1078" s="94"/>
      <c r="AK1078" s="94"/>
      <c r="AL1078" s="94"/>
      <c r="AM1078" s="94"/>
      <c r="AN1078" s="94"/>
      <c r="AO1078" s="94"/>
      <c r="AP1078" s="94"/>
      <c r="AQ1078" s="94"/>
      <c r="AR1078" s="94"/>
      <c r="AS1078" s="94"/>
      <c r="AT1078" s="94"/>
      <c r="AU1078" s="94"/>
      <c r="AV1078" s="94"/>
      <c r="AW1078" s="94"/>
      <c r="AX1078" s="94"/>
      <c r="AY1078" s="94"/>
      <c r="AZ1078" s="94"/>
      <c r="BA1078" s="95"/>
    </row>
    <row r="1079" spans="1:53" s="87" customFormat="1">
      <c r="A1079" s="90" t="str">
        <f t="shared" si="41"/>
        <v/>
      </c>
      <c r="B1079" s="98"/>
      <c r="C1079" s="94"/>
      <c r="D1079" s="94"/>
      <c r="E1079" s="94"/>
      <c r="F1079" s="94"/>
      <c r="G1079" s="94"/>
      <c r="H1079" s="94"/>
      <c r="I1079" s="94"/>
      <c r="J1079" s="94"/>
      <c r="K1079" s="94"/>
      <c r="L1079" s="94"/>
      <c r="M1079" s="94"/>
      <c r="N1079" s="94"/>
      <c r="O1079" s="94"/>
      <c r="P1079" s="94"/>
      <c r="Q1079" s="94"/>
      <c r="R1079" s="94"/>
      <c r="S1079" s="94"/>
      <c r="T1079" s="94"/>
      <c r="U1079" s="94"/>
      <c r="V1079" s="94"/>
      <c r="W1079" s="94"/>
      <c r="X1079" s="94"/>
      <c r="Y1079" s="94"/>
      <c r="Z1079" s="94"/>
      <c r="AA1079" s="94"/>
      <c r="AB1079" s="94"/>
      <c r="AC1079" s="94"/>
      <c r="AD1079" s="94"/>
      <c r="AE1079" s="94"/>
      <c r="AF1079" s="94"/>
      <c r="AG1079" s="94"/>
      <c r="AH1079" s="94"/>
      <c r="AI1079" s="94"/>
      <c r="AJ1079" s="94"/>
      <c r="AK1079" s="94"/>
      <c r="AL1079" s="94"/>
      <c r="AM1079" s="94"/>
      <c r="AN1079" s="94"/>
      <c r="AO1079" s="94"/>
      <c r="AP1079" s="94"/>
      <c r="AQ1079" s="94"/>
      <c r="AR1079" s="94"/>
      <c r="AS1079" s="94"/>
      <c r="AT1079" s="94"/>
      <c r="AU1079" s="94"/>
      <c r="AV1079" s="94"/>
      <c r="AW1079" s="94"/>
      <c r="AX1079" s="94"/>
      <c r="AY1079" s="94"/>
      <c r="AZ1079" s="94"/>
      <c r="BA1079" s="95"/>
    </row>
    <row r="1080" spans="1:53" s="87" customFormat="1">
      <c r="A1080" s="90" t="str">
        <f t="shared" si="41"/>
        <v/>
      </c>
      <c r="B1080" s="98"/>
      <c r="C1080" s="94"/>
      <c r="D1080" s="94"/>
      <c r="E1080" s="94"/>
      <c r="F1080" s="94"/>
      <c r="G1080" s="94"/>
      <c r="H1080" s="94"/>
      <c r="I1080" s="94"/>
      <c r="J1080" s="94"/>
      <c r="K1080" s="94"/>
      <c r="L1080" s="94"/>
      <c r="M1080" s="94"/>
      <c r="N1080" s="94"/>
      <c r="O1080" s="94"/>
      <c r="P1080" s="94"/>
      <c r="Q1080" s="94"/>
      <c r="R1080" s="94"/>
      <c r="S1080" s="94"/>
      <c r="T1080" s="94"/>
      <c r="U1080" s="94"/>
      <c r="V1080" s="94"/>
      <c r="W1080" s="94"/>
      <c r="X1080" s="94"/>
      <c r="Y1080" s="94"/>
      <c r="Z1080" s="94"/>
      <c r="AA1080" s="94"/>
      <c r="AB1080" s="94"/>
      <c r="AC1080" s="94"/>
      <c r="AD1080" s="94"/>
      <c r="AE1080" s="94"/>
      <c r="AF1080" s="94"/>
      <c r="AG1080" s="94"/>
      <c r="AH1080" s="94"/>
      <c r="AI1080" s="94"/>
      <c r="AJ1080" s="94"/>
      <c r="AK1080" s="94"/>
      <c r="AL1080" s="94"/>
      <c r="AM1080" s="94"/>
      <c r="AN1080" s="94"/>
      <c r="AO1080" s="94"/>
      <c r="AP1080" s="94"/>
      <c r="AQ1080" s="94"/>
      <c r="AR1080" s="94"/>
      <c r="AS1080" s="94"/>
      <c r="AT1080" s="94"/>
      <c r="AU1080" s="94"/>
      <c r="AV1080" s="94"/>
      <c r="AW1080" s="94"/>
      <c r="AX1080" s="94"/>
      <c r="AY1080" s="94"/>
      <c r="AZ1080" s="94"/>
      <c r="BA1080" s="95"/>
    </row>
    <row r="1081" spans="1:53" s="87" customFormat="1">
      <c r="A1081" s="90" t="str">
        <f t="shared" si="41"/>
        <v/>
      </c>
      <c r="B1081" s="98"/>
      <c r="C1081" s="94"/>
      <c r="D1081" s="94"/>
      <c r="E1081" s="94"/>
      <c r="F1081" s="94"/>
      <c r="G1081" s="94"/>
      <c r="H1081" s="94"/>
      <c r="I1081" s="94"/>
      <c r="J1081" s="94"/>
      <c r="K1081" s="94"/>
      <c r="L1081" s="94"/>
      <c r="M1081" s="94"/>
      <c r="N1081" s="94"/>
      <c r="O1081" s="94"/>
      <c r="P1081" s="94"/>
      <c r="Q1081" s="94"/>
      <c r="R1081" s="94"/>
      <c r="S1081" s="94"/>
      <c r="T1081" s="94"/>
      <c r="U1081" s="94"/>
      <c r="V1081" s="94"/>
      <c r="W1081" s="94"/>
      <c r="X1081" s="94"/>
      <c r="Y1081" s="94"/>
      <c r="Z1081" s="94"/>
      <c r="AA1081" s="94"/>
      <c r="AB1081" s="94"/>
      <c r="AC1081" s="94"/>
      <c r="AD1081" s="94"/>
      <c r="AE1081" s="94"/>
      <c r="AF1081" s="94"/>
      <c r="AG1081" s="94"/>
      <c r="AH1081" s="94"/>
      <c r="AI1081" s="94"/>
      <c r="AJ1081" s="94"/>
      <c r="AK1081" s="94"/>
      <c r="AL1081" s="94"/>
      <c r="AM1081" s="94"/>
      <c r="AN1081" s="94"/>
      <c r="AO1081" s="94"/>
      <c r="AP1081" s="94"/>
      <c r="AQ1081" s="94"/>
      <c r="AR1081" s="94"/>
      <c r="AS1081" s="94"/>
      <c r="AT1081" s="94"/>
      <c r="AU1081" s="94"/>
      <c r="AV1081" s="94"/>
      <c r="AW1081" s="94"/>
      <c r="AX1081" s="94"/>
      <c r="AY1081" s="94"/>
      <c r="AZ1081" s="94"/>
      <c r="BA1081" s="95"/>
    </row>
    <row r="1082" spans="1:53" s="87" customFormat="1">
      <c r="A1082" s="90" t="str">
        <f t="shared" si="41"/>
        <v/>
      </c>
      <c r="B1082" s="98"/>
      <c r="C1082" s="94"/>
      <c r="D1082" s="94"/>
      <c r="E1082" s="94"/>
      <c r="F1082" s="94"/>
      <c r="G1082" s="94"/>
      <c r="H1082" s="94"/>
      <c r="I1082" s="94"/>
      <c r="J1082" s="94"/>
      <c r="K1082" s="94"/>
      <c r="L1082" s="94"/>
      <c r="M1082" s="94"/>
      <c r="N1082" s="94"/>
      <c r="O1082" s="94"/>
      <c r="P1082" s="94"/>
      <c r="Q1082" s="94"/>
      <c r="R1082" s="94"/>
      <c r="S1082" s="94"/>
      <c r="T1082" s="94"/>
      <c r="U1082" s="94"/>
      <c r="V1082" s="94"/>
      <c r="W1082" s="94"/>
      <c r="X1082" s="94"/>
      <c r="Y1082" s="94"/>
      <c r="Z1082" s="94"/>
      <c r="AA1082" s="94"/>
      <c r="AB1082" s="94"/>
      <c r="AC1082" s="94"/>
      <c r="AD1082" s="94"/>
      <c r="AE1082" s="94"/>
      <c r="AF1082" s="94"/>
      <c r="AG1082" s="94"/>
      <c r="AH1082" s="94"/>
      <c r="AI1082" s="94"/>
      <c r="AJ1082" s="94"/>
      <c r="AK1082" s="94"/>
      <c r="AL1082" s="94"/>
      <c r="AM1082" s="94"/>
      <c r="AN1082" s="94"/>
      <c r="AO1082" s="94"/>
      <c r="AP1082" s="94"/>
      <c r="AQ1082" s="94"/>
      <c r="AR1082" s="94"/>
      <c r="AS1082" s="94"/>
      <c r="AT1082" s="94"/>
      <c r="AU1082" s="94"/>
      <c r="AV1082" s="94"/>
      <c r="AW1082" s="94"/>
      <c r="AX1082" s="94"/>
      <c r="AY1082" s="94"/>
      <c r="AZ1082" s="94"/>
      <c r="BA1082" s="95"/>
    </row>
    <row r="1083" spans="1:53" s="87" customFormat="1">
      <c r="A1083" s="90" t="str">
        <f t="shared" si="41"/>
        <v/>
      </c>
      <c r="B1083" s="98"/>
      <c r="C1083" s="94"/>
      <c r="D1083" s="94"/>
      <c r="E1083" s="94"/>
      <c r="F1083" s="94"/>
      <c r="G1083" s="94"/>
      <c r="H1083" s="94"/>
      <c r="I1083" s="94"/>
      <c r="J1083" s="94"/>
      <c r="K1083" s="94"/>
      <c r="L1083" s="94"/>
      <c r="M1083" s="94"/>
      <c r="N1083" s="94"/>
      <c r="O1083" s="94"/>
      <c r="P1083" s="94"/>
      <c r="Q1083" s="94"/>
      <c r="R1083" s="94"/>
      <c r="S1083" s="94"/>
      <c r="T1083" s="94"/>
      <c r="U1083" s="94"/>
      <c r="V1083" s="94"/>
      <c r="W1083" s="94"/>
      <c r="X1083" s="94"/>
      <c r="Y1083" s="94"/>
      <c r="Z1083" s="94"/>
      <c r="AA1083" s="94"/>
      <c r="AB1083" s="94"/>
      <c r="AC1083" s="94"/>
      <c r="AD1083" s="94"/>
      <c r="AE1083" s="94"/>
      <c r="AF1083" s="94"/>
      <c r="AG1083" s="94"/>
      <c r="AH1083" s="94"/>
      <c r="AI1083" s="94"/>
      <c r="AJ1083" s="94"/>
      <c r="AK1083" s="94"/>
      <c r="AL1083" s="94"/>
      <c r="AM1083" s="94"/>
      <c r="AN1083" s="94"/>
      <c r="AO1083" s="94"/>
      <c r="AP1083" s="94"/>
      <c r="AQ1083" s="94"/>
      <c r="AR1083" s="94"/>
      <c r="AS1083" s="94"/>
      <c r="AT1083" s="94"/>
      <c r="AU1083" s="94"/>
      <c r="AV1083" s="94"/>
      <c r="AW1083" s="94"/>
      <c r="AX1083" s="94"/>
      <c r="AY1083" s="94"/>
      <c r="AZ1083" s="94"/>
      <c r="BA1083" s="95"/>
    </row>
    <row r="1084" spans="1:53" s="87" customFormat="1">
      <c r="A1084" s="90" t="str">
        <f t="shared" si="41"/>
        <v/>
      </c>
      <c r="B1084" s="98"/>
      <c r="C1084" s="94"/>
      <c r="D1084" s="94"/>
      <c r="E1084" s="94"/>
      <c r="F1084" s="94"/>
      <c r="G1084" s="94"/>
      <c r="H1084" s="94"/>
      <c r="I1084" s="94"/>
      <c r="J1084" s="94"/>
      <c r="K1084" s="94"/>
      <c r="L1084" s="94"/>
      <c r="M1084" s="94"/>
      <c r="N1084" s="94"/>
      <c r="O1084" s="94"/>
      <c r="P1084" s="94"/>
      <c r="Q1084" s="94"/>
      <c r="R1084" s="94"/>
      <c r="S1084" s="94"/>
      <c r="T1084" s="94"/>
      <c r="U1084" s="94"/>
      <c r="V1084" s="94"/>
      <c r="W1084" s="94"/>
      <c r="X1084" s="94"/>
      <c r="Y1084" s="94"/>
      <c r="Z1084" s="94"/>
      <c r="AA1084" s="94"/>
      <c r="AB1084" s="94"/>
      <c r="AC1084" s="94"/>
      <c r="AD1084" s="94"/>
      <c r="AE1084" s="94"/>
      <c r="AF1084" s="94"/>
      <c r="AG1084" s="94"/>
      <c r="AH1084" s="94"/>
      <c r="AI1084" s="94"/>
      <c r="AJ1084" s="94"/>
      <c r="AK1084" s="94"/>
      <c r="AL1084" s="94"/>
      <c r="AM1084" s="94"/>
      <c r="AN1084" s="94"/>
      <c r="AO1084" s="94"/>
      <c r="AP1084" s="94"/>
      <c r="AQ1084" s="94"/>
      <c r="AR1084" s="94"/>
      <c r="AS1084" s="94"/>
      <c r="AT1084" s="94"/>
      <c r="AU1084" s="94"/>
      <c r="AV1084" s="94"/>
      <c r="AW1084" s="94"/>
      <c r="AX1084" s="94"/>
      <c r="AY1084" s="94"/>
      <c r="AZ1084" s="94"/>
      <c r="BA1084" s="95"/>
    </row>
    <row r="1085" spans="1:53" s="87" customFormat="1">
      <c r="A1085" s="90" t="str">
        <f t="shared" si="41"/>
        <v/>
      </c>
      <c r="B1085" s="98"/>
      <c r="C1085" s="94"/>
      <c r="D1085" s="94"/>
      <c r="E1085" s="94"/>
      <c r="F1085" s="94"/>
      <c r="G1085" s="94"/>
      <c r="H1085" s="94"/>
      <c r="I1085" s="94"/>
      <c r="J1085" s="94"/>
      <c r="K1085" s="94"/>
      <c r="L1085" s="94"/>
      <c r="M1085" s="94"/>
      <c r="N1085" s="94"/>
      <c r="O1085" s="94"/>
      <c r="P1085" s="94"/>
      <c r="Q1085" s="94"/>
      <c r="R1085" s="94"/>
      <c r="S1085" s="94"/>
      <c r="T1085" s="94"/>
      <c r="U1085" s="94"/>
      <c r="V1085" s="94"/>
      <c r="W1085" s="94"/>
      <c r="X1085" s="94"/>
      <c r="Y1085" s="94"/>
      <c r="Z1085" s="94"/>
      <c r="AA1085" s="94"/>
      <c r="AB1085" s="94"/>
      <c r="AC1085" s="94"/>
      <c r="AD1085" s="94"/>
      <c r="AE1085" s="94"/>
      <c r="AF1085" s="94"/>
      <c r="AG1085" s="94"/>
      <c r="AH1085" s="94"/>
      <c r="AI1085" s="94"/>
      <c r="AJ1085" s="94"/>
      <c r="AK1085" s="94"/>
      <c r="AL1085" s="94"/>
      <c r="AM1085" s="94"/>
      <c r="AN1085" s="94"/>
      <c r="AO1085" s="94"/>
      <c r="AP1085" s="94"/>
      <c r="AQ1085" s="94"/>
      <c r="AR1085" s="94"/>
      <c r="AS1085" s="94"/>
      <c r="AT1085" s="94"/>
      <c r="AU1085" s="94"/>
      <c r="AV1085" s="94"/>
      <c r="AW1085" s="94"/>
      <c r="AX1085" s="94"/>
      <c r="AY1085" s="94"/>
      <c r="AZ1085" s="94"/>
      <c r="BA1085" s="95"/>
    </row>
    <row r="1086" spans="1:53" s="87" customFormat="1">
      <c r="A1086" s="90" t="str">
        <f t="shared" si="41"/>
        <v/>
      </c>
      <c r="B1086" s="98"/>
      <c r="C1086" s="94"/>
      <c r="D1086" s="94"/>
      <c r="E1086" s="94"/>
      <c r="F1086" s="94"/>
      <c r="G1086" s="94"/>
      <c r="H1086" s="94"/>
      <c r="I1086" s="94"/>
      <c r="J1086" s="94"/>
      <c r="K1086" s="94"/>
      <c r="L1086" s="94"/>
      <c r="M1086" s="94"/>
      <c r="N1086" s="94"/>
      <c r="O1086" s="94"/>
      <c r="P1086" s="94"/>
      <c r="Q1086" s="94"/>
      <c r="R1086" s="94"/>
      <c r="S1086" s="94"/>
      <c r="T1086" s="94"/>
      <c r="U1086" s="94"/>
      <c r="V1086" s="94"/>
      <c r="W1086" s="94"/>
      <c r="X1086" s="94"/>
      <c r="Y1086" s="94"/>
      <c r="Z1086" s="94"/>
      <c r="AA1086" s="94"/>
      <c r="AB1086" s="94"/>
      <c r="AC1086" s="94"/>
      <c r="AD1086" s="94"/>
      <c r="AE1086" s="94"/>
      <c r="AF1086" s="94"/>
      <c r="AG1086" s="94"/>
      <c r="AH1086" s="94"/>
      <c r="AI1086" s="94"/>
      <c r="AJ1086" s="94"/>
      <c r="AK1086" s="94"/>
      <c r="AL1086" s="94"/>
      <c r="AM1086" s="94"/>
      <c r="AN1086" s="94"/>
      <c r="AO1086" s="94"/>
      <c r="AP1086" s="94"/>
      <c r="AQ1086" s="94"/>
      <c r="AR1086" s="94"/>
      <c r="AS1086" s="94"/>
      <c r="AT1086" s="94"/>
      <c r="AU1086" s="94"/>
      <c r="AV1086" s="94"/>
      <c r="AW1086" s="94"/>
      <c r="AX1086" s="94"/>
      <c r="AY1086" s="94"/>
      <c r="AZ1086" s="94"/>
      <c r="BA1086" s="95"/>
    </row>
    <row r="1087" spans="1:53" s="87" customFormat="1">
      <c r="A1087" s="90" t="str">
        <f t="shared" si="41"/>
        <v/>
      </c>
      <c r="B1087" s="98"/>
      <c r="C1087" s="94"/>
      <c r="D1087" s="94"/>
      <c r="E1087" s="94"/>
      <c r="F1087" s="94"/>
      <c r="G1087" s="94"/>
      <c r="H1087" s="94"/>
      <c r="I1087" s="94"/>
      <c r="J1087" s="94"/>
      <c r="K1087" s="94"/>
      <c r="L1087" s="94"/>
      <c r="M1087" s="94"/>
      <c r="N1087" s="94"/>
      <c r="O1087" s="94"/>
      <c r="P1087" s="94"/>
      <c r="Q1087" s="94"/>
      <c r="R1087" s="94"/>
      <c r="S1087" s="94"/>
      <c r="T1087" s="94"/>
      <c r="U1087" s="94"/>
      <c r="V1087" s="94"/>
      <c r="W1087" s="94"/>
      <c r="X1087" s="94"/>
      <c r="Y1087" s="94"/>
      <c r="Z1087" s="94"/>
      <c r="AA1087" s="94"/>
      <c r="AB1087" s="94"/>
      <c r="AC1087" s="94"/>
      <c r="AD1087" s="94"/>
      <c r="AE1087" s="94"/>
      <c r="AF1087" s="94"/>
      <c r="AG1087" s="94"/>
      <c r="AH1087" s="94"/>
      <c r="AI1087" s="94"/>
      <c r="AJ1087" s="94"/>
      <c r="AK1087" s="94"/>
      <c r="AL1087" s="94"/>
      <c r="AM1087" s="94"/>
      <c r="AN1087" s="94"/>
      <c r="AO1087" s="94"/>
      <c r="AP1087" s="94"/>
      <c r="AQ1087" s="94"/>
      <c r="AR1087" s="94"/>
      <c r="AS1087" s="94"/>
      <c r="AT1087" s="94"/>
      <c r="AU1087" s="94"/>
      <c r="AV1087" s="94"/>
      <c r="AW1087" s="94"/>
      <c r="AX1087" s="94"/>
      <c r="AY1087" s="94"/>
      <c r="AZ1087" s="94"/>
      <c r="BA1087" s="95"/>
    </row>
    <row r="1088" spans="1:53" s="87" customFormat="1">
      <c r="A1088" s="90" t="str">
        <f t="shared" si="41"/>
        <v/>
      </c>
      <c r="B1088" s="98"/>
      <c r="C1088" s="94"/>
      <c r="D1088" s="94"/>
      <c r="E1088" s="94"/>
      <c r="F1088" s="94"/>
      <c r="G1088" s="94"/>
      <c r="H1088" s="94"/>
      <c r="I1088" s="94"/>
      <c r="J1088" s="94"/>
      <c r="K1088" s="94"/>
      <c r="L1088" s="94"/>
      <c r="M1088" s="94"/>
      <c r="N1088" s="94"/>
      <c r="O1088" s="94"/>
      <c r="P1088" s="94"/>
      <c r="Q1088" s="94"/>
      <c r="R1088" s="94"/>
      <c r="S1088" s="94"/>
      <c r="T1088" s="94"/>
      <c r="U1088" s="94"/>
      <c r="V1088" s="94"/>
      <c r="W1088" s="94"/>
      <c r="X1088" s="94"/>
      <c r="Y1088" s="94"/>
      <c r="Z1088" s="94"/>
      <c r="AA1088" s="94"/>
      <c r="AB1088" s="94"/>
      <c r="AC1088" s="94"/>
      <c r="AD1088" s="94"/>
      <c r="AE1088" s="94"/>
      <c r="AF1088" s="94"/>
      <c r="AG1088" s="94"/>
      <c r="AH1088" s="94"/>
      <c r="AI1088" s="94"/>
      <c r="AJ1088" s="94"/>
      <c r="AK1088" s="94"/>
      <c r="AL1088" s="94"/>
      <c r="AM1088" s="94"/>
      <c r="AN1088" s="94"/>
      <c r="AO1088" s="94"/>
      <c r="AP1088" s="94"/>
      <c r="AQ1088" s="94"/>
      <c r="AR1088" s="94"/>
      <c r="AS1088" s="94"/>
      <c r="AT1088" s="94"/>
      <c r="AU1088" s="94"/>
      <c r="AV1088" s="94"/>
      <c r="AW1088" s="94"/>
      <c r="AX1088" s="94"/>
      <c r="AY1088" s="94"/>
      <c r="AZ1088" s="94"/>
      <c r="BA1088" s="95"/>
    </row>
    <row r="1089" spans="1:53" s="87" customFormat="1">
      <c r="A1089" s="90" t="str">
        <f t="shared" si="41"/>
        <v/>
      </c>
      <c r="B1089" s="98"/>
      <c r="C1089" s="94"/>
      <c r="D1089" s="94"/>
      <c r="E1089" s="94"/>
      <c r="F1089" s="94"/>
      <c r="G1089" s="94"/>
      <c r="H1089" s="94"/>
      <c r="I1089" s="94"/>
      <c r="J1089" s="94"/>
      <c r="K1089" s="94"/>
      <c r="L1089" s="94"/>
      <c r="M1089" s="94"/>
      <c r="N1089" s="94"/>
      <c r="O1089" s="94"/>
      <c r="P1089" s="94"/>
      <c r="Q1089" s="94"/>
      <c r="R1089" s="94"/>
      <c r="S1089" s="94"/>
      <c r="T1089" s="94"/>
      <c r="U1089" s="94"/>
      <c r="V1089" s="94"/>
      <c r="W1089" s="94"/>
      <c r="X1089" s="94"/>
      <c r="Y1089" s="94"/>
      <c r="Z1089" s="94"/>
      <c r="AA1089" s="94"/>
      <c r="AB1089" s="94"/>
      <c r="AC1089" s="94"/>
      <c r="AD1089" s="94"/>
      <c r="AE1089" s="94"/>
      <c r="AF1089" s="94"/>
      <c r="AG1089" s="94"/>
      <c r="AH1089" s="94"/>
      <c r="AI1089" s="94"/>
      <c r="AJ1089" s="94"/>
      <c r="AK1089" s="94"/>
      <c r="AL1089" s="94"/>
      <c r="AM1089" s="94"/>
      <c r="AN1089" s="94"/>
      <c r="AO1089" s="94"/>
      <c r="AP1089" s="94"/>
      <c r="AQ1089" s="94"/>
      <c r="AR1089" s="94"/>
      <c r="AS1089" s="94"/>
      <c r="AT1089" s="94"/>
      <c r="AU1089" s="94"/>
      <c r="AV1089" s="94"/>
      <c r="AW1089" s="94"/>
      <c r="AX1089" s="94"/>
      <c r="AY1089" s="94"/>
      <c r="AZ1089" s="94"/>
      <c r="BA1089" s="95"/>
    </row>
    <row r="1090" spans="1:53" s="87" customFormat="1">
      <c r="A1090" s="90" t="str">
        <f t="shared" si="41"/>
        <v/>
      </c>
      <c r="B1090" s="98"/>
      <c r="C1090" s="94"/>
      <c r="D1090" s="94"/>
      <c r="E1090" s="94"/>
      <c r="F1090" s="94"/>
      <c r="G1090" s="94"/>
      <c r="H1090" s="94"/>
      <c r="I1090" s="94"/>
      <c r="J1090" s="94"/>
      <c r="K1090" s="94"/>
      <c r="L1090" s="94"/>
      <c r="M1090" s="94"/>
      <c r="N1090" s="94"/>
      <c r="O1090" s="94"/>
      <c r="P1090" s="94"/>
      <c r="Q1090" s="94"/>
      <c r="R1090" s="94"/>
      <c r="S1090" s="94"/>
      <c r="T1090" s="94"/>
      <c r="U1090" s="94"/>
      <c r="V1090" s="94"/>
      <c r="W1090" s="94"/>
      <c r="X1090" s="94"/>
      <c r="Y1090" s="94"/>
      <c r="Z1090" s="94"/>
      <c r="AA1090" s="94"/>
      <c r="AB1090" s="94"/>
      <c r="AC1090" s="94"/>
      <c r="AD1090" s="94"/>
      <c r="AE1090" s="94"/>
      <c r="AF1090" s="94"/>
      <c r="AG1090" s="94"/>
      <c r="AH1090" s="94"/>
      <c r="AI1090" s="94"/>
      <c r="AJ1090" s="94"/>
      <c r="AK1090" s="94"/>
      <c r="AL1090" s="94"/>
      <c r="AM1090" s="94"/>
      <c r="AN1090" s="94"/>
      <c r="AO1090" s="94"/>
      <c r="AP1090" s="94"/>
      <c r="AQ1090" s="94"/>
      <c r="AR1090" s="94"/>
      <c r="AS1090" s="94"/>
      <c r="AT1090" s="94"/>
      <c r="AU1090" s="94"/>
      <c r="AV1090" s="94"/>
      <c r="AW1090" s="94"/>
      <c r="AX1090" s="94"/>
      <c r="AY1090" s="94"/>
      <c r="AZ1090" s="94"/>
      <c r="BA1090" s="95"/>
    </row>
    <row r="1091" spans="1:53" s="87" customFormat="1">
      <c r="A1091" s="90" t="str">
        <f t="shared" si="41"/>
        <v/>
      </c>
      <c r="B1091" s="98"/>
      <c r="C1091" s="94"/>
      <c r="D1091" s="94"/>
      <c r="E1091" s="94"/>
      <c r="F1091" s="94"/>
      <c r="G1091" s="94"/>
      <c r="H1091" s="94"/>
      <c r="I1091" s="94"/>
      <c r="J1091" s="94"/>
      <c r="K1091" s="94"/>
      <c r="L1091" s="94"/>
      <c r="M1091" s="94"/>
      <c r="N1091" s="94"/>
      <c r="O1091" s="94"/>
      <c r="P1091" s="94"/>
      <c r="Q1091" s="94"/>
      <c r="R1091" s="94"/>
      <c r="S1091" s="94"/>
      <c r="T1091" s="94"/>
      <c r="U1091" s="94"/>
      <c r="V1091" s="94"/>
      <c r="W1091" s="94"/>
      <c r="X1091" s="94"/>
      <c r="Y1091" s="94"/>
      <c r="Z1091" s="94"/>
      <c r="AA1091" s="94"/>
      <c r="AB1091" s="94"/>
      <c r="AC1091" s="94"/>
      <c r="AD1091" s="94"/>
      <c r="AE1091" s="94"/>
      <c r="AF1091" s="94"/>
      <c r="AG1091" s="94"/>
      <c r="AH1091" s="94"/>
      <c r="AI1091" s="94"/>
      <c r="AJ1091" s="94"/>
      <c r="AK1091" s="94"/>
      <c r="AL1091" s="94"/>
      <c r="AM1091" s="94"/>
      <c r="AN1091" s="94"/>
      <c r="AO1091" s="94"/>
      <c r="AP1091" s="94"/>
      <c r="AQ1091" s="94"/>
      <c r="AR1091" s="94"/>
      <c r="AS1091" s="94"/>
      <c r="AT1091" s="94"/>
      <c r="AU1091" s="94"/>
      <c r="AV1091" s="94"/>
      <c r="AW1091" s="94"/>
      <c r="AX1091" s="94"/>
      <c r="AY1091" s="94"/>
      <c r="AZ1091" s="94"/>
      <c r="BA1091" s="95"/>
    </row>
    <row r="1092" spans="1:53" s="87" customFormat="1">
      <c r="A1092" s="90" t="str">
        <f t="shared" si="41"/>
        <v/>
      </c>
      <c r="B1092" s="98"/>
      <c r="C1092" s="94"/>
      <c r="D1092" s="94"/>
      <c r="E1092" s="94"/>
      <c r="F1092" s="94"/>
      <c r="G1092" s="94"/>
      <c r="H1092" s="94"/>
      <c r="I1092" s="94"/>
      <c r="J1092" s="94"/>
      <c r="K1092" s="94"/>
      <c r="L1092" s="94"/>
      <c r="M1092" s="94"/>
      <c r="N1092" s="94"/>
      <c r="O1092" s="94"/>
      <c r="P1092" s="94"/>
      <c r="Q1092" s="94"/>
      <c r="R1092" s="94"/>
      <c r="S1092" s="94"/>
      <c r="T1092" s="94"/>
      <c r="U1092" s="94"/>
      <c r="V1092" s="94"/>
      <c r="W1092" s="94"/>
      <c r="X1092" s="94"/>
      <c r="Y1092" s="94"/>
      <c r="Z1092" s="94"/>
      <c r="AA1092" s="94"/>
      <c r="AB1092" s="94"/>
      <c r="AC1092" s="94"/>
      <c r="AD1092" s="94"/>
      <c r="AE1092" s="94"/>
      <c r="AF1092" s="94"/>
      <c r="AG1092" s="94"/>
      <c r="AH1092" s="94"/>
      <c r="AI1092" s="94"/>
      <c r="AJ1092" s="94"/>
      <c r="AK1092" s="94"/>
      <c r="AL1092" s="94"/>
      <c r="AM1092" s="94"/>
      <c r="AN1092" s="94"/>
      <c r="AO1092" s="94"/>
      <c r="AP1092" s="94"/>
      <c r="AQ1092" s="94"/>
      <c r="AR1092" s="94"/>
      <c r="AS1092" s="94"/>
      <c r="AT1092" s="94"/>
      <c r="AU1092" s="94"/>
      <c r="AV1092" s="94"/>
      <c r="AW1092" s="94"/>
      <c r="AX1092" s="94"/>
      <c r="AY1092" s="94"/>
      <c r="AZ1092" s="94"/>
      <c r="BA1092" s="95"/>
    </row>
    <row r="1093" spans="1:53" s="87" customFormat="1">
      <c r="A1093" s="90" t="str">
        <f t="shared" si="41"/>
        <v/>
      </c>
      <c r="B1093" s="98"/>
      <c r="C1093" s="94"/>
      <c r="D1093" s="94"/>
      <c r="E1093" s="94"/>
      <c r="F1093" s="94"/>
      <c r="G1093" s="94"/>
      <c r="H1093" s="94"/>
      <c r="I1093" s="94"/>
      <c r="J1093" s="94"/>
      <c r="K1093" s="94"/>
      <c r="L1093" s="94"/>
      <c r="M1093" s="94"/>
      <c r="N1093" s="94"/>
      <c r="O1093" s="94"/>
      <c r="P1093" s="94"/>
      <c r="Q1093" s="94"/>
      <c r="R1093" s="94"/>
      <c r="S1093" s="94"/>
      <c r="T1093" s="94"/>
      <c r="U1093" s="94"/>
      <c r="V1093" s="94"/>
      <c r="W1093" s="94"/>
      <c r="X1093" s="94"/>
      <c r="Y1093" s="94"/>
      <c r="Z1093" s="94"/>
      <c r="AA1093" s="94"/>
      <c r="AB1093" s="94"/>
      <c r="AC1093" s="94"/>
      <c r="AD1093" s="94"/>
      <c r="AE1093" s="94"/>
      <c r="AF1093" s="94"/>
      <c r="AG1093" s="94"/>
      <c r="AH1093" s="94"/>
      <c r="AI1093" s="94"/>
      <c r="AJ1093" s="94"/>
      <c r="AK1093" s="94"/>
      <c r="AL1093" s="94"/>
      <c r="AM1093" s="94"/>
      <c r="AN1093" s="94"/>
      <c r="AO1093" s="94"/>
      <c r="AP1093" s="94"/>
      <c r="AQ1093" s="94"/>
      <c r="AR1093" s="94"/>
      <c r="AS1093" s="94"/>
      <c r="AT1093" s="94"/>
      <c r="AU1093" s="94"/>
      <c r="AV1093" s="94"/>
      <c r="AW1093" s="94"/>
      <c r="AX1093" s="94"/>
      <c r="AY1093" s="94"/>
      <c r="AZ1093" s="94"/>
      <c r="BA1093" s="95"/>
    </row>
    <row r="1094" spans="1:53" s="87" customFormat="1">
      <c r="A1094" s="90" t="str">
        <f t="shared" si="41"/>
        <v/>
      </c>
      <c r="B1094" s="98"/>
      <c r="C1094" s="94"/>
      <c r="D1094" s="94"/>
      <c r="E1094" s="94"/>
      <c r="F1094" s="94"/>
      <c r="G1094" s="94"/>
      <c r="H1094" s="94"/>
      <c r="I1094" s="94"/>
      <c r="J1094" s="94"/>
      <c r="K1094" s="94"/>
      <c r="L1094" s="94"/>
      <c r="M1094" s="94"/>
      <c r="N1094" s="94"/>
      <c r="O1094" s="94"/>
      <c r="P1094" s="94"/>
      <c r="Q1094" s="94"/>
      <c r="R1094" s="94"/>
      <c r="S1094" s="94"/>
      <c r="T1094" s="94"/>
      <c r="U1094" s="94"/>
      <c r="V1094" s="94"/>
      <c r="W1094" s="94"/>
      <c r="X1094" s="94"/>
      <c r="Y1094" s="94"/>
      <c r="Z1094" s="94"/>
      <c r="AA1094" s="94"/>
      <c r="AB1094" s="94"/>
      <c r="AC1094" s="94"/>
      <c r="AD1094" s="94"/>
      <c r="AE1094" s="94"/>
      <c r="AF1094" s="94"/>
      <c r="AG1094" s="94"/>
      <c r="AH1094" s="94"/>
      <c r="AI1094" s="94"/>
      <c r="AJ1094" s="94"/>
      <c r="AK1094" s="94"/>
      <c r="AL1094" s="94"/>
      <c r="AM1094" s="94"/>
      <c r="AN1094" s="94"/>
      <c r="AO1094" s="94"/>
      <c r="AP1094" s="94"/>
      <c r="AQ1094" s="94"/>
      <c r="AR1094" s="94"/>
      <c r="AS1094" s="94"/>
      <c r="AT1094" s="94"/>
      <c r="AU1094" s="94"/>
      <c r="AV1094" s="94"/>
      <c r="AW1094" s="94"/>
      <c r="AX1094" s="94"/>
      <c r="AY1094" s="94"/>
      <c r="AZ1094" s="94"/>
      <c r="BA1094" s="95"/>
    </row>
    <row r="1095" spans="1:53" s="87" customFormat="1">
      <c r="A1095" s="90" t="str">
        <f t="shared" si="41"/>
        <v/>
      </c>
      <c r="B1095" s="98"/>
      <c r="C1095" s="94"/>
      <c r="D1095" s="94"/>
      <c r="E1095" s="94"/>
      <c r="F1095" s="94"/>
      <c r="G1095" s="94"/>
      <c r="H1095" s="94"/>
      <c r="I1095" s="94"/>
      <c r="J1095" s="94"/>
      <c r="K1095" s="94"/>
      <c r="L1095" s="94"/>
      <c r="M1095" s="94"/>
      <c r="N1095" s="94"/>
      <c r="O1095" s="94"/>
      <c r="P1095" s="94"/>
      <c r="Q1095" s="94"/>
      <c r="R1095" s="94"/>
      <c r="S1095" s="94"/>
      <c r="T1095" s="94"/>
      <c r="U1095" s="94"/>
      <c r="V1095" s="94"/>
      <c r="W1095" s="94"/>
      <c r="X1095" s="94"/>
      <c r="Y1095" s="94"/>
      <c r="Z1095" s="94"/>
      <c r="AA1095" s="94"/>
      <c r="AB1095" s="94"/>
      <c r="AC1095" s="94"/>
      <c r="AD1095" s="94"/>
      <c r="AE1095" s="94"/>
      <c r="AF1095" s="94"/>
      <c r="AG1095" s="94"/>
      <c r="AH1095" s="94"/>
      <c r="AI1095" s="94"/>
      <c r="AJ1095" s="94"/>
      <c r="AK1095" s="94"/>
      <c r="AL1095" s="94"/>
      <c r="AM1095" s="94"/>
      <c r="AN1095" s="94"/>
      <c r="AO1095" s="94"/>
      <c r="AP1095" s="94"/>
      <c r="AQ1095" s="94"/>
      <c r="AR1095" s="94"/>
      <c r="AS1095" s="94"/>
      <c r="AT1095" s="94"/>
      <c r="AU1095" s="94"/>
      <c r="AV1095" s="94"/>
      <c r="AW1095" s="94"/>
      <c r="AX1095" s="94"/>
      <c r="AY1095" s="94"/>
      <c r="AZ1095" s="94"/>
      <c r="BA1095" s="95"/>
    </row>
    <row r="1096" spans="1:53" s="87" customFormat="1">
      <c r="A1096" s="90" t="str">
        <f t="shared" si="41"/>
        <v/>
      </c>
      <c r="B1096" s="98"/>
      <c r="C1096" s="94"/>
      <c r="D1096" s="94"/>
      <c r="E1096" s="94"/>
      <c r="F1096" s="94"/>
      <c r="G1096" s="94"/>
      <c r="H1096" s="94"/>
      <c r="I1096" s="94"/>
      <c r="J1096" s="94"/>
      <c r="K1096" s="94"/>
      <c r="L1096" s="94"/>
      <c r="M1096" s="94"/>
      <c r="N1096" s="94"/>
      <c r="O1096" s="94"/>
      <c r="P1096" s="94"/>
      <c r="Q1096" s="94"/>
      <c r="R1096" s="94"/>
      <c r="S1096" s="94"/>
      <c r="T1096" s="94"/>
      <c r="U1096" s="94"/>
      <c r="V1096" s="94"/>
      <c r="W1096" s="94"/>
      <c r="X1096" s="94"/>
      <c r="Y1096" s="94"/>
      <c r="Z1096" s="94"/>
      <c r="AA1096" s="94"/>
      <c r="AB1096" s="94"/>
      <c r="AC1096" s="94"/>
      <c r="AD1096" s="94"/>
      <c r="AE1096" s="94"/>
      <c r="AF1096" s="94"/>
      <c r="AG1096" s="94"/>
      <c r="AH1096" s="94"/>
      <c r="AI1096" s="94"/>
      <c r="AJ1096" s="94"/>
      <c r="AK1096" s="94"/>
      <c r="AL1096" s="94"/>
      <c r="AM1096" s="94"/>
      <c r="AN1096" s="94"/>
      <c r="AO1096" s="94"/>
      <c r="AP1096" s="94"/>
      <c r="AQ1096" s="94"/>
      <c r="AR1096" s="94"/>
      <c r="AS1096" s="94"/>
      <c r="AT1096" s="94"/>
      <c r="AU1096" s="94"/>
      <c r="AV1096" s="94"/>
      <c r="AW1096" s="94"/>
      <c r="AX1096" s="94"/>
      <c r="AY1096" s="94"/>
      <c r="AZ1096" s="94"/>
      <c r="BA1096" s="95"/>
    </row>
    <row r="1097" spans="1:53" s="87" customFormat="1">
      <c r="A1097" s="90" t="str">
        <f t="shared" si="41"/>
        <v/>
      </c>
      <c r="B1097" s="98"/>
      <c r="C1097" s="94"/>
      <c r="D1097" s="94"/>
      <c r="E1097" s="94"/>
      <c r="F1097" s="94"/>
      <c r="G1097" s="94"/>
      <c r="H1097" s="94"/>
      <c r="I1097" s="94"/>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5"/>
    </row>
    <row r="1098" spans="1:53" s="87" customFormat="1">
      <c r="A1098" s="90" t="str">
        <f t="shared" si="41"/>
        <v/>
      </c>
      <c r="B1098" s="98"/>
      <c r="C1098" s="94"/>
      <c r="D1098" s="94"/>
      <c r="E1098" s="94"/>
      <c r="F1098" s="94"/>
      <c r="G1098" s="94"/>
      <c r="H1098" s="94"/>
      <c r="I1098" s="94"/>
      <c r="J1098" s="94"/>
      <c r="K1098" s="94"/>
      <c r="L1098" s="94"/>
      <c r="M1098" s="94"/>
      <c r="N1098" s="94"/>
      <c r="O1098" s="94"/>
      <c r="P1098" s="94"/>
      <c r="Q1098" s="94"/>
      <c r="R1098" s="94"/>
      <c r="S1098" s="94"/>
      <c r="T1098" s="94"/>
      <c r="U1098" s="94"/>
      <c r="V1098" s="94"/>
      <c r="W1098" s="94"/>
      <c r="X1098" s="94"/>
      <c r="Y1098" s="94"/>
      <c r="Z1098" s="94"/>
      <c r="AA1098" s="94"/>
      <c r="AB1098" s="94"/>
      <c r="AC1098" s="94"/>
      <c r="AD1098" s="94"/>
      <c r="AE1098" s="94"/>
      <c r="AF1098" s="94"/>
      <c r="AG1098" s="94"/>
      <c r="AH1098" s="94"/>
      <c r="AI1098" s="94"/>
      <c r="AJ1098" s="94"/>
      <c r="AK1098" s="94"/>
      <c r="AL1098" s="94"/>
      <c r="AM1098" s="94"/>
      <c r="AN1098" s="94"/>
      <c r="AO1098" s="94"/>
      <c r="AP1098" s="94"/>
      <c r="AQ1098" s="94"/>
      <c r="AR1098" s="94"/>
      <c r="AS1098" s="94"/>
      <c r="AT1098" s="94"/>
      <c r="AU1098" s="94"/>
      <c r="AV1098" s="94"/>
      <c r="AW1098" s="94"/>
      <c r="AX1098" s="94"/>
      <c r="AY1098" s="94"/>
      <c r="AZ1098" s="94"/>
      <c r="BA1098" s="95"/>
    </row>
    <row r="1099" spans="1:53" s="87" customFormat="1">
      <c r="A1099" s="90" t="str">
        <f t="shared" si="41"/>
        <v/>
      </c>
      <c r="B1099" s="98"/>
      <c r="C1099" s="94"/>
      <c r="D1099" s="94"/>
      <c r="E1099" s="94"/>
      <c r="F1099" s="94"/>
      <c r="G1099" s="94"/>
      <c r="H1099" s="94"/>
      <c r="I1099" s="94"/>
      <c r="J1099" s="94"/>
      <c r="K1099" s="94"/>
      <c r="L1099" s="94"/>
      <c r="M1099" s="94"/>
      <c r="N1099" s="94"/>
      <c r="O1099" s="94"/>
      <c r="P1099" s="94"/>
      <c r="Q1099" s="94"/>
      <c r="R1099" s="94"/>
      <c r="S1099" s="94"/>
      <c r="T1099" s="94"/>
      <c r="U1099" s="94"/>
      <c r="V1099" s="94"/>
      <c r="W1099" s="94"/>
      <c r="X1099" s="94"/>
      <c r="Y1099" s="94"/>
      <c r="Z1099" s="94"/>
      <c r="AA1099" s="94"/>
      <c r="AB1099" s="94"/>
      <c r="AC1099" s="94"/>
      <c r="AD1099" s="94"/>
      <c r="AE1099" s="94"/>
      <c r="AF1099" s="94"/>
      <c r="AG1099" s="94"/>
      <c r="AH1099" s="94"/>
      <c r="AI1099" s="94"/>
      <c r="AJ1099" s="94"/>
      <c r="AK1099" s="94"/>
      <c r="AL1099" s="94"/>
      <c r="AM1099" s="94"/>
      <c r="AN1099" s="94"/>
      <c r="AO1099" s="94"/>
      <c r="AP1099" s="94"/>
      <c r="AQ1099" s="94"/>
      <c r="AR1099" s="94"/>
      <c r="AS1099" s="94"/>
      <c r="AT1099" s="94"/>
      <c r="AU1099" s="94"/>
      <c r="AV1099" s="94"/>
      <c r="AW1099" s="94"/>
      <c r="AX1099" s="94"/>
      <c r="AY1099" s="94"/>
      <c r="AZ1099" s="94"/>
      <c r="BA1099" s="95"/>
    </row>
    <row r="1100" spans="1:53" s="87" customFormat="1">
      <c r="A1100" s="90" t="str">
        <f t="shared" ref="A1100:A1163" si="42">IF(MID(B1100,3,2)="08",ROW(),"")</f>
        <v/>
      </c>
      <c r="B1100" s="98"/>
      <c r="C1100" s="94"/>
      <c r="D1100" s="94"/>
      <c r="E1100" s="94"/>
      <c r="F1100" s="94"/>
      <c r="G1100" s="94"/>
      <c r="H1100" s="94"/>
      <c r="I1100" s="94"/>
      <c r="J1100" s="94"/>
      <c r="K1100" s="94"/>
      <c r="L1100" s="94"/>
      <c r="M1100" s="94"/>
      <c r="N1100" s="94"/>
      <c r="O1100" s="94"/>
      <c r="P1100" s="94"/>
      <c r="Q1100" s="94"/>
      <c r="R1100" s="94"/>
      <c r="S1100" s="94"/>
      <c r="T1100" s="94"/>
      <c r="U1100" s="94"/>
      <c r="V1100" s="94"/>
      <c r="W1100" s="94"/>
      <c r="X1100" s="94"/>
      <c r="Y1100" s="94"/>
      <c r="Z1100" s="94"/>
      <c r="AA1100" s="94"/>
      <c r="AB1100" s="94"/>
      <c r="AC1100" s="94"/>
      <c r="AD1100" s="94"/>
      <c r="AE1100" s="94"/>
      <c r="AF1100" s="94"/>
      <c r="AG1100" s="94"/>
      <c r="AH1100" s="94"/>
      <c r="AI1100" s="94"/>
      <c r="AJ1100" s="94"/>
      <c r="AK1100" s="94"/>
      <c r="AL1100" s="94"/>
      <c r="AM1100" s="94"/>
      <c r="AN1100" s="94"/>
      <c r="AO1100" s="94"/>
      <c r="AP1100" s="94"/>
      <c r="AQ1100" s="94"/>
      <c r="AR1100" s="94"/>
      <c r="AS1100" s="94"/>
      <c r="AT1100" s="94"/>
      <c r="AU1100" s="94"/>
      <c r="AV1100" s="94"/>
      <c r="AW1100" s="94"/>
      <c r="AX1100" s="94"/>
      <c r="AY1100" s="94"/>
      <c r="AZ1100" s="94"/>
      <c r="BA1100" s="95"/>
    </row>
    <row r="1101" spans="1:53" s="87" customFormat="1">
      <c r="A1101" s="90" t="str">
        <f t="shared" si="42"/>
        <v/>
      </c>
      <c r="B1101" s="98"/>
      <c r="C1101" s="94"/>
      <c r="D1101" s="94"/>
      <c r="E1101" s="94"/>
      <c r="F1101" s="94"/>
      <c r="G1101" s="94"/>
      <c r="H1101" s="94"/>
      <c r="I1101" s="94"/>
      <c r="J1101" s="94"/>
      <c r="K1101" s="94"/>
      <c r="L1101" s="94"/>
      <c r="M1101" s="94"/>
      <c r="N1101" s="94"/>
      <c r="O1101" s="94"/>
      <c r="P1101" s="94"/>
      <c r="Q1101" s="94"/>
      <c r="R1101" s="94"/>
      <c r="S1101" s="94"/>
      <c r="T1101" s="94"/>
      <c r="U1101" s="94"/>
      <c r="V1101" s="94"/>
      <c r="W1101" s="94"/>
      <c r="X1101" s="94"/>
      <c r="Y1101" s="94"/>
      <c r="Z1101" s="94"/>
      <c r="AA1101" s="94"/>
      <c r="AB1101" s="94"/>
      <c r="AC1101" s="94"/>
      <c r="AD1101" s="94"/>
      <c r="AE1101" s="94"/>
      <c r="AF1101" s="94"/>
      <c r="AG1101" s="94"/>
      <c r="AH1101" s="94"/>
      <c r="AI1101" s="94"/>
      <c r="AJ1101" s="94"/>
      <c r="AK1101" s="94"/>
      <c r="AL1101" s="94"/>
      <c r="AM1101" s="94"/>
      <c r="AN1101" s="94"/>
      <c r="AO1101" s="94"/>
      <c r="AP1101" s="94"/>
      <c r="AQ1101" s="94"/>
      <c r="AR1101" s="94"/>
      <c r="AS1101" s="94"/>
      <c r="AT1101" s="94"/>
      <c r="AU1101" s="94"/>
      <c r="AV1101" s="94"/>
      <c r="AW1101" s="94"/>
      <c r="AX1101" s="94"/>
      <c r="AY1101" s="94"/>
      <c r="AZ1101" s="94"/>
      <c r="BA1101" s="95"/>
    </row>
    <row r="1102" spans="1:53" s="87" customFormat="1">
      <c r="A1102" s="90" t="str">
        <f t="shared" si="42"/>
        <v/>
      </c>
      <c r="B1102" s="98"/>
      <c r="C1102" s="94"/>
      <c r="D1102" s="94"/>
      <c r="E1102" s="94"/>
      <c r="F1102" s="94"/>
      <c r="G1102" s="94"/>
      <c r="H1102" s="94"/>
      <c r="I1102" s="94"/>
      <c r="J1102" s="94"/>
      <c r="K1102" s="94"/>
      <c r="L1102" s="94"/>
      <c r="M1102" s="94"/>
      <c r="N1102" s="94"/>
      <c r="O1102" s="94"/>
      <c r="P1102" s="94"/>
      <c r="Q1102" s="94"/>
      <c r="R1102" s="94"/>
      <c r="S1102" s="94"/>
      <c r="T1102" s="94"/>
      <c r="U1102" s="94"/>
      <c r="V1102" s="94"/>
      <c r="W1102" s="94"/>
      <c r="X1102" s="94"/>
      <c r="Y1102" s="94"/>
      <c r="Z1102" s="94"/>
      <c r="AA1102" s="94"/>
      <c r="AB1102" s="94"/>
      <c r="AC1102" s="94"/>
      <c r="AD1102" s="94"/>
      <c r="AE1102" s="94"/>
      <c r="AF1102" s="94"/>
      <c r="AG1102" s="94"/>
      <c r="AH1102" s="94"/>
      <c r="AI1102" s="94"/>
      <c r="AJ1102" s="94"/>
      <c r="AK1102" s="94"/>
      <c r="AL1102" s="94"/>
      <c r="AM1102" s="94"/>
      <c r="AN1102" s="94"/>
      <c r="AO1102" s="94"/>
      <c r="AP1102" s="94"/>
      <c r="AQ1102" s="94"/>
      <c r="AR1102" s="94"/>
      <c r="AS1102" s="94"/>
      <c r="AT1102" s="94"/>
      <c r="AU1102" s="94"/>
      <c r="AV1102" s="94"/>
      <c r="AW1102" s="94"/>
      <c r="AX1102" s="94"/>
      <c r="AY1102" s="94"/>
      <c r="AZ1102" s="94"/>
      <c r="BA1102" s="95"/>
    </row>
    <row r="1103" spans="1:53" s="87" customFormat="1">
      <c r="A1103" s="90" t="str">
        <f t="shared" si="42"/>
        <v/>
      </c>
      <c r="B1103" s="98"/>
      <c r="C1103" s="94"/>
      <c r="D1103" s="94"/>
      <c r="E1103" s="94"/>
      <c r="F1103" s="94"/>
      <c r="G1103" s="94"/>
      <c r="H1103" s="94"/>
      <c r="I1103" s="94"/>
      <c r="J1103" s="94"/>
      <c r="K1103" s="94"/>
      <c r="L1103" s="94"/>
      <c r="M1103" s="94"/>
      <c r="N1103" s="94"/>
      <c r="O1103" s="94"/>
      <c r="P1103" s="94"/>
      <c r="Q1103" s="94"/>
      <c r="R1103" s="94"/>
      <c r="S1103" s="94"/>
      <c r="T1103" s="94"/>
      <c r="U1103" s="94"/>
      <c r="V1103" s="94"/>
      <c r="W1103" s="94"/>
      <c r="X1103" s="94"/>
      <c r="Y1103" s="94"/>
      <c r="Z1103" s="94"/>
      <c r="AA1103" s="94"/>
      <c r="AB1103" s="94"/>
      <c r="AC1103" s="94"/>
      <c r="AD1103" s="94"/>
      <c r="AE1103" s="94"/>
      <c r="AF1103" s="94"/>
      <c r="AG1103" s="94"/>
      <c r="AH1103" s="94"/>
      <c r="AI1103" s="94"/>
      <c r="AJ1103" s="94"/>
      <c r="AK1103" s="94"/>
      <c r="AL1103" s="94"/>
      <c r="AM1103" s="94"/>
      <c r="AN1103" s="94"/>
      <c r="AO1103" s="94"/>
      <c r="AP1103" s="94"/>
      <c r="AQ1103" s="94"/>
      <c r="AR1103" s="94"/>
      <c r="AS1103" s="94"/>
      <c r="AT1103" s="94"/>
      <c r="AU1103" s="94"/>
      <c r="AV1103" s="94"/>
      <c r="AW1103" s="94"/>
      <c r="AX1103" s="94"/>
      <c r="AY1103" s="94"/>
      <c r="AZ1103" s="94"/>
      <c r="BA1103" s="95"/>
    </row>
    <row r="1104" spans="1:53" s="87" customFormat="1">
      <c r="A1104" s="90" t="str">
        <f t="shared" si="42"/>
        <v/>
      </c>
      <c r="B1104" s="98"/>
      <c r="C1104" s="94"/>
      <c r="D1104" s="94"/>
      <c r="E1104" s="94"/>
      <c r="F1104" s="94"/>
      <c r="G1104" s="94"/>
      <c r="H1104" s="94"/>
      <c r="I1104" s="94"/>
      <c r="J1104" s="94"/>
      <c r="K1104" s="94"/>
      <c r="L1104" s="94"/>
      <c r="M1104" s="94"/>
      <c r="N1104" s="94"/>
      <c r="O1104" s="94"/>
      <c r="P1104" s="94"/>
      <c r="Q1104" s="94"/>
      <c r="R1104" s="94"/>
      <c r="S1104" s="94"/>
      <c r="T1104" s="94"/>
      <c r="U1104" s="94"/>
      <c r="V1104" s="94"/>
      <c r="W1104" s="94"/>
      <c r="X1104" s="94"/>
      <c r="Y1104" s="94"/>
      <c r="Z1104" s="94"/>
      <c r="AA1104" s="94"/>
      <c r="AB1104" s="94"/>
      <c r="AC1104" s="94"/>
      <c r="AD1104" s="94"/>
      <c r="AE1104" s="94"/>
      <c r="AF1104" s="94"/>
      <c r="AG1104" s="94"/>
      <c r="AH1104" s="94"/>
      <c r="AI1104" s="94"/>
      <c r="AJ1104" s="94"/>
      <c r="AK1104" s="94"/>
      <c r="AL1104" s="94"/>
      <c r="AM1104" s="94"/>
      <c r="AN1104" s="94"/>
      <c r="AO1104" s="94"/>
      <c r="AP1104" s="94"/>
      <c r="AQ1104" s="94"/>
      <c r="AR1104" s="94"/>
      <c r="AS1104" s="94"/>
      <c r="AT1104" s="94"/>
      <c r="AU1104" s="94"/>
      <c r="AV1104" s="94"/>
      <c r="AW1104" s="94"/>
      <c r="AX1104" s="94"/>
      <c r="AY1104" s="94"/>
      <c r="AZ1104" s="94"/>
      <c r="BA1104" s="95"/>
    </row>
    <row r="1105" spans="1:53" s="87" customFormat="1">
      <c r="A1105" s="90" t="str">
        <f t="shared" si="42"/>
        <v/>
      </c>
      <c r="B1105" s="98"/>
      <c r="C1105" s="94"/>
      <c r="D1105" s="94"/>
      <c r="E1105" s="94"/>
      <c r="F1105" s="94"/>
      <c r="G1105" s="94"/>
      <c r="H1105" s="94"/>
      <c r="I1105" s="94"/>
      <c r="J1105" s="94"/>
      <c r="K1105" s="94"/>
      <c r="L1105" s="94"/>
      <c r="M1105" s="94"/>
      <c r="N1105" s="94"/>
      <c r="O1105" s="94"/>
      <c r="P1105" s="94"/>
      <c r="Q1105" s="94"/>
      <c r="R1105" s="94"/>
      <c r="S1105" s="94"/>
      <c r="T1105" s="94"/>
      <c r="U1105" s="94"/>
      <c r="V1105" s="94"/>
      <c r="W1105" s="94"/>
      <c r="X1105" s="94"/>
      <c r="Y1105" s="94"/>
      <c r="Z1105" s="94"/>
      <c r="AA1105" s="94"/>
      <c r="AB1105" s="94"/>
      <c r="AC1105" s="94"/>
      <c r="AD1105" s="94"/>
      <c r="AE1105" s="94"/>
      <c r="AF1105" s="94"/>
      <c r="AG1105" s="94"/>
      <c r="AH1105" s="94"/>
      <c r="AI1105" s="94"/>
      <c r="AJ1105" s="94"/>
      <c r="AK1105" s="94"/>
      <c r="AL1105" s="94"/>
      <c r="AM1105" s="94"/>
      <c r="AN1105" s="94"/>
      <c r="AO1105" s="94"/>
      <c r="AP1105" s="94"/>
      <c r="AQ1105" s="94"/>
      <c r="AR1105" s="94"/>
      <c r="AS1105" s="94"/>
      <c r="AT1105" s="94"/>
      <c r="AU1105" s="94"/>
      <c r="AV1105" s="94"/>
      <c r="AW1105" s="94"/>
      <c r="AX1105" s="94"/>
      <c r="AY1105" s="94"/>
      <c r="AZ1105" s="94"/>
      <c r="BA1105" s="95"/>
    </row>
    <row r="1106" spans="1:53" s="87" customFormat="1">
      <c r="A1106" s="90" t="str">
        <f t="shared" si="42"/>
        <v/>
      </c>
      <c r="B1106" s="98"/>
      <c r="C1106" s="94"/>
      <c r="D1106" s="94"/>
      <c r="E1106" s="94"/>
      <c r="F1106" s="94"/>
      <c r="G1106" s="94"/>
      <c r="H1106" s="94"/>
      <c r="I1106" s="94"/>
      <c r="J1106" s="94"/>
      <c r="K1106" s="94"/>
      <c r="L1106" s="94"/>
      <c r="M1106" s="94"/>
      <c r="N1106" s="94"/>
      <c r="O1106" s="94"/>
      <c r="P1106" s="94"/>
      <c r="Q1106" s="94"/>
      <c r="R1106" s="94"/>
      <c r="S1106" s="94"/>
      <c r="T1106" s="94"/>
      <c r="U1106" s="94"/>
      <c r="V1106" s="94"/>
      <c r="W1106" s="94"/>
      <c r="X1106" s="94"/>
      <c r="Y1106" s="94"/>
      <c r="Z1106" s="94"/>
      <c r="AA1106" s="94"/>
      <c r="AB1106" s="94"/>
      <c r="AC1106" s="94"/>
      <c r="AD1106" s="94"/>
      <c r="AE1106" s="94"/>
      <c r="AF1106" s="94"/>
      <c r="AG1106" s="94"/>
      <c r="AH1106" s="94"/>
      <c r="AI1106" s="94"/>
      <c r="AJ1106" s="94"/>
      <c r="AK1106" s="94"/>
      <c r="AL1106" s="94"/>
      <c r="AM1106" s="94"/>
      <c r="AN1106" s="94"/>
      <c r="AO1106" s="94"/>
      <c r="AP1106" s="94"/>
      <c r="AQ1106" s="94"/>
      <c r="AR1106" s="94"/>
      <c r="AS1106" s="94"/>
      <c r="AT1106" s="94"/>
      <c r="AU1106" s="94"/>
      <c r="AV1106" s="94"/>
      <c r="AW1106" s="94"/>
      <c r="AX1106" s="94"/>
      <c r="AY1106" s="94"/>
      <c r="AZ1106" s="94"/>
      <c r="BA1106" s="95"/>
    </row>
    <row r="1107" spans="1:53" s="87" customFormat="1">
      <c r="A1107" s="90" t="str">
        <f t="shared" si="42"/>
        <v/>
      </c>
      <c r="B1107" s="98"/>
      <c r="C1107" s="94"/>
      <c r="D1107" s="94"/>
      <c r="E1107" s="94"/>
      <c r="F1107" s="94"/>
      <c r="G1107" s="94"/>
      <c r="H1107" s="94"/>
      <c r="I1107" s="94"/>
      <c r="J1107" s="94"/>
      <c r="K1107" s="94"/>
      <c r="L1107" s="94"/>
      <c r="M1107" s="94"/>
      <c r="N1107" s="94"/>
      <c r="O1107" s="94"/>
      <c r="P1107" s="94"/>
      <c r="Q1107" s="94"/>
      <c r="R1107" s="94"/>
      <c r="S1107" s="94"/>
      <c r="T1107" s="94"/>
      <c r="U1107" s="94"/>
      <c r="V1107" s="94"/>
      <c r="W1107" s="94"/>
      <c r="X1107" s="94"/>
      <c r="Y1107" s="94"/>
      <c r="Z1107" s="94"/>
      <c r="AA1107" s="94"/>
      <c r="AB1107" s="94"/>
      <c r="AC1107" s="94"/>
      <c r="AD1107" s="94"/>
      <c r="AE1107" s="94"/>
      <c r="AF1107" s="94"/>
      <c r="AG1107" s="94"/>
      <c r="AH1107" s="94"/>
      <c r="AI1107" s="94"/>
      <c r="AJ1107" s="94"/>
      <c r="AK1107" s="94"/>
      <c r="AL1107" s="94"/>
      <c r="AM1107" s="94"/>
      <c r="AN1107" s="94"/>
      <c r="AO1107" s="94"/>
      <c r="AP1107" s="94"/>
      <c r="AQ1107" s="94"/>
      <c r="AR1107" s="94"/>
      <c r="AS1107" s="94"/>
      <c r="AT1107" s="94"/>
      <c r="AU1107" s="94"/>
      <c r="AV1107" s="94"/>
      <c r="AW1107" s="94"/>
      <c r="AX1107" s="94"/>
      <c r="AY1107" s="94"/>
      <c r="AZ1107" s="94"/>
      <c r="BA1107" s="95"/>
    </row>
    <row r="1108" spans="1:53" s="87" customFormat="1">
      <c r="A1108" s="90" t="str">
        <f t="shared" si="42"/>
        <v/>
      </c>
      <c r="B1108" s="98"/>
      <c r="C1108" s="94"/>
      <c r="D1108" s="94"/>
      <c r="E1108" s="94"/>
      <c r="F1108" s="94"/>
      <c r="G1108" s="94"/>
      <c r="H1108" s="94"/>
      <c r="I1108" s="94"/>
      <c r="J1108" s="94"/>
      <c r="K1108" s="94"/>
      <c r="L1108" s="94"/>
      <c r="M1108" s="94"/>
      <c r="N1108" s="94"/>
      <c r="O1108" s="94"/>
      <c r="P1108" s="94"/>
      <c r="Q1108" s="94"/>
      <c r="R1108" s="94"/>
      <c r="S1108" s="94"/>
      <c r="T1108" s="94"/>
      <c r="U1108" s="94"/>
      <c r="V1108" s="94"/>
      <c r="W1108" s="94"/>
      <c r="X1108" s="94"/>
      <c r="Y1108" s="94"/>
      <c r="Z1108" s="94"/>
      <c r="AA1108" s="94"/>
      <c r="AB1108" s="94"/>
      <c r="AC1108" s="94"/>
      <c r="AD1108" s="94"/>
      <c r="AE1108" s="94"/>
      <c r="AF1108" s="94"/>
      <c r="AG1108" s="94"/>
      <c r="AH1108" s="94"/>
      <c r="AI1108" s="94"/>
      <c r="AJ1108" s="94"/>
      <c r="AK1108" s="94"/>
      <c r="AL1108" s="94"/>
      <c r="AM1108" s="94"/>
      <c r="AN1108" s="94"/>
      <c r="AO1108" s="94"/>
      <c r="AP1108" s="94"/>
      <c r="AQ1108" s="94"/>
      <c r="AR1108" s="94"/>
      <c r="AS1108" s="94"/>
      <c r="AT1108" s="94"/>
      <c r="AU1108" s="94"/>
      <c r="AV1108" s="94"/>
      <c r="AW1108" s="94"/>
      <c r="AX1108" s="94"/>
      <c r="AY1108" s="94"/>
      <c r="AZ1108" s="94"/>
      <c r="BA1108" s="95"/>
    </row>
    <row r="1109" spans="1:53" s="87" customFormat="1">
      <c r="A1109" s="90" t="str">
        <f t="shared" si="42"/>
        <v/>
      </c>
      <c r="B1109" s="98"/>
      <c r="C1109" s="94"/>
      <c r="D1109" s="94"/>
      <c r="E1109" s="94"/>
      <c r="F1109" s="94"/>
      <c r="G1109" s="94"/>
      <c r="H1109" s="94"/>
      <c r="I1109" s="94"/>
      <c r="J1109" s="94"/>
      <c r="K1109" s="94"/>
      <c r="L1109" s="94"/>
      <c r="M1109" s="94"/>
      <c r="N1109" s="94"/>
      <c r="O1109" s="94"/>
      <c r="P1109" s="94"/>
      <c r="Q1109" s="94"/>
      <c r="R1109" s="94"/>
      <c r="S1109" s="94"/>
      <c r="T1109" s="94"/>
      <c r="U1109" s="94"/>
      <c r="V1109" s="94"/>
      <c r="W1109" s="94"/>
      <c r="X1109" s="94"/>
      <c r="Y1109" s="94"/>
      <c r="Z1109" s="94"/>
      <c r="AA1109" s="94"/>
      <c r="AB1109" s="94"/>
      <c r="AC1109" s="94"/>
      <c r="AD1109" s="94"/>
      <c r="AE1109" s="94"/>
      <c r="AF1109" s="94"/>
      <c r="AG1109" s="94"/>
      <c r="AH1109" s="94"/>
      <c r="AI1109" s="94"/>
      <c r="AJ1109" s="94"/>
      <c r="AK1109" s="94"/>
      <c r="AL1109" s="94"/>
      <c r="AM1109" s="94"/>
      <c r="AN1109" s="94"/>
      <c r="AO1109" s="94"/>
      <c r="AP1109" s="94"/>
      <c r="AQ1109" s="94"/>
      <c r="AR1109" s="94"/>
      <c r="AS1109" s="94"/>
      <c r="AT1109" s="94"/>
      <c r="AU1109" s="94"/>
      <c r="AV1109" s="94"/>
      <c r="AW1109" s="94"/>
      <c r="AX1109" s="94"/>
      <c r="AY1109" s="94"/>
      <c r="AZ1109" s="94"/>
      <c r="BA1109" s="95"/>
    </row>
    <row r="1110" spans="1:53" s="87" customFormat="1">
      <c r="A1110" s="90" t="str">
        <f t="shared" si="42"/>
        <v/>
      </c>
      <c r="B1110" s="98"/>
      <c r="C1110" s="94"/>
      <c r="D1110" s="94"/>
      <c r="E1110" s="94"/>
      <c r="F1110" s="94"/>
      <c r="G1110" s="94"/>
      <c r="H1110" s="94"/>
      <c r="I1110" s="94"/>
      <c r="J1110" s="94"/>
      <c r="K1110" s="94"/>
      <c r="L1110" s="94"/>
      <c r="M1110" s="94"/>
      <c r="N1110" s="94"/>
      <c r="O1110" s="94"/>
      <c r="P1110" s="94"/>
      <c r="Q1110" s="94"/>
      <c r="R1110" s="94"/>
      <c r="S1110" s="94"/>
      <c r="T1110" s="94"/>
      <c r="U1110" s="94"/>
      <c r="V1110" s="94"/>
      <c r="W1110" s="94"/>
      <c r="X1110" s="94"/>
      <c r="Y1110" s="94"/>
      <c r="Z1110" s="94"/>
      <c r="AA1110" s="94"/>
      <c r="AB1110" s="94"/>
      <c r="AC1110" s="94"/>
      <c r="AD1110" s="94"/>
      <c r="AE1110" s="94"/>
      <c r="AF1110" s="94"/>
      <c r="AG1110" s="94"/>
      <c r="AH1110" s="94"/>
      <c r="AI1110" s="94"/>
      <c r="AJ1110" s="94"/>
      <c r="AK1110" s="94"/>
      <c r="AL1110" s="94"/>
      <c r="AM1110" s="94"/>
      <c r="AN1110" s="94"/>
      <c r="AO1110" s="94"/>
      <c r="AP1110" s="94"/>
      <c r="AQ1110" s="94"/>
      <c r="AR1110" s="94"/>
      <c r="AS1110" s="94"/>
      <c r="AT1110" s="94"/>
      <c r="AU1110" s="94"/>
      <c r="AV1110" s="94"/>
      <c r="AW1110" s="94"/>
      <c r="AX1110" s="94"/>
      <c r="AY1110" s="94"/>
      <c r="AZ1110" s="94"/>
      <c r="BA1110" s="95"/>
    </row>
    <row r="1111" spans="1:53" s="87" customFormat="1">
      <c r="A1111" s="90" t="str">
        <f t="shared" si="42"/>
        <v/>
      </c>
      <c r="B1111" s="98"/>
      <c r="C1111" s="94"/>
      <c r="D1111" s="94"/>
      <c r="E1111" s="94"/>
      <c r="F1111" s="94"/>
      <c r="G1111" s="94"/>
      <c r="H1111" s="94"/>
      <c r="I1111" s="94"/>
      <c r="J1111" s="94"/>
      <c r="K1111" s="94"/>
      <c r="L1111" s="94"/>
      <c r="M1111" s="94"/>
      <c r="N1111" s="94"/>
      <c r="O1111" s="94"/>
      <c r="P1111" s="94"/>
      <c r="Q1111" s="94"/>
      <c r="R1111" s="94"/>
      <c r="S1111" s="94"/>
      <c r="T1111" s="94"/>
      <c r="U1111" s="94"/>
      <c r="V1111" s="94"/>
      <c r="W1111" s="94"/>
      <c r="X1111" s="94"/>
      <c r="Y1111" s="94"/>
      <c r="Z1111" s="94"/>
      <c r="AA1111" s="94"/>
      <c r="AB1111" s="94"/>
      <c r="AC1111" s="94"/>
      <c r="AD1111" s="94"/>
      <c r="AE1111" s="94"/>
      <c r="AF1111" s="94"/>
      <c r="AG1111" s="94"/>
      <c r="AH1111" s="94"/>
      <c r="AI1111" s="94"/>
      <c r="AJ1111" s="94"/>
      <c r="AK1111" s="94"/>
      <c r="AL1111" s="94"/>
      <c r="AM1111" s="94"/>
      <c r="AN1111" s="94"/>
      <c r="AO1111" s="94"/>
      <c r="AP1111" s="94"/>
      <c r="AQ1111" s="94"/>
      <c r="AR1111" s="94"/>
      <c r="AS1111" s="94"/>
      <c r="AT1111" s="94"/>
      <c r="AU1111" s="94"/>
      <c r="AV1111" s="94"/>
      <c r="AW1111" s="94"/>
      <c r="AX1111" s="94"/>
      <c r="AY1111" s="94"/>
      <c r="AZ1111" s="94"/>
      <c r="BA1111" s="95"/>
    </row>
    <row r="1112" spans="1:53" s="87" customFormat="1">
      <c r="A1112" s="90" t="str">
        <f t="shared" si="42"/>
        <v/>
      </c>
      <c r="B1112" s="98"/>
      <c r="C1112" s="94"/>
      <c r="D1112" s="94"/>
      <c r="E1112" s="94"/>
      <c r="F1112" s="94"/>
      <c r="G1112" s="94"/>
      <c r="H1112" s="94"/>
      <c r="I1112" s="94"/>
      <c r="J1112" s="94"/>
      <c r="K1112" s="94"/>
      <c r="L1112" s="94"/>
      <c r="M1112" s="94"/>
      <c r="N1112" s="94"/>
      <c r="O1112" s="94"/>
      <c r="P1112" s="94"/>
      <c r="Q1112" s="94"/>
      <c r="R1112" s="94"/>
      <c r="S1112" s="94"/>
      <c r="T1112" s="94"/>
      <c r="U1112" s="94"/>
      <c r="V1112" s="94"/>
      <c r="W1112" s="94"/>
      <c r="X1112" s="94"/>
      <c r="Y1112" s="94"/>
      <c r="Z1112" s="94"/>
      <c r="AA1112" s="94"/>
      <c r="AB1112" s="94"/>
      <c r="AC1112" s="94"/>
      <c r="AD1112" s="94"/>
      <c r="AE1112" s="94"/>
      <c r="AF1112" s="94"/>
      <c r="AG1112" s="94"/>
      <c r="AH1112" s="94"/>
      <c r="AI1112" s="94"/>
      <c r="AJ1112" s="94"/>
      <c r="AK1112" s="94"/>
      <c r="AL1112" s="94"/>
      <c r="AM1112" s="94"/>
      <c r="AN1112" s="94"/>
      <c r="AO1112" s="94"/>
      <c r="AP1112" s="94"/>
      <c r="AQ1112" s="94"/>
      <c r="AR1112" s="94"/>
      <c r="AS1112" s="94"/>
      <c r="AT1112" s="94"/>
      <c r="AU1112" s="94"/>
      <c r="AV1112" s="94"/>
      <c r="AW1112" s="94"/>
      <c r="AX1112" s="94"/>
      <c r="AY1112" s="94"/>
      <c r="AZ1112" s="94"/>
      <c r="BA1112" s="95"/>
    </row>
    <row r="1113" spans="1:53" s="87" customFormat="1">
      <c r="A1113" s="90" t="str">
        <f t="shared" si="42"/>
        <v/>
      </c>
      <c r="B1113" s="98"/>
      <c r="C1113" s="94"/>
      <c r="D1113" s="94"/>
      <c r="E1113" s="94"/>
      <c r="F1113" s="94"/>
      <c r="G1113" s="94"/>
      <c r="H1113" s="94"/>
      <c r="I1113" s="94"/>
      <c r="J1113" s="94"/>
      <c r="K1113" s="94"/>
      <c r="L1113" s="94"/>
      <c r="M1113" s="94"/>
      <c r="N1113" s="94"/>
      <c r="O1113" s="94"/>
      <c r="P1113" s="94"/>
      <c r="Q1113" s="94"/>
      <c r="R1113" s="94"/>
      <c r="S1113" s="94"/>
      <c r="T1113" s="94"/>
      <c r="U1113" s="94"/>
      <c r="V1113" s="94"/>
      <c r="W1113" s="94"/>
      <c r="X1113" s="94"/>
      <c r="Y1113" s="94"/>
      <c r="Z1113" s="94"/>
      <c r="AA1113" s="94"/>
      <c r="AB1113" s="94"/>
      <c r="AC1113" s="94"/>
      <c r="AD1113" s="94"/>
      <c r="AE1113" s="94"/>
      <c r="AF1113" s="94"/>
      <c r="AG1113" s="94"/>
      <c r="AH1113" s="94"/>
      <c r="AI1113" s="94"/>
      <c r="AJ1113" s="94"/>
      <c r="AK1113" s="94"/>
      <c r="AL1113" s="94"/>
      <c r="AM1113" s="94"/>
      <c r="AN1113" s="94"/>
      <c r="AO1113" s="94"/>
      <c r="AP1113" s="94"/>
      <c r="AQ1113" s="94"/>
      <c r="AR1113" s="94"/>
      <c r="AS1113" s="94"/>
      <c r="AT1113" s="94"/>
      <c r="AU1113" s="94"/>
      <c r="AV1113" s="94"/>
      <c r="AW1113" s="94"/>
      <c r="AX1113" s="94"/>
      <c r="AY1113" s="94"/>
      <c r="AZ1113" s="94"/>
      <c r="BA1113" s="95"/>
    </row>
    <row r="1114" spans="1:53" s="87" customFormat="1">
      <c r="A1114" s="90" t="str">
        <f t="shared" si="42"/>
        <v/>
      </c>
      <c r="B1114" s="98"/>
      <c r="C1114" s="94"/>
      <c r="D1114" s="94"/>
      <c r="E1114" s="94"/>
      <c r="F1114" s="94"/>
      <c r="G1114" s="94"/>
      <c r="H1114" s="94"/>
      <c r="I1114" s="94"/>
      <c r="J1114" s="94"/>
      <c r="K1114" s="94"/>
      <c r="L1114" s="94"/>
      <c r="M1114" s="94"/>
      <c r="N1114" s="94"/>
      <c r="O1114" s="94"/>
      <c r="P1114" s="94"/>
      <c r="Q1114" s="94"/>
      <c r="R1114" s="94"/>
      <c r="S1114" s="94"/>
      <c r="T1114" s="94"/>
      <c r="U1114" s="94"/>
      <c r="V1114" s="94"/>
      <c r="W1114" s="94"/>
      <c r="X1114" s="94"/>
      <c r="Y1114" s="94"/>
      <c r="Z1114" s="94"/>
      <c r="AA1114" s="94"/>
      <c r="AB1114" s="94"/>
      <c r="AC1114" s="94"/>
      <c r="AD1114" s="94"/>
      <c r="AE1114" s="94"/>
      <c r="AF1114" s="94"/>
      <c r="AG1114" s="94"/>
      <c r="AH1114" s="94"/>
      <c r="AI1114" s="94"/>
      <c r="AJ1114" s="94"/>
      <c r="AK1114" s="94"/>
      <c r="AL1114" s="94"/>
      <c r="AM1114" s="94"/>
      <c r="AN1114" s="94"/>
      <c r="AO1114" s="94"/>
      <c r="AP1114" s="94"/>
      <c r="AQ1114" s="94"/>
      <c r="AR1114" s="94"/>
      <c r="AS1114" s="94"/>
      <c r="AT1114" s="94"/>
      <c r="AU1114" s="94"/>
      <c r="AV1114" s="94"/>
      <c r="AW1114" s="94"/>
      <c r="AX1114" s="94"/>
      <c r="AY1114" s="94"/>
      <c r="AZ1114" s="94"/>
      <c r="BA1114" s="95"/>
    </row>
    <row r="1115" spans="1:53" s="87" customFormat="1">
      <c r="A1115" s="90" t="str">
        <f t="shared" si="42"/>
        <v/>
      </c>
      <c r="B1115" s="98"/>
      <c r="C1115" s="94"/>
      <c r="D1115" s="94"/>
      <c r="E1115" s="94"/>
      <c r="F1115" s="94"/>
      <c r="G1115" s="94"/>
      <c r="H1115" s="94"/>
      <c r="I1115" s="94"/>
      <c r="J1115" s="94"/>
      <c r="K1115" s="94"/>
      <c r="L1115" s="94"/>
      <c r="M1115" s="94"/>
      <c r="N1115" s="94"/>
      <c r="O1115" s="94"/>
      <c r="P1115" s="94"/>
      <c r="Q1115" s="94"/>
      <c r="R1115" s="94"/>
      <c r="S1115" s="94"/>
      <c r="T1115" s="94"/>
      <c r="U1115" s="94"/>
      <c r="V1115" s="94"/>
      <c r="W1115" s="94"/>
      <c r="X1115" s="94"/>
      <c r="Y1115" s="94"/>
      <c r="Z1115" s="94"/>
      <c r="AA1115" s="94"/>
      <c r="AB1115" s="94"/>
      <c r="AC1115" s="94"/>
      <c r="AD1115" s="94"/>
      <c r="AE1115" s="94"/>
      <c r="AF1115" s="94"/>
      <c r="AG1115" s="94"/>
      <c r="AH1115" s="94"/>
      <c r="AI1115" s="94"/>
      <c r="AJ1115" s="94"/>
      <c r="AK1115" s="94"/>
      <c r="AL1115" s="94"/>
      <c r="AM1115" s="94"/>
      <c r="AN1115" s="94"/>
      <c r="AO1115" s="94"/>
      <c r="AP1115" s="94"/>
      <c r="AQ1115" s="94"/>
      <c r="AR1115" s="94"/>
      <c r="AS1115" s="94"/>
      <c r="AT1115" s="94"/>
      <c r="AU1115" s="94"/>
      <c r="AV1115" s="94"/>
      <c r="AW1115" s="94"/>
      <c r="AX1115" s="94"/>
      <c r="AY1115" s="94"/>
      <c r="AZ1115" s="94"/>
      <c r="BA1115" s="95"/>
    </row>
    <row r="1116" spans="1:53" s="87" customFormat="1">
      <c r="A1116" s="90" t="str">
        <f t="shared" si="42"/>
        <v/>
      </c>
      <c r="B1116" s="98"/>
      <c r="C1116" s="94"/>
      <c r="D1116" s="94"/>
      <c r="E1116" s="94"/>
      <c r="F1116" s="94"/>
      <c r="G1116" s="94"/>
      <c r="H1116" s="94"/>
      <c r="I1116" s="94"/>
      <c r="J1116" s="94"/>
      <c r="K1116" s="94"/>
      <c r="L1116" s="94"/>
      <c r="M1116" s="94"/>
      <c r="N1116" s="94"/>
      <c r="O1116" s="94"/>
      <c r="P1116" s="94"/>
      <c r="Q1116" s="94"/>
      <c r="R1116" s="94"/>
      <c r="S1116" s="94"/>
      <c r="T1116" s="94"/>
      <c r="U1116" s="94"/>
      <c r="V1116" s="94"/>
      <c r="W1116" s="94"/>
      <c r="X1116" s="94"/>
      <c r="Y1116" s="94"/>
      <c r="Z1116" s="94"/>
      <c r="AA1116" s="94"/>
      <c r="AB1116" s="94"/>
      <c r="AC1116" s="94"/>
      <c r="AD1116" s="94"/>
      <c r="AE1116" s="94"/>
      <c r="AF1116" s="94"/>
      <c r="AG1116" s="94"/>
      <c r="AH1116" s="94"/>
      <c r="AI1116" s="94"/>
      <c r="AJ1116" s="94"/>
      <c r="AK1116" s="94"/>
      <c r="AL1116" s="94"/>
      <c r="AM1116" s="94"/>
      <c r="AN1116" s="94"/>
      <c r="AO1116" s="94"/>
      <c r="AP1116" s="94"/>
      <c r="AQ1116" s="94"/>
      <c r="AR1116" s="94"/>
      <c r="AS1116" s="94"/>
      <c r="AT1116" s="94"/>
      <c r="AU1116" s="94"/>
      <c r="AV1116" s="94"/>
      <c r="AW1116" s="94"/>
      <c r="AX1116" s="94"/>
      <c r="AY1116" s="94"/>
      <c r="AZ1116" s="94"/>
      <c r="BA1116" s="95"/>
    </row>
    <row r="1117" spans="1:53" s="87" customFormat="1">
      <c r="A1117" s="90" t="str">
        <f t="shared" si="42"/>
        <v/>
      </c>
      <c r="B1117" s="98"/>
      <c r="C1117" s="94"/>
      <c r="D1117" s="94"/>
      <c r="E1117" s="94"/>
      <c r="F1117" s="94"/>
      <c r="G1117" s="94"/>
      <c r="H1117" s="94"/>
      <c r="I1117" s="94"/>
      <c r="J1117" s="94"/>
      <c r="K1117" s="94"/>
      <c r="L1117" s="94"/>
      <c r="M1117" s="94"/>
      <c r="N1117" s="94"/>
      <c r="O1117" s="94"/>
      <c r="P1117" s="94"/>
      <c r="Q1117" s="94"/>
      <c r="R1117" s="94"/>
      <c r="S1117" s="94"/>
      <c r="T1117" s="94"/>
      <c r="U1117" s="94"/>
      <c r="V1117" s="94"/>
      <c r="W1117" s="94"/>
      <c r="X1117" s="94"/>
      <c r="Y1117" s="94"/>
      <c r="Z1117" s="94"/>
      <c r="AA1117" s="94"/>
      <c r="AB1117" s="94"/>
      <c r="AC1117" s="94"/>
      <c r="AD1117" s="94"/>
      <c r="AE1117" s="94"/>
      <c r="AF1117" s="94"/>
      <c r="AG1117" s="94"/>
      <c r="AH1117" s="94"/>
      <c r="AI1117" s="94"/>
      <c r="AJ1117" s="94"/>
      <c r="AK1117" s="94"/>
      <c r="AL1117" s="94"/>
      <c r="AM1117" s="94"/>
      <c r="AN1117" s="94"/>
      <c r="AO1117" s="94"/>
      <c r="AP1117" s="94"/>
      <c r="AQ1117" s="94"/>
      <c r="AR1117" s="94"/>
      <c r="AS1117" s="94"/>
      <c r="AT1117" s="94"/>
      <c r="AU1117" s="94"/>
      <c r="AV1117" s="94"/>
      <c r="AW1117" s="94"/>
      <c r="AX1117" s="94"/>
      <c r="AY1117" s="94"/>
      <c r="AZ1117" s="94"/>
      <c r="BA1117" s="95"/>
    </row>
    <row r="1118" spans="1:53" s="87" customFormat="1">
      <c r="A1118" s="90" t="str">
        <f t="shared" si="42"/>
        <v/>
      </c>
      <c r="B1118" s="98"/>
      <c r="C1118" s="94"/>
      <c r="D1118" s="94"/>
      <c r="E1118" s="94"/>
      <c r="F1118" s="94"/>
      <c r="G1118" s="94"/>
      <c r="H1118" s="94"/>
      <c r="I1118" s="94"/>
      <c r="J1118" s="94"/>
      <c r="K1118" s="94"/>
      <c r="L1118" s="94"/>
      <c r="M1118" s="94"/>
      <c r="N1118" s="94"/>
      <c r="O1118" s="94"/>
      <c r="P1118" s="94"/>
      <c r="Q1118" s="94"/>
      <c r="R1118" s="94"/>
      <c r="S1118" s="94"/>
      <c r="T1118" s="94"/>
      <c r="U1118" s="94"/>
      <c r="V1118" s="94"/>
      <c r="W1118" s="94"/>
      <c r="X1118" s="94"/>
      <c r="Y1118" s="94"/>
      <c r="Z1118" s="94"/>
      <c r="AA1118" s="94"/>
      <c r="AB1118" s="94"/>
      <c r="AC1118" s="94"/>
      <c r="AD1118" s="94"/>
      <c r="AE1118" s="94"/>
      <c r="AF1118" s="94"/>
      <c r="AG1118" s="94"/>
      <c r="AH1118" s="94"/>
      <c r="AI1118" s="94"/>
      <c r="AJ1118" s="94"/>
      <c r="AK1118" s="94"/>
      <c r="AL1118" s="94"/>
      <c r="AM1118" s="94"/>
      <c r="AN1118" s="94"/>
      <c r="AO1118" s="94"/>
      <c r="AP1118" s="94"/>
      <c r="AQ1118" s="94"/>
      <c r="AR1118" s="94"/>
      <c r="AS1118" s="94"/>
      <c r="AT1118" s="94"/>
      <c r="AU1118" s="94"/>
      <c r="AV1118" s="94"/>
      <c r="AW1118" s="94"/>
      <c r="AX1118" s="94"/>
      <c r="AY1118" s="94"/>
      <c r="AZ1118" s="94"/>
      <c r="BA1118" s="95"/>
    </row>
    <row r="1119" spans="1:53" s="87" customFormat="1">
      <c r="A1119" s="90" t="str">
        <f t="shared" si="42"/>
        <v/>
      </c>
      <c r="B1119" s="98"/>
      <c r="C1119" s="94"/>
      <c r="D1119" s="94"/>
      <c r="E1119" s="94"/>
      <c r="F1119" s="94"/>
      <c r="G1119" s="94"/>
      <c r="H1119" s="94"/>
      <c r="I1119" s="94"/>
      <c r="J1119" s="94"/>
      <c r="K1119" s="94"/>
      <c r="L1119" s="94"/>
      <c r="M1119" s="94"/>
      <c r="N1119" s="94"/>
      <c r="O1119" s="94"/>
      <c r="P1119" s="94"/>
      <c r="Q1119" s="94"/>
      <c r="R1119" s="94"/>
      <c r="S1119" s="94"/>
      <c r="T1119" s="94"/>
      <c r="U1119" s="94"/>
      <c r="V1119" s="94"/>
      <c r="W1119" s="94"/>
      <c r="X1119" s="94"/>
      <c r="Y1119" s="94"/>
      <c r="Z1119" s="94"/>
      <c r="AA1119" s="94"/>
      <c r="AB1119" s="94"/>
      <c r="AC1119" s="94"/>
      <c r="AD1119" s="94"/>
      <c r="AE1119" s="94"/>
      <c r="AF1119" s="94"/>
      <c r="AG1119" s="94"/>
      <c r="AH1119" s="94"/>
      <c r="AI1119" s="94"/>
      <c r="AJ1119" s="94"/>
      <c r="AK1119" s="94"/>
      <c r="AL1119" s="94"/>
      <c r="AM1119" s="94"/>
      <c r="AN1119" s="94"/>
      <c r="AO1119" s="94"/>
      <c r="AP1119" s="94"/>
      <c r="AQ1119" s="94"/>
      <c r="AR1119" s="94"/>
      <c r="AS1119" s="94"/>
      <c r="AT1119" s="94"/>
      <c r="AU1119" s="94"/>
      <c r="AV1119" s="94"/>
      <c r="AW1119" s="94"/>
      <c r="AX1119" s="94"/>
      <c r="AY1119" s="94"/>
      <c r="AZ1119" s="94"/>
      <c r="BA1119" s="95"/>
    </row>
    <row r="1120" spans="1:53" s="87" customFormat="1">
      <c r="A1120" s="90" t="str">
        <f t="shared" si="42"/>
        <v/>
      </c>
      <c r="B1120" s="98"/>
      <c r="C1120" s="94"/>
      <c r="D1120" s="94"/>
      <c r="E1120" s="94"/>
      <c r="F1120" s="94"/>
      <c r="G1120" s="94"/>
      <c r="H1120" s="94"/>
      <c r="I1120" s="94"/>
      <c r="J1120" s="94"/>
      <c r="K1120" s="94"/>
      <c r="L1120" s="94"/>
      <c r="M1120" s="94"/>
      <c r="N1120" s="94"/>
      <c r="O1120" s="94"/>
      <c r="P1120" s="94"/>
      <c r="Q1120" s="94"/>
      <c r="R1120" s="94"/>
      <c r="S1120" s="94"/>
      <c r="T1120" s="94"/>
      <c r="U1120" s="94"/>
      <c r="V1120" s="94"/>
      <c r="W1120" s="94"/>
      <c r="X1120" s="94"/>
      <c r="Y1120" s="94"/>
      <c r="Z1120" s="94"/>
      <c r="AA1120" s="94"/>
      <c r="AB1120" s="94"/>
      <c r="AC1120" s="94"/>
      <c r="AD1120" s="94"/>
      <c r="AE1120" s="94"/>
      <c r="AF1120" s="94"/>
      <c r="AG1120" s="94"/>
      <c r="AH1120" s="94"/>
      <c r="AI1120" s="94"/>
      <c r="AJ1120" s="94"/>
      <c r="AK1120" s="94"/>
      <c r="AL1120" s="94"/>
      <c r="AM1120" s="94"/>
      <c r="AN1120" s="94"/>
      <c r="AO1120" s="94"/>
      <c r="AP1120" s="94"/>
      <c r="AQ1120" s="94"/>
      <c r="AR1120" s="94"/>
      <c r="AS1120" s="94"/>
      <c r="AT1120" s="94"/>
      <c r="AU1120" s="94"/>
      <c r="AV1120" s="94"/>
      <c r="AW1120" s="94"/>
      <c r="AX1120" s="94"/>
      <c r="AY1120" s="94"/>
      <c r="AZ1120" s="94"/>
      <c r="BA1120" s="95"/>
    </row>
    <row r="1121" spans="1:53" s="87" customFormat="1">
      <c r="A1121" s="90" t="str">
        <f t="shared" si="42"/>
        <v/>
      </c>
      <c r="B1121" s="98"/>
      <c r="C1121" s="94"/>
      <c r="D1121" s="94"/>
      <c r="E1121" s="94"/>
      <c r="F1121" s="94"/>
      <c r="G1121" s="94"/>
      <c r="H1121" s="94"/>
      <c r="I1121" s="94"/>
      <c r="J1121" s="94"/>
      <c r="K1121" s="94"/>
      <c r="L1121" s="94"/>
      <c r="M1121" s="94"/>
      <c r="N1121" s="94"/>
      <c r="O1121" s="94"/>
      <c r="P1121" s="94"/>
      <c r="Q1121" s="94"/>
      <c r="R1121" s="94"/>
      <c r="S1121" s="94"/>
      <c r="T1121" s="94"/>
      <c r="U1121" s="94"/>
      <c r="V1121" s="94"/>
      <c r="W1121" s="94"/>
      <c r="X1121" s="94"/>
      <c r="Y1121" s="94"/>
      <c r="Z1121" s="94"/>
      <c r="AA1121" s="94"/>
      <c r="AB1121" s="94"/>
      <c r="AC1121" s="94"/>
      <c r="AD1121" s="94"/>
      <c r="AE1121" s="94"/>
      <c r="AF1121" s="94"/>
      <c r="AG1121" s="94"/>
      <c r="AH1121" s="94"/>
      <c r="AI1121" s="94"/>
      <c r="AJ1121" s="94"/>
      <c r="AK1121" s="94"/>
      <c r="AL1121" s="94"/>
      <c r="AM1121" s="94"/>
      <c r="AN1121" s="94"/>
      <c r="AO1121" s="94"/>
      <c r="AP1121" s="94"/>
      <c r="AQ1121" s="94"/>
      <c r="AR1121" s="94"/>
      <c r="AS1121" s="94"/>
      <c r="AT1121" s="94"/>
      <c r="AU1121" s="94"/>
      <c r="AV1121" s="94"/>
      <c r="AW1121" s="94"/>
      <c r="AX1121" s="94"/>
      <c r="AY1121" s="94"/>
      <c r="AZ1121" s="94"/>
      <c r="BA1121" s="95"/>
    </row>
    <row r="1122" spans="1:53" s="87" customFormat="1">
      <c r="A1122" s="90" t="str">
        <f t="shared" si="42"/>
        <v/>
      </c>
      <c r="B1122" s="98"/>
      <c r="C1122" s="94"/>
      <c r="D1122" s="94"/>
      <c r="E1122" s="94"/>
      <c r="F1122" s="94"/>
      <c r="G1122" s="94"/>
      <c r="H1122" s="94"/>
      <c r="I1122" s="94"/>
      <c r="J1122" s="94"/>
      <c r="K1122" s="94"/>
      <c r="L1122" s="94"/>
      <c r="M1122" s="94"/>
      <c r="N1122" s="94"/>
      <c r="O1122" s="94"/>
      <c r="P1122" s="94"/>
      <c r="Q1122" s="94"/>
      <c r="R1122" s="94"/>
      <c r="S1122" s="94"/>
      <c r="T1122" s="94"/>
      <c r="U1122" s="94"/>
      <c r="V1122" s="94"/>
      <c r="W1122" s="94"/>
      <c r="X1122" s="94"/>
      <c r="Y1122" s="94"/>
      <c r="Z1122" s="94"/>
      <c r="AA1122" s="94"/>
      <c r="AB1122" s="94"/>
      <c r="AC1122" s="94"/>
      <c r="AD1122" s="94"/>
      <c r="AE1122" s="94"/>
      <c r="AF1122" s="94"/>
      <c r="AG1122" s="94"/>
      <c r="AH1122" s="94"/>
      <c r="AI1122" s="94"/>
      <c r="AJ1122" s="94"/>
      <c r="AK1122" s="94"/>
      <c r="AL1122" s="94"/>
      <c r="AM1122" s="94"/>
      <c r="AN1122" s="94"/>
      <c r="AO1122" s="94"/>
      <c r="AP1122" s="94"/>
      <c r="AQ1122" s="94"/>
      <c r="AR1122" s="94"/>
      <c r="AS1122" s="94"/>
      <c r="AT1122" s="94"/>
      <c r="AU1122" s="94"/>
      <c r="AV1122" s="94"/>
      <c r="AW1122" s="94"/>
      <c r="AX1122" s="94"/>
      <c r="AY1122" s="94"/>
      <c r="AZ1122" s="94"/>
      <c r="BA1122" s="95"/>
    </row>
    <row r="1123" spans="1:53" s="87" customFormat="1">
      <c r="A1123" s="90" t="str">
        <f t="shared" si="42"/>
        <v/>
      </c>
      <c r="B1123" s="98"/>
      <c r="C1123" s="94"/>
      <c r="D1123" s="94"/>
      <c r="E1123" s="94"/>
      <c r="F1123" s="94"/>
      <c r="G1123" s="94"/>
      <c r="H1123" s="94"/>
      <c r="I1123" s="94"/>
      <c r="J1123" s="94"/>
      <c r="K1123" s="94"/>
      <c r="L1123" s="94"/>
      <c r="M1123" s="94"/>
      <c r="N1123" s="94"/>
      <c r="O1123" s="94"/>
      <c r="P1123" s="94"/>
      <c r="Q1123" s="94"/>
      <c r="R1123" s="94"/>
      <c r="S1123" s="94"/>
      <c r="T1123" s="94"/>
      <c r="U1123" s="94"/>
      <c r="V1123" s="94"/>
      <c r="W1123" s="94"/>
      <c r="X1123" s="94"/>
      <c r="Y1123" s="94"/>
      <c r="Z1123" s="94"/>
      <c r="AA1123" s="94"/>
      <c r="AB1123" s="94"/>
      <c r="AC1123" s="94"/>
      <c r="AD1123" s="94"/>
      <c r="AE1123" s="94"/>
      <c r="AF1123" s="94"/>
      <c r="AG1123" s="94"/>
      <c r="AH1123" s="94"/>
      <c r="AI1123" s="94"/>
      <c r="AJ1123" s="94"/>
      <c r="AK1123" s="94"/>
      <c r="AL1123" s="94"/>
      <c r="AM1123" s="94"/>
      <c r="AN1123" s="94"/>
      <c r="AO1123" s="94"/>
      <c r="AP1123" s="94"/>
      <c r="AQ1123" s="94"/>
      <c r="AR1123" s="94"/>
      <c r="AS1123" s="94"/>
      <c r="AT1123" s="94"/>
      <c r="AU1123" s="94"/>
      <c r="AV1123" s="94"/>
      <c r="AW1123" s="94"/>
      <c r="AX1123" s="94"/>
      <c r="AY1123" s="94"/>
      <c r="AZ1123" s="94"/>
      <c r="BA1123" s="95"/>
    </row>
    <row r="1124" spans="1:53" s="87" customFormat="1">
      <c r="A1124" s="90" t="str">
        <f t="shared" si="42"/>
        <v/>
      </c>
      <c r="B1124" s="98"/>
      <c r="C1124" s="94"/>
      <c r="D1124" s="94"/>
      <c r="E1124" s="94"/>
      <c r="F1124" s="94"/>
      <c r="G1124" s="94"/>
      <c r="H1124" s="94"/>
      <c r="I1124" s="94"/>
      <c r="J1124" s="94"/>
      <c r="K1124" s="94"/>
      <c r="L1124" s="94"/>
      <c r="M1124" s="94"/>
      <c r="N1124" s="94"/>
      <c r="O1124" s="94"/>
      <c r="P1124" s="94"/>
      <c r="Q1124" s="94"/>
      <c r="R1124" s="94"/>
      <c r="S1124" s="94"/>
      <c r="T1124" s="94"/>
      <c r="U1124" s="94"/>
      <c r="V1124" s="94"/>
      <c r="W1124" s="94"/>
      <c r="X1124" s="94"/>
      <c r="Y1124" s="94"/>
      <c r="Z1124" s="94"/>
      <c r="AA1124" s="94"/>
      <c r="AB1124" s="94"/>
      <c r="AC1124" s="94"/>
      <c r="AD1124" s="94"/>
      <c r="AE1124" s="94"/>
      <c r="AF1124" s="94"/>
      <c r="AG1124" s="94"/>
      <c r="AH1124" s="94"/>
      <c r="AI1124" s="94"/>
      <c r="AJ1124" s="94"/>
      <c r="AK1124" s="94"/>
      <c r="AL1124" s="94"/>
      <c r="AM1124" s="94"/>
      <c r="AN1124" s="94"/>
      <c r="AO1124" s="94"/>
      <c r="AP1124" s="94"/>
      <c r="AQ1124" s="94"/>
      <c r="AR1124" s="94"/>
      <c r="AS1124" s="94"/>
      <c r="AT1124" s="94"/>
      <c r="AU1124" s="94"/>
      <c r="AV1124" s="94"/>
      <c r="AW1124" s="94"/>
      <c r="AX1124" s="94"/>
      <c r="AY1124" s="94"/>
      <c r="AZ1124" s="94"/>
      <c r="BA1124" s="95"/>
    </row>
    <row r="1125" spans="1:53" s="87" customFormat="1">
      <c r="A1125" s="90" t="str">
        <f t="shared" si="42"/>
        <v/>
      </c>
      <c r="B1125" s="98"/>
      <c r="C1125" s="94"/>
      <c r="D1125" s="94"/>
      <c r="E1125" s="94"/>
      <c r="F1125" s="94"/>
      <c r="G1125" s="94"/>
      <c r="H1125" s="94"/>
      <c r="I1125" s="94"/>
      <c r="J1125" s="94"/>
      <c r="K1125" s="94"/>
      <c r="L1125" s="94"/>
      <c r="M1125" s="94"/>
      <c r="N1125" s="94"/>
      <c r="O1125" s="94"/>
      <c r="P1125" s="94"/>
      <c r="Q1125" s="94"/>
      <c r="R1125" s="94"/>
      <c r="S1125" s="94"/>
      <c r="T1125" s="94"/>
      <c r="U1125" s="94"/>
      <c r="V1125" s="94"/>
      <c r="W1125" s="94"/>
      <c r="X1125" s="94"/>
      <c r="Y1125" s="94"/>
      <c r="Z1125" s="94"/>
      <c r="AA1125" s="94"/>
      <c r="AB1125" s="94"/>
      <c r="AC1125" s="94"/>
      <c r="AD1125" s="94"/>
      <c r="AE1125" s="94"/>
      <c r="AF1125" s="94"/>
      <c r="AG1125" s="94"/>
      <c r="AH1125" s="94"/>
      <c r="AI1125" s="94"/>
      <c r="AJ1125" s="94"/>
      <c r="AK1125" s="94"/>
      <c r="AL1125" s="94"/>
      <c r="AM1125" s="94"/>
      <c r="AN1125" s="94"/>
      <c r="AO1125" s="94"/>
      <c r="AP1125" s="94"/>
      <c r="AQ1125" s="94"/>
      <c r="AR1125" s="94"/>
      <c r="AS1125" s="94"/>
      <c r="AT1125" s="94"/>
      <c r="AU1125" s="94"/>
      <c r="AV1125" s="94"/>
      <c r="AW1125" s="94"/>
      <c r="AX1125" s="94"/>
      <c r="AY1125" s="94"/>
      <c r="AZ1125" s="94"/>
      <c r="BA1125" s="95"/>
    </row>
    <row r="1126" spans="1:53" s="87" customFormat="1">
      <c r="A1126" s="90" t="str">
        <f t="shared" si="42"/>
        <v/>
      </c>
      <c r="B1126" s="98"/>
      <c r="C1126" s="94"/>
      <c r="D1126" s="94"/>
      <c r="E1126" s="94"/>
      <c r="F1126" s="94"/>
      <c r="G1126" s="94"/>
      <c r="H1126" s="94"/>
      <c r="I1126" s="94"/>
      <c r="J1126" s="94"/>
      <c r="K1126" s="94"/>
      <c r="L1126" s="94"/>
      <c r="M1126" s="94"/>
      <c r="N1126" s="94"/>
      <c r="O1126" s="94"/>
      <c r="P1126" s="94"/>
      <c r="Q1126" s="94"/>
      <c r="R1126" s="94"/>
      <c r="S1126" s="94"/>
      <c r="T1126" s="94"/>
      <c r="U1126" s="94"/>
      <c r="V1126" s="94"/>
      <c r="W1126" s="94"/>
      <c r="X1126" s="94"/>
      <c r="Y1126" s="94"/>
      <c r="Z1126" s="94"/>
      <c r="AA1126" s="94"/>
      <c r="AB1126" s="94"/>
      <c r="AC1126" s="94"/>
      <c r="AD1126" s="94"/>
      <c r="AE1126" s="94"/>
      <c r="AF1126" s="94"/>
      <c r="AG1126" s="94"/>
      <c r="AH1126" s="94"/>
      <c r="AI1126" s="94"/>
      <c r="AJ1126" s="94"/>
      <c r="AK1126" s="94"/>
      <c r="AL1126" s="94"/>
      <c r="AM1126" s="94"/>
      <c r="AN1126" s="94"/>
      <c r="AO1126" s="94"/>
      <c r="AP1126" s="94"/>
      <c r="AQ1126" s="94"/>
      <c r="AR1126" s="94"/>
      <c r="AS1126" s="94"/>
      <c r="AT1126" s="94"/>
      <c r="AU1126" s="94"/>
      <c r="AV1126" s="94"/>
      <c r="AW1126" s="94"/>
      <c r="AX1126" s="94"/>
      <c r="AY1126" s="94"/>
      <c r="AZ1126" s="94"/>
      <c r="BA1126" s="95"/>
    </row>
    <row r="1127" spans="1:53" s="87" customFormat="1">
      <c r="A1127" s="90" t="str">
        <f t="shared" si="42"/>
        <v/>
      </c>
      <c r="B1127" s="98"/>
      <c r="C1127" s="94"/>
      <c r="D1127" s="94"/>
      <c r="E1127" s="94"/>
      <c r="F1127" s="94"/>
      <c r="G1127" s="94"/>
      <c r="H1127" s="94"/>
      <c r="I1127" s="94"/>
      <c r="J1127" s="94"/>
      <c r="K1127" s="94"/>
      <c r="L1127" s="94"/>
      <c r="M1127" s="94"/>
      <c r="N1127" s="94"/>
      <c r="O1127" s="94"/>
      <c r="P1127" s="94"/>
      <c r="Q1127" s="94"/>
      <c r="R1127" s="94"/>
      <c r="S1127" s="94"/>
      <c r="T1127" s="94"/>
      <c r="U1127" s="94"/>
      <c r="V1127" s="94"/>
      <c r="W1127" s="94"/>
      <c r="X1127" s="94"/>
      <c r="Y1127" s="94"/>
      <c r="Z1127" s="94"/>
      <c r="AA1127" s="94"/>
      <c r="AB1127" s="94"/>
      <c r="AC1127" s="94"/>
      <c r="AD1127" s="94"/>
      <c r="AE1127" s="94"/>
      <c r="AF1127" s="94"/>
      <c r="AG1127" s="94"/>
      <c r="AH1127" s="94"/>
      <c r="AI1127" s="94"/>
      <c r="AJ1127" s="94"/>
      <c r="AK1127" s="94"/>
      <c r="AL1127" s="94"/>
      <c r="AM1127" s="94"/>
      <c r="AN1127" s="94"/>
      <c r="AO1127" s="94"/>
      <c r="AP1127" s="94"/>
      <c r="AQ1127" s="94"/>
      <c r="AR1127" s="94"/>
      <c r="AS1127" s="94"/>
      <c r="AT1127" s="94"/>
      <c r="AU1127" s="94"/>
      <c r="AV1127" s="94"/>
      <c r="AW1127" s="94"/>
      <c r="AX1127" s="94"/>
      <c r="AY1127" s="94"/>
      <c r="AZ1127" s="94"/>
      <c r="BA1127" s="95"/>
    </row>
    <row r="1128" spans="1:53" s="87" customFormat="1">
      <c r="A1128" s="90" t="str">
        <f t="shared" si="42"/>
        <v/>
      </c>
      <c r="B1128" s="98"/>
      <c r="C1128" s="94"/>
      <c r="D1128" s="94"/>
      <c r="E1128" s="94"/>
      <c r="F1128" s="94"/>
      <c r="G1128" s="94"/>
      <c r="H1128" s="94"/>
      <c r="I1128" s="94"/>
      <c r="J1128" s="94"/>
      <c r="K1128" s="94"/>
      <c r="L1128" s="94"/>
      <c r="M1128" s="94"/>
      <c r="N1128" s="94"/>
      <c r="O1128" s="94"/>
      <c r="P1128" s="94"/>
      <c r="Q1128" s="94"/>
      <c r="R1128" s="94"/>
      <c r="S1128" s="94"/>
      <c r="T1128" s="94"/>
      <c r="U1128" s="94"/>
      <c r="V1128" s="94"/>
      <c r="W1128" s="94"/>
      <c r="X1128" s="94"/>
      <c r="Y1128" s="94"/>
      <c r="Z1128" s="94"/>
      <c r="AA1128" s="94"/>
      <c r="AB1128" s="94"/>
      <c r="AC1128" s="94"/>
      <c r="AD1128" s="94"/>
      <c r="AE1128" s="94"/>
      <c r="AF1128" s="94"/>
      <c r="AG1128" s="94"/>
      <c r="AH1128" s="94"/>
      <c r="AI1128" s="94"/>
      <c r="AJ1128" s="94"/>
      <c r="AK1128" s="94"/>
      <c r="AL1128" s="94"/>
      <c r="AM1128" s="94"/>
      <c r="AN1128" s="94"/>
      <c r="AO1128" s="94"/>
      <c r="AP1128" s="94"/>
      <c r="AQ1128" s="94"/>
      <c r="AR1128" s="94"/>
      <c r="AS1128" s="94"/>
      <c r="AT1128" s="94"/>
      <c r="AU1128" s="94"/>
      <c r="AV1128" s="94"/>
      <c r="AW1128" s="94"/>
      <c r="AX1128" s="94"/>
      <c r="AY1128" s="94"/>
      <c r="AZ1128" s="94"/>
      <c r="BA1128" s="95"/>
    </row>
    <row r="1129" spans="1:53" s="87" customFormat="1">
      <c r="A1129" s="90" t="str">
        <f t="shared" si="42"/>
        <v/>
      </c>
      <c r="B1129" s="98"/>
      <c r="C1129" s="94"/>
      <c r="D1129" s="94"/>
      <c r="E1129" s="94"/>
      <c r="F1129" s="94"/>
      <c r="G1129" s="94"/>
      <c r="H1129" s="94"/>
      <c r="I1129" s="94"/>
      <c r="J1129" s="94"/>
      <c r="K1129" s="94"/>
      <c r="L1129" s="94"/>
      <c r="M1129" s="94"/>
      <c r="N1129" s="94"/>
      <c r="O1129" s="94"/>
      <c r="P1129" s="94"/>
      <c r="Q1129" s="94"/>
      <c r="R1129" s="94"/>
      <c r="S1129" s="94"/>
      <c r="T1129" s="94"/>
      <c r="U1129" s="94"/>
      <c r="V1129" s="94"/>
      <c r="W1129" s="94"/>
      <c r="X1129" s="94"/>
      <c r="Y1129" s="94"/>
      <c r="Z1129" s="94"/>
      <c r="AA1129" s="94"/>
      <c r="AB1129" s="94"/>
      <c r="AC1129" s="94"/>
      <c r="AD1129" s="94"/>
      <c r="AE1129" s="94"/>
      <c r="AF1129" s="94"/>
      <c r="AG1129" s="94"/>
      <c r="AH1129" s="94"/>
      <c r="AI1129" s="94"/>
      <c r="AJ1129" s="94"/>
      <c r="AK1129" s="94"/>
      <c r="AL1129" s="94"/>
      <c r="AM1129" s="94"/>
      <c r="AN1129" s="94"/>
      <c r="AO1129" s="94"/>
      <c r="AP1129" s="94"/>
      <c r="AQ1129" s="94"/>
      <c r="AR1129" s="94"/>
      <c r="AS1129" s="94"/>
      <c r="AT1129" s="94"/>
      <c r="AU1129" s="94"/>
      <c r="AV1129" s="94"/>
      <c r="AW1129" s="94"/>
      <c r="AX1129" s="94"/>
      <c r="AY1129" s="94"/>
      <c r="AZ1129" s="94"/>
      <c r="BA1129" s="95"/>
    </row>
    <row r="1130" spans="1:53" s="87" customFormat="1">
      <c r="A1130" s="90" t="str">
        <f t="shared" si="42"/>
        <v/>
      </c>
      <c r="B1130" s="98"/>
      <c r="C1130" s="94"/>
      <c r="D1130" s="94"/>
      <c r="E1130" s="94"/>
      <c r="F1130" s="94"/>
      <c r="G1130" s="94"/>
      <c r="H1130" s="94"/>
      <c r="I1130" s="94"/>
      <c r="J1130" s="94"/>
      <c r="K1130" s="94"/>
      <c r="L1130" s="94"/>
      <c r="M1130" s="94"/>
      <c r="N1130" s="94"/>
      <c r="O1130" s="94"/>
      <c r="P1130" s="94"/>
      <c r="Q1130" s="94"/>
      <c r="R1130" s="94"/>
      <c r="S1130" s="94"/>
      <c r="T1130" s="94"/>
      <c r="U1130" s="94"/>
      <c r="V1130" s="94"/>
      <c r="W1130" s="94"/>
      <c r="X1130" s="94"/>
      <c r="Y1130" s="94"/>
      <c r="Z1130" s="94"/>
      <c r="AA1130" s="94"/>
      <c r="AB1130" s="94"/>
      <c r="AC1130" s="94"/>
      <c r="AD1130" s="94"/>
      <c r="AE1130" s="94"/>
      <c r="AF1130" s="94"/>
      <c r="AG1130" s="94"/>
      <c r="AH1130" s="94"/>
      <c r="AI1130" s="94"/>
      <c r="AJ1130" s="94"/>
      <c r="AK1130" s="94"/>
      <c r="AL1130" s="94"/>
      <c r="AM1130" s="94"/>
      <c r="AN1130" s="94"/>
      <c r="AO1130" s="94"/>
      <c r="AP1130" s="94"/>
      <c r="AQ1130" s="94"/>
      <c r="AR1130" s="94"/>
      <c r="AS1130" s="94"/>
      <c r="AT1130" s="94"/>
      <c r="AU1130" s="94"/>
      <c r="AV1130" s="94"/>
      <c r="AW1130" s="94"/>
      <c r="AX1130" s="94"/>
      <c r="AY1130" s="94"/>
      <c r="AZ1130" s="94"/>
      <c r="BA1130" s="95"/>
    </row>
    <row r="1131" spans="1:53" s="87" customFormat="1">
      <c r="A1131" s="90" t="str">
        <f t="shared" si="42"/>
        <v/>
      </c>
      <c r="B1131" s="98"/>
      <c r="C1131" s="94"/>
      <c r="D1131" s="94"/>
      <c r="E1131" s="94"/>
      <c r="F1131" s="94"/>
      <c r="G1131" s="94"/>
      <c r="H1131" s="94"/>
      <c r="I1131" s="94"/>
      <c r="J1131" s="94"/>
      <c r="K1131" s="94"/>
      <c r="L1131" s="94"/>
      <c r="M1131" s="94"/>
      <c r="N1131" s="94"/>
      <c r="O1131" s="94"/>
      <c r="P1131" s="94"/>
      <c r="Q1131" s="94"/>
      <c r="R1131" s="94"/>
      <c r="S1131" s="94"/>
      <c r="T1131" s="94"/>
      <c r="U1131" s="94"/>
      <c r="V1131" s="94"/>
      <c r="W1131" s="94"/>
      <c r="X1131" s="94"/>
      <c r="Y1131" s="94"/>
      <c r="Z1131" s="94"/>
      <c r="AA1131" s="94"/>
      <c r="AB1131" s="94"/>
      <c r="AC1131" s="94"/>
      <c r="AD1131" s="94"/>
      <c r="AE1131" s="94"/>
      <c r="AF1131" s="94"/>
      <c r="AG1131" s="94"/>
      <c r="AH1131" s="94"/>
      <c r="AI1131" s="94"/>
      <c r="AJ1131" s="94"/>
      <c r="AK1131" s="94"/>
      <c r="AL1131" s="94"/>
      <c r="AM1131" s="94"/>
      <c r="AN1131" s="94"/>
      <c r="AO1131" s="94"/>
      <c r="AP1131" s="94"/>
      <c r="AQ1131" s="94"/>
      <c r="AR1131" s="94"/>
      <c r="AS1131" s="94"/>
      <c r="AT1131" s="94"/>
      <c r="AU1131" s="94"/>
      <c r="AV1131" s="94"/>
      <c r="AW1131" s="94"/>
      <c r="AX1131" s="94"/>
      <c r="AY1131" s="94"/>
      <c r="AZ1131" s="94"/>
      <c r="BA1131" s="95"/>
    </row>
    <row r="1132" spans="1:53" s="87" customFormat="1">
      <c r="A1132" s="90" t="str">
        <f t="shared" si="42"/>
        <v/>
      </c>
      <c r="B1132" s="98"/>
      <c r="C1132" s="94"/>
      <c r="D1132" s="94"/>
      <c r="E1132" s="94"/>
      <c r="F1132" s="94"/>
      <c r="G1132" s="94"/>
      <c r="H1132" s="94"/>
      <c r="I1132" s="94"/>
      <c r="J1132" s="94"/>
      <c r="K1132" s="94"/>
      <c r="L1132" s="94"/>
      <c r="M1132" s="94"/>
      <c r="N1132" s="94"/>
      <c r="O1132" s="94"/>
      <c r="P1132" s="94"/>
      <c r="Q1132" s="94"/>
      <c r="R1132" s="94"/>
      <c r="S1132" s="94"/>
      <c r="T1132" s="94"/>
      <c r="U1132" s="94"/>
      <c r="V1132" s="94"/>
      <c r="W1132" s="94"/>
      <c r="X1132" s="94"/>
      <c r="Y1132" s="94"/>
      <c r="Z1132" s="94"/>
      <c r="AA1132" s="94"/>
      <c r="AB1132" s="94"/>
      <c r="AC1132" s="94"/>
      <c r="AD1132" s="94"/>
      <c r="AE1132" s="94"/>
      <c r="AF1132" s="94"/>
      <c r="AG1132" s="94"/>
      <c r="AH1132" s="94"/>
      <c r="AI1132" s="94"/>
      <c r="AJ1132" s="94"/>
      <c r="AK1132" s="94"/>
      <c r="AL1132" s="94"/>
      <c r="AM1132" s="94"/>
      <c r="AN1132" s="94"/>
      <c r="AO1132" s="94"/>
      <c r="AP1132" s="94"/>
      <c r="AQ1132" s="94"/>
      <c r="AR1132" s="94"/>
      <c r="AS1132" s="94"/>
      <c r="AT1132" s="94"/>
      <c r="AU1132" s="94"/>
      <c r="AV1132" s="94"/>
      <c r="AW1132" s="94"/>
      <c r="AX1132" s="94"/>
      <c r="AY1132" s="94"/>
      <c r="AZ1132" s="94"/>
      <c r="BA1132" s="95"/>
    </row>
    <row r="1133" spans="1:53" s="87" customFormat="1">
      <c r="A1133" s="90" t="str">
        <f t="shared" si="42"/>
        <v/>
      </c>
      <c r="B1133" s="98"/>
      <c r="C1133" s="94"/>
      <c r="D1133" s="94"/>
      <c r="E1133" s="94"/>
      <c r="F1133" s="94"/>
      <c r="G1133" s="94"/>
      <c r="H1133" s="94"/>
      <c r="I1133" s="94"/>
      <c r="J1133" s="94"/>
      <c r="K1133" s="94"/>
      <c r="L1133" s="94"/>
      <c r="M1133" s="94"/>
      <c r="N1133" s="94"/>
      <c r="O1133" s="94"/>
      <c r="P1133" s="94"/>
      <c r="Q1133" s="94"/>
      <c r="R1133" s="94"/>
      <c r="S1133" s="94"/>
      <c r="T1133" s="94"/>
      <c r="U1133" s="94"/>
      <c r="V1133" s="94"/>
      <c r="W1133" s="94"/>
      <c r="X1133" s="94"/>
      <c r="Y1133" s="94"/>
      <c r="Z1133" s="94"/>
      <c r="AA1133" s="94"/>
      <c r="AB1133" s="94"/>
      <c r="AC1133" s="94"/>
      <c r="AD1133" s="94"/>
      <c r="AE1133" s="94"/>
      <c r="AF1133" s="94"/>
      <c r="AG1133" s="94"/>
      <c r="AH1133" s="94"/>
      <c r="AI1133" s="94"/>
      <c r="AJ1133" s="94"/>
      <c r="AK1133" s="94"/>
      <c r="AL1133" s="94"/>
      <c r="AM1133" s="94"/>
      <c r="AN1133" s="94"/>
      <c r="AO1133" s="94"/>
      <c r="AP1133" s="94"/>
      <c r="AQ1133" s="94"/>
      <c r="AR1133" s="94"/>
      <c r="AS1133" s="94"/>
      <c r="AT1133" s="94"/>
      <c r="AU1133" s="94"/>
      <c r="AV1133" s="94"/>
      <c r="AW1133" s="94"/>
      <c r="AX1133" s="94"/>
      <c r="AY1133" s="94"/>
      <c r="AZ1133" s="94"/>
      <c r="BA1133" s="95"/>
    </row>
    <row r="1134" spans="1:53" s="87" customFormat="1">
      <c r="A1134" s="90" t="str">
        <f t="shared" si="42"/>
        <v/>
      </c>
      <c r="B1134" s="98"/>
      <c r="C1134" s="94"/>
      <c r="D1134" s="94"/>
      <c r="E1134" s="94"/>
      <c r="F1134" s="94"/>
      <c r="G1134" s="94"/>
      <c r="H1134" s="94"/>
      <c r="I1134" s="94"/>
      <c r="J1134" s="94"/>
      <c r="K1134" s="94"/>
      <c r="L1134" s="94"/>
      <c r="M1134" s="94"/>
      <c r="N1134" s="94"/>
      <c r="O1134" s="94"/>
      <c r="P1134" s="94"/>
      <c r="Q1134" s="94"/>
      <c r="R1134" s="94"/>
      <c r="S1134" s="94"/>
      <c r="T1134" s="94"/>
      <c r="U1134" s="94"/>
      <c r="V1134" s="94"/>
      <c r="W1134" s="94"/>
      <c r="X1134" s="94"/>
      <c r="Y1134" s="94"/>
      <c r="Z1134" s="94"/>
      <c r="AA1134" s="94"/>
      <c r="AB1134" s="94"/>
      <c r="AC1134" s="94"/>
      <c r="AD1134" s="94"/>
      <c r="AE1134" s="94"/>
      <c r="AF1134" s="94"/>
      <c r="AG1134" s="94"/>
      <c r="AH1134" s="94"/>
      <c r="AI1134" s="94"/>
      <c r="AJ1134" s="94"/>
      <c r="AK1134" s="94"/>
      <c r="AL1134" s="94"/>
      <c r="AM1134" s="94"/>
      <c r="AN1134" s="94"/>
      <c r="AO1134" s="94"/>
      <c r="AP1134" s="94"/>
      <c r="AQ1134" s="94"/>
      <c r="AR1134" s="94"/>
      <c r="AS1134" s="94"/>
      <c r="AT1134" s="94"/>
      <c r="AU1134" s="94"/>
      <c r="AV1134" s="94"/>
      <c r="AW1134" s="94"/>
      <c r="AX1134" s="94"/>
      <c r="AY1134" s="94"/>
      <c r="AZ1134" s="94"/>
      <c r="BA1134" s="95"/>
    </row>
    <row r="1135" spans="1:53" s="87" customFormat="1">
      <c r="A1135" s="90" t="str">
        <f t="shared" si="42"/>
        <v/>
      </c>
      <c r="B1135" s="98"/>
      <c r="C1135" s="94"/>
      <c r="D1135" s="94"/>
      <c r="E1135" s="94"/>
      <c r="F1135" s="94"/>
      <c r="G1135" s="94"/>
      <c r="H1135" s="94"/>
      <c r="I1135" s="94"/>
      <c r="J1135" s="94"/>
      <c r="K1135" s="94"/>
      <c r="L1135" s="94"/>
      <c r="M1135" s="94"/>
      <c r="N1135" s="94"/>
      <c r="O1135" s="94"/>
      <c r="P1135" s="94"/>
      <c r="Q1135" s="94"/>
      <c r="R1135" s="94"/>
      <c r="S1135" s="94"/>
      <c r="T1135" s="94"/>
      <c r="U1135" s="94"/>
      <c r="V1135" s="94"/>
      <c r="W1135" s="94"/>
      <c r="X1135" s="94"/>
      <c r="Y1135" s="94"/>
      <c r="Z1135" s="94"/>
      <c r="AA1135" s="94"/>
      <c r="AB1135" s="94"/>
      <c r="AC1135" s="94"/>
      <c r="AD1135" s="94"/>
      <c r="AE1135" s="94"/>
      <c r="AF1135" s="94"/>
      <c r="AG1135" s="94"/>
      <c r="AH1135" s="94"/>
      <c r="AI1135" s="94"/>
      <c r="AJ1135" s="94"/>
      <c r="AK1135" s="94"/>
      <c r="AL1135" s="94"/>
      <c r="AM1135" s="94"/>
      <c r="AN1135" s="94"/>
      <c r="AO1135" s="94"/>
      <c r="AP1135" s="94"/>
      <c r="AQ1135" s="94"/>
      <c r="AR1135" s="94"/>
      <c r="AS1135" s="94"/>
      <c r="AT1135" s="94"/>
      <c r="AU1135" s="94"/>
      <c r="AV1135" s="94"/>
      <c r="AW1135" s="94"/>
      <c r="AX1135" s="94"/>
      <c r="AY1135" s="94"/>
      <c r="AZ1135" s="94"/>
      <c r="BA1135" s="95"/>
    </row>
    <row r="1136" spans="1:53" s="87" customFormat="1">
      <c r="A1136" s="90" t="str">
        <f t="shared" si="42"/>
        <v/>
      </c>
      <c r="B1136" s="98"/>
      <c r="C1136" s="94"/>
      <c r="D1136" s="94"/>
      <c r="E1136" s="94"/>
      <c r="F1136" s="94"/>
      <c r="G1136" s="94"/>
      <c r="H1136" s="94"/>
      <c r="I1136" s="94"/>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5"/>
    </row>
    <row r="1137" spans="1:53" s="87" customFormat="1">
      <c r="A1137" s="90" t="str">
        <f t="shared" si="42"/>
        <v/>
      </c>
      <c r="B1137" s="98"/>
      <c r="C1137" s="94"/>
      <c r="D1137" s="94"/>
      <c r="E1137" s="94"/>
      <c r="F1137" s="94"/>
      <c r="G1137" s="94"/>
      <c r="H1137" s="94"/>
      <c r="I1137" s="94"/>
      <c r="J1137" s="94"/>
      <c r="K1137" s="94"/>
      <c r="L1137" s="94"/>
      <c r="M1137" s="94"/>
      <c r="N1137" s="94"/>
      <c r="O1137" s="94"/>
      <c r="P1137" s="94"/>
      <c r="Q1137" s="94"/>
      <c r="R1137" s="94"/>
      <c r="S1137" s="94"/>
      <c r="T1137" s="94"/>
      <c r="U1137" s="94"/>
      <c r="V1137" s="94"/>
      <c r="W1137" s="94"/>
      <c r="X1137" s="94"/>
      <c r="Y1137" s="94"/>
      <c r="Z1137" s="94"/>
      <c r="AA1137" s="94"/>
      <c r="AB1137" s="94"/>
      <c r="AC1137" s="94"/>
      <c r="AD1137" s="94"/>
      <c r="AE1137" s="94"/>
      <c r="AF1137" s="94"/>
      <c r="AG1137" s="94"/>
      <c r="AH1137" s="94"/>
      <c r="AI1137" s="94"/>
      <c r="AJ1137" s="94"/>
      <c r="AK1137" s="94"/>
      <c r="AL1137" s="94"/>
      <c r="AM1137" s="94"/>
      <c r="AN1137" s="94"/>
      <c r="AO1137" s="94"/>
      <c r="AP1137" s="94"/>
      <c r="AQ1137" s="94"/>
      <c r="AR1137" s="94"/>
      <c r="AS1137" s="94"/>
      <c r="AT1137" s="94"/>
      <c r="AU1137" s="94"/>
      <c r="AV1137" s="94"/>
      <c r="AW1137" s="94"/>
      <c r="AX1137" s="94"/>
      <c r="AY1137" s="94"/>
      <c r="AZ1137" s="94"/>
      <c r="BA1137" s="95"/>
    </row>
    <row r="1138" spans="1:53" s="87" customFormat="1">
      <c r="A1138" s="90" t="str">
        <f t="shared" si="42"/>
        <v/>
      </c>
      <c r="B1138" s="98"/>
      <c r="C1138" s="94"/>
      <c r="D1138" s="94"/>
      <c r="E1138" s="94"/>
      <c r="F1138" s="94"/>
      <c r="G1138" s="94"/>
      <c r="H1138" s="94"/>
      <c r="I1138" s="94"/>
      <c r="J1138" s="94"/>
      <c r="K1138" s="94"/>
      <c r="L1138" s="94"/>
      <c r="M1138" s="94"/>
      <c r="N1138" s="94"/>
      <c r="O1138" s="94"/>
      <c r="P1138" s="94"/>
      <c r="Q1138" s="94"/>
      <c r="R1138" s="94"/>
      <c r="S1138" s="94"/>
      <c r="T1138" s="94"/>
      <c r="U1138" s="94"/>
      <c r="V1138" s="94"/>
      <c r="W1138" s="94"/>
      <c r="X1138" s="94"/>
      <c r="Y1138" s="94"/>
      <c r="Z1138" s="94"/>
      <c r="AA1138" s="94"/>
      <c r="AB1138" s="94"/>
      <c r="AC1138" s="94"/>
      <c r="AD1138" s="94"/>
      <c r="AE1138" s="94"/>
      <c r="AF1138" s="94"/>
      <c r="AG1138" s="94"/>
      <c r="AH1138" s="94"/>
      <c r="AI1138" s="94"/>
      <c r="AJ1138" s="94"/>
      <c r="AK1138" s="94"/>
      <c r="AL1138" s="94"/>
      <c r="AM1138" s="94"/>
      <c r="AN1138" s="94"/>
      <c r="AO1138" s="94"/>
      <c r="AP1138" s="94"/>
      <c r="AQ1138" s="94"/>
      <c r="AR1138" s="94"/>
      <c r="AS1138" s="94"/>
      <c r="AT1138" s="94"/>
      <c r="AU1138" s="94"/>
      <c r="AV1138" s="94"/>
      <c r="AW1138" s="94"/>
      <c r="AX1138" s="94"/>
      <c r="AY1138" s="94"/>
      <c r="AZ1138" s="94"/>
      <c r="BA1138" s="95"/>
    </row>
    <row r="1139" spans="1:53" s="87" customFormat="1">
      <c r="A1139" s="90" t="str">
        <f t="shared" si="42"/>
        <v/>
      </c>
      <c r="B1139" s="98"/>
      <c r="C1139" s="94"/>
      <c r="D1139" s="94"/>
      <c r="E1139" s="94"/>
      <c r="F1139" s="94"/>
      <c r="G1139" s="94"/>
      <c r="H1139" s="94"/>
      <c r="I1139" s="94"/>
      <c r="J1139" s="94"/>
      <c r="K1139" s="94"/>
      <c r="L1139" s="94"/>
      <c r="M1139" s="94"/>
      <c r="N1139" s="94"/>
      <c r="O1139" s="94"/>
      <c r="P1139" s="94"/>
      <c r="Q1139" s="94"/>
      <c r="R1139" s="94"/>
      <c r="S1139" s="94"/>
      <c r="T1139" s="94"/>
      <c r="U1139" s="94"/>
      <c r="V1139" s="94"/>
      <c r="W1139" s="94"/>
      <c r="X1139" s="94"/>
      <c r="Y1139" s="94"/>
      <c r="Z1139" s="94"/>
      <c r="AA1139" s="94"/>
      <c r="AB1139" s="94"/>
      <c r="AC1139" s="94"/>
      <c r="AD1139" s="94"/>
      <c r="AE1139" s="94"/>
      <c r="AF1139" s="94"/>
      <c r="AG1139" s="94"/>
      <c r="AH1139" s="94"/>
      <c r="AI1139" s="94"/>
      <c r="AJ1139" s="94"/>
      <c r="AK1139" s="94"/>
      <c r="AL1139" s="94"/>
      <c r="AM1139" s="94"/>
      <c r="AN1139" s="94"/>
      <c r="AO1139" s="94"/>
      <c r="AP1139" s="94"/>
      <c r="AQ1139" s="94"/>
      <c r="AR1139" s="94"/>
      <c r="AS1139" s="94"/>
      <c r="AT1139" s="94"/>
      <c r="AU1139" s="94"/>
      <c r="AV1139" s="94"/>
      <c r="AW1139" s="94"/>
      <c r="AX1139" s="94"/>
      <c r="AY1139" s="94"/>
      <c r="AZ1139" s="94"/>
      <c r="BA1139" s="95"/>
    </row>
    <row r="1140" spans="1:53" s="87" customFormat="1">
      <c r="A1140" s="90" t="str">
        <f t="shared" si="42"/>
        <v/>
      </c>
      <c r="B1140" s="98"/>
      <c r="C1140" s="94"/>
      <c r="D1140" s="94"/>
      <c r="E1140" s="94"/>
      <c r="F1140" s="94"/>
      <c r="G1140" s="94"/>
      <c r="H1140" s="94"/>
      <c r="I1140" s="94"/>
      <c r="J1140" s="94"/>
      <c r="K1140" s="94"/>
      <c r="L1140" s="94"/>
      <c r="M1140" s="94"/>
      <c r="N1140" s="94"/>
      <c r="O1140" s="94"/>
      <c r="P1140" s="94"/>
      <c r="Q1140" s="94"/>
      <c r="R1140" s="94"/>
      <c r="S1140" s="94"/>
      <c r="T1140" s="94"/>
      <c r="U1140" s="94"/>
      <c r="V1140" s="94"/>
      <c r="W1140" s="94"/>
      <c r="X1140" s="94"/>
      <c r="Y1140" s="94"/>
      <c r="Z1140" s="94"/>
      <c r="AA1140" s="94"/>
      <c r="AB1140" s="94"/>
      <c r="AC1140" s="94"/>
      <c r="AD1140" s="94"/>
      <c r="AE1140" s="94"/>
      <c r="AF1140" s="94"/>
      <c r="AG1140" s="94"/>
      <c r="AH1140" s="94"/>
      <c r="AI1140" s="94"/>
      <c r="AJ1140" s="94"/>
      <c r="AK1140" s="94"/>
      <c r="AL1140" s="94"/>
      <c r="AM1140" s="94"/>
      <c r="AN1140" s="94"/>
      <c r="AO1140" s="94"/>
      <c r="AP1140" s="94"/>
      <c r="AQ1140" s="94"/>
      <c r="AR1140" s="94"/>
      <c r="AS1140" s="94"/>
      <c r="AT1140" s="94"/>
      <c r="AU1140" s="94"/>
      <c r="AV1140" s="94"/>
      <c r="AW1140" s="94"/>
      <c r="AX1140" s="94"/>
      <c r="AY1140" s="94"/>
      <c r="AZ1140" s="94"/>
      <c r="BA1140" s="95"/>
    </row>
    <row r="1141" spans="1:53" s="87" customFormat="1">
      <c r="A1141" s="90" t="str">
        <f t="shared" si="42"/>
        <v/>
      </c>
      <c r="B1141" s="98"/>
      <c r="C1141" s="94"/>
      <c r="D1141" s="94"/>
      <c r="E1141" s="94"/>
      <c r="F1141" s="94"/>
      <c r="G1141" s="94"/>
      <c r="H1141" s="94"/>
      <c r="I1141" s="94"/>
      <c r="J1141" s="94"/>
      <c r="K1141" s="94"/>
      <c r="L1141" s="94"/>
      <c r="M1141" s="94"/>
      <c r="N1141" s="94"/>
      <c r="O1141" s="94"/>
      <c r="P1141" s="94"/>
      <c r="Q1141" s="94"/>
      <c r="R1141" s="94"/>
      <c r="S1141" s="94"/>
      <c r="T1141" s="94"/>
      <c r="U1141" s="94"/>
      <c r="V1141" s="94"/>
      <c r="W1141" s="94"/>
      <c r="X1141" s="94"/>
      <c r="Y1141" s="94"/>
      <c r="Z1141" s="94"/>
      <c r="AA1141" s="94"/>
      <c r="AB1141" s="94"/>
      <c r="AC1141" s="94"/>
      <c r="AD1141" s="94"/>
      <c r="AE1141" s="94"/>
      <c r="AF1141" s="94"/>
      <c r="AG1141" s="94"/>
      <c r="AH1141" s="94"/>
      <c r="AI1141" s="94"/>
      <c r="AJ1141" s="94"/>
      <c r="AK1141" s="94"/>
      <c r="AL1141" s="94"/>
      <c r="AM1141" s="94"/>
      <c r="AN1141" s="94"/>
      <c r="AO1141" s="94"/>
      <c r="AP1141" s="94"/>
      <c r="AQ1141" s="94"/>
      <c r="AR1141" s="94"/>
      <c r="AS1141" s="94"/>
      <c r="AT1141" s="94"/>
      <c r="AU1141" s="94"/>
      <c r="AV1141" s="94"/>
      <c r="AW1141" s="94"/>
      <c r="AX1141" s="94"/>
      <c r="AY1141" s="94"/>
      <c r="AZ1141" s="94"/>
      <c r="BA1141" s="95"/>
    </row>
    <row r="1142" spans="1:53" s="87" customFormat="1">
      <c r="A1142" s="90" t="str">
        <f t="shared" si="42"/>
        <v/>
      </c>
      <c r="B1142" s="98"/>
      <c r="C1142" s="94"/>
      <c r="D1142" s="94"/>
      <c r="E1142" s="94"/>
      <c r="F1142" s="94"/>
      <c r="G1142" s="94"/>
      <c r="H1142" s="94"/>
      <c r="I1142" s="94"/>
      <c r="J1142" s="94"/>
      <c r="K1142" s="94"/>
      <c r="L1142" s="94"/>
      <c r="M1142" s="94"/>
      <c r="N1142" s="94"/>
      <c r="O1142" s="94"/>
      <c r="P1142" s="94"/>
      <c r="Q1142" s="94"/>
      <c r="R1142" s="94"/>
      <c r="S1142" s="94"/>
      <c r="T1142" s="94"/>
      <c r="U1142" s="94"/>
      <c r="V1142" s="94"/>
      <c r="W1142" s="94"/>
      <c r="X1142" s="94"/>
      <c r="Y1142" s="94"/>
      <c r="Z1142" s="94"/>
      <c r="AA1142" s="94"/>
      <c r="AB1142" s="94"/>
      <c r="AC1142" s="94"/>
      <c r="AD1142" s="94"/>
      <c r="AE1142" s="94"/>
      <c r="AF1142" s="94"/>
      <c r="AG1142" s="94"/>
      <c r="AH1142" s="94"/>
      <c r="AI1142" s="94"/>
      <c r="AJ1142" s="94"/>
      <c r="AK1142" s="94"/>
      <c r="AL1142" s="94"/>
      <c r="AM1142" s="94"/>
      <c r="AN1142" s="94"/>
      <c r="AO1142" s="94"/>
      <c r="AP1142" s="94"/>
      <c r="AQ1142" s="94"/>
      <c r="AR1142" s="94"/>
      <c r="AS1142" s="94"/>
      <c r="AT1142" s="94"/>
      <c r="AU1142" s="94"/>
      <c r="AV1142" s="94"/>
      <c r="AW1142" s="94"/>
      <c r="AX1142" s="94"/>
      <c r="AY1142" s="94"/>
      <c r="AZ1142" s="94"/>
      <c r="BA1142" s="95"/>
    </row>
    <row r="1143" spans="1:53" s="87" customFormat="1">
      <c r="A1143" s="90" t="str">
        <f t="shared" si="42"/>
        <v/>
      </c>
      <c r="B1143" s="98"/>
      <c r="C1143" s="94"/>
      <c r="D1143" s="94"/>
      <c r="E1143" s="94"/>
      <c r="F1143" s="94"/>
      <c r="G1143" s="94"/>
      <c r="H1143" s="94"/>
      <c r="I1143" s="94"/>
      <c r="J1143" s="94"/>
      <c r="K1143" s="94"/>
      <c r="L1143" s="94"/>
      <c r="M1143" s="94"/>
      <c r="N1143" s="94"/>
      <c r="O1143" s="94"/>
      <c r="P1143" s="94"/>
      <c r="Q1143" s="94"/>
      <c r="R1143" s="94"/>
      <c r="S1143" s="94"/>
      <c r="T1143" s="94"/>
      <c r="U1143" s="94"/>
      <c r="V1143" s="94"/>
      <c r="W1143" s="94"/>
      <c r="X1143" s="94"/>
      <c r="Y1143" s="94"/>
      <c r="Z1143" s="94"/>
      <c r="AA1143" s="94"/>
      <c r="AB1143" s="94"/>
      <c r="AC1143" s="94"/>
      <c r="AD1143" s="94"/>
      <c r="AE1143" s="94"/>
      <c r="AF1143" s="94"/>
      <c r="AG1143" s="94"/>
      <c r="AH1143" s="94"/>
      <c r="AI1143" s="94"/>
      <c r="AJ1143" s="94"/>
      <c r="AK1143" s="94"/>
      <c r="AL1143" s="94"/>
      <c r="AM1143" s="94"/>
      <c r="AN1143" s="94"/>
      <c r="AO1143" s="94"/>
      <c r="AP1143" s="94"/>
      <c r="AQ1143" s="94"/>
      <c r="AR1143" s="94"/>
      <c r="AS1143" s="94"/>
      <c r="AT1143" s="94"/>
      <c r="AU1143" s="94"/>
      <c r="AV1143" s="94"/>
      <c r="AW1143" s="94"/>
      <c r="AX1143" s="94"/>
      <c r="AY1143" s="94"/>
      <c r="AZ1143" s="94"/>
      <c r="BA1143" s="95"/>
    </row>
    <row r="1144" spans="1:53" s="87" customFormat="1">
      <c r="A1144" s="90" t="str">
        <f t="shared" si="42"/>
        <v/>
      </c>
      <c r="B1144" s="98"/>
      <c r="C1144" s="94"/>
      <c r="D1144" s="94"/>
      <c r="E1144" s="94"/>
      <c r="F1144" s="94"/>
      <c r="G1144" s="94"/>
      <c r="H1144" s="94"/>
      <c r="I1144" s="94"/>
      <c r="J1144" s="94"/>
      <c r="K1144" s="94"/>
      <c r="L1144" s="94"/>
      <c r="M1144" s="94"/>
      <c r="N1144" s="94"/>
      <c r="O1144" s="94"/>
      <c r="P1144" s="94"/>
      <c r="Q1144" s="94"/>
      <c r="R1144" s="94"/>
      <c r="S1144" s="94"/>
      <c r="T1144" s="94"/>
      <c r="U1144" s="94"/>
      <c r="V1144" s="94"/>
      <c r="W1144" s="94"/>
      <c r="X1144" s="94"/>
      <c r="Y1144" s="94"/>
      <c r="Z1144" s="94"/>
      <c r="AA1144" s="94"/>
      <c r="AB1144" s="94"/>
      <c r="AC1144" s="94"/>
      <c r="AD1144" s="94"/>
      <c r="AE1144" s="94"/>
      <c r="AF1144" s="94"/>
      <c r="AG1144" s="94"/>
      <c r="AH1144" s="94"/>
      <c r="AI1144" s="94"/>
      <c r="AJ1144" s="94"/>
      <c r="AK1144" s="94"/>
      <c r="AL1144" s="94"/>
      <c r="AM1144" s="94"/>
      <c r="AN1144" s="94"/>
      <c r="AO1144" s="94"/>
      <c r="AP1144" s="94"/>
      <c r="AQ1144" s="94"/>
      <c r="AR1144" s="94"/>
      <c r="AS1144" s="94"/>
      <c r="AT1144" s="94"/>
      <c r="AU1144" s="94"/>
      <c r="AV1144" s="94"/>
      <c r="AW1144" s="94"/>
      <c r="AX1144" s="94"/>
      <c r="AY1144" s="94"/>
      <c r="AZ1144" s="94"/>
      <c r="BA1144" s="95"/>
    </row>
    <row r="1145" spans="1:53" s="87" customFormat="1">
      <c r="A1145" s="90" t="str">
        <f t="shared" si="42"/>
        <v/>
      </c>
      <c r="B1145" s="98"/>
      <c r="C1145" s="94"/>
      <c r="D1145" s="94"/>
      <c r="E1145" s="94"/>
      <c r="F1145" s="94"/>
      <c r="G1145" s="94"/>
      <c r="H1145" s="94"/>
      <c r="I1145" s="94"/>
      <c r="J1145" s="94"/>
      <c r="K1145" s="94"/>
      <c r="L1145" s="94"/>
      <c r="M1145" s="94"/>
      <c r="N1145" s="94"/>
      <c r="O1145" s="94"/>
      <c r="P1145" s="94"/>
      <c r="Q1145" s="94"/>
      <c r="R1145" s="94"/>
      <c r="S1145" s="94"/>
      <c r="T1145" s="94"/>
      <c r="U1145" s="94"/>
      <c r="V1145" s="94"/>
      <c r="W1145" s="94"/>
      <c r="X1145" s="94"/>
      <c r="Y1145" s="94"/>
      <c r="Z1145" s="94"/>
      <c r="AA1145" s="94"/>
      <c r="AB1145" s="94"/>
      <c r="AC1145" s="94"/>
      <c r="AD1145" s="94"/>
      <c r="AE1145" s="94"/>
      <c r="AF1145" s="94"/>
      <c r="AG1145" s="94"/>
      <c r="AH1145" s="94"/>
      <c r="AI1145" s="94"/>
      <c r="AJ1145" s="94"/>
      <c r="AK1145" s="94"/>
      <c r="AL1145" s="94"/>
      <c r="AM1145" s="94"/>
      <c r="AN1145" s="94"/>
      <c r="AO1145" s="94"/>
      <c r="AP1145" s="94"/>
      <c r="AQ1145" s="94"/>
      <c r="AR1145" s="94"/>
      <c r="AS1145" s="94"/>
      <c r="AT1145" s="94"/>
      <c r="AU1145" s="94"/>
      <c r="AV1145" s="94"/>
      <c r="AW1145" s="94"/>
      <c r="AX1145" s="94"/>
      <c r="AY1145" s="94"/>
      <c r="AZ1145" s="94"/>
      <c r="BA1145" s="95"/>
    </row>
    <row r="1146" spans="1:53" s="87" customFormat="1">
      <c r="A1146" s="90" t="str">
        <f t="shared" si="42"/>
        <v/>
      </c>
      <c r="B1146" s="98"/>
      <c r="C1146" s="94"/>
      <c r="D1146" s="94"/>
      <c r="E1146" s="94"/>
      <c r="F1146" s="94"/>
      <c r="G1146" s="94"/>
      <c r="H1146" s="94"/>
      <c r="I1146" s="94"/>
      <c r="J1146" s="94"/>
      <c r="K1146" s="94"/>
      <c r="L1146" s="94"/>
      <c r="M1146" s="94"/>
      <c r="N1146" s="94"/>
      <c r="O1146" s="94"/>
      <c r="P1146" s="94"/>
      <c r="Q1146" s="94"/>
      <c r="R1146" s="94"/>
      <c r="S1146" s="94"/>
      <c r="T1146" s="94"/>
      <c r="U1146" s="94"/>
      <c r="V1146" s="94"/>
      <c r="W1146" s="94"/>
      <c r="X1146" s="94"/>
      <c r="Y1146" s="94"/>
      <c r="Z1146" s="94"/>
      <c r="AA1146" s="94"/>
      <c r="AB1146" s="94"/>
      <c r="AC1146" s="94"/>
      <c r="AD1146" s="94"/>
      <c r="AE1146" s="94"/>
      <c r="AF1146" s="94"/>
      <c r="AG1146" s="94"/>
      <c r="AH1146" s="94"/>
      <c r="AI1146" s="94"/>
      <c r="AJ1146" s="94"/>
      <c r="AK1146" s="94"/>
      <c r="AL1146" s="94"/>
      <c r="AM1146" s="94"/>
      <c r="AN1146" s="94"/>
      <c r="AO1146" s="94"/>
      <c r="AP1146" s="94"/>
      <c r="AQ1146" s="94"/>
      <c r="AR1146" s="94"/>
      <c r="AS1146" s="94"/>
      <c r="AT1146" s="94"/>
      <c r="AU1146" s="94"/>
      <c r="AV1146" s="94"/>
      <c r="AW1146" s="94"/>
      <c r="AX1146" s="94"/>
      <c r="AY1146" s="94"/>
      <c r="AZ1146" s="94"/>
      <c r="BA1146" s="95"/>
    </row>
    <row r="1147" spans="1:53" s="87" customFormat="1">
      <c r="A1147" s="90" t="str">
        <f t="shared" si="42"/>
        <v/>
      </c>
      <c r="B1147" s="98"/>
      <c r="C1147" s="94"/>
      <c r="D1147" s="94"/>
      <c r="E1147" s="94"/>
      <c r="F1147" s="94"/>
      <c r="G1147" s="94"/>
      <c r="H1147" s="94"/>
      <c r="I1147" s="94"/>
      <c r="J1147" s="94"/>
      <c r="K1147" s="94"/>
      <c r="L1147" s="94"/>
      <c r="M1147" s="94"/>
      <c r="N1147" s="94"/>
      <c r="O1147" s="94"/>
      <c r="P1147" s="94"/>
      <c r="Q1147" s="94"/>
      <c r="R1147" s="94"/>
      <c r="S1147" s="94"/>
      <c r="T1147" s="94"/>
      <c r="U1147" s="94"/>
      <c r="V1147" s="94"/>
      <c r="W1147" s="94"/>
      <c r="X1147" s="94"/>
      <c r="Y1147" s="94"/>
      <c r="Z1147" s="94"/>
      <c r="AA1147" s="94"/>
      <c r="AB1147" s="94"/>
      <c r="AC1147" s="94"/>
      <c r="AD1147" s="94"/>
      <c r="AE1147" s="94"/>
      <c r="AF1147" s="94"/>
      <c r="AG1147" s="94"/>
      <c r="AH1147" s="94"/>
      <c r="AI1147" s="94"/>
      <c r="AJ1147" s="94"/>
      <c r="AK1147" s="94"/>
      <c r="AL1147" s="94"/>
      <c r="AM1147" s="94"/>
      <c r="AN1147" s="94"/>
      <c r="AO1147" s="94"/>
      <c r="AP1147" s="94"/>
      <c r="AQ1147" s="94"/>
      <c r="AR1147" s="94"/>
      <c r="AS1147" s="94"/>
      <c r="AT1147" s="94"/>
      <c r="AU1147" s="94"/>
      <c r="AV1147" s="94"/>
      <c r="AW1147" s="94"/>
      <c r="AX1147" s="94"/>
      <c r="AY1147" s="94"/>
      <c r="AZ1147" s="94"/>
      <c r="BA1147" s="95"/>
    </row>
    <row r="1148" spans="1:53" s="87" customFormat="1">
      <c r="A1148" s="90" t="str">
        <f t="shared" si="42"/>
        <v/>
      </c>
      <c r="B1148" s="98"/>
      <c r="C1148" s="94"/>
      <c r="D1148" s="94"/>
      <c r="E1148" s="94"/>
      <c r="F1148" s="94"/>
      <c r="G1148" s="94"/>
      <c r="H1148" s="94"/>
      <c r="I1148" s="94"/>
      <c r="J1148" s="94"/>
      <c r="K1148" s="94"/>
      <c r="L1148" s="94"/>
      <c r="M1148" s="94"/>
      <c r="N1148" s="94"/>
      <c r="O1148" s="94"/>
      <c r="P1148" s="94"/>
      <c r="Q1148" s="94"/>
      <c r="R1148" s="94"/>
      <c r="S1148" s="94"/>
      <c r="T1148" s="94"/>
      <c r="U1148" s="94"/>
      <c r="V1148" s="94"/>
      <c r="W1148" s="94"/>
      <c r="X1148" s="94"/>
      <c r="Y1148" s="94"/>
      <c r="Z1148" s="94"/>
      <c r="AA1148" s="94"/>
      <c r="AB1148" s="94"/>
      <c r="AC1148" s="94"/>
      <c r="AD1148" s="94"/>
      <c r="AE1148" s="94"/>
      <c r="AF1148" s="94"/>
      <c r="AG1148" s="94"/>
      <c r="AH1148" s="94"/>
      <c r="AI1148" s="94"/>
      <c r="AJ1148" s="94"/>
      <c r="AK1148" s="94"/>
      <c r="AL1148" s="94"/>
      <c r="AM1148" s="94"/>
      <c r="AN1148" s="94"/>
      <c r="AO1148" s="94"/>
      <c r="AP1148" s="94"/>
      <c r="AQ1148" s="94"/>
      <c r="AR1148" s="94"/>
      <c r="AS1148" s="94"/>
      <c r="AT1148" s="94"/>
      <c r="AU1148" s="94"/>
      <c r="AV1148" s="94"/>
      <c r="AW1148" s="94"/>
      <c r="AX1148" s="94"/>
      <c r="AY1148" s="94"/>
      <c r="AZ1148" s="94"/>
      <c r="BA1148" s="95"/>
    </row>
    <row r="1149" spans="1:53" s="87" customFormat="1">
      <c r="A1149" s="90" t="str">
        <f t="shared" si="42"/>
        <v/>
      </c>
      <c r="B1149" s="98"/>
      <c r="C1149" s="94"/>
      <c r="D1149" s="94"/>
      <c r="E1149" s="94"/>
      <c r="F1149" s="94"/>
      <c r="G1149" s="94"/>
      <c r="H1149" s="94"/>
      <c r="I1149" s="94"/>
      <c r="J1149" s="94"/>
      <c r="K1149" s="94"/>
      <c r="L1149" s="94"/>
      <c r="M1149" s="94"/>
      <c r="N1149" s="94"/>
      <c r="O1149" s="94"/>
      <c r="P1149" s="94"/>
      <c r="Q1149" s="94"/>
      <c r="R1149" s="94"/>
      <c r="S1149" s="94"/>
      <c r="T1149" s="94"/>
      <c r="U1149" s="94"/>
      <c r="V1149" s="94"/>
      <c r="W1149" s="94"/>
      <c r="X1149" s="94"/>
      <c r="Y1149" s="94"/>
      <c r="Z1149" s="94"/>
      <c r="AA1149" s="94"/>
      <c r="AB1149" s="94"/>
      <c r="AC1149" s="94"/>
      <c r="AD1149" s="94"/>
      <c r="AE1149" s="94"/>
      <c r="AF1149" s="94"/>
      <c r="AG1149" s="94"/>
      <c r="AH1149" s="94"/>
      <c r="AI1149" s="94"/>
      <c r="AJ1149" s="94"/>
      <c r="AK1149" s="94"/>
      <c r="AL1149" s="94"/>
      <c r="AM1149" s="94"/>
      <c r="AN1149" s="94"/>
      <c r="AO1149" s="94"/>
      <c r="AP1149" s="94"/>
      <c r="AQ1149" s="94"/>
      <c r="AR1149" s="94"/>
      <c r="AS1149" s="94"/>
      <c r="AT1149" s="94"/>
      <c r="AU1149" s="94"/>
      <c r="AV1149" s="94"/>
      <c r="AW1149" s="94"/>
      <c r="AX1149" s="94"/>
      <c r="AY1149" s="94"/>
      <c r="AZ1149" s="94"/>
      <c r="BA1149" s="95"/>
    </row>
    <row r="1150" spans="1:53" s="87" customFormat="1">
      <c r="A1150" s="90" t="str">
        <f t="shared" si="42"/>
        <v/>
      </c>
      <c r="B1150" s="98"/>
      <c r="C1150" s="94"/>
      <c r="D1150" s="94"/>
      <c r="E1150" s="94"/>
      <c r="F1150" s="94"/>
      <c r="G1150" s="94"/>
      <c r="H1150" s="94"/>
      <c r="I1150" s="94"/>
      <c r="J1150" s="94"/>
      <c r="K1150" s="94"/>
      <c r="L1150" s="94"/>
      <c r="M1150" s="94"/>
      <c r="N1150" s="94"/>
      <c r="O1150" s="94"/>
      <c r="P1150" s="94"/>
      <c r="Q1150" s="94"/>
      <c r="R1150" s="94"/>
      <c r="S1150" s="94"/>
      <c r="T1150" s="94"/>
      <c r="U1150" s="94"/>
      <c r="V1150" s="94"/>
      <c r="W1150" s="94"/>
      <c r="X1150" s="94"/>
      <c r="Y1150" s="94"/>
      <c r="Z1150" s="94"/>
      <c r="AA1150" s="94"/>
      <c r="AB1150" s="94"/>
      <c r="AC1150" s="94"/>
      <c r="AD1150" s="94"/>
      <c r="AE1150" s="94"/>
      <c r="AF1150" s="94"/>
      <c r="AG1150" s="94"/>
      <c r="AH1150" s="94"/>
      <c r="AI1150" s="94"/>
      <c r="AJ1150" s="94"/>
      <c r="AK1150" s="94"/>
      <c r="AL1150" s="94"/>
      <c r="AM1150" s="94"/>
      <c r="AN1150" s="94"/>
      <c r="AO1150" s="94"/>
      <c r="AP1150" s="94"/>
      <c r="AQ1150" s="94"/>
      <c r="AR1150" s="94"/>
      <c r="AS1150" s="94"/>
      <c r="AT1150" s="94"/>
      <c r="AU1150" s="94"/>
      <c r="AV1150" s="94"/>
      <c r="AW1150" s="94"/>
      <c r="AX1150" s="94"/>
      <c r="AY1150" s="94"/>
      <c r="AZ1150" s="94"/>
      <c r="BA1150" s="95"/>
    </row>
    <row r="1151" spans="1:53" s="87" customFormat="1">
      <c r="A1151" s="90" t="str">
        <f t="shared" si="42"/>
        <v/>
      </c>
      <c r="B1151" s="98"/>
      <c r="C1151" s="94"/>
      <c r="D1151" s="94"/>
      <c r="E1151" s="94"/>
      <c r="F1151" s="94"/>
      <c r="G1151" s="94"/>
      <c r="H1151" s="94"/>
      <c r="I1151" s="94"/>
      <c r="J1151" s="94"/>
      <c r="K1151" s="94"/>
      <c r="L1151" s="94"/>
      <c r="M1151" s="94"/>
      <c r="N1151" s="94"/>
      <c r="O1151" s="94"/>
      <c r="P1151" s="94"/>
      <c r="Q1151" s="94"/>
      <c r="R1151" s="94"/>
      <c r="S1151" s="94"/>
      <c r="T1151" s="94"/>
      <c r="U1151" s="94"/>
      <c r="V1151" s="94"/>
      <c r="W1151" s="94"/>
      <c r="X1151" s="94"/>
      <c r="Y1151" s="94"/>
      <c r="Z1151" s="94"/>
      <c r="AA1151" s="94"/>
      <c r="AB1151" s="94"/>
      <c r="AC1151" s="94"/>
      <c r="AD1151" s="94"/>
      <c r="AE1151" s="94"/>
      <c r="AF1151" s="94"/>
      <c r="AG1151" s="94"/>
      <c r="AH1151" s="94"/>
      <c r="AI1151" s="94"/>
      <c r="AJ1151" s="94"/>
      <c r="AK1151" s="94"/>
      <c r="AL1151" s="94"/>
      <c r="AM1151" s="94"/>
      <c r="AN1151" s="94"/>
      <c r="AO1151" s="94"/>
      <c r="AP1151" s="94"/>
      <c r="AQ1151" s="94"/>
      <c r="AR1151" s="94"/>
      <c r="AS1151" s="94"/>
      <c r="AT1151" s="94"/>
      <c r="AU1151" s="94"/>
      <c r="AV1151" s="94"/>
      <c r="AW1151" s="94"/>
      <c r="AX1151" s="94"/>
      <c r="AY1151" s="94"/>
      <c r="AZ1151" s="94"/>
      <c r="BA1151" s="95"/>
    </row>
    <row r="1152" spans="1:53" s="87" customFormat="1">
      <c r="A1152" s="90" t="str">
        <f t="shared" si="42"/>
        <v/>
      </c>
      <c r="B1152" s="98"/>
      <c r="C1152" s="94"/>
      <c r="D1152" s="94"/>
      <c r="E1152" s="94"/>
      <c r="F1152" s="94"/>
      <c r="G1152" s="94"/>
      <c r="H1152" s="94"/>
      <c r="I1152" s="94"/>
      <c r="J1152" s="94"/>
      <c r="K1152" s="94"/>
      <c r="L1152" s="94"/>
      <c r="M1152" s="94"/>
      <c r="N1152" s="94"/>
      <c r="O1152" s="94"/>
      <c r="P1152" s="94"/>
      <c r="Q1152" s="94"/>
      <c r="R1152" s="94"/>
      <c r="S1152" s="94"/>
      <c r="T1152" s="94"/>
      <c r="U1152" s="94"/>
      <c r="V1152" s="94"/>
      <c r="W1152" s="94"/>
      <c r="X1152" s="94"/>
      <c r="Y1152" s="94"/>
      <c r="Z1152" s="94"/>
      <c r="AA1152" s="94"/>
      <c r="AB1152" s="94"/>
      <c r="AC1152" s="94"/>
      <c r="AD1152" s="94"/>
      <c r="AE1152" s="94"/>
      <c r="AF1152" s="94"/>
      <c r="AG1152" s="94"/>
      <c r="AH1152" s="94"/>
      <c r="AI1152" s="94"/>
      <c r="AJ1152" s="94"/>
      <c r="AK1152" s="94"/>
      <c r="AL1152" s="94"/>
      <c r="AM1152" s="94"/>
      <c r="AN1152" s="94"/>
      <c r="AO1152" s="94"/>
      <c r="AP1152" s="94"/>
      <c r="AQ1152" s="94"/>
      <c r="AR1152" s="94"/>
      <c r="AS1152" s="94"/>
      <c r="AT1152" s="94"/>
      <c r="AU1152" s="94"/>
      <c r="AV1152" s="94"/>
      <c r="AW1152" s="94"/>
      <c r="AX1152" s="94"/>
      <c r="AY1152" s="94"/>
      <c r="AZ1152" s="94"/>
      <c r="BA1152" s="95"/>
    </row>
    <row r="1153" spans="1:53" s="87" customFormat="1">
      <c r="A1153" s="90" t="str">
        <f t="shared" si="42"/>
        <v/>
      </c>
      <c r="B1153" s="98"/>
      <c r="C1153" s="94"/>
      <c r="D1153" s="94"/>
      <c r="E1153" s="94"/>
      <c r="F1153" s="94"/>
      <c r="G1153" s="94"/>
      <c r="H1153" s="94"/>
      <c r="I1153" s="94"/>
      <c r="J1153" s="94"/>
      <c r="K1153" s="94"/>
      <c r="L1153" s="94"/>
      <c r="M1153" s="94"/>
      <c r="N1153" s="94"/>
      <c r="O1153" s="94"/>
      <c r="P1153" s="94"/>
      <c r="Q1153" s="94"/>
      <c r="R1153" s="94"/>
      <c r="S1153" s="94"/>
      <c r="T1153" s="94"/>
      <c r="U1153" s="94"/>
      <c r="V1153" s="94"/>
      <c r="W1153" s="94"/>
      <c r="X1153" s="94"/>
      <c r="Y1153" s="94"/>
      <c r="Z1153" s="94"/>
      <c r="AA1153" s="94"/>
      <c r="AB1153" s="94"/>
      <c r="AC1153" s="94"/>
      <c r="AD1153" s="94"/>
      <c r="AE1153" s="94"/>
      <c r="AF1153" s="94"/>
      <c r="AG1153" s="94"/>
      <c r="AH1153" s="94"/>
      <c r="AI1153" s="94"/>
      <c r="AJ1153" s="94"/>
      <c r="AK1153" s="94"/>
      <c r="AL1153" s="94"/>
      <c r="AM1153" s="94"/>
      <c r="AN1153" s="94"/>
      <c r="AO1153" s="94"/>
      <c r="AP1153" s="94"/>
      <c r="AQ1153" s="94"/>
      <c r="AR1153" s="94"/>
      <c r="AS1153" s="94"/>
      <c r="AT1153" s="94"/>
      <c r="AU1153" s="94"/>
      <c r="AV1153" s="94"/>
      <c r="AW1153" s="94"/>
      <c r="AX1153" s="94"/>
      <c r="AY1153" s="94"/>
      <c r="AZ1153" s="94"/>
      <c r="BA1153" s="95"/>
    </row>
    <row r="1154" spans="1:53" s="87" customFormat="1">
      <c r="A1154" s="90" t="str">
        <f t="shared" si="42"/>
        <v/>
      </c>
      <c r="B1154" s="98"/>
      <c r="C1154" s="94"/>
      <c r="D1154" s="94"/>
      <c r="E1154" s="94"/>
      <c r="F1154" s="94"/>
      <c r="G1154" s="94"/>
      <c r="H1154" s="94"/>
      <c r="I1154" s="94"/>
      <c r="J1154" s="94"/>
      <c r="K1154" s="94"/>
      <c r="L1154" s="94"/>
      <c r="M1154" s="94"/>
      <c r="N1154" s="94"/>
      <c r="O1154" s="94"/>
      <c r="P1154" s="94"/>
      <c r="Q1154" s="94"/>
      <c r="R1154" s="94"/>
      <c r="S1154" s="94"/>
      <c r="T1154" s="94"/>
      <c r="U1154" s="94"/>
      <c r="V1154" s="94"/>
      <c r="W1154" s="94"/>
      <c r="X1154" s="94"/>
      <c r="Y1154" s="94"/>
      <c r="Z1154" s="94"/>
      <c r="AA1154" s="94"/>
      <c r="AB1154" s="94"/>
      <c r="AC1154" s="94"/>
      <c r="AD1154" s="94"/>
      <c r="AE1154" s="94"/>
      <c r="AF1154" s="94"/>
      <c r="AG1154" s="94"/>
      <c r="AH1154" s="94"/>
      <c r="AI1154" s="94"/>
      <c r="AJ1154" s="94"/>
      <c r="AK1154" s="94"/>
      <c r="AL1154" s="94"/>
      <c r="AM1154" s="94"/>
      <c r="AN1154" s="94"/>
      <c r="AO1154" s="94"/>
      <c r="AP1154" s="94"/>
      <c r="AQ1154" s="94"/>
      <c r="AR1154" s="94"/>
      <c r="AS1154" s="94"/>
      <c r="AT1154" s="94"/>
      <c r="AU1154" s="94"/>
      <c r="AV1154" s="94"/>
      <c r="AW1154" s="94"/>
      <c r="AX1154" s="94"/>
      <c r="AY1154" s="94"/>
      <c r="AZ1154" s="94"/>
      <c r="BA1154" s="95"/>
    </row>
    <row r="1155" spans="1:53" s="87" customFormat="1">
      <c r="A1155" s="90" t="str">
        <f t="shared" si="42"/>
        <v/>
      </c>
      <c r="B1155" s="98"/>
      <c r="C1155" s="94"/>
      <c r="D1155" s="94"/>
      <c r="E1155" s="94"/>
      <c r="F1155" s="94"/>
      <c r="G1155" s="94"/>
      <c r="H1155" s="94"/>
      <c r="I1155" s="94"/>
      <c r="J1155" s="94"/>
      <c r="K1155" s="94"/>
      <c r="L1155" s="94"/>
      <c r="M1155" s="94"/>
      <c r="N1155" s="94"/>
      <c r="O1155" s="94"/>
      <c r="P1155" s="94"/>
      <c r="Q1155" s="94"/>
      <c r="R1155" s="94"/>
      <c r="S1155" s="94"/>
      <c r="T1155" s="94"/>
      <c r="U1155" s="94"/>
      <c r="V1155" s="94"/>
      <c r="W1155" s="94"/>
      <c r="X1155" s="94"/>
      <c r="Y1155" s="94"/>
      <c r="Z1155" s="94"/>
      <c r="AA1155" s="94"/>
      <c r="AB1155" s="94"/>
      <c r="AC1155" s="94"/>
      <c r="AD1155" s="94"/>
      <c r="AE1155" s="94"/>
      <c r="AF1155" s="94"/>
      <c r="AG1155" s="94"/>
      <c r="AH1155" s="94"/>
      <c r="AI1155" s="94"/>
      <c r="AJ1155" s="94"/>
      <c r="AK1155" s="94"/>
      <c r="AL1155" s="94"/>
      <c r="AM1155" s="94"/>
      <c r="AN1155" s="94"/>
      <c r="AO1155" s="94"/>
      <c r="AP1155" s="94"/>
      <c r="AQ1155" s="94"/>
      <c r="AR1155" s="94"/>
      <c r="AS1155" s="94"/>
      <c r="AT1155" s="94"/>
      <c r="AU1155" s="94"/>
      <c r="AV1155" s="94"/>
      <c r="AW1155" s="94"/>
      <c r="AX1155" s="94"/>
      <c r="AY1155" s="94"/>
      <c r="AZ1155" s="94"/>
      <c r="BA1155" s="95"/>
    </row>
    <row r="1156" spans="1:53" s="87" customFormat="1">
      <c r="A1156" s="90" t="str">
        <f t="shared" si="42"/>
        <v/>
      </c>
      <c r="B1156" s="98"/>
      <c r="C1156" s="94"/>
      <c r="D1156" s="94"/>
      <c r="E1156" s="94"/>
      <c r="F1156" s="94"/>
      <c r="G1156" s="94"/>
      <c r="H1156" s="94"/>
      <c r="I1156" s="94"/>
      <c r="J1156" s="94"/>
      <c r="K1156" s="94"/>
      <c r="L1156" s="94"/>
      <c r="M1156" s="94"/>
      <c r="N1156" s="94"/>
      <c r="O1156" s="94"/>
      <c r="P1156" s="94"/>
      <c r="Q1156" s="94"/>
      <c r="R1156" s="94"/>
      <c r="S1156" s="94"/>
      <c r="T1156" s="94"/>
      <c r="U1156" s="94"/>
      <c r="V1156" s="94"/>
      <c r="W1156" s="94"/>
      <c r="X1156" s="94"/>
      <c r="Y1156" s="94"/>
      <c r="Z1156" s="94"/>
      <c r="AA1156" s="94"/>
      <c r="AB1156" s="94"/>
      <c r="AC1156" s="94"/>
      <c r="AD1156" s="94"/>
      <c r="AE1156" s="94"/>
      <c r="AF1156" s="94"/>
      <c r="AG1156" s="94"/>
      <c r="AH1156" s="94"/>
      <c r="AI1156" s="94"/>
      <c r="AJ1156" s="94"/>
      <c r="AK1156" s="94"/>
      <c r="AL1156" s="94"/>
      <c r="AM1156" s="94"/>
      <c r="AN1156" s="94"/>
      <c r="AO1156" s="94"/>
      <c r="AP1156" s="94"/>
      <c r="AQ1156" s="94"/>
      <c r="AR1156" s="94"/>
      <c r="AS1156" s="94"/>
      <c r="AT1156" s="94"/>
      <c r="AU1156" s="94"/>
      <c r="AV1156" s="94"/>
      <c r="AW1156" s="94"/>
      <c r="AX1156" s="94"/>
      <c r="AY1156" s="94"/>
      <c r="AZ1156" s="94"/>
      <c r="BA1156" s="95"/>
    </row>
    <row r="1157" spans="1:53" s="87" customFormat="1">
      <c r="A1157" s="90" t="str">
        <f t="shared" si="42"/>
        <v/>
      </c>
      <c r="B1157" s="98"/>
      <c r="C1157" s="94"/>
      <c r="D1157" s="94"/>
      <c r="E1157" s="94"/>
      <c r="F1157" s="94"/>
      <c r="G1157" s="94"/>
      <c r="H1157" s="94"/>
      <c r="I1157" s="94"/>
      <c r="J1157" s="94"/>
      <c r="K1157" s="94"/>
      <c r="L1157" s="94"/>
      <c r="M1157" s="94"/>
      <c r="N1157" s="94"/>
      <c r="O1157" s="94"/>
      <c r="P1157" s="94"/>
      <c r="Q1157" s="94"/>
      <c r="R1157" s="94"/>
      <c r="S1157" s="94"/>
      <c r="T1157" s="94"/>
      <c r="U1157" s="94"/>
      <c r="V1157" s="94"/>
      <c r="W1157" s="94"/>
      <c r="X1157" s="94"/>
      <c r="Y1157" s="94"/>
      <c r="Z1157" s="94"/>
      <c r="AA1157" s="94"/>
      <c r="AB1157" s="94"/>
      <c r="AC1157" s="94"/>
      <c r="AD1157" s="94"/>
      <c r="AE1157" s="94"/>
      <c r="AF1157" s="94"/>
      <c r="AG1157" s="94"/>
      <c r="AH1157" s="94"/>
      <c r="AI1157" s="94"/>
      <c r="AJ1157" s="94"/>
      <c r="AK1157" s="94"/>
      <c r="AL1157" s="94"/>
      <c r="AM1157" s="94"/>
      <c r="AN1157" s="94"/>
      <c r="AO1157" s="94"/>
      <c r="AP1157" s="94"/>
      <c r="AQ1157" s="94"/>
      <c r="AR1157" s="94"/>
      <c r="AS1157" s="94"/>
      <c r="AT1157" s="94"/>
      <c r="AU1157" s="94"/>
      <c r="AV1157" s="94"/>
      <c r="AW1157" s="94"/>
      <c r="AX1157" s="94"/>
      <c r="AY1157" s="94"/>
      <c r="AZ1157" s="94"/>
      <c r="BA1157" s="95"/>
    </row>
    <row r="1158" spans="1:53" s="87" customFormat="1">
      <c r="A1158" s="90" t="str">
        <f t="shared" si="42"/>
        <v/>
      </c>
      <c r="B1158" s="98"/>
      <c r="C1158" s="94"/>
      <c r="D1158" s="94"/>
      <c r="E1158" s="94"/>
      <c r="F1158" s="94"/>
      <c r="G1158" s="94"/>
      <c r="H1158" s="94"/>
      <c r="I1158" s="94"/>
      <c r="J1158" s="94"/>
      <c r="K1158" s="94"/>
      <c r="L1158" s="94"/>
      <c r="M1158" s="94"/>
      <c r="N1158" s="94"/>
      <c r="O1158" s="94"/>
      <c r="P1158" s="94"/>
      <c r="Q1158" s="94"/>
      <c r="R1158" s="94"/>
      <c r="S1158" s="94"/>
      <c r="T1158" s="94"/>
      <c r="U1158" s="94"/>
      <c r="V1158" s="94"/>
      <c r="W1158" s="94"/>
      <c r="X1158" s="94"/>
      <c r="Y1158" s="94"/>
      <c r="Z1158" s="94"/>
      <c r="AA1158" s="94"/>
      <c r="AB1158" s="94"/>
      <c r="AC1158" s="94"/>
      <c r="AD1158" s="94"/>
      <c r="AE1158" s="94"/>
      <c r="AF1158" s="94"/>
      <c r="AG1158" s="94"/>
      <c r="AH1158" s="94"/>
      <c r="AI1158" s="94"/>
      <c r="AJ1158" s="94"/>
      <c r="AK1158" s="94"/>
      <c r="AL1158" s="94"/>
      <c r="AM1158" s="94"/>
      <c r="AN1158" s="94"/>
      <c r="AO1158" s="94"/>
      <c r="AP1158" s="94"/>
      <c r="AQ1158" s="94"/>
      <c r="AR1158" s="94"/>
      <c r="AS1158" s="94"/>
      <c r="AT1158" s="94"/>
      <c r="AU1158" s="94"/>
      <c r="AV1158" s="94"/>
      <c r="AW1158" s="94"/>
      <c r="AX1158" s="94"/>
      <c r="AY1158" s="94"/>
      <c r="AZ1158" s="94"/>
      <c r="BA1158" s="95"/>
    </row>
    <row r="1159" spans="1:53" s="87" customFormat="1">
      <c r="A1159" s="90" t="str">
        <f t="shared" si="42"/>
        <v/>
      </c>
      <c r="B1159" s="98"/>
      <c r="C1159" s="94"/>
      <c r="D1159" s="94"/>
      <c r="E1159" s="94"/>
      <c r="F1159" s="94"/>
      <c r="G1159" s="94"/>
      <c r="H1159" s="94"/>
      <c r="I1159" s="94"/>
      <c r="J1159" s="94"/>
      <c r="K1159" s="94"/>
      <c r="L1159" s="94"/>
      <c r="M1159" s="94"/>
      <c r="N1159" s="94"/>
      <c r="O1159" s="94"/>
      <c r="P1159" s="94"/>
      <c r="Q1159" s="94"/>
      <c r="R1159" s="94"/>
      <c r="S1159" s="94"/>
      <c r="T1159" s="94"/>
      <c r="U1159" s="94"/>
      <c r="V1159" s="94"/>
      <c r="W1159" s="94"/>
      <c r="X1159" s="94"/>
      <c r="Y1159" s="94"/>
      <c r="Z1159" s="94"/>
      <c r="AA1159" s="94"/>
      <c r="AB1159" s="94"/>
      <c r="AC1159" s="94"/>
      <c r="AD1159" s="94"/>
      <c r="AE1159" s="94"/>
      <c r="AF1159" s="94"/>
      <c r="AG1159" s="94"/>
      <c r="AH1159" s="94"/>
      <c r="AI1159" s="94"/>
      <c r="AJ1159" s="94"/>
      <c r="AK1159" s="94"/>
      <c r="AL1159" s="94"/>
      <c r="AM1159" s="94"/>
      <c r="AN1159" s="94"/>
      <c r="AO1159" s="94"/>
      <c r="AP1159" s="94"/>
      <c r="AQ1159" s="94"/>
      <c r="AR1159" s="94"/>
      <c r="AS1159" s="94"/>
      <c r="AT1159" s="94"/>
      <c r="AU1159" s="94"/>
      <c r="AV1159" s="94"/>
      <c r="AW1159" s="94"/>
      <c r="AX1159" s="94"/>
      <c r="AY1159" s="94"/>
      <c r="AZ1159" s="94"/>
      <c r="BA1159" s="95"/>
    </row>
    <row r="1160" spans="1:53" s="87" customFormat="1">
      <c r="A1160" s="90" t="str">
        <f t="shared" si="42"/>
        <v/>
      </c>
      <c r="B1160" s="98"/>
      <c r="C1160" s="94"/>
      <c r="D1160" s="94"/>
      <c r="E1160" s="94"/>
      <c r="F1160" s="94"/>
      <c r="G1160" s="94"/>
      <c r="H1160" s="94"/>
      <c r="I1160" s="94"/>
      <c r="J1160" s="94"/>
      <c r="K1160" s="94"/>
      <c r="L1160" s="94"/>
      <c r="M1160" s="94"/>
      <c r="N1160" s="94"/>
      <c r="O1160" s="94"/>
      <c r="P1160" s="94"/>
      <c r="Q1160" s="94"/>
      <c r="R1160" s="94"/>
      <c r="S1160" s="94"/>
      <c r="T1160" s="94"/>
      <c r="U1160" s="94"/>
      <c r="V1160" s="94"/>
      <c r="W1160" s="94"/>
      <c r="X1160" s="94"/>
      <c r="Y1160" s="94"/>
      <c r="Z1160" s="94"/>
      <c r="AA1160" s="94"/>
      <c r="AB1160" s="94"/>
      <c r="AC1160" s="94"/>
      <c r="AD1160" s="94"/>
      <c r="AE1160" s="94"/>
      <c r="AF1160" s="94"/>
      <c r="AG1160" s="94"/>
      <c r="AH1160" s="94"/>
      <c r="AI1160" s="94"/>
      <c r="AJ1160" s="94"/>
      <c r="AK1160" s="94"/>
      <c r="AL1160" s="94"/>
      <c r="AM1160" s="94"/>
      <c r="AN1160" s="94"/>
      <c r="AO1160" s="94"/>
      <c r="AP1160" s="94"/>
      <c r="AQ1160" s="94"/>
      <c r="AR1160" s="94"/>
      <c r="AS1160" s="94"/>
      <c r="AT1160" s="94"/>
      <c r="AU1160" s="94"/>
      <c r="AV1160" s="94"/>
      <c r="AW1160" s="94"/>
      <c r="AX1160" s="94"/>
      <c r="AY1160" s="94"/>
      <c r="AZ1160" s="94"/>
      <c r="BA1160" s="95"/>
    </row>
    <row r="1161" spans="1:53" s="87" customFormat="1">
      <c r="A1161" s="90" t="str">
        <f t="shared" si="42"/>
        <v/>
      </c>
      <c r="B1161" s="98"/>
      <c r="C1161" s="94"/>
      <c r="D1161" s="94"/>
      <c r="E1161" s="94"/>
      <c r="F1161" s="94"/>
      <c r="G1161" s="94"/>
      <c r="H1161" s="94"/>
      <c r="I1161" s="94"/>
      <c r="J1161" s="94"/>
      <c r="K1161" s="94"/>
      <c r="L1161" s="94"/>
      <c r="M1161" s="94"/>
      <c r="N1161" s="94"/>
      <c r="O1161" s="94"/>
      <c r="P1161" s="94"/>
      <c r="Q1161" s="94"/>
      <c r="R1161" s="94"/>
      <c r="S1161" s="94"/>
      <c r="T1161" s="94"/>
      <c r="U1161" s="94"/>
      <c r="V1161" s="94"/>
      <c r="W1161" s="94"/>
      <c r="X1161" s="94"/>
      <c r="Y1161" s="94"/>
      <c r="Z1161" s="94"/>
      <c r="AA1161" s="94"/>
      <c r="AB1161" s="94"/>
      <c r="AC1161" s="94"/>
      <c r="AD1161" s="94"/>
      <c r="AE1161" s="94"/>
      <c r="AF1161" s="94"/>
      <c r="AG1161" s="94"/>
      <c r="AH1161" s="94"/>
      <c r="AI1161" s="94"/>
      <c r="AJ1161" s="94"/>
      <c r="AK1161" s="94"/>
      <c r="AL1161" s="94"/>
      <c r="AM1161" s="94"/>
      <c r="AN1161" s="94"/>
      <c r="AO1161" s="94"/>
      <c r="AP1161" s="94"/>
      <c r="AQ1161" s="94"/>
      <c r="AR1161" s="94"/>
      <c r="AS1161" s="94"/>
      <c r="AT1161" s="94"/>
      <c r="AU1161" s="94"/>
      <c r="AV1161" s="94"/>
      <c r="AW1161" s="94"/>
      <c r="AX1161" s="94"/>
      <c r="AY1161" s="94"/>
      <c r="AZ1161" s="94"/>
      <c r="BA1161" s="95"/>
    </row>
    <row r="1162" spans="1:53" s="87" customFormat="1">
      <c r="A1162" s="90" t="str">
        <f t="shared" si="42"/>
        <v/>
      </c>
      <c r="B1162" s="98"/>
      <c r="C1162" s="94"/>
      <c r="D1162" s="94"/>
      <c r="E1162" s="94"/>
      <c r="F1162" s="94"/>
      <c r="G1162" s="94"/>
      <c r="H1162" s="94"/>
      <c r="I1162" s="94"/>
      <c r="J1162" s="94"/>
      <c r="K1162" s="94"/>
      <c r="L1162" s="94"/>
      <c r="M1162" s="94"/>
      <c r="N1162" s="94"/>
      <c r="O1162" s="94"/>
      <c r="P1162" s="94"/>
      <c r="Q1162" s="94"/>
      <c r="R1162" s="94"/>
      <c r="S1162" s="94"/>
      <c r="T1162" s="94"/>
      <c r="U1162" s="94"/>
      <c r="V1162" s="94"/>
      <c r="W1162" s="94"/>
      <c r="X1162" s="94"/>
      <c r="Y1162" s="94"/>
      <c r="Z1162" s="94"/>
      <c r="AA1162" s="94"/>
      <c r="AB1162" s="94"/>
      <c r="AC1162" s="94"/>
      <c r="AD1162" s="94"/>
      <c r="AE1162" s="94"/>
      <c r="AF1162" s="94"/>
      <c r="AG1162" s="94"/>
      <c r="AH1162" s="94"/>
      <c r="AI1162" s="94"/>
      <c r="AJ1162" s="94"/>
      <c r="AK1162" s="94"/>
      <c r="AL1162" s="94"/>
      <c r="AM1162" s="94"/>
      <c r="AN1162" s="94"/>
      <c r="AO1162" s="94"/>
      <c r="AP1162" s="94"/>
      <c r="AQ1162" s="94"/>
      <c r="AR1162" s="94"/>
      <c r="AS1162" s="94"/>
      <c r="AT1162" s="94"/>
      <c r="AU1162" s="94"/>
      <c r="AV1162" s="94"/>
      <c r="AW1162" s="94"/>
      <c r="AX1162" s="94"/>
      <c r="AY1162" s="94"/>
      <c r="AZ1162" s="94"/>
      <c r="BA1162" s="95"/>
    </row>
    <row r="1163" spans="1:53" s="87" customFormat="1">
      <c r="A1163" s="90" t="str">
        <f t="shared" si="42"/>
        <v/>
      </c>
      <c r="B1163" s="98"/>
      <c r="C1163" s="94"/>
      <c r="D1163" s="94"/>
      <c r="E1163" s="94"/>
      <c r="F1163" s="94"/>
      <c r="G1163" s="94"/>
      <c r="H1163" s="94"/>
      <c r="I1163" s="94"/>
      <c r="J1163" s="94"/>
      <c r="K1163" s="94"/>
      <c r="L1163" s="94"/>
      <c r="M1163" s="94"/>
      <c r="N1163" s="94"/>
      <c r="O1163" s="94"/>
      <c r="P1163" s="94"/>
      <c r="Q1163" s="94"/>
      <c r="R1163" s="94"/>
      <c r="S1163" s="94"/>
      <c r="T1163" s="94"/>
      <c r="U1163" s="94"/>
      <c r="V1163" s="94"/>
      <c r="W1163" s="94"/>
      <c r="X1163" s="94"/>
      <c r="Y1163" s="94"/>
      <c r="Z1163" s="94"/>
      <c r="AA1163" s="94"/>
      <c r="AB1163" s="94"/>
      <c r="AC1163" s="94"/>
      <c r="AD1163" s="94"/>
      <c r="AE1163" s="94"/>
      <c r="AF1163" s="94"/>
      <c r="AG1163" s="94"/>
      <c r="AH1163" s="94"/>
      <c r="AI1163" s="94"/>
      <c r="AJ1163" s="94"/>
      <c r="AK1163" s="94"/>
      <c r="AL1163" s="94"/>
      <c r="AM1163" s="94"/>
      <c r="AN1163" s="94"/>
      <c r="AO1163" s="94"/>
      <c r="AP1163" s="94"/>
      <c r="AQ1163" s="94"/>
      <c r="AR1163" s="94"/>
      <c r="AS1163" s="94"/>
      <c r="AT1163" s="94"/>
      <c r="AU1163" s="94"/>
      <c r="AV1163" s="94"/>
      <c r="AW1163" s="94"/>
      <c r="AX1163" s="94"/>
      <c r="AY1163" s="94"/>
      <c r="AZ1163" s="94"/>
      <c r="BA1163" s="95"/>
    </row>
    <row r="1164" spans="1:53" s="87" customFormat="1">
      <c r="A1164" s="90" t="str">
        <f t="shared" ref="A1164:A1200" si="43">IF(MID(B1164,3,2)="08",ROW(),"")</f>
        <v/>
      </c>
      <c r="B1164" s="98"/>
      <c r="C1164" s="94"/>
      <c r="D1164" s="94"/>
      <c r="E1164" s="94"/>
      <c r="F1164" s="94"/>
      <c r="G1164" s="94"/>
      <c r="H1164" s="94"/>
      <c r="I1164" s="94"/>
      <c r="J1164" s="94"/>
      <c r="K1164" s="94"/>
      <c r="L1164" s="94"/>
      <c r="M1164" s="94"/>
      <c r="N1164" s="94"/>
      <c r="O1164" s="94"/>
      <c r="P1164" s="94"/>
      <c r="Q1164" s="94"/>
      <c r="R1164" s="94"/>
      <c r="S1164" s="94"/>
      <c r="T1164" s="94"/>
      <c r="U1164" s="94"/>
      <c r="V1164" s="94"/>
      <c r="W1164" s="94"/>
      <c r="X1164" s="94"/>
      <c r="Y1164" s="94"/>
      <c r="Z1164" s="94"/>
      <c r="AA1164" s="94"/>
      <c r="AB1164" s="94"/>
      <c r="AC1164" s="94"/>
      <c r="AD1164" s="94"/>
      <c r="AE1164" s="94"/>
      <c r="AF1164" s="94"/>
      <c r="AG1164" s="94"/>
      <c r="AH1164" s="94"/>
      <c r="AI1164" s="94"/>
      <c r="AJ1164" s="94"/>
      <c r="AK1164" s="94"/>
      <c r="AL1164" s="94"/>
      <c r="AM1164" s="94"/>
      <c r="AN1164" s="94"/>
      <c r="AO1164" s="94"/>
      <c r="AP1164" s="94"/>
      <c r="AQ1164" s="94"/>
      <c r="AR1164" s="94"/>
      <c r="AS1164" s="94"/>
      <c r="AT1164" s="94"/>
      <c r="AU1164" s="94"/>
      <c r="AV1164" s="94"/>
      <c r="AW1164" s="94"/>
      <c r="AX1164" s="94"/>
      <c r="AY1164" s="94"/>
      <c r="AZ1164" s="94"/>
      <c r="BA1164" s="95"/>
    </row>
    <row r="1165" spans="1:53" s="87" customFormat="1">
      <c r="A1165" s="90" t="str">
        <f t="shared" si="43"/>
        <v/>
      </c>
      <c r="B1165" s="98"/>
      <c r="C1165" s="94"/>
      <c r="D1165" s="94"/>
      <c r="E1165" s="94"/>
      <c r="F1165" s="94"/>
      <c r="G1165" s="94"/>
      <c r="H1165" s="94"/>
      <c r="I1165" s="94"/>
      <c r="J1165" s="94"/>
      <c r="K1165" s="94"/>
      <c r="L1165" s="94"/>
      <c r="M1165" s="94"/>
      <c r="N1165" s="94"/>
      <c r="O1165" s="94"/>
      <c r="P1165" s="94"/>
      <c r="Q1165" s="94"/>
      <c r="R1165" s="94"/>
      <c r="S1165" s="94"/>
      <c r="T1165" s="94"/>
      <c r="U1165" s="94"/>
      <c r="V1165" s="94"/>
      <c r="W1165" s="94"/>
      <c r="X1165" s="94"/>
      <c r="Y1165" s="94"/>
      <c r="Z1165" s="94"/>
      <c r="AA1165" s="94"/>
      <c r="AB1165" s="94"/>
      <c r="AC1165" s="94"/>
      <c r="AD1165" s="94"/>
      <c r="AE1165" s="94"/>
      <c r="AF1165" s="94"/>
      <c r="AG1165" s="94"/>
      <c r="AH1165" s="94"/>
      <c r="AI1165" s="94"/>
      <c r="AJ1165" s="94"/>
      <c r="AK1165" s="94"/>
      <c r="AL1165" s="94"/>
      <c r="AM1165" s="94"/>
      <c r="AN1165" s="94"/>
      <c r="AO1165" s="94"/>
      <c r="AP1165" s="94"/>
      <c r="AQ1165" s="94"/>
      <c r="AR1165" s="94"/>
      <c r="AS1165" s="94"/>
      <c r="AT1165" s="94"/>
      <c r="AU1165" s="94"/>
      <c r="AV1165" s="94"/>
      <c r="AW1165" s="94"/>
      <c r="AX1165" s="94"/>
      <c r="AY1165" s="94"/>
      <c r="AZ1165" s="94"/>
      <c r="BA1165" s="95"/>
    </row>
    <row r="1166" spans="1:53" s="87" customFormat="1">
      <c r="A1166" s="90" t="str">
        <f t="shared" si="43"/>
        <v/>
      </c>
      <c r="B1166" s="98"/>
      <c r="C1166" s="94"/>
      <c r="D1166" s="94"/>
      <c r="E1166" s="94"/>
      <c r="F1166" s="94"/>
      <c r="G1166" s="94"/>
      <c r="H1166" s="94"/>
      <c r="I1166" s="94"/>
      <c r="J1166" s="94"/>
      <c r="K1166" s="94"/>
      <c r="L1166" s="94"/>
      <c r="M1166" s="94"/>
      <c r="N1166" s="94"/>
      <c r="O1166" s="94"/>
      <c r="P1166" s="94"/>
      <c r="Q1166" s="94"/>
      <c r="R1166" s="94"/>
      <c r="S1166" s="94"/>
      <c r="T1166" s="94"/>
      <c r="U1166" s="94"/>
      <c r="V1166" s="94"/>
      <c r="W1166" s="94"/>
      <c r="X1166" s="94"/>
      <c r="Y1166" s="94"/>
      <c r="Z1166" s="94"/>
      <c r="AA1166" s="94"/>
      <c r="AB1166" s="94"/>
      <c r="AC1166" s="94"/>
      <c r="AD1166" s="94"/>
      <c r="AE1166" s="94"/>
      <c r="AF1166" s="94"/>
      <c r="AG1166" s="94"/>
      <c r="AH1166" s="94"/>
      <c r="AI1166" s="94"/>
      <c r="AJ1166" s="94"/>
      <c r="AK1166" s="94"/>
      <c r="AL1166" s="94"/>
      <c r="AM1166" s="94"/>
      <c r="AN1166" s="94"/>
      <c r="AO1166" s="94"/>
      <c r="AP1166" s="94"/>
      <c r="AQ1166" s="94"/>
      <c r="AR1166" s="94"/>
      <c r="AS1166" s="94"/>
      <c r="AT1166" s="94"/>
      <c r="AU1166" s="94"/>
      <c r="AV1166" s="94"/>
      <c r="AW1166" s="94"/>
      <c r="AX1166" s="94"/>
      <c r="AY1166" s="94"/>
      <c r="AZ1166" s="94"/>
      <c r="BA1166" s="95"/>
    </row>
    <row r="1167" spans="1:53" s="87" customFormat="1">
      <c r="A1167" s="90" t="str">
        <f t="shared" si="43"/>
        <v/>
      </c>
      <c r="B1167" s="98"/>
      <c r="C1167" s="94"/>
      <c r="D1167" s="94"/>
      <c r="E1167" s="94"/>
      <c r="F1167" s="94"/>
      <c r="G1167" s="94"/>
      <c r="H1167" s="94"/>
      <c r="I1167" s="94"/>
      <c r="J1167" s="94"/>
      <c r="K1167" s="94"/>
      <c r="L1167" s="94"/>
      <c r="M1167" s="94"/>
      <c r="N1167" s="94"/>
      <c r="O1167" s="94"/>
      <c r="P1167" s="94"/>
      <c r="Q1167" s="94"/>
      <c r="R1167" s="94"/>
      <c r="S1167" s="94"/>
      <c r="T1167" s="94"/>
      <c r="U1167" s="94"/>
      <c r="V1167" s="94"/>
      <c r="W1167" s="94"/>
      <c r="X1167" s="94"/>
      <c r="Y1167" s="94"/>
      <c r="Z1167" s="94"/>
      <c r="AA1167" s="94"/>
      <c r="AB1167" s="94"/>
      <c r="AC1167" s="94"/>
      <c r="AD1167" s="94"/>
      <c r="AE1167" s="94"/>
      <c r="AF1167" s="94"/>
      <c r="AG1167" s="94"/>
      <c r="AH1167" s="94"/>
      <c r="AI1167" s="94"/>
      <c r="AJ1167" s="94"/>
      <c r="AK1167" s="94"/>
      <c r="AL1167" s="94"/>
      <c r="AM1167" s="94"/>
      <c r="AN1167" s="94"/>
      <c r="AO1167" s="94"/>
      <c r="AP1167" s="94"/>
      <c r="AQ1167" s="94"/>
      <c r="AR1167" s="94"/>
      <c r="AS1167" s="94"/>
      <c r="AT1167" s="94"/>
      <c r="AU1167" s="94"/>
      <c r="AV1167" s="94"/>
      <c r="AW1167" s="94"/>
      <c r="AX1167" s="94"/>
      <c r="AY1167" s="94"/>
      <c r="AZ1167" s="94"/>
      <c r="BA1167" s="95"/>
    </row>
    <row r="1168" spans="1:53" s="87" customFormat="1">
      <c r="A1168" s="90" t="str">
        <f t="shared" si="43"/>
        <v/>
      </c>
      <c r="B1168" s="98"/>
      <c r="C1168" s="94"/>
      <c r="D1168" s="94"/>
      <c r="E1168" s="94"/>
      <c r="F1168" s="94"/>
      <c r="G1168" s="94"/>
      <c r="H1168" s="94"/>
      <c r="I1168" s="94"/>
      <c r="J1168" s="94"/>
      <c r="K1168" s="94"/>
      <c r="L1168" s="94"/>
      <c r="M1168" s="94"/>
      <c r="N1168" s="94"/>
      <c r="O1168" s="94"/>
      <c r="P1168" s="94"/>
      <c r="Q1168" s="94"/>
      <c r="R1168" s="94"/>
      <c r="S1168" s="94"/>
      <c r="T1168" s="94"/>
      <c r="U1168" s="94"/>
      <c r="V1168" s="94"/>
      <c r="W1168" s="94"/>
      <c r="X1168" s="94"/>
      <c r="Y1168" s="94"/>
      <c r="Z1168" s="94"/>
      <c r="AA1168" s="94"/>
      <c r="AB1168" s="94"/>
      <c r="AC1168" s="94"/>
      <c r="AD1168" s="94"/>
      <c r="AE1168" s="94"/>
      <c r="AF1168" s="94"/>
      <c r="AG1168" s="94"/>
      <c r="AH1168" s="94"/>
      <c r="AI1168" s="94"/>
      <c r="AJ1168" s="94"/>
      <c r="AK1168" s="94"/>
      <c r="AL1168" s="94"/>
      <c r="AM1168" s="94"/>
      <c r="AN1168" s="94"/>
      <c r="AO1168" s="94"/>
      <c r="AP1168" s="94"/>
      <c r="AQ1168" s="94"/>
      <c r="AR1168" s="94"/>
      <c r="AS1168" s="94"/>
      <c r="AT1168" s="94"/>
      <c r="AU1168" s="94"/>
      <c r="AV1168" s="94"/>
      <c r="AW1168" s="94"/>
      <c r="AX1168" s="94"/>
      <c r="AY1168" s="94"/>
      <c r="AZ1168" s="94"/>
      <c r="BA1168" s="95"/>
    </row>
    <row r="1169" spans="1:53" s="87" customFormat="1">
      <c r="A1169" s="90" t="str">
        <f t="shared" si="43"/>
        <v/>
      </c>
      <c r="B1169" s="98"/>
      <c r="C1169" s="94"/>
      <c r="D1169" s="94"/>
      <c r="E1169" s="94"/>
      <c r="F1169" s="94"/>
      <c r="G1169" s="94"/>
      <c r="H1169" s="94"/>
      <c r="I1169" s="94"/>
      <c r="J1169" s="94"/>
      <c r="K1169" s="94"/>
      <c r="L1169" s="94"/>
      <c r="M1169" s="94"/>
      <c r="N1169" s="94"/>
      <c r="O1169" s="94"/>
      <c r="P1169" s="94"/>
      <c r="Q1169" s="94"/>
      <c r="R1169" s="94"/>
      <c r="S1169" s="94"/>
      <c r="T1169" s="94"/>
      <c r="U1169" s="94"/>
      <c r="V1169" s="94"/>
      <c r="W1169" s="94"/>
      <c r="X1169" s="94"/>
      <c r="Y1169" s="94"/>
      <c r="Z1169" s="94"/>
      <c r="AA1169" s="94"/>
      <c r="AB1169" s="94"/>
      <c r="AC1169" s="94"/>
      <c r="AD1169" s="94"/>
      <c r="AE1169" s="94"/>
      <c r="AF1169" s="94"/>
      <c r="AG1169" s="94"/>
      <c r="AH1169" s="94"/>
      <c r="AI1169" s="94"/>
      <c r="AJ1169" s="94"/>
      <c r="AK1169" s="94"/>
      <c r="AL1169" s="94"/>
      <c r="AM1169" s="94"/>
      <c r="AN1169" s="94"/>
      <c r="AO1169" s="94"/>
      <c r="AP1169" s="94"/>
      <c r="AQ1169" s="94"/>
      <c r="AR1169" s="94"/>
      <c r="AS1169" s="94"/>
      <c r="AT1169" s="94"/>
      <c r="AU1169" s="94"/>
      <c r="AV1169" s="94"/>
      <c r="AW1169" s="94"/>
      <c r="AX1169" s="94"/>
      <c r="AY1169" s="94"/>
      <c r="AZ1169" s="94"/>
      <c r="BA1169" s="95"/>
    </row>
    <row r="1170" spans="1:53" s="87" customFormat="1">
      <c r="A1170" s="90" t="str">
        <f t="shared" si="43"/>
        <v/>
      </c>
      <c r="B1170" s="98"/>
      <c r="C1170" s="94"/>
      <c r="D1170" s="94"/>
      <c r="E1170" s="94"/>
      <c r="F1170" s="94"/>
      <c r="G1170" s="94"/>
      <c r="H1170" s="94"/>
      <c r="I1170" s="94"/>
      <c r="J1170" s="94"/>
      <c r="K1170" s="94"/>
      <c r="L1170" s="94"/>
      <c r="M1170" s="94"/>
      <c r="N1170" s="94"/>
      <c r="O1170" s="94"/>
      <c r="P1170" s="94"/>
      <c r="Q1170" s="94"/>
      <c r="R1170" s="94"/>
      <c r="S1170" s="94"/>
      <c r="T1170" s="94"/>
      <c r="U1170" s="94"/>
      <c r="V1170" s="94"/>
      <c r="W1170" s="94"/>
      <c r="X1170" s="94"/>
      <c r="Y1170" s="94"/>
      <c r="Z1170" s="94"/>
      <c r="AA1170" s="94"/>
      <c r="AB1170" s="94"/>
      <c r="AC1170" s="94"/>
      <c r="AD1170" s="94"/>
      <c r="AE1170" s="94"/>
      <c r="AF1170" s="94"/>
      <c r="AG1170" s="94"/>
      <c r="AH1170" s="94"/>
      <c r="AI1170" s="94"/>
      <c r="AJ1170" s="94"/>
      <c r="AK1170" s="94"/>
      <c r="AL1170" s="94"/>
      <c r="AM1170" s="94"/>
      <c r="AN1170" s="94"/>
      <c r="AO1170" s="94"/>
      <c r="AP1170" s="94"/>
      <c r="AQ1170" s="94"/>
      <c r="AR1170" s="94"/>
      <c r="AS1170" s="94"/>
      <c r="AT1170" s="94"/>
      <c r="AU1170" s="94"/>
      <c r="AV1170" s="94"/>
      <c r="AW1170" s="94"/>
      <c r="AX1170" s="94"/>
      <c r="AY1170" s="94"/>
      <c r="AZ1170" s="94"/>
      <c r="BA1170" s="95"/>
    </row>
    <row r="1171" spans="1:53" s="87" customFormat="1">
      <c r="A1171" s="90" t="str">
        <f t="shared" si="43"/>
        <v/>
      </c>
      <c r="B1171" s="98"/>
      <c r="C1171" s="94"/>
      <c r="D1171" s="94"/>
      <c r="E1171" s="94"/>
      <c r="F1171" s="94"/>
      <c r="G1171" s="94"/>
      <c r="H1171" s="94"/>
      <c r="I1171" s="94"/>
      <c r="J1171" s="94"/>
      <c r="K1171" s="94"/>
      <c r="L1171" s="94"/>
      <c r="M1171" s="94"/>
      <c r="N1171" s="94"/>
      <c r="O1171" s="94"/>
      <c r="P1171" s="94"/>
      <c r="Q1171" s="94"/>
      <c r="R1171" s="94"/>
      <c r="S1171" s="94"/>
      <c r="T1171" s="94"/>
      <c r="U1171" s="94"/>
      <c r="V1171" s="94"/>
      <c r="W1171" s="94"/>
      <c r="X1171" s="94"/>
      <c r="Y1171" s="94"/>
      <c r="Z1171" s="94"/>
      <c r="AA1171" s="94"/>
      <c r="AB1171" s="94"/>
      <c r="AC1171" s="94"/>
      <c r="AD1171" s="94"/>
      <c r="AE1171" s="94"/>
      <c r="AF1171" s="94"/>
      <c r="AG1171" s="94"/>
      <c r="AH1171" s="94"/>
      <c r="AI1171" s="94"/>
      <c r="AJ1171" s="94"/>
      <c r="AK1171" s="94"/>
      <c r="AL1171" s="94"/>
      <c r="AM1171" s="94"/>
      <c r="AN1171" s="94"/>
      <c r="AO1171" s="94"/>
      <c r="AP1171" s="94"/>
      <c r="AQ1171" s="94"/>
      <c r="AR1171" s="94"/>
      <c r="AS1171" s="94"/>
      <c r="AT1171" s="94"/>
      <c r="AU1171" s="94"/>
      <c r="AV1171" s="94"/>
      <c r="AW1171" s="94"/>
      <c r="AX1171" s="94"/>
      <c r="AY1171" s="94"/>
      <c r="AZ1171" s="94"/>
      <c r="BA1171" s="95"/>
    </row>
    <row r="1172" spans="1:53" s="87" customFormat="1">
      <c r="A1172" s="90" t="str">
        <f t="shared" si="43"/>
        <v/>
      </c>
      <c r="B1172" s="98"/>
      <c r="C1172" s="94"/>
      <c r="D1172" s="94"/>
      <c r="E1172" s="94"/>
      <c r="F1172" s="94"/>
      <c r="G1172" s="94"/>
      <c r="H1172" s="94"/>
      <c r="I1172" s="94"/>
      <c r="J1172" s="94"/>
      <c r="K1172" s="94"/>
      <c r="L1172" s="94"/>
      <c r="M1172" s="94"/>
      <c r="N1172" s="94"/>
      <c r="O1172" s="94"/>
      <c r="P1172" s="94"/>
      <c r="Q1172" s="94"/>
      <c r="R1172" s="94"/>
      <c r="S1172" s="94"/>
      <c r="T1172" s="94"/>
      <c r="U1172" s="94"/>
      <c r="V1172" s="94"/>
      <c r="W1172" s="94"/>
      <c r="X1172" s="94"/>
      <c r="Y1172" s="94"/>
      <c r="Z1172" s="94"/>
      <c r="AA1172" s="94"/>
      <c r="AB1172" s="94"/>
      <c r="AC1172" s="94"/>
      <c r="AD1172" s="94"/>
      <c r="AE1172" s="94"/>
      <c r="AF1172" s="94"/>
      <c r="AG1172" s="94"/>
      <c r="AH1172" s="94"/>
      <c r="AI1172" s="94"/>
      <c r="AJ1172" s="94"/>
      <c r="AK1172" s="94"/>
      <c r="AL1172" s="94"/>
      <c r="AM1172" s="94"/>
      <c r="AN1172" s="94"/>
      <c r="AO1172" s="94"/>
      <c r="AP1172" s="94"/>
      <c r="AQ1172" s="94"/>
      <c r="AR1172" s="94"/>
      <c r="AS1172" s="94"/>
      <c r="AT1172" s="94"/>
      <c r="AU1172" s="94"/>
      <c r="AV1172" s="94"/>
      <c r="AW1172" s="94"/>
      <c r="AX1172" s="94"/>
      <c r="AY1172" s="94"/>
      <c r="AZ1172" s="94"/>
      <c r="BA1172" s="95"/>
    </row>
    <row r="1173" spans="1:53" s="87" customFormat="1">
      <c r="A1173" s="90" t="str">
        <f t="shared" si="43"/>
        <v/>
      </c>
      <c r="B1173" s="98"/>
      <c r="C1173" s="94"/>
      <c r="D1173" s="94"/>
      <c r="E1173" s="94"/>
      <c r="F1173" s="94"/>
      <c r="G1173" s="94"/>
      <c r="H1173" s="94"/>
      <c r="I1173" s="94"/>
      <c r="J1173" s="94"/>
      <c r="K1173" s="94"/>
      <c r="L1173" s="94"/>
      <c r="M1173" s="94"/>
      <c r="N1173" s="94"/>
      <c r="O1173" s="94"/>
      <c r="P1173" s="94"/>
      <c r="Q1173" s="94"/>
      <c r="R1173" s="94"/>
      <c r="S1173" s="94"/>
      <c r="T1173" s="94"/>
      <c r="U1173" s="94"/>
      <c r="V1173" s="94"/>
      <c r="W1173" s="94"/>
      <c r="X1173" s="94"/>
      <c r="Y1173" s="94"/>
      <c r="Z1173" s="94"/>
      <c r="AA1173" s="94"/>
      <c r="AB1173" s="94"/>
      <c r="AC1173" s="94"/>
      <c r="AD1173" s="94"/>
      <c r="AE1173" s="94"/>
      <c r="AF1173" s="94"/>
      <c r="AG1173" s="94"/>
      <c r="AH1173" s="94"/>
      <c r="AI1173" s="94"/>
      <c r="AJ1173" s="94"/>
      <c r="AK1173" s="94"/>
      <c r="AL1173" s="94"/>
      <c r="AM1173" s="94"/>
      <c r="AN1173" s="94"/>
      <c r="AO1173" s="94"/>
      <c r="AP1173" s="94"/>
      <c r="AQ1173" s="94"/>
      <c r="AR1173" s="94"/>
      <c r="AS1173" s="94"/>
      <c r="AT1173" s="94"/>
      <c r="AU1173" s="94"/>
      <c r="AV1173" s="94"/>
      <c r="AW1173" s="94"/>
      <c r="AX1173" s="94"/>
      <c r="AY1173" s="94"/>
      <c r="AZ1173" s="94"/>
      <c r="BA1173" s="95"/>
    </row>
    <row r="1174" spans="1:53" s="87" customFormat="1">
      <c r="A1174" s="90" t="str">
        <f t="shared" si="43"/>
        <v/>
      </c>
      <c r="B1174" s="98"/>
      <c r="C1174" s="94"/>
      <c r="D1174" s="94"/>
      <c r="E1174" s="94"/>
      <c r="F1174" s="94"/>
      <c r="G1174" s="94"/>
      <c r="H1174" s="94"/>
      <c r="I1174" s="94"/>
      <c r="J1174" s="94"/>
      <c r="K1174" s="94"/>
      <c r="L1174" s="94"/>
      <c r="M1174" s="94"/>
      <c r="N1174" s="94"/>
      <c r="O1174" s="94"/>
      <c r="P1174" s="94"/>
      <c r="Q1174" s="94"/>
      <c r="R1174" s="94"/>
      <c r="S1174" s="94"/>
      <c r="T1174" s="94"/>
      <c r="U1174" s="94"/>
      <c r="V1174" s="94"/>
      <c r="W1174" s="94"/>
      <c r="X1174" s="94"/>
      <c r="Y1174" s="94"/>
      <c r="Z1174" s="94"/>
      <c r="AA1174" s="94"/>
      <c r="AB1174" s="94"/>
      <c r="AC1174" s="94"/>
      <c r="AD1174" s="94"/>
      <c r="AE1174" s="94"/>
      <c r="AF1174" s="94"/>
      <c r="AG1174" s="94"/>
      <c r="AH1174" s="94"/>
      <c r="AI1174" s="94"/>
      <c r="AJ1174" s="94"/>
      <c r="AK1174" s="94"/>
      <c r="AL1174" s="94"/>
      <c r="AM1174" s="94"/>
      <c r="AN1174" s="94"/>
      <c r="AO1174" s="94"/>
      <c r="AP1174" s="94"/>
      <c r="AQ1174" s="94"/>
      <c r="AR1174" s="94"/>
      <c r="AS1174" s="94"/>
      <c r="AT1174" s="94"/>
      <c r="AU1174" s="94"/>
      <c r="AV1174" s="94"/>
      <c r="AW1174" s="94"/>
      <c r="AX1174" s="94"/>
      <c r="AY1174" s="94"/>
      <c r="AZ1174" s="94"/>
      <c r="BA1174" s="95"/>
    </row>
    <row r="1175" spans="1:53" s="87" customFormat="1">
      <c r="A1175" s="90" t="str">
        <f t="shared" si="43"/>
        <v/>
      </c>
      <c r="B1175" s="98"/>
      <c r="C1175" s="94"/>
      <c r="D1175" s="94"/>
      <c r="E1175" s="94"/>
      <c r="F1175" s="94"/>
      <c r="G1175" s="94"/>
      <c r="H1175" s="94"/>
      <c r="I1175" s="94"/>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5"/>
    </row>
    <row r="1176" spans="1:53" s="87" customFormat="1">
      <c r="A1176" s="90" t="str">
        <f t="shared" si="43"/>
        <v/>
      </c>
      <c r="B1176" s="98"/>
      <c r="C1176" s="94"/>
      <c r="D1176" s="94"/>
      <c r="E1176" s="94"/>
      <c r="F1176" s="94"/>
      <c r="G1176" s="94"/>
      <c r="H1176" s="94"/>
      <c r="I1176" s="94"/>
      <c r="J1176" s="94"/>
      <c r="K1176" s="94"/>
      <c r="L1176" s="94"/>
      <c r="M1176" s="94"/>
      <c r="N1176" s="94"/>
      <c r="O1176" s="94"/>
      <c r="P1176" s="94"/>
      <c r="Q1176" s="94"/>
      <c r="R1176" s="94"/>
      <c r="S1176" s="94"/>
      <c r="T1176" s="94"/>
      <c r="U1176" s="94"/>
      <c r="V1176" s="94"/>
      <c r="W1176" s="94"/>
      <c r="X1176" s="94"/>
      <c r="Y1176" s="94"/>
      <c r="Z1176" s="94"/>
      <c r="AA1176" s="94"/>
      <c r="AB1176" s="94"/>
      <c r="AC1176" s="94"/>
      <c r="AD1176" s="94"/>
      <c r="AE1176" s="94"/>
      <c r="AF1176" s="94"/>
      <c r="AG1176" s="94"/>
      <c r="AH1176" s="94"/>
      <c r="AI1176" s="94"/>
      <c r="AJ1176" s="94"/>
      <c r="AK1176" s="94"/>
      <c r="AL1176" s="94"/>
      <c r="AM1176" s="94"/>
      <c r="AN1176" s="94"/>
      <c r="AO1176" s="94"/>
      <c r="AP1176" s="94"/>
      <c r="AQ1176" s="94"/>
      <c r="AR1176" s="94"/>
      <c r="AS1176" s="94"/>
      <c r="AT1176" s="94"/>
      <c r="AU1176" s="94"/>
      <c r="AV1176" s="94"/>
      <c r="AW1176" s="94"/>
      <c r="AX1176" s="94"/>
      <c r="AY1176" s="94"/>
      <c r="AZ1176" s="94"/>
      <c r="BA1176" s="95"/>
    </row>
    <row r="1177" spans="1:53" s="87" customFormat="1">
      <c r="A1177" s="90" t="str">
        <f t="shared" si="43"/>
        <v/>
      </c>
      <c r="B1177" s="98"/>
      <c r="C1177" s="94"/>
      <c r="D1177" s="94"/>
      <c r="E1177" s="94"/>
      <c r="F1177" s="94"/>
      <c r="G1177" s="94"/>
      <c r="H1177" s="94"/>
      <c r="I1177" s="94"/>
      <c r="J1177" s="94"/>
      <c r="K1177" s="94"/>
      <c r="L1177" s="94"/>
      <c r="M1177" s="94"/>
      <c r="N1177" s="94"/>
      <c r="O1177" s="94"/>
      <c r="P1177" s="94"/>
      <c r="Q1177" s="94"/>
      <c r="R1177" s="94"/>
      <c r="S1177" s="94"/>
      <c r="T1177" s="94"/>
      <c r="U1177" s="94"/>
      <c r="V1177" s="94"/>
      <c r="W1177" s="94"/>
      <c r="X1177" s="94"/>
      <c r="Y1177" s="94"/>
      <c r="Z1177" s="94"/>
      <c r="AA1177" s="94"/>
      <c r="AB1177" s="94"/>
      <c r="AC1177" s="94"/>
      <c r="AD1177" s="94"/>
      <c r="AE1177" s="94"/>
      <c r="AF1177" s="94"/>
      <c r="AG1177" s="94"/>
      <c r="AH1177" s="94"/>
      <c r="AI1177" s="94"/>
      <c r="AJ1177" s="94"/>
      <c r="AK1177" s="94"/>
      <c r="AL1177" s="94"/>
      <c r="AM1177" s="94"/>
      <c r="AN1177" s="94"/>
      <c r="AO1177" s="94"/>
      <c r="AP1177" s="94"/>
      <c r="AQ1177" s="94"/>
      <c r="AR1177" s="94"/>
      <c r="AS1177" s="94"/>
      <c r="AT1177" s="94"/>
      <c r="AU1177" s="94"/>
      <c r="AV1177" s="94"/>
      <c r="AW1177" s="94"/>
      <c r="AX1177" s="94"/>
      <c r="AY1177" s="94"/>
      <c r="AZ1177" s="94"/>
      <c r="BA1177" s="95"/>
    </row>
    <row r="1178" spans="1:53" s="87" customFormat="1">
      <c r="A1178" s="90" t="str">
        <f t="shared" si="43"/>
        <v/>
      </c>
      <c r="B1178" s="98"/>
      <c r="C1178" s="94"/>
      <c r="D1178" s="94"/>
      <c r="E1178" s="94"/>
      <c r="F1178" s="94"/>
      <c r="G1178" s="94"/>
      <c r="H1178" s="94"/>
      <c r="I1178" s="94"/>
      <c r="J1178" s="94"/>
      <c r="K1178" s="94"/>
      <c r="L1178" s="94"/>
      <c r="M1178" s="94"/>
      <c r="N1178" s="94"/>
      <c r="O1178" s="94"/>
      <c r="P1178" s="94"/>
      <c r="Q1178" s="94"/>
      <c r="R1178" s="94"/>
      <c r="S1178" s="94"/>
      <c r="T1178" s="94"/>
      <c r="U1178" s="94"/>
      <c r="V1178" s="94"/>
      <c r="W1178" s="94"/>
      <c r="X1178" s="94"/>
      <c r="Y1178" s="94"/>
      <c r="Z1178" s="94"/>
      <c r="AA1178" s="94"/>
      <c r="AB1178" s="94"/>
      <c r="AC1178" s="94"/>
      <c r="AD1178" s="94"/>
      <c r="AE1178" s="94"/>
      <c r="AF1178" s="94"/>
      <c r="AG1178" s="94"/>
      <c r="AH1178" s="94"/>
      <c r="AI1178" s="94"/>
      <c r="AJ1178" s="94"/>
      <c r="AK1178" s="94"/>
      <c r="AL1178" s="94"/>
      <c r="AM1178" s="94"/>
      <c r="AN1178" s="94"/>
      <c r="AO1178" s="94"/>
      <c r="AP1178" s="94"/>
      <c r="AQ1178" s="94"/>
      <c r="AR1178" s="94"/>
      <c r="AS1178" s="94"/>
      <c r="AT1178" s="94"/>
      <c r="AU1178" s="94"/>
      <c r="AV1178" s="94"/>
      <c r="AW1178" s="94"/>
      <c r="AX1178" s="94"/>
      <c r="AY1178" s="94"/>
      <c r="AZ1178" s="94"/>
      <c r="BA1178" s="95"/>
    </row>
    <row r="1179" spans="1:53" s="87" customFormat="1">
      <c r="A1179" s="90" t="str">
        <f t="shared" si="43"/>
        <v/>
      </c>
      <c r="B1179" s="98"/>
      <c r="C1179" s="94"/>
      <c r="D1179" s="94"/>
      <c r="E1179" s="94"/>
      <c r="F1179" s="94"/>
      <c r="G1179" s="94"/>
      <c r="H1179" s="94"/>
      <c r="I1179" s="94"/>
      <c r="J1179" s="94"/>
      <c r="K1179" s="94"/>
      <c r="L1179" s="94"/>
      <c r="M1179" s="94"/>
      <c r="N1179" s="94"/>
      <c r="O1179" s="94"/>
      <c r="P1179" s="94"/>
      <c r="Q1179" s="94"/>
      <c r="R1179" s="94"/>
      <c r="S1179" s="94"/>
      <c r="T1179" s="94"/>
      <c r="U1179" s="94"/>
      <c r="V1179" s="94"/>
      <c r="W1179" s="94"/>
      <c r="X1179" s="94"/>
      <c r="Y1179" s="94"/>
      <c r="Z1179" s="94"/>
      <c r="AA1179" s="94"/>
      <c r="AB1179" s="94"/>
      <c r="AC1179" s="94"/>
      <c r="AD1179" s="94"/>
      <c r="AE1179" s="94"/>
      <c r="AF1179" s="94"/>
      <c r="AG1179" s="94"/>
      <c r="AH1179" s="94"/>
      <c r="AI1179" s="94"/>
      <c r="AJ1179" s="94"/>
      <c r="AK1179" s="94"/>
      <c r="AL1179" s="94"/>
      <c r="AM1179" s="94"/>
      <c r="AN1179" s="94"/>
      <c r="AO1179" s="94"/>
      <c r="AP1179" s="94"/>
      <c r="AQ1179" s="94"/>
      <c r="AR1179" s="94"/>
      <c r="AS1179" s="94"/>
      <c r="AT1179" s="94"/>
      <c r="AU1179" s="94"/>
      <c r="AV1179" s="94"/>
      <c r="AW1179" s="94"/>
      <c r="AX1179" s="94"/>
      <c r="AY1179" s="94"/>
      <c r="AZ1179" s="94"/>
      <c r="BA1179" s="95"/>
    </row>
    <row r="1180" spans="1:53" s="87" customFormat="1">
      <c r="A1180" s="90" t="str">
        <f t="shared" si="43"/>
        <v/>
      </c>
      <c r="B1180" s="98"/>
      <c r="C1180" s="94"/>
      <c r="D1180" s="94"/>
      <c r="E1180" s="94"/>
      <c r="F1180" s="94"/>
      <c r="G1180" s="94"/>
      <c r="H1180" s="94"/>
      <c r="I1180" s="94"/>
      <c r="J1180" s="94"/>
      <c r="K1180" s="94"/>
      <c r="L1180" s="94"/>
      <c r="M1180" s="94"/>
      <c r="N1180" s="94"/>
      <c r="O1180" s="94"/>
      <c r="P1180" s="94"/>
      <c r="Q1180" s="94"/>
      <c r="R1180" s="94"/>
      <c r="S1180" s="94"/>
      <c r="T1180" s="94"/>
      <c r="U1180" s="94"/>
      <c r="V1180" s="94"/>
      <c r="W1180" s="94"/>
      <c r="X1180" s="94"/>
      <c r="Y1180" s="94"/>
      <c r="Z1180" s="94"/>
      <c r="AA1180" s="94"/>
      <c r="AB1180" s="94"/>
      <c r="AC1180" s="94"/>
      <c r="AD1180" s="94"/>
      <c r="AE1180" s="94"/>
      <c r="AF1180" s="94"/>
      <c r="AG1180" s="94"/>
      <c r="AH1180" s="94"/>
      <c r="AI1180" s="94"/>
      <c r="AJ1180" s="94"/>
      <c r="AK1180" s="94"/>
      <c r="AL1180" s="94"/>
      <c r="AM1180" s="94"/>
      <c r="AN1180" s="94"/>
      <c r="AO1180" s="94"/>
      <c r="AP1180" s="94"/>
      <c r="AQ1180" s="94"/>
      <c r="AR1180" s="94"/>
      <c r="AS1180" s="94"/>
      <c r="AT1180" s="94"/>
      <c r="AU1180" s="94"/>
      <c r="AV1180" s="94"/>
      <c r="AW1180" s="94"/>
      <c r="AX1180" s="94"/>
      <c r="AY1180" s="94"/>
      <c r="AZ1180" s="94"/>
      <c r="BA1180" s="95"/>
    </row>
    <row r="1181" spans="1:53" s="87" customFormat="1">
      <c r="A1181" s="90" t="str">
        <f t="shared" si="43"/>
        <v/>
      </c>
      <c r="B1181" s="98"/>
      <c r="C1181" s="94"/>
      <c r="D1181" s="94"/>
      <c r="E1181" s="94"/>
      <c r="F1181" s="94"/>
      <c r="G1181" s="94"/>
      <c r="H1181" s="94"/>
      <c r="I1181" s="94"/>
      <c r="J1181" s="94"/>
      <c r="K1181" s="94"/>
      <c r="L1181" s="94"/>
      <c r="M1181" s="94"/>
      <c r="N1181" s="94"/>
      <c r="O1181" s="94"/>
      <c r="P1181" s="94"/>
      <c r="Q1181" s="94"/>
      <c r="R1181" s="94"/>
      <c r="S1181" s="94"/>
      <c r="T1181" s="94"/>
      <c r="U1181" s="94"/>
      <c r="V1181" s="94"/>
      <c r="W1181" s="94"/>
      <c r="X1181" s="94"/>
      <c r="Y1181" s="94"/>
      <c r="Z1181" s="94"/>
      <c r="AA1181" s="94"/>
      <c r="AB1181" s="94"/>
      <c r="AC1181" s="94"/>
      <c r="AD1181" s="94"/>
      <c r="AE1181" s="94"/>
      <c r="AF1181" s="94"/>
      <c r="AG1181" s="94"/>
      <c r="AH1181" s="94"/>
      <c r="AI1181" s="94"/>
      <c r="AJ1181" s="94"/>
      <c r="AK1181" s="94"/>
      <c r="AL1181" s="94"/>
      <c r="AM1181" s="94"/>
      <c r="AN1181" s="94"/>
      <c r="AO1181" s="94"/>
      <c r="AP1181" s="94"/>
      <c r="AQ1181" s="94"/>
      <c r="AR1181" s="94"/>
      <c r="AS1181" s="94"/>
      <c r="AT1181" s="94"/>
      <c r="AU1181" s="94"/>
      <c r="AV1181" s="94"/>
      <c r="AW1181" s="94"/>
      <c r="AX1181" s="94"/>
      <c r="AY1181" s="94"/>
      <c r="AZ1181" s="94"/>
      <c r="BA1181" s="95"/>
    </row>
    <row r="1182" spans="1:53" s="87" customFormat="1">
      <c r="A1182" s="90" t="str">
        <f t="shared" si="43"/>
        <v/>
      </c>
      <c r="B1182" s="98"/>
      <c r="C1182" s="94"/>
      <c r="D1182" s="94"/>
      <c r="E1182" s="94"/>
      <c r="F1182" s="94"/>
      <c r="G1182" s="94"/>
      <c r="H1182" s="94"/>
      <c r="I1182" s="94"/>
      <c r="J1182" s="94"/>
      <c r="K1182" s="94"/>
      <c r="L1182" s="94"/>
      <c r="M1182" s="94"/>
      <c r="N1182" s="94"/>
      <c r="O1182" s="94"/>
      <c r="P1182" s="94"/>
      <c r="Q1182" s="94"/>
      <c r="R1182" s="94"/>
      <c r="S1182" s="94"/>
      <c r="T1182" s="94"/>
      <c r="U1182" s="94"/>
      <c r="V1182" s="94"/>
      <c r="W1182" s="94"/>
      <c r="X1182" s="94"/>
      <c r="Y1182" s="94"/>
      <c r="Z1182" s="94"/>
      <c r="AA1182" s="94"/>
      <c r="AB1182" s="94"/>
      <c r="AC1182" s="94"/>
      <c r="AD1182" s="94"/>
      <c r="AE1182" s="94"/>
      <c r="AF1182" s="94"/>
      <c r="AG1182" s="94"/>
      <c r="AH1182" s="94"/>
      <c r="AI1182" s="94"/>
      <c r="AJ1182" s="94"/>
      <c r="AK1182" s="94"/>
      <c r="AL1182" s="94"/>
      <c r="AM1182" s="94"/>
      <c r="AN1182" s="94"/>
      <c r="AO1182" s="94"/>
      <c r="AP1182" s="94"/>
      <c r="AQ1182" s="94"/>
      <c r="AR1182" s="94"/>
      <c r="AS1182" s="94"/>
      <c r="AT1182" s="94"/>
      <c r="AU1182" s="94"/>
      <c r="AV1182" s="94"/>
      <c r="AW1182" s="94"/>
      <c r="AX1182" s="94"/>
      <c r="AY1182" s="94"/>
      <c r="AZ1182" s="94"/>
      <c r="BA1182" s="95"/>
    </row>
    <row r="1183" spans="1:53" s="87" customFormat="1">
      <c r="A1183" s="90" t="str">
        <f t="shared" si="43"/>
        <v/>
      </c>
      <c r="B1183" s="98"/>
      <c r="C1183" s="94"/>
      <c r="D1183" s="94"/>
      <c r="E1183" s="94"/>
      <c r="F1183" s="94"/>
      <c r="G1183" s="94"/>
      <c r="H1183" s="94"/>
      <c r="I1183" s="94"/>
      <c r="J1183" s="94"/>
      <c r="K1183" s="94"/>
      <c r="L1183" s="94"/>
      <c r="M1183" s="94"/>
      <c r="N1183" s="94"/>
      <c r="O1183" s="94"/>
      <c r="P1183" s="94"/>
      <c r="Q1183" s="94"/>
      <c r="R1183" s="94"/>
      <c r="S1183" s="94"/>
      <c r="T1183" s="94"/>
      <c r="U1183" s="94"/>
      <c r="V1183" s="94"/>
      <c r="W1183" s="94"/>
      <c r="X1183" s="94"/>
      <c r="Y1183" s="94"/>
      <c r="Z1183" s="94"/>
      <c r="AA1183" s="94"/>
      <c r="AB1183" s="94"/>
      <c r="AC1183" s="94"/>
      <c r="AD1183" s="94"/>
      <c r="AE1183" s="94"/>
      <c r="AF1183" s="94"/>
      <c r="AG1183" s="94"/>
      <c r="AH1183" s="94"/>
      <c r="AI1183" s="94"/>
      <c r="AJ1183" s="94"/>
      <c r="AK1183" s="94"/>
      <c r="AL1183" s="94"/>
      <c r="AM1183" s="94"/>
      <c r="AN1183" s="94"/>
      <c r="AO1183" s="94"/>
      <c r="AP1183" s="94"/>
      <c r="AQ1183" s="94"/>
      <c r="AR1183" s="94"/>
      <c r="AS1183" s="94"/>
      <c r="AT1183" s="94"/>
      <c r="AU1183" s="94"/>
      <c r="AV1183" s="94"/>
      <c r="AW1183" s="94"/>
      <c r="AX1183" s="94"/>
      <c r="AY1183" s="94"/>
      <c r="AZ1183" s="94"/>
      <c r="BA1183" s="95"/>
    </row>
    <row r="1184" spans="1:53" s="87" customFormat="1">
      <c r="A1184" s="90" t="str">
        <f t="shared" si="43"/>
        <v/>
      </c>
      <c r="B1184" s="98"/>
      <c r="C1184" s="94"/>
      <c r="D1184" s="94"/>
      <c r="E1184" s="94"/>
      <c r="F1184" s="94"/>
      <c r="G1184" s="94"/>
      <c r="H1184" s="94"/>
      <c r="I1184" s="94"/>
      <c r="J1184" s="94"/>
      <c r="K1184" s="94"/>
      <c r="L1184" s="94"/>
      <c r="M1184" s="94"/>
      <c r="N1184" s="94"/>
      <c r="O1184" s="94"/>
      <c r="P1184" s="94"/>
      <c r="Q1184" s="94"/>
      <c r="R1184" s="94"/>
      <c r="S1184" s="94"/>
      <c r="T1184" s="94"/>
      <c r="U1184" s="94"/>
      <c r="V1184" s="94"/>
      <c r="W1184" s="94"/>
      <c r="X1184" s="94"/>
      <c r="Y1184" s="94"/>
      <c r="Z1184" s="94"/>
      <c r="AA1184" s="94"/>
      <c r="AB1184" s="94"/>
      <c r="AC1184" s="94"/>
      <c r="AD1184" s="94"/>
      <c r="AE1184" s="94"/>
      <c r="AF1184" s="94"/>
      <c r="AG1184" s="94"/>
      <c r="AH1184" s="94"/>
      <c r="AI1184" s="94"/>
      <c r="AJ1184" s="94"/>
      <c r="AK1184" s="94"/>
      <c r="AL1184" s="94"/>
      <c r="AM1184" s="94"/>
      <c r="AN1184" s="94"/>
      <c r="AO1184" s="94"/>
      <c r="AP1184" s="94"/>
      <c r="AQ1184" s="94"/>
      <c r="AR1184" s="94"/>
      <c r="AS1184" s="94"/>
      <c r="AT1184" s="94"/>
      <c r="AU1184" s="94"/>
      <c r="AV1184" s="94"/>
      <c r="AW1184" s="94"/>
      <c r="AX1184" s="94"/>
      <c r="AY1184" s="94"/>
      <c r="AZ1184" s="94"/>
      <c r="BA1184" s="95"/>
    </row>
    <row r="1185" spans="1:53" s="87" customFormat="1">
      <c r="A1185" s="90" t="str">
        <f t="shared" si="43"/>
        <v/>
      </c>
      <c r="B1185" s="98"/>
      <c r="C1185" s="94"/>
      <c r="D1185" s="94"/>
      <c r="E1185" s="94"/>
      <c r="F1185" s="94"/>
      <c r="G1185" s="94"/>
      <c r="H1185" s="94"/>
      <c r="I1185" s="94"/>
      <c r="J1185" s="94"/>
      <c r="K1185" s="94"/>
      <c r="L1185" s="94"/>
      <c r="M1185" s="94"/>
      <c r="N1185" s="94"/>
      <c r="O1185" s="94"/>
      <c r="P1185" s="94"/>
      <c r="Q1185" s="94"/>
      <c r="R1185" s="94"/>
      <c r="S1185" s="94"/>
      <c r="T1185" s="94"/>
      <c r="U1185" s="94"/>
      <c r="V1185" s="94"/>
      <c r="W1185" s="94"/>
      <c r="X1185" s="94"/>
      <c r="Y1185" s="94"/>
      <c r="Z1185" s="94"/>
      <c r="AA1185" s="94"/>
      <c r="AB1185" s="94"/>
      <c r="AC1185" s="94"/>
      <c r="AD1185" s="94"/>
      <c r="AE1185" s="94"/>
      <c r="AF1185" s="94"/>
      <c r="AG1185" s="94"/>
      <c r="AH1185" s="94"/>
      <c r="AI1185" s="94"/>
      <c r="AJ1185" s="94"/>
      <c r="AK1185" s="94"/>
      <c r="AL1185" s="94"/>
      <c r="AM1185" s="94"/>
      <c r="AN1185" s="94"/>
      <c r="AO1185" s="94"/>
      <c r="AP1185" s="94"/>
      <c r="AQ1185" s="94"/>
      <c r="AR1185" s="94"/>
      <c r="AS1185" s="94"/>
      <c r="AT1185" s="94"/>
      <c r="AU1185" s="94"/>
      <c r="AV1185" s="94"/>
      <c r="AW1185" s="94"/>
      <c r="AX1185" s="94"/>
      <c r="AY1185" s="94"/>
      <c r="AZ1185" s="94"/>
      <c r="BA1185" s="95"/>
    </row>
    <row r="1186" spans="1:53" s="87" customFormat="1">
      <c r="A1186" s="90" t="str">
        <f t="shared" si="43"/>
        <v/>
      </c>
      <c r="B1186" s="98"/>
      <c r="C1186" s="94"/>
      <c r="D1186" s="94"/>
      <c r="E1186" s="94"/>
      <c r="F1186" s="94"/>
      <c r="G1186" s="94"/>
      <c r="H1186" s="94"/>
      <c r="I1186" s="94"/>
      <c r="J1186" s="94"/>
      <c r="K1186" s="94"/>
      <c r="L1186" s="94"/>
      <c r="M1186" s="94"/>
      <c r="N1186" s="94"/>
      <c r="O1186" s="94"/>
      <c r="P1186" s="94"/>
      <c r="Q1186" s="94"/>
      <c r="R1186" s="94"/>
      <c r="S1186" s="94"/>
      <c r="T1186" s="94"/>
      <c r="U1186" s="94"/>
      <c r="V1186" s="94"/>
      <c r="W1186" s="94"/>
      <c r="X1186" s="94"/>
      <c r="Y1186" s="94"/>
      <c r="Z1186" s="94"/>
      <c r="AA1186" s="94"/>
      <c r="AB1186" s="94"/>
      <c r="AC1186" s="94"/>
      <c r="AD1186" s="94"/>
      <c r="AE1186" s="94"/>
      <c r="AF1186" s="94"/>
      <c r="AG1186" s="94"/>
      <c r="AH1186" s="94"/>
      <c r="AI1186" s="94"/>
      <c r="AJ1186" s="94"/>
      <c r="AK1186" s="94"/>
      <c r="AL1186" s="94"/>
      <c r="AM1186" s="94"/>
      <c r="AN1186" s="94"/>
      <c r="AO1186" s="94"/>
      <c r="AP1186" s="94"/>
      <c r="AQ1186" s="94"/>
      <c r="AR1186" s="94"/>
      <c r="AS1186" s="94"/>
      <c r="AT1186" s="94"/>
      <c r="AU1186" s="94"/>
      <c r="AV1186" s="94"/>
      <c r="AW1186" s="94"/>
      <c r="AX1186" s="94"/>
      <c r="AY1186" s="94"/>
      <c r="AZ1186" s="94"/>
      <c r="BA1186" s="95"/>
    </row>
    <row r="1187" spans="1:53" s="87" customFormat="1">
      <c r="A1187" s="90" t="str">
        <f t="shared" si="43"/>
        <v/>
      </c>
      <c r="B1187" s="98"/>
      <c r="C1187" s="94"/>
      <c r="D1187" s="94"/>
      <c r="E1187" s="94"/>
      <c r="F1187" s="94"/>
      <c r="G1187" s="94"/>
      <c r="H1187" s="94"/>
      <c r="I1187" s="94"/>
      <c r="J1187" s="94"/>
      <c r="K1187" s="94"/>
      <c r="L1187" s="94"/>
      <c r="M1187" s="94"/>
      <c r="N1187" s="94"/>
      <c r="O1187" s="94"/>
      <c r="P1187" s="94"/>
      <c r="Q1187" s="94"/>
      <c r="R1187" s="94"/>
      <c r="S1187" s="94"/>
      <c r="T1187" s="94"/>
      <c r="U1187" s="94"/>
      <c r="V1187" s="94"/>
      <c r="W1187" s="94"/>
      <c r="X1187" s="94"/>
      <c r="Y1187" s="94"/>
      <c r="Z1187" s="94"/>
      <c r="AA1187" s="94"/>
      <c r="AB1187" s="94"/>
      <c r="AC1187" s="94"/>
      <c r="AD1187" s="94"/>
      <c r="AE1187" s="94"/>
      <c r="AF1187" s="94"/>
      <c r="AG1187" s="94"/>
      <c r="AH1187" s="94"/>
      <c r="AI1187" s="94"/>
      <c r="AJ1187" s="94"/>
      <c r="AK1187" s="94"/>
      <c r="AL1187" s="94"/>
      <c r="AM1187" s="94"/>
      <c r="AN1187" s="94"/>
      <c r="AO1187" s="94"/>
      <c r="AP1187" s="94"/>
      <c r="AQ1187" s="94"/>
      <c r="AR1187" s="94"/>
      <c r="AS1187" s="94"/>
      <c r="AT1187" s="94"/>
      <c r="AU1187" s="94"/>
      <c r="AV1187" s="94"/>
      <c r="AW1187" s="94"/>
      <c r="AX1187" s="94"/>
      <c r="AY1187" s="94"/>
      <c r="AZ1187" s="94"/>
      <c r="BA1187" s="95"/>
    </row>
    <row r="1188" spans="1:53" s="87" customFormat="1">
      <c r="A1188" s="90" t="str">
        <f t="shared" si="43"/>
        <v/>
      </c>
      <c r="B1188" s="98"/>
      <c r="C1188" s="94"/>
      <c r="D1188" s="94"/>
      <c r="E1188" s="94"/>
      <c r="F1188" s="94"/>
      <c r="G1188" s="94"/>
      <c r="H1188" s="94"/>
      <c r="I1188" s="94"/>
      <c r="J1188" s="94"/>
      <c r="K1188" s="94"/>
      <c r="L1188" s="94"/>
      <c r="M1188" s="94"/>
      <c r="N1188" s="94"/>
      <c r="O1188" s="94"/>
      <c r="P1188" s="94"/>
      <c r="Q1188" s="94"/>
      <c r="R1188" s="94"/>
      <c r="S1188" s="94"/>
      <c r="T1188" s="94"/>
      <c r="U1188" s="94"/>
      <c r="V1188" s="94"/>
      <c r="W1188" s="94"/>
      <c r="X1188" s="94"/>
      <c r="Y1188" s="94"/>
      <c r="Z1188" s="94"/>
      <c r="AA1188" s="94"/>
      <c r="AB1188" s="94"/>
      <c r="AC1188" s="94"/>
      <c r="AD1188" s="94"/>
      <c r="AE1188" s="94"/>
      <c r="AF1188" s="94"/>
      <c r="AG1188" s="94"/>
      <c r="AH1188" s="94"/>
      <c r="AI1188" s="94"/>
      <c r="AJ1188" s="94"/>
      <c r="AK1188" s="94"/>
      <c r="AL1188" s="94"/>
      <c r="AM1188" s="94"/>
      <c r="AN1188" s="94"/>
      <c r="AO1188" s="94"/>
      <c r="AP1188" s="94"/>
      <c r="AQ1188" s="94"/>
      <c r="AR1188" s="94"/>
      <c r="AS1188" s="94"/>
      <c r="AT1188" s="94"/>
      <c r="AU1188" s="94"/>
      <c r="AV1188" s="94"/>
      <c r="AW1188" s="94"/>
      <c r="AX1188" s="94"/>
      <c r="AY1188" s="94"/>
      <c r="AZ1188" s="94"/>
      <c r="BA1188" s="95"/>
    </row>
    <row r="1189" spans="1:53" s="87" customFormat="1">
      <c r="A1189" s="90" t="str">
        <f t="shared" si="43"/>
        <v/>
      </c>
      <c r="B1189" s="98"/>
      <c r="C1189" s="94"/>
      <c r="D1189" s="94"/>
      <c r="E1189" s="94"/>
      <c r="F1189" s="94"/>
      <c r="G1189" s="94"/>
      <c r="H1189" s="94"/>
      <c r="I1189" s="94"/>
      <c r="J1189" s="94"/>
      <c r="K1189" s="94"/>
      <c r="L1189" s="94"/>
      <c r="M1189" s="94"/>
      <c r="N1189" s="94"/>
      <c r="O1189" s="94"/>
      <c r="P1189" s="94"/>
      <c r="Q1189" s="94"/>
      <c r="R1189" s="94"/>
      <c r="S1189" s="94"/>
      <c r="T1189" s="94"/>
      <c r="U1189" s="94"/>
      <c r="V1189" s="94"/>
      <c r="W1189" s="94"/>
      <c r="X1189" s="94"/>
      <c r="Y1189" s="94"/>
      <c r="Z1189" s="94"/>
      <c r="AA1189" s="94"/>
      <c r="AB1189" s="94"/>
      <c r="AC1189" s="94"/>
      <c r="AD1189" s="94"/>
      <c r="AE1189" s="94"/>
      <c r="AF1189" s="94"/>
      <c r="AG1189" s="94"/>
      <c r="AH1189" s="94"/>
      <c r="AI1189" s="94"/>
      <c r="AJ1189" s="94"/>
      <c r="AK1189" s="94"/>
      <c r="AL1189" s="94"/>
      <c r="AM1189" s="94"/>
      <c r="AN1189" s="94"/>
      <c r="AO1189" s="94"/>
      <c r="AP1189" s="94"/>
      <c r="AQ1189" s="94"/>
      <c r="AR1189" s="94"/>
      <c r="AS1189" s="94"/>
      <c r="AT1189" s="94"/>
      <c r="AU1189" s="94"/>
      <c r="AV1189" s="94"/>
      <c r="AW1189" s="94"/>
      <c r="AX1189" s="94"/>
      <c r="AY1189" s="94"/>
      <c r="AZ1189" s="94"/>
      <c r="BA1189" s="95"/>
    </row>
    <row r="1190" spans="1:53" s="87" customFormat="1">
      <c r="A1190" s="90" t="str">
        <f t="shared" si="43"/>
        <v/>
      </c>
      <c r="B1190" s="98"/>
      <c r="C1190" s="94"/>
      <c r="D1190" s="94"/>
      <c r="E1190" s="94"/>
      <c r="F1190" s="94"/>
      <c r="G1190" s="94"/>
      <c r="H1190" s="94"/>
      <c r="I1190" s="94"/>
      <c r="J1190" s="94"/>
      <c r="K1190" s="94"/>
      <c r="L1190" s="94"/>
      <c r="M1190" s="94"/>
      <c r="N1190" s="94"/>
      <c r="O1190" s="94"/>
      <c r="P1190" s="94"/>
      <c r="Q1190" s="94"/>
      <c r="R1190" s="94"/>
      <c r="S1190" s="94"/>
      <c r="T1190" s="94"/>
      <c r="U1190" s="94"/>
      <c r="V1190" s="94"/>
      <c r="W1190" s="94"/>
      <c r="X1190" s="94"/>
      <c r="Y1190" s="94"/>
      <c r="Z1190" s="94"/>
      <c r="AA1190" s="94"/>
      <c r="AB1190" s="94"/>
      <c r="AC1190" s="94"/>
      <c r="AD1190" s="94"/>
      <c r="AE1190" s="94"/>
      <c r="AF1190" s="94"/>
      <c r="AG1190" s="94"/>
      <c r="AH1190" s="94"/>
      <c r="AI1190" s="94"/>
      <c r="AJ1190" s="94"/>
      <c r="AK1190" s="94"/>
      <c r="AL1190" s="94"/>
      <c r="AM1190" s="94"/>
      <c r="AN1190" s="94"/>
      <c r="AO1190" s="94"/>
      <c r="AP1190" s="94"/>
      <c r="AQ1190" s="94"/>
      <c r="AR1190" s="94"/>
      <c r="AS1190" s="94"/>
      <c r="AT1190" s="94"/>
      <c r="AU1190" s="94"/>
      <c r="AV1190" s="94"/>
      <c r="AW1190" s="94"/>
      <c r="AX1190" s="94"/>
      <c r="AY1190" s="94"/>
      <c r="AZ1190" s="94"/>
      <c r="BA1190" s="95"/>
    </row>
    <row r="1191" spans="1:53" s="87" customFormat="1">
      <c r="A1191" s="90" t="str">
        <f t="shared" si="43"/>
        <v/>
      </c>
      <c r="B1191" s="98"/>
      <c r="C1191" s="94"/>
      <c r="D1191" s="94"/>
      <c r="E1191" s="94"/>
      <c r="F1191" s="94"/>
      <c r="G1191" s="94"/>
      <c r="H1191" s="94"/>
      <c r="I1191" s="94"/>
      <c r="J1191" s="94"/>
      <c r="K1191" s="94"/>
      <c r="L1191" s="94"/>
      <c r="M1191" s="94"/>
      <c r="N1191" s="94"/>
      <c r="O1191" s="94"/>
      <c r="P1191" s="94"/>
      <c r="Q1191" s="94"/>
      <c r="R1191" s="94"/>
      <c r="S1191" s="94"/>
      <c r="T1191" s="94"/>
      <c r="U1191" s="94"/>
      <c r="V1191" s="94"/>
      <c r="W1191" s="94"/>
      <c r="X1191" s="94"/>
      <c r="Y1191" s="94"/>
      <c r="Z1191" s="94"/>
      <c r="AA1191" s="94"/>
      <c r="AB1191" s="94"/>
      <c r="AC1191" s="94"/>
      <c r="AD1191" s="94"/>
      <c r="AE1191" s="94"/>
      <c r="AF1191" s="94"/>
      <c r="AG1191" s="94"/>
      <c r="AH1191" s="94"/>
      <c r="AI1191" s="94"/>
      <c r="AJ1191" s="94"/>
      <c r="AK1191" s="94"/>
      <c r="AL1191" s="94"/>
      <c r="AM1191" s="94"/>
      <c r="AN1191" s="94"/>
      <c r="AO1191" s="94"/>
      <c r="AP1191" s="94"/>
      <c r="AQ1191" s="94"/>
      <c r="AR1191" s="94"/>
      <c r="AS1191" s="94"/>
      <c r="AT1191" s="94"/>
      <c r="AU1191" s="94"/>
      <c r="AV1191" s="94"/>
      <c r="AW1191" s="94"/>
      <c r="AX1191" s="94"/>
      <c r="AY1191" s="94"/>
      <c r="AZ1191" s="94"/>
      <c r="BA1191" s="95"/>
    </row>
    <row r="1192" spans="1:53" s="87" customFormat="1">
      <c r="A1192" s="90" t="str">
        <f t="shared" si="43"/>
        <v/>
      </c>
      <c r="B1192" s="98"/>
      <c r="C1192" s="94"/>
      <c r="D1192" s="94"/>
      <c r="E1192" s="94"/>
      <c r="F1192" s="94"/>
      <c r="G1192" s="94"/>
      <c r="H1192" s="94"/>
      <c r="I1192" s="94"/>
      <c r="J1192" s="94"/>
      <c r="K1192" s="94"/>
      <c r="L1192" s="94"/>
      <c r="M1192" s="94"/>
      <c r="N1192" s="94"/>
      <c r="O1192" s="94"/>
      <c r="P1192" s="94"/>
      <c r="Q1192" s="94"/>
      <c r="R1192" s="94"/>
      <c r="S1192" s="94"/>
      <c r="T1192" s="94"/>
      <c r="U1192" s="94"/>
      <c r="V1192" s="94"/>
      <c r="W1192" s="94"/>
      <c r="X1192" s="94"/>
      <c r="Y1192" s="94"/>
      <c r="Z1192" s="94"/>
      <c r="AA1192" s="94"/>
      <c r="AB1192" s="94"/>
      <c r="AC1192" s="94"/>
      <c r="AD1192" s="94"/>
      <c r="AE1192" s="94"/>
      <c r="AF1192" s="94"/>
      <c r="AG1192" s="94"/>
      <c r="AH1192" s="94"/>
      <c r="AI1192" s="94"/>
      <c r="AJ1192" s="94"/>
      <c r="AK1192" s="94"/>
      <c r="AL1192" s="94"/>
      <c r="AM1192" s="94"/>
      <c r="AN1192" s="94"/>
      <c r="AO1192" s="94"/>
      <c r="AP1192" s="94"/>
      <c r="AQ1192" s="94"/>
      <c r="AR1192" s="94"/>
      <c r="AS1192" s="94"/>
      <c r="AT1192" s="94"/>
      <c r="AU1192" s="94"/>
      <c r="AV1192" s="94"/>
      <c r="AW1192" s="94"/>
      <c r="AX1192" s="94"/>
      <c r="AY1192" s="94"/>
      <c r="AZ1192" s="94"/>
      <c r="BA1192" s="95"/>
    </row>
    <row r="1193" spans="1:53" s="87" customFormat="1">
      <c r="A1193" s="90" t="str">
        <f t="shared" si="43"/>
        <v/>
      </c>
      <c r="B1193" s="98"/>
      <c r="C1193" s="94"/>
      <c r="D1193" s="94"/>
      <c r="E1193" s="94"/>
      <c r="F1193" s="94"/>
      <c r="G1193" s="94"/>
      <c r="H1193" s="94"/>
      <c r="I1193" s="94"/>
      <c r="J1193" s="94"/>
      <c r="K1193" s="94"/>
      <c r="L1193" s="94"/>
      <c r="M1193" s="94"/>
      <c r="N1193" s="94"/>
      <c r="O1193" s="94"/>
      <c r="P1193" s="94"/>
      <c r="Q1193" s="94"/>
      <c r="R1193" s="94"/>
      <c r="S1193" s="94"/>
      <c r="T1193" s="94"/>
      <c r="U1193" s="94"/>
      <c r="V1193" s="94"/>
      <c r="W1193" s="94"/>
      <c r="X1193" s="94"/>
      <c r="Y1193" s="94"/>
      <c r="Z1193" s="94"/>
      <c r="AA1193" s="94"/>
      <c r="AB1193" s="94"/>
      <c r="AC1193" s="94"/>
      <c r="AD1193" s="94"/>
      <c r="AE1193" s="94"/>
      <c r="AF1193" s="94"/>
      <c r="AG1193" s="94"/>
      <c r="AH1193" s="94"/>
      <c r="AI1193" s="94"/>
      <c r="AJ1193" s="94"/>
      <c r="AK1193" s="94"/>
      <c r="AL1193" s="94"/>
      <c r="AM1193" s="94"/>
      <c r="AN1193" s="94"/>
      <c r="AO1193" s="94"/>
      <c r="AP1193" s="94"/>
      <c r="AQ1193" s="94"/>
      <c r="AR1193" s="94"/>
      <c r="AS1193" s="94"/>
      <c r="AT1193" s="94"/>
      <c r="AU1193" s="94"/>
      <c r="AV1193" s="94"/>
      <c r="AW1193" s="94"/>
      <c r="AX1193" s="94"/>
      <c r="AY1193" s="94"/>
      <c r="AZ1193" s="94"/>
      <c r="BA1193" s="95"/>
    </row>
    <row r="1194" spans="1:53" s="87" customFormat="1">
      <c r="A1194" s="90" t="str">
        <f t="shared" si="43"/>
        <v/>
      </c>
      <c r="B1194" s="98"/>
      <c r="C1194" s="94"/>
      <c r="D1194" s="94"/>
      <c r="E1194" s="94"/>
      <c r="F1194" s="94"/>
      <c r="G1194" s="94"/>
      <c r="H1194" s="94"/>
      <c r="I1194" s="94"/>
      <c r="J1194" s="94"/>
      <c r="K1194" s="94"/>
      <c r="L1194" s="94"/>
      <c r="M1194" s="94"/>
      <c r="N1194" s="94"/>
      <c r="O1194" s="94"/>
      <c r="P1194" s="94"/>
      <c r="Q1194" s="94"/>
      <c r="R1194" s="94"/>
      <c r="S1194" s="94"/>
      <c r="T1194" s="94"/>
      <c r="U1194" s="94"/>
      <c r="V1194" s="94"/>
      <c r="W1194" s="94"/>
      <c r="X1194" s="94"/>
      <c r="Y1194" s="94"/>
      <c r="Z1194" s="94"/>
      <c r="AA1194" s="94"/>
      <c r="AB1194" s="94"/>
      <c r="AC1194" s="94"/>
      <c r="AD1194" s="94"/>
      <c r="AE1194" s="94"/>
      <c r="AF1194" s="94"/>
      <c r="AG1194" s="94"/>
      <c r="AH1194" s="94"/>
      <c r="AI1194" s="94"/>
      <c r="AJ1194" s="94"/>
      <c r="AK1194" s="94"/>
      <c r="AL1194" s="94"/>
      <c r="AM1194" s="94"/>
      <c r="AN1194" s="94"/>
      <c r="AO1194" s="94"/>
      <c r="AP1194" s="94"/>
      <c r="AQ1194" s="94"/>
      <c r="AR1194" s="94"/>
      <c r="AS1194" s="94"/>
      <c r="AT1194" s="94"/>
      <c r="AU1194" s="94"/>
      <c r="AV1194" s="94"/>
      <c r="AW1194" s="94"/>
      <c r="AX1194" s="94"/>
      <c r="AY1194" s="94"/>
      <c r="AZ1194" s="94"/>
      <c r="BA1194" s="95"/>
    </row>
    <row r="1195" spans="1:53" s="87" customFormat="1">
      <c r="A1195" s="90" t="str">
        <f t="shared" si="43"/>
        <v/>
      </c>
      <c r="B1195" s="98"/>
      <c r="C1195" s="94"/>
      <c r="D1195" s="94"/>
      <c r="E1195" s="94"/>
      <c r="F1195" s="94"/>
      <c r="G1195" s="94"/>
      <c r="H1195" s="94"/>
      <c r="I1195" s="94"/>
      <c r="J1195" s="94"/>
      <c r="K1195" s="94"/>
      <c r="L1195" s="94"/>
      <c r="M1195" s="94"/>
      <c r="N1195" s="94"/>
      <c r="O1195" s="94"/>
      <c r="P1195" s="94"/>
      <c r="Q1195" s="94"/>
      <c r="R1195" s="94"/>
      <c r="S1195" s="94"/>
      <c r="T1195" s="94"/>
      <c r="U1195" s="94"/>
      <c r="V1195" s="94"/>
      <c r="W1195" s="94"/>
      <c r="X1195" s="94"/>
      <c r="Y1195" s="94"/>
      <c r="Z1195" s="94"/>
      <c r="AA1195" s="94"/>
      <c r="AB1195" s="94"/>
      <c r="AC1195" s="94"/>
      <c r="AD1195" s="94"/>
      <c r="AE1195" s="94"/>
      <c r="AF1195" s="94"/>
      <c r="AG1195" s="94"/>
      <c r="AH1195" s="94"/>
      <c r="AI1195" s="94"/>
      <c r="AJ1195" s="94"/>
      <c r="AK1195" s="94"/>
      <c r="AL1195" s="94"/>
      <c r="AM1195" s="94"/>
      <c r="AN1195" s="94"/>
      <c r="AO1195" s="94"/>
      <c r="AP1195" s="94"/>
      <c r="AQ1195" s="94"/>
      <c r="AR1195" s="94"/>
      <c r="AS1195" s="94"/>
      <c r="AT1195" s="94"/>
      <c r="AU1195" s="94"/>
      <c r="AV1195" s="94"/>
      <c r="AW1195" s="94"/>
      <c r="AX1195" s="94"/>
      <c r="AY1195" s="94"/>
      <c r="AZ1195" s="94"/>
      <c r="BA1195" s="95"/>
    </row>
    <row r="1196" spans="1:53" s="87" customFormat="1">
      <c r="A1196" s="90" t="str">
        <f t="shared" si="43"/>
        <v/>
      </c>
      <c r="B1196" s="98"/>
      <c r="C1196" s="94"/>
      <c r="D1196" s="94"/>
      <c r="E1196" s="94"/>
      <c r="F1196" s="94"/>
      <c r="G1196" s="94"/>
      <c r="H1196" s="94"/>
      <c r="I1196" s="94"/>
      <c r="J1196" s="94"/>
      <c r="K1196" s="94"/>
      <c r="L1196" s="94"/>
      <c r="M1196" s="94"/>
      <c r="N1196" s="94"/>
      <c r="O1196" s="94"/>
      <c r="P1196" s="94"/>
      <c r="Q1196" s="94"/>
      <c r="R1196" s="94"/>
      <c r="S1196" s="94"/>
      <c r="T1196" s="94"/>
      <c r="U1196" s="94"/>
      <c r="V1196" s="94"/>
      <c r="W1196" s="94"/>
      <c r="X1196" s="94"/>
      <c r="Y1196" s="94"/>
      <c r="Z1196" s="94"/>
      <c r="AA1196" s="94"/>
      <c r="AB1196" s="94"/>
      <c r="AC1196" s="94"/>
      <c r="AD1196" s="94"/>
      <c r="AE1196" s="94"/>
      <c r="AF1196" s="94"/>
      <c r="AG1196" s="94"/>
      <c r="AH1196" s="94"/>
      <c r="AI1196" s="94"/>
      <c r="AJ1196" s="94"/>
      <c r="AK1196" s="94"/>
      <c r="AL1196" s="94"/>
      <c r="AM1196" s="94"/>
      <c r="AN1196" s="94"/>
      <c r="AO1196" s="94"/>
      <c r="AP1196" s="94"/>
      <c r="AQ1196" s="94"/>
      <c r="AR1196" s="94"/>
      <c r="AS1196" s="94"/>
      <c r="AT1196" s="94"/>
      <c r="AU1196" s="94"/>
      <c r="AV1196" s="94"/>
      <c r="AW1196" s="94"/>
      <c r="AX1196" s="94"/>
      <c r="AY1196" s="94"/>
      <c r="AZ1196" s="94"/>
      <c r="BA1196" s="95"/>
    </row>
    <row r="1197" spans="1:53" s="87" customFormat="1">
      <c r="A1197" s="90" t="str">
        <f t="shared" si="43"/>
        <v/>
      </c>
      <c r="B1197" s="98"/>
      <c r="C1197" s="94"/>
      <c r="D1197" s="94"/>
      <c r="E1197" s="94"/>
      <c r="F1197" s="94"/>
      <c r="G1197" s="94"/>
      <c r="H1197" s="94"/>
      <c r="I1197" s="94"/>
      <c r="J1197" s="94"/>
      <c r="K1197" s="94"/>
      <c r="L1197" s="94"/>
      <c r="M1197" s="94"/>
      <c r="N1197" s="94"/>
      <c r="O1197" s="94"/>
      <c r="P1197" s="94"/>
      <c r="Q1197" s="94"/>
      <c r="R1197" s="94"/>
      <c r="S1197" s="94"/>
      <c r="T1197" s="94"/>
      <c r="U1197" s="94"/>
      <c r="V1197" s="94"/>
      <c r="W1197" s="94"/>
      <c r="X1197" s="94"/>
      <c r="Y1197" s="94"/>
      <c r="Z1197" s="94"/>
      <c r="AA1197" s="94"/>
      <c r="AB1197" s="94"/>
      <c r="AC1197" s="94"/>
      <c r="AD1197" s="94"/>
      <c r="AE1197" s="94"/>
      <c r="AF1197" s="94"/>
      <c r="AG1197" s="94"/>
      <c r="AH1197" s="94"/>
      <c r="AI1197" s="94"/>
      <c r="AJ1197" s="94"/>
      <c r="AK1197" s="94"/>
      <c r="AL1197" s="94"/>
      <c r="AM1197" s="94"/>
      <c r="AN1197" s="94"/>
      <c r="AO1197" s="94"/>
      <c r="AP1197" s="94"/>
      <c r="AQ1197" s="94"/>
      <c r="AR1197" s="94"/>
      <c r="AS1197" s="94"/>
      <c r="AT1197" s="94"/>
      <c r="AU1197" s="94"/>
      <c r="AV1197" s="94"/>
      <c r="AW1197" s="94"/>
      <c r="AX1197" s="94"/>
      <c r="AY1197" s="94"/>
      <c r="AZ1197" s="94"/>
      <c r="BA1197" s="95"/>
    </row>
    <row r="1198" spans="1:53" s="87" customFormat="1">
      <c r="A1198" s="90" t="str">
        <f t="shared" si="43"/>
        <v/>
      </c>
      <c r="B1198" s="98"/>
      <c r="C1198" s="94"/>
      <c r="D1198" s="94"/>
      <c r="E1198" s="94"/>
      <c r="F1198" s="94"/>
      <c r="G1198" s="94"/>
      <c r="H1198" s="94"/>
      <c r="I1198" s="94"/>
      <c r="J1198" s="94"/>
      <c r="K1198" s="94"/>
      <c r="L1198" s="94"/>
      <c r="M1198" s="94"/>
      <c r="N1198" s="94"/>
      <c r="O1198" s="94"/>
      <c r="P1198" s="94"/>
      <c r="Q1198" s="94"/>
      <c r="R1198" s="94"/>
      <c r="S1198" s="94"/>
      <c r="T1198" s="94"/>
      <c r="U1198" s="94"/>
      <c r="V1198" s="94"/>
      <c r="W1198" s="94"/>
      <c r="X1198" s="94"/>
      <c r="Y1198" s="94"/>
      <c r="Z1198" s="94"/>
      <c r="AA1198" s="94"/>
      <c r="AB1198" s="94"/>
      <c r="AC1198" s="94"/>
      <c r="AD1198" s="94"/>
      <c r="AE1198" s="94"/>
      <c r="AF1198" s="94"/>
      <c r="AG1198" s="94"/>
      <c r="AH1198" s="94"/>
      <c r="AI1198" s="94"/>
      <c r="AJ1198" s="94"/>
      <c r="AK1198" s="94"/>
      <c r="AL1198" s="94"/>
      <c r="AM1198" s="94"/>
      <c r="AN1198" s="94"/>
      <c r="AO1198" s="94"/>
      <c r="AP1198" s="94"/>
      <c r="AQ1198" s="94"/>
      <c r="AR1198" s="94"/>
      <c r="AS1198" s="94"/>
      <c r="AT1198" s="94"/>
      <c r="AU1198" s="94"/>
      <c r="AV1198" s="94"/>
      <c r="AW1198" s="94"/>
      <c r="AX1198" s="94"/>
      <c r="AY1198" s="94"/>
      <c r="AZ1198" s="94"/>
      <c r="BA1198" s="95"/>
    </row>
    <row r="1199" spans="1:53" s="87" customFormat="1">
      <c r="A1199" s="90" t="str">
        <f t="shared" si="43"/>
        <v/>
      </c>
      <c r="B1199" s="98"/>
      <c r="C1199" s="94"/>
      <c r="D1199" s="94"/>
      <c r="E1199" s="94"/>
      <c r="F1199" s="94"/>
      <c r="G1199" s="94"/>
      <c r="H1199" s="94"/>
      <c r="I1199" s="94"/>
      <c r="J1199" s="94"/>
      <c r="K1199" s="94"/>
      <c r="L1199" s="94"/>
      <c r="M1199" s="94"/>
      <c r="N1199" s="94"/>
      <c r="O1199" s="94"/>
      <c r="P1199" s="94"/>
      <c r="Q1199" s="94"/>
      <c r="R1199" s="94"/>
      <c r="S1199" s="94"/>
      <c r="T1199" s="94"/>
      <c r="U1199" s="94"/>
      <c r="V1199" s="94"/>
      <c r="W1199" s="94"/>
      <c r="X1199" s="94"/>
      <c r="Y1199" s="94"/>
      <c r="Z1199" s="94"/>
      <c r="AA1199" s="94"/>
      <c r="AB1199" s="94"/>
      <c r="AC1199" s="94"/>
      <c r="AD1199" s="94"/>
      <c r="AE1199" s="94"/>
      <c r="AF1199" s="94"/>
      <c r="AG1199" s="94"/>
      <c r="AH1199" s="94"/>
      <c r="AI1199" s="94"/>
      <c r="AJ1199" s="94"/>
      <c r="AK1199" s="94"/>
      <c r="AL1199" s="94"/>
      <c r="AM1199" s="94"/>
      <c r="AN1199" s="94"/>
      <c r="AO1199" s="94"/>
      <c r="AP1199" s="94"/>
      <c r="AQ1199" s="94"/>
      <c r="AR1199" s="94"/>
      <c r="AS1199" s="94"/>
      <c r="AT1199" s="94"/>
      <c r="AU1199" s="94"/>
      <c r="AV1199" s="94"/>
      <c r="AW1199" s="94"/>
      <c r="AX1199" s="94"/>
      <c r="AY1199" s="94"/>
      <c r="AZ1199" s="94"/>
      <c r="BA1199" s="95"/>
    </row>
    <row r="1200" spans="1:53" s="87" customFormat="1">
      <c r="A1200" s="90" t="str">
        <f t="shared" si="43"/>
        <v/>
      </c>
      <c r="B1200" s="98"/>
      <c r="C1200" s="94"/>
      <c r="D1200" s="94"/>
      <c r="E1200" s="94"/>
      <c r="F1200" s="94"/>
      <c r="G1200" s="94"/>
      <c r="H1200" s="94"/>
      <c r="I1200" s="94"/>
      <c r="J1200" s="94"/>
      <c r="K1200" s="94"/>
      <c r="L1200" s="94"/>
      <c r="M1200" s="94"/>
      <c r="N1200" s="94"/>
      <c r="O1200" s="94"/>
      <c r="P1200" s="94"/>
      <c r="Q1200" s="94"/>
      <c r="R1200" s="94"/>
      <c r="S1200" s="94"/>
      <c r="T1200" s="94"/>
      <c r="U1200" s="94"/>
      <c r="V1200" s="94"/>
      <c r="W1200" s="94"/>
      <c r="X1200" s="94"/>
      <c r="Y1200" s="94"/>
      <c r="Z1200" s="94"/>
      <c r="AA1200" s="94"/>
      <c r="AB1200" s="94"/>
      <c r="AC1200" s="94"/>
      <c r="AD1200" s="94"/>
      <c r="AE1200" s="94"/>
      <c r="AF1200" s="94"/>
      <c r="AG1200" s="94"/>
      <c r="AH1200" s="94"/>
      <c r="AI1200" s="94"/>
      <c r="AJ1200" s="94"/>
      <c r="AK1200" s="94"/>
      <c r="AL1200" s="94"/>
      <c r="AM1200" s="94"/>
      <c r="AN1200" s="94"/>
      <c r="AO1200" s="94"/>
      <c r="AP1200" s="94"/>
      <c r="AQ1200" s="94"/>
      <c r="AR1200" s="94"/>
      <c r="AS1200" s="94"/>
      <c r="AT1200" s="94"/>
      <c r="AU1200" s="94"/>
      <c r="AV1200" s="94"/>
      <c r="AW1200" s="94"/>
      <c r="AX1200" s="94"/>
      <c r="AY1200" s="94"/>
      <c r="AZ1200" s="94"/>
      <c r="BA1200" s="95"/>
    </row>
    <row r="1201" spans="53:53" s="87" customFormat="1">
      <c r="BA1201" s="95"/>
    </row>
    <row r="1202" spans="53:53" s="87" customFormat="1">
      <c r="BA1202" s="95"/>
    </row>
    <row r="1203" spans="53:53" s="87" customFormat="1">
      <c r="BA1203" s="95"/>
    </row>
    <row r="1204" spans="53:53" s="87" customFormat="1">
      <c r="BA1204" s="95"/>
    </row>
    <row r="1205" spans="53:53" s="87" customFormat="1">
      <c r="BA1205" s="95"/>
    </row>
    <row r="1206" spans="53:53" s="87" customFormat="1">
      <c r="BA1206" s="95"/>
    </row>
    <row r="1207" spans="53:53" s="87" customFormat="1">
      <c r="BA1207" s="95"/>
    </row>
  </sheetData>
  <sheetProtection password="FFF0" sheet="1" objects="1" scenarios="1"/>
  <conditionalFormatting sqref="BD11:BD70">
    <cfRule type="expression" dxfId="52" priority="2">
      <formula>BD11=$BD$7</formula>
    </cfRule>
  </conditionalFormatting>
  <conditionalFormatting sqref="A11:A1200">
    <cfRule type="expression" dxfId="51" priority="1">
      <formula>A11=$BA$7</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207"/>
  <sheetViews>
    <sheetView workbookViewId="0">
      <selection activeCell="BB1" sqref="BB1"/>
    </sheetView>
  </sheetViews>
  <sheetFormatPr baseColWidth="10" defaultRowHeight="12" x14ac:dyDescent="0"/>
  <cols>
    <col min="1" max="1" width="5.140625" style="87" customWidth="1"/>
    <col min="2" max="52" width="2.5703125" style="87" customWidth="1"/>
    <col min="53" max="53" width="4.140625" style="87" customWidth="1"/>
    <col min="54" max="54" width="10.28515625" style="87" customWidth="1"/>
    <col min="55" max="55" width="5.140625" style="87" customWidth="1"/>
    <col min="56" max="56" width="3.140625" style="87" customWidth="1"/>
    <col min="57" max="57" width="7.140625" style="89" customWidth="1"/>
    <col min="58" max="58" width="10.28515625" style="89" customWidth="1"/>
    <col min="59" max="60" width="3.140625" style="87" customWidth="1"/>
    <col min="61" max="61" width="5.140625" style="87" customWidth="1"/>
    <col min="62" max="65" width="3.140625" style="87" customWidth="1"/>
    <col min="66" max="66" width="10.7109375" style="87"/>
    <col min="67" max="74" width="3.140625" style="87" customWidth="1"/>
    <col min="75" max="75" width="10.28515625" style="87" customWidth="1"/>
    <col min="76" max="79" width="5.140625" style="87" customWidth="1"/>
    <col min="80" max="16384" width="10.7109375" style="87"/>
  </cols>
  <sheetData>
    <row r="1" spans="1:76">
      <c r="B1" s="88">
        <f>COLUMN()</f>
        <v>2</v>
      </c>
      <c r="C1" s="88">
        <f>COLUMN()</f>
        <v>3</v>
      </c>
      <c r="D1" s="88">
        <f>COLUMN()</f>
        <v>4</v>
      </c>
      <c r="E1" s="88">
        <f>COLUMN()</f>
        <v>5</v>
      </c>
      <c r="F1" s="88">
        <f>COLUMN()</f>
        <v>6</v>
      </c>
      <c r="G1" s="88">
        <f>COLUMN()</f>
        <v>7</v>
      </c>
      <c r="H1" s="88">
        <f>COLUMN()</f>
        <v>8</v>
      </c>
      <c r="I1" s="88">
        <f>COLUMN()</f>
        <v>9</v>
      </c>
      <c r="J1" s="88">
        <f>COLUMN()</f>
        <v>10</v>
      </c>
      <c r="K1" s="88">
        <f>COLUMN()</f>
        <v>11</v>
      </c>
      <c r="L1" s="88">
        <f>COLUMN()</f>
        <v>12</v>
      </c>
      <c r="M1" s="88">
        <f>COLUMN()</f>
        <v>13</v>
      </c>
      <c r="N1" s="88">
        <f>COLUMN()</f>
        <v>14</v>
      </c>
      <c r="O1" s="88">
        <f>COLUMN()</f>
        <v>15</v>
      </c>
      <c r="P1" s="88">
        <f>COLUMN()</f>
        <v>16</v>
      </c>
      <c r="Q1" s="88">
        <f>COLUMN()</f>
        <v>17</v>
      </c>
      <c r="R1" s="88">
        <f>COLUMN()</f>
        <v>18</v>
      </c>
      <c r="S1" s="88">
        <f>COLUMN()</f>
        <v>19</v>
      </c>
      <c r="T1" s="88">
        <f>COLUMN()</f>
        <v>20</v>
      </c>
      <c r="U1" s="88">
        <f>COLUMN()</f>
        <v>21</v>
      </c>
      <c r="V1" s="88">
        <f>COLUMN()</f>
        <v>22</v>
      </c>
      <c r="W1" s="88">
        <f>COLUMN()</f>
        <v>23</v>
      </c>
      <c r="X1" s="88">
        <f>COLUMN()</f>
        <v>24</v>
      </c>
      <c r="Y1" s="88">
        <f>COLUMN()</f>
        <v>25</v>
      </c>
      <c r="Z1" s="88">
        <f>COLUMN()</f>
        <v>26</v>
      </c>
      <c r="AA1" s="88">
        <f>COLUMN()</f>
        <v>27</v>
      </c>
      <c r="AB1" s="88">
        <f>COLUMN()</f>
        <v>28</v>
      </c>
      <c r="AC1" s="88">
        <f>COLUMN()</f>
        <v>29</v>
      </c>
      <c r="AD1" s="88">
        <f>COLUMN()</f>
        <v>30</v>
      </c>
      <c r="AE1" s="88">
        <f>COLUMN()</f>
        <v>31</v>
      </c>
      <c r="AF1" s="88">
        <f>COLUMN()</f>
        <v>32</v>
      </c>
      <c r="AG1" s="88">
        <f>COLUMN()</f>
        <v>33</v>
      </c>
      <c r="AH1" s="88">
        <f>COLUMN()</f>
        <v>34</v>
      </c>
      <c r="AI1" s="88">
        <f>COLUMN()</f>
        <v>35</v>
      </c>
      <c r="AJ1" s="88">
        <f>COLUMN()</f>
        <v>36</v>
      </c>
      <c r="AK1" s="88">
        <f>COLUMN()</f>
        <v>37</v>
      </c>
      <c r="AL1" s="88">
        <f>COLUMN()</f>
        <v>38</v>
      </c>
      <c r="AM1" s="88">
        <f>COLUMN()</f>
        <v>39</v>
      </c>
      <c r="AN1" s="88">
        <f>COLUMN()</f>
        <v>40</v>
      </c>
      <c r="AO1" s="88">
        <f>COLUMN()</f>
        <v>41</v>
      </c>
      <c r="AP1" s="88">
        <f>COLUMN()</f>
        <v>42</v>
      </c>
      <c r="AQ1" s="88">
        <f>COLUMN()</f>
        <v>43</v>
      </c>
      <c r="AR1" s="88">
        <f>COLUMN()</f>
        <v>44</v>
      </c>
      <c r="AS1" s="88">
        <f>COLUMN()</f>
        <v>45</v>
      </c>
      <c r="AT1" s="88">
        <f>COLUMN()</f>
        <v>46</v>
      </c>
      <c r="AU1" s="88">
        <f>COLUMN()</f>
        <v>47</v>
      </c>
      <c r="AV1" s="88">
        <f>COLUMN()</f>
        <v>48</v>
      </c>
      <c r="AW1" s="88">
        <f>COLUMN()</f>
        <v>49</v>
      </c>
      <c r="AX1" s="88">
        <f>COLUMN()</f>
        <v>50</v>
      </c>
      <c r="AY1" s="88">
        <f>COLUMN()</f>
        <v>51</v>
      </c>
      <c r="AZ1" s="88">
        <f>COLUMN()</f>
        <v>52</v>
      </c>
      <c r="BB1" s="88" t="str">
        <f>Intro!D46</f>
        <v/>
      </c>
    </row>
    <row r="2" spans="1:76">
      <c r="B2" s="88" t="str">
        <f>CHAR(B1+64)</f>
        <v>B</v>
      </c>
      <c r="C2" s="88" t="str">
        <f t="shared" ref="C2:Z2" si="0">CHAR(C1+64)</f>
        <v>C</v>
      </c>
      <c r="D2" s="88" t="str">
        <f t="shared" si="0"/>
        <v>D</v>
      </c>
      <c r="E2" s="88" t="str">
        <f t="shared" si="0"/>
        <v>E</v>
      </c>
      <c r="F2" s="88" t="str">
        <f t="shared" si="0"/>
        <v>F</v>
      </c>
      <c r="G2" s="88" t="str">
        <f t="shared" si="0"/>
        <v>G</v>
      </c>
      <c r="H2" s="88" t="str">
        <f t="shared" si="0"/>
        <v>H</v>
      </c>
      <c r="I2" s="88" t="str">
        <f t="shared" si="0"/>
        <v>I</v>
      </c>
      <c r="J2" s="88" t="str">
        <f t="shared" si="0"/>
        <v>J</v>
      </c>
      <c r="K2" s="88" t="str">
        <f t="shared" si="0"/>
        <v>K</v>
      </c>
      <c r="L2" s="88" t="str">
        <f t="shared" si="0"/>
        <v>L</v>
      </c>
      <c r="M2" s="88" t="str">
        <f t="shared" si="0"/>
        <v>M</v>
      </c>
      <c r="N2" s="88" t="str">
        <f t="shared" si="0"/>
        <v>N</v>
      </c>
      <c r="O2" s="88" t="str">
        <f t="shared" si="0"/>
        <v>O</v>
      </c>
      <c r="P2" s="88" t="str">
        <f t="shared" si="0"/>
        <v>P</v>
      </c>
      <c r="Q2" s="88" t="str">
        <f t="shared" si="0"/>
        <v>Q</v>
      </c>
      <c r="R2" s="88" t="str">
        <f t="shared" si="0"/>
        <v>R</v>
      </c>
      <c r="S2" s="88" t="str">
        <f t="shared" si="0"/>
        <v>S</v>
      </c>
      <c r="T2" s="88" t="str">
        <f t="shared" si="0"/>
        <v>T</v>
      </c>
      <c r="U2" s="88" t="str">
        <f t="shared" si="0"/>
        <v>U</v>
      </c>
      <c r="V2" s="88" t="str">
        <f t="shared" si="0"/>
        <v>V</v>
      </c>
      <c r="W2" s="88" t="str">
        <f t="shared" si="0"/>
        <v>W</v>
      </c>
      <c r="X2" s="88" t="str">
        <f t="shared" si="0"/>
        <v>X</v>
      </c>
      <c r="Y2" s="88" t="str">
        <f t="shared" si="0"/>
        <v>Y</v>
      </c>
      <c r="Z2" s="88" t="str">
        <f t="shared" si="0"/>
        <v>Z</v>
      </c>
      <c r="AA2" s="88" t="str">
        <f>CONCATENATE("A",CHAR(AA1+38))</f>
        <v>AA</v>
      </c>
      <c r="AB2" s="88" t="str">
        <f t="shared" ref="AB2:AZ2" si="1">CONCATENATE("A",CHAR(AB1+38))</f>
        <v>AB</v>
      </c>
      <c r="AC2" s="88" t="str">
        <f t="shared" si="1"/>
        <v>AC</v>
      </c>
      <c r="AD2" s="88" t="str">
        <f t="shared" si="1"/>
        <v>AD</v>
      </c>
      <c r="AE2" s="88" t="str">
        <f t="shared" si="1"/>
        <v>AE</v>
      </c>
      <c r="AF2" s="88" t="str">
        <f t="shared" si="1"/>
        <v>AF</v>
      </c>
      <c r="AG2" s="88" t="str">
        <f t="shared" si="1"/>
        <v>AG</v>
      </c>
      <c r="AH2" s="88" t="str">
        <f t="shared" si="1"/>
        <v>AH</v>
      </c>
      <c r="AI2" s="88" t="str">
        <f t="shared" si="1"/>
        <v>AI</v>
      </c>
      <c r="AJ2" s="88" t="str">
        <f t="shared" si="1"/>
        <v>AJ</v>
      </c>
      <c r="AK2" s="88" t="str">
        <f t="shared" si="1"/>
        <v>AK</v>
      </c>
      <c r="AL2" s="88" t="str">
        <f t="shared" si="1"/>
        <v>AL</v>
      </c>
      <c r="AM2" s="88" t="str">
        <f t="shared" si="1"/>
        <v>AM</v>
      </c>
      <c r="AN2" s="88" t="str">
        <f t="shared" si="1"/>
        <v>AN</v>
      </c>
      <c r="AO2" s="88" t="str">
        <f t="shared" si="1"/>
        <v>AO</v>
      </c>
      <c r="AP2" s="88" t="str">
        <f t="shared" si="1"/>
        <v>AP</v>
      </c>
      <c r="AQ2" s="88" t="str">
        <f t="shared" si="1"/>
        <v>AQ</v>
      </c>
      <c r="AR2" s="88" t="str">
        <f t="shared" si="1"/>
        <v>AR</v>
      </c>
      <c r="AS2" s="88" t="str">
        <f t="shared" si="1"/>
        <v>AS</v>
      </c>
      <c r="AT2" s="88" t="str">
        <f t="shared" si="1"/>
        <v>AT</v>
      </c>
      <c r="AU2" s="88" t="str">
        <f t="shared" si="1"/>
        <v>AU</v>
      </c>
      <c r="AV2" s="88" t="str">
        <f t="shared" si="1"/>
        <v>AV</v>
      </c>
      <c r="AW2" s="88" t="str">
        <f t="shared" si="1"/>
        <v>AW</v>
      </c>
      <c r="AX2" s="88" t="str">
        <f t="shared" si="1"/>
        <v>AX</v>
      </c>
      <c r="AY2" s="88" t="str">
        <f t="shared" si="1"/>
        <v>AY</v>
      </c>
      <c r="AZ2" s="88" t="str">
        <f t="shared" si="1"/>
        <v>AZ</v>
      </c>
    </row>
    <row r="6" spans="1:76">
      <c r="BD6" s="470">
        <v>1</v>
      </c>
    </row>
    <row r="7" spans="1:76">
      <c r="BA7" s="88">
        <f ca="1">VALUE(INDIRECT(CONCATENATE("BA",BE7+10)))</f>
        <v>559</v>
      </c>
      <c r="BD7" s="472">
        <f>IF(BD6&gt;0,BD6,DrawFinder!H10)</f>
        <v>1</v>
      </c>
      <c r="BE7" s="88">
        <f ca="1">MATCH(BD7,BD11:BD70,0)</f>
        <v>20</v>
      </c>
    </row>
    <row r="8" spans="1:76">
      <c r="BD8" s="87" t="s">
        <v>190</v>
      </c>
    </row>
    <row r="9" spans="1:76">
      <c r="BD9" s="89">
        <f ca="1">LARGE(BD11:BD70,1)</f>
        <v>24</v>
      </c>
    </row>
    <row r="10" spans="1:76">
      <c r="BA10" s="93">
        <v>1</v>
      </c>
      <c r="BB10" s="88">
        <v>1200</v>
      </c>
      <c r="BD10" s="87" t="s">
        <v>191</v>
      </c>
      <c r="BG10" s="87" t="s">
        <v>192</v>
      </c>
      <c r="BH10" s="87" t="s">
        <v>193</v>
      </c>
      <c r="BJ10" s="87" t="s">
        <v>194</v>
      </c>
      <c r="BK10" s="89" t="s">
        <v>195</v>
      </c>
      <c r="BL10" s="89" t="s">
        <v>196</v>
      </c>
      <c r="BM10" s="87" t="s">
        <v>197</v>
      </c>
      <c r="BN10" s="87" t="s">
        <v>198</v>
      </c>
      <c r="BO10" s="89" t="s">
        <v>199</v>
      </c>
      <c r="BP10" s="89" t="s">
        <v>200</v>
      </c>
      <c r="BQ10" s="89" t="s">
        <v>201</v>
      </c>
      <c r="BR10" s="87" t="s">
        <v>202</v>
      </c>
      <c r="BS10" s="89" t="s">
        <v>203</v>
      </c>
      <c r="BT10" s="89" t="s">
        <v>90</v>
      </c>
      <c r="BU10" s="89" t="s">
        <v>14</v>
      </c>
      <c r="BV10" s="97" t="s">
        <v>204</v>
      </c>
      <c r="BX10" s="285" t="s">
        <v>843</v>
      </c>
    </row>
    <row r="11" spans="1:76">
      <c r="A11" s="90">
        <f>IF(MID(B11,3,2)="09",ROW(),"")</f>
        <v>11</v>
      </c>
      <c r="B11" s="98" t="s">
        <v>496</v>
      </c>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1">
        <f ca="1">IF(BA10=0,0,MIN(INDIRECT(BB11)))</f>
        <v>11</v>
      </c>
      <c r="BB11" s="88" t="str">
        <f>IF(BA10=0,"",CONCATENATE("A",BA10+1,":A",BB$10))</f>
        <v>A2:A1200</v>
      </c>
      <c r="BC11" s="89" t="str">
        <f ca="1">IF(BA11=0,0,CONCATENATE("B",BA11))</f>
        <v>B11</v>
      </c>
      <c r="BD11" s="89">
        <f ca="1">IF(BC11=0,0,RANK(BF11,$BF$11:$BF$70,0)+(COUNTIF($BF11:$BF$70,BF11)-1))</f>
        <v>24</v>
      </c>
      <c r="BE11" s="89" t="str">
        <f ca="1">IF(BC11=0,0,LEFT(INDIRECT(BC11),6))</f>
        <v>180901</v>
      </c>
      <c r="BF11" s="89">
        <f ca="1">VALUE(BW11)</f>
        <v>18090117</v>
      </c>
      <c r="BG11" s="89">
        <f ca="1">IF(BA11=0,0,VALUE(LEFT(BE11,2)))</f>
        <v>18</v>
      </c>
      <c r="BH11" s="89">
        <f ca="1">IF(BA11=0,0,VALUE(MID(BE11,5,2)))</f>
        <v>1</v>
      </c>
      <c r="BI11" s="89" t="str">
        <f ca="1">IF(BA11=0,0,CONCATENATE("B",BA11+BG11+1))</f>
        <v>B30</v>
      </c>
      <c r="BJ11" s="89">
        <f ca="1">IF(BA11=0,0,VALUE(MID(INDIRECT(BI11),4,2)))</f>
        <v>17</v>
      </c>
      <c r="BK11" s="89">
        <f ca="1">IF(BA11=0,0,VALUE(MID(INDIRECT(BI11),9,2)))</f>
        <v>17</v>
      </c>
      <c r="BL11" s="89">
        <f ca="1">IF(BA11=0,0,VALUE(MID(INDIRECT(BI11),14,3)))</f>
        <v>153</v>
      </c>
      <c r="BM11" s="89">
        <f ca="1">IF(BA11=0,0,2+BK11)</f>
        <v>19</v>
      </c>
      <c r="BN11" s="89" t="str">
        <f ca="1">IF(BA11=0,0,CONCATENATE("S9!B",BA11+1,":",HLOOKUP(BM11,$B$1:$AZ$2,2,FALSE),BA11+BG11))</f>
        <v>S9!B12:S29</v>
      </c>
      <c r="BO11" s="89" t="str">
        <f ca="1">IF(BA11=0,0,IF(BV11="c","c",IF(ISERROR(FIND("s",INDIRECT($BC11))),IF(ISERROR(FIND("e",INDIRECT($BC11))),"L","e"),"s")))</f>
        <v>s</v>
      </c>
      <c r="BP11" s="89" t="str">
        <f ca="1">IF(BA11=0,0,IF(ISERROR(FIND("b",INDIRECT($BC11))),IF(ISERROR(FIND("w",INDIRECT($BC11))),"","w"),"b"))</f>
        <v/>
      </c>
      <c r="BQ11" s="89" t="str">
        <f ca="1">IF(BA11=0,0,IF(ISERROR(FIND("w",INDIRECT($BC11))),"","w"))</f>
        <v/>
      </c>
      <c r="BR11" s="87" t="str">
        <f ca="1">IF(BA11=0,0,IF(ISERROR(FIND("x",INDIRECT($BC11))),IF(ISERROR(FIND("E",INDIRECT($BC11))),"","E"),"x"))</f>
        <v/>
      </c>
      <c r="BS11" s="89" t="str">
        <f ca="1">IF(BA11=0,0,IF(ISERROR(FIND("a",INDIRECT($BC11))),"","a"))</f>
        <v/>
      </c>
      <c r="BT11" s="89" t="str">
        <f ca="1">IF(BA11=0,0,IF(ISERROR(FIND("E",INDIRECT($BC11))),"","E"))</f>
        <v/>
      </c>
      <c r="BU11" s="89" t="str">
        <f ca="1">IF(BA11=0,0,IF(ISERROR(FIND("X",INDIRECT($BC11))),"","X"))</f>
        <v/>
      </c>
      <c r="BV11" s="87" t="str">
        <f ca="1">IF(BA11=0,0,IF(ISERROR(FIND("c",INDIRECT($BC11))),"","c"))</f>
        <v/>
      </c>
      <c r="BW11" s="87" t="str">
        <f ca="1">CONCATENATE(BE11,IF(BK11&lt;10,"0",""),BK11)</f>
        <v>18090117</v>
      </c>
      <c r="BX11" s="89">
        <f ca="1">IF(BV11="c",RIGHT(INDIRECT(BC11),2),0)</f>
        <v>0</v>
      </c>
    </row>
    <row r="12" spans="1:76">
      <c r="A12" s="90" t="str">
        <f t="shared" ref="A12:A75" si="2">IF(MID(B12,3,2)="09",ROW(),"")</f>
        <v/>
      </c>
      <c r="B12" s="98">
        <v>1</v>
      </c>
      <c r="C12" s="94">
        <v>-1</v>
      </c>
      <c r="D12" s="94">
        <v>-7</v>
      </c>
      <c r="E12" s="94">
        <v>9</v>
      </c>
      <c r="F12" s="94">
        <v>-4</v>
      </c>
      <c r="G12" s="94">
        <v>2</v>
      </c>
      <c r="H12" s="94">
        <v>6</v>
      </c>
      <c r="I12" s="94">
        <v>8</v>
      </c>
      <c r="J12" s="94">
        <v>-5</v>
      </c>
      <c r="K12" s="94">
        <v>-2</v>
      </c>
      <c r="L12" s="94">
        <v>-9</v>
      </c>
      <c r="M12" s="94">
        <v>4</v>
      </c>
      <c r="N12" s="94">
        <v>-6</v>
      </c>
      <c r="O12" s="94">
        <v>-8</v>
      </c>
      <c r="P12" s="94">
        <v>1</v>
      </c>
      <c r="Q12" s="94">
        <v>7</v>
      </c>
      <c r="R12" s="94">
        <v>3</v>
      </c>
      <c r="S12" s="94">
        <v>5</v>
      </c>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1">
        <f t="shared" ref="BA12:BA70" ca="1" si="3">IF(BA11=0,0,MIN(INDIRECT(BB12)))</f>
        <v>31</v>
      </c>
      <c r="BB12" s="88" t="str">
        <f t="shared" ref="BB12:BB70" ca="1" si="4">IF(BA11=0,"",CONCATENATE("A",BA11+1,":A",BB$10))</f>
        <v>A12:A1200</v>
      </c>
      <c r="BC12" s="89" t="str">
        <f t="shared" ref="BC12:BC70" ca="1" si="5">IF(BA12=0,0,CONCATENATE("B",BA12))</f>
        <v>B31</v>
      </c>
      <c r="BD12" s="89">
        <f ca="1">IF(BC12=0,0,RANK(BF12,$BF$11:$BF$70,0)+(COUNTIF($BF12:$BF$70,BF12)-1))</f>
        <v>23</v>
      </c>
      <c r="BE12" s="89" t="str">
        <f t="shared" ref="BE12:BE70" ca="1" si="6">IF(BC12=0,0,LEFT(INDIRECT(BC12),6))</f>
        <v>180902</v>
      </c>
      <c r="BF12" s="89">
        <f t="shared" ref="BF12:BF70" ca="1" si="7">VALUE(BW12)</f>
        <v>18090209</v>
      </c>
      <c r="BG12" s="89">
        <f t="shared" ref="BG12:BG70" ca="1" si="8">IF(BA12=0,0,VALUE(LEFT(BE12,2)))</f>
        <v>18</v>
      </c>
      <c r="BH12" s="89">
        <f t="shared" ref="BH12:BH70" ca="1" si="9">IF(BA12=0,0,VALUE(MID(BE12,5,2)))</f>
        <v>2</v>
      </c>
      <c r="BI12" s="89" t="str">
        <f t="shared" ref="BI12:BI70" ca="1" si="10">IF(BA12=0,0,CONCATENATE("B",BA12+BG12+1))</f>
        <v>B50</v>
      </c>
      <c r="BJ12" s="89">
        <f t="shared" ref="BJ12:BJ70" ca="1" si="11">IF(BA12=0,0,VALUE(MID(INDIRECT(BI12),4,2)))</f>
        <v>9</v>
      </c>
      <c r="BK12" s="89">
        <f t="shared" ref="BK12:BK70" ca="1" si="12">IF(BA12=0,0,VALUE(MID(INDIRECT(BI12),9,2)))</f>
        <v>9</v>
      </c>
      <c r="BL12" s="89">
        <f t="shared" ref="BL12:BL70" ca="1" si="13">IF(BA12=0,0,VALUE(MID(INDIRECT(BI12),14,3)))</f>
        <v>81</v>
      </c>
      <c r="BM12" s="89">
        <f t="shared" ref="BM12:BM70" ca="1" si="14">IF(BA12=0,0,2+BK12)</f>
        <v>11</v>
      </c>
      <c r="BN12" s="89" t="str">
        <f t="shared" ref="BN12:BN70" ca="1" si="15">IF(BA12=0,0,CONCATENATE("S9!B",BA12+1,":",HLOOKUP(BM12,$B$1:$AZ$2,2,FALSE),BA12+BG12))</f>
        <v>S9!B32:K49</v>
      </c>
      <c r="BO12" s="89" t="str">
        <f t="shared" ref="BO12:BO70" ca="1" si="16">IF(BA12=0,0,IF(BV12="c","c",IF(ISERROR(FIND("s",INDIRECT($BC12))),IF(ISERROR(FIND("e",INDIRECT($BC12))),"L","e"),"s")))</f>
        <v>s</v>
      </c>
      <c r="BP12" s="89" t="str">
        <f t="shared" ref="BP12:BP70" ca="1" si="17">IF(BA12=0,0,IF(ISERROR(FIND("b",INDIRECT($BC12))),IF(ISERROR(FIND("w",INDIRECT($BC12))),"","w"),"b"))</f>
        <v/>
      </c>
      <c r="BQ12" s="89" t="str">
        <f t="shared" ref="BQ12:BQ70" ca="1" si="18">IF(BA12=0,0,IF(ISERROR(FIND("w",INDIRECT($BC12))),"","w"))</f>
        <v/>
      </c>
      <c r="BR12" s="87" t="str">
        <f t="shared" ref="BR12:BR70" ca="1" si="19">IF(BA12=0,0,IF(ISERROR(FIND("x",INDIRECT($BC12))),IF(ISERROR(FIND("E",INDIRECT($BC12))),"","E"),"x"))</f>
        <v>x</v>
      </c>
      <c r="BS12" s="89" t="str">
        <f t="shared" ref="BS12:BS70" ca="1" si="20">IF(BA12=0,0,IF(ISERROR(FIND("a",INDIRECT($BC12))),"","a"))</f>
        <v/>
      </c>
      <c r="BT12" s="89" t="str">
        <f t="shared" ref="BT12:BT70" ca="1" si="21">IF(BA12=0,0,IF(ISERROR(FIND("E",INDIRECT($BC12))),"","E"))</f>
        <v/>
      </c>
      <c r="BU12" s="89" t="str">
        <f t="shared" ref="BU12:BU70" ca="1" si="22">IF(BA12=0,0,IF(ISERROR(FIND("X",INDIRECT($BC12))),"","X"))</f>
        <v/>
      </c>
      <c r="BV12" s="87" t="str">
        <f t="shared" ref="BV12:BV70" ca="1" si="23">IF(BA12=0,0,IF(ISERROR(FIND("c",INDIRECT($BC12))),"","c"))</f>
        <v/>
      </c>
      <c r="BW12" s="87" t="str">
        <f t="shared" ref="BW12:BW70" ca="1" si="24">CONCATENATE(BE12,IF(BK12&lt;10,"0",""),BK12)</f>
        <v>18090209</v>
      </c>
      <c r="BX12" s="89">
        <f t="shared" ref="BX12:BX70" ca="1" si="25">IF(BV12="c",RIGHT(INDIRECT(BC12),2),0)</f>
        <v>0</v>
      </c>
    </row>
    <row r="13" spans="1:76">
      <c r="A13" s="90" t="str">
        <f t="shared" si="2"/>
        <v/>
      </c>
      <c r="B13" s="98">
        <v>2</v>
      </c>
      <c r="C13" s="94">
        <v>-3</v>
      </c>
      <c r="D13" s="94">
        <v>-1</v>
      </c>
      <c r="E13" s="94">
        <v>7</v>
      </c>
      <c r="F13" s="94">
        <v>9</v>
      </c>
      <c r="G13" s="94">
        <v>-4</v>
      </c>
      <c r="H13" s="94">
        <v>-2</v>
      </c>
      <c r="I13" s="94">
        <v>-6</v>
      </c>
      <c r="J13" s="94">
        <v>-8</v>
      </c>
      <c r="K13" s="94">
        <v>4</v>
      </c>
      <c r="L13" s="94">
        <v>3</v>
      </c>
      <c r="M13" s="94">
        <v>1</v>
      </c>
      <c r="N13" s="94">
        <v>8</v>
      </c>
      <c r="O13" s="94">
        <v>-9</v>
      </c>
      <c r="P13" s="94">
        <v>-7</v>
      </c>
      <c r="Q13" s="94">
        <v>6</v>
      </c>
      <c r="R13" s="94">
        <v>2</v>
      </c>
      <c r="S13" s="94">
        <v>-5</v>
      </c>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1">
        <f t="shared" ca="1" si="3"/>
        <v>51</v>
      </c>
      <c r="BB13" s="88" t="str">
        <f t="shared" ca="1" si="4"/>
        <v>A32:A1200</v>
      </c>
      <c r="BC13" s="89" t="str">
        <f t="shared" ca="1" si="5"/>
        <v>B51</v>
      </c>
      <c r="BD13" s="89">
        <f ca="1">IF(BC13=0,0,RANK(BF13,$BF$11:$BF$70,0)+(COUNTIF($BF13:$BF$70,BF13)-1))</f>
        <v>22</v>
      </c>
      <c r="BE13" s="89" t="str">
        <f t="shared" ca="1" si="6"/>
        <v>180903</v>
      </c>
      <c r="BF13" s="89">
        <f t="shared" ca="1" si="7"/>
        <v>18090305</v>
      </c>
      <c r="BG13" s="89">
        <f t="shared" ca="1" si="8"/>
        <v>18</v>
      </c>
      <c r="BH13" s="89">
        <f t="shared" ca="1" si="9"/>
        <v>3</v>
      </c>
      <c r="BI13" s="89" t="str">
        <f t="shared" ca="1" si="10"/>
        <v>B70</v>
      </c>
      <c r="BJ13" s="89">
        <f t="shared" ca="1" si="11"/>
        <v>5</v>
      </c>
      <c r="BK13" s="89">
        <f t="shared" ca="1" si="12"/>
        <v>5</v>
      </c>
      <c r="BL13" s="89">
        <f t="shared" ca="1" si="13"/>
        <v>45</v>
      </c>
      <c r="BM13" s="89">
        <f t="shared" ca="1" si="14"/>
        <v>7</v>
      </c>
      <c r="BN13" s="89" t="str">
        <f t="shared" ca="1" si="15"/>
        <v>S9!B52:G69</v>
      </c>
      <c r="BO13" s="89" t="str">
        <f t="shared" ca="1" si="16"/>
        <v>s</v>
      </c>
      <c r="BP13" s="89" t="str">
        <f t="shared" ca="1" si="17"/>
        <v/>
      </c>
      <c r="BQ13" s="89" t="str">
        <f t="shared" ca="1" si="18"/>
        <v/>
      </c>
      <c r="BR13" s="87" t="str">
        <f t="shared" ca="1" si="19"/>
        <v/>
      </c>
      <c r="BS13" s="89" t="str">
        <f t="shared" ca="1" si="20"/>
        <v/>
      </c>
      <c r="BT13" s="89" t="str">
        <f t="shared" ca="1" si="21"/>
        <v/>
      </c>
      <c r="BU13" s="89" t="str">
        <f t="shared" ca="1" si="22"/>
        <v/>
      </c>
      <c r="BV13" s="87" t="str">
        <f t="shared" ca="1" si="23"/>
        <v/>
      </c>
      <c r="BW13" s="87" t="str">
        <f t="shared" ca="1" si="24"/>
        <v>18090305</v>
      </c>
      <c r="BX13" s="89">
        <f t="shared" ca="1" si="25"/>
        <v>0</v>
      </c>
    </row>
    <row r="14" spans="1:76">
      <c r="A14" s="90" t="str">
        <f t="shared" si="2"/>
        <v/>
      </c>
      <c r="B14" s="98">
        <v>3</v>
      </c>
      <c r="C14" s="94">
        <v>8</v>
      </c>
      <c r="D14" s="94">
        <v>5</v>
      </c>
      <c r="E14" s="94">
        <v>3</v>
      </c>
      <c r="F14" s="94">
        <v>-1</v>
      </c>
      <c r="G14" s="94">
        <v>-7</v>
      </c>
      <c r="H14" s="94">
        <v>9</v>
      </c>
      <c r="I14" s="94">
        <v>4</v>
      </c>
      <c r="J14" s="94">
        <v>2</v>
      </c>
      <c r="K14" s="94">
        <v>1</v>
      </c>
      <c r="L14" s="94">
        <v>-5</v>
      </c>
      <c r="M14" s="94">
        <v>-4</v>
      </c>
      <c r="N14" s="94">
        <v>-9</v>
      </c>
      <c r="O14" s="94">
        <v>-3</v>
      </c>
      <c r="P14" s="94">
        <v>7</v>
      </c>
      <c r="Q14" s="94">
        <v>-2</v>
      </c>
      <c r="R14" s="94">
        <v>-8</v>
      </c>
      <c r="S14" s="94">
        <v>-6</v>
      </c>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1">
        <f t="shared" ca="1" si="3"/>
        <v>71</v>
      </c>
      <c r="BB14" s="88" t="str">
        <f t="shared" ca="1" si="4"/>
        <v>A52:A1200</v>
      </c>
      <c r="BC14" s="89" t="str">
        <f t="shared" ca="1" si="5"/>
        <v>B71</v>
      </c>
      <c r="BD14" s="89">
        <f ca="1">IF(BC14=0,0,RANK(BF14,$BF$11:$BF$70,0)+(COUNTIF($BF14:$BF$70,BF14)-1))</f>
        <v>21</v>
      </c>
      <c r="BE14" s="89" t="str">
        <f t="shared" ca="1" si="6"/>
        <v>180904</v>
      </c>
      <c r="BF14" s="89">
        <f t="shared" ca="1" si="7"/>
        <v>18090405</v>
      </c>
      <c r="BG14" s="89">
        <f t="shared" ca="1" si="8"/>
        <v>18</v>
      </c>
      <c r="BH14" s="89">
        <f t="shared" ca="1" si="9"/>
        <v>4</v>
      </c>
      <c r="BI14" s="89" t="str">
        <f t="shared" ca="1" si="10"/>
        <v>B90</v>
      </c>
      <c r="BJ14" s="89">
        <f t="shared" ca="1" si="11"/>
        <v>5</v>
      </c>
      <c r="BK14" s="89">
        <f t="shared" ca="1" si="12"/>
        <v>5</v>
      </c>
      <c r="BL14" s="89">
        <f t="shared" ca="1" si="13"/>
        <v>45</v>
      </c>
      <c r="BM14" s="89">
        <f t="shared" ca="1" si="14"/>
        <v>7</v>
      </c>
      <c r="BN14" s="89" t="str">
        <f t="shared" ca="1" si="15"/>
        <v>S9!B72:G89</v>
      </c>
      <c r="BO14" s="89" t="str">
        <f t="shared" ca="1" si="16"/>
        <v>s</v>
      </c>
      <c r="BP14" s="89" t="str">
        <f t="shared" ca="1" si="17"/>
        <v/>
      </c>
      <c r="BQ14" s="89" t="str">
        <f t="shared" ca="1" si="18"/>
        <v/>
      </c>
      <c r="BR14" s="87" t="str">
        <f t="shared" ca="1" si="19"/>
        <v>E</v>
      </c>
      <c r="BS14" s="89" t="str">
        <f t="shared" ca="1" si="20"/>
        <v>a</v>
      </c>
      <c r="BT14" s="89" t="str">
        <f t="shared" ca="1" si="21"/>
        <v>E</v>
      </c>
      <c r="BU14" s="89" t="str">
        <f t="shared" ca="1" si="22"/>
        <v/>
      </c>
      <c r="BV14" s="87" t="str">
        <f t="shared" ca="1" si="23"/>
        <v/>
      </c>
      <c r="BW14" s="87" t="str">
        <f t="shared" ca="1" si="24"/>
        <v>18090405</v>
      </c>
      <c r="BX14" s="89">
        <f t="shared" ca="1" si="25"/>
        <v>0</v>
      </c>
    </row>
    <row r="15" spans="1:76">
      <c r="A15" s="90" t="str">
        <f t="shared" si="2"/>
        <v/>
      </c>
      <c r="B15" s="98">
        <v>4</v>
      </c>
      <c r="C15" s="94">
        <v>-4</v>
      </c>
      <c r="D15" s="94">
        <v>-2</v>
      </c>
      <c r="E15" s="94">
        <v>-6</v>
      </c>
      <c r="F15" s="94">
        <v>8</v>
      </c>
      <c r="G15" s="94">
        <v>5</v>
      </c>
      <c r="H15" s="94">
        <v>3</v>
      </c>
      <c r="I15" s="94">
        <v>1</v>
      </c>
      <c r="J15" s="94">
        <v>-7</v>
      </c>
      <c r="K15" s="94">
        <v>-9</v>
      </c>
      <c r="L15" s="94">
        <v>7</v>
      </c>
      <c r="M15" s="94">
        <v>-8</v>
      </c>
      <c r="N15" s="94">
        <v>-5</v>
      </c>
      <c r="O15" s="94">
        <v>9</v>
      </c>
      <c r="P15" s="94">
        <v>2</v>
      </c>
      <c r="Q15" s="94">
        <v>4</v>
      </c>
      <c r="R15" s="94">
        <v>-3</v>
      </c>
      <c r="S15" s="94">
        <v>6</v>
      </c>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1">
        <f t="shared" ca="1" si="3"/>
        <v>91</v>
      </c>
      <c r="BB15" s="88" t="str">
        <f t="shared" ca="1" si="4"/>
        <v>A72:A1200</v>
      </c>
      <c r="BC15" s="89" t="str">
        <f t="shared" ca="1" si="5"/>
        <v>B91</v>
      </c>
      <c r="BD15" s="89">
        <f ca="1">IF(BC15=0,0,RANK(BF15,$BF$11:$BF$70,0)+(COUNTIF($BF15:$BF$70,BF15)-1))</f>
        <v>19</v>
      </c>
      <c r="BE15" s="89" t="str">
        <f t="shared" ca="1" si="6"/>
        <v>190901</v>
      </c>
      <c r="BF15" s="89">
        <f t="shared" ca="1" si="7"/>
        <v>19090119</v>
      </c>
      <c r="BG15" s="89">
        <f t="shared" ca="1" si="8"/>
        <v>19</v>
      </c>
      <c r="BH15" s="89">
        <f t="shared" ca="1" si="9"/>
        <v>1</v>
      </c>
      <c r="BI15" s="89" t="str">
        <f t="shared" ca="1" si="10"/>
        <v>B111</v>
      </c>
      <c r="BJ15" s="89">
        <f t="shared" ca="1" si="11"/>
        <v>18</v>
      </c>
      <c r="BK15" s="89">
        <f t="shared" ca="1" si="12"/>
        <v>19</v>
      </c>
      <c r="BL15" s="89">
        <f t="shared" ca="1" si="13"/>
        <v>171</v>
      </c>
      <c r="BM15" s="89">
        <f t="shared" ca="1" si="14"/>
        <v>21</v>
      </c>
      <c r="BN15" s="89" t="str">
        <f t="shared" ca="1" si="15"/>
        <v>S9!B92:U110</v>
      </c>
      <c r="BO15" s="89" t="str">
        <f t="shared" ca="1" si="16"/>
        <v>s</v>
      </c>
      <c r="BP15" s="89" t="str">
        <f t="shared" ca="1" si="17"/>
        <v>b</v>
      </c>
      <c r="BQ15" s="89" t="str">
        <f t="shared" ca="1" si="18"/>
        <v/>
      </c>
      <c r="BR15" s="87" t="str">
        <f t="shared" ca="1" si="19"/>
        <v/>
      </c>
      <c r="BS15" s="89" t="str">
        <f t="shared" ca="1" si="20"/>
        <v/>
      </c>
      <c r="BT15" s="89" t="str">
        <f t="shared" ca="1" si="21"/>
        <v/>
      </c>
      <c r="BU15" s="89" t="str">
        <f t="shared" ca="1" si="22"/>
        <v/>
      </c>
      <c r="BV15" s="87" t="str">
        <f t="shared" ca="1" si="23"/>
        <v/>
      </c>
      <c r="BW15" s="87" t="str">
        <f t="shared" ca="1" si="24"/>
        <v>19090119</v>
      </c>
      <c r="BX15" s="89">
        <f t="shared" ca="1" si="25"/>
        <v>0</v>
      </c>
    </row>
    <row r="16" spans="1:76">
      <c r="A16" s="90" t="str">
        <f t="shared" si="2"/>
        <v/>
      </c>
      <c r="B16" s="98">
        <v>5</v>
      </c>
      <c r="C16" s="94">
        <v>-7</v>
      </c>
      <c r="D16" s="94">
        <v>-9</v>
      </c>
      <c r="E16" s="94">
        <v>4</v>
      </c>
      <c r="F16" s="94">
        <v>2</v>
      </c>
      <c r="G16" s="94">
        <v>-6</v>
      </c>
      <c r="H16" s="94">
        <v>-8</v>
      </c>
      <c r="I16" s="94">
        <v>-5</v>
      </c>
      <c r="J16" s="94">
        <v>3</v>
      </c>
      <c r="K16" s="94">
        <v>-1</v>
      </c>
      <c r="L16" s="94">
        <v>-3</v>
      </c>
      <c r="M16" s="94">
        <v>6</v>
      </c>
      <c r="N16" s="94">
        <v>7</v>
      </c>
      <c r="O16" s="94">
        <v>8</v>
      </c>
      <c r="P16" s="94">
        <v>-2</v>
      </c>
      <c r="Q16" s="94">
        <v>5</v>
      </c>
      <c r="R16" s="94">
        <v>1</v>
      </c>
      <c r="S16" s="94">
        <v>-4</v>
      </c>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c r="BA16" s="91">
        <f t="shared" ca="1" si="3"/>
        <v>112</v>
      </c>
      <c r="BB16" s="88" t="str">
        <f t="shared" ca="1" si="4"/>
        <v>A92:A1200</v>
      </c>
      <c r="BC16" s="89" t="str">
        <f t="shared" ca="1" si="5"/>
        <v>B112</v>
      </c>
      <c r="BD16" s="89">
        <f ca="1">IF(BC16=0,0,RANK(BF16,$BF$11:$BF$70,0)+(COUNTIF($BF16:$BF$70,BF16)-1))</f>
        <v>18</v>
      </c>
      <c r="BE16" s="89" t="str">
        <f t="shared" ca="1" si="6"/>
        <v>190902</v>
      </c>
      <c r="BF16" s="89">
        <f t="shared" ca="1" si="7"/>
        <v>19090209</v>
      </c>
      <c r="BG16" s="89">
        <f t="shared" ca="1" si="8"/>
        <v>19</v>
      </c>
      <c r="BH16" s="89">
        <f t="shared" ca="1" si="9"/>
        <v>2</v>
      </c>
      <c r="BI16" s="89" t="str">
        <f t="shared" ca="1" si="10"/>
        <v>B132</v>
      </c>
      <c r="BJ16" s="89">
        <f t="shared" ca="1" si="11"/>
        <v>9</v>
      </c>
      <c r="BK16" s="89">
        <f t="shared" ca="1" si="12"/>
        <v>9</v>
      </c>
      <c r="BL16" s="89">
        <f t="shared" ca="1" si="13"/>
        <v>81</v>
      </c>
      <c r="BM16" s="89">
        <f t="shared" ca="1" si="14"/>
        <v>11</v>
      </c>
      <c r="BN16" s="89" t="str">
        <f t="shared" ca="1" si="15"/>
        <v>S9!B113:K131</v>
      </c>
      <c r="BO16" s="89" t="str">
        <f t="shared" ca="1" si="16"/>
        <v>s</v>
      </c>
      <c r="BP16" s="89" t="str">
        <f t="shared" ca="1" si="17"/>
        <v>w</v>
      </c>
      <c r="BQ16" s="89" t="str">
        <f t="shared" ca="1" si="18"/>
        <v>w</v>
      </c>
      <c r="BR16" s="87" t="str">
        <f t="shared" ca="1" si="19"/>
        <v/>
      </c>
      <c r="BS16" s="89" t="str">
        <f t="shared" ca="1" si="20"/>
        <v/>
      </c>
      <c r="BT16" s="89" t="str">
        <f t="shared" ca="1" si="21"/>
        <v/>
      </c>
      <c r="BU16" s="89" t="str">
        <f t="shared" ca="1" si="22"/>
        <v/>
      </c>
      <c r="BV16" s="87" t="str">
        <f t="shared" ca="1" si="23"/>
        <v/>
      </c>
      <c r="BW16" s="87" t="str">
        <f t="shared" ca="1" si="24"/>
        <v>19090209</v>
      </c>
      <c r="BX16" s="89">
        <f t="shared" ca="1" si="25"/>
        <v>0</v>
      </c>
    </row>
    <row r="17" spans="1:76">
      <c r="A17" s="90" t="str">
        <f t="shared" si="2"/>
        <v/>
      </c>
      <c r="B17" s="98">
        <v>6</v>
      </c>
      <c r="C17" s="94">
        <v>-9</v>
      </c>
      <c r="D17" s="94">
        <v>-4</v>
      </c>
      <c r="E17" s="94">
        <v>-2</v>
      </c>
      <c r="F17" s="94">
        <v>6</v>
      </c>
      <c r="G17" s="94">
        <v>8</v>
      </c>
      <c r="H17" s="94">
        <v>-5</v>
      </c>
      <c r="I17" s="94">
        <v>-3</v>
      </c>
      <c r="J17" s="94">
        <v>1</v>
      </c>
      <c r="K17" s="94">
        <v>-8</v>
      </c>
      <c r="L17" s="94">
        <v>-7</v>
      </c>
      <c r="M17" s="94">
        <v>3</v>
      </c>
      <c r="N17" s="94">
        <v>9</v>
      </c>
      <c r="O17" s="94">
        <v>2</v>
      </c>
      <c r="P17" s="94">
        <v>-1</v>
      </c>
      <c r="Q17" s="94">
        <v>-6</v>
      </c>
      <c r="R17" s="94">
        <v>5</v>
      </c>
      <c r="S17" s="94">
        <v>4</v>
      </c>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1">
        <f t="shared" ca="1" si="3"/>
        <v>133</v>
      </c>
      <c r="BB17" s="88" t="str">
        <f t="shared" ca="1" si="4"/>
        <v>A113:A1200</v>
      </c>
      <c r="BC17" s="89" t="str">
        <f t="shared" ca="1" si="5"/>
        <v>B133</v>
      </c>
      <c r="BD17" s="89">
        <f ca="1">IF(BC17=0,0,RANK(BF17,$BF$11:$BF$70,0)+(COUNTIF($BF17:$BF$70,BF17)-1))</f>
        <v>17</v>
      </c>
      <c r="BE17" s="89" t="str">
        <f t="shared" ca="1" si="6"/>
        <v>190903</v>
      </c>
      <c r="BF17" s="89">
        <f t="shared" ca="1" si="7"/>
        <v>19090307</v>
      </c>
      <c r="BG17" s="89">
        <f t="shared" ca="1" si="8"/>
        <v>19</v>
      </c>
      <c r="BH17" s="89">
        <f t="shared" ca="1" si="9"/>
        <v>3</v>
      </c>
      <c r="BI17" s="89" t="str">
        <f t="shared" ca="1" si="10"/>
        <v>B153</v>
      </c>
      <c r="BJ17" s="89">
        <f t="shared" ca="1" si="11"/>
        <v>6</v>
      </c>
      <c r="BK17" s="89">
        <f t="shared" ca="1" si="12"/>
        <v>7</v>
      </c>
      <c r="BL17" s="89">
        <f t="shared" ca="1" si="13"/>
        <v>57</v>
      </c>
      <c r="BM17" s="89">
        <f t="shared" ca="1" si="14"/>
        <v>9</v>
      </c>
      <c r="BN17" s="89" t="str">
        <f t="shared" ca="1" si="15"/>
        <v>S9!B134:I152</v>
      </c>
      <c r="BO17" s="89" t="str">
        <f t="shared" ca="1" si="16"/>
        <v>s</v>
      </c>
      <c r="BP17" s="89" t="str">
        <f t="shared" ca="1" si="17"/>
        <v>b</v>
      </c>
      <c r="BQ17" s="89" t="str">
        <f t="shared" ca="1" si="18"/>
        <v/>
      </c>
      <c r="BR17" s="87" t="str">
        <f t="shared" ca="1" si="19"/>
        <v/>
      </c>
      <c r="BS17" s="89" t="str">
        <f t="shared" ca="1" si="20"/>
        <v>a</v>
      </c>
      <c r="BT17" s="89" t="str">
        <f t="shared" ca="1" si="21"/>
        <v/>
      </c>
      <c r="BU17" s="89" t="str">
        <f t="shared" ca="1" si="22"/>
        <v/>
      </c>
      <c r="BV17" s="87" t="str">
        <f t="shared" ca="1" si="23"/>
        <v/>
      </c>
      <c r="BW17" s="87" t="str">
        <f t="shared" ca="1" si="24"/>
        <v>19090307</v>
      </c>
      <c r="BX17" s="89">
        <f t="shared" ca="1" si="25"/>
        <v>0</v>
      </c>
    </row>
    <row r="18" spans="1:76">
      <c r="A18" s="90" t="str">
        <f t="shared" si="2"/>
        <v/>
      </c>
      <c r="B18" s="98">
        <v>7</v>
      </c>
      <c r="C18" s="94">
        <v>5</v>
      </c>
      <c r="D18" s="94">
        <v>-3</v>
      </c>
      <c r="E18" s="94">
        <v>1</v>
      </c>
      <c r="F18" s="94">
        <v>7</v>
      </c>
      <c r="G18" s="94">
        <v>-9</v>
      </c>
      <c r="H18" s="94">
        <v>-4</v>
      </c>
      <c r="I18" s="94">
        <v>2</v>
      </c>
      <c r="J18" s="94">
        <v>-6</v>
      </c>
      <c r="K18" s="94">
        <v>9</v>
      </c>
      <c r="L18" s="94">
        <v>4</v>
      </c>
      <c r="M18" s="94">
        <v>-1</v>
      </c>
      <c r="N18" s="94">
        <v>6</v>
      </c>
      <c r="O18" s="94">
        <v>-2</v>
      </c>
      <c r="P18" s="94">
        <v>3</v>
      </c>
      <c r="Q18" s="94">
        <v>-5</v>
      </c>
      <c r="R18" s="94">
        <v>8</v>
      </c>
      <c r="S18" s="94">
        <v>-7</v>
      </c>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1">
        <f t="shared" ca="1" si="3"/>
        <v>154</v>
      </c>
      <c r="BB18" s="88" t="str">
        <f t="shared" ca="1" si="4"/>
        <v>A134:A1200</v>
      </c>
      <c r="BC18" s="89" t="str">
        <f t="shared" ca="1" si="5"/>
        <v>B154</v>
      </c>
      <c r="BD18" s="89">
        <f ca="1">IF(BC18=0,0,RANK(BF18,$BF$11:$BF$70,0)+(COUNTIF($BF18:$BF$70,BF18)-1))</f>
        <v>16</v>
      </c>
      <c r="BE18" s="89" t="str">
        <f t="shared" ca="1" si="6"/>
        <v>200903</v>
      </c>
      <c r="BF18" s="89">
        <f t="shared" ca="1" si="7"/>
        <v>20090307</v>
      </c>
      <c r="BG18" s="89">
        <f t="shared" ca="1" si="8"/>
        <v>20</v>
      </c>
      <c r="BH18" s="89">
        <f t="shared" ca="1" si="9"/>
        <v>3</v>
      </c>
      <c r="BI18" s="89" t="str">
        <f t="shared" ca="1" si="10"/>
        <v>B175</v>
      </c>
      <c r="BJ18" s="89">
        <f t="shared" ca="1" si="11"/>
        <v>6</v>
      </c>
      <c r="BK18" s="89">
        <f t="shared" ca="1" si="12"/>
        <v>7</v>
      </c>
      <c r="BL18" s="89">
        <f t="shared" ca="1" si="13"/>
        <v>60</v>
      </c>
      <c r="BM18" s="89">
        <f t="shared" ca="1" si="14"/>
        <v>9</v>
      </c>
      <c r="BN18" s="89" t="str">
        <f t="shared" ca="1" si="15"/>
        <v>S9!B155:I174</v>
      </c>
      <c r="BO18" s="89" t="str">
        <f t="shared" ca="1" si="16"/>
        <v>s</v>
      </c>
      <c r="BP18" s="89" t="str">
        <f t="shared" ca="1" si="17"/>
        <v>b</v>
      </c>
      <c r="BQ18" s="89" t="str">
        <f t="shared" ca="1" si="18"/>
        <v/>
      </c>
      <c r="BR18" s="87" t="str">
        <f t="shared" ca="1" si="19"/>
        <v/>
      </c>
      <c r="BS18" s="89" t="str">
        <f t="shared" ca="1" si="20"/>
        <v>a</v>
      </c>
      <c r="BT18" s="89" t="str">
        <f t="shared" ca="1" si="21"/>
        <v/>
      </c>
      <c r="BU18" s="89" t="str">
        <f t="shared" ca="1" si="22"/>
        <v/>
      </c>
      <c r="BV18" s="87" t="str">
        <f t="shared" ca="1" si="23"/>
        <v/>
      </c>
      <c r="BW18" s="87" t="str">
        <f t="shared" ca="1" si="24"/>
        <v>20090307</v>
      </c>
      <c r="BX18" s="89">
        <f t="shared" ca="1" si="25"/>
        <v>0</v>
      </c>
    </row>
    <row r="19" spans="1:76">
      <c r="A19" s="90" t="str">
        <f t="shared" si="2"/>
        <v/>
      </c>
      <c r="B19" s="98">
        <v>8</v>
      </c>
      <c r="C19" s="94">
        <v>-6</v>
      </c>
      <c r="D19" s="94">
        <v>8</v>
      </c>
      <c r="E19" s="94">
        <v>-5</v>
      </c>
      <c r="F19" s="94">
        <v>3</v>
      </c>
      <c r="G19" s="94">
        <v>1</v>
      </c>
      <c r="H19" s="94">
        <v>-7</v>
      </c>
      <c r="I19" s="94">
        <v>-9</v>
      </c>
      <c r="J19" s="94">
        <v>4</v>
      </c>
      <c r="K19" s="94">
        <v>2</v>
      </c>
      <c r="L19" s="94">
        <v>5</v>
      </c>
      <c r="M19" s="94">
        <v>-3</v>
      </c>
      <c r="N19" s="94">
        <v>-8</v>
      </c>
      <c r="O19" s="94">
        <v>6</v>
      </c>
      <c r="P19" s="94">
        <v>9</v>
      </c>
      <c r="Q19" s="94">
        <v>-4</v>
      </c>
      <c r="R19" s="94">
        <v>-1</v>
      </c>
      <c r="S19" s="94">
        <v>7</v>
      </c>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1">
        <f t="shared" ca="1" si="3"/>
        <v>176</v>
      </c>
      <c r="BB19" s="88" t="str">
        <f t="shared" ca="1" si="4"/>
        <v>A155:A1200</v>
      </c>
      <c r="BC19" s="89" t="str">
        <f t="shared" ca="1" si="5"/>
        <v>B176</v>
      </c>
      <c r="BD19" s="89">
        <f ca="1">IF(BC19=0,0,RANK(BF19,$BF$11:$BF$70,0)+(COUNTIF($BF19:$BF$70,BF19)-1))</f>
        <v>15</v>
      </c>
      <c r="BE19" s="89" t="str">
        <f t="shared" ca="1" si="6"/>
        <v>210903</v>
      </c>
      <c r="BF19" s="89">
        <f t="shared" ca="1" si="7"/>
        <v>21090307</v>
      </c>
      <c r="BG19" s="89">
        <f t="shared" ca="1" si="8"/>
        <v>21</v>
      </c>
      <c r="BH19" s="89">
        <f t="shared" ca="1" si="9"/>
        <v>3</v>
      </c>
      <c r="BI19" s="89" t="str">
        <f t="shared" ca="1" si="10"/>
        <v>B198</v>
      </c>
      <c r="BJ19" s="89">
        <f t="shared" ca="1" si="11"/>
        <v>6</v>
      </c>
      <c r="BK19" s="89">
        <f t="shared" ca="1" si="12"/>
        <v>7</v>
      </c>
      <c r="BL19" s="89">
        <f t="shared" ca="1" si="13"/>
        <v>63</v>
      </c>
      <c r="BM19" s="89">
        <f t="shared" ca="1" si="14"/>
        <v>9</v>
      </c>
      <c r="BN19" s="89" t="str">
        <f t="shared" ca="1" si="15"/>
        <v>S9!B177:I197</v>
      </c>
      <c r="BO19" s="89" t="str">
        <f t="shared" ca="1" si="16"/>
        <v>s</v>
      </c>
      <c r="BP19" s="89" t="str">
        <f t="shared" ca="1" si="17"/>
        <v>b</v>
      </c>
      <c r="BQ19" s="89" t="str">
        <f t="shared" ca="1" si="18"/>
        <v/>
      </c>
      <c r="BR19" s="87" t="str">
        <f t="shared" ca="1" si="19"/>
        <v/>
      </c>
      <c r="BS19" s="89" t="str">
        <f t="shared" ca="1" si="20"/>
        <v/>
      </c>
      <c r="BT19" s="89" t="str">
        <f t="shared" ca="1" si="21"/>
        <v/>
      </c>
      <c r="BU19" s="89" t="str">
        <f t="shared" ca="1" si="22"/>
        <v/>
      </c>
      <c r="BV19" s="87" t="str">
        <f t="shared" ca="1" si="23"/>
        <v/>
      </c>
      <c r="BW19" s="87" t="str">
        <f t="shared" ca="1" si="24"/>
        <v>21090307</v>
      </c>
      <c r="BX19" s="89">
        <f t="shared" ca="1" si="25"/>
        <v>0</v>
      </c>
    </row>
    <row r="20" spans="1:76">
      <c r="A20" s="90" t="str">
        <f t="shared" si="2"/>
        <v/>
      </c>
      <c r="B20" s="98">
        <v>9</v>
      </c>
      <c r="C20" s="94">
        <v>2</v>
      </c>
      <c r="D20" s="94">
        <v>6</v>
      </c>
      <c r="E20" s="94">
        <v>-8</v>
      </c>
      <c r="F20" s="94">
        <v>-5</v>
      </c>
      <c r="G20" s="94">
        <v>-3</v>
      </c>
      <c r="H20" s="94">
        <v>1</v>
      </c>
      <c r="I20" s="94">
        <v>7</v>
      </c>
      <c r="J20" s="94">
        <v>9</v>
      </c>
      <c r="K20" s="94">
        <v>8</v>
      </c>
      <c r="L20" s="94">
        <v>-4</v>
      </c>
      <c r="M20" s="94">
        <v>-6</v>
      </c>
      <c r="N20" s="94">
        <v>5</v>
      </c>
      <c r="O20" s="94">
        <v>3</v>
      </c>
      <c r="P20" s="94">
        <v>-9</v>
      </c>
      <c r="Q20" s="94">
        <v>-7</v>
      </c>
      <c r="R20" s="94">
        <v>-2</v>
      </c>
      <c r="S20" s="94">
        <v>-1</v>
      </c>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1">
        <f t="shared" ca="1" si="3"/>
        <v>199</v>
      </c>
      <c r="BB20" s="88" t="str">
        <f t="shared" ca="1" si="4"/>
        <v>A177:A1200</v>
      </c>
      <c r="BC20" s="89" t="str">
        <f t="shared" ca="1" si="5"/>
        <v>B199</v>
      </c>
      <c r="BD20" s="89">
        <f ca="1">IF(BC20=0,0,RANK(BF20,$BF$11:$BF$70,0)+(COUNTIF($BF20:$BF$70,BF20)-1))</f>
        <v>14</v>
      </c>
      <c r="BE20" s="89" t="str">
        <f t="shared" ca="1" si="6"/>
        <v>210904</v>
      </c>
      <c r="BF20" s="89">
        <f t="shared" ca="1" si="7"/>
        <v>21090405</v>
      </c>
      <c r="BG20" s="89">
        <f t="shared" ca="1" si="8"/>
        <v>21</v>
      </c>
      <c r="BH20" s="89">
        <f t="shared" ca="1" si="9"/>
        <v>4</v>
      </c>
      <c r="BI20" s="89" t="str">
        <f t="shared" ca="1" si="10"/>
        <v>B221</v>
      </c>
      <c r="BJ20" s="89">
        <f t="shared" ca="1" si="11"/>
        <v>5</v>
      </c>
      <c r="BK20" s="89">
        <f t="shared" ca="1" si="12"/>
        <v>5</v>
      </c>
      <c r="BL20" s="89">
        <f t="shared" ca="1" si="13"/>
        <v>45</v>
      </c>
      <c r="BM20" s="89">
        <f t="shared" ca="1" si="14"/>
        <v>7</v>
      </c>
      <c r="BN20" s="89" t="str">
        <f t="shared" ca="1" si="15"/>
        <v>S9!B200:G220</v>
      </c>
      <c r="BO20" s="89" t="str">
        <f t="shared" ca="1" si="16"/>
        <v>s</v>
      </c>
      <c r="BP20" s="89" t="str">
        <f t="shared" ca="1" si="17"/>
        <v>w</v>
      </c>
      <c r="BQ20" s="89" t="str">
        <f t="shared" ca="1" si="18"/>
        <v>w</v>
      </c>
      <c r="BR20" s="87" t="str">
        <f t="shared" ca="1" si="19"/>
        <v/>
      </c>
      <c r="BS20" s="89" t="str">
        <f t="shared" ca="1" si="20"/>
        <v/>
      </c>
      <c r="BT20" s="89" t="str">
        <f t="shared" ca="1" si="21"/>
        <v/>
      </c>
      <c r="BU20" s="89" t="str">
        <f t="shared" ca="1" si="22"/>
        <v/>
      </c>
      <c r="BV20" s="87" t="str">
        <f t="shared" ca="1" si="23"/>
        <v/>
      </c>
      <c r="BW20" s="87" t="str">
        <f t="shared" ca="1" si="24"/>
        <v>21090405</v>
      </c>
      <c r="BX20" s="89">
        <f t="shared" ca="1" si="25"/>
        <v>0</v>
      </c>
    </row>
    <row r="21" spans="1:76">
      <c r="A21" s="90" t="str">
        <f t="shared" si="2"/>
        <v/>
      </c>
      <c r="B21" s="98">
        <v>10</v>
      </c>
      <c r="C21" s="94">
        <v>-5</v>
      </c>
      <c r="D21" s="94">
        <v>-8</v>
      </c>
      <c r="E21" s="94">
        <v>6</v>
      </c>
      <c r="F21" s="94">
        <v>-2</v>
      </c>
      <c r="G21" s="94">
        <v>4</v>
      </c>
      <c r="H21" s="94">
        <v>-9</v>
      </c>
      <c r="I21" s="94">
        <v>-7</v>
      </c>
      <c r="J21" s="94">
        <v>-1</v>
      </c>
      <c r="K21" s="94">
        <v>5</v>
      </c>
      <c r="L21" s="94">
        <v>9</v>
      </c>
      <c r="M21" s="94">
        <v>2</v>
      </c>
      <c r="N21" s="94">
        <v>-4</v>
      </c>
      <c r="O21" s="94">
        <v>1</v>
      </c>
      <c r="P21" s="94">
        <v>-6</v>
      </c>
      <c r="Q21" s="94">
        <v>8</v>
      </c>
      <c r="R21" s="94">
        <v>7</v>
      </c>
      <c r="S21" s="94">
        <v>-3</v>
      </c>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1">
        <f t="shared" ca="1" si="3"/>
        <v>222</v>
      </c>
      <c r="BB21" s="88" t="str">
        <f t="shared" ca="1" si="4"/>
        <v>A200:A1200</v>
      </c>
      <c r="BC21" s="89" t="str">
        <f t="shared" ca="1" si="5"/>
        <v>B222</v>
      </c>
      <c r="BD21" s="89">
        <f ca="1">IF(BC21=0,0,RANK(BF21,$BF$11:$BF$70,0)+(COUNTIF($BF21:$BF$70,BF21)-1))</f>
        <v>12</v>
      </c>
      <c r="BE21" s="89" t="str">
        <f t="shared" ca="1" si="6"/>
        <v>340902</v>
      </c>
      <c r="BF21" s="89">
        <f t="shared" ca="1" si="7"/>
        <v>34090234</v>
      </c>
      <c r="BG21" s="89">
        <f t="shared" ca="1" si="8"/>
        <v>34</v>
      </c>
      <c r="BH21" s="89">
        <f t="shared" ca="1" si="9"/>
        <v>2</v>
      </c>
      <c r="BI21" s="89" t="str">
        <f t="shared" ca="1" si="10"/>
        <v>B257</v>
      </c>
      <c r="BJ21" s="89">
        <f t="shared" ca="1" si="11"/>
        <v>17</v>
      </c>
      <c r="BK21" s="89">
        <f t="shared" ca="1" si="12"/>
        <v>34</v>
      </c>
      <c r="BL21" s="89">
        <f t="shared" ca="1" si="13"/>
        <v>289</v>
      </c>
      <c r="BM21" s="89">
        <f t="shared" ca="1" si="14"/>
        <v>36</v>
      </c>
      <c r="BN21" s="89" t="str">
        <f t="shared" ca="1" si="15"/>
        <v>S9!B223:AJ256</v>
      </c>
      <c r="BO21" s="89" t="str">
        <f t="shared" ca="1" si="16"/>
        <v>e</v>
      </c>
      <c r="BP21" s="89" t="str">
        <f t="shared" ca="1" si="17"/>
        <v/>
      </c>
      <c r="BQ21" s="89" t="str">
        <f t="shared" ca="1" si="18"/>
        <v/>
      </c>
      <c r="BR21" s="87" t="str">
        <f t="shared" ca="1" si="19"/>
        <v>x</v>
      </c>
      <c r="BS21" s="89" t="str">
        <f t="shared" ca="1" si="20"/>
        <v/>
      </c>
      <c r="BT21" s="89" t="str">
        <f t="shared" ca="1" si="21"/>
        <v/>
      </c>
      <c r="BU21" s="89" t="str">
        <f t="shared" ca="1" si="22"/>
        <v/>
      </c>
      <c r="BV21" s="87" t="str">
        <f t="shared" ca="1" si="23"/>
        <v/>
      </c>
      <c r="BW21" s="87" t="str">
        <f t="shared" ca="1" si="24"/>
        <v>34090234</v>
      </c>
      <c r="BX21" s="89">
        <f t="shared" ca="1" si="25"/>
        <v>0</v>
      </c>
    </row>
    <row r="22" spans="1:76">
      <c r="A22" s="90" t="str">
        <f t="shared" si="2"/>
        <v/>
      </c>
      <c r="B22" s="98">
        <v>11</v>
      </c>
      <c r="C22" s="94">
        <v>-8</v>
      </c>
      <c r="D22" s="94">
        <v>-6</v>
      </c>
      <c r="E22" s="94">
        <v>2</v>
      </c>
      <c r="F22" s="94">
        <v>4</v>
      </c>
      <c r="G22" s="94">
        <v>9</v>
      </c>
      <c r="H22" s="94">
        <v>7</v>
      </c>
      <c r="I22" s="94">
        <v>-1</v>
      </c>
      <c r="J22" s="94">
        <v>-3</v>
      </c>
      <c r="K22" s="94">
        <v>-4</v>
      </c>
      <c r="L22" s="94">
        <v>1</v>
      </c>
      <c r="M22" s="94">
        <v>-7</v>
      </c>
      <c r="N22" s="94">
        <v>-2</v>
      </c>
      <c r="O22" s="94">
        <v>5</v>
      </c>
      <c r="P22" s="94">
        <v>6</v>
      </c>
      <c r="Q22" s="94">
        <v>3</v>
      </c>
      <c r="R22" s="94">
        <v>-9</v>
      </c>
      <c r="S22" s="94">
        <v>8</v>
      </c>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1">
        <f t="shared" ca="1" si="3"/>
        <v>258</v>
      </c>
      <c r="BB22" s="88" t="str">
        <f t="shared" ca="1" si="4"/>
        <v>A223:A1200</v>
      </c>
      <c r="BC22" s="89" t="str">
        <f t="shared" ca="1" si="5"/>
        <v>B258</v>
      </c>
      <c r="BD22" s="89">
        <f ca="1">IF(BC22=0,0,RANK(BF22,$BF$11:$BF$70,0)+(COUNTIF($BF22:$BF$70,BF22)-1))</f>
        <v>11</v>
      </c>
      <c r="BE22" s="89" t="str">
        <f t="shared" ca="1" si="6"/>
        <v>340904</v>
      </c>
      <c r="BF22" s="89">
        <f t="shared" ca="1" si="7"/>
        <v>34090418</v>
      </c>
      <c r="BG22" s="89">
        <f t="shared" ca="1" si="8"/>
        <v>34</v>
      </c>
      <c r="BH22" s="89">
        <f t="shared" ca="1" si="9"/>
        <v>4</v>
      </c>
      <c r="BI22" s="89" t="str">
        <f t="shared" ca="1" si="10"/>
        <v>B293</v>
      </c>
      <c r="BJ22" s="89">
        <f t="shared" ca="1" si="11"/>
        <v>9</v>
      </c>
      <c r="BK22" s="89">
        <f t="shared" ca="1" si="12"/>
        <v>18</v>
      </c>
      <c r="BL22" s="89">
        <f t="shared" ca="1" si="13"/>
        <v>153</v>
      </c>
      <c r="BM22" s="89">
        <f t="shared" ca="1" si="14"/>
        <v>20</v>
      </c>
      <c r="BN22" s="89" t="str">
        <f t="shared" ca="1" si="15"/>
        <v>S9!B259:T292</v>
      </c>
      <c r="BO22" s="89" t="str">
        <f t="shared" ca="1" si="16"/>
        <v>e</v>
      </c>
      <c r="BP22" s="89" t="str">
        <f t="shared" ca="1" si="17"/>
        <v/>
      </c>
      <c r="BQ22" s="89" t="str">
        <f t="shared" ca="1" si="18"/>
        <v/>
      </c>
      <c r="BR22" s="87" t="str">
        <f t="shared" ca="1" si="19"/>
        <v>x</v>
      </c>
      <c r="BS22" s="89" t="str">
        <f t="shared" ca="1" si="20"/>
        <v>a</v>
      </c>
      <c r="BT22" s="89" t="str">
        <f t="shared" ca="1" si="21"/>
        <v/>
      </c>
      <c r="BU22" s="89" t="str">
        <f t="shared" ca="1" si="22"/>
        <v/>
      </c>
      <c r="BV22" s="87" t="str">
        <f t="shared" ca="1" si="23"/>
        <v/>
      </c>
      <c r="BW22" s="87" t="str">
        <f t="shared" ca="1" si="24"/>
        <v>34090418</v>
      </c>
      <c r="BX22" s="89">
        <f t="shared" ca="1" si="25"/>
        <v>0</v>
      </c>
    </row>
    <row r="23" spans="1:76">
      <c r="A23" s="90" t="str">
        <f t="shared" si="2"/>
        <v/>
      </c>
      <c r="B23" s="98">
        <v>12</v>
      </c>
      <c r="C23" s="94">
        <v>-2</v>
      </c>
      <c r="D23" s="94">
        <v>4</v>
      </c>
      <c r="E23" s="94">
        <v>-9</v>
      </c>
      <c r="F23" s="94">
        <v>-7</v>
      </c>
      <c r="G23" s="94">
        <v>-1</v>
      </c>
      <c r="H23" s="94">
        <v>-3</v>
      </c>
      <c r="I23" s="94">
        <v>5</v>
      </c>
      <c r="J23" s="94">
        <v>8</v>
      </c>
      <c r="K23" s="94">
        <v>7</v>
      </c>
      <c r="L23" s="94">
        <v>6</v>
      </c>
      <c r="M23" s="94">
        <v>-5</v>
      </c>
      <c r="N23" s="94">
        <v>1</v>
      </c>
      <c r="O23" s="94">
        <v>-4</v>
      </c>
      <c r="P23" s="94">
        <v>-8</v>
      </c>
      <c r="Q23" s="94">
        <v>2</v>
      </c>
      <c r="R23" s="94">
        <v>9</v>
      </c>
      <c r="S23" s="94">
        <v>3</v>
      </c>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1">
        <f t="shared" ca="1" si="3"/>
        <v>294</v>
      </c>
      <c r="BB23" s="88" t="str">
        <f t="shared" ca="1" si="4"/>
        <v>A259:A1200</v>
      </c>
      <c r="BC23" s="89" t="str">
        <f t="shared" ca="1" si="5"/>
        <v>B294</v>
      </c>
      <c r="BD23" s="89">
        <f ca="1">IF(BC23=0,0,RANK(BF23,$BF$11:$BF$70,0)+(COUNTIF($BF23:$BF$70,BF23)-1))</f>
        <v>8</v>
      </c>
      <c r="BE23" s="89" t="str">
        <f t="shared" ca="1" si="6"/>
        <v>350902</v>
      </c>
      <c r="BF23" s="89">
        <f t="shared" ca="1" si="7"/>
        <v>35090234</v>
      </c>
      <c r="BG23" s="89">
        <f t="shared" ca="1" si="8"/>
        <v>35</v>
      </c>
      <c r="BH23" s="89">
        <f t="shared" ca="1" si="9"/>
        <v>2</v>
      </c>
      <c r="BI23" s="89" t="str">
        <f t="shared" ca="1" si="10"/>
        <v>B330</v>
      </c>
      <c r="BJ23" s="89">
        <f t="shared" ca="1" si="11"/>
        <v>17</v>
      </c>
      <c r="BK23" s="89">
        <f t="shared" ca="1" si="12"/>
        <v>34</v>
      </c>
      <c r="BL23" s="89">
        <f t="shared" ca="1" si="13"/>
        <v>289</v>
      </c>
      <c r="BM23" s="89">
        <f t="shared" ca="1" si="14"/>
        <v>36</v>
      </c>
      <c r="BN23" s="89" t="str">
        <f t="shared" ca="1" si="15"/>
        <v>S9!B295:AJ329</v>
      </c>
      <c r="BO23" s="89" t="str">
        <f t="shared" ca="1" si="16"/>
        <v>e</v>
      </c>
      <c r="BP23" s="89" t="str">
        <f t="shared" ca="1" si="17"/>
        <v>w</v>
      </c>
      <c r="BQ23" s="89" t="str">
        <f t="shared" ca="1" si="18"/>
        <v>w</v>
      </c>
      <c r="BR23" s="87" t="str">
        <f t="shared" ca="1" si="19"/>
        <v/>
      </c>
      <c r="BS23" s="89" t="str">
        <f t="shared" ca="1" si="20"/>
        <v/>
      </c>
      <c r="BT23" s="89" t="str">
        <f t="shared" ca="1" si="21"/>
        <v/>
      </c>
      <c r="BU23" s="89" t="str">
        <f t="shared" ca="1" si="22"/>
        <v/>
      </c>
      <c r="BV23" s="87" t="str">
        <f t="shared" ca="1" si="23"/>
        <v/>
      </c>
      <c r="BW23" s="87" t="str">
        <f t="shared" ca="1" si="24"/>
        <v>35090234</v>
      </c>
      <c r="BX23" s="89">
        <f t="shared" ca="1" si="25"/>
        <v>0</v>
      </c>
    </row>
    <row r="24" spans="1:76">
      <c r="A24" s="90" t="str">
        <f t="shared" si="2"/>
        <v/>
      </c>
      <c r="B24" s="98">
        <v>13</v>
      </c>
      <c r="C24" s="94">
        <v>7</v>
      </c>
      <c r="D24" s="94">
        <v>1</v>
      </c>
      <c r="E24" s="94">
        <v>-3</v>
      </c>
      <c r="F24" s="94">
        <v>5</v>
      </c>
      <c r="G24" s="94">
        <v>-8</v>
      </c>
      <c r="H24" s="94">
        <v>-6</v>
      </c>
      <c r="I24" s="94">
        <v>-2</v>
      </c>
      <c r="J24" s="94">
        <v>-4</v>
      </c>
      <c r="K24" s="94">
        <v>6</v>
      </c>
      <c r="L24" s="94">
        <v>-1</v>
      </c>
      <c r="M24" s="94">
        <v>8</v>
      </c>
      <c r="N24" s="94">
        <v>3</v>
      </c>
      <c r="O24" s="94">
        <v>4</v>
      </c>
      <c r="P24" s="94">
        <v>-5</v>
      </c>
      <c r="Q24" s="94">
        <v>9</v>
      </c>
      <c r="R24" s="94">
        <v>-7</v>
      </c>
      <c r="S24" s="94">
        <v>2</v>
      </c>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1">
        <f t="shared" ca="1" si="3"/>
        <v>331</v>
      </c>
      <c r="BB24" s="88" t="str">
        <f t="shared" ca="1" si="4"/>
        <v>A295:A1200</v>
      </c>
      <c r="BC24" s="89" t="str">
        <f t="shared" ca="1" si="5"/>
        <v>B331</v>
      </c>
      <c r="BD24" s="89">
        <f ca="1">IF(BC24=0,0,RANK(BF24,$BF$11:$BF$70,0)+(COUNTIF($BF24:$BF$70,BF24)-1))</f>
        <v>7</v>
      </c>
      <c r="BE24" s="89" t="str">
        <f t="shared" ca="1" si="6"/>
        <v>360901</v>
      </c>
      <c r="BF24" s="89">
        <f t="shared" ca="1" si="7"/>
        <v>36090136</v>
      </c>
      <c r="BG24" s="89">
        <f t="shared" ca="1" si="8"/>
        <v>36</v>
      </c>
      <c r="BH24" s="89">
        <f t="shared" ca="1" si="9"/>
        <v>1</v>
      </c>
      <c r="BI24" s="89" t="str">
        <f t="shared" ca="1" si="10"/>
        <v>B368</v>
      </c>
      <c r="BJ24" s="89">
        <f t="shared" ca="1" si="11"/>
        <v>35</v>
      </c>
      <c r="BK24" s="89">
        <f t="shared" ca="1" si="12"/>
        <v>36</v>
      </c>
      <c r="BL24" s="89">
        <f t="shared" ca="1" si="13"/>
        <v>630</v>
      </c>
      <c r="BM24" s="89">
        <f t="shared" ca="1" si="14"/>
        <v>38</v>
      </c>
      <c r="BN24" s="89" t="str">
        <f t="shared" ca="1" si="15"/>
        <v>S9!B332:AL367</v>
      </c>
      <c r="BO24" s="89" t="str">
        <f t="shared" ca="1" si="16"/>
        <v>e</v>
      </c>
      <c r="BP24" s="89" t="str">
        <f t="shared" ca="1" si="17"/>
        <v/>
      </c>
      <c r="BQ24" s="89" t="str">
        <f t="shared" ca="1" si="18"/>
        <v/>
      </c>
      <c r="BR24" s="87" t="str">
        <f t="shared" ca="1" si="19"/>
        <v/>
      </c>
      <c r="BS24" s="89" t="str">
        <f t="shared" ca="1" si="20"/>
        <v/>
      </c>
      <c r="BT24" s="89" t="str">
        <f t="shared" ca="1" si="21"/>
        <v/>
      </c>
      <c r="BU24" s="89" t="str">
        <f t="shared" ca="1" si="22"/>
        <v>X</v>
      </c>
      <c r="BV24" s="87" t="str">
        <f t="shared" ca="1" si="23"/>
        <v/>
      </c>
      <c r="BW24" s="87" t="str">
        <f t="shared" ca="1" si="24"/>
        <v>36090136</v>
      </c>
      <c r="BX24" s="89">
        <f t="shared" ca="1" si="25"/>
        <v>0</v>
      </c>
    </row>
    <row r="25" spans="1:76">
      <c r="A25" s="90" t="str">
        <f t="shared" si="2"/>
        <v/>
      </c>
      <c r="B25" s="98">
        <v>14</v>
      </c>
      <c r="C25" s="94">
        <v>3</v>
      </c>
      <c r="D25" s="94">
        <v>-5</v>
      </c>
      <c r="E25" s="94">
        <v>8</v>
      </c>
      <c r="F25" s="94">
        <v>-6</v>
      </c>
      <c r="G25" s="94">
        <v>-2</v>
      </c>
      <c r="H25" s="94">
        <v>4</v>
      </c>
      <c r="I25" s="94">
        <v>9</v>
      </c>
      <c r="J25" s="94">
        <v>7</v>
      </c>
      <c r="K25" s="94">
        <v>-3</v>
      </c>
      <c r="L25" s="94">
        <v>2</v>
      </c>
      <c r="M25" s="94">
        <v>5</v>
      </c>
      <c r="N25" s="94">
        <v>-7</v>
      </c>
      <c r="O25" s="94">
        <v>-1</v>
      </c>
      <c r="P25" s="94">
        <v>-4</v>
      </c>
      <c r="Q25" s="94">
        <v>-9</v>
      </c>
      <c r="R25" s="94">
        <v>6</v>
      </c>
      <c r="S25" s="94">
        <v>-8</v>
      </c>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1">
        <f t="shared" ca="1" si="3"/>
        <v>369</v>
      </c>
      <c r="BB25" s="88" t="str">
        <f t="shared" ca="1" si="4"/>
        <v>A332:A1200</v>
      </c>
      <c r="BC25" s="89" t="str">
        <f t="shared" ca="1" si="5"/>
        <v>B369</v>
      </c>
      <c r="BD25" s="89">
        <f ca="1">IF(BC25=0,0,RANK(BF25,$BF$11:$BF$70,0)+(COUNTIF($BF25:$BF$70,BF25)-1))</f>
        <v>6</v>
      </c>
      <c r="BE25" s="89" t="str">
        <f t="shared" ca="1" si="6"/>
        <v>360902</v>
      </c>
      <c r="BF25" s="89">
        <f t="shared" ca="1" si="7"/>
        <v>36090234</v>
      </c>
      <c r="BG25" s="89">
        <f t="shared" ca="1" si="8"/>
        <v>36</v>
      </c>
      <c r="BH25" s="89">
        <f t="shared" ca="1" si="9"/>
        <v>2</v>
      </c>
      <c r="BI25" s="89" t="str">
        <f t="shared" ca="1" si="10"/>
        <v>B406</v>
      </c>
      <c r="BJ25" s="89">
        <f t="shared" ca="1" si="11"/>
        <v>17</v>
      </c>
      <c r="BK25" s="89">
        <f t="shared" ca="1" si="12"/>
        <v>34</v>
      </c>
      <c r="BL25" s="89">
        <f t="shared" ca="1" si="13"/>
        <v>306</v>
      </c>
      <c r="BM25" s="89">
        <f t="shared" ca="1" si="14"/>
        <v>36</v>
      </c>
      <c r="BN25" s="89" t="str">
        <f t="shared" ca="1" si="15"/>
        <v>S9!B370:AJ405</v>
      </c>
      <c r="BO25" s="89" t="str">
        <f t="shared" ca="1" si="16"/>
        <v>e</v>
      </c>
      <c r="BP25" s="89" t="str">
        <f t="shared" ca="1" si="17"/>
        <v/>
      </c>
      <c r="BQ25" s="89" t="str">
        <f t="shared" ca="1" si="18"/>
        <v/>
      </c>
      <c r="BR25" s="87" t="str">
        <f t="shared" ca="1" si="19"/>
        <v/>
      </c>
      <c r="BS25" s="89" t="str">
        <f t="shared" ca="1" si="20"/>
        <v/>
      </c>
      <c r="BT25" s="89" t="str">
        <f t="shared" ca="1" si="21"/>
        <v/>
      </c>
      <c r="BU25" s="89" t="str">
        <f t="shared" ca="1" si="22"/>
        <v/>
      </c>
      <c r="BV25" s="87" t="str">
        <f t="shared" ca="1" si="23"/>
        <v/>
      </c>
      <c r="BW25" s="87" t="str">
        <f t="shared" ca="1" si="24"/>
        <v>36090234</v>
      </c>
      <c r="BX25" s="89">
        <f t="shared" ca="1" si="25"/>
        <v>0</v>
      </c>
    </row>
    <row r="26" spans="1:76">
      <c r="A26" s="90" t="str">
        <f t="shared" si="2"/>
        <v/>
      </c>
      <c r="B26" s="98">
        <v>15</v>
      </c>
      <c r="C26" s="94">
        <v>1</v>
      </c>
      <c r="D26" s="94">
        <v>3</v>
      </c>
      <c r="E26" s="94">
        <v>5</v>
      </c>
      <c r="F26" s="94">
        <v>-8</v>
      </c>
      <c r="G26" s="94">
        <v>6</v>
      </c>
      <c r="H26" s="94">
        <v>2</v>
      </c>
      <c r="I26" s="94">
        <v>-4</v>
      </c>
      <c r="J26" s="94">
        <v>-9</v>
      </c>
      <c r="K26" s="94">
        <v>-6</v>
      </c>
      <c r="L26" s="94">
        <v>8</v>
      </c>
      <c r="M26" s="94">
        <v>-2</v>
      </c>
      <c r="N26" s="94">
        <v>-1</v>
      </c>
      <c r="O26" s="94">
        <v>7</v>
      </c>
      <c r="P26" s="94">
        <v>4</v>
      </c>
      <c r="Q26" s="94">
        <v>-3</v>
      </c>
      <c r="R26" s="94">
        <v>-5</v>
      </c>
      <c r="S26" s="94">
        <v>9</v>
      </c>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1">
        <f t="shared" ca="1" si="3"/>
        <v>407</v>
      </c>
      <c r="BB26" s="88" t="str">
        <f t="shared" ca="1" si="4"/>
        <v>A370:A1200</v>
      </c>
      <c r="BC26" s="89" t="str">
        <f t="shared" ca="1" si="5"/>
        <v>B407</v>
      </c>
      <c r="BD26" s="89">
        <f ca="1">IF(BC26=0,0,RANK(BF26,$BF$11:$BF$70,0)+(COUNTIF($BF26:$BF$70,BF26)-1))</f>
        <v>5</v>
      </c>
      <c r="BE26" s="89" t="str">
        <f t="shared" ca="1" si="6"/>
        <v>360903</v>
      </c>
      <c r="BF26" s="89">
        <f t="shared" ca="1" si="7"/>
        <v>36090322</v>
      </c>
      <c r="BG26" s="89">
        <f t="shared" ca="1" si="8"/>
        <v>36</v>
      </c>
      <c r="BH26" s="89">
        <f t="shared" ca="1" si="9"/>
        <v>3</v>
      </c>
      <c r="BI26" s="89" t="str">
        <f t="shared" ca="1" si="10"/>
        <v>B444</v>
      </c>
      <c r="BJ26" s="89">
        <f t="shared" ca="1" si="11"/>
        <v>11</v>
      </c>
      <c r="BK26" s="89">
        <f t="shared" ca="1" si="12"/>
        <v>22</v>
      </c>
      <c r="BL26" s="89">
        <f t="shared" ca="1" si="13"/>
        <v>198</v>
      </c>
      <c r="BM26" s="89">
        <f t="shared" ca="1" si="14"/>
        <v>24</v>
      </c>
      <c r="BN26" s="89" t="str">
        <f t="shared" ca="1" si="15"/>
        <v>S9!B408:X443</v>
      </c>
      <c r="BO26" s="89" t="str">
        <f t="shared" ca="1" si="16"/>
        <v>e</v>
      </c>
      <c r="BP26" s="89" t="str">
        <f t="shared" ca="1" si="17"/>
        <v/>
      </c>
      <c r="BQ26" s="89" t="str">
        <f t="shared" ca="1" si="18"/>
        <v/>
      </c>
      <c r="BR26" s="87" t="str">
        <f t="shared" ca="1" si="19"/>
        <v/>
      </c>
      <c r="BS26" s="89" t="str">
        <f t="shared" ca="1" si="20"/>
        <v/>
      </c>
      <c r="BT26" s="89" t="str">
        <f t="shared" ca="1" si="21"/>
        <v/>
      </c>
      <c r="BU26" s="89" t="str">
        <f t="shared" ca="1" si="22"/>
        <v/>
      </c>
      <c r="BV26" s="87" t="str">
        <f t="shared" ca="1" si="23"/>
        <v/>
      </c>
      <c r="BW26" s="87" t="str">
        <f t="shared" ca="1" si="24"/>
        <v>36090322</v>
      </c>
      <c r="BX26" s="89">
        <f t="shared" ca="1" si="25"/>
        <v>0</v>
      </c>
    </row>
    <row r="27" spans="1:76">
      <c r="A27" s="90" t="str">
        <f t="shared" si="2"/>
        <v/>
      </c>
      <c r="B27" s="98">
        <v>16</v>
      </c>
      <c r="C27" s="94">
        <v>6</v>
      </c>
      <c r="D27" s="94">
        <v>2</v>
      </c>
      <c r="E27" s="94">
        <v>-4</v>
      </c>
      <c r="F27" s="94">
        <v>-9</v>
      </c>
      <c r="G27" s="94">
        <v>7</v>
      </c>
      <c r="H27" s="94">
        <v>-1</v>
      </c>
      <c r="I27" s="94">
        <v>3</v>
      </c>
      <c r="J27" s="94">
        <v>5</v>
      </c>
      <c r="K27" s="94">
        <v>-7</v>
      </c>
      <c r="L27" s="94">
        <v>-8</v>
      </c>
      <c r="M27" s="94">
        <v>9</v>
      </c>
      <c r="N27" s="94">
        <v>4</v>
      </c>
      <c r="O27" s="94">
        <v>-5</v>
      </c>
      <c r="P27" s="94">
        <v>-3</v>
      </c>
      <c r="Q27" s="94">
        <v>1</v>
      </c>
      <c r="R27" s="94">
        <v>-6</v>
      </c>
      <c r="S27" s="94">
        <v>-2</v>
      </c>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1">
        <f t="shared" ca="1" si="3"/>
        <v>445</v>
      </c>
      <c r="BB27" s="88" t="str">
        <f t="shared" ca="1" si="4"/>
        <v>A408:A1200</v>
      </c>
      <c r="BC27" s="89" t="str">
        <f t="shared" ca="1" si="5"/>
        <v>B445</v>
      </c>
      <c r="BD27" s="89">
        <f ca="1">IF(BC27=0,0,RANK(BF27,$BF$11:$BF$70,0)+(COUNTIF($BF27:$BF$70,BF27)-1))</f>
        <v>4</v>
      </c>
      <c r="BE27" s="89" t="str">
        <f t="shared" ca="1" si="6"/>
        <v>360904</v>
      </c>
      <c r="BF27" s="89">
        <f t="shared" ca="1" si="7"/>
        <v>36090418</v>
      </c>
      <c r="BG27" s="89">
        <f t="shared" ca="1" si="8"/>
        <v>36</v>
      </c>
      <c r="BH27" s="89">
        <f t="shared" ca="1" si="9"/>
        <v>4</v>
      </c>
      <c r="BI27" s="89" t="str">
        <f t="shared" ca="1" si="10"/>
        <v>B482</v>
      </c>
      <c r="BJ27" s="89">
        <f t="shared" ca="1" si="11"/>
        <v>9</v>
      </c>
      <c r="BK27" s="89">
        <f t="shared" ca="1" si="12"/>
        <v>18</v>
      </c>
      <c r="BL27" s="89">
        <f t="shared" ca="1" si="13"/>
        <v>162</v>
      </c>
      <c r="BM27" s="89">
        <f t="shared" ca="1" si="14"/>
        <v>20</v>
      </c>
      <c r="BN27" s="89" t="str">
        <f t="shared" ca="1" si="15"/>
        <v>S9!B446:T481</v>
      </c>
      <c r="BO27" s="89" t="str">
        <f t="shared" ca="1" si="16"/>
        <v>e</v>
      </c>
      <c r="BP27" s="89" t="str">
        <f t="shared" ca="1" si="17"/>
        <v/>
      </c>
      <c r="BQ27" s="89" t="str">
        <f t="shared" ca="1" si="18"/>
        <v/>
      </c>
      <c r="BR27" s="87" t="str">
        <f t="shared" ca="1" si="19"/>
        <v>x</v>
      </c>
      <c r="BS27" s="89" t="str">
        <f t="shared" ca="1" si="20"/>
        <v/>
      </c>
      <c r="BT27" s="89" t="str">
        <f t="shared" ca="1" si="21"/>
        <v/>
      </c>
      <c r="BU27" s="89" t="str">
        <f t="shared" ca="1" si="22"/>
        <v/>
      </c>
      <c r="BV27" s="87" t="str">
        <f t="shared" ca="1" si="23"/>
        <v/>
      </c>
      <c r="BW27" s="87" t="str">
        <f t="shared" ca="1" si="24"/>
        <v>36090418</v>
      </c>
      <c r="BX27" s="89">
        <f t="shared" ca="1" si="25"/>
        <v>0</v>
      </c>
    </row>
    <row r="28" spans="1:76">
      <c r="A28" s="90" t="str">
        <f t="shared" si="2"/>
        <v/>
      </c>
      <c r="B28" s="98">
        <v>17</v>
      </c>
      <c r="C28" s="94">
        <v>4</v>
      </c>
      <c r="D28" s="94">
        <v>9</v>
      </c>
      <c r="E28" s="94">
        <v>-7</v>
      </c>
      <c r="F28" s="94">
        <v>1</v>
      </c>
      <c r="G28" s="94">
        <v>3</v>
      </c>
      <c r="H28" s="94">
        <v>5</v>
      </c>
      <c r="I28" s="94">
        <v>-8</v>
      </c>
      <c r="J28" s="94">
        <v>6</v>
      </c>
      <c r="K28" s="94">
        <v>-5</v>
      </c>
      <c r="L28" s="94">
        <v>-2</v>
      </c>
      <c r="M28" s="94">
        <v>7</v>
      </c>
      <c r="N28" s="94">
        <v>-3</v>
      </c>
      <c r="O28" s="94">
        <v>-6</v>
      </c>
      <c r="P28" s="94">
        <v>8</v>
      </c>
      <c r="Q28" s="94">
        <v>-1</v>
      </c>
      <c r="R28" s="94">
        <v>-4</v>
      </c>
      <c r="S28" s="94">
        <v>-9</v>
      </c>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1">
        <f t="shared" ca="1" si="3"/>
        <v>483</v>
      </c>
      <c r="BB28" s="88" t="str">
        <f t="shared" ca="1" si="4"/>
        <v>A446:A1200</v>
      </c>
      <c r="BC28" s="89" t="str">
        <f t="shared" ca="1" si="5"/>
        <v>B483</v>
      </c>
      <c r="BD28" s="89">
        <f ca="1">IF(BC28=0,0,RANK(BF28,$BF$11:$BF$70,0)+(COUNTIF($BF28:$BF$70,BF28)-1))</f>
        <v>3</v>
      </c>
      <c r="BE28" s="89" t="str">
        <f t="shared" ca="1" si="6"/>
        <v>360905</v>
      </c>
      <c r="BF28" s="89">
        <f t="shared" ca="1" si="7"/>
        <v>36090514</v>
      </c>
      <c r="BG28" s="89">
        <f t="shared" ca="1" si="8"/>
        <v>36</v>
      </c>
      <c r="BH28" s="89">
        <f t="shared" ca="1" si="9"/>
        <v>5</v>
      </c>
      <c r="BI28" s="89" t="str">
        <f t="shared" ca="1" si="10"/>
        <v>B520</v>
      </c>
      <c r="BJ28" s="89">
        <f t="shared" ca="1" si="11"/>
        <v>7</v>
      </c>
      <c r="BK28" s="89">
        <f t="shared" ca="1" si="12"/>
        <v>14</v>
      </c>
      <c r="BL28" s="89">
        <f t="shared" ca="1" si="13"/>
        <v>126</v>
      </c>
      <c r="BM28" s="89">
        <f t="shared" ca="1" si="14"/>
        <v>16</v>
      </c>
      <c r="BN28" s="89" t="str">
        <f t="shared" ca="1" si="15"/>
        <v>S9!B484:P519</v>
      </c>
      <c r="BO28" s="89" t="str">
        <f t="shared" ca="1" si="16"/>
        <v>e</v>
      </c>
      <c r="BP28" s="89" t="str">
        <f t="shared" ca="1" si="17"/>
        <v/>
      </c>
      <c r="BQ28" s="89" t="str">
        <f t="shared" ca="1" si="18"/>
        <v/>
      </c>
      <c r="BR28" s="87" t="str">
        <f t="shared" ca="1" si="19"/>
        <v>x</v>
      </c>
      <c r="BS28" s="89" t="str">
        <f t="shared" ca="1" si="20"/>
        <v/>
      </c>
      <c r="BT28" s="89" t="str">
        <f t="shared" ca="1" si="21"/>
        <v/>
      </c>
      <c r="BU28" s="89" t="str">
        <f t="shared" ca="1" si="22"/>
        <v/>
      </c>
      <c r="BV28" s="87" t="str">
        <f t="shared" ca="1" si="23"/>
        <v/>
      </c>
      <c r="BW28" s="87" t="str">
        <f t="shared" ca="1" si="24"/>
        <v>36090514</v>
      </c>
      <c r="BX28" s="89">
        <f t="shared" ca="1" si="25"/>
        <v>0</v>
      </c>
    </row>
    <row r="29" spans="1:76">
      <c r="A29" s="90" t="str">
        <f t="shared" si="2"/>
        <v/>
      </c>
      <c r="B29" s="98">
        <v>18</v>
      </c>
      <c r="C29" s="94">
        <v>9</v>
      </c>
      <c r="D29" s="94">
        <v>7</v>
      </c>
      <c r="E29" s="94">
        <v>-1</v>
      </c>
      <c r="F29" s="94">
        <v>-3</v>
      </c>
      <c r="G29" s="94">
        <v>-5</v>
      </c>
      <c r="H29" s="94">
        <v>8</v>
      </c>
      <c r="I29" s="94">
        <v>6</v>
      </c>
      <c r="J29" s="94">
        <v>-2</v>
      </c>
      <c r="K29" s="94">
        <v>3</v>
      </c>
      <c r="L29" s="94">
        <v>-6</v>
      </c>
      <c r="M29" s="94">
        <v>-9</v>
      </c>
      <c r="N29" s="94">
        <v>2</v>
      </c>
      <c r="O29" s="94">
        <v>-7</v>
      </c>
      <c r="P29" s="94">
        <v>5</v>
      </c>
      <c r="Q29" s="94">
        <v>-8</v>
      </c>
      <c r="R29" s="94">
        <v>4</v>
      </c>
      <c r="S29" s="94">
        <v>1</v>
      </c>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1">
        <f t="shared" ca="1" si="3"/>
        <v>521</v>
      </c>
      <c r="BB29" s="88" t="str">
        <f t="shared" ca="1" si="4"/>
        <v>A484:A1200</v>
      </c>
      <c r="BC29" s="89" t="str">
        <f t="shared" ca="1" si="5"/>
        <v>B521</v>
      </c>
      <c r="BD29" s="89">
        <f ca="1">IF(BC29=0,0,RANK(BF29,$BF$11:$BF$70,0)+(COUNTIF($BF29:$BF$70,BF29)-1))</f>
        <v>2</v>
      </c>
      <c r="BE29" s="89" t="str">
        <f t="shared" ca="1" si="6"/>
        <v>360906</v>
      </c>
      <c r="BF29" s="89">
        <f t="shared" ca="1" si="7"/>
        <v>36090610</v>
      </c>
      <c r="BG29" s="89">
        <f t="shared" ca="1" si="8"/>
        <v>36</v>
      </c>
      <c r="BH29" s="89">
        <f t="shared" ca="1" si="9"/>
        <v>6</v>
      </c>
      <c r="BI29" s="89" t="str">
        <f t="shared" ca="1" si="10"/>
        <v>B558</v>
      </c>
      <c r="BJ29" s="89">
        <f t="shared" ca="1" si="11"/>
        <v>5</v>
      </c>
      <c r="BK29" s="89">
        <f t="shared" ca="1" si="12"/>
        <v>10</v>
      </c>
      <c r="BL29" s="89">
        <f t="shared" ca="1" si="13"/>
        <v>90</v>
      </c>
      <c r="BM29" s="89">
        <f t="shared" ca="1" si="14"/>
        <v>12</v>
      </c>
      <c r="BN29" s="89" t="str">
        <f t="shared" ca="1" si="15"/>
        <v>S9!B522:L557</v>
      </c>
      <c r="BO29" s="89" t="str">
        <f t="shared" ca="1" si="16"/>
        <v>e</v>
      </c>
      <c r="BP29" s="89" t="str">
        <f t="shared" ca="1" si="17"/>
        <v/>
      </c>
      <c r="BQ29" s="89" t="str">
        <f t="shared" ca="1" si="18"/>
        <v/>
      </c>
      <c r="BR29" s="87" t="str">
        <f t="shared" ca="1" si="19"/>
        <v/>
      </c>
      <c r="BS29" s="89" t="str">
        <f t="shared" ca="1" si="20"/>
        <v/>
      </c>
      <c r="BT29" s="89" t="str">
        <f t="shared" ca="1" si="21"/>
        <v/>
      </c>
      <c r="BU29" s="89" t="str">
        <f t="shared" ca="1" si="22"/>
        <v/>
      </c>
      <c r="BV29" s="87" t="str">
        <f t="shared" ca="1" si="23"/>
        <v/>
      </c>
      <c r="BW29" s="87" t="str">
        <f t="shared" ca="1" si="24"/>
        <v>36090610</v>
      </c>
      <c r="BX29" s="89">
        <f t="shared" ca="1" si="25"/>
        <v>0</v>
      </c>
    </row>
    <row r="30" spans="1:76">
      <c r="A30" s="90" t="str">
        <f t="shared" si="2"/>
        <v/>
      </c>
      <c r="B30" s="98" t="s">
        <v>497</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1">
        <f t="shared" ca="1" si="3"/>
        <v>559</v>
      </c>
      <c r="BB30" s="88" t="str">
        <f t="shared" ca="1" si="4"/>
        <v>A522:A1200</v>
      </c>
      <c r="BC30" s="89" t="str">
        <f t="shared" ca="1" si="5"/>
        <v>B559</v>
      </c>
      <c r="BD30" s="89">
        <f ca="1">IF(BC30=0,0,RANK(BF30,$BF$11:$BF$70,0)+(COUNTIF($BF30:$BF$70,BF30)-1))</f>
        <v>1</v>
      </c>
      <c r="BE30" s="89" t="str">
        <f t="shared" ca="1" si="6"/>
        <v>380902</v>
      </c>
      <c r="BF30" s="89">
        <f t="shared" ca="1" si="7"/>
        <v>38090238</v>
      </c>
      <c r="BG30" s="89">
        <f t="shared" ca="1" si="8"/>
        <v>38</v>
      </c>
      <c r="BH30" s="89">
        <f t="shared" ca="1" si="9"/>
        <v>2</v>
      </c>
      <c r="BI30" s="89" t="str">
        <f t="shared" ca="1" si="10"/>
        <v>B598</v>
      </c>
      <c r="BJ30" s="89">
        <f t="shared" ca="1" si="11"/>
        <v>18</v>
      </c>
      <c r="BK30" s="89">
        <f t="shared" ca="1" si="12"/>
        <v>38</v>
      </c>
      <c r="BL30" s="89">
        <f t="shared" ca="1" si="13"/>
        <v>342</v>
      </c>
      <c r="BM30" s="89">
        <f t="shared" ca="1" si="14"/>
        <v>40</v>
      </c>
      <c r="BN30" s="89" t="str">
        <f t="shared" ca="1" si="15"/>
        <v>S9!B560:AN597</v>
      </c>
      <c r="BO30" s="89" t="str">
        <f t="shared" ca="1" si="16"/>
        <v>e</v>
      </c>
      <c r="BP30" s="89" t="str">
        <f t="shared" ca="1" si="17"/>
        <v>b</v>
      </c>
      <c r="BQ30" s="89" t="str">
        <f t="shared" ca="1" si="18"/>
        <v/>
      </c>
      <c r="BR30" s="87" t="str">
        <f t="shared" ca="1" si="19"/>
        <v/>
      </c>
      <c r="BS30" s="89" t="str">
        <f t="shared" ca="1" si="20"/>
        <v/>
      </c>
      <c r="BT30" s="89" t="str">
        <f t="shared" ca="1" si="21"/>
        <v/>
      </c>
      <c r="BU30" s="89" t="str">
        <f t="shared" ca="1" si="22"/>
        <v/>
      </c>
      <c r="BV30" s="87" t="str">
        <f t="shared" ca="1" si="23"/>
        <v/>
      </c>
      <c r="BW30" s="87" t="str">
        <f t="shared" ca="1" si="24"/>
        <v>38090238</v>
      </c>
      <c r="BX30" s="89">
        <f t="shared" ca="1" si="25"/>
        <v>0</v>
      </c>
    </row>
    <row r="31" spans="1:76">
      <c r="A31" s="90">
        <f t="shared" si="2"/>
        <v>31</v>
      </c>
      <c r="B31" s="98" t="s">
        <v>498</v>
      </c>
      <c r="C31" s="94"/>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1">
        <f t="shared" ca="1" si="3"/>
        <v>599</v>
      </c>
      <c r="BB31" s="88" t="str">
        <f t="shared" ca="1" si="4"/>
        <v>A560:A1200</v>
      </c>
      <c r="BC31" s="89" t="str">
        <f t="shared" ca="1" si="5"/>
        <v>B599</v>
      </c>
      <c r="BD31" s="89">
        <f ca="1">IF(BC31=0,0,RANK(BF31,$BF$11:$BF$70,0)+(COUNTIF($BF31:$BF$70,BF31)-1))</f>
        <v>9</v>
      </c>
      <c r="BE31" s="89" t="str">
        <f t="shared" ca="1" si="6"/>
        <v>340905</v>
      </c>
      <c r="BF31" s="89">
        <f t="shared" ca="1" si="7"/>
        <v>34090514</v>
      </c>
      <c r="BG31" s="89">
        <f t="shared" ca="1" si="8"/>
        <v>34</v>
      </c>
      <c r="BH31" s="89">
        <f t="shared" ca="1" si="9"/>
        <v>5</v>
      </c>
      <c r="BI31" s="89" t="str">
        <f t="shared" ca="1" si="10"/>
        <v>B634</v>
      </c>
      <c r="BJ31" s="89">
        <f t="shared" ca="1" si="11"/>
        <v>7</v>
      </c>
      <c r="BK31" s="89">
        <f t="shared" ca="1" si="12"/>
        <v>14</v>
      </c>
      <c r="BL31" s="89">
        <f t="shared" ca="1" si="13"/>
        <v>119</v>
      </c>
      <c r="BM31" s="89">
        <f t="shared" ca="1" si="14"/>
        <v>16</v>
      </c>
      <c r="BN31" s="89" t="str">
        <f t="shared" ca="1" si="15"/>
        <v>S9!B600:P633</v>
      </c>
      <c r="BO31" s="89" t="str">
        <f t="shared" ca="1" si="16"/>
        <v>e</v>
      </c>
      <c r="BP31" s="89" t="str">
        <f t="shared" ca="1" si="17"/>
        <v/>
      </c>
      <c r="BQ31" s="89" t="str">
        <f t="shared" ca="1" si="18"/>
        <v/>
      </c>
      <c r="BR31" s="87" t="str">
        <f t="shared" ca="1" si="19"/>
        <v>E</v>
      </c>
      <c r="BS31" s="89" t="str">
        <f t="shared" ca="1" si="20"/>
        <v>a</v>
      </c>
      <c r="BT31" s="89" t="str">
        <f t="shared" ca="1" si="21"/>
        <v>E</v>
      </c>
      <c r="BU31" s="89" t="str">
        <f t="shared" ca="1" si="22"/>
        <v/>
      </c>
      <c r="BV31" s="87" t="str">
        <f t="shared" ca="1" si="23"/>
        <v/>
      </c>
      <c r="BW31" s="87" t="str">
        <f t="shared" ca="1" si="24"/>
        <v>34090514</v>
      </c>
      <c r="BX31" s="89">
        <f t="shared" ca="1" si="25"/>
        <v>0</v>
      </c>
    </row>
    <row r="32" spans="1:76">
      <c r="A32" s="90" t="str">
        <f t="shared" si="2"/>
        <v/>
      </c>
      <c r="B32" s="98">
        <v>1</v>
      </c>
      <c r="C32" s="94">
        <v>2</v>
      </c>
      <c r="D32" s="94">
        <v>-9</v>
      </c>
      <c r="E32" s="94">
        <v>-4</v>
      </c>
      <c r="F32" s="94">
        <v>6</v>
      </c>
      <c r="G32" s="94">
        <v>8</v>
      </c>
      <c r="H32" s="94">
        <v>-1</v>
      </c>
      <c r="I32" s="94">
        <v>-7</v>
      </c>
      <c r="J32" s="94">
        <v>3</v>
      </c>
      <c r="K32" s="94">
        <v>5</v>
      </c>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1">
        <f t="shared" ca="1" si="3"/>
        <v>635</v>
      </c>
      <c r="BB32" s="88" t="str">
        <f t="shared" ca="1" si="4"/>
        <v>A600:A1200</v>
      </c>
      <c r="BC32" s="89" t="str">
        <f t="shared" ca="1" si="5"/>
        <v>B635</v>
      </c>
      <c r="BD32" s="89">
        <f ca="1">IF(BC32=0,0,RANK(BF32,$BF$11:$BF$70,0)+(COUNTIF($BF32:$BF$70,BF32)-1))</f>
        <v>10</v>
      </c>
      <c r="BE32" s="89" t="str">
        <f t="shared" ca="1" si="6"/>
        <v>340904</v>
      </c>
      <c r="BF32" s="89">
        <f t="shared" ca="1" si="7"/>
        <v>34090418</v>
      </c>
      <c r="BG32" s="89">
        <f t="shared" ca="1" si="8"/>
        <v>34</v>
      </c>
      <c r="BH32" s="89">
        <f t="shared" ca="1" si="9"/>
        <v>4</v>
      </c>
      <c r="BI32" s="89" t="str">
        <f t="shared" ca="1" si="10"/>
        <v>B670</v>
      </c>
      <c r="BJ32" s="89">
        <f t="shared" ca="1" si="11"/>
        <v>9</v>
      </c>
      <c r="BK32" s="89">
        <f t="shared" ca="1" si="12"/>
        <v>18</v>
      </c>
      <c r="BL32" s="89">
        <f t="shared" ca="1" si="13"/>
        <v>153</v>
      </c>
      <c r="BM32" s="89">
        <f t="shared" ca="1" si="14"/>
        <v>20</v>
      </c>
      <c r="BN32" s="89" t="str">
        <f t="shared" ca="1" si="15"/>
        <v>S9!B636:T669</v>
      </c>
      <c r="BO32" s="89" t="str">
        <f t="shared" ca="1" si="16"/>
        <v>e</v>
      </c>
      <c r="BP32" s="89" t="str">
        <f t="shared" ca="1" si="17"/>
        <v/>
      </c>
      <c r="BQ32" s="89" t="str">
        <f t="shared" ca="1" si="18"/>
        <v/>
      </c>
      <c r="BR32" s="87" t="str">
        <f t="shared" ca="1" si="19"/>
        <v>E</v>
      </c>
      <c r="BS32" s="89" t="str">
        <f t="shared" ca="1" si="20"/>
        <v>a</v>
      </c>
      <c r="BT32" s="89" t="str">
        <f t="shared" ca="1" si="21"/>
        <v>E</v>
      </c>
      <c r="BU32" s="89" t="str">
        <f t="shared" ca="1" si="22"/>
        <v/>
      </c>
      <c r="BV32" s="87" t="str">
        <f t="shared" ca="1" si="23"/>
        <v/>
      </c>
      <c r="BW32" s="87" t="str">
        <f t="shared" ca="1" si="24"/>
        <v>34090418</v>
      </c>
      <c r="BX32" s="89">
        <f t="shared" ca="1" si="25"/>
        <v>0</v>
      </c>
    </row>
    <row r="33" spans="1:76">
      <c r="A33" s="90" t="str">
        <f t="shared" si="2"/>
        <v/>
      </c>
      <c r="B33" s="98">
        <v>2</v>
      </c>
      <c r="C33" s="94">
        <v>-4</v>
      </c>
      <c r="D33" s="94">
        <v>-3</v>
      </c>
      <c r="E33" s="94">
        <v>1</v>
      </c>
      <c r="F33" s="94">
        <v>8</v>
      </c>
      <c r="G33" s="94">
        <v>-9</v>
      </c>
      <c r="H33" s="94">
        <v>-7</v>
      </c>
      <c r="I33" s="94">
        <v>6</v>
      </c>
      <c r="J33" s="94">
        <v>2</v>
      </c>
      <c r="K33" s="94">
        <v>-5</v>
      </c>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1">
        <f t="shared" ca="1" si="3"/>
        <v>671</v>
      </c>
      <c r="BB33" s="88" t="str">
        <f t="shared" ca="1" si="4"/>
        <v>A636:A1200</v>
      </c>
      <c r="BC33" s="89" t="str">
        <f t="shared" ca="1" si="5"/>
        <v>B671</v>
      </c>
      <c r="BD33" s="89">
        <f ca="1">IF(BC33=0,0,RANK(BF33,$BF$11:$BF$70,0)+(COUNTIF($BF33:$BF$70,BF33)-1))</f>
        <v>20</v>
      </c>
      <c r="BE33" s="89" t="str">
        <f t="shared" ca="1" si="6"/>
        <v>180904</v>
      </c>
      <c r="BF33" s="89">
        <f t="shared" ca="1" si="7"/>
        <v>18090405</v>
      </c>
      <c r="BG33" s="89">
        <f t="shared" ca="1" si="8"/>
        <v>18</v>
      </c>
      <c r="BH33" s="89">
        <f t="shared" ca="1" si="9"/>
        <v>4</v>
      </c>
      <c r="BI33" s="89" t="str">
        <f t="shared" ca="1" si="10"/>
        <v>B690</v>
      </c>
      <c r="BJ33" s="89">
        <f t="shared" ca="1" si="11"/>
        <v>5</v>
      </c>
      <c r="BK33" s="89">
        <f t="shared" ca="1" si="12"/>
        <v>5</v>
      </c>
      <c r="BL33" s="89" t="e">
        <f t="shared" ca="1" si="13"/>
        <v>#VALUE!</v>
      </c>
      <c r="BM33" s="89">
        <f t="shared" ca="1" si="14"/>
        <v>7</v>
      </c>
      <c r="BN33" s="89" t="str">
        <f t="shared" ca="1" si="15"/>
        <v>S9!B672:G689</v>
      </c>
      <c r="BO33" s="89" t="str">
        <f t="shared" ca="1" si="16"/>
        <v>s</v>
      </c>
      <c r="BP33" s="89" t="str">
        <f t="shared" ca="1" si="17"/>
        <v/>
      </c>
      <c r="BQ33" s="89" t="str">
        <f t="shared" ca="1" si="18"/>
        <v/>
      </c>
      <c r="BR33" s="87" t="str">
        <f t="shared" ca="1" si="19"/>
        <v>x</v>
      </c>
      <c r="BS33" s="89" t="str">
        <f t="shared" ca="1" si="20"/>
        <v>a</v>
      </c>
      <c r="BT33" s="89" t="str">
        <f t="shared" ca="1" si="21"/>
        <v/>
      </c>
      <c r="BU33" s="89" t="str">
        <f t="shared" ca="1" si="22"/>
        <v/>
      </c>
      <c r="BV33" s="87" t="str">
        <f t="shared" ca="1" si="23"/>
        <v/>
      </c>
      <c r="BW33" s="87" t="str">
        <f t="shared" ca="1" si="24"/>
        <v>18090405</v>
      </c>
      <c r="BX33" s="89">
        <f t="shared" ca="1" si="25"/>
        <v>0</v>
      </c>
    </row>
    <row r="34" spans="1:76">
      <c r="A34" s="90" t="str">
        <f t="shared" si="2"/>
        <v/>
      </c>
      <c r="B34" s="98">
        <v>3</v>
      </c>
      <c r="C34" s="94">
        <v>1</v>
      </c>
      <c r="D34" s="94">
        <v>-5</v>
      </c>
      <c r="E34" s="94">
        <v>4</v>
      </c>
      <c r="F34" s="94">
        <v>-9</v>
      </c>
      <c r="G34" s="94">
        <v>-3</v>
      </c>
      <c r="H34" s="94">
        <v>7</v>
      </c>
      <c r="I34" s="94">
        <v>2</v>
      </c>
      <c r="J34" s="94">
        <v>-8</v>
      </c>
      <c r="K34" s="94">
        <v>-6</v>
      </c>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1">
        <f t="shared" ca="1" si="3"/>
        <v>691</v>
      </c>
      <c r="BB34" s="88" t="str">
        <f t="shared" ca="1" si="4"/>
        <v>A672:A1200</v>
      </c>
      <c r="BC34" s="89" t="str">
        <f t="shared" ca="1" si="5"/>
        <v>B691</v>
      </c>
      <c r="BD34" s="89">
        <f ca="1">IF(BC34=0,0,RANK(BF34,$BF$11:$BF$70,0)+(COUNTIF($BF34:$BF$70,BF34)-1))</f>
        <v>13</v>
      </c>
      <c r="BE34" s="89" t="str">
        <f t="shared" ca="1" si="6"/>
        <v>280904</v>
      </c>
      <c r="BF34" s="89">
        <f t="shared" ca="1" si="7"/>
        <v>28090410</v>
      </c>
      <c r="BG34" s="89">
        <f t="shared" ca="1" si="8"/>
        <v>28</v>
      </c>
      <c r="BH34" s="89">
        <f t="shared" ca="1" si="9"/>
        <v>4</v>
      </c>
      <c r="BI34" s="89" t="str">
        <f t="shared" ca="1" si="10"/>
        <v>B720</v>
      </c>
      <c r="BJ34" s="89">
        <f t="shared" ca="1" si="11"/>
        <v>6</v>
      </c>
      <c r="BK34" s="89">
        <f t="shared" ca="1" si="12"/>
        <v>10</v>
      </c>
      <c r="BL34" s="89">
        <f t="shared" ca="1" si="13"/>
        <v>84</v>
      </c>
      <c r="BM34" s="89">
        <f t="shared" ca="1" si="14"/>
        <v>12</v>
      </c>
      <c r="BN34" s="89" t="str">
        <f t="shared" ca="1" si="15"/>
        <v>S9!B692:L719</v>
      </c>
      <c r="BO34" s="89" t="str">
        <f t="shared" ca="1" si="16"/>
        <v>c</v>
      </c>
      <c r="BP34" s="89" t="str">
        <f t="shared" ca="1" si="17"/>
        <v/>
      </c>
      <c r="BQ34" s="89" t="str">
        <f t="shared" ca="1" si="18"/>
        <v/>
      </c>
      <c r="BR34" s="87" t="str">
        <f t="shared" ca="1" si="19"/>
        <v/>
      </c>
      <c r="BS34" s="89" t="str">
        <f t="shared" ca="1" si="20"/>
        <v/>
      </c>
      <c r="BT34" s="89" t="str">
        <f t="shared" ca="1" si="21"/>
        <v/>
      </c>
      <c r="BU34" s="89" t="str">
        <f t="shared" ca="1" si="22"/>
        <v/>
      </c>
      <c r="BV34" s="87" t="str">
        <f t="shared" ca="1" si="23"/>
        <v>c</v>
      </c>
      <c r="BW34" s="87" t="str">
        <f t="shared" ca="1" si="24"/>
        <v>28090410</v>
      </c>
      <c r="BX34" s="89" t="str">
        <f t="shared" ca="1" si="25"/>
        <v>23</v>
      </c>
    </row>
    <row r="35" spans="1:76">
      <c r="A35" s="90" t="str">
        <f t="shared" si="2"/>
        <v/>
      </c>
      <c r="B35" s="98">
        <v>4</v>
      </c>
      <c r="C35" s="94">
        <v>-9</v>
      </c>
      <c r="D35" s="94">
        <v>7</v>
      </c>
      <c r="E35" s="94">
        <v>-8</v>
      </c>
      <c r="F35" s="94">
        <v>-5</v>
      </c>
      <c r="G35" s="94">
        <v>9</v>
      </c>
      <c r="H35" s="94">
        <v>-2</v>
      </c>
      <c r="I35" s="94">
        <v>4</v>
      </c>
      <c r="J35" s="94">
        <v>-3</v>
      </c>
      <c r="K35" s="94">
        <v>6</v>
      </c>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1">
        <f t="shared" ca="1" si="3"/>
        <v>0</v>
      </c>
      <c r="BB35" s="88" t="str">
        <f t="shared" ca="1" si="4"/>
        <v>A692:A1200</v>
      </c>
      <c r="BC35" s="89">
        <f t="shared" ca="1" si="5"/>
        <v>0</v>
      </c>
      <c r="BD35" s="89">
        <f ca="1">IF(BC35=0,0,RANK(BF35,$BF$11:$BF$70,0)+(COUNTIF($BF35:$BF$70,BF35)-1))</f>
        <v>0</v>
      </c>
      <c r="BE35" s="89">
        <f t="shared" ca="1" si="6"/>
        <v>0</v>
      </c>
      <c r="BF35" s="89">
        <f t="shared" ca="1" si="7"/>
        <v>0</v>
      </c>
      <c r="BG35" s="89">
        <f t="shared" ca="1" si="8"/>
        <v>0</v>
      </c>
      <c r="BH35" s="89">
        <f t="shared" ca="1" si="9"/>
        <v>0</v>
      </c>
      <c r="BI35" s="89">
        <f t="shared" ca="1" si="10"/>
        <v>0</v>
      </c>
      <c r="BJ35" s="89">
        <f t="shared" ca="1" si="11"/>
        <v>0</v>
      </c>
      <c r="BK35" s="89">
        <f t="shared" ca="1" si="12"/>
        <v>0</v>
      </c>
      <c r="BL35" s="89">
        <f t="shared" ca="1" si="13"/>
        <v>0</v>
      </c>
      <c r="BM35" s="89">
        <f t="shared" ca="1" si="14"/>
        <v>0</v>
      </c>
      <c r="BN35" s="89">
        <f t="shared" ca="1" si="15"/>
        <v>0</v>
      </c>
      <c r="BO35" s="89">
        <f t="shared" ca="1" si="16"/>
        <v>0</v>
      </c>
      <c r="BP35" s="89">
        <f t="shared" ca="1" si="17"/>
        <v>0</v>
      </c>
      <c r="BQ35" s="89">
        <f t="shared" ca="1" si="18"/>
        <v>0</v>
      </c>
      <c r="BR35" s="87">
        <f t="shared" ca="1" si="19"/>
        <v>0</v>
      </c>
      <c r="BS35" s="89">
        <f t="shared" ca="1" si="20"/>
        <v>0</v>
      </c>
      <c r="BT35" s="89">
        <f t="shared" ca="1" si="21"/>
        <v>0</v>
      </c>
      <c r="BU35" s="89">
        <f t="shared" ca="1" si="22"/>
        <v>0</v>
      </c>
      <c r="BV35" s="87">
        <f t="shared" ca="1" si="23"/>
        <v>0</v>
      </c>
      <c r="BW35" s="87" t="str">
        <f t="shared" ca="1" si="24"/>
        <v>000</v>
      </c>
      <c r="BX35" s="89">
        <f t="shared" ca="1" si="25"/>
        <v>0</v>
      </c>
    </row>
    <row r="36" spans="1:76">
      <c r="A36" s="90" t="str">
        <f t="shared" si="2"/>
        <v/>
      </c>
      <c r="B36" s="98">
        <v>5</v>
      </c>
      <c r="C36" s="94">
        <v>-1</v>
      </c>
      <c r="D36" s="94">
        <v>3</v>
      </c>
      <c r="E36" s="94">
        <v>6</v>
      </c>
      <c r="F36" s="94">
        <v>-7</v>
      </c>
      <c r="G36" s="94">
        <v>-8</v>
      </c>
      <c r="H36" s="94">
        <v>2</v>
      </c>
      <c r="I36" s="94">
        <v>-5</v>
      </c>
      <c r="J36" s="94">
        <v>1</v>
      </c>
      <c r="K36" s="94">
        <v>4</v>
      </c>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1">
        <f t="shared" ca="1" si="3"/>
        <v>0</v>
      </c>
      <c r="BB36" s="88" t="str">
        <f t="shared" ca="1" si="4"/>
        <v/>
      </c>
      <c r="BC36" s="89">
        <f t="shared" ca="1" si="5"/>
        <v>0</v>
      </c>
      <c r="BD36" s="89">
        <f ca="1">IF(BC36=0,0,RANK(BF36,$BF$11:$BF$70,0)+(COUNTIF($BF36:$BF$70,BF36)-1))</f>
        <v>0</v>
      </c>
      <c r="BE36" s="89">
        <f t="shared" ca="1" si="6"/>
        <v>0</v>
      </c>
      <c r="BF36" s="89">
        <f t="shared" ca="1" si="7"/>
        <v>0</v>
      </c>
      <c r="BG36" s="89">
        <f t="shared" ca="1" si="8"/>
        <v>0</v>
      </c>
      <c r="BH36" s="89">
        <f t="shared" ca="1" si="9"/>
        <v>0</v>
      </c>
      <c r="BI36" s="89">
        <f t="shared" ca="1" si="10"/>
        <v>0</v>
      </c>
      <c r="BJ36" s="89">
        <f t="shared" ca="1" si="11"/>
        <v>0</v>
      </c>
      <c r="BK36" s="89">
        <f t="shared" ca="1" si="12"/>
        <v>0</v>
      </c>
      <c r="BL36" s="89">
        <f t="shared" ca="1" si="13"/>
        <v>0</v>
      </c>
      <c r="BM36" s="89">
        <f t="shared" ca="1" si="14"/>
        <v>0</v>
      </c>
      <c r="BN36" s="89">
        <f t="shared" ca="1" si="15"/>
        <v>0</v>
      </c>
      <c r="BO36" s="89">
        <f t="shared" ca="1" si="16"/>
        <v>0</v>
      </c>
      <c r="BP36" s="89">
        <f t="shared" ca="1" si="17"/>
        <v>0</v>
      </c>
      <c r="BQ36" s="89">
        <f t="shared" ca="1" si="18"/>
        <v>0</v>
      </c>
      <c r="BR36" s="87">
        <f t="shared" ca="1" si="19"/>
        <v>0</v>
      </c>
      <c r="BS36" s="89">
        <f t="shared" ca="1" si="20"/>
        <v>0</v>
      </c>
      <c r="BT36" s="89">
        <f t="shared" ca="1" si="21"/>
        <v>0</v>
      </c>
      <c r="BU36" s="89">
        <f t="shared" ca="1" si="22"/>
        <v>0</v>
      </c>
      <c r="BV36" s="87">
        <f t="shared" ca="1" si="23"/>
        <v>0</v>
      </c>
      <c r="BW36" s="87" t="str">
        <f t="shared" ca="1" si="24"/>
        <v>000</v>
      </c>
      <c r="BX36" s="89">
        <f t="shared" ca="1" si="25"/>
        <v>0</v>
      </c>
    </row>
    <row r="37" spans="1:76">
      <c r="A37" s="90" t="str">
        <f t="shared" si="2"/>
        <v/>
      </c>
      <c r="B37" s="98">
        <v>6</v>
      </c>
      <c r="C37" s="94">
        <v>-8</v>
      </c>
      <c r="D37" s="94">
        <v>-7</v>
      </c>
      <c r="E37" s="94">
        <v>3</v>
      </c>
      <c r="F37" s="94">
        <v>9</v>
      </c>
      <c r="G37" s="94">
        <v>-2</v>
      </c>
      <c r="H37" s="94">
        <v>1</v>
      </c>
      <c r="I37" s="94">
        <v>-6</v>
      </c>
      <c r="J37" s="94">
        <v>5</v>
      </c>
      <c r="K37" s="94">
        <v>-4</v>
      </c>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1">
        <f t="shared" ca="1" si="3"/>
        <v>0</v>
      </c>
      <c r="BB37" s="88" t="str">
        <f t="shared" ca="1" si="4"/>
        <v/>
      </c>
      <c r="BC37" s="89">
        <f t="shared" ca="1" si="5"/>
        <v>0</v>
      </c>
      <c r="BD37" s="89">
        <f ca="1">IF(BC37=0,0,RANK(BF37,$BF$11:$BF$70,0)+(COUNTIF($BF37:$BF$70,BF37)-1))</f>
        <v>0</v>
      </c>
      <c r="BE37" s="89">
        <f t="shared" ca="1" si="6"/>
        <v>0</v>
      </c>
      <c r="BF37" s="89">
        <f t="shared" ca="1" si="7"/>
        <v>0</v>
      </c>
      <c r="BG37" s="89">
        <f t="shared" ca="1" si="8"/>
        <v>0</v>
      </c>
      <c r="BH37" s="89">
        <f t="shared" ca="1" si="9"/>
        <v>0</v>
      </c>
      <c r="BI37" s="89">
        <f t="shared" ca="1" si="10"/>
        <v>0</v>
      </c>
      <c r="BJ37" s="89">
        <f t="shared" ca="1" si="11"/>
        <v>0</v>
      </c>
      <c r="BK37" s="89">
        <f t="shared" ca="1" si="12"/>
        <v>0</v>
      </c>
      <c r="BL37" s="89">
        <f t="shared" ca="1" si="13"/>
        <v>0</v>
      </c>
      <c r="BM37" s="89">
        <f t="shared" ca="1" si="14"/>
        <v>0</v>
      </c>
      <c r="BN37" s="89">
        <f t="shared" ca="1" si="15"/>
        <v>0</v>
      </c>
      <c r="BO37" s="89">
        <f t="shared" ca="1" si="16"/>
        <v>0</v>
      </c>
      <c r="BP37" s="89">
        <f t="shared" ca="1" si="17"/>
        <v>0</v>
      </c>
      <c r="BQ37" s="89">
        <f t="shared" ca="1" si="18"/>
        <v>0</v>
      </c>
      <c r="BR37" s="87">
        <f t="shared" ca="1" si="19"/>
        <v>0</v>
      </c>
      <c r="BS37" s="89">
        <f t="shared" ca="1" si="20"/>
        <v>0</v>
      </c>
      <c r="BT37" s="89">
        <f t="shared" ca="1" si="21"/>
        <v>0</v>
      </c>
      <c r="BU37" s="89">
        <f t="shared" ca="1" si="22"/>
        <v>0</v>
      </c>
      <c r="BV37" s="87">
        <f t="shared" ca="1" si="23"/>
        <v>0</v>
      </c>
      <c r="BW37" s="87" t="str">
        <f t="shared" ca="1" si="24"/>
        <v>000</v>
      </c>
      <c r="BX37" s="89">
        <f t="shared" ca="1" si="25"/>
        <v>0</v>
      </c>
    </row>
    <row r="38" spans="1:76">
      <c r="A38" s="90" t="str">
        <f t="shared" si="2"/>
        <v/>
      </c>
      <c r="B38" s="98">
        <v>7</v>
      </c>
      <c r="C38" s="94">
        <v>9</v>
      </c>
      <c r="D38" s="94">
        <v>4</v>
      </c>
      <c r="E38" s="94">
        <v>-1</v>
      </c>
      <c r="F38" s="94">
        <v>-6</v>
      </c>
      <c r="G38" s="94">
        <v>2</v>
      </c>
      <c r="H38" s="94">
        <v>-3</v>
      </c>
      <c r="I38" s="94">
        <v>5</v>
      </c>
      <c r="J38" s="94">
        <v>8</v>
      </c>
      <c r="K38" s="94">
        <v>-7</v>
      </c>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c r="BA38" s="91">
        <f t="shared" ca="1" si="3"/>
        <v>0</v>
      </c>
      <c r="BB38" s="88" t="str">
        <f t="shared" ca="1" si="4"/>
        <v/>
      </c>
      <c r="BC38" s="89">
        <f t="shared" ca="1" si="5"/>
        <v>0</v>
      </c>
      <c r="BD38" s="89">
        <f ca="1">IF(BC38=0,0,RANK(BF38,$BF$11:$BF$70,0)+(COUNTIF($BF38:$BF$70,BF38)-1))</f>
        <v>0</v>
      </c>
      <c r="BE38" s="89">
        <f t="shared" ca="1" si="6"/>
        <v>0</v>
      </c>
      <c r="BF38" s="89">
        <f t="shared" ca="1" si="7"/>
        <v>0</v>
      </c>
      <c r="BG38" s="89">
        <f t="shared" ca="1" si="8"/>
        <v>0</v>
      </c>
      <c r="BH38" s="89">
        <f t="shared" ca="1" si="9"/>
        <v>0</v>
      </c>
      <c r="BI38" s="89">
        <f t="shared" ca="1" si="10"/>
        <v>0</v>
      </c>
      <c r="BJ38" s="89">
        <f t="shared" ca="1" si="11"/>
        <v>0</v>
      </c>
      <c r="BK38" s="89">
        <f t="shared" ca="1" si="12"/>
        <v>0</v>
      </c>
      <c r="BL38" s="89">
        <f t="shared" ca="1" si="13"/>
        <v>0</v>
      </c>
      <c r="BM38" s="89">
        <f t="shared" ca="1" si="14"/>
        <v>0</v>
      </c>
      <c r="BN38" s="89">
        <f t="shared" ca="1" si="15"/>
        <v>0</v>
      </c>
      <c r="BO38" s="89">
        <f t="shared" ca="1" si="16"/>
        <v>0</v>
      </c>
      <c r="BP38" s="89">
        <f t="shared" ca="1" si="17"/>
        <v>0</v>
      </c>
      <c r="BQ38" s="89">
        <f t="shared" ca="1" si="18"/>
        <v>0</v>
      </c>
      <c r="BR38" s="87">
        <f t="shared" ca="1" si="19"/>
        <v>0</v>
      </c>
      <c r="BS38" s="89">
        <f t="shared" ca="1" si="20"/>
        <v>0</v>
      </c>
      <c r="BT38" s="89">
        <f t="shared" ca="1" si="21"/>
        <v>0</v>
      </c>
      <c r="BU38" s="89">
        <f t="shared" ca="1" si="22"/>
        <v>0</v>
      </c>
      <c r="BV38" s="87">
        <f t="shared" ca="1" si="23"/>
        <v>0</v>
      </c>
      <c r="BW38" s="87" t="str">
        <f t="shared" ca="1" si="24"/>
        <v>000</v>
      </c>
      <c r="BX38" s="89">
        <f t="shared" ca="1" si="25"/>
        <v>0</v>
      </c>
    </row>
    <row r="39" spans="1:76">
      <c r="A39" s="90" t="str">
        <f t="shared" si="2"/>
        <v/>
      </c>
      <c r="B39" s="98">
        <v>8</v>
      </c>
      <c r="C39" s="94">
        <v>-2</v>
      </c>
      <c r="D39" s="94">
        <v>5</v>
      </c>
      <c r="E39" s="94">
        <v>-3</v>
      </c>
      <c r="F39" s="94">
        <v>-8</v>
      </c>
      <c r="G39" s="94">
        <v>6</v>
      </c>
      <c r="H39" s="94">
        <v>9</v>
      </c>
      <c r="I39" s="94">
        <v>-4</v>
      </c>
      <c r="J39" s="94">
        <v>-1</v>
      </c>
      <c r="K39" s="94">
        <v>7</v>
      </c>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1">
        <f t="shared" ca="1" si="3"/>
        <v>0</v>
      </c>
      <c r="BB39" s="88" t="str">
        <f t="shared" ca="1" si="4"/>
        <v/>
      </c>
      <c r="BC39" s="89">
        <f t="shared" ca="1" si="5"/>
        <v>0</v>
      </c>
      <c r="BD39" s="89">
        <f ca="1">IF(BC39=0,0,RANK(BF39,$BF$11:$BF$70,0)+(COUNTIF($BF39:$BF$70,BF39)-1))</f>
        <v>0</v>
      </c>
      <c r="BE39" s="89">
        <f t="shared" ca="1" si="6"/>
        <v>0</v>
      </c>
      <c r="BF39" s="89">
        <f t="shared" ca="1" si="7"/>
        <v>0</v>
      </c>
      <c r="BG39" s="89">
        <f t="shared" ca="1" si="8"/>
        <v>0</v>
      </c>
      <c r="BH39" s="89">
        <f t="shared" ca="1" si="9"/>
        <v>0</v>
      </c>
      <c r="BI39" s="89">
        <f t="shared" ca="1" si="10"/>
        <v>0</v>
      </c>
      <c r="BJ39" s="89">
        <f t="shared" ca="1" si="11"/>
        <v>0</v>
      </c>
      <c r="BK39" s="89">
        <f t="shared" ca="1" si="12"/>
        <v>0</v>
      </c>
      <c r="BL39" s="89">
        <f t="shared" ca="1" si="13"/>
        <v>0</v>
      </c>
      <c r="BM39" s="89">
        <f t="shared" ca="1" si="14"/>
        <v>0</v>
      </c>
      <c r="BN39" s="89">
        <f t="shared" ca="1" si="15"/>
        <v>0</v>
      </c>
      <c r="BO39" s="89">
        <f t="shared" ca="1" si="16"/>
        <v>0</v>
      </c>
      <c r="BP39" s="89">
        <f t="shared" ca="1" si="17"/>
        <v>0</v>
      </c>
      <c r="BQ39" s="89">
        <f t="shared" ca="1" si="18"/>
        <v>0</v>
      </c>
      <c r="BR39" s="87">
        <f t="shared" ca="1" si="19"/>
        <v>0</v>
      </c>
      <c r="BS39" s="89">
        <f t="shared" ca="1" si="20"/>
        <v>0</v>
      </c>
      <c r="BT39" s="89">
        <f t="shared" ca="1" si="21"/>
        <v>0</v>
      </c>
      <c r="BU39" s="89">
        <f t="shared" ca="1" si="22"/>
        <v>0</v>
      </c>
      <c r="BV39" s="87">
        <f t="shared" ca="1" si="23"/>
        <v>0</v>
      </c>
      <c r="BW39" s="87" t="str">
        <f t="shared" ca="1" si="24"/>
        <v>000</v>
      </c>
      <c r="BX39" s="89">
        <f t="shared" ca="1" si="25"/>
        <v>0</v>
      </c>
    </row>
    <row r="40" spans="1:76">
      <c r="A40" s="90" t="str">
        <f t="shared" si="2"/>
        <v/>
      </c>
      <c r="B40" s="99">
        <v>9</v>
      </c>
      <c r="C40" s="92">
        <v>8</v>
      </c>
      <c r="D40" s="92">
        <v>-4</v>
      </c>
      <c r="E40" s="92">
        <v>-6</v>
      </c>
      <c r="F40" s="92">
        <v>5</v>
      </c>
      <c r="G40" s="92">
        <v>3</v>
      </c>
      <c r="H40" s="92">
        <v>-9</v>
      </c>
      <c r="I40" s="92">
        <v>7</v>
      </c>
      <c r="J40" s="92">
        <v>-2</v>
      </c>
      <c r="K40" s="92">
        <v>1</v>
      </c>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1">
        <f t="shared" ca="1" si="3"/>
        <v>0</v>
      </c>
      <c r="BB40" s="88" t="str">
        <f t="shared" ca="1" si="4"/>
        <v/>
      </c>
      <c r="BC40" s="89">
        <f t="shared" ca="1" si="5"/>
        <v>0</v>
      </c>
      <c r="BD40" s="89">
        <f ca="1">IF(BC40=0,0,RANK(BF40,$BF$11:$BF$70,0)+(COUNTIF($BF40:$BF$70,BF40)-1))</f>
        <v>0</v>
      </c>
      <c r="BE40" s="89">
        <f t="shared" ca="1" si="6"/>
        <v>0</v>
      </c>
      <c r="BF40" s="89">
        <f t="shared" ca="1" si="7"/>
        <v>0</v>
      </c>
      <c r="BG40" s="89">
        <f t="shared" ca="1" si="8"/>
        <v>0</v>
      </c>
      <c r="BH40" s="89">
        <f t="shared" ca="1" si="9"/>
        <v>0</v>
      </c>
      <c r="BI40" s="89">
        <f t="shared" ca="1" si="10"/>
        <v>0</v>
      </c>
      <c r="BJ40" s="89">
        <f t="shared" ca="1" si="11"/>
        <v>0</v>
      </c>
      <c r="BK40" s="89">
        <f t="shared" ca="1" si="12"/>
        <v>0</v>
      </c>
      <c r="BL40" s="89">
        <f t="shared" ca="1" si="13"/>
        <v>0</v>
      </c>
      <c r="BM40" s="89">
        <f t="shared" ca="1" si="14"/>
        <v>0</v>
      </c>
      <c r="BN40" s="89">
        <f t="shared" ca="1" si="15"/>
        <v>0</v>
      </c>
      <c r="BO40" s="89">
        <f t="shared" ca="1" si="16"/>
        <v>0</v>
      </c>
      <c r="BP40" s="89">
        <f t="shared" ca="1" si="17"/>
        <v>0</v>
      </c>
      <c r="BQ40" s="89">
        <f t="shared" ca="1" si="18"/>
        <v>0</v>
      </c>
      <c r="BR40" s="87">
        <f t="shared" ca="1" si="19"/>
        <v>0</v>
      </c>
      <c r="BS40" s="89">
        <f t="shared" ca="1" si="20"/>
        <v>0</v>
      </c>
      <c r="BT40" s="89">
        <f t="shared" ca="1" si="21"/>
        <v>0</v>
      </c>
      <c r="BU40" s="89">
        <f t="shared" ca="1" si="22"/>
        <v>0</v>
      </c>
      <c r="BV40" s="87">
        <f t="shared" ca="1" si="23"/>
        <v>0</v>
      </c>
      <c r="BW40" s="87" t="str">
        <f t="shared" ca="1" si="24"/>
        <v>000</v>
      </c>
      <c r="BX40" s="89">
        <f t="shared" ca="1" si="25"/>
        <v>0</v>
      </c>
    </row>
    <row r="41" spans="1:76">
      <c r="A41" s="90" t="str">
        <f t="shared" si="2"/>
        <v/>
      </c>
      <c r="B41" s="98">
        <v>10</v>
      </c>
      <c r="C41" s="94">
        <v>-5</v>
      </c>
      <c r="D41" s="94">
        <v>9</v>
      </c>
      <c r="E41" s="94">
        <v>-2</v>
      </c>
      <c r="F41" s="94">
        <v>4</v>
      </c>
      <c r="G41" s="94">
        <v>1</v>
      </c>
      <c r="H41" s="94">
        <v>-6</v>
      </c>
      <c r="I41" s="94">
        <v>-8</v>
      </c>
      <c r="J41" s="94">
        <v>7</v>
      </c>
      <c r="K41" s="94">
        <v>3</v>
      </c>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1">
        <f t="shared" ca="1" si="3"/>
        <v>0</v>
      </c>
      <c r="BB41" s="88" t="str">
        <f t="shared" ca="1" si="4"/>
        <v/>
      </c>
      <c r="BC41" s="89">
        <f t="shared" ca="1" si="5"/>
        <v>0</v>
      </c>
      <c r="BD41" s="89">
        <f ca="1">IF(BC41=0,0,RANK(BF41,$BF$11:$BF$70,0)+(COUNTIF($BF41:$BF$70,BF41)-1))</f>
        <v>0</v>
      </c>
      <c r="BE41" s="89">
        <f t="shared" ca="1" si="6"/>
        <v>0</v>
      </c>
      <c r="BF41" s="89">
        <f t="shared" ca="1" si="7"/>
        <v>0</v>
      </c>
      <c r="BG41" s="89">
        <f t="shared" ca="1" si="8"/>
        <v>0</v>
      </c>
      <c r="BH41" s="89">
        <f t="shared" ca="1" si="9"/>
        <v>0</v>
      </c>
      <c r="BI41" s="89">
        <f t="shared" ca="1" si="10"/>
        <v>0</v>
      </c>
      <c r="BJ41" s="89">
        <f t="shared" ca="1" si="11"/>
        <v>0</v>
      </c>
      <c r="BK41" s="89">
        <f t="shared" ca="1" si="12"/>
        <v>0</v>
      </c>
      <c r="BL41" s="89">
        <f t="shared" ca="1" si="13"/>
        <v>0</v>
      </c>
      <c r="BM41" s="89">
        <f t="shared" ca="1" si="14"/>
        <v>0</v>
      </c>
      <c r="BN41" s="89">
        <f t="shared" ca="1" si="15"/>
        <v>0</v>
      </c>
      <c r="BO41" s="89">
        <f t="shared" ca="1" si="16"/>
        <v>0</v>
      </c>
      <c r="BP41" s="89">
        <f t="shared" ca="1" si="17"/>
        <v>0</v>
      </c>
      <c r="BQ41" s="89">
        <f t="shared" ca="1" si="18"/>
        <v>0</v>
      </c>
      <c r="BR41" s="87">
        <f t="shared" ca="1" si="19"/>
        <v>0</v>
      </c>
      <c r="BS41" s="89">
        <f t="shared" ca="1" si="20"/>
        <v>0</v>
      </c>
      <c r="BT41" s="89">
        <f t="shared" ca="1" si="21"/>
        <v>0</v>
      </c>
      <c r="BU41" s="89">
        <f t="shared" ca="1" si="22"/>
        <v>0</v>
      </c>
      <c r="BV41" s="87">
        <f t="shared" ca="1" si="23"/>
        <v>0</v>
      </c>
      <c r="BW41" s="87" t="str">
        <f t="shared" ca="1" si="24"/>
        <v>000</v>
      </c>
      <c r="BX41" s="89">
        <f t="shared" ca="1" si="25"/>
        <v>0</v>
      </c>
    </row>
    <row r="42" spans="1:76">
      <c r="A42" s="90" t="str">
        <f t="shared" si="2"/>
        <v/>
      </c>
      <c r="B42" s="98">
        <v>11</v>
      </c>
      <c r="C42" s="94">
        <v>4</v>
      </c>
      <c r="D42" s="94">
        <v>-1</v>
      </c>
      <c r="E42" s="94">
        <v>7</v>
      </c>
      <c r="F42" s="94">
        <v>-2</v>
      </c>
      <c r="G42" s="94">
        <v>-5</v>
      </c>
      <c r="H42" s="94">
        <v>6</v>
      </c>
      <c r="I42" s="94">
        <v>3</v>
      </c>
      <c r="J42" s="94">
        <v>-9</v>
      </c>
      <c r="K42" s="94">
        <v>-8</v>
      </c>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1">
        <f t="shared" ca="1" si="3"/>
        <v>0</v>
      </c>
      <c r="BB42" s="88" t="str">
        <f t="shared" ca="1" si="4"/>
        <v/>
      </c>
      <c r="BC42" s="89">
        <f t="shared" ca="1" si="5"/>
        <v>0</v>
      </c>
      <c r="BD42" s="89">
        <f ca="1">IF(BC42=0,0,RANK(BF42,$BF$11:$BF$70,0)+(COUNTIF($BF42:$BF$70,BF42)-1))</f>
        <v>0</v>
      </c>
      <c r="BE42" s="89">
        <f t="shared" ca="1" si="6"/>
        <v>0</v>
      </c>
      <c r="BF42" s="89">
        <f t="shared" ca="1" si="7"/>
        <v>0</v>
      </c>
      <c r="BG42" s="89">
        <f t="shared" ca="1" si="8"/>
        <v>0</v>
      </c>
      <c r="BH42" s="89">
        <f t="shared" ca="1" si="9"/>
        <v>0</v>
      </c>
      <c r="BI42" s="89">
        <f t="shared" ca="1" si="10"/>
        <v>0</v>
      </c>
      <c r="BJ42" s="89">
        <f t="shared" ca="1" si="11"/>
        <v>0</v>
      </c>
      <c r="BK42" s="89">
        <f t="shared" ca="1" si="12"/>
        <v>0</v>
      </c>
      <c r="BL42" s="89">
        <f t="shared" ca="1" si="13"/>
        <v>0</v>
      </c>
      <c r="BM42" s="89">
        <f t="shared" ca="1" si="14"/>
        <v>0</v>
      </c>
      <c r="BN42" s="89">
        <f t="shared" ca="1" si="15"/>
        <v>0</v>
      </c>
      <c r="BO42" s="89">
        <f t="shared" ca="1" si="16"/>
        <v>0</v>
      </c>
      <c r="BP42" s="89">
        <f t="shared" ca="1" si="17"/>
        <v>0</v>
      </c>
      <c r="BQ42" s="89">
        <f t="shared" ca="1" si="18"/>
        <v>0</v>
      </c>
      <c r="BR42" s="87">
        <f t="shared" ca="1" si="19"/>
        <v>0</v>
      </c>
      <c r="BS42" s="89">
        <f t="shared" ca="1" si="20"/>
        <v>0</v>
      </c>
      <c r="BT42" s="89">
        <f t="shared" ca="1" si="21"/>
        <v>0</v>
      </c>
      <c r="BU42" s="89">
        <f t="shared" ca="1" si="22"/>
        <v>0</v>
      </c>
      <c r="BV42" s="87">
        <f t="shared" ca="1" si="23"/>
        <v>0</v>
      </c>
      <c r="BW42" s="87" t="str">
        <f t="shared" ca="1" si="24"/>
        <v>000</v>
      </c>
      <c r="BX42" s="89">
        <f t="shared" ca="1" si="25"/>
        <v>0</v>
      </c>
    </row>
    <row r="43" spans="1:76">
      <c r="A43" s="90" t="str">
        <f t="shared" si="2"/>
        <v/>
      </c>
      <c r="B43" s="98">
        <v>12</v>
      </c>
      <c r="C43" s="94">
        <v>7</v>
      </c>
      <c r="D43" s="94">
        <v>-6</v>
      </c>
      <c r="E43" s="94">
        <v>-5</v>
      </c>
      <c r="F43" s="94">
        <v>1</v>
      </c>
      <c r="G43" s="94">
        <v>4</v>
      </c>
      <c r="H43" s="94">
        <v>-8</v>
      </c>
      <c r="I43" s="94">
        <v>-2</v>
      </c>
      <c r="J43" s="94">
        <v>9</v>
      </c>
      <c r="K43" s="94">
        <v>-3</v>
      </c>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1">
        <f t="shared" ca="1" si="3"/>
        <v>0</v>
      </c>
      <c r="BB43" s="88" t="str">
        <f t="shared" ca="1" si="4"/>
        <v/>
      </c>
      <c r="BC43" s="89">
        <f t="shared" ca="1" si="5"/>
        <v>0</v>
      </c>
      <c r="BD43" s="89">
        <f ca="1">IF(BC43=0,0,RANK(BF43,$BF$11:$BF$70,0)+(COUNTIF($BF43:$BF$70,BF43)-1))</f>
        <v>0</v>
      </c>
      <c r="BE43" s="89">
        <f t="shared" ca="1" si="6"/>
        <v>0</v>
      </c>
      <c r="BF43" s="89">
        <f t="shared" ca="1" si="7"/>
        <v>0</v>
      </c>
      <c r="BG43" s="89">
        <f t="shared" ca="1" si="8"/>
        <v>0</v>
      </c>
      <c r="BH43" s="89">
        <f t="shared" ca="1" si="9"/>
        <v>0</v>
      </c>
      <c r="BI43" s="89">
        <f t="shared" ca="1" si="10"/>
        <v>0</v>
      </c>
      <c r="BJ43" s="89">
        <f t="shared" ca="1" si="11"/>
        <v>0</v>
      </c>
      <c r="BK43" s="89">
        <f t="shared" ca="1" si="12"/>
        <v>0</v>
      </c>
      <c r="BL43" s="89">
        <f t="shared" ca="1" si="13"/>
        <v>0</v>
      </c>
      <c r="BM43" s="89">
        <f t="shared" ca="1" si="14"/>
        <v>0</v>
      </c>
      <c r="BN43" s="89">
        <f t="shared" ca="1" si="15"/>
        <v>0</v>
      </c>
      <c r="BO43" s="89">
        <f t="shared" ca="1" si="16"/>
        <v>0</v>
      </c>
      <c r="BP43" s="89">
        <f t="shared" ca="1" si="17"/>
        <v>0</v>
      </c>
      <c r="BQ43" s="89">
        <f t="shared" ca="1" si="18"/>
        <v>0</v>
      </c>
      <c r="BR43" s="87">
        <f t="shared" ca="1" si="19"/>
        <v>0</v>
      </c>
      <c r="BS43" s="89">
        <f t="shared" ca="1" si="20"/>
        <v>0</v>
      </c>
      <c r="BT43" s="89">
        <f t="shared" ca="1" si="21"/>
        <v>0</v>
      </c>
      <c r="BU43" s="89">
        <f t="shared" ca="1" si="22"/>
        <v>0</v>
      </c>
      <c r="BV43" s="87">
        <f t="shared" ca="1" si="23"/>
        <v>0</v>
      </c>
      <c r="BW43" s="87" t="str">
        <f t="shared" ca="1" si="24"/>
        <v>000</v>
      </c>
      <c r="BX43" s="89">
        <f t="shared" ca="1" si="25"/>
        <v>0</v>
      </c>
    </row>
    <row r="44" spans="1:76">
      <c r="A44" s="90" t="str">
        <f t="shared" si="2"/>
        <v/>
      </c>
      <c r="B44" s="98">
        <v>13</v>
      </c>
      <c r="C44" s="94">
        <v>-6</v>
      </c>
      <c r="D44" s="94">
        <v>1</v>
      </c>
      <c r="E44" s="94">
        <v>8</v>
      </c>
      <c r="F44" s="94">
        <v>-3</v>
      </c>
      <c r="G44" s="94">
        <v>-4</v>
      </c>
      <c r="H44" s="94">
        <v>5</v>
      </c>
      <c r="I44" s="94">
        <v>-9</v>
      </c>
      <c r="J44" s="94">
        <v>-7</v>
      </c>
      <c r="K44" s="94">
        <v>2</v>
      </c>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1">
        <f t="shared" ca="1" si="3"/>
        <v>0</v>
      </c>
      <c r="BB44" s="88" t="str">
        <f t="shared" ca="1" si="4"/>
        <v/>
      </c>
      <c r="BC44" s="89">
        <f t="shared" ca="1" si="5"/>
        <v>0</v>
      </c>
      <c r="BD44" s="89">
        <f ca="1">IF(BC44=0,0,RANK(BF44,$BF$11:$BF$70,0)+(COUNTIF($BF44:$BF$70,BF44)-1))</f>
        <v>0</v>
      </c>
      <c r="BE44" s="89">
        <f t="shared" ca="1" si="6"/>
        <v>0</v>
      </c>
      <c r="BF44" s="89">
        <f t="shared" ca="1" si="7"/>
        <v>0</v>
      </c>
      <c r="BG44" s="89">
        <f t="shared" ca="1" si="8"/>
        <v>0</v>
      </c>
      <c r="BH44" s="89">
        <f t="shared" ca="1" si="9"/>
        <v>0</v>
      </c>
      <c r="BI44" s="89">
        <f t="shared" ca="1" si="10"/>
        <v>0</v>
      </c>
      <c r="BJ44" s="89">
        <f t="shared" ca="1" si="11"/>
        <v>0</v>
      </c>
      <c r="BK44" s="89">
        <f t="shared" ca="1" si="12"/>
        <v>0</v>
      </c>
      <c r="BL44" s="89">
        <f t="shared" ca="1" si="13"/>
        <v>0</v>
      </c>
      <c r="BM44" s="89">
        <f t="shared" ca="1" si="14"/>
        <v>0</v>
      </c>
      <c r="BN44" s="89">
        <f t="shared" ca="1" si="15"/>
        <v>0</v>
      </c>
      <c r="BO44" s="89">
        <f t="shared" ca="1" si="16"/>
        <v>0</v>
      </c>
      <c r="BP44" s="89">
        <f t="shared" ca="1" si="17"/>
        <v>0</v>
      </c>
      <c r="BQ44" s="89">
        <f t="shared" ca="1" si="18"/>
        <v>0</v>
      </c>
      <c r="BR44" s="87">
        <f t="shared" ca="1" si="19"/>
        <v>0</v>
      </c>
      <c r="BS44" s="89">
        <f t="shared" ca="1" si="20"/>
        <v>0</v>
      </c>
      <c r="BT44" s="89">
        <f t="shared" ca="1" si="21"/>
        <v>0</v>
      </c>
      <c r="BU44" s="89">
        <f t="shared" ca="1" si="22"/>
        <v>0</v>
      </c>
      <c r="BV44" s="87">
        <f t="shared" ca="1" si="23"/>
        <v>0</v>
      </c>
      <c r="BW44" s="87" t="str">
        <f t="shared" ca="1" si="24"/>
        <v>000</v>
      </c>
      <c r="BX44" s="89">
        <f t="shared" ca="1" si="25"/>
        <v>0</v>
      </c>
    </row>
    <row r="45" spans="1:76">
      <c r="A45" s="90" t="str">
        <f t="shared" si="2"/>
        <v/>
      </c>
      <c r="B45" s="98">
        <v>14</v>
      </c>
      <c r="C45" s="94">
        <v>-3</v>
      </c>
      <c r="D45" s="94">
        <v>-2</v>
      </c>
      <c r="E45" s="94">
        <v>5</v>
      </c>
      <c r="F45" s="94">
        <v>7</v>
      </c>
      <c r="G45" s="94">
        <v>-1</v>
      </c>
      <c r="H45" s="94">
        <v>-4</v>
      </c>
      <c r="I45" s="94">
        <v>9</v>
      </c>
      <c r="J45" s="94">
        <v>-6</v>
      </c>
      <c r="K45" s="94">
        <v>8</v>
      </c>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1">
        <f t="shared" ca="1" si="3"/>
        <v>0</v>
      </c>
      <c r="BB45" s="88" t="str">
        <f t="shared" ca="1" si="4"/>
        <v/>
      </c>
      <c r="BC45" s="89">
        <f t="shared" ca="1" si="5"/>
        <v>0</v>
      </c>
      <c r="BD45" s="89">
        <f ca="1">IF(BC45=0,0,RANK(BF45,$BF$11:$BF$70,0)+(COUNTIF($BF45:$BF$70,BF45)-1))</f>
        <v>0</v>
      </c>
      <c r="BE45" s="89">
        <f t="shared" ca="1" si="6"/>
        <v>0</v>
      </c>
      <c r="BF45" s="89">
        <f t="shared" ca="1" si="7"/>
        <v>0</v>
      </c>
      <c r="BG45" s="89">
        <f t="shared" ca="1" si="8"/>
        <v>0</v>
      </c>
      <c r="BH45" s="89">
        <f t="shared" ca="1" si="9"/>
        <v>0</v>
      </c>
      <c r="BI45" s="89">
        <f t="shared" ca="1" si="10"/>
        <v>0</v>
      </c>
      <c r="BJ45" s="89">
        <f t="shared" ca="1" si="11"/>
        <v>0</v>
      </c>
      <c r="BK45" s="89">
        <f t="shared" ca="1" si="12"/>
        <v>0</v>
      </c>
      <c r="BL45" s="89">
        <f t="shared" ca="1" si="13"/>
        <v>0</v>
      </c>
      <c r="BM45" s="89">
        <f t="shared" ca="1" si="14"/>
        <v>0</v>
      </c>
      <c r="BN45" s="89">
        <f t="shared" ca="1" si="15"/>
        <v>0</v>
      </c>
      <c r="BO45" s="89">
        <f t="shared" ca="1" si="16"/>
        <v>0</v>
      </c>
      <c r="BP45" s="89">
        <f t="shared" ca="1" si="17"/>
        <v>0</v>
      </c>
      <c r="BQ45" s="89">
        <f t="shared" ca="1" si="18"/>
        <v>0</v>
      </c>
      <c r="BR45" s="87">
        <f t="shared" ca="1" si="19"/>
        <v>0</v>
      </c>
      <c r="BS45" s="89">
        <f t="shared" ca="1" si="20"/>
        <v>0</v>
      </c>
      <c r="BT45" s="89">
        <f t="shared" ca="1" si="21"/>
        <v>0</v>
      </c>
      <c r="BU45" s="89">
        <f t="shared" ca="1" si="22"/>
        <v>0</v>
      </c>
      <c r="BV45" s="87">
        <f t="shared" ca="1" si="23"/>
        <v>0</v>
      </c>
      <c r="BW45" s="87" t="str">
        <f t="shared" ca="1" si="24"/>
        <v>000</v>
      </c>
      <c r="BX45" s="89">
        <f t="shared" ca="1" si="25"/>
        <v>0</v>
      </c>
    </row>
    <row r="46" spans="1:76">
      <c r="A46" s="90" t="str">
        <f t="shared" si="2"/>
        <v/>
      </c>
      <c r="B46" s="98">
        <v>15</v>
      </c>
      <c r="C46" s="94">
        <v>6</v>
      </c>
      <c r="D46" s="94">
        <v>-8</v>
      </c>
      <c r="E46" s="94">
        <v>2</v>
      </c>
      <c r="F46" s="94">
        <v>-1</v>
      </c>
      <c r="G46" s="94">
        <v>7</v>
      </c>
      <c r="H46" s="94">
        <v>4</v>
      </c>
      <c r="I46" s="94">
        <v>-3</v>
      </c>
      <c r="J46" s="94">
        <v>-5</v>
      </c>
      <c r="K46" s="94">
        <v>9</v>
      </c>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1">
        <f t="shared" ca="1" si="3"/>
        <v>0</v>
      </c>
      <c r="BB46" s="88" t="str">
        <f t="shared" ca="1" si="4"/>
        <v/>
      </c>
      <c r="BC46" s="89">
        <f t="shared" ca="1" si="5"/>
        <v>0</v>
      </c>
      <c r="BD46" s="89">
        <f ca="1">IF(BC46=0,0,RANK(BF46,$BF$11:$BF$70,0)+(COUNTIF($BF46:$BF$70,BF46)-1))</f>
        <v>0</v>
      </c>
      <c r="BE46" s="89">
        <f t="shared" ca="1" si="6"/>
        <v>0</v>
      </c>
      <c r="BF46" s="89">
        <f t="shared" ca="1" si="7"/>
        <v>0</v>
      </c>
      <c r="BG46" s="89">
        <f t="shared" ca="1" si="8"/>
        <v>0</v>
      </c>
      <c r="BH46" s="89">
        <f t="shared" ca="1" si="9"/>
        <v>0</v>
      </c>
      <c r="BI46" s="89">
        <f t="shared" ca="1" si="10"/>
        <v>0</v>
      </c>
      <c r="BJ46" s="89">
        <f t="shared" ca="1" si="11"/>
        <v>0</v>
      </c>
      <c r="BK46" s="89">
        <f t="shared" ca="1" si="12"/>
        <v>0</v>
      </c>
      <c r="BL46" s="89">
        <f t="shared" ca="1" si="13"/>
        <v>0</v>
      </c>
      <c r="BM46" s="89">
        <f t="shared" ca="1" si="14"/>
        <v>0</v>
      </c>
      <c r="BN46" s="89">
        <f t="shared" ca="1" si="15"/>
        <v>0</v>
      </c>
      <c r="BO46" s="89">
        <f t="shared" ca="1" si="16"/>
        <v>0</v>
      </c>
      <c r="BP46" s="89">
        <f t="shared" ca="1" si="17"/>
        <v>0</v>
      </c>
      <c r="BQ46" s="89">
        <f t="shared" ca="1" si="18"/>
        <v>0</v>
      </c>
      <c r="BR46" s="87">
        <f t="shared" ca="1" si="19"/>
        <v>0</v>
      </c>
      <c r="BS46" s="89">
        <f t="shared" ca="1" si="20"/>
        <v>0</v>
      </c>
      <c r="BT46" s="89">
        <f t="shared" ca="1" si="21"/>
        <v>0</v>
      </c>
      <c r="BU46" s="89">
        <f t="shared" ca="1" si="22"/>
        <v>0</v>
      </c>
      <c r="BV46" s="87">
        <f t="shared" ca="1" si="23"/>
        <v>0</v>
      </c>
      <c r="BW46" s="87" t="str">
        <f t="shared" ca="1" si="24"/>
        <v>000</v>
      </c>
      <c r="BX46" s="89">
        <f t="shared" ca="1" si="25"/>
        <v>0</v>
      </c>
    </row>
    <row r="47" spans="1:76">
      <c r="A47" s="90" t="str">
        <f t="shared" si="2"/>
        <v/>
      </c>
      <c r="B47" s="98">
        <v>16</v>
      </c>
      <c r="C47" s="94">
        <v>-7</v>
      </c>
      <c r="D47" s="94">
        <v>8</v>
      </c>
      <c r="E47" s="94">
        <v>9</v>
      </c>
      <c r="F47" s="94">
        <v>-4</v>
      </c>
      <c r="G47" s="94">
        <v>5</v>
      </c>
      <c r="H47" s="94">
        <v>3</v>
      </c>
      <c r="I47" s="94">
        <v>-1</v>
      </c>
      <c r="J47" s="94">
        <v>6</v>
      </c>
      <c r="K47" s="94">
        <v>-2</v>
      </c>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1">
        <f t="shared" ca="1" si="3"/>
        <v>0</v>
      </c>
      <c r="BB47" s="88" t="str">
        <f t="shared" ca="1" si="4"/>
        <v/>
      </c>
      <c r="BC47" s="89">
        <f t="shared" ca="1" si="5"/>
        <v>0</v>
      </c>
      <c r="BD47" s="89">
        <f ca="1">IF(BC47=0,0,RANK(BF47,$BF$11:$BF$70,0)+(COUNTIF($BF47:$BF$70,BF47)-1))</f>
        <v>0</v>
      </c>
      <c r="BE47" s="89">
        <f t="shared" ca="1" si="6"/>
        <v>0</v>
      </c>
      <c r="BF47" s="89">
        <f t="shared" ca="1" si="7"/>
        <v>0</v>
      </c>
      <c r="BG47" s="89">
        <f t="shared" ca="1" si="8"/>
        <v>0</v>
      </c>
      <c r="BH47" s="89">
        <f t="shared" ca="1" si="9"/>
        <v>0</v>
      </c>
      <c r="BI47" s="89">
        <f t="shared" ca="1" si="10"/>
        <v>0</v>
      </c>
      <c r="BJ47" s="89">
        <f t="shared" ca="1" si="11"/>
        <v>0</v>
      </c>
      <c r="BK47" s="89">
        <f t="shared" ca="1" si="12"/>
        <v>0</v>
      </c>
      <c r="BL47" s="89">
        <f t="shared" ca="1" si="13"/>
        <v>0</v>
      </c>
      <c r="BM47" s="89">
        <f t="shared" ca="1" si="14"/>
        <v>0</v>
      </c>
      <c r="BN47" s="89">
        <f t="shared" ca="1" si="15"/>
        <v>0</v>
      </c>
      <c r="BO47" s="89">
        <f t="shared" ca="1" si="16"/>
        <v>0</v>
      </c>
      <c r="BP47" s="89">
        <f t="shared" ca="1" si="17"/>
        <v>0</v>
      </c>
      <c r="BQ47" s="89">
        <f t="shared" ca="1" si="18"/>
        <v>0</v>
      </c>
      <c r="BR47" s="87">
        <f t="shared" ca="1" si="19"/>
        <v>0</v>
      </c>
      <c r="BS47" s="89">
        <f t="shared" ca="1" si="20"/>
        <v>0</v>
      </c>
      <c r="BT47" s="89">
        <f t="shared" ca="1" si="21"/>
        <v>0</v>
      </c>
      <c r="BU47" s="89">
        <f t="shared" ca="1" si="22"/>
        <v>0</v>
      </c>
      <c r="BV47" s="87">
        <f t="shared" ca="1" si="23"/>
        <v>0</v>
      </c>
      <c r="BW47" s="87" t="str">
        <f t="shared" ca="1" si="24"/>
        <v>000</v>
      </c>
      <c r="BX47" s="89">
        <f t="shared" ca="1" si="25"/>
        <v>0</v>
      </c>
    </row>
    <row r="48" spans="1:76">
      <c r="A48" s="90" t="str">
        <f t="shared" si="2"/>
        <v/>
      </c>
      <c r="B48" s="98">
        <v>17</v>
      </c>
      <c r="C48" s="94">
        <v>5</v>
      </c>
      <c r="D48" s="94">
        <v>2</v>
      </c>
      <c r="E48" s="94">
        <v>-7</v>
      </c>
      <c r="F48" s="94">
        <v>3</v>
      </c>
      <c r="G48" s="94">
        <v>-6</v>
      </c>
      <c r="H48" s="94">
        <v>8</v>
      </c>
      <c r="I48" s="94">
        <v>1</v>
      </c>
      <c r="J48" s="94">
        <v>-4</v>
      </c>
      <c r="K48" s="94">
        <v>-9</v>
      </c>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c r="AZ48" s="94"/>
      <c r="BA48" s="91">
        <f t="shared" ca="1" si="3"/>
        <v>0</v>
      </c>
      <c r="BB48" s="88" t="str">
        <f t="shared" ca="1" si="4"/>
        <v/>
      </c>
      <c r="BC48" s="89">
        <f t="shared" ca="1" si="5"/>
        <v>0</v>
      </c>
      <c r="BD48" s="89">
        <f ca="1">IF(BC48=0,0,RANK(BF48,$BF$11:$BF$70,0)+(COUNTIF($BF48:$BF$70,BF48)-1))</f>
        <v>0</v>
      </c>
      <c r="BE48" s="89">
        <f t="shared" ca="1" si="6"/>
        <v>0</v>
      </c>
      <c r="BF48" s="89">
        <f t="shared" ca="1" si="7"/>
        <v>0</v>
      </c>
      <c r="BG48" s="89">
        <f t="shared" ca="1" si="8"/>
        <v>0</v>
      </c>
      <c r="BH48" s="89">
        <f t="shared" ca="1" si="9"/>
        <v>0</v>
      </c>
      <c r="BI48" s="89">
        <f t="shared" ca="1" si="10"/>
        <v>0</v>
      </c>
      <c r="BJ48" s="89">
        <f t="shared" ca="1" si="11"/>
        <v>0</v>
      </c>
      <c r="BK48" s="89">
        <f t="shared" ca="1" si="12"/>
        <v>0</v>
      </c>
      <c r="BL48" s="89">
        <f t="shared" ca="1" si="13"/>
        <v>0</v>
      </c>
      <c r="BM48" s="89">
        <f t="shared" ca="1" si="14"/>
        <v>0</v>
      </c>
      <c r="BN48" s="89">
        <f t="shared" ca="1" si="15"/>
        <v>0</v>
      </c>
      <c r="BO48" s="89">
        <f t="shared" ca="1" si="16"/>
        <v>0</v>
      </c>
      <c r="BP48" s="89">
        <f t="shared" ca="1" si="17"/>
        <v>0</v>
      </c>
      <c r="BQ48" s="89">
        <f t="shared" ca="1" si="18"/>
        <v>0</v>
      </c>
      <c r="BR48" s="87">
        <f t="shared" ca="1" si="19"/>
        <v>0</v>
      </c>
      <c r="BS48" s="89">
        <f t="shared" ca="1" si="20"/>
        <v>0</v>
      </c>
      <c r="BT48" s="89">
        <f t="shared" ca="1" si="21"/>
        <v>0</v>
      </c>
      <c r="BU48" s="89">
        <f t="shared" ca="1" si="22"/>
        <v>0</v>
      </c>
      <c r="BV48" s="87">
        <f t="shared" ca="1" si="23"/>
        <v>0</v>
      </c>
      <c r="BW48" s="87" t="str">
        <f t="shared" ca="1" si="24"/>
        <v>000</v>
      </c>
      <c r="BX48" s="89">
        <f t="shared" ca="1" si="25"/>
        <v>0</v>
      </c>
    </row>
    <row r="49" spans="1:76">
      <c r="A49" s="90" t="str">
        <f t="shared" si="2"/>
        <v/>
      </c>
      <c r="B49" s="98">
        <v>18</v>
      </c>
      <c r="C49" s="94">
        <v>3</v>
      </c>
      <c r="D49" s="94">
        <v>6</v>
      </c>
      <c r="E49" s="94">
        <v>-9</v>
      </c>
      <c r="F49" s="94">
        <v>2</v>
      </c>
      <c r="G49" s="94">
        <v>-7</v>
      </c>
      <c r="H49" s="94">
        <v>-5</v>
      </c>
      <c r="I49" s="94">
        <v>8</v>
      </c>
      <c r="J49" s="94">
        <v>4</v>
      </c>
      <c r="K49" s="94">
        <v>-1</v>
      </c>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1">
        <f t="shared" ca="1" si="3"/>
        <v>0</v>
      </c>
      <c r="BB49" s="88" t="str">
        <f t="shared" ca="1" si="4"/>
        <v/>
      </c>
      <c r="BC49" s="89">
        <f t="shared" ca="1" si="5"/>
        <v>0</v>
      </c>
      <c r="BD49" s="89">
        <f ca="1">IF(BC49=0,0,RANK(BF49,$BF$11:$BF$70,0)+(COUNTIF($BF49:$BF$70,BF49)-1))</f>
        <v>0</v>
      </c>
      <c r="BE49" s="89">
        <f t="shared" ca="1" si="6"/>
        <v>0</v>
      </c>
      <c r="BF49" s="89">
        <f t="shared" ca="1" si="7"/>
        <v>0</v>
      </c>
      <c r="BG49" s="89">
        <f t="shared" ca="1" si="8"/>
        <v>0</v>
      </c>
      <c r="BH49" s="89">
        <f t="shared" ca="1" si="9"/>
        <v>0</v>
      </c>
      <c r="BI49" s="89">
        <f t="shared" ca="1" si="10"/>
        <v>0</v>
      </c>
      <c r="BJ49" s="89">
        <f t="shared" ca="1" si="11"/>
        <v>0</v>
      </c>
      <c r="BK49" s="89">
        <f t="shared" ca="1" si="12"/>
        <v>0</v>
      </c>
      <c r="BL49" s="89">
        <f t="shared" ca="1" si="13"/>
        <v>0</v>
      </c>
      <c r="BM49" s="89">
        <f t="shared" ca="1" si="14"/>
        <v>0</v>
      </c>
      <c r="BN49" s="89">
        <f t="shared" ca="1" si="15"/>
        <v>0</v>
      </c>
      <c r="BO49" s="89">
        <f t="shared" ca="1" si="16"/>
        <v>0</v>
      </c>
      <c r="BP49" s="89">
        <f t="shared" ca="1" si="17"/>
        <v>0</v>
      </c>
      <c r="BQ49" s="89">
        <f t="shared" ca="1" si="18"/>
        <v>0</v>
      </c>
      <c r="BR49" s="87">
        <f t="shared" ca="1" si="19"/>
        <v>0</v>
      </c>
      <c r="BS49" s="89">
        <f t="shared" ca="1" si="20"/>
        <v>0</v>
      </c>
      <c r="BT49" s="89">
        <f t="shared" ca="1" si="21"/>
        <v>0</v>
      </c>
      <c r="BU49" s="89">
        <f t="shared" ca="1" si="22"/>
        <v>0</v>
      </c>
      <c r="BV49" s="87">
        <f t="shared" ca="1" si="23"/>
        <v>0</v>
      </c>
      <c r="BW49" s="87" t="str">
        <f t="shared" ca="1" si="24"/>
        <v>000</v>
      </c>
      <c r="BX49" s="89">
        <f t="shared" ca="1" si="25"/>
        <v>0</v>
      </c>
    </row>
    <row r="50" spans="1:76">
      <c r="A50" s="90" t="str">
        <f t="shared" si="2"/>
        <v/>
      </c>
      <c r="B50" s="98" t="s">
        <v>499</v>
      </c>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1">
        <f t="shared" ca="1" si="3"/>
        <v>0</v>
      </c>
      <c r="BB50" s="88" t="str">
        <f t="shared" ca="1" si="4"/>
        <v/>
      </c>
      <c r="BC50" s="89">
        <f t="shared" ca="1" si="5"/>
        <v>0</v>
      </c>
      <c r="BD50" s="89">
        <f ca="1">IF(BC50=0,0,RANK(BF50,$BF$11:$BF$70,0)+(COUNTIF($BF50:$BF$70,BF50)-1))</f>
        <v>0</v>
      </c>
      <c r="BE50" s="89">
        <f t="shared" ca="1" si="6"/>
        <v>0</v>
      </c>
      <c r="BF50" s="89">
        <f t="shared" ca="1" si="7"/>
        <v>0</v>
      </c>
      <c r="BG50" s="89">
        <f t="shared" ca="1" si="8"/>
        <v>0</v>
      </c>
      <c r="BH50" s="89">
        <f t="shared" ca="1" si="9"/>
        <v>0</v>
      </c>
      <c r="BI50" s="89">
        <f t="shared" ca="1" si="10"/>
        <v>0</v>
      </c>
      <c r="BJ50" s="89">
        <f t="shared" ca="1" si="11"/>
        <v>0</v>
      </c>
      <c r="BK50" s="89">
        <f t="shared" ca="1" si="12"/>
        <v>0</v>
      </c>
      <c r="BL50" s="89">
        <f t="shared" ca="1" si="13"/>
        <v>0</v>
      </c>
      <c r="BM50" s="89">
        <f t="shared" ca="1" si="14"/>
        <v>0</v>
      </c>
      <c r="BN50" s="89">
        <f t="shared" ca="1" si="15"/>
        <v>0</v>
      </c>
      <c r="BO50" s="89">
        <f t="shared" ca="1" si="16"/>
        <v>0</v>
      </c>
      <c r="BP50" s="89">
        <f t="shared" ca="1" si="17"/>
        <v>0</v>
      </c>
      <c r="BQ50" s="89">
        <f t="shared" ca="1" si="18"/>
        <v>0</v>
      </c>
      <c r="BR50" s="87">
        <f t="shared" ca="1" si="19"/>
        <v>0</v>
      </c>
      <c r="BS50" s="89">
        <f t="shared" ca="1" si="20"/>
        <v>0</v>
      </c>
      <c r="BT50" s="89">
        <f t="shared" ca="1" si="21"/>
        <v>0</v>
      </c>
      <c r="BU50" s="89">
        <f t="shared" ca="1" si="22"/>
        <v>0</v>
      </c>
      <c r="BV50" s="87">
        <f t="shared" ca="1" si="23"/>
        <v>0</v>
      </c>
      <c r="BW50" s="87" t="str">
        <f t="shared" ca="1" si="24"/>
        <v>000</v>
      </c>
      <c r="BX50" s="89">
        <f t="shared" ca="1" si="25"/>
        <v>0</v>
      </c>
    </row>
    <row r="51" spans="1:76">
      <c r="A51" s="90">
        <f t="shared" si="2"/>
        <v>51</v>
      </c>
      <c r="B51" s="98" t="s">
        <v>500</v>
      </c>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1">
        <f t="shared" ca="1" si="3"/>
        <v>0</v>
      </c>
      <c r="BB51" s="88" t="str">
        <f t="shared" ca="1" si="4"/>
        <v/>
      </c>
      <c r="BC51" s="89">
        <f t="shared" ca="1" si="5"/>
        <v>0</v>
      </c>
      <c r="BD51" s="89">
        <f ca="1">IF(BC51=0,0,RANK(BF51,$BF$11:$BF$70,0)+(COUNTIF($BF51:$BF$70,BF51)-1))</f>
        <v>0</v>
      </c>
      <c r="BE51" s="89">
        <f t="shared" ca="1" si="6"/>
        <v>0</v>
      </c>
      <c r="BF51" s="89">
        <f t="shared" ca="1" si="7"/>
        <v>0</v>
      </c>
      <c r="BG51" s="89">
        <f t="shared" ca="1" si="8"/>
        <v>0</v>
      </c>
      <c r="BH51" s="89">
        <f t="shared" ca="1" si="9"/>
        <v>0</v>
      </c>
      <c r="BI51" s="89">
        <f t="shared" ca="1" si="10"/>
        <v>0</v>
      </c>
      <c r="BJ51" s="89">
        <f t="shared" ca="1" si="11"/>
        <v>0</v>
      </c>
      <c r="BK51" s="89">
        <f t="shared" ca="1" si="12"/>
        <v>0</v>
      </c>
      <c r="BL51" s="89">
        <f t="shared" ca="1" si="13"/>
        <v>0</v>
      </c>
      <c r="BM51" s="89">
        <f t="shared" ca="1" si="14"/>
        <v>0</v>
      </c>
      <c r="BN51" s="89">
        <f t="shared" ca="1" si="15"/>
        <v>0</v>
      </c>
      <c r="BO51" s="89">
        <f t="shared" ca="1" si="16"/>
        <v>0</v>
      </c>
      <c r="BP51" s="89">
        <f t="shared" ca="1" si="17"/>
        <v>0</v>
      </c>
      <c r="BQ51" s="89">
        <f t="shared" ca="1" si="18"/>
        <v>0</v>
      </c>
      <c r="BR51" s="87">
        <f t="shared" ca="1" si="19"/>
        <v>0</v>
      </c>
      <c r="BS51" s="89">
        <f t="shared" ca="1" si="20"/>
        <v>0</v>
      </c>
      <c r="BT51" s="89">
        <f t="shared" ca="1" si="21"/>
        <v>0</v>
      </c>
      <c r="BU51" s="89">
        <f t="shared" ca="1" si="22"/>
        <v>0</v>
      </c>
      <c r="BV51" s="87">
        <f t="shared" ca="1" si="23"/>
        <v>0</v>
      </c>
      <c r="BW51" s="87" t="str">
        <f t="shared" ca="1" si="24"/>
        <v>000</v>
      </c>
      <c r="BX51" s="89">
        <f t="shared" ca="1" si="25"/>
        <v>0</v>
      </c>
    </row>
    <row r="52" spans="1:76">
      <c r="A52" s="90" t="str">
        <f t="shared" si="2"/>
        <v/>
      </c>
      <c r="B52" s="98">
        <v>1</v>
      </c>
      <c r="C52" s="94">
        <v>2</v>
      </c>
      <c r="D52" s="94">
        <v>4</v>
      </c>
      <c r="E52" s="94">
        <v>-6</v>
      </c>
      <c r="F52" s="94">
        <v>-7</v>
      </c>
      <c r="G52" s="94">
        <v>5</v>
      </c>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1">
        <f t="shared" ca="1" si="3"/>
        <v>0</v>
      </c>
      <c r="BB52" s="88" t="str">
        <f t="shared" ca="1" si="4"/>
        <v/>
      </c>
      <c r="BC52" s="89">
        <f t="shared" ca="1" si="5"/>
        <v>0</v>
      </c>
      <c r="BD52" s="89">
        <f ca="1">IF(BC52=0,0,RANK(BF52,$BF$11:$BF$70,0)+(COUNTIF($BF52:$BF$70,BF52)-1))</f>
        <v>0</v>
      </c>
      <c r="BE52" s="89">
        <f t="shared" ca="1" si="6"/>
        <v>0</v>
      </c>
      <c r="BF52" s="89">
        <f t="shared" ca="1" si="7"/>
        <v>0</v>
      </c>
      <c r="BG52" s="89">
        <f t="shared" ca="1" si="8"/>
        <v>0</v>
      </c>
      <c r="BH52" s="89">
        <f t="shared" ca="1" si="9"/>
        <v>0</v>
      </c>
      <c r="BI52" s="89">
        <f t="shared" ca="1" si="10"/>
        <v>0</v>
      </c>
      <c r="BJ52" s="89">
        <f t="shared" ca="1" si="11"/>
        <v>0</v>
      </c>
      <c r="BK52" s="89">
        <f t="shared" ca="1" si="12"/>
        <v>0</v>
      </c>
      <c r="BL52" s="89">
        <f t="shared" ca="1" si="13"/>
        <v>0</v>
      </c>
      <c r="BM52" s="89">
        <f t="shared" ca="1" si="14"/>
        <v>0</v>
      </c>
      <c r="BN52" s="89">
        <f t="shared" ca="1" si="15"/>
        <v>0</v>
      </c>
      <c r="BO52" s="89">
        <f t="shared" ca="1" si="16"/>
        <v>0</v>
      </c>
      <c r="BP52" s="89">
        <f t="shared" ca="1" si="17"/>
        <v>0</v>
      </c>
      <c r="BQ52" s="89">
        <f t="shared" ca="1" si="18"/>
        <v>0</v>
      </c>
      <c r="BR52" s="87">
        <f t="shared" ca="1" si="19"/>
        <v>0</v>
      </c>
      <c r="BS52" s="89">
        <f t="shared" ca="1" si="20"/>
        <v>0</v>
      </c>
      <c r="BT52" s="89">
        <f t="shared" ca="1" si="21"/>
        <v>0</v>
      </c>
      <c r="BU52" s="89">
        <f t="shared" ca="1" si="22"/>
        <v>0</v>
      </c>
      <c r="BV52" s="87">
        <f t="shared" ca="1" si="23"/>
        <v>0</v>
      </c>
      <c r="BW52" s="87" t="str">
        <f t="shared" ca="1" si="24"/>
        <v>000</v>
      </c>
      <c r="BX52" s="89">
        <f t="shared" ca="1" si="25"/>
        <v>0</v>
      </c>
    </row>
    <row r="53" spans="1:76">
      <c r="A53" s="90" t="str">
        <f t="shared" si="2"/>
        <v/>
      </c>
      <c r="B53" s="98">
        <v>2</v>
      </c>
      <c r="C53" s="94">
        <v>8</v>
      </c>
      <c r="D53" s="94">
        <v>9</v>
      </c>
      <c r="E53" s="94">
        <v>-7</v>
      </c>
      <c r="F53" s="94">
        <v>4</v>
      </c>
      <c r="G53" s="94">
        <v>-5</v>
      </c>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1">
        <f t="shared" ca="1" si="3"/>
        <v>0</v>
      </c>
      <c r="BB53" s="88" t="str">
        <f t="shared" ca="1" si="4"/>
        <v/>
      </c>
      <c r="BC53" s="89">
        <f t="shared" ca="1" si="5"/>
        <v>0</v>
      </c>
      <c r="BD53" s="89">
        <f ca="1">IF(BC53=0,0,RANK(BF53,$BF$11:$BF$70,0)+(COUNTIF($BF53:$BF$70,BF53)-1))</f>
        <v>0</v>
      </c>
      <c r="BE53" s="89">
        <f t="shared" ca="1" si="6"/>
        <v>0</v>
      </c>
      <c r="BF53" s="89">
        <f t="shared" ca="1" si="7"/>
        <v>0</v>
      </c>
      <c r="BG53" s="89">
        <f t="shared" ca="1" si="8"/>
        <v>0</v>
      </c>
      <c r="BH53" s="89">
        <f t="shared" ca="1" si="9"/>
        <v>0</v>
      </c>
      <c r="BI53" s="89">
        <f t="shared" ca="1" si="10"/>
        <v>0</v>
      </c>
      <c r="BJ53" s="89">
        <f t="shared" ca="1" si="11"/>
        <v>0</v>
      </c>
      <c r="BK53" s="89">
        <f t="shared" ca="1" si="12"/>
        <v>0</v>
      </c>
      <c r="BL53" s="89">
        <f t="shared" ca="1" si="13"/>
        <v>0</v>
      </c>
      <c r="BM53" s="89">
        <f t="shared" ca="1" si="14"/>
        <v>0</v>
      </c>
      <c r="BN53" s="89">
        <f t="shared" ca="1" si="15"/>
        <v>0</v>
      </c>
      <c r="BO53" s="89">
        <f t="shared" ca="1" si="16"/>
        <v>0</v>
      </c>
      <c r="BP53" s="89">
        <f t="shared" ca="1" si="17"/>
        <v>0</v>
      </c>
      <c r="BQ53" s="89">
        <f t="shared" ca="1" si="18"/>
        <v>0</v>
      </c>
      <c r="BR53" s="87">
        <f t="shared" ca="1" si="19"/>
        <v>0</v>
      </c>
      <c r="BS53" s="89">
        <f t="shared" ca="1" si="20"/>
        <v>0</v>
      </c>
      <c r="BT53" s="89">
        <f t="shared" ca="1" si="21"/>
        <v>0</v>
      </c>
      <c r="BU53" s="89">
        <f t="shared" ca="1" si="22"/>
        <v>0</v>
      </c>
      <c r="BV53" s="87">
        <f t="shared" ca="1" si="23"/>
        <v>0</v>
      </c>
      <c r="BW53" s="87" t="str">
        <f t="shared" ca="1" si="24"/>
        <v>000</v>
      </c>
      <c r="BX53" s="89">
        <f t="shared" ca="1" si="25"/>
        <v>0</v>
      </c>
    </row>
    <row r="54" spans="1:76">
      <c r="A54" s="90" t="str">
        <f t="shared" si="2"/>
        <v/>
      </c>
      <c r="B54" s="98">
        <v>3</v>
      </c>
      <c r="C54" s="94">
        <v>-3</v>
      </c>
      <c r="D54" s="94">
        <v>-4</v>
      </c>
      <c r="E54" s="94">
        <v>7</v>
      </c>
      <c r="F54" s="94">
        <v>-5</v>
      </c>
      <c r="G54" s="94">
        <v>6</v>
      </c>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1">
        <f t="shared" ca="1" si="3"/>
        <v>0</v>
      </c>
      <c r="BB54" s="88" t="str">
        <f t="shared" ca="1" si="4"/>
        <v/>
      </c>
      <c r="BC54" s="89">
        <f t="shared" ca="1" si="5"/>
        <v>0</v>
      </c>
      <c r="BD54" s="89">
        <f ca="1">IF(BC54=0,0,RANK(BF54,$BF$11:$BF$70,0)+(COUNTIF($BF54:$BF$70,BF54)-1))</f>
        <v>0</v>
      </c>
      <c r="BE54" s="89">
        <f t="shared" ca="1" si="6"/>
        <v>0</v>
      </c>
      <c r="BF54" s="89">
        <f t="shared" ca="1" si="7"/>
        <v>0</v>
      </c>
      <c r="BG54" s="89">
        <f t="shared" ca="1" si="8"/>
        <v>0</v>
      </c>
      <c r="BH54" s="89">
        <f t="shared" ca="1" si="9"/>
        <v>0</v>
      </c>
      <c r="BI54" s="89">
        <f t="shared" ca="1" si="10"/>
        <v>0</v>
      </c>
      <c r="BJ54" s="89">
        <f t="shared" ca="1" si="11"/>
        <v>0</v>
      </c>
      <c r="BK54" s="89">
        <f t="shared" ca="1" si="12"/>
        <v>0</v>
      </c>
      <c r="BL54" s="89">
        <f t="shared" ca="1" si="13"/>
        <v>0</v>
      </c>
      <c r="BM54" s="89">
        <f t="shared" ca="1" si="14"/>
        <v>0</v>
      </c>
      <c r="BN54" s="89">
        <f t="shared" ca="1" si="15"/>
        <v>0</v>
      </c>
      <c r="BO54" s="89">
        <f t="shared" ca="1" si="16"/>
        <v>0</v>
      </c>
      <c r="BP54" s="89">
        <f t="shared" ca="1" si="17"/>
        <v>0</v>
      </c>
      <c r="BQ54" s="89">
        <f t="shared" ca="1" si="18"/>
        <v>0</v>
      </c>
      <c r="BR54" s="87">
        <f t="shared" ca="1" si="19"/>
        <v>0</v>
      </c>
      <c r="BS54" s="89">
        <f t="shared" ca="1" si="20"/>
        <v>0</v>
      </c>
      <c r="BT54" s="89">
        <f t="shared" ca="1" si="21"/>
        <v>0</v>
      </c>
      <c r="BU54" s="89">
        <f t="shared" ca="1" si="22"/>
        <v>0</v>
      </c>
      <c r="BV54" s="87">
        <f t="shared" ca="1" si="23"/>
        <v>0</v>
      </c>
      <c r="BW54" s="87" t="str">
        <f t="shared" ca="1" si="24"/>
        <v>000</v>
      </c>
      <c r="BX54" s="89">
        <f t="shared" ca="1" si="25"/>
        <v>0</v>
      </c>
    </row>
    <row r="55" spans="1:76">
      <c r="A55" s="90" t="str">
        <f t="shared" si="2"/>
        <v/>
      </c>
      <c r="B55" s="98">
        <v>4</v>
      </c>
      <c r="C55" s="94">
        <v>-2</v>
      </c>
      <c r="D55" s="94">
        <v>1</v>
      </c>
      <c r="E55" s="94">
        <v>5</v>
      </c>
      <c r="F55" s="94">
        <v>-4</v>
      </c>
      <c r="G55" s="94">
        <v>-6</v>
      </c>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1">
        <f t="shared" ca="1" si="3"/>
        <v>0</v>
      </c>
      <c r="BB55" s="88" t="str">
        <f t="shared" ca="1" si="4"/>
        <v/>
      </c>
      <c r="BC55" s="89">
        <f t="shared" ca="1" si="5"/>
        <v>0</v>
      </c>
      <c r="BD55" s="89">
        <f ca="1">IF(BC55=0,0,RANK(BF55,$BF$11:$BF$70,0)+(COUNTIF($BF55:$BF$70,BF55)-1))</f>
        <v>0</v>
      </c>
      <c r="BE55" s="89">
        <f t="shared" ca="1" si="6"/>
        <v>0</v>
      </c>
      <c r="BF55" s="89">
        <f t="shared" ca="1" si="7"/>
        <v>0</v>
      </c>
      <c r="BG55" s="89">
        <f t="shared" ca="1" si="8"/>
        <v>0</v>
      </c>
      <c r="BH55" s="89">
        <f t="shared" ca="1" si="9"/>
        <v>0</v>
      </c>
      <c r="BI55" s="89">
        <f t="shared" ca="1" si="10"/>
        <v>0</v>
      </c>
      <c r="BJ55" s="89">
        <f t="shared" ca="1" si="11"/>
        <v>0</v>
      </c>
      <c r="BK55" s="89">
        <f t="shared" ca="1" si="12"/>
        <v>0</v>
      </c>
      <c r="BL55" s="89">
        <f t="shared" ca="1" si="13"/>
        <v>0</v>
      </c>
      <c r="BM55" s="89">
        <f t="shared" ca="1" si="14"/>
        <v>0</v>
      </c>
      <c r="BN55" s="89">
        <f t="shared" ca="1" si="15"/>
        <v>0</v>
      </c>
      <c r="BO55" s="89">
        <f t="shared" ca="1" si="16"/>
        <v>0</v>
      </c>
      <c r="BP55" s="89">
        <f t="shared" ca="1" si="17"/>
        <v>0</v>
      </c>
      <c r="BQ55" s="89">
        <f t="shared" ca="1" si="18"/>
        <v>0</v>
      </c>
      <c r="BR55" s="87">
        <f t="shared" ca="1" si="19"/>
        <v>0</v>
      </c>
      <c r="BS55" s="89">
        <f t="shared" ca="1" si="20"/>
        <v>0</v>
      </c>
      <c r="BT55" s="89">
        <f t="shared" ca="1" si="21"/>
        <v>0</v>
      </c>
      <c r="BU55" s="89">
        <f t="shared" ca="1" si="22"/>
        <v>0</v>
      </c>
      <c r="BV55" s="87">
        <f t="shared" ca="1" si="23"/>
        <v>0</v>
      </c>
      <c r="BW55" s="87" t="str">
        <f t="shared" ca="1" si="24"/>
        <v>000</v>
      </c>
      <c r="BX55" s="89">
        <f t="shared" ca="1" si="25"/>
        <v>0</v>
      </c>
    </row>
    <row r="56" spans="1:76">
      <c r="A56" s="90" t="str">
        <f t="shared" si="2"/>
        <v/>
      </c>
      <c r="B56" s="98">
        <v>5</v>
      </c>
      <c r="C56" s="94">
        <v>3</v>
      </c>
      <c r="D56" s="94">
        <v>-9</v>
      </c>
      <c r="E56" s="94">
        <v>-5</v>
      </c>
      <c r="F56" s="94">
        <v>7</v>
      </c>
      <c r="G56" s="94">
        <v>4</v>
      </c>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1">
        <f t="shared" ca="1" si="3"/>
        <v>0</v>
      </c>
      <c r="BB56" s="88" t="str">
        <f t="shared" ca="1" si="4"/>
        <v/>
      </c>
      <c r="BC56" s="89">
        <f t="shared" ca="1" si="5"/>
        <v>0</v>
      </c>
      <c r="BD56" s="89">
        <f ca="1">IF(BC56=0,0,RANK(BF56,$BF$11:$BF$70,0)+(COUNTIF($BF56:$BF$70,BF56)-1))</f>
        <v>0</v>
      </c>
      <c r="BE56" s="89">
        <f t="shared" ca="1" si="6"/>
        <v>0</v>
      </c>
      <c r="BF56" s="89">
        <f t="shared" ca="1" si="7"/>
        <v>0</v>
      </c>
      <c r="BG56" s="89">
        <f t="shared" ca="1" si="8"/>
        <v>0</v>
      </c>
      <c r="BH56" s="89">
        <f t="shared" ca="1" si="9"/>
        <v>0</v>
      </c>
      <c r="BI56" s="89">
        <f t="shared" ca="1" si="10"/>
        <v>0</v>
      </c>
      <c r="BJ56" s="89">
        <f t="shared" ca="1" si="11"/>
        <v>0</v>
      </c>
      <c r="BK56" s="89">
        <f t="shared" ca="1" si="12"/>
        <v>0</v>
      </c>
      <c r="BL56" s="89">
        <f t="shared" ca="1" si="13"/>
        <v>0</v>
      </c>
      <c r="BM56" s="89">
        <f t="shared" ca="1" si="14"/>
        <v>0</v>
      </c>
      <c r="BN56" s="89">
        <f t="shared" ca="1" si="15"/>
        <v>0</v>
      </c>
      <c r="BO56" s="89">
        <f t="shared" ca="1" si="16"/>
        <v>0</v>
      </c>
      <c r="BP56" s="89">
        <f t="shared" ca="1" si="17"/>
        <v>0</v>
      </c>
      <c r="BQ56" s="89">
        <f t="shared" ca="1" si="18"/>
        <v>0</v>
      </c>
      <c r="BR56" s="87">
        <f t="shared" ca="1" si="19"/>
        <v>0</v>
      </c>
      <c r="BS56" s="89">
        <f t="shared" ca="1" si="20"/>
        <v>0</v>
      </c>
      <c r="BT56" s="89">
        <f t="shared" ca="1" si="21"/>
        <v>0</v>
      </c>
      <c r="BU56" s="89">
        <f t="shared" ca="1" si="22"/>
        <v>0</v>
      </c>
      <c r="BV56" s="87">
        <f t="shared" ca="1" si="23"/>
        <v>0</v>
      </c>
      <c r="BW56" s="87" t="str">
        <f t="shared" ca="1" si="24"/>
        <v>000</v>
      </c>
      <c r="BX56" s="89">
        <f t="shared" ca="1" si="25"/>
        <v>0</v>
      </c>
    </row>
    <row r="57" spans="1:76">
      <c r="A57" s="90" t="str">
        <f t="shared" si="2"/>
        <v/>
      </c>
      <c r="B57" s="99">
        <v>6</v>
      </c>
      <c r="C57" s="92">
        <v>-8</v>
      </c>
      <c r="D57" s="92">
        <v>-1</v>
      </c>
      <c r="E57" s="92">
        <v>6</v>
      </c>
      <c r="F57" s="92">
        <v>5</v>
      </c>
      <c r="G57" s="92">
        <v>-4</v>
      </c>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1">
        <f t="shared" ca="1" si="3"/>
        <v>0</v>
      </c>
      <c r="BB57" s="88" t="str">
        <f t="shared" ca="1" si="4"/>
        <v/>
      </c>
      <c r="BC57" s="89">
        <f t="shared" ca="1" si="5"/>
        <v>0</v>
      </c>
      <c r="BD57" s="89">
        <f ca="1">IF(BC57=0,0,RANK(BF57,$BF$11:$BF$70,0)+(COUNTIF($BF57:$BF$70,BF57)-1))</f>
        <v>0</v>
      </c>
      <c r="BE57" s="89">
        <f t="shared" ca="1" si="6"/>
        <v>0</v>
      </c>
      <c r="BF57" s="89">
        <f t="shared" ca="1" si="7"/>
        <v>0</v>
      </c>
      <c r="BG57" s="89">
        <f t="shared" ca="1" si="8"/>
        <v>0</v>
      </c>
      <c r="BH57" s="89">
        <f t="shared" ca="1" si="9"/>
        <v>0</v>
      </c>
      <c r="BI57" s="89">
        <f t="shared" ca="1" si="10"/>
        <v>0</v>
      </c>
      <c r="BJ57" s="89">
        <f t="shared" ca="1" si="11"/>
        <v>0</v>
      </c>
      <c r="BK57" s="89">
        <f t="shared" ca="1" si="12"/>
        <v>0</v>
      </c>
      <c r="BL57" s="89">
        <f t="shared" ca="1" si="13"/>
        <v>0</v>
      </c>
      <c r="BM57" s="89">
        <f t="shared" ca="1" si="14"/>
        <v>0</v>
      </c>
      <c r="BN57" s="89">
        <f t="shared" ca="1" si="15"/>
        <v>0</v>
      </c>
      <c r="BO57" s="89">
        <f t="shared" ca="1" si="16"/>
        <v>0</v>
      </c>
      <c r="BP57" s="89">
        <f t="shared" ca="1" si="17"/>
        <v>0</v>
      </c>
      <c r="BQ57" s="89">
        <f t="shared" ca="1" si="18"/>
        <v>0</v>
      </c>
      <c r="BR57" s="87">
        <f t="shared" ca="1" si="19"/>
        <v>0</v>
      </c>
      <c r="BS57" s="89">
        <f t="shared" ca="1" si="20"/>
        <v>0</v>
      </c>
      <c r="BT57" s="89">
        <f t="shared" ca="1" si="21"/>
        <v>0</v>
      </c>
      <c r="BU57" s="89">
        <f t="shared" ca="1" si="22"/>
        <v>0</v>
      </c>
      <c r="BV57" s="87">
        <f t="shared" ca="1" si="23"/>
        <v>0</v>
      </c>
      <c r="BW57" s="87" t="str">
        <f t="shared" ca="1" si="24"/>
        <v>000</v>
      </c>
      <c r="BX57" s="89">
        <f t="shared" ca="1" si="25"/>
        <v>0</v>
      </c>
    </row>
    <row r="58" spans="1:76">
      <c r="A58" s="90" t="str">
        <f t="shared" si="2"/>
        <v/>
      </c>
      <c r="B58" s="98">
        <v>7</v>
      </c>
      <c r="C58" s="94">
        <v>1</v>
      </c>
      <c r="D58" s="94">
        <v>-5</v>
      </c>
      <c r="E58" s="94">
        <v>-4</v>
      </c>
      <c r="F58" s="94">
        <v>6</v>
      </c>
      <c r="G58" s="94">
        <v>7</v>
      </c>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c r="AZ58" s="94"/>
      <c r="BA58" s="91">
        <f t="shared" ca="1" si="3"/>
        <v>0</v>
      </c>
      <c r="BB58" s="88" t="str">
        <f t="shared" ca="1" si="4"/>
        <v/>
      </c>
      <c r="BC58" s="89">
        <f t="shared" ca="1" si="5"/>
        <v>0</v>
      </c>
      <c r="BD58" s="89">
        <f ca="1">IF(BC58=0,0,RANK(BF58,$BF$11:$BF$70,0)+(COUNTIF($BF58:$BF$70,BF58)-1))</f>
        <v>0</v>
      </c>
      <c r="BE58" s="89">
        <f t="shared" ca="1" si="6"/>
        <v>0</v>
      </c>
      <c r="BF58" s="89">
        <f t="shared" ca="1" si="7"/>
        <v>0</v>
      </c>
      <c r="BG58" s="89">
        <f t="shared" ca="1" si="8"/>
        <v>0</v>
      </c>
      <c r="BH58" s="89">
        <f t="shared" ca="1" si="9"/>
        <v>0</v>
      </c>
      <c r="BI58" s="89">
        <f t="shared" ca="1" si="10"/>
        <v>0</v>
      </c>
      <c r="BJ58" s="89">
        <f t="shared" ca="1" si="11"/>
        <v>0</v>
      </c>
      <c r="BK58" s="89">
        <f t="shared" ca="1" si="12"/>
        <v>0</v>
      </c>
      <c r="BL58" s="89">
        <f t="shared" ca="1" si="13"/>
        <v>0</v>
      </c>
      <c r="BM58" s="89">
        <f t="shared" ca="1" si="14"/>
        <v>0</v>
      </c>
      <c r="BN58" s="89">
        <f t="shared" ca="1" si="15"/>
        <v>0</v>
      </c>
      <c r="BO58" s="89">
        <f t="shared" ca="1" si="16"/>
        <v>0</v>
      </c>
      <c r="BP58" s="89">
        <f t="shared" ca="1" si="17"/>
        <v>0</v>
      </c>
      <c r="BQ58" s="89">
        <f t="shared" ca="1" si="18"/>
        <v>0</v>
      </c>
      <c r="BR58" s="87">
        <f t="shared" ca="1" si="19"/>
        <v>0</v>
      </c>
      <c r="BS58" s="89">
        <f t="shared" ca="1" si="20"/>
        <v>0</v>
      </c>
      <c r="BT58" s="89">
        <f t="shared" ca="1" si="21"/>
        <v>0</v>
      </c>
      <c r="BU58" s="89">
        <f t="shared" ca="1" si="22"/>
        <v>0</v>
      </c>
      <c r="BV58" s="87">
        <f t="shared" ca="1" si="23"/>
        <v>0</v>
      </c>
      <c r="BW58" s="87" t="str">
        <f t="shared" ca="1" si="24"/>
        <v>000</v>
      </c>
      <c r="BX58" s="89">
        <f t="shared" ca="1" si="25"/>
        <v>0</v>
      </c>
    </row>
    <row r="59" spans="1:76">
      <c r="A59" s="90" t="str">
        <f t="shared" si="2"/>
        <v/>
      </c>
      <c r="B59" s="98">
        <v>8</v>
      </c>
      <c r="C59" s="94">
        <v>-4</v>
      </c>
      <c r="D59" s="94">
        <v>-6</v>
      </c>
      <c r="E59" s="94">
        <v>8</v>
      </c>
      <c r="F59" s="94">
        <v>9</v>
      </c>
      <c r="G59" s="94">
        <v>-7</v>
      </c>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1">
        <f t="shared" ca="1" si="3"/>
        <v>0</v>
      </c>
      <c r="BB59" s="88" t="str">
        <f t="shared" ca="1" si="4"/>
        <v/>
      </c>
      <c r="BC59" s="89">
        <f t="shared" ca="1" si="5"/>
        <v>0</v>
      </c>
      <c r="BD59" s="89">
        <f ca="1">IF(BC59=0,0,RANK(BF59,$BF$11:$BF$70,0)+(COUNTIF($BF59:$BF$70,BF59)-1))</f>
        <v>0</v>
      </c>
      <c r="BE59" s="89">
        <f t="shared" ca="1" si="6"/>
        <v>0</v>
      </c>
      <c r="BF59" s="89">
        <f t="shared" ca="1" si="7"/>
        <v>0</v>
      </c>
      <c r="BG59" s="89">
        <f t="shared" ca="1" si="8"/>
        <v>0</v>
      </c>
      <c r="BH59" s="89">
        <f t="shared" ca="1" si="9"/>
        <v>0</v>
      </c>
      <c r="BI59" s="89">
        <f t="shared" ca="1" si="10"/>
        <v>0</v>
      </c>
      <c r="BJ59" s="89">
        <f t="shared" ca="1" si="11"/>
        <v>0</v>
      </c>
      <c r="BK59" s="89">
        <f t="shared" ca="1" si="12"/>
        <v>0</v>
      </c>
      <c r="BL59" s="89">
        <f t="shared" ca="1" si="13"/>
        <v>0</v>
      </c>
      <c r="BM59" s="89">
        <f t="shared" ca="1" si="14"/>
        <v>0</v>
      </c>
      <c r="BN59" s="89">
        <f t="shared" ca="1" si="15"/>
        <v>0</v>
      </c>
      <c r="BO59" s="89">
        <f t="shared" ca="1" si="16"/>
        <v>0</v>
      </c>
      <c r="BP59" s="89">
        <f t="shared" ca="1" si="17"/>
        <v>0</v>
      </c>
      <c r="BQ59" s="89">
        <f t="shared" ca="1" si="18"/>
        <v>0</v>
      </c>
      <c r="BR59" s="87">
        <f t="shared" ca="1" si="19"/>
        <v>0</v>
      </c>
      <c r="BS59" s="89">
        <f t="shared" ca="1" si="20"/>
        <v>0</v>
      </c>
      <c r="BT59" s="89">
        <f t="shared" ca="1" si="21"/>
        <v>0</v>
      </c>
      <c r="BU59" s="89">
        <f t="shared" ca="1" si="22"/>
        <v>0</v>
      </c>
      <c r="BV59" s="87">
        <f t="shared" ca="1" si="23"/>
        <v>0</v>
      </c>
      <c r="BW59" s="87" t="str">
        <f t="shared" ca="1" si="24"/>
        <v>000</v>
      </c>
      <c r="BX59" s="89">
        <f t="shared" ca="1" si="25"/>
        <v>0</v>
      </c>
    </row>
    <row r="60" spans="1:76">
      <c r="A60" s="90" t="str">
        <f t="shared" si="2"/>
        <v/>
      </c>
      <c r="B60" s="98">
        <v>9</v>
      </c>
      <c r="C60" s="94">
        <v>9</v>
      </c>
      <c r="D60" s="94">
        <v>7</v>
      </c>
      <c r="E60" s="94">
        <v>-8</v>
      </c>
      <c r="F60" s="94">
        <v>-6</v>
      </c>
      <c r="G60" s="94">
        <v>3</v>
      </c>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1">
        <f t="shared" ca="1" si="3"/>
        <v>0</v>
      </c>
      <c r="BB60" s="88" t="str">
        <f t="shared" ca="1" si="4"/>
        <v/>
      </c>
      <c r="BC60" s="89">
        <f t="shared" ca="1" si="5"/>
        <v>0</v>
      </c>
      <c r="BD60" s="89">
        <f ca="1">IF(BC60=0,0,RANK(BF60,$BF$11:$BF$70,0)+(COUNTIF($BF60:$BF$70,BF60)-1))</f>
        <v>0</v>
      </c>
      <c r="BE60" s="89">
        <f t="shared" ca="1" si="6"/>
        <v>0</v>
      </c>
      <c r="BF60" s="89">
        <f t="shared" ca="1" si="7"/>
        <v>0</v>
      </c>
      <c r="BG60" s="89">
        <f t="shared" ca="1" si="8"/>
        <v>0</v>
      </c>
      <c r="BH60" s="89">
        <f t="shared" ca="1" si="9"/>
        <v>0</v>
      </c>
      <c r="BI60" s="89">
        <f t="shared" ca="1" si="10"/>
        <v>0</v>
      </c>
      <c r="BJ60" s="89">
        <f t="shared" ca="1" si="11"/>
        <v>0</v>
      </c>
      <c r="BK60" s="89">
        <f t="shared" ca="1" si="12"/>
        <v>0</v>
      </c>
      <c r="BL60" s="89">
        <f t="shared" ca="1" si="13"/>
        <v>0</v>
      </c>
      <c r="BM60" s="89">
        <f t="shared" ca="1" si="14"/>
        <v>0</v>
      </c>
      <c r="BN60" s="89">
        <f t="shared" ca="1" si="15"/>
        <v>0</v>
      </c>
      <c r="BO60" s="89">
        <f t="shared" ca="1" si="16"/>
        <v>0</v>
      </c>
      <c r="BP60" s="89">
        <f t="shared" ca="1" si="17"/>
        <v>0</v>
      </c>
      <c r="BQ60" s="89">
        <f t="shared" ca="1" si="18"/>
        <v>0</v>
      </c>
      <c r="BR60" s="87">
        <f t="shared" ca="1" si="19"/>
        <v>0</v>
      </c>
      <c r="BS60" s="89">
        <f t="shared" ca="1" si="20"/>
        <v>0</v>
      </c>
      <c r="BT60" s="89">
        <f t="shared" ca="1" si="21"/>
        <v>0</v>
      </c>
      <c r="BU60" s="89">
        <f t="shared" ca="1" si="22"/>
        <v>0</v>
      </c>
      <c r="BV60" s="87">
        <f t="shared" ca="1" si="23"/>
        <v>0</v>
      </c>
      <c r="BW60" s="87" t="str">
        <f t="shared" ca="1" si="24"/>
        <v>000</v>
      </c>
      <c r="BX60" s="89">
        <f t="shared" ca="1" si="25"/>
        <v>0</v>
      </c>
    </row>
    <row r="61" spans="1:76">
      <c r="A61" s="90" t="str">
        <f t="shared" si="2"/>
        <v/>
      </c>
      <c r="B61" s="98">
        <v>10</v>
      </c>
      <c r="C61" s="94">
        <v>4</v>
      </c>
      <c r="D61" s="94">
        <v>5</v>
      </c>
      <c r="E61" s="94">
        <v>-2</v>
      </c>
      <c r="F61" s="94">
        <v>1</v>
      </c>
      <c r="G61" s="94">
        <v>-3</v>
      </c>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c r="AZ61" s="94"/>
      <c r="BA61" s="91">
        <f t="shared" ca="1" si="3"/>
        <v>0</v>
      </c>
      <c r="BB61" s="88" t="str">
        <f t="shared" ca="1" si="4"/>
        <v/>
      </c>
      <c r="BC61" s="89">
        <f t="shared" ca="1" si="5"/>
        <v>0</v>
      </c>
      <c r="BD61" s="89">
        <f ca="1">IF(BC61=0,0,RANK(BF61,$BF$11:$BF$70,0)+(COUNTIF($BF61:$BF$70,BF61)-1))</f>
        <v>0</v>
      </c>
      <c r="BE61" s="89">
        <f t="shared" ca="1" si="6"/>
        <v>0</v>
      </c>
      <c r="BF61" s="89">
        <f t="shared" ca="1" si="7"/>
        <v>0</v>
      </c>
      <c r="BG61" s="89">
        <f t="shared" ca="1" si="8"/>
        <v>0</v>
      </c>
      <c r="BH61" s="89">
        <f t="shared" ca="1" si="9"/>
        <v>0</v>
      </c>
      <c r="BI61" s="89">
        <f t="shared" ca="1" si="10"/>
        <v>0</v>
      </c>
      <c r="BJ61" s="89">
        <f t="shared" ca="1" si="11"/>
        <v>0</v>
      </c>
      <c r="BK61" s="89">
        <f t="shared" ca="1" si="12"/>
        <v>0</v>
      </c>
      <c r="BL61" s="89">
        <f t="shared" ca="1" si="13"/>
        <v>0</v>
      </c>
      <c r="BM61" s="89">
        <f t="shared" ca="1" si="14"/>
        <v>0</v>
      </c>
      <c r="BN61" s="89">
        <f t="shared" ca="1" si="15"/>
        <v>0</v>
      </c>
      <c r="BO61" s="89">
        <f t="shared" ca="1" si="16"/>
        <v>0</v>
      </c>
      <c r="BP61" s="89">
        <f t="shared" ca="1" si="17"/>
        <v>0</v>
      </c>
      <c r="BQ61" s="89">
        <f t="shared" ca="1" si="18"/>
        <v>0</v>
      </c>
      <c r="BR61" s="87">
        <f t="shared" ca="1" si="19"/>
        <v>0</v>
      </c>
      <c r="BS61" s="89">
        <f t="shared" ca="1" si="20"/>
        <v>0</v>
      </c>
      <c r="BT61" s="89">
        <f t="shared" ca="1" si="21"/>
        <v>0</v>
      </c>
      <c r="BU61" s="89">
        <f t="shared" ca="1" si="22"/>
        <v>0</v>
      </c>
      <c r="BV61" s="87">
        <f t="shared" ca="1" si="23"/>
        <v>0</v>
      </c>
      <c r="BW61" s="87" t="str">
        <f t="shared" ca="1" si="24"/>
        <v>000</v>
      </c>
      <c r="BX61" s="89">
        <f t="shared" ca="1" si="25"/>
        <v>0</v>
      </c>
    </row>
    <row r="62" spans="1:76">
      <c r="A62" s="90" t="str">
        <f t="shared" si="2"/>
        <v/>
      </c>
      <c r="B62" s="98">
        <v>11</v>
      </c>
      <c r="C62" s="94">
        <v>-1</v>
      </c>
      <c r="D62" s="94">
        <v>-7</v>
      </c>
      <c r="E62" s="94">
        <v>2</v>
      </c>
      <c r="F62" s="94">
        <v>-9</v>
      </c>
      <c r="G62" s="94">
        <v>8</v>
      </c>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1">
        <f t="shared" ca="1" si="3"/>
        <v>0</v>
      </c>
      <c r="BB62" s="88" t="str">
        <f t="shared" ca="1" si="4"/>
        <v/>
      </c>
      <c r="BC62" s="89">
        <f t="shared" ca="1" si="5"/>
        <v>0</v>
      </c>
      <c r="BD62" s="89">
        <f ca="1">IF(BC62=0,0,RANK(BF62,$BF$11:$BF$70,0)+(COUNTIF($BF62:$BF$70,BF62)-1))</f>
        <v>0</v>
      </c>
      <c r="BE62" s="89">
        <f t="shared" ca="1" si="6"/>
        <v>0</v>
      </c>
      <c r="BF62" s="89">
        <f t="shared" ca="1" si="7"/>
        <v>0</v>
      </c>
      <c r="BG62" s="89">
        <f t="shared" ca="1" si="8"/>
        <v>0</v>
      </c>
      <c r="BH62" s="89">
        <f t="shared" ca="1" si="9"/>
        <v>0</v>
      </c>
      <c r="BI62" s="89">
        <f t="shared" ca="1" si="10"/>
        <v>0</v>
      </c>
      <c r="BJ62" s="89">
        <f t="shared" ca="1" si="11"/>
        <v>0</v>
      </c>
      <c r="BK62" s="89">
        <f t="shared" ca="1" si="12"/>
        <v>0</v>
      </c>
      <c r="BL62" s="89">
        <f t="shared" ca="1" si="13"/>
        <v>0</v>
      </c>
      <c r="BM62" s="89">
        <f t="shared" ca="1" si="14"/>
        <v>0</v>
      </c>
      <c r="BN62" s="89">
        <f t="shared" ca="1" si="15"/>
        <v>0</v>
      </c>
      <c r="BO62" s="89">
        <f t="shared" ca="1" si="16"/>
        <v>0</v>
      </c>
      <c r="BP62" s="89">
        <f t="shared" ca="1" si="17"/>
        <v>0</v>
      </c>
      <c r="BQ62" s="89">
        <f t="shared" ca="1" si="18"/>
        <v>0</v>
      </c>
      <c r="BR62" s="87">
        <f t="shared" ca="1" si="19"/>
        <v>0</v>
      </c>
      <c r="BS62" s="89">
        <f t="shared" ca="1" si="20"/>
        <v>0</v>
      </c>
      <c r="BT62" s="89">
        <f t="shared" ca="1" si="21"/>
        <v>0</v>
      </c>
      <c r="BU62" s="89">
        <f t="shared" ca="1" si="22"/>
        <v>0</v>
      </c>
      <c r="BV62" s="87">
        <f t="shared" ca="1" si="23"/>
        <v>0</v>
      </c>
      <c r="BW62" s="87" t="str">
        <f t="shared" ca="1" si="24"/>
        <v>000</v>
      </c>
      <c r="BX62" s="89">
        <f t="shared" ca="1" si="25"/>
        <v>0</v>
      </c>
    </row>
    <row r="63" spans="1:76">
      <c r="A63" s="90" t="str">
        <f t="shared" si="2"/>
        <v/>
      </c>
      <c r="B63" s="99">
        <v>12</v>
      </c>
      <c r="C63" s="92">
        <v>-9</v>
      </c>
      <c r="D63" s="92">
        <v>6</v>
      </c>
      <c r="E63" s="92">
        <v>4</v>
      </c>
      <c r="F63" s="92">
        <v>-1</v>
      </c>
      <c r="G63" s="92">
        <v>-8</v>
      </c>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1">
        <f t="shared" ca="1" si="3"/>
        <v>0</v>
      </c>
      <c r="BB63" s="88" t="str">
        <f t="shared" ca="1" si="4"/>
        <v/>
      </c>
      <c r="BC63" s="89">
        <f t="shared" ca="1" si="5"/>
        <v>0</v>
      </c>
      <c r="BD63" s="89">
        <f ca="1">IF(BC63=0,0,RANK(BF63,$BF$11:$BF$70,0)+(COUNTIF($BF63:$BF$70,BF63)-1))</f>
        <v>0</v>
      </c>
      <c r="BE63" s="89">
        <f t="shared" ca="1" si="6"/>
        <v>0</v>
      </c>
      <c r="BF63" s="89">
        <f t="shared" ca="1" si="7"/>
        <v>0</v>
      </c>
      <c r="BG63" s="89">
        <f t="shared" ca="1" si="8"/>
        <v>0</v>
      </c>
      <c r="BH63" s="89">
        <f t="shared" ca="1" si="9"/>
        <v>0</v>
      </c>
      <c r="BI63" s="89">
        <f t="shared" ca="1" si="10"/>
        <v>0</v>
      </c>
      <c r="BJ63" s="89">
        <f t="shared" ca="1" si="11"/>
        <v>0</v>
      </c>
      <c r="BK63" s="89">
        <f t="shared" ca="1" si="12"/>
        <v>0</v>
      </c>
      <c r="BL63" s="89">
        <f t="shared" ca="1" si="13"/>
        <v>0</v>
      </c>
      <c r="BM63" s="89">
        <f t="shared" ca="1" si="14"/>
        <v>0</v>
      </c>
      <c r="BN63" s="89">
        <f t="shared" ca="1" si="15"/>
        <v>0</v>
      </c>
      <c r="BO63" s="89">
        <f t="shared" ca="1" si="16"/>
        <v>0</v>
      </c>
      <c r="BP63" s="89">
        <f t="shared" ca="1" si="17"/>
        <v>0</v>
      </c>
      <c r="BQ63" s="89">
        <f t="shared" ca="1" si="18"/>
        <v>0</v>
      </c>
      <c r="BR63" s="87">
        <f t="shared" ca="1" si="19"/>
        <v>0</v>
      </c>
      <c r="BS63" s="89">
        <f t="shared" ca="1" si="20"/>
        <v>0</v>
      </c>
      <c r="BT63" s="89">
        <f t="shared" ca="1" si="21"/>
        <v>0</v>
      </c>
      <c r="BU63" s="89">
        <f t="shared" ca="1" si="22"/>
        <v>0</v>
      </c>
      <c r="BV63" s="87">
        <f t="shared" ca="1" si="23"/>
        <v>0</v>
      </c>
      <c r="BW63" s="87" t="str">
        <f t="shared" ca="1" si="24"/>
        <v>000</v>
      </c>
      <c r="BX63" s="89">
        <f t="shared" ca="1" si="25"/>
        <v>0</v>
      </c>
    </row>
    <row r="64" spans="1:76">
      <c r="A64" s="90" t="str">
        <f t="shared" si="2"/>
        <v/>
      </c>
      <c r="B64" s="98">
        <v>13</v>
      </c>
      <c r="C64" s="94">
        <v>5</v>
      </c>
      <c r="D64" s="94">
        <v>-8</v>
      </c>
      <c r="E64" s="94">
        <v>-9</v>
      </c>
      <c r="F64" s="94">
        <v>3</v>
      </c>
      <c r="G64" s="94">
        <v>2</v>
      </c>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1">
        <f t="shared" ca="1" si="3"/>
        <v>0</v>
      </c>
      <c r="BB64" s="88" t="str">
        <f t="shared" ca="1" si="4"/>
        <v/>
      </c>
      <c r="BC64" s="89">
        <f t="shared" ca="1" si="5"/>
        <v>0</v>
      </c>
      <c r="BD64" s="89">
        <f ca="1">IF(BC64=0,0,RANK(BF64,$BF$11:$BF$70,0)+(COUNTIF($BF64:$BF$70,BF64)-1))</f>
        <v>0</v>
      </c>
      <c r="BE64" s="89">
        <f t="shared" ca="1" si="6"/>
        <v>0</v>
      </c>
      <c r="BF64" s="89">
        <f t="shared" ca="1" si="7"/>
        <v>0</v>
      </c>
      <c r="BG64" s="89">
        <f t="shared" ca="1" si="8"/>
        <v>0</v>
      </c>
      <c r="BH64" s="89">
        <f t="shared" ca="1" si="9"/>
        <v>0</v>
      </c>
      <c r="BI64" s="89">
        <f t="shared" ca="1" si="10"/>
        <v>0</v>
      </c>
      <c r="BJ64" s="89">
        <f t="shared" ca="1" si="11"/>
        <v>0</v>
      </c>
      <c r="BK64" s="89">
        <f t="shared" ca="1" si="12"/>
        <v>0</v>
      </c>
      <c r="BL64" s="89">
        <f t="shared" ca="1" si="13"/>
        <v>0</v>
      </c>
      <c r="BM64" s="89">
        <f t="shared" ca="1" si="14"/>
        <v>0</v>
      </c>
      <c r="BN64" s="89">
        <f t="shared" ca="1" si="15"/>
        <v>0</v>
      </c>
      <c r="BO64" s="89">
        <f t="shared" ca="1" si="16"/>
        <v>0</v>
      </c>
      <c r="BP64" s="89">
        <f t="shared" ca="1" si="17"/>
        <v>0</v>
      </c>
      <c r="BQ64" s="89">
        <f t="shared" ca="1" si="18"/>
        <v>0</v>
      </c>
      <c r="BR64" s="87">
        <f t="shared" ca="1" si="19"/>
        <v>0</v>
      </c>
      <c r="BS64" s="89">
        <f t="shared" ca="1" si="20"/>
        <v>0</v>
      </c>
      <c r="BT64" s="89">
        <f t="shared" ca="1" si="21"/>
        <v>0</v>
      </c>
      <c r="BU64" s="89">
        <f t="shared" ca="1" si="22"/>
        <v>0</v>
      </c>
      <c r="BV64" s="87">
        <f t="shared" ca="1" si="23"/>
        <v>0</v>
      </c>
      <c r="BW64" s="87" t="str">
        <f t="shared" ca="1" si="24"/>
        <v>000</v>
      </c>
      <c r="BX64" s="89">
        <f t="shared" ca="1" si="25"/>
        <v>0</v>
      </c>
    </row>
    <row r="65" spans="1:76">
      <c r="A65" s="90" t="str">
        <f t="shared" si="2"/>
        <v/>
      </c>
      <c r="B65" s="98">
        <v>14</v>
      </c>
      <c r="C65" s="94">
        <v>-6</v>
      </c>
      <c r="D65" s="94">
        <v>-3</v>
      </c>
      <c r="E65" s="94">
        <v>1</v>
      </c>
      <c r="F65" s="94">
        <v>8</v>
      </c>
      <c r="G65" s="94">
        <v>-2</v>
      </c>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1">
        <f t="shared" ca="1" si="3"/>
        <v>0</v>
      </c>
      <c r="BB65" s="88" t="str">
        <f ca="1">IF(BA64=0,"",CONCATENATE("A",BA64+1,":A",BB$10))</f>
        <v/>
      </c>
      <c r="BC65" s="89">
        <f t="shared" ca="1" si="5"/>
        <v>0</v>
      </c>
      <c r="BD65" s="89">
        <f ca="1">IF(BC65=0,0,RANK(BF65,$BF$11:$BF$70,0)+(COUNTIF($BF65:$BF$70,BF65)-1))</f>
        <v>0</v>
      </c>
      <c r="BE65" s="89">
        <f t="shared" ca="1" si="6"/>
        <v>0</v>
      </c>
      <c r="BF65" s="89">
        <f t="shared" ca="1" si="7"/>
        <v>0</v>
      </c>
      <c r="BG65" s="89">
        <f t="shared" ca="1" si="8"/>
        <v>0</v>
      </c>
      <c r="BH65" s="89">
        <f t="shared" ca="1" si="9"/>
        <v>0</v>
      </c>
      <c r="BI65" s="89">
        <f t="shared" ca="1" si="10"/>
        <v>0</v>
      </c>
      <c r="BJ65" s="89">
        <f t="shared" ca="1" si="11"/>
        <v>0</v>
      </c>
      <c r="BK65" s="89">
        <f t="shared" ca="1" si="12"/>
        <v>0</v>
      </c>
      <c r="BL65" s="89">
        <f t="shared" ca="1" si="13"/>
        <v>0</v>
      </c>
      <c r="BM65" s="89">
        <f t="shared" ca="1" si="14"/>
        <v>0</v>
      </c>
      <c r="BN65" s="89">
        <f t="shared" ca="1" si="15"/>
        <v>0</v>
      </c>
      <c r="BO65" s="89">
        <f t="shared" ca="1" si="16"/>
        <v>0</v>
      </c>
      <c r="BP65" s="89">
        <f t="shared" ca="1" si="17"/>
        <v>0</v>
      </c>
      <c r="BQ65" s="89">
        <f t="shared" ca="1" si="18"/>
        <v>0</v>
      </c>
      <c r="BR65" s="87">
        <f t="shared" ca="1" si="19"/>
        <v>0</v>
      </c>
      <c r="BS65" s="89">
        <f t="shared" ca="1" si="20"/>
        <v>0</v>
      </c>
      <c r="BT65" s="89">
        <f t="shared" ca="1" si="21"/>
        <v>0</v>
      </c>
      <c r="BU65" s="89">
        <f t="shared" ca="1" si="22"/>
        <v>0</v>
      </c>
      <c r="BV65" s="87">
        <f t="shared" ca="1" si="23"/>
        <v>0</v>
      </c>
      <c r="BW65" s="87" t="str">
        <f t="shared" ca="1" si="24"/>
        <v>000</v>
      </c>
      <c r="BX65" s="89">
        <f t="shared" ca="1" si="25"/>
        <v>0</v>
      </c>
    </row>
    <row r="66" spans="1:76">
      <c r="A66" s="90" t="str">
        <f t="shared" si="2"/>
        <v/>
      </c>
      <c r="B66" s="98">
        <v>15</v>
      </c>
      <c r="C66" s="94">
        <v>6</v>
      </c>
      <c r="D66" s="94">
        <v>8</v>
      </c>
      <c r="E66" s="94">
        <v>-3</v>
      </c>
      <c r="F66" s="94">
        <v>2</v>
      </c>
      <c r="G66" s="94">
        <v>-9</v>
      </c>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1">
        <f t="shared" ca="1" si="3"/>
        <v>0</v>
      </c>
      <c r="BB66" s="88" t="str">
        <f t="shared" ca="1" si="4"/>
        <v/>
      </c>
      <c r="BC66" s="89">
        <f t="shared" ca="1" si="5"/>
        <v>0</v>
      </c>
      <c r="BD66" s="89">
        <f ca="1">IF(BC66=0,0,RANK(BF66,$BF$11:$BF$70,0)+(COUNTIF($BF66:$BF$70,BF66)-1))</f>
        <v>0</v>
      </c>
      <c r="BE66" s="89">
        <f t="shared" ca="1" si="6"/>
        <v>0</v>
      </c>
      <c r="BF66" s="89">
        <f t="shared" ca="1" si="7"/>
        <v>0</v>
      </c>
      <c r="BG66" s="89">
        <f t="shared" ca="1" si="8"/>
        <v>0</v>
      </c>
      <c r="BH66" s="89">
        <f t="shared" ca="1" si="9"/>
        <v>0</v>
      </c>
      <c r="BI66" s="89">
        <f t="shared" ca="1" si="10"/>
        <v>0</v>
      </c>
      <c r="BJ66" s="89">
        <f t="shared" ca="1" si="11"/>
        <v>0</v>
      </c>
      <c r="BK66" s="89">
        <f t="shared" ca="1" si="12"/>
        <v>0</v>
      </c>
      <c r="BL66" s="89">
        <f t="shared" ca="1" si="13"/>
        <v>0</v>
      </c>
      <c r="BM66" s="89">
        <f t="shared" ca="1" si="14"/>
        <v>0</v>
      </c>
      <c r="BN66" s="89">
        <f t="shared" ca="1" si="15"/>
        <v>0</v>
      </c>
      <c r="BO66" s="89">
        <f t="shared" ca="1" si="16"/>
        <v>0</v>
      </c>
      <c r="BP66" s="89">
        <f t="shared" ca="1" si="17"/>
        <v>0</v>
      </c>
      <c r="BQ66" s="89">
        <f t="shared" ca="1" si="18"/>
        <v>0</v>
      </c>
      <c r="BR66" s="87">
        <f t="shared" ca="1" si="19"/>
        <v>0</v>
      </c>
      <c r="BS66" s="89">
        <f t="shared" ca="1" si="20"/>
        <v>0</v>
      </c>
      <c r="BT66" s="89">
        <f t="shared" ca="1" si="21"/>
        <v>0</v>
      </c>
      <c r="BU66" s="89">
        <f t="shared" ca="1" si="22"/>
        <v>0</v>
      </c>
      <c r="BV66" s="87">
        <f t="shared" ca="1" si="23"/>
        <v>0</v>
      </c>
      <c r="BW66" s="87" t="str">
        <f t="shared" ca="1" si="24"/>
        <v>000</v>
      </c>
      <c r="BX66" s="89">
        <f t="shared" ca="1" si="25"/>
        <v>0</v>
      </c>
    </row>
    <row r="67" spans="1:76">
      <c r="A67" s="90" t="str">
        <f t="shared" si="2"/>
        <v/>
      </c>
      <c r="B67" s="98">
        <v>16</v>
      </c>
      <c r="C67" s="94">
        <v>7</v>
      </c>
      <c r="D67" s="94">
        <v>2</v>
      </c>
      <c r="E67" s="94">
        <v>-1</v>
      </c>
      <c r="F67" s="94">
        <v>-3</v>
      </c>
      <c r="G67" s="94">
        <v>9</v>
      </c>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1">
        <f t="shared" ca="1" si="3"/>
        <v>0</v>
      </c>
      <c r="BB67" s="88" t="str">
        <f t="shared" ca="1" si="4"/>
        <v/>
      </c>
      <c r="BC67" s="89">
        <f t="shared" ca="1" si="5"/>
        <v>0</v>
      </c>
      <c r="BD67" s="89">
        <f ca="1">IF(BC67=0,0,RANK(BF67,$BF$11:$BF$70,0)+(COUNTIF($BF67:$BF$70,BF67)-1))</f>
        <v>0</v>
      </c>
      <c r="BE67" s="89">
        <f t="shared" ca="1" si="6"/>
        <v>0</v>
      </c>
      <c r="BF67" s="89">
        <f t="shared" ca="1" si="7"/>
        <v>0</v>
      </c>
      <c r="BG67" s="89">
        <f t="shared" ca="1" si="8"/>
        <v>0</v>
      </c>
      <c r="BH67" s="89">
        <f t="shared" ca="1" si="9"/>
        <v>0</v>
      </c>
      <c r="BI67" s="89">
        <f t="shared" ca="1" si="10"/>
        <v>0</v>
      </c>
      <c r="BJ67" s="89">
        <f t="shared" ca="1" si="11"/>
        <v>0</v>
      </c>
      <c r="BK67" s="89">
        <f t="shared" ca="1" si="12"/>
        <v>0</v>
      </c>
      <c r="BL67" s="89">
        <f t="shared" ca="1" si="13"/>
        <v>0</v>
      </c>
      <c r="BM67" s="89">
        <f t="shared" ca="1" si="14"/>
        <v>0</v>
      </c>
      <c r="BN67" s="89">
        <f t="shared" ca="1" si="15"/>
        <v>0</v>
      </c>
      <c r="BO67" s="89">
        <f t="shared" ca="1" si="16"/>
        <v>0</v>
      </c>
      <c r="BP67" s="89">
        <f t="shared" ca="1" si="17"/>
        <v>0</v>
      </c>
      <c r="BQ67" s="89">
        <f t="shared" ca="1" si="18"/>
        <v>0</v>
      </c>
      <c r="BR67" s="87">
        <f t="shared" ca="1" si="19"/>
        <v>0</v>
      </c>
      <c r="BS67" s="89">
        <f t="shared" ca="1" si="20"/>
        <v>0</v>
      </c>
      <c r="BT67" s="89">
        <f t="shared" ca="1" si="21"/>
        <v>0</v>
      </c>
      <c r="BU67" s="89">
        <f t="shared" ca="1" si="22"/>
        <v>0</v>
      </c>
      <c r="BV67" s="87">
        <f t="shared" ca="1" si="23"/>
        <v>0</v>
      </c>
      <c r="BW67" s="87" t="str">
        <f t="shared" ca="1" si="24"/>
        <v>000</v>
      </c>
      <c r="BX67" s="89">
        <f t="shared" ca="1" si="25"/>
        <v>0</v>
      </c>
    </row>
    <row r="68" spans="1:76">
      <c r="A68" s="90" t="str">
        <f t="shared" si="2"/>
        <v/>
      </c>
      <c r="B68" s="98">
        <v>17</v>
      </c>
      <c r="C68" s="94">
        <v>-5</v>
      </c>
      <c r="D68" s="94">
        <v>-2</v>
      </c>
      <c r="E68" s="94">
        <v>3</v>
      </c>
      <c r="F68" s="94">
        <v>-8</v>
      </c>
      <c r="G68" s="94">
        <v>1</v>
      </c>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1">
        <f t="shared" ca="1" si="3"/>
        <v>0</v>
      </c>
      <c r="BB68" s="88" t="str">
        <f t="shared" ca="1" si="4"/>
        <v/>
      </c>
      <c r="BC68" s="89">
        <f t="shared" ca="1" si="5"/>
        <v>0</v>
      </c>
      <c r="BD68" s="89">
        <f ca="1">IF(BC68=0,0,RANK(BF68,$BF$11:$BF$70,0)+(COUNTIF($BF68:$BF$70,BF68)-1))</f>
        <v>0</v>
      </c>
      <c r="BE68" s="89">
        <f t="shared" ca="1" si="6"/>
        <v>0</v>
      </c>
      <c r="BF68" s="89">
        <f t="shared" ca="1" si="7"/>
        <v>0</v>
      </c>
      <c r="BG68" s="89">
        <f t="shared" ca="1" si="8"/>
        <v>0</v>
      </c>
      <c r="BH68" s="89">
        <f t="shared" ca="1" si="9"/>
        <v>0</v>
      </c>
      <c r="BI68" s="89">
        <f t="shared" ca="1" si="10"/>
        <v>0</v>
      </c>
      <c r="BJ68" s="89">
        <f t="shared" ca="1" si="11"/>
        <v>0</v>
      </c>
      <c r="BK68" s="89">
        <f t="shared" ca="1" si="12"/>
        <v>0</v>
      </c>
      <c r="BL68" s="89">
        <f t="shared" ca="1" si="13"/>
        <v>0</v>
      </c>
      <c r="BM68" s="89">
        <f t="shared" ca="1" si="14"/>
        <v>0</v>
      </c>
      <c r="BN68" s="89">
        <f t="shared" ca="1" si="15"/>
        <v>0</v>
      </c>
      <c r="BO68" s="89">
        <f t="shared" ca="1" si="16"/>
        <v>0</v>
      </c>
      <c r="BP68" s="89">
        <f t="shared" ca="1" si="17"/>
        <v>0</v>
      </c>
      <c r="BQ68" s="89">
        <f t="shared" ca="1" si="18"/>
        <v>0</v>
      </c>
      <c r="BR68" s="87">
        <f t="shared" ca="1" si="19"/>
        <v>0</v>
      </c>
      <c r="BS68" s="89">
        <f t="shared" ca="1" si="20"/>
        <v>0</v>
      </c>
      <c r="BT68" s="89">
        <f t="shared" ca="1" si="21"/>
        <v>0</v>
      </c>
      <c r="BU68" s="89">
        <f t="shared" ca="1" si="22"/>
        <v>0</v>
      </c>
      <c r="BV68" s="87">
        <f t="shared" ca="1" si="23"/>
        <v>0</v>
      </c>
      <c r="BW68" s="87" t="str">
        <f t="shared" ca="1" si="24"/>
        <v>000</v>
      </c>
      <c r="BX68" s="89">
        <f t="shared" ca="1" si="25"/>
        <v>0</v>
      </c>
    </row>
    <row r="69" spans="1:76">
      <c r="A69" s="90" t="str">
        <f t="shared" si="2"/>
        <v/>
      </c>
      <c r="B69" s="98">
        <v>18</v>
      </c>
      <c r="C69" s="94">
        <v>-7</v>
      </c>
      <c r="D69" s="94">
        <v>3</v>
      </c>
      <c r="E69" s="94">
        <v>9</v>
      </c>
      <c r="F69" s="94">
        <v>-2</v>
      </c>
      <c r="G69" s="94">
        <v>-1</v>
      </c>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1">
        <f t="shared" ca="1" si="3"/>
        <v>0</v>
      </c>
      <c r="BB69" s="88" t="str">
        <f t="shared" ca="1" si="4"/>
        <v/>
      </c>
      <c r="BC69" s="89">
        <f t="shared" ca="1" si="5"/>
        <v>0</v>
      </c>
      <c r="BD69" s="89">
        <f ca="1">IF(BC69=0,0,RANK(BF69,$BF$11:$BF$70,0)+(COUNTIF($BF69:$BF$70,BF69)-1))</f>
        <v>0</v>
      </c>
      <c r="BE69" s="89">
        <f t="shared" ca="1" si="6"/>
        <v>0</v>
      </c>
      <c r="BF69" s="89">
        <f t="shared" ca="1" si="7"/>
        <v>0</v>
      </c>
      <c r="BG69" s="89">
        <f t="shared" ca="1" si="8"/>
        <v>0</v>
      </c>
      <c r="BH69" s="89">
        <f t="shared" ca="1" si="9"/>
        <v>0</v>
      </c>
      <c r="BI69" s="89">
        <f t="shared" ca="1" si="10"/>
        <v>0</v>
      </c>
      <c r="BJ69" s="89">
        <f t="shared" ca="1" si="11"/>
        <v>0</v>
      </c>
      <c r="BK69" s="89">
        <f t="shared" ca="1" si="12"/>
        <v>0</v>
      </c>
      <c r="BL69" s="89">
        <f t="shared" ca="1" si="13"/>
        <v>0</v>
      </c>
      <c r="BM69" s="89">
        <f t="shared" ca="1" si="14"/>
        <v>0</v>
      </c>
      <c r="BN69" s="89">
        <f t="shared" ca="1" si="15"/>
        <v>0</v>
      </c>
      <c r="BO69" s="89">
        <f t="shared" ca="1" si="16"/>
        <v>0</v>
      </c>
      <c r="BP69" s="89">
        <f t="shared" ca="1" si="17"/>
        <v>0</v>
      </c>
      <c r="BQ69" s="89">
        <f t="shared" ca="1" si="18"/>
        <v>0</v>
      </c>
      <c r="BR69" s="87">
        <f t="shared" ca="1" si="19"/>
        <v>0</v>
      </c>
      <c r="BS69" s="89">
        <f t="shared" ca="1" si="20"/>
        <v>0</v>
      </c>
      <c r="BT69" s="89">
        <f t="shared" ca="1" si="21"/>
        <v>0</v>
      </c>
      <c r="BU69" s="89">
        <f t="shared" ca="1" si="22"/>
        <v>0</v>
      </c>
      <c r="BV69" s="87">
        <f t="shared" ca="1" si="23"/>
        <v>0</v>
      </c>
      <c r="BW69" s="87" t="str">
        <f t="shared" ca="1" si="24"/>
        <v>000</v>
      </c>
      <c r="BX69" s="89">
        <f t="shared" ca="1" si="25"/>
        <v>0</v>
      </c>
    </row>
    <row r="70" spans="1:76">
      <c r="A70" s="90" t="str">
        <f t="shared" si="2"/>
        <v/>
      </c>
      <c r="B70" s="98" t="s">
        <v>313</v>
      </c>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1">
        <f t="shared" ca="1" si="3"/>
        <v>0</v>
      </c>
      <c r="BB70" s="88" t="str">
        <f t="shared" ca="1" si="4"/>
        <v/>
      </c>
      <c r="BC70" s="89">
        <f t="shared" ca="1" si="5"/>
        <v>0</v>
      </c>
      <c r="BD70" s="89">
        <f ca="1">IF(BC70=0,0,RANK(BF70,$BF$11:$BF$70,0)+(COUNTIF($BF70:$BF$70,BF70)-1))</f>
        <v>0</v>
      </c>
      <c r="BE70" s="89">
        <f t="shared" ca="1" si="6"/>
        <v>0</v>
      </c>
      <c r="BF70" s="89">
        <f t="shared" ca="1" si="7"/>
        <v>0</v>
      </c>
      <c r="BG70" s="89">
        <f t="shared" ca="1" si="8"/>
        <v>0</v>
      </c>
      <c r="BH70" s="89">
        <f t="shared" ca="1" si="9"/>
        <v>0</v>
      </c>
      <c r="BI70" s="89">
        <f t="shared" ca="1" si="10"/>
        <v>0</v>
      </c>
      <c r="BJ70" s="89">
        <f t="shared" ca="1" si="11"/>
        <v>0</v>
      </c>
      <c r="BK70" s="89">
        <f t="shared" ca="1" si="12"/>
        <v>0</v>
      </c>
      <c r="BL70" s="89">
        <f t="shared" ca="1" si="13"/>
        <v>0</v>
      </c>
      <c r="BM70" s="89">
        <f t="shared" ca="1" si="14"/>
        <v>0</v>
      </c>
      <c r="BN70" s="89">
        <f t="shared" ca="1" si="15"/>
        <v>0</v>
      </c>
      <c r="BO70" s="89">
        <f t="shared" ca="1" si="16"/>
        <v>0</v>
      </c>
      <c r="BP70" s="89">
        <f t="shared" ca="1" si="17"/>
        <v>0</v>
      </c>
      <c r="BQ70" s="89">
        <f t="shared" ca="1" si="18"/>
        <v>0</v>
      </c>
      <c r="BR70" s="87">
        <f t="shared" ca="1" si="19"/>
        <v>0</v>
      </c>
      <c r="BS70" s="89">
        <f t="shared" ca="1" si="20"/>
        <v>0</v>
      </c>
      <c r="BT70" s="89">
        <f t="shared" ca="1" si="21"/>
        <v>0</v>
      </c>
      <c r="BU70" s="89">
        <f t="shared" ca="1" si="22"/>
        <v>0</v>
      </c>
      <c r="BV70" s="87">
        <f t="shared" ca="1" si="23"/>
        <v>0</v>
      </c>
      <c r="BW70" s="87" t="str">
        <f t="shared" ca="1" si="24"/>
        <v>000</v>
      </c>
      <c r="BX70" s="89">
        <f t="shared" ca="1" si="25"/>
        <v>0</v>
      </c>
    </row>
    <row r="71" spans="1:76">
      <c r="A71" s="90">
        <f t="shared" si="2"/>
        <v>71</v>
      </c>
      <c r="B71" s="98" t="s">
        <v>501</v>
      </c>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3"/>
      <c r="BB71" s="88"/>
    </row>
    <row r="72" spans="1:76">
      <c r="A72" s="90" t="str">
        <f t="shared" si="2"/>
        <v/>
      </c>
      <c r="B72" s="98">
        <v>1</v>
      </c>
      <c r="C72" s="94">
        <v>6</v>
      </c>
      <c r="D72" s="94">
        <v>-7</v>
      </c>
      <c r="E72" s="94">
        <v>8</v>
      </c>
      <c r="F72" s="94">
        <v>-4</v>
      </c>
      <c r="G72" s="94">
        <v>5</v>
      </c>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3"/>
      <c r="BB72" s="88"/>
    </row>
    <row r="73" spans="1:76">
      <c r="A73" s="90" t="str">
        <f t="shared" si="2"/>
        <v/>
      </c>
      <c r="B73" s="98">
        <v>2</v>
      </c>
      <c r="C73" s="94">
        <v>-8</v>
      </c>
      <c r="D73" s="94">
        <v>1</v>
      </c>
      <c r="E73" s="94">
        <v>4</v>
      </c>
      <c r="F73" s="94">
        <v>-7</v>
      </c>
      <c r="G73" s="94">
        <v>-5</v>
      </c>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5"/>
    </row>
    <row r="74" spans="1:76">
      <c r="A74" s="90" t="str">
        <f t="shared" si="2"/>
        <v/>
      </c>
      <c r="B74" s="98">
        <v>3</v>
      </c>
      <c r="C74" s="94">
        <v>8</v>
      </c>
      <c r="D74" s="94">
        <v>5</v>
      </c>
      <c r="E74" s="94">
        <v>-2</v>
      </c>
      <c r="F74" s="94">
        <v>4</v>
      </c>
      <c r="G74" s="94">
        <v>-6</v>
      </c>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c r="AZ74" s="94"/>
      <c r="BA74" s="95"/>
    </row>
    <row r="75" spans="1:76">
      <c r="A75" s="90" t="str">
        <f t="shared" si="2"/>
        <v/>
      </c>
      <c r="B75" s="98">
        <v>4</v>
      </c>
      <c r="C75" s="94">
        <v>-9</v>
      </c>
      <c r="D75" s="94">
        <v>7</v>
      </c>
      <c r="E75" s="94">
        <v>-4</v>
      </c>
      <c r="F75" s="94">
        <v>-3</v>
      </c>
      <c r="G75" s="94">
        <v>6</v>
      </c>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5"/>
    </row>
    <row r="76" spans="1:76">
      <c r="A76" s="90" t="str">
        <f t="shared" ref="A76:A139" si="26">IF(MID(B76,3,2)="09",ROW(),"")</f>
        <v/>
      </c>
      <c r="B76" s="98">
        <v>5</v>
      </c>
      <c r="C76" s="94">
        <v>9</v>
      </c>
      <c r="D76" s="94">
        <v>-5</v>
      </c>
      <c r="E76" s="94">
        <v>-8</v>
      </c>
      <c r="F76" s="94">
        <v>7</v>
      </c>
      <c r="G76" s="94">
        <v>4</v>
      </c>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5"/>
    </row>
    <row r="77" spans="1:76">
      <c r="A77" s="90" t="str">
        <f t="shared" si="26"/>
        <v/>
      </c>
      <c r="B77" s="99">
        <v>6</v>
      </c>
      <c r="C77" s="92">
        <v>-6</v>
      </c>
      <c r="D77" s="92">
        <v>-1</v>
      </c>
      <c r="E77" s="92">
        <v>2</v>
      </c>
      <c r="F77" s="92">
        <v>3</v>
      </c>
      <c r="G77" s="92">
        <v>-4</v>
      </c>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5"/>
    </row>
    <row r="78" spans="1:76">
      <c r="A78" s="90" t="str">
        <f t="shared" si="26"/>
        <v/>
      </c>
      <c r="B78" s="98">
        <v>7</v>
      </c>
      <c r="C78" s="94">
        <v>3</v>
      </c>
      <c r="D78" s="94">
        <v>-6</v>
      </c>
      <c r="E78" s="94">
        <v>-1</v>
      </c>
      <c r="F78" s="94">
        <v>5</v>
      </c>
      <c r="G78" s="94">
        <v>7</v>
      </c>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5"/>
    </row>
    <row r="79" spans="1:76">
      <c r="A79" s="90" t="str">
        <f t="shared" si="26"/>
        <v/>
      </c>
      <c r="B79" s="98">
        <v>8</v>
      </c>
      <c r="C79" s="94">
        <v>-2</v>
      </c>
      <c r="D79" s="94">
        <v>-4</v>
      </c>
      <c r="E79" s="94">
        <v>9</v>
      </c>
      <c r="F79" s="94">
        <v>6</v>
      </c>
      <c r="G79" s="94">
        <v>-7</v>
      </c>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5"/>
    </row>
    <row r="80" spans="1:76">
      <c r="A80" s="90" t="str">
        <f t="shared" si="26"/>
        <v/>
      </c>
      <c r="B80" s="98">
        <v>9</v>
      </c>
      <c r="C80" s="94">
        <v>-4</v>
      </c>
      <c r="D80" s="94">
        <v>8</v>
      </c>
      <c r="E80" s="94">
        <v>1</v>
      </c>
      <c r="F80" s="94">
        <v>-6</v>
      </c>
      <c r="G80" s="94">
        <v>-3</v>
      </c>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5"/>
    </row>
    <row r="81" spans="1:53" s="87" customFormat="1">
      <c r="A81" s="90" t="str">
        <f t="shared" si="26"/>
        <v/>
      </c>
      <c r="B81" s="99">
        <v>10</v>
      </c>
      <c r="C81" s="92">
        <v>1</v>
      </c>
      <c r="D81" s="92">
        <v>2</v>
      </c>
      <c r="E81" s="92">
        <v>-9</v>
      </c>
      <c r="F81" s="92">
        <v>-5</v>
      </c>
      <c r="G81" s="92">
        <v>3</v>
      </c>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5"/>
    </row>
    <row r="82" spans="1:53" s="87" customFormat="1">
      <c r="A82" s="90" t="str">
        <f t="shared" si="26"/>
        <v/>
      </c>
      <c r="B82" s="98">
        <v>11</v>
      </c>
      <c r="C82" s="94">
        <v>-3</v>
      </c>
      <c r="D82" s="94">
        <v>4</v>
      </c>
      <c r="E82" s="94">
        <v>6</v>
      </c>
      <c r="F82" s="94">
        <v>-9</v>
      </c>
      <c r="G82" s="94">
        <v>-8</v>
      </c>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5"/>
    </row>
    <row r="83" spans="1:53" s="87" customFormat="1">
      <c r="A83" s="90" t="str">
        <f t="shared" si="26"/>
        <v/>
      </c>
      <c r="B83" s="98">
        <v>12</v>
      </c>
      <c r="C83" s="94">
        <v>2</v>
      </c>
      <c r="D83" s="94">
        <v>6</v>
      </c>
      <c r="E83" s="94">
        <v>-5</v>
      </c>
      <c r="F83" s="94">
        <v>-1</v>
      </c>
      <c r="G83" s="94">
        <v>8</v>
      </c>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5"/>
    </row>
    <row r="84" spans="1:53" s="87" customFormat="1">
      <c r="A84" s="90" t="str">
        <f t="shared" si="26"/>
        <v/>
      </c>
      <c r="B84" s="98">
        <v>13</v>
      </c>
      <c r="C84" s="94">
        <v>-7</v>
      </c>
      <c r="D84" s="94">
        <v>-3</v>
      </c>
      <c r="E84" s="94">
        <v>5</v>
      </c>
      <c r="F84" s="94">
        <v>9</v>
      </c>
      <c r="G84" s="94">
        <v>-2</v>
      </c>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c r="AZ84" s="94"/>
      <c r="BA84" s="95"/>
    </row>
    <row r="85" spans="1:53" s="87" customFormat="1">
      <c r="A85" s="90" t="str">
        <f t="shared" si="26"/>
        <v/>
      </c>
      <c r="B85" s="99">
        <v>14</v>
      </c>
      <c r="C85" s="92">
        <v>5</v>
      </c>
      <c r="D85" s="92">
        <v>-9</v>
      </c>
      <c r="E85" s="92">
        <v>-6</v>
      </c>
      <c r="F85" s="92">
        <v>1</v>
      </c>
      <c r="G85" s="92">
        <v>2</v>
      </c>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5"/>
    </row>
    <row r="86" spans="1:53" s="87" customFormat="1">
      <c r="A86" s="90" t="str">
        <f t="shared" si="26"/>
        <v/>
      </c>
      <c r="B86" s="98">
        <v>15</v>
      </c>
      <c r="C86" s="94">
        <v>4</v>
      </c>
      <c r="D86" s="94">
        <v>-2</v>
      </c>
      <c r="E86" s="94">
        <v>3</v>
      </c>
      <c r="F86" s="94">
        <v>-8</v>
      </c>
      <c r="G86" s="94">
        <v>9</v>
      </c>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5"/>
    </row>
    <row r="87" spans="1:53" s="87" customFormat="1">
      <c r="A87" s="90" t="str">
        <f t="shared" si="26"/>
        <v/>
      </c>
      <c r="B87" s="98">
        <v>16</v>
      </c>
      <c r="C87" s="94">
        <v>-1</v>
      </c>
      <c r="D87" s="94">
        <v>-8</v>
      </c>
      <c r="E87" s="94">
        <v>7</v>
      </c>
      <c r="F87" s="94">
        <v>2</v>
      </c>
      <c r="G87" s="94">
        <v>-9</v>
      </c>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5"/>
    </row>
    <row r="88" spans="1:53" s="87" customFormat="1">
      <c r="A88" s="90" t="str">
        <f t="shared" si="26"/>
        <v/>
      </c>
      <c r="B88" s="98">
        <v>17</v>
      </c>
      <c r="C88" s="94">
        <v>-5</v>
      </c>
      <c r="D88" s="94">
        <v>3</v>
      </c>
      <c r="E88" s="94">
        <v>-7</v>
      </c>
      <c r="F88" s="94">
        <v>8</v>
      </c>
      <c r="G88" s="94">
        <v>-1</v>
      </c>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5"/>
    </row>
    <row r="89" spans="1:53" s="87" customFormat="1">
      <c r="A89" s="90" t="str">
        <f t="shared" si="26"/>
        <v/>
      </c>
      <c r="B89" s="98">
        <v>18</v>
      </c>
      <c r="C89" s="94">
        <v>7</v>
      </c>
      <c r="D89" s="94">
        <v>9</v>
      </c>
      <c r="E89" s="94">
        <v>-3</v>
      </c>
      <c r="F89" s="94">
        <v>-2</v>
      </c>
      <c r="G89" s="94">
        <v>1</v>
      </c>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5"/>
    </row>
    <row r="90" spans="1:53" s="87" customFormat="1">
      <c r="A90" s="90" t="str">
        <f t="shared" si="26"/>
        <v/>
      </c>
      <c r="B90" s="98" t="s">
        <v>313</v>
      </c>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5"/>
    </row>
    <row r="91" spans="1:53" s="87" customFormat="1">
      <c r="A91" s="90">
        <f t="shared" si="26"/>
        <v>91</v>
      </c>
      <c r="B91" s="98" t="s">
        <v>502</v>
      </c>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5"/>
    </row>
    <row r="92" spans="1:53" s="87" customFormat="1">
      <c r="A92" s="90" t="str">
        <f t="shared" si="26"/>
        <v/>
      </c>
      <c r="B92" s="98">
        <v>1</v>
      </c>
      <c r="C92" s="94">
        <v>-8</v>
      </c>
      <c r="D92" s="94">
        <v>7</v>
      </c>
      <c r="E92" s="94">
        <v>-4</v>
      </c>
      <c r="F92" s="94">
        <v>3</v>
      </c>
      <c r="G92" s="94">
        <v>9</v>
      </c>
      <c r="H92" s="94">
        <v>6</v>
      </c>
      <c r="I92" s="94">
        <v>-2</v>
      </c>
      <c r="J92" s="94">
        <v>-5</v>
      </c>
      <c r="K92" s="94" t="s">
        <v>202</v>
      </c>
      <c r="L92" s="94">
        <v>1</v>
      </c>
      <c r="M92" s="94">
        <v>8</v>
      </c>
      <c r="N92" s="94">
        <v>-6</v>
      </c>
      <c r="O92" s="94">
        <v>-9</v>
      </c>
      <c r="P92" s="94">
        <v>-3</v>
      </c>
      <c r="Q92" s="94">
        <v>2</v>
      </c>
      <c r="R92" s="94">
        <v>-6</v>
      </c>
      <c r="S92" s="94">
        <v>-1</v>
      </c>
      <c r="T92" s="94">
        <v>4</v>
      </c>
      <c r="U92" s="94">
        <v>5</v>
      </c>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5"/>
    </row>
    <row r="93" spans="1:53" s="87" customFormat="1">
      <c r="A93" s="90" t="str">
        <f t="shared" si="26"/>
        <v/>
      </c>
      <c r="B93" s="98">
        <v>2</v>
      </c>
      <c r="C93" s="94">
        <v>5</v>
      </c>
      <c r="D93" s="94" t="s">
        <v>202</v>
      </c>
      <c r="E93" s="94">
        <v>1</v>
      </c>
      <c r="F93" s="94">
        <v>-4</v>
      </c>
      <c r="G93" s="94">
        <v>-3</v>
      </c>
      <c r="H93" s="94">
        <v>-2</v>
      </c>
      <c r="I93" s="94">
        <v>-8</v>
      </c>
      <c r="J93" s="94">
        <v>6</v>
      </c>
      <c r="K93" s="94">
        <v>-9</v>
      </c>
      <c r="L93" s="94">
        <v>-6</v>
      </c>
      <c r="M93" s="94">
        <v>7</v>
      </c>
      <c r="N93" s="94">
        <v>9</v>
      </c>
      <c r="O93" s="94">
        <v>3</v>
      </c>
      <c r="P93" s="94">
        <v>2</v>
      </c>
      <c r="Q93" s="94">
        <v>-1</v>
      </c>
      <c r="R93" s="94">
        <v>8</v>
      </c>
      <c r="S93" s="94">
        <v>6</v>
      </c>
      <c r="T93" s="94">
        <v>-7</v>
      </c>
      <c r="U93" s="94">
        <v>-5</v>
      </c>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5"/>
    </row>
    <row r="94" spans="1:53" s="87" customFormat="1">
      <c r="A94" s="90" t="str">
        <f t="shared" si="26"/>
        <v/>
      </c>
      <c r="B94" s="98">
        <v>3</v>
      </c>
      <c r="C94" s="94">
        <v>-3</v>
      </c>
      <c r="D94" s="94">
        <v>8</v>
      </c>
      <c r="E94" s="94">
        <v>9</v>
      </c>
      <c r="F94" s="94">
        <v>-6</v>
      </c>
      <c r="G94" s="94">
        <v>1</v>
      </c>
      <c r="H94" s="94">
        <v>5</v>
      </c>
      <c r="I94" s="94" t="s">
        <v>202</v>
      </c>
      <c r="J94" s="94">
        <v>2</v>
      </c>
      <c r="K94" s="94">
        <v>-7</v>
      </c>
      <c r="L94" s="94">
        <v>-8</v>
      </c>
      <c r="M94" s="94">
        <v>4</v>
      </c>
      <c r="N94" s="94">
        <v>3</v>
      </c>
      <c r="O94" s="94">
        <v>-1</v>
      </c>
      <c r="P94" s="94">
        <v>-2</v>
      </c>
      <c r="Q94" s="94">
        <v>-9</v>
      </c>
      <c r="R94" s="94">
        <v>-5</v>
      </c>
      <c r="S94" s="94">
        <v>8</v>
      </c>
      <c r="T94" s="94">
        <v>-4</v>
      </c>
      <c r="U94" s="94">
        <v>6</v>
      </c>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5"/>
    </row>
    <row r="95" spans="1:53" s="87" customFormat="1">
      <c r="A95" s="90" t="str">
        <f t="shared" si="26"/>
        <v/>
      </c>
      <c r="B95" s="98">
        <v>4</v>
      </c>
      <c r="C95" s="94">
        <v>-7</v>
      </c>
      <c r="D95" s="94">
        <v>-3</v>
      </c>
      <c r="E95" s="94" t="s">
        <v>202</v>
      </c>
      <c r="F95" s="94">
        <v>9</v>
      </c>
      <c r="G95" s="94">
        <v>-5</v>
      </c>
      <c r="H95" s="94">
        <v>4</v>
      </c>
      <c r="I95" s="94">
        <v>6</v>
      </c>
      <c r="J95" s="94">
        <v>-8</v>
      </c>
      <c r="K95" s="94">
        <v>-1</v>
      </c>
      <c r="L95" s="94">
        <v>4</v>
      </c>
      <c r="M95" s="94">
        <v>-2</v>
      </c>
      <c r="N95" s="94">
        <v>5</v>
      </c>
      <c r="O95" s="94">
        <v>8</v>
      </c>
      <c r="P95" s="94">
        <v>-9</v>
      </c>
      <c r="Q95" s="94">
        <v>-4</v>
      </c>
      <c r="R95" s="94">
        <v>2</v>
      </c>
      <c r="S95" s="94">
        <v>1</v>
      </c>
      <c r="T95" s="94">
        <v>7</v>
      </c>
      <c r="U95" s="94">
        <v>-6</v>
      </c>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5"/>
    </row>
    <row r="96" spans="1:53" s="87" customFormat="1">
      <c r="A96" s="90" t="str">
        <f t="shared" si="26"/>
        <v/>
      </c>
      <c r="B96" s="98">
        <v>5</v>
      </c>
      <c r="C96" s="94">
        <v>4</v>
      </c>
      <c r="D96" s="94">
        <v>1</v>
      </c>
      <c r="E96" s="94">
        <v>-3</v>
      </c>
      <c r="F96" s="94" t="s">
        <v>202</v>
      </c>
      <c r="G96" s="94">
        <v>6</v>
      </c>
      <c r="H96" s="94">
        <v>7</v>
      </c>
      <c r="I96" s="94">
        <v>3</v>
      </c>
      <c r="J96" s="94">
        <v>-9</v>
      </c>
      <c r="K96" s="94">
        <v>2</v>
      </c>
      <c r="L96" s="94">
        <v>5</v>
      </c>
      <c r="M96" s="94">
        <v>-1</v>
      </c>
      <c r="N96" s="94">
        <v>-2</v>
      </c>
      <c r="O96" s="94">
        <v>-8</v>
      </c>
      <c r="P96" s="94">
        <v>3</v>
      </c>
      <c r="Q96" s="94">
        <v>9</v>
      </c>
      <c r="R96" s="94">
        <v>-7</v>
      </c>
      <c r="S96" s="94">
        <v>-6</v>
      </c>
      <c r="T96" s="94">
        <v>-5</v>
      </c>
      <c r="U96" s="94">
        <v>-4</v>
      </c>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5"/>
    </row>
    <row r="97" spans="1:53" s="87" customFormat="1">
      <c r="A97" s="90" t="str">
        <f t="shared" si="26"/>
        <v/>
      </c>
      <c r="B97" s="98">
        <v>6</v>
      </c>
      <c r="C97" s="94">
        <v>-6</v>
      </c>
      <c r="D97" s="94">
        <v>-9</v>
      </c>
      <c r="E97" s="94">
        <v>2</v>
      </c>
      <c r="F97" s="94">
        <v>-5</v>
      </c>
      <c r="G97" s="94">
        <v>8</v>
      </c>
      <c r="H97" s="94" t="s">
        <v>202</v>
      </c>
      <c r="I97" s="94">
        <v>-1</v>
      </c>
      <c r="J97" s="94">
        <v>7</v>
      </c>
      <c r="K97" s="94">
        <v>-4</v>
      </c>
      <c r="L97" s="94">
        <v>3</v>
      </c>
      <c r="M97" s="94">
        <v>-7</v>
      </c>
      <c r="N97" s="94">
        <v>6</v>
      </c>
      <c r="O97" s="94">
        <v>1</v>
      </c>
      <c r="P97" s="94">
        <v>-8</v>
      </c>
      <c r="Q97" s="94">
        <v>7</v>
      </c>
      <c r="R97" s="94">
        <v>-2</v>
      </c>
      <c r="S97" s="94">
        <v>9</v>
      </c>
      <c r="T97" s="94">
        <v>-3</v>
      </c>
      <c r="U97" s="94">
        <v>4</v>
      </c>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5"/>
    </row>
    <row r="98" spans="1:53" s="87" customFormat="1">
      <c r="A98" s="90" t="str">
        <f t="shared" si="26"/>
        <v/>
      </c>
      <c r="B98" s="98">
        <v>7</v>
      </c>
      <c r="C98" s="94" t="s">
        <v>202</v>
      </c>
      <c r="D98" s="94">
        <v>-6</v>
      </c>
      <c r="E98" s="94">
        <v>8</v>
      </c>
      <c r="F98" s="94">
        <v>2</v>
      </c>
      <c r="G98" s="94">
        <v>4</v>
      </c>
      <c r="H98" s="94">
        <v>-9</v>
      </c>
      <c r="I98" s="94">
        <v>-5</v>
      </c>
      <c r="J98" s="94">
        <v>-1</v>
      </c>
      <c r="K98" s="94">
        <v>5</v>
      </c>
      <c r="L98" s="94">
        <v>-7</v>
      </c>
      <c r="M98" s="94">
        <v>1</v>
      </c>
      <c r="N98" s="94">
        <v>-3</v>
      </c>
      <c r="O98" s="94">
        <v>-4</v>
      </c>
      <c r="P98" s="94">
        <v>9</v>
      </c>
      <c r="Q98" s="94">
        <v>-2</v>
      </c>
      <c r="R98" s="94">
        <v>-8</v>
      </c>
      <c r="S98" s="94">
        <v>5</v>
      </c>
      <c r="T98" s="94">
        <v>3</v>
      </c>
      <c r="U98" s="94">
        <v>7</v>
      </c>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5"/>
    </row>
    <row r="99" spans="1:53" s="87" customFormat="1">
      <c r="A99" s="90" t="str">
        <f t="shared" si="26"/>
        <v/>
      </c>
      <c r="B99" s="98">
        <v>8</v>
      </c>
      <c r="C99" s="94">
        <v>-1</v>
      </c>
      <c r="D99" s="94">
        <v>-2</v>
      </c>
      <c r="E99" s="94">
        <v>7</v>
      </c>
      <c r="F99" s="94">
        <v>8</v>
      </c>
      <c r="G99" s="94" t="s">
        <v>202</v>
      </c>
      <c r="H99" s="94">
        <v>3</v>
      </c>
      <c r="I99" s="94">
        <v>9</v>
      </c>
      <c r="J99" s="94">
        <v>-4</v>
      </c>
      <c r="K99" s="94">
        <v>6</v>
      </c>
      <c r="L99" s="94">
        <v>-9</v>
      </c>
      <c r="M99" s="94">
        <v>-8</v>
      </c>
      <c r="N99" s="94">
        <v>2</v>
      </c>
      <c r="O99" s="94">
        <v>-3</v>
      </c>
      <c r="P99" s="94">
        <v>1</v>
      </c>
      <c r="Q99" s="94">
        <v>4</v>
      </c>
      <c r="R99" s="94">
        <v>5</v>
      </c>
      <c r="S99" s="94">
        <v>-9</v>
      </c>
      <c r="T99" s="94">
        <v>-6</v>
      </c>
      <c r="U99" s="94">
        <v>-7</v>
      </c>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5"/>
    </row>
    <row r="100" spans="1:53" s="87" customFormat="1">
      <c r="A100" s="90" t="str">
        <f t="shared" si="26"/>
        <v/>
      </c>
      <c r="B100" s="98">
        <v>9</v>
      </c>
      <c r="C100" s="94">
        <v>9</v>
      </c>
      <c r="D100" s="94">
        <v>-4</v>
      </c>
      <c r="E100" s="94">
        <v>-5</v>
      </c>
      <c r="F100" s="94">
        <v>-7</v>
      </c>
      <c r="G100" s="94">
        <v>-2</v>
      </c>
      <c r="H100" s="94">
        <v>1</v>
      </c>
      <c r="I100" s="94">
        <v>7</v>
      </c>
      <c r="J100" s="94">
        <v>-3</v>
      </c>
      <c r="K100" s="94">
        <v>8</v>
      </c>
      <c r="L100" s="94" t="s">
        <v>202</v>
      </c>
      <c r="M100" s="94">
        <v>2</v>
      </c>
      <c r="N100" s="94">
        <v>-9</v>
      </c>
      <c r="O100" s="94">
        <v>4</v>
      </c>
      <c r="P100" s="94">
        <v>-1</v>
      </c>
      <c r="Q100" s="94">
        <v>-7</v>
      </c>
      <c r="R100" s="94">
        <v>6</v>
      </c>
      <c r="S100" s="94">
        <v>-8</v>
      </c>
      <c r="T100" s="94">
        <v>5</v>
      </c>
      <c r="U100" s="94">
        <v>3</v>
      </c>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5"/>
    </row>
    <row r="101" spans="1:53" s="87" customFormat="1">
      <c r="A101" s="90" t="str">
        <f t="shared" si="26"/>
        <v/>
      </c>
      <c r="B101" s="98">
        <v>10</v>
      </c>
      <c r="C101" s="94">
        <v>2</v>
      </c>
      <c r="D101" s="94">
        <v>5</v>
      </c>
      <c r="E101" s="94">
        <v>-6</v>
      </c>
      <c r="F101" s="94">
        <v>-1</v>
      </c>
      <c r="G101" s="94">
        <v>-7</v>
      </c>
      <c r="H101" s="94">
        <v>-8</v>
      </c>
      <c r="I101" s="94">
        <v>4</v>
      </c>
      <c r="J101" s="94" t="s">
        <v>202</v>
      </c>
      <c r="K101" s="94">
        <v>3</v>
      </c>
      <c r="L101" s="94">
        <v>-2</v>
      </c>
      <c r="M101" s="94">
        <v>-4</v>
      </c>
      <c r="N101" s="94">
        <v>-5</v>
      </c>
      <c r="O101" s="94">
        <v>9</v>
      </c>
      <c r="P101" s="94">
        <v>8</v>
      </c>
      <c r="Q101" s="94">
        <v>1</v>
      </c>
      <c r="R101" s="94">
        <v>7</v>
      </c>
      <c r="S101" s="94">
        <v>-5</v>
      </c>
      <c r="T101" s="94">
        <v>6</v>
      </c>
      <c r="U101" s="94">
        <v>-3</v>
      </c>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5"/>
    </row>
    <row r="102" spans="1:53" s="87" customFormat="1">
      <c r="A102" s="90" t="str">
        <f t="shared" si="26"/>
        <v/>
      </c>
      <c r="B102" s="98">
        <v>11</v>
      </c>
      <c r="C102" s="94">
        <v>1</v>
      </c>
      <c r="D102" s="94">
        <v>-5</v>
      </c>
      <c r="E102" s="94">
        <v>4</v>
      </c>
      <c r="F102" s="94">
        <v>7</v>
      </c>
      <c r="G102" s="94">
        <v>3</v>
      </c>
      <c r="H102" s="94">
        <v>9</v>
      </c>
      <c r="I102" s="94">
        <v>-6</v>
      </c>
      <c r="J102" s="94">
        <v>-7</v>
      </c>
      <c r="K102" s="94">
        <v>-2</v>
      </c>
      <c r="L102" s="94">
        <v>8</v>
      </c>
      <c r="M102" s="94">
        <v>6</v>
      </c>
      <c r="N102" s="94">
        <v>-1</v>
      </c>
      <c r="O102" s="94">
        <v>-7</v>
      </c>
      <c r="P102" s="94">
        <v>5</v>
      </c>
      <c r="Q102" s="94" t="s">
        <v>202</v>
      </c>
      <c r="R102" s="94">
        <v>-4</v>
      </c>
      <c r="S102" s="94">
        <v>2</v>
      </c>
      <c r="T102" s="94">
        <v>-9</v>
      </c>
      <c r="U102" s="94">
        <v>-8</v>
      </c>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5"/>
    </row>
    <row r="103" spans="1:53" s="87" customFormat="1">
      <c r="A103" s="90" t="str">
        <f t="shared" si="26"/>
        <v/>
      </c>
      <c r="B103" s="98">
        <v>12</v>
      </c>
      <c r="C103" s="94">
        <v>7</v>
      </c>
      <c r="D103" s="94">
        <v>-1</v>
      </c>
      <c r="E103" s="94">
        <v>-8</v>
      </c>
      <c r="F103" s="94">
        <v>4</v>
      </c>
      <c r="G103" s="94">
        <v>-9</v>
      </c>
      <c r="H103" s="94">
        <v>-5</v>
      </c>
      <c r="I103" s="94">
        <v>1</v>
      </c>
      <c r="J103" s="94">
        <v>3</v>
      </c>
      <c r="K103" s="94">
        <v>-6</v>
      </c>
      <c r="L103" s="94">
        <v>2</v>
      </c>
      <c r="M103" s="94">
        <v>5</v>
      </c>
      <c r="N103" s="94">
        <v>-7</v>
      </c>
      <c r="O103" s="94">
        <v>-2</v>
      </c>
      <c r="P103" s="94">
        <v>6</v>
      </c>
      <c r="Q103" s="94">
        <v>-3</v>
      </c>
      <c r="R103" s="94">
        <v>9</v>
      </c>
      <c r="S103" s="94">
        <v>-4</v>
      </c>
      <c r="T103" s="94" t="s">
        <v>202</v>
      </c>
      <c r="U103" s="94">
        <v>8</v>
      </c>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c r="AZ103" s="94"/>
      <c r="BA103" s="95"/>
    </row>
    <row r="104" spans="1:53" s="87" customFormat="1">
      <c r="A104" s="90" t="str">
        <f t="shared" si="26"/>
        <v/>
      </c>
      <c r="B104" s="98">
        <v>13</v>
      </c>
      <c r="C104" s="94">
        <v>-4</v>
      </c>
      <c r="D104" s="94">
        <v>-8</v>
      </c>
      <c r="E104" s="94">
        <v>-1</v>
      </c>
      <c r="F104" s="94">
        <v>5</v>
      </c>
      <c r="G104" s="94">
        <v>2</v>
      </c>
      <c r="H104" s="94">
        <v>-6</v>
      </c>
      <c r="I104" s="94">
        <v>-9</v>
      </c>
      <c r="J104" s="94">
        <v>8</v>
      </c>
      <c r="K104" s="94">
        <v>-3</v>
      </c>
      <c r="L104" s="94">
        <v>7</v>
      </c>
      <c r="M104" s="94">
        <v>3</v>
      </c>
      <c r="N104" s="94" t="s">
        <v>202</v>
      </c>
      <c r="O104" s="94">
        <v>-5</v>
      </c>
      <c r="P104" s="94">
        <v>-7</v>
      </c>
      <c r="Q104" s="94">
        <v>6</v>
      </c>
      <c r="R104" s="94">
        <v>1</v>
      </c>
      <c r="S104" s="94">
        <v>4</v>
      </c>
      <c r="T104" s="94">
        <v>9</v>
      </c>
      <c r="U104" s="94">
        <v>-2</v>
      </c>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5"/>
    </row>
    <row r="105" spans="1:53" s="87" customFormat="1">
      <c r="A105" s="90" t="str">
        <f t="shared" si="26"/>
        <v/>
      </c>
      <c r="B105" s="98">
        <v>14</v>
      </c>
      <c r="C105" s="94">
        <v>3</v>
      </c>
      <c r="D105" s="94">
        <v>-7</v>
      </c>
      <c r="E105" s="94">
        <v>-2</v>
      </c>
      <c r="F105" s="94">
        <v>-8</v>
      </c>
      <c r="G105" s="94">
        <v>5</v>
      </c>
      <c r="H105" s="94">
        <v>-1</v>
      </c>
      <c r="I105" s="94">
        <v>-4</v>
      </c>
      <c r="J105" s="94">
        <v>9</v>
      </c>
      <c r="K105" s="94">
        <v>-5</v>
      </c>
      <c r="L105" s="94">
        <v>6</v>
      </c>
      <c r="M105" s="94">
        <v>-9</v>
      </c>
      <c r="N105" s="94">
        <v>4</v>
      </c>
      <c r="O105" s="94">
        <v>7</v>
      </c>
      <c r="P105" s="94">
        <v>-6</v>
      </c>
      <c r="Q105" s="94">
        <v>8</v>
      </c>
      <c r="R105" s="94">
        <v>-3</v>
      </c>
      <c r="S105" s="94" t="s">
        <v>202</v>
      </c>
      <c r="T105" s="94">
        <v>1</v>
      </c>
      <c r="U105" s="94">
        <v>2</v>
      </c>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5"/>
    </row>
    <row r="106" spans="1:53" s="87" customFormat="1">
      <c r="A106" s="90" t="str">
        <f t="shared" si="26"/>
        <v/>
      </c>
      <c r="B106" s="98">
        <v>15</v>
      </c>
      <c r="C106" s="94">
        <v>8</v>
      </c>
      <c r="D106" s="94">
        <v>4</v>
      </c>
      <c r="E106" s="94">
        <v>-7</v>
      </c>
      <c r="F106" s="94">
        <v>1</v>
      </c>
      <c r="G106" s="94">
        <v>-6</v>
      </c>
      <c r="H106" s="94">
        <v>-4</v>
      </c>
      <c r="I106" s="94">
        <v>5</v>
      </c>
      <c r="J106" s="94">
        <v>-2</v>
      </c>
      <c r="K106" s="94">
        <v>9</v>
      </c>
      <c r="L106" s="94">
        <v>-3</v>
      </c>
      <c r="M106" s="94" t="s">
        <v>202</v>
      </c>
      <c r="N106" s="94">
        <v>7</v>
      </c>
      <c r="O106" s="94">
        <v>6</v>
      </c>
      <c r="P106" s="94">
        <v>-5</v>
      </c>
      <c r="Q106" s="94">
        <v>-8</v>
      </c>
      <c r="R106" s="94">
        <v>-1</v>
      </c>
      <c r="S106" s="94">
        <v>3</v>
      </c>
      <c r="T106" s="94">
        <v>2</v>
      </c>
      <c r="U106" s="94">
        <v>-9</v>
      </c>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5"/>
    </row>
    <row r="107" spans="1:53" s="87" customFormat="1">
      <c r="A107" s="90" t="str">
        <f t="shared" si="26"/>
        <v/>
      </c>
      <c r="B107" s="98">
        <v>16</v>
      </c>
      <c r="C107" s="94">
        <v>-2</v>
      </c>
      <c r="D107" s="94">
        <v>6</v>
      </c>
      <c r="E107" s="94">
        <v>5</v>
      </c>
      <c r="F107" s="94">
        <v>-9</v>
      </c>
      <c r="G107" s="94">
        <v>-8</v>
      </c>
      <c r="H107" s="94">
        <v>2</v>
      </c>
      <c r="I107" s="94">
        <v>-3</v>
      </c>
      <c r="J107" s="94">
        <v>4</v>
      </c>
      <c r="K107" s="94">
        <v>7</v>
      </c>
      <c r="L107" s="94">
        <v>-1</v>
      </c>
      <c r="M107" s="94">
        <v>-5</v>
      </c>
      <c r="N107" s="94">
        <v>1</v>
      </c>
      <c r="O107" s="94" t="s">
        <v>202</v>
      </c>
      <c r="P107" s="94">
        <v>-4</v>
      </c>
      <c r="Q107" s="94">
        <v>-6</v>
      </c>
      <c r="R107" s="94">
        <v>3</v>
      </c>
      <c r="S107" s="94">
        <v>-7</v>
      </c>
      <c r="T107" s="94">
        <v>8</v>
      </c>
      <c r="U107" s="94">
        <v>9</v>
      </c>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5"/>
    </row>
    <row r="108" spans="1:53" s="87" customFormat="1">
      <c r="A108" s="90" t="str">
        <f t="shared" si="26"/>
        <v/>
      </c>
      <c r="B108" s="98">
        <v>17</v>
      </c>
      <c r="C108" s="94">
        <v>6</v>
      </c>
      <c r="D108" s="94">
        <v>2</v>
      </c>
      <c r="E108" s="94">
        <v>-9</v>
      </c>
      <c r="F108" s="94">
        <v>-3</v>
      </c>
      <c r="G108" s="94">
        <v>-4</v>
      </c>
      <c r="H108" s="94">
        <v>8</v>
      </c>
      <c r="I108" s="94">
        <v>-7</v>
      </c>
      <c r="J108" s="94">
        <v>-6</v>
      </c>
      <c r="K108" s="94">
        <v>1</v>
      </c>
      <c r="L108" s="94">
        <v>-5</v>
      </c>
      <c r="M108" s="94">
        <v>9</v>
      </c>
      <c r="N108" s="94">
        <v>-8</v>
      </c>
      <c r="O108" s="94">
        <v>5</v>
      </c>
      <c r="P108" s="94" t="s">
        <v>202</v>
      </c>
      <c r="Q108" s="94">
        <v>3</v>
      </c>
      <c r="R108" s="94">
        <v>4</v>
      </c>
      <c r="S108" s="94">
        <v>7</v>
      </c>
      <c r="T108" s="94">
        <v>-2</v>
      </c>
      <c r="U108" s="94">
        <v>-1</v>
      </c>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5"/>
    </row>
    <row r="109" spans="1:53" s="87" customFormat="1">
      <c r="A109" s="90" t="str">
        <f t="shared" si="26"/>
        <v/>
      </c>
      <c r="B109" s="98">
        <v>18</v>
      </c>
      <c r="C109" s="94">
        <v>-9</v>
      </c>
      <c r="D109" s="94">
        <v>3</v>
      </c>
      <c r="E109" s="94">
        <v>6</v>
      </c>
      <c r="F109" s="94">
        <v>-2</v>
      </c>
      <c r="G109" s="94">
        <v>-1</v>
      </c>
      <c r="H109" s="94">
        <v>-7</v>
      </c>
      <c r="I109" s="94">
        <v>8</v>
      </c>
      <c r="J109" s="94">
        <v>5</v>
      </c>
      <c r="K109" s="94">
        <v>4</v>
      </c>
      <c r="L109" s="94">
        <v>9</v>
      </c>
      <c r="M109" s="94">
        <v>-6</v>
      </c>
      <c r="N109" s="94">
        <v>-4</v>
      </c>
      <c r="O109" s="94">
        <v>2</v>
      </c>
      <c r="P109" s="94">
        <v>7</v>
      </c>
      <c r="Q109" s="94">
        <v>-5</v>
      </c>
      <c r="R109" s="94" t="s">
        <v>202</v>
      </c>
      <c r="S109" s="94">
        <v>-3</v>
      </c>
      <c r="T109" s="94">
        <v>-8</v>
      </c>
      <c r="U109" s="94">
        <v>1</v>
      </c>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5"/>
    </row>
    <row r="110" spans="1:53" s="87" customFormat="1">
      <c r="A110" s="90" t="str">
        <f t="shared" si="26"/>
        <v/>
      </c>
      <c r="B110" s="98">
        <v>19</v>
      </c>
      <c r="C110" s="94">
        <v>-5</v>
      </c>
      <c r="D110" s="94">
        <v>9</v>
      </c>
      <c r="E110" s="94">
        <v>3</v>
      </c>
      <c r="F110" s="94">
        <v>6</v>
      </c>
      <c r="G110" s="94">
        <v>7</v>
      </c>
      <c r="H110" s="94">
        <v>-3</v>
      </c>
      <c r="I110" s="94">
        <v>2</v>
      </c>
      <c r="J110" s="94">
        <v>1</v>
      </c>
      <c r="K110" s="94">
        <v>-8</v>
      </c>
      <c r="L110" s="94">
        <v>-4</v>
      </c>
      <c r="M110" s="94">
        <v>-3</v>
      </c>
      <c r="N110" s="94">
        <v>8</v>
      </c>
      <c r="O110" s="94">
        <v>-6</v>
      </c>
      <c r="P110" s="94">
        <v>4</v>
      </c>
      <c r="Q110" s="94">
        <v>5</v>
      </c>
      <c r="R110" s="94">
        <v>-9</v>
      </c>
      <c r="S110" s="94">
        <v>-2</v>
      </c>
      <c r="T110" s="94">
        <v>-1</v>
      </c>
      <c r="U110" s="94" t="s">
        <v>202</v>
      </c>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5"/>
    </row>
    <row r="111" spans="1:53" s="87" customFormat="1">
      <c r="A111" s="90" t="str">
        <f t="shared" si="26"/>
        <v/>
      </c>
      <c r="B111" s="98" t="s">
        <v>503</v>
      </c>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5"/>
    </row>
    <row r="112" spans="1:53" s="87" customFormat="1">
      <c r="A112" s="90">
        <f t="shared" si="26"/>
        <v>112</v>
      </c>
      <c r="B112" s="98" t="s">
        <v>504</v>
      </c>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5"/>
    </row>
    <row r="113" spans="1:53" s="87" customFormat="1">
      <c r="A113" s="90" t="str">
        <f t="shared" si="26"/>
        <v/>
      </c>
      <c r="B113" s="98">
        <v>1</v>
      </c>
      <c r="C113" s="94">
        <v>-8</v>
      </c>
      <c r="D113" s="94">
        <v>6</v>
      </c>
      <c r="E113" s="94">
        <v>-9</v>
      </c>
      <c r="F113" s="94">
        <v>3</v>
      </c>
      <c r="G113" s="94">
        <v>2</v>
      </c>
      <c r="H113" s="94">
        <v>-6</v>
      </c>
      <c r="I113" s="94">
        <v>-1</v>
      </c>
      <c r="J113" s="94">
        <v>4</v>
      </c>
      <c r="K113" s="94">
        <v>5</v>
      </c>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5"/>
    </row>
    <row r="114" spans="1:53" s="87" customFormat="1">
      <c r="A114" s="90" t="str">
        <f t="shared" si="26"/>
        <v/>
      </c>
      <c r="B114" s="98">
        <v>2</v>
      </c>
      <c r="C114" s="94">
        <v>7</v>
      </c>
      <c r="D114" s="94">
        <v>-9</v>
      </c>
      <c r="E114" s="94">
        <v>-3</v>
      </c>
      <c r="F114" s="94">
        <v>2</v>
      </c>
      <c r="G114" s="94">
        <v>1</v>
      </c>
      <c r="H114" s="94">
        <v>-8</v>
      </c>
      <c r="I114" s="94">
        <v>6</v>
      </c>
      <c r="J114" s="94">
        <v>-7</v>
      </c>
      <c r="K114" s="94">
        <v>-5</v>
      </c>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c r="AZ114" s="94"/>
      <c r="BA114" s="95"/>
    </row>
    <row r="115" spans="1:53" s="87" customFormat="1">
      <c r="A115" s="90" t="str">
        <f t="shared" si="26"/>
        <v/>
      </c>
      <c r="B115" s="98">
        <v>3</v>
      </c>
      <c r="C115" s="94">
        <v>4</v>
      </c>
      <c r="D115" s="94">
        <v>3</v>
      </c>
      <c r="E115" s="94">
        <v>-1</v>
      </c>
      <c r="F115" s="94">
        <v>-2</v>
      </c>
      <c r="G115" s="94">
        <v>9</v>
      </c>
      <c r="H115" s="94">
        <v>-5</v>
      </c>
      <c r="I115" s="94">
        <v>8</v>
      </c>
      <c r="J115" s="94">
        <v>-4</v>
      </c>
      <c r="K115" s="94">
        <v>6</v>
      </c>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5"/>
    </row>
    <row r="116" spans="1:53" s="87" customFormat="1">
      <c r="A116" s="90" t="str">
        <f t="shared" si="26"/>
        <v/>
      </c>
      <c r="B116" s="98">
        <v>4</v>
      </c>
      <c r="C116" s="94">
        <v>2</v>
      </c>
      <c r="D116" s="94">
        <v>5</v>
      </c>
      <c r="E116" s="94">
        <v>-8</v>
      </c>
      <c r="F116" s="94">
        <v>-9</v>
      </c>
      <c r="G116" s="94">
        <v>4</v>
      </c>
      <c r="H116" s="94">
        <v>-2</v>
      </c>
      <c r="I116" s="94">
        <v>1</v>
      </c>
      <c r="J116" s="94">
        <v>7</v>
      </c>
      <c r="K116" s="94">
        <v>-6</v>
      </c>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5"/>
    </row>
    <row r="117" spans="1:53" s="87" customFormat="1">
      <c r="A117" s="90" t="str">
        <f t="shared" si="26"/>
        <v/>
      </c>
      <c r="B117" s="98">
        <v>5</v>
      </c>
      <c r="C117" s="94">
        <v>-1</v>
      </c>
      <c r="D117" s="94">
        <v>2</v>
      </c>
      <c r="E117" s="94">
        <v>8</v>
      </c>
      <c r="F117" s="94">
        <v>-3</v>
      </c>
      <c r="G117" s="94">
        <v>-9</v>
      </c>
      <c r="H117" s="94">
        <v>7</v>
      </c>
      <c r="I117" s="94">
        <v>-6</v>
      </c>
      <c r="J117" s="94">
        <v>5</v>
      </c>
      <c r="K117" s="94">
        <v>-4</v>
      </c>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5"/>
    </row>
    <row r="118" spans="1:53" s="87" customFormat="1">
      <c r="A118" s="90" t="str">
        <f t="shared" si="26"/>
        <v/>
      </c>
      <c r="B118" s="98">
        <v>6</v>
      </c>
      <c r="C118" s="94">
        <v>-7</v>
      </c>
      <c r="D118" s="94">
        <v>-6</v>
      </c>
      <c r="E118" s="94">
        <v>1</v>
      </c>
      <c r="F118" s="94">
        <v>-8</v>
      </c>
      <c r="G118" s="94">
        <v>7</v>
      </c>
      <c r="H118" s="94">
        <v>2</v>
      </c>
      <c r="I118" s="94">
        <v>-9</v>
      </c>
      <c r="J118" s="94">
        <v>-3</v>
      </c>
      <c r="K118" s="94">
        <v>4</v>
      </c>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5"/>
    </row>
    <row r="119" spans="1:53" s="87" customFormat="1">
      <c r="A119" s="90" t="str">
        <f t="shared" si="26"/>
        <v/>
      </c>
      <c r="B119" s="98">
        <v>7</v>
      </c>
      <c r="C119" s="94">
        <v>1</v>
      </c>
      <c r="D119" s="94">
        <v>-3</v>
      </c>
      <c r="E119" s="94">
        <v>4</v>
      </c>
      <c r="F119" s="94">
        <v>9</v>
      </c>
      <c r="G119" s="94">
        <v>-2</v>
      </c>
      <c r="H119" s="94">
        <v>8</v>
      </c>
      <c r="I119" s="94">
        <v>-5</v>
      </c>
      <c r="J119" s="94">
        <v>3</v>
      </c>
      <c r="K119" s="94">
        <v>-7</v>
      </c>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5"/>
    </row>
    <row r="120" spans="1:53" s="87" customFormat="1">
      <c r="A120" s="90" t="str">
        <f t="shared" si="26"/>
        <v/>
      </c>
      <c r="B120" s="98">
        <v>8</v>
      </c>
      <c r="C120" s="94">
        <v>8</v>
      </c>
      <c r="D120" s="94">
        <v>-2</v>
      </c>
      <c r="E120" s="94">
        <v>3</v>
      </c>
      <c r="F120" s="94">
        <v>-1</v>
      </c>
      <c r="G120" s="94">
        <v>-4</v>
      </c>
      <c r="H120" s="94">
        <v>5</v>
      </c>
      <c r="I120" s="94">
        <v>9</v>
      </c>
      <c r="J120" s="94">
        <v>-6</v>
      </c>
      <c r="K120" s="94">
        <v>7</v>
      </c>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94"/>
      <c r="AV120" s="94"/>
      <c r="AW120" s="94"/>
      <c r="AX120" s="94"/>
      <c r="AY120" s="94"/>
      <c r="AZ120" s="94"/>
      <c r="BA120" s="95"/>
    </row>
    <row r="121" spans="1:53" s="87" customFormat="1">
      <c r="A121" s="90" t="str">
        <f t="shared" si="26"/>
        <v/>
      </c>
      <c r="B121" s="98">
        <v>9</v>
      </c>
      <c r="C121" s="94">
        <v>-2</v>
      </c>
      <c r="D121" s="94">
        <v>9</v>
      </c>
      <c r="E121" s="94">
        <v>-4</v>
      </c>
      <c r="F121" s="94">
        <v>1</v>
      </c>
      <c r="G121" s="94">
        <v>-7</v>
      </c>
      <c r="H121" s="94">
        <v>6</v>
      </c>
      <c r="I121" s="94">
        <v>-8</v>
      </c>
      <c r="J121" s="94">
        <v>-5</v>
      </c>
      <c r="K121" s="94">
        <v>3</v>
      </c>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5"/>
    </row>
    <row r="122" spans="1:53" s="87" customFormat="1">
      <c r="A122" s="90" t="str">
        <f t="shared" si="26"/>
        <v/>
      </c>
      <c r="B122" s="99">
        <v>10</v>
      </c>
      <c r="C122" s="92">
        <v>-4</v>
      </c>
      <c r="D122" s="92">
        <v>-5</v>
      </c>
      <c r="E122" s="92">
        <v>9</v>
      </c>
      <c r="F122" s="92">
        <v>8</v>
      </c>
      <c r="G122" s="92">
        <v>-1</v>
      </c>
      <c r="H122" s="92">
        <v>-7</v>
      </c>
      <c r="I122" s="92">
        <v>5</v>
      </c>
      <c r="J122" s="92">
        <v>6</v>
      </c>
      <c r="K122" s="92">
        <v>-3</v>
      </c>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5"/>
    </row>
    <row r="123" spans="1:53" s="87" customFormat="1">
      <c r="A123" s="90" t="str">
        <f t="shared" si="26"/>
        <v/>
      </c>
      <c r="B123" s="98">
        <v>11</v>
      </c>
      <c r="C123" s="94">
        <v>-6</v>
      </c>
      <c r="D123" s="94">
        <v>-1</v>
      </c>
      <c r="E123" s="94">
        <v>7</v>
      </c>
      <c r="F123" s="94">
        <v>5</v>
      </c>
      <c r="G123" s="94" t="s">
        <v>202</v>
      </c>
      <c r="H123" s="94">
        <v>-4</v>
      </c>
      <c r="I123" s="94">
        <v>-2</v>
      </c>
      <c r="J123" s="94">
        <v>9</v>
      </c>
      <c r="K123" s="94">
        <v>8</v>
      </c>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5"/>
    </row>
    <row r="124" spans="1:53" s="87" customFormat="1">
      <c r="A124" s="90" t="str">
        <f t="shared" si="26"/>
        <v/>
      </c>
      <c r="B124" s="98">
        <v>12</v>
      </c>
      <c r="C124" s="94">
        <v>5</v>
      </c>
      <c r="D124" s="94">
        <v>7</v>
      </c>
      <c r="E124" s="94">
        <v>-2</v>
      </c>
      <c r="F124" s="94">
        <v>-6</v>
      </c>
      <c r="G124" s="94">
        <v>3</v>
      </c>
      <c r="H124" s="94">
        <v>9</v>
      </c>
      <c r="I124" s="94">
        <v>-4</v>
      </c>
      <c r="J124" s="94" t="s">
        <v>202</v>
      </c>
      <c r="K124" s="94">
        <v>-8</v>
      </c>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94"/>
      <c r="AV124" s="94"/>
      <c r="AW124" s="94"/>
      <c r="AX124" s="94"/>
      <c r="AY124" s="94"/>
      <c r="AZ124" s="94"/>
      <c r="BA124" s="95"/>
    </row>
    <row r="125" spans="1:53" s="87" customFormat="1">
      <c r="A125" s="90" t="str">
        <f t="shared" si="26"/>
        <v/>
      </c>
      <c r="B125" s="98">
        <v>13</v>
      </c>
      <c r="C125" s="94">
        <v>-3</v>
      </c>
      <c r="D125" s="94" t="s">
        <v>202</v>
      </c>
      <c r="E125" s="94">
        <v>5</v>
      </c>
      <c r="F125" s="94">
        <v>-7</v>
      </c>
      <c r="G125" s="94">
        <v>-6</v>
      </c>
      <c r="H125" s="94">
        <v>1</v>
      </c>
      <c r="I125" s="94">
        <v>4</v>
      </c>
      <c r="J125" s="94">
        <v>-9</v>
      </c>
      <c r="K125" s="94">
        <v>2</v>
      </c>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5"/>
    </row>
    <row r="126" spans="1:53" s="87" customFormat="1">
      <c r="A126" s="90" t="str">
        <f t="shared" si="26"/>
        <v/>
      </c>
      <c r="B126" s="98">
        <v>14</v>
      </c>
      <c r="C126" s="94">
        <v>-9</v>
      </c>
      <c r="D126" s="94">
        <v>4</v>
      </c>
      <c r="E126" s="94">
        <v>-7</v>
      </c>
      <c r="F126" s="94">
        <v>6</v>
      </c>
      <c r="G126" s="94">
        <v>-8</v>
      </c>
      <c r="H126" s="94">
        <v>3</v>
      </c>
      <c r="I126" s="94" t="s">
        <v>202</v>
      </c>
      <c r="J126" s="94">
        <v>1</v>
      </c>
      <c r="K126" s="94">
        <v>-2</v>
      </c>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94"/>
      <c r="AV126" s="94"/>
      <c r="AW126" s="94"/>
      <c r="AX126" s="94"/>
      <c r="AY126" s="94"/>
      <c r="AZ126" s="94"/>
      <c r="BA126" s="95"/>
    </row>
    <row r="127" spans="1:53" s="87" customFormat="1">
      <c r="A127" s="90" t="str">
        <f t="shared" si="26"/>
        <v/>
      </c>
      <c r="B127" s="98">
        <v>15</v>
      </c>
      <c r="C127" s="94" t="s">
        <v>202</v>
      </c>
      <c r="D127" s="94">
        <v>-7</v>
      </c>
      <c r="E127" s="94">
        <v>6</v>
      </c>
      <c r="F127" s="94">
        <v>-5</v>
      </c>
      <c r="G127" s="94">
        <v>8</v>
      </c>
      <c r="H127" s="94">
        <v>-1</v>
      </c>
      <c r="I127" s="94">
        <v>3</v>
      </c>
      <c r="J127" s="94">
        <v>2</v>
      </c>
      <c r="K127" s="94">
        <v>-9</v>
      </c>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94"/>
      <c r="AV127" s="94"/>
      <c r="AW127" s="94"/>
      <c r="AX127" s="94"/>
      <c r="AY127" s="94"/>
      <c r="AZ127" s="94"/>
      <c r="BA127" s="95"/>
    </row>
    <row r="128" spans="1:53" s="87" customFormat="1">
      <c r="A128" s="90" t="str">
        <f t="shared" si="26"/>
        <v/>
      </c>
      <c r="B128" s="98">
        <v>16</v>
      </c>
      <c r="C128" s="94">
        <v>-5</v>
      </c>
      <c r="D128" s="94">
        <v>1</v>
      </c>
      <c r="E128" s="94" t="s">
        <v>202</v>
      </c>
      <c r="F128" s="94">
        <v>-4</v>
      </c>
      <c r="G128" s="94">
        <v>6</v>
      </c>
      <c r="H128" s="94">
        <v>-3</v>
      </c>
      <c r="I128" s="94">
        <v>7</v>
      </c>
      <c r="J128" s="94">
        <v>-8</v>
      </c>
      <c r="K128" s="94">
        <v>9</v>
      </c>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5"/>
    </row>
    <row r="129" spans="1:53" s="87" customFormat="1">
      <c r="A129" s="90" t="str">
        <f t="shared" si="26"/>
        <v/>
      </c>
      <c r="B129" s="98">
        <v>17</v>
      </c>
      <c r="C129" s="94">
        <v>9</v>
      </c>
      <c r="D129" s="94">
        <v>8</v>
      </c>
      <c r="E129" s="94">
        <v>-5</v>
      </c>
      <c r="F129" s="94" t="s">
        <v>202</v>
      </c>
      <c r="G129" s="94">
        <v>-3</v>
      </c>
      <c r="H129" s="94">
        <v>4</v>
      </c>
      <c r="I129" s="94">
        <v>-7</v>
      </c>
      <c r="J129" s="94">
        <v>-2</v>
      </c>
      <c r="K129" s="94">
        <v>1</v>
      </c>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5"/>
    </row>
    <row r="130" spans="1:53" s="87" customFormat="1">
      <c r="A130" s="90" t="str">
        <f t="shared" si="26"/>
        <v/>
      </c>
      <c r="B130" s="98">
        <v>18</v>
      </c>
      <c r="C130" s="94">
        <v>6</v>
      </c>
      <c r="D130" s="94">
        <v>-4</v>
      </c>
      <c r="E130" s="94">
        <v>2</v>
      </c>
      <c r="F130" s="94">
        <v>7</v>
      </c>
      <c r="G130" s="94">
        <v>-5</v>
      </c>
      <c r="H130" s="94" t="s">
        <v>202</v>
      </c>
      <c r="I130" s="94">
        <v>-3</v>
      </c>
      <c r="J130" s="94">
        <v>8</v>
      </c>
      <c r="K130" s="94">
        <v>-1</v>
      </c>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c r="AZ130" s="94"/>
      <c r="BA130" s="95"/>
    </row>
    <row r="131" spans="1:53" s="87" customFormat="1">
      <c r="A131" s="90" t="str">
        <f t="shared" si="26"/>
        <v/>
      </c>
      <c r="B131" s="98">
        <v>19</v>
      </c>
      <c r="C131" s="94">
        <v>3</v>
      </c>
      <c r="D131" s="94">
        <v>-8</v>
      </c>
      <c r="E131" s="94">
        <v>-6</v>
      </c>
      <c r="F131" s="94">
        <v>4</v>
      </c>
      <c r="G131" s="94">
        <v>5</v>
      </c>
      <c r="H131" s="94">
        <v>-9</v>
      </c>
      <c r="I131" s="94">
        <v>2</v>
      </c>
      <c r="J131" s="94">
        <v>-1</v>
      </c>
      <c r="K131" s="94" t="s">
        <v>202</v>
      </c>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5"/>
    </row>
    <row r="132" spans="1:53" s="87" customFormat="1">
      <c r="A132" s="90" t="str">
        <f t="shared" si="26"/>
        <v/>
      </c>
      <c r="B132" s="98" t="s">
        <v>499</v>
      </c>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5"/>
    </row>
    <row r="133" spans="1:53" s="87" customFormat="1">
      <c r="A133" s="90">
        <f t="shared" si="26"/>
        <v>133</v>
      </c>
      <c r="B133" s="98" t="s">
        <v>505</v>
      </c>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c r="AW133" s="94"/>
      <c r="AX133" s="94"/>
      <c r="AY133" s="94"/>
      <c r="AZ133" s="94"/>
      <c r="BA133" s="95"/>
    </row>
    <row r="134" spans="1:53" s="87" customFormat="1">
      <c r="A134" s="90" t="str">
        <f t="shared" si="26"/>
        <v/>
      </c>
      <c r="B134" s="98">
        <v>1</v>
      </c>
      <c r="C134" s="94">
        <v>-4</v>
      </c>
      <c r="D134" s="94">
        <v>-3</v>
      </c>
      <c r="E134" s="94" t="s">
        <v>202</v>
      </c>
      <c r="F134" s="94">
        <v>7</v>
      </c>
      <c r="G134" s="94">
        <v>-8</v>
      </c>
      <c r="H134" s="94">
        <v>6</v>
      </c>
      <c r="I134" s="94">
        <v>5</v>
      </c>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c r="AZ134" s="94"/>
      <c r="BA134" s="95"/>
    </row>
    <row r="135" spans="1:53" s="87" customFormat="1">
      <c r="A135" s="90" t="str">
        <f t="shared" si="26"/>
        <v/>
      </c>
      <c r="B135" s="98">
        <v>2</v>
      </c>
      <c r="C135" s="94">
        <v>-6</v>
      </c>
      <c r="D135" s="94">
        <v>1</v>
      </c>
      <c r="E135" s="94">
        <v>8</v>
      </c>
      <c r="F135" s="94" t="s">
        <v>202</v>
      </c>
      <c r="G135" s="94">
        <v>-3</v>
      </c>
      <c r="H135" s="94">
        <v>7</v>
      </c>
      <c r="I135" s="94">
        <v>-5</v>
      </c>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5"/>
    </row>
    <row r="136" spans="1:53" s="87" customFormat="1">
      <c r="A136" s="90" t="str">
        <f t="shared" si="26"/>
        <v/>
      </c>
      <c r="B136" s="98">
        <v>3</v>
      </c>
      <c r="C136" s="94">
        <v>-2</v>
      </c>
      <c r="D136" s="94">
        <v>3</v>
      </c>
      <c r="E136" s="94">
        <v>-8</v>
      </c>
      <c r="F136" s="94">
        <v>5</v>
      </c>
      <c r="G136" s="94" t="s">
        <v>202</v>
      </c>
      <c r="H136" s="94">
        <v>-4</v>
      </c>
      <c r="I136" s="94">
        <v>6</v>
      </c>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5"/>
    </row>
    <row r="137" spans="1:53" s="87" customFormat="1">
      <c r="A137" s="90" t="str">
        <f t="shared" si="26"/>
        <v/>
      </c>
      <c r="B137" s="98">
        <v>4</v>
      </c>
      <c r="C137" s="94">
        <v>4</v>
      </c>
      <c r="D137" s="94">
        <v>-1</v>
      </c>
      <c r="E137" s="94">
        <v>7</v>
      </c>
      <c r="F137" s="94">
        <v>-3</v>
      </c>
      <c r="G137" s="94">
        <v>5</v>
      </c>
      <c r="H137" s="94" t="s">
        <v>202</v>
      </c>
      <c r="I137" s="94">
        <v>-6</v>
      </c>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5"/>
    </row>
    <row r="138" spans="1:53" s="87" customFormat="1">
      <c r="A138" s="90" t="str">
        <f t="shared" si="26"/>
        <v/>
      </c>
      <c r="B138" s="98">
        <v>5</v>
      </c>
      <c r="C138" s="94" t="s">
        <v>202</v>
      </c>
      <c r="D138" s="94">
        <v>2</v>
      </c>
      <c r="E138" s="94">
        <v>-7</v>
      </c>
      <c r="F138" s="94">
        <v>-5</v>
      </c>
      <c r="G138" s="94">
        <v>3</v>
      </c>
      <c r="H138" s="94">
        <v>-6</v>
      </c>
      <c r="I138" s="94">
        <v>4</v>
      </c>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5"/>
    </row>
    <row r="139" spans="1:53" s="87" customFormat="1">
      <c r="A139" s="90" t="str">
        <f t="shared" si="26"/>
        <v/>
      </c>
      <c r="B139" s="98">
        <v>6</v>
      </c>
      <c r="C139" s="94">
        <v>2</v>
      </c>
      <c r="D139" s="94" t="s">
        <v>202</v>
      </c>
      <c r="E139" s="94">
        <v>-9</v>
      </c>
      <c r="F139" s="94">
        <v>3</v>
      </c>
      <c r="G139" s="94">
        <v>8</v>
      </c>
      <c r="H139" s="94">
        <v>-7</v>
      </c>
      <c r="I139" s="94">
        <v>-4</v>
      </c>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5"/>
    </row>
    <row r="140" spans="1:53" s="87" customFormat="1">
      <c r="A140" s="90" t="str">
        <f t="shared" ref="A140:A203" si="27">IF(MID(B140,3,2)="09",ROW(),"")</f>
        <v/>
      </c>
      <c r="B140" s="99">
        <v>7</v>
      </c>
      <c r="C140" s="92">
        <v>6</v>
      </c>
      <c r="D140" s="92">
        <v>-2</v>
      </c>
      <c r="E140" s="92">
        <v>9</v>
      </c>
      <c r="F140" s="92">
        <v>-7</v>
      </c>
      <c r="G140" s="92">
        <v>-5</v>
      </c>
      <c r="H140" s="92">
        <v>4</v>
      </c>
      <c r="I140" s="92" t="s">
        <v>202</v>
      </c>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c r="AZ140" s="94"/>
      <c r="BA140" s="95"/>
    </row>
    <row r="141" spans="1:53" s="87" customFormat="1">
      <c r="A141" s="90" t="str">
        <f t="shared" si="27"/>
        <v/>
      </c>
      <c r="B141" s="98">
        <v>8</v>
      </c>
      <c r="C141" s="94" t="s">
        <v>210</v>
      </c>
      <c r="D141" s="94">
        <v>-8</v>
      </c>
      <c r="E141" s="94">
        <v>-2</v>
      </c>
      <c r="F141" s="94">
        <v>1</v>
      </c>
      <c r="G141" s="94">
        <v>-4</v>
      </c>
      <c r="H141" s="94">
        <v>5</v>
      </c>
      <c r="I141" s="94">
        <v>7</v>
      </c>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5"/>
    </row>
    <row r="142" spans="1:53" s="87" customFormat="1">
      <c r="A142" s="90" t="str">
        <f t="shared" si="27"/>
        <v/>
      </c>
      <c r="B142" s="98">
        <v>9</v>
      </c>
      <c r="C142" s="94" t="s">
        <v>210</v>
      </c>
      <c r="D142" s="94">
        <v>-5</v>
      </c>
      <c r="E142" s="94">
        <v>4</v>
      </c>
      <c r="F142" s="94">
        <v>2</v>
      </c>
      <c r="G142" s="94">
        <v>-6</v>
      </c>
      <c r="H142" s="94">
        <v>9</v>
      </c>
      <c r="I142" s="94">
        <v>-7</v>
      </c>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5"/>
    </row>
    <row r="143" spans="1:53" s="87" customFormat="1">
      <c r="A143" s="90" t="str">
        <f t="shared" si="27"/>
        <v/>
      </c>
      <c r="B143" s="98">
        <v>10</v>
      </c>
      <c r="C143" s="94" t="s">
        <v>210</v>
      </c>
      <c r="D143" s="94">
        <v>6</v>
      </c>
      <c r="E143" s="94">
        <v>-4</v>
      </c>
      <c r="F143" s="94">
        <v>9</v>
      </c>
      <c r="G143" s="94">
        <v>-7</v>
      </c>
      <c r="H143" s="94">
        <v>-5</v>
      </c>
      <c r="I143" s="94">
        <v>3</v>
      </c>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5"/>
    </row>
    <row r="144" spans="1:53" s="87" customFormat="1">
      <c r="A144" s="90" t="str">
        <f t="shared" si="27"/>
        <v/>
      </c>
      <c r="B144" s="98">
        <v>11</v>
      </c>
      <c r="C144" s="94" t="s">
        <v>210</v>
      </c>
      <c r="D144" s="94">
        <v>-9</v>
      </c>
      <c r="E144" s="94">
        <v>5</v>
      </c>
      <c r="F144" s="94">
        <v>-2</v>
      </c>
      <c r="G144" s="94">
        <v>4</v>
      </c>
      <c r="H144" s="94">
        <v>1</v>
      </c>
      <c r="I144" s="94">
        <v>-3</v>
      </c>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5"/>
    </row>
    <row r="145" spans="1:53" s="87" customFormat="1">
      <c r="A145" s="90" t="str">
        <f t="shared" si="27"/>
        <v/>
      </c>
      <c r="B145" s="98">
        <v>12</v>
      </c>
      <c r="C145" s="94" t="s">
        <v>210</v>
      </c>
      <c r="D145" s="94">
        <v>4</v>
      </c>
      <c r="E145" s="94">
        <v>-5</v>
      </c>
      <c r="F145" s="94">
        <v>-1</v>
      </c>
      <c r="G145" s="94">
        <v>7</v>
      </c>
      <c r="H145" s="94">
        <v>-9</v>
      </c>
      <c r="I145" s="94">
        <v>8</v>
      </c>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5"/>
    </row>
    <row r="146" spans="1:53" s="87" customFormat="1">
      <c r="A146" s="90" t="str">
        <f t="shared" si="27"/>
        <v/>
      </c>
      <c r="B146" s="99">
        <v>13</v>
      </c>
      <c r="C146" s="92" t="s">
        <v>210</v>
      </c>
      <c r="D146" s="92">
        <v>7</v>
      </c>
      <c r="E146" s="92">
        <v>2</v>
      </c>
      <c r="F146" s="92">
        <v>-9</v>
      </c>
      <c r="G146" s="92">
        <v>6</v>
      </c>
      <c r="H146" s="92">
        <v>-1</v>
      </c>
      <c r="I146" s="92">
        <v>-8</v>
      </c>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5"/>
    </row>
    <row r="147" spans="1:53" s="87" customFormat="1">
      <c r="A147" s="90" t="str">
        <f t="shared" si="27"/>
        <v/>
      </c>
      <c r="B147" s="98">
        <v>14</v>
      </c>
      <c r="C147" s="94" t="s">
        <v>210</v>
      </c>
      <c r="D147" s="94">
        <v>8</v>
      </c>
      <c r="E147" s="94">
        <v>-6</v>
      </c>
      <c r="F147" s="94">
        <v>4</v>
      </c>
      <c r="G147" s="94">
        <v>-1</v>
      </c>
      <c r="H147" s="94">
        <v>-3</v>
      </c>
      <c r="I147" s="94">
        <v>2</v>
      </c>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5"/>
    </row>
    <row r="148" spans="1:53" s="87" customFormat="1">
      <c r="A148" s="90" t="str">
        <f t="shared" si="27"/>
        <v/>
      </c>
      <c r="B148" s="98">
        <v>15</v>
      </c>
      <c r="C148" s="94" t="s">
        <v>210</v>
      </c>
      <c r="D148" s="94">
        <v>5</v>
      </c>
      <c r="E148" s="94">
        <v>-1</v>
      </c>
      <c r="F148" s="94">
        <v>6</v>
      </c>
      <c r="G148" s="94">
        <v>9</v>
      </c>
      <c r="H148" s="94">
        <v>-8</v>
      </c>
      <c r="I148" s="94">
        <v>-2</v>
      </c>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5"/>
    </row>
    <row r="149" spans="1:53" s="87" customFormat="1">
      <c r="A149" s="90" t="str">
        <f t="shared" si="27"/>
        <v/>
      </c>
      <c r="B149" s="98">
        <v>16</v>
      </c>
      <c r="C149" s="94" t="s">
        <v>210</v>
      </c>
      <c r="D149" s="94">
        <v>-6</v>
      </c>
      <c r="E149" s="94">
        <v>1</v>
      </c>
      <c r="F149" s="94">
        <v>-8</v>
      </c>
      <c r="G149" s="94">
        <v>-2</v>
      </c>
      <c r="H149" s="94">
        <v>3</v>
      </c>
      <c r="I149" s="94">
        <v>9</v>
      </c>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5"/>
    </row>
    <row r="150" spans="1:53" s="87" customFormat="1">
      <c r="A150" s="90" t="str">
        <f t="shared" si="27"/>
        <v/>
      </c>
      <c r="B150" s="98">
        <v>17</v>
      </c>
      <c r="C150" s="94" t="s">
        <v>210</v>
      </c>
      <c r="D150" s="94">
        <v>-4</v>
      </c>
      <c r="E150" s="94">
        <v>3</v>
      </c>
      <c r="F150" s="94">
        <v>-6</v>
      </c>
      <c r="G150" s="94">
        <v>1</v>
      </c>
      <c r="H150" s="94">
        <v>2</v>
      </c>
      <c r="I150" s="94">
        <v>-9</v>
      </c>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c r="AW150" s="94"/>
      <c r="AX150" s="94"/>
      <c r="AY150" s="94"/>
      <c r="AZ150" s="94"/>
      <c r="BA150" s="95"/>
    </row>
    <row r="151" spans="1:53" s="87" customFormat="1">
      <c r="A151" s="90" t="str">
        <f t="shared" si="27"/>
        <v/>
      </c>
      <c r="B151" s="98">
        <v>18</v>
      </c>
      <c r="C151" s="94" t="s">
        <v>210</v>
      </c>
      <c r="D151" s="94">
        <v>-7</v>
      </c>
      <c r="E151" s="94">
        <v>6</v>
      </c>
      <c r="F151" s="94">
        <v>8</v>
      </c>
      <c r="G151" s="94">
        <v>-9</v>
      </c>
      <c r="H151" s="94">
        <v>-2</v>
      </c>
      <c r="I151" s="94">
        <v>1</v>
      </c>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5"/>
    </row>
    <row r="152" spans="1:53" s="87" customFormat="1">
      <c r="A152" s="90" t="str">
        <f t="shared" si="27"/>
        <v/>
      </c>
      <c r="B152" s="98">
        <v>19</v>
      </c>
      <c r="C152" s="94" t="s">
        <v>210</v>
      </c>
      <c r="D152" s="94">
        <v>9</v>
      </c>
      <c r="E152" s="94">
        <v>-3</v>
      </c>
      <c r="F152" s="94">
        <v>-4</v>
      </c>
      <c r="G152" s="94">
        <v>2</v>
      </c>
      <c r="H152" s="94">
        <v>8</v>
      </c>
      <c r="I152" s="94">
        <v>-1</v>
      </c>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5"/>
    </row>
    <row r="153" spans="1:53" s="87" customFormat="1">
      <c r="A153" s="90" t="str">
        <f t="shared" si="27"/>
        <v/>
      </c>
      <c r="B153" s="98" t="s">
        <v>506</v>
      </c>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5"/>
    </row>
    <row r="154" spans="1:53" s="87" customFormat="1">
      <c r="A154" s="90">
        <f t="shared" si="27"/>
        <v>154</v>
      </c>
      <c r="B154" s="98" t="s">
        <v>507</v>
      </c>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c r="AZ154" s="94"/>
      <c r="BA154" s="95"/>
    </row>
    <row r="155" spans="1:53" s="87" customFormat="1">
      <c r="A155" s="90" t="str">
        <f t="shared" si="27"/>
        <v/>
      </c>
      <c r="B155" s="98">
        <v>1</v>
      </c>
      <c r="C155" s="94" t="s">
        <v>202</v>
      </c>
      <c r="D155" s="94">
        <v>-7</v>
      </c>
      <c r="E155" s="94">
        <v>-6</v>
      </c>
      <c r="F155" s="94">
        <v>9</v>
      </c>
      <c r="G155" s="94">
        <v>-3</v>
      </c>
      <c r="H155" s="94">
        <v>8</v>
      </c>
      <c r="I155" s="94">
        <v>5</v>
      </c>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5"/>
    </row>
    <row r="156" spans="1:53" s="87" customFormat="1">
      <c r="A156" s="90" t="str">
        <f t="shared" si="27"/>
        <v/>
      </c>
      <c r="B156" s="98">
        <v>2</v>
      </c>
      <c r="C156" s="94">
        <v>-6</v>
      </c>
      <c r="D156" s="94">
        <v>3</v>
      </c>
      <c r="E156" s="94">
        <v>8</v>
      </c>
      <c r="F156" s="94" t="s">
        <v>202</v>
      </c>
      <c r="G156" s="94">
        <v>-7</v>
      </c>
      <c r="H156" s="94">
        <v>9</v>
      </c>
      <c r="I156" s="94">
        <v>-5</v>
      </c>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5"/>
    </row>
    <row r="157" spans="1:53" s="87" customFormat="1">
      <c r="A157" s="90" t="str">
        <f t="shared" si="27"/>
        <v/>
      </c>
      <c r="B157" s="98">
        <v>3</v>
      </c>
      <c r="C157" s="94">
        <v>-3</v>
      </c>
      <c r="D157" s="94" t="s">
        <v>202</v>
      </c>
      <c r="E157" s="94">
        <v>2</v>
      </c>
      <c r="F157" s="94">
        <v>-1</v>
      </c>
      <c r="G157" s="94">
        <v>7</v>
      </c>
      <c r="H157" s="94">
        <v>-8</v>
      </c>
      <c r="I157" s="94">
        <v>6</v>
      </c>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c r="AW157" s="94"/>
      <c r="AX157" s="94"/>
      <c r="AY157" s="94"/>
      <c r="AZ157" s="94"/>
      <c r="BA157" s="95"/>
    </row>
    <row r="158" spans="1:53" s="87" customFormat="1">
      <c r="A158" s="90" t="str">
        <f t="shared" si="27"/>
        <v/>
      </c>
      <c r="B158" s="98">
        <v>4</v>
      </c>
      <c r="C158" s="94">
        <v>7</v>
      </c>
      <c r="D158" s="94">
        <v>-4</v>
      </c>
      <c r="E158" s="94" t="s">
        <v>202</v>
      </c>
      <c r="F158" s="94">
        <v>8</v>
      </c>
      <c r="G158" s="94">
        <v>3</v>
      </c>
      <c r="H158" s="94">
        <v>-9</v>
      </c>
      <c r="I158" s="94">
        <v>-6</v>
      </c>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5"/>
    </row>
    <row r="159" spans="1:53" s="87" customFormat="1">
      <c r="A159" s="90" t="str">
        <f t="shared" si="27"/>
        <v/>
      </c>
      <c r="B159" s="98">
        <v>5</v>
      </c>
      <c r="C159" s="94">
        <v>-7</v>
      </c>
      <c r="D159" s="94">
        <v>-3</v>
      </c>
      <c r="E159" s="94">
        <v>6</v>
      </c>
      <c r="F159" s="94">
        <v>1</v>
      </c>
      <c r="G159" s="94">
        <v>-2</v>
      </c>
      <c r="H159" s="94" t="s">
        <v>202</v>
      </c>
      <c r="I159" s="94">
        <v>4</v>
      </c>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5"/>
    </row>
    <row r="160" spans="1:53" s="87" customFormat="1">
      <c r="A160" s="90" t="str">
        <f t="shared" si="27"/>
        <v/>
      </c>
      <c r="B160" s="98">
        <v>6</v>
      </c>
      <c r="C160" s="94">
        <v>6</v>
      </c>
      <c r="D160" s="94">
        <v>7</v>
      </c>
      <c r="E160" s="94">
        <v>-2</v>
      </c>
      <c r="F160" s="94">
        <v>-8</v>
      </c>
      <c r="G160" s="94" t="s">
        <v>202</v>
      </c>
      <c r="H160" s="94">
        <v>1</v>
      </c>
      <c r="I160" s="94">
        <v>-4</v>
      </c>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5"/>
    </row>
    <row r="161" spans="1:53" s="87" customFormat="1">
      <c r="A161" s="90" t="str">
        <f t="shared" si="27"/>
        <v/>
      </c>
      <c r="B161" s="99">
        <v>7</v>
      </c>
      <c r="C161" s="92">
        <v>3</v>
      </c>
      <c r="D161" s="92">
        <v>4</v>
      </c>
      <c r="E161" s="92">
        <v>-8</v>
      </c>
      <c r="F161" s="92">
        <v>-9</v>
      </c>
      <c r="G161" s="92">
        <v>2</v>
      </c>
      <c r="H161" s="92">
        <v>-1</v>
      </c>
      <c r="I161" s="92" t="s">
        <v>202</v>
      </c>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5"/>
    </row>
    <row r="162" spans="1:53" s="87" customFormat="1">
      <c r="A162" s="90" t="str">
        <f t="shared" si="27"/>
        <v/>
      </c>
      <c r="B162" s="98">
        <v>8</v>
      </c>
      <c r="C162" s="94">
        <v>8</v>
      </c>
      <c r="D162" s="94">
        <v>-9</v>
      </c>
      <c r="E162" s="94">
        <v>5</v>
      </c>
      <c r="F162" s="94">
        <v>-4</v>
      </c>
      <c r="G162" s="94" t="s">
        <v>202</v>
      </c>
      <c r="H162" s="94">
        <v>-3</v>
      </c>
      <c r="I162" s="94">
        <v>7</v>
      </c>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5"/>
    </row>
    <row r="163" spans="1:53" s="87" customFormat="1">
      <c r="A163" s="90" t="str">
        <f t="shared" si="27"/>
        <v/>
      </c>
      <c r="B163" s="98">
        <v>9</v>
      </c>
      <c r="C163" s="94">
        <v>4</v>
      </c>
      <c r="D163" s="94">
        <v>5</v>
      </c>
      <c r="E163" s="94">
        <v>-9</v>
      </c>
      <c r="F163" s="94">
        <v>-6</v>
      </c>
      <c r="G163" s="94">
        <v>8</v>
      </c>
      <c r="H163" s="94" t="s">
        <v>202</v>
      </c>
      <c r="I163" s="94">
        <v>-7</v>
      </c>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5"/>
    </row>
    <row r="164" spans="1:53" s="87" customFormat="1">
      <c r="A164" s="90" t="str">
        <f t="shared" si="27"/>
        <v/>
      </c>
      <c r="B164" s="98">
        <v>10</v>
      </c>
      <c r="C164" s="94">
        <v>-4</v>
      </c>
      <c r="D164" s="94">
        <v>6</v>
      </c>
      <c r="E164" s="94">
        <v>-5</v>
      </c>
      <c r="F164" s="94" t="s">
        <v>202</v>
      </c>
      <c r="G164" s="94">
        <v>9</v>
      </c>
      <c r="H164" s="94">
        <v>-2</v>
      </c>
      <c r="I164" s="94">
        <v>3</v>
      </c>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5"/>
    </row>
    <row r="165" spans="1:53" s="87" customFormat="1">
      <c r="A165" s="90" t="str">
        <f t="shared" si="27"/>
        <v/>
      </c>
      <c r="B165" s="98">
        <v>11</v>
      </c>
      <c r="C165" s="94">
        <v>-8</v>
      </c>
      <c r="D165" s="94" t="s">
        <v>202</v>
      </c>
      <c r="E165" s="94">
        <v>9</v>
      </c>
      <c r="F165" s="94">
        <v>-2</v>
      </c>
      <c r="G165" s="94">
        <v>1</v>
      </c>
      <c r="H165" s="94">
        <v>7</v>
      </c>
      <c r="I165" s="94">
        <v>-3</v>
      </c>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5"/>
    </row>
    <row r="166" spans="1:53" s="87" customFormat="1">
      <c r="A166" s="90" t="str">
        <f t="shared" si="27"/>
        <v/>
      </c>
      <c r="B166" s="98">
        <v>12</v>
      </c>
      <c r="C166" s="94" t="s">
        <v>202</v>
      </c>
      <c r="D166" s="94">
        <v>-5</v>
      </c>
      <c r="E166" s="94">
        <v>1</v>
      </c>
      <c r="F166" s="94">
        <v>4</v>
      </c>
      <c r="G166" s="94">
        <v>-9</v>
      </c>
      <c r="H166" s="94">
        <v>-7</v>
      </c>
      <c r="I166" s="94">
        <v>8</v>
      </c>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c r="AW166" s="94"/>
      <c r="AX166" s="94"/>
      <c r="AY166" s="94"/>
      <c r="AZ166" s="94"/>
      <c r="BA166" s="95"/>
    </row>
    <row r="167" spans="1:53" s="87" customFormat="1">
      <c r="A167" s="90" t="str">
        <f t="shared" si="27"/>
        <v/>
      </c>
      <c r="B167" s="98">
        <v>13</v>
      </c>
      <c r="C167" s="94">
        <v>-5</v>
      </c>
      <c r="D167" s="94">
        <v>9</v>
      </c>
      <c r="E167" s="94" t="s">
        <v>202</v>
      </c>
      <c r="F167" s="94">
        <v>6</v>
      </c>
      <c r="G167" s="94">
        <v>-1</v>
      </c>
      <c r="H167" s="94">
        <v>2</v>
      </c>
      <c r="I167" s="94">
        <v>-8</v>
      </c>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5"/>
    </row>
    <row r="168" spans="1:53" s="87" customFormat="1">
      <c r="A168" s="90" t="str">
        <f t="shared" si="27"/>
        <v/>
      </c>
      <c r="B168" s="99">
        <v>14</v>
      </c>
      <c r="C168" s="92">
        <v>5</v>
      </c>
      <c r="D168" s="92">
        <v>-6</v>
      </c>
      <c r="E168" s="92">
        <v>-1</v>
      </c>
      <c r="F168" s="92">
        <v>2</v>
      </c>
      <c r="G168" s="92">
        <v>-8</v>
      </c>
      <c r="H168" s="92">
        <v>3</v>
      </c>
      <c r="I168" s="92" t="s">
        <v>202</v>
      </c>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5"/>
    </row>
    <row r="169" spans="1:53" s="87" customFormat="1">
      <c r="A169" s="90" t="str">
        <f t="shared" si="27"/>
        <v/>
      </c>
      <c r="B169" s="98">
        <v>15</v>
      </c>
      <c r="C169" s="94" t="s">
        <v>210</v>
      </c>
      <c r="D169" s="94">
        <v>-1</v>
      </c>
      <c r="E169" s="94">
        <v>3</v>
      </c>
      <c r="F169" s="94">
        <v>-5</v>
      </c>
      <c r="G169" s="94">
        <v>4</v>
      </c>
      <c r="H169" s="94">
        <v>-6</v>
      </c>
      <c r="I169" s="94">
        <v>2</v>
      </c>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5"/>
    </row>
    <row r="170" spans="1:53" s="87" customFormat="1">
      <c r="A170" s="90" t="str">
        <f t="shared" si="27"/>
        <v/>
      </c>
      <c r="B170" s="98">
        <v>16</v>
      </c>
      <c r="C170" s="94" t="s">
        <v>210</v>
      </c>
      <c r="D170" s="94">
        <v>1</v>
      </c>
      <c r="E170" s="94">
        <v>-4</v>
      </c>
      <c r="F170" s="94">
        <v>7</v>
      </c>
      <c r="G170" s="94">
        <v>-6</v>
      </c>
      <c r="H170" s="94">
        <v>5</v>
      </c>
      <c r="I170" s="94">
        <v>-2</v>
      </c>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5"/>
    </row>
    <row r="171" spans="1:53" s="87" customFormat="1">
      <c r="A171" s="90" t="str">
        <f t="shared" si="27"/>
        <v/>
      </c>
      <c r="B171" s="98">
        <v>17</v>
      </c>
      <c r="C171" s="94" t="s">
        <v>210</v>
      </c>
      <c r="D171" s="94">
        <v>-2</v>
      </c>
      <c r="E171" s="94">
        <v>-7</v>
      </c>
      <c r="F171" s="94">
        <v>5</v>
      </c>
      <c r="G171" s="94">
        <v>6</v>
      </c>
      <c r="H171" s="94">
        <v>-4</v>
      </c>
      <c r="I171" s="94">
        <v>9</v>
      </c>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5"/>
    </row>
    <row r="172" spans="1:53" s="87" customFormat="1">
      <c r="A172" s="90" t="str">
        <f t="shared" si="27"/>
        <v/>
      </c>
      <c r="B172" s="98">
        <v>18</v>
      </c>
      <c r="C172" s="94" t="s">
        <v>210</v>
      </c>
      <c r="D172" s="94">
        <v>2</v>
      </c>
      <c r="E172" s="94">
        <v>4</v>
      </c>
      <c r="F172" s="94">
        <v>-3</v>
      </c>
      <c r="G172" s="94">
        <v>-5</v>
      </c>
      <c r="H172" s="94">
        <v>6</v>
      </c>
      <c r="I172" s="94">
        <v>-9</v>
      </c>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5"/>
    </row>
    <row r="173" spans="1:53" s="87" customFormat="1">
      <c r="A173" s="90" t="str">
        <f t="shared" si="27"/>
        <v/>
      </c>
      <c r="B173" s="98">
        <v>19</v>
      </c>
      <c r="C173" s="94" t="s">
        <v>210</v>
      </c>
      <c r="D173" s="94">
        <v>-8</v>
      </c>
      <c r="E173" s="94">
        <v>7</v>
      </c>
      <c r="F173" s="94">
        <v>3</v>
      </c>
      <c r="G173" s="94">
        <v>-4</v>
      </c>
      <c r="H173" s="94">
        <v>-5</v>
      </c>
      <c r="I173" s="94">
        <v>1</v>
      </c>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5"/>
    </row>
    <row r="174" spans="1:53" s="87" customFormat="1">
      <c r="A174" s="90" t="str">
        <f t="shared" si="27"/>
        <v/>
      </c>
      <c r="B174" s="98">
        <v>20</v>
      </c>
      <c r="C174" s="94" t="s">
        <v>210</v>
      </c>
      <c r="D174" s="94">
        <v>8</v>
      </c>
      <c r="E174" s="94">
        <v>-3</v>
      </c>
      <c r="F174" s="94">
        <v>-7</v>
      </c>
      <c r="G174" s="94">
        <v>5</v>
      </c>
      <c r="H174" s="94">
        <v>4</v>
      </c>
      <c r="I174" s="94">
        <v>-1</v>
      </c>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5"/>
    </row>
    <row r="175" spans="1:53" s="87" customFormat="1">
      <c r="A175" s="90" t="str">
        <f t="shared" si="27"/>
        <v/>
      </c>
      <c r="B175" s="98" t="s">
        <v>508</v>
      </c>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5"/>
    </row>
    <row r="176" spans="1:53" s="87" customFormat="1">
      <c r="A176" s="90">
        <f t="shared" si="27"/>
        <v>176</v>
      </c>
      <c r="B176" s="98" t="s">
        <v>509</v>
      </c>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5"/>
    </row>
    <row r="177" spans="1:53" s="87" customFormat="1">
      <c r="A177" s="90" t="str">
        <f t="shared" si="27"/>
        <v/>
      </c>
      <c r="B177" s="98">
        <v>1</v>
      </c>
      <c r="C177" s="94">
        <v>-2</v>
      </c>
      <c r="D177" s="94">
        <v>6</v>
      </c>
      <c r="E177" s="94">
        <v>8</v>
      </c>
      <c r="F177" s="94" t="s">
        <v>202</v>
      </c>
      <c r="G177" s="94">
        <v>-3</v>
      </c>
      <c r="H177" s="94">
        <v>-7</v>
      </c>
      <c r="I177" s="94">
        <v>5</v>
      </c>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c r="AZ177" s="94"/>
      <c r="BA177" s="95"/>
    </row>
    <row r="178" spans="1:53" s="87" customFormat="1">
      <c r="A178" s="90" t="str">
        <f t="shared" si="27"/>
        <v/>
      </c>
      <c r="B178" s="98">
        <v>2</v>
      </c>
      <c r="C178" s="94">
        <v>-1</v>
      </c>
      <c r="D178" s="94">
        <v>3</v>
      </c>
      <c r="E178" s="94" t="s">
        <v>202</v>
      </c>
      <c r="F178" s="94">
        <v>-7</v>
      </c>
      <c r="G178" s="94">
        <v>8</v>
      </c>
      <c r="H178" s="94">
        <v>4</v>
      </c>
      <c r="I178" s="94">
        <v>-5</v>
      </c>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5"/>
    </row>
    <row r="179" spans="1:53" s="87" customFormat="1">
      <c r="A179" s="90" t="str">
        <f t="shared" si="27"/>
        <v/>
      </c>
      <c r="B179" s="98">
        <v>3</v>
      </c>
      <c r="C179" s="94" t="s">
        <v>202</v>
      </c>
      <c r="D179" s="94">
        <v>9</v>
      </c>
      <c r="E179" s="94">
        <v>-7</v>
      </c>
      <c r="F179" s="94">
        <v>-5</v>
      </c>
      <c r="G179" s="94">
        <v>3</v>
      </c>
      <c r="H179" s="94">
        <v>-4</v>
      </c>
      <c r="I179" s="94">
        <v>6</v>
      </c>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5"/>
    </row>
    <row r="180" spans="1:53" s="87" customFormat="1">
      <c r="A180" s="90" t="str">
        <f t="shared" si="27"/>
        <v/>
      </c>
      <c r="B180" s="98">
        <v>4</v>
      </c>
      <c r="C180" s="94">
        <v>-9</v>
      </c>
      <c r="D180" s="94" t="s">
        <v>202</v>
      </c>
      <c r="E180" s="94">
        <v>4</v>
      </c>
      <c r="F180" s="94">
        <v>3</v>
      </c>
      <c r="G180" s="94">
        <v>-8</v>
      </c>
      <c r="H180" s="94">
        <v>7</v>
      </c>
      <c r="I180" s="94">
        <v>-6</v>
      </c>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5"/>
    </row>
    <row r="181" spans="1:53" s="87" customFormat="1">
      <c r="A181" s="90" t="str">
        <f t="shared" si="27"/>
        <v/>
      </c>
      <c r="B181" s="98">
        <v>5</v>
      </c>
      <c r="C181" s="94">
        <v>9</v>
      </c>
      <c r="D181" s="94">
        <v>-3</v>
      </c>
      <c r="E181" s="94">
        <v>-8</v>
      </c>
      <c r="F181" s="94">
        <v>5</v>
      </c>
      <c r="G181" s="94" t="s">
        <v>202</v>
      </c>
      <c r="H181" s="94">
        <v>-6</v>
      </c>
      <c r="I181" s="94">
        <v>4</v>
      </c>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94"/>
      <c r="AW181" s="94"/>
      <c r="AX181" s="94"/>
      <c r="AY181" s="94"/>
      <c r="AZ181" s="94"/>
      <c r="BA181" s="95"/>
    </row>
    <row r="182" spans="1:53" s="87" customFormat="1">
      <c r="A182" s="90" t="str">
        <f t="shared" si="27"/>
        <v/>
      </c>
      <c r="B182" s="98">
        <v>6</v>
      </c>
      <c r="C182" s="94">
        <v>1</v>
      </c>
      <c r="D182" s="94">
        <v>-6</v>
      </c>
      <c r="E182" s="94">
        <v>7</v>
      </c>
      <c r="F182" s="94">
        <v>-3</v>
      </c>
      <c r="G182" s="94">
        <v>5</v>
      </c>
      <c r="H182" s="94" t="s">
        <v>202</v>
      </c>
      <c r="I182" s="94">
        <v>-4</v>
      </c>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5"/>
    </row>
    <row r="183" spans="1:53" s="87" customFormat="1">
      <c r="A183" s="90" t="str">
        <f t="shared" si="27"/>
        <v/>
      </c>
      <c r="B183" s="99">
        <v>7</v>
      </c>
      <c r="C183" s="92">
        <v>2</v>
      </c>
      <c r="D183" s="92">
        <v>-9</v>
      </c>
      <c r="E183" s="92">
        <v>-4</v>
      </c>
      <c r="F183" s="92">
        <v>7</v>
      </c>
      <c r="G183" s="92">
        <v>-5</v>
      </c>
      <c r="H183" s="92">
        <v>6</v>
      </c>
      <c r="I183" s="92" t="s">
        <v>202</v>
      </c>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c r="AZ183" s="94"/>
      <c r="BA183" s="95"/>
    </row>
    <row r="184" spans="1:53" s="87" customFormat="1">
      <c r="A184" s="90" t="str">
        <f t="shared" si="27"/>
        <v/>
      </c>
      <c r="B184" s="98">
        <v>8</v>
      </c>
      <c r="C184" s="94" t="s">
        <v>202</v>
      </c>
      <c r="D184" s="94">
        <v>-8</v>
      </c>
      <c r="E184" s="94">
        <v>3</v>
      </c>
      <c r="F184" s="94">
        <v>4</v>
      </c>
      <c r="G184" s="94">
        <v>-6</v>
      </c>
      <c r="H184" s="94">
        <v>-5</v>
      </c>
      <c r="I184" s="94">
        <v>7</v>
      </c>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5"/>
    </row>
    <row r="185" spans="1:53" s="87" customFormat="1">
      <c r="A185" s="90" t="str">
        <f t="shared" si="27"/>
        <v/>
      </c>
      <c r="B185" s="98">
        <v>9</v>
      </c>
      <c r="C185" s="94">
        <v>6</v>
      </c>
      <c r="D185" s="94" t="s">
        <v>202</v>
      </c>
      <c r="E185" s="94">
        <v>-1</v>
      </c>
      <c r="F185" s="94">
        <v>-2</v>
      </c>
      <c r="G185" s="94">
        <v>9</v>
      </c>
      <c r="H185" s="94">
        <v>8</v>
      </c>
      <c r="I185" s="94">
        <v>-7</v>
      </c>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c r="AW185" s="94"/>
      <c r="AX185" s="94"/>
      <c r="AY185" s="94"/>
      <c r="AZ185" s="94"/>
      <c r="BA185" s="95"/>
    </row>
    <row r="186" spans="1:53" s="87" customFormat="1">
      <c r="A186" s="90" t="str">
        <f t="shared" si="27"/>
        <v/>
      </c>
      <c r="B186" s="98">
        <v>10</v>
      </c>
      <c r="C186" s="94">
        <v>-5</v>
      </c>
      <c r="D186" s="94">
        <v>-2</v>
      </c>
      <c r="E186" s="94" t="s">
        <v>202</v>
      </c>
      <c r="F186" s="94">
        <v>1</v>
      </c>
      <c r="G186" s="94">
        <v>6</v>
      </c>
      <c r="H186" s="94">
        <v>-8</v>
      </c>
      <c r="I186" s="94">
        <v>3</v>
      </c>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c r="AW186" s="94"/>
      <c r="AX186" s="94"/>
      <c r="AY186" s="94"/>
      <c r="AZ186" s="94"/>
      <c r="BA186" s="95"/>
    </row>
    <row r="187" spans="1:53" s="87" customFormat="1">
      <c r="A187" s="90" t="str">
        <f t="shared" si="27"/>
        <v/>
      </c>
      <c r="B187" s="98">
        <v>11</v>
      </c>
      <c r="C187" s="94">
        <v>7</v>
      </c>
      <c r="D187" s="94">
        <v>1</v>
      </c>
      <c r="E187" s="94">
        <v>-2</v>
      </c>
      <c r="F187" s="94" t="s">
        <v>202</v>
      </c>
      <c r="G187" s="94">
        <v>-9</v>
      </c>
      <c r="H187" s="94">
        <v>5</v>
      </c>
      <c r="I187" s="94">
        <v>-3</v>
      </c>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5"/>
    </row>
    <row r="188" spans="1:53" s="87" customFormat="1">
      <c r="A188" s="90" t="str">
        <f t="shared" si="27"/>
        <v/>
      </c>
      <c r="B188" s="98">
        <v>12</v>
      </c>
      <c r="C188" s="94">
        <v>5</v>
      </c>
      <c r="D188" s="94">
        <v>-1</v>
      </c>
      <c r="E188" s="94">
        <v>-3</v>
      </c>
      <c r="F188" s="94">
        <v>2</v>
      </c>
      <c r="G188" s="94">
        <v>-4</v>
      </c>
      <c r="H188" s="94" t="s">
        <v>202</v>
      </c>
      <c r="I188" s="94">
        <v>8</v>
      </c>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5"/>
    </row>
    <row r="189" spans="1:53" s="87" customFormat="1">
      <c r="A189" s="90" t="str">
        <f t="shared" si="27"/>
        <v/>
      </c>
      <c r="B189" s="98">
        <v>13</v>
      </c>
      <c r="C189" s="94">
        <v>-7</v>
      </c>
      <c r="D189" s="94">
        <v>2</v>
      </c>
      <c r="E189" s="94">
        <v>1</v>
      </c>
      <c r="F189" s="94">
        <v>-4</v>
      </c>
      <c r="G189" s="94" t="s">
        <v>202</v>
      </c>
      <c r="H189" s="94">
        <v>9</v>
      </c>
      <c r="I189" s="94">
        <v>-8</v>
      </c>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c r="AZ189" s="94"/>
      <c r="BA189" s="95"/>
    </row>
    <row r="190" spans="1:53" s="87" customFormat="1">
      <c r="A190" s="90" t="str">
        <f t="shared" si="27"/>
        <v/>
      </c>
      <c r="B190" s="99">
        <v>14</v>
      </c>
      <c r="C190" s="92">
        <v>-6</v>
      </c>
      <c r="D190" s="92">
        <v>8</v>
      </c>
      <c r="E190" s="92">
        <v>2</v>
      </c>
      <c r="F190" s="92">
        <v>-1</v>
      </c>
      <c r="G190" s="92">
        <v>4</v>
      </c>
      <c r="H190" s="92">
        <v>-9</v>
      </c>
      <c r="I190" s="92" t="s">
        <v>202</v>
      </c>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5"/>
    </row>
    <row r="191" spans="1:53" s="87" customFormat="1">
      <c r="A191" s="90" t="str">
        <f t="shared" si="27"/>
        <v/>
      </c>
      <c r="B191" s="98">
        <v>15</v>
      </c>
      <c r="C191" s="94" t="s">
        <v>202</v>
      </c>
      <c r="D191" s="94">
        <v>-4</v>
      </c>
      <c r="E191" s="94">
        <v>5</v>
      </c>
      <c r="F191" s="94">
        <v>-6</v>
      </c>
      <c r="G191" s="94">
        <v>-1</v>
      </c>
      <c r="H191" s="94">
        <v>3</v>
      </c>
      <c r="I191" s="94">
        <v>2</v>
      </c>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5"/>
    </row>
    <row r="192" spans="1:53" s="87" customFormat="1">
      <c r="A192" s="90" t="str">
        <f t="shared" si="27"/>
        <v/>
      </c>
      <c r="B192" s="98">
        <v>16</v>
      </c>
      <c r="C192" s="94">
        <v>8</v>
      </c>
      <c r="D192" s="94" t="s">
        <v>202</v>
      </c>
      <c r="E192" s="94">
        <v>6</v>
      </c>
      <c r="F192" s="94">
        <v>-9</v>
      </c>
      <c r="G192" s="94">
        <v>-7</v>
      </c>
      <c r="H192" s="94">
        <v>1</v>
      </c>
      <c r="I192" s="94">
        <v>-2</v>
      </c>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5"/>
    </row>
    <row r="193" spans="1:53" s="87" customFormat="1">
      <c r="A193" s="90" t="str">
        <f t="shared" si="27"/>
        <v/>
      </c>
      <c r="B193" s="98">
        <v>17</v>
      </c>
      <c r="C193" s="94">
        <v>3</v>
      </c>
      <c r="D193" s="94">
        <v>-7</v>
      </c>
      <c r="E193" s="94">
        <v>-6</v>
      </c>
      <c r="F193" s="94" t="s">
        <v>202</v>
      </c>
      <c r="G193" s="94">
        <v>1</v>
      </c>
      <c r="H193" s="94">
        <v>-2</v>
      </c>
      <c r="I193" s="94">
        <v>9</v>
      </c>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5"/>
    </row>
    <row r="194" spans="1:53" s="87" customFormat="1">
      <c r="A194" s="90" t="str">
        <f t="shared" si="27"/>
        <v/>
      </c>
      <c r="B194" s="98">
        <v>18</v>
      </c>
      <c r="C194" s="94">
        <v>4</v>
      </c>
      <c r="D194" s="94">
        <v>-5</v>
      </c>
      <c r="E194" s="94" t="s">
        <v>202</v>
      </c>
      <c r="F194" s="94">
        <v>8</v>
      </c>
      <c r="G194" s="94">
        <v>7</v>
      </c>
      <c r="H194" s="94">
        <v>-3</v>
      </c>
      <c r="I194" s="94">
        <v>-9</v>
      </c>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5"/>
    </row>
    <row r="195" spans="1:53" s="87" customFormat="1">
      <c r="A195" s="90" t="str">
        <f t="shared" si="27"/>
        <v/>
      </c>
      <c r="B195" s="98">
        <v>19</v>
      </c>
      <c r="C195" s="94">
        <v>-4</v>
      </c>
      <c r="D195" s="94">
        <v>7</v>
      </c>
      <c r="E195" s="94">
        <v>-5</v>
      </c>
      <c r="F195" s="94">
        <v>9</v>
      </c>
      <c r="G195" s="94">
        <v>-2</v>
      </c>
      <c r="H195" s="94" t="s">
        <v>202</v>
      </c>
      <c r="I195" s="94">
        <v>1</v>
      </c>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5"/>
    </row>
    <row r="196" spans="1:53" s="87" customFormat="1">
      <c r="A196" s="90" t="str">
        <f t="shared" si="27"/>
        <v/>
      </c>
      <c r="B196" s="98">
        <v>20</v>
      </c>
      <c r="C196" s="94">
        <v>-8</v>
      </c>
      <c r="D196" s="94">
        <v>5</v>
      </c>
      <c r="E196" s="94">
        <v>-9</v>
      </c>
      <c r="F196" s="94">
        <v>6</v>
      </c>
      <c r="G196" s="94" t="s">
        <v>202</v>
      </c>
      <c r="H196" s="94">
        <v>2</v>
      </c>
      <c r="I196" s="94">
        <v>-1</v>
      </c>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c r="AW196" s="94"/>
      <c r="AX196" s="94"/>
      <c r="AY196" s="94"/>
      <c r="AZ196" s="94"/>
      <c r="BA196" s="95"/>
    </row>
    <row r="197" spans="1:53" s="87" customFormat="1">
      <c r="A197" s="90" t="str">
        <f t="shared" si="27"/>
        <v/>
      </c>
      <c r="B197" s="98">
        <v>21</v>
      </c>
      <c r="C197" s="94">
        <v>-3</v>
      </c>
      <c r="D197" s="94">
        <v>4</v>
      </c>
      <c r="E197" s="94">
        <v>9</v>
      </c>
      <c r="F197" s="94">
        <v>-8</v>
      </c>
      <c r="G197" s="94">
        <v>2</v>
      </c>
      <c r="H197" s="94">
        <v>-1</v>
      </c>
      <c r="I197" s="94" t="s">
        <v>202</v>
      </c>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5"/>
    </row>
    <row r="198" spans="1:53" s="87" customFormat="1">
      <c r="A198" s="90" t="str">
        <f t="shared" si="27"/>
        <v/>
      </c>
      <c r="B198" s="98" t="s">
        <v>510</v>
      </c>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5"/>
    </row>
    <row r="199" spans="1:53" s="87" customFormat="1">
      <c r="A199" s="90">
        <f t="shared" si="27"/>
        <v>199</v>
      </c>
      <c r="B199" s="98" t="s">
        <v>511</v>
      </c>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5"/>
    </row>
    <row r="200" spans="1:53" s="87" customFormat="1">
      <c r="A200" s="90" t="str">
        <f t="shared" si="27"/>
        <v/>
      </c>
      <c r="B200" s="98">
        <v>2</v>
      </c>
      <c r="C200" s="94">
        <v>2</v>
      </c>
      <c r="D200" s="94">
        <v>4</v>
      </c>
      <c r="E200" s="94">
        <v>-3</v>
      </c>
      <c r="F200" s="94">
        <v>-6</v>
      </c>
      <c r="G200" s="94">
        <v>5</v>
      </c>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5"/>
    </row>
    <row r="201" spans="1:53" s="87" customFormat="1">
      <c r="A201" s="90" t="str">
        <f t="shared" si="27"/>
        <v/>
      </c>
      <c r="B201" s="98">
        <v>1</v>
      </c>
      <c r="C201" s="94">
        <v>6</v>
      </c>
      <c r="D201" s="94">
        <v>-3</v>
      </c>
      <c r="E201" s="94">
        <v>7</v>
      </c>
      <c r="F201" s="94">
        <v>4</v>
      </c>
      <c r="G201" s="94">
        <v>-5</v>
      </c>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5"/>
    </row>
    <row r="202" spans="1:53" s="87" customFormat="1">
      <c r="A202" s="90" t="str">
        <f t="shared" si="27"/>
        <v/>
      </c>
      <c r="B202" s="98">
        <v>3</v>
      </c>
      <c r="C202" s="94">
        <v>-2</v>
      </c>
      <c r="D202" s="94">
        <v>7</v>
      </c>
      <c r="E202" s="94">
        <v>5</v>
      </c>
      <c r="F202" s="94">
        <v>-4</v>
      </c>
      <c r="G202" s="94">
        <v>6</v>
      </c>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5"/>
    </row>
    <row r="203" spans="1:53" s="87" customFormat="1">
      <c r="A203" s="90" t="str">
        <f t="shared" si="27"/>
        <v/>
      </c>
      <c r="B203" s="98">
        <v>4</v>
      </c>
      <c r="C203" s="94">
        <v>1</v>
      </c>
      <c r="D203" s="94">
        <v>-4</v>
      </c>
      <c r="E203" s="94">
        <v>-7</v>
      </c>
      <c r="F203" s="94">
        <v>5</v>
      </c>
      <c r="G203" s="94">
        <v>-6</v>
      </c>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5"/>
    </row>
    <row r="204" spans="1:53" s="87" customFormat="1">
      <c r="A204" s="90" t="str">
        <f t="shared" ref="A204:A267" si="28">IF(MID(B204,3,2)="09",ROW(),"")</f>
        <v/>
      </c>
      <c r="B204" s="98">
        <v>5</v>
      </c>
      <c r="C204" s="94">
        <v>-6</v>
      </c>
      <c r="D204" s="94">
        <v>-7</v>
      </c>
      <c r="E204" s="94">
        <v>3</v>
      </c>
      <c r="F204" s="94">
        <v>-5</v>
      </c>
      <c r="G204" s="94">
        <v>4</v>
      </c>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5"/>
    </row>
    <row r="205" spans="1:53" s="87" customFormat="1">
      <c r="A205" s="90" t="str">
        <f t="shared" si="28"/>
        <v/>
      </c>
      <c r="B205" s="99">
        <v>6</v>
      </c>
      <c r="C205" s="92">
        <v>-1</v>
      </c>
      <c r="D205" s="92">
        <v>3</v>
      </c>
      <c r="E205" s="92">
        <v>-5</v>
      </c>
      <c r="F205" s="92">
        <v>6</v>
      </c>
      <c r="G205" s="92">
        <v>-4</v>
      </c>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5"/>
    </row>
    <row r="206" spans="1:53" s="87" customFormat="1">
      <c r="A206" s="90" t="str">
        <f t="shared" si="28"/>
        <v/>
      </c>
      <c r="B206" s="98">
        <v>7</v>
      </c>
      <c r="C206" s="94" t="s">
        <v>202</v>
      </c>
      <c r="D206" s="94">
        <v>-5</v>
      </c>
      <c r="E206" s="94">
        <v>6</v>
      </c>
      <c r="F206" s="94">
        <v>-2</v>
      </c>
      <c r="G206" s="94">
        <v>7</v>
      </c>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c r="AZ206" s="94"/>
      <c r="BA206" s="95"/>
    </row>
    <row r="207" spans="1:53" s="87" customFormat="1">
      <c r="A207" s="90" t="str">
        <f t="shared" si="28"/>
        <v/>
      </c>
      <c r="B207" s="98">
        <v>8</v>
      </c>
      <c r="C207" s="94">
        <v>-5</v>
      </c>
      <c r="D207" s="94">
        <v>9</v>
      </c>
      <c r="E207" s="94" t="s">
        <v>202</v>
      </c>
      <c r="F207" s="94">
        <v>3</v>
      </c>
      <c r="G207" s="94">
        <v>-7</v>
      </c>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5"/>
    </row>
    <row r="208" spans="1:53" s="87" customFormat="1">
      <c r="A208" s="90" t="str">
        <f t="shared" si="28"/>
        <v/>
      </c>
      <c r="B208" s="98">
        <v>10</v>
      </c>
      <c r="C208" s="94">
        <v>8</v>
      </c>
      <c r="D208" s="94">
        <v>-9</v>
      </c>
      <c r="E208" s="94">
        <v>-6</v>
      </c>
      <c r="F208" s="94" t="s">
        <v>202</v>
      </c>
      <c r="G208" s="94">
        <v>3</v>
      </c>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5"/>
    </row>
    <row r="209" spans="1:53" s="87" customFormat="1">
      <c r="A209" s="90" t="str">
        <f t="shared" si="28"/>
        <v/>
      </c>
      <c r="B209" s="98">
        <v>9</v>
      </c>
      <c r="C209" s="94">
        <v>5</v>
      </c>
      <c r="D209" s="94" t="s">
        <v>202</v>
      </c>
      <c r="E209" s="94">
        <v>-9</v>
      </c>
      <c r="F209" s="94">
        <v>2</v>
      </c>
      <c r="G209" s="94">
        <v>-3</v>
      </c>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5"/>
    </row>
    <row r="210" spans="1:53" s="87" customFormat="1">
      <c r="A210" s="90" t="str">
        <f t="shared" si="28"/>
        <v/>
      </c>
      <c r="B210" s="99">
        <v>11</v>
      </c>
      <c r="C210" s="92">
        <v>-8</v>
      </c>
      <c r="D210" s="92">
        <v>5</v>
      </c>
      <c r="E210" s="92">
        <v>9</v>
      </c>
      <c r="F210" s="92">
        <v>-3</v>
      </c>
      <c r="G210" s="92" t="s">
        <v>202</v>
      </c>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5"/>
    </row>
    <row r="211" spans="1:53" s="87" customFormat="1">
      <c r="A211" s="90" t="str">
        <f t="shared" si="28"/>
        <v/>
      </c>
      <c r="B211" s="98">
        <v>12</v>
      </c>
      <c r="C211" s="94">
        <v>3</v>
      </c>
      <c r="D211" s="94">
        <v>-1</v>
      </c>
      <c r="E211" s="94">
        <v>-4</v>
      </c>
      <c r="F211" s="94" t="s">
        <v>202</v>
      </c>
      <c r="G211" s="94">
        <v>8</v>
      </c>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c r="AW211" s="94"/>
      <c r="AX211" s="94"/>
      <c r="AY211" s="94"/>
      <c r="AZ211" s="94"/>
      <c r="BA211" s="95"/>
    </row>
    <row r="212" spans="1:53" s="87" customFormat="1">
      <c r="A212" s="90" t="str">
        <f t="shared" si="28"/>
        <v/>
      </c>
      <c r="B212" s="98">
        <v>13</v>
      </c>
      <c r="C212" s="94">
        <v>7</v>
      </c>
      <c r="D212" s="94">
        <v>-6</v>
      </c>
      <c r="E212" s="94" t="s">
        <v>202</v>
      </c>
      <c r="F212" s="94">
        <v>9</v>
      </c>
      <c r="G212" s="94">
        <v>-8</v>
      </c>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5"/>
    </row>
    <row r="213" spans="1:53" s="87" customFormat="1">
      <c r="A213" s="90" t="str">
        <f t="shared" si="28"/>
        <v/>
      </c>
      <c r="B213" s="98">
        <v>14</v>
      </c>
      <c r="C213" s="94">
        <v>-7</v>
      </c>
      <c r="D213" s="94" t="s">
        <v>202</v>
      </c>
      <c r="E213" s="94">
        <v>4</v>
      </c>
      <c r="F213" s="94">
        <v>-1</v>
      </c>
      <c r="G213" s="94">
        <v>2</v>
      </c>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5"/>
    </row>
    <row r="214" spans="1:53" s="87" customFormat="1">
      <c r="A214" s="90" t="str">
        <f t="shared" si="28"/>
        <v/>
      </c>
      <c r="B214" s="98">
        <v>15</v>
      </c>
      <c r="C214" s="94" t="s">
        <v>202</v>
      </c>
      <c r="D214" s="94">
        <v>1</v>
      </c>
      <c r="E214" s="94">
        <v>8</v>
      </c>
      <c r="F214" s="94">
        <v>-9</v>
      </c>
      <c r="G214" s="94">
        <v>-2</v>
      </c>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5"/>
    </row>
    <row r="215" spans="1:53" s="87" customFormat="1">
      <c r="A215" s="90" t="str">
        <f t="shared" si="28"/>
        <v/>
      </c>
      <c r="B215" s="99">
        <v>16</v>
      </c>
      <c r="C215" s="92">
        <v>-3</v>
      </c>
      <c r="D215" s="92">
        <v>6</v>
      </c>
      <c r="E215" s="92">
        <v>-8</v>
      </c>
      <c r="F215" s="92">
        <v>1</v>
      </c>
      <c r="G215" s="92" t="s">
        <v>202</v>
      </c>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94"/>
      <c r="AW215" s="94"/>
      <c r="AX215" s="94"/>
      <c r="AY215" s="94"/>
      <c r="AZ215" s="94"/>
      <c r="BA215" s="95"/>
    </row>
    <row r="216" spans="1:53" s="87" customFormat="1">
      <c r="A216" s="90" t="str">
        <f t="shared" si="28"/>
        <v/>
      </c>
      <c r="B216" s="98">
        <v>17</v>
      </c>
      <c r="C216" s="94">
        <v>4</v>
      </c>
      <c r="D216" s="94" t="s">
        <v>202</v>
      </c>
      <c r="E216" s="94">
        <v>-2</v>
      </c>
      <c r="F216" s="94">
        <v>-8</v>
      </c>
      <c r="G216" s="94">
        <v>9</v>
      </c>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5"/>
    </row>
    <row r="217" spans="1:53" s="87" customFormat="1">
      <c r="A217" s="90" t="str">
        <f t="shared" si="28"/>
        <v/>
      </c>
      <c r="B217" s="98">
        <v>18</v>
      </c>
      <c r="C217" s="94" t="s">
        <v>202</v>
      </c>
      <c r="D217" s="94">
        <v>-8</v>
      </c>
      <c r="E217" s="94">
        <v>1</v>
      </c>
      <c r="F217" s="94">
        <v>7</v>
      </c>
      <c r="G217" s="94">
        <v>-9</v>
      </c>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c r="AZ217" s="94"/>
      <c r="BA217" s="95"/>
    </row>
    <row r="218" spans="1:53" s="87" customFormat="1">
      <c r="A218" s="90" t="str">
        <f t="shared" si="28"/>
        <v/>
      </c>
      <c r="B218" s="98">
        <v>19</v>
      </c>
      <c r="C218" s="94">
        <v>-4</v>
      </c>
      <c r="D218" s="94">
        <v>2</v>
      </c>
      <c r="E218" s="94" t="s">
        <v>202</v>
      </c>
      <c r="F218" s="94">
        <v>-7</v>
      </c>
      <c r="G218" s="94">
        <v>1</v>
      </c>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5"/>
    </row>
    <row r="219" spans="1:53" s="87" customFormat="1">
      <c r="A219" s="90" t="str">
        <f t="shared" si="28"/>
        <v/>
      </c>
      <c r="B219" s="98">
        <v>20</v>
      </c>
      <c r="C219" s="94">
        <v>-9</v>
      </c>
      <c r="D219" s="94">
        <v>8</v>
      </c>
      <c r="E219" s="94">
        <v>2</v>
      </c>
      <c r="F219" s="94" t="s">
        <v>202</v>
      </c>
      <c r="G219" s="94">
        <v>-1</v>
      </c>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94"/>
      <c r="AW219" s="94"/>
      <c r="AX219" s="94"/>
      <c r="AY219" s="94"/>
      <c r="AZ219" s="94"/>
      <c r="BA219" s="95"/>
    </row>
    <row r="220" spans="1:53" s="87" customFormat="1">
      <c r="A220" s="90" t="str">
        <f t="shared" si="28"/>
        <v/>
      </c>
      <c r="B220" s="98">
        <v>21</v>
      </c>
      <c r="C220" s="94">
        <v>9</v>
      </c>
      <c r="D220" s="94">
        <v>-2</v>
      </c>
      <c r="E220" s="94">
        <v>-1</v>
      </c>
      <c r="F220" s="94">
        <v>8</v>
      </c>
      <c r="G220" s="94" t="s">
        <v>202</v>
      </c>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5"/>
    </row>
    <row r="221" spans="1:53" s="87" customFormat="1">
      <c r="A221" s="90" t="str">
        <f t="shared" si="28"/>
        <v/>
      </c>
      <c r="B221" s="98" t="s">
        <v>313</v>
      </c>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5"/>
    </row>
    <row r="222" spans="1:53" s="87" customFormat="1">
      <c r="A222" s="90">
        <f t="shared" si="28"/>
        <v>222</v>
      </c>
      <c r="B222" s="98" t="s">
        <v>512</v>
      </c>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5"/>
    </row>
    <row r="223" spans="1:53" s="87" customFormat="1">
      <c r="A223" s="90" t="str">
        <f t="shared" si="28"/>
        <v/>
      </c>
      <c r="B223" s="98">
        <v>1</v>
      </c>
      <c r="C223" s="94">
        <v>-6</v>
      </c>
      <c r="D223" s="94" t="s">
        <v>210</v>
      </c>
      <c r="E223" s="94" t="s">
        <v>210</v>
      </c>
      <c r="F223" s="94">
        <v>-4</v>
      </c>
      <c r="G223" s="94">
        <v>1</v>
      </c>
      <c r="H223" s="94" t="s">
        <v>210</v>
      </c>
      <c r="I223" s="94" t="s">
        <v>210</v>
      </c>
      <c r="J223" s="94">
        <v>5</v>
      </c>
      <c r="K223" s="94">
        <v>-7</v>
      </c>
      <c r="L223" s="94" t="s">
        <v>210</v>
      </c>
      <c r="M223" s="94" t="s">
        <v>210</v>
      </c>
      <c r="N223" s="94">
        <v>8</v>
      </c>
      <c r="O223" s="94">
        <v>-4</v>
      </c>
      <c r="P223" s="94" t="s">
        <v>210</v>
      </c>
      <c r="Q223" s="94">
        <v>9</v>
      </c>
      <c r="R223" s="94" t="s">
        <v>210</v>
      </c>
      <c r="S223" s="94">
        <v>3</v>
      </c>
      <c r="T223" s="94" t="s">
        <v>210</v>
      </c>
      <c r="U223" s="94" t="s">
        <v>210</v>
      </c>
      <c r="V223" s="94">
        <v>-1</v>
      </c>
      <c r="W223" s="94">
        <v>2</v>
      </c>
      <c r="X223" s="94" t="s">
        <v>210</v>
      </c>
      <c r="Y223" s="94" t="s">
        <v>210</v>
      </c>
      <c r="Z223" s="94">
        <v>-8</v>
      </c>
      <c r="AA223" s="94">
        <v>6</v>
      </c>
      <c r="AB223" s="94" t="s">
        <v>210</v>
      </c>
      <c r="AC223" s="94" t="s">
        <v>210</v>
      </c>
      <c r="AD223" s="94">
        <v>-3</v>
      </c>
      <c r="AE223" s="94">
        <v>7</v>
      </c>
      <c r="AF223" s="94" t="s">
        <v>210</v>
      </c>
      <c r="AG223" s="94" t="s">
        <v>210</v>
      </c>
      <c r="AH223" s="94">
        <v>-5</v>
      </c>
      <c r="AI223" s="94">
        <v>4</v>
      </c>
      <c r="AJ223" s="94" t="s">
        <v>210</v>
      </c>
      <c r="AK223" s="94"/>
      <c r="AL223" s="94"/>
      <c r="AM223" s="94"/>
      <c r="AN223" s="94"/>
      <c r="AO223" s="94"/>
      <c r="AP223" s="94"/>
      <c r="AQ223" s="94"/>
      <c r="AR223" s="94"/>
      <c r="AS223" s="94"/>
      <c r="AT223" s="94"/>
      <c r="AU223" s="94"/>
      <c r="AV223" s="94"/>
      <c r="AW223" s="94"/>
      <c r="AX223" s="94"/>
      <c r="AY223" s="94"/>
      <c r="AZ223" s="94"/>
      <c r="BA223" s="95"/>
    </row>
    <row r="224" spans="1:53" s="87" customFormat="1">
      <c r="A224" s="90" t="str">
        <f t="shared" si="28"/>
        <v/>
      </c>
      <c r="B224" s="98">
        <v>2</v>
      </c>
      <c r="C224" s="94">
        <v>-3</v>
      </c>
      <c r="D224" s="94" t="s">
        <v>210</v>
      </c>
      <c r="E224" s="94" t="s">
        <v>210</v>
      </c>
      <c r="F224" s="94">
        <v>5</v>
      </c>
      <c r="G224" s="94">
        <v>8</v>
      </c>
      <c r="H224" s="94" t="s">
        <v>210</v>
      </c>
      <c r="I224" s="94" t="s">
        <v>210</v>
      </c>
      <c r="J224" s="94">
        <v>-7</v>
      </c>
      <c r="K224" s="94">
        <v>9</v>
      </c>
      <c r="L224" s="94" t="s">
        <v>210</v>
      </c>
      <c r="M224" s="94" t="s">
        <v>210</v>
      </c>
      <c r="N224" s="94">
        <v>-6</v>
      </c>
      <c r="O224" s="94">
        <v>-1</v>
      </c>
      <c r="P224" s="94" t="s">
        <v>210</v>
      </c>
      <c r="Q224" s="94" t="s">
        <v>210</v>
      </c>
      <c r="R224" s="94">
        <v>-2</v>
      </c>
      <c r="S224" s="94">
        <v>4</v>
      </c>
      <c r="T224" s="94" t="s">
        <v>210</v>
      </c>
      <c r="U224" s="94" t="s">
        <v>210</v>
      </c>
      <c r="V224" s="94">
        <v>-8</v>
      </c>
      <c r="W224" s="94">
        <v>6</v>
      </c>
      <c r="X224" s="94" t="s">
        <v>210</v>
      </c>
      <c r="Y224" s="94" t="s">
        <v>210</v>
      </c>
      <c r="Z224" s="94">
        <v>1</v>
      </c>
      <c r="AA224" s="94">
        <v>7</v>
      </c>
      <c r="AB224" s="94" t="s">
        <v>210</v>
      </c>
      <c r="AC224" s="94" t="s">
        <v>210</v>
      </c>
      <c r="AD224" s="94">
        <v>-5</v>
      </c>
      <c r="AE224" s="94">
        <v>2</v>
      </c>
      <c r="AF224" s="94" t="s">
        <v>210</v>
      </c>
      <c r="AG224" s="94" t="s">
        <v>210</v>
      </c>
      <c r="AH224" s="94">
        <v>3</v>
      </c>
      <c r="AI224" s="94">
        <v>-4</v>
      </c>
      <c r="AJ224" s="94" t="s">
        <v>210</v>
      </c>
      <c r="AK224" s="94"/>
      <c r="AL224" s="94"/>
      <c r="AM224" s="94"/>
      <c r="AN224" s="94"/>
      <c r="AO224" s="94"/>
      <c r="AP224" s="94"/>
      <c r="AQ224" s="94"/>
      <c r="AR224" s="94"/>
      <c r="AS224" s="94"/>
      <c r="AT224" s="94"/>
      <c r="AU224" s="94"/>
      <c r="AV224" s="94"/>
      <c r="AW224" s="94"/>
      <c r="AX224" s="94"/>
      <c r="AY224" s="94"/>
      <c r="AZ224" s="94"/>
      <c r="BA224" s="95"/>
    </row>
    <row r="225" spans="1:53" s="87" customFormat="1">
      <c r="A225" s="90" t="str">
        <f t="shared" si="28"/>
        <v/>
      </c>
      <c r="B225" s="98">
        <v>3</v>
      </c>
      <c r="C225" s="94">
        <v>9</v>
      </c>
      <c r="D225" s="94" t="s">
        <v>210</v>
      </c>
      <c r="E225" s="94" t="s">
        <v>210</v>
      </c>
      <c r="F225" s="94">
        <v>3</v>
      </c>
      <c r="G225" s="94">
        <v>-4</v>
      </c>
      <c r="H225" s="94" t="s">
        <v>210</v>
      </c>
      <c r="I225" s="94" t="s">
        <v>210</v>
      </c>
      <c r="J225" s="94">
        <v>1</v>
      </c>
      <c r="K225" s="94">
        <v>6</v>
      </c>
      <c r="L225" s="94" t="s">
        <v>210</v>
      </c>
      <c r="M225" s="94" t="s">
        <v>210</v>
      </c>
      <c r="N225" s="94">
        <v>2</v>
      </c>
      <c r="O225" s="94">
        <v>-8</v>
      </c>
      <c r="P225" s="94" t="s">
        <v>210</v>
      </c>
      <c r="Q225" s="94" t="s">
        <v>210</v>
      </c>
      <c r="R225" s="94">
        <v>3</v>
      </c>
      <c r="S225" s="94">
        <v>-5</v>
      </c>
      <c r="T225" s="94" t="s">
        <v>210</v>
      </c>
      <c r="U225" s="94" t="s">
        <v>210</v>
      </c>
      <c r="V225" s="94">
        <v>-6</v>
      </c>
      <c r="W225" s="94">
        <v>-7</v>
      </c>
      <c r="X225" s="94" t="s">
        <v>210</v>
      </c>
      <c r="Y225" s="94" t="s">
        <v>210</v>
      </c>
      <c r="Z225" s="94">
        <v>8</v>
      </c>
      <c r="AA225" s="94">
        <v>4</v>
      </c>
      <c r="AB225" s="94" t="s">
        <v>210</v>
      </c>
      <c r="AC225" s="94" t="s">
        <v>210</v>
      </c>
      <c r="AD225" s="94">
        <v>-2</v>
      </c>
      <c r="AE225" s="94">
        <v>-1</v>
      </c>
      <c r="AF225" s="94" t="s">
        <v>210</v>
      </c>
      <c r="AG225" s="94" t="s">
        <v>210</v>
      </c>
      <c r="AH225" s="94">
        <v>-3</v>
      </c>
      <c r="AI225" s="94">
        <v>5</v>
      </c>
      <c r="AJ225" s="94" t="s">
        <v>210</v>
      </c>
      <c r="AK225" s="94"/>
      <c r="AL225" s="94"/>
      <c r="AM225" s="94"/>
      <c r="AN225" s="94"/>
      <c r="AO225" s="94"/>
      <c r="AP225" s="94"/>
      <c r="AQ225" s="94"/>
      <c r="AR225" s="94"/>
      <c r="AS225" s="94"/>
      <c r="AT225" s="94"/>
      <c r="AU225" s="94"/>
      <c r="AV225" s="94"/>
      <c r="AW225" s="94"/>
      <c r="AX225" s="94"/>
      <c r="AY225" s="94"/>
      <c r="AZ225" s="94"/>
      <c r="BA225" s="95"/>
    </row>
    <row r="226" spans="1:53" s="87" customFormat="1">
      <c r="A226" s="90" t="str">
        <f t="shared" si="28"/>
        <v/>
      </c>
      <c r="B226" s="98">
        <v>4</v>
      </c>
      <c r="C226" s="94">
        <v>1</v>
      </c>
      <c r="D226" s="94" t="s">
        <v>210</v>
      </c>
      <c r="E226" s="94" t="s">
        <v>210</v>
      </c>
      <c r="F226" s="94">
        <v>6</v>
      </c>
      <c r="G226" s="94">
        <v>-3</v>
      </c>
      <c r="H226" s="94" t="s">
        <v>210</v>
      </c>
      <c r="I226" s="94">
        <v>9</v>
      </c>
      <c r="J226" s="94" t="s">
        <v>210</v>
      </c>
      <c r="K226" s="94">
        <v>-4</v>
      </c>
      <c r="L226" s="94" t="s">
        <v>210</v>
      </c>
      <c r="M226" s="94" t="s">
        <v>210</v>
      </c>
      <c r="N226" s="94">
        <v>7</v>
      </c>
      <c r="O226" s="94">
        <v>-2</v>
      </c>
      <c r="P226" s="94" t="s">
        <v>210</v>
      </c>
      <c r="Q226" s="94" t="s">
        <v>210</v>
      </c>
      <c r="R226" s="94">
        <v>5</v>
      </c>
      <c r="S226" s="94">
        <v>8</v>
      </c>
      <c r="T226" s="94" t="s">
        <v>210</v>
      </c>
      <c r="U226" s="94" t="s">
        <v>210</v>
      </c>
      <c r="V226" s="94">
        <v>2</v>
      </c>
      <c r="W226" s="94">
        <v>-6</v>
      </c>
      <c r="X226" s="94" t="s">
        <v>210</v>
      </c>
      <c r="Y226" s="94" t="s">
        <v>210</v>
      </c>
      <c r="Z226" s="94">
        <v>-7</v>
      </c>
      <c r="AA226" s="94">
        <v>-1</v>
      </c>
      <c r="AB226" s="94" t="s">
        <v>210</v>
      </c>
      <c r="AC226" s="94" t="s">
        <v>210</v>
      </c>
      <c r="AD226" s="94">
        <v>3</v>
      </c>
      <c r="AE226" s="94">
        <v>-8</v>
      </c>
      <c r="AF226" s="94" t="s">
        <v>210</v>
      </c>
      <c r="AG226" s="94" t="s">
        <v>210</v>
      </c>
      <c r="AH226" s="94">
        <v>4</v>
      </c>
      <c r="AI226" s="94">
        <v>-5</v>
      </c>
      <c r="AJ226" s="94" t="s">
        <v>210</v>
      </c>
      <c r="AK226" s="94"/>
      <c r="AL226" s="94"/>
      <c r="AM226" s="94"/>
      <c r="AN226" s="94"/>
      <c r="AO226" s="94"/>
      <c r="AP226" s="94"/>
      <c r="AQ226" s="94"/>
      <c r="AR226" s="94"/>
      <c r="AS226" s="94"/>
      <c r="AT226" s="94"/>
      <c r="AU226" s="94"/>
      <c r="AV226" s="94"/>
      <c r="AW226" s="94"/>
      <c r="AX226" s="94"/>
      <c r="AY226" s="94"/>
      <c r="AZ226" s="94"/>
      <c r="BA226" s="95"/>
    </row>
    <row r="227" spans="1:53" s="87" customFormat="1">
      <c r="A227" s="90" t="str">
        <f t="shared" si="28"/>
        <v/>
      </c>
      <c r="B227" s="98">
        <v>5</v>
      </c>
      <c r="C227" s="94">
        <v>3</v>
      </c>
      <c r="D227" s="94" t="s">
        <v>210</v>
      </c>
      <c r="E227" s="94" t="s">
        <v>210</v>
      </c>
      <c r="F227" s="94">
        <v>-1</v>
      </c>
      <c r="G227" s="94">
        <v>9</v>
      </c>
      <c r="H227" s="94" t="s">
        <v>210</v>
      </c>
      <c r="I227" s="94" t="s">
        <v>210</v>
      </c>
      <c r="J227" s="94">
        <v>2</v>
      </c>
      <c r="K227" s="94">
        <v>5</v>
      </c>
      <c r="L227" s="94" t="s">
        <v>210</v>
      </c>
      <c r="M227" s="94" t="s">
        <v>210</v>
      </c>
      <c r="N227" s="94">
        <v>4</v>
      </c>
      <c r="O227" s="94">
        <v>-6</v>
      </c>
      <c r="P227" s="94" t="s">
        <v>210</v>
      </c>
      <c r="Q227" s="94" t="s">
        <v>210</v>
      </c>
      <c r="R227" s="94">
        <v>-8</v>
      </c>
      <c r="S227" s="94">
        <v>7</v>
      </c>
      <c r="T227" s="94" t="s">
        <v>210</v>
      </c>
      <c r="U227" s="94" t="s">
        <v>210</v>
      </c>
      <c r="V227" s="94">
        <v>-5</v>
      </c>
      <c r="W227" s="94">
        <v>-2</v>
      </c>
      <c r="X227" s="94" t="s">
        <v>210</v>
      </c>
      <c r="Y227" s="94" t="s">
        <v>210</v>
      </c>
      <c r="Z227" s="94">
        <v>6</v>
      </c>
      <c r="AA227" s="94">
        <v>8</v>
      </c>
      <c r="AB227" s="94" t="s">
        <v>210</v>
      </c>
      <c r="AC227" s="94" t="s">
        <v>210</v>
      </c>
      <c r="AD227" s="94">
        <v>-7</v>
      </c>
      <c r="AE227" s="94">
        <v>1</v>
      </c>
      <c r="AF227" s="94" t="s">
        <v>210</v>
      </c>
      <c r="AG227" s="94" t="s">
        <v>210</v>
      </c>
      <c r="AH227" s="94">
        <v>-4</v>
      </c>
      <c r="AI227" s="94">
        <v>-3</v>
      </c>
      <c r="AJ227" s="94" t="s">
        <v>210</v>
      </c>
      <c r="AK227" s="94"/>
      <c r="AL227" s="94"/>
      <c r="AM227" s="94"/>
      <c r="AN227" s="94"/>
      <c r="AO227" s="94"/>
      <c r="AP227" s="94"/>
      <c r="AQ227" s="94"/>
      <c r="AR227" s="94"/>
      <c r="AS227" s="94"/>
      <c r="AT227" s="94"/>
      <c r="AU227" s="94"/>
      <c r="AV227" s="94"/>
      <c r="AW227" s="94"/>
      <c r="AX227" s="94"/>
      <c r="AY227" s="94"/>
      <c r="AZ227" s="94"/>
      <c r="BA227" s="95"/>
    </row>
    <row r="228" spans="1:53" s="87" customFormat="1">
      <c r="A228" s="90" t="str">
        <f t="shared" si="28"/>
        <v/>
      </c>
      <c r="B228" s="98">
        <v>6</v>
      </c>
      <c r="C228" s="94">
        <v>6</v>
      </c>
      <c r="D228" s="94" t="s">
        <v>210</v>
      </c>
      <c r="E228" s="94" t="s">
        <v>210</v>
      </c>
      <c r="F228" s="94">
        <v>-5</v>
      </c>
      <c r="G228" s="94">
        <v>-7</v>
      </c>
      <c r="H228" s="94" t="s">
        <v>210</v>
      </c>
      <c r="I228" s="94" t="s">
        <v>210</v>
      </c>
      <c r="J228" s="94">
        <v>-8</v>
      </c>
      <c r="K228" s="94">
        <v>-2</v>
      </c>
      <c r="L228" s="94" t="s">
        <v>210</v>
      </c>
      <c r="M228" s="94" t="s">
        <v>210</v>
      </c>
      <c r="N228" s="94">
        <v>1</v>
      </c>
      <c r="O228" s="94">
        <v>-3</v>
      </c>
      <c r="P228" s="94" t="s">
        <v>210</v>
      </c>
      <c r="Q228" s="94" t="s">
        <v>210</v>
      </c>
      <c r="R228" s="94">
        <v>6</v>
      </c>
      <c r="S228" s="94">
        <v>-1</v>
      </c>
      <c r="T228" s="94" t="s">
        <v>210</v>
      </c>
      <c r="U228" s="94" t="s">
        <v>210</v>
      </c>
      <c r="V228" s="94">
        <v>7</v>
      </c>
      <c r="W228" s="94">
        <v>9</v>
      </c>
      <c r="X228" s="94" t="s">
        <v>210</v>
      </c>
      <c r="Y228" s="94" t="s">
        <v>210</v>
      </c>
      <c r="Z228" s="94">
        <v>4</v>
      </c>
      <c r="AA228" s="94">
        <v>5</v>
      </c>
      <c r="AB228" s="94" t="s">
        <v>210</v>
      </c>
      <c r="AC228" s="94" t="s">
        <v>210</v>
      </c>
      <c r="AD228" s="94">
        <v>2</v>
      </c>
      <c r="AE228" s="94">
        <v>8</v>
      </c>
      <c r="AF228" s="94" t="s">
        <v>210</v>
      </c>
      <c r="AG228" s="94" t="s">
        <v>210</v>
      </c>
      <c r="AH228" s="94">
        <v>-6</v>
      </c>
      <c r="AI228" s="94">
        <v>3</v>
      </c>
      <c r="AJ228" s="94" t="s">
        <v>210</v>
      </c>
      <c r="AK228" s="94"/>
      <c r="AL228" s="94"/>
      <c r="AM228" s="94"/>
      <c r="AN228" s="94"/>
      <c r="AO228" s="94"/>
      <c r="AP228" s="94"/>
      <c r="AQ228" s="94"/>
      <c r="AR228" s="94"/>
      <c r="AS228" s="94"/>
      <c r="AT228" s="94"/>
      <c r="AU228" s="94"/>
      <c r="AV228" s="94"/>
      <c r="AW228" s="94"/>
      <c r="AX228" s="94"/>
      <c r="AY228" s="94"/>
      <c r="AZ228" s="94"/>
      <c r="BA228" s="95"/>
    </row>
    <row r="229" spans="1:53" s="87" customFormat="1">
      <c r="A229" s="90" t="str">
        <f t="shared" si="28"/>
        <v/>
      </c>
      <c r="B229" s="98">
        <v>7</v>
      </c>
      <c r="C229" s="94">
        <v>2</v>
      </c>
      <c r="D229" s="94" t="s">
        <v>210</v>
      </c>
      <c r="E229" s="94">
        <v>9</v>
      </c>
      <c r="F229" s="94" t="s">
        <v>210</v>
      </c>
      <c r="G229" s="94">
        <v>-5</v>
      </c>
      <c r="H229" s="94" t="s">
        <v>210</v>
      </c>
      <c r="I229" s="94" t="s">
        <v>210</v>
      </c>
      <c r="J229" s="94">
        <v>-6</v>
      </c>
      <c r="K229" s="94">
        <v>8</v>
      </c>
      <c r="L229" s="94" t="s">
        <v>210</v>
      </c>
      <c r="M229" s="94" t="s">
        <v>210</v>
      </c>
      <c r="N229" s="94">
        <v>-4</v>
      </c>
      <c r="O229" s="94">
        <v>-7</v>
      </c>
      <c r="P229" s="94" t="s">
        <v>210</v>
      </c>
      <c r="Q229" s="94" t="s">
        <v>210</v>
      </c>
      <c r="R229" s="94">
        <v>-3</v>
      </c>
      <c r="S229" s="94">
        <v>1</v>
      </c>
      <c r="T229" s="94" t="s">
        <v>210</v>
      </c>
      <c r="U229" s="94" t="s">
        <v>210</v>
      </c>
      <c r="V229" s="94">
        <v>4</v>
      </c>
      <c r="W229" s="94">
        <v>-8</v>
      </c>
      <c r="X229" s="94" t="s">
        <v>210</v>
      </c>
      <c r="Y229" s="94" t="s">
        <v>210</v>
      </c>
      <c r="Z229" s="94">
        <v>7</v>
      </c>
      <c r="AA229" s="94">
        <v>3</v>
      </c>
      <c r="AB229" s="94" t="s">
        <v>210</v>
      </c>
      <c r="AC229" s="94" t="s">
        <v>210</v>
      </c>
      <c r="AD229" s="94">
        <v>-1</v>
      </c>
      <c r="AE229" s="94">
        <v>-2</v>
      </c>
      <c r="AF229" s="94" t="s">
        <v>210</v>
      </c>
      <c r="AG229" s="94" t="s">
        <v>210</v>
      </c>
      <c r="AH229" s="94">
        <v>5</v>
      </c>
      <c r="AI229" s="94">
        <v>6</v>
      </c>
      <c r="AJ229" s="94" t="s">
        <v>210</v>
      </c>
      <c r="AK229" s="94"/>
      <c r="AL229" s="94"/>
      <c r="AM229" s="94"/>
      <c r="AN229" s="94"/>
      <c r="AO229" s="94"/>
      <c r="AP229" s="94"/>
      <c r="AQ229" s="94"/>
      <c r="AR229" s="94"/>
      <c r="AS229" s="94"/>
      <c r="AT229" s="94"/>
      <c r="AU229" s="94"/>
      <c r="AV229" s="94"/>
      <c r="AW229" s="94"/>
      <c r="AX229" s="94"/>
      <c r="AY229" s="94"/>
      <c r="AZ229" s="94"/>
      <c r="BA229" s="95"/>
    </row>
    <row r="230" spans="1:53" s="87" customFormat="1">
      <c r="A230" s="90" t="str">
        <f t="shared" si="28"/>
        <v/>
      </c>
      <c r="B230" s="98">
        <v>8</v>
      </c>
      <c r="C230" s="94">
        <v>7</v>
      </c>
      <c r="D230" s="94" t="s">
        <v>210</v>
      </c>
      <c r="E230" s="94" t="s">
        <v>210</v>
      </c>
      <c r="F230" s="94">
        <v>8</v>
      </c>
      <c r="G230" s="94">
        <v>4</v>
      </c>
      <c r="H230" s="94" t="s">
        <v>210</v>
      </c>
      <c r="I230" s="94" t="s">
        <v>210</v>
      </c>
      <c r="J230" s="94">
        <v>-2</v>
      </c>
      <c r="K230" s="94">
        <v>-3</v>
      </c>
      <c r="L230" s="94" t="s">
        <v>210</v>
      </c>
      <c r="M230" s="94" t="s">
        <v>210</v>
      </c>
      <c r="N230" s="94">
        <v>-1</v>
      </c>
      <c r="O230" s="94">
        <v>-5</v>
      </c>
      <c r="P230" s="94" t="s">
        <v>210</v>
      </c>
      <c r="Q230" s="94" t="s">
        <v>210</v>
      </c>
      <c r="R230" s="94">
        <v>7</v>
      </c>
      <c r="S230" s="94">
        <v>-8</v>
      </c>
      <c r="T230" s="94" t="s">
        <v>210</v>
      </c>
      <c r="U230" s="94">
        <v>9</v>
      </c>
      <c r="V230" s="94" t="s">
        <v>210</v>
      </c>
      <c r="W230" s="94">
        <v>-4</v>
      </c>
      <c r="X230" s="94" t="s">
        <v>210</v>
      </c>
      <c r="Y230" s="94" t="s">
        <v>210</v>
      </c>
      <c r="Z230" s="94">
        <v>3</v>
      </c>
      <c r="AA230" s="94">
        <v>2</v>
      </c>
      <c r="AB230" s="94" t="s">
        <v>210</v>
      </c>
      <c r="AC230" s="94" t="s">
        <v>210</v>
      </c>
      <c r="AD230" s="94">
        <v>5</v>
      </c>
      <c r="AE230" s="94">
        <v>-7</v>
      </c>
      <c r="AF230" s="94" t="s">
        <v>210</v>
      </c>
      <c r="AG230" s="94" t="s">
        <v>210</v>
      </c>
      <c r="AH230" s="94">
        <v>1</v>
      </c>
      <c r="AI230" s="94">
        <v>-6</v>
      </c>
      <c r="AJ230" s="94" t="s">
        <v>210</v>
      </c>
      <c r="AK230" s="94"/>
      <c r="AL230" s="94"/>
      <c r="AM230" s="94"/>
      <c r="AN230" s="94"/>
      <c r="AO230" s="94"/>
      <c r="AP230" s="94"/>
      <c r="AQ230" s="94"/>
      <c r="AR230" s="94"/>
      <c r="AS230" s="94"/>
      <c r="AT230" s="94"/>
      <c r="AU230" s="94"/>
      <c r="AV230" s="94"/>
      <c r="AW230" s="94"/>
      <c r="AX230" s="94"/>
      <c r="AY230" s="94"/>
      <c r="AZ230" s="94"/>
      <c r="BA230" s="95"/>
    </row>
    <row r="231" spans="1:53" s="87" customFormat="1">
      <c r="A231" s="90" t="str">
        <f t="shared" si="28"/>
        <v/>
      </c>
      <c r="B231" s="98">
        <v>9</v>
      </c>
      <c r="C231" s="94">
        <v>-2</v>
      </c>
      <c r="D231" s="94" t="s">
        <v>210</v>
      </c>
      <c r="E231" s="94" t="s">
        <v>210</v>
      </c>
      <c r="F231" s="94">
        <v>-3</v>
      </c>
      <c r="G231" s="94">
        <v>-8</v>
      </c>
      <c r="H231" s="94" t="s">
        <v>210</v>
      </c>
      <c r="I231" s="94" t="s">
        <v>210</v>
      </c>
      <c r="J231" s="94">
        <v>-4</v>
      </c>
      <c r="K231" s="94">
        <v>1</v>
      </c>
      <c r="L231" s="94" t="s">
        <v>210</v>
      </c>
      <c r="M231" s="94">
        <v>9</v>
      </c>
      <c r="N231" s="94" t="s">
        <v>210</v>
      </c>
      <c r="O231" s="94">
        <v>6</v>
      </c>
      <c r="P231" s="94" t="s">
        <v>210</v>
      </c>
      <c r="Q231" s="94" t="s">
        <v>210</v>
      </c>
      <c r="R231" s="94">
        <v>-5</v>
      </c>
      <c r="S231" s="94">
        <v>-2</v>
      </c>
      <c r="T231" s="94" t="s">
        <v>210</v>
      </c>
      <c r="U231" s="94" t="s">
        <v>210</v>
      </c>
      <c r="V231" s="94">
        <v>-7</v>
      </c>
      <c r="W231" s="94">
        <v>3</v>
      </c>
      <c r="X231" s="94" t="s">
        <v>210</v>
      </c>
      <c r="Y231" s="94" t="s">
        <v>210</v>
      </c>
      <c r="Z231" s="94">
        <v>5</v>
      </c>
      <c r="AA231" s="94">
        <v>-6</v>
      </c>
      <c r="AB231" s="94" t="s">
        <v>210</v>
      </c>
      <c r="AC231" s="94" t="s">
        <v>210</v>
      </c>
      <c r="AD231" s="94">
        <v>8</v>
      </c>
      <c r="AE231" s="94">
        <v>4</v>
      </c>
      <c r="AF231" s="94" t="s">
        <v>210</v>
      </c>
      <c r="AG231" s="94" t="s">
        <v>210</v>
      </c>
      <c r="AH231" s="94">
        <v>-1</v>
      </c>
      <c r="AI231" s="94">
        <v>2</v>
      </c>
      <c r="AJ231" s="94" t="s">
        <v>210</v>
      </c>
      <c r="AK231" s="94"/>
      <c r="AL231" s="94"/>
      <c r="AM231" s="94"/>
      <c r="AN231" s="94"/>
      <c r="AO231" s="94"/>
      <c r="AP231" s="94"/>
      <c r="AQ231" s="94"/>
      <c r="AR231" s="94"/>
      <c r="AS231" s="94"/>
      <c r="AT231" s="94"/>
      <c r="AU231" s="94"/>
      <c r="AV231" s="94"/>
      <c r="AW231" s="94"/>
      <c r="AX231" s="94"/>
      <c r="AY231" s="94"/>
      <c r="AZ231" s="94"/>
      <c r="BA231" s="95"/>
    </row>
    <row r="232" spans="1:53" s="87" customFormat="1">
      <c r="A232" s="90" t="str">
        <f t="shared" si="28"/>
        <v/>
      </c>
      <c r="B232" s="98">
        <v>10</v>
      </c>
      <c r="C232" s="94">
        <v>-4</v>
      </c>
      <c r="D232" s="94" t="s">
        <v>210</v>
      </c>
      <c r="E232" s="94" t="s">
        <v>210</v>
      </c>
      <c r="F232" s="94">
        <v>-2</v>
      </c>
      <c r="G232" s="94">
        <v>7</v>
      </c>
      <c r="H232" s="94" t="s">
        <v>210</v>
      </c>
      <c r="I232" s="94" t="s">
        <v>210</v>
      </c>
      <c r="J232" s="94">
        <v>-3</v>
      </c>
      <c r="K232" s="94">
        <v>-5</v>
      </c>
      <c r="L232" s="94" t="s">
        <v>210</v>
      </c>
      <c r="M232" s="94" t="s">
        <v>210</v>
      </c>
      <c r="N232" s="94">
        <v>-8</v>
      </c>
      <c r="O232" s="94">
        <v>2</v>
      </c>
      <c r="P232" s="94" t="s">
        <v>210</v>
      </c>
      <c r="Q232" s="94" t="s">
        <v>210</v>
      </c>
      <c r="R232" s="94">
        <v>-1</v>
      </c>
      <c r="S232" s="94">
        <v>5</v>
      </c>
      <c r="T232" s="94" t="s">
        <v>210</v>
      </c>
      <c r="U232" s="94" t="s">
        <v>210</v>
      </c>
      <c r="V232" s="94">
        <v>3</v>
      </c>
      <c r="W232" s="94">
        <v>4</v>
      </c>
      <c r="X232" s="94" t="s">
        <v>210</v>
      </c>
      <c r="Y232" s="94">
        <v>9</v>
      </c>
      <c r="Z232" s="94" t="s">
        <v>210</v>
      </c>
      <c r="AA232" s="94">
        <v>-7</v>
      </c>
      <c r="AB232" s="94" t="s">
        <v>210</v>
      </c>
      <c r="AC232" s="94" t="s">
        <v>210</v>
      </c>
      <c r="AD232" s="94">
        <v>1</v>
      </c>
      <c r="AE232" s="94">
        <v>6</v>
      </c>
      <c r="AF232" s="94" t="s">
        <v>210</v>
      </c>
      <c r="AG232" s="94" t="s">
        <v>210</v>
      </c>
      <c r="AH232" s="94">
        <v>8</v>
      </c>
      <c r="AI232" s="94">
        <v>-2</v>
      </c>
      <c r="AJ232" s="94" t="s">
        <v>210</v>
      </c>
      <c r="AK232" s="94"/>
      <c r="AL232" s="94"/>
      <c r="AM232" s="94"/>
      <c r="AN232" s="94"/>
      <c r="AO232" s="94"/>
      <c r="AP232" s="94"/>
      <c r="AQ232" s="94"/>
      <c r="AR232" s="94"/>
      <c r="AS232" s="94"/>
      <c r="AT232" s="94"/>
      <c r="AU232" s="94"/>
      <c r="AV232" s="94"/>
      <c r="AW232" s="94"/>
      <c r="AX232" s="94"/>
      <c r="AY232" s="94"/>
      <c r="AZ232" s="94"/>
      <c r="BA232" s="95"/>
    </row>
    <row r="233" spans="1:53" s="87" customFormat="1">
      <c r="A233" s="90" t="str">
        <f t="shared" si="28"/>
        <v/>
      </c>
      <c r="B233" s="98">
        <v>11</v>
      </c>
      <c r="C233" s="94">
        <v>-5</v>
      </c>
      <c r="D233" s="94" t="s">
        <v>210</v>
      </c>
      <c r="E233" s="94" t="s">
        <v>210</v>
      </c>
      <c r="F233" s="94">
        <v>1</v>
      </c>
      <c r="G233" s="94">
        <v>2</v>
      </c>
      <c r="H233" s="94" t="s">
        <v>210</v>
      </c>
      <c r="I233" s="94" t="s">
        <v>210</v>
      </c>
      <c r="J233" s="94">
        <v>8</v>
      </c>
      <c r="K233" s="94">
        <v>-6</v>
      </c>
      <c r="L233" s="94" t="s">
        <v>210</v>
      </c>
      <c r="M233" s="94" t="s">
        <v>210</v>
      </c>
      <c r="N233" s="94">
        <v>3</v>
      </c>
      <c r="O233" s="94">
        <v>4</v>
      </c>
      <c r="P233" s="94" t="s">
        <v>210</v>
      </c>
      <c r="Q233" s="94" t="s">
        <v>210</v>
      </c>
      <c r="R233" s="94">
        <v>-7</v>
      </c>
      <c r="S233" s="94">
        <v>6</v>
      </c>
      <c r="T233" s="94" t="s">
        <v>210</v>
      </c>
      <c r="U233" s="94" t="s">
        <v>210</v>
      </c>
      <c r="V233" s="94">
        <v>-2</v>
      </c>
      <c r="W233" s="94">
        <v>5</v>
      </c>
      <c r="X233" s="94" t="s">
        <v>210</v>
      </c>
      <c r="Y233" s="94" t="s">
        <v>210</v>
      </c>
      <c r="Z233" s="94">
        <v>-1</v>
      </c>
      <c r="AA233" s="94">
        <v>-3</v>
      </c>
      <c r="AB233" s="94" t="s">
        <v>210</v>
      </c>
      <c r="AC233" s="94">
        <v>9</v>
      </c>
      <c r="AD233" s="94" t="s">
        <v>210</v>
      </c>
      <c r="AE233" s="94">
        <v>-4</v>
      </c>
      <c r="AF233" s="94" t="s">
        <v>210</v>
      </c>
      <c r="AG233" s="94" t="s">
        <v>210</v>
      </c>
      <c r="AH233" s="94">
        <v>-8</v>
      </c>
      <c r="AI233" s="94">
        <v>7</v>
      </c>
      <c r="AJ233" s="94" t="s">
        <v>210</v>
      </c>
      <c r="AK233" s="94"/>
      <c r="AL233" s="94"/>
      <c r="AM233" s="94"/>
      <c r="AN233" s="94"/>
      <c r="AO233" s="94"/>
      <c r="AP233" s="94"/>
      <c r="AQ233" s="94"/>
      <c r="AR233" s="94"/>
      <c r="AS233" s="94"/>
      <c r="AT233" s="94"/>
      <c r="AU233" s="94"/>
      <c r="AV233" s="94"/>
      <c r="AW233" s="94"/>
      <c r="AX233" s="94"/>
      <c r="AY233" s="94"/>
      <c r="AZ233" s="94"/>
      <c r="BA233" s="95"/>
    </row>
    <row r="234" spans="1:53" s="87" customFormat="1">
      <c r="A234" s="90" t="str">
        <f t="shared" si="28"/>
        <v/>
      </c>
      <c r="B234" s="98">
        <v>12</v>
      </c>
      <c r="C234" s="94">
        <v>8</v>
      </c>
      <c r="D234" s="94" t="s">
        <v>210</v>
      </c>
      <c r="E234" s="94" t="s">
        <v>210</v>
      </c>
      <c r="F234" s="94">
        <v>7</v>
      </c>
      <c r="G234" s="94">
        <v>6</v>
      </c>
      <c r="H234" s="94" t="s">
        <v>210</v>
      </c>
      <c r="I234" s="94" t="s">
        <v>210</v>
      </c>
      <c r="J234" s="94">
        <v>-1</v>
      </c>
      <c r="K234" s="94">
        <v>4</v>
      </c>
      <c r="L234" s="94" t="s">
        <v>210</v>
      </c>
      <c r="M234" s="94" t="s">
        <v>210</v>
      </c>
      <c r="N234" s="94">
        <v>-5</v>
      </c>
      <c r="O234" s="94">
        <v>7</v>
      </c>
      <c r="P234" s="94" t="s">
        <v>210</v>
      </c>
      <c r="Q234" s="94" t="s">
        <v>210</v>
      </c>
      <c r="R234" s="94">
        <v>2</v>
      </c>
      <c r="S234" s="94">
        <v>-3</v>
      </c>
      <c r="T234" s="94" t="s">
        <v>210</v>
      </c>
      <c r="U234" s="94" t="s">
        <v>210</v>
      </c>
      <c r="V234" s="94">
        <v>5</v>
      </c>
      <c r="W234" s="94">
        <v>1</v>
      </c>
      <c r="X234" s="94" t="s">
        <v>210</v>
      </c>
      <c r="Y234" s="94" t="s">
        <v>210</v>
      </c>
      <c r="Z234" s="94">
        <v>-4</v>
      </c>
      <c r="AA234" s="94">
        <v>-2</v>
      </c>
      <c r="AB234" s="94" t="s">
        <v>210</v>
      </c>
      <c r="AC234" s="94" t="s">
        <v>210</v>
      </c>
      <c r="AD234" s="94">
        <v>-8</v>
      </c>
      <c r="AE234" s="94">
        <v>-6</v>
      </c>
      <c r="AF234" s="94" t="s">
        <v>210</v>
      </c>
      <c r="AG234" s="94">
        <v>9</v>
      </c>
      <c r="AH234" s="94" t="s">
        <v>210</v>
      </c>
      <c r="AI234" s="94">
        <v>-7</v>
      </c>
      <c r="AJ234" s="94" t="s">
        <v>210</v>
      </c>
      <c r="AK234" s="94"/>
      <c r="AL234" s="94"/>
      <c r="AM234" s="94"/>
      <c r="AN234" s="94"/>
      <c r="AO234" s="94"/>
      <c r="AP234" s="94"/>
      <c r="AQ234" s="94"/>
      <c r="AR234" s="94"/>
      <c r="AS234" s="94"/>
      <c r="AT234" s="94"/>
      <c r="AU234" s="94"/>
      <c r="AV234" s="94"/>
      <c r="AW234" s="94"/>
      <c r="AX234" s="94"/>
      <c r="AY234" s="94"/>
      <c r="AZ234" s="94"/>
      <c r="BA234" s="95"/>
    </row>
    <row r="235" spans="1:53" s="87" customFormat="1">
      <c r="A235" s="90" t="str">
        <f t="shared" si="28"/>
        <v/>
      </c>
      <c r="B235" s="98">
        <v>13</v>
      </c>
      <c r="C235" s="94">
        <v>-7</v>
      </c>
      <c r="D235" s="94" t="s">
        <v>210</v>
      </c>
      <c r="E235" s="94" t="s">
        <v>210</v>
      </c>
      <c r="F235" s="94">
        <v>-6</v>
      </c>
      <c r="G235" s="94">
        <v>-1</v>
      </c>
      <c r="H235" s="94" t="s">
        <v>210</v>
      </c>
      <c r="I235" s="94" t="s">
        <v>210</v>
      </c>
      <c r="J235" s="94">
        <v>3</v>
      </c>
      <c r="K235" s="94">
        <v>-8</v>
      </c>
      <c r="L235" s="94" t="s">
        <v>210</v>
      </c>
      <c r="M235" s="94" t="s">
        <v>210</v>
      </c>
      <c r="N235" s="94">
        <v>5</v>
      </c>
      <c r="O235" s="94">
        <v>9</v>
      </c>
      <c r="P235" s="94" t="s">
        <v>210</v>
      </c>
      <c r="Q235" s="94" t="s">
        <v>210</v>
      </c>
      <c r="R235" s="94">
        <v>4</v>
      </c>
      <c r="S235" s="94">
        <v>-6</v>
      </c>
      <c r="T235" s="94" t="s">
        <v>210</v>
      </c>
      <c r="U235" s="94" t="s">
        <v>210</v>
      </c>
      <c r="V235" s="94">
        <v>8</v>
      </c>
      <c r="W235" s="94">
        <v>-3</v>
      </c>
      <c r="X235" s="94" t="s">
        <v>210</v>
      </c>
      <c r="Y235" s="94" t="s">
        <v>210</v>
      </c>
      <c r="Z235" s="94">
        <v>2</v>
      </c>
      <c r="AA235" s="94">
        <v>-4</v>
      </c>
      <c r="AB235" s="94" t="s">
        <v>210</v>
      </c>
      <c r="AC235" s="94" t="s">
        <v>210</v>
      </c>
      <c r="AD235" s="94">
        <v>7</v>
      </c>
      <c r="AE235" s="94">
        <v>-5</v>
      </c>
      <c r="AF235" s="94" t="s">
        <v>210</v>
      </c>
      <c r="AG235" s="94" t="s">
        <v>210</v>
      </c>
      <c r="AH235" s="94">
        <v>6</v>
      </c>
      <c r="AI235" s="94">
        <v>1</v>
      </c>
      <c r="AJ235" s="94" t="s">
        <v>210</v>
      </c>
      <c r="AK235" s="94"/>
      <c r="AL235" s="94"/>
      <c r="AM235" s="94"/>
      <c r="AN235" s="94"/>
      <c r="AO235" s="94"/>
      <c r="AP235" s="94"/>
      <c r="AQ235" s="94"/>
      <c r="AR235" s="94"/>
      <c r="AS235" s="94"/>
      <c r="AT235" s="94"/>
      <c r="AU235" s="94"/>
      <c r="AV235" s="94"/>
      <c r="AW235" s="94"/>
      <c r="AX235" s="94"/>
      <c r="AY235" s="94"/>
      <c r="AZ235" s="94"/>
      <c r="BA235" s="95"/>
    </row>
    <row r="236" spans="1:53" s="87" customFormat="1">
      <c r="A236" s="90" t="str">
        <f t="shared" si="28"/>
        <v/>
      </c>
      <c r="B236" s="98">
        <v>14</v>
      </c>
      <c r="C236" s="94">
        <v>-1</v>
      </c>
      <c r="D236" s="94" t="s">
        <v>210</v>
      </c>
      <c r="E236" s="94" t="s">
        <v>210</v>
      </c>
      <c r="F236" s="94">
        <v>4</v>
      </c>
      <c r="G236" s="94">
        <v>-6</v>
      </c>
      <c r="H236" s="94" t="s">
        <v>210</v>
      </c>
      <c r="I236" s="94" t="s">
        <v>210</v>
      </c>
      <c r="J236" s="94">
        <v>7</v>
      </c>
      <c r="K236" s="94">
        <v>2</v>
      </c>
      <c r="L236" s="94" t="s">
        <v>210</v>
      </c>
      <c r="M236" s="94" t="s">
        <v>210</v>
      </c>
      <c r="N236" s="94">
        <v>-3</v>
      </c>
      <c r="O236" s="94">
        <v>5</v>
      </c>
      <c r="P236" s="94" t="s">
        <v>210</v>
      </c>
      <c r="Q236" s="94" t="s">
        <v>210</v>
      </c>
      <c r="R236" s="94">
        <v>1</v>
      </c>
      <c r="S236" s="94">
        <v>-7</v>
      </c>
      <c r="T236" s="94" t="s">
        <v>210</v>
      </c>
      <c r="U236" s="94" t="s">
        <v>210</v>
      </c>
      <c r="V236" s="94">
        <v>6</v>
      </c>
      <c r="W236" s="94">
        <v>8</v>
      </c>
      <c r="X236" s="94" t="s">
        <v>210</v>
      </c>
      <c r="Y236" s="94" t="s">
        <v>210</v>
      </c>
      <c r="Z236" s="94">
        <v>-5</v>
      </c>
      <c r="AA236" s="94">
        <v>9</v>
      </c>
      <c r="AB236" s="94" t="s">
        <v>210</v>
      </c>
      <c r="AC236" s="94" t="s">
        <v>210</v>
      </c>
      <c r="AD236" s="94">
        <v>-4</v>
      </c>
      <c r="AE236" s="94">
        <v>3</v>
      </c>
      <c r="AF236" s="94" t="s">
        <v>210</v>
      </c>
      <c r="AG236" s="94" t="s">
        <v>210</v>
      </c>
      <c r="AH236" s="94">
        <v>-2</v>
      </c>
      <c r="AI236" s="94">
        <v>-1</v>
      </c>
      <c r="AJ236" s="94" t="s">
        <v>210</v>
      </c>
      <c r="AK236" s="94"/>
      <c r="AL236" s="94"/>
      <c r="AM236" s="94"/>
      <c r="AN236" s="94"/>
      <c r="AO236" s="94"/>
      <c r="AP236" s="94"/>
      <c r="AQ236" s="94"/>
      <c r="AR236" s="94"/>
      <c r="AS236" s="94"/>
      <c r="AT236" s="94"/>
      <c r="AU236" s="94"/>
      <c r="AV236" s="94"/>
      <c r="AW236" s="94"/>
      <c r="AX236" s="94"/>
      <c r="AY236" s="94"/>
      <c r="AZ236" s="94"/>
      <c r="BA236" s="95"/>
    </row>
    <row r="237" spans="1:53" s="87" customFormat="1">
      <c r="A237" s="90" t="str">
        <f t="shared" si="28"/>
        <v/>
      </c>
      <c r="B237" s="98">
        <v>15</v>
      </c>
      <c r="C237" s="94">
        <v>4</v>
      </c>
      <c r="D237" s="94" t="s">
        <v>210</v>
      </c>
      <c r="E237" s="94" t="s">
        <v>210</v>
      </c>
      <c r="F237" s="94">
        <v>-7</v>
      </c>
      <c r="G237" s="94">
        <v>-2</v>
      </c>
      <c r="H237" s="94" t="s">
        <v>210</v>
      </c>
      <c r="I237" s="94" t="s">
        <v>210</v>
      </c>
      <c r="J237" s="94">
        <v>-5</v>
      </c>
      <c r="K237" s="94">
        <v>-1</v>
      </c>
      <c r="L237" s="94" t="s">
        <v>210</v>
      </c>
      <c r="M237" s="94" t="s">
        <v>210</v>
      </c>
      <c r="N237" s="94">
        <v>6</v>
      </c>
      <c r="O237" s="94">
        <v>3</v>
      </c>
      <c r="P237" s="94" t="s">
        <v>210</v>
      </c>
      <c r="Q237" s="94" t="s">
        <v>210</v>
      </c>
      <c r="R237" s="94">
        <v>8</v>
      </c>
      <c r="S237" s="94">
        <v>9</v>
      </c>
      <c r="T237" s="94" t="s">
        <v>210</v>
      </c>
      <c r="U237" s="94" t="s">
        <v>210</v>
      </c>
      <c r="V237" s="94">
        <v>-4</v>
      </c>
      <c r="W237" s="94">
        <v>7</v>
      </c>
      <c r="X237" s="94" t="s">
        <v>210</v>
      </c>
      <c r="Y237" s="94" t="s">
        <v>210</v>
      </c>
      <c r="Z237" s="94">
        <v>-3</v>
      </c>
      <c r="AA237" s="94">
        <v>1</v>
      </c>
      <c r="AB237" s="94" t="s">
        <v>210</v>
      </c>
      <c r="AC237" s="94" t="s">
        <v>210</v>
      </c>
      <c r="AD237" s="94">
        <v>-6</v>
      </c>
      <c r="AE237" s="94">
        <v>5</v>
      </c>
      <c r="AF237" s="94" t="s">
        <v>210</v>
      </c>
      <c r="AG237" s="94" t="s">
        <v>210</v>
      </c>
      <c r="AH237" s="94">
        <v>2</v>
      </c>
      <c r="AI237" s="94">
        <v>-8</v>
      </c>
      <c r="AJ237" s="94" t="s">
        <v>210</v>
      </c>
      <c r="AK237" s="94"/>
      <c r="AL237" s="94"/>
      <c r="AM237" s="94"/>
      <c r="AN237" s="94"/>
      <c r="AO237" s="94"/>
      <c r="AP237" s="94"/>
      <c r="AQ237" s="94"/>
      <c r="AR237" s="94"/>
      <c r="AS237" s="94"/>
      <c r="AT237" s="94"/>
      <c r="AU237" s="94"/>
      <c r="AV237" s="94"/>
      <c r="AW237" s="94"/>
      <c r="AX237" s="94"/>
      <c r="AY237" s="94"/>
      <c r="AZ237" s="94"/>
      <c r="BA237" s="95"/>
    </row>
    <row r="238" spans="1:53" s="87" customFormat="1">
      <c r="A238" s="90" t="str">
        <f t="shared" si="28"/>
        <v/>
      </c>
      <c r="B238" s="98">
        <v>16</v>
      </c>
      <c r="C238" s="94">
        <v>5</v>
      </c>
      <c r="D238" s="94" t="s">
        <v>210</v>
      </c>
      <c r="E238" s="94" t="s">
        <v>210</v>
      </c>
      <c r="F238" s="94">
        <v>-8</v>
      </c>
      <c r="G238" s="94">
        <v>3</v>
      </c>
      <c r="H238" s="94" t="s">
        <v>210</v>
      </c>
      <c r="I238" s="94" t="s">
        <v>210</v>
      </c>
      <c r="J238" s="94">
        <v>6</v>
      </c>
      <c r="K238" s="94">
        <v>7</v>
      </c>
      <c r="L238" s="94" t="s">
        <v>210</v>
      </c>
      <c r="M238" s="94" t="s">
        <v>210</v>
      </c>
      <c r="N238" s="94">
        <v>-2</v>
      </c>
      <c r="O238" s="94">
        <v>1</v>
      </c>
      <c r="P238" s="94" t="s">
        <v>210</v>
      </c>
      <c r="Q238" s="94" t="s">
        <v>210</v>
      </c>
      <c r="R238" s="94">
        <v>-4</v>
      </c>
      <c r="S238" s="94">
        <v>2</v>
      </c>
      <c r="T238" s="94" t="s">
        <v>210</v>
      </c>
      <c r="U238" s="94" t="s">
        <v>210</v>
      </c>
      <c r="V238" s="94">
        <v>-3</v>
      </c>
      <c r="W238" s="94">
        <v>-1</v>
      </c>
      <c r="X238" s="94" t="s">
        <v>210</v>
      </c>
      <c r="Y238" s="94" t="s">
        <v>210</v>
      </c>
      <c r="Z238" s="94">
        <v>-6</v>
      </c>
      <c r="AA238" s="94">
        <v>-5</v>
      </c>
      <c r="AB238" s="94" t="s">
        <v>210</v>
      </c>
      <c r="AC238" s="94" t="s">
        <v>210</v>
      </c>
      <c r="AD238" s="94">
        <v>4</v>
      </c>
      <c r="AE238" s="94">
        <v>9</v>
      </c>
      <c r="AF238" s="94" t="s">
        <v>210</v>
      </c>
      <c r="AG238" s="94" t="s">
        <v>210</v>
      </c>
      <c r="AH238" s="94">
        <v>-7</v>
      </c>
      <c r="AI238" s="94">
        <v>8</v>
      </c>
      <c r="AJ238" s="94" t="s">
        <v>210</v>
      </c>
      <c r="AK238" s="94"/>
      <c r="AL238" s="94"/>
      <c r="AM238" s="94"/>
      <c r="AN238" s="94"/>
      <c r="AO238" s="94"/>
      <c r="AP238" s="94"/>
      <c r="AQ238" s="94"/>
      <c r="AR238" s="94"/>
      <c r="AS238" s="94"/>
      <c r="AT238" s="94"/>
      <c r="AU238" s="94"/>
      <c r="AV238" s="94"/>
      <c r="AW238" s="94"/>
      <c r="AX238" s="94"/>
      <c r="AY238" s="94"/>
      <c r="AZ238" s="94"/>
      <c r="BA238" s="95"/>
    </row>
    <row r="239" spans="1:53" s="87" customFormat="1">
      <c r="A239" s="90" t="str">
        <f t="shared" si="28"/>
        <v/>
      </c>
      <c r="B239" s="99">
        <v>17</v>
      </c>
      <c r="C239" s="92">
        <v>-8</v>
      </c>
      <c r="D239" s="92" t="s">
        <v>210</v>
      </c>
      <c r="E239" s="92" t="s">
        <v>210</v>
      </c>
      <c r="F239" s="92">
        <v>2</v>
      </c>
      <c r="G239" s="92">
        <v>5</v>
      </c>
      <c r="H239" s="92" t="s">
        <v>210</v>
      </c>
      <c r="I239" s="92" t="s">
        <v>210</v>
      </c>
      <c r="J239" s="92">
        <v>4</v>
      </c>
      <c r="K239" s="92">
        <v>3</v>
      </c>
      <c r="L239" s="92" t="s">
        <v>210</v>
      </c>
      <c r="M239" s="92" t="s">
        <v>210</v>
      </c>
      <c r="N239" s="92">
        <v>-7</v>
      </c>
      <c r="O239" s="92">
        <v>8</v>
      </c>
      <c r="P239" s="92" t="s">
        <v>210</v>
      </c>
      <c r="Q239" s="92" t="s">
        <v>210</v>
      </c>
      <c r="R239" s="92">
        <v>-6</v>
      </c>
      <c r="S239" s="92">
        <v>-4</v>
      </c>
      <c r="T239" s="92" t="s">
        <v>210</v>
      </c>
      <c r="U239" s="92" t="s">
        <v>210</v>
      </c>
      <c r="V239" s="92">
        <v>1</v>
      </c>
      <c r="W239" s="92">
        <v>-5</v>
      </c>
      <c r="X239" s="92" t="s">
        <v>210</v>
      </c>
      <c r="Y239" s="92" t="s">
        <v>210</v>
      </c>
      <c r="Z239" s="92">
        <v>-2</v>
      </c>
      <c r="AA239" s="92">
        <v>-8</v>
      </c>
      <c r="AB239" s="92" t="s">
        <v>210</v>
      </c>
      <c r="AC239" s="92" t="s">
        <v>210</v>
      </c>
      <c r="AD239" s="92">
        <v>6</v>
      </c>
      <c r="AE239" s="92">
        <v>-3</v>
      </c>
      <c r="AF239" s="92" t="s">
        <v>210</v>
      </c>
      <c r="AG239" s="92" t="s">
        <v>210</v>
      </c>
      <c r="AH239" s="92">
        <v>7</v>
      </c>
      <c r="AI239" s="92">
        <v>9</v>
      </c>
      <c r="AJ239" s="92" t="s">
        <v>210</v>
      </c>
      <c r="AK239" s="94"/>
      <c r="AL239" s="94"/>
      <c r="AM239" s="94"/>
      <c r="AN239" s="94"/>
      <c r="AO239" s="94"/>
      <c r="AP239" s="94"/>
      <c r="AQ239" s="94"/>
      <c r="AR239" s="94"/>
      <c r="AS239" s="94"/>
      <c r="AT239" s="94"/>
      <c r="AU239" s="94"/>
      <c r="AV239" s="94"/>
      <c r="AW239" s="94"/>
      <c r="AX239" s="94"/>
      <c r="AY239" s="94"/>
      <c r="AZ239" s="94"/>
      <c r="BA239" s="95"/>
    </row>
    <row r="240" spans="1:53" s="87" customFormat="1">
      <c r="A240" s="90" t="str">
        <f t="shared" si="28"/>
        <v/>
      </c>
      <c r="B240" s="98">
        <v>18</v>
      </c>
      <c r="C240" s="94" t="s">
        <v>210</v>
      </c>
      <c r="D240" s="94">
        <v>-6</v>
      </c>
      <c r="E240" s="94">
        <v>-4</v>
      </c>
      <c r="F240" s="94" t="s">
        <v>210</v>
      </c>
      <c r="G240" s="94" t="s">
        <v>210</v>
      </c>
      <c r="H240" s="94">
        <v>1</v>
      </c>
      <c r="I240" s="94">
        <v>5</v>
      </c>
      <c r="J240" s="94" t="s">
        <v>210</v>
      </c>
      <c r="K240" s="94" t="s">
        <v>210</v>
      </c>
      <c r="L240" s="94">
        <v>-7</v>
      </c>
      <c r="M240" s="94">
        <v>8</v>
      </c>
      <c r="N240" s="94" t="s">
        <v>210</v>
      </c>
      <c r="O240" s="94" t="s">
        <v>210</v>
      </c>
      <c r="P240" s="94">
        <v>-4</v>
      </c>
      <c r="Q240" s="94">
        <v>-9</v>
      </c>
      <c r="R240" s="94" t="s">
        <v>210</v>
      </c>
      <c r="S240" s="94" t="s">
        <v>210</v>
      </c>
      <c r="T240" s="94">
        <v>3</v>
      </c>
      <c r="U240" s="94">
        <v>-1</v>
      </c>
      <c r="V240" s="94" t="s">
        <v>210</v>
      </c>
      <c r="W240" s="94" t="s">
        <v>210</v>
      </c>
      <c r="X240" s="94">
        <v>2</v>
      </c>
      <c r="Y240" s="94">
        <v>-8</v>
      </c>
      <c r="Z240" s="94" t="s">
        <v>210</v>
      </c>
      <c r="AA240" s="94" t="s">
        <v>210</v>
      </c>
      <c r="AB240" s="94">
        <v>6</v>
      </c>
      <c r="AC240" s="94">
        <v>-3</v>
      </c>
      <c r="AD240" s="94" t="s">
        <v>210</v>
      </c>
      <c r="AE240" s="94" t="s">
        <v>210</v>
      </c>
      <c r="AF240" s="94">
        <v>7</v>
      </c>
      <c r="AG240" s="94">
        <v>-5</v>
      </c>
      <c r="AH240" s="94" t="s">
        <v>210</v>
      </c>
      <c r="AI240" s="94" t="s">
        <v>210</v>
      </c>
      <c r="AJ240" s="94">
        <v>4</v>
      </c>
      <c r="AK240" s="94"/>
      <c r="AL240" s="94"/>
      <c r="AM240" s="94"/>
      <c r="AN240" s="94"/>
      <c r="AO240" s="94"/>
      <c r="AP240" s="94"/>
      <c r="AQ240" s="94"/>
      <c r="AR240" s="94"/>
      <c r="AS240" s="94"/>
      <c r="AT240" s="94"/>
      <c r="AU240" s="94"/>
      <c r="AV240" s="94"/>
      <c r="AW240" s="94"/>
      <c r="AX240" s="94"/>
      <c r="AY240" s="94"/>
      <c r="AZ240" s="94"/>
      <c r="BA240" s="95"/>
    </row>
    <row r="241" spans="1:53" s="87" customFormat="1">
      <c r="A241" s="90" t="str">
        <f t="shared" si="28"/>
        <v/>
      </c>
      <c r="B241" s="98">
        <v>19</v>
      </c>
      <c r="C241" s="94" t="s">
        <v>210</v>
      </c>
      <c r="D241" s="94">
        <v>-3</v>
      </c>
      <c r="E241" s="94">
        <v>5</v>
      </c>
      <c r="F241" s="94" t="s">
        <v>210</v>
      </c>
      <c r="G241" s="94" t="s">
        <v>210</v>
      </c>
      <c r="H241" s="94">
        <v>8</v>
      </c>
      <c r="I241" s="94">
        <v>-7</v>
      </c>
      <c r="J241" s="94" t="s">
        <v>210</v>
      </c>
      <c r="K241" s="94">
        <v>-9</v>
      </c>
      <c r="L241" s="94" t="s">
        <v>210</v>
      </c>
      <c r="M241" s="94">
        <v>-6</v>
      </c>
      <c r="N241" s="94" t="s">
        <v>210</v>
      </c>
      <c r="O241" s="94" t="s">
        <v>210</v>
      </c>
      <c r="P241" s="94">
        <v>-1</v>
      </c>
      <c r="Q241" s="94">
        <v>-2</v>
      </c>
      <c r="R241" s="94" t="s">
        <v>210</v>
      </c>
      <c r="S241" s="94" t="s">
        <v>210</v>
      </c>
      <c r="T241" s="94">
        <v>4</v>
      </c>
      <c r="U241" s="94">
        <v>-8</v>
      </c>
      <c r="V241" s="94" t="s">
        <v>210</v>
      </c>
      <c r="W241" s="94" t="s">
        <v>210</v>
      </c>
      <c r="X241" s="94">
        <v>6</v>
      </c>
      <c r="Y241" s="94">
        <v>1</v>
      </c>
      <c r="Z241" s="94" t="s">
        <v>210</v>
      </c>
      <c r="AA241" s="94" t="s">
        <v>210</v>
      </c>
      <c r="AB241" s="94">
        <v>7</v>
      </c>
      <c r="AC241" s="94">
        <v>-5</v>
      </c>
      <c r="AD241" s="94" t="s">
        <v>210</v>
      </c>
      <c r="AE241" s="94" t="s">
        <v>210</v>
      </c>
      <c r="AF241" s="94">
        <v>2</v>
      </c>
      <c r="AG241" s="94">
        <v>3</v>
      </c>
      <c r="AH241" s="94" t="s">
        <v>210</v>
      </c>
      <c r="AI241" s="94" t="s">
        <v>210</v>
      </c>
      <c r="AJ241" s="94">
        <v>-4</v>
      </c>
      <c r="AK241" s="94"/>
      <c r="AL241" s="94"/>
      <c r="AM241" s="94"/>
      <c r="AN241" s="94"/>
      <c r="AO241" s="94"/>
      <c r="AP241" s="94"/>
      <c r="AQ241" s="94"/>
      <c r="AR241" s="94"/>
      <c r="AS241" s="94"/>
      <c r="AT241" s="94"/>
      <c r="AU241" s="94"/>
      <c r="AV241" s="94"/>
      <c r="AW241" s="94"/>
      <c r="AX241" s="94"/>
      <c r="AY241" s="94"/>
      <c r="AZ241" s="94"/>
      <c r="BA241" s="95"/>
    </row>
    <row r="242" spans="1:53" s="87" customFormat="1">
      <c r="A242" s="90" t="str">
        <f t="shared" si="28"/>
        <v/>
      </c>
      <c r="B242" s="98">
        <v>20</v>
      </c>
      <c r="C242" s="94">
        <v>-9</v>
      </c>
      <c r="D242" s="94" t="s">
        <v>210</v>
      </c>
      <c r="E242" s="94">
        <v>3</v>
      </c>
      <c r="F242" s="94" t="s">
        <v>210</v>
      </c>
      <c r="G242" s="94" t="s">
        <v>210</v>
      </c>
      <c r="H242" s="94">
        <v>-4</v>
      </c>
      <c r="I242" s="94">
        <v>1</v>
      </c>
      <c r="J242" s="94" t="s">
        <v>210</v>
      </c>
      <c r="K242" s="94" t="s">
        <v>210</v>
      </c>
      <c r="L242" s="94">
        <v>6</v>
      </c>
      <c r="M242" s="94">
        <v>2</v>
      </c>
      <c r="N242" s="94" t="s">
        <v>210</v>
      </c>
      <c r="O242" s="94" t="s">
        <v>210</v>
      </c>
      <c r="P242" s="94">
        <v>-8</v>
      </c>
      <c r="Q242" s="94">
        <v>3</v>
      </c>
      <c r="R242" s="94" t="s">
        <v>210</v>
      </c>
      <c r="S242" s="94" t="s">
        <v>210</v>
      </c>
      <c r="T242" s="94">
        <v>-5</v>
      </c>
      <c r="U242" s="94">
        <v>-6</v>
      </c>
      <c r="V242" s="94" t="s">
        <v>210</v>
      </c>
      <c r="W242" s="94" t="s">
        <v>210</v>
      </c>
      <c r="X242" s="94">
        <v>-7</v>
      </c>
      <c r="Y242" s="94">
        <v>8</v>
      </c>
      <c r="Z242" s="94" t="s">
        <v>210</v>
      </c>
      <c r="AA242" s="94" t="s">
        <v>210</v>
      </c>
      <c r="AB242" s="94">
        <v>4</v>
      </c>
      <c r="AC242" s="94">
        <v>-2</v>
      </c>
      <c r="AD242" s="94" t="s">
        <v>210</v>
      </c>
      <c r="AE242" s="94" t="s">
        <v>210</v>
      </c>
      <c r="AF242" s="94">
        <v>-1</v>
      </c>
      <c r="AG242" s="94">
        <v>-3</v>
      </c>
      <c r="AH242" s="94" t="s">
        <v>210</v>
      </c>
      <c r="AI242" s="94" t="s">
        <v>210</v>
      </c>
      <c r="AJ242" s="94">
        <v>5</v>
      </c>
      <c r="AK242" s="94"/>
      <c r="AL242" s="94"/>
      <c r="AM242" s="94"/>
      <c r="AN242" s="94"/>
      <c r="AO242" s="94"/>
      <c r="AP242" s="94"/>
      <c r="AQ242" s="94"/>
      <c r="AR242" s="94"/>
      <c r="AS242" s="94"/>
      <c r="AT242" s="94"/>
      <c r="AU242" s="94"/>
      <c r="AV242" s="94"/>
      <c r="AW242" s="94"/>
      <c r="AX242" s="94"/>
      <c r="AY242" s="94"/>
      <c r="AZ242" s="94"/>
      <c r="BA242" s="95"/>
    </row>
    <row r="243" spans="1:53" s="87" customFormat="1">
      <c r="A243" s="90" t="str">
        <f t="shared" si="28"/>
        <v/>
      </c>
      <c r="B243" s="98">
        <v>21</v>
      </c>
      <c r="C243" s="94" t="s">
        <v>210</v>
      </c>
      <c r="D243" s="94">
        <v>1</v>
      </c>
      <c r="E243" s="94">
        <v>6</v>
      </c>
      <c r="F243" s="94" t="s">
        <v>210</v>
      </c>
      <c r="G243" s="94" t="s">
        <v>210</v>
      </c>
      <c r="H243" s="94">
        <v>-3</v>
      </c>
      <c r="I243" s="94">
        <v>-9</v>
      </c>
      <c r="J243" s="94" t="s">
        <v>210</v>
      </c>
      <c r="K243" s="94" t="s">
        <v>210</v>
      </c>
      <c r="L243" s="94">
        <v>-4</v>
      </c>
      <c r="M243" s="94">
        <v>7</v>
      </c>
      <c r="N243" s="94" t="s">
        <v>210</v>
      </c>
      <c r="O243" s="94" t="s">
        <v>210</v>
      </c>
      <c r="P243" s="94">
        <v>-2</v>
      </c>
      <c r="Q243" s="94">
        <v>5</v>
      </c>
      <c r="R243" s="94" t="s">
        <v>210</v>
      </c>
      <c r="S243" s="94" t="s">
        <v>210</v>
      </c>
      <c r="T243" s="94">
        <v>8</v>
      </c>
      <c r="U243" s="94">
        <v>2</v>
      </c>
      <c r="V243" s="94" t="s">
        <v>210</v>
      </c>
      <c r="W243" s="94" t="s">
        <v>210</v>
      </c>
      <c r="X243" s="94">
        <v>-6</v>
      </c>
      <c r="Y243" s="94">
        <v>-7</v>
      </c>
      <c r="Z243" s="94" t="s">
        <v>210</v>
      </c>
      <c r="AA243" s="94" t="s">
        <v>210</v>
      </c>
      <c r="AB243" s="94">
        <v>-1</v>
      </c>
      <c r="AC243" s="94">
        <v>3</v>
      </c>
      <c r="AD243" s="94" t="s">
        <v>210</v>
      </c>
      <c r="AE243" s="94" t="s">
        <v>210</v>
      </c>
      <c r="AF243" s="94">
        <v>-8</v>
      </c>
      <c r="AG243" s="94">
        <v>4</v>
      </c>
      <c r="AH243" s="94" t="s">
        <v>210</v>
      </c>
      <c r="AI243" s="94" t="s">
        <v>210</v>
      </c>
      <c r="AJ243" s="94">
        <v>-5</v>
      </c>
      <c r="AK243" s="94"/>
      <c r="AL243" s="94"/>
      <c r="AM243" s="94"/>
      <c r="AN243" s="94"/>
      <c r="AO243" s="94"/>
      <c r="AP243" s="94"/>
      <c r="AQ243" s="94"/>
      <c r="AR243" s="94"/>
      <c r="AS243" s="94"/>
      <c r="AT243" s="94"/>
      <c r="AU243" s="94"/>
      <c r="AV243" s="94"/>
      <c r="AW243" s="94"/>
      <c r="AX243" s="94"/>
      <c r="AY243" s="94"/>
      <c r="AZ243" s="94"/>
      <c r="BA243" s="95"/>
    </row>
    <row r="244" spans="1:53" s="87" customFormat="1">
      <c r="A244" s="90" t="str">
        <f t="shared" si="28"/>
        <v/>
      </c>
      <c r="B244" s="98">
        <v>22</v>
      </c>
      <c r="C244" s="94" t="s">
        <v>210</v>
      </c>
      <c r="D244" s="94">
        <v>3</v>
      </c>
      <c r="E244" s="94">
        <v>-1</v>
      </c>
      <c r="F244" s="94" t="s">
        <v>210</v>
      </c>
      <c r="G244" s="94">
        <v>-9</v>
      </c>
      <c r="H244" s="94" t="s">
        <v>210</v>
      </c>
      <c r="I244" s="94">
        <v>2</v>
      </c>
      <c r="J244" s="94" t="s">
        <v>210</v>
      </c>
      <c r="K244" s="94" t="s">
        <v>210</v>
      </c>
      <c r="L244" s="94">
        <v>5</v>
      </c>
      <c r="M244" s="94">
        <v>4</v>
      </c>
      <c r="N244" s="94" t="s">
        <v>210</v>
      </c>
      <c r="O244" s="94" t="s">
        <v>210</v>
      </c>
      <c r="P244" s="94">
        <v>-6</v>
      </c>
      <c r="Q244" s="94">
        <v>-8</v>
      </c>
      <c r="R244" s="94" t="s">
        <v>210</v>
      </c>
      <c r="S244" s="94" t="s">
        <v>210</v>
      </c>
      <c r="T244" s="94">
        <v>7</v>
      </c>
      <c r="U244" s="94">
        <v>-5</v>
      </c>
      <c r="V244" s="94" t="s">
        <v>210</v>
      </c>
      <c r="W244" s="94" t="s">
        <v>210</v>
      </c>
      <c r="X244" s="94">
        <v>-2</v>
      </c>
      <c r="Y244" s="94">
        <v>6</v>
      </c>
      <c r="Z244" s="94" t="s">
        <v>210</v>
      </c>
      <c r="AA244" s="94" t="s">
        <v>210</v>
      </c>
      <c r="AB244" s="94">
        <v>8</v>
      </c>
      <c r="AC244" s="94">
        <v>-7</v>
      </c>
      <c r="AD244" s="94" t="s">
        <v>210</v>
      </c>
      <c r="AE244" s="94" t="s">
        <v>210</v>
      </c>
      <c r="AF244" s="94">
        <v>1</v>
      </c>
      <c r="AG244" s="94">
        <v>-4</v>
      </c>
      <c r="AH244" s="94" t="s">
        <v>210</v>
      </c>
      <c r="AI244" s="94" t="s">
        <v>210</v>
      </c>
      <c r="AJ244" s="94">
        <v>-3</v>
      </c>
      <c r="AK244" s="94"/>
      <c r="AL244" s="94"/>
      <c r="AM244" s="94"/>
      <c r="AN244" s="94"/>
      <c r="AO244" s="94"/>
      <c r="AP244" s="94"/>
      <c r="AQ244" s="94"/>
      <c r="AR244" s="94"/>
      <c r="AS244" s="94"/>
      <c r="AT244" s="94"/>
      <c r="AU244" s="94"/>
      <c r="AV244" s="94"/>
      <c r="AW244" s="94"/>
      <c r="AX244" s="94"/>
      <c r="AY244" s="94"/>
      <c r="AZ244" s="94"/>
      <c r="BA244" s="95"/>
    </row>
    <row r="245" spans="1:53" s="87" customFormat="1">
      <c r="A245" s="90" t="str">
        <f t="shared" si="28"/>
        <v/>
      </c>
      <c r="B245" s="98">
        <v>23</v>
      </c>
      <c r="C245" s="94" t="s">
        <v>210</v>
      </c>
      <c r="D245" s="94">
        <v>6</v>
      </c>
      <c r="E245" s="94">
        <v>-5</v>
      </c>
      <c r="F245" s="94" t="s">
        <v>210</v>
      </c>
      <c r="G245" s="94" t="s">
        <v>210</v>
      </c>
      <c r="H245" s="94">
        <v>-7</v>
      </c>
      <c r="I245" s="94">
        <v>-8</v>
      </c>
      <c r="J245" s="94" t="s">
        <v>210</v>
      </c>
      <c r="K245" s="94" t="s">
        <v>210</v>
      </c>
      <c r="L245" s="94">
        <v>-2</v>
      </c>
      <c r="M245" s="94">
        <v>1</v>
      </c>
      <c r="N245" s="94" t="s">
        <v>210</v>
      </c>
      <c r="O245" s="94" t="s">
        <v>210</v>
      </c>
      <c r="P245" s="94">
        <v>-3</v>
      </c>
      <c r="Q245" s="94">
        <v>6</v>
      </c>
      <c r="R245" s="94" t="s">
        <v>210</v>
      </c>
      <c r="S245" s="94" t="s">
        <v>210</v>
      </c>
      <c r="T245" s="94">
        <v>-1</v>
      </c>
      <c r="U245" s="94">
        <v>7</v>
      </c>
      <c r="V245" s="94" t="s">
        <v>210</v>
      </c>
      <c r="W245" s="94">
        <v>-9</v>
      </c>
      <c r="X245" s="94" t="s">
        <v>210</v>
      </c>
      <c r="Y245" s="94">
        <v>4</v>
      </c>
      <c r="Z245" s="94" t="s">
        <v>210</v>
      </c>
      <c r="AA245" s="94" t="s">
        <v>210</v>
      </c>
      <c r="AB245" s="94">
        <v>5</v>
      </c>
      <c r="AC245" s="94">
        <v>2</v>
      </c>
      <c r="AD245" s="94" t="s">
        <v>210</v>
      </c>
      <c r="AE245" s="94" t="s">
        <v>210</v>
      </c>
      <c r="AF245" s="94">
        <v>8</v>
      </c>
      <c r="AG245" s="94">
        <v>-6</v>
      </c>
      <c r="AH245" s="94" t="s">
        <v>210</v>
      </c>
      <c r="AI245" s="94" t="s">
        <v>210</v>
      </c>
      <c r="AJ245" s="94">
        <v>3</v>
      </c>
      <c r="AK245" s="94"/>
      <c r="AL245" s="94"/>
      <c r="AM245" s="94"/>
      <c r="AN245" s="94"/>
      <c r="AO245" s="94"/>
      <c r="AP245" s="94"/>
      <c r="AQ245" s="94"/>
      <c r="AR245" s="94"/>
      <c r="AS245" s="94"/>
      <c r="AT245" s="94"/>
      <c r="AU245" s="94"/>
      <c r="AV245" s="94"/>
      <c r="AW245" s="94"/>
      <c r="AX245" s="94"/>
      <c r="AY245" s="94"/>
      <c r="AZ245" s="94"/>
      <c r="BA245" s="95"/>
    </row>
    <row r="246" spans="1:53" s="87" customFormat="1">
      <c r="A246" s="90" t="str">
        <f t="shared" si="28"/>
        <v/>
      </c>
      <c r="B246" s="98">
        <v>24</v>
      </c>
      <c r="C246" s="94" t="s">
        <v>210</v>
      </c>
      <c r="D246" s="94">
        <v>2</v>
      </c>
      <c r="E246" s="94">
        <v>-9</v>
      </c>
      <c r="F246" s="94" t="s">
        <v>210</v>
      </c>
      <c r="G246" s="94" t="s">
        <v>210</v>
      </c>
      <c r="H246" s="94">
        <v>-5</v>
      </c>
      <c r="I246" s="94">
        <v>-6</v>
      </c>
      <c r="J246" s="94" t="s">
        <v>210</v>
      </c>
      <c r="K246" s="94" t="s">
        <v>210</v>
      </c>
      <c r="L246" s="94">
        <v>8</v>
      </c>
      <c r="M246" s="94">
        <v>-4</v>
      </c>
      <c r="N246" s="94" t="s">
        <v>210</v>
      </c>
      <c r="O246" s="94" t="s">
        <v>210</v>
      </c>
      <c r="P246" s="94">
        <v>-7</v>
      </c>
      <c r="Q246" s="94">
        <v>-3</v>
      </c>
      <c r="R246" s="94" t="s">
        <v>210</v>
      </c>
      <c r="S246" s="94" t="s">
        <v>210</v>
      </c>
      <c r="T246" s="94">
        <v>1</v>
      </c>
      <c r="U246" s="94">
        <v>4</v>
      </c>
      <c r="V246" s="94" t="s">
        <v>210</v>
      </c>
      <c r="W246" s="94" t="s">
        <v>210</v>
      </c>
      <c r="X246" s="94">
        <v>-8</v>
      </c>
      <c r="Y246" s="94">
        <v>7</v>
      </c>
      <c r="Z246" s="94" t="s">
        <v>210</v>
      </c>
      <c r="AA246" s="94" t="s">
        <v>210</v>
      </c>
      <c r="AB246" s="94">
        <v>3</v>
      </c>
      <c r="AC246" s="94">
        <v>-1</v>
      </c>
      <c r="AD246" s="94" t="s">
        <v>210</v>
      </c>
      <c r="AE246" s="94" t="s">
        <v>210</v>
      </c>
      <c r="AF246" s="94">
        <v>-2</v>
      </c>
      <c r="AG246" s="94">
        <v>5</v>
      </c>
      <c r="AH246" s="94" t="s">
        <v>210</v>
      </c>
      <c r="AI246" s="94" t="s">
        <v>210</v>
      </c>
      <c r="AJ246" s="94">
        <v>6</v>
      </c>
      <c r="AK246" s="94"/>
      <c r="AL246" s="94"/>
      <c r="AM246" s="94"/>
      <c r="AN246" s="94"/>
      <c r="AO246" s="94"/>
      <c r="AP246" s="94"/>
      <c r="AQ246" s="94"/>
      <c r="AR246" s="94"/>
      <c r="AS246" s="94"/>
      <c r="AT246" s="94"/>
      <c r="AU246" s="94"/>
      <c r="AV246" s="94"/>
      <c r="AW246" s="94"/>
      <c r="AX246" s="94"/>
      <c r="AY246" s="94"/>
      <c r="AZ246" s="94"/>
      <c r="BA246" s="95"/>
    </row>
    <row r="247" spans="1:53" s="87" customFormat="1">
      <c r="A247" s="90" t="str">
        <f t="shared" si="28"/>
        <v/>
      </c>
      <c r="B247" s="98">
        <v>25</v>
      </c>
      <c r="C247" s="94" t="s">
        <v>210</v>
      </c>
      <c r="D247" s="94">
        <v>7</v>
      </c>
      <c r="E247" s="94">
        <v>8</v>
      </c>
      <c r="F247" s="94" t="s">
        <v>210</v>
      </c>
      <c r="G247" s="94" t="s">
        <v>210</v>
      </c>
      <c r="H247" s="94">
        <v>4</v>
      </c>
      <c r="I247" s="94">
        <v>-2</v>
      </c>
      <c r="J247" s="94" t="s">
        <v>210</v>
      </c>
      <c r="K247" s="94" t="s">
        <v>210</v>
      </c>
      <c r="L247" s="94">
        <v>-3</v>
      </c>
      <c r="M247" s="94">
        <v>-1</v>
      </c>
      <c r="N247" s="94" t="s">
        <v>210</v>
      </c>
      <c r="O247" s="94" t="s">
        <v>210</v>
      </c>
      <c r="P247" s="94">
        <v>-5</v>
      </c>
      <c r="Q247" s="94">
        <v>7</v>
      </c>
      <c r="R247" s="94" t="s">
        <v>210</v>
      </c>
      <c r="S247" s="94" t="s">
        <v>210</v>
      </c>
      <c r="T247" s="94">
        <v>-8</v>
      </c>
      <c r="U247" s="94">
        <v>-9</v>
      </c>
      <c r="V247" s="94" t="s">
        <v>210</v>
      </c>
      <c r="W247" s="94" t="s">
        <v>210</v>
      </c>
      <c r="X247" s="94">
        <v>-4</v>
      </c>
      <c r="Y247" s="94">
        <v>3</v>
      </c>
      <c r="Z247" s="94" t="s">
        <v>210</v>
      </c>
      <c r="AA247" s="94" t="s">
        <v>210</v>
      </c>
      <c r="AB247" s="94">
        <v>2</v>
      </c>
      <c r="AC247" s="94">
        <v>5</v>
      </c>
      <c r="AD247" s="94" t="s">
        <v>210</v>
      </c>
      <c r="AE247" s="94" t="s">
        <v>210</v>
      </c>
      <c r="AF247" s="94">
        <v>-7</v>
      </c>
      <c r="AG247" s="94">
        <v>1</v>
      </c>
      <c r="AH247" s="94" t="s">
        <v>210</v>
      </c>
      <c r="AI247" s="94" t="s">
        <v>210</v>
      </c>
      <c r="AJ247" s="94">
        <v>-6</v>
      </c>
      <c r="AK247" s="94"/>
      <c r="AL247" s="94"/>
      <c r="AM247" s="94"/>
      <c r="AN247" s="94"/>
      <c r="AO247" s="94"/>
      <c r="AP247" s="94"/>
      <c r="AQ247" s="94"/>
      <c r="AR247" s="94"/>
      <c r="AS247" s="94"/>
      <c r="AT247" s="94"/>
      <c r="AU247" s="94"/>
      <c r="AV247" s="94"/>
      <c r="AW247" s="94"/>
      <c r="AX247" s="94"/>
      <c r="AY247" s="94"/>
      <c r="AZ247" s="94"/>
      <c r="BA247" s="95"/>
    </row>
    <row r="248" spans="1:53" s="87" customFormat="1">
      <c r="A248" s="90" t="str">
        <f t="shared" si="28"/>
        <v/>
      </c>
      <c r="B248" s="98">
        <v>26</v>
      </c>
      <c r="C248" s="94" t="s">
        <v>210</v>
      </c>
      <c r="D248" s="94">
        <v>-2</v>
      </c>
      <c r="E248" s="94">
        <v>-3</v>
      </c>
      <c r="F248" s="94" t="s">
        <v>210</v>
      </c>
      <c r="G248" s="94" t="s">
        <v>210</v>
      </c>
      <c r="H248" s="94">
        <v>-8</v>
      </c>
      <c r="I248" s="94">
        <v>-4</v>
      </c>
      <c r="J248" s="94" t="s">
        <v>210</v>
      </c>
      <c r="K248" s="94" t="s">
        <v>210</v>
      </c>
      <c r="L248" s="94">
        <v>1</v>
      </c>
      <c r="M248" s="94">
        <v>-9</v>
      </c>
      <c r="N248" s="94" t="s">
        <v>210</v>
      </c>
      <c r="O248" s="94" t="s">
        <v>210</v>
      </c>
      <c r="P248" s="94">
        <v>6</v>
      </c>
      <c r="Q248" s="94">
        <v>-5</v>
      </c>
      <c r="R248" s="94" t="s">
        <v>210</v>
      </c>
      <c r="S248" s="94" t="s">
        <v>210</v>
      </c>
      <c r="T248" s="94">
        <v>-2</v>
      </c>
      <c r="U248" s="94">
        <v>-7</v>
      </c>
      <c r="V248" s="94" t="s">
        <v>210</v>
      </c>
      <c r="W248" s="94" t="s">
        <v>210</v>
      </c>
      <c r="X248" s="94">
        <v>3</v>
      </c>
      <c r="Y248" s="94">
        <v>5</v>
      </c>
      <c r="Z248" s="94" t="s">
        <v>210</v>
      </c>
      <c r="AA248" s="94" t="s">
        <v>210</v>
      </c>
      <c r="AB248" s="94">
        <v>-6</v>
      </c>
      <c r="AC248" s="94">
        <v>8</v>
      </c>
      <c r="AD248" s="94" t="s">
        <v>210</v>
      </c>
      <c r="AE248" s="94" t="s">
        <v>210</v>
      </c>
      <c r="AF248" s="94">
        <v>4</v>
      </c>
      <c r="AG248" s="94">
        <v>-1</v>
      </c>
      <c r="AH248" s="94" t="s">
        <v>210</v>
      </c>
      <c r="AI248" s="94" t="s">
        <v>210</v>
      </c>
      <c r="AJ248" s="94">
        <v>2</v>
      </c>
      <c r="AK248" s="94"/>
      <c r="AL248" s="94"/>
      <c r="AM248" s="94"/>
      <c r="AN248" s="94"/>
      <c r="AO248" s="94"/>
      <c r="AP248" s="94"/>
      <c r="AQ248" s="94"/>
      <c r="AR248" s="94"/>
      <c r="AS248" s="94"/>
      <c r="AT248" s="94"/>
      <c r="AU248" s="94"/>
      <c r="AV248" s="94"/>
      <c r="AW248" s="94"/>
      <c r="AX248" s="94"/>
      <c r="AY248" s="94"/>
      <c r="AZ248" s="94"/>
      <c r="BA248" s="95"/>
    </row>
    <row r="249" spans="1:53" s="87" customFormat="1">
      <c r="A249" s="90" t="str">
        <f t="shared" si="28"/>
        <v/>
      </c>
      <c r="B249" s="98">
        <v>27</v>
      </c>
      <c r="C249" s="94" t="s">
        <v>210</v>
      </c>
      <c r="D249" s="94">
        <v>-4</v>
      </c>
      <c r="E249" s="94">
        <v>-2</v>
      </c>
      <c r="F249" s="94" t="s">
        <v>210</v>
      </c>
      <c r="G249" s="94" t="s">
        <v>210</v>
      </c>
      <c r="H249" s="94">
        <v>7</v>
      </c>
      <c r="I249" s="94">
        <v>-3</v>
      </c>
      <c r="J249" s="94" t="s">
        <v>210</v>
      </c>
      <c r="K249" s="94" t="s">
        <v>210</v>
      </c>
      <c r="L249" s="94">
        <v>-5</v>
      </c>
      <c r="M249" s="94">
        <v>-8</v>
      </c>
      <c r="N249" s="94" t="s">
        <v>210</v>
      </c>
      <c r="O249" s="94" t="s">
        <v>210</v>
      </c>
      <c r="P249" s="94">
        <v>2</v>
      </c>
      <c r="Q249" s="94">
        <v>-1</v>
      </c>
      <c r="R249" s="94" t="s">
        <v>210</v>
      </c>
      <c r="S249" s="94" t="s">
        <v>210</v>
      </c>
      <c r="T249" s="94">
        <v>5</v>
      </c>
      <c r="U249" s="94">
        <v>3</v>
      </c>
      <c r="V249" s="94" t="s">
        <v>210</v>
      </c>
      <c r="W249" s="94" t="s">
        <v>210</v>
      </c>
      <c r="X249" s="94">
        <v>4</v>
      </c>
      <c r="Y249" s="94">
        <v>-9</v>
      </c>
      <c r="Z249" s="94" t="s">
        <v>210</v>
      </c>
      <c r="AA249" s="94" t="s">
        <v>210</v>
      </c>
      <c r="AB249" s="94">
        <v>-7</v>
      </c>
      <c r="AC249" s="94">
        <v>1</v>
      </c>
      <c r="AD249" s="94" t="s">
        <v>210</v>
      </c>
      <c r="AE249" s="94" t="s">
        <v>210</v>
      </c>
      <c r="AF249" s="94">
        <v>6</v>
      </c>
      <c r="AG249" s="94">
        <v>8</v>
      </c>
      <c r="AH249" s="94" t="s">
        <v>210</v>
      </c>
      <c r="AI249" s="94" t="s">
        <v>210</v>
      </c>
      <c r="AJ249" s="94">
        <v>-2</v>
      </c>
      <c r="AK249" s="94"/>
      <c r="AL249" s="94"/>
      <c r="AM249" s="94"/>
      <c r="AN249" s="94"/>
      <c r="AO249" s="94"/>
      <c r="AP249" s="94"/>
      <c r="AQ249" s="94"/>
      <c r="AR249" s="94"/>
      <c r="AS249" s="94"/>
      <c r="AT249" s="94"/>
      <c r="AU249" s="94"/>
      <c r="AV249" s="94"/>
      <c r="AW249" s="94"/>
      <c r="AX249" s="94"/>
      <c r="AY249" s="94"/>
      <c r="AZ249" s="94"/>
      <c r="BA249" s="95"/>
    </row>
    <row r="250" spans="1:53" s="87" customFormat="1">
      <c r="A250" s="90" t="str">
        <f t="shared" si="28"/>
        <v/>
      </c>
      <c r="B250" s="98">
        <v>28</v>
      </c>
      <c r="C250" s="94" t="s">
        <v>210</v>
      </c>
      <c r="D250" s="94">
        <v>-5</v>
      </c>
      <c r="E250" s="94">
        <v>1</v>
      </c>
      <c r="F250" s="94" t="s">
        <v>210</v>
      </c>
      <c r="G250" s="94" t="s">
        <v>210</v>
      </c>
      <c r="H250" s="94">
        <v>2</v>
      </c>
      <c r="I250" s="94">
        <v>8</v>
      </c>
      <c r="J250" s="94" t="s">
        <v>210</v>
      </c>
      <c r="K250" s="94" t="s">
        <v>210</v>
      </c>
      <c r="L250" s="94">
        <v>-6</v>
      </c>
      <c r="M250" s="94">
        <v>3</v>
      </c>
      <c r="N250" s="94" t="s">
        <v>210</v>
      </c>
      <c r="O250" s="94" t="s">
        <v>210</v>
      </c>
      <c r="P250" s="94">
        <v>4</v>
      </c>
      <c r="Q250" s="94">
        <v>-7</v>
      </c>
      <c r="R250" s="94" t="s">
        <v>210</v>
      </c>
      <c r="S250" s="94" t="s">
        <v>210</v>
      </c>
      <c r="T250" s="94">
        <v>6</v>
      </c>
      <c r="U250" s="94">
        <v>-2</v>
      </c>
      <c r="V250" s="94" t="s">
        <v>210</v>
      </c>
      <c r="W250" s="94" t="s">
        <v>210</v>
      </c>
      <c r="X250" s="94">
        <v>5</v>
      </c>
      <c r="Y250" s="94">
        <v>-1</v>
      </c>
      <c r="Z250" s="94" t="s">
        <v>210</v>
      </c>
      <c r="AA250" s="94" t="s">
        <v>210</v>
      </c>
      <c r="AB250" s="94">
        <v>-3</v>
      </c>
      <c r="AC250" s="94">
        <v>-9</v>
      </c>
      <c r="AD250" s="94" t="s">
        <v>210</v>
      </c>
      <c r="AE250" s="94" t="s">
        <v>210</v>
      </c>
      <c r="AF250" s="94">
        <v>-4</v>
      </c>
      <c r="AG250" s="94">
        <v>-8</v>
      </c>
      <c r="AH250" s="94" t="s">
        <v>210</v>
      </c>
      <c r="AI250" s="94" t="s">
        <v>210</v>
      </c>
      <c r="AJ250" s="94">
        <v>7</v>
      </c>
      <c r="AK250" s="94"/>
      <c r="AL250" s="94"/>
      <c r="AM250" s="94"/>
      <c r="AN250" s="94"/>
      <c r="AO250" s="94"/>
      <c r="AP250" s="94"/>
      <c r="AQ250" s="94"/>
      <c r="AR250" s="94"/>
      <c r="AS250" s="94"/>
      <c r="AT250" s="94"/>
      <c r="AU250" s="94"/>
      <c r="AV250" s="94"/>
      <c r="AW250" s="94"/>
      <c r="AX250" s="94"/>
      <c r="AY250" s="94"/>
      <c r="AZ250" s="94"/>
      <c r="BA250" s="95"/>
    </row>
    <row r="251" spans="1:53" s="87" customFormat="1">
      <c r="A251" s="90" t="str">
        <f t="shared" si="28"/>
        <v/>
      </c>
      <c r="B251" s="98">
        <v>29</v>
      </c>
      <c r="C251" s="94" t="s">
        <v>210</v>
      </c>
      <c r="D251" s="94">
        <v>8</v>
      </c>
      <c r="E251" s="94">
        <v>7</v>
      </c>
      <c r="F251" s="94" t="s">
        <v>210</v>
      </c>
      <c r="G251" s="94" t="s">
        <v>210</v>
      </c>
      <c r="H251" s="94">
        <v>6</v>
      </c>
      <c r="I251" s="94">
        <v>-1</v>
      </c>
      <c r="J251" s="94" t="s">
        <v>210</v>
      </c>
      <c r="K251" s="94" t="s">
        <v>210</v>
      </c>
      <c r="L251" s="94">
        <v>4</v>
      </c>
      <c r="M251" s="94">
        <v>-5</v>
      </c>
      <c r="N251" s="94" t="s">
        <v>210</v>
      </c>
      <c r="O251" s="94" t="s">
        <v>210</v>
      </c>
      <c r="P251" s="94">
        <v>7</v>
      </c>
      <c r="Q251" s="94">
        <v>2</v>
      </c>
      <c r="R251" s="94" t="s">
        <v>210</v>
      </c>
      <c r="S251" s="94" t="s">
        <v>210</v>
      </c>
      <c r="T251" s="94">
        <v>-3</v>
      </c>
      <c r="U251" s="94">
        <v>5</v>
      </c>
      <c r="V251" s="94" t="s">
        <v>210</v>
      </c>
      <c r="W251" s="94" t="s">
        <v>210</v>
      </c>
      <c r="X251" s="94">
        <v>1</v>
      </c>
      <c r="Y251" s="94">
        <v>-4</v>
      </c>
      <c r="Z251" s="94" t="s">
        <v>210</v>
      </c>
      <c r="AA251" s="94" t="s">
        <v>210</v>
      </c>
      <c r="AB251" s="94">
        <v>-2</v>
      </c>
      <c r="AC251" s="94">
        <v>-8</v>
      </c>
      <c r="AD251" s="94" t="s">
        <v>210</v>
      </c>
      <c r="AE251" s="94" t="s">
        <v>210</v>
      </c>
      <c r="AF251" s="94">
        <v>-6</v>
      </c>
      <c r="AG251" s="94">
        <v>-9</v>
      </c>
      <c r="AH251" s="94" t="s">
        <v>210</v>
      </c>
      <c r="AI251" s="94" t="s">
        <v>210</v>
      </c>
      <c r="AJ251" s="94">
        <v>-7</v>
      </c>
      <c r="AK251" s="94"/>
      <c r="AL251" s="94"/>
      <c r="AM251" s="94"/>
      <c r="AN251" s="94"/>
      <c r="AO251" s="94"/>
      <c r="AP251" s="94"/>
      <c r="AQ251" s="94"/>
      <c r="AR251" s="94"/>
      <c r="AS251" s="94"/>
      <c r="AT251" s="94"/>
      <c r="AU251" s="94"/>
      <c r="AV251" s="94"/>
      <c r="AW251" s="94"/>
      <c r="AX251" s="94"/>
      <c r="AY251" s="94"/>
      <c r="AZ251" s="94"/>
      <c r="BA251" s="95"/>
    </row>
    <row r="252" spans="1:53" s="87" customFormat="1">
      <c r="A252" s="90" t="str">
        <f t="shared" si="28"/>
        <v/>
      </c>
      <c r="B252" s="98">
        <v>30</v>
      </c>
      <c r="C252" s="94" t="s">
        <v>210</v>
      </c>
      <c r="D252" s="94">
        <v>-7</v>
      </c>
      <c r="E252" s="94">
        <v>-6</v>
      </c>
      <c r="F252" s="94" t="s">
        <v>210</v>
      </c>
      <c r="G252" s="94" t="s">
        <v>210</v>
      </c>
      <c r="H252" s="94">
        <v>-1</v>
      </c>
      <c r="I252" s="94">
        <v>3</v>
      </c>
      <c r="J252" s="94" t="s">
        <v>210</v>
      </c>
      <c r="K252" s="94" t="s">
        <v>210</v>
      </c>
      <c r="L252" s="94">
        <v>-8</v>
      </c>
      <c r="M252" s="94">
        <v>5</v>
      </c>
      <c r="N252" s="94" t="s">
        <v>210</v>
      </c>
      <c r="O252" s="94">
        <v>-9</v>
      </c>
      <c r="P252" s="94" t="s">
        <v>210</v>
      </c>
      <c r="Q252" s="94">
        <v>4</v>
      </c>
      <c r="R252" s="94" t="s">
        <v>210</v>
      </c>
      <c r="S252" s="94" t="s">
        <v>210</v>
      </c>
      <c r="T252" s="94">
        <v>-6</v>
      </c>
      <c r="U252" s="94">
        <v>8</v>
      </c>
      <c r="V252" s="94" t="s">
        <v>210</v>
      </c>
      <c r="W252" s="94" t="s">
        <v>210</v>
      </c>
      <c r="X252" s="94">
        <v>-3</v>
      </c>
      <c r="Y252" s="94">
        <v>2</v>
      </c>
      <c r="Z252" s="94" t="s">
        <v>210</v>
      </c>
      <c r="AA252" s="94" t="s">
        <v>210</v>
      </c>
      <c r="AB252" s="94">
        <v>-4</v>
      </c>
      <c r="AC252" s="94">
        <v>7</v>
      </c>
      <c r="AD252" s="94" t="s">
        <v>210</v>
      </c>
      <c r="AE252" s="94" t="s">
        <v>210</v>
      </c>
      <c r="AF252" s="94">
        <v>-5</v>
      </c>
      <c r="AG252" s="94">
        <v>6</v>
      </c>
      <c r="AH252" s="94" t="s">
        <v>210</v>
      </c>
      <c r="AI252" s="94" t="s">
        <v>210</v>
      </c>
      <c r="AJ252" s="94">
        <v>1</v>
      </c>
      <c r="AK252" s="94"/>
      <c r="AL252" s="94"/>
      <c r="AM252" s="94"/>
      <c r="AN252" s="94"/>
      <c r="AO252" s="94"/>
      <c r="AP252" s="94"/>
      <c r="AQ252" s="94"/>
      <c r="AR252" s="94"/>
      <c r="AS252" s="94"/>
      <c r="AT252" s="94"/>
      <c r="AU252" s="94"/>
      <c r="AV252" s="94"/>
      <c r="AW252" s="94"/>
      <c r="AX252" s="94"/>
      <c r="AY252" s="94"/>
      <c r="AZ252" s="94"/>
      <c r="BA252" s="95"/>
    </row>
    <row r="253" spans="1:53" s="87" customFormat="1">
      <c r="A253" s="90" t="str">
        <f t="shared" si="28"/>
        <v/>
      </c>
      <c r="B253" s="98">
        <v>31</v>
      </c>
      <c r="C253" s="94" t="s">
        <v>210</v>
      </c>
      <c r="D253" s="94">
        <v>-1</v>
      </c>
      <c r="E253" s="94">
        <v>4</v>
      </c>
      <c r="F253" s="94" t="s">
        <v>210</v>
      </c>
      <c r="G253" s="94" t="s">
        <v>210</v>
      </c>
      <c r="H253" s="94">
        <v>-6</v>
      </c>
      <c r="I253" s="94">
        <v>7</v>
      </c>
      <c r="J253" s="94" t="s">
        <v>210</v>
      </c>
      <c r="K253" s="94" t="s">
        <v>210</v>
      </c>
      <c r="L253" s="94">
        <v>2</v>
      </c>
      <c r="M253" s="94">
        <v>-3</v>
      </c>
      <c r="N253" s="94" t="s">
        <v>210</v>
      </c>
      <c r="O253" s="94" t="s">
        <v>210</v>
      </c>
      <c r="P253" s="94">
        <v>5</v>
      </c>
      <c r="Q253" s="94">
        <v>1</v>
      </c>
      <c r="R253" s="94" t="s">
        <v>210</v>
      </c>
      <c r="S253" s="94" t="s">
        <v>210</v>
      </c>
      <c r="T253" s="94">
        <v>-7</v>
      </c>
      <c r="U253" s="94">
        <v>6</v>
      </c>
      <c r="V253" s="94" t="s">
        <v>210</v>
      </c>
      <c r="W253" s="94" t="s">
        <v>210</v>
      </c>
      <c r="X253" s="94">
        <v>8</v>
      </c>
      <c r="Y253" s="94">
        <v>-5</v>
      </c>
      <c r="Z253" s="94" t="s">
        <v>210</v>
      </c>
      <c r="AA253" s="94">
        <v>-9</v>
      </c>
      <c r="AB253" s="94" t="s">
        <v>210</v>
      </c>
      <c r="AC253" s="94">
        <v>-4</v>
      </c>
      <c r="AD253" s="94" t="s">
        <v>210</v>
      </c>
      <c r="AE253" s="94" t="s">
        <v>210</v>
      </c>
      <c r="AF253" s="94">
        <v>3</v>
      </c>
      <c r="AG253" s="94">
        <v>-2</v>
      </c>
      <c r="AH253" s="94" t="s">
        <v>210</v>
      </c>
      <c r="AI253" s="94" t="s">
        <v>210</v>
      </c>
      <c r="AJ253" s="94">
        <v>-1</v>
      </c>
      <c r="AK253" s="94"/>
      <c r="AL253" s="94"/>
      <c r="AM253" s="94"/>
      <c r="AN253" s="94"/>
      <c r="AO253" s="94"/>
      <c r="AP253" s="94"/>
      <c r="AQ253" s="94"/>
      <c r="AR253" s="94"/>
      <c r="AS253" s="94"/>
      <c r="AT253" s="94"/>
      <c r="AU253" s="94"/>
      <c r="AV253" s="94"/>
      <c r="AW253" s="94"/>
      <c r="AX253" s="94"/>
      <c r="AY253" s="94"/>
      <c r="AZ253" s="94"/>
      <c r="BA253" s="95"/>
    </row>
    <row r="254" spans="1:53" s="87" customFormat="1">
      <c r="A254" s="90" t="str">
        <f t="shared" si="28"/>
        <v/>
      </c>
      <c r="B254" s="98">
        <v>32</v>
      </c>
      <c r="C254" s="94" t="s">
        <v>210</v>
      </c>
      <c r="D254" s="94">
        <v>4</v>
      </c>
      <c r="E254" s="94">
        <v>-7</v>
      </c>
      <c r="F254" s="94" t="s">
        <v>210</v>
      </c>
      <c r="G254" s="94" t="s">
        <v>210</v>
      </c>
      <c r="H254" s="94">
        <v>-2</v>
      </c>
      <c r="I254" s="94">
        <v>-5</v>
      </c>
      <c r="J254" s="94" t="s">
        <v>210</v>
      </c>
      <c r="K254" s="94" t="s">
        <v>210</v>
      </c>
      <c r="L254" s="94">
        <v>-1</v>
      </c>
      <c r="M254" s="94">
        <v>6</v>
      </c>
      <c r="N254" s="94" t="s">
        <v>210</v>
      </c>
      <c r="O254" s="94" t="s">
        <v>210</v>
      </c>
      <c r="P254" s="94">
        <v>3</v>
      </c>
      <c r="Q254" s="94">
        <v>8</v>
      </c>
      <c r="R254" s="94" t="s">
        <v>210</v>
      </c>
      <c r="S254" s="94">
        <v>-9</v>
      </c>
      <c r="T254" s="94" t="s">
        <v>210</v>
      </c>
      <c r="U254" s="94">
        <v>-4</v>
      </c>
      <c r="V254" s="94" t="s">
        <v>210</v>
      </c>
      <c r="W254" s="94" t="s">
        <v>210</v>
      </c>
      <c r="X254" s="94">
        <v>7</v>
      </c>
      <c r="Y254" s="94">
        <v>-3</v>
      </c>
      <c r="Z254" s="94" t="s">
        <v>210</v>
      </c>
      <c r="AA254" s="94" t="s">
        <v>210</v>
      </c>
      <c r="AB254" s="94">
        <v>1</v>
      </c>
      <c r="AC254" s="94">
        <v>-6</v>
      </c>
      <c r="AD254" s="94" t="s">
        <v>210</v>
      </c>
      <c r="AE254" s="94" t="s">
        <v>210</v>
      </c>
      <c r="AF254" s="94">
        <v>5</v>
      </c>
      <c r="AG254" s="94">
        <v>2</v>
      </c>
      <c r="AH254" s="94" t="s">
        <v>210</v>
      </c>
      <c r="AI254" s="94" t="s">
        <v>210</v>
      </c>
      <c r="AJ254" s="94">
        <v>-8</v>
      </c>
      <c r="AK254" s="94"/>
      <c r="AL254" s="94"/>
      <c r="AM254" s="94"/>
      <c r="AN254" s="94"/>
      <c r="AO254" s="94"/>
      <c r="AP254" s="94"/>
      <c r="AQ254" s="94"/>
      <c r="AR254" s="94"/>
      <c r="AS254" s="94"/>
      <c r="AT254" s="94"/>
      <c r="AU254" s="94"/>
      <c r="AV254" s="94"/>
      <c r="AW254" s="94"/>
      <c r="AX254" s="94"/>
      <c r="AY254" s="94"/>
      <c r="AZ254" s="94"/>
      <c r="BA254" s="95"/>
    </row>
    <row r="255" spans="1:53" s="87" customFormat="1">
      <c r="A255" s="90" t="str">
        <f t="shared" si="28"/>
        <v/>
      </c>
      <c r="B255" s="98">
        <v>33</v>
      </c>
      <c r="C255" s="94" t="s">
        <v>210</v>
      </c>
      <c r="D255" s="94">
        <v>5</v>
      </c>
      <c r="E255" s="94">
        <v>-8</v>
      </c>
      <c r="F255" s="94" t="s">
        <v>210</v>
      </c>
      <c r="G255" s="94" t="s">
        <v>210</v>
      </c>
      <c r="H255" s="94">
        <v>3</v>
      </c>
      <c r="I255" s="94">
        <v>6</v>
      </c>
      <c r="J255" s="94" t="s">
        <v>210</v>
      </c>
      <c r="K255" s="94" t="s">
        <v>210</v>
      </c>
      <c r="L255" s="94">
        <v>7</v>
      </c>
      <c r="M255" s="94">
        <v>-2</v>
      </c>
      <c r="N255" s="94" t="s">
        <v>210</v>
      </c>
      <c r="O255" s="94" t="s">
        <v>210</v>
      </c>
      <c r="P255" s="94">
        <v>1</v>
      </c>
      <c r="Q255" s="94">
        <v>-4</v>
      </c>
      <c r="R255" s="94" t="s">
        <v>210</v>
      </c>
      <c r="S255" s="94" t="s">
        <v>210</v>
      </c>
      <c r="T255" s="94">
        <v>2</v>
      </c>
      <c r="U255" s="94">
        <v>-3</v>
      </c>
      <c r="V255" s="94" t="s">
        <v>210</v>
      </c>
      <c r="W255" s="94" t="s">
        <v>210</v>
      </c>
      <c r="X255" s="94">
        <v>-1</v>
      </c>
      <c r="Y255" s="94">
        <v>-6</v>
      </c>
      <c r="Z255" s="94" t="s">
        <v>210</v>
      </c>
      <c r="AA255" s="94" t="s">
        <v>210</v>
      </c>
      <c r="AB255" s="94">
        <v>-5</v>
      </c>
      <c r="AC255" s="94">
        <v>4</v>
      </c>
      <c r="AD255" s="94" t="s">
        <v>210</v>
      </c>
      <c r="AE255" s="94">
        <v>-9</v>
      </c>
      <c r="AF255" s="94" t="s">
        <v>210</v>
      </c>
      <c r="AG255" s="94">
        <v>-7</v>
      </c>
      <c r="AH255" s="94" t="s">
        <v>210</v>
      </c>
      <c r="AI255" s="94" t="s">
        <v>210</v>
      </c>
      <c r="AJ255" s="94">
        <v>8</v>
      </c>
      <c r="AK255" s="94"/>
      <c r="AL255" s="94"/>
      <c r="AM255" s="94"/>
      <c r="AN255" s="94"/>
      <c r="AO255" s="94"/>
      <c r="AP255" s="94"/>
      <c r="AQ255" s="94"/>
      <c r="AR255" s="94"/>
      <c r="AS255" s="94"/>
      <c r="AT255" s="94"/>
      <c r="AU255" s="94"/>
      <c r="AV255" s="94"/>
      <c r="AW255" s="94"/>
      <c r="AX255" s="94"/>
      <c r="AY255" s="94"/>
      <c r="AZ255" s="94"/>
      <c r="BA255" s="95"/>
    </row>
    <row r="256" spans="1:53" s="87" customFormat="1">
      <c r="A256" s="90" t="str">
        <f t="shared" si="28"/>
        <v/>
      </c>
      <c r="B256" s="98">
        <v>34</v>
      </c>
      <c r="C256" s="94" t="s">
        <v>210</v>
      </c>
      <c r="D256" s="94">
        <v>-8</v>
      </c>
      <c r="E256" s="94">
        <v>2</v>
      </c>
      <c r="F256" s="94" t="s">
        <v>210</v>
      </c>
      <c r="G256" s="94" t="s">
        <v>210</v>
      </c>
      <c r="H256" s="94">
        <v>5</v>
      </c>
      <c r="I256" s="94">
        <v>4</v>
      </c>
      <c r="J256" s="94" t="s">
        <v>210</v>
      </c>
      <c r="K256" s="94" t="s">
        <v>210</v>
      </c>
      <c r="L256" s="94">
        <v>3</v>
      </c>
      <c r="M256" s="94">
        <v>-7</v>
      </c>
      <c r="N256" s="94" t="s">
        <v>210</v>
      </c>
      <c r="O256" s="94" t="s">
        <v>210</v>
      </c>
      <c r="P256" s="94">
        <v>8</v>
      </c>
      <c r="Q256" s="94">
        <v>-6</v>
      </c>
      <c r="R256" s="94" t="s">
        <v>210</v>
      </c>
      <c r="S256" s="94" t="s">
        <v>210</v>
      </c>
      <c r="T256" s="94">
        <v>-4</v>
      </c>
      <c r="U256" s="94">
        <v>1</v>
      </c>
      <c r="V256" s="94" t="s">
        <v>210</v>
      </c>
      <c r="W256" s="94" t="s">
        <v>210</v>
      </c>
      <c r="X256" s="94">
        <v>-5</v>
      </c>
      <c r="Y256" s="94">
        <v>-2</v>
      </c>
      <c r="Z256" s="94" t="s">
        <v>210</v>
      </c>
      <c r="AA256" s="94" t="s">
        <v>210</v>
      </c>
      <c r="AB256" s="94">
        <v>-8</v>
      </c>
      <c r="AC256" s="94">
        <v>6</v>
      </c>
      <c r="AD256" s="94" t="s">
        <v>210</v>
      </c>
      <c r="AE256" s="94" t="s">
        <v>210</v>
      </c>
      <c r="AF256" s="94">
        <v>-3</v>
      </c>
      <c r="AG256" s="94">
        <v>7</v>
      </c>
      <c r="AH256" s="94" t="s">
        <v>210</v>
      </c>
      <c r="AI256" s="94">
        <v>-9</v>
      </c>
      <c r="AJ256" s="94" t="s">
        <v>210</v>
      </c>
      <c r="AK256" s="94"/>
      <c r="AL256" s="94"/>
      <c r="AM256" s="94"/>
      <c r="AN256" s="94"/>
      <c r="AO256" s="94"/>
      <c r="AP256" s="94"/>
      <c r="AQ256" s="94"/>
      <c r="AR256" s="94"/>
      <c r="AS256" s="94"/>
      <c r="AT256" s="94"/>
      <c r="AU256" s="94"/>
      <c r="AV256" s="94"/>
      <c r="AW256" s="94"/>
      <c r="AX256" s="94"/>
      <c r="AY256" s="94"/>
      <c r="AZ256" s="94"/>
      <c r="BA256" s="95"/>
    </row>
    <row r="257" spans="1:53" s="87" customFormat="1">
      <c r="A257" s="90" t="str">
        <f t="shared" si="28"/>
        <v/>
      </c>
      <c r="B257" s="98" t="s">
        <v>513</v>
      </c>
      <c r="C257" s="94"/>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5"/>
    </row>
    <row r="258" spans="1:53" s="87" customFormat="1">
      <c r="A258" s="90">
        <f t="shared" si="28"/>
        <v>258</v>
      </c>
      <c r="B258" s="98" t="s">
        <v>514</v>
      </c>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5"/>
    </row>
    <row r="259" spans="1:53" s="87" customFormat="1">
      <c r="A259" s="90" t="str">
        <f t="shared" si="28"/>
        <v/>
      </c>
      <c r="B259" s="98">
        <v>1</v>
      </c>
      <c r="C259" s="94">
        <v>6</v>
      </c>
      <c r="D259" s="94" t="s">
        <v>210</v>
      </c>
      <c r="E259" s="94" t="s">
        <v>210</v>
      </c>
      <c r="F259" s="94">
        <v>-1</v>
      </c>
      <c r="G259" s="94">
        <v>-8</v>
      </c>
      <c r="H259" s="94" t="s">
        <v>210</v>
      </c>
      <c r="I259" s="94" t="s">
        <v>210</v>
      </c>
      <c r="J259" s="94">
        <v>9</v>
      </c>
      <c r="K259" s="94">
        <v>2</v>
      </c>
      <c r="L259" s="94" t="s">
        <v>210</v>
      </c>
      <c r="M259" s="94" t="s">
        <v>210</v>
      </c>
      <c r="N259" s="94">
        <v>-3</v>
      </c>
      <c r="O259" s="94">
        <v>-7</v>
      </c>
      <c r="P259" s="94" t="s">
        <v>210</v>
      </c>
      <c r="Q259" s="94" t="s">
        <v>210</v>
      </c>
      <c r="R259" s="94">
        <v>4</v>
      </c>
      <c r="S259" s="94">
        <v>5</v>
      </c>
      <c r="T259" s="94" t="s">
        <v>210</v>
      </c>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5"/>
    </row>
    <row r="260" spans="1:53" s="87" customFormat="1">
      <c r="A260" s="90" t="str">
        <f t="shared" si="28"/>
        <v/>
      </c>
      <c r="B260" s="98">
        <v>2</v>
      </c>
      <c r="C260" s="94">
        <v>-1</v>
      </c>
      <c r="D260" s="94" t="s">
        <v>210</v>
      </c>
      <c r="E260" s="94" t="s">
        <v>210</v>
      </c>
      <c r="F260" s="94">
        <v>-4</v>
      </c>
      <c r="G260" s="94">
        <v>2</v>
      </c>
      <c r="H260" s="94" t="s">
        <v>210</v>
      </c>
      <c r="I260" s="94" t="s">
        <v>210</v>
      </c>
      <c r="J260" s="94">
        <v>8</v>
      </c>
      <c r="K260" s="94">
        <v>-9</v>
      </c>
      <c r="L260" s="94" t="s">
        <v>210</v>
      </c>
      <c r="M260" s="94" t="s">
        <v>210</v>
      </c>
      <c r="N260" s="94">
        <v>-7</v>
      </c>
      <c r="O260" s="94">
        <v>6</v>
      </c>
      <c r="P260" s="94" t="s">
        <v>210</v>
      </c>
      <c r="Q260" s="94" t="s">
        <v>210</v>
      </c>
      <c r="R260" s="94">
        <v>3</v>
      </c>
      <c r="S260" s="94">
        <v>-5</v>
      </c>
      <c r="T260" s="94" t="s">
        <v>210</v>
      </c>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5"/>
    </row>
    <row r="261" spans="1:53" s="87" customFormat="1">
      <c r="A261" s="90" t="str">
        <f t="shared" si="28"/>
        <v/>
      </c>
      <c r="B261" s="98">
        <v>3</v>
      </c>
      <c r="C261" s="94">
        <v>2</v>
      </c>
      <c r="D261" s="94" t="s">
        <v>210</v>
      </c>
      <c r="E261" s="94" t="s">
        <v>210</v>
      </c>
      <c r="F261" s="94">
        <v>-9</v>
      </c>
      <c r="G261" s="94">
        <v>8</v>
      </c>
      <c r="H261" s="94" t="s">
        <v>210</v>
      </c>
      <c r="I261" s="94" t="s">
        <v>210</v>
      </c>
      <c r="J261" s="94">
        <v>-7</v>
      </c>
      <c r="K261" s="94">
        <v>1</v>
      </c>
      <c r="L261" s="94" t="s">
        <v>210</v>
      </c>
      <c r="M261" s="94" t="s">
        <v>210</v>
      </c>
      <c r="N261" s="94">
        <v>4</v>
      </c>
      <c r="O261" s="94">
        <v>-5</v>
      </c>
      <c r="P261" s="94" t="s">
        <v>210</v>
      </c>
      <c r="Q261" s="94" t="s">
        <v>210</v>
      </c>
      <c r="R261" s="94">
        <v>-3</v>
      </c>
      <c r="S261" s="94">
        <v>6</v>
      </c>
      <c r="T261" s="94" t="s">
        <v>210</v>
      </c>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5"/>
    </row>
    <row r="262" spans="1:53" s="87" customFormat="1">
      <c r="A262" s="90" t="str">
        <f t="shared" si="28"/>
        <v/>
      </c>
      <c r="B262" s="98">
        <v>4</v>
      </c>
      <c r="C262" s="94">
        <v>-9</v>
      </c>
      <c r="D262" s="94" t="s">
        <v>210</v>
      </c>
      <c r="E262" s="94" t="s">
        <v>210</v>
      </c>
      <c r="F262" s="94">
        <v>2</v>
      </c>
      <c r="G262" s="94">
        <v>5</v>
      </c>
      <c r="H262" s="94" t="s">
        <v>210</v>
      </c>
      <c r="I262" s="94" t="s">
        <v>210</v>
      </c>
      <c r="J262" s="94">
        <v>-1</v>
      </c>
      <c r="K262" s="94">
        <v>-8</v>
      </c>
      <c r="L262" s="94" t="s">
        <v>210</v>
      </c>
      <c r="M262" s="94" t="s">
        <v>210</v>
      </c>
      <c r="N262" s="94">
        <v>7</v>
      </c>
      <c r="O262" s="94">
        <v>3</v>
      </c>
      <c r="P262" s="94" t="s">
        <v>210</v>
      </c>
      <c r="Q262" s="94" t="s">
        <v>210</v>
      </c>
      <c r="R262" s="94">
        <v>-4</v>
      </c>
      <c r="S262" s="94">
        <v>-6</v>
      </c>
      <c r="T262" s="94" t="s">
        <v>210</v>
      </c>
      <c r="U262" s="94"/>
      <c r="V262" s="94"/>
      <c r="W262" s="94"/>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5"/>
    </row>
    <row r="263" spans="1:53" s="87" customFormat="1">
      <c r="A263" s="90" t="str">
        <f t="shared" si="28"/>
        <v/>
      </c>
      <c r="B263" s="98">
        <v>5</v>
      </c>
      <c r="C263" s="94">
        <v>-8</v>
      </c>
      <c r="D263" s="94" t="s">
        <v>210</v>
      </c>
      <c r="E263" s="94" t="s">
        <v>210</v>
      </c>
      <c r="F263" s="94">
        <v>9</v>
      </c>
      <c r="G263" s="94">
        <v>-2</v>
      </c>
      <c r="H263" s="94" t="s">
        <v>210</v>
      </c>
      <c r="I263" s="94" t="s">
        <v>210</v>
      </c>
      <c r="J263" s="94">
        <v>1</v>
      </c>
      <c r="K263" s="94">
        <v>-3</v>
      </c>
      <c r="L263" s="94" t="s">
        <v>210</v>
      </c>
      <c r="M263" s="94" t="s">
        <v>210</v>
      </c>
      <c r="N263" s="94">
        <v>-6</v>
      </c>
      <c r="O263" s="94">
        <v>7</v>
      </c>
      <c r="P263" s="94" t="s">
        <v>210</v>
      </c>
      <c r="Q263" s="94" t="s">
        <v>210</v>
      </c>
      <c r="R263" s="94">
        <v>-5</v>
      </c>
      <c r="S263" s="94">
        <v>4</v>
      </c>
      <c r="T263" s="94" t="s">
        <v>210</v>
      </c>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5"/>
    </row>
    <row r="264" spans="1:53" s="87" customFormat="1">
      <c r="A264" s="90" t="str">
        <f t="shared" si="28"/>
        <v/>
      </c>
      <c r="B264" s="98">
        <v>6</v>
      </c>
      <c r="C264" s="94">
        <v>-2</v>
      </c>
      <c r="D264" s="94" t="s">
        <v>210</v>
      </c>
      <c r="E264" s="94" t="s">
        <v>210</v>
      </c>
      <c r="F264" s="94">
        <v>1</v>
      </c>
      <c r="G264" s="94">
        <v>6</v>
      </c>
      <c r="H264" s="94" t="s">
        <v>210</v>
      </c>
      <c r="I264" s="94" t="s">
        <v>210</v>
      </c>
      <c r="J264" s="94">
        <v>-5</v>
      </c>
      <c r="K264" s="94">
        <v>9</v>
      </c>
      <c r="L264" s="94" t="s">
        <v>210</v>
      </c>
      <c r="M264" s="94" t="s">
        <v>210</v>
      </c>
      <c r="N264" s="94">
        <v>8</v>
      </c>
      <c r="O264" s="94">
        <v>-3</v>
      </c>
      <c r="P264" s="94" t="s">
        <v>210</v>
      </c>
      <c r="Q264" s="94" t="s">
        <v>210</v>
      </c>
      <c r="R264" s="94">
        <v>7</v>
      </c>
      <c r="S264" s="94">
        <v>-4</v>
      </c>
      <c r="T264" s="94" t="s">
        <v>210</v>
      </c>
      <c r="U264" s="94"/>
      <c r="V264" s="94"/>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5"/>
    </row>
    <row r="265" spans="1:53" s="87" customFormat="1">
      <c r="A265" s="90" t="str">
        <f t="shared" si="28"/>
        <v/>
      </c>
      <c r="B265" s="98">
        <v>7</v>
      </c>
      <c r="C265" s="94">
        <v>1</v>
      </c>
      <c r="D265" s="94" t="s">
        <v>210</v>
      </c>
      <c r="E265" s="94" t="s">
        <v>210</v>
      </c>
      <c r="F265" s="94">
        <v>3</v>
      </c>
      <c r="G265" s="94">
        <v>-6</v>
      </c>
      <c r="H265" s="94" t="s">
        <v>210</v>
      </c>
      <c r="I265" s="94" t="s">
        <v>210</v>
      </c>
      <c r="J265" s="94">
        <v>-9</v>
      </c>
      <c r="K265" s="94">
        <v>8</v>
      </c>
      <c r="L265" s="94" t="s">
        <v>210</v>
      </c>
      <c r="M265" s="94" t="s">
        <v>210</v>
      </c>
      <c r="N265" s="94">
        <v>-4</v>
      </c>
      <c r="O265" s="94">
        <v>-2</v>
      </c>
      <c r="P265" s="94" t="s">
        <v>210</v>
      </c>
      <c r="Q265" s="94" t="s">
        <v>210</v>
      </c>
      <c r="R265" s="94">
        <v>5</v>
      </c>
      <c r="S265" s="94">
        <v>7</v>
      </c>
      <c r="T265" s="94" t="s">
        <v>210</v>
      </c>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5"/>
    </row>
    <row r="266" spans="1:53" s="87" customFormat="1">
      <c r="A266" s="90" t="str">
        <f t="shared" si="28"/>
        <v/>
      </c>
      <c r="B266" s="98">
        <v>8</v>
      </c>
      <c r="C266" s="94">
        <v>8</v>
      </c>
      <c r="D266" s="94" t="s">
        <v>210</v>
      </c>
      <c r="E266" s="94" t="s">
        <v>210</v>
      </c>
      <c r="F266" s="94">
        <v>-2</v>
      </c>
      <c r="G266" s="94">
        <v>-4</v>
      </c>
      <c r="H266" s="94" t="s">
        <v>210</v>
      </c>
      <c r="I266" s="94" t="s">
        <v>210</v>
      </c>
      <c r="J266" s="94">
        <v>5</v>
      </c>
      <c r="K266" s="94">
        <v>-1</v>
      </c>
      <c r="L266" s="94" t="s">
        <v>210</v>
      </c>
      <c r="M266" s="94" t="s">
        <v>210</v>
      </c>
      <c r="N266" s="94">
        <v>3</v>
      </c>
      <c r="O266" s="94">
        <v>-6</v>
      </c>
      <c r="P266" s="94" t="s">
        <v>210</v>
      </c>
      <c r="Q266" s="94" t="s">
        <v>210</v>
      </c>
      <c r="R266" s="94">
        <v>9</v>
      </c>
      <c r="S266" s="94">
        <v>-7</v>
      </c>
      <c r="T266" s="94" t="s">
        <v>210</v>
      </c>
      <c r="U266" s="94"/>
      <c r="V266" s="94"/>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5"/>
    </row>
    <row r="267" spans="1:53" s="87" customFormat="1">
      <c r="A267" s="90" t="str">
        <f t="shared" si="28"/>
        <v/>
      </c>
      <c r="B267" s="99">
        <v>9</v>
      </c>
      <c r="C267" s="92">
        <v>9</v>
      </c>
      <c r="D267" s="92" t="s">
        <v>210</v>
      </c>
      <c r="E267" s="92" t="s">
        <v>210</v>
      </c>
      <c r="F267" s="92">
        <v>-3</v>
      </c>
      <c r="G267" s="92">
        <v>4</v>
      </c>
      <c r="H267" s="92" t="s">
        <v>210</v>
      </c>
      <c r="I267" s="92" t="s">
        <v>210</v>
      </c>
      <c r="J267" s="92">
        <v>-8</v>
      </c>
      <c r="K267" s="92">
        <v>-2</v>
      </c>
      <c r="L267" s="92" t="s">
        <v>210</v>
      </c>
      <c r="M267" s="92" t="s">
        <v>210</v>
      </c>
      <c r="N267" s="92">
        <v>6</v>
      </c>
      <c r="O267" s="92">
        <v>5</v>
      </c>
      <c r="P267" s="92" t="s">
        <v>210</v>
      </c>
      <c r="Q267" s="92" t="s">
        <v>210</v>
      </c>
      <c r="R267" s="92">
        <v>-7</v>
      </c>
      <c r="S267" s="92">
        <v>-1</v>
      </c>
      <c r="T267" s="92" t="s">
        <v>210</v>
      </c>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5"/>
    </row>
    <row r="268" spans="1:53" s="87" customFormat="1">
      <c r="A268" s="90" t="str">
        <f t="shared" ref="A268:A331" si="29">IF(MID(B268,3,2)="09",ROW(),"")</f>
        <v/>
      </c>
      <c r="B268" s="98">
        <v>10</v>
      </c>
      <c r="C268" s="94">
        <v>-6</v>
      </c>
      <c r="D268" s="94" t="s">
        <v>210</v>
      </c>
      <c r="E268" s="94" t="s">
        <v>210</v>
      </c>
      <c r="F268" s="94">
        <v>5</v>
      </c>
      <c r="G268" s="94">
        <v>1</v>
      </c>
      <c r="H268" s="94" t="s">
        <v>210</v>
      </c>
      <c r="I268" s="94" t="s">
        <v>210</v>
      </c>
      <c r="J268" s="94">
        <v>-2</v>
      </c>
      <c r="K268" s="94">
        <v>-4</v>
      </c>
      <c r="L268" s="94" t="s">
        <v>210</v>
      </c>
      <c r="M268" s="94" t="s">
        <v>210</v>
      </c>
      <c r="N268" s="94">
        <v>9</v>
      </c>
      <c r="O268" s="94">
        <v>8</v>
      </c>
      <c r="P268" s="94" t="s">
        <v>210</v>
      </c>
      <c r="Q268" s="94" t="s">
        <v>210</v>
      </c>
      <c r="R268" s="94">
        <v>-1</v>
      </c>
      <c r="S268" s="94">
        <v>-3</v>
      </c>
      <c r="T268" s="94" t="s">
        <v>210</v>
      </c>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5"/>
    </row>
    <row r="269" spans="1:53" s="87" customFormat="1">
      <c r="A269" s="90" t="str">
        <f t="shared" si="29"/>
        <v/>
      </c>
      <c r="B269" s="98">
        <v>11</v>
      </c>
      <c r="C269" s="94">
        <v>-7</v>
      </c>
      <c r="D269" s="94" t="s">
        <v>210</v>
      </c>
      <c r="E269" s="94" t="s">
        <v>210</v>
      </c>
      <c r="F269" s="94">
        <v>4</v>
      </c>
      <c r="G269" s="94">
        <v>-9</v>
      </c>
      <c r="H269" s="94" t="s">
        <v>210</v>
      </c>
      <c r="I269" s="94" t="s">
        <v>210</v>
      </c>
      <c r="J269" s="94">
        <v>-6</v>
      </c>
      <c r="K269" s="94">
        <v>7</v>
      </c>
      <c r="L269" s="94" t="s">
        <v>210</v>
      </c>
      <c r="M269" s="94" t="s">
        <v>210</v>
      </c>
      <c r="N269" s="94">
        <v>2</v>
      </c>
      <c r="O269" s="94">
        <v>-1</v>
      </c>
      <c r="P269" s="94" t="s">
        <v>210</v>
      </c>
      <c r="Q269" s="94" t="s">
        <v>210</v>
      </c>
      <c r="R269" s="94">
        <v>8</v>
      </c>
      <c r="S269" s="94">
        <v>3</v>
      </c>
      <c r="T269" s="94" t="s">
        <v>210</v>
      </c>
      <c r="U269" s="94"/>
      <c r="V269" s="94"/>
      <c r="W269" s="94"/>
      <c r="X269" s="94"/>
      <c r="Y269" s="94"/>
      <c r="Z269" s="94"/>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5"/>
    </row>
    <row r="270" spans="1:53" s="87" customFormat="1">
      <c r="A270" s="90" t="str">
        <f t="shared" si="29"/>
        <v/>
      </c>
      <c r="B270" s="98">
        <v>12</v>
      </c>
      <c r="C270" s="94">
        <v>3</v>
      </c>
      <c r="D270" s="94" t="s">
        <v>210</v>
      </c>
      <c r="E270" s="94" t="s">
        <v>210</v>
      </c>
      <c r="F270" s="94">
        <v>-8</v>
      </c>
      <c r="G270" s="94">
        <v>-1</v>
      </c>
      <c r="H270" s="94" t="s">
        <v>210</v>
      </c>
      <c r="I270" s="94" t="s">
        <v>210</v>
      </c>
      <c r="J270" s="94">
        <v>7</v>
      </c>
      <c r="K270" s="94">
        <v>5</v>
      </c>
      <c r="L270" s="94" t="s">
        <v>210</v>
      </c>
      <c r="M270" s="94" t="s">
        <v>210</v>
      </c>
      <c r="N270" s="94">
        <v>-2</v>
      </c>
      <c r="O270" s="94">
        <v>-9</v>
      </c>
      <c r="P270" s="94" t="s">
        <v>210</v>
      </c>
      <c r="Q270" s="94" t="s">
        <v>210</v>
      </c>
      <c r="R270" s="94">
        <v>6</v>
      </c>
      <c r="S270" s="94">
        <v>8</v>
      </c>
      <c r="T270" s="94" t="s">
        <v>210</v>
      </c>
      <c r="U270" s="94"/>
      <c r="V270" s="94"/>
      <c r="W270" s="94"/>
      <c r="X270" s="94"/>
      <c r="Y270" s="94"/>
      <c r="Z270" s="94"/>
      <c r="AA270" s="94"/>
      <c r="AB270" s="94"/>
      <c r="AC270" s="94"/>
      <c r="AD270" s="94"/>
      <c r="AE270" s="94"/>
      <c r="AF270" s="94"/>
      <c r="AG270" s="94"/>
      <c r="AH270" s="94"/>
      <c r="AI270" s="94"/>
      <c r="AJ270" s="94"/>
      <c r="AK270" s="94"/>
      <c r="AL270" s="94"/>
      <c r="AM270" s="94"/>
      <c r="AN270" s="94"/>
      <c r="AO270" s="94"/>
      <c r="AP270" s="94"/>
      <c r="AQ270" s="94"/>
      <c r="AR270" s="94"/>
      <c r="AS270" s="94"/>
      <c r="AT270" s="94"/>
      <c r="AU270" s="94"/>
      <c r="AV270" s="94"/>
      <c r="AW270" s="94"/>
      <c r="AX270" s="94"/>
      <c r="AY270" s="94"/>
      <c r="AZ270" s="94"/>
      <c r="BA270" s="95"/>
    </row>
    <row r="271" spans="1:53" s="87" customFormat="1">
      <c r="A271" s="90" t="str">
        <f t="shared" si="29"/>
        <v/>
      </c>
      <c r="B271" s="98">
        <v>13</v>
      </c>
      <c r="C271" s="94">
        <v>-4</v>
      </c>
      <c r="D271" s="94" t="s">
        <v>210</v>
      </c>
      <c r="E271" s="94" t="s">
        <v>210</v>
      </c>
      <c r="F271" s="94">
        <v>6</v>
      </c>
      <c r="G271" s="94">
        <v>-5</v>
      </c>
      <c r="H271" s="94" t="s">
        <v>210</v>
      </c>
      <c r="I271" s="94" t="s">
        <v>210</v>
      </c>
      <c r="J271" s="94">
        <v>3</v>
      </c>
      <c r="K271" s="94">
        <v>-7</v>
      </c>
      <c r="L271" s="94" t="s">
        <v>210</v>
      </c>
      <c r="M271" s="94" t="s">
        <v>210</v>
      </c>
      <c r="N271" s="94">
        <v>-9</v>
      </c>
      <c r="O271" s="94">
        <v>4</v>
      </c>
      <c r="P271" s="94" t="s">
        <v>210</v>
      </c>
      <c r="Q271" s="94" t="s">
        <v>210</v>
      </c>
      <c r="R271" s="94">
        <v>2</v>
      </c>
      <c r="S271" s="94">
        <v>-8</v>
      </c>
      <c r="T271" s="94" t="s">
        <v>210</v>
      </c>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5"/>
    </row>
    <row r="272" spans="1:53" s="87" customFormat="1">
      <c r="A272" s="90" t="str">
        <f t="shared" si="29"/>
        <v/>
      </c>
      <c r="B272" s="98">
        <v>14</v>
      </c>
      <c r="C272" s="94">
        <v>5</v>
      </c>
      <c r="D272" s="94" t="s">
        <v>210</v>
      </c>
      <c r="E272" s="94" t="s">
        <v>210</v>
      </c>
      <c r="F272" s="94">
        <v>8</v>
      </c>
      <c r="G272" s="94">
        <v>-7</v>
      </c>
      <c r="H272" s="94" t="s">
        <v>210</v>
      </c>
      <c r="I272" s="94" t="s">
        <v>210</v>
      </c>
      <c r="J272" s="94">
        <v>6</v>
      </c>
      <c r="K272" s="94">
        <v>3</v>
      </c>
      <c r="L272" s="94" t="s">
        <v>210</v>
      </c>
      <c r="M272" s="94" t="s">
        <v>210</v>
      </c>
      <c r="N272" s="94">
        <v>-5</v>
      </c>
      <c r="O272" s="94">
        <v>-4</v>
      </c>
      <c r="P272" s="94" t="s">
        <v>210</v>
      </c>
      <c r="Q272" s="94" t="s">
        <v>210</v>
      </c>
      <c r="R272" s="94">
        <v>1</v>
      </c>
      <c r="S272" s="94">
        <v>-2</v>
      </c>
      <c r="T272" s="94" t="s">
        <v>210</v>
      </c>
      <c r="U272" s="94"/>
      <c r="V272" s="94"/>
      <c r="W272" s="94"/>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5"/>
    </row>
    <row r="273" spans="1:53" s="87" customFormat="1">
      <c r="A273" s="90" t="str">
        <f t="shared" si="29"/>
        <v/>
      </c>
      <c r="B273" s="98">
        <v>15</v>
      </c>
      <c r="C273" s="94">
        <v>-3</v>
      </c>
      <c r="D273" s="94" t="s">
        <v>210</v>
      </c>
      <c r="E273" s="94" t="s">
        <v>210</v>
      </c>
      <c r="F273" s="94">
        <v>-5</v>
      </c>
      <c r="G273" s="94">
        <v>7</v>
      </c>
      <c r="H273" s="94" t="s">
        <v>210</v>
      </c>
      <c r="I273" s="94" t="s">
        <v>210</v>
      </c>
      <c r="J273" s="94">
        <v>-4</v>
      </c>
      <c r="K273" s="94">
        <v>6</v>
      </c>
      <c r="L273" s="94" t="s">
        <v>210</v>
      </c>
      <c r="M273" s="94" t="s">
        <v>210</v>
      </c>
      <c r="N273" s="94">
        <v>-8</v>
      </c>
      <c r="O273" s="94">
        <v>1</v>
      </c>
      <c r="P273" s="94" t="s">
        <v>210</v>
      </c>
      <c r="Q273" s="94" t="s">
        <v>210</v>
      </c>
      <c r="R273" s="94">
        <v>-2</v>
      </c>
      <c r="S273" s="94">
        <v>9</v>
      </c>
      <c r="T273" s="94" t="s">
        <v>210</v>
      </c>
      <c r="U273" s="94"/>
      <c r="V273" s="94"/>
      <c r="W273" s="94"/>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5"/>
    </row>
    <row r="274" spans="1:53" s="87" customFormat="1">
      <c r="A274" s="90" t="str">
        <f t="shared" si="29"/>
        <v/>
      </c>
      <c r="B274" s="98">
        <v>16</v>
      </c>
      <c r="C274" s="94">
        <v>-5</v>
      </c>
      <c r="D274" s="94" t="s">
        <v>210</v>
      </c>
      <c r="E274" s="94" t="s">
        <v>210</v>
      </c>
      <c r="F274" s="94">
        <v>7</v>
      </c>
      <c r="G274" s="94">
        <v>9</v>
      </c>
      <c r="H274" s="94" t="s">
        <v>210</v>
      </c>
      <c r="I274" s="94" t="s">
        <v>210</v>
      </c>
      <c r="J274" s="94">
        <v>-3</v>
      </c>
      <c r="K274" s="94">
        <v>4</v>
      </c>
      <c r="L274" s="94" t="s">
        <v>210</v>
      </c>
      <c r="M274" s="94" t="s">
        <v>210</v>
      </c>
      <c r="N274" s="94">
        <v>-1</v>
      </c>
      <c r="O274" s="94">
        <v>2</v>
      </c>
      <c r="P274" s="94" t="s">
        <v>210</v>
      </c>
      <c r="Q274" s="94" t="s">
        <v>210</v>
      </c>
      <c r="R274" s="94">
        <v>-6</v>
      </c>
      <c r="S274" s="94">
        <v>-9</v>
      </c>
      <c r="T274" s="94" t="s">
        <v>210</v>
      </c>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5"/>
    </row>
    <row r="275" spans="1:53" s="87" customFormat="1">
      <c r="A275" s="90" t="str">
        <f t="shared" si="29"/>
        <v/>
      </c>
      <c r="B275" s="98">
        <v>17</v>
      </c>
      <c r="C275" s="94">
        <v>7</v>
      </c>
      <c r="D275" s="94" t="s">
        <v>210</v>
      </c>
      <c r="E275" s="94" t="s">
        <v>210</v>
      </c>
      <c r="F275" s="94">
        <v>-6</v>
      </c>
      <c r="G275" s="94">
        <v>3</v>
      </c>
      <c r="H275" s="94" t="s">
        <v>210</v>
      </c>
      <c r="I275" s="94" t="s">
        <v>210</v>
      </c>
      <c r="J275" s="94">
        <v>4</v>
      </c>
      <c r="K275" s="94">
        <v>-5</v>
      </c>
      <c r="L275" s="94" t="s">
        <v>210</v>
      </c>
      <c r="M275" s="94" t="s">
        <v>210</v>
      </c>
      <c r="N275" s="94">
        <v>1</v>
      </c>
      <c r="O275" s="94">
        <v>-8</v>
      </c>
      <c r="P275" s="94" t="s">
        <v>210</v>
      </c>
      <c r="Q275" s="94" t="s">
        <v>210</v>
      </c>
      <c r="R275" s="94">
        <v>-9</v>
      </c>
      <c r="S275" s="94">
        <v>2</v>
      </c>
      <c r="T275" s="94" t="s">
        <v>210</v>
      </c>
      <c r="U275" s="94"/>
      <c r="V275" s="94"/>
      <c r="W275" s="94"/>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5"/>
    </row>
    <row r="276" spans="1:53" s="87" customFormat="1">
      <c r="A276" s="90" t="str">
        <f t="shared" si="29"/>
        <v/>
      </c>
      <c r="B276" s="99">
        <v>18</v>
      </c>
      <c r="C276" s="92">
        <v>4</v>
      </c>
      <c r="D276" s="92" t="s">
        <v>210</v>
      </c>
      <c r="E276" s="92" t="s">
        <v>210</v>
      </c>
      <c r="F276" s="92">
        <v>-7</v>
      </c>
      <c r="G276" s="92">
        <v>-3</v>
      </c>
      <c r="H276" s="92" t="s">
        <v>210</v>
      </c>
      <c r="I276" s="92" t="s">
        <v>210</v>
      </c>
      <c r="J276" s="92">
        <v>2</v>
      </c>
      <c r="K276" s="92">
        <v>-6</v>
      </c>
      <c r="L276" s="92" t="s">
        <v>210</v>
      </c>
      <c r="M276" s="92" t="s">
        <v>210</v>
      </c>
      <c r="N276" s="92">
        <v>5</v>
      </c>
      <c r="O276" s="92">
        <v>9</v>
      </c>
      <c r="P276" s="92" t="s">
        <v>210</v>
      </c>
      <c r="Q276" s="92" t="s">
        <v>210</v>
      </c>
      <c r="R276" s="92">
        <v>-8</v>
      </c>
      <c r="S276" s="92">
        <v>1</v>
      </c>
      <c r="T276" s="92" t="s">
        <v>210</v>
      </c>
      <c r="U276" s="94"/>
      <c r="V276" s="94"/>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5"/>
    </row>
    <row r="277" spans="1:53" s="87" customFormat="1">
      <c r="A277" s="90" t="str">
        <f t="shared" si="29"/>
        <v/>
      </c>
      <c r="B277" s="98">
        <v>19</v>
      </c>
      <c r="C277" s="94" t="s">
        <v>210</v>
      </c>
      <c r="D277" s="94">
        <v>-6</v>
      </c>
      <c r="E277" s="94">
        <v>4</v>
      </c>
      <c r="F277" s="94" t="s">
        <v>210</v>
      </c>
      <c r="G277" s="94" t="s">
        <v>210</v>
      </c>
      <c r="H277" s="94">
        <v>-3</v>
      </c>
      <c r="I277" s="94">
        <v>7</v>
      </c>
      <c r="J277" s="94" t="s">
        <v>210</v>
      </c>
      <c r="K277" s="94" t="s">
        <v>210</v>
      </c>
      <c r="L277" s="94">
        <v>-1</v>
      </c>
      <c r="M277" s="94">
        <v>8</v>
      </c>
      <c r="N277" s="94" t="s">
        <v>210</v>
      </c>
      <c r="O277" s="94" t="s">
        <v>210</v>
      </c>
      <c r="P277" s="94">
        <v>-2</v>
      </c>
      <c r="Q277" s="94">
        <v>-4</v>
      </c>
      <c r="R277" s="94" t="s">
        <v>210</v>
      </c>
      <c r="S277" s="94" t="s">
        <v>210</v>
      </c>
      <c r="T277" s="94">
        <v>5</v>
      </c>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5"/>
    </row>
    <row r="278" spans="1:53" s="87" customFormat="1">
      <c r="A278" s="90" t="str">
        <f t="shared" si="29"/>
        <v/>
      </c>
      <c r="B278" s="98">
        <v>20</v>
      </c>
      <c r="C278" s="94" t="s">
        <v>210</v>
      </c>
      <c r="D278" s="94">
        <v>-9</v>
      </c>
      <c r="E278" s="94">
        <v>7</v>
      </c>
      <c r="F278" s="94" t="s">
        <v>210</v>
      </c>
      <c r="G278" s="94" t="s">
        <v>210</v>
      </c>
      <c r="H278" s="94">
        <v>-8</v>
      </c>
      <c r="I278" s="94">
        <v>6</v>
      </c>
      <c r="J278" s="94" t="s">
        <v>210</v>
      </c>
      <c r="K278" s="94" t="s">
        <v>210</v>
      </c>
      <c r="L278" s="94">
        <v>-2</v>
      </c>
      <c r="M278" s="94">
        <v>3</v>
      </c>
      <c r="N278" s="94" t="s">
        <v>210</v>
      </c>
      <c r="O278" s="94" t="s">
        <v>210</v>
      </c>
      <c r="P278" s="94">
        <v>1</v>
      </c>
      <c r="Q278" s="94">
        <v>-7</v>
      </c>
      <c r="R278" s="94" t="s">
        <v>210</v>
      </c>
      <c r="S278" s="94" t="s">
        <v>210</v>
      </c>
      <c r="T278" s="94">
        <v>-5</v>
      </c>
      <c r="U278" s="94"/>
      <c r="V278" s="94"/>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5"/>
    </row>
    <row r="279" spans="1:53" s="87" customFormat="1">
      <c r="A279" s="90" t="str">
        <f t="shared" si="29"/>
        <v/>
      </c>
      <c r="B279" s="98">
        <v>21</v>
      </c>
      <c r="C279" s="94" t="s">
        <v>210</v>
      </c>
      <c r="D279" s="94">
        <v>-8</v>
      </c>
      <c r="E279" s="94">
        <v>6</v>
      </c>
      <c r="F279" s="94" t="s">
        <v>210</v>
      </c>
      <c r="G279" s="94" t="s">
        <v>210</v>
      </c>
      <c r="H279" s="94">
        <v>-5</v>
      </c>
      <c r="I279" s="94">
        <v>4</v>
      </c>
      <c r="J279" s="94" t="s">
        <v>210</v>
      </c>
      <c r="K279" s="94" t="s">
        <v>210</v>
      </c>
      <c r="L279" s="94">
        <v>-3</v>
      </c>
      <c r="M279" s="94">
        <v>-1</v>
      </c>
      <c r="N279" s="94" t="s">
        <v>210</v>
      </c>
      <c r="O279" s="94" t="s">
        <v>210</v>
      </c>
      <c r="P279" s="94">
        <v>2</v>
      </c>
      <c r="Q279" s="94">
        <v>7</v>
      </c>
      <c r="R279" s="94" t="s">
        <v>210</v>
      </c>
      <c r="S279" s="94" t="s">
        <v>210</v>
      </c>
      <c r="T279" s="94">
        <v>-6</v>
      </c>
      <c r="U279" s="94"/>
      <c r="V279" s="94"/>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5"/>
    </row>
    <row r="280" spans="1:53" s="87" customFormat="1">
      <c r="A280" s="90" t="str">
        <f t="shared" si="29"/>
        <v/>
      </c>
      <c r="B280" s="98">
        <v>22</v>
      </c>
      <c r="C280" s="94" t="s">
        <v>210</v>
      </c>
      <c r="D280" s="94">
        <v>3</v>
      </c>
      <c r="E280" s="94">
        <v>-5</v>
      </c>
      <c r="F280" s="94" t="s">
        <v>210</v>
      </c>
      <c r="G280" s="94" t="s">
        <v>210</v>
      </c>
      <c r="H280" s="94">
        <v>-6</v>
      </c>
      <c r="I280" s="94">
        <v>9</v>
      </c>
      <c r="J280" s="94" t="s">
        <v>210</v>
      </c>
      <c r="K280" s="94" t="s">
        <v>210</v>
      </c>
      <c r="L280" s="94">
        <v>8</v>
      </c>
      <c r="M280" s="94">
        <v>-2</v>
      </c>
      <c r="N280" s="94" t="s">
        <v>210</v>
      </c>
      <c r="O280" s="94" t="s">
        <v>210</v>
      </c>
      <c r="P280" s="94">
        <v>-1</v>
      </c>
      <c r="Q280" s="94">
        <v>4</v>
      </c>
      <c r="R280" s="94" t="s">
        <v>210</v>
      </c>
      <c r="S280" s="94" t="s">
        <v>210</v>
      </c>
      <c r="T280" s="94">
        <v>6</v>
      </c>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5"/>
    </row>
    <row r="281" spans="1:53" s="87" customFormat="1">
      <c r="A281" s="90" t="str">
        <f t="shared" si="29"/>
        <v/>
      </c>
      <c r="B281" s="98">
        <v>23</v>
      </c>
      <c r="C281" s="94" t="s">
        <v>210</v>
      </c>
      <c r="D281" s="94">
        <v>-7</v>
      </c>
      <c r="E281" s="94">
        <v>2</v>
      </c>
      <c r="F281" s="94" t="s">
        <v>210</v>
      </c>
      <c r="G281" s="94" t="s">
        <v>210</v>
      </c>
      <c r="H281" s="94">
        <v>3</v>
      </c>
      <c r="I281" s="94">
        <v>-6</v>
      </c>
      <c r="J281" s="94" t="s">
        <v>210</v>
      </c>
      <c r="K281" s="94" t="s">
        <v>210</v>
      </c>
      <c r="L281" s="94">
        <v>-8</v>
      </c>
      <c r="M281" s="94">
        <v>1</v>
      </c>
      <c r="N281" s="94" t="s">
        <v>210</v>
      </c>
      <c r="O281" s="94" t="s">
        <v>210</v>
      </c>
      <c r="P281" s="94">
        <v>-3</v>
      </c>
      <c r="Q281" s="94">
        <v>5</v>
      </c>
      <c r="R281" s="94" t="s">
        <v>210</v>
      </c>
      <c r="S281" s="94" t="s">
        <v>210</v>
      </c>
      <c r="T281" s="94">
        <v>4</v>
      </c>
      <c r="U281" s="94"/>
      <c r="V281" s="94"/>
      <c r="W281" s="94"/>
      <c r="X281" s="94"/>
      <c r="Y281" s="94"/>
      <c r="Z281" s="94"/>
      <c r="AA281" s="94"/>
      <c r="AB281" s="94"/>
      <c r="AC281" s="94"/>
      <c r="AD281" s="94"/>
      <c r="AE281" s="94"/>
      <c r="AF281" s="94"/>
      <c r="AG281" s="94"/>
      <c r="AH281" s="94"/>
      <c r="AI281" s="94"/>
      <c r="AJ281" s="94"/>
      <c r="AK281" s="94"/>
      <c r="AL281" s="94"/>
      <c r="AM281" s="94"/>
      <c r="AN281" s="94"/>
      <c r="AO281" s="94"/>
      <c r="AP281" s="94"/>
      <c r="AQ281" s="94"/>
      <c r="AR281" s="94"/>
      <c r="AS281" s="94"/>
      <c r="AT281" s="94"/>
      <c r="AU281" s="94"/>
      <c r="AV281" s="94"/>
      <c r="AW281" s="94"/>
      <c r="AX281" s="94"/>
      <c r="AY281" s="94"/>
      <c r="AZ281" s="94"/>
      <c r="BA281" s="95"/>
    </row>
    <row r="282" spans="1:53" s="87" customFormat="1">
      <c r="A282" s="90" t="str">
        <f t="shared" si="29"/>
        <v/>
      </c>
      <c r="B282" s="98">
        <v>24</v>
      </c>
      <c r="C282" s="94" t="s">
        <v>210</v>
      </c>
      <c r="D282" s="94">
        <v>5</v>
      </c>
      <c r="E282" s="94">
        <v>-1</v>
      </c>
      <c r="F282" s="94" t="s">
        <v>210</v>
      </c>
      <c r="G282" s="94" t="s">
        <v>210</v>
      </c>
      <c r="H282" s="94">
        <v>8</v>
      </c>
      <c r="I282" s="94">
        <v>-7</v>
      </c>
      <c r="J282" s="94" t="s">
        <v>210</v>
      </c>
      <c r="K282" s="94" t="s">
        <v>210</v>
      </c>
      <c r="L282" s="94">
        <v>3</v>
      </c>
      <c r="M282" s="94">
        <v>2</v>
      </c>
      <c r="N282" s="94" t="s">
        <v>210</v>
      </c>
      <c r="O282" s="94" t="s">
        <v>210</v>
      </c>
      <c r="P282" s="94">
        <v>-8</v>
      </c>
      <c r="Q282" s="94">
        <v>6</v>
      </c>
      <c r="R282" s="94" t="s">
        <v>210</v>
      </c>
      <c r="S282" s="94" t="s">
        <v>210</v>
      </c>
      <c r="T282" s="94">
        <v>-4</v>
      </c>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5"/>
    </row>
    <row r="283" spans="1:53" s="87" customFormat="1">
      <c r="A283" s="90" t="str">
        <f t="shared" si="29"/>
        <v/>
      </c>
      <c r="B283" s="98">
        <v>25</v>
      </c>
      <c r="C283" s="94" t="s">
        <v>210</v>
      </c>
      <c r="D283" s="94">
        <v>4</v>
      </c>
      <c r="E283" s="94">
        <v>-3</v>
      </c>
      <c r="F283" s="94" t="s">
        <v>210</v>
      </c>
      <c r="G283" s="94" t="s">
        <v>210</v>
      </c>
      <c r="H283" s="94">
        <v>5</v>
      </c>
      <c r="I283" s="94">
        <v>-9</v>
      </c>
      <c r="J283" s="94" t="s">
        <v>210</v>
      </c>
      <c r="K283" s="94" t="s">
        <v>210</v>
      </c>
      <c r="L283" s="94">
        <v>2</v>
      </c>
      <c r="M283" s="94">
        <v>-8</v>
      </c>
      <c r="N283" s="94" t="s">
        <v>210</v>
      </c>
      <c r="O283" s="94" t="s">
        <v>210</v>
      </c>
      <c r="P283" s="94">
        <v>3</v>
      </c>
      <c r="Q283" s="94">
        <v>-6</v>
      </c>
      <c r="R283" s="94" t="s">
        <v>210</v>
      </c>
      <c r="S283" s="94" t="s">
        <v>210</v>
      </c>
      <c r="T283" s="94">
        <v>-7</v>
      </c>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5"/>
    </row>
    <row r="284" spans="1:53" s="87" customFormat="1">
      <c r="A284" s="90" t="str">
        <f t="shared" si="29"/>
        <v/>
      </c>
      <c r="B284" s="99">
        <v>26</v>
      </c>
      <c r="C284" s="92" t="s">
        <v>210</v>
      </c>
      <c r="D284" s="92">
        <v>2</v>
      </c>
      <c r="E284" s="92">
        <v>-8</v>
      </c>
      <c r="F284" s="92" t="s">
        <v>210</v>
      </c>
      <c r="G284" s="92" t="s">
        <v>210</v>
      </c>
      <c r="H284" s="92">
        <v>6</v>
      </c>
      <c r="I284" s="92">
        <v>-4</v>
      </c>
      <c r="J284" s="92" t="s">
        <v>210</v>
      </c>
      <c r="K284" s="92" t="s">
        <v>210</v>
      </c>
      <c r="L284" s="92">
        <v>1</v>
      </c>
      <c r="M284" s="92">
        <v>-3</v>
      </c>
      <c r="N284" s="92" t="s">
        <v>210</v>
      </c>
      <c r="O284" s="92" t="s">
        <v>210</v>
      </c>
      <c r="P284" s="92">
        <v>8</v>
      </c>
      <c r="Q284" s="92">
        <v>-5</v>
      </c>
      <c r="R284" s="92" t="s">
        <v>210</v>
      </c>
      <c r="S284" s="92" t="s">
        <v>210</v>
      </c>
      <c r="T284" s="92">
        <v>7</v>
      </c>
      <c r="U284" s="94"/>
      <c r="V284" s="94"/>
      <c r="W284" s="94"/>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5"/>
    </row>
    <row r="285" spans="1:53" s="87" customFormat="1">
      <c r="A285" s="90" t="str">
        <f t="shared" si="29"/>
        <v/>
      </c>
      <c r="B285" s="98">
        <v>27</v>
      </c>
      <c r="C285" s="94" t="s">
        <v>210</v>
      </c>
      <c r="D285" s="94">
        <v>6</v>
      </c>
      <c r="E285" s="94">
        <v>-7</v>
      </c>
      <c r="F285" s="94" t="s">
        <v>210</v>
      </c>
      <c r="G285" s="94" t="s">
        <v>210</v>
      </c>
      <c r="H285" s="94">
        <v>1</v>
      </c>
      <c r="I285" s="94">
        <v>-3</v>
      </c>
      <c r="J285" s="94" t="s">
        <v>210</v>
      </c>
      <c r="K285" s="94" t="s">
        <v>210</v>
      </c>
      <c r="L285" s="94">
        <v>7</v>
      </c>
      <c r="M285" s="94">
        <v>-5</v>
      </c>
      <c r="N285" s="94" t="s">
        <v>210</v>
      </c>
      <c r="O285" s="94" t="s">
        <v>210</v>
      </c>
      <c r="P285" s="94">
        <v>4</v>
      </c>
      <c r="Q285" s="94">
        <v>2</v>
      </c>
      <c r="R285" s="94" t="s">
        <v>210</v>
      </c>
      <c r="S285" s="94" t="s">
        <v>210</v>
      </c>
      <c r="T285" s="94">
        <v>-8</v>
      </c>
      <c r="U285" s="94"/>
      <c r="V285" s="94"/>
      <c r="W285" s="94"/>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5"/>
    </row>
    <row r="286" spans="1:53" s="87" customFormat="1">
      <c r="A286" s="90" t="str">
        <f t="shared" si="29"/>
        <v/>
      </c>
      <c r="B286" s="98">
        <v>28</v>
      </c>
      <c r="C286" s="94" t="s">
        <v>210</v>
      </c>
      <c r="D286" s="94">
        <v>-3</v>
      </c>
      <c r="E286" s="94">
        <v>-4</v>
      </c>
      <c r="F286" s="94" t="s">
        <v>210</v>
      </c>
      <c r="G286" s="94" t="s">
        <v>210</v>
      </c>
      <c r="H286" s="94">
        <v>2</v>
      </c>
      <c r="I286" s="94">
        <v>-5</v>
      </c>
      <c r="J286" s="94" t="s">
        <v>210</v>
      </c>
      <c r="K286" s="94" t="s">
        <v>210</v>
      </c>
      <c r="L286" s="94">
        <v>4</v>
      </c>
      <c r="M286" s="94">
        <v>6</v>
      </c>
      <c r="N286" s="94" t="s">
        <v>210</v>
      </c>
      <c r="O286" s="94" t="s">
        <v>210</v>
      </c>
      <c r="P286" s="94">
        <v>-7</v>
      </c>
      <c r="Q286" s="94">
        <v>-1</v>
      </c>
      <c r="R286" s="94" t="s">
        <v>210</v>
      </c>
      <c r="S286" s="94" t="s">
        <v>210</v>
      </c>
      <c r="T286" s="94">
        <v>8</v>
      </c>
      <c r="U286" s="94"/>
      <c r="V286" s="94"/>
      <c r="W286" s="94"/>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5"/>
    </row>
    <row r="287" spans="1:53" s="87" customFormat="1">
      <c r="A287" s="90" t="str">
        <f t="shared" si="29"/>
        <v/>
      </c>
      <c r="B287" s="98">
        <v>29</v>
      </c>
      <c r="C287" s="94" t="s">
        <v>210</v>
      </c>
      <c r="D287" s="94">
        <v>9</v>
      </c>
      <c r="E287" s="94">
        <v>-6</v>
      </c>
      <c r="F287" s="94" t="s">
        <v>210</v>
      </c>
      <c r="G287" s="94" t="s">
        <v>210</v>
      </c>
      <c r="H287" s="94">
        <v>4</v>
      </c>
      <c r="I287" s="94">
        <v>-8</v>
      </c>
      <c r="J287" s="94" t="s">
        <v>210</v>
      </c>
      <c r="K287" s="94" t="s">
        <v>210</v>
      </c>
      <c r="L287" s="94">
        <v>5</v>
      </c>
      <c r="M287" s="94">
        <v>-4</v>
      </c>
      <c r="N287" s="94" t="s">
        <v>210</v>
      </c>
      <c r="O287" s="94" t="s">
        <v>210</v>
      </c>
      <c r="P287" s="94">
        <v>7</v>
      </c>
      <c r="Q287" s="94">
        <v>-2</v>
      </c>
      <c r="R287" s="94" t="s">
        <v>210</v>
      </c>
      <c r="S287" s="94" t="s">
        <v>210</v>
      </c>
      <c r="T287" s="94">
        <v>3</v>
      </c>
      <c r="U287" s="94"/>
      <c r="V287" s="94"/>
      <c r="W287" s="94"/>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5"/>
    </row>
    <row r="288" spans="1:53" s="87" customFormat="1">
      <c r="A288" s="90" t="str">
        <f t="shared" si="29"/>
        <v/>
      </c>
      <c r="B288" s="98">
        <v>30</v>
      </c>
      <c r="C288" s="94" t="s">
        <v>210</v>
      </c>
      <c r="D288" s="94">
        <v>8</v>
      </c>
      <c r="E288" s="94">
        <v>5</v>
      </c>
      <c r="F288" s="94" t="s">
        <v>210</v>
      </c>
      <c r="G288" s="94" t="s">
        <v>210</v>
      </c>
      <c r="H288" s="94">
        <v>-7</v>
      </c>
      <c r="I288" s="94">
        <v>-2</v>
      </c>
      <c r="J288" s="94" t="s">
        <v>210</v>
      </c>
      <c r="K288" s="94" t="s">
        <v>210</v>
      </c>
      <c r="L288" s="94">
        <v>6</v>
      </c>
      <c r="M288" s="94">
        <v>7</v>
      </c>
      <c r="N288" s="94" t="s">
        <v>210</v>
      </c>
      <c r="O288" s="94" t="s">
        <v>210</v>
      </c>
      <c r="P288" s="94">
        <v>-4</v>
      </c>
      <c r="Q288" s="94">
        <v>1</v>
      </c>
      <c r="R288" s="94" t="s">
        <v>210</v>
      </c>
      <c r="S288" s="94" t="s">
        <v>210</v>
      </c>
      <c r="T288" s="94">
        <v>-3</v>
      </c>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5"/>
    </row>
    <row r="289" spans="1:53" s="87" customFormat="1">
      <c r="A289" s="90" t="str">
        <f t="shared" si="29"/>
        <v/>
      </c>
      <c r="B289" s="98">
        <v>31</v>
      </c>
      <c r="C289" s="94" t="s">
        <v>210</v>
      </c>
      <c r="D289" s="94">
        <v>7</v>
      </c>
      <c r="E289" s="94">
        <v>8</v>
      </c>
      <c r="F289" s="94" t="s">
        <v>210</v>
      </c>
      <c r="G289" s="94" t="s">
        <v>210</v>
      </c>
      <c r="H289" s="94">
        <v>-1</v>
      </c>
      <c r="I289" s="94">
        <v>5</v>
      </c>
      <c r="J289" s="94" t="s">
        <v>210</v>
      </c>
      <c r="K289" s="94" t="s">
        <v>210</v>
      </c>
      <c r="L289" s="94">
        <v>-6</v>
      </c>
      <c r="M289" s="94">
        <v>4</v>
      </c>
      <c r="N289" s="94" t="s">
        <v>210</v>
      </c>
      <c r="O289" s="94" t="s">
        <v>210</v>
      </c>
      <c r="P289" s="94">
        <v>-5</v>
      </c>
      <c r="Q289" s="94">
        <v>3</v>
      </c>
      <c r="R289" s="94" t="s">
        <v>210</v>
      </c>
      <c r="S289" s="94" t="s">
        <v>210</v>
      </c>
      <c r="T289" s="94">
        <v>-2</v>
      </c>
      <c r="U289" s="94"/>
      <c r="V289" s="94"/>
      <c r="W289" s="94"/>
      <c r="X289" s="94"/>
      <c r="Y289" s="94"/>
      <c r="Z289" s="94"/>
      <c r="AA289" s="94"/>
      <c r="AB289" s="94"/>
      <c r="AC289" s="94"/>
      <c r="AD289" s="94"/>
      <c r="AE289" s="94"/>
      <c r="AF289" s="94"/>
      <c r="AG289" s="94"/>
      <c r="AH289" s="94"/>
      <c r="AI289" s="94"/>
      <c r="AJ289" s="94"/>
      <c r="AK289" s="94"/>
      <c r="AL289" s="94"/>
      <c r="AM289" s="94"/>
      <c r="AN289" s="94"/>
      <c r="AO289" s="94"/>
      <c r="AP289" s="94"/>
      <c r="AQ289" s="94"/>
      <c r="AR289" s="94"/>
      <c r="AS289" s="94"/>
      <c r="AT289" s="94"/>
      <c r="AU289" s="94"/>
      <c r="AV289" s="94"/>
      <c r="AW289" s="94"/>
      <c r="AX289" s="94"/>
      <c r="AY289" s="94"/>
      <c r="AZ289" s="94"/>
      <c r="BA289" s="95"/>
    </row>
    <row r="290" spans="1:53" s="87" customFormat="1">
      <c r="A290" s="90" t="str">
        <f t="shared" si="29"/>
        <v/>
      </c>
      <c r="B290" s="98">
        <v>32</v>
      </c>
      <c r="C290" s="94" t="s">
        <v>210</v>
      </c>
      <c r="D290" s="94">
        <v>-4</v>
      </c>
      <c r="E290" s="94">
        <v>1</v>
      </c>
      <c r="F290" s="94" t="s">
        <v>210</v>
      </c>
      <c r="G290" s="94" t="s">
        <v>210</v>
      </c>
      <c r="H290" s="94">
        <v>-2</v>
      </c>
      <c r="I290" s="94">
        <v>3</v>
      </c>
      <c r="J290" s="94" t="s">
        <v>210</v>
      </c>
      <c r="K290" s="94" t="s">
        <v>210</v>
      </c>
      <c r="L290" s="94">
        <v>-5</v>
      </c>
      <c r="M290" s="94">
        <v>-7</v>
      </c>
      <c r="N290" s="94" t="s">
        <v>210</v>
      </c>
      <c r="O290" s="94" t="s">
        <v>210</v>
      </c>
      <c r="P290" s="94">
        <v>6</v>
      </c>
      <c r="Q290" s="94">
        <v>-8</v>
      </c>
      <c r="R290" s="94" t="s">
        <v>210</v>
      </c>
      <c r="S290" s="94" t="s">
        <v>210</v>
      </c>
      <c r="T290" s="94">
        <v>2</v>
      </c>
      <c r="U290" s="94"/>
      <c r="V290" s="94"/>
      <c r="W290" s="94"/>
      <c r="X290" s="94"/>
      <c r="Y290" s="94"/>
      <c r="Z290" s="94"/>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c r="AZ290" s="94"/>
      <c r="BA290" s="95"/>
    </row>
    <row r="291" spans="1:53" s="87" customFormat="1">
      <c r="A291" s="90" t="str">
        <f t="shared" si="29"/>
        <v/>
      </c>
      <c r="B291" s="98">
        <v>33</v>
      </c>
      <c r="C291" s="94" t="s">
        <v>210</v>
      </c>
      <c r="D291" s="94">
        <v>-5</v>
      </c>
      <c r="E291" s="94">
        <v>-2</v>
      </c>
      <c r="F291" s="94" t="s">
        <v>210</v>
      </c>
      <c r="G291" s="94" t="s">
        <v>210</v>
      </c>
      <c r="H291" s="94">
        <v>7</v>
      </c>
      <c r="I291" s="94">
        <v>8</v>
      </c>
      <c r="J291" s="94" t="s">
        <v>210</v>
      </c>
      <c r="K291" s="94" t="s">
        <v>210</v>
      </c>
      <c r="L291" s="94">
        <v>-4</v>
      </c>
      <c r="M291" s="94">
        <v>5</v>
      </c>
      <c r="N291" s="94" t="s">
        <v>210</v>
      </c>
      <c r="O291" s="94" t="s">
        <v>210</v>
      </c>
      <c r="P291" s="94">
        <v>-6</v>
      </c>
      <c r="Q291" s="94">
        <v>-3</v>
      </c>
      <c r="R291" s="94" t="s">
        <v>210</v>
      </c>
      <c r="S291" s="94" t="s">
        <v>210</v>
      </c>
      <c r="T291" s="94">
        <v>1</v>
      </c>
      <c r="U291" s="94"/>
      <c r="V291" s="94"/>
      <c r="W291" s="94"/>
      <c r="X291" s="94"/>
      <c r="Y291" s="94"/>
      <c r="Z291" s="94"/>
      <c r="AA291" s="94"/>
      <c r="AB291" s="94"/>
      <c r="AC291" s="94"/>
      <c r="AD291" s="94"/>
      <c r="AE291" s="94"/>
      <c r="AF291" s="94"/>
      <c r="AG291" s="94"/>
      <c r="AH291" s="94"/>
      <c r="AI291" s="94"/>
      <c r="AJ291" s="94"/>
      <c r="AK291" s="94"/>
      <c r="AL291" s="94"/>
      <c r="AM291" s="94"/>
      <c r="AN291" s="94"/>
      <c r="AO291" s="94"/>
      <c r="AP291" s="94"/>
      <c r="AQ291" s="94"/>
      <c r="AR291" s="94"/>
      <c r="AS291" s="94"/>
      <c r="AT291" s="94"/>
      <c r="AU291" s="94"/>
      <c r="AV291" s="94"/>
      <c r="AW291" s="94"/>
      <c r="AX291" s="94"/>
      <c r="AY291" s="94"/>
      <c r="AZ291" s="94"/>
      <c r="BA291" s="95"/>
    </row>
    <row r="292" spans="1:53" s="87" customFormat="1">
      <c r="A292" s="90" t="str">
        <f t="shared" si="29"/>
        <v/>
      </c>
      <c r="B292" s="98">
        <v>34</v>
      </c>
      <c r="C292" s="94" t="s">
        <v>210</v>
      </c>
      <c r="D292" s="94">
        <v>-2</v>
      </c>
      <c r="E292" s="94">
        <v>3</v>
      </c>
      <c r="F292" s="94" t="s">
        <v>210</v>
      </c>
      <c r="G292" s="94" t="s">
        <v>210</v>
      </c>
      <c r="H292" s="94">
        <v>-4</v>
      </c>
      <c r="I292" s="94">
        <v>2</v>
      </c>
      <c r="J292" s="94" t="s">
        <v>210</v>
      </c>
      <c r="K292" s="94" t="s">
        <v>210</v>
      </c>
      <c r="L292" s="94">
        <v>-7</v>
      </c>
      <c r="M292" s="94">
        <v>-6</v>
      </c>
      <c r="N292" s="94" t="s">
        <v>210</v>
      </c>
      <c r="O292" s="94" t="s">
        <v>210</v>
      </c>
      <c r="P292" s="94">
        <v>5</v>
      </c>
      <c r="Q292" s="94">
        <v>8</v>
      </c>
      <c r="R292" s="94" t="s">
        <v>210</v>
      </c>
      <c r="S292" s="94" t="s">
        <v>210</v>
      </c>
      <c r="T292" s="94">
        <v>-1</v>
      </c>
      <c r="U292" s="94"/>
      <c r="V292" s="94"/>
      <c r="W292" s="94"/>
      <c r="X292" s="94"/>
      <c r="Y292" s="94"/>
      <c r="Z292" s="94"/>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5"/>
    </row>
    <row r="293" spans="1:53" s="87" customFormat="1">
      <c r="A293" s="90" t="str">
        <f t="shared" si="29"/>
        <v/>
      </c>
      <c r="B293" s="98" t="s">
        <v>515</v>
      </c>
      <c r="C293" s="94"/>
      <c r="D293" s="94"/>
      <c r="E293" s="94"/>
      <c r="F293" s="94"/>
      <c r="G293" s="94"/>
      <c r="H293" s="94"/>
      <c r="I293" s="94"/>
      <c r="J293" s="94"/>
      <c r="K293" s="94"/>
      <c r="L293" s="94"/>
      <c r="M293" s="94"/>
      <c r="N293" s="94"/>
      <c r="O293" s="94"/>
      <c r="P293" s="94"/>
      <c r="Q293" s="94"/>
      <c r="R293" s="94"/>
      <c r="S293" s="94"/>
      <c r="T293" s="94"/>
      <c r="U293" s="94"/>
      <c r="V293" s="94"/>
      <c r="W293" s="94"/>
      <c r="X293" s="94"/>
      <c r="Y293" s="94"/>
      <c r="Z293" s="94"/>
      <c r="AA293" s="94"/>
      <c r="AB293" s="94"/>
      <c r="AC293" s="94"/>
      <c r="AD293" s="94"/>
      <c r="AE293" s="94"/>
      <c r="AF293" s="94"/>
      <c r="AG293" s="94"/>
      <c r="AH293" s="94"/>
      <c r="AI293" s="94"/>
      <c r="AJ293" s="94"/>
      <c r="AK293" s="94"/>
      <c r="AL293" s="94"/>
      <c r="AM293" s="94"/>
      <c r="AN293" s="94"/>
      <c r="AO293" s="94"/>
      <c r="AP293" s="94"/>
      <c r="AQ293" s="94"/>
      <c r="AR293" s="94"/>
      <c r="AS293" s="94"/>
      <c r="AT293" s="94"/>
      <c r="AU293" s="94"/>
      <c r="AV293" s="94"/>
      <c r="AW293" s="94"/>
      <c r="AX293" s="94"/>
      <c r="AY293" s="94"/>
      <c r="AZ293" s="94"/>
      <c r="BA293" s="95"/>
    </row>
    <row r="294" spans="1:53" s="87" customFormat="1">
      <c r="A294" s="90">
        <f t="shared" si="29"/>
        <v>294</v>
      </c>
      <c r="B294" s="98" t="s">
        <v>516</v>
      </c>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5"/>
    </row>
    <row r="295" spans="1:53" s="87" customFormat="1">
      <c r="A295" s="90" t="str">
        <f t="shared" si="29"/>
        <v/>
      </c>
      <c r="B295" s="98">
        <v>1</v>
      </c>
      <c r="C295" s="94">
        <v>-7</v>
      </c>
      <c r="D295" s="94" t="s">
        <v>210</v>
      </c>
      <c r="E295" s="94" t="s">
        <v>210</v>
      </c>
      <c r="F295" s="94">
        <v>9</v>
      </c>
      <c r="G295" s="94">
        <v>4</v>
      </c>
      <c r="H295" s="94" t="s">
        <v>210</v>
      </c>
      <c r="I295" s="94" t="s">
        <v>210</v>
      </c>
      <c r="J295" s="94">
        <v>2</v>
      </c>
      <c r="K295" s="94">
        <v>-6</v>
      </c>
      <c r="L295" s="94" t="s">
        <v>210</v>
      </c>
      <c r="M295" s="94" t="s">
        <v>210</v>
      </c>
      <c r="N295" s="94">
        <v>-8</v>
      </c>
      <c r="O295" s="94">
        <v>-5</v>
      </c>
      <c r="P295" s="94" t="s">
        <v>210</v>
      </c>
      <c r="Q295" s="94" t="s">
        <v>210</v>
      </c>
      <c r="R295" s="94">
        <v>3</v>
      </c>
      <c r="S295" s="94">
        <v>6</v>
      </c>
      <c r="T295" s="94" t="s">
        <v>210</v>
      </c>
      <c r="U295" s="94" t="s">
        <v>210</v>
      </c>
      <c r="V295" s="94">
        <v>1</v>
      </c>
      <c r="W295" s="94">
        <v>8</v>
      </c>
      <c r="X295" s="94" t="s">
        <v>210</v>
      </c>
      <c r="Y295" s="94" t="s">
        <v>210</v>
      </c>
      <c r="Z295" s="94">
        <v>-9</v>
      </c>
      <c r="AA295" s="94">
        <v>-2</v>
      </c>
      <c r="AB295" s="94" t="s">
        <v>210</v>
      </c>
      <c r="AC295" s="94" t="s">
        <v>210</v>
      </c>
      <c r="AD295" s="94">
        <v>-3</v>
      </c>
      <c r="AE295" s="94">
        <v>7</v>
      </c>
      <c r="AF295" s="94" t="s">
        <v>210</v>
      </c>
      <c r="AG295" s="94" t="s">
        <v>210</v>
      </c>
      <c r="AH295" s="94">
        <v>-4</v>
      </c>
      <c r="AI295" s="94">
        <v>5</v>
      </c>
      <c r="AJ295" s="94" t="s">
        <v>210</v>
      </c>
      <c r="AK295" s="94"/>
      <c r="AL295" s="94"/>
      <c r="AM295" s="94"/>
      <c r="AN295" s="94"/>
      <c r="AO295" s="94"/>
      <c r="AP295" s="94"/>
      <c r="AQ295" s="94"/>
      <c r="AR295" s="94"/>
      <c r="AS295" s="94"/>
      <c r="AT295" s="94"/>
      <c r="AU295" s="94"/>
      <c r="AV295" s="94"/>
      <c r="AW295" s="94"/>
      <c r="AX295" s="94"/>
      <c r="AY295" s="94"/>
      <c r="AZ295" s="94"/>
      <c r="BA295" s="95"/>
    </row>
    <row r="296" spans="1:53" s="87" customFormat="1">
      <c r="A296" s="90" t="str">
        <f t="shared" si="29"/>
        <v/>
      </c>
      <c r="B296" s="98">
        <v>2</v>
      </c>
      <c r="C296" s="94">
        <v>5</v>
      </c>
      <c r="D296" s="94" t="s">
        <v>210</v>
      </c>
      <c r="E296" s="94" t="s">
        <v>210</v>
      </c>
      <c r="F296" s="94">
        <v>3</v>
      </c>
      <c r="G296" s="94">
        <v>-1</v>
      </c>
      <c r="H296" s="94" t="s">
        <v>210</v>
      </c>
      <c r="I296" s="94" t="s">
        <v>210</v>
      </c>
      <c r="J296" s="94">
        <v>7</v>
      </c>
      <c r="K296" s="94">
        <v>-9</v>
      </c>
      <c r="L296" s="94" t="s">
        <v>210</v>
      </c>
      <c r="M296" s="94" t="s">
        <v>210</v>
      </c>
      <c r="N296" s="94">
        <v>4</v>
      </c>
      <c r="O296" s="94">
        <v>-2</v>
      </c>
      <c r="P296" s="94" t="s">
        <v>210</v>
      </c>
      <c r="Q296" s="94" t="s">
        <v>210</v>
      </c>
      <c r="R296" s="94">
        <v>-6</v>
      </c>
      <c r="S296" s="94">
        <v>1</v>
      </c>
      <c r="T296" s="94" t="s">
        <v>210</v>
      </c>
      <c r="U296" s="94" t="s">
        <v>210</v>
      </c>
      <c r="V296" s="94">
        <v>-4</v>
      </c>
      <c r="W296" s="94">
        <v>2</v>
      </c>
      <c r="X296" s="94" t="s">
        <v>210</v>
      </c>
      <c r="Y296" s="94" t="s">
        <v>210</v>
      </c>
      <c r="Z296" s="94">
        <v>-8</v>
      </c>
      <c r="AA296" s="94">
        <v>9</v>
      </c>
      <c r="AB296" s="94" t="s">
        <v>210</v>
      </c>
      <c r="AC296" s="94" t="s">
        <v>210</v>
      </c>
      <c r="AD296" s="94">
        <v>-7</v>
      </c>
      <c r="AE296" s="94">
        <v>6</v>
      </c>
      <c r="AF296" s="94" t="s">
        <v>210</v>
      </c>
      <c r="AG296" s="94" t="s">
        <v>210</v>
      </c>
      <c r="AH296" s="94">
        <v>-3</v>
      </c>
      <c r="AI296" s="94">
        <v>-5</v>
      </c>
      <c r="AJ296" s="94" t="s">
        <v>210</v>
      </c>
      <c r="AK296" s="94"/>
      <c r="AL296" s="94"/>
      <c r="AM296" s="94"/>
      <c r="AN296" s="94"/>
      <c r="AO296" s="94"/>
      <c r="AP296" s="94"/>
      <c r="AQ296" s="94"/>
      <c r="AR296" s="94"/>
      <c r="AS296" s="94"/>
      <c r="AT296" s="94"/>
      <c r="AU296" s="94"/>
      <c r="AV296" s="94"/>
      <c r="AW296" s="94"/>
      <c r="AX296" s="94"/>
      <c r="AY296" s="94"/>
      <c r="AZ296" s="94"/>
      <c r="BA296" s="95"/>
    </row>
    <row r="297" spans="1:53" s="87" customFormat="1">
      <c r="A297" s="90" t="str">
        <f t="shared" si="29"/>
        <v/>
      </c>
      <c r="B297" s="98">
        <v>3</v>
      </c>
      <c r="C297" s="94">
        <v>-1</v>
      </c>
      <c r="D297" s="94" t="s">
        <v>210</v>
      </c>
      <c r="E297" s="94" t="s">
        <v>210</v>
      </c>
      <c r="F297" s="94">
        <v>-7</v>
      </c>
      <c r="G297" s="94">
        <v>9</v>
      </c>
      <c r="H297" s="94" t="s">
        <v>210</v>
      </c>
      <c r="I297" s="94" t="s">
        <v>210</v>
      </c>
      <c r="J297" s="94">
        <v>-4</v>
      </c>
      <c r="K297" s="94">
        <v>-2</v>
      </c>
      <c r="L297" s="94" t="s">
        <v>210</v>
      </c>
      <c r="M297" s="94" t="s">
        <v>210</v>
      </c>
      <c r="N297" s="94">
        <v>6</v>
      </c>
      <c r="O297" s="94">
        <v>-8</v>
      </c>
      <c r="P297" s="94" t="s">
        <v>210</v>
      </c>
      <c r="Q297" s="94" t="s">
        <v>210</v>
      </c>
      <c r="R297" s="94">
        <v>5</v>
      </c>
      <c r="S297" s="94">
        <v>-9</v>
      </c>
      <c r="T297" s="94" t="s">
        <v>210</v>
      </c>
      <c r="U297" s="94" t="s">
        <v>210</v>
      </c>
      <c r="V297" s="94">
        <v>2</v>
      </c>
      <c r="W297" s="94">
        <v>-5</v>
      </c>
      <c r="X297" s="94" t="s">
        <v>210</v>
      </c>
      <c r="Y297" s="94" t="s">
        <v>210</v>
      </c>
      <c r="Z297" s="94">
        <v>1</v>
      </c>
      <c r="AA297" s="94">
        <v>8</v>
      </c>
      <c r="AB297" s="94" t="s">
        <v>210</v>
      </c>
      <c r="AC297" s="94" t="s">
        <v>210</v>
      </c>
      <c r="AD297" s="94">
        <v>7</v>
      </c>
      <c r="AE297" s="94">
        <v>-3</v>
      </c>
      <c r="AF297" s="94" t="s">
        <v>210</v>
      </c>
      <c r="AG297" s="94" t="s">
        <v>210</v>
      </c>
      <c r="AH297" s="94">
        <v>4</v>
      </c>
      <c r="AI297" s="94">
        <v>-6</v>
      </c>
      <c r="AJ297" s="94" t="s">
        <v>210</v>
      </c>
      <c r="AK297" s="94"/>
      <c r="AL297" s="94"/>
      <c r="AM297" s="94"/>
      <c r="AN297" s="94"/>
      <c r="AO297" s="94"/>
      <c r="AP297" s="94"/>
      <c r="AQ297" s="94"/>
      <c r="AR297" s="94"/>
      <c r="AS297" s="94"/>
      <c r="AT297" s="94"/>
      <c r="AU297" s="94"/>
      <c r="AV297" s="94"/>
      <c r="AW297" s="94"/>
      <c r="AX297" s="94"/>
      <c r="AY297" s="94"/>
      <c r="AZ297" s="94"/>
      <c r="BA297" s="95"/>
    </row>
    <row r="298" spans="1:53" s="87" customFormat="1">
      <c r="A298" s="90" t="str">
        <f t="shared" si="29"/>
        <v/>
      </c>
      <c r="B298" s="98">
        <v>4</v>
      </c>
      <c r="C298" s="94">
        <v>4</v>
      </c>
      <c r="D298" s="94" t="s">
        <v>210</v>
      </c>
      <c r="E298" s="94" t="s">
        <v>210</v>
      </c>
      <c r="F298" s="94">
        <v>2</v>
      </c>
      <c r="G298" s="94">
        <v>-6</v>
      </c>
      <c r="H298" s="94" t="s">
        <v>210</v>
      </c>
      <c r="I298" s="94" t="s">
        <v>210</v>
      </c>
      <c r="J298" s="94">
        <v>8</v>
      </c>
      <c r="K298" s="94">
        <v>5</v>
      </c>
      <c r="L298" s="94" t="s">
        <v>210</v>
      </c>
      <c r="M298" s="94" t="s">
        <v>210</v>
      </c>
      <c r="N298" s="94">
        <v>-3</v>
      </c>
      <c r="O298" s="94">
        <v>1</v>
      </c>
      <c r="P298" s="94" t="s">
        <v>210</v>
      </c>
      <c r="Q298" s="94" t="s">
        <v>210</v>
      </c>
      <c r="R298" s="94">
        <v>-7</v>
      </c>
      <c r="S298" s="94">
        <v>-2</v>
      </c>
      <c r="T298" s="94" t="s">
        <v>210</v>
      </c>
      <c r="U298" s="94" t="s">
        <v>210</v>
      </c>
      <c r="V298" s="94">
        <v>9</v>
      </c>
      <c r="W298" s="94">
        <v>-8</v>
      </c>
      <c r="X298" s="94" t="s">
        <v>210</v>
      </c>
      <c r="Y298" s="94" t="s">
        <v>210</v>
      </c>
      <c r="Z298" s="94">
        <v>7</v>
      </c>
      <c r="AA298" s="94">
        <v>-1</v>
      </c>
      <c r="AB298" s="94" t="s">
        <v>210</v>
      </c>
      <c r="AC298" s="94" t="s">
        <v>210</v>
      </c>
      <c r="AD298" s="94">
        <v>-4</v>
      </c>
      <c r="AE298" s="94">
        <v>-5</v>
      </c>
      <c r="AF298" s="94" t="s">
        <v>210</v>
      </c>
      <c r="AG298" s="94" t="s">
        <v>210</v>
      </c>
      <c r="AH298" s="94">
        <v>3</v>
      </c>
      <c r="AI298" s="94">
        <v>6</v>
      </c>
      <c r="AJ298" s="94" t="s">
        <v>210</v>
      </c>
      <c r="AK298" s="94"/>
      <c r="AL298" s="94"/>
      <c r="AM298" s="94"/>
      <c r="AN298" s="94"/>
      <c r="AO298" s="94"/>
      <c r="AP298" s="94"/>
      <c r="AQ298" s="94"/>
      <c r="AR298" s="94"/>
      <c r="AS298" s="94"/>
      <c r="AT298" s="94"/>
      <c r="AU298" s="94"/>
      <c r="AV298" s="94"/>
      <c r="AW298" s="94"/>
      <c r="AX298" s="94"/>
      <c r="AY298" s="94"/>
      <c r="AZ298" s="94"/>
      <c r="BA298" s="95"/>
    </row>
    <row r="299" spans="1:53" s="87" customFormat="1">
      <c r="A299" s="90" t="str">
        <f t="shared" si="29"/>
        <v/>
      </c>
      <c r="B299" s="98">
        <v>5</v>
      </c>
      <c r="C299" s="94">
        <v>9</v>
      </c>
      <c r="D299" s="94" t="s">
        <v>210</v>
      </c>
      <c r="E299" s="94" t="s">
        <v>210</v>
      </c>
      <c r="F299" s="94">
        <v>-4</v>
      </c>
      <c r="G299" s="94">
        <v>2</v>
      </c>
      <c r="H299" s="94" t="s">
        <v>210</v>
      </c>
      <c r="I299" s="94" t="s">
        <v>210</v>
      </c>
      <c r="J299" s="94">
        <v>-6</v>
      </c>
      <c r="K299" s="94">
        <v>-8</v>
      </c>
      <c r="L299" s="94" t="s">
        <v>210</v>
      </c>
      <c r="M299" s="94" t="s">
        <v>210</v>
      </c>
      <c r="N299" s="94">
        <v>5</v>
      </c>
      <c r="O299" s="94">
        <v>3</v>
      </c>
      <c r="P299" s="94" t="s">
        <v>210</v>
      </c>
      <c r="Q299" s="94" t="s">
        <v>210</v>
      </c>
      <c r="R299" s="94">
        <v>1</v>
      </c>
      <c r="S299" s="94">
        <v>8</v>
      </c>
      <c r="T299" s="94" t="s">
        <v>210</v>
      </c>
      <c r="U299" s="94" t="s">
        <v>210</v>
      </c>
      <c r="V299" s="94">
        <v>-9</v>
      </c>
      <c r="W299" s="94">
        <v>-2</v>
      </c>
      <c r="X299" s="94" t="s">
        <v>210</v>
      </c>
      <c r="Y299" s="94" t="s">
        <v>210</v>
      </c>
      <c r="Z299" s="94">
        <v>-1</v>
      </c>
      <c r="AA299" s="94">
        <v>-3</v>
      </c>
      <c r="AB299" s="94" t="s">
        <v>210</v>
      </c>
      <c r="AC299" s="94" t="s">
        <v>210</v>
      </c>
      <c r="AD299" s="94">
        <v>6</v>
      </c>
      <c r="AE299" s="94">
        <v>-7</v>
      </c>
      <c r="AF299" s="94" t="s">
        <v>210</v>
      </c>
      <c r="AG299" s="94" t="s">
        <v>210</v>
      </c>
      <c r="AH299" s="94">
        <v>-5</v>
      </c>
      <c r="AI299" s="94">
        <v>4</v>
      </c>
      <c r="AJ299" s="94" t="s">
        <v>210</v>
      </c>
      <c r="AK299" s="94"/>
      <c r="AL299" s="94"/>
      <c r="AM299" s="94"/>
      <c r="AN299" s="94"/>
      <c r="AO299" s="94"/>
      <c r="AP299" s="94"/>
      <c r="AQ299" s="94"/>
      <c r="AR299" s="94"/>
      <c r="AS299" s="94"/>
      <c r="AT299" s="94"/>
      <c r="AU299" s="94"/>
      <c r="AV299" s="94"/>
      <c r="AW299" s="94"/>
      <c r="AX299" s="94"/>
      <c r="AY299" s="94"/>
      <c r="AZ299" s="94"/>
      <c r="BA299" s="95"/>
    </row>
    <row r="300" spans="1:53" s="87" customFormat="1">
      <c r="A300" s="90" t="str">
        <f t="shared" si="29"/>
        <v/>
      </c>
      <c r="B300" s="98">
        <v>6</v>
      </c>
      <c r="C300" s="94">
        <v>6</v>
      </c>
      <c r="D300" s="94" t="s">
        <v>210</v>
      </c>
      <c r="E300" s="94" t="s">
        <v>210</v>
      </c>
      <c r="F300" s="94">
        <v>-8</v>
      </c>
      <c r="G300" s="94">
        <v>5</v>
      </c>
      <c r="H300" s="94" t="s">
        <v>210</v>
      </c>
      <c r="I300" s="94" t="s">
        <v>210</v>
      </c>
      <c r="J300" s="94">
        <v>-3</v>
      </c>
      <c r="K300" s="94">
        <v>1</v>
      </c>
      <c r="L300" s="94" t="s">
        <v>210</v>
      </c>
      <c r="M300" s="94" t="s">
        <v>210</v>
      </c>
      <c r="N300" s="94">
        <v>-7</v>
      </c>
      <c r="O300" s="94">
        <v>9</v>
      </c>
      <c r="P300" s="94" t="s">
        <v>210</v>
      </c>
      <c r="Q300" s="94" t="s">
        <v>210</v>
      </c>
      <c r="R300" s="94">
        <v>4</v>
      </c>
      <c r="S300" s="94">
        <v>2</v>
      </c>
      <c r="T300" s="94" t="s">
        <v>210</v>
      </c>
      <c r="U300" s="94" t="s">
        <v>210</v>
      </c>
      <c r="V300" s="94">
        <v>-1</v>
      </c>
      <c r="W300" s="94">
        <v>-6</v>
      </c>
      <c r="X300" s="94" t="s">
        <v>210</v>
      </c>
      <c r="Y300" s="94" t="s">
        <v>210</v>
      </c>
      <c r="Z300" s="94">
        <v>-5</v>
      </c>
      <c r="AA300" s="94">
        <v>-9</v>
      </c>
      <c r="AB300" s="94" t="s">
        <v>210</v>
      </c>
      <c r="AC300" s="94" t="s">
        <v>210</v>
      </c>
      <c r="AD300" s="94">
        <v>8</v>
      </c>
      <c r="AE300" s="94">
        <v>3</v>
      </c>
      <c r="AF300" s="94" t="s">
        <v>210</v>
      </c>
      <c r="AG300" s="94" t="s">
        <v>210</v>
      </c>
      <c r="AH300" s="94">
        <v>7</v>
      </c>
      <c r="AI300" s="94">
        <v>-4</v>
      </c>
      <c r="AJ300" s="94" t="s">
        <v>210</v>
      </c>
      <c r="AK300" s="94"/>
      <c r="AL300" s="94"/>
      <c r="AM300" s="94"/>
      <c r="AN300" s="94"/>
      <c r="AO300" s="94"/>
      <c r="AP300" s="94"/>
      <c r="AQ300" s="94"/>
      <c r="AR300" s="94"/>
      <c r="AS300" s="94"/>
      <c r="AT300" s="94"/>
      <c r="AU300" s="94"/>
      <c r="AV300" s="94"/>
      <c r="AW300" s="94"/>
      <c r="AX300" s="94"/>
      <c r="AY300" s="94"/>
      <c r="AZ300" s="94"/>
      <c r="BA300" s="95"/>
    </row>
    <row r="301" spans="1:53" s="87" customFormat="1">
      <c r="A301" s="90" t="str">
        <f t="shared" si="29"/>
        <v/>
      </c>
      <c r="B301" s="98">
        <v>7</v>
      </c>
      <c r="C301" s="94">
        <v>8</v>
      </c>
      <c r="D301" s="94" t="s">
        <v>210</v>
      </c>
      <c r="E301" s="94" t="s">
        <v>210</v>
      </c>
      <c r="F301" s="94">
        <v>-5</v>
      </c>
      <c r="G301" s="94">
        <v>3</v>
      </c>
      <c r="H301" s="94" t="s">
        <v>210</v>
      </c>
      <c r="I301" s="94" t="s">
        <v>210</v>
      </c>
      <c r="J301" s="94">
        <v>1</v>
      </c>
      <c r="K301" s="94">
        <v>7</v>
      </c>
      <c r="L301" s="94" t="s">
        <v>210</v>
      </c>
      <c r="M301" s="94" t="s">
        <v>210</v>
      </c>
      <c r="N301" s="94">
        <v>-9</v>
      </c>
      <c r="O301" s="94">
        <v>-4</v>
      </c>
      <c r="P301" s="94" t="s">
        <v>210</v>
      </c>
      <c r="Q301" s="94" t="s">
        <v>210</v>
      </c>
      <c r="R301" s="94">
        <v>2</v>
      </c>
      <c r="S301" s="94">
        <v>-1</v>
      </c>
      <c r="T301" s="94" t="s">
        <v>210</v>
      </c>
      <c r="U301" s="94" t="s">
        <v>210</v>
      </c>
      <c r="V301" s="94">
        <v>-3</v>
      </c>
      <c r="W301" s="94">
        <v>6</v>
      </c>
      <c r="X301" s="94" t="s">
        <v>210</v>
      </c>
      <c r="Y301" s="94" t="s">
        <v>210</v>
      </c>
      <c r="Z301" s="94">
        <v>9</v>
      </c>
      <c r="AA301" s="94">
        <v>-8</v>
      </c>
      <c r="AB301" s="94" t="s">
        <v>210</v>
      </c>
      <c r="AC301" s="94" t="s">
        <v>210</v>
      </c>
      <c r="AD301" s="94">
        <v>4</v>
      </c>
      <c r="AE301" s="94">
        <v>-2</v>
      </c>
      <c r="AF301" s="94" t="s">
        <v>210</v>
      </c>
      <c r="AG301" s="94" t="s">
        <v>210</v>
      </c>
      <c r="AH301" s="94">
        <v>5</v>
      </c>
      <c r="AI301" s="94">
        <v>-7</v>
      </c>
      <c r="AJ301" s="94" t="s">
        <v>210</v>
      </c>
      <c r="AK301" s="94"/>
      <c r="AL301" s="94"/>
      <c r="AM301" s="94"/>
      <c r="AN301" s="94"/>
      <c r="AO301" s="94"/>
      <c r="AP301" s="94"/>
      <c r="AQ301" s="94"/>
      <c r="AR301" s="94"/>
      <c r="AS301" s="94"/>
      <c r="AT301" s="94"/>
      <c r="AU301" s="94"/>
      <c r="AV301" s="94"/>
      <c r="AW301" s="94"/>
      <c r="AX301" s="94"/>
      <c r="AY301" s="94"/>
      <c r="AZ301" s="94"/>
      <c r="BA301" s="95"/>
    </row>
    <row r="302" spans="1:53" s="87" customFormat="1">
      <c r="A302" s="90" t="str">
        <f t="shared" si="29"/>
        <v/>
      </c>
      <c r="B302" s="98">
        <v>8</v>
      </c>
      <c r="C302" s="94">
        <v>2</v>
      </c>
      <c r="D302" s="94" t="s">
        <v>210</v>
      </c>
      <c r="E302" s="94" t="s">
        <v>210</v>
      </c>
      <c r="F302" s="94">
        <v>6</v>
      </c>
      <c r="G302" s="94">
        <v>8</v>
      </c>
      <c r="H302" s="94" t="s">
        <v>210</v>
      </c>
      <c r="I302" s="94" t="s">
        <v>210</v>
      </c>
      <c r="J302" s="94">
        <v>-5</v>
      </c>
      <c r="K302" s="94">
        <v>-3</v>
      </c>
      <c r="L302" s="94" t="s">
        <v>210</v>
      </c>
      <c r="M302" s="94" t="s">
        <v>210</v>
      </c>
      <c r="N302" s="94">
        <v>-1</v>
      </c>
      <c r="O302" s="94">
        <v>-7</v>
      </c>
      <c r="P302" s="94" t="s">
        <v>210</v>
      </c>
      <c r="Q302" s="94" t="s">
        <v>210</v>
      </c>
      <c r="R302" s="94">
        <v>9</v>
      </c>
      <c r="S302" s="94">
        <v>-8</v>
      </c>
      <c r="T302" s="94" t="s">
        <v>210</v>
      </c>
      <c r="U302" s="94" t="s">
        <v>210</v>
      </c>
      <c r="V302" s="94">
        <v>-2</v>
      </c>
      <c r="W302" s="94">
        <v>4</v>
      </c>
      <c r="X302" s="94" t="s">
        <v>210</v>
      </c>
      <c r="Y302" s="94" t="s">
        <v>210</v>
      </c>
      <c r="Z302" s="94">
        <v>5</v>
      </c>
      <c r="AA302" s="94">
        <v>1</v>
      </c>
      <c r="AB302" s="94" t="s">
        <v>210</v>
      </c>
      <c r="AC302" s="94" t="s">
        <v>210</v>
      </c>
      <c r="AD302" s="94">
        <v>3</v>
      </c>
      <c r="AE302" s="94">
        <v>-6</v>
      </c>
      <c r="AF302" s="94" t="s">
        <v>210</v>
      </c>
      <c r="AG302" s="94" t="s">
        <v>210</v>
      </c>
      <c r="AH302" s="94">
        <v>-9</v>
      </c>
      <c r="AI302" s="94">
        <v>7</v>
      </c>
      <c r="AJ302" s="94" t="s">
        <v>210</v>
      </c>
      <c r="AK302" s="94"/>
      <c r="AL302" s="94"/>
      <c r="AM302" s="94"/>
      <c r="AN302" s="94"/>
      <c r="AO302" s="94"/>
      <c r="AP302" s="94"/>
      <c r="AQ302" s="94"/>
      <c r="AR302" s="94"/>
      <c r="AS302" s="94"/>
      <c r="AT302" s="94"/>
      <c r="AU302" s="94"/>
      <c r="AV302" s="94"/>
      <c r="AW302" s="94"/>
      <c r="AX302" s="94"/>
      <c r="AY302" s="94"/>
      <c r="AZ302" s="94"/>
      <c r="BA302" s="95"/>
    </row>
    <row r="303" spans="1:53" s="87" customFormat="1">
      <c r="A303" s="90" t="str">
        <f t="shared" si="29"/>
        <v/>
      </c>
      <c r="B303" s="98">
        <v>9</v>
      </c>
      <c r="C303" s="94">
        <v>3</v>
      </c>
      <c r="D303" s="94" t="s">
        <v>210</v>
      </c>
      <c r="E303" s="94" t="s">
        <v>210</v>
      </c>
      <c r="F303" s="94">
        <v>5</v>
      </c>
      <c r="G303" s="94">
        <v>-8</v>
      </c>
      <c r="H303" s="94" t="s">
        <v>210</v>
      </c>
      <c r="I303" s="94" t="s">
        <v>210</v>
      </c>
      <c r="J303" s="94">
        <v>6</v>
      </c>
      <c r="K303" s="94">
        <v>2</v>
      </c>
      <c r="L303" s="94" t="s">
        <v>210</v>
      </c>
      <c r="M303" s="94" t="s">
        <v>210</v>
      </c>
      <c r="N303" s="94">
        <v>-4</v>
      </c>
      <c r="O303" s="94">
        <v>-9</v>
      </c>
      <c r="P303" s="94" t="s">
        <v>210</v>
      </c>
      <c r="Q303" s="94" t="s">
        <v>210</v>
      </c>
      <c r="R303" s="94">
        <v>7</v>
      </c>
      <c r="S303" s="94">
        <v>-6</v>
      </c>
      <c r="T303" s="94" t="s">
        <v>210</v>
      </c>
      <c r="U303" s="94" t="s">
        <v>210</v>
      </c>
      <c r="V303" s="94">
        <v>-5</v>
      </c>
      <c r="W303" s="94">
        <v>-1</v>
      </c>
      <c r="X303" s="94" t="s">
        <v>210</v>
      </c>
      <c r="Y303" s="94" t="s">
        <v>210</v>
      </c>
      <c r="Z303" s="94">
        <v>-2</v>
      </c>
      <c r="AA303" s="94">
        <v>4</v>
      </c>
      <c r="AB303" s="94" t="s">
        <v>210</v>
      </c>
      <c r="AC303" s="94" t="s">
        <v>210</v>
      </c>
      <c r="AD303" s="94">
        <v>9</v>
      </c>
      <c r="AE303" s="94">
        <v>8</v>
      </c>
      <c r="AF303" s="94" t="s">
        <v>210</v>
      </c>
      <c r="AG303" s="94" t="s">
        <v>210</v>
      </c>
      <c r="AH303" s="94">
        <v>1</v>
      </c>
      <c r="AI303" s="94">
        <v>-3</v>
      </c>
      <c r="AJ303" s="94" t="s">
        <v>210</v>
      </c>
      <c r="AK303" s="94"/>
      <c r="AL303" s="94"/>
      <c r="AM303" s="94"/>
      <c r="AN303" s="94"/>
      <c r="AO303" s="94"/>
      <c r="AP303" s="94"/>
      <c r="AQ303" s="94"/>
      <c r="AR303" s="94"/>
      <c r="AS303" s="94"/>
      <c r="AT303" s="94"/>
      <c r="AU303" s="94"/>
      <c r="AV303" s="94"/>
      <c r="AW303" s="94"/>
      <c r="AX303" s="94"/>
      <c r="AY303" s="94"/>
      <c r="AZ303" s="94"/>
      <c r="BA303" s="95"/>
    </row>
    <row r="304" spans="1:53" s="87" customFormat="1">
      <c r="A304" s="90" t="str">
        <f t="shared" si="29"/>
        <v/>
      </c>
      <c r="B304" s="98">
        <v>10</v>
      </c>
      <c r="C304" s="94">
        <v>-6</v>
      </c>
      <c r="D304" s="94" t="s">
        <v>210</v>
      </c>
      <c r="E304" s="94" t="s">
        <v>210</v>
      </c>
      <c r="F304" s="94">
        <v>-2</v>
      </c>
      <c r="G304" s="94">
        <v>-4</v>
      </c>
      <c r="H304" s="94" t="s">
        <v>210</v>
      </c>
      <c r="I304" s="94" t="s">
        <v>210</v>
      </c>
      <c r="J304" s="94">
        <v>9</v>
      </c>
      <c r="K304" s="94">
        <v>-7</v>
      </c>
      <c r="L304" s="94" t="s">
        <v>210</v>
      </c>
      <c r="M304" s="94" t="s">
        <v>210</v>
      </c>
      <c r="N304" s="94">
        <v>1</v>
      </c>
      <c r="O304" s="94">
        <v>-3</v>
      </c>
      <c r="P304" s="94" t="s">
        <v>210</v>
      </c>
      <c r="Q304" s="94" t="s">
        <v>210</v>
      </c>
      <c r="R304" s="94">
        <v>-5</v>
      </c>
      <c r="S304" s="94">
        <v>7</v>
      </c>
      <c r="T304" s="94" t="s">
        <v>210</v>
      </c>
      <c r="U304" s="94" t="s">
        <v>210</v>
      </c>
      <c r="V304" s="94">
        <v>4</v>
      </c>
      <c r="W304" s="94">
        <v>-9</v>
      </c>
      <c r="X304" s="94" t="s">
        <v>210</v>
      </c>
      <c r="Y304" s="94" t="s">
        <v>210</v>
      </c>
      <c r="Z304" s="94">
        <v>6</v>
      </c>
      <c r="AA304" s="94">
        <v>7</v>
      </c>
      <c r="AB304" s="94" t="s">
        <v>210</v>
      </c>
      <c r="AC304" s="94" t="s">
        <v>210</v>
      </c>
      <c r="AD304" s="94">
        <v>2</v>
      </c>
      <c r="AE304" s="94">
        <v>-1</v>
      </c>
      <c r="AF304" s="94" t="s">
        <v>210</v>
      </c>
      <c r="AG304" s="94" t="s">
        <v>210</v>
      </c>
      <c r="AH304" s="94">
        <v>-8</v>
      </c>
      <c r="AI304" s="94">
        <v>3</v>
      </c>
      <c r="AJ304" s="94" t="s">
        <v>210</v>
      </c>
      <c r="AK304" s="94"/>
      <c r="AL304" s="94"/>
      <c r="AM304" s="94"/>
      <c r="AN304" s="94"/>
      <c r="AO304" s="94"/>
      <c r="AP304" s="94"/>
      <c r="AQ304" s="94"/>
      <c r="AR304" s="94"/>
      <c r="AS304" s="94"/>
      <c r="AT304" s="94"/>
      <c r="AU304" s="94"/>
      <c r="AV304" s="94"/>
      <c r="AW304" s="94"/>
      <c r="AX304" s="94"/>
      <c r="AY304" s="94"/>
      <c r="AZ304" s="94"/>
      <c r="BA304" s="95"/>
    </row>
    <row r="305" spans="1:53" s="87" customFormat="1">
      <c r="A305" s="90" t="str">
        <f t="shared" si="29"/>
        <v/>
      </c>
      <c r="B305" s="98">
        <v>11</v>
      </c>
      <c r="C305" s="94">
        <v>-5</v>
      </c>
      <c r="D305" s="94" t="s">
        <v>210</v>
      </c>
      <c r="E305" s="94" t="s">
        <v>210</v>
      </c>
      <c r="F305" s="94">
        <v>8</v>
      </c>
      <c r="G305" s="94">
        <v>6</v>
      </c>
      <c r="H305" s="94" t="s">
        <v>210</v>
      </c>
      <c r="I305" s="94" t="s">
        <v>210</v>
      </c>
      <c r="J305" s="94">
        <v>-2</v>
      </c>
      <c r="K305" s="94">
        <v>-4</v>
      </c>
      <c r="L305" s="94" t="s">
        <v>210</v>
      </c>
      <c r="M305" s="94" t="s">
        <v>210</v>
      </c>
      <c r="N305" s="94">
        <v>9</v>
      </c>
      <c r="O305" s="94">
        <v>7</v>
      </c>
      <c r="P305" s="94" t="s">
        <v>210</v>
      </c>
      <c r="Q305" s="94" t="s">
        <v>210</v>
      </c>
      <c r="R305" s="94">
        <v>-1</v>
      </c>
      <c r="S305" s="94">
        <v>4</v>
      </c>
      <c r="T305" s="94" t="s">
        <v>210</v>
      </c>
      <c r="U305" s="94" t="s">
        <v>210</v>
      </c>
      <c r="V305" s="94">
        <v>-6</v>
      </c>
      <c r="W305" s="94">
        <v>5</v>
      </c>
      <c r="X305" s="94" t="s">
        <v>210</v>
      </c>
      <c r="Y305" s="94" t="s">
        <v>210</v>
      </c>
      <c r="Z305" s="94">
        <v>3</v>
      </c>
      <c r="AA305" s="94">
        <v>-7</v>
      </c>
      <c r="AB305" s="94" t="s">
        <v>210</v>
      </c>
      <c r="AC305" s="94" t="s">
        <v>210</v>
      </c>
      <c r="AD305" s="94">
        <v>-9</v>
      </c>
      <c r="AE305" s="94">
        <v>4</v>
      </c>
      <c r="AF305" s="94" t="s">
        <v>210</v>
      </c>
      <c r="AG305" s="94" t="s">
        <v>210</v>
      </c>
      <c r="AH305" s="94">
        <v>2</v>
      </c>
      <c r="AI305" s="94">
        <v>-8</v>
      </c>
      <c r="AJ305" s="94" t="s">
        <v>210</v>
      </c>
      <c r="AK305" s="94"/>
      <c r="AL305" s="94"/>
      <c r="AM305" s="94"/>
      <c r="AN305" s="94"/>
      <c r="AO305" s="94"/>
      <c r="AP305" s="94"/>
      <c r="AQ305" s="94"/>
      <c r="AR305" s="94"/>
      <c r="AS305" s="94"/>
      <c r="AT305" s="94"/>
      <c r="AU305" s="94"/>
      <c r="AV305" s="94"/>
      <c r="AW305" s="94"/>
      <c r="AX305" s="94"/>
      <c r="AY305" s="94"/>
      <c r="AZ305" s="94"/>
      <c r="BA305" s="95"/>
    </row>
    <row r="306" spans="1:53" s="87" customFormat="1">
      <c r="A306" s="90" t="str">
        <f t="shared" si="29"/>
        <v/>
      </c>
      <c r="B306" s="98">
        <v>12</v>
      </c>
      <c r="C306" s="94">
        <v>7</v>
      </c>
      <c r="D306" s="94" t="s">
        <v>210</v>
      </c>
      <c r="E306" s="94" t="s">
        <v>210</v>
      </c>
      <c r="F306" s="94">
        <v>-1</v>
      </c>
      <c r="G306" s="94">
        <v>-3</v>
      </c>
      <c r="H306" s="94" t="s">
        <v>210</v>
      </c>
      <c r="I306" s="94" t="s">
        <v>210</v>
      </c>
      <c r="J306" s="94">
        <v>5</v>
      </c>
      <c r="K306" s="94">
        <v>8</v>
      </c>
      <c r="L306" s="94" t="s">
        <v>210</v>
      </c>
      <c r="M306" s="94" t="s">
        <v>210</v>
      </c>
      <c r="N306" s="94">
        <v>-6</v>
      </c>
      <c r="O306" s="94">
        <v>2</v>
      </c>
      <c r="P306" s="94" t="s">
        <v>210</v>
      </c>
      <c r="Q306" s="94" t="s">
        <v>210</v>
      </c>
      <c r="R306" s="94">
        <v>-4</v>
      </c>
      <c r="S306" s="94">
        <v>3</v>
      </c>
      <c r="T306" s="94" t="s">
        <v>210</v>
      </c>
      <c r="U306" s="94" t="s">
        <v>210</v>
      </c>
      <c r="V306" s="94">
        <v>-8</v>
      </c>
      <c r="W306" s="94">
        <v>1</v>
      </c>
      <c r="X306" s="94" t="s">
        <v>210</v>
      </c>
      <c r="Y306" s="94" t="s">
        <v>210</v>
      </c>
      <c r="Z306" s="94">
        <v>-7</v>
      </c>
      <c r="AA306" s="94">
        <v>-5</v>
      </c>
      <c r="AB306" s="94" t="s">
        <v>210</v>
      </c>
      <c r="AC306" s="94" t="s">
        <v>210</v>
      </c>
      <c r="AD306" s="94">
        <v>-2</v>
      </c>
      <c r="AE306" s="94">
        <v>9</v>
      </c>
      <c r="AF306" s="94" t="s">
        <v>210</v>
      </c>
      <c r="AG306" s="94" t="s">
        <v>210</v>
      </c>
      <c r="AH306" s="94">
        <v>6</v>
      </c>
      <c r="AI306" s="94">
        <v>8</v>
      </c>
      <c r="AJ306" s="94" t="s">
        <v>210</v>
      </c>
      <c r="AK306" s="94"/>
      <c r="AL306" s="94"/>
      <c r="AM306" s="94"/>
      <c r="AN306" s="94"/>
      <c r="AO306" s="94"/>
      <c r="AP306" s="94"/>
      <c r="AQ306" s="94"/>
      <c r="AR306" s="94"/>
      <c r="AS306" s="94"/>
      <c r="AT306" s="94"/>
      <c r="AU306" s="94"/>
      <c r="AV306" s="94"/>
      <c r="AW306" s="94"/>
      <c r="AX306" s="94"/>
      <c r="AY306" s="94"/>
      <c r="AZ306" s="94"/>
      <c r="BA306" s="95"/>
    </row>
    <row r="307" spans="1:53" s="87" customFormat="1">
      <c r="A307" s="90" t="str">
        <f t="shared" si="29"/>
        <v/>
      </c>
      <c r="B307" s="98">
        <v>13</v>
      </c>
      <c r="C307" s="94">
        <v>1</v>
      </c>
      <c r="D307" s="94" t="s">
        <v>210</v>
      </c>
      <c r="E307" s="94" t="s">
        <v>210</v>
      </c>
      <c r="F307" s="94">
        <v>-3</v>
      </c>
      <c r="G307" s="94">
        <v>-5</v>
      </c>
      <c r="H307" s="94" t="s">
        <v>210</v>
      </c>
      <c r="I307" s="94" t="s">
        <v>210</v>
      </c>
      <c r="J307" s="94">
        <v>-8</v>
      </c>
      <c r="K307" s="94">
        <v>6</v>
      </c>
      <c r="L307" s="94" t="s">
        <v>210</v>
      </c>
      <c r="M307" s="94" t="s">
        <v>210</v>
      </c>
      <c r="N307" s="94">
        <v>2</v>
      </c>
      <c r="O307" s="94">
        <v>4</v>
      </c>
      <c r="P307" s="94" t="s">
        <v>210</v>
      </c>
      <c r="Q307" s="94" t="s">
        <v>210</v>
      </c>
      <c r="R307" s="94">
        <v>-9</v>
      </c>
      <c r="S307" s="94">
        <v>5</v>
      </c>
      <c r="T307" s="94" t="s">
        <v>210</v>
      </c>
      <c r="U307" s="94" t="s">
        <v>210</v>
      </c>
      <c r="V307" s="94">
        <v>8</v>
      </c>
      <c r="W307" s="94">
        <v>-7</v>
      </c>
      <c r="X307" s="94" t="s">
        <v>210</v>
      </c>
      <c r="Y307" s="94" t="s">
        <v>210</v>
      </c>
      <c r="Z307" s="94">
        <v>-6</v>
      </c>
      <c r="AA307" s="94">
        <v>3</v>
      </c>
      <c r="AB307" s="94" t="s">
        <v>210</v>
      </c>
      <c r="AC307" s="94" t="s">
        <v>210</v>
      </c>
      <c r="AD307" s="94">
        <v>5</v>
      </c>
      <c r="AE307" s="94">
        <v>-4</v>
      </c>
      <c r="AF307" s="94" t="s">
        <v>210</v>
      </c>
      <c r="AG307" s="94" t="s">
        <v>210</v>
      </c>
      <c r="AH307" s="94">
        <v>-1</v>
      </c>
      <c r="AI307" s="94">
        <v>-2</v>
      </c>
      <c r="AJ307" s="94" t="s">
        <v>210</v>
      </c>
      <c r="AK307" s="94"/>
      <c r="AL307" s="94"/>
      <c r="AM307" s="94"/>
      <c r="AN307" s="94"/>
      <c r="AO307" s="94"/>
      <c r="AP307" s="94"/>
      <c r="AQ307" s="94"/>
      <c r="AR307" s="94"/>
      <c r="AS307" s="94"/>
      <c r="AT307" s="94"/>
      <c r="AU307" s="94"/>
      <c r="AV307" s="94"/>
      <c r="AW307" s="94"/>
      <c r="AX307" s="94"/>
      <c r="AY307" s="94"/>
      <c r="AZ307" s="94"/>
      <c r="BA307" s="95"/>
    </row>
    <row r="308" spans="1:53" s="87" customFormat="1">
      <c r="A308" s="90" t="str">
        <f t="shared" si="29"/>
        <v/>
      </c>
      <c r="B308" s="98">
        <v>14</v>
      </c>
      <c r="C308" s="94">
        <v>-9</v>
      </c>
      <c r="D308" s="94" t="s">
        <v>210</v>
      </c>
      <c r="E308" s="94" t="s">
        <v>210</v>
      </c>
      <c r="F308" s="94">
        <v>7</v>
      </c>
      <c r="G308" s="94">
        <v>1</v>
      </c>
      <c r="H308" s="94" t="s">
        <v>210</v>
      </c>
      <c r="I308" s="94" t="s">
        <v>210</v>
      </c>
      <c r="J308" s="94">
        <v>3</v>
      </c>
      <c r="K308" s="94">
        <v>-5</v>
      </c>
      <c r="L308" s="94" t="s">
        <v>210</v>
      </c>
      <c r="M308" s="94" t="s">
        <v>210</v>
      </c>
      <c r="N308" s="94">
        <v>8</v>
      </c>
      <c r="O308" s="94">
        <v>-6</v>
      </c>
      <c r="P308" s="94" t="s">
        <v>210</v>
      </c>
      <c r="Q308" s="94" t="s">
        <v>210</v>
      </c>
      <c r="R308" s="94">
        <v>-2</v>
      </c>
      <c r="S308" s="94">
        <v>-7</v>
      </c>
      <c r="T308" s="94" t="s">
        <v>210</v>
      </c>
      <c r="U308" s="94" t="s">
        <v>210</v>
      </c>
      <c r="V308" s="94">
        <v>6</v>
      </c>
      <c r="W308" s="94">
        <v>-3</v>
      </c>
      <c r="X308" s="94" t="s">
        <v>210</v>
      </c>
      <c r="Y308" s="94" t="s">
        <v>210</v>
      </c>
      <c r="Z308" s="94">
        <v>-4</v>
      </c>
      <c r="AA308" s="94">
        <v>5</v>
      </c>
      <c r="AB308" s="94" t="s">
        <v>210</v>
      </c>
      <c r="AC308" s="94" t="s">
        <v>210</v>
      </c>
      <c r="AD308" s="94">
        <v>-1</v>
      </c>
      <c r="AE308" s="94">
        <v>-8</v>
      </c>
      <c r="AF308" s="94" t="s">
        <v>210</v>
      </c>
      <c r="AG308" s="94" t="s">
        <v>210</v>
      </c>
      <c r="AH308" s="94">
        <v>9</v>
      </c>
      <c r="AI308" s="94">
        <v>2</v>
      </c>
      <c r="AJ308" s="94" t="s">
        <v>210</v>
      </c>
      <c r="AK308" s="94"/>
      <c r="AL308" s="94"/>
      <c r="AM308" s="94"/>
      <c r="AN308" s="94"/>
      <c r="AO308" s="94"/>
      <c r="AP308" s="94"/>
      <c r="AQ308" s="94"/>
      <c r="AR308" s="94"/>
      <c r="AS308" s="94"/>
      <c r="AT308" s="94"/>
      <c r="AU308" s="94"/>
      <c r="AV308" s="94"/>
      <c r="AW308" s="94"/>
      <c r="AX308" s="94"/>
      <c r="AY308" s="94"/>
      <c r="AZ308" s="94"/>
      <c r="BA308" s="95"/>
    </row>
    <row r="309" spans="1:53" s="87" customFormat="1">
      <c r="A309" s="90" t="str">
        <f t="shared" si="29"/>
        <v/>
      </c>
      <c r="B309" s="98">
        <v>15</v>
      </c>
      <c r="C309" s="94">
        <v>-4</v>
      </c>
      <c r="D309" s="94" t="s">
        <v>210</v>
      </c>
      <c r="E309" s="94" t="s">
        <v>210</v>
      </c>
      <c r="F309" s="94">
        <v>-9</v>
      </c>
      <c r="G309" s="94">
        <v>-7</v>
      </c>
      <c r="H309" s="94" t="s">
        <v>210</v>
      </c>
      <c r="I309" s="94" t="s">
        <v>210</v>
      </c>
      <c r="J309" s="94">
        <v>-1</v>
      </c>
      <c r="K309" s="94">
        <v>3</v>
      </c>
      <c r="L309" s="94" t="s">
        <v>210</v>
      </c>
      <c r="M309" s="94" t="s">
        <v>210</v>
      </c>
      <c r="N309" s="94">
        <v>-5</v>
      </c>
      <c r="O309" s="94">
        <v>8</v>
      </c>
      <c r="P309" s="94" t="s">
        <v>210</v>
      </c>
      <c r="Q309" s="94" t="s">
        <v>210</v>
      </c>
      <c r="R309" s="94">
        <v>6</v>
      </c>
      <c r="S309" s="94">
        <v>-3</v>
      </c>
      <c r="T309" s="94" t="s">
        <v>210</v>
      </c>
      <c r="U309" s="94" t="s">
        <v>210</v>
      </c>
      <c r="V309" s="94">
        <v>5</v>
      </c>
      <c r="W309" s="94">
        <v>7</v>
      </c>
      <c r="X309" s="94" t="s">
        <v>210</v>
      </c>
      <c r="Y309" s="94" t="s">
        <v>210</v>
      </c>
      <c r="Z309" s="94">
        <v>4</v>
      </c>
      <c r="AA309" s="94">
        <v>-6</v>
      </c>
      <c r="AB309" s="94" t="s">
        <v>210</v>
      </c>
      <c r="AC309" s="94" t="s">
        <v>210</v>
      </c>
      <c r="AD309" s="94">
        <v>-8</v>
      </c>
      <c r="AE309" s="94">
        <v>1</v>
      </c>
      <c r="AF309" s="94" t="s">
        <v>210</v>
      </c>
      <c r="AG309" s="94" t="s">
        <v>210</v>
      </c>
      <c r="AH309" s="94">
        <v>-2</v>
      </c>
      <c r="AI309" s="94">
        <v>9</v>
      </c>
      <c r="AJ309" s="94" t="s">
        <v>210</v>
      </c>
      <c r="AK309" s="94"/>
      <c r="AL309" s="94"/>
      <c r="AM309" s="94"/>
      <c r="AN309" s="94"/>
      <c r="AO309" s="94"/>
      <c r="AP309" s="94"/>
      <c r="AQ309" s="94"/>
      <c r="AR309" s="94"/>
      <c r="AS309" s="94"/>
      <c r="AT309" s="94"/>
      <c r="AU309" s="94"/>
      <c r="AV309" s="94"/>
      <c r="AW309" s="94"/>
      <c r="AX309" s="94"/>
      <c r="AY309" s="94"/>
      <c r="AZ309" s="94"/>
      <c r="BA309" s="95"/>
    </row>
    <row r="310" spans="1:53" s="87" customFormat="1">
      <c r="A310" s="90" t="str">
        <f t="shared" si="29"/>
        <v/>
      </c>
      <c r="B310" s="98">
        <v>16</v>
      </c>
      <c r="C310" s="94">
        <v>-2</v>
      </c>
      <c r="D310" s="94" t="s">
        <v>210</v>
      </c>
      <c r="E310" s="94" t="s">
        <v>210</v>
      </c>
      <c r="F310" s="94">
        <v>4</v>
      </c>
      <c r="G310" s="94">
        <v>-9</v>
      </c>
      <c r="H310" s="94" t="s">
        <v>210</v>
      </c>
      <c r="I310" s="94" t="s">
        <v>210</v>
      </c>
      <c r="J310" s="94">
        <v>-7</v>
      </c>
      <c r="K310" s="94">
        <v>-1</v>
      </c>
      <c r="L310" s="94" t="s">
        <v>210</v>
      </c>
      <c r="M310" s="94" t="s">
        <v>210</v>
      </c>
      <c r="N310" s="94">
        <v>3</v>
      </c>
      <c r="O310" s="94">
        <v>5</v>
      </c>
      <c r="P310" s="94" t="s">
        <v>210</v>
      </c>
      <c r="Q310" s="94" t="s">
        <v>210</v>
      </c>
      <c r="R310" s="94">
        <v>8</v>
      </c>
      <c r="S310" s="94">
        <v>-5</v>
      </c>
      <c r="T310" s="94" t="s">
        <v>210</v>
      </c>
      <c r="U310" s="94" t="s">
        <v>210</v>
      </c>
      <c r="V310" s="94">
        <v>7</v>
      </c>
      <c r="W310" s="94">
        <v>9</v>
      </c>
      <c r="X310" s="94" t="s">
        <v>210</v>
      </c>
      <c r="Y310" s="94" t="s">
        <v>210</v>
      </c>
      <c r="Z310" s="94">
        <v>-3</v>
      </c>
      <c r="AA310" s="94">
        <v>-4</v>
      </c>
      <c r="AB310" s="94" t="s">
        <v>210</v>
      </c>
      <c r="AC310" s="94" t="s">
        <v>210</v>
      </c>
      <c r="AD310" s="94">
        <v>1</v>
      </c>
      <c r="AE310" s="94">
        <v>2</v>
      </c>
      <c r="AF310" s="94" t="s">
        <v>210</v>
      </c>
      <c r="AG310" s="94" t="s">
        <v>210</v>
      </c>
      <c r="AH310" s="94">
        <v>-6</v>
      </c>
      <c r="AI310" s="94">
        <v>-9</v>
      </c>
      <c r="AJ310" s="94" t="s">
        <v>210</v>
      </c>
      <c r="AK310" s="94"/>
      <c r="AL310" s="94"/>
      <c r="AM310" s="94"/>
      <c r="AN310" s="94"/>
      <c r="AO310" s="94"/>
      <c r="AP310" s="94"/>
      <c r="AQ310" s="94"/>
      <c r="AR310" s="94"/>
      <c r="AS310" s="94"/>
      <c r="AT310" s="94"/>
      <c r="AU310" s="94"/>
      <c r="AV310" s="94"/>
      <c r="AW310" s="94"/>
      <c r="AX310" s="94"/>
      <c r="AY310" s="94"/>
      <c r="AZ310" s="94"/>
      <c r="BA310" s="95"/>
    </row>
    <row r="311" spans="1:53" s="87" customFormat="1">
      <c r="A311" s="90" t="str">
        <f t="shared" si="29"/>
        <v/>
      </c>
      <c r="B311" s="98">
        <v>17</v>
      </c>
      <c r="C311" s="94">
        <v>-8</v>
      </c>
      <c r="D311" s="94" t="s">
        <v>210</v>
      </c>
      <c r="E311" s="94" t="s">
        <v>210</v>
      </c>
      <c r="F311" s="94">
        <v>-6</v>
      </c>
      <c r="G311" s="94">
        <v>-2</v>
      </c>
      <c r="H311" s="94" t="s">
        <v>210</v>
      </c>
      <c r="I311" s="94" t="s">
        <v>210</v>
      </c>
      <c r="J311" s="94">
        <v>4</v>
      </c>
      <c r="K311" s="94">
        <v>9</v>
      </c>
      <c r="L311" s="94" t="s">
        <v>210</v>
      </c>
      <c r="M311" s="94" t="s">
        <v>210</v>
      </c>
      <c r="N311" s="94">
        <v>7</v>
      </c>
      <c r="O311" s="94">
        <v>-1</v>
      </c>
      <c r="P311" s="94" t="s">
        <v>210</v>
      </c>
      <c r="Q311" s="94" t="s">
        <v>210</v>
      </c>
      <c r="R311" s="94">
        <v>-3</v>
      </c>
      <c r="S311" s="94">
        <v>-4</v>
      </c>
      <c r="T311" s="94" t="s">
        <v>210</v>
      </c>
      <c r="U311" s="94" t="s">
        <v>210</v>
      </c>
      <c r="V311" s="94">
        <v>-7</v>
      </c>
      <c r="W311" s="94">
        <v>3</v>
      </c>
      <c r="X311" s="94" t="s">
        <v>210</v>
      </c>
      <c r="Y311" s="94" t="s">
        <v>210</v>
      </c>
      <c r="Z311" s="94">
        <v>2</v>
      </c>
      <c r="AA311" s="94">
        <v>6</v>
      </c>
      <c r="AB311" s="94" t="s">
        <v>210</v>
      </c>
      <c r="AC311" s="94" t="s">
        <v>210</v>
      </c>
      <c r="AD311" s="94">
        <v>-5</v>
      </c>
      <c r="AE311" s="94">
        <v>-9</v>
      </c>
      <c r="AF311" s="94" t="s">
        <v>210</v>
      </c>
      <c r="AG311" s="94" t="s">
        <v>210</v>
      </c>
      <c r="AH311" s="94">
        <v>8</v>
      </c>
      <c r="AI311" s="94">
        <v>1</v>
      </c>
      <c r="AJ311" s="94" t="s">
        <v>210</v>
      </c>
      <c r="AK311" s="94"/>
      <c r="AL311" s="94"/>
      <c r="AM311" s="94"/>
      <c r="AN311" s="94"/>
      <c r="AO311" s="94"/>
      <c r="AP311" s="94"/>
      <c r="AQ311" s="94"/>
      <c r="AR311" s="94"/>
      <c r="AS311" s="94"/>
      <c r="AT311" s="94"/>
      <c r="AU311" s="94"/>
      <c r="AV311" s="94"/>
      <c r="AW311" s="94"/>
      <c r="AX311" s="94"/>
      <c r="AY311" s="94"/>
      <c r="AZ311" s="94"/>
      <c r="BA311" s="95"/>
    </row>
    <row r="312" spans="1:53" s="87" customFormat="1">
      <c r="A312" s="90" t="str">
        <f t="shared" si="29"/>
        <v/>
      </c>
      <c r="B312" s="99">
        <v>18</v>
      </c>
      <c r="C312" s="92">
        <v>-3</v>
      </c>
      <c r="D312" s="92" t="s">
        <v>210</v>
      </c>
      <c r="E312" s="92" t="s">
        <v>210</v>
      </c>
      <c r="F312" s="92">
        <v>1</v>
      </c>
      <c r="G312" s="92">
        <v>7</v>
      </c>
      <c r="H312" s="92" t="s">
        <v>210</v>
      </c>
      <c r="I312" s="92" t="s">
        <v>210</v>
      </c>
      <c r="J312" s="92">
        <v>-9</v>
      </c>
      <c r="K312" s="92">
        <v>4</v>
      </c>
      <c r="L312" s="92" t="s">
        <v>210</v>
      </c>
      <c r="M312" s="92" t="s">
        <v>210</v>
      </c>
      <c r="N312" s="92">
        <v>-2</v>
      </c>
      <c r="O312" s="92">
        <v>6</v>
      </c>
      <c r="P312" s="92" t="s">
        <v>210</v>
      </c>
      <c r="Q312" s="92" t="s">
        <v>210</v>
      </c>
      <c r="R312" s="92">
        <v>-8</v>
      </c>
      <c r="S312" s="92">
        <v>9</v>
      </c>
      <c r="T312" s="92" t="s">
        <v>210</v>
      </c>
      <c r="U312" s="92" t="s">
        <v>210</v>
      </c>
      <c r="V312" s="92">
        <v>3</v>
      </c>
      <c r="W312" s="92">
        <v>-4</v>
      </c>
      <c r="X312" s="92" t="s">
        <v>210</v>
      </c>
      <c r="Y312" s="92" t="s">
        <v>210</v>
      </c>
      <c r="Z312" s="92">
        <v>8</v>
      </c>
      <c r="AA312" s="92">
        <v>2</v>
      </c>
      <c r="AB312" s="92" t="s">
        <v>210</v>
      </c>
      <c r="AC312" s="92" t="s">
        <v>210</v>
      </c>
      <c r="AD312" s="92">
        <v>-6</v>
      </c>
      <c r="AE312" s="92">
        <v>5</v>
      </c>
      <c r="AF312" s="92" t="s">
        <v>210</v>
      </c>
      <c r="AG312" s="92" t="s">
        <v>210</v>
      </c>
      <c r="AH312" s="92">
        <v>-7</v>
      </c>
      <c r="AI312" s="92">
        <v>-1</v>
      </c>
      <c r="AJ312" s="92" t="s">
        <v>210</v>
      </c>
      <c r="AK312" s="94"/>
      <c r="AL312" s="94"/>
      <c r="AM312" s="94"/>
      <c r="AN312" s="94"/>
      <c r="AO312" s="94"/>
      <c r="AP312" s="94"/>
      <c r="AQ312" s="94"/>
      <c r="AR312" s="94"/>
      <c r="AS312" s="94"/>
      <c r="AT312" s="94"/>
      <c r="AU312" s="94"/>
      <c r="AV312" s="94"/>
      <c r="AW312" s="94"/>
      <c r="AX312" s="94"/>
      <c r="AY312" s="94"/>
      <c r="AZ312" s="94"/>
      <c r="BA312" s="95"/>
    </row>
    <row r="313" spans="1:53" s="87" customFormat="1">
      <c r="A313" s="90" t="str">
        <f t="shared" si="29"/>
        <v/>
      </c>
      <c r="B313" s="98">
        <v>19</v>
      </c>
      <c r="C313" s="94" t="s">
        <v>210</v>
      </c>
      <c r="D313" s="94">
        <v>-6</v>
      </c>
      <c r="E313" s="94">
        <v>4</v>
      </c>
      <c r="F313" s="94" t="s">
        <v>210</v>
      </c>
      <c r="G313" s="94" t="s">
        <v>210</v>
      </c>
      <c r="H313" s="94">
        <v>1</v>
      </c>
      <c r="I313" s="94">
        <v>5</v>
      </c>
      <c r="J313" s="94" t="s">
        <v>210</v>
      </c>
      <c r="K313" s="94" t="s">
        <v>210</v>
      </c>
      <c r="L313" s="94">
        <v>7</v>
      </c>
      <c r="M313" s="94">
        <v>-8</v>
      </c>
      <c r="N313" s="94" t="s">
        <v>210</v>
      </c>
      <c r="O313" s="94" t="s">
        <v>210</v>
      </c>
      <c r="P313" s="94">
        <v>4</v>
      </c>
      <c r="Q313" s="94" t="s">
        <v>202</v>
      </c>
      <c r="R313" s="94" t="s">
        <v>210</v>
      </c>
      <c r="S313" s="94" t="s">
        <v>210</v>
      </c>
      <c r="T313" s="94">
        <v>3</v>
      </c>
      <c r="U313" s="94">
        <v>-1</v>
      </c>
      <c r="V313" s="94" t="s">
        <v>210</v>
      </c>
      <c r="W313" s="94" t="s">
        <v>210</v>
      </c>
      <c r="X313" s="94">
        <v>-2</v>
      </c>
      <c r="Y313" s="94">
        <v>8</v>
      </c>
      <c r="Z313" s="94" t="s">
        <v>210</v>
      </c>
      <c r="AA313" s="94" t="s">
        <v>210</v>
      </c>
      <c r="AB313" s="94">
        <v>6</v>
      </c>
      <c r="AC313" s="94">
        <v>-3</v>
      </c>
      <c r="AD313" s="94" t="s">
        <v>210</v>
      </c>
      <c r="AE313" s="94" t="s">
        <v>210</v>
      </c>
      <c r="AF313" s="94">
        <v>-7</v>
      </c>
      <c r="AG313" s="94">
        <v>-5</v>
      </c>
      <c r="AH313" s="94" t="s">
        <v>210</v>
      </c>
      <c r="AI313" s="94" t="s">
        <v>210</v>
      </c>
      <c r="AJ313" s="94">
        <v>-4</v>
      </c>
      <c r="AK313" s="94"/>
      <c r="AL313" s="94"/>
      <c r="AM313" s="94"/>
      <c r="AN313" s="94"/>
      <c r="AO313" s="94"/>
      <c r="AP313" s="94"/>
      <c r="AQ313" s="94"/>
      <c r="AR313" s="94"/>
      <c r="AS313" s="94"/>
      <c r="AT313" s="94"/>
      <c r="AU313" s="94"/>
      <c r="AV313" s="94"/>
      <c r="AW313" s="94"/>
      <c r="AX313" s="94"/>
      <c r="AY313" s="94"/>
      <c r="AZ313" s="94"/>
      <c r="BA313" s="95"/>
    </row>
    <row r="314" spans="1:53" s="87" customFormat="1">
      <c r="A314" s="90" t="str">
        <f t="shared" si="29"/>
        <v/>
      </c>
      <c r="B314" s="98">
        <v>20</v>
      </c>
      <c r="C314" s="94" t="s">
        <v>210</v>
      </c>
      <c r="D314" s="94">
        <v>-3</v>
      </c>
      <c r="E314" s="94">
        <v>5</v>
      </c>
      <c r="F314" s="94" t="s">
        <v>210</v>
      </c>
      <c r="G314" s="94" t="s">
        <v>210</v>
      </c>
      <c r="H314" s="94">
        <v>8</v>
      </c>
      <c r="I314" s="94">
        <v>-7</v>
      </c>
      <c r="J314" s="94" t="s">
        <v>210</v>
      </c>
      <c r="K314" s="94" t="s">
        <v>210</v>
      </c>
      <c r="L314" s="94" t="s">
        <v>202</v>
      </c>
      <c r="M314" s="94">
        <v>6</v>
      </c>
      <c r="N314" s="94" t="s">
        <v>210</v>
      </c>
      <c r="O314" s="94" t="s">
        <v>210</v>
      </c>
      <c r="P314" s="94">
        <v>1</v>
      </c>
      <c r="Q314" s="94">
        <v>2</v>
      </c>
      <c r="R314" s="94" t="s">
        <v>210</v>
      </c>
      <c r="S314" s="94" t="s">
        <v>210</v>
      </c>
      <c r="T314" s="94">
        <v>-4</v>
      </c>
      <c r="U314" s="94">
        <v>-8</v>
      </c>
      <c r="V314" s="94" t="s">
        <v>210</v>
      </c>
      <c r="W314" s="94" t="s">
        <v>210</v>
      </c>
      <c r="X314" s="94">
        <v>-6</v>
      </c>
      <c r="Y314" s="94">
        <v>-1</v>
      </c>
      <c r="Z314" s="94" t="s">
        <v>210</v>
      </c>
      <c r="AA314" s="94" t="s">
        <v>210</v>
      </c>
      <c r="AB314" s="94">
        <v>7</v>
      </c>
      <c r="AC314" s="94">
        <v>-5</v>
      </c>
      <c r="AD314" s="94" t="s">
        <v>210</v>
      </c>
      <c r="AE314" s="94" t="s">
        <v>210</v>
      </c>
      <c r="AF314" s="94">
        <v>-2</v>
      </c>
      <c r="AG314" s="94">
        <v>3</v>
      </c>
      <c r="AH314" s="94" t="s">
        <v>210</v>
      </c>
      <c r="AI314" s="94" t="s">
        <v>210</v>
      </c>
      <c r="AJ314" s="94">
        <v>4</v>
      </c>
      <c r="AK314" s="94"/>
      <c r="AL314" s="94"/>
      <c r="AM314" s="94"/>
      <c r="AN314" s="94"/>
      <c r="AO314" s="94"/>
      <c r="AP314" s="94"/>
      <c r="AQ314" s="94"/>
      <c r="AR314" s="94"/>
      <c r="AS314" s="94"/>
      <c r="AT314" s="94"/>
      <c r="AU314" s="94"/>
      <c r="AV314" s="94"/>
      <c r="AW314" s="94"/>
      <c r="AX314" s="94"/>
      <c r="AY314" s="94"/>
      <c r="AZ314" s="94"/>
      <c r="BA314" s="95"/>
    </row>
    <row r="315" spans="1:53" s="87" customFormat="1">
      <c r="A315" s="90" t="str">
        <f t="shared" si="29"/>
        <v/>
      </c>
      <c r="B315" s="98">
        <v>21</v>
      </c>
      <c r="C315" s="94" t="s">
        <v>210</v>
      </c>
      <c r="D315" s="94" t="s">
        <v>202</v>
      </c>
      <c r="E315" s="94">
        <v>3</v>
      </c>
      <c r="F315" s="94" t="s">
        <v>210</v>
      </c>
      <c r="G315" s="94" t="s">
        <v>210</v>
      </c>
      <c r="H315" s="94">
        <v>4</v>
      </c>
      <c r="I315" s="94">
        <v>-1</v>
      </c>
      <c r="J315" s="94" t="s">
        <v>210</v>
      </c>
      <c r="K315" s="94" t="s">
        <v>210</v>
      </c>
      <c r="L315" s="94">
        <v>6</v>
      </c>
      <c r="M315" s="94">
        <v>-2</v>
      </c>
      <c r="N315" s="94" t="s">
        <v>210</v>
      </c>
      <c r="O315" s="94" t="s">
        <v>210</v>
      </c>
      <c r="P315" s="94">
        <v>8</v>
      </c>
      <c r="Q315" s="94">
        <v>3</v>
      </c>
      <c r="R315" s="94" t="s">
        <v>210</v>
      </c>
      <c r="S315" s="94" t="s">
        <v>210</v>
      </c>
      <c r="T315" s="94">
        <v>-5</v>
      </c>
      <c r="U315" s="94">
        <v>-6</v>
      </c>
      <c r="V315" s="94" t="s">
        <v>210</v>
      </c>
      <c r="W315" s="94" t="s">
        <v>210</v>
      </c>
      <c r="X315" s="94">
        <v>-7</v>
      </c>
      <c r="Y315" s="94">
        <v>-8</v>
      </c>
      <c r="Z315" s="94" t="s">
        <v>210</v>
      </c>
      <c r="AA315" s="94" t="s">
        <v>210</v>
      </c>
      <c r="AB315" s="94">
        <v>-4</v>
      </c>
      <c r="AC315" s="94">
        <v>2</v>
      </c>
      <c r="AD315" s="94" t="s">
        <v>210</v>
      </c>
      <c r="AE315" s="94" t="s">
        <v>210</v>
      </c>
      <c r="AF315" s="94">
        <v>1</v>
      </c>
      <c r="AG315" s="94">
        <v>-3</v>
      </c>
      <c r="AH315" s="94" t="s">
        <v>210</v>
      </c>
      <c r="AI315" s="94" t="s">
        <v>210</v>
      </c>
      <c r="AJ315" s="94">
        <v>5</v>
      </c>
      <c r="AK315" s="94"/>
      <c r="AL315" s="94"/>
      <c r="AM315" s="94"/>
      <c r="AN315" s="94"/>
      <c r="AO315" s="94"/>
      <c r="AP315" s="94"/>
      <c r="AQ315" s="94"/>
      <c r="AR315" s="94"/>
      <c r="AS315" s="94"/>
      <c r="AT315" s="94"/>
      <c r="AU315" s="94"/>
      <c r="AV315" s="94"/>
      <c r="AW315" s="94"/>
      <c r="AX315" s="94"/>
      <c r="AY315" s="94"/>
      <c r="AZ315" s="94"/>
      <c r="BA315" s="95"/>
    </row>
    <row r="316" spans="1:53" s="87" customFormat="1">
      <c r="A316" s="90" t="str">
        <f t="shared" si="29"/>
        <v/>
      </c>
      <c r="B316" s="98">
        <v>22</v>
      </c>
      <c r="C316" s="94" t="s">
        <v>210</v>
      </c>
      <c r="D316" s="94">
        <v>-1</v>
      </c>
      <c r="E316" s="94">
        <v>-6</v>
      </c>
      <c r="F316" s="94" t="s">
        <v>210</v>
      </c>
      <c r="G316" s="94" t="s">
        <v>210</v>
      </c>
      <c r="H316" s="94">
        <v>-3</v>
      </c>
      <c r="I316" s="94" t="s">
        <v>202</v>
      </c>
      <c r="J316" s="94" t="s">
        <v>210</v>
      </c>
      <c r="K316" s="94" t="s">
        <v>210</v>
      </c>
      <c r="L316" s="94">
        <v>4</v>
      </c>
      <c r="M316" s="94">
        <v>-7</v>
      </c>
      <c r="N316" s="94" t="s">
        <v>210</v>
      </c>
      <c r="O316" s="94" t="s">
        <v>210</v>
      </c>
      <c r="P316" s="94">
        <v>2</v>
      </c>
      <c r="Q316" s="94">
        <v>5</v>
      </c>
      <c r="R316" s="94" t="s">
        <v>210</v>
      </c>
      <c r="S316" s="94" t="s">
        <v>210</v>
      </c>
      <c r="T316" s="94">
        <v>-8</v>
      </c>
      <c r="U316" s="94">
        <v>-2</v>
      </c>
      <c r="V316" s="94" t="s">
        <v>210</v>
      </c>
      <c r="W316" s="94" t="s">
        <v>210</v>
      </c>
      <c r="X316" s="94">
        <v>6</v>
      </c>
      <c r="Y316" s="94">
        <v>7</v>
      </c>
      <c r="Z316" s="94" t="s">
        <v>210</v>
      </c>
      <c r="AA316" s="94" t="s">
        <v>210</v>
      </c>
      <c r="AB316" s="94">
        <v>1</v>
      </c>
      <c r="AC316" s="94">
        <v>3</v>
      </c>
      <c r="AD316" s="94" t="s">
        <v>210</v>
      </c>
      <c r="AE316" s="94" t="s">
        <v>210</v>
      </c>
      <c r="AF316" s="94">
        <v>8</v>
      </c>
      <c r="AG316" s="94">
        <v>-4</v>
      </c>
      <c r="AH316" s="94" t="s">
        <v>210</v>
      </c>
      <c r="AI316" s="94" t="s">
        <v>210</v>
      </c>
      <c r="AJ316" s="94">
        <v>-5</v>
      </c>
      <c r="AK316" s="94"/>
      <c r="AL316" s="94"/>
      <c r="AM316" s="94"/>
      <c r="AN316" s="94"/>
      <c r="AO316" s="94"/>
      <c r="AP316" s="94"/>
      <c r="AQ316" s="94"/>
      <c r="AR316" s="94"/>
      <c r="AS316" s="94"/>
      <c r="AT316" s="94"/>
      <c r="AU316" s="94"/>
      <c r="AV316" s="94"/>
      <c r="AW316" s="94"/>
      <c r="AX316" s="94"/>
      <c r="AY316" s="94"/>
      <c r="AZ316" s="94"/>
      <c r="BA316" s="95"/>
    </row>
    <row r="317" spans="1:53" s="87" customFormat="1">
      <c r="A317" s="90" t="str">
        <f t="shared" si="29"/>
        <v/>
      </c>
      <c r="B317" s="98">
        <v>23</v>
      </c>
      <c r="C317" s="94" t="s">
        <v>210</v>
      </c>
      <c r="D317" s="94">
        <v>3</v>
      </c>
      <c r="E317" s="94">
        <v>1</v>
      </c>
      <c r="F317" s="94" t="s">
        <v>210</v>
      </c>
      <c r="G317" s="94" t="s">
        <v>210</v>
      </c>
      <c r="H317" s="94" t="s">
        <v>202</v>
      </c>
      <c r="I317" s="94">
        <v>-2</v>
      </c>
      <c r="J317" s="94" t="s">
        <v>210</v>
      </c>
      <c r="K317" s="94" t="s">
        <v>210</v>
      </c>
      <c r="L317" s="94">
        <v>5</v>
      </c>
      <c r="M317" s="94">
        <v>-4</v>
      </c>
      <c r="N317" s="94" t="s">
        <v>210</v>
      </c>
      <c r="O317" s="94" t="s">
        <v>210</v>
      </c>
      <c r="P317" s="94">
        <v>-6</v>
      </c>
      <c r="Q317" s="94">
        <v>8</v>
      </c>
      <c r="R317" s="94" t="s">
        <v>210</v>
      </c>
      <c r="S317" s="94" t="s">
        <v>210</v>
      </c>
      <c r="T317" s="94">
        <v>7</v>
      </c>
      <c r="U317" s="94">
        <v>-5</v>
      </c>
      <c r="V317" s="94" t="s">
        <v>210</v>
      </c>
      <c r="W317" s="94" t="s">
        <v>210</v>
      </c>
      <c r="X317" s="94">
        <v>2</v>
      </c>
      <c r="Y317" s="94">
        <v>6</v>
      </c>
      <c r="Z317" s="94" t="s">
        <v>210</v>
      </c>
      <c r="AA317" s="94" t="s">
        <v>210</v>
      </c>
      <c r="AB317" s="94">
        <v>-8</v>
      </c>
      <c r="AC317" s="94">
        <v>-7</v>
      </c>
      <c r="AD317" s="94" t="s">
        <v>210</v>
      </c>
      <c r="AE317" s="94" t="s">
        <v>210</v>
      </c>
      <c r="AF317" s="94">
        <v>-1</v>
      </c>
      <c r="AG317" s="94">
        <v>4</v>
      </c>
      <c r="AH317" s="94" t="s">
        <v>210</v>
      </c>
      <c r="AI317" s="94" t="s">
        <v>210</v>
      </c>
      <c r="AJ317" s="94">
        <v>-3</v>
      </c>
      <c r="AK317" s="94"/>
      <c r="AL317" s="94"/>
      <c r="AM317" s="94"/>
      <c r="AN317" s="94"/>
      <c r="AO317" s="94"/>
      <c r="AP317" s="94"/>
      <c r="AQ317" s="94"/>
      <c r="AR317" s="94"/>
      <c r="AS317" s="94"/>
      <c r="AT317" s="94"/>
      <c r="AU317" s="94"/>
      <c r="AV317" s="94"/>
      <c r="AW317" s="94"/>
      <c r="AX317" s="94"/>
      <c r="AY317" s="94"/>
      <c r="AZ317" s="94"/>
      <c r="BA317" s="95"/>
    </row>
    <row r="318" spans="1:53" s="87" customFormat="1">
      <c r="A318" s="90" t="str">
        <f t="shared" si="29"/>
        <v/>
      </c>
      <c r="B318" s="98">
        <v>24</v>
      </c>
      <c r="C318" s="94" t="s">
        <v>210</v>
      </c>
      <c r="D318" s="94">
        <v>6</v>
      </c>
      <c r="E318" s="94">
        <v>-5</v>
      </c>
      <c r="F318" s="94" t="s">
        <v>210</v>
      </c>
      <c r="G318" s="94" t="s">
        <v>210</v>
      </c>
      <c r="H318" s="94">
        <v>-7</v>
      </c>
      <c r="I318" s="94">
        <v>8</v>
      </c>
      <c r="J318" s="94" t="s">
        <v>210</v>
      </c>
      <c r="K318" s="94" t="s">
        <v>210</v>
      </c>
      <c r="L318" s="94">
        <v>2</v>
      </c>
      <c r="M318" s="94">
        <v>-1</v>
      </c>
      <c r="N318" s="94" t="s">
        <v>210</v>
      </c>
      <c r="O318" s="94" t="s">
        <v>210</v>
      </c>
      <c r="P318" s="94">
        <v>-3</v>
      </c>
      <c r="Q318" s="94">
        <v>-6</v>
      </c>
      <c r="R318" s="94" t="s">
        <v>210</v>
      </c>
      <c r="S318" s="94" t="s">
        <v>210</v>
      </c>
      <c r="T318" s="94">
        <v>1</v>
      </c>
      <c r="U318" s="94">
        <v>7</v>
      </c>
      <c r="V318" s="94" t="s">
        <v>210</v>
      </c>
      <c r="W318" s="94" t="s">
        <v>210</v>
      </c>
      <c r="X318" s="94" t="s">
        <v>202</v>
      </c>
      <c r="Y318" s="94">
        <v>-4</v>
      </c>
      <c r="Z318" s="94" t="s">
        <v>210</v>
      </c>
      <c r="AA318" s="94" t="s">
        <v>210</v>
      </c>
      <c r="AB318" s="94">
        <v>5</v>
      </c>
      <c r="AC318" s="94">
        <v>-2</v>
      </c>
      <c r="AD318" s="94" t="s">
        <v>210</v>
      </c>
      <c r="AE318" s="94" t="s">
        <v>210</v>
      </c>
      <c r="AF318" s="94">
        <v>-8</v>
      </c>
      <c r="AG318" s="94">
        <v>6</v>
      </c>
      <c r="AH318" s="94" t="s">
        <v>210</v>
      </c>
      <c r="AI318" s="94" t="s">
        <v>210</v>
      </c>
      <c r="AJ318" s="94">
        <v>3</v>
      </c>
      <c r="AK318" s="94"/>
      <c r="AL318" s="94"/>
      <c r="AM318" s="94"/>
      <c r="AN318" s="94"/>
      <c r="AO318" s="94"/>
      <c r="AP318" s="94"/>
      <c r="AQ318" s="94"/>
      <c r="AR318" s="94"/>
      <c r="AS318" s="94"/>
      <c r="AT318" s="94"/>
      <c r="AU318" s="94"/>
      <c r="AV318" s="94"/>
      <c r="AW318" s="94"/>
      <c r="AX318" s="94"/>
      <c r="AY318" s="94"/>
      <c r="AZ318" s="94"/>
      <c r="BA318" s="95"/>
    </row>
    <row r="319" spans="1:53" s="87" customFormat="1">
      <c r="A319" s="90" t="str">
        <f t="shared" si="29"/>
        <v/>
      </c>
      <c r="B319" s="98">
        <v>25</v>
      </c>
      <c r="C319" s="94" t="s">
        <v>210</v>
      </c>
      <c r="D319" s="94">
        <v>-2</v>
      </c>
      <c r="E319" s="94" t="s">
        <v>202</v>
      </c>
      <c r="F319" s="94" t="s">
        <v>210</v>
      </c>
      <c r="G319" s="94" t="s">
        <v>210</v>
      </c>
      <c r="H319" s="94">
        <v>-5</v>
      </c>
      <c r="I319" s="94">
        <v>-6</v>
      </c>
      <c r="J319" s="94" t="s">
        <v>210</v>
      </c>
      <c r="K319" s="94" t="s">
        <v>210</v>
      </c>
      <c r="L319" s="94">
        <v>8</v>
      </c>
      <c r="M319" s="94">
        <v>4</v>
      </c>
      <c r="N319" s="94" t="s">
        <v>210</v>
      </c>
      <c r="O319" s="94" t="s">
        <v>210</v>
      </c>
      <c r="P319" s="94">
        <v>7</v>
      </c>
      <c r="Q319" s="94">
        <v>-3</v>
      </c>
      <c r="R319" s="94" t="s">
        <v>210</v>
      </c>
      <c r="S319" s="94" t="s">
        <v>210</v>
      </c>
      <c r="T319" s="94">
        <v>-1</v>
      </c>
      <c r="U319" s="94">
        <v>-4</v>
      </c>
      <c r="V319" s="94" t="s">
        <v>210</v>
      </c>
      <c r="W319" s="94" t="s">
        <v>210</v>
      </c>
      <c r="X319" s="94">
        <v>-8</v>
      </c>
      <c r="Y319" s="94">
        <v>-7</v>
      </c>
      <c r="Z319" s="94" t="s">
        <v>210</v>
      </c>
      <c r="AA319" s="94" t="s">
        <v>210</v>
      </c>
      <c r="AB319" s="94">
        <v>3</v>
      </c>
      <c r="AC319" s="94">
        <v>1</v>
      </c>
      <c r="AD319" s="94" t="s">
        <v>210</v>
      </c>
      <c r="AE319" s="94" t="s">
        <v>210</v>
      </c>
      <c r="AF319" s="94">
        <v>2</v>
      </c>
      <c r="AG319" s="94">
        <v>5</v>
      </c>
      <c r="AH319" s="94" t="s">
        <v>210</v>
      </c>
      <c r="AI319" s="94" t="s">
        <v>210</v>
      </c>
      <c r="AJ319" s="94">
        <v>6</v>
      </c>
      <c r="AK319" s="94"/>
      <c r="AL319" s="94"/>
      <c r="AM319" s="94"/>
      <c r="AN319" s="94"/>
      <c r="AO319" s="94"/>
      <c r="AP319" s="94"/>
      <c r="AQ319" s="94"/>
      <c r="AR319" s="94"/>
      <c r="AS319" s="94"/>
      <c r="AT319" s="94"/>
      <c r="AU319" s="94"/>
      <c r="AV319" s="94"/>
      <c r="AW319" s="94"/>
      <c r="AX319" s="94"/>
      <c r="AY319" s="94"/>
      <c r="AZ319" s="94"/>
      <c r="BA319" s="95"/>
    </row>
    <row r="320" spans="1:53" s="87" customFormat="1">
      <c r="A320" s="90" t="str">
        <f t="shared" si="29"/>
        <v/>
      </c>
      <c r="B320" s="98">
        <v>26</v>
      </c>
      <c r="C320" s="94" t="s">
        <v>210</v>
      </c>
      <c r="D320" s="94">
        <v>7</v>
      </c>
      <c r="E320" s="94">
        <v>-8</v>
      </c>
      <c r="F320" s="94" t="s">
        <v>210</v>
      </c>
      <c r="G320" s="94" t="s">
        <v>210</v>
      </c>
      <c r="H320" s="94">
        <v>-4</v>
      </c>
      <c r="I320" s="94">
        <v>2</v>
      </c>
      <c r="J320" s="94" t="s">
        <v>210</v>
      </c>
      <c r="K320" s="94" t="s">
        <v>210</v>
      </c>
      <c r="L320" s="94">
        <v>-3</v>
      </c>
      <c r="M320" s="94">
        <v>1</v>
      </c>
      <c r="N320" s="94" t="s">
        <v>210</v>
      </c>
      <c r="O320" s="94" t="s">
        <v>210</v>
      </c>
      <c r="P320" s="94">
        <v>-5</v>
      </c>
      <c r="Q320" s="94">
        <v>-7</v>
      </c>
      <c r="R320" s="94" t="s">
        <v>210</v>
      </c>
      <c r="S320" s="94" t="s">
        <v>210</v>
      </c>
      <c r="T320" s="94">
        <v>8</v>
      </c>
      <c r="U320" s="94" t="s">
        <v>202</v>
      </c>
      <c r="V320" s="94" t="s">
        <v>210</v>
      </c>
      <c r="W320" s="94" t="s">
        <v>210</v>
      </c>
      <c r="X320" s="94">
        <v>4</v>
      </c>
      <c r="Y320" s="94">
        <v>3</v>
      </c>
      <c r="Z320" s="94" t="s">
        <v>210</v>
      </c>
      <c r="AA320" s="94" t="s">
        <v>210</v>
      </c>
      <c r="AB320" s="94">
        <v>-2</v>
      </c>
      <c r="AC320" s="94">
        <v>5</v>
      </c>
      <c r="AD320" s="94" t="s">
        <v>210</v>
      </c>
      <c r="AE320" s="94" t="s">
        <v>210</v>
      </c>
      <c r="AF320" s="94">
        <v>7</v>
      </c>
      <c r="AG320" s="94">
        <v>-1</v>
      </c>
      <c r="AH320" s="94" t="s">
        <v>210</v>
      </c>
      <c r="AI320" s="94" t="s">
        <v>210</v>
      </c>
      <c r="AJ320" s="94">
        <v>-6</v>
      </c>
      <c r="AK320" s="94"/>
      <c r="AL320" s="94"/>
      <c r="AM320" s="94"/>
      <c r="AN320" s="94"/>
      <c r="AO320" s="94"/>
      <c r="AP320" s="94"/>
      <c r="AQ320" s="94"/>
      <c r="AR320" s="94"/>
      <c r="AS320" s="94"/>
      <c r="AT320" s="94"/>
      <c r="AU320" s="94"/>
      <c r="AV320" s="94"/>
      <c r="AW320" s="94"/>
      <c r="AX320" s="94"/>
      <c r="AY320" s="94"/>
      <c r="AZ320" s="94"/>
      <c r="BA320" s="95"/>
    </row>
    <row r="321" spans="1:53" s="87" customFormat="1">
      <c r="A321" s="90" t="str">
        <f t="shared" si="29"/>
        <v/>
      </c>
      <c r="B321" s="98">
        <v>27</v>
      </c>
      <c r="C321" s="94" t="s">
        <v>210</v>
      </c>
      <c r="D321" s="94">
        <v>2</v>
      </c>
      <c r="E321" s="94">
        <v>-3</v>
      </c>
      <c r="F321" s="94" t="s">
        <v>210</v>
      </c>
      <c r="G321" s="94" t="s">
        <v>210</v>
      </c>
      <c r="H321" s="94">
        <v>-8</v>
      </c>
      <c r="I321" s="94">
        <v>4</v>
      </c>
      <c r="J321" s="94" t="s">
        <v>210</v>
      </c>
      <c r="K321" s="94" t="s">
        <v>210</v>
      </c>
      <c r="L321" s="94">
        <v>-1</v>
      </c>
      <c r="M321" s="94" t="s">
        <v>202</v>
      </c>
      <c r="N321" s="94" t="s">
        <v>210</v>
      </c>
      <c r="O321" s="94" t="s">
        <v>210</v>
      </c>
      <c r="P321" s="94">
        <v>6</v>
      </c>
      <c r="Q321" s="94">
        <v>-5</v>
      </c>
      <c r="R321" s="94" t="s">
        <v>210</v>
      </c>
      <c r="S321" s="94" t="s">
        <v>210</v>
      </c>
      <c r="T321" s="94">
        <v>2</v>
      </c>
      <c r="U321" s="94">
        <v>-7</v>
      </c>
      <c r="V321" s="94" t="s">
        <v>210</v>
      </c>
      <c r="W321" s="94" t="s">
        <v>210</v>
      </c>
      <c r="X321" s="94">
        <v>3</v>
      </c>
      <c r="Y321" s="94">
        <v>5</v>
      </c>
      <c r="Z321" s="94" t="s">
        <v>210</v>
      </c>
      <c r="AA321" s="94" t="s">
        <v>210</v>
      </c>
      <c r="AB321" s="94">
        <v>-6</v>
      </c>
      <c r="AC321" s="94">
        <v>8</v>
      </c>
      <c r="AD321" s="94" t="s">
        <v>210</v>
      </c>
      <c r="AE321" s="94" t="s">
        <v>210</v>
      </c>
      <c r="AF321" s="94">
        <v>-4</v>
      </c>
      <c r="AG321" s="94">
        <v>1</v>
      </c>
      <c r="AH321" s="94" t="s">
        <v>210</v>
      </c>
      <c r="AI321" s="94" t="s">
        <v>210</v>
      </c>
      <c r="AJ321" s="94">
        <v>-2</v>
      </c>
      <c r="AK321" s="94"/>
      <c r="AL321" s="94"/>
      <c r="AM321" s="94"/>
      <c r="AN321" s="94"/>
      <c r="AO321" s="94"/>
      <c r="AP321" s="94"/>
      <c r="AQ321" s="94"/>
      <c r="AR321" s="94"/>
      <c r="AS321" s="94"/>
      <c r="AT321" s="94"/>
      <c r="AU321" s="94"/>
      <c r="AV321" s="94"/>
      <c r="AW321" s="94"/>
      <c r="AX321" s="94"/>
      <c r="AY321" s="94"/>
      <c r="AZ321" s="94"/>
      <c r="BA321" s="95"/>
    </row>
    <row r="322" spans="1:53" s="87" customFormat="1">
      <c r="A322" s="90" t="str">
        <f t="shared" si="29"/>
        <v/>
      </c>
      <c r="B322" s="98">
        <v>28</v>
      </c>
      <c r="C322" s="94" t="s">
        <v>210</v>
      </c>
      <c r="D322" s="94">
        <v>4</v>
      </c>
      <c r="E322" s="94">
        <v>-2</v>
      </c>
      <c r="F322" s="94" t="s">
        <v>210</v>
      </c>
      <c r="G322" s="94" t="s">
        <v>210</v>
      </c>
      <c r="H322" s="94">
        <v>7</v>
      </c>
      <c r="I322" s="94">
        <v>-3</v>
      </c>
      <c r="J322" s="94" t="s">
        <v>210</v>
      </c>
      <c r="K322" s="94" t="s">
        <v>210</v>
      </c>
      <c r="L322" s="94">
        <v>-5</v>
      </c>
      <c r="M322" s="94">
        <v>8</v>
      </c>
      <c r="N322" s="94" t="s">
        <v>210</v>
      </c>
      <c r="O322" s="94" t="s">
        <v>210</v>
      </c>
      <c r="P322" s="94">
        <v>-2</v>
      </c>
      <c r="Q322" s="94">
        <v>1</v>
      </c>
      <c r="R322" s="94" t="s">
        <v>210</v>
      </c>
      <c r="S322" s="94" t="s">
        <v>210</v>
      </c>
      <c r="T322" s="94">
        <v>5</v>
      </c>
      <c r="U322" s="94">
        <v>3</v>
      </c>
      <c r="V322" s="94" t="s">
        <v>210</v>
      </c>
      <c r="W322" s="94" t="s">
        <v>210</v>
      </c>
      <c r="X322" s="94">
        <v>-4</v>
      </c>
      <c r="Y322" s="94" t="s">
        <v>202</v>
      </c>
      <c r="Z322" s="94" t="s">
        <v>210</v>
      </c>
      <c r="AA322" s="94" t="s">
        <v>210</v>
      </c>
      <c r="AB322" s="94">
        <v>-7</v>
      </c>
      <c r="AC322" s="94">
        <v>-1</v>
      </c>
      <c r="AD322" s="94" t="s">
        <v>210</v>
      </c>
      <c r="AE322" s="94" t="s">
        <v>210</v>
      </c>
      <c r="AF322" s="94">
        <v>6</v>
      </c>
      <c r="AG322" s="94">
        <v>-8</v>
      </c>
      <c r="AH322" s="94" t="s">
        <v>210</v>
      </c>
      <c r="AI322" s="94" t="s">
        <v>210</v>
      </c>
      <c r="AJ322" s="94">
        <v>2</v>
      </c>
      <c r="AK322" s="94"/>
      <c r="AL322" s="94"/>
      <c r="AM322" s="94"/>
      <c r="AN322" s="94"/>
      <c r="AO322" s="94"/>
      <c r="AP322" s="94"/>
      <c r="AQ322" s="94"/>
      <c r="AR322" s="94"/>
      <c r="AS322" s="94"/>
      <c r="AT322" s="94"/>
      <c r="AU322" s="94"/>
      <c r="AV322" s="94"/>
      <c r="AW322" s="94"/>
      <c r="AX322" s="94"/>
      <c r="AY322" s="94"/>
      <c r="AZ322" s="94"/>
      <c r="BA322" s="95"/>
    </row>
    <row r="323" spans="1:53" s="87" customFormat="1">
      <c r="A323" s="90" t="str">
        <f t="shared" si="29"/>
        <v/>
      </c>
      <c r="B323" s="98">
        <v>29</v>
      </c>
      <c r="C323" s="94" t="s">
        <v>210</v>
      </c>
      <c r="D323" s="94">
        <v>-5</v>
      </c>
      <c r="E323" s="94">
        <v>-1</v>
      </c>
      <c r="F323" s="94" t="s">
        <v>210</v>
      </c>
      <c r="G323" s="94" t="s">
        <v>210</v>
      </c>
      <c r="H323" s="94">
        <v>-2</v>
      </c>
      <c r="I323" s="94">
        <v>-8</v>
      </c>
      <c r="J323" s="94" t="s">
        <v>210</v>
      </c>
      <c r="K323" s="94" t="s">
        <v>210</v>
      </c>
      <c r="L323" s="94">
        <v>-6</v>
      </c>
      <c r="M323" s="94">
        <v>3</v>
      </c>
      <c r="N323" s="94" t="s">
        <v>210</v>
      </c>
      <c r="O323" s="94" t="s">
        <v>210</v>
      </c>
      <c r="P323" s="94">
        <v>-4</v>
      </c>
      <c r="Q323" s="94">
        <v>7</v>
      </c>
      <c r="R323" s="94" t="s">
        <v>210</v>
      </c>
      <c r="S323" s="94" t="s">
        <v>210</v>
      </c>
      <c r="T323" s="94">
        <v>6</v>
      </c>
      <c r="U323" s="94">
        <v>2</v>
      </c>
      <c r="V323" s="94" t="s">
        <v>210</v>
      </c>
      <c r="W323" s="94" t="s">
        <v>210</v>
      </c>
      <c r="X323" s="94">
        <v>5</v>
      </c>
      <c r="Y323" s="94">
        <v>1</v>
      </c>
      <c r="Z323" s="94" t="s">
        <v>210</v>
      </c>
      <c r="AA323" s="94" t="s">
        <v>210</v>
      </c>
      <c r="AB323" s="94">
        <v>-3</v>
      </c>
      <c r="AC323" s="94" t="s">
        <v>202</v>
      </c>
      <c r="AD323" s="94" t="s">
        <v>210</v>
      </c>
      <c r="AE323" s="94" t="s">
        <v>210</v>
      </c>
      <c r="AF323" s="94">
        <v>4</v>
      </c>
      <c r="AG323" s="94">
        <v>8</v>
      </c>
      <c r="AH323" s="94" t="s">
        <v>210</v>
      </c>
      <c r="AI323" s="94" t="s">
        <v>210</v>
      </c>
      <c r="AJ323" s="94">
        <v>-7</v>
      </c>
      <c r="AK323" s="94"/>
      <c r="AL323" s="94"/>
      <c r="AM323" s="94"/>
      <c r="AN323" s="94"/>
      <c r="AO323" s="94"/>
      <c r="AP323" s="94"/>
      <c r="AQ323" s="94"/>
      <c r="AR323" s="94"/>
      <c r="AS323" s="94"/>
      <c r="AT323" s="94"/>
      <c r="AU323" s="94"/>
      <c r="AV323" s="94"/>
      <c r="AW323" s="94"/>
      <c r="AX323" s="94"/>
      <c r="AY323" s="94"/>
      <c r="AZ323" s="94"/>
      <c r="BA323" s="95"/>
    </row>
    <row r="324" spans="1:53" s="87" customFormat="1">
      <c r="A324" s="90" t="str">
        <f t="shared" si="29"/>
        <v/>
      </c>
      <c r="B324" s="98">
        <v>30</v>
      </c>
      <c r="C324" s="94" t="s">
        <v>210</v>
      </c>
      <c r="D324" s="94">
        <v>8</v>
      </c>
      <c r="E324" s="94">
        <v>7</v>
      </c>
      <c r="F324" s="94" t="s">
        <v>210</v>
      </c>
      <c r="G324" s="94" t="s">
        <v>210</v>
      </c>
      <c r="H324" s="94">
        <v>6</v>
      </c>
      <c r="I324" s="94">
        <v>1</v>
      </c>
      <c r="J324" s="94" t="s">
        <v>210</v>
      </c>
      <c r="K324" s="94" t="s">
        <v>210</v>
      </c>
      <c r="L324" s="94">
        <v>-4</v>
      </c>
      <c r="M324" s="94">
        <v>-5</v>
      </c>
      <c r="N324" s="94" t="s">
        <v>210</v>
      </c>
      <c r="O324" s="94" t="s">
        <v>210</v>
      </c>
      <c r="P324" s="94">
        <v>-7</v>
      </c>
      <c r="Q324" s="94">
        <v>-2</v>
      </c>
      <c r="R324" s="94" t="s">
        <v>210</v>
      </c>
      <c r="S324" s="94" t="s">
        <v>210</v>
      </c>
      <c r="T324" s="94">
        <v>-3</v>
      </c>
      <c r="U324" s="94">
        <v>5</v>
      </c>
      <c r="V324" s="94" t="s">
        <v>210</v>
      </c>
      <c r="W324" s="94" t="s">
        <v>210</v>
      </c>
      <c r="X324" s="94">
        <v>-1</v>
      </c>
      <c r="Y324" s="94">
        <v>4</v>
      </c>
      <c r="Z324" s="94" t="s">
        <v>210</v>
      </c>
      <c r="AA324" s="94" t="s">
        <v>210</v>
      </c>
      <c r="AB324" s="94">
        <v>2</v>
      </c>
      <c r="AC324" s="94">
        <v>-8</v>
      </c>
      <c r="AD324" s="94" t="s">
        <v>210</v>
      </c>
      <c r="AE324" s="94" t="s">
        <v>210</v>
      </c>
      <c r="AF324" s="94">
        <v>-6</v>
      </c>
      <c r="AG324" s="94" t="s">
        <v>202</v>
      </c>
      <c r="AH324" s="94" t="s">
        <v>210</v>
      </c>
      <c r="AI324" s="94" t="s">
        <v>210</v>
      </c>
      <c r="AJ324" s="94">
        <v>7</v>
      </c>
      <c r="AK324" s="94"/>
      <c r="AL324" s="94"/>
      <c r="AM324" s="94"/>
      <c r="AN324" s="94"/>
      <c r="AO324" s="94"/>
      <c r="AP324" s="94"/>
      <c r="AQ324" s="94"/>
      <c r="AR324" s="94"/>
      <c r="AS324" s="94"/>
      <c r="AT324" s="94"/>
      <c r="AU324" s="94"/>
      <c r="AV324" s="94"/>
      <c r="AW324" s="94"/>
      <c r="AX324" s="94"/>
      <c r="AY324" s="94"/>
      <c r="AZ324" s="94"/>
      <c r="BA324" s="95"/>
    </row>
    <row r="325" spans="1:53" s="87" customFormat="1">
      <c r="A325" s="90" t="str">
        <f t="shared" si="29"/>
        <v/>
      </c>
      <c r="B325" s="98">
        <v>31</v>
      </c>
      <c r="C325" s="94" t="s">
        <v>210</v>
      </c>
      <c r="D325" s="94">
        <v>-7</v>
      </c>
      <c r="E325" s="94">
        <v>6</v>
      </c>
      <c r="F325" s="94" t="s">
        <v>210</v>
      </c>
      <c r="G325" s="94" t="s">
        <v>210</v>
      </c>
      <c r="H325" s="94">
        <v>-1</v>
      </c>
      <c r="I325" s="94">
        <v>3</v>
      </c>
      <c r="J325" s="94" t="s">
        <v>210</v>
      </c>
      <c r="K325" s="94" t="s">
        <v>210</v>
      </c>
      <c r="L325" s="94">
        <v>-8</v>
      </c>
      <c r="M325" s="94">
        <v>5</v>
      </c>
      <c r="N325" s="94" t="s">
        <v>210</v>
      </c>
      <c r="O325" s="94" t="s">
        <v>210</v>
      </c>
      <c r="P325" s="94" t="s">
        <v>202</v>
      </c>
      <c r="Q325" s="94">
        <v>-4</v>
      </c>
      <c r="R325" s="94" t="s">
        <v>210</v>
      </c>
      <c r="S325" s="94" t="s">
        <v>210</v>
      </c>
      <c r="T325" s="94">
        <v>-6</v>
      </c>
      <c r="U325" s="94">
        <v>8</v>
      </c>
      <c r="V325" s="94" t="s">
        <v>210</v>
      </c>
      <c r="W325" s="94" t="s">
        <v>210</v>
      </c>
      <c r="X325" s="94">
        <v>-3</v>
      </c>
      <c r="Y325" s="94">
        <v>2</v>
      </c>
      <c r="Z325" s="94" t="s">
        <v>210</v>
      </c>
      <c r="AA325" s="94" t="s">
        <v>210</v>
      </c>
      <c r="AB325" s="94">
        <v>4</v>
      </c>
      <c r="AC325" s="94">
        <v>7</v>
      </c>
      <c r="AD325" s="94" t="s">
        <v>210</v>
      </c>
      <c r="AE325" s="94" t="s">
        <v>210</v>
      </c>
      <c r="AF325" s="94">
        <v>-5</v>
      </c>
      <c r="AG325" s="94">
        <v>-6</v>
      </c>
      <c r="AH325" s="94" t="s">
        <v>210</v>
      </c>
      <c r="AI325" s="94" t="s">
        <v>210</v>
      </c>
      <c r="AJ325" s="94">
        <v>1</v>
      </c>
      <c r="AK325" s="94"/>
      <c r="AL325" s="94"/>
      <c r="AM325" s="94"/>
      <c r="AN325" s="94"/>
      <c r="AO325" s="94"/>
      <c r="AP325" s="94"/>
      <c r="AQ325" s="94"/>
      <c r="AR325" s="94"/>
      <c r="AS325" s="94"/>
      <c r="AT325" s="94"/>
      <c r="AU325" s="94"/>
      <c r="AV325" s="94"/>
      <c r="AW325" s="94"/>
      <c r="AX325" s="94"/>
      <c r="AY325" s="94"/>
      <c r="AZ325" s="94"/>
      <c r="BA325" s="95"/>
    </row>
    <row r="326" spans="1:53" s="87" customFormat="1">
      <c r="A326" s="90" t="str">
        <f t="shared" si="29"/>
        <v/>
      </c>
      <c r="B326" s="98">
        <v>32</v>
      </c>
      <c r="C326" s="94" t="s">
        <v>210</v>
      </c>
      <c r="D326" s="94">
        <v>1</v>
      </c>
      <c r="E326" s="94">
        <v>-4</v>
      </c>
      <c r="F326" s="94" t="s">
        <v>210</v>
      </c>
      <c r="G326" s="94" t="s">
        <v>210</v>
      </c>
      <c r="H326" s="94">
        <v>-6</v>
      </c>
      <c r="I326" s="94">
        <v>7</v>
      </c>
      <c r="J326" s="94" t="s">
        <v>210</v>
      </c>
      <c r="K326" s="94" t="s">
        <v>210</v>
      </c>
      <c r="L326" s="94">
        <v>-2</v>
      </c>
      <c r="M326" s="94">
        <v>-3</v>
      </c>
      <c r="N326" s="94" t="s">
        <v>210</v>
      </c>
      <c r="O326" s="94" t="s">
        <v>210</v>
      </c>
      <c r="P326" s="94">
        <v>5</v>
      </c>
      <c r="Q326" s="94">
        <v>-1</v>
      </c>
      <c r="R326" s="94" t="s">
        <v>210</v>
      </c>
      <c r="S326" s="94" t="s">
        <v>210</v>
      </c>
      <c r="T326" s="94">
        <v>-7</v>
      </c>
      <c r="U326" s="94">
        <v>6</v>
      </c>
      <c r="V326" s="94" t="s">
        <v>210</v>
      </c>
      <c r="W326" s="94" t="s">
        <v>210</v>
      </c>
      <c r="X326" s="94">
        <v>8</v>
      </c>
      <c r="Y326" s="94">
        <v>-5</v>
      </c>
      <c r="Z326" s="94" t="s">
        <v>210</v>
      </c>
      <c r="AA326" s="94" t="s">
        <v>210</v>
      </c>
      <c r="AB326" s="94" t="s">
        <v>202</v>
      </c>
      <c r="AC326" s="94">
        <v>4</v>
      </c>
      <c r="AD326" s="94" t="s">
        <v>210</v>
      </c>
      <c r="AE326" s="94" t="s">
        <v>210</v>
      </c>
      <c r="AF326" s="94">
        <v>3</v>
      </c>
      <c r="AG326" s="94">
        <v>2</v>
      </c>
      <c r="AH326" s="94" t="s">
        <v>210</v>
      </c>
      <c r="AI326" s="94" t="s">
        <v>210</v>
      </c>
      <c r="AJ326" s="94">
        <v>-1</v>
      </c>
      <c r="AK326" s="94"/>
      <c r="AL326" s="94"/>
      <c r="AM326" s="94"/>
      <c r="AN326" s="94"/>
      <c r="AO326" s="94"/>
      <c r="AP326" s="94"/>
      <c r="AQ326" s="94"/>
      <c r="AR326" s="94"/>
      <c r="AS326" s="94"/>
      <c r="AT326" s="94"/>
      <c r="AU326" s="94"/>
      <c r="AV326" s="94"/>
      <c r="AW326" s="94"/>
      <c r="AX326" s="94"/>
      <c r="AY326" s="94"/>
      <c r="AZ326" s="94"/>
      <c r="BA326" s="95"/>
    </row>
    <row r="327" spans="1:53" s="87" customFormat="1">
      <c r="A327" s="90" t="str">
        <f t="shared" si="29"/>
        <v/>
      </c>
      <c r="B327" s="98">
        <v>33</v>
      </c>
      <c r="C327" s="94" t="s">
        <v>210</v>
      </c>
      <c r="D327" s="94">
        <v>-4</v>
      </c>
      <c r="E327" s="94">
        <v>-7</v>
      </c>
      <c r="F327" s="94" t="s">
        <v>210</v>
      </c>
      <c r="G327" s="94" t="s">
        <v>210</v>
      </c>
      <c r="H327" s="94">
        <v>2</v>
      </c>
      <c r="I327" s="94">
        <v>-5</v>
      </c>
      <c r="J327" s="94" t="s">
        <v>210</v>
      </c>
      <c r="K327" s="94" t="s">
        <v>210</v>
      </c>
      <c r="L327" s="94">
        <v>1</v>
      </c>
      <c r="M327" s="94">
        <v>-6</v>
      </c>
      <c r="N327" s="94" t="s">
        <v>210</v>
      </c>
      <c r="O327" s="94" t="s">
        <v>210</v>
      </c>
      <c r="P327" s="94">
        <v>3</v>
      </c>
      <c r="Q327" s="94">
        <v>-8</v>
      </c>
      <c r="R327" s="94" t="s">
        <v>210</v>
      </c>
      <c r="S327" s="94" t="s">
        <v>210</v>
      </c>
      <c r="T327" s="94" t="s">
        <v>202</v>
      </c>
      <c r="U327" s="94">
        <v>4</v>
      </c>
      <c r="V327" s="94" t="s">
        <v>210</v>
      </c>
      <c r="W327" s="94" t="s">
        <v>210</v>
      </c>
      <c r="X327" s="94">
        <v>7</v>
      </c>
      <c r="Y327" s="94">
        <v>-3</v>
      </c>
      <c r="Z327" s="94" t="s">
        <v>210</v>
      </c>
      <c r="AA327" s="94" t="s">
        <v>210</v>
      </c>
      <c r="AB327" s="94">
        <v>-1</v>
      </c>
      <c r="AC327" s="94">
        <v>6</v>
      </c>
      <c r="AD327" s="94" t="s">
        <v>210</v>
      </c>
      <c r="AE327" s="94" t="s">
        <v>210</v>
      </c>
      <c r="AF327" s="94">
        <v>5</v>
      </c>
      <c r="AG327" s="94">
        <v>-2</v>
      </c>
      <c r="AH327" s="94" t="s">
        <v>210</v>
      </c>
      <c r="AI327" s="94" t="s">
        <v>210</v>
      </c>
      <c r="AJ327" s="94">
        <v>8</v>
      </c>
      <c r="AK327" s="94"/>
      <c r="AL327" s="94"/>
      <c r="AM327" s="94"/>
      <c r="AN327" s="94"/>
      <c r="AO327" s="94"/>
      <c r="AP327" s="94"/>
      <c r="AQ327" s="94"/>
      <c r="AR327" s="94"/>
      <c r="AS327" s="94"/>
      <c r="AT327" s="94"/>
      <c r="AU327" s="94"/>
      <c r="AV327" s="94"/>
      <c r="AW327" s="94"/>
      <c r="AX327" s="94"/>
      <c r="AY327" s="94"/>
      <c r="AZ327" s="94"/>
      <c r="BA327" s="95"/>
    </row>
    <row r="328" spans="1:53" s="87" customFormat="1">
      <c r="A328" s="90" t="str">
        <f t="shared" si="29"/>
        <v/>
      </c>
      <c r="B328" s="98">
        <v>34</v>
      </c>
      <c r="C328" s="94" t="s">
        <v>210</v>
      </c>
      <c r="D328" s="94">
        <v>5</v>
      </c>
      <c r="E328" s="94">
        <v>8</v>
      </c>
      <c r="F328" s="94" t="s">
        <v>210</v>
      </c>
      <c r="G328" s="94" t="s">
        <v>210</v>
      </c>
      <c r="H328" s="94">
        <v>3</v>
      </c>
      <c r="I328" s="94">
        <v>6</v>
      </c>
      <c r="J328" s="94" t="s">
        <v>210</v>
      </c>
      <c r="K328" s="94" t="s">
        <v>210</v>
      </c>
      <c r="L328" s="94">
        <v>-7</v>
      </c>
      <c r="M328" s="94">
        <v>2</v>
      </c>
      <c r="N328" s="94" t="s">
        <v>210</v>
      </c>
      <c r="O328" s="94" t="s">
        <v>210</v>
      </c>
      <c r="P328" s="94">
        <v>-1</v>
      </c>
      <c r="Q328" s="94">
        <v>4</v>
      </c>
      <c r="R328" s="94" t="s">
        <v>210</v>
      </c>
      <c r="S328" s="94" t="s">
        <v>210</v>
      </c>
      <c r="T328" s="94">
        <v>-2</v>
      </c>
      <c r="U328" s="94">
        <v>-3</v>
      </c>
      <c r="V328" s="94" t="s">
        <v>210</v>
      </c>
      <c r="W328" s="94" t="s">
        <v>210</v>
      </c>
      <c r="X328" s="94">
        <v>1</v>
      </c>
      <c r="Y328" s="94">
        <v>-6</v>
      </c>
      <c r="Z328" s="94" t="s">
        <v>210</v>
      </c>
      <c r="AA328" s="94" t="s">
        <v>210</v>
      </c>
      <c r="AB328" s="94">
        <v>-5</v>
      </c>
      <c r="AC328" s="94">
        <v>-4</v>
      </c>
      <c r="AD328" s="94" t="s">
        <v>210</v>
      </c>
      <c r="AE328" s="94" t="s">
        <v>210</v>
      </c>
      <c r="AF328" s="94" t="s">
        <v>202</v>
      </c>
      <c r="AG328" s="94">
        <v>7</v>
      </c>
      <c r="AH328" s="94" t="s">
        <v>210</v>
      </c>
      <c r="AI328" s="94" t="s">
        <v>210</v>
      </c>
      <c r="AJ328" s="94">
        <v>-8</v>
      </c>
      <c r="AK328" s="94"/>
      <c r="AL328" s="94"/>
      <c r="AM328" s="94"/>
      <c r="AN328" s="94"/>
      <c r="AO328" s="94"/>
      <c r="AP328" s="94"/>
      <c r="AQ328" s="94"/>
      <c r="AR328" s="94"/>
      <c r="AS328" s="94"/>
      <c r="AT328" s="94"/>
      <c r="AU328" s="94"/>
      <c r="AV328" s="94"/>
      <c r="AW328" s="94"/>
      <c r="AX328" s="94"/>
      <c r="AY328" s="94"/>
      <c r="AZ328" s="94"/>
      <c r="BA328" s="95"/>
    </row>
    <row r="329" spans="1:53" s="87" customFormat="1">
      <c r="A329" s="90" t="str">
        <f t="shared" si="29"/>
        <v/>
      </c>
      <c r="B329" s="98">
        <v>35</v>
      </c>
      <c r="C329" s="94" t="s">
        <v>210</v>
      </c>
      <c r="D329" s="94">
        <v>-8</v>
      </c>
      <c r="E329" s="94">
        <v>2</v>
      </c>
      <c r="F329" s="94" t="s">
        <v>210</v>
      </c>
      <c r="G329" s="94" t="s">
        <v>210</v>
      </c>
      <c r="H329" s="94">
        <v>5</v>
      </c>
      <c r="I329" s="94">
        <v>-4</v>
      </c>
      <c r="J329" s="94" t="s">
        <v>210</v>
      </c>
      <c r="K329" s="94" t="s">
        <v>210</v>
      </c>
      <c r="L329" s="94">
        <v>3</v>
      </c>
      <c r="M329" s="94">
        <v>7</v>
      </c>
      <c r="N329" s="94" t="s">
        <v>210</v>
      </c>
      <c r="O329" s="94" t="s">
        <v>210</v>
      </c>
      <c r="P329" s="94">
        <v>-8</v>
      </c>
      <c r="Q329" s="94">
        <v>6</v>
      </c>
      <c r="R329" s="94" t="s">
        <v>210</v>
      </c>
      <c r="S329" s="94" t="s">
        <v>210</v>
      </c>
      <c r="T329" s="94">
        <v>4</v>
      </c>
      <c r="U329" s="94">
        <v>1</v>
      </c>
      <c r="V329" s="94" t="s">
        <v>210</v>
      </c>
      <c r="W329" s="94" t="s">
        <v>210</v>
      </c>
      <c r="X329" s="94">
        <v>-5</v>
      </c>
      <c r="Y329" s="94">
        <v>-2</v>
      </c>
      <c r="Z329" s="94" t="s">
        <v>210</v>
      </c>
      <c r="AA329" s="94" t="s">
        <v>210</v>
      </c>
      <c r="AB329" s="94">
        <v>8</v>
      </c>
      <c r="AC329" s="94">
        <v>-6</v>
      </c>
      <c r="AD329" s="94" t="s">
        <v>210</v>
      </c>
      <c r="AE329" s="94" t="s">
        <v>210</v>
      </c>
      <c r="AF329" s="94">
        <v>-3</v>
      </c>
      <c r="AG329" s="94">
        <v>-7</v>
      </c>
      <c r="AH329" s="94" t="s">
        <v>210</v>
      </c>
      <c r="AI329" s="94" t="s">
        <v>210</v>
      </c>
      <c r="AJ329" s="94" t="s">
        <v>202</v>
      </c>
      <c r="AK329" s="94"/>
      <c r="AL329" s="94"/>
      <c r="AM329" s="94"/>
      <c r="AN329" s="94"/>
      <c r="AO329" s="94"/>
      <c r="AP329" s="94"/>
      <c r="AQ329" s="94"/>
      <c r="AR329" s="94"/>
      <c r="AS329" s="94"/>
      <c r="AT329" s="94"/>
      <c r="AU329" s="94"/>
      <c r="AV329" s="94"/>
      <c r="AW329" s="94"/>
      <c r="AX329" s="94"/>
      <c r="AY329" s="94"/>
      <c r="AZ329" s="94"/>
      <c r="BA329" s="95"/>
    </row>
    <row r="330" spans="1:53" s="87" customFormat="1">
      <c r="A330" s="90" t="str">
        <f t="shared" si="29"/>
        <v/>
      </c>
      <c r="B330" s="98" t="s">
        <v>513</v>
      </c>
      <c r="C330" s="94"/>
      <c r="D330" s="94"/>
      <c r="E330" s="94"/>
      <c r="F330" s="94"/>
      <c r="G330" s="94"/>
      <c r="H330" s="94"/>
      <c r="I330" s="94"/>
      <c r="J330" s="94"/>
      <c r="K330" s="94"/>
      <c r="L330" s="94"/>
      <c r="M330" s="94"/>
      <c r="N330" s="94"/>
      <c r="O330" s="94"/>
      <c r="P330" s="94"/>
      <c r="Q330" s="94"/>
      <c r="R330" s="94"/>
      <c r="S330" s="94"/>
      <c r="T330" s="94"/>
      <c r="U330" s="94"/>
      <c r="V330" s="94"/>
      <c r="W330" s="94"/>
      <c r="X330" s="94"/>
      <c r="Y330" s="94"/>
      <c r="Z330" s="94"/>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c r="AW330" s="94"/>
      <c r="AX330" s="94"/>
      <c r="AY330" s="94"/>
      <c r="AZ330" s="94"/>
      <c r="BA330" s="95"/>
    </row>
    <row r="331" spans="1:53" s="87" customFormat="1">
      <c r="A331" s="90">
        <f t="shared" si="29"/>
        <v>331</v>
      </c>
      <c r="B331" s="98" t="s">
        <v>517</v>
      </c>
      <c r="C331" s="94"/>
      <c r="D331" s="94"/>
      <c r="E331" s="94"/>
      <c r="F331" s="94"/>
      <c r="G331" s="94"/>
      <c r="H331" s="94"/>
      <c r="I331" s="94"/>
      <c r="J331" s="94"/>
      <c r="K331" s="94"/>
      <c r="L331" s="94"/>
      <c r="M331" s="94"/>
      <c r="N331" s="94"/>
      <c r="O331" s="94"/>
      <c r="P331" s="94"/>
      <c r="Q331" s="94"/>
      <c r="R331" s="94"/>
      <c r="S331" s="94"/>
      <c r="T331" s="94"/>
      <c r="U331" s="94"/>
      <c r="V331" s="94"/>
      <c r="W331" s="94"/>
      <c r="X331" s="94"/>
      <c r="Y331" s="94"/>
      <c r="Z331" s="94"/>
      <c r="AA331" s="94"/>
      <c r="AB331" s="94"/>
      <c r="AC331" s="94"/>
      <c r="AD331" s="94"/>
      <c r="AE331" s="94"/>
      <c r="AF331" s="94"/>
      <c r="AG331" s="94"/>
      <c r="AH331" s="94"/>
      <c r="AI331" s="94"/>
      <c r="AJ331" s="94"/>
      <c r="AK331" s="94"/>
      <c r="AL331" s="94"/>
      <c r="AM331" s="94"/>
      <c r="AN331" s="94"/>
      <c r="AO331" s="94"/>
      <c r="AP331" s="94"/>
      <c r="AQ331" s="94"/>
      <c r="AR331" s="94"/>
      <c r="AS331" s="94"/>
      <c r="AT331" s="94"/>
      <c r="AU331" s="94"/>
      <c r="AV331" s="94"/>
      <c r="AW331" s="94"/>
      <c r="AX331" s="94"/>
      <c r="AY331" s="94"/>
      <c r="AZ331" s="94"/>
      <c r="BA331" s="95"/>
    </row>
    <row r="332" spans="1:53" s="87" customFormat="1">
      <c r="A332" s="90" t="str">
        <f t="shared" ref="A332:A395" si="30">IF(MID(B332,3,2)="09",ROW(),"")</f>
        <v/>
      </c>
      <c r="B332" s="98">
        <v>1</v>
      </c>
      <c r="C332" s="94">
        <v>8</v>
      </c>
      <c r="D332" s="94" t="s">
        <v>210</v>
      </c>
      <c r="E332" s="94" t="s">
        <v>210</v>
      </c>
      <c r="F332" s="94">
        <v>-4</v>
      </c>
      <c r="G332" s="94">
        <v>3</v>
      </c>
      <c r="H332" s="94" t="s">
        <v>210</v>
      </c>
      <c r="I332" s="94" t="s">
        <v>210</v>
      </c>
      <c r="J332" s="94">
        <v>-5</v>
      </c>
      <c r="K332" s="94">
        <v>2</v>
      </c>
      <c r="L332" s="94" t="s">
        <v>210</v>
      </c>
      <c r="M332" s="94" t="s">
        <v>210</v>
      </c>
      <c r="N332" s="94">
        <v>-1</v>
      </c>
      <c r="O332" s="94">
        <v>6</v>
      </c>
      <c r="P332" s="94" t="s">
        <v>210</v>
      </c>
      <c r="Q332" s="94" t="s">
        <v>210</v>
      </c>
      <c r="R332" s="94">
        <v>-9</v>
      </c>
      <c r="S332" s="94">
        <v>7</v>
      </c>
      <c r="T332" s="94" t="s">
        <v>210</v>
      </c>
      <c r="U332" s="94">
        <v>-8</v>
      </c>
      <c r="V332" s="94" t="s">
        <v>210</v>
      </c>
      <c r="W332" s="94" t="s">
        <v>210</v>
      </c>
      <c r="X332" s="94">
        <v>4</v>
      </c>
      <c r="Y332" s="94">
        <v>-3</v>
      </c>
      <c r="Z332" s="94" t="s">
        <v>210</v>
      </c>
      <c r="AA332" s="94" t="s">
        <v>210</v>
      </c>
      <c r="AB332" s="94">
        <v>5</v>
      </c>
      <c r="AC332" s="94">
        <v>-2</v>
      </c>
      <c r="AD332" s="94" t="s">
        <v>210</v>
      </c>
      <c r="AE332" s="94" t="s">
        <v>210</v>
      </c>
      <c r="AF332" s="94">
        <v>1</v>
      </c>
      <c r="AG332" s="94">
        <v>-6</v>
      </c>
      <c r="AH332" s="94" t="s">
        <v>210</v>
      </c>
      <c r="AI332" s="94" t="s">
        <v>210</v>
      </c>
      <c r="AJ332" s="94">
        <v>9</v>
      </c>
      <c r="AK332" s="94">
        <v>-7</v>
      </c>
      <c r="AL332" s="94" t="s">
        <v>210</v>
      </c>
      <c r="AM332" s="94"/>
      <c r="AN332" s="94"/>
      <c r="AO332" s="94"/>
      <c r="AP332" s="94"/>
      <c r="AQ332" s="94"/>
      <c r="AR332" s="94"/>
      <c r="AS332" s="94"/>
      <c r="AT332" s="94"/>
      <c r="AU332" s="94"/>
      <c r="AV332" s="94"/>
      <c r="AW332" s="94"/>
      <c r="AX332" s="94"/>
      <c r="AY332" s="94"/>
      <c r="AZ332" s="94"/>
      <c r="BA332" s="95"/>
    </row>
    <row r="333" spans="1:53" s="87" customFormat="1">
      <c r="A333" s="90" t="str">
        <f t="shared" si="30"/>
        <v/>
      </c>
      <c r="B333" s="98">
        <v>2</v>
      </c>
      <c r="C333" s="94">
        <v>6</v>
      </c>
      <c r="D333" s="94" t="s">
        <v>210</v>
      </c>
      <c r="E333" s="94" t="s">
        <v>210</v>
      </c>
      <c r="F333" s="94">
        <v>-9</v>
      </c>
      <c r="G333" s="94">
        <v>7</v>
      </c>
      <c r="H333" s="94" t="s">
        <v>210</v>
      </c>
      <c r="I333" s="94" t="s">
        <v>210</v>
      </c>
      <c r="J333" s="94">
        <v>-8</v>
      </c>
      <c r="K333" s="94">
        <v>4</v>
      </c>
      <c r="L333" s="94" t="s">
        <v>210</v>
      </c>
      <c r="M333" s="94" t="s">
        <v>210</v>
      </c>
      <c r="N333" s="94">
        <v>-3</v>
      </c>
      <c r="O333" s="94">
        <v>5</v>
      </c>
      <c r="P333" s="94" t="s">
        <v>210</v>
      </c>
      <c r="Q333" s="94" t="s">
        <v>210</v>
      </c>
      <c r="R333" s="94">
        <v>-2</v>
      </c>
      <c r="S333" s="94">
        <v>1</v>
      </c>
      <c r="T333" s="94" t="s">
        <v>210</v>
      </c>
      <c r="U333" s="94">
        <v>-6</v>
      </c>
      <c r="V333" s="94" t="s">
        <v>210</v>
      </c>
      <c r="W333" s="94" t="s">
        <v>210</v>
      </c>
      <c r="X333" s="94">
        <v>9</v>
      </c>
      <c r="Y333" s="94">
        <v>-7</v>
      </c>
      <c r="Z333" s="94" t="s">
        <v>210</v>
      </c>
      <c r="AA333" s="94" t="s">
        <v>210</v>
      </c>
      <c r="AB333" s="94">
        <v>8</v>
      </c>
      <c r="AC333" s="94">
        <v>-4</v>
      </c>
      <c r="AD333" s="94" t="s">
        <v>210</v>
      </c>
      <c r="AE333" s="94" t="s">
        <v>210</v>
      </c>
      <c r="AF333" s="94">
        <v>3</v>
      </c>
      <c r="AG333" s="94">
        <v>-5</v>
      </c>
      <c r="AH333" s="94" t="s">
        <v>210</v>
      </c>
      <c r="AI333" s="94" t="s">
        <v>210</v>
      </c>
      <c r="AJ333" s="94">
        <v>2</v>
      </c>
      <c r="AK333" s="94">
        <v>-1</v>
      </c>
      <c r="AL333" s="94" t="s">
        <v>210</v>
      </c>
      <c r="AM333" s="94"/>
      <c r="AN333" s="94"/>
      <c r="AO333" s="94"/>
      <c r="AP333" s="94"/>
      <c r="AQ333" s="94"/>
      <c r="AR333" s="94"/>
      <c r="AS333" s="94"/>
      <c r="AT333" s="94"/>
      <c r="AU333" s="94"/>
      <c r="AV333" s="94"/>
      <c r="AW333" s="94"/>
      <c r="AX333" s="94"/>
      <c r="AY333" s="94"/>
      <c r="AZ333" s="94"/>
      <c r="BA333" s="95"/>
    </row>
    <row r="334" spans="1:53" s="87" customFormat="1">
      <c r="A334" s="90" t="str">
        <f t="shared" si="30"/>
        <v/>
      </c>
      <c r="B334" s="98">
        <v>3</v>
      </c>
      <c r="C334" s="94">
        <v>5</v>
      </c>
      <c r="D334" s="94" t="s">
        <v>210</v>
      </c>
      <c r="E334" s="94" t="s">
        <v>210</v>
      </c>
      <c r="F334" s="94">
        <v>-2</v>
      </c>
      <c r="G334" s="94">
        <v>1</v>
      </c>
      <c r="H334" s="94" t="s">
        <v>210</v>
      </c>
      <c r="I334" s="94" t="s">
        <v>210</v>
      </c>
      <c r="J334" s="94">
        <v>-6</v>
      </c>
      <c r="K334" s="94">
        <v>9</v>
      </c>
      <c r="L334" s="94" t="s">
        <v>210</v>
      </c>
      <c r="M334" s="94" t="s">
        <v>210</v>
      </c>
      <c r="N334" s="94">
        <v>-7</v>
      </c>
      <c r="O334" s="94">
        <v>8</v>
      </c>
      <c r="P334" s="94" t="s">
        <v>210</v>
      </c>
      <c r="Q334" s="94" t="s">
        <v>210</v>
      </c>
      <c r="R334" s="94">
        <v>-4</v>
      </c>
      <c r="S334" s="94">
        <v>3</v>
      </c>
      <c r="T334" s="94" t="s">
        <v>210</v>
      </c>
      <c r="U334" s="94">
        <v>-5</v>
      </c>
      <c r="V334" s="94" t="s">
        <v>210</v>
      </c>
      <c r="W334" s="94" t="s">
        <v>210</v>
      </c>
      <c r="X334" s="94">
        <v>2</v>
      </c>
      <c r="Y334" s="94">
        <v>-1</v>
      </c>
      <c r="Z334" s="94" t="s">
        <v>210</v>
      </c>
      <c r="AA334" s="94" t="s">
        <v>210</v>
      </c>
      <c r="AB334" s="94">
        <v>6</v>
      </c>
      <c r="AC334" s="94">
        <v>-9</v>
      </c>
      <c r="AD334" s="94" t="s">
        <v>210</v>
      </c>
      <c r="AE334" s="94" t="s">
        <v>210</v>
      </c>
      <c r="AF334" s="94">
        <v>7</v>
      </c>
      <c r="AG334" s="94">
        <v>-8</v>
      </c>
      <c r="AH334" s="94" t="s">
        <v>210</v>
      </c>
      <c r="AI334" s="94" t="s">
        <v>210</v>
      </c>
      <c r="AJ334" s="94">
        <v>4</v>
      </c>
      <c r="AK334" s="94">
        <v>-3</v>
      </c>
      <c r="AL334" s="94" t="s">
        <v>210</v>
      </c>
      <c r="AM334" s="94"/>
      <c r="AN334" s="94"/>
      <c r="AO334" s="94"/>
      <c r="AP334" s="94"/>
      <c r="AQ334" s="94"/>
      <c r="AR334" s="94"/>
      <c r="AS334" s="94"/>
      <c r="AT334" s="94"/>
      <c r="AU334" s="94"/>
      <c r="AV334" s="94"/>
      <c r="AW334" s="94"/>
      <c r="AX334" s="94"/>
      <c r="AY334" s="94"/>
      <c r="AZ334" s="94"/>
      <c r="BA334" s="95"/>
    </row>
    <row r="335" spans="1:53" s="87" customFormat="1">
      <c r="A335" s="90" t="str">
        <f t="shared" si="30"/>
        <v/>
      </c>
      <c r="B335" s="98">
        <v>4</v>
      </c>
      <c r="C335" s="94">
        <v>1</v>
      </c>
      <c r="D335" s="94" t="s">
        <v>210</v>
      </c>
      <c r="E335" s="94" t="s">
        <v>210</v>
      </c>
      <c r="F335" s="94">
        <v>-6</v>
      </c>
      <c r="G335" s="94">
        <v>9</v>
      </c>
      <c r="H335" s="94" t="s">
        <v>210</v>
      </c>
      <c r="I335" s="94" t="s">
        <v>210</v>
      </c>
      <c r="J335" s="94">
        <v>-7</v>
      </c>
      <c r="K335" s="94">
        <v>8</v>
      </c>
      <c r="L335" s="94" t="s">
        <v>210</v>
      </c>
      <c r="M335" s="94" t="s">
        <v>210</v>
      </c>
      <c r="N335" s="94">
        <v>-4</v>
      </c>
      <c r="O335" s="94">
        <v>3</v>
      </c>
      <c r="P335" s="94" t="s">
        <v>210</v>
      </c>
      <c r="Q335" s="94" t="s">
        <v>210</v>
      </c>
      <c r="R335" s="94">
        <v>-5</v>
      </c>
      <c r="S335" s="94">
        <v>2</v>
      </c>
      <c r="T335" s="94" t="s">
        <v>210</v>
      </c>
      <c r="U335" s="94">
        <v>-1</v>
      </c>
      <c r="V335" s="94" t="s">
        <v>210</v>
      </c>
      <c r="W335" s="94" t="s">
        <v>210</v>
      </c>
      <c r="X335" s="94">
        <v>6</v>
      </c>
      <c r="Y335" s="94">
        <v>-9</v>
      </c>
      <c r="Z335" s="94" t="s">
        <v>210</v>
      </c>
      <c r="AA335" s="94" t="s">
        <v>210</v>
      </c>
      <c r="AB335" s="94">
        <v>7</v>
      </c>
      <c r="AC335" s="94">
        <v>-8</v>
      </c>
      <c r="AD335" s="94" t="s">
        <v>210</v>
      </c>
      <c r="AE335" s="94" t="s">
        <v>210</v>
      </c>
      <c r="AF335" s="94">
        <v>4</v>
      </c>
      <c r="AG335" s="94">
        <v>-3</v>
      </c>
      <c r="AH335" s="94" t="s">
        <v>210</v>
      </c>
      <c r="AI335" s="94" t="s">
        <v>210</v>
      </c>
      <c r="AJ335" s="94">
        <v>5</v>
      </c>
      <c r="AK335" s="94">
        <v>-2</v>
      </c>
      <c r="AL335" s="94" t="s">
        <v>210</v>
      </c>
      <c r="AM335" s="94"/>
      <c r="AN335" s="94"/>
      <c r="AO335" s="94"/>
      <c r="AP335" s="94"/>
      <c r="AQ335" s="94"/>
      <c r="AR335" s="94"/>
      <c r="AS335" s="94"/>
      <c r="AT335" s="94"/>
      <c r="AU335" s="94"/>
      <c r="AV335" s="94"/>
      <c r="AW335" s="94"/>
      <c r="AX335" s="94"/>
      <c r="AY335" s="94"/>
      <c r="AZ335" s="94"/>
      <c r="BA335" s="95"/>
    </row>
    <row r="336" spans="1:53" s="87" customFormat="1">
      <c r="A336" s="90" t="str">
        <f t="shared" si="30"/>
        <v/>
      </c>
      <c r="B336" s="98">
        <v>5</v>
      </c>
      <c r="C336" s="94">
        <v>3</v>
      </c>
      <c r="D336" s="94" t="s">
        <v>210</v>
      </c>
      <c r="E336" s="94" t="s">
        <v>210</v>
      </c>
      <c r="F336" s="94">
        <v>-5</v>
      </c>
      <c r="G336" s="94">
        <v>2</v>
      </c>
      <c r="H336" s="94" t="s">
        <v>210</v>
      </c>
      <c r="I336" s="94" t="s">
        <v>210</v>
      </c>
      <c r="J336" s="94">
        <v>-1</v>
      </c>
      <c r="K336" s="94">
        <v>6</v>
      </c>
      <c r="L336" s="94" t="s">
        <v>210</v>
      </c>
      <c r="M336" s="94" t="s">
        <v>210</v>
      </c>
      <c r="N336" s="94">
        <v>-9</v>
      </c>
      <c r="O336" s="94">
        <v>7</v>
      </c>
      <c r="P336" s="94" t="s">
        <v>210</v>
      </c>
      <c r="Q336" s="94" t="s">
        <v>210</v>
      </c>
      <c r="R336" s="94">
        <v>-8</v>
      </c>
      <c r="S336" s="94">
        <v>4</v>
      </c>
      <c r="T336" s="94" t="s">
        <v>210</v>
      </c>
      <c r="U336" s="94">
        <v>-3</v>
      </c>
      <c r="V336" s="94" t="s">
        <v>210</v>
      </c>
      <c r="W336" s="94" t="s">
        <v>210</v>
      </c>
      <c r="X336" s="94">
        <v>5</v>
      </c>
      <c r="Y336" s="94">
        <v>-2</v>
      </c>
      <c r="Z336" s="94" t="s">
        <v>210</v>
      </c>
      <c r="AA336" s="94" t="s">
        <v>210</v>
      </c>
      <c r="AB336" s="94">
        <v>1</v>
      </c>
      <c r="AC336" s="94">
        <v>-6</v>
      </c>
      <c r="AD336" s="94" t="s">
        <v>210</v>
      </c>
      <c r="AE336" s="94" t="s">
        <v>210</v>
      </c>
      <c r="AF336" s="94">
        <v>9</v>
      </c>
      <c r="AG336" s="94">
        <v>-7</v>
      </c>
      <c r="AH336" s="94" t="s">
        <v>210</v>
      </c>
      <c r="AI336" s="94" t="s">
        <v>210</v>
      </c>
      <c r="AJ336" s="94">
        <v>8</v>
      </c>
      <c r="AK336" s="94">
        <v>-4</v>
      </c>
      <c r="AL336" s="94" t="s">
        <v>210</v>
      </c>
      <c r="AM336" s="94"/>
      <c r="AN336" s="94"/>
      <c r="AO336" s="94"/>
      <c r="AP336" s="94"/>
      <c r="AQ336" s="94"/>
      <c r="AR336" s="94"/>
      <c r="AS336" s="94"/>
      <c r="AT336" s="94"/>
      <c r="AU336" s="94"/>
      <c r="AV336" s="94"/>
      <c r="AW336" s="94"/>
      <c r="AX336" s="94"/>
      <c r="AY336" s="94"/>
      <c r="AZ336" s="94"/>
      <c r="BA336" s="95"/>
    </row>
    <row r="337" spans="1:53" s="87" customFormat="1">
      <c r="A337" s="90" t="str">
        <f t="shared" si="30"/>
        <v/>
      </c>
      <c r="B337" s="98">
        <v>6</v>
      </c>
      <c r="C337" s="94">
        <v>2</v>
      </c>
      <c r="D337" s="94" t="s">
        <v>210</v>
      </c>
      <c r="E337" s="94" t="s">
        <v>210</v>
      </c>
      <c r="F337" s="94">
        <v>-1</v>
      </c>
      <c r="G337" s="94">
        <v>6</v>
      </c>
      <c r="H337" s="94" t="s">
        <v>210</v>
      </c>
      <c r="I337" s="94" t="s">
        <v>210</v>
      </c>
      <c r="J337" s="94">
        <v>-9</v>
      </c>
      <c r="K337" s="94">
        <v>7</v>
      </c>
      <c r="L337" s="94" t="s">
        <v>210</v>
      </c>
      <c r="M337" s="94" t="s">
        <v>210</v>
      </c>
      <c r="N337" s="94">
        <v>-8</v>
      </c>
      <c r="O337" s="94">
        <v>4</v>
      </c>
      <c r="P337" s="94" t="s">
        <v>210</v>
      </c>
      <c r="Q337" s="94" t="s">
        <v>210</v>
      </c>
      <c r="R337" s="94">
        <v>-3</v>
      </c>
      <c r="S337" s="94">
        <v>5</v>
      </c>
      <c r="T337" s="94" t="s">
        <v>210</v>
      </c>
      <c r="U337" s="94">
        <v>-2</v>
      </c>
      <c r="V337" s="94" t="s">
        <v>210</v>
      </c>
      <c r="W337" s="94" t="s">
        <v>210</v>
      </c>
      <c r="X337" s="94">
        <v>1</v>
      </c>
      <c r="Y337" s="94">
        <v>-6</v>
      </c>
      <c r="Z337" s="94" t="s">
        <v>210</v>
      </c>
      <c r="AA337" s="94" t="s">
        <v>210</v>
      </c>
      <c r="AB337" s="94">
        <v>9</v>
      </c>
      <c r="AC337" s="94">
        <v>-7</v>
      </c>
      <c r="AD337" s="94" t="s">
        <v>210</v>
      </c>
      <c r="AE337" s="94" t="s">
        <v>210</v>
      </c>
      <c r="AF337" s="94">
        <v>8</v>
      </c>
      <c r="AG337" s="94">
        <v>-4</v>
      </c>
      <c r="AH337" s="94" t="s">
        <v>210</v>
      </c>
      <c r="AI337" s="94" t="s">
        <v>210</v>
      </c>
      <c r="AJ337" s="94">
        <v>3</v>
      </c>
      <c r="AK337" s="94">
        <v>-5</v>
      </c>
      <c r="AL337" s="94" t="s">
        <v>210</v>
      </c>
      <c r="AM337" s="94"/>
      <c r="AN337" s="94"/>
      <c r="AO337" s="94"/>
      <c r="AP337" s="94"/>
      <c r="AQ337" s="94"/>
      <c r="AR337" s="94"/>
      <c r="AS337" s="94"/>
      <c r="AT337" s="94"/>
      <c r="AU337" s="94"/>
      <c r="AV337" s="94"/>
      <c r="AW337" s="94"/>
      <c r="AX337" s="94"/>
      <c r="AY337" s="94"/>
      <c r="AZ337" s="94"/>
      <c r="BA337" s="95"/>
    </row>
    <row r="338" spans="1:53" s="87" customFormat="1">
      <c r="A338" s="90" t="str">
        <f t="shared" si="30"/>
        <v/>
      </c>
      <c r="B338" s="98">
        <v>7</v>
      </c>
      <c r="C338" s="94">
        <v>7</v>
      </c>
      <c r="D338" s="94" t="s">
        <v>210</v>
      </c>
      <c r="E338" s="94" t="s">
        <v>210</v>
      </c>
      <c r="F338" s="94">
        <v>-8</v>
      </c>
      <c r="G338" s="94">
        <v>4</v>
      </c>
      <c r="H338" s="94" t="s">
        <v>210</v>
      </c>
      <c r="I338" s="94" t="s">
        <v>210</v>
      </c>
      <c r="J338" s="94">
        <v>-3</v>
      </c>
      <c r="K338" s="94">
        <v>5</v>
      </c>
      <c r="L338" s="94" t="s">
        <v>210</v>
      </c>
      <c r="M338" s="94" t="s">
        <v>210</v>
      </c>
      <c r="N338" s="94">
        <v>-2</v>
      </c>
      <c r="O338" s="94">
        <v>1</v>
      </c>
      <c r="P338" s="94" t="s">
        <v>210</v>
      </c>
      <c r="Q338" s="94" t="s">
        <v>210</v>
      </c>
      <c r="R338" s="94">
        <v>-6</v>
      </c>
      <c r="S338" s="94">
        <v>9</v>
      </c>
      <c r="T338" s="94" t="s">
        <v>210</v>
      </c>
      <c r="U338" s="94">
        <v>-7</v>
      </c>
      <c r="V338" s="94" t="s">
        <v>210</v>
      </c>
      <c r="W338" s="94" t="s">
        <v>210</v>
      </c>
      <c r="X338" s="94">
        <v>8</v>
      </c>
      <c r="Y338" s="94">
        <v>-4</v>
      </c>
      <c r="Z338" s="94" t="s">
        <v>210</v>
      </c>
      <c r="AA338" s="94" t="s">
        <v>210</v>
      </c>
      <c r="AB338" s="94">
        <v>3</v>
      </c>
      <c r="AC338" s="94">
        <v>-5</v>
      </c>
      <c r="AD338" s="94" t="s">
        <v>210</v>
      </c>
      <c r="AE338" s="94" t="s">
        <v>210</v>
      </c>
      <c r="AF338" s="94">
        <v>2</v>
      </c>
      <c r="AG338" s="94">
        <v>-1</v>
      </c>
      <c r="AH338" s="94" t="s">
        <v>210</v>
      </c>
      <c r="AI338" s="94" t="s">
        <v>210</v>
      </c>
      <c r="AJ338" s="94">
        <v>6</v>
      </c>
      <c r="AK338" s="94">
        <v>-9</v>
      </c>
      <c r="AL338" s="94" t="s">
        <v>210</v>
      </c>
      <c r="AM338" s="94"/>
      <c r="AN338" s="94"/>
      <c r="AO338" s="94"/>
      <c r="AP338" s="94"/>
      <c r="AQ338" s="94"/>
      <c r="AR338" s="94"/>
      <c r="AS338" s="94"/>
      <c r="AT338" s="94"/>
      <c r="AU338" s="94"/>
      <c r="AV338" s="94"/>
      <c r="AW338" s="94"/>
      <c r="AX338" s="94"/>
      <c r="AY338" s="94"/>
      <c r="AZ338" s="94"/>
      <c r="BA338" s="95"/>
    </row>
    <row r="339" spans="1:53" s="87" customFormat="1">
      <c r="A339" s="90" t="str">
        <f t="shared" si="30"/>
        <v/>
      </c>
      <c r="B339" s="98">
        <v>8</v>
      </c>
      <c r="C339" s="94">
        <v>9</v>
      </c>
      <c r="D339" s="94" t="s">
        <v>210</v>
      </c>
      <c r="E339" s="94" t="s">
        <v>210</v>
      </c>
      <c r="F339" s="94">
        <v>-7</v>
      </c>
      <c r="G339" s="94">
        <v>8</v>
      </c>
      <c r="H339" s="94" t="s">
        <v>210</v>
      </c>
      <c r="I339" s="94" t="s">
        <v>210</v>
      </c>
      <c r="J339" s="94">
        <v>-4</v>
      </c>
      <c r="K339" s="94">
        <v>3</v>
      </c>
      <c r="L339" s="94" t="s">
        <v>210</v>
      </c>
      <c r="M339" s="94" t="s">
        <v>210</v>
      </c>
      <c r="N339" s="94">
        <v>-5</v>
      </c>
      <c r="O339" s="94">
        <v>2</v>
      </c>
      <c r="P339" s="94" t="s">
        <v>210</v>
      </c>
      <c r="Q339" s="94" t="s">
        <v>210</v>
      </c>
      <c r="R339" s="94">
        <v>-1</v>
      </c>
      <c r="S339" s="94">
        <v>6</v>
      </c>
      <c r="T339" s="94" t="s">
        <v>210</v>
      </c>
      <c r="U339" s="94">
        <v>-9</v>
      </c>
      <c r="V339" s="94" t="s">
        <v>210</v>
      </c>
      <c r="W339" s="94" t="s">
        <v>210</v>
      </c>
      <c r="X339" s="94">
        <v>7</v>
      </c>
      <c r="Y339" s="94">
        <v>-8</v>
      </c>
      <c r="Z339" s="94" t="s">
        <v>210</v>
      </c>
      <c r="AA339" s="94" t="s">
        <v>210</v>
      </c>
      <c r="AB339" s="94">
        <v>4</v>
      </c>
      <c r="AC339" s="94">
        <v>-3</v>
      </c>
      <c r="AD339" s="94" t="s">
        <v>210</v>
      </c>
      <c r="AE339" s="94" t="s">
        <v>210</v>
      </c>
      <c r="AF339" s="94">
        <v>5</v>
      </c>
      <c r="AG339" s="94">
        <v>-2</v>
      </c>
      <c r="AH339" s="94" t="s">
        <v>210</v>
      </c>
      <c r="AI339" s="94" t="s">
        <v>210</v>
      </c>
      <c r="AJ339" s="94">
        <v>1</v>
      </c>
      <c r="AK339" s="94">
        <v>-6</v>
      </c>
      <c r="AL339" s="94" t="s">
        <v>210</v>
      </c>
      <c r="AM339" s="94"/>
      <c r="AN339" s="94"/>
      <c r="AO339" s="94"/>
      <c r="AP339" s="94"/>
      <c r="AQ339" s="94"/>
      <c r="AR339" s="94"/>
      <c r="AS339" s="94"/>
      <c r="AT339" s="94"/>
      <c r="AU339" s="94"/>
      <c r="AV339" s="94"/>
      <c r="AW339" s="94"/>
      <c r="AX339" s="94"/>
      <c r="AY339" s="94"/>
      <c r="AZ339" s="94"/>
      <c r="BA339" s="95"/>
    </row>
    <row r="340" spans="1:53" s="87" customFormat="1">
      <c r="A340" s="90" t="str">
        <f t="shared" si="30"/>
        <v/>
      </c>
      <c r="B340" s="98">
        <v>9</v>
      </c>
      <c r="C340" s="94">
        <v>4</v>
      </c>
      <c r="D340" s="94" t="s">
        <v>210</v>
      </c>
      <c r="E340" s="94" t="s">
        <v>210</v>
      </c>
      <c r="F340" s="94">
        <v>-3</v>
      </c>
      <c r="G340" s="94">
        <v>5</v>
      </c>
      <c r="H340" s="94" t="s">
        <v>210</v>
      </c>
      <c r="I340" s="94" t="s">
        <v>210</v>
      </c>
      <c r="J340" s="94">
        <v>-2</v>
      </c>
      <c r="K340" s="94">
        <v>1</v>
      </c>
      <c r="L340" s="94" t="s">
        <v>210</v>
      </c>
      <c r="M340" s="94" t="s">
        <v>210</v>
      </c>
      <c r="N340" s="94">
        <v>-6</v>
      </c>
      <c r="O340" s="94">
        <v>9</v>
      </c>
      <c r="P340" s="94" t="s">
        <v>210</v>
      </c>
      <c r="Q340" s="94" t="s">
        <v>210</v>
      </c>
      <c r="R340" s="94">
        <v>-7</v>
      </c>
      <c r="S340" s="94">
        <v>8</v>
      </c>
      <c r="T340" s="94" t="s">
        <v>210</v>
      </c>
      <c r="U340" s="94">
        <v>-4</v>
      </c>
      <c r="V340" s="94" t="s">
        <v>210</v>
      </c>
      <c r="W340" s="94" t="s">
        <v>210</v>
      </c>
      <c r="X340" s="94">
        <v>3</v>
      </c>
      <c r="Y340" s="94">
        <v>-5</v>
      </c>
      <c r="Z340" s="94" t="s">
        <v>210</v>
      </c>
      <c r="AA340" s="94" t="s">
        <v>210</v>
      </c>
      <c r="AB340" s="94">
        <v>2</v>
      </c>
      <c r="AC340" s="94">
        <v>-1</v>
      </c>
      <c r="AD340" s="94" t="s">
        <v>210</v>
      </c>
      <c r="AE340" s="94" t="s">
        <v>210</v>
      </c>
      <c r="AF340" s="94">
        <v>6</v>
      </c>
      <c r="AG340" s="94">
        <v>-9</v>
      </c>
      <c r="AH340" s="94" t="s">
        <v>210</v>
      </c>
      <c r="AI340" s="94" t="s">
        <v>210</v>
      </c>
      <c r="AJ340" s="94">
        <v>7</v>
      </c>
      <c r="AK340" s="94">
        <v>-8</v>
      </c>
      <c r="AL340" s="94" t="s">
        <v>210</v>
      </c>
      <c r="AM340" s="94"/>
      <c r="AN340" s="94"/>
      <c r="AO340" s="94"/>
      <c r="AP340" s="94"/>
      <c r="AQ340" s="94"/>
      <c r="AR340" s="94"/>
      <c r="AS340" s="94"/>
      <c r="AT340" s="94"/>
      <c r="AU340" s="94"/>
      <c r="AV340" s="94"/>
      <c r="AW340" s="94"/>
      <c r="AX340" s="94"/>
      <c r="AY340" s="94"/>
      <c r="AZ340" s="94"/>
      <c r="BA340" s="95"/>
    </row>
    <row r="341" spans="1:53" s="87" customFormat="1">
      <c r="A341" s="90" t="str">
        <f t="shared" si="30"/>
        <v/>
      </c>
      <c r="B341" s="98">
        <v>10</v>
      </c>
      <c r="C341" s="94" t="s">
        <v>210</v>
      </c>
      <c r="D341" s="94">
        <v>8</v>
      </c>
      <c r="E341" s="94">
        <v>-4</v>
      </c>
      <c r="F341" s="94" t="s">
        <v>210</v>
      </c>
      <c r="G341" s="94" t="s">
        <v>210</v>
      </c>
      <c r="H341" s="94">
        <v>3</v>
      </c>
      <c r="I341" s="94">
        <v>-5</v>
      </c>
      <c r="J341" s="94" t="s">
        <v>210</v>
      </c>
      <c r="K341" s="94" t="s">
        <v>210</v>
      </c>
      <c r="L341" s="94">
        <v>2</v>
      </c>
      <c r="M341" s="94">
        <v>-1</v>
      </c>
      <c r="N341" s="94" t="s">
        <v>210</v>
      </c>
      <c r="O341" s="94" t="s">
        <v>210</v>
      </c>
      <c r="P341" s="94">
        <v>6</v>
      </c>
      <c r="Q341" s="94">
        <v>-9</v>
      </c>
      <c r="R341" s="94" t="s">
        <v>210</v>
      </c>
      <c r="S341" s="94" t="s">
        <v>210</v>
      </c>
      <c r="T341" s="94">
        <v>7</v>
      </c>
      <c r="U341" s="94" t="s">
        <v>210</v>
      </c>
      <c r="V341" s="94">
        <v>-8</v>
      </c>
      <c r="W341" s="94">
        <v>4</v>
      </c>
      <c r="X341" s="94" t="s">
        <v>210</v>
      </c>
      <c r="Y341" s="94" t="s">
        <v>210</v>
      </c>
      <c r="Z341" s="94">
        <v>-3</v>
      </c>
      <c r="AA341" s="94">
        <v>5</v>
      </c>
      <c r="AB341" s="94" t="s">
        <v>210</v>
      </c>
      <c r="AC341" s="94" t="s">
        <v>210</v>
      </c>
      <c r="AD341" s="94">
        <v>-2</v>
      </c>
      <c r="AE341" s="94">
        <v>1</v>
      </c>
      <c r="AF341" s="94" t="s">
        <v>210</v>
      </c>
      <c r="AG341" s="94" t="s">
        <v>210</v>
      </c>
      <c r="AH341" s="94">
        <v>-6</v>
      </c>
      <c r="AI341" s="94">
        <v>9</v>
      </c>
      <c r="AJ341" s="94" t="s">
        <v>210</v>
      </c>
      <c r="AK341" s="94" t="s">
        <v>210</v>
      </c>
      <c r="AL341" s="94">
        <v>-7</v>
      </c>
      <c r="AM341" s="94"/>
      <c r="AN341" s="94"/>
      <c r="AO341" s="94"/>
      <c r="AP341" s="94"/>
      <c r="AQ341" s="94"/>
      <c r="AR341" s="94"/>
      <c r="AS341" s="94"/>
      <c r="AT341" s="94"/>
      <c r="AU341" s="94"/>
      <c r="AV341" s="94"/>
      <c r="AW341" s="94"/>
      <c r="AX341" s="94"/>
      <c r="AY341" s="94"/>
      <c r="AZ341" s="94"/>
      <c r="BA341" s="95"/>
    </row>
    <row r="342" spans="1:53" s="87" customFormat="1">
      <c r="A342" s="90" t="str">
        <f t="shared" si="30"/>
        <v/>
      </c>
      <c r="B342" s="98">
        <v>11</v>
      </c>
      <c r="C342" s="94" t="s">
        <v>210</v>
      </c>
      <c r="D342" s="94">
        <v>6</v>
      </c>
      <c r="E342" s="94">
        <v>-9</v>
      </c>
      <c r="F342" s="94" t="s">
        <v>210</v>
      </c>
      <c r="G342" s="94" t="s">
        <v>210</v>
      </c>
      <c r="H342" s="94">
        <v>7</v>
      </c>
      <c r="I342" s="94">
        <v>-8</v>
      </c>
      <c r="J342" s="94" t="s">
        <v>210</v>
      </c>
      <c r="K342" s="94" t="s">
        <v>210</v>
      </c>
      <c r="L342" s="94">
        <v>4</v>
      </c>
      <c r="M342" s="94">
        <v>-3</v>
      </c>
      <c r="N342" s="94" t="s">
        <v>210</v>
      </c>
      <c r="O342" s="94" t="s">
        <v>210</v>
      </c>
      <c r="P342" s="94">
        <v>5</v>
      </c>
      <c r="Q342" s="94">
        <v>-2</v>
      </c>
      <c r="R342" s="94" t="s">
        <v>210</v>
      </c>
      <c r="S342" s="94" t="s">
        <v>210</v>
      </c>
      <c r="T342" s="94">
        <v>1</v>
      </c>
      <c r="U342" s="94" t="s">
        <v>210</v>
      </c>
      <c r="V342" s="94">
        <v>-6</v>
      </c>
      <c r="W342" s="94">
        <v>9</v>
      </c>
      <c r="X342" s="94" t="s">
        <v>210</v>
      </c>
      <c r="Y342" s="94" t="s">
        <v>210</v>
      </c>
      <c r="Z342" s="94">
        <v>-7</v>
      </c>
      <c r="AA342" s="94">
        <v>8</v>
      </c>
      <c r="AB342" s="94" t="s">
        <v>210</v>
      </c>
      <c r="AC342" s="94" t="s">
        <v>210</v>
      </c>
      <c r="AD342" s="94">
        <v>-4</v>
      </c>
      <c r="AE342" s="94">
        <v>3</v>
      </c>
      <c r="AF342" s="94" t="s">
        <v>210</v>
      </c>
      <c r="AG342" s="94" t="s">
        <v>210</v>
      </c>
      <c r="AH342" s="94">
        <v>-5</v>
      </c>
      <c r="AI342" s="94">
        <v>2</v>
      </c>
      <c r="AJ342" s="94" t="s">
        <v>210</v>
      </c>
      <c r="AK342" s="94" t="s">
        <v>210</v>
      </c>
      <c r="AL342" s="94">
        <v>-1</v>
      </c>
      <c r="AM342" s="94"/>
      <c r="AN342" s="94"/>
      <c r="AO342" s="94"/>
      <c r="AP342" s="94"/>
      <c r="AQ342" s="94"/>
      <c r="AR342" s="94"/>
      <c r="AS342" s="94"/>
      <c r="AT342" s="94"/>
      <c r="AU342" s="94"/>
      <c r="AV342" s="94"/>
      <c r="AW342" s="94"/>
      <c r="AX342" s="94"/>
      <c r="AY342" s="94"/>
      <c r="AZ342" s="94"/>
      <c r="BA342" s="95"/>
    </row>
    <row r="343" spans="1:53" s="87" customFormat="1">
      <c r="A343" s="90" t="str">
        <f t="shared" si="30"/>
        <v/>
      </c>
      <c r="B343" s="98">
        <v>12</v>
      </c>
      <c r="C343" s="94" t="s">
        <v>210</v>
      </c>
      <c r="D343" s="94">
        <v>5</v>
      </c>
      <c r="E343" s="94">
        <v>-2</v>
      </c>
      <c r="F343" s="94" t="s">
        <v>210</v>
      </c>
      <c r="G343" s="94" t="s">
        <v>210</v>
      </c>
      <c r="H343" s="94">
        <v>1</v>
      </c>
      <c r="I343" s="94">
        <v>-6</v>
      </c>
      <c r="J343" s="94" t="s">
        <v>210</v>
      </c>
      <c r="K343" s="94" t="s">
        <v>210</v>
      </c>
      <c r="L343" s="94">
        <v>9</v>
      </c>
      <c r="M343" s="94">
        <v>-7</v>
      </c>
      <c r="N343" s="94" t="s">
        <v>210</v>
      </c>
      <c r="O343" s="94" t="s">
        <v>210</v>
      </c>
      <c r="P343" s="94">
        <v>8</v>
      </c>
      <c r="Q343" s="94">
        <v>-4</v>
      </c>
      <c r="R343" s="94" t="s">
        <v>210</v>
      </c>
      <c r="S343" s="94" t="s">
        <v>210</v>
      </c>
      <c r="T343" s="94">
        <v>3</v>
      </c>
      <c r="U343" s="94" t="s">
        <v>210</v>
      </c>
      <c r="V343" s="94">
        <v>-5</v>
      </c>
      <c r="W343" s="94">
        <v>2</v>
      </c>
      <c r="X343" s="94" t="s">
        <v>210</v>
      </c>
      <c r="Y343" s="94" t="s">
        <v>210</v>
      </c>
      <c r="Z343" s="94">
        <v>-1</v>
      </c>
      <c r="AA343" s="94">
        <v>6</v>
      </c>
      <c r="AB343" s="94" t="s">
        <v>210</v>
      </c>
      <c r="AC343" s="94" t="s">
        <v>210</v>
      </c>
      <c r="AD343" s="94">
        <v>-9</v>
      </c>
      <c r="AE343" s="94">
        <v>7</v>
      </c>
      <c r="AF343" s="94" t="s">
        <v>210</v>
      </c>
      <c r="AG343" s="94" t="s">
        <v>210</v>
      </c>
      <c r="AH343" s="94">
        <v>-8</v>
      </c>
      <c r="AI343" s="94">
        <v>4</v>
      </c>
      <c r="AJ343" s="94" t="s">
        <v>210</v>
      </c>
      <c r="AK343" s="94" t="s">
        <v>210</v>
      </c>
      <c r="AL343" s="94">
        <v>-3</v>
      </c>
      <c r="AM343" s="94"/>
      <c r="AN343" s="94"/>
      <c r="AO343" s="94"/>
      <c r="AP343" s="94"/>
      <c r="AQ343" s="94"/>
      <c r="AR343" s="94"/>
      <c r="AS343" s="94"/>
      <c r="AT343" s="94"/>
      <c r="AU343" s="94"/>
      <c r="AV343" s="94"/>
      <c r="AW343" s="94"/>
      <c r="AX343" s="94"/>
      <c r="AY343" s="94"/>
      <c r="AZ343" s="94"/>
      <c r="BA343" s="95"/>
    </row>
    <row r="344" spans="1:53" s="87" customFormat="1">
      <c r="A344" s="90" t="str">
        <f t="shared" si="30"/>
        <v/>
      </c>
      <c r="B344" s="98">
        <v>13</v>
      </c>
      <c r="C344" s="94" t="s">
        <v>210</v>
      </c>
      <c r="D344" s="94">
        <v>1</v>
      </c>
      <c r="E344" s="94">
        <v>-6</v>
      </c>
      <c r="F344" s="94" t="s">
        <v>210</v>
      </c>
      <c r="G344" s="94" t="s">
        <v>210</v>
      </c>
      <c r="H344" s="94">
        <v>9</v>
      </c>
      <c r="I344" s="94">
        <v>-7</v>
      </c>
      <c r="J344" s="94" t="s">
        <v>210</v>
      </c>
      <c r="K344" s="94" t="s">
        <v>210</v>
      </c>
      <c r="L344" s="94">
        <v>8</v>
      </c>
      <c r="M344" s="94">
        <v>-4</v>
      </c>
      <c r="N344" s="94" t="s">
        <v>210</v>
      </c>
      <c r="O344" s="94" t="s">
        <v>210</v>
      </c>
      <c r="P344" s="94">
        <v>3</v>
      </c>
      <c r="Q344" s="94">
        <v>-5</v>
      </c>
      <c r="R344" s="94" t="s">
        <v>210</v>
      </c>
      <c r="S344" s="94" t="s">
        <v>210</v>
      </c>
      <c r="T344" s="94">
        <v>2</v>
      </c>
      <c r="U344" s="94" t="s">
        <v>210</v>
      </c>
      <c r="V344" s="94">
        <v>-1</v>
      </c>
      <c r="W344" s="94">
        <v>6</v>
      </c>
      <c r="X344" s="94" t="s">
        <v>210</v>
      </c>
      <c r="Y344" s="94" t="s">
        <v>210</v>
      </c>
      <c r="Z344" s="94">
        <v>-9</v>
      </c>
      <c r="AA344" s="94">
        <v>7</v>
      </c>
      <c r="AB344" s="94" t="s">
        <v>210</v>
      </c>
      <c r="AC344" s="94" t="s">
        <v>210</v>
      </c>
      <c r="AD344" s="94">
        <v>-8</v>
      </c>
      <c r="AE344" s="94">
        <v>4</v>
      </c>
      <c r="AF344" s="94" t="s">
        <v>210</v>
      </c>
      <c r="AG344" s="94" t="s">
        <v>210</v>
      </c>
      <c r="AH344" s="94">
        <v>-3</v>
      </c>
      <c r="AI344" s="94">
        <v>5</v>
      </c>
      <c r="AJ344" s="94" t="s">
        <v>210</v>
      </c>
      <c r="AK344" s="94" t="s">
        <v>210</v>
      </c>
      <c r="AL344" s="94">
        <v>-2</v>
      </c>
      <c r="AM344" s="94"/>
      <c r="AN344" s="94"/>
      <c r="AO344" s="94"/>
      <c r="AP344" s="94"/>
      <c r="AQ344" s="94"/>
      <c r="AR344" s="94"/>
      <c r="AS344" s="94"/>
      <c r="AT344" s="94"/>
      <c r="AU344" s="94"/>
      <c r="AV344" s="94"/>
      <c r="AW344" s="94"/>
      <c r="AX344" s="94"/>
      <c r="AY344" s="94"/>
      <c r="AZ344" s="94"/>
      <c r="BA344" s="95"/>
    </row>
    <row r="345" spans="1:53" s="87" customFormat="1">
      <c r="A345" s="90" t="str">
        <f t="shared" si="30"/>
        <v/>
      </c>
      <c r="B345" s="98">
        <v>14</v>
      </c>
      <c r="C345" s="94" t="s">
        <v>210</v>
      </c>
      <c r="D345" s="94">
        <v>3</v>
      </c>
      <c r="E345" s="94">
        <v>-5</v>
      </c>
      <c r="F345" s="94" t="s">
        <v>210</v>
      </c>
      <c r="G345" s="94" t="s">
        <v>210</v>
      </c>
      <c r="H345" s="94">
        <v>2</v>
      </c>
      <c r="I345" s="94">
        <v>-1</v>
      </c>
      <c r="J345" s="94" t="s">
        <v>210</v>
      </c>
      <c r="K345" s="94" t="s">
        <v>210</v>
      </c>
      <c r="L345" s="94">
        <v>6</v>
      </c>
      <c r="M345" s="94">
        <v>-9</v>
      </c>
      <c r="N345" s="94" t="s">
        <v>210</v>
      </c>
      <c r="O345" s="94" t="s">
        <v>210</v>
      </c>
      <c r="P345" s="94">
        <v>7</v>
      </c>
      <c r="Q345" s="94">
        <v>-8</v>
      </c>
      <c r="R345" s="94" t="s">
        <v>210</v>
      </c>
      <c r="S345" s="94" t="s">
        <v>210</v>
      </c>
      <c r="T345" s="94">
        <v>4</v>
      </c>
      <c r="U345" s="94" t="s">
        <v>210</v>
      </c>
      <c r="V345" s="94">
        <v>-3</v>
      </c>
      <c r="W345" s="94">
        <v>5</v>
      </c>
      <c r="X345" s="94" t="s">
        <v>210</v>
      </c>
      <c r="Y345" s="94" t="s">
        <v>210</v>
      </c>
      <c r="Z345" s="94">
        <v>-2</v>
      </c>
      <c r="AA345" s="94">
        <v>1</v>
      </c>
      <c r="AB345" s="94" t="s">
        <v>210</v>
      </c>
      <c r="AC345" s="94" t="s">
        <v>210</v>
      </c>
      <c r="AD345" s="94">
        <v>-6</v>
      </c>
      <c r="AE345" s="94">
        <v>9</v>
      </c>
      <c r="AF345" s="94" t="s">
        <v>210</v>
      </c>
      <c r="AG345" s="94" t="s">
        <v>210</v>
      </c>
      <c r="AH345" s="94">
        <v>-7</v>
      </c>
      <c r="AI345" s="94">
        <v>8</v>
      </c>
      <c r="AJ345" s="94" t="s">
        <v>210</v>
      </c>
      <c r="AK345" s="94" t="s">
        <v>210</v>
      </c>
      <c r="AL345" s="94">
        <v>-4</v>
      </c>
      <c r="AM345" s="94"/>
      <c r="AN345" s="94"/>
      <c r="AO345" s="94"/>
      <c r="AP345" s="94"/>
      <c r="AQ345" s="94"/>
      <c r="AR345" s="94"/>
      <c r="AS345" s="94"/>
      <c r="AT345" s="94"/>
      <c r="AU345" s="94"/>
      <c r="AV345" s="94"/>
      <c r="AW345" s="94"/>
      <c r="AX345" s="94"/>
      <c r="AY345" s="94"/>
      <c r="AZ345" s="94"/>
      <c r="BA345" s="95"/>
    </row>
    <row r="346" spans="1:53" s="87" customFormat="1">
      <c r="A346" s="90" t="str">
        <f t="shared" si="30"/>
        <v/>
      </c>
      <c r="B346" s="98">
        <v>15</v>
      </c>
      <c r="C346" s="94" t="s">
        <v>210</v>
      </c>
      <c r="D346" s="94">
        <v>2</v>
      </c>
      <c r="E346" s="94">
        <v>-1</v>
      </c>
      <c r="F346" s="94" t="s">
        <v>210</v>
      </c>
      <c r="G346" s="94" t="s">
        <v>210</v>
      </c>
      <c r="H346" s="94">
        <v>6</v>
      </c>
      <c r="I346" s="94">
        <v>-9</v>
      </c>
      <c r="J346" s="94" t="s">
        <v>210</v>
      </c>
      <c r="K346" s="94" t="s">
        <v>210</v>
      </c>
      <c r="L346" s="94">
        <v>7</v>
      </c>
      <c r="M346" s="94">
        <v>-8</v>
      </c>
      <c r="N346" s="94" t="s">
        <v>210</v>
      </c>
      <c r="O346" s="94" t="s">
        <v>210</v>
      </c>
      <c r="P346" s="94">
        <v>4</v>
      </c>
      <c r="Q346" s="94">
        <v>-3</v>
      </c>
      <c r="R346" s="94" t="s">
        <v>210</v>
      </c>
      <c r="S346" s="94" t="s">
        <v>210</v>
      </c>
      <c r="T346" s="94">
        <v>5</v>
      </c>
      <c r="U346" s="94" t="s">
        <v>210</v>
      </c>
      <c r="V346" s="94">
        <v>-2</v>
      </c>
      <c r="W346" s="94">
        <v>1</v>
      </c>
      <c r="X346" s="94" t="s">
        <v>210</v>
      </c>
      <c r="Y346" s="94" t="s">
        <v>210</v>
      </c>
      <c r="Z346" s="94">
        <v>-6</v>
      </c>
      <c r="AA346" s="94">
        <v>9</v>
      </c>
      <c r="AB346" s="94" t="s">
        <v>210</v>
      </c>
      <c r="AC346" s="94" t="s">
        <v>210</v>
      </c>
      <c r="AD346" s="94">
        <v>-7</v>
      </c>
      <c r="AE346" s="94">
        <v>8</v>
      </c>
      <c r="AF346" s="94" t="s">
        <v>210</v>
      </c>
      <c r="AG346" s="94" t="s">
        <v>210</v>
      </c>
      <c r="AH346" s="94">
        <v>-4</v>
      </c>
      <c r="AI346" s="94">
        <v>3</v>
      </c>
      <c r="AJ346" s="94" t="s">
        <v>210</v>
      </c>
      <c r="AK346" s="94" t="s">
        <v>210</v>
      </c>
      <c r="AL346" s="94">
        <v>-5</v>
      </c>
      <c r="AM346" s="94"/>
      <c r="AN346" s="94"/>
      <c r="AO346" s="94"/>
      <c r="AP346" s="94"/>
      <c r="AQ346" s="94"/>
      <c r="AR346" s="94"/>
      <c r="AS346" s="94"/>
      <c r="AT346" s="94"/>
      <c r="AU346" s="94"/>
      <c r="AV346" s="94"/>
      <c r="AW346" s="94"/>
      <c r="AX346" s="94"/>
      <c r="AY346" s="94"/>
      <c r="AZ346" s="94"/>
      <c r="BA346" s="95"/>
    </row>
    <row r="347" spans="1:53" s="87" customFormat="1">
      <c r="A347" s="90" t="str">
        <f t="shared" si="30"/>
        <v/>
      </c>
      <c r="B347" s="98">
        <v>16</v>
      </c>
      <c r="C347" s="94" t="s">
        <v>210</v>
      </c>
      <c r="D347" s="94">
        <v>7</v>
      </c>
      <c r="E347" s="94">
        <v>-8</v>
      </c>
      <c r="F347" s="94" t="s">
        <v>210</v>
      </c>
      <c r="G347" s="94" t="s">
        <v>210</v>
      </c>
      <c r="H347" s="94">
        <v>4</v>
      </c>
      <c r="I347" s="94">
        <v>-3</v>
      </c>
      <c r="J347" s="94" t="s">
        <v>210</v>
      </c>
      <c r="K347" s="94" t="s">
        <v>210</v>
      </c>
      <c r="L347" s="94">
        <v>5</v>
      </c>
      <c r="M347" s="94">
        <v>-2</v>
      </c>
      <c r="N347" s="94" t="s">
        <v>210</v>
      </c>
      <c r="O347" s="94" t="s">
        <v>210</v>
      </c>
      <c r="P347" s="94">
        <v>1</v>
      </c>
      <c r="Q347" s="94">
        <v>-6</v>
      </c>
      <c r="R347" s="94" t="s">
        <v>210</v>
      </c>
      <c r="S347" s="94" t="s">
        <v>210</v>
      </c>
      <c r="T347" s="94">
        <v>9</v>
      </c>
      <c r="U347" s="94" t="s">
        <v>210</v>
      </c>
      <c r="V347" s="94">
        <v>-7</v>
      </c>
      <c r="W347" s="94">
        <v>8</v>
      </c>
      <c r="X347" s="94" t="s">
        <v>210</v>
      </c>
      <c r="Y347" s="94" t="s">
        <v>210</v>
      </c>
      <c r="Z347" s="94">
        <v>-4</v>
      </c>
      <c r="AA347" s="94">
        <v>3</v>
      </c>
      <c r="AB347" s="94" t="s">
        <v>210</v>
      </c>
      <c r="AC347" s="94" t="s">
        <v>210</v>
      </c>
      <c r="AD347" s="94">
        <v>-5</v>
      </c>
      <c r="AE347" s="94">
        <v>2</v>
      </c>
      <c r="AF347" s="94" t="s">
        <v>210</v>
      </c>
      <c r="AG347" s="94" t="s">
        <v>210</v>
      </c>
      <c r="AH347" s="94">
        <v>-1</v>
      </c>
      <c r="AI347" s="94">
        <v>6</v>
      </c>
      <c r="AJ347" s="94" t="s">
        <v>210</v>
      </c>
      <c r="AK347" s="94" t="s">
        <v>210</v>
      </c>
      <c r="AL347" s="94">
        <v>-9</v>
      </c>
      <c r="AM347" s="94"/>
      <c r="AN347" s="94"/>
      <c r="AO347" s="94"/>
      <c r="AP347" s="94"/>
      <c r="AQ347" s="94"/>
      <c r="AR347" s="94"/>
      <c r="AS347" s="94"/>
      <c r="AT347" s="94"/>
      <c r="AU347" s="94"/>
      <c r="AV347" s="94"/>
      <c r="AW347" s="94"/>
      <c r="AX347" s="94"/>
      <c r="AY347" s="94"/>
      <c r="AZ347" s="94"/>
      <c r="BA347" s="95"/>
    </row>
    <row r="348" spans="1:53" s="87" customFormat="1">
      <c r="A348" s="90" t="str">
        <f t="shared" si="30"/>
        <v/>
      </c>
      <c r="B348" s="98">
        <v>17</v>
      </c>
      <c r="C348" s="94" t="s">
        <v>210</v>
      </c>
      <c r="D348" s="94">
        <v>9</v>
      </c>
      <c r="E348" s="94">
        <v>-7</v>
      </c>
      <c r="F348" s="94" t="s">
        <v>210</v>
      </c>
      <c r="G348" s="94" t="s">
        <v>210</v>
      </c>
      <c r="H348" s="94">
        <v>8</v>
      </c>
      <c r="I348" s="94">
        <v>-4</v>
      </c>
      <c r="J348" s="94" t="s">
        <v>210</v>
      </c>
      <c r="K348" s="94" t="s">
        <v>210</v>
      </c>
      <c r="L348" s="94">
        <v>3</v>
      </c>
      <c r="M348" s="94">
        <v>-5</v>
      </c>
      <c r="N348" s="94" t="s">
        <v>210</v>
      </c>
      <c r="O348" s="94" t="s">
        <v>210</v>
      </c>
      <c r="P348" s="94">
        <v>2</v>
      </c>
      <c r="Q348" s="94">
        <v>-1</v>
      </c>
      <c r="R348" s="94" t="s">
        <v>210</v>
      </c>
      <c r="S348" s="94" t="s">
        <v>210</v>
      </c>
      <c r="T348" s="94">
        <v>6</v>
      </c>
      <c r="U348" s="94" t="s">
        <v>210</v>
      </c>
      <c r="V348" s="94">
        <v>-9</v>
      </c>
      <c r="W348" s="94">
        <v>7</v>
      </c>
      <c r="X348" s="94" t="s">
        <v>210</v>
      </c>
      <c r="Y348" s="94" t="s">
        <v>210</v>
      </c>
      <c r="Z348" s="94">
        <v>-8</v>
      </c>
      <c r="AA348" s="94">
        <v>4</v>
      </c>
      <c r="AB348" s="94" t="s">
        <v>210</v>
      </c>
      <c r="AC348" s="94" t="s">
        <v>210</v>
      </c>
      <c r="AD348" s="94">
        <v>-3</v>
      </c>
      <c r="AE348" s="94">
        <v>5</v>
      </c>
      <c r="AF348" s="94" t="s">
        <v>210</v>
      </c>
      <c r="AG348" s="94" t="s">
        <v>210</v>
      </c>
      <c r="AH348" s="94">
        <v>-2</v>
      </c>
      <c r="AI348" s="94">
        <v>1</v>
      </c>
      <c r="AJ348" s="94" t="s">
        <v>210</v>
      </c>
      <c r="AK348" s="94" t="s">
        <v>210</v>
      </c>
      <c r="AL348" s="94">
        <v>-6</v>
      </c>
      <c r="AM348" s="94"/>
      <c r="AN348" s="94"/>
      <c r="AO348" s="94"/>
      <c r="AP348" s="94"/>
      <c r="AQ348" s="94"/>
      <c r="AR348" s="94"/>
      <c r="AS348" s="94"/>
      <c r="AT348" s="94"/>
      <c r="AU348" s="94"/>
      <c r="AV348" s="94"/>
      <c r="AW348" s="94"/>
      <c r="AX348" s="94"/>
      <c r="AY348" s="94"/>
      <c r="AZ348" s="94"/>
      <c r="BA348" s="95"/>
    </row>
    <row r="349" spans="1:53" s="87" customFormat="1">
      <c r="A349" s="90" t="str">
        <f t="shared" si="30"/>
        <v/>
      </c>
      <c r="B349" s="98">
        <v>18</v>
      </c>
      <c r="C349" s="94" t="s">
        <v>210</v>
      </c>
      <c r="D349" s="94">
        <v>4</v>
      </c>
      <c r="E349" s="94">
        <v>-3</v>
      </c>
      <c r="F349" s="94" t="s">
        <v>210</v>
      </c>
      <c r="G349" s="94" t="s">
        <v>210</v>
      </c>
      <c r="H349" s="94">
        <v>5</v>
      </c>
      <c r="I349" s="94">
        <v>-2</v>
      </c>
      <c r="J349" s="94" t="s">
        <v>210</v>
      </c>
      <c r="K349" s="94" t="s">
        <v>210</v>
      </c>
      <c r="L349" s="94">
        <v>1</v>
      </c>
      <c r="M349" s="94">
        <v>-6</v>
      </c>
      <c r="N349" s="94" t="s">
        <v>210</v>
      </c>
      <c r="O349" s="94" t="s">
        <v>210</v>
      </c>
      <c r="P349" s="94">
        <v>9</v>
      </c>
      <c r="Q349" s="94">
        <v>-7</v>
      </c>
      <c r="R349" s="94" t="s">
        <v>210</v>
      </c>
      <c r="S349" s="94" t="s">
        <v>210</v>
      </c>
      <c r="T349" s="94">
        <v>8</v>
      </c>
      <c r="U349" s="94" t="s">
        <v>210</v>
      </c>
      <c r="V349" s="94">
        <v>-4</v>
      </c>
      <c r="W349" s="94">
        <v>3</v>
      </c>
      <c r="X349" s="94" t="s">
        <v>210</v>
      </c>
      <c r="Y349" s="94" t="s">
        <v>210</v>
      </c>
      <c r="Z349" s="94">
        <v>-5</v>
      </c>
      <c r="AA349" s="94">
        <v>2</v>
      </c>
      <c r="AB349" s="94" t="s">
        <v>210</v>
      </c>
      <c r="AC349" s="94" t="s">
        <v>210</v>
      </c>
      <c r="AD349" s="94">
        <v>-1</v>
      </c>
      <c r="AE349" s="94">
        <v>6</v>
      </c>
      <c r="AF349" s="94" t="s">
        <v>210</v>
      </c>
      <c r="AG349" s="94" t="s">
        <v>210</v>
      </c>
      <c r="AH349" s="94">
        <v>-9</v>
      </c>
      <c r="AI349" s="94">
        <v>7</v>
      </c>
      <c r="AJ349" s="94" t="s">
        <v>210</v>
      </c>
      <c r="AK349" s="94" t="s">
        <v>210</v>
      </c>
      <c r="AL349" s="94">
        <v>-8</v>
      </c>
      <c r="AM349" s="94"/>
      <c r="AN349" s="94"/>
      <c r="AO349" s="94"/>
      <c r="AP349" s="94"/>
      <c r="AQ349" s="94"/>
      <c r="AR349" s="94"/>
      <c r="AS349" s="94"/>
      <c r="AT349" s="94"/>
      <c r="AU349" s="94"/>
      <c r="AV349" s="94"/>
      <c r="AW349" s="94"/>
      <c r="AX349" s="94"/>
      <c r="AY349" s="94"/>
      <c r="AZ349" s="94"/>
      <c r="BA349" s="95"/>
    </row>
    <row r="350" spans="1:53" s="87" customFormat="1">
      <c r="A350" s="90" t="str">
        <f t="shared" si="30"/>
        <v/>
      </c>
      <c r="B350" s="98">
        <v>19</v>
      </c>
      <c r="C350" s="94" t="s">
        <v>210</v>
      </c>
      <c r="D350" s="94">
        <v>-9</v>
      </c>
      <c r="E350" s="94">
        <v>6</v>
      </c>
      <c r="F350" s="94" t="s">
        <v>210</v>
      </c>
      <c r="G350" s="94" t="s">
        <v>210</v>
      </c>
      <c r="H350" s="94">
        <v>-1</v>
      </c>
      <c r="I350" s="94">
        <v>2</v>
      </c>
      <c r="J350" s="94" t="s">
        <v>210</v>
      </c>
      <c r="K350" s="94" t="s">
        <v>210</v>
      </c>
      <c r="L350" s="94">
        <v>-5</v>
      </c>
      <c r="M350" s="94">
        <v>3</v>
      </c>
      <c r="N350" s="94" t="s">
        <v>210</v>
      </c>
      <c r="O350" s="94" t="s">
        <v>210</v>
      </c>
      <c r="P350" s="94">
        <v>-4</v>
      </c>
      <c r="Q350" s="94">
        <v>8</v>
      </c>
      <c r="R350" s="94" t="s">
        <v>210</v>
      </c>
      <c r="S350" s="94" t="s">
        <v>210</v>
      </c>
      <c r="T350" s="94">
        <v>-7</v>
      </c>
      <c r="U350" s="94">
        <v>9</v>
      </c>
      <c r="V350" s="94" t="s">
        <v>210</v>
      </c>
      <c r="W350" s="94" t="s">
        <v>210</v>
      </c>
      <c r="X350" s="94">
        <v>-6</v>
      </c>
      <c r="Y350" s="94">
        <v>1</v>
      </c>
      <c r="Z350" s="94" t="s">
        <v>210</v>
      </c>
      <c r="AA350" s="94" t="s">
        <v>210</v>
      </c>
      <c r="AB350" s="94">
        <v>-2</v>
      </c>
      <c r="AC350" s="94">
        <v>5</v>
      </c>
      <c r="AD350" s="94" t="s">
        <v>210</v>
      </c>
      <c r="AE350" s="94" t="s">
        <v>210</v>
      </c>
      <c r="AF350" s="94">
        <v>-3</v>
      </c>
      <c r="AG350" s="94">
        <v>4</v>
      </c>
      <c r="AH350" s="94" t="s">
        <v>210</v>
      </c>
      <c r="AI350" s="94" t="s">
        <v>210</v>
      </c>
      <c r="AJ350" s="94">
        <v>-8</v>
      </c>
      <c r="AK350" s="94">
        <v>7</v>
      </c>
      <c r="AL350" s="94" t="s">
        <v>210</v>
      </c>
      <c r="AM350" s="94"/>
      <c r="AN350" s="94"/>
      <c r="AO350" s="94"/>
      <c r="AP350" s="94"/>
      <c r="AQ350" s="94"/>
      <c r="AR350" s="94"/>
      <c r="AS350" s="94"/>
      <c r="AT350" s="94"/>
      <c r="AU350" s="94"/>
      <c r="AV350" s="94"/>
      <c r="AW350" s="94"/>
      <c r="AX350" s="94"/>
      <c r="AY350" s="94"/>
      <c r="AZ350" s="94"/>
      <c r="BA350" s="95"/>
    </row>
    <row r="351" spans="1:53" s="87" customFormat="1">
      <c r="A351" s="90" t="str">
        <f t="shared" si="30"/>
        <v/>
      </c>
      <c r="B351" s="98">
        <v>20</v>
      </c>
      <c r="C351" s="94" t="s">
        <v>210</v>
      </c>
      <c r="D351" s="94">
        <v>-2</v>
      </c>
      <c r="E351" s="94">
        <v>5</v>
      </c>
      <c r="F351" s="94" t="s">
        <v>210</v>
      </c>
      <c r="G351" s="94" t="s">
        <v>210</v>
      </c>
      <c r="H351" s="94">
        <v>-3</v>
      </c>
      <c r="I351" s="94">
        <v>4</v>
      </c>
      <c r="J351" s="94" t="s">
        <v>210</v>
      </c>
      <c r="K351" s="94" t="s">
        <v>210</v>
      </c>
      <c r="L351" s="94">
        <v>-8</v>
      </c>
      <c r="M351" s="94">
        <v>7</v>
      </c>
      <c r="N351" s="94" t="s">
        <v>210</v>
      </c>
      <c r="O351" s="94" t="s">
        <v>210</v>
      </c>
      <c r="P351" s="94">
        <v>-9</v>
      </c>
      <c r="Q351" s="94">
        <v>6</v>
      </c>
      <c r="R351" s="94" t="s">
        <v>210</v>
      </c>
      <c r="S351" s="94" t="s">
        <v>210</v>
      </c>
      <c r="T351" s="94">
        <v>-1</v>
      </c>
      <c r="U351" s="94">
        <v>2</v>
      </c>
      <c r="V351" s="94" t="s">
        <v>210</v>
      </c>
      <c r="W351" s="94" t="s">
        <v>210</v>
      </c>
      <c r="X351" s="94">
        <v>-5</v>
      </c>
      <c r="Y351" s="94">
        <v>3</v>
      </c>
      <c r="Z351" s="94" t="s">
        <v>210</v>
      </c>
      <c r="AA351" s="94" t="s">
        <v>210</v>
      </c>
      <c r="AB351" s="94">
        <v>-4</v>
      </c>
      <c r="AC351" s="94">
        <v>8</v>
      </c>
      <c r="AD351" s="94" t="s">
        <v>210</v>
      </c>
      <c r="AE351" s="94" t="s">
        <v>210</v>
      </c>
      <c r="AF351" s="94">
        <v>-7</v>
      </c>
      <c r="AG351" s="94">
        <v>9</v>
      </c>
      <c r="AH351" s="94" t="s">
        <v>210</v>
      </c>
      <c r="AI351" s="94" t="s">
        <v>210</v>
      </c>
      <c r="AJ351" s="94">
        <v>-6</v>
      </c>
      <c r="AK351" s="94">
        <v>1</v>
      </c>
      <c r="AL351" s="94" t="s">
        <v>210</v>
      </c>
      <c r="AM351" s="94"/>
      <c r="AN351" s="94"/>
      <c r="AO351" s="94"/>
      <c r="AP351" s="94"/>
      <c r="AQ351" s="94"/>
      <c r="AR351" s="94"/>
      <c r="AS351" s="94"/>
      <c r="AT351" s="94"/>
      <c r="AU351" s="94"/>
      <c r="AV351" s="94"/>
      <c r="AW351" s="94"/>
      <c r="AX351" s="94"/>
      <c r="AY351" s="94"/>
      <c r="AZ351" s="94"/>
      <c r="BA351" s="95"/>
    </row>
    <row r="352" spans="1:53" s="87" customFormat="1">
      <c r="A352" s="90" t="str">
        <f t="shared" si="30"/>
        <v/>
      </c>
      <c r="B352" s="98">
        <v>21</v>
      </c>
      <c r="C352" s="94" t="s">
        <v>210</v>
      </c>
      <c r="D352" s="94">
        <v>-4</v>
      </c>
      <c r="E352" s="94">
        <v>8</v>
      </c>
      <c r="F352" s="94" t="s">
        <v>210</v>
      </c>
      <c r="G352" s="94" t="s">
        <v>210</v>
      </c>
      <c r="H352" s="94">
        <v>-7</v>
      </c>
      <c r="I352" s="94">
        <v>9</v>
      </c>
      <c r="J352" s="94" t="s">
        <v>210</v>
      </c>
      <c r="K352" s="94" t="s">
        <v>210</v>
      </c>
      <c r="L352" s="94">
        <v>-6</v>
      </c>
      <c r="M352" s="94">
        <v>1</v>
      </c>
      <c r="N352" s="94" t="s">
        <v>210</v>
      </c>
      <c r="O352" s="94" t="s">
        <v>210</v>
      </c>
      <c r="P352" s="94">
        <v>-2</v>
      </c>
      <c r="Q352" s="94">
        <v>5</v>
      </c>
      <c r="R352" s="94" t="s">
        <v>210</v>
      </c>
      <c r="S352" s="94" t="s">
        <v>210</v>
      </c>
      <c r="T352" s="94">
        <v>-3</v>
      </c>
      <c r="U352" s="94">
        <v>4</v>
      </c>
      <c r="V352" s="94" t="s">
        <v>210</v>
      </c>
      <c r="W352" s="94" t="s">
        <v>210</v>
      </c>
      <c r="X352" s="94">
        <v>-8</v>
      </c>
      <c r="Y352" s="94">
        <v>7</v>
      </c>
      <c r="Z352" s="94" t="s">
        <v>210</v>
      </c>
      <c r="AA352" s="94" t="s">
        <v>210</v>
      </c>
      <c r="AB352" s="94">
        <v>-9</v>
      </c>
      <c r="AC352" s="94">
        <v>6</v>
      </c>
      <c r="AD352" s="94" t="s">
        <v>210</v>
      </c>
      <c r="AE352" s="94" t="s">
        <v>210</v>
      </c>
      <c r="AF352" s="94">
        <v>-1</v>
      </c>
      <c r="AG352" s="94">
        <v>2</v>
      </c>
      <c r="AH352" s="94" t="s">
        <v>210</v>
      </c>
      <c r="AI352" s="94" t="s">
        <v>210</v>
      </c>
      <c r="AJ352" s="94">
        <v>-5</v>
      </c>
      <c r="AK352" s="94">
        <v>3</v>
      </c>
      <c r="AL352" s="94" t="s">
        <v>210</v>
      </c>
      <c r="AM352" s="94"/>
      <c r="AN352" s="94"/>
      <c r="AO352" s="94"/>
      <c r="AP352" s="94"/>
      <c r="AQ352" s="94"/>
      <c r="AR352" s="94"/>
      <c r="AS352" s="94"/>
      <c r="AT352" s="94"/>
      <c r="AU352" s="94"/>
      <c r="AV352" s="94"/>
      <c r="AW352" s="94"/>
      <c r="AX352" s="94"/>
      <c r="AY352" s="94"/>
      <c r="AZ352" s="94"/>
      <c r="BA352" s="95"/>
    </row>
    <row r="353" spans="1:53" s="87" customFormat="1">
      <c r="A353" s="90" t="str">
        <f t="shared" si="30"/>
        <v/>
      </c>
      <c r="B353" s="98">
        <v>22</v>
      </c>
      <c r="C353" s="94" t="s">
        <v>210</v>
      </c>
      <c r="D353" s="94">
        <v>-5</v>
      </c>
      <c r="E353" s="94">
        <v>3</v>
      </c>
      <c r="F353" s="94" t="s">
        <v>210</v>
      </c>
      <c r="G353" s="94" t="s">
        <v>210</v>
      </c>
      <c r="H353" s="94">
        <v>-4</v>
      </c>
      <c r="I353" s="94">
        <v>8</v>
      </c>
      <c r="J353" s="94" t="s">
        <v>210</v>
      </c>
      <c r="K353" s="94" t="s">
        <v>210</v>
      </c>
      <c r="L353" s="94">
        <v>-7</v>
      </c>
      <c r="M353" s="94">
        <v>9</v>
      </c>
      <c r="N353" s="94" t="s">
        <v>210</v>
      </c>
      <c r="O353" s="94" t="s">
        <v>210</v>
      </c>
      <c r="P353" s="94">
        <v>-6</v>
      </c>
      <c r="Q353" s="94">
        <v>1</v>
      </c>
      <c r="R353" s="94" t="s">
        <v>210</v>
      </c>
      <c r="S353" s="94" t="s">
        <v>210</v>
      </c>
      <c r="T353" s="94">
        <v>-2</v>
      </c>
      <c r="U353" s="94">
        <v>5</v>
      </c>
      <c r="V353" s="94" t="s">
        <v>210</v>
      </c>
      <c r="W353" s="94" t="s">
        <v>210</v>
      </c>
      <c r="X353" s="94">
        <v>-3</v>
      </c>
      <c r="Y353" s="94">
        <v>4</v>
      </c>
      <c r="Z353" s="94" t="s">
        <v>210</v>
      </c>
      <c r="AA353" s="94" t="s">
        <v>210</v>
      </c>
      <c r="AB353" s="94">
        <v>-8</v>
      </c>
      <c r="AC353" s="94">
        <v>7</v>
      </c>
      <c r="AD353" s="94" t="s">
        <v>210</v>
      </c>
      <c r="AE353" s="94" t="s">
        <v>210</v>
      </c>
      <c r="AF353" s="94">
        <v>-9</v>
      </c>
      <c r="AG353" s="94">
        <v>6</v>
      </c>
      <c r="AH353" s="94" t="s">
        <v>210</v>
      </c>
      <c r="AI353" s="94" t="s">
        <v>210</v>
      </c>
      <c r="AJ353" s="94">
        <v>-1</v>
      </c>
      <c r="AK353" s="94">
        <v>2</v>
      </c>
      <c r="AL353" s="94" t="s">
        <v>210</v>
      </c>
      <c r="AM353" s="94"/>
      <c r="AN353" s="94"/>
      <c r="AO353" s="94"/>
      <c r="AP353" s="94"/>
      <c r="AQ353" s="94"/>
      <c r="AR353" s="94"/>
      <c r="AS353" s="94"/>
      <c r="AT353" s="94"/>
      <c r="AU353" s="94"/>
      <c r="AV353" s="94"/>
      <c r="AW353" s="94"/>
      <c r="AX353" s="94"/>
      <c r="AY353" s="94"/>
      <c r="AZ353" s="94"/>
      <c r="BA353" s="95"/>
    </row>
    <row r="354" spans="1:53" s="87" customFormat="1">
      <c r="A354" s="90" t="str">
        <f t="shared" si="30"/>
        <v/>
      </c>
      <c r="B354" s="98">
        <v>23</v>
      </c>
      <c r="C354" s="94" t="s">
        <v>210</v>
      </c>
      <c r="D354" s="94">
        <v>-8</v>
      </c>
      <c r="E354" s="94">
        <v>7</v>
      </c>
      <c r="F354" s="94" t="s">
        <v>210</v>
      </c>
      <c r="G354" s="94" t="s">
        <v>210</v>
      </c>
      <c r="H354" s="94">
        <v>-9</v>
      </c>
      <c r="I354" s="94">
        <v>6</v>
      </c>
      <c r="J354" s="94" t="s">
        <v>210</v>
      </c>
      <c r="K354" s="94" t="s">
        <v>210</v>
      </c>
      <c r="L354" s="94">
        <v>-1</v>
      </c>
      <c r="M354" s="94">
        <v>2</v>
      </c>
      <c r="N354" s="94" t="s">
        <v>210</v>
      </c>
      <c r="O354" s="94" t="s">
        <v>210</v>
      </c>
      <c r="P354" s="94">
        <v>-5</v>
      </c>
      <c r="Q354" s="94">
        <v>3</v>
      </c>
      <c r="R354" s="94" t="s">
        <v>210</v>
      </c>
      <c r="S354" s="94" t="s">
        <v>210</v>
      </c>
      <c r="T354" s="94">
        <v>-4</v>
      </c>
      <c r="U354" s="94">
        <v>8</v>
      </c>
      <c r="V354" s="94" t="s">
        <v>210</v>
      </c>
      <c r="W354" s="94" t="s">
        <v>210</v>
      </c>
      <c r="X354" s="94">
        <v>-7</v>
      </c>
      <c r="Y354" s="94">
        <v>9</v>
      </c>
      <c r="Z354" s="94" t="s">
        <v>210</v>
      </c>
      <c r="AA354" s="94" t="s">
        <v>210</v>
      </c>
      <c r="AB354" s="94">
        <v>-6</v>
      </c>
      <c r="AC354" s="94">
        <v>1</v>
      </c>
      <c r="AD354" s="94" t="s">
        <v>210</v>
      </c>
      <c r="AE354" s="94" t="s">
        <v>210</v>
      </c>
      <c r="AF354" s="94">
        <v>-2</v>
      </c>
      <c r="AG354" s="94">
        <v>5</v>
      </c>
      <c r="AH354" s="94" t="s">
        <v>210</v>
      </c>
      <c r="AI354" s="94" t="s">
        <v>210</v>
      </c>
      <c r="AJ354" s="94">
        <v>-3</v>
      </c>
      <c r="AK354" s="94">
        <v>4</v>
      </c>
      <c r="AL354" s="94" t="s">
        <v>210</v>
      </c>
      <c r="AM354" s="94"/>
      <c r="AN354" s="94"/>
      <c r="AO354" s="94"/>
      <c r="AP354" s="94"/>
      <c r="AQ354" s="94"/>
      <c r="AR354" s="94"/>
      <c r="AS354" s="94"/>
      <c r="AT354" s="94"/>
      <c r="AU354" s="94"/>
      <c r="AV354" s="94"/>
      <c r="AW354" s="94"/>
      <c r="AX354" s="94"/>
      <c r="AY354" s="94"/>
      <c r="AZ354" s="94"/>
      <c r="BA354" s="95"/>
    </row>
    <row r="355" spans="1:53" s="87" customFormat="1">
      <c r="A355" s="90" t="str">
        <f t="shared" si="30"/>
        <v/>
      </c>
      <c r="B355" s="98">
        <v>24</v>
      </c>
      <c r="C355" s="94" t="s">
        <v>210</v>
      </c>
      <c r="D355" s="94">
        <v>-3</v>
      </c>
      <c r="E355" s="94">
        <v>4</v>
      </c>
      <c r="F355" s="94" t="s">
        <v>210</v>
      </c>
      <c r="G355" s="94" t="s">
        <v>210</v>
      </c>
      <c r="H355" s="94">
        <v>-8</v>
      </c>
      <c r="I355" s="94">
        <v>7</v>
      </c>
      <c r="J355" s="94" t="s">
        <v>210</v>
      </c>
      <c r="K355" s="94" t="s">
        <v>210</v>
      </c>
      <c r="L355" s="94">
        <v>-9</v>
      </c>
      <c r="M355" s="94">
        <v>6</v>
      </c>
      <c r="N355" s="94" t="s">
        <v>210</v>
      </c>
      <c r="O355" s="94" t="s">
        <v>210</v>
      </c>
      <c r="P355" s="94">
        <v>-1</v>
      </c>
      <c r="Q355" s="94">
        <v>2</v>
      </c>
      <c r="R355" s="94" t="s">
        <v>210</v>
      </c>
      <c r="S355" s="94" t="s">
        <v>210</v>
      </c>
      <c r="T355" s="94">
        <v>-5</v>
      </c>
      <c r="U355" s="94">
        <v>3</v>
      </c>
      <c r="V355" s="94" t="s">
        <v>210</v>
      </c>
      <c r="W355" s="94" t="s">
        <v>210</v>
      </c>
      <c r="X355" s="94">
        <v>-4</v>
      </c>
      <c r="Y355" s="94">
        <v>8</v>
      </c>
      <c r="Z355" s="94" t="s">
        <v>210</v>
      </c>
      <c r="AA355" s="94" t="s">
        <v>210</v>
      </c>
      <c r="AB355" s="94">
        <v>-7</v>
      </c>
      <c r="AC355" s="94">
        <v>9</v>
      </c>
      <c r="AD355" s="94" t="s">
        <v>210</v>
      </c>
      <c r="AE355" s="94" t="s">
        <v>210</v>
      </c>
      <c r="AF355" s="94">
        <v>-6</v>
      </c>
      <c r="AG355" s="94">
        <v>1</v>
      </c>
      <c r="AH355" s="94" t="s">
        <v>210</v>
      </c>
      <c r="AI355" s="94" t="s">
        <v>210</v>
      </c>
      <c r="AJ355" s="94">
        <v>-2</v>
      </c>
      <c r="AK355" s="94">
        <v>5</v>
      </c>
      <c r="AL355" s="94" t="s">
        <v>210</v>
      </c>
      <c r="AM355" s="94"/>
      <c r="AN355" s="94"/>
      <c r="AO355" s="94"/>
      <c r="AP355" s="94"/>
      <c r="AQ355" s="94"/>
      <c r="AR355" s="94"/>
      <c r="AS355" s="94"/>
      <c r="AT355" s="94"/>
      <c r="AU355" s="94"/>
      <c r="AV355" s="94"/>
      <c r="AW355" s="94"/>
      <c r="AX355" s="94"/>
      <c r="AY355" s="94"/>
      <c r="AZ355" s="94"/>
      <c r="BA355" s="95"/>
    </row>
    <row r="356" spans="1:53" s="87" customFormat="1">
      <c r="A356" s="90" t="str">
        <f t="shared" si="30"/>
        <v/>
      </c>
      <c r="B356" s="98">
        <v>25</v>
      </c>
      <c r="C356" s="94" t="s">
        <v>210</v>
      </c>
      <c r="D356" s="94">
        <v>-6</v>
      </c>
      <c r="E356" s="94">
        <v>1</v>
      </c>
      <c r="F356" s="94" t="s">
        <v>210</v>
      </c>
      <c r="G356" s="94" t="s">
        <v>210</v>
      </c>
      <c r="H356" s="94">
        <v>-2</v>
      </c>
      <c r="I356" s="94">
        <v>5</v>
      </c>
      <c r="J356" s="94" t="s">
        <v>210</v>
      </c>
      <c r="K356" s="94" t="s">
        <v>210</v>
      </c>
      <c r="L356" s="94">
        <v>-3</v>
      </c>
      <c r="M356" s="94">
        <v>4</v>
      </c>
      <c r="N356" s="94" t="s">
        <v>210</v>
      </c>
      <c r="O356" s="94" t="s">
        <v>210</v>
      </c>
      <c r="P356" s="94">
        <v>-8</v>
      </c>
      <c r="Q356" s="94">
        <v>7</v>
      </c>
      <c r="R356" s="94" t="s">
        <v>210</v>
      </c>
      <c r="S356" s="94" t="s">
        <v>210</v>
      </c>
      <c r="T356" s="94">
        <v>-9</v>
      </c>
      <c r="U356" s="94">
        <v>6</v>
      </c>
      <c r="V356" s="94" t="s">
        <v>210</v>
      </c>
      <c r="W356" s="94" t="s">
        <v>210</v>
      </c>
      <c r="X356" s="94">
        <v>-1</v>
      </c>
      <c r="Y356" s="94">
        <v>2</v>
      </c>
      <c r="Z356" s="94" t="s">
        <v>210</v>
      </c>
      <c r="AA356" s="94" t="s">
        <v>210</v>
      </c>
      <c r="AB356" s="94">
        <v>-5</v>
      </c>
      <c r="AC356" s="94">
        <v>3</v>
      </c>
      <c r="AD356" s="94" t="s">
        <v>210</v>
      </c>
      <c r="AE356" s="94" t="s">
        <v>210</v>
      </c>
      <c r="AF356" s="94">
        <v>-4</v>
      </c>
      <c r="AG356" s="94">
        <v>8</v>
      </c>
      <c r="AH356" s="94" t="s">
        <v>210</v>
      </c>
      <c r="AI356" s="94" t="s">
        <v>210</v>
      </c>
      <c r="AJ356" s="94">
        <v>-7</v>
      </c>
      <c r="AK356" s="94">
        <v>9</v>
      </c>
      <c r="AL356" s="94" t="s">
        <v>210</v>
      </c>
      <c r="AM356" s="94"/>
      <c r="AN356" s="94"/>
      <c r="AO356" s="94"/>
      <c r="AP356" s="94"/>
      <c r="AQ356" s="94"/>
      <c r="AR356" s="94"/>
      <c r="AS356" s="94"/>
      <c r="AT356" s="94"/>
      <c r="AU356" s="94"/>
      <c r="AV356" s="94"/>
      <c r="AW356" s="94"/>
      <c r="AX356" s="94"/>
      <c r="AY356" s="94"/>
      <c r="AZ356" s="94"/>
      <c r="BA356" s="95"/>
    </row>
    <row r="357" spans="1:53" s="87" customFormat="1">
      <c r="A357" s="90" t="str">
        <f t="shared" si="30"/>
        <v/>
      </c>
      <c r="B357" s="98">
        <v>26</v>
      </c>
      <c r="C357" s="94" t="s">
        <v>210</v>
      </c>
      <c r="D357" s="94">
        <v>-1</v>
      </c>
      <c r="E357" s="94">
        <v>2</v>
      </c>
      <c r="F357" s="94" t="s">
        <v>210</v>
      </c>
      <c r="G357" s="94" t="s">
        <v>210</v>
      </c>
      <c r="H357" s="94">
        <v>-5</v>
      </c>
      <c r="I357" s="94">
        <v>3</v>
      </c>
      <c r="J357" s="94" t="s">
        <v>210</v>
      </c>
      <c r="K357" s="94" t="s">
        <v>210</v>
      </c>
      <c r="L357" s="94">
        <v>-4</v>
      </c>
      <c r="M357" s="94">
        <v>8</v>
      </c>
      <c r="N357" s="94" t="s">
        <v>210</v>
      </c>
      <c r="O357" s="94" t="s">
        <v>210</v>
      </c>
      <c r="P357" s="94">
        <v>-7</v>
      </c>
      <c r="Q357" s="94">
        <v>9</v>
      </c>
      <c r="R357" s="94" t="s">
        <v>210</v>
      </c>
      <c r="S357" s="94" t="s">
        <v>210</v>
      </c>
      <c r="T357" s="94">
        <v>-6</v>
      </c>
      <c r="U357" s="94">
        <v>1</v>
      </c>
      <c r="V357" s="94" t="s">
        <v>210</v>
      </c>
      <c r="W357" s="94" t="s">
        <v>210</v>
      </c>
      <c r="X357" s="94">
        <v>-2</v>
      </c>
      <c r="Y357" s="94">
        <v>5</v>
      </c>
      <c r="Z357" s="94" t="s">
        <v>210</v>
      </c>
      <c r="AA357" s="94" t="s">
        <v>210</v>
      </c>
      <c r="AB357" s="94">
        <v>-3</v>
      </c>
      <c r="AC357" s="94">
        <v>4</v>
      </c>
      <c r="AD357" s="94" t="s">
        <v>210</v>
      </c>
      <c r="AE357" s="94" t="s">
        <v>210</v>
      </c>
      <c r="AF357" s="94">
        <v>-8</v>
      </c>
      <c r="AG357" s="94">
        <v>7</v>
      </c>
      <c r="AH357" s="94" t="s">
        <v>210</v>
      </c>
      <c r="AI357" s="94" t="s">
        <v>210</v>
      </c>
      <c r="AJ357" s="94">
        <v>-9</v>
      </c>
      <c r="AK357" s="94">
        <v>6</v>
      </c>
      <c r="AL357" s="94" t="s">
        <v>210</v>
      </c>
      <c r="AM357" s="94"/>
      <c r="AN357" s="94"/>
      <c r="AO357" s="94"/>
      <c r="AP357" s="94"/>
      <c r="AQ357" s="94"/>
      <c r="AR357" s="94"/>
      <c r="AS357" s="94"/>
      <c r="AT357" s="94"/>
      <c r="AU357" s="94"/>
      <c r="AV357" s="94"/>
      <c r="AW357" s="94"/>
      <c r="AX357" s="94"/>
      <c r="AY357" s="94"/>
      <c r="AZ357" s="94"/>
      <c r="BA357" s="95"/>
    </row>
    <row r="358" spans="1:53" s="87" customFormat="1">
      <c r="A358" s="90" t="str">
        <f t="shared" si="30"/>
        <v/>
      </c>
      <c r="B358" s="98">
        <v>27</v>
      </c>
      <c r="C358" s="94" t="s">
        <v>210</v>
      </c>
      <c r="D358" s="94">
        <v>-7</v>
      </c>
      <c r="E358" s="94">
        <v>9</v>
      </c>
      <c r="F358" s="94" t="s">
        <v>210</v>
      </c>
      <c r="G358" s="94" t="s">
        <v>210</v>
      </c>
      <c r="H358" s="94">
        <v>-6</v>
      </c>
      <c r="I358" s="94">
        <v>1</v>
      </c>
      <c r="J358" s="94" t="s">
        <v>210</v>
      </c>
      <c r="K358" s="94" t="s">
        <v>210</v>
      </c>
      <c r="L358" s="94">
        <v>-2</v>
      </c>
      <c r="M358" s="94">
        <v>5</v>
      </c>
      <c r="N358" s="94" t="s">
        <v>210</v>
      </c>
      <c r="O358" s="94" t="s">
        <v>210</v>
      </c>
      <c r="P358" s="94">
        <v>-3</v>
      </c>
      <c r="Q358" s="94">
        <v>4</v>
      </c>
      <c r="R358" s="94" t="s">
        <v>210</v>
      </c>
      <c r="S358" s="94" t="s">
        <v>210</v>
      </c>
      <c r="T358" s="94">
        <v>-8</v>
      </c>
      <c r="U358" s="94">
        <v>7</v>
      </c>
      <c r="V358" s="94" t="s">
        <v>210</v>
      </c>
      <c r="W358" s="94" t="s">
        <v>210</v>
      </c>
      <c r="X358" s="94">
        <v>-9</v>
      </c>
      <c r="Y358" s="94">
        <v>6</v>
      </c>
      <c r="Z358" s="94" t="s">
        <v>210</v>
      </c>
      <c r="AA358" s="94" t="s">
        <v>210</v>
      </c>
      <c r="AB358" s="94">
        <v>-1</v>
      </c>
      <c r="AC358" s="94">
        <v>2</v>
      </c>
      <c r="AD358" s="94" t="s">
        <v>210</v>
      </c>
      <c r="AE358" s="94" t="s">
        <v>210</v>
      </c>
      <c r="AF358" s="94">
        <v>-5</v>
      </c>
      <c r="AG358" s="94">
        <v>3</v>
      </c>
      <c r="AH358" s="94" t="s">
        <v>210</v>
      </c>
      <c r="AI358" s="94" t="s">
        <v>210</v>
      </c>
      <c r="AJ358" s="94">
        <v>-4</v>
      </c>
      <c r="AK358" s="94">
        <v>8</v>
      </c>
      <c r="AL358" s="94" t="s">
        <v>210</v>
      </c>
      <c r="AM358" s="94"/>
      <c r="AN358" s="94"/>
      <c r="AO358" s="94"/>
      <c r="AP358" s="94"/>
      <c r="AQ358" s="94"/>
      <c r="AR358" s="94"/>
      <c r="AS358" s="94"/>
      <c r="AT358" s="94"/>
      <c r="AU358" s="94"/>
      <c r="AV358" s="94"/>
      <c r="AW358" s="94"/>
      <c r="AX358" s="94"/>
      <c r="AY358" s="94"/>
      <c r="AZ358" s="94"/>
      <c r="BA358" s="95"/>
    </row>
    <row r="359" spans="1:53" s="87" customFormat="1">
      <c r="A359" s="90" t="str">
        <f t="shared" si="30"/>
        <v/>
      </c>
      <c r="B359" s="98">
        <v>28</v>
      </c>
      <c r="C359" s="94">
        <v>-9</v>
      </c>
      <c r="D359" s="94" t="s">
        <v>210</v>
      </c>
      <c r="E359" s="94" t="s">
        <v>210</v>
      </c>
      <c r="F359" s="94">
        <v>6</v>
      </c>
      <c r="G359" s="94">
        <v>-1</v>
      </c>
      <c r="H359" s="94" t="s">
        <v>210</v>
      </c>
      <c r="I359" s="94" t="s">
        <v>210</v>
      </c>
      <c r="J359" s="94">
        <v>2</v>
      </c>
      <c r="K359" s="94">
        <v>-5</v>
      </c>
      <c r="L359" s="94" t="s">
        <v>210</v>
      </c>
      <c r="M359" s="94" t="s">
        <v>210</v>
      </c>
      <c r="N359" s="94">
        <v>3</v>
      </c>
      <c r="O359" s="94">
        <v>-4</v>
      </c>
      <c r="P359" s="94" t="s">
        <v>210</v>
      </c>
      <c r="Q359" s="94" t="s">
        <v>210</v>
      </c>
      <c r="R359" s="94">
        <v>8</v>
      </c>
      <c r="S359" s="94">
        <v>-7</v>
      </c>
      <c r="T359" s="94" t="s">
        <v>210</v>
      </c>
      <c r="U359" s="94" t="s">
        <v>210</v>
      </c>
      <c r="V359" s="94">
        <v>9</v>
      </c>
      <c r="W359" s="94">
        <v>-6</v>
      </c>
      <c r="X359" s="94" t="s">
        <v>210</v>
      </c>
      <c r="Y359" s="94" t="s">
        <v>210</v>
      </c>
      <c r="Z359" s="94">
        <v>1</v>
      </c>
      <c r="AA359" s="94">
        <v>-2</v>
      </c>
      <c r="AB359" s="94" t="s">
        <v>210</v>
      </c>
      <c r="AC359" s="94" t="s">
        <v>210</v>
      </c>
      <c r="AD359" s="94">
        <v>5</v>
      </c>
      <c r="AE359" s="94">
        <v>-3</v>
      </c>
      <c r="AF359" s="94" t="s">
        <v>210</v>
      </c>
      <c r="AG359" s="94" t="s">
        <v>210</v>
      </c>
      <c r="AH359" s="94">
        <v>4</v>
      </c>
      <c r="AI359" s="94">
        <v>-8</v>
      </c>
      <c r="AJ359" s="94" t="s">
        <v>210</v>
      </c>
      <c r="AK359" s="94" t="s">
        <v>210</v>
      </c>
      <c r="AL359" s="94">
        <v>7</v>
      </c>
      <c r="AM359" s="94"/>
      <c r="AN359" s="94"/>
      <c r="AO359" s="94"/>
      <c r="AP359" s="94"/>
      <c r="AQ359" s="94"/>
      <c r="AR359" s="94"/>
      <c r="AS359" s="94"/>
      <c r="AT359" s="94"/>
      <c r="AU359" s="94"/>
      <c r="AV359" s="94"/>
      <c r="AW359" s="94"/>
      <c r="AX359" s="94"/>
      <c r="AY359" s="94"/>
      <c r="AZ359" s="94"/>
      <c r="BA359" s="95"/>
    </row>
    <row r="360" spans="1:53" s="87" customFormat="1">
      <c r="A360" s="90" t="str">
        <f t="shared" si="30"/>
        <v/>
      </c>
      <c r="B360" s="98">
        <v>29</v>
      </c>
      <c r="C360" s="94">
        <v>-2</v>
      </c>
      <c r="D360" s="94" t="s">
        <v>210</v>
      </c>
      <c r="E360" s="94" t="s">
        <v>210</v>
      </c>
      <c r="F360" s="94">
        <v>5</v>
      </c>
      <c r="G360" s="94">
        <v>-3</v>
      </c>
      <c r="H360" s="94" t="s">
        <v>210</v>
      </c>
      <c r="I360" s="94" t="s">
        <v>210</v>
      </c>
      <c r="J360" s="94">
        <v>4</v>
      </c>
      <c r="K360" s="94">
        <v>-8</v>
      </c>
      <c r="L360" s="94" t="s">
        <v>210</v>
      </c>
      <c r="M360" s="94" t="s">
        <v>210</v>
      </c>
      <c r="N360" s="94">
        <v>7</v>
      </c>
      <c r="O360" s="94">
        <v>-9</v>
      </c>
      <c r="P360" s="94" t="s">
        <v>210</v>
      </c>
      <c r="Q360" s="94" t="s">
        <v>210</v>
      </c>
      <c r="R360" s="94">
        <v>6</v>
      </c>
      <c r="S360" s="94">
        <v>-1</v>
      </c>
      <c r="T360" s="94" t="s">
        <v>210</v>
      </c>
      <c r="U360" s="94" t="s">
        <v>210</v>
      </c>
      <c r="V360" s="94">
        <v>2</v>
      </c>
      <c r="W360" s="94">
        <v>-5</v>
      </c>
      <c r="X360" s="94" t="s">
        <v>210</v>
      </c>
      <c r="Y360" s="94" t="s">
        <v>210</v>
      </c>
      <c r="Z360" s="94">
        <v>3</v>
      </c>
      <c r="AA360" s="94">
        <v>-4</v>
      </c>
      <c r="AB360" s="94" t="s">
        <v>210</v>
      </c>
      <c r="AC360" s="94" t="s">
        <v>210</v>
      </c>
      <c r="AD360" s="94">
        <v>8</v>
      </c>
      <c r="AE360" s="94">
        <v>-7</v>
      </c>
      <c r="AF360" s="94" t="s">
        <v>210</v>
      </c>
      <c r="AG360" s="94" t="s">
        <v>210</v>
      </c>
      <c r="AH360" s="94">
        <v>9</v>
      </c>
      <c r="AI360" s="94">
        <v>-6</v>
      </c>
      <c r="AJ360" s="94" t="s">
        <v>210</v>
      </c>
      <c r="AK360" s="94" t="s">
        <v>210</v>
      </c>
      <c r="AL360" s="94">
        <v>1</v>
      </c>
      <c r="AM360" s="94"/>
      <c r="AN360" s="94"/>
      <c r="AO360" s="94"/>
      <c r="AP360" s="94"/>
      <c r="AQ360" s="94"/>
      <c r="AR360" s="94"/>
      <c r="AS360" s="94"/>
      <c r="AT360" s="94"/>
      <c r="AU360" s="94"/>
      <c r="AV360" s="94"/>
      <c r="AW360" s="94"/>
      <c r="AX360" s="94"/>
      <c r="AY360" s="94"/>
      <c r="AZ360" s="94"/>
      <c r="BA360" s="95"/>
    </row>
    <row r="361" spans="1:53" s="87" customFormat="1">
      <c r="A361" s="90" t="str">
        <f t="shared" si="30"/>
        <v/>
      </c>
      <c r="B361" s="98">
        <v>30</v>
      </c>
      <c r="C361" s="94">
        <v>-4</v>
      </c>
      <c r="D361" s="94" t="s">
        <v>210</v>
      </c>
      <c r="E361" s="94" t="s">
        <v>210</v>
      </c>
      <c r="F361" s="94">
        <v>8</v>
      </c>
      <c r="G361" s="94">
        <v>-7</v>
      </c>
      <c r="H361" s="94" t="s">
        <v>210</v>
      </c>
      <c r="I361" s="94" t="s">
        <v>210</v>
      </c>
      <c r="J361" s="94">
        <v>9</v>
      </c>
      <c r="K361" s="94">
        <v>-6</v>
      </c>
      <c r="L361" s="94" t="s">
        <v>210</v>
      </c>
      <c r="M361" s="94" t="s">
        <v>210</v>
      </c>
      <c r="N361" s="94">
        <v>1</v>
      </c>
      <c r="O361" s="94">
        <v>-2</v>
      </c>
      <c r="P361" s="94" t="s">
        <v>210</v>
      </c>
      <c r="Q361" s="94" t="s">
        <v>210</v>
      </c>
      <c r="R361" s="94">
        <v>5</v>
      </c>
      <c r="S361" s="94">
        <v>-3</v>
      </c>
      <c r="T361" s="94" t="s">
        <v>210</v>
      </c>
      <c r="U361" s="94" t="s">
        <v>210</v>
      </c>
      <c r="V361" s="94">
        <v>4</v>
      </c>
      <c r="W361" s="94">
        <v>-8</v>
      </c>
      <c r="X361" s="94" t="s">
        <v>210</v>
      </c>
      <c r="Y361" s="94" t="s">
        <v>210</v>
      </c>
      <c r="Z361" s="94">
        <v>7</v>
      </c>
      <c r="AA361" s="94">
        <v>-9</v>
      </c>
      <c r="AB361" s="94" t="s">
        <v>210</v>
      </c>
      <c r="AC361" s="94" t="s">
        <v>210</v>
      </c>
      <c r="AD361" s="94">
        <v>6</v>
      </c>
      <c r="AE361" s="94">
        <v>-1</v>
      </c>
      <c r="AF361" s="94" t="s">
        <v>210</v>
      </c>
      <c r="AG361" s="94" t="s">
        <v>210</v>
      </c>
      <c r="AH361" s="94">
        <v>2</v>
      </c>
      <c r="AI361" s="94">
        <v>-5</v>
      </c>
      <c r="AJ361" s="94" t="s">
        <v>210</v>
      </c>
      <c r="AK361" s="94" t="s">
        <v>210</v>
      </c>
      <c r="AL361" s="94">
        <v>3</v>
      </c>
      <c r="AM361" s="94"/>
      <c r="AN361" s="94"/>
      <c r="AO361" s="94"/>
      <c r="AP361" s="94"/>
      <c r="AQ361" s="94"/>
      <c r="AR361" s="94"/>
      <c r="AS361" s="94"/>
      <c r="AT361" s="94"/>
      <c r="AU361" s="94"/>
      <c r="AV361" s="94"/>
      <c r="AW361" s="94"/>
      <c r="AX361" s="94"/>
      <c r="AY361" s="94"/>
      <c r="AZ361" s="94"/>
      <c r="BA361" s="95"/>
    </row>
    <row r="362" spans="1:53" s="87" customFormat="1">
      <c r="A362" s="90" t="str">
        <f t="shared" si="30"/>
        <v/>
      </c>
      <c r="B362" s="98">
        <v>31</v>
      </c>
      <c r="C362" s="94">
        <v>-5</v>
      </c>
      <c r="D362" s="94" t="s">
        <v>210</v>
      </c>
      <c r="E362" s="94" t="s">
        <v>210</v>
      </c>
      <c r="F362" s="94">
        <v>3</v>
      </c>
      <c r="G362" s="94">
        <v>-4</v>
      </c>
      <c r="H362" s="94" t="s">
        <v>210</v>
      </c>
      <c r="I362" s="94" t="s">
        <v>210</v>
      </c>
      <c r="J362" s="94">
        <v>8</v>
      </c>
      <c r="K362" s="94">
        <v>-7</v>
      </c>
      <c r="L362" s="94" t="s">
        <v>210</v>
      </c>
      <c r="M362" s="94" t="s">
        <v>210</v>
      </c>
      <c r="N362" s="94">
        <v>9</v>
      </c>
      <c r="O362" s="94">
        <v>-6</v>
      </c>
      <c r="P362" s="94" t="s">
        <v>210</v>
      </c>
      <c r="Q362" s="94" t="s">
        <v>210</v>
      </c>
      <c r="R362" s="94">
        <v>1</v>
      </c>
      <c r="S362" s="94">
        <v>-2</v>
      </c>
      <c r="T362" s="94" t="s">
        <v>210</v>
      </c>
      <c r="U362" s="94" t="s">
        <v>210</v>
      </c>
      <c r="V362" s="94">
        <v>5</v>
      </c>
      <c r="W362" s="94">
        <v>-3</v>
      </c>
      <c r="X362" s="94" t="s">
        <v>210</v>
      </c>
      <c r="Y362" s="94" t="s">
        <v>210</v>
      </c>
      <c r="Z362" s="94">
        <v>4</v>
      </c>
      <c r="AA362" s="94">
        <v>-8</v>
      </c>
      <c r="AB362" s="94" t="s">
        <v>210</v>
      </c>
      <c r="AC362" s="94" t="s">
        <v>210</v>
      </c>
      <c r="AD362" s="94">
        <v>7</v>
      </c>
      <c r="AE362" s="94">
        <v>-9</v>
      </c>
      <c r="AF362" s="94" t="s">
        <v>210</v>
      </c>
      <c r="AG362" s="94" t="s">
        <v>210</v>
      </c>
      <c r="AH362" s="94">
        <v>6</v>
      </c>
      <c r="AI362" s="94">
        <v>-1</v>
      </c>
      <c r="AJ362" s="94" t="s">
        <v>210</v>
      </c>
      <c r="AK362" s="94" t="s">
        <v>210</v>
      </c>
      <c r="AL362" s="94">
        <v>2</v>
      </c>
      <c r="AM362" s="94"/>
      <c r="AN362" s="94"/>
      <c r="AO362" s="94"/>
      <c r="AP362" s="94"/>
      <c r="AQ362" s="94"/>
      <c r="AR362" s="94"/>
      <c r="AS362" s="94"/>
      <c r="AT362" s="94"/>
      <c r="AU362" s="94"/>
      <c r="AV362" s="94"/>
      <c r="AW362" s="94"/>
      <c r="AX362" s="94"/>
      <c r="AY362" s="94"/>
      <c r="AZ362" s="94"/>
      <c r="BA362" s="95"/>
    </row>
    <row r="363" spans="1:53" s="87" customFormat="1">
      <c r="A363" s="90" t="str">
        <f t="shared" si="30"/>
        <v/>
      </c>
      <c r="B363" s="98">
        <v>32</v>
      </c>
      <c r="C363" s="94">
        <v>-8</v>
      </c>
      <c r="D363" s="94" t="s">
        <v>210</v>
      </c>
      <c r="E363" s="94" t="s">
        <v>210</v>
      </c>
      <c r="F363" s="94">
        <v>7</v>
      </c>
      <c r="G363" s="94">
        <v>-9</v>
      </c>
      <c r="H363" s="94" t="s">
        <v>210</v>
      </c>
      <c r="I363" s="94" t="s">
        <v>210</v>
      </c>
      <c r="J363" s="94">
        <v>6</v>
      </c>
      <c r="K363" s="94">
        <v>-1</v>
      </c>
      <c r="L363" s="94" t="s">
        <v>210</v>
      </c>
      <c r="M363" s="94" t="s">
        <v>210</v>
      </c>
      <c r="N363" s="94">
        <v>2</v>
      </c>
      <c r="O363" s="94">
        <v>-5</v>
      </c>
      <c r="P363" s="94" t="s">
        <v>210</v>
      </c>
      <c r="Q363" s="94" t="s">
        <v>210</v>
      </c>
      <c r="R363" s="94">
        <v>3</v>
      </c>
      <c r="S363" s="94">
        <v>-4</v>
      </c>
      <c r="T363" s="94" t="s">
        <v>210</v>
      </c>
      <c r="U363" s="94" t="s">
        <v>210</v>
      </c>
      <c r="V363" s="94">
        <v>8</v>
      </c>
      <c r="W363" s="94">
        <v>-7</v>
      </c>
      <c r="X363" s="94" t="s">
        <v>210</v>
      </c>
      <c r="Y363" s="94" t="s">
        <v>210</v>
      </c>
      <c r="Z363" s="94">
        <v>9</v>
      </c>
      <c r="AA363" s="94">
        <v>-6</v>
      </c>
      <c r="AB363" s="94" t="s">
        <v>210</v>
      </c>
      <c r="AC363" s="94" t="s">
        <v>210</v>
      </c>
      <c r="AD363" s="94">
        <v>1</v>
      </c>
      <c r="AE363" s="94">
        <v>-2</v>
      </c>
      <c r="AF363" s="94" t="s">
        <v>210</v>
      </c>
      <c r="AG363" s="94" t="s">
        <v>210</v>
      </c>
      <c r="AH363" s="94">
        <v>5</v>
      </c>
      <c r="AI363" s="94">
        <v>-3</v>
      </c>
      <c r="AJ363" s="94" t="s">
        <v>210</v>
      </c>
      <c r="AK363" s="94" t="s">
        <v>210</v>
      </c>
      <c r="AL363" s="94">
        <v>4</v>
      </c>
      <c r="AM363" s="94"/>
      <c r="AN363" s="94"/>
      <c r="AO363" s="94"/>
      <c r="AP363" s="94"/>
      <c r="AQ363" s="94"/>
      <c r="AR363" s="94"/>
      <c r="AS363" s="94"/>
      <c r="AT363" s="94"/>
      <c r="AU363" s="94"/>
      <c r="AV363" s="94"/>
      <c r="AW363" s="94"/>
      <c r="AX363" s="94"/>
      <c r="AY363" s="94"/>
      <c r="AZ363" s="94"/>
      <c r="BA363" s="95"/>
    </row>
    <row r="364" spans="1:53" s="87" customFormat="1">
      <c r="A364" s="90" t="str">
        <f t="shared" si="30"/>
        <v/>
      </c>
      <c r="B364" s="98">
        <v>33</v>
      </c>
      <c r="C364" s="94">
        <v>-3</v>
      </c>
      <c r="D364" s="94" t="s">
        <v>210</v>
      </c>
      <c r="E364" s="94" t="s">
        <v>210</v>
      </c>
      <c r="F364" s="94">
        <v>4</v>
      </c>
      <c r="G364" s="94">
        <v>-8</v>
      </c>
      <c r="H364" s="94" t="s">
        <v>210</v>
      </c>
      <c r="I364" s="94" t="s">
        <v>210</v>
      </c>
      <c r="J364" s="94">
        <v>7</v>
      </c>
      <c r="K364" s="94">
        <v>-9</v>
      </c>
      <c r="L364" s="94" t="s">
        <v>210</v>
      </c>
      <c r="M364" s="94" t="s">
        <v>210</v>
      </c>
      <c r="N364" s="94">
        <v>6</v>
      </c>
      <c r="O364" s="94">
        <v>-1</v>
      </c>
      <c r="P364" s="94" t="s">
        <v>210</v>
      </c>
      <c r="Q364" s="94" t="s">
        <v>210</v>
      </c>
      <c r="R364" s="94">
        <v>2</v>
      </c>
      <c r="S364" s="94">
        <v>-5</v>
      </c>
      <c r="T364" s="94" t="s">
        <v>210</v>
      </c>
      <c r="U364" s="94" t="s">
        <v>210</v>
      </c>
      <c r="V364" s="94">
        <v>3</v>
      </c>
      <c r="W364" s="94">
        <v>-4</v>
      </c>
      <c r="X364" s="94" t="s">
        <v>210</v>
      </c>
      <c r="Y364" s="94" t="s">
        <v>210</v>
      </c>
      <c r="Z364" s="94">
        <v>8</v>
      </c>
      <c r="AA364" s="94">
        <v>-7</v>
      </c>
      <c r="AB364" s="94" t="s">
        <v>210</v>
      </c>
      <c r="AC364" s="94" t="s">
        <v>210</v>
      </c>
      <c r="AD364" s="94">
        <v>9</v>
      </c>
      <c r="AE364" s="94">
        <v>-6</v>
      </c>
      <c r="AF364" s="94" t="s">
        <v>210</v>
      </c>
      <c r="AG364" s="94" t="s">
        <v>210</v>
      </c>
      <c r="AH364" s="94">
        <v>1</v>
      </c>
      <c r="AI364" s="94">
        <v>-2</v>
      </c>
      <c r="AJ364" s="94" t="s">
        <v>210</v>
      </c>
      <c r="AK364" s="94" t="s">
        <v>210</v>
      </c>
      <c r="AL364" s="94">
        <v>5</v>
      </c>
      <c r="AM364" s="94"/>
      <c r="AN364" s="94"/>
      <c r="AO364" s="94"/>
      <c r="AP364" s="94"/>
      <c r="AQ364" s="94"/>
      <c r="AR364" s="94"/>
      <c r="AS364" s="94"/>
      <c r="AT364" s="94"/>
      <c r="AU364" s="94"/>
      <c r="AV364" s="94"/>
      <c r="AW364" s="94"/>
      <c r="AX364" s="94"/>
      <c r="AY364" s="94"/>
      <c r="AZ364" s="94"/>
      <c r="BA364" s="95"/>
    </row>
    <row r="365" spans="1:53" s="87" customFormat="1">
      <c r="A365" s="90" t="str">
        <f t="shared" si="30"/>
        <v/>
      </c>
      <c r="B365" s="98">
        <v>34</v>
      </c>
      <c r="C365" s="94">
        <v>-6</v>
      </c>
      <c r="D365" s="94" t="s">
        <v>210</v>
      </c>
      <c r="E365" s="94" t="s">
        <v>210</v>
      </c>
      <c r="F365" s="94">
        <v>1</v>
      </c>
      <c r="G365" s="94">
        <v>-2</v>
      </c>
      <c r="H365" s="94" t="s">
        <v>210</v>
      </c>
      <c r="I365" s="94" t="s">
        <v>210</v>
      </c>
      <c r="J365" s="94">
        <v>5</v>
      </c>
      <c r="K365" s="94">
        <v>-3</v>
      </c>
      <c r="L365" s="94" t="s">
        <v>210</v>
      </c>
      <c r="M365" s="94" t="s">
        <v>210</v>
      </c>
      <c r="N365" s="94">
        <v>4</v>
      </c>
      <c r="O365" s="94">
        <v>-8</v>
      </c>
      <c r="P365" s="94" t="s">
        <v>210</v>
      </c>
      <c r="Q365" s="94" t="s">
        <v>210</v>
      </c>
      <c r="R365" s="94">
        <v>7</v>
      </c>
      <c r="S365" s="94">
        <v>-9</v>
      </c>
      <c r="T365" s="94" t="s">
        <v>210</v>
      </c>
      <c r="U365" s="94" t="s">
        <v>210</v>
      </c>
      <c r="V365" s="94">
        <v>6</v>
      </c>
      <c r="W365" s="94">
        <v>-1</v>
      </c>
      <c r="X365" s="94" t="s">
        <v>210</v>
      </c>
      <c r="Y365" s="94" t="s">
        <v>210</v>
      </c>
      <c r="Z365" s="94">
        <v>2</v>
      </c>
      <c r="AA365" s="94">
        <v>-5</v>
      </c>
      <c r="AB365" s="94" t="s">
        <v>210</v>
      </c>
      <c r="AC365" s="94" t="s">
        <v>210</v>
      </c>
      <c r="AD365" s="94">
        <v>3</v>
      </c>
      <c r="AE365" s="94">
        <v>-4</v>
      </c>
      <c r="AF365" s="94" t="s">
        <v>210</v>
      </c>
      <c r="AG365" s="94" t="s">
        <v>210</v>
      </c>
      <c r="AH365" s="94">
        <v>8</v>
      </c>
      <c r="AI365" s="94">
        <v>-7</v>
      </c>
      <c r="AJ365" s="94" t="s">
        <v>210</v>
      </c>
      <c r="AK365" s="94" t="s">
        <v>210</v>
      </c>
      <c r="AL365" s="94">
        <v>9</v>
      </c>
      <c r="AM365" s="94"/>
      <c r="AN365" s="94"/>
      <c r="AO365" s="94"/>
      <c r="AP365" s="94"/>
      <c r="AQ365" s="94"/>
      <c r="AR365" s="94"/>
      <c r="AS365" s="94"/>
      <c r="AT365" s="94"/>
      <c r="AU365" s="94"/>
      <c r="AV365" s="94"/>
      <c r="AW365" s="94"/>
      <c r="AX365" s="94"/>
      <c r="AY365" s="94"/>
      <c r="AZ365" s="94"/>
      <c r="BA365" s="95"/>
    </row>
    <row r="366" spans="1:53" s="87" customFormat="1">
      <c r="A366" s="90" t="str">
        <f t="shared" si="30"/>
        <v/>
      </c>
      <c r="B366" s="98">
        <v>35</v>
      </c>
      <c r="C366" s="94">
        <v>-1</v>
      </c>
      <c r="D366" s="94" t="s">
        <v>210</v>
      </c>
      <c r="E366" s="94" t="s">
        <v>210</v>
      </c>
      <c r="F366" s="94">
        <v>2</v>
      </c>
      <c r="G366" s="94">
        <v>-5</v>
      </c>
      <c r="H366" s="94" t="s">
        <v>210</v>
      </c>
      <c r="I366" s="94" t="s">
        <v>210</v>
      </c>
      <c r="J366" s="94">
        <v>3</v>
      </c>
      <c r="K366" s="94">
        <v>-4</v>
      </c>
      <c r="L366" s="94" t="s">
        <v>210</v>
      </c>
      <c r="M366" s="94" t="s">
        <v>210</v>
      </c>
      <c r="N366" s="94">
        <v>8</v>
      </c>
      <c r="O366" s="94">
        <v>-7</v>
      </c>
      <c r="P366" s="94" t="s">
        <v>210</v>
      </c>
      <c r="Q366" s="94" t="s">
        <v>210</v>
      </c>
      <c r="R366" s="94">
        <v>9</v>
      </c>
      <c r="S366" s="94">
        <v>-6</v>
      </c>
      <c r="T366" s="94" t="s">
        <v>210</v>
      </c>
      <c r="U366" s="94" t="s">
        <v>210</v>
      </c>
      <c r="V366" s="94">
        <v>1</v>
      </c>
      <c r="W366" s="94">
        <v>-2</v>
      </c>
      <c r="X366" s="94" t="s">
        <v>210</v>
      </c>
      <c r="Y366" s="94" t="s">
        <v>210</v>
      </c>
      <c r="Z366" s="94">
        <v>5</v>
      </c>
      <c r="AA366" s="94">
        <v>-3</v>
      </c>
      <c r="AB366" s="94" t="s">
        <v>210</v>
      </c>
      <c r="AC366" s="94" t="s">
        <v>210</v>
      </c>
      <c r="AD366" s="94">
        <v>4</v>
      </c>
      <c r="AE366" s="94">
        <v>-8</v>
      </c>
      <c r="AF366" s="94" t="s">
        <v>210</v>
      </c>
      <c r="AG366" s="94" t="s">
        <v>210</v>
      </c>
      <c r="AH366" s="94">
        <v>7</v>
      </c>
      <c r="AI366" s="94">
        <v>-9</v>
      </c>
      <c r="AJ366" s="94" t="s">
        <v>210</v>
      </c>
      <c r="AK366" s="94" t="s">
        <v>210</v>
      </c>
      <c r="AL366" s="94">
        <v>6</v>
      </c>
      <c r="AM366" s="94"/>
      <c r="AN366" s="94"/>
      <c r="AO366" s="94"/>
      <c r="AP366" s="94"/>
      <c r="AQ366" s="94"/>
      <c r="AR366" s="94"/>
      <c r="AS366" s="94"/>
      <c r="AT366" s="94"/>
      <c r="AU366" s="94"/>
      <c r="AV366" s="94"/>
      <c r="AW366" s="94"/>
      <c r="AX366" s="94"/>
      <c r="AY366" s="94"/>
      <c r="AZ366" s="94"/>
      <c r="BA366" s="95"/>
    </row>
    <row r="367" spans="1:53" s="87" customFormat="1">
      <c r="A367" s="90" t="str">
        <f t="shared" si="30"/>
        <v/>
      </c>
      <c r="B367" s="98">
        <v>36</v>
      </c>
      <c r="C367" s="94">
        <v>-7</v>
      </c>
      <c r="D367" s="94" t="s">
        <v>210</v>
      </c>
      <c r="E367" s="94" t="s">
        <v>210</v>
      </c>
      <c r="F367" s="94">
        <v>9</v>
      </c>
      <c r="G367" s="94">
        <v>-6</v>
      </c>
      <c r="H367" s="94" t="s">
        <v>210</v>
      </c>
      <c r="I367" s="94" t="s">
        <v>210</v>
      </c>
      <c r="J367" s="94">
        <v>1</v>
      </c>
      <c r="K367" s="94">
        <v>-2</v>
      </c>
      <c r="L367" s="94" t="s">
        <v>210</v>
      </c>
      <c r="M367" s="94" t="s">
        <v>210</v>
      </c>
      <c r="N367" s="94">
        <v>5</v>
      </c>
      <c r="O367" s="94">
        <v>-3</v>
      </c>
      <c r="P367" s="94" t="s">
        <v>210</v>
      </c>
      <c r="Q367" s="94" t="s">
        <v>210</v>
      </c>
      <c r="R367" s="94">
        <v>4</v>
      </c>
      <c r="S367" s="94">
        <v>-8</v>
      </c>
      <c r="T367" s="94" t="s">
        <v>210</v>
      </c>
      <c r="U367" s="94" t="s">
        <v>210</v>
      </c>
      <c r="V367" s="94">
        <v>7</v>
      </c>
      <c r="W367" s="94">
        <v>-9</v>
      </c>
      <c r="X367" s="94" t="s">
        <v>210</v>
      </c>
      <c r="Y367" s="94" t="s">
        <v>210</v>
      </c>
      <c r="Z367" s="94">
        <v>6</v>
      </c>
      <c r="AA367" s="94">
        <v>-1</v>
      </c>
      <c r="AB367" s="94" t="s">
        <v>210</v>
      </c>
      <c r="AC367" s="94" t="s">
        <v>210</v>
      </c>
      <c r="AD367" s="94">
        <v>2</v>
      </c>
      <c r="AE367" s="94">
        <v>-5</v>
      </c>
      <c r="AF367" s="94" t="s">
        <v>210</v>
      </c>
      <c r="AG367" s="94" t="s">
        <v>210</v>
      </c>
      <c r="AH367" s="94">
        <v>3</v>
      </c>
      <c r="AI367" s="94">
        <v>-4</v>
      </c>
      <c r="AJ367" s="94" t="s">
        <v>210</v>
      </c>
      <c r="AK367" s="94" t="s">
        <v>210</v>
      </c>
      <c r="AL367" s="94">
        <v>8</v>
      </c>
      <c r="AM367" s="94"/>
      <c r="AN367" s="94"/>
      <c r="AO367" s="94"/>
      <c r="AP367" s="94"/>
      <c r="AQ367" s="94"/>
      <c r="AR367" s="94"/>
      <c r="AS367" s="94"/>
      <c r="AT367" s="94"/>
      <c r="AU367" s="94"/>
      <c r="AV367" s="94"/>
      <c r="AW367" s="94"/>
      <c r="AX367" s="94"/>
      <c r="AY367" s="94"/>
      <c r="AZ367" s="94"/>
      <c r="BA367" s="95"/>
    </row>
    <row r="368" spans="1:53" s="87" customFormat="1">
      <c r="A368" s="90" t="str">
        <f t="shared" si="30"/>
        <v/>
      </c>
      <c r="B368" s="98" t="s">
        <v>518</v>
      </c>
      <c r="C368" s="94"/>
      <c r="D368" s="94"/>
      <c r="E368" s="94"/>
      <c r="F368" s="94"/>
      <c r="G368" s="94"/>
      <c r="H368" s="94"/>
      <c r="I368" s="94"/>
      <c r="J368" s="94"/>
      <c r="K368" s="94"/>
      <c r="L368" s="94"/>
      <c r="M368" s="94"/>
      <c r="N368" s="94"/>
      <c r="O368" s="94"/>
      <c r="P368" s="94"/>
      <c r="Q368" s="94"/>
      <c r="R368" s="94"/>
      <c r="S368" s="94"/>
      <c r="T368" s="94"/>
      <c r="U368" s="94"/>
      <c r="V368" s="94"/>
      <c r="W368" s="94"/>
      <c r="X368" s="94"/>
      <c r="Y368" s="94"/>
      <c r="Z368" s="94"/>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5"/>
    </row>
    <row r="369" spans="1:53" s="87" customFormat="1">
      <c r="A369" s="90">
        <f t="shared" si="30"/>
        <v>369</v>
      </c>
      <c r="B369" s="98" t="s">
        <v>519</v>
      </c>
      <c r="C369" s="94"/>
      <c r="D369" s="94"/>
      <c r="E369" s="94"/>
      <c r="F369" s="94"/>
      <c r="G369" s="94"/>
      <c r="H369" s="94"/>
      <c r="I369" s="94"/>
      <c r="J369" s="94"/>
      <c r="K369" s="94"/>
      <c r="L369" s="94"/>
      <c r="M369" s="94"/>
      <c r="N369" s="94"/>
      <c r="O369" s="94"/>
      <c r="P369" s="94"/>
      <c r="Q369" s="94"/>
      <c r="R369" s="94"/>
      <c r="S369" s="94"/>
      <c r="T369" s="94"/>
      <c r="U369" s="94"/>
      <c r="V369" s="94"/>
      <c r="W369" s="94"/>
      <c r="X369" s="94"/>
      <c r="Y369" s="94"/>
      <c r="Z369" s="94"/>
      <c r="AA369" s="94"/>
      <c r="AB369" s="94"/>
      <c r="AC369" s="94"/>
      <c r="AD369" s="94"/>
      <c r="AE369" s="94"/>
      <c r="AF369" s="94"/>
      <c r="AG369" s="94"/>
      <c r="AH369" s="94"/>
      <c r="AI369" s="94"/>
      <c r="AJ369" s="94"/>
      <c r="AK369" s="94"/>
      <c r="AL369" s="94"/>
      <c r="AM369" s="94"/>
      <c r="AN369" s="94"/>
      <c r="AO369" s="94"/>
      <c r="AP369" s="94"/>
      <c r="AQ369" s="94"/>
      <c r="AR369" s="94"/>
      <c r="AS369" s="94"/>
      <c r="AT369" s="94"/>
      <c r="AU369" s="94"/>
      <c r="AV369" s="94"/>
      <c r="AW369" s="94"/>
      <c r="AX369" s="94"/>
      <c r="AY369" s="94"/>
      <c r="AZ369" s="94"/>
      <c r="BA369" s="95"/>
    </row>
    <row r="370" spans="1:53" s="87" customFormat="1">
      <c r="A370" s="90" t="str">
        <f t="shared" si="30"/>
        <v/>
      </c>
      <c r="B370" s="98">
        <v>1</v>
      </c>
      <c r="C370" s="94" t="s">
        <v>210</v>
      </c>
      <c r="D370" s="94">
        <v>-9</v>
      </c>
      <c r="E370" s="94">
        <v>6</v>
      </c>
      <c r="F370" s="94" t="s">
        <v>210</v>
      </c>
      <c r="G370" s="94" t="s">
        <v>210</v>
      </c>
      <c r="H370" s="94">
        <v>1</v>
      </c>
      <c r="I370" s="94">
        <v>2</v>
      </c>
      <c r="J370" s="94" t="s">
        <v>210</v>
      </c>
      <c r="K370" s="94" t="s">
        <v>210</v>
      </c>
      <c r="L370" s="94">
        <v>-5</v>
      </c>
      <c r="M370" s="94">
        <v>3</v>
      </c>
      <c r="N370" s="94" t="s">
        <v>210</v>
      </c>
      <c r="O370" s="94" t="s">
        <v>210</v>
      </c>
      <c r="P370" s="94">
        <v>-4</v>
      </c>
      <c r="Q370" s="94">
        <v>-8</v>
      </c>
      <c r="R370" s="94" t="s">
        <v>210</v>
      </c>
      <c r="S370" s="94">
        <v>-6</v>
      </c>
      <c r="T370" s="94" t="s">
        <v>210</v>
      </c>
      <c r="U370" s="94" t="s">
        <v>210</v>
      </c>
      <c r="V370" s="94">
        <v>-3</v>
      </c>
      <c r="W370" s="94">
        <v>7</v>
      </c>
      <c r="X370" s="94" t="s">
        <v>210</v>
      </c>
      <c r="Y370" s="94" t="s">
        <v>210</v>
      </c>
      <c r="Z370" s="94">
        <v>-1</v>
      </c>
      <c r="AA370" s="94">
        <v>-2</v>
      </c>
      <c r="AB370" s="94" t="s">
        <v>210</v>
      </c>
      <c r="AC370" s="94" t="s">
        <v>210</v>
      </c>
      <c r="AD370" s="94">
        <v>9</v>
      </c>
      <c r="AE370" s="94">
        <v>8</v>
      </c>
      <c r="AF370" s="94" t="s">
        <v>210</v>
      </c>
      <c r="AG370" s="94" t="s">
        <v>210</v>
      </c>
      <c r="AH370" s="94">
        <v>4</v>
      </c>
      <c r="AI370" s="94">
        <v>5</v>
      </c>
      <c r="AJ370" s="94" t="s">
        <v>210</v>
      </c>
      <c r="AK370" s="94"/>
      <c r="AL370" s="94"/>
      <c r="AM370" s="94"/>
      <c r="AN370" s="94"/>
      <c r="AO370" s="94"/>
      <c r="AP370" s="94"/>
      <c r="AQ370" s="94"/>
      <c r="AR370" s="94"/>
      <c r="AS370" s="94"/>
      <c r="AT370" s="94"/>
      <c r="AU370" s="94"/>
      <c r="AV370" s="94"/>
      <c r="AW370" s="94"/>
      <c r="AX370" s="94"/>
      <c r="AY370" s="94"/>
      <c r="AZ370" s="94"/>
      <c r="BA370" s="95"/>
    </row>
    <row r="371" spans="1:53" s="87" customFormat="1">
      <c r="A371" s="90" t="str">
        <f t="shared" si="30"/>
        <v/>
      </c>
      <c r="B371" s="98">
        <v>2</v>
      </c>
      <c r="C371" s="94" t="s">
        <v>210</v>
      </c>
      <c r="D371" s="94">
        <v>-2</v>
      </c>
      <c r="E371" s="94">
        <v>5</v>
      </c>
      <c r="F371" s="94" t="s">
        <v>210</v>
      </c>
      <c r="G371" s="94" t="s">
        <v>210</v>
      </c>
      <c r="H371" s="94">
        <v>3</v>
      </c>
      <c r="I371" s="94">
        <v>-4</v>
      </c>
      <c r="J371" s="94" t="s">
        <v>210</v>
      </c>
      <c r="K371" s="94" t="s">
        <v>210</v>
      </c>
      <c r="L371" s="94">
        <v>-8</v>
      </c>
      <c r="M371" s="94">
        <v>-7</v>
      </c>
      <c r="N371" s="94" t="s">
        <v>210</v>
      </c>
      <c r="O371" s="94" t="s">
        <v>210</v>
      </c>
      <c r="P371" s="94">
        <v>-9</v>
      </c>
      <c r="Q371" s="94">
        <v>6</v>
      </c>
      <c r="R371" s="94" t="s">
        <v>210</v>
      </c>
      <c r="S371" s="94">
        <v>-3</v>
      </c>
      <c r="T371" s="94" t="s">
        <v>210</v>
      </c>
      <c r="U371" s="94" t="s">
        <v>210</v>
      </c>
      <c r="V371" s="94">
        <v>5</v>
      </c>
      <c r="W371" s="94">
        <v>-1</v>
      </c>
      <c r="X371" s="94" t="s">
        <v>210</v>
      </c>
      <c r="Y371" s="94" t="s">
        <v>210</v>
      </c>
      <c r="Z371" s="94">
        <v>2</v>
      </c>
      <c r="AA371" s="94">
        <v>-6</v>
      </c>
      <c r="AB371" s="94" t="s">
        <v>210</v>
      </c>
      <c r="AC371" s="94" t="s">
        <v>210</v>
      </c>
      <c r="AD371" s="94">
        <v>8</v>
      </c>
      <c r="AE371" s="94">
        <v>4</v>
      </c>
      <c r="AF371" s="94" t="s">
        <v>210</v>
      </c>
      <c r="AG371" s="94" t="s">
        <v>210</v>
      </c>
      <c r="AH371" s="94">
        <v>9</v>
      </c>
      <c r="AI371" s="94">
        <v>-5</v>
      </c>
      <c r="AJ371" s="94" t="s">
        <v>210</v>
      </c>
      <c r="AK371" s="94"/>
      <c r="AL371" s="94"/>
      <c r="AM371" s="94"/>
      <c r="AN371" s="94"/>
      <c r="AO371" s="94"/>
      <c r="AP371" s="94"/>
      <c r="AQ371" s="94"/>
      <c r="AR371" s="94"/>
      <c r="AS371" s="94"/>
      <c r="AT371" s="94"/>
      <c r="AU371" s="94"/>
      <c r="AV371" s="94"/>
      <c r="AW371" s="94"/>
      <c r="AX371" s="94"/>
      <c r="AY371" s="94"/>
      <c r="AZ371" s="94"/>
      <c r="BA371" s="95"/>
    </row>
    <row r="372" spans="1:53" s="87" customFormat="1">
      <c r="A372" s="90" t="str">
        <f t="shared" si="30"/>
        <v/>
      </c>
      <c r="B372" s="98">
        <v>3</v>
      </c>
      <c r="C372" s="94" t="s">
        <v>210</v>
      </c>
      <c r="D372" s="94">
        <v>4</v>
      </c>
      <c r="E372" s="94">
        <v>-8</v>
      </c>
      <c r="F372" s="94" t="s">
        <v>210</v>
      </c>
      <c r="G372" s="94" t="s">
        <v>210</v>
      </c>
      <c r="H372" s="94">
        <v>-7</v>
      </c>
      <c r="I372" s="94">
        <v>9</v>
      </c>
      <c r="J372" s="94" t="s">
        <v>210</v>
      </c>
      <c r="K372" s="94" t="s">
        <v>210</v>
      </c>
      <c r="L372" s="94">
        <v>-6</v>
      </c>
      <c r="M372" s="94">
        <v>-1</v>
      </c>
      <c r="N372" s="94" t="s">
        <v>210</v>
      </c>
      <c r="O372" s="94" t="s">
        <v>210</v>
      </c>
      <c r="P372" s="94">
        <v>2</v>
      </c>
      <c r="Q372" s="94">
        <v>-5</v>
      </c>
      <c r="R372" s="94" t="s">
        <v>210</v>
      </c>
      <c r="S372" s="94">
        <v>7</v>
      </c>
      <c r="T372" s="94" t="s">
        <v>210</v>
      </c>
      <c r="U372" s="94" t="s">
        <v>210</v>
      </c>
      <c r="V372" s="94">
        <v>3</v>
      </c>
      <c r="W372" s="94">
        <v>-4</v>
      </c>
      <c r="X372" s="94" t="s">
        <v>210</v>
      </c>
      <c r="Y372" s="94" t="s">
        <v>210</v>
      </c>
      <c r="Z372" s="94">
        <v>-9</v>
      </c>
      <c r="AA372" s="94">
        <v>6</v>
      </c>
      <c r="AB372" s="94" t="s">
        <v>210</v>
      </c>
      <c r="AC372" s="94" t="s">
        <v>210</v>
      </c>
      <c r="AD372" s="94">
        <v>1</v>
      </c>
      <c r="AE372" s="94">
        <v>5</v>
      </c>
      <c r="AF372" s="94" t="s">
        <v>210</v>
      </c>
      <c r="AG372" s="94" t="s">
        <v>210</v>
      </c>
      <c r="AH372" s="94">
        <v>8</v>
      </c>
      <c r="AI372" s="94">
        <v>-4</v>
      </c>
      <c r="AJ372" s="94" t="s">
        <v>210</v>
      </c>
      <c r="AK372" s="94"/>
      <c r="AL372" s="94"/>
      <c r="AM372" s="94"/>
      <c r="AN372" s="94"/>
      <c r="AO372" s="94"/>
      <c r="AP372" s="94"/>
      <c r="AQ372" s="94"/>
      <c r="AR372" s="94"/>
      <c r="AS372" s="94"/>
      <c r="AT372" s="94"/>
      <c r="AU372" s="94"/>
      <c r="AV372" s="94"/>
      <c r="AW372" s="94"/>
      <c r="AX372" s="94"/>
      <c r="AY372" s="94"/>
      <c r="AZ372" s="94"/>
      <c r="BA372" s="95"/>
    </row>
    <row r="373" spans="1:53" s="87" customFormat="1">
      <c r="A373" s="90" t="str">
        <f t="shared" si="30"/>
        <v/>
      </c>
      <c r="B373" s="98">
        <v>4</v>
      </c>
      <c r="C373" s="94" t="s">
        <v>210</v>
      </c>
      <c r="D373" s="94">
        <v>-5</v>
      </c>
      <c r="E373" s="94">
        <v>-3</v>
      </c>
      <c r="F373" s="94" t="s">
        <v>210</v>
      </c>
      <c r="G373" s="94" t="s">
        <v>210</v>
      </c>
      <c r="H373" s="94">
        <v>-4</v>
      </c>
      <c r="I373" s="94">
        <v>8</v>
      </c>
      <c r="J373" s="94" t="s">
        <v>210</v>
      </c>
      <c r="K373" s="94" t="s">
        <v>210</v>
      </c>
      <c r="L373" s="94">
        <v>7</v>
      </c>
      <c r="M373" s="94">
        <v>-9</v>
      </c>
      <c r="N373" s="94" t="s">
        <v>210</v>
      </c>
      <c r="O373" s="94" t="s">
        <v>210</v>
      </c>
      <c r="P373" s="94">
        <v>-6</v>
      </c>
      <c r="Q373" s="94">
        <v>1</v>
      </c>
      <c r="R373" s="94" t="s">
        <v>210</v>
      </c>
      <c r="S373" s="94">
        <v>3</v>
      </c>
      <c r="T373" s="94" t="s">
        <v>210</v>
      </c>
      <c r="U373" s="94" t="s">
        <v>210</v>
      </c>
      <c r="V373" s="94">
        <v>-2</v>
      </c>
      <c r="W373" s="94">
        <v>9</v>
      </c>
      <c r="X373" s="94" t="s">
        <v>210</v>
      </c>
      <c r="Y373" s="94" t="s">
        <v>210</v>
      </c>
      <c r="Z373" s="94">
        <v>6</v>
      </c>
      <c r="AA373" s="94">
        <v>-7</v>
      </c>
      <c r="AB373" s="94" t="s">
        <v>210</v>
      </c>
      <c r="AC373" s="94" t="s">
        <v>210</v>
      </c>
      <c r="AD373" s="94">
        <v>5</v>
      </c>
      <c r="AE373" s="94">
        <v>-8</v>
      </c>
      <c r="AF373" s="94" t="s">
        <v>210</v>
      </c>
      <c r="AG373" s="94" t="s">
        <v>210</v>
      </c>
      <c r="AH373" s="94">
        <v>3</v>
      </c>
      <c r="AI373" s="94">
        <v>4</v>
      </c>
      <c r="AJ373" s="94" t="s">
        <v>210</v>
      </c>
      <c r="AK373" s="94"/>
      <c r="AL373" s="94"/>
      <c r="AM373" s="94"/>
      <c r="AN373" s="94"/>
      <c r="AO373" s="94"/>
      <c r="AP373" s="94"/>
      <c r="AQ373" s="94"/>
      <c r="AR373" s="94"/>
      <c r="AS373" s="94"/>
      <c r="AT373" s="94"/>
      <c r="AU373" s="94"/>
      <c r="AV373" s="94"/>
      <c r="AW373" s="94"/>
      <c r="AX373" s="94"/>
      <c r="AY373" s="94"/>
      <c r="AZ373" s="94"/>
      <c r="BA373" s="95"/>
    </row>
    <row r="374" spans="1:53" s="87" customFormat="1">
      <c r="A374" s="90" t="str">
        <f t="shared" si="30"/>
        <v/>
      </c>
      <c r="B374" s="98">
        <v>5</v>
      </c>
      <c r="C374" s="94" t="s">
        <v>210</v>
      </c>
      <c r="D374" s="94">
        <v>8</v>
      </c>
      <c r="E374" s="94">
        <v>7</v>
      </c>
      <c r="F374" s="94" t="s">
        <v>210</v>
      </c>
      <c r="G374" s="94" t="s">
        <v>210</v>
      </c>
      <c r="H374" s="94">
        <v>-9</v>
      </c>
      <c r="I374" s="94">
        <v>-6</v>
      </c>
      <c r="J374" s="94" t="s">
        <v>210</v>
      </c>
      <c r="K374" s="94" t="s">
        <v>210</v>
      </c>
      <c r="L374" s="94">
        <v>1</v>
      </c>
      <c r="M374" s="94">
        <v>2</v>
      </c>
      <c r="N374" s="94" t="s">
        <v>210</v>
      </c>
      <c r="O374" s="94" t="s">
        <v>210</v>
      </c>
      <c r="P374" s="94">
        <v>5</v>
      </c>
      <c r="Q374" s="94">
        <v>-3</v>
      </c>
      <c r="R374" s="94" t="s">
        <v>210</v>
      </c>
      <c r="S374" s="94">
        <v>-7</v>
      </c>
      <c r="T374" s="94" t="s">
        <v>210</v>
      </c>
      <c r="U374" s="94" t="s">
        <v>210</v>
      </c>
      <c r="V374" s="94">
        <v>9</v>
      </c>
      <c r="W374" s="94">
        <v>-8</v>
      </c>
      <c r="X374" s="94" t="s">
        <v>210</v>
      </c>
      <c r="Y374" s="94" t="s">
        <v>210</v>
      </c>
      <c r="Z374" s="94">
        <v>-2</v>
      </c>
      <c r="AA374" s="94">
        <v>-1</v>
      </c>
      <c r="AB374" s="94" t="s">
        <v>210</v>
      </c>
      <c r="AC374" s="94" t="s">
        <v>210</v>
      </c>
      <c r="AD374" s="94">
        <v>-5</v>
      </c>
      <c r="AE374" s="94">
        <v>3</v>
      </c>
      <c r="AF374" s="94" t="s">
        <v>210</v>
      </c>
      <c r="AG374" s="94" t="s">
        <v>210</v>
      </c>
      <c r="AH374" s="94">
        <v>-4</v>
      </c>
      <c r="AI374" s="94">
        <v>6</v>
      </c>
      <c r="AJ374" s="94" t="s">
        <v>210</v>
      </c>
      <c r="AK374" s="94"/>
      <c r="AL374" s="94"/>
      <c r="AM374" s="94"/>
      <c r="AN374" s="94"/>
      <c r="AO374" s="94"/>
      <c r="AP374" s="94"/>
      <c r="AQ374" s="94"/>
      <c r="AR374" s="94"/>
      <c r="AS374" s="94"/>
      <c r="AT374" s="94"/>
      <c r="AU374" s="94"/>
      <c r="AV374" s="94"/>
      <c r="AW374" s="94"/>
      <c r="AX374" s="94"/>
      <c r="AY374" s="94"/>
      <c r="AZ374" s="94"/>
      <c r="BA374" s="95"/>
    </row>
    <row r="375" spans="1:53" s="87" customFormat="1">
      <c r="A375" s="90" t="str">
        <f t="shared" si="30"/>
        <v/>
      </c>
      <c r="B375" s="98">
        <v>6</v>
      </c>
      <c r="C375" s="94" t="s">
        <v>210</v>
      </c>
      <c r="D375" s="94">
        <v>3</v>
      </c>
      <c r="E375" s="94">
        <v>4</v>
      </c>
      <c r="F375" s="94" t="s">
        <v>210</v>
      </c>
      <c r="G375" s="94" t="s">
        <v>210</v>
      </c>
      <c r="H375" s="94">
        <v>8</v>
      </c>
      <c r="I375" s="94">
        <v>-7</v>
      </c>
      <c r="J375" s="94" t="s">
        <v>210</v>
      </c>
      <c r="K375" s="94" t="s">
        <v>210</v>
      </c>
      <c r="L375" s="94">
        <v>9</v>
      </c>
      <c r="M375" s="94">
        <v>6</v>
      </c>
      <c r="N375" s="94" t="s">
        <v>210</v>
      </c>
      <c r="O375" s="94" t="s">
        <v>210</v>
      </c>
      <c r="P375" s="94">
        <v>-1</v>
      </c>
      <c r="Q375" s="94">
        <v>-2</v>
      </c>
      <c r="R375" s="94" t="s">
        <v>210</v>
      </c>
      <c r="S375" s="94">
        <v>-9</v>
      </c>
      <c r="T375" s="94" t="s">
        <v>210</v>
      </c>
      <c r="U375" s="94" t="s">
        <v>210</v>
      </c>
      <c r="V375" s="94">
        <v>-6</v>
      </c>
      <c r="W375" s="94">
        <v>1</v>
      </c>
      <c r="X375" s="94" t="s">
        <v>210</v>
      </c>
      <c r="Y375" s="94" t="s">
        <v>210</v>
      </c>
      <c r="Z375" s="94">
        <v>7</v>
      </c>
      <c r="AA375" s="94">
        <v>2</v>
      </c>
      <c r="AB375" s="94" t="s">
        <v>210</v>
      </c>
      <c r="AC375" s="94" t="s">
        <v>210</v>
      </c>
      <c r="AD375" s="94">
        <v>-4</v>
      </c>
      <c r="AE375" s="94">
        <v>-5</v>
      </c>
      <c r="AF375" s="94" t="s">
        <v>210</v>
      </c>
      <c r="AG375" s="94" t="s">
        <v>210</v>
      </c>
      <c r="AH375" s="94">
        <v>-3</v>
      </c>
      <c r="AI375" s="94">
        <v>-6</v>
      </c>
      <c r="AJ375" s="94" t="s">
        <v>210</v>
      </c>
      <c r="AK375" s="94"/>
      <c r="AL375" s="94"/>
      <c r="AM375" s="94"/>
      <c r="AN375" s="94"/>
      <c r="AO375" s="94"/>
      <c r="AP375" s="94"/>
      <c r="AQ375" s="94"/>
      <c r="AR375" s="94"/>
      <c r="AS375" s="94"/>
      <c r="AT375" s="94"/>
      <c r="AU375" s="94"/>
      <c r="AV375" s="94"/>
      <c r="AW375" s="94"/>
      <c r="AX375" s="94"/>
      <c r="AY375" s="94"/>
      <c r="AZ375" s="94"/>
      <c r="BA375" s="95"/>
    </row>
    <row r="376" spans="1:53" s="87" customFormat="1">
      <c r="A376" s="90" t="str">
        <f t="shared" si="30"/>
        <v/>
      </c>
      <c r="B376" s="98">
        <v>7</v>
      </c>
      <c r="C376" s="94" t="s">
        <v>210</v>
      </c>
      <c r="D376" s="94">
        <v>-6</v>
      </c>
      <c r="E376" s="94">
        <v>1</v>
      </c>
      <c r="F376" s="94" t="s">
        <v>210</v>
      </c>
      <c r="G376" s="94" t="s">
        <v>210</v>
      </c>
      <c r="H376" s="94">
        <v>-2</v>
      </c>
      <c r="I376" s="94">
        <v>-5</v>
      </c>
      <c r="J376" s="94" t="s">
        <v>210</v>
      </c>
      <c r="K376" s="94" t="s">
        <v>210</v>
      </c>
      <c r="L376" s="94">
        <v>-3</v>
      </c>
      <c r="M376" s="94">
        <v>4</v>
      </c>
      <c r="N376" s="94" t="s">
        <v>210</v>
      </c>
      <c r="O376" s="94" t="s">
        <v>210</v>
      </c>
      <c r="P376" s="94">
        <v>-8</v>
      </c>
      <c r="Q376" s="94">
        <v>7</v>
      </c>
      <c r="R376" s="94" t="s">
        <v>210</v>
      </c>
      <c r="S376" s="94">
        <v>6</v>
      </c>
      <c r="T376" s="94" t="s">
        <v>210</v>
      </c>
      <c r="U376" s="94" t="s">
        <v>210</v>
      </c>
      <c r="V376" s="94">
        <v>2</v>
      </c>
      <c r="W376" s="94">
        <v>8</v>
      </c>
      <c r="X376" s="94" t="s">
        <v>210</v>
      </c>
      <c r="Y376" s="94" t="s">
        <v>210</v>
      </c>
      <c r="Z376" s="94">
        <v>-7</v>
      </c>
      <c r="AA376" s="94">
        <v>9</v>
      </c>
      <c r="AB376" s="94" t="s">
        <v>210</v>
      </c>
      <c r="AC376" s="94" t="s">
        <v>210</v>
      </c>
      <c r="AD376" s="94">
        <v>-1</v>
      </c>
      <c r="AE376" s="94">
        <v>-4</v>
      </c>
      <c r="AF376" s="94" t="s">
        <v>210</v>
      </c>
      <c r="AG376" s="94" t="s">
        <v>210</v>
      </c>
      <c r="AH376" s="94">
        <v>5</v>
      </c>
      <c r="AI376" s="94">
        <v>3</v>
      </c>
      <c r="AJ376" s="94" t="s">
        <v>210</v>
      </c>
      <c r="AK376" s="94"/>
      <c r="AL376" s="94"/>
      <c r="AM376" s="94"/>
      <c r="AN376" s="94"/>
      <c r="AO376" s="94"/>
      <c r="AP376" s="94"/>
      <c r="AQ376" s="94"/>
      <c r="AR376" s="94"/>
      <c r="AS376" s="94"/>
      <c r="AT376" s="94"/>
      <c r="AU376" s="94"/>
      <c r="AV376" s="94"/>
      <c r="AW376" s="94"/>
      <c r="AX376" s="94"/>
      <c r="AY376" s="94"/>
      <c r="AZ376" s="94"/>
      <c r="BA376" s="95"/>
    </row>
    <row r="377" spans="1:53" s="87" customFormat="1">
      <c r="A377" s="90" t="str">
        <f t="shared" si="30"/>
        <v/>
      </c>
      <c r="B377" s="98">
        <v>8</v>
      </c>
      <c r="C377" s="94" t="s">
        <v>210</v>
      </c>
      <c r="D377" s="94">
        <v>-1</v>
      </c>
      <c r="E377" s="94">
        <v>-2</v>
      </c>
      <c r="F377" s="94" t="s">
        <v>210</v>
      </c>
      <c r="G377" s="94" t="s">
        <v>210</v>
      </c>
      <c r="H377" s="94">
        <v>5</v>
      </c>
      <c r="I377" s="94">
        <v>3</v>
      </c>
      <c r="J377" s="94" t="s">
        <v>210</v>
      </c>
      <c r="K377" s="94" t="s">
        <v>210</v>
      </c>
      <c r="L377" s="94">
        <v>-4</v>
      </c>
      <c r="M377" s="94">
        <v>8</v>
      </c>
      <c r="N377" s="94" t="s">
        <v>210</v>
      </c>
      <c r="O377" s="94" t="s">
        <v>210</v>
      </c>
      <c r="P377" s="94">
        <v>7</v>
      </c>
      <c r="Q377" s="94">
        <v>-9</v>
      </c>
      <c r="R377" s="94" t="s">
        <v>210</v>
      </c>
      <c r="S377" s="94">
        <v>2</v>
      </c>
      <c r="T377" s="94" t="s">
        <v>210</v>
      </c>
      <c r="U377" s="94" t="s">
        <v>210</v>
      </c>
      <c r="V377" s="94">
        <v>-5</v>
      </c>
      <c r="W377" s="94">
        <v>-7</v>
      </c>
      <c r="X377" s="94" t="s">
        <v>210</v>
      </c>
      <c r="Y377" s="94" t="s">
        <v>210</v>
      </c>
      <c r="Z377" s="94">
        <v>-6</v>
      </c>
      <c r="AA377" s="94">
        <v>1</v>
      </c>
      <c r="AB377" s="94" t="s">
        <v>210</v>
      </c>
      <c r="AC377" s="94" t="s">
        <v>210</v>
      </c>
      <c r="AD377" s="94">
        <v>4</v>
      </c>
      <c r="AE377" s="94">
        <v>9</v>
      </c>
      <c r="AF377" s="94" t="s">
        <v>210</v>
      </c>
      <c r="AG377" s="94" t="s">
        <v>210</v>
      </c>
      <c r="AH377" s="94">
        <v>-8</v>
      </c>
      <c r="AI377" s="94">
        <v>-3</v>
      </c>
      <c r="AJ377" s="94" t="s">
        <v>210</v>
      </c>
      <c r="AK377" s="94"/>
      <c r="AL377" s="94"/>
      <c r="AM377" s="94"/>
      <c r="AN377" s="94"/>
      <c r="AO377" s="94"/>
      <c r="AP377" s="94"/>
      <c r="AQ377" s="94"/>
      <c r="AR377" s="94"/>
      <c r="AS377" s="94"/>
      <c r="AT377" s="94"/>
      <c r="AU377" s="94"/>
      <c r="AV377" s="94"/>
      <c r="AW377" s="94"/>
      <c r="AX377" s="94"/>
      <c r="AY377" s="94"/>
      <c r="AZ377" s="94"/>
      <c r="BA377" s="95"/>
    </row>
    <row r="378" spans="1:53" s="87" customFormat="1">
      <c r="A378" s="90" t="str">
        <f t="shared" si="30"/>
        <v/>
      </c>
      <c r="B378" s="98">
        <v>9</v>
      </c>
      <c r="C378" s="94" t="s">
        <v>210</v>
      </c>
      <c r="D378" s="94">
        <v>-7</v>
      </c>
      <c r="E378" s="94">
        <v>-9</v>
      </c>
      <c r="F378" s="94" t="s">
        <v>210</v>
      </c>
      <c r="G378" s="94" t="s">
        <v>210</v>
      </c>
      <c r="H378" s="94">
        <v>-6</v>
      </c>
      <c r="I378" s="94">
        <v>-1</v>
      </c>
      <c r="J378" s="94" t="s">
        <v>210</v>
      </c>
      <c r="K378" s="94" t="s">
        <v>210</v>
      </c>
      <c r="L378" s="94">
        <v>2</v>
      </c>
      <c r="M378" s="94">
        <v>5</v>
      </c>
      <c r="N378" s="94" t="s">
        <v>210</v>
      </c>
      <c r="O378" s="94" t="s">
        <v>210</v>
      </c>
      <c r="P378" s="94">
        <v>3</v>
      </c>
      <c r="Q378" s="94">
        <v>-4</v>
      </c>
      <c r="R378" s="94" t="s">
        <v>210</v>
      </c>
      <c r="S378" s="94">
        <v>-2</v>
      </c>
      <c r="T378" s="94" t="s">
        <v>210</v>
      </c>
      <c r="U378" s="94" t="s">
        <v>210</v>
      </c>
      <c r="V378" s="94">
        <v>6</v>
      </c>
      <c r="W378" s="94">
        <v>4</v>
      </c>
      <c r="X378" s="94" t="s">
        <v>210</v>
      </c>
      <c r="Y378" s="94" t="s">
        <v>210</v>
      </c>
      <c r="Z378" s="94">
        <v>1</v>
      </c>
      <c r="AA378" s="94">
        <v>7</v>
      </c>
      <c r="AB378" s="94" t="s">
        <v>210</v>
      </c>
      <c r="AC378" s="94" t="s">
        <v>210</v>
      </c>
      <c r="AD378" s="94">
        <v>-8</v>
      </c>
      <c r="AE378" s="94">
        <v>-3</v>
      </c>
      <c r="AF378" s="94" t="s">
        <v>210</v>
      </c>
      <c r="AG378" s="94" t="s">
        <v>210</v>
      </c>
      <c r="AH378" s="94">
        <v>-5</v>
      </c>
      <c r="AI378" s="94">
        <v>9</v>
      </c>
      <c r="AJ378" s="94" t="s">
        <v>210</v>
      </c>
      <c r="AK378" s="94"/>
      <c r="AL378" s="94"/>
      <c r="AM378" s="94"/>
      <c r="AN378" s="94"/>
      <c r="AO378" s="94"/>
      <c r="AP378" s="94"/>
      <c r="AQ378" s="94"/>
      <c r="AR378" s="94"/>
      <c r="AS378" s="94"/>
      <c r="AT378" s="94"/>
      <c r="AU378" s="94"/>
      <c r="AV378" s="94"/>
      <c r="AW378" s="94"/>
      <c r="AX378" s="94"/>
      <c r="AY378" s="94"/>
      <c r="AZ378" s="94"/>
      <c r="BA378" s="95"/>
    </row>
    <row r="379" spans="1:53" s="87" customFormat="1">
      <c r="A379" s="90" t="str">
        <f t="shared" si="30"/>
        <v/>
      </c>
      <c r="B379" s="98">
        <v>10</v>
      </c>
      <c r="C379" s="94" t="s">
        <v>210</v>
      </c>
      <c r="D379" s="94">
        <v>-8</v>
      </c>
      <c r="E379" s="94">
        <v>-4</v>
      </c>
      <c r="F379" s="94" t="s">
        <v>210</v>
      </c>
      <c r="G379" s="94" t="s">
        <v>210</v>
      </c>
      <c r="H379" s="94">
        <v>-3</v>
      </c>
      <c r="I379" s="94">
        <v>5</v>
      </c>
      <c r="J379" s="94" t="s">
        <v>210</v>
      </c>
      <c r="K379" s="94" t="s">
        <v>210</v>
      </c>
      <c r="L379" s="94">
        <v>-2</v>
      </c>
      <c r="M379" s="94">
        <v>1</v>
      </c>
      <c r="N379" s="94" t="s">
        <v>210</v>
      </c>
      <c r="O379" s="94" t="s">
        <v>210</v>
      </c>
      <c r="P379" s="94">
        <v>6</v>
      </c>
      <c r="Q379" s="94">
        <v>9</v>
      </c>
      <c r="R379" s="94" t="s">
        <v>210</v>
      </c>
      <c r="S379" s="94">
        <v>8</v>
      </c>
      <c r="T379" s="94" t="s">
        <v>210</v>
      </c>
      <c r="U379" s="94" t="s">
        <v>210</v>
      </c>
      <c r="V379" s="94">
        <v>-1</v>
      </c>
      <c r="W379" s="94">
        <v>-5</v>
      </c>
      <c r="X379" s="94" t="s">
        <v>210</v>
      </c>
      <c r="Y379" s="94" t="s">
        <v>210</v>
      </c>
      <c r="Z379" s="94">
        <v>3</v>
      </c>
      <c r="AA379" s="94">
        <v>4</v>
      </c>
      <c r="AB379" s="94" t="s">
        <v>210</v>
      </c>
      <c r="AC379" s="94" t="s">
        <v>210</v>
      </c>
      <c r="AD379" s="94">
        <v>-9</v>
      </c>
      <c r="AE379" s="94">
        <v>-6</v>
      </c>
      <c r="AF379" s="94" t="s">
        <v>210</v>
      </c>
      <c r="AG379" s="94" t="s">
        <v>210</v>
      </c>
      <c r="AH379" s="94">
        <v>2</v>
      </c>
      <c r="AI379" s="94">
        <v>-7</v>
      </c>
      <c r="AJ379" s="94" t="s">
        <v>210</v>
      </c>
      <c r="AK379" s="94"/>
      <c r="AL379" s="94"/>
      <c r="AM379" s="94"/>
      <c r="AN379" s="94"/>
      <c r="AO379" s="94"/>
      <c r="AP379" s="94"/>
      <c r="AQ379" s="94"/>
      <c r="AR379" s="94"/>
      <c r="AS379" s="94"/>
      <c r="AT379" s="94"/>
      <c r="AU379" s="94"/>
      <c r="AV379" s="94"/>
      <c r="AW379" s="94"/>
      <c r="AX379" s="94"/>
      <c r="AY379" s="94"/>
      <c r="AZ379" s="94"/>
      <c r="BA379" s="95"/>
    </row>
    <row r="380" spans="1:53" s="87" customFormat="1">
      <c r="A380" s="90" t="str">
        <f t="shared" si="30"/>
        <v/>
      </c>
      <c r="B380" s="98">
        <v>11</v>
      </c>
      <c r="C380" s="94" t="s">
        <v>210</v>
      </c>
      <c r="D380" s="94">
        <v>6</v>
      </c>
      <c r="E380" s="94">
        <v>9</v>
      </c>
      <c r="F380" s="94" t="s">
        <v>210</v>
      </c>
      <c r="G380" s="94" t="s">
        <v>210</v>
      </c>
      <c r="H380" s="94">
        <v>7</v>
      </c>
      <c r="I380" s="94">
        <v>-8</v>
      </c>
      <c r="J380" s="94" t="s">
        <v>210</v>
      </c>
      <c r="K380" s="94" t="s">
        <v>210</v>
      </c>
      <c r="L380" s="94">
        <v>4</v>
      </c>
      <c r="M380" s="94">
        <v>-3</v>
      </c>
      <c r="N380" s="94" t="s">
        <v>210</v>
      </c>
      <c r="O380" s="94" t="s">
        <v>210</v>
      </c>
      <c r="P380" s="94">
        <v>-5</v>
      </c>
      <c r="Q380" s="94">
        <v>2</v>
      </c>
      <c r="R380" s="94" t="s">
        <v>210</v>
      </c>
      <c r="S380" s="94">
        <v>-1</v>
      </c>
      <c r="T380" s="94" t="s">
        <v>210</v>
      </c>
      <c r="U380" s="94" t="s">
        <v>210</v>
      </c>
      <c r="V380" s="94">
        <v>-7</v>
      </c>
      <c r="W380" s="94">
        <v>3</v>
      </c>
      <c r="X380" s="94" t="s">
        <v>210</v>
      </c>
      <c r="Y380" s="94" t="s">
        <v>210</v>
      </c>
      <c r="Z380" s="94">
        <v>-4</v>
      </c>
      <c r="AA380" s="94">
        <v>8</v>
      </c>
      <c r="AB380" s="94" t="s">
        <v>210</v>
      </c>
      <c r="AC380" s="94" t="s">
        <v>210</v>
      </c>
      <c r="AD380" s="94">
        <v>-6</v>
      </c>
      <c r="AE380" s="94">
        <v>-2</v>
      </c>
      <c r="AF380" s="94" t="s">
        <v>210</v>
      </c>
      <c r="AG380" s="94" t="s">
        <v>210</v>
      </c>
      <c r="AH380" s="94">
        <v>-9</v>
      </c>
      <c r="AI380" s="94">
        <v>7</v>
      </c>
      <c r="AJ380" s="94" t="s">
        <v>210</v>
      </c>
      <c r="AK380" s="94"/>
      <c r="AL380" s="94"/>
      <c r="AM380" s="94"/>
      <c r="AN380" s="94"/>
      <c r="AO380" s="94"/>
      <c r="AP380" s="94"/>
      <c r="AQ380" s="94"/>
      <c r="AR380" s="94"/>
      <c r="AS380" s="94"/>
      <c r="AT380" s="94"/>
      <c r="AU380" s="94"/>
      <c r="AV380" s="94"/>
      <c r="AW380" s="94"/>
      <c r="AX380" s="94"/>
      <c r="AY380" s="94"/>
      <c r="AZ380" s="94"/>
      <c r="BA380" s="95"/>
    </row>
    <row r="381" spans="1:53" s="87" customFormat="1">
      <c r="A381" s="90" t="str">
        <f t="shared" si="30"/>
        <v/>
      </c>
      <c r="B381" s="98">
        <v>12</v>
      </c>
      <c r="C381" s="94" t="s">
        <v>210</v>
      </c>
      <c r="D381" s="94">
        <v>5</v>
      </c>
      <c r="E381" s="94">
        <v>2</v>
      </c>
      <c r="F381" s="94" t="s">
        <v>210</v>
      </c>
      <c r="G381" s="94" t="s">
        <v>210</v>
      </c>
      <c r="H381" s="94">
        <v>-1</v>
      </c>
      <c r="I381" s="94">
        <v>6</v>
      </c>
      <c r="J381" s="94" t="s">
        <v>210</v>
      </c>
      <c r="K381" s="94" t="s">
        <v>210</v>
      </c>
      <c r="L381" s="94">
        <v>-9</v>
      </c>
      <c r="M381" s="94">
        <v>7</v>
      </c>
      <c r="N381" s="94" t="s">
        <v>210</v>
      </c>
      <c r="O381" s="94" t="s">
        <v>210</v>
      </c>
      <c r="P381" s="94">
        <v>8</v>
      </c>
      <c r="Q381" s="94">
        <v>4</v>
      </c>
      <c r="R381" s="94" t="s">
        <v>210</v>
      </c>
      <c r="S381" s="94">
        <v>-5</v>
      </c>
      <c r="T381" s="94" t="s">
        <v>210</v>
      </c>
      <c r="U381" s="94" t="s">
        <v>210</v>
      </c>
      <c r="V381" s="94">
        <v>1</v>
      </c>
      <c r="W381" s="94">
        <v>-2</v>
      </c>
      <c r="X381" s="94" t="s">
        <v>210</v>
      </c>
      <c r="Y381" s="94" t="s">
        <v>210</v>
      </c>
      <c r="Z381" s="94">
        <v>9</v>
      </c>
      <c r="AA381" s="94">
        <v>-8</v>
      </c>
      <c r="AB381" s="94" t="s">
        <v>210</v>
      </c>
      <c r="AC381" s="94" t="s">
        <v>210</v>
      </c>
      <c r="AD381" s="94">
        <v>-3</v>
      </c>
      <c r="AE381" s="94">
        <v>-7</v>
      </c>
      <c r="AF381" s="94" t="s">
        <v>210</v>
      </c>
      <c r="AG381" s="94" t="s">
        <v>210</v>
      </c>
      <c r="AH381" s="94">
        <v>-6</v>
      </c>
      <c r="AI381" s="94">
        <v>2</v>
      </c>
      <c r="AJ381" s="94" t="s">
        <v>210</v>
      </c>
      <c r="AK381" s="94"/>
      <c r="AL381" s="94"/>
      <c r="AM381" s="94"/>
      <c r="AN381" s="94"/>
      <c r="AO381" s="94"/>
      <c r="AP381" s="94"/>
      <c r="AQ381" s="94"/>
      <c r="AR381" s="94"/>
      <c r="AS381" s="94"/>
      <c r="AT381" s="94"/>
      <c r="AU381" s="94"/>
      <c r="AV381" s="94"/>
      <c r="AW381" s="94"/>
      <c r="AX381" s="94"/>
      <c r="AY381" s="94"/>
      <c r="AZ381" s="94"/>
      <c r="BA381" s="95"/>
    </row>
    <row r="382" spans="1:53" s="87" customFormat="1">
      <c r="A382" s="90" t="str">
        <f t="shared" si="30"/>
        <v/>
      </c>
      <c r="B382" s="98">
        <v>13</v>
      </c>
      <c r="C382" s="94" t="s">
        <v>210</v>
      </c>
      <c r="D382" s="94">
        <v>1</v>
      </c>
      <c r="E382" s="94">
        <v>-6</v>
      </c>
      <c r="F382" s="94" t="s">
        <v>210</v>
      </c>
      <c r="G382" s="94" t="s">
        <v>210</v>
      </c>
      <c r="H382" s="94">
        <v>9</v>
      </c>
      <c r="I382" s="94">
        <v>7</v>
      </c>
      <c r="J382" s="94" t="s">
        <v>210</v>
      </c>
      <c r="K382" s="94" t="s">
        <v>210</v>
      </c>
      <c r="L382" s="94">
        <v>8</v>
      </c>
      <c r="M382" s="94">
        <v>-4</v>
      </c>
      <c r="N382" s="94" t="s">
        <v>210</v>
      </c>
      <c r="O382" s="94" t="s">
        <v>210</v>
      </c>
      <c r="P382" s="94">
        <v>-3</v>
      </c>
      <c r="Q382" s="94">
        <v>5</v>
      </c>
      <c r="R382" s="94" t="s">
        <v>210</v>
      </c>
      <c r="S382" s="94">
        <v>1</v>
      </c>
      <c r="T382" s="94" t="s">
        <v>210</v>
      </c>
      <c r="U382" s="94" t="s">
        <v>210</v>
      </c>
      <c r="V382" s="94">
        <v>4</v>
      </c>
      <c r="W382" s="94">
        <v>-9</v>
      </c>
      <c r="X382" s="94" t="s">
        <v>210</v>
      </c>
      <c r="Y382" s="94" t="s">
        <v>210</v>
      </c>
      <c r="Z382" s="94">
        <v>-8</v>
      </c>
      <c r="AA382" s="94">
        <v>-5</v>
      </c>
      <c r="AB382" s="94" t="s">
        <v>210</v>
      </c>
      <c r="AC382" s="94" t="s">
        <v>210</v>
      </c>
      <c r="AD382" s="94">
        <v>-7</v>
      </c>
      <c r="AE382" s="94">
        <v>6</v>
      </c>
      <c r="AF382" s="94" t="s">
        <v>210</v>
      </c>
      <c r="AG382" s="94" t="s">
        <v>210</v>
      </c>
      <c r="AH382" s="94">
        <v>-1</v>
      </c>
      <c r="AI382" s="94">
        <v>-2</v>
      </c>
      <c r="AJ382" s="94" t="s">
        <v>210</v>
      </c>
      <c r="AK382" s="94"/>
      <c r="AL382" s="94"/>
      <c r="AM382" s="94"/>
      <c r="AN382" s="94"/>
      <c r="AO382" s="94"/>
      <c r="AP382" s="94"/>
      <c r="AQ382" s="94"/>
      <c r="AR382" s="94"/>
      <c r="AS382" s="94"/>
      <c r="AT382" s="94"/>
      <c r="AU382" s="94"/>
      <c r="AV382" s="94"/>
      <c r="AW382" s="94"/>
      <c r="AX382" s="94"/>
      <c r="AY382" s="94"/>
      <c r="AZ382" s="94"/>
      <c r="BA382" s="95"/>
    </row>
    <row r="383" spans="1:53" s="87" customFormat="1">
      <c r="A383" s="90" t="str">
        <f t="shared" si="30"/>
        <v/>
      </c>
      <c r="B383" s="98">
        <v>14</v>
      </c>
      <c r="C383" s="94" t="s">
        <v>210</v>
      </c>
      <c r="D383" s="94">
        <v>-3</v>
      </c>
      <c r="E383" s="94">
        <v>-5</v>
      </c>
      <c r="F383" s="94" t="s">
        <v>210</v>
      </c>
      <c r="G383" s="94" t="s">
        <v>210</v>
      </c>
      <c r="H383" s="94">
        <v>2</v>
      </c>
      <c r="I383" s="94">
        <v>1</v>
      </c>
      <c r="J383" s="94" t="s">
        <v>210</v>
      </c>
      <c r="K383" s="94" t="s">
        <v>210</v>
      </c>
      <c r="L383" s="94">
        <v>6</v>
      </c>
      <c r="M383" s="94">
        <v>9</v>
      </c>
      <c r="N383" s="94" t="s">
        <v>210</v>
      </c>
      <c r="O383" s="94" t="s">
        <v>210</v>
      </c>
      <c r="P383" s="94">
        <v>-7</v>
      </c>
      <c r="Q383" s="94">
        <v>8</v>
      </c>
      <c r="R383" s="94" t="s">
        <v>210</v>
      </c>
      <c r="S383" s="94">
        <v>5</v>
      </c>
      <c r="T383" s="94" t="s">
        <v>210</v>
      </c>
      <c r="U383" s="94" t="s">
        <v>210</v>
      </c>
      <c r="V383" s="94">
        <v>-9</v>
      </c>
      <c r="W383" s="94">
        <v>-6</v>
      </c>
      <c r="X383" s="94" t="s">
        <v>210</v>
      </c>
      <c r="Y383" s="94" t="s">
        <v>210</v>
      </c>
      <c r="Z383" s="94">
        <v>4</v>
      </c>
      <c r="AA383" s="94">
        <v>3</v>
      </c>
      <c r="AB383" s="94" t="s">
        <v>210</v>
      </c>
      <c r="AC383" s="94" t="s">
        <v>210</v>
      </c>
      <c r="AD383" s="94">
        <v>7</v>
      </c>
      <c r="AE383" s="94">
        <v>-1</v>
      </c>
      <c r="AF383" s="94" t="s">
        <v>210</v>
      </c>
      <c r="AG383" s="94" t="s">
        <v>210</v>
      </c>
      <c r="AH383" s="94">
        <v>-2</v>
      </c>
      <c r="AI383" s="94">
        <v>-8</v>
      </c>
      <c r="AJ383" s="94" t="s">
        <v>210</v>
      </c>
      <c r="AK383" s="94"/>
      <c r="AL383" s="94"/>
      <c r="AM383" s="94"/>
      <c r="AN383" s="94"/>
      <c r="AO383" s="94"/>
      <c r="AP383" s="94"/>
      <c r="AQ383" s="94"/>
      <c r="AR383" s="94"/>
      <c r="AS383" s="94"/>
      <c r="AT383" s="94"/>
      <c r="AU383" s="94"/>
      <c r="AV383" s="94"/>
      <c r="AW383" s="94"/>
      <c r="AX383" s="94"/>
      <c r="AY383" s="94"/>
      <c r="AZ383" s="94"/>
      <c r="BA383" s="95"/>
    </row>
    <row r="384" spans="1:53" s="87" customFormat="1">
      <c r="A384" s="90" t="str">
        <f t="shared" si="30"/>
        <v/>
      </c>
      <c r="B384" s="98">
        <v>15</v>
      </c>
      <c r="C384" s="94" t="s">
        <v>210</v>
      </c>
      <c r="D384" s="94">
        <v>2</v>
      </c>
      <c r="E384" s="94">
        <v>-1</v>
      </c>
      <c r="F384" s="94" t="s">
        <v>210</v>
      </c>
      <c r="G384" s="94" t="s">
        <v>210</v>
      </c>
      <c r="H384" s="94">
        <v>6</v>
      </c>
      <c r="I384" s="94">
        <v>-9</v>
      </c>
      <c r="J384" s="94" t="s">
        <v>210</v>
      </c>
      <c r="K384" s="94" t="s">
        <v>210</v>
      </c>
      <c r="L384" s="94">
        <v>-7</v>
      </c>
      <c r="M384" s="94">
        <v>-8</v>
      </c>
      <c r="N384" s="94" t="s">
        <v>210</v>
      </c>
      <c r="O384" s="94" t="s">
        <v>210</v>
      </c>
      <c r="P384" s="94">
        <v>4</v>
      </c>
      <c r="Q384" s="94">
        <v>3</v>
      </c>
      <c r="R384" s="94" t="s">
        <v>210</v>
      </c>
      <c r="S384" s="94">
        <v>9</v>
      </c>
      <c r="T384" s="94" t="s">
        <v>210</v>
      </c>
      <c r="U384" s="94" t="s">
        <v>210</v>
      </c>
      <c r="V384" s="94">
        <v>-8</v>
      </c>
      <c r="W384" s="94">
        <v>-3</v>
      </c>
      <c r="X384" s="94" t="s">
        <v>210</v>
      </c>
      <c r="Y384" s="94" t="s">
        <v>210</v>
      </c>
      <c r="Z384" s="94">
        <v>5</v>
      </c>
      <c r="AA384" s="94">
        <v>-4</v>
      </c>
      <c r="AB384" s="94" t="s">
        <v>210</v>
      </c>
      <c r="AC384" s="94" t="s">
        <v>210</v>
      </c>
      <c r="AD384" s="94">
        <v>-2</v>
      </c>
      <c r="AE384" s="94">
        <v>7</v>
      </c>
      <c r="AF384" s="94" t="s">
        <v>210</v>
      </c>
      <c r="AG384" s="94" t="s">
        <v>210</v>
      </c>
      <c r="AH384" s="94">
        <v>1</v>
      </c>
      <c r="AI384" s="94">
        <v>8</v>
      </c>
      <c r="AJ384" s="94" t="s">
        <v>210</v>
      </c>
      <c r="AK384" s="94"/>
      <c r="AL384" s="94"/>
      <c r="AM384" s="94"/>
      <c r="AN384" s="94"/>
      <c r="AO384" s="94"/>
      <c r="AP384" s="94"/>
      <c r="AQ384" s="94"/>
      <c r="AR384" s="94"/>
      <c r="AS384" s="94"/>
      <c r="AT384" s="94"/>
      <c r="AU384" s="94"/>
      <c r="AV384" s="94"/>
      <c r="AW384" s="94"/>
      <c r="AX384" s="94"/>
      <c r="AY384" s="94"/>
      <c r="AZ384" s="94"/>
      <c r="BA384" s="95"/>
    </row>
    <row r="385" spans="1:53" s="87" customFormat="1">
      <c r="A385" s="90" t="str">
        <f t="shared" si="30"/>
        <v/>
      </c>
      <c r="B385" s="98">
        <v>16</v>
      </c>
      <c r="C385" s="94" t="s">
        <v>210</v>
      </c>
      <c r="D385" s="94">
        <v>7</v>
      </c>
      <c r="E385" s="94">
        <v>8</v>
      </c>
      <c r="F385" s="94" t="s">
        <v>210</v>
      </c>
      <c r="G385" s="94" t="s">
        <v>210</v>
      </c>
      <c r="H385" s="94">
        <v>4</v>
      </c>
      <c r="I385" s="94">
        <v>-3</v>
      </c>
      <c r="J385" s="94" t="s">
        <v>210</v>
      </c>
      <c r="K385" s="94" t="s">
        <v>210</v>
      </c>
      <c r="L385" s="94">
        <v>5</v>
      </c>
      <c r="M385" s="94">
        <v>-2</v>
      </c>
      <c r="N385" s="94" t="s">
        <v>210</v>
      </c>
      <c r="O385" s="94" t="s">
        <v>210</v>
      </c>
      <c r="P385" s="94">
        <v>1</v>
      </c>
      <c r="Q385" s="94">
        <v>-6</v>
      </c>
      <c r="R385" s="94" t="s">
        <v>210</v>
      </c>
      <c r="S385" s="94">
        <v>-8</v>
      </c>
      <c r="T385" s="94" t="s">
        <v>210</v>
      </c>
      <c r="U385" s="94" t="s">
        <v>210</v>
      </c>
      <c r="V385" s="94">
        <v>-4</v>
      </c>
      <c r="W385" s="94">
        <v>6</v>
      </c>
      <c r="X385" s="94" t="s">
        <v>210</v>
      </c>
      <c r="Y385" s="94" t="s">
        <v>210</v>
      </c>
      <c r="Z385" s="94">
        <v>-5</v>
      </c>
      <c r="AA385" s="94">
        <v>-9</v>
      </c>
      <c r="AB385" s="94" t="s">
        <v>210</v>
      </c>
      <c r="AC385" s="94" t="s">
        <v>210</v>
      </c>
      <c r="AD385" s="94">
        <v>3</v>
      </c>
      <c r="AE385" s="94">
        <v>2</v>
      </c>
      <c r="AF385" s="94" t="s">
        <v>210</v>
      </c>
      <c r="AG385" s="94" t="s">
        <v>210</v>
      </c>
      <c r="AH385" s="94">
        <v>-7</v>
      </c>
      <c r="AI385" s="94">
        <v>-1</v>
      </c>
      <c r="AJ385" s="94" t="s">
        <v>210</v>
      </c>
      <c r="AK385" s="94"/>
      <c r="AL385" s="94"/>
      <c r="AM385" s="94"/>
      <c r="AN385" s="94"/>
      <c r="AO385" s="94"/>
      <c r="AP385" s="94"/>
      <c r="AQ385" s="94"/>
      <c r="AR385" s="94"/>
      <c r="AS385" s="94"/>
      <c r="AT385" s="94"/>
      <c r="AU385" s="94"/>
      <c r="AV385" s="94"/>
      <c r="AW385" s="94"/>
      <c r="AX385" s="94"/>
      <c r="AY385" s="94"/>
      <c r="AZ385" s="94"/>
      <c r="BA385" s="95"/>
    </row>
    <row r="386" spans="1:53" s="87" customFormat="1">
      <c r="A386" s="90" t="str">
        <f t="shared" si="30"/>
        <v/>
      </c>
      <c r="B386" s="98">
        <v>17</v>
      </c>
      <c r="C386" s="94" t="s">
        <v>210</v>
      </c>
      <c r="D386" s="94">
        <v>9</v>
      </c>
      <c r="E386" s="94">
        <v>-7</v>
      </c>
      <c r="F386" s="94" t="s">
        <v>210</v>
      </c>
      <c r="G386" s="94" t="s">
        <v>210</v>
      </c>
      <c r="H386" s="94">
        <v>-8</v>
      </c>
      <c r="I386" s="94">
        <v>4</v>
      </c>
      <c r="J386" s="94" t="s">
        <v>210</v>
      </c>
      <c r="K386" s="94" t="s">
        <v>210</v>
      </c>
      <c r="L386" s="94">
        <v>3</v>
      </c>
      <c r="M386" s="94">
        <v>-5</v>
      </c>
      <c r="N386" s="94" t="s">
        <v>210</v>
      </c>
      <c r="O386" s="94" t="s">
        <v>210</v>
      </c>
      <c r="P386" s="94">
        <v>-2</v>
      </c>
      <c r="Q386" s="94">
        <v>-1</v>
      </c>
      <c r="R386" s="94" t="s">
        <v>210</v>
      </c>
      <c r="S386" s="94">
        <v>-4</v>
      </c>
      <c r="T386" s="94" t="s">
        <v>210</v>
      </c>
      <c r="U386" s="94" t="s">
        <v>210</v>
      </c>
      <c r="V386" s="94">
        <v>7</v>
      </c>
      <c r="W386" s="94">
        <v>5</v>
      </c>
      <c r="X386" s="94" t="s">
        <v>210</v>
      </c>
      <c r="Y386" s="94" t="s">
        <v>210</v>
      </c>
      <c r="Z386" s="94">
        <v>8</v>
      </c>
      <c r="AA386" s="94">
        <v>-3</v>
      </c>
      <c r="AB386" s="94" t="s">
        <v>210</v>
      </c>
      <c r="AC386" s="94" t="s">
        <v>210</v>
      </c>
      <c r="AD386" s="94">
        <v>2</v>
      </c>
      <c r="AE386" s="94">
        <v>-9</v>
      </c>
      <c r="AF386" s="94" t="s">
        <v>210</v>
      </c>
      <c r="AG386" s="94" t="s">
        <v>210</v>
      </c>
      <c r="AH386" s="94">
        <v>6</v>
      </c>
      <c r="AI386" s="94">
        <v>1</v>
      </c>
      <c r="AJ386" s="94" t="s">
        <v>210</v>
      </c>
      <c r="AK386" s="94"/>
      <c r="AL386" s="94"/>
      <c r="AM386" s="94"/>
      <c r="AN386" s="94"/>
      <c r="AO386" s="94"/>
      <c r="AP386" s="94"/>
      <c r="AQ386" s="94"/>
      <c r="AR386" s="94"/>
      <c r="AS386" s="94"/>
      <c r="AT386" s="94"/>
      <c r="AU386" s="94"/>
      <c r="AV386" s="94"/>
      <c r="AW386" s="94"/>
      <c r="AX386" s="94"/>
      <c r="AY386" s="94"/>
      <c r="AZ386" s="94"/>
      <c r="BA386" s="95"/>
    </row>
    <row r="387" spans="1:53" s="87" customFormat="1">
      <c r="A387" s="90" t="str">
        <f t="shared" si="30"/>
        <v/>
      </c>
      <c r="B387" s="99">
        <v>18</v>
      </c>
      <c r="C387" s="92" t="s">
        <v>210</v>
      </c>
      <c r="D387" s="92">
        <v>-4</v>
      </c>
      <c r="E387" s="92">
        <v>3</v>
      </c>
      <c r="F387" s="92" t="s">
        <v>210</v>
      </c>
      <c r="G387" s="92" t="s">
        <v>210</v>
      </c>
      <c r="H387" s="92">
        <v>-5</v>
      </c>
      <c r="I387" s="92">
        <v>-2</v>
      </c>
      <c r="J387" s="92" t="s">
        <v>210</v>
      </c>
      <c r="K387" s="92" t="s">
        <v>210</v>
      </c>
      <c r="L387" s="92">
        <v>-1</v>
      </c>
      <c r="M387" s="92">
        <v>-6</v>
      </c>
      <c r="N387" s="92" t="s">
        <v>210</v>
      </c>
      <c r="O387" s="92" t="s">
        <v>210</v>
      </c>
      <c r="P387" s="92">
        <v>9</v>
      </c>
      <c r="Q387" s="92">
        <v>-7</v>
      </c>
      <c r="R387" s="92" t="s">
        <v>210</v>
      </c>
      <c r="S387" s="92">
        <v>4</v>
      </c>
      <c r="T387" s="92" t="s">
        <v>210</v>
      </c>
      <c r="U387" s="92" t="s">
        <v>210</v>
      </c>
      <c r="V387" s="92">
        <v>8</v>
      </c>
      <c r="W387" s="92">
        <v>2</v>
      </c>
      <c r="X387" s="92" t="s">
        <v>210</v>
      </c>
      <c r="Y387" s="92" t="s">
        <v>210</v>
      </c>
      <c r="Z387" s="92">
        <v>-3</v>
      </c>
      <c r="AA387" s="92">
        <v>5</v>
      </c>
      <c r="AB387" s="92" t="s">
        <v>210</v>
      </c>
      <c r="AC387" s="92" t="s">
        <v>210</v>
      </c>
      <c r="AD387" s="92">
        <v>6</v>
      </c>
      <c r="AE387" s="92">
        <v>1</v>
      </c>
      <c r="AF387" s="92" t="s">
        <v>210</v>
      </c>
      <c r="AG387" s="92" t="s">
        <v>210</v>
      </c>
      <c r="AH387" s="92">
        <v>7</v>
      </c>
      <c r="AI387" s="92">
        <v>-9</v>
      </c>
      <c r="AJ387" s="92" t="s">
        <v>210</v>
      </c>
      <c r="AK387" s="94"/>
      <c r="AL387" s="94"/>
      <c r="AM387" s="94"/>
      <c r="AN387" s="94"/>
      <c r="AO387" s="94"/>
      <c r="AP387" s="94"/>
      <c r="AQ387" s="94"/>
      <c r="AR387" s="94"/>
      <c r="AS387" s="94"/>
      <c r="AT387" s="94"/>
      <c r="AU387" s="94"/>
      <c r="AV387" s="94"/>
      <c r="AW387" s="94"/>
      <c r="AX387" s="94"/>
      <c r="AY387" s="94"/>
      <c r="AZ387" s="94"/>
      <c r="BA387" s="95"/>
    </row>
    <row r="388" spans="1:53" s="87" customFormat="1">
      <c r="A388" s="90" t="str">
        <f t="shared" si="30"/>
        <v/>
      </c>
      <c r="B388" s="98">
        <v>19</v>
      </c>
      <c r="C388" s="94">
        <v>9</v>
      </c>
      <c r="D388" s="94" t="s">
        <v>210</v>
      </c>
      <c r="E388" s="94" t="s">
        <v>210</v>
      </c>
      <c r="F388" s="94">
        <v>-6</v>
      </c>
      <c r="G388" s="94">
        <v>-1</v>
      </c>
      <c r="H388" s="94" t="s">
        <v>210</v>
      </c>
      <c r="I388" s="94" t="s">
        <v>210</v>
      </c>
      <c r="J388" s="94">
        <v>-2</v>
      </c>
      <c r="K388" s="94">
        <v>5</v>
      </c>
      <c r="L388" s="94" t="s">
        <v>210</v>
      </c>
      <c r="M388" s="94" t="s">
        <v>210</v>
      </c>
      <c r="N388" s="94">
        <v>-3</v>
      </c>
      <c r="O388" s="94">
        <v>4</v>
      </c>
      <c r="P388" s="94" t="s">
        <v>210</v>
      </c>
      <c r="Q388" s="94" t="s">
        <v>210</v>
      </c>
      <c r="R388" s="94">
        <v>8</v>
      </c>
      <c r="S388" s="94" t="s">
        <v>210</v>
      </c>
      <c r="T388" s="94">
        <v>6</v>
      </c>
      <c r="U388" s="94">
        <v>3</v>
      </c>
      <c r="V388" s="94" t="s">
        <v>210</v>
      </c>
      <c r="W388" s="94" t="s">
        <v>210</v>
      </c>
      <c r="X388" s="94">
        <v>-7</v>
      </c>
      <c r="Y388" s="94">
        <v>1</v>
      </c>
      <c r="Z388" s="94" t="s">
        <v>210</v>
      </c>
      <c r="AA388" s="94" t="s">
        <v>210</v>
      </c>
      <c r="AB388" s="94">
        <v>2</v>
      </c>
      <c r="AC388" s="94">
        <v>-9</v>
      </c>
      <c r="AD388" s="94" t="s">
        <v>210</v>
      </c>
      <c r="AE388" s="94" t="s">
        <v>210</v>
      </c>
      <c r="AF388" s="94">
        <v>-8</v>
      </c>
      <c r="AG388" s="94">
        <v>-4</v>
      </c>
      <c r="AH388" s="94" t="s">
        <v>210</v>
      </c>
      <c r="AI388" s="94" t="s">
        <v>210</v>
      </c>
      <c r="AJ388" s="94">
        <v>-5</v>
      </c>
      <c r="AK388" s="94"/>
      <c r="AL388" s="94"/>
      <c r="AM388" s="94"/>
      <c r="AN388" s="94"/>
      <c r="AO388" s="94"/>
      <c r="AP388" s="94"/>
      <c r="AQ388" s="94"/>
      <c r="AR388" s="94"/>
      <c r="AS388" s="94"/>
      <c r="AT388" s="94"/>
      <c r="AU388" s="94"/>
      <c r="AV388" s="94"/>
      <c r="AW388" s="94"/>
      <c r="AX388" s="94"/>
      <c r="AY388" s="94"/>
      <c r="AZ388" s="94"/>
      <c r="BA388" s="95"/>
    </row>
    <row r="389" spans="1:53" s="87" customFormat="1">
      <c r="A389" s="90" t="str">
        <f t="shared" si="30"/>
        <v/>
      </c>
      <c r="B389" s="98">
        <v>20</v>
      </c>
      <c r="C389" s="94">
        <v>2</v>
      </c>
      <c r="D389" s="94" t="s">
        <v>210</v>
      </c>
      <c r="E389" s="94" t="s">
        <v>210</v>
      </c>
      <c r="F389" s="94">
        <v>-5</v>
      </c>
      <c r="G389" s="94">
        <v>-3</v>
      </c>
      <c r="H389" s="94" t="s">
        <v>210</v>
      </c>
      <c r="I389" s="94" t="s">
        <v>210</v>
      </c>
      <c r="J389" s="94">
        <v>4</v>
      </c>
      <c r="K389" s="94">
        <v>8</v>
      </c>
      <c r="L389" s="94" t="s">
        <v>210</v>
      </c>
      <c r="M389" s="94" t="s">
        <v>210</v>
      </c>
      <c r="N389" s="94">
        <v>7</v>
      </c>
      <c r="O389" s="94">
        <v>9</v>
      </c>
      <c r="P389" s="94" t="s">
        <v>210</v>
      </c>
      <c r="Q389" s="94" t="s">
        <v>210</v>
      </c>
      <c r="R389" s="94">
        <v>-6</v>
      </c>
      <c r="S389" s="94" t="s">
        <v>210</v>
      </c>
      <c r="T389" s="94">
        <v>3</v>
      </c>
      <c r="U389" s="94">
        <v>-5</v>
      </c>
      <c r="V389" s="94" t="s">
        <v>210</v>
      </c>
      <c r="W389" s="94" t="s">
        <v>210</v>
      </c>
      <c r="X389" s="94">
        <v>1</v>
      </c>
      <c r="Y389" s="94">
        <v>-2</v>
      </c>
      <c r="Z389" s="94" t="s">
        <v>210</v>
      </c>
      <c r="AA389" s="94" t="s">
        <v>210</v>
      </c>
      <c r="AB389" s="94">
        <v>6</v>
      </c>
      <c r="AC389" s="94">
        <v>-8</v>
      </c>
      <c r="AD389" s="94" t="s">
        <v>210</v>
      </c>
      <c r="AE389" s="94" t="s">
        <v>210</v>
      </c>
      <c r="AF389" s="94">
        <v>-4</v>
      </c>
      <c r="AG389" s="94">
        <v>-9</v>
      </c>
      <c r="AH389" s="94" t="s">
        <v>210</v>
      </c>
      <c r="AI389" s="94" t="s">
        <v>210</v>
      </c>
      <c r="AJ389" s="94">
        <v>5</v>
      </c>
      <c r="AK389" s="94"/>
      <c r="AL389" s="94"/>
      <c r="AM389" s="94"/>
      <c r="AN389" s="94"/>
      <c r="AO389" s="94"/>
      <c r="AP389" s="94"/>
      <c r="AQ389" s="94"/>
      <c r="AR389" s="94"/>
      <c r="AS389" s="94"/>
      <c r="AT389" s="94"/>
      <c r="AU389" s="94"/>
      <c r="AV389" s="94"/>
      <c r="AW389" s="94"/>
      <c r="AX389" s="94"/>
      <c r="AY389" s="94"/>
      <c r="AZ389" s="94"/>
      <c r="BA389" s="95"/>
    </row>
    <row r="390" spans="1:53" s="87" customFormat="1">
      <c r="A390" s="90" t="str">
        <f t="shared" si="30"/>
        <v/>
      </c>
      <c r="B390" s="98">
        <v>21</v>
      </c>
      <c r="C390" s="94">
        <v>-4</v>
      </c>
      <c r="D390" s="94" t="s">
        <v>210</v>
      </c>
      <c r="E390" s="94" t="s">
        <v>210</v>
      </c>
      <c r="F390" s="94">
        <v>8</v>
      </c>
      <c r="G390" s="94">
        <v>7</v>
      </c>
      <c r="H390" s="94" t="s">
        <v>210</v>
      </c>
      <c r="I390" s="94" t="s">
        <v>210</v>
      </c>
      <c r="J390" s="94">
        <v>-9</v>
      </c>
      <c r="K390" s="94">
        <v>6</v>
      </c>
      <c r="L390" s="94" t="s">
        <v>210</v>
      </c>
      <c r="M390" s="94" t="s">
        <v>210</v>
      </c>
      <c r="N390" s="94">
        <v>1</v>
      </c>
      <c r="O390" s="94">
        <v>-2</v>
      </c>
      <c r="P390" s="94" t="s">
        <v>210</v>
      </c>
      <c r="Q390" s="94" t="s">
        <v>210</v>
      </c>
      <c r="R390" s="94">
        <v>5</v>
      </c>
      <c r="S390" s="94" t="s">
        <v>210</v>
      </c>
      <c r="T390" s="94">
        <v>-7</v>
      </c>
      <c r="U390" s="94">
        <v>-3</v>
      </c>
      <c r="V390" s="94" t="s">
        <v>210</v>
      </c>
      <c r="W390" s="94" t="s">
        <v>210</v>
      </c>
      <c r="X390" s="94">
        <v>4</v>
      </c>
      <c r="Y390" s="94">
        <v>9</v>
      </c>
      <c r="Z390" s="94" t="s">
        <v>210</v>
      </c>
      <c r="AA390" s="94" t="s">
        <v>210</v>
      </c>
      <c r="AB390" s="94">
        <v>-6</v>
      </c>
      <c r="AC390" s="94">
        <v>-1</v>
      </c>
      <c r="AD390" s="94" t="s">
        <v>210</v>
      </c>
      <c r="AE390" s="94" t="s">
        <v>210</v>
      </c>
      <c r="AF390" s="94">
        <v>-5</v>
      </c>
      <c r="AG390" s="94">
        <v>-8</v>
      </c>
      <c r="AH390" s="94" t="s">
        <v>210</v>
      </c>
      <c r="AI390" s="94" t="s">
        <v>210</v>
      </c>
      <c r="AJ390" s="94">
        <v>4</v>
      </c>
      <c r="AK390" s="94"/>
      <c r="AL390" s="94"/>
      <c r="AM390" s="94"/>
      <c r="AN390" s="94"/>
      <c r="AO390" s="94"/>
      <c r="AP390" s="94"/>
      <c r="AQ390" s="94"/>
      <c r="AR390" s="94"/>
      <c r="AS390" s="94"/>
      <c r="AT390" s="94"/>
      <c r="AU390" s="94"/>
      <c r="AV390" s="94"/>
      <c r="AW390" s="94"/>
      <c r="AX390" s="94"/>
      <c r="AY390" s="94"/>
      <c r="AZ390" s="94"/>
      <c r="BA390" s="95"/>
    </row>
    <row r="391" spans="1:53" s="87" customFormat="1">
      <c r="A391" s="90" t="str">
        <f t="shared" si="30"/>
        <v/>
      </c>
      <c r="B391" s="98">
        <v>22</v>
      </c>
      <c r="C391" s="94">
        <v>5</v>
      </c>
      <c r="D391" s="94" t="s">
        <v>210</v>
      </c>
      <c r="E391" s="94" t="s">
        <v>210</v>
      </c>
      <c r="F391" s="94">
        <v>3</v>
      </c>
      <c r="G391" s="94">
        <v>4</v>
      </c>
      <c r="H391" s="94" t="s">
        <v>210</v>
      </c>
      <c r="I391" s="94" t="s">
        <v>210</v>
      </c>
      <c r="J391" s="94">
        <v>-8</v>
      </c>
      <c r="K391" s="94">
        <v>-7</v>
      </c>
      <c r="L391" s="94" t="s">
        <v>210</v>
      </c>
      <c r="M391" s="94" t="s">
        <v>210</v>
      </c>
      <c r="N391" s="94">
        <v>9</v>
      </c>
      <c r="O391" s="94">
        <v>6</v>
      </c>
      <c r="P391" s="94" t="s">
        <v>210</v>
      </c>
      <c r="Q391" s="94" t="s">
        <v>210</v>
      </c>
      <c r="R391" s="94">
        <v>-1</v>
      </c>
      <c r="S391" s="94" t="s">
        <v>210</v>
      </c>
      <c r="T391" s="94">
        <v>-3</v>
      </c>
      <c r="U391" s="94">
        <v>2</v>
      </c>
      <c r="V391" s="94" t="s">
        <v>210</v>
      </c>
      <c r="W391" s="94" t="s">
        <v>210</v>
      </c>
      <c r="X391" s="94">
        <v>-9</v>
      </c>
      <c r="Y391" s="94">
        <v>-6</v>
      </c>
      <c r="Z391" s="94" t="s">
        <v>210</v>
      </c>
      <c r="AA391" s="94" t="s">
        <v>210</v>
      </c>
      <c r="AB391" s="94">
        <v>7</v>
      </c>
      <c r="AC391" s="94">
        <v>-5</v>
      </c>
      <c r="AD391" s="94" t="s">
        <v>210</v>
      </c>
      <c r="AE391" s="94" t="s">
        <v>210</v>
      </c>
      <c r="AF391" s="94">
        <v>8</v>
      </c>
      <c r="AG391" s="94">
        <v>-3</v>
      </c>
      <c r="AH391" s="94" t="s">
        <v>210</v>
      </c>
      <c r="AI391" s="94" t="s">
        <v>210</v>
      </c>
      <c r="AJ391" s="94">
        <v>-4</v>
      </c>
      <c r="AK391" s="94"/>
      <c r="AL391" s="94"/>
      <c r="AM391" s="94"/>
      <c r="AN391" s="94"/>
      <c r="AO391" s="94"/>
      <c r="AP391" s="94"/>
      <c r="AQ391" s="94"/>
      <c r="AR391" s="94"/>
      <c r="AS391" s="94"/>
      <c r="AT391" s="94"/>
      <c r="AU391" s="94"/>
      <c r="AV391" s="94"/>
      <c r="AW391" s="94"/>
      <c r="AX391" s="94"/>
      <c r="AY391" s="94"/>
      <c r="AZ391" s="94"/>
      <c r="BA391" s="95"/>
    </row>
    <row r="392" spans="1:53" s="87" customFormat="1">
      <c r="A392" s="90" t="str">
        <f t="shared" si="30"/>
        <v/>
      </c>
      <c r="B392" s="98">
        <v>23</v>
      </c>
      <c r="C392" s="94">
        <v>-8</v>
      </c>
      <c r="D392" s="94" t="s">
        <v>210</v>
      </c>
      <c r="E392" s="94" t="s">
        <v>210</v>
      </c>
      <c r="F392" s="94">
        <v>-7</v>
      </c>
      <c r="G392" s="94">
        <v>9</v>
      </c>
      <c r="H392" s="94" t="s">
        <v>210</v>
      </c>
      <c r="I392" s="94" t="s">
        <v>210</v>
      </c>
      <c r="J392" s="94">
        <v>6</v>
      </c>
      <c r="K392" s="94">
        <v>-1</v>
      </c>
      <c r="L392" s="94" t="s">
        <v>210</v>
      </c>
      <c r="M392" s="94" t="s">
        <v>210</v>
      </c>
      <c r="N392" s="94">
        <v>-2</v>
      </c>
      <c r="O392" s="94">
        <v>-5</v>
      </c>
      <c r="P392" s="94" t="s">
        <v>210</v>
      </c>
      <c r="Q392" s="94" t="s">
        <v>210</v>
      </c>
      <c r="R392" s="94">
        <v>3</v>
      </c>
      <c r="S392" s="94" t="s">
        <v>210</v>
      </c>
      <c r="T392" s="94">
        <v>7</v>
      </c>
      <c r="U392" s="94">
        <v>-9</v>
      </c>
      <c r="V392" s="94" t="s">
        <v>210</v>
      </c>
      <c r="W392" s="94" t="s">
        <v>210</v>
      </c>
      <c r="X392" s="94">
        <v>8</v>
      </c>
      <c r="Y392" s="94">
        <v>2</v>
      </c>
      <c r="Z392" s="94" t="s">
        <v>210</v>
      </c>
      <c r="AA392" s="94" t="s">
        <v>210</v>
      </c>
      <c r="AB392" s="94">
        <v>1</v>
      </c>
      <c r="AC392" s="94">
        <v>5</v>
      </c>
      <c r="AD392" s="94" t="s">
        <v>210</v>
      </c>
      <c r="AE392" s="94" t="s">
        <v>210</v>
      </c>
      <c r="AF392" s="94">
        <v>-3</v>
      </c>
      <c r="AG392" s="94">
        <v>4</v>
      </c>
      <c r="AH392" s="94" t="s">
        <v>210</v>
      </c>
      <c r="AI392" s="94" t="s">
        <v>210</v>
      </c>
      <c r="AJ392" s="94">
        <v>-6</v>
      </c>
      <c r="AK392" s="94"/>
      <c r="AL392" s="94"/>
      <c r="AM392" s="94"/>
      <c r="AN392" s="94"/>
      <c r="AO392" s="94"/>
      <c r="AP392" s="94"/>
      <c r="AQ392" s="94"/>
      <c r="AR392" s="94"/>
      <c r="AS392" s="94"/>
      <c r="AT392" s="94"/>
      <c r="AU392" s="94"/>
      <c r="AV392" s="94"/>
      <c r="AW392" s="94"/>
      <c r="AX392" s="94"/>
      <c r="AY392" s="94"/>
      <c r="AZ392" s="94"/>
      <c r="BA392" s="95"/>
    </row>
    <row r="393" spans="1:53" s="87" customFormat="1">
      <c r="A393" s="90" t="str">
        <f t="shared" si="30"/>
        <v/>
      </c>
      <c r="B393" s="98">
        <v>24</v>
      </c>
      <c r="C393" s="94">
        <v>-3</v>
      </c>
      <c r="D393" s="94" t="s">
        <v>210</v>
      </c>
      <c r="E393" s="94" t="s">
        <v>210</v>
      </c>
      <c r="F393" s="94">
        <v>-4</v>
      </c>
      <c r="G393" s="94">
        <v>-8</v>
      </c>
      <c r="H393" s="94" t="s">
        <v>210</v>
      </c>
      <c r="I393" s="94" t="s">
        <v>210</v>
      </c>
      <c r="J393" s="94">
        <v>7</v>
      </c>
      <c r="K393" s="94">
        <v>-9</v>
      </c>
      <c r="L393" s="94" t="s">
        <v>210</v>
      </c>
      <c r="M393" s="94" t="s">
        <v>210</v>
      </c>
      <c r="N393" s="94">
        <v>-6</v>
      </c>
      <c r="O393" s="94">
        <v>1</v>
      </c>
      <c r="P393" s="94" t="s">
        <v>210</v>
      </c>
      <c r="Q393" s="94" t="s">
        <v>210</v>
      </c>
      <c r="R393" s="94">
        <v>2</v>
      </c>
      <c r="S393" s="94" t="s">
        <v>210</v>
      </c>
      <c r="T393" s="94">
        <v>9</v>
      </c>
      <c r="U393" s="94">
        <v>6</v>
      </c>
      <c r="V393" s="94" t="s">
        <v>210</v>
      </c>
      <c r="W393" s="94" t="s">
        <v>210</v>
      </c>
      <c r="X393" s="94">
        <v>-1</v>
      </c>
      <c r="Y393" s="94">
        <v>-7</v>
      </c>
      <c r="Z393" s="94" t="s">
        <v>210</v>
      </c>
      <c r="AA393" s="94" t="s">
        <v>210</v>
      </c>
      <c r="AB393" s="94">
        <v>-2</v>
      </c>
      <c r="AC393" s="94">
        <v>4</v>
      </c>
      <c r="AD393" s="94" t="s">
        <v>210</v>
      </c>
      <c r="AE393" s="94" t="s">
        <v>210</v>
      </c>
      <c r="AF393" s="94">
        <v>5</v>
      </c>
      <c r="AG393" s="94">
        <v>3</v>
      </c>
      <c r="AH393" s="94" t="s">
        <v>210</v>
      </c>
      <c r="AI393" s="94" t="s">
        <v>210</v>
      </c>
      <c r="AJ393" s="94">
        <v>6</v>
      </c>
      <c r="AK393" s="94"/>
      <c r="AL393" s="94"/>
      <c r="AM393" s="94"/>
      <c r="AN393" s="94"/>
      <c r="AO393" s="94"/>
      <c r="AP393" s="94"/>
      <c r="AQ393" s="94"/>
      <c r="AR393" s="94"/>
      <c r="AS393" s="94"/>
      <c r="AT393" s="94"/>
      <c r="AU393" s="94"/>
      <c r="AV393" s="94"/>
      <c r="AW393" s="94"/>
      <c r="AX393" s="94"/>
      <c r="AY393" s="94"/>
      <c r="AZ393" s="94"/>
      <c r="BA393" s="95"/>
    </row>
    <row r="394" spans="1:53" s="87" customFormat="1">
      <c r="A394" s="90" t="str">
        <f t="shared" si="30"/>
        <v/>
      </c>
      <c r="B394" s="98">
        <v>25</v>
      </c>
      <c r="C394" s="94">
        <v>6</v>
      </c>
      <c r="D394" s="94" t="s">
        <v>210</v>
      </c>
      <c r="E394" s="94" t="s">
        <v>210</v>
      </c>
      <c r="F394" s="94">
        <v>-1</v>
      </c>
      <c r="G394" s="94">
        <v>2</v>
      </c>
      <c r="H394" s="94" t="s">
        <v>210</v>
      </c>
      <c r="I394" s="94" t="s">
        <v>210</v>
      </c>
      <c r="J394" s="94">
        <v>5</v>
      </c>
      <c r="K394" s="94">
        <v>3</v>
      </c>
      <c r="L394" s="94" t="s">
        <v>210</v>
      </c>
      <c r="M394" s="94" t="s">
        <v>210</v>
      </c>
      <c r="N394" s="94">
        <v>-4</v>
      </c>
      <c r="O394" s="94">
        <v>8</v>
      </c>
      <c r="P394" s="94" t="s">
        <v>210</v>
      </c>
      <c r="Q394" s="94" t="s">
        <v>210</v>
      </c>
      <c r="R394" s="94">
        <v>-7</v>
      </c>
      <c r="S394" s="94" t="s">
        <v>210</v>
      </c>
      <c r="T394" s="94">
        <v>-6</v>
      </c>
      <c r="U394" s="94">
        <v>-2</v>
      </c>
      <c r="V394" s="94" t="s">
        <v>210</v>
      </c>
      <c r="W394" s="94" t="s">
        <v>210</v>
      </c>
      <c r="X394" s="94">
        <v>-8</v>
      </c>
      <c r="Y394" s="94">
        <v>7</v>
      </c>
      <c r="Z394" s="94" t="s">
        <v>210</v>
      </c>
      <c r="AA394" s="94" t="s">
        <v>210</v>
      </c>
      <c r="AB394" s="94">
        <v>-9</v>
      </c>
      <c r="AC394" s="94">
        <v>1</v>
      </c>
      <c r="AD394" s="94" t="s">
        <v>210</v>
      </c>
      <c r="AE394" s="94" t="s">
        <v>210</v>
      </c>
      <c r="AF394" s="94">
        <v>4</v>
      </c>
      <c r="AG394" s="94">
        <v>-5</v>
      </c>
      <c r="AH394" s="94" t="s">
        <v>210</v>
      </c>
      <c r="AI394" s="94" t="s">
        <v>210</v>
      </c>
      <c r="AJ394" s="94">
        <v>-3</v>
      </c>
      <c r="AK394" s="94"/>
      <c r="AL394" s="94"/>
      <c r="AM394" s="94"/>
      <c r="AN394" s="94"/>
      <c r="AO394" s="94"/>
      <c r="AP394" s="94"/>
      <c r="AQ394" s="94"/>
      <c r="AR394" s="94"/>
      <c r="AS394" s="94"/>
      <c r="AT394" s="94"/>
      <c r="AU394" s="94"/>
      <c r="AV394" s="94"/>
      <c r="AW394" s="94"/>
      <c r="AX394" s="94"/>
      <c r="AY394" s="94"/>
      <c r="AZ394" s="94"/>
      <c r="BA394" s="95"/>
    </row>
    <row r="395" spans="1:53" s="87" customFormat="1">
      <c r="A395" s="90" t="str">
        <f t="shared" si="30"/>
        <v/>
      </c>
      <c r="B395" s="98">
        <v>26</v>
      </c>
      <c r="C395" s="94">
        <v>1</v>
      </c>
      <c r="D395" s="94" t="s">
        <v>210</v>
      </c>
      <c r="E395" s="94" t="s">
        <v>210</v>
      </c>
      <c r="F395" s="94">
        <v>2</v>
      </c>
      <c r="G395" s="94">
        <v>-5</v>
      </c>
      <c r="H395" s="94" t="s">
        <v>210</v>
      </c>
      <c r="I395" s="94" t="s">
        <v>210</v>
      </c>
      <c r="J395" s="94">
        <v>-3</v>
      </c>
      <c r="K395" s="94">
        <v>4</v>
      </c>
      <c r="L395" s="94" t="s">
        <v>210</v>
      </c>
      <c r="M395" s="94" t="s">
        <v>210</v>
      </c>
      <c r="N395" s="94">
        <v>-8</v>
      </c>
      <c r="O395" s="94">
        <v>-7</v>
      </c>
      <c r="P395" s="94" t="s">
        <v>210</v>
      </c>
      <c r="Q395" s="94" t="s">
        <v>210</v>
      </c>
      <c r="R395" s="94">
        <v>9</v>
      </c>
      <c r="S395" s="94" t="s">
        <v>210</v>
      </c>
      <c r="T395" s="94">
        <v>-2</v>
      </c>
      <c r="U395" s="94">
        <v>5</v>
      </c>
      <c r="V395" s="94" t="s">
        <v>210</v>
      </c>
      <c r="W395" s="94" t="s">
        <v>210</v>
      </c>
      <c r="X395" s="94">
        <v>7</v>
      </c>
      <c r="Y395" s="94">
        <v>6</v>
      </c>
      <c r="Z395" s="94" t="s">
        <v>210</v>
      </c>
      <c r="AA395" s="94" t="s">
        <v>210</v>
      </c>
      <c r="AB395" s="94">
        <v>-1</v>
      </c>
      <c r="AC395" s="94">
        <v>-4</v>
      </c>
      <c r="AD395" s="94" t="s">
        <v>210</v>
      </c>
      <c r="AE395" s="94" t="s">
        <v>210</v>
      </c>
      <c r="AF395" s="94">
        <v>-9</v>
      </c>
      <c r="AG395" s="94">
        <v>8</v>
      </c>
      <c r="AH395" s="94" t="s">
        <v>210</v>
      </c>
      <c r="AI395" s="94" t="s">
        <v>210</v>
      </c>
      <c r="AJ395" s="94">
        <v>3</v>
      </c>
      <c r="AK395" s="94"/>
      <c r="AL395" s="94"/>
      <c r="AM395" s="94"/>
      <c r="AN395" s="94"/>
      <c r="AO395" s="94"/>
      <c r="AP395" s="94"/>
      <c r="AQ395" s="94"/>
      <c r="AR395" s="94"/>
      <c r="AS395" s="94"/>
      <c r="AT395" s="94"/>
      <c r="AU395" s="94"/>
      <c r="AV395" s="94"/>
      <c r="AW395" s="94"/>
      <c r="AX395" s="94"/>
      <c r="AY395" s="94"/>
      <c r="AZ395" s="94"/>
      <c r="BA395" s="95"/>
    </row>
    <row r="396" spans="1:53" s="87" customFormat="1">
      <c r="A396" s="90" t="str">
        <f t="shared" ref="A396:A459" si="31">IF(MID(B396,3,2)="09",ROW(),"")</f>
        <v/>
      </c>
      <c r="B396" s="98">
        <v>27</v>
      </c>
      <c r="C396" s="94">
        <v>7</v>
      </c>
      <c r="D396" s="94" t="s">
        <v>210</v>
      </c>
      <c r="E396" s="94" t="s">
        <v>210</v>
      </c>
      <c r="F396" s="94">
        <v>9</v>
      </c>
      <c r="G396" s="94">
        <v>6</v>
      </c>
      <c r="H396" s="94" t="s">
        <v>210</v>
      </c>
      <c r="I396" s="94" t="s">
        <v>210</v>
      </c>
      <c r="J396" s="94">
        <v>1</v>
      </c>
      <c r="K396" s="94">
        <v>-2</v>
      </c>
      <c r="L396" s="94" t="s">
        <v>210</v>
      </c>
      <c r="M396" s="94" t="s">
        <v>210</v>
      </c>
      <c r="N396" s="94">
        <v>-5</v>
      </c>
      <c r="O396" s="94">
        <v>-3</v>
      </c>
      <c r="P396" s="94" t="s">
        <v>210</v>
      </c>
      <c r="Q396" s="94" t="s">
        <v>210</v>
      </c>
      <c r="R396" s="94">
        <v>4</v>
      </c>
      <c r="S396" s="94" t="s">
        <v>210</v>
      </c>
      <c r="T396" s="94">
        <v>2</v>
      </c>
      <c r="U396" s="94">
        <v>-6</v>
      </c>
      <c r="V396" s="94" t="s">
        <v>210</v>
      </c>
      <c r="W396" s="94" t="s">
        <v>210</v>
      </c>
      <c r="X396" s="94">
        <v>-4</v>
      </c>
      <c r="Y396" s="94">
        <v>-1</v>
      </c>
      <c r="Z396" s="94" t="s">
        <v>210</v>
      </c>
      <c r="AA396" s="94" t="s">
        <v>210</v>
      </c>
      <c r="AB396" s="94">
        <v>-7</v>
      </c>
      <c r="AC396" s="94">
        <v>8</v>
      </c>
      <c r="AD396" s="94" t="s">
        <v>210</v>
      </c>
      <c r="AE396" s="94" t="s">
        <v>210</v>
      </c>
      <c r="AF396" s="94">
        <v>3</v>
      </c>
      <c r="AG396" s="94">
        <v>5</v>
      </c>
      <c r="AH396" s="94" t="s">
        <v>210</v>
      </c>
      <c r="AI396" s="94" t="s">
        <v>210</v>
      </c>
      <c r="AJ396" s="94">
        <v>-9</v>
      </c>
      <c r="AK396" s="94"/>
      <c r="AL396" s="94"/>
      <c r="AM396" s="94"/>
      <c r="AN396" s="94"/>
      <c r="AO396" s="94"/>
      <c r="AP396" s="94"/>
      <c r="AQ396" s="94"/>
      <c r="AR396" s="94"/>
      <c r="AS396" s="94"/>
      <c r="AT396" s="94"/>
      <c r="AU396" s="94"/>
      <c r="AV396" s="94"/>
      <c r="AW396" s="94"/>
      <c r="AX396" s="94"/>
      <c r="AY396" s="94"/>
      <c r="AZ396" s="94"/>
      <c r="BA396" s="95"/>
    </row>
    <row r="397" spans="1:53" s="87" customFormat="1">
      <c r="A397" s="90" t="str">
        <f t="shared" si="31"/>
        <v/>
      </c>
      <c r="B397" s="98">
        <v>28</v>
      </c>
      <c r="C397" s="94">
        <v>8</v>
      </c>
      <c r="D397" s="94" t="s">
        <v>210</v>
      </c>
      <c r="E397" s="94" t="s">
        <v>210</v>
      </c>
      <c r="F397" s="94">
        <v>4</v>
      </c>
      <c r="G397" s="94">
        <v>3</v>
      </c>
      <c r="H397" s="94" t="s">
        <v>210</v>
      </c>
      <c r="I397" s="94" t="s">
        <v>210</v>
      </c>
      <c r="J397" s="94">
        <v>-5</v>
      </c>
      <c r="K397" s="94">
        <v>2</v>
      </c>
      <c r="L397" s="94" t="s">
        <v>210</v>
      </c>
      <c r="M397" s="94" t="s">
        <v>210</v>
      </c>
      <c r="N397" s="94">
        <v>-1</v>
      </c>
      <c r="O397" s="94">
        <v>-6</v>
      </c>
      <c r="P397" s="94" t="s">
        <v>210</v>
      </c>
      <c r="Q397" s="94" t="s">
        <v>210</v>
      </c>
      <c r="R397" s="94">
        <v>-9</v>
      </c>
      <c r="S397" s="94" t="s">
        <v>210</v>
      </c>
      <c r="T397" s="94">
        <v>-8</v>
      </c>
      <c r="U397" s="94">
        <v>1</v>
      </c>
      <c r="V397" s="94" t="s">
        <v>210</v>
      </c>
      <c r="W397" s="94" t="s">
        <v>210</v>
      </c>
      <c r="X397" s="94">
        <v>5</v>
      </c>
      <c r="Y397" s="94">
        <v>-3</v>
      </c>
      <c r="Z397" s="94" t="s">
        <v>210</v>
      </c>
      <c r="AA397" s="94" t="s">
        <v>210</v>
      </c>
      <c r="AB397" s="94">
        <v>-4</v>
      </c>
      <c r="AC397" s="94">
        <v>9</v>
      </c>
      <c r="AD397" s="94" t="s">
        <v>210</v>
      </c>
      <c r="AE397" s="94" t="s">
        <v>210</v>
      </c>
      <c r="AF397" s="94">
        <v>6</v>
      </c>
      <c r="AG397" s="94">
        <v>-2</v>
      </c>
      <c r="AH397" s="94" t="s">
        <v>210</v>
      </c>
      <c r="AI397" s="94" t="s">
        <v>210</v>
      </c>
      <c r="AJ397" s="94">
        <v>7</v>
      </c>
      <c r="AK397" s="94"/>
      <c r="AL397" s="94"/>
      <c r="AM397" s="94"/>
      <c r="AN397" s="94"/>
      <c r="AO397" s="94"/>
      <c r="AP397" s="94"/>
      <c r="AQ397" s="94"/>
      <c r="AR397" s="94"/>
      <c r="AS397" s="94"/>
      <c r="AT397" s="94"/>
      <c r="AU397" s="94"/>
      <c r="AV397" s="94"/>
      <c r="AW397" s="94"/>
      <c r="AX397" s="94"/>
      <c r="AY397" s="94"/>
      <c r="AZ397" s="94"/>
      <c r="BA397" s="95"/>
    </row>
    <row r="398" spans="1:53" s="87" customFormat="1">
      <c r="A398" s="90" t="str">
        <f t="shared" si="31"/>
        <v/>
      </c>
      <c r="B398" s="98">
        <v>29</v>
      </c>
      <c r="C398" s="94">
        <v>-6</v>
      </c>
      <c r="D398" s="94" t="s">
        <v>210</v>
      </c>
      <c r="E398" s="94" t="s">
        <v>210</v>
      </c>
      <c r="F398" s="94">
        <v>-9</v>
      </c>
      <c r="G398" s="94">
        <v>-7</v>
      </c>
      <c r="H398" s="94" t="s">
        <v>210</v>
      </c>
      <c r="I398" s="94" t="s">
        <v>210</v>
      </c>
      <c r="J398" s="94">
        <v>8</v>
      </c>
      <c r="K398" s="94">
        <v>-4</v>
      </c>
      <c r="L398" s="94" t="s">
        <v>210</v>
      </c>
      <c r="M398" s="94" t="s">
        <v>210</v>
      </c>
      <c r="N398" s="94">
        <v>3</v>
      </c>
      <c r="O398" s="94">
        <v>5</v>
      </c>
      <c r="P398" s="94" t="s">
        <v>210</v>
      </c>
      <c r="Q398" s="94" t="s">
        <v>210</v>
      </c>
      <c r="R398" s="94">
        <v>-2</v>
      </c>
      <c r="S398" s="94" t="s">
        <v>210</v>
      </c>
      <c r="T398" s="94">
        <v>1</v>
      </c>
      <c r="U398" s="94">
        <v>7</v>
      </c>
      <c r="V398" s="94" t="s">
        <v>210</v>
      </c>
      <c r="W398" s="94" t="s">
        <v>210</v>
      </c>
      <c r="X398" s="94">
        <v>-3</v>
      </c>
      <c r="Y398" s="94">
        <v>4</v>
      </c>
      <c r="Z398" s="94" t="s">
        <v>210</v>
      </c>
      <c r="AA398" s="94" t="s">
        <v>210</v>
      </c>
      <c r="AB398" s="94">
        <v>-8</v>
      </c>
      <c r="AC398" s="94">
        <v>6</v>
      </c>
      <c r="AD398" s="94" t="s">
        <v>210</v>
      </c>
      <c r="AE398" s="94" t="s">
        <v>210</v>
      </c>
      <c r="AF398" s="94">
        <v>2</v>
      </c>
      <c r="AG398" s="94">
        <v>9</v>
      </c>
      <c r="AH398" s="94" t="s">
        <v>210</v>
      </c>
      <c r="AI398" s="94" t="s">
        <v>210</v>
      </c>
      <c r="AJ398" s="94">
        <v>-7</v>
      </c>
      <c r="AK398" s="94"/>
      <c r="AL398" s="94"/>
      <c r="AM398" s="94"/>
      <c r="AN398" s="94"/>
      <c r="AO398" s="94"/>
      <c r="AP398" s="94"/>
      <c r="AQ398" s="94"/>
      <c r="AR398" s="94"/>
      <c r="AS398" s="94"/>
      <c r="AT398" s="94"/>
      <c r="AU398" s="94"/>
      <c r="AV398" s="94"/>
      <c r="AW398" s="94"/>
      <c r="AX398" s="94"/>
      <c r="AY398" s="94"/>
      <c r="AZ398" s="94"/>
      <c r="BA398" s="95"/>
    </row>
    <row r="399" spans="1:53" s="87" customFormat="1">
      <c r="A399" s="90" t="str">
        <f t="shared" si="31"/>
        <v/>
      </c>
      <c r="B399" s="98">
        <v>30</v>
      </c>
      <c r="C399" s="94">
        <v>-5</v>
      </c>
      <c r="D399" s="94" t="s">
        <v>210</v>
      </c>
      <c r="E399" s="94" t="s">
        <v>210</v>
      </c>
      <c r="F399" s="94">
        <v>-2</v>
      </c>
      <c r="G399" s="94">
        <v>1</v>
      </c>
      <c r="H399" s="94" t="s">
        <v>210</v>
      </c>
      <c r="I399" s="94" t="s">
        <v>210</v>
      </c>
      <c r="J399" s="94">
        <v>-6</v>
      </c>
      <c r="K399" s="94">
        <v>9</v>
      </c>
      <c r="L399" s="94" t="s">
        <v>210</v>
      </c>
      <c r="M399" s="94" t="s">
        <v>210</v>
      </c>
      <c r="N399" s="94">
        <v>-7</v>
      </c>
      <c r="O399" s="94">
        <v>-8</v>
      </c>
      <c r="P399" s="94" t="s">
        <v>210</v>
      </c>
      <c r="Q399" s="94" t="s">
        <v>210</v>
      </c>
      <c r="R399" s="94">
        <v>-4</v>
      </c>
      <c r="S399" s="94" t="s">
        <v>210</v>
      </c>
      <c r="T399" s="94">
        <v>5</v>
      </c>
      <c r="U399" s="94">
        <v>-1</v>
      </c>
      <c r="V399" s="94" t="s">
        <v>210</v>
      </c>
      <c r="W399" s="94" t="s">
        <v>210</v>
      </c>
      <c r="X399" s="94">
        <v>2</v>
      </c>
      <c r="Y399" s="94">
        <v>-9</v>
      </c>
      <c r="Z399" s="94" t="s">
        <v>210</v>
      </c>
      <c r="AA399" s="94" t="s">
        <v>210</v>
      </c>
      <c r="AB399" s="94">
        <v>8</v>
      </c>
      <c r="AC399" s="94">
        <v>3</v>
      </c>
      <c r="AD399" s="94" t="s">
        <v>210</v>
      </c>
      <c r="AE399" s="94" t="s">
        <v>210</v>
      </c>
      <c r="AF399" s="94">
        <v>7</v>
      </c>
      <c r="AG399" s="94">
        <v>6</v>
      </c>
      <c r="AH399" s="94" t="s">
        <v>210</v>
      </c>
      <c r="AI399" s="94" t="s">
        <v>210</v>
      </c>
      <c r="AJ399" s="94">
        <v>-2</v>
      </c>
      <c r="AK399" s="94"/>
      <c r="AL399" s="94"/>
      <c r="AM399" s="94"/>
      <c r="AN399" s="94"/>
      <c r="AO399" s="94"/>
      <c r="AP399" s="94"/>
      <c r="AQ399" s="94"/>
      <c r="AR399" s="94"/>
      <c r="AS399" s="94"/>
      <c r="AT399" s="94"/>
      <c r="AU399" s="94"/>
      <c r="AV399" s="94"/>
      <c r="AW399" s="94"/>
      <c r="AX399" s="94"/>
      <c r="AY399" s="94"/>
      <c r="AZ399" s="94"/>
      <c r="BA399" s="95"/>
    </row>
    <row r="400" spans="1:53" s="87" customFormat="1">
      <c r="A400" s="90" t="str">
        <f t="shared" si="31"/>
        <v/>
      </c>
      <c r="B400" s="98">
        <v>31</v>
      </c>
      <c r="C400" s="94">
        <v>-1</v>
      </c>
      <c r="D400" s="94" t="s">
        <v>210</v>
      </c>
      <c r="E400" s="94" t="s">
        <v>210</v>
      </c>
      <c r="F400" s="94">
        <v>6</v>
      </c>
      <c r="G400" s="94">
        <v>-9</v>
      </c>
      <c r="H400" s="94" t="s">
        <v>210</v>
      </c>
      <c r="I400" s="94" t="s">
        <v>210</v>
      </c>
      <c r="J400" s="94">
        <v>-7</v>
      </c>
      <c r="K400" s="94">
        <v>-8</v>
      </c>
      <c r="L400" s="94" t="s">
        <v>210</v>
      </c>
      <c r="M400" s="94" t="s">
        <v>210</v>
      </c>
      <c r="N400" s="94">
        <v>4</v>
      </c>
      <c r="O400" s="94">
        <v>3</v>
      </c>
      <c r="P400" s="94" t="s">
        <v>210</v>
      </c>
      <c r="Q400" s="94" t="s">
        <v>210</v>
      </c>
      <c r="R400" s="94">
        <v>-5</v>
      </c>
      <c r="S400" s="94" t="s">
        <v>210</v>
      </c>
      <c r="T400" s="94">
        <v>-1</v>
      </c>
      <c r="U400" s="94">
        <v>-4</v>
      </c>
      <c r="V400" s="94" t="s">
        <v>210</v>
      </c>
      <c r="W400" s="94" t="s">
        <v>210</v>
      </c>
      <c r="X400" s="94">
        <v>9</v>
      </c>
      <c r="Y400" s="94">
        <v>8</v>
      </c>
      <c r="Z400" s="94" t="s">
        <v>210</v>
      </c>
      <c r="AA400" s="94" t="s">
        <v>210</v>
      </c>
      <c r="AB400" s="94">
        <v>5</v>
      </c>
      <c r="AC400" s="94">
        <v>7</v>
      </c>
      <c r="AD400" s="94" t="s">
        <v>210</v>
      </c>
      <c r="AE400" s="94" t="s">
        <v>210</v>
      </c>
      <c r="AF400" s="94">
        <v>-6</v>
      </c>
      <c r="AG400" s="94">
        <v>1</v>
      </c>
      <c r="AH400" s="94" t="s">
        <v>210</v>
      </c>
      <c r="AI400" s="94" t="s">
        <v>210</v>
      </c>
      <c r="AJ400" s="94">
        <v>2</v>
      </c>
      <c r="AK400" s="94"/>
      <c r="AL400" s="94"/>
      <c r="AM400" s="94"/>
      <c r="AN400" s="94"/>
      <c r="AO400" s="94"/>
      <c r="AP400" s="94"/>
      <c r="AQ400" s="94"/>
      <c r="AR400" s="94"/>
      <c r="AS400" s="94"/>
      <c r="AT400" s="94"/>
      <c r="AU400" s="94"/>
      <c r="AV400" s="94"/>
      <c r="AW400" s="94"/>
      <c r="AX400" s="94"/>
      <c r="AY400" s="94"/>
      <c r="AZ400" s="94"/>
      <c r="BA400" s="95"/>
    </row>
    <row r="401" spans="1:53" s="87" customFormat="1">
      <c r="A401" s="90" t="str">
        <f t="shared" si="31"/>
        <v/>
      </c>
      <c r="B401" s="98">
        <v>32</v>
      </c>
      <c r="C401" s="94">
        <v>3</v>
      </c>
      <c r="D401" s="94" t="s">
        <v>210</v>
      </c>
      <c r="E401" s="94" t="s">
        <v>210</v>
      </c>
      <c r="F401" s="94">
        <v>5</v>
      </c>
      <c r="G401" s="94">
        <v>-2</v>
      </c>
      <c r="H401" s="94" t="s">
        <v>210</v>
      </c>
      <c r="I401" s="94" t="s">
        <v>210</v>
      </c>
      <c r="J401" s="94">
        <v>-1</v>
      </c>
      <c r="K401" s="94">
        <v>-6</v>
      </c>
      <c r="L401" s="94" t="s">
        <v>210</v>
      </c>
      <c r="M401" s="94" t="s">
        <v>210</v>
      </c>
      <c r="N401" s="94">
        <v>-9</v>
      </c>
      <c r="O401" s="94">
        <v>7</v>
      </c>
      <c r="P401" s="94" t="s">
        <v>210</v>
      </c>
      <c r="Q401" s="94" t="s">
        <v>210</v>
      </c>
      <c r="R401" s="94">
        <v>-8</v>
      </c>
      <c r="S401" s="94" t="s">
        <v>210</v>
      </c>
      <c r="T401" s="94">
        <v>-5</v>
      </c>
      <c r="U401" s="94">
        <v>9</v>
      </c>
      <c r="V401" s="94" t="s">
        <v>210</v>
      </c>
      <c r="W401" s="94" t="s">
        <v>210</v>
      </c>
      <c r="X401" s="94">
        <v>6</v>
      </c>
      <c r="Y401" s="94">
        <v>-4</v>
      </c>
      <c r="Z401" s="94" t="s">
        <v>210</v>
      </c>
      <c r="AA401" s="94" t="s">
        <v>210</v>
      </c>
      <c r="AB401" s="94">
        <v>-3</v>
      </c>
      <c r="AC401" s="94">
        <v>-7</v>
      </c>
      <c r="AD401" s="94" t="s">
        <v>210</v>
      </c>
      <c r="AE401" s="94" t="s">
        <v>210</v>
      </c>
      <c r="AF401" s="94">
        <v>1</v>
      </c>
      <c r="AG401" s="94">
        <v>2</v>
      </c>
      <c r="AH401" s="94" t="s">
        <v>210</v>
      </c>
      <c r="AI401" s="94" t="s">
        <v>210</v>
      </c>
      <c r="AJ401" s="94">
        <v>8</v>
      </c>
      <c r="AK401" s="94"/>
      <c r="AL401" s="94"/>
      <c r="AM401" s="94"/>
      <c r="AN401" s="94"/>
      <c r="AO401" s="94"/>
      <c r="AP401" s="94"/>
      <c r="AQ401" s="94"/>
      <c r="AR401" s="94"/>
      <c r="AS401" s="94"/>
      <c r="AT401" s="94"/>
      <c r="AU401" s="94"/>
      <c r="AV401" s="94"/>
      <c r="AW401" s="94"/>
      <c r="AX401" s="94"/>
      <c r="AY401" s="94"/>
      <c r="AZ401" s="94"/>
      <c r="BA401" s="95"/>
    </row>
    <row r="402" spans="1:53" s="87" customFormat="1">
      <c r="A402" s="90" t="str">
        <f t="shared" si="31"/>
        <v/>
      </c>
      <c r="B402" s="98">
        <v>33</v>
      </c>
      <c r="C402" s="94">
        <v>-2</v>
      </c>
      <c r="D402" s="94" t="s">
        <v>210</v>
      </c>
      <c r="E402" s="94" t="s">
        <v>210</v>
      </c>
      <c r="F402" s="94">
        <v>1</v>
      </c>
      <c r="G402" s="94">
        <v>-6</v>
      </c>
      <c r="H402" s="94" t="s">
        <v>210</v>
      </c>
      <c r="I402" s="94" t="s">
        <v>210</v>
      </c>
      <c r="J402" s="94">
        <v>9</v>
      </c>
      <c r="K402" s="94">
        <v>7</v>
      </c>
      <c r="L402" s="94" t="s">
        <v>210</v>
      </c>
      <c r="M402" s="94" t="s">
        <v>210</v>
      </c>
      <c r="N402" s="94">
        <v>8</v>
      </c>
      <c r="O402" s="94">
        <v>-4</v>
      </c>
      <c r="P402" s="94" t="s">
        <v>210</v>
      </c>
      <c r="Q402" s="94" t="s">
        <v>210</v>
      </c>
      <c r="R402" s="94">
        <v>-3</v>
      </c>
      <c r="S402" s="94" t="s">
        <v>210</v>
      </c>
      <c r="T402" s="94">
        <v>-9</v>
      </c>
      <c r="U402" s="94">
        <v>8</v>
      </c>
      <c r="V402" s="94" t="s">
        <v>210</v>
      </c>
      <c r="W402" s="94" t="s">
        <v>210</v>
      </c>
      <c r="X402" s="94">
        <v>3</v>
      </c>
      <c r="Y402" s="94">
        <v>-5</v>
      </c>
      <c r="Z402" s="94" t="s">
        <v>210</v>
      </c>
      <c r="AA402" s="94" t="s">
        <v>210</v>
      </c>
      <c r="AB402" s="94">
        <v>4</v>
      </c>
      <c r="AC402" s="94">
        <v>2</v>
      </c>
      <c r="AD402" s="94" t="s">
        <v>210</v>
      </c>
      <c r="AE402" s="94" t="s">
        <v>210</v>
      </c>
      <c r="AF402" s="94">
        <v>-7</v>
      </c>
      <c r="AG402" s="94">
        <v>-1</v>
      </c>
      <c r="AH402" s="94" t="s">
        <v>210</v>
      </c>
      <c r="AI402" s="94" t="s">
        <v>210</v>
      </c>
      <c r="AJ402" s="94">
        <v>-8</v>
      </c>
      <c r="AK402" s="94"/>
      <c r="AL402" s="94"/>
      <c r="AM402" s="94"/>
      <c r="AN402" s="94"/>
      <c r="AO402" s="94"/>
      <c r="AP402" s="94"/>
      <c r="AQ402" s="94"/>
      <c r="AR402" s="94"/>
      <c r="AS402" s="94"/>
      <c r="AT402" s="94"/>
      <c r="AU402" s="94"/>
      <c r="AV402" s="94"/>
      <c r="AW402" s="94"/>
      <c r="AX402" s="94"/>
      <c r="AY402" s="94"/>
      <c r="AZ402" s="94"/>
      <c r="BA402" s="95"/>
    </row>
    <row r="403" spans="1:53" s="87" customFormat="1">
      <c r="A403" s="90" t="str">
        <f t="shared" si="31"/>
        <v/>
      </c>
      <c r="B403" s="98">
        <v>34</v>
      </c>
      <c r="C403" s="94">
        <v>-7</v>
      </c>
      <c r="D403" s="94" t="s">
        <v>210</v>
      </c>
      <c r="E403" s="94" t="s">
        <v>210</v>
      </c>
      <c r="F403" s="94">
        <v>-8</v>
      </c>
      <c r="G403" s="94">
        <v>-4</v>
      </c>
      <c r="H403" s="94" t="s">
        <v>210</v>
      </c>
      <c r="I403" s="94" t="s">
        <v>210</v>
      </c>
      <c r="J403" s="94">
        <v>3</v>
      </c>
      <c r="K403" s="94">
        <v>-5</v>
      </c>
      <c r="L403" s="94" t="s">
        <v>210</v>
      </c>
      <c r="M403" s="94" t="s">
        <v>210</v>
      </c>
      <c r="N403" s="94">
        <v>2</v>
      </c>
      <c r="O403" s="94">
        <v>-1</v>
      </c>
      <c r="P403" s="94" t="s">
        <v>210</v>
      </c>
      <c r="Q403" s="94" t="s">
        <v>210</v>
      </c>
      <c r="R403" s="94">
        <v>6</v>
      </c>
      <c r="S403" s="94" t="s">
        <v>210</v>
      </c>
      <c r="T403" s="94">
        <v>8</v>
      </c>
      <c r="U403" s="94">
        <v>4</v>
      </c>
      <c r="V403" s="94" t="s">
        <v>210</v>
      </c>
      <c r="W403" s="94" t="s">
        <v>210</v>
      </c>
      <c r="X403" s="94">
        <v>-6</v>
      </c>
      <c r="Y403" s="94">
        <v>5</v>
      </c>
      <c r="Z403" s="94" t="s">
        <v>210</v>
      </c>
      <c r="AA403" s="94" t="s">
        <v>210</v>
      </c>
      <c r="AB403" s="94">
        <v>9</v>
      </c>
      <c r="AC403" s="94">
        <v>-3</v>
      </c>
      <c r="AD403" s="94" t="s">
        <v>210</v>
      </c>
      <c r="AE403" s="94" t="s">
        <v>210</v>
      </c>
      <c r="AF403" s="94">
        <v>-2</v>
      </c>
      <c r="AG403" s="94">
        <v>7</v>
      </c>
      <c r="AH403" s="94" t="s">
        <v>210</v>
      </c>
      <c r="AI403" s="94" t="s">
        <v>210</v>
      </c>
      <c r="AJ403" s="94">
        <v>1</v>
      </c>
      <c r="AK403" s="94"/>
      <c r="AL403" s="94"/>
      <c r="AM403" s="94"/>
      <c r="AN403" s="94"/>
      <c r="AO403" s="94"/>
      <c r="AP403" s="94"/>
      <c r="AQ403" s="94"/>
      <c r="AR403" s="94"/>
      <c r="AS403" s="94"/>
      <c r="AT403" s="94"/>
      <c r="AU403" s="94"/>
      <c r="AV403" s="94"/>
      <c r="AW403" s="94"/>
      <c r="AX403" s="94"/>
      <c r="AY403" s="94"/>
      <c r="AZ403" s="94"/>
      <c r="BA403" s="95"/>
    </row>
    <row r="404" spans="1:53" s="87" customFormat="1">
      <c r="A404" s="90" t="str">
        <f t="shared" si="31"/>
        <v/>
      </c>
      <c r="B404" s="98">
        <v>35</v>
      </c>
      <c r="C404" s="94">
        <v>-9</v>
      </c>
      <c r="D404" s="94" t="s">
        <v>210</v>
      </c>
      <c r="E404" s="94" t="s">
        <v>210</v>
      </c>
      <c r="F404" s="94">
        <v>7</v>
      </c>
      <c r="G404" s="94">
        <v>8</v>
      </c>
      <c r="H404" s="94" t="s">
        <v>210</v>
      </c>
      <c r="I404" s="94" t="s">
        <v>210</v>
      </c>
      <c r="J404" s="94">
        <v>-4</v>
      </c>
      <c r="K404" s="94">
        <v>-3</v>
      </c>
      <c r="L404" s="94" t="s">
        <v>210</v>
      </c>
      <c r="M404" s="94" t="s">
        <v>210</v>
      </c>
      <c r="N404" s="94">
        <v>5</v>
      </c>
      <c r="O404" s="94">
        <v>2</v>
      </c>
      <c r="P404" s="94" t="s">
        <v>210</v>
      </c>
      <c r="Q404" s="94" t="s">
        <v>210</v>
      </c>
      <c r="R404" s="94">
        <v>1</v>
      </c>
      <c r="S404" s="94" t="s">
        <v>210</v>
      </c>
      <c r="T404" s="94">
        <v>4</v>
      </c>
      <c r="U404" s="94">
        <v>-7</v>
      </c>
      <c r="V404" s="94" t="s">
        <v>210</v>
      </c>
      <c r="W404" s="94" t="s">
        <v>210</v>
      </c>
      <c r="X404" s="94">
        <v>-5</v>
      </c>
      <c r="Y404" s="94">
        <v>-8</v>
      </c>
      <c r="Z404" s="94" t="s">
        <v>210</v>
      </c>
      <c r="AA404" s="94" t="s">
        <v>210</v>
      </c>
      <c r="AB404" s="94">
        <v>3</v>
      </c>
      <c r="AC404" s="94">
        <v>-2</v>
      </c>
      <c r="AD404" s="94" t="s">
        <v>210</v>
      </c>
      <c r="AE404" s="94" t="s">
        <v>210</v>
      </c>
      <c r="AF404" s="94">
        <v>9</v>
      </c>
      <c r="AG404" s="94">
        <v>-6</v>
      </c>
      <c r="AH404" s="94" t="s">
        <v>210</v>
      </c>
      <c r="AI404" s="94" t="s">
        <v>210</v>
      </c>
      <c r="AJ404" s="94">
        <v>-1</v>
      </c>
      <c r="AK404" s="94"/>
      <c r="AL404" s="94"/>
      <c r="AM404" s="94"/>
      <c r="AN404" s="94"/>
      <c r="AO404" s="94"/>
      <c r="AP404" s="94"/>
      <c r="AQ404" s="94"/>
      <c r="AR404" s="94"/>
      <c r="AS404" s="94"/>
      <c r="AT404" s="94"/>
      <c r="AU404" s="94"/>
      <c r="AV404" s="94"/>
      <c r="AW404" s="94"/>
      <c r="AX404" s="94"/>
      <c r="AY404" s="94"/>
      <c r="AZ404" s="94"/>
      <c r="BA404" s="95"/>
    </row>
    <row r="405" spans="1:53" s="87" customFormat="1">
      <c r="A405" s="90" t="str">
        <f t="shared" si="31"/>
        <v/>
      </c>
      <c r="B405" s="98">
        <v>36</v>
      </c>
      <c r="C405" s="94">
        <v>4</v>
      </c>
      <c r="D405" s="94" t="s">
        <v>210</v>
      </c>
      <c r="E405" s="94" t="s">
        <v>210</v>
      </c>
      <c r="F405" s="94">
        <v>-3</v>
      </c>
      <c r="G405" s="94">
        <v>5</v>
      </c>
      <c r="H405" s="94" t="s">
        <v>210</v>
      </c>
      <c r="I405" s="94" t="s">
        <v>210</v>
      </c>
      <c r="J405" s="94">
        <v>2</v>
      </c>
      <c r="K405" s="94">
        <v>1</v>
      </c>
      <c r="L405" s="94" t="s">
        <v>210</v>
      </c>
      <c r="M405" s="94" t="s">
        <v>210</v>
      </c>
      <c r="N405" s="94">
        <v>6</v>
      </c>
      <c r="O405" s="94">
        <v>-9</v>
      </c>
      <c r="P405" s="94" t="s">
        <v>210</v>
      </c>
      <c r="Q405" s="94" t="s">
        <v>210</v>
      </c>
      <c r="R405" s="94">
        <v>7</v>
      </c>
      <c r="S405" s="94" t="s">
        <v>210</v>
      </c>
      <c r="T405" s="94">
        <v>-4</v>
      </c>
      <c r="U405" s="94">
        <v>-8</v>
      </c>
      <c r="V405" s="94" t="s">
        <v>210</v>
      </c>
      <c r="W405" s="94" t="s">
        <v>210</v>
      </c>
      <c r="X405" s="94">
        <v>-2</v>
      </c>
      <c r="Y405" s="94">
        <v>3</v>
      </c>
      <c r="Z405" s="94" t="s">
        <v>210</v>
      </c>
      <c r="AA405" s="94" t="s">
        <v>210</v>
      </c>
      <c r="AB405" s="94">
        <v>-5</v>
      </c>
      <c r="AC405" s="94">
        <v>-6</v>
      </c>
      <c r="AD405" s="94" t="s">
        <v>210</v>
      </c>
      <c r="AE405" s="94" t="s">
        <v>210</v>
      </c>
      <c r="AF405" s="94">
        <v>-1</v>
      </c>
      <c r="AG405" s="94">
        <v>-7</v>
      </c>
      <c r="AH405" s="94" t="s">
        <v>210</v>
      </c>
      <c r="AI405" s="94" t="s">
        <v>210</v>
      </c>
      <c r="AJ405" s="94">
        <v>9</v>
      </c>
      <c r="AK405" s="94"/>
      <c r="AL405" s="94"/>
      <c r="AM405" s="94"/>
      <c r="AN405" s="94"/>
      <c r="AO405" s="94"/>
      <c r="AP405" s="94"/>
      <c r="AQ405" s="94"/>
      <c r="AR405" s="94"/>
      <c r="AS405" s="94"/>
      <c r="AT405" s="94"/>
      <c r="AU405" s="94"/>
      <c r="AV405" s="94"/>
      <c r="AW405" s="94"/>
      <c r="AX405" s="94"/>
      <c r="AY405" s="94"/>
      <c r="AZ405" s="94"/>
      <c r="BA405" s="95"/>
    </row>
    <row r="406" spans="1:53" s="87" customFormat="1">
      <c r="A406" s="90" t="str">
        <f t="shared" si="31"/>
        <v/>
      </c>
      <c r="B406" s="98" t="s">
        <v>520</v>
      </c>
      <c r="C406" s="94"/>
      <c r="D406" s="94"/>
      <c r="E406" s="94"/>
      <c r="F406" s="94"/>
      <c r="G406" s="94"/>
      <c r="H406" s="94"/>
      <c r="I406" s="94"/>
      <c r="J406" s="94"/>
      <c r="K406" s="94"/>
      <c r="L406" s="94"/>
      <c r="M406" s="94"/>
      <c r="N406" s="94"/>
      <c r="O406" s="94"/>
      <c r="P406" s="94"/>
      <c r="Q406" s="94"/>
      <c r="R406" s="94"/>
      <c r="S406" s="94"/>
      <c r="T406" s="94"/>
      <c r="U406" s="94"/>
      <c r="V406" s="94"/>
      <c r="W406" s="94"/>
      <c r="X406" s="94"/>
      <c r="Y406" s="94"/>
      <c r="Z406" s="94"/>
      <c r="AA406" s="94"/>
      <c r="AB406" s="94"/>
      <c r="AC406" s="94"/>
      <c r="AD406" s="94"/>
      <c r="AE406" s="94"/>
      <c r="AF406" s="94"/>
      <c r="AG406" s="94"/>
      <c r="AH406" s="94"/>
      <c r="AI406" s="94"/>
      <c r="AJ406" s="94"/>
      <c r="AK406" s="94"/>
      <c r="AL406" s="94"/>
      <c r="AM406" s="94"/>
      <c r="AN406" s="94"/>
      <c r="AO406" s="94"/>
      <c r="AP406" s="94"/>
      <c r="AQ406" s="94"/>
      <c r="AR406" s="94"/>
      <c r="AS406" s="94"/>
      <c r="AT406" s="94"/>
      <c r="AU406" s="94"/>
      <c r="AV406" s="94"/>
      <c r="AW406" s="94"/>
      <c r="AX406" s="94"/>
      <c r="AY406" s="94"/>
      <c r="AZ406" s="94"/>
      <c r="BA406" s="95"/>
    </row>
    <row r="407" spans="1:53" s="87" customFormat="1">
      <c r="A407" s="90">
        <f t="shared" si="31"/>
        <v>407</v>
      </c>
      <c r="B407" s="98" t="s">
        <v>521</v>
      </c>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5"/>
    </row>
    <row r="408" spans="1:53" s="87" customFormat="1">
      <c r="A408" s="90" t="str">
        <f t="shared" si="31"/>
        <v/>
      </c>
      <c r="B408" s="98">
        <v>1</v>
      </c>
      <c r="C408" s="94">
        <v>-1</v>
      </c>
      <c r="D408" s="94" t="s">
        <v>210</v>
      </c>
      <c r="E408" s="94" t="s">
        <v>210</v>
      </c>
      <c r="F408" s="94">
        <v>-8</v>
      </c>
      <c r="G408" s="94">
        <v>3</v>
      </c>
      <c r="H408" s="94" t="s">
        <v>210</v>
      </c>
      <c r="I408" s="94" t="s">
        <v>210</v>
      </c>
      <c r="J408" s="94">
        <v>-9</v>
      </c>
      <c r="K408" s="94">
        <v>-7</v>
      </c>
      <c r="L408" s="94" t="s">
        <v>210</v>
      </c>
      <c r="M408" s="94" t="s">
        <v>210</v>
      </c>
      <c r="N408" s="94">
        <v>8</v>
      </c>
      <c r="O408" s="94">
        <v>-3</v>
      </c>
      <c r="P408" s="94" t="s">
        <v>210</v>
      </c>
      <c r="Q408" s="94" t="s">
        <v>210</v>
      </c>
      <c r="R408" s="94">
        <v>-2</v>
      </c>
      <c r="S408" s="94">
        <v>4</v>
      </c>
      <c r="T408" s="94" t="s">
        <v>210</v>
      </c>
      <c r="U408" s="94" t="s">
        <v>210</v>
      </c>
      <c r="V408" s="94">
        <v>6</v>
      </c>
      <c r="W408" s="94">
        <v>5</v>
      </c>
      <c r="X408" s="94" t="s">
        <v>210</v>
      </c>
      <c r="Y408" s="94"/>
      <c r="Z408" s="94"/>
      <c r="AA408" s="94"/>
      <c r="AB408" s="94"/>
      <c r="AC408" s="94"/>
      <c r="AD408" s="94"/>
      <c r="AE408" s="94"/>
      <c r="AF408" s="94"/>
      <c r="AG408" s="94"/>
      <c r="AH408" s="94"/>
      <c r="AI408" s="94"/>
      <c r="AJ408" s="94"/>
      <c r="AK408" s="94"/>
      <c r="AL408" s="94"/>
      <c r="AM408" s="94"/>
      <c r="AN408" s="94"/>
      <c r="AO408" s="94"/>
      <c r="AP408" s="94"/>
      <c r="AQ408" s="94"/>
      <c r="AR408" s="94"/>
      <c r="AS408" s="94"/>
      <c r="AT408" s="94"/>
      <c r="AU408" s="94"/>
      <c r="AV408" s="94"/>
      <c r="AW408" s="94"/>
      <c r="AX408" s="94"/>
      <c r="AY408" s="94"/>
      <c r="AZ408" s="94"/>
      <c r="BA408" s="95"/>
    </row>
    <row r="409" spans="1:53" s="87" customFormat="1">
      <c r="A409" s="90" t="str">
        <f t="shared" si="31"/>
        <v/>
      </c>
      <c r="B409" s="98">
        <v>2</v>
      </c>
      <c r="C409" s="94">
        <v>8</v>
      </c>
      <c r="D409" s="94" t="s">
        <v>210</v>
      </c>
      <c r="E409" s="94" t="s">
        <v>210</v>
      </c>
      <c r="F409" s="94">
        <v>6</v>
      </c>
      <c r="G409" s="94">
        <v>-1</v>
      </c>
      <c r="H409" s="94" t="s">
        <v>210</v>
      </c>
      <c r="I409" s="94" t="s">
        <v>210</v>
      </c>
      <c r="J409" s="94">
        <v>-2</v>
      </c>
      <c r="K409" s="94">
        <v>-9</v>
      </c>
      <c r="L409" s="94" t="s">
        <v>210</v>
      </c>
      <c r="M409" s="94" t="s">
        <v>210</v>
      </c>
      <c r="N409" s="94">
        <v>4</v>
      </c>
      <c r="O409" s="94">
        <v>7</v>
      </c>
      <c r="P409" s="94" t="s">
        <v>210</v>
      </c>
      <c r="Q409" s="94" t="s">
        <v>210</v>
      </c>
      <c r="R409" s="94">
        <v>3</v>
      </c>
      <c r="S409" s="94">
        <v>-6</v>
      </c>
      <c r="T409" s="94" t="s">
        <v>210</v>
      </c>
      <c r="U409" s="94" t="s">
        <v>210</v>
      </c>
      <c r="V409" s="94">
        <v>-8</v>
      </c>
      <c r="W409" s="94">
        <v>-5</v>
      </c>
      <c r="X409" s="94" t="s">
        <v>210</v>
      </c>
      <c r="Y409" s="94"/>
      <c r="Z409" s="94"/>
      <c r="AA409" s="94"/>
      <c r="AB409" s="94"/>
      <c r="AC409" s="94"/>
      <c r="AD409" s="94"/>
      <c r="AE409" s="94"/>
      <c r="AF409" s="94"/>
      <c r="AG409" s="94"/>
      <c r="AH409" s="94"/>
      <c r="AI409" s="94"/>
      <c r="AJ409" s="94"/>
      <c r="AK409" s="94"/>
      <c r="AL409" s="94"/>
      <c r="AM409" s="94"/>
      <c r="AN409" s="94"/>
      <c r="AO409" s="94"/>
      <c r="AP409" s="94"/>
      <c r="AQ409" s="94"/>
      <c r="AR409" s="94"/>
      <c r="AS409" s="94"/>
      <c r="AT409" s="94"/>
      <c r="AU409" s="94"/>
      <c r="AV409" s="94"/>
      <c r="AW409" s="94"/>
      <c r="AX409" s="94"/>
      <c r="AY409" s="94"/>
      <c r="AZ409" s="94"/>
      <c r="BA409" s="95"/>
    </row>
    <row r="410" spans="1:53" s="87" customFormat="1">
      <c r="A410" s="90" t="str">
        <f t="shared" si="31"/>
        <v/>
      </c>
      <c r="B410" s="98">
        <v>3</v>
      </c>
      <c r="C410" s="94">
        <v>6</v>
      </c>
      <c r="D410" s="94" t="s">
        <v>210</v>
      </c>
      <c r="E410" s="94" t="s">
        <v>210</v>
      </c>
      <c r="F410" s="94">
        <v>-5</v>
      </c>
      <c r="G410" s="94">
        <v>-9</v>
      </c>
      <c r="H410" s="94" t="s">
        <v>210</v>
      </c>
      <c r="I410" s="94" t="s">
        <v>210</v>
      </c>
      <c r="J410" s="94">
        <v>2</v>
      </c>
      <c r="K410" s="94">
        <v>-1</v>
      </c>
      <c r="L410" s="94" t="s">
        <v>210</v>
      </c>
      <c r="M410" s="94" t="s">
        <v>210</v>
      </c>
      <c r="N410" s="94">
        <v>-8</v>
      </c>
      <c r="O410" s="94">
        <v>5</v>
      </c>
      <c r="P410" s="94" t="s">
        <v>210</v>
      </c>
      <c r="Q410" s="94" t="s">
        <v>210</v>
      </c>
      <c r="R410" s="94">
        <v>-7</v>
      </c>
      <c r="S410" s="94">
        <v>3</v>
      </c>
      <c r="T410" s="94" t="s">
        <v>210</v>
      </c>
      <c r="U410" s="94" t="s">
        <v>210</v>
      </c>
      <c r="V410" s="94">
        <v>4</v>
      </c>
      <c r="W410" s="94">
        <v>-6</v>
      </c>
      <c r="X410" s="94" t="s">
        <v>210</v>
      </c>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5"/>
    </row>
    <row r="411" spans="1:53" s="87" customFormat="1">
      <c r="A411" s="90" t="str">
        <f t="shared" si="31"/>
        <v/>
      </c>
      <c r="B411" s="98">
        <v>4</v>
      </c>
      <c r="C411" s="94">
        <v>1</v>
      </c>
      <c r="D411" s="94" t="s">
        <v>210</v>
      </c>
      <c r="E411" s="94" t="s">
        <v>210</v>
      </c>
      <c r="F411" s="94">
        <v>3</v>
      </c>
      <c r="G411" s="94">
        <v>-2</v>
      </c>
      <c r="H411" s="94" t="s">
        <v>210</v>
      </c>
      <c r="I411" s="94" t="s">
        <v>210</v>
      </c>
      <c r="J411" s="94">
        <v>8</v>
      </c>
      <c r="K411" s="94">
        <v>-5</v>
      </c>
      <c r="L411" s="94" t="s">
        <v>210</v>
      </c>
      <c r="M411" s="94" t="s">
        <v>210</v>
      </c>
      <c r="N411" s="94">
        <v>9</v>
      </c>
      <c r="O411" s="94">
        <v>-4</v>
      </c>
      <c r="P411" s="94" t="s">
        <v>210</v>
      </c>
      <c r="Q411" s="94" t="s">
        <v>210</v>
      </c>
      <c r="R411" s="94">
        <v>-3</v>
      </c>
      <c r="S411" s="94">
        <v>-7</v>
      </c>
      <c r="T411" s="94" t="s">
        <v>210</v>
      </c>
      <c r="U411" s="94" t="s">
        <v>210</v>
      </c>
      <c r="V411" s="94">
        <v>2</v>
      </c>
      <c r="W411" s="94">
        <v>6</v>
      </c>
      <c r="X411" s="94" t="s">
        <v>210</v>
      </c>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AZ411" s="94"/>
      <c r="BA411" s="95"/>
    </row>
    <row r="412" spans="1:53" s="87" customFormat="1">
      <c r="A412" s="90" t="str">
        <f t="shared" si="31"/>
        <v/>
      </c>
      <c r="B412" s="98">
        <v>5</v>
      </c>
      <c r="C412" s="94">
        <v>-2</v>
      </c>
      <c r="D412" s="94" t="s">
        <v>210</v>
      </c>
      <c r="E412" s="94" t="s">
        <v>210</v>
      </c>
      <c r="F412" s="94">
        <v>-4</v>
      </c>
      <c r="G412" s="94">
        <v>-3</v>
      </c>
      <c r="H412" s="94" t="s">
        <v>210</v>
      </c>
      <c r="I412" s="94" t="s">
        <v>210</v>
      </c>
      <c r="J412" s="94">
        <v>1</v>
      </c>
      <c r="K412" s="94">
        <v>2</v>
      </c>
      <c r="L412" s="94" t="s">
        <v>210</v>
      </c>
      <c r="M412" s="94" t="s">
        <v>210</v>
      </c>
      <c r="N412" s="94">
        <v>-9</v>
      </c>
      <c r="O412" s="94">
        <v>-6</v>
      </c>
      <c r="P412" s="94" t="s">
        <v>210</v>
      </c>
      <c r="Q412" s="94" t="s">
        <v>210</v>
      </c>
      <c r="R412" s="94">
        <v>7</v>
      </c>
      <c r="S412" s="94">
        <v>-5</v>
      </c>
      <c r="T412" s="94" t="s">
        <v>210</v>
      </c>
      <c r="U412" s="94" t="s">
        <v>210</v>
      </c>
      <c r="V412" s="94">
        <v>8</v>
      </c>
      <c r="W412" s="94">
        <v>4</v>
      </c>
      <c r="X412" s="94" t="s">
        <v>210</v>
      </c>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5"/>
    </row>
    <row r="413" spans="1:53" s="87" customFormat="1">
      <c r="A413" s="90" t="str">
        <f t="shared" si="31"/>
        <v/>
      </c>
      <c r="B413" s="98">
        <v>6</v>
      </c>
      <c r="C413" s="94">
        <v>-9</v>
      </c>
      <c r="D413" s="94" t="s">
        <v>210</v>
      </c>
      <c r="E413" s="94" t="s">
        <v>210</v>
      </c>
      <c r="F413" s="94">
        <v>5</v>
      </c>
      <c r="G413" s="94">
        <v>1</v>
      </c>
      <c r="H413" s="94" t="s">
        <v>210</v>
      </c>
      <c r="I413" s="94" t="s">
        <v>210</v>
      </c>
      <c r="J413" s="94">
        <v>4</v>
      </c>
      <c r="K413" s="94">
        <v>-3</v>
      </c>
      <c r="L413" s="94" t="s">
        <v>210</v>
      </c>
      <c r="M413" s="94" t="s">
        <v>210</v>
      </c>
      <c r="N413" s="94">
        <v>2</v>
      </c>
      <c r="O413" s="94">
        <v>8</v>
      </c>
      <c r="P413" s="94" t="s">
        <v>210</v>
      </c>
      <c r="Q413" s="94" t="s">
        <v>210</v>
      </c>
      <c r="R413" s="94">
        <v>-1</v>
      </c>
      <c r="S413" s="94">
        <v>7</v>
      </c>
      <c r="T413" s="94" t="s">
        <v>210</v>
      </c>
      <c r="U413" s="94" t="s">
        <v>210</v>
      </c>
      <c r="V413" s="94">
        <v>-6</v>
      </c>
      <c r="W413" s="94">
        <v>-4</v>
      </c>
      <c r="X413" s="94" t="s">
        <v>210</v>
      </c>
      <c r="Y413" s="94"/>
      <c r="Z413" s="94"/>
      <c r="AA413" s="94"/>
      <c r="AB413" s="94"/>
      <c r="AC413" s="94"/>
      <c r="AD413" s="94"/>
      <c r="AE413" s="94"/>
      <c r="AF413" s="94"/>
      <c r="AG413" s="94"/>
      <c r="AH413" s="94"/>
      <c r="AI413" s="94"/>
      <c r="AJ413" s="94"/>
      <c r="AK413" s="94"/>
      <c r="AL413" s="94"/>
      <c r="AM413" s="94"/>
      <c r="AN413" s="94"/>
      <c r="AO413" s="94"/>
      <c r="AP413" s="94"/>
      <c r="AQ413" s="94"/>
      <c r="AR413" s="94"/>
      <c r="AS413" s="94"/>
      <c r="AT413" s="94"/>
      <c r="AU413" s="94"/>
      <c r="AV413" s="94"/>
      <c r="AW413" s="94"/>
      <c r="AX413" s="94"/>
      <c r="AY413" s="94"/>
      <c r="AZ413" s="94"/>
      <c r="BA413" s="95"/>
    </row>
    <row r="414" spans="1:53" s="87" customFormat="1">
      <c r="A414" s="90" t="str">
        <f t="shared" si="31"/>
        <v/>
      </c>
      <c r="B414" s="98">
        <v>7</v>
      </c>
      <c r="C414" s="94">
        <v>4</v>
      </c>
      <c r="D414" s="94" t="s">
        <v>210</v>
      </c>
      <c r="E414" s="94" t="s">
        <v>210</v>
      </c>
      <c r="F414" s="94">
        <v>-3</v>
      </c>
      <c r="G414" s="94">
        <v>-7</v>
      </c>
      <c r="H414" s="94" t="s">
        <v>210</v>
      </c>
      <c r="I414" s="94" t="s">
        <v>210</v>
      </c>
      <c r="J414" s="94">
        <v>9</v>
      </c>
      <c r="K414" s="94">
        <v>-2</v>
      </c>
      <c r="L414" s="94" t="s">
        <v>210</v>
      </c>
      <c r="M414" s="94" t="s">
        <v>210</v>
      </c>
      <c r="N414" s="94">
        <v>1</v>
      </c>
      <c r="O414" s="94">
        <v>-8</v>
      </c>
      <c r="P414" s="94" t="s">
        <v>210</v>
      </c>
      <c r="Q414" s="94" t="s">
        <v>210</v>
      </c>
      <c r="R414" s="94">
        <v>5</v>
      </c>
      <c r="S414" s="94">
        <v>6</v>
      </c>
      <c r="T414" s="94" t="s">
        <v>210</v>
      </c>
      <c r="U414" s="94" t="s">
        <v>210</v>
      </c>
      <c r="V414" s="94">
        <v>-4</v>
      </c>
      <c r="W414" s="94">
        <v>7</v>
      </c>
      <c r="X414" s="94" t="s">
        <v>210</v>
      </c>
      <c r="Y414" s="94"/>
      <c r="Z414" s="94"/>
      <c r="AA414" s="94"/>
      <c r="AB414" s="94"/>
      <c r="AC414" s="94"/>
      <c r="AD414" s="94"/>
      <c r="AE414" s="94"/>
      <c r="AF414" s="94"/>
      <c r="AG414" s="94"/>
      <c r="AH414" s="94"/>
      <c r="AI414" s="94"/>
      <c r="AJ414" s="94"/>
      <c r="AK414" s="94"/>
      <c r="AL414" s="94"/>
      <c r="AM414" s="94"/>
      <c r="AN414" s="94"/>
      <c r="AO414" s="94"/>
      <c r="AP414" s="94"/>
      <c r="AQ414" s="94"/>
      <c r="AR414" s="94"/>
      <c r="AS414" s="94"/>
      <c r="AT414" s="94"/>
      <c r="AU414" s="94"/>
      <c r="AV414" s="94"/>
      <c r="AW414" s="94"/>
      <c r="AX414" s="94"/>
      <c r="AY414" s="94"/>
      <c r="AZ414" s="94"/>
      <c r="BA414" s="95"/>
    </row>
    <row r="415" spans="1:53" s="87" customFormat="1">
      <c r="A415" s="90" t="str">
        <f t="shared" si="31"/>
        <v/>
      </c>
      <c r="B415" s="98">
        <v>8</v>
      </c>
      <c r="C415" s="94">
        <v>9</v>
      </c>
      <c r="D415" s="94" t="s">
        <v>210</v>
      </c>
      <c r="E415" s="94" t="s">
        <v>210</v>
      </c>
      <c r="F415" s="94">
        <v>4</v>
      </c>
      <c r="G415" s="94">
        <v>-5</v>
      </c>
      <c r="H415" s="94" t="s">
        <v>210</v>
      </c>
      <c r="I415" s="94" t="s">
        <v>210</v>
      </c>
      <c r="J415" s="94">
        <v>6</v>
      </c>
      <c r="K415" s="94">
        <v>1</v>
      </c>
      <c r="L415" s="94" t="s">
        <v>210</v>
      </c>
      <c r="M415" s="94" t="s">
        <v>210</v>
      </c>
      <c r="N415" s="94">
        <v>-4</v>
      </c>
      <c r="O415" s="94">
        <v>3</v>
      </c>
      <c r="P415" s="94" t="s">
        <v>210</v>
      </c>
      <c r="Q415" s="94" t="s">
        <v>210</v>
      </c>
      <c r="R415" s="94">
        <v>-9</v>
      </c>
      <c r="S415" s="94">
        <v>8</v>
      </c>
      <c r="T415" s="94" t="s">
        <v>210</v>
      </c>
      <c r="U415" s="94" t="s">
        <v>210</v>
      </c>
      <c r="V415" s="94">
        <v>-2</v>
      </c>
      <c r="W415" s="94">
        <v>-7</v>
      </c>
      <c r="X415" s="94" t="s">
        <v>210</v>
      </c>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5"/>
    </row>
    <row r="416" spans="1:53" s="87" customFormat="1">
      <c r="A416" s="90" t="str">
        <f t="shared" si="31"/>
        <v/>
      </c>
      <c r="B416" s="98">
        <v>9</v>
      </c>
      <c r="C416" s="94">
        <v>-6</v>
      </c>
      <c r="D416" s="94" t="s">
        <v>210</v>
      </c>
      <c r="E416" s="94" t="s">
        <v>210</v>
      </c>
      <c r="F416" s="94">
        <v>7</v>
      </c>
      <c r="G416" s="94">
        <v>5</v>
      </c>
      <c r="H416" s="94" t="s">
        <v>210</v>
      </c>
      <c r="I416" s="94" t="s">
        <v>210</v>
      </c>
      <c r="J416" s="94">
        <v>-8</v>
      </c>
      <c r="K416" s="94">
        <v>9</v>
      </c>
      <c r="L416" s="94" t="s">
        <v>210</v>
      </c>
      <c r="M416" s="94" t="s">
        <v>210</v>
      </c>
      <c r="N416" s="94">
        <v>-2</v>
      </c>
      <c r="O416" s="94">
        <v>6</v>
      </c>
      <c r="P416" s="94" t="s">
        <v>210</v>
      </c>
      <c r="Q416" s="94" t="s">
        <v>210</v>
      </c>
      <c r="R416" s="94">
        <v>-5</v>
      </c>
      <c r="S416" s="94">
        <v>-4</v>
      </c>
      <c r="T416" s="94" t="s">
        <v>210</v>
      </c>
      <c r="U416" s="94" t="s">
        <v>210</v>
      </c>
      <c r="V416" s="94">
        <v>1</v>
      </c>
      <c r="W416" s="94">
        <v>3</v>
      </c>
      <c r="X416" s="94" t="s">
        <v>210</v>
      </c>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5"/>
    </row>
    <row r="417" spans="1:53" s="87" customFormat="1">
      <c r="A417" s="90" t="str">
        <f t="shared" si="31"/>
        <v/>
      </c>
      <c r="B417" s="98">
        <v>10</v>
      </c>
      <c r="C417" s="94">
        <v>-4</v>
      </c>
      <c r="D417" s="94" t="s">
        <v>210</v>
      </c>
      <c r="E417" s="94" t="s">
        <v>210</v>
      </c>
      <c r="F417" s="94">
        <v>-6</v>
      </c>
      <c r="G417" s="94">
        <v>2</v>
      </c>
      <c r="H417" s="94" t="s">
        <v>210</v>
      </c>
      <c r="I417" s="94" t="s">
        <v>210</v>
      </c>
      <c r="J417" s="94">
        <v>-1</v>
      </c>
      <c r="K417" s="94">
        <v>7</v>
      </c>
      <c r="L417" s="94" t="s">
        <v>210</v>
      </c>
      <c r="M417" s="94" t="s">
        <v>210</v>
      </c>
      <c r="N417" s="94">
        <v>6</v>
      </c>
      <c r="O417" s="94">
        <v>-5</v>
      </c>
      <c r="P417" s="94" t="s">
        <v>210</v>
      </c>
      <c r="Q417" s="94" t="s">
        <v>210</v>
      </c>
      <c r="R417" s="94">
        <v>1</v>
      </c>
      <c r="S417" s="94">
        <v>-8</v>
      </c>
      <c r="T417" s="94" t="s">
        <v>210</v>
      </c>
      <c r="U417" s="94" t="s">
        <v>210</v>
      </c>
      <c r="V417" s="94">
        <v>9</v>
      </c>
      <c r="W417" s="94">
        <v>-3</v>
      </c>
      <c r="X417" s="94" t="s">
        <v>210</v>
      </c>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5"/>
    </row>
    <row r="418" spans="1:53" s="87" customFormat="1">
      <c r="A418" s="90" t="str">
        <f t="shared" si="31"/>
        <v/>
      </c>
      <c r="B418" s="98">
        <v>11</v>
      </c>
      <c r="C418" s="94">
        <v>2</v>
      </c>
      <c r="D418" s="94" t="s">
        <v>210</v>
      </c>
      <c r="E418" s="94" t="s">
        <v>210</v>
      </c>
      <c r="F418" s="94">
        <v>8</v>
      </c>
      <c r="G418" s="94">
        <v>7</v>
      </c>
      <c r="H418" s="94" t="s">
        <v>210</v>
      </c>
      <c r="I418" s="94" t="s">
        <v>210</v>
      </c>
      <c r="J418" s="94">
        <v>-4</v>
      </c>
      <c r="K418" s="94">
        <v>5</v>
      </c>
      <c r="L418" s="94" t="s">
        <v>210</v>
      </c>
      <c r="M418" s="94" t="s">
        <v>210</v>
      </c>
      <c r="N418" s="94">
        <v>-6</v>
      </c>
      <c r="O418" s="94">
        <v>-7</v>
      </c>
      <c r="P418" s="94" t="s">
        <v>210</v>
      </c>
      <c r="Q418" s="94" t="s">
        <v>210</v>
      </c>
      <c r="R418" s="94">
        <v>9</v>
      </c>
      <c r="S418" s="94">
        <v>-3</v>
      </c>
      <c r="T418" s="94" t="s">
        <v>210</v>
      </c>
      <c r="U418" s="94" t="s">
        <v>210</v>
      </c>
      <c r="V418" s="94">
        <v>-1</v>
      </c>
      <c r="W418" s="94">
        <v>-8</v>
      </c>
      <c r="X418" s="94" t="s">
        <v>210</v>
      </c>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5"/>
    </row>
    <row r="419" spans="1:53" s="87" customFormat="1">
      <c r="A419" s="90" t="str">
        <f t="shared" si="31"/>
        <v/>
      </c>
      <c r="B419" s="99">
        <v>12</v>
      </c>
      <c r="C419" s="92">
        <v>-8</v>
      </c>
      <c r="D419" s="92" t="s">
        <v>210</v>
      </c>
      <c r="E419" s="92" t="s">
        <v>210</v>
      </c>
      <c r="F419" s="92">
        <v>-7</v>
      </c>
      <c r="G419" s="92">
        <v>9</v>
      </c>
      <c r="H419" s="92" t="s">
        <v>210</v>
      </c>
      <c r="I419" s="92" t="s">
        <v>210</v>
      </c>
      <c r="J419" s="92">
        <v>-6</v>
      </c>
      <c r="K419" s="92">
        <v>3</v>
      </c>
      <c r="L419" s="92" t="s">
        <v>210</v>
      </c>
      <c r="M419" s="92" t="s">
        <v>210</v>
      </c>
      <c r="N419" s="92">
        <v>-1</v>
      </c>
      <c r="O419" s="92">
        <v>4</v>
      </c>
      <c r="P419" s="92" t="s">
        <v>210</v>
      </c>
      <c r="Q419" s="92" t="s">
        <v>210</v>
      </c>
      <c r="R419" s="92">
        <v>2</v>
      </c>
      <c r="S419" s="92">
        <v>5</v>
      </c>
      <c r="T419" s="92" t="s">
        <v>210</v>
      </c>
      <c r="U419" s="92" t="s">
        <v>210</v>
      </c>
      <c r="V419" s="92">
        <v>-9</v>
      </c>
      <c r="W419" s="92">
        <v>8</v>
      </c>
      <c r="X419" s="92" t="s">
        <v>210</v>
      </c>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5"/>
    </row>
    <row r="420" spans="1:53" s="87" customFormat="1">
      <c r="A420" s="90" t="str">
        <f t="shared" si="31"/>
        <v/>
      </c>
      <c r="B420" s="98">
        <v>13</v>
      </c>
      <c r="C420" s="94" t="s">
        <v>210</v>
      </c>
      <c r="D420" s="94">
        <v>-1</v>
      </c>
      <c r="E420" s="94">
        <v>-8</v>
      </c>
      <c r="F420" s="94" t="s">
        <v>210</v>
      </c>
      <c r="G420" s="94" t="s">
        <v>210</v>
      </c>
      <c r="H420" s="94">
        <v>3</v>
      </c>
      <c r="I420" s="94">
        <v>-9</v>
      </c>
      <c r="J420" s="94" t="s">
        <v>210</v>
      </c>
      <c r="K420" s="94" t="s">
        <v>210</v>
      </c>
      <c r="L420" s="94">
        <v>-7</v>
      </c>
      <c r="M420" s="94">
        <v>8</v>
      </c>
      <c r="N420" s="94" t="s">
        <v>210</v>
      </c>
      <c r="O420" s="94" t="s">
        <v>210</v>
      </c>
      <c r="P420" s="94">
        <v>-3</v>
      </c>
      <c r="Q420" s="94">
        <v>-2</v>
      </c>
      <c r="R420" s="94" t="s">
        <v>210</v>
      </c>
      <c r="S420" s="94" t="s">
        <v>210</v>
      </c>
      <c r="T420" s="94">
        <v>4</v>
      </c>
      <c r="U420" s="94">
        <v>6</v>
      </c>
      <c r="V420" s="94" t="s">
        <v>210</v>
      </c>
      <c r="W420" s="94" t="s">
        <v>210</v>
      </c>
      <c r="X420" s="94">
        <v>5</v>
      </c>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5"/>
    </row>
    <row r="421" spans="1:53" s="87" customFormat="1">
      <c r="A421" s="90" t="str">
        <f t="shared" si="31"/>
        <v/>
      </c>
      <c r="B421" s="98">
        <v>14</v>
      </c>
      <c r="C421" s="94" t="s">
        <v>210</v>
      </c>
      <c r="D421" s="94">
        <v>8</v>
      </c>
      <c r="E421" s="94">
        <v>6</v>
      </c>
      <c r="F421" s="94" t="s">
        <v>210</v>
      </c>
      <c r="G421" s="94" t="s">
        <v>210</v>
      </c>
      <c r="H421" s="94">
        <v>-1</v>
      </c>
      <c r="I421" s="94">
        <v>-2</v>
      </c>
      <c r="J421" s="94" t="s">
        <v>210</v>
      </c>
      <c r="K421" s="94" t="s">
        <v>210</v>
      </c>
      <c r="L421" s="94">
        <v>-9</v>
      </c>
      <c r="M421" s="94">
        <v>4</v>
      </c>
      <c r="N421" s="94" t="s">
        <v>210</v>
      </c>
      <c r="O421" s="94" t="s">
        <v>210</v>
      </c>
      <c r="P421" s="94">
        <v>7</v>
      </c>
      <c r="Q421" s="94">
        <v>3</v>
      </c>
      <c r="R421" s="94" t="s">
        <v>210</v>
      </c>
      <c r="S421" s="94" t="s">
        <v>210</v>
      </c>
      <c r="T421" s="94">
        <v>-6</v>
      </c>
      <c r="U421" s="94">
        <v>-8</v>
      </c>
      <c r="V421" s="94" t="s">
        <v>210</v>
      </c>
      <c r="W421" s="94" t="s">
        <v>210</v>
      </c>
      <c r="X421" s="94">
        <v>-5</v>
      </c>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5"/>
    </row>
    <row r="422" spans="1:53" s="87" customFormat="1">
      <c r="A422" s="90" t="str">
        <f t="shared" si="31"/>
        <v/>
      </c>
      <c r="B422" s="98">
        <v>15</v>
      </c>
      <c r="C422" s="94" t="s">
        <v>210</v>
      </c>
      <c r="D422" s="94">
        <v>6</v>
      </c>
      <c r="E422" s="94">
        <v>-5</v>
      </c>
      <c r="F422" s="94" t="s">
        <v>210</v>
      </c>
      <c r="G422" s="94" t="s">
        <v>210</v>
      </c>
      <c r="H422" s="94">
        <v>-9</v>
      </c>
      <c r="I422" s="94">
        <v>2</v>
      </c>
      <c r="J422" s="94" t="s">
        <v>210</v>
      </c>
      <c r="K422" s="94" t="s">
        <v>210</v>
      </c>
      <c r="L422" s="94">
        <v>-1</v>
      </c>
      <c r="M422" s="94">
        <v>-8</v>
      </c>
      <c r="N422" s="94" t="s">
        <v>210</v>
      </c>
      <c r="O422" s="94" t="s">
        <v>210</v>
      </c>
      <c r="P422" s="94">
        <v>5</v>
      </c>
      <c r="Q422" s="94">
        <v>-7</v>
      </c>
      <c r="R422" s="94" t="s">
        <v>210</v>
      </c>
      <c r="S422" s="94" t="s">
        <v>210</v>
      </c>
      <c r="T422" s="94">
        <v>3</v>
      </c>
      <c r="U422" s="94">
        <v>4</v>
      </c>
      <c r="V422" s="94" t="s">
        <v>210</v>
      </c>
      <c r="W422" s="94" t="s">
        <v>210</v>
      </c>
      <c r="X422" s="94">
        <v>-6</v>
      </c>
      <c r="Y422" s="94"/>
      <c r="Z422" s="94"/>
      <c r="AA422" s="94"/>
      <c r="AB422" s="94"/>
      <c r="AC422" s="94"/>
      <c r="AD422" s="94"/>
      <c r="AE422" s="94"/>
      <c r="AF422" s="94"/>
      <c r="AG422" s="94"/>
      <c r="AH422" s="94"/>
      <c r="AI422" s="94"/>
      <c r="AJ422" s="94"/>
      <c r="AK422" s="94"/>
      <c r="AL422" s="94"/>
      <c r="AM422" s="94"/>
      <c r="AN422" s="94"/>
      <c r="AO422" s="94"/>
      <c r="AP422" s="94"/>
      <c r="AQ422" s="94"/>
      <c r="AR422" s="94"/>
      <c r="AS422" s="94"/>
      <c r="AT422" s="94"/>
      <c r="AU422" s="94"/>
      <c r="AV422" s="94"/>
      <c r="AW422" s="94"/>
      <c r="AX422" s="94"/>
      <c r="AY422" s="94"/>
      <c r="AZ422" s="94"/>
      <c r="BA422" s="95"/>
    </row>
    <row r="423" spans="1:53" s="87" customFormat="1">
      <c r="A423" s="90" t="str">
        <f t="shared" si="31"/>
        <v/>
      </c>
      <c r="B423" s="98">
        <v>16</v>
      </c>
      <c r="C423" s="94" t="s">
        <v>210</v>
      </c>
      <c r="D423" s="94">
        <v>1</v>
      </c>
      <c r="E423" s="94">
        <v>3</v>
      </c>
      <c r="F423" s="94" t="s">
        <v>210</v>
      </c>
      <c r="G423" s="94" t="s">
        <v>210</v>
      </c>
      <c r="H423" s="94">
        <v>-2</v>
      </c>
      <c r="I423" s="94">
        <v>8</v>
      </c>
      <c r="J423" s="94" t="s">
        <v>210</v>
      </c>
      <c r="K423" s="94" t="s">
        <v>210</v>
      </c>
      <c r="L423" s="94">
        <v>-5</v>
      </c>
      <c r="M423" s="94">
        <v>9</v>
      </c>
      <c r="N423" s="94" t="s">
        <v>210</v>
      </c>
      <c r="O423" s="94" t="s">
        <v>210</v>
      </c>
      <c r="P423" s="94">
        <v>-4</v>
      </c>
      <c r="Q423" s="94">
        <v>-3</v>
      </c>
      <c r="R423" s="94" t="s">
        <v>210</v>
      </c>
      <c r="S423" s="94" t="s">
        <v>210</v>
      </c>
      <c r="T423" s="94">
        <v>-7</v>
      </c>
      <c r="U423" s="94">
        <v>2</v>
      </c>
      <c r="V423" s="94" t="s">
        <v>210</v>
      </c>
      <c r="W423" s="94" t="s">
        <v>210</v>
      </c>
      <c r="X423" s="94">
        <v>6</v>
      </c>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5"/>
    </row>
    <row r="424" spans="1:53" s="87" customFormat="1">
      <c r="A424" s="90" t="str">
        <f t="shared" si="31"/>
        <v/>
      </c>
      <c r="B424" s="98">
        <v>17</v>
      </c>
      <c r="C424" s="94" t="s">
        <v>210</v>
      </c>
      <c r="D424" s="94">
        <v>-2</v>
      </c>
      <c r="E424" s="94">
        <v>-4</v>
      </c>
      <c r="F424" s="94" t="s">
        <v>210</v>
      </c>
      <c r="G424" s="94" t="s">
        <v>210</v>
      </c>
      <c r="H424" s="94">
        <v>-3</v>
      </c>
      <c r="I424" s="94">
        <v>1</v>
      </c>
      <c r="J424" s="94" t="s">
        <v>210</v>
      </c>
      <c r="K424" s="94" t="s">
        <v>210</v>
      </c>
      <c r="L424" s="94">
        <v>2</v>
      </c>
      <c r="M424" s="94">
        <v>-9</v>
      </c>
      <c r="N424" s="94" t="s">
        <v>210</v>
      </c>
      <c r="O424" s="94" t="s">
        <v>210</v>
      </c>
      <c r="P424" s="94">
        <v>-6</v>
      </c>
      <c r="Q424" s="94">
        <v>7</v>
      </c>
      <c r="R424" s="94" t="s">
        <v>210</v>
      </c>
      <c r="S424" s="94" t="s">
        <v>210</v>
      </c>
      <c r="T424" s="94">
        <v>-5</v>
      </c>
      <c r="U424" s="94">
        <v>8</v>
      </c>
      <c r="V424" s="94" t="s">
        <v>210</v>
      </c>
      <c r="W424" s="94" t="s">
        <v>210</v>
      </c>
      <c r="X424" s="94">
        <v>4</v>
      </c>
      <c r="Y424" s="94"/>
      <c r="Z424" s="94"/>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5"/>
    </row>
    <row r="425" spans="1:53" s="87" customFormat="1">
      <c r="A425" s="90" t="str">
        <f t="shared" si="31"/>
        <v/>
      </c>
      <c r="B425" s="98">
        <v>18</v>
      </c>
      <c r="C425" s="94" t="s">
        <v>210</v>
      </c>
      <c r="D425" s="94">
        <v>-9</v>
      </c>
      <c r="E425" s="94">
        <v>5</v>
      </c>
      <c r="F425" s="94" t="s">
        <v>210</v>
      </c>
      <c r="G425" s="94" t="s">
        <v>210</v>
      </c>
      <c r="H425" s="94">
        <v>1</v>
      </c>
      <c r="I425" s="94">
        <v>4</v>
      </c>
      <c r="J425" s="94" t="s">
        <v>210</v>
      </c>
      <c r="K425" s="94" t="s">
        <v>210</v>
      </c>
      <c r="L425" s="94">
        <v>-3</v>
      </c>
      <c r="M425" s="94">
        <v>2</v>
      </c>
      <c r="N425" s="94" t="s">
        <v>210</v>
      </c>
      <c r="O425" s="94" t="s">
        <v>210</v>
      </c>
      <c r="P425" s="94">
        <v>8</v>
      </c>
      <c r="Q425" s="94">
        <v>-1</v>
      </c>
      <c r="R425" s="94" t="s">
        <v>210</v>
      </c>
      <c r="S425" s="94" t="s">
        <v>210</v>
      </c>
      <c r="T425" s="94">
        <v>7</v>
      </c>
      <c r="U425" s="94">
        <v>-6</v>
      </c>
      <c r="V425" s="94" t="s">
        <v>210</v>
      </c>
      <c r="W425" s="94" t="s">
        <v>210</v>
      </c>
      <c r="X425" s="94">
        <v>-4</v>
      </c>
      <c r="Y425" s="94"/>
      <c r="Z425" s="94"/>
      <c r="AA425" s="94"/>
      <c r="AB425" s="94"/>
      <c r="AC425" s="94"/>
      <c r="AD425" s="94"/>
      <c r="AE425" s="94"/>
      <c r="AF425" s="94"/>
      <c r="AG425" s="94"/>
      <c r="AH425" s="94"/>
      <c r="AI425" s="94"/>
      <c r="AJ425" s="94"/>
      <c r="AK425" s="94"/>
      <c r="AL425" s="94"/>
      <c r="AM425" s="94"/>
      <c r="AN425" s="94"/>
      <c r="AO425" s="94"/>
      <c r="AP425" s="94"/>
      <c r="AQ425" s="94"/>
      <c r="AR425" s="94"/>
      <c r="AS425" s="94"/>
      <c r="AT425" s="94"/>
      <c r="AU425" s="94"/>
      <c r="AV425" s="94"/>
      <c r="AW425" s="94"/>
      <c r="AX425" s="94"/>
      <c r="AY425" s="94"/>
      <c r="AZ425" s="94"/>
      <c r="BA425" s="95"/>
    </row>
    <row r="426" spans="1:53" s="87" customFormat="1">
      <c r="A426" s="90" t="str">
        <f t="shared" si="31"/>
        <v/>
      </c>
      <c r="B426" s="98">
        <v>19</v>
      </c>
      <c r="C426" s="94" t="s">
        <v>210</v>
      </c>
      <c r="D426" s="94">
        <v>4</v>
      </c>
      <c r="E426" s="94">
        <v>-3</v>
      </c>
      <c r="F426" s="94" t="s">
        <v>210</v>
      </c>
      <c r="G426" s="94" t="s">
        <v>210</v>
      </c>
      <c r="H426" s="94">
        <v>-7</v>
      </c>
      <c r="I426" s="94">
        <v>9</v>
      </c>
      <c r="J426" s="94" t="s">
        <v>210</v>
      </c>
      <c r="K426" s="94" t="s">
        <v>210</v>
      </c>
      <c r="L426" s="94">
        <v>-2</v>
      </c>
      <c r="M426" s="94">
        <v>1</v>
      </c>
      <c r="N426" s="94" t="s">
        <v>210</v>
      </c>
      <c r="O426" s="94" t="s">
        <v>210</v>
      </c>
      <c r="P426" s="94">
        <v>-8</v>
      </c>
      <c r="Q426" s="94">
        <v>5</v>
      </c>
      <c r="R426" s="94" t="s">
        <v>210</v>
      </c>
      <c r="S426" s="94" t="s">
        <v>210</v>
      </c>
      <c r="T426" s="94">
        <v>6</v>
      </c>
      <c r="U426" s="94">
        <v>-4</v>
      </c>
      <c r="V426" s="94" t="s">
        <v>210</v>
      </c>
      <c r="W426" s="94" t="s">
        <v>210</v>
      </c>
      <c r="X426" s="94">
        <v>7</v>
      </c>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5"/>
    </row>
    <row r="427" spans="1:53" s="87" customFormat="1">
      <c r="A427" s="90" t="str">
        <f t="shared" si="31"/>
        <v/>
      </c>
      <c r="B427" s="98">
        <v>20</v>
      </c>
      <c r="C427" s="94" t="s">
        <v>210</v>
      </c>
      <c r="D427" s="94">
        <v>9</v>
      </c>
      <c r="E427" s="94">
        <v>4</v>
      </c>
      <c r="F427" s="94" t="s">
        <v>210</v>
      </c>
      <c r="G427" s="94" t="s">
        <v>210</v>
      </c>
      <c r="H427" s="94">
        <v>-5</v>
      </c>
      <c r="I427" s="94">
        <v>6</v>
      </c>
      <c r="J427" s="94" t="s">
        <v>210</v>
      </c>
      <c r="K427" s="94" t="s">
        <v>210</v>
      </c>
      <c r="L427" s="94">
        <v>1</v>
      </c>
      <c r="M427" s="94">
        <v>-4</v>
      </c>
      <c r="N427" s="94" t="s">
        <v>210</v>
      </c>
      <c r="O427" s="94" t="s">
        <v>210</v>
      </c>
      <c r="P427" s="94">
        <v>3</v>
      </c>
      <c r="Q427" s="94">
        <v>-9</v>
      </c>
      <c r="R427" s="94" t="s">
        <v>210</v>
      </c>
      <c r="S427" s="94" t="s">
        <v>210</v>
      </c>
      <c r="T427" s="94">
        <v>8</v>
      </c>
      <c r="U427" s="94">
        <v>-2</v>
      </c>
      <c r="V427" s="94" t="s">
        <v>210</v>
      </c>
      <c r="W427" s="94" t="s">
        <v>210</v>
      </c>
      <c r="X427" s="94">
        <v>-7</v>
      </c>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5"/>
    </row>
    <row r="428" spans="1:53" s="87" customFormat="1">
      <c r="A428" s="90" t="str">
        <f t="shared" si="31"/>
        <v/>
      </c>
      <c r="B428" s="98">
        <v>21</v>
      </c>
      <c r="C428" s="94" t="s">
        <v>210</v>
      </c>
      <c r="D428" s="94">
        <v>-6</v>
      </c>
      <c r="E428" s="94">
        <v>7</v>
      </c>
      <c r="F428" s="94" t="s">
        <v>210</v>
      </c>
      <c r="G428" s="94" t="s">
        <v>210</v>
      </c>
      <c r="H428" s="94">
        <v>5</v>
      </c>
      <c r="I428" s="94">
        <v>-8</v>
      </c>
      <c r="J428" s="94" t="s">
        <v>210</v>
      </c>
      <c r="K428" s="94" t="s">
        <v>210</v>
      </c>
      <c r="L428" s="94">
        <v>9</v>
      </c>
      <c r="M428" s="94">
        <v>-2</v>
      </c>
      <c r="N428" s="94" t="s">
        <v>210</v>
      </c>
      <c r="O428" s="94" t="s">
        <v>210</v>
      </c>
      <c r="P428" s="94">
        <v>6</v>
      </c>
      <c r="Q428" s="94">
        <v>-5</v>
      </c>
      <c r="R428" s="94" t="s">
        <v>210</v>
      </c>
      <c r="S428" s="94" t="s">
        <v>210</v>
      </c>
      <c r="T428" s="94">
        <v>-4</v>
      </c>
      <c r="U428" s="94">
        <v>1</v>
      </c>
      <c r="V428" s="94" t="s">
        <v>210</v>
      </c>
      <c r="W428" s="94" t="s">
        <v>210</v>
      </c>
      <c r="X428" s="94">
        <v>3</v>
      </c>
      <c r="Y428" s="94"/>
      <c r="Z428" s="94"/>
      <c r="AA428" s="94"/>
      <c r="AB428" s="94"/>
      <c r="AC428" s="94"/>
      <c r="AD428" s="94"/>
      <c r="AE428" s="94"/>
      <c r="AF428" s="94"/>
      <c r="AG428" s="94"/>
      <c r="AH428" s="94"/>
      <c r="AI428" s="94"/>
      <c r="AJ428" s="94"/>
      <c r="AK428" s="94"/>
      <c r="AL428" s="94"/>
      <c r="AM428" s="94"/>
      <c r="AN428" s="94"/>
      <c r="AO428" s="94"/>
      <c r="AP428" s="94"/>
      <c r="AQ428" s="94"/>
      <c r="AR428" s="94"/>
      <c r="AS428" s="94"/>
      <c r="AT428" s="94"/>
      <c r="AU428" s="94"/>
      <c r="AV428" s="94"/>
      <c r="AW428" s="94"/>
      <c r="AX428" s="94"/>
      <c r="AY428" s="94"/>
      <c r="AZ428" s="94"/>
      <c r="BA428" s="95"/>
    </row>
    <row r="429" spans="1:53" s="87" customFormat="1">
      <c r="A429" s="90" t="str">
        <f t="shared" si="31"/>
        <v/>
      </c>
      <c r="B429" s="98">
        <v>22</v>
      </c>
      <c r="C429" s="94" t="s">
        <v>210</v>
      </c>
      <c r="D429" s="94">
        <v>-4</v>
      </c>
      <c r="E429" s="94">
        <v>-6</v>
      </c>
      <c r="F429" s="94" t="s">
        <v>210</v>
      </c>
      <c r="G429" s="94" t="s">
        <v>210</v>
      </c>
      <c r="H429" s="94">
        <v>2</v>
      </c>
      <c r="I429" s="94">
        <v>-1</v>
      </c>
      <c r="J429" s="94" t="s">
        <v>210</v>
      </c>
      <c r="K429" s="94" t="s">
        <v>210</v>
      </c>
      <c r="L429" s="94">
        <v>7</v>
      </c>
      <c r="M429" s="94">
        <v>6</v>
      </c>
      <c r="N429" s="94" t="s">
        <v>210</v>
      </c>
      <c r="O429" s="94" t="s">
        <v>210</v>
      </c>
      <c r="P429" s="94">
        <v>-5</v>
      </c>
      <c r="Q429" s="94">
        <v>1</v>
      </c>
      <c r="R429" s="94" t="s">
        <v>210</v>
      </c>
      <c r="S429" s="94" t="s">
        <v>210</v>
      </c>
      <c r="T429" s="94">
        <v>-8</v>
      </c>
      <c r="U429" s="94">
        <v>9</v>
      </c>
      <c r="V429" s="94" t="s">
        <v>210</v>
      </c>
      <c r="W429" s="94" t="s">
        <v>210</v>
      </c>
      <c r="X429" s="94">
        <v>-3</v>
      </c>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5"/>
    </row>
    <row r="430" spans="1:53" s="87" customFormat="1">
      <c r="A430" s="90" t="str">
        <f t="shared" si="31"/>
        <v/>
      </c>
      <c r="B430" s="98">
        <v>23</v>
      </c>
      <c r="C430" s="94" t="s">
        <v>210</v>
      </c>
      <c r="D430" s="94">
        <v>2</v>
      </c>
      <c r="E430" s="94">
        <v>8</v>
      </c>
      <c r="F430" s="94" t="s">
        <v>210</v>
      </c>
      <c r="G430" s="94" t="s">
        <v>210</v>
      </c>
      <c r="H430" s="94">
        <v>7</v>
      </c>
      <c r="I430" s="94">
        <v>-4</v>
      </c>
      <c r="J430" s="94" t="s">
        <v>210</v>
      </c>
      <c r="K430" s="94" t="s">
        <v>210</v>
      </c>
      <c r="L430" s="94">
        <v>5</v>
      </c>
      <c r="M430" s="94">
        <v>-6</v>
      </c>
      <c r="N430" s="94" t="s">
        <v>210</v>
      </c>
      <c r="O430" s="94" t="s">
        <v>210</v>
      </c>
      <c r="P430" s="94">
        <v>-7</v>
      </c>
      <c r="Q430" s="94">
        <v>9</v>
      </c>
      <c r="R430" s="94" t="s">
        <v>210</v>
      </c>
      <c r="S430" s="94" t="s">
        <v>210</v>
      </c>
      <c r="T430" s="94">
        <v>-3</v>
      </c>
      <c r="U430" s="94">
        <v>-1</v>
      </c>
      <c r="V430" s="94" t="s">
        <v>210</v>
      </c>
      <c r="W430" s="94" t="s">
        <v>210</v>
      </c>
      <c r="X430" s="94">
        <v>-8</v>
      </c>
      <c r="Y430" s="94"/>
      <c r="Z430" s="94"/>
      <c r="AA430" s="94"/>
      <c r="AB430" s="94"/>
      <c r="AC430" s="94"/>
      <c r="AD430" s="94"/>
      <c r="AE430" s="94"/>
      <c r="AF430" s="94"/>
      <c r="AG430" s="94"/>
      <c r="AH430" s="94"/>
      <c r="AI430" s="94"/>
      <c r="AJ430" s="94"/>
      <c r="AK430" s="94"/>
      <c r="AL430" s="94"/>
      <c r="AM430" s="94"/>
      <c r="AN430" s="94"/>
      <c r="AO430" s="94"/>
      <c r="AP430" s="94"/>
      <c r="AQ430" s="94"/>
      <c r="AR430" s="94"/>
      <c r="AS430" s="94"/>
      <c r="AT430" s="94"/>
      <c r="AU430" s="94"/>
      <c r="AV430" s="94"/>
      <c r="AW430" s="94"/>
      <c r="AX430" s="94"/>
      <c r="AY430" s="94"/>
      <c r="AZ430" s="94"/>
      <c r="BA430" s="95"/>
    </row>
    <row r="431" spans="1:53" s="87" customFormat="1">
      <c r="A431" s="90" t="str">
        <f t="shared" si="31"/>
        <v/>
      </c>
      <c r="B431" s="99">
        <v>24</v>
      </c>
      <c r="C431" s="92" t="s">
        <v>210</v>
      </c>
      <c r="D431" s="92">
        <v>-8</v>
      </c>
      <c r="E431" s="92">
        <v>-7</v>
      </c>
      <c r="F431" s="92" t="s">
        <v>210</v>
      </c>
      <c r="G431" s="92" t="s">
        <v>210</v>
      </c>
      <c r="H431" s="92">
        <v>9</v>
      </c>
      <c r="I431" s="92">
        <v>-6</v>
      </c>
      <c r="J431" s="92" t="s">
        <v>210</v>
      </c>
      <c r="K431" s="92" t="s">
        <v>210</v>
      </c>
      <c r="L431" s="92">
        <v>3</v>
      </c>
      <c r="M431" s="92">
        <v>-1</v>
      </c>
      <c r="N431" s="92" t="s">
        <v>210</v>
      </c>
      <c r="O431" s="92" t="s">
        <v>210</v>
      </c>
      <c r="P431" s="92">
        <v>4</v>
      </c>
      <c r="Q431" s="92">
        <v>2</v>
      </c>
      <c r="R431" s="92" t="s">
        <v>210</v>
      </c>
      <c r="S431" s="92" t="s">
        <v>210</v>
      </c>
      <c r="T431" s="92">
        <v>5</v>
      </c>
      <c r="U431" s="92">
        <v>-9</v>
      </c>
      <c r="V431" s="92" t="s">
        <v>210</v>
      </c>
      <c r="W431" s="92" t="s">
        <v>210</v>
      </c>
      <c r="X431" s="92">
        <v>8</v>
      </c>
      <c r="Y431" s="94"/>
      <c r="Z431" s="94"/>
      <c r="AA431" s="94"/>
      <c r="AB431" s="94"/>
      <c r="AC431" s="94"/>
      <c r="AD431" s="94"/>
      <c r="AE431" s="94"/>
      <c r="AF431" s="94"/>
      <c r="AG431" s="94"/>
      <c r="AH431" s="94"/>
      <c r="AI431" s="94"/>
      <c r="AJ431" s="94"/>
      <c r="AK431" s="94"/>
      <c r="AL431" s="94"/>
      <c r="AM431" s="94"/>
      <c r="AN431" s="94"/>
      <c r="AO431" s="94"/>
      <c r="AP431" s="94"/>
      <c r="AQ431" s="94"/>
      <c r="AR431" s="94"/>
      <c r="AS431" s="94"/>
      <c r="AT431" s="94"/>
      <c r="AU431" s="94"/>
      <c r="AV431" s="94"/>
      <c r="AW431" s="94"/>
      <c r="AX431" s="94"/>
      <c r="AY431" s="94"/>
      <c r="AZ431" s="94"/>
      <c r="BA431" s="95"/>
    </row>
    <row r="432" spans="1:53" s="87" customFormat="1">
      <c r="A432" s="90" t="str">
        <f t="shared" si="31"/>
        <v/>
      </c>
      <c r="B432" s="98">
        <v>25</v>
      </c>
      <c r="C432" s="94">
        <v>-3</v>
      </c>
      <c r="D432" s="94" t="s">
        <v>210</v>
      </c>
      <c r="E432" s="94" t="s">
        <v>210</v>
      </c>
      <c r="F432" s="94">
        <v>-9</v>
      </c>
      <c r="G432" s="94">
        <v>-8</v>
      </c>
      <c r="H432" s="94" t="s">
        <v>210</v>
      </c>
      <c r="I432" s="94" t="s">
        <v>210</v>
      </c>
      <c r="J432" s="94">
        <v>7</v>
      </c>
      <c r="K432" s="94">
        <v>6</v>
      </c>
      <c r="L432" s="94" t="s">
        <v>210</v>
      </c>
      <c r="M432" s="94" t="s">
        <v>210</v>
      </c>
      <c r="N432" s="94">
        <v>5</v>
      </c>
      <c r="O432" s="94" t="s">
        <v>210</v>
      </c>
      <c r="P432" s="94">
        <v>-2</v>
      </c>
      <c r="Q432" s="94">
        <v>4</v>
      </c>
      <c r="R432" s="94" t="s">
        <v>210</v>
      </c>
      <c r="S432" s="94" t="s">
        <v>210</v>
      </c>
      <c r="T432" s="94">
        <v>1</v>
      </c>
      <c r="U432" s="94">
        <v>-5</v>
      </c>
      <c r="V432" s="94" t="s">
        <v>210</v>
      </c>
      <c r="W432" s="94" t="s">
        <v>210</v>
      </c>
      <c r="X432" s="94">
        <v>2</v>
      </c>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5"/>
    </row>
    <row r="433" spans="1:53" s="87" customFormat="1">
      <c r="A433" s="90" t="str">
        <f t="shared" si="31"/>
        <v/>
      </c>
      <c r="B433" s="98">
        <v>26</v>
      </c>
      <c r="C433" s="94">
        <v>7</v>
      </c>
      <c r="D433" s="94" t="s">
        <v>210</v>
      </c>
      <c r="E433" s="94" t="s">
        <v>210</v>
      </c>
      <c r="F433" s="94">
        <v>1</v>
      </c>
      <c r="G433" s="94">
        <v>4</v>
      </c>
      <c r="H433" s="94" t="s">
        <v>210</v>
      </c>
      <c r="I433" s="94" t="s">
        <v>210</v>
      </c>
      <c r="J433" s="94">
        <v>-5</v>
      </c>
      <c r="K433" s="94">
        <v>8</v>
      </c>
      <c r="L433" s="94" t="s">
        <v>210</v>
      </c>
      <c r="M433" s="94" t="s">
        <v>210</v>
      </c>
      <c r="N433" s="94">
        <v>-3</v>
      </c>
      <c r="O433" s="94" t="s">
        <v>210</v>
      </c>
      <c r="P433" s="94">
        <v>-1</v>
      </c>
      <c r="Q433" s="94">
        <v>6</v>
      </c>
      <c r="R433" s="94" t="s">
        <v>210</v>
      </c>
      <c r="S433" s="94" t="s">
        <v>210</v>
      </c>
      <c r="T433" s="94">
        <v>-9</v>
      </c>
      <c r="U433" s="94">
        <v>-7</v>
      </c>
      <c r="V433" s="94" t="s">
        <v>210</v>
      </c>
      <c r="W433" s="94" t="s">
        <v>210</v>
      </c>
      <c r="X433" s="94">
        <v>-2</v>
      </c>
      <c r="Y433" s="94"/>
      <c r="Z433" s="94"/>
      <c r="AA433" s="94"/>
      <c r="AB433" s="94"/>
      <c r="AC433" s="94"/>
      <c r="AD433" s="94"/>
      <c r="AE433" s="94"/>
      <c r="AF433" s="94"/>
      <c r="AG433" s="94"/>
      <c r="AH433" s="94"/>
      <c r="AI433" s="94"/>
      <c r="AJ433" s="94"/>
      <c r="AK433" s="94"/>
      <c r="AL433" s="94"/>
      <c r="AM433" s="94"/>
      <c r="AN433" s="94"/>
      <c r="AO433" s="94"/>
      <c r="AP433" s="94"/>
      <c r="AQ433" s="94"/>
      <c r="AR433" s="94"/>
      <c r="AS433" s="94"/>
      <c r="AT433" s="94"/>
      <c r="AU433" s="94"/>
      <c r="AV433" s="94"/>
      <c r="AW433" s="94"/>
      <c r="AX433" s="94"/>
      <c r="AY433" s="94"/>
      <c r="AZ433" s="94"/>
      <c r="BA433" s="95"/>
    </row>
    <row r="434" spans="1:53" s="87" customFormat="1">
      <c r="A434" s="90" t="str">
        <f t="shared" si="31"/>
        <v/>
      </c>
      <c r="B434" s="98">
        <v>27</v>
      </c>
      <c r="C434" s="94">
        <v>-5</v>
      </c>
      <c r="D434" s="94" t="s">
        <v>210</v>
      </c>
      <c r="E434" s="94" t="s">
        <v>210</v>
      </c>
      <c r="F434" s="94">
        <v>2</v>
      </c>
      <c r="G434" s="94">
        <v>-6</v>
      </c>
      <c r="H434" s="94" t="s">
        <v>210</v>
      </c>
      <c r="I434" s="94" t="s">
        <v>210</v>
      </c>
      <c r="J434" s="94">
        <v>-3</v>
      </c>
      <c r="K434" s="94">
        <v>-4</v>
      </c>
      <c r="L434" s="94" t="s">
        <v>210</v>
      </c>
      <c r="M434" s="94" t="s">
        <v>210</v>
      </c>
      <c r="N434" s="94">
        <v>7</v>
      </c>
      <c r="O434" s="94" t="s">
        <v>210</v>
      </c>
      <c r="P434" s="94">
        <v>1</v>
      </c>
      <c r="Q434" s="94">
        <v>8</v>
      </c>
      <c r="R434" s="94" t="s">
        <v>210</v>
      </c>
      <c r="S434" s="94" t="s">
        <v>210</v>
      </c>
      <c r="T434" s="94">
        <v>-2</v>
      </c>
      <c r="U434" s="94">
        <v>5</v>
      </c>
      <c r="V434" s="94" t="s">
        <v>210</v>
      </c>
      <c r="W434" s="94" t="s">
        <v>210</v>
      </c>
      <c r="X434" s="94">
        <v>9</v>
      </c>
      <c r="Y434" s="94"/>
      <c r="Z434" s="94"/>
      <c r="AA434" s="94"/>
      <c r="AB434" s="94"/>
      <c r="AC434" s="94"/>
      <c r="AD434" s="94"/>
      <c r="AE434" s="94"/>
      <c r="AF434" s="94"/>
      <c r="AG434" s="94"/>
      <c r="AH434" s="94"/>
      <c r="AI434" s="94"/>
      <c r="AJ434" s="94"/>
      <c r="AK434" s="94"/>
      <c r="AL434" s="94"/>
      <c r="AM434" s="94"/>
      <c r="AN434" s="94"/>
      <c r="AO434" s="94"/>
      <c r="AP434" s="94"/>
      <c r="AQ434" s="94"/>
      <c r="AR434" s="94"/>
      <c r="AS434" s="94"/>
      <c r="AT434" s="94"/>
      <c r="AU434" s="94"/>
      <c r="AV434" s="94"/>
      <c r="AW434" s="94"/>
      <c r="AX434" s="94"/>
      <c r="AY434" s="94"/>
      <c r="AZ434" s="94"/>
      <c r="BA434" s="95"/>
    </row>
    <row r="435" spans="1:53" s="87" customFormat="1">
      <c r="A435" s="90" t="str">
        <f t="shared" si="31"/>
        <v/>
      </c>
      <c r="B435" s="98">
        <v>28</v>
      </c>
      <c r="C435" s="94" t="s">
        <v>210</v>
      </c>
      <c r="D435" s="94">
        <v>7</v>
      </c>
      <c r="E435" s="94">
        <v>2</v>
      </c>
      <c r="F435" s="94" t="s">
        <v>210</v>
      </c>
      <c r="G435" s="94" t="s">
        <v>210</v>
      </c>
      <c r="H435" s="94">
        <v>8</v>
      </c>
      <c r="I435" s="94">
        <v>-3</v>
      </c>
      <c r="J435" s="94" t="s">
        <v>210</v>
      </c>
      <c r="K435" s="94" t="s">
        <v>210</v>
      </c>
      <c r="L435" s="94">
        <v>-4</v>
      </c>
      <c r="M435" s="94">
        <v>-5</v>
      </c>
      <c r="N435" s="94" t="s">
        <v>210</v>
      </c>
      <c r="O435" s="94" t="s">
        <v>210</v>
      </c>
      <c r="P435" s="94">
        <v>9</v>
      </c>
      <c r="Q435" s="94">
        <v>-6</v>
      </c>
      <c r="R435" s="94" t="s">
        <v>210</v>
      </c>
      <c r="S435" s="94" t="s">
        <v>210</v>
      </c>
      <c r="T435" s="94">
        <v>-1</v>
      </c>
      <c r="U435" s="94">
        <v>3</v>
      </c>
      <c r="V435" s="94" t="s">
        <v>210</v>
      </c>
      <c r="W435" s="94" t="s">
        <v>210</v>
      </c>
      <c r="X435" s="94">
        <v>-9</v>
      </c>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5"/>
    </row>
    <row r="436" spans="1:53" s="87" customFormat="1">
      <c r="A436" s="90" t="str">
        <f t="shared" si="31"/>
        <v/>
      </c>
      <c r="B436" s="98">
        <v>29</v>
      </c>
      <c r="C436" s="94" t="s">
        <v>210</v>
      </c>
      <c r="D436" s="94">
        <v>-3</v>
      </c>
      <c r="E436" s="94">
        <v>-1</v>
      </c>
      <c r="F436" s="94" t="s">
        <v>210</v>
      </c>
      <c r="G436" s="94" t="s">
        <v>210</v>
      </c>
      <c r="H436" s="94">
        <v>6</v>
      </c>
      <c r="I436" s="94">
        <v>5</v>
      </c>
      <c r="J436" s="94" t="s">
        <v>210</v>
      </c>
      <c r="K436" s="94" t="s">
        <v>210</v>
      </c>
      <c r="L436" s="94">
        <v>8</v>
      </c>
      <c r="M436" s="94">
        <v>-7</v>
      </c>
      <c r="N436" s="94" t="s">
        <v>210</v>
      </c>
      <c r="O436" s="94" t="s">
        <v>210</v>
      </c>
      <c r="P436" s="94">
        <v>-9</v>
      </c>
      <c r="Q436" s="94">
        <v>-4</v>
      </c>
      <c r="R436" s="94" t="s">
        <v>210</v>
      </c>
      <c r="S436" s="94" t="s">
        <v>210</v>
      </c>
      <c r="T436" s="94">
        <v>2</v>
      </c>
      <c r="U436" s="94">
        <v>7</v>
      </c>
      <c r="V436" s="94" t="s">
        <v>210</v>
      </c>
      <c r="W436" s="94" t="s">
        <v>210</v>
      </c>
      <c r="X436" s="94">
        <v>1</v>
      </c>
      <c r="Y436" s="94"/>
      <c r="Z436" s="94"/>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c r="AW436" s="94"/>
      <c r="AX436" s="94"/>
      <c r="AY436" s="94"/>
      <c r="AZ436" s="94"/>
      <c r="BA436" s="95"/>
    </row>
    <row r="437" spans="1:53" s="87" customFormat="1">
      <c r="A437" s="90" t="str">
        <f t="shared" si="31"/>
        <v/>
      </c>
      <c r="B437" s="98">
        <v>30</v>
      </c>
      <c r="C437" s="94" t="s">
        <v>210</v>
      </c>
      <c r="D437" s="94">
        <v>5</v>
      </c>
      <c r="E437" s="94">
        <v>-9</v>
      </c>
      <c r="F437" s="94" t="s">
        <v>210</v>
      </c>
      <c r="G437" s="94" t="s">
        <v>210</v>
      </c>
      <c r="H437" s="94">
        <v>-4</v>
      </c>
      <c r="I437" s="94">
        <v>-7</v>
      </c>
      <c r="J437" s="94" t="s">
        <v>210</v>
      </c>
      <c r="K437" s="94" t="s">
        <v>210</v>
      </c>
      <c r="L437" s="94">
        <v>6</v>
      </c>
      <c r="M437" s="94">
        <v>3</v>
      </c>
      <c r="N437" s="94" t="s">
        <v>210</v>
      </c>
      <c r="O437" s="94" t="s">
        <v>210</v>
      </c>
      <c r="P437" s="94">
        <v>2</v>
      </c>
      <c r="Q437" s="94">
        <v>-8</v>
      </c>
      <c r="R437" s="94" t="s">
        <v>210</v>
      </c>
      <c r="S437" s="94" t="s">
        <v>210</v>
      </c>
      <c r="T437" s="94">
        <v>9</v>
      </c>
      <c r="U437" s="94">
        <v>-3</v>
      </c>
      <c r="V437" s="94" t="s">
        <v>210</v>
      </c>
      <c r="W437" s="94" t="s">
        <v>210</v>
      </c>
      <c r="X437" s="94">
        <v>-1</v>
      </c>
      <c r="Y437" s="94"/>
      <c r="Z437" s="94"/>
      <c r="AA437" s="94"/>
      <c r="AB437" s="94"/>
      <c r="AC437" s="94"/>
      <c r="AD437" s="94"/>
      <c r="AE437" s="94"/>
      <c r="AF437" s="94"/>
      <c r="AG437" s="94"/>
      <c r="AH437" s="94"/>
      <c r="AI437" s="94"/>
      <c r="AJ437" s="94"/>
      <c r="AK437" s="94"/>
      <c r="AL437" s="94"/>
      <c r="AM437" s="94"/>
      <c r="AN437" s="94"/>
      <c r="AO437" s="94"/>
      <c r="AP437" s="94"/>
      <c r="AQ437" s="94"/>
      <c r="AR437" s="94"/>
      <c r="AS437" s="94"/>
      <c r="AT437" s="94"/>
      <c r="AU437" s="94"/>
      <c r="AV437" s="94"/>
      <c r="AW437" s="94"/>
      <c r="AX437" s="94"/>
      <c r="AY437" s="94"/>
      <c r="AZ437" s="94"/>
      <c r="BA437" s="95"/>
    </row>
    <row r="438" spans="1:53" s="87" customFormat="1">
      <c r="A438" s="90" t="str">
        <f t="shared" si="31"/>
        <v/>
      </c>
      <c r="B438" s="98">
        <v>31</v>
      </c>
      <c r="C438" s="94" t="s">
        <v>210</v>
      </c>
      <c r="D438" s="94">
        <v>-7</v>
      </c>
      <c r="E438" s="94">
        <v>9</v>
      </c>
      <c r="F438" s="94" t="s">
        <v>210</v>
      </c>
      <c r="G438" s="94" t="s">
        <v>210</v>
      </c>
      <c r="H438" s="94">
        <v>-6</v>
      </c>
      <c r="I438" s="94" t="s">
        <v>210</v>
      </c>
      <c r="J438" s="94">
        <v>3</v>
      </c>
      <c r="K438" s="94">
        <v>-8</v>
      </c>
      <c r="L438" s="94" t="s">
        <v>210</v>
      </c>
      <c r="M438" s="94" t="s">
        <v>210</v>
      </c>
      <c r="N438" s="94">
        <v>-5</v>
      </c>
      <c r="O438" s="94">
        <v>-2</v>
      </c>
      <c r="P438" s="94" t="s">
        <v>210</v>
      </c>
      <c r="Q438" s="94" t="s">
        <v>210</v>
      </c>
      <c r="R438" s="94">
        <v>4</v>
      </c>
      <c r="S438" s="94">
        <v>-1</v>
      </c>
      <c r="T438" s="94" t="s">
        <v>210</v>
      </c>
      <c r="U438" s="94" t="s">
        <v>210</v>
      </c>
      <c r="V438" s="94">
        <v>5</v>
      </c>
      <c r="W438" s="94">
        <v>2</v>
      </c>
      <c r="X438" s="94" t="s">
        <v>210</v>
      </c>
      <c r="Y438" s="94"/>
      <c r="Z438" s="94"/>
      <c r="AA438" s="94"/>
      <c r="AB438" s="94"/>
      <c r="AC438" s="94"/>
      <c r="AD438" s="94"/>
      <c r="AE438" s="94"/>
      <c r="AF438" s="94"/>
      <c r="AG438" s="94"/>
      <c r="AH438" s="94"/>
      <c r="AI438" s="94"/>
      <c r="AJ438" s="94"/>
      <c r="AK438" s="94"/>
      <c r="AL438" s="94"/>
      <c r="AM438" s="94"/>
      <c r="AN438" s="94"/>
      <c r="AO438" s="94"/>
      <c r="AP438" s="94"/>
      <c r="AQ438" s="94"/>
      <c r="AR438" s="94"/>
      <c r="AS438" s="94"/>
      <c r="AT438" s="94"/>
      <c r="AU438" s="94"/>
      <c r="AV438" s="94"/>
      <c r="AW438" s="94"/>
      <c r="AX438" s="94"/>
      <c r="AY438" s="94"/>
      <c r="AZ438" s="94"/>
      <c r="BA438" s="95"/>
    </row>
    <row r="439" spans="1:53" s="87" customFormat="1">
      <c r="A439" s="90" t="str">
        <f t="shared" si="31"/>
        <v/>
      </c>
      <c r="B439" s="98">
        <v>32</v>
      </c>
      <c r="C439" s="94" t="s">
        <v>210</v>
      </c>
      <c r="D439" s="94">
        <v>-5</v>
      </c>
      <c r="E439" s="94">
        <v>1</v>
      </c>
      <c r="F439" s="94" t="s">
        <v>210</v>
      </c>
      <c r="G439" s="94" t="s">
        <v>210</v>
      </c>
      <c r="H439" s="94">
        <v>-8</v>
      </c>
      <c r="I439" s="94" t="s">
        <v>210</v>
      </c>
      <c r="J439" s="94">
        <v>-7</v>
      </c>
      <c r="K439" s="94">
        <v>4</v>
      </c>
      <c r="L439" s="94" t="s">
        <v>210</v>
      </c>
      <c r="M439" s="94" t="s">
        <v>210</v>
      </c>
      <c r="N439" s="94">
        <v>3</v>
      </c>
      <c r="O439" s="94">
        <v>-1</v>
      </c>
      <c r="P439" s="94" t="s">
        <v>210</v>
      </c>
      <c r="Q439" s="94" t="s">
        <v>210</v>
      </c>
      <c r="R439" s="94">
        <v>6</v>
      </c>
      <c r="S439" s="94">
        <v>9</v>
      </c>
      <c r="T439" s="94" t="s">
        <v>210</v>
      </c>
      <c r="U439" s="94" t="s">
        <v>210</v>
      </c>
      <c r="V439" s="94">
        <v>7</v>
      </c>
      <c r="W439" s="94">
        <v>-2</v>
      </c>
      <c r="X439" s="94" t="s">
        <v>210</v>
      </c>
      <c r="Y439" s="94"/>
      <c r="Z439" s="94"/>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AZ439" s="94"/>
      <c r="BA439" s="95"/>
    </row>
    <row r="440" spans="1:53" s="87" customFormat="1">
      <c r="A440" s="90" t="str">
        <f t="shared" si="31"/>
        <v/>
      </c>
      <c r="B440" s="98">
        <v>33</v>
      </c>
      <c r="C440" s="94" t="s">
        <v>210</v>
      </c>
      <c r="D440" s="94">
        <v>3</v>
      </c>
      <c r="E440" s="94">
        <v>-2</v>
      </c>
      <c r="F440" s="94" t="s">
        <v>210</v>
      </c>
      <c r="G440" s="94" t="s">
        <v>210</v>
      </c>
      <c r="H440" s="94">
        <v>4</v>
      </c>
      <c r="I440" s="94" t="s">
        <v>210</v>
      </c>
      <c r="J440" s="94">
        <v>5</v>
      </c>
      <c r="K440" s="94">
        <v>-6</v>
      </c>
      <c r="L440" s="94" t="s">
        <v>210</v>
      </c>
      <c r="M440" s="94" t="s">
        <v>210</v>
      </c>
      <c r="N440" s="94">
        <v>-7</v>
      </c>
      <c r="O440" s="94">
        <v>1</v>
      </c>
      <c r="P440" s="94" t="s">
        <v>210</v>
      </c>
      <c r="Q440" s="94" t="s">
        <v>210</v>
      </c>
      <c r="R440" s="94">
        <v>-8</v>
      </c>
      <c r="S440" s="94">
        <v>2</v>
      </c>
      <c r="T440" s="94" t="s">
        <v>210</v>
      </c>
      <c r="U440" s="94" t="s">
        <v>210</v>
      </c>
      <c r="V440" s="94">
        <v>-5</v>
      </c>
      <c r="W440" s="94">
        <v>-9</v>
      </c>
      <c r="X440" s="94" t="s">
        <v>210</v>
      </c>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5"/>
    </row>
    <row r="441" spans="1:53" s="87" customFormat="1">
      <c r="A441" s="90" t="str">
        <f t="shared" si="31"/>
        <v/>
      </c>
      <c r="B441" s="98">
        <v>34</v>
      </c>
      <c r="C441" s="94">
        <v>3</v>
      </c>
      <c r="D441" s="94" t="s">
        <v>210</v>
      </c>
      <c r="E441" s="94" t="s">
        <v>210</v>
      </c>
      <c r="F441" s="94">
        <v>-2</v>
      </c>
      <c r="G441" s="94">
        <v>-4</v>
      </c>
      <c r="H441" s="94" t="s">
        <v>210</v>
      </c>
      <c r="I441" s="94">
        <v>7</v>
      </c>
      <c r="J441" s="94" t="s">
        <v>210</v>
      </c>
      <c r="K441" s="94" t="s">
        <v>210</v>
      </c>
      <c r="L441" s="94">
        <v>-8</v>
      </c>
      <c r="M441" s="94">
        <v>5</v>
      </c>
      <c r="N441" s="94" t="s">
        <v>210</v>
      </c>
      <c r="O441" s="94">
        <v>-9</v>
      </c>
      <c r="P441" s="94" t="s">
        <v>210</v>
      </c>
      <c r="Q441" s="94" t="s">
        <v>210</v>
      </c>
      <c r="R441" s="94">
        <v>-6</v>
      </c>
      <c r="S441" s="94">
        <v>1</v>
      </c>
      <c r="T441" s="94" t="s">
        <v>210</v>
      </c>
      <c r="U441" s="94" t="s">
        <v>210</v>
      </c>
      <c r="V441" s="94">
        <v>-3</v>
      </c>
      <c r="W441" s="94">
        <v>9</v>
      </c>
      <c r="X441" s="94" t="s">
        <v>210</v>
      </c>
      <c r="Y441" s="94"/>
      <c r="Z441" s="94"/>
      <c r="AA441" s="94"/>
      <c r="AB441" s="94"/>
      <c r="AC441" s="94"/>
      <c r="AD441" s="94"/>
      <c r="AE441" s="94"/>
      <c r="AF441" s="94"/>
      <c r="AG441" s="94"/>
      <c r="AH441" s="94"/>
      <c r="AI441" s="94"/>
      <c r="AJ441" s="94"/>
      <c r="AK441" s="94"/>
      <c r="AL441" s="94"/>
      <c r="AM441" s="94"/>
      <c r="AN441" s="94"/>
      <c r="AO441" s="94"/>
      <c r="AP441" s="94"/>
      <c r="AQ441" s="94"/>
      <c r="AR441" s="94"/>
      <c r="AS441" s="94"/>
      <c r="AT441" s="94"/>
      <c r="AU441" s="94"/>
      <c r="AV441" s="94"/>
      <c r="AW441" s="94"/>
      <c r="AX441" s="94"/>
      <c r="AY441" s="94"/>
      <c r="AZ441" s="94"/>
      <c r="BA441" s="95"/>
    </row>
    <row r="442" spans="1:53" s="87" customFormat="1">
      <c r="A442" s="90" t="str">
        <f t="shared" si="31"/>
        <v/>
      </c>
      <c r="B442" s="98">
        <v>35</v>
      </c>
      <c r="C442" s="94">
        <v>5</v>
      </c>
      <c r="D442" s="94" t="s">
        <v>210</v>
      </c>
      <c r="E442" s="94" t="s">
        <v>210</v>
      </c>
      <c r="F442" s="94">
        <v>-1</v>
      </c>
      <c r="G442" s="94">
        <v>8</v>
      </c>
      <c r="H442" s="94" t="s">
        <v>210</v>
      </c>
      <c r="I442" s="94">
        <v>3</v>
      </c>
      <c r="J442" s="94" t="s">
        <v>210</v>
      </c>
      <c r="K442" s="94" t="s">
        <v>210</v>
      </c>
      <c r="L442" s="94">
        <v>-6</v>
      </c>
      <c r="M442" s="94">
        <v>7</v>
      </c>
      <c r="N442" s="94" t="s">
        <v>210</v>
      </c>
      <c r="O442" s="94">
        <v>9</v>
      </c>
      <c r="P442" s="94" t="s">
        <v>210</v>
      </c>
      <c r="Q442" s="94" t="s">
        <v>210</v>
      </c>
      <c r="R442" s="94">
        <v>-4</v>
      </c>
      <c r="S442" s="94">
        <v>-2</v>
      </c>
      <c r="T442" s="94" t="s">
        <v>210</v>
      </c>
      <c r="U442" s="94" t="s">
        <v>210</v>
      </c>
      <c r="V442" s="94">
        <v>-7</v>
      </c>
      <c r="W442" s="94">
        <v>1</v>
      </c>
      <c r="X442" s="94" t="s">
        <v>210</v>
      </c>
      <c r="Y442" s="94"/>
      <c r="Z442" s="94"/>
      <c r="AA442" s="94"/>
      <c r="AB442" s="94"/>
      <c r="AC442" s="94"/>
      <c r="AD442" s="94"/>
      <c r="AE442" s="94"/>
      <c r="AF442" s="94"/>
      <c r="AG442" s="94"/>
      <c r="AH442" s="94"/>
      <c r="AI442" s="94"/>
      <c r="AJ442" s="94"/>
      <c r="AK442" s="94"/>
      <c r="AL442" s="94"/>
      <c r="AM442" s="94"/>
      <c r="AN442" s="94"/>
      <c r="AO442" s="94"/>
      <c r="AP442" s="94"/>
      <c r="AQ442" s="94"/>
      <c r="AR442" s="94"/>
      <c r="AS442" s="94"/>
      <c r="AT442" s="94"/>
      <c r="AU442" s="94"/>
      <c r="AV442" s="94"/>
      <c r="AW442" s="94"/>
      <c r="AX442" s="94"/>
      <c r="AY442" s="94"/>
      <c r="AZ442" s="94"/>
      <c r="BA442" s="95"/>
    </row>
    <row r="443" spans="1:53" s="87" customFormat="1">
      <c r="A443" s="90" t="str">
        <f t="shared" si="31"/>
        <v/>
      </c>
      <c r="B443" s="98">
        <v>36</v>
      </c>
      <c r="C443" s="94">
        <v>-7</v>
      </c>
      <c r="D443" s="94" t="s">
        <v>210</v>
      </c>
      <c r="E443" s="94" t="s">
        <v>210</v>
      </c>
      <c r="F443" s="94">
        <v>9</v>
      </c>
      <c r="G443" s="94">
        <v>6</v>
      </c>
      <c r="H443" s="94" t="s">
        <v>210</v>
      </c>
      <c r="I443" s="94">
        <v>-5</v>
      </c>
      <c r="J443" s="94" t="s">
        <v>210</v>
      </c>
      <c r="K443" s="94" t="s">
        <v>210</v>
      </c>
      <c r="L443" s="94">
        <v>4</v>
      </c>
      <c r="M443" s="94">
        <v>-3</v>
      </c>
      <c r="N443" s="94" t="s">
        <v>210</v>
      </c>
      <c r="O443" s="94">
        <v>2</v>
      </c>
      <c r="P443" s="94" t="s">
        <v>210</v>
      </c>
      <c r="Q443" s="94" t="s">
        <v>210</v>
      </c>
      <c r="R443" s="94">
        <v>8</v>
      </c>
      <c r="S443" s="94">
        <v>-9</v>
      </c>
      <c r="T443" s="94" t="s">
        <v>210</v>
      </c>
      <c r="U443" s="94" t="s">
        <v>210</v>
      </c>
      <c r="V443" s="94">
        <v>3</v>
      </c>
      <c r="W443" s="94">
        <v>-1</v>
      </c>
      <c r="X443" s="94" t="s">
        <v>210</v>
      </c>
      <c r="Y443" s="94"/>
      <c r="Z443" s="94"/>
      <c r="AA443" s="94"/>
      <c r="AB443" s="94"/>
      <c r="AC443" s="94"/>
      <c r="AD443" s="94"/>
      <c r="AE443" s="94"/>
      <c r="AF443" s="94"/>
      <c r="AG443" s="94"/>
      <c r="AH443" s="94"/>
      <c r="AI443" s="94"/>
      <c r="AJ443" s="94"/>
      <c r="AK443" s="94"/>
      <c r="AL443" s="94"/>
      <c r="AM443" s="94"/>
      <c r="AN443" s="94"/>
      <c r="AO443" s="94"/>
      <c r="AP443" s="94"/>
      <c r="AQ443" s="94"/>
      <c r="AR443" s="94"/>
      <c r="AS443" s="94"/>
      <c r="AT443" s="94"/>
      <c r="AU443" s="94"/>
      <c r="AV443" s="94"/>
      <c r="AW443" s="94"/>
      <c r="AX443" s="94"/>
      <c r="AY443" s="94"/>
      <c r="AZ443" s="94"/>
      <c r="BA443" s="95"/>
    </row>
    <row r="444" spans="1:53" s="87" customFormat="1">
      <c r="A444" s="90" t="str">
        <f t="shared" si="31"/>
        <v/>
      </c>
      <c r="B444" s="98" t="s">
        <v>522</v>
      </c>
      <c r="C444" s="94"/>
      <c r="D444" s="94"/>
      <c r="E444" s="94"/>
      <c r="F444" s="94"/>
      <c r="G444" s="94"/>
      <c r="H444" s="94"/>
      <c r="I444" s="94"/>
      <c r="J444" s="94"/>
      <c r="K444" s="94"/>
      <c r="L444" s="94"/>
      <c r="M444" s="94"/>
      <c r="N444" s="94"/>
      <c r="O444" s="94"/>
      <c r="P444" s="94"/>
      <c r="Q444" s="94"/>
      <c r="R444" s="94"/>
      <c r="S444" s="94"/>
      <c r="T444" s="94"/>
      <c r="U444" s="94"/>
      <c r="V444" s="94"/>
      <c r="W444" s="94"/>
      <c r="X444" s="94"/>
      <c r="Y444" s="94"/>
      <c r="Z444" s="94"/>
      <c r="AA444" s="94"/>
      <c r="AB444" s="94"/>
      <c r="AC444" s="94"/>
      <c r="AD444" s="94"/>
      <c r="AE444" s="94"/>
      <c r="AF444" s="94"/>
      <c r="AG444" s="94"/>
      <c r="AH444" s="94"/>
      <c r="AI444" s="94"/>
      <c r="AJ444" s="94"/>
      <c r="AK444" s="94"/>
      <c r="AL444" s="94"/>
      <c r="AM444" s="94"/>
      <c r="AN444" s="94"/>
      <c r="AO444" s="94"/>
      <c r="AP444" s="94"/>
      <c r="AQ444" s="94"/>
      <c r="AR444" s="94"/>
      <c r="AS444" s="94"/>
      <c r="AT444" s="94"/>
      <c r="AU444" s="94"/>
      <c r="AV444" s="94"/>
      <c r="AW444" s="94"/>
      <c r="AX444" s="94"/>
      <c r="AY444" s="94"/>
      <c r="AZ444" s="94"/>
      <c r="BA444" s="95"/>
    </row>
    <row r="445" spans="1:53" s="87" customFormat="1">
      <c r="A445" s="90">
        <f t="shared" si="31"/>
        <v>445</v>
      </c>
      <c r="B445" s="98" t="s">
        <v>523</v>
      </c>
      <c r="C445" s="94"/>
      <c r="D445" s="94"/>
      <c r="E445" s="94"/>
      <c r="F445" s="94"/>
      <c r="G445" s="94"/>
      <c r="H445" s="94"/>
      <c r="I445" s="94"/>
      <c r="J445" s="94"/>
      <c r="K445" s="94"/>
      <c r="L445" s="94"/>
      <c r="M445" s="94"/>
      <c r="N445" s="94"/>
      <c r="O445" s="94"/>
      <c r="P445" s="94"/>
      <c r="Q445" s="94"/>
      <c r="R445" s="94"/>
      <c r="S445" s="94"/>
      <c r="T445" s="94"/>
      <c r="U445" s="94"/>
      <c r="V445" s="94"/>
      <c r="W445" s="94"/>
      <c r="X445" s="94"/>
      <c r="Y445" s="94"/>
      <c r="Z445" s="94"/>
      <c r="AA445" s="94"/>
      <c r="AB445" s="94"/>
      <c r="AC445" s="94"/>
      <c r="AD445" s="94"/>
      <c r="AE445" s="94"/>
      <c r="AF445" s="94"/>
      <c r="AG445" s="94"/>
      <c r="AH445" s="94"/>
      <c r="AI445" s="94"/>
      <c r="AJ445" s="94"/>
      <c r="AK445" s="94"/>
      <c r="AL445" s="94"/>
      <c r="AM445" s="94"/>
      <c r="AN445" s="94"/>
      <c r="AO445" s="94"/>
      <c r="AP445" s="94"/>
      <c r="AQ445" s="94"/>
      <c r="AR445" s="94"/>
      <c r="AS445" s="94"/>
      <c r="AT445" s="94"/>
      <c r="AU445" s="94"/>
      <c r="AV445" s="94"/>
      <c r="AW445" s="94"/>
      <c r="AX445" s="94"/>
      <c r="AY445" s="94"/>
      <c r="AZ445" s="94"/>
      <c r="BA445" s="95"/>
    </row>
    <row r="446" spans="1:53" s="87" customFormat="1">
      <c r="A446" s="90" t="str">
        <f t="shared" si="31"/>
        <v/>
      </c>
      <c r="B446" s="98">
        <v>1</v>
      </c>
      <c r="C446" s="94">
        <v>6</v>
      </c>
      <c r="D446" s="94" t="s">
        <v>210</v>
      </c>
      <c r="E446" s="94" t="s">
        <v>210</v>
      </c>
      <c r="F446" s="94">
        <v>-1</v>
      </c>
      <c r="G446" s="94">
        <v>-8</v>
      </c>
      <c r="H446" s="94" t="s">
        <v>210</v>
      </c>
      <c r="I446" s="94" t="s">
        <v>210</v>
      </c>
      <c r="J446" s="94">
        <v>9</v>
      </c>
      <c r="K446" s="94">
        <v>2</v>
      </c>
      <c r="L446" s="94" t="s">
        <v>210</v>
      </c>
      <c r="M446" s="94" t="s">
        <v>210</v>
      </c>
      <c r="N446" s="94">
        <v>-3</v>
      </c>
      <c r="O446" s="94">
        <v>-7</v>
      </c>
      <c r="P446" s="94" t="s">
        <v>210</v>
      </c>
      <c r="Q446" s="94" t="s">
        <v>210</v>
      </c>
      <c r="R446" s="94">
        <v>4</v>
      </c>
      <c r="S446" s="94">
        <v>5</v>
      </c>
      <c r="T446" s="94" t="s">
        <v>210</v>
      </c>
      <c r="U446" s="94"/>
      <c r="V446" s="94"/>
      <c r="W446" s="94"/>
      <c r="X446" s="94"/>
      <c r="Y446" s="94"/>
      <c r="Z446" s="94"/>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AZ446" s="94"/>
      <c r="BA446" s="95"/>
    </row>
    <row r="447" spans="1:53" s="87" customFormat="1">
      <c r="A447" s="90" t="str">
        <f t="shared" si="31"/>
        <v/>
      </c>
      <c r="B447" s="98">
        <v>2</v>
      </c>
      <c r="C447" s="94">
        <v>-1</v>
      </c>
      <c r="D447" s="94" t="s">
        <v>210</v>
      </c>
      <c r="E447" s="94" t="s">
        <v>210</v>
      </c>
      <c r="F447" s="94">
        <v>-4</v>
      </c>
      <c r="G447" s="94">
        <v>2</v>
      </c>
      <c r="H447" s="94" t="s">
        <v>210</v>
      </c>
      <c r="I447" s="94" t="s">
        <v>210</v>
      </c>
      <c r="J447" s="94">
        <v>8</v>
      </c>
      <c r="K447" s="94">
        <v>-9</v>
      </c>
      <c r="L447" s="94" t="s">
        <v>210</v>
      </c>
      <c r="M447" s="94" t="s">
        <v>210</v>
      </c>
      <c r="N447" s="94">
        <v>-7</v>
      </c>
      <c r="O447" s="94">
        <v>6</v>
      </c>
      <c r="P447" s="94" t="s">
        <v>210</v>
      </c>
      <c r="Q447" s="94" t="s">
        <v>210</v>
      </c>
      <c r="R447" s="94">
        <v>3</v>
      </c>
      <c r="S447" s="94">
        <v>-5</v>
      </c>
      <c r="T447" s="94" t="s">
        <v>210</v>
      </c>
      <c r="U447" s="94"/>
      <c r="V447" s="94"/>
      <c r="W447" s="94"/>
      <c r="X447" s="94"/>
      <c r="Y447" s="94"/>
      <c r="Z447" s="94"/>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5"/>
    </row>
    <row r="448" spans="1:53" s="87" customFormat="1">
      <c r="A448" s="90" t="str">
        <f t="shared" si="31"/>
        <v/>
      </c>
      <c r="B448" s="98">
        <v>3</v>
      </c>
      <c r="C448" s="94">
        <v>-9</v>
      </c>
      <c r="D448" s="94" t="s">
        <v>210</v>
      </c>
      <c r="E448" s="94" t="s">
        <v>210</v>
      </c>
      <c r="F448" s="94">
        <v>2</v>
      </c>
      <c r="G448" s="94">
        <v>5</v>
      </c>
      <c r="H448" s="94" t="s">
        <v>210</v>
      </c>
      <c r="I448" s="94" t="s">
        <v>210</v>
      </c>
      <c r="J448" s="94">
        <v>-1</v>
      </c>
      <c r="K448" s="94">
        <v>-8</v>
      </c>
      <c r="L448" s="94" t="s">
        <v>210</v>
      </c>
      <c r="M448" s="94" t="s">
        <v>210</v>
      </c>
      <c r="N448" s="94">
        <v>7</v>
      </c>
      <c r="O448" s="94">
        <v>3</v>
      </c>
      <c r="P448" s="94" t="s">
        <v>210</v>
      </c>
      <c r="Q448" s="94" t="s">
        <v>210</v>
      </c>
      <c r="R448" s="94">
        <v>-4</v>
      </c>
      <c r="S448" s="94">
        <v>-6</v>
      </c>
      <c r="T448" s="94" t="s">
        <v>210</v>
      </c>
      <c r="U448" s="94"/>
      <c r="V448" s="94"/>
      <c r="W448" s="94"/>
      <c r="X448" s="94"/>
      <c r="Y448" s="94"/>
      <c r="Z448" s="94"/>
      <c r="AA448" s="94"/>
      <c r="AB448" s="94"/>
      <c r="AC448" s="94"/>
      <c r="AD448" s="94"/>
      <c r="AE448" s="94"/>
      <c r="AF448" s="94"/>
      <c r="AG448" s="94"/>
      <c r="AH448" s="94"/>
      <c r="AI448" s="94"/>
      <c r="AJ448" s="94"/>
      <c r="AK448" s="94"/>
      <c r="AL448" s="94"/>
      <c r="AM448" s="94"/>
      <c r="AN448" s="94"/>
      <c r="AO448" s="94"/>
      <c r="AP448" s="94"/>
      <c r="AQ448" s="94"/>
      <c r="AR448" s="94"/>
      <c r="AS448" s="94"/>
      <c r="AT448" s="94"/>
      <c r="AU448" s="94"/>
      <c r="AV448" s="94"/>
      <c r="AW448" s="94"/>
      <c r="AX448" s="94"/>
      <c r="AY448" s="94"/>
      <c r="AZ448" s="94"/>
      <c r="BA448" s="95"/>
    </row>
    <row r="449" spans="1:53" s="87" customFormat="1">
      <c r="A449" s="90" t="str">
        <f t="shared" si="31"/>
        <v/>
      </c>
      <c r="B449" s="98">
        <v>4</v>
      </c>
      <c r="C449" s="94">
        <v>2</v>
      </c>
      <c r="D449" s="94" t="s">
        <v>210</v>
      </c>
      <c r="E449" s="94" t="s">
        <v>210</v>
      </c>
      <c r="F449" s="94">
        <v>-9</v>
      </c>
      <c r="G449" s="94">
        <v>8</v>
      </c>
      <c r="H449" s="94" t="s">
        <v>210</v>
      </c>
      <c r="I449" s="94" t="s">
        <v>210</v>
      </c>
      <c r="J449" s="94">
        <v>-7</v>
      </c>
      <c r="K449" s="94">
        <v>1</v>
      </c>
      <c r="L449" s="94" t="s">
        <v>210</v>
      </c>
      <c r="M449" s="94" t="s">
        <v>210</v>
      </c>
      <c r="N449" s="94">
        <v>4</v>
      </c>
      <c r="O449" s="94">
        <v>-5</v>
      </c>
      <c r="P449" s="94" t="s">
        <v>210</v>
      </c>
      <c r="Q449" s="94" t="s">
        <v>210</v>
      </c>
      <c r="R449" s="94">
        <v>-3</v>
      </c>
      <c r="S449" s="94">
        <v>6</v>
      </c>
      <c r="T449" s="94" t="s">
        <v>210</v>
      </c>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5"/>
    </row>
    <row r="450" spans="1:53" s="87" customFormat="1">
      <c r="A450" s="90" t="str">
        <f t="shared" si="31"/>
        <v/>
      </c>
      <c r="B450" s="98">
        <v>5</v>
      </c>
      <c r="C450" s="94">
        <v>-8</v>
      </c>
      <c r="D450" s="94" t="s">
        <v>210</v>
      </c>
      <c r="E450" s="94" t="s">
        <v>210</v>
      </c>
      <c r="F450" s="94">
        <v>9</v>
      </c>
      <c r="G450" s="94">
        <v>-2</v>
      </c>
      <c r="H450" s="94" t="s">
        <v>210</v>
      </c>
      <c r="I450" s="94" t="s">
        <v>210</v>
      </c>
      <c r="J450" s="94">
        <v>1</v>
      </c>
      <c r="K450" s="94">
        <v>-3</v>
      </c>
      <c r="L450" s="94" t="s">
        <v>210</v>
      </c>
      <c r="M450" s="94" t="s">
        <v>210</v>
      </c>
      <c r="N450" s="94">
        <v>-6</v>
      </c>
      <c r="O450" s="94">
        <v>7</v>
      </c>
      <c r="P450" s="94" t="s">
        <v>210</v>
      </c>
      <c r="Q450" s="94" t="s">
        <v>210</v>
      </c>
      <c r="R450" s="94">
        <v>-5</v>
      </c>
      <c r="S450" s="94">
        <v>4</v>
      </c>
      <c r="T450" s="94" t="s">
        <v>210</v>
      </c>
      <c r="U450" s="94"/>
      <c r="V450" s="94"/>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5"/>
    </row>
    <row r="451" spans="1:53" s="87" customFormat="1">
      <c r="A451" s="90" t="str">
        <f t="shared" si="31"/>
        <v/>
      </c>
      <c r="B451" s="98">
        <v>6</v>
      </c>
      <c r="C451" s="94">
        <v>-2</v>
      </c>
      <c r="D451" s="94" t="s">
        <v>210</v>
      </c>
      <c r="E451" s="94" t="s">
        <v>210</v>
      </c>
      <c r="F451" s="94">
        <v>1</v>
      </c>
      <c r="G451" s="94">
        <v>6</v>
      </c>
      <c r="H451" s="94" t="s">
        <v>210</v>
      </c>
      <c r="I451" s="94" t="s">
        <v>210</v>
      </c>
      <c r="J451" s="94">
        <v>-5</v>
      </c>
      <c r="K451" s="94">
        <v>9</v>
      </c>
      <c r="L451" s="94" t="s">
        <v>210</v>
      </c>
      <c r="M451" s="94" t="s">
        <v>210</v>
      </c>
      <c r="N451" s="94">
        <v>8</v>
      </c>
      <c r="O451" s="94">
        <v>-3</v>
      </c>
      <c r="P451" s="94" t="s">
        <v>210</v>
      </c>
      <c r="Q451" s="94" t="s">
        <v>210</v>
      </c>
      <c r="R451" s="94">
        <v>7</v>
      </c>
      <c r="S451" s="94">
        <v>-4</v>
      </c>
      <c r="T451" s="94" t="s">
        <v>210</v>
      </c>
      <c r="U451" s="94"/>
      <c r="V451" s="94"/>
      <c r="W451" s="94"/>
      <c r="X451" s="94"/>
      <c r="Y451" s="94"/>
      <c r="Z451" s="94"/>
      <c r="AA451" s="94"/>
      <c r="AB451" s="94"/>
      <c r="AC451" s="94"/>
      <c r="AD451" s="94"/>
      <c r="AE451" s="94"/>
      <c r="AF451" s="94"/>
      <c r="AG451" s="94"/>
      <c r="AH451" s="94"/>
      <c r="AI451" s="94"/>
      <c r="AJ451" s="94"/>
      <c r="AK451" s="94"/>
      <c r="AL451" s="94"/>
      <c r="AM451" s="94"/>
      <c r="AN451" s="94"/>
      <c r="AO451" s="94"/>
      <c r="AP451" s="94"/>
      <c r="AQ451" s="94"/>
      <c r="AR451" s="94"/>
      <c r="AS451" s="94"/>
      <c r="AT451" s="94"/>
      <c r="AU451" s="94"/>
      <c r="AV451" s="94"/>
      <c r="AW451" s="94"/>
      <c r="AX451" s="94"/>
      <c r="AY451" s="94"/>
      <c r="AZ451" s="94"/>
      <c r="BA451" s="95"/>
    </row>
    <row r="452" spans="1:53" s="87" customFormat="1">
      <c r="A452" s="90" t="str">
        <f t="shared" si="31"/>
        <v/>
      </c>
      <c r="B452" s="98">
        <v>7</v>
      </c>
      <c r="C452" s="94">
        <v>1</v>
      </c>
      <c r="D452" s="94" t="s">
        <v>210</v>
      </c>
      <c r="E452" s="94" t="s">
        <v>210</v>
      </c>
      <c r="F452" s="94">
        <v>3</v>
      </c>
      <c r="G452" s="94">
        <v>-6</v>
      </c>
      <c r="H452" s="94" t="s">
        <v>210</v>
      </c>
      <c r="I452" s="94" t="s">
        <v>210</v>
      </c>
      <c r="J452" s="94">
        <v>-9</v>
      </c>
      <c r="K452" s="94">
        <v>8</v>
      </c>
      <c r="L452" s="94" t="s">
        <v>210</v>
      </c>
      <c r="M452" s="94" t="s">
        <v>210</v>
      </c>
      <c r="N452" s="94">
        <v>-4</v>
      </c>
      <c r="O452" s="94">
        <v>-2</v>
      </c>
      <c r="P452" s="94" t="s">
        <v>210</v>
      </c>
      <c r="Q452" s="94" t="s">
        <v>210</v>
      </c>
      <c r="R452" s="94">
        <v>5</v>
      </c>
      <c r="S452" s="94">
        <v>7</v>
      </c>
      <c r="T452" s="94" t="s">
        <v>210</v>
      </c>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5"/>
    </row>
    <row r="453" spans="1:53" s="87" customFormat="1">
      <c r="A453" s="90" t="str">
        <f t="shared" si="31"/>
        <v/>
      </c>
      <c r="B453" s="98">
        <v>8</v>
      </c>
      <c r="C453" s="94">
        <v>8</v>
      </c>
      <c r="D453" s="94" t="s">
        <v>210</v>
      </c>
      <c r="E453" s="94" t="s">
        <v>210</v>
      </c>
      <c r="F453" s="94">
        <v>-2</v>
      </c>
      <c r="G453" s="94">
        <v>-4</v>
      </c>
      <c r="H453" s="94" t="s">
        <v>210</v>
      </c>
      <c r="I453" s="94" t="s">
        <v>210</v>
      </c>
      <c r="J453" s="94">
        <v>5</v>
      </c>
      <c r="K453" s="94">
        <v>-1</v>
      </c>
      <c r="L453" s="94" t="s">
        <v>210</v>
      </c>
      <c r="M453" s="94" t="s">
        <v>210</v>
      </c>
      <c r="N453" s="94">
        <v>3</v>
      </c>
      <c r="O453" s="94">
        <v>-6</v>
      </c>
      <c r="P453" s="94" t="s">
        <v>210</v>
      </c>
      <c r="Q453" s="94" t="s">
        <v>210</v>
      </c>
      <c r="R453" s="94">
        <v>9</v>
      </c>
      <c r="S453" s="94">
        <v>-7</v>
      </c>
      <c r="T453" s="94" t="s">
        <v>210</v>
      </c>
      <c r="U453" s="94"/>
      <c r="V453" s="94"/>
      <c r="W453" s="94"/>
      <c r="X453" s="94"/>
      <c r="Y453" s="94"/>
      <c r="Z453" s="94"/>
      <c r="AA453" s="94"/>
      <c r="AB453" s="94"/>
      <c r="AC453" s="94"/>
      <c r="AD453" s="94"/>
      <c r="AE453" s="94"/>
      <c r="AF453" s="94"/>
      <c r="AG453" s="94"/>
      <c r="AH453" s="94"/>
      <c r="AI453" s="94"/>
      <c r="AJ453" s="94"/>
      <c r="AK453" s="94"/>
      <c r="AL453" s="94"/>
      <c r="AM453" s="94"/>
      <c r="AN453" s="94"/>
      <c r="AO453" s="94"/>
      <c r="AP453" s="94"/>
      <c r="AQ453" s="94"/>
      <c r="AR453" s="94"/>
      <c r="AS453" s="94"/>
      <c r="AT453" s="94"/>
      <c r="AU453" s="94"/>
      <c r="AV453" s="94"/>
      <c r="AW453" s="94"/>
      <c r="AX453" s="94"/>
      <c r="AY453" s="94"/>
      <c r="AZ453" s="94"/>
      <c r="BA453" s="95"/>
    </row>
    <row r="454" spans="1:53" s="87" customFormat="1">
      <c r="A454" s="90" t="str">
        <f t="shared" si="31"/>
        <v/>
      </c>
      <c r="B454" s="99">
        <v>9</v>
      </c>
      <c r="C454" s="92">
        <v>9</v>
      </c>
      <c r="D454" s="92" t="s">
        <v>210</v>
      </c>
      <c r="E454" s="92" t="s">
        <v>210</v>
      </c>
      <c r="F454" s="92">
        <v>-3</v>
      </c>
      <c r="G454" s="92">
        <v>4</v>
      </c>
      <c r="H454" s="92" t="s">
        <v>210</v>
      </c>
      <c r="I454" s="92" t="s">
        <v>210</v>
      </c>
      <c r="J454" s="92">
        <v>-8</v>
      </c>
      <c r="K454" s="92">
        <v>-2</v>
      </c>
      <c r="L454" s="92" t="s">
        <v>210</v>
      </c>
      <c r="M454" s="92" t="s">
        <v>210</v>
      </c>
      <c r="N454" s="92">
        <v>6</v>
      </c>
      <c r="O454" s="92">
        <v>5</v>
      </c>
      <c r="P454" s="92" t="s">
        <v>210</v>
      </c>
      <c r="Q454" s="92" t="s">
        <v>210</v>
      </c>
      <c r="R454" s="92">
        <v>-7</v>
      </c>
      <c r="S454" s="92">
        <v>-1</v>
      </c>
      <c r="T454" s="92" t="s">
        <v>210</v>
      </c>
      <c r="U454" s="94"/>
      <c r="V454" s="94"/>
      <c r="W454" s="94"/>
      <c r="X454" s="94"/>
      <c r="Y454" s="94"/>
      <c r="Z454" s="94"/>
      <c r="AA454" s="94"/>
      <c r="AB454" s="94"/>
      <c r="AC454" s="94"/>
      <c r="AD454" s="94"/>
      <c r="AE454" s="94"/>
      <c r="AF454" s="94"/>
      <c r="AG454" s="94"/>
      <c r="AH454" s="94"/>
      <c r="AI454" s="94"/>
      <c r="AJ454" s="94"/>
      <c r="AK454" s="94"/>
      <c r="AL454" s="94"/>
      <c r="AM454" s="94"/>
      <c r="AN454" s="94"/>
      <c r="AO454" s="94"/>
      <c r="AP454" s="94"/>
      <c r="AQ454" s="94"/>
      <c r="AR454" s="94"/>
      <c r="AS454" s="94"/>
      <c r="AT454" s="94"/>
      <c r="AU454" s="94"/>
      <c r="AV454" s="94"/>
      <c r="AW454" s="94"/>
      <c r="AX454" s="94"/>
      <c r="AY454" s="94"/>
      <c r="AZ454" s="94"/>
      <c r="BA454" s="95"/>
    </row>
    <row r="455" spans="1:53" s="87" customFormat="1">
      <c r="A455" s="90" t="str">
        <f t="shared" si="31"/>
        <v/>
      </c>
      <c r="B455" s="98">
        <v>10</v>
      </c>
      <c r="C455" s="94">
        <v>-6</v>
      </c>
      <c r="D455" s="94" t="s">
        <v>210</v>
      </c>
      <c r="E455" s="94" t="s">
        <v>210</v>
      </c>
      <c r="F455" s="94">
        <v>5</v>
      </c>
      <c r="G455" s="94">
        <v>1</v>
      </c>
      <c r="H455" s="94" t="s">
        <v>210</v>
      </c>
      <c r="I455" s="94" t="s">
        <v>210</v>
      </c>
      <c r="J455" s="94">
        <v>-2</v>
      </c>
      <c r="K455" s="94">
        <v>-4</v>
      </c>
      <c r="L455" s="94" t="s">
        <v>210</v>
      </c>
      <c r="M455" s="94" t="s">
        <v>210</v>
      </c>
      <c r="N455" s="94">
        <v>9</v>
      </c>
      <c r="O455" s="94">
        <v>8</v>
      </c>
      <c r="P455" s="94" t="s">
        <v>210</v>
      </c>
      <c r="Q455" s="94" t="s">
        <v>210</v>
      </c>
      <c r="R455" s="94">
        <v>-1</v>
      </c>
      <c r="S455" s="94">
        <v>-3</v>
      </c>
      <c r="T455" s="94" t="s">
        <v>210</v>
      </c>
      <c r="U455" s="94"/>
      <c r="V455" s="94"/>
      <c r="W455" s="94"/>
      <c r="X455" s="94"/>
      <c r="Y455" s="94"/>
      <c r="Z455" s="94"/>
      <c r="AA455" s="94"/>
      <c r="AB455" s="94"/>
      <c r="AC455" s="94"/>
      <c r="AD455" s="94"/>
      <c r="AE455" s="94"/>
      <c r="AF455" s="94"/>
      <c r="AG455" s="94"/>
      <c r="AH455" s="94"/>
      <c r="AI455" s="94"/>
      <c r="AJ455" s="94"/>
      <c r="AK455" s="94"/>
      <c r="AL455" s="94"/>
      <c r="AM455" s="94"/>
      <c r="AN455" s="94"/>
      <c r="AO455" s="94"/>
      <c r="AP455" s="94"/>
      <c r="AQ455" s="94"/>
      <c r="AR455" s="94"/>
      <c r="AS455" s="94"/>
      <c r="AT455" s="94"/>
      <c r="AU455" s="94"/>
      <c r="AV455" s="94"/>
      <c r="AW455" s="94"/>
      <c r="AX455" s="94"/>
      <c r="AY455" s="94"/>
      <c r="AZ455" s="94"/>
      <c r="BA455" s="95"/>
    </row>
    <row r="456" spans="1:53" s="87" customFormat="1">
      <c r="A456" s="90" t="str">
        <f t="shared" si="31"/>
        <v/>
      </c>
      <c r="B456" s="98">
        <v>11</v>
      </c>
      <c r="C456" s="94">
        <v>-7</v>
      </c>
      <c r="D456" s="94" t="s">
        <v>210</v>
      </c>
      <c r="E456" s="94" t="s">
        <v>210</v>
      </c>
      <c r="F456" s="94">
        <v>4</v>
      </c>
      <c r="G456" s="94">
        <v>-9</v>
      </c>
      <c r="H456" s="94" t="s">
        <v>210</v>
      </c>
      <c r="I456" s="94" t="s">
        <v>210</v>
      </c>
      <c r="J456" s="94">
        <v>-6</v>
      </c>
      <c r="K456" s="94">
        <v>7</v>
      </c>
      <c r="L456" s="94" t="s">
        <v>210</v>
      </c>
      <c r="M456" s="94" t="s">
        <v>210</v>
      </c>
      <c r="N456" s="94">
        <v>2</v>
      </c>
      <c r="O456" s="94">
        <v>-1</v>
      </c>
      <c r="P456" s="94" t="s">
        <v>210</v>
      </c>
      <c r="Q456" s="94" t="s">
        <v>210</v>
      </c>
      <c r="R456" s="94">
        <v>8</v>
      </c>
      <c r="S456" s="94">
        <v>3</v>
      </c>
      <c r="T456" s="94" t="s">
        <v>210</v>
      </c>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5"/>
    </row>
    <row r="457" spans="1:53" s="87" customFormat="1">
      <c r="A457" s="90" t="str">
        <f t="shared" si="31"/>
        <v/>
      </c>
      <c r="B457" s="98">
        <v>12</v>
      </c>
      <c r="C457" s="94">
        <v>-4</v>
      </c>
      <c r="D457" s="94" t="s">
        <v>210</v>
      </c>
      <c r="E457" s="94" t="s">
        <v>210</v>
      </c>
      <c r="F457" s="94">
        <v>6</v>
      </c>
      <c r="G457" s="94">
        <v>-5</v>
      </c>
      <c r="H457" s="94" t="s">
        <v>210</v>
      </c>
      <c r="I457" s="94" t="s">
        <v>210</v>
      </c>
      <c r="J457" s="94">
        <v>3</v>
      </c>
      <c r="K457" s="94">
        <v>-7</v>
      </c>
      <c r="L457" s="94" t="s">
        <v>210</v>
      </c>
      <c r="M457" s="94" t="s">
        <v>210</v>
      </c>
      <c r="N457" s="94">
        <v>-9</v>
      </c>
      <c r="O457" s="94">
        <v>4</v>
      </c>
      <c r="P457" s="94" t="s">
        <v>210</v>
      </c>
      <c r="Q457" s="94" t="s">
        <v>210</v>
      </c>
      <c r="R457" s="94">
        <v>2</v>
      </c>
      <c r="S457" s="94">
        <v>-8</v>
      </c>
      <c r="T457" s="94" t="s">
        <v>210</v>
      </c>
      <c r="U457" s="94"/>
      <c r="V457" s="94"/>
      <c r="W457" s="94"/>
      <c r="X457" s="94"/>
      <c r="Y457" s="94"/>
      <c r="Z457" s="94"/>
      <c r="AA457" s="94"/>
      <c r="AB457" s="94"/>
      <c r="AC457" s="94"/>
      <c r="AD457" s="94"/>
      <c r="AE457" s="94"/>
      <c r="AF457" s="94"/>
      <c r="AG457" s="94"/>
      <c r="AH457" s="94"/>
      <c r="AI457" s="94"/>
      <c r="AJ457" s="94"/>
      <c r="AK457" s="94"/>
      <c r="AL457" s="94"/>
      <c r="AM457" s="94"/>
      <c r="AN457" s="94"/>
      <c r="AO457" s="94"/>
      <c r="AP457" s="94"/>
      <c r="AQ457" s="94"/>
      <c r="AR457" s="94"/>
      <c r="AS457" s="94"/>
      <c r="AT457" s="94"/>
      <c r="AU457" s="94"/>
      <c r="AV457" s="94"/>
      <c r="AW457" s="94"/>
      <c r="AX457" s="94"/>
      <c r="AY457" s="94"/>
      <c r="AZ457" s="94"/>
      <c r="BA457" s="95"/>
    </row>
    <row r="458" spans="1:53" s="87" customFormat="1">
      <c r="A458" s="90" t="str">
        <f t="shared" si="31"/>
        <v/>
      </c>
      <c r="B458" s="98">
        <v>13</v>
      </c>
      <c r="C458" s="94">
        <v>3</v>
      </c>
      <c r="D458" s="94" t="s">
        <v>210</v>
      </c>
      <c r="E458" s="94" t="s">
        <v>210</v>
      </c>
      <c r="F458" s="94">
        <v>-8</v>
      </c>
      <c r="G458" s="94">
        <v>-1</v>
      </c>
      <c r="H458" s="94" t="s">
        <v>210</v>
      </c>
      <c r="I458" s="94" t="s">
        <v>210</v>
      </c>
      <c r="J458" s="94">
        <v>7</v>
      </c>
      <c r="K458" s="94">
        <v>5</v>
      </c>
      <c r="L458" s="94" t="s">
        <v>210</v>
      </c>
      <c r="M458" s="94" t="s">
        <v>210</v>
      </c>
      <c r="N458" s="94">
        <v>-2</v>
      </c>
      <c r="O458" s="94">
        <v>-9</v>
      </c>
      <c r="P458" s="94" t="s">
        <v>210</v>
      </c>
      <c r="Q458" s="94" t="s">
        <v>210</v>
      </c>
      <c r="R458" s="94">
        <v>6</v>
      </c>
      <c r="S458" s="94">
        <v>8</v>
      </c>
      <c r="T458" s="94" t="s">
        <v>210</v>
      </c>
      <c r="U458" s="94"/>
      <c r="V458" s="94"/>
      <c r="W458" s="94"/>
      <c r="X458" s="94"/>
      <c r="Y458" s="94"/>
      <c r="Z458" s="94"/>
      <c r="AA458" s="94"/>
      <c r="AB458" s="94"/>
      <c r="AC458" s="94"/>
      <c r="AD458" s="94"/>
      <c r="AE458" s="94"/>
      <c r="AF458" s="94"/>
      <c r="AG458" s="94"/>
      <c r="AH458" s="94"/>
      <c r="AI458" s="94"/>
      <c r="AJ458" s="94"/>
      <c r="AK458" s="94"/>
      <c r="AL458" s="94"/>
      <c r="AM458" s="94"/>
      <c r="AN458" s="94"/>
      <c r="AO458" s="94"/>
      <c r="AP458" s="94"/>
      <c r="AQ458" s="94"/>
      <c r="AR458" s="94"/>
      <c r="AS458" s="94"/>
      <c r="AT458" s="94"/>
      <c r="AU458" s="94"/>
      <c r="AV458" s="94"/>
      <c r="AW458" s="94"/>
      <c r="AX458" s="94"/>
      <c r="AY458" s="94"/>
      <c r="AZ458" s="94"/>
      <c r="BA458" s="95"/>
    </row>
    <row r="459" spans="1:53" s="87" customFormat="1">
      <c r="A459" s="90" t="str">
        <f t="shared" si="31"/>
        <v/>
      </c>
      <c r="B459" s="98">
        <v>14</v>
      </c>
      <c r="C459" s="94">
        <v>5</v>
      </c>
      <c r="D459" s="94" t="s">
        <v>210</v>
      </c>
      <c r="E459" s="94" t="s">
        <v>210</v>
      </c>
      <c r="F459" s="94">
        <v>8</v>
      </c>
      <c r="G459" s="94">
        <v>-7</v>
      </c>
      <c r="H459" s="94" t="s">
        <v>210</v>
      </c>
      <c r="I459" s="94" t="s">
        <v>210</v>
      </c>
      <c r="J459" s="94">
        <v>6</v>
      </c>
      <c r="K459" s="94">
        <v>3</v>
      </c>
      <c r="L459" s="94" t="s">
        <v>210</v>
      </c>
      <c r="M459" s="94" t="s">
        <v>210</v>
      </c>
      <c r="N459" s="94">
        <v>-5</v>
      </c>
      <c r="O459" s="94">
        <v>-4</v>
      </c>
      <c r="P459" s="94" t="s">
        <v>210</v>
      </c>
      <c r="Q459" s="94" t="s">
        <v>210</v>
      </c>
      <c r="R459" s="94">
        <v>1</v>
      </c>
      <c r="S459" s="94">
        <v>-2</v>
      </c>
      <c r="T459" s="94" t="s">
        <v>210</v>
      </c>
      <c r="U459" s="94"/>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c r="AW459" s="94"/>
      <c r="AX459" s="94"/>
      <c r="AY459" s="94"/>
      <c r="AZ459" s="94"/>
      <c r="BA459" s="95"/>
    </row>
    <row r="460" spans="1:53" s="87" customFormat="1">
      <c r="A460" s="90" t="str">
        <f t="shared" ref="A460:A523" si="32">IF(MID(B460,3,2)="09",ROW(),"")</f>
        <v/>
      </c>
      <c r="B460" s="98">
        <v>15</v>
      </c>
      <c r="C460" s="94">
        <v>-3</v>
      </c>
      <c r="D460" s="94" t="s">
        <v>210</v>
      </c>
      <c r="E460" s="94" t="s">
        <v>210</v>
      </c>
      <c r="F460" s="94">
        <v>-5</v>
      </c>
      <c r="G460" s="94">
        <v>7</v>
      </c>
      <c r="H460" s="94" t="s">
        <v>210</v>
      </c>
      <c r="I460" s="94" t="s">
        <v>210</v>
      </c>
      <c r="J460" s="94">
        <v>-4</v>
      </c>
      <c r="K460" s="94">
        <v>6</v>
      </c>
      <c r="L460" s="94" t="s">
        <v>210</v>
      </c>
      <c r="M460" s="94" t="s">
        <v>210</v>
      </c>
      <c r="N460" s="94">
        <v>-8</v>
      </c>
      <c r="O460" s="94">
        <v>1</v>
      </c>
      <c r="P460" s="94" t="s">
        <v>210</v>
      </c>
      <c r="Q460" s="94" t="s">
        <v>210</v>
      </c>
      <c r="R460" s="94">
        <v>-2</v>
      </c>
      <c r="S460" s="94">
        <v>9</v>
      </c>
      <c r="T460" s="94" t="s">
        <v>210</v>
      </c>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5"/>
    </row>
    <row r="461" spans="1:53" s="87" customFormat="1">
      <c r="A461" s="90" t="str">
        <f t="shared" si="32"/>
        <v/>
      </c>
      <c r="B461" s="98">
        <v>16</v>
      </c>
      <c r="C461" s="94">
        <v>-5</v>
      </c>
      <c r="D461" s="94" t="s">
        <v>210</v>
      </c>
      <c r="E461" s="94" t="s">
        <v>210</v>
      </c>
      <c r="F461" s="94">
        <v>7</v>
      </c>
      <c r="G461" s="94">
        <v>9</v>
      </c>
      <c r="H461" s="94" t="s">
        <v>210</v>
      </c>
      <c r="I461" s="94" t="s">
        <v>210</v>
      </c>
      <c r="J461" s="94">
        <v>-3</v>
      </c>
      <c r="K461" s="94">
        <v>4</v>
      </c>
      <c r="L461" s="94" t="s">
        <v>210</v>
      </c>
      <c r="M461" s="94" t="s">
        <v>210</v>
      </c>
      <c r="N461" s="94">
        <v>-1</v>
      </c>
      <c r="O461" s="94">
        <v>2</v>
      </c>
      <c r="P461" s="94" t="s">
        <v>210</v>
      </c>
      <c r="Q461" s="94" t="s">
        <v>210</v>
      </c>
      <c r="R461" s="94">
        <v>-6</v>
      </c>
      <c r="S461" s="94">
        <v>-9</v>
      </c>
      <c r="T461" s="94" t="s">
        <v>210</v>
      </c>
      <c r="U461" s="94"/>
      <c r="V461" s="94"/>
      <c r="W461" s="94"/>
      <c r="X461" s="94"/>
      <c r="Y461" s="94"/>
      <c r="Z461" s="94"/>
      <c r="AA461" s="94"/>
      <c r="AB461" s="94"/>
      <c r="AC461" s="94"/>
      <c r="AD461" s="94"/>
      <c r="AE461" s="94"/>
      <c r="AF461" s="94"/>
      <c r="AG461" s="94"/>
      <c r="AH461" s="94"/>
      <c r="AI461" s="94"/>
      <c r="AJ461" s="94"/>
      <c r="AK461" s="94"/>
      <c r="AL461" s="94"/>
      <c r="AM461" s="94"/>
      <c r="AN461" s="94"/>
      <c r="AO461" s="94"/>
      <c r="AP461" s="94"/>
      <c r="AQ461" s="94"/>
      <c r="AR461" s="94"/>
      <c r="AS461" s="94"/>
      <c r="AT461" s="94"/>
      <c r="AU461" s="94"/>
      <c r="AV461" s="94"/>
      <c r="AW461" s="94"/>
      <c r="AX461" s="94"/>
      <c r="AY461" s="94"/>
      <c r="AZ461" s="94"/>
      <c r="BA461" s="95"/>
    </row>
    <row r="462" spans="1:53" s="87" customFormat="1">
      <c r="A462" s="90" t="str">
        <f t="shared" si="32"/>
        <v/>
      </c>
      <c r="B462" s="98">
        <v>17</v>
      </c>
      <c r="C462" s="94">
        <v>7</v>
      </c>
      <c r="D462" s="94" t="s">
        <v>210</v>
      </c>
      <c r="E462" s="94" t="s">
        <v>210</v>
      </c>
      <c r="F462" s="94">
        <v>-6</v>
      </c>
      <c r="G462" s="94">
        <v>3</v>
      </c>
      <c r="H462" s="94" t="s">
        <v>210</v>
      </c>
      <c r="I462" s="94" t="s">
        <v>210</v>
      </c>
      <c r="J462" s="94">
        <v>4</v>
      </c>
      <c r="K462" s="94">
        <v>-5</v>
      </c>
      <c r="L462" s="94" t="s">
        <v>210</v>
      </c>
      <c r="M462" s="94" t="s">
        <v>210</v>
      </c>
      <c r="N462" s="94">
        <v>1</v>
      </c>
      <c r="O462" s="94">
        <v>-8</v>
      </c>
      <c r="P462" s="94" t="s">
        <v>210</v>
      </c>
      <c r="Q462" s="94" t="s">
        <v>210</v>
      </c>
      <c r="R462" s="94">
        <v>-9</v>
      </c>
      <c r="S462" s="94">
        <v>2</v>
      </c>
      <c r="T462" s="94" t="s">
        <v>210</v>
      </c>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5"/>
    </row>
    <row r="463" spans="1:53" s="87" customFormat="1">
      <c r="A463" s="90" t="str">
        <f t="shared" si="32"/>
        <v/>
      </c>
      <c r="B463" s="99">
        <v>18</v>
      </c>
      <c r="C463" s="92">
        <v>4</v>
      </c>
      <c r="D463" s="92" t="s">
        <v>210</v>
      </c>
      <c r="E463" s="92" t="s">
        <v>210</v>
      </c>
      <c r="F463" s="92">
        <v>-7</v>
      </c>
      <c r="G463" s="92">
        <v>-3</v>
      </c>
      <c r="H463" s="92" t="s">
        <v>210</v>
      </c>
      <c r="I463" s="92" t="s">
        <v>210</v>
      </c>
      <c r="J463" s="92">
        <v>2</v>
      </c>
      <c r="K463" s="92">
        <v>-6</v>
      </c>
      <c r="L463" s="92" t="s">
        <v>210</v>
      </c>
      <c r="M463" s="92" t="s">
        <v>210</v>
      </c>
      <c r="N463" s="92">
        <v>5</v>
      </c>
      <c r="O463" s="92">
        <v>9</v>
      </c>
      <c r="P463" s="92" t="s">
        <v>210</v>
      </c>
      <c r="Q463" s="92" t="s">
        <v>210</v>
      </c>
      <c r="R463" s="92">
        <v>-8</v>
      </c>
      <c r="S463" s="92">
        <v>1</v>
      </c>
      <c r="T463" s="92" t="s">
        <v>210</v>
      </c>
      <c r="U463" s="94"/>
      <c r="V463" s="94"/>
      <c r="W463" s="94"/>
      <c r="X463" s="94"/>
      <c r="Y463" s="94"/>
      <c r="Z463" s="94"/>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c r="AW463" s="94"/>
      <c r="AX463" s="94"/>
      <c r="AY463" s="94"/>
      <c r="AZ463" s="94"/>
      <c r="BA463" s="95"/>
    </row>
    <row r="464" spans="1:53" s="87" customFormat="1">
      <c r="A464" s="90" t="str">
        <f t="shared" si="32"/>
        <v/>
      </c>
      <c r="B464" s="98">
        <v>19</v>
      </c>
      <c r="C464" s="94" t="s">
        <v>210</v>
      </c>
      <c r="D464" s="94">
        <v>6</v>
      </c>
      <c r="E464" s="94">
        <v>-1</v>
      </c>
      <c r="F464" s="94" t="s">
        <v>210</v>
      </c>
      <c r="G464" s="94" t="s">
        <v>210</v>
      </c>
      <c r="H464" s="94">
        <v>-8</v>
      </c>
      <c r="I464" s="94">
        <v>9</v>
      </c>
      <c r="J464" s="94" t="s">
        <v>210</v>
      </c>
      <c r="K464" s="94" t="s">
        <v>210</v>
      </c>
      <c r="L464" s="94">
        <v>2</v>
      </c>
      <c r="M464" s="94">
        <v>-3</v>
      </c>
      <c r="N464" s="94" t="s">
        <v>210</v>
      </c>
      <c r="O464" s="94" t="s">
        <v>210</v>
      </c>
      <c r="P464" s="94">
        <v>-7</v>
      </c>
      <c r="Q464" s="94">
        <v>4</v>
      </c>
      <c r="R464" s="94" t="s">
        <v>210</v>
      </c>
      <c r="S464" s="94" t="s">
        <v>210</v>
      </c>
      <c r="T464" s="94">
        <v>5</v>
      </c>
      <c r="U464" s="94"/>
      <c r="V464" s="94"/>
      <c r="W464" s="94"/>
      <c r="X464" s="94"/>
      <c r="Y464" s="94"/>
      <c r="Z464" s="94"/>
      <c r="AA464" s="94"/>
      <c r="AB464" s="94"/>
      <c r="AC464" s="94"/>
      <c r="AD464" s="94"/>
      <c r="AE464" s="94"/>
      <c r="AF464" s="94"/>
      <c r="AG464" s="94"/>
      <c r="AH464" s="94"/>
      <c r="AI464" s="94"/>
      <c r="AJ464" s="94"/>
      <c r="AK464" s="94"/>
      <c r="AL464" s="94"/>
      <c r="AM464" s="94"/>
      <c r="AN464" s="94"/>
      <c r="AO464" s="94"/>
      <c r="AP464" s="94"/>
      <c r="AQ464" s="94"/>
      <c r="AR464" s="94"/>
      <c r="AS464" s="94"/>
      <c r="AT464" s="94"/>
      <c r="AU464" s="94"/>
      <c r="AV464" s="94"/>
      <c r="AW464" s="94"/>
      <c r="AX464" s="94"/>
      <c r="AY464" s="94"/>
      <c r="AZ464" s="94"/>
      <c r="BA464" s="95"/>
    </row>
    <row r="465" spans="1:53" s="87" customFormat="1">
      <c r="A465" s="90" t="str">
        <f t="shared" si="32"/>
        <v/>
      </c>
      <c r="B465" s="98">
        <v>20</v>
      </c>
      <c r="C465" s="94" t="s">
        <v>210</v>
      </c>
      <c r="D465" s="94">
        <v>-1</v>
      </c>
      <c r="E465" s="94">
        <v>-4</v>
      </c>
      <c r="F465" s="94" t="s">
        <v>210</v>
      </c>
      <c r="G465" s="94" t="s">
        <v>210</v>
      </c>
      <c r="H465" s="94">
        <v>2</v>
      </c>
      <c r="I465" s="94">
        <v>8</v>
      </c>
      <c r="J465" s="94" t="s">
        <v>210</v>
      </c>
      <c r="K465" s="94" t="s">
        <v>210</v>
      </c>
      <c r="L465" s="94">
        <v>-9</v>
      </c>
      <c r="M465" s="94">
        <v>-7</v>
      </c>
      <c r="N465" s="94" t="s">
        <v>210</v>
      </c>
      <c r="O465" s="94" t="s">
        <v>210</v>
      </c>
      <c r="P465" s="94">
        <v>6</v>
      </c>
      <c r="Q465" s="94">
        <v>3</v>
      </c>
      <c r="R465" s="94" t="s">
        <v>210</v>
      </c>
      <c r="S465" s="94" t="s">
        <v>210</v>
      </c>
      <c r="T465" s="94">
        <v>-5</v>
      </c>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5"/>
    </row>
    <row r="466" spans="1:53" s="87" customFormat="1">
      <c r="A466" s="90" t="str">
        <f t="shared" si="32"/>
        <v/>
      </c>
      <c r="B466" s="98">
        <v>21</v>
      </c>
      <c r="C466" s="94" t="s">
        <v>210</v>
      </c>
      <c r="D466" s="94">
        <v>-9</v>
      </c>
      <c r="E466" s="94">
        <v>2</v>
      </c>
      <c r="F466" s="94" t="s">
        <v>210</v>
      </c>
      <c r="G466" s="94" t="s">
        <v>210</v>
      </c>
      <c r="H466" s="94">
        <v>5</v>
      </c>
      <c r="I466" s="94">
        <v>-1</v>
      </c>
      <c r="J466" s="94" t="s">
        <v>210</v>
      </c>
      <c r="K466" s="94" t="s">
        <v>210</v>
      </c>
      <c r="L466" s="94">
        <v>-8</v>
      </c>
      <c r="M466" s="94">
        <v>7</v>
      </c>
      <c r="N466" s="94" t="s">
        <v>210</v>
      </c>
      <c r="O466" s="94" t="s">
        <v>210</v>
      </c>
      <c r="P466" s="94">
        <v>3</v>
      </c>
      <c r="Q466" s="94">
        <v>-4</v>
      </c>
      <c r="R466" s="94" t="s">
        <v>210</v>
      </c>
      <c r="S466" s="94" t="s">
        <v>210</v>
      </c>
      <c r="T466" s="94">
        <v>-6</v>
      </c>
      <c r="U466" s="94"/>
      <c r="V466" s="94"/>
      <c r="W466" s="94"/>
      <c r="X466" s="94"/>
      <c r="Y466" s="94"/>
      <c r="Z466" s="94"/>
      <c r="AA466" s="94"/>
      <c r="AB466" s="94"/>
      <c r="AC466" s="94"/>
      <c r="AD466" s="94"/>
      <c r="AE466" s="94"/>
      <c r="AF466" s="94"/>
      <c r="AG466" s="94"/>
      <c r="AH466" s="94"/>
      <c r="AI466" s="94"/>
      <c r="AJ466" s="94"/>
      <c r="AK466" s="94"/>
      <c r="AL466" s="94"/>
      <c r="AM466" s="94"/>
      <c r="AN466" s="94"/>
      <c r="AO466" s="94"/>
      <c r="AP466" s="94"/>
      <c r="AQ466" s="94"/>
      <c r="AR466" s="94"/>
      <c r="AS466" s="94"/>
      <c r="AT466" s="94"/>
      <c r="AU466" s="94"/>
      <c r="AV466" s="94"/>
      <c r="AW466" s="94"/>
      <c r="AX466" s="94"/>
      <c r="AY466" s="94"/>
      <c r="AZ466" s="94"/>
      <c r="BA466" s="95"/>
    </row>
    <row r="467" spans="1:53" s="87" customFormat="1">
      <c r="A467" s="90" t="str">
        <f t="shared" si="32"/>
        <v/>
      </c>
      <c r="B467" s="98">
        <v>22</v>
      </c>
      <c r="C467" s="94" t="s">
        <v>210</v>
      </c>
      <c r="D467" s="94">
        <v>2</v>
      </c>
      <c r="E467" s="94">
        <v>-9</v>
      </c>
      <c r="F467" s="94" t="s">
        <v>210</v>
      </c>
      <c r="G467" s="94" t="s">
        <v>210</v>
      </c>
      <c r="H467" s="94">
        <v>8</v>
      </c>
      <c r="I467" s="94">
        <v>-7</v>
      </c>
      <c r="J467" s="94" t="s">
        <v>210</v>
      </c>
      <c r="K467" s="94" t="s">
        <v>210</v>
      </c>
      <c r="L467" s="94">
        <v>1</v>
      </c>
      <c r="M467" s="94">
        <v>4</v>
      </c>
      <c r="N467" s="94" t="s">
        <v>210</v>
      </c>
      <c r="O467" s="94" t="s">
        <v>210</v>
      </c>
      <c r="P467" s="94">
        <v>-5</v>
      </c>
      <c r="Q467" s="94">
        <v>-3</v>
      </c>
      <c r="R467" s="94" t="s">
        <v>210</v>
      </c>
      <c r="S467" s="94" t="s">
        <v>210</v>
      </c>
      <c r="T467" s="94">
        <v>6</v>
      </c>
      <c r="U467" s="94"/>
      <c r="V467" s="94"/>
      <c r="W467" s="94"/>
      <c r="X467" s="94"/>
      <c r="Y467" s="94"/>
      <c r="Z467" s="94"/>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5"/>
    </row>
    <row r="468" spans="1:53" s="87" customFormat="1">
      <c r="A468" s="90" t="str">
        <f t="shared" si="32"/>
        <v/>
      </c>
      <c r="B468" s="98">
        <v>23</v>
      </c>
      <c r="C468" s="94" t="s">
        <v>210</v>
      </c>
      <c r="D468" s="94">
        <v>-8</v>
      </c>
      <c r="E468" s="94">
        <v>9</v>
      </c>
      <c r="F468" s="94" t="s">
        <v>210</v>
      </c>
      <c r="G468" s="94" t="s">
        <v>210</v>
      </c>
      <c r="H468" s="94">
        <v>-2</v>
      </c>
      <c r="I468" s="94">
        <v>1</v>
      </c>
      <c r="J468" s="94" t="s">
        <v>210</v>
      </c>
      <c r="K468" s="94" t="s">
        <v>210</v>
      </c>
      <c r="L468" s="94">
        <v>-3</v>
      </c>
      <c r="M468" s="94">
        <v>-6</v>
      </c>
      <c r="N468" s="94" t="s">
        <v>210</v>
      </c>
      <c r="O468" s="94" t="s">
        <v>210</v>
      </c>
      <c r="P468" s="94">
        <v>7</v>
      </c>
      <c r="Q468" s="94">
        <v>-5</v>
      </c>
      <c r="R468" s="94" t="s">
        <v>210</v>
      </c>
      <c r="S468" s="94" t="s">
        <v>210</v>
      </c>
      <c r="T468" s="94">
        <v>4</v>
      </c>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5"/>
    </row>
    <row r="469" spans="1:53" s="87" customFormat="1">
      <c r="A469" s="90" t="str">
        <f t="shared" si="32"/>
        <v/>
      </c>
      <c r="B469" s="98">
        <v>24</v>
      </c>
      <c r="C469" s="94" t="s">
        <v>210</v>
      </c>
      <c r="D469" s="94">
        <v>-2</v>
      </c>
      <c r="E469" s="94">
        <v>1</v>
      </c>
      <c r="F469" s="94" t="s">
        <v>210</v>
      </c>
      <c r="G469" s="94" t="s">
        <v>210</v>
      </c>
      <c r="H469" s="94">
        <v>6</v>
      </c>
      <c r="I469" s="94">
        <v>-5</v>
      </c>
      <c r="J469" s="94" t="s">
        <v>210</v>
      </c>
      <c r="K469" s="94" t="s">
        <v>210</v>
      </c>
      <c r="L469" s="94">
        <v>9</v>
      </c>
      <c r="M469" s="94">
        <v>8</v>
      </c>
      <c r="N469" s="94" t="s">
        <v>210</v>
      </c>
      <c r="O469" s="94" t="s">
        <v>210</v>
      </c>
      <c r="P469" s="94">
        <v>-3</v>
      </c>
      <c r="Q469" s="94">
        <v>7</v>
      </c>
      <c r="R469" s="94" t="s">
        <v>210</v>
      </c>
      <c r="S469" s="94" t="s">
        <v>210</v>
      </c>
      <c r="T469" s="94">
        <v>-4</v>
      </c>
      <c r="U469" s="94"/>
      <c r="V469" s="94"/>
      <c r="W469" s="94"/>
      <c r="X469" s="94"/>
      <c r="Y469" s="94"/>
      <c r="Z469" s="94"/>
      <c r="AA469" s="94"/>
      <c r="AB469" s="94"/>
      <c r="AC469" s="94"/>
      <c r="AD469" s="94"/>
      <c r="AE469" s="94"/>
      <c r="AF469" s="94"/>
      <c r="AG469" s="94"/>
      <c r="AH469" s="94"/>
      <c r="AI469" s="94"/>
      <c r="AJ469" s="94"/>
      <c r="AK469" s="94"/>
      <c r="AL469" s="94"/>
      <c r="AM469" s="94"/>
      <c r="AN469" s="94"/>
      <c r="AO469" s="94"/>
      <c r="AP469" s="94"/>
      <c r="AQ469" s="94"/>
      <c r="AR469" s="94"/>
      <c r="AS469" s="94"/>
      <c r="AT469" s="94"/>
      <c r="AU469" s="94"/>
      <c r="AV469" s="94"/>
      <c r="AW469" s="94"/>
      <c r="AX469" s="94"/>
      <c r="AY469" s="94"/>
      <c r="AZ469" s="94"/>
      <c r="BA469" s="95"/>
    </row>
    <row r="470" spans="1:53" s="87" customFormat="1">
      <c r="A470" s="90" t="str">
        <f t="shared" si="32"/>
        <v/>
      </c>
      <c r="B470" s="98">
        <v>25</v>
      </c>
      <c r="C470" s="94" t="s">
        <v>210</v>
      </c>
      <c r="D470" s="94">
        <v>1</v>
      </c>
      <c r="E470" s="94">
        <v>3</v>
      </c>
      <c r="F470" s="94" t="s">
        <v>210</v>
      </c>
      <c r="G470" s="94" t="s">
        <v>210</v>
      </c>
      <c r="H470" s="94">
        <v>-6</v>
      </c>
      <c r="I470" s="94">
        <v>-9</v>
      </c>
      <c r="J470" s="94" t="s">
        <v>210</v>
      </c>
      <c r="K470" s="94" t="s">
        <v>210</v>
      </c>
      <c r="L470" s="94">
        <v>8</v>
      </c>
      <c r="M470" s="94">
        <v>-4</v>
      </c>
      <c r="N470" s="94" t="s">
        <v>210</v>
      </c>
      <c r="O470" s="94" t="s">
        <v>210</v>
      </c>
      <c r="P470" s="94">
        <v>-2</v>
      </c>
      <c r="Q470" s="94">
        <v>5</v>
      </c>
      <c r="R470" s="94" t="s">
        <v>210</v>
      </c>
      <c r="S470" s="94" t="s">
        <v>210</v>
      </c>
      <c r="T470" s="94">
        <v>7</v>
      </c>
      <c r="U470" s="94"/>
      <c r="V470" s="94"/>
      <c r="W470" s="94"/>
      <c r="X470" s="94"/>
      <c r="Y470" s="94"/>
      <c r="Z470" s="94"/>
      <c r="AA470" s="94"/>
      <c r="AB470" s="94"/>
      <c r="AC470" s="94"/>
      <c r="AD470" s="94"/>
      <c r="AE470" s="94"/>
      <c r="AF470" s="94"/>
      <c r="AG470" s="94"/>
      <c r="AH470" s="94"/>
      <c r="AI470" s="94"/>
      <c r="AJ470" s="94"/>
      <c r="AK470" s="94"/>
      <c r="AL470" s="94"/>
      <c r="AM470" s="94"/>
      <c r="AN470" s="94"/>
      <c r="AO470" s="94"/>
      <c r="AP470" s="94"/>
      <c r="AQ470" s="94"/>
      <c r="AR470" s="94"/>
      <c r="AS470" s="94"/>
      <c r="AT470" s="94"/>
      <c r="AU470" s="94"/>
      <c r="AV470" s="94"/>
      <c r="AW470" s="94"/>
      <c r="AX470" s="94"/>
      <c r="AY470" s="94"/>
      <c r="AZ470" s="94"/>
      <c r="BA470" s="95"/>
    </row>
    <row r="471" spans="1:53" s="87" customFormat="1">
      <c r="A471" s="90" t="str">
        <f t="shared" si="32"/>
        <v/>
      </c>
      <c r="B471" s="98">
        <v>26</v>
      </c>
      <c r="C471" s="94" t="s">
        <v>210</v>
      </c>
      <c r="D471" s="94">
        <v>8</v>
      </c>
      <c r="E471" s="94">
        <v>-2</v>
      </c>
      <c r="F471" s="94" t="s">
        <v>210</v>
      </c>
      <c r="G471" s="94" t="s">
        <v>210</v>
      </c>
      <c r="H471" s="94">
        <v>-4</v>
      </c>
      <c r="I471" s="94">
        <v>5</v>
      </c>
      <c r="J471" s="94" t="s">
        <v>210</v>
      </c>
      <c r="K471" s="94" t="s">
        <v>210</v>
      </c>
      <c r="L471" s="94">
        <v>-1</v>
      </c>
      <c r="M471" s="94">
        <v>3</v>
      </c>
      <c r="N471" s="94" t="s">
        <v>210</v>
      </c>
      <c r="O471" s="94" t="s">
        <v>210</v>
      </c>
      <c r="P471" s="94">
        <v>-6</v>
      </c>
      <c r="Q471" s="94">
        <v>9</v>
      </c>
      <c r="R471" s="94" t="s">
        <v>210</v>
      </c>
      <c r="S471" s="94" t="s">
        <v>210</v>
      </c>
      <c r="T471" s="94">
        <v>-7</v>
      </c>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5"/>
    </row>
    <row r="472" spans="1:53" s="87" customFormat="1">
      <c r="A472" s="90" t="str">
        <f t="shared" si="32"/>
        <v/>
      </c>
      <c r="B472" s="99">
        <v>27</v>
      </c>
      <c r="C472" s="92" t="s">
        <v>210</v>
      </c>
      <c r="D472" s="92">
        <v>9</v>
      </c>
      <c r="E472" s="92">
        <v>-3</v>
      </c>
      <c r="F472" s="92" t="s">
        <v>210</v>
      </c>
      <c r="G472" s="92" t="s">
        <v>210</v>
      </c>
      <c r="H472" s="92">
        <v>4</v>
      </c>
      <c r="I472" s="92">
        <v>-8</v>
      </c>
      <c r="J472" s="92" t="s">
        <v>210</v>
      </c>
      <c r="K472" s="92" t="s">
        <v>210</v>
      </c>
      <c r="L472" s="92">
        <v>-2</v>
      </c>
      <c r="M472" s="92">
        <v>6</v>
      </c>
      <c r="N472" s="92" t="s">
        <v>210</v>
      </c>
      <c r="O472" s="92" t="s">
        <v>210</v>
      </c>
      <c r="P472" s="92">
        <v>5</v>
      </c>
      <c r="Q472" s="92">
        <v>-7</v>
      </c>
      <c r="R472" s="92" t="s">
        <v>210</v>
      </c>
      <c r="S472" s="92" t="s">
        <v>210</v>
      </c>
      <c r="T472" s="92">
        <v>-1</v>
      </c>
      <c r="U472" s="94"/>
      <c r="V472" s="94"/>
      <c r="W472" s="94"/>
      <c r="X472" s="94"/>
      <c r="Y472" s="94"/>
      <c r="Z472" s="94"/>
      <c r="AA472" s="94"/>
      <c r="AB472" s="94"/>
      <c r="AC472" s="94"/>
      <c r="AD472" s="94"/>
      <c r="AE472" s="94"/>
      <c r="AF472" s="94"/>
      <c r="AG472" s="94"/>
      <c r="AH472" s="94"/>
      <c r="AI472" s="94"/>
      <c r="AJ472" s="94"/>
      <c r="AK472" s="94"/>
      <c r="AL472" s="94"/>
      <c r="AM472" s="94"/>
      <c r="AN472" s="94"/>
      <c r="AO472" s="94"/>
      <c r="AP472" s="94"/>
      <c r="AQ472" s="94"/>
      <c r="AR472" s="94"/>
      <c r="AS472" s="94"/>
      <c r="AT472" s="94"/>
      <c r="AU472" s="94"/>
      <c r="AV472" s="94"/>
      <c r="AW472" s="94"/>
      <c r="AX472" s="94"/>
      <c r="AY472" s="94"/>
      <c r="AZ472" s="94"/>
      <c r="BA472" s="95"/>
    </row>
    <row r="473" spans="1:53" s="87" customFormat="1">
      <c r="A473" s="90" t="str">
        <f t="shared" si="32"/>
        <v/>
      </c>
      <c r="B473" s="98">
        <v>28</v>
      </c>
      <c r="C473" s="94" t="s">
        <v>210</v>
      </c>
      <c r="D473" s="94">
        <v>-6</v>
      </c>
      <c r="E473" s="94">
        <v>5</v>
      </c>
      <c r="F473" s="94" t="s">
        <v>210</v>
      </c>
      <c r="G473" s="94" t="s">
        <v>210</v>
      </c>
      <c r="H473" s="94">
        <v>1</v>
      </c>
      <c r="I473" s="94">
        <v>-2</v>
      </c>
      <c r="J473" s="94" t="s">
        <v>210</v>
      </c>
      <c r="K473" s="94" t="s">
        <v>210</v>
      </c>
      <c r="L473" s="94">
        <v>-4</v>
      </c>
      <c r="M473" s="94">
        <v>9</v>
      </c>
      <c r="N473" s="94" t="s">
        <v>210</v>
      </c>
      <c r="O473" s="94" t="s">
        <v>210</v>
      </c>
      <c r="P473" s="94">
        <v>8</v>
      </c>
      <c r="Q473" s="94">
        <v>-1</v>
      </c>
      <c r="R473" s="94" t="s">
        <v>210</v>
      </c>
      <c r="S473" s="94" t="s">
        <v>210</v>
      </c>
      <c r="T473" s="94">
        <v>-3</v>
      </c>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5"/>
    </row>
    <row r="474" spans="1:53" s="87" customFormat="1">
      <c r="A474" s="90" t="str">
        <f t="shared" si="32"/>
        <v/>
      </c>
      <c r="B474" s="98">
        <v>29</v>
      </c>
      <c r="C474" s="94" t="s">
        <v>210</v>
      </c>
      <c r="D474" s="94">
        <v>-7</v>
      </c>
      <c r="E474" s="94">
        <v>4</v>
      </c>
      <c r="F474" s="94" t="s">
        <v>210</v>
      </c>
      <c r="G474" s="94" t="s">
        <v>210</v>
      </c>
      <c r="H474" s="94">
        <v>-9</v>
      </c>
      <c r="I474" s="94">
        <v>-6</v>
      </c>
      <c r="J474" s="94" t="s">
        <v>210</v>
      </c>
      <c r="K474" s="94" t="s">
        <v>210</v>
      </c>
      <c r="L474" s="94">
        <v>7</v>
      </c>
      <c r="M474" s="94">
        <v>2</v>
      </c>
      <c r="N474" s="94" t="s">
        <v>210</v>
      </c>
      <c r="O474" s="94" t="s">
        <v>210</v>
      </c>
      <c r="P474" s="94">
        <v>-1</v>
      </c>
      <c r="Q474" s="94">
        <v>8</v>
      </c>
      <c r="R474" s="94" t="s">
        <v>210</v>
      </c>
      <c r="S474" s="94" t="s">
        <v>210</v>
      </c>
      <c r="T474" s="94">
        <v>3</v>
      </c>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5"/>
    </row>
    <row r="475" spans="1:53" s="87" customFormat="1">
      <c r="A475" s="90" t="str">
        <f t="shared" si="32"/>
        <v/>
      </c>
      <c r="B475" s="98">
        <v>30</v>
      </c>
      <c r="C475" s="94" t="s">
        <v>210</v>
      </c>
      <c r="D475" s="94">
        <v>-4</v>
      </c>
      <c r="E475" s="94">
        <v>6</v>
      </c>
      <c r="F475" s="94" t="s">
        <v>210</v>
      </c>
      <c r="G475" s="94" t="s">
        <v>210</v>
      </c>
      <c r="H475" s="94">
        <v>-5</v>
      </c>
      <c r="I475" s="94">
        <v>3</v>
      </c>
      <c r="J475" s="94" t="s">
        <v>210</v>
      </c>
      <c r="K475" s="94" t="s">
        <v>210</v>
      </c>
      <c r="L475" s="94">
        <v>-7</v>
      </c>
      <c r="M475" s="94">
        <v>-9</v>
      </c>
      <c r="N475" s="94" t="s">
        <v>210</v>
      </c>
      <c r="O475" s="94" t="s">
        <v>210</v>
      </c>
      <c r="P475" s="94">
        <v>4</v>
      </c>
      <c r="Q475" s="94">
        <v>2</v>
      </c>
      <c r="R475" s="94" t="s">
        <v>210</v>
      </c>
      <c r="S475" s="94" t="s">
        <v>210</v>
      </c>
      <c r="T475" s="94">
        <v>-8</v>
      </c>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5"/>
    </row>
    <row r="476" spans="1:53" s="87" customFormat="1">
      <c r="A476" s="90" t="str">
        <f t="shared" si="32"/>
        <v/>
      </c>
      <c r="B476" s="98">
        <v>31</v>
      </c>
      <c r="C476" s="94" t="s">
        <v>210</v>
      </c>
      <c r="D476" s="94">
        <v>3</v>
      </c>
      <c r="E476" s="94">
        <v>-8</v>
      </c>
      <c r="F476" s="94" t="s">
        <v>210</v>
      </c>
      <c r="G476" s="94" t="s">
        <v>210</v>
      </c>
      <c r="H476" s="94">
        <v>-1</v>
      </c>
      <c r="I476" s="94">
        <v>7</v>
      </c>
      <c r="J476" s="94" t="s">
        <v>210</v>
      </c>
      <c r="K476" s="94" t="s">
        <v>210</v>
      </c>
      <c r="L476" s="94">
        <v>5</v>
      </c>
      <c r="M476" s="94">
        <v>-2</v>
      </c>
      <c r="N476" s="94" t="s">
        <v>210</v>
      </c>
      <c r="O476" s="94" t="s">
        <v>210</v>
      </c>
      <c r="P476" s="94">
        <v>-9</v>
      </c>
      <c r="Q476" s="94">
        <v>6</v>
      </c>
      <c r="R476" s="94" t="s">
        <v>210</v>
      </c>
      <c r="S476" s="94" t="s">
        <v>210</v>
      </c>
      <c r="T476" s="94">
        <v>8</v>
      </c>
      <c r="U476" s="94"/>
      <c r="V476" s="94"/>
      <c r="W476" s="94"/>
      <c r="X476" s="94"/>
      <c r="Y476" s="94"/>
      <c r="Z476" s="94"/>
      <c r="AA476" s="94"/>
      <c r="AB476" s="94"/>
      <c r="AC476" s="94"/>
      <c r="AD476" s="94"/>
      <c r="AE476" s="94"/>
      <c r="AF476" s="94"/>
      <c r="AG476" s="94"/>
      <c r="AH476" s="94"/>
      <c r="AI476" s="94"/>
      <c r="AJ476" s="94"/>
      <c r="AK476" s="94"/>
      <c r="AL476" s="94"/>
      <c r="AM476" s="94"/>
      <c r="AN476" s="94"/>
      <c r="AO476" s="94"/>
      <c r="AP476" s="94"/>
      <c r="AQ476" s="94"/>
      <c r="AR476" s="94"/>
      <c r="AS476" s="94"/>
      <c r="AT476" s="94"/>
      <c r="AU476" s="94"/>
      <c r="AV476" s="94"/>
      <c r="AW476" s="94"/>
      <c r="AX476" s="94"/>
      <c r="AY476" s="94"/>
      <c r="AZ476" s="94"/>
      <c r="BA476" s="95"/>
    </row>
    <row r="477" spans="1:53" s="87" customFormat="1">
      <c r="A477" s="90" t="str">
        <f t="shared" si="32"/>
        <v/>
      </c>
      <c r="B477" s="98">
        <v>32</v>
      </c>
      <c r="C477" s="94" t="s">
        <v>210</v>
      </c>
      <c r="D477" s="94">
        <v>5</v>
      </c>
      <c r="E477" s="94">
        <v>8</v>
      </c>
      <c r="F477" s="94" t="s">
        <v>210</v>
      </c>
      <c r="G477" s="94" t="s">
        <v>210</v>
      </c>
      <c r="H477" s="94">
        <v>-7</v>
      </c>
      <c r="I477" s="94">
        <v>6</v>
      </c>
      <c r="J477" s="94" t="s">
        <v>210</v>
      </c>
      <c r="K477" s="94" t="s">
        <v>210</v>
      </c>
      <c r="L477" s="94">
        <v>3</v>
      </c>
      <c r="M477" s="94">
        <v>-5</v>
      </c>
      <c r="N477" s="94" t="s">
        <v>210</v>
      </c>
      <c r="O477" s="94" t="s">
        <v>210</v>
      </c>
      <c r="P477" s="94">
        <v>-4</v>
      </c>
      <c r="Q477" s="94">
        <v>1</v>
      </c>
      <c r="R477" s="94" t="s">
        <v>210</v>
      </c>
      <c r="S477" s="94" t="s">
        <v>210</v>
      </c>
      <c r="T477" s="94">
        <v>-2</v>
      </c>
      <c r="U477" s="94"/>
      <c r="V477" s="94"/>
      <c r="W477" s="94"/>
      <c r="X477" s="94"/>
      <c r="Y477" s="94"/>
      <c r="Z477" s="94"/>
      <c r="AA477" s="94"/>
      <c r="AB477" s="94"/>
      <c r="AC477" s="94"/>
      <c r="AD477" s="94"/>
      <c r="AE477" s="94"/>
      <c r="AF477" s="94"/>
      <c r="AG477" s="94"/>
      <c r="AH477" s="94"/>
      <c r="AI477" s="94"/>
      <c r="AJ477" s="94"/>
      <c r="AK477" s="94"/>
      <c r="AL477" s="94"/>
      <c r="AM477" s="94"/>
      <c r="AN477" s="94"/>
      <c r="AO477" s="94"/>
      <c r="AP477" s="94"/>
      <c r="AQ477" s="94"/>
      <c r="AR477" s="94"/>
      <c r="AS477" s="94"/>
      <c r="AT477" s="94"/>
      <c r="AU477" s="94"/>
      <c r="AV477" s="94"/>
      <c r="AW477" s="94"/>
      <c r="AX477" s="94"/>
      <c r="AY477" s="94"/>
      <c r="AZ477" s="94"/>
      <c r="BA477" s="95"/>
    </row>
    <row r="478" spans="1:53" s="87" customFormat="1">
      <c r="A478" s="90" t="str">
        <f t="shared" si="32"/>
        <v/>
      </c>
      <c r="B478" s="98">
        <v>33</v>
      </c>
      <c r="C478" s="94" t="s">
        <v>210</v>
      </c>
      <c r="D478" s="94">
        <v>-3</v>
      </c>
      <c r="E478" s="94">
        <v>-5</v>
      </c>
      <c r="F478" s="94" t="s">
        <v>210</v>
      </c>
      <c r="G478" s="94" t="s">
        <v>210</v>
      </c>
      <c r="H478" s="94">
        <v>7</v>
      </c>
      <c r="I478" s="94">
        <v>-4</v>
      </c>
      <c r="J478" s="94" t="s">
        <v>210</v>
      </c>
      <c r="K478" s="94" t="s">
        <v>210</v>
      </c>
      <c r="L478" s="94">
        <v>6</v>
      </c>
      <c r="M478" s="94">
        <v>-8</v>
      </c>
      <c r="N478" s="94" t="s">
        <v>210</v>
      </c>
      <c r="O478" s="94" t="s">
        <v>210</v>
      </c>
      <c r="P478" s="94">
        <v>1</v>
      </c>
      <c r="Q478" s="94">
        <v>-2</v>
      </c>
      <c r="R478" s="94" t="s">
        <v>210</v>
      </c>
      <c r="S478" s="94" t="s">
        <v>210</v>
      </c>
      <c r="T478" s="94">
        <v>9</v>
      </c>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c r="AT478" s="94"/>
      <c r="AU478" s="94"/>
      <c r="AV478" s="94"/>
      <c r="AW478" s="94"/>
      <c r="AX478" s="94"/>
      <c r="AY478" s="94"/>
      <c r="AZ478" s="94"/>
      <c r="BA478" s="95"/>
    </row>
    <row r="479" spans="1:53" s="87" customFormat="1">
      <c r="A479" s="90" t="str">
        <f t="shared" si="32"/>
        <v/>
      </c>
      <c r="B479" s="98">
        <v>34</v>
      </c>
      <c r="C479" s="94" t="s">
        <v>210</v>
      </c>
      <c r="D479" s="94">
        <v>-5</v>
      </c>
      <c r="E479" s="94">
        <v>7</v>
      </c>
      <c r="F479" s="94" t="s">
        <v>210</v>
      </c>
      <c r="G479" s="94" t="s">
        <v>210</v>
      </c>
      <c r="H479" s="94">
        <v>9</v>
      </c>
      <c r="I479" s="94">
        <v>-3</v>
      </c>
      <c r="J479" s="94" t="s">
        <v>210</v>
      </c>
      <c r="K479" s="94" t="s">
        <v>210</v>
      </c>
      <c r="L479" s="94">
        <v>4</v>
      </c>
      <c r="M479" s="94">
        <v>-1</v>
      </c>
      <c r="N479" s="94" t="s">
        <v>210</v>
      </c>
      <c r="O479" s="94" t="s">
        <v>210</v>
      </c>
      <c r="P479" s="94">
        <v>2</v>
      </c>
      <c r="Q479" s="94">
        <v>-6</v>
      </c>
      <c r="R479" s="94" t="s">
        <v>210</v>
      </c>
      <c r="S479" s="94" t="s">
        <v>210</v>
      </c>
      <c r="T479" s="94">
        <v>-9</v>
      </c>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5"/>
    </row>
    <row r="480" spans="1:53" s="87" customFormat="1">
      <c r="A480" s="90" t="str">
        <f t="shared" si="32"/>
        <v/>
      </c>
      <c r="B480" s="98">
        <v>35</v>
      </c>
      <c r="C480" s="94" t="s">
        <v>210</v>
      </c>
      <c r="D480" s="94">
        <v>7</v>
      </c>
      <c r="E480" s="94">
        <v>-6</v>
      </c>
      <c r="F480" s="94" t="s">
        <v>210</v>
      </c>
      <c r="G480" s="94" t="s">
        <v>210</v>
      </c>
      <c r="H480" s="94">
        <v>3</v>
      </c>
      <c r="I480" s="94">
        <v>4</v>
      </c>
      <c r="J480" s="94" t="s">
        <v>210</v>
      </c>
      <c r="K480" s="94" t="s">
        <v>210</v>
      </c>
      <c r="L480" s="94">
        <v>-5</v>
      </c>
      <c r="M480" s="94">
        <v>1</v>
      </c>
      <c r="N480" s="94" t="s">
        <v>210</v>
      </c>
      <c r="O480" s="94" t="s">
        <v>210</v>
      </c>
      <c r="P480" s="94">
        <v>-8</v>
      </c>
      <c r="Q480" s="94">
        <v>-9</v>
      </c>
      <c r="R480" s="94" t="s">
        <v>210</v>
      </c>
      <c r="S480" s="94" t="s">
        <v>210</v>
      </c>
      <c r="T480" s="94">
        <v>2</v>
      </c>
      <c r="U480" s="94"/>
      <c r="V480" s="94"/>
      <c r="W480" s="94"/>
      <c r="X480" s="94"/>
      <c r="Y480" s="94"/>
      <c r="Z480" s="94"/>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5"/>
    </row>
    <row r="481" spans="1:53" s="87" customFormat="1">
      <c r="A481" s="90" t="str">
        <f t="shared" si="32"/>
        <v/>
      </c>
      <c r="B481" s="98">
        <v>36</v>
      </c>
      <c r="C481" s="94" t="s">
        <v>210</v>
      </c>
      <c r="D481" s="94">
        <v>4</v>
      </c>
      <c r="E481" s="94">
        <v>-7</v>
      </c>
      <c r="F481" s="94" t="s">
        <v>210</v>
      </c>
      <c r="G481" s="94" t="s">
        <v>210</v>
      </c>
      <c r="H481" s="94">
        <v>-3</v>
      </c>
      <c r="I481" s="94">
        <v>2</v>
      </c>
      <c r="J481" s="94" t="s">
        <v>210</v>
      </c>
      <c r="K481" s="94" t="s">
        <v>210</v>
      </c>
      <c r="L481" s="94">
        <v>-6</v>
      </c>
      <c r="M481" s="94">
        <v>5</v>
      </c>
      <c r="N481" s="94" t="s">
        <v>210</v>
      </c>
      <c r="O481" s="94" t="s">
        <v>210</v>
      </c>
      <c r="P481" s="94">
        <v>9</v>
      </c>
      <c r="Q481" s="94">
        <v>-8</v>
      </c>
      <c r="R481" s="94" t="s">
        <v>210</v>
      </c>
      <c r="S481" s="94" t="s">
        <v>210</v>
      </c>
      <c r="T481" s="94">
        <v>1</v>
      </c>
      <c r="U481" s="94"/>
      <c r="V481" s="94"/>
      <c r="W481" s="94"/>
      <c r="X481" s="94"/>
      <c r="Y481" s="94"/>
      <c r="Z481" s="94"/>
      <c r="AA481" s="94"/>
      <c r="AB481" s="94"/>
      <c r="AC481" s="94"/>
      <c r="AD481" s="94"/>
      <c r="AE481" s="94"/>
      <c r="AF481" s="94"/>
      <c r="AG481" s="94"/>
      <c r="AH481" s="94"/>
      <c r="AI481" s="94"/>
      <c r="AJ481" s="94"/>
      <c r="AK481" s="94"/>
      <c r="AL481" s="94"/>
      <c r="AM481" s="94"/>
      <c r="AN481" s="94"/>
      <c r="AO481" s="94"/>
      <c r="AP481" s="94"/>
      <c r="AQ481" s="94"/>
      <c r="AR481" s="94"/>
      <c r="AS481" s="94"/>
      <c r="AT481" s="94"/>
      <c r="AU481" s="94"/>
      <c r="AV481" s="94"/>
      <c r="AW481" s="94"/>
      <c r="AX481" s="94"/>
      <c r="AY481" s="94"/>
      <c r="AZ481" s="94"/>
      <c r="BA481" s="95"/>
    </row>
    <row r="482" spans="1:53" s="87" customFormat="1">
      <c r="A482" s="90" t="str">
        <f t="shared" si="32"/>
        <v/>
      </c>
      <c r="B482" s="98" t="s">
        <v>524</v>
      </c>
      <c r="C482" s="94"/>
      <c r="D482" s="94"/>
      <c r="E482" s="94"/>
      <c r="F482" s="94"/>
      <c r="G482" s="94"/>
      <c r="H482" s="94"/>
      <c r="I482" s="94"/>
      <c r="J482" s="94"/>
      <c r="K482" s="94"/>
      <c r="L482" s="94"/>
      <c r="M482" s="94"/>
      <c r="N482" s="94"/>
      <c r="O482" s="94"/>
      <c r="P482" s="94"/>
      <c r="Q482" s="94"/>
      <c r="R482" s="94"/>
      <c r="S482" s="94"/>
      <c r="T482" s="94"/>
      <c r="U482" s="94"/>
      <c r="V482" s="94"/>
      <c r="W482" s="94"/>
      <c r="X482" s="94"/>
      <c r="Y482" s="94"/>
      <c r="Z482" s="94"/>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5"/>
    </row>
    <row r="483" spans="1:53" s="87" customFormat="1">
      <c r="A483" s="90">
        <f t="shared" si="32"/>
        <v>483</v>
      </c>
      <c r="B483" s="98" t="s">
        <v>525</v>
      </c>
      <c r="C483" s="94"/>
      <c r="D483" s="94"/>
      <c r="E483" s="94"/>
      <c r="F483" s="94"/>
      <c r="G483" s="94"/>
      <c r="H483" s="94"/>
      <c r="I483" s="94"/>
      <c r="J483" s="94"/>
      <c r="K483" s="94"/>
      <c r="L483" s="94"/>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5"/>
    </row>
    <row r="484" spans="1:53" s="87" customFormat="1">
      <c r="A484" s="90" t="str">
        <f t="shared" si="32"/>
        <v/>
      </c>
      <c r="B484" s="98">
        <v>1</v>
      </c>
      <c r="C484" s="94" t="s">
        <v>210</v>
      </c>
      <c r="D484" s="94">
        <v>-3</v>
      </c>
      <c r="E484" s="94">
        <v>8</v>
      </c>
      <c r="F484" s="94" t="s">
        <v>210</v>
      </c>
      <c r="G484" s="94">
        <v>9</v>
      </c>
      <c r="H484" s="94" t="s">
        <v>210</v>
      </c>
      <c r="I484" s="94" t="s">
        <v>210</v>
      </c>
      <c r="J484" s="94">
        <v>-2</v>
      </c>
      <c r="K484" s="94">
        <v>-1</v>
      </c>
      <c r="L484" s="94" t="s">
        <v>210</v>
      </c>
      <c r="M484" s="94" t="s">
        <v>210</v>
      </c>
      <c r="N484" s="94">
        <v>7</v>
      </c>
      <c r="O484" s="94">
        <v>6</v>
      </c>
      <c r="P484" s="94" t="s">
        <v>210</v>
      </c>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5"/>
    </row>
    <row r="485" spans="1:53" s="87" customFormat="1">
      <c r="A485" s="90" t="str">
        <f t="shared" si="32"/>
        <v/>
      </c>
      <c r="B485" s="98">
        <v>2</v>
      </c>
      <c r="C485" s="94" t="s">
        <v>210</v>
      </c>
      <c r="D485" s="94">
        <v>-5</v>
      </c>
      <c r="E485" s="94">
        <v>2</v>
      </c>
      <c r="F485" s="94" t="s">
        <v>210</v>
      </c>
      <c r="G485" s="94">
        <v>1</v>
      </c>
      <c r="H485" s="94" t="s">
        <v>210</v>
      </c>
      <c r="I485" s="94" t="s">
        <v>210</v>
      </c>
      <c r="J485" s="94">
        <v>-8</v>
      </c>
      <c r="K485" s="94">
        <v>9</v>
      </c>
      <c r="L485" s="94" t="s">
        <v>210</v>
      </c>
      <c r="M485" s="94" t="s">
        <v>210</v>
      </c>
      <c r="N485" s="94">
        <v>-4</v>
      </c>
      <c r="O485" s="94">
        <v>-6</v>
      </c>
      <c r="P485" s="94" t="s">
        <v>210</v>
      </c>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5"/>
    </row>
    <row r="486" spans="1:53" s="87" customFormat="1">
      <c r="A486" s="90" t="str">
        <f t="shared" si="32"/>
        <v/>
      </c>
      <c r="B486" s="98">
        <v>3</v>
      </c>
      <c r="C486" s="94">
        <v>-3</v>
      </c>
      <c r="D486" s="94" t="s">
        <v>210</v>
      </c>
      <c r="E486" s="94" t="s">
        <v>210</v>
      </c>
      <c r="F486" s="94">
        <v>-8</v>
      </c>
      <c r="G486" s="94" t="s">
        <v>210</v>
      </c>
      <c r="H486" s="94">
        <v>1</v>
      </c>
      <c r="I486" s="94">
        <v>2</v>
      </c>
      <c r="J486" s="94" t="s">
        <v>210</v>
      </c>
      <c r="K486" s="94">
        <v>-9</v>
      </c>
      <c r="L486" s="94" t="s">
        <v>210</v>
      </c>
      <c r="M486" s="94" t="s">
        <v>210</v>
      </c>
      <c r="N486" s="94">
        <v>-7</v>
      </c>
      <c r="O486" s="94">
        <v>5</v>
      </c>
      <c r="P486" s="94" t="s">
        <v>210</v>
      </c>
      <c r="Q486" s="94"/>
      <c r="R486" s="94"/>
      <c r="S486" s="94"/>
      <c r="T486" s="94"/>
      <c r="U486" s="94"/>
      <c r="V486" s="94"/>
      <c r="W486" s="94"/>
      <c r="X486" s="94"/>
      <c r="Y486" s="94"/>
      <c r="Z486" s="94"/>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4"/>
      <c r="AY486" s="94"/>
      <c r="AZ486" s="94"/>
      <c r="BA486" s="95"/>
    </row>
    <row r="487" spans="1:53" s="87" customFormat="1">
      <c r="A487" s="90" t="str">
        <f t="shared" si="32"/>
        <v/>
      </c>
      <c r="B487" s="98">
        <v>4</v>
      </c>
      <c r="C487" s="94">
        <v>6</v>
      </c>
      <c r="D487" s="94" t="s">
        <v>210</v>
      </c>
      <c r="E487" s="94" t="s">
        <v>210</v>
      </c>
      <c r="F487" s="94">
        <v>2</v>
      </c>
      <c r="G487" s="94" t="s">
        <v>210</v>
      </c>
      <c r="H487" s="94">
        <v>-9</v>
      </c>
      <c r="I487" s="94">
        <v>-8</v>
      </c>
      <c r="J487" s="94" t="s">
        <v>210</v>
      </c>
      <c r="K487" s="94">
        <v>1</v>
      </c>
      <c r="L487" s="94" t="s">
        <v>210</v>
      </c>
      <c r="M487" s="94" t="s">
        <v>210</v>
      </c>
      <c r="N487" s="94">
        <v>4</v>
      </c>
      <c r="O487" s="94">
        <v>-5</v>
      </c>
      <c r="P487" s="94" t="s">
        <v>210</v>
      </c>
      <c r="Q487" s="94"/>
      <c r="R487" s="94"/>
      <c r="S487" s="94"/>
      <c r="T487" s="94"/>
      <c r="U487" s="94"/>
      <c r="V487" s="94"/>
      <c r="W487" s="94"/>
      <c r="X487" s="94"/>
      <c r="Y487" s="94"/>
      <c r="Z487" s="94"/>
      <c r="AA487" s="94"/>
      <c r="AB487" s="94"/>
      <c r="AC487" s="94"/>
      <c r="AD487" s="94"/>
      <c r="AE487" s="94"/>
      <c r="AF487" s="94"/>
      <c r="AG487" s="94"/>
      <c r="AH487" s="94"/>
      <c r="AI487" s="94"/>
      <c r="AJ487" s="94"/>
      <c r="AK487" s="94"/>
      <c r="AL487" s="94"/>
      <c r="AM487" s="94"/>
      <c r="AN487" s="94"/>
      <c r="AO487" s="94"/>
      <c r="AP487" s="94"/>
      <c r="AQ487" s="94"/>
      <c r="AR487" s="94"/>
      <c r="AS487" s="94"/>
      <c r="AT487" s="94"/>
      <c r="AU487" s="94"/>
      <c r="AV487" s="94"/>
      <c r="AW487" s="94"/>
      <c r="AX487" s="94"/>
      <c r="AY487" s="94"/>
      <c r="AZ487" s="94"/>
      <c r="BA487" s="95"/>
    </row>
    <row r="488" spans="1:53" s="87" customFormat="1">
      <c r="A488" s="90" t="str">
        <f t="shared" si="32"/>
        <v/>
      </c>
      <c r="B488" s="98">
        <v>5</v>
      </c>
      <c r="C488" s="94" t="s">
        <v>210</v>
      </c>
      <c r="D488" s="94">
        <v>5</v>
      </c>
      <c r="E488" s="94">
        <v>-8</v>
      </c>
      <c r="F488" s="94" t="s">
        <v>210</v>
      </c>
      <c r="G488" s="94" t="s">
        <v>210</v>
      </c>
      <c r="H488" s="94">
        <v>9</v>
      </c>
      <c r="I488" s="94">
        <v>-2</v>
      </c>
      <c r="J488" s="94" t="s">
        <v>210</v>
      </c>
      <c r="K488" s="94" t="s">
        <v>210</v>
      </c>
      <c r="L488" s="94">
        <v>-1</v>
      </c>
      <c r="M488" s="94">
        <v>7</v>
      </c>
      <c r="N488" s="94" t="s">
        <v>210</v>
      </c>
      <c r="O488" s="94" t="s">
        <v>210</v>
      </c>
      <c r="P488" s="94">
        <v>6</v>
      </c>
      <c r="Q488" s="94"/>
      <c r="R488" s="94"/>
      <c r="S488" s="94"/>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5"/>
    </row>
    <row r="489" spans="1:53" s="87" customFormat="1">
      <c r="A489" s="90" t="str">
        <f t="shared" si="32"/>
        <v/>
      </c>
      <c r="B489" s="98">
        <v>6</v>
      </c>
      <c r="C489" s="94" t="s">
        <v>210</v>
      </c>
      <c r="D489" s="94">
        <v>3</v>
      </c>
      <c r="E489" s="94">
        <v>-2</v>
      </c>
      <c r="F489" s="94" t="s">
        <v>210</v>
      </c>
      <c r="G489" s="94" t="s">
        <v>210</v>
      </c>
      <c r="H489" s="94">
        <v>-1</v>
      </c>
      <c r="I489" s="94">
        <v>8</v>
      </c>
      <c r="J489" s="94" t="s">
        <v>210</v>
      </c>
      <c r="K489" s="94" t="s">
        <v>210</v>
      </c>
      <c r="L489" s="94">
        <v>-9</v>
      </c>
      <c r="M489" s="94">
        <v>4</v>
      </c>
      <c r="N489" s="94" t="s">
        <v>210</v>
      </c>
      <c r="O489" s="94" t="s">
        <v>210</v>
      </c>
      <c r="P489" s="94">
        <v>-6</v>
      </c>
      <c r="Q489" s="94"/>
      <c r="R489" s="94"/>
      <c r="S489" s="94"/>
      <c r="T489" s="94"/>
      <c r="U489" s="94"/>
      <c r="V489" s="94"/>
      <c r="W489" s="94"/>
      <c r="X489" s="94"/>
      <c r="Y489" s="94"/>
      <c r="Z489" s="94"/>
      <c r="AA489" s="94"/>
      <c r="AB489" s="94"/>
      <c r="AC489" s="94"/>
      <c r="AD489" s="94"/>
      <c r="AE489" s="94"/>
      <c r="AF489" s="94"/>
      <c r="AG489" s="94"/>
      <c r="AH489" s="94"/>
      <c r="AI489" s="94"/>
      <c r="AJ489" s="94"/>
      <c r="AK489" s="94"/>
      <c r="AL489" s="94"/>
      <c r="AM489" s="94"/>
      <c r="AN489" s="94"/>
      <c r="AO489" s="94"/>
      <c r="AP489" s="94"/>
      <c r="AQ489" s="94"/>
      <c r="AR489" s="94"/>
      <c r="AS489" s="94"/>
      <c r="AT489" s="94"/>
      <c r="AU489" s="94"/>
      <c r="AV489" s="94"/>
      <c r="AW489" s="94"/>
      <c r="AX489" s="94"/>
      <c r="AY489" s="94"/>
      <c r="AZ489" s="94"/>
      <c r="BA489" s="95"/>
    </row>
    <row r="490" spans="1:53" s="87" customFormat="1">
      <c r="A490" s="90" t="str">
        <f t="shared" si="32"/>
        <v/>
      </c>
      <c r="B490" s="98">
        <v>7</v>
      </c>
      <c r="C490" s="94">
        <v>-6</v>
      </c>
      <c r="D490" s="94" t="s">
        <v>210</v>
      </c>
      <c r="E490" s="94" t="s">
        <v>210</v>
      </c>
      <c r="F490" s="94">
        <v>8</v>
      </c>
      <c r="G490" s="94">
        <v>-1</v>
      </c>
      <c r="H490" s="94" t="s">
        <v>210</v>
      </c>
      <c r="I490" s="94" t="s">
        <v>210</v>
      </c>
      <c r="J490" s="94">
        <v>2</v>
      </c>
      <c r="K490" s="94" t="s">
        <v>210</v>
      </c>
      <c r="L490" s="94">
        <v>9</v>
      </c>
      <c r="M490" s="94">
        <v>-7</v>
      </c>
      <c r="N490" s="94" t="s">
        <v>210</v>
      </c>
      <c r="O490" s="94" t="s">
        <v>210</v>
      </c>
      <c r="P490" s="94">
        <v>-5</v>
      </c>
      <c r="Q490" s="94"/>
      <c r="R490" s="94"/>
      <c r="S490" s="94"/>
      <c r="T490" s="94"/>
      <c r="U490" s="94"/>
      <c r="V490" s="94"/>
      <c r="W490" s="94"/>
      <c r="X490" s="94"/>
      <c r="Y490" s="94"/>
      <c r="Z490" s="94"/>
      <c r="AA490" s="94"/>
      <c r="AB490" s="94"/>
      <c r="AC490" s="94"/>
      <c r="AD490" s="94"/>
      <c r="AE490" s="94"/>
      <c r="AF490" s="94"/>
      <c r="AG490" s="94"/>
      <c r="AH490" s="94"/>
      <c r="AI490" s="94"/>
      <c r="AJ490" s="94"/>
      <c r="AK490" s="94"/>
      <c r="AL490" s="94"/>
      <c r="AM490" s="94"/>
      <c r="AN490" s="94"/>
      <c r="AO490" s="94"/>
      <c r="AP490" s="94"/>
      <c r="AQ490" s="94"/>
      <c r="AR490" s="94"/>
      <c r="AS490" s="94"/>
      <c r="AT490" s="94"/>
      <c r="AU490" s="94"/>
      <c r="AV490" s="94"/>
      <c r="AW490" s="94"/>
      <c r="AX490" s="94"/>
      <c r="AY490" s="94"/>
      <c r="AZ490" s="94"/>
      <c r="BA490" s="95"/>
    </row>
    <row r="491" spans="1:53" s="87" customFormat="1">
      <c r="A491" s="90" t="str">
        <f t="shared" si="32"/>
        <v/>
      </c>
      <c r="B491" s="99">
        <v>8</v>
      </c>
      <c r="C491" s="92">
        <v>3</v>
      </c>
      <c r="D491" s="92" t="s">
        <v>210</v>
      </c>
      <c r="E491" s="92" t="s">
        <v>210</v>
      </c>
      <c r="F491" s="92">
        <v>-2</v>
      </c>
      <c r="G491" s="92">
        <v>-9</v>
      </c>
      <c r="H491" s="92" t="s">
        <v>210</v>
      </c>
      <c r="I491" s="92" t="s">
        <v>210</v>
      </c>
      <c r="J491" s="92">
        <v>8</v>
      </c>
      <c r="K491" s="92" t="s">
        <v>210</v>
      </c>
      <c r="L491" s="92">
        <v>1</v>
      </c>
      <c r="M491" s="92">
        <v>-4</v>
      </c>
      <c r="N491" s="92" t="s">
        <v>210</v>
      </c>
      <c r="O491" s="92" t="s">
        <v>210</v>
      </c>
      <c r="P491" s="92">
        <v>5</v>
      </c>
      <c r="Q491" s="94"/>
      <c r="R491" s="94"/>
      <c r="S491" s="94"/>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AZ491" s="94"/>
      <c r="BA491" s="95"/>
    </row>
    <row r="492" spans="1:53" s="87" customFormat="1">
      <c r="A492" s="90" t="str">
        <f t="shared" si="32"/>
        <v/>
      </c>
      <c r="B492" s="98">
        <v>9</v>
      </c>
      <c r="C492" s="94">
        <v>2</v>
      </c>
      <c r="D492" s="94" t="s">
        <v>210</v>
      </c>
      <c r="E492" s="94" t="s">
        <v>210</v>
      </c>
      <c r="F492" s="94">
        <v>-7</v>
      </c>
      <c r="G492" s="94">
        <v>-6</v>
      </c>
      <c r="H492" s="94" t="s">
        <v>210</v>
      </c>
      <c r="I492" s="94" t="s">
        <v>210</v>
      </c>
      <c r="J492" s="94">
        <v>3</v>
      </c>
      <c r="K492" s="94">
        <v>8</v>
      </c>
      <c r="L492" s="94" t="s">
        <v>210</v>
      </c>
      <c r="M492" s="94" t="s">
        <v>210</v>
      </c>
      <c r="N492" s="94">
        <v>-5</v>
      </c>
      <c r="O492" s="94">
        <v>-4</v>
      </c>
      <c r="P492" s="94" t="s">
        <v>210</v>
      </c>
      <c r="Q492" s="94"/>
      <c r="R492" s="94"/>
      <c r="S492" s="94"/>
      <c r="T492" s="94"/>
      <c r="U492" s="94"/>
      <c r="V492" s="94"/>
      <c r="W492" s="94"/>
      <c r="X492" s="94"/>
      <c r="Y492" s="94"/>
      <c r="Z492" s="94"/>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5"/>
    </row>
    <row r="493" spans="1:53" s="87" customFormat="1">
      <c r="A493" s="90" t="str">
        <f t="shared" si="32"/>
        <v/>
      </c>
      <c r="B493" s="98">
        <v>10</v>
      </c>
      <c r="C493" s="94">
        <v>-7</v>
      </c>
      <c r="D493" s="94" t="s">
        <v>210</v>
      </c>
      <c r="E493" s="94" t="s">
        <v>210</v>
      </c>
      <c r="F493" s="94">
        <v>5</v>
      </c>
      <c r="G493" s="94">
        <v>8</v>
      </c>
      <c r="H493" s="94" t="s">
        <v>210</v>
      </c>
      <c r="I493" s="94" t="s">
        <v>210</v>
      </c>
      <c r="J493" s="94">
        <v>-1</v>
      </c>
      <c r="K493" s="94">
        <v>-6</v>
      </c>
      <c r="L493" s="94" t="s">
        <v>210</v>
      </c>
      <c r="M493" s="94" t="s">
        <v>210</v>
      </c>
      <c r="N493" s="94">
        <v>3</v>
      </c>
      <c r="O493" s="94">
        <v>4</v>
      </c>
      <c r="P493" s="94" t="s">
        <v>210</v>
      </c>
      <c r="Q493" s="94"/>
      <c r="R493" s="94"/>
      <c r="S493" s="94"/>
      <c r="T493" s="94"/>
      <c r="U493" s="94"/>
      <c r="V493" s="94"/>
      <c r="W493" s="94"/>
      <c r="X493" s="94"/>
      <c r="Y493" s="94"/>
      <c r="Z493" s="94"/>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c r="AW493" s="94"/>
      <c r="AX493" s="94"/>
      <c r="AY493" s="94"/>
      <c r="AZ493" s="94"/>
      <c r="BA493" s="95"/>
    </row>
    <row r="494" spans="1:53" s="87" customFormat="1">
      <c r="A494" s="90" t="str">
        <f t="shared" si="32"/>
        <v/>
      </c>
      <c r="B494" s="98">
        <v>11</v>
      </c>
      <c r="C494" s="94">
        <v>8</v>
      </c>
      <c r="D494" s="94" t="s">
        <v>210</v>
      </c>
      <c r="E494" s="94" t="s">
        <v>210</v>
      </c>
      <c r="F494" s="94">
        <v>9</v>
      </c>
      <c r="G494" s="94">
        <v>-3</v>
      </c>
      <c r="H494" s="94" t="s">
        <v>210</v>
      </c>
      <c r="I494" s="94" t="s">
        <v>210</v>
      </c>
      <c r="J494" s="94">
        <v>-4</v>
      </c>
      <c r="K494" s="94">
        <v>6</v>
      </c>
      <c r="L494" s="94" t="s">
        <v>210</v>
      </c>
      <c r="M494" s="94" t="s">
        <v>210</v>
      </c>
      <c r="N494" s="94">
        <v>5</v>
      </c>
      <c r="O494" s="94">
        <v>-7</v>
      </c>
      <c r="P494" s="94" t="s">
        <v>210</v>
      </c>
      <c r="Q494" s="94"/>
      <c r="R494" s="94"/>
      <c r="S494" s="94"/>
      <c r="T494" s="94"/>
      <c r="U494" s="94"/>
      <c r="V494" s="94"/>
      <c r="W494" s="94"/>
      <c r="X494" s="94"/>
      <c r="Y494" s="94"/>
      <c r="Z494" s="94"/>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c r="AW494" s="94"/>
      <c r="AX494" s="94"/>
      <c r="AY494" s="94"/>
      <c r="AZ494" s="94"/>
      <c r="BA494" s="95"/>
    </row>
    <row r="495" spans="1:53" s="87" customFormat="1">
      <c r="A495" s="90" t="str">
        <f t="shared" si="32"/>
        <v/>
      </c>
      <c r="B495" s="98">
        <v>12</v>
      </c>
      <c r="C495" s="94">
        <v>1</v>
      </c>
      <c r="D495" s="94" t="s">
        <v>210</v>
      </c>
      <c r="E495" s="94" t="s">
        <v>210</v>
      </c>
      <c r="F495" s="94">
        <v>4</v>
      </c>
      <c r="G495" s="94">
        <v>-2</v>
      </c>
      <c r="H495" s="94" t="s">
        <v>210</v>
      </c>
      <c r="I495" s="94" t="s">
        <v>210</v>
      </c>
      <c r="J495" s="94">
        <v>9</v>
      </c>
      <c r="K495" s="94">
        <v>-8</v>
      </c>
      <c r="L495" s="94" t="s">
        <v>210</v>
      </c>
      <c r="M495" s="94" t="s">
        <v>210</v>
      </c>
      <c r="N495" s="94">
        <v>-3</v>
      </c>
      <c r="O495" s="94">
        <v>7</v>
      </c>
      <c r="P495" s="94" t="s">
        <v>210</v>
      </c>
      <c r="Q495" s="94"/>
      <c r="R495" s="94"/>
      <c r="S495" s="94"/>
      <c r="T495" s="94"/>
      <c r="U495" s="94"/>
      <c r="V495" s="94"/>
      <c r="W495" s="94"/>
      <c r="X495" s="94"/>
      <c r="Y495" s="94"/>
      <c r="Z495" s="94"/>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5"/>
    </row>
    <row r="496" spans="1:53" s="87" customFormat="1">
      <c r="A496" s="90" t="str">
        <f t="shared" si="32"/>
        <v/>
      </c>
      <c r="B496" s="98">
        <v>13</v>
      </c>
      <c r="C496" s="94">
        <v>-1</v>
      </c>
      <c r="D496" s="94" t="s">
        <v>210</v>
      </c>
      <c r="E496" s="94" t="s">
        <v>210</v>
      </c>
      <c r="F496" s="94">
        <v>7</v>
      </c>
      <c r="G496" s="94">
        <v>-8</v>
      </c>
      <c r="H496" s="94" t="s">
        <v>210</v>
      </c>
      <c r="I496" s="94" t="s">
        <v>210</v>
      </c>
      <c r="J496" s="94">
        <v>4</v>
      </c>
      <c r="K496" s="94">
        <v>-2</v>
      </c>
      <c r="L496" s="94" t="s">
        <v>210</v>
      </c>
      <c r="M496" s="94" t="s">
        <v>210</v>
      </c>
      <c r="N496" s="94">
        <v>6</v>
      </c>
      <c r="O496" s="94">
        <v>3</v>
      </c>
      <c r="P496" s="94" t="s">
        <v>210</v>
      </c>
      <c r="Q496" s="94"/>
      <c r="R496" s="94"/>
      <c r="S496" s="94"/>
      <c r="T496" s="94"/>
      <c r="U496" s="94"/>
      <c r="V496" s="94"/>
      <c r="W496" s="94"/>
      <c r="X496" s="94"/>
      <c r="Y496" s="94"/>
      <c r="Z496" s="94"/>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c r="AW496" s="94"/>
      <c r="AX496" s="94"/>
      <c r="AY496" s="94"/>
      <c r="AZ496" s="94"/>
      <c r="BA496" s="95"/>
    </row>
    <row r="497" spans="1:53" s="87" customFormat="1">
      <c r="A497" s="90" t="str">
        <f t="shared" si="32"/>
        <v/>
      </c>
      <c r="B497" s="98">
        <v>14</v>
      </c>
      <c r="C497" s="94">
        <v>-8</v>
      </c>
      <c r="D497" s="94" t="s">
        <v>210</v>
      </c>
      <c r="E497" s="94" t="s">
        <v>210</v>
      </c>
      <c r="F497" s="94">
        <v>-4</v>
      </c>
      <c r="G497" s="94">
        <v>6</v>
      </c>
      <c r="H497" s="94" t="s">
        <v>210</v>
      </c>
      <c r="I497" s="94" t="s">
        <v>210</v>
      </c>
      <c r="J497" s="94">
        <v>1</v>
      </c>
      <c r="K497" s="94">
        <v>-5</v>
      </c>
      <c r="L497" s="94" t="s">
        <v>210</v>
      </c>
      <c r="M497" s="94" t="s">
        <v>210</v>
      </c>
      <c r="N497" s="94">
        <v>2</v>
      </c>
      <c r="O497" s="94">
        <v>-3</v>
      </c>
      <c r="P497" s="94" t="s">
        <v>210</v>
      </c>
      <c r="Q497" s="94"/>
      <c r="R497" s="94"/>
      <c r="S497" s="94"/>
      <c r="T497" s="94"/>
      <c r="U497" s="94"/>
      <c r="V497" s="94"/>
      <c r="W497" s="94"/>
      <c r="X497" s="94"/>
      <c r="Y497" s="94"/>
      <c r="Z497" s="94"/>
      <c r="AA497" s="94"/>
      <c r="AB497" s="94"/>
      <c r="AC497" s="94"/>
      <c r="AD497" s="94"/>
      <c r="AE497" s="94"/>
      <c r="AF497" s="94"/>
      <c r="AG497" s="94"/>
      <c r="AH497" s="94"/>
      <c r="AI497" s="94"/>
      <c r="AJ497" s="94"/>
      <c r="AK497" s="94"/>
      <c r="AL497" s="94"/>
      <c r="AM497" s="94"/>
      <c r="AN497" s="94"/>
      <c r="AO497" s="94"/>
      <c r="AP497" s="94"/>
      <c r="AQ497" s="94"/>
      <c r="AR497" s="94"/>
      <c r="AS497" s="94"/>
      <c r="AT497" s="94"/>
      <c r="AU497" s="94"/>
      <c r="AV497" s="94"/>
      <c r="AW497" s="94"/>
      <c r="AX497" s="94"/>
      <c r="AY497" s="94"/>
      <c r="AZ497" s="94"/>
      <c r="BA497" s="95"/>
    </row>
    <row r="498" spans="1:53" s="87" customFormat="1">
      <c r="A498" s="90" t="str">
        <f t="shared" si="32"/>
        <v/>
      </c>
      <c r="B498" s="99">
        <v>15</v>
      </c>
      <c r="C498" s="92">
        <v>7</v>
      </c>
      <c r="D498" s="92" t="s">
        <v>210</v>
      </c>
      <c r="E498" s="92" t="s">
        <v>210</v>
      </c>
      <c r="F498" s="92">
        <v>-9</v>
      </c>
      <c r="G498" s="92">
        <v>2</v>
      </c>
      <c r="H498" s="92" t="s">
        <v>210</v>
      </c>
      <c r="I498" s="92" t="s">
        <v>210</v>
      </c>
      <c r="J498" s="92">
        <v>-3</v>
      </c>
      <c r="K498" s="92">
        <v>5</v>
      </c>
      <c r="L498" s="92" t="s">
        <v>210</v>
      </c>
      <c r="M498" s="92" t="s">
        <v>210</v>
      </c>
      <c r="N498" s="92">
        <v>-6</v>
      </c>
      <c r="O498" s="92">
        <v>-1</v>
      </c>
      <c r="P498" s="92" t="s">
        <v>210</v>
      </c>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5"/>
    </row>
    <row r="499" spans="1:53" s="87" customFormat="1">
      <c r="A499" s="90" t="str">
        <f t="shared" si="32"/>
        <v/>
      </c>
      <c r="B499" s="98">
        <v>16</v>
      </c>
      <c r="C499" s="94">
        <v>-2</v>
      </c>
      <c r="D499" s="94" t="s">
        <v>210</v>
      </c>
      <c r="E499" s="94" t="s">
        <v>210</v>
      </c>
      <c r="F499" s="94">
        <v>6</v>
      </c>
      <c r="G499" s="94">
        <v>-4</v>
      </c>
      <c r="H499" s="94" t="s">
        <v>210</v>
      </c>
      <c r="I499" s="94" t="s">
        <v>210</v>
      </c>
      <c r="J499" s="94">
        <v>5</v>
      </c>
      <c r="K499" s="94">
        <v>7</v>
      </c>
      <c r="L499" s="94" t="s">
        <v>210</v>
      </c>
      <c r="M499" s="94" t="s">
        <v>210</v>
      </c>
      <c r="N499" s="94">
        <v>-9</v>
      </c>
      <c r="O499" s="94">
        <v>-8</v>
      </c>
      <c r="P499" s="94" t="s">
        <v>210</v>
      </c>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5"/>
    </row>
    <row r="500" spans="1:53" s="87" customFormat="1">
      <c r="A500" s="90" t="str">
        <f t="shared" si="32"/>
        <v/>
      </c>
      <c r="B500" s="98">
        <v>17</v>
      </c>
      <c r="C500" s="94">
        <v>-9</v>
      </c>
      <c r="D500" s="94" t="s">
        <v>210</v>
      </c>
      <c r="E500" s="94" t="s">
        <v>210</v>
      </c>
      <c r="F500" s="94">
        <v>-5</v>
      </c>
      <c r="G500" s="94">
        <v>7</v>
      </c>
      <c r="H500" s="94" t="s">
        <v>210</v>
      </c>
      <c r="I500" s="94" t="s">
        <v>210</v>
      </c>
      <c r="J500" s="94">
        <v>6</v>
      </c>
      <c r="K500" s="94">
        <v>-4</v>
      </c>
      <c r="L500" s="94" t="s">
        <v>210</v>
      </c>
      <c r="M500" s="94" t="s">
        <v>210</v>
      </c>
      <c r="N500" s="94">
        <v>-1</v>
      </c>
      <c r="O500" s="94">
        <v>8</v>
      </c>
      <c r="P500" s="94" t="s">
        <v>210</v>
      </c>
      <c r="Q500" s="94"/>
      <c r="R500" s="94"/>
      <c r="S500" s="94"/>
      <c r="T500" s="94"/>
      <c r="U500" s="94"/>
      <c r="V500" s="94"/>
      <c r="W500" s="94"/>
      <c r="X500" s="94"/>
      <c r="Y500" s="94"/>
      <c r="Z500" s="94"/>
      <c r="AA500" s="94"/>
      <c r="AB500" s="94"/>
      <c r="AC500" s="94"/>
      <c r="AD500" s="94"/>
      <c r="AE500" s="94"/>
      <c r="AF500" s="94"/>
      <c r="AG500" s="94"/>
      <c r="AH500" s="94"/>
      <c r="AI500" s="94"/>
      <c r="AJ500" s="94"/>
      <c r="AK500" s="94"/>
      <c r="AL500" s="94"/>
      <c r="AM500" s="94"/>
      <c r="AN500" s="94"/>
      <c r="AO500" s="94"/>
      <c r="AP500" s="94"/>
      <c r="AQ500" s="94"/>
      <c r="AR500" s="94"/>
      <c r="AS500" s="94"/>
      <c r="AT500" s="94"/>
      <c r="AU500" s="94"/>
      <c r="AV500" s="94"/>
      <c r="AW500" s="94"/>
      <c r="AX500" s="94"/>
      <c r="AY500" s="94"/>
      <c r="AZ500" s="94"/>
      <c r="BA500" s="95"/>
    </row>
    <row r="501" spans="1:53" s="87" customFormat="1">
      <c r="A501" s="90" t="str">
        <f t="shared" si="32"/>
        <v/>
      </c>
      <c r="B501" s="98">
        <v>18</v>
      </c>
      <c r="C501" s="94">
        <v>-5</v>
      </c>
      <c r="D501" s="94" t="s">
        <v>210</v>
      </c>
      <c r="E501" s="94" t="s">
        <v>210</v>
      </c>
      <c r="F501" s="94">
        <v>-1</v>
      </c>
      <c r="G501" s="94">
        <v>3</v>
      </c>
      <c r="H501" s="94" t="s">
        <v>210</v>
      </c>
      <c r="I501" s="94" t="s">
        <v>210</v>
      </c>
      <c r="J501" s="94">
        <v>-7</v>
      </c>
      <c r="K501" s="94">
        <v>4</v>
      </c>
      <c r="L501" s="94" t="s">
        <v>210</v>
      </c>
      <c r="M501" s="94" t="s">
        <v>210</v>
      </c>
      <c r="N501" s="94">
        <v>9</v>
      </c>
      <c r="O501" s="94">
        <v>-2</v>
      </c>
      <c r="P501" s="94" t="s">
        <v>210</v>
      </c>
      <c r="Q501" s="94"/>
      <c r="R501" s="94"/>
      <c r="S501" s="94"/>
      <c r="T501" s="94"/>
      <c r="U501" s="94"/>
      <c r="V501" s="94"/>
      <c r="W501" s="94"/>
      <c r="X501" s="94"/>
      <c r="Y501" s="94"/>
      <c r="Z501" s="94"/>
      <c r="AA501" s="94"/>
      <c r="AB501" s="94"/>
      <c r="AC501" s="94"/>
      <c r="AD501" s="94"/>
      <c r="AE501" s="94"/>
      <c r="AF501" s="94"/>
      <c r="AG501" s="94"/>
      <c r="AH501" s="94"/>
      <c r="AI501" s="94"/>
      <c r="AJ501" s="94"/>
      <c r="AK501" s="94"/>
      <c r="AL501" s="94"/>
      <c r="AM501" s="94"/>
      <c r="AN501" s="94"/>
      <c r="AO501" s="94"/>
      <c r="AP501" s="94"/>
      <c r="AQ501" s="94"/>
      <c r="AR501" s="94"/>
      <c r="AS501" s="94"/>
      <c r="AT501" s="94"/>
      <c r="AU501" s="94"/>
      <c r="AV501" s="94"/>
      <c r="AW501" s="94"/>
      <c r="AX501" s="94"/>
      <c r="AY501" s="94"/>
      <c r="AZ501" s="94"/>
      <c r="BA501" s="95"/>
    </row>
    <row r="502" spans="1:53" s="87" customFormat="1">
      <c r="A502" s="90" t="str">
        <f t="shared" si="32"/>
        <v/>
      </c>
      <c r="B502" s="98">
        <v>19</v>
      </c>
      <c r="C502" s="94">
        <v>-4</v>
      </c>
      <c r="D502" s="94" t="s">
        <v>210</v>
      </c>
      <c r="E502" s="94" t="s">
        <v>210</v>
      </c>
      <c r="F502" s="94">
        <v>3</v>
      </c>
      <c r="G502" s="94">
        <v>5</v>
      </c>
      <c r="H502" s="94" t="s">
        <v>210</v>
      </c>
      <c r="I502" s="94" t="s">
        <v>210</v>
      </c>
      <c r="J502" s="94">
        <v>-9</v>
      </c>
      <c r="K502" s="94">
        <v>-7</v>
      </c>
      <c r="L502" s="94" t="s">
        <v>210</v>
      </c>
      <c r="M502" s="94" t="s">
        <v>210</v>
      </c>
      <c r="N502" s="94">
        <v>1</v>
      </c>
      <c r="O502" s="94">
        <v>2</v>
      </c>
      <c r="P502" s="94" t="s">
        <v>210</v>
      </c>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5"/>
    </row>
    <row r="503" spans="1:53" s="87" customFormat="1">
      <c r="A503" s="90" t="str">
        <f t="shared" si="32"/>
        <v/>
      </c>
      <c r="B503" s="98">
        <v>20</v>
      </c>
      <c r="C503" s="94">
        <v>5</v>
      </c>
      <c r="D503" s="94" t="s">
        <v>210</v>
      </c>
      <c r="E503" s="94" t="s">
        <v>210</v>
      </c>
      <c r="F503" s="94">
        <v>-3</v>
      </c>
      <c r="G503" s="94">
        <v>4</v>
      </c>
      <c r="H503" s="94" t="s">
        <v>210</v>
      </c>
      <c r="I503" s="94" t="s">
        <v>210</v>
      </c>
      <c r="J503" s="94">
        <v>-6</v>
      </c>
      <c r="K503" s="94">
        <v>2</v>
      </c>
      <c r="L503" s="94" t="s">
        <v>210</v>
      </c>
      <c r="M503" s="94" t="s">
        <v>210</v>
      </c>
      <c r="N503" s="94">
        <v>-8</v>
      </c>
      <c r="O503" s="94">
        <v>-9</v>
      </c>
      <c r="P503" s="94" t="s">
        <v>210</v>
      </c>
      <c r="Q503" s="94"/>
      <c r="R503" s="94"/>
      <c r="S503" s="94"/>
      <c r="T503" s="94"/>
      <c r="U503" s="94"/>
      <c r="V503" s="94"/>
      <c r="W503" s="94"/>
      <c r="X503" s="94"/>
      <c r="Y503" s="94"/>
      <c r="Z503" s="94"/>
      <c r="AA503" s="94"/>
      <c r="AB503" s="94"/>
      <c r="AC503" s="94"/>
      <c r="AD503" s="94"/>
      <c r="AE503" s="94"/>
      <c r="AF503" s="94"/>
      <c r="AG503" s="94"/>
      <c r="AH503" s="94"/>
      <c r="AI503" s="94"/>
      <c r="AJ503" s="94"/>
      <c r="AK503" s="94"/>
      <c r="AL503" s="94"/>
      <c r="AM503" s="94"/>
      <c r="AN503" s="94"/>
      <c r="AO503" s="94"/>
      <c r="AP503" s="94"/>
      <c r="AQ503" s="94"/>
      <c r="AR503" s="94"/>
      <c r="AS503" s="94"/>
      <c r="AT503" s="94"/>
      <c r="AU503" s="94"/>
      <c r="AV503" s="94"/>
      <c r="AW503" s="94"/>
      <c r="AX503" s="94"/>
      <c r="AY503" s="94"/>
      <c r="AZ503" s="94"/>
      <c r="BA503" s="95"/>
    </row>
    <row r="504" spans="1:53" s="87" customFormat="1">
      <c r="A504" s="90" t="str">
        <f t="shared" si="32"/>
        <v/>
      </c>
      <c r="B504" s="98">
        <v>21</v>
      </c>
      <c r="C504" s="94">
        <v>4</v>
      </c>
      <c r="D504" s="94" t="s">
        <v>210</v>
      </c>
      <c r="E504" s="94" t="s">
        <v>210</v>
      </c>
      <c r="F504" s="94">
        <v>1</v>
      </c>
      <c r="G504" s="94">
        <v>-7</v>
      </c>
      <c r="H504" s="94" t="s">
        <v>210</v>
      </c>
      <c r="I504" s="94" t="s">
        <v>210</v>
      </c>
      <c r="J504" s="94">
        <v>-5</v>
      </c>
      <c r="K504" s="94">
        <v>3</v>
      </c>
      <c r="L504" s="94" t="s">
        <v>210</v>
      </c>
      <c r="M504" s="94" t="s">
        <v>210</v>
      </c>
      <c r="N504" s="94">
        <v>-2</v>
      </c>
      <c r="O504" s="94">
        <v>9</v>
      </c>
      <c r="P504" s="94" t="s">
        <v>210</v>
      </c>
      <c r="Q504" s="94"/>
      <c r="R504" s="94"/>
      <c r="S504" s="94"/>
      <c r="T504" s="94"/>
      <c r="U504" s="94"/>
      <c r="V504" s="94"/>
      <c r="W504" s="94"/>
      <c r="X504" s="94"/>
      <c r="Y504" s="94"/>
      <c r="Z504" s="94"/>
      <c r="AA504" s="94"/>
      <c r="AB504" s="94"/>
      <c r="AC504" s="94"/>
      <c r="AD504" s="94"/>
      <c r="AE504" s="94"/>
      <c r="AF504" s="94"/>
      <c r="AG504" s="94"/>
      <c r="AH504" s="94"/>
      <c r="AI504" s="94"/>
      <c r="AJ504" s="94"/>
      <c r="AK504" s="94"/>
      <c r="AL504" s="94"/>
      <c r="AM504" s="94"/>
      <c r="AN504" s="94"/>
      <c r="AO504" s="94"/>
      <c r="AP504" s="94"/>
      <c r="AQ504" s="94"/>
      <c r="AR504" s="94"/>
      <c r="AS504" s="94"/>
      <c r="AT504" s="94"/>
      <c r="AU504" s="94"/>
      <c r="AV504" s="94"/>
      <c r="AW504" s="94"/>
      <c r="AX504" s="94"/>
      <c r="AY504" s="94"/>
      <c r="AZ504" s="94"/>
      <c r="BA504" s="95"/>
    </row>
    <row r="505" spans="1:53" s="87" customFormat="1">
      <c r="A505" s="90" t="str">
        <f t="shared" si="32"/>
        <v/>
      </c>
      <c r="B505" s="99">
        <v>22</v>
      </c>
      <c r="C505" s="92">
        <v>9</v>
      </c>
      <c r="D505" s="92" t="s">
        <v>210</v>
      </c>
      <c r="E505" s="92" t="s">
        <v>210</v>
      </c>
      <c r="F505" s="92">
        <v>-6</v>
      </c>
      <c r="G505" s="92">
        <v>-5</v>
      </c>
      <c r="H505" s="92" t="s">
        <v>210</v>
      </c>
      <c r="I505" s="92" t="s">
        <v>210</v>
      </c>
      <c r="J505" s="92">
        <v>7</v>
      </c>
      <c r="K505" s="92">
        <v>-3</v>
      </c>
      <c r="L505" s="92" t="s">
        <v>210</v>
      </c>
      <c r="M505" s="92" t="s">
        <v>210</v>
      </c>
      <c r="N505" s="92">
        <v>8</v>
      </c>
      <c r="O505" s="92">
        <v>1</v>
      </c>
      <c r="P505" s="92" t="s">
        <v>210</v>
      </c>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5"/>
    </row>
    <row r="506" spans="1:53" s="87" customFormat="1">
      <c r="A506" s="90" t="str">
        <f t="shared" si="32"/>
        <v/>
      </c>
      <c r="B506" s="98">
        <v>23</v>
      </c>
      <c r="C506" s="94" t="s">
        <v>210</v>
      </c>
      <c r="D506" s="94">
        <v>-2</v>
      </c>
      <c r="E506" s="94">
        <v>6</v>
      </c>
      <c r="F506" s="94" t="s">
        <v>210</v>
      </c>
      <c r="G506" s="94" t="s">
        <v>210</v>
      </c>
      <c r="H506" s="94">
        <v>7</v>
      </c>
      <c r="I506" s="94">
        <v>-3</v>
      </c>
      <c r="J506" s="94" t="s">
        <v>210</v>
      </c>
      <c r="K506" s="94" t="s">
        <v>210</v>
      </c>
      <c r="L506" s="94">
        <v>-8</v>
      </c>
      <c r="M506" s="94">
        <v>5</v>
      </c>
      <c r="N506" s="94" t="s">
        <v>210</v>
      </c>
      <c r="O506" s="94" t="s">
        <v>210</v>
      </c>
      <c r="P506" s="94">
        <v>4</v>
      </c>
      <c r="Q506" s="94"/>
      <c r="R506" s="94"/>
      <c r="S506" s="94"/>
      <c r="T506" s="94"/>
      <c r="U506" s="94"/>
      <c r="V506" s="94"/>
      <c r="W506" s="94"/>
      <c r="X506" s="94"/>
      <c r="Y506" s="94"/>
      <c r="Z506" s="94"/>
      <c r="AA506" s="94"/>
      <c r="AB506" s="94"/>
      <c r="AC506" s="94"/>
      <c r="AD506" s="94"/>
      <c r="AE506" s="94"/>
      <c r="AF506" s="94"/>
      <c r="AG506" s="94"/>
      <c r="AH506" s="94"/>
      <c r="AI506" s="94"/>
      <c r="AJ506" s="94"/>
      <c r="AK506" s="94"/>
      <c r="AL506" s="94"/>
      <c r="AM506" s="94"/>
      <c r="AN506" s="94"/>
      <c r="AO506" s="94"/>
      <c r="AP506" s="94"/>
      <c r="AQ506" s="94"/>
      <c r="AR506" s="94"/>
      <c r="AS506" s="94"/>
      <c r="AT506" s="94"/>
      <c r="AU506" s="94"/>
      <c r="AV506" s="94"/>
      <c r="AW506" s="94"/>
      <c r="AX506" s="94"/>
      <c r="AY506" s="94"/>
      <c r="AZ506" s="94"/>
      <c r="BA506" s="95"/>
    </row>
    <row r="507" spans="1:53" s="87" customFormat="1">
      <c r="A507" s="90" t="str">
        <f t="shared" si="32"/>
        <v/>
      </c>
      <c r="B507" s="98">
        <v>24</v>
      </c>
      <c r="C507" s="94" t="s">
        <v>210</v>
      </c>
      <c r="D507" s="94">
        <v>7</v>
      </c>
      <c r="E507" s="94">
        <v>-5</v>
      </c>
      <c r="F507" s="94" t="s">
        <v>210</v>
      </c>
      <c r="G507" s="94" t="s">
        <v>210</v>
      </c>
      <c r="H507" s="94">
        <v>-8</v>
      </c>
      <c r="I507" s="94">
        <v>1</v>
      </c>
      <c r="J507" s="94" t="s">
        <v>210</v>
      </c>
      <c r="K507" s="94" t="s">
        <v>210</v>
      </c>
      <c r="L507" s="94">
        <v>6</v>
      </c>
      <c r="M507" s="94">
        <v>-3</v>
      </c>
      <c r="N507" s="94" t="s">
        <v>210</v>
      </c>
      <c r="O507" s="94" t="s">
        <v>210</v>
      </c>
      <c r="P507" s="94">
        <v>-4</v>
      </c>
      <c r="Q507" s="94"/>
      <c r="R507" s="94"/>
      <c r="S507" s="94"/>
      <c r="T507" s="94"/>
      <c r="U507" s="94"/>
      <c r="V507" s="94"/>
      <c r="W507" s="94"/>
      <c r="X507" s="94"/>
      <c r="Y507" s="94"/>
      <c r="Z507" s="94"/>
      <c r="AA507" s="94"/>
      <c r="AB507" s="94"/>
      <c r="AC507" s="94"/>
      <c r="AD507" s="94"/>
      <c r="AE507" s="94"/>
      <c r="AF507" s="94"/>
      <c r="AG507" s="94"/>
      <c r="AH507" s="94"/>
      <c r="AI507" s="94"/>
      <c r="AJ507" s="94"/>
      <c r="AK507" s="94"/>
      <c r="AL507" s="94"/>
      <c r="AM507" s="94"/>
      <c r="AN507" s="94"/>
      <c r="AO507" s="94"/>
      <c r="AP507" s="94"/>
      <c r="AQ507" s="94"/>
      <c r="AR507" s="94"/>
      <c r="AS507" s="94"/>
      <c r="AT507" s="94"/>
      <c r="AU507" s="94"/>
      <c r="AV507" s="94"/>
      <c r="AW507" s="94"/>
      <c r="AX507" s="94"/>
      <c r="AY507" s="94"/>
      <c r="AZ507" s="94"/>
      <c r="BA507" s="95"/>
    </row>
    <row r="508" spans="1:53" s="87" customFormat="1">
      <c r="A508" s="90" t="str">
        <f t="shared" si="32"/>
        <v/>
      </c>
      <c r="B508" s="98">
        <v>25</v>
      </c>
      <c r="C508" s="94" t="s">
        <v>210</v>
      </c>
      <c r="D508" s="94">
        <v>-8</v>
      </c>
      <c r="E508" s="94">
        <v>-9</v>
      </c>
      <c r="F508" s="94" t="s">
        <v>210</v>
      </c>
      <c r="G508" s="94" t="s">
        <v>210</v>
      </c>
      <c r="H508" s="94">
        <v>3</v>
      </c>
      <c r="I508" s="94">
        <v>4</v>
      </c>
      <c r="J508" s="94" t="s">
        <v>210</v>
      </c>
      <c r="K508" s="94" t="s">
        <v>210</v>
      </c>
      <c r="L508" s="94">
        <v>-6</v>
      </c>
      <c r="M508" s="94">
        <v>-5</v>
      </c>
      <c r="N508" s="94" t="s">
        <v>210</v>
      </c>
      <c r="O508" s="94" t="s">
        <v>210</v>
      </c>
      <c r="P508" s="94">
        <v>7</v>
      </c>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5"/>
    </row>
    <row r="509" spans="1:53" s="87" customFormat="1">
      <c r="A509" s="90" t="str">
        <f t="shared" si="32"/>
        <v/>
      </c>
      <c r="B509" s="98">
        <v>26</v>
      </c>
      <c r="C509" s="94" t="s">
        <v>210</v>
      </c>
      <c r="D509" s="94">
        <v>-1</v>
      </c>
      <c r="E509" s="94">
        <v>-4</v>
      </c>
      <c r="F509" s="94" t="s">
        <v>210</v>
      </c>
      <c r="G509" s="94" t="s">
        <v>210</v>
      </c>
      <c r="H509" s="94">
        <v>2</v>
      </c>
      <c r="I509" s="94">
        <v>-9</v>
      </c>
      <c r="J509" s="94" t="s">
        <v>210</v>
      </c>
      <c r="K509" s="94" t="s">
        <v>210</v>
      </c>
      <c r="L509" s="94">
        <v>8</v>
      </c>
      <c r="M509" s="94">
        <v>3</v>
      </c>
      <c r="N509" s="94" t="s">
        <v>210</v>
      </c>
      <c r="O509" s="94" t="s">
        <v>210</v>
      </c>
      <c r="P509" s="94">
        <v>-7</v>
      </c>
      <c r="Q509" s="94"/>
      <c r="R509" s="94"/>
      <c r="S509" s="94"/>
      <c r="T509" s="94"/>
      <c r="U509" s="94"/>
      <c r="V509" s="94"/>
      <c r="W509" s="94"/>
      <c r="X509" s="94"/>
      <c r="Y509" s="94"/>
      <c r="Z509" s="94"/>
      <c r="AA509" s="94"/>
      <c r="AB509" s="94"/>
      <c r="AC509" s="94"/>
      <c r="AD509" s="94"/>
      <c r="AE509" s="94"/>
      <c r="AF509" s="94"/>
      <c r="AG509" s="94"/>
      <c r="AH509" s="94"/>
      <c r="AI509" s="94"/>
      <c r="AJ509" s="94"/>
      <c r="AK509" s="94"/>
      <c r="AL509" s="94"/>
      <c r="AM509" s="94"/>
      <c r="AN509" s="94"/>
      <c r="AO509" s="94"/>
      <c r="AP509" s="94"/>
      <c r="AQ509" s="94"/>
      <c r="AR509" s="94"/>
      <c r="AS509" s="94"/>
      <c r="AT509" s="94"/>
      <c r="AU509" s="94"/>
      <c r="AV509" s="94"/>
      <c r="AW509" s="94"/>
      <c r="AX509" s="94"/>
      <c r="AY509" s="94"/>
      <c r="AZ509" s="94"/>
      <c r="BA509" s="95"/>
    </row>
    <row r="510" spans="1:53" s="87" customFormat="1">
      <c r="A510" s="90" t="str">
        <f t="shared" si="32"/>
        <v/>
      </c>
      <c r="B510" s="98">
        <v>27</v>
      </c>
      <c r="C510" s="94" t="s">
        <v>210</v>
      </c>
      <c r="D510" s="94">
        <v>8</v>
      </c>
      <c r="E510" s="94">
        <v>4</v>
      </c>
      <c r="F510" s="94" t="s">
        <v>210</v>
      </c>
      <c r="G510" s="94" t="s">
        <v>210</v>
      </c>
      <c r="H510" s="94">
        <v>-7</v>
      </c>
      <c r="I510" s="94">
        <v>-1</v>
      </c>
      <c r="J510" s="94" t="s">
        <v>210</v>
      </c>
      <c r="K510" s="94" t="s">
        <v>210</v>
      </c>
      <c r="L510" s="94">
        <v>2</v>
      </c>
      <c r="M510" s="94">
        <v>-6</v>
      </c>
      <c r="N510" s="94" t="s">
        <v>210</v>
      </c>
      <c r="O510" s="94" t="s">
        <v>210</v>
      </c>
      <c r="P510" s="94">
        <v>-3</v>
      </c>
      <c r="Q510" s="94"/>
      <c r="R510" s="94"/>
      <c r="S510" s="94"/>
      <c r="T510" s="94"/>
      <c r="U510" s="94"/>
      <c r="V510" s="94"/>
      <c r="W510" s="94"/>
      <c r="X510" s="94"/>
      <c r="Y510" s="94"/>
      <c r="Z510" s="94"/>
      <c r="AA510" s="94"/>
      <c r="AB510" s="94"/>
      <c r="AC510" s="94"/>
      <c r="AD510" s="94"/>
      <c r="AE510" s="94"/>
      <c r="AF510" s="94"/>
      <c r="AG510" s="94"/>
      <c r="AH510" s="94"/>
      <c r="AI510" s="94"/>
      <c r="AJ510" s="94"/>
      <c r="AK510" s="94"/>
      <c r="AL510" s="94"/>
      <c r="AM510" s="94"/>
      <c r="AN510" s="94"/>
      <c r="AO510" s="94"/>
      <c r="AP510" s="94"/>
      <c r="AQ510" s="94"/>
      <c r="AR510" s="94"/>
      <c r="AS510" s="94"/>
      <c r="AT510" s="94"/>
      <c r="AU510" s="94"/>
      <c r="AV510" s="94"/>
      <c r="AW510" s="94"/>
      <c r="AX510" s="94"/>
      <c r="AY510" s="94"/>
      <c r="AZ510" s="94"/>
      <c r="BA510" s="95"/>
    </row>
    <row r="511" spans="1:53" s="87" customFormat="1">
      <c r="A511" s="90" t="str">
        <f t="shared" si="32"/>
        <v/>
      </c>
      <c r="B511" s="98">
        <v>28</v>
      </c>
      <c r="C511" s="94" t="s">
        <v>210</v>
      </c>
      <c r="D511" s="94">
        <v>1</v>
      </c>
      <c r="E511" s="94">
        <v>-6</v>
      </c>
      <c r="F511" s="94" t="s">
        <v>210</v>
      </c>
      <c r="G511" s="94" t="s">
        <v>210</v>
      </c>
      <c r="H511" s="94">
        <v>8</v>
      </c>
      <c r="I511" s="94">
        <v>-4</v>
      </c>
      <c r="J511" s="94" t="s">
        <v>210</v>
      </c>
      <c r="K511" s="94" t="s">
        <v>210</v>
      </c>
      <c r="L511" s="94">
        <v>5</v>
      </c>
      <c r="M511" s="94">
        <v>-2</v>
      </c>
      <c r="N511" s="94" t="s">
        <v>210</v>
      </c>
      <c r="O511" s="94" t="s">
        <v>210</v>
      </c>
      <c r="P511" s="94">
        <v>3</v>
      </c>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5"/>
    </row>
    <row r="512" spans="1:53" s="87" customFormat="1">
      <c r="A512" s="90" t="str">
        <f t="shared" si="32"/>
        <v/>
      </c>
      <c r="B512" s="99">
        <v>29</v>
      </c>
      <c r="C512" s="92" t="s">
        <v>210</v>
      </c>
      <c r="D512" s="92">
        <v>-7</v>
      </c>
      <c r="E512" s="92">
        <v>9</v>
      </c>
      <c r="F512" s="92" t="s">
        <v>210</v>
      </c>
      <c r="G512" s="92" t="s">
        <v>210</v>
      </c>
      <c r="H512" s="92">
        <v>-2</v>
      </c>
      <c r="I512" s="92">
        <v>3</v>
      </c>
      <c r="J512" s="92" t="s">
        <v>210</v>
      </c>
      <c r="K512" s="92" t="s">
        <v>210</v>
      </c>
      <c r="L512" s="92">
        <v>-5</v>
      </c>
      <c r="M512" s="92">
        <v>6</v>
      </c>
      <c r="N512" s="92" t="s">
        <v>210</v>
      </c>
      <c r="O512" s="92" t="s">
        <v>210</v>
      </c>
      <c r="P512" s="92">
        <v>1</v>
      </c>
      <c r="Q512" s="94"/>
      <c r="R512" s="94"/>
      <c r="S512" s="94"/>
      <c r="T512" s="94"/>
      <c r="U512" s="94"/>
      <c r="V512" s="94"/>
      <c r="W512" s="94"/>
      <c r="X512" s="94"/>
      <c r="Y512" s="94"/>
      <c r="Z512" s="94"/>
      <c r="AA512" s="94"/>
      <c r="AB512" s="94"/>
      <c r="AC512" s="94"/>
      <c r="AD512" s="94"/>
      <c r="AE512" s="94"/>
      <c r="AF512" s="94"/>
      <c r="AG512" s="94"/>
      <c r="AH512" s="94"/>
      <c r="AI512" s="94"/>
      <c r="AJ512" s="94"/>
      <c r="AK512" s="94"/>
      <c r="AL512" s="94"/>
      <c r="AM512" s="94"/>
      <c r="AN512" s="94"/>
      <c r="AO512" s="94"/>
      <c r="AP512" s="94"/>
      <c r="AQ512" s="94"/>
      <c r="AR512" s="94"/>
      <c r="AS512" s="94"/>
      <c r="AT512" s="94"/>
      <c r="AU512" s="94"/>
      <c r="AV512" s="94"/>
      <c r="AW512" s="94"/>
      <c r="AX512" s="94"/>
      <c r="AY512" s="94"/>
      <c r="AZ512" s="94"/>
      <c r="BA512" s="95"/>
    </row>
    <row r="513" spans="1:53" s="87" customFormat="1">
      <c r="A513" s="90" t="str">
        <f t="shared" si="32"/>
        <v/>
      </c>
      <c r="B513" s="98">
        <v>30</v>
      </c>
      <c r="C513" s="94" t="s">
        <v>210</v>
      </c>
      <c r="D513" s="94">
        <v>2</v>
      </c>
      <c r="E513" s="94">
        <v>-1</v>
      </c>
      <c r="F513" s="94" t="s">
        <v>210</v>
      </c>
      <c r="G513" s="94" t="s">
        <v>210</v>
      </c>
      <c r="H513" s="94">
        <v>4</v>
      </c>
      <c r="I513" s="94">
        <v>-6</v>
      </c>
      <c r="J513" s="94" t="s">
        <v>210</v>
      </c>
      <c r="K513" s="94" t="s">
        <v>210</v>
      </c>
      <c r="L513" s="94">
        <v>-7</v>
      </c>
      <c r="M513" s="94">
        <v>9</v>
      </c>
      <c r="N513" s="94" t="s">
        <v>210</v>
      </c>
      <c r="O513" s="94" t="s">
        <v>210</v>
      </c>
      <c r="P513" s="94">
        <v>8</v>
      </c>
      <c r="Q513" s="94"/>
      <c r="R513" s="94"/>
      <c r="S513" s="94"/>
      <c r="T513" s="94"/>
      <c r="U513" s="94"/>
      <c r="V513" s="94"/>
      <c r="W513" s="94"/>
      <c r="X513" s="94"/>
      <c r="Y513" s="94"/>
      <c r="Z513" s="94"/>
      <c r="AA513" s="94"/>
      <c r="AB513" s="94"/>
      <c r="AC513" s="94"/>
      <c r="AD513" s="94"/>
      <c r="AE513" s="94"/>
      <c r="AF513" s="94"/>
      <c r="AG513" s="94"/>
      <c r="AH513" s="94"/>
      <c r="AI513" s="94"/>
      <c r="AJ513" s="94"/>
      <c r="AK513" s="94"/>
      <c r="AL513" s="94"/>
      <c r="AM513" s="94"/>
      <c r="AN513" s="94"/>
      <c r="AO513" s="94"/>
      <c r="AP513" s="94"/>
      <c r="AQ513" s="94"/>
      <c r="AR513" s="94"/>
      <c r="AS513" s="94"/>
      <c r="AT513" s="94"/>
      <c r="AU513" s="94"/>
      <c r="AV513" s="94"/>
      <c r="AW513" s="94"/>
      <c r="AX513" s="94"/>
      <c r="AY513" s="94"/>
      <c r="AZ513" s="94"/>
      <c r="BA513" s="95"/>
    </row>
    <row r="514" spans="1:53" s="87" customFormat="1">
      <c r="A514" s="90" t="str">
        <f t="shared" si="32"/>
        <v/>
      </c>
      <c r="B514" s="98">
        <v>31</v>
      </c>
      <c r="C514" s="94" t="s">
        <v>210</v>
      </c>
      <c r="D514" s="94">
        <v>-9</v>
      </c>
      <c r="E514" s="94">
        <v>5</v>
      </c>
      <c r="F514" s="94" t="s">
        <v>210</v>
      </c>
      <c r="G514" s="94" t="s">
        <v>210</v>
      </c>
      <c r="H514" s="94">
        <v>-6</v>
      </c>
      <c r="I514" s="94">
        <v>-7</v>
      </c>
      <c r="J514" s="94" t="s">
        <v>210</v>
      </c>
      <c r="K514" s="94" t="s">
        <v>210</v>
      </c>
      <c r="L514" s="94">
        <v>4</v>
      </c>
      <c r="M514" s="94">
        <v>1</v>
      </c>
      <c r="N514" s="94" t="s">
        <v>210</v>
      </c>
      <c r="O514" s="94" t="s">
        <v>210</v>
      </c>
      <c r="P514" s="94">
        <v>-8</v>
      </c>
      <c r="Q514" s="94"/>
      <c r="R514" s="94"/>
      <c r="S514" s="94"/>
      <c r="T514" s="94"/>
      <c r="U514" s="94"/>
      <c r="V514" s="94"/>
      <c r="W514" s="94"/>
      <c r="X514" s="94"/>
      <c r="Y514" s="94"/>
      <c r="Z514" s="94"/>
      <c r="AA514" s="94"/>
      <c r="AB514" s="94"/>
      <c r="AC514" s="94"/>
      <c r="AD514" s="94"/>
      <c r="AE514" s="94"/>
      <c r="AF514" s="94"/>
      <c r="AG514" s="94"/>
      <c r="AH514" s="94"/>
      <c r="AI514" s="94"/>
      <c r="AJ514" s="94"/>
      <c r="AK514" s="94"/>
      <c r="AL514" s="94"/>
      <c r="AM514" s="94"/>
      <c r="AN514" s="94"/>
      <c r="AO514" s="94"/>
      <c r="AP514" s="94"/>
      <c r="AQ514" s="94"/>
      <c r="AR514" s="94"/>
      <c r="AS514" s="94"/>
      <c r="AT514" s="94"/>
      <c r="AU514" s="94"/>
      <c r="AV514" s="94"/>
      <c r="AW514" s="94"/>
      <c r="AX514" s="94"/>
      <c r="AY514" s="94"/>
      <c r="AZ514" s="94"/>
      <c r="BA514" s="95"/>
    </row>
    <row r="515" spans="1:53" s="87" customFormat="1">
      <c r="A515" s="90" t="str">
        <f t="shared" si="32"/>
        <v/>
      </c>
      <c r="B515" s="98">
        <v>32</v>
      </c>
      <c r="C515" s="94" t="s">
        <v>210</v>
      </c>
      <c r="D515" s="94">
        <v>6</v>
      </c>
      <c r="E515" s="94">
        <v>7</v>
      </c>
      <c r="F515" s="94" t="s">
        <v>210</v>
      </c>
      <c r="G515" s="94" t="s">
        <v>210</v>
      </c>
      <c r="H515" s="94">
        <v>-3</v>
      </c>
      <c r="I515" s="94">
        <v>5</v>
      </c>
      <c r="J515" s="94" t="s">
        <v>210</v>
      </c>
      <c r="K515" s="94" t="s">
        <v>210</v>
      </c>
      <c r="L515" s="94">
        <v>-4</v>
      </c>
      <c r="M515" s="94">
        <v>-9</v>
      </c>
      <c r="N515" s="94" t="s">
        <v>210</v>
      </c>
      <c r="O515" s="94" t="s">
        <v>210</v>
      </c>
      <c r="P515" s="94">
        <v>2</v>
      </c>
      <c r="Q515" s="94"/>
      <c r="R515" s="94"/>
      <c r="S515" s="94"/>
      <c r="T515" s="94"/>
      <c r="U515" s="94"/>
      <c r="V515" s="94"/>
      <c r="W515" s="94"/>
      <c r="X515" s="94"/>
      <c r="Y515" s="94"/>
      <c r="Z515" s="94"/>
      <c r="AA515" s="94"/>
      <c r="AB515" s="94"/>
      <c r="AC515" s="94"/>
      <c r="AD515" s="94"/>
      <c r="AE515" s="94"/>
      <c r="AF515" s="94"/>
      <c r="AG515" s="94"/>
      <c r="AH515" s="94"/>
      <c r="AI515" s="94"/>
      <c r="AJ515" s="94"/>
      <c r="AK515" s="94"/>
      <c r="AL515" s="94"/>
      <c r="AM515" s="94"/>
      <c r="AN515" s="94"/>
      <c r="AO515" s="94"/>
      <c r="AP515" s="94"/>
      <c r="AQ515" s="94"/>
      <c r="AR515" s="94"/>
      <c r="AS515" s="94"/>
      <c r="AT515" s="94"/>
      <c r="AU515" s="94"/>
      <c r="AV515" s="94"/>
      <c r="AW515" s="94"/>
      <c r="AX515" s="94"/>
      <c r="AY515" s="94"/>
      <c r="AZ515" s="94"/>
      <c r="BA515" s="95"/>
    </row>
    <row r="516" spans="1:53" s="87" customFormat="1">
      <c r="A516" s="90" t="str">
        <f t="shared" si="32"/>
        <v/>
      </c>
      <c r="B516" s="98">
        <v>33</v>
      </c>
      <c r="C516" s="94" t="s">
        <v>210</v>
      </c>
      <c r="D516" s="94">
        <v>4</v>
      </c>
      <c r="E516" s="94">
        <v>-3</v>
      </c>
      <c r="F516" s="94" t="s">
        <v>210</v>
      </c>
      <c r="G516" s="94" t="s">
        <v>210</v>
      </c>
      <c r="H516" s="94">
        <v>-5</v>
      </c>
      <c r="I516" s="94">
        <v>9</v>
      </c>
      <c r="J516" s="94" t="s">
        <v>210</v>
      </c>
      <c r="K516" s="94" t="s">
        <v>210</v>
      </c>
      <c r="L516" s="94">
        <v>7</v>
      </c>
      <c r="M516" s="94">
        <v>-1</v>
      </c>
      <c r="N516" s="94" t="s">
        <v>210</v>
      </c>
      <c r="O516" s="94" t="s">
        <v>210</v>
      </c>
      <c r="P516" s="94">
        <v>-2</v>
      </c>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5"/>
    </row>
    <row r="517" spans="1:53" s="87" customFormat="1">
      <c r="A517" s="90" t="str">
        <f t="shared" si="32"/>
        <v/>
      </c>
      <c r="B517" s="98">
        <v>34</v>
      </c>
      <c r="C517" s="94" t="s">
        <v>210</v>
      </c>
      <c r="D517" s="94">
        <v>-6</v>
      </c>
      <c r="E517" s="94">
        <v>3</v>
      </c>
      <c r="F517" s="94" t="s">
        <v>210</v>
      </c>
      <c r="G517" s="94" t="s">
        <v>210</v>
      </c>
      <c r="H517" s="94">
        <v>-4</v>
      </c>
      <c r="I517" s="94">
        <v>7</v>
      </c>
      <c r="J517" s="94" t="s">
        <v>210</v>
      </c>
      <c r="K517" s="94" t="s">
        <v>210</v>
      </c>
      <c r="L517" s="94">
        <v>-2</v>
      </c>
      <c r="M517" s="94">
        <v>-8</v>
      </c>
      <c r="N517" s="94" t="s">
        <v>210</v>
      </c>
      <c r="O517" s="94" t="s">
        <v>210</v>
      </c>
      <c r="P517" s="94">
        <v>9</v>
      </c>
      <c r="Q517" s="94"/>
      <c r="R517" s="94"/>
      <c r="S517" s="94"/>
      <c r="T517" s="94"/>
      <c r="U517" s="94"/>
      <c r="V517" s="94"/>
      <c r="W517" s="94"/>
      <c r="X517" s="94"/>
      <c r="Y517" s="94"/>
      <c r="Z517" s="94"/>
      <c r="AA517" s="94"/>
      <c r="AB517" s="94"/>
      <c r="AC517" s="94"/>
      <c r="AD517" s="94"/>
      <c r="AE517" s="94"/>
      <c r="AF517" s="94"/>
      <c r="AG517" s="94"/>
      <c r="AH517" s="94"/>
      <c r="AI517" s="94"/>
      <c r="AJ517" s="94"/>
      <c r="AK517" s="94"/>
      <c r="AL517" s="94"/>
      <c r="AM517" s="94"/>
      <c r="AN517" s="94"/>
      <c r="AO517" s="94"/>
      <c r="AP517" s="94"/>
      <c r="AQ517" s="94"/>
      <c r="AR517" s="94"/>
      <c r="AS517" s="94"/>
      <c r="AT517" s="94"/>
      <c r="AU517" s="94"/>
      <c r="AV517" s="94"/>
      <c r="AW517" s="94"/>
      <c r="AX517" s="94"/>
      <c r="AY517" s="94"/>
      <c r="AZ517" s="94"/>
      <c r="BA517" s="95"/>
    </row>
    <row r="518" spans="1:53" s="87" customFormat="1">
      <c r="A518" s="90" t="str">
        <f t="shared" si="32"/>
        <v/>
      </c>
      <c r="B518" s="98">
        <v>35</v>
      </c>
      <c r="C518" s="94" t="s">
        <v>210</v>
      </c>
      <c r="D518" s="94">
        <v>-4</v>
      </c>
      <c r="E518" s="94">
        <v>1</v>
      </c>
      <c r="F518" s="94" t="s">
        <v>210</v>
      </c>
      <c r="G518" s="94" t="s">
        <v>210</v>
      </c>
      <c r="H518" s="94">
        <v>6</v>
      </c>
      <c r="I518" s="94">
        <v>-5</v>
      </c>
      <c r="J518" s="94" t="s">
        <v>210</v>
      </c>
      <c r="K518" s="94" t="s">
        <v>210</v>
      </c>
      <c r="L518" s="94">
        <v>3</v>
      </c>
      <c r="M518" s="94">
        <v>2</v>
      </c>
      <c r="N518" s="94" t="s">
        <v>210</v>
      </c>
      <c r="O518" s="94" t="s">
        <v>210</v>
      </c>
      <c r="P518" s="94">
        <v>-9</v>
      </c>
      <c r="Q518" s="94"/>
      <c r="R518" s="94"/>
      <c r="S518" s="94"/>
      <c r="T518" s="94"/>
      <c r="U518" s="94"/>
      <c r="V518" s="94"/>
      <c r="W518" s="94"/>
      <c r="X518" s="94"/>
      <c r="Y518" s="94"/>
      <c r="Z518" s="94"/>
      <c r="AA518" s="94"/>
      <c r="AB518" s="94"/>
      <c r="AC518" s="94"/>
      <c r="AD518" s="94"/>
      <c r="AE518" s="94"/>
      <c r="AF518" s="94"/>
      <c r="AG518" s="94"/>
      <c r="AH518" s="94"/>
      <c r="AI518" s="94"/>
      <c r="AJ518" s="94"/>
      <c r="AK518" s="94"/>
      <c r="AL518" s="94"/>
      <c r="AM518" s="94"/>
      <c r="AN518" s="94"/>
      <c r="AO518" s="94"/>
      <c r="AP518" s="94"/>
      <c r="AQ518" s="94"/>
      <c r="AR518" s="94"/>
      <c r="AS518" s="94"/>
      <c r="AT518" s="94"/>
      <c r="AU518" s="94"/>
      <c r="AV518" s="94"/>
      <c r="AW518" s="94"/>
      <c r="AX518" s="94"/>
      <c r="AY518" s="94"/>
      <c r="AZ518" s="94"/>
      <c r="BA518" s="95"/>
    </row>
    <row r="519" spans="1:53" s="87" customFormat="1">
      <c r="A519" s="90" t="str">
        <f t="shared" si="32"/>
        <v/>
      </c>
      <c r="B519" s="98">
        <v>36</v>
      </c>
      <c r="C519" s="94" t="s">
        <v>210</v>
      </c>
      <c r="D519" s="94">
        <v>9</v>
      </c>
      <c r="E519" s="94">
        <v>-7</v>
      </c>
      <c r="F519" s="94" t="s">
        <v>210</v>
      </c>
      <c r="G519" s="94" t="s">
        <v>210</v>
      </c>
      <c r="H519" s="94">
        <v>5</v>
      </c>
      <c r="I519" s="94">
        <v>6</v>
      </c>
      <c r="J519" s="94" t="s">
        <v>210</v>
      </c>
      <c r="K519" s="94" t="s">
        <v>210</v>
      </c>
      <c r="L519" s="94">
        <v>-3</v>
      </c>
      <c r="M519" s="94">
        <v>8</v>
      </c>
      <c r="N519" s="94" t="s">
        <v>210</v>
      </c>
      <c r="O519" s="94" t="s">
        <v>210</v>
      </c>
      <c r="P519" s="94">
        <v>-1</v>
      </c>
      <c r="Q519" s="94"/>
      <c r="R519" s="94"/>
      <c r="S519" s="94"/>
      <c r="T519" s="94"/>
      <c r="U519" s="94"/>
      <c r="V519" s="94"/>
      <c r="W519" s="94"/>
      <c r="X519" s="94"/>
      <c r="Y519" s="94"/>
      <c r="Z519" s="94"/>
      <c r="AA519" s="94"/>
      <c r="AB519" s="94"/>
      <c r="AC519" s="94"/>
      <c r="AD519" s="94"/>
      <c r="AE519" s="94"/>
      <c r="AF519" s="94"/>
      <c r="AG519" s="94"/>
      <c r="AH519" s="94"/>
      <c r="AI519" s="94"/>
      <c r="AJ519" s="94"/>
      <c r="AK519" s="94"/>
      <c r="AL519" s="94"/>
      <c r="AM519" s="94"/>
      <c r="AN519" s="94"/>
      <c r="AO519" s="94"/>
      <c r="AP519" s="94"/>
      <c r="AQ519" s="94"/>
      <c r="AR519" s="94"/>
      <c r="AS519" s="94"/>
      <c r="AT519" s="94"/>
      <c r="AU519" s="94"/>
      <c r="AV519" s="94"/>
      <c r="AW519" s="94"/>
      <c r="AX519" s="94"/>
      <c r="AY519" s="94"/>
      <c r="AZ519" s="94"/>
      <c r="BA519" s="95"/>
    </row>
    <row r="520" spans="1:53" s="87" customFormat="1">
      <c r="A520" s="90" t="str">
        <f t="shared" si="32"/>
        <v/>
      </c>
      <c r="B520" s="98" t="s">
        <v>526</v>
      </c>
      <c r="C520" s="94"/>
      <c r="D520" s="94"/>
      <c r="E520" s="94"/>
      <c r="F520" s="94"/>
      <c r="G520" s="94"/>
      <c r="H520" s="94"/>
      <c r="I520" s="94"/>
      <c r="J520" s="94"/>
      <c r="K520" s="94"/>
      <c r="L520" s="94"/>
      <c r="M520" s="94"/>
      <c r="N520" s="94"/>
      <c r="O520" s="94"/>
      <c r="P520" s="94"/>
      <c r="Q520" s="94"/>
      <c r="R520" s="94"/>
      <c r="S520" s="94"/>
      <c r="T520" s="94"/>
      <c r="U520" s="94"/>
      <c r="V520" s="94"/>
      <c r="W520" s="94"/>
      <c r="X520" s="94"/>
      <c r="Y520" s="94"/>
      <c r="Z520" s="94"/>
      <c r="AA520" s="94"/>
      <c r="AB520" s="94"/>
      <c r="AC520" s="94"/>
      <c r="AD520" s="94"/>
      <c r="AE520" s="94"/>
      <c r="AF520" s="94"/>
      <c r="AG520" s="94"/>
      <c r="AH520" s="94"/>
      <c r="AI520" s="94"/>
      <c r="AJ520" s="94"/>
      <c r="AK520" s="94"/>
      <c r="AL520" s="94"/>
      <c r="AM520" s="94"/>
      <c r="AN520" s="94"/>
      <c r="AO520" s="94"/>
      <c r="AP520" s="94"/>
      <c r="AQ520" s="94"/>
      <c r="AR520" s="94"/>
      <c r="AS520" s="94"/>
      <c r="AT520" s="94"/>
      <c r="AU520" s="94"/>
      <c r="AV520" s="94"/>
      <c r="AW520" s="94"/>
      <c r="AX520" s="94"/>
      <c r="AY520" s="94"/>
      <c r="AZ520" s="94"/>
      <c r="BA520" s="95"/>
    </row>
    <row r="521" spans="1:53" s="87" customFormat="1">
      <c r="A521" s="90">
        <f t="shared" si="32"/>
        <v>521</v>
      </c>
      <c r="B521" s="98" t="s">
        <v>527</v>
      </c>
      <c r="C521" s="94"/>
      <c r="D521" s="94"/>
      <c r="E521" s="94"/>
      <c r="F521" s="94"/>
      <c r="G521" s="94"/>
      <c r="H521" s="94"/>
      <c r="I521" s="94"/>
      <c r="J521" s="94"/>
      <c r="K521" s="94"/>
      <c r="L521" s="94"/>
      <c r="M521" s="94"/>
      <c r="N521" s="94"/>
      <c r="O521" s="94"/>
      <c r="P521" s="94"/>
      <c r="Q521" s="94"/>
      <c r="R521" s="94"/>
      <c r="S521" s="94"/>
      <c r="T521" s="94"/>
      <c r="U521" s="94"/>
      <c r="V521" s="94"/>
      <c r="W521" s="94"/>
      <c r="X521" s="94"/>
      <c r="Y521" s="94"/>
      <c r="Z521" s="94"/>
      <c r="AA521" s="94"/>
      <c r="AB521" s="94"/>
      <c r="AC521" s="94"/>
      <c r="AD521" s="94"/>
      <c r="AE521" s="94"/>
      <c r="AF521" s="94"/>
      <c r="AG521" s="94"/>
      <c r="AH521" s="94"/>
      <c r="AI521" s="94"/>
      <c r="AJ521" s="94"/>
      <c r="AK521" s="94"/>
      <c r="AL521" s="94"/>
      <c r="AM521" s="94"/>
      <c r="AN521" s="94"/>
      <c r="AO521" s="94"/>
      <c r="AP521" s="94"/>
      <c r="AQ521" s="94"/>
      <c r="AR521" s="94"/>
      <c r="AS521" s="94"/>
      <c r="AT521" s="94"/>
      <c r="AU521" s="94"/>
      <c r="AV521" s="94"/>
      <c r="AW521" s="94"/>
      <c r="AX521" s="94"/>
      <c r="AY521" s="94"/>
      <c r="AZ521" s="94"/>
      <c r="BA521" s="95"/>
    </row>
    <row r="522" spans="1:53" s="87" customFormat="1">
      <c r="A522" s="90" t="str">
        <f t="shared" si="32"/>
        <v/>
      </c>
      <c r="B522" s="98">
        <v>1</v>
      </c>
      <c r="C522" s="94">
        <v>2</v>
      </c>
      <c r="D522" s="94" t="s">
        <v>210</v>
      </c>
      <c r="E522" s="94" t="s">
        <v>210</v>
      </c>
      <c r="F522" s="94">
        <v>4</v>
      </c>
      <c r="G522" s="94">
        <v>-6</v>
      </c>
      <c r="H522" s="94" t="s">
        <v>210</v>
      </c>
      <c r="I522" s="94" t="s">
        <v>210</v>
      </c>
      <c r="J522" s="94">
        <v>-7</v>
      </c>
      <c r="K522" s="94">
        <v>5</v>
      </c>
      <c r="L522" s="94" t="s">
        <v>210</v>
      </c>
      <c r="M522" s="94"/>
      <c r="N522" s="94"/>
      <c r="O522" s="94"/>
      <c r="P522" s="94"/>
      <c r="Q522" s="94"/>
      <c r="R522" s="94"/>
      <c r="S522" s="94"/>
      <c r="T522" s="94"/>
      <c r="U522" s="94"/>
      <c r="V522" s="94"/>
      <c r="W522" s="94"/>
      <c r="X522" s="94"/>
      <c r="Y522" s="94"/>
      <c r="Z522" s="94"/>
      <c r="AA522" s="94"/>
      <c r="AB522" s="94"/>
      <c r="AC522" s="94"/>
      <c r="AD522" s="94"/>
      <c r="AE522" s="94"/>
      <c r="AF522" s="94"/>
      <c r="AG522" s="94"/>
      <c r="AH522" s="94"/>
      <c r="AI522" s="94"/>
      <c r="AJ522" s="94"/>
      <c r="AK522" s="94"/>
      <c r="AL522" s="94"/>
      <c r="AM522" s="94"/>
      <c r="AN522" s="94"/>
      <c r="AO522" s="94"/>
      <c r="AP522" s="94"/>
      <c r="AQ522" s="94"/>
      <c r="AR522" s="94"/>
      <c r="AS522" s="94"/>
      <c r="AT522" s="94"/>
      <c r="AU522" s="94"/>
      <c r="AV522" s="94"/>
      <c r="AW522" s="94"/>
      <c r="AX522" s="94"/>
      <c r="AY522" s="94"/>
      <c r="AZ522" s="94"/>
      <c r="BA522" s="95"/>
    </row>
    <row r="523" spans="1:53" s="87" customFormat="1">
      <c r="A523" s="90" t="str">
        <f t="shared" si="32"/>
        <v/>
      </c>
      <c r="B523" s="98">
        <v>2</v>
      </c>
      <c r="C523" s="94">
        <v>8</v>
      </c>
      <c r="D523" s="94" t="s">
        <v>210</v>
      </c>
      <c r="E523" s="94" t="s">
        <v>210</v>
      </c>
      <c r="F523" s="94">
        <v>9</v>
      </c>
      <c r="G523" s="94">
        <v>-7</v>
      </c>
      <c r="H523" s="94" t="s">
        <v>210</v>
      </c>
      <c r="I523" s="94" t="s">
        <v>210</v>
      </c>
      <c r="J523" s="94">
        <v>4</v>
      </c>
      <c r="K523" s="94">
        <v>-5</v>
      </c>
      <c r="L523" s="94" t="s">
        <v>210</v>
      </c>
      <c r="M523" s="94"/>
      <c r="N523" s="94"/>
      <c r="O523" s="94"/>
      <c r="P523" s="94"/>
      <c r="Q523" s="94"/>
      <c r="R523" s="94"/>
      <c r="S523" s="94"/>
      <c r="T523" s="94"/>
      <c r="U523" s="94"/>
      <c r="V523" s="94"/>
      <c r="W523" s="94"/>
      <c r="X523" s="94"/>
      <c r="Y523" s="94"/>
      <c r="Z523" s="94"/>
      <c r="AA523" s="94"/>
      <c r="AB523" s="94"/>
      <c r="AC523" s="94"/>
      <c r="AD523" s="94"/>
      <c r="AE523" s="94"/>
      <c r="AF523" s="94"/>
      <c r="AG523" s="94"/>
      <c r="AH523" s="94"/>
      <c r="AI523" s="94"/>
      <c r="AJ523" s="94"/>
      <c r="AK523" s="94"/>
      <c r="AL523" s="94"/>
      <c r="AM523" s="94"/>
      <c r="AN523" s="94"/>
      <c r="AO523" s="94"/>
      <c r="AP523" s="94"/>
      <c r="AQ523" s="94"/>
      <c r="AR523" s="94"/>
      <c r="AS523" s="94"/>
      <c r="AT523" s="94"/>
      <c r="AU523" s="94"/>
      <c r="AV523" s="94"/>
      <c r="AW523" s="94"/>
      <c r="AX523" s="94"/>
      <c r="AY523" s="94"/>
      <c r="AZ523" s="94"/>
      <c r="BA523" s="95"/>
    </row>
    <row r="524" spans="1:53" s="87" customFormat="1">
      <c r="A524" s="90" t="str">
        <f t="shared" ref="A524:A587" si="33">IF(MID(B524,3,2)="09",ROW(),"")</f>
        <v/>
      </c>
      <c r="B524" s="98">
        <v>3</v>
      </c>
      <c r="C524" s="94">
        <v>-3</v>
      </c>
      <c r="D524" s="94" t="s">
        <v>210</v>
      </c>
      <c r="E524" s="94" t="s">
        <v>210</v>
      </c>
      <c r="F524" s="94">
        <v>-4</v>
      </c>
      <c r="G524" s="94">
        <v>7</v>
      </c>
      <c r="H524" s="94" t="s">
        <v>210</v>
      </c>
      <c r="I524" s="94" t="s">
        <v>210</v>
      </c>
      <c r="J524" s="94">
        <v>-5</v>
      </c>
      <c r="K524" s="94">
        <v>6</v>
      </c>
      <c r="L524" s="94" t="s">
        <v>210</v>
      </c>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AZ524" s="94"/>
      <c r="BA524" s="95"/>
    </row>
    <row r="525" spans="1:53" s="87" customFormat="1">
      <c r="A525" s="90" t="str">
        <f t="shared" si="33"/>
        <v/>
      </c>
      <c r="B525" s="98">
        <v>4</v>
      </c>
      <c r="C525" s="94">
        <v>-2</v>
      </c>
      <c r="D525" s="94" t="s">
        <v>210</v>
      </c>
      <c r="E525" s="94" t="s">
        <v>210</v>
      </c>
      <c r="F525" s="94">
        <v>1</v>
      </c>
      <c r="G525" s="94">
        <v>5</v>
      </c>
      <c r="H525" s="94" t="s">
        <v>210</v>
      </c>
      <c r="I525" s="94" t="s">
        <v>210</v>
      </c>
      <c r="J525" s="94">
        <v>-4</v>
      </c>
      <c r="K525" s="94">
        <v>-6</v>
      </c>
      <c r="L525" s="94" t="s">
        <v>210</v>
      </c>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5"/>
    </row>
    <row r="526" spans="1:53" s="87" customFormat="1">
      <c r="A526" s="90" t="str">
        <f t="shared" si="33"/>
        <v/>
      </c>
      <c r="B526" s="98">
        <v>5</v>
      </c>
      <c r="C526" s="94">
        <v>3</v>
      </c>
      <c r="D526" s="94" t="s">
        <v>210</v>
      </c>
      <c r="E526" s="94" t="s">
        <v>210</v>
      </c>
      <c r="F526" s="94">
        <v>-9</v>
      </c>
      <c r="G526" s="94">
        <v>-5</v>
      </c>
      <c r="H526" s="94" t="s">
        <v>210</v>
      </c>
      <c r="I526" s="94" t="s">
        <v>210</v>
      </c>
      <c r="J526" s="94">
        <v>7</v>
      </c>
      <c r="K526" s="94">
        <v>4</v>
      </c>
      <c r="L526" s="94" t="s">
        <v>210</v>
      </c>
      <c r="M526" s="94"/>
      <c r="N526" s="94"/>
      <c r="O526" s="94"/>
      <c r="P526" s="94"/>
      <c r="Q526" s="94"/>
      <c r="R526" s="94"/>
      <c r="S526" s="94"/>
      <c r="T526" s="94"/>
      <c r="U526" s="94"/>
      <c r="V526" s="94"/>
      <c r="W526" s="94"/>
      <c r="X526" s="94"/>
      <c r="Y526" s="94"/>
      <c r="Z526" s="94"/>
      <c r="AA526" s="94"/>
      <c r="AB526" s="94"/>
      <c r="AC526" s="94"/>
      <c r="AD526" s="94"/>
      <c r="AE526" s="94"/>
      <c r="AF526" s="94"/>
      <c r="AG526" s="94"/>
      <c r="AH526" s="94"/>
      <c r="AI526" s="94"/>
      <c r="AJ526" s="94"/>
      <c r="AK526" s="94"/>
      <c r="AL526" s="94"/>
      <c r="AM526" s="94"/>
      <c r="AN526" s="94"/>
      <c r="AO526" s="94"/>
      <c r="AP526" s="94"/>
      <c r="AQ526" s="94"/>
      <c r="AR526" s="94"/>
      <c r="AS526" s="94"/>
      <c r="AT526" s="94"/>
      <c r="AU526" s="94"/>
      <c r="AV526" s="94"/>
      <c r="AW526" s="94"/>
      <c r="AX526" s="94"/>
      <c r="AY526" s="94"/>
      <c r="AZ526" s="94"/>
      <c r="BA526" s="95"/>
    </row>
    <row r="527" spans="1:53" s="87" customFormat="1">
      <c r="A527" s="90" t="str">
        <f t="shared" si="33"/>
        <v/>
      </c>
      <c r="B527" s="99">
        <v>6</v>
      </c>
      <c r="C527" s="92">
        <v>-8</v>
      </c>
      <c r="D527" s="92" t="s">
        <v>210</v>
      </c>
      <c r="E527" s="92" t="s">
        <v>210</v>
      </c>
      <c r="F527" s="92">
        <v>-1</v>
      </c>
      <c r="G527" s="92">
        <v>6</v>
      </c>
      <c r="H527" s="92" t="s">
        <v>210</v>
      </c>
      <c r="I527" s="92" t="s">
        <v>210</v>
      </c>
      <c r="J527" s="92">
        <v>5</v>
      </c>
      <c r="K527" s="92">
        <v>-4</v>
      </c>
      <c r="L527" s="92" t="s">
        <v>210</v>
      </c>
      <c r="M527" s="94"/>
      <c r="N527" s="94"/>
      <c r="O527" s="94"/>
      <c r="P527" s="94"/>
      <c r="Q527" s="94"/>
      <c r="R527" s="94"/>
      <c r="S527" s="94"/>
      <c r="T527" s="94"/>
      <c r="U527" s="94"/>
      <c r="V527" s="94"/>
      <c r="W527" s="94"/>
      <c r="X527" s="94"/>
      <c r="Y527" s="94"/>
      <c r="Z527" s="94"/>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AZ527" s="94"/>
      <c r="BA527" s="95"/>
    </row>
    <row r="528" spans="1:53" s="87" customFormat="1">
      <c r="A528" s="90" t="str">
        <f t="shared" si="33"/>
        <v/>
      </c>
      <c r="B528" s="98">
        <v>7</v>
      </c>
      <c r="C528" s="94">
        <v>1</v>
      </c>
      <c r="D528" s="94" t="s">
        <v>210</v>
      </c>
      <c r="E528" s="94" t="s">
        <v>210</v>
      </c>
      <c r="F528" s="94">
        <v>-5</v>
      </c>
      <c r="G528" s="94">
        <v>-4</v>
      </c>
      <c r="H528" s="94" t="s">
        <v>210</v>
      </c>
      <c r="I528" s="94" t="s">
        <v>210</v>
      </c>
      <c r="J528" s="94">
        <v>6</v>
      </c>
      <c r="K528" s="94">
        <v>7</v>
      </c>
      <c r="L528" s="94" t="s">
        <v>210</v>
      </c>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5"/>
    </row>
    <row r="529" spans="1:53" s="87" customFormat="1">
      <c r="A529" s="90" t="str">
        <f t="shared" si="33"/>
        <v/>
      </c>
      <c r="B529" s="98">
        <v>8</v>
      </c>
      <c r="C529" s="94">
        <v>-4</v>
      </c>
      <c r="D529" s="94" t="s">
        <v>210</v>
      </c>
      <c r="E529" s="94" t="s">
        <v>210</v>
      </c>
      <c r="F529" s="94">
        <v>-6</v>
      </c>
      <c r="G529" s="94">
        <v>8</v>
      </c>
      <c r="H529" s="94" t="s">
        <v>210</v>
      </c>
      <c r="I529" s="94" t="s">
        <v>210</v>
      </c>
      <c r="J529" s="94">
        <v>9</v>
      </c>
      <c r="K529" s="94">
        <v>-7</v>
      </c>
      <c r="L529" s="94" t="s">
        <v>210</v>
      </c>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5"/>
    </row>
    <row r="530" spans="1:53" s="87" customFormat="1">
      <c r="A530" s="90" t="str">
        <f t="shared" si="33"/>
        <v/>
      </c>
      <c r="B530" s="98">
        <v>9</v>
      </c>
      <c r="C530" s="94">
        <v>9</v>
      </c>
      <c r="D530" s="94" t="s">
        <v>210</v>
      </c>
      <c r="E530" s="94" t="s">
        <v>210</v>
      </c>
      <c r="F530" s="94">
        <v>7</v>
      </c>
      <c r="G530" s="94">
        <v>-8</v>
      </c>
      <c r="H530" s="94" t="s">
        <v>210</v>
      </c>
      <c r="I530" s="94" t="s">
        <v>210</v>
      </c>
      <c r="J530" s="94">
        <v>-6</v>
      </c>
      <c r="K530" s="94">
        <v>3</v>
      </c>
      <c r="L530" s="94" t="s">
        <v>210</v>
      </c>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AZ530" s="94"/>
      <c r="BA530" s="95"/>
    </row>
    <row r="531" spans="1:53" s="87" customFormat="1">
      <c r="A531" s="90" t="str">
        <f t="shared" si="33"/>
        <v/>
      </c>
      <c r="B531" s="98">
        <v>10</v>
      </c>
      <c r="C531" s="94">
        <v>4</v>
      </c>
      <c r="D531" s="94" t="s">
        <v>210</v>
      </c>
      <c r="E531" s="94" t="s">
        <v>210</v>
      </c>
      <c r="F531" s="94">
        <v>5</v>
      </c>
      <c r="G531" s="94">
        <v>-2</v>
      </c>
      <c r="H531" s="94" t="s">
        <v>210</v>
      </c>
      <c r="I531" s="94" t="s">
        <v>210</v>
      </c>
      <c r="J531" s="94">
        <v>1</v>
      </c>
      <c r="K531" s="94">
        <v>-3</v>
      </c>
      <c r="L531" s="94" t="s">
        <v>210</v>
      </c>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AZ531" s="94"/>
      <c r="BA531" s="95"/>
    </row>
    <row r="532" spans="1:53" s="87" customFormat="1">
      <c r="A532" s="90" t="str">
        <f t="shared" si="33"/>
        <v/>
      </c>
      <c r="B532" s="98">
        <v>11</v>
      </c>
      <c r="C532" s="94">
        <v>-1</v>
      </c>
      <c r="D532" s="94" t="s">
        <v>210</v>
      </c>
      <c r="E532" s="94" t="s">
        <v>210</v>
      </c>
      <c r="F532" s="94">
        <v>-7</v>
      </c>
      <c r="G532" s="94">
        <v>2</v>
      </c>
      <c r="H532" s="94" t="s">
        <v>210</v>
      </c>
      <c r="I532" s="94" t="s">
        <v>210</v>
      </c>
      <c r="J532" s="94">
        <v>-9</v>
      </c>
      <c r="K532" s="94">
        <v>8</v>
      </c>
      <c r="L532" s="94" t="s">
        <v>210</v>
      </c>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5"/>
    </row>
    <row r="533" spans="1:53" s="87" customFormat="1">
      <c r="A533" s="90" t="str">
        <f t="shared" si="33"/>
        <v/>
      </c>
      <c r="B533" s="99">
        <v>12</v>
      </c>
      <c r="C533" s="92">
        <v>-9</v>
      </c>
      <c r="D533" s="92" t="s">
        <v>210</v>
      </c>
      <c r="E533" s="92" t="s">
        <v>210</v>
      </c>
      <c r="F533" s="92">
        <v>6</v>
      </c>
      <c r="G533" s="92">
        <v>4</v>
      </c>
      <c r="H533" s="92" t="s">
        <v>210</v>
      </c>
      <c r="I533" s="92" t="s">
        <v>210</v>
      </c>
      <c r="J533" s="92">
        <v>-1</v>
      </c>
      <c r="K533" s="92">
        <v>-8</v>
      </c>
      <c r="L533" s="92" t="s">
        <v>210</v>
      </c>
      <c r="M533" s="94"/>
      <c r="N533" s="94"/>
      <c r="O533" s="94"/>
      <c r="P533" s="94"/>
      <c r="Q533" s="94"/>
      <c r="R533" s="94"/>
      <c r="S533" s="94"/>
      <c r="T533" s="94"/>
      <c r="U533" s="94"/>
      <c r="V533" s="94"/>
      <c r="W533" s="94"/>
      <c r="X533" s="94"/>
      <c r="Y533" s="94"/>
      <c r="Z533" s="94"/>
      <c r="AA533" s="94"/>
      <c r="AB533" s="94"/>
      <c r="AC533" s="94"/>
      <c r="AD533" s="94"/>
      <c r="AE533" s="94"/>
      <c r="AF533" s="94"/>
      <c r="AG533" s="94"/>
      <c r="AH533" s="94"/>
      <c r="AI533" s="94"/>
      <c r="AJ533" s="94"/>
      <c r="AK533" s="94"/>
      <c r="AL533" s="94"/>
      <c r="AM533" s="94"/>
      <c r="AN533" s="94"/>
      <c r="AO533" s="94"/>
      <c r="AP533" s="94"/>
      <c r="AQ533" s="94"/>
      <c r="AR533" s="94"/>
      <c r="AS533" s="94"/>
      <c r="AT533" s="94"/>
      <c r="AU533" s="94"/>
      <c r="AV533" s="94"/>
      <c r="AW533" s="94"/>
      <c r="AX533" s="94"/>
      <c r="AY533" s="94"/>
      <c r="AZ533" s="94"/>
      <c r="BA533" s="95"/>
    </row>
    <row r="534" spans="1:53" s="87" customFormat="1">
      <c r="A534" s="90" t="str">
        <f t="shared" si="33"/>
        <v/>
      </c>
      <c r="B534" s="98">
        <v>13</v>
      </c>
      <c r="C534" s="94">
        <v>5</v>
      </c>
      <c r="D534" s="94" t="s">
        <v>210</v>
      </c>
      <c r="E534" s="94" t="s">
        <v>210</v>
      </c>
      <c r="F534" s="94">
        <v>-8</v>
      </c>
      <c r="G534" s="94">
        <v>-9</v>
      </c>
      <c r="H534" s="94" t="s">
        <v>210</v>
      </c>
      <c r="I534" s="94" t="s">
        <v>210</v>
      </c>
      <c r="J534" s="94">
        <v>3</v>
      </c>
      <c r="K534" s="94">
        <v>2</v>
      </c>
      <c r="L534" s="94" t="s">
        <v>210</v>
      </c>
      <c r="M534" s="94"/>
      <c r="N534" s="94"/>
      <c r="O534" s="94"/>
      <c r="P534" s="94"/>
      <c r="Q534" s="94"/>
      <c r="R534" s="94"/>
      <c r="S534" s="94"/>
      <c r="T534" s="94"/>
      <c r="U534" s="94"/>
      <c r="V534" s="94"/>
      <c r="W534" s="94"/>
      <c r="X534" s="94"/>
      <c r="Y534" s="94"/>
      <c r="Z534" s="94"/>
      <c r="AA534" s="94"/>
      <c r="AB534" s="94"/>
      <c r="AC534" s="94"/>
      <c r="AD534" s="94"/>
      <c r="AE534" s="94"/>
      <c r="AF534" s="94"/>
      <c r="AG534" s="94"/>
      <c r="AH534" s="94"/>
      <c r="AI534" s="94"/>
      <c r="AJ534" s="94"/>
      <c r="AK534" s="94"/>
      <c r="AL534" s="94"/>
      <c r="AM534" s="94"/>
      <c r="AN534" s="94"/>
      <c r="AO534" s="94"/>
      <c r="AP534" s="94"/>
      <c r="AQ534" s="94"/>
      <c r="AR534" s="94"/>
      <c r="AS534" s="94"/>
      <c r="AT534" s="94"/>
      <c r="AU534" s="94"/>
      <c r="AV534" s="94"/>
      <c r="AW534" s="94"/>
      <c r="AX534" s="94"/>
      <c r="AY534" s="94"/>
      <c r="AZ534" s="94"/>
      <c r="BA534" s="95"/>
    </row>
    <row r="535" spans="1:53" s="87" customFormat="1">
      <c r="A535" s="90" t="str">
        <f t="shared" si="33"/>
        <v/>
      </c>
      <c r="B535" s="98">
        <v>14</v>
      </c>
      <c r="C535" s="94">
        <v>-6</v>
      </c>
      <c r="D535" s="94" t="s">
        <v>210</v>
      </c>
      <c r="E535" s="94" t="s">
        <v>210</v>
      </c>
      <c r="F535" s="94">
        <v>-3</v>
      </c>
      <c r="G535" s="94">
        <v>1</v>
      </c>
      <c r="H535" s="94" t="s">
        <v>210</v>
      </c>
      <c r="I535" s="94" t="s">
        <v>210</v>
      </c>
      <c r="J535" s="94">
        <v>8</v>
      </c>
      <c r="K535" s="94">
        <v>-2</v>
      </c>
      <c r="L535" s="94" t="s">
        <v>210</v>
      </c>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5"/>
    </row>
    <row r="536" spans="1:53" s="87" customFormat="1">
      <c r="A536" s="90" t="str">
        <f t="shared" si="33"/>
        <v/>
      </c>
      <c r="B536" s="98">
        <v>15</v>
      </c>
      <c r="C536" s="94">
        <v>6</v>
      </c>
      <c r="D536" s="94" t="s">
        <v>210</v>
      </c>
      <c r="E536" s="94" t="s">
        <v>210</v>
      </c>
      <c r="F536" s="94">
        <v>8</v>
      </c>
      <c r="G536" s="94">
        <v>-3</v>
      </c>
      <c r="H536" s="94" t="s">
        <v>210</v>
      </c>
      <c r="I536" s="94" t="s">
        <v>210</v>
      </c>
      <c r="J536" s="94">
        <v>2</v>
      </c>
      <c r="K536" s="94">
        <v>-9</v>
      </c>
      <c r="L536" s="94" t="s">
        <v>210</v>
      </c>
      <c r="M536" s="94"/>
      <c r="N536" s="94"/>
      <c r="O536" s="94"/>
      <c r="P536" s="94"/>
      <c r="Q536" s="94"/>
      <c r="R536" s="94"/>
      <c r="S536" s="94"/>
      <c r="T536" s="94"/>
      <c r="U536" s="94"/>
      <c r="V536" s="94"/>
      <c r="W536" s="94"/>
      <c r="X536" s="94"/>
      <c r="Y536" s="94"/>
      <c r="Z536" s="94"/>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5"/>
    </row>
    <row r="537" spans="1:53" s="87" customFormat="1">
      <c r="A537" s="90" t="str">
        <f t="shared" si="33"/>
        <v/>
      </c>
      <c r="B537" s="98">
        <v>16</v>
      </c>
      <c r="C537" s="94">
        <v>7</v>
      </c>
      <c r="D537" s="94" t="s">
        <v>210</v>
      </c>
      <c r="E537" s="94" t="s">
        <v>210</v>
      </c>
      <c r="F537" s="94">
        <v>2</v>
      </c>
      <c r="G537" s="94">
        <v>-1</v>
      </c>
      <c r="H537" s="94" t="s">
        <v>210</v>
      </c>
      <c r="I537" s="94" t="s">
        <v>210</v>
      </c>
      <c r="J537" s="94">
        <v>-3</v>
      </c>
      <c r="K537" s="94">
        <v>9</v>
      </c>
      <c r="L537" s="94" t="s">
        <v>210</v>
      </c>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5"/>
    </row>
    <row r="538" spans="1:53" s="87" customFormat="1">
      <c r="A538" s="90" t="str">
        <f t="shared" si="33"/>
        <v/>
      </c>
      <c r="B538" s="98">
        <v>17</v>
      </c>
      <c r="C538" s="94">
        <v>-5</v>
      </c>
      <c r="D538" s="94" t="s">
        <v>210</v>
      </c>
      <c r="E538" s="94" t="s">
        <v>210</v>
      </c>
      <c r="F538" s="94">
        <v>-2</v>
      </c>
      <c r="G538" s="94">
        <v>3</v>
      </c>
      <c r="H538" s="94" t="s">
        <v>210</v>
      </c>
      <c r="I538" s="94" t="s">
        <v>210</v>
      </c>
      <c r="J538" s="94">
        <v>-8</v>
      </c>
      <c r="K538" s="94">
        <v>1</v>
      </c>
      <c r="L538" s="94" t="s">
        <v>210</v>
      </c>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5"/>
    </row>
    <row r="539" spans="1:53" s="87" customFormat="1">
      <c r="A539" s="90" t="str">
        <f t="shared" si="33"/>
        <v/>
      </c>
      <c r="B539" s="99">
        <v>18</v>
      </c>
      <c r="C539" s="92">
        <v>-7</v>
      </c>
      <c r="D539" s="92" t="s">
        <v>210</v>
      </c>
      <c r="E539" s="92" t="s">
        <v>210</v>
      </c>
      <c r="F539" s="92">
        <v>3</v>
      </c>
      <c r="G539" s="92">
        <v>9</v>
      </c>
      <c r="H539" s="92" t="s">
        <v>210</v>
      </c>
      <c r="I539" s="92" t="s">
        <v>210</v>
      </c>
      <c r="J539" s="92">
        <v>-2</v>
      </c>
      <c r="K539" s="92">
        <v>-1</v>
      </c>
      <c r="L539" s="92" t="s">
        <v>210</v>
      </c>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5"/>
    </row>
    <row r="540" spans="1:53" s="87" customFormat="1">
      <c r="A540" s="90" t="str">
        <f t="shared" si="33"/>
        <v/>
      </c>
      <c r="B540" s="98">
        <v>19</v>
      </c>
      <c r="C540" s="94" t="s">
        <v>210</v>
      </c>
      <c r="D540" s="94">
        <v>2</v>
      </c>
      <c r="E540" s="94">
        <v>4</v>
      </c>
      <c r="F540" s="94" t="s">
        <v>210</v>
      </c>
      <c r="G540" s="94" t="s">
        <v>210</v>
      </c>
      <c r="H540" s="94">
        <v>-6</v>
      </c>
      <c r="I540" s="94">
        <v>-7</v>
      </c>
      <c r="J540" s="94" t="s">
        <v>210</v>
      </c>
      <c r="K540" s="94" t="s">
        <v>210</v>
      </c>
      <c r="L540" s="94">
        <v>5</v>
      </c>
      <c r="M540" s="94"/>
      <c r="N540" s="94"/>
      <c r="O540" s="94"/>
      <c r="P540" s="94"/>
      <c r="Q540" s="94"/>
      <c r="R540" s="94"/>
      <c r="S540" s="94"/>
      <c r="T540" s="94"/>
      <c r="U540" s="94"/>
      <c r="V540" s="94"/>
      <c r="W540" s="94"/>
      <c r="X540" s="94"/>
      <c r="Y540" s="94"/>
      <c r="Z540" s="94"/>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c r="AW540" s="94"/>
      <c r="AX540" s="94"/>
      <c r="AY540" s="94"/>
      <c r="AZ540" s="94"/>
      <c r="BA540" s="95"/>
    </row>
    <row r="541" spans="1:53" s="87" customFormat="1">
      <c r="A541" s="90" t="str">
        <f t="shared" si="33"/>
        <v/>
      </c>
      <c r="B541" s="98">
        <v>20</v>
      </c>
      <c r="C541" s="94" t="s">
        <v>210</v>
      </c>
      <c r="D541" s="94">
        <v>8</v>
      </c>
      <c r="E541" s="94">
        <v>9</v>
      </c>
      <c r="F541" s="94" t="s">
        <v>210</v>
      </c>
      <c r="G541" s="94" t="s">
        <v>210</v>
      </c>
      <c r="H541" s="94">
        <v>-7</v>
      </c>
      <c r="I541" s="94">
        <v>4</v>
      </c>
      <c r="J541" s="94" t="s">
        <v>210</v>
      </c>
      <c r="K541" s="94" t="s">
        <v>210</v>
      </c>
      <c r="L541" s="94">
        <v>-5</v>
      </c>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5"/>
    </row>
    <row r="542" spans="1:53" s="87" customFormat="1">
      <c r="A542" s="90" t="str">
        <f t="shared" si="33"/>
        <v/>
      </c>
      <c r="B542" s="98">
        <v>21</v>
      </c>
      <c r="C542" s="94" t="s">
        <v>210</v>
      </c>
      <c r="D542" s="94">
        <v>-3</v>
      </c>
      <c r="E542" s="94">
        <v>-4</v>
      </c>
      <c r="F542" s="94" t="s">
        <v>210</v>
      </c>
      <c r="G542" s="94" t="s">
        <v>210</v>
      </c>
      <c r="H542" s="94">
        <v>7</v>
      </c>
      <c r="I542" s="94">
        <v>-5</v>
      </c>
      <c r="J542" s="94" t="s">
        <v>210</v>
      </c>
      <c r="K542" s="94" t="s">
        <v>210</v>
      </c>
      <c r="L542" s="94">
        <v>6</v>
      </c>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5"/>
    </row>
    <row r="543" spans="1:53" s="87" customFormat="1">
      <c r="A543" s="90" t="str">
        <f t="shared" si="33"/>
        <v/>
      </c>
      <c r="B543" s="98">
        <v>22</v>
      </c>
      <c r="C543" s="94" t="s">
        <v>210</v>
      </c>
      <c r="D543" s="94">
        <v>-2</v>
      </c>
      <c r="E543" s="94">
        <v>1</v>
      </c>
      <c r="F543" s="94" t="s">
        <v>210</v>
      </c>
      <c r="G543" s="94" t="s">
        <v>210</v>
      </c>
      <c r="H543" s="94">
        <v>5</v>
      </c>
      <c r="I543" s="94">
        <v>-4</v>
      </c>
      <c r="J543" s="94" t="s">
        <v>210</v>
      </c>
      <c r="K543" s="94" t="s">
        <v>210</v>
      </c>
      <c r="L543" s="94">
        <v>-6</v>
      </c>
      <c r="M543" s="94"/>
      <c r="N543" s="94"/>
      <c r="O543" s="94"/>
      <c r="P543" s="94"/>
      <c r="Q543" s="94"/>
      <c r="R543" s="94"/>
      <c r="S543" s="94"/>
      <c r="T543" s="94"/>
      <c r="U543" s="94"/>
      <c r="V543" s="94"/>
      <c r="W543" s="94"/>
      <c r="X543" s="94"/>
      <c r="Y543" s="94"/>
      <c r="Z543" s="94"/>
      <c r="AA543" s="94"/>
      <c r="AB543" s="94"/>
      <c r="AC543" s="94"/>
      <c r="AD543" s="94"/>
      <c r="AE543" s="94"/>
      <c r="AF543" s="94"/>
      <c r="AG543" s="94"/>
      <c r="AH543" s="94"/>
      <c r="AI543" s="94"/>
      <c r="AJ543" s="94"/>
      <c r="AK543" s="94"/>
      <c r="AL543" s="94"/>
      <c r="AM543" s="94"/>
      <c r="AN543" s="94"/>
      <c r="AO543" s="94"/>
      <c r="AP543" s="94"/>
      <c r="AQ543" s="94"/>
      <c r="AR543" s="94"/>
      <c r="AS543" s="94"/>
      <c r="AT543" s="94"/>
      <c r="AU543" s="94"/>
      <c r="AV543" s="94"/>
      <c r="AW543" s="94"/>
      <c r="AX543" s="94"/>
      <c r="AY543" s="94"/>
      <c r="AZ543" s="94"/>
      <c r="BA543" s="95"/>
    </row>
    <row r="544" spans="1:53" s="87" customFormat="1">
      <c r="A544" s="90" t="str">
        <f t="shared" si="33"/>
        <v/>
      </c>
      <c r="B544" s="98">
        <v>23</v>
      </c>
      <c r="C544" s="94" t="s">
        <v>210</v>
      </c>
      <c r="D544" s="94">
        <v>3</v>
      </c>
      <c r="E544" s="94">
        <v>-9</v>
      </c>
      <c r="F544" s="94" t="s">
        <v>210</v>
      </c>
      <c r="G544" s="94" t="s">
        <v>210</v>
      </c>
      <c r="H544" s="94">
        <v>-5</v>
      </c>
      <c r="I544" s="94">
        <v>7</v>
      </c>
      <c r="J544" s="94" t="s">
        <v>210</v>
      </c>
      <c r="K544" s="94" t="s">
        <v>210</v>
      </c>
      <c r="L544" s="94">
        <v>4</v>
      </c>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5"/>
    </row>
    <row r="545" spans="1:53" s="87" customFormat="1">
      <c r="A545" s="90" t="str">
        <f t="shared" si="33"/>
        <v/>
      </c>
      <c r="B545" s="99">
        <v>24</v>
      </c>
      <c r="C545" s="92" t="s">
        <v>210</v>
      </c>
      <c r="D545" s="92">
        <v>-8</v>
      </c>
      <c r="E545" s="92">
        <v>-1</v>
      </c>
      <c r="F545" s="92" t="s">
        <v>210</v>
      </c>
      <c r="G545" s="92" t="s">
        <v>210</v>
      </c>
      <c r="H545" s="92">
        <v>6</v>
      </c>
      <c r="I545" s="92">
        <v>5</v>
      </c>
      <c r="J545" s="92" t="s">
        <v>210</v>
      </c>
      <c r="K545" s="92" t="s">
        <v>210</v>
      </c>
      <c r="L545" s="92">
        <v>-4</v>
      </c>
      <c r="M545" s="94"/>
      <c r="N545" s="94"/>
      <c r="O545" s="94"/>
      <c r="P545" s="94"/>
      <c r="Q545" s="94"/>
      <c r="R545" s="94"/>
      <c r="S545" s="94"/>
      <c r="T545" s="94"/>
      <c r="U545" s="94"/>
      <c r="V545" s="94"/>
      <c r="W545" s="94"/>
      <c r="X545" s="94"/>
      <c r="Y545" s="94"/>
      <c r="Z545" s="94"/>
      <c r="AA545" s="94"/>
      <c r="AB545" s="94"/>
      <c r="AC545" s="94"/>
      <c r="AD545" s="94"/>
      <c r="AE545" s="94"/>
      <c r="AF545" s="94"/>
      <c r="AG545" s="94"/>
      <c r="AH545" s="94"/>
      <c r="AI545" s="94"/>
      <c r="AJ545" s="94"/>
      <c r="AK545" s="94"/>
      <c r="AL545" s="94"/>
      <c r="AM545" s="94"/>
      <c r="AN545" s="94"/>
      <c r="AO545" s="94"/>
      <c r="AP545" s="94"/>
      <c r="AQ545" s="94"/>
      <c r="AR545" s="94"/>
      <c r="AS545" s="94"/>
      <c r="AT545" s="94"/>
      <c r="AU545" s="94"/>
      <c r="AV545" s="94"/>
      <c r="AW545" s="94"/>
      <c r="AX545" s="94"/>
      <c r="AY545" s="94"/>
      <c r="AZ545" s="94"/>
      <c r="BA545" s="95"/>
    </row>
    <row r="546" spans="1:53" s="87" customFormat="1">
      <c r="A546" s="90" t="str">
        <f t="shared" si="33"/>
        <v/>
      </c>
      <c r="B546" s="98">
        <v>25</v>
      </c>
      <c r="C546" s="94" t="s">
        <v>210</v>
      </c>
      <c r="D546" s="94">
        <v>1</v>
      </c>
      <c r="E546" s="94">
        <v>-5</v>
      </c>
      <c r="F546" s="94" t="s">
        <v>210</v>
      </c>
      <c r="G546" s="94" t="s">
        <v>210</v>
      </c>
      <c r="H546" s="94">
        <v>-4</v>
      </c>
      <c r="I546" s="94">
        <v>6</v>
      </c>
      <c r="J546" s="94" t="s">
        <v>210</v>
      </c>
      <c r="K546" s="94" t="s">
        <v>210</v>
      </c>
      <c r="L546" s="94">
        <v>7</v>
      </c>
      <c r="M546" s="94"/>
      <c r="N546" s="94"/>
      <c r="O546" s="94"/>
      <c r="P546" s="94"/>
      <c r="Q546" s="94"/>
      <c r="R546" s="94"/>
      <c r="S546" s="94"/>
      <c r="T546" s="94"/>
      <c r="U546" s="94"/>
      <c r="V546" s="94"/>
      <c r="W546" s="94"/>
      <c r="X546" s="94"/>
      <c r="Y546" s="94"/>
      <c r="Z546" s="94"/>
      <c r="AA546" s="94"/>
      <c r="AB546" s="94"/>
      <c r="AC546" s="94"/>
      <c r="AD546" s="94"/>
      <c r="AE546" s="94"/>
      <c r="AF546" s="94"/>
      <c r="AG546" s="94"/>
      <c r="AH546" s="94"/>
      <c r="AI546" s="94"/>
      <c r="AJ546" s="94"/>
      <c r="AK546" s="94"/>
      <c r="AL546" s="94"/>
      <c r="AM546" s="94"/>
      <c r="AN546" s="94"/>
      <c r="AO546" s="94"/>
      <c r="AP546" s="94"/>
      <c r="AQ546" s="94"/>
      <c r="AR546" s="94"/>
      <c r="AS546" s="94"/>
      <c r="AT546" s="94"/>
      <c r="AU546" s="94"/>
      <c r="AV546" s="94"/>
      <c r="AW546" s="94"/>
      <c r="AX546" s="94"/>
      <c r="AY546" s="94"/>
      <c r="AZ546" s="94"/>
      <c r="BA546" s="95"/>
    </row>
    <row r="547" spans="1:53" s="87" customFormat="1">
      <c r="A547" s="90" t="str">
        <f t="shared" si="33"/>
        <v/>
      </c>
      <c r="B547" s="98">
        <v>26</v>
      </c>
      <c r="C547" s="94" t="s">
        <v>210</v>
      </c>
      <c r="D547" s="94">
        <v>-4</v>
      </c>
      <c r="E547" s="94">
        <v>-6</v>
      </c>
      <c r="F547" s="94" t="s">
        <v>210</v>
      </c>
      <c r="G547" s="94" t="s">
        <v>210</v>
      </c>
      <c r="H547" s="94">
        <v>8</v>
      </c>
      <c r="I547" s="94">
        <v>9</v>
      </c>
      <c r="J547" s="94" t="s">
        <v>210</v>
      </c>
      <c r="K547" s="94" t="s">
        <v>210</v>
      </c>
      <c r="L547" s="94">
        <v>-7</v>
      </c>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5"/>
    </row>
    <row r="548" spans="1:53" s="87" customFormat="1">
      <c r="A548" s="90" t="str">
        <f t="shared" si="33"/>
        <v/>
      </c>
      <c r="B548" s="98">
        <v>27</v>
      </c>
      <c r="C548" s="94" t="s">
        <v>210</v>
      </c>
      <c r="D548" s="94">
        <v>9</v>
      </c>
      <c r="E548" s="94">
        <v>7</v>
      </c>
      <c r="F548" s="94" t="s">
        <v>210</v>
      </c>
      <c r="G548" s="94" t="s">
        <v>210</v>
      </c>
      <c r="H548" s="94">
        <v>-8</v>
      </c>
      <c r="I548" s="94">
        <v>-6</v>
      </c>
      <c r="J548" s="94" t="s">
        <v>210</v>
      </c>
      <c r="K548" s="94" t="s">
        <v>210</v>
      </c>
      <c r="L548" s="94">
        <v>3</v>
      </c>
      <c r="M548" s="94"/>
      <c r="N548" s="94"/>
      <c r="O548" s="94"/>
      <c r="P548" s="94"/>
      <c r="Q548" s="94"/>
      <c r="R548" s="94"/>
      <c r="S548" s="94"/>
      <c r="T548" s="94"/>
      <c r="U548" s="94"/>
      <c r="V548" s="94"/>
      <c r="W548" s="94"/>
      <c r="X548" s="94"/>
      <c r="Y548" s="94"/>
      <c r="Z548" s="94"/>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5"/>
    </row>
    <row r="549" spans="1:53" s="87" customFormat="1">
      <c r="A549" s="90" t="str">
        <f t="shared" si="33"/>
        <v/>
      </c>
      <c r="B549" s="98">
        <v>28</v>
      </c>
      <c r="C549" s="94" t="s">
        <v>210</v>
      </c>
      <c r="D549" s="94">
        <v>4</v>
      </c>
      <c r="E549" s="94">
        <v>5</v>
      </c>
      <c r="F549" s="94" t="s">
        <v>210</v>
      </c>
      <c r="G549" s="94" t="s">
        <v>210</v>
      </c>
      <c r="H549" s="94">
        <v>-2</v>
      </c>
      <c r="I549" s="94">
        <v>1</v>
      </c>
      <c r="J549" s="94" t="s">
        <v>210</v>
      </c>
      <c r="K549" s="94" t="s">
        <v>210</v>
      </c>
      <c r="L549" s="94">
        <v>-3</v>
      </c>
      <c r="M549" s="94"/>
      <c r="N549" s="94"/>
      <c r="O549" s="94"/>
      <c r="P549" s="94"/>
      <c r="Q549" s="94"/>
      <c r="R549" s="94"/>
      <c r="S549" s="94"/>
      <c r="T549" s="94"/>
      <c r="U549" s="94"/>
      <c r="V549" s="94"/>
      <c r="W549" s="94"/>
      <c r="X549" s="94"/>
      <c r="Y549" s="94"/>
      <c r="Z549" s="94"/>
      <c r="AA549" s="94"/>
      <c r="AB549" s="94"/>
      <c r="AC549" s="94"/>
      <c r="AD549" s="94"/>
      <c r="AE549" s="94"/>
      <c r="AF549" s="94"/>
      <c r="AG549" s="94"/>
      <c r="AH549" s="94"/>
      <c r="AI549" s="94"/>
      <c r="AJ549" s="94"/>
      <c r="AK549" s="94"/>
      <c r="AL549" s="94"/>
      <c r="AM549" s="94"/>
      <c r="AN549" s="94"/>
      <c r="AO549" s="94"/>
      <c r="AP549" s="94"/>
      <c r="AQ549" s="94"/>
      <c r="AR549" s="94"/>
      <c r="AS549" s="94"/>
      <c r="AT549" s="94"/>
      <c r="AU549" s="94"/>
      <c r="AV549" s="94"/>
      <c r="AW549" s="94"/>
      <c r="AX549" s="94"/>
      <c r="AY549" s="94"/>
      <c r="AZ549" s="94"/>
      <c r="BA549" s="95"/>
    </row>
    <row r="550" spans="1:53" s="87" customFormat="1">
      <c r="A550" s="90" t="str">
        <f t="shared" si="33"/>
        <v/>
      </c>
      <c r="B550" s="98">
        <v>29</v>
      </c>
      <c r="C550" s="94" t="s">
        <v>210</v>
      </c>
      <c r="D550" s="94">
        <v>-1</v>
      </c>
      <c r="E550" s="94">
        <v>-7</v>
      </c>
      <c r="F550" s="94" t="s">
        <v>210</v>
      </c>
      <c r="G550" s="94" t="s">
        <v>210</v>
      </c>
      <c r="H550" s="94">
        <v>2</v>
      </c>
      <c r="I550" s="94">
        <v>-9</v>
      </c>
      <c r="J550" s="94" t="s">
        <v>210</v>
      </c>
      <c r="K550" s="94" t="s">
        <v>210</v>
      </c>
      <c r="L550" s="94">
        <v>8</v>
      </c>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AZ550" s="94"/>
      <c r="BA550" s="95"/>
    </row>
    <row r="551" spans="1:53" s="87" customFormat="1">
      <c r="A551" s="90" t="str">
        <f t="shared" si="33"/>
        <v/>
      </c>
      <c r="B551" s="99">
        <v>30</v>
      </c>
      <c r="C551" s="92" t="s">
        <v>210</v>
      </c>
      <c r="D551" s="92">
        <v>-9</v>
      </c>
      <c r="E551" s="92">
        <v>6</v>
      </c>
      <c r="F551" s="92" t="s">
        <v>210</v>
      </c>
      <c r="G551" s="92" t="s">
        <v>210</v>
      </c>
      <c r="H551" s="92">
        <v>4</v>
      </c>
      <c r="I551" s="92">
        <v>-1</v>
      </c>
      <c r="J551" s="92" t="s">
        <v>210</v>
      </c>
      <c r="K551" s="92" t="s">
        <v>210</v>
      </c>
      <c r="L551" s="92">
        <v>-8</v>
      </c>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5"/>
    </row>
    <row r="552" spans="1:53" s="87" customFormat="1">
      <c r="A552" s="90" t="str">
        <f t="shared" si="33"/>
        <v/>
      </c>
      <c r="B552" s="98">
        <v>31</v>
      </c>
      <c r="C552" s="94" t="s">
        <v>210</v>
      </c>
      <c r="D552" s="94">
        <v>5</v>
      </c>
      <c r="E552" s="94">
        <v>-8</v>
      </c>
      <c r="F552" s="94" t="s">
        <v>210</v>
      </c>
      <c r="G552" s="94" t="s">
        <v>210</v>
      </c>
      <c r="H552" s="94">
        <v>-9</v>
      </c>
      <c r="I552" s="94">
        <v>3</v>
      </c>
      <c r="J552" s="94" t="s">
        <v>210</v>
      </c>
      <c r="K552" s="94" t="s">
        <v>210</v>
      </c>
      <c r="L552" s="94">
        <v>2</v>
      </c>
      <c r="M552" s="94"/>
      <c r="N552" s="94"/>
      <c r="O552" s="94"/>
      <c r="P552" s="94"/>
      <c r="Q552" s="94"/>
      <c r="R552" s="94"/>
      <c r="S552" s="94"/>
      <c r="T552" s="94"/>
      <c r="U552" s="94"/>
      <c r="V552" s="94"/>
      <c r="W552" s="94"/>
      <c r="X552" s="94"/>
      <c r="Y552" s="94"/>
      <c r="Z552" s="94"/>
      <c r="AA552" s="94"/>
      <c r="AB552" s="94"/>
      <c r="AC552" s="94"/>
      <c r="AD552" s="94"/>
      <c r="AE552" s="94"/>
      <c r="AF552" s="94"/>
      <c r="AG552" s="94"/>
      <c r="AH552" s="94"/>
      <c r="AI552" s="94"/>
      <c r="AJ552" s="94"/>
      <c r="AK552" s="94"/>
      <c r="AL552" s="94"/>
      <c r="AM552" s="94"/>
      <c r="AN552" s="94"/>
      <c r="AO552" s="94"/>
      <c r="AP552" s="94"/>
      <c r="AQ552" s="94"/>
      <c r="AR552" s="94"/>
      <c r="AS552" s="94"/>
      <c r="AT552" s="94"/>
      <c r="AU552" s="94"/>
      <c r="AV552" s="94"/>
      <c r="AW552" s="94"/>
      <c r="AX552" s="94"/>
      <c r="AY552" s="94"/>
      <c r="AZ552" s="94"/>
      <c r="BA552" s="95"/>
    </row>
    <row r="553" spans="1:53" s="87" customFormat="1">
      <c r="A553" s="90" t="str">
        <f t="shared" si="33"/>
        <v/>
      </c>
      <c r="B553" s="98">
        <v>32</v>
      </c>
      <c r="C553" s="94" t="s">
        <v>210</v>
      </c>
      <c r="D553" s="94">
        <v>-6</v>
      </c>
      <c r="E553" s="94">
        <v>-3</v>
      </c>
      <c r="F553" s="94" t="s">
        <v>210</v>
      </c>
      <c r="G553" s="94" t="s">
        <v>210</v>
      </c>
      <c r="H553" s="94">
        <v>1</v>
      </c>
      <c r="I553" s="94">
        <v>8</v>
      </c>
      <c r="J553" s="94" t="s">
        <v>210</v>
      </c>
      <c r="K553" s="94" t="s">
        <v>210</v>
      </c>
      <c r="L553" s="94">
        <v>-2</v>
      </c>
      <c r="M553" s="94"/>
      <c r="N553" s="94"/>
      <c r="O553" s="94"/>
      <c r="P553" s="94"/>
      <c r="Q553" s="94"/>
      <c r="R553" s="94"/>
      <c r="S553" s="94"/>
      <c r="T553" s="94"/>
      <c r="U553" s="94"/>
      <c r="V553" s="94"/>
      <c r="W553" s="94"/>
      <c r="X553" s="94"/>
      <c r="Y553" s="94"/>
      <c r="Z553" s="94"/>
      <c r="AA553" s="94"/>
      <c r="AB553" s="94"/>
      <c r="AC553" s="94"/>
      <c r="AD553" s="94"/>
      <c r="AE553" s="94"/>
      <c r="AF553" s="94"/>
      <c r="AG553" s="94"/>
      <c r="AH553" s="94"/>
      <c r="AI553" s="94"/>
      <c r="AJ553" s="94"/>
      <c r="AK553" s="94"/>
      <c r="AL553" s="94"/>
      <c r="AM553" s="94"/>
      <c r="AN553" s="94"/>
      <c r="AO553" s="94"/>
      <c r="AP553" s="94"/>
      <c r="AQ553" s="94"/>
      <c r="AR553" s="94"/>
      <c r="AS553" s="94"/>
      <c r="AT553" s="94"/>
      <c r="AU553" s="94"/>
      <c r="AV553" s="94"/>
      <c r="AW553" s="94"/>
      <c r="AX553" s="94"/>
      <c r="AY553" s="94"/>
      <c r="AZ553" s="94"/>
      <c r="BA553" s="95"/>
    </row>
    <row r="554" spans="1:53" s="87" customFormat="1">
      <c r="A554" s="90" t="str">
        <f t="shared" si="33"/>
        <v/>
      </c>
      <c r="B554" s="98">
        <v>33</v>
      </c>
      <c r="C554" s="94" t="s">
        <v>210</v>
      </c>
      <c r="D554" s="94">
        <v>6</v>
      </c>
      <c r="E554" s="94">
        <v>8</v>
      </c>
      <c r="F554" s="94" t="s">
        <v>210</v>
      </c>
      <c r="G554" s="94" t="s">
        <v>210</v>
      </c>
      <c r="H554" s="94">
        <v>-3</v>
      </c>
      <c r="I554" s="94">
        <v>2</v>
      </c>
      <c r="J554" s="94" t="s">
        <v>210</v>
      </c>
      <c r="K554" s="94" t="s">
        <v>210</v>
      </c>
      <c r="L554" s="94">
        <v>-9</v>
      </c>
      <c r="M554" s="94"/>
      <c r="N554" s="94"/>
      <c r="O554" s="94"/>
      <c r="P554" s="94"/>
      <c r="Q554" s="94"/>
      <c r="R554" s="94"/>
      <c r="S554" s="94"/>
      <c r="T554" s="94"/>
      <c r="U554" s="94"/>
      <c r="V554" s="94"/>
      <c r="W554" s="94"/>
      <c r="X554" s="94"/>
      <c r="Y554" s="94"/>
      <c r="Z554" s="94"/>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c r="AW554" s="94"/>
      <c r="AX554" s="94"/>
      <c r="AY554" s="94"/>
      <c r="AZ554" s="94"/>
      <c r="BA554" s="95"/>
    </row>
    <row r="555" spans="1:53" s="87" customFormat="1">
      <c r="A555" s="90" t="str">
        <f t="shared" si="33"/>
        <v/>
      </c>
      <c r="B555" s="98">
        <v>34</v>
      </c>
      <c r="C555" s="94" t="s">
        <v>210</v>
      </c>
      <c r="D555" s="94">
        <v>7</v>
      </c>
      <c r="E555" s="94">
        <v>2</v>
      </c>
      <c r="F555" s="94" t="s">
        <v>210</v>
      </c>
      <c r="G555" s="94" t="s">
        <v>210</v>
      </c>
      <c r="H555" s="94">
        <v>-1</v>
      </c>
      <c r="I555" s="94">
        <v>-3</v>
      </c>
      <c r="J555" s="94" t="s">
        <v>210</v>
      </c>
      <c r="K555" s="94" t="s">
        <v>210</v>
      </c>
      <c r="L555" s="94">
        <v>9</v>
      </c>
      <c r="M555" s="94"/>
      <c r="N555" s="94"/>
      <c r="O555" s="94"/>
      <c r="P555" s="94"/>
      <c r="Q555" s="94"/>
      <c r="R555" s="94"/>
      <c r="S555" s="94"/>
      <c r="T555" s="94"/>
      <c r="U555" s="94"/>
      <c r="V555" s="94"/>
      <c r="W555" s="94"/>
      <c r="X555" s="94"/>
      <c r="Y555" s="94"/>
      <c r="Z555" s="94"/>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AZ555" s="94"/>
      <c r="BA555" s="95"/>
    </row>
    <row r="556" spans="1:53" s="87" customFormat="1">
      <c r="A556" s="90" t="str">
        <f t="shared" si="33"/>
        <v/>
      </c>
      <c r="B556" s="98">
        <v>35</v>
      </c>
      <c r="C556" s="94" t="s">
        <v>210</v>
      </c>
      <c r="D556" s="94">
        <v>-5</v>
      </c>
      <c r="E556" s="94">
        <v>-2</v>
      </c>
      <c r="F556" s="94" t="s">
        <v>210</v>
      </c>
      <c r="G556" s="94" t="s">
        <v>210</v>
      </c>
      <c r="H556" s="94">
        <v>3</v>
      </c>
      <c r="I556" s="94">
        <v>-8</v>
      </c>
      <c r="J556" s="94" t="s">
        <v>210</v>
      </c>
      <c r="K556" s="94" t="s">
        <v>210</v>
      </c>
      <c r="L556" s="94">
        <v>1</v>
      </c>
      <c r="M556" s="94"/>
      <c r="N556" s="94"/>
      <c r="O556" s="94"/>
      <c r="P556" s="94"/>
      <c r="Q556" s="94"/>
      <c r="R556" s="94"/>
      <c r="S556" s="94"/>
      <c r="T556" s="94"/>
      <c r="U556" s="94"/>
      <c r="V556" s="94"/>
      <c r="W556" s="94"/>
      <c r="X556" s="94"/>
      <c r="Y556" s="94"/>
      <c r="Z556" s="94"/>
      <c r="AA556" s="94"/>
      <c r="AB556" s="94"/>
      <c r="AC556" s="94"/>
      <c r="AD556" s="94"/>
      <c r="AE556" s="94"/>
      <c r="AF556" s="94"/>
      <c r="AG556" s="94"/>
      <c r="AH556" s="94"/>
      <c r="AI556" s="94"/>
      <c r="AJ556" s="94"/>
      <c r="AK556" s="94"/>
      <c r="AL556" s="94"/>
      <c r="AM556" s="94"/>
      <c r="AN556" s="94"/>
      <c r="AO556" s="94"/>
      <c r="AP556" s="94"/>
      <c r="AQ556" s="94"/>
      <c r="AR556" s="94"/>
      <c r="AS556" s="94"/>
      <c r="AT556" s="94"/>
      <c r="AU556" s="94"/>
      <c r="AV556" s="94"/>
      <c r="AW556" s="94"/>
      <c r="AX556" s="94"/>
      <c r="AY556" s="94"/>
      <c r="AZ556" s="94"/>
      <c r="BA556" s="95"/>
    </row>
    <row r="557" spans="1:53" s="87" customFormat="1">
      <c r="A557" s="90" t="str">
        <f t="shared" si="33"/>
        <v/>
      </c>
      <c r="B557" s="98">
        <v>36</v>
      </c>
      <c r="C557" s="94" t="s">
        <v>210</v>
      </c>
      <c r="D557" s="94">
        <v>-7</v>
      </c>
      <c r="E557" s="94">
        <v>3</v>
      </c>
      <c r="F557" s="94" t="s">
        <v>210</v>
      </c>
      <c r="G557" s="94" t="s">
        <v>210</v>
      </c>
      <c r="H557" s="94">
        <v>9</v>
      </c>
      <c r="I557" s="94">
        <v>-2</v>
      </c>
      <c r="J557" s="94" t="s">
        <v>210</v>
      </c>
      <c r="K557" s="94" t="s">
        <v>210</v>
      </c>
      <c r="L557" s="94">
        <v>-1</v>
      </c>
      <c r="M557" s="94"/>
      <c r="N557" s="94"/>
      <c r="O557" s="94"/>
      <c r="P557" s="94"/>
      <c r="Q557" s="94"/>
      <c r="R557" s="94"/>
      <c r="S557" s="94"/>
      <c r="T557" s="94"/>
      <c r="U557" s="94"/>
      <c r="V557" s="94"/>
      <c r="W557" s="94"/>
      <c r="X557" s="94"/>
      <c r="Y557" s="94"/>
      <c r="Z557" s="94"/>
      <c r="AA557" s="94"/>
      <c r="AB557" s="94"/>
      <c r="AC557" s="94"/>
      <c r="AD557" s="94"/>
      <c r="AE557" s="94"/>
      <c r="AF557" s="94"/>
      <c r="AG557" s="94"/>
      <c r="AH557" s="94"/>
      <c r="AI557" s="94"/>
      <c r="AJ557" s="94"/>
      <c r="AK557" s="94"/>
      <c r="AL557" s="94"/>
      <c r="AM557" s="94"/>
      <c r="AN557" s="94"/>
      <c r="AO557" s="94"/>
      <c r="AP557" s="94"/>
      <c r="AQ557" s="94"/>
      <c r="AR557" s="94"/>
      <c r="AS557" s="94"/>
      <c r="AT557" s="94"/>
      <c r="AU557" s="94"/>
      <c r="AV557" s="94"/>
      <c r="AW557" s="94"/>
      <c r="AX557" s="94"/>
      <c r="AY557" s="94"/>
      <c r="AZ557" s="94"/>
      <c r="BA557" s="95"/>
    </row>
    <row r="558" spans="1:53" s="87" customFormat="1">
      <c r="A558" s="90" t="str">
        <f t="shared" si="33"/>
        <v/>
      </c>
      <c r="B558" s="98" t="s">
        <v>528</v>
      </c>
      <c r="C558" s="94"/>
      <c r="D558" s="94"/>
      <c r="E558" s="94"/>
      <c r="F558" s="94"/>
      <c r="G558" s="94"/>
      <c r="H558" s="94"/>
      <c r="I558" s="94"/>
      <c r="J558" s="94"/>
      <c r="K558" s="94"/>
      <c r="L558" s="94"/>
      <c r="M558" s="94"/>
      <c r="N558" s="94"/>
      <c r="O558" s="94"/>
      <c r="P558" s="94"/>
      <c r="Q558" s="94"/>
      <c r="R558" s="94"/>
      <c r="S558" s="94"/>
      <c r="T558" s="94"/>
      <c r="U558" s="94"/>
      <c r="V558" s="94"/>
      <c r="W558" s="94"/>
      <c r="X558" s="94"/>
      <c r="Y558" s="94"/>
      <c r="Z558" s="94"/>
      <c r="AA558" s="94"/>
      <c r="AB558" s="94"/>
      <c r="AC558" s="94"/>
      <c r="AD558" s="94"/>
      <c r="AE558" s="94"/>
      <c r="AF558" s="94"/>
      <c r="AG558" s="94"/>
      <c r="AH558" s="94"/>
      <c r="AI558" s="94"/>
      <c r="AJ558" s="94"/>
      <c r="AK558" s="94"/>
      <c r="AL558" s="94"/>
      <c r="AM558" s="94"/>
      <c r="AN558" s="94"/>
      <c r="AO558" s="94"/>
      <c r="AP558" s="94"/>
      <c r="AQ558" s="94"/>
      <c r="AR558" s="94"/>
      <c r="AS558" s="94"/>
      <c r="AT558" s="94"/>
      <c r="AU558" s="94"/>
      <c r="AV558" s="94"/>
      <c r="AW558" s="94"/>
      <c r="AX558" s="94"/>
      <c r="AY558" s="94"/>
      <c r="AZ558" s="94"/>
      <c r="BA558" s="95"/>
    </row>
    <row r="559" spans="1:53" s="87" customFormat="1">
      <c r="A559" s="90">
        <f t="shared" si="33"/>
        <v>559</v>
      </c>
      <c r="B559" s="98" t="s">
        <v>529</v>
      </c>
      <c r="C559" s="94"/>
      <c r="D559" s="94"/>
      <c r="E559" s="94"/>
      <c r="F559" s="94"/>
      <c r="G559" s="94"/>
      <c r="H559" s="94"/>
      <c r="I559" s="94"/>
      <c r="J559" s="94"/>
      <c r="K559" s="94"/>
      <c r="L559" s="94"/>
      <c r="M559" s="94"/>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94"/>
      <c r="AT559" s="94"/>
      <c r="AU559" s="94"/>
      <c r="AV559" s="94"/>
      <c r="AW559" s="94"/>
      <c r="AX559" s="94"/>
      <c r="AY559" s="94"/>
      <c r="AZ559" s="94"/>
      <c r="BA559" s="95"/>
    </row>
    <row r="560" spans="1:53" s="87" customFormat="1">
      <c r="A560" s="90" t="str">
        <f t="shared" si="33"/>
        <v/>
      </c>
      <c r="B560" s="98">
        <v>1</v>
      </c>
      <c r="C560" s="94">
        <v>-2</v>
      </c>
      <c r="D560" s="94" t="s">
        <v>210</v>
      </c>
      <c r="E560" s="94" t="s">
        <v>210</v>
      </c>
      <c r="F560" s="94">
        <v>-6</v>
      </c>
      <c r="G560" s="94">
        <v>-7</v>
      </c>
      <c r="H560" s="94" t="s">
        <v>210</v>
      </c>
      <c r="I560" s="94" t="s">
        <v>210</v>
      </c>
      <c r="J560" s="94">
        <v>1</v>
      </c>
      <c r="K560" s="94">
        <v>-5</v>
      </c>
      <c r="L560" s="94" t="s">
        <v>210</v>
      </c>
      <c r="M560" s="94" t="s">
        <v>210</v>
      </c>
      <c r="N560" s="94">
        <v>8</v>
      </c>
      <c r="O560" s="94">
        <v>9</v>
      </c>
      <c r="P560" s="94" t="s">
        <v>210</v>
      </c>
      <c r="Q560" s="94" t="s">
        <v>210</v>
      </c>
      <c r="R560" s="94">
        <v>-4</v>
      </c>
      <c r="S560" s="94">
        <v>3</v>
      </c>
      <c r="T560" s="94" t="s">
        <v>210</v>
      </c>
      <c r="U560" s="94" t="s">
        <v>210</v>
      </c>
      <c r="V560" s="94" t="s">
        <v>202</v>
      </c>
      <c r="W560" s="94">
        <v>-9</v>
      </c>
      <c r="X560" s="94" t="s">
        <v>210</v>
      </c>
      <c r="Y560" s="94" t="s">
        <v>210</v>
      </c>
      <c r="Z560" s="94">
        <v>-3</v>
      </c>
      <c r="AA560" s="94">
        <v>-1</v>
      </c>
      <c r="AB560" s="94" t="s">
        <v>210</v>
      </c>
      <c r="AC560" s="94" t="s">
        <v>210</v>
      </c>
      <c r="AD560" s="94">
        <v>2</v>
      </c>
      <c r="AE560" s="94">
        <v>7</v>
      </c>
      <c r="AF560" s="94" t="s">
        <v>210</v>
      </c>
      <c r="AG560" s="94" t="s">
        <v>210</v>
      </c>
      <c r="AH560" s="94">
        <v>6</v>
      </c>
      <c r="AI560" s="94">
        <v>4</v>
      </c>
      <c r="AJ560" s="94" t="s">
        <v>210</v>
      </c>
      <c r="AK560" s="94" t="s">
        <v>210</v>
      </c>
      <c r="AL560" s="94">
        <v>-8</v>
      </c>
      <c r="AM560" s="94">
        <v>5</v>
      </c>
      <c r="AN560" s="94" t="s">
        <v>210</v>
      </c>
      <c r="AO560" s="94"/>
      <c r="AP560" s="94"/>
      <c r="AQ560" s="94"/>
      <c r="AR560" s="94"/>
      <c r="AS560" s="94"/>
      <c r="AT560" s="94"/>
      <c r="AU560" s="94"/>
      <c r="AV560" s="94"/>
      <c r="AW560" s="94"/>
      <c r="AX560" s="94"/>
      <c r="AY560" s="94"/>
      <c r="AZ560" s="94"/>
      <c r="BA560" s="95"/>
    </row>
    <row r="561" spans="1:53" s="87" customFormat="1">
      <c r="A561" s="90" t="str">
        <f t="shared" si="33"/>
        <v/>
      </c>
      <c r="B561" s="98">
        <v>2</v>
      </c>
      <c r="C561" s="94" t="s">
        <v>202</v>
      </c>
      <c r="D561" s="94" t="s">
        <v>210</v>
      </c>
      <c r="E561" s="94" t="s">
        <v>210</v>
      </c>
      <c r="F561" s="94">
        <v>3</v>
      </c>
      <c r="G561" s="94">
        <v>-9</v>
      </c>
      <c r="H561" s="94" t="s">
        <v>210</v>
      </c>
      <c r="I561" s="94" t="s">
        <v>210</v>
      </c>
      <c r="J561" s="94">
        <v>8</v>
      </c>
      <c r="K561" s="94">
        <v>-7</v>
      </c>
      <c r="L561" s="94" t="s">
        <v>210</v>
      </c>
      <c r="M561" s="94" t="s">
        <v>210</v>
      </c>
      <c r="N561" s="94">
        <v>1</v>
      </c>
      <c r="O561" s="94">
        <v>2</v>
      </c>
      <c r="P561" s="94" t="s">
        <v>210</v>
      </c>
      <c r="Q561" s="94" t="s">
        <v>210</v>
      </c>
      <c r="R561" s="94">
        <v>-6</v>
      </c>
      <c r="S561" s="94">
        <v>7</v>
      </c>
      <c r="T561" s="94" t="s">
        <v>210</v>
      </c>
      <c r="U561" s="94" t="s">
        <v>210</v>
      </c>
      <c r="V561" s="94">
        <v>-1</v>
      </c>
      <c r="W561" s="94">
        <v>-3</v>
      </c>
      <c r="X561" s="94" t="s">
        <v>210</v>
      </c>
      <c r="Y561" s="94" t="s">
        <v>210</v>
      </c>
      <c r="Z561" s="94">
        <v>-4</v>
      </c>
      <c r="AA561" s="94">
        <v>9</v>
      </c>
      <c r="AB561" s="94" t="s">
        <v>210</v>
      </c>
      <c r="AC561" s="94" t="s">
        <v>210</v>
      </c>
      <c r="AD561" s="94">
        <v>-8</v>
      </c>
      <c r="AE561" s="94">
        <v>6</v>
      </c>
      <c r="AF561" s="94" t="s">
        <v>210</v>
      </c>
      <c r="AG561" s="94" t="s">
        <v>210</v>
      </c>
      <c r="AH561" s="94">
        <v>5</v>
      </c>
      <c r="AI561" s="94">
        <v>-2</v>
      </c>
      <c r="AJ561" s="94" t="s">
        <v>210</v>
      </c>
      <c r="AK561" s="94" t="s">
        <v>210</v>
      </c>
      <c r="AL561" s="94">
        <v>4</v>
      </c>
      <c r="AM561" s="94">
        <v>-5</v>
      </c>
      <c r="AN561" s="94" t="s">
        <v>210</v>
      </c>
      <c r="AO561" s="94"/>
      <c r="AP561" s="94"/>
      <c r="AQ561" s="94"/>
      <c r="AR561" s="94"/>
      <c r="AS561" s="94"/>
      <c r="AT561" s="94"/>
      <c r="AU561" s="94"/>
      <c r="AV561" s="94"/>
      <c r="AW561" s="94"/>
      <c r="AX561" s="94"/>
      <c r="AY561" s="94"/>
      <c r="AZ561" s="94"/>
      <c r="BA561" s="95"/>
    </row>
    <row r="562" spans="1:53" s="87" customFormat="1">
      <c r="A562" s="90" t="str">
        <f t="shared" si="33"/>
        <v/>
      </c>
      <c r="B562" s="98">
        <v>3</v>
      </c>
      <c r="C562" s="94">
        <v>5</v>
      </c>
      <c r="D562" s="94" t="s">
        <v>210</v>
      </c>
      <c r="E562" s="94" t="s">
        <v>210</v>
      </c>
      <c r="F562" s="94">
        <v>1</v>
      </c>
      <c r="G562" s="94">
        <v>-8</v>
      </c>
      <c r="H562" s="94" t="s">
        <v>210</v>
      </c>
      <c r="I562" s="94" t="s">
        <v>210</v>
      </c>
      <c r="J562" s="94">
        <v>4</v>
      </c>
      <c r="K562" s="94">
        <v>-3</v>
      </c>
      <c r="L562" s="94" t="s">
        <v>210</v>
      </c>
      <c r="M562" s="94" t="s">
        <v>210</v>
      </c>
      <c r="N562" s="94">
        <v>-9</v>
      </c>
      <c r="O562" s="94">
        <v>-2</v>
      </c>
      <c r="P562" s="94" t="s">
        <v>210</v>
      </c>
      <c r="Q562" s="94" t="s">
        <v>210</v>
      </c>
      <c r="R562" s="94">
        <v>7</v>
      </c>
      <c r="S562" s="94">
        <v>-6</v>
      </c>
      <c r="T562" s="94" t="s">
        <v>210</v>
      </c>
      <c r="U562" s="94" t="s">
        <v>210</v>
      </c>
      <c r="V562" s="94">
        <v>-4</v>
      </c>
      <c r="W562" s="94">
        <v>-1</v>
      </c>
      <c r="X562" s="94" t="s">
        <v>210</v>
      </c>
      <c r="Y562" s="94" t="s">
        <v>210</v>
      </c>
      <c r="Z562" s="94" t="s">
        <v>202</v>
      </c>
      <c r="AA562" s="94">
        <v>2</v>
      </c>
      <c r="AB562" s="94" t="s">
        <v>210</v>
      </c>
      <c r="AC562" s="94" t="s">
        <v>210</v>
      </c>
      <c r="AD562" s="94">
        <v>-5</v>
      </c>
      <c r="AE562" s="94">
        <v>9</v>
      </c>
      <c r="AF562" s="94" t="s">
        <v>210</v>
      </c>
      <c r="AG562" s="94" t="s">
        <v>210</v>
      </c>
      <c r="AH562" s="94">
        <v>3</v>
      </c>
      <c r="AI562" s="94">
        <v>-7</v>
      </c>
      <c r="AJ562" s="94" t="s">
        <v>210</v>
      </c>
      <c r="AK562" s="94" t="s">
        <v>210</v>
      </c>
      <c r="AL562" s="94">
        <v>8</v>
      </c>
      <c r="AM562" s="94">
        <v>6</v>
      </c>
      <c r="AN562" s="94" t="s">
        <v>210</v>
      </c>
      <c r="AO562" s="94"/>
      <c r="AP562" s="94"/>
      <c r="AQ562" s="94"/>
      <c r="AR562" s="94"/>
      <c r="AS562" s="94"/>
      <c r="AT562" s="94"/>
      <c r="AU562" s="94"/>
      <c r="AV562" s="94"/>
      <c r="AW562" s="94"/>
      <c r="AX562" s="94"/>
      <c r="AY562" s="94"/>
      <c r="AZ562" s="94"/>
      <c r="BA562" s="95"/>
    </row>
    <row r="563" spans="1:53" s="87" customFormat="1">
      <c r="A563" s="90" t="str">
        <f t="shared" si="33"/>
        <v/>
      </c>
      <c r="B563" s="98">
        <v>4</v>
      </c>
      <c r="C563" s="94">
        <v>3</v>
      </c>
      <c r="D563" s="94" t="s">
        <v>210</v>
      </c>
      <c r="E563" s="94" t="s">
        <v>210</v>
      </c>
      <c r="F563" s="94">
        <v>9</v>
      </c>
      <c r="G563" s="94">
        <v>-4</v>
      </c>
      <c r="H563" s="94" t="s">
        <v>210</v>
      </c>
      <c r="I563" s="94" t="s">
        <v>210</v>
      </c>
      <c r="J563" s="94">
        <v>-1</v>
      </c>
      <c r="K563" s="94">
        <v>8</v>
      </c>
      <c r="L563" s="94" t="s">
        <v>210</v>
      </c>
      <c r="M563" s="94" t="s">
        <v>210</v>
      </c>
      <c r="N563" s="94">
        <v>5</v>
      </c>
      <c r="O563" s="94">
        <v>7</v>
      </c>
      <c r="P563" s="94" t="s">
        <v>210</v>
      </c>
      <c r="Q563" s="94" t="s">
        <v>210</v>
      </c>
      <c r="R563" s="94">
        <v>-2</v>
      </c>
      <c r="S563" s="94" t="s">
        <v>202</v>
      </c>
      <c r="T563" s="94" t="s">
        <v>210</v>
      </c>
      <c r="U563" s="94" t="s">
        <v>210</v>
      </c>
      <c r="V563" s="94">
        <v>-8</v>
      </c>
      <c r="W563" s="94">
        <v>-7</v>
      </c>
      <c r="X563" s="94" t="s">
        <v>210</v>
      </c>
      <c r="Y563" s="94" t="s">
        <v>210</v>
      </c>
      <c r="Z563" s="94">
        <v>4</v>
      </c>
      <c r="AA563" s="94">
        <v>6</v>
      </c>
      <c r="AB563" s="94" t="s">
        <v>210</v>
      </c>
      <c r="AC563" s="94" t="s">
        <v>210</v>
      </c>
      <c r="AD563" s="94">
        <v>1</v>
      </c>
      <c r="AE563" s="94">
        <v>2</v>
      </c>
      <c r="AF563" s="94" t="s">
        <v>210</v>
      </c>
      <c r="AG563" s="94" t="s">
        <v>210</v>
      </c>
      <c r="AH563" s="94">
        <v>-9</v>
      </c>
      <c r="AI563" s="94">
        <v>-3</v>
      </c>
      <c r="AJ563" s="94" t="s">
        <v>210</v>
      </c>
      <c r="AK563" s="94" t="s">
        <v>210</v>
      </c>
      <c r="AL563" s="94">
        <v>-5</v>
      </c>
      <c r="AM563" s="94">
        <v>-6</v>
      </c>
      <c r="AN563" s="94" t="s">
        <v>210</v>
      </c>
      <c r="AO563" s="94"/>
      <c r="AP563" s="94"/>
      <c r="AQ563" s="94"/>
      <c r="AR563" s="94"/>
      <c r="AS563" s="94"/>
      <c r="AT563" s="94"/>
      <c r="AU563" s="94"/>
      <c r="AV563" s="94"/>
      <c r="AW563" s="94"/>
      <c r="AX563" s="94"/>
      <c r="AY563" s="94"/>
      <c r="AZ563" s="94"/>
      <c r="BA563" s="95"/>
    </row>
    <row r="564" spans="1:53" s="87" customFormat="1">
      <c r="A564" s="90" t="str">
        <f t="shared" si="33"/>
        <v/>
      </c>
      <c r="B564" s="98">
        <v>5</v>
      </c>
      <c r="C564" s="94">
        <v>-6</v>
      </c>
      <c r="D564" s="94" t="s">
        <v>210</v>
      </c>
      <c r="E564" s="94" t="s">
        <v>210</v>
      </c>
      <c r="F564" s="94">
        <v>-1</v>
      </c>
      <c r="G564" s="94">
        <v>7</v>
      </c>
      <c r="H564" s="94" t="s">
        <v>210</v>
      </c>
      <c r="I564" s="94" t="s">
        <v>210</v>
      </c>
      <c r="J564" s="94" t="s">
        <v>202</v>
      </c>
      <c r="K564" s="94">
        <v>-9</v>
      </c>
      <c r="L564" s="94" t="s">
        <v>210</v>
      </c>
      <c r="M564" s="94" t="s">
        <v>210</v>
      </c>
      <c r="N564" s="94">
        <v>-3</v>
      </c>
      <c r="O564" s="94">
        <v>8</v>
      </c>
      <c r="P564" s="94" t="s">
        <v>210</v>
      </c>
      <c r="Q564" s="94" t="s">
        <v>210</v>
      </c>
      <c r="R564" s="94">
        <v>5</v>
      </c>
      <c r="S564" s="94">
        <v>9</v>
      </c>
      <c r="T564" s="94" t="s">
        <v>210</v>
      </c>
      <c r="U564" s="94" t="s">
        <v>210</v>
      </c>
      <c r="V564" s="94">
        <v>-5</v>
      </c>
      <c r="W564" s="94">
        <v>-4</v>
      </c>
      <c r="X564" s="94" t="s">
        <v>210</v>
      </c>
      <c r="Y564" s="94" t="s">
        <v>210</v>
      </c>
      <c r="Z564" s="94">
        <v>-2</v>
      </c>
      <c r="AA564" s="94">
        <v>-7</v>
      </c>
      <c r="AB564" s="94" t="s">
        <v>210</v>
      </c>
      <c r="AC564" s="94" t="s">
        <v>210</v>
      </c>
      <c r="AD564" s="94">
        <v>6</v>
      </c>
      <c r="AE564" s="94">
        <v>-8</v>
      </c>
      <c r="AF564" s="94" t="s">
        <v>210</v>
      </c>
      <c r="AG564" s="94" t="s">
        <v>210</v>
      </c>
      <c r="AH564" s="94">
        <v>9</v>
      </c>
      <c r="AI564" s="94">
        <v>2</v>
      </c>
      <c r="AJ564" s="94" t="s">
        <v>210</v>
      </c>
      <c r="AK564" s="94" t="s">
        <v>210</v>
      </c>
      <c r="AL564" s="94">
        <v>3</v>
      </c>
      <c r="AM564" s="94">
        <v>4</v>
      </c>
      <c r="AN564" s="94" t="s">
        <v>210</v>
      </c>
      <c r="AO564" s="94"/>
      <c r="AP564" s="94"/>
      <c r="AQ564" s="94"/>
      <c r="AR564" s="94"/>
      <c r="AS564" s="94"/>
      <c r="AT564" s="94"/>
      <c r="AU564" s="94"/>
      <c r="AV564" s="94"/>
      <c r="AW564" s="94"/>
      <c r="AX564" s="94"/>
      <c r="AY564" s="94"/>
      <c r="AZ564" s="94"/>
      <c r="BA564" s="95"/>
    </row>
    <row r="565" spans="1:53" s="87" customFormat="1">
      <c r="A565" s="90" t="str">
        <f t="shared" si="33"/>
        <v/>
      </c>
      <c r="B565" s="98">
        <v>6</v>
      </c>
      <c r="C565" s="94">
        <v>-3</v>
      </c>
      <c r="D565" s="94" t="s">
        <v>210</v>
      </c>
      <c r="E565" s="94" t="s">
        <v>210</v>
      </c>
      <c r="F565" s="94">
        <v>4</v>
      </c>
      <c r="G565" s="94">
        <v>9</v>
      </c>
      <c r="H565" s="94" t="s">
        <v>210</v>
      </c>
      <c r="I565" s="94" t="s">
        <v>210</v>
      </c>
      <c r="J565" s="94">
        <v>-7</v>
      </c>
      <c r="K565" s="94">
        <v>6</v>
      </c>
      <c r="L565" s="94" t="s">
        <v>210</v>
      </c>
      <c r="M565" s="94" t="s">
        <v>210</v>
      </c>
      <c r="N565" s="94">
        <v>2</v>
      </c>
      <c r="O565" s="94">
        <v>-5</v>
      </c>
      <c r="P565" s="94" t="s">
        <v>210</v>
      </c>
      <c r="Q565" s="94" t="s">
        <v>210</v>
      </c>
      <c r="R565" s="94">
        <v>8</v>
      </c>
      <c r="S565" s="94">
        <v>1</v>
      </c>
      <c r="T565" s="94" t="s">
        <v>210</v>
      </c>
      <c r="U565" s="94" t="s">
        <v>210</v>
      </c>
      <c r="V565" s="94">
        <v>3</v>
      </c>
      <c r="W565" s="94">
        <v>-6</v>
      </c>
      <c r="X565" s="94" t="s">
        <v>210</v>
      </c>
      <c r="Y565" s="94" t="s">
        <v>210</v>
      </c>
      <c r="Z565" s="94">
        <v>-8</v>
      </c>
      <c r="AA565" s="94">
        <v>5</v>
      </c>
      <c r="AB565" s="94" t="s">
        <v>210</v>
      </c>
      <c r="AC565" s="94" t="s">
        <v>210</v>
      </c>
      <c r="AD565" s="94">
        <v>-2</v>
      </c>
      <c r="AE565" s="94">
        <v>-9</v>
      </c>
      <c r="AF565" s="94" t="s">
        <v>210</v>
      </c>
      <c r="AG565" s="94" t="s">
        <v>210</v>
      </c>
      <c r="AH565" s="94">
        <v>7</v>
      </c>
      <c r="AI565" s="94">
        <v>-1</v>
      </c>
      <c r="AJ565" s="94" t="s">
        <v>210</v>
      </c>
      <c r="AK565" s="94" t="s">
        <v>210</v>
      </c>
      <c r="AL565" s="94" t="s">
        <v>202</v>
      </c>
      <c r="AM565" s="94">
        <v>-4</v>
      </c>
      <c r="AN565" s="94" t="s">
        <v>210</v>
      </c>
      <c r="AO565" s="94"/>
      <c r="AP565" s="94"/>
      <c r="AQ565" s="94"/>
      <c r="AR565" s="94"/>
      <c r="AS565" s="94"/>
      <c r="AT565" s="94"/>
      <c r="AU565" s="94"/>
      <c r="AV565" s="94"/>
      <c r="AW565" s="94"/>
      <c r="AX565" s="94"/>
      <c r="AY565" s="94"/>
      <c r="AZ565" s="94"/>
      <c r="BA565" s="95"/>
    </row>
    <row r="566" spans="1:53" s="87" customFormat="1">
      <c r="A566" s="90" t="str">
        <f t="shared" si="33"/>
        <v/>
      </c>
      <c r="B566" s="98">
        <v>7</v>
      </c>
      <c r="C566" s="94">
        <v>8</v>
      </c>
      <c r="D566" s="94" t="s">
        <v>210</v>
      </c>
      <c r="E566" s="94" t="s">
        <v>210</v>
      </c>
      <c r="F566" s="94">
        <v>5</v>
      </c>
      <c r="G566" s="94">
        <v>-1</v>
      </c>
      <c r="H566" s="94" t="s">
        <v>210</v>
      </c>
      <c r="I566" s="94" t="s">
        <v>210</v>
      </c>
      <c r="J566" s="94">
        <v>-3</v>
      </c>
      <c r="K566" s="94">
        <v>9</v>
      </c>
      <c r="L566" s="94" t="s">
        <v>210</v>
      </c>
      <c r="M566" s="94" t="s">
        <v>210</v>
      </c>
      <c r="N566" s="94">
        <v>-4</v>
      </c>
      <c r="O566" s="94">
        <v>-7</v>
      </c>
      <c r="P566" s="94" t="s">
        <v>210</v>
      </c>
      <c r="Q566" s="94" t="s">
        <v>210</v>
      </c>
      <c r="R566" s="94">
        <v>6</v>
      </c>
      <c r="S566" s="94">
        <v>-2</v>
      </c>
      <c r="T566" s="94" t="s">
        <v>210</v>
      </c>
      <c r="U566" s="94" t="s">
        <v>210</v>
      </c>
      <c r="V566" s="94">
        <v>4</v>
      </c>
      <c r="W566" s="94" t="s">
        <v>202</v>
      </c>
      <c r="X566" s="94" t="s">
        <v>210</v>
      </c>
      <c r="Y566" s="94" t="s">
        <v>210</v>
      </c>
      <c r="Z566" s="94">
        <v>1</v>
      </c>
      <c r="AA566" s="94">
        <v>-5</v>
      </c>
      <c r="AB566" s="94" t="s">
        <v>210</v>
      </c>
      <c r="AC566" s="94" t="s">
        <v>210</v>
      </c>
      <c r="AD566" s="94">
        <v>-9</v>
      </c>
      <c r="AE566" s="94">
        <v>3</v>
      </c>
      <c r="AF566" s="94" t="s">
        <v>210</v>
      </c>
      <c r="AG566" s="94" t="s">
        <v>210</v>
      </c>
      <c r="AH566" s="94">
        <v>-6</v>
      </c>
      <c r="AI566" s="94">
        <v>-8</v>
      </c>
      <c r="AJ566" s="94" t="s">
        <v>210</v>
      </c>
      <c r="AK566" s="94" t="s">
        <v>210</v>
      </c>
      <c r="AL566" s="94">
        <v>2</v>
      </c>
      <c r="AM566" s="94">
        <v>7</v>
      </c>
      <c r="AN566" s="94" t="s">
        <v>210</v>
      </c>
      <c r="AO566" s="94"/>
      <c r="AP566" s="94"/>
      <c r="AQ566" s="94"/>
      <c r="AR566" s="94"/>
      <c r="AS566" s="94"/>
      <c r="AT566" s="94"/>
      <c r="AU566" s="94"/>
      <c r="AV566" s="94"/>
      <c r="AW566" s="94"/>
      <c r="AX566" s="94"/>
      <c r="AY566" s="94"/>
      <c r="AZ566" s="94"/>
      <c r="BA566" s="95"/>
    </row>
    <row r="567" spans="1:53" s="87" customFormat="1">
      <c r="A567" s="90" t="str">
        <f t="shared" si="33"/>
        <v/>
      </c>
      <c r="B567" s="98">
        <v>8</v>
      </c>
      <c r="C567" s="94">
        <v>-9</v>
      </c>
      <c r="D567" s="94" t="s">
        <v>210</v>
      </c>
      <c r="E567" s="94" t="s">
        <v>210</v>
      </c>
      <c r="F567" s="94">
        <v>-2</v>
      </c>
      <c r="G567" s="94">
        <v>-3</v>
      </c>
      <c r="H567" s="94" t="s">
        <v>210</v>
      </c>
      <c r="I567" s="94" t="s">
        <v>210</v>
      </c>
      <c r="J567" s="94">
        <v>-4</v>
      </c>
      <c r="K567" s="94">
        <v>1</v>
      </c>
      <c r="L567" s="94" t="s">
        <v>210</v>
      </c>
      <c r="M567" s="94" t="s">
        <v>210</v>
      </c>
      <c r="N567" s="94">
        <v>-8</v>
      </c>
      <c r="O567" s="94">
        <v>6</v>
      </c>
      <c r="P567" s="94" t="s">
        <v>210</v>
      </c>
      <c r="Q567" s="94" t="s">
        <v>210</v>
      </c>
      <c r="R567" s="94" t="s">
        <v>202</v>
      </c>
      <c r="S567" s="94">
        <v>-1</v>
      </c>
      <c r="T567" s="94" t="s">
        <v>210</v>
      </c>
      <c r="U567" s="94" t="s">
        <v>210</v>
      </c>
      <c r="V567" s="94">
        <v>8</v>
      </c>
      <c r="W567" s="94">
        <v>4</v>
      </c>
      <c r="X567" s="94" t="s">
        <v>210</v>
      </c>
      <c r="Y567" s="94" t="s">
        <v>210</v>
      </c>
      <c r="Z567" s="94">
        <v>-5</v>
      </c>
      <c r="AA567" s="94">
        <v>3</v>
      </c>
      <c r="AB567" s="94" t="s">
        <v>210</v>
      </c>
      <c r="AC567" s="94" t="s">
        <v>210</v>
      </c>
      <c r="AD567" s="94">
        <v>7</v>
      </c>
      <c r="AE567" s="94">
        <v>-6</v>
      </c>
      <c r="AF567" s="94" t="s">
        <v>210</v>
      </c>
      <c r="AG567" s="94" t="s">
        <v>210</v>
      </c>
      <c r="AH567" s="94">
        <v>2</v>
      </c>
      <c r="AI567" s="94">
        <v>5</v>
      </c>
      <c r="AJ567" s="94" t="s">
        <v>210</v>
      </c>
      <c r="AK567" s="94" t="s">
        <v>210</v>
      </c>
      <c r="AL567" s="94">
        <v>1</v>
      </c>
      <c r="AM567" s="94">
        <v>-7</v>
      </c>
      <c r="AN567" s="94" t="s">
        <v>210</v>
      </c>
      <c r="AO567" s="94"/>
      <c r="AP567" s="94"/>
      <c r="AQ567" s="94"/>
      <c r="AR567" s="94"/>
      <c r="AS567" s="94"/>
      <c r="AT567" s="94"/>
      <c r="AU567" s="94"/>
      <c r="AV567" s="94"/>
      <c r="AW567" s="94"/>
      <c r="AX567" s="94"/>
      <c r="AY567" s="94"/>
      <c r="AZ567" s="94"/>
      <c r="BA567" s="95"/>
    </row>
    <row r="568" spans="1:53" s="87" customFormat="1">
      <c r="A568" s="90" t="str">
        <f t="shared" si="33"/>
        <v/>
      </c>
      <c r="B568" s="98">
        <v>9</v>
      </c>
      <c r="C568" s="94">
        <v>-5</v>
      </c>
      <c r="D568" s="94" t="s">
        <v>210</v>
      </c>
      <c r="E568" s="94" t="s">
        <v>210</v>
      </c>
      <c r="F568" s="94">
        <v>8</v>
      </c>
      <c r="G568" s="94">
        <v>1</v>
      </c>
      <c r="H568" s="94" t="s">
        <v>210</v>
      </c>
      <c r="I568" s="94" t="s">
        <v>210</v>
      </c>
      <c r="J568" s="94">
        <v>6</v>
      </c>
      <c r="K568" s="94" t="s">
        <v>202</v>
      </c>
      <c r="L568" s="94" t="s">
        <v>210</v>
      </c>
      <c r="M568" s="94" t="s">
        <v>210</v>
      </c>
      <c r="N568" s="94">
        <v>-2</v>
      </c>
      <c r="O568" s="94">
        <v>-4</v>
      </c>
      <c r="P568" s="94" t="s">
        <v>210</v>
      </c>
      <c r="Q568" s="94" t="s">
        <v>210</v>
      </c>
      <c r="R568" s="94">
        <v>9</v>
      </c>
      <c r="S568" s="94">
        <v>-3</v>
      </c>
      <c r="T568" s="94" t="s">
        <v>210</v>
      </c>
      <c r="U568" s="94" t="s">
        <v>210</v>
      </c>
      <c r="V568" s="94">
        <v>7</v>
      </c>
      <c r="W568" s="94">
        <v>-8</v>
      </c>
      <c r="X568" s="94" t="s">
        <v>210</v>
      </c>
      <c r="Y568" s="94" t="s">
        <v>210</v>
      </c>
      <c r="Z568" s="94">
        <v>2</v>
      </c>
      <c r="AA568" s="94">
        <v>-9</v>
      </c>
      <c r="AB568" s="94" t="s">
        <v>210</v>
      </c>
      <c r="AC568" s="94" t="s">
        <v>210</v>
      </c>
      <c r="AD568" s="94">
        <v>-7</v>
      </c>
      <c r="AE568" s="94">
        <v>-1</v>
      </c>
      <c r="AF568" s="94" t="s">
        <v>210</v>
      </c>
      <c r="AG568" s="94" t="s">
        <v>210</v>
      </c>
      <c r="AH568" s="94">
        <v>4</v>
      </c>
      <c r="AI568" s="94">
        <v>-6</v>
      </c>
      <c r="AJ568" s="94" t="s">
        <v>210</v>
      </c>
      <c r="AK568" s="94" t="s">
        <v>210</v>
      </c>
      <c r="AL568" s="94">
        <v>5</v>
      </c>
      <c r="AM568" s="94">
        <v>3</v>
      </c>
      <c r="AN568" s="94" t="s">
        <v>210</v>
      </c>
      <c r="AO568" s="94"/>
      <c r="AP568" s="94"/>
      <c r="AQ568" s="94"/>
      <c r="AR568" s="94"/>
      <c r="AS568" s="94"/>
      <c r="AT568" s="94"/>
      <c r="AU568" s="94"/>
      <c r="AV568" s="94"/>
      <c r="AW568" s="94"/>
      <c r="AX568" s="94"/>
      <c r="AY568" s="94"/>
      <c r="AZ568" s="94"/>
      <c r="BA568" s="95"/>
    </row>
    <row r="569" spans="1:53" s="87" customFormat="1">
      <c r="A569" s="90" t="str">
        <f t="shared" si="33"/>
        <v/>
      </c>
      <c r="B569" s="98">
        <v>10</v>
      </c>
      <c r="C569" s="94">
        <v>-4</v>
      </c>
      <c r="D569" s="94" t="s">
        <v>210</v>
      </c>
      <c r="E569" s="94" t="s">
        <v>210</v>
      </c>
      <c r="F569" s="94">
        <v>-9</v>
      </c>
      <c r="G569" s="94">
        <v>3</v>
      </c>
      <c r="H569" s="94" t="s">
        <v>210</v>
      </c>
      <c r="I569" s="94" t="s">
        <v>210</v>
      </c>
      <c r="J569" s="94">
        <v>-2</v>
      </c>
      <c r="K569" s="94">
        <v>7</v>
      </c>
      <c r="L569" s="94" t="s">
        <v>210</v>
      </c>
      <c r="M569" s="94" t="s">
        <v>210</v>
      </c>
      <c r="N569" s="94">
        <v>-6</v>
      </c>
      <c r="O569" s="94">
        <v>1</v>
      </c>
      <c r="P569" s="94" t="s">
        <v>210</v>
      </c>
      <c r="Q569" s="94" t="s">
        <v>210</v>
      </c>
      <c r="R569" s="94">
        <v>-5</v>
      </c>
      <c r="S569" s="94">
        <v>8</v>
      </c>
      <c r="T569" s="94" t="s">
        <v>210</v>
      </c>
      <c r="U569" s="94" t="s">
        <v>210</v>
      </c>
      <c r="V569" s="94">
        <v>2</v>
      </c>
      <c r="W569" s="94">
        <v>6</v>
      </c>
      <c r="X569" s="94" t="s">
        <v>210</v>
      </c>
      <c r="Y569" s="94" t="s">
        <v>210</v>
      </c>
      <c r="Z569" s="94">
        <v>-1</v>
      </c>
      <c r="AA569" s="94">
        <v>4</v>
      </c>
      <c r="AB569" s="94" t="s">
        <v>210</v>
      </c>
      <c r="AC569" s="94" t="s">
        <v>210</v>
      </c>
      <c r="AD569" s="94">
        <v>5</v>
      </c>
      <c r="AE569" s="94">
        <v>-7</v>
      </c>
      <c r="AF569" s="94" t="s">
        <v>210</v>
      </c>
      <c r="AG569" s="94" t="s">
        <v>210</v>
      </c>
      <c r="AH569" s="94">
        <v>-8</v>
      </c>
      <c r="AI569" s="94" t="s">
        <v>202</v>
      </c>
      <c r="AJ569" s="94" t="s">
        <v>210</v>
      </c>
      <c r="AK569" s="94" t="s">
        <v>210</v>
      </c>
      <c r="AL569" s="94">
        <v>9</v>
      </c>
      <c r="AM569" s="94">
        <v>-3</v>
      </c>
      <c r="AN569" s="94" t="s">
        <v>210</v>
      </c>
      <c r="AO569" s="94"/>
      <c r="AP569" s="94"/>
      <c r="AQ569" s="94"/>
      <c r="AR569" s="94"/>
      <c r="AS569" s="94"/>
      <c r="AT569" s="94"/>
      <c r="AU569" s="94"/>
      <c r="AV569" s="94"/>
      <c r="AW569" s="94"/>
      <c r="AX569" s="94"/>
      <c r="AY569" s="94"/>
      <c r="AZ569" s="94"/>
      <c r="BA569" s="95"/>
    </row>
    <row r="570" spans="1:53" s="87" customFormat="1">
      <c r="A570" s="90" t="str">
        <f t="shared" si="33"/>
        <v/>
      </c>
      <c r="B570" s="98">
        <v>11</v>
      </c>
      <c r="C570" s="94">
        <v>6</v>
      </c>
      <c r="D570" s="94" t="s">
        <v>210</v>
      </c>
      <c r="E570" s="94" t="s">
        <v>210</v>
      </c>
      <c r="F570" s="94">
        <v>7</v>
      </c>
      <c r="G570" s="94">
        <v>2</v>
      </c>
      <c r="H570" s="94" t="s">
        <v>210</v>
      </c>
      <c r="I570" s="94" t="s">
        <v>210</v>
      </c>
      <c r="J570" s="94">
        <v>-8</v>
      </c>
      <c r="K570" s="94">
        <v>-1</v>
      </c>
      <c r="L570" s="94" t="s">
        <v>210</v>
      </c>
      <c r="M570" s="94" t="s">
        <v>210</v>
      </c>
      <c r="N570" s="94">
        <v>-5</v>
      </c>
      <c r="O570" s="94">
        <v>3</v>
      </c>
      <c r="P570" s="94" t="s">
        <v>210</v>
      </c>
      <c r="Q570" s="94" t="s">
        <v>210</v>
      </c>
      <c r="R570" s="94">
        <v>-9</v>
      </c>
      <c r="S570" s="94">
        <v>4</v>
      </c>
      <c r="T570" s="94" t="s">
        <v>210</v>
      </c>
      <c r="U570" s="94" t="s">
        <v>210</v>
      </c>
      <c r="V570" s="94">
        <v>-6</v>
      </c>
      <c r="W570" s="94">
        <v>9</v>
      </c>
      <c r="X570" s="94" t="s">
        <v>210</v>
      </c>
      <c r="Y570" s="94" t="s">
        <v>210</v>
      </c>
      <c r="Z570" s="94">
        <v>-7</v>
      </c>
      <c r="AA570" s="94">
        <v>-4</v>
      </c>
      <c r="AB570" s="94" t="s">
        <v>210</v>
      </c>
      <c r="AC570" s="94" t="s">
        <v>210</v>
      </c>
      <c r="AD570" s="94" t="s">
        <v>202</v>
      </c>
      <c r="AE570" s="94">
        <v>5</v>
      </c>
      <c r="AF570" s="94" t="s">
        <v>210</v>
      </c>
      <c r="AG570" s="94" t="s">
        <v>210</v>
      </c>
      <c r="AH570" s="94">
        <v>-3</v>
      </c>
      <c r="AI570" s="94">
        <v>1</v>
      </c>
      <c r="AJ570" s="94" t="s">
        <v>210</v>
      </c>
      <c r="AK570" s="94" t="s">
        <v>210</v>
      </c>
      <c r="AL570" s="94">
        <v>-2</v>
      </c>
      <c r="AM570" s="94">
        <v>8</v>
      </c>
      <c r="AN570" s="94" t="s">
        <v>210</v>
      </c>
      <c r="AO570" s="94"/>
      <c r="AP570" s="94"/>
      <c r="AQ570" s="94"/>
      <c r="AR570" s="94"/>
      <c r="AS570" s="94"/>
      <c r="AT570" s="94"/>
      <c r="AU570" s="94"/>
      <c r="AV570" s="94"/>
      <c r="AW570" s="94"/>
      <c r="AX570" s="94"/>
      <c r="AY570" s="94"/>
      <c r="AZ570" s="94"/>
      <c r="BA570" s="95"/>
    </row>
    <row r="571" spans="1:53" s="87" customFormat="1">
      <c r="A571" s="90" t="str">
        <f t="shared" si="33"/>
        <v/>
      </c>
      <c r="B571" s="98">
        <v>12</v>
      </c>
      <c r="C571" s="94">
        <v>1</v>
      </c>
      <c r="D571" s="94" t="s">
        <v>210</v>
      </c>
      <c r="E571" s="94" t="s">
        <v>210</v>
      </c>
      <c r="F571" s="94">
        <v>-4</v>
      </c>
      <c r="G571" s="94" t="s">
        <v>202</v>
      </c>
      <c r="H571" s="94" t="s">
        <v>210</v>
      </c>
      <c r="I571" s="94" t="s">
        <v>210</v>
      </c>
      <c r="J571" s="94">
        <v>5</v>
      </c>
      <c r="K571" s="94">
        <v>-2</v>
      </c>
      <c r="L571" s="94" t="s">
        <v>210</v>
      </c>
      <c r="M571" s="94" t="s">
        <v>210</v>
      </c>
      <c r="N571" s="94">
        <v>6</v>
      </c>
      <c r="O571" s="94">
        <v>-9</v>
      </c>
      <c r="P571" s="94" t="s">
        <v>210</v>
      </c>
      <c r="Q571" s="94" t="s">
        <v>210</v>
      </c>
      <c r="R571" s="94">
        <v>-7</v>
      </c>
      <c r="S571" s="94">
        <v>2</v>
      </c>
      <c r="T571" s="94" t="s">
        <v>210</v>
      </c>
      <c r="U571" s="94" t="s">
        <v>210</v>
      </c>
      <c r="V571" s="94">
        <v>9</v>
      </c>
      <c r="W571" s="94">
        <v>8</v>
      </c>
      <c r="X571" s="94" t="s">
        <v>210</v>
      </c>
      <c r="Y571" s="94" t="s">
        <v>210</v>
      </c>
      <c r="Z571" s="94">
        <v>-6</v>
      </c>
      <c r="AA571" s="94">
        <v>7</v>
      </c>
      <c r="AB571" s="94" t="s">
        <v>210</v>
      </c>
      <c r="AC571" s="94" t="s">
        <v>210</v>
      </c>
      <c r="AD571" s="94">
        <v>-3</v>
      </c>
      <c r="AE571" s="94">
        <v>4</v>
      </c>
      <c r="AF571" s="94" t="s">
        <v>210</v>
      </c>
      <c r="AG571" s="94" t="s">
        <v>210</v>
      </c>
      <c r="AH571" s="94">
        <v>-5</v>
      </c>
      <c r="AI571" s="94">
        <v>3</v>
      </c>
      <c r="AJ571" s="94" t="s">
        <v>210</v>
      </c>
      <c r="AK571" s="94" t="s">
        <v>210</v>
      </c>
      <c r="AL571" s="94">
        <v>-1</v>
      </c>
      <c r="AM571" s="94">
        <v>-8</v>
      </c>
      <c r="AN571" s="94" t="s">
        <v>210</v>
      </c>
      <c r="AO571" s="94"/>
      <c r="AP571" s="94"/>
      <c r="AQ571" s="94"/>
      <c r="AR571" s="94"/>
      <c r="AS571" s="94"/>
      <c r="AT571" s="94"/>
      <c r="AU571" s="94"/>
      <c r="AV571" s="94"/>
      <c r="AW571" s="94"/>
      <c r="AX571" s="94"/>
      <c r="AY571" s="94"/>
      <c r="AZ571" s="94"/>
      <c r="BA571" s="95"/>
    </row>
    <row r="572" spans="1:53" s="87" customFormat="1">
      <c r="A572" s="90" t="str">
        <f t="shared" si="33"/>
        <v/>
      </c>
      <c r="B572" s="98">
        <v>13</v>
      </c>
      <c r="C572" s="94">
        <v>4</v>
      </c>
      <c r="D572" s="94" t="s">
        <v>210</v>
      </c>
      <c r="E572" s="94" t="s">
        <v>210</v>
      </c>
      <c r="F572" s="94">
        <v>-7</v>
      </c>
      <c r="G572" s="94">
        <v>-6</v>
      </c>
      <c r="H572" s="94" t="s">
        <v>210</v>
      </c>
      <c r="I572" s="94" t="s">
        <v>210</v>
      </c>
      <c r="J572" s="94">
        <v>3</v>
      </c>
      <c r="K572" s="94">
        <v>5</v>
      </c>
      <c r="L572" s="94" t="s">
        <v>210</v>
      </c>
      <c r="M572" s="94" t="s">
        <v>210</v>
      </c>
      <c r="N572" s="94">
        <v>9</v>
      </c>
      <c r="O572" s="94" t="s">
        <v>202</v>
      </c>
      <c r="P572" s="94" t="s">
        <v>210</v>
      </c>
      <c r="Q572" s="94" t="s">
        <v>210</v>
      </c>
      <c r="R572" s="94">
        <v>-8</v>
      </c>
      <c r="S572" s="94">
        <v>-5</v>
      </c>
      <c r="T572" s="94" t="s">
        <v>210</v>
      </c>
      <c r="U572" s="94" t="s">
        <v>210</v>
      </c>
      <c r="V572" s="94">
        <v>1</v>
      </c>
      <c r="W572" s="94">
        <v>-2</v>
      </c>
      <c r="X572" s="94" t="s">
        <v>210</v>
      </c>
      <c r="Y572" s="94" t="s">
        <v>210</v>
      </c>
      <c r="Z572" s="94">
        <v>6</v>
      </c>
      <c r="AA572" s="94">
        <v>-3</v>
      </c>
      <c r="AB572" s="94" t="s">
        <v>210</v>
      </c>
      <c r="AC572" s="94" t="s">
        <v>210</v>
      </c>
      <c r="AD572" s="94">
        <v>-1</v>
      </c>
      <c r="AE572" s="94">
        <v>8</v>
      </c>
      <c r="AF572" s="94" t="s">
        <v>210</v>
      </c>
      <c r="AG572" s="94" t="s">
        <v>210</v>
      </c>
      <c r="AH572" s="94">
        <v>-4</v>
      </c>
      <c r="AI572" s="94">
        <v>-9</v>
      </c>
      <c r="AJ572" s="94" t="s">
        <v>210</v>
      </c>
      <c r="AK572" s="94" t="s">
        <v>210</v>
      </c>
      <c r="AL572" s="94">
        <v>7</v>
      </c>
      <c r="AM572" s="94">
        <v>2</v>
      </c>
      <c r="AN572" s="94" t="s">
        <v>210</v>
      </c>
      <c r="AO572" s="94"/>
      <c r="AP572" s="94"/>
      <c r="AQ572" s="94"/>
      <c r="AR572" s="94"/>
      <c r="AS572" s="94"/>
      <c r="AT572" s="94"/>
      <c r="AU572" s="94"/>
      <c r="AV572" s="94"/>
      <c r="AW572" s="94"/>
      <c r="AX572" s="94"/>
      <c r="AY572" s="94"/>
      <c r="AZ572" s="94"/>
      <c r="BA572" s="95"/>
    </row>
    <row r="573" spans="1:53" s="87" customFormat="1">
      <c r="A573" s="90" t="str">
        <f t="shared" si="33"/>
        <v/>
      </c>
      <c r="B573" s="98">
        <v>14</v>
      </c>
      <c r="C573" s="94">
        <v>-1</v>
      </c>
      <c r="D573" s="94" t="s">
        <v>210</v>
      </c>
      <c r="E573" s="94" t="s">
        <v>210</v>
      </c>
      <c r="F573" s="94">
        <v>-8</v>
      </c>
      <c r="G573" s="94">
        <v>5</v>
      </c>
      <c r="H573" s="94" t="s">
        <v>210</v>
      </c>
      <c r="I573" s="94" t="s">
        <v>210</v>
      </c>
      <c r="J573" s="94">
        <v>9</v>
      </c>
      <c r="K573" s="94">
        <v>-4</v>
      </c>
      <c r="L573" s="94" t="s">
        <v>210</v>
      </c>
      <c r="M573" s="94" t="s">
        <v>210</v>
      </c>
      <c r="N573" s="94">
        <v>3</v>
      </c>
      <c r="O573" s="94">
        <v>-6</v>
      </c>
      <c r="P573" s="94" t="s">
        <v>210</v>
      </c>
      <c r="Q573" s="94" t="s">
        <v>210</v>
      </c>
      <c r="R573" s="94">
        <v>2</v>
      </c>
      <c r="S573" s="94">
        <v>-7</v>
      </c>
      <c r="T573" s="94" t="s">
        <v>210</v>
      </c>
      <c r="U573" s="94" t="s">
        <v>210</v>
      </c>
      <c r="V573" s="94">
        <v>6</v>
      </c>
      <c r="W573" s="94">
        <v>-5</v>
      </c>
      <c r="X573" s="94" t="s">
        <v>210</v>
      </c>
      <c r="Y573" s="94" t="s">
        <v>210</v>
      </c>
      <c r="Z573" s="94">
        <v>8</v>
      </c>
      <c r="AA573" s="94">
        <v>1</v>
      </c>
      <c r="AB573" s="94" t="s">
        <v>210</v>
      </c>
      <c r="AC573" s="94" t="s">
        <v>210</v>
      </c>
      <c r="AD573" s="94">
        <v>4</v>
      </c>
      <c r="AE573" s="94">
        <v>-3</v>
      </c>
      <c r="AF573" s="94" t="s">
        <v>210</v>
      </c>
      <c r="AG573" s="94" t="s">
        <v>210</v>
      </c>
      <c r="AH573" s="94" t="s">
        <v>202</v>
      </c>
      <c r="AI573" s="94">
        <v>7</v>
      </c>
      <c r="AJ573" s="94" t="s">
        <v>210</v>
      </c>
      <c r="AK573" s="94" t="s">
        <v>210</v>
      </c>
      <c r="AL573" s="94">
        <v>-9</v>
      </c>
      <c r="AM573" s="94">
        <v>-2</v>
      </c>
      <c r="AN573" s="94" t="s">
        <v>210</v>
      </c>
      <c r="AO573" s="94"/>
      <c r="AP573" s="94"/>
      <c r="AQ573" s="94"/>
      <c r="AR573" s="94"/>
      <c r="AS573" s="94"/>
      <c r="AT573" s="94"/>
      <c r="AU573" s="94"/>
      <c r="AV573" s="94"/>
      <c r="AW573" s="94"/>
      <c r="AX573" s="94"/>
      <c r="AY573" s="94"/>
      <c r="AZ573" s="94"/>
      <c r="BA573" s="95"/>
    </row>
    <row r="574" spans="1:53" s="87" customFormat="1">
      <c r="A574" s="90" t="str">
        <f t="shared" si="33"/>
        <v/>
      </c>
      <c r="B574" s="98">
        <v>15</v>
      </c>
      <c r="C574" s="94">
        <v>9</v>
      </c>
      <c r="D574" s="94" t="s">
        <v>210</v>
      </c>
      <c r="E574" s="94" t="s">
        <v>210</v>
      </c>
      <c r="F574" s="94">
        <v>-3</v>
      </c>
      <c r="G574" s="94">
        <v>4</v>
      </c>
      <c r="H574" s="94" t="s">
        <v>210</v>
      </c>
      <c r="I574" s="94" t="s">
        <v>210</v>
      </c>
      <c r="J574" s="94">
        <v>-6</v>
      </c>
      <c r="K574" s="94">
        <v>2</v>
      </c>
      <c r="L574" s="94" t="s">
        <v>210</v>
      </c>
      <c r="M574" s="94" t="s">
        <v>210</v>
      </c>
      <c r="N574" s="94">
        <v>7</v>
      </c>
      <c r="O574" s="94">
        <v>-8</v>
      </c>
      <c r="P574" s="94" t="s">
        <v>210</v>
      </c>
      <c r="Q574" s="94" t="s">
        <v>210</v>
      </c>
      <c r="R574" s="94">
        <v>-1</v>
      </c>
      <c r="S574" s="94">
        <v>5</v>
      </c>
      <c r="T574" s="94" t="s">
        <v>210</v>
      </c>
      <c r="U574" s="94" t="s">
        <v>210</v>
      </c>
      <c r="V574" s="94">
        <v>-2</v>
      </c>
      <c r="W574" s="94">
        <v>1</v>
      </c>
      <c r="X574" s="94" t="s">
        <v>210</v>
      </c>
      <c r="Y574" s="94" t="s">
        <v>210</v>
      </c>
      <c r="Z574" s="94">
        <v>3</v>
      </c>
      <c r="AA574" s="94" t="s">
        <v>202</v>
      </c>
      <c r="AB574" s="94" t="s">
        <v>210</v>
      </c>
      <c r="AC574" s="94" t="s">
        <v>210</v>
      </c>
      <c r="AD574" s="94">
        <v>-4</v>
      </c>
      <c r="AE574" s="94">
        <v>-5</v>
      </c>
      <c r="AF574" s="94" t="s">
        <v>210</v>
      </c>
      <c r="AG574" s="94" t="s">
        <v>210</v>
      </c>
      <c r="AH574" s="94">
        <v>-7</v>
      </c>
      <c r="AI574" s="94">
        <v>8</v>
      </c>
      <c r="AJ574" s="94" t="s">
        <v>210</v>
      </c>
      <c r="AK574" s="94" t="s">
        <v>210</v>
      </c>
      <c r="AL574" s="94">
        <v>6</v>
      </c>
      <c r="AM574" s="94">
        <v>-9</v>
      </c>
      <c r="AN574" s="94" t="s">
        <v>210</v>
      </c>
      <c r="AO574" s="94"/>
      <c r="AP574" s="94"/>
      <c r="AQ574" s="94"/>
      <c r="AR574" s="94"/>
      <c r="AS574" s="94"/>
      <c r="AT574" s="94"/>
      <c r="AU574" s="94"/>
      <c r="AV574" s="94"/>
      <c r="AW574" s="94"/>
      <c r="AX574" s="94"/>
      <c r="AY574" s="94"/>
      <c r="AZ574" s="94"/>
      <c r="BA574" s="95"/>
    </row>
    <row r="575" spans="1:53" s="87" customFormat="1">
      <c r="A575" s="90" t="str">
        <f t="shared" si="33"/>
        <v/>
      </c>
      <c r="B575" s="98">
        <v>16</v>
      </c>
      <c r="C575" s="94">
        <v>2</v>
      </c>
      <c r="D575" s="94" t="s">
        <v>210</v>
      </c>
      <c r="E575" s="94" t="s">
        <v>210</v>
      </c>
      <c r="F575" s="94">
        <v>-5</v>
      </c>
      <c r="G575" s="94">
        <v>8</v>
      </c>
      <c r="H575" s="94" t="s">
        <v>210</v>
      </c>
      <c r="I575" s="94" t="s">
        <v>210</v>
      </c>
      <c r="J575" s="94">
        <v>7</v>
      </c>
      <c r="K575" s="94">
        <v>4</v>
      </c>
      <c r="L575" s="94" t="s">
        <v>210</v>
      </c>
      <c r="M575" s="94" t="s">
        <v>210</v>
      </c>
      <c r="N575" s="94" t="s">
        <v>202</v>
      </c>
      <c r="O575" s="94">
        <v>-1</v>
      </c>
      <c r="P575" s="94" t="s">
        <v>210</v>
      </c>
      <c r="Q575" s="94" t="s">
        <v>210</v>
      </c>
      <c r="R575" s="94">
        <v>-3</v>
      </c>
      <c r="S575" s="94">
        <v>-4</v>
      </c>
      <c r="T575" s="94" t="s">
        <v>210</v>
      </c>
      <c r="U575" s="94" t="s">
        <v>210</v>
      </c>
      <c r="V575" s="94">
        <v>-9</v>
      </c>
      <c r="W575" s="94">
        <v>3</v>
      </c>
      <c r="X575" s="94" t="s">
        <v>210</v>
      </c>
      <c r="Y575" s="94" t="s">
        <v>210</v>
      </c>
      <c r="Z575" s="94">
        <v>5</v>
      </c>
      <c r="AA575" s="94">
        <v>-8</v>
      </c>
      <c r="AB575" s="94" t="s">
        <v>210</v>
      </c>
      <c r="AC575" s="94" t="s">
        <v>210</v>
      </c>
      <c r="AD575" s="94">
        <v>-6</v>
      </c>
      <c r="AE575" s="94">
        <v>-2</v>
      </c>
      <c r="AF575" s="94" t="s">
        <v>210</v>
      </c>
      <c r="AG575" s="94" t="s">
        <v>210</v>
      </c>
      <c r="AH575" s="94">
        <v>1</v>
      </c>
      <c r="AI575" s="94">
        <v>6</v>
      </c>
      <c r="AJ575" s="94" t="s">
        <v>210</v>
      </c>
      <c r="AK575" s="94" t="s">
        <v>210</v>
      </c>
      <c r="AL575" s="94">
        <v>-7</v>
      </c>
      <c r="AM575" s="94">
        <v>9</v>
      </c>
      <c r="AN575" s="94" t="s">
        <v>210</v>
      </c>
      <c r="AO575" s="94"/>
      <c r="AP575" s="94"/>
      <c r="AQ575" s="94"/>
      <c r="AR575" s="94"/>
      <c r="AS575" s="94"/>
      <c r="AT575" s="94"/>
      <c r="AU575" s="94"/>
      <c r="AV575" s="94"/>
      <c r="AW575" s="94"/>
      <c r="AX575" s="94"/>
      <c r="AY575" s="94"/>
      <c r="AZ575" s="94"/>
      <c r="BA575" s="95"/>
    </row>
    <row r="576" spans="1:53" s="87" customFormat="1">
      <c r="A576" s="90" t="str">
        <f t="shared" si="33"/>
        <v/>
      </c>
      <c r="B576" s="98">
        <v>17</v>
      </c>
      <c r="C576" s="94">
        <v>-7</v>
      </c>
      <c r="D576" s="94" t="s">
        <v>210</v>
      </c>
      <c r="E576" s="94" t="s">
        <v>210</v>
      </c>
      <c r="F576" s="94">
        <v>2</v>
      </c>
      <c r="G576" s="94">
        <v>6</v>
      </c>
      <c r="H576" s="94" t="s">
        <v>210</v>
      </c>
      <c r="I576" s="94" t="s">
        <v>210</v>
      </c>
      <c r="J576" s="94">
        <v>-5</v>
      </c>
      <c r="K576" s="94">
        <v>-8</v>
      </c>
      <c r="L576" s="94" t="s">
        <v>210</v>
      </c>
      <c r="M576" s="94" t="s">
        <v>210</v>
      </c>
      <c r="N576" s="94">
        <v>-1</v>
      </c>
      <c r="O576" s="94">
        <v>4</v>
      </c>
      <c r="P576" s="94" t="s">
        <v>210</v>
      </c>
      <c r="Q576" s="94" t="s">
        <v>210</v>
      </c>
      <c r="R576" s="94">
        <v>3</v>
      </c>
      <c r="S576" s="94">
        <v>-9</v>
      </c>
      <c r="T576" s="94" t="s">
        <v>210</v>
      </c>
      <c r="U576" s="94" t="s">
        <v>210</v>
      </c>
      <c r="V576" s="94">
        <v>-3</v>
      </c>
      <c r="W576" s="94">
        <v>5</v>
      </c>
      <c r="X576" s="94" t="s">
        <v>210</v>
      </c>
      <c r="Y576" s="94" t="s">
        <v>210</v>
      </c>
      <c r="Z576" s="94">
        <v>7</v>
      </c>
      <c r="AA576" s="94">
        <v>-2</v>
      </c>
      <c r="AB576" s="94" t="s">
        <v>210</v>
      </c>
      <c r="AC576" s="94" t="s">
        <v>210</v>
      </c>
      <c r="AD576" s="94">
        <v>9</v>
      </c>
      <c r="AE576" s="94" t="s">
        <v>202</v>
      </c>
      <c r="AF576" s="94" t="s">
        <v>210</v>
      </c>
      <c r="AG576" s="94" t="s">
        <v>210</v>
      </c>
      <c r="AH576" s="94">
        <v>8</v>
      </c>
      <c r="AI576" s="94">
        <v>-4</v>
      </c>
      <c r="AJ576" s="94" t="s">
        <v>210</v>
      </c>
      <c r="AK576" s="94" t="s">
        <v>210</v>
      </c>
      <c r="AL576" s="94">
        <v>-6</v>
      </c>
      <c r="AM576" s="94">
        <v>1</v>
      </c>
      <c r="AN576" s="94" t="s">
        <v>210</v>
      </c>
      <c r="AO576" s="94"/>
      <c r="AP576" s="94"/>
      <c r="AQ576" s="94"/>
      <c r="AR576" s="94"/>
      <c r="AS576" s="94"/>
      <c r="AT576" s="94"/>
      <c r="AU576" s="94"/>
      <c r="AV576" s="94"/>
      <c r="AW576" s="94"/>
      <c r="AX576" s="94"/>
      <c r="AY576" s="94"/>
      <c r="AZ576" s="94"/>
      <c r="BA576" s="95"/>
    </row>
    <row r="577" spans="1:53" s="87" customFormat="1">
      <c r="A577" s="90" t="str">
        <f t="shared" si="33"/>
        <v/>
      </c>
      <c r="B577" s="98">
        <v>18</v>
      </c>
      <c r="C577" s="94">
        <v>-8</v>
      </c>
      <c r="D577" s="94" t="s">
        <v>210</v>
      </c>
      <c r="E577" s="94" t="s">
        <v>210</v>
      </c>
      <c r="F577" s="94" t="s">
        <v>202</v>
      </c>
      <c r="G577" s="94">
        <v>-5</v>
      </c>
      <c r="H577" s="94" t="s">
        <v>210</v>
      </c>
      <c r="I577" s="94" t="s">
        <v>210</v>
      </c>
      <c r="J577" s="94">
        <v>2</v>
      </c>
      <c r="K577" s="94">
        <v>-6</v>
      </c>
      <c r="L577" s="94" t="s">
        <v>210</v>
      </c>
      <c r="M577" s="94" t="s">
        <v>210</v>
      </c>
      <c r="N577" s="94">
        <v>-7</v>
      </c>
      <c r="O577" s="94">
        <v>-3</v>
      </c>
      <c r="P577" s="94" t="s">
        <v>210</v>
      </c>
      <c r="Q577" s="94" t="s">
        <v>210</v>
      </c>
      <c r="R577" s="94">
        <v>4</v>
      </c>
      <c r="S577" s="94">
        <v>6</v>
      </c>
      <c r="T577" s="94" t="s">
        <v>210</v>
      </c>
      <c r="U577" s="94" t="s">
        <v>210</v>
      </c>
      <c r="V577" s="94">
        <v>5</v>
      </c>
      <c r="W577" s="94">
        <v>7</v>
      </c>
      <c r="X577" s="94" t="s">
        <v>210</v>
      </c>
      <c r="Y577" s="94" t="s">
        <v>210</v>
      </c>
      <c r="Z577" s="94">
        <v>-9</v>
      </c>
      <c r="AA577" s="94">
        <v>8</v>
      </c>
      <c r="AB577" s="94" t="s">
        <v>210</v>
      </c>
      <c r="AC577" s="94" t="s">
        <v>210</v>
      </c>
      <c r="AD577" s="94">
        <v>3</v>
      </c>
      <c r="AE577" s="94">
        <v>1</v>
      </c>
      <c r="AF577" s="94" t="s">
        <v>210</v>
      </c>
      <c r="AG577" s="94" t="s">
        <v>210</v>
      </c>
      <c r="AH577" s="94">
        <v>-2</v>
      </c>
      <c r="AI577" s="94">
        <v>9</v>
      </c>
      <c r="AJ577" s="94" t="s">
        <v>210</v>
      </c>
      <c r="AK577" s="94" t="s">
        <v>210</v>
      </c>
      <c r="AL577" s="94">
        <v>-4</v>
      </c>
      <c r="AM577" s="94">
        <v>-1</v>
      </c>
      <c r="AN577" s="94" t="s">
        <v>210</v>
      </c>
      <c r="AO577" s="94"/>
      <c r="AP577" s="94"/>
      <c r="AQ577" s="94"/>
      <c r="AR577" s="94"/>
      <c r="AS577" s="94"/>
      <c r="AT577" s="94"/>
      <c r="AU577" s="94"/>
      <c r="AV577" s="94"/>
      <c r="AW577" s="94"/>
      <c r="AX577" s="94"/>
      <c r="AY577" s="94"/>
      <c r="AZ577" s="94"/>
      <c r="BA577" s="95"/>
    </row>
    <row r="578" spans="1:53" s="87" customFormat="1">
      <c r="A578" s="90" t="str">
        <f t="shared" si="33"/>
        <v/>
      </c>
      <c r="B578" s="99">
        <v>19</v>
      </c>
      <c r="C578" s="92">
        <v>7</v>
      </c>
      <c r="D578" s="92" t="s">
        <v>210</v>
      </c>
      <c r="E578" s="92" t="s">
        <v>210</v>
      </c>
      <c r="F578" s="92">
        <v>6</v>
      </c>
      <c r="G578" s="92">
        <v>-2</v>
      </c>
      <c r="H578" s="92" t="s">
        <v>210</v>
      </c>
      <c r="I578" s="92" t="s">
        <v>210</v>
      </c>
      <c r="J578" s="92">
        <v>-9</v>
      </c>
      <c r="K578" s="92">
        <v>3</v>
      </c>
      <c r="L578" s="92" t="s">
        <v>210</v>
      </c>
      <c r="M578" s="92" t="s">
        <v>210</v>
      </c>
      <c r="N578" s="92">
        <v>4</v>
      </c>
      <c r="O578" s="92">
        <v>5</v>
      </c>
      <c r="P578" s="92" t="s">
        <v>210</v>
      </c>
      <c r="Q578" s="92" t="s">
        <v>210</v>
      </c>
      <c r="R578" s="92">
        <v>1</v>
      </c>
      <c r="S578" s="92">
        <v>-8</v>
      </c>
      <c r="T578" s="92" t="s">
        <v>210</v>
      </c>
      <c r="U578" s="92" t="s">
        <v>210</v>
      </c>
      <c r="V578" s="92">
        <v>-7</v>
      </c>
      <c r="W578" s="92">
        <v>2</v>
      </c>
      <c r="X578" s="92" t="s">
        <v>210</v>
      </c>
      <c r="Y578" s="92" t="s">
        <v>210</v>
      </c>
      <c r="Z578" s="92">
        <v>9</v>
      </c>
      <c r="AA578" s="92">
        <v>-6</v>
      </c>
      <c r="AB578" s="92" t="s">
        <v>210</v>
      </c>
      <c r="AC578" s="92" t="s">
        <v>210</v>
      </c>
      <c r="AD578" s="92">
        <v>8</v>
      </c>
      <c r="AE578" s="92">
        <v>-4</v>
      </c>
      <c r="AF578" s="92" t="s">
        <v>210</v>
      </c>
      <c r="AG578" s="92" t="s">
        <v>210</v>
      </c>
      <c r="AH578" s="92">
        <v>-1</v>
      </c>
      <c r="AI578" s="92">
        <v>-5</v>
      </c>
      <c r="AJ578" s="92" t="s">
        <v>210</v>
      </c>
      <c r="AK578" s="92" t="s">
        <v>210</v>
      </c>
      <c r="AL578" s="92">
        <v>-3</v>
      </c>
      <c r="AM578" s="92" t="s">
        <v>202</v>
      </c>
      <c r="AN578" s="92" t="s">
        <v>210</v>
      </c>
      <c r="AO578" s="94"/>
      <c r="AP578" s="94"/>
      <c r="AQ578" s="94"/>
      <c r="AR578" s="94"/>
      <c r="AS578" s="94"/>
      <c r="AT578" s="94"/>
      <c r="AU578" s="94"/>
      <c r="AV578" s="94"/>
      <c r="AW578" s="94"/>
      <c r="AX578" s="94"/>
      <c r="AY578" s="94"/>
      <c r="AZ578" s="94"/>
      <c r="BA578" s="95"/>
    </row>
    <row r="579" spans="1:53" s="87" customFormat="1">
      <c r="A579" s="90" t="str">
        <f t="shared" si="33"/>
        <v/>
      </c>
      <c r="B579" s="98">
        <v>20</v>
      </c>
      <c r="C579" s="94" t="s">
        <v>210</v>
      </c>
      <c r="D579" s="94">
        <v>-2</v>
      </c>
      <c r="E579" s="94">
        <v>-6</v>
      </c>
      <c r="F579" s="94" t="s">
        <v>210</v>
      </c>
      <c r="G579" s="94" t="s">
        <v>210</v>
      </c>
      <c r="H579" s="94">
        <v>-7</v>
      </c>
      <c r="I579" s="94">
        <v>1</v>
      </c>
      <c r="J579" s="94" t="s">
        <v>210</v>
      </c>
      <c r="K579" s="94" t="s">
        <v>210</v>
      </c>
      <c r="L579" s="94">
        <v>-5</v>
      </c>
      <c r="M579" s="94">
        <v>8</v>
      </c>
      <c r="N579" s="94" t="s">
        <v>210</v>
      </c>
      <c r="O579" s="94" t="s">
        <v>210</v>
      </c>
      <c r="P579" s="94">
        <v>9</v>
      </c>
      <c r="Q579" s="94">
        <v>-4</v>
      </c>
      <c r="R579" s="94" t="s">
        <v>210</v>
      </c>
      <c r="S579" s="94" t="s">
        <v>210</v>
      </c>
      <c r="T579" s="94">
        <v>3</v>
      </c>
      <c r="U579" s="94" t="s">
        <v>202</v>
      </c>
      <c r="V579" s="94" t="s">
        <v>210</v>
      </c>
      <c r="W579" s="94" t="s">
        <v>210</v>
      </c>
      <c r="X579" s="94">
        <v>-9</v>
      </c>
      <c r="Y579" s="94">
        <v>-3</v>
      </c>
      <c r="Z579" s="94" t="s">
        <v>210</v>
      </c>
      <c r="AA579" s="94" t="s">
        <v>210</v>
      </c>
      <c r="AB579" s="94">
        <v>-1</v>
      </c>
      <c r="AC579" s="94">
        <v>2</v>
      </c>
      <c r="AD579" s="94" t="s">
        <v>210</v>
      </c>
      <c r="AE579" s="94" t="s">
        <v>210</v>
      </c>
      <c r="AF579" s="94">
        <v>7</v>
      </c>
      <c r="AG579" s="94">
        <v>6</v>
      </c>
      <c r="AH579" s="94" t="s">
        <v>210</v>
      </c>
      <c r="AI579" s="94" t="s">
        <v>210</v>
      </c>
      <c r="AJ579" s="94">
        <v>4</v>
      </c>
      <c r="AK579" s="94">
        <v>-8</v>
      </c>
      <c r="AL579" s="94" t="s">
        <v>210</v>
      </c>
      <c r="AM579" s="94" t="s">
        <v>210</v>
      </c>
      <c r="AN579" s="94">
        <v>5</v>
      </c>
      <c r="AO579" s="94"/>
      <c r="AP579" s="94"/>
      <c r="AQ579" s="94"/>
      <c r="AR579" s="94"/>
      <c r="AS579" s="94"/>
      <c r="AT579" s="94"/>
      <c r="AU579" s="94"/>
      <c r="AV579" s="94"/>
      <c r="AW579" s="94"/>
      <c r="AX579" s="94"/>
      <c r="AY579" s="94"/>
      <c r="AZ579" s="94"/>
      <c r="BA579" s="95"/>
    </row>
    <row r="580" spans="1:53" s="87" customFormat="1">
      <c r="A580" s="90" t="str">
        <f t="shared" si="33"/>
        <v/>
      </c>
      <c r="B580" s="98">
        <v>21</v>
      </c>
      <c r="C580" s="94" t="s">
        <v>210</v>
      </c>
      <c r="D580" s="94" t="s">
        <v>202</v>
      </c>
      <c r="E580" s="94">
        <v>3</v>
      </c>
      <c r="F580" s="94" t="s">
        <v>210</v>
      </c>
      <c r="G580" s="94" t="s">
        <v>210</v>
      </c>
      <c r="H580" s="94">
        <v>-9</v>
      </c>
      <c r="I580" s="94">
        <v>8</v>
      </c>
      <c r="J580" s="94" t="s">
        <v>210</v>
      </c>
      <c r="K580" s="94" t="s">
        <v>210</v>
      </c>
      <c r="L580" s="94">
        <v>-7</v>
      </c>
      <c r="M580" s="94">
        <v>1</v>
      </c>
      <c r="N580" s="94" t="s">
        <v>210</v>
      </c>
      <c r="O580" s="94" t="s">
        <v>210</v>
      </c>
      <c r="P580" s="94">
        <v>2</v>
      </c>
      <c r="Q580" s="94">
        <v>-6</v>
      </c>
      <c r="R580" s="94" t="s">
        <v>210</v>
      </c>
      <c r="S580" s="94" t="s">
        <v>210</v>
      </c>
      <c r="T580" s="94">
        <v>7</v>
      </c>
      <c r="U580" s="94">
        <v>-1</v>
      </c>
      <c r="V580" s="94" t="s">
        <v>210</v>
      </c>
      <c r="W580" s="94" t="s">
        <v>210</v>
      </c>
      <c r="X580" s="94">
        <v>-3</v>
      </c>
      <c r="Y580" s="94">
        <v>-4</v>
      </c>
      <c r="Z580" s="94" t="s">
        <v>210</v>
      </c>
      <c r="AA580" s="94" t="s">
        <v>210</v>
      </c>
      <c r="AB580" s="94">
        <v>9</v>
      </c>
      <c r="AC580" s="94">
        <v>-8</v>
      </c>
      <c r="AD580" s="94" t="s">
        <v>210</v>
      </c>
      <c r="AE580" s="94" t="s">
        <v>210</v>
      </c>
      <c r="AF580" s="94">
        <v>6</v>
      </c>
      <c r="AG580" s="94">
        <v>5</v>
      </c>
      <c r="AH580" s="94" t="s">
        <v>210</v>
      </c>
      <c r="AI580" s="94" t="s">
        <v>210</v>
      </c>
      <c r="AJ580" s="94">
        <v>-2</v>
      </c>
      <c r="AK580" s="94">
        <v>4</v>
      </c>
      <c r="AL580" s="94" t="s">
        <v>210</v>
      </c>
      <c r="AM580" s="94" t="s">
        <v>210</v>
      </c>
      <c r="AN580" s="94">
        <v>-5</v>
      </c>
      <c r="AO580" s="94"/>
      <c r="AP580" s="94"/>
      <c r="AQ580" s="94"/>
      <c r="AR580" s="94"/>
      <c r="AS580" s="94"/>
      <c r="AT580" s="94"/>
      <c r="AU580" s="94"/>
      <c r="AV580" s="94"/>
      <c r="AW580" s="94"/>
      <c r="AX580" s="94"/>
      <c r="AY580" s="94"/>
      <c r="AZ580" s="94"/>
      <c r="BA580" s="95"/>
    </row>
    <row r="581" spans="1:53" s="87" customFormat="1">
      <c r="A581" s="90" t="str">
        <f t="shared" si="33"/>
        <v/>
      </c>
      <c r="B581" s="98">
        <v>22</v>
      </c>
      <c r="C581" s="94" t="s">
        <v>210</v>
      </c>
      <c r="D581" s="94">
        <v>5</v>
      </c>
      <c r="E581" s="94">
        <v>1</v>
      </c>
      <c r="F581" s="94" t="s">
        <v>210</v>
      </c>
      <c r="G581" s="94" t="s">
        <v>210</v>
      </c>
      <c r="H581" s="94">
        <v>-8</v>
      </c>
      <c r="I581" s="94">
        <v>4</v>
      </c>
      <c r="J581" s="94" t="s">
        <v>210</v>
      </c>
      <c r="K581" s="94" t="s">
        <v>210</v>
      </c>
      <c r="L581" s="94">
        <v>-3</v>
      </c>
      <c r="M581" s="94">
        <v>-9</v>
      </c>
      <c r="N581" s="94" t="s">
        <v>210</v>
      </c>
      <c r="O581" s="94" t="s">
        <v>210</v>
      </c>
      <c r="P581" s="94">
        <v>-2</v>
      </c>
      <c r="Q581" s="94">
        <v>7</v>
      </c>
      <c r="R581" s="94" t="s">
        <v>210</v>
      </c>
      <c r="S581" s="94" t="s">
        <v>210</v>
      </c>
      <c r="T581" s="94">
        <v>-6</v>
      </c>
      <c r="U581" s="94">
        <v>-4</v>
      </c>
      <c r="V581" s="94" t="s">
        <v>210</v>
      </c>
      <c r="W581" s="94" t="s">
        <v>210</v>
      </c>
      <c r="X581" s="94">
        <v>-1</v>
      </c>
      <c r="Y581" s="94" t="s">
        <v>202</v>
      </c>
      <c r="Z581" s="94" t="s">
        <v>210</v>
      </c>
      <c r="AA581" s="94" t="s">
        <v>210</v>
      </c>
      <c r="AB581" s="94">
        <v>2</v>
      </c>
      <c r="AC581" s="94">
        <v>-5</v>
      </c>
      <c r="AD581" s="94" t="s">
        <v>210</v>
      </c>
      <c r="AE581" s="94" t="s">
        <v>210</v>
      </c>
      <c r="AF581" s="94">
        <v>9</v>
      </c>
      <c r="AG581" s="94">
        <v>3</v>
      </c>
      <c r="AH581" s="94" t="s">
        <v>210</v>
      </c>
      <c r="AI581" s="94" t="s">
        <v>210</v>
      </c>
      <c r="AJ581" s="94">
        <v>-7</v>
      </c>
      <c r="AK581" s="94">
        <v>8</v>
      </c>
      <c r="AL581" s="94" t="s">
        <v>210</v>
      </c>
      <c r="AM581" s="94" t="s">
        <v>210</v>
      </c>
      <c r="AN581" s="94">
        <v>6</v>
      </c>
      <c r="AO581" s="94"/>
      <c r="AP581" s="94"/>
      <c r="AQ581" s="94"/>
      <c r="AR581" s="94"/>
      <c r="AS581" s="94"/>
      <c r="AT581" s="94"/>
      <c r="AU581" s="94"/>
      <c r="AV581" s="94"/>
      <c r="AW581" s="94"/>
      <c r="AX581" s="94"/>
      <c r="AY581" s="94"/>
      <c r="AZ581" s="94"/>
      <c r="BA581" s="95"/>
    </row>
    <row r="582" spans="1:53" s="87" customFormat="1">
      <c r="A582" s="90" t="str">
        <f t="shared" si="33"/>
        <v/>
      </c>
      <c r="B582" s="98">
        <v>23</v>
      </c>
      <c r="C582" s="94" t="s">
        <v>210</v>
      </c>
      <c r="D582" s="94">
        <v>3</v>
      </c>
      <c r="E582" s="94">
        <v>9</v>
      </c>
      <c r="F582" s="94" t="s">
        <v>210</v>
      </c>
      <c r="G582" s="94" t="s">
        <v>210</v>
      </c>
      <c r="H582" s="94">
        <v>-4</v>
      </c>
      <c r="I582" s="94">
        <v>-1</v>
      </c>
      <c r="J582" s="94" t="s">
        <v>210</v>
      </c>
      <c r="K582" s="94" t="s">
        <v>210</v>
      </c>
      <c r="L582" s="94">
        <v>8</v>
      </c>
      <c r="M582" s="94">
        <v>5</v>
      </c>
      <c r="N582" s="94" t="s">
        <v>210</v>
      </c>
      <c r="O582" s="94" t="s">
        <v>210</v>
      </c>
      <c r="P582" s="94">
        <v>7</v>
      </c>
      <c r="Q582" s="94">
        <v>-2</v>
      </c>
      <c r="R582" s="94" t="s">
        <v>210</v>
      </c>
      <c r="S582" s="94" t="s">
        <v>210</v>
      </c>
      <c r="T582" s="94" t="s">
        <v>202</v>
      </c>
      <c r="U582" s="94">
        <v>-8</v>
      </c>
      <c r="V582" s="94" t="s">
        <v>210</v>
      </c>
      <c r="W582" s="94" t="s">
        <v>210</v>
      </c>
      <c r="X582" s="94">
        <v>-7</v>
      </c>
      <c r="Y582" s="94">
        <v>4</v>
      </c>
      <c r="Z582" s="94" t="s">
        <v>210</v>
      </c>
      <c r="AA582" s="94" t="s">
        <v>210</v>
      </c>
      <c r="AB582" s="94">
        <v>6</v>
      </c>
      <c r="AC582" s="94">
        <v>1</v>
      </c>
      <c r="AD582" s="94" t="s">
        <v>210</v>
      </c>
      <c r="AE582" s="94" t="s">
        <v>210</v>
      </c>
      <c r="AF582" s="94">
        <v>2</v>
      </c>
      <c r="AG582" s="94">
        <v>-9</v>
      </c>
      <c r="AH582" s="94" t="s">
        <v>210</v>
      </c>
      <c r="AI582" s="94" t="s">
        <v>210</v>
      </c>
      <c r="AJ582" s="94">
        <v>-3</v>
      </c>
      <c r="AK582" s="94">
        <v>-5</v>
      </c>
      <c r="AL582" s="94" t="s">
        <v>210</v>
      </c>
      <c r="AM582" s="94" t="s">
        <v>210</v>
      </c>
      <c r="AN582" s="94">
        <v>-6</v>
      </c>
      <c r="AO582" s="94"/>
      <c r="AP582" s="94"/>
      <c r="AQ582" s="94"/>
      <c r="AR582" s="94"/>
      <c r="AS582" s="94"/>
      <c r="AT582" s="94"/>
      <c r="AU582" s="94"/>
      <c r="AV582" s="94"/>
      <c r="AW582" s="94"/>
      <c r="AX582" s="94"/>
      <c r="AY582" s="94"/>
      <c r="AZ582" s="94"/>
      <c r="BA582" s="95"/>
    </row>
    <row r="583" spans="1:53" s="87" customFormat="1">
      <c r="A583" s="90" t="str">
        <f t="shared" si="33"/>
        <v/>
      </c>
      <c r="B583" s="98">
        <v>24</v>
      </c>
      <c r="C583" s="94" t="s">
        <v>210</v>
      </c>
      <c r="D583" s="94">
        <v>-6</v>
      </c>
      <c r="E583" s="94">
        <v>-1</v>
      </c>
      <c r="F583" s="94" t="s">
        <v>210</v>
      </c>
      <c r="G583" s="94" t="s">
        <v>210</v>
      </c>
      <c r="H583" s="94">
        <v>7</v>
      </c>
      <c r="I583" s="94" t="s">
        <v>202</v>
      </c>
      <c r="J583" s="94" t="s">
        <v>210</v>
      </c>
      <c r="K583" s="94" t="s">
        <v>210</v>
      </c>
      <c r="L583" s="94">
        <v>-9</v>
      </c>
      <c r="M583" s="94">
        <v>-3</v>
      </c>
      <c r="N583" s="94" t="s">
        <v>210</v>
      </c>
      <c r="O583" s="94" t="s">
        <v>210</v>
      </c>
      <c r="P583" s="94">
        <v>8</v>
      </c>
      <c r="Q583" s="94">
        <v>5</v>
      </c>
      <c r="R583" s="94" t="s">
        <v>210</v>
      </c>
      <c r="S583" s="94" t="s">
        <v>210</v>
      </c>
      <c r="T583" s="94">
        <v>9</v>
      </c>
      <c r="U583" s="94">
        <v>-5</v>
      </c>
      <c r="V583" s="94" t="s">
        <v>210</v>
      </c>
      <c r="W583" s="94" t="s">
        <v>210</v>
      </c>
      <c r="X583" s="94">
        <v>-4</v>
      </c>
      <c r="Y583" s="94">
        <v>-2</v>
      </c>
      <c r="Z583" s="94" t="s">
        <v>210</v>
      </c>
      <c r="AA583" s="94" t="s">
        <v>210</v>
      </c>
      <c r="AB583" s="94">
        <v>-7</v>
      </c>
      <c r="AC583" s="94">
        <v>6</v>
      </c>
      <c r="AD583" s="94" t="s">
        <v>210</v>
      </c>
      <c r="AE583" s="94" t="s">
        <v>210</v>
      </c>
      <c r="AF583" s="94">
        <v>-8</v>
      </c>
      <c r="AG583" s="94">
        <v>9</v>
      </c>
      <c r="AH583" s="94" t="s">
        <v>210</v>
      </c>
      <c r="AI583" s="94" t="s">
        <v>210</v>
      </c>
      <c r="AJ583" s="94">
        <v>2</v>
      </c>
      <c r="AK583" s="94">
        <v>3</v>
      </c>
      <c r="AL583" s="94" t="s">
        <v>210</v>
      </c>
      <c r="AM583" s="94" t="s">
        <v>210</v>
      </c>
      <c r="AN583" s="94">
        <v>4</v>
      </c>
      <c r="AO583" s="94"/>
      <c r="AP583" s="94"/>
      <c r="AQ583" s="94"/>
      <c r="AR583" s="94"/>
      <c r="AS583" s="94"/>
      <c r="AT583" s="94"/>
      <c r="AU583" s="94"/>
      <c r="AV583" s="94"/>
      <c r="AW583" s="94"/>
      <c r="AX583" s="94"/>
      <c r="AY583" s="94"/>
      <c r="AZ583" s="94"/>
      <c r="BA583" s="95"/>
    </row>
    <row r="584" spans="1:53" s="87" customFormat="1">
      <c r="A584" s="90" t="str">
        <f t="shared" si="33"/>
        <v/>
      </c>
      <c r="B584" s="98">
        <v>25</v>
      </c>
      <c r="C584" s="94" t="s">
        <v>210</v>
      </c>
      <c r="D584" s="94">
        <v>-3</v>
      </c>
      <c r="E584" s="94">
        <v>4</v>
      </c>
      <c r="F584" s="94" t="s">
        <v>210</v>
      </c>
      <c r="G584" s="94" t="s">
        <v>210</v>
      </c>
      <c r="H584" s="94">
        <v>9</v>
      </c>
      <c r="I584" s="94">
        <v>-7</v>
      </c>
      <c r="J584" s="94" t="s">
        <v>210</v>
      </c>
      <c r="K584" s="94" t="s">
        <v>210</v>
      </c>
      <c r="L584" s="94">
        <v>6</v>
      </c>
      <c r="M584" s="94">
        <v>2</v>
      </c>
      <c r="N584" s="94" t="s">
        <v>210</v>
      </c>
      <c r="O584" s="94" t="s">
        <v>210</v>
      </c>
      <c r="P584" s="94">
        <v>-5</v>
      </c>
      <c r="Q584" s="94">
        <v>8</v>
      </c>
      <c r="R584" s="94" t="s">
        <v>210</v>
      </c>
      <c r="S584" s="94" t="s">
        <v>210</v>
      </c>
      <c r="T584" s="94">
        <v>1</v>
      </c>
      <c r="U584" s="94">
        <v>3</v>
      </c>
      <c r="V584" s="94" t="s">
        <v>210</v>
      </c>
      <c r="W584" s="94" t="s">
        <v>210</v>
      </c>
      <c r="X584" s="94">
        <v>-6</v>
      </c>
      <c r="Y584" s="94">
        <v>-8</v>
      </c>
      <c r="Z584" s="94" t="s">
        <v>210</v>
      </c>
      <c r="AA584" s="94" t="s">
        <v>210</v>
      </c>
      <c r="AB584" s="94">
        <v>5</v>
      </c>
      <c r="AC584" s="94">
        <v>-2</v>
      </c>
      <c r="AD584" s="94" t="s">
        <v>210</v>
      </c>
      <c r="AE584" s="94" t="s">
        <v>210</v>
      </c>
      <c r="AF584" s="94">
        <v>-9</v>
      </c>
      <c r="AG584" s="94">
        <v>7</v>
      </c>
      <c r="AH584" s="94" t="s">
        <v>210</v>
      </c>
      <c r="AI584" s="94" t="s">
        <v>210</v>
      </c>
      <c r="AJ584" s="94">
        <v>-1</v>
      </c>
      <c r="AK584" s="94" t="s">
        <v>202</v>
      </c>
      <c r="AL584" s="94" t="s">
        <v>210</v>
      </c>
      <c r="AM584" s="94" t="s">
        <v>210</v>
      </c>
      <c r="AN584" s="94">
        <v>-4</v>
      </c>
      <c r="AO584" s="94"/>
      <c r="AP584" s="94"/>
      <c r="AQ584" s="94"/>
      <c r="AR584" s="94"/>
      <c r="AS584" s="94"/>
      <c r="AT584" s="94"/>
      <c r="AU584" s="94"/>
      <c r="AV584" s="94"/>
      <c r="AW584" s="94"/>
      <c r="AX584" s="94"/>
      <c r="AY584" s="94"/>
      <c r="AZ584" s="94"/>
      <c r="BA584" s="95"/>
    </row>
    <row r="585" spans="1:53" s="87" customFormat="1">
      <c r="A585" s="90" t="str">
        <f t="shared" si="33"/>
        <v/>
      </c>
      <c r="B585" s="98">
        <v>26</v>
      </c>
      <c r="C585" s="94" t="s">
        <v>210</v>
      </c>
      <c r="D585" s="94">
        <v>8</v>
      </c>
      <c r="E585" s="94">
        <v>5</v>
      </c>
      <c r="F585" s="94" t="s">
        <v>210</v>
      </c>
      <c r="G585" s="94" t="s">
        <v>210</v>
      </c>
      <c r="H585" s="94">
        <v>-1</v>
      </c>
      <c r="I585" s="94">
        <v>-3</v>
      </c>
      <c r="J585" s="94" t="s">
        <v>210</v>
      </c>
      <c r="K585" s="94" t="s">
        <v>210</v>
      </c>
      <c r="L585" s="94">
        <v>9</v>
      </c>
      <c r="M585" s="94">
        <v>-4</v>
      </c>
      <c r="N585" s="94" t="s">
        <v>210</v>
      </c>
      <c r="O585" s="94" t="s">
        <v>210</v>
      </c>
      <c r="P585" s="94">
        <v>-7</v>
      </c>
      <c r="Q585" s="94">
        <v>6</v>
      </c>
      <c r="R585" s="94" t="s">
        <v>210</v>
      </c>
      <c r="S585" s="94" t="s">
        <v>210</v>
      </c>
      <c r="T585" s="94">
        <v>-2</v>
      </c>
      <c r="U585" s="94">
        <v>4</v>
      </c>
      <c r="V585" s="94" t="s">
        <v>210</v>
      </c>
      <c r="W585" s="94" t="s">
        <v>210</v>
      </c>
      <c r="X585" s="94" t="s">
        <v>202</v>
      </c>
      <c r="Y585" s="94">
        <v>1</v>
      </c>
      <c r="Z585" s="94" t="s">
        <v>210</v>
      </c>
      <c r="AA585" s="94" t="s">
        <v>210</v>
      </c>
      <c r="AB585" s="94">
        <v>-5</v>
      </c>
      <c r="AC585" s="94">
        <v>-9</v>
      </c>
      <c r="AD585" s="94" t="s">
        <v>210</v>
      </c>
      <c r="AE585" s="94" t="s">
        <v>210</v>
      </c>
      <c r="AF585" s="94">
        <v>3</v>
      </c>
      <c r="AG585" s="94">
        <v>-6</v>
      </c>
      <c r="AH585" s="94" t="s">
        <v>210</v>
      </c>
      <c r="AI585" s="94" t="s">
        <v>210</v>
      </c>
      <c r="AJ585" s="94">
        <v>-8</v>
      </c>
      <c r="AK585" s="94">
        <v>2</v>
      </c>
      <c r="AL585" s="94" t="s">
        <v>210</v>
      </c>
      <c r="AM585" s="94" t="s">
        <v>210</v>
      </c>
      <c r="AN585" s="94">
        <v>7</v>
      </c>
      <c r="AO585" s="94"/>
      <c r="AP585" s="94"/>
      <c r="AQ585" s="94"/>
      <c r="AR585" s="94"/>
      <c r="AS585" s="94"/>
      <c r="AT585" s="94"/>
      <c r="AU585" s="94"/>
      <c r="AV585" s="94"/>
      <c r="AW585" s="94"/>
      <c r="AX585" s="94"/>
      <c r="AY585" s="94"/>
      <c r="AZ585" s="94"/>
      <c r="BA585" s="95"/>
    </row>
    <row r="586" spans="1:53" s="87" customFormat="1">
      <c r="A586" s="90" t="str">
        <f t="shared" si="33"/>
        <v/>
      </c>
      <c r="B586" s="98">
        <v>27</v>
      </c>
      <c r="C586" s="94" t="s">
        <v>210</v>
      </c>
      <c r="D586" s="94">
        <v>-9</v>
      </c>
      <c r="E586" s="94">
        <v>-2</v>
      </c>
      <c r="F586" s="94" t="s">
        <v>210</v>
      </c>
      <c r="G586" s="94" t="s">
        <v>210</v>
      </c>
      <c r="H586" s="94">
        <v>-3</v>
      </c>
      <c r="I586" s="94">
        <v>-4</v>
      </c>
      <c r="J586" s="94" t="s">
        <v>210</v>
      </c>
      <c r="K586" s="94" t="s">
        <v>210</v>
      </c>
      <c r="L586" s="94">
        <v>1</v>
      </c>
      <c r="M586" s="94">
        <v>-8</v>
      </c>
      <c r="N586" s="94" t="s">
        <v>210</v>
      </c>
      <c r="O586" s="94" t="s">
        <v>210</v>
      </c>
      <c r="P586" s="94">
        <v>6</v>
      </c>
      <c r="Q586" s="94" t="s">
        <v>202</v>
      </c>
      <c r="R586" s="94" t="s">
        <v>210</v>
      </c>
      <c r="S586" s="94" t="s">
        <v>210</v>
      </c>
      <c r="T586" s="94">
        <v>-1</v>
      </c>
      <c r="U586" s="94">
        <v>8</v>
      </c>
      <c r="V586" s="94" t="s">
        <v>210</v>
      </c>
      <c r="W586" s="94" t="s">
        <v>210</v>
      </c>
      <c r="X586" s="94">
        <v>4</v>
      </c>
      <c r="Y586" s="94">
        <v>-5</v>
      </c>
      <c r="Z586" s="94" t="s">
        <v>210</v>
      </c>
      <c r="AA586" s="94" t="s">
        <v>210</v>
      </c>
      <c r="AB586" s="94">
        <v>3</v>
      </c>
      <c r="AC586" s="94">
        <v>7</v>
      </c>
      <c r="AD586" s="94" t="s">
        <v>210</v>
      </c>
      <c r="AE586" s="94" t="s">
        <v>210</v>
      </c>
      <c r="AF586" s="94">
        <v>-6</v>
      </c>
      <c r="AG586" s="94">
        <v>2</v>
      </c>
      <c r="AH586" s="94" t="s">
        <v>210</v>
      </c>
      <c r="AI586" s="94" t="s">
        <v>210</v>
      </c>
      <c r="AJ586" s="94">
        <v>5</v>
      </c>
      <c r="AK586" s="94">
        <v>1</v>
      </c>
      <c r="AL586" s="94" t="s">
        <v>210</v>
      </c>
      <c r="AM586" s="94" t="s">
        <v>210</v>
      </c>
      <c r="AN586" s="94">
        <v>-7</v>
      </c>
      <c r="AO586" s="94"/>
      <c r="AP586" s="94"/>
      <c r="AQ586" s="94"/>
      <c r="AR586" s="94"/>
      <c r="AS586" s="94"/>
      <c r="AT586" s="94"/>
      <c r="AU586" s="94"/>
      <c r="AV586" s="94"/>
      <c r="AW586" s="94"/>
      <c r="AX586" s="94"/>
      <c r="AY586" s="94"/>
      <c r="AZ586" s="94"/>
      <c r="BA586" s="95"/>
    </row>
    <row r="587" spans="1:53" s="87" customFormat="1">
      <c r="A587" s="90" t="str">
        <f t="shared" si="33"/>
        <v/>
      </c>
      <c r="B587" s="98">
        <v>28</v>
      </c>
      <c r="C587" s="94" t="s">
        <v>210</v>
      </c>
      <c r="D587" s="94">
        <v>-5</v>
      </c>
      <c r="E587" s="94">
        <v>8</v>
      </c>
      <c r="F587" s="94" t="s">
        <v>210</v>
      </c>
      <c r="G587" s="94" t="s">
        <v>210</v>
      </c>
      <c r="H587" s="94">
        <v>1</v>
      </c>
      <c r="I587" s="94">
        <v>6</v>
      </c>
      <c r="J587" s="94" t="s">
        <v>210</v>
      </c>
      <c r="K587" s="94" t="s">
        <v>210</v>
      </c>
      <c r="L587" s="94" t="s">
        <v>202</v>
      </c>
      <c r="M587" s="94">
        <v>-2</v>
      </c>
      <c r="N587" s="94" t="s">
        <v>210</v>
      </c>
      <c r="O587" s="94" t="s">
        <v>210</v>
      </c>
      <c r="P587" s="94">
        <v>-4</v>
      </c>
      <c r="Q587" s="94">
        <v>9</v>
      </c>
      <c r="R587" s="94" t="s">
        <v>210</v>
      </c>
      <c r="S587" s="94" t="s">
        <v>210</v>
      </c>
      <c r="T587" s="94">
        <v>-3</v>
      </c>
      <c r="U587" s="94">
        <v>7</v>
      </c>
      <c r="V587" s="94" t="s">
        <v>210</v>
      </c>
      <c r="W587" s="94" t="s">
        <v>210</v>
      </c>
      <c r="X587" s="94">
        <v>-8</v>
      </c>
      <c r="Y587" s="94">
        <v>2</v>
      </c>
      <c r="Z587" s="94" t="s">
        <v>210</v>
      </c>
      <c r="AA587" s="94" t="s">
        <v>210</v>
      </c>
      <c r="AB587" s="94">
        <v>-9</v>
      </c>
      <c r="AC587" s="94">
        <v>-7</v>
      </c>
      <c r="AD587" s="94" t="s">
        <v>210</v>
      </c>
      <c r="AE587" s="94" t="s">
        <v>210</v>
      </c>
      <c r="AF587" s="94">
        <v>-1</v>
      </c>
      <c r="AG587" s="94">
        <v>4</v>
      </c>
      <c r="AH587" s="94" t="s">
        <v>210</v>
      </c>
      <c r="AI587" s="94" t="s">
        <v>210</v>
      </c>
      <c r="AJ587" s="94">
        <v>-6</v>
      </c>
      <c r="AK587" s="94">
        <v>5</v>
      </c>
      <c r="AL587" s="94" t="s">
        <v>210</v>
      </c>
      <c r="AM587" s="94" t="s">
        <v>210</v>
      </c>
      <c r="AN587" s="94">
        <v>3</v>
      </c>
      <c r="AO587" s="94"/>
      <c r="AP587" s="94"/>
      <c r="AQ587" s="94"/>
      <c r="AR587" s="94"/>
      <c r="AS587" s="94"/>
      <c r="AT587" s="94"/>
      <c r="AU587" s="94"/>
      <c r="AV587" s="94"/>
      <c r="AW587" s="94"/>
      <c r="AX587" s="94"/>
      <c r="AY587" s="94"/>
      <c r="AZ587" s="94"/>
      <c r="BA587" s="95"/>
    </row>
    <row r="588" spans="1:53" s="87" customFormat="1">
      <c r="A588" s="90" t="str">
        <f t="shared" ref="A588:A651" si="34">IF(MID(B588,3,2)="09",ROW(),"")</f>
        <v/>
      </c>
      <c r="B588" s="98">
        <v>29</v>
      </c>
      <c r="C588" s="94" t="s">
        <v>210</v>
      </c>
      <c r="D588" s="94">
        <v>-4</v>
      </c>
      <c r="E588" s="94">
        <v>-9</v>
      </c>
      <c r="F588" s="94" t="s">
        <v>210</v>
      </c>
      <c r="G588" s="94" t="s">
        <v>210</v>
      </c>
      <c r="H588" s="94">
        <v>3</v>
      </c>
      <c r="I588" s="94">
        <v>-2</v>
      </c>
      <c r="J588" s="94" t="s">
        <v>210</v>
      </c>
      <c r="K588" s="94" t="s">
        <v>210</v>
      </c>
      <c r="L588" s="94">
        <v>7</v>
      </c>
      <c r="M588" s="94">
        <v>-6</v>
      </c>
      <c r="N588" s="94" t="s">
        <v>210</v>
      </c>
      <c r="O588" s="94" t="s">
        <v>210</v>
      </c>
      <c r="P588" s="94">
        <v>1</v>
      </c>
      <c r="Q588" s="94">
        <v>-5</v>
      </c>
      <c r="R588" s="94" t="s">
        <v>210</v>
      </c>
      <c r="S588" s="94" t="s">
        <v>210</v>
      </c>
      <c r="T588" s="94">
        <v>8</v>
      </c>
      <c r="U588" s="94">
        <v>2</v>
      </c>
      <c r="V588" s="94" t="s">
        <v>210</v>
      </c>
      <c r="W588" s="94" t="s">
        <v>210</v>
      </c>
      <c r="X588" s="94">
        <v>6</v>
      </c>
      <c r="Y588" s="94">
        <v>-1</v>
      </c>
      <c r="Z588" s="94" t="s">
        <v>210</v>
      </c>
      <c r="AA588" s="94" t="s">
        <v>210</v>
      </c>
      <c r="AB588" s="94">
        <v>4</v>
      </c>
      <c r="AC588" s="94">
        <v>5</v>
      </c>
      <c r="AD588" s="94" t="s">
        <v>210</v>
      </c>
      <c r="AE588" s="94" t="s">
        <v>210</v>
      </c>
      <c r="AF588" s="94">
        <v>-7</v>
      </c>
      <c r="AG588" s="94">
        <v>-8</v>
      </c>
      <c r="AH588" s="94" t="s">
        <v>210</v>
      </c>
      <c r="AI588" s="94" t="s">
        <v>210</v>
      </c>
      <c r="AJ588" s="94" t="s">
        <v>202</v>
      </c>
      <c r="AK588" s="94">
        <v>9</v>
      </c>
      <c r="AL588" s="94" t="s">
        <v>210</v>
      </c>
      <c r="AM588" s="94" t="s">
        <v>210</v>
      </c>
      <c r="AN588" s="94">
        <v>-3</v>
      </c>
      <c r="AO588" s="94"/>
      <c r="AP588" s="94"/>
      <c r="AQ588" s="94"/>
      <c r="AR588" s="94"/>
      <c r="AS588" s="94"/>
      <c r="AT588" s="94"/>
      <c r="AU588" s="94"/>
      <c r="AV588" s="94"/>
      <c r="AW588" s="94"/>
      <c r="AX588" s="94"/>
      <c r="AY588" s="94"/>
      <c r="AZ588" s="94"/>
      <c r="BA588" s="95"/>
    </row>
    <row r="589" spans="1:53" s="87" customFormat="1">
      <c r="A589" s="90" t="str">
        <f t="shared" si="34"/>
        <v/>
      </c>
      <c r="B589" s="98">
        <v>30</v>
      </c>
      <c r="C589" s="94" t="s">
        <v>210</v>
      </c>
      <c r="D589" s="94">
        <v>6</v>
      </c>
      <c r="E589" s="94">
        <v>7</v>
      </c>
      <c r="F589" s="94" t="s">
        <v>210</v>
      </c>
      <c r="G589" s="94" t="s">
        <v>210</v>
      </c>
      <c r="H589" s="94">
        <v>2</v>
      </c>
      <c r="I589" s="94">
        <v>-8</v>
      </c>
      <c r="J589" s="94" t="s">
        <v>210</v>
      </c>
      <c r="K589" s="94" t="s">
        <v>210</v>
      </c>
      <c r="L589" s="94">
        <v>-1</v>
      </c>
      <c r="M589" s="94">
        <v>-5</v>
      </c>
      <c r="N589" s="94" t="s">
        <v>210</v>
      </c>
      <c r="O589" s="94" t="s">
        <v>210</v>
      </c>
      <c r="P589" s="94">
        <v>3</v>
      </c>
      <c r="Q589" s="94">
        <v>-9</v>
      </c>
      <c r="R589" s="94" t="s">
        <v>210</v>
      </c>
      <c r="S589" s="94" t="s">
        <v>210</v>
      </c>
      <c r="T589" s="94">
        <v>4</v>
      </c>
      <c r="U589" s="94">
        <v>-6</v>
      </c>
      <c r="V589" s="94" t="s">
        <v>210</v>
      </c>
      <c r="W589" s="94" t="s">
        <v>210</v>
      </c>
      <c r="X589" s="94">
        <v>9</v>
      </c>
      <c r="Y589" s="94">
        <v>-7</v>
      </c>
      <c r="Z589" s="94" t="s">
        <v>210</v>
      </c>
      <c r="AA589" s="94" t="s">
        <v>210</v>
      </c>
      <c r="AB589" s="94">
        <v>-4</v>
      </c>
      <c r="AC589" s="94" t="s">
        <v>202</v>
      </c>
      <c r="AD589" s="94" t="s">
        <v>210</v>
      </c>
      <c r="AE589" s="94" t="s">
        <v>210</v>
      </c>
      <c r="AF589" s="94">
        <v>5</v>
      </c>
      <c r="AG589" s="94">
        <v>-3</v>
      </c>
      <c r="AH589" s="94" t="s">
        <v>210</v>
      </c>
      <c r="AI589" s="94" t="s">
        <v>210</v>
      </c>
      <c r="AJ589" s="94">
        <v>1</v>
      </c>
      <c r="AK589" s="94">
        <v>-2</v>
      </c>
      <c r="AL589" s="94" t="s">
        <v>210</v>
      </c>
      <c r="AM589" s="94" t="s">
        <v>210</v>
      </c>
      <c r="AN589" s="94">
        <v>8</v>
      </c>
      <c r="AO589" s="94"/>
      <c r="AP589" s="94"/>
      <c r="AQ589" s="94"/>
      <c r="AR589" s="94"/>
      <c r="AS589" s="94"/>
      <c r="AT589" s="94"/>
      <c r="AU589" s="94"/>
      <c r="AV589" s="94"/>
      <c r="AW589" s="94"/>
      <c r="AX589" s="94"/>
      <c r="AY589" s="94"/>
      <c r="AZ589" s="94"/>
      <c r="BA589" s="95"/>
    </row>
    <row r="590" spans="1:53" s="87" customFormat="1">
      <c r="A590" s="90" t="str">
        <f t="shared" si="34"/>
        <v/>
      </c>
      <c r="B590" s="98">
        <v>31</v>
      </c>
      <c r="C590" s="94" t="s">
        <v>210</v>
      </c>
      <c r="D590" s="94">
        <v>1</v>
      </c>
      <c r="E590" s="94">
        <v>-4</v>
      </c>
      <c r="F590" s="94" t="s">
        <v>210</v>
      </c>
      <c r="G590" s="94" t="s">
        <v>210</v>
      </c>
      <c r="H590" s="94" t="s">
        <v>202</v>
      </c>
      <c r="I590" s="94">
        <v>5</v>
      </c>
      <c r="J590" s="94" t="s">
        <v>210</v>
      </c>
      <c r="K590" s="94" t="s">
        <v>210</v>
      </c>
      <c r="L590" s="94">
        <v>-2</v>
      </c>
      <c r="M590" s="94">
        <v>6</v>
      </c>
      <c r="N590" s="94" t="s">
        <v>210</v>
      </c>
      <c r="O590" s="94" t="s">
        <v>210</v>
      </c>
      <c r="P590" s="94">
        <v>-9</v>
      </c>
      <c r="Q590" s="94">
        <v>-7</v>
      </c>
      <c r="R590" s="94" t="s">
        <v>210</v>
      </c>
      <c r="S590" s="94" t="s">
        <v>210</v>
      </c>
      <c r="T590" s="94">
        <v>2</v>
      </c>
      <c r="U590" s="94">
        <v>9</v>
      </c>
      <c r="V590" s="94" t="s">
        <v>210</v>
      </c>
      <c r="W590" s="94" t="s">
        <v>210</v>
      </c>
      <c r="X590" s="94">
        <v>8</v>
      </c>
      <c r="Y590" s="94">
        <v>-6</v>
      </c>
      <c r="Z590" s="94" t="s">
        <v>210</v>
      </c>
      <c r="AA590" s="94" t="s">
        <v>210</v>
      </c>
      <c r="AB590" s="94">
        <v>7</v>
      </c>
      <c r="AC590" s="94">
        <v>-3</v>
      </c>
      <c r="AD590" s="94" t="s">
        <v>210</v>
      </c>
      <c r="AE590" s="94" t="s">
        <v>210</v>
      </c>
      <c r="AF590" s="94">
        <v>4</v>
      </c>
      <c r="AG590" s="94">
        <v>-5</v>
      </c>
      <c r="AH590" s="94" t="s">
        <v>210</v>
      </c>
      <c r="AI590" s="94" t="s">
        <v>210</v>
      </c>
      <c r="AJ590" s="94">
        <v>3</v>
      </c>
      <c r="AK590" s="94">
        <v>-1</v>
      </c>
      <c r="AL590" s="94" t="s">
        <v>210</v>
      </c>
      <c r="AM590" s="94" t="s">
        <v>210</v>
      </c>
      <c r="AN590" s="94">
        <v>-8</v>
      </c>
      <c r="AO590" s="94"/>
      <c r="AP590" s="94"/>
      <c r="AQ590" s="94"/>
      <c r="AR590" s="94"/>
      <c r="AS590" s="94"/>
      <c r="AT590" s="94"/>
      <c r="AU590" s="94"/>
      <c r="AV590" s="94"/>
      <c r="AW590" s="94"/>
      <c r="AX590" s="94"/>
      <c r="AY590" s="94"/>
      <c r="AZ590" s="94"/>
      <c r="BA590" s="95"/>
    </row>
    <row r="591" spans="1:53" s="87" customFormat="1">
      <c r="A591" s="90" t="str">
        <f t="shared" si="34"/>
        <v/>
      </c>
      <c r="B591" s="98">
        <v>32</v>
      </c>
      <c r="C591" s="94" t="s">
        <v>210</v>
      </c>
      <c r="D591" s="94">
        <v>4</v>
      </c>
      <c r="E591" s="94">
        <v>-7</v>
      </c>
      <c r="F591" s="94" t="s">
        <v>210</v>
      </c>
      <c r="G591" s="94" t="s">
        <v>210</v>
      </c>
      <c r="H591" s="94">
        <v>-6</v>
      </c>
      <c r="I591" s="94">
        <v>3</v>
      </c>
      <c r="J591" s="94" t="s">
        <v>210</v>
      </c>
      <c r="K591" s="94" t="s">
        <v>210</v>
      </c>
      <c r="L591" s="94">
        <v>5</v>
      </c>
      <c r="M591" s="94">
        <v>9</v>
      </c>
      <c r="N591" s="94" t="s">
        <v>210</v>
      </c>
      <c r="O591" s="94" t="s">
        <v>210</v>
      </c>
      <c r="P591" s="94" t="s">
        <v>202</v>
      </c>
      <c r="Q591" s="94">
        <v>-8</v>
      </c>
      <c r="R591" s="94" t="s">
        <v>210</v>
      </c>
      <c r="S591" s="94" t="s">
        <v>210</v>
      </c>
      <c r="T591" s="94">
        <v>-5</v>
      </c>
      <c r="U591" s="94">
        <v>1</v>
      </c>
      <c r="V591" s="94" t="s">
        <v>210</v>
      </c>
      <c r="W591" s="94" t="s">
        <v>210</v>
      </c>
      <c r="X591" s="94">
        <v>-2</v>
      </c>
      <c r="Y591" s="94">
        <v>6</v>
      </c>
      <c r="Z591" s="94" t="s">
        <v>210</v>
      </c>
      <c r="AA591" s="94" t="s">
        <v>210</v>
      </c>
      <c r="AB591" s="94">
        <v>-3</v>
      </c>
      <c r="AC591" s="94">
        <v>-1</v>
      </c>
      <c r="AD591" s="94" t="s">
        <v>210</v>
      </c>
      <c r="AE591" s="94" t="s">
        <v>210</v>
      </c>
      <c r="AF591" s="94">
        <v>8</v>
      </c>
      <c r="AG591" s="94">
        <v>-4</v>
      </c>
      <c r="AH591" s="94" t="s">
        <v>210</v>
      </c>
      <c r="AI591" s="94" t="s">
        <v>210</v>
      </c>
      <c r="AJ591" s="94">
        <v>-9</v>
      </c>
      <c r="AK591" s="94">
        <v>7</v>
      </c>
      <c r="AL591" s="94" t="s">
        <v>210</v>
      </c>
      <c r="AM591" s="94" t="s">
        <v>210</v>
      </c>
      <c r="AN591" s="94">
        <v>2</v>
      </c>
      <c r="AO591" s="94"/>
      <c r="AP591" s="94"/>
      <c r="AQ591" s="94"/>
      <c r="AR591" s="94"/>
      <c r="AS591" s="94"/>
      <c r="AT591" s="94"/>
      <c r="AU591" s="94"/>
      <c r="AV591" s="94"/>
      <c r="AW591" s="94"/>
      <c r="AX591" s="94"/>
      <c r="AY591" s="94"/>
      <c r="AZ591" s="94"/>
      <c r="BA591" s="95"/>
    </row>
    <row r="592" spans="1:53" s="87" customFormat="1">
      <c r="A592" s="90" t="str">
        <f t="shared" si="34"/>
        <v/>
      </c>
      <c r="B592" s="98">
        <v>33</v>
      </c>
      <c r="C592" s="94" t="s">
        <v>210</v>
      </c>
      <c r="D592" s="94">
        <v>-1</v>
      </c>
      <c r="E592" s="94">
        <v>-8</v>
      </c>
      <c r="F592" s="94" t="s">
        <v>210</v>
      </c>
      <c r="G592" s="94" t="s">
        <v>210</v>
      </c>
      <c r="H592" s="94">
        <v>5</v>
      </c>
      <c r="I592" s="94">
        <v>9</v>
      </c>
      <c r="J592" s="94" t="s">
        <v>210</v>
      </c>
      <c r="K592" s="94" t="s">
        <v>210</v>
      </c>
      <c r="L592" s="94">
        <v>-4</v>
      </c>
      <c r="M592" s="94">
        <v>3</v>
      </c>
      <c r="N592" s="94" t="s">
        <v>210</v>
      </c>
      <c r="O592" s="94" t="s">
        <v>210</v>
      </c>
      <c r="P592" s="94">
        <v>-6</v>
      </c>
      <c r="Q592" s="94">
        <v>2</v>
      </c>
      <c r="R592" s="94" t="s">
        <v>210</v>
      </c>
      <c r="S592" s="94" t="s">
        <v>210</v>
      </c>
      <c r="T592" s="94">
        <v>-7</v>
      </c>
      <c r="U592" s="94">
        <v>6</v>
      </c>
      <c r="V592" s="94" t="s">
        <v>210</v>
      </c>
      <c r="W592" s="94" t="s">
        <v>210</v>
      </c>
      <c r="X592" s="94">
        <v>-5</v>
      </c>
      <c r="Y592" s="94">
        <v>8</v>
      </c>
      <c r="Z592" s="94" t="s">
        <v>210</v>
      </c>
      <c r="AA592" s="94" t="s">
        <v>210</v>
      </c>
      <c r="AB592" s="94">
        <v>1</v>
      </c>
      <c r="AC592" s="94">
        <v>4</v>
      </c>
      <c r="AD592" s="94" t="s">
        <v>210</v>
      </c>
      <c r="AE592" s="94" t="s">
        <v>210</v>
      </c>
      <c r="AF592" s="94">
        <v>-3</v>
      </c>
      <c r="AG592" s="94" t="s">
        <v>202</v>
      </c>
      <c r="AH592" s="94" t="s">
        <v>210</v>
      </c>
      <c r="AI592" s="94" t="s">
        <v>210</v>
      </c>
      <c r="AJ592" s="94">
        <v>7</v>
      </c>
      <c r="AK592" s="94">
        <v>-9</v>
      </c>
      <c r="AL592" s="94" t="s">
        <v>210</v>
      </c>
      <c r="AM592" s="94" t="s">
        <v>210</v>
      </c>
      <c r="AN592" s="94">
        <v>-2</v>
      </c>
      <c r="AO592" s="94"/>
      <c r="AP592" s="94"/>
      <c r="AQ592" s="94"/>
      <c r="AR592" s="94"/>
      <c r="AS592" s="94"/>
      <c r="AT592" s="94"/>
      <c r="AU592" s="94"/>
      <c r="AV592" s="94"/>
      <c r="AW592" s="94"/>
      <c r="AX592" s="94"/>
      <c r="AY592" s="94"/>
      <c r="AZ592" s="94"/>
      <c r="BA592" s="95"/>
    </row>
    <row r="593" spans="1:53" s="87" customFormat="1">
      <c r="A593" s="90" t="str">
        <f t="shared" si="34"/>
        <v/>
      </c>
      <c r="B593" s="98">
        <v>34</v>
      </c>
      <c r="C593" s="94" t="s">
        <v>210</v>
      </c>
      <c r="D593" s="94">
        <v>9</v>
      </c>
      <c r="E593" s="94">
        <v>-3</v>
      </c>
      <c r="F593" s="94" t="s">
        <v>210</v>
      </c>
      <c r="G593" s="94" t="s">
        <v>210</v>
      </c>
      <c r="H593" s="94">
        <v>4</v>
      </c>
      <c r="I593" s="94">
        <v>-6</v>
      </c>
      <c r="J593" s="94" t="s">
        <v>210</v>
      </c>
      <c r="K593" s="94" t="s">
        <v>210</v>
      </c>
      <c r="L593" s="94">
        <v>2</v>
      </c>
      <c r="M593" s="94">
        <v>7</v>
      </c>
      <c r="N593" s="94" t="s">
        <v>210</v>
      </c>
      <c r="O593" s="94" t="s">
        <v>210</v>
      </c>
      <c r="P593" s="94">
        <v>-8</v>
      </c>
      <c r="Q593" s="94">
        <v>-1</v>
      </c>
      <c r="R593" s="94" t="s">
        <v>210</v>
      </c>
      <c r="S593" s="94" t="s">
        <v>210</v>
      </c>
      <c r="T593" s="94">
        <v>5</v>
      </c>
      <c r="U593" s="94">
        <v>-2</v>
      </c>
      <c r="V593" s="94" t="s">
        <v>210</v>
      </c>
      <c r="W593" s="94" t="s">
        <v>210</v>
      </c>
      <c r="X593" s="94">
        <v>1</v>
      </c>
      <c r="Y593" s="94">
        <v>3</v>
      </c>
      <c r="Z593" s="94" t="s">
        <v>210</v>
      </c>
      <c r="AA593" s="94" t="s">
        <v>210</v>
      </c>
      <c r="AB593" s="94" t="s">
        <v>202</v>
      </c>
      <c r="AC593" s="94">
        <v>-4</v>
      </c>
      <c r="AD593" s="94" t="s">
        <v>210</v>
      </c>
      <c r="AE593" s="94" t="s">
        <v>210</v>
      </c>
      <c r="AF593" s="94">
        <v>-5</v>
      </c>
      <c r="AG593" s="94">
        <v>-7</v>
      </c>
      <c r="AH593" s="94" t="s">
        <v>210</v>
      </c>
      <c r="AI593" s="94" t="s">
        <v>210</v>
      </c>
      <c r="AJ593" s="94">
        <v>8</v>
      </c>
      <c r="AK593" s="94">
        <v>6</v>
      </c>
      <c r="AL593" s="94" t="s">
        <v>210</v>
      </c>
      <c r="AM593" s="94" t="s">
        <v>210</v>
      </c>
      <c r="AN593" s="94">
        <v>-9</v>
      </c>
      <c r="AO593" s="94"/>
      <c r="AP593" s="94"/>
      <c r="AQ593" s="94"/>
      <c r="AR593" s="94"/>
      <c r="AS593" s="94"/>
      <c r="AT593" s="94"/>
      <c r="AU593" s="94"/>
      <c r="AV593" s="94"/>
      <c r="AW593" s="94"/>
      <c r="AX593" s="94"/>
      <c r="AY593" s="94"/>
      <c r="AZ593" s="94"/>
      <c r="BA593" s="95"/>
    </row>
    <row r="594" spans="1:53" s="87" customFormat="1">
      <c r="A594" s="90" t="str">
        <f t="shared" si="34"/>
        <v/>
      </c>
      <c r="B594" s="98">
        <v>35</v>
      </c>
      <c r="C594" s="94" t="s">
        <v>210</v>
      </c>
      <c r="D594" s="94">
        <v>2</v>
      </c>
      <c r="E594" s="94">
        <v>-5</v>
      </c>
      <c r="F594" s="94" t="s">
        <v>210</v>
      </c>
      <c r="G594" s="94" t="s">
        <v>210</v>
      </c>
      <c r="H594" s="94">
        <v>8</v>
      </c>
      <c r="I594" s="94">
        <v>7</v>
      </c>
      <c r="J594" s="94" t="s">
        <v>210</v>
      </c>
      <c r="K594" s="94" t="s">
        <v>210</v>
      </c>
      <c r="L594" s="94">
        <v>4</v>
      </c>
      <c r="M594" s="94" t="s">
        <v>202</v>
      </c>
      <c r="N594" s="94" t="s">
        <v>210</v>
      </c>
      <c r="O594" s="94" t="s">
        <v>210</v>
      </c>
      <c r="P594" s="94">
        <v>-1</v>
      </c>
      <c r="Q594" s="94">
        <v>-3</v>
      </c>
      <c r="R594" s="94" t="s">
        <v>210</v>
      </c>
      <c r="S594" s="94" t="s">
        <v>210</v>
      </c>
      <c r="T594" s="94">
        <v>-4</v>
      </c>
      <c r="U594" s="94">
        <v>-9</v>
      </c>
      <c r="V594" s="94" t="s">
        <v>210</v>
      </c>
      <c r="W594" s="94" t="s">
        <v>210</v>
      </c>
      <c r="X594" s="94">
        <v>3</v>
      </c>
      <c r="Y594" s="94">
        <v>5</v>
      </c>
      <c r="Z594" s="94" t="s">
        <v>210</v>
      </c>
      <c r="AA594" s="94" t="s">
        <v>210</v>
      </c>
      <c r="AB594" s="94">
        <v>-8</v>
      </c>
      <c r="AC594" s="94">
        <v>-6</v>
      </c>
      <c r="AD594" s="94" t="s">
        <v>210</v>
      </c>
      <c r="AE594" s="94" t="s">
        <v>210</v>
      </c>
      <c r="AF594" s="94">
        <v>-2</v>
      </c>
      <c r="AG594" s="94">
        <v>1</v>
      </c>
      <c r="AH594" s="94" t="s">
        <v>210</v>
      </c>
      <c r="AI594" s="94" t="s">
        <v>210</v>
      </c>
      <c r="AJ594" s="94">
        <v>6</v>
      </c>
      <c r="AK594" s="94">
        <v>-7</v>
      </c>
      <c r="AL594" s="94" t="s">
        <v>210</v>
      </c>
      <c r="AM594" s="94" t="s">
        <v>210</v>
      </c>
      <c r="AN594" s="94">
        <v>9</v>
      </c>
      <c r="AO594" s="94"/>
      <c r="AP594" s="94"/>
      <c r="AQ594" s="94"/>
      <c r="AR594" s="94"/>
      <c r="AS594" s="94"/>
      <c r="AT594" s="94"/>
      <c r="AU594" s="94"/>
      <c r="AV594" s="94"/>
      <c r="AW594" s="94"/>
      <c r="AX594" s="94"/>
      <c r="AY594" s="94"/>
      <c r="AZ594" s="94"/>
      <c r="BA594" s="95"/>
    </row>
    <row r="595" spans="1:53" s="87" customFormat="1">
      <c r="A595" s="90" t="str">
        <f t="shared" si="34"/>
        <v/>
      </c>
      <c r="B595" s="98">
        <v>36</v>
      </c>
      <c r="C595" s="94" t="s">
        <v>210</v>
      </c>
      <c r="D595" s="94">
        <v>-7</v>
      </c>
      <c r="E595" s="94">
        <v>2</v>
      </c>
      <c r="F595" s="94" t="s">
        <v>210</v>
      </c>
      <c r="G595" s="94" t="s">
        <v>210</v>
      </c>
      <c r="H595" s="94">
        <v>6</v>
      </c>
      <c r="I595" s="94">
        <v>-5</v>
      </c>
      <c r="J595" s="94" t="s">
        <v>210</v>
      </c>
      <c r="K595" s="94" t="s">
        <v>210</v>
      </c>
      <c r="L595" s="94">
        <v>-8</v>
      </c>
      <c r="M595" s="94">
        <v>-1</v>
      </c>
      <c r="N595" s="94" t="s">
        <v>210</v>
      </c>
      <c r="O595" s="94" t="s">
        <v>210</v>
      </c>
      <c r="P595" s="94">
        <v>4</v>
      </c>
      <c r="Q595" s="94">
        <v>3</v>
      </c>
      <c r="R595" s="94" t="s">
        <v>210</v>
      </c>
      <c r="S595" s="94" t="s">
        <v>210</v>
      </c>
      <c r="T595" s="94">
        <v>-9</v>
      </c>
      <c r="U595" s="94">
        <v>-3</v>
      </c>
      <c r="V595" s="94" t="s">
        <v>210</v>
      </c>
      <c r="W595" s="94" t="s">
        <v>210</v>
      </c>
      <c r="X595" s="94">
        <v>5</v>
      </c>
      <c r="Y595" s="94">
        <v>7</v>
      </c>
      <c r="Z595" s="94" t="s">
        <v>210</v>
      </c>
      <c r="AA595" s="94" t="s">
        <v>210</v>
      </c>
      <c r="AB595" s="94">
        <v>-2</v>
      </c>
      <c r="AC595" s="94">
        <v>9</v>
      </c>
      <c r="AD595" s="94" t="s">
        <v>210</v>
      </c>
      <c r="AE595" s="94" t="s">
        <v>210</v>
      </c>
      <c r="AF595" s="94" t="s">
        <v>202</v>
      </c>
      <c r="AG595" s="94">
        <v>8</v>
      </c>
      <c r="AH595" s="94" t="s">
        <v>210</v>
      </c>
      <c r="AI595" s="94" t="s">
        <v>210</v>
      </c>
      <c r="AJ595" s="94">
        <v>-4</v>
      </c>
      <c r="AK595" s="94">
        <v>-6</v>
      </c>
      <c r="AL595" s="94" t="s">
        <v>210</v>
      </c>
      <c r="AM595" s="94" t="s">
        <v>210</v>
      </c>
      <c r="AN595" s="94">
        <v>1</v>
      </c>
      <c r="AO595" s="94"/>
      <c r="AP595" s="94"/>
      <c r="AQ595" s="94"/>
      <c r="AR595" s="94"/>
      <c r="AS595" s="94"/>
      <c r="AT595" s="94"/>
      <c r="AU595" s="94"/>
      <c r="AV595" s="94"/>
      <c r="AW595" s="94"/>
      <c r="AX595" s="94"/>
      <c r="AY595" s="94"/>
      <c r="AZ595" s="94"/>
      <c r="BA595" s="95"/>
    </row>
    <row r="596" spans="1:53" s="87" customFormat="1">
      <c r="A596" s="90" t="str">
        <f t="shared" si="34"/>
        <v/>
      </c>
      <c r="B596" s="98">
        <v>37</v>
      </c>
      <c r="C596" s="94" t="s">
        <v>210</v>
      </c>
      <c r="D596" s="94">
        <v>-8</v>
      </c>
      <c r="E596" s="94" t="s">
        <v>202</v>
      </c>
      <c r="F596" s="94" t="s">
        <v>210</v>
      </c>
      <c r="G596" s="94" t="s">
        <v>210</v>
      </c>
      <c r="H596" s="94">
        <v>-5</v>
      </c>
      <c r="I596" s="94">
        <v>2</v>
      </c>
      <c r="J596" s="94" t="s">
        <v>210</v>
      </c>
      <c r="K596" s="94" t="s">
        <v>210</v>
      </c>
      <c r="L596" s="94">
        <v>-6</v>
      </c>
      <c r="M596" s="94">
        <v>-7</v>
      </c>
      <c r="N596" s="94" t="s">
        <v>210</v>
      </c>
      <c r="O596" s="94" t="s">
        <v>210</v>
      </c>
      <c r="P596" s="94">
        <v>-3</v>
      </c>
      <c r="Q596" s="94">
        <v>4</v>
      </c>
      <c r="R596" s="94" t="s">
        <v>210</v>
      </c>
      <c r="S596" s="94" t="s">
        <v>210</v>
      </c>
      <c r="T596" s="94">
        <v>6</v>
      </c>
      <c r="U596" s="94">
        <v>5</v>
      </c>
      <c r="V596" s="94" t="s">
        <v>210</v>
      </c>
      <c r="W596" s="94" t="s">
        <v>210</v>
      </c>
      <c r="X596" s="94">
        <v>7</v>
      </c>
      <c r="Y596" s="94">
        <v>-9</v>
      </c>
      <c r="Z596" s="94" t="s">
        <v>210</v>
      </c>
      <c r="AA596" s="94" t="s">
        <v>210</v>
      </c>
      <c r="AB596" s="94">
        <v>8</v>
      </c>
      <c r="AC596" s="94">
        <v>3</v>
      </c>
      <c r="AD596" s="94" t="s">
        <v>210</v>
      </c>
      <c r="AE596" s="94" t="s">
        <v>210</v>
      </c>
      <c r="AF596" s="94">
        <v>1</v>
      </c>
      <c r="AG596" s="94">
        <v>-2</v>
      </c>
      <c r="AH596" s="94" t="s">
        <v>210</v>
      </c>
      <c r="AI596" s="94" t="s">
        <v>210</v>
      </c>
      <c r="AJ596" s="94">
        <v>9</v>
      </c>
      <c r="AK596" s="94">
        <v>-4</v>
      </c>
      <c r="AL596" s="94" t="s">
        <v>210</v>
      </c>
      <c r="AM596" s="94" t="s">
        <v>210</v>
      </c>
      <c r="AN596" s="94">
        <v>-1</v>
      </c>
      <c r="AO596" s="94"/>
      <c r="AP596" s="94"/>
      <c r="AQ596" s="94"/>
      <c r="AR596" s="94"/>
      <c r="AS596" s="94"/>
      <c r="AT596" s="94"/>
      <c r="AU596" s="94"/>
      <c r="AV596" s="94"/>
      <c r="AW596" s="94"/>
      <c r="AX596" s="94"/>
      <c r="AY596" s="94"/>
      <c r="AZ596" s="94"/>
      <c r="BA596" s="95"/>
    </row>
    <row r="597" spans="1:53" s="87" customFormat="1">
      <c r="A597" s="90" t="str">
        <f t="shared" si="34"/>
        <v/>
      </c>
      <c r="B597" s="98">
        <v>38</v>
      </c>
      <c r="C597" s="94" t="s">
        <v>210</v>
      </c>
      <c r="D597" s="94">
        <v>7</v>
      </c>
      <c r="E597" s="94">
        <v>6</v>
      </c>
      <c r="F597" s="94" t="s">
        <v>210</v>
      </c>
      <c r="G597" s="94" t="s">
        <v>210</v>
      </c>
      <c r="H597" s="94">
        <v>-2</v>
      </c>
      <c r="I597" s="94">
        <v>-9</v>
      </c>
      <c r="J597" s="94" t="s">
        <v>210</v>
      </c>
      <c r="K597" s="94" t="s">
        <v>210</v>
      </c>
      <c r="L597" s="94">
        <v>3</v>
      </c>
      <c r="M597" s="94">
        <v>4</v>
      </c>
      <c r="N597" s="94" t="s">
        <v>210</v>
      </c>
      <c r="O597" s="94" t="s">
        <v>210</v>
      </c>
      <c r="P597" s="94">
        <v>5</v>
      </c>
      <c r="Q597" s="94">
        <v>1</v>
      </c>
      <c r="R597" s="94" t="s">
        <v>210</v>
      </c>
      <c r="S597" s="94" t="s">
        <v>210</v>
      </c>
      <c r="T597" s="94">
        <v>-8</v>
      </c>
      <c r="U597" s="94">
        <v>-7</v>
      </c>
      <c r="V597" s="94" t="s">
        <v>210</v>
      </c>
      <c r="W597" s="94" t="s">
        <v>210</v>
      </c>
      <c r="X597" s="94">
        <v>2</v>
      </c>
      <c r="Y597" s="94">
        <v>9</v>
      </c>
      <c r="Z597" s="94" t="s">
        <v>210</v>
      </c>
      <c r="AA597" s="94" t="s">
        <v>210</v>
      </c>
      <c r="AB597" s="94">
        <v>-6</v>
      </c>
      <c r="AC597" s="94">
        <v>8</v>
      </c>
      <c r="AD597" s="94" t="s">
        <v>210</v>
      </c>
      <c r="AE597" s="94" t="s">
        <v>210</v>
      </c>
      <c r="AF597" s="94">
        <v>-4</v>
      </c>
      <c r="AG597" s="94">
        <v>-1</v>
      </c>
      <c r="AH597" s="94" t="s">
        <v>210</v>
      </c>
      <c r="AI597" s="94" t="s">
        <v>210</v>
      </c>
      <c r="AJ597" s="94">
        <v>-5</v>
      </c>
      <c r="AK597" s="94">
        <v>-3</v>
      </c>
      <c r="AL597" s="94" t="s">
        <v>210</v>
      </c>
      <c r="AM597" s="94" t="s">
        <v>210</v>
      </c>
      <c r="AN597" s="94" t="s">
        <v>202</v>
      </c>
      <c r="AO597" s="94"/>
      <c r="AP597" s="94"/>
      <c r="AQ597" s="94"/>
      <c r="AR597" s="94"/>
      <c r="AS597" s="94"/>
      <c r="AT597" s="94"/>
      <c r="AU597" s="94"/>
      <c r="AV597" s="94"/>
      <c r="AW597" s="94"/>
      <c r="AX597" s="94"/>
      <c r="AY597" s="94"/>
      <c r="AZ597" s="94"/>
      <c r="BA597" s="95"/>
    </row>
    <row r="598" spans="1:53" s="87" customFormat="1">
      <c r="A598" s="90" t="str">
        <f t="shared" si="34"/>
        <v/>
      </c>
      <c r="B598" s="98" t="s">
        <v>530</v>
      </c>
      <c r="C598" s="94"/>
      <c r="D598" s="94"/>
      <c r="E598" s="94"/>
      <c r="F598" s="94"/>
      <c r="G598" s="94"/>
      <c r="H598" s="94"/>
      <c r="I598" s="94"/>
      <c r="J598" s="94"/>
      <c r="K598" s="94"/>
      <c r="L598" s="94"/>
      <c r="M598" s="94"/>
      <c r="N598" s="94"/>
      <c r="O598" s="94"/>
      <c r="P598" s="94"/>
      <c r="Q598" s="94"/>
      <c r="R598" s="94"/>
      <c r="S598" s="94"/>
      <c r="T598" s="94"/>
      <c r="U598" s="94"/>
      <c r="V598" s="94"/>
      <c r="W598" s="94"/>
      <c r="X598" s="94"/>
      <c r="Y598" s="94"/>
      <c r="Z598" s="94"/>
      <c r="AA598" s="94"/>
      <c r="AB598" s="94"/>
      <c r="AC598" s="94"/>
      <c r="AD598" s="94"/>
      <c r="AE598" s="94"/>
      <c r="AF598" s="94"/>
      <c r="AG598" s="94"/>
      <c r="AH598" s="94"/>
      <c r="AI598" s="94"/>
      <c r="AJ598" s="94"/>
      <c r="AK598" s="94"/>
      <c r="AL598" s="94"/>
      <c r="AM598" s="94"/>
      <c r="AN598" s="94"/>
      <c r="AO598" s="94"/>
      <c r="AP598" s="94"/>
      <c r="AQ598" s="94"/>
      <c r="AR598" s="94"/>
      <c r="AS598" s="94"/>
      <c r="AT598" s="94"/>
      <c r="AU598" s="94"/>
      <c r="AV598" s="94"/>
      <c r="AW598" s="94"/>
      <c r="AX598" s="94"/>
      <c r="AY598" s="94"/>
      <c r="AZ598" s="94"/>
      <c r="BA598" s="95"/>
    </row>
    <row r="599" spans="1:53" s="87" customFormat="1" ht="13">
      <c r="A599" s="90">
        <f t="shared" si="34"/>
        <v>599</v>
      </c>
      <c r="B599" t="s">
        <v>815</v>
      </c>
      <c r="C599"/>
      <c r="D599"/>
      <c r="E599"/>
      <c r="F599"/>
      <c r="G599"/>
      <c r="H599"/>
      <c r="I599"/>
      <c r="J599"/>
      <c r="K599"/>
      <c r="L599"/>
      <c r="M599"/>
      <c r="N599"/>
      <c r="O599"/>
      <c r="P599"/>
      <c r="Q599" s="94"/>
      <c r="R599" s="94"/>
      <c r="S599" s="94"/>
      <c r="T599" s="94"/>
      <c r="U599" s="94"/>
      <c r="V599" s="94"/>
      <c r="W599" s="94"/>
      <c r="X599" s="94"/>
      <c r="Y599" s="94"/>
      <c r="Z599" s="94"/>
      <c r="AA599" s="94"/>
      <c r="AB599" s="94"/>
      <c r="AC599" s="94"/>
      <c r="AD599" s="94"/>
      <c r="AE599" s="94"/>
      <c r="AF599" s="94"/>
      <c r="AG599" s="94"/>
      <c r="AH599" s="94"/>
      <c r="AI599" s="94"/>
      <c r="AJ599" s="94"/>
      <c r="AK599" s="94"/>
      <c r="AL599" s="94"/>
      <c r="AM599" s="94"/>
      <c r="AN599" s="94"/>
      <c r="AO599" s="94"/>
      <c r="AP599" s="94"/>
      <c r="AQ599" s="94"/>
      <c r="AR599" s="94"/>
      <c r="AS599" s="94"/>
      <c r="AT599" s="94"/>
      <c r="AU599" s="94"/>
      <c r="AV599" s="94"/>
      <c r="AW599" s="94"/>
      <c r="AX599" s="94"/>
      <c r="AY599" s="94"/>
      <c r="AZ599" s="94"/>
      <c r="BA599" s="95"/>
    </row>
    <row r="600" spans="1:53" s="87" customFormat="1" ht="13">
      <c r="A600" s="90" t="str">
        <f t="shared" si="34"/>
        <v/>
      </c>
      <c r="B600">
        <v>1</v>
      </c>
      <c r="C600">
        <v>-3</v>
      </c>
      <c r="D600" t="s">
        <v>210</v>
      </c>
      <c r="E600">
        <v>-2</v>
      </c>
      <c r="F600" t="s">
        <v>210</v>
      </c>
      <c r="G600" t="s">
        <v>210</v>
      </c>
      <c r="H600">
        <v>6</v>
      </c>
      <c r="I600">
        <v>3</v>
      </c>
      <c r="J600" t="s">
        <v>210</v>
      </c>
      <c r="K600" t="s">
        <v>210</v>
      </c>
      <c r="L600">
        <v>-4</v>
      </c>
      <c r="M600">
        <v>8</v>
      </c>
      <c r="N600" t="s">
        <v>210</v>
      </c>
      <c r="O600" t="s">
        <v>210</v>
      </c>
      <c r="P600">
        <v>5</v>
      </c>
      <c r="Q600" s="94"/>
      <c r="R600" s="94"/>
      <c r="S600" s="94"/>
      <c r="T600" s="94"/>
      <c r="U600" s="94"/>
      <c r="V600" s="94"/>
      <c r="W600" s="94"/>
      <c r="X600" s="94"/>
      <c r="Y600" s="94"/>
      <c r="Z600" s="94"/>
      <c r="AA600" s="94"/>
      <c r="AB600" s="94"/>
      <c r="AC600" s="94"/>
      <c r="AD600" s="94"/>
      <c r="AE600" s="94"/>
      <c r="AF600" s="94"/>
      <c r="AG600" s="94"/>
      <c r="AH600" s="94"/>
      <c r="AI600" s="94"/>
      <c r="AJ600" s="94"/>
      <c r="AK600" s="94"/>
      <c r="AL600" s="94"/>
      <c r="AM600" s="94"/>
      <c r="AN600" s="94"/>
      <c r="AO600" s="94"/>
      <c r="AP600" s="94"/>
      <c r="AQ600" s="94"/>
      <c r="AR600" s="94"/>
      <c r="AS600" s="94"/>
      <c r="AT600" s="94"/>
      <c r="AU600" s="94"/>
      <c r="AV600" s="94"/>
      <c r="AW600" s="94"/>
      <c r="AX600" s="94"/>
      <c r="AY600" s="94"/>
      <c r="AZ600" s="94"/>
      <c r="BA600" s="95"/>
    </row>
    <row r="601" spans="1:53" s="87" customFormat="1" ht="13">
      <c r="A601" s="90" t="str">
        <f t="shared" si="34"/>
        <v/>
      </c>
      <c r="B601">
        <v>2</v>
      </c>
      <c r="C601" t="s">
        <v>210</v>
      </c>
      <c r="D601">
        <v>8</v>
      </c>
      <c r="E601">
        <v>1</v>
      </c>
      <c r="F601" t="s">
        <v>210</v>
      </c>
      <c r="G601">
        <v>-6</v>
      </c>
      <c r="H601" t="s">
        <v>210</v>
      </c>
      <c r="I601">
        <v>-2</v>
      </c>
      <c r="J601" t="s">
        <v>210</v>
      </c>
      <c r="K601" t="s">
        <v>210</v>
      </c>
      <c r="L601">
        <v>6</v>
      </c>
      <c r="M601">
        <v>-1</v>
      </c>
      <c r="N601" t="s">
        <v>210</v>
      </c>
      <c r="O601" t="s">
        <v>210</v>
      </c>
      <c r="P601">
        <v>-5</v>
      </c>
      <c r="Q601" s="94"/>
      <c r="R601" s="94"/>
      <c r="S601" s="94"/>
      <c r="T601" s="94"/>
      <c r="U601" s="94"/>
      <c r="V601" s="94"/>
      <c r="W601" s="94"/>
      <c r="X601" s="94"/>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AZ601" s="94"/>
      <c r="BA601" s="95"/>
    </row>
    <row r="602" spans="1:53" s="87" customFormat="1" ht="13">
      <c r="A602" s="90" t="str">
        <f t="shared" si="34"/>
        <v/>
      </c>
      <c r="B602">
        <v>3</v>
      </c>
      <c r="C602">
        <v>-4</v>
      </c>
      <c r="D602" t="s">
        <v>210</v>
      </c>
      <c r="E602">
        <v>8</v>
      </c>
      <c r="F602" t="s">
        <v>210</v>
      </c>
      <c r="G602" t="s">
        <v>210</v>
      </c>
      <c r="H602">
        <v>-6</v>
      </c>
      <c r="I602">
        <v>2</v>
      </c>
      <c r="J602" t="s">
        <v>210</v>
      </c>
      <c r="K602" t="s">
        <v>210</v>
      </c>
      <c r="L602">
        <v>-5</v>
      </c>
      <c r="M602">
        <v>3</v>
      </c>
      <c r="N602" t="s">
        <v>210</v>
      </c>
      <c r="O602" t="s">
        <v>210</v>
      </c>
      <c r="P602">
        <v>6</v>
      </c>
      <c r="Q602" s="94"/>
      <c r="R602" s="94"/>
      <c r="S602" s="94"/>
      <c r="T602" s="94"/>
      <c r="U602" s="94"/>
      <c r="V602" s="94"/>
      <c r="W602" s="94"/>
      <c r="X602" s="94"/>
      <c r="Y602" s="94"/>
      <c r="Z602" s="94"/>
      <c r="AA602" s="94"/>
      <c r="AB602" s="94"/>
      <c r="AC602" s="94"/>
      <c r="AD602" s="94"/>
      <c r="AE602" s="94"/>
      <c r="AF602" s="94"/>
      <c r="AG602" s="94"/>
      <c r="AH602" s="94"/>
      <c r="AI602" s="94"/>
      <c r="AJ602" s="94"/>
      <c r="AK602" s="94"/>
      <c r="AL602" s="94"/>
      <c r="AM602" s="94"/>
      <c r="AN602" s="94"/>
      <c r="AO602" s="94"/>
      <c r="AP602" s="94"/>
      <c r="AQ602" s="94"/>
      <c r="AR602" s="94"/>
      <c r="AS602" s="94"/>
      <c r="AT602" s="94"/>
      <c r="AU602" s="94"/>
      <c r="AV602" s="94"/>
      <c r="AW602" s="94"/>
      <c r="AX602" s="94"/>
      <c r="AY602" s="94"/>
      <c r="AZ602" s="94"/>
      <c r="BA602" s="95"/>
    </row>
    <row r="603" spans="1:53" s="87" customFormat="1" ht="13">
      <c r="A603" s="90" t="str">
        <f t="shared" si="34"/>
        <v/>
      </c>
      <c r="B603">
        <v>4</v>
      </c>
      <c r="C603" t="s">
        <v>210</v>
      </c>
      <c r="D603">
        <v>-5</v>
      </c>
      <c r="E603">
        <v>9</v>
      </c>
      <c r="F603" t="s">
        <v>210</v>
      </c>
      <c r="G603">
        <v>6</v>
      </c>
      <c r="H603" t="s">
        <v>210</v>
      </c>
      <c r="I603">
        <v>-3</v>
      </c>
      <c r="J603" t="s">
        <v>210</v>
      </c>
      <c r="K603" t="s">
        <v>210</v>
      </c>
      <c r="L603">
        <v>-7</v>
      </c>
      <c r="M603">
        <v>2</v>
      </c>
      <c r="N603" t="s">
        <v>210</v>
      </c>
      <c r="O603" t="s">
        <v>210</v>
      </c>
      <c r="P603">
        <v>-6</v>
      </c>
      <c r="Q603" s="94"/>
      <c r="R603" s="94"/>
      <c r="S603" s="94"/>
      <c r="T603" s="94"/>
      <c r="U603" s="94"/>
      <c r="V603" s="94"/>
      <c r="W603" s="94"/>
      <c r="X603" s="94"/>
      <c r="Y603" s="94"/>
      <c r="Z603" s="94"/>
      <c r="AA603" s="94"/>
      <c r="AB603" s="94"/>
      <c r="AC603" s="94"/>
      <c r="AD603" s="94"/>
      <c r="AE603" s="94"/>
      <c r="AF603" s="94"/>
      <c r="AG603" s="94"/>
      <c r="AH603" s="94"/>
      <c r="AI603" s="94"/>
      <c r="AJ603" s="94"/>
      <c r="AK603" s="94"/>
      <c r="AL603" s="94"/>
      <c r="AM603" s="94"/>
      <c r="AN603" s="94"/>
      <c r="AO603" s="94"/>
      <c r="AP603" s="94"/>
      <c r="AQ603" s="94"/>
      <c r="AR603" s="94"/>
      <c r="AS603" s="94"/>
      <c r="AT603" s="94"/>
      <c r="AU603" s="94"/>
      <c r="AV603" s="94"/>
      <c r="AW603" s="94"/>
      <c r="AX603" s="94"/>
      <c r="AY603" s="94"/>
      <c r="AZ603" s="94"/>
      <c r="BA603" s="95"/>
    </row>
    <row r="604" spans="1:53" s="87" customFormat="1" ht="13">
      <c r="A604" s="90" t="str">
        <f t="shared" si="34"/>
        <v/>
      </c>
      <c r="B604">
        <v>5</v>
      </c>
      <c r="C604" t="s">
        <v>210</v>
      </c>
      <c r="D604">
        <v>-8</v>
      </c>
      <c r="E604">
        <v>2</v>
      </c>
      <c r="F604" t="s">
        <v>210</v>
      </c>
      <c r="G604">
        <v>-7</v>
      </c>
      <c r="H604" t="s">
        <v>210</v>
      </c>
      <c r="I604">
        <v>-1</v>
      </c>
      <c r="J604" t="s">
        <v>210</v>
      </c>
      <c r="K604" t="s">
        <v>210</v>
      </c>
      <c r="L604">
        <v>5</v>
      </c>
      <c r="M604">
        <v>-2</v>
      </c>
      <c r="N604" t="s">
        <v>210</v>
      </c>
      <c r="O604" t="s">
        <v>210</v>
      </c>
      <c r="P604">
        <v>4</v>
      </c>
      <c r="Q604" s="94"/>
      <c r="R604" s="94"/>
      <c r="S604" s="94"/>
      <c r="T604" s="94"/>
      <c r="U604" s="94"/>
      <c r="V604" s="94"/>
      <c r="W604" s="94"/>
      <c r="X604" s="94"/>
      <c r="Y604" s="94"/>
      <c r="Z604" s="94"/>
      <c r="AA604" s="94"/>
      <c r="AB604" s="94"/>
      <c r="AC604" s="94"/>
      <c r="AD604" s="94"/>
      <c r="AE604" s="94"/>
      <c r="AF604" s="94"/>
      <c r="AG604" s="94"/>
      <c r="AH604" s="94"/>
      <c r="AI604" s="94"/>
      <c r="AJ604" s="94"/>
      <c r="AK604" s="94"/>
      <c r="AL604" s="94"/>
      <c r="AM604" s="94"/>
      <c r="AN604" s="94"/>
      <c r="AO604" s="94"/>
      <c r="AP604" s="94"/>
      <c r="AQ604" s="94"/>
      <c r="AR604" s="94"/>
      <c r="AS604" s="94"/>
      <c r="AT604" s="94"/>
      <c r="AU604" s="94"/>
      <c r="AV604" s="94"/>
      <c r="AW604" s="94"/>
      <c r="AX604" s="94"/>
      <c r="AY604" s="94"/>
      <c r="AZ604" s="94"/>
      <c r="BA604" s="95"/>
    </row>
    <row r="605" spans="1:53" s="87" customFormat="1" ht="13">
      <c r="A605" s="90" t="str">
        <f t="shared" si="34"/>
        <v/>
      </c>
      <c r="B605">
        <v>6</v>
      </c>
      <c r="C605">
        <v>3</v>
      </c>
      <c r="D605" t="s">
        <v>210</v>
      </c>
      <c r="E605">
        <v>-1</v>
      </c>
      <c r="F605" t="s">
        <v>210</v>
      </c>
      <c r="G605" t="s">
        <v>210</v>
      </c>
      <c r="H605">
        <v>-5</v>
      </c>
      <c r="I605">
        <v>9</v>
      </c>
      <c r="J605" t="s">
        <v>210</v>
      </c>
      <c r="K605" t="s">
        <v>210</v>
      </c>
      <c r="L605">
        <v>7</v>
      </c>
      <c r="M605">
        <v>-3</v>
      </c>
      <c r="N605" t="s">
        <v>210</v>
      </c>
      <c r="O605" t="s">
        <v>210</v>
      </c>
      <c r="P605">
        <v>-4</v>
      </c>
      <c r="Q605" s="94"/>
      <c r="R605" s="94"/>
      <c r="S605" s="94"/>
      <c r="T605" s="94"/>
      <c r="U605" s="94"/>
      <c r="V605" s="94"/>
      <c r="W605" s="94"/>
      <c r="X605" s="94"/>
      <c r="Y605" s="94"/>
      <c r="Z605" s="94"/>
      <c r="AA605" s="94"/>
      <c r="AB605" s="94"/>
      <c r="AC605" s="94"/>
      <c r="AD605" s="94"/>
      <c r="AE605" s="94"/>
      <c r="AF605" s="94"/>
      <c r="AG605" s="94"/>
      <c r="AH605" s="94"/>
      <c r="AI605" s="94"/>
      <c r="AJ605" s="94"/>
      <c r="AK605" s="94"/>
      <c r="AL605" s="94"/>
      <c r="AM605" s="94"/>
      <c r="AN605" s="94"/>
      <c r="AO605" s="94"/>
      <c r="AP605" s="94"/>
      <c r="AQ605" s="94"/>
      <c r="AR605" s="94"/>
      <c r="AS605" s="94"/>
      <c r="AT605" s="94"/>
      <c r="AU605" s="94"/>
      <c r="AV605" s="94"/>
      <c r="AW605" s="94"/>
      <c r="AX605" s="94"/>
      <c r="AY605" s="94"/>
      <c r="AZ605" s="94"/>
      <c r="BA605" s="95"/>
    </row>
    <row r="606" spans="1:53" s="87" customFormat="1" ht="13">
      <c r="A606" s="90" t="str">
        <f t="shared" si="34"/>
        <v/>
      </c>
      <c r="B606">
        <v>7</v>
      </c>
      <c r="C606" t="s">
        <v>210</v>
      </c>
      <c r="D606">
        <v>5</v>
      </c>
      <c r="E606">
        <v>-8</v>
      </c>
      <c r="F606" t="s">
        <v>210</v>
      </c>
      <c r="G606">
        <v>7</v>
      </c>
      <c r="H606" t="s">
        <v>210</v>
      </c>
      <c r="I606">
        <v>-9</v>
      </c>
      <c r="J606" t="s">
        <v>210</v>
      </c>
      <c r="K606" t="s">
        <v>210</v>
      </c>
      <c r="L606">
        <v>4</v>
      </c>
      <c r="M606">
        <v>1</v>
      </c>
      <c r="N606" t="s">
        <v>210</v>
      </c>
      <c r="O606" t="s">
        <v>210</v>
      </c>
      <c r="P606">
        <v>-7</v>
      </c>
      <c r="Q606" s="94"/>
      <c r="R606" s="94"/>
      <c r="S606" s="94"/>
      <c r="T606" s="94"/>
      <c r="U606" s="94"/>
      <c r="V606" s="94"/>
      <c r="W606" s="94"/>
      <c r="X606" s="94"/>
      <c r="Y606" s="94"/>
      <c r="Z606" s="94"/>
      <c r="AA606" s="94"/>
      <c r="AB606" s="94"/>
      <c r="AC606" s="94"/>
      <c r="AD606" s="94"/>
      <c r="AE606" s="94"/>
      <c r="AF606" s="94"/>
      <c r="AG606" s="94"/>
      <c r="AH606" s="94"/>
      <c r="AI606" s="94"/>
      <c r="AJ606" s="94"/>
      <c r="AK606" s="94"/>
      <c r="AL606" s="94"/>
      <c r="AM606" s="94"/>
      <c r="AN606" s="94"/>
      <c r="AO606" s="94"/>
      <c r="AP606" s="94"/>
      <c r="AQ606" s="94"/>
      <c r="AR606" s="94"/>
      <c r="AS606" s="94"/>
      <c r="AT606" s="94"/>
      <c r="AU606" s="94"/>
      <c r="AV606" s="94"/>
      <c r="AW606" s="94"/>
      <c r="AX606" s="94"/>
      <c r="AY606" s="94"/>
      <c r="AZ606" s="94"/>
      <c r="BA606" s="95"/>
    </row>
    <row r="607" spans="1:53" s="87" customFormat="1" ht="13">
      <c r="A607" s="90" t="str">
        <f t="shared" si="34"/>
        <v/>
      </c>
      <c r="B607">
        <v>8</v>
      </c>
      <c r="C607" s="27">
        <v>4</v>
      </c>
      <c r="D607" s="27" t="s">
        <v>210</v>
      </c>
      <c r="E607" s="27">
        <v>-9</v>
      </c>
      <c r="F607" s="27" t="s">
        <v>210</v>
      </c>
      <c r="G607" s="27" t="s">
        <v>210</v>
      </c>
      <c r="H607" s="27">
        <v>5</v>
      </c>
      <c r="I607" s="27">
        <v>1</v>
      </c>
      <c r="J607" s="27" t="s">
        <v>210</v>
      </c>
      <c r="K607" s="27" t="s">
        <v>210</v>
      </c>
      <c r="L607" s="27">
        <v>-6</v>
      </c>
      <c r="M607" s="27">
        <v>-8</v>
      </c>
      <c r="N607" s="27" t="s">
        <v>210</v>
      </c>
      <c r="O607" s="27" t="s">
        <v>210</v>
      </c>
      <c r="P607" s="27">
        <v>7</v>
      </c>
      <c r="Q607" s="94"/>
      <c r="R607" s="94"/>
      <c r="S607" s="94"/>
      <c r="T607" s="94"/>
      <c r="U607" s="94"/>
      <c r="V607" s="94"/>
      <c r="W607" s="94"/>
      <c r="X607" s="94"/>
      <c r="Y607" s="94"/>
      <c r="Z607" s="94"/>
      <c r="AA607" s="94"/>
      <c r="AB607" s="94"/>
      <c r="AC607" s="94"/>
      <c r="AD607" s="94"/>
      <c r="AE607" s="94"/>
      <c r="AF607" s="94"/>
      <c r="AG607" s="94"/>
      <c r="AH607" s="94"/>
      <c r="AI607" s="94"/>
      <c r="AJ607" s="94"/>
      <c r="AK607" s="94"/>
      <c r="AL607" s="94"/>
      <c r="AM607" s="94"/>
      <c r="AN607" s="94"/>
      <c r="AO607" s="94"/>
      <c r="AP607" s="94"/>
      <c r="AQ607" s="94"/>
      <c r="AR607" s="94"/>
      <c r="AS607" s="94"/>
      <c r="AT607" s="94"/>
      <c r="AU607" s="94"/>
      <c r="AV607" s="94"/>
      <c r="AW607" s="94"/>
      <c r="AX607" s="94"/>
      <c r="AY607" s="94"/>
      <c r="AZ607" s="94"/>
      <c r="BA607" s="95"/>
    </row>
    <row r="608" spans="1:53" s="87" customFormat="1" ht="13">
      <c r="A608" s="90" t="str">
        <f t="shared" si="34"/>
        <v/>
      </c>
      <c r="B608">
        <v>9</v>
      </c>
      <c r="C608" t="s">
        <v>210</v>
      </c>
      <c r="D608">
        <v>-6</v>
      </c>
      <c r="E608">
        <v>7</v>
      </c>
      <c r="F608" t="s">
        <v>210</v>
      </c>
      <c r="G608" t="s">
        <v>210</v>
      </c>
      <c r="H608">
        <v>4</v>
      </c>
      <c r="I608">
        <v>-5</v>
      </c>
      <c r="J608" t="s">
        <v>210</v>
      </c>
      <c r="K608" t="s">
        <v>210</v>
      </c>
      <c r="L608">
        <v>8</v>
      </c>
      <c r="M608">
        <v>-7</v>
      </c>
      <c r="N608" t="s">
        <v>210</v>
      </c>
      <c r="O608" t="s">
        <v>210</v>
      </c>
      <c r="P608">
        <v>-3</v>
      </c>
      <c r="Q608" s="94"/>
      <c r="R608" s="94"/>
      <c r="S608" s="94"/>
      <c r="T608" s="94"/>
      <c r="U608" s="94"/>
      <c r="V608" s="94"/>
      <c r="W608" s="94"/>
      <c r="X608" s="94"/>
      <c r="Y608" s="94"/>
      <c r="Z608" s="94"/>
      <c r="AA608" s="94"/>
      <c r="AB608" s="94"/>
      <c r="AC608" s="94"/>
      <c r="AD608" s="94"/>
      <c r="AE608" s="94"/>
      <c r="AF608" s="94"/>
      <c r="AG608" s="94"/>
      <c r="AH608" s="94"/>
      <c r="AI608" s="94"/>
      <c r="AJ608" s="94"/>
      <c r="AK608" s="94"/>
      <c r="AL608" s="94"/>
      <c r="AM608" s="94"/>
      <c r="AN608" s="94"/>
      <c r="AO608" s="94"/>
      <c r="AP608" s="94"/>
      <c r="AQ608" s="94"/>
      <c r="AR608" s="94"/>
      <c r="AS608" s="94"/>
      <c r="AT608" s="94"/>
      <c r="AU608" s="94"/>
      <c r="AV608" s="94"/>
      <c r="AW608" s="94"/>
      <c r="AX608" s="94"/>
      <c r="AY608" s="94"/>
      <c r="AZ608" s="94"/>
      <c r="BA608" s="95"/>
    </row>
    <row r="609" spans="1:53" s="87" customFormat="1" ht="13">
      <c r="A609" s="90" t="str">
        <f t="shared" si="34"/>
        <v/>
      </c>
      <c r="B609">
        <v>10</v>
      </c>
      <c r="C609" t="s">
        <v>210</v>
      </c>
      <c r="D609">
        <v>1</v>
      </c>
      <c r="E609">
        <v>-3</v>
      </c>
      <c r="F609" t="s">
        <v>210</v>
      </c>
      <c r="G609" t="s">
        <v>210</v>
      </c>
      <c r="H609">
        <v>9</v>
      </c>
      <c r="I609">
        <v>-7</v>
      </c>
      <c r="J609" t="s">
        <v>210</v>
      </c>
      <c r="K609" t="s">
        <v>210</v>
      </c>
      <c r="L609">
        <v>2</v>
      </c>
      <c r="M609">
        <v>-5</v>
      </c>
      <c r="N609" t="s">
        <v>210</v>
      </c>
      <c r="O609" t="s">
        <v>210</v>
      </c>
      <c r="P609">
        <v>3</v>
      </c>
      <c r="Q609" s="94"/>
      <c r="R609" s="94"/>
      <c r="S609" s="94"/>
      <c r="T609" s="94"/>
      <c r="U609" s="94"/>
      <c r="V609" s="94"/>
      <c r="W609" s="94"/>
      <c r="X609" s="94"/>
      <c r="Y609" s="94"/>
      <c r="Z609" s="94"/>
      <c r="AA609" s="94"/>
      <c r="AB609" s="94"/>
      <c r="AC609" s="94"/>
      <c r="AD609" s="94"/>
      <c r="AE609" s="94"/>
      <c r="AF609" s="94"/>
      <c r="AG609" s="94"/>
      <c r="AH609" s="94"/>
      <c r="AI609" s="94"/>
      <c r="AJ609" s="94"/>
      <c r="AK609" s="94"/>
      <c r="AL609" s="94"/>
      <c r="AM609" s="94"/>
      <c r="AN609" s="94"/>
      <c r="AO609" s="94"/>
      <c r="AP609" s="94"/>
      <c r="AQ609" s="94"/>
      <c r="AR609" s="94"/>
      <c r="AS609" s="94"/>
      <c r="AT609" s="94"/>
      <c r="AU609" s="94"/>
      <c r="AV609" s="94"/>
      <c r="AW609" s="94"/>
      <c r="AX609" s="94"/>
      <c r="AY609" s="94"/>
      <c r="AZ609" s="94"/>
      <c r="BA609" s="95"/>
    </row>
    <row r="610" spans="1:53" s="87" customFormat="1" ht="13">
      <c r="A610" s="90" t="str">
        <f t="shared" si="34"/>
        <v/>
      </c>
      <c r="B610">
        <v>11</v>
      </c>
      <c r="C610" t="s">
        <v>210</v>
      </c>
      <c r="D610">
        <v>-1</v>
      </c>
      <c r="E610">
        <v>-7</v>
      </c>
      <c r="F610" t="s">
        <v>210</v>
      </c>
      <c r="G610" t="s">
        <v>210</v>
      </c>
      <c r="H610">
        <v>8</v>
      </c>
      <c r="I610">
        <v>-4</v>
      </c>
      <c r="J610" t="s">
        <v>210</v>
      </c>
      <c r="K610" t="s">
        <v>210</v>
      </c>
      <c r="L610">
        <v>3</v>
      </c>
      <c r="M610">
        <v>6</v>
      </c>
      <c r="N610" t="s">
        <v>210</v>
      </c>
      <c r="O610" t="s">
        <v>210</v>
      </c>
      <c r="P610">
        <v>-8</v>
      </c>
      <c r="Q610" s="94"/>
      <c r="R610" s="94"/>
      <c r="S610" s="94"/>
      <c r="T610" s="94"/>
      <c r="U610" s="94"/>
      <c r="V610" s="94"/>
      <c r="W610" s="94"/>
      <c r="X610" s="94"/>
      <c r="Y610" s="94"/>
      <c r="Z610" s="94"/>
      <c r="AA610" s="94"/>
      <c r="AB610" s="94"/>
      <c r="AC610" s="94"/>
      <c r="AD610" s="94"/>
      <c r="AE610" s="94"/>
      <c r="AF610" s="94"/>
      <c r="AG610" s="94"/>
      <c r="AH610" s="94"/>
      <c r="AI610" s="94"/>
      <c r="AJ610" s="94"/>
      <c r="AK610" s="94"/>
      <c r="AL610" s="94"/>
      <c r="AM610" s="94"/>
      <c r="AN610" s="94"/>
      <c r="AO610" s="94"/>
      <c r="AP610" s="94"/>
      <c r="AQ610" s="94"/>
      <c r="AR610" s="94"/>
      <c r="AS610" s="94"/>
      <c r="AT610" s="94"/>
      <c r="AU610" s="94"/>
      <c r="AV610" s="94"/>
      <c r="AW610" s="94"/>
      <c r="AX610" s="94"/>
      <c r="AY610" s="94"/>
      <c r="AZ610" s="94"/>
      <c r="BA610" s="95"/>
    </row>
    <row r="611" spans="1:53" s="87" customFormat="1" ht="13">
      <c r="A611" s="90" t="str">
        <f t="shared" si="34"/>
        <v/>
      </c>
      <c r="B611">
        <v>12</v>
      </c>
      <c r="C611" t="s">
        <v>210</v>
      </c>
      <c r="D611">
        <v>6</v>
      </c>
      <c r="E611">
        <v>3</v>
      </c>
      <c r="F611" t="s">
        <v>210</v>
      </c>
      <c r="G611" t="s">
        <v>210</v>
      </c>
      <c r="H611">
        <v>-2</v>
      </c>
      <c r="I611">
        <v>-6</v>
      </c>
      <c r="J611" t="s">
        <v>210</v>
      </c>
      <c r="K611" t="s">
        <v>210</v>
      </c>
      <c r="L611">
        <v>9</v>
      </c>
      <c r="M611">
        <v>-4</v>
      </c>
      <c r="N611" t="s">
        <v>210</v>
      </c>
      <c r="O611" t="s">
        <v>210</v>
      </c>
      <c r="P611">
        <v>8</v>
      </c>
      <c r="Q611" s="94"/>
      <c r="R611" s="94"/>
      <c r="S611" s="94"/>
      <c r="T611" s="94"/>
      <c r="U611" s="94"/>
      <c r="V611" s="94"/>
      <c r="W611" s="94"/>
      <c r="X611" s="94"/>
      <c r="Y611" s="94"/>
      <c r="Z611" s="94"/>
      <c r="AA611" s="94"/>
      <c r="AB611" s="94"/>
      <c r="AC611" s="94"/>
      <c r="AD611" s="94"/>
      <c r="AE611" s="94"/>
      <c r="AF611" s="94"/>
      <c r="AG611" s="94"/>
      <c r="AH611" s="94"/>
      <c r="AI611" s="94"/>
      <c r="AJ611" s="94"/>
      <c r="AK611" s="94"/>
      <c r="AL611" s="94"/>
      <c r="AM611" s="94"/>
      <c r="AN611" s="94"/>
      <c r="AO611" s="94"/>
      <c r="AP611" s="94"/>
      <c r="AQ611" s="94"/>
      <c r="AR611" s="94"/>
      <c r="AS611" s="94"/>
      <c r="AT611" s="94"/>
      <c r="AU611" s="94"/>
      <c r="AV611" s="94"/>
      <c r="AW611" s="94"/>
      <c r="AX611" s="94"/>
      <c r="AY611" s="94"/>
      <c r="AZ611" s="94"/>
      <c r="BA611" s="95"/>
    </row>
    <row r="612" spans="1:53" s="87" customFormat="1" ht="13">
      <c r="A612" s="90" t="str">
        <f t="shared" si="34"/>
        <v/>
      </c>
      <c r="B612">
        <v>13</v>
      </c>
      <c r="C612" t="s">
        <v>210</v>
      </c>
      <c r="D612">
        <v>-2</v>
      </c>
      <c r="E612">
        <v>5</v>
      </c>
      <c r="F612" t="s">
        <v>210</v>
      </c>
      <c r="G612" t="s">
        <v>210</v>
      </c>
      <c r="H612">
        <v>-4</v>
      </c>
      <c r="I612">
        <v>7</v>
      </c>
      <c r="J612" t="s">
        <v>210</v>
      </c>
      <c r="K612" t="s">
        <v>210</v>
      </c>
      <c r="L612">
        <v>-9</v>
      </c>
      <c r="M612">
        <v>-6</v>
      </c>
      <c r="N612" t="s">
        <v>210</v>
      </c>
      <c r="O612" t="s">
        <v>210</v>
      </c>
      <c r="P612">
        <v>2</v>
      </c>
      <c r="Q612" s="94"/>
      <c r="R612" s="94"/>
      <c r="S612" s="94"/>
      <c r="T612" s="94"/>
      <c r="U612" s="94"/>
      <c r="V612" s="94"/>
      <c r="W612" s="94"/>
      <c r="X612" s="94"/>
      <c r="Y612" s="94"/>
      <c r="Z612" s="94"/>
      <c r="AA612" s="94"/>
      <c r="AB612" s="94"/>
      <c r="AC612" s="94"/>
      <c r="AD612" s="94"/>
      <c r="AE612" s="94"/>
      <c r="AF612" s="94"/>
      <c r="AG612" s="94"/>
      <c r="AH612" s="94"/>
      <c r="AI612" s="94"/>
      <c r="AJ612" s="94"/>
      <c r="AK612" s="94"/>
      <c r="AL612" s="94"/>
      <c r="AM612" s="94"/>
      <c r="AN612" s="94"/>
      <c r="AO612" s="94"/>
      <c r="AP612" s="94"/>
      <c r="AQ612" s="94"/>
      <c r="AR612" s="94"/>
      <c r="AS612" s="94"/>
      <c r="AT612" s="94"/>
      <c r="AU612" s="94"/>
      <c r="AV612" s="94"/>
      <c r="AW612" s="94"/>
      <c r="AX612" s="94"/>
      <c r="AY612" s="94"/>
      <c r="AZ612" s="94"/>
      <c r="BA612" s="95"/>
    </row>
    <row r="613" spans="1:53" s="87" customFormat="1" ht="13">
      <c r="A613" s="90" t="str">
        <f t="shared" si="34"/>
        <v/>
      </c>
      <c r="B613">
        <v>14</v>
      </c>
      <c r="C613" t="s">
        <v>210</v>
      </c>
      <c r="D613">
        <v>7</v>
      </c>
      <c r="E613">
        <v>-4</v>
      </c>
      <c r="F613" t="s">
        <v>210</v>
      </c>
      <c r="G613" t="s">
        <v>210</v>
      </c>
      <c r="H613">
        <v>-9</v>
      </c>
      <c r="I613">
        <v>5</v>
      </c>
      <c r="J613" t="s">
        <v>210</v>
      </c>
      <c r="K613" t="s">
        <v>210</v>
      </c>
      <c r="L613">
        <v>-3</v>
      </c>
      <c r="M613">
        <v>4</v>
      </c>
      <c r="N613" t="s">
        <v>210</v>
      </c>
      <c r="O613" t="s">
        <v>210</v>
      </c>
      <c r="P613">
        <v>-2</v>
      </c>
      <c r="Q613" s="94"/>
      <c r="R613" s="94"/>
      <c r="S613" s="94"/>
      <c r="T613" s="94"/>
      <c r="U613" s="94"/>
      <c r="V613" s="94"/>
      <c r="W613" s="94"/>
      <c r="X613" s="94"/>
      <c r="Y613" s="94"/>
      <c r="Z613" s="94"/>
      <c r="AA613" s="94"/>
      <c r="AB613" s="94"/>
      <c r="AC613" s="94"/>
      <c r="AD613" s="94"/>
      <c r="AE613" s="94"/>
      <c r="AF613" s="94"/>
      <c r="AG613" s="94"/>
      <c r="AH613" s="94"/>
      <c r="AI613" s="94"/>
      <c r="AJ613" s="94"/>
      <c r="AK613" s="94"/>
      <c r="AL613" s="94"/>
      <c r="AM613" s="94"/>
      <c r="AN613" s="94"/>
      <c r="AO613" s="94"/>
      <c r="AP613" s="94"/>
      <c r="AQ613" s="94"/>
      <c r="AR613" s="94"/>
      <c r="AS613" s="94"/>
      <c r="AT613" s="94"/>
      <c r="AU613" s="94"/>
      <c r="AV613" s="94"/>
      <c r="AW613" s="94"/>
      <c r="AX613" s="94"/>
      <c r="AY613" s="94"/>
      <c r="AZ613" s="94"/>
      <c r="BA613" s="95"/>
    </row>
    <row r="614" spans="1:53" s="87" customFormat="1" ht="13">
      <c r="A614" s="90" t="str">
        <f t="shared" si="34"/>
        <v/>
      </c>
      <c r="B614">
        <v>15</v>
      </c>
      <c r="C614" t="s">
        <v>210</v>
      </c>
      <c r="D614">
        <v>-7</v>
      </c>
      <c r="E614">
        <v>-5</v>
      </c>
      <c r="F614" t="s">
        <v>210</v>
      </c>
      <c r="G614" t="s">
        <v>210</v>
      </c>
      <c r="H614">
        <v>2</v>
      </c>
      <c r="I614">
        <v>4</v>
      </c>
      <c r="J614" t="s">
        <v>210</v>
      </c>
      <c r="K614" t="s">
        <v>210</v>
      </c>
      <c r="L614">
        <v>-8</v>
      </c>
      <c r="M614">
        <v>5</v>
      </c>
      <c r="N614" t="s">
        <v>210</v>
      </c>
      <c r="O614" t="s">
        <v>210</v>
      </c>
      <c r="P614">
        <v>9</v>
      </c>
      <c r="Q614" s="94"/>
      <c r="R614" s="94"/>
      <c r="S614" s="94"/>
      <c r="T614" s="94"/>
      <c r="U614" s="94"/>
      <c r="V614" s="94"/>
      <c r="W614" s="94"/>
      <c r="X614" s="94"/>
      <c r="Y614" s="94"/>
      <c r="Z614" s="94"/>
      <c r="AA614" s="94"/>
      <c r="AB614" s="94"/>
      <c r="AC614" s="94"/>
      <c r="AD614" s="94"/>
      <c r="AE614" s="94"/>
      <c r="AF614" s="94"/>
      <c r="AG614" s="94"/>
      <c r="AH614" s="94"/>
      <c r="AI614" s="94"/>
      <c r="AJ614" s="94"/>
      <c r="AK614" s="94"/>
      <c r="AL614" s="94"/>
      <c r="AM614" s="94"/>
      <c r="AN614" s="94"/>
      <c r="AO614" s="94"/>
      <c r="AP614" s="94"/>
      <c r="AQ614" s="94"/>
      <c r="AR614" s="94"/>
      <c r="AS614" s="94"/>
      <c r="AT614" s="94"/>
      <c r="AU614" s="94"/>
      <c r="AV614" s="94"/>
      <c r="AW614" s="94"/>
      <c r="AX614" s="94"/>
      <c r="AY614" s="94"/>
      <c r="AZ614" s="94"/>
      <c r="BA614" s="95"/>
    </row>
    <row r="615" spans="1:53" s="87" customFormat="1" ht="13">
      <c r="A615" s="90" t="str">
        <f t="shared" si="34"/>
        <v/>
      </c>
      <c r="B615">
        <v>16</v>
      </c>
      <c r="C615" s="27" t="s">
        <v>210</v>
      </c>
      <c r="D615" s="27">
        <v>2</v>
      </c>
      <c r="E615" s="27">
        <v>4</v>
      </c>
      <c r="F615" s="27" t="s">
        <v>210</v>
      </c>
      <c r="G615" s="27" t="s">
        <v>210</v>
      </c>
      <c r="H615" s="27">
        <v>-8</v>
      </c>
      <c r="I615" s="27">
        <v>6</v>
      </c>
      <c r="J615" s="27" t="s">
        <v>210</v>
      </c>
      <c r="K615" s="27" t="s">
        <v>210</v>
      </c>
      <c r="L615" s="27">
        <v>-2</v>
      </c>
      <c r="M615" s="27">
        <v>7</v>
      </c>
      <c r="N615" s="27" t="s">
        <v>210</v>
      </c>
      <c r="O615" s="27" t="s">
        <v>210</v>
      </c>
      <c r="P615" s="27">
        <v>-9</v>
      </c>
      <c r="Q615" s="94"/>
      <c r="R615" s="94"/>
      <c r="S615" s="94"/>
      <c r="T615" s="94"/>
      <c r="U615" s="94"/>
      <c r="V615" s="94"/>
      <c r="W615" s="94"/>
      <c r="X615" s="94"/>
      <c r="Y615" s="94"/>
      <c r="Z615" s="94"/>
      <c r="AA615" s="94"/>
      <c r="AB615" s="94"/>
      <c r="AC615" s="94"/>
      <c r="AD615" s="94"/>
      <c r="AE615" s="94"/>
      <c r="AF615" s="94"/>
      <c r="AG615" s="94"/>
      <c r="AH615" s="94"/>
      <c r="AI615" s="94"/>
      <c r="AJ615" s="94"/>
      <c r="AK615" s="94"/>
      <c r="AL615" s="94"/>
      <c r="AM615" s="94"/>
      <c r="AN615" s="94"/>
      <c r="AO615" s="94"/>
      <c r="AP615" s="94"/>
      <c r="AQ615" s="94"/>
      <c r="AR615" s="94"/>
      <c r="AS615" s="94"/>
      <c r="AT615" s="94"/>
      <c r="AU615" s="94"/>
      <c r="AV615" s="94"/>
      <c r="AW615" s="94"/>
      <c r="AX615" s="94"/>
      <c r="AY615" s="94"/>
      <c r="AZ615" s="94"/>
      <c r="BA615" s="95"/>
    </row>
    <row r="616" spans="1:53" s="87" customFormat="1" ht="13">
      <c r="A616" s="90" t="str">
        <f t="shared" si="34"/>
        <v/>
      </c>
      <c r="B616">
        <v>17</v>
      </c>
      <c r="C616">
        <v>8</v>
      </c>
      <c r="D616" t="s">
        <v>210</v>
      </c>
      <c r="E616">
        <v>-6</v>
      </c>
      <c r="F616" t="s">
        <v>210</v>
      </c>
      <c r="G616" t="s">
        <v>210</v>
      </c>
      <c r="H616">
        <v>-7</v>
      </c>
      <c r="I616" t="s">
        <v>210</v>
      </c>
      <c r="J616">
        <v>4</v>
      </c>
      <c r="K616">
        <v>-2</v>
      </c>
      <c r="L616" t="s">
        <v>210</v>
      </c>
      <c r="M616" t="s">
        <v>210</v>
      </c>
      <c r="N616">
        <v>5</v>
      </c>
      <c r="O616">
        <v>7</v>
      </c>
      <c r="P616" t="s">
        <v>210</v>
      </c>
      <c r="Q616" s="94"/>
      <c r="R616" s="94"/>
      <c r="S616" s="94"/>
      <c r="T616" s="94"/>
      <c r="U616" s="94"/>
      <c r="V616" s="94"/>
      <c r="W616" s="94"/>
      <c r="X616" s="94"/>
      <c r="Y616" s="94"/>
      <c r="Z616" s="94"/>
      <c r="AA616" s="94"/>
      <c r="AB616" s="94"/>
      <c r="AC616" s="94"/>
      <c r="AD616" s="94"/>
      <c r="AE616" s="94"/>
      <c r="AF616" s="94"/>
      <c r="AG616" s="94"/>
      <c r="AH616" s="94"/>
      <c r="AI616" s="94"/>
      <c r="AJ616" s="94"/>
      <c r="AK616" s="94"/>
      <c r="AL616" s="94"/>
      <c r="AM616" s="94"/>
      <c r="AN616" s="94"/>
      <c r="AO616" s="94"/>
      <c r="AP616" s="94"/>
      <c r="AQ616" s="94"/>
      <c r="AR616" s="94"/>
      <c r="AS616" s="94"/>
      <c r="AT616" s="94"/>
      <c r="AU616" s="94"/>
      <c r="AV616" s="94"/>
      <c r="AW616" s="94"/>
      <c r="AX616" s="94"/>
      <c r="AY616" s="94"/>
      <c r="AZ616" s="94"/>
      <c r="BA616" s="95"/>
    </row>
    <row r="617" spans="1:53" s="87" customFormat="1" ht="13">
      <c r="A617" s="90" t="str">
        <f t="shared" si="34"/>
        <v/>
      </c>
      <c r="B617">
        <v>18</v>
      </c>
      <c r="C617">
        <v>-1</v>
      </c>
      <c r="D617" t="s">
        <v>210</v>
      </c>
      <c r="E617" t="s">
        <v>210</v>
      </c>
      <c r="F617">
        <v>7</v>
      </c>
      <c r="G617" t="s">
        <v>210</v>
      </c>
      <c r="H617">
        <v>-3</v>
      </c>
      <c r="I617" t="s">
        <v>210</v>
      </c>
      <c r="J617">
        <v>5</v>
      </c>
      <c r="K617">
        <v>4</v>
      </c>
      <c r="L617" t="s">
        <v>210</v>
      </c>
      <c r="M617">
        <v>-9</v>
      </c>
      <c r="N617" t="s">
        <v>210</v>
      </c>
      <c r="O617">
        <v>-7</v>
      </c>
      <c r="P617" t="s">
        <v>210</v>
      </c>
      <c r="Q617" s="94"/>
      <c r="R617" s="94"/>
      <c r="S617" s="94"/>
      <c r="T617" s="94"/>
      <c r="U617" s="94"/>
      <c r="V617" s="94"/>
      <c r="W617" s="94"/>
      <c r="X617" s="94"/>
      <c r="Y617" s="94"/>
      <c r="Z617" s="94"/>
      <c r="AA617" s="94"/>
      <c r="AB617" s="94"/>
      <c r="AC617" s="94"/>
      <c r="AD617" s="94"/>
      <c r="AE617" s="94"/>
      <c r="AF617" s="94"/>
      <c r="AG617" s="94"/>
      <c r="AH617" s="94"/>
      <c r="AI617" s="94"/>
      <c r="AJ617" s="94"/>
      <c r="AK617" s="94"/>
      <c r="AL617" s="94"/>
      <c r="AM617" s="94"/>
      <c r="AN617" s="94"/>
      <c r="AO617" s="94"/>
      <c r="AP617" s="94"/>
      <c r="AQ617" s="94"/>
      <c r="AR617" s="94"/>
      <c r="AS617" s="94"/>
      <c r="AT617" s="94"/>
      <c r="AU617" s="94"/>
      <c r="AV617" s="94"/>
      <c r="AW617" s="94"/>
      <c r="AX617" s="94"/>
      <c r="AY617" s="94"/>
      <c r="AZ617" s="94"/>
      <c r="BA617" s="95"/>
    </row>
    <row r="618" spans="1:53" s="87" customFormat="1" ht="13">
      <c r="A618" s="90" t="str">
        <f t="shared" si="34"/>
        <v/>
      </c>
      <c r="B618">
        <v>19</v>
      </c>
      <c r="C618" t="s">
        <v>210</v>
      </c>
      <c r="D618">
        <v>-3</v>
      </c>
      <c r="E618" t="s">
        <v>210</v>
      </c>
      <c r="F618">
        <v>2</v>
      </c>
      <c r="G618">
        <v>8</v>
      </c>
      <c r="H618" t="s">
        <v>210</v>
      </c>
      <c r="I618" t="s">
        <v>210</v>
      </c>
      <c r="J618">
        <v>-4</v>
      </c>
      <c r="K618">
        <v>-7</v>
      </c>
      <c r="L618" t="s">
        <v>210</v>
      </c>
      <c r="M618">
        <v>9</v>
      </c>
      <c r="N618" t="s">
        <v>210</v>
      </c>
      <c r="O618">
        <v>-5</v>
      </c>
      <c r="P618" t="s">
        <v>210</v>
      </c>
      <c r="Q618" s="94"/>
      <c r="R618" s="94"/>
      <c r="S618" s="94"/>
      <c r="T618" s="94"/>
      <c r="U618" s="94"/>
      <c r="V618" s="94"/>
      <c r="W618" s="94"/>
      <c r="X618" s="94"/>
      <c r="Y618" s="94"/>
      <c r="Z618" s="94"/>
      <c r="AA618" s="94"/>
      <c r="AB618" s="94"/>
      <c r="AC618" s="94"/>
      <c r="AD618" s="94"/>
      <c r="AE618" s="94"/>
      <c r="AF618" s="94"/>
      <c r="AG618" s="94"/>
      <c r="AH618" s="94"/>
      <c r="AI618" s="94"/>
      <c r="AJ618" s="94"/>
      <c r="AK618" s="94"/>
      <c r="AL618" s="94"/>
      <c r="AM618" s="94"/>
      <c r="AN618" s="94"/>
      <c r="AO618" s="94"/>
      <c r="AP618" s="94"/>
      <c r="AQ618" s="94"/>
      <c r="AR618" s="94"/>
      <c r="AS618" s="94"/>
      <c r="AT618" s="94"/>
      <c r="AU618" s="94"/>
      <c r="AV618" s="94"/>
      <c r="AW618" s="94"/>
      <c r="AX618" s="94"/>
      <c r="AY618" s="94"/>
      <c r="AZ618" s="94"/>
      <c r="BA618" s="95"/>
    </row>
    <row r="619" spans="1:53" s="87" customFormat="1" ht="13">
      <c r="A619" s="90" t="str">
        <f t="shared" si="34"/>
        <v/>
      </c>
      <c r="B619">
        <v>20</v>
      </c>
      <c r="C619">
        <v>-6</v>
      </c>
      <c r="D619" t="s">
        <v>210</v>
      </c>
      <c r="E619" t="s">
        <v>210</v>
      </c>
      <c r="F619">
        <v>-9</v>
      </c>
      <c r="G619" t="s">
        <v>210</v>
      </c>
      <c r="H619">
        <v>7</v>
      </c>
      <c r="I619">
        <v>8</v>
      </c>
      <c r="J619" t="s">
        <v>210</v>
      </c>
      <c r="K619">
        <v>-4</v>
      </c>
      <c r="L619" t="s">
        <v>210</v>
      </c>
      <c r="M619" t="s">
        <v>210</v>
      </c>
      <c r="N619">
        <v>-7</v>
      </c>
      <c r="O619">
        <v>5</v>
      </c>
      <c r="P619" t="s">
        <v>210</v>
      </c>
      <c r="Q619" s="94"/>
      <c r="R619" s="94"/>
      <c r="S619" s="94"/>
      <c r="T619" s="94"/>
      <c r="U619" s="94"/>
      <c r="V619" s="94"/>
      <c r="W619" s="94"/>
      <c r="X619" s="94"/>
      <c r="Y619" s="94"/>
      <c r="Z619" s="94"/>
      <c r="AA619" s="94"/>
      <c r="AB619" s="94"/>
      <c r="AC619" s="94"/>
      <c r="AD619" s="94"/>
      <c r="AE619" s="94"/>
      <c r="AF619" s="94"/>
      <c r="AG619" s="94"/>
      <c r="AH619" s="94"/>
      <c r="AI619" s="94"/>
      <c r="AJ619" s="94"/>
      <c r="AK619" s="94"/>
      <c r="AL619" s="94"/>
      <c r="AM619" s="94"/>
      <c r="AN619" s="94"/>
      <c r="AO619" s="94"/>
      <c r="AP619" s="94"/>
      <c r="AQ619" s="94"/>
      <c r="AR619" s="94"/>
      <c r="AS619" s="94"/>
      <c r="AT619" s="94"/>
      <c r="AU619" s="94"/>
      <c r="AV619" s="94"/>
      <c r="AW619" s="94"/>
      <c r="AX619" s="94"/>
      <c r="AY619" s="94"/>
      <c r="AZ619" s="94"/>
      <c r="BA619" s="95"/>
    </row>
    <row r="620" spans="1:53" s="87" customFormat="1" ht="13">
      <c r="A620" s="90" t="str">
        <f t="shared" si="34"/>
        <v/>
      </c>
      <c r="B620">
        <v>21</v>
      </c>
      <c r="C620">
        <v>-2</v>
      </c>
      <c r="D620" t="s">
        <v>210</v>
      </c>
      <c r="E620" t="s">
        <v>210</v>
      </c>
      <c r="F620">
        <v>5</v>
      </c>
      <c r="G620" t="s">
        <v>210</v>
      </c>
      <c r="H620">
        <v>3</v>
      </c>
      <c r="I620">
        <v>-8</v>
      </c>
      <c r="J620" t="s">
        <v>210</v>
      </c>
      <c r="K620">
        <v>7</v>
      </c>
      <c r="L620" t="s">
        <v>210</v>
      </c>
      <c r="M620" t="s">
        <v>210</v>
      </c>
      <c r="N620">
        <v>-5</v>
      </c>
      <c r="O620">
        <v>9</v>
      </c>
      <c r="P620" t="s">
        <v>210</v>
      </c>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5"/>
    </row>
    <row r="621" spans="1:53" s="87" customFormat="1" ht="13">
      <c r="A621" s="90" t="str">
        <f t="shared" si="34"/>
        <v/>
      </c>
      <c r="B621">
        <v>22</v>
      </c>
      <c r="C621" s="27">
        <v>9</v>
      </c>
      <c r="D621" s="27" t="s">
        <v>210</v>
      </c>
      <c r="E621" s="27" t="s">
        <v>210</v>
      </c>
      <c r="F621" s="27">
        <v>4</v>
      </c>
      <c r="G621" s="27">
        <v>-8</v>
      </c>
      <c r="H621" s="27" t="s">
        <v>210</v>
      </c>
      <c r="I621" s="27" t="s">
        <v>210</v>
      </c>
      <c r="J621" s="27">
        <v>-5</v>
      </c>
      <c r="K621" s="27">
        <v>2</v>
      </c>
      <c r="L621" s="27" t="s">
        <v>210</v>
      </c>
      <c r="M621" s="27" t="s">
        <v>210</v>
      </c>
      <c r="N621" s="27">
        <v>7</v>
      </c>
      <c r="O621" s="27">
        <v>-9</v>
      </c>
      <c r="P621" s="27" t="s">
        <v>210</v>
      </c>
      <c r="Q621" s="94"/>
      <c r="R621" s="94"/>
      <c r="S621" s="94"/>
      <c r="T621" s="94"/>
      <c r="U621" s="94"/>
      <c r="V621" s="94"/>
      <c r="W621" s="94"/>
      <c r="X621" s="94"/>
      <c r="Y621" s="94"/>
      <c r="Z621" s="94"/>
      <c r="AA621" s="94"/>
      <c r="AB621" s="94"/>
      <c r="AC621" s="94"/>
      <c r="AD621" s="94"/>
      <c r="AE621" s="94"/>
      <c r="AF621" s="94"/>
      <c r="AG621" s="94"/>
      <c r="AH621" s="94"/>
      <c r="AI621" s="94"/>
      <c r="AJ621" s="94"/>
      <c r="AK621" s="94"/>
      <c r="AL621" s="94"/>
      <c r="AM621" s="94"/>
      <c r="AN621" s="94"/>
      <c r="AO621" s="94"/>
      <c r="AP621" s="94"/>
      <c r="AQ621" s="94"/>
      <c r="AR621" s="94"/>
      <c r="AS621" s="94"/>
      <c r="AT621" s="94"/>
      <c r="AU621" s="94"/>
      <c r="AV621" s="94"/>
      <c r="AW621" s="94"/>
      <c r="AX621" s="94"/>
      <c r="AY621" s="94"/>
      <c r="AZ621" s="94"/>
      <c r="BA621" s="95"/>
    </row>
    <row r="622" spans="1:53" s="87" customFormat="1" ht="13">
      <c r="A622" s="90" t="str">
        <f t="shared" si="34"/>
        <v/>
      </c>
      <c r="B622">
        <v>23</v>
      </c>
      <c r="C622">
        <v>-8</v>
      </c>
      <c r="D622" t="s">
        <v>210</v>
      </c>
      <c r="E622" t="s">
        <v>210</v>
      </c>
      <c r="F622">
        <v>-7</v>
      </c>
      <c r="G622">
        <v>4</v>
      </c>
      <c r="H622" t="s">
        <v>210</v>
      </c>
      <c r="I622" t="s">
        <v>210</v>
      </c>
      <c r="J622">
        <v>9</v>
      </c>
      <c r="K622">
        <v>-5</v>
      </c>
      <c r="L622" t="s">
        <v>210</v>
      </c>
      <c r="M622" t="s">
        <v>210</v>
      </c>
      <c r="N622">
        <v>-4</v>
      </c>
      <c r="O622">
        <v>6</v>
      </c>
      <c r="P622" t="s">
        <v>210</v>
      </c>
      <c r="Q622" s="94"/>
      <c r="R622" s="94"/>
      <c r="S622" s="94"/>
      <c r="T622" s="94"/>
      <c r="U622" s="94"/>
      <c r="V622" s="94"/>
      <c r="W622" s="94"/>
      <c r="X622" s="94"/>
      <c r="Y622" s="94"/>
      <c r="Z622" s="94"/>
      <c r="AA622" s="94"/>
      <c r="AB622" s="94"/>
      <c r="AC622" s="94"/>
      <c r="AD622" s="94"/>
      <c r="AE622" s="94"/>
      <c r="AF622" s="94"/>
      <c r="AG622" s="94"/>
      <c r="AH622" s="94"/>
      <c r="AI622" s="94"/>
      <c r="AJ622" s="94"/>
      <c r="AK622" s="94"/>
      <c r="AL622" s="94"/>
      <c r="AM622" s="94"/>
      <c r="AN622" s="94"/>
      <c r="AO622" s="94"/>
      <c r="AP622" s="94"/>
      <c r="AQ622" s="94"/>
      <c r="AR622" s="94"/>
      <c r="AS622" s="94"/>
      <c r="AT622" s="94"/>
      <c r="AU622" s="94"/>
      <c r="AV622" s="94"/>
      <c r="AW622" s="94"/>
      <c r="AX622" s="94"/>
      <c r="AY622" s="94"/>
      <c r="AZ622" s="94"/>
      <c r="BA622" s="95"/>
    </row>
    <row r="623" spans="1:53" s="87" customFormat="1" ht="13">
      <c r="A623" s="90" t="str">
        <f t="shared" si="34"/>
        <v/>
      </c>
      <c r="B623">
        <v>24</v>
      </c>
      <c r="C623" t="s">
        <v>210</v>
      </c>
      <c r="D623">
        <v>3</v>
      </c>
      <c r="E623">
        <v>6</v>
      </c>
      <c r="F623" t="s">
        <v>210</v>
      </c>
      <c r="G623">
        <v>-5</v>
      </c>
      <c r="H623" t="s">
        <v>210</v>
      </c>
      <c r="I623" t="s">
        <v>210</v>
      </c>
      <c r="J623">
        <v>-7</v>
      </c>
      <c r="K623">
        <v>8</v>
      </c>
      <c r="L623" t="s">
        <v>210</v>
      </c>
      <c r="M623" t="s">
        <v>210</v>
      </c>
      <c r="N623">
        <v>1</v>
      </c>
      <c r="O623">
        <v>-6</v>
      </c>
      <c r="P623" t="s">
        <v>210</v>
      </c>
      <c r="Q623" s="94"/>
      <c r="R623" s="94"/>
      <c r="S623" s="94"/>
      <c r="T623" s="94"/>
      <c r="U623" s="94"/>
      <c r="V623" s="94"/>
      <c r="W623" s="94"/>
      <c r="X623" s="94"/>
      <c r="Y623" s="94"/>
      <c r="Z623" s="94"/>
      <c r="AA623" s="94"/>
      <c r="AB623" s="94"/>
      <c r="AC623" s="94"/>
      <c r="AD623" s="94"/>
      <c r="AE623" s="94"/>
      <c r="AF623" s="94"/>
      <c r="AG623" s="94"/>
      <c r="AH623" s="94"/>
      <c r="AI623" s="94"/>
      <c r="AJ623" s="94"/>
      <c r="AK623" s="94"/>
      <c r="AL623" s="94"/>
      <c r="AM623" s="94"/>
      <c r="AN623" s="94"/>
      <c r="AO623" s="94"/>
      <c r="AP623" s="94"/>
      <c r="AQ623" s="94"/>
      <c r="AR623" s="94"/>
      <c r="AS623" s="94"/>
      <c r="AT623" s="94"/>
      <c r="AU623" s="94"/>
      <c r="AV623" s="94"/>
      <c r="AW623" s="94"/>
      <c r="AX623" s="94"/>
      <c r="AY623" s="94"/>
      <c r="AZ623" s="94"/>
      <c r="BA623" s="95"/>
    </row>
    <row r="624" spans="1:53" s="87" customFormat="1" ht="13">
      <c r="A624" s="90" t="str">
        <f t="shared" si="34"/>
        <v/>
      </c>
      <c r="B624">
        <v>25</v>
      </c>
      <c r="C624">
        <v>1</v>
      </c>
      <c r="D624" t="s">
        <v>210</v>
      </c>
      <c r="E624" t="s">
        <v>210</v>
      </c>
      <c r="F624">
        <v>-2</v>
      </c>
      <c r="G624">
        <v>5</v>
      </c>
      <c r="H624" t="s">
        <v>210</v>
      </c>
      <c r="I624" t="s">
        <v>210</v>
      </c>
      <c r="J624">
        <v>-3</v>
      </c>
      <c r="K624">
        <v>-6</v>
      </c>
      <c r="L624" t="s">
        <v>210</v>
      </c>
      <c r="M624" t="s">
        <v>210</v>
      </c>
      <c r="N624">
        <v>4</v>
      </c>
      <c r="O624">
        <v>-8</v>
      </c>
      <c r="P624" t="s">
        <v>210</v>
      </c>
      <c r="Q624" s="94"/>
      <c r="R624" s="94"/>
      <c r="S624" s="94"/>
      <c r="T624" s="94"/>
      <c r="U624" s="94"/>
      <c r="V624" s="94"/>
      <c r="W624" s="94"/>
      <c r="X624" s="94"/>
      <c r="Y624" s="94"/>
      <c r="Z624" s="94"/>
      <c r="AA624" s="94"/>
      <c r="AB624" s="94"/>
      <c r="AC624" s="94"/>
      <c r="AD624" s="94"/>
      <c r="AE624" s="94"/>
      <c r="AF624" s="94"/>
      <c r="AG624" s="94"/>
      <c r="AH624" s="94"/>
      <c r="AI624" s="94"/>
      <c r="AJ624" s="94"/>
      <c r="AK624" s="94"/>
      <c r="AL624" s="94"/>
      <c r="AM624" s="94"/>
      <c r="AN624" s="94"/>
      <c r="AO624" s="94"/>
      <c r="AP624" s="94"/>
      <c r="AQ624" s="94"/>
      <c r="AR624" s="94"/>
      <c r="AS624" s="94"/>
      <c r="AT624" s="94"/>
      <c r="AU624" s="94"/>
      <c r="AV624" s="94"/>
      <c r="AW624" s="94"/>
      <c r="AX624" s="94"/>
      <c r="AY624" s="94"/>
      <c r="AZ624" s="94"/>
      <c r="BA624" s="95"/>
    </row>
    <row r="625" spans="1:53" s="87" customFormat="1" ht="13">
      <c r="A625" s="90" t="str">
        <f t="shared" si="34"/>
        <v/>
      </c>
      <c r="B625">
        <v>26</v>
      </c>
      <c r="C625" t="s">
        <v>210</v>
      </c>
      <c r="D625">
        <v>-4</v>
      </c>
      <c r="E625" t="s">
        <v>210</v>
      </c>
      <c r="F625">
        <v>6</v>
      </c>
      <c r="G625">
        <v>-2</v>
      </c>
      <c r="H625" t="s">
        <v>210</v>
      </c>
      <c r="I625" t="s">
        <v>210</v>
      </c>
      <c r="J625">
        <v>7</v>
      </c>
      <c r="K625">
        <v>5</v>
      </c>
      <c r="L625" t="s">
        <v>210</v>
      </c>
      <c r="M625" t="s">
        <v>210</v>
      </c>
      <c r="N625">
        <v>-6</v>
      </c>
      <c r="O625">
        <v>8</v>
      </c>
      <c r="P625" t="s">
        <v>210</v>
      </c>
      <c r="Q625" s="94"/>
      <c r="R625" s="94"/>
      <c r="S625" s="94"/>
      <c r="T625" s="94"/>
      <c r="U625" s="94"/>
      <c r="V625" s="94"/>
      <c r="W625" s="94"/>
      <c r="X625" s="94"/>
      <c r="Y625" s="94"/>
      <c r="Z625" s="94"/>
      <c r="AA625" s="94"/>
      <c r="AB625" s="94"/>
      <c r="AC625" s="94"/>
      <c r="AD625" s="94"/>
      <c r="AE625" s="94"/>
      <c r="AF625" s="94"/>
      <c r="AG625" s="94"/>
      <c r="AH625" s="94"/>
      <c r="AI625" s="94"/>
      <c r="AJ625" s="94"/>
      <c r="AK625" s="94"/>
      <c r="AL625" s="94"/>
      <c r="AM625" s="94"/>
      <c r="AN625" s="94"/>
      <c r="AO625" s="94"/>
      <c r="AP625" s="94"/>
      <c r="AQ625" s="94"/>
      <c r="AR625" s="94"/>
      <c r="AS625" s="94"/>
      <c r="AT625" s="94"/>
      <c r="AU625" s="94"/>
      <c r="AV625" s="94"/>
      <c r="AW625" s="94"/>
      <c r="AX625" s="94"/>
      <c r="AY625" s="94"/>
      <c r="AZ625" s="94"/>
      <c r="BA625" s="95"/>
    </row>
    <row r="626" spans="1:53" s="87" customFormat="1" ht="13">
      <c r="A626" s="90" t="str">
        <f t="shared" si="34"/>
        <v/>
      </c>
      <c r="B626">
        <v>27</v>
      </c>
      <c r="C626">
        <v>7</v>
      </c>
      <c r="D626" t="s">
        <v>210</v>
      </c>
      <c r="E626" t="s">
        <v>210</v>
      </c>
      <c r="F626">
        <v>-3</v>
      </c>
      <c r="G626">
        <v>2</v>
      </c>
      <c r="H626" t="s">
        <v>210</v>
      </c>
      <c r="I626" t="s">
        <v>210</v>
      </c>
      <c r="J626">
        <v>-9</v>
      </c>
      <c r="K626">
        <v>6</v>
      </c>
      <c r="L626" t="s">
        <v>210</v>
      </c>
      <c r="M626" t="s">
        <v>210</v>
      </c>
      <c r="N626">
        <v>-1</v>
      </c>
      <c r="O626">
        <v>-2</v>
      </c>
      <c r="P626" t="s">
        <v>210</v>
      </c>
      <c r="Q626" s="94"/>
      <c r="R626" s="94"/>
      <c r="S626" s="94"/>
      <c r="T626" s="94"/>
      <c r="U626" s="94"/>
      <c r="V626" s="94"/>
      <c r="W626" s="94"/>
      <c r="X626" s="94"/>
      <c r="Y626" s="94"/>
      <c r="Z626" s="94"/>
      <c r="AA626" s="94"/>
      <c r="AB626" s="94"/>
      <c r="AC626" s="94"/>
      <c r="AD626" s="94"/>
      <c r="AE626" s="94"/>
      <c r="AF626" s="94"/>
      <c r="AG626" s="94"/>
      <c r="AH626" s="94"/>
      <c r="AI626" s="94"/>
      <c r="AJ626" s="94"/>
      <c r="AK626" s="94"/>
      <c r="AL626" s="94"/>
      <c r="AM626" s="94"/>
      <c r="AN626" s="94"/>
      <c r="AO626" s="94"/>
      <c r="AP626" s="94"/>
      <c r="AQ626" s="94"/>
      <c r="AR626" s="94"/>
      <c r="AS626" s="94"/>
      <c r="AT626" s="94"/>
      <c r="AU626" s="94"/>
      <c r="AV626" s="94"/>
      <c r="AW626" s="94"/>
      <c r="AX626" s="94"/>
      <c r="AY626" s="94"/>
      <c r="AZ626" s="94"/>
      <c r="BA626" s="95"/>
    </row>
    <row r="627" spans="1:53" s="87" customFormat="1" ht="13">
      <c r="A627" s="90" t="str">
        <f t="shared" si="34"/>
        <v/>
      </c>
      <c r="B627">
        <v>28</v>
      </c>
      <c r="C627" s="27">
        <v>-5</v>
      </c>
      <c r="D627" s="27" t="s">
        <v>210</v>
      </c>
      <c r="E627" s="27" t="s">
        <v>210</v>
      </c>
      <c r="F627" s="27">
        <v>8</v>
      </c>
      <c r="G627" s="27">
        <v>-4</v>
      </c>
      <c r="H627" s="27" t="s">
        <v>210</v>
      </c>
      <c r="I627" s="27" t="s">
        <v>210</v>
      </c>
      <c r="J627" s="27">
        <v>3</v>
      </c>
      <c r="K627" s="27">
        <v>-8</v>
      </c>
      <c r="L627" s="27" t="s">
        <v>210</v>
      </c>
      <c r="M627" s="27" t="s">
        <v>210</v>
      </c>
      <c r="N627" s="27">
        <v>6</v>
      </c>
      <c r="O627" s="27">
        <v>2</v>
      </c>
      <c r="P627" s="27" t="s">
        <v>210</v>
      </c>
      <c r="Q627" s="94"/>
      <c r="R627" s="94"/>
      <c r="S627" s="94"/>
      <c r="T627" s="94"/>
      <c r="U627" s="94"/>
      <c r="V627" s="94"/>
      <c r="W627" s="94"/>
      <c r="X627" s="94"/>
      <c r="Y627" s="94"/>
      <c r="Z627" s="94"/>
      <c r="AA627" s="94"/>
      <c r="AB627" s="94"/>
      <c r="AC627" s="94"/>
      <c r="AD627" s="94"/>
      <c r="AE627" s="94"/>
      <c r="AF627" s="94"/>
      <c r="AG627" s="94"/>
      <c r="AH627" s="94"/>
      <c r="AI627" s="94"/>
      <c r="AJ627" s="94"/>
      <c r="AK627" s="94"/>
      <c r="AL627" s="94"/>
      <c r="AM627" s="94"/>
      <c r="AN627" s="94"/>
      <c r="AO627" s="94"/>
      <c r="AP627" s="94"/>
      <c r="AQ627" s="94"/>
      <c r="AR627" s="94"/>
      <c r="AS627" s="94"/>
      <c r="AT627" s="94"/>
      <c r="AU627" s="94"/>
      <c r="AV627" s="94"/>
      <c r="AW627" s="94"/>
      <c r="AX627" s="94"/>
      <c r="AY627" s="94"/>
      <c r="AZ627" s="94"/>
      <c r="BA627" s="95"/>
    </row>
    <row r="628" spans="1:53" s="87" customFormat="1" ht="13">
      <c r="A628" s="90" t="str">
        <f t="shared" si="34"/>
        <v/>
      </c>
      <c r="B628">
        <v>29</v>
      </c>
      <c r="C628">
        <v>6</v>
      </c>
      <c r="D628" t="s">
        <v>210</v>
      </c>
      <c r="E628" t="s">
        <v>210</v>
      </c>
      <c r="F628">
        <v>-4</v>
      </c>
      <c r="G628">
        <v>-1</v>
      </c>
      <c r="H628" t="s">
        <v>210</v>
      </c>
      <c r="I628" t="s">
        <v>210</v>
      </c>
      <c r="J628">
        <v>8</v>
      </c>
      <c r="K628">
        <v>9</v>
      </c>
      <c r="L628" t="s">
        <v>210</v>
      </c>
      <c r="M628" t="s">
        <v>210</v>
      </c>
      <c r="N628">
        <v>-2</v>
      </c>
      <c r="O628">
        <v>-3</v>
      </c>
      <c r="P628" t="s">
        <v>210</v>
      </c>
      <c r="Q628" s="94"/>
      <c r="R628" s="94"/>
      <c r="S628" s="94"/>
      <c r="T628" s="94"/>
      <c r="U628" s="94"/>
      <c r="V628" s="94"/>
      <c r="W628" s="94"/>
      <c r="X628" s="94"/>
      <c r="Y628" s="94"/>
      <c r="Z628" s="94"/>
      <c r="AA628" s="94"/>
      <c r="AB628" s="94"/>
      <c r="AC628" s="94"/>
      <c r="AD628" s="94"/>
      <c r="AE628" s="94"/>
      <c r="AF628" s="94"/>
      <c r="AG628" s="94"/>
      <c r="AH628" s="94"/>
      <c r="AI628" s="94"/>
      <c r="AJ628" s="94"/>
      <c r="AK628" s="94"/>
      <c r="AL628" s="94"/>
      <c r="AM628" s="94"/>
      <c r="AN628" s="94"/>
      <c r="AO628" s="94"/>
      <c r="AP628" s="94"/>
      <c r="AQ628" s="94"/>
      <c r="AR628" s="94"/>
      <c r="AS628" s="94"/>
      <c r="AT628" s="94"/>
      <c r="AU628" s="94"/>
      <c r="AV628" s="94"/>
      <c r="AW628" s="94"/>
      <c r="AX628" s="94"/>
      <c r="AY628" s="94"/>
      <c r="AZ628" s="94"/>
      <c r="BA628" s="95"/>
    </row>
    <row r="629" spans="1:53" s="87" customFormat="1" ht="13">
      <c r="A629" s="90" t="str">
        <f t="shared" si="34"/>
        <v/>
      </c>
      <c r="B629">
        <v>30</v>
      </c>
      <c r="C629">
        <v>2</v>
      </c>
      <c r="D629" t="s">
        <v>210</v>
      </c>
      <c r="E629" t="s">
        <v>210</v>
      </c>
      <c r="F629">
        <v>9</v>
      </c>
      <c r="G629">
        <v>-3</v>
      </c>
      <c r="H629" t="s">
        <v>210</v>
      </c>
      <c r="I629" t="s">
        <v>210</v>
      </c>
      <c r="J629">
        <v>-6</v>
      </c>
      <c r="K629">
        <v>1</v>
      </c>
      <c r="L629" t="s">
        <v>210</v>
      </c>
      <c r="M629" t="s">
        <v>210</v>
      </c>
      <c r="N629">
        <v>-8</v>
      </c>
      <c r="O629">
        <v>3</v>
      </c>
      <c r="P629" t="s">
        <v>210</v>
      </c>
      <c r="Q629" s="94"/>
      <c r="R629" s="94"/>
      <c r="S629" s="94"/>
      <c r="T629" s="94"/>
      <c r="U629" s="94"/>
      <c r="V629" s="94"/>
      <c r="W629" s="94"/>
      <c r="X629" s="94"/>
      <c r="Y629" s="94"/>
      <c r="Z629" s="94"/>
      <c r="AA629" s="94"/>
      <c r="AB629" s="94"/>
      <c r="AC629" s="94"/>
      <c r="AD629" s="94"/>
      <c r="AE629" s="94"/>
      <c r="AF629" s="94"/>
      <c r="AG629" s="94"/>
      <c r="AH629" s="94"/>
      <c r="AI629" s="94"/>
      <c r="AJ629" s="94"/>
      <c r="AK629" s="94"/>
      <c r="AL629" s="94"/>
      <c r="AM629" s="94"/>
      <c r="AN629" s="94"/>
      <c r="AO629" s="94"/>
      <c r="AP629" s="94"/>
      <c r="AQ629" s="94"/>
      <c r="AR629" s="94"/>
      <c r="AS629" s="94"/>
      <c r="AT629" s="94"/>
      <c r="AU629" s="94"/>
      <c r="AV629" s="94"/>
      <c r="AW629" s="94"/>
      <c r="AX629" s="94"/>
      <c r="AY629" s="94"/>
      <c r="AZ629" s="94"/>
      <c r="BA629" s="95"/>
    </row>
    <row r="630" spans="1:53" s="87" customFormat="1" ht="13">
      <c r="A630" s="90" t="str">
        <f t="shared" si="34"/>
        <v/>
      </c>
      <c r="B630">
        <v>31</v>
      </c>
      <c r="C630">
        <v>-9</v>
      </c>
      <c r="D630" t="s">
        <v>210</v>
      </c>
      <c r="E630" t="s">
        <v>210</v>
      </c>
      <c r="F630">
        <v>-5</v>
      </c>
      <c r="G630">
        <v>1</v>
      </c>
      <c r="H630" t="s">
        <v>210</v>
      </c>
      <c r="I630" t="s">
        <v>210</v>
      </c>
      <c r="J630">
        <v>-2</v>
      </c>
      <c r="K630">
        <v>3</v>
      </c>
      <c r="L630" t="s">
        <v>210</v>
      </c>
      <c r="M630" t="s">
        <v>210</v>
      </c>
      <c r="N630">
        <v>8</v>
      </c>
      <c r="O630">
        <v>-4</v>
      </c>
      <c r="P630" t="s">
        <v>210</v>
      </c>
      <c r="Q630" s="94"/>
      <c r="R630" s="94"/>
      <c r="S630" s="94"/>
      <c r="T630" s="94"/>
      <c r="U630" s="94"/>
      <c r="V630" s="94"/>
      <c r="W630" s="94"/>
      <c r="X630" s="94"/>
      <c r="Y630" s="94"/>
      <c r="Z630" s="94"/>
      <c r="AA630" s="94"/>
      <c r="AB630" s="94"/>
      <c r="AC630" s="94"/>
      <c r="AD630" s="94"/>
      <c r="AE630" s="94"/>
      <c r="AF630" s="94"/>
      <c r="AG630" s="94"/>
      <c r="AH630" s="94"/>
      <c r="AI630" s="94"/>
      <c r="AJ630" s="94"/>
      <c r="AK630" s="94"/>
      <c r="AL630" s="94"/>
      <c r="AM630" s="94"/>
      <c r="AN630" s="94"/>
      <c r="AO630" s="94"/>
      <c r="AP630" s="94"/>
      <c r="AQ630" s="94"/>
      <c r="AR630" s="94"/>
      <c r="AS630" s="94"/>
      <c r="AT630" s="94"/>
      <c r="AU630" s="94"/>
      <c r="AV630" s="94"/>
      <c r="AW630" s="94"/>
      <c r="AX630" s="94"/>
      <c r="AY630" s="94"/>
      <c r="AZ630" s="94"/>
      <c r="BA630" s="95"/>
    </row>
    <row r="631" spans="1:53" s="87" customFormat="1" ht="13">
      <c r="A631" s="90" t="str">
        <f t="shared" si="34"/>
        <v/>
      </c>
      <c r="B631">
        <v>32</v>
      </c>
      <c r="C631">
        <v>-7</v>
      </c>
      <c r="D631" t="s">
        <v>210</v>
      </c>
      <c r="E631" t="s">
        <v>210</v>
      </c>
      <c r="F631">
        <v>-6</v>
      </c>
      <c r="G631">
        <v>9</v>
      </c>
      <c r="H631" t="s">
        <v>210</v>
      </c>
      <c r="I631" t="s">
        <v>210</v>
      </c>
      <c r="J631">
        <v>-8</v>
      </c>
      <c r="K631">
        <v>-1</v>
      </c>
      <c r="L631" t="s">
        <v>210</v>
      </c>
      <c r="M631" t="s">
        <v>210</v>
      </c>
      <c r="N631">
        <v>3</v>
      </c>
      <c r="O631">
        <v>4</v>
      </c>
      <c r="P631" t="s">
        <v>210</v>
      </c>
      <c r="Q631" s="94"/>
      <c r="R631" s="94"/>
      <c r="S631" s="94"/>
      <c r="T631" s="94"/>
      <c r="U631" s="94"/>
      <c r="V631" s="94"/>
      <c r="W631" s="94"/>
      <c r="X631" s="94"/>
      <c r="Y631" s="94"/>
      <c r="Z631" s="94"/>
      <c r="AA631" s="94"/>
      <c r="AB631" s="94"/>
      <c r="AC631" s="94"/>
      <c r="AD631" s="94"/>
      <c r="AE631" s="94"/>
      <c r="AF631" s="94"/>
      <c r="AG631" s="94"/>
      <c r="AH631" s="94"/>
      <c r="AI631" s="94"/>
      <c r="AJ631" s="94"/>
      <c r="AK631" s="94"/>
      <c r="AL631" s="94"/>
      <c r="AM631" s="94"/>
      <c r="AN631" s="94"/>
      <c r="AO631" s="94"/>
      <c r="AP631" s="94"/>
      <c r="AQ631" s="94"/>
      <c r="AR631" s="94"/>
      <c r="AS631" s="94"/>
      <c r="AT631" s="94"/>
      <c r="AU631" s="94"/>
      <c r="AV631" s="94"/>
      <c r="AW631" s="94"/>
      <c r="AX631" s="94"/>
      <c r="AY631" s="94"/>
      <c r="AZ631" s="94"/>
      <c r="BA631" s="95"/>
    </row>
    <row r="632" spans="1:53" s="87" customFormat="1" ht="13">
      <c r="A632" s="90" t="str">
        <f t="shared" si="34"/>
        <v/>
      </c>
      <c r="B632">
        <v>33</v>
      </c>
      <c r="C632">
        <v>5</v>
      </c>
      <c r="D632" t="s">
        <v>210</v>
      </c>
      <c r="E632" t="s">
        <v>210</v>
      </c>
      <c r="F632">
        <v>3</v>
      </c>
      <c r="G632">
        <v>-9</v>
      </c>
      <c r="H632" t="s">
        <v>210</v>
      </c>
      <c r="I632" t="s">
        <v>210</v>
      </c>
      <c r="J632">
        <v>6</v>
      </c>
      <c r="K632">
        <v>-3</v>
      </c>
      <c r="L632" t="s">
        <v>210</v>
      </c>
      <c r="M632" t="s">
        <v>210</v>
      </c>
      <c r="N632">
        <v>2</v>
      </c>
      <c r="O632">
        <v>-1</v>
      </c>
      <c r="P632" t="s">
        <v>210</v>
      </c>
      <c r="Q632" s="94"/>
      <c r="R632" s="94"/>
      <c r="S632" s="94"/>
      <c r="T632" s="94"/>
      <c r="U632" s="94"/>
      <c r="V632" s="94"/>
      <c r="W632" s="94"/>
      <c r="X632" s="94"/>
      <c r="Y632" s="94"/>
      <c r="Z632" s="94"/>
      <c r="AA632" s="94"/>
      <c r="AB632" s="94"/>
      <c r="AC632" s="94"/>
      <c r="AD632" s="94"/>
      <c r="AE632" s="94"/>
      <c r="AF632" s="94"/>
      <c r="AG632" s="94"/>
      <c r="AH632" s="94"/>
      <c r="AI632" s="94"/>
      <c r="AJ632" s="94"/>
      <c r="AK632" s="94"/>
      <c r="AL632" s="94"/>
      <c r="AM632" s="94"/>
      <c r="AN632" s="94"/>
      <c r="AO632" s="94"/>
      <c r="AP632" s="94"/>
      <c r="AQ632" s="94"/>
      <c r="AR632" s="94"/>
      <c r="AS632" s="94"/>
      <c r="AT632" s="94"/>
      <c r="AU632" s="94"/>
      <c r="AV632" s="94"/>
      <c r="AW632" s="94"/>
      <c r="AX632" s="94"/>
      <c r="AY632" s="94"/>
      <c r="AZ632" s="94"/>
      <c r="BA632" s="95"/>
    </row>
    <row r="633" spans="1:53" s="87" customFormat="1" ht="13">
      <c r="A633" s="90" t="str">
        <f t="shared" si="34"/>
        <v/>
      </c>
      <c r="B633">
        <v>34</v>
      </c>
      <c r="C633" t="s">
        <v>210</v>
      </c>
      <c r="D633">
        <v>4</v>
      </c>
      <c r="E633" t="s">
        <v>210</v>
      </c>
      <c r="F633">
        <v>-8</v>
      </c>
      <c r="G633">
        <v>3</v>
      </c>
      <c r="H633" t="s">
        <v>210</v>
      </c>
      <c r="I633" t="s">
        <v>210</v>
      </c>
      <c r="J633">
        <v>2</v>
      </c>
      <c r="K633">
        <v>-9</v>
      </c>
      <c r="L633" t="s">
        <v>210</v>
      </c>
      <c r="M633" t="s">
        <v>210</v>
      </c>
      <c r="N633">
        <v>-3</v>
      </c>
      <c r="O633">
        <v>1</v>
      </c>
      <c r="P633" t="s">
        <v>210</v>
      </c>
      <c r="Q633" s="94"/>
      <c r="R633" s="94"/>
      <c r="S633" s="94"/>
      <c r="T633" s="94"/>
      <c r="U633" s="94"/>
      <c r="V633" s="94"/>
      <c r="W633" s="94"/>
      <c r="X633" s="94"/>
      <c r="Y633" s="94"/>
      <c r="Z633" s="94"/>
      <c r="AA633" s="94"/>
      <c r="AB633" s="94"/>
      <c r="AC633" s="94"/>
      <c r="AD633" s="94"/>
      <c r="AE633" s="94"/>
      <c r="AF633" s="94"/>
      <c r="AG633" s="94"/>
      <c r="AH633" s="94"/>
      <c r="AI633" s="94"/>
      <c r="AJ633" s="94"/>
      <c r="AK633" s="94"/>
      <c r="AL633" s="94"/>
      <c r="AM633" s="94"/>
      <c r="AN633" s="94"/>
      <c r="AO633" s="94"/>
      <c r="AP633" s="94"/>
      <c r="AQ633" s="94"/>
      <c r="AR633" s="94"/>
      <c r="AS633" s="94"/>
      <c r="AT633" s="94"/>
      <c r="AU633" s="94"/>
      <c r="AV633" s="94"/>
      <c r="AW633" s="94"/>
      <c r="AX633" s="94"/>
      <c r="AY633" s="94"/>
      <c r="AZ633" s="94"/>
      <c r="BA633" s="95"/>
    </row>
    <row r="634" spans="1:53" s="87" customFormat="1" ht="13">
      <c r="A634" s="90" t="str">
        <f t="shared" si="34"/>
        <v/>
      </c>
      <c r="B634" t="s">
        <v>816</v>
      </c>
      <c r="C634"/>
      <c r="D634"/>
      <c r="E634"/>
      <c r="F634"/>
      <c r="G634"/>
      <c r="H634"/>
      <c r="I634"/>
      <c r="J634"/>
      <c r="K634"/>
      <c r="L634"/>
      <c r="M634"/>
      <c r="N634"/>
      <c r="O634"/>
      <c r="P634"/>
      <c r="Q634" s="94"/>
      <c r="R634" s="94"/>
      <c r="S634" s="94"/>
      <c r="T634" s="94"/>
      <c r="U634" s="94"/>
      <c r="V634" s="94"/>
      <c r="W634" s="94"/>
      <c r="X634" s="94"/>
      <c r="Y634" s="94"/>
      <c r="Z634" s="94"/>
      <c r="AA634" s="94"/>
      <c r="AB634" s="94"/>
      <c r="AC634" s="94"/>
      <c r="AD634" s="94"/>
      <c r="AE634" s="94"/>
      <c r="AF634" s="94"/>
      <c r="AG634" s="94"/>
      <c r="AH634" s="94"/>
      <c r="AI634" s="94"/>
      <c r="AJ634" s="94"/>
      <c r="AK634" s="94"/>
      <c r="AL634" s="94"/>
      <c r="AM634" s="94"/>
      <c r="AN634" s="94"/>
      <c r="AO634" s="94"/>
      <c r="AP634" s="94"/>
      <c r="AQ634" s="94"/>
      <c r="AR634" s="94"/>
      <c r="AS634" s="94"/>
      <c r="AT634" s="94"/>
      <c r="AU634" s="94"/>
      <c r="AV634" s="94"/>
      <c r="AW634" s="94"/>
      <c r="AX634" s="94"/>
      <c r="AY634" s="94"/>
      <c r="AZ634" s="94"/>
      <c r="BA634" s="95"/>
    </row>
    <row r="635" spans="1:53" s="87" customFormat="1">
      <c r="A635" s="90">
        <f t="shared" si="34"/>
        <v>635</v>
      </c>
      <c r="B635" s="98" t="s">
        <v>839</v>
      </c>
      <c r="C635" s="94"/>
      <c r="D635" s="94"/>
      <c r="E635" s="94"/>
      <c r="F635" s="94"/>
      <c r="G635" s="94"/>
      <c r="H635" s="94"/>
      <c r="I635" s="94"/>
      <c r="J635" s="94"/>
      <c r="K635" s="94"/>
      <c r="L635" s="94"/>
      <c r="M635" s="94"/>
      <c r="N635" s="94"/>
      <c r="O635" s="94"/>
      <c r="P635" s="94"/>
      <c r="Q635" s="94"/>
      <c r="R635" s="94"/>
      <c r="S635" s="94"/>
      <c r="T635" s="94"/>
      <c r="U635" s="94"/>
      <c r="V635" s="94"/>
      <c r="W635" s="94"/>
      <c r="X635" s="94"/>
      <c r="Y635" s="94"/>
      <c r="Z635" s="94"/>
      <c r="AA635" s="94"/>
      <c r="AB635" s="94"/>
      <c r="AC635" s="94"/>
      <c r="AD635" s="94"/>
      <c r="AE635" s="94"/>
      <c r="AF635" s="94"/>
      <c r="AG635" s="94"/>
      <c r="AH635" s="94"/>
      <c r="AI635" s="94"/>
      <c r="AJ635" s="94"/>
      <c r="AK635" s="94"/>
      <c r="AL635" s="94"/>
      <c r="AM635" s="94"/>
      <c r="AN635" s="94"/>
      <c r="AO635" s="94"/>
      <c r="AP635" s="94"/>
      <c r="AQ635" s="94"/>
      <c r="AR635" s="94"/>
      <c r="AS635" s="94"/>
      <c r="AT635" s="94"/>
      <c r="AU635" s="94"/>
      <c r="AV635" s="94"/>
      <c r="AW635" s="94"/>
      <c r="AX635" s="94"/>
      <c r="AY635" s="94"/>
      <c r="AZ635" s="94"/>
      <c r="BA635" s="95"/>
    </row>
    <row r="636" spans="1:53" s="87" customFormat="1" ht="13">
      <c r="A636" s="90" t="str">
        <f t="shared" si="34"/>
        <v/>
      </c>
      <c r="B636" s="98">
        <v>1</v>
      </c>
      <c r="C636" s="94">
        <v>-3</v>
      </c>
      <c r="D636" s="94" t="s">
        <v>210</v>
      </c>
      <c r="E636" s="94" t="s">
        <v>210</v>
      </c>
      <c r="F636" s="94">
        <v>6</v>
      </c>
      <c r="G636" s="94">
        <v>-9</v>
      </c>
      <c r="H636" s="94" t="s">
        <v>210</v>
      </c>
      <c r="I636" s="94" t="s">
        <v>210</v>
      </c>
      <c r="J636" s="94">
        <v>7</v>
      </c>
      <c r="K636" s="94">
        <v>1</v>
      </c>
      <c r="L636" s="94" t="s">
        <v>210</v>
      </c>
      <c r="M636" s="94" t="s">
        <v>210</v>
      </c>
      <c r="N636" s="94">
        <v>-6</v>
      </c>
      <c r="O636" s="94">
        <v>-2</v>
      </c>
      <c r="P636" s="94" t="s">
        <v>210</v>
      </c>
      <c r="Q636" s="94" t="s">
        <v>210</v>
      </c>
      <c r="R636" s="94">
        <v>4</v>
      </c>
      <c r="S636" s="94">
        <v>5</v>
      </c>
      <c r="T636" s="94" t="s">
        <v>210</v>
      </c>
      <c r="U636" s="94"/>
      <c r="V636" s="94"/>
      <c r="W636" s="94"/>
      <c r="X636" s="94"/>
      <c r="Y636" s="94"/>
      <c r="Z636"/>
      <c r="AA636"/>
      <c r="AB636"/>
      <c r="AC636"/>
      <c r="AD636"/>
      <c r="AE636"/>
      <c r="AF636"/>
      <c r="AG636"/>
      <c r="AH636"/>
      <c r="AI636"/>
      <c r="AJ636"/>
      <c r="AK636"/>
      <c r="AL636"/>
      <c r="AM636"/>
      <c r="AN636"/>
      <c r="AO636"/>
      <c r="AP636"/>
      <c r="AQ636"/>
      <c r="AR636" s="94"/>
      <c r="AS636" s="94"/>
      <c r="AT636" s="94"/>
      <c r="AU636" s="94"/>
      <c r="AV636" s="94"/>
      <c r="AW636" s="94"/>
      <c r="AX636" s="94"/>
      <c r="AY636" s="94"/>
      <c r="AZ636" s="94"/>
      <c r="BA636" s="95"/>
    </row>
    <row r="637" spans="1:53" s="87" customFormat="1" ht="13">
      <c r="A637" s="90" t="str">
        <f t="shared" si="34"/>
        <v/>
      </c>
      <c r="B637" s="98">
        <v>2</v>
      </c>
      <c r="C637" s="94">
        <v>-8</v>
      </c>
      <c r="D637" s="94" t="s">
        <v>210</v>
      </c>
      <c r="E637" s="94" t="s">
        <v>210</v>
      </c>
      <c r="F637" s="94">
        <v>5</v>
      </c>
      <c r="G637" s="94">
        <v>3</v>
      </c>
      <c r="H637" s="94" t="s">
        <v>210</v>
      </c>
      <c r="I637" s="94" t="s">
        <v>210</v>
      </c>
      <c r="J637" s="94">
        <v>-6</v>
      </c>
      <c r="K637" s="94">
        <v>4</v>
      </c>
      <c r="L637" s="94" t="s">
        <v>210</v>
      </c>
      <c r="M637" s="94" t="s">
        <v>210</v>
      </c>
      <c r="N637" s="94">
        <v>-2</v>
      </c>
      <c r="O637" s="94">
        <v>1</v>
      </c>
      <c r="P637" s="94" t="s">
        <v>210</v>
      </c>
      <c r="Q637" s="94" t="s">
        <v>210</v>
      </c>
      <c r="R637" s="94">
        <v>-7</v>
      </c>
      <c r="S637" s="94">
        <v>-5</v>
      </c>
      <c r="T637" s="94" t="s">
        <v>210</v>
      </c>
      <c r="U637" s="94"/>
      <c r="V637" s="94"/>
      <c r="W637" s="94"/>
      <c r="X637" s="94"/>
      <c r="Y637" s="94"/>
      <c r="Z637"/>
      <c r="AA637"/>
      <c r="AB637"/>
      <c r="AC637"/>
      <c r="AD637"/>
      <c r="AE637"/>
      <c r="AF637"/>
      <c r="AG637"/>
      <c r="AH637"/>
      <c r="AI637"/>
      <c r="AJ637"/>
      <c r="AK637"/>
      <c r="AL637"/>
      <c r="AM637"/>
      <c r="AN637"/>
      <c r="AO637"/>
      <c r="AP637"/>
      <c r="AQ637"/>
      <c r="AR637" s="94"/>
      <c r="AS637" s="94"/>
      <c r="AT637" s="94"/>
      <c r="AU637" s="94"/>
      <c r="AV637" s="94"/>
      <c r="AW637" s="94"/>
      <c r="AX637" s="94"/>
      <c r="AY637" s="94"/>
      <c r="AZ637" s="94"/>
      <c r="BA637" s="95"/>
    </row>
    <row r="638" spans="1:53" s="87" customFormat="1" ht="13">
      <c r="A638" s="90" t="str">
        <f t="shared" si="34"/>
        <v/>
      </c>
      <c r="B638" s="98">
        <v>3</v>
      </c>
      <c r="C638" s="94">
        <v>-9</v>
      </c>
      <c r="D638" s="94" t="s">
        <v>210</v>
      </c>
      <c r="E638" s="94" t="s">
        <v>210</v>
      </c>
      <c r="F638" s="94">
        <v>-7</v>
      </c>
      <c r="G638" s="94">
        <v>8</v>
      </c>
      <c r="H638" s="94" t="s">
        <v>210</v>
      </c>
      <c r="I638" s="94" t="s">
        <v>210</v>
      </c>
      <c r="J638" s="94">
        <v>3</v>
      </c>
      <c r="K638" s="94">
        <v>-5</v>
      </c>
      <c r="L638" s="94" t="s">
        <v>210</v>
      </c>
      <c r="M638" s="94" t="s">
        <v>210</v>
      </c>
      <c r="N638" s="94">
        <v>7</v>
      </c>
      <c r="O638" s="94">
        <v>-1</v>
      </c>
      <c r="P638" s="94" t="s">
        <v>210</v>
      </c>
      <c r="Q638" s="94" t="s">
        <v>210</v>
      </c>
      <c r="R638" s="94">
        <v>-4</v>
      </c>
      <c r="S638" s="94">
        <v>6</v>
      </c>
      <c r="T638" s="94" t="s">
        <v>210</v>
      </c>
      <c r="U638" s="94"/>
      <c r="V638" s="94"/>
      <c r="W638" s="94"/>
      <c r="X638" s="94"/>
      <c r="Y638" s="94"/>
      <c r="Z638"/>
      <c r="AA638"/>
      <c r="AB638"/>
      <c r="AC638"/>
      <c r="AD638"/>
      <c r="AE638"/>
      <c r="AF638"/>
      <c r="AG638"/>
      <c r="AH638"/>
      <c r="AI638"/>
      <c r="AJ638"/>
      <c r="AK638"/>
      <c r="AL638"/>
      <c r="AM638"/>
      <c r="AN638"/>
      <c r="AO638"/>
      <c r="AP638"/>
      <c r="AQ638"/>
      <c r="AR638" s="94"/>
      <c r="AS638" s="94"/>
      <c r="AT638" s="94"/>
      <c r="AU638" s="94"/>
      <c r="AV638" s="94"/>
      <c r="AW638" s="94"/>
      <c r="AX638" s="94"/>
      <c r="AY638" s="94"/>
      <c r="AZ638" s="94"/>
      <c r="BA638" s="95"/>
    </row>
    <row r="639" spans="1:53" s="87" customFormat="1" ht="13">
      <c r="A639" s="90" t="str">
        <f t="shared" si="34"/>
        <v/>
      </c>
      <c r="B639" s="98">
        <v>4</v>
      </c>
      <c r="C639" s="94">
        <v>-7</v>
      </c>
      <c r="D639" s="94" t="s">
        <v>210</v>
      </c>
      <c r="E639" s="94" t="s">
        <v>210</v>
      </c>
      <c r="F639" s="94">
        <v>-9</v>
      </c>
      <c r="G639" s="94">
        <v>4</v>
      </c>
      <c r="H639" s="94" t="s">
        <v>210</v>
      </c>
      <c r="I639" s="94" t="s">
        <v>210</v>
      </c>
      <c r="J639" s="94">
        <v>-8</v>
      </c>
      <c r="K639" s="94">
        <v>3</v>
      </c>
      <c r="L639" s="94" t="s">
        <v>210</v>
      </c>
      <c r="M639" s="94" t="s">
        <v>210</v>
      </c>
      <c r="N639" s="94">
        <v>-5</v>
      </c>
      <c r="O639" s="94">
        <v>2</v>
      </c>
      <c r="P639" s="94" t="s">
        <v>210</v>
      </c>
      <c r="Q639" s="94" t="s">
        <v>210</v>
      </c>
      <c r="R639" s="94">
        <v>7</v>
      </c>
      <c r="S639" s="94">
        <v>-6</v>
      </c>
      <c r="T639" s="94" t="s">
        <v>210</v>
      </c>
      <c r="U639" s="94"/>
      <c r="V639" s="94"/>
      <c r="W639" s="94"/>
      <c r="X639" s="94"/>
      <c r="Y639" s="94"/>
      <c r="Z639"/>
      <c r="AA639"/>
      <c r="AB639"/>
      <c r="AC639"/>
      <c r="AD639"/>
      <c r="AE639"/>
      <c r="AF639"/>
      <c r="AG639"/>
      <c r="AH639"/>
      <c r="AI639"/>
      <c r="AJ639"/>
      <c r="AK639"/>
      <c r="AL639"/>
      <c r="AM639"/>
      <c r="AN639"/>
      <c r="AO639"/>
      <c r="AP639"/>
      <c r="AQ639"/>
      <c r="AR639" s="94"/>
      <c r="AS639" s="94"/>
      <c r="AT639" s="94"/>
      <c r="AU639" s="94"/>
      <c r="AV639" s="94"/>
      <c r="AW639" s="94"/>
      <c r="AX639" s="94"/>
      <c r="AY639" s="94"/>
      <c r="AZ639" s="94"/>
      <c r="BA639" s="95"/>
    </row>
    <row r="640" spans="1:53" s="87" customFormat="1" ht="13">
      <c r="A640" s="90" t="str">
        <f t="shared" si="34"/>
        <v/>
      </c>
      <c r="B640" s="98">
        <v>5</v>
      </c>
      <c r="C640" s="94">
        <v>9</v>
      </c>
      <c r="D640" s="94" t="s">
        <v>210</v>
      </c>
      <c r="E640" s="94" t="s">
        <v>210</v>
      </c>
      <c r="F640" s="94">
        <v>-6</v>
      </c>
      <c r="G640" s="94">
        <v>-1</v>
      </c>
      <c r="H640" s="94" t="s">
        <v>210</v>
      </c>
      <c r="I640" s="94" t="s">
        <v>210</v>
      </c>
      <c r="J640" s="94">
        <v>5</v>
      </c>
      <c r="K640" s="94">
        <v>-3</v>
      </c>
      <c r="L640" s="94" t="s">
        <v>210</v>
      </c>
      <c r="M640" s="94" t="s">
        <v>210</v>
      </c>
      <c r="N640" s="94">
        <v>2</v>
      </c>
      <c r="O640" s="94">
        <v>6</v>
      </c>
      <c r="P640" s="94" t="s">
        <v>210</v>
      </c>
      <c r="Q640" s="94" t="s">
        <v>210</v>
      </c>
      <c r="R640" s="94">
        <v>-8</v>
      </c>
      <c r="S640" s="94">
        <v>4</v>
      </c>
      <c r="T640" s="94" t="s">
        <v>210</v>
      </c>
      <c r="U640" s="94"/>
      <c r="V640" s="94"/>
      <c r="W640" s="94"/>
      <c r="X640" s="94"/>
      <c r="Y640" s="94"/>
      <c r="Z640"/>
      <c r="AA640"/>
      <c r="AB640"/>
      <c r="AC640"/>
      <c r="AD640"/>
      <c r="AE640"/>
      <c r="AF640"/>
      <c r="AG640"/>
      <c r="AH640"/>
      <c r="AI640"/>
      <c r="AJ640"/>
      <c r="AK640"/>
      <c r="AL640"/>
      <c r="AM640"/>
      <c r="AN640"/>
      <c r="AO640"/>
      <c r="AP640"/>
      <c r="AQ640"/>
      <c r="AR640" s="94"/>
      <c r="AS640" s="94"/>
      <c r="AT640" s="94"/>
      <c r="AU640" s="94"/>
      <c r="AV640" s="94"/>
      <c r="AW640" s="94"/>
      <c r="AX640" s="94"/>
      <c r="AY640" s="94"/>
      <c r="AZ640" s="94"/>
      <c r="BA640" s="95"/>
    </row>
    <row r="641" spans="1:53" s="87" customFormat="1" ht="13">
      <c r="A641" s="90" t="str">
        <f t="shared" si="34"/>
        <v/>
      </c>
      <c r="B641" s="98">
        <v>6</v>
      </c>
      <c r="C641" s="94">
        <v>-1</v>
      </c>
      <c r="D641" s="94" t="s">
        <v>210</v>
      </c>
      <c r="E641" s="94" t="s">
        <v>210</v>
      </c>
      <c r="F641" s="94">
        <v>-5</v>
      </c>
      <c r="G641" s="94">
        <v>9</v>
      </c>
      <c r="H641" s="94" t="s">
        <v>210</v>
      </c>
      <c r="I641" s="94" t="s">
        <v>210</v>
      </c>
      <c r="J641" s="94">
        <v>8</v>
      </c>
      <c r="K641" s="94">
        <v>-2</v>
      </c>
      <c r="L641" s="94" t="s">
        <v>210</v>
      </c>
      <c r="M641" s="94" t="s">
        <v>210</v>
      </c>
      <c r="N641" s="94">
        <v>-7</v>
      </c>
      <c r="O641" s="94">
        <v>5</v>
      </c>
      <c r="P641" s="94" t="s">
        <v>210</v>
      </c>
      <c r="Q641" s="94" t="s">
        <v>210</v>
      </c>
      <c r="R641" s="94">
        <v>6</v>
      </c>
      <c r="S641" s="94">
        <v>-4</v>
      </c>
      <c r="T641" s="94" t="s">
        <v>210</v>
      </c>
      <c r="U641" s="94"/>
      <c r="V641" s="94"/>
      <c r="W641" s="94"/>
      <c r="X641" s="94"/>
      <c r="Y641" s="94"/>
      <c r="Z641"/>
      <c r="AA641"/>
      <c r="AB641"/>
      <c r="AC641"/>
      <c r="AD641"/>
      <c r="AE641"/>
      <c r="AF641"/>
      <c r="AG641"/>
      <c r="AH641"/>
      <c r="AI641"/>
      <c r="AJ641"/>
      <c r="AK641"/>
      <c r="AL641"/>
      <c r="AM641"/>
      <c r="AN641"/>
      <c r="AO641"/>
      <c r="AP641"/>
      <c r="AQ641"/>
      <c r="AR641" s="94"/>
      <c r="AS641" s="94"/>
      <c r="AT641" s="94"/>
      <c r="AU641" s="94"/>
      <c r="AV641" s="94"/>
      <c r="AW641" s="94"/>
      <c r="AX641" s="94"/>
      <c r="AY641" s="94"/>
      <c r="AZ641" s="94"/>
      <c r="BA641" s="95"/>
    </row>
    <row r="642" spans="1:53" s="87" customFormat="1" ht="13">
      <c r="A642" s="90" t="str">
        <f t="shared" si="34"/>
        <v/>
      </c>
      <c r="B642" s="98">
        <v>7</v>
      </c>
      <c r="C642" s="94">
        <v>3</v>
      </c>
      <c r="D642" s="94" t="s">
        <v>210</v>
      </c>
      <c r="E642" s="94" t="s">
        <v>210</v>
      </c>
      <c r="F642" s="94">
        <v>-2</v>
      </c>
      <c r="G642" s="94">
        <v>1</v>
      </c>
      <c r="H642" s="94" t="s">
        <v>210</v>
      </c>
      <c r="I642" s="94" t="s">
        <v>210</v>
      </c>
      <c r="J642" s="94">
        <v>-3</v>
      </c>
      <c r="K642" s="94">
        <v>-4</v>
      </c>
      <c r="L642" s="94" t="s">
        <v>210</v>
      </c>
      <c r="M642" s="94" t="s">
        <v>210</v>
      </c>
      <c r="N642" s="94">
        <v>5</v>
      </c>
      <c r="O642" s="94">
        <v>7</v>
      </c>
      <c r="P642" s="94" t="s">
        <v>210</v>
      </c>
      <c r="Q642" s="94" t="s">
        <v>210</v>
      </c>
      <c r="R642" s="94">
        <v>-6</v>
      </c>
      <c r="S642" s="94">
        <v>-8</v>
      </c>
      <c r="T642" s="94" t="s">
        <v>210</v>
      </c>
      <c r="U642" s="94"/>
      <c r="V642" s="94"/>
      <c r="W642" s="94"/>
      <c r="X642" s="94"/>
      <c r="Y642" s="94"/>
      <c r="Z642"/>
      <c r="AA642"/>
      <c r="AB642"/>
      <c r="AC642"/>
      <c r="AD642"/>
      <c r="AE642"/>
      <c r="AF642"/>
      <c r="AG642"/>
      <c r="AH642"/>
      <c r="AI642"/>
      <c r="AJ642"/>
      <c r="AK642"/>
      <c r="AL642"/>
      <c r="AM642"/>
      <c r="AN642"/>
      <c r="AO642"/>
      <c r="AP642"/>
      <c r="AQ642"/>
      <c r="AR642" s="94"/>
      <c r="AS642" s="94"/>
      <c r="AT642" s="94"/>
      <c r="AU642" s="94"/>
      <c r="AV642" s="94"/>
      <c r="AW642" s="94"/>
      <c r="AX642" s="94"/>
      <c r="AY642" s="94"/>
      <c r="AZ642" s="94"/>
      <c r="BA642" s="95"/>
    </row>
    <row r="643" spans="1:53" s="87" customFormat="1" ht="13">
      <c r="A643" s="90" t="str">
        <f t="shared" si="34"/>
        <v/>
      </c>
      <c r="B643" s="98">
        <v>8</v>
      </c>
      <c r="C643" s="94">
        <v>1</v>
      </c>
      <c r="D643" s="94" t="s">
        <v>210</v>
      </c>
      <c r="E643" s="94" t="s">
        <v>210</v>
      </c>
      <c r="F643" s="94">
        <v>9</v>
      </c>
      <c r="G643" s="94">
        <v>-3</v>
      </c>
      <c r="H643" s="94" t="s">
        <v>210</v>
      </c>
      <c r="I643" s="94" t="s">
        <v>210</v>
      </c>
      <c r="J643" s="94">
        <v>-7</v>
      </c>
      <c r="K643" s="94">
        <v>5</v>
      </c>
      <c r="L643" s="94" t="s">
        <v>210</v>
      </c>
      <c r="M643" s="94" t="s">
        <v>210</v>
      </c>
      <c r="N643" s="94">
        <v>-4</v>
      </c>
      <c r="O643" s="94">
        <v>-6</v>
      </c>
      <c r="P643" s="94" t="s">
        <v>210</v>
      </c>
      <c r="Q643" s="94" t="s">
        <v>210</v>
      </c>
      <c r="R643" s="94">
        <v>3</v>
      </c>
      <c r="S643" s="94">
        <v>8</v>
      </c>
      <c r="T643" s="94" t="s">
        <v>210</v>
      </c>
      <c r="U643" s="94"/>
      <c r="V643" s="94"/>
      <c r="W643" s="94"/>
      <c r="X643" s="94"/>
      <c r="Y643" s="94"/>
      <c r="Z643"/>
      <c r="AA643"/>
      <c r="AB643"/>
      <c r="AC643"/>
      <c r="AD643"/>
      <c r="AE643"/>
      <c r="AF643"/>
      <c r="AG643"/>
      <c r="AH643"/>
      <c r="AI643"/>
      <c r="AJ643"/>
      <c r="AK643"/>
      <c r="AL643"/>
      <c r="AM643"/>
      <c r="AN643"/>
      <c r="AO643"/>
      <c r="AP643"/>
      <c r="AQ643"/>
      <c r="AR643" s="94"/>
      <c r="AS643" s="94"/>
      <c r="AT643" s="94"/>
      <c r="AU643" s="94"/>
      <c r="AV643" s="94"/>
      <c r="AW643" s="94"/>
      <c r="AX643" s="94"/>
      <c r="AY643" s="94"/>
      <c r="AZ643" s="94"/>
      <c r="BA643" s="95"/>
    </row>
    <row r="644" spans="1:53" s="87" customFormat="1" ht="13">
      <c r="A644" s="90" t="str">
        <f t="shared" si="34"/>
        <v/>
      </c>
      <c r="B644" s="98">
        <v>9</v>
      </c>
      <c r="C644" s="94">
        <v>7</v>
      </c>
      <c r="D644" s="94" t="s">
        <v>210</v>
      </c>
      <c r="E644" s="94" t="s">
        <v>210</v>
      </c>
      <c r="F644" s="94">
        <v>2</v>
      </c>
      <c r="G644" s="94">
        <v>-8</v>
      </c>
      <c r="H644" s="94" t="s">
        <v>210</v>
      </c>
      <c r="I644" s="94" t="s">
        <v>210</v>
      </c>
      <c r="J644" s="94">
        <v>6</v>
      </c>
      <c r="K644" s="94">
        <v>-1</v>
      </c>
      <c r="L644" s="94" t="s">
        <v>210</v>
      </c>
      <c r="M644" s="94" t="s">
        <v>210</v>
      </c>
      <c r="N644" s="94">
        <v>4</v>
      </c>
      <c r="O644" s="94">
        <v>-5</v>
      </c>
      <c r="P644" s="94" t="s">
        <v>210</v>
      </c>
      <c r="Q644" s="94" t="s">
        <v>210</v>
      </c>
      <c r="R644" s="94">
        <v>8</v>
      </c>
      <c r="S644" s="94">
        <v>-9</v>
      </c>
      <c r="T644" s="94" t="s">
        <v>210</v>
      </c>
      <c r="U644" s="94"/>
      <c r="V644" s="94"/>
      <c r="W644" s="94"/>
      <c r="X644" s="94"/>
      <c r="Y644" s="94"/>
      <c r="Z644"/>
      <c r="AA644"/>
      <c r="AB644"/>
      <c r="AC644"/>
      <c r="AD644"/>
      <c r="AE644"/>
      <c r="AF644"/>
      <c r="AG644"/>
      <c r="AH644"/>
      <c r="AI644"/>
      <c r="AJ644"/>
      <c r="AK644"/>
      <c r="AL644"/>
      <c r="AM644"/>
      <c r="AN644"/>
      <c r="AO644"/>
      <c r="AP644"/>
      <c r="AQ644"/>
      <c r="AR644" s="94"/>
      <c r="AS644" s="94"/>
      <c r="AT644" s="94"/>
      <c r="AU644" s="94"/>
      <c r="AV644" s="94"/>
      <c r="AW644" s="94"/>
      <c r="AX644" s="94"/>
      <c r="AY644" s="94"/>
      <c r="AZ644" s="94"/>
      <c r="BA644" s="95"/>
    </row>
    <row r="645" spans="1:53" s="87" customFormat="1" ht="13">
      <c r="A645" s="90" t="str">
        <f t="shared" si="34"/>
        <v/>
      </c>
      <c r="B645" s="99">
        <v>10</v>
      </c>
      <c r="C645" s="92">
        <v>8</v>
      </c>
      <c r="D645" s="92" t="s">
        <v>210</v>
      </c>
      <c r="E645" s="92" t="s">
        <v>210</v>
      </c>
      <c r="F645" s="92">
        <v>7</v>
      </c>
      <c r="G645" s="92">
        <v>-4</v>
      </c>
      <c r="H645" s="92" t="s">
        <v>210</v>
      </c>
      <c r="I645" s="92" t="s">
        <v>210</v>
      </c>
      <c r="J645" s="92">
        <v>-5</v>
      </c>
      <c r="K645" s="92">
        <v>2</v>
      </c>
      <c r="L645" s="92" t="s">
        <v>210</v>
      </c>
      <c r="M645" s="92" t="s">
        <v>210</v>
      </c>
      <c r="N645" s="92">
        <v>6</v>
      </c>
      <c r="O645" s="92">
        <v>-7</v>
      </c>
      <c r="P645" s="92" t="s">
        <v>210</v>
      </c>
      <c r="Q645" s="92" t="s">
        <v>210</v>
      </c>
      <c r="R645" s="92">
        <v>-3</v>
      </c>
      <c r="S645" s="92">
        <v>9</v>
      </c>
      <c r="T645" s="92" t="s">
        <v>210</v>
      </c>
      <c r="U645" s="94"/>
      <c r="V645" s="94"/>
      <c r="W645" s="94"/>
      <c r="X645" s="94"/>
      <c r="Y645" s="94"/>
      <c r="Z645"/>
      <c r="AA645"/>
      <c r="AB645"/>
      <c r="AC645"/>
      <c r="AD645"/>
      <c r="AE645"/>
      <c r="AF645"/>
      <c r="AG645"/>
      <c r="AH645"/>
      <c r="AI645"/>
      <c r="AJ645"/>
      <c r="AK645"/>
      <c r="AL645"/>
      <c r="AM645"/>
      <c r="AN645"/>
      <c r="AO645"/>
      <c r="AP645"/>
      <c r="AQ645"/>
      <c r="AR645" s="94"/>
      <c r="AS645" s="94"/>
      <c r="AT645" s="94"/>
      <c r="AU645" s="94"/>
      <c r="AV645" s="94"/>
      <c r="AW645" s="94"/>
      <c r="AX645" s="94"/>
      <c r="AY645" s="94"/>
      <c r="AZ645" s="94"/>
      <c r="BA645" s="95"/>
    </row>
    <row r="646" spans="1:53" s="87" customFormat="1" ht="13">
      <c r="A646" s="90" t="str">
        <f t="shared" si="34"/>
        <v/>
      </c>
      <c r="B646" s="98">
        <v>11</v>
      </c>
      <c r="C646" s="94" t="s">
        <v>210</v>
      </c>
      <c r="D646" s="94">
        <v>-4</v>
      </c>
      <c r="E646" s="94">
        <v>7</v>
      </c>
      <c r="F646" s="94" t="s">
        <v>210</v>
      </c>
      <c r="G646" s="94" t="s">
        <v>210</v>
      </c>
      <c r="H646" s="94">
        <v>5</v>
      </c>
      <c r="I646" s="94">
        <v>-1</v>
      </c>
      <c r="J646" s="94" t="s">
        <v>210</v>
      </c>
      <c r="K646" s="94" t="s">
        <v>210</v>
      </c>
      <c r="L646" s="94">
        <v>-2</v>
      </c>
      <c r="M646" s="94">
        <v>3</v>
      </c>
      <c r="N646" s="94" t="s">
        <v>210</v>
      </c>
      <c r="O646" s="94" t="s">
        <v>210</v>
      </c>
      <c r="P646" s="94">
        <v>8</v>
      </c>
      <c r="Q646" s="94">
        <v>-9</v>
      </c>
      <c r="R646" s="94" t="s">
        <v>210</v>
      </c>
      <c r="S646" s="94" t="s">
        <v>210</v>
      </c>
      <c r="T646" s="94">
        <v>-6</v>
      </c>
      <c r="U646" s="94"/>
      <c r="V646" s="94"/>
      <c r="W646" s="94"/>
      <c r="X646" s="94"/>
      <c r="Y646" s="94"/>
      <c r="Z646"/>
      <c r="AA646"/>
      <c r="AB646"/>
      <c r="AC646"/>
      <c r="AD646"/>
      <c r="AE646"/>
      <c r="AF646"/>
      <c r="AG646"/>
      <c r="AH646"/>
      <c r="AI646"/>
      <c r="AJ646"/>
      <c r="AK646"/>
      <c r="AL646"/>
      <c r="AM646"/>
      <c r="AN646"/>
      <c r="AO646"/>
      <c r="AP646"/>
      <c r="AQ646"/>
      <c r="AR646" s="94"/>
      <c r="AS646" s="94"/>
      <c r="AT646" s="94"/>
      <c r="AU646" s="94"/>
      <c r="AV646" s="94"/>
      <c r="AW646" s="94"/>
      <c r="AX646" s="94"/>
      <c r="AY646" s="94"/>
      <c r="AZ646" s="94"/>
      <c r="BA646" s="95"/>
    </row>
    <row r="647" spans="1:53" s="87" customFormat="1" ht="13">
      <c r="A647" s="90" t="str">
        <f t="shared" si="34"/>
        <v/>
      </c>
      <c r="B647" s="98">
        <v>12</v>
      </c>
      <c r="C647" s="94" t="s">
        <v>210</v>
      </c>
      <c r="D647" s="94">
        <v>3</v>
      </c>
      <c r="E647" s="94">
        <v>2</v>
      </c>
      <c r="F647" s="94" t="s">
        <v>210</v>
      </c>
      <c r="G647" s="94" t="s">
        <v>210</v>
      </c>
      <c r="H647" s="94">
        <v>-6</v>
      </c>
      <c r="I647" s="94">
        <v>-9</v>
      </c>
      <c r="J647" s="94" t="s">
        <v>210</v>
      </c>
      <c r="K647" s="94">
        <v>8</v>
      </c>
      <c r="L647" s="94" t="s">
        <v>210</v>
      </c>
      <c r="M647" s="94">
        <v>7</v>
      </c>
      <c r="N647" s="94" t="s">
        <v>210</v>
      </c>
      <c r="O647" s="94" t="s">
        <v>210</v>
      </c>
      <c r="P647" s="94">
        <v>-4</v>
      </c>
      <c r="Q647" s="94">
        <v>-1</v>
      </c>
      <c r="R647" s="94" t="s">
        <v>210</v>
      </c>
      <c r="S647" s="94" t="s">
        <v>210</v>
      </c>
      <c r="T647" s="94">
        <v>6</v>
      </c>
      <c r="U647" s="94"/>
      <c r="V647" s="94"/>
      <c r="W647" s="94"/>
      <c r="X647" s="94"/>
      <c r="Y647" s="94"/>
      <c r="Z647"/>
      <c r="AA647"/>
      <c r="AB647"/>
      <c r="AC647"/>
      <c r="AD647"/>
      <c r="AE647"/>
      <c r="AF647"/>
      <c r="AG647"/>
      <c r="AH647"/>
      <c r="AI647"/>
      <c r="AJ647"/>
      <c r="AK647"/>
      <c r="AL647"/>
      <c r="AM647"/>
      <c r="AN647"/>
      <c r="AO647"/>
      <c r="AP647"/>
      <c r="AQ647"/>
      <c r="AR647" s="94"/>
      <c r="AS647" s="94"/>
      <c r="AT647" s="94"/>
      <c r="AU647" s="94"/>
      <c r="AV647" s="94"/>
      <c r="AW647" s="94"/>
      <c r="AX647" s="94"/>
      <c r="AY647" s="94"/>
      <c r="AZ647" s="94"/>
      <c r="BA647" s="95"/>
    </row>
    <row r="648" spans="1:53" s="87" customFormat="1" ht="13">
      <c r="A648" s="90" t="str">
        <f t="shared" si="34"/>
        <v/>
      </c>
      <c r="B648" s="98">
        <v>13</v>
      </c>
      <c r="C648" s="94" t="s">
        <v>210</v>
      </c>
      <c r="D648" s="94">
        <v>8</v>
      </c>
      <c r="E648" s="94">
        <v>5</v>
      </c>
      <c r="F648" s="94" t="s">
        <v>210</v>
      </c>
      <c r="G648" s="94" t="s">
        <v>210</v>
      </c>
      <c r="H648" s="94">
        <v>-2</v>
      </c>
      <c r="I648" s="94">
        <v>-7</v>
      </c>
      <c r="J648" s="94" t="s">
        <v>210</v>
      </c>
      <c r="K648" s="94" t="s">
        <v>210</v>
      </c>
      <c r="L648" s="94">
        <v>6</v>
      </c>
      <c r="M648" s="94">
        <v>-1</v>
      </c>
      <c r="N648" s="94" t="s">
        <v>210</v>
      </c>
      <c r="O648" s="94" t="s">
        <v>210</v>
      </c>
      <c r="P648" s="94">
        <v>4</v>
      </c>
      <c r="Q648" s="94">
        <v>9</v>
      </c>
      <c r="R648" s="94" t="s">
        <v>210</v>
      </c>
      <c r="S648" s="94" t="s">
        <v>210</v>
      </c>
      <c r="T648" s="94">
        <v>-5</v>
      </c>
      <c r="U648" s="94"/>
      <c r="V648" s="94"/>
      <c r="W648" s="94"/>
      <c r="X648" s="94"/>
      <c r="Y648" s="94"/>
      <c r="Z648"/>
      <c r="AA648"/>
      <c r="AB648"/>
      <c r="AC648"/>
      <c r="AD648"/>
      <c r="AE648"/>
      <c r="AF648"/>
      <c r="AG648"/>
      <c r="AH648"/>
      <c r="AI648"/>
      <c r="AJ648"/>
      <c r="AK648"/>
      <c r="AL648"/>
      <c r="AM648"/>
      <c r="AN648"/>
      <c r="AO648"/>
      <c r="AP648"/>
      <c r="AQ648"/>
      <c r="AR648" s="94"/>
      <c r="AS648" s="94"/>
      <c r="AT648" s="94"/>
      <c r="AU648" s="94"/>
      <c r="AV648" s="94"/>
      <c r="AW648" s="94"/>
      <c r="AX648" s="94"/>
      <c r="AY648" s="94"/>
      <c r="AZ648" s="94"/>
      <c r="BA648" s="95"/>
    </row>
    <row r="649" spans="1:53" s="87" customFormat="1" ht="13">
      <c r="A649" s="90" t="str">
        <f t="shared" si="34"/>
        <v/>
      </c>
      <c r="B649" s="98">
        <v>14</v>
      </c>
      <c r="C649" s="94" t="s">
        <v>210</v>
      </c>
      <c r="D649" s="94">
        <v>-6</v>
      </c>
      <c r="E649" s="94">
        <v>8</v>
      </c>
      <c r="F649" s="94" t="s">
        <v>210</v>
      </c>
      <c r="G649" s="94" t="s">
        <v>210</v>
      </c>
      <c r="H649" s="94">
        <v>-7</v>
      </c>
      <c r="I649" s="94">
        <v>3</v>
      </c>
      <c r="J649" s="94" t="s">
        <v>210</v>
      </c>
      <c r="K649" s="94" t="s">
        <v>210</v>
      </c>
      <c r="L649" s="94">
        <v>4</v>
      </c>
      <c r="M649" s="94">
        <v>-9</v>
      </c>
      <c r="N649" s="94" t="s">
        <v>210</v>
      </c>
      <c r="O649" s="94" t="s">
        <v>210</v>
      </c>
      <c r="P649" s="94">
        <v>-8</v>
      </c>
      <c r="Q649" s="94">
        <v>1</v>
      </c>
      <c r="R649" s="94" t="s">
        <v>210</v>
      </c>
      <c r="S649" s="94" t="s">
        <v>210</v>
      </c>
      <c r="T649" s="94">
        <v>5</v>
      </c>
      <c r="U649" s="94"/>
      <c r="V649" s="94"/>
      <c r="W649" s="94"/>
      <c r="X649" s="94"/>
      <c r="Y649" s="94"/>
      <c r="Z649"/>
      <c r="AA649"/>
      <c r="AB649"/>
      <c r="AC649"/>
      <c r="AD649"/>
      <c r="AE649"/>
      <c r="AF649"/>
      <c r="AG649"/>
      <c r="AH649"/>
      <c r="AI649"/>
      <c r="AJ649"/>
      <c r="AK649"/>
      <c r="AL649"/>
      <c r="AM649"/>
      <c r="AN649"/>
      <c r="AO649"/>
      <c r="AP649"/>
      <c r="AQ649"/>
      <c r="AR649" s="94"/>
      <c r="AS649" s="94"/>
      <c r="AT649" s="94"/>
      <c r="AU649" s="94"/>
      <c r="AV649" s="94"/>
      <c r="AW649" s="94"/>
      <c r="AX649" s="94"/>
      <c r="AY649" s="94"/>
      <c r="AZ649" s="94"/>
      <c r="BA649" s="95"/>
    </row>
    <row r="650" spans="1:53" s="87" customFormat="1" ht="13">
      <c r="A650" s="90" t="str">
        <f t="shared" si="34"/>
        <v/>
      </c>
      <c r="B650" s="98">
        <v>15</v>
      </c>
      <c r="C650" s="94">
        <v>5</v>
      </c>
      <c r="D650" s="94" t="s">
        <v>210</v>
      </c>
      <c r="E650" s="94">
        <v>-1</v>
      </c>
      <c r="F650" s="94" t="s">
        <v>210</v>
      </c>
      <c r="G650" s="94" t="s">
        <v>210</v>
      </c>
      <c r="H650" s="94">
        <v>7</v>
      </c>
      <c r="I650" s="94">
        <v>9</v>
      </c>
      <c r="J650" s="94" t="s">
        <v>210</v>
      </c>
      <c r="K650" s="94" t="s">
        <v>210</v>
      </c>
      <c r="L650" s="94">
        <v>-6</v>
      </c>
      <c r="M650" s="94">
        <v>-3</v>
      </c>
      <c r="N650" s="94" t="s">
        <v>210</v>
      </c>
      <c r="O650" s="94" t="s">
        <v>210</v>
      </c>
      <c r="P650" s="94">
        <v>2</v>
      </c>
      <c r="Q650" s="94">
        <v>-7</v>
      </c>
      <c r="R650" s="94" t="s">
        <v>210</v>
      </c>
      <c r="S650" s="94" t="s">
        <v>210</v>
      </c>
      <c r="T650" s="94">
        <v>-8</v>
      </c>
      <c r="U650" s="94"/>
      <c r="V650" s="94"/>
      <c r="W650" s="94"/>
      <c r="X650" s="94"/>
      <c r="Y650" s="94"/>
      <c r="Z650"/>
      <c r="AA650"/>
      <c r="AB650"/>
      <c r="AC650"/>
      <c r="AD650"/>
      <c r="AE650"/>
      <c r="AF650"/>
      <c r="AG650"/>
      <c r="AH650"/>
      <c r="AI650"/>
      <c r="AJ650"/>
      <c r="AK650"/>
      <c r="AL650"/>
      <c r="AM650"/>
      <c r="AN650"/>
      <c r="AO650"/>
      <c r="AP650"/>
      <c r="AQ650"/>
      <c r="AR650" s="94"/>
      <c r="AS650" s="94"/>
      <c r="AT650" s="94"/>
      <c r="AU650" s="94"/>
      <c r="AV650" s="94"/>
      <c r="AW650" s="94"/>
      <c r="AX650" s="94"/>
      <c r="AY650" s="94"/>
      <c r="AZ650" s="94"/>
      <c r="BA650" s="95"/>
    </row>
    <row r="651" spans="1:53" s="87" customFormat="1" ht="13">
      <c r="A651" s="90" t="str">
        <f t="shared" si="34"/>
        <v/>
      </c>
      <c r="B651" s="98">
        <v>16</v>
      </c>
      <c r="C651" s="94" t="s">
        <v>210</v>
      </c>
      <c r="D651" s="94">
        <v>7</v>
      </c>
      <c r="E651" s="94">
        <v>-9</v>
      </c>
      <c r="F651" s="94" t="s">
        <v>210</v>
      </c>
      <c r="G651" s="94" t="s">
        <v>210</v>
      </c>
      <c r="H651" s="94">
        <v>2</v>
      </c>
      <c r="I651" s="94">
        <v>1</v>
      </c>
      <c r="J651" s="94" t="s">
        <v>210</v>
      </c>
      <c r="K651" s="94" t="s">
        <v>210</v>
      </c>
      <c r="L651" s="94">
        <v>-4</v>
      </c>
      <c r="M651" s="94">
        <v>-7</v>
      </c>
      <c r="N651" s="94" t="s">
        <v>210</v>
      </c>
      <c r="O651" s="94" t="s">
        <v>210</v>
      </c>
      <c r="P651" s="94">
        <v>5</v>
      </c>
      <c r="Q651" s="94">
        <v>-3</v>
      </c>
      <c r="R651" s="94" t="s">
        <v>210</v>
      </c>
      <c r="S651" s="94" t="s">
        <v>210</v>
      </c>
      <c r="T651" s="94">
        <v>8</v>
      </c>
      <c r="U651" s="94"/>
      <c r="V651" s="94"/>
      <c r="W651" s="94"/>
      <c r="X651" s="94"/>
      <c r="Y651" s="94"/>
      <c r="Z651"/>
      <c r="AA651"/>
      <c r="AB651"/>
      <c r="AC651"/>
      <c r="AD651"/>
      <c r="AE651"/>
      <c r="AF651"/>
      <c r="AG651"/>
      <c r="AH651"/>
      <c r="AI651"/>
      <c r="AJ651"/>
      <c r="AK651"/>
      <c r="AL651"/>
      <c r="AM651"/>
      <c r="AN651"/>
      <c r="AO651"/>
      <c r="AP651"/>
      <c r="AQ651"/>
      <c r="AR651" s="94"/>
      <c r="AS651" s="94"/>
      <c r="AT651" s="94"/>
      <c r="AU651" s="94"/>
      <c r="AV651" s="94"/>
      <c r="AW651" s="94"/>
      <c r="AX651" s="94"/>
      <c r="AY651" s="94"/>
      <c r="AZ651" s="94"/>
      <c r="BA651" s="95"/>
    </row>
    <row r="652" spans="1:53" s="87" customFormat="1" ht="13">
      <c r="A652" s="90" t="str">
        <f t="shared" ref="A652:A715" si="35">IF(MID(B652,3,2)="09",ROW(),"")</f>
        <v/>
      </c>
      <c r="B652" s="98">
        <v>17</v>
      </c>
      <c r="C652" s="94" t="s">
        <v>210</v>
      </c>
      <c r="D652" s="94">
        <v>-9</v>
      </c>
      <c r="E652" s="94">
        <v>4</v>
      </c>
      <c r="F652" s="94" t="s">
        <v>210</v>
      </c>
      <c r="G652" s="94" t="s">
        <v>210</v>
      </c>
      <c r="H652" s="94">
        <v>6</v>
      </c>
      <c r="I652" s="94">
        <v>-3</v>
      </c>
      <c r="J652" s="94" t="s">
        <v>210</v>
      </c>
      <c r="K652" s="94" t="s">
        <v>210</v>
      </c>
      <c r="L652" s="94">
        <v>2</v>
      </c>
      <c r="M652" s="94">
        <v>1</v>
      </c>
      <c r="N652" s="94" t="s">
        <v>210</v>
      </c>
      <c r="O652" s="94" t="s">
        <v>210</v>
      </c>
      <c r="P652" s="94">
        <v>-5</v>
      </c>
      <c r="Q652" s="94">
        <v>7</v>
      </c>
      <c r="R652" s="94" t="s">
        <v>210</v>
      </c>
      <c r="S652" s="94" t="s">
        <v>210</v>
      </c>
      <c r="T652" s="94">
        <v>-4</v>
      </c>
      <c r="U652" s="94"/>
      <c r="V652" s="94"/>
      <c r="W652" s="94"/>
      <c r="X652" s="94"/>
      <c r="Y652" s="94"/>
      <c r="Z652"/>
      <c r="AA652"/>
      <c r="AB652"/>
      <c r="AC652"/>
      <c r="AD652"/>
      <c r="AE652"/>
      <c r="AF652"/>
      <c r="AG652"/>
      <c r="AH652"/>
      <c r="AI652"/>
      <c r="AJ652"/>
      <c r="AK652"/>
      <c r="AL652"/>
      <c r="AM652"/>
      <c r="AN652"/>
      <c r="AO652"/>
      <c r="AP652"/>
      <c r="AQ652"/>
      <c r="AR652" s="94"/>
      <c r="AS652" s="94"/>
      <c r="AT652" s="94"/>
      <c r="AU652" s="94"/>
      <c r="AV652" s="94"/>
      <c r="AW652" s="94"/>
      <c r="AX652" s="94"/>
      <c r="AY652" s="94"/>
      <c r="AZ652" s="94"/>
      <c r="BA652" s="95"/>
    </row>
    <row r="653" spans="1:53" s="87" customFormat="1" ht="13">
      <c r="A653" s="90" t="str">
        <f t="shared" si="35"/>
        <v/>
      </c>
      <c r="B653" s="99">
        <v>18</v>
      </c>
      <c r="C653" s="92" t="s">
        <v>210</v>
      </c>
      <c r="D653" s="92">
        <v>2</v>
      </c>
      <c r="E653" s="92">
        <v>-6</v>
      </c>
      <c r="F653" s="92" t="s">
        <v>210</v>
      </c>
      <c r="G653" s="92" t="s">
        <v>210</v>
      </c>
      <c r="H653" s="92">
        <v>-5</v>
      </c>
      <c r="I653" s="92">
        <v>7</v>
      </c>
      <c r="J653" s="92" t="s">
        <v>210</v>
      </c>
      <c r="K653" s="92">
        <v>-8</v>
      </c>
      <c r="L653" s="92" t="s">
        <v>210</v>
      </c>
      <c r="M653" s="92">
        <v>9</v>
      </c>
      <c r="N653" s="92" t="s">
        <v>210</v>
      </c>
      <c r="O653" s="92" t="s">
        <v>210</v>
      </c>
      <c r="P653" s="92">
        <v>-2</v>
      </c>
      <c r="Q653" s="92">
        <v>3</v>
      </c>
      <c r="R653" s="92" t="s">
        <v>210</v>
      </c>
      <c r="S653" s="92" t="s">
        <v>210</v>
      </c>
      <c r="T653" s="92">
        <v>4</v>
      </c>
      <c r="U653" s="94"/>
      <c r="V653" s="94"/>
      <c r="W653" s="94"/>
      <c r="X653" s="94"/>
      <c r="Y653" s="94"/>
      <c r="Z653"/>
      <c r="AA653"/>
      <c r="AB653"/>
      <c r="AC653"/>
      <c r="AD653"/>
      <c r="AE653"/>
      <c r="AF653"/>
      <c r="AG653"/>
      <c r="AH653"/>
      <c r="AI653"/>
      <c r="AJ653"/>
      <c r="AK653"/>
      <c r="AL653"/>
      <c r="AM653"/>
      <c r="AN653"/>
      <c r="AO653"/>
      <c r="AP653"/>
      <c r="AQ653"/>
      <c r="AR653" s="94"/>
      <c r="AS653" s="94"/>
      <c r="AT653" s="94"/>
      <c r="AU653" s="94"/>
      <c r="AV653" s="94"/>
      <c r="AW653" s="94"/>
      <c r="AX653" s="94"/>
      <c r="AY653" s="94"/>
      <c r="AZ653" s="94"/>
      <c r="BA653" s="95"/>
    </row>
    <row r="654" spans="1:53" s="87" customFormat="1" ht="13">
      <c r="A654" s="90" t="str">
        <f t="shared" si="35"/>
        <v/>
      </c>
      <c r="B654" s="98">
        <v>19</v>
      </c>
      <c r="C654" s="94" t="s">
        <v>210</v>
      </c>
      <c r="D654" s="94">
        <v>4</v>
      </c>
      <c r="E654" s="94">
        <v>-8</v>
      </c>
      <c r="F654" s="94" t="s">
        <v>210</v>
      </c>
      <c r="G654" s="94" t="s">
        <v>210</v>
      </c>
      <c r="H654" s="94">
        <v>-1</v>
      </c>
      <c r="I654" s="94">
        <v>2</v>
      </c>
      <c r="J654" s="94" t="s">
        <v>210</v>
      </c>
      <c r="K654" s="94" t="s">
        <v>210</v>
      </c>
      <c r="L654" s="94">
        <v>3</v>
      </c>
      <c r="M654" s="94">
        <v>-5</v>
      </c>
      <c r="N654" s="94" t="s">
        <v>210</v>
      </c>
      <c r="O654" s="94" t="s">
        <v>210</v>
      </c>
      <c r="P654" s="94">
        <v>-6</v>
      </c>
      <c r="Q654" s="94">
        <v>8</v>
      </c>
      <c r="R654" s="94" t="s">
        <v>210</v>
      </c>
      <c r="S654" s="94">
        <v>-7</v>
      </c>
      <c r="T654" s="94" t="s">
        <v>210</v>
      </c>
      <c r="U654" s="94"/>
      <c r="V654" s="94"/>
      <c r="W654" s="94"/>
      <c r="X654" s="94"/>
      <c r="Y654" s="94"/>
      <c r="Z654"/>
      <c r="AA654"/>
      <c r="AB654"/>
      <c r="AC654"/>
      <c r="AD654"/>
      <c r="AE654"/>
      <c r="AF654"/>
      <c r="AG654"/>
      <c r="AH654"/>
      <c r="AI654"/>
      <c r="AJ654"/>
      <c r="AK654"/>
      <c r="AL654"/>
      <c r="AM654"/>
      <c r="AN654"/>
      <c r="AO654"/>
      <c r="AP654"/>
      <c r="AQ654"/>
      <c r="AR654" s="94"/>
      <c r="AS654" s="94"/>
      <c r="AT654" s="94"/>
      <c r="AU654" s="94"/>
      <c r="AV654" s="94"/>
      <c r="AW654" s="94"/>
      <c r="AX654" s="94"/>
      <c r="AY654" s="94"/>
      <c r="AZ654" s="94"/>
      <c r="BA654" s="95"/>
    </row>
    <row r="655" spans="1:53" s="87" customFormat="1" ht="13">
      <c r="A655" s="90" t="str">
        <f t="shared" si="35"/>
        <v/>
      </c>
      <c r="B655" s="98">
        <v>20</v>
      </c>
      <c r="C655" s="94" t="s">
        <v>210</v>
      </c>
      <c r="D655" s="94">
        <v>6</v>
      </c>
      <c r="E655" s="94">
        <v>-5</v>
      </c>
      <c r="F655" s="94" t="s">
        <v>210</v>
      </c>
      <c r="G655" s="94" t="s">
        <v>210</v>
      </c>
      <c r="H655" s="94">
        <v>-4</v>
      </c>
      <c r="I655" s="94">
        <v>8</v>
      </c>
      <c r="J655" s="94" t="s">
        <v>210</v>
      </c>
      <c r="K655" s="94" t="s">
        <v>210</v>
      </c>
      <c r="L655" s="94">
        <v>-9</v>
      </c>
      <c r="M655" s="94">
        <v>2</v>
      </c>
      <c r="N655" s="94" t="s">
        <v>210</v>
      </c>
      <c r="O655" s="94" t="s">
        <v>210</v>
      </c>
      <c r="P655" s="94">
        <v>-3</v>
      </c>
      <c r="Q655" s="94">
        <v>4</v>
      </c>
      <c r="R655" s="94" t="s">
        <v>210</v>
      </c>
      <c r="S655" s="94">
        <v>7</v>
      </c>
      <c r="T655" s="94" t="s">
        <v>210</v>
      </c>
      <c r="U655" s="94"/>
      <c r="V655" s="94"/>
      <c r="W655" s="94"/>
      <c r="X655" s="94"/>
      <c r="Y655" s="94"/>
      <c r="Z655"/>
      <c r="AA655"/>
      <c r="AB655"/>
      <c r="AC655"/>
      <c r="AD655"/>
      <c r="AE655"/>
      <c r="AF655"/>
      <c r="AG655"/>
      <c r="AH655"/>
      <c r="AI655"/>
      <c r="AJ655"/>
      <c r="AK655"/>
      <c r="AL655"/>
      <c r="AM655"/>
      <c r="AN655"/>
      <c r="AO655"/>
      <c r="AP655"/>
      <c r="AQ655"/>
      <c r="AR655" s="94"/>
      <c r="AS655" s="94"/>
      <c r="AT655" s="94"/>
      <c r="AU655" s="94"/>
      <c r="AV655" s="94"/>
      <c r="AW655" s="94"/>
      <c r="AX655" s="94"/>
      <c r="AY655" s="94"/>
      <c r="AZ655" s="94"/>
      <c r="BA655" s="95"/>
    </row>
    <row r="656" spans="1:53" s="87" customFormat="1" ht="13">
      <c r="A656" s="90" t="str">
        <f t="shared" si="35"/>
        <v/>
      </c>
      <c r="B656" s="98">
        <v>21</v>
      </c>
      <c r="C656" s="94" t="s">
        <v>210</v>
      </c>
      <c r="D656" s="94">
        <v>-3</v>
      </c>
      <c r="E656" s="94">
        <v>-7</v>
      </c>
      <c r="F656" s="94" t="s">
        <v>210</v>
      </c>
      <c r="G656" s="94" t="s">
        <v>210</v>
      </c>
      <c r="H656" s="94">
        <v>8</v>
      </c>
      <c r="I656" s="94">
        <v>6</v>
      </c>
      <c r="J656" s="94" t="s">
        <v>210</v>
      </c>
      <c r="K656" s="94" t="s">
        <v>210</v>
      </c>
      <c r="L656" s="94">
        <v>-5</v>
      </c>
      <c r="M656" s="94">
        <v>4</v>
      </c>
      <c r="N656" s="94" t="s">
        <v>210</v>
      </c>
      <c r="O656" s="94" t="s">
        <v>210</v>
      </c>
      <c r="P656" s="94">
        <v>3</v>
      </c>
      <c r="Q656" s="94">
        <v>-8</v>
      </c>
      <c r="R656" s="94" t="s">
        <v>210</v>
      </c>
      <c r="S656" s="94">
        <v>-2</v>
      </c>
      <c r="T656" s="94" t="s">
        <v>210</v>
      </c>
      <c r="U656" s="94"/>
      <c r="V656" s="94"/>
      <c r="W656" s="94"/>
      <c r="X656" s="94"/>
      <c r="Y656" s="94"/>
      <c r="Z656"/>
      <c r="AA656"/>
      <c r="AB656"/>
      <c r="AC656"/>
      <c r="AD656"/>
      <c r="AE656"/>
      <c r="AF656"/>
      <c r="AG656"/>
      <c r="AH656"/>
      <c r="AI656"/>
      <c r="AJ656"/>
      <c r="AK656"/>
      <c r="AL656"/>
      <c r="AM656"/>
      <c r="AN656"/>
      <c r="AO656"/>
      <c r="AP656"/>
      <c r="AQ656"/>
      <c r="AR656" s="94"/>
      <c r="AS656" s="94"/>
      <c r="AT656" s="94"/>
      <c r="AU656" s="94"/>
      <c r="AV656" s="94"/>
      <c r="AW656" s="94"/>
      <c r="AX656" s="94"/>
      <c r="AY656" s="94"/>
      <c r="AZ656" s="94"/>
      <c r="BA656" s="95"/>
    </row>
    <row r="657" spans="1:53" s="87" customFormat="1" ht="13">
      <c r="A657" s="90" t="str">
        <f t="shared" si="35"/>
        <v/>
      </c>
      <c r="B657" s="98">
        <v>22</v>
      </c>
      <c r="C657" s="94" t="s">
        <v>210</v>
      </c>
      <c r="D657" s="94">
        <v>-8</v>
      </c>
      <c r="E657" s="94">
        <v>-2</v>
      </c>
      <c r="F657" s="94" t="s">
        <v>210</v>
      </c>
      <c r="G657" s="94" t="s">
        <v>210</v>
      </c>
      <c r="H657" s="94">
        <v>3</v>
      </c>
      <c r="I657" s="94">
        <v>-5</v>
      </c>
      <c r="J657" s="94" t="s">
        <v>210</v>
      </c>
      <c r="K657" s="94" t="s">
        <v>210</v>
      </c>
      <c r="L657" s="94">
        <v>-7</v>
      </c>
      <c r="M657" s="94">
        <v>8</v>
      </c>
      <c r="N657" s="94" t="s">
        <v>210</v>
      </c>
      <c r="O657" s="94" t="s">
        <v>210</v>
      </c>
      <c r="P657" s="94">
        <v>6</v>
      </c>
      <c r="Q657" s="94">
        <v>-4</v>
      </c>
      <c r="R657" s="94" t="s">
        <v>210</v>
      </c>
      <c r="S657" s="94">
        <v>2</v>
      </c>
      <c r="T657" s="94" t="s">
        <v>210</v>
      </c>
      <c r="U657" s="94"/>
      <c r="V657" s="94"/>
      <c r="W657" s="94"/>
      <c r="X657" s="94"/>
      <c r="Y657" s="94"/>
      <c r="Z657"/>
      <c r="AA657"/>
      <c r="AB657"/>
      <c r="AC657"/>
      <c r="AD657"/>
      <c r="AE657"/>
      <c r="AF657"/>
      <c r="AG657"/>
      <c r="AH657"/>
      <c r="AI657"/>
      <c r="AJ657"/>
      <c r="AK657"/>
      <c r="AL657"/>
      <c r="AM657"/>
      <c r="AN657"/>
      <c r="AO657"/>
      <c r="AP657"/>
      <c r="AQ657"/>
      <c r="AR657" s="94"/>
      <c r="AS657" s="94"/>
      <c r="AT657" s="94"/>
      <c r="AU657" s="94"/>
      <c r="AV657" s="94"/>
      <c r="AW657" s="94"/>
      <c r="AX657" s="94"/>
      <c r="AY657" s="94"/>
      <c r="AZ657" s="94"/>
      <c r="BA657" s="95"/>
    </row>
    <row r="658" spans="1:53" s="87" customFormat="1" ht="13">
      <c r="A658" s="90" t="str">
        <f t="shared" si="35"/>
        <v/>
      </c>
      <c r="B658" s="98">
        <v>23</v>
      </c>
      <c r="C658" s="94">
        <v>6</v>
      </c>
      <c r="D658" s="94" t="s">
        <v>210</v>
      </c>
      <c r="E658" s="94" t="s">
        <v>210</v>
      </c>
      <c r="F658" s="94">
        <v>-3</v>
      </c>
      <c r="G658" s="94" t="s">
        <v>210</v>
      </c>
      <c r="H658" s="94">
        <v>4</v>
      </c>
      <c r="I658" s="94">
        <v>-2</v>
      </c>
      <c r="J658" s="94" t="s">
        <v>210</v>
      </c>
      <c r="K658" s="94" t="s">
        <v>210</v>
      </c>
      <c r="L658" s="94">
        <v>5</v>
      </c>
      <c r="M658" s="94">
        <v>-8</v>
      </c>
      <c r="N658" s="94" t="s">
        <v>210</v>
      </c>
      <c r="O658" s="94" t="s">
        <v>210</v>
      </c>
      <c r="P658" s="94">
        <v>7</v>
      </c>
      <c r="Q658" s="94">
        <v>-6</v>
      </c>
      <c r="R658" s="94" t="s">
        <v>210</v>
      </c>
      <c r="S658" s="94">
        <v>3</v>
      </c>
      <c r="T658" s="94" t="s">
        <v>210</v>
      </c>
      <c r="U658" s="94"/>
      <c r="V658" s="94"/>
      <c r="W658" s="94"/>
      <c r="X658" s="94"/>
      <c r="Y658" s="94"/>
      <c r="Z658"/>
      <c r="AA658"/>
      <c r="AB658"/>
      <c r="AC658"/>
      <c r="AD658"/>
      <c r="AE658"/>
      <c r="AF658"/>
      <c r="AG658"/>
      <c r="AH658"/>
      <c r="AI658"/>
      <c r="AJ658"/>
      <c r="AK658"/>
      <c r="AL658"/>
      <c r="AM658"/>
      <c r="AN658"/>
      <c r="AO658"/>
      <c r="AP658"/>
      <c r="AQ658"/>
      <c r="AR658" s="94"/>
      <c r="AS658" s="94"/>
      <c r="AT658" s="94"/>
      <c r="AU658" s="94"/>
      <c r="AV658" s="94"/>
      <c r="AW658" s="94"/>
      <c r="AX658" s="94"/>
      <c r="AY658" s="94"/>
      <c r="AZ658" s="94"/>
      <c r="BA658" s="95"/>
    </row>
    <row r="659" spans="1:53" s="87" customFormat="1" ht="13">
      <c r="A659" s="90" t="str">
        <f t="shared" si="35"/>
        <v/>
      </c>
      <c r="B659" s="98">
        <v>24</v>
      </c>
      <c r="C659" s="94" t="s">
        <v>210</v>
      </c>
      <c r="D659" s="94">
        <v>-5</v>
      </c>
      <c r="E659" s="94">
        <v>3</v>
      </c>
      <c r="F659" s="94" t="s">
        <v>210</v>
      </c>
      <c r="G659" s="94" t="s">
        <v>210</v>
      </c>
      <c r="H659" s="94">
        <v>1</v>
      </c>
      <c r="I659" s="94">
        <v>-8</v>
      </c>
      <c r="J659" s="94" t="s">
        <v>210</v>
      </c>
      <c r="K659" s="94" t="s">
        <v>210</v>
      </c>
      <c r="L659" s="94">
        <v>7</v>
      </c>
      <c r="M659" s="94">
        <v>-4</v>
      </c>
      <c r="N659" s="94" t="s">
        <v>210</v>
      </c>
      <c r="O659" s="94" t="s">
        <v>210</v>
      </c>
      <c r="P659" s="94">
        <v>-9</v>
      </c>
      <c r="Q659" s="94">
        <v>2</v>
      </c>
      <c r="R659" s="94" t="s">
        <v>210</v>
      </c>
      <c r="S659" s="94">
        <v>-3</v>
      </c>
      <c r="T659" s="94" t="s">
        <v>210</v>
      </c>
      <c r="U659" s="94"/>
      <c r="V659" s="94"/>
      <c r="W659" s="94"/>
      <c r="X659" s="94"/>
      <c r="Y659" s="94"/>
      <c r="Z659"/>
      <c r="AA659"/>
      <c r="AB659"/>
      <c r="AC659"/>
      <c r="AD659"/>
      <c r="AE659"/>
      <c r="AF659"/>
      <c r="AG659"/>
      <c r="AH659"/>
      <c r="AI659"/>
      <c r="AJ659"/>
      <c r="AK659"/>
      <c r="AL659"/>
      <c r="AM659"/>
      <c r="AN659"/>
      <c r="AO659"/>
      <c r="AP659"/>
      <c r="AQ659"/>
      <c r="AR659" s="94"/>
      <c r="AS659" s="94"/>
      <c r="AT659" s="94"/>
      <c r="AU659" s="94"/>
      <c r="AV659" s="94"/>
      <c r="AW659" s="94"/>
      <c r="AX659" s="94"/>
      <c r="AY659" s="94"/>
      <c r="AZ659" s="94"/>
      <c r="BA659" s="95"/>
    </row>
    <row r="660" spans="1:53" s="87" customFormat="1" ht="13">
      <c r="A660" s="90" t="str">
        <f t="shared" si="35"/>
        <v/>
      </c>
      <c r="B660" s="98">
        <v>25</v>
      </c>
      <c r="C660" s="94">
        <v>2</v>
      </c>
      <c r="D660" s="94" t="s">
        <v>210</v>
      </c>
      <c r="E660" s="94" t="s">
        <v>210</v>
      </c>
      <c r="F660" s="94">
        <v>-4</v>
      </c>
      <c r="G660" s="94" t="s">
        <v>210</v>
      </c>
      <c r="H660" s="94">
        <v>-8</v>
      </c>
      <c r="I660" s="94">
        <v>5</v>
      </c>
      <c r="J660" s="94" t="s">
        <v>210</v>
      </c>
      <c r="K660" s="94" t="s">
        <v>210</v>
      </c>
      <c r="L660" s="94">
        <v>-3</v>
      </c>
      <c r="M660" s="94">
        <v>-2</v>
      </c>
      <c r="N660" s="94" t="s">
        <v>210</v>
      </c>
      <c r="O660" s="94" t="s">
        <v>210</v>
      </c>
      <c r="P660" s="94">
        <v>9</v>
      </c>
      <c r="Q660" s="94">
        <v>6</v>
      </c>
      <c r="R660" s="94" t="s">
        <v>210</v>
      </c>
      <c r="S660" s="94">
        <v>-1</v>
      </c>
      <c r="T660" s="94" t="s">
        <v>210</v>
      </c>
      <c r="U660" s="94"/>
      <c r="V660" s="94"/>
      <c r="W660" s="94"/>
      <c r="X660" s="94"/>
      <c r="Y660" s="94"/>
      <c r="Z660"/>
      <c r="AA660"/>
      <c r="AB660"/>
      <c r="AC660"/>
      <c r="AD660"/>
      <c r="AE660"/>
      <c r="AF660"/>
      <c r="AG660"/>
      <c r="AH660"/>
      <c r="AI660"/>
      <c r="AJ660"/>
      <c r="AK660"/>
      <c r="AL660"/>
      <c r="AM660"/>
      <c r="AN660"/>
      <c r="AO660"/>
      <c r="AP660"/>
      <c r="AQ660"/>
      <c r="AR660" s="94"/>
      <c r="AS660" s="94"/>
      <c r="AT660" s="94"/>
      <c r="AU660" s="94"/>
      <c r="AV660" s="94"/>
      <c r="AW660" s="94"/>
      <c r="AX660" s="94"/>
      <c r="AY660" s="94"/>
      <c r="AZ660" s="94"/>
      <c r="BA660" s="95"/>
    </row>
    <row r="661" spans="1:53" s="87" customFormat="1" ht="13">
      <c r="A661" s="90" t="str">
        <f t="shared" si="35"/>
        <v/>
      </c>
      <c r="B661" s="99">
        <v>26</v>
      </c>
      <c r="C661" s="92">
        <v>-4</v>
      </c>
      <c r="D661" s="92" t="s">
        <v>210</v>
      </c>
      <c r="E661" s="92" t="s">
        <v>210</v>
      </c>
      <c r="F661" s="92">
        <v>8</v>
      </c>
      <c r="G661" s="92" t="s">
        <v>210</v>
      </c>
      <c r="H661" s="92">
        <v>-3</v>
      </c>
      <c r="I661" s="92">
        <v>-6</v>
      </c>
      <c r="J661" s="92" t="s">
        <v>210</v>
      </c>
      <c r="K661" s="92" t="s">
        <v>210</v>
      </c>
      <c r="L661" s="92">
        <v>9</v>
      </c>
      <c r="M661" s="92">
        <v>5</v>
      </c>
      <c r="N661" s="92" t="s">
        <v>210</v>
      </c>
      <c r="O661" s="92" t="s">
        <v>210</v>
      </c>
      <c r="P661" s="92">
        <v>-7</v>
      </c>
      <c r="Q661" s="92">
        <v>-2</v>
      </c>
      <c r="R661" s="92" t="s">
        <v>210</v>
      </c>
      <c r="S661" s="92">
        <v>1</v>
      </c>
      <c r="T661" s="92" t="s">
        <v>210</v>
      </c>
      <c r="U661" s="94"/>
      <c r="V661" s="94"/>
      <c r="W661" s="94"/>
      <c r="X661" s="94"/>
      <c r="Y661" s="94"/>
      <c r="Z661"/>
      <c r="AA661"/>
      <c r="AB661"/>
      <c r="AC661"/>
      <c r="AD661"/>
      <c r="AE661"/>
      <c r="AF661"/>
      <c r="AG661"/>
      <c r="AH661"/>
      <c r="AI661"/>
      <c r="AJ661"/>
      <c r="AK661"/>
      <c r="AL661"/>
      <c r="AM661"/>
      <c r="AN661"/>
      <c r="AO661"/>
      <c r="AP661"/>
      <c r="AQ661"/>
      <c r="AR661" s="94"/>
      <c r="AS661" s="94"/>
      <c r="AT661" s="94"/>
      <c r="AU661" s="94"/>
      <c r="AV661" s="94"/>
      <c r="AW661" s="94"/>
      <c r="AX661" s="94"/>
      <c r="AY661" s="94"/>
      <c r="AZ661" s="94"/>
      <c r="BA661" s="95"/>
    </row>
    <row r="662" spans="1:53" s="87" customFormat="1" ht="13">
      <c r="A662" s="90" t="str">
        <f t="shared" si="35"/>
        <v/>
      </c>
      <c r="B662" s="98">
        <v>27</v>
      </c>
      <c r="C662" s="94">
        <v>-5</v>
      </c>
      <c r="D662" s="94" t="s">
        <v>210</v>
      </c>
      <c r="E662" s="94">
        <v>6</v>
      </c>
      <c r="F662" s="94" t="s">
        <v>210</v>
      </c>
      <c r="G662" s="94">
        <v>-2</v>
      </c>
      <c r="H662" s="94" t="s">
        <v>210</v>
      </c>
      <c r="I662" s="94">
        <v>4</v>
      </c>
      <c r="J662" s="94" t="s">
        <v>210</v>
      </c>
      <c r="K662" s="94" t="s">
        <v>210</v>
      </c>
      <c r="L662" s="94">
        <v>8</v>
      </c>
      <c r="M662" s="94" t="s">
        <v>210</v>
      </c>
      <c r="N662" s="94">
        <v>-9</v>
      </c>
      <c r="O662" s="94">
        <v>-4</v>
      </c>
      <c r="P662" s="94" t="s">
        <v>210</v>
      </c>
      <c r="Q662" s="94" t="s">
        <v>210</v>
      </c>
      <c r="R662" s="94">
        <v>1</v>
      </c>
      <c r="S662" s="94" t="s">
        <v>210</v>
      </c>
      <c r="T662" s="94">
        <v>2</v>
      </c>
      <c r="U662" s="94"/>
      <c r="V662" s="94"/>
      <c r="W662" s="94"/>
      <c r="X662" s="94"/>
      <c r="Y662" s="94"/>
      <c r="Z662"/>
      <c r="AA662"/>
      <c r="AB662"/>
      <c r="AC662"/>
      <c r="AD662"/>
      <c r="AE662"/>
      <c r="AF662"/>
      <c r="AG662"/>
      <c r="AH662"/>
      <c r="AI662"/>
      <c r="AJ662"/>
      <c r="AK662"/>
      <c r="AL662"/>
      <c r="AM662"/>
      <c r="AN662"/>
      <c r="AO662"/>
      <c r="AP662"/>
      <c r="AQ662"/>
      <c r="AR662" s="94"/>
      <c r="AS662" s="94"/>
      <c r="AT662" s="94"/>
      <c r="AU662" s="94"/>
      <c r="AV662" s="94"/>
      <c r="AW662" s="94"/>
      <c r="AX662" s="94"/>
      <c r="AY662" s="94"/>
      <c r="AZ662" s="94"/>
      <c r="BA662" s="95"/>
    </row>
    <row r="663" spans="1:53" s="87" customFormat="1" ht="13">
      <c r="A663" s="90" t="str">
        <f t="shared" si="35"/>
        <v/>
      </c>
      <c r="B663" s="98">
        <v>28</v>
      </c>
      <c r="C663" s="94" t="s">
        <v>210</v>
      </c>
      <c r="D663" s="94">
        <v>9</v>
      </c>
      <c r="E663" s="94">
        <v>1</v>
      </c>
      <c r="F663" s="94" t="s">
        <v>210</v>
      </c>
      <c r="G663" s="94">
        <v>-5</v>
      </c>
      <c r="H663" s="94" t="s">
        <v>210</v>
      </c>
      <c r="I663" s="94" t="s">
        <v>210</v>
      </c>
      <c r="J663" s="94">
        <v>-4</v>
      </c>
      <c r="K663" s="94">
        <v>7</v>
      </c>
      <c r="L663" s="94" t="s">
        <v>210</v>
      </c>
      <c r="M663" s="94">
        <v>-6</v>
      </c>
      <c r="N663" s="94" t="s">
        <v>210</v>
      </c>
      <c r="O663" s="94">
        <v>3</v>
      </c>
      <c r="P663" s="94" t="s">
        <v>210</v>
      </c>
      <c r="Q663" s="94" t="s">
        <v>210</v>
      </c>
      <c r="R663" s="94">
        <v>5</v>
      </c>
      <c r="S663" s="94" t="s">
        <v>210</v>
      </c>
      <c r="T663" s="94">
        <v>-2</v>
      </c>
      <c r="U663" s="94"/>
      <c r="V663" s="94"/>
      <c r="W663" s="94"/>
      <c r="X663" s="94"/>
      <c r="Y663" s="94"/>
      <c r="Z663"/>
      <c r="AA663"/>
      <c r="AB663"/>
      <c r="AC663"/>
      <c r="AD663"/>
      <c r="AE663"/>
      <c r="AF663"/>
      <c r="AG663"/>
      <c r="AH663"/>
      <c r="AI663"/>
      <c r="AJ663"/>
      <c r="AK663"/>
      <c r="AL663"/>
      <c r="AM663"/>
      <c r="AN663"/>
      <c r="AO663"/>
      <c r="AP663"/>
      <c r="AQ663"/>
      <c r="AR663" s="94"/>
      <c r="AS663" s="94"/>
      <c r="AT663" s="94"/>
      <c r="AU663" s="94"/>
      <c r="AV663" s="94"/>
      <c r="AW663" s="94"/>
      <c r="AX663" s="94"/>
      <c r="AY663" s="94"/>
      <c r="AZ663" s="94"/>
      <c r="BA663" s="95"/>
    </row>
    <row r="664" spans="1:53" s="87" customFormat="1" ht="13">
      <c r="A664" s="90" t="str">
        <f t="shared" si="35"/>
        <v/>
      </c>
      <c r="B664" s="98">
        <v>29</v>
      </c>
      <c r="C664" s="94" t="s">
        <v>210</v>
      </c>
      <c r="D664" s="94">
        <v>-7</v>
      </c>
      <c r="E664" s="94">
        <v>-4</v>
      </c>
      <c r="F664" s="94" t="s">
        <v>210</v>
      </c>
      <c r="G664" s="94">
        <v>6</v>
      </c>
      <c r="H664" s="94" t="s">
        <v>210</v>
      </c>
      <c r="I664" s="94" t="s">
        <v>210</v>
      </c>
      <c r="J664" s="94">
        <v>-2</v>
      </c>
      <c r="K664" s="94">
        <v>9</v>
      </c>
      <c r="L664" s="94" t="s">
        <v>210</v>
      </c>
      <c r="M664" s="94" t="s">
        <v>210</v>
      </c>
      <c r="N664" s="94">
        <v>8</v>
      </c>
      <c r="O664" s="94">
        <v>-3</v>
      </c>
      <c r="P664" s="94" t="s">
        <v>210</v>
      </c>
      <c r="Q664" s="94" t="s">
        <v>210</v>
      </c>
      <c r="R664" s="94">
        <v>-1</v>
      </c>
      <c r="S664" s="94" t="s">
        <v>210</v>
      </c>
      <c r="T664" s="94">
        <v>7</v>
      </c>
      <c r="U664" s="94"/>
      <c r="V664" s="94"/>
      <c r="W664" s="94"/>
      <c r="X664" s="94"/>
      <c r="Y664" s="94"/>
      <c r="Z664"/>
      <c r="AA664"/>
      <c r="AB664"/>
      <c r="AC664"/>
      <c r="AD664"/>
      <c r="AE664"/>
      <c r="AF664"/>
      <c r="AG664"/>
      <c r="AH664"/>
      <c r="AI664"/>
      <c r="AJ664"/>
      <c r="AK664"/>
      <c r="AL664"/>
      <c r="AM664"/>
      <c r="AN664"/>
      <c r="AO664"/>
      <c r="AP664"/>
      <c r="AQ664"/>
      <c r="AR664" s="94"/>
      <c r="AS664" s="94"/>
      <c r="AT664" s="94"/>
      <c r="AU664" s="94"/>
      <c r="AV664" s="94"/>
      <c r="AW664" s="94"/>
      <c r="AX664" s="94"/>
      <c r="AY664" s="94"/>
      <c r="AZ664" s="94"/>
      <c r="BA664" s="95"/>
    </row>
    <row r="665" spans="1:53" s="87" customFormat="1" ht="13">
      <c r="A665" s="90" t="str">
        <f t="shared" si="35"/>
        <v/>
      </c>
      <c r="B665" s="98">
        <v>30</v>
      </c>
      <c r="C665" s="94" t="s">
        <v>210</v>
      </c>
      <c r="D665" s="94">
        <v>-2</v>
      </c>
      <c r="E665" s="94">
        <v>9</v>
      </c>
      <c r="F665" s="94" t="s">
        <v>210</v>
      </c>
      <c r="G665" s="94">
        <v>7</v>
      </c>
      <c r="H665" s="94" t="s">
        <v>210</v>
      </c>
      <c r="I665" s="94" t="s">
        <v>210</v>
      </c>
      <c r="J665" s="94">
        <v>-1</v>
      </c>
      <c r="K665" s="94">
        <v>-6</v>
      </c>
      <c r="L665" s="94" t="s">
        <v>210</v>
      </c>
      <c r="M665" s="94" t="s">
        <v>210</v>
      </c>
      <c r="N665" s="94">
        <v>3</v>
      </c>
      <c r="O665" s="94">
        <v>4</v>
      </c>
      <c r="P665" s="94" t="s">
        <v>210</v>
      </c>
      <c r="Q665" s="94" t="s">
        <v>210</v>
      </c>
      <c r="R665" s="94">
        <v>-5</v>
      </c>
      <c r="S665" s="94" t="s">
        <v>210</v>
      </c>
      <c r="T665" s="94">
        <v>-7</v>
      </c>
      <c r="U665" s="94"/>
      <c r="V665" s="94"/>
      <c r="W665" s="94"/>
      <c r="X665" s="94"/>
      <c r="Y665" s="94"/>
      <c r="Z665"/>
      <c r="AA665"/>
      <c r="AB665"/>
      <c r="AC665"/>
      <c r="AD665"/>
      <c r="AE665"/>
      <c r="AF665"/>
      <c r="AG665"/>
      <c r="AH665"/>
      <c r="AI665"/>
      <c r="AJ665"/>
      <c r="AK665"/>
      <c r="AL665"/>
      <c r="AM665"/>
      <c r="AN665"/>
      <c r="AO665"/>
      <c r="AP665"/>
      <c r="AQ665"/>
      <c r="AR665" s="94"/>
      <c r="AS665" s="94"/>
      <c r="AT665" s="94"/>
      <c r="AU665" s="94"/>
      <c r="AV665" s="94"/>
      <c r="AW665" s="94"/>
      <c r="AX665" s="94"/>
      <c r="AY665" s="94"/>
      <c r="AZ665" s="94"/>
      <c r="BA665" s="95"/>
    </row>
    <row r="666" spans="1:53" s="87" customFormat="1" ht="13">
      <c r="A666" s="90" t="str">
        <f t="shared" si="35"/>
        <v/>
      </c>
      <c r="B666" s="98">
        <v>31</v>
      </c>
      <c r="C666" s="94">
        <v>-6</v>
      </c>
      <c r="D666" s="94" t="s">
        <v>210</v>
      </c>
      <c r="E666" s="94" t="s">
        <v>210</v>
      </c>
      <c r="F666" s="94">
        <v>4</v>
      </c>
      <c r="G666" s="94">
        <v>-7</v>
      </c>
      <c r="H666" s="94" t="s">
        <v>210</v>
      </c>
      <c r="I666" s="94" t="s">
        <v>210</v>
      </c>
      <c r="J666" s="94">
        <v>2</v>
      </c>
      <c r="K666" s="94" t="s">
        <v>210</v>
      </c>
      <c r="L666" s="94">
        <v>-8</v>
      </c>
      <c r="M666" s="94">
        <v>6</v>
      </c>
      <c r="N666" s="94" t="s">
        <v>210</v>
      </c>
      <c r="O666" s="94">
        <v>-9</v>
      </c>
      <c r="P666" s="94" t="s">
        <v>210</v>
      </c>
      <c r="Q666" s="94">
        <v>5</v>
      </c>
      <c r="R666" s="94" t="s">
        <v>210</v>
      </c>
      <c r="S666" s="94" t="s">
        <v>210</v>
      </c>
      <c r="T666" s="94">
        <v>-3</v>
      </c>
      <c r="U666" s="94"/>
      <c r="V666" s="94"/>
      <c r="W666" s="94"/>
      <c r="X666" s="94"/>
      <c r="Y666" s="94"/>
      <c r="Z666"/>
      <c r="AA666"/>
      <c r="AB666"/>
      <c r="AC666"/>
      <c r="AD666"/>
      <c r="AE666"/>
      <c r="AF666"/>
      <c r="AG666"/>
      <c r="AH666"/>
      <c r="AI666"/>
      <c r="AJ666"/>
      <c r="AK666"/>
      <c r="AL666"/>
      <c r="AM666"/>
      <c r="AN666"/>
      <c r="AO666"/>
      <c r="AP666"/>
      <c r="AQ666"/>
      <c r="AR666" s="94"/>
      <c r="AS666" s="94"/>
      <c r="AT666" s="94"/>
      <c r="AU666" s="94"/>
      <c r="AV666" s="94"/>
      <c r="AW666" s="94"/>
      <c r="AX666" s="94"/>
      <c r="AY666" s="94"/>
      <c r="AZ666" s="94"/>
      <c r="BA666" s="95"/>
    </row>
    <row r="667" spans="1:53" s="87" customFormat="1" ht="13">
      <c r="A667" s="90" t="str">
        <f t="shared" si="35"/>
        <v/>
      </c>
      <c r="B667" s="98">
        <v>32</v>
      </c>
      <c r="C667" s="94">
        <v>4</v>
      </c>
      <c r="D667" s="94" t="s">
        <v>210</v>
      </c>
      <c r="E667" s="94">
        <v>-3</v>
      </c>
      <c r="F667" s="94" t="s">
        <v>210</v>
      </c>
      <c r="G667" s="94">
        <v>-6</v>
      </c>
      <c r="H667" s="94" t="s">
        <v>210</v>
      </c>
      <c r="I667" s="94" t="s">
        <v>210</v>
      </c>
      <c r="J667" s="94">
        <v>1</v>
      </c>
      <c r="K667" s="94">
        <v>-7</v>
      </c>
      <c r="L667" s="94" t="s">
        <v>210</v>
      </c>
      <c r="M667" s="94" t="s">
        <v>210</v>
      </c>
      <c r="N667" s="94">
        <v>9</v>
      </c>
      <c r="O667" s="94">
        <v>-8</v>
      </c>
      <c r="P667" s="94" t="s">
        <v>210</v>
      </c>
      <c r="Q667" s="94" t="s">
        <v>210</v>
      </c>
      <c r="R667" s="94">
        <v>-2</v>
      </c>
      <c r="S667" s="94" t="s">
        <v>210</v>
      </c>
      <c r="T667" s="94">
        <v>3</v>
      </c>
      <c r="U667" s="94"/>
      <c r="V667" s="94"/>
      <c r="W667" s="94"/>
      <c r="X667" s="94"/>
      <c r="Y667" s="94"/>
      <c r="Z667"/>
      <c r="AA667"/>
      <c r="AB667"/>
      <c r="AC667"/>
      <c r="AD667"/>
      <c r="AE667"/>
      <c r="AF667"/>
      <c r="AG667"/>
      <c r="AH667"/>
      <c r="AI667"/>
      <c r="AJ667"/>
      <c r="AK667"/>
      <c r="AL667"/>
      <c r="AM667"/>
      <c r="AN667"/>
      <c r="AO667"/>
      <c r="AP667"/>
      <c r="AQ667"/>
      <c r="AR667" s="94"/>
      <c r="AS667" s="94"/>
      <c r="AT667" s="94"/>
      <c r="AU667" s="94"/>
      <c r="AV667" s="94"/>
      <c r="AW667" s="94"/>
      <c r="AX667" s="94"/>
      <c r="AY667" s="94"/>
      <c r="AZ667" s="94"/>
      <c r="BA667" s="95"/>
    </row>
    <row r="668" spans="1:53" s="87" customFormat="1" ht="13">
      <c r="A668" s="90" t="str">
        <f t="shared" si="35"/>
        <v/>
      </c>
      <c r="B668" s="98">
        <v>33</v>
      </c>
      <c r="C668" s="94">
        <v>-2</v>
      </c>
      <c r="D668" s="94" t="s">
        <v>210</v>
      </c>
      <c r="E668" s="94" t="s">
        <v>210</v>
      </c>
      <c r="F668" s="94">
        <v>3</v>
      </c>
      <c r="G668" s="94">
        <v>5</v>
      </c>
      <c r="H668" s="94" t="s">
        <v>210</v>
      </c>
      <c r="I668" s="94">
        <v>-4</v>
      </c>
      <c r="J668" s="94" t="s">
        <v>210</v>
      </c>
      <c r="K668" s="94">
        <v>6</v>
      </c>
      <c r="L668" s="94" t="s">
        <v>210</v>
      </c>
      <c r="M668" s="94" t="s">
        <v>210</v>
      </c>
      <c r="N668" s="94">
        <v>-8</v>
      </c>
      <c r="O668" s="94">
        <v>9</v>
      </c>
      <c r="P668" s="94" t="s">
        <v>210</v>
      </c>
      <c r="Q668" s="94" t="s">
        <v>210</v>
      </c>
      <c r="R668" s="94">
        <v>2</v>
      </c>
      <c r="S668" s="94" t="s">
        <v>210</v>
      </c>
      <c r="T668" s="94">
        <v>-1</v>
      </c>
      <c r="U668" s="94"/>
      <c r="V668" s="94"/>
      <c r="W668" s="94"/>
      <c r="X668" s="94"/>
      <c r="Y668" s="94"/>
      <c r="Z668"/>
      <c r="AA668"/>
      <c r="AB668"/>
      <c r="AC668"/>
      <c r="AD668"/>
      <c r="AE668"/>
      <c r="AF668"/>
      <c r="AG668"/>
      <c r="AH668"/>
      <c r="AI668"/>
      <c r="AJ668"/>
      <c r="AK668"/>
      <c r="AL668"/>
      <c r="AM668"/>
      <c r="AN668"/>
      <c r="AO668"/>
      <c r="AP668"/>
      <c r="AQ668"/>
      <c r="AR668" s="94"/>
      <c r="AS668" s="94"/>
      <c r="AT668" s="94"/>
      <c r="AU668" s="94"/>
      <c r="AV668" s="94"/>
      <c r="AW668" s="94"/>
      <c r="AX668" s="94"/>
      <c r="AY668" s="94"/>
      <c r="AZ668" s="94"/>
      <c r="BA668" s="95"/>
    </row>
    <row r="669" spans="1:53" s="87" customFormat="1" ht="13">
      <c r="A669" s="90" t="str">
        <f t="shared" si="35"/>
        <v/>
      </c>
      <c r="B669" s="98">
        <v>34</v>
      </c>
      <c r="C669" s="94" t="s">
        <v>210</v>
      </c>
      <c r="D669" s="94">
        <v>5</v>
      </c>
      <c r="E669" s="94" t="s">
        <v>210</v>
      </c>
      <c r="F669" s="94">
        <v>-8</v>
      </c>
      <c r="G669" s="94">
        <v>2</v>
      </c>
      <c r="H669" s="94" t="s">
        <v>210</v>
      </c>
      <c r="I669" s="94" t="s">
        <v>210</v>
      </c>
      <c r="J669" s="94">
        <v>4</v>
      </c>
      <c r="K669" s="94">
        <v>-9</v>
      </c>
      <c r="L669" s="94" t="s">
        <v>210</v>
      </c>
      <c r="M669" s="94" t="s">
        <v>210</v>
      </c>
      <c r="N669" s="94">
        <v>-3</v>
      </c>
      <c r="O669" s="94">
        <v>8</v>
      </c>
      <c r="P669" s="94" t="s">
        <v>210</v>
      </c>
      <c r="Q669" s="94">
        <v>-5</v>
      </c>
      <c r="R669" s="94" t="s">
        <v>210</v>
      </c>
      <c r="S669" s="94" t="s">
        <v>210</v>
      </c>
      <c r="T669" s="94">
        <v>1</v>
      </c>
      <c r="U669" s="94"/>
      <c r="V669" s="94"/>
      <c r="W669" s="94"/>
      <c r="X669" s="94"/>
      <c r="Y669" s="94"/>
      <c r="Z669"/>
      <c r="AA669"/>
      <c r="AB669"/>
      <c r="AC669"/>
      <c r="AD669"/>
      <c r="AE669"/>
      <c r="AF669"/>
      <c r="AG669"/>
      <c r="AH669"/>
      <c r="AI669"/>
      <c r="AJ669"/>
      <c r="AK669"/>
      <c r="AL669"/>
      <c r="AM669"/>
      <c r="AN669"/>
      <c r="AO669"/>
      <c r="AP669"/>
      <c r="AQ669"/>
      <c r="AR669" s="94"/>
      <c r="AS669" s="94"/>
      <c r="AT669" s="94"/>
      <c r="AU669" s="94"/>
      <c r="AV669" s="94"/>
      <c r="AW669" s="94"/>
      <c r="AX669" s="94"/>
      <c r="AY669" s="94"/>
      <c r="AZ669" s="94"/>
      <c r="BA669" s="95"/>
    </row>
    <row r="670" spans="1:53" s="87" customFormat="1">
      <c r="A670" s="90" t="str">
        <f t="shared" si="35"/>
        <v/>
      </c>
      <c r="B670" s="278" t="s">
        <v>515</v>
      </c>
      <c r="C670" s="94"/>
      <c r="D670" s="94"/>
      <c r="E670" s="94"/>
      <c r="F670" s="94"/>
      <c r="G670" s="94"/>
      <c r="H670" s="94"/>
      <c r="I670" s="94"/>
      <c r="J670" s="94"/>
      <c r="K670" s="94"/>
      <c r="L670" s="94"/>
      <c r="M670" s="94"/>
      <c r="N670" s="94"/>
      <c r="O670" s="94"/>
      <c r="P670" s="94"/>
      <c r="Q670" s="94"/>
      <c r="R670" s="94"/>
      <c r="S670" s="94"/>
      <c r="T670" s="94"/>
      <c r="U670" s="94"/>
      <c r="V670" s="94"/>
      <c r="W670" s="94"/>
      <c r="X670" s="94"/>
      <c r="Y670" s="94"/>
      <c r="AR670" s="94"/>
      <c r="AS670" s="94"/>
      <c r="AT670" s="94"/>
      <c r="AU670" s="94"/>
      <c r="AV670" s="94"/>
      <c r="AW670" s="94"/>
      <c r="AX670" s="94"/>
      <c r="AY670" s="94"/>
      <c r="AZ670" s="94"/>
      <c r="BA670" s="95"/>
    </row>
    <row r="671" spans="1:53" s="87" customFormat="1">
      <c r="A671" s="90">
        <f t="shared" si="35"/>
        <v>671</v>
      </c>
      <c r="B671" s="98" t="s">
        <v>898</v>
      </c>
      <c r="C671" s="94"/>
      <c r="D671" s="94"/>
      <c r="E671" s="94"/>
      <c r="F671" s="94"/>
      <c r="G671" s="94"/>
      <c r="H671" s="94"/>
      <c r="I671" s="94"/>
      <c r="J671" s="94"/>
      <c r="K671" s="94"/>
      <c r="L671" s="94"/>
      <c r="M671" s="94"/>
      <c r="N671" s="94"/>
      <c r="O671" s="94"/>
      <c r="P671" s="94"/>
      <c r="Q671" s="94"/>
      <c r="R671" s="94"/>
      <c r="S671" s="94"/>
      <c r="T671" s="94"/>
      <c r="U671" s="94"/>
      <c r="V671" s="94"/>
      <c r="W671" s="94"/>
      <c r="X671" s="94"/>
      <c r="Y671" s="94"/>
      <c r="AR671" s="94"/>
      <c r="AS671" s="94"/>
      <c r="AT671" s="94"/>
      <c r="AU671" s="94"/>
      <c r="AV671" s="94"/>
      <c r="AW671" s="94"/>
      <c r="AX671" s="94"/>
      <c r="AY671" s="94"/>
      <c r="AZ671" s="94"/>
      <c r="BA671" s="95"/>
    </row>
    <row r="672" spans="1:53" s="87" customFormat="1">
      <c r="A672" s="90" t="str">
        <f t="shared" si="35"/>
        <v/>
      </c>
      <c r="B672" s="98">
        <v>1</v>
      </c>
      <c r="C672" s="94">
        <v>1</v>
      </c>
      <c r="D672" s="94">
        <v>-7</v>
      </c>
      <c r="E672" s="94">
        <v>-6</v>
      </c>
      <c r="F672" s="94">
        <v>5</v>
      </c>
      <c r="G672" s="94">
        <v>4</v>
      </c>
      <c r="H672" s="94"/>
      <c r="I672" s="94"/>
      <c r="J672" s="94"/>
      <c r="K672" s="94"/>
      <c r="L672" s="94"/>
      <c r="M672" s="94"/>
      <c r="N672" s="94"/>
      <c r="O672" s="94"/>
      <c r="P672" s="94"/>
      <c r="Q672" s="94"/>
      <c r="R672" s="94"/>
      <c r="S672" s="94"/>
      <c r="T672" s="94"/>
      <c r="U672" s="94"/>
      <c r="V672" s="94"/>
      <c r="W672" s="94"/>
      <c r="X672" s="94"/>
      <c r="Y672" s="94"/>
      <c r="AR672" s="94"/>
      <c r="AS672" s="94"/>
      <c r="AT672" s="94"/>
      <c r="AU672" s="94"/>
      <c r="AV672" s="94"/>
      <c r="AW672" s="94"/>
      <c r="AX672" s="94"/>
      <c r="AY672" s="94"/>
      <c r="AZ672" s="94"/>
      <c r="BA672" s="95"/>
    </row>
    <row r="673" spans="1:53" s="87" customFormat="1">
      <c r="A673" s="90" t="str">
        <f t="shared" si="35"/>
        <v/>
      </c>
      <c r="B673" s="98">
        <v>2</v>
      </c>
      <c r="C673" s="94">
        <v>-7</v>
      </c>
      <c r="D673" s="94">
        <v>-9</v>
      </c>
      <c r="E673" s="94">
        <v>2</v>
      </c>
      <c r="F673" s="94">
        <v>6</v>
      </c>
      <c r="G673" s="94">
        <v>-4</v>
      </c>
      <c r="H673" s="94"/>
      <c r="I673" s="94"/>
      <c r="J673" s="94"/>
      <c r="K673" s="94"/>
      <c r="L673" s="94"/>
      <c r="M673" s="94"/>
      <c r="N673" s="94"/>
      <c r="O673" s="94"/>
      <c r="P673" s="94"/>
      <c r="Q673" s="94"/>
      <c r="R673" s="94"/>
      <c r="S673" s="94"/>
      <c r="T673" s="94"/>
      <c r="U673" s="94"/>
      <c r="V673" s="94"/>
      <c r="W673" s="94"/>
      <c r="X673" s="94"/>
      <c r="Y673" s="94"/>
      <c r="Z673" s="94"/>
      <c r="AA673" s="94"/>
      <c r="AB673" s="94"/>
      <c r="AC673" s="94"/>
      <c r="AD673" s="94"/>
      <c r="AE673" s="94"/>
      <c r="AF673" s="94"/>
      <c r="AG673" s="94"/>
      <c r="AH673" s="94"/>
      <c r="AI673" s="94"/>
      <c r="AJ673" s="94"/>
      <c r="AK673" s="94"/>
      <c r="AL673" s="94"/>
      <c r="AM673" s="94"/>
      <c r="AN673" s="94"/>
      <c r="AO673" s="94"/>
      <c r="AP673" s="94"/>
      <c r="AQ673" s="94"/>
      <c r="AR673" s="94"/>
      <c r="AS673" s="94"/>
      <c r="AT673" s="94"/>
      <c r="AU673" s="94"/>
      <c r="AV673" s="94"/>
      <c r="AW673" s="94"/>
      <c r="AX673" s="94"/>
      <c r="AY673" s="94"/>
      <c r="AZ673" s="94"/>
      <c r="BA673" s="95"/>
    </row>
    <row r="674" spans="1:53" s="87" customFormat="1">
      <c r="A674" s="90" t="str">
        <f t="shared" si="35"/>
        <v/>
      </c>
      <c r="B674" s="98">
        <v>3</v>
      </c>
      <c r="C674" s="94">
        <v>-1</v>
      </c>
      <c r="D674" s="94">
        <v>6</v>
      </c>
      <c r="E674" s="94">
        <v>-2</v>
      </c>
      <c r="F674" s="94">
        <v>3</v>
      </c>
      <c r="G674" s="94">
        <v>-5</v>
      </c>
      <c r="H674" s="94"/>
      <c r="I674" s="94"/>
      <c r="J674" s="94"/>
      <c r="K674" s="94"/>
      <c r="L674" s="94"/>
      <c r="M674" s="94"/>
      <c r="N674" s="94"/>
      <c r="O674" s="94"/>
      <c r="P674" s="94"/>
      <c r="Q674" s="94"/>
      <c r="R674" s="94"/>
      <c r="S674" s="94"/>
      <c r="T674" s="94"/>
      <c r="U674" s="94"/>
      <c r="V674" s="94"/>
      <c r="W674" s="94"/>
      <c r="X674" s="94"/>
      <c r="Y674" s="94"/>
      <c r="Z674" s="94"/>
      <c r="AA674" s="94"/>
      <c r="AB674" s="94"/>
      <c r="AC674" s="94"/>
      <c r="AD674" s="94"/>
      <c r="AE674" s="94"/>
      <c r="AF674" s="94"/>
      <c r="AG674" s="94"/>
      <c r="AH674" s="94"/>
      <c r="AI674" s="94"/>
      <c r="AJ674" s="94"/>
      <c r="AK674" s="94"/>
      <c r="AL674" s="94"/>
      <c r="AM674" s="94"/>
      <c r="AN674" s="94"/>
      <c r="AO674" s="94"/>
      <c r="AP674" s="94"/>
      <c r="AQ674" s="94"/>
      <c r="AR674" s="94"/>
      <c r="AS674" s="94"/>
      <c r="AT674" s="94"/>
      <c r="AU674" s="94"/>
      <c r="AV674" s="94"/>
      <c r="AW674" s="94"/>
      <c r="AX674" s="94"/>
      <c r="AY674" s="94"/>
      <c r="AZ674" s="94"/>
      <c r="BA674" s="95"/>
    </row>
    <row r="675" spans="1:53" s="87" customFormat="1">
      <c r="A675" s="90" t="str">
        <f t="shared" si="35"/>
        <v/>
      </c>
      <c r="B675" s="98">
        <v>4</v>
      </c>
      <c r="C675" s="94">
        <v>-2</v>
      </c>
      <c r="D675" s="94">
        <v>7</v>
      </c>
      <c r="E675" s="94">
        <v>-9</v>
      </c>
      <c r="F675" s="94">
        <v>-6</v>
      </c>
      <c r="G675" s="94">
        <v>5</v>
      </c>
      <c r="H675" s="94"/>
      <c r="I675" s="94"/>
      <c r="J675" s="94"/>
      <c r="K675" s="94"/>
      <c r="L675" s="94"/>
      <c r="M675" s="94"/>
      <c r="N675" s="94"/>
      <c r="O675" s="94"/>
      <c r="P675" s="94"/>
      <c r="Q675" s="94"/>
      <c r="R675" s="94"/>
      <c r="S675" s="94"/>
      <c r="T675" s="94"/>
      <c r="U675" s="94"/>
      <c r="V675" s="94"/>
      <c r="W675" s="94"/>
      <c r="X675" s="94"/>
      <c r="Y675" s="94"/>
      <c r="Z675" s="94"/>
      <c r="AA675" s="94"/>
      <c r="AB675" s="94"/>
      <c r="AC675" s="94"/>
      <c r="AD675" s="94"/>
      <c r="AE675" s="94"/>
      <c r="AF675" s="94"/>
      <c r="AG675" s="94"/>
      <c r="AH675" s="94"/>
      <c r="AI675" s="94"/>
      <c r="AJ675" s="94"/>
      <c r="AK675" s="94"/>
      <c r="AL675" s="94"/>
      <c r="AM675" s="94"/>
      <c r="AN675" s="94"/>
      <c r="AO675" s="94"/>
      <c r="AP675" s="94"/>
      <c r="AQ675" s="94"/>
      <c r="AR675" s="94"/>
      <c r="AS675" s="94"/>
      <c r="AT675" s="94"/>
      <c r="AU675" s="94"/>
      <c r="AV675" s="94"/>
      <c r="AW675" s="94"/>
      <c r="AX675" s="94"/>
      <c r="AY675" s="94"/>
      <c r="AZ675" s="94"/>
      <c r="BA675" s="95"/>
    </row>
    <row r="676" spans="1:53" s="87" customFormat="1">
      <c r="A676" s="90" t="str">
        <f t="shared" si="35"/>
        <v/>
      </c>
      <c r="B676" s="99">
        <v>5</v>
      </c>
      <c r="C676" s="92">
        <v>7</v>
      </c>
      <c r="D676" s="92">
        <v>-6</v>
      </c>
      <c r="E676" s="92">
        <v>9</v>
      </c>
      <c r="F676" s="92">
        <v>-5</v>
      </c>
      <c r="G676" s="92">
        <v>-8</v>
      </c>
      <c r="H676" s="94"/>
      <c r="I676" s="94"/>
      <c r="J676" s="94"/>
      <c r="K676" s="94"/>
      <c r="L676" s="94"/>
      <c r="M676" s="94"/>
      <c r="N676" s="94"/>
      <c r="O676" s="94"/>
      <c r="P676" s="94"/>
      <c r="Q676" s="94"/>
      <c r="R676" s="94"/>
      <c r="S676" s="94"/>
      <c r="T676" s="94"/>
      <c r="U676" s="94"/>
      <c r="V676" s="94"/>
      <c r="W676" s="94"/>
      <c r="X676" s="94"/>
      <c r="Y676" s="94"/>
      <c r="Z676" s="94"/>
      <c r="AA676" s="94"/>
      <c r="AB676" s="94"/>
      <c r="AC676" s="94"/>
      <c r="AD676" s="94"/>
      <c r="AE676" s="94"/>
      <c r="AF676" s="94"/>
      <c r="AG676" s="94"/>
      <c r="AH676" s="94"/>
      <c r="AI676" s="94"/>
      <c r="AJ676" s="94"/>
      <c r="AK676" s="94"/>
      <c r="AL676" s="94"/>
      <c r="AM676" s="94"/>
      <c r="AN676" s="94"/>
      <c r="AO676" s="94"/>
      <c r="AP676" s="94"/>
      <c r="AQ676" s="94"/>
      <c r="AR676" s="94"/>
      <c r="AS676" s="94"/>
      <c r="AT676" s="94"/>
      <c r="AU676" s="94"/>
      <c r="AV676" s="94"/>
      <c r="AW676" s="94"/>
      <c r="AX676" s="94"/>
      <c r="AY676" s="94"/>
      <c r="AZ676" s="94"/>
      <c r="BA676" s="95"/>
    </row>
    <row r="677" spans="1:53" s="87" customFormat="1">
      <c r="A677" s="90" t="str">
        <f t="shared" si="35"/>
        <v/>
      </c>
      <c r="B677" s="98">
        <v>6</v>
      </c>
      <c r="C677" s="94">
        <v>-8</v>
      </c>
      <c r="D677" s="94">
        <v>-2</v>
      </c>
      <c r="E677" s="94">
        <v>6</v>
      </c>
      <c r="F677" s="94">
        <v>9</v>
      </c>
      <c r="G677" s="94">
        <v>-3</v>
      </c>
      <c r="H677" s="94"/>
      <c r="I677" s="94"/>
      <c r="J677" s="94"/>
      <c r="K677" s="94"/>
      <c r="L677" s="94"/>
      <c r="M677" s="94"/>
      <c r="N677" s="94"/>
      <c r="O677" s="94"/>
      <c r="P677" s="94"/>
      <c r="Q677" s="94"/>
      <c r="R677" s="94"/>
      <c r="S677" s="94"/>
      <c r="T677" s="94"/>
      <c r="U677" s="94"/>
      <c r="V677" s="94"/>
      <c r="W677" s="94"/>
      <c r="X677" s="94"/>
      <c r="Y677" s="94"/>
      <c r="Z677" s="94"/>
      <c r="AA677" s="94"/>
      <c r="AB677" s="94"/>
      <c r="AC677" s="94"/>
      <c r="AD677" s="94"/>
      <c r="AE677" s="94"/>
      <c r="AF677" s="94"/>
      <c r="AG677" s="94"/>
      <c r="AH677" s="94"/>
      <c r="AI677" s="94"/>
      <c r="AJ677" s="94"/>
      <c r="AK677" s="94"/>
      <c r="AL677" s="94"/>
      <c r="AM677" s="94"/>
      <c r="AN677" s="94"/>
      <c r="AO677" s="94"/>
      <c r="AP677" s="94"/>
      <c r="AQ677" s="94"/>
      <c r="AR677" s="94"/>
      <c r="AS677" s="94"/>
      <c r="AT677" s="94"/>
      <c r="AU677" s="94"/>
      <c r="AV677" s="94"/>
      <c r="AW677" s="94"/>
      <c r="AX677" s="94"/>
      <c r="AY677" s="94"/>
      <c r="AZ677" s="94"/>
      <c r="BA677" s="95"/>
    </row>
    <row r="678" spans="1:53" s="87" customFormat="1">
      <c r="A678" s="90" t="str">
        <f t="shared" si="35"/>
        <v/>
      </c>
      <c r="B678" s="98">
        <v>7</v>
      </c>
      <c r="C678" s="94">
        <v>8</v>
      </c>
      <c r="D678" s="94">
        <v>9</v>
      </c>
      <c r="E678" s="94">
        <v>-7</v>
      </c>
      <c r="F678" s="94">
        <v>4</v>
      </c>
      <c r="G678" s="94">
        <v>-6</v>
      </c>
      <c r="H678" s="94"/>
      <c r="I678" s="94"/>
      <c r="J678" s="94"/>
      <c r="K678" s="94"/>
      <c r="L678" s="94"/>
      <c r="M678" s="94"/>
      <c r="N678" s="94"/>
      <c r="O678" s="94"/>
      <c r="P678" s="94"/>
      <c r="Q678" s="94"/>
      <c r="R678" s="94"/>
      <c r="S678" s="94"/>
      <c r="T678" s="94"/>
      <c r="U678" s="94"/>
      <c r="V678" s="94"/>
      <c r="W678" s="94"/>
      <c r="X678" s="94"/>
      <c r="Y678" s="94"/>
      <c r="Z678" s="94"/>
      <c r="AA678" s="94"/>
      <c r="AB678" s="94"/>
      <c r="AC678" s="94"/>
      <c r="AD678" s="94"/>
      <c r="AE678" s="94"/>
      <c r="AF678" s="94"/>
      <c r="AG678" s="94"/>
      <c r="AH678" s="94"/>
      <c r="AI678" s="94"/>
      <c r="AJ678" s="94"/>
      <c r="AK678" s="94"/>
      <c r="AL678" s="94"/>
      <c r="AM678" s="94"/>
      <c r="AN678" s="94"/>
      <c r="AO678" s="94"/>
      <c r="AP678" s="94"/>
      <c r="AQ678" s="94"/>
      <c r="AR678" s="94"/>
      <c r="AS678" s="94"/>
      <c r="AT678" s="94"/>
      <c r="AU678" s="94"/>
      <c r="AV678" s="94"/>
      <c r="AW678" s="94"/>
      <c r="AX678" s="94"/>
      <c r="AY678" s="94"/>
      <c r="AZ678" s="94"/>
      <c r="BA678" s="95"/>
    </row>
    <row r="679" spans="1:53" s="87" customFormat="1">
      <c r="A679" s="90" t="str">
        <f t="shared" si="35"/>
        <v/>
      </c>
      <c r="B679" s="98">
        <v>8</v>
      </c>
      <c r="C679" s="94">
        <v>4</v>
      </c>
      <c r="D679" s="94">
        <v>2</v>
      </c>
      <c r="E679" s="94">
        <v>-1</v>
      </c>
      <c r="F679" s="94">
        <v>-3</v>
      </c>
      <c r="G679" s="94">
        <v>6</v>
      </c>
      <c r="H679" s="94"/>
      <c r="I679" s="94"/>
      <c r="J679" s="94"/>
      <c r="K679" s="94"/>
      <c r="L679" s="94"/>
      <c r="M679" s="94"/>
      <c r="N679" s="94"/>
      <c r="O679" s="94"/>
      <c r="P679" s="94"/>
      <c r="Q679" s="94"/>
      <c r="R679" s="94"/>
      <c r="S679" s="94"/>
      <c r="T679" s="94"/>
      <c r="U679" s="94"/>
      <c r="V679" s="94"/>
      <c r="W679" s="94"/>
      <c r="X679" s="94"/>
      <c r="Y679" s="94"/>
      <c r="Z679" s="94"/>
      <c r="AA679" s="94"/>
      <c r="AB679" s="94"/>
      <c r="AC679" s="94"/>
      <c r="AD679" s="94"/>
      <c r="AE679" s="94"/>
      <c r="AF679" s="94"/>
      <c r="AG679" s="94"/>
      <c r="AH679" s="94"/>
      <c r="AI679" s="94"/>
      <c r="AJ679" s="94"/>
      <c r="AK679" s="94"/>
      <c r="AL679" s="94"/>
      <c r="AM679" s="94"/>
      <c r="AN679" s="94"/>
      <c r="AO679" s="94"/>
      <c r="AP679" s="94"/>
      <c r="AQ679" s="94"/>
      <c r="AR679" s="94"/>
      <c r="AS679" s="94"/>
      <c r="AT679" s="94"/>
      <c r="AU679" s="94"/>
      <c r="AV679" s="94"/>
      <c r="AW679" s="94"/>
      <c r="AX679" s="94"/>
      <c r="AY679" s="94"/>
      <c r="AZ679" s="94"/>
      <c r="BA679" s="95"/>
    </row>
    <row r="680" spans="1:53" s="87" customFormat="1">
      <c r="A680" s="90" t="str">
        <f t="shared" si="35"/>
        <v/>
      </c>
      <c r="B680" s="98">
        <v>9</v>
      </c>
      <c r="C680" s="94">
        <v>2</v>
      </c>
      <c r="D680" s="94">
        <v>-5</v>
      </c>
      <c r="E680" s="94">
        <v>1</v>
      </c>
      <c r="F680" s="94">
        <v>-4</v>
      </c>
      <c r="G680" s="94">
        <v>3</v>
      </c>
      <c r="H680" s="94"/>
      <c r="I680" s="94"/>
      <c r="J680" s="94"/>
      <c r="K680" s="94"/>
      <c r="L680" s="94"/>
      <c r="M680" s="94"/>
      <c r="N680" s="94"/>
      <c r="O680" s="94"/>
      <c r="P680" s="94"/>
      <c r="Q680" s="94"/>
      <c r="R680" s="94"/>
      <c r="S680" s="94"/>
      <c r="T680" s="94"/>
      <c r="U680" s="94"/>
      <c r="V680" s="94"/>
      <c r="W680" s="94"/>
      <c r="X680" s="94"/>
      <c r="Y680" s="94"/>
      <c r="Z680" s="94"/>
      <c r="AA680" s="94"/>
      <c r="AB680" s="94"/>
      <c r="AC680" s="94"/>
      <c r="AD680" s="94"/>
      <c r="AE680" s="94"/>
      <c r="AF680" s="94"/>
      <c r="AG680" s="94"/>
      <c r="AH680" s="94"/>
      <c r="AI680" s="94"/>
      <c r="AJ680" s="94"/>
      <c r="AK680" s="94"/>
      <c r="AL680" s="94"/>
      <c r="AM680" s="94"/>
      <c r="AN680" s="94"/>
      <c r="AO680" s="94"/>
      <c r="AP680" s="94"/>
      <c r="AQ680" s="94"/>
      <c r="AR680" s="94"/>
      <c r="AS680" s="94"/>
      <c r="AT680" s="94"/>
      <c r="AU680" s="94"/>
      <c r="AV680" s="94"/>
      <c r="AW680" s="94"/>
      <c r="AX680" s="94"/>
      <c r="AY680" s="94"/>
      <c r="AZ680" s="94"/>
      <c r="BA680" s="95"/>
    </row>
    <row r="681" spans="1:53" s="87" customFormat="1">
      <c r="A681" s="90" t="str">
        <f t="shared" si="35"/>
        <v/>
      </c>
      <c r="B681" s="99">
        <v>10</v>
      </c>
      <c r="C681" s="92">
        <v>-4</v>
      </c>
      <c r="D681" s="92">
        <v>5</v>
      </c>
      <c r="E681" s="92">
        <v>7</v>
      </c>
      <c r="F681" s="92">
        <v>-9</v>
      </c>
      <c r="G681" s="92">
        <v>8</v>
      </c>
      <c r="H681" s="94"/>
      <c r="I681" s="94"/>
      <c r="J681" s="94"/>
      <c r="K681" s="94"/>
      <c r="L681" s="94"/>
      <c r="M681" s="94"/>
      <c r="N681" s="94"/>
      <c r="O681" s="94"/>
      <c r="P681" s="94"/>
      <c r="Q681" s="94"/>
      <c r="R681" s="94"/>
      <c r="S681" s="94"/>
      <c r="T681" s="94"/>
      <c r="U681" s="94"/>
      <c r="V681" s="94"/>
      <c r="W681" s="94"/>
      <c r="X681" s="94"/>
      <c r="Y681" s="94"/>
      <c r="Z681" s="94"/>
      <c r="AA681" s="94"/>
      <c r="AB681" s="94"/>
      <c r="AC681" s="94"/>
      <c r="AD681" s="94"/>
      <c r="AE681" s="94"/>
      <c r="AF681" s="94"/>
      <c r="AG681" s="94"/>
      <c r="AH681" s="94"/>
      <c r="AI681" s="94"/>
      <c r="AJ681" s="94"/>
      <c r="AK681" s="94"/>
      <c r="AL681" s="94"/>
      <c r="AM681" s="94"/>
      <c r="AN681" s="94"/>
      <c r="AO681" s="94"/>
      <c r="AP681" s="94"/>
      <c r="AQ681" s="94"/>
      <c r="AR681" s="94"/>
      <c r="AS681" s="94"/>
      <c r="AT681" s="94"/>
      <c r="AU681" s="94"/>
      <c r="AV681" s="94"/>
      <c r="AW681" s="94"/>
      <c r="AX681" s="94"/>
      <c r="AY681" s="94"/>
      <c r="AZ681" s="94"/>
      <c r="BA681" s="95"/>
    </row>
    <row r="682" spans="1:53" s="87" customFormat="1">
      <c r="A682" s="90" t="str">
        <f t="shared" si="35"/>
        <v/>
      </c>
      <c r="B682" s="98">
        <v>11</v>
      </c>
      <c r="C682" s="94">
        <v>-9</v>
      </c>
      <c r="D682" s="94">
        <v>3</v>
      </c>
      <c r="E682" s="94">
        <v>5</v>
      </c>
      <c r="F682" s="94">
        <v>-8</v>
      </c>
      <c r="G682" s="94">
        <v>-2</v>
      </c>
      <c r="H682" s="94"/>
      <c r="I682" s="94"/>
      <c r="J682" s="94"/>
      <c r="K682" s="94"/>
      <c r="L682" s="94"/>
      <c r="M682" s="94"/>
      <c r="N682" s="94"/>
      <c r="O682" s="94"/>
      <c r="P682" s="94"/>
      <c r="Q682" s="94"/>
      <c r="R682" s="94"/>
      <c r="S682" s="94"/>
      <c r="T682" s="94"/>
      <c r="U682" s="94"/>
      <c r="V682" s="94"/>
      <c r="W682" s="94"/>
      <c r="X682" s="94"/>
      <c r="Y682" s="94"/>
      <c r="Z682" s="94"/>
      <c r="AA682" s="94"/>
      <c r="AB682" s="94"/>
      <c r="AC682" s="94"/>
      <c r="AD682" s="94"/>
      <c r="AE682" s="94"/>
      <c r="AF682" s="94"/>
      <c r="AG682" s="94"/>
      <c r="AH682" s="94"/>
      <c r="AI682" s="94"/>
      <c r="AJ682" s="94"/>
      <c r="AK682" s="94"/>
      <c r="AL682" s="94"/>
      <c r="AM682" s="94"/>
      <c r="AN682" s="94"/>
      <c r="AO682" s="94"/>
      <c r="AP682" s="94"/>
      <c r="AQ682" s="94"/>
      <c r="AR682" s="94"/>
      <c r="AS682" s="94"/>
      <c r="AT682" s="94"/>
      <c r="AU682" s="94"/>
      <c r="AV682" s="94"/>
      <c r="AW682" s="94"/>
      <c r="AX682" s="94"/>
      <c r="AY682" s="94"/>
      <c r="AZ682" s="94"/>
      <c r="BA682" s="95"/>
    </row>
    <row r="683" spans="1:53" s="87" customFormat="1">
      <c r="A683" s="90" t="str">
        <f t="shared" si="35"/>
        <v/>
      </c>
      <c r="B683" s="98">
        <v>12</v>
      </c>
      <c r="C683" s="94">
        <v>6</v>
      </c>
      <c r="D683" s="94">
        <v>8</v>
      </c>
      <c r="E683" s="94">
        <v>-3</v>
      </c>
      <c r="F683" s="94">
        <v>-1</v>
      </c>
      <c r="G683" s="94">
        <v>2</v>
      </c>
      <c r="H683" s="94"/>
      <c r="I683" s="94"/>
      <c r="J683" s="94"/>
      <c r="K683" s="94"/>
      <c r="L683" s="94"/>
      <c r="M683" s="94"/>
      <c r="N683" s="94"/>
      <c r="O683" s="94"/>
      <c r="P683" s="94"/>
      <c r="Q683" s="94"/>
      <c r="R683" s="94"/>
      <c r="S683" s="94"/>
      <c r="T683" s="94"/>
      <c r="U683" s="94"/>
      <c r="V683" s="94"/>
      <c r="W683" s="94"/>
      <c r="X683" s="94"/>
      <c r="Y683" s="94"/>
      <c r="Z683" s="94"/>
      <c r="AA683" s="94"/>
      <c r="AB683" s="94"/>
      <c r="AC683" s="94"/>
      <c r="AD683" s="94"/>
      <c r="AE683" s="94"/>
      <c r="AF683" s="94"/>
      <c r="AG683" s="94"/>
      <c r="AH683" s="94"/>
      <c r="AI683" s="94"/>
      <c r="AJ683" s="94"/>
      <c r="AK683" s="94"/>
      <c r="AL683" s="94"/>
      <c r="AM683" s="94"/>
      <c r="AN683" s="94"/>
      <c r="AO683" s="94"/>
      <c r="AP683" s="94"/>
      <c r="AQ683" s="94"/>
      <c r="AR683" s="94"/>
      <c r="AS683" s="94"/>
      <c r="AT683" s="94"/>
      <c r="AU683" s="94"/>
      <c r="AV683" s="94"/>
      <c r="AW683" s="94"/>
      <c r="AX683" s="94"/>
      <c r="AY683" s="94"/>
      <c r="AZ683" s="94"/>
      <c r="BA683" s="95"/>
    </row>
    <row r="684" spans="1:53" s="87" customFormat="1">
      <c r="A684" s="90" t="str">
        <f t="shared" si="35"/>
        <v/>
      </c>
      <c r="B684" s="98">
        <v>13</v>
      </c>
      <c r="C684" s="94">
        <v>-5</v>
      </c>
      <c r="D684" s="94">
        <v>-1</v>
      </c>
      <c r="E684" s="94">
        <v>3</v>
      </c>
      <c r="F684" s="94">
        <v>8</v>
      </c>
      <c r="G684" s="94">
        <v>-7</v>
      </c>
      <c r="H684" s="94"/>
      <c r="I684" s="94"/>
      <c r="J684" s="94"/>
      <c r="K684" s="94"/>
      <c r="L684" s="94"/>
      <c r="M684" s="94"/>
      <c r="N684" s="94"/>
      <c r="O684" s="94"/>
      <c r="P684" s="94"/>
      <c r="Q684" s="94"/>
      <c r="R684" s="94"/>
      <c r="S684" s="94"/>
      <c r="T684" s="94"/>
      <c r="U684" s="94"/>
      <c r="V684" s="94"/>
      <c r="W684" s="94"/>
      <c r="X684" s="94"/>
      <c r="Y684" s="94"/>
      <c r="Z684" s="94"/>
      <c r="AA684" s="94"/>
      <c r="AB684" s="94"/>
      <c r="AC684" s="94"/>
      <c r="AD684" s="94"/>
      <c r="AE684" s="94"/>
      <c r="AF684" s="94"/>
      <c r="AG684" s="94"/>
      <c r="AH684" s="94"/>
      <c r="AI684" s="94"/>
      <c r="AJ684" s="94"/>
      <c r="AK684" s="94"/>
      <c r="AL684" s="94"/>
      <c r="AM684" s="94"/>
      <c r="AN684" s="94"/>
      <c r="AO684" s="94"/>
      <c r="AP684" s="94"/>
      <c r="AQ684" s="94"/>
      <c r="AR684" s="94"/>
      <c r="AS684" s="94"/>
      <c r="AT684" s="94"/>
      <c r="AU684" s="94"/>
      <c r="AV684" s="94"/>
      <c r="AW684" s="94"/>
      <c r="AX684" s="94"/>
      <c r="AY684" s="94"/>
      <c r="AZ684" s="94"/>
      <c r="BA684" s="95"/>
    </row>
    <row r="685" spans="1:53" s="87" customFormat="1">
      <c r="A685" s="90" t="str">
        <f t="shared" si="35"/>
        <v/>
      </c>
      <c r="B685" s="99">
        <v>14</v>
      </c>
      <c r="C685" s="92">
        <v>3</v>
      </c>
      <c r="D685" s="92">
        <v>-4</v>
      </c>
      <c r="E685" s="92">
        <v>-5</v>
      </c>
      <c r="F685" s="92">
        <v>1</v>
      </c>
      <c r="G685" s="92">
        <v>7</v>
      </c>
      <c r="H685" s="94"/>
      <c r="I685" s="94"/>
      <c r="J685" s="94"/>
      <c r="K685" s="94"/>
      <c r="L685" s="94"/>
      <c r="M685" s="94"/>
      <c r="N685" s="94"/>
      <c r="O685" s="94"/>
      <c r="P685" s="94"/>
      <c r="Q685" s="94"/>
      <c r="R685" s="94"/>
      <c r="S685" s="94"/>
      <c r="T685" s="94"/>
      <c r="U685" s="94"/>
      <c r="V685" s="94"/>
      <c r="W685" s="94"/>
      <c r="X685" s="94"/>
      <c r="Y685" s="94"/>
      <c r="Z685" s="94"/>
      <c r="AA685" s="94"/>
      <c r="AB685" s="94"/>
      <c r="AC685" s="94"/>
      <c r="AD685" s="94"/>
      <c r="AE685" s="94"/>
      <c r="AF685" s="94"/>
      <c r="AG685" s="94"/>
      <c r="AH685" s="94"/>
      <c r="AI685" s="94"/>
      <c r="AJ685" s="94"/>
      <c r="AK685" s="94"/>
      <c r="AL685" s="94"/>
      <c r="AM685" s="94"/>
      <c r="AN685" s="94"/>
      <c r="AO685" s="94"/>
      <c r="AP685" s="94"/>
      <c r="AQ685" s="94"/>
      <c r="AR685" s="94"/>
      <c r="AS685" s="94"/>
      <c r="AT685" s="94"/>
      <c r="AU685" s="94"/>
      <c r="AV685" s="94"/>
      <c r="AW685" s="94"/>
      <c r="AX685" s="94"/>
      <c r="AY685" s="94"/>
      <c r="AZ685" s="94"/>
      <c r="BA685" s="95"/>
    </row>
    <row r="686" spans="1:53" s="87" customFormat="1">
      <c r="A686" s="90" t="str">
        <f t="shared" si="35"/>
        <v/>
      </c>
      <c r="B686" s="98">
        <v>15</v>
      </c>
      <c r="C686" s="94">
        <v>-6</v>
      </c>
      <c r="D686" s="94">
        <v>-3</v>
      </c>
      <c r="E686" s="94">
        <v>8</v>
      </c>
      <c r="F686" s="94">
        <v>-7</v>
      </c>
      <c r="G686" s="94">
        <v>1</v>
      </c>
      <c r="H686" s="94"/>
      <c r="I686" s="94"/>
      <c r="J686" s="94"/>
      <c r="K686" s="94"/>
      <c r="L686" s="94"/>
      <c r="M686" s="94"/>
      <c r="N686" s="94"/>
      <c r="O686" s="94"/>
      <c r="P686" s="94"/>
      <c r="Q686" s="94"/>
      <c r="R686" s="94"/>
      <c r="S686" s="94"/>
      <c r="T686" s="94"/>
      <c r="U686" s="94"/>
      <c r="V686" s="94"/>
      <c r="W686" s="94"/>
      <c r="X686" s="94"/>
      <c r="Y686" s="94"/>
      <c r="Z686" s="94"/>
      <c r="AA686" s="94"/>
      <c r="AB686" s="94"/>
      <c r="AC686" s="94"/>
      <c r="AD686" s="94"/>
      <c r="AE686" s="94"/>
      <c r="AF686" s="94"/>
      <c r="AG686" s="94"/>
      <c r="AH686" s="94"/>
      <c r="AI686" s="94"/>
      <c r="AJ686" s="94"/>
      <c r="AK686" s="94"/>
      <c r="AL686" s="94"/>
      <c r="AM686" s="94"/>
      <c r="AN686" s="94"/>
      <c r="AO686" s="94"/>
      <c r="AP686" s="94"/>
      <c r="AQ686" s="94"/>
      <c r="AR686" s="94"/>
      <c r="AS686" s="94"/>
      <c r="AT686" s="94"/>
      <c r="AU686" s="94"/>
      <c r="AV686" s="94"/>
      <c r="AW686" s="94"/>
      <c r="AX686" s="94"/>
      <c r="AY686" s="94"/>
      <c r="AZ686" s="94"/>
      <c r="BA686" s="95"/>
    </row>
    <row r="687" spans="1:53" s="87" customFormat="1">
      <c r="A687" s="90" t="str">
        <f t="shared" si="35"/>
        <v/>
      </c>
      <c r="B687" s="98">
        <v>16</v>
      </c>
      <c r="C687" s="94">
        <v>9</v>
      </c>
      <c r="D687" s="94">
        <v>-8</v>
      </c>
      <c r="E687" s="94">
        <v>4</v>
      </c>
      <c r="F687" s="94">
        <v>2</v>
      </c>
      <c r="G687" s="94">
        <v>-1</v>
      </c>
      <c r="H687" s="94"/>
      <c r="I687" s="94"/>
      <c r="J687" s="94"/>
      <c r="K687" s="94"/>
      <c r="L687" s="94"/>
      <c r="M687" s="94"/>
      <c r="N687" s="94"/>
      <c r="O687" s="94"/>
      <c r="P687" s="94"/>
      <c r="Q687" s="94"/>
      <c r="R687" s="94"/>
      <c r="S687" s="94"/>
      <c r="T687" s="94"/>
      <c r="U687" s="94"/>
      <c r="V687" s="94"/>
      <c r="W687" s="94"/>
      <c r="X687" s="94"/>
      <c r="Y687" s="94"/>
      <c r="Z687" s="94"/>
      <c r="AA687" s="94"/>
      <c r="AB687" s="94"/>
      <c r="AC687" s="94"/>
      <c r="AD687" s="94"/>
      <c r="AE687" s="94"/>
      <c r="AF687" s="94"/>
      <c r="AG687" s="94"/>
      <c r="AH687" s="94"/>
      <c r="AI687" s="94"/>
      <c r="AJ687" s="94"/>
      <c r="AK687" s="94"/>
      <c r="AL687" s="94"/>
      <c r="AM687" s="94"/>
      <c r="AN687" s="94"/>
      <c r="AO687" s="94"/>
      <c r="AP687" s="94"/>
      <c r="AQ687" s="94"/>
      <c r="AR687" s="94"/>
      <c r="AS687" s="94"/>
      <c r="AT687" s="94"/>
      <c r="AU687" s="94"/>
      <c r="AV687" s="94"/>
      <c r="AW687" s="94"/>
      <c r="AX687" s="94"/>
      <c r="AY687" s="94"/>
      <c r="AZ687" s="94"/>
      <c r="BA687" s="95"/>
    </row>
    <row r="688" spans="1:53" s="87" customFormat="1">
      <c r="A688" s="90" t="str">
        <f t="shared" si="35"/>
        <v/>
      </c>
      <c r="B688" s="98">
        <v>17</v>
      </c>
      <c r="C688" s="94">
        <v>5</v>
      </c>
      <c r="D688" s="94">
        <v>4</v>
      </c>
      <c r="E688" s="94">
        <v>-8</v>
      </c>
      <c r="F688" s="94">
        <v>-2</v>
      </c>
      <c r="G688" s="94">
        <v>9</v>
      </c>
      <c r="H688" s="94"/>
      <c r="I688" s="94"/>
      <c r="J688" s="94"/>
      <c r="K688" s="94"/>
      <c r="L688" s="94"/>
      <c r="M688" s="94"/>
      <c r="N688" s="94"/>
      <c r="O688" s="94"/>
      <c r="P688" s="94"/>
      <c r="Q688" s="94"/>
      <c r="R688" s="94"/>
      <c r="S688" s="94"/>
      <c r="T688" s="94"/>
      <c r="U688" s="94"/>
      <c r="V688" s="94"/>
      <c r="W688" s="94"/>
      <c r="X688" s="94"/>
      <c r="Y688" s="94"/>
      <c r="Z688" s="94"/>
      <c r="AA688" s="94"/>
      <c r="AB688" s="94"/>
      <c r="AC688" s="94"/>
      <c r="AD688" s="94"/>
      <c r="AE688" s="94"/>
      <c r="AF688" s="94"/>
      <c r="AG688" s="94"/>
      <c r="AH688" s="94"/>
      <c r="AI688" s="94"/>
      <c r="AJ688" s="94"/>
      <c r="AK688" s="94"/>
      <c r="AL688" s="94"/>
      <c r="AM688" s="94"/>
      <c r="AN688" s="94"/>
      <c r="AO688" s="94"/>
      <c r="AP688" s="94"/>
      <c r="AQ688" s="94"/>
      <c r="AR688" s="94"/>
      <c r="AS688" s="94"/>
      <c r="AT688" s="94"/>
      <c r="AU688" s="94"/>
      <c r="AV688" s="94"/>
      <c r="AW688" s="94"/>
      <c r="AX688" s="94"/>
      <c r="AY688" s="94"/>
      <c r="AZ688" s="94"/>
      <c r="BA688" s="95"/>
    </row>
    <row r="689" spans="1:53" s="87" customFormat="1">
      <c r="A689" s="90" t="str">
        <f t="shared" si="35"/>
        <v/>
      </c>
      <c r="B689" s="98">
        <v>18</v>
      </c>
      <c r="C689" s="94">
        <v>-3</v>
      </c>
      <c r="D689" s="94">
        <v>1</v>
      </c>
      <c r="E689" s="94">
        <v>-4</v>
      </c>
      <c r="F689" s="94">
        <v>7</v>
      </c>
      <c r="G689" s="94">
        <v>-9</v>
      </c>
      <c r="H689" s="94"/>
      <c r="I689" s="94"/>
      <c r="J689" s="94"/>
      <c r="K689" s="94"/>
      <c r="L689" s="94"/>
      <c r="M689" s="94"/>
      <c r="N689" s="94"/>
      <c r="O689" s="94"/>
      <c r="P689" s="94"/>
      <c r="Q689" s="94"/>
      <c r="R689" s="94"/>
      <c r="S689" s="94"/>
      <c r="T689" s="94"/>
      <c r="U689" s="94"/>
      <c r="V689" s="94"/>
      <c r="W689" s="94"/>
      <c r="X689" s="94"/>
      <c r="Y689" s="94"/>
      <c r="Z689" s="94"/>
      <c r="AA689" s="94"/>
      <c r="AB689" s="94"/>
      <c r="AC689" s="94"/>
      <c r="AD689" s="94"/>
      <c r="AE689" s="94"/>
      <c r="AF689" s="94"/>
      <c r="AG689" s="94"/>
      <c r="AH689" s="94"/>
      <c r="AI689" s="94"/>
      <c r="AJ689" s="94"/>
      <c r="AK689" s="94"/>
      <c r="AL689" s="94"/>
      <c r="AM689" s="94"/>
      <c r="AN689" s="94"/>
      <c r="AO689" s="94"/>
      <c r="AP689" s="94"/>
      <c r="AQ689" s="94"/>
      <c r="AR689" s="94"/>
      <c r="AS689" s="94"/>
      <c r="AT689" s="94"/>
      <c r="AU689" s="94"/>
      <c r="AV689" s="94"/>
      <c r="AW689" s="94"/>
      <c r="AX689" s="94"/>
      <c r="AY689" s="94"/>
      <c r="AZ689" s="94"/>
      <c r="BA689" s="95"/>
    </row>
    <row r="690" spans="1:53" s="87" customFormat="1">
      <c r="A690" s="90" t="str">
        <f t="shared" si="35"/>
        <v/>
      </c>
      <c r="B690" s="317" t="s">
        <v>899</v>
      </c>
      <c r="C690" s="94"/>
      <c r="D690" s="94"/>
      <c r="E690" s="94"/>
      <c r="F690" s="94"/>
      <c r="G690" s="94"/>
      <c r="H690" s="94"/>
      <c r="I690" s="94"/>
      <c r="J690" s="94"/>
      <c r="K690" s="94"/>
      <c r="L690" s="94"/>
      <c r="M690" s="94"/>
      <c r="N690" s="94"/>
      <c r="O690" s="94"/>
      <c r="P690" s="94"/>
      <c r="Q690" s="94"/>
      <c r="R690" s="94"/>
      <c r="S690" s="94"/>
      <c r="T690" s="94"/>
      <c r="U690" s="94"/>
      <c r="V690" s="94"/>
      <c r="W690" s="94"/>
      <c r="X690" s="94"/>
      <c r="Y690" s="94"/>
      <c r="Z690" s="94"/>
      <c r="AA690" s="94"/>
      <c r="AB690" s="94"/>
      <c r="AC690" s="94"/>
      <c r="AD690" s="94"/>
      <c r="AE690" s="94"/>
      <c r="AF690" s="94"/>
      <c r="AG690" s="94"/>
      <c r="AH690" s="94"/>
      <c r="AI690" s="94"/>
      <c r="AJ690" s="94"/>
      <c r="AK690" s="94"/>
      <c r="AL690" s="94"/>
      <c r="AM690" s="94"/>
      <c r="AN690" s="94"/>
      <c r="AO690" s="94"/>
      <c r="AP690" s="94"/>
      <c r="AQ690" s="94"/>
      <c r="AR690" s="94"/>
      <c r="AS690" s="94"/>
      <c r="AT690" s="94"/>
      <c r="AU690" s="94"/>
      <c r="AV690" s="94"/>
      <c r="AW690" s="94"/>
      <c r="AX690" s="94"/>
      <c r="AY690" s="94"/>
      <c r="AZ690" s="94"/>
      <c r="BA690" s="95"/>
    </row>
    <row r="691" spans="1:53" s="87" customFormat="1">
      <c r="A691" s="90">
        <f t="shared" si="35"/>
        <v>691</v>
      </c>
      <c r="B691" s="317" t="s">
        <v>1191</v>
      </c>
      <c r="C691" s="94"/>
      <c r="D691" s="94"/>
      <c r="E691" s="94"/>
      <c r="F691" s="94"/>
      <c r="G691" s="94"/>
      <c r="H691" s="94"/>
      <c r="I691" s="94"/>
      <c r="J691" s="94"/>
      <c r="K691" s="94"/>
      <c r="L691" s="94"/>
      <c r="M691" s="94"/>
      <c r="N691" s="94"/>
      <c r="O691" s="94"/>
      <c r="P691" s="94"/>
      <c r="Q691" s="94"/>
      <c r="R691" s="94"/>
      <c r="S691" s="94"/>
      <c r="T691" s="94"/>
      <c r="U691" s="94"/>
      <c r="V691" s="94"/>
      <c r="W691" s="94"/>
      <c r="X691" s="94"/>
      <c r="Y691" s="94"/>
      <c r="Z691" s="94"/>
      <c r="AA691" s="94"/>
      <c r="AB691" s="94"/>
      <c r="AC691" s="94"/>
      <c r="AD691" s="94"/>
      <c r="AE691" s="94"/>
      <c r="AF691" s="94"/>
      <c r="AG691" s="94"/>
      <c r="AH691" s="94"/>
      <c r="AI691" s="94"/>
      <c r="AJ691" s="94"/>
      <c r="AK691" s="94"/>
      <c r="AL691" s="94"/>
      <c r="AM691" s="94"/>
      <c r="AN691" s="94"/>
      <c r="AO691" s="94"/>
      <c r="AP691" s="94"/>
      <c r="AQ691" s="94"/>
      <c r="AR691" s="94"/>
      <c r="AS691" s="94"/>
      <c r="AT691" s="94"/>
      <c r="AU691" s="94"/>
      <c r="AV691" s="94"/>
      <c r="AW691" s="94"/>
      <c r="AX691" s="94"/>
      <c r="AY691" s="94"/>
      <c r="AZ691" s="94"/>
      <c r="BA691" s="95"/>
    </row>
    <row r="692" spans="1:53" s="87" customFormat="1">
      <c r="A692" s="90" t="str">
        <f t="shared" si="35"/>
        <v/>
      </c>
      <c r="B692" s="98">
        <v>1</v>
      </c>
      <c r="C692" s="94" t="s">
        <v>210</v>
      </c>
      <c r="D692" s="94">
        <v>3</v>
      </c>
      <c r="E692" s="94">
        <v>-6</v>
      </c>
      <c r="F692" s="94" t="s">
        <v>210</v>
      </c>
      <c r="G692" s="94" t="s">
        <v>210</v>
      </c>
      <c r="H692" s="94">
        <v>-4</v>
      </c>
      <c r="I692" s="94" t="s">
        <v>210</v>
      </c>
      <c r="J692" s="94">
        <v>1</v>
      </c>
      <c r="K692" s="94">
        <v>9</v>
      </c>
      <c r="L692" s="94">
        <v>-2</v>
      </c>
      <c r="M692" s="94"/>
      <c r="N692" s="94"/>
      <c r="O692" s="94"/>
      <c r="P692" s="94"/>
      <c r="Q692" s="94"/>
      <c r="R692" s="94"/>
      <c r="S692" s="94"/>
      <c r="T692" s="94"/>
      <c r="U692" s="94"/>
      <c r="V692" s="94"/>
      <c r="W692" s="94"/>
      <c r="X692" s="94"/>
      <c r="Y692" s="94"/>
      <c r="Z692" s="94"/>
      <c r="AA692" s="94"/>
      <c r="AB692" s="94"/>
      <c r="AC692" s="94"/>
      <c r="AD692" s="94"/>
      <c r="AE692" s="94"/>
      <c r="AF692" s="94"/>
      <c r="AG692" s="94"/>
      <c r="AH692" s="94"/>
      <c r="AI692" s="94"/>
      <c r="AJ692" s="94"/>
      <c r="AK692" s="94"/>
      <c r="AL692" s="94"/>
      <c r="AM692" s="94"/>
      <c r="AN692" s="94"/>
      <c r="AO692" s="94"/>
      <c r="AP692" s="94"/>
      <c r="AQ692" s="94"/>
      <c r="AR692" s="94"/>
      <c r="AS692" s="94"/>
      <c r="AT692" s="94"/>
      <c r="AU692" s="94"/>
      <c r="AV692" s="94"/>
      <c r="AW692" s="94"/>
      <c r="AX692" s="94"/>
      <c r="AY692" s="94"/>
      <c r="AZ692" s="94"/>
      <c r="BA692" s="95"/>
    </row>
    <row r="693" spans="1:53" s="87" customFormat="1">
      <c r="A693" s="90" t="str">
        <f t="shared" si="35"/>
        <v/>
      </c>
      <c r="B693" s="98">
        <v>2</v>
      </c>
      <c r="C693" s="94" t="s">
        <v>210</v>
      </c>
      <c r="D693" s="94">
        <v>4</v>
      </c>
      <c r="E693" s="94">
        <v>-1</v>
      </c>
      <c r="F693" s="94">
        <v>8</v>
      </c>
      <c r="G693" s="94" t="s">
        <v>210</v>
      </c>
      <c r="H693" s="94" t="s">
        <v>210</v>
      </c>
      <c r="I693" s="94" t="s">
        <v>210</v>
      </c>
      <c r="J693" s="94">
        <v>-5</v>
      </c>
      <c r="K693" s="94">
        <v>-7</v>
      </c>
      <c r="L693" s="94">
        <v>2</v>
      </c>
      <c r="M693" s="94"/>
      <c r="N693" s="94"/>
      <c r="O693" s="94"/>
      <c r="P693" s="94"/>
      <c r="Q693" s="94"/>
      <c r="R693" s="94"/>
      <c r="S693" s="94"/>
      <c r="T693" s="94"/>
      <c r="U693" s="94"/>
      <c r="V693" s="94"/>
      <c r="W693" s="94"/>
      <c r="X693" s="94"/>
      <c r="Y693" s="94"/>
      <c r="Z693" s="94"/>
      <c r="AA693" s="94"/>
      <c r="AB693" s="94"/>
      <c r="AC693" s="94"/>
      <c r="AD693" s="94"/>
      <c r="AE693" s="94"/>
      <c r="AF693" s="94"/>
      <c r="AG693" s="94"/>
      <c r="AH693" s="94"/>
      <c r="AI693" s="94"/>
      <c r="AJ693" s="94"/>
      <c r="AK693" s="94"/>
      <c r="AL693" s="94"/>
      <c r="AM693" s="94"/>
      <c r="AN693" s="94"/>
      <c r="AO693" s="94"/>
      <c r="AP693" s="94"/>
      <c r="AQ693" s="94"/>
      <c r="AR693" s="94"/>
      <c r="AS693" s="94"/>
      <c r="AT693" s="94"/>
      <c r="AU693" s="94"/>
      <c r="AV693" s="94"/>
      <c r="AW693" s="94"/>
      <c r="AX693" s="94"/>
      <c r="AY693" s="94"/>
      <c r="AZ693" s="94"/>
      <c r="BA693" s="95"/>
    </row>
    <row r="694" spans="1:53" s="87" customFormat="1">
      <c r="A694" s="90" t="str">
        <f t="shared" si="35"/>
        <v/>
      </c>
      <c r="B694" s="98">
        <v>3</v>
      </c>
      <c r="C694" s="94" t="s">
        <v>210</v>
      </c>
      <c r="D694" s="94">
        <v>-3</v>
      </c>
      <c r="E694" s="94">
        <v>-5</v>
      </c>
      <c r="F694" s="94">
        <v>9</v>
      </c>
      <c r="G694" s="94" t="s">
        <v>210</v>
      </c>
      <c r="H694" s="94">
        <v>-2</v>
      </c>
      <c r="I694" s="94" t="s">
        <v>210</v>
      </c>
      <c r="J694" s="94" t="s">
        <v>210</v>
      </c>
      <c r="K694" s="94">
        <v>7</v>
      </c>
      <c r="L694" s="94">
        <v>4</v>
      </c>
      <c r="M694" s="94"/>
      <c r="N694" s="94"/>
      <c r="O694" s="94"/>
      <c r="P694" s="94"/>
      <c r="Q694" s="94"/>
      <c r="R694" s="94"/>
      <c r="S694" s="94"/>
      <c r="T694" s="94"/>
      <c r="U694" s="94"/>
      <c r="V694" s="94"/>
      <c r="W694" s="94"/>
      <c r="X694" s="94"/>
      <c r="Y694" s="94"/>
      <c r="Z694" s="94"/>
      <c r="AA694" s="94"/>
      <c r="AB694" s="94"/>
      <c r="AC694" s="94"/>
      <c r="AD694" s="94"/>
      <c r="AE694" s="94"/>
      <c r="AF694" s="94"/>
      <c r="AG694" s="94"/>
      <c r="AH694" s="94"/>
      <c r="AI694" s="94"/>
      <c r="AJ694" s="94"/>
      <c r="AK694" s="94"/>
      <c r="AL694" s="94"/>
      <c r="AM694" s="94"/>
      <c r="AN694" s="94"/>
      <c r="AO694" s="94"/>
      <c r="AP694" s="94"/>
      <c r="AQ694" s="94"/>
      <c r="AR694" s="94"/>
      <c r="AS694" s="94"/>
      <c r="AT694" s="94"/>
      <c r="AU694" s="94"/>
      <c r="AV694" s="94"/>
      <c r="AW694" s="94"/>
      <c r="AX694" s="94"/>
      <c r="AY694" s="94"/>
      <c r="AZ694" s="94"/>
      <c r="BA694" s="95"/>
    </row>
    <row r="695" spans="1:53" s="87" customFormat="1">
      <c r="A695" s="90" t="str">
        <f t="shared" si="35"/>
        <v/>
      </c>
      <c r="B695" s="98">
        <v>4</v>
      </c>
      <c r="C695" s="94" t="s">
        <v>210</v>
      </c>
      <c r="D695" s="94" t="s">
        <v>210</v>
      </c>
      <c r="E695" s="94">
        <v>1</v>
      </c>
      <c r="F695" s="94">
        <v>-7</v>
      </c>
      <c r="G695" s="94" t="s">
        <v>210</v>
      </c>
      <c r="H695" s="94">
        <v>3</v>
      </c>
      <c r="I695" s="94" t="s">
        <v>210</v>
      </c>
      <c r="J695" s="94">
        <v>6</v>
      </c>
      <c r="K695" s="94">
        <v>-9</v>
      </c>
      <c r="L695" s="94">
        <v>-4</v>
      </c>
      <c r="M695" s="94"/>
      <c r="N695" s="94"/>
      <c r="O695" s="94"/>
      <c r="P695" s="94"/>
      <c r="Q695" s="94"/>
      <c r="R695" s="94"/>
      <c r="S695" s="94"/>
      <c r="T695" s="94"/>
      <c r="U695" s="94"/>
      <c r="V695" s="94"/>
      <c r="W695" s="94"/>
      <c r="X695" s="94"/>
      <c r="Y695" s="94"/>
      <c r="Z695" s="94"/>
      <c r="AA695" s="94"/>
      <c r="AB695" s="94"/>
      <c r="AC695" s="94"/>
      <c r="AD695" s="94"/>
      <c r="AE695" s="94"/>
      <c r="AF695" s="94"/>
      <c r="AG695" s="94"/>
      <c r="AH695" s="94"/>
      <c r="AI695" s="94"/>
      <c r="AJ695" s="94"/>
      <c r="AK695" s="94"/>
      <c r="AL695" s="94"/>
      <c r="AM695" s="94"/>
      <c r="AN695" s="94"/>
      <c r="AO695" s="94"/>
      <c r="AP695" s="94"/>
      <c r="AQ695" s="94"/>
      <c r="AR695" s="94"/>
      <c r="AS695" s="94"/>
      <c r="AT695" s="94"/>
      <c r="AU695" s="94"/>
      <c r="AV695" s="94"/>
      <c r="AW695" s="94"/>
      <c r="AX695" s="94"/>
      <c r="AY695" s="94"/>
      <c r="AZ695" s="94"/>
      <c r="BA695" s="95"/>
    </row>
    <row r="696" spans="1:53" s="87" customFormat="1">
      <c r="A696" s="90" t="str">
        <f t="shared" si="35"/>
        <v/>
      </c>
      <c r="B696" s="98">
        <v>5</v>
      </c>
      <c r="C696" s="94" t="s">
        <v>210</v>
      </c>
      <c r="D696" s="94">
        <v>2</v>
      </c>
      <c r="E696" s="94">
        <v>5</v>
      </c>
      <c r="F696" s="94">
        <v>-8</v>
      </c>
      <c r="G696" s="94" t="s">
        <v>210</v>
      </c>
      <c r="H696" s="94">
        <v>4</v>
      </c>
      <c r="I696" s="94" t="s">
        <v>210</v>
      </c>
      <c r="J696" s="94">
        <v>-6</v>
      </c>
      <c r="K696" s="94" t="s">
        <v>210</v>
      </c>
      <c r="L696" s="94">
        <v>-3</v>
      </c>
      <c r="M696" s="94"/>
      <c r="N696" s="94"/>
      <c r="O696" s="94"/>
      <c r="P696" s="94"/>
      <c r="Q696" s="94"/>
      <c r="R696" s="94"/>
      <c r="S696" s="94"/>
      <c r="T696" s="94"/>
      <c r="U696" s="94"/>
      <c r="V696" s="94"/>
      <c r="W696" s="94"/>
      <c r="X696" s="94"/>
      <c r="Y696" s="94"/>
      <c r="Z696" s="94"/>
      <c r="AA696" s="94"/>
      <c r="AB696" s="94"/>
      <c r="AC696" s="94"/>
      <c r="AD696" s="94"/>
      <c r="AE696" s="94"/>
      <c r="AF696" s="94"/>
      <c r="AG696" s="94"/>
      <c r="AH696" s="94"/>
      <c r="AI696" s="94"/>
      <c r="AJ696" s="94"/>
      <c r="AK696" s="94"/>
      <c r="AL696" s="94"/>
      <c r="AM696" s="94"/>
      <c r="AN696" s="94"/>
      <c r="AO696" s="94"/>
      <c r="AP696" s="94"/>
      <c r="AQ696" s="94"/>
      <c r="AR696" s="94"/>
      <c r="AS696" s="94"/>
      <c r="AT696" s="94"/>
      <c r="AU696" s="94"/>
      <c r="AV696" s="94"/>
      <c r="AW696" s="94"/>
      <c r="AX696" s="94"/>
      <c r="AY696" s="94"/>
      <c r="AZ696" s="94"/>
      <c r="BA696" s="95"/>
    </row>
    <row r="697" spans="1:53" s="87" customFormat="1">
      <c r="A697" s="90" t="str">
        <f t="shared" si="35"/>
        <v/>
      </c>
      <c r="B697" s="98">
        <v>6</v>
      </c>
      <c r="C697" s="94" t="s">
        <v>210</v>
      </c>
      <c r="D697" s="94">
        <v>-4</v>
      </c>
      <c r="E697" s="94" t="s">
        <v>210</v>
      </c>
      <c r="F697" s="94">
        <v>7</v>
      </c>
      <c r="G697" s="94" t="s">
        <v>210</v>
      </c>
      <c r="H697" s="94">
        <v>2</v>
      </c>
      <c r="I697" s="94" t="s">
        <v>210</v>
      </c>
      <c r="J697" s="94">
        <v>-1</v>
      </c>
      <c r="K697" s="94">
        <v>-8</v>
      </c>
      <c r="L697" s="94">
        <v>3</v>
      </c>
      <c r="M697" s="94"/>
      <c r="N697" s="94"/>
      <c r="O697" s="94"/>
      <c r="P697" s="94"/>
      <c r="Q697" s="94"/>
      <c r="R697" s="94"/>
      <c r="S697" s="94"/>
      <c r="T697" s="94"/>
      <c r="U697" s="94"/>
      <c r="V697" s="94"/>
      <c r="W697" s="94"/>
      <c r="X697" s="94"/>
      <c r="Y697" s="94"/>
      <c r="Z697" s="94"/>
      <c r="AA697" s="94"/>
      <c r="AB697" s="94"/>
      <c r="AC697" s="94"/>
      <c r="AD697" s="94"/>
      <c r="AE697" s="94"/>
      <c r="AF697" s="94"/>
      <c r="AG697" s="94"/>
      <c r="AH697" s="94"/>
      <c r="AI697" s="94"/>
      <c r="AJ697" s="94"/>
      <c r="AK697" s="94"/>
      <c r="AL697" s="94"/>
      <c r="AM697" s="94"/>
      <c r="AN697" s="94"/>
      <c r="AO697" s="94"/>
      <c r="AP697" s="94"/>
      <c r="AQ697" s="94"/>
      <c r="AR697" s="94"/>
      <c r="AS697" s="94"/>
      <c r="AT697" s="94"/>
      <c r="AU697" s="94"/>
      <c r="AV697" s="94"/>
      <c r="AW697" s="94"/>
      <c r="AX697" s="94"/>
      <c r="AY697" s="94"/>
      <c r="AZ697" s="94"/>
      <c r="BA697" s="95"/>
    </row>
    <row r="698" spans="1:53" s="87" customFormat="1">
      <c r="A698" s="90" t="str">
        <f t="shared" si="35"/>
        <v/>
      </c>
      <c r="B698" s="99">
        <v>7</v>
      </c>
      <c r="C698" s="92" t="s">
        <v>210</v>
      </c>
      <c r="D698" s="92">
        <v>-2</v>
      </c>
      <c r="E698" s="92">
        <v>6</v>
      </c>
      <c r="F698" s="92">
        <v>-9</v>
      </c>
      <c r="G698" s="92" t="s">
        <v>210</v>
      </c>
      <c r="H698" s="92">
        <v>-3</v>
      </c>
      <c r="I698" s="92" t="s">
        <v>210</v>
      </c>
      <c r="J698" s="92">
        <v>5</v>
      </c>
      <c r="K698" s="92">
        <v>8</v>
      </c>
      <c r="L698" s="92" t="s">
        <v>210</v>
      </c>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5"/>
    </row>
    <row r="699" spans="1:53" s="87" customFormat="1">
      <c r="A699" s="90" t="str">
        <f t="shared" si="35"/>
        <v/>
      </c>
      <c r="B699" s="98">
        <v>8</v>
      </c>
      <c r="C699" s="94">
        <v>3</v>
      </c>
      <c r="D699" s="94">
        <v>-6</v>
      </c>
      <c r="E699" s="94" t="s">
        <v>210</v>
      </c>
      <c r="F699" s="94" t="s">
        <v>210</v>
      </c>
      <c r="G699" s="94">
        <v>-4</v>
      </c>
      <c r="H699" s="94">
        <v>1</v>
      </c>
      <c r="I699" s="94" t="s">
        <v>210</v>
      </c>
      <c r="J699" s="94">
        <v>9</v>
      </c>
      <c r="K699" s="94">
        <v>-2</v>
      </c>
      <c r="L699" s="94" t="s">
        <v>210</v>
      </c>
      <c r="M699" s="94"/>
      <c r="N699" s="94"/>
      <c r="O699" s="94"/>
      <c r="P699" s="94"/>
      <c r="Q699" s="94"/>
      <c r="R699" s="94"/>
      <c r="S699" s="94"/>
      <c r="T699" s="94"/>
      <c r="U699" s="94"/>
      <c r="V699" s="94"/>
      <c r="W699" s="94"/>
      <c r="X699" s="94"/>
      <c r="Y699" s="94"/>
      <c r="Z699" s="94"/>
      <c r="AA699" s="94"/>
      <c r="AB699" s="94"/>
      <c r="AC699" s="94"/>
      <c r="AD699" s="94"/>
      <c r="AE699" s="94"/>
      <c r="AF699" s="94"/>
      <c r="AG699" s="94"/>
      <c r="AH699" s="94"/>
      <c r="AI699" s="94"/>
      <c r="AJ699" s="94"/>
      <c r="AK699" s="94"/>
      <c r="AL699" s="94"/>
      <c r="AM699" s="94"/>
      <c r="AN699" s="94"/>
      <c r="AO699" s="94"/>
      <c r="AP699" s="94"/>
      <c r="AQ699" s="94"/>
      <c r="AR699" s="94"/>
      <c r="AS699" s="94"/>
      <c r="AT699" s="94"/>
      <c r="AU699" s="94"/>
      <c r="AV699" s="94"/>
      <c r="AW699" s="94"/>
      <c r="AX699" s="94"/>
      <c r="AY699" s="94"/>
      <c r="AZ699" s="94"/>
      <c r="BA699" s="95"/>
    </row>
    <row r="700" spans="1:53" s="87" customFormat="1">
      <c r="A700" s="90" t="str">
        <f t="shared" si="35"/>
        <v/>
      </c>
      <c r="B700" s="98">
        <v>9</v>
      </c>
      <c r="C700" s="94">
        <v>4</v>
      </c>
      <c r="D700" s="94">
        <v>-1</v>
      </c>
      <c r="E700" s="94">
        <v>8</v>
      </c>
      <c r="F700" s="94" t="s">
        <v>210</v>
      </c>
      <c r="G700" s="94" t="s">
        <v>210</v>
      </c>
      <c r="H700" s="94">
        <v>-5</v>
      </c>
      <c r="I700" s="94" t="s">
        <v>210</v>
      </c>
      <c r="J700" s="94">
        <v>-7</v>
      </c>
      <c r="K700" s="94">
        <v>2</v>
      </c>
      <c r="L700" s="94" t="s">
        <v>210</v>
      </c>
      <c r="M700" s="94"/>
      <c r="N700" s="94"/>
      <c r="O700" s="94"/>
      <c r="P700" s="94"/>
      <c r="Q700" s="94"/>
      <c r="R700" s="94"/>
      <c r="S700" s="94"/>
      <c r="T700" s="94"/>
      <c r="U700" s="94"/>
      <c r="V700" s="94"/>
      <c r="W700" s="94"/>
      <c r="X700" s="94"/>
      <c r="Y700" s="94"/>
      <c r="Z700" s="94"/>
      <c r="AA700" s="94"/>
      <c r="AB700" s="94"/>
      <c r="AC700" s="94"/>
      <c r="AD700" s="94"/>
      <c r="AE700" s="94"/>
      <c r="AF700" s="94"/>
      <c r="AG700" s="94"/>
      <c r="AH700" s="94"/>
      <c r="AI700" s="94"/>
      <c r="AJ700" s="94"/>
      <c r="AK700" s="94"/>
      <c r="AL700" s="94"/>
      <c r="AM700" s="94"/>
      <c r="AN700" s="94"/>
      <c r="AO700" s="94"/>
      <c r="AP700" s="94"/>
      <c r="AQ700" s="94"/>
      <c r="AR700" s="94"/>
      <c r="AS700" s="94"/>
      <c r="AT700" s="94"/>
      <c r="AU700" s="94"/>
      <c r="AV700" s="94"/>
      <c r="AW700" s="94"/>
      <c r="AX700" s="94"/>
      <c r="AY700" s="94"/>
      <c r="AZ700" s="94"/>
      <c r="BA700" s="95"/>
    </row>
    <row r="701" spans="1:53" s="87" customFormat="1">
      <c r="A701" s="90" t="str">
        <f t="shared" si="35"/>
        <v/>
      </c>
      <c r="B701" s="98">
        <v>10</v>
      </c>
      <c r="C701" s="94">
        <v>-3</v>
      </c>
      <c r="D701" s="94">
        <v>-5</v>
      </c>
      <c r="E701" s="94">
        <v>9</v>
      </c>
      <c r="F701" s="94" t="s">
        <v>210</v>
      </c>
      <c r="G701" s="94">
        <v>-2</v>
      </c>
      <c r="H701" s="94" t="s">
        <v>210</v>
      </c>
      <c r="I701" s="94" t="s">
        <v>210</v>
      </c>
      <c r="J701" s="94">
        <v>7</v>
      </c>
      <c r="K701" s="94">
        <v>4</v>
      </c>
      <c r="L701" s="94" t="s">
        <v>210</v>
      </c>
      <c r="M701" s="94"/>
      <c r="N701" s="94"/>
      <c r="O701" s="94"/>
      <c r="P701" s="94"/>
      <c r="Q701" s="94"/>
      <c r="R701" s="94"/>
      <c r="S701" s="94"/>
      <c r="T701" s="94"/>
      <c r="U701" s="94"/>
      <c r="V701" s="94"/>
      <c r="W701" s="94"/>
      <c r="X701" s="94"/>
      <c r="Y701" s="94"/>
      <c r="Z701" s="94"/>
      <c r="AA701" s="94"/>
      <c r="AB701" s="94"/>
      <c r="AC701" s="94"/>
      <c r="AD701" s="94"/>
      <c r="AE701" s="94"/>
      <c r="AF701" s="94"/>
      <c r="AG701" s="94"/>
      <c r="AH701" s="94"/>
      <c r="AI701" s="94"/>
      <c r="AJ701" s="94"/>
      <c r="AK701" s="94"/>
      <c r="AL701" s="94"/>
      <c r="AM701" s="94"/>
      <c r="AN701" s="94"/>
      <c r="AO701" s="94"/>
      <c r="AP701" s="94"/>
      <c r="AQ701" s="94"/>
      <c r="AR701" s="94"/>
      <c r="AS701" s="94"/>
      <c r="AT701" s="94"/>
      <c r="AU701" s="94"/>
      <c r="AV701" s="94"/>
      <c r="AW701" s="94"/>
      <c r="AX701" s="94"/>
      <c r="AY701" s="94"/>
      <c r="AZ701" s="94"/>
      <c r="BA701" s="95"/>
    </row>
    <row r="702" spans="1:53" s="87" customFormat="1">
      <c r="A702" s="90" t="str">
        <f t="shared" si="35"/>
        <v/>
      </c>
      <c r="B702" s="98">
        <v>11</v>
      </c>
      <c r="C702" s="94" t="s">
        <v>210</v>
      </c>
      <c r="D702" s="94">
        <v>1</v>
      </c>
      <c r="E702" s="94">
        <v>-7</v>
      </c>
      <c r="F702" s="94" t="s">
        <v>210</v>
      </c>
      <c r="G702" s="94">
        <v>3</v>
      </c>
      <c r="H702" s="94">
        <v>6</v>
      </c>
      <c r="I702" s="94" t="s">
        <v>210</v>
      </c>
      <c r="J702" s="94">
        <v>-9</v>
      </c>
      <c r="K702" s="94">
        <v>-4</v>
      </c>
      <c r="L702" s="94" t="s">
        <v>210</v>
      </c>
      <c r="M702" s="94"/>
      <c r="N702" s="94"/>
      <c r="O702" s="94"/>
      <c r="P702" s="94"/>
      <c r="Q702" s="94"/>
      <c r="R702" s="94"/>
      <c r="S702" s="94"/>
      <c r="T702" s="94"/>
      <c r="U702" s="94"/>
      <c r="V702" s="94"/>
      <c r="W702" s="94"/>
      <c r="X702" s="94"/>
      <c r="Y702" s="94"/>
      <c r="Z702" s="94"/>
      <c r="AA702" s="94"/>
      <c r="AB702" s="94"/>
      <c r="AC702" s="94"/>
      <c r="AD702" s="94"/>
      <c r="AE702" s="94"/>
      <c r="AF702" s="94"/>
      <c r="AG702" s="94"/>
      <c r="AH702" s="94"/>
      <c r="AI702" s="94"/>
      <c r="AJ702" s="94"/>
      <c r="AK702" s="94"/>
      <c r="AL702" s="94"/>
      <c r="AM702" s="94"/>
      <c r="AN702" s="94"/>
      <c r="AO702" s="94"/>
      <c r="AP702" s="94"/>
      <c r="AQ702" s="94"/>
      <c r="AR702" s="94"/>
      <c r="AS702" s="94"/>
      <c r="AT702" s="94"/>
      <c r="AU702" s="94"/>
      <c r="AV702" s="94"/>
      <c r="AW702" s="94"/>
      <c r="AX702" s="94"/>
      <c r="AY702" s="94"/>
      <c r="AZ702" s="94"/>
      <c r="BA702" s="95"/>
    </row>
    <row r="703" spans="1:53" s="87" customFormat="1">
      <c r="A703" s="90" t="str">
        <f t="shared" si="35"/>
        <v/>
      </c>
      <c r="B703" s="98">
        <v>12</v>
      </c>
      <c r="C703" s="94">
        <v>2</v>
      </c>
      <c r="D703" s="94">
        <v>5</v>
      </c>
      <c r="E703" s="94">
        <v>-8</v>
      </c>
      <c r="F703" s="94" t="s">
        <v>210</v>
      </c>
      <c r="G703" s="94">
        <v>4</v>
      </c>
      <c r="H703" s="94">
        <v>-6</v>
      </c>
      <c r="I703" s="94" t="s">
        <v>210</v>
      </c>
      <c r="J703" s="94" t="s">
        <v>210</v>
      </c>
      <c r="K703" s="94">
        <v>-3</v>
      </c>
      <c r="L703" s="94" t="s">
        <v>210</v>
      </c>
      <c r="M703" s="94"/>
      <c r="N703" s="94"/>
      <c r="O703" s="94"/>
      <c r="P703" s="94"/>
      <c r="Q703" s="94"/>
      <c r="R703" s="94"/>
      <c r="S703" s="94"/>
      <c r="T703" s="94"/>
      <c r="U703" s="94"/>
      <c r="V703" s="94"/>
      <c r="W703" s="94"/>
      <c r="X703" s="94"/>
      <c r="Y703" s="94"/>
      <c r="Z703" s="94"/>
      <c r="AA703" s="94"/>
      <c r="AB703" s="94"/>
      <c r="AC703" s="94"/>
      <c r="AD703" s="94"/>
      <c r="AE703" s="94"/>
      <c r="AF703" s="94"/>
      <c r="AG703" s="94"/>
      <c r="AH703" s="94"/>
      <c r="AI703" s="94"/>
      <c r="AJ703" s="94"/>
      <c r="AK703" s="94"/>
      <c r="AL703" s="94"/>
      <c r="AM703" s="94"/>
      <c r="AN703" s="94"/>
      <c r="AO703" s="94"/>
      <c r="AP703" s="94"/>
      <c r="AQ703" s="94"/>
      <c r="AR703" s="94"/>
      <c r="AS703" s="94"/>
      <c r="AT703" s="94"/>
      <c r="AU703" s="94"/>
      <c r="AV703" s="94"/>
      <c r="AW703" s="94"/>
      <c r="AX703" s="94"/>
      <c r="AY703" s="94"/>
      <c r="AZ703" s="94"/>
      <c r="BA703" s="95"/>
    </row>
    <row r="704" spans="1:53" s="87" customFormat="1">
      <c r="A704" s="90" t="str">
        <f t="shared" si="35"/>
        <v/>
      </c>
      <c r="B704" s="98">
        <v>13</v>
      </c>
      <c r="C704" s="94">
        <v>-4</v>
      </c>
      <c r="D704" s="94" t="s">
        <v>210</v>
      </c>
      <c r="E704" s="94">
        <v>7</v>
      </c>
      <c r="F704" s="94" t="s">
        <v>210</v>
      </c>
      <c r="G704" s="94">
        <v>2</v>
      </c>
      <c r="H704" s="94">
        <v>-1</v>
      </c>
      <c r="I704" s="94" t="s">
        <v>210</v>
      </c>
      <c r="J704" s="94">
        <v>-8</v>
      </c>
      <c r="K704" s="94">
        <v>3</v>
      </c>
      <c r="L704" s="94" t="s">
        <v>210</v>
      </c>
      <c r="M704" s="94"/>
      <c r="N704" s="94"/>
      <c r="O704" s="94"/>
      <c r="P704" s="94"/>
      <c r="Q704" s="94"/>
      <c r="R704" s="94"/>
      <c r="S704" s="94"/>
      <c r="T704" s="94"/>
      <c r="U704" s="94"/>
      <c r="V704" s="94"/>
      <c r="W704" s="94"/>
      <c r="X704" s="94"/>
      <c r="Y704" s="94"/>
      <c r="Z704" s="94"/>
      <c r="AA704" s="94"/>
      <c r="AB704" s="94"/>
      <c r="AC704" s="94"/>
      <c r="AD704" s="94"/>
      <c r="AE704" s="94"/>
      <c r="AF704" s="94"/>
      <c r="AG704" s="94"/>
      <c r="AH704" s="94"/>
      <c r="AI704" s="94"/>
      <c r="AJ704" s="94"/>
      <c r="AK704" s="94"/>
      <c r="AL704" s="94"/>
      <c r="AM704" s="94"/>
      <c r="AN704" s="94"/>
      <c r="AO704" s="94"/>
      <c r="AP704" s="94"/>
      <c r="AQ704" s="94"/>
      <c r="AR704" s="94"/>
      <c r="AS704" s="94"/>
      <c r="AT704" s="94"/>
      <c r="AU704" s="94"/>
      <c r="AV704" s="94"/>
      <c r="AW704" s="94"/>
      <c r="AX704" s="94"/>
      <c r="AY704" s="94"/>
      <c r="AZ704" s="94"/>
      <c r="BA704" s="95"/>
    </row>
    <row r="705" spans="1:53" s="87" customFormat="1">
      <c r="A705" s="90" t="str">
        <f t="shared" si="35"/>
        <v/>
      </c>
      <c r="B705" s="99">
        <v>14</v>
      </c>
      <c r="C705" s="92">
        <v>-2</v>
      </c>
      <c r="D705" s="92">
        <v>6</v>
      </c>
      <c r="E705" s="92">
        <v>-9</v>
      </c>
      <c r="F705" s="92" t="s">
        <v>210</v>
      </c>
      <c r="G705" s="92">
        <v>-3</v>
      </c>
      <c r="H705" s="92">
        <v>5</v>
      </c>
      <c r="I705" s="92" t="s">
        <v>210</v>
      </c>
      <c r="J705" s="92">
        <v>8</v>
      </c>
      <c r="K705" s="92" t="s">
        <v>210</v>
      </c>
      <c r="L705" s="92" t="s">
        <v>210</v>
      </c>
      <c r="M705" s="94"/>
      <c r="N705" s="94"/>
      <c r="O705" s="94"/>
      <c r="P705" s="94"/>
      <c r="Q705" s="94"/>
      <c r="R705" s="94"/>
      <c r="S705" s="94"/>
      <c r="T705" s="94"/>
      <c r="U705" s="94"/>
      <c r="V705" s="94"/>
      <c r="W705" s="94"/>
      <c r="X705" s="94"/>
      <c r="Y705" s="94"/>
      <c r="Z705" s="94"/>
      <c r="AA705" s="94"/>
      <c r="AB705" s="94"/>
      <c r="AC705" s="94"/>
      <c r="AD705" s="94"/>
      <c r="AE705" s="94"/>
      <c r="AF705" s="94"/>
      <c r="AG705" s="94"/>
      <c r="AH705" s="94"/>
      <c r="AI705" s="94"/>
      <c r="AJ705" s="94"/>
      <c r="AK705" s="94"/>
      <c r="AL705" s="94"/>
      <c r="AM705" s="94"/>
      <c r="AN705" s="94"/>
      <c r="AO705" s="94"/>
      <c r="AP705" s="94"/>
      <c r="AQ705" s="94"/>
      <c r="AR705" s="94"/>
      <c r="AS705" s="94"/>
      <c r="AT705" s="94"/>
      <c r="AU705" s="94"/>
      <c r="AV705" s="94"/>
      <c r="AW705" s="94"/>
      <c r="AX705" s="94"/>
      <c r="AY705" s="94"/>
      <c r="AZ705" s="94"/>
      <c r="BA705" s="95"/>
    </row>
    <row r="706" spans="1:53" s="87" customFormat="1">
      <c r="A706" s="90" t="str">
        <f t="shared" si="35"/>
        <v/>
      </c>
      <c r="B706" s="98">
        <v>15</v>
      </c>
      <c r="C706" s="94">
        <v>7</v>
      </c>
      <c r="D706" s="94" t="s">
        <v>210</v>
      </c>
      <c r="E706" s="94">
        <v>-2</v>
      </c>
      <c r="F706" s="94" t="s">
        <v>210</v>
      </c>
      <c r="G706" s="94">
        <v>-9</v>
      </c>
      <c r="H706" s="94" t="s">
        <v>210</v>
      </c>
      <c r="I706" s="94">
        <v>3</v>
      </c>
      <c r="J706" s="94" t="s">
        <v>210</v>
      </c>
      <c r="K706" s="94">
        <v>5</v>
      </c>
      <c r="L706" s="94">
        <v>-8</v>
      </c>
      <c r="M706" s="94"/>
      <c r="N706" s="94"/>
      <c r="O706" s="94"/>
      <c r="P706" s="94"/>
      <c r="Q706" s="94"/>
      <c r="R706" s="94"/>
      <c r="S706" s="94"/>
      <c r="T706" s="94"/>
      <c r="U706" s="94"/>
      <c r="V706" s="94"/>
      <c r="W706" s="94"/>
      <c r="X706" s="94"/>
      <c r="Y706" s="94"/>
      <c r="Z706" s="94"/>
      <c r="AA706" s="94"/>
      <c r="AB706" s="94"/>
      <c r="AC706" s="94"/>
      <c r="AD706" s="94"/>
      <c r="AE706" s="94"/>
      <c r="AF706" s="94"/>
      <c r="AG706" s="94"/>
      <c r="AH706" s="94"/>
      <c r="AI706" s="94"/>
      <c r="AJ706" s="94"/>
      <c r="AK706" s="94"/>
      <c r="AL706" s="94"/>
      <c r="AM706" s="94"/>
      <c r="AN706" s="94"/>
      <c r="AO706" s="94"/>
      <c r="AP706" s="94"/>
      <c r="AQ706" s="94"/>
      <c r="AR706" s="94"/>
      <c r="AS706" s="94"/>
      <c r="AT706" s="94"/>
      <c r="AU706" s="94"/>
      <c r="AV706" s="94"/>
      <c r="AW706" s="94"/>
      <c r="AX706" s="94"/>
      <c r="AY706" s="94"/>
      <c r="AZ706" s="94"/>
      <c r="BA706" s="95"/>
    </row>
    <row r="707" spans="1:53" s="87" customFormat="1">
      <c r="A707" s="90" t="str">
        <f t="shared" si="35"/>
        <v/>
      </c>
      <c r="B707" s="98">
        <v>16</v>
      </c>
      <c r="C707" s="94">
        <v>9</v>
      </c>
      <c r="D707" s="94" t="s">
        <v>210</v>
      </c>
      <c r="E707" s="94">
        <v>-3</v>
      </c>
      <c r="F707" s="94">
        <v>6</v>
      </c>
      <c r="G707" s="94" t="s">
        <v>210</v>
      </c>
      <c r="H707" s="94" t="s">
        <v>210</v>
      </c>
      <c r="I707" s="94">
        <v>-4</v>
      </c>
      <c r="J707" s="94" t="s">
        <v>210</v>
      </c>
      <c r="K707" s="94">
        <v>-1</v>
      </c>
      <c r="L707" s="94">
        <v>8</v>
      </c>
      <c r="M707" s="94"/>
      <c r="N707" s="94"/>
      <c r="O707" s="94"/>
      <c r="P707" s="94"/>
      <c r="Q707" s="94"/>
      <c r="R707" s="94"/>
      <c r="S707" s="94"/>
      <c r="T707" s="94"/>
      <c r="U707" s="94"/>
      <c r="V707" s="94"/>
      <c r="W707" s="94"/>
      <c r="X707" s="94"/>
      <c r="Y707" s="94"/>
      <c r="Z707" s="94"/>
      <c r="AA707" s="94"/>
      <c r="AB707" s="94"/>
      <c r="AC707" s="94"/>
      <c r="AD707" s="94"/>
      <c r="AE707" s="94"/>
      <c r="AF707" s="94"/>
      <c r="AG707" s="94"/>
      <c r="AH707" s="94"/>
      <c r="AI707" s="94"/>
      <c r="AJ707" s="94"/>
      <c r="AK707" s="94"/>
      <c r="AL707" s="94"/>
      <c r="AM707" s="94"/>
      <c r="AN707" s="94"/>
      <c r="AO707" s="94"/>
      <c r="AP707" s="94"/>
      <c r="AQ707" s="94"/>
      <c r="AR707" s="94"/>
      <c r="AS707" s="94"/>
      <c r="AT707" s="94"/>
      <c r="AU707" s="94"/>
      <c r="AV707" s="94"/>
      <c r="AW707" s="94"/>
      <c r="AX707" s="94"/>
      <c r="AY707" s="94"/>
      <c r="AZ707" s="94"/>
      <c r="BA707" s="95"/>
    </row>
    <row r="708" spans="1:53" s="87" customFormat="1">
      <c r="A708" s="90" t="str">
        <f t="shared" si="35"/>
        <v/>
      </c>
      <c r="B708" s="98">
        <v>17</v>
      </c>
      <c r="C708" s="94">
        <v>-7</v>
      </c>
      <c r="D708" s="94" t="s">
        <v>210</v>
      </c>
      <c r="E708" s="94">
        <v>-4</v>
      </c>
      <c r="F708" s="94">
        <v>5</v>
      </c>
      <c r="G708" s="94">
        <v>-8</v>
      </c>
      <c r="H708" s="94" t="s">
        <v>210</v>
      </c>
      <c r="I708" s="94" t="s">
        <v>210</v>
      </c>
      <c r="J708" s="94" t="s">
        <v>210</v>
      </c>
      <c r="K708" s="94">
        <v>1</v>
      </c>
      <c r="L708" s="94">
        <v>9</v>
      </c>
      <c r="M708" s="94"/>
      <c r="N708" s="94"/>
      <c r="O708" s="94"/>
      <c r="P708" s="94"/>
      <c r="Q708" s="94"/>
      <c r="R708" s="94"/>
      <c r="S708" s="94"/>
      <c r="T708" s="94"/>
      <c r="U708" s="94"/>
      <c r="V708" s="94"/>
      <c r="W708" s="94"/>
      <c r="X708" s="94"/>
      <c r="Y708" s="94"/>
      <c r="Z708" s="94"/>
      <c r="AA708" s="94"/>
      <c r="AB708" s="94"/>
      <c r="AC708" s="94"/>
      <c r="AD708" s="94"/>
      <c r="AE708" s="94"/>
      <c r="AF708" s="94"/>
      <c r="AG708" s="94"/>
      <c r="AH708" s="94"/>
      <c r="AI708" s="94"/>
      <c r="AJ708" s="94"/>
      <c r="AK708" s="94"/>
      <c r="AL708" s="94"/>
      <c r="AM708" s="94"/>
      <c r="AN708" s="94"/>
      <c r="AO708" s="94"/>
      <c r="AP708" s="94"/>
      <c r="AQ708" s="94"/>
      <c r="AR708" s="94"/>
      <c r="AS708" s="94"/>
      <c r="AT708" s="94"/>
      <c r="AU708" s="94"/>
      <c r="AV708" s="94"/>
      <c r="AW708" s="94"/>
      <c r="AX708" s="94"/>
      <c r="AY708" s="94"/>
      <c r="AZ708" s="94"/>
      <c r="BA708" s="95"/>
    </row>
    <row r="709" spans="1:53" s="87" customFormat="1">
      <c r="A709" s="90" t="str">
        <f t="shared" si="35"/>
        <v/>
      </c>
      <c r="B709" s="98">
        <v>18</v>
      </c>
      <c r="C709" s="94" t="s">
        <v>210</v>
      </c>
      <c r="D709" s="94" t="s">
        <v>210</v>
      </c>
      <c r="E709" s="94">
        <v>3</v>
      </c>
      <c r="F709" s="94">
        <v>-1</v>
      </c>
      <c r="G709" s="94">
        <v>7</v>
      </c>
      <c r="H709" s="94" t="s">
        <v>210</v>
      </c>
      <c r="I709" s="94">
        <v>2</v>
      </c>
      <c r="J709" s="94" t="s">
        <v>210</v>
      </c>
      <c r="K709" s="94">
        <v>-5</v>
      </c>
      <c r="L709" s="94">
        <v>-9</v>
      </c>
      <c r="M709" s="94"/>
      <c r="N709" s="94"/>
      <c r="O709" s="94"/>
      <c r="P709" s="94"/>
      <c r="Q709" s="94"/>
      <c r="R709" s="94"/>
      <c r="S709" s="94"/>
      <c r="T709" s="94"/>
      <c r="U709" s="94"/>
      <c r="V709" s="94"/>
      <c r="W709" s="94"/>
      <c r="X709" s="94"/>
      <c r="Y709" s="94"/>
      <c r="Z709" s="94"/>
      <c r="AA709" s="94"/>
      <c r="AB709" s="94"/>
      <c r="AC709" s="94"/>
      <c r="AD709" s="94"/>
      <c r="AE709" s="94"/>
      <c r="AF709" s="94"/>
      <c r="AG709" s="94"/>
      <c r="AH709" s="94"/>
      <c r="AI709" s="94"/>
      <c r="AJ709" s="94"/>
      <c r="AK709" s="94"/>
      <c r="AL709" s="94"/>
      <c r="AM709" s="94"/>
      <c r="AN709" s="94"/>
      <c r="AO709" s="94"/>
      <c r="AP709" s="94"/>
      <c r="AQ709" s="94"/>
      <c r="AR709" s="94"/>
      <c r="AS709" s="94"/>
      <c r="AT709" s="94"/>
      <c r="AU709" s="94"/>
      <c r="AV709" s="94"/>
      <c r="AW709" s="94"/>
      <c r="AX709" s="94"/>
      <c r="AY709" s="94"/>
      <c r="AZ709" s="94"/>
      <c r="BA709" s="95"/>
    </row>
    <row r="710" spans="1:53" s="87" customFormat="1">
      <c r="A710" s="90" t="str">
        <f t="shared" si="35"/>
        <v/>
      </c>
      <c r="B710" s="98">
        <v>19</v>
      </c>
      <c r="C710" s="94">
        <v>8</v>
      </c>
      <c r="D710" s="94" t="s">
        <v>210</v>
      </c>
      <c r="E710" s="94">
        <v>4</v>
      </c>
      <c r="F710" s="94">
        <v>-6</v>
      </c>
      <c r="G710" s="94">
        <v>9</v>
      </c>
      <c r="H710" s="94" t="s">
        <v>210</v>
      </c>
      <c r="I710" s="94">
        <v>-2</v>
      </c>
      <c r="J710" s="94" t="s">
        <v>210</v>
      </c>
      <c r="K710" s="94" t="s">
        <v>210</v>
      </c>
      <c r="L710" s="94">
        <v>-5</v>
      </c>
      <c r="M710" s="94"/>
      <c r="N710" s="94"/>
      <c r="O710" s="94"/>
      <c r="P710" s="94"/>
      <c r="Q710" s="94"/>
      <c r="R710" s="94"/>
      <c r="S710" s="94"/>
      <c r="T710" s="94"/>
      <c r="U710" s="94"/>
      <c r="V710" s="94"/>
      <c r="W710" s="94"/>
      <c r="X710" s="94"/>
      <c r="Y710" s="94"/>
      <c r="Z710" s="94"/>
      <c r="AA710" s="94"/>
      <c r="AB710" s="94"/>
      <c r="AC710" s="94"/>
      <c r="AD710" s="94"/>
      <c r="AE710" s="94"/>
      <c r="AF710" s="94"/>
      <c r="AG710" s="94"/>
      <c r="AH710" s="94"/>
      <c r="AI710" s="94"/>
      <c r="AJ710" s="94"/>
      <c r="AK710" s="94"/>
      <c r="AL710" s="94"/>
      <c r="AM710" s="94"/>
      <c r="AN710" s="94"/>
      <c r="AO710" s="94"/>
      <c r="AP710" s="94"/>
      <c r="AQ710" s="94"/>
      <c r="AR710" s="94"/>
      <c r="AS710" s="94"/>
      <c r="AT710" s="94"/>
      <c r="AU710" s="94"/>
      <c r="AV710" s="94"/>
      <c r="AW710" s="94"/>
      <c r="AX710" s="94"/>
      <c r="AY710" s="94"/>
      <c r="AZ710" s="94"/>
      <c r="BA710" s="95"/>
    </row>
    <row r="711" spans="1:53" s="87" customFormat="1">
      <c r="A711" s="90" t="str">
        <f t="shared" si="35"/>
        <v/>
      </c>
      <c r="B711" s="98">
        <v>20</v>
      </c>
      <c r="C711" s="94">
        <v>-9</v>
      </c>
      <c r="D711" s="94" t="s">
        <v>210</v>
      </c>
      <c r="E711" s="94" t="s">
        <v>210</v>
      </c>
      <c r="F711" s="94">
        <v>1</v>
      </c>
      <c r="G711" s="94">
        <v>8</v>
      </c>
      <c r="H711" s="94" t="s">
        <v>210</v>
      </c>
      <c r="I711" s="94">
        <v>-3</v>
      </c>
      <c r="J711" s="94" t="s">
        <v>210</v>
      </c>
      <c r="K711" s="94">
        <v>-6</v>
      </c>
      <c r="L711" s="94">
        <v>5</v>
      </c>
      <c r="M711" s="94"/>
      <c r="N711" s="94"/>
      <c r="O711" s="94"/>
      <c r="P711" s="94"/>
      <c r="Q711" s="94"/>
      <c r="R711" s="94"/>
      <c r="S711" s="94"/>
      <c r="T711" s="94"/>
      <c r="U711" s="94"/>
      <c r="V711" s="94"/>
      <c r="W711" s="94"/>
      <c r="X711" s="94"/>
      <c r="Y711" s="94"/>
      <c r="Z711" s="94"/>
      <c r="AA711" s="94"/>
      <c r="AB711" s="94"/>
      <c r="AC711" s="94"/>
      <c r="AD711" s="94"/>
      <c r="AE711" s="94"/>
      <c r="AF711" s="94"/>
      <c r="AG711" s="94"/>
      <c r="AH711" s="94"/>
      <c r="AI711" s="94"/>
      <c r="AJ711" s="94"/>
      <c r="AK711" s="94"/>
      <c r="AL711" s="94"/>
      <c r="AM711" s="94"/>
      <c r="AN711" s="94"/>
      <c r="AO711" s="94"/>
      <c r="AP711" s="94"/>
      <c r="AQ711" s="94"/>
      <c r="AR711" s="94"/>
      <c r="AS711" s="94"/>
      <c r="AT711" s="94"/>
      <c r="AU711" s="94"/>
      <c r="AV711" s="94"/>
      <c r="AW711" s="94"/>
      <c r="AX711" s="94"/>
      <c r="AY711" s="94"/>
      <c r="AZ711" s="94"/>
      <c r="BA711" s="95"/>
    </row>
    <row r="712" spans="1:53" s="87" customFormat="1">
      <c r="A712" s="90" t="str">
        <f t="shared" si="35"/>
        <v/>
      </c>
      <c r="B712" s="99">
        <v>21</v>
      </c>
      <c r="C712" s="92">
        <v>-8</v>
      </c>
      <c r="D712" s="92" t="s">
        <v>210</v>
      </c>
      <c r="E712" s="92">
        <v>2</v>
      </c>
      <c r="F712" s="92">
        <v>-5</v>
      </c>
      <c r="G712" s="92">
        <v>-7</v>
      </c>
      <c r="H712" s="92" t="s">
        <v>210</v>
      </c>
      <c r="I712" s="92">
        <v>4</v>
      </c>
      <c r="J712" s="92" t="s">
        <v>210</v>
      </c>
      <c r="K712" s="92">
        <v>6</v>
      </c>
      <c r="L712" s="92" t="s">
        <v>210</v>
      </c>
      <c r="M712" s="94"/>
      <c r="N712" s="94"/>
      <c r="O712" s="94"/>
      <c r="P712" s="94"/>
      <c r="Q712" s="94"/>
      <c r="R712" s="94"/>
      <c r="S712" s="94"/>
      <c r="T712" s="94"/>
      <c r="U712" s="94"/>
      <c r="V712" s="94"/>
      <c r="W712" s="94"/>
      <c r="X712" s="94"/>
      <c r="Y712" s="94"/>
      <c r="Z712" s="94"/>
      <c r="AA712" s="94"/>
      <c r="AB712" s="94"/>
      <c r="AC712" s="94"/>
      <c r="AD712" s="94"/>
      <c r="AE712" s="94"/>
      <c r="AF712" s="94"/>
      <c r="AG712" s="94"/>
      <c r="AH712" s="94"/>
      <c r="AI712" s="94"/>
      <c r="AJ712" s="94"/>
      <c r="AK712" s="94"/>
      <c r="AL712" s="94"/>
      <c r="AM712" s="94"/>
      <c r="AN712" s="94"/>
      <c r="AO712" s="94"/>
      <c r="AP712" s="94"/>
      <c r="AQ712" s="94"/>
      <c r="AR712" s="94"/>
      <c r="AS712" s="94"/>
      <c r="AT712" s="94"/>
      <c r="AU712" s="94"/>
      <c r="AV712" s="94"/>
      <c r="AW712" s="94"/>
      <c r="AX712" s="94"/>
      <c r="AY712" s="94"/>
      <c r="AZ712" s="94"/>
      <c r="BA712" s="95"/>
    </row>
    <row r="713" spans="1:53" s="87" customFormat="1">
      <c r="A713" s="90" t="str">
        <f t="shared" si="35"/>
        <v/>
      </c>
      <c r="B713" s="98">
        <v>22</v>
      </c>
      <c r="C713" s="94">
        <v>-5</v>
      </c>
      <c r="D713" s="94">
        <v>9</v>
      </c>
      <c r="E713" s="94" t="s">
        <v>210</v>
      </c>
      <c r="F713" s="94">
        <v>-4</v>
      </c>
      <c r="G713" s="94">
        <v>-1</v>
      </c>
      <c r="H713" s="94">
        <v>8</v>
      </c>
      <c r="I713" s="94" t="s">
        <v>210</v>
      </c>
      <c r="J713" s="94" t="s">
        <v>210</v>
      </c>
      <c r="K713" s="94" t="s">
        <v>210</v>
      </c>
      <c r="L713" s="94">
        <v>7</v>
      </c>
      <c r="M713" s="94"/>
      <c r="N713" s="94"/>
      <c r="O713" s="94"/>
      <c r="P713" s="94"/>
      <c r="Q713" s="94"/>
      <c r="R713" s="94"/>
      <c r="S713" s="94"/>
      <c r="T713" s="94"/>
      <c r="U713" s="94"/>
      <c r="V713" s="94"/>
      <c r="W713" s="94"/>
      <c r="X713" s="94"/>
      <c r="Y713" s="94"/>
      <c r="Z713" s="94"/>
      <c r="AA713" s="94"/>
      <c r="AB713" s="94"/>
      <c r="AC713" s="94"/>
      <c r="AD713" s="94"/>
      <c r="AE713" s="94"/>
      <c r="AF713" s="94"/>
      <c r="AG713" s="94"/>
      <c r="AH713" s="94"/>
      <c r="AI713" s="94"/>
      <c r="AJ713" s="94"/>
      <c r="AK713" s="94"/>
      <c r="AL713" s="94"/>
      <c r="AM713" s="94"/>
      <c r="AN713" s="94"/>
      <c r="AO713" s="94"/>
      <c r="AP713" s="94"/>
      <c r="AQ713" s="94"/>
      <c r="AR713" s="94"/>
      <c r="AS713" s="94"/>
      <c r="AT713" s="94"/>
      <c r="AU713" s="94"/>
      <c r="AV713" s="94"/>
      <c r="AW713" s="94"/>
      <c r="AX713" s="94"/>
      <c r="AY713" s="94"/>
      <c r="AZ713" s="94"/>
      <c r="BA713" s="95"/>
    </row>
    <row r="714" spans="1:53" s="87" customFormat="1">
      <c r="A714" s="90" t="str">
        <f t="shared" si="35"/>
        <v/>
      </c>
      <c r="B714" s="98">
        <v>23</v>
      </c>
      <c r="C714" s="94">
        <v>1</v>
      </c>
      <c r="D714" s="94" t="s">
        <v>210</v>
      </c>
      <c r="E714" s="94" t="s">
        <v>210</v>
      </c>
      <c r="F714" s="94">
        <v>-3</v>
      </c>
      <c r="G714" s="94">
        <v>6</v>
      </c>
      <c r="H714" s="94">
        <v>9</v>
      </c>
      <c r="I714" s="94" t="s">
        <v>210</v>
      </c>
      <c r="J714" s="94">
        <v>-2</v>
      </c>
      <c r="K714" s="94" t="s">
        <v>210</v>
      </c>
      <c r="L714" s="94">
        <v>-7</v>
      </c>
      <c r="M714" s="94"/>
      <c r="N714" s="94"/>
      <c r="O714" s="94"/>
      <c r="P714" s="94"/>
      <c r="Q714" s="94"/>
      <c r="R714" s="94"/>
      <c r="S714" s="94"/>
      <c r="T714" s="94"/>
      <c r="U714" s="94"/>
      <c r="V714" s="94"/>
      <c r="W714" s="94"/>
      <c r="X714" s="94"/>
      <c r="Y714" s="94"/>
      <c r="Z714" s="94"/>
      <c r="AA714" s="94"/>
      <c r="AB714" s="94"/>
      <c r="AC714" s="94"/>
      <c r="AD714" s="94"/>
      <c r="AE714" s="94"/>
      <c r="AF714" s="94"/>
      <c r="AG714" s="94"/>
      <c r="AH714" s="94"/>
      <c r="AI714" s="94"/>
      <c r="AJ714" s="94"/>
      <c r="AK714" s="94"/>
      <c r="AL714" s="94"/>
      <c r="AM714" s="94"/>
      <c r="AN714" s="94"/>
      <c r="AO714" s="94"/>
      <c r="AP714" s="94"/>
      <c r="AQ714" s="94"/>
      <c r="AR714" s="94"/>
      <c r="AS714" s="94"/>
      <c r="AT714" s="94"/>
      <c r="AU714" s="94"/>
      <c r="AV714" s="94"/>
      <c r="AW714" s="94"/>
      <c r="AX714" s="94"/>
      <c r="AY714" s="94"/>
      <c r="AZ714" s="94"/>
      <c r="BA714" s="95"/>
    </row>
    <row r="715" spans="1:53" s="87" customFormat="1">
      <c r="A715" s="90" t="str">
        <f t="shared" si="35"/>
        <v/>
      </c>
      <c r="B715" s="98">
        <v>24</v>
      </c>
      <c r="C715" s="94">
        <v>6</v>
      </c>
      <c r="D715" s="94">
        <v>-9</v>
      </c>
      <c r="E715" s="94" t="s">
        <v>210</v>
      </c>
      <c r="F715" s="94" t="s">
        <v>210</v>
      </c>
      <c r="G715" s="94">
        <v>5</v>
      </c>
      <c r="H715" s="94">
        <v>-7</v>
      </c>
      <c r="I715" s="94" t="s">
        <v>210</v>
      </c>
      <c r="J715" s="94">
        <v>2</v>
      </c>
      <c r="K715" s="94" t="s">
        <v>210</v>
      </c>
      <c r="L715" s="94">
        <v>-1</v>
      </c>
      <c r="M715" s="94"/>
      <c r="N715" s="94"/>
      <c r="O715" s="94"/>
      <c r="P715" s="94"/>
      <c r="Q715" s="94"/>
      <c r="R715" s="94"/>
      <c r="S715" s="94"/>
      <c r="T715" s="94"/>
      <c r="U715" s="94"/>
      <c r="V715" s="94"/>
      <c r="W715" s="94"/>
      <c r="X715" s="94"/>
      <c r="Y715" s="94"/>
      <c r="Z715" s="94"/>
      <c r="AA715" s="94"/>
      <c r="AB715" s="94"/>
      <c r="AC715" s="94"/>
      <c r="AD715" s="94"/>
      <c r="AE715" s="94"/>
      <c r="AF715" s="94"/>
      <c r="AG715" s="94"/>
      <c r="AH715" s="94"/>
      <c r="AI715" s="94"/>
      <c r="AJ715" s="94"/>
      <c r="AK715" s="94"/>
      <c r="AL715" s="94"/>
      <c r="AM715" s="94"/>
      <c r="AN715" s="94"/>
      <c r="AO715" s="94"/>
      <c r="AP715" s="94"/>
      <c r="AQ715" s="94"/>
      <c r="AR715" s="94"/>
      <c r="AS715" s="94"/>
      <c r="AT715" s="94"/>
      <c r="AU715" s="94"/>
      <c r="AV715" s="94"/>
      <c r="AW715" s="94"/>
      <c r="AX715" s="94"/>
      <c r="AY715" s="94"/>
      <c r="AZ715" s="94"/>
      <c r="BA715" s="95"/>
    </row>
    <row r="716" spans="1:53" s="87" customFormat="1">
      <c r="A716" s="90" t="str">
        <f t="shared" ref="A716:A779" si="36">IF(MID(B716,3,2)="09",ROW(),"")</f>
        <v/>
      </c>
      <c r="B716" s="98">
        <v>25</v>
      </c>
      <c r="C716" s="94" t="s">
        <v>210</v>
      </c>
      <c r="D716" s="94">
        <v>-7</v>
      </c>
      <c r="E716" s="94" t="s">
        <v>210</v>
      </c>
      <c r="F716" s="94">
        <v>2</v>
      </c>
      <c r="G716" s="94">
        <v>-6</v>
      </c>
      <c r="H716" s="94">
        <v>-8</v>
      </c>
      <c r="I716" s="94" t="s">
        <v>210</v>
      </c>
      <c r="J716" s="94">
        <v>4</v>
      </c>
      <c r="K716" s="94" t="s">
        <v>210</v>
      </c>
      <c r="L716" s="94">
        <v>1</v>
      </c>
      <c r="M716" s="94"/>
      <c r="N716" s="94"/>
      <c r="O716" s="94"/>
      <c r="P716" s="94"/>
      <c r="Q716" s="94"/>
      <c r="R716" s="94"/>
      <c r="S716" s="94"/>
      <c r="T716" s="94"/>
      <c r="U716" s="94"/>
      <c r="V716" s="94"/>
      <c r="W716" s="94"/>
      <c r="X716" s="94"/>
      <c r="Y716" s="94"/>
      <c r="Z716" s="94"/>
      <c r="AA716" s="94"/>
      <c r="AB716" s="94"/>
      <c r="AC716" s="94"/>
      <c r="AD716" s="94"/>
      <c r="AE716" s="94"/>
      <c r="AF716" s="94"/>
      <c r="AG716" s="94"/>
      <c r="AH716" s="94"/>
      <c r="AI716" s="94"/>
      <c r="AJ716" s="94"/>
      <c r="AK716" s="94"/>
      <c r="AL716" s="94"/>
      <c r="AM716" s="94"/>
      <c r="AN716" s="94"/>
      <c r="AO716" s="94"/>
      <c r="AP716" s="94"/>
      <c r="AQ716" s="94"/>
      <c r="AR716" s="94"/>
      <c r="AS716" s="94"/>
      <c r="AT716" s="94"/>
      <c r="AU716" s="94"/>
      <c r="AV716" s="94"/>
      <c r="AW716" s="94"/>
      <c r="AX716" s="94"/>
      <c r="AY716" s="94"/>
      <c r="AZ716" s="94"/>
      <c r="BA716" s="95"/>
    </row>
    <row r="717" spans="1:53" s="87" customFormat="1">
      <c r="A717" s="90" t="str">
        <f t="shared" si="36"/>
        <v/>
      </c>
      <c r="B717" s="98">
        <v>26</v>
      </c>
      <c r="C717" s="94">
        <v>5</v>
      </c>
      <c r="D717" s="94">
        <v>-8</v>
      </c>
      <c r="E717" s="94" t="s">
        <v>210</v>
      </c>
      <c r="F717" s="94">
        <v>3</v>
      </c>
      <c r="G717" s="94" t="s">
        <v>210</v>
      </c>
      <c r="H717" s="94">
        <v>7</v>
      </c>
      <c r="I717" s="94" t="s">
        <v>210</v>
      </c>
      <c r="J717" s="94">
        <v>-4</v>
      </c>
      <c r="K717" s="94" t="s">
        <v>210</v>
      </c>
      <c r="L717" s="94">
        <v>-6</v>
      </c>
      <c r="M717" s="94"/>
      <c r="N717" s="94"/>
      <c r="O717" s="94"/>
      <c r="P717" s="94"/>
      <c r="Q717" s="94"/>
      <c r="R717" s="94"/>
      <c r="S717" s="94"/>
      <c r="T717" s="94"/>
      <c r="U717" s="94"/>
      <c r="V717" s="94"/>
      <c r="W717" s="94"/>
      <c r="X717" s="94"/>
      <c r="Y717" s="94"/>
      <c r="Z717" s="94"/>
      <c r="AA717" s="94"/>
      <c r="AB717" s="94"/>
      <c r="AC717" s="94"/>
      <c r="AD717" s="94"/>
      <c r="AE717" s="94"/>
      <c r="AF717" s="94"/>
      <c r="AG717" s="94"/>
      <c r="AH717" s="94"/>
      <c r="AI717" s="94"/>
      <c r="AJ717" s="94"/>
      <c r="AK717" s="94"/>
      <c r="AL717" s="94"/>
      <c r="AM717" s="94"/>
      <c r="AN717" s="94"/>
      <c r="AO717" s="94"/>
      <c r="AP717" s="94"/>
      <c r="AQ717" s="94"/>
      <c r="AR717" s="94"/>
      <c r="AS717" s="94"/>
      <c r="AT717" s="94"/>
      <c r="AU717" s="94"/>
      <c r="AV717" s="94"/>
      <c r="AW717" s="94"/>
      <c r="AX717" s="94"/>
      <c r="AY717" s="94"/>
      <c r="AZ717" s="94"/>
      <c r="BA717" s="95"/>
    </row>
    <row r="718" spans="1:53" s="87" customFormat="1">
      <c r="A718" s="90" t="str">
        <f t="shared" si="36"/>
        <v/>
      </c>
      <c r="B718" s="98">
        <v>27</v>
      </c>
      <c r="C718" s="94">
        <v>-1</v>
      </c>
      <c r="D718" s="94">
        <v>7</v>
      </c>
      <c r="E718" s="94" t="s">
        <v>210</v>
      </c>
      <c r="F718" s="94">
        <v>4</v>
      </c>
      <c r="G718" s="94">
        <v>-5</v>
      </c>
      <c r="H718" s="94" t="s">
        <v>210</v>
      </c>
      <c r="I718" s="94" t="s">
        <v>210</v>
      </c>
      <c r="J718" s="94">
        <v>-3</v>
      </c>
      <c r="K718" s="94" t="s">
        <v>210</v>
      </c>
      <c r="L718" s="94">
        <v>6</v>
      </c>
      <c r="M718" s="94"/>
      <c r="N718" s="94"/>
      <c r="O718" s="94"/>
      <c r="P718" s="94"/>
      <c r="Q718" s="94"/>
      <c r="R718" s="94"/>
      <c r="S718" s="94"/>
      <c r="T718" s="94"/>
      <c r="U718" s="94"/>
      <c r="V718" s="94"/>
      <c r="W718" s="94"/>
      <c r="X718" s="94"/>
      <c r="Y718" s="94"/>
      <c r="Z718" s="94"/>
      <c r="AA718" s="94"/>
      <c r="AB718" s="94"/>
      <c r="AC718" s="94"/>
      <c r="AD718" s="94"/>
      <c r="AE718" s="94"/>
      <c r="AF718" s="94"/>
      <c r="AG718" s="94"/>
      <c r="AH718" s="94"/>
      <c r="AI718" s="94"/>
      <c r="AJ718" s="94"/>
      <c r="AK718" s="94"/>
      <c r="AL718" s="94"/>
      <c r="AM718" s="94"/>
      <c r="AN718" s="94"/>
      <c r="AO718" s="94"/>
      <c r="AP718" s="94"/>
      <c r="AQ718" s="94"/>
      <c r="AR718" s="94"/>
      <c r="AS718" s="94"/>
      <c r="AT718" s="94"/>
      <c r="AU718" s="94"/>
      <c r="AV718" s="94"/>
      <c r="AW718" s="94"/>
      <c r="AX718" s="94"/>
      <c r="AY718" s="94"/>
      <c r="AZ718" s="94"/>
      <c r="BA718" s="95"/>
    </row>
    <row r="719" spans="1:53" s="87" customFormat="1">
      <c r="A719" s="90" t="str">
        <f t="shared" si="36"/>
        <v/>
      </c>
      <c r="B719" s="98">
        <v>28</v>
      </c>
      <c r="C719" s="94">
        <v>-6</v>
      </c>
      <c r="D719" s="94">
        <v>8</v>
      </c>
      <c r="E719" s="94" t="s">
        <v>210</v>
      </c>
      <c r="F719" s="94">
        <v>-2</v>
      </c>
      <c r="G719" s="94">
        <v>1</v>
      </c>
      <c r="H719" s="94">
        <v>-9</v>
      </c>
      <c r="I719" s="94" t="s">
        <v>210</v>
      </c>
      <c r="J719" s="94">
        <v>3</v>
      </c>
      <c r="K719" s="94" t="s">
        <v>210</v>
      </c>
      <c r="L719" s="94" t="s">
        <v>210</v>
      </c>
      <c r="M719" s="94"/>
      <c r="N719" s="94"/>
      <c r="O719" s="94"/>
      <c r="P719" s="94"/>
      <c r="Q719" s="94"/>
      <c r="R719" s="94"/>
      <c r="S719" s="94"/>
      <c r="T719" s="94"/>
      <c r="U719" s="94"/>
      <c r="V719" s="94"/>
      <c r="W719" s="94"/>
      <c r="X719" s="94"/>
      <c r="Y719" s="94"/>
      <c r="Z719" s="94"/>
      <c r="AA719" s="94"/>
      <c r="AB719" s="94"/>
      <c r="AC719" s="94"/>
      <c r="AD719" s="94"/>
      <c r="AE719" s="94"/>
      <c r="AF719" s="94"/>
      <c r="AG719" s="94"/>
      <c r="AH719" s="94"/>
      <c r="AI719" s="94"/>
      <c r="AJ719" s="94"/>
      <c r="AK719" s="94"/>
      <c r="AL719" s="94"/>
      <c r="AM719" s="94"/>
      <c r="AN719" s="94"/>
      <c r="AO719" s="94"/>
      <c r="AP719" s="94"/>
      <c r="AQ719" s="94"/>
      <c r="AR719" s="94"/>
      <c r="AS719" s="94"/>
      <c r="AT719" s="94"/>
      <c r="AU719" s="94"/>
      <c r="AV719" s="94"/>
      <c r="AW719" s="94"/>
      <c r="AX719" s="94"/>
      <c r="AY719" s="94"/>
      <c r="AZ719" s="94"/>
      <c r="BA719" s="95"/>
    </row>
    <row r="720" spans="1:53" s="87" customFormat="1">
      <c r="A720" s="90" t="str">
        <f t="shared" si="36"/>
        <v/>
      </c>
      <c r="B720" s="317" t="s">
        <v>1074</v>
      </c>
      <c r="C720" s="94"/>
      <c r="D720" s="94"/>
      <c r="E720" s="94"/>
      <c r="F720" s="94"/>
      <c r="G720" s="94"/>
      <c r="H720" s="94"/>
      <c r="I720" s="94"/>
      <c r="J720" s="94"/>
      <c r="K720" s="94"/>
      <c r="L720" s="94"/>
      <c r="M720" s="94"/>
      <c r="N720" s="94"/>
      <c r="O720" s="94"/>
      <c r="P720" s="94"/>
      <c r="Q720" s="94"/>
      <c r="R720" s="94"/>
      <c r="S720" s="94"/>
      <c r="T720" s="94"/>
      <c r="U720" s="94"/>
      <c r="V720" s="94"/>
      <c r="W720" s="94"/>
      <c r="X720" s="94"/>
      <c r="Y720" s="94"/>
      <c r="Z720" s="94"/>
      <c r="AA720" s="94"/>
      <c r="AB720" s="94"/>
      <c r="AC720" s="94"/>
      <c r="AD720" s="94"/>
      <c r="AE720" s="94"/>
      <c r="AF720" s="94"/>
      <c r="AG720" s="94"/>
      <c r="AH720" s="94"/>
      <c r="AI720" s="94"/>
      <c r="AJ720" s="94"/>
      <c r="AK720" s="94"/>
      <c r="AL720" s="94"/>
      <c r="AM720" s="94"/>
      <c r="AN720" s="94"/>
      <c r="AO720" s="94"/>
      <c r="AP720" s="94"/>
      <c r="AQ720" s="94"/>
      <c r="AR720" s="94"/>
      <c r="AS720" s="94"/>
      <c r="AT720" s="94"/>
      <c r="AU720" s="94"/>
      <c r="AV720" s="94"/>
      <c r="AW720" s="94"/>
      <c r="AX720" s="94"/>
      <c r="AY720" s="94"/>
      <c r="AZ720" s="94"/>
      <c r="BA720" s="95"/>
    </row>
    <row r="721" spans="1:53" s="87" customFormat="1">
      <c r="A721" s="90" t="str">
        <f t="shared" si="36"/>
        <v/>
      </c>
      <c r="B721" s="98"/>
      <c r="C721" s="94"/>
      <c r="D721" s="94"/>
      <c r="E721" s="94"/>
      <c r="F721" s="94"/>
      <c r="G721" s="94"/>
      <c r="H721" s="94"/>
      <c r="I721" s="94"/>
      <c r="J721" s="94"/>
      <c r="K721" s="94"/>
      <c r="L721" s="94"/>
      <c r="M721" s="94"/>
      <c r="N721" s="94"/>
      <c r="O721" s="94"/>
      <c r="P721" s="94"/>
      <c r="Q721" s="94"/>
      <c r="R721" s="94"/>
      <c r="S721" s="94"/>
      <c r="T721" s="94"/>
      <c r="U721" s="94"/>
      <c r="V721" s="94"/>
      <c r="W721" s="94"/>
      <c r="X721" s="94"/>
      <c r="Y721" s="94"/>
      <c r="Z721" s="94"/>
      <c r="AA721" s="94"/>
      <c r="AB721" s="94"/>
      <c r="AC721" s="94"/>
      <c r="AD721" s="94"/>
      <c r="AE721" s="94"/>
      <c r="AF721" s="94"/>
      <c r="AG721" s="94"/>
      <c r="AH721" s="94"/>
      <c r="AI721" s="94"/>
      <c r="AJ721" s="94"/>
      <c r="AK721" s="94"/>
      <c r="AL721" s="94"/>
      <c r="AM721" s="94"/>
      <c r="AN721" s="94"/>
      <c r="AO721" s="94"/>
      <c r="AP721" s="94"/>
      <c r="AQ721" s="94"/>
      <c r="AR721" s="94"/>
      <c r="AS721" s="94"/>
      <c r="AT721" s="94"/>
      <c r="AU721" s="94"/>
      <c r="AV721" s="94"/>
      <c r="AW721" s="94"/>
      <c r="AX721" s="94"/>
      <c r="AY721" s="94"/>
      <c r="AZ721" s="94"/>
      <c r="BA721" s="95"/>
    </row>
    <row r="722" spans="1:53" s="87" customFormat="1">
      <c r="A722" s="90" t="str">
        <f t="shared" si="36"/>
        <v/>
      </c>
      <c r="B722" s="98"/>
      <c r="C722" s="94"/>
      <c r="D722" s="94"/>
      <c r="E722" s="94"/>
      <c r="F722" s="94"/>
      <c r="G722" s="94"/>
      <c r="H722" s="94"/>
      <c r="I722" s="94"/>
      <c r="J722" s="94"/>
      <c r="K722" s="94"/>
      <c r="L722" s="94"/>
      <c r="M722" s="94"/>
      <c r="N722" s="94"/>
      <c r="O722" s="94"/>
      <c r="P722" s="94"/>
      <c r="Q722" s="94"/>
      <c r="R722" s="94"/>
      <c r="S722" s="94"/>
      <c r="T722" s="94"/>
      <c r="U722" s="94"/>
      <c r="V722" s="94"/>
      <c r="W722" s="94"/>
      <c r="X722" s="94"/>
      <c r="Y722" s="94"/>
      <c r="Z722" s="94"/>
      <c r="AA722" s="94"/>
      <c r="AB722" s="94"/>
      <c r="AC722" s="94"/>
      <c r="AD722" s="94"/>
      <c r="AE722" s="94"/>
      <c r="AF722" s="94"/>
      <c r="AG722" s="94"/>
      <c r="AH722" s="94"/>
      <c r="AI722" s="94"/>
      <c r="AJ722" s="94"/>
      <c r="AK722" s="94"/>
      <c r="AL722" s="94"/>
      <c r="AM722" s="94"/>
      <c r="AN722" s="94"/>
      <c r="AO722" s="94"/>
      <c r="AP722" s="94"/>
      <c r="AQ722" s="94"/>
      <c r="AR722" s="94"/>
      <c r="AS722" s="94"/>
      <c r="AT722" s="94"/>
      <c r="AU722" s="94"/>
      <c r="AV722" s="94"/>
      <c r="AW722" s="94"/>
      <c r="AX722" s="94"/>
      <c r="AY722" s="94"/>
      <c r="AZ722" s="94"/>
      <c r="BA722" s="95"/>
    </row>
    <row r="723" spans="1:53" s="87" customFormat="1">
      <c r="A723" s="90" t="str">
        <f t="shared" si="36"/>
        <v/>
      </c>
      <c r="B723" s="98"/>
      <c r="C723" s="94"/>
      <c r="D723" s="94"/>
      <c r="E723" s="94"/>
      <c r="F723" s="94"/>
      <c r="G723" s="94"/>
      <c r="H723" s="94"/>
      <c r="I723" s="94"/>
      <c r="J723" s="94"/>
      <c r="K723" s="94"/>
      <c r="L723" s="94"/>
      <c r="M723" s="94"/>
      <c r="N723" s="94"/>
      <c r="O723" s="94"/>
      <c r="P723" s="94"/>
      <c r="Q723" s="94"/>
      <c r="R723" s="94"/>
      <c r="S723" s="94"/>
      <c r="T723" s="94"/>
      <c r="U723" s="94"/>
      <c r="V723" s="94"/>
      <c r="W723" s="94"/>
      <c r="X723" s="94"/>
      <c r="Y723" s="94"/>
      <c r="Z723" s="94"/>
      <c r="AA723" s="94"/>
      <c r="AB723" s="94"/>
      <c r="AC723" s="94"/>
      <c r="AD723" s="94"/>
      <c r="AE723" s="94"/>
      <c r="AF723" s="94"/>
      <c r="AG723" s="94"/>
      <c r="AH723" s="94"/>
      <c r="AI723" s="94"/>
      <c r="AJ723" s="94"/>
      <c r="AK723" s="94"/>
      <c r="AL723" s="94"/>
      <c r="AM723" s="94"/>
      <c r="AN723" s="94"/>
      <c r="AO723" s="94"/>
      <c r="AP723" s="94"/>
      <c r="AQ723" s="94"/>
      <c r="AR723" s="94"/>
      <c r="AS723" s="94"/>
      <c r="AT723" s="94"/>
      <c r="AU723" s="94"/>
      <c r="AV723" s="94"/>
      <c r="AW723" s="94"/>
      <c r="AX723" s="94"/>
      <c r="AY723" s="94"/>
      <c r="AZ723" s="94"/>
      <c r="BA723" s="95"/>
    </row>
    <row r="724" spans="1:53" s="87" customFormat="1">
      <c r="A724" s="90" t="str">
        <f t="shared" si="36"/>
        <v/>
      </c>
      <c r="B724" s="98"/>
      <c r="C724" s="94"/>
      <c r="D724" s="94"/>
      <c r="E724" s="94"/>
      <c r="F724" s="94"/>
      <c r="G724" s="94"/>
      <c r="H724" s="94"/>
      <c r="I724" s="94"/>
      <c r="J724" s="94"/>
      <c r="K724" s="94"/>
      <c r="L724" s="94"/>
      <c r="M724" s="94"/>
      <c r="N724" s="94"/>
      <c r="O724" s="94"/>
      <c r="P724" s="94"/>
      <c r="Q724" s="94"/>
      <c r="R724" s="94"/>
      <c r="S724" s="94"/>
      <c r="T724" s="94"/>
      <c r="U724" s="94"/>
      <c r="V724" s="94"/>
      <c r="W724" s="94"/>
      <c r="X724" s="94"/>
      <c r="Y724" s="94"/>
      <c r="Z724" s="94"/>
      <c r="AA724" s="94"/>
      <c r="AB724" s="94"/>
      <c r="AC724" s="94"/>
      <c r="AD724" s="94"/>
      <c r="AE724" s="94"/>
      <c r="AF724" s="94"/>
      <c r="AG724" s="94"/>
      <c r="AH724" s="94"/>
      <c r="AI724" s="94"/>
      <c r="AJ724" s="94"/>
      <c r="AK724" s="94"/>
      <c r="AL724" s="94"/>
      <c r="AM724" s="94"/>
      <c r="AN724" s="94"/>
      <c r="AO724" s="94"/>
      <c r="AP724" s="94"/>
      <c r="AQ724" s="94"/>
      <c r="AR724" s="94"/>
      <c r="AS724" s="94"/>
      <c r="AT724" s="94"/>
      <c r="AU724" s="94"/>
      <c r="AV724" s="94"/>
      <c r="AW724" s="94"/>
      <c r="AX724" s="94"/>
      <c r="AY724" s="94"/>
      <c r="AZ724" s="94"/>
      <c r="BA724" s="95"/>
    </row>
    <row r="725" spans="1:53" s="87" customFormat="1">
      <c r="A725" s="90" t="str">
        <f t="shared" si="36"/>
        <v/>
      </c>
      <c r="B725" s="98"/>
      <c r="C725" s="94"/>
      <c r="D725" s="94"/>
      <c r="E725" s="94"/>
      <c r="F725" s="94"/>
      <c r="G725" s="94"/>
      <c r="H725" s="94"/>
      <c r="I725" s="94"/>
      <c r="J725" s="94"/>
      <c r="K725" s="94"/>
      <c r="L725" s="94"/>
      <c r="M725" s="94"/>
      <c r="N725" s="94"/>
      <c r="O725" s="94"/>
      <c r="P725" s="94"/>
      <c r="Q725" s="94"/>
      <c r="R725" s="94"/>
      <c r="S725" s="94"/>
      <c r="T725" s="94"/>
      <c r="U725" s="94"/>
      <c r="V725" s="94"/>
      <c r="W725" s="94"/>
      <c r="X725" s="94"/>
      <c r="Y725" s="94"/>
      <c r="Z725" s="94"/>
      <c r="AA725" s="94"/>
      <c r="AB725" s="94"/>
      <c r="AC725" s="94"/>
      <c r="AD725" s="94"/>
      <c r="AE725" s="94"/>
      <c r="AF725" s="94"/>
      <c r="AG725" s="94"/>
      <c r="AH725" s="94"/>
      <c r="AI725" s="94"/>
      <c r="AJ725" s="94"/>
      <c r="AK725" s="94"/>
      <c r="AL725" s="94"/>
      <c r="AM725" s="94"/>
      <c r="AN725" s="94"/>
      <c r="AO725" s="94"/>
      <c r="AP725" s="94"/>
      <c r="AQ725" s="94"/>
      <c r="AR725" s="94"/>
      <c r="AS725" s="94"/>
      <c r="AT725" s="94"/>
      <c r="AU725" s="94"/>
      <c r="AV725" s="94"/>
      <c r="AW725" s="94"/>
      <c r="AX725" s="94"/>
      <c r="AY725" s="94"/>
      <c r="AZ725" s="94"/>
      <c r="BA725" s="95"/>
    </row>
    <row r="726" spans="1:53" s="87" customFormat="1">
      <c r="A726" s="90" t="str">
        <f t="shared" si="36"/>
        <v/>
      </c>
      <c r="B726" s="98"/>
      <c r="C726" s="94"/>
      <c r="D726" s="94"/>
      <c r="E726" s="94"/>
      <c r="F726" s="94"/>
      <c r="G726" s="94"/>
      <c r="H726" s="94"/>
      <c r="I726" s="94"/>
      <c r="J726" s="94"/>
      <c r="K726" s="94"/>
      <c r="L726" s="94"/>
      <c r="M726" s="94"/>
      <c r="N726" s="94"/>
      <c r="O726" s="94"/>
      <c r="P726" s="94"/>
      <c r="Q726" s="94"/>
      <c r="R726" s="94"/>
      <c r="S726" s="94"/>
      <c r="T726" s="94"/>
      <c r="U726" s="94"/>
      <c r="V726" s="94"/>
      <c r="W726" s="94"/>
      <c r="X726" s="94"/>
      <c r="Y726" s="94"/>
      <c r="Z726" s="94"/>
      <c r="AA726" s="94"/>
      <c r="AB726" s="94"/>
      <c r="AC726" s="94"/>
      <c r="AD726" s="94"/>
      <c r="AE726" s="94"/>
      <c r="AF726" s="94"/>
      <c r="AG726" s="94"/>
      <c r="AH726" s="94"/>
      <c r="AI726" s="94"/>
      <c r="AJ726" s="94"/>
      <c r="AK726" s="94"/>
      <c r="AL726" s="94"/>
      <c r="AM726" s="94"/>
      <c r="AN726" s="94"/>
      <c r="AO726" s="94"/>
      <c r="AP726" s="94"/>
      <c r="AQ726" s="94"/>
      <c r="AR726" s="94"/>
      <c r="AS726" s="94"/>
      <c r="AT726" s="94"/>
      <c r="AU726" s="94"/>
      <c r="AV726" s="94"/>
      <c r="AW726" s="94"/>
      <c r="AX726" s="94"/>
      <c r="AY726" s="94"/>
      <c r="AZ726" s="94"/>
      <c r="BA726" s="95"/>
    </row>
    <row r="727" spans="1:53" s="87" customFormat="1">
      <c r="A727" s="90" t="str">
        <f t="shared" si="36"/>
        <v/>
      </c>
      <c r="B727" s="98"/>
      <c r="C727" s="94"/>
      <c r="D727" s="94"/>
      <c r="E727" s="94"/>
      <c r="F727" s="94"/>
      <c r="G727" s="94"/>
      <c r="H727" s="94"/>
      <c r="I727" s="94"/>
      <c r="J727" s="94"/>
      <c r="K727" s="94"/>
      <c r="L727" s="94"/>
      <c r="M727" s="94"/>
      <c r="N727" s="94"/>
      <c r="O727" s="94"/>
      <c r="P727" s="94"/>
      <c r="Q727" s="94"/>
      <c r="R727" s="94"/>
      <c r="S727" s="94"/>
      <c r="T727" s="94"/>
      <c r="U727" s="94"/>
      <c r="V727" s="94"/>
      <c r="W727" s="94"/>
      <c r="X727" s="94"/>
      <c r="Y727" s="94"/>
      <c r="Z727" s="94"/>
      <c r="AA727" s="94"/>
      <c r="AB727" s="94"/>
      <c r="AC727" s="94"/>
      <c r="AD727" s="94"/>
      <c r="AE727" s="94"/>
      <c r="AF727" s="94"/>
      <c r="AG727" s="94"/>
      <c r="AH727" s="94"/>
      <c r="AI727" s="94"/>
      <c r="AJ727" s="94"/>
      <c r="AK727" s="94"/>
      <c r="AL727" s="94"/>
      <c r="AM727" s="94"/>
      <c r="AN727" s="94"/>
      <c r="AO727" s="94"/>
      <c r="AP727" s="94"/>
      <c r="AQ727" s="94"/>
      <c r="AR727" s="94"/>
      <c r="AS727" s="94"/>
      <c r="AT727" s="94"/>
      <c r="AU727" s="94"/>
      <c r="AV727" s="94"/>
      <c r="AW727" s="94"/>
      <c r="AX727" s="94"/>
      <c r="AY727" s="94"/>
      <c r="AZ727" s="94"/>
      <c r="BA727" s="95"/>
    </row>
    <row r="728" spans="1:53" s="87" customFormat="1">
      <c r="A728" s="90" t="str">
        <f t="shared" si="36"/>
        <v/>
      </c>
      <c r="B728" s="98"/>
      <c r="C728" s="94"/>
      <c r="D728" s="94"/>
      <c r="E728" s="94"/>
      <c r="F728" s="94"/>
      <c r="G728" s="94"/>
      <c r="H728" s="94"/>
      <c r="I728" s="94"/>
      <c r="J728" s="94"/>
      <c r="K728" s="94"/>
      <c r="L728" s="94"/>
      <c r="M728" s="94"/>
      <c r="N728" s="94"/>
      <c r="O728" s="94"/>
      <c r="P728" s="94"/>
      <c r="Q728" s="94"/>
      <c r="R728" s="94"/>
      <c r="S728" s="94"/>
      <c r="T728" s="94"/>
      <c r="U728" s="94"/>
      <c r="V728" s="94"/>
      <c r="W728" s="94"/>
      <c r="X728" s="94"/>
      <c r="Y728" s="94"/>
      <c r="Z728" s="94"/>
      <c r="AA728" s="94"/>
      <c r="AB728" s="94"/>
      <c r="AC728" s="94"/>
      <c r="AD728" s="94"/>
      <c r="AE728" s="94"/>
      <c r="AF728" s="94"/>
      <c r="AG728" s="94"/>
      <c r="AH728" s="94"/>
      <c r="AI728" s="94"/>
      <c r="AJ728" s="94"/>
      <c r="AK728" s="94"/>
      <c r="AL728" s="94"/>
      <c r="AM728" s="94"/>
      <c r="AN728" s="94"/>
      <c r="AO728" s="94"/>
      <c r="AP728" s="94"/>
      <c r="AQ728" s="94"/>
      <c r="AR728" s="94"/>
      <c r="AS728" s="94"/>
      <c r="AT728" s="94"/>
      <c r="AU728" s="94"/>
      <c r="AV728" s="94"/>
      <c r="AW728" s="94"/>
      <c r="AX728" s="94"/>
      <c r="AY728" s="94"/>
      <c r="AZ728" s="94"/>
      <c r="BA728" s="95"/>
    </row>
    <row r="729" spans="1:53" s="87" customFormat="1">
      <c r="A729" s="90" t="str">
        <f t="shared" si="36"/>
        <v/>
      </c>
      <c r="B729" s="98"/>
      <c r="C729" s="94"/>
      <c r="D729" s="94"/>
      <c r="E729" s="94"/>
      <c r="F729" s="94"/>
      <c r="G729" s="94"/>
      <c r="H729" s="94"/>
      <c r="I729" s="94"/>
      <c r="J729" s="94"/>
      <c r="K729" s="94"/>
      <c r="L729" s="94"/>
      <c r="M729" s="94"/>
      <c r="N729" s="94"/>
      <c r="O729" s="94"/>
      <c r="P729" s="94"/>
      <c r="Q729" s="94"/>
      <c r="R729" s="94"/>
      <c r="S729" s="94"/>
      <c r="T729" s="94"/>
      <c r="U729" s="94"/>
      <c r="V729" s="94"/>
      <c r="W729" s="94"/>
      <c r="X729" s="94"/>
      <c r="Y729" s="94"/>
      <c r="Z729" s="94"/>
      <c r="AA729" s="94"/>
      <c r="AB729" s="94"/>
      <c r="AC729" s="94"/>
      <c r="AD729" s="94"/>
      <c r="AE729" s="94"/>
      <c r="AF729" s="94"/>
      <c r="AG729" s="94"/>
      <c r="AH729" s="94"/>
      <c r="AI729" s="94"/>
      <c r="AJ729" s="94"/>
      <c r="AK729" s="94"/>
      <c r="AL729" s="94"/>
      <c r="AM729" s="94"/>
      <c r="AN729" s="94"/>
      <c r="AO729" s="94"/>
      <c r="AP729" s="94"/>
      <c r="AQ729" s="94"/>
      <c r="AR729" s="94"/>
      <c r="AS729" s="94"/>
      <c r="AT729" s="94"/>
      <c r="AU729" s="94"/>
      <c r="AV729" s="94"/>
      <c r="AW729" s="94"/>
      <c r="AX729" s="94"/>
      <c r="AY729" s="94"/>
      <c r="AZ729" s="94"/>
      <c r="BA729" s="95"/>
    </row>
    <row r="730" spans="1:53" s="87" customFormat="1">
      <c r="A730" s="90" t="str">
        <f t="shared" si="36"/>
        <v/>
      </c>
      <c r="B730" s="98"/>
      <c r="C730" s="94"/>
      <c r="D730" s="94"/>
      <c r="E730" s="94"/>
      <c r="F730" s="94"/>
      <c r="G730" s="94"/>
      <c r="H730" s="94"/>
      <c r="I730" s="94"/>
      <c r="J730" s="94"/>
      <c r="K730" s="94"/>
      <c r="L730" s="94"/>
      <c r="M730" s="94"/>
      <c r="N730" s="94"/>
      <c r="O730" s="94"/>
      <c r="P730" s="94"/>
      <c r="Q730" s="94"/>
      <c r="R730" s="94"/>
      <c r="S730" s="94"/>
      <c r="T730" s="94"/>
      <c r="U730" s="94"/>
      <c r="V730" s="94"/>
      <c r="W730" s="94"/>
      <c r="X730" s="94"/>
      <c r="Y730" s="94"/>
      <c r="Z730" s="94"/>
      <c r="AA730" s="94"/>
      <c r="AB730" s="94"/>
      <c r="AC730" s="94"/>
      <c r="AD730" s="94"/>
      <c r="AE730" s="94"/>
      <c r="AF730" s="94"/>
      <c r="AG730" s="94"/>
      <c r="AH730" s="94"/>
      <c r="AI730" s="94"/>
      <c r="AJ730" s="94"/>
      <c r="AK730" s="94"/>
      <c r="AL730" s="94"/>
      <c r="AM730" s="94"/>
      <c r="AN730" s="94"/>
      <c r="AO730" s="94"/>
      <c r="AP730" s="94"/>
      <c r="AQ730" s="94"/>
      <c r="AR730" s="94"/>
      <c r="AS730" s="94"/>
      <c r="AT730" s="94"/>
      <c r="AU730" s="94"/>
      <c r="AV730" s="94"/>
      <c r="AW730" s="94"/>
      <c r="AX730" s="94"/>
      <c r="AY730" s="94"/>
      <c r="AZ730" s="94"/>
      <c r="BA730" s="95"/>
    </row>
    <row r="731" spans="1:53" s="87" customFormat="1">
      <c r="A731" s="90" t="str">
        <f t="shared" si="36"/>
        <v/>
      </c>
      <c r="B731" s="98"/>
      <c r="C731" s="94"/>
      <c r="D731" s="94"/>
      <c r="E731" s="94"/>
      <c r="F731" s="94"/>
      <c r="G731" s="94"/>
      <c r="H731" s="94"/>
      <c r="I731" s="94"/>
      <c r="J731" s="94"/>
      <c r="K731" s="94"/>
      <c r="L731" s="94"/>
      <c r="M731" s="94"/>
      <c r="N731" s="94"/>
      <c r="O731" s="94"/>
      <c r="P731" s="94"/>
      <c r="Q731" s="94"/>
      <c r="R731" s="94"/>
      <c r="S731" s="94"/>
      <c r="T731" s="94"/>
      <c r="U731" s="94"/>
      <c r="V731" s="94"/>
      <c r="W731" s="94"/>
      <c r="X731" s="94"/>
      <c r="Y731" s="94"/>
      <c r="Z731" s="94"/>
      <c r="AA731" s="94"/>
      <c r="AB731" s="94"/>
      <c r="AC731" s="94"/>
      <c r="AD731" s="94"/>
      <c r="AE731" s="94"/>
      <c r="AF731" s="94"/>
      <c r="AG731" s="94"/>
      <c r="AH731" s="94"/>
      <c r="AI731" s="94"/>
      <c r="AJ731" s="94"/>
      <c r="AK731" s="94"/>
      <c r="AL731" s="94"/>
      <c r="AM731" s="94"/>
      <c r="AN731" s="94"/>
      <c r="AO731" s="94"/>
      <c r="AP731" s="94"/>
      <c r="AQ731" s="94"/>
      <c r="AR731" s="94"/>
      <c r="AS731" s="94"/>
      <c r="AT731" s="94"/>
      <c r="AU731" s="94"/>
      <c r="AV731" s="94"/>
      <c r="AW731" s="94"/>
      <c r="AX731" s="94"/>
      <c r="AY731" s="94"/>
      <c r="AZ731" s="94"/>
      <c r="BA731" s="95"/>
    </row>
    <row r="732" spans="1:53" s="87" customFormat="1">
      <c r="A732" s="90" t="str">
        <f t="shared" si="36"/>
        <v/>
      </c>
      <c r="B732" s="98"/>
      <c r="C732" s="94"/>
      <c r="D732" s="94"/>
      <c r="E732" s="94"/>
      <c r="F732" s="94"/>
      <c r="G732" s="94"/>
      <c r="H732" s="94"/>
      <c r="I732" s="94"/>
      <c r="J732" s="94"/>
      <c r="K732" s="94"/>
      <c r="L732" s="94"/>
      <c r="M732" s="94"/>
      <c r="N732" s="94"/>
      <c r="O732" s="94"/>
      <c r="P732" s="94"/>
      <c r="Q732" s="94"/>
      <c r="R732" s="94"/>
      <c r="S732" s="94"/>
      <c r="T732" s="94"/>
      <c r="U732" s="94"/>
      <c r="V732" s="94"/>
      <c r="W732" s="94"/>
      <c r="X732" s="94"/>
      <c r="Y732" s="94"/>
      <c r="Z732" s="94"/>
      <c r="AA732" s="94"/>
      <c r="AB732" s="94"/>
      <c r="AC732" s="94"/>
      <c r="AD732" s="94"/>
      <c r="AE732" s="94"/>
      <c r="AF732" s="94"/>
      <c r="AG732" s="94"/>
      <c r="AH732" s="94"/>
      <c r="AI732" s="94"/>
      <c r="AJ732" s="94"/>
      <c r="AK732" s="94"/>
      <c r="AL732" s="94"/>
      <c r="AM732" s="94"/>
      <c r="AN732" s="94"/>
      <c r="AO732" s="94"/>
      <c r="AP732" s="94"/>
      <c r="AQ732" s="94"/>
      <c r="AR732" s="94"/>
      <c r="AS732" s="94"/>
      <c r="AT732" s="94"/>
      <c r="AU732" s="94"/>
      <c r="AV732" s="94"/>
      <c r="AW732" s="94"/>
      <c r="AX732" s="94"/>
      <c r="AY732" s="94"/>
      <c r="AZ732" s="94"/>
      <c r="BA732" s="95"/>
    </row>
    <row r="733" spans="1:53" s="87" customFormat="1">
      <c r="A733" s="90" t="str">
        <f t="shared" si="36"/>
        <v/>
      </c>
      <c r="B733" s="98"/>
      <c r="C733" s="94"/>
      <c r="D733" s="94"/>
      <c r="E733" s="94"/>
      <c r="F733" s="94"/>
      <c r="G733" s="94"/>
      <c r="H733" s="94"/>
      <c r="I733" s="94"/>
      <c r="J733" s="94"/>
      <c r="K733" s="94"/>
      <c r="L733" s="94"/>
      <c r="M733" s="94"/>
      <c r="N733" s="94"/>
      <c r="O733" s="94"/>
      <c r="P733" s="94"/>
      <c r="Q733" s="94"/>
      <c r="R733" s="94"/>
      <c r="S733" s="94"/>
      <c r="T733" s="94"/>
      <c r="U733" s="94"/>
      <c r="V733" s="94"/>
      <c r="W733" s="94"/>
      <c r="X733" s="94"/>
      <c r="Y733" s="94"/>
      <c r="Z733" s="94"/>
      <c r="AA733" s="94"/>
      <c r="AB733" s="94"/>
      <c r="AC733" s="94"/>
      <c r="AD733" s="94"/>
      <c r="AE733" s="94"/>
      <c r="AF733" s="94"/>
      <c r="AG733" s="94"/>
      <c r="AH733" s="94"/>
      <c r="AI733" s="94"/>
      <c r="AJ733" s="94"/>
      <c r="AK733" s="94"/>
      <c r="AL733" s="94"/>
      <c r="AM733" s="94"/>
      <c r="AN733" s="94"/>
      <c r="AO733" s="94"/>
      <c r="AP733" s="94"/>
      <c r="AQ733" s="94"/>
      <c r="AR733" s="94"/>
      <c r="AS733" s="94"/>
      <c r="AT733" s="94"/>
      <c r="AU733" s="94"/>
      <c r="AV733" s="94"/>
      <c r="AW733" s="94"/>
      <c r="AX733" s="94"/>
      <c r="AY733" s="94"/>
      <c r="AZ733" s="94"/>
      <c r="BA733" s="95"/>
    </row>
    <row r="734" spans="1:53" s="87" customFormat="1">
      <c r="A734" s="90" t="str">
        <f t="shared" si="36"/>
        <v/>
      </c>
      <c r="B734" s="98"/>
      <c r="C734" s="94"/>
      <c r="D734" s="94"/>
      <c r="E734" s="94"/>
      <c r="F734" s="94"/>
      <c r="G734" s="94"/>
      <c r="H734" s="94"/>
      <c r="I734" s="94"/>
      <c r="J734" s="94"/>
      <c r="K734" s="94"/>
      <c r="L734" s="94"/>
      <c r="M734" s="94"/>
      <c r="N734" s="94"/>
      <c r="O734" s="94"/>
      <c r="P734" s="94"/>
      <c r="Q734" s="94"/>
      <c r="R734" s="94"/>
      <c r="S734" s="94"/>
      <c r="T734" s="94"/>
      <c r="U734" s="94"/>
      <c r="V734" s="94"/>
      <c r="W734" s="94"/>
      <c r="X734" s="94"/>
      <c r="Y734" s="94"/>
      <c r="Z734" s="94"/>
      <c r="AA734" s="94"/>
      <c r="AB734" s="94"/>
      <c r="AC734" s="94"/>
      <c r="AD734" s="94"/>
      <c r="AE734" s="94"/>
      <c r="AF734" s="94"/>
      <c r="AG734" s="94"/>
      <c r="AH734" s="94"/>
      <c r="AI734" s="94"/>
      <c r="AJ734" s="94"/>
      <c r="AK734" s="94"/>
      <c r="AL734" s="94"/>
      <c r="AM734" s="94"/>
      <c r="AN734" s="94"/>
      <c r="AO734" s="94"/>
      <c r="AP734" s="94"/>
      <c r="AQ734" s="94"/>
      <c r="AR734" s="94"/>
      <c r="AS734" s="94"/>
      <c r="AT734" s="94"/>
      <c r="AU734" s="94"/>
      <c r="AV734" s="94"/>
      <c r="AW734" s="94"/>
      <c r="AX734" s="94"/>
      <c r="AY734" s="94"/>
      <c r="AZ734" s="94"/>
      <c r="BA734" s="95"/>
    </row>
    <row r="735" spans="1:53" s="87" customFormat="1">
      <c r="A735" s="90" t="str">
        <f t="shared" si="36"/>
        <v/>
      </c>
      <c r="B735" s="98"/>
      <c r="C735" s="94"/>
      <c r="D735" s="94"/>
      <c r="E735" s="94"/>
      <c r="F735" s="94"/>
      <c r="G735" s="94"/>
      <c r="H735" s="94"/>
      <c r="I735" s="94"/>
      <c r="J735" s="94"/>
      <c r="K735" s="94"/>
      <c r="L735" s="94"/>
      <c r="M735" s="94"/>
      <c r="N735" s="94"/>
      <c r="O735" s="94"/>
      <c r="P735" s="94"/>
      <c r="Q735" s="94"/>
      <c r="R735" s="94"/>
      <c r="S735" s="94"/>
      <c r="T735" s="94"/>
      <c r="U735" s="94"/>
      <c r="V735" s="94"/>
      <c r="W735" s="94"/>
      <c r="X735" s="94"/>
      <c r="Y735" s="94"/>
      <c r="Z735" s="94"/>
      <c r="AA735" s="94"/>
      <c r="AB735" s="94"/>
      <c r="AC735" s="94"/>
      <c r="AD735" s="94"/>
      <c r="AE735" s="94"/>
      <c r="AF735" s="94"/>
      <c r="AG735" s="94"/>
      <c r="AH735" s="94"/>
      <c r="AI735" s="94"/>
      <c r="AJ735" s="94"/>
      <c r="AK735" s="94"/>
      <c r="AL735" s="94"/>
      <c r="AM735" s="94"/>
      <c r="AN735" s="94"/>
      <c r="AO735" s="94"/>
      <c r="AP735" s="94"/>
      <c r="AQ735" s="94"/>
      <c r="AR735" s="94"/>
      <c r="AS735" s="94"/>
      <c r="AT735" s="94"/>
      <c r="AU735" s="94"/>
      <c r="AV735" s="94"/>
      <c r="AW735" s="94"/>
      <c r="AX735" s="94"/>
      <c r="AY735" s="94"/>
      <c r="AZ735" s="94"/>
      <c r="BA735" s="95"/>
    </row>
    <row r="736" spans="1:53" s="87" customFormat="1">
      <c r="A736" s="90" t="str">
        <f t="shared" si="36"/>
        <v/>
      </c>
      <c r="B736" s="98"/>
      <c r="C736" s="94"/>
      <c r="D736" s="94"/>
      <c r="E736" s="94"/>
      <c r="F736" s="94"/>
      <c r="G736" s="94"/>
      <c r="H736" s="94"/>
      <c r="I736" s="94"/>
      <c r="J736" s="94"/>
      <c r="K736" s="94"/>
      <c r="L736" s="94"/>
      <c r="M736" s="94"/>
      <c r="N736" s="94"/>
      <c r="O736" s="94"/>
      <c r="P736" s="94"/>
      <c r="Q736" s="94"/>
      <c r="R736" s="94"/>
      <c r="S736" s="94"/>
      <c r="T736" s="94"/>
      <c r="U736" s="94"/>
      <c r="V736" s="94"/>
      <c r="W736" s="94"/>
      <c r="X736" s="94"/>
      <c r="Y736" s="94"/>
      <c r="Z736" s="94"/>
      <c r="AA736" s="94"/>
      <c r="AB736" s="94"/>
      <c r="AC736" s="94"/>
      <c r="AD736" s="94"/>
      <c r="AE736" s="94"/>
      <c r="AF736" s="94"/>
      <c r="AG736" s="94"/>
      <c r="AH736" s="94"/>
      <c r="AI736" s="94"/>
      <c r="AJ736" s="94"/>
      <c r="AK736" s="94"/>
      <c r="AL736" s="94"/>
      <c r="AM736" s="94"/>
      <c r="AN736" s="94"/>
      <c r="AO736" s="94"/>
      <c r="AP736" s="94"/>
      <c r="AQ736" s="94"/>
      <c r="AR736" s="94"/>
      <c r="AS736" s="94"/>
      <c r="AT736" s="94"/>
      <c r="AU736" s="94"/>
      <c r="AV736" s="94"/>
      <c r="AW736" s="94"/>
      <c r="AX736" s="94"/>
      <c r="AY736" s="94"/>
      <c r="AZ736" s="94"/>
      <c r="BA736" s="95"/>
    </row>
    <row r="737" spans="1:53" s="87" customFormat="1">
      <c r="A737" s="90" t="str">
        <f t="shared" si="36"/>
        <v/>
      </c>
      <c r="B737" s="98"/>
      <c r="C737" s="94"/>
      <c r="D737" s="94"/>
      <c r="E737" s="94"/>
      <c r="F737" s="94"/>
      <c r="G737" s="94"/>
      <c r="H737" s="94"/>
      <c r="I737" s="94"/>
      <c r="J737" s="94"/>
      <c r="K737" s="94"/>
      <c r="L737" s="94"/>
      <c r="M737" s="94"/>
      <c r="N737" s="94"/>
      <c r="O737" s="94"/>
      <c r="P737" s="94"/>
      <c r="Q737" s="94"/>
      <c r="R737" s="94"/>
      <c r="S737" s="94"/>
      <c r="T737" s="94"/>
      <c r="U737" s="94"/>
      <c r="V737" s="94"/>
      <c r="W737" s="94"/>
      <c r="X737" s="94"/>
      <c r="Y737" s="94"/>
      <c r="Z737" s="94"/>
      <c r="AA737" s="94"/>
      <c r="AB737" s="94"/>
      <c r="AC737" s="94"/>
      <c r="AD737" s="94"/>
      <c r="AE737" s="94"/>
      <c r="AF737" s="94"/>
      <c r="AG737" s="94"/>
      <c r="AH737" s="94"/>
      <c r="AI737" s="94"/>
      <c r="AJ737" s="94"/>
      <c r="AK737" s="94"/>
      <c r="AL737" s="94"/>
      <c r="AM737" s="94"/>
      <c r="AN737" s="94"/>
      <c r="AO737" s="94"/>
      <c r="AP737" s="94"/>
      <c r="AQ737" s="94"/>
      <c r="AR737" s="94"/>
      <c r="AS737" s="94"/>
      <c r="AT737" s="94"/>
      <c r="AU737" s="94"/>
      <c r="AV737" s="94"/>
      <c r="AW737" s="94"/>
      <c r="AX737" s="94"/>
      <c r="AY737" s="94"/>
      <c r="AZ737" s="94"/>
      <c r="BA737" s="95"/>
    </row>
    <row r="738" spans="1:53" s="87" customFormat="1">
      <c r="A738" s="90" t="str">
        <f t="shared" si="36"/>
        <v/>
      </c>
      <c r="B738" s="98"/>
      <c r="C738" s="94"/>
      <c r="D738" s="94"/>
      <c r="E738" s="94"/>
      <c r="F738" s="94"/>
      <c r="G738" s="94"/>
      <c r="H738" s="94"/>
      <c r="I738" s="94"/>
      <c r="J738" s="94"/>
      <c r="K738" s="94"/>
      <c r="L738" s="94"/>
      <c r="M738" s="94"/>
      <c r="N738" s="94"/>
      <c r="O738" s="94"/>
      <c r="P738" s="94"/>
      <c r="Q738" s="94"/>
      <c r="R738" s="94"/>
      <c r="S738" s="94"/>
      <c r="T738" s="94"/>
      <c r="U738" s="94"/>
      <c r="V738" s="94"/>
      <c r="W738" s="94"/>
      <c r="X738" s="94"/>
      <c r="Y738" s="94"/>
      <c r="Z738" s="94"/>
      <c r="AA738" s="94"/>
      <c r="AB738" s="94"/>
      <c r="AC738" s="94"/>
      <c r="AD738" s="94"/>
      <c r="AE738" s="94"/>
      <c r="AF738" s="94"/>
      <c r="AG738" s="94"/>
      <c r="AH738" s="94"/>
      <c r="AI738" s="94"/>
      <c r="AJ738" s="94"/>
      <c r="AK738" s="94"/>
      <c r="AL738" s="94"/>
      <c r="AM738" s="94"/>
      <c r="AN738" s="94"/>
      <c r="AO738" s="94"/>
      <c r="AP738" s="94"/>
      <c r="AQ738" s="94"/>
      <c r="AR738" s="94"/>
      <c r="AS738" s="94"/>
      <c r="AT738" s="94"/>
      <c r="AU738" s="94"/>
      <c r="AV738" s="94"/>
      <c r="AW738" s="94"/>
      <c r="AX738" s="94"/>
      <c r="AY738" s="94"/>
      <c r="AZ738" s="94"/>
      <c r="BA738" s="95"/>
    </row>
    <row r="739" spans="1:53" s="87" customFormat="1">
      <c r="A739" s="90" t="str">
        <f t="shared" si="36"/>
        <v/>
      </c>
      <c r="B739" s="98"/>
      <c r="C739" s="94"/>
      <c r="D739" s="94"/>
      <c r="E739" s="94"/>
      <c r="F739" s="94"/>
      <c r="G739" s="94"/>
      <c r="H739" s="94"/>
      <c r="I739" s="94"/>
      <c r="J739" s="94"/>
      <c r="K739" s="94"/>
      <c r="L739" s="94"/>
      <c r="M739" s="94"/>
      <c r="N739" s="94"/>
      <c r="O739" s="94"/>
      <c r="P739" s="94"/>
      <c r="Q739" s="94"/>
      <c r="R739" s="94"/>
      <c r="S739" s="94"/>
      <c r="T739" s="94"/>
      <c r="U739" s="94"/>
      <c r="V739" s="94"/>
      <c r="W739" s="94"/>
      <c r="X739" s="94"/>
      <c r="Y739" s="94"/>
      <c r="Z739" s="94"/>
      <c r="AA739" s="94"/>
      <c r="AB739" s="94"/>
      <c r="AC739" s="94"/>
      <c r="AD739" s="94"/>
      <c r="AE739" s="94"/>
      <c r="AF739" s="94"/>
      <c r="AG739" s="94"/>
      <c r="AH739" s="94"/>
      <c r="AI739" s="94"/>
      <c r="AJ739" s="94"/>
      <c r="AK739" s="94"/>
      <c r="AL739" s="94"/>
      <c r="AM739" s="94"/>
      <c r="AN739" s="94"/>
      <c r="AO739" s="94"/>
      <c r="AP739" s="94"/>
      <c r="AQ739" s="94"/>
      <c r="AR739" s="94"/>
      <c r="AS739" s="94"/>
      <c r="AT739" s="94"/>
      <c r="AU739" s="94"/>
      <c r="AV739" s="94"/>
      <c r="AW739" s="94"/>
      <c r="AX739" s="94"/>
      <c r="AY739" s="94"/>
      <c r="AZ739" s="94"/>
      <c r="BA739" s="95"/>
    </row>
    <row r="740" spans="1:53" s="87" customFormat="1">
      <c r="A740" s="90" t="str">
        <f t="shared" si="36"/>
        <v/>
      </c>
      <c r="B740" s="98"/>
      <c r="C740" s="94"/>
      <c r="D740" s="94"/>
      <c r="E740" s="94"/>
      <c r="F740" s="94"/>
      <c r="G740" s="94"/>
      <c r="H740" s="94"/>
      <c r="I740" s="94"/>
      <c r="J740" s="94"/>
      <c r="K740" s="94"/>
      <c r="L740" s="94"/>
      <c r="M740" s="94"/>
      <c r="N740" s="94"/>
      <c r="O740" s="94"/>
      <c r="P740" s="94"/>
      <c r="Q740" s="94"/>
      <c r="R740" s="94"/>
      <c r="S740" s="94"/>
      <c r="T740" s="94"/>
      <c r="U740" s="94"/>
      <c r="V740" s="94"/>
      <c r="W740" s="94"/>
      <c r="X740" s="94"/>
      <c r="Y740" s="94"/>
      <c r="Z740" s="94"/>
      <c r="AA740" s="94"/>
      <c r="AB740" s="94"/>
      <c r="AC740" s="94"/>
      <c r="AD740" s="94"/>
      <c r="AE740" s="94"/>
      <c r="AF740" s="94"/>
      <c r="AG740" s="94"/>
      <c r="AH740" s="94"/>
      <c r="AI740" s="94"/>
      <c r="AJ740" s="94"/>
      <c r="AK740" s="94"/>
      <c r="AL740" s="94"/>
      <c r="AM740" s="94"/>
      <c r="AN740" s="94"/>
      <c r="AO740" s="94"/>
      <c r="AP740" s="94"/>
      <c r="AQ740" s="94"/>
      <c r="AR740" s="94"/>
      <c r="AS740" s="94"/>
      <c r="AT740" s="94"/>
      <c r="AU740" s="94"/>
      <c r="AV740" s="94"/>
      <c r="AW740" s="94"/>
      <c r="AX740" s="94"/>
      <c r="AY740" s="94"/>
      <c r="AZ740" s="94"/>
      <c r="BA740" s="95"/>
    </row>
    <row r="741" spans="1:53" s="87" customFormat="1">
      <c r="A741" s="90" t="str">
        <f t="shared" si="36"/>
        <v/>
      </c>
      <c r="B741" s="98"/>
      <c r="C741" s="94"/>
      <c r="D741" s="94"/>
      <c r="E741" s="94"/>
      <c r="F741" s="94"/>
      <c r="G741" s="94"/>
      <c r="H741" s="94"/>
      <c r="I741" s="94"/>
      <c r="J741" s="94"/>
      <c r="K741" s="94"/>
      <c r="L741" s="94"/>
      <c r="M741" s="94"/>
      <c r="N741" s="94"/>
      <c r="O741" s="94"/>
      <c r="P741" s="94"/>
      <c r="Q741" s="94"/>
      <c r="R741" s="94"/>
      <c r="S741" s="94"/>
      <c r="T741" s="94"/>
      <c r="U741" s="94"/>
      <c r="V741" s="94"/>
      <c r="W741" s="94"/>
      <c r="X741" s="94"/>
      <c r="Y741" s="94"/>
      <c r="Z741" s="94"/>
      <c r="AA741" s="94"/>
      <c r="AB741" s="94"/>
      <c r="AC741" s="94"/>
      <c r="AD741" s="94"/>
      <c r="AE741" s="94"/>
      <c r="AF741" s="94"/>
      <c r="AG741" s="94"/>
      <c r="AH741" s="94"/>
      <c r="AI741" s="94"/>
      <c r="AJ741" s="94"/>
      <c r="AK741" s="94"/>
      <c r="AL741" s="94"/>
      <c r="AM741" s="94"/>
      <c r="AN741" s="94"/>
      <c r="AO741" s="94"/>
      <c r="AP741" s="94"/>
      <c r="AQ741" s="94"/>
      <c r="AR741" s="94"/>
      <c r="AS741" s="94"/>
      <c r="AT741" s="94"/>
      <c r="AU741" s="94"/>
      <c r="AV741" s="94"/>
      <c r="AW741" s="94"/>
      <c r="AX741" s="94"/>
      <c r="AY741" s="94"/>
      <c r="AZ741" s="94"/>
      <c r="BA741" s="95"/>
    </row>
    <row r="742" spans="1:53" s="87" customFormat="1">
      <c r="A742" s="90" t="str">
        <f t="shared" si="36"/>
        <v/>
      </c>
      <c r="B742" s="98"/>
      <c r="C742" s="94"/>
      <c r="D742" s="94"/>
      <c r="E742" s="94"/>
      <c r="F742" s="94"/>
      <c r="G742" s="94"/>
      <c r="H742" s="94"/>
      <c r="I742" s="94"/>
      <c r="J742" s="94"/>
      <c r="K742" s="94"/>
      <c r="L742" s="94"/>
      <c r="M742" s="94"/>
      <c r="N742" s="94"/>
      <c r="O742" s="94"/>
      <c r="P742" s="94"/>
      <c r="Q742" s="94"/>
      <c r="R742" s="94"/>
      <c r="S742" s="94"/>
      <c r="T742" s="94"/>
      <c r="U742" s="94"/>
      <c r="V742" s="94"/>
      <c r="W742" s="94"/>
      <c r="X742" s="94"/>
      <c r="Y742" s="94"/>
      <c r="Z742" s="94"/>
      <c r="AA742" s="94"/>
      <c r="AB742" s="94"/>
      <c r="AC742" s="94"/>
      <c r="AD742" s="94"/>
      <c r="AE742" s="94"/>
      <c r="AF742" s="94"/>
      <c r="AG742" s="94"/>
      <c r="AH742" s="94"/>
      <c r="AI742" s="94"/>
      <c r="AJ742" s="94"/>
      <c r="AK742" s="94"/>
      <c r="AL742" s="94"/>
      <c r="AM742" s="94"/>
      <c r="AN742" s="94"/>
      <c r="AO742" s="94"/>
      <c r="AP742" s="94"/>
      <c r="AQ742" s="94"/>
      <c r="AR742" s="94"/>
      <c r="AS742" s="94"/>
      <c r="AT742" s="94"/>
      <c r="AU742" s="94"/>
      <c r="AV742" s="94"/>
      <c r="AW742" s="94"/>
      <c r="AX742" s="94"/>
      <c r="AY742" s="94"/>
      <c r="AZ742" s="94"/>
      <c r="BA742" s="95"/>
    </row>
    <row r="743" spans="1:53" s="87" customFormat="1">
      <c r="A743" s="90" t="str">
        <f t="shared" si="36"/>
        <v/>
      </c>
      <c r="B743" s="98"/>
      <c r="C743" s="94"/>
      <c r="D743" s="94"/>
      <c r="E743" s="94"/>
      <c r="F743" s="94"/>
      <c r="G743" s="94"/>
      <c r="H743" s="94"/>
      <c r="I743" s="94"/>
      <c r="J743" s="94"/>
      <c r="K743" s="94"/>
      <c r="L743" s="94"/>
      <c r="M743" s="94"/>
      <c r="N743" s="94"/>
      <c r="O743" s="94"/>
      <c r="P743" s="94"/>
      <c r="Q743" s="94"/>
      <c r="R743" s="94"/>
      <c r="S743" s="94"/>
      <c r="T743" s="94"/>
      <c r="U743" s="94"/>
      <c r="V743" s="94"/>
      <c r="W743" s="94"/>
      <c r="X743" s="94"/>
      <c r="Y743" s="94"/>
      <c r="Z743" s="94"/>
      <c r="AA743" s="94"/>
      <c r="AB743" s="94"/>
      <c r="AC743" s="94"/>
      <c r="AD743" s="94"/>
      <c r="AE743" s="94"/>
      <c r="AF743" s="94"/>
      <c r="AG743" s="94"/>
      <c r="AH743" s="94"/>
      <c r="AI743" s="94"/>
      <c r="AJ743" s="94"/>
      <c r="AK743" s="94"/>
      <c r="AL743" s="94"/>
      <c r="AM743" s="94"/>
      <c r="AN743" s="94"/>
      <c r="AO743" s="94"/>
      <c r="AP743" s="94"/>
      <c r="AQ743" s="94"/>
      <c r="AR743" s="94"/>
      <c r="AS743" s="94"/>
      <c r="AT743" s="94"/>
      <c r="AU743" s="94"/>
      <c r="AV743" s="94"/>
      <c r="AW743" s="94"/>
      <c r="AX743" s="94"/>
      <c r="AY743" s="94"/>
      <c r="AZ743" s="94"/>
      <c r="BA743" s="95"/>
    </row>
    <row r="744" spans="1:53" s="87" customFormat="1">
      <c r="A744" s="90" t="str">
        <f t="shared" si="36"/>
        <v/>
      </c>
      <c r="B744" s="98"/>
      <c r="C744" s="94"/>
      <c r="D744" s="94"/>
      <c r="E744" s="94"/>
      <c r="F744" s="94"/>
      <c r="G744" s="94"/>
      <c r="H744" s="94"/>
      <c r="I744" s="94"/>
      <c r="J744" s="94"/>
      <c r="K744" s="94"/>
      <c r="L744" s="94"/>
      <c r="M744" s="94"/>
      <c r="N744" s="94"/>
      <c r="O744" s="94"/>
      <c r="P744" s="94"/>
      <c r="Q744" s="94"/>
      <c r="R744" s="94"/>
      <c r="S744" s="94"/>
      <c r="T744" s="94"/>
      <c r="U744" s="94"/>
      <c r="V744" s="94"/>
      <c r="W744" s="94"/>
      <c r="X744" s="94"/>
      <c r="Y744" s="94"/>
      <c r="Z744" s="94"/>
      <c r="AA744" s="94"/>
      <c r="AB744" s="94"/>
      <c r="AC744" s="94"/>
      <c r="AD744" s="94"/>
      <c r="AE744" s="94"/>
      <c r="AF744" s="94"/>
      <c r="AG744" s="94"/>
      <c r="AH744" s="94"/>
      <c r="AI744" s="94"/>
      <c r="AJ744" s="94"/>
      <c r="AK744" s="94"/>
      <c r="AL744" s="94"/>
      <c r="AM744" s="94"/>
      <c r="AN744" s="94"/>
      <c r="AO744" s="94"/>
      <c r="AP744" s="94"/>
      <c r="AQ744" s="94"/>
      <c r="AR744" s="94"/>
      <c r="AS744" s="94"/>
      <c r="AT744" s="94"/>
      <c r="AU744" s="94"/>
      <c r="AV744" s="94"/>
      <c r="AW744" s="94"/>
      <c r="AX744" s="94"/>
      <c r="AY744" s="94"/>
      <c r="AZ744" s="94"/>
      <c r="BA744" s="95"/>
    </row>
    <row r="745" spans="1:53" s="87" customFormat="1">
      <c r="A745" s="90" t="str">
        <f t="shared" si="36"/>
        <v/>
      </c>
      <c r="B745" s="98"/>
      <c r="C745" s="94"/>
      <c r="D745" s="94"/>
      <c r="E745" s="94"/>
      <c r="F745" s="94"/>
      <c r="G745" s="94"/>
      <c r="H745" s="94"/>
      <c r="I745" s="94"/>
      <c r="J745" s="94"/>
      <c r="K745" s="94"/>
      <c r="L745" s="94"/>
      <c r="M745" s="94"/>
      <c r="N745" s="94"/>
      <c r="O745" s="94"/>
      <c r="P745" s="94"/>
      <c r="Q745" s="94"/>
      <c r="R745" s="94"/>
      <c r="S745" s="94"/>
      <c r="T745" s="94"/>
      <c r="U745" s="94"/>
      <c r="V745" s="94"/>
      <c r="W745" s="94"/>
      <c r="X745" s="94"/>
      <c r="Y745" s="94"/>
      <c r="Z745" s="94"/>
      <c r="AA745" s="94"/>
      <c r="AB745" s="94"/>
      <c r="AC745" s="94"/>
      <c r="AD745" s="94"/>
      <c r="AE745" s="94"/>
      <c r="AF745" s="94"/>
      <c r="AG745" s="94"/>
      <c r="AH745" s="94"/>
      <c r="AI745" s="94"/>
      <c r="AJ745" s="94"/>
      <c r="AK745" s="94"/>
      <c r="AL745" s="94"/>
      <c r="AM745" s="94"/>
      <c r="AN745" s="94"/>
      <c r="AO745" s="94"/>
      <c r="AP745" s="94"/>
      <c r="AQ745" s="94"/>
      <c r="AR745" s="94"/>
      <c r="AS745" s="94"/>
      <c r="AT745" s="94"/>
      <c r="AU745" s="94"/>
      <c r="AV745" s="94"/>
      <c r="AW745" s="94"/>
      <c r="AX745" s="94"/>
      <c r="AY745" s="94"/>
      <c r="AZ745" s="94"/>
      <c r="BA745" s="95"/>
    </row>
    <row r="746" spans="1:53" s="87" customFormat="1">
      <c r="A746" s="90" t="str">
        <f t="shared" si="36"/>
        <v/>
      </c>
      <c r="B746" s="98"/>
      <c r="C746" s="94"/>
      <c r="D746" s="94"/>
      <c r="E746" s="94"/>
      <c r="F746" s="94"/>
      <c r="G746" s="94"/>
      <c r="H746" s="94"/>
      <c r="I746" s="94"/>
      <c r="J746" s="94"/>
      <c r="K746" s="94"/>
      <c r="L746" s="94"/>
      <c r="M746" s="94"/>
      <c r="N746" s="94"/>
      <c r="O746" s="94"/>
      <c r="P746" s="94"/>
      <c r="Q746" s="94"/>
      <c r="R746" s="94"/>
      <c r="S746" s="94"/>
      <c r="T746" s="94"/>
      <c r="U746" s="94"/>
      <c r="V746" s="94"/>
      <c r="W746" s="94"/>
      <c r="X746" s="94"/>
      <c r="Y746" s="94"/>
      <c r="Z746" s="94"/>
      <c r="AA746" s="94"/>
      <c r="AB746" s="94"/>
      <c r="AC746" s="94"/>
      <c r="AD746" s="94"/>
      <c r="AE746" s="94"/>
      <c r="AF746" s="94"/>
      <c r="AG746" s="94"/>
      <c r="AH746" s="94"/>
      <c r="AI746" s="94"/>
      <c r="AJ746" s="94"/>
      <c r="AK746" s="94"/>
      <c r="AL746" s="94"/>
      <c r="AM746" s="94"/>
      <c r="AN746" s="94"/>
      <c r="AO746" s="94"/>
      <c r="AP746" s="94"/>
      <c r="AQ746" s="94"/>
      <c r="AR746" s="94"/>
      <c r="AS746" s="94"/>
      <c r="AT746" s="94"/>
      <c r="AU746" s="94"/>
      <c r="AV746" s="94"/>
      <c r="AW746" s="94"/>
      <c r="AX746" s="94"/>
      <c r="AY746" s="94"/>
      <c r="AZ746" s="94"/>
      <c r="BA746" s="95"/>
    </row>
    <row r="747" spans="1:53" s="87" customFormat="1">
      <c r="A747" s="90" t="str">
        <f t="shared" si="36"/>
        <v/>
      </c>
      <c r="B747" s="98"/>
      <c r="C747" s="94"/>
      <c r="D747" s="94"/>
      <c r="E747" s="94"/>
      <c r="F747" s="94"/>
      <c r="G747" s="94"/>
      <c r="H747" s="94"/>
      <c r="I747" s="94"/>
      <c r="J747" s="94"/>
      <c r="K747" s="94"/>
      <c r="L747" s="94"/>
      <c r="M747" s="94"/>
      <c r="N747" s="94"/>
      <c r="O747" s="94"/>
      <c r="P747" s="94"/>
      <c r="Q747" s="94"/>
      <c r="R747" s="94"/>
      <c r="S747" s="94"/>
      <c r="T747" s="94"/>
      <c r="U747" s="94"/>
      <c r="V747" s="94"/>
      <c r="W747" s="94"/>
      <c r="X747" s="94"/>
      <c r="Y747" s="94"/>
      <c r="Z747" s="94"/>
      <c r="AA747" s="94"/>
      <c r="AB747" s="94"/>
      <c r="AC747" s="94"/>
      <c r="AD747" s="94"/>
      <c r="AE747" s="94"/>
      <c r="AF747" s="94"/>
      <c r="AG747" s="94"/>
      <c r="AH747" s="94"/>
      <c r="AI747" s="94"/>
      <c r="AJ747" s="94"/>
      <c r="AK747" s="94"/>
      <c r="AL747" s="94"/>
      <c r="AM747" s="94"/>
      <c r="AN747" s="94"/>
      <c r="AO747" s="94"/>
      <c r="AP747" s="94"/>
      <c r="AQ747" s="94"/>
      <c r="AR747" s="94"/>
      <c r="AS747" s="94"/>
      <c r="AT747" s="94"/>
      <c r="AU747" s="94"/>
      <c r="AV747" s="94"/>
      <c r="AW747" s="94"/>
      <c r="AX747" s="94"/>
      <c r="AY747" s="94"/>
      <c r="AZ747" s="94"/>
      <c r="BA747" s="95"/>
    </row>
    <row r="748" spans="1:53" s="87" customFormat="1">
      <c r="A748" s="90" t="str">
        <f t="shared" si="36"/>
        <v/>
      </c>
      <c r="B748" s="98"/>
      <c r="C748" s="94"/>
      <c r="D748" s="94"/>
      <c r="E748" s="94"/>
      <c r="F748" s="94"/>
      <c r="G748" s="94"/>
      <c r="H748" s="94"/>
      <c r="I748" s="94"/>
      <c r="J748" s="94"/>
      <c r="K748" s="94"/>
      <c r="L748" s="94"/>
      <c r="M748" s="94"/>
      <c r="N748" s="94"/>
      <c r="O748" s="94"/>
      <c r="P748" s="94"/>
      <c r="Q748" s="94"/>
      <c r="R748" s="94"/>
      <c r="S748" s="94"/>
      <c r="T748" s="94"/>
      <c r="U748" s="94"/>
      <c r="V748" s="94"/>
      <c r="W748" s="94"/>
      <c r="X748" s="94"/>
      <c r="Y748" s="94"/>
      <c r="Z748" s="94"/>
      <c r="AA748" s="94"/>
      <c r="AB748" s="94"/>
      <c r="AC748" s="94"/>
      <c r="AD748" s="94"/>
      <c r="AE748" s="94"/>
      <c r="AF748" s="94"/>
      <c r="AG748" s="94"/>
      <c r="AH748" s="94"/>
      <c r="AI748" s="94"/>
      <c r="AJ748" s="94"/>
      <c r="AK748" s="94"/>
      <c r="AL748" s="94"/>
      <c r="AM748" s="94"/>
      <c r="AN748" s="94"/>
      <c r="AO748" s="94"/>
      <c r="AP748" s="94"/>
      <c r="AQ748" s="94"/>
      <c r="AR748" s="94"/>
      <c r="AS748" s="94"/>
      <c r="AT748" s="94"/>
      <c r="AU748" s="94"/>
      <c r="AV748" s="94"/>
      <c r="AW748" s="94"/>
      <c r="AX748" s="94"/>
      <c r="AY748" s="94"/>
      <c r="AZ748" s="94"/>
      <c r="BA748" s="95"/>
    </row>
    <row r="749" spans="1:53" s="87" customFormat="1">
      <c r="A749" s="90" t="str">
        <f t="shared" si="36"/>
        <v/>
      </c>
      <c r="B749" s="98"/>
      <c r="C749" s="94"/>
      <c r="D749" s="94"/>
      <c r="E749" s="94"/>
      <c r="F749" s="94"/>
      <c r="G749" s="94"/>
      <c r="H749" s="94"/>
      <c r="I749" s="94"/>
      <c r="J749" s="94"/>
      <c r="K749" s="94"/>
      <c r="L749" s="94"/>
      <c r="M749" s="94"/>
      <c r="N749" s="94"/>
      <c r="O749" s="94"/>
      <c r="P749" s="94"/>
      <c r="Q749" s="94"/>
      <c r="R749" s="94"/>
      <c r="S749" s="94"/>
      <c r="T749" s="94"/>
      <c r="U749" s="94"/>
      <c r="V749" s="94"/>
      <c r="W749" s="94"/>
      <c r="X749" s="94"/>
      <c r="Y749" s="94"/>
      <c r="Z749" s="94"/>
      <c r="AA749" s="94"/>
      <c r="AB749" s="94"/>
      <c r="AC749" s="94"/>
      <c r="AD749" s="94"/>
      <c r="AE749" s="94"/>
      <c r="AF749" s="94"/>
      <c r="AG749" s="94"/>
      <c r="AH749" s="94"/>
      <c r="AI749" s="94"/>
      <c r="AJ749" s="94"/>
      <c r="AK749" s="94"/>
      <c r="AL749" s="94"/>
      <c r="AM749" s="94"/>
      <c r="AN749" s="94"/>
      <c r="AO749" s="94"/>
      <c r="AP749" s="94"/>
      <c r="AQ749" s="94"/>
      <c r="AR749" s="94"/>
      <c r="AS749" s="94"/>
      <c r="AT749" s="94"/>
      <c r="AU749" s="94"/>
      <c r="AV749" s="94"/>
      <c r="AW749" s="94"/>
      <c r="AX749" s="94"/>
      <c r="AY749" s="94"/>
      <c r="AZ749" s="94"/>
      <c r="BA749" s="95"/>
    </row>
    <row r="750" spans="1:53" s="87" customFormat="1">
      <c r="A750" s="90" t="str">
        <f t="shared" si="36"/>
        <v/>
      </c>
      <c r="B750" s="98"/>
      <c r="C750" s="94"/>
      <c r="D750" s="94"/>
      <c r="E750" s="94"/>
      <c r="F750" s="94"/>
      <c r="G750" s="94"/>
      <c r="H750" s="94"/>
      <c r="I750" s="94"/>
      <c r="J750" s="94"/>
      <c r="K750" s="94"/>
      <c r="L750" s="94"/>
      <c r="M750" s="94"/>
      <c r="N750" s="94"/>
      <c r="O750" s="94"/>
      <c r="P750" s="94"/>
      <c r="Q750" s="94"/>
      <c r="R750" s="94"/>
      <c r="S750" s="94"/>
      <c r="T750" s="94"/>
      <c r="U750" s="94"/>
      <c r="V750" s="94"/>
      <c r="W750" s="94"/>
      <c r="X750" s="94"/>
      <c r="Y750" s="94"/>
      <c r="Z750" s="94"/>
      <c r="AA750" s="94"/>
      <c r="AB750" s="94"/>
      <c r="AC750" s="94"/>
      <c r="AD750" s="94"/>
      <c r="AE750" s="94"/>
      <c r="AF750" s="94"/>
      <c r="AG750" s="94"/>
      <c r="AH750" s="94"/>
      <c r="AI750" s="94"/>
      <c r="AJ750" s="94"/>
      <c r="AK750" s="94"/>
      <c r="AL750" s="94"/>
      <c r="AM750" s="94"/>
      <c r="AN750" s="94"/>
      <c r="AO750" s="94"/>
      <c r="AP750" s="94"/>
      <c r="AQ750" s="94"/>
      <c r="AR750" s="94"/>
      <c r="AS750" s="94"/>
      <c r="AT750" s="94"/>
      <c r="AU750" s="94"/>
      <c r="AV750" s="94"/>
      <c r="AW750" s="94"/>
      <c r="AX750" s="94"/>
      <c r="AY750" s="94"/>
      <c r="AZ750" s="94"/>
      <c r="BA750" s="95"/>
    </row>
    <row r="751" spans="1:53" s="87" customFormat="1">
      <c r="A751" s="90" t="str">
        <f t="shared" si="36"/>
        <v/>
      </c>
      <c r="B751" s="98"/>
      <c r="C751" s="94"/>
      <c r="D751" s="94"/>
      <c r="E751" s="94"/>
      <c r="F751" s="94"/>
      <c r="G751" s="94"/>
      <c r="H751" s="94"/>
      <c r="I751" s="94"/>
      <c r="J751" s="94"/>
      <c r="K751" s="94"/>
      <c r="L751" s="94"/>
      <c r="M751" s="94"/>
      <c r="N751" s="94"/>
      <c r="O751" s="94"/>
      <c r="P751" s="94"/>
      <c r="Q751" s="94"/>
      <c r="R751" s="94"/>
      <c r="S751" s="94"/>
      <c r="T751" s="94"/>
      <c r="U751" s="94"/>
      <c r="V751" s="94"/>
      <c r="W751" s="94"/>
      <c r="X751" s="94"/>
      <c r="Y751" s="94"/>
      <c r="Z751" s="94"/>
      <c r="AA751" s="94"/>
      <c r="AB751" s="94"/>
      <c r="AC751" s="94"/>
      <c r="AD751" s="94"/>
      <c r="AE751" s="94"/>
      <c r="AF751" s="94"/>
      <c r="AG751" s="94"/>
      <c r="AH751" s="94"/>
      <c r="AI751" s="94"/>
      <c r="AJ751" s="94"/>
      <c r="AK751" s="94"/>
      <c r="AL751" s="94"/>
      <c r="AM751" s="94"/>
      <c r="AN751" s="94"/>
      <c r="AO751" s="94"/>
      <c r="AP751" s="94"/>
      <c r="AQ751" s="94"/>
      <c r="AR751" s="94"/>
      <c r="AS751" s="94"/>
      <c r="AT751" s="94"/>
      <c r="AU751" s="94"/>
      <c r="AV751" s="94"/>
      <c r="AW751" s="94"/>
      <c r="AX751" s="94"/>
      <c r="AY751" s="94"/>
      <c r="AZ751" s="94"/>
      <c r="BA751" s="95"/>
    </row>
    <row r="752" spans="1:53" s="87" customFormat="1">
      <c r="A752" s="90" t="str">
        <f t="shared" si="36"/>
        <v/>
      </c>
      <c r="B752" s="98"/>
      <c r="C752" s="94"/>
      <c r="D752" s="94"/>
      <c r="E752" s="94"/>
      <c r="F752" s="94"/>
      <c r="G752" s="94"/>
      <c r="H752" s="94"/>
      <c r="I752" s="94"/>
      <c r="J752" s="94"/>
      <c r="K752" s="94"/>
      <c r="L752" s="94"/>
      <c r="M752" s="94"/>
      <c r="N752" s="94"/>
      <c r="O752" s="94"/>
      <c r="P752" s="94"/>
      <c r="Q752" s="94"/>
      <c r="R752" s="94"/>
      <c r="S752" s="94"/>
      <c r="T752" s="94"/>
      <c r="U752" s="94"/>
      <c r="V752" s="94"/>
      <c r="W752" s="94"/>
      <c r="X752" s="94"/>
      <c r="Y752" s="94"/>
      <c r="Z752" s="94"/>
      <c r="AA752" s="94"/>
      <c r="AB752" s="94"/>
      <c r="AC752" s="94"/>
      <c r="AD752" s="94"/>
      <c r="AE752" s="94"/>
      <c r="AF752" s="94"/>
      <c r="AG752" s="94"/>
      <c r="AH752" s="94"/>
      <c r="AI752" s="94"/>
      <c r="AJ752" s="94"/>
      <c r="AK752" s="94"/>
      <c r="AL752" s="94"/>
      <c r="AM752" s="94"/>
      <c r="AN752" s="94"/>
      <c r="AO752" s="94"/>
      <c r="AP752" s="94"/>
      <c r="AQ752" s="94"/>
      <c r="AR752" s="94"/>
      <c r="AS752" s="94"/>
      <c r="AT752" s="94"/>
      <c r="AU752" s="94"/>
      <c r="AV752" s="94"/>
      <c r="AW752" s="94"/>
      <c r="AX752" s="94"/>
      <c r="AY752" s="94"/>
      <c r="AZ752" s="94"/>
      <c r="BA752" s="95"/>
    </row>
    <row r="753" spans="1:53" s="87" customFormat="1">
      <c r="A753" s="90" t="str">
        <f t="shared" si="36"/>
        <v/>
      </c>
      <c r="B753" s="98"/>
      <c r="C753" s="94"/>
      <c r="D753" s="94"/>
      <c r="E753" s="94"/>
      <c r="F753" s="94"/>
      <c r="G753" s="94"/>
      <c r="H753" s="94"/>
      <c r="I753" s="94"/>
      <c r="J753" s="94"/>
      <c r="K753" s="94"/>
      <c r="L753" s="94"/>
      <c r="M753" s="94"/>
      <c r="N753" s="94"/>
      <c r="O753" s="94"/>
      <c r="P753" s="94"/>
      <c r="Q753" s="94"/>
      <c r="R753" s="94"/>
      <c r="S753" s="94"/>
      <c r="T753" s="94"/>
      <c r="U753" s="94"/>
      <c r="V753" s="94"/>
      <c r="W753" s="94"/>
      <c r="X753" s="94"/>
      <c r="Y753" s="94"/>
      <c r="Z753" s="94"/>
      <c r="AA753" s="94"/>
      <c r="AB753" s="94"/>
      <c r="AC753" s="94"/>
      <c r="AD753" s="94"/>
      <c r="AE753" s="94"/>
      <c r="AF753" s="94"/>
      <c r="AG753" s="94"/>
      <c r="AH753" s="94"/>
      <c r="AI753" s="94"/>
      <c r="AJ753" s="94"/>
      <c r="AK753" s="94"/>
      <c r="AL753" s="94"/>
      <c r="AM753" s="94"/>
      <c r="AN753" s="94"/>
      <c r="AO753" s="94"/>
      <c r="AP753" s="94"/>
      <c r="AQ753" s="94"/>
      <c r="AR753" s="94"/>
      <c r="AS753" s="94"/>
      <c r="AT753" s="94"/>
      <c r="AU753" s="94"/>
      <c r="AV753" s="94"/>
      <c r="AW753" s="94"/>
      <c r="AX753" s="94"/>
      <c r="AY753" s="94"/>
      <c r="AZ753" s="94"/>
      <c r="BA753" s="95"/>
    </row>
    <row r="754" spans="1:53" s="87" customFormat="1">
      <c r="A754" s="90" t="str">
        <f t="shared" si="36"/>
        <v/>
      </c>
      <c r="B754" s="98"/>
      <c r="C754" s="94"/>
      <c r="D754" s="94"/>
      <c r="E754" s="94"/>
      <c r="F754" s="94"/>
      <c r="G754" s="94"/>
      <c r="H754" s="94"/>
      <c r="I754" s="94"/>
      <c r="J754" s="94"/>
      <c r="K754" s="94"/>
      <c r="L754" s="94"/>
      <c r="M754" s="94"/>
      <c r="N754" s="94"/>
      <c r="O754" s="94"/>
      <c r="P754" s="94"/>
      <c r="Q754" s="94"/>
      <c r="R754" s="94"/>
      <c r="S754" s="94"/>
      <c r="T754" s="94"/>
      <c r="U754" s="94"/>
      <c r="V754" s="94"/>
      <c r="W754" s="94"/>
      <c r="X754" s="94"/>
      <c r="Y754" s="94"/>
      <c r="Z754" s="94"/>
      <c r="AA754" s="94"/>
      <c r="AB754" s="94"/>
      <c r="AC754" s="94"/>
      <c r="AD754" s="94"/>
      <c r="AE754" s="94"/>
      <c r="AF754" s="94"/>
      <c r="AG754" s="94"/>
      <c r="AH754" s="94"/>
      <c r="AI754" s="94"/>
      <c r="AJ754" s="94"/>
      <c r="AK754" s="94"/>
      <c r="AL754" s="94"/>
      <c r="AM754" s="94"/>
      <c r="AN754" s="94"/>
      <c r="AO754" s="94"/>
      <c r="AP754" s="94"/>
      <c r="AQ754" s="94"/>
      <c r="AR754" s="94"/>
      <c r="AS754" s="94"/>
      <c r="AT754" s="94"/>
      <c r="AU754" s="94"/>
      <c r="AV754" s="94"/>
      <c r="AW754" s="94"/>
      <c r="AX754" s="94"/>
      <c r="AY754" s="94"/>
      <c r="AZ754" s="94"/>
      <c r="BA754" s="95"/>
    </row>
    <row r="755" spans="1:53" s="87" customFormat="1">
      <c r="A755" s="90" t="str">
        <f t="shared" si="36"/>
        <v/>
      </c>
      <c r="B755" s="98"/>
      <c r="C755" s="94"/>
      <c r="D755" s="94"/>
      <c r="E755" s="94"/>
      <c r="F755" s="94"/>
      <c r="G755" s="94"/>
      <c r="H755" s="94"/>
      <c r="I755" s="94"/>
      <c r="J755" s="94"/>
      <c r="K755" s="94"/>
      <c r="L755" s="94"/>
      <c r="M755" s="94"/>
      <c r="N755" s="94"/>
      <c r="O755" s="94"/>
      <c r="P755" s="94"/>
      <c r="Q755" s="94"/>
      <c r="R755" s="94"/>
      <c r="S755" s="94"/>
      <c r="T755" s="94"/>
      <c r="U755" s="94"/>
      <c r="V755" s="94"/>
      <c r="W755" s="94"/>
      <c r="X755" s="94"/>
      <c r="Y755" s="94"/>
      <c r="Z755" s="94"/>
      <c r="AA755" s="94"/>
      <c r="AB755" s="94"/>
      <c r="AC755" s="94"/>
      <c r="AD755" s="94"/>
      <c r="AE755" s="94"/>
      <c r="AF755" s="94"/>
      <c r="AG755" s="94"/>
      <c r="AH755" s="94"/>
      <c r="AI755" s="94"/>
      <c r="AJ755" s="94"/>
      <c r="AK755" s="94"/>
      <c r="AL755" s="94"/>
      <c r="AM755" s="94"/>
      <c r="AN755" s="94"/>
      <c r="AO755" s="94"/>
      <c r="AP755" s="94"/>
      <c r="AQ755" s="94"/>
      <c r="AR755" s="94"/>
      <c r="AS755" s="94"/>
      <c r="AT755" s="94"/>
      <c r="AU755" s="94"/>
      <c r="AV755" s="94"/>
      <c r="AW755" s="94"/>
      <c r="AX755" s="94"/>
      <c r="AY755" s="94"/>
      <c r="AZ755" s="94"/>
      <c r="BA755" s="95"/>
    </row>
    <row r="756" spans="1:53" s="87" customFormat="1">
      <c r="A756" s="90" t="str">
        <f t="shared" si="36"/>
        <v/>
      </c>
      <c r="B756" s="98"/>
      <c r="C756" s="94"/>
      <c r="D756" s="94"/>
      <c r="E756" s="94"/>
      <c r="F756" s="94"/>
      <c r="G756" s="94"/>
      <c r="H756" s="94"/>
      <c r="I756" s="94"/>
      <c r="J756" s="94"/>
      <c r="K756" s="94"/>
      <c r="L756" s="94"/>
      <c r="M756" s="94"/>
      <c r="N756" s="94"/>
      <c r="O756" s="94"/>
      <c r="P756" s="94"/>
      <c r="Q756" s="94"/>
      <c r="R756" s="94"/>
      <c r="S756" s="94"/>
      <c r="T756" s="94"/>
      <c r="U756" s="94"/>
      <c r="V756" s="94"/>
      <c r="W756" s="94"/>
      <c r="X756" s="94"/>
      <c r="Y756" s="94"/>
      <c r="Z756" s="94"/>
      <c r="AA756" s="94"/>
      <c r="AB756" s="94"/>
      <c r="AC756" s="94"/>
      <c r="AD756" s="94"/>
      <c r="AE756" s="94"/>
      <c r="AF756" s="94"/>
      <c r="AG756" s="94"/>
      <c r="AH756" s="94"/>
      <c r="AI756" s="94"/>
      <c r="AJ756" s="94"/>
      <c r="AK756" s="94"/>
      <c r="AL756" s="94"/>
      <c r="AM756" s="94"/>
      <c r="AN756" s="94"/>
      <c r="AO756" s="94"/>
      <c r="AP756" s="94"/>
      <c r="AQ756" s="94"/>
      <c r="AR756" s="94"/>
      <c r="AS756" s="94"/>
      <c r="AT756" s="94"/>
      <c r="AU756" s="94"/>
      <c r="AV756" s="94"/>
      <c r="AW756" s="94"/>
      <c r="AX756" s="94"/>
      <c r="AY756" s="94"/>
      <c r="AZ756" s="94"/>
      <c r="BA756" s="95"/>
    </row>
    <row r="757" spans="1:53" s="87" customFormat="1">
      <c r="A757" s="90" t="str">
        <f t="shared" si="36"/>
        <v/>
      </c>
      <c r="B757" s="98"/>
      <c r="C757" s="94"/>
      <c r="D757" s="94"/>
      <c r="E757" s="94"/>
      <c r="F757" s="94"/>
      <c r="G757" s="94"/>
      <c r="H757" s="94"/>
      <c r="I757" s="94"/>
      <c r="J757" s="94"/>
      <c r="K757" s="94"/>
      <c r="L757" s="94"/>
      <c r="M757" s="94"/>
      <c r="N757" s="94"/>
      <c r="O757" s="94"/>
      <c r="P757" s="94"/>
      <c r="Q757" s="94"/>
      <c r="R757" s="94"/>
      <c r="S757" s="94"/>
      <c r="T757" s="94"/>
      <c r="U757" s="94"/>
      <c r="V757" s="94"/>
      <c r="W757" s="94"/>
      <c r="X757" s="94"/>
      <c r="Y757" s="94"/>
      <c r="Z757" s="94"/>
      <c r="AA757" s="94"/>
      <c r="AB757" s="94"/>
      <c r="AC757" s="94"/>
      <c r="AD757" s="94"/>
      <c r="AE757" s="94"/>
      <c r="AF757" s="94"/>
      <c r="AG757" s="94"/>
      <c r="AH757" s="94"/>
      <c r="AI757" s="94"/>
      <c r="AJ757" s="94"/>
      <c r="AK757" s="94"/>
      <c r="AL757" s="94"/>
      <c r="AM757" s="94"/>
      <c r="AN757" s="94"/>
      <c r="AO757" s="94"/>
      <c r="AP757" s="94"/>
      <c r="AQ757" s="94"/>
      <c r="AR757" s="94"/>
      <c r="AS757" s="94"/>
      <c r="AT757" s="94"/>
      <c r="AU757" s="94"/>
      <c r="AV757" s="94"/>
      <c r="AW757" s="94"/>
      <c r="AX757" s="94"/>
      <c r="AY757" s="94"/>
      <c r="AZ757" s="94"/>
      <c r="BA757" s="95"/>
    </row>
    <row r="758" spans="1:53" s="87" customFormat="1">
      <c r="A758" s="90" t="str">
        <f t="shared" si="36"/>
        <v/>
      </c>
      <c r="B758" s="98"/>
      <c r="C758" s="94"/>
      <c r="D758" s="94"/>
      <c r="E758" s="94"/>
      <c r="F758" s="94"/>
      <c r="G758" s="94"/>
      <c r="H758" s="94"/>
      <c r="I758" s="94"/>
      <c r="J758" s="94"/>
      <c r="K758" s="94"/>
      <c r="L758" s="94"/>
      <c r="M758" s="94"/>
      <c r="N758" s="94"/>
      <c r="O758" s="94"/>
      <c r="P758" s="94"/>
      <c r="Q758" s="94"/>
      <c r="R758" s="94"/>
      <c r="S758" s="94"/>
      <c r="T758" s="94"/>
      <c r="U758" s="94"/>
      <c r="V758" s="94"/>
      <c r="W758" s="94"/>
      <c r="X758" s="94"/>
      <c r="Y758" s="94"/>
      <c r="Z758" s="94"/>
      <c r="AA758" s="94"/>
      <c r="AB758" s="94"/>
      <c r="AC758" s="94"/>
      <c r="AD758" s="94"/>
      <c r="AE758" s="94"/>
      <c r="AF758" s="94"/>
      <c r="AG758" s="94"/>
      <c r="AH758" s="94"/>
      <c r="AI758" s="94"/>
      <c r="AJ758" s="94"/>
      <c r="AK758" s="94"/>
      <c r="AL758" s="94"/>
      <c r="AM758" s="94"/>
      <c r="AN758" s="94"/>
      <c r="AO758" s="94"/>
      <c r="AP758" s="94"/>
      <c r="AQ758" s="94"/>
      <c r="AR758" s="94"/>
      <c r="AS758" s="94"/>
      <c r="AT758" s="94"/>
      <c r="AU758" s="94"/>
      <c r="AV758" s="94"/>
      <c r="AW758" s="94"/>
      <c r="AX758" s="94"/>
      <c r="AY758" s="94"/>
      <c r="AZ758" s="94"/>
      <c r="BA758" s="95"/>
    </row>
    <row r="759" spans="1:53" s="87" customFormat="1">
      <c r="A759" s="90" t="str">
        <f t="shared" si="36"/>
        <v/>
      </c>
      <c r="B759" s="98"/>
      <c r="C759" s="94"/>
      <c r="D759" s="94"/>
      <c r="E759" s="94"/>
      <c r="F759" s="94"/>
      <c r="G759" s="94"/>
      <c r="H759" s="94"/>
      <c r="I759" s="94"/>
      <c r="J759" s="94"/>
      <c r="K759" s="94"/>
      <c r="L759" s="94"/>
      <c r="M759" s="94"/>
      <c r="N759" s="94"/>
      <c r="O759" s="94"/>
      <c r="P759" s="94"/>
      <c r="Q759" s="94"/>
      <c r="R759" s="94"/>
      <c r="S759" s="94"/>
      <c r="T759" s="94"/>
      <c r="U759" s="94"/>
      <c r="V759" s="94"/>
      <c r="W759" s="94"/>
      <c r="X759" s="94"/>
      <c r="Y759" s="94"/>
      <c r="Z759" s="94"/>
      <c r="AA759" s="94"/>
      <c r="AB759" s="94"/>
      <c r="AC759" s="94"/>
      <c r="AD759" s="94"/>
      <c r="AE759" s="94"/>
      <c r="AF759" s="94"/>
      <c r="AG759" s="94"/>
      <c r="AH759" s="94"/>
      <c r="AI759" s="94"/>
      <c r="AJ759" s="94"/>
      <c r="AK759" s="94"/>
      <c r="AL759" s="94"/>
      <c r="AM759" s="94"/>
      <c r="AN759" s="94"/>
      <c r="AO759" s="94"/>
      <c r="AP759" s="94"/>
      <c r="AQ759" s="94"/>
      <c r="AR759" s="94"/>
      <c r="AS759" s="94"/>
      <c r="AT759" s="94"/>
      <c r="AU759" s="94"/>
      <c r="AV759" s="94"/>
      <c r="AW759" s="94"/>
      <c r="AX759" s="94"/>
      <c r="AY759" s="94"/>
      <c r="AZ759" s="94"/>
      <c r="BA759" s="95"/>
    </row>
    <row r="760" spans="1:53" s="87" customFormat="1">
      <c r="A760" s="90" t="str">
        <f t="shared" si="36"/>
        <v/>
      </c>
      <c r="B760" s="98"/>
      <c r="C760" s="94"/>
      <c r="D760" s="94"/>
      <c r="E760" s="94"/>
      <c r="F760" s="94"/>
      <c r="G760" s="94"/>
      <c r="H760" s="94"/>
      <c r="I760" s="94"/>
      <c r="J760" s="94"/>
      <c r="K760" s="94"/>
      <c r="L760" s="94"/>
      <c r="M760" s="94"/>
      <c r="N760" s="94"/>
      <c r="O760" s="94"/>
      <c r="P760" s="94"/>
      <c r="Q760" s="94"/>
      <c r="R760" s="94"/>
      <c r="S760" s="94"/>
      <c r="T760" s="94"/>
      <c r="U760" s="94"/>
      <c r="V760" s="94"/>
      <c r="W760" s="94"/>
      <c r="X760" s="94"/>
      <c r="Y760" s="94"/>
      <c r="Z760" s="94"/>
      <c r="AA760" s="94"/>
      <c r="AB760" s="94"/>
      <c r="AC760" s="94"/>
      <c r="AD760" s="94"/>
      <c r="AE760" s="94"/>
      <c r="AF760" s="94"/>
      <c r="AG760" s="94"/>
      <c r="AH760" s="94"/>
      <c r="AI760" s="94"/>
      <c r="AJ760" s="94"/>
      <c r="AK760" s="94"/>
      <c r="AL760" s="94"/>
      <c r="AM760" s="94"/>
      <c r="AN760" s="94"/>
      <c r="AO760" s="94"/>
      <c r="AP760" s="94"/>
      <c r="AQ760" s="94"/>
      <c r="AR760" s="94"/>
      <c r="AS760" s="94"/>
      <c r="AT760" s="94"/>
      <c r="AU760" s="94"/>
      <c r="AV760" s="94"/>
      <c r="AW760" s="94"/>
      <c r="AX760" s="94"/>
      <c r="AY760" s="94"/>
      <c r="AZ760" s="94"/>
      <c r="BA760" s="95"/>
    </row>
    <row r="761" spans="1:53" s="87" customFormat="1">
      <c r="A761" s="90" t="str">
        <f t="shared" si="36"/>
        <v/>
      </c>
      <c r="B761" s="98"/>
      <c r="C761" s="94"/>
      <c r="D761" s="94"/>
      <c r="E761" s="94"/>
      <c r="F761" s="94"/>
      <c r="G761" s="94"/>
      <c r="H761" s="94"/>
      <c r="I761" s="94"/>
      <c r="J761" s="94"/>
      <c r="K761" s="94"/>
      <c r="L761" s="94"/>
      <c r="M761" s="94"/>
      <c r="N761" s="94"/>
      <c r="O761" s="94"/>
      <c r="P761" s="94"/>
      <c r="Q761" s="94"/>
      <c r="R761" s="94"/>
      <c r="S761" s="94"/>
      <c r="T761" s="94"/>
      <c r="U761" s="94"/>
      <c r="V761" s="94"/>
      <c r="W761" s="94"/>
      <c r="X761" s="94"/>
      <c r="Y761" s="94"/>
      <c r="Z761" s="94"/>
      <c r="AA761" s="94"/>
      <c r="AB761" s="94"/>
      <c r="AC761" s="94"/>
      <c r="AD761" s="94"/>
      <c r="AE761" s="94"/>
      <c r="AF761" s="94"/>
      <c r="AG761" s="94"/>
      <c r="AH761" s="94"/>
      <c r="AI761" s="94"/>
      <c r="AJ761" s="94"/>
      <c r="AK761" s="94"/>
      <c r="AL761" s="94"/>
      <c r="AM761" s="94"/>
      <c r="AN761" s="94"/>
      <c r="AO761" s="94"/>
      <c r="AP761" s="94"/>
      <c r="AQ761" s="94"/>
      <c r="AR761" s="94"/>
      <c r="AS761" s="94"/>
      <c r="AT761" s="94"/>
      <c r="AU761" s="94"/>
      <c r="AV761" s="94"/>
      <c r="AW761" s="94"/>
      <c r="AX761" s="94"/>
      <c r="AY761" s="94"/>
      <c r="AZ761" s="94"/>
      <c r="BA761" s="95"/>
    </row>
    <row r="762" spans="1:53" s="87" customFormat="1">
      <c r="A762" s="90" t="str">
        <f t="shared" si="36"/>
        <v/>
      </c>
      <c r="B762" s="98"/>
      <c r="C762" s="94"/>
      <c r="D762" s="94"/>
      <c r="E762" s="94"/>
      <c r="F762" s="94"/>
      <c r="G762" s="94"/>
      <c r="H762" s="94"/>
      <c r="I762" s="94"/>
      <c r="J762" s="94"/>
      <c r="K762" s="94"/>
      <c r="L762" s="94"/>
      <c r="M762" s="94"/>
      <c r="N762" s="94"/>
      <c r="O762" s="94"/>
      <c r="P762" s="94"/>
      <c r="Q762" s="94"/>
      <c r="R762" s="94"/>
      <c r="S762" s="94"/>
      <c r="T762" s="94"/>
      <c r="U762" s="94"/>
      <c r="V762" s="94"/>
      <c r="W762" s="94"/>
      <c r="X762" s="94"/>
      <c r="Y762" s="94"/>
      <c r="Z762" s="94"/>
      <c r="AA762" s="94"/>
      <c r="AB762" s="94"/>
      <c r="AC762" s="94"/>
      <c r="AD762" s="94"/>
      <c r="AE762" s="94"/>
      <c r="AF762" s="94"/>
      <c r="AG762" s="94"/>
      <c r="AH762" s="94"/>
      <c r="AI762" s="94"/>
      <c r="AJ762" s="94"/>
      <c r="AK762" s="94"/>
      <c r="AL762" s="94"/>
      <c r="AM762" s="94"/>
      <c r="AN762" s="94"/>
      <c r="AO762" s="94"/>
      <c r="AP762" s="94"/>
      <c r="AQ762" s="94"/>
      <c r="AR762" s="94"/>
      <c r="AS762" s="94"/>
      <c r="AT762" s="94"/>
      <c r="AU762" s="94"/>
      <c r="AV762" s="94"/>
      <c r="AW762" s="94"/>
      <c r="AX762" s="94"/>
      <c r="AY762" s="94"/>
      <c r="AZ762" s="94"/>
      <c r="BA762" s="95"/>
    </row>
    <row r="763" spans="1:53" s="87" customFormat="1">
      <c r="A763" s="90" t="str">
        <f t="shared" si="36"/>
        <v/>
      </c>
      <c r="B763" s="98"/>
      <c r="C763" s="94"/>
      <c r="D763" s="94"/>
      <c r="E763" s="94"/>
      <c r="F763" s="94"/>
      <c r="G763" s="94"/>
      <c r="H763" s="94"/>
      <c r="I763" s="94"/>
      <c r="J763" s="94"/>
      <c r="K763" s="94"/>
      <c r="L763" s="94"/>
      <c r="M763" s="94"/>
      <c r="N763" s="94"/>
      <c r="O763" s="94"/>
      <c r="P763" s="94"/>
      <c r="Q763" s="94"/>
      <c r="R763" s="94"/>
      <c r="S763" s="94"/>
      <c r="T763" s="94"/>
      <c r="U763" s="94"/>
      <c r="V763" s="94"/>
      <c r="W763" s="94"/>
      <c r="X763" s="94"/>
      <c r="Y763" s="94"/>
      <c r="Z763" s="94"/>
      <c r="AA763" s="94"/>
      <c r="AB763" s="94"/>
      <c r="AC763" s="94"/>
      <c r="AD763" s="94"/>
      <c r="AE763" s="94"/>
      <c r="AF763" s="94"/>
      <c r="AG763" s="94"/>
      <c r="AH763" s="94"/>
      <c r="AI763" s="94"/>
      <c r="AJ763" s="94"/>
      <c r="AK763" s="94"/>
      <c r="AL763" s="94"/>
      <c r="AM763" s="94"/>
      <c r="AN763" s="94"/>
      <c r="AO763" s="94"/>
      <c r="AP763" s="94"/>
      <c r="AQ763" s="94"/>
      <c r="AR763" s="94"/>
      <c r="AS763" s="94"/>
      <c r="AT763" s="94"/>
      <c r="AU763" s="94"/>
      <c r="AV763" s="94"/>
      <c r="AW763" s="94"/>
      <c r="AX763" s="94"/>
      <c r="AY763" s="94"/>
      <c r="AZ763" s="94"/>
      <c r="BA763" s="95"/>
    </row>
    <row r="764" spans="1:53" s="87" customFormat="1">
      <c r="A764" s="90" t="str">
        <f t="shared" si="36"/>
        <v/>
      </c>
      <c r="B764" s="98"/>
      <c r="C764" s="94"/>
      <c r="D764" s="94"/>
      <c r="E764" s="94"/>
      <c r="F764" s="94"/>
      <c r="G764" s="94"/>
      <c r="H764" s="94"/>
      <c r="I764" s="94"/>
      <c r="J764" s="94"/>
      <c r="K764" s="94"/>
      <c r="L764" s="94"/>
      <c r="M764" s="94"/>
      <c r="N764" s="94"/>
      <c r="O764" s="94"/>
      <c r="P764" s="94"/>
      <c r="Q764" s="94"/>
      <c r="R764" s="94"/>
      <c r="S764" s="94"/>
      <c r="T764" s="94"/>
      <c r="U764" s="94"/>
      <c r="V764" s="94"/>
      <c r="W764" s="94"/>
      <c r="X764" s="94"/>
      <c r="Y764" s="94"/>
      <c r="Z764" s="94"/>
      <c r="AA764" s="94"/>
      <c r="AB764" s="94"/>
      <c r="AC764" s="94"/>
      <c r="AD764" s="94"/>
      <c r="AE764" s="94"/>
      <c r="AF764" s="94"/>
      <c r="AG764" s="94"/>
      <c r="AH764" s="94"/>
      <c r="AI764" s="94"/>
      <c r="AJ764" s="94"/>
      <c r="AK764" s="94"/>
      <c r="AL764" s="94"/>
      <c r="AM764" s="94"/>
      <c r="AN764" s="94"/>
      <c r="AO764" s="94"/>
      <c r="AP764" s="94"/>
      <c r="AQ764" s="94"/>
      <c r="AR764" s="94"/>
      <c r="AS764" s="94"/>
      <c r="AT764" s="94"/>
      <c r="AU764" s="94"/>
      <c r="AV764" s="94"/>
      <c r="AW764" s="94"/>
      <c r="AX764" s="94"/>
      <c r="AY764" s="94"/>
      <c r="AZ764" s="94"/>
      <c r="BA764" s="95"/>
    </row>
    <row r="765" spans="1:53" s="87" customFormat="1">
      <c r="A765" s="90" t="str">
        <f t="shared" si="36"/>
        <v/>
      </c>
      <c r="B765" s="98"/>
      <c r="C765" s="94"/>
      <c r="D765" s="94"/>
      <c r="E765" s="94"/>
      <c r="F765" s="94"/>
      <c r="G765" s="94"/>
      <c r="H765" s="94"/>
      <c r="I765" s="94"/>
      <c r="J765" s="94"/>
      <c r="K765" s="94"/>
      <c r="L765" s="94"/>
      <c r="M765" s="94"/>
      <c r="N765" s="94"/>
      <c r="O765" s="94"/>
      <c r="P765" s="94"/>
      <c r="Q765" s="94"/>
      <c r="R765" s="94"/>
      <c r="S765" s="94"/>
      <c r="T765" s="94"/>
      <c r="U765" s="94"/>
      <c r="V765" s="94"/>
      <c r="W765" s="94"/>
      <c r="X765" s="94"/>
      <c r="Y765" s="94"/>
      <c r="Z765" s="94"/>
      <c r="AA765" s="94"/>
      <c r="AB765" s="94"/>
      <c r="AC765" s="94"/>
      <c r="AD765" s="94"/>
      <c r="AE765" s="94"/>
      <c r="AF765" s="94"/>
      <c r="AG765" s="94"/>
      <c r="AH765" s="94"/>
      <c r="AI765" s="94"/>
      <c r="AJ765" s="94"/>
      <c r="AK765" s="94"/>
      <c r="AL765" s="94"/>
      <c r="AM765" s="94"/>
      <c r="AN765" s="94"/>
      <c r="AO765" s="94"/>
      <c r="AP765" s="94"/>
      <c r="AQ765" s="94"/>
      <c r="AR765" s="94"/>
      <c r="AS765" s="94"/>
      <c r="AT765" s="94"/>
      <c r="AU765" s="94"/>
      <c r="AV765" s="94"/>
      <c r="AW765" s="94"/>
      <c r="AX765" s="94"/>
      <c r="AY765" s="94"/>
      <c r="AZ765" s="94"/>
      <c r="BA765" s="95"/>
    </row>
    <row r="766" spans="1:53" s="87" customFormat="1">
      <c r="A766" s="90" t="str">
        <f t="shared" si="36"/>
        <v/>
      </c>
      <c r="B766" s="98"/>
      <c r="C766" s="94"/>
      <c r="D766" s="94"/>
      <c r="E766" s="94"/>
      <c r="F766" s="94"/>
      <c r="G766" s="94"/>
      <c r="H766" s="94"/>
      <c r="I766" s="94"/>
      <c r="J766" s="94"/>
      <c r="K766" s="94"/>
      <c r="L766" s="94"/>
      <c r="M766" s="94"/>
      <c r="N766" s="94"/>
      <c r="O766" s="94"/>
      <c r="P766" s="94"/>
      <c r="Q766" s="94"/>
      <c r="R766" s="94"/>
      <c r="S766" s="94"/>
      <c r="T766" s="94"/>
      <c r="U766" s="94"/>
      <c r="V766" s="94"/>
      <c r="W766" s="94"/>
      <c r="X766" s="94"/>
      <c r="Y766" s="94"/>
      <c r="Z766" s="94"/>
      <c r="AA766" s="94"/>
      <c r="AB766" s="94"/>
      <c r="AC766" s="94"/>
      <c r="AD766" s="94"/>
      <c r="AE766" s="94"/>
      <c r="AF766" s="94"/>
      <c r="AG766" s="94"/>
      <c r="AH766" s="94"/>
      <c r="AI766" s="94"/>
      <c r="AJ766" s="94"/>
      <c r="AK766" s="94"/>
      <c r="AL766" s="94"/>
      <c r="AM766" s="94"/>
      <c r="AN766" s="94"/>
      <c r="AO766" s="94"/>
      <c r="AP766" s="94"/>
      <c r="AQ766" s="94"/>
      <c r="AR766" s="94"/>
      <c r="AS766" s="94"/>
      <c r="AT766" s="94"/>
      <c r="AU766" s="94"/>
      <c r="AV766" s="94"/>
      <c r="AW766" s="94"/>
      <c r="AX766" s="94"/>
      <c r="AY766" s="94"/>
      <c r="AZ766" s="94"/>
      <c r="BA766" s="95"/>
    </row>
    <row r="767" spans="1:53" s="87" customFormat="1">
      <c r="A767" s="90" t="str">
        <f t="shared" si="36"/>
        <v/>
      </c>
      <c r="B767" s="98"/>
      <c r="C767" s="94"/>
      <c r="D767" s="94"/>
      <c r="E767" s="94"/>
      <c r="F767" s="94"/>
      <c r="G767" s="94"/>
      <c r="H767" s="94"/>
      <c r="I767" s="94"/>
      <c r="J767" s="94"/>
      <c r="K767" s="94"/>
      <c r="L767" s="94"/>
      <c r="M767" s="94"/>
      <c r="N767" s="94"/>
      <c r="O767" s="94"/>
      <c r="P767" s="94"/>
      <c r="Q767" s="94"/>
      <c r="R767" s="94"/>
      <c r="S767" s="94"/>
      <c r="T767" s="94"/>
      <c r="U767" s="94"/>
      <c r="V767" s="94"/>
      <c r="W767" s="94"/>
      <c r="X767" s="94"/>
      <c r="Y767" s="94"/>
      <c r="Z767" s="94"/>
      <c r="AA767" s="94"/>
      <c r="AB767" s="94"/>
      <c r="AC767" s="94"/>
      <c r="AD767" s="94"/>
      <c r="AE767" s="94"/>
      <c r="AF767" s="94"/>
      <c r="AG767" s="94"/>
      <c r="AH767" s="94"/>
      <c r="AI767" s="94"/>
      <c r="AJ767" s="94"/>
      <c r="AK767" s="94"/>
      <c r="AL767" s="94"/>
      <c r="AM767" s="94"/>
      <c r="AN767" s="94"/>
      <c r="AO767" s="94"/>
      <c r="AP767" s="94"/>
      <c r="AQ767" s="94"/>
      <c r="AR767" s="94"/>
      <c r="AS767" s="94"/>
      <c r="AT767" s="94"/>
      <c r="AU767" s="94"/>
      <c r="AV767" s="94"/>
      <c r="AW767" s="94"/>
      <c r="AX767" s="94"/>
      <c r="AY767" s="94"/>
      <c r="AZ767" s="94"/>
      <c r="BA767" s="95"/>
    </row>
    <row r="768" spans="1:53" s="87" customFormat="1">
      <c r="A768" s="90" t="str">
        <f t="shared" si="36"/>
        <v/>
      </c>
      <c r="B768" s="98"/>
      <c r="C768" s="94"/>
      <c r="D768" s="94"/>
      <c r="E768" s="94"/>
      <c r="F768" s="94"/>
      <c r="G768" s="94"/>
      <c r="H768" s="94"/>
      <c r="I768" s="94"/>
      <c r="J768" s="94"/>
      <c r="K768" s="94"/>
      <c r="L768" s="94"/>
      <c r="M768" s="94"/>
      <c r="N768" s="94"/>
      <c r="O768" s="94"/>
      <c r="P768" s="94"/>
      <c r="Q768" s="94"/>
      <c r="R768" s="94"/>
      <c r="S768" s="94"/>
      <c r="T768" s="94"/>
      <c r="U768" s="94"/>
      <c r="V768" s="94"/>
      <c r="W768" s="94"/>
      <c r="X768" s="94"/>
      <c r="Y768" s="94"/>
      <c r="Z768" s="94"/>
      <c r="AA768" s="94"/>
      <c r="AB768" s="94"/>
      <c r="AC768" s="94"/>
      <c r="AD768" s="94"/>
      <c r="AE768" s="94"/>
      <c r="AF768" s="94"/>
      <c r="AG768" s="94"/>
      <c r="AH768" s="94"/>
      <c r="AI768" s="94"/>
      <c r="AJ768" s="94"/>
      <c r="AK768" s="94"/>
      <c r="AL768" s="94"/>
      <c r="AM768" s="94"/>
      <c r="AN768" s="94"/>
      <c r="AO768" s="94"/>
      <c r="AP768" s="94"/>
      <c r="AQ768" s="94"/>
      <c r="AR768" s="94"/>
      <c r="AS768" s="94"/>
      <c r="AT768" s="94"/>
      <c r="AU768" s="94"/>
      <c r="AV768" s="94"/>
      <c r="AW768" s="94"/>
      <c r="AX768" s="94"/>
      <c r="AY768" s="94"/>
      <c r="AZ768" s="94"/>
      <c r="BA768" s="95"/>
    </row>
    <row r="769" spans="1:53" s="87" customFormat="1">
      <c r="A769" s="90" t="str">
        <f t="shared" si="36"/>
        <v/>
      </c>
      <c r="B769" s="98"/>
      <c r="C769" s="94"/>
      <c r="D769" s="94"/>
      <c r="E769" s="94"/>
      <c r="F769" s="94"/>
      <c r="G769" s="94"/>
      <c r="H769" s="94"/>
      <c r="I769" s="94"/>
      <c r="J769" s="94"/>
      <c r="K769" s="94"/>
      <c r="L769" s="94"/>
      <c r="M769" s="94"/>
      <c r="N769" s="94"/>
      <c r="O769" s="94"/>
      <c r="P769" s="94"/>
      <c r="Q769" s="94"/>
      <c r="R769" s="94"/>
      <c r="S769" s="94"/>
      <c r="T769" s="94"/>
      <c r="U769" s="94"/>
      <c r="V769" s="94"/>
      <c r="W769" s="94"/>
      <c r="X769" s="94"/>
      <c r="Y769" s="94"/>
      <c r="Z769" s="94"/>
      <c r="AA769" s="94"/>
      <c r="AB769" s="94"/>
      <c r="AC769" s="94"/>
      <c r="AD769" s="94"/>
      <c r="AE769" s="94"/>
      <c r="AF769" s="94"/>
      <c r="AG769" s="94"/>
      <c r="AH769" s="94"/>
      <c r="AI769" s="94"/>
      <c r="AJ769" s="94"/>
      <c r="AK769" s="94"/>
      <c r="AL769" s="94"/>
      <c r="AM769" s="94"/>
      <c r="AN769" s="94"/>
      <c r="AO769" s="94"/>
      <c r="AP769" s="94"/>
      <c r="AQ769" s="94"/>
      <c r="AR769" s="94"/>
      <c r="AS769" s="94"/>
      <c r="AT769" s="94"/>
      <c r="AU769" s="94"/>
      <c r="AV769" s="94"/>
      <c r="AW769" s="94"/>
      <c r="AX769" s="94"/>
      <c r="AY769" s="94"/>
      <c r="AZ769" s="94"/>
      <c r="BA769" s="95"/>
    </row>
    <row r="770" spans="1:53" s="87" customFormat="1">
      <c r="A770" s="90" t="str">
        <f t="shared" si="36"/>
        <v/>
      </c>
      <c r="B770" s="98"/>
      <c r="C770" s="94"/>
      <c r="D770" s="94"/>
      <c r="E770" s="94"/>
      <c r="F770" s="94"/>
      <c r="G770" s="94"/>
      <c r="H770" s="94"/>
      <c r="I770" s="94"/>
      <c r="J770" s="94"/>
      <c r="K770" s="94"/>
      <c r="L770" s="94"/>
      <c r="M770" s="94"/>
      <c r="N770" s="94"/>
      <c r="O770" s="94"/>
      <c r="P770" s="94"/>
      <c r="Q770" s="94"/>
      <c r="R770" s="94"/>
      <c r="S770" s="94"/>
      <c r="T770" s="94"/>
      <c r="U770" s="94"/>
      <c r="V770" s="94"/>
      <c r="W770" s="94"/>
      <c r="X770" s="94"/>
      <c r="Y770" s="94"/>
      <c r="Z770" s="94"/>
      <c r="AA770" s="94"/>
      <c r="AB770" s="94"/>
      <c r="AC770" s="94"/>
      <c r="AD770" s="94"/>
      <c r="AE770" s="94"/>
      <c r="AF770" s="94"/>
      <c r="AG770" s="94"/>
      <c r="AH770" s="94"/>
      <c r="AI770" s="94"/>
      <c r="AJ770" s="94"/>
      <c r="AK770" s="94"/>
      <c r="AL770" s="94"/>
      <c r="AM770" s="94"/>
      <c r="AN770" s="94"/>
      <c r="AO770" s="94"/>
      <c r="AP770" s="94"/>
      <c r="AQ770" s="94"/>
      <c r="AR770" s="94"/>
      <c r="AS770" s="94"/>
      <c r="AT770" s="94"/>
      <c r="AU770" s="94"/>
      <c r="AV770" s="94"/>
      <c r="AW770" s="94"/>
      <c r="AX770" s="94"/>
      <c r="AY770" s="94"/>
      <c r="AZ770" s="94"/>
      <c r="BA770" s="95"/>
    </row>
    <row r="771" spans="1:53" s="87" customFormat="1">
      <c r="A771" s="90" t="str">
        <f t="shared" si="36"/>
        <v/>
      </c>
      <c r="B771" s="98"/>
      <c r="C771" s="94"/>
      <c r="D771" s="94"/>
      <c r="E771" s="94"/>
      <c r="F771" s="94"/>
      <c r="G771" s="94"/>
      <c r="H771" s="94"/>
      <c r="I771" s="94"/>
      <c r="J771" s="94"/>
      <c r="K771" s="94"/>
      <c r="L771" s="94"/>
      <c r="M771" s="94"/>
      <c r="N771" s="94"/>
      <c r="O771" s="94"/>
      <c r="P771" s="94"/>
      <c r="Q771" s="94"/>
      <c r="R771" s="94"/>
      <c r="S771" s="94"/>
      <c r="T771" s="94"/>
      <c r="U771" s="94"/>
      <c r="V771" s="94"/>
      <c r="W771" s="94"/>
      <c r="X771" s="94"/>
      <c r="Y771" s="94"/>
      <c r="Z771" s="94"/>
      <c r="AA771" s="94"/>
      <c r="AB771" s="94"/>
      <c r="AC771" s="94"/>
      <c r="AD771" s="94"/>
      <c r="AE771" s="94"/>
      <c r="AF771" s="94"/>
      <c r="AG771" s="94"/>
      <c r="AH771" s="94"/>
      <c r="AI771" s="94"/>
      <c r="AJ771" s="94"/>
      <c r="AK771" s="94"/>
      <c r="AL771" s="94"/>
      <c r="AM771" s="94"/>
      <c r="AN771" s="94"/>
      <c r="AO771" s="94"/>
      <c r="AP771" s="94"/>
      <c r="AQ771" s="94"/>
      <c r="AR771" s="94"/>
      <c r="AS771" s="94"/>
      <c r="AT771" s="94"/>
      <c r="AU771" s="94"/>
      <c r="AV771" s="94"/>
      <c r="AW771" s="94"/>
      <c r="AX771" s="94"/>
      <c r="AY771" s="94"/>
      <c r="AZ771" s="94"/>
      <c r="BA771" s="95"/>
    </row>
    <row r="772" spans="1:53" s="87" customFormat="1">
      <c r="A772" s="90" t="str">
        <f t="shared" si="36"/>
        <v/>
      </c>
      <c r="B772" s="98"/>
      <c r="C772" s="94"/>
      <c r="D772" s="94"/>
      <c r="E772" s="94"/>
      <c r="F772" s="94"/>
      <c r="G772" s="94"/>
      <c r="H772" s="94"/>
      <c r="I772" s="94"/>
      <c r="J772" s="94"/>
      <c r="K772" s="94"/>
      <c r="L772" s="94"/>
      <c r="M772" s="94"/>
      <c r="N772" s="94"/>
      <c r="O772" s="94"/>
      <c r="P772" s="94"/>
      <c r="Q772" s="94"/>
      <c r="R772" s="94"/>
      <c r="S772" s="94"/>
      <c r="T772" s="94"/>
      <c r="U772" s="94"/>
      <c r="V772" s="94"/>
      <c r="W772" s="94"/>
      <c r="X772" s="94"/>
      <c r="Y772" s="94"/>
      <c r="Z772" s="94"/>
      <c r="AA772" s="94"/>
      <c r="AB772" s="94"/>
      <c r="AC772" s="94"/>
      <c r="AD772" s="94"/>
      <c r="AE772" s="94"/>
      <c r="AF772" s="94"/>
      <c r="AG772" s="94"/>
      <c r="AH772" s="94"/>
      <c r="AI772" s="94"/>
      <c r="AJ772" s="94"/>
      <c r="AK772" s="94"/>
      <c r="AL772" s="94"/>
      <c r="AM772" s="94"/>
      <c r="AN772" s="94"/>
      <c r="AO772" s="94"/>
      <c r="AP772" s="94"/>
      <c r="AQ772" s="94"/>
      <c r="AR772" s="94"/>
      <c r="AS772" s="94"/>
      <c r="AT772" s="94"/>
      <c r="AU772" s="94"/>
      <c r="AV772" s="94"/>
      <c r="AW772" s="94"/>
      <c r="AX772" s="94"/>
      <c r="AY772" s="94"/>
      <c r="AZ772" s="94"/>
      <c r="BA772" s="95"/>
    </row>
    <row r="773" spans="1:53" s="87" customFormat="1">
      <c r="A773" s="90" t="str">
        <f t="shared" si="36"/>
        <v/>
      </c>
      <c r="B773" s="98"/>
      <c r="C773" s="94"/>
      <c r="D773" s="94"/>
      <c r="E773" s="94"/>
      <c r="F773" s="94"/>
      <c r="G773" s="94"/>
      <c r="H773" s="94"/>
      <c r="I773" s="94"/>
      <c r="J773" s="94"/>
      <c r="K773" s="94"/>
      <c r="L773" s="94"/>
      <c r="M773" s="94"/>
      <c r="N773" s="94"/>
      <c r="O773" s="94"/>
      <c r="P773" s="94"/>
      <c r="Q773" s="94"/>
      <c r="R773" s="94"/>
      <c r="S773" s="94"/>
      <c r="T773" s="94"/>
      <c r="U773" s="94"/>
      <c r="V773" s="94"/>
      <c r="W773" s="94"/>
      <c r="X773" s="94"/>
      <c r="Y773" s="94"/>
      <c r="Z773" s="94"/>
      <c r="AA773" s="94"/>
      <c r="AB773" s="94"/>
      <c r="AC773" s="94"/>
      <c r="AD773" s="94"/>
      <c r="AE773" s="94"/>
      <c r="AF773" s="94"/>
      <c r="AG773" s="94"/>
      <c r="AH773" s="94"/>
      <c r="AI773" s="94"/>
      <c r="AJ773" s="94"/>
      <c r="AK773" s="94"/>
      <c r="AL773" s="94"/>
      <c r="AM773" s="94"/>
      <c r="AN773" s="94"/>
      <c r="AO773" s="94"/>
      <c r="AP773" s="94"/>
      <c r="AQ773" s="94"/>
      <c r="AR773" s="94"/>
      <c r="AS773" s="94"/>
      <c r="AT773" s="94"/>
      <c r="AU773" s="94"/>
      <c r="AV773" s="94"/>
      <c r="AW773" s="94"/>
      <c r="AX773" s="94"/>
      <c r="AY773" s="94"/>
      <c r="AZ773" s="94"/>
      <c r="BA773" s="95"/>
    </row>
    <row r="774" spans="1:53" s="87" customFormat="1">
      <c r="A774" s="90" t="str">
        <f t="shared" si="36"/>
        <v/>
      </c>
      <c r="B774" s="98"/>
      <c r="C774" s="94"/>
      <c r="D774" s="94"/>
      <c r="E774" s="94"/>
      <c r="F774" s="94"/>
      <c r="G774" s="94"/>
      <c r="H774" s="94"/>
      <c r="I774" s="94"/>
      <c r="J774" s="94"/>
      <c r="K774" s="94"/>
      <c r="L774" s="94"/>
      <c r="M774" s="94"/>
      <c r="N774" s="94"/>
      <c r="O774" s="94"/>
      <c r="P774" s="94"/>
      <c r="Q774" s="94"/>
      <c r="R774" s="94"/>
      <c r="S774" s="94"/>
      <c r="T774" s="94"/>
      <c r="U774" s="94"/>
      <c r="V774" s="94"/>
      <c r="W774" s="94"/>
      <c r="X774" s="94"/>
      <c r="Y774" s="94"/>
      <c r="Z774" s="94"/>
      <c r="AA774" s="94"/>
      <c r="AB774" s="94"/>
      <c r="AC774" s="94"/>
      <c r="AD774" s="94"/>
      <c r="AE774" s="94"/>
      <c r="AF774" s="94"/>
      <c r="AG774" s="94"/>
      <c r="AH774" s="94"/>
      <c r="AI774" s="94"/>
      <c r="AJ774" s="94"/>
      <c r="AK774" s="94"/>
      <c r="AL774" s="94"/>
      <c r="AM774" s="94"/>
      <c r="AN774" s="94"/>
      <c r="AO774" s="94"/>
      <c r="AP774" s="94"/>
      <c r="AQ774" s="94"/>
      <c r="AR774" s="94"/>
      <c r="AS774" s="94"/>
      <c r="AT774" s="94"/>
      <c r="AU774" s="94"/>
      <c r="AV774" s="94"/>
      <c r="AW774" s="94"/>
      <c r="AX774" s="94"/>
      <c r="AY774" s="94"/>
      <c r="AZ774" s="94"/>
      <c r="BA774" s="95"/>
    </row>
    <row r="775" spans="1:53" s="87" customFormat="1">
      <c r="A775" s="90" t="str">
        <f t="shared" si="36"/>
        <v/>
      </c>
      <c r="B775" s="98"/>
      <c r="C775" s="94"/>
      <c r="D775" s="94"/>
      <c r="E775" s="94"/>
      <c r="F775" s="94"/>
      <c r="G775" s="94"/>
      <c r="H775" s="94"/>
      <c r="I775" s="94"/>
      <c r="J775" s="94"/>
      <c r="K775" s="94"/>
      <c r="L775" s="94"/>
      <c r="M775" s="94"/>
      <c r="N775" s="94"/>
      <c r="O775" s="94"/>
      <c r="P775" s="94"/>
      <c r="Q775" s="94"/>
      <c r="R775" s="94"/>
      <c r="S775" s="94"/>
      <c r="T775" s="94"/>
      <c r="U775" s="94"/>
      <c r="V775" s="94"/>
      <c r="W775" s="94"/>
      <c r="X775" s="94"/>
      <c r="Y775" s="94"/>
      <c r="Z775" s="94"/>
      <c r="AA775" s="94"/>
      <c r="AB775" s="94"/>
      <c r="AC775" s="94"/>
      <c r="AD775" s="94"/>
      <c r="AE775" s="94"/>
      <c r="AF775" s="94"/>
      <c r="AG775" s="94"/>
      <c r="AH775" s="94"/>
      <c r="AI775" s="94"/>
      <c r="AJ775" s="94"/>
      <c r="AK775" s="94"/>
      <c r="AL775" s="94"/>
      <c r="AM775" s="94"/>
      <c r="AN775" s="94"/>
      <c r="AO775" s="94"/>
      <c r="AP775" s="94"/>
      <c r="AQ775" s="94"/>
      <c r="AR775" s="94"/>
      <c r="AS775" s="94"/>
      <c r="AT775" s="94"/>
      <c r="AU775" s="94"/>
      <c r="AV775" s="94"/>
      <c r="AW775" s="94"/>
      <c r="AX775" s="94"/>
      <c r="AY775" s="94"/>
      <c r="AZ775" s="94"/>
      <c r="BA775" s="95"/>
    </row>
    <row r="776" spans="1:53" s="87" customFormat="1">
      <c r="A776" s="90" t="str">
        <f t="shared" si="36"/>
        <v/>
      </c>
      <c r="B776" s="98"/>
      <c r="C776" s="94"/>
      <c r="D776" s="94"/>
      <c r="E776" s="94"/>
      <c r="F776" s="94"/>
      <c r="G776" s="94"/>
      <c r="H776" s="94"/>
      <c r="I776" s="94"/>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5"/>
    </row>
    <row r="777" spans="1:53" s="87" customFormat="1">
      <c r="A777" s="90" t="str">
        <f t="shared" si="36"/>
        <v/>
      </c>
      <c r="B777" s="98"/>
      <c r="C777" s="94"/>
      <c r="D777" s="94"/>
      <c r="E777" s="94"/>
      <c r="F777" s="94"/>
      <c r="G777" s="94"/>
      <c r="H777" s="94"/>
      <c r="I777" s="94"/>
      <c r="J777" s="94"/>
      <c r="K777" s="94"/>
      <c r="L777" s="94"/>
      <c r="M777" s="94"/>
      <c r="N777" s="94"/>
      <c r="O777" s="94"/>
      <c r="P777" s="94"/>
      <c r="Q777" s="94"/>
      <c r="R777" s="94"/>
      <c r="S777" s="94"/>
      <c r="T777" s="94"/>
      <c r="U777" s="94"/>
      <c r="V777" s="94"/>
      <c r="W777" s="94"/>
      <c r="X777" s="94"/>
      <c r="Y777" s="94"/>
      <c r="Z777" s="94"/>
      <c r="AA777" s="94"/>
      <c r="AB777" s="94"/>
      <c r="AC777" s="94"/>
      <c r="AD777" s="94"/>
      <c r="AE777" s="94"/>
      <c r="AF777" s="94"/>
      <c r="AG777" s="94"/>
      <c r="AH777" s="94"/>
      <c r="AI777" s="94"/>
      <c r="AJ777" s="94"/>
      <c r="AK777" s="94"/>
      <c r="AL777" s="94"/>
      <c r="AM777" s="94"/>
      <c r="AN777" s="94"/>
      <c r="AO777" s="94"/>
      <c r="AP777" s="94"/>
      <c r="AQ777" s="94"/>
      <c r="AR777" s="94"/>
      <c r="AS777" s="94"/>
      <c r="AT777" s="94"/>
      <c r="AU777" s="94"/>
      <c r="AV777" s="94"/>
      <c r="AW777" s="94"/>
      <c r="AX777" s="94"/>
      <c r="AY777" s="94"/>
      <c r="AZ777" s="94"/>
      <c r="BA777" s="95"/>
    </row>
    <row r="778" spans="1:53" s="87" customFormat="1">
      <c r="A778" s="90" t="str">
        <f t="shared" si="36"/>
        <v/>
      </c>
      <c r="B778" s="98"/>
      <c r="C778" s="94"/>
      <c r="D778" s="94"/>
      <c r="E778" s="94"/>
      <c r="F778" s="94"/>
      <c r="G778" s="94"/>
      <c r="H778" s="94"/>
      <c r="I778" s="94"/>
      <c r="J778" s="94"/>
      <c r="K778" s="94"/>
      <c r="L778" s="94"/>
      <c r="M778" s="94"/>
      <c r="N778" s="94"/>
      <c r="O778" s="94"/>
      <c r="P778" s="94"/>
      <c r="Q778" s="94"/>
      <c r="R778" s="94"/>
      <c r="S778" s="94"/>
      <c r="T778" s="94"/>
      <c r="U778" s="94"/>
      <c r="V778" s="94"/>
      <c r="W778" s="94"/>
      <c r="X778" s="94"/>
      <c r="Y778" s="94"/>
      <c r="Z778" s="94"/>
      <c r="AA778" s="94"/>
      <c r="AB778" s="94"/>
      <c r="AC778" s="94"/>
      <c r="AD778" s="94"/>
      <c r="AE778" s="94"/>
      <c r="AF778" s="94"/>
      <c r="AG778" s="94"/>
      <c r="AH778" s="94"/>
      <c r="AI778" s="94"/>
      <c r="AJ778" s="94"/>
      <c r="AK778" s="94"/>
      <c r="AL778" s="94"/>
      <c r="AM778" s="94"/>
      <c r="AN778" s="94"/>
      <c r="AO778" s="94"/>
      <c r="AP778" s="94"/>
      <c r="AQ778" s="94"/>
      <c r="AR778" s="94"/>
      <c r="AS778" s="94"/>
      <c r="AT778" s="94"/>
      <c r="AU778" s="94"/>
      <c r="AV778" s="94"/>
      <c r="AW778" s="94"/>
      <c r="AX778" s="94"/>
      <c r="AY778" s="94"/>
      <c r="AZ778" s="94"/>
      <c r="BA778" s="95"/>
    </row>
    <row r="779" spans="1:53" s="87" customFormat="1">
      <c r="A779" s="90" t="str">
        <f t="shared" si="36"/>
        <v/>
      </c>
      <c r="B779" s="98"/>
      <c r="C779" s="94"/>
      <c r="D779" s="94"/>
      <c r="E779" s="94"/>
      <c r="F779" s="94"/>
      <c r="G779" s="94"/>
      <c r="H779" s="94"/>
      <c r="I779" s="94"/>
      <c r="J779" s="94"/>
      <c r="K779" s="94"/>
      <c r="L779" s="94"/>
      <c r="M779" s="94"/>
      <c r="N779" s="94"/>
      <c r="O779" s="94"/>
      <c r="P779" s="94"/>
      <c r="Q779" s="94"/>
      <c r="R779" s="94"/>
      <c r="S779" s="94"/>
      <c r="T779" s="94"/>
      <c r="U779" s="94"/>
      <c r="V779" s="94"/>
      <c r="W779" s="94"/>
      <c r="X779" s="94"/>
      <c r="Y779" s="94"/>
      <c r="Z779" s="94"/>
      <c r="AA779" s="94"/>
      <c r="AB779" s="94"/>
      <c r="AC779" s="94"/>
      <c r="AD779" s="94"/>
      <c r="AE779" s="94"/>
      <c r="AF779" s="94"/>
      <c r="AG779" s="94"/>
      <c r="AH779" s="94"/>
      <c r="AI779" s="94"/>
      <c r="AJ779" s="94"/>
      <c r="AK779" s="94"/>
      <c r="AL779" s="94"/>
      <c r="AM779" s="94"/>
      <c r="AN779" s="94"/>
      <c r="AO779" s="94"/>
      <c r="AP779" s="94"/>
      <c r="AQ779" s="94"/>
      <c r="AR779" s="94"/>
      <c r="AS779" s="94"/>
      <c r="AT779" s="94"/>
      <c r="AU779" s="94"/>
      <c r="AV779" s="94"/>
      <c r="AW779" s="94"/>
      <c r="AX779" s="94"/>
      <c r="AY779" s="94"/>
      <c r="AZ779" s="94"/>
      <c r="BA779" s="95"/>
    </row>
    <row r="780" spans="1:53" s="87" customFormat="1">
      <c r="A780" s="90" t="str">
        <f t="shared" ref="A780:A843" si="37">IF(MID(B780,3,2)="09",ROW(),"")</f>
        <v/>
      </c>
      <c r="B780" s="98"/>
      <c r="C780" s="94"/>
      <c r="D780" s="94"/>
      <c r="E780" s="94"/>
      <c r="F780" s="94"/>
      <c r="G780" s="94"/>
      <c r="H780" s="94"/>
      <c r="I780" s="94"/>
      <c r="J780" s="94"/>
      <c r="K780" s="94"/>
      <c r="L780" s="94"/>
      <c r="M780" s="94"/>
      <c r="N780" s="94"/>
      <c r="O780" s="94"/>
      <c r="P780" s="94"/>
      <c r="Q780" s="94"/>
      <c r="R780" s="94"/>
      <c r="S780" s="94"/>
      <c r="T780" s="94"/>
      <c r="U780" s="94"/>
      <c r="V780" s="94"/>
      <c r="W780" s="94"/>
      <c r="X780" s="94"/>
      <c r="Y780" s="94"/>
      <c r="Z780" s="94"/>
      <c r="AA780" s="94"/>
      <c r="AB780" s="94"/>
      <c r="AC780" s="94"/>
      <c r="AD780" s="94"/>
      <c r="AE780" s="94"/>
      <c r="AF780" s="94"/>
      <c r="AG780" s="94"/>
      <c r="AH780" s="94"/>
      <c r="AI780" s="94"/>
      <c r="AJ780" s="94"/>
      <c r="AK780" s="94"/>
      <c r="AL780" s="94"/>
      <c r="AM780" s="94"/>
      <c r="AN780" s="94"/>
      <c r="AO780" s="94"/>
      <c r="AP780" s="94"/>
      <c r="AQ780" s="94"/>
      <c r="AR780" s="94"/>
      <c r="AS780" s="94"/>
      <c r="AT780" s="94"/>
      <c r="AU780" s="94"/>
      <c r="AV780" s="94"/>
      <c r="AW780" s="94"/>
      <c r="AX780" s="94"/>
      <c r="AY780" s="94"/>
      <c r="AZ780" s="94"/>
      <c r="BA780" s="95"/>
    </row>
    <row r="781" spans="1:53" s="87" customFormat="1">
      <c r="A781" s="90" t="str">
        <f t="shared" si="37"/>
        <v/>
      </c>
      <c r="B781" s="98"/>
      <c r="C781" s="94"/>
      <c r="D781" s="94"/>
      <c r="E781" s="94"/>
      <c r="F781" s="94"/>
      <c r="G781" s="94"/>
      <c r="H781" s="94"/>
      <c r="I781" s="94"/>
      <c r="J781" s="94"/>
      <c r="K781" s="94"/>
      <c r="L781" s="94"/>
      <c r="M781" s="94"/>
      <c r="N781" s="94"/>
      <c r="O781" s="94"/>
      <c r="P781" s="94"/>
      <c r="Q781" s="94"/>
      <c r="R781" s="94"/>
      <c r="S781" s="94"/>
      <c r="T781" s="94"/>
      <c r="U781" s="94"/>
      <c r="V781" s="94"/>
      <c r="W781" s="94"/>
      <c r="X781" s="94"/>
      <c r="Y781" s="94"/>
      <c r="Z781" s="94"/>
      <c r="AA781" s="94"/>
      <c r="AB781" s="94"/>
      <c r="AC781" s="94"/>
      <c r="AD781" s="94"/>
      <c r="AE781" s="94"/>
      <c r="AF781" s="94"/>
      <c r="AG781" s="94"/>
      <c r="AH781" s="94"/>
      <c r="AI781" s="94"/>
      <c r="AJ781" s="94"/>
      <c r="AK781" s="94"/>
      <c r="AL781" s="94"/>
      <c r="AM781" s="94"/>
      <c r="AN781" s="94"/>
      <c r="AO781" s="94"/>
      <c r="AP781" s="94"/>
      <c r="AQ781" s="94"/>
      <c r="AR781" s="94"/>
      <c r="AS781" s="94"/>
      <c r="AT781" s="94"/>
      <c r="AU781" s="94"/>
      <c r="AV781" s="94"/>
      <c r="AW781" s="94"/>
      <c r="AX781" s="94"/>
      <c r="AY781" s="94"/>
      <c r="AZ781" s="94"/>
      <c r="BA781" s="95"/>
    </row>
    <row r="782" spans="1:53" s="87" customFormat="1">
      <c r="A782" s="90" t="str">
        <f t="shared" si="37"/>
        <v/>
      </c>
      <c r="B782" s="98"/>
      <c r="C782" s="94"/>
      <c r="D782" s="94"/>
      <c r="E782" s="94"/>
      <c r="F782" s="94"/>
      <c r="G782" s="94"/>
      <c r="H782" s="94"/>
      <c r="I782" s="94"/>
      <c r="J782" s="94"/>
      <c r="K782" s="94"/>
      <c r="L782" s="94"/>
      <c r="M782" s="94"/>
      <c r="N782" s="94"/>
      <c r="O782" s="94"/>
      <c r="P782" s="94"/>
      <c r="Q782" s="94"/>
      <c r="R782" s="94"/>
      <c r="S782" s="94"/>
      <c r="T782" s="94"/>
      <c r="U782" s="94"/>
      <c r="V782" s="94"/>
      <c r="W782" s="94"/>
      <c r="X782" s="94"/>
      <c r="Y782" s="94"/>
      <c r="Z782" s="94"/>
      <c r="AA782" s="94"/>
      <c r="AB782" s="94"/>
      <c r="AC782" s="94"/>
      <c r="AD782" s="94"/>
      <c r="AE782" s="94"/>
      <c r="AF782" s="94"/>
      <c r="AG782" s="94"/>
      <c r="AH782" s="94"/>
      <c r="AI782" s="94"/>
      <c r="AJ782" s="94"/>
      <c r="AK782" s="94"/>
      <c r="AL782" s="94"/>
      <c r="AM782" s="94"/>
      <c r="AN782" s="94"/>
      <c r="AO782" s="94"/>
      <c r="AP782" s="94"/>
      <c r="AQ782" s="94"/>
      <c r="AR782" s="94"/>
      <c r="AS782" s="94"/>
      <c r="AT782" s="94"/>
      <c r="AU782" s="94"/>
      <c r="AV782" s="94"/>
      <c r="AW782" s="94"/>
      <c r="AX782" s="94"/>
      <c r="AY782" s="94"/>
      <c r="AZ782" s="94"/>
      <c r="BA782" s="95"/>
    </row>
    <row r="783" spans="1:53" s="87" customFormat="1">
      <c r="A783" s="90" t="str">
        <f t="shared" si="37"/>
        <v/>
      </c>
      <c r="B783" s="98"/>
      <c r="C783" s="94"/>
      <c r="D783" s="94"/>
      <c r="E783" s="94"/>
      <c r="F783" s="94"/>
      <c r="G783" s="94"/>
      <c r="H783" s="94"/>
      <c r="I783" s="94"/>
      <c r="J783" s="94"/>
      <c r="K783" s="94"/>
      <c r="L783" s="94"/>
      <c r="M783" s="94"/>
      <c r="N783" s="94"/>
      <c r="O783" s="94"/>
      <c r="P783" s="94"/>
      <c r="Q783" s="94"/>
      <c r="R783" s="94"/>
      <c r="S783" s="94"/>
      <c r="T783" s="94"/>
      <c r="U783" s="94"/>
      <c r="V783" s="94"/>
      <c r="W783" s="94"/>
      <c r="X783" s="94"/>
      <c r="Y783" s="94"/>
      <c r="Z783" s="94"/>
      <c r="AA783" s="94"/>
      <c r="AB783" s="94"/>
      <c r="AC783" s="94"/>
      <c r="AD783" s="94"/>
      <c r="AE783" s="94"/>
      <c r="AF783" s="94"/>
      <c r="AG783" s="94"/>
      <c r="AH783" s="94"/>
      <c r="AI783" s="94"/>
      <c r="AJ783" s="94"/>
      <c r="AK783" s="94"/>
      <c r="AL783" s="94"/>
      <c r="AM783" s="94"/>
      <c r="AN783" s="94"/>
      <c r="AO783" s="94"/>
      <c r="AP783" s="94"/>
      <c r="AQ783" s="94"/>
      <c r="AR783" s="94"/>
      <c r="AS783" s="94"/>
      <c r="AT783" s="94"/>
      <c r="AU783" s="94"/>
      <c r="AV783" s="94"/>
      <c r="AW783" s="94"/>
      <c r="AX783" s="94"/>
      <c r="AY783" s="94"/>
      <c r="AZ783" s="94"/>
      <c r="BA783" s="95"/>
    </row>
    <row r="784" spans="1:53" s="87" customFormat="1">
      <c r="A784" s="90" t="str">
        <f t="shared" si="37"/>
        <v/>
      </c>
      <c r="B784" s="98"/>
      <c r="C784" s="94"/>
      <c r="D784" s="94"/>
      <c r="E784" s="94"/>
      <c r="F784" s="94"/>
      <c r="G784" s="94"/>
      <c r="H784" s="94"/>
      <c r="I784" s="94"/>
      <c r="J784" s="94"/>
      <c r="K784" s="94"/>
      <c r="L784" s="94"/>
      <c r="M784" s="94"/>
      <c r="N784" s="94"/>
      <c r="O784" s="94"/>
      <c r="P784" s="94"/>
      <c r="Q784" s="94"/>
      <c r="R784" s="94"/>
      <c r="S784" s="94"/>
      <c r="T784" s="94"/>
      <c r="U784" s="94"/>
      <c r="V784" s="94"/>
      <c r="W784" s="94"/>
      <c r="X784" s="94"/>
      <c r="Y784" s="94"/>
      <c r="Z784" s="94"/>
      <c r="AA784" s="94"/>
      <c r="AB784" s="94"/>
      <c r="AC784" s="94"/>
      <c r="AD784" s="94"/>
      <c r="AE784" s="94"/>
      <c r="AF784" s="94"/>
      <c r="AG784" s="94"/>
      <c r="AH784" s="94"/>
      <c r="AI784" s="94"/>
      <c r="AJ784" s="94"/>
      <c r="AK784" s="94"/>
      <c r="AL784" s="94"/>
      <c r="AM784" s="94"/>
      <c r="AN784" s="94"/>
      <c r="AO784" s="94"/>
      <c r="AP784" s="94"/>
      <c r="AQ784" s="94"/>
      <c r="AR784" s="94"/>
      <c r="AS784" s="94"/>
      <c r="AT784" s="94"/>
      <c r="AU784" s="94"/>
      <c r="AV784" s="94"/>
      <c r="AW784" s="94"/>
      <c r="AX784" s="94"/>
      <c r="AY784" s="94"/>
      <c r="AZ784" s="94"/>
      <c r="BA784" s="95"/>
    </row>
    <row r="785" spans="1:53" s="87" customFormat="1">
      <c r="A785" s="90" t="str">
        <f t="shared" si="37"/>
        <v/>
      </c>
      <c r="B785" s="98"/>
      <c r="C785" s="94"/>
      <c r="D785" s="94"/>
      <c r="E785" s="94"/>
      <c r="F785" s="94"/>
      <c r="G785" s="94"/>
      <c r="H785" s="94"/>
      <c r="I785" s="94"/>
      <c r="J785" s="94"/>
      <c r="K785" s="94"/>
      <c r="L785" s="94"/>
      <c r="M785" s="94"/>
      <c r="N785" s="94"/>
      <c r="O785" s="94"/>
      <c r="P785" s="94"/>
      <c r="Q785" s="94"/>
      <c r="R785" s="94"/>
      <c r="S785" s="94"/>
      <c r="T785" s="94"/>
      <c r="U785" s="94"/>
      <c r="V785" s="94"/>
      <c r="W785" s="94"/>
      <c r="X785" s="94"/>
      <c r="Y785" s="94"/>
      <c r="Z785" s="94"/>
      <c r="AA785" s="94"/>
      <c r="AB785" s="94"/>
      <c r="AC785" s="94"/>
      <c r="AD785" s="94"/>
      <c r="AE785" s="94"/>
      <c r="AF785" s="94"/>
      <c r="AG785" s="94"/>
      <c r="AH785" s="94"/>
      <c r="AI785" s="94"/>
      <c r="AJ785" s="94"/>
      <c r="AK785" s="94"/>
      <c r="AL785" s="94"/>
      <c r="AM785" s="94"/>
      <c r="AN785" s="94"/>
      <c r="AO785" s="94"/>
      <c r="AP785" s="94"/>
      <c r="AQ785" s="94"/>
      <c r="AR785" s="94"/>
      <c r="AS785" s="94"/>
      <c r="AT785" s="94"/>
      <c r="AU785" s="94"/>
      <c r="AV785" s="94"/>
      <c r="AW785" s="94"/>
      <c r="AX785" s="94"/>
      <c r="AY785" s="94"/>
      <c r="AZ785" s="94"/>
      <c r="BA785" s="95"/>
    </row>
    <row r="786" spans="1:53" s="87" customFormat="1">
      <c r="A786" s="90" t="str">
        <f t="shared" si="37"/>
        <v/>
      </c>
      <c r="B786" s="98"/>
      <c r="C786" s="94"/>
      <c r="D786" s="94"/>
      <c r="E786" s="94"/>
      <c r="F786" s="94"/>
      <c r="G786" s="94"/>
      <c r="H786" s="94"/>
      <c r="I786" s="94"/>
      <c r="J786" s="94"/>
      <c r="K786" s="94"/>
      <c r="L786" s="94"/>
      <c r="M786" s="94"/>
      <c r="N786" s="94"/>
      <c r="O786" s="94"/>
      <c r="P786" s="94"/>
      <c r="Q786" s="94"/>
      <c r="R786" s="94"/>
      <c r="S786" s="94"/>
      <c r="T786" s="94"/>
      <c r="U786" s="94"/>
      <c r="V786" s="94"/>
      <c r="W786" s="94"/>
      <c r="X786" s="94"/>
      <c r="Y786" s="94"/>
      <c r="Z786" s="94"/>
      <c r="AA786" s="94"/>
      <c r="AB786" s="94"/>
      <c r="AC786" s="94"/>
      <c r="AD786" s="94"/>
      <c r="AE786" s="94"/>
      <c r="AF786" s="94"/>
      <c r="AG786" s="94"/>
      <c r="AH786" s="94"/>
      <c r="AI786" s="94"/>
      <c r="AJ786" s="94"/>
      <c r="AK786" s="94"/>
      <c r="AL786" s="94"/>
      <c r="AM786" s="94"/>
      <c r="AN786" s="94"/>
      <c r="AO786" s="94"/>
      <c r="AP786" s="94"/>
      <c r="AQ786" s="94"/>
      <c r="AR786" s="94"/>
      <c r="AS786" s="94"/>
      <c r="AT786" s="94"/>
      <c r="AU786" s="94"/>
      <c r="AV786" s="94"/>
      <c r="AW786" s="94"/>
      <c r="AX786" s="94"/>
      <c r="AY786" s="94"/>
      <c r="AZ786" s="94"/>
      <c r="BA786" s="95"/>
    </row>
    <row r="787" spans="1:53" s="87" customFormat="1">
      <c r="A787" s="90" t="str">
        <f t="shared" si="37"/>
        <v/>
      </c>
      <c r="B787" s="98"/>
      <c r="C787" s="94"/>
      <c r="D787" s="94"/>
      <c r="E787" s="94"/>
      <c r="F787" s="94"/>
      <c r="G787" s="94"/>
      <c r="H787" s="94"/>
      <c r="I787" s="94"/>
      <c r="J787" s="94"/>
      <c r="K787" s="94"/>
      <c r="L787" s="94"/>
      <c r="M787" s="94"/>
      <c r="N787" s="94"/>
      <c r="O787" s="94"/>
      <c r="P787" s="94"/>
      <c r="Q787" s="94"/>
      <c r="R787" s="94"/>
      <c r="S787" s="94"/>
      <c r="T787" s="94"/>
      <c r="U787" s="94"/>
      <c r="V787" s="94"/>
      <c r="W787" s="94"/>
      <c r="X787" s="94"/>
      <c r="Y787" s="94"/>
      <c r="Z787" s="94"/>
      <c r="AA787" s="94"/>
      <c r="AB787" s="94"/>
      <c r="AC787" s="94"/>
      <c r="AD787" s="94"/>
      <c r="AE787" s="94"/>
      <c r="AF787" s="94"/>
      <c r="AG787" s="94"/>
      <c r="AH787" s="94"/>
      <c r="AI787" s="94"/>
      <c r="AJ787" s="94"/>
      <c r="AK787" s="94"/>
      <c r="AL787" s="94"/>
      <c r="AM787" s="94"/>
      <c r="AN787" s="94"/>
      <c r="AO787" s="94"/>
      <c r="AP787" s="94"/>
      <c r="AQ787" s="94"/>
      <c r="AR787" s="94"/>
      <c r="AS787" s="94"/>
      <c r="AT787" s="94"/>
      <c r="AU787" s="94"/>
      <c r="AV787" s="94"/>
      <c r="AW787" s="94"/>
      <c r="AX787" s="94"/>
      <c r="AY787" s="94"/>
      <c r="AZ787" s="94"/>
      <c r="BA787" s="95"/>
    </row>
    <row r="788" spans="1:53" s="87" customFormat="1">
      <c r="A788" s="90" t="str">
        <f t="shared" si="37"/>
        <v/>
      </c>
      <c r="B788" s="98"/>
      <c r="C788" s="94"/>
      <c r="D788" s="94"/>
      <c r="E788" s="94"/>
      <c r="F788" s="94"/>
      <c r="G788" s="94"/>
      <c r="H788" s="94"/>
      <c r="I788" s="94"/>
      <c r="J788" s="94"/>
      <c r="K788" s="94"/>
      <c r="L788" s="94"/>
      <c r="M788" s="94"/>
      <c r="N788" s="94"/>
      <c r="O788" s="94"/>
      <c r="P788" s="94"/>
      <c r="Q788" s="94"/>
      <c r="R788" s="94"/>
      <c r="S788" s="94"/>
      <c r="T788" s="94"/>
      <c r="U788" s="94"/>
      <c r="V788" s="94"/>
      <c r="W788" s="94"/>
      <c r="X788" s="94"/>
      <c r="Y788" s="94"/>
      <c r="Z788" s="94"/>
      <c r="AA788" s="94"/>
      <c r="AB788" s="94"/>
      <c r="AC788" s="94"/>
      <c r="AD788" s="94"/>
      <c r="AE788" s="94"/>
      <c r="AF788" s="94"/>
      <c r="AG788" s="94"/>
      <c r="AH788" s="94"/>
      <c r="AI788" s="94"/>
      <c r="AJ788" s="94"/>
      <c r="AK788" s="94"/>
      <c r="AL788" s="94"/>
      <c r="AM788" s="94"/>
      <c r="AN788" s="94"/>
      <c r="AO788" s="94"/>
      <c r="AP788" s="94"/>
      <c r="AQ788" s="94"/>
      <c r="AR788" s="94"/>
      <c r="AS788" s="94"/>
      <c r="AT788" s="94"/>
      <c r="AU788" s="94"/>
      <c r="AV788" s="94"/>
      <c r="AW788" s="94"/>
      <c r="AX788" s="94"/>
      <c r="AY788" s="94"/>
      <c r="AZ788" s="94"/>
      <c r="BA788" s="95"/>
    </row>
    <row r="789" spans="1:53" s="87" customFormat="1">
      <c r="A789" s="90" t="str">
        <f t="shared" si="37"/>
        <v/>
      </c>
      <c r="B789" s="98"/>
      <c r="C789" s="94"/>
      <c r="D789" s="94"/>
      <c r="E789" s="94"/>
      <c r="F789" s="94"/>
      <c r="G789" s="94"/>
      <c r="H789" s="94"/>
      <c r="I789" s="94"/>
      <c r="J789" s="94"/>
      <c r="K789" s="94"/>
      <c r="L789" s="94"/>
      <c r="M789" s="94"/>
      <c r="N789" s="94"/>
      <c r="O789" s="94"/>
      <c r="P789" s="94"/>
      <c r="Q789" s="94"/>
      <c r="R789" s="94"/>
      <c r="S789" s="94"/>
      <c r="T789" s="94"/>
      <c r="U789" s="94"/>
      <c r="V789" s="94"/>
      <c r="W789" s="94"/>
      <c r="X789" s="94"/>
      <c r="Y789" s="94"/>
      <c r="Z789" s="94"/>
      <c r="AA789" s="94"/>
      <c r="AB789" s="94"/>
      <c r="AC789" s="94"/>
      <c r="AD789" s="94"/>
      <c r="AE789" s="94"/>
      <c r="AF789" s="94"/>
      <c r="AG789" s="94"/>
      <c r="AH789" s="94"/>
      <c r="AI789" s="94"/>
      <c r="AJ789" s="94"/>
      <c r="AK789" s="94"/>
      <c r="AL789" s="94"/>
      <c r="AM789" s="94"/>
      <c r="AN789" s="94"/>
      <c r="AO789" s="94"/>
      <c r="AP789" s="94"/>
      <c r="AQ789" s="94"/>
      <c r="AR789" s="94"/>
      <c r="AS789" s="94"/>
      <c r="AT789" s="94"/>
      <c r="AU789" s="94"/>
      <c r="AV789" s="94"/>
      <c r="AW789" s="94"/>
      <c r="AX789" s="94"/>
      <c r="AY789" s="94"/>
      <c r="AZ789" s="94"/>
      <c r="BA789" s="95"/>
    </row>
    <row r="790" spans="1:53" s="87" customFormat="1">
      <c r="A790" s="90" t="str">
        <f t="shared" si="37"/>
        <v/>
      </c>
      <c r="B790" s="98"/>
      <c r="C790" s="94"/>
      <c r="D790" s="94"/>
      <c r="E790" s="94"/>
      <c r="F790" s="94"/>
      <c r="G790" s="94"/>
      <c r="H790" s="94"/>
      <c r="I790" s="94"/>
      <c r="J790" s="94"/>
      <c r="K790" s="94"/>
      <c r="L790" s="94"/>
      <c r="M790" s="94"/>
      <c r="N790" s="94"/>
      <c r="O790" s="94"/>
      <c r="P790" s="94"/>
      <c r="Q790" s="94"/>
      <c r="R790" s="94"/>
      <c r="S790" s="94"/>
      <c r="T790" s="94"/>
      <c r="U790" s="94"/>
      <c r="V790" s="94"/>
      <c r="W790" s="94"/>
      <c r="X790" s="94"/>
      <c r="Y790" s="94"/>
      <c r="Z790" s="94"/>
      <c r="AA790" s="94"/>
      <c r="AB790" s="94"/>
      <c r="AC790" s="94"/>
      <c r="AD790" s="94"/>
      <c r="AE790" s="94"/>
      <c r="AF790" s="94"/>
      <c r="AG790" s="94"/>
      <c r="AH790" s="94"/>
      <c r="AI790" s="94"/>
      <c r="AJ790" s="94"/>
      <c r="AK790" s="94"/>
      <c r="AL790" s="94"/>
      <c r="AM790" s="94"/>
      <c r="AN790" s="94"/>
      <c r="AO790" s="94"/>
      <c r="AP790" s="94"/>
      <c r="AQ790" s="94"/>
      <c r="AR790" s="94"/>
      <c r="AS790" s="94"/>
      <c r="AT790" s="94"/>
      <c r="AU790" s="94"/>
      <c r="AV790" s="94"/>
      <c r="AW790" s="94"/>
      <c r="AX790" s="94"/>
      <c r="AY790" s="94"/>
      <c r="AZ790" s="94"/>
      <c r="BA790" s="95"/>
    </row>
    <row r="791" spans="1:53" s="87" customFormat="1">
      <c r="A791" s="90" t="str">
        <f t="shared" si="37"/>
        <v/>
      </c>
      <c r="B791" s="98"/>
      <c r="C791" s="94"/>
      <c r="D791" s="94"/>
      <c r="E791" s="94"/>
      <c r="F791" s="94"/>
      <c r="G791" s="94"/>
      <c r="H791" s="94"/>
      <c r="I791" s="94"/>
      <c r="J791" s="94"/>
      <c r="K791" s="94"/>
      <c r="L791" s="94"/>
      <c r="M791" s="94"/>
      <c r="N791" s="94"/>
      <c r="O791" s="94"/>
      <c r="P791" s="94"/>
      <c r="Q791" s="94"/>
      <c r="R791" s="94"/>
      <c r="S791" s="94"/>
      <c r="T791" s="94"/>
      <c r="U791" s="94"/>
      <c r="V791" s="94"/>
      <c r="W791" s="94"/>
      <c r="X791" s="94"/>
      <c r="Y791" s="94"/>
      <c r="Z791" s="94"/>
      <c r="AA791" s="94"/>
      <c r="AB791" s="94"/>
      <c r="AC791" s="94"/>
      <c r="AD791" s="94"/>
      <c r="AE791" s="94"/>
      <c r="AF791" s="94"/>
      <c r="AG791" s="94"/>
      <c r="AH791" s="94"/>
      <c r="AI791" s="94"/>
      <c r="AJ791" s="94"/>
      <c r="AK791" s="94"/>
      <c r="AL791" s="94"/>
      <c r="AM791" s="94"/>
      <c r="AN791" s="94"/>
      <c r="AO791" s="94"/>
      <c r="AP791" s="94"/>
      <c r="AQ791" s="94"/>
      <c r="AR791" s="94"/>
      <c r="AS791" s="94"/>
      <c r="AT791" s="94"/>
      <c r="AU791" s="94"/>
      <c r="AV791" s="94"/>
      <c r="AW791" s="94"/>
      <c r="AX791" s="94"/>
      <c r="AY791" s="94"/>
      <c r="AZ791" s="94"/>
      <c r="BA791" s="95"/>
    </row>
    <row r="792" spans="1:53" s="87" customFormat="1">
      <c r="A792" s="90" t="str">
        <f t="shared" si="37"/>
        <v/>
      </c>
      <c r="B792" s="98"/>
      <c r="C792" s="94"/>
      <c r="D792" s="94"/>
      <c r="E792" s="94"/>
      <c r="F792" s="94"/>
      <c r="G792" s="94"/>
      <c r="H792" s="94"/>
      <c r="I792" s="94"/>
      <c r="J792" s="94"/>
      <c r="K792" s="94"/>
      <c r="L792" s="94"/>
      <c r="M792" s="94"/>
      <c r="N792" s="94"/>
      <c r="O792" s="94"/>
      <c r="P792" s="94"/>
      <c r="Q792" s="94"/>
      <c r="R792" s="94"/>
      <c r="S792" s="94"/>
      <c r="T792" s="94"/>
      <c r="U792" s="94"/>
      <c r="V792" s="94"/>
      <c r="W792" s="94"/>
      <c r="X792" s="94"/>
      <c r="Y792" s="94"/>
      <c r="Z792" s="94"/>
      <c r="AA792" s="94"/>
      <c r="AB792" s="94"/>
      <c r="AC792" s="94"/>
      <c r="AD792" s="94"/>
      <c r="AE792" s="94"/>
      <c r="AF792" s="94"/>
      <c r="AG792" s="94"/>
      <c r="AH792" s="94"/>
      <c r="AI792" s="94"/>
      <c r="AJ792" s="94"/>
      <c r="AK792" s="94"/>
      <c r="AL792" s="94"/>
      <c r="AM792" s="94"/>
      <c r="AN792" s="94"/>
      <c r="AO792" s="94"/>
      <c r="AP792" s="94"/>
      <c r="AQ792" s="94"/>
      <c r="AR792" s="94"/>
      <c r="AS792" s="94"/>
      <c r="AT792" s="94"/>
      <c r="AU792" s="94"/>
      <c r="AV792" s="94"/>
      <c r="AW792" s="94"/>
      <c r="AX792" s="94"/>
      <c r="AY792" s="94"/>
      <c r="AZ792" s="94"/>
      <c r="BA792" s="95"/>
    </row>
    <row r="793" spans="1:53" s="87" customFormat="1">
      <c r="A793" s="90" t="str">
        <f t="shared" si="37"/>
        <v/>
      </c>
      <c r="B793" s="98"/>
      <c r="C793" s="94"/>
      <c r="D793" s="94"/>
      <c r="E793" s="94"/>
      <c r="F793" s="94"/>
      <c r="G793" s="94"/>
      <c r="H793" s="94"/>
      <c r="I793" s="94"/>
      <c r="J793" s="94"/>
      <c r="K793" s="94"/>
      <c r="L793" s="94"/>
      <c r="M793" s="94"/>
      <c r="N793" s="94"/>
      <c r="O793" s="94"/>
      <c r="P793" s="94"/>
      <c r="Q793" s="94"/>
      <c r="R793" s="94"/>
      <c r="S793" s="94"/>
      <c r="T793" s="94"/>
      <c r="U793" s="94"/>
      <c r="V793" s="94"/>
      <c r="W793" s="94"/>
      <c r="X793" s="94"/>
      <c r="Y793" s="94"/>
      <c r="Z793" s="94"/>
      <c r="AA793" s="94"/>
      <c r="AB793" s="94"/>
      <c r="AC793" s="94"/>
      <c r="AD793" s="94"/>
      <c r="AE793" s="94"/>
      <c r="AF793" s="94"/>
      <c r="AG793" s="94"/>
      <c r="AH793" s="94"/>
      <c r="AI793" s="94"/>
      <c r="AJ793" s="94"/>
      <c r="AK793" s="94"/>
      <c r="AL793" s="94"/>
      <c r="AM793" s="94"/>
      <c r="AN793" s="94"/>
      <c r="AO793" s="94"/>
      <c r="AP793" s="94"/>
      <c r="AQ793" s="94"/>
      <c r="AR793" s="94"/>
      <c r="AS793" s="94"/>
      <c r="AT793" s="94"/>
      <c r="AU793" s="94"/>
      <c r="AV793" s="94"/>
      <c r="AW793" s="94"/>
      <c r="AX793" s="94"/>
      <c r="AY793" s="94"/>
      <c r="AZ793" s="94"/>
      <c r="BA793" s="95"/>
    </row>
    <row r="794" spans="1:53" s="87" customFormat="1">
      <c r="A794" s="90" t="str">
        <f t="shared" si="37"/>
        <v/>
      </c>
      <c r="B794" s="98"/>
      <c r="C794" s="94"/>
      <c r="D794" s="94"/>
      <c r="E794" s="94"/>
      <c r="F794" s="94"/>
      <c r="G794" s="94"/>
      <c r="H794" s="94"/>
      <c r="I794" s="94"/>
      <c r="J794" s="94"/>
      <c r="K794" s="94"/>
      <c r="L794" s="94"/>
      <c r="M794" s="94"/>
      <c r="N794" s="94"/>
      <c r="O794" s="94"/>
      <c r="P794" s="94"/>
      <c r="Q794" s="94"/>
      <c r="R794" s="94"/>
      <c r="S794" s="94"/>
      <c r="T794" s="94"/>
      <c r="U794" s="94"/>
      <c r="V794" s="94"/>
      <c r="W794" s="94"/>
      <c r="X794" s="94"/>
      <c r="Y794" s="94"/>
      <c r="Z794" s="94"/>
      <c r="AA794" s="94"/>
      <c r="AB794" s="94"/>
      <c r="AC794" s="94"/>
      <c r="AD794" s="94"/>
      <c r="AE794" s="94"/>
      <c r="AF794" s="94"/>
      <c r="AG794" s="94"/>
      <c r="AH794" s="94"/>
      <c r="AI794" s="94"/>
      <c r="AJ794" s="94"/>
      <c r="AK794" s="94"/>
      <c r="AL794" s="94"/>
      <c r="AM794" s="94"/>
      <c r="AN794" s="94"/>
      <c r="AO794" s="94"/>
      <c r="AP794" s="94"/>
      <c r="AQ794" s="94"/>
      <c r="AR794" s="94"/>
      <c r="AS794" s="94"/>
      <c r="AT794" s="94"/>
      <c r="AU794" s="94"/>
      <c r="AV794" s="94"/>
      <c r="AW794" s="94"/>
      <c r="AX794" s="94"/>
      <c r="AY794" s="94"/>
      <c r="AZ794" s="94"/>
      <c r="BA794" s="95"/>
    </row>
    <row r="795" spans="1:53" s="87" customFormat="1">
      <c r="A795" s="90" t="str">
        <f t="shared" si="37"/>
        <v/>
      </c>
      <c r="B795" s="98"/>
      <c r="C795" s="94"/>
      <c r="D795" s="94"/>
      <c r="E795" s="94"/>
      <c r="F795" s="94"/>
      <c r="G795" s="94"/>
      <c r="H795" s="94"/>
      <c r="I795" s="94"/>
      <c r="J795" s="94"/>
      <c r="K795" s="94"/>
      <c r="L795" s="94"/>
      <c r="M795" s="94"/>
      <c r="N795" s="94"/>
      <c r="O795" s="94"/>
      <c r="P795" s="94"/>
      <c r="Q795" s="94"/>
      <c r="R795" s="94"/>
      <c r="S795" s="94"/>
      <c r="T795" s="94"/>
      <c r="U795" s="94"/>
      <c r="V795" s="94"/>
      <c r="W795" s="94"/>
      <c r="X795" s="94"/>
      <c r="Y795" s="94"/>
      <c r="Z795" s="94"/>
      <c r="AA795" s="94"/>
      <c r="AB795" s="94"/>
      <c r="AC795" s="94"/>
      <c r="AD795" s="94"/>
      <c r="AE795" s="94"/>
      <c r="AF795" s="94"/>
      <c r="AG795" s="94"/>
      <c r="AH795" s="94"/>
      <c r="AI795" s="94"/>
      <c r="AJ795" s="94"/>
      <c r="AK795" s="94"/>
      <c r="AL795" s="94"/>
      <c r="AM795" s="94"/>
      <c r="AN795" s="94"/>
      <c r="AO795" s="94"/>
      <c r="AP795" s="94"/>
      <c r="AQ795" s="94"/>
      <c r="AR795" s="94"/>
      <c r="AS795" s="94"/>
      <c r="AT795" s="94"/>
      <c r="AU795" s="94"/>
      <c r="AV795" s="94"/>
      <c r="AW795" s="94"/>
      <c r="AX795" s="94"/>
      <c r="AY795" s="94"/>
      <c r="AZ795" s="94"/>
      <c r="BA795" s="95"/>
    </row>
    <row r="796" spans="1:53" s="87" customFormat="1">
      <c r="A796" s="90" t="str">
        <f t="shared" si="37"/>
        <v/>
      </c>
      <c r="B796" s="98"/>
      <c r="C796" s="94"/>
      <c r="D796" s="94"/>
      <c r="E796" s="94"/>
      <c r="F796" s="94"/>
      <c r="G796" s="94"/>
      <c r="H796" s="94"/>
      <c r="I796" s="94"/>
      <c r="J796" s="94"/>
      <c r="K796" s="94"/>
      <c r="L796" s="94"/>
      <c r="M796" s="94"/>
      <c r="N796" s="94"/>
      <c r="O796" s="94"/>
      <c r="P796" s="94"/>
      <c r="Q796" s="94"/>
      <c r="R796" s="94"/>
      <c r="S796" s="94"/>
      <c r="T796" s="94"/>
      <c r="U796" s="94"/>
      <c r="V796" s="94"/>
      <c r="W796" s="94"/>
      <c r="X796" s="94"/>
      <c r="Y796" s="94"/>
      <c r="Z796" s="94"/>
      <c r="AA796" s="94"/>
      <c r="AB796" s="94"/>
      <c r="AC796" s="94"/>
      <c r="AD796" s="94"/>
      <c r="AE796" s="94"/>
      <c r="AF796" s="94"/>
      <c r="AG796" s="94"/>
      <c r="AH796" s="94"/>
      <c r="AI796" s="94"/>
      <c r="AJ796" s="94"/>
      <c r="AK796" s="94"/>
      <c r="AL796" s="94"/>
      <c r="AM796" s="94"/>
      <c r="AN796" s="94"/>
      <c r="AO796" s="94"/>
      <c r="AP796" s="94"/>
      <c r="AQ796" s="94"/>
      <c r="AR796" s="94"/>
      <c r="AS796" s="94"/>
      <c r="AT796" s="94"/>
      <c r="AU796" s="94"/>
      <c r="AV796" s="94"/>
      <c r="AW796" s="94"/>
      <c r="AX796" s="94"/>
      <c r="AY796" s="94"/>
      <c r="AZ796" s="94"/>
      <c r="BA796" s="95"/>
    </row>
    <row r="797" spans="1:53" s="87" customFormat="1">
      <c r="A797" s="90" t="str">
        <f t="shared" si="37"/>
        <v/>
      </c>
      <c r="B797" s="98"/>
      <c r="C797" s="94"/>
      <c r="D797" s="94"/>
      <c r="E797" s="94"/>
      <c r="F797" s="94"/>
      <c r="G797" s="94"/>
      <c r="H797" s="94"/>
      <c r="I797" s="94"/>
      <c r="J797" s="94"/>
      <c r="K797" s="94"/>
      <c r="L797" s="94"/>
      <c r="M797" s="94"/>
      <c r="N797" s="94"/>
      <c r="O797" s="94"/>
      <c r="P797" s="94"/>
      <c r="Q797" s="94"/>
      <c r="R797" s="94"/>
      <c r="S797" s="94"/>
      <c r="T797" s="94"/>
      <c r="U797" s="94"/>
      <c r="V797" s="94"/>
      <c r="W797" s="94"/>
      <c r="X797" s="94"/>
      <c r="Y797" s="94"/>
      <c r="Z797" s="94"/>
      <c r="AA797" s="94"/>
      <c r="AB797" s="94"/>
      <c r="AC797" s="94"/>
      <c r="AD797" s="94"/>
      <c r="AE797" s="94"/>
      <c r="AF797" s="94"/>
      <c r="AG797" s="94"/>
      <c r="AH797" s="94"/>
      <c r="AI797" s="94"/>
      <c r="AJ797" s="94"/>
      <c r="AK797" s="94"/>
      <c r="AL797" s="94"/>
      <c r="AM797" s="94"/>
      <c r="AN797" s="94"/>
      <c r="AO797" s="94"/>
      <c r="AP797" s="94"/>
      <c r="AQ797" s="94"/>
      <c r="AR797" s="94"/>
      <c r="AS797" s="94"/>
      <c r="AT797" s="94"/>
      <c r="AU797" s="94"/>
      <c r="AV797" s="94"/>
      <c r="AW797" s="94"/>
      <c r="AX797" s="94"/>
      <c r="AY797" s="94"/>
      <c r="AZ797" s="94"/>
      <c r="BA797" s="95"/>
    </row>
    <row r="798" spans="1:53" s="87" customFormat="1">
      <c r="A798" s="90" t="str">
        <f t="shared" si="37"/>
        <v/>
      </c>
      <c r="B798" s="98"/>
      <c r="C798" s="94"/>
      <c r="D798" s="94"/>
      <c r="E798" s="94"/>
      <c r="F798" s="94"/>
      <c r="G798" s="94"/>
      <c r="H798" s="94"/>
      <c r="I798" s="94"/>
      <c r="J798" s="94"/>
      <c r="K798" s="94"/>
      <c r="L798" s="94"/>
      <c r="M798" s="94"/>
      <c r="N798" s="94"/>
      <c r="O798" s="94"/>
      <c r="P798" s="94"/>
      <c r="Q798" s="94"/>
      <c r="R798" s="94"/>
      <c r="S798" s="94"/>
      <c r="T798" s="94"/>
      <c r="U798" s="94"/>
      <c r="V798" s="94"/>
      <c r="W798" s="94"/>
      <c r="X798" s="94"/>
      <c r="Y798" s="94"/>
      <c r="Z798" s="94"/>
      <c r="AA798" s="94"/>
      <c r="AB798" s="94"/>
      <c r="AC798" s="94"/>
      <c r="AD798" s="94"/>
      <c r="AE798" s="94"/>
      <c r="AF798" s="94"/>
      <c r="AG798" s="94"/>
      <c r="AH798" s="94"/>
      <c r="AI798" s="94"/>
      <c r="AJ798" s="94"/>
      <c r="AK798" s="94"/>
      <c r="AL798" s="94"/>
      <c r="AM798" s="94"/>
      <c r="AN798" s="94"/>
      <c r="AO798" s="94"/>
      <c r="AP798" s="94"/>
      <c r="AQ798" s="94"/>
      <c r="AR798" s="94"/>
      <c r="AS798" s="94"/>
      <c r="AT798" s="94"/>
      <c r="AU798" s="94"/>
      <c r="AV798" s="94"/>
      <c r="AW798" s="94"/>
      <c r="AX798" s="94"/>
      <c r="AY798" s="94"/>
      <c r="AZ798" s="94"/>
      <c r="BA798" s="95"/>
    </row>
    <row r="799" spans="1:53" s="87" customFormat="1">
      <c r="A799" s="90" t="str">
        <f t="shared" si="37"/>
        <v/>
      </c>
      <c r="B799" s="98"/>
      <c r="C799" s="94"/>
      <c r="D799" s="94"/>
      <c r="E799" s="94"/>
      <c r="F799" s="94"/>
      <c r="G799" s="94"/>
      <c r="H799" s="94"/>
      <c r="I799" s="94"/>
      <c r="J799" s="94"/>
      <c r="K799" s="94"/>
      <c r="L799" s="94"/>
      <c r="M799" s="94"/>
      <c r="N799" s="94"/>
      <c r="O799" s="94"/>
      <c r="P799" s="94"/>
      <c r="Q799" s="94"/>
      <c r="R799" s="94"/>
      <c r="S799" s="94"/>
      <c r="T799" s="94"/>
      <c r="U799" s="94"/>
      <c r="V799" s="94"/>
      <c r="W799" s="94"/>
      <c r="X799" s="94"/>
      <c r="Y799" s="94"/>
      <c r="Z799" s="94"/>
      <c r="AA799" s="94"/>
      <c r="AB799" s="94"/>
      <c r="AC799" s="94"/>
      <c r="AD799" s="94"/>
      <c r="AE799" s="94"/>
      <c r="AF799" s="94"/>
      <c r="AG799" s="94"/>
      <c r="AH799" s="94"/>
      <c r="AI799" s="94"/>
      <c r="AJ799" s="94"/>
      <c r="AK799" s="94"/>
      <c r="AL799" s="94"/>
      <c r="AM799" s="94"/>
      <c r="AN799" s="94"/>
      <c r="AO799" s="94"/>
      <c r="AP799" s="94"/>
      <c r="AQ799" s="94"/>
      <c r="AR799" s="94"/>
      <c r="AS799" s="94"/>
      <c r="AT799" s="94"/>
      <c r="AU799" s="94"/>
      <c r="AV799" s="94"/>
      <c r="AW799" s="94"/>
      <c r="AX799" s="94"/>
      <c r="AY799" s="94"/>
      <c r="AZ799" s="94"/>
      <c r="BA799" s="95"/>
    </row>
    <row r="800" spans="1:53" s="87" customFormat="1">
      <c r="A800" s="90" t="str">
        <f t="shared" si="37"/>
        <v/>
      </c>
      <c r="B800" s="98"/>
      <c r="C800" s="94"/>
      <c r="D800" s="94"/>
      <c r="E800" s="94"/>
      <c r="F800" s="94"/>
      <c r="G800" s="94"/>
      <c r="H800" s="94"/>
      <c r="I800" s="94"/>
      <c r="J800" s="94"/>
      <c r="K800" s="94"/>
      <c r="L800" s="94"/>
      <c r="M800" s="94"/>
      <c r="N800" s="94"/>
      <c r="O800" s="94"/>
      <c r="P800" s="94"/>
      <c r="Q800" s="94"/>
      <c r="R800" s="94"/>
      <c r="S800" s="94"/>
      <c r="T800" s="94"/>
      <c r="U800" s="94"/>
      <c r="V800" s="94"/>
      <c r="W800" s="94"/>
      <c r="X800" s="94"/>
      <c r="Y800" s="94"/>
      <c r="Z800" s="94"/>
      <c r="AA800" s="94"/>
      <c r="AB800" s="94"/>
      <c r="AC800" s="94"/>
      <c r="AD800" s="94"/>
      <c r="AE800" s="94"/>
      <c r="AF800" s="94"/>
      <c r="AG800" s="94"/>
      <c r="AH800" s="94"/>
      <c r="AI800" s="94"/>
      <c r="AJ800" s="94"/>
      <c r="AK800" s="94"/>
      <c r="AL800" s="94"/>
      <c r="AM800" s="94"/>
      <c r="AN800" s="94"/>
      <c r="AO800" s="94"/>
      <c r="AP800" s="94"/>
      <c r="AQ800" s="94"/>
      <c r="AR800" s="94"/>
      <c r="AS800" s="94"/>
      <c r="AT800" s="94"/>
      <c r="AU800" s="94"/>
      <c r="AV800" s="94"/>
      <c r="AW800" s="94"/>
      <c r="AX800" s="94"/>
      <c r="AY800" s="94"/>
      <c r="AZ800" s="94"/>
      <c r="BA800" s="95"/>
    </row>
    <row r="801" spans="1:53" s="87" customFormat="1">
      <c r="A801" s="90" t="str">
        <f t="shared" si="37"/>
        <v/>
      </c>
      <c r="B801" s="98"/>
      <c r="C801" s="94"/>
      <c r="D801" s="94"/>
      <c r="E801" s="94"/>
      <c r="F801" s="94"/>
      <c r="G801" s="94"/>
      <c r="H801" s="94"/>
      <c r="I801" s="94"/>
      <c r="J801" s="94"/>
      <c r="K801" s="94"/>
      <c r="L801" s="94"/>
      <c r="M801" s="94"/>
      <c r="N801" s="94"/>
      <c r="O801" s="94"/>
      <c r="P801" s="94"/>
      <c r="Q801" s="94"/>
      <c r="R801" s="94"/>
      <c r="S801" s="94"/>
      <c r="T801" s="94"/>
      <c r="U801" s="94"/>
      <c r="V801" s="94"/>
      <c r="W801" s="94"/>
      <c r="X801" s="94"/>
      <c r="Y801" s="94"/>
      <c r="Z801" s="94"/>
      <c r="AA801" s="94"/>
      <c r="AB801" s="94"/>
      <c r="AC801" s="94"/>
      <c r="AD801" s="94"/>
      <c r="AE801" s="94"/>
      <c r="AF801" s="94"/>
      <c r="AG801" s="94"/>
      <c r="AH801" s="94"/>
      <c r="AI801" s="94"/>
      <c r="AJ801" s="94"/>
      <c r="AK801" s="94"/>
      <c r="AL801" s="94"/>
      <c r="AM801" s="94"/>
      <c r="AN801" s="94"/>
      <c r="AO801" s="94"/>
      <c r="AP801" s="94"/>
      <c r="AQ801" s="94"/>
      <c r="AR801" s="94"/>
      <c r="AS801" s="94"/>
      <c r="AT801" s="94"/>
      <c r="AU801" s="94"/>
      <c r="AV801" s="94"/>
      <c r="AW801" s="94"/>
      <c r="AX801" s="94"/>
      <c r="AY801" s="94"/>
      <c r="AZ801" s="94"/>
      <c r="BA801" s="95"/>
    </row>
    <row r="802" spans="1:53" s="87" customFormat="1">
      <c r="A802" s="90" t="str">
        <f t="shared" si="37"/>
        <v/>
      </c>
      <c r="B802" s="98"/>
      <c r="C802" s="94"/>
      <c r="D802" s="94"/>
      <c r="E802" s="94"/>
      <c r="F802" s="94"/>
      <c r="G802" s="94"/>
      <c r="H802" s="94"/>
      <c r="I802" s="94"/>
      <c r="J802" s="94"/>
      <c r="K802" s="94"/>
      <c r="L802" s="94"/>
      <c r="M802" s="94"/>
      <c r="N802" s="94"/>
      <c r="O802" s="94"/>
      <c r="P802" s="94"/>
      <c r="Q802" s="94"/>
      <c r="R802" s="94"/>
      <c r="S802" s="94"/>
      <c r="T802" s="94"/>
      <c r="U802" s="94"/>
      <c r="V802" s="94"/>
      <c r="W802" s="94"/>
      <c r="X802" s="94"/>
      <c r="Y802" s="94"/>
      <c r="Z802" s="94"/>
      <c r="AA802" s="94"/>
      <c r="AB802" s="94"/>
      <c r="AC802" s="94"/>
      <c r="AD802" s="94"/>
      <c r="AE802" s="94"/>
      <c r="AF802" s="94"/>
      <c r="AG802" s="94"/>
      <c r="AH802" s="94"/>
      <c r="AI802" s="94"/>
      <c r="AJ802" s="94"/>
      <c r="AK802" s="94"/>
      <c r="AL802" s="94"/>
      <c r="AM802" s="94"/>
      <c r="AN802" s="94"/>
      <c r="AO802" s="94"/>
      <c r="AP802" s="94"/>
      <c r="AQ802" s="94"/>
      <c r="AR802" s="94"/>
      <c r="AS802" s="94"/>
      <c r="AT802" s="94"/>
      <c r="AU802" s="94"/>
      <c r="AV802" s="94"/>
      <c r="AW802" s="94"/>
      <c r="AX802" s="94"/>
      <c r="AY802" s="94"/>
      <c r="AZ802" s="94"/>
      <c r="BA802" s="95"/>
    </row>
    <row r="803" spans="1:53" s="87" customFormat="1">
      <c r="A803" s="90" t="str">
        <f t="shared" si="37"/>
        <v/>
      </c>
      <c r="B803" s="98"/>
      <c r="C803" s="94"/>
      <c r="D803" s="94"/>
      <c r="E803" s="94"/>
      <c r="F803" s="94"/>
      <c r="G803" s="94"/>
      <c r="H803" s="94"/>
      <c r="I803" s="94"/>
      <c r="J803" s="94"/>
      <c r="K803" s="94"/>
      <c r="L803" s="94"/>
      <c r="M803" s="94"/>
      <c r="N803" s="94"/>
      <c r="O803" s="94"/>
      <c r="P803" s="94"/>
      <c r="Q803" s="94"/>
      <c r="R803" s="94"/>
      <c r="S803" s="94"/>
      <c r="T803" s="94"/>
      <c r="U803" s="94"/>
      <c r="V803" s="94"/>
      <c r="W803" s="94"/>
      <c r="X803" s="94"/>
      <c r="Y803" s="94"/>
      <c r="Z803" s="94"/>
      <c r="AA803" s="94"/>
      <c r="AB803" s="94"/>
      <c r="AC803" s="94"/>
      <c r="AD803" s="94"/>
      <c r="AE803" s="94"/>
      <c r="AF803" s="94"/>
      <c r="AG803" s="94"/>
      <c r="AH803" s="94"/>
      <c r="AI803" s="94"/>
      <c r="AJ803" s="94"/>
      <c r="AK803" s="94"/>
      <c r="AL803" s="94"/>
      <c r="AM803" s="94"/>
      <c r="AN803" s="94"/>
      <c r="AO803" s="94"/>
      <c r="AP803" s="94"/>
      <c r="AQ803" s="94"/>
      <c r="AR803" s="94"/>
      <c r="AS803" s="94"/>
      <c r="AT803" s="94"/>
      <c r="AU803" s="94"/>
      <c r="AV803" s="94"/>
      <c r="AW803" s="94"/>
      <c r="AX803" s="94"/>
      <c r="AY803" s="94"/>
      <c r="AZ803" s="94"/>
      <c r="BA803" s="95"/>
    </row>
    <row r="804" spans="1:53" s="87" customFormat="1">
      <c r="A804" s="90" t="str">
        <f t="shared" si="37"/>
        <v/>
      </c>
      <c r="B804" s="98"/>
      <c r="C804" s="94"/>
      <c r="D804" s="94"/>
      <c r="E804" s="94"/>
      <c r="F804" s="94"/>
      <c r="G804" s="94"/>
      <c r="H804" s="94"/>
      <c r="I804" s="94"/>
      <c r="J804" s="94"/>
      <c r="K804" s="94"/>
      <c r="L804" s="94"/>
      <c r="M804" s="94"/>
      <c r="N804" s="94"/>
      <c r="O804" s="94"/>
      <c r="P804" s="94"/>
      <c r="Q804" s="94"/>
      <c r="R804" s="94"/>
      <c r="S804" s="94"/>
      <c r="T804" s="94"/>
      <c r="U804" s="94"/>
      <c r="V804" s="94"/>
      <c r="W804" s="94"/>
      <c r="X804" s="94"/>
      <c r="Y804" s="94"/>
      <c r="Z804" s="94"/>
      <c r="AA804" s="94"/>
      <c r="AB804" s="94"/>
      <c r="AC804" s="94"/>
      <c r="AD804" s="94"/>
      <c r="AE804" s="94"/>
      <c r="AF804" s="94"/>
      <c r="AG804" s="94"/>
      <c r="AH804" s="94"/>
      <c r="AI804" s="94"/>
      <c r="AJ804" s="94"/>
      <c r="AK804" s="94"/>
      <c r="AL804" s="94"/>
      <c r="AM804" s="94"/>
      <c r="AN804" s="94"/>
      <c r="AO804" s="94"/>
      <c r="AP804" s="94"/>
      <c r="AQ804" s="94"/>
      <c r="AR804" s="94"/>
      <c r="AS804" s="94"/>
      <c r="AT804" s="94"/>
      <c r="AU804" s="94"/>
      <c r="AV804" s="94"/>
      <c r="AW804" s="94"/>
      <c r="AX804" s="94"/>
      <c r="AY804" s="94"/>
      <c r="AZ804" s="94"/>
      <c r="BA804" s="95"/>
    </row>
    <row r="805" spans="1:53" s="87" customFormat="1">
      <c r="A805" s="90" t="str">
        <f t="shared" si="37"/>
        <v/>
      </c>
      <c r="B805" s="98"/>
      <c r="C805" s="94"/>
      <c r="D805" s="94"/>
      <c r="E805" s="94"/>
      <c r="F805" s="94"/>
      <c r="G805" s="94"/>
      <c r="H805" s="94"/>
      <c r="I805" s="94"/>
      <c r="J805" s="94"/>
      <c r="K805" s="94"/>
      <c r="L805" s="94"/>
      <c r="M805" s="94"/>
      <c r="N805" s="94"/>
      <c r="O805" s="94"/>
      <c r="P805" s="94"/>
      <c r="Q805" s="94"/>
      <c r="R805" s="94"/>
      <c r="S805" s="94"/>
      <c r="T805" s="94"/>
      <c r="U805" s="94"/>
      <c r="V805" s="94"/>
      <c r="W805" s="94"/>
      <c r="X805" s="94"/>
      <c r="Y805" s="94"/>
      <c r="Z805" s="94"/>
      <c r="AA805" s="94"/>
      <c r="AB805" s="94"/>
      <c r="AC805" s="94"/>
      <c r="AD805" s="94"/>
      <c r="AE805" s="94"/>
      <c r="AF805" s="94"/>
      <c r="AG805" s="94"/>
      <c r="AH805" s="94"/>
      <c r="AI805" s="94"/>
      <c r="AJ805" s="94"/>
      <c r="AK805" s="94"/>
      <c r="AL805" s="94"/>
      <c r="AM805" s="94"/>
      <c r="AN805" s="94"/>
      <c r="AO805" s="94"/>
      <c r="AP805" s="94"/>
      <c r="AQ805" s="94"/>
      <c r="AR805" s="94"/>
      <c r="AS805" s="94"/>
      <c r="AT805" s="94"/>
      <c r="AU805" s="94"/>
      <c r="AV805" s="94"/>
      <c r="AW805" s="94"/>
      <c r="AX805" s="94"/>
      <c r="AY805" s="94"/>
      <c r="AZ805" s="94"/>
      <c r="BA805" s="95"/>
    </row>
    <row r="806" spans="1:53" s="87" customFormat="1">
      <c r="A806" s="90" t="str">
        <f t="shared" si="37"/>
        <v/>
      </c>
      <c r="B806" s="98"/>
      <c r="C806" s="94"/>
      <c r="D806" s="94"/>
      <c r="E806" s="94"/>
      <c r="F806" s="94"/>
      <c r="G806" s="94"/>
      <c r="H806" s="94"/>
      <c r="I806" s="94"/>
      <c r="J806" s="94"/>
      <c r="K806" s="94"/>
      <c r="L806" s="94"/>
      <c r="M806" s="94"/>
      <c r="N806" s="94"/>
      <c r="O806" s="94"/>
      <c r="P806" s="94"/>
      <c r="Q806" s="94"/>
      <c r="R806" s="94"/>
      <c r="S806" s="94"/>
      <c r="T806" s="94"/>
      <c r="U806" s="94"/>
      <c r="V806" s="94"/>
      <c r="W806" s="94"/>
      <c r="X806" s="94"/>
      <c r="Y806" s="94"/>
      <c r="Z806" s="94"/>
      <c r="AA806" s="94"/>
      <c r="AB806" s="94"/>
      <c r="AC806" s="94"/>
      <c r="AD806" s="94"/>
      <c r="AE806" s="94"/>
      <c r="AF806" s="94"/>
      <c r="AG806" s="94"/>
      <c r="AH806" s="94"/>
      <c r="AI806" s="94"/>
      <c r="AJ806" s="94"/>
      <c r="AK806" s="94"/>
      <c r="AL806" s="94"/>
      <c r="AM806" s="94"/>
      <c r="AN806" s="94"/>
      <c r="AO806" s="94"/>
      <c r="AP806" s="94"/>
      <c r="AQ806" s="94"/>
      <c r="AR806" s="94"/>
      <c r="AS806" s="94"/>
      <c r="AT806" s="94"/>
      <c r="AU806" s="94"/>
      <c r="AV806" s="94"/>
      <c r="AW806" s="94"/>
      <c r="AX806" s="94"/>
      <c r="AY806" s="94"/>
      <c r="AZ806" s="94"/>
      <c r="BA806" s="95"/>
    </row>
    <row r="807" spans="1:53" s="87" customFormat="1">
      <c r="A807" s="90" t="str">
        <f t="shared" si="37"/>
        <v/>
      </c>
      <c r="B807" s="98"/>
      <c r="C807" s="94"/>
      <c r="D807" s="94"/>
      <c r="E807" s="94"/>
      <c r="F807" s="94"/>
      <c r="G807" s="94"/>
      <c r="H807" s="94"/>
      <c r="I807" s="94"/>
      <c r="J807" s="94"/>
      <c r="K807" s="94"/>
      <c r="L807" s="94"/>
      <c r="M807" s="94"/>
      <c r="N807" s="94"/>
      <c r="O807" s="94"/>
      <c r="P807" s="94"/>
      <c r="Q807" s="94"/>
      <c r="R807" s="94"/>
      <c r="S807" s="94"/>
      <c r="T807" s="94"/>
      <c r="U807" s="94"/>
      <c r="V807" s="94"/>
      <c r="W807" s="94"/>
      <c r="X807" s="94"/>
      <c r="Y807" s="94"/>
      <c r="Z807" s="94"/>
      <c r="AA807" s="94"/>
      <c r="AB807" s="94"/>
      <c r="AC807" s="94"/>
      <c r="AD807" s="94"/>
      <c r="AE807" s="94"/>
      <c r="AF807" s="94"/>
      <c r="AG807" s="94"/>
      <c r="AH807" s="94"/>
      <c r="AI807" s="94"/>
      <c r="AJ807" s="94"/>
      <c r="AK807" s="94"/>
      <c r="AL807" s="94"/>
      <c r="AM807" s="94"/>
      <c r="AN807" s="94"/>
      <c r="AO807" s="94"/>
      <c r="AP807" s="94"/>
      <c r="AQ807" s="94"/>
      <c r="AR807" s="94"/>
      <c r="AS807" s="94"/>
      <c r="AT807" s="94"/>
      <c r="AU807" s="94"/>
      <c r="AV807" s="94"/>
      <c r="AW807" s="94"/>
      <c r="AX807" s="94"/>
      <c r="AY807" s="94"/>
      <c r="AZ807" s="94"/>
      <c r="BA807" s="95"/>
    </row>
    <row r="808" spans="1:53" s="87" customFormat="1">
      <c r="A808" s="90" t="str">
        <f t="shared" si="37"/>
        <v/>
      </c>
      <c r="B808" s="98"/>
      <c r="C808" s="94"/>
      <c r="D808" s="94"/>
      <c r="E808" s="94"/>
      <c r="F808" s="94"/>
      <c r="G808" s="94"/>
      <c r="H808" s="94"/>
      <c r="I808" s="94"/>
      <c r="J808" s="94"/>
      <c r="K808" s="94"/>
      <c r="L808" s="94"/>
      <c r="M808" s="94"/>
      <c r="N808" s="94"/>
      <c r="O808" s="94"/>
      <c r="P808" s="94"/>
      <c r="Q808" s="94"/>
      <c r="R808" s="94"/>
      <c r="S808" s="94"/>
      <c r="T808" s="94"/>
      <c r="U808" s="94"/>
      <c r="V808" s="94"/>
      <c r="W808" s="94"/>
      <c r="X808" s="94"/>
      <c r="Y808" s="94"/>
      <c r="Z808" s="94"/>
      <c r="AA808" s="94"/>
      <c r="AB808" s="94"/>
      <c r="AC808" s="94"/>
      <c r="AD808" s="94"/>
      <c r="AE808" s="94"/>
      <c r="AF808" s="94"/>
      <c r="AG808" s="94"/>
      <c r="AH808" s="94"/>
      <c r="AI808" s="94"/>
      <c r="AJ808" s="94"/>
      <c r="AK808" s="94"/>
      <c r="AL808" s="94"/>
      <c r="AM808" s="94"/>
      <c r="AN808" s="94"/>
      <c r="AO808" s="94"/>
      <c r="AP808" s="94"/>
      <c r="AQ808" s="94"/>
      <c r="AR808" s="94"/>
      <c r="AS808" s="94"/>
      <c r="AT808" s="94"/>
      <c r="AU808" s="94"/>
      <c r="AV808" s="94"/>
      <c r="AW808" s="94"/>
      <c r="AX808" s="94"/>
      <c r="AY808" s="94"/>
      <c r="AZ808" s="94"/>
      <c r="BA808" s="95"/>
    </row>
    <row r="809" spans="1:53" s="87" customFormat="1">
      <c r="A809" s="90" t="str">
        <f t="shared" si="37"/>
        <v/>
      </c>
      <c r="B809" s="98"/>
      <c r="C809" s="94"/>
      <c r="D809" s="94"/>
      <c r="E809" s="94"/>
      <c r="F809" s="94"/>
      <c r="G809" s="94"/>
      <c r="H809" s="94"/>
      <c r="I809" s="94"/>
      <c r="J809" s="94"/>
      <c r="K809" s="94"/>
      <c r="L809" s="94"/>
      <c r="M809" s="94"/>
      <c r="N809" s="94"/>
      <c r="O809" s="94"/>
      <c r="P809" s="94"/>
      <c r="Q809" s="94"/>
      <c r="R809" s="94"/>
      <c r="S809" s="94"/>
      <c r="T809" s="94"/>
      <c r="U809" s="94"/>
      <c r="V809" s="94"/>
      <c r="W809" s="94"/>
      <c r="X809" s="94"/>
      <c r="Y809" s="94"/>
      <c r="Z809" s="94"/>
      <c r="AA809" s="94"/>
      <c r="AB809" s="94"/>
      <c r="AC809" s="94"/>
      <c r="AD809" s="94"/>
      <c r="AE809" s="94"/>
      <c r="AF809" s="94"/>
      <c r="AG809" s="94"/>
      <c r="AH809" s="94"/>
      <c r="AI809" s="94"/>
      <c r="AJ809" s="94"/>
      <c r="AK809" s="94"/>
      <c r="AL809" s="94"/>
      <c r="AM809" s="94"/>
      <c r="AN809" s="94"/>
      <c r="AO809" s="94"/>
      <c r="AP809" s="94"/>
      <c r="AQ809" s="94"/>
      <c r="AR809" s="94"/>
      <c r="AS809" s="94"/>
      <c r="AT809" s="94"/>
      <c r="AU809" s="94"/>
      <c r="AV809" s="94"/>
      <c r="AW809" s="94"/>
      <c r="AX809" s="94"/>
      <c r="AY809" s="94"/>
      <c r="AZ809" s="94"/>
      <c r="BA809" s="95"/>
    </row>
    <row r="810" spans="1:53" s="87" customFormat="1">
      <c r="A810" s="90" t="str">
        <f t="shared" si="37"/>
        <v/>
      </c>
      <c r="B810" s="98"/>
      <c r="C810" s="94"/>
      <c r="D810" s="94"/>
      <c r="E810" s="94"/>
      <c r="F810" s="94"/>
      <c r="G810" s="94"/>
      <c r="H810" s="94"/>
      <c r="I810" s="94"/>
      <c r="J810" s="94"/>
      <c r="K810" s="94"/>
      <c r="L810" s="94"/>
      <c r="M810" s="94"/>
      <c r="N810" s="94"/>
      <c r="O810" s="94"/>
      <c r="P810" s="94"/>
      <c r="Q810" s="94"/>
      <c r="R810" s="94"/>
      <c r="S810" s="94"/>
      <c r="T810" s="94"/>
      <c r="U810" s="94"/>
      <c r="V810" s="94"/>
      <c r="W810" s="94"/>
      <c r="X810" s="94"/>
      <c r="Y810" s="94"/>
      <c r="Z810" s="94"/>
      <c r="AA810" s="94"/>
      <c r="AB810" s="94"/>
      <c r="AC810" s="94"/>
      <c r="AD810" s="94"/>
      <c r="AE810" s="94"/>
      <c r="AF810" s="94"/>
      <c r="AG810" s="94"/>
      <c r="AH810" s="94"/>
      <c r="AI810" s="94"/>
      <c r="AJ810" s="94"/>
      <c r="AK810" s="94"/>
      <c r="AL810" s="94"/>
      <c r="AM810" s="94"/>
      <c r="AN810" s="94"/>
      <c r="AO810" s="94"/>
      <c r="AP810" s="94"/>
      <c r="AQ810" s="94"/>
      <c r="AR810" s="94"/>
      <c r="AS810" s="94"/>
      <c r="AT810" s="94"/>
      <c r="AU810" s="94"/>
      <c r="AV810" s="94"/>
      <c r="AW810" s="94"/>
      <c r="AX810" s="94"/>
      <c r="AY810" s="94"/>
      <c r="AZ810" s="94"/>
      <c r="BA810" s="95"/>
    </row>
    <row r="811" spans="1:53" s="87" customFormat="1">
      <c r="A811" s="90" t="str">
        <f t="shared" si="37"/>
        <v/>
      </c>
      <c r="B811" s="98"/>
      <c r="C811" s="94"/>
      <c r="D811" s="94"/>
      <c r="E811" s="94"/>
      <c r="F811" s="94"/>
      <c r="G811" s="94"/>
      <c r="H811" s="94"/>
      <c r="I811" s="94"/>
      <c r="J811" s="94"/>
      <c r="K811" s="94"/>
      <c r="L811" s="94"/>
      <c r="M811" s="94"/>
      <c r="N811" s="94"/>
      <c r="O811" s="94"/>
      <c r="P811" s="94"/>
      <c r="Q811" s="94"/>
      <c r="R811" s="94"/>
      <c r="S811" s="94"/>
      <c r="T811" s="94"/>
      <c r="U811" s="94"/>
      <c r="V811" s="94"/>
      <c r="W811" s="94"/>
      <c r="X811" s="94"/>
      <c r="Y811" s="94"/>
      <c r="Z811" s="94"/>
      <c r="AA811" s="94"/>
      <c r="AB811" s="94"/>
      <c r="AC811" s="94"/>
      <c r="AD811" s="94"/>
      <c r="AE811" s="94"/>
      <c r="AF811" s="94"/>
      <c r="AG811" s="94"/>
      <c r="AH811" s="94"/>
      <c r="AI811" s="94"/>
      <c r="AJ811" s="94"/>
      <c r="AK811" s="94"/>
      <c r="AL811" s="94"/>
      <c r="AM811" s="94"/>
      <c r="AN811" s="94"/>
      <c r="AO811" s="94"/>
      <c r="AP811" s="94"/>
      <c r="AQ811" s="94"/>
      <c r="AR811" s="94"/>
      <c r="AS811" s="94"/>
      <c r="AT811" s="94"/>
      <c r="AU811" s="94"/>
      <c r="AV811" s="94"/>
      <c r="AW811" s="94"/>
      <c r="AX811" s="94"/>
      <c r="AY811" s="94"/>
      <c r="AZ811" s="94"/>
      <c r="BA811" s="95"/>
    </row>
    <row r="812" spans="1:53" s="87" customFormat="1">
      <c r="A812" s="90" t="str">
        <f t="shared" si="37"/>
        <v/>
      </c>
      <c r="B812" s="98"/>
      <c r="C812" s="94"/>
      <c r="D812" s="94"/>
      <c r="E812" s="94"/>
      <c r="F812" s="94"/>
      <c r="G812" s="94"/>
      <c r="H812" s="94"/>
      <c r="I812" s="94"/>
      <c r="J812" s="94"/>
      <c r="K812" s="94"/>
      <c r="L812" s="94"/>
      <c r="M812" s="94"/>
      <c r="N812" s="94"/>
      <c r="O812" s="94"/>
      <c r="P812" s="94"/>
      <c r="Q812" s="94"/>
      <c r="R812" s="94"/>
      <c r="S812" s="94"/>
      <c r="T812" s="94"/>
      <c r="U812" s="94"/>
      <c r="V812" s="94"/>
      <c r="W812" s="94"/>
      <c r="X812" s="94"/>
      <c r="Y812" s="94"/>
      <c r="Z812" s="94"/>
      <c r="AA812" s="94"/>
      <c r="AB812" s="94"/>
      <c r="AC812" s="94"/>
      <c r="AD812" s="94"/>
      <c r="AE812" s="94"/>
      <c r="AF812" s="94"/>
      <c r="AG812" s="94"/>
      <c r="AH812" s="94"/>
      <c r="AI812" s="94"/>
      <c r="AJ812" s="94"/>
      <c r="AK812" s="94"/>
      <c r="AL812" s="94"/>
      <c r="AM812" s="94"/>
      <c r="AN812" s="94"/>
      <c r="AO812" s="94"/>
      <c r="AP812" s="94"/>
      <c r="AQ812" s="94"/>
      <c r="AR812" s="94"/>
      <c r="AS812" s="94"/>
      <c r="AT812" s="94"/>
      <c r="AU812" s="94"/>
      <c r="AV812" s="94"/>
      <c r="AW812" s="94"/>
      <c r="AX812" s="94"/>
      <c r="AY812" s="94"/>
      <c r="AZ812" s="94"/>
      <c r="BA812" s="95"/>
    </row>
    <row r="813" spans="1:53" s="87" customFormat="1">
      <c r="A813" s="90" t="str">
        <f t="shared" si="37"/>
        <v/>
      </c>
      <c r="B813" s="98"/>
      <c r="C813" s="94"/>
      <c r="D813" s="94"/>
      <c r="E813" s="94"/>
      <c r="F813" s="94"/>
      <c r="G813" s="94"/>
      <c r="H813" s="94"/>
      <c r="I813" s="94"/>
      <c r="J813" s="94"/>
      <c r="K813" s="94"/>
      <c r="L813" s="94"/>
      <c r="M813" s="94"/>
      <c r="N813" s="94"/>
      <c r="O813" s="94"/>
      <c r="P813" s="94"/>
      <c r="Q813" s="94"/>
      <c r="R813" s="94"/>
      <c r="S813" s="94"/>
      <c r="T813" s="94"/>
      <c r="U813" s="94"/>
      <c r="V813" s="94"/>
      <c r="W813" s="94"/>
      <c r="X813" s="94"/>
      <c r="Y813" s="94"/>
      <c r="Z813" s="94"/>
      <c r="AA813" s="94"/>
      <c r="AB813" s="94"/>
      <c r="AC813" s="94"/>
      <c r="AD813" s="94"/>
      <c r="AE813" s="94"/>
      <c r="AF813" s="94"/>
      <c r="AG813" s="94"/>
      <c r="AH813" s="94"/>
      <c r="AI813" s="94"/>
      <c r="AJ813" s="94"/>
      <c r="AK813" s="94"/>
      <c r="AL813" s="94"/>
      <c r="AM813" s="94"/>
      <c r="AN813" s="94"/>
      <c r="AO813" s="94"/>
      <c r="AP813" s="94"/>
      <c r="AQ813" s="94"/>
      <c r="AR813" s="94"/>
      <c r="AS813" s="94"/>
      <c r="AT813" s="94"/>
      <c r="AU813" s="94"/>
      <c r="AV813" s="94"/>
      <c r="AW813" s="94"/>
      <c r="AX813" s="94"/>
      <c r="AY813" s="94"/>
      <c r="AZ813" s="94"/>
      <c r="BA813" s="95"/>
    </row>
    <row r="814" spans="1:53" s="87" customFormat="1">
      <c r="A814" s="90" t="str">
        <f t="shared" si="37"/>
        <v/>
      </c>
      <c r="B814" s="98"/>
      <c r="C814" s="94"/>
      <c r="D814" s="94"/>
      <c r="E814" s="94"/>
      <c r="F814" s="94"/>
      <c r="G814" s="94"/>
      <c r="H814" s="94"/>
      <c r="I814" s="94"/>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5"/>
    </row>
    <row r="815" spans="1:53" s="87" customFormat="1">
      <c r="A815" s="90" t="str">
        <f t="shared" si="37"/>
        <v/>
      </c>
      <c r="B815" s="98"/>
      <c r="C815" s="94"/>
      <c r="D815" s="94"/>
      <c r="E815" s="94"/>
      <c r="F815" s="94"/>
      <c r="G815" s="94"/>
      <c r="H815" s="94"/>
      <c r="I815" s="94"/>
      <c r="J815" s="94"/>
      <c r="K815" s="94"/>
      <c r="L815" s="94"/>
      <c r="M815" s="94"/>
      <c r="N815" s="94"/>
      <c r="O815" s="94"/>
      <c r="P815" s="94"/>
      <c r="Q815" s="94"/>
      <c r="R815" s="94"/>
      <c r="S815" s="94"/>
      <c r="T815" s="94"/>
      <c r="U815" s="94"/>
      <c r="V815" s="94"/>
      <c r="W815" s="94"/>
      <c r="X815" s="94"/>
      <c r="Y815" s="94"/>
      <c r="Z815" s="94"/>
      <c r="AA815" s="94"/>
      <c r="AB815" s="94"/>
      <c r="AC815" s="94"/>
      <c r="AD815" s="94"/>
      <c r="AE815" s="94"/>
      <c r="AF815" s="94"/>
      <c r="AG815" s="94"/>
      <c r="AH815" s="94"/>
      <c r="AI815" s="94"/>
      <c r="AJ815" s="94"/>
      <c r="AK815" s="94"/>
      <c r="AL815" s="94"/>
      <c r="AM815" s="94"/>
      <c r="AN815" s="94"/>
      <c r="AO815" s="94"/>
      <c r="AP815" s="94"/>
      <c r="AQ815" s="94"/>
      <c r="AR815" s="94"/>
      <c r="AS815" s="94"/>
      <c r="AT815" s="94"/>
      <c r="AU815" s="94"/>
      <c r="AV815" s="94"/>
      <c r="AW815" s="94"/>
      <c r="AX815" s="94"/>
      <c r="AY815" s="94"/>
      <c r="AZ815" s="94"/>
      <c r="BA815" s="95"/>
    </row>
    <row r="816" spans="1:53" s="87" customFormat="1">
      <c r="A816" s="90" t="str">
        <f t="shared" si="37"/>
        <v/>
      </c>
      <c r="B816" s="98"/>
      <c r="C816" s="94"/>
      <c r="D816" s="94"/>
      <c r="E816" s="94"/>
      <c r="F816" s="94"/>
      <c r="G816" s="94"/>
      <c r="H816" s="94"/>
      <c r="I816" s="94"/>
      <c r="J816" s="94"/>
      <c r="K816" s="94"/>
      <c r="L816" s="94"/>
      <c r="M816" s="94"/>
      <c r="N816" s="94"/>
      <c r="O816" s="94"/>
      <c r="P816" s="94"/>
      <c r="Q816" s="94"/>
      <c r="R816" s="94"/>
      <c r="S816" s="94"/>
      <c r="T816" s="94"/>
      <c r="U816" s="94"/>
      <c r="V816" s="94"/>
      <c r="W816" s="94"/>
      <c r="X816" s="94"/>
      <c r="Y816" s="94"/>
      <c r="Z816" s="94"/>
      <c r="AA816" s="94"/>
      <c r="AB816" s="94"/>
      <c r="AC816" s="94"/>
      <c r="AD816" s="94"/>
      <c r="AE816" s="94"/>
      <c r="AF816" s="94"/>
      <c r="AG816" s="94"/>
      <c r="AH816" s="94"/>
      <c r="AI816" s="94"/>
      <c r="AJ816" s="94"/>
      <c r="AK816" s="94"/>
      <c r="AL816" s="94"/>
      <c r="AM816" s="94"/>
      <c r="AN816" s="94"/>
      <c r="AO816" s="94"/>
      <c r="AP816" s="94"/>
      <c r="AQ816" s="94"/>
      <c r="AR816" s="94"/>
      <c r="AS816" s="94"/>
      <c r="AT816" s="94"/>
      <c r="AU816" s="94"/>
      <c r="AV816" s="94"/>
      <c r="AW816" s="94"/>
      <c r="AX816" s="94"/>
      <c r="AY816" s="94"/>
      <c r="AZ816" s="94"/>
      <c r="BA816" s="95"/>
    </row>
    <row r="817" spans="1:53" s="87" customFormat="1">
      <c r="A817" s="90" t="str">
        <f t="shared" si="37"/>
        <v/>
      </c>
      <c r="B817" s="98"/>
      <c r="C817" s="94"/>
      <c r="D817" s="94"/>
      <c r="E817" s="94"/>
      <c r="F817" s="94"/>
      <c r="G817" s="94"/>
      <c r="H817" s="94"/>
      <c r="I817" s="94"/>
      <c r="J817" s="94"/>
      <c r="K817" s="94"/>
      <c r="L817" s="94"/>
      <c r="M817" s="94"/>
      <c r="N817" s="94"/>
      <c r="O817" s="94"/>
      <c r="P817" s="94"/>
      <c r="Q817" s="94"/>
      <c r="R817" s="94"/>
      <c r="S817" s="94"/>
      <c r="T817" s="94"/>
      <c r="U817" s="94"/>
      <c r="V817" s="94"/>
      <c r="W817" s="94"/>
      <c r="X817" s="94"/>
      <c r="Y817" s="94"/>
      <c r="Z817" s="94"/>
      <c r="AA817" s="94"/>
      <c r="AB817" s="94"/>
      <c r="AC817" s="94"/>
      <c r="AD817" s="94"/>
      <c r="AE817" s="94"/>
      <c r="AF817" s="94"/>
      <c r="AG817" s="94"/>
      <c r="AH817" s="94"/>
      <c r="AI817" s="94"/>
      <c r="AJ817" s="94"/>
      <c r="AK817" s="94"/>
      <c r="AL817" s="94"/>
      <c r="AM817" s="94"/>
      <c r="AN817" s="94"/>
      <c r="AO817" s="94"/>
      <c r="AP817" s="94"/>
      <c r="AQ817" s="94"/>
      <c r="AR817" s="94"/>
      <c r="AS817" s="94"/>
      <c r="AT817" s="94"/>
      <c r="AU817" s="94"/>
      <c r="AV817" s="94"/>
      <c r="AW817" s="94"/>
      <c r="AX817" s="94"/>
      <c r="AY817" s="94"/>
      <c r="AZ817" s="94"/>
      <c r="BA817" s="95"/>
    </row>
    <row r="818" spans="1:53" s="87" customFormat="1">
      <c r="A818" s="90" t="str">
        <f t="shared" si="37"/>
        <v/>
      </c>
      <c r="B818" s="98"/>
      <c r="C818" s="94"/>
      <c r="D818" s="94"/>
      <c r="E818" s="94"/>
      <c r="F818" s="94"/>
      <c r="G818" s="94"/>
      <c r="H818" s="94"/>
      <c r="I818" s="94"/>
      <c r="J818" s="94"/>
      <c r="K818" s="94"/>
      <c r="L818" s="94"/>
      <c r="M818" s="94"/>
      <c r="N818" s="94"/>
      <c r="O818" s="94"/>
      <c r="P818" s="94"/>
      <c r="Q818" s="94"/>
      <c r="R818" s="94"/>
      <c r="S818" s="94"/>
      <c r="T818" s="94"/>
      <c r="U818" s="94"/>
      <c r="V818" s="94"/>
      <c r="W818" s="94"/>
      <c r="X818" s="94"/>
      <c r="Y818" s="94"/>
      <c r="Z818" s="94"/>
      <c r="AA818" s="94"/>
      <c r="AB818" s="94"/>
      <c r="AC818" s="94"/>
      <c r="AD818" s="94"/>
      <c r="AE818" s="94"/>
      <c r="AF818" s="94"/>
      <c r="AG818" s="94"/>
      <c r="AH818" s="94"/>
      <c r="AI818" s="94"/>
      <c r="AJ818" s="94"/>
      <c r="AK818" s="94"/>
      <c r="AL818" s="94"/>
      <c r="AM818" s="94"/>
      <c r="AN818" s="94"/>
      <c r="AO818" s="94"/>
      <c r="AP818" s="94"/>
      <c r="AQ818" s="94"/>
      <c r="AR818" s="94"/>
      <c r="AS818" s="94"/>
      <c r="AT818" s="94"/>
      <c r="AU818" s="94"/>
      <c r="AV818" s="94"/>
      <c r="AW818" s="94"/>
      <c r="AX818" s="94"/>
      <c r="AY818" s="94"/>
      <c r="AZ818" s="94"/>
      <c r="BA818" s="95"/>
    </row>
    <row r="819" spans="1:53" s="87" customFormat="1">
      <c r="A819" s="90" t="str">
        <f t="shared" si="37"/>
        <v/>
      </c>
      <c r="B819" s="98"/>
      <c r="C819" s="94"/>
      <c r="D819" s="94"/>
      <c r="E819" s="94"/>
      <c r="F819" s="94"/>
      <c r="G819" s="94"/>
      <c r="H819" s="94"/>
      <c r="I819" s="94"/>
      <c r="J819" s="94"/>
      <c r="K819" s="94"/>
      <c r="L819" s="94"/>
      <c r="M819" s="94"/>
      <c r="N819" s="94"/>
      <c r="O819" s="94"/>
      <c r="P819" s="94"/>
      <c r="Q819" s="94"/>
      <c r="R819" s="94"/>
      <c r="S819" s="94"/>
      <c r="T819" s="94"/>
      <c r="U819" s="94"/>
      <c r="V819" s="94"/>
      <c r="W819" s="94"/>
      <c r="X819" s="94"/>
      <c r="Y819" s="94"/>
      <c r="Z819" s="94"/>
      <c r="AA819" s="94"/>
      <c r="AB819" s="94"/>
      <c r="AC819" s="94"/>
      <c r="AD819" s="94"/>
      <c r="AE819" s="94"/>
      <c r="AF819" s="94"/>
      <c r="AG819" s="94"/>
      <c r="AH819" s="94"/>
      <c r="AI819" s="94"/>
      <c r="AJ819" s="94"/>
      <c r="AK819" s="94"/>
      <c r="AL819" s="94"/>
      <c r="AM819" s="94"/>
      <c r="AN819" s="94"/>
      <c r="AO819" s="94"/>
      <c r="AP819" s="94"/>
      <c r="AQ819" s="94"/>
      <c r="AR819" s="94"/>
      <c r="AS819" s="94"/>
      <c r="AT819" s="94"/>
      <c r="AU819" s="94"/>
      <c r="AV819" s="94"/>
      <c r="AW819" s="94"/>
      <c r="AX819" s="94"/>
      <c r="AY819" s="94"/>
      <c r="AZ819" s="94"/>
      <c r="BA819" s="95"/>
    </row>
    <row r="820" spans="1:53" s="87" customFormat="1">
      <c r="A820" s="90" t="str">
        <f t="shared" si="37"/>
        <v/>
      </c>
      <c r="B820" s="98"/>
      <c r="C820" s="94"/>
      <c r="D820" s="94"/>
      <c r="E820" s="94"/>
      <c r="F820" s="94"/>
      <c r="G820" s="94"/>
      <c r="H820" s="94"/>
      <c r="I820" s="94"/>
      <c r="J820" s="94"/>
      <c r="K820" s="94"/>
      <c r="L820" s="94"/>
      <c r="M820" s="94"/>
      <c r="N820" s="94"/>
      <c r="O820" s="94"/>
      <c r="P820" s="94"/>
      <c r="Q820" s="94"/>
      <c r="R820" s="94"/>
      <c r="S820" s="94"/>
      <c r="T820" s="94"/>
      <c r="U820" s="94"/>
      <c r="V820" s="94"/>
      <c r="W820" s="94"/>
      <c r="X820" s="94"/>
      <c r="Y820" s="94"/>
      <c r="Z820" s="94"/>
      <c r="AA820" s="94"/>
      <c r="AB820" s="94"/>
      <c r="AC820" s="94"/>
      <c r="AD820" s="94"/>
      <c r="AE820" s="94"/>
      <c r="AF820" s="94"/>
      <c r="AG820" s="94"/>
      <c r="AH820" s="94"/>
      <c r="AI820" s="94"/>
      <c r="AJ820" s="94"/>
      <c r="AK820" s="94"/>
      <c r="AL820" s="94"/>
      <c r="AM820" s="94"/>
      <c r="AN820" s="94"/>
      <c r="AO820" s="94"/>
      <c r="AP820" s="94"/>
      <c r="AQ820" s="94"/>
      <c r="AR820" s="94"/>
      <c r="AS820" s="94"/>
      <c r="AT820" s="94"/>
      <c r="AU820" s="94"/>
      <c r="AV820" s="94"/>
      <c r="AW820" s="94"/>
      <c r="AX820" s="94"/>
      <c r="AY820" s="94"/>
      <c r="AZ820" s="94"/>
      <c r="BA820" s="95"/>
    </row>
    <row r="821" spans="1:53" s="87" customFormat="1">
      <c r="A821" s="90" t="str">
        <f t="shared" si="37"/>
        <v/>
      </c>
      <c r="B821" s="98"/>
      <c r="C821" s="94"/>
      <c r="D821" s="94"/>
      <c r="E821" s="94"/>
      <c r="F821" s="94"/>
      <c r="G821" s="94"/>
      <c r="H821" s="94"/>
      <c r="I821" s="94"/>
      <c r="J821" s="94"/>
      <c r="K821" s="94"/>
      <c r="L821" s="94"/>
      <c r="M821" s="94"/>
      <c r="N821" s="94"/>
      <c r="O821" s="94"/>
      <c r="P821" s="94"/>
      <c r="Q821" s="94"/>
      <c r="R821" s="94"/>
      <c r="S821" s="94"/>
      <c r="T821" s="94"/>
      <c r="U821" s="94"/>
      <c r="V821" s="94"/>
      <c r="W821" s="94"/>
      <c r="X821" s="94"/>
      <c r="Y821" s="94"/>
      <c r="Z821" s="94"/>
      <c r="AA821" s="94"/>
      <c r="AB821" s="94"/>
      <c r="AC821" s="94"/>
      <c r="AD821" s="94"/>
      <c r="AE821" s="94"/>
      <c r="AF821" s="94"/>
      <c r="AG821" s="94"/>
      <c r="AH821" s="94"/>
      <c r="AI821" s="94"/>
      <c r="AJ821" s="94"/>
      <c r="AK821" s="94"/>
      <c r="AL821" s="94"/>
      <c r="AM821" s="94"/>
      <c r="AN821" s="94"/>
      <c r="AO821" s="94"/>
      <c r="AP821" s="94"/>
      <c r="AQ821" s="94"/>
      <c r="AR821" s="94"/>
      <c r="AS821" s="94"/>
      <c r="AT821" s="94"/>
      <c r="AU821" s="94"/>
      <c r="AV821" s="94"/>
      <c r="AW821" s="94"/>
      <c r="AX821" s="94"/>
      <c r="AY821" s="94"/>
      <c r="AZ821" s="94"/>
      <c r="BA821" s="95"/>
    </row>
    <row r="822" spans="1:53" s="87" customFormat="1">
      <c r="A822" s="90" t="str">
        <f t="shared" si="37"/>
        <v/>
      </c>
      <c r="B822" s="98"/>
      <c r="C822" s="94"/>
      <c r="D822" s="94"/>
      <c r="E822" s="94"/>
      <c r="F822" s="94"/>
      <c r="G822" s="94"/>
      <c r="H822" s="94"/>
      <c r="I822" s="94"/>
      <c r="J822" s="94"/>
      <c r="K822" s="94"/>
      <c r="L822" s="94"/>
      <c r="M822" s="94"/>
      <c r="N822" s="94"/>
      <c r="O822" s="94"/>
      <c r="P822" s="94"/>
      <c r="Q822" s="94"/>
      <c r="R822" s="94"/>
      <c r="S822" s="94"/>
      <c r="T822" s="94"/>
      <c r="U822" s="94"/>
      <c r="V822" s="94"/>
      <c r="W822" s="94"/>
      <c r="X822" s="94"/>
      <c r="Y822" s="94"/>
      <c r="Z822" s="94"/>
      <c r="AA822" s="94"/>
      <c r="AB822" s="94"/>
      <c r="AC822" s="94"/>
      <c r="AD822" s="94"/>
      <c r="AE822" s="94"/>
      <c r="AF822" s="94"/>
      <c r="AG822" s="94"/>
      <c r="AH822" s="94"/>
      <c r="AI822" s="94"/>
      <c r="AJ822" s="94"/>
      <c r="AK822" s="94"/>
      <c r="AL822" s="94"/>
      <c r="AM822" s="94"/>
      <c r="AN822" s="94"/>
      <c r="AO822" s="94"/>
      <c r="AP822" s="94"/>
      <c r="AQ822" s="94"/>
      <c r="AR822" s="94"/>
      <c r="AS822" s="94"/>
      <c r="AT822" s="94"/>
      <c r="AU822" s="94"/>
      <c r="AV822" s="94"/>
      <c r="AW822" s="94"/>
      <c r="AX822" s="94"/>
      <c r="AY822" s="94"/>
      <c r="AZ822" s="94"/>
      <c r="BA822" s="95"/>
    </row>
    <row r="823" spans="1:53" s="87" customFormat="1">
      <c r="A823" s="90" t="str">
        <f t="shared" si="37"/>
        <v/>
      </c>
      <c r="B823" s="98"/>
      <c r="C823" s="94"/>
      <c r="D823" s="94"/>
      <c r="E823" s="94"/>
      <c r="F823" s="94"/>
      <c r="G823" s="94"/>
      <c r="H823" s="94"/>
      <c r="I823" s="94"/>
      <c r="J823" s="94"/>
      <c r="K823" s="94"/>
      <c r="L823" s="94"/>
      <c r="M823" s="94"/>
      <c r="N823" s="94"/>
      <c r="O823" s="94"/>
      <c r="P823" s="94"/>
      <c r="Q823" s="94"/>
      <c r="R823" s="94"/>
      <c r="S823" s="94"/>
      <c r="T823" s="94"/>
      <c r="U823" s="94"/>
      <c r="V823" s="94"/>
      <c r="W823" s="94"/>
      <c r="X823" s="94"/>
      <c r="Y823" s="94"/>
      <c r="Z823" s="94"/>
      <c r="AA823" s="94"/>
      <c r="AB823" s="94"/>
      <c r="AC823" s="94"/>
      <c r="AD823" s="94"/>
      <c r="AE823" s="94"/>
      <c r="AF823" s="94"/>
      <c r="AG823" s="94"/>
      <c r="AH823" s="94"/>
      <c r="AI823" s="94"/>
      <c r="AJ823" s="94"/>
      <c r="AK823" s="94"/>
      <c r="AL823" s="94"/>
      <c r="AM823" s="94"/>
      <c r="AN823" s="94"/>
      <c r="AO823" s="94"/>
      <c r="AP823" s="94"/>
      <c r="AQ823" s="94"/>
      <c r="AR823" s="94"/>
      <c r="AS823" s="94"/>
      <c r="AT823" s="94"/>
      <c r="AU823" s="94"/>
      <c r="AV823" s="94"/>
      <c r="AW823" s="94"/>
      <c r="AX823" s="94"/>
      <c r="AY823" s="94"/>
      <c r="AZ823" s="94"/>
      <c r="BA823" s="95"/>
    </row>
    <row r="824" spans="1:53" s="87" customFormat="1">
      <c r="A824" s="90" t="str">
        <f t="shared" si="37"/>
        <v/>
      </c>
      <c r="B824" s="98"/>
      <c r="C824" s="94"/>
      <c r="D824" s="94"/>
      <c r="E824" s="94"/>
      <c r="F824" s="94"/>
      <c r="G824" s="94"/>
      <c r="H824" s="94"/>
      <c r="I824" s="94"/>
      <c r="J824" s="94"/>
      <c r="K824" s="94"/>
      <c r="L824" s="94"/>
      <c r="M824" s="94"/>
      <c r="N824" s="94"/>
      <c r="O824" s="94"/>
      <c r="P824" s="94"/>
      <c r="Q824" s="94"/>
      <c r="R824" s="94"/>
      <c r="S824" s="94"/>
      <c r="T824" s="94"/>
      <c r="U824" s="94"/>
      <c r="V824" s="94"/>
      <c r="W824" s="94"/>
      <c r="X824" s="94"/>
      <c r="Y824" s="94"/>
      <c r="Z824" s="94"/>
      <c r="AA824" s="94"/>
      <c r="AB824" s="94"/>
      <c r="AC824" s="94"/>
      <c r="AD824" s="94"/>
      <c r="AE824" s="94"/>
      <c r="AF824" s="94"/>
      <c r="AG824" s="94"/>
      <c r="AH824" s="94"/>
      <c r="AI824" s="94"/>
      <c r="AJ824" s="94"/>
      <c r="AK824" s="94"/>
      <c r="AL824" s="94"/>
      <c r="AM824" s="94"/>
      <c r="AN824" s="94"/>
      <c r="AO824" s="94"/>
      <c r="AP824" s="94"/>
      <c r="AQ824" s="94"/>
      <c r="AR824" s="94"/>
      <c r="AS824" s="94"/>
      <c r="AT824" s="94"/>
      <c r="AU824" s="94"/>
      <c r="AV824" s="94"/>
      <c r="AW824" s="94"/>
      <c r="AX824" s="94"/>
      <c r="AY824" s="94"/>
      <c r="AZ824" s="94"/>
      <c r="BA824" s="95"/>
    </row>
    <row r="825" spans="1:53" s="87" customFormat="1">
      <c r="A825" s="90" t="str">
        <f t="shared" si="37"/>
        <v/>
      </c>
      <c r="B825" s="98"/>
      <c r="C825" s="94"/>
      <c r="D825" s="94"/>
      <c r="E825" s="94"/>
      <c r="F825" s="94"/>
      <c r="G825" s="94"/>
      <c r="H825" s="94"/>
      <c r="I825" s="94"/>
      <c r="J825" s="94"/>
      <c r="K825" s="94"/>
      <c r="L825" s="94"/>
      <c r="M825" s="94"/>
      <c r="N825" s="94"/>
      <c r="O825" s="94"/>
      <c r="P825" s="94"/>
      <c r="Q825" s="94"/>
      <c r="R825" s="94"/>
      <c r="S825" s="94"/>
      <c r="T825" s="94"/>
      <c r="U825" s="94"/>
      <c r="V825" s="94"/>
      <c r="W825" s="94"/>
      <c r="X825" s="94"/>
      <c r="Y825" s="94"/>
      <c r="Z825" s="94"/>
      <c r="AA825" s="94"/>
      <c r="AB825" s="94"/>
      <c r="AC825" s="94"/>
      <c r="AD825" s="94"/>
      <c r="AE825" s="94"/>
      <c r="AF825" s="94"/>
      <c r="AG825" s="94"/>
      <c r="AH825" s="94"/>
      <c r="AI825" s="94"/>
      <c r="AJ825" s="94"/>
      <c r="AK825" s="94"/>
      <c r="AL825" s="94"/>
      <c r="AM825" s="94"/>
      <c r="AN825" s="94"/>
      <c r="AO825" s="94"/>
      <c r="AP825" s="94"/>
      <c r="AQ825" s="94"/>
      <c r="AR825" s="94"/>
      <c r="AS825" s="94"/>
      <c r="AT825" s="94"/>
      <c r="AU825" s="94"/>
      <c r="AV825" s="94"/>
      <c r="AW825" s="94"/>
      <c r="AX825" s="94"/>
      <c r="AY825" s="94"/>
      <c r="AZ825" s="94"/>
      <c r="BA825" s="95"/>
    </row>
    <row r="826" spans="1:53" s="87" customFormat="1">
      <c r="A826" s="90" t="str">
        <f t="shared" si="37"/>
        <v/>
      </c>
      <c r="B826" s="98"/>
      <c r="C826" s="94"/>
      <c r="D826" s="94"/>
      <c r="E826" s="94"/>
      <c r="F826" s="94"/>
      <c r="G826" s="94"/>
      <c r="H826" s="94"/>
      <c r="I826" s="94"/>
      <c r="J826" s="94"/>
      <c r="K826" s="94"/>
      <c r="L826" s="94"/>
      <c r="M826" s="94"/>
      <c r="N826" s="94"/>
      <c r="O826" s="94"/>
      <c r="P826" s="94"/>
      <c r="Q826" s="94"/>
      <c r="R826" s="94"/>
      <c r="S826" s="94"/>
      <c r="T826" s="94"/>
      <c r="U826" s="94"/>
      <c r="V826" s="94"/>
      <c r="W826" s="94"/>
      <c r="X826" s="94"/>
      <c r="Y826" s="94"/>
      <c r="Z826" s="94"/>
      <c r="AA826" s="94"/>
      <c r="AB826" s="94"/>
      <c r="AC826" s="94"/>
      <c r="AD826" s="94"/>
      <c r="AE826" s="94"/>
      <c r="AF826" s="94"/>
      <c r="AG826" s="94"/>
      <c r="AH826" s="94"/>
      <c r="AI826" s="94"/>
      <c r="AJ826" s="94"/>
      <c r="AK826" s="94"/>
      <c r="AL826" s="94"/>
      <c r="AM826" s="94"/>
      <c r="AN826" s="94"/>
      <c r="AO826" s="94"/>
      <c r="AP826" s="94"/>
      <c r="AQ826" s="94"/>
      <c r="AR826" s="94"/>
      <c r="AS826" s="94"/>
      <c r="AT826" s="94"/>
      <c r="AU826" s="94"/>
      <c r="AV826" s="94"/>
      <c r="AW826" s="94"/>
      <c r="AX826" s="94"/>
      <c r="AY826" s="94"/>
      <c r="AZ826" s="94"/>
      <c r="BA826" s="95"/>
    </row>
    <row r="827" spans="1:53" s="87" customFormat="1">
      <c r="A827" s="90" t="str">
        <f t="shared" si="37"/>
        <v/>
      </c>
      <c r="B827" s="98"/>
      <c r="C827" s="94"/>
      <c r="D827" s="94"/>
      <c r="E827" s="94"/>
      <c r="F827" s="94"/>
      <c r="G827" s="94"/>
      <c r="H827" s="94"/>
      <c r="I827" s="94"/>
      <c r="J827" s="94"/>
      <c r="K827" s="94"/>
      <c r="L827" s="94"/>
      <c r="M827" s="94"/>
      <c r="N827" s="94"/>
      <c r="O827" s="94"/>
      <c r="P827" s="94"/>
      <c r="Q827" s="94"/>
      <c r="R827" s="94"/>
      <c r="S827" s="94"/>
      <c r="T827" s="94"/>
      <c r="U827" s="94"/>
      <c r="V827" s="94"/>
      <c r="W827" s="94"/>
      <c r="X827" s="94"/>
      <c r="Y827" s="94"/>
      <c r="Z827" s="94"/>
      <c r="AA827" s="94"/>
      <c r="AB827" s="94"/>
      <c r="AC827" s="94"/>
      <c r="AD827" s="94"/>
      <c r="AE827" s="94"/>
      <c r="AF827" s="94"/>
      <c r="AG827" s="94"/>
      <c r="AH827" s="94"/>
      <c r="AI827" s="94"/>
      <c r="AJ827" s="94"/>
      <c r="AK827" s="94"/>
      <c r="AL827" s="94"/>
      <c r="AM827" s="94"/>
      <c r="AN827" s="94"/>
      <c r="AO827" s="94"/>
      <c r="AP827" s="94"/>
      <c r="AQ827" s="94"/>
      <c r="AR827" s="94"/>
      <c r="AS827" s="94"/>
      <c r="AT827" s="94"/>
      <c r="AU827" s="94"/>
      <c r="AV827" s="94"/>
      <c r="AW827" s="94"/>
      <c r="AX827" s="94"/>
      <c r="AY827" s="94"/>
      <c r="AZ827" s="94"/>
      <c r="BA827" s="95"/>
    </row>
    <row r="828" spans="1:53" s="87" customFormat="1">
      <c r="A828" s="90" t="str">
        <f t="shared" si="37"/>
        <v/>
      </c>
      <c r="B828" s="98"/>
      <c r="C828" s="94"/>
      <c r="D828" s="94"/>
      <c r="E828" s="94"/>
      <c r="F828" s="94"/>
      <c r="G828" s="94"/>
      <c r="H828" s="94"/>
      <c r="I828" s="94"/>
      <c r="J828" s="94"/>
      <c r="K828" s="94"/>
      <c r="L828" s="94"/>
      <c r="M828" s="94"/>
      <c r="N828" s="94"/>
      <c r="O828" s="94"/>
      <c r="P828" s="94"/>
      <c r="Q828" s="94"/>
      <c r="R828" s="94"/>
      <c r="S828" s="94"/>
      <c r="T828" s="94"/>
      <c r="U828" s="94"/>
      <c r="V828" s="94"/>
      <c r="W828" s="94"/>
      <c r="X828" s="94"/>
      <c r="Y828" s="94"/>
      <c r="Z828" s="94"/>
      <c r="AA828" s="94"/>
      <c r="AB828" s="94"/>
      <c r="AC828" s="94"/>
      <c r="AD828" s="94"/>
      <c r="AE828" s="94"/>
      <c r="AF828" s="94"/>
      <c r="AG828" s="94"/>
      <c r="AH828" s="94"/>
      <c r="AI828" s="94"/>
      <c r="AJ828" s="94"/>
      <c r="AK828" s="94"/>
      <c r="AL828" s="94"/>
      <c r="AM828" s="94"/>
      <c r="AN828" s="94"/>
      <c r="AO828" s="94"/>
      <c r="AP828" s="94"/>
      <c r="AQ828" s="94"/>
      <c r="AR828" s="94"/>
      <c r="AS828" s="94"/>
      <c r="AT828" s="94"/>
      <c r="AU828" s="94"/>
      <c r="AV828" s="94"/>
      <c r="AW828" s="94"/>
      <c r="AX828" s="94"/>
      <c r="AY828" s="94"/>
      <c r="AZ828" s="94"/>
      <c r="BA828" s="95"/>
    </row>
    <row r="829" spans="1:53" s="87" customFormat="1">
      <c r="A829" s="90" t="str">
        <f t="shared" si="37"/>
        <v/>
      </c>
      <c r="B829" s="98"/>
      <c r="C829" s="94"/>
      <c r="D829" s="94"/>
      <c r="E829" s="94"/>
      <c r="F829" s="94"/>
      <c r="G829" s="94"/>
      <c r="H829" s="94"/>
      <c r="I829" s="94"/>
      <c r="J829" s="94"/>
      <c r="K829" s="94"/>
      <c r="L829" s="94"/>
      <c r="M829" s="94"/>
      <c r="N829" s="94"/>
      <c r="O829" s="94"/>
      <c r="P829" s="94"/>
      <c r="Q829" s="94"/>
      <c r="R829" s="94"/>
      <c r="S829" s="94"/>
      <c r="T829" s="94"/>
      <c r="U829" s="94"/>
      <c r="V829" s="94"/>
      <c r="W829" s="94"/>
      <c r="X829" s="94"/>
      <c r="Y829" s="94"/>
      <c r="Z829" s="94"/>
      <c r="AA829" s="94"/>
      <c r="AB829" s="94"/>
      <c r="AC829" s="94"/>
      <c r="AD829" s="94"/>
      <c r="AE829" s="94"/>
      <c r="AF829" s="94"/>
      <c r="AG829" s="94"/>
      <c r="AH829" s="94"/>
      <c r="AI829" s="94"/>
      <c r="AJ829" s="94"/>
      <c r="AK829" s="94"/>
      <c r="AL829" s="94"/>
      <c r="AM829" s="94"/>
      <c r="AN829" s="94"/>
      <c r="AO829" s="94"/>
      <c r="AP829" s="94"/>
      <c r="AQ829" s="94"/>
      <c r="AR829" s="94"/>
      <c r="AS829" s="94"/>
      <c r="AT829" s="94"/>
      <c r="AU829" s="94"/>
      <c r="AV829" s="94"/>
      <c r="AW829" s="94"/>
      <c r="AX829" s="94"/>
      <c r="AY829" s="94"/>
      <c r="AZ829" s="94"/>
      <c r="BA829" s="95"/>
    </row>
    <row r="830" spans="1:53" s="87" customFormat="1">
      <c r="A830" s="90" t="str">
        <f t="shared" si="37"/>
        <v/>
      </c>
      <c r="B830" s="98"/>
      <c r="C830" s="94"/>
      <c r="D830" s="94"/>
      <c r="E830" s="94"/>
      <c r="F830" s="94"/>
      <c r="G830" s="94"/>
      <c r="H830" s="94"/>
      <c r="I830" s="94"/>
      <c r="J830" s="94"/>
      <c r="K830" s="94"/>
      <c r="L830" s="94"/>
      <c r="M830" s="94"/>
      <c r="N830" s="94"/>
      <c r="O830" s="94"/>
      <c r="P830" s="94"/>
      <c r="Q830" s="94"/>
      <c r="R830" s="94"/>
      <c r="S830" s="94"/>
      <c r="T830" s="94"/>
      <c r="U830" s="94"/>
      <c r="V830" s="94"/>
      <c r="W830" s="94"/>
      <c r="X830" s="94"/>
      <c r="Y830" s="94"/>
      <c r="Z830" s="94"/>
      <c r="AA830" s="94"/>
      <c r="AB830" s="94"/>
      <c r="AC830" s="94"/>
      <c r="AD830" s="94"/>
      <c r="AE830" s="94"/>
      <c r="AF830" s="94"/>
      <c r="AG830" s="94"/>
      <c r="AH830" s="94"/>
      <c r="AI830" s="94"/>
      <c r="AJ830" s="94"/>
      <c r="AK830" s="94"/>
      <c r="AL830" s="94"/>
      <c r="AM830" s="94"/>
      <c r="AN830" s="94"/>
      <c r="AO830" s="94"/>
      <c r="AP830" s="94"/>
      <c r="AQ830" s="94"/>
      <c r="AR830" s="94"/>
      <c r="AS830" s="94"/>
      <c r="AT830" s="94"/>
      <c r="AU830" s="94"/>
      <c r="AV830" s="94"/>
      <c r="AW830" s="94"/>
      <c r="AX830" s="94"/>
      <c r="AY830" s="94"/>
      <c r="AZ830" s="94"/>
      <c r="BA830" s="95"/>
    </row>
    <row r="831" spans="1:53" s="87" customFormat="1">
      <c r="A831" s="90" t="str">
        <f t="shared" si="37"/>
        <v/>
      </c>
      <c r="B831" s="98"/>
      <c r="C831" s="94"/>
      <c r="D831" s="94"/>
      <c r="E831" s="94"/>
      <c r="F831" s="94"/>
      <c r="G831" s="94"/>
      <c r="H831" s="94"/>
      <c r="I831" s="94"/>
      <c r="J831" s="94"/>
      <c r="K831" s="94"/>
      <c r="L831" s="94"/>
      <c r="M831" s="94"/>
      <c r="N831" s="94"/>
      <c r="O831" s="94"/>
      <c r="P831" s="94"/>
      <c r="Q831" s="94"/>
      <c r="R831" s="94"/>
      <c r="S831" s="94"/>
      <c r="T831" s="94"/>
      <c r="U831" s="94"/>
      <c r="V831" s="94"/>
      <c r="W831" s="94"/>
      <c r="X831" s="94"/>
      <c r="Y831" s="94"/>
      <c r="Z831" s="94"/>
      <c r="AA831" s="94"/>
      <c r="AB831" s="94"/>
      <c r="AC831" s="94"/>
      <c r="AD831" s="94"/>
      <c r="AE831" s="94"/>
      <c r="AF831" s="94"/>
      <c r="AG831" s="94"/>
      <c r="AH831" s="94"/>
      <c r="AI831" s="94"/>
      <c r="AJ831" s="94"/>
      <c r="AK831" s="94"/>
      <c r="AL831" s="94"/>
      <c r="AM831" s="94"/>
      <c r="AN831" s="94"/>
      <c r="AO831" s="94"/>
      <c r="AP831" s="94"/>
      <c r="AQ831" s="94"/>
      <c r="AR831" s="94"/>
      <c r="AS831" s="94"/>
      <c r="AT831" s="94"/>
      <c r="AU831" s="94"/>
      <c r="AV831" s="94"/>
      <c r="AW831" s="94"/>
      <c r="AX831" s="94"/>
      <c r="AY831" s="94"/>
      <c r="AZ831" s="94"/>
      <c r="BA831" s="95"/>
    </row>
    <row r="832" spans="1:53" s="87" customFormat="1">
      <c r="A832" s="90" t="str">
        <f t="shared" si="37"/>
        <v/>
      </c>
      <c r="B832" s="98"/>
      <c r="C832" s="94"/>
      <c r="D832" s="94"/>
      <c r="E832" s="94"/>
      <c r="F832" s="94"/>
      <c r="G832" s="94"/>
      <c r="H832" s="94"/>
      <c r="I832" s="94"/>
      <c r="J832" s="94"/>
      <c r="K832" s="94"/>
      <c r="L832" s="94"/>
      <c r="M832" s="94"/>
      <c r="N832" s="94"/>
      <c r="O832" s="94"/>
      <c r="P832" s="94"/>
      <c r="Q832" s="94"/>
      <c r="R832" s="94"/>
      <c r="S832" s="94"/>
      <c r="T832" s="94"/>
      <c r="U832" s="94"/>
      <c r="V832" s="94"/>
      <c r="W832" s="94"/>
      <c r="X832" s="94"/>
      <c r="Y832" s="94"/>
      <c r="Z832" s="94"/>
      <c r="AA832" s="94"/>
      <c r="AB832" s="94"/>
      <c r="AC832" s="94"/>
      <c r="AD832" s="94"/>
      <c r="AE832" s="94"/>
      <c r="AF832" s="94"/>
      <c r="AG832" s="94"/>
      <c r="AH832" s="94"/>
      <c r="AI832" s="94"/>
      <c r="AJ832" s="94"/>
      <c r="AK832" s="94"/>
      <c r="AL832" s="94"/>
      <c r="AM832" s="94"/>
      <c r="AN832" s="94"/>
      <c r="AO832" s="94"/>
      <c r="AP832" s="94"/>
      <c r="AQ832" s="94"/>
      <c r="AR832" s="94"/>
      <c r="AS832" s="94"/>
      <c r="AT832" s="94"/>
      <c r="AU832" s="94"/>
      <c r="AV832" s="94"/>
      <c r="AW832" s="94"/>
      <c r="AX832" s="94"/>
      <c r="AY832" s="94"/>
      <c r="AZ832" s="94"/>
      <c r="BA832" s="95"/>
    </row>
    <row r="833" spans="1:53" s="87" customFormat="1">
      <c r="A833" s="90" t="str">
        <f t="shared" si="37"/>
        <v/>
      </c>
      <c r="B833" s="98"/>
      <c r="C833" s="94"/>
      <c r="D833" s="94"/>
      <c r="E833" s="94"/>
      <c r="F833" s="94"/>
      <c r="G833" s="94"/>
      <c r="H833" s="94"/>
      <c r="I833" s="94"/>
      <c r="J833" s="94"/>
      <c r="K833" s="94"/>
      <c r="L833" s="94"/>
      <c r="M833" s="94"/>
      <c r="N833" s="94"/>
      <c r="O833" s="94"/>
      <c r="P833" s="94"/>
      <c r="Q833" s="94"/>
      <c r="R833" s="94"/>
      <c r="S833" s="94"/>
      <c r="T833" s="94"/>
      <c r="U833" s="94"/>
      <c r="V833" s="94"/>
      <c r="W833" s="94"/>
      <c r="X833" s="94"/>
      <c r="Y833" s="94"/>
      <c r="Z833" s="94"/>
      <c r="AA833" s="94"/>
      <c r="AB833" s="94"/>
      <c r="AC833" s="94"/>
      <c r="AD833" s="94"/>
      <c r="AE833" s="94"/>
      <c r="AF833" s="94"/>
      <c r="AG833" s="94"/>
      <c r="AH833" s="94"/>
      <c r="AI833" s="94"/>
      <c r="AJ833" s="94"/>
      <c r="AK833" s="94"/>
      <c r="AL833" s="94"/>
      <c r="AM833" s="94"/>
      <c r="AN833" s="94"/>
      <c r="AO833" s="94"/>
      <c r="AP833" s="94"/>
      <c r="AQ833" s="94"/>
      <c r="AR833" s="94"/>
      <c r="AS833" s="94"/>
      <c r="AT833" s="94"/>
      <c r="AU833" s="94"/>
      <c r="AV833" s="94"/>
      <c r="AW833" s="94"/>
      <c r="AX833" s="94"/>
      <c r="AY833" s="94"/>
      <c r="AZ833" s="94"/>
      <c r="BA833" s="95"/>
    </row>
    <row r="834" spans="1:53" s="87" customFormat="1">
      <c r="A834" s="90" t="str">
        <f t="shared" si="37"/>
        <v/>
      </c>
      <c r="B834" s="98"/>
      <c r="C834" s="94"/>
      <c r="D834" s="94"/>
      <c r="E834" s="94"/>
      <c r="F834" s="94"/>
      <c r="G834" s="94"/>
      <c r="H834" s="94"/>
      <c r="I834" s="94"/>
      <c r="J834" s="94"/>
      <c r="K834" s="94"/>
      <c r="L834" s="94"/>
      <c r="M834" s="94"/>
      <c r="N834" s="94"/>
      <c r="O834" s="94"/>
      <c r="P834" s="94"/>
      <c r="Q834" s="94"/>
      <c r="R834" s="94"/>
      <c r="S834" s="94"/>
      <c r="T834" s="94"/>
      <c r="U834" s="94"/>
      <c r="V834" s="94"/>
      <c r="W834" s="94"/>
      <c r="X834" s="94"/>
      <c r="Y834" s="94"/>
      <c r="Z834" s="94"/>
      <c r="AA834" s="94"/>
      <c r="AB834" s="94"/>
      <c r="AC834" s="94"/>
      <c r="AD834" s="94"/>
      <c r="AE834" s="94"/>
      <c r="AF834" s="94"/>
      <c r="AG834" s="94"/>
      <c r="AH834" s="94"/>
      <c r="AI834" s="94"/>
      <c r="AJ834" s="94"/>
      <c r="AK834" s="94"/>
      <c r="AL834" s="94"/>
      <c r="AM834" s="94"/>
      <c r="AN834" s="94"/>
      <c r="AO834" s="94"/>
      <c r="AP834" s="94"/>
      <c r="AQ834" s="94"/>
      <c r="AR834" s="94"/>
      <c r="AS834" s="94"/>
      <c r="AT834" s="94"/>
      <c r="AU834" s="94"/>
      <c r="AV834" s="94"/>
      <c r="AW834" s="94"/>
      <c r="AX834" s="94"/>
      <c r="AY834" s="94"/>
      <c r="AZ834" s="94"/>
      <c r="BA834" s="95"/>
    </row>
    <row r="835" spans="1:53" s="87" customFormat="1">
      <c r="A835" s="90" t="str">
        <f t="shared" si="37"/>
        <v/>
      </c>
      <c r="B835" s="98"/>
      <c r="C835" s="94"/>
      <c r="D835" s="94"/>
      <c r="E835" s="94"/>
      <c r="F835" s="94"/>
      <c r="G835" s="94"/>
      <c r="H835" s="94"/>
      <c r="I835" s="94"/>
      <c r="J835" s="94"/>
      <c r="K835" s="94"/>
      <c r="L835" s="94"/>
      <c r="M835" s="94"/>
      <c r="N835" s="94"/>
      <c r="O835" s="94"/>
      <c r="P835" s="94"/>
      <c r="Q835" s="94"/>
      <c r="R835" s="94"/>
      <c r="S835" s="94"/>
      <c r="T835" s="94"/>
      <c r="U835" s="94"/>
      <c r="V835" s="94"/>
      <c r="W835" s="94"/>
      <c r="X835" s="94"/>
      <c r="Y835" s="94"/>
      <c r="Z835" s="94"/>
      <c r="AA835" s="94"/>
      <c r="AB835" s="94"/>
      <c r="AC835" s="94"/>
      <c r="AD835" s="94"/>
      <c r="AE835" s="94"/>
      <c r="AF835" s="94"/>
      <c r="AG835" s="94"/>
      <c r="AH835" s="94"/>
      <c r="AI835" s="94"/>
      <c r="AJ835" s="94"/>
      <c r="AK835" s="94"/>
      <c r="AL835" s="94"/>
      <c r="AM835" s="94"/>
      <c r="AN835" s="94"/>
      <c r="AO835" s="94"/>
      <c r="AP835" s="94"/>
      <c r="AQ835" s="94"/>
      <c r="AR835" s="94"/>
      <c r="AS835" s="94"/>
      <c r="AT835" s="94"/>
      <c r="AU835" s="94"/>
      <c r="AV835" s="94"/>
      <c r="AW835" s="94"/>
      <c r="AX835" s="94"/>
      <c r="AY835" s="94"/>
      <c r="AZ835" s="94"/>
      <c r="BA835" s="95"/>
    </row>
    <row r="836" spans="1:53" s="87" customFormat="1">
      <c r="A836" s="90" t="str">
        <f t="shared" si="37"/>
        <v/>
      </c>
      <c r="B836" s="98"/>
      <c r="C836" s="94"/>
      <c r="D836" s="94"/>
      <c r="E836" s="94"/>
      <c r="F836" s="94"/>
      <c r="G836" s="94"/>
      <c r="H836" s="94"/>
      <c r="I836" s="94"/>
      <c r="J836" s="94"/>
      <c r="K836" s="94"/>
      <c r="L836" s="94"/>
      <c r="M836" s="94"/>
      <c r="N836" s="94"/>
      <c r="O836" s="94"/>
      <c r="P836" s="94"/>
      <c r="Q836" s="94"/>
      <c r="R836" s="94"/>
      <c r="S836" s="94"/>
      <c r="T836" s="94"/>
      <c r="U836" s="94"/>
      <c r="V836" s="94"/>
      <c r="W836" s="94"/>
      <c r="X836" s="94"/>
      <c r="Y836" s="94"/>
      <c r="Z836" s="94"/>
      <c r="AA836" s="94"/>
      <c r="AB836" s="94"/>
      <c r="AC836" s="94"/>
      <c r="AD836" s="94"/>
      <c r="AE836" s="94"/>
      <c r="AF836" s="94"/>
      <c r="AG836" s="94"/>
      <c r="AH836" s="94"/>
      <c r="AI836" s="94"/>
      <c r="AJ836" s="94"/>
      <c r="AK836" s="94"/>
      <c r="AL836" s="94"/>
      <c r="AM836" s="94"/>
      <c r="AN836" s="94"/>
      <c r="AO836" s="94"/>
      <c r="AP836" s="94"/>
      <c r="AQ836" s="94"/>
      <c r="AR836" s="94"/>
      <c r="AS836" s="94"/>
      <c r="AT836" s="94"/>
      <c r="AU836" s="94"/>
      <c r="AV836" s="94"/>
      <c r="AW836" s="94"/>
      <c r="AX836" s="94"/>
      <c r="AY836" s="94"/>
      <c r="AZ836" s="94"/>
      <c r="BA836" s="95"/>
    </row>
    <row r="837" spans="1:53" s="87" customFormat="1">
      <c r="A837" s="90" t="str">
        <f t="shared" si="37"/>
        <v/>
      </c>
      <c r="B837" s="98"/>
      <c r="C837" s="94"/>
      <c r="D837" s="94"/>
      <c r="E837" s="94"/>
      <c r="F837" s="94"/>
      <c r="G837" s="94"/>
      <c r="H837" s="94"/>
      <c r="I837" s="94"/>
      <c r="J837" s="94"/>
      <c r="K837" s="94"/>
      <c r="L837" s="94"/>
      <c r="M837" s="94"/>
      <c r="N837" s="94"/>
      <c r="O837" s="94"/>
      <c r="P837" s="94"/>
      <c r="Q837" s="94"/>
      <c r="R837" s="94"/>
      <c r="S837" s="94"/>
      <c r="T837" s="94"/>
      <c r="U837" s="94"/>
      <c r="V837" s="94"/>
      <c r="W837" s="94"/>
      <c r="X837" s="94"/>
      <c r="Y837" s="94"/>
      <c r="Z837" s="94"/>
      <c r="AA837" s="94"/>
      <c r="AB837" s="94"/>
      <c r="AC837" s="94"/>
      <c r="AD837" s="94"/>
      <c r="AE837" s="94"/>
      <c r="AF837" s="94"/>
      <c r="AG837" s="94"/>
      <c r="AH837" s="94"/>
      <c r="AI837" s="94"/>
      <c r="AJ837" s="94"/>
      <c r="AK837" s="94"/>
      <c r="AL837" s="94"/>
      <c r="AM837" s="94"/>
      <c r="AN837" s="94"/>
      <c r="AO837" s="94"/>
      <c r="AP837" s="94"/>
      <c r="AQ837" s="94"/>
      <c r="AR837" s="94"/>
      <c r="AS837" s="94"/>
      <c r="AT837" s="94"/>
      <c r="AU837" s="94"/>
      <c r="AV837" s="94"/>
      <c r="AW837" s="94"/>
      <c r="AX837" s="94"/>
      <c r="AY837" s="94"/>
      <c r="AZ837" s="94"/>
      <c r="BA837" s="95"/>
    </row>
    <row r="838" spans="1:53" s="87" customFormat="1">
      <c r="A838" s="90" t="str">
        <f t="shared" si="37"/>
        <v/>
      </c>
      <c r="B838" s="98"/>
      <c r="C838" s="94"/>
      <c r="D838" s="94"/>
      <c r="E838" s="94"/>
      <c r="F838" s="94"/>
      <c r="G838" s="94"/>
      <c r="H838" s="94"/>
      <c r="I838" s="94"/>
      <c r="J838" s="94"/>
      <c r="K838" s="94"/>
      <c r="L838" s="94"/>
      <c r="M838" s="94"/>
      <c r="N838" s="94"/>
      <c r="O838" s="94"/>
      <c r="P838" s="94"/>
      <c r="Q838" s="94"/>
      <c r="R838" s="94"/>
      <c r="S838" s="94"/>
      <c r="T838" s="94"/>
      <c r="U838" s="94"/>
      <c r="V838" s="94"/>
      <c r="W838" s="94"/>
      <c r="X838" s="94"/>
      <c r="Y838" s="94"/>
      <c r="Z838" s="94"/>
      <c r="AA838" s="94"/>
      <c r="AB838" s="94"/>
      <c r="AC838" s="94"/>
      <c r="AD838" s="94"/>
      <c r="AE838" s="94"/>
      <c r="AF838" s="94"/>
      <c r="AG838" s="94"/>
      <c r="AH838" s="94"/>
      <c r="AI838" s="94"/>
      <c r="AJ838" s="94"/>
      <c r="AK838" s="94"/>
      <c r="AL838" s="94"/>
      <c r="AM838" s="94"/>
      <c r="AN838" s="94"/>
      <c r="AO838" s="94"/>
      <c r="AP838" s="94"/>
      <c r="AQ838" s="94"/>
      <c r="AR838" s="94"/>
      <c r="AS838" s="94"/>
      <c r="AT838" s="94"/>
      <c r="AU838" s="94"/>
      <c r="AV838" s="94"/>
      <c r="AW838" s="94"/>
      <c r="AX838" s="94"/>
      <c r="AY838" s="94"/>
      <c r="AZ838" s="94"/>
      <c r="BA838" s="95"/>
    </row>
    <row r="839" spans="1:53" s="87" customFormat="1">
      <c r="A839" s="90" t="str">
        <f t="shared" si="37"/>
        <v/>
      </c>
      <c r="B839" s="98"/>
      <c r="C839" s="94"/>
      <c r="D839" s="94"/>
      <c r="E839" s="94"/>
      <c r="F839" s="94"/>
      <c r="G839" s="94"/>
      <c r="H839" s="94"/>
      <c r="I839" s="94"/>
      <c r="J839" s="94"/>
      <c r="K839" s="94"/>
      <c r="L839" s="94"/>
      <c r="M839" s="94"/>
      <c r="N839" s="94"/>
      <c r="O839" s="94"/>
      <c r="P839" s="94"/>
      <c r="Q839" s="94"/>
      <c r="R839" s="94"/>
      <c r="S839" s="94"/>
      <c r="T839" s="94"/>
      <c r="U839" s="94"/>
      <c r="V839" s="94"/>
      <c r="W839" s="94"/>
      <c r="X839" s="94"/>
      <c r="Y839" s="94"/>
      <c r="Z839" s="94"/>
      <c r="AA839" s="94"/>
      <c r="AB839" s="94"/>
      <c r="AC839" s="94"/>
      <c r="AD839" s="94"/>
      <c r="AE839" s="94"/>
      <c r="AF839" s="94"/>
      <c r="AG839" s="94"/>
      <c r="AH839" s="94"/>
      <c r="AI839" s="94"/>
      <c r="AJ839" s="94"/>
      <c r="AK839" s="94"/>
      <c r="AL839" s="94"/>
      <c r="AM839" s="94"/>
      <c r="AN839" s="94"/>
      <c r="AO839" s="94"/>
      <c r="AP839" s="94"/>
      <c r="AQ839" s="94"/>
      <c r="AR839" s="94"/>
      <c r="AS839" s="94"/>
      <c r="AT839" s="94"/>
      <c r="AU839" s="94"/>
      <c r="AV839" s="94"/>
      <c r="AW839" s="94"/>
      <c r="AX839" s="94"/>
      <c r="AY839" s="94"/>
      <c r="AZ839" s="94"/>
      <c r="BA839" s="95"/>
    </row>
    <row r="840" spans="1:53" s="87" customFormat="1">
      <c r="A840" s="90" t="str">
        <f t="shared" si="37"/>
        <v/>
      </c>
      <c r="B840" s="98"/>
      <c r="C840" s="94"/>
      <c r="D840" s="94"/>
      <c r="E840" s="94"/>
      <c r="F840" s="94"/>
      <c r="G840" s="94"/>
      <c r="H840" s="94"/>
      <c r="I840" s="94"/>
      <c r="J840" s="94"/>
      <c r="K840" s="94"/>
      <c r="L840" s="94"/>
      <c r="M840" s="94"/>
      <c r="N840" s="94"/>
      <c r="O840" s="94"/>
      <c r="P840" s="94"/>
      <c r="Q840" s="94"/>
      <c r="R840" s="94"/>
      <c r="S840" s="94"/>
      <c r="T840" s="94"/>
      <c r="U840" s="94"/>
      <c r="V840" s="94"/>
      <c r="W840" s="94"/>
      <c r="X840" s="94"/>
      <c r="Y840" s="94"/>
      <c r="Z840" s="94"/>
      <c r="AA840" s="94"/>
      <c r="AB840" s="94"/>
      <c r="AC840" s="94"/>
      <c r="AD840" s="94"/>
      <c r="AE840" s="94"/>
      <c r="AF840" s="94"/>
      <c r="AG840" s="94"/>
      <c r="AH840" s="94"/>
      <c r="AI840" s="94"/>
      <c r="AJ840" s="94"/>
      <c r="AK840" s="94"/>
      <c r="AL840" s="94"/>
      <c r="AM840" s="94"/>
      <c r="AN840" s="94"/>
      <c r="AO840" s="94"/>
      <c r="AP840" s="94"/>
      <c r="AQ840" s="94"/>
      <c r="AR840" s="94"/>
      <c r="AS840" s="94"/>
      <c r="AT840" s="94"/>
      <c r="AU840" s="94"/>
      <c r="AV840" s="94"/>
      <c r="AW840" s="94"/>
      <c r="AX840" s="94"/>
      <c r="AY840" s="94"/>
      <c r="AZ840" s="94"/>
      <c r="BA840" s="95"/>
    </row>
    <row r="841" spans="1:53" s="87" customFormat="1">
      <c r="A841" s="90" t="str">
        <f t="shared" si="37"/>
        <v/>
      </c>
      <c r="B841" s="98"/>
      <c r="C841" s="94"/>
      <c r="D841" s="94"/>
      <c r="E841" s="94"/>
      <c r="F841" s="94"/>
      <c r="G841" s="94"/>
      <c r="H841" s="94"/>
      <c r="I841" s="94"/>
      <c r="J841" s="94"/>
      <c r="K841" s="94"/>
      <c r="L841" s="94"/>
      <c r="M841" s="94"/>
      <c r="N841" s="94"/>
      <c r="O841" s="94"/>
      <c r="P841" s="94"/>
      <c r="Q841" s="94"/>
      <c r="R841" s="94"/>
      <c r="S841" s="94"/>
      <c r="T841" s="94"/>
      <c r="U841" s="94"/>
      <c r="V841" s="94"/>
      <c r="W841" s="94"/>
      <c r="X841" s="94"/>
      <c r="Y841" s="94"/>
      <c r="Z841" s="94"/>
      <c r="AA841" s="94"/>
      <c r="AB841" s="94"/>
      <c r="AC841" s="94"/>
      <c r="AD841" s="94"/>
      <c r="AE841" s="94"/>
      <c r="AF841" s="94"/>
      <c r="AG841" s="94"/>
      <c r="AH841" s="94"/>
      <c r="AI841" s="94"/>
      <c r="AJ841" s="94"/>
      <c r="AK841" s="94"/>
      <c r="AL841" s="94"/>
      <c r="AM841" s="94"/>
      <c r="AN841" s="94"/>
      <c r="AO841" s="94"/>
      <c r="AP841" s="94"/>
      <c r="AQ841" s="94"/>
      <c r="AR841" s="94"/>
      <c r="AS841" s="94"/>
      <c r="AT841" s="94"/>
      <c r="AU841" s="94"/>
      <c r="AV841" s="94"/>
      <c r="AW841" s="94"/>
      <c r="AX841" s="94"/>
      <c r="AY841" s="94"/>
      <c r="AZ841" s="94"/>
      <c r="BA841" s="95"/>
    </row>
    <row r="842" spans="1:53" s="87" customFormat="1">
      <c r="A842" s="90" t="str">
        <f t="shared" si="37"/>
        <v/>
      </c>
      <c r="B842" s="98"/>
      <c r="C842" s="94"/>
      <c r="D842" s="94"/>
      <c r="E842" s="94"/>
      <c r="F842" s="94"/>
      <c r="G842" s="94"/>
      <c r="H842" s="94"/>
      <c r="I842" s="94"/>
      <c r="J842" s="94"/>
      <c r="K842" s="94"/>
      <c r="L842" s="94"/>
      <c r="M842" s="94"/>
      <c r="N842" s="94"/>
      <c r="O842" s="94"/>
      <c r="P842" s="94"/>
      <c r="Q842" s="94"/>
      <c r="R842" s="94"/>
      <c r="S842" s="94"/>
      <c r="T842" s="94"/>
      <c r="U842" s="94"/>
      <c r="V842" s="94"/>
      <c r="W842" s="94"/>
      <c r="X842" s="94"/>
      <c r="Y842" s="94"/>
      <c r="Z842" s="94"/>
      <c r="AA842" s="94"/>
      <c r="AB842" s="94"/>
      <c r="AC842" s="94"/>
      <c r="AD842" s="94"/>
      <c r="AE842" s="94"/>
      <c r="AF842" s="94"/>
      <c r="AG842" s="94"/>
      <c r="AH842" s="94"/>
      <c r="AI842" s="94"/>
      <c r="AJ842" s="94"/>
      <c r="AK842" s="94"/>
      <c r="AL842" s="94"/>
      <c r="AM842" s="94"/>
      <c r="AN842" s="94"/>
      <c r="AO842" s="94"/>
      <c r="AP842" s="94"/>
      <c r="AQ842" s="94"/>
      <c r="AR842" s="94"/>
      <c r="AS842" s="94"/>
      <c r="AT842" s="94"/>
      <c r="AU842" s="94"/>
      <c r="AV842" s="94"/>
      <c r="AW842" s="94"/>
      <c r="AX842" s="94"/>
      <c r="AY842" s="94"/>
      <c r="AZ842" s="94"/>
      <c r="BA842" s="95"/>
    </row>
    <row r="843" spans="1:53" s="87" customFormat="1">
      <c r="A843" s="90" t="str">
        <f t="shared" si="37"/>
        <v/>
      </c>
      <c r="B843" s="98"/>
      <c r="C843" s="94"/>
      <c r="D843" s="94"/>
      <c r="E843" s="94"/>
      <c r="F843" s="94"/>
      <c r="G843" s="94"/>
      <c r="H843" s="94"/>
      <c r="I843" s="94"/>
      <c r="J843" s="94"/>
      <c r="K843" s="94"/>
      <c r="L843" s="94"/>
      <c r="M843" s="94"/>
      <c r="N843" s="94"/>
      <c r="O843" s="94"/>
      <c r="P843" s="94"/>
      <c r="Q843" s="94"/>
      <c r="R843" s="94"/>
      <c r="S843" s="94"/>
      <c r="T843" s="94"/>
      <c r="U843" s="94"/>
      <c r="V843" s="94"/>
      <c r="W843" s="94"/>
      <c r="X843" s="94"/>
      <c r="Y843" s="94"/>
      <c r="Z843" s="94"/>
      <c r="AA843" s="94"/>
      <c r="AB843" s="94"/>
      <c r="AC843" s="94"/>
      <c r="AD843" s="94"/>
      <c r="AE843" s="94"/>
      <c r="AF843" s="94"/>
      <c r="AG843" s="94"/>
      <c r="AH843" s="94"/>
      <c r="AI843" s="94"/>
      <c r="AJ843" s="94"/>
      <c r="AK843" s="94"/>
      <c r="AL843" s="94"/>
      <c r="AM843" s="94"/>
      <c r="AN843" s="94"/>
      <c r="AO843" s="94"/>
      <c r="AP843" s="94"/>
      <c r="AQ843" s="94"/>
      <c r="AR843" s="94"/>
      <c r="AS843" s="94"/>
      <c r="AT843" s="94"/>
      <c r="AU843" s="94"/>
      <c r="AV843" s="94"/>
      <c r="AW843" s="94"/>
      <c r="AX843" s="94"/>
      <c r="AY843" s="94"/>
      <c r="AZ843" s="94"/>
      <c r="BA843" s="95"/>
    </row>
    <row r="844" spans="1:53" s="87" customFormat="1">
      <c r="A844" s="90" t="str">
        <f t="shared" ref="A844:A907" si="38">IF(MID(B844,3,2)="09",ROW(),"")</f>
        <v/>
      </c>
      <c r="B844" s="98"/>
      <c r="C844" s="94"/>
      <c r="D844" s="94"/>
      <c r="E844" s="94"/>
      <c r="F844" s="94"/>
      <c r="G844" s="94"/>
      <c r="H844" s="94"/>
      <c r="I844" s="94"/>
      <c r="J844" s="94"/>
      <c r="K844" s="94"/>
      <c r="L844" s="94"/>
      <c r="M844" s="94"/>
      <c r="N844" s="94"/>
      <c r="O844" s="94"/>
      <c r="P844" s="94"/>
      <c r="Q844" s="94"/>
      <c r="R844" s="94"/>
      <c r="S844" s="94"/>
      <c r="T844" s="94"/>
      <c r="U844" s="94"/>
      <c r="V844" s="94"/>
      <c r="W844" s="94"/>
      <c r="X844" s="94"/>
      <c r="Y844" s="94"/>
      <c r="Z844" s="94"/>
      <c r="AA844" s="94"/>
      <c r="AB844" s="94"/>
      <c r="AC844" s="94"/>
      <c r="AD844" s="94"/>
      <c r="AE844" s="94"/>
      <c r="AF844" s="94"/>
      <c r="AG844" s="94"/>
      <c r="AH844" s="94"/>
      <c r="AI844" s="94"/>
      <c r="AJ844" s="94"/>
      <c r="AK844" s="94"/>
      <c r="AL844" s="94"/>
      <c r="AM844" s="94"/>
      <c r="AN844" s="94"/>
      <c r="AO844" s="94"/>
      <c r="AP844" s="94"/>
      <c r="AQ844" s="94"/>
      <c r="AR844" s="94"/>
      <c r="AS844" s="94"/>
      <c r="AT844" s="94"/>
      <c r="AU844" s="94"/>
      <c r="AV844" s="94"/>
      <c r="AW844" s="94"/>
      <c r="AX844" s="94"/>
      <c r="AY844" s="94"/>
      <c r="AZ844" s="94"/>
      <c r="BA844" s="95"/>
    </row>
    <row r="845" spans="1:53" s="87" customFormat="1">
      <c r="A845" s="90" t="str">
        <f t="shared" si="38"/>
        <v/>
      </c>
      <c r="B845" s="98"/>
      <c r="C845" s="94"/>
      <c r="D845" s="94"/>
      <c r="E845" s="94"/>
      <c r="F845" s="94"/>
      <c r="G845" s="94"/>
      <c r="H845" s="94"/>
      <c r="I845" s="94"/>
      <c r="J845" s="94"/>
      <c r="K845" s="94"/>
      <c r="L845" s="94"/>
      <c r="M845" s="94"/>
      <c r="N845" s="94"/>
      <c r="O845" s="94"/>
      <c r="P845" s="94"/>
      <c r="Q845" s="94"/>
      <c r="R845" s="94"/>
      <c r="S845" s="94"/>
      <c r="T845" s="94"/>
      <c r="U845" s="94"/>
      <c r="V845" s="94"/>
      <c r="W845" s="94"/>
      <c r="X845" s="94"/>
      <c r="Y845" s="94"/>
      <c r="Z845" s="94"/>
      <c r="AA845" s="94"/>
      <c r="AB845" s="94"/>
      <c r="AC845" s="94"/>
      <c r="AD845" s="94"/>
      <c r="AE845" s="94"/>
      <c r="AF845" s="94"/>
      <c r="AG845" s="94"/>
      <c r="AH845" s="94"/>
      <c r="AI845" s="94"/>
      <c r="AJ845" s="94"/>
      <c r="AK845" s="94"/>
      <c r="AL845" s="94"/>
      <c r="AM845" s="94"/>
      <c r="AN845" s="94"/>
      <c r="AO845" s="94"/>
      <c r="AP845" s="94"/>
      <c r="AQ845" s="94"/>
      <c r="AR845" s="94"/>
      <c r="AS845" s="94"/>
      <c r="AT845" s="94"/>
      <c r="AU845" s="94"/>
      <c r="AV845" s="94"/>
      <c r="AW845" s="94"/>
      <c r="AX845" s="94"/>
      <c r="AY845" s="94"/>
      <c r="AZ845" s="94"/>
      <c r="BA845" s="95"/>
    </row>
    <row r="846" spans="1:53" s="87" customFormat="1">
      <c r="A846" s="90" t="str">
        <f t="shared" si="38"/>
        <v/>
      </c>
      <c r="B846" s="98"/>
      <c r="C846" s="94"/>
      <c r="D846" s="94"/>
      <c r="E846" s="94"/>
      <c r="F846" s="94"/>
      <c r="G846" s="94"/>
      <c r="H846" s="94"/>
      <c r="I846" s="94"/>
      <c r="J846" s="94"/>
      <c r="K846" s="94"/>
      <c r="L846" s="94"/>
      <c r="M846" s="94"/>
      <c r="N846" s="94"/>
      <c r="O846" s="94"/>
      <c r="P846" s="94"/>
      <c r="Q846" s="94"/>
      <c r="R846" s="94"/>
      <c r="S846" s="94"/>
      <c r="T846" s="94"/>
      <c r="U846" s="94"/>
      <c r="V846" s="94"/>
      <c r="W846" s="94"/>
      <c r="X846" s="94"/>
      <c r="Y846" s="94"/>
      <c r="Z846" s="94"/>
      <c r="AA846" s="94"/>
      <c r="AB846" s="94"/>
      <c r="AC846" s="94"/>
      <c r="AD846" s="94"/>
      <c r="AE846" s="94"/>
      <c r="AF846" s="94"/>
      <c r="AG846" s="94"/>
      <c r="AH846" s="94"/>
      <c r="AI846" s="94"/>
      <c r="AJ846" s="94"/>
      <c r="AK846" s="94"/>
      <c r="AL846" s="94"/>
      <c r="AM846" s="94"/>
      <c r="AN846" s="94"/>
      <c r="AO846" s="94"/>
      <c r="AP846" s="94"/>
      <c r="AQ846" s="94"/>
      <c r="AR846" s="94"/>
      <c r="AS846" s="94"/>
      <c r="AT846" s="94"/>
      <c r="AU846" s="94"/>
      <c r="AV846" s="94"/>
      <c r="AW846" s="94"/>
      <c r="AX846" s="94"/>
      <c r="AY846" s="94"/>
      <c r="AZ846" s="94"/>
      <c r="BA846" s="95"/>
    </row>
    <row r="847" spans="1:53" s="87" customFormat="1">
      <c r="A847" s="90" t="str">
        <f t="shared" si="38"/>
        <v/>
      </c>
      <c r="B847" s="98"/>
      <c r="C847" s="94"/>
      <c r="D847" s="94"/>
      <c r="E847" s="94"/>
      <c r="F847" s="94"/>
      <c r="G847" s="94"/>
      <c r="H847" s="94"/>
      <c r="I847" s="94"/>
      <c r="J847" s="94"/>
      <c r="K847" s="94"/>
      <c r="L847" s="94"/>
      <c r="M847" s="94"/>
      <c r="N847" s="94"/>
      <c r="O847" s="94"/>
      <c r="P847" s="94"/>
      <c r="Q847" s="94"/>
      <c r="R847" s="94"/>
      <c r="S847" s="94"/>
      <c r="T847" s="94"/>
      <c r="U847" s="94"/>
      <c r="V847" s="94"/>
      <c r="W847" s="94"/>
      <c r="X847" s="94"/>
      <c r="Y847" s="94"/>
      <c r="Z847" s="94"/>
      <c r="AA847" s="94"/>
      <c r="AB847" s="94"/>
      <c r="AC847" s="94"/>
      <c r="AD847" s="94"/>
      <c r="AE847" s="94"/>
      <c r="AF847" s="94"/>
      <c r="AG847" s="94"/>
      <c r="AH847" s="94"/>
      <c r="AI847" s="94"/>
      <c r="AJ847" s="94"/>
      <c r="AK847" s="94"/>
      <c r="AL847" s="94"/>
      <c r="AM847" s="94"/>
      <c r="AN847" s="94"/>
      <c r="AO847" s="94"/>
      <c r="AP847" s="94"/>
      <c r="AQ847" s="94"/>
      <c r="AR847" s="94"/>
      <c r="AS847" s="94"/>
      <c r="AT847" s="94"/>
      <c r="AU847" s="94"/>
      <c r="AV847" s="94"/>
      <c r="AW847" s="94"/>
      <c r="AX847" s="94"/>
      <c r="AY847" s="94"/>
      <c r="AZ847" s="94"/>
      <c r="BA847" s="95"/>
    </row>
    <row r="848" spans="1:53" s="87" customFormat="1">
      <c r="A848" s="90" t="str">
        <f t="shared" si="38"/>
        <v/>
      </c>
      <c r="B848" s="98"/>
      <c r="C848" s="94"/>
      <c r="D848" s="94"/>
      <c r="E848" s="94"/>
      <c r="F848" s="94"/>
      <c r="G848" s="94"/>
      <c r="H848" s="94"/>
      <c r="I848" s="94"/>
      <c r="J848" s="94"/>
      <c r="K848" s="94"/>
      <c r="L848" s="94"/>
      <c r="M848" s="94"/>
      <c r="N848" s="94"/>
      <c r="O848" s="94"/>
      <c r="P848" s="94"/>
      <c r="Q848" s="94"/>
      <c r="R848" s="94"/>
      <c r="S848" s="94"/>
      <c r="T848" s="94"/>
      <c r="U848" s="94"/>
      <c r="V848" s="94"/>
      <c r="W848" s="94"/>
      <c r="X848" s="94"/>
      <c r="Y848" s="94"/>
      <c r="Z848" s="94"/>
      <c r="AA848" s="94"/>
      <c r="AB848" s="94"/>
      <c r="AC848" s="94"/>
      <c r="AD848" s="94"/>
      <c r="AE848" s="94"/>
      <c r="AF848" s="94"/>
      <c r="AG848" s="94"/>
      <c r="AH848" s="94"/>
      <c r="AI848" s="94"/>
      <c r="AJ848" s="94"/>
      <c r="AK848" s="94"/>
      <c r="AL848" s="94"/>
      <c r="AM848" s="94"/>
      <c r="AN848" s="94"/>
      <c r="AO848" s="94"/>
      <c r="AP848" s="94"/>
      <c r="AQ848" s="94"/>
      <c r="AR848" s="94"/>
      <c r="AS848" s="94"/>
      <c r="AT848" s="94"/>
      <c r="AU848" s="94"/>
      <c r="AV848" s="94"/>
      <c r="AW848" s="94"/>
      <c r="AX848" s="94"/>
      <c r="AY848" s="94"/>
      <c r="AZ848" s="94"/>
      <c r="BA848" s="95"/>
    </row>
    <row r="849" spans="1:53" s="87" customFormat="1">
      <c r="A849" s="90" t="str">
        <f t="shared" si="38"/>
        <v/>
      </c>
      <c r="B849" s="98"/>
      <c r="C849" s="94"/>
      <c r="D849" s="94"/>
      <c r="E849" s="94"/>
      <c r="F849" s="94"/>
      <c r="G849" s="94"/>
      <c r="H849" s="94"/>
      <c r="I849" s="94"/>
      <c r="J849" s="94"/>
      <c r="K849" s="94"/>
      <c r="L849" s="94"/>
      <c r="M849" s="94"/>
      <c r="N849" s="94"/>
      <c r="O849" s="94"/>
      <c r="P849" s="94"/>
      <c r="Q849" s="94"/>
      <c r="R849" s="94"/>
      <c r="S849" s="94"/>
      <c r="T849" s="94"/>
      <c r="U849" s="94"/>
      <c r="V849" s="94"/>
      <c r="W849" s="94"/>
      <c r="X849" s="94"/>
      <c r="Y849" s="94"/>
      <c r="Z849" s="94"/>
      <c r="AA849" s="94"/>
      <c r="AB849" s="94"/>
      <c r="AC849" s="94"/>
      <c r="AD849" s="94"/>
      <c r="AE849" s="94"/>
      <c r="AF849" s="94"/>
      <c r="AG849" s="94"/>
      <c r="AH849" s="94"/>
      <c r="AI849" s="94"/>
      <c r="AJ849" s="94"/>
      <c r="AK849" s="94"/>
      <c r="AL849" s="94"/>
      <c r="AM849" s="94"/>
      <c r="AN849" s="94"/>
      <c r="AO849" s="94"/>
      <c r="AP849" s="94"/>
      <c r="AQ849" s="94"/>
      <c r="AR849" s="94"/>
      <c r="AS849" s="94"/>
      <c r="AT849" s="94"/>
      <c r="AU849" s="94"/>
      <c r="AV849" s="94"/>
      <c r="AW849" s="94"/>
      <c r="AX849" s="94"/>
      <c r="AY849" s="94"/>
      <c r="AZ849" s="94"/>
      <c r="BA849" s="95"/>
    </row>
    <row r="850" spans="1:53" s="87" customFormat="1">
      <c r="A850" s="90" t="str">
        <f t="shared" si="38"/>
        <v/>
      </c>
      <c r="B850" s="98"/>
      <c r="C850" s="94"/>
      <c r="D850" s="94"/>
      <c r="E850" s="94"/>
      <c r="F850" s="94"/>
      <c r="G850" s="94"/>
      <c r="H850" s="94"/>
      <c r="I850" s="94"/>
      <c r="J850" s="94"/>
      <c r="K850" s="94"/>
      <c r="L850" s="94"/>
      <c r="M850" s="94"/>
      <c r="N850" s="94"/>
      <c r="O850" s="94"/>
      <c r="P850" s="94"/>
      <c r="Q850" s="94"/>
      <c r="R850" s="94"/>
      <c r="S850" s="94"/>
      <c r="T850" s="94"/>
      <c r="U850" s="94"/>
      <c r="V850" s="94"/>
      <c r="W850" s="94"/>
      <c r="X850" s="94"/>
      <c r="Y850" s="94"/>
      <c r="Z850" s="94"/>
      <c r="AA850" s="94"/>
      <c r="AB850" s="94"/>
      <c r="AC850" s="94"/>
      <c r="AD850" s="94"/>
      <c r="AE850" s="94"/>
      <c r="AF850" s="94"/>
      <c r="AG850" s="94"/>
      <c r="AH850" s="94"/>
      <c r="AI850" s="94"/>
      <c r="AJ850" s="94"/>
      <c r="AK850" s="94"/>
      <c r="AL850" s="94"/>
      <c r="AM850" s="94"/>
      <c r="AN850" s="94"/>
      <c r="AO850" s="94"/>
      <c r="AP850" s="94"/>
      <c r="AQ850" s="94"/>
      <c r="AR850" s="94"/>
      <c r="AS850" s="94"/>
      <c r="AT850" s="94"/>
      <c r="AU850" s="94"/>
      <c r="AV850" s="94"/>
      <c r="AW850" s="94"/>
      <c r="AX850" s="94"/>
      <c r="AY850" s="94"/>
      <c r="AZ850" s="94"/>
      <c r="BA850" s="95"/>
    </row>
    <row r="851" spans="1:53" s="87" customFormat="1">
      <c r="A851" s="90" t="str">
        <f t="shared" si="38"/>
        <v/>
      </c>
      <c r="B851" s="98"/>
      <c r="C851" s="94"/>
      <c r="D851" s="94"/>
      <c r="E851" s="94"/>
      <c r="F851" s="94"/>
      <c r="G851" s="94"/>
      <c r="H851" s="94"/>
      <c r="I851" s="94"/>
      <c r="J851" s="94"/>
      <c r="K851" s="94"/>
      <c r="L851" s="94"/>
      <c r="M851" s="94"/>
      <c r="N851" s="94"/>
      <c r="O851" s="94"/>
      <c r="P851" s="94"/>
      <c r="Q851" s="94"/>
      <c r="R851" s="94"/>
      <c r="S851" s="94"/>
      <c r="T851" s="94"/>
      <c r="U851" s="94"/>
      <c r="V851" s="94"/>
      <c r="W851" s="94"/>
      <c r="X851" s="94"/>
      <c r="Y851" s="94"/>
      <c r="Z851" s="94"/>
      <c r="AA851" s="94"/>
      <c r="AB851" s="94"/>
      <c r="AC851" s="94"/>
      <c r="AD851" s="94"/>
      <c r="AE851" s="94"/>
      <c r="AF851" s="94"/>
      <c r="AG851" s="94"/>
      <c r="AH851" s="94"/>
      <c r="AI851" s="94"/>
      <c r="AJ851" s="94"/>
      <c r="AK851" s="94"/>
      <c r="AL851" s="94"/>
      <c r="AM851" s="94"/>
      <c r="AN851" s="94"/>
      <c r="AO851" s="94"/>
      <c r="AP851" s="94"/>
      <c r="AQ851" s="94"/>
      <c r="AR851" s="94"/>
      <c r="AS851" s="94"/>
      <c r="AT851" s="94"/>
      <c r="AU851" s="94"/>
      <c r="AV851" s="94"/>
      <c r="AW851" s="94"/>
      <c r="AX851" s="94"/>
      <c r="AY851" s="94"/>
      <c r="AZ851" s="94"/>
      <c r="BA851" s="95"/>
    </row>
    <row r="852" spans="1:53" s="87" customFormat="1">
      <c r="A852" s="90" t="str">
        <f t="shared" si="38"/>
        <v/>
      </c>
      <c r="B852" s="98"/>
      <c r="C852" s="94"/>
      <c r="D852" s="94"/>
      <c r="E852" s="94"/>
      <c r="F852" s="94"/>
      <c r="G852" s="94"/>
      <c r="H852" s="94"/>
      <c r="I852" s="94"/>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5"/>
    </row>
    <row r="853" spans="1:53" s="87" customFormat="1">
      <c r="A853" s="90" t="str">
        <f t="shared" si="38"/>
        <v/>
      </c>
      <c r="B853" s="98"/>
      <c r="C853" s="94"/>
      <c r="D853" s="94"/>
      <c r="E853" s="94"/>
      <c r="F853" s="94"/>
      <c r="G853" s="94"/>
      <c r="H853" s="94"/>
      <c r="I853" s="94"/>
      <c r="J853" s="94"/>
      <c r="K853" s="94"/>
      <c r="L853" s="94"/>
      <c r="M853" s="94"/>
      <c r="N853" s="94"/>
      <c r="O853" s="94"/>
      <c r="P853" s="94"/>
      <c r="Q853" s="94"/>
      <c r="R853" s="94"/>
      <c r="S853" s="94"/>
      <c r="T853" s="94"/>
      <c r="U853" s="94"/>
      <c r="V853" s="94"/>
      <c r="W853" s="94"/>
      <c r="X853" s="94"/>
      <c r="Y853" s="94"/>
      <c r="Z853" s="94"/>
      <c r="AA853" s="94"/>
      <c r="AB853" s="94"/>
      <c r="AC853" s="94"/>
      <c r="AD853" s="94"/>
      <c r="AE853" s="94"/>
      <c r="AF853" s="94"/>
      <c r="AG853" s="94"/>
      <c r="AH853" s="94"/>
      <c r="AI853" s="94"/>
      <c r="AJ853" s="94"/>
      <c r="AK853" s="94"/>
      <c r="AL853" s="94"/>
      <c r="AM853" s="94"/>
      <c r="AN853" s="94"/>
      <c r="AO853" s="94"/>
      <c r="AP853" s="94"/>
      <c r="AQ853" s="94"/>
      <c r="AR853" s="94"/>
      <c r="AS853" s="94"/>
      <c r="AT853" s="94"/>
      <c r="AU853" s="94"/>
      <c r="AV853" s="94"/>
      <c r="AW853" s="94"/>
      <c r="AX853" s="94"/>
      <c r="AY853" s="94"/>
      <c r="AZ853" s="94"/>
      <c r="BA853" s="95"/>
    </row>
    <row r="854" spans="1:53" s="87" customFormat="1">
      <c r="A854" s="90" t="str">
        <f t="shared" si="38"/>
        <v/>
      </c>
      <c r="B854" s="98"/>
      <c r="C854" s="94"/>
      <c r="D854" s="94"/>
      <c r="E854" s="94"/>
      <c r="F854" s="94"/>
      <c r="G854" s="94"/>
      <c r="H854" s="94"/>
      <c r="I854" s="94"/>
      <c r="J854" s="94"/>
      <c r="K854" s="94"/>
      <c r="L854" s="94"/>
      <c r="M854" s="94"/>
      <c r="N854" s="94"/>
      <c r="O854" s="94"/>
      <c r="P854" s="94"/>
      <c r="Q854" s="94"/>
      <c r="R854" s="94"/>
      <c r="S854" s="94"/>
      <c r="T854" s="94"/>
      <c r="U854" s="94"/>
      <c r="V854" s="94"/>
      <c r="W854" s="94"/>
      <c r="X854" s="94"/>
      <c r="Y854" s="94"/>
      <c r="Z854" s="94"/>
      <c r="AA854" s="94"/>
      <c r="AB854" s="94"/>
      <c r="AC854" s="94"/>
      <c r="AD854" s="94"/>
      <c r="AE854" s="94"/>
      <c r="AF854" s="94"/>
      <c r="AG854" s="94"/>
      <c r="AH854" s="94"/>
      <c r="AI854" s="94"/>
      <c r="AJ854" s="94"/>
      <c r="AK854" s="94"/>
      <c r="AL854" s="94"/>
      <c r="AM854" s="94"/>
      <c r="AN854" s="94"/>
      <c r="AO854" s="94"/>
      <c r="AP854" s="94"/>
      <c r="AQ854" s="94"/>
      <c r="AR854" s="94"/>
      <c r="AS854" s="94"/>
      <c r="AT854" s="94"/>
      <c r="AU854" s="94"/>
      <c r="AV854" s="94"/>
      <c r="AW854" s="94"/>
      <c r="AX854" s="94"/>
      <c r="AY854" s="94"/>
      <c r="AZ854" s="94"/>
      <c r="BA854" s="95"/>
    </row>
    <row r="855" spans="1:53" s="87" customFormat="1">
      <c r="A855" s="90" t="str">
        <f t="shared" si="38"/>
        <v/>
      </c>
      <c r="B855" s="98"/>
      <c r="C855" s="94"/>
      <c r="D855" s="94"/>
      <c r="E855" s="94"/>
      <c r="F855" s="94"/>
      <c r="G855" s="94"/>
      <c r="H855" s="94"/>
      <c r="I855" s="94"/>
      <c r="J855" s="94"/>
      <c r="K855" s="94"/>
      <c r="L855" s="94"/>
      <c r="M855" s="94"/>
      <c r="N855" s="94"/>
      <c r="O855" s="94"/>
      <c r="P855" s="94"/>
      <c r="Q855" s="94"/>
      <c r="R855" s="94"/>
      <c r="S855" s="94"/>
      <c r="T855" s="94"/>
      <c r="U855" s="94"/>
      <c r="V855" s="94"/>
      <c r="W855" s="94"/>
      <c r="X855" s="94"/>
      <c r="Y855" s="94"/>
      <c r="Z855" s="94"/>
      <c r="AA855" s="94"/>
      <c r="AB855" s="94"/>
      <c r="AC855" s="94"/>
      <c r="AD855" s="94"/>
      <c r="AE855" s="94"/>
      <c r="AF855" s="94"/>
      <c r="AG855" s="94"/>
      <c r="AH855" s="94"/>
      <c r="AI855" s="94"/>
      <c r="AJ855" s="94"/>
      <c r="AK855" s="94"/>
      <c r="AL855" s="94"/>
      <c r="AM855" s="94"/>
      <c r="AN855" s="94"/>
      <c r="AO855" s="94"/>
      <c r="AP855" s="94"/>
      <c r="AQ855" s="94"/>
      <c r="AR855" s="94"/>
      <c r="AS855" s="94"/>
      <c r="AT855" s="94"/>
      <c r="AU855" s="94"/>
      <c r="AV855" s="94"/>
      <c r="AW855" s="94"/>
      <c r="AX855" s="94"/>
      <c r="AY855" s="94"/>
      <c r="AZ855" s="94"/>
      <c r="BA855" s="95"/>
    </row>
    <row r="856" spans="1:53" s="87" customFormat="1">
      <c r="A856" s="90" t="str">
        <f t="shared" si="38"/>
        <v/>
      </c>
      <c r="B856" s="98"/>
      <c r="C856" s="94"/>
      <c r="D856" s="94"/>
      <c r="E856" s="94"/>
      <c r="F856" s="94"/>
      <c r="G856" s="94"/>
      <c r="H856" s="94"/>
      <c r="I856" s="94"/>
      <c r="J856" s="94"/>
      <c r="K856" s="94"/>
      <c r="L856" s="94"/>
      <c r="M856" s="94"/>
      <c r="N856" s="94"/>
      <c r="O856" s="94"/>
      <c r="P856" s="94"/>
      <c r="Q856" s="94"/>
      <c r="R856" s="94"/>
      <c r="S856" s="94"/>
      <c r="T856" s="94"/>
      <c r="U856" s="94"/>
      <c r="V856" s="94"/>
      <c r="W856" s="94"/>
      <c r="X856" s="94"/>
      <c r="Y856" s="94"/>
      <c r="Z856" s="94"/>
      <c r="AA856" s="94"/>
      <c r="AB856" s="94"/>
      <c r="AC856" s="94"/>
      <c r="AD856" s="94"/>
      <c r="AE856" s="94"/>
      <c r="AF856" s="94"/>
      <c r="AG856" s="94"/>
      <c r="AH856" s="94"/>
      <c r="AI856" s="94"/>
      <c r="AJ856" s="94"/>
      <c r="AK856" s="94"/>
      <c r="AL856" s="94"/>
      <c r="AM856" s="94"/>
      <c r="AN856" s="94"/>
      <c r="AO856" s="94"/>
      <c r="AP856" s="94"/>
      <c r="AQ856" s="94"/>
      <c r="AR856" s="94"/>
      <c r="AS856" s="94"/>
      <c r="AT856" s="94"/>
      <c r="AU856" s="94"/>
      <c r="AV856" s="94"/>
      <c r="AW856" s="94"/>
      <c r="AX856" s="94"/>
      <c r="AY856" s="94"/>
      <c r="AZ856" s="94"/>
      <c r="BA856" s="95"/>
    </row>
    <row r="857" spans="1:53" s="87" customFormat="1">
      <c r="A857" s="90" t="str">
        <f t="shared" si="38"/>
        <v/>
      </c>
      <c r="B857" s="98"/>
      <c r="C857" s="94"/>
      <c r="D857" s="94"/>
      <c r="E857" s="94"/>
      <c r="F857" s="94"/>
      <c r="G857" s="94"/>
      <c r="H857" s="94"/>
      <c r="I857" s="94"/>
      <c r="J857" s="94"/>
      <c r="K857" s="94"/>
      <c r="L857" s="94"/>
      <c r="M857" s="94"/>
      <c r="N857" s="94"/>
      <c r="O857" s="94"/>
      <c r="P857" s="94"/>
      <c r="Q857" s="94"/>
      <c r="R857" s="94"/>
      <c r="S857" s="94"/>
      <c r="T857" s="94"/>
      <c r="U857" s="94"/>
      <c r="V857" s="94"/>
      <c r="W857" s="94"/>
      <c r="X857" s="94"/>
      <c r="Y857" s="94"/>
      <c r="Z857" s="94"/>
      <c r="AA857" s="94"/>
      <c r="AB857" s="94"/>
      <c r="AC857" s="94"/>
      <c r="AD857" s="94"/>
      <c r="AE857" s="94"/>
      <c r="AF857" s="94"/>
      <c r="AG857" s="94"/>
      <c r="AH857" s="94"/>
      <c r="AI857" s="94"/>
      <c r="AJ857" s="94"/>
      <c r="AK857" s="94"/>
      <c r="AL857" s="94"/>
      <c r="AM857" s="94"/>
      <c r="AN857" s="94"/>
      <c r="AO857" s="94"/>
      <c r="AP857" s="94"/>
      <c r="AQ857" s="94"/>
      <c r="AR857" s="94"/>
      <c r="AS857" s="94"/>
      <c r="AT857" s="94"/>
      <c r="AU857" s="94"/>
      <c r="AV857" s="94"/>
      <c r="AW857" s="94"/>
      <c r="AX857" s="94"/>
      <c r="AY857" s="94"/>
      <c r="AZ857" s="94"/>
      <c r="BA857" s="95"/>
    </row>
    <row r="858" spans="1:53" s="87" customFormat="1">
      <c r="A858" s="90" t="str">
        <f t="shared" si="38"/>
        <v/>
      </c>
      <c r="B858" s="98"/>
      <c r="C858" s="94"/>
      <c r="D858" s="94"/>
      <c r="E858" s="94"/>
      <c r="F858" s="94"/>
      <c r="G858" s="94"/>
      <c r="H858" s="94"/>
      <c r="I858" s="94"/>
      <c r="J858" s="94"/>
      <c r="K858" s="94"/>
      <c r="L858" s="94"/>
      <c r="M858" s="94"/>
      <c r="N858" s="94"/>
      <c r="O858" s="94"/>
      <c r="P858" s="94"/>
      <c r="Q858" s="94"/>
      <c r="R858" s="94"/>
      <c r="S858" s="94"/>
      <c r="T858" s="94"/>
      <c r="U858" s="94"/>
      <c r="V858" s="94"/>
      <c r="W858" s="94"/>
      <c r="X858" s="94"/>
      <c r="Y858" s="94"/>
      <c r="Z858" s="94"/>
      <c r="AA858" s="94"/>
      <c r="AB858" s="94"/>
      <c r="AC858" s="94"/>
      <c r="AD858" s="94"/>
      <c r="AE858" s="94"/>
      <c r="AF858" s="94"/>
      <c r="AG858" s="94"/>
      <c r="AH858" s="94"/>
      <c r="AI858" s="94"/>
      <c r="AJ858" s="94"/>
      <c r="AK858" s="94"/>
      <c r="AL858" s="94"/>
      <c r="AM858" s="94"/>
      <c r="AN858" s="94"/>
      <c r="AO858" s="94"/>
      <c r="AP858" s="94"/>
      <c r="AQ858" s="94"/>
      <c r="AR858" s="94"/>
      <c r="AS858" s="94"/>
      <c r="AT858" s="94"/>
      <c r="AU858" s="94"/>
      <c r="AV858" s="94"/>
      <c r="AW858" s="94"/>
      <c r="AX858" s="94"/>
      <c r="AY858" s="94"/>
      <c r="AZ858" s="94"/>
      <c r="BA858" s="95"/>
    </row>
    <row r="859" spans="1:53" s="87" customFormat="1">
      <c r="A859" s="90" t="str">
        <f t="shared" si="38"/>
        <v/>
      </c>
      <c r="B859" s="98"/>
      <c r="C859" s="94"/>
      <c r="D859" s="94"/>
      <c r="E859" s="94"/>
      <c r="F859" s="94"/>
      <c r="G859" s="94"/>
      <c r="H859" s="94"/>
      <c r="I859" s="94"/>
      <c r="J859" s="94"/>
      <c r="K859" s="94"/>
      <c r="L859" s="94"/>
      <c r="M859" s="94"/>
      <c r="N859" s="94"/>
      <c r="O859" s="94"/>
      <c r="P859" s="94"/>
      <c r="Q859" s="94"/>
      <c r="R859" s="94"/>
      <c r="S859" s="94"/>
      <c r="T859" s="94"/>
      <c r="U859" s="94"/>
      <c r="V859" s="94"/>
      <c r="W859" s="94"/>
      <c r="X859" s="94"/>
      <c r="Y859" s="94"/>
      <c r="Z859" s="94"/>
      <c r="AA859" s="94"/>
      <c r="AB859" s="94"/>
      <c r="AC859" s="94"/>
      <c r="AD859" s="94"/>
      <c r="AE859" s="94"/>
      <c r="AF859" s="94"/>
      <c r="AG859" s="94"/>
      <c r="AH859" s="94"/>
      <c r="AI859" s="94"/>
      <c r="AJ859" s="94"/>
      <c r="AK859" s="94"/>
      <c r="AL859" s="94"/>
      <c r="AM859" s="94"/>
      <c r="AN859" s="94"/>
      <c r="AO859" s="94"/>
      <c r="AP859" s="94"/>
      <c r="AQ859" s="94"/>
      <c r="AR859" s="94"/>
      <c r="AS859" s="94"/>
      <c r="AT859" s="94"/>
      <c r="AU859" s="94"/>
      <c r="AV859" s="94"/>
      <c r="AW859" s="94"/>
      <c r="AX859" s="94"/>
      <c r="AY859" s="94"/>
      <c r="AZ859" s="94"/>
      <c r="BA859" s="95"/>
    </row>
    <row r="860" spans="1:53" s="87" customFormat="1">
      <c r="A860" s="90" t="str">
        <f t="shared" si="38"/>
        <v/>
      </c>
      <c r="B860" s="98"/>
      <c r="C860" s="94"/>
      <c r="D860" s="94"/>
      <c r="E860" s="94"/>
      <c r="F860" s="94"/>
      <c r="G860" s="94"/>
      <c r="H860" s="94"/>
      <c r="I860" s="94"/>
      <c r="J860" s="94"/>
      <c r="K860" s="94"/>
      <c r="L860" s="94"/>
      <c r="M860" s="94"/>
      <c r="N860" s="94"/>
      <c r="O860" s="94"/>
      <c r="P860" s="94"/>
      <c r="Q860" s="94"/>
      <c r="R860" s="94"/>
      <c r="S860" s="94"/>
      <c r="T860" s="94"/>
      <c r="U860" s="94"/>
      <c r="V860" s="94"/>
      <c r="W860" s="94"/>
      <c r="X860" s="94"/>
      <c r="Y860" s="94"/>
      <c r="Z860" s="94"/>
      <c r="AA860" s="94"/>
      <c r="AB860" s="94"/>
      <c r="AC860" s="94"/>
      <c r="AD860" s="94"/>
      <c r="AE860" s="94"/>
      <c r="AF860" s="94"/>
      <c r="AG860" s="94"/>
      <c r="AH860" s="94"/>
      <c r="AI860" s="94"/>
      <c r="AJ860" s="94"/>
      <c r="AK860" s="94"/>
      <c r="AL860" s="94"/>
      <c r="AM860" s="94"/>
      <c r="AN860" s="94"/>
      <c r="AO860" s="94"/>
      <c r="AP860" s="94"/>
      <c r="AQ860" s="94"/>
      <c r="AR860" s="94"/>
      <c r="AS860" s="94"/>
      <c r="AT860" s="94"/>
      <c r="AU860" s="94"/>
      <c r="AV860" s="94"/>
      <c r="AW860" s="94"/>
      <c r="AX860" s="94"/>
      <c r="AY860" s="94"/>
      <c r="AZ860" s="94"/>
      <c r="BA860" s="95"/>
    </row>
    <row r="861" spans="1:53" s="87" customFormat="1">
      <c r="A861" s="90" t="str">
        <f t="shared" si="38"/>
        <v/>
      </c>
      <c r="B861" s="98"/>
      <c r="C861" s="94"/>
      <c r="D861" s="94"/>
      <c r="E861" s="94"/>
      <c r="F861" s="94"/>
      <c r="G861" s="94"/>
      <c r="H861" s="94"/>
      <c r="I861" s="94"/>
      <c r="J861" s="94"/>
      <c r="K861" s="94"/>
      <c r="L861" s="94"/>
      <c r="M861" s="94"/>
      <c r="N861" s="94"/>
      <c r="O861" s="94"/>
      <c r="P861" s="94"/>
      <c r="Q861" s="94"/>
      <c r="R861" s="94"/>
      <c r="S861" s="94"/>
      <c r="T861" s="94"/>
      <c r="U861" s="94"/>
      <c r="V861" s="94"/>
      <c r="W861" s="94"/>
      <c r="X861" s="94"/>
      <c r="Y861" s="94"/>
      <c r="Z861" s="94"/>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c r="AW861" s="94"/>
      <c r="AX861" s="94"/>
      <c r="AY861" s="94"/>
      <c r="AZ861" s="94"/>
      <c r="BA861" s="95"/>
    </row>
    <row r="862" spans="1:53" s="87" customFormat="1">
      <c r="A862" s="90" t="str">
        <f t="shared" si="38"/>
        <v/>
      </c>
      <c r="B862" s="98"/>
      <c r="C862" s="94"/>
      <c r="D862" s="94"/>
      <c r="E862" s="94"/>
      <c r="F862" s="94"/>
      <c r="G862" s="94"/>
      <c r="H862" s="94"/>
      <c r="I862" s="94"/>
      <c r="J862" s="94"/>
      <c r="K862" s="94"/>
      <c r="L862" s="94"/>
      <c r="M862" s="94"/>
      <c r="N862" s="94"/>
      <c r="O862" s="94"/>
      <c r="P862" s="94"/>
      <c r="Q862" s="94"/>
      <c r="R862" s="94"/>
      <c r="S862" s="94"/>
      <c r="T862" s="94"/>
      <c r="U862" s="94"/>
      <c r="V862" s="94"/>
      <c r="W862" s="94"/>
      <c r="X862" s="94"/>
      <c r="Y862" s="94"/>
      <c r="Z862" s="94"/>
      <c r="AA862" s="94"/>
      <c r="AB862" s="94"/>
      <c r="AC862" s="94"/>
      <c r="AD862" s="94"/>
      <c r="AE862" s="94"/>
      <c r="AF862" s="94"/>
      <c r="AG862" s="94"/>
      <c r="AH862" s="94"/>
      <c r="AI862" s="94"/>
      <c r="AJ862" s="94"/>
      <c r="AK862" s="94"/>
      <c r="AL862" s="94"/>
      <c r="AM862" s="94"/>
      <c r="AN862" s="94"/>
      <c r="AO862" s="94"/>
      <c r="AP862" s="94"/>
      <c r="AQ862" s="94"/>
      <c r="AR862" s="94"/>
      <c r="AS862" s="94"/>
      <c r="AT862" s="94"/>
      <c r="AU862" s="94"/>
      <c r="AV862" s="94"/>
      <c r="AW862" s="94"/>
      <c r="AX862" s="94"/>
      <c r="AY862" s="94"/>
      <c r="AZ862" s="94"/>
      <c r="BA862" s="95"/>
    </row>
    <row r="863" spans="1:53" s="87" customFormat="1">
      <c r="A863" s="90" t="str">
        <f t="shared" si="38"/>
        <v/>
      </c>
      <c r="B863" s="98"/>
      <c r="C863" s="94"/>
      <c r="D863" s="94"/>
      <c r="E863" s="94"/>
      <c r="F863" s="94"/>
      <c r="G863" s="94"/>
      <c r="H863" s="94"/>
      <c r="I863" s="94"/>
      <c r="J863" s="94"/>
      <c r="K863" s="94"/>
      <c r="L863" s="94"/>
      <c r="M863" s="94"/>
      <c r="N863" s="94"/>
      <c r="O863" s="94"/>
      <c r="P863" s="94"/>
      <c r="Q863" s="94"/>
      <c r="R863" s="94"/>
      <c r="S863" s="94"/>
      <c r="T863" s="94"/>
      <c r="U863" s="94"/>
      <c r="V863" s="94"/>
      <c r="W863" s="94"/>
      <c r="X863" s="94"/>
      <c r="Y863" s="94"/>
      <c r="Z863" s="94"/>
      <c r="AA863" s="94"/>
      <c r="AB863" s="94"/>
      <c r="AC863" s="94"/>
      <c r="AD863" s="94"/>
      <c r="AE863" s="94"/>
      <c r="AF863" s="94"/>
      <c r="AG863" s="94"/>
      <c r="AH863" s="94"/>
      <c r="AI863" s="94"/>
      <c r="AJ863" s="94"/>
      <c r="AK863" s="94"/>
      <c r="AL863" s="94"/>
      <c r="AM863" s="94"/>
      <c r="AN863" s="94"/>
      <c r="AO863" s="94"/>
      <c r="AP863" s="94"/>
      <c r="AQ863" s="94"/>
      <c r="AR863" s="94"/>
      <c r="AS863" s="94"/>
      <c r="AT863" s="94"/>
      <c r="AU863" s="94"/>
      <c r="AV863" s="94"/>
      <c r="AW863" s="94"/>
      <c r="AX863" s="94"/>
      <c r="AY863" s="94"/>
      <c r="AZ863" s="94"/>
      <c r="BA863" s="95"/>
    </row>
    <row r="864" spans="1:53" s="87" customFormat="1">
      <c r="A864" s="90" t="str">
        <f t="shared" si="38"/>
        <v/>
      </c>
      <c r="B864" s="98"/>
      <c r="C864" s="94"/>
      <c r="D864" s="94"/>
      <c r="E864" s="94"/>
      <c r="F864" s="94"/>
      <c r="G864" s="94"/>
      <c r="H864" s="94"/>
      <c r="I864" s="94"/>
      <c r="J864" s="94"/>
      <c r="K864" s="94"/>
      <c r="L864" s="94"/>
      <c r="M864" s="94"/>
      <c r="N864" s="94"/>
      <c r="O864" s="94"/>
      <c r="P864" s="94"/>
      <c r="Q864" s="94"/>
      <c r="R864" s="94"/>
      <c r="S864" s="94"/>
      <c r="T864" s="94"/>
      <c r="U864" s="94"/>
      <c r="V864" s="94"/>
      <c r="W864" s="94"/>
      <c r="X864" s="94"/>
      <c r="Y864" s="94"/>
      <c r="Z864" s="94"/>
      <c r="AA864" s="94"/>
      <c r="AB864" s="94"/>
      <c r="AC864" s="94"/>
      <c r="AD864" s="94"/>
      <c r="AE864" s="94"/>
      <c r="AF864" s="94"/>
      <c r="AG864" s="94"/>
      <c r="AH864" s="94"/>
      <c r="AI864" s="94"/>
      <c r="AJ864" s="94"/>
      <c r="AK864" s="94"/>
      <c r="AL864" s="94"/>
      <c r="AM864" s="94"/>
      <c r="AN864" s="94"/>
      <c r="AO864" s="94"/>
      <c r="AP864" s="94"/>
      <c r="AQ864" s="94"/>
      <c r="AR864" s="94"/>
      <c r="AS864" s="94"/>
      <c r="AT864" s="94"/>
      <c r="AU864" s="94"/>
      <c r="AV864" s="94"/>
      <c r="AW864" s="94"/>
      <c r="AX864" s="94"/>
      <c r="AY864" s="94"/>
      <c r="AZ864" s="94"/>
      <c r="BA864" s="95"/>
    </row>
    <row r="865" spans="1:53" s="87" customFormat="1">
      <c r="A865" s="90" t="str">
        <f t="shared" si="38"/>
        <v/>
      </c>
      <c r="B865" s="98"/>
      <c r="C865" s="94"/>
      <c r="D865" s="94"/>
      <c r="E865" s="94"/>
      <c r="F865" s="94"/>
      <c r="G865" s="94"/>
      <c r="H865" s="94"/>
      <c r="I865" s="94"/>
      <c r="J865" s="94"/>
      <c r="K865" s="94"/>
      <c r="L865" s="94"/>
      <c r="M865" s="94"/>
      <c r="N865" s="94"/>
      <c r="O865" s="94"/>
      <c r="P865" s="94"/>
      <c r="Q865" s="94"/>
      <c r="R865" s="94"/>
      <c r="S865" s="94"/>
      <c r="T865" s="94"/>
      <c r="U865" s="94"/>
      <c r="V865" s="94"/>
      <c r="W865" s="94"/>
      <c r="X865" s="94"/>
      <c r="Y865" s="94"/>
      <c r="Z865" s="94"/>
      <c r="AA865" s="94"/>
      <c r="AB865" s="94"/>
      <c r="AC865" s="94"/>
      <c r="AD865" s="94"/>
      <c r="AE865" s="94"/>
      <c r="AF865" s="94"/>
      <c r="AG865" s="94"/>
      <c r="AH865" s="94"/>
      <c r="AI865" s="94"/>
      <c r="AJ865" s="94"/>
      <c r="AK865" s="94"/>
      <c r="AL865" s="94"/>
      <c r="AM865" s="94"/>
      <c r="AN865" s="94"/>
      <c r="AO865" s="94"/>
      <c r="AP865" s="94"/>
      <c r="AQ865" s="94"/>
      <c r="AR865" s="94"/>
      <c r="AS865" s="94"/>
      <c r="AT865" s="94"/>
      <c r="AU865" s="94"/>
      <c r="AV865" s="94"/>
      <c r="AW865" s="94"/>
      <c r="AX865" s="94"/>
      <c r="AY865" s="94"/>
      <c r="AZ865" s="94"/>
      <c r="BA865" s="95"/>
    </row>
    <row r="866" spans="1:53" s="87" customFormat="1">
      <c r="A866" s="90" t="str">
        <f t="shared" si="38"/>
        <v/>
      </c>
      <c r="B866" s="98"/>
      <c r="C866" s="94"/>
      <c r="D866" s="94"/>
      <c r="E866" s="94"/>
      <c r="F866" s="94"/>
      <c r="G866" s="94"/>
      <c r="H866" s="94"/>
      <c r="I866" s="94"/>
      <c r="J866" s="94"/>
      <c r="K866" s="94"/>
      <c r="L866" s="94"/>
      <c r="M866" s="94"/>
      <c r="N866" s="94"/>
      <c r="O866" s="94"/>
      <c r="P866" s="94"/>
      <c r="Q866" s="94"/>
      <c r="R866" s="94"/>
      <c r="S866" s="94"/>
      <c r="T866" s="94"/>
      <c r="U866" s="94"/>
      <c r="V866" s="94"/>
      <c r="W866" s="94"/>
      <c r="X866" s="94"/>
      <c r="Y866" s="94"/>
      <c r="Z866" s="94"/>
      <c r="AA866" s="94"/>
      <c r="AB866" s="94"/>
      <c r="AC866" s="94"/>
      <c r="AD866" s="94"/>
      <c r="AE866" s="94"/>
      <c r="AF866" s="94"/>
      <c r="AG866" s="94"/>
      <c r="AH866" s="94"/>
      <c r="AI866" s="94"/>
      <c r="AJ866" s="94"/>
      <c r="AK866" s="94"/>
      <c r="AL866" s="94"/>
      <c r="AM866" s="94"/>
      <c r="AN866" s="94"/>
      <c r="AO866" s="94"/>
      <c r="AP866" s="94"/>
      <c r="AQ866" s="94"/>
      <c r="AR866" s="94"/>
      <c r="AS866" s="94"/>
      <c r="AT866" s="94"/>
      <c r="AU866" s="94"/>
      <c r="AV866" s="94"/>
      <c r="AW866" s="94"/>
      <c r="AX866" s="94"/>
      <c r="AY866" s="94"/>
      <c r="AZ866" s="94"/>
      <c r="BA866" s="95"/>
    </row>
    <row r="867" spans="1:53" s="87" customFormat="1">
      <c r="A867" s="90" t="str">
        <f t="shared" si="38"/>
        <v/>
      </c>
      <c r="B867" s="98"/>
      <c r="C867" s="94"/>
      <c r="D867" s="94"/>
      <c r="E867" s="94"/>
      <c r="F867" s="94"/>
      <c r="G867" s="94"/>
      <c r="H867" s="94"/>
      <c r="I867" s="94"/>
      <c r="J867" s="94"/>
      <c r="K867" s="94"/>
      <c r="L867" s="94"/>
      <c r="M867" s="94"/>
      <c r="N867" s="94"/>
      <c r="O867" s="94"/>
      <c r="P867" s="94"/>
      <c r="Q867" s="94"/>
      <c r="R867" s="94"/>
      <c r="S867" s="94"/>
      <c r="T867" s="94"/>
      <c r="U867" s="94"/>
      <c r="V867" s="94"/>
      <c r="W867" s="94"/>
      <c r="X867" s="94"/>
      <c r="Y867" s="94"/>
      <c r="Z867" s="94"/>
      <c r="AA867" s="94"/>
      <c r="AB867" s="94"/>
      <c r="AC867" s="94"/>
      <c r="AD867" s="94"/>
      <c r="AE867" s="94"/>
      <c r="AF867" s="94"/>
      <c r="AG867" s="94"/>
      <c r="AH867" s="94"/>
      <c r="AI867" s="94"/>
      <c r="AJ867" s="94"/>
      <c r="AK867" s="94"/>
      <c r="AL867" s="94"/>
      <c r="AM867" s="94"/>
      <c r="AN867" s="94"/>
      <c r="AO867" s="94"/>
      <c r="AP867" s="94"/>
      <c r="AQ867" s="94"/>
      <c r="AR867" s="94"/>
      <c r="AS867" s="94"/>
      <c r="AT867" s="94"/>
      <c r="AU867" s="94"/>
      <c r="AV867" s="94"/>
      <c r="AW867" s="94"/>
      <c r="AX867" s="94"/>
      <c r="AY867" s="94"/>
      <c r="AZ867" s="94"/>
      <c r="BA867" s="95"/>
    </row>
    <row r="868" spans="1:53" s="87" customFormat="1">
      <c r="A868" s="90" t="str">
        <f t="shared" si="38"/>
        <v/>
      </c>
      <c r="B868" s="98"/>
      <c r="C868" s="94"/>
      <c r="D868" s="94"/>
      <c r="E868" s="94"/>
      <c r="F868" s="94"/>
      <c r="G868" s="94"/>
      <c r="H868" s="94"/>
      <c r="I868" s="94"/>
      <c r="J868" s="94"/>
      <c r="K868" s="94"/>
      <c r="L868" s="94"/>
      <c r="M868" s="94"/>
      <c r="N868" s="94"/>
      <c r="O868" s="94"/>
      <c r="P868" s="94"/>
      <c r="Q868" s="94"/>
      <c r="R868" s="94"/>
      <c r="S868" s="94"/>
      <c r="T868" s="94"/>
      <c r="U868" s="94"/>
      <c r="V868" s="94"/>
      <c r="W868" s="94"/>
      <c r="X868" s="94"/>
      <c r="Y868" s="94"/>
      <c r="Z868" s="94"/>
      <c r="AA868" s="94"/>
      <c r="AB868" s="94"/>
      <c r="AC868" s="94"/>
      <c r="AD868" s="94"/>
      <c r="AE868" s="94"/>
      <c r="AF868" s="94"/>
      <c r="AG868" s="94"/>
      <c r="AH868" s="94"/>
      <c r="AI868" s="94"/>
      <c r="AJ868" s="94"/>
      <c r="AK868" s="94"/>
      <c r="AL868" s="94"/>
      <c r="AM868" s="94"/>
      <c r="AN868" s="94"/>
      <c r="AO868" s="94"/>
      <c r="AP868" s="94"/>
      <c r="AQ868" s="94"/>
      <c r="AR868" s="94"/>
      <c r="AS868" s="94"/>
      <c r="AT868" s="94"/>
      <c r="AU868" s="94"/>
      <c r="AV868" s="94"/>
      <c r="AW868" s="94"/>
      <c r="AX868" s="94"/>
      <c r="AY868" s="94"/>
      <c r="AZ868" s="94"/>
      <c r="BA868" s="95"/>
    </row>
    <row r="869" spans="1:53" s="87" customFormat="1">
      <c r="A869" s="90" t="str">
        <f t="shared" si="38"/>
        <v/>
      </c>
      <c r="B869" s="98"/>
      <c r="C869" s="94"/>
      <c r="D869" s="94"/>
      <c r="E869" s="94"/>
      <c r="F869" s="94"/>
      <c r="G869" s="94"/>
      <c r="H869" s="94"/>
      <c r="I869" s="94"/>
      <c r="J869" s="94"/>
      <c r="K869" s="94"/>
      <c r="L869" s="94"/>
      <c r="M869" s="94"/>
      <c r="N869" s="94"/>
      <c r="O869" s="94"/>
      <c r="P869" s="94"/>
      <c r="Q869" s="94"/>
      <c r="R869" s="94"/>
      <c r="S869" s="94"/>
      <c r="T869" s="94"/>
      <c r="U869" s="94"/>
      <c r="V869" s="94"/>
      <c r="W869" s="94"/>
      <c r="X869" s="94"/>
      <c r="Y869" s="94"/>
      <c r="Z869" s="94"/>
      <c r="AA869" s="94"/>
      <c r="AB869" s="94"/>
      <c r="AC869" s="94"/>
      <c r="AD869" s="94"/>
      <c r="AE869" s="94"/>
      <c r="AF869" s="94"/>
      <c r="AG869" s="94"/>
      <c r="AH869" s="94"/>
      <c r="AI869" s="94"/>
      <c r="AJ869" s="94"/>
      <c r="AK869" s="94"/>
      <c r="AL869" s="94"/>
      <c r="AM869" s="94"/>
      <c r="AN869" s="94"/>
      <c r="AO869" s="94"/>
      <c r="AP869" s="94"/>
      <c r="AQ869" s="94"/>
      <c r="AR869" s="94"/>
      <c r="AS869" s="94"/>
      <c r="AT869" s="94"/>
      <c r="AU869" s="94"/>
      <c r="AV869" s="94"/>
      <c r="AW869" s="94"/>
      <c r="AX869" s="94"/>
      <c r="AY869" s="94"/>
      <c r="AZ869" s="94"/>
      <c r="BA869" s="95"/>
    </row>
    <row r="870" spans="1:53" s="87" customFormat="1">
      <c r="A870" s="90" t="str">
        <f t="shared" si="38"/>
        <v/>
      </c>
      <c r="B870" s="98"/>
      <c r="C870" s="94"/>
      <c r="D870" s="94"/>
      <c r="E870" s="94"/>
      <c r="F870" s="94"/>
      <c r="G870" s="94"/>
      <c r="H870" s="94"/>
      <c r="I870" s="94"/>
      <c r="J870" s="94"/>
      <c r="K870" s="94"/>
      <c r="L870" s="94"/>
      <c r="M870" s="94"/>
      <c r="N870" s="94"/>
      <c r="O870" s="94"/>
      <c r="P870" s="94"/>
      <c r="Q870" s="94"/>
      <c r="R870" s="94"/>
      <c r="S870" s="94"/>
      <c r="T870" s="94"/>
      <c r="U870" s="94"/>
      <c r="V870" s="94"/>
      <c r="W870" s="94"/>
      <c r="X870" s="94"/>
      <c r="Y870" s="94"/>
      <c r="Z870" s="94"/>
      <c r="AA870" s="94"/>
      <c r="AB870" s="94"/>
      <c r="AC870" s="94"/>
      <c r="AD870" s="94"/>
      <c r="AE870" s="94"/>
      <c r="AF870" s="94"/>
      <c r="AG870" s="94"/>
      <c r="AH870" s="94"/>
      <c r="AI870" s="94"/>
      <c r="AJ870" s="94"/>
      <c r="AK870" s="94"/>
      <c r="AL870" s="94"/>
      <c r="AM870" s="94"/>
      <c r="AN870" s="94"/>
      <c r="AO870" s="94"/>
      <c r="AP870" s="94"/>
      <c r="AQ870" s="94"/>
      <c r="AR870" s="94"/>
      <c r="AS870" s="94"/>
      <c r="AT870" s="94"/>
      <c r="AU870" s="94"/>
      <c r="AV870" s="94"/>
      <c r="AW870" s="94"/>
      <c r="AX870" s="94"/>
      <c r="AY870" s="94"/>
      <c r="AZ870" s="94"/>
      <c r="BA870" s="95"/>
    </row>
    <row r="871" spans="1:53" s="87" customFormat="1">
      <c r="A871" s="90" t="str">
        <f t="shared" si="38"/>
        <v/>
      </c>
      <c r="B871" s="98"/>
      <c r="C871" s="94"/>
      <c r="D871" s="94"/>
      <c r="E871" s="94"/>
      <c r="F871" s="94"/>
      <c r="G871" s="94"/>
      <c r="H871" s="94"/>
      <c r="I871" s="94"/>
      <c r="J871" s="94"/>
      <c r="K871" s="94"/>
      <c r="L871" s="94"/>
      <c r="M871" s="94"/>
      <c r="N871" s="94"/>
      <c r="O871" s="94"/>
      <c r="P871" s="94"/>
      <c r="Q871" s="94"/>
      <c r="R871" s="94"/>
      <c r="S871" s="94"/>
      <c r="T871" s="94"/>
      <c r="U871" s="94"/>
      <c r="V871" s="94"/>
      <c r="W871" s="94"/>
      <c r="X871" s="94"/>
      <c r="Y871" s="94"/>
      <c r="Z871" s="94"/>
      <c r="AA871" s="94"/>
      <c r="AB871" s="94"/>
      <c r="AC871" s="94"/>
      <c r="AD871" s="94"/>
      <c r="AE871" s="94"/>
      <c r="AF871" s="94"/>
      <c r="AG871" s="94"/>
      <c r="AH871" s="94"/>
      <c r="AI871" s="94"/>
      <c r="AJ871" s="94"/>
      <c r="AK871" s="94"/>
      <c r="AL871" s="94"/>
      <c r="AM871" s="94"/>
      <c r="AN871" s="94"/>
      <c r="AO871" s="94"/>
      <c r="AP871" s="94"/>
      <c r="AQ871" s="94"/>
      <c r="AR871" s="94"/>
      <c r="AS871" s="94"/>
      <c r="AT871" s="94"/>
      <c r="AU871" s="94"/>
      <c r="AV871" s="94"/>
      <c r="AW871" s="94"/>
      <c r="AX871" s="94"/>
      <c r="AY871" s="94"/>
      <c r="AZ871" s="94"/>
      <c r="BA871" s="95"/>
    </row>
    <row r="872" spans="1:53" s="87" customFormat="1">
      <c r="A872" s="90" t="str">
        <f t="shared" si="38"/>
        <v/>
      </c>
      <c r="B872" s="98"/>
      <c r="C872" s="94"/>
      <c r="D872" s="94"/>
      <c r="E872" s="94"/>
      <c r="F872" s="94"/>
      <c r="G872" s="94"/>
      <c r="H872" s="94"/>
      <c r="I872" s="94"/>
      <c r="J872" s="94"/>
      <c r="K872" s="94"/>
      <c r="L872" s="94"/>
      <c r="M872" s="94"/>
      <c r="N872" s="94"/>
      <c r="O872" s="94"/>
      <c r="P872" s="94"/>
      <c r="Q872" s="94"/>
      <c r="R872" s="94"/>
      <c r="S872" s="94"/>
      <c r="T872" s="94"/>
      <c r="U872" s="94"/>
      <c r="V872" s="94"/>
      <c r="W872" s="94"/>
      <c r="X872" s="94"/>
      <c r="Y872" s="94"/>
      <c r="Z872" s="94"/>
      <c r="AA872" s="94"/>
      <c r="AB872" s="94"/>
      <c r="AC872" s="94"/>
      <c r="AD872" s="94"/>
      <c r="AE872" s="94"/>
      <c r="AF872" s="94"/>
      <c r="AG872" s="94"/>
      <c r="AH872" s="94"/>
      <c r="AI872" s="94"/>
      <c r="AJ872" s="94"/>
      <c r="AK872" s="94"/>
      <c r="AL872" s="94"/>
      <c r="AM872" s="94"/>
      <c r="AN872" s="94"/>
      <c r="AO872" s="94"/>
      <c r="AP872" s="94"/>
      <c r="AQ872" s="94"/>
      <c r="AR872" s="94"/>
      <c r="AS872" s="94"/>
      <c r="AT872" s="94"/>
      <c r="AU872" s="94"/>
      <c r="AV872" s="94"/>
      <c r="AW872" s="94"/>
      <c r="AX872" s="94"/>
      <c r="AY872" s="94"/>
      <c r="AZ872" s="94"/>
      <c r="BA872" s="95"/>
    </row>
    <row r="873" spans="1:53" s="87" customFormat="1">
      <c r="A873" s="90" t="str">
        <f t="shared" si="38"/>
        <v/>
      </c>
      <c r="B873" s="98"/>
      <c r="C873" s="94"/>
      <c r="D873" s="94"/>
      <c r="E873" s="94"/>
      <c r="F873" s="94"/>
      <c r="G873" s="94"/>
      <c r="H873" s="94"/>
      <c r="I873" s="94"/>
      <c r="J873" s="94"/>
      <c r="K873" s="94"/>
      <c r="L873" s="94"/>
      <c r="M873" s="94"/>
      <c r="N873" s="94"/>
      <c r="O873" s="94"/>
      <c r="P873" s="94"/>
      <c r="Q873" s="94"/>
      <c r="R873" s="94"/>
      <c r="S873" s="94"/>
      <c r="T873" s="94"/>
      <c r="U873" s="94"/>
      <c r="V873" s="94"/>
      <c r="W873" s="94"/>
      <c r="X873" s="94"/>
      <c r="Y873" s="94"/>
      <c r="Z873" s="94"/>
      <c r="AA873" s="94"/>
      <c r="AB873" s="94"/>
      <c r="AC873" s="94"/>
      <c r="AD873" s="94"/>
      <c r="AE873" s="94"/>
      <c r="AF873" s="94"/>
      <c r="AG873" s="94"/>
      <c r="AH873" s="94"/>
      <c r="AI873" s="94"/>
      <c r="AJ873" s="94"/>
      <c r="AK873" s="94"/>
      <c r="AL873" s="94"/>
      <c r="AM873" s="94"/>
      <c r="AN873" s="94"/>
      <c r="AO873" s="94"/>
      <c r="AP873" s="94"/>
      <c r="AQ873" s="94"/>
      <c r="AR873" s="94"/>
      <c r="AS873" s="94"/>
      <c r="AT873" s="94"/>
      <c r="AU873" s="94"/>
      <c r="AV873" s="94"/>
      <c r="AW873" s="94"/>
      <c r="AX873" s="94"/>
      <c r="AY873" s="94"/>
      <c r="AZ873" s="94"/>
      <c r="BA873" s="95"/>
    </row>
    <row r="874" spans="1:53" s="87" customFormat="1">
      <c r="A874" s="90" t="str">
        <f t="shared" si="38"/>
        <v/>
      </c>
      <c r="B874" s="98"/>
      <c r="C874" s="94"/>
      <c r="D874" s="94"/>
      <c r="E874" s="94"/>
      <c r="F874" s="94"/>
      <c r="G874" s="94"/>
      <c r="H874" s="94"/>
      <c r="I874" s="94"/>
      <c r="J874" s="94"/>
      <c r="K874" s="94"/>
      <c r="L874" s="94"/>
      <c r="M874" s="94"/>
      <c r="N874" s="94"/>
      <c r="O874" s="94"/>
      <c r="P874" s="94"/>
      <c r="Q874" s="94"/>
      <c r="R874" s="94"/>
      <c r="S874" s="94"/>
      <c r="T874" s="94"/>
      <c r="U874" s="94"/>
      <c r="V874" s="94"/>
      <c r="W874" s="94"/>
      <c r="X874" s="94"/>
      <c r="Y874" s="94"/>
      <c r="Z874" s="94"/>
      <c r="AA874" s="94"/>
      <c r="AB874" s="94"/>
      <c r="AC874" s="94"/>
      <c r="AD874" s="94"/>
      <c r="AE874" s="94"/>
      <c r="AF874" s="94"/>
      <c r="AG874" s="94"/>
      <c r="AH874" s="94"/>
      <c r="AI874" s="94"/>
      <c r="AJ874" s="94"/>
      <c r="AK874" s="94"/>
      <c r="AL874" s="94"/>
      <c r="AM874" s="94"/>
      <c r="AN874" s="94"/>
      <c r="AO874" s="94"/>
      <c r="AP874" s="94"/>
      <c r="AQ874" s="94"/>
      <c r="AR874" s="94"/>
      <c r="AS874" s="94"/>
      <c r="AT874" s="94"/>
      <c r="AU874" s="94"/>
      <c r="AV874" s="94"/>
      <c r="AW874" s="94"/>
      <c r="AX874" s="94"/>
      <c r="AY874" s="94"/>
      <c r="AZ874" s="94"/>
      <c r="BA874" s="95"/>
    </row>
    <row r="875" spans="1:53" s="87" customFormat="1">
      <c r="A875" s="90" t="str">
        <f t="shared" si="38"/>
        <v/>
      </c>
      <c r="B875" s="98"/>
      <c r="C875" s="94"/>
      <c r="D875" s="94"/>
      <c r="E875" s="94"/>
      <c r="F875" s="94"/>
      <c r="G875" s="94"/>
      <c r="H875" s="94"/>
      <c r="I875" s="94"/>
      <c r="J875" s="94"/>
      <c r="K875" s="94"/>
      <c r="L875" s="94"/>
      <c r="M875" s="94"/>
      <c r="N875" s="94"/>
      <c r="O875" s="94"/>
      <c r="P875" s="94"/>
      <c r="Q875" s="94"/>
      <c r="R875" s="94"/>
      <c r="S875" s="94"/>
      <c r="T875" s="94"/>
      <c r="U875" s="94"/>
      <c r="V875" s="94"/>
      <c r="W875" s="94"/>
      <c r="X875" s="94"/>
      <c r="Y875" s="94"/>
      <c r="Z875" s="94"/>
      <c r="AA875" s="94"/>
      <c r="AB875" s="94"/>
      <c r="AC875" s="94"/>
      <c r="AD875" s="94"/>
      <c r="AE875" s="94"/>
      <c r="AF875" s="94"/>
      <c r="AG875" s="94"/>
      <c r="AH875" s="94"/>
      <c r="AI875" s="94"/>
      <c r="AJ875" s="94"/>
      <c r="AK875" s="94"/>
      <c r="AL875" s="94"/>
      <c r="AM875" s="94"/>
      <c r="AN875" s="94"/>
      <c r="AO875" s="94"/>
      <c r="AP875" s="94"/>
      <c r="AQ875" s="94"/>
      <c r="AR875" s="94"/>
      <c r="AS875" s="94"/>
      <c r="AT875" s="94"/>
      <c r="AU875" s="94"/>
      <c r="AV875" s="94"/>
      <c r="AW875" s="94"/>
      <c r="AX875" s="94"/>
      <c r="AY875" s="94"/>
      <c r="AZ875" s="94"/>
      <c r="BA875" s="95"/>
    </row>
    <row r="876" spans="1:53" s="87" customFormat="1">
      <c r="A876" s="90" t="str">
        <f t="shared" si="38"/>
        <v/>
      </c>
      <c r="B876" s="98"/>
      <c r="C876" s="94"/>
      <c r="D876" s="94"/>
      <c r="E876" s="94"/>
      <c r="F876" s="94"/>
      <c r="G876" s="94"/>
      <c r="H876" s="94"/>
      <c r="I876" s="94"/>
      <c r="J876" s="94"/>
      <c r="K876" s="94"/>
      <c r="L876" s="94"/>
      <c r="M876" s="94"/>
      <c r="N876" s="94"/>
      <c r="O876" s="94"/>
      <c r="P876" s="94"/>
      <c r="Q876" s="94"/>
      <c r="R876" s="94"/>
      <c r="S876" s="94"/>
      <c r="T876" s="94"/>
      <c r="U876" s="94"/>
      <c r="V876" s="94"/>
      <c r="W876" s="94"/>
      <c r="X876" s="94"/>
      <c r="Y876" s="94"/>
      <c r="Z876" s="94"/>
      <c r="AA876" s="94"/>
      <c r="AB876" s="94"/>
      <c r="AC876" s="94"/>
      <c r="AD876" s="94"/>
      <c r="AE876" s="94"/>
      <c r="AF876" s="94"/>
      <c r="AG876" s="94"/>
      <c r="AH876" s="94"/>
      <c r="AI876" s="94"/>
      <c r="AJ876" s="94"/>
      <c r="AK876" s="94"/>
      <c r="AL876" s="94"/>
      <c r="AM876" s="94"/>
      <c r="AN876" s="94"/>
      <c r="AO876" s="94"/>
      <c r="AP876" s="94"/>
      <c r="AQ876" s="94"/>
      <c r="AR876" s="94"/>
      <c r="AS876" s="94"/>
      <c r="AT876" s="94"/>
      <c r="AU876" s="94"/>
      <c r="AV876" s="94"/>
      <c r="AW876" s="94"/>
      <c r="AX876" s="94"/>
      <c r="AY876" s="94"/>
      <c r="AZ876" s="94"/>
      <c r="BA876" s="95"/>
    </row>
    <row r="877" spans="1:53" s="87" customFormat="1">
      <c r="A877" s="90" t="str">
        <f t="shared" si="38"/>
        <v/>
      </c>
      <c r="B877" s="98"/>
      <c r="C877" s="94"/>
      <c r="D877" s="94"/>
      <c r="E877" s="94"/>
      <c r="F877" s="94"/>
      <c r="G877" s="94"/>
      <c r="H877" s="94"/>
      <c r="I877" s="94"/>
      <c r="J877" s="94"/>
      <c r="K877" s="94"/>
      <c r="L877" s="94"/>
      <c r="M877" s="94"/>
      <c r="N877" s="94"/>
      <c r="O877" s="94"/>
      <c r="P877" s="94"/>
      <c r="Q877" s="94"/>
      <c r="R877" s="94"/>
      <c r="S877" s="94"/>
      <c r="T877" s="94"/>
      <c r="U877" s="94"/>
      <c r="V877" s="94"/>
      <c r="W877" s="94"/>
      <c r="X877" s="94"/>
      <c r="Y877" s="94"/>
      <c r="Z877" s="94"/>
      <c r="AA877" s="94"/>
      <c r="AB877" s="94"/>
      <c r="AC877" s="94"/>
      <c r="AD877" s="94"/>
      <c r="AE877" s="94"/>
      <c r="AF877" s="94"/>
      <c r="AG877" s="94"/>
      <c r="AH877" s="94"/>
      <c r="AI877" s="94"/>
      <c r="AJ877" s="94"/>
      <c r="AK877" s="94"/>
      <c r="AL877" s="94"/>
      <c r="AM877" s="94"/>
      <c r="AN877" s="94"/>
      <c r="AO877" s="94"/>
      <c r="AP877" s="94"/>
      <c r="AQ877" s="94"/>
      <c r="AR877" s="94"/>
      <c r="AS877" s="94"/>
      <c r="AT877" s="94"/>
      <c r="AU877" s="94"/>
      <c r="AV877" s="94"/>
      <c r="AW877" s="94"/>
      <c r="AX877" s="94"/>
      <c r="AY877" s="94"/>
      <c r="AZ877" s="94"/>
      <c r="BA877" s="95"/>
    </row>
    <row r="878" spans="1:53" s="87" customFormat="1">
      <c r="A878" s="90" t="str">
        <f t="shared" si="38"/>
        <v/>
      </c>
      <c r="B878" s="98"/>
      <c r="C878" s="94"/>
      <c r="D878" s="94"/>
      <c r="E878" s="94"/>
      <c r="F878" s="94"/>
      <c r="G878" s="94"/>
      <c r="H878" s="94"/>
      <c r="I878" s="94"/>
      <c r="J878" s="94"/>
      <c r="K878" s="94"/>
      <c r="L878" s="94"/>
      <c r="M878" s="94"/>
      <c r="N878" s="94"/>
      <c r="O878" s="94"/>
      <c r="P878" s="94"/>
      <c r="Q878" s="94"/>
      <c r="R878" s="94"/>
      <c r="S878" s="94"/>
      <c r="T878" s="94"/>
      <c r="U878" s="94"/>
      <c r="V878" s="94"/>
      <c r="W878" s="94"/>
      <c r="X878" s="94"/>
      <c r="Y878" s="94"/>
      <c r="Z878" s="94"/>
      <c r="AA878" s="94"/>
      <c r="AB878" s="94"/>
      <c r="AC878" s="94"/>
      <c r="AD878" s="94"/>
      <c r="AE878" s="94"/>
      <c r="AF878" s="94"/>
      <c r="AG878" s="94"/>
      <c r="AH878" s="94"/>
      <c r="AI878" s="94"/>
      <c r="AJ878" s="94"/>
      <c r="AK878" s="94"/>
      <c r="AL878" s="94"/>
      <c r="AM878" s="94"/>
      <c r="AN878" s="94"/>
      <c r="AO878" s="94"/>
      <c r="AP878" s="94"/>
      <c r="AQ878" s="94"/>
      <c r="AR878" s="94"/>
      <c r="AS878" s="94"/>
      <c r="AT878" s="94"/>
      <c r="AU878" s="94"/>
      <c r="AV878" s="94"/>
      <c r="AW878" s="94"/>
      <c r="AX878" s="94"/>
      <c r="AY878" s="94"/>
      <c r="AZ878" s="94"/>
      <c r="BA878" s="95"/>
    </row>
    <row r="879" spans="1:53" s="87" customFormat="1">
      <c r="A879" s="90" t="str">
        <f t="shared" si="38"/>
        <v/>
      </c>
      <c r="B879" s="98"/>
      <c r="C879" s="94"/>
      <c r="D879" s="94"/>
      <c r="E879" s="94"/>
      <c r="F879" s="94"/>
      <c r="G879" s="94"/>
      <c r="H879" s="94"/>
      <c r="I879" s="94"/>
      <c r="J879" s="94"/>
      <c r="K879" s="94"/>
      <c r="L879" s="94"/>
      <c r="M879" s="94"/>
      <c r="N879" s="94"/>
      <c r="O879" s="94"/>
      <c r="P879" s="94"/>
      <c r="Q879" s="94"/>
      <c r="R879" s="94"/>
      <c r="S879" s="94"/>
      <c r="T879" s="94"/>
      <c r="U879" s="94"/>
      <c r="V879" s="94"/>
      <c r="W879" s="94"/>
      <c r="X879" s="94"/>
      <c r="Y879" s="94"/>
      <c r="Z879" s="94"/>
      <c r="AA879" s="94"/>
      <c r="AB879" s="94"/>
      <c r="AC879" s="94"/>
      <c r="AD879" s="94"/>
      <c r="AE879" s="94"/>
      <c r="AF879" s="94"/>
      <c r="AG879" s="94"/>
      <c r="AH879" s="94"/>
      <c r="AI879" s="94"/>
      <c r="AJ879" s="94"/>
      <c r="AK879" s="94"/>
      <c r="AL879" s="94"/>
      <c r="AM879" s="94"/>
      <c r="AN879" s="94"/>
      <c r="AO879" s="94"/>
      <c r="AP879" s="94"/>
      <c r="AQ879" s="94"/>
      <c r="AR879" s="94"/>
      <c r="AS879" s="94"/>
      <c r="AT879" s="94"/>
      <c r="AU879" s="94"/>
      <c r="AV879" s="94"/>
      <c r="AW879" s="94"/>
      <c r="AX879" s="94"/>
      <c r="AY879" s="94"/>
      <c r="AZ879" s="94"/>
      <c r="BA879" s="95"/>
    </row>
    <row r="880" spans="1:53" s="87" customFormat="1">
      <c r="A880" s="90" t="str">
        <f t="shared" si="38"/>
        <v/>
      </c>
      <c r="B880" s="98"/>
      <c r="C880" s="94"/>
      <c r="D880" s="94"/>
      <c r="E880" s="94"/>
      <c r="F880" s="94"/>
      <c r="G880" s="94"/>
      <c r="H880" s="94"/>
      <c r="I880" s="94"/>
      <c r="J880" s="94"/>
      <c r="K880" s="94"/>
      <c r="L880" s="94"/>
      <c r="M880" s="94"/>
      <c r="N880" s="94"/>
      <c r="O880" s="94"/>
      <c r="P880" s="94"/>
      <c r="Q880" s="94"/>
      <c r="R880" s="94"/>
      <c r="S880" s="94"/>
      <c r="T880" s="94"/>
      <c r="U880" s="94"/>
      <c r="V880" s="94"/>
      <c r="W880" s="94"/>
      <c r="X880" s="94"/>
      <c r="Y880" s="94"/>
      <c r="Z880" s="94"/>
      <c r="AA880" s="94"/>
      <c r="AB880" s="94"/>
      <c r="AC880" s="94"/>
      <c r="AD880" s="94"/>
      <c r="AE880" s="94"/>
      <c r="AF880" s="94"/>
      <c r="AG880" s="94"/>
      <c r="AH880" s="94"/>
      <c r="AI880" s="94"/>
      <c r="AJ880" s="94"/>
      <c r="AK880" s="94"/>
      <c r="AL880" s="94"/>
      <c r="AM880" s="94"/>
      <c r="AN880" s="94"/>
      <c r="AO880" s="94"/>
      <c r="AP880" s="94"/>
      <c r="AQ880" s="94"/>
      <c r="AR880" s="94"/>
      <c r="AS880" s="94"/>
      <c r="AT880" s="94"/>
      <c r="AU880" s="94"/>
      <c r="AV880" s="94"/>
      <c r="AW880" s="94"/>
      <c r="AX880" s="94"/>
      <c r="AY880" s="94"/>
      <c r="AZ880" s="94"/>
      <c r="BA880" s="95"/>
    </row>
    <row r="881" spans="1:53" s="87" customFormat="1">
      <c r="A881" s="90" t="str">
        <f t="shared" si="38"/>
        <v/>
      </c>
      <c r="B881" s="98"/>
      <c r="C881" s="94"/>
      <c r="D881" s="94"/>
      <c r="E881" s="94"/>
      <c r="F881" s="94"/>
      <c r="G881" s="94"/>
      <c r="H881" s="94"/>
      <c r="I881" s="94"/>
      <c r="J881" s="94"/>
      <c r="K881" s="94"/>
      <c r="L881" s="94"/>
      <c r="M881" s="94"/>
      <c r="N881" s="94"/>
      <c r="O881" s="94"/>
      <c r="P881" s="94"/>
      <c r="Q881" s="94"/>
      <c r="R881" s="94"/>
      <c r="S881" s="94"/>
      <c r="T881" s="94"/>
      <c r="U881" s="94"/>
      <c r="V881" s="94"/>
      <c r="W881" s="94"/>
      <c r="X881" s="94"/>
      <c r="Y881" s="94"/>
      <c r="Z881" s="94"/>
      <c r="AA881" s="94"/>
      <c r="AB881" s="94"/>
      <c r="AC881" s="94"/>
      <c r="AD881" s="94"/>
      <c r="AE881" s="94"/>
      <c r="AF881" s="94"/>
      <c r="AG881" s="94"/>
      <c r="AH881" s="94"/>
      <c r="AI881" s="94"/>
      <c r="AJ881" s="94"/>
      <c r="AK881" s="94"/>
      <c r="AL881" s="94"/>
      <c r="AM881" s="94"/>
      <c r="AN881" s="94"/>
      <c r="AO881" s="94"/>
      <c r="AP881" s="94"/>
      <c r="AQ881" s="94"/>
      <c r="AR881" s="94"/>
      <c r="AS881" s="94"/>
      <c r="AT881" s="94"/>
      <c r="AU881" s="94"/>
      <c r="AV881" s="94"/>
      <c r="AW881" s="94"/>
      <c r="AX881" s="94"/>
      <c r="AY881" s="94"/>
      <c r="AZ881" s="94"/>
      <c r="BA881" s="95"/>
    </row>
    <row r="882" spans="1:53" s="87" customFormat="1">
      <c r="A882" s="90" t="str">
        <f t="shared" si="38"/>
        <v/>
      </c>
      <c r="B882" s="98"/>
      <c r="C882" s="94"/>
      <c r="D882" s="94"/>
      <c r="E882" s="94"/>
      <c r="F882" s="94"/>
      <c r="G882" s="94"/>
      <c r="H882" s="94"/>
      <c r="I882" s="94"/>
      <c r="J882" s="94"/>
      <c r="K882" s="94"/>
      <c r="L882" s="94"/>
      <c r="M882" s="94"/>
      <c r="N882" s="94"/>
      <c r="O882" s="94"/>
      <c r="P882" s="94"/>
      <c r="Q882" s="94"/>
      <c r="R882" s="94"/>
      <c r="S882" s="94"/>
      <c r="T882" s="94"/>
      <c r="U882" s="94"/>
      <c r="V882" s="94"/>
      <c r="W882" s="94"/>
      <c r="X882" s="94"/>
      <c r="Y882" s="94"/>
      <c r="Z882" s="94"/>
      <c r="AA882" s="94"/>
      <c r="AB882" s="94"/>
      <c r="AC882" s="94"/>
      <c r="AD882" s="94"/>
      <c r="AE882" s="94"/>
      <c r="AF882" s="94"/>
      <c r="AG882" s="94"/>
      <c r="AH882" s="94"/>
      <c r="AI882" s="94"/>
      <c r="AJ882" s="94"/>
      <c r="AK882" s="94"/>
      <c r="AL882" s="94"/>
      <c r="AM882" s="94"/>
      <c r="AN882" s="94"/>
      <c r="AO882" s="94"/>
      <c r="AP882" s="94"/>
      <c r="AQ882" s="94"/>
      <c r="AR882" s="94"/>
      <c r="AS882" s="94"/>
      <c r="AT882" s="94"/>
      <c r="AU882" s="94"/>
      <c r="AV882" s="94"/>
      <c r="AW882" s="94"/>
      <c r="AX882" s="94"/>
      <c r="AY882" s="94"/>
      <c r="AZ882" s="94"/>
      <c r="BA882" s="95"/>
    </row>
    <row r="883" spans="1:53" s="87" customFormat="1">
      <c r="A883" s="90" t="str">
        <f t="shared" si="38"/>
        <v/>
      </c>
      <c r="B883" s="98"/>
      <c r="C883" s="94"/>
      <c r="D883" s="94"/>
      <c r="E883" s="94"/>
      <c r="F883" s="94"/>
      <c r="G883" s="94"/>
      <c r="H883" s="94"/>
      <c r="I883" s="94"/>
      <c r="J883" s="94"/>
      <c r="K883" s="94"/>
      <c r="L883" s="94"/>
      <c r="M883" s="94"/>
      <c r="N883" s="94"/>
      <c r="O883" s="94"/>
      <c r="P883" s="94"/>
      <c r="Q883" s="94"/>
      <c r="R883" s="94"/>
      <c r="S883" s="94"/>
      <c r="T883" s="94"/>
      <c r="U883" s="94"/>
      <c r="V883" s="94"/>
      <c r="W883" s="94"/>
      <c r="X883" s="94"/>
      <c r="Y883" s="94"/>
      <c r="Z883" s="94"/>
      <c r="AA883" s="94"/>
      <c r="AB883" s="94"/>
      <c r="AC883" s="94"/>
      <c r="AD883" s="94"/>
      <c r="AE883" s="94"/>
      <c r="AF883" s="94"/>
      <c r="AG883" s="94"/>
      <c r="AH883" s="94"/>
      <c r="AI883" s="94"/>
      <c r="AJ883" s="94"/>
      <c r="AK883" s="94"/>
      <c r="AL883" s="94"/>
      <c r="AM883" s="94"/>
      <c r="AN883" s="94"/>
      <c r="AO883" s="94"/>
      <c r="AP883" s="94"/>
      <c r="AQ883" s="94"/>
      <c r="AR883" s="94"/>
      <c r="AS883" s="94"/>
      <c r="AT883" s="94"/>
      <c r="AU883" s="94"/>
      <c r="AV883" s="94"/>
      <c r="AW883" s="94"/>
      <c r="AX883" s="94"/>
      <c r="AY883" s="94"/>
      <c r="AZ883" s="94"/>
      <c r="BA883" s="95"/>
    </row>
    <row r="884" spans="1:53" s="87" customFormat="1">
      <c r="A884" s="90" t="str">
        <f t="shared" si="38"/>
        <v/>
      </c>
      <c r="B884" s="98"/>
      <c r="C884" s="94"/>
      <c r="D884" s="94"/>
      <c r="E884" s="94"/>
      <c r="F884" s="94"/>
      <c r="G884" s="94"/>
      <c r="H884" s="94"/>
      <c r="I884" s="94"/>
      <c r="J884" s="94"/>
      <c r="K884" s="94"/>
      <c r="L884" s="94"/>
      <c r="M884" s="94"/>
      <c r="N884" s="94"/>
      <c r="O884" s="94"/>
      <c r="P884" s="94"/>
      <c r="Q884" s="94"/>
      <c r="R884" s="94"/>
      <c r="S884" s="94"/>
      <c r="T884" s="94"/>
      <c r="U884" s="94"/>
      <c r="V884" s="94"/>
      <c r="W884" s="94"/>
      <c r="X884" s="94"/>
      <c r="Y884" s="94"/>
      <c r="Z884" s="94"/>
      <c r="AA884" s="94"/>
      <c r="AB884" s="94"/>
      <c r="AC884" s="94"/>
      <c r="AD884" s="94"/>
      <c r="AE884" s="94"/>
      <c r="AF884" s="94"/>
      <c r="AG884" s="94"/>
      <c r="AH884" s="94"/>
      <c r="AI884" s="94"/>
      <c r="AJ884" s="94"/>
      <c r="AK884" s="94"/>
      <c r="AL884" s="94"/>
      <c r="AM884" s="94"/>
      <c r="AN884" s="94"/>
      <c r="AO884" s="94"/>
      <c r="AP884" s="94"/>
      <c r="AQ884" s="94"/>
      <c r="AR884" s="94"/>
      <c r="AS884" s="94"/>
      <c r="AT884" s="94"/>
      <c r="AU884" s="94"/>
      <c r="AV884" s="94"/>
      <c r="AW884" s="94"/>
      <c r="AX884" s="94"/>
      <c r="AY884" s="94"/>
      <c r="AZ884" s="94"/>
      <c r="BA884" s="95"/>
    </row>
    <row r="885" spans="1:53" s="87" customFormat="1">
      <c r="A885" s="90" t="str">
        <f t="shared" si="38"/>
        <v/>
      </c>
      <c r="B885" s="98"/>
      <c r="C885" s="94"/>
      <c r="D885" s="94"/>
      <c r="E885" s="94"/>
      <c r="F885" s="94"/>
      <c r="G885" s="94"/>
      <c r="H885" s="94"/>
      <c r="I885" s="94"/>
      <c r="J885" s="94"/>
      <c r="K885" s="94"/>
      <c r="L885" s="94"/>
      <c r="M885" s="94"/>
      <c r="N885" s="94"/>
      <c r="O885" s="94"/>
      <c r="P885" s="94"/>
      <c r="Q885" s="94"/>
      <c r="R885" s="94"/>
      <c r="S885" s="94"/>
      <c r="T885" s="94"/>
      <c r="U885" s="94"/>
      <c r="V885" s="94"/>
      <c r="W885" s="94"/>
      <c r="X885" s="94"/>
      <c r="Y885" s="94"/>
      <c r="Z885" s="94"/>
      <c r="AA885" s="94"/>
      <c r="AB885" s="94"/>
      <c r="AC885" s="94"/>
      <c r="AD885" s="94"/>
      <c r="AE885" s="94"/>
      <c r="AF885" s="94"/>
      <c r="AG885" s="94"/>
      <c r="AH885" s="94"/>
      <c r="AI885" s="94"/>
      <c r="AJ885" s="94"/>
      <c r="AK885" s="94"/>
      <c r="AL885" s="94"/>
      <c r="AM885" s="94"/>
      <c r="AN885" s="94"/>
      <c r="AO885" s="94"/>
      <c r="AP885" s="94"/>
      <c r="AQ885" s="94"/>
      <c r="AR885" s="94"/>
      <c r="AS885" s="94"/>
      <c r="AT885" s="94"/>
      <c r="AU885" s="94"/>
      <c r="AV885" s="94"/>
      <c r="AW885" s="94"/>
      <c r="AX885" s="94"/>
      <c r="AY885" s="94"/>
      <c r="AZ885" s="94"/>
      <c r="BA885" s="95"/>
    </row>
    <row r="886" spans="1:53" s="87" customFormat="1">
      <c r="A886" s="90" t="str">
        <f t="shared" si="38"/>
        <v/>
      </c>
      <c r="B886" s="98"/>
      <c r="C886" s="94"/>
      <c r="D886" s="94"/>
      <c r="E886" s="94"/>
      <c r="F886" s="94"/>
      <c r="G886" s="94"/>
      <c r="H886" s="94"/>
      <c r="I886" s="94"/>
      <c r="J886" s="94"/>
      <c r="K886" s="94"/>
      <c r="L886" s="94"/>
      <c r="M886" s="94"/>
      <c r="N886" s="94"/>
      <c r="O886" s="94"/>
      <c r="P886" s="94"/>
      <c r="Q886" s="94"/>
      <c r="R886" s="94"/>
      <c r="S886" s="94"/>
      <c r="T886" s="94"/>
      <c r="U886" s="94"/>
      <c r="V886" s="94"/>
      <c r="W886" s="94"/>
      <c r="X886" s="94"/>
      <c r="Y886" s="94"/>
      <c r="Z886" s="94"/>
      <c r="AA886" s="94"/>
      <c r="AB886" s="94"/>
      <c r="AC886" s="94"/>
      <c r="AD886" s="94"/>
      <c r="AE886" s="94"/>
      <c r="AF886" s="94"/>
      <c r="AG886" s="94"/>
      <c r="AH886" s="94"/>
      <c r="AI886" s="94"/>
      <c r="AJ886" s="94"/>
      <c r="AK886" s="94"/>
      <c r="AL886" s="94"/>
      <c r="AM886" s="94"/>
      <c r="AN886" s="94"/>
      <c r="AO886" s="94"/>
      <c r="AP886" s="94"/>
      <c r="AQ886" s="94"/>
      <c r="AR886" s="94"/>
      <c r="AS886" s="94"/>
      <c r="AT886" s="94"/>
      <c r="AU886" s="94"/>
      <c r="AV886" s="94"/>
      <c r="AW886" s="94"/>
      <c r="AX886" s="94"/>
      <c r="AY886" s="94"/>
      <c r="AZ886" s="94"/>
      <c r="BA886" s="95"/>
    </row>
    <row r="887" spans="1:53" s="87" customFormat="1">
      <c r="A887" s="90" t="str">
        <f t="shared" si="38"/>
        <v/>
      </c>
      <c r="B887" s="98"/>
      <c r="C887" s="94"/>
      <c r="D887" s="94"/>
      <c r="E887" s="94"/>
      <c r="F887" s="94"/>
      <c r="G887" s="94"/>
      <c r="H887" s="94"/>
      <c r="I887" s="94"/>
      <c r="J887" s="94"/>
      <c r="K887" s="94"/>
      <c r="L887" s="94"/>
      <c r="M887" s="94"/>
      <c r="N887" s="94"/>
      <c r="O887" s="94"/>
      <c r="P887" s="94"/>
      <c r="Q887" s="94"/>
      <c r="R887" s="94"/>
      <c r="S887" s="94"/>
      <c r="T887" s="94"/>
      <c r="U887" s="94"/>
      <c r="V887" s="94"/>
      <c r="W887" s="94"/>
      <c r="X887" s="94"/>
      <c r="Y887" s="94"/>
      <c r="Z887" s="94"/>
      <c r="AA887" s="94"/>
      <c r="AB887" s="94"/>
      <c r="AC887" s="94"/>
      <c r="AD887" s="94"/>
      <c r="AE887" s="94"/>
      <c r="AF887" s="94"/>
      <c r="AG887" s="94"/>
      <c r="AH887" s="94"/>
      <c r="AI887" s="94"/>
      <c r="AJ887" s="94"/>
      <c r="AK887" s="94"/>
      <c r="AL887" s="94"/>
      <c r="AM887" s="94"/>
      <c r="AN887" s="94"/>
      <c r="AO887" s="94"/>
      <c r="AP887" s="94"/>
      <c r="AQ887" s="94"/>
      <c r="AR887" s="94"/>
      <c r="AS887" s="94"/>
      <c r="AT887" s="94"/>
      <c r="AU887" s="94"/>
      <c r="AV887" s="94"/>
      <c r="AW887" s="94"/>
      <c r="AX887" s="94"/>
      <c r="AY887" s="94"/>
      <c r="AZ887" s="94"/>
      <c r="BA887" s="95"/>
    </row>
    <row r="888" spans="1:53" s="87" customFormat="1">
      <c r="A888" s="90" t="str">
        <f t="shared" si="38"/>
        <v/>
      </c>
      <c r="B888" s="98"/>
      <c r="C888" s="94"/>
      <c r="D888" s="94"/>
      <c r="E888" s="94"/>
      <c r="F888" s="94"/>
      <c r="G888" s="94"/>
      <c r="H888" s="94"/>
      <c r="I888" s="94"/>
      <c r="J888" s="94"/>
      <c r="K888" s="94"/>
      <c r="L888" s="94"/>
      <c r="M888" s="94"/>
      <c r="N888" s="94"/>
      <c r="O888" s="94"/>
      <c r="P888" s="94"/>
      <c r="Q888" s="94"/>
      <c r="R888" s="94"/>
      <c r="S888" s="94"/>
      <c r="T888" s="94"/>
      <c r="U888" s="94"/>
      <c r="V888" s="94"/>
      <c r="W888" s="94"/>
      <c r="X888" s="94"/>
      <c r="Y888" s="94"/>
      <c r="Z888" s="94"/>
      <c r="AA888" s="94"/>
      <c r="AB888" s="94"/>
      <c r="AC888" s="94"/>
      <c r="AD888" s="94"/>
      <c r="AE888" s="94"/>
      <c r="AF888" s="94"/>
      <c r="AG888" s="94"/>
      <c r="AH888" s="94"/>
      <c r="AI888" s="94"/>
      <c r="AJ888" s="94"/>
      <c r="AK888" s="94"/>
      <c r="AL888" s="94"/>
      <c r="AM888" s="94"/>
      <c r="AN888" s="94"/>
      <c r="AO888" s="94"/>
      <c r="AP888" s="94"/>
      <c r="AQ888" s="94"/>
      <c r="AR888" s="94"/>
      <c r="AS888" s="94"/>
      <c r="AT888" s="94"/>
      <c r="AU888" s="94"/>
      <c r="AV888" s="94"/>
      <c r="AW888" s="94"/>
      <c r="AX888" s="94"/>
      <c r="AY888" s="94"/>
      <c r="AZ888" s="94"/>
      <c r="BA888" s="95"/>
    </row>
    <row r="889" spans="1:53" s="87" customFormat="1">
      <c r="A889" s="90" t="str">
        <f t="shared" si="38"/>
        <v/>
      </c>
      <c r="B889" s="98"/>
      <c r="C889" s="94"/>
      <c r="D889" s="94"/>
      <c r="E889" s="94"/>
      <c r="F889" s="94"/>
      <c r="G889" s="94"/>
      <c r="H889" s="94"/>
      <c r="I889" s="94"/>
      <c r="J889" s="94"/>
      <c r="K889" s="94"/>
      <c r="L889" s="94"/>
      <c r="M889" s="94"/>
      <c r="N889" s="94"/>
      <c r="O889" s="94"/>
      <c r="P889" s="94"/>
      <c r="Q889" s="94"/>
      <c r="R889" s="94"/>
      <c r="S889" s="94"/>
      <c r="T889" s="94"/>
      <c r="U889" s="94"/>
      <c r="V889" s="94"/>
      <c r="W889" s="94"/>
      <c r="X889" s="94"/>
      <c r="Y889" s="94"/>
      <c r="Z889" s="94"/>
      <c r="AA889" s="94"/>
      <c r="AB889" s="94"/>
      <c r="AC889" s="94"/>
      <c r="AD889" s="94"/>
      <c r="AE889" s="94"/>
      <c r="AF889" s="94"/>
      <c r="AG889" s="94"/>
      <c r="AH889" s="94"/>
      <c r="AI889" s="94"/>
      <c r="AJ889" s="94"/>
      <c r="AK889" s="94"/>
      <c r="AL889" s="94"/>
      <c r="AM889" s="94"/>
      <c r="AN889" s="94"/>
      <c r="AO889" s="94"/>
      <c r="AP889" s="94"/>
      <c r="AQ889" s="94"/>
      <c r="AR889" s="94"/>
      <c r="AS889" s="94"/>
      <c r="AT889" s="94"/>
      <c r="AU889" s="94"/>
      <c r="AV889" s="94"/>
      <c r="AW889" s="94"/>
      <c r="AX889" s="94"/>
      <c r="AY889" s="94"/>
      <c r="AZ889" s="94"/>
      <c r="BA889" s="95"/>
    </row>
    <row r="890" spans="1:53" s="87" customFormat="1">
      <c r="A890" s="90" t="str">
        <f t="shared" si="38"/>
        <v/>
      </c>
      <c r="B890" s="98"/>
      <c r="C890" s="94"/>
      <c r="D890" s="94"/>
      <c r="E890" s="94"/>
      <c r="F890" s="94"/>
      <c r="G890" s="94"/>
      <c r="H890" s="94"/>
      <c r="I890" s="94"/>
      <c r="J890" s="94"/>
      <c r="K890" s="94"/>
      <c r="L890" s="94"/>
      <c r="M890" s="94"/>
      <c r="N890" s="94"/>
      <c r="O890" s="94"/>
      <c r="P890" s="94"/>
      <c r="Q890" s="94"/>
      <c r="R890" s="94"/>
      <c r="S890" s="94"/>
      <c r="T890" s="94"/>
      <c r="U890" s="94"/>
      <c r="V890" s="94"/>
      <c r="W890" s="94"/>
      <c r="X890" s="94"/>
      <c r="Y890" s="94"/>
      <c r="Z890" s="94"/>
      <c r="AA890" s="94"/>
      <c r="AB890" s="94"/>
      <c r="AC890" s="94"/>
      <c r="AD890" s="94"/>
      <c r="AE890" s="94"/>
      <c r="AF890" s="94"/>
      <c r="AG890" s="94"/>
      <c r="AH890" s="94"/>
      <c r="AI890" s="94"/>
      <c r="AJ890" s="94"/>
      <c r="AK890" s="94"/>
      <c r="AL890" s="94"/>
      <c r="AM890" s="94"/>
      <c r="AN890" s="94"/>
      <c r="AO890" s="94"/>
      <c r="AP890" s="94"/>
      <c r="AQ890" s="94"/>
      <c r="AR890" s="94"/>
      <c r="AS890" s="94"/>
      <c r="AT890" s="94"/>
      <c r="AU890" s="94"/>
      <c r="AV890" s="94"/>
      <c r="AW890" s="94"/>
      <c r="AX890" s="94"/>
      <c r="AY890" s="94"/>
      <c r="AZ890" s="94"/>
      <c r="BA890" s="95"/>
    </row>
    <row r="891" spans="1:53" s="87" customFormat="1">
      <c r="A891" s="90" t="str">
        <f t="shared" si="38"/>
        <v/>
      </c>
      <c r="B891" s="98"/>
      <c r="C891" s="94"/>
      <c r="D891" s="94"/>
      <c r="E891" s="94"/>
      <c r="F891" s="94"/>
      <c r="G891" s="94"/>
      <c r="H891" s="94"/>
      <c r="I891" s="94"/>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5"/>
    </row>
    <row r="892" spans="1:53" s="87" customFormat="1">
      <c r="A892" s="90" t="str">
        <f t="shared" si="38"/>
        <v/>
      </c>
      <c r="B892" s="98"/>
      <c r="C892" s="94"/>
      <c r="D892" s="94"/>
      <c r="E892" s="94"/>
      <c r="F892" s="94"/>
      <c r="G892" s="94"/>
      <c r="H892" s="94"/>
      <c r="I892" s="94"/>
      <c r="J892" s="94"/>
      <c r="K892" s="94"/>
      <c r="L892" s="94"/>
      <c r="M892" s="94"/>
      <c r="N892" s="94"/>
      <c r="O892" s="94"/>
      <c r="P892" s="94"/>
      <c r="Q892" s="94"/>
      <c r="R892" s="94"/>
      <c r="S892" s="94"/>
      <c r="T892" s="94"/>
      <c r="U892" s="94"/>
      <c r="V892" s="94"/>
      <c r="W892" s="94"/>
      <c r="X892" s="94"/>
      <c r="Y892" s="94"/>
      <c r="Z892" s="94"/>
      <c r="AA892" s="94"/>
      <c r="AB892" s="94"/>
      <c r="AC892" s="94"/>
      <c r="AD892" s="94"/>
      <c r="AE892" s="94"/>
      <c r="AF892" s="94"/>
      <c r="AG892" s="94"/>
      <c r="AH892" s="94"/>
      <c r="AI892" s="94"/>
      <c r="AJ892" s="94"/>
      <c r="AK892" s="94"/>
      <c r="AL892" s="94"/>
      <c r="AM892" s="94"/>
      <c r="AN892" s="94"/>
      <c r="AO892" s="94"/>
      <c r="AP892" s="94"/>
      <c r="AQ892" s="94"/>
      <c r="AR892" s="94"/>
      <c r="AS892" s="94"/>
      <c r="AT892" s="94"/>
      <c r="AU892" s="94"/>
      <c r="AV892" s="94"/>
      <c r="AW892" s="94"/>
      <c r="AX892" s="94"/>
      <c r="AY892" s="94"/>
      <c r="AZ892" s="94"/>
      <c r="BA892" s="95"/>
    </row>
    <row r="893" spans="1:53" s="87" customFormat="1">
      <c r="A893" s="90" t="str">
        <f t="shared" si="38"/>
        <v/>
      </c>
      <c r="B893" s="98"/>
      <c r="C893" s="94"/>
      <c r="D893" s="94"/>
      <c r="E893" s="94"/>
      <c r="F893" s="94"/>
      <c r="G893" s="94"/>
      <c r="H893" s="94"/>
      <c r="I893" s="94"/>
      <c r="J893" s="94"/>
      <c r="K893" s="94"/>
      <c r="L893" s="94"/>
      <c r="M893" s="94"/>
      <c r="N893" s="94"/>
      <c r="O893" s="94"/>
      <c r="P893" s="94"/>
      <c r="Q893" s="94"/>
      <c r="R893" s="94"/>
      <c r="S893" s="94"/>
      <c r="T893" s="94"/>
      <c r="U893" s="94"/>
      <c r="V893" s="94"/>
      <c r="W893" s="94"/>
      <c r="X893" s="94"/>
      <c r="Y893" s="94"/>
      <c r="Z893" s="94"/>
      <c r="AA893" s="94"/>
      <c r="AB893" s="94"/>
      <c r="AC893" s="94"/>
      <c r="AD893" s="94"/>
      <c r="AE893" s="94"/>
      <c r="AF893" s="94"/>
      <c r="AG893" s="94"/>
      <c r="AH893" s="94"/>
      <c r="AI893" s="94"/>
      <c r="AJ893" s="94"/>
      <c r="AK893" s="94"/>
      <c r="AL893" s="94"/>
      <c r="AM893" s="94"/>
      <c r="AN893" s="94"/>
      <c r="AO893" s="94"/>
      <c r="AP893" s="94"/>
      <c r="AQ893" s="94"/>
      <c r="AR893" s="94"/>
      <c r="AS893" s="94"/>
      <c r="AT893" s="94"/>
      <c r="AU893" s="94"/>
      <c r="AV893" s="94"/>
      <c r="AW893" s="94"/>
      <c r="AX893" s="94"/>
      <c r="AY893" s="94"/>
      <c r="AZ893" s="94"/>
      <c r="BA893" s="95"/>
    </row>
    <row r="894" spans="1:53" s="87" customFormat="1">
      <c r="A894" s="90" t="str">
        <f t="shared" si="38"/>
        <v/>
      </c>
      <c r="B894" s="98"/>
      <c r="C894" s="94"/>
      <c r="D894" s="94"/>
      <c r="E894" s="94"/>
      <c r="F894" s="94"/>
      <c r="G894" s="94"/>
      <c r="H894" s="94"/>
      <c r="I894" s="94"/>
      <c r="J894" s="94"/>
      <c r="K894" s="94"/>
      <c r="L894" s="94"/>
      <c r="M894" s="94"/>
      <c r="N894" s="94"/>
      <c r="O894" s="94"/>
      <c r="P894" s="94"/>
      <c r="Q894" s="94"/>
      <c r="R894" s="94"/>
      <c r="S894" s="94"/>
      <c r="T894" s="94"/>
      <c r="U894" s="94"/>
      <c r="V894" s="94"/>
      <c r="W894" s="94"/>
      <c r="X894" s="94"/>
      <c r="Y894" s="94"/>
      <c r="Z894" s="94"/>
      <c r="AA894" s="94"/>
      <c r="AB894" s="94"/>
      <c r="AC894" s="94"/>
      <c r="AD894" s="94"/>
      <c r="AE894" s="94"/>
      <c r="AF894" s="94"/>
      <c r="AG894" s="94"/>
      <c r="AH894" s="94"/>
      <c r="AI894" s="94"/>
      <c r="AJ894" s="94"/>
      <c r="AK894" s="94"/>
      <c r="AL894" s="94"/>
      <c r="AM894" s="94"/>
      <c r="AN894" s="94"/>
      <c r="AO894" s="94"/>
      <c r="AP894" s="94"/>
      <c r="AQ894" s="94"/>
      <c r="AR894" s="94"/>
      <c r="AS894" s="94"/>
      <c r="AT894" s="94"/>
      <c r="AU894" s="94"/>
      <c r="AV894" s="94"/>
      <c r="AW894" s="94"/>
      <c r="AX894" s="94"/>
      <c r="AY894" s="94"/>
      <c r="AZ894" s="94"/>
      <c r="BA894" s="95"/>
    </row>
    <row r="895" spans="1:53" s="87" customFormat="1">
      <c r="A895" s="90" t="str">
        <f t="shared" si="38"/>
        <v/>
      </c>
      <c r="B895" s="98"/>
      <c r="C895" s="94"/>
      <c r="D895" s="94"/>
      <c r="E895" s="94"/>
      <c r="F895" s="94"/>
      <c r="G895" s="94"/>
      <c r="H895" s="94"/>
      <c r="I895" s="94"/>
      <c r="J895" s="94"/>
      <c r="K895" s="94"/>
      <c r="L895" s="94"/>
      <c r="M895" s="94"/>
      <c r="N895" s="94"/>
      <c r="O895" s="94"/>
      <c r="P895" s="94"/>
      <c r="Q895" s="94"/>
      <c r="R895" s="94"/>
      <c r="S895" s="94"/>
      <c r="T895" s="94"/>
      <c r="U895" s="94"/>
      <c r="V895" s="94"/>
      <c r="W895" s="94"/>
      <c r="X895" s="94"/>
      <c r="Y895" s="94"/>
      <c r="Z895" s="94"/>
      <c r="AA895" s="94"/>
      <c r="AB895" s="94"/>
      <c r="AC895" s="94"/>
      <c r="AD895" s="94"/>
      <c r="AE895" s="94"/>
      <c r="AF895" s="94"/>
      <c r="AG895" s="94"/>
      <c r="AH895" s="94"/>
      <c r="AI895" s="94"/>
      <c r="AJ895" s="94"/>
      <c r="AK895" s="94"/>
      <c r="AL895" s="94"/>
      <c r="AM895" s="94"/>
      <c r="AN895" s="94"/>
      <c r="AO895" s="94"/>
      <c r="AP895" s="94"/>
      <c r="AQ895" s="94"/>
      <c r="AR895" s="94"/>
      <c r="AS895" s="94"/>
      <c r="AT895" s="94"/>
      <c r="AU895" s="94"/>
      <c r="AV895" s="94"/>
      <c r="AW895" s="94"/>
      <c r="AX895" s="94"/>
      <c r="AY895" s="94"/>
      <c r="AZ895" s="94"/>
      <c r="BA895" s="95"/>
    </row>
    <row r="896" spans="1:53" s="87" customFormat="1">
      <c r="A896" s="90" t="str">
        <f t="shared" si="38"/>
        <v/>
      </c>
      <c r="B896" s="98"/>
      <c r="C896" s="94"/>
      <c r="D896" s="94"/>
      <c r="E896" s="94"/>
      <c r="F896" s="94"/>
      <c r="G896" s="94"/>
      <c r="H896" s="94"/>
      <c r="I896" s="94"/>
      <c r="J896" s="94"/>
      <c r="K896" s="94"/>
      <c r="L896" s="94"/>
      <c r="M896" s="94"/>
      <c r="N896" s="94"/>
      <c r="O896" s="94"/>
      <c r="P896" s="94"/>
      <c r="Q896" s="94"/>
      <c r="R896" s="94"/>
      <c r="S896" s="94"/>
      <c r="T896" s="94"/>
      <c r="U896" s="94"/>
      <c r="V896" s="94"/>
      <c r="W896" s="94"/>
      <c r="X896" s="94"/>
      <c r="Y896" s="94"/>
      <c r="Z896" s="94"/>
      <c r="AA896" s="94"/>
      <c r="AB896" s="94"/>
      <c r="AC896" s="94"/>
      <c r="AD896" s="94"/>
      <c r="AE896" s="94"/>
      <c r="AF896" s="94"/>
      <c r="AG896" s="94"/>
      <c r="AH896" s="94"/>
      <c r="AI896" s="94"/>
      <c r="AJ896" s="94"/>
      <c r="AK896" s="94"/>
      <c r="AL896" s="94"/>
      <c r="AM896" s="94"/>
      <c r="AN896" s="94"/>
      <c r="AO896" s="94"/>
      <c r="AP896" s="94"/>
      <c r="AQ896" s="94"/>
      <c r="AR896" s="94"/>
      <c r="AS896" s="94"/>
      <c r="AT896" s="94"/>
      <c r="AU896" s="94"/>
      <c r="AV896" s="94"/>
      <c r="AW896" s="94"/>
      <c r="AX896" s="94"/>
      <c r="AY896" s="94"/>
      <c r="AZ896" s="94"/>
      <c r="BA896" s="95"/>
    </row>
    <row r="897" spans="1:53" s="87" customFormat="1">
      <c r="A897" s="90" t="str">
        <f t="shared" si="38"/>
        <v/>
      </c>
      <c r="B897" s="98"/>
      <c r="C897" s="94"/>
      <c r="D897" s="94"/>
      <c r="E897" s="94"/>
      <c r="F897" s="94"/>
      <c r="G897" s="94"/>
      <c r="H897" s="94"/>
      <c r="I897" s="94"/>
      <c r="J897" s="94"/>
      <c r="K897" s="94"/>
      <c r="L897" s="94"/>
      <c r="M897" s="94"/>
      <c r="N897" s="94"/>
      <c r="O897" s="94"/>
      <c r="P897" s="94"/>
      <c r="Q897" s="94"/>
      <c r="R897" s="94"/>
      <c r="S897" s="94"/>
      <c r="T897" s="94"/>
      <c r="U897" s="94"/>
      <c r="V897" s="94"/>
      <c r="W897" s="94"/>
      <c r="X897" s="94"/>
      <c r="Y897" s="94"/>
      <c r="Z897" s="94"/>
      <c r="AA897" s="94"/>
      <c r="AB897" s="94"/>
      <c r="AC897" s="94"/>
      <c r="AD897" s="94"/>
      <c r="AE897" s="94"/>
      <c r="AF897" s="94"/>
      <c r="AG897" s="94"/>
      <c r="AH897" s="94"/>
      <c r="AI897" s="94"/>
      <c r="AJ897" s="94"/>
      <c r="AK897" s="94"/>
      <c r="AL897" s="94"/>
      <c r="AM897" s="94"/>
      <c r="AN897" s="94"/>
      <c r="AO897" s="94"/>
      <c r="AP897" s="94"/>
      <c r="AQ897" s="94"/>
      <c r="AR897" s="94"/>
      <c r="AS897" s="94"/>
      <c r="AT897" s="94"/>
      <c r="AU897" s="94"/>
      <c r="AV897" s="94"/>
      <c r="AW897" s="94"/>
      <c r="AX897" s="94"/>
      <c r="AY897" s="94"/>
      <c r="AZ897" s="94"/>
      <c r="BA897" s="95"/>
    </row>
    <row r="898" spans="1:53" s="87" customFormat="1">
      <c r="A898" s="90" t="str">
        <f t="shared" si="38"/>
        <v/>
      </c>
      <c r="B898" s="98"/>
      <c r="C898" s="94"/>
      <c r="D898" s="94"/>
      <c r="E898" s="94"/>
      <c r="F898" s="94"/>
      <c r="G898" s="94"/>
      <c r="H898" s="94"/>
      <c r="I898" s="94"/>
      <c r="J898" s="94"/>
      <c r="K898" s="94"/>
      <c r="L898" s="94"/>
      <c r="M898" s="94"/>
      <c r="N898" s="94"/>
      <c r="O898" s="94"/>
      <c r="P898" s="94"/>
      <c r="Q898" s="94"/>
      <c r="R898" s="94"/>
      <c r="S898" s="94"/>
      <c r="T898" s="94"/>
      <c r="U898" s="94"/>
      <c r="V898" s="94"/>
      <c r="W898" s="94"/>
      <c r="X898" s="94"/>
      <c r="Y898" s="94"/>
      <c r="Z898" s="94"/>
      <c r="AA898" s="94"/>
      <c r="AB898" s="94"/>
      <c r="AC898" s="94"/>
      <c r="AD898" s="94"/>
      <c r="AE898" s="94"/>
      <c r="AF898" s="94"/>
      <c r="AG898" s="94"/>
      <c r="AH898" s="94"/>
      <c r="AI898" s="94"/>
      <c r="AJ898" s="94"/>
      <c r="AK898" s="94"/>
      <c r="AL898" s="94"/>
      <c r="AM898" s="94"/>
      <c r="AN898" s="94"/>
      <c r="AO898" s="94"/>
      <c r="AP898" s="94"/>
      <c r="AQ898" s="94"/>
      <c r="AR898" s="94"/>
      <c r="AS898" s="94"/>
      <c r="AT898" s="94"/>
      <c r="AU898" s="94"/>
      <c r="AV898" s="94"/>
      <c r="AW898" s="94"/>
      <c r="AX898" s="94"/>
      <c r="AY898" s="94"/>
      <c r="AZ898" s="94"/>
      <c r="BA898" s="95"/>
    </row>
    <row r="899" spans="1:53" s="87" customFormat="1">
      <c r="A899" s="90" t="str">
        <f t="shared" si="38"/>
        <v/>
      </c>
      <c r="B899" s="98"/>
      <c r="C899" s="94"/>
      <c r="D899" s="94"/>
      <c r="E899" s="94"/>
      <c r="F899" s="94"/>
      <c r="G899" s="94"/>
      <c r="H899" s="94"/>
      <c r="I899" s="94"/>
      <c r="J899" s="94"/>
      <c r="K899" s="94"/>
      <c r="L899" s="94"/>
      <c r="M899" s="94"/>
      <c r="N899" s="94"/>
      <c r="O899" s="94"/>
      <c r="P899" s="94"/>
      <c r="Q899" s="94"/>
      <c r="R899" s="94"/>
      <c r="S899" s="94"/>
      <c r="T899" s="94"/>
      <c r="U899" s="94"/>
      <c r="V899" s="94"/>
      <c r="W899" s="94"/>
      <c r="X899" s="94"/>
      <c r="Y899" s="94"/>
      <c r="Z899" s="94"/>
      <c r="AA899" s="94"/>
      <c r="AB899" s="94"/>
      <c r="AC899" s="94"/>
      <c r="AD899" s="94"/>
      <c r="AE899" s="94"/>
      <c r="AF899" s="94"/>
      <c r="AG899" s="94"/>
      <c r="AH899" s="94"/>
      <c r="AI899" s="94"/>
      <c r="AJ899" s="94"/>
      <c r="AK899" s="94"/>
      <c r="AL899" s="94"/>
      <c r="AM899" s="94"/>
      <c r="AN899" s="94"/>
      <c r="AO899" s="94"/>
      <c r="AP899" s="94"/>
      <c r="AQ899" s="94"/>
      <c r="AR899" s="94"/>
      <c r="AS899" s="94"/>
      <c r="AT899" s="94"/>
      <c r="AU899" s="94"/>
      <c r="AV899" s="94"/>
      <c r="AW899" s="94"/>
      <c r="AX899" s="94"/>
      <c r="AY899" s="94"/>
      <c r="AZ899" s="94"/>
      <c r="BA899" s="95"/>
    </row>
    <row r="900" spans="1:53" s="87" customFormat="1">
      <c r="A900" s="90" t="str">
        <f t="shared" si="38"/>
        <v/>
      </c>
      <c r="B900" s="98"/>
      <c r="C900" s="94"/>
      <c r="D900" s="94"/>
      <c r="E900" s="94"/>
      <c r="F900" s="94"/>
      <c r="G900" s="94"/>
      <c r="H900" s="94"/>
      <c r="I900" s="94"/>
      <c r="J900" s="94"/>
      <c r="K900" s="94"/>
      <c r="L900" s="94"/>
      <c r="M900" s="94"/>
      <c r="N900" s="94"/>
      <c r="O900" s="94"/>
      <c r="P900" s="94"/>
      <c r="Q900" s="94"/>
      <c r="R900" s="94"/>
      <c r="S900" s="94"/>
      <c r="T900" s="94"/>
      <c r="U900" s="94"/>
      <c r="V900" s="94"/>
      <c r="W900" s="94"/>
      <c r="X900" s="94"/>
      <c r="Y900" s="94"/>
      <c r="Z900" s="94"/>
      <c r="AA900" s="94"/>
      <c r="AB900" s="94"/>
      <c r="AC900" s="94"/>
      <c r="AD900" s="94"/>
      <c r="AE900" s="94"/>
      <c r="AF900" s="94"/>
      <c r="AG900" s="94"/>
      <c r="AH900" s="94"/>
      <c r="AI900" s="94"/>
      <c r="AJ900" s="94"/>
      <c r="AK900" s="94"/>
      <c r="AL900" s="94"/>
      <c r="AM900" s="94"/>
      <c r="AN900" s="94"/>
      <c r="AO900" s="94"/>
      <c r="AP900" s="94"/>
      <c r="AQ900" s="94"/>
      <c r="AR900" s="94"/>
      <c r="AS900" s="94"/>
      <c r="AT900" s="94"/>
      <c r="AU900" s="94"/>
      <c r="AV900" s="94"/>
      <c r="AW900" s="94"/>
      <c r="AX900" s="94"/>
      <c r="AY900" s="94"/>
      <c r="AZ900" s="94"/>
      <c r="BA900" s="95"/>
    </row>
    <row r="901" spans="1:53" s="87" customFormat="1">
      <c r="A901" s="90" t="str">
        <f t="shared" si="38"/>
        <v/>
      </c>
      <c r="B901" s="98"/>
      <c r="C901" s="94"/>
      <c r="D901" s="94"/>
      <c r="E901" s="94"/>
      <c r="F901" s="94"/>
      <c r="G901" s="94"/>
      <c r="H901" s="94"/>
      <c r="I901" s="94"/>
      <c r="J901" s="94"/>
      <c r="K901" s="94"/>
      <c r="L901" s="94"/>
      <c r="M901" s="94"/>
      <c r="N901" s="94"/>
      <c r="O901" s="94"/>
      <c r="P901" s="94"/>
      <c r="Q901" s="94"/>
      <c r="R901" s="94"/>
      <c r="S901" s="94"/>
      <c r="T901" s="94"/>
      <c r="U901" s="94"/>
      <c r="V901" s="94"/>
      <c r="W901" s="94"/>
      <c r="X901" s="94"/>
      <c r="Y901" s="94"/>
      <c r="Z901" s="94"/>
      <c r="AA901" s="94"/>
      <c r="AB901" s="94"/>
      <c r="AC901" s="94"/>
      <c r="AD901" s="94"/>
      <c r="AE901" s="94"/>
      <c r="AF901" s="94"/>
      <c r="AG901" s="94"/>
      <c r="AH901" s="94"/>
      <c r="AI901" s="94"/>
      <c r="AJ901" s="94"/>
      <c r="AK901" s="94"/>
      <c r="AL901" s="94"/>
      <c r="AM901" s="94"/>
      <c r="AN901" s="94"/>
      <c r="AO901" s="94"/>
      <c r="AP901" s="94"/>
      <c r="AQ901" s="94"/>
      <c r="AR901" s="94"/>
      <c r="AS901" s="94"/>
      <c r="AT901" s="94"/>
      <c r="AU901" s="94"/>
      <c r="AV901" s="94"/>
      <c r="AW901" s="94"/>
      <c r="AX901" s="94"/>
      <c r="AY901" s="94"/>
      <c r="AZ901" s="94"/>
      <c r="BA901" s="95"/>
    </row>
    <row r="902" spans="1:53" s="87" customFormat="1">
      <c r="A902" s="90" t="str">
        <f t="shared" si="38"/>
        <v/>
      </c>
      <c r="B902" s="98"/>
      <c r="C902" s="94"/>
      <c r="D902" s="94"/>
      <c r="E902" s="94"/>
      <c r="F902" s="94"/>
      <c r="G902" s="94"/>
      <c r="H902" s="94"/>
      <c r="I902" s="94"/>
      <c r="J902" s="94"/>
      <c r="K902" s="94"/>
      <c r="L902" s="94"/>
      <c r="M902" s="94"/>
      <c r="N902" s="94"/>
      <c r="O902" s="94"/>
      <c r="P902" s="94"/>
      <c r="Q902" s="94"/>
      <c r="R902" s="94"/>
      <c r="S902" s="94"/>
      <c r="T902" s="94"/>
      <c r="U902" s="94"/>
      <c r="V902" s="94"/>
      <c r="W902" s="94"/>
      <c r="X902" s="94"/>
      <c r="Y902" s="94"/>
      <c r="Z902" s="94"/>
      <c r="AA902" s="94"/>
      <c r="AB902" s="94"/>
      <c r="AC902" s="94"/>
      <c r="AD902" s="94"/>
      <c r="AE902" s="94"/>
      <c r="AF902" s="94"/>
      <c r="AG902" s="94"/>
      <c r="AH902" s="94"/>
      <c r="AI902" s="94"/>
      <c r="AJ902" s="94"/>
      <c r="AK902" s="94"/>
      <c r="AL902" s="94"/>
      <c r="AM902" s="94"/>
      <c r="AN902" s="94"/>
      <c r="AO902" s="94"/>
      <c r="AP902" s="94"/>
      <c r="AQ902" s="94"/>
      <c r="AR902" s="94"/>
      <c r="AS902" s="94"/>
      <c r="AT902" s="94"/>
      <c r="AU902" s="94"/>
      <c r="AV902" s="94"/>
      <c r="AW902" s="94"/>
      <c r="AX902" s="94"/>
      <c r="AY902" s="94"/>
      <c r="AZ902" s="94"/>
      <c r="BA902" s="95"/>
    </row>
    <row r="903" spans="1:53" s="87" customFormat="1">
      <c r="A903" s="90" t="str">
        <f t="shared" si="38"/>
        <v/>
      </c>
      <c r="B903" s="98"/>
      <c r="C903" s="94"/>
      <c r="D903" s="94"/>
      <c r="E903" s="94"/>
      <c r="F903" s="94"/>
      <c r="G903" s="94"/>
      <c r="H903" s="94"/>
      <c r="I903" s="94"/>
      <c r="J903" s="94"/>
      <c r="K903" s="94"/>
      <c r="L903" s="94"/>
      <c r="M903" s="94"/>
      <c r="N903" s="94"/>
      <c r="O903" s="94"/>
      <c r="P903" s="94"/>
      <c r="Q903" s="94"/>
      <c r="R903" s="94"/>
      <c r="S903" s="94"/>
      <c r="T903" s="94"/>
      <c r="U903" s="94"/>
      <c r="V903" s="94"/>
      <c r="W903" s="94"/>
      <c r="X903" s="94"/>
      <c r="Y903" s="94"/>
      <c r="Z903" s="94"/>
      <c r="AA903" s="94"/>
      <c r="AB903" s="94"/>
      <c r="AC903" s="94"/>
      <c r="AD903" s="94"/>
      <c r="AE903" s="94"/>
      <c r="AF903" s="94"/>
      <c r="AG903" s="94"/>
      <c r="AH903" s="94"/>
      <c r="AI903" s="94"/>
      <c r="AJ903" s="94"/>
      <c r="AK903" s="94"/>
      <c r="AL903" s="94"/>
      <c r="AM903" s="94"/>
      <c r="AN903" s="94"/>
      <c r="AO903" s="94"/>
      <c r="AP903" s="94"/>
      <c r="AQ903" s="94"/>
      <c r="AR903" s="94"/>
      <c r="AS903" s="94"/>
      <c r="AT903" s="94"/>
      <c r="AU903" s="94"/>
      <c r="AV903" s="94"/>
      <c r="AW903" s="94"/>
      <c r="AX903" s="94"/>
      <c r="AY903" s="94"/>
      <c r="AZ903" s="94"/>
      <c r="BA903" s="95"/>
    </row>
    <row r="904" spans="1:53" s="87" customFormat="1">
      <c r="A904" s="90" t="str">
        <f t="shared" si="38"/>
        <v/>
      </c>
      <c r="B904" s="98"/>
      <c r="C904" s="94"/>
      <c r="D904" s="94"/>
      <c r="E904" s="94"/>
      <c r="F904" s="94"/>
      <c r="G904" s="94"/>
      <c r="H904" s="94"/>
      <c r="I904" s="94"/>
      <c r="J904" s="94"/>
      <c r="K904" s="94"/>
      <c r="L904" s="94"/>
      <c r="M904" s="94"/>
      <c r="N904" s="94"/>
      <c r="O904" s="94"/>
      <c r="P904" s="94"/>
      <c r="Q904" s="94"/>
      <c r="R904" s="94"/>
      <c r="S904" s="94"/>
      <c r="T904" s="94"/>
      <c r="U904" s="94"/>
      <c r="V904" s="94"/>
      <c r="W904" s="94"/>
      <c r="X904" s="94"/>
      <c r="Y904" s="94"/>
      <c r="Z904" s="94"/>
      <c r="AA904" s="94"/>
      <c r="AB904" s="94"/>
      <c r="AC904" s="94"/>
      <c r="AD904" s="94"/>
      <c r="AE904" s="94"/>
      <c r="AF904" s="94"/>
      <c r="AG904" s="94"/>
      <c r="AH904" s="94"/>
      <c r="AI904" s="94"/>
      <c r="AJ904" s="94"/>
      <c r="AK904" s="94"/>
      <c r="AL904" s="94"/>
      <c r="AM904" s="94"/>
      <c r="AN904" s="94"/>
      <c r="AO904" s="94"/>
      <c r="AP904" s="94"/>
      <c r="AQ904" s="94"/>
      <c r="AR904" s="94"/>
      <c r="AS904" s="94"/>
      <c r="AT904" s="94"/>
      <c r="AU904" s="94"/>
      <c r="AV904" s="94"/>
      <c r="AW904" s="94"/>
      <c r="AX904" s="94"/>
      <c r="AY904" s="94"/>
      <c r="AZ904" s="94"/>
      <c r="BA904" s="95"/>
    </row>
    <row r="905" spans="1:53" s="87" customFormat="1">
      <c r="A905" s="90" t="str">
        <f t="shared" si="38"/>
        <v/>
      </c>
      <c r="B905" s="98"/>
      <c r="C905" s="94"/>
      <c r="D905" s="94"/>
      <c r="E905" s="94"/>
      <c r="F905" s="94"/>
      <c r="G905" s="94"/>
      <c r="H905" s="94"/>
      <c r="I905" s="94"/>
      <c r="J905" s="94"/>
      <c r="K905" s="94"/>
      <c r="L905" s="94"/>
      <c r="M905" s="94"/>
      <c r="N905" s="94"/>
      <c r="O905" s="94"/>
      <c r="P905" s="94"/>
      <c r="Q905" s="94"/>
      <c r="R905" s="94"/>
      <c r="S905" s="94"/>
      <c r="T905" s="94"/>
      <c r="U905" s="94"/>
      <c r="V905" s="94"/>
      <c r="W905" s="94"/>
      <c r="X905" s="94"/>
      <c r="Y905" s="94"/>
      <c r="Z905" s="94"/>
      <c r="AA905" s="94"/>
      <c r="AB905" s="94"/>
      <c r="AC905" s="94"/>
      <c r="AD905" s="94"/>
      <c r="AE905" s="94"/>
      <c r="AF905" s="94"/>
      <c r="AG905" s="94"/>
      <c r="AH905" s="94"/>
      <c r="AI905" s="94"/>
      <c r="AJ905" s="94"/>
      <c r="AK905" s="94"/>
      <c r="AL905" s="94"/>
      <c r="AM905" s="94"/>
      <c r="AN905" s="94"/>
      <c r="AO905" s="94"/>
      <c r="AP905" s="94"/>
      <c r="AQ905" s="94"/>
      <c r="AR905" s="94"/>
      <c r="AS905" s="94"/>
      <c r="AT905" s="94"/>
      <c r="AU905" s="94"/>
      <c r="AV905" s="94"/>
      <c r="AW905" s="94"/>
      <c r="AX905" s="94"/>
      <c r="AY905" s="94"/>
      <c r="AZ905" s="94"/>
      <c r="BA905" s="95"/>
    </row>
    <row r="906" spans="1:53" s="87" customFormat="1">
      <c r="A906" s="90" t="str">
        <f t="shared" si="38"/>
        <v/>
      </c>
      <c r="B906" s="98"/>
      <c r="C906" s="94"/>
      <c r="D906" s="94"/>
      <c r="E906" s="94"/>
      <c r="F906" s="94"/>
      <c r="G906" s="94"/>
      <c r="H906" s="94"/>
      <c r="I906" s="94"/>
      <c r="J906" s="94"/>
      <c r="K906" s="94"/>
      <c r="L906" s="94"/>
      <c r="M906" s="94"/>
      <c r="N906" s="94"/>
      <c r="O906" s="94"/>
      <c r="P906" s="94"/>
      <c r="Q906" s="94"/>
      <c r="R906" s="94"/>
      <c r="S906" s="94"/>
      <c r="T906" s="94"/>
      <c r="U906" s="94"/>
      <c r="V906" s="94"/>
      <c r="W906" s="94"/>
      <c r="X906" s="94"/>
      <c r="Y906" s="94"/>
      <c r="Z906" s="94"/>
      <c r="AA906" s="94"/>
      <c r="AB906" s="94"/>
      <c r="AC906" s="94"/>
      <c r="AD906" s="94"/>
      <c r="AE906" s="94"/>
      <c r="AF906" s="94"/>
      <c r="AG906" s="94"/>
      <c r="AH906" s="94"/>
      <c r="AI906" s="94"/>
      <c r="AJ906" s="94"/>
      <c r="AK906" s="94"/>
      <c r="AL906" s="94"/>
      <c r="AM906" s="94"/>
      <c r="AN906" s="94"/>
      <c r="AO906" s="94"/>
      <c r="AP906" s="94"/>
      <c r="AQ906" s="94"/>
      <c r="AR906" s="94"/>
      <c r="AS906" s="94"/>
      <c r="AT906" s="94"/>
      <c r="AU906" s="94"/>
      <c r="AV906" s="94"/>
      <c r="AW906" s="94"/>
      <c r="AX906" s="94"/>
      <c r="AY906" s="94"/>
      <c r="AZ906" s="94"/>
      <c r="BA906" s="95"/>
    </row>
    <row r="907" spans="1:53" s="87" customFormat="1">
      <c r="A907" s="90" t="str">
        <f t="shared" si="38"/>
        <v/>
      </c>
      <c r="B907" s="98"/>
      <c r="C907" s="94"/>
      <c r="D907" s="94"/>
      <c r="E907" s="94"/>
      <c r="F907" s="94"/>
      <c r="G907" s="94"/>
      <c r="H907" s="94"/>
      <c r="I907" s="94"/>
      <c r="J907" s="94"/>
      <c r="K907" s="94"/>
      <c r="L907" s="94"/>
      <c r="M907" s="94"/>
      <c r="N907" s="94"/>
      <c r="O907" s="94"/>
      <c r="P907" s="94"/>
      <c r="Q907" s="94"/>
      <c r="R907" s="94"/>
      <c r="S907" s="94"/>
      <c r="T907" s="94"/>
      <c r="U907" s="94"/>
      <c r="V907" s="94"/>
      <c r="W907" s="94"/>
      <c r="X907" s="94"/>
      <c r="Y907" s="94"/>
      <c r="Z907" s="94"/>
      <c r="AA907" s="94"/>
      <c r="AB907" s="94"/>
      <c r="AC907" s="94"/>
      <c r="AD907" s="94"/>
      <c r="AE907" s="94"/>
      <c r="AF907" s="94"/>
      <c r="AG907" s="94"/>
      <c r="AH907" s="94"/>
      <c r="AI907" s="94"/>
      <c r="AJ907" s="94"/>
      <c r="AK907" s="94"/>
      <c r="AL907" s="94"/>
      <c r="AM907" s="94"/>
      <c r="AN907" s="94"/>
      <c r="AO907" s="94"/>
      <c r="AP907" s="94"/>
      <c r="AQ907" s="94"/>
      <c r="AR907" s="94"/>
      <c r="AS907" s="94"/>
      <c r="AT907" s="94"/>
      <c r="AU907" s="94"/>
      <c r="AV907" s="94"/>
      <c r="AW907" s="94"/>
      <c r="AX907" s="94"/>
      <c r="AY907" s="94"/>
      <c r="AZ907" s="94"/>
      <c r="BA907" s="95"/>
    </row>
    <row r="908" spans="1:53" s="87" customFormat="1">
      <c r="A908" s="90" t="str">
        <f t="shared" ref="A908:A971" si="39">IF(MID(B908,3,2)="09",ROW(),"")</f>
        <v/>
      </c>
      <c r="B908" s="98"/>
      <c r="C908" s="94"/>
      <c r="D908" s="94"/>
      <c r="E908" s="94"/>
      <c r="F908" s="94"/>
      <c r="G908" s="94"/>
      <c r="H908" s="94"/>
      <c r="I908" s="94"/>
      <c r="J908" s="94"/>
      <c r="K908" s="94"/>
      <c r="L908" s="94"/>
      <c r="M908" s="94"/>
      <c r="N908" s="94"/>
      <c r="O908" s="94"/>
      <c r="P908" s="94"/>
      <c r="Q908" s="94"/>
      <c r="R908" s="94"/>
      <c r="S908" s="94"/>
      <c r="T908" s="94"/>
      <c r="U908" s="94"/>
      <c r="V908" s="94"/>
      <c r="W908" s="94"/>
      <c r="X908" s="94"/>
      <c r="Y908" s="94"/>
      <c r="Z908" s="94"/>
      <c r="AA908" s="94"/>
      <c r="AB908" s="94"/>
      <c r="AC908" s="94"/>
      <c r="AD908" s="94"/>
      <c r="AE908" s="94"/>
      <c r="AF908" s="94"/>
      <c r="AG908" s="94"/>
      <c r="AH908" s="94"/>
      <c r="AI908" s="94"/>
      <c r="AJ908" s="94"/>
      <c r="AK908" s="94"/>
      <c r="AL908" s="94"/>
      <c r="AM908" s="94"/>
      <c r="AN908" s="94"/>
      <c r="AO908" s="94"/>
      <c r="AP908" s="94"/>
      <c r="AQ908" s="94"/>
      <c r="AR908" s="94"/>
      <c r="AS908" s="94"/>
      <c r="AT908" s="94"/>
      <c r="AU908" s="94"/>
      <c r="AV908" s="94"/>
      <c r="AW908" s="94"/>
      <c r="AX908" s="94"/>
      <c r="AY908" s="94"/>
      <c r="AZ908" s="94"/>
      <c r="BA908" s="95"/>
    </row>
    <row r="909" spans="1:53" s="87" customFormat="1">
      <c r="A909" s="90" t="str">
        <f t="shared" si="39"/>
        <v/>
      </c>
      <c r="B909" s="98"/>
      <c r="C909" s="94"/>
      <c r="D909" s="94"/>
      <c r="E909" s="94"/>
      <c r="F909" s="94"/>
      <c r="G909" s="94"/>
      <c r="H909" s="94"/>
      <c r="I909" s="94"/>
      <c r="J909" s="94"/>
      <c r="K909" s="94"/>
      <c r="L909" s="94"/>
      <c r="M909" s="94"/>
      <c r="N909" s="94"/>
      <c r="O909" s="94"/>
      <c r="P909" s="94"/>
      <c r="Q909" s="94"/>
      <c r="R909" s="94"/>
      <c r="S909" s="94"/>
      <c r="T909" s="94"/>
      <c r="U909" s="94"/>
      <c r="V909" s="94"/>
      <c r="W909" s="94"/>
      <c r="X909" s="94"/>
      <c r="Y909" s="94"/>
      <c r="Z909" s="94"/>
      <c r="AA909" s="94"/>
      <c r="AB909" s="94"/>
      <c r="AC909" s="94"/>
      <c r="AD909" s="94"/>
      <c r="AE909" s="94"/>
      <c r="AF909" s="94"/>
      <c r="AG909" s="94"/>
      <c r="AH909" s="94"/>
      <c r="AI909" s="94"/>
      <c r="AJ909" s="94"/>
      <c r="AK909" s="94"/>
      <c r="AL909" s="94"/>
      <c r="AM909" s="94"/>
      <c r="AN909" s="94"/>
      <c r="AO909" s="94"/>
      <c r="AP909" s="94"/>
      <c r="AQ909" s="94"/>
      <c r="AR909" s="94"/>
      <c r="AS909" s="94"/>
      <c r="AT909" s="94"/>
      <c r="AU909" s="94"/>
      <c r="AV909" s="94"/>
      <c r="AW909" s="94"/>
      <c r="AX909" s="94"/>
      <c r="AY909" s="94"/>
      <c r="AZ909" s="94"/>
      <c r="BA909" s="95"/>
    </row>
    <row r="910" spans="1:53" s="87" customFormat="1">
      <c r="A910" s="90" t="str">
        <f t="shared" si="39"/>
        <v/>
      </c>
      <c r="B910" s="98"/>
      <c r="C910" s="94"/>
      <c r="D910" s="94"/>
      <c r="E910" s="94"/>
      <c r="F910" s="94"/>
      <c r="G910" s="94"/>
      <c r="H910" s="94"/>
      <c r="I910" s="94"/>
      <c r="J910" s="94"/>
      <c r="K910" s="94"/>
      <c r="L910" s="94"/>
      <c r="M910" s="94"/>
      <c r="N910" s="94"/>
      <c r="O910" s="94"/>
      <c r="P910" s="94"/>
      <c r="Q910" s="94"/>
      <c r="R910" s="94"/>
      <c r="S910" s="94"/>
      <c r="T910" s="94"/>
      <c r="U910" s="94"/>
      <c r="V910" s="94"/>
      <c r="W910" s="94"/>
      <c r="X910" s="94"/>
      <c r="Y910" s="94"/>
      <c r="Z910" s="94"/>
      <c r="AA910" s="94"/>
      <c r="AB910" s="94"/>
      <c r="AC910" s="94"/>
      <c r="AD910" s="94"/>
      <c r="AE910" s="94"/>
      <c r="AF910" s="94"/>
      <c r="AG910" s="94"/>
      <c r="AH910" s="94"/>
      <c r="AI910" s="94"/>
      <c r="AJ910" s="94"/>
      <c r="AK910" s="94"/>
      <c r="AL910" s="94"/>
      <c r="AM910" s="94"/>
      <c r="AN910" s="94"/>
      <c r="AO910" s="94"/>
      <c r="AP910" s="94"/>
      <c r="AQ910" s="94"/>
      <c r="AR910" s="94"/>
      <c r="AS910" s="94"/>
      <c r="AT910" s="94"/>
      <c r="AU910" s="94"/>
      <c r="AV910" s="94"/>
      <c r="AW910" s="94"/>
      <c r="AX910" s="94"/>
      <c r="AY910" s="94"/>
      <c r="AZ910" s="94"/>
      <c r="BA910" s="95"/>
    </row>
    <row r="911" spans="1:53" s="87" customFormat="1">
      <c r="A911" s="90" t="str">
        <f t="shared" si="39"/>
        <v/>
      </c>
      <c r="B911" s="98"/>
      <c r="C911" s="94"/>
      <c r="D911" s="94"/>
      <c r="E911" s="94"/>
      <c r="F911" s="94"/>
      <c r="G911" s="94"/>
      <c r="H911" s="94"/>
      <c r="I911" s="94"/>
      <c r="J911" s="94"/>
      <c r="K911" s="94"/>
      <c r="L911" s="94"/>
      <c r="M911" s="94"/>
      <c r="N911" s="94"/>
      <c r="O911" s="94"/>
      <c r="P911" s="94"/>
      <c r="Q911" s="94"/>
      <c r="R911" s="94"/>
      <c r="S911" s="94"/>
      <c r="T911" s="94"/>
      <c r="U911" s="94"/>
      <c r="V911" s="94"/>
      <c r="W911" s="94"/>
      <c r="X911" s="94"/>
      <c r="Y911" s="94"/>
      <c r="Z911" s="94"/>
      <c r="AA911" s="94"/>
      <c r="AB911" s="94"/>
      <c r="AC911" s="94"/>
      <c r="AD911" s="94"/>
      <c r="AE911" s="94"/>
      <c r="AF911" s="94"/>
      <c r="AG911" s="94"/>
      <c r="AH911" s="94"/>
      <c r="AI911" s="94"/>
      <c r="AJ911" s="94"/>
      <c r="AK911" s="94"/>
      <c r="AL911" s="94"/>
      <c r="AM911" s="94"/>
      <c r="AN911" s="94"/>
      <c r="AO911" s="94"/>
      <c r="AP911" s="94"/>
      <c r="AQ911" s="94"/>
      <c r="AR911" s="94"/>
      <c r="AS911" s="94"/>
      <c r="AT911" s="94"/>
      <c r="AU911" s="94"/>
      <c r="AV911" s="94"/>
      <c r="AW911" s="94"/>
      <c r="AX911" s="94"/>
      <c r="AY911" s="94"/>
      <c r="AZ911" s="94"/>
      <c r="BA911" s="95"/>
    </row>
    <row r="912" spans="1:53" s="87" customFormat="1">
      <c r="A912" s="90" t="str">
        <f t="shared" si="39"/>
        <v/>
      </c>
      <c r="B912" s="98"/>
      <c r="C912" s="94"/>
      <c r="D912" s="94"/>
      <c r="E912" s="94"/>
      <c r="F912" s="94"/>
      <c r="G912" s="94"/>
      <c r="H912" s="94"/>
      <c r="I912" s="94"/>
      <c r="J912" s="94"/>
      <c r="K912" s="94"/>
      <c r="L912" s="94"/>
      <c r="M912" s="94"/>
      <c r="N912" s="94"/>
      <c r="O912" s="94"/>
      <c r="P912" s="94"/>
      <c r="Q912" s="94"/>
      <c r="R912" s="94"/>
      <c r="S912" s="94"/>
      <c r="T912" s="94"/>
      <c r="U912" s="94"/>
      <c r="V912" s="94"/>
      <c r="W912" s="94"/>
      <c r="X912" s="94"/>
      <c r="Y912" s="94"/>
      <c r="Z912" s="94"/>
      <c r="AA912" s="94"/>
      <c r="AB912" s="94"/>
      <c r="AC912" s="94"/>
      <c r="AD912" s="94"/>
      <c r="AE912" s="94"/>
      <c r="AF912" s="94"/>
      <c r="AG912" s="94"/>
      <c r="AH912" s="94"/>
      <c r="AI912" s="94"/>
      <c r="AJ912" s="94"/>
      <c r="AK912" s="94"/>
      <c r="AL912" s="94"/>
      <c r="AM912" s="94"/>
      <c r="AN912" s="94"/>
      <c r="AO912" s="94"/>
      <c r="AP912" s="94"/>
      <c r="AQ912" s="94"/>
      <c r="AR912" s="94"/>
      <c r="AS912" s="94"/>
      <c r="AT912" s="94"/>
      <c r="AU912" s="94"/>
      <c r="AV912" s="94"/>
      <c r="AW912" s="94"/>
      <c r="AX912" s="94"/>
      <c r="AY912" s="94"/>
      <c r="AZ912" s="94"/>
      <c r="BA912" s="95"/>
    </row>
    <row r="913" spans="1:53" s="87" customFormat="1">
      <c r="A913" s="90" t="str">
        <f t="shared" si="39"/>
        <v/>
      </c>
      <c r="B913" s="98"/>
      <c r="C913" s="94"/>
      <c r="D913" s="94"/>
      <c r="E913" s="94"/>
      <c r="F913" s="94"/>
      <c r="G913" s="94"/>
      <c r="H913" s="94"/>
      <c r="I913" s="94"/>
      <c r="J913" s="94"/>
      <c r="K913" s="94"/>
      <c r="L913" s="94"/>
      <c r="M913" s="94"/>
      <c r="N913" s="94"/>
      <c r="O913" s="94"/>
      <c r="P913" s="94"/>
      <c r="Q913" s="94"/>
      <c r="R913" s="94"/>
      <c r="S913" s="94"/>
      <c r="T913" s="94"/>
      <c r="U913" s="94"/>
      <c r="V913" s="94"/>
      <c r="W913" s="94"/>
      <c r="X913" s="94"/>
      <c r="Y913" s="94"/>
      <c r="Z913" s="94"/>
      <c r="AA913" s="94"/>
      <c r="AB913" s="94"/>
      <c r="AC913" s="94"/>
      <c r="AD913" s="94"/>
      <c r="AE913" s="94"/>
      <c r="AF913" s="94"/>
      <c r="AG913" s="94"/>
      <c r="AH913" s="94"/>
      <c r="AI913" s="94"/>
      <c r="AJ913" s="94"/>
      <c r="AK913" s="94"/>
      <c r="AL913" s="94"/>
      <c r="AM913" s="94"/>
      <c r="AN913" s="94"/>
      <c r="AO913" s="94"/>
      <c r="AP913" s="94"/>
      <c r="AQ913" s="94"/>
      <c r="AR913" s="94"/>
      <c r="AS913" s="94"/>
      <c r="AT913" s="94"/>
      <c r="AU913" s="94"/>
      <c r="AV913" s="94"/>
      <c r="AW913" s="94"/>
      <c r="AX913" s="94"/>
      <c r="AY913" s="94"/>
      <c r="AZ913" s="94"/>
      <c r="BA913" s="95"/>
    </row>
    <row r="914" spans="1:53" s="87" customFormat="1">
      <c r="A914" s="90" t="str">
        <f t="shared" si="39"/>
        <v/>
      </c>
      <c r="B914" s="98"/>
      <c r="C914" s="94"/>
      <c r="D914" s="94"/>
      <c r="E914" s="94"/>
      <c r="F914" s="94"/>
      <c r="G914" s="94"/>
      <c r="H914" s="94"/>
      <c r="I914" s="94"/>
      <c r="J914" s="94"/>
      <c r="K914" s="94"/>
      <c r="L914" s="94"/>
      <c r="M914" s="94"/>
      <c r="N914" s="94"/>
      <c r="O914" s="94"/>
      <c r="P914" s="94"/>
      <c r="Q914" s="94"/>
      <c r="R914" s="94"/>
      <c r="S914" s="94"/>
      <c r="T914" s="94"/>
      <c r="U914" s="94"/>
      <c r="V914" s="94"/>
      <c r="W914" s="94"/>
      <c r="X914" s="94"/>
      <c r="Y914" s="94"/>
      <c r="Z914" s="94"/>
      <c r="AA914" s="94"/>
      <c r="AB914" s="94"/>
      <c r="AC914" s="94"/>
      <c r="AD914" s="94"/>
      <c r="AE914" s="94"/>
      <c r="AF914" s="94"/>
      <c r="AG914" s="94"/>
      <c r="AH914" s="94"/>
      <c r="AI914" s="94"/>
      <c r="AJ914" s="94"/>
      <c r="AK914" s="94"/>
      <c r="AL914" s="94"/>
      <c r="AM914" s="94"/>
      <c r="AN914" s="94"/>
      <c r="AO914" s="94"/>
      <c r="AP914" s="94"/>
      <c r="AQ914" s="94"/>
      <c r="AR914" s="94"/>
      <c r="AS914" s="94"/>
      <c r="AT914" s="94"/>
      <c r="AU914" s="94"/>
      <c r="AV914" s="94"/>
      <c r="AW914" s="94"/>
      <c r="AX914" s="94"/>
      <c r="AY914" s="94"/>
      <c r="AZ914" s="94"/>
      <c r="BA914" s="95"/>
    </row>
    <row r="915" spans="1:53" s="87" customFormat="1">
      <c r="A915" s="90" t="str">
        <f t="shared" si="39"/>
        <v/>
      </c>
      <c r="B915" s="98"/>
      <c r="C915" s="94"/>
      <c r="D915" s="94"/>
      <c r="E915" s="94"/>
      <c r="F915" s="94"/>
      <c r="G915" s="94"/>
      <c r="H915" s="94"/>
      <c r="I915" s="94"/>
      <c r="J915" s="94"/>
      <c r="K915" s="94"/>
      <c r="L915" s="94"/>
      <c r="M915" s="94"/>
      <c r="N915" s="94"/>
      <c r="O915" s="94"/>
      <c r="P915" s="94"/>
      <c r="Q915" s="94"/>
      <c r="R915" s="94"/>
      <c r="S915" s="94"/>
      <c r="T915" s="94"/>
      <c r="U915" s="94"/>
      <c r="V915" s="94"/>
      <c r="W915" s="94"/>
      <c r="X915" s="94"/>
      <c r="Y915" s="94"/>
      <c r="Z915" s="94"/>
      <c r="AA915" s="94"/>
      <c r="AB915" s="94"/>
      <c r="AC915" s="94"/>
      <c r="AD915" s="94"/>
      <c r="AE915" s="94"/>
      <c r="AF915" s="94"/>
      <c r="AG915" s="94"/>
      <c r="AH915" s="94"/>
      <c r="AI915" s="94"/>
      <c r="AJ915" s="94"/>
      <c r="AK915" s="94"/>
      <c r="AL915" s="94"/>
      <c r="AM915" s="94"/>
      <c r="AN915" s="94"/>
      <c r="AO915" s="94"/>
      <c r="AP915" s="94"/>
      <c r="AQ915" s="94"/>
      <c r="AR915" s="94"/>
      <c r="AS915" s="94"/>
      <c r="AT915" s="94"/>
      <c r="AU915" s="94"/>
      <c r="AV915" s="94"/>
      <c r="AW915" s="94"/>
      <c r="AX915" s="94"/>
      <c r="AY915" s="94"/>
      <c r="AZ915" s="94"/>
      <c r="BA915" s="95"/>
    </row>
    <row r="916" spans="1:53" s="87" customFormat="1">
      <c r="A916" s="90" t="str">
        <f t="shared" si="39"/>
        <v/>
      </c>
      <c r="B916" s="98"/>
      <c r="C916" s="94"/>
      <c r="D916" s="94"/>
      <c r="E916" s="94"/>
      <c r="F916" s="94"/>
      <c r="G916" s="94"/>
      <c r="H916" s="94"/>
      <c r="I916" s="94"/>
      <c r="J916" s="94"/>
      <c r="K916" s="94"/>
      <c r="L916" s="94"/>
      <c r="M916" s="94"/>
      <c r="N916" s="94"/>
      <c r="O916" s="94"/>
      <c r="P916" s="94"/>
      <c r="Q916" s="94"/>
      <c r="R916" s="94"/>
      <c r="S916" s="94"/>
      <c r="T916" s="94"/>
      <c r="U916" s="94"/>
      <c r="V916" s="94"/>
      <c r="W916" s="94"/>
      <c r="X916" s="94"/>
      <c r="Y916" s="94"/>
      <c r="Z916" s="94"/>
      <c r="AA916" s="94"/>
      <c r="AB916" s="94"/>
      <c r="AC916" s="94"/>
      <c r="AD916" s="94"/>
      <c r="AE916" s="94"/>
      <c r="AF916" s="94"/>
      <c r="AG916" s="94"/>
      <c r="AH916" s="94"/>
      <c r="AI916" s="94"/>
      <c r="AJ916" s="94"/>
      <c r="AK916" s="94"/>
      <c r="AL916" s="94"/>
      <c r="AM916" s="94"/>
      <c r="AN916" s="94"/>
      <c r="AO916" s="94"/>
      <c r="AP916" s="94"/>
      <c r="AQ916" s="94"/>
      <c r="AR916" s="94"/>
      <c r="AS916" s="94"/>
      <c r="AT916" s="94"/>
      <c r="AU916" s="94"/>
      <c r="AV916" s="94"/>
      <c r="AW916" s="94"/>
      <c r="AX916" s="94"/>
      <c r="AY916" s="94"/>
      <c r="AZ916" s="94"/>
      <c r="BA916" s="95"/>
    </row>
    <row r="917" spans="1:53" s="87" customFormat="1">
      <c r="A917" s="90" t="str">
        <f t="shared" si="39"/>
        <v/>
      </c>
      <c r="B917" s="98"/>
      <c r="C917" s="94"/>
      <c r="D917" s="94"/>
      <c r="E917" s="94"/>
      <c r="F917" s="94"/>
      <c r="G917" s="94"/>
      <c r="H917" s="94"/>
      <c r="I917" s="94"/>
      <c r="J917" s="94"/>
      <c r="K917" s="94"/>
      <c r="L917" s="94"/>
      <c r="M917" s="94"/>
      <c r="N917" s="94"/>
      <c r="O917" s="94"/>
      <c r="P917" s="94"/>
      <c r="Q917" s="94"/>
      <c r="R917" s="94"/>
      <c r="S917" s="94"/>
      <c r="T917" s="94"/>
      <c r="U917" s="94"/>
      <c r="V917" s="94"/>
      <c r="W917" s="94"/>
      <c r="X917" s="94"/>
      <c r="Y917" s="94"/>
      <c r="Z917" s="94"/>
      <c r="AA917" s="94"/>
      <c r="AB917" s="94"/>
      <c r="AC917" s="94"/>
      <c r="AD917" s="94"/>
      <c r="AE917" s="94"/>
      <c r="AF917" s="94"/>
      <c r="AG917" s="94"/>
      <c r="AH917" s="94"/>
      <c r="AI917" s="94"/>
      <c r="AJ917" s="94"/>
      <c r="AK917" s="94"/>
      <c r="AL917" s="94"/>
      <c r="AM917" s="94"/>
      <c r="AN917" s="94"/>
      <c r="AO917" s="94"/>
      <c r="AP917" s="94"/>
      <c r="AQ917" s="94"/>
      <c r="AR917" s="94"/>
      <c r="AS917" s="94"/>
      <c r="AT917" s="94"/>
      <c r="AU917" s="94"/>
      <c r="AV917" s="94"/>
      <c r="AW917" s="94"/>
      <c r="AX917" s="94"/>
      <c r="AY917" s="94"/>
      <c r="AZ917" s="94"/>
      <c r="BA917" s="95"/>
    </row>
    <row r="918" spans="1:53" s="87" customFormat="1">
      <c r="A918" s="90" t="str">
        <f t="shared" si="39"/>
        <v/>
      </c>
      <c r="B918" s="98"/>
      <c r="C918" s="94"/>
      <c r="D918" s="94"/>
      <c r="E918" s="94"/>
      <c r="F918" s="94"/>
      <c r="G918" s="94"/>
      <c r="H918" s="94"/>
      <c r="I918" s="94"/>
      <c r="J918" s="94"/>
      <c r="K918" s="94"/>
      <c r="L918" s="94"/>
      <c r="M918" s="94"/>
      <c r="N918" s="94"/>
      <c r="O918" s="94"/>
      <c r="P918" s="94"/>
      <c r="Q918" s="94"/>
      <c r="R918" s="94"/>
      <c r="S918" s="94"/>
      <c r="T918" s="94"/>
      <c r="U918" s="94"/>
      <c r="V918" s="94"/>
      <c r="W918" s="94"/>
      <c r="X918" s="94"/>
      <c r="Y918" s="94"/>
      <c r="Z918" s="94"/>
      <c r="AA918" s="94"/>
      <c r="AB918" s="94"/>
      <c r="AC918" s="94"/>
      <c r="AD918" s="94"/>
      <c r="AE918" s="94"/>
      <c r="AF918" s="94"/>
      <c r="AG918" s="94"/>
      <c r="AH918" s="94"/>
      <c r="AI918" s="94"/>
      <c r="AJ918" s="94"/>
      <c r="AK918" s="94"/>
      <c r="AL918" s="94"/>
      <c r="AM918" s="94"/>
      <c r="AN918" s="94"/>
      <c r="AO918" s="94"/>
      <c r="AP918" s="94"/>
      <c r="AQ918" s="94"/>
      <c r="AR918" s="94"/>
      <c r="AS918" s="94"/>
      <c r="AT918" s="94"/>
      <c r="AU918" s="94"/>
      <c r="AV918" s="94"/>
      <c r="AW918" s="94"/>
      <c r="AX918" s="94"/>
      <c r="AY918" s="94"/>
      <c r="AZ918" s="94"/>
      <c r="BA918" s="95"/>
    </row>
    <row r="919" spans="1:53" s="87" customFormat="1">
      <c r="A919" s="90" t="str">
        <f t="shared" si="39"/>
        <v/>
      </c>
      <c r="B919" s="98"/>
      <c r="C919" s="94"/>
      <c r="D919" s="94"/>
      <c r="E919" s="94"/>
      <c r="F919" s="94"/>
      <c r="G919" s="94"/>
      <c r="H919" s="94"/>
      <c r="I919" s="94"/>
      <c r="J919" s="94"/>
      <c r="K919" s="94"/>
      <c r="L919" s="94"/>
      <c r="M919" s="94"/>
      <c r="N919" s="94"/>
      <c r="O919" s="94"/>
      <c r="P919" s="94"/>
      <c r="Q919" s="94"/>
      <c r="R919" s="94"/>
      <c r="S919" s="94"/>
      <c r="T919" s="94"/>
      <c r="U919" s="94"/>
      <c r="V919" s="94"/>
      <c r="W919" s="94"/>
      <c r="X919" s="94"/>
      <c r="Y919" s="94"/>
      <c r="Z919" s="94"/>
      <c r="AA919" s="94"/>
      <c r="AB919" s="94"/>
      <c r="AC919" s="94"/>
      <c r="AD919" s="94"/>
      <c r="AE919" s="94"/>
      <c r="AF919" s="94"/>
      <c r="AG919" s="94"/>
      <c r="AH919" s="94"/>
      <c r="AI919" s="94"/>
      <c r="AJ919" s="94"/>
      <c r="AK919" s="94"/>
      <c r="AL919" s="94"/>
      <c r="AM919" s="94"/>
      <c r="AN919" s="94"/>
      <c r="AO919" s="94"/>
      <c r="AP919" s="94"/>
      <c r="AQ919" s="94"/>
      <c r="AR919" s="94"/>
      <c r="AS919" s="94"/>
      <c r="AT919" s="94"/>
      <c r="AU919" s="94"/>
      <c r="AV919" s="94"/>
      <c r="AW919" s="94"/>
      <c r="AX919" s="94"/>
      <c r="AY919" s="94"/>
      <c r="AZ919" s="94"/>
      <c r="BA919" s="95"/>
    </row>
    <row r="920" spans="1:53" s="87" customFormat="1">
      <c r="A920" s="90" t="str">
        <f t="shared" si="39"/>
        <v/>
      </c>
      <c r="B920" s="98"/>
      <c r="C920" s="94"/>
      <c r="D920" s="94"/>
      <c r="E920" s="94"/>
      <c r="F920" s="94"/>
      <c r="G920" s="94"/>
      <c r="H920" s="94"/>
      <c r="I920" s="94"/>
      <c r="J920" s="94"/>
      <c r="K920" s="94"/>
      <c r="L920" s="94"/>
      <c r="M920" s="94"/>
      <c r="N920" s="94"/>
      <c r="O920" s="94"/>
      <c r="P920" s="94"/>
      <c r="Q920" s="94"/>
      <c r="R920" s="94"/>
      <c r="S920" s="94"/>
      <c r="T920" s="94"/>
      <c r="U920" s="94"/>
      <c r="V920" s="94"/>
      <c r="W920" s="94"/>
      <c r="X920" s="94"/>
      <c r="Y920" s="94"/>
      <c r="Z920" s="94"/>
      <c r="AA920" s="94"/>
      <c r="AB920" s="94"/>
      <c r="AC920" s="94"/>
      <c r="AD920" s="94"/>
      <c r="AE920" s="94"/>
      <c r="AF920" s="94"/>
      <c r="AG920" s="94"/>
      <c r="AH920" s="94"/>
      <c r="AI920" s="94"/>
      <c r="AJ920" s="94"/>
      <c r="AK920" s="94"/>
      <c r="AL920" s="94"/>
      <c r="AM920" s="94"/>
      <c r="AN920" s="94"/>
      <c r="AO920" s="94"/>
      <c r="AP920" s="94"/>
      <c r="AQ920" s="94"/>
      <c r="AR920" s="94"/>
      <c r="AS920" s="94"/>
      <c r="AT920" s="94"/>
      <c r="AU920" s="94"/>
      <c r="AV920" s="94"/>
      <c r="AW920" s="94"/>
      <c r="AX920" s="94"/>
      <c r="AY920" s="94"/>
      <c r="AZ920" s="94"/>
      <c r="BA920" s="95"/>
    </row>
    <row r="921" spans="1:53" s="87" customFormat="1">
      <c r="A921" s="90" t="str">
        <f t="shared" si="39"/>
        <v/>
      </c>
      <c r="B921" s="98"/>
      <c r="C921" s="94"/>
      <c r="D921" s="94"/>
      <c r="E921" s="94"/>
      <c r="F921" s="94"/>
      <c r="G921" s="94"/>
      <c r="H921" s="94"/>
      <c r="I921" s="94"/>
      <c r="J921" s="94"/>
      <c r="K921" s="94"/>
      <c r="L921" s="94"/>
      <c r="M921" s="94"/>
      <c r="N921" s="94"/>
      <c r="O921" s="94"/>
      <c r="P921" s="94"/>
      <c r="Q921" s="94"/>
      <c r="R921" s="94"/>
      <c r="S921" s="94"/>
      <c r="T921" s="94"/>
      <c r="U921" s="94"/>
      <c r="V921" s="94"/>
      <c r="W921" s="94"/>
      <c r="X921" s="94"/>
      <c r="Y921" s="94"/>
      <c r="Z921" s="94"/>
      <c r="AA921" s="94"/>
      <c r="AB921" s="94"/>
      <c r="AC921" s="94"/>
      <c r="AD921" s="94"/>
      <c r="AE921" s="94"/>
      <c r="AF921" s="94"/>
      <c r="AG921" s="94"/>
      <c r="AH921" s="94"/>
      <c r="AI921" s="94"/>
      <c r="AJ921" s="94"/>
      <c r="AK921" s="94"/>
      <c r="AL921" s="94"/>
      <c r="AM921" s="94"/>
      <c r="AN921" s="94"/>
      <c r="AO921" s="94"/>
      <c r="AP921" s="94"/>
      <c r="AQ921" s="94"/>
      <c r="AR921" s="94"/>
      <c r="AS921" s="94"/>
      <c r="AT921" s="94"/>
      <c r="AU921" s="94"/>
      <c r="AV921" s="94"/>
      <c r="AW921" s="94"/>
      <c r="AX921" s="94"/>
      <c r="AY921" s="94"/>
      <c r="AZ921" s="94"/>
      <c r="BA921" s="95"/>
    </row>
    <row r="922" spans="1:53" s="87" customFormat="1">
      <c r="A922" s="90" t="str">
        <f t="shared" si="39"/>
        <v/>
      </c>
      <c r="B922" s="98"/>
      <c r="C922" s="94"/>
      <c r="D922" s="94"/>
      <c r="E922" s="94"/>
      <c r="F922" s="94"/>
      <c r="G922" s="94"/>
      <c r="H922" s="94"/>
      <c r="I922" s="94"/>
      <c r="J922" s="94"/>
      <c r="K922" s="94"/>
      <c r="L922" s="94"/>
      <c r="M922" s="94"/>
      <c r="N922" s="94"/>
      <c r="O922" s="94"/>
      <c r="P922" s="94"/>
      <c r="Q922" s="94"/>
      <c r="R922" s="94"/>
      <c r="S922" s="94"/>
      <c r="T922" s="94"/>
      <c r="U922" s="94"/>
      <c r="V922" s="94"/>
      <c r="W922" s="94"/>
      <c r="X922" s="94"/>
      <c r="Y922" s="94"/>
      <c r="Z922" s="94"/>
      <c r="AA922" s="94"/>
      <c r="AB922" s="94"/>
      <c r="AC922" s="94"/>
      <c r="AD922" s="94"/>
      <c r="AE922" s="94"/>
      <c r="AF922" s="94"/>
      <c r="AG922" s="94"/>
      <c r="AH922" s="94"/>
      <c r="AI922" s="94"/>
      <c r="AJ922" s="94"/>
      <c r="AK922" s="94"/>
      <c r="AL922" s="94"/>
      <c r="AM922" s="94"/>
      <c r="AN922" s="94"/>
      <c r="AO922" s="94"/>
      <c r="AP922" s="94"/>
      <c r="AQ922" s="94"/>
      <c r="AR922" s="94"/>
      <c r="AS922" s="94"/>
      <c r="AT922" s="94"/>
      <c r="AU922" s="94"/>
      <c r="AV922" s="94"/>
      <c r="AW922" s="94"/>
      <c r="AX922" s="94"/>
      <c r="AY922" s="94"/>
      <c r="AZ922" s="94"/>
      <c r="BA922" s="95"/>
    </row>
    <row r="923" spans="1:53" s="87" customFormat="1">
      <c r="A923" s="90" t="str">
        <f t="shared" si="39"/>
        <v/>
      </c>
      <c r="B923" s="98"/>
      <c r="C923" s="94"/>
      <c r="D923" s="94"/>
      <c r="E923" s="94"/>
      <c r="F923" s="94"/>
      <c r="G923" s="94"/>
      <c r="H923" s="94"/>
      <c r="I923" s="94"/>
      <c r="J923" s="94"/>
      <c r="K923" s="94"/>
      <c r="L923" s="94"/>
      <c r="M923" s="94"/>
      <c r="N923" s="94"/>
      <c r="O923" s="94"/>
      <c r="P923" s="94"/>
      <c r="Q923" s="94"/>
      <c r="R923" s="94"/>
      <c r="S923" s="94"/>
      <c r="T923" s="94"/>
      <c r="U923" s="94"/>
      <c r="V923" s="94"/>
      <c r="W923" s="94"/>
      <c r="X923" s="94"/>
      <c r="Y923" s="94"/>
      <c r="Z923" s="94"/>
      <c r="AA923" s="94"/>
      <c r="AB923" s="94"/>
      <c r="AC923" s="94"/>
      <c r="AD923" s="94"/>
      <c r="AE923" s="94"/>
      <c r="AF923" s="94"/>
      <c r="AG923" s="94"/>
      <c r="AH923" s="94"/>
      <c r="AI923" s="94"/>
      <c r="AJ923" s="94"/>
      <c r="AK923" s="94"/>
      <c r="AL923" s="94"/>
      <c r="AM923" s="94"/>
      <c r="AN923" s="94"/>
      <c r="AO923" s="94"/>
      <c r="AP923" s="94"/>
      <c r="AQ923" s="94"/>
      <c r="AR923" s="94"/>
      <c r="AS923" s="94"/>
      <c r="AT923" s="94"/>
      <c r="AU923" s="94"/>
      <c r="AV923" s="94"/>
      <c r="AW923" s="94"/>
      <c r="AX923" s="94"/>
      <c r="AY923" s="94"/>
      <c r="AZ923" s="94"/>
      <c r="BA923" s="95"/>
    </row>
    <row r="924" spans="1:53" s="87" customFormat="1">
      <c r="A924" s="90" t="str">
        <f t="shared" si="39"/>
        <v/>
      </c>
      <c r="B924" s="98"/>
      <c r="C924" s="94"/>
      <c r="D924" s="94"/>
      <c r="E924" s="94"/>
      <c r="F924" s="94"/>
      <c r="G924" s="94"/>
      <c r="H924" s="94"/>
      <c r="I924" s="94"/>
      <c r="J924" s="94"/>
      <c r="K924" s="94"/>
      <c r="L924" s="94"/>
      <c r="M924" s="94"/>
      <c r="N924" s="94"/>
      <c r="O924" s="94"/>
      <c r="P924" s="94"/>
      <c r="Q924" s="94"/>
      <c r="R924" s="94"/>
      <c r="S924" s="94"/>
      <c r="T924" s="94"/>
      <c r="U924" s="94"/>
      <c r="V924" s="94"/>
      <c r="W924" s="94"/>
      <c r="X924" s="94"/>
      <c r="Y924" s="94"/>
      <c r="Z924" s="94"/>
      <c r="AA924" s="94"/>
      <c r="AB924" s="94"/>
      <c r="AC924" s="94"/>
      <c r="AD924" s="94"/>
      <c r="AE924" s="94"/>
      <c r="AF924" s="94"/>
      <c r="AG924" s="94"/>
      <c r="AH924" s="94"/>
      <c r="AI924" s="94"/>
      <c r="AJ924" s="94"/>
      <c r="AK924" s="94"/>
      <c r="AL924" s="94"/>
      <c r="AM924" s="94"/>
      <c r="AN924" s="94"/>
      <c r="AO924" s="94"/>
      <c r="AP924" s="94"/>
      <c r="AQ924" s="94"/>
      <c r="AR924" s="94"/>
      <c r="AS924" s="94"/>
      <c r="AT924" s="94"/>
      <c r="AU924" s="94"/>
      <c r="AV924" s="94"/>
      <c r="AW924" s="94"/>
      <c r="AX924" s="94"/>
      <c r="AY924" s="94"/>
      <c r="AZ924" s="94"/>
      <c r="BA924" s="95"/>
    </row>
    <row r="925" spans="1:53" s="87" customFormat="1">
      <c r="A925" s="90" t="str">
        <f t="shared" si="39"/>
        <v/>
      </c>
      <c r="B925" s="98"/>
      <c r="C925" s="94"/>
      <c r="D925" s="94"/>
      <c r="E925" s="94"/>
      <c r="F925" s="94"/>
      <c r="G925" s="94"/>
      <c r="H925" s="94"/>
      <c r="I925" s="94"/>
      <c r="J925" s="94"/>
      <c r="K925" s="94"/>
      <c r="L925" s="94"/>
      <c r="M925" s="94"/>
      <c r="N925" s="94"/>
      <c r="O925" s="94"/>
      <c r="P925" s="94"/>
      <c r="Q925" s="94"/>
      <c r="R925" s="94"/>
      <c r="S925" s="94"/>
      <c r="T925" s="94"/>
      <c r="U925" s="94"/>
      <c r="V925" s="94"/>
      <c r="W925" s="94"/>
      <c r="X925" s="94"/>
      <c r="Y925" s="94"/>
      <c r="Z925" s="94"/>
      <c r="AA925" s="94"/>
      <c r="AB925" s="94"/>
      <c r="AC925" s="94"/>
      <c r="AD925" s="94"/>
      <c r="AE925" s="94"/>
      <c r="AF925" s="94"/>
      <c r="AG925" s="94"/>
      <c r="AH925" s="94"/>
      <c r="AI925" s="94"/>
      <c r="AJ925" s="94"/>
      <c r="AK925" s="94"/>
      <c r="AL925" s="94"/>
      <c r="AM925" s="94"/>
      <c r="AN925" s="94"/>
      <c r="AO925" s="94"/>
      <c r="AP925" s="94"/>
      <c r="AQ925" s="94"/>
      <c r="AR925" s="94"/>
      <c r="AS925" s="94"/>
      <c r="AT925" s="94"/>
      <c r="AU925" s="94"/>
      <c r="AV925" s="94"/>
      <c r="AW925" s="94"/>
      <c r="AX925" s="94"/>
      <c r="AY925" s="94"/>
      <c r="AZ925" s="94"/>
      <c r="BA925" s="95"/>
    </row>
    <row r="926" spans="1:53" s="87" customFormat="1">
      <c r="A926" s="90" t="str">
        <f t="shared" si="39"/>
        <v/>
      </c>
      <c r="B926" s="98"/>
      <c r="C926" s="94"/>
      <c r="D926" s="94"/>
      <c r="E926" s="94"/>
      <c r="F926" s="94"/>
      <c r="G926" s="94"/>
      <c r="H926" s="94"/>
      <c r="I926" s="94"/>
      <c r="J926" s="94"/>
      <c r="K926" s="94"/>
      <c r="L926" s="94"/>
      <c r="M926" s="94"/>
      <c r="N926" s="94"/>
      <c r="O926" s="94"/>
      <c r="P926" s="94"/>
      <c r="Q926" s="94"/>
      <c r="R926" s="94"/>
      <c r="S926" s="94"/>
      <c r="T926" s="94"/>
      <c r="U926" s="94"/>
      <c r="V926" s="94"/>
      <c r="W926" s="94"/>
      <c r="X926" s="94"/>
      <c r="Y926" s="94"/>
      <c r="Z926" s="94"/>
      <c r="AA926" s="94"/>
      <c r="AB926" s="94"/>
      <c r="AC926" s="94"/>
      <c r="AD926" s="94"/>
      <c r="AE926" s="94"/>
      <c r="AF926" s="94"/>
      <c r="AG926" s="94"/>
      <c r="AH926" s="94"/>
      <c r="AI926" s="94"/>
      <c r="AJ926" s="94"/>
      <c r="AK926" s="94"/>
      <c r="AL926" s="94"/>
      <c r="AM926" s="94"/>
      <c r="AN926" s="94"/>
      <c r="AO926" s="94"/>
      <c r="AP926" s="94"/>
      <c r="AQ926" s="94"/>
      <c r="AR926" s="94"/>
      <c r="AS926" s="94"/>
      <c r="AT926" s="94"/>
      <c r="AU926" s="94"/>
      <c r="AV926" s="94"/>
      <c r="AW926" s="94"/>
      <c r="AX926" s="94"/>
      <c r="AY926" s="94"/>
      <c r="AZ926" s="94"/>
      <c r="BA926" s="95"/>
    </row>
    <row r="927" spans="1:53" s="87" customFormat="1">
      <c r="A927" s="90" t="str">
        <f t="shared" si="39"/>
        <v/>
      </c>
      <c r="B927" s="98"/>
      <c r="C927" s="94"/>
      <c r="D927" s="94"/>
      <c r="E927" s="94"/>
      <c r="F927" s="94"/>
      <c r="G927" s="94"/>
      <c r="H927" s="94"/>
      <c r="I927" s="94"/>
      <c r="J927" s="94"/>
      <c r="K927" s="94"/>
      <c r="L927" s="94"/>
      <c r="M927" s="94"/>
      <c r="N927" s="94"/>
      <c r="O927" s="94"/>
      <c r="P927" s="94"/>
      <c r="Q927" s="94"/>
      <c r="R927" s="94"/>
      <c r="S927" s="94"/>
      <c r="T927" s="94"/>
      <c r="U927" s="94"/>
      <c r="V927" s="94"/>
      <c r="W927" s="94"/>
      <c r="X927" s="94"/>
      <c r="Y927" s="94"/>
      <c r="Z927" s="94"/>
      <c r="AA927" s="94"/>
      <c r="AB927" s="94"/>
      <c r="AC927" s="94"/>
      <c r="AD927" s="94"/>
      <c r="AE927" s="94"/>
      <c r="AF927" s="94"/>
      <c r="AG927" s="94"/>
      <c r="AH927" s="94"/>
      <c r="AI927" s="94"/>
      <c r="AJ927" s="94"/>
      <c r="AK927" s="94"/>
      <c r="AL927" s="94"/>
      <c r="AM927" s="94"/>
      <c r="AN927" s="94"/>
      <c r="AO927" s="94"/>
      <c r="AP927" s="94"/>
      <c r="AQ927" s="94"/>
      <c r="AR927" s="94"/>
      <c r="AS927" s="94"/>
      <c r="AT927" s="94"/>
      <c r="AU927" s="94"/>
      <c r="AV927" s="94"/>
      <c r="AW927" s="94"/>
      <c r="AX927" s="94"/>
      <c r="AY927" s="94"/>
      <c r="AZ927" s="94"/>
      <c r="BA927" s="95"/>
    </row>
    <row r="928" spans="1:53" s="87" customFormat="1">
      <c r="A928" s="90" t="str">
        <f t="shared" si="39"/>
        <v/>
      </c>
      <c r="B928" s="98"/>
      <c r="C928" s="94"/>
      <c r="D928" s="94"/>
      <c r="E928" s="94"/>
      <c r="F928" s="94"/>
      <c r="G928" s="94"/>
      <c r="H928" s="94"/>
      <c r="I928" s="94"/>
      <c r="J928" s="94"/>
      <c r="K928" s="94"/>
      <c r="L928" s="94"/>
      <c r="M928" s="94"/>
      <c r="N928" s="94"/>
      <c r="O928" s="94"/>
      <c r="P928" s="94"/>
      <c r="Q928" s="94"/>
      <c r="R928" s="94"/>
      <c r="S928" s="94"/>
      <c r="T928" s="94"/>
      <c r="U928" s="94"/>
      <c r="V928" s="94"/>
      <c r="W928" s="94"/>
      <c r="X928" s="94"/>
      <c r="Y928" s="94"/>
      <c r="Z928" s="94"/>
      <c r="AA928" s="94"/>
      <c r="AB928" s="94"/>
      <c r="AC928" s="94"/>
      <c r="AD928" s="94"/>
      <c r="AE928" s="94"/>
      <c r="AF928" s="94"/>
      <c r="AG928" s="94"/>
      <c r="AH928" s="94"/>
      <c r="AI928" s="94"/>
      <c r="AJ928" s="94"/>
      <c r="AK928" s="94"/>
      <c r="AL928" s="94"/>
      <c r="AM928" s="94"/>
      <c r="AN928" s="94"/>
      <c r="AO928" s="94"/>
      <c r="AP928" s="94"/>
      <c r="AQ928" s="94"/>
      <c r="AR928" s="94"/>
      <c r="AS928" s="94"/>
      <c r="AT928" s="94"/>
      <c r="AU928" s="94"/>
      <c r="AV928" s="94"/>
      <c r="AW928" s="94"/>
      <c r="AX928" s="94"/>
      <c r="AY928" s="94"/>
      <c r="AZ928" s="94"/>
      <c r="BA928" s="95"/>
    </row>
    <row r="929" spans="1:53" s="87" customFormat="1">
      <c r="A929" s="90" t="str">
        <f t="shared" si="39"/>
        <v/>
      </c>
      <c r="B929" s="98"/>
      <c r="C929" s="94"/>
      <c r="D929" s="94"/>
      <c r="E929" s="94"/>
      <c r="F929" s="94"/>
      <c r="G929" s="94"/>
      <c r="H929" s="94"/>
      <c r="I929" s="94"/>
      <c r="J929" s="94"/>
      <c r="K929" s="94"/>
      <c r="L929" s="94"/>
      <c r="M929" s="94"/>
      <c r="N929" s="94"/>
      <c r="O929" s="94"/>
      <c r="P929" s="94"/>
      <c r="Q929" s="94"/>
      <c r="R929" s="94"/>
      <c r="S929" s="94"/>
      <c r="T929" s="94"/>
      <c r="U929" s="94"/>
      <c r="V929" s="94"/>
      <c r="W929" s="94"/>
      <c r="X929" s="94"/>
      <c r="Y929" s="94"/>
      <c r="Z929" s="94"/>
      <c r="AA929" s="94"/>
      <c r="AB929" s="94"/>
      <c r="AC929" s="94"/>
      <c r="AD929" s="94"/>
      <c r="AE929" s="94"/>
      <c r="AF929" s="94"/>
      <c r="AG929" s="94"/>
      <c r="AH929" s="94"/>
      <c r="AI929" s="94"/>
      <c r="AJ929" s="94"/>
      <c r="AK929" s="94"/>
      <c r="AL929" s="94"/>
      <c r="AM929" s="94"/>
      <c r="AN929" s="94"/>
      <c r="AO929" s="94"/>
      <c r="AP929" s="94"/>
      <c r="AQ929" s="94"/>
      <c r="AR929" s="94"/>
      <c r="AS929" s="94"/>
      <c r="AT929" s="94"/>
      <c r="AU929" s="94"/>
      <c r="AV929" s="94"/>
      <c r="AW929" s="94"/>
      <c r="AX929" s="94"/>
      <c r="AY929" s="94"/>
      <c r="AZ929" s="94"/>
      <c r="BA929" s="95"/>
    </row>
    <row r="930" spans="1:53" s="87" customFormat="1">
      <c r="A930" s="90" t="str">
        <f t="shared" si="39"/>
        <v/>
      </c>
      <c r="B930" s="98"/>
      <c r="C930" s="94"/>
      <c r="D930" s="94"/>
      <c r="E930" s="94"/>
      <c r="F930" s="94"/>
      <c r="G930" s="94"/>
      <c r="H930" s="94"/>
      <c r="I930" s="94"/>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5"/>
    </row>
    <row r="931" spans="1:53" s="87" customFormat="1">
      <c r="A931" s="90" t="str">
        <f t="shared" si="39"/>
        <v/>
      </c>
      <c r="B931" s="98"/>
      <c r="C931" s="94"/>
      <c r="D931" s="94"/>
      <c r="E931" s="94"/>
      <c r="F931" s="94"/>
      <c r="G931" s="94"/>
      <c r="H931" s="94"/>
      <c r="I931" s="94"/>
      <c r="J931" s="94"/>
      <c r="K931" s="94"/>
      <c r="L931" s="94"/>
      <c r="M931" s="94"/>
      <c r="N931" s="94"/>
      <c r="O931" s="94"/>
      <c r="P931" s="94"/>
      <c r="Q931" s="94"/>
      <c r="R931" s="94"/>
      <c r="S931" s="94"/>
      <c r="T931" s="94"/>
      <c r="U931" s="94"/>
      <c r="V931" s="94"/>
      <c r="W931" s="94"/>
      <c r="X931" s="94"/>
      <c r="Y931" s="94"/>
      <c r="Z931" s="94"/>
      <c r="AA931" s="94"/>
      <c r="AB931" s="94"/>
      <c r="AC931" s="94"/>
      <c r="AD931" s="94"/>
      <c r="AE931" s="94"/>
      <c r="AF931" s="94"/>
      <c r="AG931" s="94"/>
      <c r="AH931" s="94"/>
      <c r="AI931" s="94"/>
      <c r="AJ931" s="94"/>
      <c r="AK931" s="94"/>
      <c r="AL931" s="94"/>
      <c r="AM931" s="94"/>
      <c r="AN931" s="94"/>
      <c r="AO931" s="94"/>
      <c r="AP931" s="94"/>
      <c r="AQ931" s="94"/>
      <c r="AR931" s="94"/>
      <c r="AS931" s="94"/>
      <c r="AT931" s="94"/>
      <c r="AU931" s="94"/>
      <c r="AV931" s="94"/>
      <c r="AW931" s="94"/>
      <c r="AX931" s="94"/>
      <c r="AY931" s="94"/>
      <c r="AZ931" s="94"/>
      <c r="BA931" s="95"/>
    </row>
    <row r="932" spans="1:53" s="87" customFormat="1">
      <c r="A932" s="90" t="str">
        <f t="shared" si="39"/>
        <v/>
      </c>
      <c r="B932" s="98"/>
      <c r="C932" s="94"/>
      <c r="D932" s="94"/>
      <c r="E932" s="94"/>
      <c r="F932" s="94"/>
      <c r="G932" s="94"/>
      <c r="H932" s="94"/>
      <c r="I932" s="94"/>
      <c r="J932" s="94"/>
      <c r="K932" s="94"/>
      <c r="L932" s="94"/>
      <c r="M932" s="94"/>
      <c r="N932" s="94"/>
      <c r="O932" s="94"/>
      <c r="P932" s="94"/>
      <c r="Q932" s="94"/>
      <c r="R932" s="94"/>
      <c r="S932" s="94"/>
      <c r="T932" s="94"/>
      <c r="U932" s="94"/>
      <c r="V932" s="94"/>
      <c r="W932" s="94"/>
      <c r="X932" s="94"/>
      <c r="Y932" s="94"/>
      <c r="Z932" s="94"/>
      <c r="AA932" s="94"/>
      <c r="AB932" s="94"/>
      <c r="AC932" s="94"/>
      <c r="AD932" s="94"/>
      <c r="AE932" s="94"/>
      <c r="AF932" s="94"/>
      <c r="AG932" s="94"/>
      <c r="AH932" s="94"/>
      <c r="AI932" s="94"/>
      <c r="AJ932" s="94"/>
      <c r="AK932" s="94"/>
      <c r="AL932" s="94"/>
      <c r="AM932" s="94"/>
      <c r="AN932" s="94"/>
      <c r="AO932" s="94"/>
      <c r="AP932" s="94"/>
      <c r="AQ932" s="94"/>
      <c r="AR932" s="94"/>
      <c r="AS932" s="94"/>
      <c r="AT932" s="94"/>
      <c r="AU932" s="94"/>
      <c r="AV932" s="94"/>
      <c r="AW932" s="94"/>
      <c r="AX932" s="94"/>
      <c r="AY932" s="94"/>
      <c r="AZ932" s="94"/>
      <c r="BA932" s="95"/>
    </row>
    <row r="933" spans="1:53" s="87" customFormat="1">
      <c r="A933" s="90" t="str">
        <f t="shared" si="39"/>
        <v/>
      </c>
      <c r="B933" s="98"/>
      <c r="C933" s="94"/>
      <c r="D933" s="94"/>
      <c r="E933" s="94"/>
      <c r="F933" s="94"/>
      <c r="G933" s="94"/>
      <c r="H933" s="94"/>
      <c r="I933" s="94"/>
      <c r="J933" s="94"/>
      <c r="K933" s="94"/>
      <c r="L933" s="94"/>
      <c r="M933" s="94"/>
      <c r="N933" s="94"/>
      <c r="O933" s="94"/>
      <c r="P933" s="94"/>
      <c r="Q933" s="94"/>
      <c r="R933" s="94"/>
      <c r="S933" s="94"/>
      <c r="T933" s="94"/>
      <c r="U933" s="94"/>
      <c r="V933" s="94"/>
      <c r="W933" s="94"/>
      <c r="X933" s="94"/>
      <c r="Y933" s="94"/>
      <c r="Z933" s="94"/>
      <c r="AA933" s="94"/>
      <c r="AB933" s="94"/>
      <c r="AC933" s="94"/>
      <c r="AD933" s="94"/>
      <c r="AE933" s="94"/>
      <c r="AF933" s="94"/>
      <c r="AG933" s="94"/>
      <c r="AH933" s="94"/>
      <c r="AI933" s="94"/>
      <c r="AJ933" s="94"/>
      <c r="AK933" s="94"/>
      <c r="AL933" s="94"/>
      <c r="AM933" s="94"/>
      <c r="AN933" s="94"/>
      <c r="AO933" s="94"/>
      <c r="AP933" s="94"/>
      <c r="AQ933" s="94"/>
      <c r="AR933" s="94"/>
      <c r="AS933" s="94"/>
      <c r="AT933" s="94"/>
      <c r="AU933" s="94"/>
      <c r="AV933" s="94"/>
      <c r="AW933" s="94"/>
      <c r="AX933" s="94"/>
      <c r="AY933" s="94"/>
      <c r="AZ933" s="94"/>
      <c r="BA933" s="95"/>
    </row>
    <row r="934" spans="1:53" s="87" customFormat="1">
      <c r="A934" s="90" t="str">
        <f t="shared" si="39"/>
        <v/>
      </c>
      <c r="B934" s="98"/>
      <c r="C934" s="94"/>
      <c r="D934" s="94"/>
      <c r="E934" s="94"/>
      <c r="F934" s="94"/>
      <c r="G934" s="94"/>
      <c r="H934" s="94"/>
      <c r="I934" s="94"/>
      <c r="J934" s="94"/>
      <c r="K934" s="94"/>
      <c r="L934" s="94"/>
      <c r="M934" s="94"/>
      <c r="N934" s="94"/>
      <c r="O934" s="94"/>
      <c r="P934" s="94"/>
      <c r="Q934" s="94"/>
      <c r="R934" s="94"/>
      <c r="S934" s="94"/>
      <c r="T934" s="94"/>
      <c r="U934" s="94"/>
      <c r="V934" s="94"/>
      <c r="W934" s="94"/>
      <c r="X934" s="94"/>
      <c r="Y934" s="94"/>
      <c r="Z934" s="94"/>
      <c r="AA934" s="94"/>
      <c r="AB934" s="94"/>
      <c r="AC934" s="94"/>
      <c r="AD934" s="94"/>
      <c r="AE934" s="94"/>
      <c r="AF934" s="94"/>
      <c r="AG934" s="94"/>
      <c r="AH934" s="94"/>
      <c r="AI934" s="94"/>
      <c r="AJ934" s="94"/>
      <c r="AK934" s="94"/>
      <c r="AL934" s="94"/>
      <c r="AM934" s="94"/>
      <c r="AN934" s="94"/>
      <c r="AO934" s="94"/>
      <c r="AP934" s="94"/>
      <c r="AQ934" s="94"/>
      <c r="AR934" s="94"/>
      <c r="AS934" s="94"/>
      <c r="AT934" s="94"/>
      <c r="AU934" s="94"/>
      <c r="AV934" s="94"/>
      <c r="AW934" s="94"/>
      <c r="AX934" s="94"/>
      <c r="AY934" s="94"/>
      <c r="AZ934" s="94"/>
      <c r="BA934" s="95"/>
    </row>
    <row r="935" spans="1:53" s="87" customFormat="1">
      <c r="A935" s="90" t="str">
        <f t="shared" si="39"/>
        <v/>
      </c>
      <c r="B935" s="98"/>
      <c r="C935" s="94"/>
      <c r="D935" s="94"/>
      <c r="E935" s="94"/>
      <c r="F935" s="94"/>
      <c r="G935" s="94"/>
      <c r="H935" s="94"/>
      <c r="I935" s="94"/>
      <c r="J935" s="94"/>
      <c r="K935" s="94"/>
      <c r="L935" s="94"/>
      <c r="M935" s="94"/>
      <c r="N935" s="94"/>
      <c r="O935" s="94"/>
      <c r="P935" s="94"/>
      <c r="Q935" s="94"/>
      <c r="R935" s="94"/>
      <c r="S935" s="94"/>
      <c r="T935" s="94"/>
      <c r="U935" s="94"/>
      <c r="V935" s="94"/>
      <c r="W935" s="94"/>
      <c r="X935" s="94"/>
      <c r="Y935" s="94"/>
      <c r="Z935" s="94"/>
      <c r="AA935" s="94"/>
      <c r="AB935" s="94"/>
      <c r="AC935" s="94"/>
      <c r="AD935" s="94"/>
      <c r="AE935" s="94"/>
      <c r="AF935" s="94"/>
      <c r="AG935" s="94"/>
      <c r="AH935" s="94"/>
      <c r="AI935" s="94"/>
      <c r="AJ935" s="94"/>
      <c r="AK935" s="94"/>
      <c r="AL935" s="94"/>
      <c r="AM935" s="94"/>
      <c r="AN935" s="94"/>
      <c r="AO935" s="94"/>
      <c r="AP935" s="94"/>
      <c r="AQ935" s="94"/>
      <c r="AR935" s="94"/>
      <c r="AS935" s="94"/>
      <c r="AT935" s="94"/>
      <c r="AU935" s="94"/>
      <c r="AV935" s="94"/>
      <c r="AW935" s="94"/>
      <c r="AX935" s="94"/>
      <c r="AY935" s="94"/>
      <c r="AZ935" s="94"/>
      <c r="BA935" s="95"/>
    </row>
    <row r="936" spans="1:53" s="87" customFormat="1">
      <c r="A936" s="90" t="str">
        <f t="shared" si="39"/>
        <v/>
      </c>
      <c r="B936" s="98"/>
      <c r="C936" s="94"/>
      <c r="D936" s="94"/>
      <c r="E936" s="94"/>
      <c r="F936" s="94"/>
      <c r="G936" s="94"/>
      <c r="H936" s="94"/>
      <c r="I936" s="94"/>
      <c r="J936" s="94"/>
      <c r="K936" s="94"/>
      <c r="L936" s="94"/>
      <c r="M936" s="94"/>
      <c r="N936" s="94"/>
      <c r="O936" s="94"/>
      <c r="P936" s="94"/>
      <c r="Q936" s="94"/>
      <c r="R936" s="94"/>
      <c r="S936" s="94"/>
      <c r="T936" s="94"/>
      <c r="U936" s="94"/>
      <c r="V936" s="94"/>
      <c r="W936" s="94"/>
      <c r="X936" s="94"/>
      <c r="Y936" s="94"/>
      <c r="Z936" s="94"/>
      <c r="AA936" s="94"/>
      <c r="AB936" s="94"/>
      <c r="AC936" s="94"/>
      <c r="AD936" s="94"/>
      <c r="AE936" s="94"/>
      <c r="AF936" s="94"/>
      <c r="AG936" s="94"/>
      <c r="AH936" s="94"/>
      <c r="AI936" s="94"/>
      <c r="AJ936" s="94"/>
      <c r="AK936" s="94"/>
      <c r="AL936" s="94"/>
      <c r="AM936" s="94"/>
      <c r="AN936" s="94"/>
      <c r="AO936" s="94"/>
      <c r="AP936" s="94"/>
      <c r="AQ936" s="94"/>
      <c r="AR936" s="94"/>
      <c r="AS936" s="94"/>
      <c r="AT936" s="94"/>
      <c r="AU936" s="94"/>
      <c r="AV936" s="94"/>
      <c r="AW936" s="94"/>
      <c r="AX936" s="94"/>
      <c r="AY936" s="94"/>
      <c r="AZ936" s="94"/>
      <c r="BA936" s="95"/>
    </row>
    <row r="937" spans="1:53" s="87" customFormat="1">
      <c r="A937" s="90" t="str">
        <f t="shared" si="39"/>
        <v/>
      </c>
      <c r="B937" s="98"/>
      <c r="C937" s="94"/>
      <c r="D937" s="94"/>
      <c r="E937" s="94"/>
      <c r="F937" s="94"/>
      <c r="G937" s="94"/>
      <c r="H937" s="94"/>
      <c r="I937" s="94"/>
      <c r="J937" s="94"/>
      <c r="K937" s="94"/>
      <c r="L937" s="94"/>
      <c r="M937" s="94"/>
      <c r="N937" s="94"/>
      <c r="O937" s="94"/>
      <c r="P937" s="94"/>
      <c r="Q937" s="94"/>
      <c r="R937" s="94"/>
      <c r="S937" s="94"/>
      <c r="T937" s="94"/>
      <c r="U937" s="94"/>
      <c r="V937" s="94"/>
      <c r="W937" s="94"/>
      <c r="X937" s="94"/>
      <c r="Y937" s="94"/>
      <c r="Z937" s="94"/>
      <c r="AA937" s="94"/>
      <c r="AB937" s="94"/>
      <c r="AC937" s="94"/>
      <c r="AD937" s="94"/>
      <c r="AE937" s="94"/>
      <c r="AF937" s="94"/>
      <c r="AG937" s="94"/>
      <c r="AH937" s="94"/>
      <c r="AI937" s="94"/>
      <c r="AJ937" s="94"/>
      <c r="AK937" s="94"/>
      <c r="AL937" s="94"/>
      <c r="AM937" s="94"/>
      <c r="AN937" s="94"/>
      <c r="AO937" s="94"/>
      <c r="AP937" s="94"/>
      <c r="AQ937" s="94"/>
      <c r="AR937" s="94"/>
      <c r="AS937" s="94"/>
      <c r="AT937" s="94"/>
      <c r="AU937" s="94"/>
      <c r="AV937" s="94"/>
      <c r="AW937" s="94"/>
      <c r="AX937" s="94"/>
      <c r="AY937" s="94"/>
      <c r="AZ937" s="94"/>
      <c r="BA937" s="95"/>
    </row>
    <row r="938" spans="1:53" s="87" customFormat="1">
      <c r="A938" s="90" t="str">
        <f t="shared" si="39"/>
        <v/>
      </c>
      <c r="B938" s="98"/>
      <c r="C938" s="94"/>
      <c r="D938" s="94"/>
      <c r="E938" s="94"/>
      <c r="F938" s="94"/>
      <c r="G938" s="94"/>
      <c r="H938" s="94"/>
      <c r="I938" s="94"/>
      <c r="J938" s="94"/>
      <c r="K938" s="94"/>
      <c r="L938" s="94"/>
      <c r="M938" s="94"/>
      <c r="N938" s="94"/>
      <c r="O938" s="94"/>
      <c r="P938" s="94"/>
      <c r="Q938" s="94"/>
      <c r="R938" s="94"/>
      <c r="S938" s="94"/>
      <c r="T938" s="94"/>
      <c r="U938" s="94"/>
      <c r="V938" s="94"/>
      <c r="W938" s="94"/>
      <c r="X938" s="94"/>
      <c r="Y938" s="94"/>
      <c r="Z938" s="94"/>
      <c r="AA938" s="94"/>
      <c r="AB938" s="94"/>
      <c r="AC938" s="94"/>
      <c r="AD938" s="94"/>
      <c r="AE938" s="94"/>
      <c r="AF938" s="94"/>
      <c r="AG938" s="94"/>
      <c r="AH938" s="94"/>
      <c r="AI938" s="94"/>
      <c r="AJ938" s="94"/>
      <c r="AK938" s="94"/>
      <c r="AL938" s="94"/>
      <c r="AM938" s="94"/>
      <c r="AN938" s="94"/>
      <c r="AO938" s="94"/>
      <c r="AP938" s="94"/>
      <c r="AQ938" s="94"/>
      <c r="AR938" s="94"/>
      <c r="AS938" s="94"/>
      <c r="AT938" s="94"/>
      <c r="AU938" s="94"/>
      <c r="AV938" s="94"/>
      <c r="AW938" s="94"/>
      <c r="AX938" s="94"/>
      <c r="AY938" s="94"/>
      <c r="AZ938" s="94"/>
      <c r="BA938" s="95"/>
    </row>
    <row r="939" spans="1:53" s="87" customFormat="1">
      <c r="A939" s="90" t="str">
        <f t="shared" si="39"/>
        <v/>
      </c>
      <c r="B939" s="98"/>
      <c r="C939" s="94"/>
      <c r="D939" s="94"/>
      <c r="E939" s="94"/>
      <c r="F939" s="94"/>
      <c r="G939" s="94"/>
      <c r="H939" s="94"/>
      <c r="I939" s="94"/>
      <c r="J939" s="94"/>
      <c r="K939" s="94"/>
      <c r="L939" s="94"/>
      <c r="M939" s="94"/>
      <c r="N939" s="94"/>
      <c r="O939" s="94"/>
      <c r="P939" s="94"/>
      <c r="Q939" s="94"/>
      <c r="R939" s="94"/>
      <c r="S939" s="94"/>
      <c r="T939" s="94"/>
      <c r="U939" s="94"/>
      <c r="V939" s="94"/>
      <c r="W939" s="94"/>
      <c r="X939" s="94"/>
      <c r="Y939" s="94"/>
      <c r="Z939" s="94"/>
      <c r="AA939" s="94"/>
      <c r="AB939" s="94"/>
      <c r="AC939" s="94"/>
      <c r="AD939" s="94"/>
      <c r="AE939" s="94"/>
      <c r="AF939" s="94"/>
      <c r="AG939" s="94"/>
      <c r="AH939" s="94"/>
      <c r="AI939" s="94"/>
      <c r="AJ939" s="94"/>
      <c r="AK939" s="94"/>
      <c r="AL939" s="94"/>
      <c r="AM939" s="94"/>
      <c r="AN939" s="94"/>
      <c r="AO939" s="94"/>
      <c r="AP939" s="94"/>
      <c r="AQ939" s="94"/>
      <c r="AR939" s="94"/>
      <c r="AS939" s="94"/>
      <c r="AT939" s="94"/>
      <c r="AU939" s="94"/>
      <c r="AV939" s="94"/>
      <c r="AW939" s="94"/>
      <c r="AX939" s="94"/>
      <c r="AY939" s="94"/>
      <c r="AZ939" s="94"/>
      <c r="BA939" s="95"/>
    </row>
    <row r="940" spans="1:53" s="87" customFormat="1">
      <c r="A940" s="90" t="str">
        <f t="shared" si="39"/>
        <v/>
      </c>
      <c r="B940" s="98"/>
      <c r="C940" s="94"/>
      <c r="D940" s="94"/>
      <c r="E940" s="94"/>
      <c r="F940" s="94"/>
      <c r="G940" s="94"/>
      <c r="H940" s="94"/>
      <c r="I940" s="94"/>
      <c r="J940" s="94"/>
      <c r="K940" s="94"/>
      <c r="L940" s="94"/>
      <c r="M940" s="94"/>
      <c r="N940" s="94"/>
      <c r="O940" s="94"/>
      <c r="P940" s="94"/>
      <c r="Q940" s="94"/>
      <c r="R940" s="94"/>
      <c r="S940" s="94"/>
      <c r="T940" s="94"/>
      <c r="U940" s="94"/>
      <c r="V940" s="94"/>
      <c r="W940" s="94"/>
      <c r="X940" s="94"/>
      <c r="Y940" s="94"/>
      <c r="Z940" s="94"/>
      <c r="AA940" s="94"/>
      <c r="AB940" s="94"/>
      <c r="AC940" s="94"/>
      <c r="AD940" s="94"/>
      <c r="AE940" s="94"/>
      <c r="AF940" s="94"/>
      <c r="AG940" s="94"/>
      <c r="AH940" s="94"/>
      <c r="AI940" s="94"/>
      <c r="AJ940" s="94"/>
      <c r="AK940" s="94"/>
      <c r="AL940" s="94"/>
      <c r="AM940" s="94"/>
      <c r="AN940" s="94"/>
      <c r="AO940" s="94"/>
      <c r="AP940" s="94"/>
      <c r="AQ940" s="94"/>
      <c r="AR940" s="94"/>
      <c r="AS940" s="94"/>
      <c r="AT940" s="94"/>
      <c r="AU940" s="94"/>
      <c r="AV940" s="94"/>
      <c r="AW940" s="94"/>
      <c r="AX940" s="94"/>
      <c r="AY940" s="94"/>
      <c r="AZ940" s="94"/>
      <c r="BA940" s="95"/>
    </row>
    <row r="941" spans="1:53" s="87" customFormat="1">
      <c r="A941" s="90" t="str">
        <f t="shared" si="39"/>
        <v/>
      </c>
      <c r="B941" s="98"/>
      <c r="C941" s="94"/>
      <c r="D941" s="94"/>
      <c r="E941" s="94"/>
      <c r="F941" s="94"/>
      <c r="G941" s="94"/>
      <c r="H941" s="94"/>
      <c r="I941" s="94"/>
      <c r="J941" s="94"/>
      <c r="K941" s="94"/>
      <c r="L941" s="94"/>
      <c r="M941" s="94"/>
      <c r="N941" s="94"/>
      <c r="O941" s="94"/>
      <c r="P941" s="94"/>
      <c r="Q941" s="94"/>
      <c r="R941" s="94"/>
      <c r="S941" s="94"/>
      <c r="T941" s="94"/>
      <c r="U941" s="94"/>
      <c r="V941" s="94"/>
      <c r="W941" s="94"/>
      <c r="X941" s="94"/>
      <c r="Y941" s="94"/>
      <c r="Z941" s="94"/>
      <c r="AA941" s="94"/>
      <c r="AB941" s="94"/>
      <c r="AC941" s="94"/>
      <c r="AD941" s="94"/>
      <c r="AE941" s="94"/>
      <c r="AF941" s="94"/>
      <c r="AG941" s="94"/>
      <c r="AH941" s="94"/>
      <c r="AI941" s="94"/>
      <c r="AJ941" s="94"/>
      <c r="AK941" s="94"/>
      <c r="AL941" s="94"/>
      <c r="AM941" s="94"/>
      <c r="AN941" s="94"/>
      <c r="AO941" s="94"/>
      <c r="AP941" s="94"/>
      <c r="AQ941" s="94"/>
      <c r="AR941" s="94"/>
      <c r="AS941" s="94"/>
      <c r="AT941" s="94"/>
      <c r="AU941" s="94"/>
      <c r="AV941" s="94"/>
      <c r="AW941" s="94"/>
      <c r="AX941" s="94"/>
      <c r="AY941" s="94"/>
      <c r="AZ941" s="94"/>
      <c r="BA941" s="95"/>
    </row>
    <row r="942" spans="1:53" s="87" customFormat="1">
      <c r="A942" s="90" t="str">
        <f t="shared" si="39"/>
        <v/>
      </c>
      <c r="B942" s="98"/>
      <c r="C942" s="94"/>
      <c r="D942" s="94"/>
      <c r="E942" s="94"/>
      <c r="F942" s="94"/>
      <c r="G942" s="94"/>
      <c r="H942" s="94"/>
      <c r="I942" s="94"/>
      <c r="J942" s="94"/>
      <c r="K942" s="94"/>
      <c r="L942" s="94"/>
      <c r="M942" s="94"/>
      <c r="N942" s="94"/>
      <c r="O942" s="94"/>
      <c r="P942" s="94"/>
      <c r="Q942" s="94"/>
      <c r="R942" s="94"/>
      <c r="S942" s="94"/>
      <c r="T942" s="94"/>
      <c r="U942" s="94"/>
      <c r="V942" s="94"/>
      <c r="W942" s="94"/>
      <c r="X942" s="94"/>
      <c r="Y942" s="94"/>
      <c r="Z942" s="94"/>
      <c r="AA942" s="94"/>
      <c r="AB942" s="94"/>
      <c r="AC942" s="94"/>
      <c r="AD942" s="94"/>
      <c r="AE942" s="94"/>
      <c r="AF942" s="94"/>
      <c r="AG942" s="94"/>
      <c r="AH942" s="94"/>
      <c r="AI942" s="94"/>
      <c r="AJ942" s="94"/>
      <c r="AK942" s="94"/>
      <c r="AL942" s="94"/>
      <c r="AM942" s="94"/>
      <c r="AN942" s="94"/>
      <c r="AO942" s="94"/>
      <c r="AP942" s="94"/>
      <c r="AQ942" s="94"/>
      <c r="AR942" s="94"/>
      <c r="AS942" s="94"/>
      <c r="AT942" s="94"/>
      <c r="AU942" s="94"/>
      <c r="AV942" s="94"/>
      <c r="AW942" s="94"/>
      <c r="AX942" s="94"/>
      <c r="AY942" s="94"/>
      <c r="AZ942" s="94"/>
      <c r="BA942" s="95"/>
    </row>
    <row r="943" spans="1:53" s="87" customFormat="1">
      <c r="A943" s="90" t="str">
        <f t="shared" si="39"/>
        <v/>
      </c>
      <c r="B943" s="98"/>
      <c r="C943" s="94"/>
      <c r="D943" s="94"/>
      <c r="E943" s="94"/>
      <c r="F943" s="94"/>
      <c r="G943" s="94"/>
      <c r="H943" s="94"/>
      <c r="I943" s="94"/>
      <c r="J943" s="94"/>
      <c r="K943" s="94"/>
      <c r="L943" s="94"/>
      <c r="M943" s="94"/>
      <c r="N943" s="94"/>
      <c r="O943" s="94"/>
      <c r="P943" s="94"/>
      <c r="Q943" s="94"/>
      <c r="R943" s="94"/>
      <c r="S943" s="94"/>
      <c r="T943" s="94"/>
      <c r="U943" s="94"/>
      <c r="V943" s="94"/>
      <c r="W943" s="94"/>
      <c r="X943" s="94"/>
      <c r="Y943" s="94"/>
      <c r="Z943" s="94"/>
      <c r="AA943" s="94"/>
      <c r="AB943" s="94"/>
      <c r="AC943" s="94"/>
      <c r="AD943" s="94"/>
      <c r="AE943" s="94"/>
      <c r="AF943" s="94"/>
      <c r="AG943" s="94"/>
      <c r="AH943" s="94"/>
      <c r="AI943" s="94"/>
      <c r="AJ943" s="94"/>
      <c r="AK943" s="94"/>
      <c r="AL943" s="94"/>
      <c r="AM943" s="94"/>
      <c r="AN943" s="94"/>
      <c r="AO943" s="94"/>
      <c r="AP943" s="94"/>
      <c r="AQ943" s="94"/>
      <c r="AR943" s="94"/>
      <c r="AS943" s="94"/>
      <c r="AT943" s="94"/>
      <c r="AU943" s="94"/>
      <c r="AV943" s="94"/>
      <c r="AW943" s="94"/>
      <c r="AX943" s="94"/>
      <c r="AY943" s="94"/>
      <c r="AZ943" s="94"/>
      <c r="BA943" s="95"/>
    </row>
    <row r="944" spans="1:53" s="87" customFormat="1">
      <c r="A944" s="90" t="str">
        <f t="shared" si="39"/>
        <v/>
      </c>
      <c r="B944" s="98"/>
      <c r="C944" s="94"/>
      <c r="D944" s="94"/>
      <c r="E944" s="94"/>
      <c r="F944" s="94"/>
      <c r="G944" s="94"/>
      <c r="H944" s="94"/>
      <c r="I944" s="94"/>
      <c r="J944" s="94"/>
      <c r="K944" s="94"/>
      <c r="L944" s="94"/>
      <c r="M944" s="94"/>
      <c r="N944" s="94"/>
      <c r="O944" s="94"/>
      <c r="P944" s="94"/>
      <c r="Q944" s="94"/>
      <c r="R944" s="94"/>
      <c r="S944" s="94"/>
      <c r="T944" s="94"/>
      <c r="U944" s="94"/>
      <c r="V944" s="94"/>
      <c r="W944" s="94"/>
      <c r="X944" s="94"/>
      <c r="Y944" s="94"/>
      <c r="Z944" s="94"/>
      <c r="AA944" s="94"/>
      <c r="AB944" s="94"/>
      <c r="AC944" s="94"/>
      <c r="AD944" s="94"/>
      <c r="AE944" s="94"/>
      <c r="AF944" s="94"/>
      <c r="AG944" s="94"/>
      <c r="AH944" s="94"/>
      <c r="AI944" s="94"/>
      <c r="AJ944" s="94"/>
      <c r="AK944" s="94"/>
      <c r="AL944" s="94"/>
      <c r="AM944" s="94"/>
      <c r="AN944" s="94"/>
      <c r="AO944" s="94"/>
      <c r="AP944" s="94"/>
      <c r="AQ944" s="94"/>
      <c r="AR944" s="94"/>
      <c r="AS944" s="94"/>
      <c r="AT944" s="94"/>
      <c r="AU944" s="94"/>
      <c r="AV944" s="94"/>
      <c r="AW944" s="94"/>
      <c r="AX944" s="94"/>
      <c r="AY944" s="94"/>
      <c r="AZ944" s="94"/>
      <c r="BA944" s="95"/>
    </row>
    <row r="945" spans="1:53" s="87" customFormat="1">
      <c r="A945" s="90" t="str">
        <f t="shared" si="39"/>
        <v/>
      </c>
      <c r="B945" s="98"/>
      <c r="C945" s="94"/>
      <c r="D945" s="94"/>
      <c r="E945" s="94"/>
      <c r="F945" s="94"/>
      <c r="G945" s="94"/>
      <c r="H945" s="94"/>
      <c r="I945" s="94"/>
      <c r="J945" s="94"/>
      <c r="K945" s="94"/>
      <c r="L945" s="94"/>
      <c r="M945" s="94"/>
      <c r="N945" s="94"/>
      <c r="O945" s="94"/>
      <c r="P945" s="94"/>
      <c r="Q945" s="94"/>
      <c r="R945" s="94"/>
      <c r="S945" s="94"/>
      <c r="T945" s="94"/>
      <c r="U945" s="94"/>
      <c r="V945" s="94"/>
      <c r="W945" s="94"/>
      <c r="X945" s="94"/>
      <c r="Y945" s="94"/>
      <c r="Z945" s="94"/>
      <c r="AA945" s="94"/>
      <c r="AB945" s="94"/>
      <c r="AC945" s="94"/>
      <c r="AD945" s="94"/>
      <c r="AE945" s="94"/>
      <c r="AF945" s="94"/>
      <c r="AG945" s="94"/>
      <c r="AH945" s="94"/>
      <c r="AI945" s="94"/>
      <c r="AJ945" s="94"/>
      <c r="AK945" s="94"/>
      <c r="AL945" s="94"/>
      <c r="AM945" s="94"/>
      <c r="AN945" s="94"/>
      <c r="AO945" s="94"/>
      <c r="AP945" s="94"/>
      <c r="AQ945" s="94"/>
      <c r="AR945" s="94"/>
      <c r="AS945" s="94"/>
      <c r="AT945" s="94"/>
      <c r="AU945" s="94"/>
      <c r="AV945" s="94"/>
      <c r="AW945" s="94"/>
      <c r="AX945" s="94"/>
      <c r="AY945" s="94"/>
      <c r="AZ945" s="94"/>
      <c r="BA945" s="95"/>
    </row>
    <row r="946" spans="1:53" s="87" customFormat="1">
      <c r="A946" s="90" t="str">
        <f t="shared" si="39"/>
        <v/>
      </c>
      <c r="B946" s="98"/>
      <c r="C946" s="94"/>
      <c r="D946" s="94"/>
      <c r="E946" s="94"/>
      <c r="F946" s="94"/>
      <c r="G946" s="94"/>
      <c r="H946" s="94"/>
      <c r="I946" s="94"/>
      <c r="J946" s="94"/>
      <c r="K946" s="94"/>
      <c r="L946" s="94"/>
      <c r="M946" s="94"/>
      <c r="N946" s="94"/>
      <c r="O946" s="94"/>
      <c r="P946" s="94"/>
      <c r="Q946" s="94"/>
      <c r="R946" s="94"/>
      <c r="S946" s="94"/>
      <c r="T946" s="94"/>
      <c r="U946" s="94"/>
      <c r="V946" s="94"/>
      <c r="W946" s="94"/>
      <c r="X946" s="94"/>
      <c r="Y946" s="94"/>
      <c r="Z946" s="94"/>
      <c r="AA946" s="94"/>
      <c r="AB946" s="94"/>
      <c r="AC946" s="94"/>
      <c r="AD946" s="94"/>
      <c r="AE946" s="94"/>
      <c r="AF946" s="94"/>
      <c r="AG946" s="94"/>
      <c r="AH946" s="94"/>
      <c r="AI946" s="94"/>
      <c r="AJ946" s="94"/>
      <c r="AK946" s="94"/>
      <c r="AL946" s="94"/>
      <c r="AM946" s="94"/>
      <c r="AN946" s="94"/>
      <c r="AO946" s="94"/>
      <c r="AP946" s="94"/>
      <c r="AQ946" s="94"/>
      <c r="AR946" s="94"/>
      <c r="AS946" s="94"/>
      <c r="AT946" s="94"/>
      <c r="AU946" s="94"/>
      <c r="AV946" s="94"/>
      <c r="AW946" s="94"/>
      <c r="AX946" s="94"/>
      <c r="AY946" s="94"/>
      <c r="AZ946" s="94"/>
      <c r="BA946" s="95"/>
    </row>
    <row r="947" spans="1:53" s="87" customFormat="1">
      <c r="A947" s="90" t="str">
        <f t="shared" si="39"/>
        <v/>
      </c>
      <c r="B947" s="98"/>
      <c r="C947" s="94"/>
      <c r="D947" s="94"/>
      <c r="E947" s="94"/>
      <c r="F947" s="94"/>
      <c r="G947" s="94"/>
      <c r="H947" s="94"/>
      <c r="I947" s="94"/>
      <c r="J947" s="94"/>
      <c r="K947" s="94"/>
      <c r="L947" s="94"/>
      <c r="M947" s="94"/>
      <c r="N947" s="94"/>
      <c r="O947" s="94"/>
      <c r="P947" s="94"/>
      <c r="Q947" s="94"/>
      <c r="R947" s="94"/>
      <c r="S947" s="94"/>
      <c r="T947" s="94"/>
      <c r="U947" s="94"/>
      <c r="V947" s="94"/>
      <c r="W947" s="94"/>
      <c r="X947" s="94"/>
      <c r="Y947" s="94"/>
      <c r="Z947" s="94"/>
      <c r="AA947" s="94"/>
      <c r="AB947" s="94"/>
      <c r="AC947" s="94"/>
      <c r="AD947" s="94"/>
      <c r="AE947" s="94"/>
      <c r="AF947" s="94"/>
      <c r="AG947" s="94"/>
      <c r="AH947" s="94"/>
      <c r="AI947" s="94"/>
      <c r="AJ947" s="94"/>
      <c r="AK947" s="94"/>
      <c r="AL947" s="94"/>
      <c r="AM947" s="94"/>
      <c r="AN947" s="94"/>
      <c r="AO947" s="94"/>
      <c r="AP947" s="94"/>
      <c r="AQ947" s="94"/>
      <c r="AR947" s="94"/>
      <c r="AS947" s="94"/>
      <c r="AT947" s="94"/>
      <c r="AU947" s="94"/>
      <c r="AV947" s="94"/>
      <c r="AW947" s="94"/>
      <c r="AX947" s="94"/>
      <c r="AY947" s="94"/>
      <c r="AZ947" s="94"/>
      <c r="BA947" s="95"/>
    </row>
    <row r="948" spans="1:53" s="87" customFormat="1">
      <c r="A948" s="90" t="str">
        <f t="shared" si="39"/>
        <v/>
      </c>
      <c r="B948" s="98"/>
      <c r="C948" s="94"/>
      <c r="D948" s="94"/>
      <c r="E948" s="94"/>
      <c r="F948" s="94"/>
      <c r="G948" s="94"/>
      <c r="H948" s="94"/>
      <c r="I948" s="94"/>
      <c r="J948" s="94"/>
      <c r="K948" s="94"/>
      <c r="L948" s="94"/>
      <c r="M948" s="94"/>
      <c r="N948" s="94"/>
      <c r="O948" s="94"/>
      <c r="P948" s="94"/>
      <c r="Q948" s="94"/>
      <c r="R948" s="94"/>
      <c r="S948" s="94"/>
      <c r="T948" s="94"/>
      <c r="U948" s="94"/>
      <c r="V948" s="94"/>
      <c r="W948" s="94"/>
      <c r="X948" s="94"/>
      <c r="Y948" s="94"/>
      <c r="Z948" s="94"/>
      <c r="AA948" s="94"/>
      <c r="AB948" s="94"/>
      <c r="AC948" s="94"/>
      <c r="AD948" s="94"/>
      <c r="AE948" s="94"/>
      <c r="AF948" s="94"/>
      <c r="AG948" s="94"/>
      <c r="AH948" s="94"/>
      <c r="AI948" s="94"/>
      <c r="AJ948" s="94"/>
      <c r="AK948" s="94"/>
      <c r="AL948" s="94"/>
      <c r="AM948" s="94"/>
      <c r="AN948" s="94"/>
      <c r="AO948" s="94"/>
      <c r="AP948" s="94"/>
      <c r="AQ948" s="94"/>
      <c r="AR948" s="94"/>
      <c r="AS948" s="94"/>
      <c r="AT948" s="94"/>
      <c r="AU948" s="94"/>
      <c r="AV948" s="94"/>
      <c r="AW948" s="94"/>
      <c r="AX948" s="94"/>
      <c r="AY948" s="94"/>
      <c r="AZ948" s="94"/>
      <c r="BA948" s="95"/>
    </row>
    <row r="949" spans="1:53" s="87" customFormat="1">
      <c r="A949" s="90" t="str">
        <f t="shared" si="39"/>
        <v/>
      </c>
      <c r="B949" s="98"/>
      <c r="C949" s="94"/>
      <c r="D949" s="94"/>
      <c r="E949" s="94"/>
      <c r="F949" s="94"/>
      <c r="G949" s="94"/>
      <c r="H949" s="94"/>
      <c r="I949" s="94"/>
      <c r="J949" s="94"/>
      <c r="K949" s="94"/>
      <c r="L949" s="94"/>
      <c r="M949" s="94"/>
      <c r="N949" s="94"/>
      <c r="O949" s="94"/>
      <c r="P949" s="94"/>
      <c r="Q949" s="94"/>
      <c r="R949" s="94"/>
      <c r="S949" s="94"/>
      <c r="T949" s="94"/>
      <c r="U949" s="94"/>
      <c r="V949" s="94"/>
      <c r="W949" s="94"/>
      <c r="X949" s="94"/>
      <c r="Y949" s="94"/>
      <c r="Z949" s="94"/>
      <c r="AA949" s="94"/>
      <c r="AB949" s="94"/>
      <c r="AC949" s="94"/>
      <c r="AD949" s="94"/>
      <c r="AE949" s="94"/>
      <c r="AF949" s="94"/>
      <c r="AG949" s="94"/>
      <c r="AH949" s="94"/>
      <c r="AI949" s="94"/>
      <c r="AJ949" s="94"/>
      <c r="AK949" s="94"/>
      <c r="AL949" s="94"/>
      <c r="AM949" s="94"/>
      <c r="AN949" s="94"/>
      <c r="AO949" s="94"/>
      <c r="AP949" s="94"/>
      <c r="AQ949" s="94"/>
      <c r="AR949" s="94"/>
      <c r="AS949" s="94"/>
      <c r="AT949" s="94"/>
      <c r="AU949" s="94"/>
      <c r="AV949" s="94"/>
      <c r="AW949" s="94"/>
      <c r="AX949" s="94"/>
      <c r="AY949" s="94"/>
      <c r="AZ949" s="94"/>
      <c r="BA949" s="95"/>
    </row>
    <row r="950" spans="1:53" s="87" customFormat="1">
      <c r="A950" s="90" t="str">
        <f t="shared" si="39"/>
        <v/>
      </c>
      <c r="B950" s="98"/>
      <c r="C950" s="94"/>
      <c r="D950" s="94"/>
      <c r="E950" s="94"/>
      <c r="F950" s="94"/>
      <c r="G950" s="94"/>
      <c r="H950" s="94"/>
      <c r="I950" s="94"/>
      <c r="J950" s="94"/>
      <c r="K950" s="94"/>
      <c r="L950" s="94"/>
      <c r="M950" s="94"/>
      <c r="N950" s="94"/>
      <c r="O950" s="94"/>
      <c r="P950" s="94"/>
      <c r="Q950" s="94"/>
      <c r="R950" s="94"/>
      <c r="S950" s="94"/>
      <c r="T950" s="94"/>
      <c r="U950" s="94"/>
      <c r="V950" s="94"/>
      <c r="W950" s="94"/>
      <c r="X950" s="94"/>
      <c r="Y950" s="94"/>
      <c r="Z950" s="94"/>
      <c r="AA950" s="94"/>
      <c r="AB950" s="94"/>
      <c r="AC950" s="94"/>
      <c r="AD950" s="94"/>
      <c r="AE950" s="94"/>
      <c r="AF950" s="94"/>
      <c r="AG950" s="94"/>
      <c r="AH950" s="94"/>
      <c r="AI950" s="94"/>
      <c r="AJ950" s="94"/>
      <c r="AK950" s="94"/>
      <c r="AL950" s="94"/>
      <c r="AM950" s="94"/>
      <c r="AN950" s="94"/>
      <c r="AO950" s="94"/>
      <c r="AP950" s="94"/>
      <c r="AQ950" s="94"/>
      <c r="AR950" s="94"/>
      <c r="AS950" s="94"/>
      <c r="AT950" s="94"/>
      <c r="AU950" s="94"/>
      <c r="AV950" s="94"/>
      <c r="AW950" s="94"/>
      <c r="AX950" s="94"/>
      <c r="AY950" s="94"/>
      <c r="AZ950" s="94"/>
      <c r="BA950" s="95"/>
    </row>
    <row r="951" spans="1:53" s="87" customFormat="1">
      <c r="A951" s="90" t="str">
        <f t="shared" si="39"/>
        <v/>
      </c>
      <c r="B951" s="98"/>
      <c r="C951" s="94"/>
      <c r="D951" s="94"/>
      <c r="E951" s="94"/>
      <c r="F951" s="94"/>
      <c r="G951" s="94"/>
      <c r="H951" s="94"/>
      <c r="I951" s="94"/>
      <c r="J951" s="94"/>
      <c r="K951" s="94"/>
      <c r="L951" s="94"/>
      <c r="M951" s="94"/>
      <c r="N951" s="94"/>
      <c r="O951" s="94"/>
      <c r="P951" s="94"/>
      <c r="Q951" s="94"/>
      <c r="R951" s="94"/>
      <c r="S951" s="94"/>
      <c r="T951" s="94"/>
      <c r="U951" s="94"/>
      <c r="V951" s="94"/>
      <c r="W951" s="94"/>
      <c r="X951" s="94"/>
      <c r="Y951" s="94"/>
      <c r="Z951" s="94"/>
      <c r="AA951" s="94"/>
      <c r="AB951" s="94"/>
      <c r="AC951" s="94"/>
      <c r="AD951" s="94"/>
      <c r="AE951" s="94"/>
      <c r="AF951" s="94"/>
      <c r="AG951" s="94"/>
      <c r="AH951" s="94"/>
      <c r="AI951" s="94"/>
      <c r="AJ951" s="94"/>
      <c r="AK951" s="94"/>
      <c r="AL951" s="94"/>
      <c r="AM951" s="94"/>
      <c r="AN951" s="94"/>
      <c r="AO951" s="94"/>
      <c r="AP951" s="94"/>
      <c r="AQ951" s="94"/>
      <c r="AR951" s="94"/>
      <c r="AS951" s="94"/>
      <c r="AT951" s="94"/>
      <c r="AU951" s="94"/>
      <c r="AV951" s="94"/>
      <c r="AW951" s="94"/>
      <c r="AX951" s="94"/>
      <c r="AY951" s="94"/>
      <c r="AZ951" s="94"/>
      <c r="BA951" s="95"/>
    </row>
    <row r="952" spans="1:53" s="87" customFormat="1">
      <c r="A952" s="90" t="str">
        <f t="shared" si="39"/>
        <v/>
      </c>
      <c r="B952" s="98"/>
      <c r="C952" s="94"/>
      <c r="D952" s="94"/>
      <c r="E952" s="94"/>
      <c r="F952" s="94"/>
      <c r="G952" s="94"/>
      <c r="H952" s="94"/>
      <c r="I952" s="94"/>
      <c r="J952" s="94"/>
      <c r="K952" s="94"/>
      <c r="L952" s="94"/>
      <c r="M952" s="94"/>
      <c r="N952" s="94"/>
      <c r="O952" s="94"/>
      <c r="P952" s="94"/>
      <c r="Q952" s="94"/>
      <c r="R952" s="94"/>
      <c r="S952" s="94"/>
      <c r="T952" s="94"/>
      <c r="U952" s="94"/>
      <c r="V952" s="94"/>
      <c r="W952" s="94"/>
      <c r="X952" s="94"/>
      <c r="Y952" s="94"/>
      <c r="Z952" s="94"/>
      <c r="AA952" s="94"/>
      <c r="AB952" s="94"/>
      <c r="AC952" s="94"/>
      <c r="AD952" s="94"/>
      <c r="AE952" s="94"/>
      <c r="AF952" s="94"/>
      <c r="AG952" s="94"/>
      <c r="AH952" s="94"/>
      <c r="AI952" s="94"/>
      <c r="AJ952" s="94"/>
      <c r="AK952" s="94"/>
      <c r="AL952" s="94"/>
      <c r="AM952" s="94"/>
      <c r="AN952" s="94"/>
      <c r="AO952" s="94"/>
      <c r="AP952" s="94"/>
      <c r="AQ952" s="94"/>
      <c r="AR952" s="94"/>
      <c r="AS952" s="94"/>
      <c r="AT952" s="94"/>
      <c r="AU952" s="94"/>
      <c r="AV952" s="94"/>
      <c r="AW952" s="94"/>
      <c r="AX952" s="94"/>
      <c r="AY952" s="94"/>
      <c r="AZ952" s="94"/>
      <c r="BA952" s="95"/>
    </row>
    <row r="953" spans="1:53" s="87" customFormat="1">
      <c r="A953" s="90" t="str">
        <f t="shared" si="39"/>
        <v/>
      </c>
      <c r="B953" s="98"/>
      <c r="C953" s="94"/>
      <c r="D953" s="94"/>
      <c r="E953" s="94"/>
      <c r="F953" s="94"/>
      <c r="G953" s="94"/>
      <c r="H953" s="94"/>
      <c r="I953" s="94"/>
      <c r="J953" s="94"/>
      <c r="K953" s="94"/>
      <c r="L953" s="94"/>
      <c r="M953" s="94"/>
      <c r="N953" s="94"/>
      <c r="O953" s="94"/>
      <c r="P953" s="94"/>
      <c r="Q953" s="94"/>
      <c r="R953" s="94"/>
      <c r="S953" s="94"/>
      <c r="T953" s="94"/>
      <c r="U953" s="94"/>
      <c r="V953" s="94"/>
      <c r="W953" s="94"/>
      <c r="X953" s="94"/>
      <c r="Y953" s="94"/>
      <c r="Z953" s="94"/>
      <c r="AA953" s="94"/>
      <c r="AB953" s="94"/>
      <c r="AC953" s="94"/>
      <c r="AD953" s="94"/>
      <c r="AE953" s="94"/>
      <c r="AF953" s="94"/>
      <c r="AG953" s="94"/>
      <c r="AH953" s="94"/>
      <c r="AI953" s="94"/>
      <c r="AJ953" s="94"/>
      <c r="AK953" s="94"/>
      <c r="AL953" s="94"/>
      <c r="AM953" s="94"/>
      <c r="AN953" s="94"/>
      <c r="AO953" s="94"/>
      <c r="AP953" s="94"/>
      <c r="AQ953" s="94"/>
      <c r="AR953" s="94"/>
      <c r="AS953" s="94"/>
      <c r="AT953" s="94"/>
      <c r="AU953" s="94"/>
      <c r="AV953" s="94"/>
      <c r="AW953" s="94"/>
      <c r="AX953" s="94"/>
      <c r="AY953" s="94"/>
      <c r="AZ953" s="94"/>
      <c r="BA953" s="95"/>
    </row>
    <row r="954" spans="1:53" s="87" customFormat="1">
      <c r="A954" s="90" t="str">
        <f t="shared" si="39"/>
        <v/>
      </c>
      <c r="B954" s="98"/>
      <c r="C954" s="94"/>
      <c r="D954" s="94"/>
      <c r="E954" s="94"/>
      <c r="F954" s="94"/>
      <c r="G954" s="94"/>
      <c r="H954" s="94"/>
      <c r="I954" s="94"/>
      <c r="J954" s="94"/>
      <c r="K954" s="94"/>
      <c r="L954" s="94"/>
      <c r="M954" s="94"/>
      <c r="N954" s="94"/>
      <c r="O954" s="94"/>
      <c r="P954" s="94"/>
      <c r="Q954" s="94"/>
      <c r="R954" s="94"/>
      <c r="S954" s="94"/>
      <c r="T954" s="94"/>
      <c r="U954" s="94"/>
      <c r="V954" s="94"/>
      <c r="W954" s="94"/>
      <c r="X954" s="94"/>
      <c r="Y954" s="94"/>
      <c r="Z954" s="94"/>
      <c r="AA954" s="94"/>
      <c r="AB954" s="94"/>
      <c r="AC954" s="94"/>
      <c r="AD954" s="94"/>
      <c r="AE954" s="94"/>
      <c r="AF954" s="94"/>
      <c r="AG954" s="94"/>
      <c r="AH954" s="94"/>
      <c r="AI954" s="94"/>
      <c r="AJ954" s="94"/>
      <c r="AK954" s="94"/>
      <c r="AL954" s="94"/>
      <c r="AM954" s="94"/>
      <c r="AN954" s="94"/>
      <c r="AO954" s="94"/>
      <c r="AP954" s="94"/>
      <c r="AQ954" s="94"/>
      <c r="AR954" s="94"/>
      <c r="AS954" s="94"/>
      <c r="AT954" s="94"/>
      <c r="AU954" s="94"/>
      <c r="AV954" s="94"/>
      <c r="AW954" s="94"/>
      <c r="AX954" s="94"/>
      <c r="AY954" s="94"/>
      <c r="AZ954" s="94"/>
      <c r="BA954" s="95"/>
    </row>
    <row r="955" spans="1:53" s="87" customFormat="1">
      <c r="A955" s="90" t="str">
        <f t="shared" si="39"/>
        <v/>
      </c>
      <c r="B955" s="98"/>
      <c r="C955" s="94"/>
      <c r="D955" s="94"/>
      <c r="E955" s="94"/>
      <c r="F955" s="94"/>
      <c r="G955" s="94"/>
      <c r="H955" s="94"/>
      <c r="I955" s="94"/>
      <c r="J955" s="94"/>
      <c r="K955" s="94"/>
      <c r="L955" s="94"/>
      <c r="M955" s="94"/>
      <c r="N955" s="94"/>
      <c r="O955" s="94"/>
      <c r="P955" s="94"/>
      <c r="Q955" s="94"/>
      <c r="R955" s="94"/>
      <c r="S955" s="94"/>
      <c r="T955" s="94"/>
      <c r="U955" s="94"/>
      <c r="V955" s="94"/>
      <c r="W955" s="94"/>
      <c r="X955" s="94"/>
      <c r="Y955" s="94"/>
      <c r="Z955" s="94"/>
      <c r="AA955" s="94"/>
      <c r="AB955" s="94"/>
      <c r="AC955" s="94"/>
      <c r="AD955" s="94"/>
      <c r="AE955" s="94"/>
      <c r="AF955" s="94"/>
      <c r="AG955" s="94"/>
      <c r="AH955" s="94"/>
      <c r="AI955" s="94"/>
      <c r="AJ955" s="94"/>
      <c r="AK955" s="94"/>
      <c r="AL955" s="94"/>
      <c r="AM955" s="94"/>
      <c r="AN955" s="94"/>
      <c r="AO955" s="94"/>
      <c r="AP955" s="94"/>
      <c r="AQ955" s="94"/>
      <c r="AR955" s="94"/>
      <c r="AS955" s="94"/>
      <c r="AT955" s="94"/>
      <c r="AU955" s="94"/>
      <c r="AV955" s="94"/>
      <c r="AW955" s="94"/>
      <c r="AX955" s="94"/>
      <c r="AY955" s="94"/>
      <c r="AZ955" s="94"/>
      <c r="BA955" s="95"/>
    </row>
    <row r="956" spans="1:53" s="87" customFormat="1">
      <c r="A956" s="90" t="str">
        <f t="shared" si="39"/>
        <v/>
      </c>
      <c r="B956" s="98"/>
      <c r="C956" s="94"/>
      <c r="D956" s="94"/>
      <c r="E956" s="94"/>
      <c r="F956" s="94"/>
      <c r="G956" s="94"/>
      <c r="H956" s="94"/>
      <c r="I956" s="94"/>
      <c r="J956" s="94"/>
      <c r="K956" s="94"/>
      <c r="L956" s="94"/>
      <c r="M956" s="94"/>
      <c r="N956" s="94"/>
      <c r="O956" s="94"/>
      <c r="P956" s="94"/>
      <c r="Q956" s="94"/>
      <c r="R956" s="94"/>
      <c r="S956" s="94"/>
      <c r="T956" s="94"/>
      <c r="U956" s="94"/>
      <c r="V956" s="94"/>
      <c r="W956" s="94"/>
      <c r="X956" s="94"/>
      <c r="Y956" s="94"/>
      <c r="Z956" s="94"/>
      <c r="AA956" s="94"/>
      <c r="AB956" s="94"/>
      <c r="AC956" s="94"/>
      <c r="AD956" s="94"/>
      <c r="AE956" s="94"/>
      <c r="AF956" s="94"/>
      <c r="AG956" s="94"/>
      <c r="AH956" s="94"/>
      <c r="AI956" s="94"/>
      <c r="AJ956" s="94"/>
      <c r="AK956" s="94"/>
      <c r="AL956" s="94"/>
      <c r="AM956" s="94"/>
      <c r="AN956" s="94"/>
      <c r="AO956" s="94"/>
      <c r="AP956" s="94"/>
      <c r="AQ956" s="94"/>
      <c r="AR956" s="94"/>
      <c r="AS956" s="94"/>
      <c r="AT956" s="94"/>
      <c r="AU956" s="94"/>
      <c r="AV956" s="94"/>
      <c r="AW956" s="94"/>
      <c r="AX956" s="94"/>
      <c r="AY956" s="94"/>
      <c r="AZ956" s="94"/>
      <c r="BA956" s="95"/>
    </row>
    <row r="957" spans="1:53" s="87" customFormat="1">
      <c r="A957" s="90" t="str">
        <f t="shared" si="39"/>
        <v/>
      </c>
      <c r="B957" s="98"/>
      <c r="C957" s="94"/>
      <c r="D957" s="94"/>
      <c r="E957" s="94"/>
      <c r="F957" s="94"/>
      <c r="G957" s="94"/>
      <c r="H957" s="94"/>
      <c r="I957" s="94"/>
      <c r="J957" s="94"/>
      <c r="K957" s="94"/>
      <c r="L957" s="94"/>
      <c r="M957" s="94"/>
      <c r="N957" s="94"/>
      <c r="O957" s="94"/>
      <c r="P957" s="94"/>
      <c r="Q957" s="94"/>
      <c r="R957" s="94"/>
      <c r="S957" s="94"/>
      <c r="T957" s="94"/>
      <c r="U957" s="94"/>
      <c r="V957" s="94"/>
      <c r="W957" s="94"/>
      <c r="X957" s="94"/>
      <c r="Y957" s="94"/>
      <c r="Z957" s="94"/>
      <c r="AA957" s="94"/>
      <c r="AB957" s="94"/>
      <c r="AC957" s="94"/>
      <c r="AD957" s="94"/>
      <c r="AE957" s="94"/>
      <c r="AF957" s="94"/>
      <c r="AG957" s="94"/>
      <c r="AH957" s="94"/>
      <c r="AI957" s="94"/>
      <c r="AJ957" s="94"/>
      <c r="AK957" s="94"/>
      <c r="AL957" s="94"/>
      <c r="AM957" s="94"/>
      <c r="AN957" s="94"/>
      <c r="AO957" s="94"/>
      <c r="AP957" s="94"/>
      <c r="AQ957" s="94"/>
      <c r="AR957" s="94"/>
      <c r="AS957" s="94"/>
      <c r="AT957" s="94"/>
      <c r="AU957" s="94"/>
      <c r="AV957" s="94"/>
      <c r="AW957" s="94"/>
      <c r="AX957" s="94"/>
      <c r="AY957" s="94"/>
      <c r="AZ957" s="94"/>
      <c r="BA957" s="95"/>
    </row>
    <row r="958" spans="1:53" s="87" customFormat="1">
      <c r="A958" s="90" t="str">
        <f t="shared" si="39"/>
        <v/>
      </c>
      <c r="B958" s="98"/>
      <c r="C958" s="94"/>
      <c r="D958" s="94"/>
      <c r="E958" s="94"/>
      <c r="F958" s="94"/>
      <c r="G958" s="94"/>
      <c r="H958" s="94"/>
      <c r="I958" s="94"/>
      <c r="J958" s="94"/>
      <c r="K958" s="94"/>
      <c r="L958" s="94"/>
      <c r="M958" s="94"/>
      <c r="N958" s="94"/>
      <c r="O958" s="94"/>
      <c r="P958" s="94"/>
      <c r="Q958" s="94"/>
      <c r="R958" s="94"/>
      <c r="S958" s="94"/>
      <c r="T958" s="94"/>
      <c r="U958" s="94"/>
      <c r="V958" s="94"/>
      <c r="W958" s="94"/>
      <c r="X958" s="94"/>
      <c r="Y958" s="94"/>
      <c r="Z958" s="94"/>
      <c r="AA958" s="94"/>
      <c r="AB958" s="94"/>
      <c r="AC958" s="94"/>
      <c r="AD958" s="94"/>
      <c r="AE958" s="94"/>
      <c r="AF958" s="94"/>
      <c r="AG958" s="94"/>
      <c r="AH958" s="94"/>
      <c r="AI958" s="94"/>
      <c r="AJ958" s="94"/>
      <c r="AK958" s="94"/>
      <c r="AL958" s="94"/>
      <c r="AM958" s="94"/>
      <c r="AN958" s="94"/>
      <c r="AO958" s="94"/>
      <c r="AP958" s="94"/>
      <c r="AQ958" s="94"/>
      <c r="AR958" s="94"/>
      <c r="AS958" s="94"/>
      <c r="AT958" s="94"/>
      <c r="AU958" s="94"/>
      <c r="AV958" s="94"/>
      <c r="AW958" s="94"/>
      <c r="AX958" s="94"/>
      <c r="AY958" s="94"/>
      <c r="AZ958" s="94"/>
      <c r="BA958" s="95"/>
    </row>
    <row r="959" spans="1:53" s="87" customFormat="1">
      <c r="A959" s="90" t="str">
        <f t="shared" si="39"/>
        <v/>
      </c>
      <c r="B959" s="98"/>
      <c r="C959" s="94"/>
      <c r="D959" s="94"/>
      <c r="E959" s="94"/>
      <c r="F959" s="94"/>
      <c r="G959" s="94"/>
      <c r="H959" s="94"/>
      <c r="I959" s="94"/>
      <c r="J959" s="94"/>
      <c r="K959" s="94"/>
      <c r="L959" s="94"/>
      <c r="M959" s="94"/>
      <c r="N959" s="94"/>
      <c r="O959" s="94"/>
      <c r="P959" s="94"/>
      <c r="Q959" s="94"/>
      <c r="R959" s="94"/>
      <c r="S959" s="94"/>
      <c r="T959" s="94"/>
      <c r="U959" s="94"/>
      <c r="V959" s="94"/>
      <c r="W959" s="94"/>
      <c r="X959" s="94"/>
      <c r="Y959" s="94"/>
      <c r="Z959" s="94"/>
      <c r="AA959" s="94"/>
      <c r="AB959" s="94"/>
      <c r="AC959" s="94"/>
      <c r="AD959" s="94"/>
      <c r="AE959" s="94"/>
      <c r="AF959" s="94"/>
      <c r="AG959" s="94"/>
      <c r="AH959" s="94"/>
      <c r="AI959" s="94"/>
      <c r="AJ959" s="94"/>
      <c r="AK959" s="94"/>
      <c r="AL959" s="94"/>
      <c r="AM959" s="94"/>
      <c r="AN959" s="94"/>
      <c r="AO959" s="94"/>
      <c r="AP959" s="94"/>
      <c r="AQ959" s="94"/>
      <c r="AR959" s="94"/>
      <c r="AS959" s="94"/>
      <c r="AT959" s="94"/>
      <c r="AU959" s="94"/>
      <c r="AV959" s="94"/>
      <c r="AW959" s="94"/>
      <c r="AX959" s="94"/>
      <c r="AY959" s="94"/>
      <c r="AZ959" s="94"/>
      <c r="BA959" s="95"/>
    </row>
    <row r="960" spans="1:53" s="87" customFormat="1">
      <c r="A960" s="90" t="str">
        <f t="shared" si="39"/>
        <v/>
      </c>
      <c r="B960" s="98"/>
      <c r="C960" s="94"/>
      <c r="D960" s="94"/>
      <c r="E960" s="94"/>
      <c r="F960" s="94"/>
      <c r="G960" s="94"/>
      <c r="H960" s="94"/>
      <c r="I960" s="94"/>
      <c r="J960" s="94"/>
      <c r="K960" s="94"/>
      <c r="L960" s="94"/>
      <c r="M960" s="94"/>
      <c r="N960" s="94"/>
      <c r="O960" s="94"/>
      <c r="P960" s="94"/>
      <c r="Q960" s="94"/>
      <c r="R960" s="94"/>
      <c r="S960" s="94"/>
      <c r="T960" s="94"/>
      <c r="U960" s="94"/>
      <c r="V960" s="94"/>
      <c r="W960" s="94"/>
      <c r="X960" s="94"/>
      <c r="Y960" s="94"/>
      <c r="Z960" s="94"/>
      <c r="AA960" s="94"/>
      <c r="AB960" s="94"/>
      <c r="AC960" s="94"/>
      <c r="AD960" s="94"/>
      <c r="AE960" s="94"/>
      <c r="AF960" s="94"/>
      <c r="AG960" s="94"/>
      <c r="AH960" s="94"/>
      <c r="AI960" s="94"/>
      <c r="AJ960" s="94"/>
      <c r="AK960" s="94"/>
      <c r="AL960" s="94"/>
      <c r="AM960" s="94"/>
      <c r="AN960" s="94"/>
      <c r="AO960" s="94"/>
      <c r="AP960" s="94"/>
      <c r="AQ960" s="94"/>
      <c r="AR960" s="94"/>
      <c r="AS960" s="94"/>
      <c r="AT960" s="94"/>
      <c r="AU960" s="94"/>
      <c r="AV960" s="94"/>
      <c r="AW960" s="94"/>
      <c r="AX960" s="94"/>
      <c r="AY960" s="94"/>
      <c r="AZ960" s="94"/>
      <c r="BA960" s="95"/>
    </row>
    <row r="961" spans="1:53" s="87" customFormat="1">
      <c r="A961" s="90" t="str">
        <f t="shared" si="39"/>
        <v/>
      </c>
      <c r="B961" s="98"/>
      <c r="C961" s="94"/>
      <c r="D961" s="94"/>
      <c r="E961" s="94"/>
      <c r="F961" s="94"/>
      <c r="G961" s="94"/>
      <c r="H961" s="94"/>
      <c r="I961" s="94"/>
      <c r="J961" s="94"/>
      <c r="K961" s="94"/>
      <c r="L961" s="94"/>
      <c r="M961" s="94"/>
      <c r="N961" s="94"/>
      <c r="O961" s="94"/>
      <c r="P961" s="94"/>
      <c r="Q961" s="94"/>
      <c r="R961" s="94"/>
      <c r="S961" s="94"/>
      <c r="T961" s="94"/>
      <c r="U961" s="94"/>
      <c r="V961" s="94"/>
      <c r="W961" s="94"/>
      <c r="X961" s="94"/>
      <c r="Y961" s="94"/>
      <c r="Z961" s="94"/>
      <c r="AA961" s="94"/>
      <c r="AB961" s="94"/>
      <c r="AC961" s="94"/>
      <c r="AD961" s="94"/>
      <c r="AE961" s="94"/>
      <c r="AF961" s="94"/>
      <c r="AG961" s="94"/>
      <c r="AH961" s="94"/>
      <c r="AI961" s="94"/>
      <c r="AJ961" s="94"/>
      <c r="AK961" s="94"/>
      <c r="AL961" s="94"/>
      <c r="AM961" s="94"/>
      <c r="AN961" s="94"/>
      <c r="AO961" s="94"/>
      <c r="AP961" s="94"/>
      <c r="AQ961" s="94"/>
      <c r="AR961" s="94"/>
      <c r="AS961" s="94"/>
      <c r="AT961" s="94"/>
      <c r="AU961" s="94"/>
      <c r="AV961" s="94"/>
      <c r="AW961" s="94"/>
      <c r="AX961" s="94"/>
      <c r="AY961" s="94"/>
      <c r="AZ961" s="94"/>
      <c r="BA961" s="95"/>
    </row>
    <row r="962" spans="1:53" s="87" customFormat="1">
      <c r="A962" s="90" t="str">
        <f t="shared" si="39"/>
        <v/>
      </c>
      <c r="B962" s="98"/>
      <c r="C962" s="94"/>
      <c r="D962" s="94"/>
      <c r="E962" s="94"/>
      <c r="F962" s="94"/>
      <c r="G962" s="94"/>
      <c r="H962" s="94"/>
      <c r="I962" s="94"/>
      <c r="J962" s="94"/>
      <c r="K962" s="94"/>
      <c r="L962" s="94"/>
      <c r="M962" s="94"/>
      <c r="N962" s="94"/>
      <c r="O962" s="94"/>
      <c r="P962" s="94"/>
      <c r="Q962" s="94"/>
      <c r="R962" s="94"/>
      <c r="S962" s="94"/>
      <c r="T962" s="94"/>
      <c r="U962" s="94"/>
      <c r="V962" s="94"/>
      <c r="W962" s="94"/>
      <c r="X962" s="94"/>
      <c r="Y962" s="94"/>
      <c r="Z962" s="94"/>
      <c r="AA962" s="94"/>
      <c r="AB962" s="94"/>
      <c r="AC962" s="94"/>
      <c r="AD962" s="94"/>
      <c r="AE962" s="94"/>
      <c r="AF962" s="94"/>
      <c r="AG962" s="94"/>
      <c r="AH962" s="94"/>
      <c r="AI962" s="94"/>
      <c r="AJ962" s="94"/>
      <c r="AK962" s="94"/>
      <c r="AL962" s="94"/>
      <c r="AM962" s="94"/>
      <c r="AN962" s="94"/>
      <c r="AO962" s="94"/>
      <c r="AP962" s="94"/>
      <c r="AQ962" s="94"/>
      <c r="AR962" s="94"/>
      <c r="AS962" s="94"/>
      <c r="AT962" s="94"/>
      <c r="AU962" s="94"/>
      <c r="AV962" s="94"/>
      <c r="AW962" s="94"/>
      <c r="AX962" s="94"/>
      <c r="AY962" s="94"/>
      <c r="AZ962" s="94"/>
      <c r="BA962" s="95"/>
    </row>
    <row r="963" spans="1:53" s="87" customFormat="1">
      <c r="A963" s="90" t="str">
        <f t="shared" si="39"/>
        <v/>
      </c>
      <c r="B963" s="98"/>
      <c r="C963" s="94"/>
      <c r="D963" s="94"/>
      <c r="E963" s="94"/>
      <c r="F963" s="94"/>
      <c r="G963" s="94"/>
      <c r="H963" s="94"/>
      <c r="I963" s="94"/>
      <c r="J963" s="94"/>
      <c r="K963" s="94"/>
      <c r="L963" s="94"/>
      <c r="M963" s="94"/>
      <c r="N963" s="94"/>
      <c r="O963" s="94"/>
      <c r="P963" s="94"/>
      <c r="Q963" s="94"/>
      <c r="R963" s="94"/>
      <c r="S963" s="94"/>
      <c r="T963" s="94"/>
      <c r="U963" s="94"/>
      <c r="V963" s="94"/>
      <c r="W963" s="94"/>
      <c r="X963" s="94"/>
      <c r="Y963" s="94"/>
      <c r="Z963" s="94"/>
      <c r="AA963" s="94"/>
      <c r="AB963" s="94"/>
      <c r="AC963" s="94"/>
      <c r="AD963" s="94"/>
      <c r="AE963" s="94"/>
      <c r="AF963" s="94"/>
      <c r="AG963" s="94"/>
      <c r="AH963" s="94"/>
      <c r="AI963" s="94"/>
      <c r="AJ963" s="94"/>
      <c r="AK963" s="94"/>
      <c r="AL963" s="94"/>
      <c r="AM963" s="94"/>
      <c r="AN963" s="94"/>
      <c r="AO963" s="94"/>
      <c r="AP963" s="94"/>
      <c r="AQ963" s="94"/>
      <c r="AR963" s="94"/>
      <c r="AS963" s="94"/>
      <c r="AT963" s="94"/>
      <c r="AU963" s="94"/>
      <c r="AV963" s="94"/>
      <c r="AW963" s="94"/>
      <c r="AX963" s="94"/>
      <c r="AY963" s="94"/>
      <c r="AZ963" s="94"/>
      <c r="BA963" s="95"/>
    </row>
    <row r="964" spans="1:53" s="87" customFormat="1">
      <c r="A964" s="90" t="str">
        <f t="shared" si="39"/>
        <v/>
      </c>
      <c r="B964" s="98"/>
      <c r="C964" s="94"/>
      <c r="D964" s="94"/>
      <c r="E964" s="94"/>
      <c r="F964" s="94"/>
      <c r="G964" s="94"/>
      <c r="H964" s="94"/>
      <c r="I964" s="94"/>
      <c r="J964" s="94"/>
      <c r="K964" s="94"/>
      <c r="L964" s="94"/>
      <c r="M964" s="94"/>
      <c r="N964" s="94"/>
      <c r="O964" s="94"/>
      <c r="P964" s="94"/>
      <c r="Q964" s="94"/>
      <c r="R964" s="94"/>
      <c r="S964" s="94"/>
      <c r="T964" s="94"/>
      <c r="U964" s="94"/>
      <c r="V964" s="94"/>
      <c r="W964" s="94"/>
      <c r="X964" s="94"/>
      <c r="Y964" s="94"/>
      <c r="Z964" s="94"/>
      <c r="AA964" s="94"/>
      <c r="AB964" s="94"/>
      <c r="AC964" s="94"/>
      <c r="AD964" s="94"/>
      <c r="AE964" s="94"/>
      <c r="AF964" s="94"/>
      <c r="AG964" s="94"/>
      <c r="AH964" s="94"/>
      <c r="AI964" s="94"/>
      <c r="AJ964" s="94"/>
      <c r="AK964" s="94"/>
      <c r="AL964" s="94"/>
      <c r="AM964" s="94"/>
      <c r="AN964" s="94"/>
      <c r="AO964" s="94"/>
      <c r="AP964" s="94"/>
      <c r="AQ964" s="94"/>
      <c r="AR964" s="94"/>
      <c r="AS964" s="94"/>
      <c r="AT964" s="94"/>
      <c r="AU964" s="94"/>
      <c r="AV964" s="94"/>
      <c r="AW964" s="94"/>
      <c r="AX964" s="94"/>
      <c r="AY964" s="94"/>
      <c r="AZ964" s="94"/>
      <c r="BA964" s="95"/>
    </row>
    <row r="965" spans="1:53" s="87" customFormat="1">
      <c r="A965" s="90" t="str">
        <f t="shared" si="39"/>
        <v/>
      </c>
      <c r="B965" s="98"/>
      <c r="C965" s="94"/>
      <c r="D965" s="94"/>
      <c r="E965" s="94"/>
      <c r="F965" s="94"/>
      <c r="G965" s="94"/>
      <c r="H965" s="94"/>
      <c r="I965" s="94"/>
      <c r="J965" s="94"/>
      <c r="K965" s="94"/>
      <c r="L965" s="94"/>
      <c r="M965" s="94"/>
      <c r="N965" s="94"/>
      <c r="O965" s="94"/>
      <c r="P965" s="94"/>
      <c r="Q965" s="94"/>
      <c r="R965" s="94"/>
      <c r="S965" s="94"/>
      <c r="T965" s="94"/>
      <c r="U965" s="94"/>
      <c r="V965" s="94"/>
      <c r="W965" s="94"/>
      <c r="X965" s="94"/>
      <c r="Y965" s="94"/>
      <c r="Z965" s="94"/>
      <c r="AA965" s="94"/>
      <c r="AB965" s="94"/>
      <c r="AC965" s="94"/>
      <c r="AD965" s="94"/>
      <c r="AE965" s="94"/>
      <c r="AF965" s="94"/>
      <c r="AG965" s="94"/>
      <c r="AH965" s="94"/>
      <c r="AI965" s="94"/>
      <c r="AJ965" s="94"/>
      <c r="AK965" s="94"/>
      <c r="AL965" s="94"/>
      <c r="AM965" s="94"/>
      <c r="AN965" s="94"/>
      <c r="AO965" s="94"/>
      <c r="AP965" s="94"/>
      <c r="AQ965" s="94"/>
      <c r="AR965" s="94"/>
      <c r="AS965" s="94"/>
      <c r="AT965" s="94"/>
      <c r="AU965" s="94"/>
      <c r="AV965" s="94"/>
      <c r="AW965" s="94"/>
      <c r="AX965" s="94"/>
      <c r="AY965" s="94"/>
      <c r="AZ965" s="94"/>
      <c r="BA965" s="95"/>
    </row>
    <row r="966" spans="1:53" s="87" customFormat="1">
      <c r="A966" s="90" t="str">
        <f t="shared" si="39"/>
        <v/>
      </c>
      <c r="B966" s="98"/>
      <c r="C966" s="94"/>
      <c r="D966" s="94"/>
      <c r="E966" s="94"/>
      <c r="F966" s="94"/>
      <c r="G966" s="94"/>
      <c r="H966" s="94"/>
      <c r="I966" s="94"/>
      <c r="J966" s="94"/>
      <c r="K966" s="94"/>
      <c r="L966" s="94"/>
      <c r="M966" s="94"/>
      <c r="N966" s="94"/>
      <c r="O966" s="94"/>
      <c r="P966" s="94"/>
      <c r="Q966" s="94"/>
      <c r="R966" s="94"/>
      <c r="S966" s="94"/>
      <c r="T966" s="94"/>
      <c r="U966" s="94"/>
      <c r="V966" s="94"/>
      <c r="W966" s="94"/>
      <c r="X966" s="94"/>
      <c r="Y966" s="94"/>
      <c r="Z966" s="94"/>
      <c r="AA966" s="94"/>
      <c r="AB966" s="94"/>
      <c r="AC966" s="94"/>
      <c r="AD966" s="94"/>
      <c r="AE966" s="94"/>
      <c r="AF966" s="94"/>
      <c r="AG966" s="94"/>
      <c r="AH966" s="94"/>
      <c r="AI966" s="94"/>
      <c r="AJ966" s="94"/>
      <c r="AK966" s="94"/>
      <c r="AL966" s="94"/>
      <c r="AM966" s="94"/>
      <c r="AN966" s="94"/>
      <c r="AO966" s="94"/>
      <c r="AP966" s="94"/>
      <c r="AQ966" s="94"/>
      <c r="AR966" s="94"/>
      <c r="AS966" s="94"/>
      <c r="AT966" s="94"/>
      <c r="AU966" s="94"/>
      <c r="AV966" s="94"/>
      <c r="AW966" s="94"/>
      <c r="AX966" s="94"/>
      <c r="AY966" s="94"/>
      <c r="AZ966" s="94"/>
      <c r="BA966" s="95"/>
    </row>
    <row r="967" spans="1:53" s="87" customFormat="1">
      <c r="A967" s="90" t="str">
        <f t="shared" si="39"/>
        <v/>
      </c>
      <c r="B967" s="98"/>
      <c r="C967" s="94"/>
      <c r="D967" s="94"/>
      <c r="E967" s="94"/>
      <c r="F967" s="94"/>
      <c r="G967" s="94"/>
      <c r="H967" s="94"/>
      <c r="I967" s="94"/>
      <c r="J967" s="94"/>
      <c r="K967" s="94"/>
      <c r="L967" s="94"/>
      <c r="M967" s="94"/>
      <c r="N967" s="94"/>
      <c r="O967" s="94"/>
      <c r="P967" s="94"/>
      <c r="Q967" s="94"/>
      <c r="R967" s="94"/>
      <c r="S967" s="94"/>
      <c r="T967" s="94"/>
      <c r="U967" s="94"/>
      <c r="V967" s="94"/>
      <c r="W967" s="94"/>
      <c r="X967" s="94"/>
      <c r="Y967" s="94"/>
      <c r="Z967" s="94"/>
      <c r="AA967" s="94"/>
      <c r="AB967" s="94"/>
      <c r="AC967" s="94"/>
      <c r="AD967" s="94"/>
      <c r="AE967" s="94"/>
      <c r="AF967" s="94"/>
      <c r="AG967" s="94"/>
      <c r="AH967" s="94"/>
      <c r="AI967" s="94"/>
      <c r="AJ967" s="94"/>
      <c r="AK967" s="94"/>
      <c r="AL967" s="94"/>
      <c r="AM967" s="94"/>
      <c r="AN967" s="94"/>
      <c r="AO967" s="94"/>
      <c r="AP967" s="94"/>
      <c r="AQ967" s="94"/>
      <c r="AR967" s="94"/>
      <c r="AS967" s="94"/>
      <c r="AT967" s="94"/>
      <c r="AU967" s="94"/>
      <c r="AV967" s="94"/>
      <c r="AW967" s="94"/>
      <c r="AX967" s="94"/>
      <c r="AY967" s="94"/>
      <c r="AZ967" s="94"/>
      <c r="BA967" s="95"/>
    </row>
    <row r="968" spans="1:53" s="87" customFormat="1">
      <c r="A968" s="90" t="str">
        <f t="shared" si="39"/>
        <v/>
      </c>
      <c r="B968" s="98"/>
      <c r="C968" s="94"/>
      <c r="D968" s="94"/>
      <c r="E968" s="94"/>
      <c r="F968" s="94"/>
      <c r="G968" s="94"/>
      <c r="H968" s="94"/>
      <c r="I968" s="94"/>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5"/>
    </row>
    <row r="969" spans="1:53" s="87" customFormat="1">
      <c r="A969" s="90" t="str">
        <f t="shared" si="39"/>
        <v/>
      </c>
      <c r="B969" s="98"/>
      <c r="C969" s="94"/>
      <c r="D969" s="94"/>
      <c r="E969" s="94"/>
      <c r="F969" s="94"/>
      <c r="G969" s="94"/>
      <c r="H969" s="94"/>
      <c r="I969" s="94"/>
      <c r="J969" s="94"/>
      <c r="K969" s="94"/>
      <c r="L969" s="94"/>
      <c r="M969" s="94"/>
      <c r="N969" s="94"/>
      <c r="O969" s="94"/>
      <c r="P969" s="94"/>
      <c r="Q969" s="94"/>
      <c r="R969" s="94"/>
      <c r="S969" s="94"/>
      <c r="T969" s="94"/>
      <c r="U969" s="94"/>
      <c r="V969" s="94"/>
      <c r="W969" s="94"/>
      <c r="X969" s="94"/>
      <c r="Y969" s="94"/>
      <c r="Z969" s="94"/>
      <c r="AA969" s="94"/>
      <c r="AB969" s="94"/>
      <c r="AC969" s="94"/>
      <c r="AD969" s="94"/>
      <c r="AE969" s="94"/>
      <c r="AF969" s="94"/>
      <c r="AG969" s="94"/>
      <c r="AH969" s="94"/>
      <c r="AI969" s="94"/>
      <c r="AJ969" s="94"/>
      <c r="AK969" s="94"/>
      <c r="AL969" s="94"/>
      <c r="AM969" s="94"/>
      <c r="AN969" s="94"/>
      <c r="AO969" s="94"/>
      <c r="AP969" s="94"/>
      <c r="AQ969" s="94"/>
      <c r="AR969" s="94"/>
      <c r="AS969" s="94"/>
      <c r="AT969" s="94"/>
      <c r="AU969" s="94"/>
      <c r="AV969" s="94"/>
      <c r="AW969" s="94"/>
      <c r="AX969" s="94"/>
      <c r="AY969" s="94"/>
      <c r="AZ969" s="94"/>
      <c r="BA969" s="95"/>
    </row>
    <row r="970" spans="1:53" s="87" customFormat="1">
      <c r="A970" s="90" t="str">
        <f t="shared" si="39"/>
        <v/>
      </c>
      <c r="B970" s="98"/>
      <c r="C970" s="94"/>
      <c r="D970" s="94"/>
      <c r="E970" s="94"/>
      <c r="F970" s="94"/>
      <c r="G970" s="94"/>
      <c r="H970" s="94"/>
      <c r="I970" s="94"/>
      <c r="J970" s="94"/>
      <c r="K970" s="94"/>
      <c r="L970" s="94"/>
      <c r="M970" s="94"/>
      <c r="N970" s="94"/>
      <c r="O970" s="94"/>
      <c r="P970" s="94"/>
      <c r="Q970" s="94"/>
      <c r="R970" s="94"/>
      <c r="S970" s="94"/>
      <c r="T970" s="94"/>
      <c r="U970" s="94"/>
      <c r="V970" s="94"/>
      <c r="W970" s="94"/>
      <c r="X970" s="94"/>
      <c r="Y970" s="94"/>
      <c r="Z970" s="94"/>
      <c r="AA970" s="94"/>
      <c r="AB970" s="94"/>
      <c r="AC970" s="94"/>
      <c r="AD970" s="94"/>
      <c r="AE970" s="94"/>
      <c r="AF970" s="94"/>
      <c r="AG970" s="94"/>
      <c r="AH970" s="94"/>
      <c r="AI970" s="94"/>
      <c r="AJ970" s="94"/>
      <c r="AK970" s="94"/>
      <c r="AL970" s="94"/>
      <c r="AM970" s="94"/>
      <c r="AN970" s="94"/>
      <c r="AO970" s="94"/>
      <c r="AP970" s="94"/>
      <c r="AQ970" s="94"/>
      <c r="AR970" s="94"/>
      <c r="AS970" s="94"/>
      <c r="AT970" s="94"/>
      <c r="AU970" s="94"/>
      <c r="AV970" s="94"/>
      <c r="AW970" s="94"/>
      <c r="AX970" s="94"/>
      <c r="AY970" s="94"/>
      <c r="AZ970" s="94"/>
      <c r="BA970" s="95"/>
    </row>
    <row r="971" spans="1:53" s="87" customFormat="1">
      <c r="A971" s="90" t="str">
        <f t="shared" si="39"/>
        <v/>
      </c>
      <c r="B971" s="98"/>
      <c r="C971" s="94"/>
      <c r="D971" s="94"/>
      <c r="E971" s="94"/>
      <c r="F971" s="94"/>
      <c r="G971" s="94"/>
      <c r="H971" s="94"/>
      <c r="I971" s="94"/>
      <c r="J971" s="94"/>
      <c r="K971" s="94"/>
      <c r="L971" s="94"/>
      <c r="M971" s="94"/>
      <c r="N971" s="94"/>
      <c r="O971" s="94"/>
      <c r="P971" s="94"/>
      <c r="Q971" s="94"/>
      <c r="R971" s="94"/>
      <c r="S971" s="94"/>
      <c r="T971" s="94"/>
      <c r="U971" s="94"/>
      <c r="V971" s="94"/>
      <c r="W971" s="94"/>
      <c r="X971" s="94"/>
      <c r="Y971" s="94"/>
      <c r="Z971" s="94"/>
      <c r="AA971" s="94"/>
      <c r="AB971" s="94"/>
      <c r="AC971" s="94"/>
      <c r="AD971" s="94"/>
      <c r="AE971" s="94"/>
      <c r="AF971" s="94"/>
      <c r="AG971" s="94"/>
      <c r="AH971" s="94"/>
      <c r="AI971" s="94"/>
      <c r="AJ971" s="94"/>
      <c r="AK971" s="94"/>
      <c r="AL971" s="94"/>
      <c r="AM971" s="94"/>
      <c r="AN971" s="94"/>
      <c r="AO971" s="94"/>
      <c r="AP971" s="94"/>
      <c r="AQ971" s="94"/>
      <c r="AR971" s="94"/>
      <c r="AS971" s="94"/>
      <c r="AT971" s="94"/>
      <c r="AU971" s="94"/>
      <c r="AV971" s="94"/>
      <c r="AW971" s="94"/>
      <c r="AX971" s="94"/>
      <c r="AY971" s="94"/>
      <c r="AZ971" s="94"/>
      <c r="BA971" s="95"/>
    </row>
    <row r="972" spans="1:53" s="87" customFormat="1">
      <c r="A972" s="90" t="str">
        <f t="shared" ref="A972:A1035" si="40">IF(MID(B972,3,2)="09",ROW(),"")</f>
        <v/>
      </c>
      <c r="B972" s="98"/>
      <c r="C972" s="94"/>
      <c r="D972" s="94"/>
      <c r="E972" s="94"/>
      <c r="F972" s="94"/>
      <c r="G972" s="94"/>
      <c r="H972" s="94"/>
      <c r="I972" s="94"/>
      <c r="J972" s="94"/>
      <c r="K972" s="94"/>
      <c r="L972" s="94"/>
      <c r="M972" s="94"/>
      <c r="N972" s="94"/>
      <c r="O972" s="94"/>
      <c r="P972" s="94"/>
      <c r="Q972" s="94"/>
      <c r="R972" s="94"/>
      <c r="S972" s="94"/>
      <c r="T972" s="94"/>
      <c r="U972" s="94"/>
      <c r="V972" s="94"/>
      <c r="W972" s="94"/>
      <c r="X972" s="94"/>
      <c r="Y972" s="94"/>
      <c r="Z972" s="94"/>
      <c r="AA972" s="94"/>
      <c r="AB972" s="94"/>
      <c r="AC972" s="94"/>
      <c r="AD972" s="94"/>
      <c r="AE972" s="94"/>
      <c r="AF972" s="94"/>
      <c r="AG972" s="94"/>
      <c r="AH972" s="94"/>
      <c r="AI972" s="94"/>
      <c r="AJ972" s="94"/>
      <c r="AK972" s="94"/>
      <c r="AL972" s="94"/>
      <c r="AM972" s="94"/>
      <c r="AN972" s="94"/>
      <c r="AO972" s="94"/>
      <c r="AP972" s="94"/>
      <c r="AQ972" s="94"/>
      <c r="AR972" s="94"/>
      <c r="AS972" s="94"/>
      <c r="AT972" s="94"/>
      <c r="AU972" s="94"/>
      <c r="AV972" s="94"/>
      <c r="AW972" s="94"/>
      <c r="AX972" s="94"/>
      <c r="AY972" s="94"/>
      <c r="AZ972" s="94"/>
      <c r="BA972" s="95"/>
    </row>
    <row r="973" spans="1:53" s="87" customFormat="1">
      <c r="A973" s="90" t="str">
        <f t="shared" si="40"/>
        <v/>
      </c>
      <c r="B973" s="98"/>
      <c r="C973" s="94"/>
      <c r="D973" s="94"/>
      <c r="E973" s="94"/>
      <c r="F973" s="94"/>
      <c r="G973" s="94"/>
      <c r="H973" s="94"/>
      <c r="I973" s="94"/>
      <c r="J973" s="94"/>
      <c r="K973" s="94"/>
      <c r="L973" s="94"/>
      <c r="M973" s="94"/>
      <c r="N973" s="94"/>
      <c r="O973" s="94"/>
      <c r="P973" s="94"/>
      <c r="Q973" s="94"/>
      <c r="R973" s="94"/>
      <c r="S973" s="94"/>
      <c r="T973" s="94"/>
      <c r="U973" s="94"/>
      <c r="V973" s="94"/>
      <c r="W973" s="94"/>
      <c r="X973" s="94"/>
      <c r="Y973" s="94"/>
      <c r="Z973" s="94"/>
      <c r="AA973" s="94"/>
      <c r="AB973" s="94"/>
      <c r="AC973" s="94"/>
      <c r="AD973" s="94"/>
      <c r="AE973" s="94"/>
      <c r="AF973" s="94"/>
      <c r="AG973" s="94"/>
      <c r="AH973" s="94"/>
      <c r="AI973" s="94"/>
      <c r="AJ973" s="94"/>
      <c r="AK973" s="94"/>
      <c r="AL973" s="94"/>
      <c r="AM973" s="94"/>
      <c r="AN973" s="94"/>
      <c r="AO973" s="94"/>
      <c r="AP973" s="94"/>
      <c r="AQ973" s="94"/>
      <c r="AR973" s="94"/>
      <c r="AS973" s="94"/>
      <c r="AT973" s="94"/>
      <c r="AU973" s="94"/>
      <c r="AV973" s="94"/>
      <c r="AW973" s="94"/>
      <c r="AX973" s="94"/>
      <c r="AY973" s="94"/>
      <c r="AZ973" s="94"/>
      <c r="BA973" s="95"/>
    </row>
    <row r="974" spans="1:53" s="87" customFormat="1">
      <c r="A974" s="90" t="str">
        <f t="shared" si="40"/>
        <v/>
      </c>
      <c r="B974" s="98"/>
      <c r="C974" s="94"/>
      <c r="D974" s="94"/>
      <c r="E974" s="94"/>
      <c r="F974" s="94"/>
      <c r="G974" s="94"/>
      <c r="H974" s="94"/>
      <c r="I974" s="94"/>
      <c r="J974" s="94"/>
      <c r="K974" s="94"/>
      <c r="L974" s="94"/>
      <c r="M974" s="94"/>
      <c r="N974" s="94"/>
      <c r="O974" s="94"/>
      <c r="P974" s="94"/>
      <c r="Q974" s="94"/>
      <c r="R974" s="94"/>
      <c r="S974" s="94"/>
      <c r="T974" s="94"/>
      <c r="U974" s="94"/>
      <c r="V974" s="94"/>
      <c r="W974" s="94"/>
      <c r="X974" s="94"/>
      <c r="Y974" s="94"/>
      <c r="Z974" s="94"/>
      <c r="AA974" s="94"/>
      <c r="AB974" s="94"/>
      <c r="AC974" s="94"/>
      <c r="AD974" s="94"/>
      <c r="AE974" s="94"/>
      <c r="AF974" s="94"/>
      <c r="AG974" s="94"/>
      <c r="AH974" s="94"/>
      <c r="AI974" s="94"/>
      <c r="AJ974" s="94"/>
      <c r="AK974" s="94"/>
      <c r="AL974" s="94"/>
      <c r="AM974" s="94"/>
      <c r="AN974" s="94"/>
      <c r="AO974" s="94"/>
      <c r="AP974" s="94"/>
      <c r="AQ974" s="94"/>
      <c r="AR974" s="94"/>
      <c r="AS974" s="94"/>
      <c r="AT974" s="94"/>
      <c r="AU974" s="94"/>
      <c r="AV974" s="94"/>
      <c r="AW974" s="94"/>
      <c r="AX974" s="94"/>
      <c r="AY974" s="94"/>
      <c r="AZ974" s="94"/>
      <c r="BA974" s="95"/>
    </row>
    <row r="975" spans="1:53" s="87" customFormat="1">
      <c r="A975" s="90" t="str">
        <f t="shared" si="40"/>
        <v/>
      </c>
      <c r="B975" s="98"/>
      <c r="C975" s="94"/>
      <c r="D975" s="94"/>
      <c r="E975" s="94"/>
      <c r="F975" s="94"/>
      <c r="G975" s="94"/>
      <c r="H975" s="94"/>
      <c r="I975" s="94"/>
      <c r="J975" s="94"/>
      <c r="K975" s="94"/>
      <c r="L975" s="94"/>
      <c r="M975" s="94"/>
      <c r="N975" s="94"/>
      <c r="O975" s="94"/>
      <c r="P975" s="94"/>
      <c r="Q975" s="94"/>
      <c r="R975" s="94"/>
      <c r="S975" s="94"/>
      <c r="T975" s="94"/>
      <c r="U975" s="94"/>
      <c r="V975" s="94"/>
      <c r="W975" s="94"/>
      <c r="X975" s="94"/>
      <c r="Y975" s="94"/>
      <c r="Z975" s="94"/>
      <c r="AA975" s="94"/>
      <c r="AB975" s="94"/>
      <c r="AC975" s="94"/>
      <c r="AD975" s="94"/>
      <c r="AE975" s="94"/>
      <c r="AF975" s="94"/>
      <c r="AG975" s="94"/>
      <c r="AH975" s="94"/>
      <c r="AI975" s="94"/>
      <c r="AJ975" s="94"/>
      <c r="AK975" s="94"/>
      <c r="AL975" s="94"/>
      <c r="AM975" s="94"/>
      <c r="AN975" s="94"/>
      <c r="AO975" s="94"/>
      <c r="AP975" s="94"/>
      <c r="AQ975" s="94"/>
      <c r="AR975" s="94"/>
      <c r="AS975" s="94"/>
      <c r="AT975" s="94"/>
      <c r="AU975" s="94"/>
      <c r="AV975" s="94"/>
      <c r="AW975" s="94"/>
      <c r="AX975" s="94"/>
      <c r="AY975" s="94"/>
      <c r="AZ975" s="94"/>
      <c r="BA975" s="95"/>
    </row>
    <row r="976" spans="1:53" s="87" customFormat="1">
      <c r="A976" s="90" t="str">
        <f t="shared" si="40"/>
        <v/>
      </c>
      <c r="B976" s="98"/>
      <c r="C976" s="94"/>
      <c r="D976" s="94"/>
      <c r="E976" s="94"/>
      <c r="F976" s="94"/>
      <c r="G976" s="94"/>
      <c r="H976" s="94"/>
      <c r="I976" s="94"/>
      <c r="J976" s="94"/>
      <c r="K976" s="94"/>
      <c r="L976" s="94"/>
      <c r="M976" s="94"/>
      <c r="N976" s="94"/>
      <c r="O976" s="94"/>
      <c r="P976" s="94"/>
      <c r="Q976" s="94"/>
      <c r="R976" s="94"/>
      <c r="S976" s="94"/>
      <c r="T976" s="94"/>
      <c r="U976" s="94"/>
      <c r="V976" s="94"/>
      <c r="W976" s="94"/>
      <c r="X976" s="94"/>
      <c r="Y976" s="94"/>
      <c r="Z976" s="94"/>
      <c r="AA976" s="94"/>
      <c r="AB976" s="94"/>
      <c r="AC976" s="94"/>
      <c r="AD976" s="94"/>
      <c r="AE976" s="94"/>
      <c r="AF976" s="94"/>
      <c r="AG976" s="94"/>
      <c r="AH976" s="94"/>
      <c r="AI976" s="94"/>
      <c r="AJ976" s="94"/>
      <c r="AK976" s="94"/>
      <c r="AL976" s="94"/>
      <c r="AM976" s="94"/>
      <c r="AN976" s="94"/>
      <c r="AO976" s="94"/>
      <c r="AP976" s="94"/>
      <c r="AQ976" s="94"/>
      <c r="AR976" s="94"/>
      <c r="AS976" s="94"/>
      <c r="AT976" s="94"/>
      <c r="AU976" s="94"/>
      <c r="AV976" s="94"/>
      <c r="AW976" s="94"/>
      <c r="AX976" s="94"/>
      <c r="AY976" s="94"/>
      <c r="AZ976" s="94"/>
      <c r="BA976" s="95"/>
    </row>
    <row r="977" spans="1:53" s="87" customFormat="1">
      <c r="A977" s="90" t="str">
        <f t="shared" si="40"/>
        <v/>
      </c>
      <c r="B977" s="98"/>
      <c r="C977" s="94"/>
      <c r="D977" s="94"/>
      <c r="E977" s="94"/>
      <c r="F977" s="94"/>
      <c r="G977" s="94"/>
      <c r="H977" s="94"/>
      <c r="I977" s="94"/>
      <c r="J977" s="94"/>
      <c r="K977" s="94"/>
      <c r="L977" s="94"/>
      <c r="M977" s="94"/>
      <c r="N977" s="94"/>
      <c r="O977" s="94"/>
      <c r="P977" s="94"/>
      <c r="Q977" s="94"/>
      <c r="R977" s="94"/>
      <c r="S977" s="94"/>
      <c r="T977" s="94"/>
      <c r="U977" s="94"/>
      <c r="V977" s="94"/>
      <c r="W977" s="94"/>
      <c r="X977" s="94"/>
      <c r="Y977" s="94"/>
      <c r="Z977" s="94"/>
      <c r="AA977" s="94"/>
      <c r="AB977" s="94"/>
      <c r="AC977" s="94"/>
      <c r="AD977" s="94"/>
      <c r="AE977" s="94"/>
      <c r="AF977" s="94"/>
      <c r="AG977" s="94"/>
      <c r="AH977" s="94"/>
      <c r="AI977" s="94"/>
      <c r="AJ977" s="94"/>
      <c r="AK977" s="94"/>
      <c r="AL977" s="94"/>
      <c r="AM977" s="94"/>
      <c r="AN977" s="94"/>
      <c r="AO977" s="94"/>
      <c r="AP977" s="94"/>
      <c r="AQ977" s="94"/>
      <c r="AR977" s="94"/>
      <c r="AS977" s="94"/>
      <c r="AT977" s="94"/>
      <c r="AU977" s="94"/>
      <c r="AV977" s="94"/>
      <c r="AW977" s="94"/>
      <c r="AX977" s="94"/>
      <c r="AY977" s="94"/>
      <c r="AZ977" s="94"/>
      <c r="BA977" s="95"/>
    </row>
    <row r="978" spans="1:53" s="87" customFormat="1">
      <c r="A978" s="90" t="str">
        <f t="shared" si="40"/>
        <v/>
      </c>
      <c r="B978" s="98"/>
      <c r="C978" s="94"/>
      <c r="D978" s="94"/>
      <c r="E978" s="94"/>
      <c r="F978" s="94"/>
      <c r="G978" s="94"/>
      <c r="H978" s="94"/>
      <c r="I978" s="94"/>
      <c r="J978" s="94"/>
      <c r="K978" s="94"/>
      <c r="L978" s="94"/>
      <c r="M978" s="94"/>
      <c r="N978" s="94"/>
      <c r="O978" s="94"/>
      <c r="P978" s="94"/>
      <c r="Q978" s="94"/>
      <c r="R978" s="94"/>
      <c r="S978" s="94"/>
      <c r="T978" s="94"/>
      <c r="U978" s="94"/>
      <c r="V978" s="94"/>
      <c r="W978" s="94"/>
      <c r="X978" s="94"/>
      <c r="Y978" s="94"/>
      <c r="Z978" s="94"/>
      <c r="AA978" s="94"/>
      <c r="AB978" s="94"/>
      <c r="AC978" s="94"/>
      <c r="AD978" s="94"/>
      <c r="AE978" s="94"/>
      <c r="AF978" s="94"/>
      <c r="AG978" s="94"/>
      <c r="AH978" s="94"/>
      <c r="AI978" s="94"/>
      <c r="AJ978" s="94"/>
      <c r="AK978" s="94"/>
      <c r="AL978" s="94"/>
      <c r="AM978" s="94"/>
      <c r="AN978" s="94"/>
      <c r="AO978" s="94"/>
      <c r="AP978" s="94"/>
      <c r="AQ978" s="94"/>
      <c r="AR978" s="94"/>
      <c r="AS978" s="94"/>
      <c r="AT978" s="94"/>
      <c r="AU978" s="94"/>
      <c r="AV978" s="94"/>
      <c r="AW978" s="94"/>
      <c r="AX978" s="94"/>
      <c r="AY978" s="94"/>
      <c r="AZ978" s="94"/>
      <c r="BA978" s="95"/>
    </row>
    <row r="979" spans="1:53" s="87" customFormat="1">
      <c r="A979" s="90" t="str">
        <f t="shared" si="40"/>
        <v/>
      </c>
      <c r="B979" s="98"/>
      <c r="C979" s="94"/>
      <c r="D979" s="94"/>
      <c r="E979" s="94"/>
      <c r="F979" s="94"/>
      <c r="G979" s="94"/>
      <c r="H979" s="94"/>
      <c r="I979" s="94"/>
      <c r="J979" s="94"/>
      <c r="K979" s="94"/>
      <c r="L979" s="94"/>
      <c r="M979" s="94"/>
      <c r="N979" s="94"/>
      <c r="O979" s="94"/>
      <c r="P979" s="94"/>
      <c r="Q979" s="94"/>
      <c r="R979" s="94"/>
      <c r="S979" s="94"/>
      <c r="T979" s="94"/>
      <c r="U979" s="94"/>
      <c r="V979" s="94"/>
      <c r="W979" s="94"/>
      <c r="X979" s="94"/>
      <c r="Y979" s="94"/>
      <c r="Z979" s="94"/>
      <c r="AA979" s="94"/>
      <c r="AB979" s="94"/>
      <c r="AC979" s="94"/>
      <c r="AD979" s="94"/>
      <c r="AE979" s="94"/>
      <c r="AF979" s="94"/>
      <c r="AG979" s="94"/>
      <c r="AH979" s="94"/>
      <c r="AI979" s="94"/>
      <c r="AJ979" s="94"/>
      <c r="AK979" s="94"/>
      <c r="AL979" s="94"/>
      <c r="AM979" s="94"/>
      <c r="AN979" s="94"/>
      <c r="AO979" s="94"/>
      <c r="AP979" s="94"/>
      <c r="AQ979" s="94"/>
      <c r="AR979" s="94"/>
      <c r="AS979" s="94"/>
      <c r="AT979" s="94"/>
      <c r="AU979" s="94"/>
      <c r="AV979" s="94"/>
      <c r="AW979" s="94"/>
      <c r="AX979" s="94"/>
      <c r="AY979" s="94"/>
      <c r="AZ979" s="94"/>
      <c r="BA979" s="95"/>
    </row>
    <row r="980" spans="1:53" s="87" customFormat="1">
      <c r="A980" s="90" t="str">
        <f t="shared" si="40"/>
        <v/>
      </c>
      <c r="B980" s="98"/>
      <c r="C980" s="94"/>
      <c r="D980" s="94"/>
      <c r="E980" s="94"/>
      <c r="F980" s="94"/>
      <c r="G980" s="94"/>
      <c r="H980" s="94"/>
      <c r="I980" s="94"/>
      <c r="J980" s="94"/>
      <c r="K980" s="94"/>
      <c r="L980" s="94"/>
      <c r="M980" s="94"/>
      <c r="N980" s="94"/>
      <c r="O980" s="94"/>
      <c r="P980" s="94"/>
      <c r="Q980" s="94"/>
      <c r="R980" s="94"/>
      <c r="S980" s="94"/>
      <c r="T980" s="94"/>
      <c r="U980" s="94"/>
      <c r="V980" s="94"/>
      <c r="W980" s="94"/>
      <c r="X980" s="94"/>
      <c r="Y980" s="94"/>
      <c r="Z980" s="94"/>
      <c r="AA980" s="94"/>
      <c r="AB980" s="94"/>
      <c r="AC980" s="94"/>
      <c r="AD980" s="94"/>
      <c r="AE980" s="94"/>
      <c r="AF980" s="94"/>
      <c r="AG980" s="94"/>
      <c r="AH980" s="94"/>
      <c r="AI980" s="94"/>
      <c r="AJ980" s="94"/>
      <c r="AK980" s="94"/>
      <c r="AL980" s="94"/>
      <c r="AM980" s="94"/>
      <c r="AN980" s="94"/>
      <c r="AO980" s="94"/>
      <c r="AP980" s="94"/>
      <c r="AQ980" s="94"/>
      <c r="AR980" s="94"/>
      <c r="AS980" s="94"/>
      <c r="AT980" s="94"/>
      <c r="AU980" s="94"/>
      <c r="AV980" s="94"/>
      <c r="AW980" s="94"/>
      <c r="AX980" s="94"/>
      <c r="AY980" s="94"/>
      <c r="AZ980" s="94"/>
      <c r="BA980" s="95"/>
    </row>
    <row r="981" spans="1:53" s="87" customFormat="1">
      <c r="A981" s="90" t="str">
        <f t="shared" si="40"/>
        <v/>
      </c>
      <c r="B981" s="98"/>
      <c r="C981" s="94"/>
      <c r="D981" s="94"/>
      <c r="E981" s="94"/>
      <c r="F981" s="94"/>
      <c r="G981" s="94"/>
      <c r="H981" s="94"/>
      <c r="I981" s="94"/>
      <c r="J981" s="94"/>
      <c r="K981" s="94"/>
      <c r="L981" s="94"/>
      <c r="M981" s="94"/>
      <c r="N981" s="94"/>
      <c r="O981" s="94"/>
      <c r="P981" s="94"/>
      <c r="Q981" s="94"/>
      <c r="R981" s="94"/>
      <c r="S981" s="94"/>
      <c r="T981" s="94"/>
      <c r="U981" s="94"/>
      <c r="V981" s="94"/>
      <c r="W981" s="94"/>
      <c r="X981" s="94"/>
      <c r="Y981" s="94"/>
      <c r="Z981" s="94"/>
      <c r="AA981" s="94"/>
      <c r="AB981" s="94"/>
      <c r="AC981" s="94"/>
      <c r="AD981" s="94"/>
      <c r="AE981" s="94"/>
      <c r="AF981" s="94"/>
      <c r="AG981" s="94"/>
      <c r="AH981" s="94"/>
      <c r="AI981" s="94"/>
      <c r="AJ981" s="94"/>
      <c r="AK981" s="94"/>
      <c r="AL981" s="94"/>
      <c r="AM981" s="94"/>
      <c r="AN981" s="94"/>
      <c r="AO981" s="94"/>
      <c r="AP981" s="94"/>
      <c r="AQ981" s="94"/>
      <c r="AR981" s="94"/>
      <c r="AS981" s="94"/>
      <c r="AT981" s="94"/>
      <c r="AU981" s="94"/>
      <c r="AV981" s="94"/>
      <c r="AW981" s="94"/>
      <c r="AX981" s="94"/>
      <c r="AY981" s="94"/>
      <c r="AZ981" s="94"/>
      <c r="BA981" s="95"/>
    </row>
    <row r="982" spans="1:53" s="87" customFormat="1">
      <c r="A982" s="90" t="str">
        <f t="shared" si="40"/>
        <v/>
      </c>
      <c r="B982" s="98"/>
      <c r="C982" s="94"/>
      <c r="D982" s="94"/>
      <c r="E982" s="94"/>
      <c r="F982" s="94"/>
      <c r="G982" s="94"/>
      <c r="H982" s="94"/>
      <c r="I982" s="94"/>
      <c r="J982" s="94"/>
      <c r="K982" s="94"/>
      <c r="L982" s="94"/>
      <c r="M982" s="94"/>
      <c r="N982" s="94"/>
      <c r="O982" s="94"/>
      <c r="P982" s="94"/>
      <c r="Q982" s="94"/>
      <c r="R982" s="94"/>
      <c r="S982" s="94"/>
      <c r="T982" s="94"/>
      <c r="U982" s="94"/>
      <c r="V982" s="94"/>
      <c r="W982" s="94"/>
      <c r="X982" s="94"/>
      <c r="Y982" s="94"/>
      <c r="Z982" s="94"/>
      <c r="AA982" s="94"/>
      <c r="AB982" s="94"/>
      <c r="AC982" s="94"/>
      <c r="AD982" s="94"/>
      <c r="AE982" s="94"/>
      <c r="AF982" s="94"/>
      <c r="AG982" s="94"/>
      <c r="AH982" s="94"/>
      <c r="AI982" s="94"/>
      <c r="AJ982" s="94"/>
      <c r="AK982" s="94"/>
      <c r="AL982" s="94"/>
      <c r="AM982" s="94"/>
      <c r="AN982" s="94"/>
      <c r="AO982" s="94"/>
      <c r="AP982" s="94"/>
      <c r="AQ982" s="94"/>
      <c r="AR982" s="94"/>
      <c r="AS982" s="94"/>
      <c r="AT982" s="94"/>
      <c r="AU982" s="94"/>
      <c r="AV982" s="94"/>
      <c r="AW982" s="94"/>
      <c r="AX982" s="94"/>
      <c r="AY982" s="94"/>
      <c r="AZ982" s="94"/>
      <c r="BA982" s="95"/>
    </row>
    <row r="983" spans="1:53" s="87" customFormat="1">
      <c r="A983" s="90" t="str">
        <f t="shared" si="40"/>
        <v/>
      </c>
      <c r="B983" s="98"/>
      <c r="C983" s="94"/>
      <c r="D983" s="94"/>
      <c r="E983" s="94"/>
      <c r="F983" s="94"/>
      <c r="G983" s="94"/>
      <c r="H983" s="94"/>
      <c r="I983" s="94"/>
      <c r="J983" s="94"/>
      <c r="K983" s="94"/>
      <c r="L983" s="94"/>
      <c r="M983" s="94"/>
      <c r="N983" s="94"/>
      <c r="O983" s="94"/>
      <c r="P983" s="94"/>
      <c r="Q983" s="94"/>
      <c r="R983" s="94"/>
      <c r="S983" s="94"/>
      <c r="T983" s="94"/>
      <c r="U983" s="94"/>
      <c r="V983" s="94"/>
      <c r="W983" s="94"/>
      <c r="X983" s="94"/>
      <c r="Y983" s="94"/>
      <c r="Z983" s="94"/>
      <c r="AA983" s="94"/>
      <c r="AB983" s="94"/>
      <c r="AC983" s="94"/>
      <c r="AD983" s="94"/>
      <c r="AE983" s="94"/>
      <c r="AF983" s="94"/>
      <c r="AG983" s="94"/>
      <c r="AH983" s="94"/>
      <c r="AI983" s="94"/>
      <c r="AJ983" s="94"/>
      <c r="AK983" s="94"/>
      <c r="AL983" s="94"/>
      <c r="AM983" s="94"/>
      <c r="AN983" s="94"/>
      <c r="AO983" s="94"/>
      <c r="AP983" s="94"/>
      <c r="AQ983" s="94"/>
      <c r="AR983" s="94"/>
      <c r="AS983" s="94"/>
      <c r="AT983" s="94"/>
      <c r="AU983" s="94"/>
      <c r="AV983" s="94"/>
      <c r="AW983" s="94"/>
      <c r="AX983" s="94"/>
      <c r="AY983" s="94"/>
      <c r="AZ983" s="94"/>
      <c r="BA983" s="95"/>
    </row>
    <row r="984" spans="1:53" s="87" customFormat="1">
      <c r="A984" s="90" t="str">
        <f t="shared" si="40"/>
        <v/>
      </c>
      <c r="B984" s="98"/>
      <c r="C984" s="94"/>
      <c r="D984" s="94"/>
      <c r="E984" s="94"/>
      <c r="F984" s="94"/>
      <c r="G984" s="94"/>
      <c r="H984" s="94"/>
      <c r="I984" s="94"/>
      <c r="J984" s="94"/>
      <c r="K984" s="94"/>
      <c r="L984" s="94"/>
      <c r="M984" s="94"/>
      <c r="N984" s="94"/>
      <c r="O984" s="94"/>
      <c r="P984" s="94"/>
      <c r="Q984" s="94"/>
      <c r="R984" s="94"/>
      <c r="S984" s="94"/>
      <c r="T984" s="94"/>
      <c r="U984" s="94"/>
      <c r="V984" s="94"/>
      <c r="W984" s="94"/>
      <c r="X984" s="94"/>
      <c r="Y984" s="94"/>
      <c r="Z984" s="94"/>
      <c r="AA984" s="94"/>
      <c r="AB984" s="94"/>
      <c r="AC984" s="94"/>
      <c r="AD984" s="94"/>
      <c r="AE984" s="94"/>
      <c r="AF984" s="94"/>
      <c r="AG984" s="94"/>
      <c r="AH984" s="94"/>
      <c r="AI984" s="94"/>
      <c r="AJ984" s="94"/>
      <c r="AK984" s="94"/>
      <c r="AL984" s="94"/>
      <c r="AM984" s="94"/>
      <c r="AN984" s="94"/>
      <c r="AO984" s="94"/>
      <c r="AP984" s="94"/>
      <c r="AQ984" s="94"/>
      <c r="AR984" s="94"/>
      <c r="AS984" s="94"/>
      <c r="AT984" s="94"/>
      <c r="AU984" s="94"/>
      <c r="AV984" s="94"/>
      <c r="AW984" s="94"/>
      <c r="AX984" s="94"/>
      <c r="AY984" s="94"/>
      <c r="AZ984" s="94"/>
      <c r="BA984" s="95"/>
    </row>
    <row r="985" spans="1:53" s="87" customFormat="1">
      <c r="A985" s="90" t="str">
        <f t="shared" si="40"/>
        <v/>
      </c>
      <c r="B985" s="98"/>
      <c r="C985" s="94"/>
      <c r="D985" s="94"/>
      <c r="E985" s="94"/>
      <c r="F985" s="94"/>
      <c r="G985" s="94"/>
      <c r="H985" s="94"/>
      <c r="I985" s="94"/>
      <c r="J985" s="94"/>
      <c r="K985" s="94"/>
      <c r="L985" s="94"/>
      <c r="M985" s="94"/>
      <c r="N985" s="94"/>
      <c r="O985" s="94"/>
      <c r="P985" s="94"/>
      <c r="Q985" s="94"/>
      <c r="R985" s="94"/>
      <c r="S985" s="94"/>
      <c r="T985" s="94"/>
      <c r="U985" s="94"/>
      <c r="V985" s="94"/>
      <c r="W985" s="94"/>
      <c r="X985" s="94"/>
      <c r="Y985" s="94"/>
      <c r="Z985" s="94"/>
      <c r="AA985" s="94"/>
      <c r="AB985" s="94"/>
      <c r="AC985" s="94"/>
      <c r="AD985" s="94"/>
      <c r="AE985" s="94"/>
      <c r="AF985" s="94"/>
      <c r="AG985" s="94"/>
      <c r="AH985" s="94"/>
      <c r="AI985" s="94"/>
      <c r="AJ985" s="94"/>
      <c r="AK985" s="94"/>
      <c r="AL985" s="94"/>
      <c r="AM985" s="94"/>
      <c r="AN985" s="94"/>
      <c r="AO985" s="94"/>
      <c r="AP985" s="94"/>
      <c r="AQ985" s="94"/>
      <c r="AR985" s="94"/>
      <c r="AS985" s="94"/>
      <c r="AT985" s="94"/>
      <c r="AU985" s="94"/>
      <c r="AV985" s="94"/>
      <c r="AW985" s="94"/>
      <c r="AX985" s="94"/>
      <c r="AY985" s="94"/>
      <c r="AZ985" s="94"/>
      <c r="BA985" s="95"/>
    </row>
    <row r="986" spans="1:53" s="87" customFormat="1">
      <c r="A986" s="90" t="str">
        <f t="shared" si="40"/>
        <v/>
      </c>
      <c r="B986" s="98"/>
      <c r="C986" s="94"/>
      <c r="D986" s="94"/>
      <c r="E986" s="94"/>
      <c r="F986" s="94"/>
      <c r="G986" s="94"/>
      <c r="H986" s="94"/>
      <c r="I986" s="94"/>
      <c r="J986" s="94"/>
      <c r="K986" s="94"/>
      <c r="L986" s="94"/>
      <c r="M986" s="94"/>
      <c r="N986" s="94"/>
      <c r="O986" s="94"/>
      <c r="P986" s="94"/>
      <c r="Q986" s="94"/>
      <c r="R986" s="94"/>
      <c r="S986" s="94"/>
      <c r="T986" s="94"/>
      <c r="U986" s="94"/>
      <c r="V986" s="94"/>
      <c r="W986" s="94"/>
      <c r="X986" s="94"/>
      <c r="Y986" s="94"/>
      <c r="Z986" s="94"/>
      <c r="AA986" s="94"/>
      <c r="AB986" s="94"/>
      <c r="AC986" s="94"/>
      <c r="AD986" s="94"/>
      <c r="AE986" s="94"/>
      <c r="AF986" s="94"/>
      <c r="AG986" s="94"/>
      <c r="AH986" s="94"/>
      <c r="AI986" s="94"/>
      <c r="AJ986" s="94"/>
      <c r="AK986" s="94"/>
      <c r="AL986" s="94"/>
      <c r="AM986" s="94"/>
      <c r="AN986" s="94"/>
      <c r="AO986" s="94"/>
      <c r="AP986" s="94"/>
      <c r="AQ986" s="94"/>
      <c r="AR986" s="94"/>
      <c r="AS986" s="94"/>
      <c r="AT986" s="94"/>
      <c r="AU986" s="94"/>
      <c r="AV986" s="94"/>
      <c r="AW986" s="94"/>
      <c r="AX986" s="94"/>
      <c r="AY986" s="94"/>
      <c r="AZ986" s="94"/>
      <c r="BA986" s="95"/>
    </row>
    <row r="987" spans="1:53" s="87" customFormat="1">
      <c r="A987" s="90" t="str">
        <f t="shared" si="40"/>
        <v/>
      </c>
      <c r="B987" s="98"/>
      <c r="C987" s="94"/>
      <c r="D987" s="94"/>
      <c r="E987" s="94"/>
      <c r="F987" s="94"/>
      <c r="G987" s="94"/>
      <c r="H987" s="94"/>
      <c r="I987" s="94"/>
      <c r="J987" s="94"/>
      <c r="K987" s="94"/>
      <c r="L987" s="94"/>
      <c r="M987" s="94"/>
      <c r="N987" s="94"/>
      <c r="O987" s="94"/>
      <c r="P987" s="94"/>
      <c r="Q987" s="94"/>
      <c r="R987" s="94"/>
      <c r="S987" s="94"/>
      <c r="T987" s="94"/>
      <c r="U987" s="94"/>
      <c r="V987" s="94"/>
      <c r="W987" s="94"/>
      <c r="X987" s="94"/>
      <c r="Y987" s="94"/>
      <c r="Z987" s="94"/>
      <c r="AA987" s="94"/>
      <c r="AB987" s="94"/>
      <c r="AC987" s="94"/>
      <c r="AD987" s="94"/>
      <c r="AE987" s="94"/>
      <c r="AF987" s="94"/>
      <c r="AG987" s="94"/>
      <c r="AH987" s="94"/>
      <c r="AI987" s="94"/>
      <c r="AJ987" s="94"/>
      <c r="AK987" s="94"/>
      <c r="AL987" s="94"/>
      <c r="AM987" s="94"/>
      <c r="AN987" s="94"/>
      <c r="AO987" s="94"/>
      <c r="AP987" s="94"/>
      <c r="AQ987" s="94"/>
      <c r="AR987" s="94"/>
      <c r="AS987" s="94"/>
      <c r="AT987" s="94"/>
      <c r="AU987" s="94"/>
      <c r="AV987" s="94"/>
      <c r="AW987" s="94"/>
      <c r="AX987" s="94"/>
      <c r="AY987" s="94"/>
      <c r="AZ987" s="94"/>
      <c r="BA987" s="95"/>
    </row>
    <row r="988" spans="1:53" s="87" customFormat="1">
      <c r="A988" s="90" t="str">
        <f t="shared" si="40"/>
        <v/>
      </c>
      <c r="B988" s="98"/>
      <c r="C988" s="94"/>
      <c r="D988" s="94"/>
      <c r="E988" s="94"/>
      <c r="F988" s="94"/>
      <c r="G988" s="94"/>
      <c r="H988" s="94"/>
      <c r="I988" s="94"/>
      <c r="J988" s="94"/>
      <c r="K988" s="94"/>
      <c r="L988" s="94"/>
      <c r="M988" s="94"/>
      <c r="N988" s="94"/>
      <c r="O988" s="94"/>
      <c r="P988" s="94"/>
      <c r="Q988" s="94"/>
      <c r="R988" s="94"/>
      <c r="S988" s="94"/>
      <c r="T988" s="94"/>
      <c r="U988" s="94"/>
      <c r="V988" s="94"/>
      <c r="W988" s="94"/>
      <c r="X988" s="94"/>
      <c r="Y988" s="94"/>
      <c r="Z988" s="94"/>
      <c r="AA988" s="94"/>
      <c r="AB988" s="94"/>
      <c r="AC988" s="94"/>
      <c r="AD988" s="94"/>
      <c r="AE988" s="94"/>
      <c r="AF988" s="94"/>
      <c r="AG988" s="94"/>
      <c r="AH988" s="94"/>
      <c r="AI988" s="94"/>
      <c r="AJ988" s="94"/>
      <c r="AK988" s="94"/>
      <c r="AL988" s="94"/>
      <c r="AM988" s="94"/>
      <c r="AN988" s="94"/>
      <c r="AO988" s="94"/>
      <c r="AP988" s="94"/>
      <c r="AQ988" s="94"/>
      <c r="AR988" s="94"/>
      <c r="AS988" s="94"/>
      <c r="AT988" s="94"/>
      <c r="AU988" s="94"/>
      <c r="AV988" s="94"/>
      <c r="AW988" s="94"/>
      <c r="AX988" s="94"/>
      <c r="AY988" s="94"/>
      <c r="AZ988" s="94"/>
      <c r="BA988" s="95"/>
    </row>
    <row r="989" spans="1:53" s="87" customFormat="1">
      <c r="A989" s="90" t="str">
        <f t="shared" si="40"/>
        <v/>
      </c>
      <c r="B989" s="98"/>
      <c r="C989" s="94"/>
      <c r="D989" s="94"/>
      <c r="E989" s="94"/>
      <c r="F989" s="94"/>
      <c r="G989" s="94"/>
      <c r="H989" s="94"/>
      <c r="I989" s="94"/>
      <c r="J989" s="94"/>
      <c r="K989" s="94"/>
      <c r="L989" s="94"/>
      <c r="M989" s="94"/>
      <c r="N989" s="94"/>
      <c r="O989" s="94"/>
      <c r="P989" s="94"/>
      <c r="Q989" s="94"/>
      <c r="R989" s="94"/>
      <c r="S989" s="94"/>
      <c r="T989" s="94"/>
      <c r="U989" s="94"/>
      <c r="V989" s="94"/>
      <c r="W989" s="94"/>
      <c r="X989" s="94"/>
      <c r="Y989" s="94"/>
      <c r="Z989" s="94"/>
      <c r="AA989" s="94"/>
      <c r="AB989" s="94"/>
      <c r="AC989" s="94"/>
      <c r="AD989" s="94"/>
      <c r="AE989" s="94"/>
      <c r="AF989" s="94"/>
      <c r="AG989" s="94"/>
      <c r="AH989" s="94"/>
      <c r="AI989" s="94"/>
      <c r="AJ989" s="94"/>
      <c r="AK989" s="94"/>
      <c r="AL989" s="94"/>
      <c r="AM989" s="94"/>
      <c r="AN989" s="94"/>
      <c r="AO989" s="94"/>
      <c r="AP989" s="94"/>
      <c r="AQ989" s="94"/>
      <c r="AR989" s="94"/>
      <c r="AS989" s="94"/>
      <c r="AT989" s="94"/>
      <c r="AU989" s="94"/>
      <c r="AV989" s="94"/>
      <c r="AW989" s="94"/>
      <c r="AX989" s="94"/>
      <c r="AY989" s="94"/>
      <c r="AZ989" s="94"/>
      <c r="BA989" s="95"/>
    </row>
    <row r="990" spans="1:53" s="87" customFormat="1">
      <c r="A990" s="90" t="str">
        <f t="shared" si="40"/>
        <v/>
      </c>
      <c r="B990" s="98"/>
      <c r="C990" s="94"/>
      <c r="D990" s="94"/>
      <c r="E990" s="94"/>
      <c r="F990" s="94"/>
      <c r="G990" s="94"/>
      <c r="H990" s="94"/>
      <c r="I990" s="94"/>
      <c r="J990" s="94"/>
      <c r="K990" s="94"/>
      <c r="L990" s="94"/>
      <c r="M990" s="94"/>
      <c r="N990" s="94"/>
      <c r="O990" s="94"/>
      <c r="P990" s="94"/>
      <c r="Q990" s="94"/>
      <c r="R990" s="94"/>
      <c r="S990" s="94"/>
      <c r="T990" s="94"/>
      <c r="U990" s="94"/>
      <c r="V990" s="94"/>
      <c r="W990" s="94"/>
      <c r="X990" s="94"/>
      <c r="Y990" s="94"/>
      <c r="Z990" s="94"/>
      <c r="AA990" s="94"/>
      <c r="AB990" s="94"/>
      <c r="AC990" s="94"/>
      <c r="AD990" s="94"/>
      <c r="AE990" s="94"/>
      <c r="AF990" s="94"/>
      <c r="AG990" s="94"/>
      <c r="AH990" s="94"/>
      <c r="AI990" s="94"/>
      <c r="AJ990" s="94"/>
      <c r="AK990" s="94"/>
      <c r="AL990" s="94"/>
      <c r="AM990" s="94"/>
      <c r="AN990" s="94"/>
      <c r="AO990" s="94"/>
      <c r="AP990" s="94"/>
      <c r="AQ990" s="94"/>
      <c r="AR990" s="94"/>
      <c r="AS990" s="94"/>
      <c r="AT990" s="94"/>
      <c r="AU990" s="94"/>
      <c r="AV990" s="94"/>
      <c r="AW990" s="94"/>
      <c r="AX990" s="94"/>
      <c r="AY990" s="94"/>
      <c r="AZ990" s="94"/>
      <c r="BA990" s="95"/>
    </row>
    <row r="991" spans="1:53" s="87" customFormat="1">
      <c r="A991" s="90" t="str">
        <f t="shared" si="40"/>
        <v/>
      </c>
      <c r="B991" s="98"/>
      <c r="C991" s="94"/>
      <c r="D991" s="94"/>
      <c r="E991" s="94"/>
      <c r="F991" s="94"/>
      <c r="G991" s="94"/>
      <c r="H991" s="94"/>
      <c r="I991" s="94"/>
      <c r="J991" s="94"/>
      <c r="K991" s="94"/>
      <c r="L991" s="94"/>
      <c r="M991" s="94"/>
      <c r="N991" s="94"/>
      <c r="O991" s="94"/>
      <c r="P991" s="94"/>
      <c r="Q991" s="94"/>
      <c r="R991" s="94"/>
      <c r="S991" s="94"/>
      <c r="T991" s="94"/>
      <c r="U991" s="94"/>
      <c r="V991" s="94"/>
      <c r="W991" s="94"/>
      <c r="X991" s="94"/>
      <c r="Y991" s="94"/>
      <c r="Z991" s="94"/>
      <c r="AA991" s="94"/>
      <c r="AB991" s="94"/>
      <c r="AC991" s="94"/>
      <c r="AD991" s="94"/>
      <c r="AE991" s="94"/>
      <c r="AF991" s="94"/>
      <c r="AG991" s="94"/>
      <c r="AH991" s="94"/>
      <c r="AI991" s="94"/>
      <c r="AJ991" s="94"/>
      <c r="AK991" s="94"/>
      <c r="AL991" s="94"/>
      <c r="AM991" s="94"/>
      <c r="AN991" s="94"/>
      <c r="AO991" s="94"/>
      <c r="AP991" s="94"/>
      <c r="AQ991" s="94"/>
      <c r="AR991" s="94"/>
      <c r="AS991" s="94"/>
      <c r="AT991" s="94"/>
      <c r="AU991" s="94"/>
      <c r="AV991" s="94"/>
      <c r="AW991" s="94"/>
      <c r="AX991" s="94"/>
      <c r="AY991" s="94"/>
      <c r="AZ991" s="94"/>
      <c r="BA991" s="95"/>
    </row>
    <row r="992" spans="1:53" s="87" customFormat="1">
      <c r="A992" s="90" t="str">
        <f t="shared" si="40"/>
        <v/>
      </c>
      <c r="B992" s="98"/>
      <c r="C992" s="94"/>
      <c r="D992" s="94"/>
      <c r="E992" s="94"/>
      <c r="F992" s="94"/>
      <c r="G992" s="94"/>
      <c r="H992" s="94"/>
      <c r="I992" s="94"/>
      <c r="J992" s="94"/>
      <c r="K992" s="94"/>
      <c r="L992" s="94"/>
      <c r="M992" s="94"/>
      <c r="N992" s="94"/>
      <c r="O992" s="94"/>
      <c r="P992" s="94"/>
      <c r="Q992" s="94"/>
      <c r="R992" s="94"/>
      <c r="S992" s="94"/>
      <c r="T992" s="94"/>
      <c r="U992" s="94"/>
      <c r="V992" s="94"/>
      <c r="W992" s="94"/>
      <c r="X992" s="94"/>
      <c r="Y992" s="94"/>
      <c r="Z992" s="94"/>
      <c r="AA992" s="94"/>
      <c r="AB992" s="94"/>
      <c r="AC992" s="94"/>
      <c r="AD992" s="94"/>
      <c r="AE992" s="94"/>
      <c r="AF992" s="94"/>
      <c r="AG992" s="94"/>
      <c r="AH992" s="94"/>
      <c r="AI992" s="94"/>
      <c r="AJ992" s="94"/>
      <c r="AK992" s="94"/>
      <c r="AL992" s="94"/>
      <c r="AM992" s="94"/>
      <c r="AN992" s="94"/>
      <c r="AO992" s="94"/>
      <c r="AP992" s="94"/>
      <c r="AQ992" s="94"/>
      <c r="AR992" s="94"/>
      <c r="AS992" s="94"/>
      <c r="AT992" s="94"/>
      <c r="AU992" s="94"/>
      <c r="AV992" s="94"/>
      <c r="AW992" s="94"/>
      <c r="AX992" s="94"/>
      <c r="AY992" s="94"/>
      <c r="AZ992" s="94"/>
      <c r="BA992" s="95"/>
    </row>
    <row r="993" spans="1:53" s="87" customFormat="1">
      <c r="A993" s="90" t="str">
        <f t="shared" si="40"/>
        <v/>
      </c>
      <c r="B993" s="98"/>
      <c r="C993" s="94"/>
      <c r="D993" s="94"/>
      <c r="E993" s="94"/>
      <c r="F993" s="94"/>
      <c r="G993" s="94"/>
      <c r="H993" s="94"/>
      <c r="I993" s="94"/>
      <c r="J993" s="94"/>
      <c r="K993" s="94"/>
      <c r="L993" s="94"/>
      <c r="M993" s="94"/>
      <c r="N993" s="94"/>
      <c r="O993" s="94"/>
      <c r="P993" s="94"/>
      <c r="Q993" s="94"/>
      <c r="R993" s="94"/>
      <c r="S993" s="94"/>
      <c r="T993" s="94"/>
      <c r="U993" s="94"/>
      <c r="V993" s="94"/>
      <c r="W993" s="94"/>
      <c r="X993" s="94"/>
      <c r="Y993" s="94"/>
      <c r="Z993" s="94"/>
      <c r="AA993" s="94"/>
      <c r="AB993" s="94"/>
      <c r="AC993" s="94"/>
      <c r="AD993" s="94"/>
      <c r="AE993" s="94"/>
      <c r="AF993" s="94"/>
      <c r="AG993" s="94"/>
      <c r="AH993" s="94"/>
      <c r="AI993" s="94"/>
      <c r="AJ993" s="94"/>
      <c r="AK993" s="94"/>
      <c r="AL993" s="94"/>
      <c r="AM993" s="94"/>
      <c r="AN993" s="94"/>
      <c r="AO993" s="94"/>
      <c r="AP993" s="94"/>
      <c r="AQ993" s="94"/>
      <c r="AR993" s="94"/>
      <c r="AS993" s="94"/>
      <c r="AT993" s="94"/>
      <c r="AU993" s="94"/>
      <c r="AV993" s="94"/>
      <c r="AW993" s="94"/>
      <c r="AX993" s="94"/>
      <c r="AY993" s="94"/>
      <c r="AZ993" s="94"/>
      <c r="BA993" s="95"/>
    </row>
    <row r="994" spans="1:53" s="87" customFormat="1">
      <c r="A994" s="90" t="str">
        <f t="shared" si="40"/>
        <v/>
      </c>
      <c r="B994" s="98"/>
      <c r="C994" s="94"/>
      <c r="D994" s="94"/>
      <c r="E994" s="94"/>
      <c r="F994" s="94"/>
      <c r="G994" s="94"/>
      <c r="H994" s="94"/>
      <c r="I994" s="94"/>
      <c r="J994" s="94"/>
      <c r="K994" s="94"/>
      <c r="L994" s="94"/>
      <c r="M994" s="94"/>
      <c r="N994" s="94"/>
      <c r="O994" s="94"/>
      <c r="P994" s="94"/>
      <c r="Q994" s="94"/>
      <c r="R994" s="94"/>
      <c r="S994" s="94"/>
      <c r="T994" s="94"/>
      <c r="U994" s="94"/>
      <c r="V994" s="94"/>
      <c r="W994" s="94"/>
      <c r="X994" s="94"/>
      <c r="Y994" s="94"/>
      <c r="Z994" s="94"/>
      <c r="AA994" s="94"/>
      <c r="AB994" s="94"/>
      <c r="AC994" s="94"/>
      <c r="AD994" s="94"/>
      <c r="AE994" s="94"/>
      <c r="AF994" s="94"/>
      <c r="AG994" s="94"/>
      <c r="AH994" s="94"/>
      <c r="AI994" s="94"/>
      <c r="AJ994" s="94"/>
      <c r="AK994" s="94"/>
      <c r="AL994" s="94"/>
      <c r="AM994" s="94"/>
      <c r="AN994" s="94"/>
      <c r="AO994" s="94"/>
      <c r="AP994" s="94"/>
      <c r="AQ994" s="94"/>
      <c r="AR994" s="94"/>
      <c r="AS994" s="94"/>
      <c r="AT994" s="94"/>
      <c r="AU994" s="94"/>
      <c r="AV994" s="94"/>
      <c r="AW994" s="94"/>
      <c r="AX994" s="94"/>
      <c r="AY994" s="94"/>
      <c r="AZ994" s="94"/>
      <c r="BA994" s="95"/>
    </row>
    <row r="995" spans="1:53" s="87" customFormat="1">
      <c r="A995" s="90" t="str">
        <f t="shared" si="40"/>
        <v/>
      </c>
      <c r="B995" s="98"/>
      <c r="C995" s="94"/>
      <c r="D995" s="94"/>
      <c r="E995" s="94"/>
      <c r="F995" s="94"/>
      <c r="G995" s="94"/>
      <c r="H995" s="94"/>
      <c r="I995" s="94"/>
      <c r="J995" s="94"/>
      <c r="K995" s="94"/>
      <c r="L995" s="94"/>
      <c r="M995" s="94"/>
      <c r="N995" s="94"/>
      <c r="O995" s="94"/>
      <c r="P995" s="94"/>
      <c r="Q995" s="94"/>
      <c r="R995" s="94"/>
      <c r="S995" s="94"/>
      <c r="T995" s="94"/>
      <c r="U995" s="94"/>
      <c r="V995" s="94"/>
      <c r="W995" s="94"/>
      <c r="X995" s="94"/>
      <c r="Y995" s="94"/>
      <c r="Z995" s="94"/>
      <c r="AA995" s="94"/>
      <c r="AB995" s="94"/>
      <c r="AC995" s="94"/>
      <c r="AD995" s="94"/>
      <c r="AE995" s="94"/>
      <c r="AF995" s="94"/>
      <c r="AG995" s="94"/>
      <c r="AH995" s="94"/>
      <c r="AI995" s="94"/>
      <c r="AJ995" s="94"/>
      <c r="AK995" s="94"/>
      <c r="AL995" s="94"/>
      <c r="AM995" s="94"/>
      <c r="AN995" s="94"/>
      <c r="AO995" s="94"/>
      <c r="AP995" s="94"/>
      <c r="AQ995" s="94"/>
      <c r="AR995" s="94"/>
      <c r="AS995" s="94"/>
      <c r="AT995" s="94"/>
      <c r="AU995" s="94"/>
      <c r="AV995" s="94"/>
      <c r="AW995" s="94"/>
      <c r="AX995" s="94"/>
      <c r="AY995" s="94"/>
      <c r="AZ995" s="94"/>
      <c r="BA995" s="95"/>
    </row>
    <row r="996" spans="1:53" s="87" customFormat="1">
      <c r="A996" s="90" t="str">
        <f t="shared" si="40"/>
        <v/>
      </c>
      <c r="B996" s="98"/>
      <c r="C996" s="94"/>
      <c r="D996" s="94"/>
      <c r="E996" s="94"/>
      <c r="F996" s="94"/>
      <c r="G996" s="94"/>
      <c r="H996" s="94"/>
      <c r="I996" s="94"/>
      <c r="J996" s="94"/>
      <c r="K996" s="94"/>
      <c r="L996" s="94"/>
      <c r="M996" s="94"/>
      <c r="N996" s="94"/>
      <c r="O996" s="94"/>
      <c r="P996" s="94"/>
      <c r="Q996" s="94"/>
      <c r="R996" s="94"/>
      <c r="S996" s="94"/>
      <c r="T996" s="94"/>
      <c r="U996" s="94"/>
      <c r="V996" s="94"/>
      <c r="W996" s="94"/>
      <c r="X996" s="94"/>
      <c r="Y996" s="94"/>
      <c r="Z996" s="94"/>
      <c r="AA996" s="94"/>
      <c r="AB996" s="94"/>
      <c r="AC996" s="94"/>
      <c r="AD996" s="94"/>
      <c r="AE996" s="94"/>
      <c r="AF996" s="94"/>
      <c r="AG996" s="94"/>
      <c r="AH996" s="94"/>
      <c r="AI996" s="94"/>
      <c r="AJ996" s="94"/>
      <c r="AK996" s="94"/>
      <c r="AL996" s="94"/>
      <c r="AM996" s="94"/>
      <c r="AN996" s="94"/>
      <c r="AO996" s="94"/>
      <c r="AP996" s="94"/>
      <c r="AQ996" s="94"/>
      <c r="AR996" s="94"/>
      <c r="AS996" s="94"/>
      <c r="AT996" s="94"/>
      <c r="AU996" s="94"/>
      <c r="AV996" s="94"/>
      <c r="AW996" s="94"/>
      <c r="AX996" s="94"/>
      <c r="AY996" s="94"/>
      <c r="AZ996" s="94"/>
      <c r="BA996" s="95"/>
    </row>
    <row r="997" spans="1:53" s="87" customFormat="1">
      <c r="A997" s="90" t="str">
        <f t="shared" si="40"/>
        <v/>
      </c>
      <c r="B997" s="98"/>
      <c r="C997" s="94"/>
      <c r="D997" s="94"/>
      <c r="E997" s="94"/>
      <c r="F997" s="94"/>
      <c r="G997" s="94"/>
      <c r="H997" s="94"/>
      <c r="I997" s="94"/>
      <c r="J997" s="94"/>
      <c r="K997" s="94"/>
      <c r="L997" s="94"/>
      <c r="M997" s="94"/>
      <c r="N997" s="94"/>
      <c r="O997" s="94"/>
      <c r="P997" s="94"/>
      <c r="Q997" s="94"/>
      <c r="R997" s="94"/>
      <c r="S997" s="94"/>
      <c r="T997" s="94"/>
      <c r="U997" s="94"/>
      <c r="V997" s="94"/>
      <c r="W997" s="94"/>
      <c r="X997" s="94"/>
      <c r="Y997" s="94"/>
      <c r="Z997" s="94"/>
      <c r="AA997" s="94"/>
      <c r="AB997" s="94"/>
      <c r="AC997" s="94"/>
      <c r="AD997" s="94"/>
      <c r="AE997" s="94"/>
      <c r="AF997" s="94"/>
      <c r="AG997" s="94"/>
      <c r="AH997" s="94"/>
      <c r="AI997" s="94"/>
      <c r="AJ997" s="94"/>
      <c r="AK997" s="94"/>
      <c r="AL997" s="94"/>
      <c r="AM997" s="94"/>
      <c r="AN997" s="94"/>
      <c r="AO997" s="94"/>
      <c r="AP997" s="94"/>
      <c r="AQ997" s="94"/>
      <c r="AR997" s="94"/>
      <c r="AS997" s="94"/>
      <c r="AT997" s="94"/>
      <c r="AU997" s="94"/>
      <c r="AV997" s="94"/>
      <c r="AW997" s="94"/>
      <c r="AX997" s="94"/>
      <c r="AY997" s="94"/>
      <c r="AZ997" s="94"/>
      <c r="BA997" s="95"/>
    </row>
    <row r="998" spans="1:53" s="87" customFormat="1">
      <c r="A998" s="90" t="str">
        <f t="shared" si="40"/>
        <v/>
      </c>
      <c r="B998" s="98"/>
      <c r="C998" s="94"/>
      <c r="D998" s="94"/>
      <c r="E998" s="94"/>
      <c r="F998" s="94"/>
      <c r="G998" s="94"/>
      <c r="H998" s="94"/>
      <c r="I998" s="94"/>
      <c r="J998" s="94"/>
      <c r="K998" s="94"/>
      <c r="L998" s="94"/>
      <c r="M998" s="94"/>
      <c r="N998" s="94"/>
      <c r="O998" s="94"/>
      <c r="P998" s="94"/>
      <c r="Q998" s="94"/>
      <c r="R998" s="94"/>
      <c r="S998" s="94"/>
      <c r="T998" s="94"/>
      <c r="U998" s="94"/>
      <c r="V998" s="94"/>
      <c r="W998" s="94"/>
      <c r="X998" s="94"/>
      <c r="Y998" s="94"/>
      <c r="Z998" s="94"/>
      <c r="AA998" s="94"/>
      <c r="AB998" s="94"/>
      <c r="AC998" s="94"/>
      <c r="AD998" s="94"/>
      <c r="AE998" s="94"/>
      <c r="AF998" s="94"/>
      <c r="AG998" s="94"/>
      <c r="AH998" s="94"/>
      <c r="AI998" s="94"/>
      <c r="AJ998" s="94"/>
      <c r="AK998" s="94"/>
      <c r="AL998" s="94"/>
      <c r="AM998" s="94"/>
      <c r="AN998" s="94"/>
      <c r="AO998" s="94"/>
      <c r="AP998" s="94"/>
      <c r="AQ998" s="94"/>
      <c r="AR998" s="94"/>
      <c r="AS998" s="94"/>
      <c r="AT998" s="94"/>
      <c r="AU998" s="94"/>
      <c r="AV998" s="94"/>
      <c r="AW998" s="94"/>
      <c r="AX998" s="94"/>
      <c r="AY998" s="94"/>
      <c r="AZ998" s="94"/>
      <c r="BA998" s="95"/>
    </row>
    <row r="999" spans="1:53" s="87" customFormat="1">
      <c r="A999" s="90" t="str">
        <f t="shared" si="40"/>
        <v/>
      </c>
      <c r="B999" s="98"/>
      <c r="C999" s="94"/>
      <c r="D999" s="94"/>
      <c r="E999" s="94"/>
      <c r="F999" s="94"/>
      <c r="G999" s="94"/>
      <c r="H999" s="94"/>
      <c r="I999" s="94"/>
      <c r="J999" s="94"/>
      <c r="K999" s="94"/>
      <c r="L999" s="94"/>
      <c r="M999" s="94"/>
      <c r="N999" s="94"/>
      <c r="O999" s="94"/>
      <c r="P999" s="94"/>
      <c r="Q999" s="94"/>
      <c r="R999" s="94"/>
      <c r="S999" s="94"/>
      <c r="T999" s="94"/>
      <c r="U999" s="94"/>
      <c r="V999" s="94"/>
      <c r="W999" s="94"/>
      <c r="X999" s="94"/>
      <c r="Y999" s="94"/>
      <c r="Z999" s="94"/>
      <c r="AA999" s="94"/>
      <c r="AB999" s="94"/>
      <c r="AC999" s="94"/>
      <c r="AD999" s="94"/>
      <c r="AE999" s="94"/>
      <c r="AF999" s="94"/>
      <c r="AG999" s="94"/>
      <c r="AH999" s="94"/>
      <c r="AI999" s="94"/>
      <c r="AJ999" s="94"/>
      <c r="AK999" s="94"/>
      <c r="AL999" s="94"/>
      <c r="AM999" s="94"/>
      <c r="AN999" s="94"/>
      <c r="AO999" s="94"/>
      <c r="AP999" s="94"/>
      <c r="AQ999" s="94"/>
      <c r="AR999" s="94"/>
      <c r="AS999" s="94"/>
      <c r="AT999" s="94"/>
      <c r="AU999" s="94"/>
      <c r="AV999" s="94"/>
      <c r="AW999" s="94"/>
      <c r="AX999" s="94"/>
      <c r="AY999" s="94"/>
      <c r="AZ999" s="94"/>
      <c r="BA999" s="95"/>
    </row>
    <row r="1000" spans="1:53" s="87" customFormat="1">
      <c r="A1000" s="90" t="str">
        <f t="shared" si="40"/>
        <v/>
      </c>
      <c r="B1000" s="98"/>
      <c r="C1000" s="94"/>
      <c r="D1000" s="94"/>
      <c r="E1000" s="94"/>
      <c r="F1000" s="94"/>
      <c r="G1000" s="94"/>
      <c r="H1000" s="94"/>
      <c r="I1000" s="94"/>
      <c r="J1000" s="94"/>
      <c r="K1000" s="94"/>
      <c r="L1000" s="94"/>
      <c r="M1000" s="94"/>
      <c r="N1000" s="94"/>
      <c r="O1000" s="94"/>
      <c r="P1000" s="94"/>
      <c r="Q1000" s="94"/>
      <c r="R1000" s="94"/>
      <c r="S1000" s="94"/>
      <c r="T1000" s="94"/>
      <c r="U1000" s="94"/>
      <c r="V1000" s="94"/>
      <c r="W1000" s="94"/>
      <c r="X1000" s="94"/>
      <c r="Y1000" s="94"/>
      <c r="Z1000" s="94"/>
      <c r="AA1000" s="94"/>
      <c r="AB1000" s="94"/>
      <c r="AC1000" s="94"/>
      <c r="AD1000" s="94"/>
      <c r="AE1000" s="94"/>
      <c r="AF1000" s="94"/>
      <c r="AG1000" s="94"/>
      <c r="AH1000" s="94"/>
      <c r="AI1000" s="94"/>
      <c r="AJ1000" s="94"/>
      <c r="AK1000" s="94"/>
      <c r="AL1000" s="94"/>
      <c r="AM1000" s="94"/>
      <c r="AN1000" s="94"/>
      <c r="AO1000" s="94"/>
      <c r="AP1000" s="94"/>
      <c r="AQ1000" s="94"/>
      <c r="AR1000" s="94"/>
      <c r="AS1000" s="94"/>
      <c r="AT1000" s="94"/>
      <c r="AU1000" s="94"/>
      <c r="AV1000" s="94"/>
      <c r="AW1000" s="94"/>
      <c r="AX1000" s="94"/>
      <c r="AY1000" s="94"/>
      <c r="AZ1000" s="94"/>
      <c r="BA1000" s="95"/>
    </row>
    <row r="1001" spans="1:53" s="87" customFormat="1">
      <c r="A1001" s="90" t="str">
        <f t="shared" si="40"/>
        <v/>
      </c>
      <c r="B1001" s="98"/>
      <c r="C1001" s="94"/>
      <c r="D1001" s="94"/>
      <c r="E1001" s="94"/>
      <c r="F1001" s="94"/>
      <c r="G1001" s="94"/>
      <c r="H1001" s="94"/>
      <c r="I1001" s="94"/>
      <c r="J1001" s="94"/>
      <c r="K1001" s="94"/>
      <c r="L1001" s="94"/>
      <c r="M1001" s="94"/>
      <c r="N1001" s="94"/>
      <c r="O1001" s="94"/>
      <c r="P1001" s="94"/>
      <c r="Q1001" s="94"/>
      <c r="R1001" s="94"/>
      <c r="S1001" s="94"/>
      <c r="T1001" s="94"/>
      <c r="U1001" s="94"/>
      <c r="V1001" s="94"/>
      <c r="W1001" s="94"/>
      <c r="X1001" s="94"/>
      <c r="Y1001" s="94"/>
      <c r="Z1001" s="94"/>
      <c r="AA1001" s="94"/>
      <c r="AB1001" s="94"/>
      <c r="AC1001" s="94"/>
      <c r="AD1001" s="94"/>
      <c r="AE1001" s="94"/>
      <c r="AF1001" s="94"/>
      <c r="AG1001" s="94"/>
      <c r="AH1001" s="94"/>
      <c r="AI1001" s="94"/>
      <c r="AJ1001" s="94"/>
      <c r="AK1001" s="94"/>
      <c r="AL1001" s="94"/>
      <c r="AM1001" s="94"/>
      <c r="AN1001" s="94"/>
      <c r="AO1001" s="94"/>
      <c r="AP1001" s="94"/>
      <c r="AQ1001" s="94"/>
      <c r="AR1001" s="94"/>
      <c r="AS1001" s="94"/>
      <c r="AT1001" s="94"/>
      <c r="AU1001" s="94"/>
      <c r="AV1001" s="94"/>
      <c r="AW1001" s="94"/>
      <c r="AX1001" s="94"/>
      <c r="AY1001" s="94"/>
      <c r="AZ1001" s="94"/>
      <c r="BA1001" s="95"/>
    </row>
    <row r="1002" spans="1:53" s="87" customFormat="1">
      <c r="A1002" s="90" t="str">
        <f t="shared" si="40"/>
        <v/>
      </c>
      <c r="B1002" s="98"/>
      <c r="C1002" s="94"/>
      <c r="D1002" s="94"/>
      <c r="E1002" s="94"/>
      <c r="F1002" s="94"/>
      <c r="G1002" s="94"/>
      <c r="H1002" s="94"/>
      <c r="I1002" s="94"/>
      <c r="J1002" s="94"/>
      <c r="K1002" s="94"/>
      <c r="L1002" s="94"/>
      <c r="M1002" s="94"/>
      <c r="N1002" s="94"/>
      <c r="O1002" s="94"/>
      <c r="P1002" s="94"/>
      <c r="Q1002" s="94"/>
      <c r="R1002" s="94"/>
      <c r="S1002" s="94"/>
      <c r="T1002" s="94"/>
      <c r="U1002" s="94"/>
      <c r="V1002" s="94"/>
      <c r="W1002" s="94"/>
      <c r="X1002" s="94"/>
      <c r="Y1002" s="94"/>
      <c r="Z1002" s="94"/>
      <c r="AA1002" s="94"/>
      <c r="AB1002" s="94"/>
      <c r="AC1002" s="94"/>
      <c r="AD1002" s="94"/>
      <c r="AE1002" s="94"/>
      <c r="AF1002" s="94"/>
      <c r="AG1002" s="94"/>
      <c r="AH1002" s="94"/>
      <c r="AI1002" s="94"/>
      <c r="AJ1002" s="94"/>
      <c r="AK1002" s="94"/>
      <c r="AL1002" s="94"/>
      <c r="AM1002" s="94"/>
      <c r="AN1002" s="94"/>
      <c r="AO1002" s="94"/>
      <c r="AP1002" s="94"/>
      <c r="AQ1002" s="94"/>
      <c r="AR1002" s="94"/>
      <c r="AS1002" s="94"/>
      <c r="AT1002" s="94"/>
      <c r="AU1002" s="94"/>
      <c r="AV1002" s="94"/>
      <c r="AW1002" s="94"/>
      <c r="AX1002" s="94"/>
      <c r="AY1002" s="94"/>
      <c r="AZ1002" s="94"/>
      <c r="BA1002" s="95"/>
    </row>
    <row r="1003" spans="1:53" s="87" customFormat="1">
      <c r="A1003" s="90" t="str">
        <f t="shared" si="40"/>
        <v/>
      </c>
      <c r="B1003" s="98"/>
      <c r="C1003" s="94"/>
      <c r="D1003" s="94"/>
      <c r="E1003" s="94"/>
      <c r="F1003" s="94"/>
      <c r="G1003" s="94"/>
      <c r="H1003" s="94"/>
      <c r="I1003" s="94"/>
      <c r="J1003" s="94"/>
      <c r="K1003" s="94"/>
      <c r="L1003" s="94"/>
      <c r="M1003" s="94"/>
      <c r="N1003" s="94"/>
      <c r="O1003" s="94"/>
      <c r="P1003" s="94"/>
      <c r="Q1003" s="94"/>
      <c r="R1003" s="94"/>
      <c r="S1003" s="94"/>
      <c r="T1003" s="94"/>
      <c r="U1003" s="94"/>
      <c r="V1003" s="94"/>
      <c r="W1003" s="94"/>
      <c r="X1003" s="94"/>
      <c r="Y1003" s="94"/>
      <c r="Z1003" s="94"/>
      <c r="AA1003" s="94"/>
      <c r="AB1003" s="94"/>
      <c r="AC1003" s="94"/>
      <c r="AD1003" s="94"/>
      <c r="AE1003" s="94"/>
      <c r="AF1003" s="94"/>
      <c r="AG1003" s="94"/>
      <c r="AH1003" s="94"/>
      <c r="AI1003" s="94"/>
      <c r="AJ1003" s="94"/>
      <c r="AK1003" s="94"/>
      <c r="AL1003" s="94"/>
      <c r="AM1003" s="94"/>
      <c r="AN1003" s="94"/>
      <c r="AO1003" s="94"/>
      <c r="AP1003" s="94"/>
      <c r="AQ1003" s="94"/>
      <c r="AR1003" s="94"/>
      <c r="AS1003" s="94"/>
      <c r="AT1003" s="94"/>
      <c r="AU1003" s="94"/>
      <c r="AV1003" s="94"/>
      <c r="AW1003" s="94"/>
      <c r="AX1003" s="94"/>
      <c r="AY1003" s="94"/>
      <c r="AZ1003" s="94"/>
      <c r="BA1003" s="95"/>
    </row>
    <row r="1004" spans="1:53" s="87" customFormat="1">
      <c r="A1004" s="90" t="str">
        <f t="shared" si="40"/>
        <v/>
      </c>
      <c r="B1004" s="98"/>
      <c r="C1004" s="94"/>
      <c r="D1004" s="94"/>
      <c r="E1004" s="94"/>
      <c r="F1004" s="94"/>
      <c r="G1004" s="94"/>
      <c r="H1004" s="94"/>
      <c r="I1004" s="94"/>
      <c r="J1004" s="94"/>
      <c r="K1004" s="94"/>
      <c r="L1004" s="94"/>
      <c r="M1004" s="94"/>
      <c r="N1004" s="94"/>
      <c r="O1004" s="94"/>
      <c r="P1004" s="94"/>
      <c r="Q1004" s="94"/>
      <c r="R1004" s="94"/>
      <c r="S1004" s="94"/>
      <c r="T1004" s="94"/>
      <c r="U1004" s="94"/>
      <c r="V1004" s="94"/>
      <c r="W1004" s="94"/>
      <c r="X1004" s="94"/>
      <c r="Y1004" s="94"/>
      <c r="Z1004" s="94"/>
      <c r="AA1004" s="94"/>
      <c r="AB1004" s="94"/>
      <c r="AC1004" s="94"/>
      <c r="AD1004" s="94"/>
      <c r="AE1004" s="94"/>
      <c r="AF1004" s="94"/>
      <c r="AG1004" s="94"/>
      <c r="AH1004" s="94"/>
      <c r="AI1004" s="94"/>
      <c r="AJ1004" s="94"/>
      <c r="AK1004" s="94"/>
      <c r="AL1004" s="94"/>
      <c r="AM1004" s="94"/>
      <c r="AN1004" s="94"/>
      <c r="AO1004" s="94"/>
      <c r="AP1004" s="94"/>
      <c r="AQ1004" s="94"/>
      <c r="AR1004" s="94"/>
      <c r="AS1004" s="94"/>
      <c r="AT1004" s="94"/>
      <c r="AU1004" s="94"/>
      <c r="AV1004" s="94"/>
      <c r="AW1004" s="94"/>
      <c r="AX1004" s="94"/>
      <c r="AY1004" s="94"/>
      <c r="AZ1004" s="94"/>
      <c r="BA1004" s="95"/>
    </row>
    <row r="1005" spans="1:53" s="87" customFormat="1">
      <c r="A1005" s="90" t="str">
        <f t="shared" si="40"/>
        <v/>
      </c>
      <c r="B1005" s="98"/>
      <c r="C1005" s="94"/>
      <c r="D1005" s="94"/>
      <c r="E1005" s="94"/>
      <c r="F1005" s="94"/>
      <c r="G1005" s="94"/>
      <c r="H1005" s="94"/>
      <c r="I1005" s="94"/>
      <c r="J1005" s="94"/>
      <c r="K1005" s="94"/>
      <c r="L1005" s="94"/>
      <c r="M1005" s="94"/>
      <c r="N1005" s="94"/>
      <c r="O1005" s="94"/>
      <c r="P1005" s="94"/>
      <c r="Q1005" s="94"/>
      <c r="R1005" s="94"/>
      <c r="S1005" s="94"/>
      <c r="T1005" s="94"/>
      <c r="U1005" s="94"/>
      <c r="V1005" s="94"/>
      <c r="W1005" s="94"/>
      <c r="X1005" s="94"/>
      <c r="Y1005" s="94"/>
      <c r="Z1005" s="94"/>
      <c r="AA1005" s="94"/>
      <c r="AB1005" s="94"/>
      <c r="AC1005" s="94"/>
      <c r="AD1005" s="94"/>
      <c r="AE1005" s="94"/>
      <c r="AF1005" s="94"/>
      <c r="AG1005" s="94"/>
      <c r="AH1005" s="94"/>
      <c r="AI1005" s="94"/>
      <c r="AJ1005" s="94"/>
      <c r="AK1005" s="94"/>
      <c r="AL1005" s="94"/>
      <c r="AM1005" s="94"/>
      <c r="AN1005" s="94"/>
      <c r="AO1005" s="94"/>
      <c r="AP1005" s="94"/>
      <c r="AQ1005" s="94"/>
      <c r="AR1005" s="94"/>
      <c r="AS1005" s="94"/>
      <c r="AT1005" s="94"/>
      <c r="AU1005" s="94"/>
      <c r="AV1005" s="94"/>
      <c r="AW1005" s="94"/>
      <c r="AX1005" s="94"/>
      <c r="AY1005" s="94"/>
      <c r="AZ1005" s="94"/>
      <c r="BA1005" s="95"/>
    </row>
    <row r="1006" spans="1:53" s="87" customFormat="1">
      <c r="A1006" s="90" t="str">
        <f t="shared" si="40"/>
        <v/>
      </c>
      <c r="B1006" s="98"/>
      <c r="C1006" s="94"/>
      <c r="D1006" s="94"/>
      <c r="E1006" s="94"/>
      <c r="F1006" s="94"/>
      <c r="G1006" s="94"/>
      <c r="H1006" s="94"/>
      <c r="I1006" s="94"/>
      <c r="J1006" s="94"/>
      <c r="K1006" s="94"/>
      <c r="L1006" s="94"/>
      <c r="M1006" s="94"/>
      <c r="N1006" s="94"/>
      <c r="O1006" s="94"/>
      <c r="P1006" s="94"/>
      <c r="Q1006" s="94"/>
      <c r="R1006" s="94"/>
      <c r="S1006" s="94"/>
      <c r="T1006" s="94"/>
      <c r="U1006" s="94"/>
      <c r="V1006" s="94"/>
      <c r="W1006" s="94"/>
      <c r="X1006" s="94"/>
      <c r="Y1006" s="94"/>
      <c r="Z1006" s="94"/>
      <c r="AA1006" s="94"/>
      <c r="AB1006" s="94"/>
      <c r="AC1006" s="94"/>
      <c r="AD1006" s="94"/>
      <c r="AE1006" s="94"/>
      <c r="AF1006" s="94"/>
      <c r="AG1006" s="94"/>
      <c r="AH1006" s="94"/>
      <c r="AI1006" s="94"/>
      <c r="AJ1006" s="94"/>
      <c r="AK1006" s="94"/>
      <c r="AL1006" s="94"/>
      <c r="AM1006" s="94"/>
      <c r="AN1006" s="94"/>
      <c r="AO1006" s="94"/>
      <c r="AP1006" s="94"/>
      <c r="AQ1006" s="94"/>
      <c r="AR1006" s="94"/>
      <c r="AS1006" s="94"/>
      <c r="AT1006" s="94"/>
      <c r="AU1006" s="94"/>
      <c r="AV1006" s="94"/>
      <c r="AW1006" s="94"/>
      <c r="AX1006" s="94"/>
      <c r="AY1006" s="94"/>
      <c r="AZ1006" s="94"/>
      <c r="BA1006" s="95"/>
    </row>
    <row r="1007" spans="1:53" s="87" customFormat="1">
      <c r="A1007" s="90" t="str">
        <f t="shared" si="40"/>
        <v/>
      </c>
      <c r="B1007" s="98"/>
      <c r="C1007" s="94"/>
      <c r="D1007" s="94"/>
      <c r="E1007" s="94"/>
      <c r="F1007" s="94"/>
      <c r="G1007" s="94"/>
      <c r="H1007" s="94"/>
      <c r="I1007" s="94"/>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5"/>
    </row>
    <row r="1008" spans="1:53" s="87" customFormat="1">
      <c r="A1008" s="90" t="str">
        <f t="shared" si="40"/>
        <v/>
      </c>
      <c r="B1008" s="98"/>
      <c r="C1008" s="94"/>
      <c r="D1008" s="94"/>
      <c r="E1008" s="94"/>
      <c r="F1008" s="94"/>
      <c r="G1008" s="94"/>
      <c r="H1008" s="94"/>
      <c r="I1008" s="94"/>
      <c r="J1008" s="94"/>
      <c r="K1008" s="94"/>
      <c r="L1008" s="94"/>
      <c r="M1008" s="94"/>
      <c r="N1008" s="94"/>
      <c r="O1008" s="94"/>
      <c r="P1008" s="94"/>
      <c r="Q1008" s="94"/>
      <c r="R1008" s="94"/>
      <c r="S1008" s="94"/>
      <c r="T1008" s="94"/>
      <c r="U1008" s="94"/>
      <c r="V1008" s="94"/>
      <c r="W1008" s="94"/>
      <c r="X1008" s="94"/>
      <c r="Y1008" s="94"/>
      <c r="Z1008" s="94"/>
      <c r="AA1008" s="94"/>
      <c r="AB1008" s="94"/>
      <c r="AC1008" s="94"/>
      <c r="AD1008" s="94"/>
      <c r="AE1008" s="94"/>
      <c r="AF1008" s="94"/>
      <c r="AG1008" s="94"/>
      <c r="AH1008" s="94"/>
      <c r="AI1008" s="94"/>
      <c r="AJ1008" s="94"/>
      <c r="AK1008" s="94"/>
      <c r="AL1008" s="94"/>
      <c r="AM1008" s="94"/>
      <c r="AN1008" s="94"/>
      <c r="AO1008" s="94"/>
      <c r="AP1008" s="94"/>
      <c r="AQ1008" s="94"/>
      <c r="AR1008" s="94"/>
      <c r="AS1008" s="94"/>
      <c r="AT1008" s="94"/>
      <c r="AU1008" s="94"/>
      <c r="AV1008" s="94"/>
      <c r="AW1008" s="94"/>
      <c r="AX1008" s="94"/>
      <c r="AY1008" s="94"/>
      <c r="AZ1008" s="94"/>
      <c r="BA1008" s="95"/>
    </row>
    <row r="1009" spans="1:53" s="87" customFormat="1">
      <c r="A1009" s="90" t="str">
        <f t="shared" si="40"/>
        <v/>
      </c>
      <c r="B1009" s="98"/>
      <c r="C1009" s="94"/>
      <c r="D1009" s="94"/>
      <c r="E1009" s="94"/>
      <c r="F1009" s="94"/>
      <c r="G1009" s="94"/>
      <c r="H1009" s="94"/>
      <c r="I1009" s="94"/>
      <c r="J1009" s="94"/>
      <c r="K1009" s="94"/>
      <c r="L1009" s="94"/>
      <c r="M1009" s="94"/>
      <c r="N1009" s="94"/>
      <c r="O1009" s="94"/>
      <c r="P1009" s="94"/>
      <c r="Q1009" s="94"/>
      <c r="R1009" s="94"/>
      <c r="S1009" s="94"/>
      <c r="T1009" s="94"/>
      <c r="U1009" s="94"/>
      <c r="V1009" s="94"/>
      <c r="W1009" s="94"/>
      <c r="X1009" s="94"/>
      <c r="Y1009" s="94"/>
      <c r="Z1009" s="94"/>
      <c r="AA1009" s="94"/>
      <c r="AB1009" s="94"/>
      <c r="AC1009" s="94"/>
      <c r="AD1009" s="94"/>
      <c r="AE1009" s="94"/>
      <c r="AF1009" s="94"/>
      <c r="AG1009" s="94"/>
      <c r="AH1009" s="94"/>
      <c r="AI1009" s="94"/>
      <c r="AJ1009" s="94"/>
      <c r="AK1009" s="94"/>
      <c r="AL1009" s="94"/>
      <c r="AM1009" s="94"/>
      <c r="AN1009" s="94"/>
      <c r="AO1009" s="94"/>
      <c r="AP1009" s="94"/>
      <c r="AQ1009" s="94"/>
      <c r="AR1009" s="94"/>
      <c r="AS1009" s="94"/>
      <c r="AT1009" s="94"/>
      <c r="AU1009" s="94"/>
      <c r="AV1009" s="94"/>
      <c r="AW1009" s="94"/>
      <c r="AX1009" s="94"/>
      <c r="AY1009" s="94"/>
      <c r="AZ1009" s="94"/>
      <c r="BA1009" s="95"/>
    </row>
    <row r="1010" spans="1:53" s="87" customFormat="1">
      <c r="A1010" s="90" t="str">
        <f t="shared" si="40"/>
        <v/>
      </c>
      <c r="B1010" s="98"/>
      <c r="C1010" s="94"/>
      <c r="D1010" s="94"/>
      <c r="E1010" s="94"/>
      <c r="F1010" s="94"/>
      <c r="G1010" s="94"/>
      <c r="H1010" s="94"/>
      <c r="I1010" s="94"/>
      <c r="J1010" s="94"/>
      <c r="K1010" s="94"/>
      <c r="L1010" s="94"/>
      <c r="M1010" s="94"/>
      <c r="N1010" s="94"/>
      <c r="O1010" s="94"/>
      <c r="P1010" s="94"/>
      <c r="Q1010" s="94"/>
      <c r="R1010" s="94"/>
      <c r="S1010" s="94"/>
      <c r="T1010" s="94"/>
      <c r="U1010" s="94"/>
      <c r="V1010" s="94"/>
      <c r="W1010" s="94"/>
      <c r="X1010" s="94"/>
      <c r="Y1010" s="94"/>
      <c r="Z1010" s="94"/>
      <c r="AA1010" s="94"/>
      <c r="AB1010" s="94"/>
      <c r="AC1010" s="94"/>
      <c r="AD1010" s="94"/>
      <c r="AE1010" s="94"/>
      <c r="AF1010" s="94"/>
      <c r="AG1010" s="94"/>
      <c r="AH1010" s="94"/>
      <c r="AI1010" s="94"/>
      <c r="AJ1010" s="94"/>
      <c r="AK1010" s="94"/>
      <c r="AL1010" s="94"/>
      <c r="AM1010" s="94"/>
      <c r="AN1010" s="94"/>
      <c r="AO1010" s="94"/>
      <c r="AP1010" s="94"/>
      <c r="AQ1010" s="94"/>
      <c r="AR1010" s="94"/>
      <c r="AS1010" s="94"/>
      <c r="AT1010" s="94"/>
      <c r="AU1010" s="94"/>
      <c r="AV1010" s="94"/>
      <c r="AW1010" s="94"/>
      <c r="AX1010" s="94"/>
      <c r="AY1010" s="94"/>
      <c r="AZ1010" s="94"/>
      <c r="BA1010" s="95"/>
    </row>
    <row r="1011" spans="1:53" s="87" customFormat="1">
      <c r="A1011" s="90" t="str">
        <f t="shared" si="40"/>
        <v/>
      </c>
      <c r="B1011" s="98"/>
      <c r="C1011" s="94"/>
      <c r="D1011" s="94"/>
      <c r="E1011" s="94"/>
      <c r="F1011" s="94"/>
      <c r="G1011" s="94"/>
      <c r="H1011" s="94"/>
      <c r="I1011" s="94"/>
      <c r="J1011" s="94"/>
      <c r="K1011" s="94"/>
      <c r="L1011" s="94"/>
      <c r="M1011" s="94"/>
      <c r="N1011" s="94"/>
      <c r="O1011" s="94"/>
      <c r="P1011" s="94"/>
      <c r="Q1011" s="94"/>
      <c r="R1011" s="94"/>
      <c r="S1011" s="94"/>
      <c r="T1011" s="94"/>
      <c r="U1011" s="94"/>
      <c r="V1011" s="94"/>
      <c r="W1011" s="94"/>
      <c r="X1011" s="94"/>
      <c r="Y1011" s="94"/>
      <c r="Z1011" s="94"/>
      <c r="AA1011" s="94"/>
      <c r="AB1011" s="94"/>
      <c r="AC1011" s="94"/>
      <c r="AD1011" s="94"/>
      <c r="AE1011" s="94"/>
      <c r="AF1011" s="94"/>
      <c r="AG1011" s="94"/>
      <c r="AH1011" s="94"/>
      <c r="AI1011" s="94"/>
      <c r="AJ1011" s="94"/>
      <c r="AK1011" s="94"/>
      <c r="AL1011" s="94"/>
      <c r="AM1011" s="94"/>
      <c r="AN1011" s="94"/>
      <c r="AO1011" s="94"/>
      <c r="AP1011" s="94"/>
      <c r="AQ1011" s="94"/>
      <c r="AR1011" s="94"/>
      <c r="AS1011" s="94"/>
      <c r="AT1011" s="94"/>
      <c r="AU1011" s="94"/>
      <c r="AV1011" s="94"/>
      <c r="AW1011" s="94"/>
      <c r="AX1011" s="94"/>
      <c r="AY1011" s="94"/>
      <c r="AZ1011" s="94"/>
      <c r="BA1011" s="95"/>
    </row>
    <row r="1012" spans="1:53" s="87" customFormat="1">
      <c r="A1012" s="90" t="str">
        <f t="shared" si="40"/>
        <v/>
      </c>
      <c r="B1012" s="98"/>
      <c r="C1012" s="94"/>
      <c r="D1012" s="94"/>
      <c r="E1012" s="94"/>
      <c r="F1012" s="94"/>
      <c r="G1012" s="94"/>
      <c r="H1012" s="94"/>
      <c r="I1012" s="94"/>
      <c r="J1012" s="94"/>
      <c r="K1012" s="94"/>
      <c r="L1012" s="94"/>
      <c r="M1012" s="94"/>
      <c r="N1012" s="94"/>
      <c r="O1012" s="94"/>
      <c r="P1012" s="94"/>
      <c r="Q1012" s="94"/>
      <c r="R1012" s="94"/>
      <c r="S1012" s="94"/>
      <c r="T1012" s="94"/>
      <c r="U1012" s="94"/>
      <c r="V1012" s="94"/>
      <c r="W1012" s="94"/>
      <c r="X1012" s="94"/>
      <c r="Y1012" s="94"/>
      <c r="Z1012" s="94"/>
      <c r="AA1012" s="94"/>
      <c r="AB1012" s="94"/>
      <c r="AC1012" s="94"/>
      <c r="AD1012" s="94"/>
      <c r="AE1012" s="94"/>
      <c r="AF1012" s="94"/>
      <c r="AG1012" s="94"/>
      <c r="AH1012" s="94"/>
      <c r="AI1012" s="94"/>
      <c r="AJ1012" s="94"/>
      <c r="AK1012" s="94"/>
      <c r="AL1012" s="94"/>
      <c r="AM1012" s="94"/>
      <c r="AN1012" s="94"/>
      <c r="AO1012" s="94"/>
      <c r="AP1012" s="94"/>
      <c r="AQ1012" s="94"/>
      <c r="AR1012" s="94"/>
      <c r="AS1012" s="94"/>
      <c r="AT1012" s="94"/>
      <c r="AU1012" s="94"/>
      <c r="AV1012" s="94"/>
      <c r="AW1012" s="94"/>
      <c r="AX1012" s="94"/>
      <c r="AY1012" s="94"/>
      <c r="AZ1012" s="94"/>
      <c r="BA1012" s="95"/>
    </row>
    <row r="1013" spans="1:53" s="87" customFormat="1">
      <c r="A1013" s="90" t="str">
        <f t="shared" si="40"/>
        <v/>
      </c>
      <c r="B1013" s="98"/>
      <c r="C1013" s="94"/>
      <c r="D1013" s="94"/>
      <c r="E1013" s="94"/>
      <c r="F1013" s="94"/>
      <c r="G1013" s="94"/>
      <c r="H1013" s="94"/>
      <c r="I1013" s="94"/>
      <c r="J1013" s="94"/>
      <c r="K1013" s="94"/>
      <c r="L1013" s="94"/>
      <c r="M1013" s="94"/>
      <c r="N1013" s="94"/>
      <c r="O1013" s="94"/>
      <c r="P1013" s="94"/>
      <c r="Q1013" s="94"/>
      <c r="R1013" s="94"/>
      <c r="S1013" s="94"/>
      <c r="T1013" s="94"/>
      <c r="U1013" s="94"/>
      <c r="V1013" s="94"/>
      <c r="W1013" s="94"/>
      <c r="X1013" s="94"/>
      <c r="Y1013" s="94"/>
      <c r="Z1013" s="94"/>
      <c r="AA1013" s="94"/>
      <c r="AB1013" s="94"/>
      <c r="AC1013" s="94"/>
      <c r="AD1013" s="94"/>
      <c r="AE1013" s="94"/>
      <c r="AF1013" s="94"/>
      <c r="AG1013" s="94"/>
      <c r="AH1013" s="94"/>
      <c r="AI1013" s="94"/>
      <c r="AJ1013" s="94"/>
      <c r="AK1013" s="94"/>
      <c r="AL1013" s="94"/>
      <c r="AM1013" s="94"/>
      <c r="AN1013" s="94"/>
      <c r="AO1013" s="94"/>
      <c r="AP1013" s="94"/>
      <c r="AQ1013" s="94"/>
      <c r="AR1013" s="94"/>
      <c r="AS1013" s="94"/>
      <c r="AT1013" s="94"/>
      <c r="AU1013" s="94"/>
      <c r="AV1013" s="94"/>
      <c r="AW1013" s="94"/>
      <c r="AX1013" s="94"/>
      <c r="AY1013" s="94"/>
      <c r="AZ1013" s="94"/>
      <c r="BA1013" s="95"/>
    </row>
    <row r="1014" spans="1:53" s="87" customFormat="1">
      <c r="A1014" s="90" t="str">
        <f t="shared" si="40"/>
        <v/>
      </c>
      <c r="B1014" s="98"/>
      <c r="C1014" s="94"/>
      <c r="D1014" s="94"/>
      <c r="E1014" s="94"/>
      <c r="F1014" s="94"/>
      <c r="G1014" s="94"/>
      <c r="H1014" s="94"/>
      <c r="I1014" s="94"/>
      <c r="J1014" s="94"/>
      <c r="K1014" s="94"/>
      <c r="L1014" s="94"/>
      <c r="M1014" s="94"/>
      <c r="N1014" s="94"/>
      <c r="O1014" s="94"/>
      <c r="P1014" s="94"/>
      <c r="Q1014" s="94"/>
      <c r="R1014" s="94"/>
      <c r="S1014" s="94"/>
      <c r="T1014" s="94"/>
      <c r="U1014" s="94"/>
      <c r="V1014" s="94"/>
      <c r="W1014" s="94"/>
      <c r="X1014" s="94"/>
      <c r="Y1014" s="94"/>
      <c r="Z1014" s="94"/>
      <c r="AA1014" s="94"/>
      <c r="AB1014" s="94"/>
      <c r="AC1014" s="94"/>
      <c r="AD1014" s="94"/>
      <c r="AE1014" s="94"/>
      <c r="AF1014" s="94"/>
      <c r="AG1014" s="94"/>
      <c r="AH1014" s="94"/>
      <c r="AI1014" s="94"/>
      <c r="AJ1014" s="94"/>
      <c r="AK1014" s="94"/>
      <c r="AL1014" s="94"/>
      <c r="AM1014" s="94"/>
      <c r="AN1014" s="94"/>
      <c r="AO1014" s="94"/>
      <c r="AP1014" s="94"/>
      <c r="AQ1014" s="94"/>
      <c r="AR1014" s="94"/>
      <c r="AS1014" s="94"/>
      <c r="AT1014" s="94"/>
      <c r="AU1014" s="94"/>
      <c r="AV1014" s="94"/>
      <c r="AW1014" s="94"/>
      <c r="AX1014" s="94"/>
      <c r="AY1014" s="94"/>
      <c r="AZ1014" s="94"/>
      <c r="BA1014" s="95"/>
    </row>
    <row r="1015" spans="1:53" s="87" customFormat="1">
      <c r="A1015" s="90" t="str">
        <f t="shared" si="40"/>
        <v/>
      </c>
      <c r="B1015" s="98"/>
      <c r="C1015" s="94"/>
      <c r="D1015" s="94"/>
      <c r="E1015" s="94"/>
      <c r="F1015" s="94"/>
      <c r="G1015" s="94"/>
      <c r="H1015" s="94"/>
      <c r="I1015" s="94"/>
      <c r="J1015" s="94"/>
      <c r="K1015" s="94"/>
      <c r="L1015" s="94"/>
      <c r="M1015" s="94"/>
      <c r="N1015" s="94"/>
      <c r="O1015" s="94"/>
      <c r="P1015" s="94"/>
      <c r="Q1015" s="94"/>
      <c r="R1015" s="94"/>
      <c r="S1015" s="94"/>
      <c r="T1015" s="94"/>
      <c r="U1015" s="94"/>
      <c r="V1015" s="94"/>
      <c r="W1015" s="94"/>
      <c r="X1015" s="94"/>
      <c r="Y1015" s="94"/>
      <c r="Z1015" s="94"/>
      <c r="AA1015" s="94"/>
      <c r="AB1015" s="94"/>
      <c r="AC1015" s="94"/>
      <c r="AD1015" s="94"/>
      <c r="AE1015" s="94"/>
      <c r="AF1015" s="94"/>
      <c r="AG1015" s="94"/>
      <c r="AH1015" s="94"/>
      <c r="AI1015" s="94"/>
      <c r="AJ1015" s="94"/>
      <c r="AK1015" s="94"/>
      <c r="AL1015" s="94"/>
      <c r="AM1015" s="94"/>
      <c r="AN1015" s="94"/>
      <c r="AO1015" s="94"/>
      <c r="AP1015" s="94"/>
      <c r="AQ1015" s="94"/>
      <c r="AR1015" s="94"/>
      <c r="AS1015" s="94"/>
      <c r="AT1015" s="94"/>
      <c r="AU1015" s="94"/>
      <c r="AV1015" s="94"/>
      <c r="AW1015" s="94"/>
      <c r="AX1015" s="94"/>
      <c r="AY1015" s="94"/>
      <c r="AZ1015" s="94"/>
      <c r="BA1015" s="95"/>
    </row>
    <row r="1016" spans="1:53" s="87" customFormat="1">
      <c r="A1016" s="90" t="str">
        <f t="shared" si="40"/>
        <v/>
      </c>
      <c r="B1016" s="98"/>
      <c r="C1016" s="94"/>
      <c r="D1016" s="94"/>
      <c r="E1016" s="94"/>
      <c r="F1016" s="94"/>
      <c r="G1016" s="94"/>
      <c r="H1016" s="94"/>
      <c r="I1016" s="94"/>
      <c r="J1016" s="94"/>
      <c r="K1016" s="94"/>
      <c r="L1016" s="94"/>
      <c r="M1016" s="94"/>
      <c r="N1016" s="94"/>
      <c r="O1016" s="94"/>
      <c r="P1016" s="94"/>
      <c r="Q1016" s="94"/>
      <c r="R1016" s="94"/>
      <c r="S1016" s="94"/>
      <c r="T1016" s="94"/>
      <c r="U1016" s="94"/>
      <c r="V1016" s="94"/>
      <c r="W1016" s="94"/>
      <c r="X1016" s="94"/>
      <c r="Y1016" s="94"/>
      <c r="Z1016" s="94"/>
      <c r="AA1016" s="94"/>
      <c r="AB1016" s="94"/>
      <c r="AC1016" s="94"/>
      <c r="AD1016" s="94"/>
      <c r="AE1016" s="94"/>
      <c r="AF1016" s="94"/>
      <c r="AG1016" s="94"/>
      <c r="AH1016" s="94"/>
      <c r="AI1016" s="94"/>
      <c r="AJ1016" s="94"/>
      <c r="AK1016" s="94"/>
      <c r="AL1016" s="94"/>
      <c r="AM1016" s="94"/>
      <c r="AN1016" s="94"/>
      <c r="AO1016" s="94"/>
      <c r="AP1016" s="94"/>
      <c r="AQ1016" s="94"/>
      <c r="AR1016" s="94"/>
      <c r="AS1016" s="94"/>
      <c r="AT1016" s="94"/>
      <c r="AU1016" s="94"/>
      <c r="AV1016" s="94"/>
      <c r="AW1016" s="94"/>
      <c r="AX1016" s="94"/>
      <c r="AY1016" s="94"/>
      <c r="AZ1016" s="94"/>
      <c r="BA1016" s="95"/>
    </row>
    <row r="1017" spans="1:53" s="87" customFormat="1">
      <c r="A1017" s="90" t="str">
        <f t="shared" si="40"/>
        <v/>
      </c>
      <c r="B1017" s="98"/>
      <c r="C1017" s="94"/>
      <c r="D1017" s="94"/>
      <c r="E1017" s="94"/>
      <c r="F1017" s="94"/>
      <c r="G1017" s="94"/>
      <c r="H1017" s="94"/>
      <c r="I1017" s="94"/>
      <c r="J1017" s="94"/>
      <c r="K1017" s="94"/>
      <c r="L1017" s="94"/>
      <c r="M1017" s="94"/>
      <c r="N1017" s="94"/>
      <c r="O1017" s="94"/>
      <c r="P1017" s="94"/>
      <c r="Q1017" s="94"/>
      <c r="R1017" s="94"/>
      <c r="S1017" s="94"/>
      <c r="T1017" s="94"/>
      <c r="U1017" s="94"/>
      <c r="V1017" s="94"/>
      <c r="W1017" s="94"/>
      <c r="X1017" s="94"/>
      <c r="Y1017" s="94"/>
      <c r="Z1017" s="94"/>
      <c r="AA1017" s="94"/>
      <c r="AB1017" s="94"/>
      <c r="AC1017" s="94"/>
      <c r="AD1017" s="94"/>
      <c r="AE1017" s="94"/>
      <c r="AF1017" s="94"/>
      <c r="AG1017" s="94"/>
      <c r="AH1017" s="94"/>
      <c r="AI1017" s="94"/>
      <c r="AJ1017" s="94"/>
      <c r="AK1017" s="94"/>
      <c r="AL1017" s="94"/>
      <c r="AM1017" s="94"/>
      <c r="AN1017" s="94"/>
      <c r="AO1017" s="94"/>
      <c r="AP1017" s="94"/>
      <c r="AQ1017" s="94"/>
      <c r="AR1017" s="94"/>
      <c r="AS1017" s="94"/>
      <c r="AT1017" s="94"/>
      <c r="AU1017" s="94"/>
      <c r="AV1017" s="94"/>
      <c r="AW1017" s="94"/>
      <c r="AX1017" s="94"/>
      <c r="AY1017" s="94"/>
      <c r="AZ1017" s="94"/>
      <c r="BA1017" s="95"/>
    </row>
    <row r="1018" spans="1:53" s="87" customFormat="1">
      <c r="A1018" s="90" t="str">
        <f t="shared" si="40"/>
        <v/>
      </c>
      <c r="B1018" s="98"/>
      <c r="C1018" s="94"/>
      <c r="D1018" s="94"/>
      <c r="E1018" s="94"/>
      <c r="F1018" s="94"/>
      <c r="G1018" s="94"/>
      <c r="H1018" s="94"/>
      <c r="I1018" s="94"/>
      <c r="J1018" s="94"/>
      <c r="K1018" s="94"/>
      <c r="L1018" s="94"/>
      <c r="M1018" s="94"/>
      <c r="N1018" s="94"/>
      <c r="O1018" s="94"/>
      <c r="P1018" s="94"/>
      <c r="Q1018" s="94"/>
      <c r="R1018" s="94"/>
      <c r="S1018" s="94"/>
      <c r="T1018" s="94"/>
      <c r="U1018" s="94"/>
      <c r="V1018" s="94"/>
      <c r="W1018" s="94"/>
      <c r="X1018" s="94"/>
      <c r="Y1018" s="94"/>
      <c r="Z1018" s="94"/>
      <c r="AA1018" s="94"/>
      <c r="AB1018" s="94"/>
      <c r="AC1018" s="94"/>
      <c r="AD1018" s="94"/>
      <c r="AE1018" s="94"/>
      <c r="AF1018" s="94"/>
      <c r="AG1018" s="94"/>
      <c r="AH1018" s="94"/>
      <c r="AI1018" s="94"/>
      <c r="AJ1018" s="94"/>
      <c r="AK1018" s="94"/>
      <c r="AL1018" s="94"/>
      <c r="AM1018" s="94"/>
      <c r="AN1018" s="94"/>
      <c r="AO1018" s="94"/>
      <c r="AP1018" s="94"/>
      <c r="AQ1018" s="94"/>
      <c r="AR1018" s="94"/>
      <c r="AS1018" s="94"/>
      <c r="AT1018" s="94"/>
      <c r="AU1018" s="94"/>
      <c r="AV1018" s="94"/>
      <c r="AW1018" s="94"/>
      <c r="AX1018" s="94"/>
      <c r="AY1018" s="94"/>
      <c r="AZ1018" s="94"/>
      <c r="BA1018" s="95"/>
    </row>
    <row r="1019" spans="1:53" s="87" customFormat="1">
      <c r="A1019" s="90" t="str">
        <f t="shared" si="40"/>
        <v/>
      </c>
      <c r="B1019" s="98"/>
      <c r="C1019" s="94"/>
      <c r="D1019" s="94"/>
      <c r="E1019" s="94"/>
      <c r="F1019" s="94"/>
      <c r="G1019" s="94"/>
      <c r="H1019" s="94"/>
      <c r="I1019" s="94"/>
      <c r="J1019" s="94"/>
      <c r="K1019" s="94"/>
      <c r="L1019" s="94"/>
      <c r="M1019" s="94"/>
      <c r="N1019" s="94"/>
      <c r="O1019" s="94"/>
      <c r="P1019" s="94"/>
      <c r="Q1019" s="94"/>
      <c r="R1019" s="94"/>
      <c r="S1019" s="94"/>
      <c r="T1019" s="94"/>
      <c r="U1019" s="94"/>
      <c r="V1019" s="94"/>
      <c r="W1019" s="94"/>
      <c r="X1019" s="94"/>
      <c r="Y1019" s="94"/>
      <c r="Z1019" s="94"/>
      <c r="AA1019" s="94"/>
      <c r="AB1019" s="94"/>
      <c r="AC1019" s="94"/>
      <c r="AD1019" s="94"/>
      <c r="AE1019" s="94"/>
      <c r="AF1019" s="94"/>
      <c r="AG1019" s="94"/>
      <c r="AH1019" s="94"/>
      <c r="AI1019" s="94"/>
      <c r="AJ1019" s="94"/>
      <c r="AK1019" s="94"/>
      <c r="AL1019" s="94"/>
      <c r="AM1019" s="94"/>
      <c r="AN1019" s="94"/>
      <c r="AO1019" s="94"/>
      <c r="AP1019" s="94"/>
      <c r="AQ1019" s="94"/>
      <c r="AR1019" s="94"/>
      <c r="AS1019" s="94"/>
      <c r="AT1019" s="94"/>
      <c r="AU1019" s="94"/>
      <c r="AV1019" s="94"/>
      <c r="AW1019" s="94"/>
      <c r="AX1019" s="94"/>
      <c r="AY1019" s="94"/>
      <c r="AZ1019" s="94"/>
      <c r="BA1019" s="95"/>
    </row>
    <row r="1020" spans="1:53" s="87" customFormat="1">
      <c r="A1020" s="90" t="str">
        <f t="shared" si="40"/>
        <v/>
      </c>
      <c r="B1020" s="98"/>
      <c r="C1020" s="94"/>
      <c r="D1020" s="94"/>
      <c r="E1020" s="94"/>
      <c r="F1020" s="94"/>
      <c r="G1020" s="94"/>
      <c r="H1020" s="94"/>
      <c r="I1020" s="94"/>
      <c r="J1020" s="94"/>
      <c r="K1020" s="94"/>
      <c r="L1020" s="94"/>
      <c r="M1020" s="94"/>
      <c r="N1020" s="94"/>
      <c r="O1020" s="94"/>
      <c r="P1020" s="94"/>
      <c r="Q1020" s="94"/>
      <c r="R1020" s="94"/>
      <c r="S1020" s="94"/>
      <c r="T1020" s="94"/>
      <c r="U1020" s="94"/>
      <c r="V1020" s="94"/>
      <c r="W1020" s="94"/>
      <c r="X1020" s="94"/>
      <c r="Y1020" s="94"/>
      <c r="Z1020" s="94"/>
      <c r="AA1020" s="94"/>
      <c r="AB1020" s="94"/>
      <c r="AC1020" s="94"/>
      <c r="AD1020" s="94"/>
      <c r="AE1020" s="94"/>
      <c r="AF1020" s="94"/>
      <c r="AG1020" s="94"/>
      <c r="AH1020" s="94"/>
      <c r="AI1020" s="94"/>
      <c r="AJ1020" s="94"/>
      <c r="AK1020" s="94"/>
      <c r="AL1020" s="94"/>
      <c r="AM1020" s="94"/>
      <c r="AN1020" s="94"/>
      <c r="AO1020" s="94"/>
      <c r="AP1020" s="94"/>
      <c r="AQ1020" s="94"/>
      <c r="AR1020" s="94"/>
      <c r="AS1020" s="94"/>
      <c r="AT1020" s="94"/>
      <c r="AU1020" s="94"/>
      <c r="AV1020" s="94"/>
      <c r="AW1020" s="94"/>
      <c r="AX1020" s="94"/>
      <c r="AY1020" s="94"/>
      <c r="AZ1020" s="94"/>
      <c r="BA1020" s="95"/>
    </row>
    <row r="1021" spans="1:53" s="87" customFormat="1">
      <c r="A1021" s="90" t="str">
        <f t="shared" si="40"/>
        <v/>
      </c>
      <c r="B1021" s="98"/>
      <c r="C1021" s="94"/>
      <c r="D1021" s="94"/>
      <c r="E1021" s="94"/>
      <c r="F1021" s="94"/>
      <c r="G1021" s="94"/>
      <c r="H1021" s="94"/>
      <c r="I1021" s="94"/>
      <c r="J1021" s="94"/>
      <c r="K1021" s="94"/>
      <c r="L1021" s="94"/>
      <c r="M1021" s="94"/>
      <c r="N1021" s="94"/>
      <c r="O1021" s="94"/>
      <c r="P1021" s="94"/>
      <c r="Q1021" s="94"/>
      <c r="R1021" s="94"/>
      <c r="S1021" s="94"/>
      <c r="T1021" s="94"/>
      <c r="U1021" s="94"/>
      <c r="V1021" s="94"/>
      <c r="W1021" s="94"/>
      <c r="X1021" s="94"/>
      <c r="Y1021" s="94"/>
      <c r="Z1021" s="94"/>
      <c r="AA1021" s="94"/>
      <c r="AB1021" s="94"/>
      <c r="AC1021" s="94"/>
      <c r="AD1021" s="94"/>
      <c r="AE1021" s="94"/>
      <c r="AF1021" s="94"/>
      <c r="AG1021" s="94"/>
      <c r="AH1021" s="94"/>
      <c r="AI1021" s="94"/>
      <c r="AJ1021" s="94"/>
      <c r="AK1021" s="94"/>
      <c r="AL1021" s="94"/>
      <c r="AM1021" s="94"/>
      <c r="AN1021" s="94"/>
      <c r="AO1021" s="94"/>
      <c r="AP1021" s="94"/>
      <c r="AQ1021" s="94"/>
      <c r="AR1021" s="94"/>
      <c r="AS1021" s="94"/>
      <c r="AT1021" s="94"/>
      <c r="AU1021" s="94"/>
      <c r="AV1021" s="94"/>
      <c r="AW1021" s="94"/>
      <c r="AX1021" s="94"/>
      <c r="AY1021" s="94"/>
      <c r="AZ1021" s="94"/>
      <c r="BA1021" s="95"/>
    </row>
    <row r="1022" spans="1:53" s="87" customFormat="1">
      <c r="A1022" s="90" t="str">
        <f t="shared" si="40"/>
        <v/>
      </c>
      <c r="B1022" s="98"/>
      <c r="C1022" s="94"/>
      <c r="D1022" s="94"/>
      <c r="E1022" s="94"/>
      <c r="F1022" s="94"/>
      <c r="G1022" s="94"/>
      <c r="H1022" s="94"/>
      <c r="I1022" s="94"/>
      <c r="J1022" s="94"/>
      <c r="K1022" s="94"/>
      <c r="L1022" s="94"/>
      <c r="M1022" s="94"/>
      <c r="N1022" s="94"/>
      <c r="O1022" s="94"/>
      <c r="P1022" s="94"/>
      <c r="Q1022" s="94"/>
      <c r="R1022" s="94"/>
      <c r="S1022" s="94"/>
      <c r="T1022" s="94"/>
      <c r="U1022" s="94"/>
      <c r="V1022" s="94"/>
      <c r="W1022" s="94"/>
      <c r="X1022" s="94"/>
      <c r="Y1022" s="94"/>
      <c r="Z1022" s="94"/>
      <c r="AA1022" s="94"/>
      <c r="AB1022" s="94"/>
      <c r="AC1022" s="94"/>
      <c r="AD1022" s="94"/>
      <c r="AE1022" s="94"/>
      <c r="AF1022" s="94"/>
      <c r="AG1022" s="94"/>
      <c r="AH1022" s="94"/>
      <c r="AI1022" s="94"/>
      <c r="AJ1022" s="94"/>
      <c r="AK1022" s="94"/>
      <c r="AL1022" s="94"/>
      <c r="AM1022" s="94"/>
      <c r="AN1022" s="94"/>
      <c r="AO1022" s="94"/>
      <c r="AP1022" s="94"/>
      <c r="AQ1022" s="94"/>
      <c r="AR1022" s="94"/>
      <c r="AS1022" s="94"/>
      <c r="AT1022" s="94"/>
      <c r="AU1022" s="94"/>
      <c r="AV1022" s="94"/>
      <c r="AW1022" s="94"/>
      <c r="AX1022" s="94"/>
      <c r="AY1022" s="94"/>
      <c r="AZ1022" s="94"/>
      <c r="BA1022" s="95"/>
    </row>
    <row r="1023" spans="1:53" s="87" customFormat="1">
      <c r="A1023" s="90" t="str">
        <f t="shared" si="40"/>
        <v/>
      </c>
      <c r="B1023" s="98"/>
      <c r="C1023" s="94"/>
      <c r="D1023" s="94"/>
      <c r="E1023" s="94"/>
      <c r="F1023" s="94"/>
      <c r="G1023" s="94"/>
      <c r="H1023" s="94"/>
      <c r="I1023" s="94"/>
      <c r="J1023" s="94"/>
      <c r="K1023" s="94"/>
      <c r="L1023" s="94"/>
      <c r="M1023" s="94"/>
      <c r="N1023" s="94"/>
      <c r="O1023" s="94"/>
      <c r="P1023" s="94"/>
      <c r="Q1023" s="94"/>
      <c r="R1023" s="94"/>
      <c r="S1023" s="94"/>
      <c r="T1023" s="94"/>
      <c r="U1023" s="94"/>
      <c r="V1023" s="94"/>
      <c r="W1023" s="94"/>
      <c r="X1023" s="94"/>
      <c r="Y1023" s="94"/>
      <c r="Z1023" s="94"/>
      <c r="AA1023" s="94"/>
      <c r="AB1023" s="94"/>
      <c r="AC1023" s="94"/>
      <c r="AD1023" s="94"/>
      <c r="AE1023" s="94"/>
      <c r="AF1023" s="94"/>
      <c r="AG1023" s="94"/>
      <c r="AH1023" s="94"/>
      <c r="AI1023" s="94"/>
      <c r="AJ1023" s="94"/>
      <c r="AK1023" s="94"/>
      <c r="AL1023" s="94"/>
      <c r="AM1023" s="94"/>
      <c r="AN1023" s="94"/>
      <c r="AO1023" s="94"/>
      <c r="AP1023" s="94"/>
      <c r="AQ1023" s="94"/>
      <c r="AR1023" s="94"/>
      <c r="AS1023" s="94"/>
      <c r="AT1023" s="94"/>
      <c r="AU1023" s="94"/>
      <c r="AV1023" s="94"/>
      <c r="AW1023" s="94"/>
      <c r="AX1023" s="94"/>
      <c r="AY1023" s="94"/>
      <c r="AZ1023" s="94"/>
      <c r="BA1023" s="95"/>
    </row>
    <row r="1024" spans="1:53" s="87" customFormat="1">
      <c r="A1024" s="90" t="str">
        <f t="shared" si="40"/>
        <v/>
      </c>
      <c r="B1024" s="98"/>
      <c r="C1024" s="94"/>
      <c r="D1024" s="94"/>
      <c r="E1024" s="94"/>
      <c r="F1024" s="94"/>
      <c r="G1024" s="94"/>
      <c r="H1024" s="94"/>
      <c r="I1024" s="94"/>
      <c r="J1024" s="94"/>
      <c r="K1024" s="94"/>
      <c r="L1024" s="94"/>
      <c r="M1024" s="94"/>
      <c r="N1024" s="94"/>
      <c r="O1024" s="94"/>
      <c r="P1024" s="94"/>
      <c r="Q1024" s="94"/>
      <c r="R1024" s="94"/>
      <c r="S1024" s="94"/>
      <c r="T1024" s="94"/>
      <c r="U1024" s="94"/>
      <c r="V1024" s="94"/>
      <c r="W1024" s="94"/>
      <c r="X1024" s="94"/>
      <c r="Y1024" s="94"/>
      <c r="Z1024" s="94"/>
      <c r="AA1024" s="94"/>
      <c r="AB1024" s="94"/>
      <c r="AC1024" s="94"/>
      <c r="AD1024" s="94"/>
      <c r="AE1024" s="94"/>
      <c r="AF1024" s="94"/>
      <c r="AG1024" s="94"/>
      <c r="AH1024" s="94"/>
      <c r="AI1024" s="94"/>
      <c r="AJ1024" s="94"/>
      <c r="AK1024" s="94"/>
      <c r="AL1024" s="94"/>
      <c r="AM1024" s="94"/>
      <c r="AN1024" s="94"/>
      <c r="AO1024" s="94"/>
      <c r="AP1024" s="94"/>
      <c r="AQ1024" s="94"/>
      <c r="AR1024" s="94"/>
      <c r="AS1024" s="94"/>
      <c r="AT1024" s="94"/>
      <c r="AU1024" s="94"/>
      <c r="AV1024" s="94"/>
      <c r="AW1024" s="94"/>
      <c r="AX1024" s="94"/>
      <c r="AY1024" s="94"/>
      <c r="AZ1024" s="94"/>
      <c r="BA1024" s="95"/>
    </row>
    <row r="1025" spans="1:53" s="87" customFormat="1">
      <c r="A1025" s="90" t="str">
        <f t="shared" si="40"/>
        <v/>
      </c>
      <c r="B1025" s="98"/>
      <c r="C1025" s="94"/>
      <c r="D1025" s="94"/>
      <c r="E1025" s="94"/>
      <c r="F1025" s="94"/>
      <c r="G1025" s="94"/>
      <c r="H1025" s="94"/>
      <c r="I1025" s="94"/>
      <c r="J1025" s="94"/>
      <c r="K1025" s="94"/>
      <c r="L1025" s="94"/>
      <c r="M1025" s="94"/>
      <c r="N1025" s="94"/>
      <c r="O1025" s="94"/>
      <c r="P1025" s="94"/>
      <c r="Q1025" s="94"/>
      <c r="R1025" s="94"/>
      <c r="S1025" s="94"/>
      <c r="T1025" s="94"/>
      <c r="U1025" s="94"/>
      <c r="V1025" s="94"/>
      <c r="W1025" s="94"/>
      <c r="X1025" s="94"/>
      <c r="Y1025" s="94"/>
      <c r="Z1025" s="94"/>
      <c r="AA1025" s="94"/>
      <c r="AB1025" s="94"/>
      <c r="AC1025" s="94"/>
      <c r="AD1025" s="94"/>
      <c r="AE1025" s="94"/>
      <c r="AF1025" s="94"/>
      <c r="AG1025" s="94"/>
      <c r="AH1025" s="94"/>
      <c r="AI1025" s="94"/>
      <c r="AJ1025" s="94"/>
      <c r="AK1025" s="94"/>
      <c r="AL1025" s="94"/>
      <c r="AM1025" s="94"/>
      <c r="AN1025" s="94"/>
      <c r="AO1025" s="94"/>
      <c r="AP1025" s="94"/>
      <c r="AQ1025" s="94"/>
      <c r="AR1025" s="94"/>
      <c r="AS1025" s="94"/>
      <c r="AT1025" s="94"/>
      <c r="AU1025" s="94"/>
      <c r="AV1025" s="94"/>
      <c r="AW1025" s="94"/>
      <c r="AX1025" s="94"/>
      <c r="AY1025" s="94"/>
      <c r="AZ1025" s="94"/>
      <c r="BA1025" s="95"/>
    </row>
    <row r="1026" spans="1:53" s="87" customFormat="1">
      <c r="A1026" s="90" t="str">
        <f t="shared" si="40"/>
        <v/>
      </c>
      <c r="B1026" s="98"/>
      <c r="C1026" s="94"/>
      <c r="D1026" s="94"/>
      <c r="E1026" s="94"/>
      <c r="F1026" s="94"/>
      <c r="G1026" s="94"/>
      <c r="H1026" s="94"/>
      <c r="I1026" s="94"/>
      <c r="J1026" s="94"/>
      <c r="K1026" s="94"/>
      <c r="L1026" s="94"/>
      <c r="M1026" s="94"/>
      <c r="N1026" s="94"/>
      <c r="O1026" s="94"/>
      <c r="P1026" s="94"/>
      <c r="Q1026" s="94"/>
      <c r="R1026" s="94"/>
      <c r="S1026" s="94"/>
      <c r="T1026" s="94"/>
      <c r="U1026" s="94"/>
      <c r="V1026" s="94"/>
      <c r="W1026" s="94"/>
      <c r="X1026" s="94"/>
      <c r="Y1026" s="94"/>
      <c r="Z1026" s="94"/>
      <c r="AA1026" s="94"/>
      <c r="AB1026" s="94"/>
      <c r="AC1026" s="94"/>
      <c r="AD1026" s="94"/>
      <c r="AE1026" s="94"/>
      <c r="AF1026" s="94"/>
      <c r="AG1026" s="94"/>
      <c r="AH1026" s="94"/>
      <c r="AI1026" s="94"/>
      <c r="AJ1026" s="94"/>
      <c r="AK1026" s="94"/>
      <c r="AL1026" s="94"/>
      <c r="AM1026" s="94"/>
      <c r="AN1026" s="94"/>
      <c r="AO1026" s="94"/>
      <c r="AP1026" s="94"/>
      <c r="AQ1026" s="94"/>
      <c r="AR1026" s="94"/>
      <c r="AS1026" s="94"/>
      <c r="AT1026" s="94"/>
      <c r="AU1026" s="94"/>
      <c r="AV1026" s="94"/>
      <c r="AW1026" s="94"/>
      <c r="AX1026" s="94"/>
      <c r="AY1026" s="94"/>
      <c r="AZ1026" s="94"/>
      <c r="BA1026" s="95"/>
    </row>
    <row r="1027" spans="1:53" s="87" customFormat="1">
      <c r="A1027" s="90" t="str">
        <f t="shared" si="40"/>
        <v/>
      </c>
      <c r="B1027" s="98"/>
      <c r="C1027" s="94"/>
      <c r="D1027" s="94"/>
      <c r="E1027" s="94"/>
      <c r="F1027" s="94"/>
      <c r="G1027" s="94"/>
      <c r="H1027" s="94"/>
      <c r="I1027" s="94"/>
      <c r="J1027" s="94"/>
      <c r="K1027" s="94"/>
      <c r="L1027" s="94"/>
      <c r="M1027" s="94"/>
      <c r="N1027" s="94"/>
      <c r="O1027" s="94"/>
      <c r="P1027" s="94"/>
      <c r="Q1027" s="94"/>
      <c r="R1027" s="94"/>
      <c r="S1027" s="94"/>
      <c r="T1027" s="94"/>
      <c r="U1027" s="94"/>
      <c r="V1027" s="94"/>
      <c r="W1027" s="94"/>
      <c r="X1027" s="94"/>
      <c r="Y1027" s="94"/>
      <c r="Z1027" s="94"/>
      <c r="AA1027" s="94"/>
      <c r="AB1027" s="94"/>
      <c r="AC1027" s="94"/>
      <c r="AD1027" s="94"/>
      <c r="AE1027" s="94"/>
      <c r="AF1027" s="94"/>
      <c r="AG1027" s="94"/>
      <c r="AH1027" s="94"/>
      <c r="AI1027" s="94"/>
      <c r="AJ1027" s="94"/>
      <c r="AK1027" s="94"/>
      <c r="AL1027" s="94"/>
      <c r="AM1027" s="94"/>
      <c r="AN1027" s="94"/>
      <c r="AO1027" s="94"/>
      <c r="AP1027" s="94"/>
      <c r="AQ1027" s="94"/>
      <c r="AR1027" s="94"/>
      <c r="AS1027" s="94"/>
      <c r="AT1027" s="94"/>
      <c r="AU1027" s="94"/>
      <c r="AV1027" s="94"/>
      <c r="AW1027" s="94"/>
      <c r="AX1027" s="94"/>
      <c r="AY1027" s="94"/>
      <c r="AZ1027" s="94"/>
      <c r="BA1027" s="95"/>
    </row>
    <row r="1028" spans="1:53" s="87" customFormat="1">
      <c r="A1028" s="90" t="str">
        <f t="shared" si="40"/>
        <v/>
      </c>
      <c r="B1028" s="98"/>
      <c r="C1028" s="94"/>
      <c r="D1028" s="94"/>
      <c r="E1028" s="94"/>
      <c r="F1028" s="94"/>
      <c r="G1028" s="94"/>
      <c r="H1028" s="94"/>
      <c r="I1028" s="94"/>
      <c r="J1028" s="94"/>
      <c r="K1028" s="94"/>
      <c r="L1028" s="94"/>
      <c r="M1028" s="94"/>
      <c r="N1028" s="94"/>
      <c r="O1028" s="94"/>
      <c r="P1028" s="94"/>
      <c r="Q1028" s="94"/>
      <c r="R1028" s="94"/>
      <c r="S1028" s="94"/>
      <c r="T1028" s="94"/>
      <c r="U1028" s="94"/>
      <c r="V1028" s="94"/>
      <c r="W1028" s="94"/>
      <c r="X1028" s="94"/>
      <c r="Y1028" s="94"/>
      <c r="Z1028" s="94"/>
      <c r="AA1028" s="94"/>
      <c r="AB1028" s="94"/>
      <c r="AC1028" s="94"/>
      <c r="AD1028" s="94"/>
      <c r="AE1028" s="94"/>
      <c r="AF1028" s="94"/>
      <c r="AG1028" s="94"/>
      <c r="AH1028" s="94"/>
      <c r="AI1028" s="94"/>
      <c r="AJ1028" s="94"/>
      <c r="AK1028" s="94"/>
      <c r="AL1028" s="94"/>
      <c r="AM1028" s="94"/>
      <c r="AN1028" s="94"/>
      <c r="AO1028" s="94"/>
      <c r="AP1028" s="94"/>
      <c r="AQ1028" s="94"/>
      <c r="AR1028" s="94"/>
      <c r="AS1028" s="94"/>
      <c r="AT1028" s="94"/>
      <c r="AU1028" s="94"/>
      <c r="AV1028" s="94"/>
      <c r="AW1028" s="94"/>
      <c r="AX1028" s="94"/>
      <c r="AY1028" s="94"/>
      <c r="AZ1028" s="94"/>
      <c r="BA1028" s="95"/>
    </row>
    <row r="1029" spans="1:53" s="87" customFormat="1">
      <c r="A1029" s="90" t="str">
        <f t="shared" si="40"/>
        <v/>
      </c>
      <c r="B1029" s="98"/>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c r="AM1029" s="94"/>
      <c r="AN1029" s="94"/>
      <c r="AO1029" s="94"/>
      <c r="AP1029" s="94"/>
      <c r="AQ1029" s="94"/>
      <c r="AR1029" s="94"/>
      <c r="AS1029" s="94"/>
      <c r="AT1029" s="94"/>
      <c r="AU1029" s="94"/>
      <c r="AV1029" s="94"/>
      <c r="AW1029" s="94"/>
      <c r="AX1029" s="94"/>
      <c r="AY1029" s="94"/>
      <c r="AZ1029" s="94"/>
      <c r="BA1029" s="95"/>
    </row>
    <row r="1030" spans="1:53" s="87" customFormat="1">
      <c r="A1030" s="90" t="str">
        <f t="shared" si="40"/>
        <v/>
      </c>
      <c r="B1030" s="98"/>
      <c r="C1030" s="94"/>
      <c r="D1030" s="94"/>
      <c r="E1030" s="94"/>
      <c r="F1030" s="94"/>
      <c r="G1030" s="94"/>
      <c r="H1030" s="94"/>
      <c r="I1030" s="94"/>
      <c r="J1030" s="94"/>
      <c r="K1030" s="94"/>
      <c r="L1030" s="94"/>
      <c r="M1030" s="94"/>
      <c r="N1030" s="94"/>
      <c r="O1030" s="94"/>
      <c r="P1030" s="94"/>
      <c r="Q1030" s="94"/>
      <c r="R1030" s="94"/>
      <c r="S1030" s="94"/>
      <c r="T1030" s="94"/>
      <c r="U1030" s="94"/>
      <c r="V1030" s="94"/>
      <c r="W1030" s="94"/>
      <c r="X1030" s="94"/>
      <c r="Y1030" s="94"/>
      <c r="Z1030" s="94"/>
      <c r="AA1030" s="94"/>
      <c r="AB1030" s="94"/>
      <c r="AC1030" s="94"/>
      <c r="AD1030" s="94"/>
      <c r="AE1030" s="94"/>
      <c r="AF1030" s="94"/>
      <c r="AG1030" s="94"/>
      <c r="AH1030" s="94"/>
      <c r="AI1030" s="94"/>
      <c r="AJ1030" s="94"/>
      <c r="AK1030" s="94"/>
      <c r="AL1030" s="94"/>
      <c r="AM1030" s="94"/>
      <c r="AN1030" s="94"/>
      <c r="AO1030" s="94"/>
      <c r="AP1030" s="94"/>
      <c r="AQ1030" s="94"/>
      <c r="AR1030" s="94"/>
      <c r="AS1030" s="94"/>
      <c r="AT1030" s="94"/>
      <c r="AU1030" s="94"/>
      <c r="AV1030" s="94"/>
      <c r="AW1030" s="94"/>
      <c r="AX1030" s="94"/>
      <c r="AY1030" s="94"/>
      <c r="AZ1030" s="94"/>
      <c r="BA1030" s="95"/>
    </row>
    <row r="1031" spans="1:53" s="87" customFormat="1">
      <c r="A1031" s="90" t="str">
        <f t="shared" si="40"/>
        <v/>
      </c>
      <c r="B1031" s="98"/>
      <c r="C1031" s="94"/>
      <c r="D1031" s="94"/>
      <c r="E1031" s="94"/>
      <c r="F1031" s="94"/>
      <c r="G1031" s="94"/>
      <c r="H1031" s="94"/>
      <c r="I1031" s="94"/>
      <c r="J1031" s="94"/>
      <c r="K1031" s="94"/>
      <c r="L1031" s="94"/>
      <c r="M1031" s="94"/>
      <c r="N1031" s="94"/>
      <c r="O1031" s="94"/>
      <c r="P1031" s="94"/>
      <c r="Q1031" s="94"/>
      <c r="R1031" s="94"/>
      <c r="S1031" s="94"/>
      <c r="T1031" s="94"/>
      <c r="U1031" s="94"/>
      <c r="V1031" s="94"/>
      <c r="W1031" s="94"/>
      <c r="X1031" s="94"/>
      <c r="Y1031" s="94"/>
      <c r="Z1031" s="94"/>
      <c r="AA1031" s="94"/>
      <c r="AB1031" s="94"/>
      <c r="AC1031" s="94"/>
      <c r="AD1031" s="94"/>
      <c r="AE1031" s="94"/>
      <c r="AF1031" s="94"/>
      <c r="AG1031" s="94"/>
      <c r="AH1031" s="94"/>
      <c r="AI1031" s="94"/>
      <c r="AJ1031" s="94"/>
      <c r="AK1031" s="94"/>
      <c r="AL1031" s="94"/>
      <c r="AM1031" s="94"/>
      <c r="AN1031" s="94"/>
      <c r="AO1031" s="94"/>
      <c r="AP1031" s="94"/>
      <c r="AQ1031" s="94"/>
      <c r="AR1031" s="94"/>
      <c r="AS1031" s="94"/>
      <c r="AT1031" s="94"/>
      <c r="AU1031" s="94"/>
      <c r="AV1031" s="94"/>
      <c r="AW1031" s="94"/>
      <c r="AX1031" s="94"/>
      <c r="AY1031" s="94"/>
      <c r="AZ1031" s="94"/>
      <c r="BA1031" s="95"/>
    </row>
    <row r="1032" spans="1:53" s="87" customFormat="1">
      <c r="A1032" s="90" t="str">
        <f t="shared" si="40"/>
        <v/>
      </c>
      <c r="B1032" s="98"/>
      <c r="C1032" s="94"/>
      <c r="D1032" s="94"/>
      <c r="E1032" s="94"/>
      <c r="F1032" s="94"/>
      <c r="G1032" s="94"/>
      <c r="H1032" s="94"/>
      <c r="I1032" s="94"/>
      <c r="J1032" s="94"/>
      <c r="K1032" s="94"/>
      <c r="L1032" s="94"/>
      <c r="M1032" s="94"/>
      <c r="N1032" s="94"/>
      <c r="O1032" s="94"/>
      <c r="P1032" s="94"/>
      <c r="Q1032" s="94"/>
      <c r="R1032" s="94"/>
      <c r="S1032" s="94"/>
      <c r="T1032" s="94"/>
      <c r="U1032" s="94"/>
      <c r="V1032" s="94"/>
      <c r="W1032" s="94"/>
      <c r="X1032" s="94"/>
      <c r="Y1032" s="94"/>
      <c r="Z1032" s="94"/>
      <c r="AA1032" s="94"/>
      <c r="AB1032" s="94"/>
      <c r="AC1032" s="94"/>
      <c r="AD1032" s="94"/>
      <c r="AE1032" s="94"/>
      <c r="AF1032" s="94"/>
      <c r="AG1032" s="94"/>
      <c r="AH1032" s="94"/>
      <c r="AI1032" s="94"/>
      <c r="AJ1032" s="94"/>
      <c r="AK1032" s="94"/>
      <c r="AL1032" s="94"/>
      <c r="AM1032" s="94"/>
      <c r="AN1032" s="94"/>
      <c r="AO1032" s="94"/>
      <c r="AP1032" s="94"/>
      <c r="AQ1032" s="94"/>
      <c r="AR1032" s="94"/>
      <c r="AS1032" s="94"/>
      <c r="AT1032" s="94"/>
      <c r="AU1032" s="94"/>
      <c r="AV1032" s="94"/>
      <c r="AW1032" s="94"/>
      <c r="AX1032" s="94"/>
      <c r="AY1032" s="94"/>
      <c r="AZ1032" s="94"/>
      <c r="BA1032" s="95"/>
    </row>
    <row r="1033" spans="1:53" s="87" customFormat="1">
      <c r="A1033" s="90" t="str">
        <f t="shared" si="40"/>
        <v/>
      </c>
      <c r="B1033" s="98"/>
      <c r="C1033" s="94"/>
      <c r="D1033" s="94"/>
      <c r="E1033" s="94"/>
      <c r="F1033" s="94"/>
      <c r="G1033" s="94"/>
      <c r="H1033" s="94"/>
      <c r="I1033" s="94"/>
      <c r="J1033" s="94"/>
      <c r="K1033" s="94"/>
      <c r="L1033" s="94"/>
      <c r="M1033" s="94"/>
      <c r="N1033" s="94"/>
      <c r="O1033" s="94"/>
      <c r="P1033" s="94"/>
      <c r="Q1033" s="94"/>
      <c r="R1033" s="94"/>
      <c r="S1033" s="94"/>
      <c r="T1033" s="94"/>
      <c r="U1033" s="94"/>
      <c r="V1033" s="94"/>
      <c r="W1033" s="94"/>
      <c r="X1033" s="94"/>
      <c r="Y1033" s="94"/>
      <c r="Z1033" s="94"/>
      <c r="AA1033" s="94"/>
      <c r="AB1033" s="94"/>
      <c r="AC1033" s="94"/>
      <c r="AD1033" s="94"/>
      <c r="AE1033" s="94"/>
      <c r="AF1033" s="94"/>
      <c r="AG1033" s="94"/>
      <c r="AH1033" s="94"/>
      <c r="AI1033" s="94"/>
      <c r="AJ1033" s="94"/>
      <c r="AK1033" s="94"/>
      <c r="AL1033" s="94"/>
      <c r="AM1033" s="94"/>
      <c r="AN1033" s="94"/>
      <c r="AO1033" s="94"/>
      <c r="AP1033" s="94"/>
      <c r="AQ1033" s="94"/>
      <c r="AR1033" s="94"/>
      <c r="AS1033" s="94"/>
      <c r="AT1033" s="94"/>
      <c r="AU1033" s="94"/>
      <c r="AV1033" s="94"/>
      <c r="AW1033" s="94"/>
      <c r="AX1033" s="94"/>
      <c r="AY1033" s="94"/>
      <c r="AZ1033" s="94"/>
      <c r="BA1033" s="95"/>
    </row>
    <row r="1034" spans="1:53" s="87" customFormat="1">
      <c r="A1034" s="90" t="str">
        <f t="shared" si="40"/>
        <v/>
      </c>
      <c r="B1034" s="98"/>
      <c r="C1034" s="94"/>
      <c r="D1034" s="94"/>
      <c r="E1034" s="94"/>
      <c r="F1034" s="94"/>
      <c r="G1034" s="94"/>
      <c r="H1034" s="94"/>
      <c r="I1034" s="94"/>
      <c r="J1034" s="94"/>
      <c r="K1034" s="94"/>
      <c r="L1034" s="94"/>
      <c r="M1034" s="94"/>
      <c r="N1034" s="94"/>
      <c r="O1034" s="94"/>
      <c r="P1034" s="94"/>
      <c r="Q1034" s="94"/>
      <c r="R1034" s="94"/>
      <c r="S1034" s="94"/>
      <c r="T1034" s="94"/>
      <c r="U1034" s="94"/>
      <c r="V1034" s="94"/>
      <c r="W1034" s="94"/>
      <c r="X1034" s="94"/>
      <c r="Y1034" s="94"/>
      <c r="Z1034" s="94"/>
      <c r="AA1034" s="94"/>
      <c r="AB1034" s="94"/>
      <c r="AC1034" s="94"/>
      <c r="AD1034" s="94"/>
      <c r="AE1034" s="94"/>
      <c r="AF1034" s="94"/>
      <c r="AG1034" s="94"/>
      <c r="AH1034" s="94"/>
      <c r="AI1034" s="94"/>
      <c r="AJ1034" s="94"/>
      <c r="AK1034" s="94"/>
      <c r="AL1034" s="94"/>
      <c r="AM1034" s="94"/>
      <c r="AN1034" s="94"/>
      <c r="AO1034" s="94"/>
      <c r="AP1034" s="94"/>
      <c r="AQ1034" s="94"/>
      <c r="AR1034" s="94"/>
      <c r="AS1034" s="94"/>
      <c r="AT1034" s="94"/>
      <c r="AU1034" s="94"/>
      <c r="AV1034" s="94"/>
      <c r="AW1034" s="94"/>
      <c r="AX1034" s="94"/>
      <c r="AY1034" s="94"/>
      <c r="AZ1034" s="94"/>
      <c r="BA1034" s="95"/>
    </row>
    <row r="1035" spans="1:53" s="87" customFormat="1">
      <c r="A1035" s="90" t="str">
        <f t="shared" si="40"/>
        <v/>
      </c>
      <c r="B1035" s="98"/>
      <c r="C1035" s="94"/>
      <c r="D1035" s="94"/>
      <c r="E1035" s="94"/>
      <c r="F1035" s="94"/>
      <c r="G1035" s="94"/>
      <c r="H1035" s="94"/>
      <c r="I1035" s="94"/>
      <c r="J1035" s="94"/>
      <c r="K1035" s="94"/>
      <c r="L1035" s="94"/>
      <c r="M1035" s="94"/>
      <c r="N1035" s="94"/>
      <c r="O1035" s="94"/>
      <c r="P1035" s="94"/>
      <c r="Q1035" s="94"/>
      <c r="R1035" s="94"/>
      <c r="S1035" s="94"/>
      <c r="T1035" s="94"/>
      <c r="U1035" s="94"/>
      <c r="V1035" s="94"/>
      <c r="W1035" s="94"/>
      <c r="X1035" s="94"/>
      <c r="Y1035" s="94"/>
      <c r="Z1035" s="94"/>
      <c r="AA1035" s="94"/>
      <c r="AB1035" s="94"/>
      <c r="AC1035" s="94"/>
      <c r="AD1035" s="94"/>
      <c r="AE1035" s="94"/>
      <c r="AF1035" s="94"/>
      <c r="AG1035" s="94"/>
      <c r="AH1035" s="94"/>
      <c r="AI1035" s="94"/>
      <c r="AJ1035" s="94"/>
      <c r="AK1035" s="94"/>
      <c r="AL1035" s="94"/>
      <c r="AM1035" s="94"/>
      <c r="AN1035" s="94"/>
      <c r="AO1035" s="94"/>
      <c r="AP1035" s="94"/>
      <c r="AQ1035" s="94"/>
      <c r="AR1035" s="94"/>
      <c r="AS1035" s="94"/>
      <c r="AT1035" s="94"/>
      <c r="AU1035" s="94"/>
      <c r="AV1035" s="94"/>
      <c r="AW1035" s="94"/>
      <c r="AX1035" s="94"/>
      <c r="AY1035" s="94"/>
      <c r="AZ1035" s="94"/>
      <c r="BA1035" s="95"/>
    </row>
    <row r="1036" spans="1:53" s="87" customFormat="1">
      <c r="A1036" s="90" t="str">
        <f t="shared" ref="A1036:A1099" si="41">IF(MID(B1036,3,2)="09",ROW(),"")</f>
        <v/>
      </c>
      <c r="B1036" s="98"/>
      <c r="C1036" s="94"/>
      <c r="D1036" s="94"/>
      <c r="E1036" s="94"/>
      <c r="F1036" s="94"/>
      <c r="G1036" s="94"/>
      <c r="H1036" s="94"/>
      <c r="I1036" s="94"/>
      <c r="J1036" s="94"/>
      <c r="K1036" s="94"/>
      <c r="L1036" s="94"/>
      <c r="M1036" s="94"/>
      <c r="N1036" s="94"/>
      <c r="O1036" s="94"/>
      <c r="P1036" s="94"/>
      <c r="Q1036" s="94"/>
      <c r="R1036" s="94"/>
      <c r="S1036" s="94"/>
      <c r="T1036" s="94"/>
      <c r="U1036" s="94"/>
      <c r="V1036" s="94"/>
      <c r="W1036" s="94"/>
      <c r="X1036" s="94"/>
      <c r="Y1036" s="94"/>
      <c r="Z1036" s="94"/>
      <c r="AA1036" s="94"/>
      <c r="AB1036" s="94"/>
      <c r="AC1036" s="94"/>
      <c r="AD1036" s="94"/>
      <c r="AE1036" s="94"/>
      <c r="AF1036" s="94"/>
      <c r="AG1036" s="94"/>
      <c r="AH1036" s="94"/>
      <c r="AI1036" s="94"/>
      <c r="AJ1036" s="94"/>
      <c r="AK1036" s="94"/>
      <c r="AL1036" s="94"/>
      <c r="AM1036" s="94"/>
      <c r="AN1036" s="94"/>
      <c r="AO1036" s="94"/>
      <c r="AP1036" s="94"/>
      <c r="AQ1036" s="94"/>
      <c r="AR1036" s="94"/>
      <c r="AS1036" s="94"/>
      <c r="AT1036" s="94"/>
      <c r="AU1036" s="94"/>
      <c r="AV1036" s="94"/>
      <c r="AW1036" s="94"/>
      <c r="AX1036" s="94"/>
      <c r="AY1036" s="94"/>
      <c r="AZ1036" s="94"/>
      <c r="BA1036" s="95"/>
    </row>
    <row r="1037" spans="1:53" s="87" customFormat="1">
      <c r="A1037" s="90" t="str">
        <f t="shared" si="41"/>
        <v/>
      </c>
      <c r="B1037" s="98"/>
      <c r="C1037" s="94"/>
      <c r="D1037" s="94"/>
      <c r="E1037" s="94"/>
      <c r="F1037" s="94"/>
      <c r="G1037" s="94"/>
      <c r="H1037" s="94"/>
      <c r="I1037" s="94"/>
      <c r="J1037" s="94"/>
      <c r="K1037" s="94"/>
      <c r="L1037" s="94"/>
      <c r="M1037" s="94"/>
      <c r="N1037" s="94"/>
      <c r="O1037" s="94"/>
      <c r="P1037" s="94"/>
      <c r="Q1037" s="94"/>
      <c r="R1037" s="94"/>
      <c r="S1037" s="94"/>
      <c r="T1037" s="94"/>
      <c r="U1037" s="94"/>
      <c r="V1037" s="94"/>
      <c r="W1037" s="94"/>
      <c r="X1037" s="94"/>
      <c r="Y1037" s="94"/>
      <c r="Z1037" s="94"/>
      <c r="AA1037" s="94"/>
      <c r="AB1037" s="94"/>
      <c r="AC1037" s="94"/>
      <c r="AD1037" s="94"/>
      <c r="AE1037" s="94"/>
      <c r="AF1037" s="94"/>
      <c r="AG1037" s="94"/>
      <c r="AH1037" s="94"/>
      <c r="AI1037" s="94"/>
      <c r="AJ1037" s="94"/>
      <c r="AK1037" s="94"/>
      <c r="AL1037" s="94"/>
      <c r="AM1037" s="94"/>
      <c r="AN1037" s="94"/>
      <c r="AO1037" s="94"/>
      <c r="AP1037" s="94"/>
      <c r="AQ1037" s="94"/>
      <c r="AR1037" s="94"/>
      <c r="AS1037" s="94"/>
      <c r="AT1037" s="94"/>
      <c r="AU1037" s="94"/>
      <c r="AV1037" s="94"/>
      <c r="AW1037" s="94"/>
      <c r="AX1037" s="94"/>
      <c r="AY1037" s="94"/>
      <c r="AZ1037" s="94"/>
      <c r="BA1037" s="95"/>
    </row>
    <row r="1038" spans="1:53" s="87" customFormat="1">
      <c r="A1038" s="90" t="str">
        <f t="shared" si="41"/>
        <v/>
      </c>
      <c r="B1038" s="98"/>
      <c r="C1038" s="94"/>
      <c r="D1038" s="94"/>
      <c r="E1038" s="94"/>
      <c r="F1038" s="94"/>
      <c r="G1038" s="94"/>
      <c r="H1038" s="94"/>
      <c r="I1038" s="94"/>
      <c r="J1038" s="94"/>
      <c r="K1038" s="94"/>
      <c r="L1038" s="94"/>
      <c r="M1038" s="94"/>
      <c r="N1038" s="94"/>
      <c r="O1038" s="94"/>
      <c r="P1038" s="94"/>
      <c r="Q1038" s="94"/>
      <c r="R1038" s="94"/>
      <c r="S1038" s="94"/>
      <c r="T1038" s="94"/>
      <c r="U1038" s="94"/>
      <c r="V1038" s="94"/>
      <c r="W1038" s="94"/>
      <c r="X1038" s="94"/>
      <c r="Y1038" s="94"/>
      <c r="Z1038" s="94"/>
      <c r="AA1038" s="94"/>
      <c r="AB1038" s="94"/>
      <c r="AC1038" s="94"/>
      <c r="AD1038" s="94"/>
      <c r="AE1038" s="94"/>
      <c r="AF1038" s="94"/>
      <c r="AG1038" s="94"/>
      <c r="AH1038" s="94"/>
      <c r="AI1038" s="94"/>
      <c r="AJ1038" s="94"/>
      <c r="AK1038" s="94"/>
      <c r="AL1038" s="94"/>
      <c r="AM1038" s="94"/>
      <c r="AN1038" s="94"/>
      <c r="AO1038" s="94"/>
      <c r="AP1038" s="94"/>
      <c r="AQ1038" s="94"/>
      <c r="AR1038" s="94"/>
      <c r="AS1038" s="94"/>
      <c r="AT1038" s="94"/>
      <c r="AU1038" s="94"/>
      <c r="AV1038" s="94"/>
      <c r="AW1038" s="94"/>
      <c r="AX1038" s="94"/>
      <c r="AY1038" s="94"/>
      <c r="AZ1038" s="94"/>
      <c r="BA1038" s="95"/>
    </row>
    <row r="1039" spans="1:53" s="87" customFormat="1">
      <c r="A1039" s="90" t="str">
        <f t="shared" si="41"/>
        <v/>
      </c>
      <c r="B1039" s="98"/>
      <c r="C1039" s="94"/>
      <c r="D1039" s="94"/>
      <c r="E1039" s="94"/>
      <c r="F1039" s="94"/>
      <c r="G1039" s="94"/>
      <c r="H1039" s="94"/>
      <c r="I1039" s="94"/>
      <c r="J1039" s="94"/>
      <c r="K1039" s="94"/>
      <c r="L1039" s="94"/>
      <c r="M1039" s="94"/>
      <c r="N1039" s="94"/>
      <c r="O1039" s="94"/>
      <c r="P1039" s="94"/>
      <c r="Q1039" s="94"/>
      <c r="R1039" s="94"/>
      <c r="S1039" s="94"/>
      <c r="T1039" s="94"/>
      <c r="U1039" s="94"/>
      <c r="V1039" s="94"/>
      <c r="W1039" s="94"/>
      <c r="X1039" s="94"/>
      <c r="Y1039" s="94"/>
      <c r="Z1039" s="94"/>
      <c r="AA1039" s="94"/>
      <c r="AB1039" s="94"/>
      <c r="AC1039" s="94"/>
      <c r="AD1039" s="94"/>
      <c r="AE1039" s="94"/>
      <c r="AF1039" s="94"/>
      <c r="AG1039" s="94"/>
      <c r="AH1039" s="94"/>
      <c r="AI1039" s="94"/>
      <c r="AJ1039" s="94"/>
      <c r="AK1039" s="94"/>
      <c r="AL1039" s="94"/>
      <c r="AM1039" s="94"/>
      <c r="AN1039" s="94"/>
      <c r="AO1039" s="94"/>
      <c r="AP1039" s="94"/>
      <c r="AQ1039" s="94"/>
      <c r="AR1039" s="94"/>
      <c r="AS1039" s="94"/>
      <c r="AT1039" s="94"/>
      <c r="AU1039" s="94"/>
      <c r="AV1039" s="94"/>
      <c r="AW1039" s="94"/>
      <c r="AX1039" s="94"/>
      <c r="AY1039" s="94"/>
      <c r="AZ1039" s="94"/>
      <c r="BA1039" s="95"/>
    </row>
    <row r="1040" spans="1:53" s="87" customFormat="1">
      <c r="A1040" s="90" t="str">
        <f t="shared" si="41"/>
        <v/>
      </c>
      <c r="B1040" s="98"/>
      <c r="C1040" s="94"/>
      <c r="D1040" s="94"/>
      <c r="E1040" s="94"/>
      <c r="F1040" s="94"/>
      <c r="G1040" s="94"/>
      <c r="H1040" s="94"/>
      <c r="I1040" s="94"/>
      <c r="J1040" s="94"/>
      <c r="K1040" s="94"/>
      <c r="L1040" s="94"/>
      <c r="M1040" s="94"/>
      <c r="N1040" s="94"/>
      <c r="O1040" s="94"/>
      <c r="P1040" s="94"/>
      <c r="Q1040" s="94"/>
      <c r="R1040" s="94"/>
      <c r="S1040" s="94"/>
      <c r="T1040" s="94"/>
      <c r="U1040" s="94"/>
      <c r="V1040" s="94"/>
      <c r="W1040" s="94"/>
      <c r="X1040" s="94"/>
      <c r="Y1040" s="94"/>
      <c r="Z1040" s="94"/>
      <c r="AA1040" s="94"/>
      <c r="AB1040" s="94"/>
      <c r="AC1040" s="94"/>
      <c r="AD1040" s="94"/>
      <c r="AE1040" s="94"/>
      <c r="AF1040" s="94"/>
      <c r="AG1040" s="94"/>
      <c r="AH1040" s="94"/>
      <c r="AI1040" s="94"/>
      <c r="AJ1040" s="94"/>
      <c r="AK1040" s="94"/>
      <c r="AL1040" s="94"/>
      <c r="AM1040" s="94"/>
      <c r="AN1040" s="94"/>
      <c r="AO1040" s="94"/>
      <c r="AP1040" s="94"/>
      <c r="AQ1040" s="94"/>
      <c r="AR1040" s="94"/>
      <c r="AS1040" s="94"/>
      <c r="AT1040" s="94"/>
      <c r="AU1040" s="94"/>
      <c r="AV1040" s="94"/>
      <c r="AW1040" s="94"/>
      <c r="AX1040" s="94"/>
      <c r="AY1040" s="94"/>
      <c r="AZ1040" s="94"/>
      <c r="BA1040" s="95"/>
    </row>
    <row r="1041" spans="1:53" s="87" customFormat="1">
      <c r="A1041" s="90" t="str">
        <f t="shared" si="41"/>
        <v/>
      </c>
      <c r="B1041" s="98"/>
      <c r="C1041" s="94"/>
      <c r="D1041" s="94"/>
      <c r="E1041" s="94"/>
      <c r="F1041" s="94"/>
      <c r="G1041" s="94"/>
      <c r="H1041" s="94"/>
      <c r="I1041" s="94"/>
      <c r="J1041" s="94"/>
      <c r="K1041" s="94"/>
      <c r="L1041" s="94"/>
      <c r="M1041" s="94"/>
      <c r="N1041" s="94"/>
      <c r="O1041" s="94"/>
      <c r="P1041" s="94"/>
      <c r="Q1041" s="94"/>
      <c r="R1041" s="94"/>
      <c r="S1041" s="94"/>
      <c r="T1041" s="94"/>
      <c r="U1041" s="94"/>
      <c r="V1041" s="94"/>
      <c r="W1041" s="94"/>
      <c r="X1041" s="94"/>
      <c r="Y1041" s="94"/>
      <c r="Z1041" s="94"/>
      <c r="AA1041" s="94"/>
      <c r="AB1041" s="94"/>
      <c r="AC1041" s="94"/>
      <c r="AD1041" s="94"/>
      <c r="AE1041" s="94"/>
      <c r="AF1041" s="94"/>
      <c r="AG1041" s="94"/>
      <c r="AH1041" s="94"/>
      <c r="AI1041" s="94"/>
      <c r="AJ1041" s="94"/>
      <c r="AK1041" s="94"/>
      <c r="AL1041" s="94"/>
      <c r="AM1041" s="94"/>
      <c r="AN1041" s="94"/>
      <c r="AO1041" s="94"/>
      <c r="AP1041" s="94"/>
      <c r="AQ1041" s="94"/>
      <c r="AR1041" s="94"/>
      <c r="AS1041" s="94"/>
      <c r="AT1041" s="94"/>
      <c r="AU1041" s="94"/>
      <c r="AV1041" s="94"/>
      <c r="AW1041" s="94"/>
      <c r="AX1041" s="94"/>
      <c r="AY1041" s="94"/>
      <c r="AZ1041" s="94"/>
      <c r="BA1041" s="95"/>
    </row>
    <row r="1042" spans="1:53" s="87" customFormat="1">
      <c r="A1042" s="90" t="str">
        <f t="shared" si="41"/>
        <v/>
      </c>
      <c r="B1042" s="98"/>
      <c r="C1042" s="94"/>
      <c r="D1042" s="94"/>
      <c r="E1042" s="94"/>
      <c r="F1042" s="94"/>
      <c r="G1042" s="94"/>
      <c r="H1042" s="94"/>
      <c r="I1042" s="94"/>
      <c r="J1042" s="94"/>
      <c r="K1042" s="94"/>
      <c r="L1042" s="94"/>
      <c r="M1042" s="94"/>
      <c r="N1042" s="94"/>
      <c r="O1042" s="94"/>
      <c r="P1042" s="94"/>
      <c r="Q1042" s="94"/>
      <c r="R1042" s="94"/>
      <c r="S1042" s="94"/>
      <c r="T1042" s="94"/>
      <c r="U1042" s="94"/>
      <c r="V1042" s="94"/>
      <c r="W1042" s="94"/>
      <c r="X1042" s="94"/>
      <c r="Y1042" s="94"/>
      <c r="Z1042" s="94"/>
      <c r="AA1042" s="94"/>
      <c r="AB1042" s="94"/>
      <c r="AC1042" s="94"/>
      <c r="AD1042" s="94"/>
      <c r="AE1042" s="94"/>
      <c r="AF1042" s="94"/>
      <c r="AG1042" s="94"/>
      <c r="AH1042" s="94"/>
      <c r="AI1042" s="94"/>
      <c r="AJ1042" s="94"/>
      <c r="AK1042" s="94"/>
      <c r="AL1042" s="94"/>
      <c r="AM1042" s="94"/>
      <c r="AN1042" s="94"/>
      <c r="AO1042" s="94"/>
      <c r="AP1042" s="94"/>
      <c r="AQ1042" s="94"/>
      <c r="AR1042" s="94"/>
      <c r="AS1042" s="94"/>
      <c r="AT1042" s="94"/>
      <c r="AU1042" s="94"/>
      <c r="AV1042" s="94"/>
      <c r="AW1042" s="94"/>
      <c r="AX1042" s="94"/>
      <c r="AY1042" s="94"/>
      <c r="AZ1042" s="94"/>
      <c r="BA1042" s="95"/>
    </row>
    <row r="1043" spans="1:53" s="87" customFormat="1">
      <c r="A1043" s="90" t="str">
        <f t="shared" si="41"/>
        <v/>
      </c>
      <c r="B1043" s="98"/>
      <c r="C1043" s="94"/>
      <c r="D1043" s="94"/>
      <c r="E1043" s="94"/>
      <c r="F1043" s="94"/>
      <c r="G1043" s="94"/>
      <c r="H1043" s="94"/>
      <c r="I1043" s="94"/>
      <c r="J1043" s="94"/>
      <c r="K1043" s="94"/>
      <c r="L1043" s="94"/>
      <c r="M1043" s="94"/>
      <c r="N1043" s="94"/>
      <c r="O1043" s="94"/>
      <c r="P1043" s="94"/>
      <c r="Q1043" s="94"/>
      <c r="R1043" s="94"/>
      <c r="S1043" s="94"/>
      <c r="T1043" s="94"/>
      <c r="U1043" s="94"/>
      <c r="V1043" s="94"/>
      <c r="W1043" s="94"/>
      <c r="X1043" s="94"/>
      <c r="Y1043" s="94"/>
      <c r="Z1043" s="94"/>
      <c r="AA1043" s="94"/>
      <c r="AB1043" s="94"/>
      <c r="AC1043" s="94"/>
      <c r="AD1043" s="94"/>
      <c r="AE1043" s="94"/>
      <c r="AF1043" s="94"/>
      <c r="AG1043" s="94"/>
      <c r="AH1043" s="94"/>
      <c r="AI1043" s="94"/>
      <c r="AJ1043" s="94"/>
      <c r="AK1043" s="94"/>
      <c r="AL1043" s="94"/>
      <c r="AM1043" s="94"/>
      <c r="AN1043" s="94"/>
      <c r="AO1043" s="94"/>
      <c r="AP1043" s="94"/>
      <c r="AQ1043" s="94"/>
      <c r="AR1043" s="94"/>
      <c r="AS1043" s="94"/>
      <c r="AT1043" s="94"/>
      <c r="AU1043" s="94"/>
      <c r="AV1043" s="94"/>
      <c r="AW1043" s="94"/>
      <c r="AX1043" s="94"/>
      <c r="AY1043" s="94"/>
      <c r="AZ1043" s="94"/>
      <c r="BA1043" s="95"/>
    </row>
    <row r="1044" spans="1:53" s="87" customFormat="1">
      <c r="A1044" s="90" t="str">
        <f t="shared" si="41"/>
        <v/>
      </c>
      <c r="B1044" s="98"/>
      <c r="C1044" s="94"/>
      <c r="D1044" s="94"/>
      <c r="E1044" s="94"/>
      <c r="F1044" s="94"/>
      <c r="G1044" s="94"/>
      <c r="H1044" s="94"/>
      <c r="I1044" s="94"/>
      <c r="J1044" s="94"/>
      <c r="K1044" s="94"/>
      <c r="L1044" s="94"/>
      <c r="M1044" s="94"/>
      <c r="N1044" s="94"/>
      <c r="O1044" s="94"/>
      <c r="P1044" s="94"/>
      <c r="Q1044" s="94"/>
      <c r="R1044" s="94"/>
      <c r="S1044" s="94"/>
      <c r="T1044" s="94"/>
      <c r="U1044" s="94"/>
      <c r="V1044" s="94"/>
      <c r="W1044" s="94"/>
      <c r="X1044" s="94"/>
      <c r="Y1044" s="94"/>
      <c r="Z1044" s="94"/>
      <c r="AA1044" s="94"/>
      <c r="AB1044" s="94"/>
      <c r="AC1044" s="94"/>
      <c r="AD1044" s="94"/>
      <c r="AE1044" s="94"/>
      <c r="AF1044" s="94"/>
      <c r="AG1044" s="94"/>
      <c r="AH1044" s="94"/>
      <c r="AI1044" s="94"/>
      <c r="AJ1044" s="94"/>
      <c r="AK1044" s="94"/>
      <c r="AL1044" s="94"/>
      <c r="AM1044" s="94"/>
      <c r="AN1044" s="94"/>
      <c r="AO1044" s="94"/>
      <c r="AP1044" s="94"/>
      <c r="AQ1044" s="94"/>
      <c r="AR1044" s="94"/>
      <c r="AS1044" s="94"/>
      <c r="AT1044" s="94"/>
      <c r="AU1044" s="94"/>
      <c r="AV1044" s="94"/>
      <c r="AW1044" s="94"/>
      <c r="AX1044" s="94"/>
      <c r="AY1044" s="94"/>
      <c r="AZ1044" s="94"/>
      <c r="BA1044" s="95"/>
    </row>
    <row r="1045" spans="1:53" s="87" customFormat="1">
      <c r="A1045" s="90" t="str">
        <f t="shared" si="41"/>
        <v/>
      </c>
      <c r="B1045" s="98"/>
      <c r="C1045" s="94"/>
      <c r="D1045" s="94"/>
      <c r="E1045" s="94"/>
      <c r="F1045" s="94"/>
      <c r="G1045" s="94"/>
      <c r="H1045" s="94"/>
      <c r="I1045" s="94"/>
      <c r="J1045" s="94"/>
      <c r="K1045" s="94"/>
      <c r="L1045" s="94"/>
      <c r="M1045" s="94"/>
      <c r="N1045" s="94"/>
      <c r="O1045" s="94"/>
      <c r="P1045" s="94"/>
      <c r="Q1045" s="94"/>
      <c r="R1045" s="94"/>
      <c r="S1045" s="94"/>
      <c r="T1045" s="94"/>
      <c r="U1045" s="94"/>
      <c r="V1045" s="94"/>
      <c r="W1045" s="94"/>
      <c r="X1045" s="94"/>
      <c r="Y1045" s="94"/>
      <c r="Z1045" s="94"/>
      <c r="AA1045" s="94"/>
      <c r="AB1045" s="94"/>
      <c r="AC1045" s="94"/>
      <c r="AD1045" s="94"/>
      <c r="AE1045" s="94"/>
      <c r="AF1045" s="94"/>
      <c r="AG1045" s="94"/>
      <c r="AH1045" s="94"/>
      <c r="AI1045" s="94"/>
      <c r="AJ1045" s="94"/>
      <c r="AK1045" s="94"/>
      <c r="AL1045" s="94"/>
      <c r="AM1045" s="94"/>
      <c r="AN1045" s="94"/>
      <c r="AO1045" s="94"/>
      <c r="AP1045" s="94"/>
      <c r="AQ1045" s="94"/>
      <c r="AR1045" s="94"/>
      <c r="AS1045" s="94"/>
      <c r="AT1045" s="94"/>
      <c r="AU1045" s="94"/>
      <c r="AV1045" s="94"/>
      <c r="AW1045" s="94"/>
      <c r="AX1045" s="94"/>
      <c r="AY1045" s="94"/>
      <c r="AZ1045" s="94"/>
      <c r="BA1045" s="95"/>
    </row>
    <row r="1046" spans="1:53" s="87" customFormat="1">
      <c r="A1046" s="90" t="str">
        <f t="shared" si="41"/>
        <v/>
      </c>
      <c r="B1046" s="98"/>
      <c r="C1046" s="94"/>
      <c r="D1046" s="94"/>
      <c r="E1046" s="94"/>
      <c r="F1046" s="94"/>
      <c r="G1046" s="94"/>
      <c r="H1046" s="94"/>
      <c r="I1046" s="94"/>
      <c r="J1046" s="94"/>
      <c r="K1046" s="94"/>
      <c r="L1046" s="94"/>
      <c r="M1046" s="94"/>
      <c r="N1046" s="94"/>
      <c r="O1046" s="94"/>
      <c r="P1046" s="94"/>
      <c r="Q1046" s="94"/>
      <c r="R1046" s="94"/>
      <c r="S1046" s="94"/>
      <c r="T1046" s="94"/>
      <c r="U1046" s="94"/>
      <c r="V1046" s="94"/>
      <c r="W1046" s="94"/>
      <c r="X1046" s="94"/>
      <c r="Y1046" s="94"/>
      <c r="Z1046" s="94"/>
      <c r="AA1046" s="94"/>
      <c r="AB1046" s="94"/>
      <c r="AC1046" s="94"/>
      <c r="AD1046" s="94"/>
      <c r="AE1046" s="94"/>
      <c r="AF1046" s="94"/>
      <c r="AG1046" s="94"/>
      <c r="AH1046" s="94"/>
      <c r="AI1046" s="94"/>
      <c r="AJ1046" s="94"/>
      <c r="AK1046" s="94"/>
      <c r="AL1046" s="94"/>
      <c r="AM1046" s="94"/>
      <c r="AN1046" s="94"/>
      <c r="AO1046" s="94"/>
      <c r="AP1046" s="94"/>
      <c r="AQ1046" s="94"/>
      <c r="AR1046" s="94"/>
      <c r="AS1046" s="94"/>
      <c r="AT1046" s="94"/>
      <c r="AU1046" s="94"/>
      <c r="AV1046" s="94"/>
      <c r="AW1046" s="94"/>
      <c r="AX1046" s="94"/>
      <c r="AY1046" s="94"/>
      <c r="AZ1046" s="94"/>
      <c r="BA1046" s="95"/>
    </row>
    <row r="1047" spans="1:53" s="87" customFormat="1">
      <c r="A1047" s="90" t="str">
        <f t="shared" si="41"/>
        <v/>
      </c>
      <c r="B1047" s="98"/>
      <c r="C1047" s="94"/>
      <c r="D1047" s="94"/>
      <c r="E1047" s="94"/>
      <c r="F1047" s="94"/>
      <c r="G1047" s="94"/>
      <c r="H1047" s="94"/>
      <c r="I1047" s="94"/>
      <c r="J1047" s="94"/>
      <c r="K1047" s="94"/>
      <c r="L1047" s="94"/>
      <c r="M1047" s="94"/>
      <c r="N1047" s="94"/>
      <c r="O1047" s="94"/>
      <c r="P1047" s="94"/>
      <c r="Q1047" s="94"/>
      <c r="R1047" s="94"/>
      <c r="S1047" s="94"/>
      <c r="T1047" s="94"/>
      <c r="U1047" s="94"/>
      <c r="V1047" s="94"/>
      <c r="W1047" s="94"/>
      <c r="X1047" s="94"/>
      <c r="Y1047" s="94"/>
      <c r="Z1047" s="94"/>
      <c r="AA1047" s="94"/>
      <c r="AB1047" s="94"/>
      <c r="AC1047" s="94"/>
      <c r="AD1047" s="94"/>
      <c r="AE1047" s="94"/>
      <c r="AF1047" s="94"/>
      <c r="AG1047" s="94"/>
      <c r="AH1047" s="94"/>
      <c r="AI1047" s="94"/>
      <c r="AJ1047" s="94"/>
      <c r="AK1047" s="94"/>
      <c r="AL1047" s="94"/>
      <c r="AM1047" s="94"/>
      <c r="AN1047" s="94"/>
      <c r="AO1047" s="94"/>
      <c r="AP1047" s="94"/>
      <c r="AQ1047" s="94"/>
      <c r="AR1047" s="94"/>
      <c r="AS1047" s="94"/>
      <c r="AT1047" s="94"/>
      <c r="AU1047" s="94"/>
      <c r="AV1047" s="94"/>
      <c r="AW1047" s="94"/>
      <c r="AX1047" s="94"/>
      <c r="AY1047" s="94"/>
      <c r="AZ1047" s="94"/>
      <c r="BA1047" s="95"/>
    </row>
    <row r="1048" spans="1:53" s="87" customFormat="1">
      <c r="A1048" s="90" t="str">
        <f t="shared" si="41"/>
        <v/>
      </c>
      <c r="B1048" s="98"/>
      <c r="C1048" s="94"/>
      <c r="D1048" s="94"/>
      <c r="E1048" s="94"/>
      <c r="F1048" s="94"/>
      <c r="G1048" s="94"/>
      <c r="H1048" s="94"/>
      <c r="I1048" s="94"/>
      <c r="J1048" s="94"/>
      <c r="K1048" s="94"/>
      <c r="L1048" s="94"/>
      <c r="M1048" s="94"/>
      <c r="N1048" s="94"/>
      <c r="O1048" s="94"/>
      <c r="P1048" s="94"/>
      <c r="Q1048" s="94"/>
      <c r="R1048" s="94"/>
      <c r="S1048" s="94"/>
      <c r="T1048" s="94"/>
      <c r="U1048" s="94"/>
      <c r="V1048" s="94"/>
      <c r="W1048" s="94"/>
      <c r="X1048" s="94"/>
      <c r="Y1048" s="94"/>
      <c r="Z1048" s="94"/>
      <c r="AA1048" s="94"/>
      <c r="AB1048" s="94"/>
      <c r="AC1048" s="94"/>
      <c r="AD1048" s="94"/>
      <c r="AE1048" s="94"/>
      <c r="AF1048" s="94"/>
      <c r="AG1048" s="94"/>
      <c r="AH1048" s="94"/>
      <c r="AI1048" s="94"/>
      <c r="AJ1048" s="94"/>
      <c r="AK1048" s="94"/>
      <c r="AL1048" s="94"/>
      <c r="AM1048" s="94"/>
      <c r="AN1048" s="94"/>
      <c r="AO1048" s="94"/>
      <c r="AP1048" s="94"/>
      <c r="AQ1048" s="94"/>
      <c r="AR1048" s="94"/>
      <c r="AS1048" s="94"/>
      <c r="AT1048" s="94"/>
      <c r="AU1048" s="94"/>
      <c r="AV1048" s="94"/>
      <c r="AW1048" s="94"/>
      <c r="AX1048" s="94"/>
      <c r="AY1048" s="94"/>
      <c r="AZ1048" s="94"/>
      <c r="BA1048" s="95"/>
    </row>
    <row r="1049" spans="1:53" s="87" customFormat="1">
      <c r="A1049" s="90" t="str">
        <f t="shared" si="41"/>
        <v/>
      </c>
      <c r="B1049" s="98"/>
      <c r="C1049" s="94"/>
      <c r="D1049" s="94"/>
      <c r="E1049" s="94"/>
      <c r="F1049" s="94"/>
      <c r="G1049" s="94"/>
      <c r="H1049" s="94"/>
      <c r="I1049" s="94"/>
      <c r="J1049" s="94"/>
      <c r="K1049" s="94"/>
      <c r="L1049" s="94"/>
      <c r="M1049" s="94"/>
      <c r="N1049" s="94"/>
      <c r="O1049" s="94"/>
      <c r="P1049" s="94"/>
      <c r="Q1049" s="94"/>
      <c r="R1049" s="94"/>
      <c r="S1049" s="94"/>
      <c r="T1049" s="94"/>
      <c r="U1049" s="94"/>
      <c r="V1049" s="94"/>
      <c r="W1049" s="94"/>
      <c r="X1049" s="94"/>
      <c r="Y1049" s="94"/>
      <c r="Z1049" s="94"/>
      <c r="AA1049" s="94"/>
      <c r="AB1049" s="94"/>
      <c r="AC1049" s="94"/>
      <c r="AD1049" s="94"/>
      <c r="AE1049" s="94"/>
      <c r="AF1049" s="94"/>
      <c r="AG1049" s="94"/>
      <c r="AH1049" s="94"/>
      <c r="AI1049" s="94"/>
      <c r="AJ1049" s="94"/>
      <c r="AK1049" s="94"/>
      <c r="AL1049" s="94"/>
      <c r="AM1049" s="94"/>
      <c r="AN1049" s="94"/>
      <c r="AO1049" s="94"/>
      <c r="AP1049" s="94"/>
      <c r="AQ1049" s="94"/>
      <c r="AR1049" s="94"/>
      <c r="AS1049" s="94"/>
      <c r="AT1049" s="94"/>
      <c r="AU1049" s="94"/>
      <c r="AV1049" s="94"/>
      <c r="AW1049" s="94"/>
      <c r="AX1049" s="94"/>
      <c r="AY1049" s="94"/>
      <c r="AZ1049" s="94"/>
      <c r="BA1049" s="95"/>
    </row>
    <row r="1050" spans="1:53" s="87" customFormat="1">
      <c r="A1050" s="90" t="str">
        <f t="shared" si="41"/>
        <v/>
      </c>
      <c r="B1050" s="98"/>
      <c r="C1050" s="94"/>
      <c r="D1050" s="94"/>
      <c r="E1050" s="94"/>
      <c r="F1050" s="94"/>
      <c r="G1050" s="94"/>
      <c r="H1050" s="94"/>
      <c r="I1050" s="94"/>
      <c r="J1050" s="94"/>
      <c r="K1050" s="94"/>
      <c r="L1050" s="94"/>
      <c r="M1050" s="94"/>
      <c r="N1050" s="94"/>
      <c r="O1050" s="94"/>
      <c r="P1050" s="94"/>
      <c r="Q1050" s="94"/>
      <c r="R1050" s="94"/>
      <c r="S1050" s="94"/>
      <c r="T1050" s="94"/>
      <c r="U1050" s="94"/>
      <c r="V1050" s="94"/>
      <c r="W1050" s="94"/>
      <c r="X1050" s="94"/>
      <c r="Y1050" s="94"/>
      <c r="Z1050" s="94"/>
      <c r="AA1050" s="94"/>
      <c r="AB1050" s="94"/>
      <c r="AC1050" s="94"/>
      <c r="AD1050" s="94"/>
      <c r="AE1050" s="94"/>
      <c r="AF1050" s="94"/>
      <c r="AG1050" s="94"/>
      <c r="AH1050" s="94"/>
      <c r="AI1050" s="94"/>
      <c r="AJ1050" s="94"/>
      <c r="AK1050" s="94"/>
      <c r="AL1050" s="94"/>
      <c r="AM1050" s="94"/>
      <c r="AN1050" s="94"/>
      <c r="AO1050" s="94"/>
      <c r="AP1050" s="94"/>
      <c r="AQ1050" s="94"/>
      <c r="AR1050" s="94"/>
      <c r="AS1050" s="94"/>
      <c r="AT1050" s="94"/>
      <c r="AU1050" s="94"/>
      <c r="AV1050" s="94"/>
      <c r="AW1050" s="94"/>
      <c r="AX1050" s="94"/>
      <c r="AY1050" s="94"/>
      <c r="AZ1050" s="94"/>
      <c r="BA1050" s="95"/>
    </row>
    <row r="1051" spans="1:53" s="87" customFormat="1">
      <c r="A1051" s="90" t="str">
        <f t="shared" si="41"/>
        <v/>
      </c>
      <c r="B1051" s="98"/>
      <c r="C1051" s="94"/>
      <c r="D1051" s="94"/>
      <c r="E1051" s="94"/>
      <c r="F1051" s="94"/>
      <c r="G1051" s="94"/>
      <c r="H1051" s="94"/>
      <c r="I1051" s="94"/>
      <c r="J1051" s="94"/>
      <c r="K1051" s="94"/>
      <c r="L1051" s="94"/>
      <c r="M1051" s="94"/>
      <c r="N1051" s="94"/>
      <c r="O1051" s="94"/>
      <c r="P1051" s="94"/>
      <c r="Q1051" s="94"/>
      <c r="R1051" s="94"/>
      <c r="S1051" s="94"/>
      <c r="T1051" s="94"/>
      <c r="U1051" s="94"/>
      <c r="V1051" s="94"/>
      <c r="W1051" s="94"/>
      <c r="X1051" s="94"/>
      <c r="Y1051" s="94"/>
      <c r="Z1051" s="94"/>
      <c r="AA1051" s="94"/>
      <c r="AB1051" s="94"/>
      <c r="AC1051" s="94"/>
      <c r="AD1051" s="94"/>
      <c r="AE1051" s="94"/>
      <c r="AF1051" s="94"/>
      <c r="AG1051" s="94"/>
      <c r="AH1051" s="94"/>
      <c r="AI1051" s="94"/>
      <c r="AJ1051" s="94"/>
      <c r="AK1051" s="94"/>
      <c r="AL1051" s="94"/>
      <c r="AM1051" s="94"/>
      <c r="AN1051" s="94"/>
      <c r="AO1051" s="94"/>
      <c r="AP1051" s="94"/>
      <c r="AQ1051" s="94"/>
      <c r="AR1051" s="94"/>
      <c r="AS1051" s="94"/>
      <c r="AT1051" s="94"/>
      <c r="AU1051" s="94"/>
      <c r="AV1051" s="94"/>
      <c r="AW1051" s="94"/>
      <c r="AX1051" s="94"/>
      <c r="AY1051" s="94"/>
      <c r="AZ1051" s="94"/>
      <c r="BA1051" s="95"/>
    </row>
    <row r="1052" spans="1:53" s="87" customFormat="1">
      <c r="A1052" s="90" t="str">
        <f t="shared" si="41"/>
        <v/>
      </c>
      <c r="B1052" s="98"/>
      <c r="C1052" s="94"/>
      <c r="D1052" s="94"/>
      <c r="E1052" s="94"/>
      <c r="F1052" s="94"/>
      <c r="G1052" s="94"/>
      <c r="H1052" s="94"/>
      <c r="I1052" s="94"/>
      <c r="J1052" s="94"/>
      <c r="K1052" s="94"/>
      <c r="L1052" s="94"/>
      <c r="M1052" s="94"/>
      <c r="N1052" s="94"/>
      <c r="O1052" s="94"/>
      <c r="P1052" s="94"/>
      <c r="Q1052" s="94"/>
      <c r="R1052" s="94"/>
      <c r="S1052" s="94"/>
      <c r="T1052" s="94"/>
      <c r="U1052" s="94"/>
      <c r="V1052" s="94"/>
      <c r="W1052" s="94"/>
      <c r="X1052" s="94"/>
      <c r="Y1052" s="94"/>
      <c r="Z1052" s="94"/>
      <c r="AA1052" s="94"/>
      <c r="AB1052" s="94"/>
      <c r="AC1052" s="94"/>
      <c r="AD1052" s="94"/>
      <c r="AE1052" s="94"/>
      <c r="AF1052" s="94"/>
      <c r="AG1052" s="94"/>
      <c r="AH1052" s="94"/>
      <c r="AI1052" s="94"/>
      <c r="AJ1052" s="94"/>
      <c r="AK1052" s="94"/>
      <c r="AL1052" s="94"/>
      <c r="AM1052" s="94"/>
      <c r="AN1052" s="94"/>
      <c r="AO1052" s="94"/>
      <c r="AP1052" s="94"/>
      <c r="AQ1052" s="94"/>
      <c r="AR1052" s="94"/>
      <c r="AS1052" s="94"/>
      <c r="AT1052" s="94"/>
      <c r="AU1052" s="94"/>
      <c r="AV1052" s="94"/>
      <c r="AW1052" s="94"/>
      <c r="AX1052" s="94"/>
      <c r="AY1052" s="94"/>
      <c r="AZ1052" s="94"/>
      <c r="BA1052" s="95"/>
    </row>
    <row r="1053" spans="1:53" s="87" customFormat="1">
      <c r="A1053" s="90" t="str">
        <f t="shared" si="41"/>
        <v/>
      </c>
      <c r="B1053" s="98"/>
      <c r="C1053" s="94"/>
      <c r="D1053" s="94"/>
      <c r="E1053" s="94"/>
      <c r="F1053" s="94"/>
      <c r="G1053" s="94"/>
      <c r="H1053" s="94"/>
      <c r="I1053" s="94"/>
      <c r="J1053" s="94"/>
      <c r="K1053" s="94"/>
      <c r="L1053" s="94"/>
      <c r="M1053" s="94"/>
      <c r="N1053" s="94"/>
      <c r="O1053" s="94"/>
      <c r="P1053" s="94"/>
      <c r="Q1053" s="94"/>
      <c r="R1053" s="94"/>
      <c r="S1053" s="94"/>
      <c r="T1053" s="94"/>
      <c r="U1053" s="94"/>
      <c r="V1053" s="94"/>
      <c r="W1053" s="94"/>
      <c r="X1053" s="94"/>
      <c r="Y1053" s="94"/>
      <c r="Z1053" s="94"/>
      <c r="AA1053" s="94"/>
      <c r="AB1053" s="94"/>
      <c r="AC1053" s="94"/>
      <c r="AD1053" s="94"/>
      <c r="AE1053" s="94"/>
      <c r="AF1053" s="94"/>
      <c r="AG1053" s="94"/>
      <c r="AH1053" s="94"/>
      <c r="AI1053" s="94"/>
      <c r="AJ1053" s="94"/>
      <c r="AK1053" s="94"/>
      <c r="AL1053" s="94"/>
      <c r="AM1053" s="94"/>
      <c r="AN1053" s="94"/>
      <c r="AO1053" s="94"/>
      <c r="AP1053" s="94"/>
      <c r="AQ1053" s="94"/>
      <c r="AR1053" s="94"/>
      <c r="AS1053" s="94"/>
      <c r="AT1053" s="94"/>
      <c r="AU1053" s="94"/>
      <c r="AV1053" s="94"/>
      <c r="AW1053" s="94"/>
      <c r="AX1053" s="94"/>
      <c r="AY1053" s="94"/>
      <c r="AZ1053" s="94"/>
      <c r="BA1053" s="95"/>
    </row>
    <row r="1054" spans="1:53" s="87" customFormat="1">
      <c r="A1054" s="90" t="str">
        <f t="shared" si="41"/>
        <v/>
      </c>
      <c r="B1054" s="98"/>
      <c r="C1054" s="94"/>
      <c r="D1054" s="94"/>
      <c r="E1054" s="94"/>
      <c r="F1054" s="94"/>
      <c r="G1054" s="94"/>
      <c r="H1054" s="94"/>
      <c r="I1054" s="94"/>
      <c r="J1054" s="94"/>
      <c r="K1054" s="94"/>
      <c r="L1054" s="94"/>
      <c r="M1054" s="94"/>
      <c r="N1054" s="94"/>
      <c r="O1054" s="94"/>
      <c r="P1054" s="94"/>
      <c r="Q1054" s="94"/>
      <c r="R1054" s="94"/>
      <c r="S1054" s="94"/>
      <c r="T1054" s="94"/>
      <c r="U1054" s="94"/>
      <c r="V1054" s="94"/>
      <c r="W1054" s="94"/>
      <c r="X1054" s="94"/>
      <c r="Y1054" s="94"/>
      <c r="Z1054" s="94"/>
      <c r="AA1054" s="94"/>
      <c r="AB1054" s="94"/>
      <c r="AC1054" s="94"/>
      <c r="AD1054" s="94"/>
      <c r="AE1054" s="94"/>
      <c r="AF1054" s="94"/>
      <c r="AG1054" s="94"/>
      <c r="AH1054" s="94"/>
      <c r="AI1054" s="94"/>
      <c r="AJ1054" s="94"/>
      <c r="AK1054" s="94"/>
      <c r="AL1054" s="94"/>
      <c r="AM1054" s="94"/>
      <c r="AN1054" s="94"/>
      <c r="AO1054" s="94"/>
      <c r="AP1054" s="94"/>
      <c r="AQ1054" s="94"/>
      <c r="AR1054" s="94"/>
      <c r="AS1054" s="94"/>
      <c r="AT1054" s="94"/>
      <c r="AU1054" s="94"/>
      <c r="AV1054" s="94"/>
      <c r="AW1054" s="94"/>
      <c r="AX1054" s="94"/>
      <c r="AY1054" s="94"/>
      <c r="AZ1054" s="94"/>
      <c r="BA1054" s="95"/>
    </row>
    <row r="1055" spans="1:53" s="87" customFormat="1">
      <c r="A1055" s="90" t="str">
        <f t="shared" si="41"/>
        <v/>
      </c>
      <c r="B1055" s="98"/>
      <c r="C1055" s="94"/>
      <c r="D1055" s="94"/>
      <c r="E1055" s="94"/>
      <c r="F1055" s="94"/>
      <c r="G1055" s="94"/>
      <c r="H1055" s="94"/>
      <c r="I1055" s="94"/>
      <c r="J1055" s="94"/>
      <c r="K1055" s="94"/>
      <c r="L1055" s="94"/>
      <c r="M1055" s="94"/>
      <c r="N1055" s="94"/>
      <c r="O1055" s="94"/>
      <c r="P1055" s="94"/>
      <c r="Q1055" s="94"/>
      <c r="R1055" s="94"/>
      <c r="S1055" s="94"/>
      <c r="T1055" s="94"/>
      <c r="U1055" s="94"/>
      <c r="V1055" s="94"/>
      <c r="W1055" s="94"/>
      <c r="X1055" s="94"/>
      <c r="Y1055" s="94"/>
      <c r="Z1055" s="94"/>
      <c r="AA1055" s="94"/>
      <c r="AB1055" s="94"/>
      <c r="AC1055" s="94"/>
      <c r="AD1055" s="94"/>
      <c r="AE1055" s="94"/>
      <c r="AF1055" s="94"/>
      <c r="AG1055" s="94"/>
      <c r="AH1055" s="94"/>
      <c r="AI1055" s="94"/>
      <c r="AJ1055" s="94"/>
      <c r="AK1055" s="94"/>
      <c r="AL1055" s="94"/>
      <c r="AM1055" s="94"/>
      <c r="AN1055" s="94"/>
      <c r="AO1055" s="94"/>
      <c r="AP1055" s="94"/>
      <c r="AQ1055" s="94"/>
      <c r="AR1055" s="94"/>
      <c r="AS1055" s="94"/>
      <c r="AT1055" s="94"/>
      <c r="AU1055" s="94"/>
      <c r="AV1055" s="94"/>
      <c r="AW1055" s="94"/>
      <c r="AX1055" s="94"/>
      <c r="AY1055" s="94"/>
      <c r="AZ1055" s="94"/>
      <c r="BA1055" s="95"/>
    </row>
    <row r="1056" spans="1:53" s="87" customFormat="1">
      <c r="A1056" s="90" t="str">
        <f t="shared" si="41"/>
        <v/>
      </c>
      <c r="B1056" s="98"/>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c r="AM1056" s="94"/>
      <c r="AN1056" s="94"/>
      <c r="AO1056" s="94"/>
      <c r="AP1056" s="94"/>
      <c r="AQ1056" s="94"/>
      <c r="AR1056" s="94"/>
      <c r="AS1056" s="94"/>
      <c r="AT1056" s="94"/>
      <c r="AU1056" s="94"/>
      <c r="AV1056" s="94"/>
      <c r="AW1056" s="94"/>
      <c r="AX1056" s="94"/>
      <c r="AY1056" s="94"/>
      <c r="AZ1056" s="94"/>
      <c r="BA1056" s="95"/>
    </row>
    <row r="1057" spans="1:53" s="87" customFormat="1">
      <c r="A1057" s="90" t="str">
        <f t="shared" si="41"/>
        <v/>
      </c>
      <c r="B1057" s="98"/>
      <c r="C1057" s="94"/>
      <c r="D1057" s="94"/>
      <c r="E1057" s="94"/>
      <c r="F1057" s="94"/>
      <c r="G1057" s="94"/>
      <c r="H1057" s="94"/>
      <c r="I1057" s="94"/>
      <c r="J1057" s="94"/>
      <c r="K1057" s="94"/>
      <c r="L1057" s="94"/>
      <c r="M1057" s="94"/>
      <c r="N1057" s="94"/>
      <c r="O1057" s="94"/>
      <c r="P1057" s="94"/>
      <c r="Q1057" s="94"/>
      <c r="R1057" s="94"/>
      <c r="S1057" s="94"/>
      <c r="T1057" s="94"/>
      <c r="U1057" s="94"/>
      <c r="V1057" s="94"/>
      <c r="W1057" s="94"/>
      <c r="X1057" s="94"/>
      <c r="Y1057" s="94"/>
      <c r="Z1057" s="94"/>
      <c r="AA1057" s="94"/>
      <c r="AB1057" s="94"/>
      <c r="AC1057" s="94"/>
      <c r="AD1057" s="94"/>
      <c r="AE1057" s="94"/>
      <c r="AF1057" s="94"/>
      <c r="AG1057" s="94"/>
      <c r="AH1057" s="94"/>
      <c r="AI1057" s="94"/>
      <c r="AJ1057" s="94"/>
      <c r="AK1057" s="94"/>
      <c r="AL1057" s="94"/>
      <c r="AM1057" s="94"/>
      <c r="AN1057" s="94"/>
      <c r="AO1057" s="94"/>
      <c r="AP1057" s="94"/>
      <c r="AQ1057" s="94"/>
      <c r="AR1057" s="94"/>
      <c r="AS1057" s="94"/>
      <c r="AT1057" s="94"/>
      <c r="AU1057" s="94"/>
      <c r="AV1057" s="94"/>
      <c r="AW1057" s="94"/>
      <c r="AX1057" s="94"/>
      <c r="AY1057" s="94"/>
      <c r="AZ1057" s="94"/>
      <c r="BA1057" s="95"/>
    </row>
    <row r="1058" spans="1:53" s="87" customFormat="1">
      <c r="A1058" s="90" t="str">
        <f t="shared" si="41"/>
        <v/>
      </c>
      <c r="B1058" s="98"/>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5"/>
    </row>
    <row r="1059" spans="1:53" s="87" customFormat="1">
      <c r="A1059" s="90" t="str">
        <f t="shared" si="41"/>
        <v/>
      </c>
      <c r="B1059" s="98"/>
      <c r="C1059" s="94"/>
      <c r="D1059" s="94"/>
      <c r="E1059" s="94"/>
      <c r="F1059" s="94"/>
      <c r="G1059" s="94"/>
      <c r="H1059" s="94"/>
      <c r="I1059" s="94"/>
      <c r="J1059" s="94"/>
      <c r="K1059" s="94"/>
      <c r="L1059" s="94"/>
      <c r="M1059" s="94"/>
      <c r="N1059" s="94"/>
      <c r="O1059" s="94"/>
      <c r="P1059" s="94"/>
      <c r="Q1059" s="94"/>
      <c r="R1059" s="94"/>
      <c r="S1059" s="94"/>
      <c r="T1059" s="94"/>
      <c r="U1059" s="94"/>
      <c r="V1059" s="94"/>
      <c r="W1059" s="94"/>
      <c r="X1059" s="94"/>
      <c r="Y1059" s="94"/>
      <c r="Z1059" s="94"/>
      <c r="AA1059" s="94"/>
      <c r="AB1059" s="94"/>
      <c r="AC1059" s="94"/>
      <c r="AD1059" s="94"/>
      <c r="AE1059" s="94"/>
      <c r="AF1059" s="94"/>
      <c r="AG1059" s="94"/>
      <c r="AH1059" s="94"/>
      <c r="AI1059" s="94"/>
      <c r="AJ1059" s="94"/>
      <c r="AK1059" s="94"/>
      <c r="AL1059" s="94"/>
      <c r="AM1059" s="94"/>
      <c r="AN1059" s="94"/>
      <c r="AO1059" s="94"/>
      <c r="AP1059" s="94"/>
      <c r="AQ1059" s="94"/>
      <c r="AR1059" s="94"/>
      <c r="AS1059" s="94"/>
      <c r="AT1059" s="94"/>
      <c r="AU1059" s="94"/>
      <c r="AV1059" s="94"/>
      <c r="AW1059" s="94"/>
      <c r="AX1059" s="94"/>
      <c r="AY1059" s="94"/>
      <c r="AZ1059" s="94"/>
      <c r="BA1059" s="95"/>
    </row>
    <row r="1060" spans="1:53" s="87" customFormat="1">
      <c r="A1060" s="90" t="str">
        <f t="shared" si="41"/>
        <v/>
      </c>
      <c r="B1060" s="98"/>
      <c r="C1060" s="94"/>
      <c r="D1060" s="94"/>
      <c r="E1060" s="94"/>
      <c r="F1060" s="94"/>
      <c r="G1060" s="94"/>
      <c r="H1060" s="94"/>
      <c r="I1060" s="94"/>
      <c r="J1060" s="94"/>
      <c r="K1060" s="94"/>
      <c r="L1060" s="94"/>
      <c r="M1060" s="94"/>
      <c r="N1060" s="94"/>
      <c r="O1060" s="94"/>
      <c r="P1060" s="94"/>
      <c r="Q1060" s="94"/>
      <c r="R1060" s="94"/>
      <c r="S1060" s="94"/>
      <c r="T1060" s="94"/>
      <c r="U1060" s="94"/>
      <c r="V1060" s="94"/>
      <c r="W1060" s="94"/>
      <c r="X1060" s="94"/>
      <c r="Y1060" s="94"/>
      <c r="Z1060" s="94"/>
      <c r="AA1060" s="94"/>
      <c r="AB1060" s="94"/>
      <c r="AC1060" s="94"/>
      <c r="AD1060" s="94"/>
      <c r="AE1060" s="94"/>
      <c r="AF1060" s="94"/>
      <c r="AG1060" s="94"/>
      <c r="AH1060" s="94"/>
      <c r="AI1060" s="94"/>
      <c r="AJ1060" s="94"/>
      <c r="AK1060" s="94"/>
      <c r="AL1060" s="94"/>
      <c r="AM1060" s="94"/>
      <c r="AN1060" s="94"/>
      <c r="AO1060" s="94"/>
      <c r="AP1060" s="94"/>
      <c r="AQ1060" s="94"/>
      <c r="AR1060" s="94"/>
      <c r="AS1060" s="94"/>
      <c r="AT1060" s="94"/>
      <c r="AU1060" s="94"/>
      <c r="AV1060" s="94"/>
      <c r="AW1060" s="94"/>
      <c r="AX1060" s="94"/>
      <c r="AY1060" s="94"/>
      <c r="AZ1060" s="94"/>
      <c r="BA1060" s="95"/>
    </row>
    <row r="1061" spans="1:53" s="87" customFormat="1">
      <c r="A1061" s="90" t="str">
        <f t="shared" si="41"/>
        <v/>
      </c>
      <c r="B1061" s="98"/>
      <c r="C1061" s="94"/>
      <c r="D1061" s="94"/>
      <c r="E1061" s="94"/>
      <c r="F1061" s="94"/>
      <c r="G1061" s="94"/>
      <c r="H1061" s="94"/>
      <c r="I1061" s="94"/>
      <c r="J1061" s="94"/>
      <c r="K1061" s="94"/>
      <c r="L1061" s="94"/>
      <c r="M1061" s="94"/>
      <c r="N1061" s="94"/>
      <c r="O1061" s="94"/>
      <c r="P1061" s="94"/>
      <c r="Q1061" s="94"/>
      <c r="R1061" s="94"/>
      <c r="S1061" s="94"/>
      <c r="T1061" s="94"/>
      <c r="U1061" s="94"/>
      <c r="V1061" s="94"/>
      <c r="W1061" s="94"/>
      <c r="X1061" s="94"/>
      <c r="Y1061" s="94"/>
      <c r="Z1061" s="94"/>
      <c r="AA1061" s="94"/>
      <c r="AB1061" s="94"/>
      <c r="AC1061" s="94"/>
      <c r="AD1061" s="94"/>
      <c r="AE1061" s="94"/>
      <c r="AF1061" s="94"/>
      <c r="AG1061" s="94"/>
      <c r="AH1061" s="94"/>
      <c r="AI1061" s="94"/>
      <c r="AJ1061" s="94"/>
      <c r="AK1061" s="94"/>
      <c r="AL1061" s="94"/>
      <c r="AM1061" s="94"/>
      <c r="AN1061" s="94"/>
      <c r="AO1061" s="94"/>
      <c r="AP1061" s="94"/>
      <c r="AQ1061" s="94"/>
      <c r="AR1061" s="94"/>
      <c r="AS1061" s="94"/>
      <c r="AT1061" s="94"/>
      <c r="AU1061" s="94"/>
      <c r="AV1061" s="94"/>
      <c r="AW1061" s="94"/>
      <c r="AX1061" s="94"/>
      <c r="AY1061" s="94"/>
      <c r="AZ1061" s="94"/>
      <c r="BA1061" s="95"/>
    </row>
    <row r="1062" spans="1:53" s="87" customFormat="1">
      <c r="A1062" s="90" t="str">
        <f t="shared" si="41"/>
        <v/>
      </c>
      <c r="B1062" s="98"/>
      <c r="C1062" s="94"/>
      <c r="D1062" s="94"/>
      <c r="E1062" s="94"/>
      <c r="F1062" s="94"/>
      <c r="G1062" s="94"/>
      <c r="H1062" s="94"/>
      <c r="I1062" s="94"/>
      <c r="J1062" s="94"/>
      <c r="K1062" s="94"/>
      <c r="L1062" s="94"/>
      <c r="M1062" s="94"/>
      <c r="N1062" s="94"/>
      <c r="O1062" s="94"/>
      <c r="P1062" s="94"/>
      <c r="Q1062" s="94"/>
      <c r="R1062" s="94"/>
      <c r="S1062" s="94"/>
      <c r="T1062" s="94"/>
      <c r="U1062" s="94"/>
      <c r="V1062" s="94"/>
      <c r="W1062" s="94"/>
      <c r="X1062" s="94"/>
      <c r="Y1062" s="94"/>
      <c r="Z1062" s="94"/>
      <c r="AA1062" s="94"/>
      <c r="AB1062" s="94"/>
      <c r="AC1062" s="94"/>
      <c r="AD1062" s="94"/>
      <c r="AE1062" s="94"/>
      <c r="AF1062" s="94"/>
      <c r="AG1062" s="94"/>
      <c r="AH1062" s="94"/>
      <c r="AI1062" s="94"/>
      <c r="AJ1062" s="94"/>
      <c r="AK1062" s="94"/>
      <c r="AL1062" s="94"/>
      <c r="AM1062" s="94"/>
      <c r="AN1062" s="94"/>
      <c r="AO1062" s="94"/>
      <c r="AP1062" s="94"/>
      <c r="AQ1062" s="94"/>
      <c r="AR1062" s="94"/>
      <c r="AS1062" s="94"/>
      <c r="AT1062" s="94"/>
      <c r="AU1062" s="94"/>
      <c r="AV1062" s="94"/>
      <c r="AW1062" s="94"/>
      <c r="AX1062" s="94"/>
      <c r="AY1062" s="94"/>
      <c r="AZ1062" s="94"/>
      <c r="BA1062" s="95"/>
    </row>
    <row r="1063" spans="1:53" s="87" customFormat="1">
      <c r="A1063" s="90" t="str">
        <f t="shared" si="41"/>
        <v/>
      </c>
      <c r="B1063" s="98"/>
      <c r="C1063" s="94"/>
      <c r="D1063" s="94"/>
      <c r="E1063" s="94"/>
      <c r="F1063" s="94"/>
      <c r="G1063" s="94"/>
      <c r="H1063" s="94"/>
      <c r="I1063" s="94"/>
      <c r="J1063" s="94"/>
      <c r="K1063" s="94"/>
      <c r="L1063" s="94"/>
      <c r="M1063" s="94"/>
      <c r="N1063" s="94"/>
      <c r="O1063" s="94"/>
      <c r="P1063" s="94"/>
      <c r="Q1063" s="94"/>
      <c r="R1063" s="94"/>
      <c r="S1063" s="94"/>
      <c r="T1063" s="94"/>
      <c r="U1063" s="94"/>
      <c r="V1063" s="94"/>
      <c r="W1063" s="94"/>
      <c r="X1063" s="94"/>
      <c r="Y1063" s="94"/>
      <c r="Z1063" s="94"/>
      <c r="AA1063" s="94"/>
      <c r="AB1063" s="94"/>
      <c r="AC1063" s="94"/>
      <c r="AD1063" s="94"/>
      <c r="AE1063" s="94"/>
      <c r="AF1063" s="94"/>
      <c r="AG1063" s="94"/>
      <c r="AH1063" s="94"/>
      <c r="AI1063" s="94"/>
      <c r="AJ1063" s="94"/>
      <c r="AK1063" s="94"/>
      <c r="AL1063" s="94"/>
      <c r="AM1063" s="94"/>
      <c r="AN1063" s="94"/>
      <c r="AO1063" s="94"/>
      <c r="AP1063" s="94"/>
      <c r="AQ1063" s="94"/>
      <c r="AR1063" s="94"/>
      <c r="AS1063" s="94"/>
      <c r="AT1063" s="94"/>
      <c r="AU1063" s="94"/>
      <c r="AV1063" s="94"/>
      <c r="AW1063" s="94"/>
      <c r="AX1063" s="94"/>
      <c r="AY1063" s="94"/>
      <c r="AZ1063" s="94"/>
      <c r="BA1063" s="95"/>
    </row>
    <row r="1064" spans="1:53" s="87" customFormat="1">
      <c r="A1064" s="90" t="str">
        <f t="shared" si="41"/>
        <v/>
      </c>
      <c r="B1064" s="98"/>
      <c r="C1064" s="94"/>
      <c r="D1064" s="94"/>
      <c r="E1064" s="94"/>
      <c r="F1064" s="94"/>
      <c r="G1064" s="94"/>
      <c r="H1064" s="94"/>
      <c r="I1064" s="94"/>
      <c r="J1064" s="94"/>
      <c r="K1064" s="94"/>
      <c r="L1064" s="94"/>
      <c r="M1064" s="94"/>
      <c r="N1064" s="94"/>
      <c r="O1064" s="94"/>
      <c r="P1064" s="94"/>
      <c r="Q1064" s="94"/>
      <c r="R1064" s="94"/>
      <c r="S1064" s="94"/>
      <c r="T1064" s="94"/>
      <c r="U1064" s="94"/>
      <c r="V1064" s="94"/>
      <c r="W1064" s="94"/>
      <c r="X1064" s="94"/>
      <c r="Y1064" s="94"/>
      <c r="Z1064" s="94"/>
      <c r="AA1064" s="94"/>
      <c r="AB1064" s="94"/>
      <c r="AC1064" s="94"/>
      <c r="AD1064" s="94"/>
      <c r="AE1064" s="94"/>
      <c r="AF1064" s="94"/>
      <c r="AG1064" s="94"/>
      <c r="AH1064" s="94"/>
      <c r="AI1064" s="94"/>
      <c r="AJ1064" s="94"/>
      <c r="AK1064" s="94"/>
      <c r="AL1064" s="94"/>
      <c r="AM1064" s="94"/>
      <c r="AN1064" s="94"/>
      <c r="AO1064" s="94"/>
      <c r="AP1064" s="94"/>
      <c r="AQ1064" s="94"/>
      <c r="AR1064" s="94"/>
      <c r="AS1064" s="94"/>
      <c r="AT1064" s="94"/>
      <c r="AU1064" s="94"/>
      <c r="AV1064" s="94"/>
      <c r="AW1064" s="94"/>
      <c r="AX1064" s="94"/>
      <c r="AY1064" s="94"/>
      <c r="AZ1064" s="94"/>
      <c r="BA1064" s="95"/>
    </row>
    <row r="1065" spans="1:53" s="87" customFormat="1">
      <c r="A1065" s="90" t="str">
        <f t="shared" si="41"/>
        <v/>
      </c>
      <c r="B1065" s="98"/>
      <c r="C1065" s="94"/>
      <c r="D1065" s="94"/>
      <c r="E1065" s="94"/>
      <c r="F1065" s="94"/>
      <c r="G1065" s="94"/>
      <c r="H1065" s="94"/>
      <c r="I1065" s="94"/>
      <c r="J1065" s="94"/>
      <c r="K1065" s="94"/>
      <c r="L1065" s="94"/>
      <c r="M1065" s="94"/>
      <c r="N1065" s="94"/>
      <c r="O1065" s="94"/>
      <c r="P1065" s="94"/>
      <c r="Q1065" s="94"/>
      <c r="R1065" s="94"/>
      <c r="S1065" s="94"/>
      <c r="T1065" s="94"/>
      <c r="U1065" s="94"/>
      <c r="V1065" s="94"/>
      <c r="W1065" s="94"/>
      <c r="X1065" s="94"/>
      <c r="Y1065" s="94"/>
      <c r="Z1065" s="94"/>
      <c r="AA1065" s="94"/>
      <c r="AB1065" s="94"/>
      <c r="AC1065" s="94"/>
      <c r="AD1065" s="94"/>
      <c r="AE1065" s="94"/>
      <c r="AF1065" s="94"/>
      <c r="AG1065" s="94"/>
      <c r="AH1065" s="94"/>
      <c r="AI1065" s="94"/>
      <c r="AJ1065" s="94"/>
      <c r="AK1065" s="94"/>
      <c r="AL1065" s="94"/>
      <c r="AM1065" s="94"/>
      <c r="AN1065" s="94"/>
      <c r="AO1065" s="94"/>
      <c r="AP1065" s="94"/>
      <c r="AQ1065" s="94"/>
      <c r="AR1065" s="94"/>
      <c r="AS1065" s="94"/>
      <c r="AT1065" s="94"/>
      <c r="AU1065" s="94"/>
      <c r="AV1065" s="94"/>
      <c r="AW1065" s="94"/>
      <c r="AX1065" s="94"/>
      <c r="AY1065" s="94"/>
      <c r="AZ1065" s="94"/>
      <c r="BA1065" s="95"/>
    </row>
    <row r="1066" spans="1:53" s="87" customFormat="1">
      <c r="A1066" s="90" t="str">
        <f t="shared" si="41"/>
        <v/>
      </c>
      <c r="B1066" s="98"/>
      <c r="C1066" s="94"/>
      <c r="D1066" s="94"/>
      <c r="E1066" s="94"/>
      <c r="F1066" s="94"/>
      <c r="G1066" s="94"/>
      <c r="H1066" s="94"/>
      <c r="I1066" s="94"/>
      <c r="J1066" s="94"/>
      <c r="K1066" s="94"/>
      <c r="L1066" s="94"/>
      <c r="M1066" s="94"/>
      <c r="N1066" s="94"/>
      <c r="O1066" s="94"/>
      <c r="P1066" s="94"/>
      <c r="Q1066" s="94"/>
      <c r="R1066" s="94"/>
      <c r="S1066" s="94"/>
      <c r="T1066" s="94"/>
      <c r="U1066" s="94"/>
      <c r="V1066" s="94"/>
      <c r="W1066" s="94"/>
      <c r="X1066" s="94"/>
      <c r="Y1066" s="94"/>
      <c r="Z1066" s="94"/>
      <c r="AA1066" s="94"/>
      <c r="AB1066" s="94"/>
      <c r="AC1066" s="94"/>
      <c r="AD1066" s="94"/>
      <c r="AE1066" s="94"/>
      <c r="AF1066" s="94"/>
      <c r="AG1066" s="94"/>
      <c r="AH1066" s="94"/>
      <c r="AI1066" s="94"/>
      <c r="AJ1066" s="94"/>
      <c r="AK1066" s="94"/>
      <c r="AL1066" s="94"/>
      <c r="AM1066" s="94"/>
      <c r="AN1066" s="94"/>
      <c r="AO1066" s="94"/>
      <c r="AP1066" s="94"/>
      <c r="AQ1066" s="94"/>
      <c r="AR1066" s="94"/>
      <c r="AS1066" s="94"/>
      <c r="AT1066" s="94"/>
      <c r="AU1066" s="94"/>
      <c r="AV1066" s="94"/>
      <c r="AW1066" s="94"/>
      <c r="AX1066" s="94"/>
      <c r="AY1066" s="94"/>
      <c r="AZ1066" s="94"/>
      <c r="BA1066" s="95"/>
    </row>
    <row r="1067" spans="1:53" s="87" customFormat="1">
      <c r="A1067" s="90" t="str">
        <f t="shared" si="41"/>
        <v/>
      </c>
      <c r="B1067" s="98"/>
      <c r="C1067" s="94"/>
      <c r="D1067" s="94"/>
      <c r="E1067" s="94"/>
      <c r="F1067" s="94"/>
      <c r="G1067" s="94"/>
      <c r="H1067" s="94"/>
      <c r="I1067" s="94"/>
      <c r="J1067" s="94"/>
      <c r="K1067" s="94"/>
      <c r="L1067" s="94"/>
      <c r="M1067" s="94"/>
      <c r="N1067" s="94"/>
      <c r="O1067" s="94"/>
      <c r="P1067" s="94"/>
      <c r="Q1067" s="94"/>
      <c r="R1067" s="94"/>
      <c r="S1067" s="94"/>
      <c r="T1067" s="94"/>
      <c r="U1067" s="94"/>
      <c r="V1067" s="94"/>
      <c r="W1067" s="94"/>
      <c r="X1067" s="94"/>
      <c r="Y1067" s="94"/>
      <c r="Z1067" s="94"/>
      <c r="AA1067" s="94"/>
      <c r="AB1067" s="94"/>
      <c r="AC1067" s="94"/>
      <c r="AD1067" s="94"/>
      <c r="AE1067" s="94"/>
      <c r="AF1067" s="94"/>
      <c r="AG1067" s="94"/>
      <c r="AH1067" s="94"/>
      <c r="AI1067" s="94"/>
      <c r="AJ1067" s="94"/>
      <c r="AK1067" s="94"/>
      <c r="AL1067" s="94"/>
      <c r="AM1067" s="94"/>
      <c r="AN1067" s="94"/>
      <c r="AO1067" s="94"/>
      <c r="AP1067" s="94"/>
      <c r="AQ1067" s="94"/>
      <c r="AR1067" s="94"/>
      <c r="AS1067" s="94"/>
      <c r="AT1067" s="94"/>
      <c r="AU1067" s="94"/>
      <c r="AV1067" s="94"/>
      <c r="AW1067" s="94"/>
      <c r="AX1067" s="94"/>
      <c r="AY1067" s="94"/>
      <c r="AZ1067" s="94"/>
      <c r="BA1067" s="95"/>
    </row>
    <row r="1068" spans="1:53" s="87" customFormat="1">
      <c r="A1068" s="90" t="str">
        <f t="shared" si="41"/>
        <v/>
      </c>
      <c r="B1068" s="98"/>
      <c r="C1068" s="94"/>
      <c r="D1068" s="94"/>
      <c r="E1068" s="94"/>
      <c r="F1068" s="94"/>
      <c r="G1068" s="94"/>
      <c r="H1068" s="94"/>
      <c r="I1068" s="94"/>
      <c r="J1068" s="94"/>
      <c r="K1068" s="94"/>
      <c r="L1068" s="94"/>
      <c r="M1068" s="94"/>
      <c r="N1068" s="94"/>
      <c r="O1068" s="94"/>
      <c r="P1068" s="94"/>
      <c r="Q1068" s="94"/>
      <c r="R1068" s="94"/>
      <c r="S1068" s="94"/>
      <c r="T1068" s="94"/>
      <c r="U1068" s="94"/>
      <c r="V1068" s="94"/>
      <c r="W1068" s="94"/>
      <c r="X1068" s="94"/>
      <c r="Y1068" s="94"/>
      <c r="Z1068" s="94"/>
      <c r="AA1068" s="94"/>
      <c r="AB1068" s="94"/>
      <c r="AC1068" s="94"/>
      <c r="AD1068" s="94"/>
      <c r="AE1068" s="94"/>
      <c r="AF1068" s="94"/>
      <c r="AG1068" s="94"/>
      <c r="AH1068" s="94"/>
      <c r="AI1068" s="94"/>
      <c r="AJ1068" s="94"/>
      <c r="AK1068" s="94"/>
      <c r="AL1068" s="94"/>
      <c r="AM1068" s="94"/>
      <c r="AN1068" s="94"/>
      <c r="AO1068" s="94"/>
      <c r="AP1068" s="94"/>
      <c r="AQ1068" s="94"/>
      <c r="AR1068" s="94"/>
      <c r="AS1068" s="94"/>
      <c r="AT1068" s="94"/>
      <c r="AU1068" s="94"/>
      <c r="AV1068" s="94"/>
      <c r="AW1068" s="94"/>
      <c r="AX1068" s="94"/>
      <c r="AY1068" s="94"/>
      <c r="AZ1068" s="94"/>
      <c r="BA1068" s="95"/>
    </row>
    <row r="1069" spans="1:53" s="87" customFormat="1">
      <c r="A1069" s="90" t="str">
        <f t="shared" si="41"/>
        <v/>
      </c>
      <c r="B1069" s="98"/>
      <c r="C1069" s="94"/>
      <c r="D1069" s="94"/>
      <c r="E1069" s="94"/>
      <c r="F1069" s="94"/>
      <c r="G1069" s="94"/>
      <c r="H1069" s="94"/>
      <c r="I1069" s="94"/>
      <c r="J1069" s="94"/>
      <c r="K1069" s="94"/>
      <c r="L1069" s="94"/>
      <c r="M1069" s="94"/>
      <c r="N1069" s="94"/>
      <c r="O1069" s="94"/>
      <c r="P1069" s="94"/>
      <c r="Q1069" s="94"/>
      <c r="R1069" s="94"/>
      <c r="S1069" s="94"/>
      <c r="T1069" s="94"/>
      <c r="U1069" s="94"/>
      <c r="V1069" s="94"/>
      <c r="W1069" s="94"/>
      <c r="X1069" s="94"/>
      <c r="Y1069" s="94"/>
      <c r="Z1069" s="94"/>
      <c r="AA1069" s="94"/>
      <c r="AB1069" s="94"/>
      <c r="AC1069" s="94"/>
      <c r="AD1069" s="94"/>
      <c r="AE1069" s="94"/>
      <c r="AF1069" s="94"/>
      <c r="AG1069" s="94"/>
      <c r="AH1069" s="94"/>
      <c r="AI1069" s="94"/>
      <c r="AJ1069" s="94"/>
      <c r="AK1069" s="94"/>
      <c r="AL1069" s="94"/>
      <c r="AM1069" s="94"/>
      <c r="AN1069" s="94"/>
      <c r="AO1069" s="94"/>
      <c r="AP1069" s="94"/>
      <c r="AQ1069" s="94"/>
      <c r="AR1069" s="94"/>
      <c r="AS1069" s="94"/>
      <c r="AT1069" s="94"/>
      <c r="AU1069" s="94"/>
      <c r="AV1069" s="94"/>
      <c r="AW1069" s="94"/>
      <c r="AX1069" s="94"/>
      <c r="AY1069" s="94"/>
      <c r="AZ1069" s="94"/>
      <c r="BA1069" s="95"/>
    </row>
    <row r="1070" spans="1:53" s="87" customFormat="1">
      <c r="A1070" s="90" t="str">
        <f t="shared" si="41"/>
        <v/>
      </c>
      <c r="B1070" s="98"/>
      <c r="C1070" s="94"/>
      <c r="D1070" s="94"/>
      <c r="E1070" s="94"/>
      <c r="F1070" s="94"/>
      <c r="G1070" s="94"/>
      <c r="H1070" s="94"/>
      <c r="I1070" s="94"/>
      <c r="J1070" s="94"/>
      <c r="K1070" s="94"/>
      <c r="L1070" s="94"/>
      <c r="M1070" s="94"/>
      <c r="N1070" s="94"/>
      <c r="O1070" s="94"/>
      <c r="P1070" s="94"/>
      <c r="Q1070" s="94"/>
      <c r="R1070" s="94"/>
      <c r="S1070" s="94"/>
      <c r="T1070" s="94"/>
      <c r="U1070" s="94"/>
      <c r="V1070" s="94"/>
      <c r="W1070" s="94"/>
      <c r="X1070" s="94"/>
      <c r="Y1070" s="94"/>
      <c r="Z1070" s="94"/>
      <c r="AA1070" s="94"/>
      <c r="AB1070" s="94"/>
      <c r="AC1070" s="94"/>
      <c r="AD1070" s="94"/>
      <c r="AE1070" s="94"/>
      <c r="AF1070" s="94"/>
      <c r="AG1070" s="94"/>
      <c r="AH1070" s="94"/>
      <c r="AI1070" s="94"/>
      <c r="AJ1070" s="94"/>
      <c r="AK1070" s="94"/>
      <c r="AL1070" s="94"/>
      <c r="AM1070" s="94"/>
      <c r="AN1070" s="94"/>
      <c r="AO1070" s="94"/>
      <c r="AP1070" s="94"/>
      <c r="AQ1070" s="94"/>
      <c r="AR1070" s="94"/>
      <c r="AS1070" s="94"/>
      <c r="AT1070" s="94"/>
      <c r="AU1070" s="94"/>
      <c r="AV1070" s="94"/>
      <c r="AW1070" s="94"/>
      <c r="AX1070" s="94"/>
      <c r="AY1070" s="94"/>
      <c r="AZ1070" s="94"/>
      <c r="BA1070" s="95"/>
    </row>
    <row r="1071" spans="1:53" s="87" customFormat="1">
      <c r="A1071" s="90" t="str">
        <f t="shared" si="41"/>
        <v/>
      </c>
      <c r="B1071" s="98"/>
      <c r="C1071" s="94"/>
      <c r="D1071" s="94"/>
      <c r="E1071" s="94"/>
      <c r="F1071" s="94"/>
      <c r="G1071" s="94"/>
      <c r="H1071" s="94"/>
      <c r="I1071" s="94"/>
      <c r="J1071" s="94"/>
      <c r="K1071" s="94"/>
      <c r="L1071" s="94"/>
      <c r="M1071" s="94"/>
      <c r="N1071" s="94"/>
      <c r="O1071" s="94"/>
      <c r="P1071" s="94"/>
      <c r="Q1071" s="94"/>
      <c r="R1071" s="94"/>
      <c r="S1071" s="94"/>
      <c r="T1071" s="94"/>
      <c r="U1071" s="94"/>
      <c r="V1071" s="94"/>
      <c r="W1071" s="94"/>
      <c r="X1071" s="94"/>
      <c r="Y1071" s="94"/>
      <c r="Z1071" s="94"/>
      <c r="AA1071" s="94"/>
      <c r="AB1071" s="94"/>
      <c r="AC1071" s="94"/>
      <c r="AD1071" s="94"/>
      <c r="AE1071" s="94"/>
      <c r="AF1071" s="94"/>
      <c r="AG1071" s="94"/>
      <c r="AH1071" s="94"/>
      <c r="AI1071" s="94"/>
      <c r="AJ1071" s="94"/>
      <c r="AK1071" s="94"/>
      <c r="AL1071" s="94"/>
      <c r="AM1071" s="94"/>
      <c r="AN1071" s="94"/>
      <c r="AO1071" s="94"/>
      <c r="AP1071" s="94"/>
      <c r="AQ1071" s="94"/>
      <c r="AR1071" s="94"/>
      <c r="AS1071" s="94"/>
      <c r="AT1071" s="94"/>
      <c r="AU1071" s="94"/>
      <c r="AV1071" s="94"/>
      <c r="AW1071" s="94"/>
      <c r="AX1071" s="94"/>
      <c r="AY1071" s="94"/>
      <c r="AZ1071" s="94"/>
      <c r="BA1071" s="95"/>
    </row>
    <row r="1072" spans="1:53" s="87" customFormat="1">
      <c r="A1072" s="90" t="str">
        <f t="shared" si="41"/>
        <v/>
      </c>
      <c r="B1072" s="98"/>
      <c r="C1072" s="94"/>
      <c r="D1072" s="94"/>
      <c r="E1072" s="94"/>
      <c r="F1072" s="94"/>
      <c r="G1072" s="94"/>
      <c r="H1072" s="94"/>
      <c r="I1072" s="94"/>
      <c r="J1072" s="94"/>
      <c r="K1072" s="94"/>
      <c r="L1072" s="94"/>
      <c r="M1072" s="94"/>
      <c r="N1072" s="94"/>
      <c r="O1072" s="94"/>
      <c r="P1072" s="94"/>
      <c r="Q1072" s="94"/>
      <c r="R1072" s="94"/>
      <c r="S1072" s="94"/>
      <c r="T1072" s="94"/>
      <c r="U1072" s="94"/>
      <c r="V1072" s="94"/>
      <c r="W1072" s="94"/>
      <c r="X1072" s="94"/>
      <c r="Y1072" s="94"/>
      <c r="Z1072" s="94"/>
      <c r="AA1072" s="94"/>
      <c r="AB1072" s="94"/>
      <c r="AC1072" s="94"/>
      <c r="AD1072" s="94"/>
      <c r="AE1072" s="94"/>
      <c r="AF1072" s="94"/>
      <c r="AG1072" s="94"/>
      <c r="AH1072" s="94"/>
      <c r="AI1072" s="94"/>
      <c r="AJ1072" s="94"/>
      <c r="AK1072" s="94"/>
      <c r="AL1072" s="94"/>
      <c r="AM1072" s="94"/>
      <c r="AN1072" s="94"/>
      <c r="AO1072" s="94"/>
      <c r="AP1072" s="94"/>
      <c r="AQ1072" s="94"/>
      <c r="AR1072" s="94"/>
      <c r="AS1072" s="94"/>
      <c r="AT1072" s="94"/>
      <c r="AU1072" s="94"/>
      <c r="AV1072" s="94"/>
      <c r="AW1072" s="94"/>
      <c r="AX1072" s="94"/>
      <c r="AY1072" s="94"/>
      <c r="AZ1072" s="94"/>
      <c r="BA1072" s="95"/>
    </row>
    <row r="1073" spans="1:53" s="87" customFormat="1">
      <c r="A1073" s="90" t="str">
        <f t="shared" si="41"/>
        <v/>
      </c>
      <c r="B1073" s="98"/>
      <c r="C1073" s="94"/>
      <c r="D1073" s="94"/>
      <c r="E1073" s="94"/>
      <c r="F1073" s="94"/>
      <c r="G1073" s="94"/>
      <c r="H1073" s="94"/>
      <c r="I1073" s="94"/>
      <c r="J1073" s="94"/>
      <c r="K1073" s="94"/>
      <c r="L1073" s="94"/>
      <c r="M1073" s="94"/>
      <c r="N1073" s="94"/>
      <c r="O1073" s="94"/>
      <c r="P1073" s="94"/>
      <c r="Q1073" s="94"/>
      <c r="R1073" s="94"/>
      <c r="S1073" s="94"/>
      <c r="T1073" s="94"/>
      <c r="U1073" s="94"/>
      <c r="V1073" s="94"/>
      <c r="W1073" s="94"/>
      <c r="X1073" s="94"/>
      <c r="Y1073" s="94"/>
      <c r="Z1073" s="94"/>
      <c r="AA1073" s="94"/>
      <c r="AB1073" s="94"/>
      <c r="AC1073" s="94"/>
      <c r="AD1073" s="94"/>
      <c r="AE1073" s="94"/>
      <c r="AF1073" s="94"/>
      <c r="AG1073" s="94"/>
      <c r="AH1073" s="94"/>
      <c r="AI1073" s="94"/>
      <c r="AJ1073" s="94"/>
      <c r="AK1073" s="94"/>
      <c r="AL1073" s="94"/>
      <c r="AM1073" s="94"/>
      <c r="AN1073" s="94"/>
      <c r="AO1073" s="94"/>
      <c r="AP1073" s="94"/>
      <c r="AQ1073" s="94"/>
      <c r="AR1073" s="94"/>
      <c r="AS1073" s="94"/>
      <c r="AT1073" s="94"/>
      <c r="AU1073" s="94"/>
      <c r="AV1073" s="94"/>
      <c r="AW1073" s="94"/>
      <c r="AX1073" s="94"/>
      <c r="AY1073" s="94"/>
      <c r="AZ1073" s="94"/>
      <c r="BA1073" s="95"/>
    </row>
    <row r="1074" spans="1:53" s="87" customFormat="1">
      <c r="A1074" s="90" t="str">
        <f t="shared" si="41"/>
        <v/>
      </c>
      <c r="B1074" s="98"/>
      <c r="C1074" s="94"/>
      <c r="D1074" s="94"/>
      <c r="E1074" s="94"/>
      <c r="F1074" s="94"/>
      <c r="G1074" s="94"/>
      <c r="H1074" s="94"/>
      <c r="I1074" s="94"/>
      <c r="J1074" s="94"/>
      <c r="K1074" s="94"/>
      <c r="L1074" s="94"/>
      <c r="M1074" s="94"/>
      <c r="N1074" s="94"/>
      <c r="O1074" s="94"/>
      <c r="P1074" s="94"/>
      <c r="Q1074" s="94"/>
      <c r="R1074" s="94"/>
      <c r="S1074" s="94"/>
      <c r="T1074" s="94"/>
      <c r="U1074" s="94"/>
      <c r="V1074" s="94"/>
      <c r="W1074" s="94"/>
      <c r="X1074" s="94"/>
      <c r="Y1074" s="94"/>
      <c r="Z1074" s="94"/>
      <c r="AA1074" s="94"/>
      <c r="AB1074" s="94"/>
      <c r="AC1074" s="94"/>
      <c r="AD1074" s="94"/>
      <c r="AE1074" s="94"/>
      <c r="AF1074" s="94"/>
      <c r="AG1074" s="94"/>
      <c r="AH1074" s="94"/>
      <c r="AI1074" s="94"/>
      <c r="AJ1074" s="94"/>
      <c r="AK1074" s="94"/>
      <c r="AL1074" s="94"/>
      <c r="AM1074" s="94"/>
      <c r="AN1074" s="94"/>
      <c r="AO1074" s="94"/>
      <c r="AP1074" s="94"/>
      <c r="AQ1074" s="94"/>
      <c r="AR1074" s="94"/>
      <c r="AS1074" s="94"/>
      <c r="AT1074" s="94"/>
      <c r="AU1074" s="94"/>
      <c r="AV1074" s="94"/>
      <c r="AW1074" s="94"/>
      <c r="AX1074" s="94"/>
      <c r="AY1074" s="94"/>
      <c r="AZ1074" s="94"/>
      <c r="BA1074" s="95"/>
    </row>
    <row r="1075" spans="1:53" s="87" customFormat="1">
      <c r="A1075" s="90" t="str">
        <f t="shared" si="41"/>
        <v/>
      </c>
      <c r="B1075" s="98"/>
      <c r="C1075" s="94"/>
      <c r="D1075" s="94"/>
      <c r="E1075" s="94"/>
      <c r="F1075" s="94"/>
      <c r="G1075" s="94"/>
      <c r="H1075" s="94"/>
      <c r="I1075" s="94"/>
      <c r="J1075" s="94"/>
      <c r="K1075" s="94"/>
      <c r="L1075" s="94"/>
      <c r="M1075" s="94"/>
      <c r="N1075" s="94"/>
      <c r="O1075" s="94"/>
      <c r="P1075" s="94"/>
      <c r="Q1075" s="94"/>
      <c r="R1075" s="94"/>
      <c r="S1075" s="94"/>
      <c r="T1075" s="94"/>
      <c r="U1075" s="94"/>
      <c r="V1075" s="94"/>
      <c r="W1075" s="94"/>
      <c r="X1075" s="94"/>
      <c r="Y1075" s="94"/>
      <c r="Z1075" s="94"/>
      <c r="AA1075" s="94"/>
      <c r="AB1075" s="94"/>
      <c r="AC1075" s="94"/>
      <c r="AD1075" s="94"/>
      <c r="AE1075" s="94"/>
      <c r="AF1075" s="94"/>
      <c r="AG1075" s="94"/>
      <c r="AH1075" s="94"/>
      <c r="AI1075" s="94"/>
      <c r="AJ1075" s="94"/>
      <c r="AK1075" s="94"/>
      <c r="AL1075" s="94"/>
      <c r="AM1075" s="94"/>
      <c r="AN1075" s="94"/>
      <c r="AO1075" s="94"/>
      <c r="AP1075" s="94"/>
      <c r="AQ1075" s="94"/>
      <c r="AR1075" s="94"/>
      <c r="AS1075" s="94"/>
      <c r="AT1075" s="94"/>
      <c r="AU1075" s="94"/>
      <c r="AV1075" s="94"/>
      <c r="AW1075" s="94"/>
      <c r="AX1075" s="94"/>
      <c r="AY1075" s="94"/>
      <c r="AZ1075" s="94"/>
      <c r="BA1075" s="95"/>
    </row>
    <row r="1076" spans="1:53" s="87" customFormat="1">
      <c r="A1076" s="90" t="str">
        <f t="shared" si="41"/>
        <v/>
      </c>
      <c r="B1076" s="98"/>
      <c r="C1076" s="94"/>
      <c r="D1076" s="94"/>
      <c r="E1076" s="94"/>
      <c r="F1076" s="94"/>
      <c r="G1076" s="94"/>
      <c r="H1076" s="94"/>
      <c r="I1076" s="94"/>
      <c r="J1076" s="94"/>
      <c r="K1076" s="94"/>
      <c r="L1076" s="94"/>
      <c r="M1076" s="94"/>
      <c r="N1076" s="94"/>
      <c r="O1076" s="94"/>
      <c r="P1076" s="94"/>
      <c r="Q1076" s="94"/>
      <c r="R1076" s="94"/>
      <c r="S1076" s="94"/>
      <c r="T1076" s="94"/>
      <c r="U1076" s="94"/>
      <c r="V1076" s="94"/>
      <c r="W1076" s="94"/>
      <c r="X1076" s="94"/>
      <c r="Y1076" s="94"/>
      <c r="Z1076" s="94"/>
      <c r="AA1076" s="94"/>
      <c r="AB1076" s="94"/>
      <c r="AC1076" s="94"/>
      <c r="AD1076" s="94"/>
      <c r="AE1076" s="94"/>
      <c r="AF1076" s="94"/>
      <c r="AG1076" s="94"/>
      <c r="AH1076" s="94"/>
      <c r="AI1076" s="94"/>
      <c r="AJ1076" s="94"/>
      <c r="AK1076" s="94"/>
      <c r="AL1076" s="94"/>
      <c r="AM1076" s="94"/>
      <c r="AN1076" s="94"/>
      <c r="AO1076" s="94"/>
      <c r="AP1076" s="94"/>
      <c r="AQ1076" s="94"/>
      <c r="AR1076" s="94"/>
      <c r="AS1076" s="94"/>
      <c r="AT1076" s="94"/>
      <c r="AU1076" s="94"/>
      <c r="AV1076" s="94"/>
      <c r="AW1076" s="94"/>
      <c r="AX1076" s="94"/>
      <c r="AY1076" s="94"/>
      <c r="AZ1076" s="94"/>
      <c r="BA1076" s="95"/>
    </row>
    <row r="1077" spans="1:53" s="87" customFormat="1">
      <c r="A1077" s="90" t="str">
        <f t="shared" si="41"/>
        <v/>
      </c>
      <c r="B1077" s="98"/>
      <c r="C1077" s="94"/>
      <c r="D1077" s="94"/>
      <c r="E1077" s="94"/>
      <c r="F1077" s="94"/>
      <c r="G1077" s="94"/>
      <c r="H1077" s="94"/>
      <c r="I1077" s="94"/>
      <c r="J1077" s="94"/>
      <c r="K1077" s="94"/>
      <c r="L1077" s="94"/>
      <c r="M1077" s="94"/>
      <c r="N1077" s="94"/>
      <c r="O1077" s="94"/>
      <c r="P1077" s="94"/>
      <c r="Q1077" s="94"/>
      <c r="R1077" s="94"/>
      <c r="S1077" s="94"/>
      <c r="T1077" s="94"/>
      <c r="U1077" s="94"/>
      <c r="V1077" s="94"/>
      <c r="W1077" s="94"/>
      <c r="X1077" s="94"/>
      <c r="Y1077" s="94"/>
      <c r="Z1077" s="94"/>
      <c r="AA1077" s="94"/>
      <c r="AB1077" s="94"/>
      <c r="AC1077" s="94"/>
      <c r="AD1077" s="94"/>
      <c r="AE1077" s="94"/>
      <c r="AF1077" s="94"/>
      <c r="AG1077" s="94"/>
      <c r="AH1077" s="94"/>
      <c r="AI1077" s="94"/>
      <c r="AJ1077" s="94"/>
      <c r="AK1077" s="94"/>
      <c r="AL1077" s="94"/>
      <c r="AM1077" s="94"/>
      <c r="AN1077" s="94"/>
      <c r="AO1077" s="94"/>
      <c r="AP1077" s="94"/>
      <c r="AQ1077" s="94"/>
      <c r="AR1077" s="94"/>
      <c r="AS1077" s="94"/>
      <c r="AT1077" s="94"/>
      <c r="AU1077" s="94"/>
      <c r="AV1077" s="94"/>
      <c r="AW1077" s="94"/>
      <c r="AX1077" s="94"/>
      <c r="AY1077" s="94"/>
      <c r="AZ1077" s="94"/>
      <c r="BA1077" s="95"/>
    </row>
    <row r="1078" spans="1:53" s="87" customFormat="1">
      <c r="A1078" s="90" t="str">
        <f t="shared" si="41"/>
        <v/>
      </c>
      <c r="B1078" s="98"/>
      <c r="C1078" s="94"/>
      <c r="D1078" s="94"/>
      <c r="E1078" s="94"/>
      <c r="F1078" s="94"/>
      <c r="G1078" s="94"/>
      <c r="H1078" s="94"/>
      <c r="I1078" s="94"/>
      <c r="J1078" s="94"/>
      <c r="K1078" s="94"/>
      <c r="L1078" s="94"/>
      <c r="M1078" s="94"/>
      <c r="N1078" s="94"/>
      <c r="O1078" s="94"/>
      <c r="P1078" s="94"/>
      <c r="Q1078" s="94"/>
      <c r="R1078" s="94"/>
      <c r="S1078" s="94"/>
      <c r="T1078" s="94"/>
      <c r="U1078" s="94"/>
      <c r="V1078" s="94"/>
      <c r="W1078" s="94"/>
      <c r="X1078" s="94"/>
      <c r="Y1078" s="94"/>
      <c r="Z1078" s="94"/>
      <c r="AA1078" s="94"/>
      <c r="AB1078" s="94"/>
      <c r="AC1078" s="94"/>
      <c r="AD1078" s="94"/>
      <c r="AE1078" s="94"/>
      <c r="AF1078" s="94"/>
      <c r="AG1078" s="94"/>
      <c r="AH1078" s="94"/>
      <c r="AI1078" s="94"/>
      <c r="AJ1078" s="94"/>
      <c r="AK1078" s="94"/>
      <c r="AL1078" s="94"/>
      <c r="AM1078" s="94"/>
      <c r="AN1078" s="94"/>
      <c r="AO1078" s="94"/>
      <c r="AP1078" s="94"/>
      <c r="AQ1078" s="94"/>
      <c r="AR1078" s="94"/>
      <c r="AS1078" s="94"/>
      <c r="AT1078" s="94"/>
      <c r="AU1078" s="94"/>
      <c r="AV1078" s="94"/>
      <c r="AW1078" s="94"/>
      <c r="AX1078" s="94"/>
      <c r="AY1078" s="94"/>
      <c r="AZ1078" s="94"/>
      <c r="BA1078" s="95"/>
    </row>
    <row r="1079" spans="1:53" s="87" customFormat="1">
      <c r="A1079" s="90" t="str">
        <f t="shared" si="41"/>
        <v/>
      </c>
      <c r="B1079" s="98"/>
      <c r="C1079" s="94"/>
      <c r="D1079" s="94"/>
      <c r="E1079" s="94"/>
      <c r="F1079" s="94"/>
      <c r="G1079" s="94"/>
      <c r="H1079" s="94"/>
      <c r="I1079" s="94"/>
      <c r="J1079" s="94"/>
      <c r="K1079" s="94"/>
      <c r="L1079" s="94"/>
      <c r="M1079" s="94"/>
      <c r="N1079" s="94"/>
      <c r="O1079" s="94"/>
      <c r="P1079" s="94"/>
      <c r="Q1079" s="94"/>
      <c r="R1079" s="94"/>
      <c r="S1079" s="94"/>
      <c r="T1079" s="94"/>
      <c r="U1079" s="94"/>
      <c r="V1079" s="94"/>
      <c r="W1079" s="94"/>
      <c r="X1079" s="94"/>
      <c r="Y1079" s="94"/>
      <c r="Z1079" s="94"/>
      <c r="AA1079" s="94"/>
      <c r="AB1079" s="94"/>
      <c r="AC1079" s="94"/>
      <c r="AD1079" s="94"/>
      <c r="AE1079" s="94"/>
      <c r="AF1079" s="94"/>
      <c r="AG1079" s="94"/>
      <c r="AH1079" s="94"/>
      <c r="AI1079" s="94"/>
      <c r="AJ1079" s="94"/>
      <c r="AK1079" s="94"/>
      <c r="AL1079" s="94"/>
      <c r="AM1079" s="94"/>
      <c r="AN1079" s="94"/>
      <c r="AO1079" s="94"/>
      <c r="AP1079" s="94"/>
      <c r="AQ1079" s="94"/>
      <c r="AR1079" s="94"/>
      <c r="AS1079" s="94"/>
      <c r="AT1079" s="94"/>
      <c r="AU1079" s="94"/>
      <c r="AV1079" s="94"/>
      <c r="AW1079" s="94"/>
      <c r="AX1079" s="94"/>
      <c r="AY1079" s="94"/>
      <c r="AZ1079" s="94"/>
      <c r="BA1079" s="95"/>
    </row>
    <row r="1080" spans="1:53" s="87" customFormat="1">
      <c r="A1080" s="90" t="str">
        <f t="shared" si="41"/>
        <v/>
      </c>
      <c r="B1080" s="98"/>
      <c r="C1080" s="94"/>
      <c r="D1080" s="94"/>
      <c r="E1080" s="94"/>
      <c r="F1080" s="94"/>
      <c r="G1080" s="94"/>
      <c r="H1080" s="94"/>
      <c r="I1080" s="94"/>
      <c r="J1080" s="94"/>
      <c r="K1080" s="94"/>
      <c r="L1080" s="94"/>
      <c r="M1080" s="94"/>
      <c r="N1080" s="94"/>
      <c r="O1080" s="94"/>
      <c r="P1080" s="94"/>
      <c r="Q1080" s="94"/>
      <c r="R1080" s="94"/>
      <c r="S1080" s="94"/>
      <c r="T1080" s="94"/>
      <c r="U1080" s="94"/>
      <c r="V1080" s="94"/>
      <c r="W1080" s="94"/>
      <c r="X1080" s="94"/>
      <c r="Y1080" s="94"/>
      <c r="Z1080" s="94"/>
      <c r="AA1080" s="94"/>
      <c r="AB1080" s="94"/>
      <c r="AC1080" s="94"/>
      <c r="AD1080" s="94"/>
      <c r="AE1080" s="94"/>
      <c r="AF1080" s="94"/>
      <c r="AG1080" s="94"/>
      <c r="AH1080" s="94"/>
      <c r="AI1080" s="94"/>
      <c r="AJ1080" s="94"/>
      <c r="AK1080" s="94"/>
      <c r="AL1080" s="94"/>
      <c r="AM1080" s="94"/>
      <c r="AN1080" s="94"/>
      <c r="AO1080" s="94"/>
      <c r="AP1080" s="94"/>
      <c r="AQ1080" s="94"/>
      <c r="AR1080" s="94"/>
      <c r="AS1080" s="94"/>
      <c r="AT1080" s="94"/>
      <c r="AU1080" s="94"/>
      <c r="AV1080" s="94"/>
      <c r="AW1080" s="94"/>
      <c r="AX1080" s="94"/>
      <c r="AY1080" s="94"/>
      <c r="AZ1080" s="94"/>
      <c r="BA1080" s="95"/>
    </row>
    <row r="1081" spans="1:53" s="87" customFormat="1">
      <c r="A1081" s="90" t="str">
        <f t="shared" si="41"/>
        <v/>
      </c>
      <c r="B1081" s="98"/>
      <c r="C1081" s="94"/>
      <c r="D1081" s="94"/>
      <c r="E1081" s="94"/>
      <c r="F1081" s="94"/>
      <c r="G1081" s="94"/>
      <c r="H1081" s="94"/>
      <c r="I1081" s="94"/>
      <c r="J1081" s="94"/>
      <c r="K1081" s="94"/>
      <c r="L1081" s="94"/>
      <c r="M1081" s="94"/>
      <c r="N1081" s="94"/>
      <c r="O1081" s="94"/>
      <c r="P1081" s="94"/>
      <c r="Q1081" s="94"/>
      <c r="R1081" s="94"/>
      <c r="S1081" s="94"/>
      <c r="T1081" s="94"/>
      <c r="U1081" s="94"/>
      <c r="V1081" s="94"/>
      <c r="W1081" s="94"/>
      <c r="X1081" s="94"/>
      <c r="Y1081" s="94"/>
      <c r="Z1081" s="94"/>
      <c r="AA1081" s="94"/>
      <c r="AB1081" s="94"/>
      <c r="AC1081" s="94"/>
      <c r="AD1081" s="94"/>
      <c r="AE1081" s="94"/>
      <c r="AF1081" s="94"/>
      <c r="AG1081" s="94"/>
      <c r="AH1081" s="94"/>
      <c r="AI1081" s="94"/>
      <c r="AJ1081" s="94"/>
      <c r="AK1081" s="94"/>
      <c r="AL1081" s="94"/>
      <c r="AM1081" s="94"/>
      <c r="AN1081" s="94"/>
      <c r="AO1081" s="94"/>
      <c r="AP1081" s="94"/>
      <c r="AQ1081" s="94"/>
      <c r="AR1081" s="94"/>
      <c r="AS1081" s="94"/>
      <c r="AT1081" s="94"/>
      <c r="AU1081" s="94"/>
      <c r="AV1081" s="94"/>
      <c r="AW1081" s="94"/>
      <c r="AX1081" s="94"/>
      <c r="AY1081" s="94"/>
      <c r="AZ1081" s="94"/>
      <c r="BA1081" s="95"/>
    </row>
    <row r="1082" spans="1:53" s="87" customFormat="1">
      <c r="A1082" s="90" t="str">
        <f t="shared" si="41"/>
        <v/>
      </c>
      <c r="B1082" s="98"/>
      <c r="C1082" s="94"/>
      <c r="D1082" s="94"/>
      <c r="E1082" s="94"/>
      <c r="F1082" s="94"/>
      <c r="G1082" s="94"/>
      <c r="H1082" s="94"/>
      <c r="I1082" s="94"/>
      <c r="J1082" s="94"/>
      <c r="K1082" s="94"/>
      <c r="L1082" s="94"/>
      <c r="M1082" s="94"/>
      <c r="N1082" s="94"/>
      <c r="O1082" s="94"/>
      <c r="P1082" s="94"/>
      <c r="Q1082" s="94"/>
      <c r="R1082" s="94"/>
      <c r="S1082" s="94"/>
      <c r="T1082" s="94"/>
      <c r="U1082" s="94"/>
      <c r="V1082" s="94"/>
      <c r="W1082" s="94"/>
      <c r="X1082" s="94"/>
      <c r="Y1082" s="94"/>
      <c r="Z1082" s="94"/>
      <c r="AA1082" s="94"/>
      <c r="AB1082" s="94"/>
      <c r="AC1082" s="94"/>
      <c r="AD1082" s="94"/>
      <c r="AE1082" s="94"/>
      <c r="AF1082" s="94"/>
      <c r="AG1082" s="94"/>
      <c r="AH1082" s="94"/>
      <c r="AI1082" s="94"/>
      <c r="AJ1082" s="94"/>
      <c r="AK1082" s="94"/>
      <c r="AL1082" s="94"/>
      <c r="AM1082" s="94"/>
      <c r="AN1082" s="94"/>
      <c r="AO1082" s="94"/>
      <c r="AP1082" s="94"/>
      <c r="AQ1082" s="94"/>
      <c r="AR1082" s="94"/>
      <c r="AS1082" s="94"/>
      <c r="AT1082" s="94"/>
      <c r="AU1082" s="94"/>
      <c r="AV1082" s="94"/>
      <c r="AW1082" s="94"/>
      <c r="AX1082" s="94"/>
      <c r="AY1082" s="94"/>
      <c r="AZ1082" s="94"/>
      <c r="BA1082" s="95"/>
    </row>
    <row r="1083" spans="1:53" s="87" customFormat="1">
      <c r="A1083" s="90" t="str">
        <f t="shared" si="41"/>
        <v/>
      </c>
      <c r="B1083" s="98"/>
      <c r="C1083" s="94"/>
      <c r="D1083" s="94"/>
      <c r="E1083" s="94"/>
      <c r="F1083" s="94"/>
      <c r="G1083" s="94"/>
      <c r="H1083" s="94"/>
      <c r="I1083" s="94"/>
      <c r="J1083" s="94"/>
      <c r="K1083" s="94"/>
      <c r="L1083" s="94"/>
      <c r="M1083" s="94"/>
      <c r="N1083" s="94"/>
      <c r="O1083" s="94"/>
      <c r="P1083" s="94"/>
      <c r="Q1083" s="94"/>
      <c r="R1083" s="94"/>
      <c r="S1083" s="94"/>
      <c r="T1083" s="94"/>
      <c r="U1083" s="94"/>
      <c r="V1083" s="94"/>
      <c r="W1083" s="94"/>
      <c r="X1083" s="94"/>
      <c r="Y1083" s="94"/>
      <c r="Z1083" s="94"/>
      <c r="AA1083" s="94"/>
      <c r="AB1083" s="94"/>
      <c r="AC1083" s="94"/>
      <c r="AD1083" s="94"/>
      <c r="AE1083" s="94"/>
      <c r="AF1083" s="94"/>
      <c r="AG1083" s="94"/>
      <c r="AH1083" s="94"/>
      <c r="AI1083" s="94"/>
      <c r="AJ1083" s="94"/>
      <c r="AK1083" s="94"/>
      <c r="AL1083" s="94"/>
      <c r="AM1083" s="94"/>
      <c r="AN1083" s="94"/>
      <c r="AO1083" s="94"/>
      <c r="AP1083" s="94"/>
      <c r="AQ1083" s="94"/>
      <c r="AR1083" s="94"/>
      <c r="AS1083" s="94"/>
      <c r="AT1083" s="94"/>
      <c r="AU1083" s="94"/>
      <c r="AV1083" s="94"/>
      <c r="AW1083" s="94"/>
      <c r="AX1083" s="94"/>
      <c r="AY1083" s="94"/>
      <c r="AZ1083" s="94"/>
      <c r="BA1083" s="95"/>
    </row>
    <row r="1084" spans="1:53" s="87" customFormat="1">
      <c r="A1084" s="90" t="str">
        <f t="shared" si="41"/>
        <v/>
      </c>
      <c r="B1084" s="98"/>
      <c r="C1084" s="94"/>
      <c r="D1084" s="94"/>
      <c r="E1084" s="94"/>
      <c r="F1084" s="94"/>
      <c r="G1084" s="94"/>
      <c r="H1084" s="94"/>
      <c r="I1084" s="94"/>
      <c r="J1084" s="94"/>
      <c r="K1084" s="94"/>
      <c r="L1084" s="94"/>
      <c r="M1084" s="94"/>
      <c r="N1084" s="94"/>
      <c r="O1084" s="94"/>
      <c r="P1084" s="94"/>
      <c r="Q1084" s="94"/>
      <c r="R1084" s="94"/>
      <c r="S1084" s="94"/>
      <c r="T1084" s="94"/>
      <c r="U1084" s="94"/>
      <c r="V1084" s="94"/>
      <c r="W1084" s="94"/>
      <c r="X1084" s="94"/>
      <c r="Y1084" s="94"/>
      <c r="Z1084" s="94"/>
      <c r="AA1084" s="94"/>
      <c r="AB1084" s="94"/>
      <c r="AC1084" s="94"/>
      <c r="AD1084" s="94"/>
      <c r="AE1084" s="94"/>
      <c r="AF1084" s="94"/>
      <c r="AG1084" s="94"/>
      <c r="AH1084" s="94"/>
      <c r="AI1084" s="94"/>
      <c r="AJ1084" s="94"/>
      <c r="AK1084" s="94"/>
      <c r="AL1084" s="94"/>
      <c r="AM1084" s="94"/>
      <c r="AN1084" s="94"/>
      <c r="AO1084" s="94"/>
      <c r="AP1084" s="94"/>
      <c r="AQ1084" s="94"/>
      <c r="AR1084" s="94"/>
      <c r="AS1084" s="94"/>
      <c r="AT1084" s="94"/>
      <c r="AU1084" s="94"/>
      <c r="AV1084" s="94"/>
      <c r="AW1084" s="94"/>
      <c r="AX1084" s="94"/>
      <c r="AY1084" s="94"/>
      <c r="AZ1084" s="94"/>
      <c r="BA1084" s="95"/>
    </row>
    <row r="1085" spans="1:53" s="87" customFormat="1">
      <c r="A1085" s="90" t="str">
        <f t="shared" si="41"/>
        <v/>
      </c>
      <c r="B1085" s="98"/>
      <c r="C1085" s="94"/>
      <c r="D1085" s="94"/>
      <c r="E1085" s="94"/>
      <c r="F1085" s="94"/>
      <c r="G1085" s="94"/>
      <c r="H1085" s="94"/>
      <c r="I1085" s="94"/>
      <c r="J1085" s="94"/>
      <c r="K1085" s="94"/>
      <c r="L1085" s="94"/>
      <c r="M1085" s="94"/>
      <c r="N1085" s="94"/>
      <c r="O1085" s="94"/>
      <c r="P1085" s="94"/>
      <c r="Q1085" s="94"/>
      <c r="R1085" s="94"/>
      <c r="S1085" s="94"/>
      <c r="T1085" s="94"/>
      <c r="U1085" s="94"/>
      <c r="V1085" s="94"/>
      <c r="W1085" s="94"/>
      <c r="X1085" s="94"/>
      <c r="Y1085" s="94"/>
      <c r="Z1085" s="94"/>
      <c r="AA1085" s="94"/>
      <c r="AB1085" s="94"/>
      <c r="AC1085" s="94"/>
      <c r="AD1085" s="94"/>
      <c r="AE1085" s="94"/>
      <c r="AF1085" s="94"/>
      <c r="AG1085" s="94"/>
      <c r="AH1085" s="94"/>
      <c r="AI1085" s="94"/>
      <c r="AJ1085" s="94"/>
      <c r="AK1085" s="94"/>
      <c r="AL1085" s="94"/>
      <c r="AM1085" s="94"/>
      <c r="AN1085" s="94"/>
      <c r="AO1085" s="94"/>
      <c r="AP1085" s="94"/>
      <c r="AQ1085" s="94"/>
      <c r="AR1085" s="94"/>
      <c r="AS1085" s="94"/>
      <c r="AT1085" s="94"/>
      <c r="AU1085" s="94"/>
      <c r="AV1085" s="94"/>
      <c r="AW1085" s="94"/>
      <c r="AX1085" s="94"/>
      <c r="AY1085" s="94"/>
      <c r="AZ1085" s="94"/>
      <c r="BA1085" s="95"/>
    </row>
    <row r="1086" spans="1:53" s="87" customFormat="1">
      <c r="A1086" s="90" t="str">
        <f t="shared" si="41"/>
        <v/>
      </c>
      <c r="B1086" s="98"/>
      <c r="C1086" s="94"/>
      <c r="D1086" s="94"/>
      <c r="E1086" s="94"/>
      <c r="F1086" s="94"/>
      <c r="G1086" s="94"/>
      <c r="H1086" s="94"/>
      <c r="I1086" s="94"/>
      <c r="J1086" s="94"/>
      <c r="K1086" s="94"/>
      <c r="L1086" s="94"/>
      <c r="M1086" s="94"/>
      <c r="N1086" s="94"/>
      <c r="O1086" s="94"/>
      <c r="P1086" s="94"/>
      <c r="Q1086" s="94"/>
      <c r="R1086" s="94"/>
      <c r="S1086" s="94"/>
      <c r="T1086" s="94"/>
      <c r="U1086" s="94"/>
      <c r="V1086" s="94"/>
      <c r="W1086" s="94"/>
      <c r="X1086" s="94"/>
      <c r="Y1086" s="94"/>
      <c r="Z1086" s="94"/>
      <c r="AA1086" s="94"/>
      <c r="AB1086" s="94"/>
      <c r="AC1086" s="94"/>
      <c r="AD1086" s="94"/>
      <c r="AE1086" s="94"/>
      <c r="AF1086" s="94"/>
      <c r="AG1086" s="94"/>
      <c r="AH1086" s="94"/>
      <c r="AI1086" s="94"/>
      <c r="AJ1086" s="94"/>
      <c r="AK1086" s="94"/>
      <c r="AL1086" s="94"/>
      <c r="AM1086" s="94"/>
      <c r="AN1086" s="94"/>
      <c r="AO1086" s="94"/>
      <c r="AP1086" s="94"/>
      <c r="AQ1086" s="94"/>
      <c r="AR1086" s="94"/>
      <c r="AS1086" s="94"/>
      <c r="AT1086" s="94"/>
      <c r="AU1086" s="94"/>
      <c r="AV1086" s="94"/>
      <c r="AW1086" s="94"/>
      <c r="AX1086" s="94"/>
      <c r="AY1086" s="94"/>
      <c r="AZ1086" s="94"/>
      <c r="BA1086" s="95"/>
    </row>
    <row r="1087" spans="1:53" s="87" customFormat="1">
      <c r="A1087" s="90" t="str">
        <f t="shared" si="41"/>
        <v/>
      </c>
      <c r="B1087" s="98"/>
      <c r="C1087" s="94"/>
      <c r="D1087" s="94"/>
      <c r="E1087" s="94"/>
      <c r="F1087" s="94"/>
      <c r="G1087" s="94"/>
      <c r="H1087" s="94"/>
      <c r="I1087" s="94"/>
      <c r="J1087" s="94"/>
      <c r="K1087" s="94"/>
      <c r="L1087" s="94"/>
      <c r="M1087" s="94"/>
      <c r="N1087" s="94"/>
      <c r="O1087" s="94"/>
      <c r="P1087" s="94"/>
      <c r="Q1087" s="94"/>
      <c r="R1087" s="94"/>
      <c r="S1087" s="94"/>
      <c r="T1087" s="94"/>
      <c r="U1087" s="94"/>
      <c r="V1087" s="94"/>
      <c r="W1087" s="94"/>
      <c r="X1087" s="94"/>
      <c r="Y1087" s="94"/>
      <c r="Z1087" s="94"/>
      <c r="AA1087" s="94"/>
      <c r="AB1087" s="94"/>
      <c r="AC1087" s="94"/>
      <c r="AD1087" s="94"/>
      <c r="AE1087" s="94"/>
      <c r="AF1087" s="94"/>
      <c r="AG1087" s="94"/>
      <c r="AH1087" s="94"/>
      <c r="AI1087" s="94"/>
      <c r="AJ1087" s="94"/>
      <c r="AK1087" s="94"/>
      <c r="AL1087" s="94"/>
      <c r="AM1087" s="94"/>
      <c r="AN1087" s="94"/>
      <c r="AO1087" s="94"/>
      <c r="AP1087" s="94"/>
      <c r="AQ1087" s="94"/>
      <c r="AR1087" s="94"/>
      <c r="AS1087" s="94"/>
      <c r="AT1087" s="94"/>
      <c r="AU1087" s="94"/>
      <c r="AV1087" s="94"/>
      <c r="AW1087" s="94"/>
      <c r="AX1087" s="94"/>
      <c r="AY1087" s="94"/>
      <c r="AZ1087" s="94"/>
      <c r="BA1087" s="95"/>
    </row>
    <row r="1088" spans="1:53" s="87" customFormat="1">
      <c r="A1088" s="90" t="str">
        <f t="shared" si="41"/>
        <v/>
      </c>
      <c r="B1088" s="98"/>
      <c r="C1088" s="94"/>
      <c r="D1088" s="94"/>
      <c r="E1088" s="94"/>
      <c r="F1088" s="94"/>
      <c r="G1088" s="94"/>
      <c r="H1088" s="94"/>
      <c r="I1088" s="94"/>
      <c r="J1088" s="94"/>
      <c r="K1088" s="94"/>
      <c r="L1088" s="94"/>
      <c r="M1088" s="94"/>
      <c r="N1088" s="94"/>
      <c r="O1088" s="94"/>
      <c r="P1088" s="94"/>
      <c r="Q1088" s="94"/>
      <c r="R1088" s="94"/>
      <c r="S1088" s="94"/>
      <c r="T1088" s="94"/>
      <c r="U1088" s="94"/>
      <c r="V1088" s="94"/>
      <c r="W1088" s="94"/>
      <c r="X1088" s="94"/>
      <c r="Y1088" s="94"/>
      <c r="Z1088" s="94"/>
      <c r="AA1088" s="94"/>
      <c r="AB1088" s="94"/>
      <c r="AC1088" s="94"/>
      <c r="AD1088" s="94"/>
      <c r="AE1088" s="94"/>
      <c r="AF1088" s="94"/>
      <c r="AG1088" s="94"/>
      <c r="AH1088" s="94"/>
      <c r="AI1088" s="94"/>
      <c r="AJ1088" s="94"/>
      <c r="AK1088" s="94"/>
      <c r="AL1088" s="94"/>
      <c r="AM1088" s="94"/>
      <c r="AN1088" s="94"/>
      <c r="AO1088" s="94"/>
      <c r="AP1088" s="94"/>
      <c r="AQ1088" s="94"/>
      <c r="AR1088" s="94"/>
      <c r="AS1088" s="94"/>
      <c r="AT1088" s="94"/>
      <c r="AU1088" s="94"/>
      <c r="AV1088" s="94"/>
      <c r="AW1088" s="94"/>
      <c r="AX1088" s="94"/>
      <c r="AY1088" s="94"/>
      <c r="AZ1088" s="94"/>
      <c r="BA1088" s="95"/>
    </row>
    <row r="1089" spans="1:53" s="87" customFormat="1">
      <c r="A1089" s="90" t="str">
        <f t="shared" si="41"/>
        <v/>
      </c>
      <c r="B1089" s="98"/>
      <c r="C1089" s="94"/>
      <c r="D1089" s="94"/>
      <c r="E1089" s="94"/>
      <c r="F1089" s="94"/>
      <c r="G1089" s="94"/>
      <c r="H1089" s="94"/>
      <c r="I1089" s="94"/>
      <c r="J1089" s="94"/>
      <c r="K1089" s="94"/>
      <c r="L1089" s="94"/>
      <c r="M1089" s="94"/>
      <c r="N1089" s="94"/>
      <c r="O1089" s="94"/>
      <c r="P1089" s="94"/>
      <c r="Q1089" s="94"/>
      <c r="R1089" s="94"/>
      <c r="S1089" s="94"/>
      <c r="T1089" s="94"/>
      <c r="U1089" s="94"/>
      <c r="V1089" s="94"/>
      <c r="W1089" s="94"/>
      <c r="X1089" s="94"/>
      <c r="Y1089" s="94"/>
      <c r="Z1089" s="94"/>
      <c r="AA1089" s="94"/>
      <c r="AB1089" s="94"/>
      <c r="AC1089" s="94"/>
      <c r="AD1089" s="94"/>
      <c r="AE1089" s="94"/>
      <c r="AF1089" s="94"/>
      <c r="AG1089" s="94"/>
      <c r="AH1089" s="94"/>
      <c r="AI1089" s="94"/>
      <c r="AJ1089" s="94"/>
      <c r="AK1089" s="94"/>
      <c r="AL1089" s="94"/>
      <c r="AM1089" s="94"/>
      <c r="AN1089" s="94"/>
      <c r="AO1089" s="94"/>
      <c r="AP1089" s="94"/>
      <c r="AQ1089" s="94"/>
      <c r="AR1089" s="94"/>
      <c r="AS1089" s="94"/>
      <c r="AT1089" s="94"/>
      <c r="AU1089" s="94"/>
      <c r="AV1089" s="94"/>
      <c r="AW1089" s="94"/>
      <c r="AX1089" s="94"/>
      <c r="AY1089" s="94"/>
      <c r="AZ1089" s="94"/>
      <c r="BA1089" s="95"/>
    </row>
    <row r="1090" spans="1:53" s="87" customFormat="1">
      <c r="A1090" s="90" t="str">
        <f t="shared" si="41"/>
        <v/>
      </c>
      <c r="B1090" s="98"/>
      <c r="C1090" s="94"/>
      <c r="D1090" s="94"/>
      <c r="E1090" s="94"/>
      <c r="F1090" s="94"/>
      <c r="G1090" s="94"/>
      <c r="H1090" s="94"/>
      <c r="I1090" s="94"/>
      <c r="J1090" s="94"/>
      <c r="K1090" s="94"/>
      <c r="L1090" s="94"/>
      <c r="M1090" s="94"/>
      <c r="N1090" s="94"/>
      <c r="O1090" s="94"/>
      <c r="P1090" s="94"/>
      <c r="Q1090" s="94"/>
      <c r="R1090" s="94"/>
      <c r="S1090" s="94"/>
      <c r="T1090" s="94"/>
      <c r="U1090" s="94"/>
      <c r="V1090" s="94"/>
      <c r="W1090" s="94"/>
      <c r="X1090" s="94"/>
      <c r="Y1090" s="94"/>
      <c r="Z1090" s="94"/>
      <c r="AA1090" s="94"/>
      <c r="AB1090" s="94"/>
      <c r="AC1090" s="94"/>
      <c r="AD1090" s="94"/>
      <c r="AE1090" s="94"/>
      <c r="AF1090" s="94"/>
      <c r="AG1090" s="94"/>
      <c r="AH1090" s="94"/>
      <c r="AI1090" s="94"/>
      <c r="AJ1090" s="94"/>
      <c r="AK1090" s="94"/>
      <c r="AL1090" s="94"/>
      <c r="AM1090" s="94"/>
      <c r="AN1090" s="94"/>
      <c r="AO1090" s="94"/>
      <c r="AP1090" s="94"/>
      <c r="AQ1090" s="94"/>
      <c r="AR1090" s="94"/>
      <c r="AS1090" s="94"/>
      <c r="AT1090" s="94"/>
      <c r="AU1090" s="94"/>
      <c r="AV1090" s="94"/>
      <c r="AW1090" s="94"/>
      <c r="AX1090" s="94"/>
      <c r="AY1090" s="94"/>
      <c r="AZ1090" s="94"/>
      <c r="BA1090" s="95"/>
    </row>
    <row r="1091" spans="1:53" s="87" customFormat="1">
      <c r="A1091" s="90" t="str">
        <f t="shared" si="41"/>
        <v/>
      </c>
      <c r="B1091" s="98"/>
      <c r="C1091" s="94"/>
      <c r="D1091" s="94"/>
      <c r="E1091" s="94"/>
      <c r="F1091" s="94"/>
      <c r="G1091" s="94"/>
      <c r="H1091" s="94"/>
      <c r="I1091" s="94"/>
      <c r="J1091" s="94"/>
      <c r="K1091" s="94"/>
      <c r="L1091" s="94"/>
      <c r="M1091" s="94"/>
      <c r="N1091" s="94"/>
      <c r="O1091" s="94"/>
      <c r="P1091" s="94"/>
      <c r="Q1091" s="94"/>
      <c r="R1091" s="94"/>
      <c r="S1091" s="94"/>
      <c r="T1091" s="94"/>
      <c r="U1091" s="94"/>
      <c r="V1091" s="94"/>
      <c r="W1091" s="94"/>
      <c r="X1091" s="94"/>
      <c r="Y1091" s="94"/>
      <c r="Z1091" s="94"/>
      <c r="AA1091" s="94"/>
      <c r="AB1091" s="94"/>
      <c r="AC1091" s="94"/>
      <c r="AD1091" s="94"/>
      <c r="AE1091" s="94"/>
      <c r="AF1091" s="94"/>
      <c r="AG1091" s="94"/>
      <c r="AH1091" s="94"/>
      <c r="AI1091" s="94"/>
      <c r="AJ1091" s="94"/>
      <c r="AK1091" s="94"/>
      <c r="AL1091" s="94"/>
      <c r="AM1091" s="94"/>
      <c r="AN1091" s="94"/>
      <c r="AO1091" s="94"/>
      <c r="AP1091" s="94"/>
      <c r="AQ1091" s="94"/>
      <c r="AR1091" s="94"/>
      <c r="AS1091" s="94"/>
      <c r="AT1091" s="94"/>
      <c r="AU1091" s="94"/>
      <c r="AV1091" s="94"/>
      <c r="AW1091" s="94"/>
      <c r="AX1091" s="94"/>
      <c r="AY1091" s="94"/>
      <c r="AZ1091" s="94"/>
      <c r="BA1091" s="95"/>
    </row>
    <row r="1092" spans="1:53" s="87" customFormat="1">
      <c r="A1092" s="90" t="str">
        <f t="shared" si="41"/>
        <v/>
      </c>
      <c r="B1092" s="98"/>
      <c r="C1092" s="94"/>
      <c r="D1092" s="94"/>
      <c r="E1092" s="94"/>
      <c r="F1092" s="94"/>
      <c r="G1092" s="94"/>
      <c r="H1092" s="94"/>
      <c r="I1092" s="94"/>
      <c r="J1092" s="94"/>
      <c r="K1092" s="94"/>
      <c r="L1092" s="94"/>
      <c r="M1092" s="94"/>
      <c r="N1092" s="94"/>
      <c r="O1092" s="94"/>
      <c r="P1092" s="94"/>
      <c r="Q1092" s="94"/>
      <c r="R1092" s="94"/>
      <c r="S1092" s="94"/>
      <c r="T1092" s="94"/>
      <c r="U1092" s="94"/>
      <c r="V1092" s="94"/>
      <c r="W1092" s="94"/>
      <c r="X1092" s="94"/>
      <c r="Y1092" s="94"/>
      <c r="Z1092" s="94"/>
      <c r="AA1092" s="94"/>
      <c r="AB1092" s="94"/>
      <c r="AC1092" s="94"/>
      <c r="AD1092" s="94"/>
      <c r="AE1092" s="94"/>
      <c r="AF1092" s="94"/>
      <c r="AG1092" s="94"/>
      <c r="AH1092" s="94"/>
      <c r="AI1092" s="94"/>
      <c r="AJ1092" s="94"/>
      <c r="AK1092" s="94"/>
      <c r="AL1092" s="94"/>
      <c r="AM1092" s="94"/>
      <c r="AN1092" s="94"/>
      <c r="AO1092" s="94"/>
      <c r="AP1092" s="94"/>
      <c r="AQ1092" s="94"/>
      <c r="AR1092" s="94"/>
      <c r="AS1092" s="94"/>
      <c r="AT1092" s="94"/>
      <c r="AU1092" s="94"/>
      <c r="AV1092" s="94"/>
      <c r="AW1092" s="94"/>
      <c r="AX1092" s="94"/>
      <c r="AY1092" s="94"/>
      <c r="AZ1092" s="94"/>
      <c r="BA1092" s="95"/>
    </row>
    <row r="1093" spans="1:53" s="87" customFormat="1">
      <c r="A1093" s="90" t="str">
        <f t="shared" si="41"/>
        <v/>
      </c>
      <c r="B1093" s="98"/>
      <c r="C1093" s="94"/>
      <c r="D1093" s="94"/>
      <c r="E1093" s="94"/>
      <c r="F1093" s="94"/>
      <c r="G1093" s="94"/>
      <c r="H1093" s="94"/>
      <c r="I1093" s="94"/>
      <c r="J1093" s="94"/>
      <c r="K1093" s="94"/>
      <c r="L1093" s="94"/>
      <c r="M1093" s="94"/>
      <c r="N1093" s="94"/>
      <c r="O1093" s="94"/>
      <c r="P1093" s="94"/>
      <c r="Q1093" s="94"/>
      <c r="R1093" s="94"/>
      <c r="S1093" s="94"/>
      <c r="T1093" s="94"/>
      <c r="U1093" s="94"/>
      <c r="V1093" s="94"/>
      <c r="W1093" s="94"/>
      <c r="X1093" s="94"/>
      <c r="Y1093" s="94"/>
      <c r="Z1093" s="94"/>
      <c r="AA1093" s="94"/>
      <c r="AB1093" s="94"/>
      <c r="AC1093" s="94"/>
      <c r="AD1093" s="94"/>
      <c r="AE1093" s="94"/>
      <c r="AF1093" s="94"/>
      <c r="AG1093" s="94"/>
      <c r="AH1093" s="94"/>
      <c r="AI1093" s="94"/>
      <c r="AJ1093" s="94"/>
      <c r="AK1093" s="94"/>
      <c r="AL1093" s="94"/>
      <c r="AM1093" s="94"/>
      <c r="AN1093" s="94"/>
      <c r="AO1093" s="94"/>
      <c r="AP1093" s="94"/>
      <c r="AQ1093" s="94"/>
      <c r="AR1093" s="94"/>
      <c r="AS1093" s="94"/>
      <c r="AT1093" s="94"/>
      <c r="AU1093" s="94"/>
      <c r="AV1093" s="94"/>
      <c r="AW1093" s="94"/>
      <c r="AX1093" s="94"/>
      <c r="AY1093" s="94"/>
      <c r="AZ1093" s="94"/>
      <c r="BA1093" s="95"/>
    </row>
    <row r="1094" spans="1:53" s="87" customFormat="1">
      <c r="A1094" s="90" t="str">
        <f t="shared" si="41"/>
        <v/>
      </c>
      <c r="B1094" s="98"/>
      <c r="C1094" s="94"/>
      <c r="D1094" s="94"/>
      <c r="E1094" s="94"/>
      <c r="F1094" s="94"/>
      <c r="G1094" s="94"/>
      <c r="H1094" s="94"/>
      <c r="I1094" s="94"/>
      <c r="J1094" s="94"/>
      <c r="K1094" s="94"/>
      <c r="L1094" s="94"/>
      <c r="M1094" s="94"/>
      <c r="N1094" s="94"/>
      <c r="O1094" s="94"/>
      <c r="P1094" s="94"/>
      <c r="Q1094" s="94"/>
      <c r="R1094" s="94"/>
      <c r="S1094" s="94"/>
      <c r="T1094" s="94"/>
      <c r="U1094" s="94"/>
      <c r="V1094" s="94"/>
      <c r="W1094" s="94"/>
      <c r="X1094" s="94"/>
      <c r="Y1094" s="94"/>
      <c r="Z1094" s="94"/>
      <c r="AA1094" s="94"/>
      <c r="AB1094" s="94"/>
      <c r="AC1094" s="94"/>
      <c r="AD1094" s="94"/>
      <c r="AE1094" s="94"/>
      <c r="AF1094" s="94"/>
      <c r="AG1094" s="94"/>
      <c r="AH1094" s="94"/>
      <c r="AI1094" s="94"/>
      <c r="AJ1094" s="94"/>
      <c r="AK1094" s="94"/>
      <c r="AL1094" s="94"/>
      <c r="AM1094" s="94"/>
      <c r="AN1094" s="94"/>
      <c r="AO1094" s="94"/>
      <c r="AP1094" s="94"/>
      <c r="AQ1094" s="94"/>
      <c r="AR1094" s="94"/>
      <c r="AS1094" s="94"/>
      <c r="AT1094" s="94"/>
      <c r="AU1094" s="94"/>
      <c r="AV1094" s="94"/>
      <c r="AW1094" s="94"/>
      <c r="AX1094" s="94"/>
      <c r="AY1094" s="94"/>
      <c r="AZ1094" s="94"/>
      <c r="BA1094" s="95"/>
    </row>
    <row r="1095" spans="1:53" s="87" customFormat="1">
      <c r="A1095" s="90" t="str">
        <f t="shared" si="41"/>
        <v/>
      </c>
      <c r="B1095" s="98"/>
      <c r="C1095" s="94"/>
      <c r="D1095" s="94"/>
      <c r="E1095" s="94"/>
      <c r="F1095" s="94"/>
      <c r="G1095" s="94"/>
      <c r="H1095" s="94"/>
      <c r="I1095" s="94"/>
      <c r="J1095" s="94"/>
      <c r="K1095" s="94"/>
      <c r="L1095" s="94"/>
      <c r="M1095" s="94"/>
      <c r="N1095" s="94"/>
      <c r="O1095" s="94"/>
      <c r="P1095" s="94"/>
      <c r="Q1095" s="94"/>
      <c r="R1095" s="94"/>
      <c r="S1095" s="94"/>
      <c r="T1095" s="94"/>
      <c r="U1095" s="94"/>
      <c r="V1095" s="94"/>
      <c r="W1095" s="94"/>
      <c r="X1095" s="94"/>
      <c r="Y1095" s="94"/>
      <c r="Z1095" s="94"/>
      <c r="AA1095" s="94"/>
      <c r="AB1095" s="94"/>
      <c r="AC1095" s="94"/>
      <c r="AD1095" s="94"/>
      <c r="AE1095" s="94"/>
      <c r="AF1095" s="94"/>
      <c r="AG1095" s="94"/>
      <c r="AH1095" s="94"/>
      <c r="AI1095" s="94"/>
      <c r="AJ1095" s="94"/>
      <c r="AK1095" s="94"/>
      <c r="AL1095" s="94"/>
      <c r="AM1095" s="94"/>
      <c r="AN1095" s="94"/>
      <c r="AO1095" s="94"/>
      <c r="AP1095" s="94"/>
      <c r="AQ1095" s="94"/>
      <c r="AR1095" s="94"/>
      <c r="AS1095" s="94"/>
      <c r="AT1095" s="94"/>
      <c r="AU1095" s="94"/>
      <c r="AV1095" s="94"/>
      <c r="AW1095" s="94"/>
      <c r="AX1095" s="94"/>
      <c r="AY1095" s="94"/>
      <c r="AZ1095" s="94"/>
      <c r="BA1095" s="95"/>
    </row>
    <row r="1096" spans="1:53" s="87" customFormat="1">
      <c r="A1096" s="90" t="str">
        <f t="shared" si="41"/>
        <v/>
      </c>
      <c r="B1096" s="98"/>
      <c r="C1096" s="94"/>
      <c r="D1096" s="94"/>
      <c r="E1096" s="94"/>
      <c r="F1096" s="94"/>
      <c r="G1096" s="94"/>
      <c r="H1096" s="94"/>
      <c r="I1096" s="94"/>
      <c r="J1096" s="94"/>
      <c r="K1096" s="94"/>
      <c r="L1096" s="94"/>
      <c r="M1096" s="94"/>
      <c r="N1096" s="94"/>
      <c r="O1096" s="94"/>
      <c r="P1096" s="94"/>
      <c r="Q1096" s="94"/>
      <c r="R1096" s="94"/>
      <c r="S1096" s="94"/>
      <c r="T1096" s="94"/>
      <c r="U1096" s="94"/>
      <c r="V1096" s="94"/>
      <c r="W1096" s="94"/>
      <c r="X1096" s="94"/>
      <c r="Y1096" s="94"/>
      <c r="Z1096" s="94"/>
      <c r="AA1096" s="94"/>
      <c r="AB1096" s="94"/>
      <c r="AC1096" s="94"/>
      <c r="AD1096" s="94"/>
      <c r="AE1096" s="94"/>
      <c r="AF1096" s="94"/>
      <c r="AG1096" s="94"/>
      <c r="AH1096" s="94"/>
      <c r="AI1096" s="94"/>
      <c r="AJ1096" s="94"/>
      <c r="AK1096" s="94"/>
      <c r="AL1096" s="94"/>
      <c r="AM1096" s="94"/>
      <c r="AN1096" s="94"/>
      <c r="AO1096" s="94"/>
      <c r="AP1096" s="94"/>
      <c r="AQ1096" s="94"/>
      <c r="AR1096" s="94"/>
      <c r="AS1096" s="94"/>
      <c r="AT1096" s="94"/>
      <c r="AU1096" s="94"/>
      <c r="AV1096" s="94"/>
      <c r="AW1096" s="94"/>
      <c r="AX1096" s="94"/>
      <c r="AY1096" s="94"/>
      <c r="AZ1096" s="94"/>
      <c r="BA1096" s="95"/>
    </row>
    <row r="1097" spans="1:53" s="87" customFormat="1">
      <c r="A1097" s="90" t="str">
        <f t="shared" si="41"/>
        <v/>
      </c>
      <c r="B1097" s="98"/>
      <c r="C1097" s="94"/>
      <c r="D1097" s="94"/>
      <c r="E1097" s="94"/>
      <c r="F1097" s="94"/>
      <c r="G1097" s="94"/>
      <c r="H1097" s="94"/>
      <c r="I1097" s="94"/>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5"/>
    </row>
    <row r="1098" spans="1:53" s="87" customFormat="1">
      <c r="A1098" s="90" t="str">
        <f t="shared" si="41"/>
        <v/>
      </c>
      <c r="B1098" s="98"/>
      <c r="C1098" s="94"/>
      <c r="D1098" s="94"/>
      <c r="E1098" s="94"/>
      <c r="F1098" s="94"/>
      <c r="G1098" s="94"/>
      <c r="H1098" s="94"/>
      <c r="I1098" s="94"/>
      <c r="J1098" s="94"/>
      <c r="K1098" s="94"/>
      <c r="L1098" s="94"/>
      <c r="M1098" s="94"/>
      <c r="N1098" s="94"/>
      <c r="O1098" s="94"/>
      <c r="P1098" s="94"/>
      <c r="Q1098" s="94"/>
      <c r="R1098" s="94"/>
      <c r="S1098" s="94"/>
      <c r="T1098" s="94"/>
      <c r="U1098" s="94"/>
      <c r="V1098" s="94"/>
      <c r="W1098" s="94"/>
      <c r="X1098" s="94"/>
      <c r="Y1098" s="94"/>
      <c r="Z1098" s="94"/>
      <c r="AA1098" s="94"/>
      <c r="AB1098" s="94"/>
      <c r="AC1098" s="94"/>
      <c r="AD1098" s="94"/>
      <c r="AE1098" s="94"/>
      <c r="AF1098" s="94"/>
      <c r="AG1098" s="94"/>
      <c r="AH1098" s="94"/>
      <c r="AI1098" s="94"/>
      <c r="AJ1098" s="94"/>
      <c r="AK1098" s="94"/>
      <c r="AL1098" s="94"/>
      <c r="AM1098" s="94"/>
      <c r="AN1098" s="94"/>
      <c r="AO1098" s="94"/>
      <c r="AP1098" s="94"/>
      <c r="AQ1098" s="94"/>
      <c r="AR1098" s="94"/>
      <c r="AS1098" s="94"/>
      <c r="AT1098" s="94"/>
      <c r="AU1098" s="94"/>
      <c r="AV1098" s="94"/>
      <c r="AW1098" s="94"/>
      <c r="AX1098" s="94"/>
      <c r="AY1098" s="94"/>
      <c r="AZ1098" s="94"/>
      <c r="BA1098" s="95"/>
    </row>
    <row r="1099" spans="1:53" s="87" customFormat="1">
      <c r="A1099" s="90" t="str">
        <f t="shared" si="41"/>
        <v/>
      </c>
      <c r="B1099" s="98"/>
      <c r="C1099" s="94"/>
      <c r="D1099" s="94"/>
      <c r="E1099" s="94"/>
      <c r="F1099" s="94"/>
      <c r="G1099" s="94"/>
      <c r="H1099" s="94"/>
      <c r="I1099" s="94"/>
      <c r="J1099" s="94"/>
      <c r="K1099" s="94"/>
      <c r="L1099" s="94"/>
      <c r="M1099" s="94"/>
      <c r="N1099" s="94"/>
      <c r="O1099" s="94"/>
      <c r="P1099" s="94"/>
      <c r="Q1099" s="94"/>
      <c r="R1099" s="94"/>
      <c r="S1099" s="94"/>
      <c r="T1099" s="94"/>
      <c r="U1099" s="94"/>
      <c r="V1099" s="94"/>
      <c r="W1099" s="94"/>
      <c r="X1099" s="94"/>
      <c r="Y1099" s="94"/>
      <c r="Z1099" s="94"/>
      <c r="AA1099" s="94"/>
      <c r="AB1099" s="94"/>
      <c r="AC1099" s="94"/>
      <c r="AD1099" s="94"/>
      <c r="AE1099" s="94"/>
      <c r="AF1099" s="94"/>
      <c r="AG1099" s="94"/>
      <c r="AH1099" s="94"/>
      <c r="AI1099" s="94"/>
      <c r="AJ1099" s="94"/>
      <c r="AK1099" s="94"/>
      <c r="AL1099" s="94"/>
      <c r="AM1099" s="94"/>
      <c r="AN1099" s="94"/>
      <c r="AO1099" s="94"/>
      <c r="AP1099" s="94"/>
      <c r="AQ1099" s="94"/>
      <c r="AR1099" s="94"/>
      <c r="AS1099" s="94"/>
      <c r="AT1099" s="94"/>
      <c r="AU1099" s="94"/>
      <c r="AV1099" s="94"/>
      <c r="AW1099" s="94"/>
      <c r="AX1099" s="94"/>
      <c r="AY1099" s="94"/>
      <c r="AZ1099" s="94"/>
      <c r="BA1099" s="95"/>
    </row>
    <row r="1100" spans="1:53" s="87" customFormat="1">
      <c r="A1100" s="90" t="str">
        <f t="shared" ref="A1100:A1163" si="42">IF(MID(B1100,3,2)="09",ROW(),"")</f>
        <v/>
      </c>
      <c r="B1100" s="98"/>
      <c r="C1100" s="94"/>
      <c r="D1100" s="94"/>
      <c r="E1100" s="94"/>
      <c r="F1100" s="94"/>
      <c r="G1100" s="94"/>
      <c r="H1100" s="94"/>
      <c r="I1100" s="94"/>
      <c r="J1100" s="94"/>
      <c r="K1100" s="94"/>
      <c r="L1100" s="94"/>
      <c r="M1100" s="94"/>
      <c r="N1100" s="94"/>
      <c r="O1100" s="94"/>
      <c r="P1100" s="94"/>
      <c r="Q1100" s="94"/>
      <c r="R1100" s="94"/>
      <c r="S1100" s="94"/>
      <c r="T1100" s="94"/>
      <c r="U1100" s="94"/>
      <c r="V1100" s="94"/>
      <c r="W1100" s="94"/>
      <c r="X1100" s="94"/>
      <c r="Y1100" s="94"/>
      <c r="Z1100" s="94"/>
      <c r="AA1100" s="94"/>
      <c r="AB1100" s="94"/>
      <c r="AC1100" s="94"/>
      <c r="AD1100" s="94"/>
      <c r="AE1100" s="94"/>
      <c r="AF1100" s="94"/>
      <c r="AG1100" s="94"/>
      <c r="AH1100" s="94"/>
      <c r="AI1100" s="94"/>
      <c r="AJ1100" s="94"/>
      <c r="AK1100" s="94"/>
      <c r="AL1100" s="94"/>
      <c r="AM1100" s="94"/>
      <c r="AN1100" s="94"/>
      <c r="AO1100" s="94"/>
      <c r="AP1100" s="94"/>
      <c r="AQ1100" s="94"/>
      <c r="AR1100" s="94"/>
      <c r="AS1100" s="94"/>
      <c r="AT1100" s="94"/>
      <c r="AU1100" s="94"/>
      <c r="AV1100" s="94"/>
      <c r="AW1100" s="94"/>
      <c r="AX1100" s="94"/>
      <c r="AY1100" s="94"/>
      <c r="AZ1100" s="94"/>
      <c r="BA1100" s="95"/>
    </row>
    <row r="1101" spans="1:53" s="87" customFormat="1">
      <c r="A1101" s="90" t="str">
        <f t="shared" si="42"/>
        <v/>
      </c>
      <c r="B1101" s="98"/>
      <c r="C1101" s="94"/>
      <c r="D1101" s="94"/>
      <c r="E1101" s="94"/>
      <c r="F1101" s="94"/>
      <c r="G1101" s="94"/>
      <c r="H1101" s="94"/>
      <c r="I1101" s="94"/>
      <c r="J1101" s="94"/>
      <c r="K1101" s="94"/>
      <c r="L1101" s="94"/>
      <c r="M1101" s="94"/>
      <c r="N1101" s="94"/>
      <c r="O1101" s="94"/>
      <c r="P1101" s="94"/>
      <c r="Q1101" s="94"/>
      <c r="R1101" s="94"/>
      <c r="S1101" s="94"/>
      <c r="T1101" s="94"/>
      <c r="U1101" s="94"/>
      <c r="V1101" s="94"/>
      <c r="W1101" s="94"/>
      <c r="X1101" s="94"/>
      <c r="Y1101" s="94"/>
      <c r="Z1101" s="94"/>
      <c r="AA1101" s="94"/>
      <c r="AB1101" s="94"/>
      <c r="AC1101" s="94"/>
      <c r="AD1101" s="94"/>
      <c r="AE1101" s="94"/>
      <c r="AF1101" s="94"/>
      <c r="AG1101" s="94"/>
      <c r="AH1101" s="94"/>
      <c r="AI1101" s="94"/>
      <c r="AJ1101" s="94"/>
      <c r="AK1101" s="94"/>
      <c r="AL1101" s="94"/>
      <c r="AM1101" s="94"/>
      <c r="AN1101" s="94"/>
      <c r="AO1101" s="94"/>
      <c r="AP1101" s="94"/>
      <c r="AQ1101" s="94"/>
      <c r="AR1101" s="94"/>
      <c r="AS1101" s="94"/>
      <c r="AT1101" s="94"/>
      <c r="AU1101" s="94"/>
      <c r="AV1101" s="94"/>
      <c r="AW1101" s="94"/>
      <c r="AX1101" s="94"/>
      <c r="AY1101" s="94"/>
      <c r="AZ1101" s="94"/>
      <c r="BA1101" s="95"/>
    </row>
    <row r="1102" spans="1:53" s="87" customFormat="1">
      <c r="A1102" s="90" t="str">
        <f t="shared" si="42"/>
        <v/>
      </c>
      <c r="B1102" s="98"/>
      <c r="C1102" s="94"/>
      <c r="D1102" s="94"/>
      <c r="E1102" s="94"/>
      <c r="F1102" s="94"/>
      <c r="G1102" s="94"/>
      <c r="H1102" s="94"/>
      <c r="I1102" s="94"/>
      <c r="J1102" s="94"/>
      <c r="K1102" s="94"/>
      <c r="L1102" s="94"/>
      <c r="M1102" s="94"/>
      <c r="N1102" s="94"/>
      <c r="O1102" s="94"/>
      <c r="P1102" s="94"/>
      <c r="Q1102" s="94"/>
      <c r="R1102" s="94"/>
      <c r="S1102" s="94"/>
      <c r="T1102" s="94"/>
      <c r="U1102" s="94"/>
      <c r="V1102" s="94"/>
      <c r="W1102" s="94"/>
      <c r="X1102" s="94"/>
      <c r="Y1102" s="94"/>
      <c r="Z1102" s="94"/>
      <c r="AA1102" s="94"/>
      <c r="AB1102" s="94"/>
      <c r="AC1102" s="94"/>
      <c r="AD1102" s="94"/>
      <c r="AE1102" s="94"/>
      <c r="AF1102" s="94"/>
      <c r="AG1102" s="94"/>
      <c r="AH1102" s="94"/>
      <c r="AI1102" s="94"/>
      <c r="AJ1102" s="94"/>
      <c r="AK1102" s="94"/>
      <c r="AL1102" s="94"/>
      <c r="AM1102" s="94"/>
      <c r="AN1102" s="94"/>
      <c r="AO1102" s="94"/>
      <c r="AP1102" s="94"/>
      <c r="AQ1102" s="94"/>
      <c r="AR1102" s="94"/>
      <c r="AS1102" s="94"/>
      <c r="AT1102" s="94"/>
      <c r="AU1102" s="94"/>
      <c r="AV1102" s="94"/>
      <c r="AW1102" s="94"/>
      <c r="AX1102" s="94"/>
      <c r="AY1102" s="94"/>
      <c r="AZ1102" s="94"/>
      <c r="BA1102" s="95"/>
    </row>
    <row r="1103" spans="1:53" s="87" customFormat="1">
      <c r="A1103" s="90" t="str">
        <f t="shared" si="42"/>
        <v/>
      </c>
      <c r="B1103" s="98"/>
      <c r="C1103" s="94"/>
      <c r="D1103" s="94"/>
      <c r="E1103" s="94"/>
      <c r="F1103" s="94"/>
      <c r="G1103" s="94"/>
      <c r="H1103" s="94"/>
      <c r="I1103" s="94"/>
      <c r="J1103" s="94"/>
      <c r="K1103" s="94"/>
      <c r="L1103" s="94"/>
      <c r="M1103" s="94"/>
      <c r="N1103" s="94"/>
      <c r="O1103" s="94"/>
      <c r="P1103" s="94"/>
      <c r="Q1103" s="94"/>
      <c r="R1103" s="94"/>
      <c r="S1103" s="94"/>
      <c r="T1103" s="94"/>
      <c r="U1103" s="94"/>
      <c r="V1103" s="94"/>
      <c r="W1103" s="94"/>
      <c r="X1103" s="94"/>
      <c r="Y1103" s="94"/>
      <c r="Z1103" s="94"/>
      <c r="AA1103" s="94"/>
      <c r="AB1103" s="94"/>
      <c r="AC1103" s="94"/>
      <c r="AD1103" s="94"/>
      <c r="AE1103" s="94"/>
      <c r="AF1103" s="94"/>
      <c r="AG1103" s="94"/>
      <c r="AH1103" s="94"/>
      <c r="AI1103" s="94"/>
      <c r="AJ1103" s="94"/>
      <c r="AK1103" s="94"/>
      <c r="AL1103" s="94"/>
      <c r="AM1103" s="94"/>
      <c r="AN1103" s="94"/>
      <c r="AO1103" s="94"/>
      <c r="AP1103" s="94"/>
      <c r="AQ1103" s="94"/>
      <c r="AR1103" s="94"/>
      <c r="AS1103" s="94"/>
      <c r="AT1103" s="94"/>
      <c r="AU1103" s="94"/>
      <c r="AV1103" s="94"/>
      <c r="AW1103" s="94"/>
      <c r="AX1103" s="94"/>
      <c r="AY1103" s="94"/>
      <c r="AZ1103" s="94"/>
      <c r="BA1103" s="95"/>
    </row>
    <row r="1104" spans="1:53" s="87" customFormat="1">
      <c r="A1104" s="90" t="str">
        <f t="shared" si="42"/>
        <v/>
      </c>
      <c r="B1104" s="98"/>
      <c r="C1104" s="94"/>
      <c r="D1104" s="94"/>
      <c r="E1104" s="94"/>
      <c r="F1104" s="94"/>
      <c r="G1104" s="94"/>
      <c r="H1104" s="94"/>
      <c r="I1104" s="94"/>
      <c r="J1104" s="94"/>
      <c r="K1104" s="94"/>
      <c r="L1104" s="94"/>
      <c r="M1104" s="94"/>
      <c r="N1104" s="94"/>
      <c r="O1104" s="94"/>
      <c r="P1104" s="94"/>
      <c r="Q1104" s="94"/>
      <c r="R1104" s="94"/>
      <c r="S1104" s="94"/>
      <c r="T1104" s="94"/>
      <c r="U1104" s="94"/>
      <c r="V1104" s="94"/>
      <c r="W1104" s="94"/>
      <c r="X1104" s="94"/>
      <c r="Y1104" s="94"/>
      <c r="Z1104" s="94"/>
      <c r="AA1104" s="94"/>
      <c r="AB1104" s="94"/>
      <c r="AC1104" s="94"/>
      <c r="AD1104" s="94"/>
      <c r="AE1104" s="94"/>
      <c r="AF1104" s="94"/>
      <c r="AG1104" s="94"/>
      <c r="AH1104" s="94"/>
      <c r="AI1104" s="94"/>
      <c r="AJ1104" s="94"/>
      <c r="AK1104" s="94"/>
      <c r="AL1104" s="94"/>
      <c r="AM1104" s="94"/>
      <c r="AN1104" s="94"/>
      <c r="AO1104" s="94"/>
      <c r="AP1104" s="94"/>
      <c r="AQ1104" s="94"/>
      <c r="AR1104" s="94"/>
      <c r="AS1104" s="94"/>
      <c r="AT1104" s="94"/>
      <c r="AU1104" s="94"/>
      <c r="AV1104" s="94"/>
      <c r="AW1104" s="94"/>
      <c r="AX1104" s="94"/>
      <c r="AY1104" s="94"/>
      <c r="AZ1104" s="94"/>
      <c r="BA1104" s="95"/>
    </row>
    <row r="1105" spans="1:53" s="87" customFormat="1">
      <c r="A1105" s="90" t="str">
        <f t="shared" si="42"/>
        <v/>
      </c>
      <c r="B1105" s="98"/>
      <c r="C1105" s="94"/>
      <c r="D1105" s="94"/>
      <c r="E1105" s="94"/>
      <c r="F1105" s="94"/>
      <c r="G1105" s="94"/>
      <c r="H1105" s="94"/>
      <c r="I1105" s="94"/>
      <c r="J1105" s="94"/>
      <c r="K1105" s="94"/>
      <c r="L1105" s="94"/>
      <c r="M1105" s="94"/>
      <c r="N1105" s="94"/>
      <c r="O1105" s="94"/>
      <c r="P1105" s="94"/>
      <c r="Q1105" s="94"/>
      <c r="R1105" s="94"/>
      <c r="S1105" s="94"/>
      <c r="T1105" s="94"/>
      <c r="U1105" s="94"/>
      <c r="V1105" s="94"/>
      <c r="W1105" s="94"/>
      <c r="X1105" s="94"/>
      <c r="Y1105" s="94"/>
      <c r="Z1105" s="94"/>
      <c r="AA1105" s="94"/>
      <c r="AB1105" s="94"/>
      <c r="AC1105" s="94"/>
      <c r="AD1105" s="94"/>
      <c r="AE1105" s="94"/>
      <c r="AF1105" s="94"/>
      <c r="AG1105" s="94"/>
      <c r="AH1105" s="94"/>
      <c r="AI1105" s="94"/>
      <c r="AJ1105" s="94"/>
      <c r="AK1105" s="94"/>
      <c r="AL1105" s="94"/>
      <c r="AM1105" s="94"/>
      <c r="AN1105" s="94"/>
      <c r="AO1105" s="94"/>
      <c r="AP1105" s="94"/>
      <c r="AQ1105" s="94"/>
      <c r="AR1105" s="94"/>
      <c r="AS1105" s="94"/>
      <c r="AT1105" s="94"/>
      <c r="AU1105" s="94"/>
      <c r="AV1105" s="94"/>
      <c r="AW1105" s="94"/>
      <c r="AX1105" s="94"/>
      <c r="AY1105" s="94"/>
      <c r="AZ1105" s="94"/>
      <c r="BA1105" s="95"/>
    </row>
    <row r="1106" spans="1:53" s="87" customFormat="1">
      <c r="A1106" s="90" t="str">
        <f t="shared" si="42"/>
        <v/>
      </c>
      <c r="B1106" s="98"/>
      <c r="C1106" s="94"/>
      <c r="D1106" s="94"/>
      <c r="E1106" s="94"/>
      <c r="F1106" s="94"/>
      <c r="G1106" s="94"/>
      <c r="H1106" s="94"/>
      <c r="I1106" s="94"/>
      <c r="J1106" s="94"/>
      <c r="K1106" s="94"/>
      <c r="L1106" s="94"/>
      <c r="M1106" s="94"/>
      <c r="N1106" s="94"/>
      <c r="O1106" s="94"/>
      <c r="P1106" s="94"/>
      <c r="Q1106" s="94"/>
      <c r="R1106" s="94"/>
      <c r="S1106" s="94"/>
      <c r="T1106" s="94"/>
      <c r="U1106" s="94"/>
      <c r="V1106" s="94"/>
      <c r="W1106" s="94"/>
      <c r="X1106" s="94"/>
      <c r="Y1106" s="94"/>
      <c r="Z1106" s="94"/>
      <c r="AA1106" s="94"/>
      <c r="AB1106" s="94"/>
      <c r="AC1106" s="94"/>
      <c r="AD1106" s="94"/>
      <c r="AE1106" s="94"/>
      <c r="AF1106" s="94"/>
      <c r="AG1106" s="94"/>
      <c r="AH1106" s="94"/>
      <c r="AI1106" s="94"/>
      <c r="AJ1106" s="94"/>
      <c r="AK1106" s="94"/>
      <c r="AL1106" s="94"/>
      <c r="AM1106" s="94"/>
      <c r="AN1106" s="94"/>
      <c r="AO1106" s="94"/>
      <c r="AP1106" s="94"/>
      <c r="AQ1106" s="94"/>
      <c r="AR1106" s="94"/>
      <c r="AS1106" s="94"/>
      <c r="AT1106" s="94"/>
      <c r="AU1106" s="94"/>
      <c r="AV1106" s="94"/>
      <c r="AW1106" s="94"/>
      <c r="AX1106" s="94"/>
      <c r="AY1106" s="94"/>
      <c r="AZ1106" s="94"/>
      <c r="BA1106" s="95"/>
    </row>
    <row r="1107" spans="1:53" s="87" customFormat="1">
      <c r="A1107" s="90" t="str">
        <f t="shared" si="42"/>
        <v/>
      </c>
      <c r="B1107" s="98"/>
      <c r="C1107" s="94"/>
      <c r="D1107" s="94"/>
      <c r="E1107" s="94"/>
      <c r="F1107" s="94"/>
      <c r="G1107" s="94"/>
      <c r="H1107" s="94"/>
      <c r="I1107" s="94"/>
      <c r="J1107" s="94"/>
      <c r="K1107" s="94"/>
      <c r="L1107" s="94"/>
      <c r="M1107" s="94"/>
      <c r="N1107" s="94"/>
      <c r="O1107" s="94"/>
      <c r="P1107" s="94"/>
      <c r="Q1107" s="94"/>
      <c r="R1107" s="94"/>
      <c r="S1107" s="94"/>
      <c r="T1107" s="94"/>
      <c r="U1107" s="94"/>
      <c r="V1107" s="94"/>
      <c r="W1107" s="94"/>
      <c r="X1107" s="94"/>
      <c r="Y1107" s="94"/>
      <c r="Z1107" s="94"/>
      <c r="AA1107" s="94"/>
      <c r="AB1107" s="94"/>
      <c r="AC1107" s="94"/>
      <c r="AD1107" s="94"/>
      <c r="AE1107" s="94"/>
      <c r="AF1107" s="94"/>
      <c r="AG1107" s="94"/>
      <c r="AH1107" s="94"/>
      <c r="AI1107" s="94"/>
      <c r="AJ1107" s="94"/>
      <c r="AK1107" s="94"/>
      <c r="AL1107" s="94"/>
      <c r="AM1107" s="94"/>
      <c r="AN1107" s="94"/>
      <c r="AO1107" s="94"/>
      <c r="AP1107" s="94"/>
      <c r="AQ1107" s="94"/>
      <c r="AR1107" s="94"/>
      <c r="AS1107" s="94"/>
      <c r="AT1107" s="94"/>
      <c r="AU1107" s="94"/>
      <c r="AV1107" s="94"/>
      <c r="AW1107" s="94"/>
      <c r="AX1107" s="94"/>
      <c r="AY1107" s="94"/>
      <c r="AZ1107" s="94"/>
      <c r="BA1107" s="95"/>
    </row>
    <row r="1108" spans="1:53" s="87" customFormat="1">
      <c r="A1108" s="90" t="str">
        <f t="shared" si="42"/>
        <v/>
      </c>
      <c r="B1108" s="98"/>
      <c r="C1108" s="94"/>
      <c r="D1108" s="94"/>
      <c r="E1108" s="94"/>
      <c r="F1108" s="94"/>
      <c r="G1108" s="94"/>
      <c r="H1108" s="94"/>
      <c r="I1108" s="94"/>
      <c r="J1108" s="94"/>
      <c r="K1108" s="94"/>
      <c r="L1108" s="94"/>
      <c r="M1108" s="94"/>
      <c r="N1108" s="94"/>
      <c r="O1108" s="94"/>
      <c r="P1108" s="94"/>
      <c r="Q1108" s="94"/>
      <c r="R1108" s="94"/>
      <c r="S1108" s="94"/>
      <c r="T1108" s="94"/>
      <c r="U1108" s="94"/>
      <c r="V1108" s="94"/>
      <c r="W1108" s="94"/>
      <c r="X1108" s="94"/>
      <c r="Y1108" s="94"/>
      <c r="Z1108" s="94"/>
      <c r="AA1108" s="94"/>
      <c r="AB1108" s="94"/>
      <c r="AC1108" s="94"/>
      <c r="AD1108" s="94"/>
      <c r="AE1108" s="94"/>
      <c r="AF1108" s="94"/>
      <c r="AG1108" s="94"/>
      <c r="AH1108" s="94"/>
      <c r="AI1108" s="94"/>
      <c r="AJ1108" s="94"/>
      <c r="AK1108" s="94"/>
      <c r="AL1108" s="94"/>
      <c r="AM1108" s="94"/>
      <c r="AN1108" s="94"/>
      <c r="AO1108" s="94"/>
      <c r="AP1108" s="94"/>
      <c r="AQ1108" s="94"/>
      <c r="AR1108" s="94"/>
      <c r="AS1108" s="94"/>
      <c r="AT1108" s="94"/>
      <c r="AU1108" s="94"/>
      <c r="AV1108" s="94"/>
      <c r="AW1108" s="94"/>
      <c r="AX1108" s="94"/>
      <c r="AY1108" s="94"/>
      <c r="AZ1108" s="94"/>
      <c r="BA1108" s="95"/>
    </row>
    <row r="1109" spans="1:53" s="87" customFormat="1">
      <c r="A1109" s="90" t="str">
        <f t="shared" si="42"/>
        <v/>
      </c>
      <c r="B1109" s="98"/>
      <c r="C1109" s="94"/>
      <c r="D1109" s="94"/>
      <c r="E1109" s="94"/>
      <c r="F1109" s="94"/>
      <c r="G1109" s="94"/>
      <c r="H1109" s="94"/>
      <c r="I1109" s="94"/>
      <c r="J1109" s="94"/>
      <c r="K1109" s="94"/>
      <c r="L1109" s="94"/>
      <c r="M1109" s="94"/>
      <c r="N1109" s="94"/>
      <c r="O1109" s="94"/>
      <c r="P1109" s="94"/>
      <c r="Q1109" s="94"/>
      <c r="R1109" s="94"/>
      <c r="S1109" s="94"/>
      <c r="T1109" s="94"/>
      <c r="U1109" s="94"/>
      <c r="V1109" s="94"/>
      <c r="W1109" s="94"/>
      <c r="X1109" s="94"/>
      <c r="Y1109" s="94"/>
      <c r="Z1109" s="94"/>
      <c r="AA1109" s="94"/>
      <c r="AB1109" s="94"/>
      <c r="AC1109" s="94"/>
      <c r="AD1109" s="94"/>
      <c r="AE1109" s="94"/>
      <c r="AF1109" s="94"/>
      <c r="AG1109" s="94"/>
      <c r="AH1109" s="94"/>
      <c r="AI1109" s="94"/>
      <c r="AJ1109" s="94"/>
      <c r="AK1109" s="94"/>
      <c r="AL1109" s="94"/>
      <c r="AM1109" s="94"/>
      <c r="AN1109" s="94"/>
      <c r="AO1109" s="94"/>
      <c r="AP1109" s="94"/>
      <c r="AQ1109" s="94"/>
      <c r="AR1109" s="94"/>
      <c r="AS1109" s="94"/>
      <c r="AT1109" s="94"/>
      <c r="AU1109" s="94"/>
      <c r="AV1109" s="94"/>
      <c r="AW1109" s="94"/>
      <c r="AX1109" s="94"/>
      <c r="AY1109" s="94"/>
      <c r="AZ1109" s="94"/>
      <c r="BA1109" s="95"/>
    </row>
    <row r="1110" spans="1:53" s="87" customFormat="1">
      <c r="A1110" s="90" t="str">
        <f t="shared" si="42"/>
        <v/>
      </c>
      <c r="B1110" s="98"/>
      <c r="C1110" s="94"/>
      <c r="D1110" s="94"/>
      <c r="E1110" s="94"/>
      <c r="F1110" s="94"/>
      <c r="G1110" s="94"/>
      <c r="H1110" s="94"/>
      <c r="I1110" s="94"/>
      <c r="J1110" s="94"/>
      <c r="K1110" s="94"/>
      <c r="L1110" s="94"/>
      <c r="M1110" s="94"/>
      <c r="N1110" s="94"/>
      <c r="O1110" s="94"/>
      <c r="P1110" s="94"/>
      <c r="Q1110" s="94"/>
      <c r="R1110" s="94"/>
      <c r="S1110" s="94"/>
      <c r="T1110" s="94"/>
      <c r="U1110" s="94"/>
      <c r="V1110" s="94"/>
      <c r="W1110" s="94"/>
      <c r="X1110" s="94"/>
      <c r="Y1110" s="94"/>
      <c r="Z1110" s="94"/>
      <c r="AA1110" s="94"/>
      <c r="AB1110" s="94"/>
      <c r="AC1110" s="94"/>
      <c r="AD1110" s="94"/>
      <c r="AE1110" s="94"/>
      <c r="AF1110" s="94"/>
      <c r="AG1110" s="94"/>
      <c r="AH1110" s="94"/>
      <c r="AI1110" s="94"/>
      <c r="AJ1110" s="94"/>
      <c r="AK1110" s="94"/>
      <c r="AL1110" s="94"/>
      <c r="AM1110" s="94"/>
      <c r="AN1110" s="94"/>
      <c r="AO1110" s="94"/>
      <c r="AP1110" s="94"/>
      <c r="AQ1110" s="94"/>
      <c r="AR1110" s="94"/>
      <c r="AS1110" s="94"/>
      <c r="AT1110" s="94"/>
      <c r="AU1110" s="94"/>
      <c r="AV1110" s="94"/>
      <c r="AW1110" s="94"/>
      <c r="AX1110" s="94"/>
      <c r="AY1110" s="94"/>
      <c r="AZ1110" s="94"/>
      <c r="BA1110" s="95"/>
    </row>
    <row r="1111" spans="1:53" s="87" customFormat="1">
      <c r="A1111" s="90" t="str">
        <f t="shared" si="42"/>
        <v/>
      </c>
      <c r="B1111" s="98"/>
      <c r="C1111" s="94"/>
      <c r="D1111" s="94"/>
      <c r="E1111" s="94"/>
      <c r="F1111" s="94"/>
      <c r="G1111" s="94"/>
      <c r="H1111" s="94"/>
      <c r="I1111" s="94"/>
      <c r="J1111" s="94"/>
      <c r="K1111" s="94"/>
      <c r="L1111" s="94"/>
      <c r="M1111" s="94"/>
      <c r="N1111" s="94"/>
      <c r="O1111" s="94"/>
      <c r="P1111" s="94"/>
      <c r="Q1111" s="94"/>
      <c r="R1111" s="94"/>
      <c r="S1111" s="94"/>
      <c r="T1111" s="94"/>
      <c r="U1111" s="94"/>
      <c r="V1111" s="94"/>
      <c r="W1111" s="94"/>
      <c r="X1111" s="94"/>
      <c r="Y1111" s="94"/>
      <c r="Z1111" s="94"/>
      <c r="AA1111" s="94"/>
      <c r="AB1111" s="94"/>
      <c r="AC1111" s="94"/>
      <c r="AD1111" s="94"/>
      <c r="AE1111" s="94"/>
      <c r="AF1111" s="94"/>
      <c r="AG1111" s="94"/>
      <c r="AH1111" s="94"/>
      <c r="AI1111" s="94"/>
      <c r="AJ1111" s="94"/>
      <c r="AK1111" s="94"/>
      <c r="AL1111" s="94"/>
      <c r="AM1111" s="94"/>
      <c r="AN1111" s="94"/>
      <c r="AO1111" s="94"/>
      <c r="AP1111" s="94"/>
      <c r="AQ1111" s="94"/>
      <c r="AR1111" s="94"/>
      <c r="AS1111" s="94"/>
      <c r="AT1111" s="94"/>
      <c r="AU1111" s="94"/>
      <c r="AV1111" s="94"/>
      <c r="AW1111" s="94"/>
      <c r="AX1111" s="94"/>
      <c r="AY1111" s="94"/>
      <c r="AZ1111" s="94"/>
      <c r="BA1111" s="95"/>
    </row>
    <row r="1112" spans="1:53" s="87" customFormat="1">
      <c r="A1112" s="90" t="str">
        <f t="shared" si="42"/>
        <v/>
      </c>
      <c r="B1112" s="98"/>
      <c r="C1112" s="94"/>
      <c r="D1112" s="94"/>
      <c r="E1112" s="94"/>
      <c r="F1112" s="94"/>
      <c r="G1112" s="94"/>
      <c r="H1112" s="94"/>
      <c r="I1112" s="94"/>
      <c r="J1112" s="94"/>
      <c r="K1112" s="94"/>
      <c r="L1112" s="94"/>
      <c r="M1112" s="94"/>
      <c r="N1112" s="94"/>
      <c r="O1112" s="94"/>
      <c r="P1112" s="94"/>
      <c r="Q1112" s="94"/>
      <c r="R1112" s="94"/>
      <c r="S1112" s="94"/>
      <c r="T1112" s="94"/>
      <c r="U1112" s="94"/>
      <c r="V1112" s="94"/>
      <c r="W1112" s="94"/>
      <c r="X1112" s="94"/>
      <c r="Y1112" s="94"/>
      <c r="Z1112" s="94"/>
      <c r="AA1112" s="94"/>
      <c r="AB1112" s="94"/>
      <c r="AC1112" s="94"/>
      <c r="AD1112" s="94"/>
      <c r="AE1112" s="94"/>
      <c r="AF1112" s="94"/>
      <c r="AG1112" s="94"/>
      <c r="AH1112" s="94"/>
      <c r="AI1112" s="94"/>
      <c r="AJ1112" s="94"/>
      <c r="AK1112" s="94"/>
      <c r="AL1112" s="94"/>
      <c r="AM1112" s="94"/>
      <c r="AN1112" s="94"/>
      <c r="AO1112" s="94"/>
      <c r="AP1112" s="94"/>
      <c r="AQ1112" s="94"/>
      <c r="AR1112" s="94"/>
      <c r="AS1112" s="94"/>
      <c r="AT1112" s="94"/>
      <c r="AU1112" s="94"/>
      <c r="AV1112" s="94"/>
      <c r="AW1112" s="94"/>
      <c r="AX1112" s="94"/>
      <c r="AY1112" s="94"/>
      <c r="AZ1112" s="94"/>
      <c r="BA1112" s="95"/>
    </row>
    <row r="1113" spans="1:53" s="87" customFormat="1">
      <c r="A1113" s="90" t="str">
        <f t="shared" si="42"/>
        <v/>
      </c>
      <c r="B1113" s="98"/>
      <c r="C1113" s="94"/>
      <c r="D1113" s="94"/>
      <c r="E1113" s="94"/>
      <c r="F1113" s="94"/>
      <c r="G1113" s="94"/>
      <c r="H1113" s="94"/>
      <c r="I1113" s="94"/>
      <c r="J1113" s="94"/>
      <c r="K1113" s="94"/>
      <c r="L1113" s="94"/>
      <c r="M1113" s="94"/>
      <c r="N1113" s="94"/>
      <c r="O1113" s="94"/>
      <c r="P1113" s="94"/>
      <c r="Q1113" s="94"/>
      <c r="R1113" s="94"/>
      <c r="S1113" s="94"/>
      <c r="T1113" s="94"/>
      <c r="U1113" s="94"/>
      <c r="V1113" s="94"/>
      <c r="W1113" s="94"/>
      <c r="X1113" s="94"/>
      <c r="Y1113" s="94"/>
      <c r="Z1113" s="94"/>
      <c r="AA1113" s="94"/>
      <c r="AB1113" s="94"/>
      <c r="AC1113" s="94"/>
      <c r="AD1113" s="94"/>
      <c r="AE1113" s="94"/>
      <c r="AF1113" s="94"/>
      <c r="AG1113" s="94"/>
      <c r="AH1113" s="94"/>
      <c r="AI1113" s="94"/>
      <c r="AJ1113" s="94"/>
      <c r="AK1113" s="94"/>
      <c r="AL1113" s="94"/>
      <c r="AM1113" s="94"/>
      <c r="AN1113" s="94"/>
      <c r="AO1113" s="94"/>
      <c r="AP1113" s="94"/>
      <c r="AQ1113" s="94"/>
      <c r="AR1113" s="94"/>
      <c r="AS1113" s="94"/>
      <c r="AT1113" s="94"/>
      <c r="AU1113" s="94"/>
      <c r="AV1113" s="94"/>
      <c r="AW1113" s="94"/>
      <c r="AX1113" s="94"/>
      <c r="AY1113" s="94"/>
      <c r="AZ1113" s="94"/>
      <c r="BA1113" s="95"/>
    </row>
    <row r="1114" spans="1:53" s="87" customFormat="1">
      <c r="A1114" s="90" t="str">
        <f t="shared" si="42"/>
        <v/>
      </c>
      <c r="B1114" s="98"/>
      <c r="C1114" s="94"/>
      <c r="D1114" s="94"/>
      <c r="E1114" s="94"/>
      <c r="F1114" s="94"/>
      <c r="G1114" s="94"/>
      <c r="H1114" s="94"/>
      <c r="I1114" s="94"/>
      <c r="J1114" s="94"/>
      <c r="K1114" s="94"/>
      <c r="L1114" s="94"/>
      <c r="M1114" s="94"/>
      <c r="N1114" s="94"/>
      <c r="O1114" s="94"/>
      <c r="P1114" s="94"/>
      <c r="Q1114" s="94"/>
      <c r="R1114" s="94"/>
      <c r="S1114" s="94"/>
      <c r="T1114" s="94"/>
      <c r="U1114" s="94"/>
      <c r="V1114" s="94"/>
      <c r="W1114" s="94"/>
      <c r="X1114" s="94"/>
      <c r="Y1114" s="94"/>
      <c r="Z1114" s="94"/>
      <c r="AA1114" s="94"/>
      <c r="AB1114" s="94"/>
      <c r="AC1114" s="94"/>
      <c r="AD1114" s="94"/>
      <c r="AE1114" s="94"/>
      <c r="AF1114" s="94"/>
      <c r="AG1114" s="94"/>
      <c r="AH1114" s="94"/>
      <c r="AI1114" s="94"/>
      <c r="AJ1114" s="94"/>
      <c r="AK1114" s="94"/>
      <c r="AL1114" s="94"/>
      <c r="AM1114" s="94"/>
      <c r="AN1114" s="94"/>
      <c r="AO1114" s="94"/>
      <c r="AP1114" s="94"/>
      <c r="AQ1114" s="94"/>
      <c r="AR1114" s="94"/>
      <c r="AS1114" s="94"/>
      <c r="AT1114" s="94"/>
      <c r="AU1114" s="94"/>
      <c r="AV1114" s="94"/>
      <c r="AW1114" s="94"/>
      <c r="AX1114" s="94"/>
      <c r="AY1114" s="94"/>
      <c r="AZ1114" s="94"/>
      <c r="BA1114" s="95"/>
    </row>
    <row r="1115" spans="1:53" s="87" customFormat="1">
      <c r="A1115" s="90" t="str">
        <f t="shared" si="42"/>
        <v/>
      </c>
      <c r="B1115" s="98"/>
      <c r="C1115" s="94"/>
      <c r="D1115" s="94"/>
      <c r="E1115" s="94"/>
      <c r="F1115" s="94"/>
      <c r="G1115" s="94"/>
      <c r="H1115" s="94"/>
      <c r="I1115" s="94"/>
      <c r="J1115" s="94"/>
      <c r="K1115" s="94"/>
      <c r="L1115" s="94"/>
      <c r="M1115" s="94"/>
      <c r="N1115" s="94"/>
      <c r="O1115" s="94"/>
      <c r="P1115" s="94"/>
      <c r="Q1115" s="94"/>
      <c r="R1115" s="94"/>
      <c r="S1115" s="94"/>
      <c r="T1115" s="94"/>
      <c r="U1115" s="94"/>
      <c r="V1115" s="94"/>
      <c r="W1115" s="94"/>
      <c r="X1115" s="94"/>
      <c r="Y1115" s="94"/>
      <c r="Z1115" s="94"/>
      <c r="AA1115" s="94"/>
      <c r="AB1115" s="94"/>
      <c r="AC1115" s="94"/>
      <c r="AD1115" s="94"/>
      <c r="AE1115" s="94"/>
      <c r="AF1115" s="94"/>
      <c r="AG1115" s="94"/>
      <c r="AH1115" s="94"/>
      <c r="AI1115" s="94"/>
      <c r="AJ1115" s="94"/>
      <c r="AK1115" s="94"/>
      <c r="AL1115" s="94"/>
      <c r="AM1115" s="94"/>
      <c r="AN1115" s="94"/>
      <c r="AO1115" s="94"/>
      <c r="AP1115" s="94"/>
      <c r="AQ1115" s="94"/>
      <c r="AR1115" s="94"/>
      <c r="AS1115" s="94"/>
      <c r="AT1115" s="94"/>
      <c r="AU1115" s="94"/>
      <c r="AV1115" s="94"/>
      <c r="AW1115" s="94"/>
      <c r="AX1115" s="94"/>
      <c r="AY1115" s="94"/>
      <c r="AZ1115" s="94"/>
      <c r="BA1115" s="95"/>
    </row>
    <row r="1116" spans="1:53" s="87" customFormat="1">
      <c r="A1116" s="90" t="str">
        <f t="shared" si="42"/>
        <v/>
      </c>
      <c r="B1116" s="98"/>
      <c r="C1116" s="94"/>
      <c r="D1116" s="94"/>
      <c r="E1116" s="94"/>
      <c r="F1116" s="94"/>
      <c r="G1116" s="94"/>
      <c r="H1116" s="94"/>
      <c r="I1116" s="94"/>
      <c r="J1116" s="94"/>
      <c r="K1116" s="94"/>
      <c r="L1116" s="94"/>
      <c r="M1116" s="94"/>
      <c r="N1116" s="94"/>
      <c r="O1116" s="94"/>
      <c r="P1116" s="94"/>
      <c r="Q1116" s="94"/>
      <c r="R1116" s="94"/>
      <c r="S1116" s="94"/>
      <c r="T1116" s="94"/>
      <c r="U1116" s="94"/>
      <c r="V1116" s="94"/>
      <c r="W1116" s="94"/>
      <c r="X1116" s="94"/>
      <c r="Y1116" s="94"/>
      <c r="Z1116" s="94"/>
      <c r="AA1116" s="94"/>
      <c r="AB1116" s="94"/>
      <c r="AC1116" s="94"/>
      <c r="AD1116" s="94"/>
      <c r="AE1116" s="94"/>
      <c r="AF1116" s="94"/>
      <c r="AG1116" s="94"/>
      <c r="AH1116" s="94"/>
      <c r="AI1116" s="94"/>
      <c r="AJ1116" s="94"/>
      <c r="AK1116" s="94"/>
      <c r="AL1116" s="94"/>
      <c r="AM1116" s="94"/>
      <c r="AN1116" s="94"/>
      <c r="AO1116" s="94"/>
      <c r="AP1116" s="94"/>
      <c r="AQ1116" s="94"/>
      <c r="AR1116" s="94"/>
      <c r="AS1116" s="94"/>
      <c r="AT1116" s="94"/>
      <c r="AU1116" s="94"/>
      <c r="AV1116" s="94"/>
      <c r="AW1116" s="94"/>
      <c r="AX1116" s="94"/>
      <c r="AY1116" s="94"/>
      <c r="AZ1116" s="94"/>
      <c r="BA1116" s="95"/>
    </row>
    <row r="1117" spans="1:53" s="87" customFormat="1">
      <c r="A1117" s="90" t="str">
        <f t="shared" si="42"/>
        <v/>
      </c>
      <c r="B1117" s="98"/>
      <c r="C1117" s="94"/>
      <c r="D1117" s="94"/>
      <c r="E1117" s="94"/>
      <c r="F1117" s="94"/>
      <c r="G1117" s="94"/>
      <c r="H1117" s="94"/>
      <c r="I1117" s="94"/>
      <c r="J1117" s="94"/>
      <c r="K1117" s="94"/>
      <c r="L1117" s="94"/>
      <c r="M1117" s="94"/>
      <c r="N1117" s="94"/>
      <c r="O1117" s="94"/>
      <c r="P1117" s="94"/>
      <c r="Q1117" s="94"/>
      <c r="R1117" s="94"/>
      <c r="S1117" s="94"/>
      <c r="T1117" s="94"/>
      <c r="U1117" s="94"/>
      <c r="V1117" s="94"/>
      <c r="W1117" s="94"/>
      <c r="X1117" s="94"/>
      <c r="Y1117" s="94"/>
      <c r="Z1117" s="94"/>
      <c r="AA1117" s="94"/>
      <c r="AB1117" s="94"/>
      <c r="AC1117" s="94"/>
      <c r="AD1117" s="94"/>
      <c r="AE1117" s="94"/>
      <c r="AF1117" s="94"/>
      <c r="AG1117" s="94"/>
      <c r="AH1117" s="94"/>
      <c r="AI1117" s="94"/>
      <c r="AJ1117" s="94"/>
      <c r="AK1117" s="94"/>
      <c r="AL1117" s="94"/>
      <c r="AM1117" s="94"/>
      <c r="AN1117" s="94"/>
      <c r="AO1117" s="94"/>
      <c r="AP1117" s="94"/>
      <c r="AQ1117" s="94"/>
      <c r="AR1117" s="94"/>
      <c r="AS1117" s="94"/>
      <c r="AT1117" s="94"/>
      <c r="AU1117" s="94"/>
      <c r="AV1117" s="94"/>
      <c r="AW1117" s="94"/>
      <c r="AX1117" s="94"/>
      <c r="AY1117" s="94"/>
      <c r="AZ1117" s="94"/>
      <c r="BA1117" s="95"/>
    </row>
    <row r="1118" spans="1:53" s="87" customFormat="1">
      <c r="A1118" s="90" t="str">
        <f t="shared" si="42"/>
        <v/>
      </c>
      <c r="B1118" s="98"/>
      <c r="C1118" s="94"/>
      <c r="D1118" s="94"/>
      <c r="E1118" s="94"/>
      <c r="F1118" s="94"/>
      <c r="G1118" s="94"/>
      <c r="H1118" s="94"/>
      <c r="I1118" s="94"/>
      <c r="J1118" s="94"/>
      <c r="K1118" s="94"/>
      <c r="L1118" s="94"/>
      <c r="M1118" s="94"/>
      <c r="N1118" s="94"/>
      <c r="O1118" s="94"/>
      <c r="P1118" s="94"/>
      <c r="Q1118" s="94"/>
      <c r="R1118" s="94"/>
      <c r="S1118" s="94"/>
      <c r="T1118" s="94"/>
      <c r="U1118" s="94"/>
      <c r="V1118" s="94"/>
      <c r="W1118" s="94"/>
      <c r="X1118" s="94"/>
      <c r="Y1118" s="94"/>
      <c r="Z1118" s="94"/>
      <c r="AA1118" s="94"/>
      <c r="AB1118" s="94"/>
      <c r="AC1118" s="94"/>
      <c r="AD1118" s="94"/>
      <c r="AE1118" s="94"/>
      <c r="AF1118" s="94"/>
      <c r="AG1118" s="94"/>
      <c r="AH1118" s="94"/>
      <c r="AI1118" s="94"/>
      <c r="AJ1118" s="94"/>
      <c r="AK1118" s="94"/>
      <c r="AL1118" s="94"/>
      <c r="AM1118" s="94"/>
      <c r="AN1118" s="94"/>
      <c r="AO1118" s="94"/>
      <c r="AP1118" s="94"/>
      <c r="AQ1118" s="94"/>
      <c r="AR1118" s="94"/>
      <c r="AS1118" s="94"/>
      <c r="AT1118" s="94"/>
      <c r="AU1118" s="94"/>
      <c r="AV1118" s="94"/>
      <c r="AW1118" s="94"/>
      <c r="AX1118" s="94"/>
      <c r="AY1118" s="94"/>
      <c r="AZ1118" s="94"/>
      <c r="BA1118" s="95"/>
    </row>
    <row r="1119" spans="1:53" s="87" customFormat="1">
      <c r="A1119" s="90" t="str">
        <f t="shared" si="42"/>
        <v/>
      </c>
      <c r="B1119" s="98"/>
      <c r="C1119" s="94"/>
      <c r="D1119" s="94"/>
      <c r="E1119" s="94"/>
      <c r="F1119" s="94"/>
      <c r="G1119" s="94"/>
      <c r="H1119" s="94"/>
      <c r="I1119" s="94"/>
      <c r="J1119" s="94"/>
      <c r="K1119" s="94"/>
      <c r="L1119" s="94"/>
      <c r="M1119" s="94"/>
      <c r="N1119" s="94"/>
      <c r="O1119" s="94"/>
      <c r="P1119" s="94"/>
      <c r="Q1119" s="94"/>
      <c r="R1119" s="94"/>
      <c r="S1119" s="94"/>
      <c r="T1119" s="94"/>
      <c r="U1119" s="94"/>
      <c r="V1119" s="94"/>
      <c r="W1119" s="94"/>
      <c r="X1119" s="94"/>
      <c r="Y1119" s="94"/>
      <c r="Z1119" s="94"/>
      <c r="AA1119" s="94"/>
      <c r="AB1119" s="94"/>
      <c r="AC1119" s="94"/>
      <c r="AD1119" s="94"/>
      <c r="AE1119" s="94"/>
      <c r="AF1119" s="94"/>
      <c r="AG1119" s="94"/>
      <c r="AH1119" s="94"/>
      <c r="AI1119" s="94"/>
      <c r="AJ1119" s="94"/>
      <c r="AK1119" s="94"/>
      <c r="AL1119" s="94"/>
      <c r="AM1119" s="94"/>
      <c r="AN1119" s="94"/>
      <c r="AO1119" s="94"/>
      <c r="AP1119" s="94"/>
      <c r="AQ1119" s="94"/>
      <c r="AR1119" s="94"/>
      <c r="AS1119" s="94"/>
      <c r="AT1119" s="94"/>
      <c r="AU1119" s="94"/>
      <c r="AV1119" s="94"/>
      <c r="AW1119" s="94"/>
      <c r="AX1119" s="94"/>
      <c r="AY1119" s="94"/>
      <c r="AZ1119" s="94"/>
      <c r="BA1119" s="95"/>
    </row>
    <row r="1120" spans="1:53" s="87" customFormat="1">
      <c r="A1120" s="90" t="str">
        <f t="shared" si="42"/>
        <v/>
      </c>
      <c r="B1120" s="98"/>
      <c r="C1120" s="94"/>
      <c r="D1120" s="94"/>
      <c r="E1120" s="94"/>
      <c r="F1120" s="94"/>
      <c r="G1120" s="94"/>
      <c r="H1120" s="94"/>
      <c r="I1120" s="94"/>
      <c r="J1120" s="94"/>
      <c r="K1120" s="94"/>
      <c r="L1120" s="94"/>
      <c r="M1120" s="94"/>
      <c r="N1120" s="94"/>
      <c r="O1120" s="94"/>
      <c r="P1120" s="94"/>
      <c r="Q1120" s="94"/>
      <c r="R1120" s="94"/>
      <c r="S1120" s="94"/>
      <c r="T1120" s="94"/>
      <c r="U1120" s="94"/>
      <c r="V1120" s="94"/>
      <c r="W1120" s="94"/>
      <c r="X1120" s="94"/>
      <c r="Y1120" s="94"/>
      <c r="Z1120" s="94"/>
      <c r="AA1120" s="94"/>
      <c r="AB1120" s="94"/>
      <c r="AC1120" s="94"/>
      <c r="AD1120" s="94"/>
      <c r="AE1120" s="94"/>
      <c r="AF1120" s="94"/>
      <c r="AG1120" s="94"/>
      <c r="AH1120" s="94"/>
      <c r="AI1120" s="94"/>
      <c r="AJ1120" s="94"/>
      <c r="AK1120" s="94"/>
      <c r="AL1120" s="94"/>
      <c r="AM1120" s="94"/>
      <c r="AN1120" s="94"/>
      <c r="AO1120" s="94"/>
      <c r="AP1120" s="94"/>
      <c r="AQ1120" s="94"/>
      <c r="AR1120" s="94"/>
      <c r="AS1120" s="94"/>
      <c r="AT1120" s="94"/>
      <c r="AU1120" s="94"/>
      <c r="AV1120" s="94"/>
      <c r="AW1120" s="94"/>
      <c r="AX1120" s="94"/>
      <c r="AY1120" s="94"/>
      <c r="AZ1120" s="94"/>
      <c r="BA1120" s="95"/>
    </row>
    <row r="1121" spans="1:53" s="87" customFormat="1">
      <c r="A1121" s="90" t="str">
        <f t="shared" si="42"/>
        <v/>
      </c>
      <c r="B1121" s="98"/>
      <c r="C1121" s="94"/>
      <c r="D1121" s="94"/>
      <c r="E1121" s="94"/>
      <c r="F1121" s="94"/>
      <c r="G1121" s="94"/>
      <c r="H1121" s="94"/>
      <c r="I1121" s="94"/>
      <c r="J1121" s="94"/>
      <c r="K1121" s="94"/>
      <c r="L1121" s="94"/>
      <c r="M1121" s="94"/>
      <c r="N1121" s="94"/>
      <c r="O1121" s="94"/>
      <c r="P1121" s="94"/>
      <c r="Q1121" s="94"/>
      <c r="R1121" s="94"/>
      <c r="S1121" s="94"/>
      <c r="T1121" s="94"/>
      <c r="U1121" s="94"/>
      <c r="V1121" s="94"/>
      <c r="W1121" s="94"/>
      <c r="X1121" s="94"/>
      <c r="Y1121" s="94"/>
      <c r="Z1121" s="94"/>
      <c r="AA1121" s="94"/>
      <c r="AB1121" s="94"/>
      <c r="AC1121" s="94"/>
      <c r="AD1121" s="94"/>
      <c r="AE1121" s="94"/>
      <c r="AF1121" s="94"/>
      <c r="AG1121" s="94"/>
      <c r="AH1121" s="94"/>
      <c r="AI1121" s="94"/>
      <c r="AJ1121" s="94"/>
      <c r="AK1121" s="94"/>
      <c r="AL1121" s="94"/>
      <c r="AM1121" s="94"/>
      <c r="AN1121" s="94"/>
      <c r="AO1121" s="94"/>
      <c r="AP1121" s="94"/>
      <c r="AQ1121" s="94"/>
      <c r="AR1121" s="94"/>
      <c r="AS1121" s="94"/>
      <c r="AT1121" s="94"/>
      <c r="AU1121" s="94"/>
      <c r="AV1121" s="94"/>
      <c r="AW1121" s="94"/>
      <c r="AX1121" s="94"/>
      <c r="AY1121" s="94"/>
      <c r="AZ1121" s="94"/>
      <c r="BA1121" s="95"/>
    </row>
    <row r="1122" spans="1:53" s="87" customFormat="1">
      <c r="A1122" s="90" t="str">
        <f t="shared" si="42"/>
        <v/>
      </c>
      <c r="B1122" s="98"/>
      <c r="C1122" s="94"/>
      <c r="D1122" s="94"/>
      <c r="E1122" s="94"/>
      <c r="F1122" s="94"/>
      <c r="G1122" s="94"/>
      <c r="H1122" s="94"/>
      <c r="I1122" s="94"/>
      <c r="J1122" s="94"/>
      <c r="K1122" s="94"/>
      <c r="L1122" s="94"/>
      <c r="M1122" s="94"/>
      <c r="N1122" s="94"/>
      <c r="O1122" s="94"/>
      <c r="P1122" s="94"/>
      <c r="Q1122" s="94"/>
      <c r="R1122" s="94"/>
      <c r="S1122" s="94"/>
      <c r="T1122" s="94"/>
      <c r="U1122" s="94"/>
      <c r="V1122" s="94"/>
      <c r="W1122" s="94"/>
      <c r="X1122" s="94"/>
      <c r="Y1122" s="94"/>
      <c r="Z1122" s="94"/>
      <c r="AA1122" s="94"/>
      <c r="AB1122" s="94"/>
      <c r="AC1122" s="94"/>
      <c r="AD1122" s="94"/>
      <c r="AE1122" s="94"/>
      <c r="AF1122" s="94"/>
      <c r="AG1122" s="94"/>
      <c r="AH1122" s="94"/>
      <c r="AI1122" s="94"/>
      <c r="AJ1122" s="94"/>
      <c r="AK1122" s="94"/>
      <c r="AL1122" s="94"/>
      <c r="AM1122" s="94"/>
      <c r="AN1122" s="94"/>
      <c r="AO1122" s="94"/>
      <c r="AP1122" s="94"/>
      <c r="AQ1122" s="94"/>
      <c r="AR1122" s="94"/>
      <c r="AS1122" s="94"/>
      <c r="AT1122" s="94"/>
      <c r="AU1122" s="94"/>
      <c r="AV1122" s="94"/>
      <c r="AW1122" s="94"/>
      <c r="AX1122" s="94"/>
      <c r="AY1122" s="94"/>
      <c r="AZ1122" s="94"/>
      <c r="BA1122" s="95"/>
    </row>
    <row r="1123" spans="1:53" s="87" customFormat="1">
      <c r="A1123" s="90" t="str">
        <f t="shared" si="42"/>
        <v/>
      </c>
      <c r="B1123" s="98"/>
      <c r="C1123" s="94"/>
      <c r="D1123" s="94"/>
      <c r="E1123" s="94"/>
      <c r="F1123" s="94"/>
      <c r="G1123" s="94"/>
      <c r="H1123" s="94"/>
      <c r="I1123" s="94"/>
      <c r="J1123" s="94"/>
      <c r="K1123" s="94"/>
      <c r="L1123" s="94"/>
      <c r="M1123" s="94"/>
      <c r="N1123" s="94"/>
      <c r="O1123" s="94"/>
      <c r="P1123" s="94"/>
      <c r="Q1123" s="94"/>
      <c r="R1123" s="94"/>
      <c r="S1123" s="94"/>
      <c r="T1123" s="94"/>
      <c r="U1123" s="94"/>
      <c r="V1123" s="94"/>
      <c r="W1123" s="94"/>
      <c r="X1123" s="94"/>
      <c r="Y1123" s="94"/>
      <c r="Z1123" s="94"/>
      <c r="AA1123" s="94"/>
      <c r="AB1123" s="94"/>
      <c r="AC1123" s="94"/>
      <c r="AD1123" s="94"/>
      <c r="AE1123" s="94"/>
      <c r="AF1123" s="94"/>
      <c r="AG1123" s="94"/>
      <c r="AH1123" s="94"/>
      <c r="AI1123" s="94"/>
      <c r="AJ1123" s="94"/>
      <c r="AK1123" s="94"/>
      <c r="AL1123" s="94"/>
      <c r="AM1123" s="94"/>
      <c r="AN1123" s="94"/>
      <c r="AO1123" s="94"/>
      <c r="AP1123" s="94"/>
      <c r="AQ1123" s="94"/>
      <c r="AR1123" s="94"/>
      <c r="AS1123" s="94"/>
      <c r="AT1123" s="94"/>
      <c r="AU1123" s="94"/>
      <c r="AV1123" s="94"/>
      <c r="AW1123" s="94"/>
      <c r="AX1123" s="94"/>
      <c r="AY1123" s="94"/>
      <c r="AZ1123" s="94"/>
      <c r="BA1123" s="95"/>
    </row>
    <row r="1124" spans="1:53" s="87" customFormat="1">
      <c r="A1124" s="90" t="str">
        <f t="shared" si="42"/>
        <v/>
      </c>
      <c r="B1124" s="98"/>
      <c r="C1124" s="94"/>
      <c r="D1124" s="94"/>
      <c r="E1124" s="94"/>
      <c r="F1124" s="94"/>
      <c r="G1124" s="94"/>
      <c r="H1124" s="94"/>
      <c r="I1124" s="94"/>
      <c r="J1124" s="94"/>
      <c r="K1124" s="94"/>
      <c r="L1124" s="94"/>
      <c r="M1124" s="94"/>
      <c r="N1124" s="94"/>
      <c r="O1124" s="94"/>
      <c r="P1124" s="94"/>
      <c r="Q1124" s="94"/>
      <c r="R1124" s="94"/>
      <c r="S1124" s="94"/>
      <c r="T1124" s="94"/>
      <c r="U1124" s="94"/>
      <c r="V1124" s="94"/>
      <c r="W1124" s="94"/>
      <c r="X1124" s="94"/>
      <c r="Y1124" s="94"/>
      <c r="Z1124" s="94"/>
      <c r="AA1124" s="94"/>
      <c r="AB1124" s="94"/>
      <c r="AC1124" s="94"/>
      <c r="AD1124" s="94"/>
      <c r="AE1124" s="94"/>
      <c r="AF1124" s="94"/>
      <c r="AG1124" s="94"/>
      <c r="AH1124" s="94"/>
      <c r="AI1124" s="94"/>
      <c r="AJ1124" s="94"/>
      <c r="AK1124" s="94"/>
      <c r="AL1124" s="94"/>
      <c r="AM1124" s="94"/>
      <c r="AN1124" s="94"/>
      <c r="AO1124" s="94"/>
      <c r="AP1124" s="94"/>
      <c r="AQ1124" s="94"/>
      <c r="AR1124" s="94"/>
      <c r="AS1124" s="94"/>
      <c r="AT1124" s="94"/>
      <c r="AU1124" s="94"/>
      <c r="AV1124" s="94"/>
      <c r="AW1124" s="94"/>
      <c r="AX1124" s="94"/>
      <c r="AY1124" s="94"/>
      <c r="AZ1124" s="94"/>
      <c r="BA1124" s="95"/>
    </row>
    <row r="1125" spans="1:53" s="87" customFormat="1">
      <c r="A1125" s="90" t="str">
        <f t="shared" si="42"/>
        <v/>
      </c>
      <c r="B1125" s="98"/>
      <c r="C1125" s="94"/>
      <c r="D1125" s="94"/>
      <c r="E1125" s="94"/>
      <c r="F1125" s="94"/>
      <c r="G1125" s="94"/>
      <c r="H1125" s="94"/>
      <c r="I1125" s="94"/>
      <c r="J1125" s="94"/>
      <c r="K1125" s="94"/>
      <c r="L1125" s="94"/>
      <c r="M1125" s="94"/>
      <c r="N1125" s="94"/>
      <c r="O1125" s="94"/>
      <c r="P1125" s="94"/>
      <c r="Q1125" s="94"/>
      <c r="R1125" s="94"/>
      <c r="S1125" s="94"/>
      <c r="T1125" s="94"/>
      <c r="U1125" s="94"/>
      <c r="V1125" s="94"/>
      <c r="W1125" s="94"/>
      <c r="X1125" s="94"/>
      <c r="Y1125" s="94"/>
      <c r="Z1125" s="94"/>
      <c r="AA1125" s="94"/>
      <c r="AB1125" s="94"/>
      <c r="AC1125" s="94"/>
      <c r="AD1125" s="94"/>
      <c r="AE1125" s="94"/>
      <c r="AF1125" s="94"/>
      <c r="AG1125" s="94"/>
      <c r="AH1125" s="94"/>
      <c r="AI1125" s="94"/>
      <c r="AJ1125" s="94"/>
      <c r="AK1125" s="94"/>
      <c r="AL1125" s="94"/>
      <c r="AM1125" s="94"/>
      <c r="AN1125" s="94"/>
      <c r="AO1125" s="94"/>
      <c r="AP1125" s="94"/>
      <c r="AQ1125" s="94"/>
      <c r="AR1125" s="94"/>
      <c r="AS1125" s="94"/>
      <c r="AT1125" s="94"/>
      <c r="AU1125" s="94"/>
      <c r="AV1125" s="94"/>
      <c r="AW1125" s="94"/>
      <c r="AX1125" s="94"/>
      <c r="AY1125" s="94"/>
      <c r="AZ1125" s="94"/>
      <c r="BA1125" s="95"/>
    </row>
    <row r="1126" spans="1:53" s="87" customFormat="1">
      <c r="A1126" s="90" t="str">
        <f t="shared" si="42"/>
        <v/>
      </c>
      <c r="B1126" s="98"/>
      <c r="C1126" s="94"/>
      <c r="D1126" s="94"/>
      <c r="E1126" s="94"/>
      <c r="F1126" s="94"/>
      <c r="G1126" s="94"/>
      <c r="H1126" s="94"/>
      <c r="I1126" s="94"/>
      <c r="J1126" s="94"/>
      <c r="K1126" s="94"/>
      <c r="L1126" s="94"/>
      <c r="M1126" s="94"/>
      <c r="N1126" s="94"/>
      <c r="O1126" s="94"/>
      <c r="P1126" s="94"/>
      <c r="Q1126" s="94"/>
      <c r="R1126" s="94"/>
      <c r="S1126" s="94"/>
      <c r="T1126" s="94"/>
      <c r="U1126" s="94"/>
      <c r="V1126" s="94"/>
      <c r="W1126" s="94"/>
      <c r="X1126" s="94"/>
      <c r="Y1126" s="94"/>
      <c r="Z1126" s="94"/>
      <c r="AA1126" s="94"/>
      <c r="AB1126" s="94"/>
      <c r="AC1126" s="94"/>
      <c r="AD1126" s="94"/>
      <c r="AE1126" s="94"/>
      <c r="AF1126" s="94"/>
      <c r="AG1126" s="94"/>
      <c r="AH1126" s="94"/>
      <c r="AI1126" s="94"/>
      <c r="AJ1126" s="94"/>
      <c r="AK1126" s="94"/>
      <c r="AL1126" s="94"/>
      <c r="AM1126" s="94"/>
      <c r="AN1126" s="94"/>
      <c r="AO1126" s="94"/>
      <c r="AP1126" s="94"/>
      <c r="AQ1126" s="94"/>
      <c r="AR1126" s="94"/>
      <c r="AS1126" s="94"/>
      <c r="AT1126" s="94"/>
      <c r="AU1126" s="94"/>
      <c r="AV1126" s="94"/>
      <c r="AW1126" s="94"/>
      <c r="AX1126" s="94"/>
      <c r="AY1126" s="94"/>
      <c r="AZ1126" s="94"/>
      <c r="BA1126" s="95"/>
    </row>
    <row r="1127" spans="1:53" s="87" customFormat="1">
      <c r="A1127" s="90" t="str">
        <f t="shared" si="42"/>
        <v/>
      </c>
      <c r="B1127" s="98"/>
      <c r="C1127" s="94"/>
      <c r="D1127" s="94"/>
      <c r="E1127" s="94"/>
      <c r="F1127" s="94"/>
      <c r="G1127" s="94"/>
      <c r="H1127" s="94"/>
      <c r="I1127" s="94"/>
      <c r="J1127" s="94"/>
      <c r="K1127" s="94"/>
      <c r="L1127" s="94"/>
      <c r="M1127" s="94"/>
      <c r="N1127" s="94"/>
      <c r="O1127" s="94"/>
      <c r="P1127" s="94"/>
      <c r="Q1127" s="94"/>
      <c r="R1127" s="94"/>
      <c r="S1127" s="94"/>
      <c r="T1127" s="94"/>
      <c r="U1127" s="94"/>
      <c r="V1127" s="94"/>
      <c r="W1127" s="94"/>
      <c r="X1127" s="94"/>
      <c r="Y1127" s="94"/>
      <c r="Z1127" s="94"/>
      <c r="AA1127" s="94"/>
      <c r="AB1127" s="94"/>
      <c r="AC1127" s="94"/>
      <c r="AD1127" s="94"/>
      <c r="AE1127" s="94"/>
      <c r="AF1127" s="94"/>
      <c r="AG1127" s="94"/>
      <c r="AH1127" s="94"/>
      <c r="AI1127" s="94"/>
      <c r="AJ1127" s="94"/>
      <c r="AK1127" s="94"/>
      <c r="AL1127" s="94"/>
      <c r="AM1127" s="94"/>
      <c r="AN1127" s="94"/>
      <c r="AO1127" s="94"/>
      <c r="AP1127" s="94"/>
      <c r="AQ1127" s="94"/>
      <c r="AR1127" s="94"/>
      <c r="AS1127" s="94"/>
      <c r="AT1127" s="94"/>
      <c r="AU1127" s="94"/>
      <c r="AV1127" s="94"/>
      <c r="AW1127" s="94"/>
      <c r="AX1127" s="94"/>
      <c r="AY1127" s="94"/>
      <c r="AZ1127" s="94"/>
      <c r="BA1127" s="95"/>
    </row>
    <row r="1128" spans="1:53" s="87" customFormat="1">
      <c r="A1128" s="90" t="str">
        <f t="shared" si="42"/>
        <v/>
      </c>
      <c r="B1128" s="98"/>
      <c r="C1128" s="94"/>
      <c r="D1128" s="94"/>
      <c r="E1128" s="94"/>
      <c r="F1128" s="94"/>
      <c r="G1128" s="94"/>
      <c r="H1128" s="94"/>
      <c r="I1128" s="94"/>
      <c r="J1128" s="94"/>
      <c r="K1128" s="94"/>
      <c r="L1128" s="94"/>
      <c r="M1128" s="94"/>
      <c r="N1128" s="94"/>
      <c r="O1128" s="94"/>
      <c r="P1128" s="94"/>
      <c r="Q1128" s="94"/>
      <c r="R1128" s="94"/>
      <c r="S1128" s="94"/>
      <c r="T1128" s="94"/>
      <c r="U1128" s="94"/>
      <c r="V1128" s="94"/>
      <c r="W1128" s="94"/>
      <c r="X1128" s="94"/>
      <c r="Y1128" s="94"/>
      <c r="Z1128" s="94"/>
      <c r="AA1128" s="94"/>
      <c r="AB1128" s="94"/>
      <c r="AC1128" s="94"/>
      <c r="AD1128" s="94"/>
      <c r="AE1128" s="94"/>
      <c r="AF1128" s="94"/>
      <c r="AG1128" s="94"/>
      <c r="AH1128" s="94"/>
      <c r="AI1128" s="94"/>
      <c r="AJ1128" s="94"/>
      <c r="AK1128" s="94"/>
      <c r="AL1128" s="94"/>
      <c r="AM1128" s="94"/>
      <c r="AN1128" s="94"/>
      <c r="AO1128" s="94"/>
      <c r="AP1128" s="94"/>
      <c r="AQ1128" s="94"/>
      <c r="AR1128" s="94"/>
      <c r="AS1128" s="94"/>
      <c r="AT1128" s="94"/>
      <c r="AU1128" s="94"/>
      <c r="AV1128" s="94"/>
      <c r="AW1128" s="94"/>
      <c r="AX1128" s="94"/>
      <c r="AY1128" s="94"/>
      <c r="AZ1128" s="94"/>
      <c r="BA1128" s="95"/>
    </row>
    <row r="1129" spans="1:53" s="87" customFormat="1">
      <c r="A1129" s="90" t="str">
        <f t="shared" si="42"/>
        <v/>
      </c>
      <c r="B1129" s="98"/>
      <c r="C1129" s="94"/>
      <c r="D1129" s="94"/>
      <c r="E1129" s="94"/>
      <c r="F1129" s="94"/>
      <c r="G1129" s="94"/>
      <c r="H1129" s="94"/>
      <c r="I1129" s="94"/>
      <c r="J1129" s="94"/>
      <c r="K1129" s="94"/>
      <c r="L1129" s="94"/>
      <c r="M1129" s="94"/>
      <c r="N1129" s="94"/>
      <c r="O1129" s="94"/>
      <c r="P1129" s="94"/>
      <c r="Q1129" s="94"/>
      <c r="R1129" s="94"/>
      <c r="S1129" s="94"/>
      <c r="T1129" s="94"/>
      <c r="U1129" s="94"/>
      <c r="V1129" s="94"/>
      <c r="W1129" s="94"/>
      <c r="X1129" s="94"/>
      <c r="Y1129" s="94"/>
      <c r="Z1129" s="94"/>
      <c r="AA1129" s="94"/>
      <c r="AB1129" s="94"/>
      <c r="AC1129" s="94"/>
      <c r="AD1129" s="94"/>
      <c r="AE1129" s="94"/>
      <c r="AF1129" s="94"/>
      <c r="AG1129" s="94"/>
      <c r="AH1129" s="94"/>
      <c r="AI1129" s="94"/>
      <c r="AJ1129" s="94"/>
      <c r="AK1129" s="94"/>
      <c r="AL1129" s="94"/>
      <c r="AM1129" s="94"/>
      <c r="AN1129" s="94"/>
      <c r="AO1129" s="94"/>
      <c r="AP1129" s="94"/>
      <c r="AQ1129" s="94"/>
      <c r="AR1129" s="94"/>
      <c r="AS1129" s="94"/>
      <c r="AT1129" s="94"/>
      <c r="AU1129" s="94"/>
      <c r="AV1129" s="94"/>
      <c r="AW1129" s="94"/>
      <c r="AX1129" s="94"/>
      <c r="AY1129" s="94"/>
      <c r="AZ1129" s="94"/>
      <c r="BA1129" s="95"/>
    </row>
    <row r="1130" spans="1:53" s="87" customFormat="1">
      <c r="A1130" s="90" t="str">
        <f t="shared" si="42"/>
        <v/>
      </c>
      <c r="B1130" s="98"/>
      <c r="C1130" s="94"/>
      <c r="D1130" s="94"/>
      <c r="E1130" s="94"/>
      <c r="F1130" s="94"/>
      <c r="G1130" s="94"/>
      <c r="H1130" s="94"/>
      <c r="I1130" s="94"/>
      <c r="J1130" s="94"/>
      <c r="K1130" s="94"/>
      <c r="L1130" s="94"/>
      <c r="M1130" s="94"/>
      <c r="N1130" s="94"/>
      <c r="O1130" s="94"/>
      <c r="P1130" s="94"/>
      <c r="Q1130" s="94"/>
      <c r="R1130" s="94"/>
      <c r="S1130" s="94"/>
      <c r="T1130" s="94"/>
      <c r="U1130" s="94"/>
      <c r="V1130" s="94"/>
      <c r="W1130" s="94"/>
      <c r="X1130" s="94"/>
      <c r="Y1130" s="94"/>
      <c r="Z1130" s="94"/>
      <c r="AA1130" s="94"/>
      <c r="AB1130" s="94"/>
      <c r="AC1130" s="94"/>
      <c r="AD1130" s="94"/>
      <c r="AE1130" s="94"/>
      <c r="AF1130" s="94"/>
      <c r="AG1130" s="94"/>
      <c r="AH1130" s="94"/>
      <c r="AI1130" s="94"/>
      <c r="AJ1130" s="94"/>
      <c r="AK1130" s="94"/>
      <c r="AL1130" s="94"/>
      <c r="AM1130" s="94"/>
      <c r="AN1130" s="94"/>
      <c r="AO1130" s="94"/>
      <c r="AP1130" s="94"/>
      <c r="AQ1130" s="94"/>
      <c r="AR1130" s="94"/>
      <c r="AS1130" s="94"/>
      <c r="AT1130" s="94"/>
      <c r="AU1130" s="94"/>
      <c r="AV1130" s="94"/>
      <c r="AW1130" s="94"/>
      <c r="AX1130" s="94"/>
      <c r="AY1130" s="94"/>
      <c r="AZ1130" s="94"/>
      <c r="BA1130" s="95"/>
    </row>
    <row r="1131" spans="1:53" s="87" customFormat="1">
      <c r="A1131" s="90" t="str">
        <f t="shared" si="42"/>
        <v/>
      </c>
      <c r="B1131" s="98"/>
      <c r="C1131" s="94"/>
      <c r="D1131" s="94"/>
      <c r="E1131" s="94"/>
      <c r="F1131" s="94"/>
      <c r="G1131" s="94"/>
      <c r="H1131" s="94"/>
      <c r="I1131" s="94"/>
      <c r="J1131" s="94"/>
      <c r="K1131" s="94"/>
      <c r="L1131" s="94"/>
      <c r="M1131" s="94"/>
      <c r="N1131" s="94"/>
      <c r="O1131" s="94"/>
      <c r="P1131" s="94"/>
      <c r="Q1131" s="94"/>
      <c r="R1131" s="94"/>
      <c r="S1131" s="94"/>
      <c r="T1131" s="94"/>
      <c r="U1131" s="94"/>
      <c r="V1131" s="94"/>
      <c r="W1131" s="94"/>
      <c r="X1131" s="94"/>
      <c r="Y1131" s="94"/>
      <c r="Z1131" s="94"/>
      <c r="AA1131" s="94"/>
      <c r="AB1131" s="94"/>
      <c r="AC1131" s="94"/>
      <c r="AD1131" s="94"/>
      <c r="AE1131" s="94"/>
      <c r="AF1131" s="94"/>
      <c r="AG1131" s="94"/>
      <c r="AH1131" s="94"/>
      <c r="AI1131" s="94"/>
      <c r="AJ1131" s="94"/>
      <c r="AK1131" s="94"/>
      <c r="AL1131" s="94"/>
      <c r="AM1131" s="94"/>
      <c r="AN1131" s="94"/>
      <c r="AO1131" s="94"/>
      <c r="AP1131" s="94"/>
      <c r="AQ1131" s="94"/>
      <c r="AR1131" s="94"/>
      <c r="AS1131" s="94"/>
      <c r="AT1131" s="94"/>
      <c r="AU1131" s="94"/>
      <c r="AV1131" s="94"/>
      <c r="AW1131" s="94"/>
      <c r="AX1131" s="94"/>
      <c r="AY1131" s="94"/>
      <c r="AZ1131" s="94"/>
      <c r="BA1131" s="95"/>
    </row>
    <row r="1132" spans="1:53" s="87" customFormat="1">
      <c r="A1132" s="90" t="str">
        <f t="shared" si="42"/>
        <v/>
      </c>
      <c r="B1132" s="98"/>
      <c r="C1132" s="94"/>
      <c r="D1132" s="94"/>
      <c r="E1132" s="94"/>
      <c r="F1132" s="94"/>
      <c r="G1132" s="94"/>
      <c r="H1132" s="94"/>
      <c r="I1132" s="94"/>
      <c r="J1132" s="94"/>
      <c r="K1132" s="94"/>
      <c r="L1132" s="94"/>
      <c r="M1132" s="94"/>
      <c r="N1132" s="94"/>
      <c r="O1132" s="94"/>
      <c r="P1132" s="94"/>
      <c r="Q1132" s="94"/>
      <c r="R1132" s="94"/>
      <c r="S1132" s="94"/>
      <c r="T1132" s="94"/>
      <c r="U1132" s="94"/>
      <c r="V1132" s="94"/>
      <c r="W1132" s="94"/>
      <c r="X1132" s="94"/>
      <c r="Y1132" s="94"/>
      <c r="Z1132" s="94"/>
      <c r="AA1132" s="94"/>
      <c r="AB1132" s="94"/>
      <c r="AC1132" s="94"/>
      <c r="AD1132" s="94"/>
      <c r="AE1132" s="94"/>
      <c r="AF1132" s="94"/>
      <c r="AG1132" s="94"/>
      <c r="AH1132" s="94"/>
      <c r="AI1132" s="94"/>
      <c r="AJ1132" s="94"/>
      <c r="AK1132" s="94"/>
      <c r="AL1132" s="94"/>
      <c r="AM1132" s="94"/>
      <c r="AN1132" s="94"/>
      <c r="AO1132" s="94"/>
      <c r="AP1132" s="94"/>
      <c r="AQ1132" s="94"/>
      <c r="AR1132" s="94"/>
      <c r="AS1132" s="94"/>
      <c r="AT1132" s="94"/>
      <c r="AU1132" s="94"/>
      <c r="AV1132" s="94"/>
      <c r="AW1132" s="94"/>
      <c r="AX1132" s="94"/>
      <c r="AY1132" s="94"/>
      <c r="AZ1132" s="94"/>
      <c r="BA1132" s="95"/>
    </row>
    <row r="1133" spans="1:53" s="87" customFormat="1">
      <c r="A1133" s="90" t="str">
        <f t="shared" si="42"/>
        <v/>
      </c>
      <c r="B1133" s="98"/>
      <c r="C1133" s="94"/>
      <c r="D1133" s="94"/>
      <c r="E1133" s="94"/>
      <c r="F1133" s="94"/>
      <c r="G1133" s="94"/>
      <c r="H1133" s="94"/>
      <c r="I1133" s="94"/>
      <c r="J1133" s="94"/>
      <c r="K1133" s="94"/>
      <c r="L1133" s="94"/>
      <c r="M1133" s="94"/>
      <c r="N1133" s="94"/>
      <c r="O1133" s="94"/>
      <c r="P1133" s="94"/>
      <c r="Q1133" s="94"/>
      <c r="R1133" s="94"/>
      <c r="S1133" s="94"/>
      <c r="T1133" s="94"/>
      <c r="U1133" s="94"/>
      <c r="V1133" s="94"/>
      <c r="W1133" s="94"/>
      <c r="X1133" s="94"/>
      <c r="Y1133" s="94"/>
      <c r="Z1133" s="94"/>
      <c r="AA1133" s="94"/>
      <c r="AB1133" s="94"/>
      <c r="AC1133" s="94"/>
      <c r="AD1133" s="94"/>
      <c r="AE1133" s="94"/>
      <c r="AF1133" s="94"/>
      <c r="AG1133" s="94"/>
      <c r="AH1133" s="94"/>
      <c r="AI1133" s="94"/>
      <c r="AJ1133" s="94"/>
      <c r="AK1133" s="94"/>
      <c r="AL1133" s="94"/>
      <c r="AM1133" s="94"/>
      <c r="AN1133" s="94"/>
      <c r="AO1133" s="94"/>
      <c r="AP1133" s="94"/>
      <c r="AQ1133" s="94"/>
      <c r="AR1133" s="94"/>
      <c r="AS1133" s="94"/>
      <c r="AT1133" s="94"/>
      <c r="AU1133" s="94"/>
      <c r="AV1133" s="94"/>
      <c r="AW1133" s="94"/>
      <c r="AX1133" s="94"/>
      <c r="AY1133" s="94"/>
      <c r="AZ1133" s="94"/>
      <c r="BA1133" s="95"/>
    </row>
    <row r="1134" spans="1:53" s="87" customFormat="1">
      <c r="A1134" s="90" t="str">
        <f t="shared" si="42"/>
        <v/>
      </c>
      <c r="B1134" s="98"/>
      <c r="C1134" s="94"/>
      <c r="D1134" s="94"/>
      <c r="E1134" s="94"/>
      <c r="F1134" s="94"/>
      <c r="G1134" s="94"/>
      <c r="H1134" s="94"/>
      <c r="I1134" s="94"/>
      <c r="J1134" s="94"/>
      <c r="K1134" s="94"/>
      <c r="L1134" s="94"/>
      <c r="M1134" s="94"/>
      <c r="N1134" s="94"/>
      <c r="O1134" s="94"/>
      <c r="P1134" s="94"/>
      <c r="Q1134" s="94"/>
      <c r="R1134" s="94"/>
      <c r="S1134" s="94"/>
      <c r="T1134" s="94"/>
      <c r="U1134" s="94"/>
      <c r="V1134" s="94"/>
      <c r="W1134" s="94"/>
      <c r="X1134" s="94"/>
      <c r="Y1134" s="94"/>
      <c r="Z1134" s="94"/>
      <c r="AA1134" s="94"/>
      <c r="AB1134" s="94"/>
      <c r="AC1134" s="94"/>
      <c r="AD1134" s="94"/>
      <c r="AE1134" s="94"/>
      <c r="AF1134" s="94"/>
      <c r="AG1134" s="94"/>
      <c r="AH1134" s="94"/>
      <c r="AI1134" s="94"/>
      <c r="AJ1134" s="94"/>
      <c r="AK1134" s="94"/>
      <c r="AL1134" s="94"/>
      <c r="AM1134" s="94"/>
      <c r="AN1134" s="94"/>
      <c r="AO1134" s="94"/>
      <c r="AP1134" s="94"/>
      <c r="AQ1134" s="94"/>
      <c r="AR1134" s="94"/>
      <c r="AS1134" s="94"/>
      <c r="AT1134" s="94"/>
      <c r="AU1134" s="94"/>
      <c r="AV1134" s="94"/>
      <c r="AW1134" s="94"/>
      <c r="AX1134" s="94"/>
      <c r="AY1134" s="94"/>
      <c r="AZ1134" s="94"/>
      <c r="BA1134" s="95"/>
    </row>
    <row r="1135" spans="1:53" s="87" customFormat="1">
      <c r="A1135" s="90" t="str">
        <f t="shared" si="42"/>
        <v/>
      </c>
      <c r="B1135" s="98"/>
      <c r="C1135" s="94"/>
      <c r="D1135" s="94"/>
      <c r="E1135" s="94"/>
      <c r="F1135" s="94"/>
      <c r="G1135" s="94"/>
      <c r="H1135" s="94"/>
      <c r="I1135" s="94"/>
      <c r="J1135" s="94"/>
      <c r="K1135" s="94"/>
      <c r="L1135" s="94"/>
      <c r="M1135" s="94"/>
      <c r="N1135" s="94"/>
      <c r="O1135" s="94"/>
      <c r="P1135" s="94"/>
      <c r="Q1135" s="94"/>
      <c r="R1135" s="94"/>
      <c r="S1135" s="94"/>
      <c r="T1135" s="94"/>
      <c r="U1135" s="94"/>
      <c r="V1135" s="94"/>
      <c r="W1135" s="94"/>
      <c r="X1135" s="94"/>
      <c r="Y1135" s="94"/>
      <c r="Z1135" s="94"/>
      <c r="AA1135" s="94"/>
      <c r="AB1135" s="94"/>
      <c r="AC1135" s="94"/>
      <c r="AD1135" s="94"/>
      <c r="AE1135" s="94"/>
      <c r="AF1135" s="94"/>
      <c r="AG1135" s="94"/>
      <c r="AH1135" s="94"/>
      <c r="AI1135" s="94"/>
      <c r="AJ1135" s="94"/>
      <c r="AK1135" s="94"/>
      <c r="AL1135" s="94"/>
      <c r="AM1135" s="94"/>
      <c r="AN1135" s="94"/>
      <c r="AO1135" s="94"/>
      <c r="AP1135" s="94"/>
      <c r="AQ1135" s="94"/>
      <c r="AR1135" s="94"/>
      <c r="AS1135" s="94"/>
      <c r="AT1135" s="94"/>
      <c r="AU1135" s="94"/>
      <c r="AV1135" s="94"/>
      <c r="AW1135" s="94"/>
      <c r="AX1135" s="94"/>
      <c r="AY1135" s="94"/>
      <c r="AZ1135" s="94"/>
      <c r="BA1135" s="95"/>
    </row>
    <row r="1136" spans="1:53" s="87" customFormat="1">
      <c r="A1136" s="90" t="str">
        <f t="shared" si="42"/>
        <v/>
      </c>
      <c r="B1136" s="98"/>
      <c r="C1136" s="94"/>
      <c r="D1136" s="94"/>
      <c r="E1136" s="94"/>
      <c r="F1136" s="94"/>
      <c r="G1136" s="94"/>
      <c r="H1136" s="94"/>
      <c r="I1136" s="94"/>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5"/>
    </row>
    <row r="1137" spans="1:53" s="87" customFormat="1">
      <c r="A1137" s="90" t="str">
        <f t="shared" si="42"/>
        <v/>
      </c>
      <c r="B1137" s="98"/>
      <c r="C1137" s="94"/>
      <c r="D1137" s="94"/>
      <c r="E1137" s="94"/>
      <c r="F1137" s="94"/>
      <c r="G1137" s="94"/>
      <c r="H1137" s="94"/>
      <c r="I1137" s="94"/>
      <c r="J1137" s="94"/>
      <c r="K1137" s="94"/>
      <c r="L1137" s="94"/>
      <c r="M1137" s="94"/>
      <c r="N1137" s="94"/>
      <c r="O1137" s="94"/>
      <c r="P1137" s="94"/>
      <c r="Q1137" s="94"/>
      <c r="R1137" s="94"/>
      <c r="S1137" s="94"/>
      <c r="T1137" s="94"/>
      <c r="U1137" s="94"/>
      <c r="V1137" s="94"/>
      <c r="W1137" s="94"/>
      <c r="X1137" s="94"/>
      <c r="Y1137" s="94"/>
      <c r="Z1137" s="94"/>
      <c r="AA1137" s="94"/>
      <c r="AB1137" s="94"/>
      <c r="AC1137" s="94"/>
      <c r="AD1137" s="94"/>
      <c r="AE1137" s="94"/>
      <c r="AF1137" s="94"/>
      <c r="AG1137" s="94"/>
      <c r="AH1137" s="94"/>
      <c r="AI1137" s="94"/>
      <c r="AJ1137" s="94"/>
      <c r="AK1137" s="94"/>
      <c r="AL1137" s="94"/>
      <c r="AM1137" s="94"/>
      <c r="AN1137" s="94"/>
      <c r="AO1137" s="94"/>
      <c r="AP1137" s="94"/>
      <c r="AQ1137" s="94"/>
      <c r="AR1137" s="94"/>
      <c r="AS1137" s="94"/>
      <c r="AT1137" s="94"/>
      <c r="AU1137" s="94"/>
      <c r="AV1137" s="94"/>
      <c r="AW1137" s="94"/>
      <c r="AX1137" s="94"/>
      <c r="AY1137" s="94"/>
      <c r="AZ1137" s="94"/>
      <c r="BA1137" s="95"/>
    </row>
    <row r="1138" spans="1:53" s="87" customFormat="1">
      <c r="A1138" s="90" t="str">
        <f t="shared" si="42"/>
        <v/>
      </c>
      <c r="B1138" s="98"/>
      <c r="C1138" s="94"/>
      <c r="D1138" s="94"/>
      <c r="E1138" s="94"/>
      <c r="F1138" s="94"/>
      <c r="G1138" s="94"/>
      <c r="H1138" s="94"/>
      <c r="I1138" s="94"/>
      <c r="J1138" s="94"/>
      <c r="K1138" s="94"/>
      <c r="L1138" s="94"/>
      <c r="M1138" s="94"/>
      <c r="N1138" s="94"/>
      <c r="O1138" s="94"/>
      <c r="P1138" s="94"/>
      <c r="Q1138" s="94"/>
      <c r="R1138" s="94"/>
      <c r="S1138" s="94"/>
      <c r="T1138" s="94"/>
      <c r="U1138" s="94"/>
      <c r="V1138" s="94"/>
      <c r="W1138" s="94"/>
      <c r="X1138" s="94"/>
      <c r="Y1138" s="94"/>
      <c r="Z1138" s="94"/>
      <c r="AA1138" s="94"/>
      <c r="AB1138" s="94"/>
      <c r="AC1138" s="94"/>
      <c r="AD1138" s="94"/>
      <c r="AE1138" s="94"/>
      <c r="AF1138" s="94"/>
      <c r="AG1138" s="94"/>
      <c r="AH1138" s="94"/>
      <c r="AI1138" s="94"/>
      <c r="AJ1138" s="94"/>
      <c r="AK1138" s="94"/>
      <c r="AL1138" s="94"/>
      <c r="AM1138" s="94"/>
      <c r="AN1138" s="94"/>
      <c r="AO1138" s="94"/>
      <c r="AP1138" s="94"/>
      <c r="AQ1138" s="94"/>
      <c r="AR1138" s="94"/>
      <c r="AS1138" s="94"/>
      <c r="AT1138" s="94"/>
      <c r="AU1138" s="94"/>
      <c r="AV1138" s="94"/>
      <c r="AW1138" s="94"/>
      <c r="AX1138" s="94"/>
      <c r="AY1138" s="94"/>
      <c r="AZ1138" s="94"/>
      <c r="BA1138" s="95"/>
    </row>
    <row r="1139" spans="1:53" s="87" customFormat="1">
      <c r="A1139" s="90" t="str">
        <f t="shared" si="42"/>
        <v/>
      </c>
      <c r="B1139" s="98"/>
      <c r="C1139" s="94"/>
      <c r="D1139" s="94"/>
      <c r="E1139" s="94"/>
      <c r="F1139" s="94"/>
      <c r="G1139" s="94"/>
      <c r="H1139" s="94"/>
      <c r="I1139" s="94"/>
      <c r="J1139" s="94"/>
      <c r="K1139" s="94"/>
      <c r="L1139" s="94"/>
      <c r="M1139" s="94"/>
      <c r="N1139" s="94"/>
      <c r="O1139" s="94"/>
      <c r="P1139" s="94"/>
      <c r="Q1139" s="94"/>
      <c r="R1139" s="94"/>
      <c r="S1139" s="94"/>
      <c r="T1139" s="94"/>
      <c r="U1139" s="94"/>
      <c r="V1139" s="94"/>
      <c r="W1139" s="94"/>
      <c r="X1139" s="94"/>
      <c r="Y1139" s="94"/>
      <c r="Z1139" s="94"/>
      <c r="AA1139" s="94"/>
      <c r="AB1139" s="94"/>
      <c r="AC1139" s="94"/>
      <c r="AD1139" s="94"/>
      <c r="AE1139" s="94"/>
      <c r="AF1139" s="94"/>
      <c r="AG1139" s="94"/>
      <c r="AH1139" s="94"/>
      <c r="AI1139" s="94"/>
      <c r="AJ1139" s="94"/>
      <c r="AK1139" s="94"/>
      <c r="AL1139" s="94"/>
      <c r="AM1139" s="94"/>
      <c r="AN1139" s="94"/>
      <c r="AO1139" s="94"/>
      <c r="AP1139" s="94"/>
      <c r="AQ1139" s="94"/>
      <c r="AR1139" s="94"/>
      <c r="AS1139" s="94"/>
      <c r="AT1139" s="94"/>
      <c r="AU1139" s="94"/>
      <c r="AV1139" s="94"/>
      <c r="AW1139" s="94"/>
      <c r="AX1139" s="94"/>
      <c r="AY1139" s="94"/>
      <c r="AZ1139" s="94"/>
      <c r="BA1139" s="95"/>
    </row>
    <row r="1140" spans="1:53" s="87" customFormat="1">
      <c r="A1140" s="90" t="str">
        <f t="shared" si="42"/>
        <v/>
      </c>
      <c r="B1140" s="98"/>
      <c r="C1140" s="94"/>
      <c r="D1140" s="94"/>
      <c r="E1140" s="94"/>
      <c r="F1140" s="94"/>
      <c r="G1140" s="94"/>
      <c r="H1140" s="94"/>
      <c r="I1140" s="94"/>
      <c r="J1140" s="94"/>
      <c r="K1140" s="94"/>
      <c r="L1140" s="94"/>
      <c r="M1140" s="94"/>
      <c r="N1140" s="94"/>
      <c r="O1140" s="94"/>
      <c r="P1140" s="94"/>
      <c r="Q1140" s="94"/>
      <c r="R1140" s="94"/>
      <c r="S1140" s="94"/>
      <c r="T1140" s="94"/>
      <c r="U1140" s="94"/>
      <c r="V1140" s="94"/>
      <c r="W1140" s="94"/>
      <c r="X1140" s="94"/>
      <c r="Y1140" s="94"/>
      <c r="Z1140" s="94"/>
      <c r="AA1140" s="94"/>
      <c r="AB1140" s="94"/>
      <c r="AC1140" s="94"/>
      <c r="AD1140" s="94"/>
      <c r="AE1140" s="94"/>
      <c r="AF1140" s="94"/>
      <c r="AG1140" s="94"/>
      <c r="AH1140" s="94"/>
      <c r="AI1140" s="94"/>
      <c r="AJ1140" s="94"/>
      <c r="AK1140" s="94"/>
      <c r="AL1140" s="94"/>
      <c r="AM1140" s="94"/>
      <c r="AN1140" s="94"/>
      <c r="AO1140" s="94"/>
      <c r="AP1140" s="94"/>
      <c r="AQ1140" s="94"/>
      <c r="AR1140" s="94"/>
      <c r="AS1140" s="94"/>
      <c r="AT1140" s="94"/>
      <c r="AU1140" s="94"/>
      <c r="AV1140" s="94"/>
      <c r="AW1140" s="94"/>
      <c r="AX1140" s="94"/>
      <c r="AY1140" s="94"/>
      <c r="AZ1140" s="94"/>
      <c r="BA1140" s="95"/>
    </row>
    <row r="1141" spans="1:53" s="87" customFormat="1">
      <c r="A1141" s="90" t="str">
        <f t="shared" si="42"/>
        <v/>
      </c>
      <c r="B1141" s="98"/>
      <c r="C1141" s="94"/>
      <c r="D1141" s="94"/>
      <c r="E1141" s="94"/>
      <c r="F1141" s="94"/>
      <c r="G1141" s="94"/>
      <c r="H1141" s="94"/>
      <c r="I1141" s="94"/>
      <c r="J1141" s="94"/>
      <c r="K1141" s="94"/>
      <c r="L1141" s="94"/>
      <c r="M1141" s="94"/>
      <c r="N1141" s="94"/>
      <c r="O1141" s="94"/>
      <c r="P1141" s="94"/>
      <c r="Q1141" s="94"/>
      <c r="R1141" s="94"/>
      <c r="S1141" s="94"/>
      <c r="T1141" s="94"/>
      <c r="U1141" s="94"/>
      <c r="V1141" s="94"/>
      <c r="W1141" s="94"/>
      <c r="X1141" s="94"/>
      <c r="Y1141" s="94"/>
      <c r="Z1141" s="94"/>
      <c r="AA1141" s="94"/>
      <c r="AB1141" s="94"/>
      <c r="AC1141" s="94"/>
      <c r="AD1141" s="94"/>
      <c r="AE1141" s="94"/>
      <c r="AF1141" s="94"/>
      <c r="AG1141" s="94"/>
      <c r="AH1141" s="94"/>
      <c r="AI1141" s="94"/>
      <c r="AJ1141" s="94"/>
      <c r="AK1141" s="94"/>
      <c r="AL1141" s="94"/>
      <c r="AM1141" s="94"/>
      <c r="AN1141" s="94"/>
      <c r="AO1141" s="94"/>
      <c r="AP1141" s="94"/>
      <c r="AQ1141" s="94"/>
      <c r="AR1141" s="94"/>
      <c r="AS1141" s="94"/>
      <c r="AT1141" s="94"/>
      <c r="AU1141" s="94"/>
      <c r="AV1141" s="94"/>
      <c r="AW1141" s="94"/>
      <c r="AX1141" s="94"/>
      <c r="AY1141" s="94"/>
      <c r="AZ1141" s="94"/>
      <c r="BA1141" s="95"/>
    </row>
    <row r="1142" spans="1:53" s="87" customFormat="1">
      <c r="A1142" s="90" t="str">
        <f t="shared" si="42"/>
        <v/>
      </c>
      <c r="B1142" s="98"/>
      <c r="C1142" s="94"/>
      <c r="D1142" s="94"/>
      <c r="E1142" s="94"/>
      <c r="F1142" s="94"/>
      <c r="G1142" s="94"/>
      <c r="H1142" s="94"/>
      <c r="I1142" s="94"/>
      <c r="J1142" s="94"/>
      <c r="K1142" s="94"/>
      <c r="L1142" s="94"/>
      <c r="M1142" s="94"/>
      <c r="N1142" s="94"/>
      <c r="O1142" s="94"/>
      <c r="P1142" s="94"/>
      <c r="Q1142" s="94"/>
      <c r="R1142" s="94"/>
      <c r="S1142" s="94"/>
      <c r="T1142" s="94"/>
      <c r="U1142" s="94"/>
      <c r="V1142" s="94"/>
      <c r="W1142" s="94"/>
      <c r="X1142" s="94"/>
      <c r="Y1142" s="94"/>
      <c r="Z1142" s="94"/>
      <c r="AA1142" s="94"/>
      <c r="AB1142" s="94"/>
      <c r="AC1142" s="94"/>
      <c r="AD1142" s="94"/>
      <c r="AE1142" s="94"/>
      <c r="AF1142" s="94"/>
      <c r="AG1142" s="94"/>
      <c r="AH1142" s="94"/>
      <c r="AI1142" s="94"/>
      <c r="AJ1142" s="94"/>
      <c r="AK1142" s="94"/>
      <c r="AL1142" s="94"/>
      <c r="AM1142" s="94"/>
      <c r="AN1142" s="94"/>
      <c r="AO1142" s="94"/>
      <c r="AP1142" s="94"/>
      <c r="AQ1142" s="94"/>
      <c r="AR1142" s="94"/>
      <c r="AS1142" s="94"/>
      <c r="AT1142" s="94"/>
      <c r="AU1142" s="94"/>
      <c r="AV1142" s="94"/>
      <c r="AW1142" s="94"/>
      <c r="AX1142" s="94"/>
      <c r="AY1142" s="94"/>
      <c r="AZ1142" s="94"/>
      <c r="BA1142" s="95"/>
    </row>
    <row r="1143" spans="1:53" s="87" customFormat="1">
      <c r="A1143" s="90" t="str">
        <f t="shared" si="42"/>
        <v/>
      </c>
      <c r="B1143" s="98"/>
      <c r="C1143" s="94"/>
      <c r="D1143" s="94"/>
      <c r="E1143" s="94"/>
      <c r="F1143" s="94"/>
      <c r="G1143" s="94"/>
      <c r="H1143" s="94"/>
      <c r="I1143" s="94"/>
      <c r="J1143" s="94"/>
      <c r="K1143" s="94"/>
      <c r="L1143" s="94"/>
      <c r="M1143" s="94"/>
      <c r="N1143" s="94"/>
      <c r="O1143" s="94"/>
      <c r="P1143" s="94"/>
      <c r="Q1143" s="94"/>
      <c r="R1143" s="94"/>
      <c r="S1143" s="94"/>
      <c r="T1143" s="94"/>
      <c r="U1143" s="94"/>
      <c r="V1143" s="94"/>
      <c r="W1143" s="94"/>
      <c r="X1143" s="94"/>
      <c r="Y1143" s="94"/>
      <c r="Z1143" s="94"/>
      <c r="AA1143" s="94"/>
      <c r="AB1143" s="94"/>
      <c r="AC1143" s="94"/>
      <c r="AD1143" s="94"/>
      <c r="AE1143" s="94"/>
      <c r="AF1143" s="94"/>
      <c r="AG1143" s="94"/>
      <c r="AH1143" s="94"/>
      <c r="AI1143" s="94"/>
      <c r="AJ1143" s="94"/>
      <c r="AK1143" s="94"/>
      <c r="AL1143" s="94"/>
      <c r="AM1143" s="94"/>
      <c r="AN1143" s="94"/>
      <c r="AO1143" s="94"/>
      <c r="AP1143" s="94"/>
      <c r="AQ1143" s="94"/>
      <c r="AR1143" s="94"/>
      <c r="AS1143" s="94"/>
      <c r="AT1143" s="94"/>
      <c r="AU1143" s="94"/>
      <c r="AV1143" s="94"/>
      <c r="AW1143" s="94"/>
      <c r="AX1143" s="94"/>
      <c r="AY1143" s="94"/>
      <c r="AZ1143" s="94"/>
      <c r="BA1143" s="95"/>
    </row>
    <row r="1144" spans="1:53" s="87" customFormat="1">
      <c r="A1144" s="90" t="str">
        <f t="shared" si="42"/>
        <v/>
      </c>
      <c r="B1144" s="98"/>
      <c r="C1144" s="94"/>
      <c r="D1144" s="94"/>
      <c r="E1144" s="94"/>
      <c r="F1144" s="94"/>
      <c r="G1144" s="94"/>
      <c r="H1144" s="94"/>
      <c r="I1144" s="94"/>
      <c r="J1144" s="94"/>
      <c r="K1144" s="94"/>
      <c r="L1144" s="94"/>
      <c r="M1144" s="94"/>
      <c r="N1144" s="94"/>
      <c r="O1144" s="94"/>
      <c r="P1144" s="94"/>
      <c r="Q1144" s="94"/>
      <c r="R1144" s="94"/>
      <c r="S1144" s="94"/>
      <c r="T1144" s="94"/>
      <c r="U1144" s="94"/>
      <c r="V1144" s="94"/>
      <c r="W1144" s="94"/>
      <c r="X1144" s="94"/>
      <c r="Y1144" s="94"/>
      <c r="Z1144" s="94"/>
      <c r="AA1144" s="94"/>
      <c r="AB1144" s="94"/>
      <c r="AC1144" s="94"/>
      <c r="AD1144" s="94"/>
      <c r="AE1144" s="94"/>
      <c r="AF1144" s="94"/>
      <c r="AG1144" s="94"/>
      <c r="AH1144" s="94"/>
      <c r="AI1144" s="94"/>
      <c r="AJ1144" s="94"/>
      <c r="AK1144" s="94"/>
      <c r="AL1144" s="94"/>
      <c r="AM1144" s="94"/>
      <c r="AN1144" s="94"/>
      <c r="AO1144" s="94"/>
      <c r="AP1144" s="94"/>
      <c r="AQ1144" s="94"/>
      <c r="AR1144" s="94"/>
      <c r="AS1144" s="94"/>
      <c r="AT1144" s="94"/>
      <c r="AU1144" s="94"/>
      <c r="AV1144" s="94"/>
      <c r="AW1144" s="94"/>
      <c r="AX1144" s="94"/>
      <c r="AY1144" s="94"/>
      <c r="AZ1144" s="94"/>
      <c r="BA1144" s="95"/>
    </row>
    <row r="1145" spans="1:53" s="87" customFormat="1">
      <c r="A1145" s="90" t="str">
        <f t="shared" si="42"/>
        <v/>
      </c>
      <c r="B1145" s="98"/>
      <c r="C1145" s="94"/>
      <c r="D1145" s="94"/>
      <c r="E1145" s="94"/>
      <c r="F1145" s="94"/>
      <c r="G1145" s="94"/>
      <c r="H1145" s="94"/>
      <c r="I1145" s="94"/>
      <c r="J1145" s="94"/>
      <c r="K1145" s="94"/>
      <c r="L1145" s="94"/>
      <c r="M1145" s="94"/>
      <c r="N1145" s="94"/>
      <c r="O1145" s="94"/>
      <c r="P1145" s="94"/>
      <c r="Q1145" s="94"/>
      <c r="R1145" s="94"/>
      <c r="S1145" s="94"/>
      <c r="T1145" s="94"/>
      <c r="U1145" s="94"/>
      <c r="V1145" s="94"/>
      <c r="W1145" s="94"/>
      <c r="X1145" s="94"/>
      <c r="Y1145" s="94"/>
      <c r="Z1145" s="94"/>
      <c r="AA1145" s="94"/>
      <c r="AB1145" s="94"/>
      <c r="AC1145" s="94"/>
      <c r="AD1145" s="94"/>
      <c r="AE1145" s="94"/>
      <c r="AF1145" s="94"/>
      <c r="AG1145" s="94"/>
      <c r="AH1145" s="94"/>
      <c r="AI1145" s="94"/>
      <c r="AJ1145" s="94"/>
      <c r="AK1145" s="94"/>
      <c r="AL1145" s="94"/>
      <c r="AM1145" s="94"/>
      <c r="AN1145" s="94"/>
      <c r="AO1145" s="94"/>
      <c r="AP1145" s="94"/>
      <c r="AQ1145" s="94"/>
      <c r="AR1145" s="94"/>
      <c r="AS1145" s="94"/>
      <c r="AT1145" s="94"/>
      <c r="AU1145" s="94"/>
      <c r="AV1145" s="94"/>
      <c r="AW1145" s="94"/>
      <c r="AX1145" s="94"/>
      <c r="AY1145" s="94"/>
      <c r="AZ1145" s="94"/>
      <c r="BA1145" s="95"/>
    </row>
    <row r="1146" spans="1:53" s="87" customFormat="1">
      <c r="A1146" s="90" t="str">
        <f t="shared" si="42"/>
        <v/>
      </c>
      <c r="B1146" s="98"/>
      <c r="C1146" s="94"/>
      <c r="D1146" s="94"/>
      <c r="E1146" s="94"/>
      <c r="F1146" s="94"/>
      <c r="G1146" s="94"/>
      <c r="H1146" s="94"/>
      <c r="I1146" s="94"/>
      <c r="J1146" s="94"/>
      <c r="K1146" s="94"/>
      <c r="L1146" s="94"/>
      <c r="M1146" s="94"/>
      <c r="N1146" s="94"/>
      <c r="O1146" s="94"/>
      <c r="P1146" s="94"/>
      <c r="Q1146" s="94"/>
      <c r="R1146" s="94"/>
      <c r="S1146" s="94"/>
      <c r="T1146" s="94"/>
      <c r="U1146" s="94"/>
      <c r="V1146" s="94"/>
      <c r="W1146" s="94"/>
      <c r="X1146" s="94"/>
      <c r="Y1146" s="94"/>
      <c r="Z1146" s="94"/>
      <c r="AA1146" s="94"/>
      <c r="AB1146" s="94"/>
      <c r="AC1146" s="94"/>
      <c r="AD1146" s="94"/>
      <c r="AE1146" s="94"/>
      <c r="AF1146" s="94"/>
      <c r="AG1146" s="94"/>
      <c r="AH1146" s="94"/>
      <c r="AI1146" s="94"/>
      <c r="AJ1146" s="94"/>
      <c r="AK1146" s="94"/>
      <c r="AL1146" s="94"/>
      <c r="AM1146" s="94"/>
      <c r="AN1146" s="94"/>
      <c r="AO1146" s="94"/>
      <c r="AP1146" s="94"/>
      <c r="AQ1146" s="94"/>
      <c r="AR1146" s="94"/>
      <c r="AS1146" s="94"/>
      <c r="AT1146" s="94"/>
      <c r="AU1146" s="94"/>
      <c r="AV1146" s="94"/>
      <c r="AW1146" s="94"/>
      <c r="AX1146" s="94"/>
      <c r="AY1146" s="94"/>
      <c r="AZ1146" s="94"/>
      <c r="BA1146" s="95"/>
    </row>
    <row r="1147" spans="1:53" s="87" customFormat="1">
      <c r="A1147" s="90" t="str">
        <f t="shared" si="42"/>
        <v/>
      </c>
      <c r="B1147" s="98"/>
      <c r="C1147" s="94"/>
      <c r="D1147" s="94"/>
      <c r="E1147" s="94"/>
      <c r="F1147" s="94"/>
      <c r="G1147" s="94"/>
      <c r="H1147" s="94"/>
      <c r="I1147" s="94"/>
      <c r="J1147" s="94"/>
      <c r="K1147" s="94"/>
      <c r="L1147" s="94"/>
      <c r="M1147" s="94"/>
      <c r="N1147" s="94"/>
      <c r="O1147" s="94"/>
      <c r="P1147" s="94"/>
      <c r="Q1147" s="94"/>
      <c r="R1147" s="94"/>
      <c r="S1147" s="94"/>
      <c r="T1147" s="94"/>
      <c r="U1147" s="94"/>
      <c r="V1147" s="94"/>
      <c r="W1147" s="94"/>
      <c r="X1147" s="94"/>
      <c r="Y1147" s="94"/>
      <c r="Z1147" s="94"/>
      <c r="AA1147" s="94"/>
      <c r="AB1147" s="94"/>
      <c r="AC1147" s="94"/>
      <c r="AD1147" s="94"/>
      <c r="AE1147" s="94"/>
      <c r="AF1147" s="94"/>
      <c r="AG1147" s="94"/>
      <c r="AH1147" s="94"/>
      <c r="AI1147" s="94"/>
      <c r="AJ1147" s="94"/>
      <c r="AK1147" s="94"/>
      <c r="AL1147" s="94"/>
      <c r="AM1147" s="94"/>
      <c r="AN1147" s="94"/>
      <c r="AO1147" s="94"/>
      <c r="AP1147" s="94"/>
      <c r="AQ1147" s="94"/>
      <c r="AR1147" s="94"/>
      <c r="AS1147" s="94"/>
      <c r="AT1147" s="94"/>
      <c r="AU1147" s="94"/>
      <c r="AV1147" s="94"/>
      <c r="AW1147" s="94"/>
      <c r="AX1147" s="94"/>
      <c r="AY1147" s="94"/>
      <c r="AZ1147" s="94"/>
      <c r="BA1147" s="95"/>
    </row>
    <row r="1148" spans="1:53" s="87" customFormat="1">
      <c r="A1148" s="90" t="str">
        <f t="shared" si="42"/>
        <v/>
      </c>
      <c r="B1148" s="98"/>
      <c r="C1148" s="94"/>
      <c r="D1148" s="94"/>
      <c r="E1148" s="94"/>
      <c r="F1148" s="94"/>
      <c r="G1148" s="94"/>
      <c r="H1148" s="94"/>
      <c r="I1148" s="94"/>
      <c r="J1148" s="94"/>
      <c r="K1148" s="94"/>
      <c r="L1148" s="94"/>
      <c r="M1148" s="94"/>
      <c r="N1148" s="94"/>
      <c r="O1148" s="94"/>
      <c r="P1148" s="94"/>
      <c r="Q1148" s="94"/>
      <c r="R1148" s="94"/>
      <c r="S1148" s="94"/>
      <c r="T1148" s="94"/>
      <c r="U1148" s="94"/>
      <c r="V1148" s="94"/>
      <c r="W1148" s="94"/>
      <c r="X1148" s="94"/>
      <c r="Y1148" s="94"/>
      <c r="Z1148" s="94"/>
      <c r="AA1148" s="94"/>
      <c r="AB1148" s="94"/>
      <c r="AC1148" s="94"/>
      <c r="AD1148" s="94"/>
      <c r="AE1148" s="94"/>
      <c r="AF1148" s="94"/>
      <c r="AG1148" s="94"/>
      <c r="AH1148" s="94"/>
      <c r="AI1148" s="94"/>
      <c r="AJ1148" s="94"/>
      <c r="AK1148" s="94"/>
      <c r="AL1148" s="94"/>
      <c r="AM1148" s="94"/>
      <c r="AN1148" s="94"/>
      <c r="AO1148" s="94"/>
      <c r="AP1148" s="94"/>
      <c r="AQ1148" s="94"/>
      <c r="AR1148" s="94"/>
      <c r="AS1148" s="94"/>
      <c r="AT1148" s="94"/>
      <c r="AU1148" s="94"/>
      <c r="AV1148" s="94"/>
      <c r="AW1148" s="94"/>
      <c r="AX1148" s="94"/>
      <c r="AY1148" s="94"/>
      <c r="AZ1148" s="94"/>
      <c r="BA1148" s="95"/>
    </row>
    <row r="1149" spans="1:53" s="87" customFormat="1">
      <c r="A1149" s="90" t="str">
        <f t="shared" si="42"/>
        <v/>
      </c>
      <c r="B1149" s="98"/>
      <c r="C1149" s="94"/>
      <c r="D1149" s="94"/>
      <c r="E1149" s="94"/>
      <c r="F1149" s="94"/>
      <c r="G1149" s="94"/>
      <c r="H1149" s="94"/>
      <c r="I1149" s="94"/>
      <c r="J1149" s="94"/>
      <c r="K1149" s="94"/>
      <c r="L1149" s="94"/>
      <c r="M1149" s="94"/>
      <c r="N1149" s="94"/>
      <c r="O1149" s="94"/>
      <c r="P1149" s="94"/>
      <c r="Q1149" s="94"/>
      <c r="R1149" s="94"/>
      <c r="S1149" s="94"/>
      <c r="T1149" s="94"/>
      <c r="U1149" s="94"/>
      <c r="V1149" s="94"/>
      <c r="W1149" s="94"/>
      <c r="X1149" s="94"/>
      <c r="Y1149" s="94"/>
      <c r="Z1149" s="94"/>
      <c r="AA1149" s="94"/>
      <c r="AB1149" s="94"/>
      <c r="AC1149" s="94"/>
      <c r="AD1149" s="94"/>
      <c r="AE1149" s="94"/>
      <c r="AF1149" s="94"/>
      <c r="AG1149" s="94"/>
      <c r="AH1149" s="94"/>
      <c r="AI1149" s="94"/>
      <c r="AJ1149" s="94"/>
      <c r="AK1149" s="94"/>
      <c r="AL1149" s="94"/>
      <c r="AM1149" s="94"/>
      <c r="AN1149" s="94"/>
      <c r="AO1149" s="94"/>
      <c r="AP1149" s="94"/>
      <c r="AQ1149" s="94"/>
      <c r="AR1149" s="94"/>
      <c r="AS1149" s="94"/>
      <c r="AT1149" s="94"/>
      <c r="AU1149" s="94"/>
      <c r="AV1149" s="94"/>
      <c r="AW1149" s="94"/>
      <c r="AX1149" s="94"/>
      <c r="AY1149" s="94"/>
      <c r="AZ1149" s="94"/>
      <c r="BA1149" s="95"/>
    </row>
    <row r="1150" spans="1:53" s="87" customFormat="1">
      <c r="A1150" s="90" t="str">
        <f t="shared" si="42"/>
        <v/>
      </c>
      <c r="B1150" s="98"/>
      <c r="C1150" s="94"/>
      <c r="D1150" s="94"/>
      <c r="E1150" s="94"/>
      <c r="F1150" s="94"/>
      <c r="G1150" s="94"/>
      <c r="H1150" s="94"/>
      <c r="I1150" s="94"/>
      <c r="J1150" s="94"/>
      <c r="K1150" s="94"/>
      <c r="L1150" s="94"/>
      <c r="M1150" s="94"/>
      <c r="N1150" s="94"/>
      <c r="O1150" s="94"/>
      <c r="P1150" s="94"/>
      <c r="Q1150" s="94"/>
      <c r="R1150" s="94"/>
      <c r="S1150" s="94"/>
      <c r="T1150" s="94"/>
      <c r="U1150" s="94"/>
      <c r="V1150" s="94"/>
      <c r="W1150" s="94"/>
      <c r="X1150" s="94"/>
      <c r="Y1150" s="94"/>
      <c r="Z1150" s="94"/>
      <c r="AA1150" s="94"/>
      <c r="AB1150" s="94"/>
      <c r="AC1150" s="94"/>
      <c r="AD1150" s="94"/>
      <c r="AE1150" s="94"/>
      <c r="AF1150" s="94"/>
      <c r="AG1150" s="94"/>
      <c r="AH1150" s="94"/>
      <c r="AI1150" s="94"/>
      <c r="AJ1150" s="94"/>
      <c r="AK1150" s="94"/>
      <c r="AL1150" s="94"/>
      <c r="AM1150" s="94"/>
      <c r="AN1150" s="94"/>
      <c r="AO1150" s="94"/>
      <c r="AP1150" s="94"/>
      <c r="AQ1150" s="94"/>
      <c r="AR1150" s="94"/>
      <c r="AS1150" s="94"/>
      <c r="AT1150" s="94"/>
      <c r="AU1150" s="94"/>
      <c r="AV1150" s="94"/>
      <c r="AW1150" s="94"/>
      <c r="AX1150" s="94"/>
      <c r="AY1150" s="94"/>
      <c r="AZ1150" s="94"/>
      <c r="BA1150" s="95"/>
    </row>
    <row r="1151" spans="1:53" s="87" customFormat="1">
      <c r="A1151" s="90" t="str">
        <f t="shared" si="42"/>
        <v/>
      </c>
      <c r="B1151" s="98"/>
      <c r="C1151" s="94"/>
      <c r="D1151" s="94"/>
      <c r="E1151" s="94"/>
      <c r="F1151" s="94"/>
      <c r="G1151" s="94"/>
      <c r="H1151" s="94"/>
      <c r="I1151" s="94"/>
      <c r="J1151" s="94"/>
      <c r="K1151" s="94"/>
      <c r="L1151" s="94"/>
      <c r="M1151" s="94"/>
      <c r="N1151" s="94"/>
      <c r="O1151" s="94"/>
      <c r="P1151" s="94"/>
      <c r="Q1151" s="94"/>
      <c r="R1151" s="94"/>
      <c r="S1151" s="94"/>
      <c r="T1151" s="94"/>
      <c r="U1151" s="94"/>
      <c r="V1151" s="94"/>
      <c r="W1151" s="94"/>
      <c r="X1151" s="94"/>
      <c r="Y1151" s="94"/>
      <c r="Z1151" s="94"/>
      <c r="AA1151" s="94"/>
      <c r="AB1151" s="94"/>
      <c r="AC1151" s="94"/>
      <c r="AD1151" s="94"/>
      <c r="AE1151" s="94"/>
      <c r="AF1151" s="94"/>
      <c r="AG1151" s="94"/>
      <c r="AH1151" s="94"/>
      <c r="AI1151" s="94"/>
      <c r="AJ1151" s="94"/>
      <c r="AK1151" s="94"/>
      <c r="AL1151" s="94"/>
      <c r="AM1151" s="94"/>
      <c r="AN1151" s="94"/>
      <c r="AO1151" s="94"/>
      <c r="AP1151" s="94"/>
      <c r="AQ1151" s="94"/>
      <c r="AR1151" s="94"/>
      <c r="AS1151" s="94"/>
      <c r="AT1151" s="94"/>
      <c r="AU1151" s="94"/>
      <c r="AV1151" s="94"/>
      <c r="AW1151" s="94"/>
      <c r="AX1151" s="94"/>
      <c r="AY1151" s="94"/>
      <c r="AZ1151" s="94"/>
      <c r="BA1151" s="95"/>
    </row>
    <row r="1152" spans="1:53" s="87" customFormat="1">
      <c r="A1152" s="90" t="str">
        <f t="shared" si="42"/>
        <v/>
      </c>
      <c r="B1152" s="98"/>
      <c r="C1152" s="94"/>
      <c r="D1152" s="94"/>
      <c r="E1152" s="94"/>
      <c r="F1152" s="94"/>
      <c r="G1152" s="94"/>
      <c r="H1152" s="94"/>
      <c r="I1152" s="94"/>
      <c r="J1152" s="94"/>
      <c r="K1152" s="94"/>
      <c r="L1152" s="94"/>
      <c r="M1152" s="94"/>
      <c r="N1152" s="94"/>
      <c r="O1152" s="94"/>
      <c r="P1152" s="94"/>
      <c r="Q1152" s="94"/>
      <c r="R1152" s="94"/>
      <c r="S1152" s="94"/>
      <c r="T1152" s="94"/>
      <c r="U1152" s="94"/>
      <c r="V1152" s="94"/>
      <c r="W1152" s="94"/>
      <c r="X1152" s="94"/>
      <c r="Y1152" s="94"/>
      <c r="Z1152" s="94"/>
      <c r="AA1152" s="94"/>
      <c r="AB1152" s="94"/>
      <c r="AC1152" s="94"/>
      <c r="AD1152" s="94"/>
      <c r="AE1152" s="94"/>
      <c r="AF1152" s="94"/>
      <c r="AG1152" s="94"/>
      <c r="AH1152" s="94"/>
      <c r="AI1152" s="94"/>
      <c r="AJ1152" s="94"/>
      <c r="AK1152" s="94"/>
      <c r="AL1152" s="94"/>
      <c r="AM1152" s="94"/>
      <c r="AN1152" s="94"/>
      <c r="AO1152" s="94"/>
      <c r="AP1152" s="94"/>
      <c r="AQ1152" s="94"/>
      <c r="AR1152" s="94"/>
      <c r="AS1152" s="94"/>
      <c r="AT1152" s="94"/>
      <c r="AU1152" s="94"/>
      <c r="AV1152" s="94"/>
      <c r="AW1152" s="94"/>
      <c r="AX1152" s="94"/>
      <c r="AY1152" s="94"/>
      <c r="AZ1152" s="94"/>
      <c r="BA1152" s="95"/>
    </row>
    <row r="1153" spans="1:53" s="87" customFormat="1">
      <c r="A1153" s="90" t="str">
        <f t="shared" si="42"/>
        <v/>
      </c>
      <c r="B1153" s="98"/>
      <c r="C1153" s="94"/>
      <c r="D1153" s="94"/>
      <c r="E1153" s="94"/>
      <c r="F1153" s="94"/>
      <c r="G1153" s="94"/>
      <c r="H1153" s="94"/>
      <c r="I1153" s="94"/>
      <c r="J1153" s="94"/>
      <c r="K1153" s="94"/>
      <c r="L1153" s="94"/>
      <c r="M1153" s="94"/>
      <c r="N1153" s="94"/>
      <c r="O1153" s="94"/>
      <c r="P1153" s="94"/>
      <c r="Q1153" s="94"/>
      <c r="R1153" s="94"/>
      <c r="S1153" s="94"/>
      <c r="T1153" s="94"/>
      <c r="U1153" s="94"/>
      <c r="V1153" s="94"/>
      <c r="W1153" s="94"/>
      <c r="X1153" s="94"/>
      <c r="Y1153" s="94"/>
      <c r="Z1153" s="94"/>
      <c r="AA1153" s="94"/>
      <c r="AB1153" s="94"/>
      <c r="AC1153" s="94"/>
      <c r="AD1153" s="94"/>
      <c r="AE1153" s="94"/>
      <c r="AF1153" s="94"/>
      <c r="AG1153" s="94"/>
      <c r="AH1153" s="94"/>
      <c r="AI1153" s="94"/>
      <c r="AJ1153" s="94"/>
      <c r="AK1153" s="94"/>
      <c r="AL1153" s="94"/>
      <c r="AM1153" s="94"/>
      <c r="AN1153" s="94"/>
      <c r="AO1153" s="94"/>
      <c r="AP1153" s="94"/>
      <c r="AQ1153" s="94"/>
      <c r="AR1153" s="94"/>
      <c r="AS1153" s="94"/>
      <c r="AT1153" s="94"/>
      <c r="AU1153" s="94"/>
      <c r="AV1153" s="94"/>
      <c r="AW1153" s="94"/>
      <c r="AX1153" s="94"/>
      <c r="AY1153" s="94"/>
      <c r="AZ1153" s="94"/>
      <c r="BA1153" s="95"/>
    </row>
    <row r="1154" spans="1:53" s="87" customFormat="1">
      <c r="A1154" s="90" t="str">
        <f t="shared" si="42"/>
        <v/>
      </c>
      <c r="B1154" s="98"/>
      <c r="C1154" s="94"/>
      <c r="D1154" s="94"/>
      <c r="E1154" s="94"/>
      <c r="F1154" s="94"/>
      <c r="G1154" s="94"/>
      <c r="H1154" s="94"/>
      <c r="I1154" s="94"/>
      <c r="J1154" s="94"/>
      <c r="K1154" s="94"/>
      <c r="L1154" s="94"/>
      <c r="M1154" s="94"/>
      <c r="N1154" s="94"/>
      <c r="O1154" s="94"/>
      <c r="P1154" s="94"/>
      <c r="Q1154" s="94"/>
      <c r="R1154" s="94"/>
      <c r="S1154" s="94"/>
      <c r="T1154" s="94"/>
      <c r="U1154" s="94"/>
      <c r="V1154" s="94"/>
      <c r="W1154" s="94"/>
      <c r="X1154" s="94"/>
      <c r="Y1154" s="94"/>
      <c r="Z1154" s="94"/>
      <c r="AA1154" s="94"/>
      <c r="AB1154" s="94"/>
      <c r="AC1154" s="94"/>
      <c r="AD1154" s="94"/>
      <c r="AE1154" s="94"/>
      <c r="AF1154" s="94"/>
      <c r="AG1154" s="94"/>
      <c r="AH1154" s="94"/>
      <c r="AI1154" s="94"/>
      <c r="AJ1154" s="94"/>
      <c r="AK1154" s="94"/>
      <c r="AL1154" s="94"/>
      <c r="AM1154" s="94"/>
      <c r="AN1154" s="94"/>
      <c r="AO1154" s="94"/>
      <c r="AP1154" s="94"/>
      <c r="AQ1154" s="94"/>
      <c r="AR1154" s="94"/>
      <c r="AS1154" s="94"/>
      <c r="AT1154" s="94"/>
      <c r="AU1154" s="94"/>
      <c r="AV1154" s="94"/>
      <c r="AW1154" s="94"/>
      <c r="AX1154" s="94"/>
      <c r="AY1154" s="94"/>
      <c r="AZ1154" s="94"/>
      <c r="BA1154" s="95"/>
    </row>
    <row r="1155" spans="1:53" s="87" customFormat="1">
      <c r="A1155" s="90" t="str">
        <f t="shared" si="42"/>
        <v/>
      </c>
      <c r="B1155" s="98"/>
      <c r="C1155" s="94"/>
      <c r="D1155" s="94"/>
      <c r="E1155" s="94"/>
      <c r="F1155" s="94"/>
      <c r="G1155" s="94"/>
      <c r="H1155" s="94"/>
      <c r="I1155" s="94"/>
      <c r="J1155" s="94"/>
      <c r="K1155" s="94"/>
      <c r="L1155" s="94"/>
      <c r="M1155" s="94"/>
      <c r="N1155" s="94"/>
      <c r="O1155" s="94"/>
      <c r="P1155" s="94"/>
      <c r="Q1155" s="94"/>
      <c r="R1155" s="94"/>
      <c r="S1155" s="94"/>
      <c r="T1155" s="94"/>
      <c r="U1155" s="94"/>
      <c r="V1155" s="94"/>
      <c r="W1155" s="94"/>
      <c r="X1155" s="94"/>
      <c r="Y1155" s="94"/>
      <c r="Z1155" s="94"/>
      <c r="AA1155" s="94"/>
      <c r="AB1155" s="94"/>
      <c r="AC1155" s="94"/>
      <c r="AD1155" s="94"/>
      <c r="AE1155" s="94"/>
      <c r="AF1155" s="94"/>
      <c r="AG1155" s="94"/>
      <c r="AH1155" s="94"/>
      <c r="AI1155" s="94"/>
      <c r="AJ1155" s="94"/>
      <c r="AK1155" s="94"/>
      <c r="AL1155" s="94"/>
      <c r="AM1155" s="94"/>
      <c r="AN1155" s="94"/>
      <c r="AO1155" s="94"/>
      <c r="AP1155" s="94"/>
      <c r="AQ1155" s="94"/>
      <c r="AR1155" s="94"/>
      <c r="AS1155" s="94"/>
      <c r="AT1155" s="94"/>
      <c r="AU1155" s="94"/>
      <c r="AV1155" s="94"/>
      <c r="AW1155" s="94"/>
      <c r="AX1155" s="94"/>
      <c r="AY1155" s="94"/>
      <c r="AZ1155" s="94"/>
      <c r="BA1155" s="95"/>
    </row>
    <row r="1156" spans="1:53" s="87" customFormat="1">
      <c r="A1156" s="90" t="str">
        <f t="shared" si="42"/>
        <v/>
      </c>
      <c r="B1156" s="98"/>
      <c r="C1156" s="94"/>
      <c r="D1156" s="94"/>
      <c r="E1156" s="94"/>
      <c r="F1156" s="94"/>
      <c r="G1156" s="94"/>
      <c r="H1156" s="94"/>
      <c r="I1156" s="94"/>
      <c r="J1156" s="94"/>
      <c r="K1156" s="94"/>
      <c r="L1156" s="94"/>
      <c r="M1156" s="94"/>
      <c r="N1156" s="94"/>
      <c r="O1156" s="94"/>
      <c r="P1156" s="94"/>
      <c r="Q1156" s="94"/>
      <c r="R1156" s="94"/>
      <c r="S1156" s="94"/>
      <c r="T1156" s="94"/>
      <c r="U1156" s="94"/>
      <c r="V1156" s="94"/>
      <c r="W1156" s="94"/>
      <c r="X1156" s="94"/>
      <c r="Y1156" s="94"/>
      <c r="Z1156" s="94"/>
      <c r="AA1156" s="94"/>
      <c r="AB1156" s="94"/>
      <c r="AC1156" s="94"/>
      <c r="AD1156" s="94"/>
      <c r="AE1156" s="94"/>
      <c r="AF1156" s="94"/>
      <c r="AG1156" s="94"/>
      <c r="AH1156" s="94"/>
      <c r="AI1156" s="94"/>
      <c r="AJ1156" s="94"/>
      <c r="AK1156" s="94"/>
      <c r="AL1156" s="94"/>
      <c r="AM1156" s="94"/>
      <c r="AN1156" s="94"/>
      <c r="AO1156" s="94"/>
      <c r="AP1156" s="94"/>
      <c r="AQ1156" s="94"/>
      <c r="AR1156" s="94"/>
      <c r="AS1156" s="94"/>
      <c r="AT1156" s="94"/>
      <c r="AU1156" s="94"/>
      <c r="AV1156" s="94"/>
      <c r="AW1156" s="94"/>
      <c r="AX1156" s="94"/>
      <c r="AY1156" s="94"/>
      <c r="AZ1156" s="94"/>
      <c r="BA1156" s="95"/>
    </row>
    <row r="1157" spans="1:53" s="87" customFormat="1">
      <c r="A1157" s="90" t="str">
        <f t="shared" si="42"/>
        <v/>
      </c>
      <c r="B1157" s="98"/>
      <c r="C1157" s="94"/>
      <c r="D1157" s="94"/>
      <c r="E1157" s="94"/>
      <c r="F1157" s="94"/>
      <c r="G1157" s="94"/>
      <c r="H1157" s="94"/>
      <c r="I1157" s="94"/>
      <c r="J1157" s="94"/>
      <c r="K1157" s="94"/>
      <c r="L1157" s="94"/>
      <c r="M1157" s="94"/>
      <c r="N1157" s="94"/>
      <c r="O1157" s="94"/>
      <c r="P1157" s="94"/>
      <c r="Q1157" s="94"/>
      <c r="R1157" s="94"/>
      <c r="S1157" s="94"/>
      <c r="T1157" s="94"/>
      <c r="U1157" s="94"/>
      <c r="V1157" s="94"/>
      <c r="W1157" s="94"/>
      <c r="X1157" s="94"/>
      <c r="Y1157" s="94"/>
      <c r="Z1157" s="94"/>
      <c r="AA1157" s="94"/>
      <c r="AB1157" s="94"/>
      <c r="AC1157" s="94"/>
      <c r="AD1157" s="94"/>
      <c r="AE1157" s="94"/>
      <c r="AF1157" s="94"/>
      <c r="AG1157" s="94"/>
      <c r="AH1157" s="94"/>
      <c r="AI1157" s="94"/>
      <c r="AJ1157" s="94"/>
      <c r="AK1157" s="94"/>
      <c r="AL1157" s="94"/>
      <c r="AM1157" s="94"/>
      <c r="AN1157" s="94"/>
      <c r="AO1157" s="94"/>
      <c r="AP1157" s="94"/>
      <c r="AQ1157" s="94"/>
      <c r="AR1157" s="94"/>
      <c r="AS1157" s="94"/>
      <c r="AT1157" s="94"/>
      <c r="AU1157" s="94"/>
      <c r="AV1157" s="94"/>
      <c r="AW1157" s="94"/>
      <c r="AX1157" s="94"/>
      <c r="AY1157" s="94"/>
      <c r="AZ1157" s="94"/>
      <c r="BA1157" s="95"/>
    </row>
    <row r="1158" spans="1:53" s="87" customFormat="1">
      <c r="A1158" s="90" t="str">
        <f t="shared" si="42"/>
        <v/>
      </c>
      <c r="B1158" s="98"/>
      <c r="C1158" s="94"/>
      <c r="D1158" s="94"/>
      <c r="E1158" s="94"/>
      <c r="F1158" s="94"/>
      <c r="G1158" s="94"/>
      <c r="H1158" s="94"/>
      <c r="I1158" s="94"/>
      <c r="J1158" s="94"/>
      <c r="K1158" s="94"/>
      <c r="L1158" s="94"/>
      <c r="M1158" s="94"/>
      <c r="N1158" s="94"/>
      <c r="O1158" s="94"/>
      <c r="P1158" s="94"/>
      <c r="Q1158" s="94"/>
      <c r="R1158" s="94"/>
      <c r="S1158" s="94"/>
      <c r="T1158" s="94"/>
      <c r="U1158" s="94"/>
      <c r="V1158" s="94"/>
      <c r="W1158" s="94"/>
      <c r="X1158" s="94"/>
      <c r="Y1158" s="94"/>
      <c r="Z1158" s="94"/>
      <c r="AA1158" s="94"/>
      <c r="AB1158" s="94"/>
      <c r="AC1158" s="94"/>
      <c r="AD1158" s="94"/>
      <c r="AE1158" s="94"/>
      <c r="AF1158" s="94"/>
      <c r="AG1158" s="94"/>
      <c r="AH1158" s="94"/>
      <c r="AI1158" s="94"/>
      <c r="AJ1158" s="94"/>
      <c r="AK1158" s="94"/>
      <c r="AL1158" s="94"/>
      <c r="AM1158" s="94"/>
      <c r="AN1158" s="94"/>
      <c r="AO1158" s="94"/>
      <c r="AP1158" s="94"/>
      <c r="AQ1158" s="94"/>
      <c r="AR1158" s="94"/>
      <c r="AS1158" s="94"/>
      <c r="AT1158" s="94"/>
      <c r="AU1158" s="94"/>
      <c r="AV1158" s="94"/>
      <c r="AW1158" s="94"/>
      <c r="AX1158" s="94"/>
      <c r="AY1158" s="94"/>
      <c r="AZ1158" s="94"/>
      <c r="BA1158" s="95"/>
    </row>
    <row r="1159" spans="1:53" s="87" customFormat="1">
      <c r="A1159" s="90" t="str">
        <f t="shared" si="42"/>
        <v/>
      </c>
      <c r="B1159" s="98"/>
      <c r="C1159" s="94"/>
      <c r="D1159" s="94"/>
      <c r="E1159" s="94"/>
      <c r="F1159" s="94"/>
      <c r="G1159" s="94"/>
      <c r="H1159" s="94"/>
      <c r="I1159" s="94"/>
      <c r="J1159" s="94"/>
      <c r="K1159" s="94"/>
      <c r="L1159" s="94"/>
      <c r="M1159" s="94"/>
      <c r="N1159" s="94"/>
      <c r="O1159" s="94"/>
      <c r="P1159" s="94"/>
      <c r="Q1159" s="94"/>
      <c r="R1159" s="94"/>
      <c r="S1159" s="94"/>
      <c r="T1159" s="94"/>
      <c r="U1159" s="94"/>
      <c r="V1159" s="94"/>
      <c r="W1159" s="94"/>
      <c r="X1159" s="94"/>
      <c r="Y1159" s="94"/>
      <c r="Z1159" s="94"/>
      <c r="AA1159" s="94"/>
      <c r="AB1159" s="94"/>
      <c r="AC1159" s="94"/>
      <c r="AD1159" s="94"/>
      <c r="AE1159" s="94"/>
      <c r="AF1159" s="94"/>
      <c r="AG1159" s="94"/>
      <c r="AH1159" s="94"/>
      <c r="AI1159" s="94"/>
      <c r="AJ1159" s="94"/>
      <c r="AK1159" s="94"/>
      <c r="AL1159" s="94"/>
      <c r="AM1159" s="94"/>
      <c r="AN1159" s="94"/>
      <c r="AO1159" s="94"/>
      <c r="AP1159" s="94"/>
      <c r="AQ1159" s="94"/>
      <c r="AR1159" s="94"/>
      <c r="AS1159" s="94"/>
      <c r="AT1159" s="94"/>
      <c r="AU1159" s="94"/>
      <c r="AV1159" s="94"/>
      <c r="AW1159" s="94"/>
      <c r="AX1159" s="94"/>
      <c r="AY1159" s="94"/>
      <c r="AZ1159" s="94"/>
      <c r="BA1159" s="95"/>
    </row>
    <row r="1160" spans="1:53" s="87" customFormat="1">
      <c r="A1160" s="90" t="str">
        <f t="shared" si="42"/>
        <v/>
      </c>
      <c r="B1160" s="98"/>
      <c r="C1160" s="94"/>
      <c r="D1160" s="94"/>
      <c r="E1160" s="94"/>
      <c r="F1160" s="94"/>
      <c r="G1160" s="94"/>
      <c r="H1160" s="94"/>
      <c r="I1160" s="94"/>
      <c r="J1160" s="94"/>
      <c r="K1160" s="94"/>
      <c r="L1160" s="94"/>
      <c r="M1160" s="94"/>
      <c r="N1160" s="94"/>
      <c r="O1160" s="94"/>
      <c r="P1160" s="94"/>
      <c r="Q1160" s="94"/>
      <c r="R1160" s="94"/>
      <c r="S1160" s="94"/>
      <c r="T1160" s="94"/>
      <c r="U1160" s="94"/>
      <c r="V1160" s="94"/>
      <c r="W1160" s="94"/>
      <c r="X1160" s="94"/>
      <c r="Y1160" s="94"/>
      <c r="Z1160" s="94"/>
      <c r="AA1160" s="94"/>
      <c r="AB1160" s="94"/>
      <c r="AC1160" s="94"/>
      <c r="AD1160" s="94"/>
      <c r="AE1160" s="94"/>
      <c r="AF1160" s="94"/>
      <c r="AG1160" s="94"/>
      <c r="AH1160" s="94"/>
      <c r="AI1160" s="94"/>
      <c r="AJ1160" s="94"/>
      <c r="AK1160" s="94"/>
      <c r="AL1160" s="94"/>
      <c r="AM1160" s="94"/>
      <c r="AN1160" s="94"/>
      <c r="AO1160" s="94"/>
      <c r="AP1160" s="94"/>
      <c r="AQ1160" s="94"/>
      <c r="AR1160" s="94"/>
      <c r="AS1160" s="94"/>
      <c r="AT1160" s="94"/>
      <c r="AU1160" s="94"/>
      <c r="AV1160" s="94"/>
      <c r="AW1160" s="94"/>
      <c r="AX1160" s="94"/>
      <c r="AY1160" s="94"/>
      <c r="AZ1160" s="94"/>
      <c r="BA1160" s="95"/>
    </row>
    <row r="1161" spans="1:53" s="87" customFormat="1">
      <c r="A1161" s="90" t="str">
        <f t="shared" si="42"/>
        <v/>
      </c>
      <c r="B1161" s="98"/>
      <c r="C1161" s="94"/>
      <c r="D1161" s="94"/>
      <c r="E1161" s="94"/>
      <c r="F1161" s="94"/>
      <c r="G1161" s="94"/>
      <c r="H1161" s="94"/>
      <c r="I1161" s="94"/>
      <c r="J1161" s="94"/>
      <c r="K1161" s="94"/>
      <c r="L1161" s="94"/>
      <c r="M1161" s="94"/>
      <c r="N1161" s="94"/>
      <c r="O1161" s="94"/>
      <c r="P1161" s="94"/>
      <c r="Q1161" s="94"/>
      <c r="R1161" s="94"/>
      <c r="S1161" s="94"/>
      <c r="T1161" s="94"/>
      <c r="U1161" s="94"/>
      <c r="V1161" s="94"/>
      <c r="W1161" s="94"/>
      <c r="X1161" s="94"/>
      <c r="Y1161" s="94"/>
      <c r="Z1161" s="94"/>
      <c r="AA1161" s="94"/>
      <c r="AB1161" s="94"/>
      <c r="AC1161" s="94"/>
      <c r="AD1161" s="94"/>
      <c r="AE1161" s="94"/>
      <c r="AF1161" s="94"/>
      <c r="AG1161" s="94"/>
      <c r="AH1161" s="94"/>
      <c r="AI1161" s="94"/>
      <c r="AJ1161" s="94"/>
      <c r="AK1161" s="94"/>
      <c r="AL1161" s="94"/>
      <c r="AM1161" s="94"/>
      <c r="AN1161" s="94"/>
      <c r="AO1161" s="94"/>
      <c r="AP1161" s="94"/>
      <c r="AQ1161" s="94"/>
      <c r="AR1161" s="94"/>
      <c r="AS1161" s="94"/>
      <c r="AT1161" s="94"/>
      <c r="AU1161" s="94"/>
      <c r="AV1161" s="94"/>
      <c r="AW1161" s="94"/>
      <c r="AX1161" s="94"/>
      <c r="AY1161" s="94"/>
      <c r="AZ1161" s="94"/>
      <c r="BA1161" s="95"/>
    </row>
    <row r="1162" spans="1:53" s="87" customFormat="1">
      <c r="A1162" s="90" t="str">
        <f t="shared" si="42"/>
        <v/>
      </c>
      <c r="B1162" s="98"/>
      <c r="C1162" s="94"/>
      <c r="D1162" s="94"/>
      <c r="E1162" s="94"/>
      <c r="F1162" s="94"/>
      <c r="G1162" s="94"/>
      <c r="H1162" s="94"/>
      <c r="I1162" s="94"/>
      <c r="J1162" s="94"/>
      <c r="K1162" s="94"/>
      <c r="L1162" s="94"/>
      <c r="M1162" s="94"/>
      <c r="N1162" s="94"/>
      <c r="O1162" s="94"/>
      <c r="P1162" s="94"/>
      <c r="Q1162" s="94"/>
      <c r="R1162" s="94"/>
      <c r="S1162" s="94"/>
      <c r="T1162" s="94"/>
      <c r="U1162" s="94"/>
      <c r="V1162" s="94"/>
      <c r="W1162" s="94"/>
      <c r="X1162" s="94"/>
      <c r="Y1162" s="94"/>
      <c r="Z1162" s="94"/>
      <c r="AA1162" s="94"/>
      <c r="AB1162" s="94"/>
      <c r="AC1162" s="94"/>
      <c r="AD1162" s="94"/>
      <c r="AE1162" s="94"/>
      <c r="AF1162" s="94"/>
      <c r="AG1162" s="94"/>
      <c r="AH1162" s="94"/>
      <c r="AI1162" s="94"/>
      <c r="AJ1162" s="94"/>
      <c r="AK1162" s="94"/>
      <c r="AL1162" s="94"/>
      <c r="AM1162" s="94"/>
      <c r="AN1162" s="94"/>
      <c r="AO1162" s="94"/>
      <c r="AP1162" s="94"/>
      <c r="AQ1162" s="94"/>
      <c r="AR1162" s="94"/>
      <c r="AS1162" s="94"/>
      <c r="AT1162" s="94"/>
      <c r="AU1162" s="94"/>
      <c r="AV1162" s="94"/>
      <c r="AW1162" s="94"/>
      <c r="AX1162" s="94"/>
      <c r="AY1162" s="94"/>
      <c r="AZ1162" s="94"/>
      <c r="BA1162" s="95"/>
    </row>
    <row r="1163" spans="1:53" s="87" customFormat="1">
      <c r="A1163" s="90" t="str">
        <f t="shared" si="42"/>
        <v/>
      </c>
      <c r="B1163" s="98"/>
      <c r="C1163" s="94"/>
      <c r="D1163" s="94"/>
      <c r="E1163" s="94"/>
      <c r="F1163" s="94"/>
      <c r="G1163" s="94"/>
      <c r="H1163" s="94"/>
      <c r="I1163" s="94"/>
      <c r="J1163" s="94"/>
      <c r="K1163" s="94"/>
      <c r="L1163" s="94"/>
      <c r="M1163" s="94"/>
      <c r="N1163" s="94"/>
      <c r="O1163" s="94"/>
      <c r="P1163" s="94"/>
      <c r="Q1163" s="94"/>
      <c r="R1163" s="94"/>
      <c r="S1163" s="94"/>
      <c r="T1163" s="94"/>
      <c r="U1163" s="94"/>
      <c r="V1163" s="94"/>
      <c r="W1163" s="94"/>
      <c r="X1163" s="94"/>
      <c r="Y1163" s="94"/>
      <c r="Z1163" s="94"/>
      <c r="AA1163" s="94"/>
      <c r="AB1163" s="94"/>
      <c r="AC1163" s="94"/>
      <c r="AD1163" s="94"/>
      <c r="AE1163" s="94"/>
      <c r="AF1163" s="94"/>
      <c r="AG1163" s="94"/>
      <c r="AH1163" s="94"/>
      <c r="AI1163" s="94"/>
      <c r="AJ1163" s="94"/>
      <c r="AK1163" s="94"/>
      <c r="AL1163" s="94"/>
      <c r="AM1163" s="94"/>
      <c r="AN1163" s="94"/>
      <c r="AO1163" s="94"/>
      <c r="AP1163" s="94"/>
      <c r="AQ1163" s="94"/>
      <c r="AR1163" s="94"/>
      <c r="AS1163" s="94"/>
      <c r="AT1163" s="94"/>
      <c r="AU1163" s="94"/>
      <c r="AV1163" s="94"/>
      <c r="AW1163" s="94"/>
      <c r="AX1163" s="94"/>
      <c r="AY1163" s="94"/>
      <c r="AZ1163" s="94"/>
      <c r="BA1163" s="95"/>
    </row>
    <row r="1164" spans="1:53" s="87" customFormat="1">
      <c r="A1164" s="90" t="str">
        <f t="shared" ref="A1164:A1200" si="43">IF(MID(B1164,3,2)="09",ROW(),"")</f>
        <v/>
      </c>
      <c r="B1164" s="98"/>
      <c r="C1164" s="94"/>
      <c r="D1164" s="94"/>
      <c r="E1164" s="94"/>
      <c r="F1164" s="94"/>
      <c r="G1164" s="94"/>
      <c r="H1164" s="94"/>
      <c r="I1164" s="94"/>
      <c r="J1164" s="94"/>
      <c r="K1164" s="94"/>
      <c r="L1164" s="94"/>
      <c r="M1164" s="94"/>
      <c r="N1164" s="94"/>
      <c r="O1164" s="94"/>
      <c r="P1164" s="94"/>
      <c r="Q1164" s="94"/>
      <c r="R1164" s="94"/>
      <c r="S1164" s="94"/>
      <c r="T1164" s="94"/>
      <c r="U1164" s="94"/>
      <c r="V1164" s="94"/>
      <c r="W1164" s="94"/>
      <c r="X1164" s="94"/>
      <c r="Y1164" s="94"/>
      <c r="Z1164" s="94"/>
      <c r="AA1164" s="94"/>
      <c r="AB1164" s="94"/>
      <c r="AC1164" s="94"/>
      <c r="AD1164" s="94"/>
      <c r="AE1164" s="94"/>
      <c r="AF1164" s="94"/>
      <c r="AG1164" s="94"/>
      <c r="AH1164" s="94"/>
      <c r="AI1164" s="94"/>
      <c r="AJ1164" s="94"/>
      <c r="AK1164" s="94"/>
      <c r="AL1164" s="94"/>
      <c r="AM1164" s="94"/>
      <c r="AN1164" s="94"/>
      <c r="AO1164" s="94"/>
      <c r="AP1164" s="94"/>
      <c r="AQ1164" s="94"/>
      <c r="AR1164" s="94"/>
      <c r="AS1164" s="94"/>
      <c r="AT1164" s="94"/>
      <c r="AU1164" s="94"/>
      <c r="AV1164" s="94"/>
      <c r="AW1164" s="94"/>
      <c r="AX1164" s="94"/>
      <c r="AY1164" s="94"/>
      <c r="AZ1164" s="94"/>
      <c r="BA1164" s="95"/>
    </row>
    <row r="1165" spans="1:53" s="87" customFormat="1">
      <c r="A1165" s="90" t="str">
        <f t="shared" si="43"/>
        <v/>
      </c>
      <c r="B1165" s="98"/>
      <c r="C1165" s="94"/>
      <c r="D1165" s="94"/>
      <c r="E1165" s="94"/>
      <c r="F1165" s="94"/>
      <c r="G1165" s="94"/>
      <c r="H1165" s="94"/>
      <c r="I1165" s="94"/>
      <c r="J1165" s="94"/>
      <c r="K1165" s="94"/>
      <c r="L1165" s="94"/>
      <c r="M1165" s="94"/>
      <c r="N1165" s="94"/>
      <c r="O1165" s="94"/>
      <c r="P1165" s="94"/>
      <c r="Q1165" s="94"/>
      <c r="R1165" s="94"/>
      <c r="S1165" s="94"/>
      <c r="T1165" s="94"/>
      <c r="U1165" s="94"/>
      <c r="V1165" s="94"/>
      <c r="W1165" s="94"/>
      <c r="X1165" s="94"/>
      <c r="Y1165" s="94"/>
      <c r="Z1165" s="94"/>
      <c r="AA1165" s="94"/>
      <c r="AB1165" s="94"/>
      <c r="AC1165" s="94"/>
      <c r="AD1165" s="94"/>
      <c r="AE1165" s="94"/>
      <c r="AF1165" s="94"/>
      <c r="AG1165" s="94"/>
      <c r="AH1165" s="94"/>
      <c r="AI1165" s="94"/>
      <c r="AJ1165" s="94"/>
      <c r="AK1165" s="94"/>
      <c r="AL1165" s="94"/>
      <c r="AM1165" s="94"/>
      <c r="AN1165" s="94"/>
      <c r="AO1165" s="94"/>
      <c r="AP1165" s="94"/>
      <c r="AQ1165" s="94"/>
      <c r="AR1165" s="94"/>
      <c r="AS1165" s="94"/>
      <c r="AT1165" s="94"/>
      <c r="AU1165" s="94"/>
      <c r="AV1165" s="94"/>
      <c r="AW1165" s="94"/>
      <c r="AX1165" s="94"/>
      <c r="AY1165" s="94"/>
      <c r="AZ1165" s="94"/>
      <c r="BA1165" s="95"/>
    </row>
    <row r="1166" spans="1:53" s="87" customFormat="1">
      <c r="A1166" s="90" t="str">
        <f t="shared" si="43"/>
        <v/>
      </c>
      <c r="B1166" s="98"/>
      <c r="C1166" s="94"/>
      <c r="D1166" s="94"/>
      <c r="E1166" s="94"/>
      <c r="F1166" s="94"/>
      <c r="G1166" s="94"/>
      <c r="H1166" s="94"/>
      <c r="I1166" s="94"/>
      <c r="J1166" s="94"/>
      <c r="K1166" s="94"/>
      <c r="L1166" s="94"/>
      <c r="M1166" s="94"/>
      <c r="N1166" s="94"/>
      <c r="O1166" s="94"/>
      <c r="P1166" s="94"/>
      <c r="Q1166" s="94"/>
      <c r="R1166" s="94"/>
      <c r="S1166" s="94"/>
      <c r="T1166" s="94"/>
      <c r="U1166" s="94"/>
      <c r="V1166" s="94"/>
      <c r="W1166" s="94"/>
      <c r="X1166" s="94"/>
      <c r="Y1166" s="94"/>
      <c r="Z1166" s="94"/>
      <c r="AA1166" s="94"/>
      <c r="AB1166" s="94"/>
      <c r="AC1166" s="94"/>
      <c r="AD1166" s="94"/>
      <c r="AE1166" s="94"/>
      <c r="AF1166" s="94"/>
      <c r="AG1166" s="94"/>
      <c r="AH1166" s="94"/>
      <c r="AI1166" s="94"/>
      <c r="AJ1166" s="94"/>
      <c r="AK1166" s="94"/>
      <c r="AL1166" s="94"/>
      <c r="AM1166" s="94"/>
      <c r="AN1166" s="94"/>
      <c r="AO1166" s="94"/>
      <c r="AP1166" s="94"/>
      <c r="AQ1166" s="94"/>
      <c r="AR1166" s="94"/>
      <c r="AS1166" s="94"/>
      <c r="AT1166" s="94"/>
      <c r="AU1166" s="94"/>
      <c r="AV1166" s="94"/>
      <c r="AW1166" s="94"/>
      <c r="AX1166" s="94"/>
      <c r="AY1166" s="94"/>
      <c r="AZ1166" s="94"/>
      <c r="BA1166" s="95"/>
    </row>
    <row r="1167" spans="1:53" s="87" customFormat="1">
      <c r="A1167" s="90" t="str">
        <f t="shared" si="43"/>
        <v/>
      </c>
      <c r="B1167" s="98"/>
      <c r="C1167" s="94"/>
      <c r="D1167" s="94"/>
      <c r="E1167" s="94"/>
      <c r="F1167" s="94"/>
      <c r="G1167" s="94"/>
      <c r="H1167" s="94"/>
      <c r="I1167" s="94"/>
      <c r="J1167" s="94"/>
      <c r="K1167" s="94"/>
      <c r="L1167" s="94"/>
      <c r="M1167" s="94"/>
      <c r="N1167" s="94"/>
      <c r="O1167" s="94"/>
      <c r="P1167" s="94"/>
      <c r="Q1167" s="94"/>
      <c r="R1167" s="94"/>
      <c r="S1167" s="94"/>
      <c r="T1167" s="94"/>
      <c r="U1167" s="94"/>
      <c r="V1167" s="94"/>
      <c r="W1167" s="94"/>
      <c r="X1167" s="94"/>
      <c r="Y1167" s="94"/>
      <c r="Z1167" s="94"/>
      <c r="AA1167" s="94"/>
      <c r="AB1167" s="94"/>
      <c r="AC1167" s="94"/>
      <c r="AD1167" s="94"/>
      <c r="AE1167" s="94"/>
      <c r="AF1167" s="94"/>
      <c r="AG1167" s="94"/>
      <c r="AH1167" s="94"/>
      <c r="AI1167" s="94"/>
      <c r="AJ1167" s="94"/>
      <c r="AK1167" s="94"/>
      <c r="AL1167" s="94"/>
      <c r="AM1167" s="94"/>
      <c r="AN1167" s="94"/>
      <c r="AO1167" s="94"/>
      <c r="AP1167" s="94"/>
      <c r="AQ1167" s="94"/>
      <c r="AR1167" s="94"/>
      <c r="AS1167" s="94"/>
      <c r="AT1167" s="94"/>
      <c r="AU1167" s="94"/>
      <c r="AV1167" s="94"/>
      <c r="AW1167" s="94"/>
      <c r="AX1167" s="94"/>
      <c r="AY1167" s="94"/>
      <c r="AZ1167" s="94"/>
      <c r="BA1167" s="95"/>
    </row>
    <row r="1168" spans="1:53" s="87" customFormat="1">
      <c r="A1168" s="90" t="str">
        <f t="shared" si="43"/>
        <v/>
      </c>
      <c r="B1168" s="98"/>
      <c r="C1168" s="94"/>
      <c r="D1168" s="94"/>
      <c r="E1168" s="94"/>
      <c r="F1168" s="94"/>
      <c r="G1168" s="94"/>
      <c r="H1168" s="94"/>
      <c r="I1168" s="94"/>
      <c r="J1168" s="94"/>
      <c r="K1168" s="94"/>
      <c r="L1168" s="94"/>
      <c r="M1168" s="94"/>
      <c r="N1168" s="94"/>
      <c r="O1168" s="94"/>
      <c r="P1168" s="94"/>
      <c r="Q1168" s="94"/>
      <c r="R1168" s="94"/>
      <c r="S1168" s="94"/>
      <c r="T1168" s="94"/>
      <c r="U1168" s="94"/>
      <c r="V1168" s="94"/>
      <c r="W1168" s="94"/>
      <c r="X1168" s="94"/>
      <c r="Y1168" s="94"/>
      <c r="Z1168" s="94"/>
      <c r="AA1168" s="94"/>
      <c r="AB1168" s="94"/>
      <c r="AC1168" s="94"/>
      <c r="AD1168" s="94"/>
      <c r="AE1168" s="94"/>
      <c r="AF1168" s="94"/>
      <c r="AG1168" s="94"/>
      <c r="AH1168" s="94"/>
      <c r="AI1168" s="94"/>
      <c r="AJ1168" s="94"/>
      <c r="AK1168" s="94"/>
      <c r="AL1168" s="94"/>
      <c r="AM1168" s="94"/>
      <c r="AN1168" s="94"/>
      <c r="AO1168" s="94"/>
      <c r="AP1168" s="94"/>
      <c r="AQ1168" s="94"/>
      <c r="AR1168" s="94"/>
      <c r="AS1168" s="94"/>
      <c r="AT1168" s="94"/>
      <c r="AU1168" s="94"/>
      <c r="AV1168" s="94"/>
      <c r="AW1168" s="94"/>
      <c r="AX1168" s="94"/>
      <c r="AY1168" s="94"/>
      <c r="AZ1168" s="94"/>
      <c r="BA1168" s="95"/>
    </row>
    <row r="1169" spans="1:53" s="87" customFormat="1">
      <c r="A1169" s="90" t="str">
        <f t="shared" si="43"/>
        <v/>
      </c>
      <c r="B1169" s="98"/>
      <c r="C1169" s="94"/>
      <c r="D1169" s="94"/>
      <c r="E1169" s="94"/>
      <c r="F1169" s="94"/>
      <c r="G1169" s="94"/>
      <c r="H1169" s="94"/>
      <c r="I1169" s="94"/>
      <c r="J1169" s="94"/>
      <c r="K1169" s="94"/>
      <c r="L1169" s="94"/>
      <c r="M1169" s="94"/>
      <c r="N1169" s="94"/>
      <c r="O1169" s="94"/>
      <c r="P1169" s="94"/>
      <c r="Q1169" s="94"/>
      <c r="R1169" s="94"/>
      <c r="S1169" s="94"/>
      <c r="T1169" s="94"/>
      <c r="U1169" s="94"/>
      <c r="V1169" s="94"/>
      <c r="W1169" s="94"/>
      <c r="X1169" s="94"/>
      <c r="Y1169" s="94"/>
      <c r="Z1169" s="94"/>
      <c r="AA1169" s="94"/>
      <c r="AB1169" s="94"/>
      <c r="AC1169" s="94"/>
      <c r="AD1169" s="94"/>
      <c r="AE1169" s="94"/>
      <c r="AF1169" s="94"/>
      <c r="AG1169" s="94"/>
      <c r="AH1169" s="94"/>
      <c r="AI1169" s="94"/>
      <c r="AJ1169" s="94"/>
      <c r="AK1169" s="94"/>
      <c r="AL1169" s="94"/>
      <c r="AM1169" s="94"/>
      <c r="AN1169" s="94"/>
      <c r="AO1169" s="94"/>
      <c r="AP1169" s="94"/>
      <c r="AQ1169" s="94"/>
      <c r="AR1169" s="94"/>
      <c r="AS1169" s="94"/>
      <c r="AT1169" s="94"/>
      <c r="AU1169" s="94"/>
      <c r="AV1169" s="94"/>
      <c r="AW1169" s="94"/>
      <c r="AX1169" s="94"/>
      <c r="AY1169" s="94"/>
      <c r="AZ1169" s="94"/>
      <c r="BA1169" s="95"/>
    </row>
    <row r="1170" spans="1:53" s="87" customFormat="1">
      <c r="A1170" s="90" t="str">
        <f t="shared" si="43"/>
        <v/>
      </c>
      <c r="B1170" s="98"/>
      <c r="C1170" s="94"/>
      <c r="D1170" s="94"/>
      <c r="E1170" s="94"/>
      <c r="F1170" s="94"/>
      <c r="G1170" s="94"/>
      <c r="H1170" s="94"/>
      <c r="I1170" s="94"/>
      <c r="J1170" s="94"/>
      <c r="K1170" s="94"/>
      <c r="L1170" s="94"/>
      <c r="M1170" s="94"/>
      <c r="N1170" s="94"/>
      <c r="O1170" s="94"/>
      <c r="P1170" s="94"/>
      <c r="Q1170" s="94"/>
      <c r="R1170" s="94"/>
      <c r="S1170" s="94"/>
      <c r="T1170" s="94"/>
      <c r="U1170" s="94"/>
      <c r="V1170" s="94"/>
      <c r="W1170" s="94"/>
      <c r="X1170" s="94"/>
      <c r="Y1170" s="94"/>
      <c r="Z1170" s="94"/>
      <c r="AA1170" s="94"/>
      <c r="AB1170" s="94"/>
      <c r="AC1170" s="94"/>
      <c r="AD1170" s="94"/>
      <c r="AE1170" s="94"/>
      <c r="AF1170" s="94"/>
      <c r="AG1170" s="94"/>
      <c r="AH1170" s="94"/>
      <c r="AI1170" s="94"/>
      <c r="AJ1170" s="94"/>
      <c r="AK1170" s="94"/>
      <c r="AL1170" s="94"/>
      <c r="AM1170" s="94"/>
      <c r="AN1170" s="94"/>
      <c r="AO1170" s="94"/>
      <c r="AP1170" s="94"/>
      <c r="AQ1170" s="94"/>
      <c r="AR1170" s="94"/>
      <c r="AS1170" s="94"/>
      <c r="AT1170" s="94"/>
      <c r="AU1170" s="94"/>
      <c r="AV1170" s="94"/>
      <c r="AW1170" s="94"/>
      <c r="AX1170" s="94"/>
      <c r="AY1170" s="94"/>
      <c r="AZ1170" s="94"/>
      <c r="BA1170" s="95"/>
    </row>
    <row r="1171" spans="1:53" s="87" customFormat="1">
      <c r="A1171" s="90" t="str">
        <f t="shared" si="43"/>
        <v/>
      </c>
      <c r="B1171" s="98"/>
      <c r="C1171" s="94"/>
      <c r="D1171" s="94"/>
      <c r="E1171" s="94"/>
      <c r="F1171" s="94"/>
      <c r="G1171" s="94"/>
      <c r="H1171" s="94"/>
      <c r="I1171" s="94"/>
      <c r="J1171" s="94"/>
      <c r="K1171" s="94"/>
      <c r="L1171" s="94"/>
      <c r="M1171" s="94"/>
      <c r="N1171" s="94"/>
      <c r="O1171" s="94"/>
      <c r="P1171" s="94"/>
      <c r="Q1171" s="94"/>
      <c r="R1171" s="94"/>
      <c r="S1171" s="94"/>
      <c r="T1171" s="94"/>
      <c r="U1171" s="94"/>
      <c r="V1171" s="94"/>
      <c r="W1171" s="94"/>
      <c r="X1171" s="94"/>
      <c r="Y1171" s="94"/>
      <c r="Z1171" s="94"/>
      <c r="AA1171" s="94"/>
      <c r="AB1171" s="94"/>
      <c r="AC1171" s="94"/>
      <c r="AD1171" s="94"/>
      <c r="AE1171" s="94"/>
      <c r="AF1171" s="94"/>
      <c r="AG1171" s="94"/>
      <c r="AH1171" s="94"/>
      <c r="AI1171" s="94"/>
      <c r="AJ1171" s="94"/>
      <c r="AK1171" s="94"/>
      <c r="AL1171" s="94"/>
      <c r="AM1171" s="94"/>
      <c r="AN1171" s="94"/>
      <c r="AO1171" s="94"/>
      <c r="AP1171" s="94"/>
      <c r="AQ1171" s="94"/>
      <c r="AR1171" s="94"/>
      <c r="AS1171" s="94"/>
      <c r="AT1171" s="94"/>
      <c r="AU1171" s="94"/>
      <c r="AV1171" s="94"/>
      <c r="AW1171" s="94"/>
      <c r="AX1171" s="94"/>
      <c r="AY1171" s="94"/>
      <c r="AZ1171" s="94"/>
      <c r="BA1171" s="95"/>
    </row>
    <row r="1172" spans="1:53" s="87" customFormat="1">
      <c r="A1172" s="90" t="str">
        <f t="shared" si="43"/>
        <v/>
      </c>
      <c r="B1172" s="98"/>
      <c r="C1172" s="94"/>
      <c r="D1172" s="94"/>
      <c r="E1172" s="94"/>
      <c r="F1172" s="94"/>
      <c r="G1172" s="94"/>
      <c r="H1172" s="94"/>
      <c r="I1172" s="94"/>
      <c r="J1172" s="94"/>
      <c r="K1172" s="94"/>
      <c r="L1172" s="94"/>
      <c r="M1172" s="94"/>
      <c r="N1172" s="94"/>
      <c r="O1172" s="94"/>
      <c r="P1172" s="94"/>
      <c r="Q1172" s="94"/>
      <c r="R1172" s="94"/>
      <c r="S1172" s="94"/>
      <c r="T1172" s="94"/>
      <c r="U1172" s="94"/>
      <c r="V1172" s="94"/>
      <c r="W1172" s="94"/>
      <c r="X1172" s="94"/>
      <c r="Y1172" s="94"/>
      <c r="Z1172" s="94"/>
      <c r="AA1172" s="94"/>
      <c r="AB1172" s="94"/>
      <c r="AC1172" s="94"/>
      <c r="AD1172" s="94"/>
      <c r="AE1172" s="94"/>
      <c r="AF1172" s="94"/>
      <c r="AG1172" s="94"/>
      <c r="AH1172" s="94"/>
      <c r="AI1172" s="94"/>
      <c r="AJ1172" s="94"/>
      <c r="AK1172" s="94"/>
      <c r="AL1172" s="94"/>
      <c r="AM1172" s="94"/>
      <c r="AN1172" s="94"/>
      <c r="AO1172" s="94"/>
      <c r="AP1172" s="94"/>
      <c r="AQ1172" s="94"/>
      <c r="AR1172" s="94"/>
      <c r="AS1172" s="94"/>
      <c r="AT1172" s="94"/>
      <c r="AU1172" s="94"/>
      <c r="AV1172" s="94"/>
      <c r="AW1172" s="94"/>
      <c r="AX1172" s="94"/>
      <c r="AY1172" s="94"/>
      <c r="AZ1172" s="94"/>
      <c r="BA1172" s="95"/>
    </row>
    <row r="1173" spans="1:53" s="87" customFormat="1">
      <c r="A1173" s="90" t="str">
        <f t="shared" si="43"/>
        <v/>
      </c>
      <c r="B1173" s="98"/>
      <c r="C1173" s="94"/>
      <c r="D1173" s="94"/>
      <c r="E1173" s="94"/>
      <c r="F1173" s="94"/>
      <c r="G1173" s="94"/>
      <c r="H1173" s="94"/>
      <c r="I1173" s="94"/>
      <c r="J1173" s="94"/>
      <c r="K1173" s="94"/>
      <c r="L1173" s="94"/>
      <c r="M1173" s="94"/>
      <c r="N1173" s="94"/>
      <c r="O1173" s="94"/>
      <c r="P1173" s="94"/>
      <c r="Q1173" s="94"/>
      <c r="R1173" s="94"/>
      <c r="S1173" s="94"/>
      <c r="T1173" s="94"/>
      <c r="U1173" s="94"/>
      <c r="V1173" s="94"/>
      <c r="W1173" s="94"/>
      <c r="X1173" s="94"/>
      <c r="Y1173" s="94"/>
      <c r="Z1173" s="94"/>
      <c r="AA1173" s="94"/>
      <c r="AB1173" s="94"/>
      <c r="AC1173" s="94"/>
      <c r="AD1173" s="94"/>
      <c r="AE1173" s="94"/>
      <c r="AF1173" s="94"/>
      <c r="AG1173" s="94"/>
      <c r="AH1173" s="94"/>
      <c r="AI1173" s="94"/>
      <c r="AJ1173" s="94"/>
      <c r="AK1173" s="94"/>
      <c r="AL1173" s="94"/>
      <c r="AM1173" s="94"/>
      <c r="AN1173" s="94"/>
      <c r="AO1173" s="94"/>
      <c r="AP1173" s="94"/>
      <c r="AQ1173" s="94"/>
      <c r="AR1173" s="94"/>
      <c r="AS1173" s="94"/>
      <c r="AT1173" s="94"/>
      <c r="AU1173" s="94"/>
      <c r="AV1173" s="94"/>
      <c r="AW1173" s="94"/>
      <c r="AX1173" s="94"/>
      <c r="AY1173" s="94"/>
      <c r="AZ1173" s="94"/>
      <c r="BA1173" s="95"/>
    </row>
    <row r="1174" spans="1:53" s="87" customFormat="1">
      <c r="A1174" s="90" t="str">
        <f t="shared" si="43"/>
        <v/>
      </c>
      <c r="B1174" s="98"/>
      <c r="C1174" s="94"/>
      <c r="D1174" s="94"/>
      <c r="E1174" s="94"/>
      <c r="F1174" s="94"/>
      <c r="G1174" s="94"/>
      <c r="H1174" s="94"/>
      <c r="I1174" s="94"/>
      <c r="J1174" s="94"/>
      <c r="K1174" s="94"/>
      <c r="L1174" s="94"/>
      <c r="M1174" s="94"/>
      <c r="N1174" s="94"/>
      <c r="O1174" s="94"/>
      <c r="P1174" s="94"/>
      <c r="Q1174" s="94"/>
      <c r="R1174" s="94"/>
      <c r="S1174" s="94"/>
      <c r="T1174" s="94"/>
      <c r="U1174" s="94"/>
      <c r="V1174" s="94"/>
      <c r="W1174" s="94"/>
      <c r="X1174" s="94"/>
      <c r="Y1174" s="94"/>
      <c r="Z1174" s="94"/>
      <c r="AA1174" s="94"/>
      <c r="AB1174" s="94"/>
      <c r="AC1174" s="94"/>
      <c r="AD1174" s="94"/>
      <c r="AE1174" s="94"/>
      <c r="AF1174" s="94"/>
      <c r="AG1174" s="94"/>
      <c r="AH1174" s="94"/>
      <c r="AI1174" s="94"/>
      <c r="AJ1174" s="94"/>
      <c r="AK1174" s="94"/>
      <c r="AL1174" s="94"/>
      <c r="AM1174" s="94"/>
      <c r="AN1174" s="94"/>
      <c r="AO1174" s="94"/>
      <c r="AP1174" s="94"/>
      <c r="AQ1174" s="94"/>
      <c r="AR1174" s="94"/>
      <c r="AS1174" s="94"/>
      <c r="AT1174" s="94"/>
      <c r="AU1174" s="94"/>
      <c r="AV1174" s="94"/>
      <c r="AW1174" s="94"/>
      <c r="AX1174" s="94"/>
      <c r="AY1174" s="94"/>
      <c r="AZ1174" s="94"/>
      <c r="BA1174" s="95"/>
    </row>
    <row r="1175" spans="1:53" s="87" customFormat="1">
      <c r="A1175" s="90" t="str">
        <f t="shared" si="43"/>
        <v/>
      </c>
      <c r="B1175" s="98"/>
      <c r="C1175" s="94"/>
      <c r="D1175" s="94"/>
      <c r="E1175" s="94"/>
      <c r="F1175" s="94"/>
      <c r="G1175" s="94"/>
      <c r="H1175" s="94"/>
      <c r="I1175" s="94"/>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5"/>
    </row>
    <row r="1176" spans="1:53" s="87" customFormat="1">
      <c r="A1176" s="90" t="str">
        <f t="shared" si="43"/>
        <v/>
      </c>
      <c r="B1176" s="98"/>
      <c r="C1176" s="94"/>
      <c r="D1176" s="94"/>
      <c r="E1176" s="94"/>
      <c r="F1176" s="94"/>
      <c r="G1176" s="94"/>
      <c r="H1176" s="94"/>
      <c r="I1176" s="94"/>
      <c r="J1176" s="94"/>
      <c r="K1176" s="94"/>
      <c r="L1176" s="94"/>
      <c r="M1176" s="94"/>
      <c r="N1176" s="94"/>
      <c r="O1176" s="94"/>
      <c r="P1176" s="94"/>
      <c r="Q1176" s="94"/>
      <c r="R1176" s="94"/>
      <c r="S1176" s="94"/>
      <c r="T1176" s="94"/>
      <c r="U1176" s="94"/>
      <c r="V1176" s="94"/>
      <c r="W1176" s="94"/>
      <c r="X1176" s="94"/>
      <c r="Y1176" s="94"/>
      <c r="Z1176" s="94"/>
      <c r="AA1176" s="94"/>
      <c r="AB1176" s="94"/>
      <c r="AC1176" s="94"/>
      <c r="AD1176" s="94"/>
      <c r="AE1176" s="94"/>
      <c r="AF1176" s="94"/>
      <c r="AG1176" s="94"/>
      <c r="AH1176" s="94"/>
      <c r="AI1176" s="94"/>
      <c r="AJ1176" s="94"/>
      <c r="AK1176" s="94"/>
      <c r="AL1176" s="94"/>
      <c r="AM1176" s="94"/>
      <c r="AN1176" s="94"/>
      <c r="AO1176" s="94"/>
      <c r="AP1176" s="94"/>
      <c r="AQ1176" s="94"/>
      <c r="AR1176" s="94"/>
      <c r="AS1176" s="94"/>
      <c r="AT1176" s="94"/>
      <c r="AU1176" s="94"/>
      <c r="AV1176" s="94"/>
      <c r="AW1176" s="94"/>
      <c r="AX1176" s="94"/>
      <c r="AY1176" s="94"/>
      <c r="AZ1176" s="94"/>
      <c r="BA1176" s="95"/>
    </row>
    <row r="1177" spans="1:53" s="87" customFormat="1">
      <c r="A1177" s="90" t="str">
        <f t="shared" si="43"/>
        <v/>
      </c>
      <c r="B1177" s="98"/>
      <c r="C1177" s="94"/>
      <c r="D1177" s="94"/>
      <c r="E1177" s="94"/>
      <c r="F1177" s="94"/>
      <c r="G1177" s="94"/>
      <c r="H1177" s="94"/>
      <c r="I1177" s="94"/>
      <c r="J1177" s="94"/>
      <c r="K1177" s="94"/>
      <c r="L1177" s="94"/>
      <c r="M1177" s="94"/>
      <c r="N1177" s="94"/>
      <c r="O1177" s="94"/>
      <c r="P1177" s="94"/>
      <c r="Q1177" s="94"/>
      <c r="R1177" s="94"/>
      <c r="S1177" s="94"/>
      <c r="T1177" s="94"/>
      <c r="U1177" s="94"/>
      <c r="V1177" s="94"/>
      <c r="W1177" s="94"/>
      <c r="X1177" s="94"/>
      <c r="Y1177" s="94"/>
      <c r="Z1177" s="94"/>
      <c r="AA1177" s="94"/>
      <c r="AB1177" s="94"/>
      <c r="AC1177" s="94"/>
      <c r="AD1177" s="94"/>
      <c r="AE1177" s="94"/>
      <c r="AF1177" s="94"/>
      <c r="AG1177" s="94"/>
      <c r="AH1177" s="94"/>
      <c r="AI1177" s="94"/>
      <c r="AJ1177" s="94"/>
      <c r="AK1177" s="94"/>
      <c r="AL1177" s="94"/>
      <c r="AM1177" s="94"/>
      <c r="AN1177" s="94"/>
      <c r="AO1177" s="94"/>
      <c r="AP1177" s="94"/>
      <c r="AQ1177" s="94"/>
      <c r="AR1177" s="94"/>
      <c r="AS1177" s="94"/>
      <c r="AT1177" s="94"/>
      <c r="AU1177" s="94"/>
      <c r="AV1177" s="94"/>
      <c r="AW1177" s="94"/>
      <c r="AX1177" s="94"/>
      <c r="AY1177" s="94"/>
      <c r="AZ1177" s="94"/>
      <c r="BA1177" s="95"/>
    </row>
    <row r="1178" spans="1:53" s="87" customFormat="1">
      <c r="A1178" s="90" t="str">
        <f t="shared" si="43"/>
        <v/>
      </c>
      <c r="B1178" s="98"/>
      <c r="C1178" s="94"/>
      <c r="D1178" s="94"/>
      <c r="E1178" s="94"/>
      <c r="F1178" s="94"/>
      <c r="G1178" s="94"/>
      <c r="H1178" s="94"/>
      <c r="I1178" s="94"/>
      <c r="J1178" s="94"/>
      <c r="K1178" s="94"/>
      <c r="L1178" s="94"/>
      <c r="M1178" s="94"/>
      <c r="N1178" s="94"/>
      <c r="O1178" s="94"/>
      <c r="P1178" s="94"/>
      <c r="Q1178" s="94"/>
      <c r="R1178" s="94"/>
      <c r="S1178" s="94"/>
      <c r="T1178" s="94"/>
      <c r="U1178" s="94"/>
      <c r="V1178" s="94"/>
      <c r="W1178" s="94"/>
      <c r="X1178" s="94"/>
      <c r="Y1178" s="94"/>
      <c r="Z1178" s="94"/>
      <c r="AA1178" s="94"/>
      <c r="AB1178" s="94"/>
      <c r="AC1178" s="94"/>
      <c r="AD1178" s="94"/>
      <c r="AE1178" s="94"/>
      <c r="AF1178" s="94"/>
      <c r="AG1178" s="94"/>
      <c r="AH1178" s="94"/>
      <c r="AI1178" s="94"/>
      <c r="AJ1178" s="94"/>
      <c r="AK1178" s="94"/>
      <c r="AL1178" s="94"/>
      <c r="AM1178" s="94"/>
      <c r="AN1178" s="94"/>
      <c r="AO1178" s="94"/>
      <c r="AP1178" s="94"/>
      <c r="AQ1178" s="94"/>
      <c r="AR1178" s="94"/>
      <c r="AS1178" s="94"/>
      <c r="AT1178" s="94"/>
      <c r="AU1178" s="94"/>
      <c r="AV1178" s="94"/>
      <c r="AW1178" s="94"/>
      <c r="AX1178" s="94"/>
      <c r="AY1178" s="94"/>
      <c r="AZ1178" s="94"/>
      <c r="BA1178" s="95"/>
    </row>
    <row r="1179" spans="1:53" s="87" customFormat="1">
      <c r="A1179" s="90" t="str">
        <f t="shared" si="43"/>
        <v/>
      </c>
      <c r="B1179" s="98"/>
      <c r="C1179" s="94"/>
      <c r="D1179" s="94"/>
      <c r="E1179" s="94"/>
      <c r="F1179" s="94"/>
      <c r="G1179" s="94"/>
      <c r="H1179" s="94"/>
      <c r="I1179" s="94"/>
      <c r="J1179" s="94"/>
      <c r="K1179" s="94"/>
      <c r="L1179" s="94"/>
      <c r="M1179" s="94"/>
      <c r="N1179" s="94"/>
      <c r="O1179" s="94"/>
      <c r="P1179" s="94"/>
      <c r="Q1179" s="94"/>
      <c r="R1179" s="94"/>
      <c r="S1179" s="94"/>
      <c r="T1179" s="94"/>
      <c r="U1179" s="94"/>
      <c r="V1179" s="94"/>
      <c r="W1179" s="94"/>
      <c r="X1179" s="94"/>
      <c r="Y1179" s="94"/>
      <c r="Z1179" s="94"/>
      <c r="AA1179" s="94"/>
      <c r="AB1179" s="94"/>
      <c r="AC1179" s="94"/>
      <c r="AD1179" s="94"/>
      <c r="AE1179" s="94"/>
      <c r="AF1179" s="94"/>
      <c r="AG1179" s="94"/>
      <c r="AH1179" s="94"/>
      <c r="AI1179" s="94"/>
      <c r="AJ1179" s="94"/>
      <c r="AK1179" s="94"/>
      <c r="AL1179" s="94"/>
      <c r="AM1179" s="94"/>
      <c r="AN1179" s="94"/>
      <c r="AO1179" s="94"/>
      <c r="AP1179" s="94"/>
      <c r="AQ1179" s="94"/>
      <c r="AR1179" s="94"/>
      <c r="AS1179" s="94"/>
      <c r="AT1179" s="94"/>
      <c r="AU1179" s="94"/>
      <c r="AV1179" s="94"/>
      <c r="AW1179" s="94"/>
      <c r="AX1179" s="94"/>
      <c r="AY1179" s="94"/>
      <c r="AZ1179" s="94"/>
      <c r="BA1179" s="95"/>
    </row>
    <row r="1180" spans="1:53" s="87" customFormat="1">
      <c r="A1180" s="90" t="str">
        <f t="shared" si="43"/>
        <v/>
      </c>
      <c r="B1180" s="98"/>
      <c r="C1180" s="94"/>
      <c r="D1180" s="94"/>
      <c r="E1180" s="94"/>
      <c r="F1180" s="94"/>
      <c r="G1180" s="94"/>
      <c r="H1180" s="94"/>
      <c r="I1180" s="94"/>
      <c r="J1180" s="94"/>
      <c r="K1180" s="94"/>
      <c r="L1180" s="94"/>
      <c r="M1180" s="94"/>
      <c r="N1180" s="94"/>
      <c r="O1180" s="94"/>
      <c r="P1180" s="94"/>
      <c r="Q1180" s="94"/>
      <c r="R1180" s="94"/>
      <c r="S1180" s="94"/>
      <c r="T1180" s="94"/>
      <c r="U1180" s="94"/>
      <c r="V1180" s="94"/>
      <c r="W1180" s="94"/>
      <c r="X1180" s="94"/>
      <c r="Y1180" s="94"/>
      <c r="Z1180" s="94"/>
      <c r="AA1180" s="94"/>
      <c r="AB1180" s="94"/>
      <c r="AC1180" s="94"/>
      <c r="AD1180" s="94"/>
      <c r="AE1180" s="94"/>
      <c r="AF1180" s="94"/>
      <c r="AG1180" s="94"/>
      <c r="AH1180" s="94"/>
      <c r="AI1180" s="94"/>
      <c r="AJ1180" s="94"/>
      <c r="AK1180" s="94"/>
      <c r="AL1180" s="94"/>
      <c r="AM1180" s="94"/>
      <c r="AN1180" s="94"/>
      <c r="AO1180" s="94"/>
      <c r="AP1180" s="94"/>
      <c r="AQ1180" s="94"/>
      <c r="AR1180" s="94"/>
      <c r="AS1180" s="94"/>
      <c r="AT1180" s="94"/>
      <c r="AU1180" s="94"/>
      <c r="AV1180" s="94"/>
      <c r="AW1180" s="94"/>
      <c r="AX1180" s="94"/>
      <c r="AY1180" s="94"/>
      <c r="AZ1180" s="94"/>
      <c r="BA1180" s="95"/>
    </row>
    <row r="1181" spans="1:53" s="87" customFormat="1">
      <c r="A1181" s="90" t="str">
        <f t="shared" si="43"/>
        <v/>
      </c>
      <c r="B1181" s="98"/>
      <c r="C1181" s="94"/>
      <c r="D1181" s="94"/>
      <c r="E1181" s="94"/>
      <c r="F1181" s="94"/>
      <c r="G1181" s="94"/>
      <c r="H1181" s="94"/>
      <c r="I1181" s="94"/>
      <c r="J1181" s="94"/>
      <c r="K1181" s="94"/>
      <c r="L1181" s="94"/>
      <c r="M1181" s="94"/>
      <c r="N1181" s="94"/>
      <c r="O1181" s="94"/>
      <c r="P1181" s="94"/>
      <c r="Q1181" s="94"/>
      <c r="R1181" s="94"/>
      <c r="S1181" s="94"/>
      <c r="T1181" s="94"/>
      <c r="U1181" s="94"/>
      <c r="V1181" s="94"/>
      <c r="W1181" s="94"/>
      <c r="X1181" s="94"/>
      <c r="Y1181" s="94"/>
      <c r="Z1181" s="94"/>
      <c r="AA1181" s="94"/>
      <c r="AB1181" s="94"/>
      <c r="AC1181" s="94"/>
      <c r="AD1181" s="94"/>
      <c r="AE1181" s="94"/>
      <c r="AF1181" s="94"/>
      <c r="AG1181" s="94"/>
      <c r="AH1181" s="94"/>
      <c r="AI1181" s="94"/>
      <c r="AJ1181" s="94"/>
      <c r="AK1181" s="94"/>
      <c r="AL1181" s="94"/>
      <c r="AM1181" s="94"/>
      <c r="AN1181" s="94"/>
      <c r="AO1181" s="94"/>
      <c r="AP1181" s="94"/>
      <c r="AQ1181" s="94"/>
      <c r="AR1181" s="94"/>
      <c r="AS1181" s="94"/>
      <c r="AT1181" s="94"/>
      <c r="AU1181" s="94"/>
      <c r="AV1181" s="94"/>
      <c r="AW1181" s="94"/>
      <c r="AX1181" s="94"/>
      <c r="AY1181" s="94"/>
      <c r="AZ1181" s="94"/>
      <c r="BA1181" s="95"/>
    </row>
    <row r="1182" spans="1:53" s="87" customFormat="1">
      <c r="A1182" s="90" t="str">
        <f t="shared" si="43"/>
        <v/>
      </c>
      <c r="B1182" s="98"/>
      <c r="C1182" s="94"/>
      <c r="D1182" s="94"/>
      <c r="E1182" s="94"/>
      <c r="F1182" s="94"/>
      <c r="G1182" s="94"/>
      <c r="H1182" s="94"/>
      <c r="I1182" s="94"/>
      <c r="J1182" s="94"/>
      <c r="K1182" s="94"/>
      <c r="L1182" s="94"/>
      <c r="M1182" s="94"/>
      <c r="N1182" s="94"/>
      <c r="O1182" s="94"/>
      <c r="P1182" s="94"/>
      <c r="Q1182" s="94"/>
      <c r="R1182" s="94"/>
      <c r="S1182" s="94"/>
      <c r="T1182" s="94"/>
      <c r="U1182" s="94"/>
      <c r="V1182" s="94"/>
      <c r="W1182" s="94"/>
      <c r="X1182" s="94"/>
      <c r="Y1182" s="94"/>
      <c r="Z1182" s="94"/>
      <c r="AA1182" s="94"/>
      <c r="AB1182" s="94"/>
      <c r="AC1182" s="94"/>
      <c r="AD1182" s="94"/>
      <c r="AE1182" s="94"/>
      <c r="AF1182" s="94"/>
      <c r="AG1182" s="94"/>
      <c r="AH1182" s="94"/>
      <c r="AI1182" s="94"/>
      <c r="AJ1182" s="94"/>
      <c r="AK1182" s="94"/>
      <c r="AL1182" s="94"/>
      <c r="AM1182" s="94"/>
      <c r="AN1182" s="94"/>
      <c r="AO1182" s="94"/>
      <c r="AP1182" s="94"/>
      <c r="AQ1182" s="94"/>
      <c r="AR1182" s="94"/>
      <c r="AS1182" s="94"/>
      <c r="AT1182" s="94"/>
      <c r="AU1182" s="94"/>
      <c r="AV1182" s="94"/>
      <c r="AW1182" s="94"/>
      <c r="AX1182" s="94"/>
      <c r="AY1182" s="94"/>
      <c r="AZ1182" s="94"/>
      <c r="BA1182" s="95"/>
    </row>
    <row r="1183" spans="1:53" s="87" customFormat="1">
      <c r="A1183" s="90" t="str">
        <f t="shared" si="43"/>
        <v/>
      </c>
      <c r="B1183" s="98"/>
      <c r="C1183" s="94"/>
      <c r="D1183" s="94"/>
      <c r="E1183" s="94"/>
      <c r="F1183" s="94"/>
      <c r="G1183" s="94"/>
      <c r="H1183" s="94"/>
      <c r="I1183" s="94"/>
      <c r="J1183" s="94"/>
      <c r="K1183" s="94"/>
      <c r="L1183" s="94"/>
      <c r="M1183" s="94"/>
      <c r="N1183" s="94"/>
      <c r="O1183" s="94"/>
      <c r="P1183" s="94"/>
      <c r="Q1183" s="94"/>
      <c r="R1183" s="94"/>
      <c r="S1183" s="94"/>
      <c r="T1183" s="94"/>
      <c r="U1183" s="94"/>
      <c r="V1183" s="94"/>
      <c r="W1183" s="94"/>
      <c r="X1183" s="94"/>
      <c r="Y1183" s="94"/>
      <c r="Z1183" s="94"/>
      <c r="AA1183" s="94"/>
      <c r="AB1183" s="94"/>
      <c r="AC1183" s="94"/>
      <c r="AD1183" s="94"/>
      <c r="AE1183" s="94"/>
      <c r="AF1183" s="94"/>
      <c r="AG1183" s="94"/>
      <c r="AH1183" s="94"/>
      <c r="AI1183" s="94"/>
      <c r="AJ1183" s="94"/>
      <c r="AK1183" s="94"/>
      <c r="AL1183" s="94"/>
      <c r="AM1183" s="94"/>
      <c r="AN1183" s="94"/>
      <c r="AO1183" s="94"/>
      <c r="AP1183" s="94"/>
      <c r="AQ1183" s="94"/>
      <c r="AR1183" s="94"/>
      <c r="AS1183" s="94"/>
      <c r="AT1183" s="94"/>
      <c r="AU1183" s="94"/>
      <c r="AV1183" s="94"/>
      <c r="AW1183" s="94"/>
      <c r="AX1183" s="94"/>
      <c r="AY1183" s="94"/>
      <c r="AZ1183" s="94"/>
      <c r="BA1183" s="95"/>
    </row>
    <row r="1184" spans="1:53" s="87" customFormat="1">
      <c r="A1184" s="90" t="str">
        <f t="shared" si="43"/>
        <v/>
      </c>
      <c r="B1184" s="98"/>
      <c r="C1184" s="94"/>
      <c r="D1184" s="94"/>
      <c r="E1184" s="94"/>
      <c r="F1184" s="94"/>
      <c r="G1184" s="94"/>
      <c r="H1184" s="94"/>
      <c r="I1184" s="94"/>
      <c r="J1184" s="94"/>
      <c r="K1184" s="94"/>
      <c r="L1184" s="94"/>
      <c r="M1184" s="94"/>
      <c r="N1184" s="94"/>
      <c r="O1184" s="94"/>
      <c r="P1184" s="94"/>
      <c r="Q1184" s="94"/>
      <c r="R1184" s="94"/>
      <c r="S1184" s="94"/>
      <c r="T1184" s="94"/>
      <c r="U1184" s="94"/>
      <c r="V1184" s="94"/>
      <c r="W1184" s="94"/>
      <c r="X1184" s="94"/>
      <c r="Y1184" s="94"/>
      <c r="Z1184" s="94"/>
      <c r="AA1184" s="94"/>
      <c r="AB1184" s="94"/>
      <c r="AC1184" s="94"/>
      <c r="AD1184" s="94"/>
      <c r="AE1184" s="94"/>
      <c r="AF1184" s="94"/>
      <c r="AG1184" s="94"/>
      <c r="AH1184" s="94"/>
      <c r="AI1184" s="94"/>
      <c r="AJ1184" s="94"/>
      <c r="AK1184" s="94"/>
      <c r="AL1184" s="94"/>
      <c r="AM1184" s="94"/>
      <c r="AN1184" s="94"/>
      <c r="AO1184" s="94"/>
      <c r="AP1184" s="94"/>
      <c r="AQ1184" s="94"/>
      <c r="AR1184" s="94"/>
      <c r="AS1184" s="94"/>
      <c r="AT1184" s="94"/>
      <c r="AU1184" s="94"/>
      <c r="AV1184" s="94"/>
      <c r="AW1184" s="94"/>
      <c r="AX1184" s="94"/>
      <c r="AY1184" s="94"/>
      <c r="AZ1184" s="94"/>
      <c r="BA1184" s="95"/>
    </row>
    <row r="1185" spans="1:53" s="87" customFormat="1">
      <c r="A1185" s="90" t="str">
        <f t="shared" si="43"/>
        <v/>
      </c>
      <c r="B1185" s="98"/>
      <c r="C1185" s="94"/>
      <c r="D1185" s="94"/>
      <c r="E1185" s="94"/>
      <c r="F1185" s="94"/>
      <c r="G1185" s="94"/>
      <c r="H1185" s="94"/>
      <c r="I1185" s="94"/>
      <c r="J1185" s="94"/>
      <c r="K1185" s="94"/>
      <c r="L1185" s="94"/>
      <c r="M1185" s="94"/>
      <c r="N1185" s="94"/>
      <c r="O1185" s="94"/>
      <c r="P1185" s="94"/>
      <c r="Q1185" s="94"/>
      <c r="R1185" s="94"/>
      <c r="S1185" s="94"/>
      <c r="T1185" s="94"/>
      <c r="U1185" s="94"/>
      <c r="V1185" s="94"/>
      <c r="W1185" s="94"/>
      <c r="X1185" s="94"/>
      <c r="Y1185" s="94"/>
      <c r="Z1185" s="94"/>
      <c r="AA1185" s="94"/>
      <c r="AB1185" s="94"/>
      <c r="AC1185" s="94"/>
      <c r="AD1185" s="94"/>
      <c r="AE1185" s="94"/>
      <c r="AF1185" s="94"/>
      <c r="AG1185" s="94"/>
      <c r="AH1185" s="94"/>
      <c r="AI1185" s="94"/>
      <c r="AJ1185" s="94"/>
      <c r="AK1185" s="94"/>
      <c r="AL1185" s="94"/>
      <c r="AM1185" s="94"/>
      <c r="AN1185" s="94"/>
      <c r="AO1185" s="94"/>
      <c r="AP1185" s="94"/>
      <c r="AQ1185" s="94"/>
      <c r="AR1185" s="94"/>
      <c r="AS1185" s="94"/>
      <c r="AT1185" s="94"/>
      <c r="AU1185" s="94"/>
      <c r="AV1185" s="94"/>
      <c r="AW1185" s="94"/>
      <c r="AX1185" s="94"/>
      <c r="AY1185" s="94"/>
      <c r="AZ1185" s="94"/>
      <c r="BA1185" s="95"/>
    </row>
    <row r="1186" spans="1:53" s="87" customFormat="1">
      <c r="A1186" s="90" t="str">
        <f t="shared" si="43"/>
        <v/>
      </c>
      <c r="B1186" s="98"/>
      <c r="C1186" s="94"/>
      <c r="D1186" s="94"/>
      <c r="E1186" s="94"/>
      <c r="F1186" s="94"/>
      <c r="G1186" s="94"/>
      <c r="H1186" s="94"/>
      <c r="I1186" s="94"/>
      <c r="J1186" s="94"/>
      <c r="K1186" s="94"/>
      <c r="L1186" s="94"/>
      <c r="M1186" s="94"/>
      <c r="N1186" s="94"/>
      <c r="O1186" s="94"/>
      <c r="P1186" s="94"/>
      <c r="Q1186" s="94"/>
      <c r="R1186" s="94"/>
      <c r="S1186" s="94"/>
      <c r="T1186" s="94"/>
      <c r="U1186" s="94"/>
      <c r="V1186" s="94"/>
      <c r="W1186" s="94"/>
      <c r="X1186" s="94"/>
      <c r="Y1186" s="94"/>
      <c r="Z1186" s="94"/>
      <c r="AA1186" s="94"/>
      <c r="AB1186" s="94"/>
      <c r="AC1186" s="94"/>
      <c r="AD1186" s="94"/>
      <c r="AE1186" s="94"/>
      <c r="AF1186" s="94"/>
      <c r="AG1186" s="94"/>
      <c r="AH1186" s="94"/>
      <c r="AI1186" s="94"/>
      <c r="AJ1186" s="94"/>
      <c r="AK1186" s="94"/>
      <c r="AL1186" s="94"/>
      <c r="AM1186" s="94"/>
      <c r="AN1186" s="94"/>
      <c r="AO1186" s="94"/>
      <c r="AP1186" s="94"/>
      <c r="AQ1186" s="94"/>
      <c r="AR1186" s="94"/>
      <c r="AS1186" s="94"/>
      <c r="AT1186" s="94"/>
      <c r="AU1186" s="94"/>
      <c r="AV1186" s="94"/>
      <c r="AW1186" s="94"/>
      <c r="AX1186" s="94"/>
      <c r="AY1186" s="94"/>
      <c r="AZ1186" s="94"/>
      <c r="BA1186" s="95"/>
    </row>
    <row r="1187" spans="1:53" s="87" customFormat="1">
      <c r="A1187" s="90" t="str">
        <f t="shared" si="43"/>
        <v/>
      </c>
      <c r="B1187" s="98"/>
      <c r="C1187" s="94"/>
      <c r="D1187" s="94"/>
      <c r="E1187" s="94"/>
      <c r="F1187" s="94"/>
      <c r="G1187" s="94"/>
      <c r="H1187" s="94"/>
      <c r="I1187" s="94"/>
      <c r="J1187" s="94"/>
      <c r="K1187" s="94"/>
      <c r="L1187" s="94"/>
      <c r="M1187" s="94"/>
      <c r="N1187" s="94"/>
      <c r="O1187" s="94"/>
      <c r="P1187" s="94"/>
      <c r="Q1187" s="94"/>
      <c r="R1187" s="94"/>
      <c r="S1187" s="94"/>
      <c r="T1187" s="94"/>
      <c r="U1187" s="94"/>
      <c r="V1187" s="94"/>
      <c r="W1187" s="94"/>
      <c r="X1187" s="94"/>
      <c r="Y1187" s="94"/>
      <c r="Z1187" s="94"/>
      <c r="AA1187" s="94"/>
      <c r="AB1187" s="94"/>
      <c r="AC1187" s="94"/>
      <c r="AD1187" s="94"/>
      <c r="AE1187" s="94"/>
      <c r="AF1187" s="94"/>
      <c r="AG1187" s="94"/>
      <c r="AH1187" s="94"/>
      <c r="AI1187" s="94"/>
      <c r="AJ1187" s="94"/>
      <c r="AK1187" s="94"/>
      <c r="AL1187" s="94"/>
      <c r="AM1187" s="94"/>
      <c r="AN1187" s="94"/>
      <c r="AO1187" s="94"/>
      <c r="AP1187" s="94"/>
      <c r="AQ1187" s="94"/>
      <c r="AR1187" s="94"/>
      <c r="AS1187" s="94"/>
      <c r="AT1187" s="94"/>
      <c r="AU1187" s="94"/>
      <c r="AV1187" s="94"/>
      <c r="AW1187" s="94"/>
      <c r="AX1187" s="94"/>
      <c r="AY1187" s="94"/>
      <c r="AZ1187" s="94"/>
      <c r="BA1187" s="95"/>
    </row>
    <row r="1188" spans="1:53" s="87" customFormat="1">
      <c r="A1188" s="90" t="str">
        <f t="shared" si="43"/>
        <v/>
      </c>
      <c r="B1188" s="98"/>
      <c r="C1188" s="94"/>
      <c r="D1188" s="94"/>
      <c r="E1188" s="94"/>
      <c r="F1188" s="94"/>
      <c r="G1188" s="94"/>
      <c r="H1188" s="94"/>
      <c r="I1188" s="94"/>
      <c r="J1188" s="94"/>
      <c r="K1188" s="94"/>
      <c r="L1188" s="94"/>
      <c r="M1188" s="94"/>
      <c r="N1188" s="94"/>
      <c r="O1188" s="94"/>
      <c r="P1188" s="94"/>
      <c r="Q1188" s="94"/>
      <c r="R1188" s="94"/>
      <c r="S1188" s="94"/>
      <c r="T1188" s="94"/>
      <c r="U1188" s="94"/>
      <c r="V1188" s="94"/>
      <c r="W1188" s="94"/>
      <c r="X1188" s="94"/>
      <c r="Y1188" s="94"/>
      <c r="Z1188" s="94"/>
      <c r="AA1188" s="94"/>
      <c r="AB1188" s="94"/>
      <c r="AC1188" s="94"/>
      <c r="AD1188" s="94"/>
      <c r="AE1188" s="94"/>
      <c r="AF1188" s="94"/>
      <c r="AG1188" s="94"/>
      <c r="AH1188" s="94"/>
      <c r="AI1188" s="94"/>
      <c r="AJ1188" s="94"/>
      <c r="AK1188" s="94"/>
      <c r="AL1188" s="94"/>
      <c r="AM1188" s="94"/>
      <c r="AN1188" s="94"/>
      <c r="AO1188" s="94"/>
      <c r="AP1188" s="94"/>
      <c r="AQ1188" s="94"/>
      <c r="AR1188" s="94"/>
      <c r="AS1188" s="94"/>
      <c r="AT1188" s="94"/>
      <c r="AU1188" s="94"/>
      <c r="AV1188" s="94"/>
      <c r="AW1188" s="94"/>
      <c r="AX1188" s="94"/>
      <c r="AY1188" s="94"/>
      <c r="AZ1188" s="94"/>
      <c r="BA1188" s="95"/>
    </row>
    <row r="1189" spans="1:53" s="87" customFormat="1">
      <c r="A1189" s="90" t="str">
        <f t="shared" si="43"/>
        <v/>
      </c>
      <c r="B1189" s="98"/>
      <c r="C1189" s="94"/>
      <c r="D1189" s="94"/>
      <c r="E1189" s="94"/>
      <c r="F1189" s="94"/>
      <c r="G1189" s="94"/>
      <c r="H1189" s="94"/>
      <c r="I1189" s="94"/>
      <c r="J1189" s="94"/>
      <c r="K1189" s="94"/>
      <c r="L1189" s="94"/>
      <c r="M1189" s="94"/>
      <c r="N1189" s="94"/>
      <c r="O1189" s="94"/>
      <c r="P1189" s="94"/>
      <c r="Q1189" s="94"/>
      <c r="R1189" s="94"/>
      <c r="S1189" s="94"/>
      <c r="T1189" s="94"/>
      <c r="U1189" s="94"/>
      <c r="V1189" s="94"/>
      <c r="W1189" s="94"/>
      <c r="X1189" s="94"/>
      <c r="Y1189" s="94"/>
      <c r="Z1189" s="94"/>
      <c r="AA1189" s="94"/>
      <c r="AB1189" s="94"/>
      <c r="AC1189" s="94"/>
      <c r="AD1189" s="94"/>
      <c r="AE1189" s="94"/>
      <c r="AF1189" s="94"/>
      <c r="AG1189" s="94"/>
      <c r="AH1189" s="94"/>
      <c r="AI1189" s="94"/>
      <c r="AJ1189" s="94"/>
      <c r="AK1189" s="94"/>
      <c r="AL1189" s="94"/>
      <c r="AM1189" s="94"/>
      <c r="AN1189" s="94"/>
      <c r="AO1189" s="94"/>
      <c r="AP1189" s="94"/>
      <c r="AQ1189" s="94"/>
      <c r="AR1189" s="94"/>
      <c r="AS1189" s="94"/>
      <c r="AT1189" s="94"/>
      <c r="AU1189" s="94"/>
      <c r="AV1189" s="94"/>
      <c r="AW1189" s="94"/>
      <c r="AX1189" s="94"/>
      <c r="AY1189" s="94"/>
      <c r="AZ1189" s="94"/>
      <c r="BA1189" s="95"/>
    </row>
    <row r="1190" spans="1:53" s="87" customFormat="1">
      <c r="A1190" s="90" t="str">
        <f t="shared" si="43"/>
        <v/>
      </c>
      <c r="B1190" s="98"/>
      <c r="C1190" s="94"/>
      <c r="D1190" s="94"/>
      <c r="E1190" s="94"/>
      <c r="F1190" s="94"/>
      <c r="G1190" s="94"/>
      <c r="H1190" s="94"/>
      <c r="I1190" s="94"/>
      <c r="J1190" s="94"/>
      <c r="K1190" s="94"/>
      <c r="L1190" s="94"/>
      <c r="M1190" s="94"/>
      <c r="N1190" s="94"/>
      <c r="O1190" s="94"/>
      <c r="P1190" s="94"/>
      <c r="Q1190" s="94"/>
      <c r="R1190" s="94"/>
      <c r="S1190" s="94"/>
      <c r="T1190" s="94"/>
      <c r="U1190" s="94"/>
      <c r="V1190" s="94"/>
      <c r="W1190" s="94"/>
      <c r="X1190" s="94"/>
      <c r="Y1190" s="94"/>
      <c r="Z1190" s="94"/>
      <c r="AA1190" s="94"/>
      <c r="AB1190" s="94"/>
      <c r="AC1190" s="94"/>
      <c r="AD1190" s="94"/>
      <c r="AE1190" s="94"/>
      <c r="AF1190" s="94"/>
      <c r="AG1190" s="94"/>
      <c r="AH1190" s="94"/>
      <c r="AI1190" s="94"/>
      <c r="AJ1190" s="94"/>
      <c r="AK1190" s="94"/>
      <c r="AL1190" s="94"/>
      <c r="AM1190" s="94"/>
      <c r="AN1190" s="94"/>
      <c r="AO1190" s="94"/>
      <c r="AP1190" s="94"/>
      <c r="AQ1190" s="94"/>
      <c r="AR1190" s="94"/>
      <c r="AS1190" s="94"/>
      <c r="AT1190" s="94"/>
      <c r="AU1190" s="94"/>
      <c r="AV1190" s="94"/>
      <c r="AW1190" s="94"/>
      <c r="AX1190" s="94"/>
      <c r="AY1190" s="94"/>
      <c r="AZ1190" s="94"/>
      <c r="BA1190" s="95"/>
    </row>
    <row r="1191" spans="1:53" s="87" customFormat="1">
      <c r="A1191" s="90" t="str">
        <f t="shared" si="43"/>
        <v/>
      </c>
      <c r="B1191" s="98"/>
      <c r="C1191" s="94"/>
      <c r="D1191" s="94"/>
      <c r="E1191" s="94"/>
      <c r="F1191" s="94"/>
      <c r="G1191" s="94"/>
      <c r="H1191" s="94"/>
      <c r="I1191" s="94"/>
      <c r="J1191" s="94"/>
      <c r="K1191" s="94"/>
      <c r="L1191" s="94"/>
      <c r="M1191" s="94"/>
      <c r="N1191" s="94"/>
      <c r="O1191" s="94"/>
      <c r="P1191" s="94"/>
      <c r="Q1191" s="94"/>
      <c r="R1191" s="94"/>
      <c r="S1191" s="94"/>
      <c r="T1191" s="94"/>
      <c r="U1191" s="94"/>
      <c r="V1191" s="94"/>
      <c r="W1191" s="94"/>
      <c r="X1191" s="94"/>
      <c r="Y1191" s="94"/>
      <c r="Z1191" s="94"/>
      <c r="AA1191" s="94"/>
      <c r="AB1191" s="94"/>
      <c r="AC1191" s="94"/>
      <c r="AD1191" s="94"/>
      <c r="AE1191" s="94"/>
      <c r="AF1191" s="94"/>
      <c r="AG1191" s="94"/>
      <c r="AH1191" s="94"/>
      <c r="AI1191" s="94"/>
      <c r="AJ1191" s="94"/>
      <c r="AK1191" s="94"/>
      <c r="AL1191" s="94"/>
      <c r="AM1191" s="94"/>
      <c r="AN1191" s="94"/>
      <c r="AO1191" s="94"/>
      <c r="AP1191" s="94"/>
      <c r="AQ1191" s="94"/>
      <c r="AR1191" s="94"/>
      <c r="AS1191" s="94"/>
      <c r="AT1191" s="94"/>
      <c r="AU1191" s="94"/>
      <c r="AV1191" s="94"/>
      <c r="AW1191" s="94"/>
      <c r="AX1191" s="94"/>
      <c r="AY1191" s="94"/>
      <c r="AZ1191" s="94"/>
      <c r="BA1191" s="95"/>
    </row>
    <row r="1192" spans="1:53" s="87" customFormat="1">
      <c r="A1192" s="90" t="str">
        <f t="shared" si="43"/>
        <v/>
      </c>
      <c r="B1192" s="98"/>
      <c r="C1192" s="94"/>
      <c r="D1192" s="94"/>
      <c r="E1192" s="94"/>
      <c r="F1192" s="94"/>
      <c r="G1192" s="94"/>
      <c r="H1192" s="94"/>
      <c r="I1192" s="94"/>
      <c r="J1192" s="94"/>
      <c r="K1192" s="94"/>
      <c r="L1192" s="94"/>
      <c r="M1192" s="94"/>
      <c r="N1192" s="94"/>
      <c r="O1192" s="94"/>
      <c r="P1192" s="94"/>
      <c r="Q1192" s="94"/>
      <c r="R1192" s="94"/>
      <c r="S1192" s="94"/>
      <c r="T1192" s="94"/>
      <c r="U1192" s="94"/>
      <c r="V1192" s="94"/>
      <c r="W1192" s="94"/>
      <c r="X1192" s="94"/>
      <c r="Y1192" s="94"/>
      <c r="Z1192" s="94"/>
      <c r="AA1192" s="94"/>
      <c r="AB1192" s="94"/>
      <c r="AC1192" s="94"/>
      <c r="AD1192" s="94"/>
      <c r="AE1192" s="94"/>
      <c r="AF1192" s="94"/>
      <c r="AG1192" s="94"/>
      <c r="AH1192" s="94"/>
      <c r="AI1192" s="94"/>
      <c r="AJ1192" s="94"/>
      <c r="AK1192" s="94"/>
      <c r="AL1192" s="94"/>
      <c r="AM1192" s="94"/>
      <c r="AN1192" s="94"/>
      <c r="AO1192" s="94"/>
      <c r="AP1192" s="94"/>
      <c r="AQ1192" s="94"/>
      <c r="AR1192" s="94"/>
      <c r="AS1192" s="94"/>
      <c r="AT1192" s="94"/>
      <c r="AU1192" s="94"/>
      <c r="AV1192" s="94"/>
      <c r="AW1192" s="94"/>
      <c r="AX1192" s="94"/>
      <c r="AY1192" s="94"/>
      <c r="AZ1192" s="94"/>
      <c r="BA1192" s="95"/>
    </row>
    <row r="1193" spans="1:53" s="87" customFormat="1">
      <c r="A1193" s="90" t="str">
        <f t="shared" si="43"/>
        <v/>
      </c>
      <c r="B1193" s="98"/>
      <c r="C1193" s="94"/>
      <c r="D1193" s="94"/>
      <c r="E1193" s="94"/>
      <c r="F1193" s="94"/>
      <c r="G1193" s="94"/>
      <c r="H1193" s="94"/>
      <c r="I1193" s="94"/>
      <c r="J1193" s="94"/>
      <c r="K1193" s="94"/>
      <c r="L1193" s="94"/>
      <c r="M1193" s="94"/>
      <c r="N1193" s="94"/>
      <c r="O1193" s="94"/>
      <c r="P1193" s="94"/>
      <c r="Q1193" s="94"/>
      <c r="R1193" s="94"/>
      <c r="S1193" s="94"/>
      <c r="T1193" s="94"/>
      <c r="U1193" s="94"/>
      <c r="V1193" s="94"/>
      <c r="W1193" s="94"/>
      <c r="X1193" s="94"/>
      <c r="Y1193" s="94"/>
      <c r="Z1193" s="94"/>
      <c r="AA1193" s="94"/>
      <c r="AB1193" s="94"/>
      <c r="AC1193" s="94"/>
      <c r="AD1193" s="94"/>
      <c r="AE1193" s="94"/>
      <c r="AF1193" s="94"/>
      <c r="AG1193" s="94"/>
      <c r="AH1193" s="94"/>
      <c r="AI1193" s="94"/>
      <c r="AJ1193" s="94"/>
      <c r="AK1193" s="94"/>
      <c r="AL1193" s="94"/>
      <c r="AM1193" s="94"/>
      <c r="AN1193" s="94"/>
      <c r="AO1193" s="94"/>
      <c r="AP1193" s="94"/>
      <c r="AQ1193" s="94"/>
      <c r="AR1193" s="94"/>
      <c r="AS1193" s="94"/>
      <c r="AT1193" s="94"/>
      <c r="AU1193" s="94"/>
      <c r="AV1193" s="94"/>
      <c r="AW1193" s="94"/>
      <c r="AX1193" s="94"/>
      <c r="AY1193" s="94"/>
      <c r="AZ1193" s="94"/>
      <c r="BA1193" s="95"/>
    </row>
    <row r="1194" spans="1:53" s="87" customFormat="1">
      <c r="A1194" s="90" t="str">
        <f t="shared" si="43"/>
        <v/>
      </c>
      <c r="B1194" s="98"/>
      <c r="C1194" s="94"/>
      <c r="D1194" s="94"/>
      <c r="E1194" s="94"/>
      <c r="F1194" s="94"/>
      <c r="G1194" s="94"/>
      <c r="H1194" s="94"/>
      <c r="I1194" s="94"/>
      <c r="J1194" s="94"/>
      <c r="K1194" s="94"/>
      <c r="L1194" s="94"/>
      <c r="M1194" s="94"/>
      <c r="N1194" s="94"/>
      <c r="O1194" s="94"/>
      <c r="P1194" s="94"/>
      <c r="Q1194" s="94"/>
      <c r="R1194" s="94"/>
      <c r="S1194" s="94"/>
      <c r="T1194" s="94"/>
      <c r="U1194" s="94"/>
      <c r="V1194" s="94"/>
      <c r="W1194" s="94"/>
      <c r="X1194" s="94"/>
      <c r="Y1194" s="94"/>
      <c r="Z1194" s="94"/>
      <c r="AA1194" s="94"/>
      <c r="AB1194" s="94"/>
      <c r="AC1194" s="94"/>
      <c r="AD1194" s="94"/>
      <c r="AE1194" s="94"/>
      <c r="AF1194" s="94"/>
      <c r="AG1194" s="94"/>
      <c r="AH1194" s="94"/>
      <c r="AI1194" s="94"/>
      <c r="AJ1194" s="94"/>
      <c r="AK1194" s="94"/>
      <c r="AL1194" s="94"/>
      <c r="AM1194" s="94"/>
      <c r="AN1194" s="94"/>
      <c r="AO1194" s="94"/>
      <c r="AP1194" s="94"/>
      <c r="AQ1194" s="94"/>
      <c r="AR1194" s="94"/>
      <c r="AS1194" s="94"/>
      <c r="AT1194" s="94"/>
      <c r="AU1194" s="94"/>
      <c r="AV1194" s="94"/>
      <c r="AW1194" s="94"/>
      <c r="AX1194" s="94"/>
      <c r="AY1194" s="94"/>
      <c r="AZ1194" s="94"/>
      <c r="BA1194" s="95"/>
    </row>
    <row r="1195" spans="1:53" s="87" customFormat="1">
      <c r="A1195" s="90" t="str">
        <f t="shared" si="43"/>
        <v/>
      </c>
      <c r="B1195" s="98"/>
      <c r="C1195" s="94"/>
      <c r="D1195" s="94"/>
      <c r="E1195" s="94"/>
      <c r="F1195" s="94"/>
      <c r="G1195" s="94"/>
      <c r="H1195" s="94"/>
      <c r="I1195" s="94"/>
      <c r="J1195" s="94"/>
      <c r="K1195" s="94"/>
      <c r="L1195" s="94"/>
      <c r="M1195" s="94"/>
      <c r="N1195" s="94"/>
      <c r="O1195" s="94"/>
      <c r="P1195" s="94"/>
      <c r="Q1195" s="94"/>
      <c r="R1195" s="94"/>
      <c r="S1195" s="94"/>
      <c r="T1195" s="94"/>
      <c r="U1195" s="94"/>
      <c r="V1195" s="94"/>
      <c r="W1195" s="94"/>
      <c r="X1195" s="94"/>
      <c r="Y1195" s="94"/>
      <c r="Z1195" s="94"/>
      <c r="AA1195" s="94"/>
      <c r="AB1195" s="94"/>
      <c r="AC1195" s="94"/>
      <c r="AD1195" s="94"/>
      <c r="AE1195" s="94"/>
      <c r="AF1195" s="94"/>
      <c r="AG1195" s="94"/>
      <c r="AH1195" s="94"/>
      <c r="AI1195" s="94"/>
      <c r="AJ1195" s="94"/>
      <c r="AK1195" s="94"/>
      <c r="AL1195" s="94"/>
      <c r="AM1195" s="94"/>
      <c r="AN1195" s="94"/>
      <c r="AO1195" s="94"/>
      <c r="AP1195" s="94"/>
      <c r="AQ1195" s="94"/>
      <c r="AR1195" s="94"/>
      <c r="AS1195" s="94"/>
      <c r="AT1195" s="94"/>
      <c r="AU1195" s="94"/>
      <c r="AV1195" s="94"/>
      <c r="AW1195" s="94"/>
      <c r="AX1195" s="94"/>
      <c r="AY1195" s="94"/>
      <c r="AZ1195" s="94"/>
      <c r="BA1195" s="95"/>
    </row>
    <row r="1196" spans="1:53" s="87" customFormat="1">
      <c r="A1196" s="90" t="str">
        <f t="shared" si="43"/>
        <v/>
      </c>
      <c r="B1196" s="98"/>
      <c r="C1196" s="94"/>
      <c r="D1196" s="94"/>
      <c r="E1196" s="94"/>
      <c r="F1196" s="94"/>
      <c r="G1196" s="94"/>
      <c r="H1196" s="94"/>
      <c r="I1196" s="94"/>
      <c r="J1196" s="94"/>
      <c r="K1196" s="94"/>
      <c r="L1196" s="94"/>
      <c r="M1196" s="94"/>
      <c r="N1196" s="94"/>
      <c r="O1196" s="94"/>
      <c r="P1196" s="94"/>
      <c r="Q1196" s="94"/>
      <c r="R1196" s="94"/>
      <c r="S1196" s="94"/>
      <c r="T1196" s="94"/>
      <c r="U1196" s="94"/>
      <c r="V1196" s="94"/>
      <c r="W1196" s="94"/>
      <c r="X1196" s="94"/>
      <c r="Y1196" s="94"/>
      <c r="Z1196" s="94"/>
      <c r="AA1196" s="94"/>
      <c r="AB1196" s="94"/>
      <c r="AC1196" s="94"/>
      <c r="AD1196" s="94"/>
      <c r="AE1196" s="94"/>
      <c r="AF1196" s="94"/>
      <c r="AG1196" s="94"/>
      <c r="AH1196" s="94"/>
      <c r="AI1196" s="94"/>
      <c r="AJ1196" s="94"/>
      <c r="AK1196" s="94"/>
      <c r="AL1196" s="94"/>
      <c r="AM1196" s="94"/>
      <c r="AN1196" s="94"/>
      <c r="AO1196" s="94"/>
      <c r="AP1196" s="94"/>
      <c r="AQ1196" s="94"/>
      <c r="AR1196" s="94"/>
      <c r="AS1196" s="94"/>
      <c r="AT1196" s="94"/>
      <c r="AU1196" s="94"/>
      <c r="AV1196" s="94"/>
      <c r="AW1196" s="94"/>
      <c r="AX1196" s="94"/>
      <c r="AY1196" s="94"/>
      <c r="AZ1196" s="94"/>
      <c r="BA1196" s="95"/>
    </row>
    <row r="1197" spans="1:53" s="87" customFormat="1">
      <c r="A1197" s="90" t="str">
        <f t="shared" si="43"/>
        <v/>
      </c>
      <c r="B1197" s="98"/>
      <c r="C1197" s="94"/>
      <c r="D1197" s="94"/>
      <c r="E1197" s="94"/>
      <c r="F1197" s="94"/>
      <c r="G1197" s="94"/>
      <c r="H1197" s="94"/>
      <c r="I1197" s="94"/>
      <c r="J1197" s="94"/>
      <c r="K1197" s="94"/>
      <c r="L1197" s="94"/>
      <c r="M1197" s="94"/>
      <c r="N1197" s="94"/>
      <c r="O1197" s="94"/>
      <c r="P1197" s="94"/>
      <c r="Q1197" s="94"/>
      <c r="R1197" s="94"/>
      <c r="S1197" s="94"/>
      <c r="T1197" s="94"/>
      <c r="U1197" s="94"/>
      <c r="V1197" s="94"/>
      <c r="W1197" s="94"/>
      <c r="X1197" s="94"/>
      <c r="Y1197" s="94"/>
      <c r="Z1197" s="94"/>
      <c r="AA1197" s="94"/>
      <c r="AB1197" s="94"/>
      <c r="AC1197" s="94"/>
      <c r="AD1197" s="94"/>
      <c r="AE1197" s="94"/>
      <c r="AF1197" s="94"/>
      <c r="AG1197" s="94"/>
      <c r="AH1197" s="94"/>
      <c r="AI1197" s="94"/>
      <c r="AJ1197" s="94"/>
      <c r="AK1197" s="94"/>
      <c r="AL1197" s="94"/>
      <c r="AM1197" s="94"/>
      <c r="AN1197" s="94"/>
      <c r="AO1197" s="94"/>
      <c r="AP1197" s="94"/>
      <c r="AQ1197" s="94"/>
      <c r="AR1197" s="94"/>
      <c r="AS1197" s="94"/>
      <c r="AT1197" s="94"/>
      <c r="AU1197" s="94"/>
      <c r="AV1197" s="94"/>
      <c r="AW1197" s="94"/>
      <c r="AX1197" s="94"/>
      <c r="AY1197" s="94"/>
      <c r="AZ1197" s="94"/>
      <c r="BA1197" s="95"/>
    </row>
    <row r="1198" spans="1:53" s="87" customFormat="1">
      <c r="A1198" s="90" t="str">
        <f t="shared" si="43"/>
        <v/>
      </c>
      <c r="B1198" s="98"/>
      <c r="C1198" s="94"/>
      <c r="D1198" s="94"/>
      <c r="E1198" s="94"/>
      <c r="F1198" s="94"/>
      <c r="G1198" s="94"/>
      <c r="H1198" s="94"/>
      <c r="I1198" s="94"/>
      <c r="J1198" s="94"/>
      <c r="K1198" s="94"/>
      <c r="L1198" s="94"/>
      <c r="M1198" s="94"/>
      <c r="N1198" s="94"/>
      <c r="O1198" s="94"/>
      <c r="P1198" s="94"/>
      <c r="Q1198" s="94"/>
      <c r="R1198" s="94"/>
      <c r="S1198" s="94"/>
      <c r="T1198" s="94"/>
      <c r="U1198" s="94"/>
      <c r="V1198" s="94"/>
      <c r="W1198" s="94"/>
      <c r="X1198" s="94"/>
      <c r="Y1198" s="94"/>
      <c r="Z1198" s="94"/>
      <c r="AA1198" s="94"/>
      <c r="AB1198" s="94"/>
      <c r="AC1198" s="94"/>
      <c r="AD1198" s="94"/>
      <c r="AE1198" s="94"/>
      <c r="AF1198" s="94"/>
      <c r="AG1198" s="94"/>
      <c r="AH1198" s="94"/>
      <c r="AI1198" s="94"/>
      <c r="AJ1198" s="94"/>
      <c r="AK1198" s="94"/>
      <c r="AL1198" s="94"/>
      <c r="AM1198" s="94"/>
      <c r="AN1198" s="94"/>
      <c r="AO1198" s="94"/>
      <c r="AP1198" s="94"/>
      <c r="AQ1198" s="94"/>
      <c r="AR1198" s="94"/>
      <c r="AS1198" s="94"/>
      <c r="AT1198" s="94"/>
      <c r="AU1198" s="94"/>
      <c r="AV1198" s="94"/>
      <c r="AW1198" s="94"/>
      <c r="AX1198" s="94"/>
      <c r="AY1198" s="94"/>
      <c r="AZ1198" s="94"/>
      <c r="BA1198" s="95"/>
    </row>
    <row r="1199" spans="1:53" s="87" customFormat="1">
      <c r="A1199" s="90" t="str">
        <f t="shared" si="43"/>
        <v/>
      </c>
      <c r="B1199" s="98"/>
      <c r="C1199" s="94"/>
      <c r="D1199" s="94"/>
      <c r="E1199" s="94"/>
      <c r="F1199" s="94"/>
      <c r="G1199" s="94"/>
      <c r="H1199" s="94"/>
      <c r="I1199" s="94"/>
      <c r="J1199" s="94"/>
      <c r="K1199" s="94"/>
      <c r="L1199" s="94"/>
      <c r="M1199" s="94"/>
      <c r="N1199" s="94"/>
      <c r="O1199" s="94"/>
      <c r="P1199" s="94"/>
      <c r="Q1199" s="94"/>
      <c r="R1199" s="94"/>
      <c r="S1199" s="94"/>
      <c r="T1199" s="94"/>
      <c r="U1199" s="94"/>
      <c r="V1199" s="94"/>
      <c r="W1199" s="94"/>
      <c r="X1199" s="94"/>
      <c r="Y1199" s="94"/>
      <c r="Z1199" s="94"/>
      <c r="AA1199" s="94"/>
      <c r="AB1199" s="94"/>
      <c r="AC1199" s="94"/>
      <c r="AD1199" s="94"/>
      <c r="AE1199" s="94"/>
      <c r="AF1199" s="94"/>
      <c r="AG1199" s="94"/>
      <c r="AH1199" s="94"/>
      <c r="AI1199" s="94"/>
      <c r="AJ1199" s="94"/>
      <c r="AK1199" s="94"/>
      <c r="AL1199" s="94"/>
      <c r="AM1199" s="94"/>
      <c r="AN1199" s="94"/>
      <c r="AO1199" s="94"/>
      <c r="AP1199" s="94"/>
      <c r="AQ1199" s="94"/>
      <c r="AR1199" s="94"/>
      <c r="AS1199" s="94"/>
      <c r="AT1199" s="94"/>
      <c r="AU1199" s="94"/>
      <c r="AV1199" s="94"/>
      <c r="AW1199" s="94"/>
      <c r="AX1199" s="94"/>
      <c r="AY1199" s="94"/>
      <c r="AZ1199" s="94"/>
      <c r="BA1199" s="95"/>
    </row>
    <row r="1200" spans="1:53" s="87" customFormat="1">
      <c r="A1200" s="90" t="str">
        <f t="shared" si="43"/>
        <v/>
      </c>
      <c r="B1200" s="98"/>
      <c r="C1200" s="94"/>
      <c r="D1200" s="94"/>
      <c r="E1200" s="94"/>
      <c r="F1200" s="94"/>
      <c r="G1200" s="94"/>
      <c r="H1200" s="94"/>
      <c r="I1200" s="94"/>
      <c r="J1200" s="94"/>
      <c r="K1200" s="94"/>
      <c r="L1200" s="94"/>
      <c r="M1200" s="94"/>
      <c r="N1200" s="94"/>
      <c r="O1200" s="94"/>
      <c r="P1200" s="94"/>
      <c r="Q1200" s="94"/>
      <c r="R1200" s="94"/>
      <c r="S1200" s="94"/>
      <c r="T1200" s="94"/>
      <c r="U1200" s="94"/>
      <c r="V1200" s="94"/>
      <c r="W1200" s="94"/>
      <c r="X1200" s="94"/>
      <c r="Y1200" s="94"/>
      <c r="Z1200" s="94"/>
      <c r="AA1200" s="94"/>
      <c r="AB1200" s="94"/>
      <c r="AC1200" s="94"/>
      <c r="AD1200" s="94"/>
      <c r="AE1200" s="94"/>
      <c r="AF1200" s="94"/>
      <c r="AG1200" s="94"/>
      <c r="AH1200" s="94"/>
      <c r="AI1200" s="94"/>
      <c r="AJ1200" s="94"/>
      <c r="AK1200" s="94"/>
      <c r="AL1200" s="94"/>
      <c r="AM1200" s="94"/>
      <c r="AN1200" s="94"/>
      <c r="AO1200" s="94"/>
      <c r="AP1200" s="94"/>
      <c r="AQ1200" s="94"/>
      <c r="AR1200" s="94"/>
      <c r="AS1200" s="94"/>
      <c r="AT1200" s="94"/>
      <c r="AU1200" s="94"/>
      <c r="AV1200" s="94"/>
      <c r="AW1200" s="94"/>
      <c r="AX1200" s="94"/>
      <c r="AY1200" s="94"/>
      <c r="AZ1200" s="94"/>
      <c r="BA1200" s="95"/>
    </row>
    <row r="1201" spans="53:53" s="87" customFormat="1">
      <c r="BA1201" s="95"/>
    </row>
    <row r="1202" spans="53:53" s="87" customFormat="1">
      <c r="BA1202" s="95"/>
    </row>
    <row r="1203" spans="53:53" s="87" customFormat="1">
      <c r="BA1203" s="95"/>
    </row>
    <row r="1204" spans="53:53" s="87" customFormat="1">
      <c r="BA1204" s="95"/>
    </row>
    <row r="1205" spans="53:53" s="87" customFormat="1">
      <c r="BA1205" s="95"/>
    </row>
    <row r="1206" spans="53:53" s="87" customFormat="1">
      <c r="BA1206" s="95"/>
    </row>
    <row r="1207" spans="53:53" s="87" customFormat="1">
      <c r="BA1207" s="95"/>
    </row>
  </sheetData>
  <sheetProtection password="FFF0" sheet="1" objects="1" scenarios="1"/>
  <conditionalFormatting sqref="BD11:BD70">
    <cfRule type="expression" dxfId="50" priority="2">
      <formula>BD11=$BD$7</formula>
    </cfRule>
  </conditionalFormatting>
  <conditionalFormatting sqref="A11:A1200">
    <cfRule type="expression" dxfId="49" priority="1">
      <formula>A11=$BA$7</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FJ333"/>
  <sheetViews>
    <sheetView workbookViewId="0">
      <selection activeCell="A3" sqref="A3"/>
    </sheetView>
  </sheetViews>
  <sheetFormatPr baseColWidth="10" defaultColWidth="10.5703125" defaultRowHeight="12" x14ac:dyDescent="0"/>
  <cols>
    <col min="1" max="1" width="10.5703125" style="16"/>
    <col min="2" max="2" width="5.140625" style="16" customWidth="1"/>
    <col min="3" max="3" width="1" style="16" customWidth="1"/>
    <col min="4" max="65" width="2.5703125" style="16" customWidth="1"/>
    <col min="66" max="66" width="3.42578125" style="16" customWidth="1"/>
    <col min="67" max="78" width="3.42578125" style="16" hidden="1" customWidth="1"/>
    <col min="79" max="81" width="2.5703125" style="16" hidden="1" customWidth="1"/>
    <col min="82" max="82" width="5.7109375" style="16" hidden="1" customWidth="1"/>
    <col min="83" max="83" width="2.5703125" style="16" hidden="1" customWidth="1"/>
    <col min="84" max="84" width="7.140625" style="16" hidden="1" customWidth="1"/>
    <col min="85" max="85" width="5.140625" style="16" hidden="1" customWidth="1"/>
    <col min="86" max="88" width="10.28515625" style="16" hidden="1" customWidth="1"/>
    <col min="89" max="93" width="2.5703125" style="16" hidden="1" customWidth="1"/>
    <col min="94" max="102" width="10.7109375" style="16" hidden="1" customWidth="1"/>
    <col min="103" max="104" width="2.5703125" style="16" hidden="1" customWidth="1"/>
    <col min="105" max="110" width="5.140625" style="16" hidden="1" customWidth="1"/>
    <col min="111" max="166" width="2.5703125" style="16" hidden="1" customWidth="1"/>
    <col min="167" max="167" width="10.7109375" style="16" customWidth="1"/>
    <col min="168" max="16384" width="10.5703125" style="16"/>
  </cols>
  <sheetData>
    <row r="1" spans="1:166" ht="18">
      <c r="A1" s="14" t="s">
        <v>891</v>
      </c>
      <c r="CA1" s="16">
        <v>67</v>
      </c>
      <c r="CB1" s="16">
        <v>51</v>
      </c>
    </row>
    <row r="2" spans="1:166">
      <c r="D2" s="247" t="s">
        <v>1096</v>
      </c>
      <c r="CA2" s="16" t="s">
        <v>88</v>
      </c>
      <c r="CB2" s="16" t="s">
        <v>103</v>
      </c>
      <c r="CK2" s="16" t="s">
        <v>104</v>
      </c>
      <c r="CL2" s="16" t="s">
        <v>105</v>
      </c>
      <c r="CM2" s="16" t="s">
        <v>92</v>
      </c>
      <c r="CN2" s="16" t="s">
        <v>103</v>
      </c>
      <c r="CO2" s="16" t="s">
        <v>88</v>
      </c>
    </row>
    <row r="3" spans="1:166">
      <c r="A3" s="158" t="str">
        <f>Intro!D46</f>
        <v/>
      </c>
      <c r="B3" s="30" t="s">
        <v>793</v>
      </c>
      <c r="C3" s="30"/>
      <c r="D3" s="30" t="str">
        <f>"02"</f>
        <v>02</v>
      </c>
      <c r="E3" s="30"/>
      <c r="F3" s="30"/>
      <c r="G3" s="30"/>
      <c r="H3" s="30"/>
      <c r="I3" s="30"/>
      <c r="J3" s="30"/>
      <c r="K3" s="30" t="str">
        <f>"03"</f>
        <v>03</v>
      </c>
      <c r="L3" s="30"/>
      <c r="M3" s="30"/>
      <c r="N3" s="30"/>
      <c r="O3" s="30"/>
      <c r="P3" s="30"/>
      <c r="Q3" s="30"/>
      <c r="R3" s="30" t="str">
        <f>"04"</f>
        <v>04</v>
      </c>
      <c r="S3" s="30"/>
      <c r="T3" s="30"/>
      <c r="U3" s="30"/>
      <c r="V3" s="30"/>
      <c r="W3" s="30"/>
      <c r="X3" s="30"/>
      <c r="Y3" s="30" t="str">
        <f>"05"</f>
        <v>05</v>
      </c>
      <c r="Z3" s="30"/>
      <c r="AA3" s="30"/>
      <c r="AB3" s="30"/>
      <c r="AC3" s="30"/>
      <c r="AD3" s="30"/>
      <c r="AE3" s="30"/>
      <c r="AF3" s="30" t="str">
        <f>"06"</f>
        <v>06</v>
      </c>
      <c r="AG3" s="30"/>
      <c r="AH3" s="30"/>
      <c r="AI3" s="30"/>
      <c r="AJ3" s="30"/>
      <c r="AK3" s="30"/>
      <c r="AL3" s="30"/>
      <c r="AM3" s="30" t="str">
        <f>"07"</f>
        <v>07</v>
      </c>
      <c r="AN3" s="30"/>
      <c r="AO3" s="30"/>
      <c r="AP3" s="30"/>
      <c r="AQ3" s="30"/>
      <c r="AR3" s="30"/>
      <c r="AS3" s="30"/>
      <c r="AT3" s="30" t="str">
        <f>"08"</f>
        <v>08</v>
      </c>
      <c r="AU3" s="30"/>
      <c r="AV3" s="30"/>
      <c r="AW3" s="30"/>
      <c r="AX3" s="30"/>
      <c r="AY3" s="30"/>
      <c r="AZ3" s="30"/>
      <c r="BA3" s="30" t="str">
        <f>"09"</f>
        <v>09</v>
      </c>
      <c r="BB3" s="30"/>
      <c r="BC3" s="30"/>
      <c r="BD3" s="30"/>
      <c r="BE3" s="30"/>
      <c r="BF3" s="30"/>
      <c r="BG3" s="30"/>
      <c r="BH3" s="30" t="str">
        <f>"10"</f>
        <v>10</v>
      </c>
      <c r="BI3" s="30"/>
      <c r="BJ3" s="30"/>
      <c r="BK3" s="30"/>
      <c r="BL3" s="30"/>
      <c r="BM3" s="30"/>
      <c r="CA3" s="16">
        <v>67</v>
      </c>
      <c r="CB3" s="16">
        <v>51</v>
      </c>
      <c r="CC3" s="16">
        <f ca="1">INDIRECT(CF3)</f>
        <v>24</v>
      </c>
      <c r="CD3" s="16" t="str">
        <f>CONCATENATE("Intro!",CHAR(CA3))</f>
        <v>Intro!C</v>
      </c>
      <c r="CE3" s="16">
        <f>CB3</f>
        <v>51</v>
      </c>
      <c r="CF3" s="16" t="str">
        <f>CONCATENATE(CD3,CE3)</f>
        <v>Intro!C51</v>
      </c>
      <c r="CH3" s="16" t="str">
        <f ca="1">CONCATENATE(CF3,":",CHAR(CA3+1),(CB3+CC3))</f>
        <v>Intro!C51:D75</v>
      </c>
      <c r="CI3" s="16" t="str">
        <f ca="1">VLOOKUP(CC3,INDIRECT(CH3),2,FALSE)</f>
        <v>040201_03s</v>
      </c>
      <c r="CJ3" s="16" t="str">
        <f ca="1">LEFT(CI3,6)</f>
        <v>040201</v>
      </c>
      <c r="CK3" s="16">
        <f t="shared" ref="CK3:CK43" ca="1" si="0">VALUE(MID(CI3,3,2))</f>
        <v>2</v>
      </c>
      <c r="CL3" s="16">
        <f t="shared" ref="CL3:CL43" ca="1" si="1">VALUE(MID(CI3,1,2))</f>
        <v>4</v>
      </c>
      <c r="CM3" s="16">
        <f t="shared" ref="CM3:CM43" ca="1" si="2">VALUE(MID(CI3,5,2))</f>
        <v>1</v>
      </c>
      <c r="CN3" s="16">
        <f t="shared" ref="CN3:CN43" ca="1" si="3">VALUE(MID(CI3,8,2))</f>
        <v>3</v>
      </c>
      <c r="CO3" s="16" t="str">
        <f ca="1">RIGHT(CI3,1)</f>
        <v>s</v>
      </c>
      <c r="DA3" s="16" t="str">
        <f>"02"</f>
        <v>02</v>
      </c>
      <c r="DH3" s="16" t="str">
        <f>"03"</f>
        <v>03</v>
      </c>
      <c r="DO3" s="16" t="str">
        <f>"04"</f>
        <v>04</v>
      </c>
      <c r="DV3" s="16" t="str">
        <f>"05"</f>
        <v>05</v>
      </c>
      <c r="EC3" s="16" t="str">
        <f>"06"</f>
        <v>06</v>
      </c>
      <c r="EJ3" s="16" t="str">
        <f>"07"</f>
        <v>07</v>
      </c>
      <c r="EQ3" s="16" t="str">
        <f>"08"</f>
        <v>08</v>
      </c>
      <c r="EX3" s="16" t="str">
        <f>"09"</f>
        <v>09</v>
      </c>
      <c r="FE3" s="16" t="str">
        <f>"10"</f>
        <v>10</v>
      </c>
    </row>
    <row r="4" spans="1:166" ht="13" thickBot="1">
      <c r="B4" s="248" t="s">
        <v>794</v>
      </c>
      <c r="C4" s="248"/>
      <c r="D4" s="248" t="str">
        <f>"01"</f>
        <v>01</v>
      </c>
      <c r="E4" s="248" t="str">
        <f>"02"</f>
        <v>02</v>
      </c>
      <c r="F4" s="248" t="str">
        <f>"03"</f>
        <v>03</v>
      </c>
      <c r="G4" s="248" t="str">
        <f>"04"</f>
        <v>04</v>
      </c>
      <c r="H4" s="248" t="str">
        <f>"05"</f>
        <v>05</v>
      </c>
      <c r="I4" s="248" t="str">
        <f>"06"</f>
        <v>06</v>
      </c>
      <c r="J4" s="248"/>
      <c r="K4" s="248" t="str">
        <f>"01"</f>
        <v>01</v>
      </c>
      <c r="L4" s="248" t="str">
        <f>"02"</f>
        <v>02</v>
      </c>
      <c r="M4" s="248" t="str">
        <f>"03"</f>
        <v>03</v>
      </c>
      <c r="N4" s="248" t="str">
        <f>"04"</f>
        <v>04</v>
      </c>
      <c r="O4" s="248" t="str">
        <f>"05"</f>
        <v>05</v>
      </c>
      <c r="P4" s="248" t="str">
        <f>"06"</f>
        <v>06</v>
      </c>
      <c r="Q4" s="248"/>
      <c r="R4" s="248" t="str">
        <f>"01"</f>
        <v>01</v>
      </c>
      <c r="S4" s="248" t="str">
        <f>"02"</f>
        <v>02</v>
      </c>
      <c r="T4" s="248" t="str">
        <f>"03"</f>
        <v>03</v>
      </c>
      <c r="U4" s="248" t="str">
        <f>"04"</f>
        <v>04</v>
      </c>
      <c r="V4" s="248" t="str">
        <f>"05"</f>
        <v>05</v>
      </c>
      <c r="W4" s="248" t="str">
        <f>"06"</f>
        <v>06</v>
      </c>
      <c r="X4" s="248"/>
      <c r="Y4" s="248" t="str">
        <f>"01"</f>
        <v>01</v>
      </c>
      <c r="Z4" s="248" t="str">
        <f>"02"</f>
        <v>02</v>
      </c>
      <c r="AA4" s="248" t="str">
        <f>"03"</f>
        <v>03</v>
      </c>
      <c r="AB4" s="248" t="str">
        <f>"04"</f>
        <v>04</v>
      </c>
      <c r="AC4" s="248" t="str">
        <f>"05"</f>
        <v>05</v>
      </c>
      <c r="AD4" s="248" t="str">
        <f>"06"</f>
        <v>06</v>
      </c>
      <c r="AE4" s="248"/>
      <c r="AF4" s="248" t="str">
        <f>"01"</f>
        <v>01</v>
      </c>
      <c r="AG4" s="248" t="str">
        <f>"02"</f>
        <v>02</v>
      </c>
      <c r="AH4" s="248" t="str">
        <f>"03"</f>
        <v>03</v>
      </c>
      <c r="AI4" s="248" t="str">
        <f>"04"</f>
        <v>04</v>
      </c>
      <c r="AJ4" s="248" t="str">
        <f>"05"</f>
        <v>05</v>
      </c>
      <c r="AK4" s="248" t="str">
        <f>"06"</f>
        <v>06</v>
      </c>
      <c r="AL4" s="248"/>
      <c r="AM4" s="248" t="str">
        <f>"01"</f>
        <v>01</v>
      </c>
      <c r="AN4" s="248" t="str">
        <f>"02"</f>
        <v>02</v>
      </c>
      <c r="AO4" s="248" t="str">
        <f>"03"</f>
        <v>03</v>
      </c>
      <c r="AP4" s="248" t="str">
        <f>"04"</f>
        <v>04</v>
      </c>
      <c r="AQ4" s="248" t="str">
        <f>"05"</f>
        <v>05</v>
      </c>
      <c r="AR4" s="248" t="str">
        <f>"06"</f>
        <v>06</v>
      </c>
      <c r="AS4" s="248"/>
      <c r="AT4" s="248" t="str">
        <f>"01"</f>
        <v>01</v>
      </c>
      <c r="AU4" s="248" t="str">
        <f>"02"</f>
        <v>02</v>
      </c>
      <c r="AV4" s="248" t="str">
        <f>"03"</f>
        <v>03</v>
      </c>
      <c r="AW4" s="248" t="str">
        <f>"04"</f>
        <v>04</v>
      </c>
      <c r="AX4" s="248" t="str">
        <f>"05"</f>
        <v>05</v>
      </c>
      <c r="AY4" s="248" t="str">
        <f>"06"</f>
        <v>06</v>
      </c>
      <c r="AZ4" s="248"/>
      <c r="BA4" s="248" t="str">
        <f>"01"</f>
        <v>01</v>
      </c>
      <c r="BB4" s="248" t="str">
        <f>"02"</f>
        <v>02</v>
      </c>
      <c r="BC4" s="248" t="str">
        <f>"03"</f>
        <v>03</v>
      </c>
      <c r="BD4" s="248" t="str">
        <f>"04"</f>
        <v>04</v>
      </c>
      <c r="BE4" s="248" t="str">
        <f>"05"</f>
        <v>05</v>
      </c>
      <c r="BF4" s="248" t="str">
        <f>"06"</f>
        <v>06</v>
      </c>
      <c r="BG4" s="248"/>
      <c r="BH4" s="248" t="str">
        <f>"01"</f>
        <v>01</v>
      </c>
      <c r="BI4" s="248" t="str">
        <f>"02"</f>
        <v>02</v>
      </c>
      <c r="BJ4" s="248" t="str">
        <f>"03"</f>
        <v>03</v>
      </c>
      <c r="BK4" s="248" t="str">
        <f>"04"</f>
        <v>04</v>
      </c>
      <c r="BL4" s="248" t="str">
        <f>"05"</f>
        <v>05</v>
      </c>
      <c r="BM4" s="248" t="str">
        <f>"06"</f>
        <v>06</v>
      </c>
      <c r="CA4" s="16">
        <f ca="1">IF(CC3-1=0,CA3+2,CA3)</f>
        <v>67</v>
      </c>
      <c r="CB4" s="16">
        <f ca="1">IF(CC3-1=0,CB$1,CB3+1)</f>
        <v>52</v>
      </c>
      <c r="CC4" s="16">
        <f ca="1">INDIRECT(CF4)</f>
        <v>23</v>
      </c>
      <c r="CD4" s="16" t="str">
        <f ca="1">CONCATENATE("Intro!",CHAR(CA4))</f>
        <v>Intro!C</v>
      </c>
      <c r="CE4" s="16">
        <f ca="1">CB4</f>
        <v>52</v>
      </c>
      <c r="CF4" s="16" t="str">
        <f ca="1">CONCATENATE(CD4,CE4)</f>
        <v>Intro!C52</v>
      </c>
      <c r="CH4" s="16" t="str">
        <f t="shared" ref="CH4" ca="1" si="4">CONCATENATE(CF4,":",CHAR(CA4+1),(CB4+CC4))</f>
        <v>Intro!C52:D75</v>
      </c>
      <c r="CI4" s="16" t="str">
        <f t="shared" ref="CI4" ca="1" si="5">VLOOKUP(CC4,INDIRECT(CH4),2,FALSE)</f>
        <v>050201_05s</v>
      </c>
      <c r="CJ4" s="16" t="str">
        <f t="shared" ref="CJ4:CJ67" ca="1" si="6">LEFT(CI4,6)</f>
        <v>050201</v>
      </c>
      <c r="CK4" s="16">
        <f t="shared" ca="1" si="0"/>
        <v>2</v>
      </c>
      <c r="CL4" s="16">
        <f t="shared" ca="1" si="1"/>
        <v>5</v>
      </c>
      <c r="CM4" s="16">
        <f t="shared" ca="1" si="2"/>
        <v>1</v>
      </c>
      <c r="CN4" s="16">
        <f t="shared" ca="1" si="3"/>
        <v>5</v>
      </c>
      <c r="CO4" s="16" t="str">
        <f t="shared" ref="CO4" ca="1" si="7">RIGHT(CI4,1)</f>
        <v>s</v>
      </c>
      <c r="DA4" s="16" t="str">
        <f>"01"</f>
        <v>01</v>
      </c>
      <c r="DB4" s="16" t="str">
        <f>"02"</f>
        <v>02</v>
      </c>
      <c r="DC4" s="16" t="str">
        <f>"03"</f>
        <v>03</v>
      </c>
      <c r="DD4" s="16" t="str">
        <f>"04"</f>
        <v>04</v>
      </c>
      <c r="DE4" s="16" t="str">
        <f>"51"</f>
        <v>51</v>
      </c>
      <c r="DF4" s="16" t="str">
        <f>"06"</f>
        <v>06</v>
      </c>
      <c r="DH4" s="16" t="str">
        <f>"01"</f>
        <v>01</v>
      </c>
      <c r="DI4" s="16" t="str">
        <f>"02"</f>
        <v>02</v>
      </c>
      <c r="DJ4" s="16" t="str">
        <f>"03"</f>
        <v>03</v>
      </c>
      <c r="DK4" s="16" t="str">
        <f>"04"</f>
        <v>04</v>
      </c>
      <c r="DL4" s="16" t="str">
        <f>"05"</f>
        <v>05</v>
      </c>
      <c r="DM4" s="16" t="str">
        <f>"06"</f>
        <v>06</v>
      </c>
      <c r="DO4" s="16" t="str">
        <f>"01"</f>
        <v>01</v>
      </c>
      <c r="DP4" s="16" t="str">
        <f>"02"</f>
        <v>02</v>
      </c>
      <c r="DQ4" s="16" t="str">
        <f>"03"</f>
        <v>03</v>
      </c>
      <c r="DR4" s="16" t="str">
        <f>"04"</f>
        <v>04</v>
      </c>
      <c r="DS4" s="16" t="str">
        <f>"05"</f>
        <v>05</v>
      </c>
      <c r="DT4" s="16" t="str">
        <f>"06"</f>
        <v>06</v>
      </c>
      <c r="DV4" s="16" t="str">
        <f>"01"</f>
        <v>01</v>
      </c>
      <c r="DW4" s="16" t="str">
        <f>"02"</f>
        <v>02</v>
      </c>
      <c r="DX4" s="16" t="str">
        <f>"03"</f>
        <v>03</v>
      </c>
      <c r="DY4" s="16" t="str">
        <f>"04"</f>
        <v>04</v>
      </c>
      <c r="DZ4" s="16" t="str">
        <f>"05"</f>
        <v>05</v>
      </c>
      <c r="EA4" s="16" t="str">
        <f>"06"</f>
        <v>06</v>
      </c>
      <c r="EC4" s="16" t="str">
        <f>"01"</f>
        <v>01</v>
      </c>
      <c r="ED4" s="16" t="str">
        <f>"02"</f>
        <v>02</v>
      </c>
      <c r="EE4" s="16" t="str">
        <f>"03"</f>
        <v>03</v>
      </c>
      <c r="EF4" s="16" t="str">
        <f>"04"</f>
        <v>04</v>
      </c>
      <c r="EG4" s="16" t="str">
        <f>"05"</f>
        <v>05</v>
      </c>
      <c r="EH4" s="16" t="str">
        <f>"06"</f>
        <v>06</v>
      </c>
      <c r="EJ4" s="16" t="str">
        <f>"01"</f>
        <v>01</v>
      </c>
      <c r="EK4" s="16" t="str">
        <f>"02"</f>
        <v>02</v>
      </c>
      <c r="EL4" s="16" t="str">
        <f>"03"</f>
        <v>03</v>
      </c>
      <c r="EM4" s="16" t="str">
        <f>"04"</f>
        <v>04</v>
      </c>
      <c r="EN4" s="16" t="str">
        <f>"05"</f>
        <v>05</v>
      </c>
      <c r="EO4" s="16" t="str">
        <f>"06"</f>
        <v>06</v>
      </c>
      <c r="EQ4" s="16" t="str">
        <f>"01"</f>
        <v>01</v>
      </c>
      <c r="ER4" s="16" t="str">
        <f>"02"</f>
        <v>02</v>
      </c>
      <c r="ES4" s="16" t="str">
        <f>"03"</f>
        <v>03</v>
      </c>
      <c r="ET4" s="16" t="str">
        <f>"04"</f>
        <v>04</v>
      </c>
      <c r="EU4" s="16" t="str">
        <f>"05"</f>
        <v>05</v>
      </c>
      <c r="EV4" s="16" t="str">
        <f>"06"</f>
        <v>06</v>
      </c>
      <c r="EX4" s="16" t="str">
        <f>"01"</f>
        <v>01</v>
      </c>
      <c r="EY4" s="16" t="str">
        <f>"02"</f>
        <v>02</v>
      </c>
      <c r="EZ4" s="16" t="str">
        <f>"03"</f>
        <v>03</v>
      </c>
      <c r="FA4" s="16" t="str">
        <f>"04"</f>
        <v>04</v>
      </c>
      <c r="FB4" s="16" t="str">
        <f>"05"</f>
        <v>05</v>
      </c>
      <c r="FC4" s="16" t="str">
        <f>"06"</f>
        <v>06</v>
      </c>
      <c r="FE4" s="16" t="str">
        <f>"01"</f>
        <v>01</v>
      </c>
      <c r="FF4" s="16" t="str">
        <f>"02"</f>
        <v>02</v>
      </c>
      <c r="FG4" s="16" t="str">
        <f>"03"</f>
        <v>03</v>
      </c>
      <c r="FH4" s="16" t="str">
        <f>"04"</f>
        <v>04</v>
      </c>
      <c r="FI4" s="16" t="str">
        <f>"05"</f>
        <v>05</v>
      </c>
      <c r="FJ4" s="16" t="str">
        <f>"06"</f>
        <v>06</v>
      </c>
    </row>
    <row r="5" spans="1:166" ht="13" thickTop="1">
      <c r="B5" s="30" t="s">
        <v>795</v>
      </c>
      <c r="CA5" s="16">
        <f t="shared" ref="CA5:CA43" ca="1" si="8">IF(CC4-1=0,CA4+2,CA4)</f>
        <v>67</v>
      </c>
      <c r="CB5" s="16">
        <f t="shared" ref="CB5:CB43" ca="1" si="9">IF(CC4-1=0,CB$1,CB4+1)</f>
        <v>53</v>
      </c>
      <c r="CC5" s="16">
        <f t="shared" ref="CC5:CC43" ca="1" si="10">INDIRECT(CF5)</f>
        <v>22</v>
      </c>
      <c r="CD5" s="16" t="str">
        <f t="shared" ref="CD5:CD43" ca="1" si="11">CONCATENATE("Intro!",CHAR(CA5))</f>
        <v>Intro!C</v>
      </c>
      <c r="CE5" s="16">
        <f t="shared" ref="CE5:CE43" ca="1" si="12">CB5</f>
        <v>53</v>
      </c>
      <c r="CF5" s="16" t="str">
        <f t="shared" ref="CF5:CF43" ca="1" si="13">CONCATENATE(CD5,CE5)</f>
        <v>Intro!C53</v>
      </c>
      <c r="CH5" s="16" t="str">
        <f t="shared" ref="CH5:CH43" ca="1" si="14">CONCATENATE(CF5,":",CHAR(CA5+1),(CB5+CC5))</f>
        <v>Intro!C53:D75</v>
      </c>
      <c r="CI5" s="16" t="str">
        <f t="shared" ref="CI5:CI43" ca="1" si="15">VLOOKUP(CC5,INDIRECT(CH5),2,FALSE)</f>
        <v>060201_10e</v>
      </c>
      <c r="CJ5" s="16" t="str">
        <f t="shared" ca="1" si="6"/>
        <v>060201</v>
      </c>
      <c r="CK5" s="16">
        <f t="shared" ca="1" si="0"/>
        <v>2</v>
      </c>
      <c r="CL5" s="16">
        <f t="shared" ca="1" si="1"/>
        <v>6</v>
      </c>
      <c r="CM5" s="16">
        <f t="shared" ca="1" si="2"/>
        <v>1</v>
      </c>
      <c r="CN5" s="16">
        <f t="shared" ca="1" si="3"/>
        <v>10</v>
      </c>
      <c r="CO5" s="16" t="str">
        <f t="shared" ref="CO5:CO43" ca="1" si="16">RIGHT(CI5,1)</f>
        <v>e</v>
      </c>
    </row>
    <row r="6" spans="1:166">
      <c r="B6" s="58" t="str">
        <f>CONCATENATE(IF((ROW()-2)&lt;10,"0",""),ROW()-2)</f>
        <v>04</v>
      </c>
      <c r="C6" s="243"/>
      <c r="D6" s="239" t="str">
        <f ca="1">IF(ISERROR(VLOOKUP(DA6,INDIRECT($D$2),1,FALSE)),0,CONCATENATE(VLOOKUP(DA6,INDIRECT($D$2),5,FALSE),VLOOKUP(DA6,INDIRECT($D$2),6,FALSE)))</f>
        <v>3s</v>
      </c>
      <c r="E6" s="240">
        <f t="shared" ref="E6:I6" ca="1" si="17">IF(ISERROR(VLOOKUP(DB6,INDIRECT($D$2),1,FALSE)),0,CONCATENATE(VLOOKUP(DB6,INDIRECT($D$2),5,FALSE),VLOOKUP(DB6,INDIRECT($D$2),6,FALSE)))</f>
        <v>0</v>
      </c>
      <c r="F6" s="240">
        <f t="shared" ca="1" si="17"/>
        <v>0</v>
      </c>
      <c r="G6" s="240">
        <f t="shared" ca="1" si="17"/>
        <v>0</v>
      </c>
      <c r="H6" s="240">
        <f t="shared" ca="1" si="17"/>
        <v>0</v>
      </c>
      <c r="I6" s="241">
        <f t="shared" ca="1" si="17"/>
        <v>0</v>
      </c>
      <c r="J6" s="18" t="str">
        <f>CONCATENATE(IF((ROW()-2)&lt;10,"0",""),ROW()-2)</f>
        <v>04</v>
      </c>
      <c r="K6" s="239">
        <f ca="1">IF(ISERROR(VLOOKUP(DH6,INDIRECT($D$2),1,FALSE)),0,CONCATENATE(VLOOKUP(DH6,INDIRECT($D$2),5,FALSE),VLOOKUP(DH6,INDIRECT($D$2),6,FALSE)))</f>
        <v>0</v>
      </c>
      <c r="L6" s="240">
        <f t="shared" ref="L6:L42" ca="1" si="18">IF(ISERROR(VLOOKUP(DI6,INDIRECT($D$2),1,FALSE)),0,CONCATENATE(VLOOKUP(DI6,INDIRECT($D$2),5,FALSE),VLOOKUP(DI6,INDIRECT($D$2),6,FALSE)))</f>
        <v>0</v>
      </c>
      <c r="M6" s="240">
        <f t="shared" ref="M6:M42" ca="1" si="19">IF(ISERROR(VLOOKUP(DJ6,INDIRECT($D$2),1,FALSE)),0,CONCATENATE(VLOOKUP(DJ6,INDIRECT($D$2),5,FALSE),VLOOKUP(DJ6,INDIRECT($D$2),6,FALSE)))</f>
        <v>0</v>
      </c>
      <c r="N6" s="240">
        <f t="shared" ref="N6:N42" ca="1" si="20">IF(ISERROR(VLOOKUP(DK6,INDIRECT($D$2),1,FALSE)),0,CONCATENATE(VLOOKUP(DK6,INDIRECT($D$2),5,FALSE),VLOOKUP(DK6,INDIRECT($D$2),6,FALSE)))</f>
        <v>0</v>
      </c>
      <c r="O6" s="240">
        <f t="shared" ref="O6:O42" ca="1" si="21">IF(ISERROR(VLOOKUP(DL6,INDIRECT($D$2),1,FALSE)),0,CONCATENATE(VLOOKUP(DL6,INDIRECT($D$2),5,FALSE),VLOOKUP(DL6,INDIRECT($D$2),6,FALSE)))</f>
        <v>0</v>
      </c>
      <c r="P6" s="241">
        <f t="shared" ref="P6:P42" ca="1" si="22">IF(ISERROR(VLOOKUP(DM6,INDIRECT($D$2),1,FALSE)),0,CONCATENATE(VLOOKUP(DM6,INDIRECT($D$2),5,FALSE),VLOOKUP(DM6,INDIRECT($D$2),6,FALSE)))</f>
        <v>0</v>
      </c>
      <c r="Q6" s="18" t="str">
        <f>CONCATENATE(IF((ROW()-2)&lt;10,"0",""),ROW()-2)</f>
        <v>04</v>
      </c>
      <c r="R6" s="239">
        <f ca="1">IF(ISERROR(VLOOKUP(DO6,INDIRECT($D$2),1,FALSE)),0,CONCATENATE(VLOOKUP(DO6,INDIRECT($D$2),5,FALSE),VLOOKUP(DO6,INDIRECT($D$2),6,FALSE)))</f>
        <v>0</v>
      </c>
      <c r="S6" s="240">
        <f t="shared" ref="S6:S42" ca="1" si="23">IF(ISERROR(VLOOKUP(DP6,INDIRECT($D$2),1,FALSE)),0,CONCATENATE(VLOOKUP(DP6,INDIRECT($D$2),5,FALSE),VLOOKUP(DP6,INDIRECT($D$2),6,FALSE)))</f>
        <v>0</v>
      </c>
      <c r="T6" s="240">
        <f t="shared" ref="T6:T42" ca="1" si="24">IF(ISERROR(VLOOKUP(DQ6,INDIRECT($D$2),1,FALSE)),0,CONCATENATE(VLOOKUP(DQ6,INDIRECT($D$2),5,FALSE),VLOOKUP(DQ6,INDIRECT($D$2),6,FALSE)))</f>
        <v>0</v>
      </c>
      <c r="U6" s="240">
        <f t="shared" ref="U6:U42" ca="1" si="25">IF(ISERROR(VLOOKUP(DR6,INDIRECT($D$2),1,FALSE)),0,CONCATENATE(VLOOKUP(DR6,INDIRECT($D$2),5,FALSE),VLOOKUP(DR6,INDIRECT($D$2),6,FALSE)))</f>
        <v>0</v>
      </c>
      <c r="V6" s="240">
        <f t="shared" ref="V6:V42" ca="1" si="26">IF(ISERROR(VLOOKUP(DS6,INDIRECT($D$2),1,FALSE)),0,CONCATENATE(VLOOKUP(DS6,INDIRECT($D$2),5,FALSE),VLOOKUP(DS6,INDIRECT($D$2),6,FALSE)))</f>
        <v>0</v>
      </c>
      <c r="W6" s="241">
        <f t="shared" ref="W6:W42" ca="1" si="27">IF(ISERROR(VLOOKUP(DT6,INDIRECT($D$2),1,FALSE)),0,CONCATENATE(VLOOKUP(DT6,INDIRECT($D$2),5,FALSE),VLOOKUP(DT6,INDIRECT($D$2),6,FALSE)))</f>
        <v>0</v>
      </c>
      <c r="X6" s="18" t="str">
        <f>CONCATENATE(IF((ROW()-2)&lt;10,"0",""),ROW()-2)</f>
        <v>04</v>
      </c>
      <c r="Y6" s="239">
        <f ca="1">IF(ISERROR(VLOOKUP(DV6,INDIRECT($D$2),1,FALSE)),0,CONCATENATE(VLOOKUP(DV6,INDIRECT($D$2),5,FALSE),VLOOKUP(DV6,INDIRECT($D$2),6,FALSE)))</f>
        <v>0</v>
      </c>
      <c r="Z6" s="240">
        <f t="shared" ref="Z6:Z42" ca="1" si="28">IF(ISERROR(VLOOKUP(DW6,INDIRECT($D$2),1,FALSE)),0,CONCATENATE(VLOOKUP(DW6,INDIRECT($D$2),5,FALSE),VLOOKUP(DW6,INDIRECT($D$2),6,FALSE)))</f>
        <v>0</v>
      </c>
      <c r="AA6" s="240">
        <f t="shared" ref="AA6:AA42" ca="1" si="29">IF(ISERROR(VLOOKUP(DX6,INDIRECT($D$2),1,FALSE)),0,CONCATENATE(VLOOKUP(DX6,INDIRECT($D$2),5,FALSE),VLOOKUP(DX6,INDIRECT($D$2),6,FALSE)))</f>
        <v>0</v>
      </c>
      <c r="AB6" s="240">
        <f t="shared" ref="AB6:AB42" ca="1" si="30">IF(ISERROR(VLOOKUP(DY6,INDIRECT($D$2),1,FALSE)),0,CONCATENATE(VLOOKUP(DY6,INDIRECT($D$2),5,FALSE),VLOOKUP(DY6,INDIRECT($D$2),6,FALSE)))</f>
        <v>0</v>
      </c>
      <c r="AC6" s="240">
        <f t="shared" ref="AC6:AC42" ca="1" si="31">IF(ISERROR(VLOOKUP(DZ6,INDIRECT($D$2),1,FALSE)),0,CONCATENATE(VLOOKUP(DZ6,INDIRECT($D$2),5,FALSE),VLOOKUP(DZ6,INDIRECT($D$2),6,FALSE)))</f>
        <v>0</v>
      </c>
      <c r="AD6" s="241">
        <f t="shared" ref="AD6:AD42" ca="1" si="32">IF(ISERROR(VLOOKUP(EA6,INDIRECT($D$2),1,FALSE)),0,CONCATENATE(VLOOKUP(EA6,INDIRECT($D$2),5,FALSE),VLOOKUP(EA6,INDIRECT($D$2),6,FALSE)))</f>
        <v>0</v>
      </c>
      <c r="AE6" s="18" t="str">
        <f>CONCATENATE(IF((ROW()-2)&lt;10,"0",""),ROW()-2)</f>
        <v>04</v>
      </c>
      <c r="AF6" s="239">
        <f ca="1">IF(ISERROR(VLOOKUP(EC6,INDIRECT($D$2),1,FALSE)),0,CONCATENATE(VLOOKUP(EC6,INDIRECT($D$2),5,FALSE),VLOOKUP(EC6,INDIRECT($D$2),6,FALSE)))</f>
        <v>0</v>
      </c>
      <c r="AG6" s="240">
        <f t="shared" ref="AG6:AG42" ca="1" si="33">IF(ISERROR(VLOOKUP(ED6,INDIRECT($D$2),1,FALSE)),0,CONCATENATE(VLOOKUP(ED6,INDIRECT($D$2),5,FALSE),VLOOKUP(ED6,INDIRECT($D$2),6,FALSE)))</f>
        <v>0</v>
      </c>
      <c r="AH6" s="240">
        <f t="shared" ref="AH6:AH42" ca="1" si="34">IF(ISERROR(VLOOKUP(EE6,INDIRECT($D$2),1,FALSE)),0,CONCATENATE(VLOOKUP(EE6,INDIRECT($D$2),5,FALSE),VLOOKUP(EE6,INDIRECT($D$2),6,FALSE)))</f>
        <v>0</v>
      </c>
      <c r="AI6" s="240">
        <f t="shared" ref="AI6:AI42" ca="1" si="35">IF(ISERROR(VLOOKUP(EF6,INDIRECT($D$2),1,FALSE)),0,CONCATENATE(VLOOKUP(EF6,INDIRECT($D$2),5,FALSE),VLOOKUP(EF6,INDIRECT($D$2),6,FALSE)))</f>
        <v>0</v>
      </c>
      <c r="AJ6" s="240">
        <f t="shared" ref="AJ6:AJ42" ca="1" si="36">IF(ISERROR(VLOOKUP(EG6,INDIRECT($D$2),1,FALSE)),0,CONCATENATE(VLOOKUP(EG6,INDIRECT($D$2),5,FALSE),VLOOKUP(EG6,INDIRECT($D$2),6,FALSE)))</f>
        <v>0</v>
      </c>
      <c r="AK6" s="241">
        <f t="shared" ref="AK6:AK42" ca="1" si="37">IF(ISERROR(VLOOKUP(EH6,INDIRECT($D$2),1,FALSE)),0,CONCATENATE(VLOOKUP(EH6,INDIRECT($D$2),5,FALSE),VLOOKUP(EH6,INDIRECT($D$2),6,FALSE)))</f>
        <v>0</v>
      </c>
      <c r="AL6" s="18" t="str">
        <f>CONCATENATE(IF((ROW()-2)&lt;10,"0",""),ROW()-2)</f>
        <v>04</v>
      </c>
      <c r="AM6" s="239">
        <f ca="1">IF(ISERROR(VLOOKUP(EJ6,INDIRECT($D$2),1,FALSE)),0,CONCATENATE(VLOOKUP(EJ6,INDIRECT($D$2),5,FALSE),VLOOKUP(EJ6,INDIRECT($D$2),6,FALSE)))</f>
        <v>0</v>
      </c>
      <c r="AN6" s="240">
        <f t="shared" ref="AN6:AN42" ca="1" si="38">IF(ISERROR(VLOOKUP(EK6,INDIRECT($D$2),1,FALSE)),0,CONCATENATE(VLOOKUP(EK6,INDIRECT($D$2),5,FALSE),VLOOKUP(EK6,INDIRECT($D$2),6,FALSE)))</f>
        <v>0</v>
      </c>
      <c r="AO6" s="240">
        <f t="shared" ref="AO6:AO42" ca="1" si="39">IF(ISERROR(VLOOKUP(EL6,INDIRECT($D$2),1,FALSE)),0,CONCATENATE(VLOOKUP(EL6,INDIRECT($D$2),5,FALSE),VLOOKUP(EL6,INDIRECT($D$2),6,FALSE)))</f>
        <v>0</v>
      </c>
      <c r="AP6" s="240">
        <f t="shared" ref="AP6:AP42" ca="1" si="40">IF(ISERROR(VLOOKUP(EM6,INDIRECT($D$2),1,FALSE)),0,CONCATENATE(VLOOKUP(EM6,INDIRECT($D$2),5,FALSE),VLOOKUP(EM6,INDIRECT($D$2),6,FALSE)))</f>
        <v>0</v>
      </c>
      <c r="AQ6" s="240">
        <f t="shared" ref="AQ6:AQ42" ca="1" si="41">IF(ISERROR(VLOOKUP(EN6,INDIRECT($D$2),1,FALSE)),0,CONCATENATE(VLOOKUP(EN6,INDIRECT($D$2),5,FALSE),VLOOKUP(EN6,INDIRECT($D$2),6,FALSE)))</f>
        <v>0</v>
      </c>
      <c r="AR6" s="241">
        <f t="shared" ref="AR6:AR42" ca="1" si="42">IF(ISERROR(VLOOKUP(EO6,INDIRECT($D$2),1,FALSE)),0,CONCATENATE(VLOOKUP(EO6,INDIRECT($D$2),5,FALSE),VLOOKUP(EO6,INDIRECT($D$2),6,FALSE)))</f>
        <v>0</v>
      </c>
      <c r="AS6" s="18" t="str">
        <f>CONCATENATE(IF((ROW()-2)&lt;10,"0",""),ROW()-2)</f>
        <v>04</v>
      </c>
      <c r="AT6" s="239">
        <f ca="1">IF(ISERROR(VLOOKUP(EQ6,INDIRECT($D$2),1,FALSE)),0,CONCATENATE(VLOOKUP(EQ6,INDIRECT($D$2),5,FALSE),VLOOKUP(EQ6,INDIRECT($D$2),6,FALSE)))</f>
        <v>0</v>
      </c>
      <c r="AU6" s="240">
        <f t="shared" ref="AU6:AU42" ca="1" si="43">IF(ISERROR(VLOOKUP(ER6,INDIRECT($D$2),1,FALSE)),0,CONCATENATE(VLOOKUP(ER6,INDIRECT($D$2),5,FALSE),VLOOKUP(ER6,INDIRECT($D$2),6,FALSE)))</f>
        <v>0</v>
      </c>
      <c r="AV6" s="240">
        <f t="shared" ref="AV6:AV42" ca="1" si="44">IF(ISERROR(VLOOKUP(ES6,INDIRECT($D$2),1,FALSE)),0,CONCATENATE(VLOOKUP(ES6,INDIRECT($D$2),5,FALSE),VLOOKUP(ES6,INDIRECT($D$2),6,FALSE)))</f>
        <v>0</v>
      </c>
      <c r="AW6" s="240">
        <f t="shared" ref="AW6:AW42" ca="1" si="45">IF(ISERROR(VLOOKUP(ET6,INDIRECT($D$2),1,FALSE)),0,CONCATENATE(VLOOKUP(ET6,INDIRECT($D$2),5,FALSE),VLOOKUP(ET6,INDIRECT($D$2),6,FALSE)))</f>
        <v>0</v>
      </c>
      <c r="AX6" s="240">
        <f t="shared" ref="AX6:AX42" ca="1" si="46">IF(ISERROR(VLOOKUP(EU6,INDIRECT($D$2),1,FALSE)),0,CONCATENATE(VLOOKUP(EU6,INDIRECT($D$2),5,FALSE),VLOOKUP(EU6,INDIRECT($D$2),6,FALSE)))</f>
        <v>0</v>
      </c>
      <c r="AY6" s="241">
        <f t="shared" ref="AY6:AY42" ca="1" si="47">IF(ISERROR(VLOOKUP(EV6,INDIRECT($D$2),1,FALSE)),0,CONCATENATE(VLOOKUP(EV6,INDIRECT($D$2),5,FALSE),VLOOKUP(EV6,INDIRECT($D$2),6,FALSE)))</f>
        <v>0</v>
      </c>
      <c r="AZ6" s="18" t="str">
        <f>CONCATENATE(IF((ROW()-2)&lt;10,"0",""),ROW()-2)</f>
        <v>04</v>
      </c>
      <c r="BA6" s="239">
        <f ca="1">IF(ISERROR(VLOOKUP(EX6,INDIRECT($D$2),1,FALSE)),0,CONCATENATE(VLOOKUP(EX6,INDIRECT($D$2),5,FALSE),VLOOKUP(EX6,INDIRECT($D$2),6,FALSE)))</f>
        <v>0</v>
      </c>
      <c r="BB6" s="240">
        <f t="shared" ref="BB6:BB42" ca="1" si="48">IF(ISERROR(VLOOKUP(EY6,INDIRECT($D$2),1,FALSE)),0,CONCATENATE(VLOOKUP(EY6,INDIRECT($D$2),5,FALSE),VLOOKUP(EY6,INDIRECT($D$2),6,FALSE)))</f>
        <v>0</v>
      </c>
      <c r="BC6" s="240">
        <f t="shared" ref="BC6:BC42" ca="1" si="49">IF(ISERROR(VLOOKUP(EZ6,INDIRECT($D$2),1,FALSE)),0,CONCATENATE(VLOOKUP(EZ6,INDIRECT($D$2),5,FALSE),VLOOKUP(EZ6,INDIRECT($D$2),6,FALSE)))</f>
        <v>0</v>
      </c>
      <c r="BD6" s="240">
        <f t="shared" ref="BD6:BD42" ca="1" si="50">IF(ISERROR(VLOOKUP(FA6,INDIRECT($D$2),1,FALSE)),0,CONCATENATE(VLOOKUP(FA6,INDIRECT($D$2),5,FALSE),VLOOKUP(FA6,INDIRECT($D$2),6,FALSE)))</f>
        <v>0</v>
      </c>
      <c r="BE6" s="240">
        <f t="shared" ref="BE6:BE42" ca="1" si="51">IF(ISERROR(VLOOKUP(FB6,INDIRECT($D$2),1,FALSE)),0,CONCATENATE(VLOOKUP(FB6,INDIRECT($D$2),5,FALSE),VLOOKUP(FB6,INDIRECT($D$2),6,FALSE)))</f>
        <v>0</v>
      </c>
      <c r="BF6" s="241">
        <f t="shared" ref="BF6:BF42" ca="1" si="52">IF(ISERROR(VLOOKUP(FC6,INDIRECT($D$2),1,FALSE)),0,CONCATENATE(VLOOKUP(FC6,INDIRECT($D$2),5,FALSE),VLOOKUP(FC6,INDIRECT($D$2),6,FALSE)))</f>
        <v>0</v>
      </c>
      <c r="BG6" s="18" t="str">
        <f>CONCATENATE(IF((ROW()-2)&lt;10,"0",""),ROW()-2)</f>
        <v>04</v>
      </c>
      <c r="BH6" s="239">
        <f ca="1">IF(ISERROR(VLOOKUP(FE6,INDIRECT($D$2),1,FALSE)),0,CONCATENATE(VLOOKUP(FE6,INDIRECT($D$2),5,FALSE),VLOOKUP(FE6,INDIRECT($D$2),6,FALSE)))</f>
        <v>0</v>
      </c>
      <c r="BI6" s="240">
        <f t="shared" ref="BI6:BI42" ca="1" si="53">IF(ISERROR(VLOOKUP(FF6,INDIRECT($D$2),1,FALSE)),0,CONCATENATE(VLOOKUP(FF6,INDIRECT($D$2),5,FALSE),VLOOKUP(FF6,INDIRECT($D$2),6,FALSE)))</f>
        <v>0</v>
      </c>
      <c r="BJ6" s="240">
        <f t="shared" ref="BJ6:BJ42" ca="1" si="54">IF(ISERROR(VLOOKUP(FG6,INDIRECT($D$2),1,FALSE)),0,CONCATENATE(VLOOKUP(FG6,INDIRECT($D$2),5,FALSE),VLOOKUP(FG6,INDIRECT($D$2),6,FALSE)))</f>
        <v>0</v>
      </c>
      <c r="BK6" s="240">
        <f t="shared" ref="BK6:BK42" ca="1" si="55">IF(ISERROR(VLOOKUP(FH6,INDIRECT($D$2),1,FALSE)),0,CONCATENATE(VLOOKUP(FH6,INDIRECT($D$2),5,FALSE),VLOOKUP(FH6,INDIRECT($D$2),6,FALSE)))</f>
        <v>0</v>
      </c>
      <c r="BL6" s="240">
        <f t="shared" ref="BL6:BL42" ca="1" si="56">IF(ISERROR(VLOOKUP(FI6,INDIRECT($D$2),1,FALSE)),0,CONCATENATE(VLOOKUP(FI6,INDIRECT($D$2),5,FALSE),VLOOKUP(FI6,INDIRECT($D$2),6,FALSE)))</f>
        <v>0</v>
      </c>
      <c r="BM6" s="241">
        <f t="shared" ref="BM6:BM42" ca="1" si="57">IF(ISERROR(VLOOKUP(FJ6,INDIRECT($D$2),1,FALSE)),0,CONCATENATE(VLOOKUP(FJ6,INDIRECT($D$2),5,FALSE),VLOOKUP(FJ6,INDIRECT($D$2),6,FALSE)))</f>
        <v>0</v>
      </c>
      <c r="CA6" s="16">
        <f t="shared" ca="1" si="8"/>
        <v>67</v>
      </c>
      <c r="CB6" s="16">
        <f t="shared" ca="1" si="9"/>
        <v>54</v>
      </c>
      <c r="CC6" s="16">
        <f t="shared" ca="1" si="10"/>
        <v>21</v>
      </c>
      <c r="CD6" s="16" t="str">
        <f t="shared" ca="1" si="11"/>
        <v>Intro!C</v>
      </c>
      <c r="CE6" s="16">
        <f t="shared" ca="1" si="12"/>
        <v>54</v>
      </c>
      <c r="CF6" s="16" t="str">
        <f t="shared" ca="1" si="13"/>
        <v>Intro!C54</v>
      </c>
      <c r="CH6" s="16" t="str">
        <f t="shared" ca="1" si="14"/>
        <v>Intro!C54:D75</v>
      </c>
      <c r="CI6" s="16" t="str">
        <f t="shared" ca="1" si="15"/>
        <v>070201_14e</v>
      </c>
      <c r="CJ6" s="16" t="str">
        <f t="shared" ca="1" si="6"/>
        <v>070201</v>
      </c>
      <c r="CK6" s="16">
        <f t="shared" ca="1" si="0"/>
        <v>2</v>
      </c>
      <c r="CL6" s="16">
        <f t="shared" ca="1" si="1"/>
        <v>7</v>
      </c>
      <c r="CM6" s="16">
        <f t="shared" ca="1" si="2"/>
        <v>1</v>
      </c>
      <c r="CN6" s="16">
        <f t="shared" ca="1" si="3"/>
        <v>14</v>
      </c>
      <c r="CO6" s="16" t="str">
        <f t="shared" ca="1" si="16"/>
        <v>e</v>
      </c>
      <c r="CY6" s="19" t="str">
        <f>CONCATENATE(IF((ROW()-2)&lt;10,"0",""),ROW()-2)</f>
        <v>04</v>
      </c>
      <c r="DA6" s="238" t="str">
        <f>CONCATENATE($CY6,$DA$3,DA$4)</f>
        <v>040201</v>
      </c>
      <c r="DB6" s="238" t="str">
        <f t="shared" ref="DB6:DF21" si="58">CONCATENATE($CY6,$DA$3,DB$4)</f>
        <v>040202</v>
      </c>
      <c r="DC6" s="238" t="str">
        <f t="shared" si="58"/>
        <v>040203</v>
      </c>
      <c r="DD6" s="238" t="str">
        <f t="shared" si="58"/>
        <v>040204</v>
      </c>
      <c r="DE6" s="238" t="str">
        <f t="shared" si="58"/>
        <v>040251</v>
      </c>
      <c r="DF6" s="238" t="str">
        <f t="shared" si="58"/>
        <v>040206</v>
      </c>
      <c r="DH6" s="238" t="str">
        <f>CONCATENATE($CY6,$DH$3,DH$4)</f>
        <v>040301</v>
      </c>
      <c r="DI6" s="238" t="str">
        <f t="shared" ref="DI6:DM21" si="59">CONCATENATE($CY6,$DH$3,DI$4)</f>
        <v>040302</v>
      </c>
      <c r="DJ6" s="238" t="str">
        <f t="shared" si="59"/>
        <v>040303</v>
      </c>
      <c r="DK6" s="238" t="str">
        <f t="shared" si="59"/>
        <v>040304</v>
      </c>
      <c r="DL6" s="238" t="str">
        <f t="shared" si="59"/>
        <v>040305</v>
      </c>
      <c r="DM6" s="238" t="str">
        <f t="shared" si="59"/>
        <v>040306</v>
      </c>
      <c r="DO6" s="238" t="str">
        <f>CONCATENATE($CY6,$DO$3,DO$4)</f>
        <v>040401</v>
      </c>
      <c r="DP6" s="238" t="str">
        <f t="shared" ref="DP6:DT21" si="60">CONCATENATE($CY6,$DO$3,DP$4)</f>
        <v>040402</v>
      </c>
      <c r="DQ6" s="238" t="str">
        <f t="shared" si="60"/>
        <v>040403</v>
      </c>
      <c r="DR6" s="238" t="str">
        <f t="shared" si="60"/>
        <v>040404</v>
      </c>
      <c r="DS6" s="238" t="str">
        <f t="shared" si="60"/>
        <v>040405</v>
      </c>
      <c r="DT6" s="238" t="str">
        <f t="shared" si="60"/>
        <v>040406</v>
      </c>
      <c r="DV6" s="238" t="str">
        <f>CONCATENATE($CY6,$DV$3,DV$4)</f>
        <v>040501</v>
      </c>
      <c r="DW6" s="238" t="str">
        <f t="shared" ref="DW6:EA21" si="61">CONCATENATE($CY6,$DV$3,DW$4)</f>
        <v>040502</v>
      </c>
      <c r="DX6" s="238" t="str">
        <f t="shared" si="61"/>
        <v>040503</v>
      </c>
      <c r="DY6" s="238" t="str">
        <f t="shared" si="61"/>
        <v>040504</v>
      </c>
      <c r="DZ6" s="238" t="str">
        <f t="shared" si="61"/>
        <v>040505</v>
      </c>
      <c r="EA6" s="238" t="str">
        <f t="shared" si="61"/>
        <v>040506</v>
      </c>
      <c r="EC6" s="238" t="str">
        <f>CONCATENATE($CY6,$EC$3,EC$4)</f>
        <v>040601</v>
      </c>
      <c r="ED6" s="238" t="str">
        <f t="shared" ref="ED6:EH21" si="62">CONCATENATE($CY6,$EC$3,ED$4)</f>
        <v>040602</v>
      </c>
      <c r="EE6" s="238" t="str">
        <f t="shared" si="62"/>
        <v>040603</v>
      </c>
      <c r="EF6" s="238" t="str">
        <f t="shared" si="62"/>
        <v>040604</v>
      </c>
      <c r="EG6" s="238" t="str">
        <f t="shared" si="62"/>
        <v>040605</v>
      </c>
      <c r="EH6" s="238" t="str">
        <f t="shared" si="62"/>
        <v>040606</v>
      </c>
      <c r="EJ6" s="238" t="str">
        <f>CONCATENATE($CY6,$EJ$3,EJ$4)</f>
        <v>040701</v>
      </c>
      <c r="EK6" s="238" t="str">
        <f t="shared" ref="EK6:EO21" si="63">CONCATENATE($CY6,$EJ$3,EK$4)</f>
        <v>040702</v>
      </c>
      <c r="EL6" s="238" t="str">
        <f t="shared" si="63"/>
        <v>040703</v>
      </c>
      <c r="EM6" s="238" t="str">
        <f t="shared" si="63"/>
        <v>040704</v>
      </c>
      <c r="EN6" s="238" t="str">
        <f t="shared" si="63"/>
        <v>040705</v>
      </c>
      <c r="EO6" s="238" t="str">
        <f t="shared" si="63"/>
        <v>040706</v>
      </c>
      <c r="EQ6" s="238" t="str">
        <f>CONCATENATE($CY6,$EQ$3,EQ$4)</f>
        <v>040801</v>
      </c>
      <c r="ER6" s="238" t="str">
        <f t="shared" ref="ER6:EV21" si="64">CONCATENATE($CY6,$EQ$3,ER$4)</f>
        <v>040802</v>
      </c>
      <c r="ES6" s="238" t="str">
        <f t="shared" si="64"/>
        <v>040803</v>
      </c>
      <c r="ET6" s="238" t="str">
        <f t="shared" si="64"/>
        <v>040804</v>
      </c>
      <c r="EU6" s="238" t="str">
        <f t="shared" si="64"/>
        <v>040805</v>
      </c>
      <c r="EV6" s="238" t="str">
        <f t="shared" si="64"/>
        <v>040806</v>
      </c>
      <c r="EX6" s="238" t="str">
        <f>CONCATENATE($CY6,$EX$3,EX$4)</f>
        <v>040901</v>
      </c>
      <c r="EY6" s="238" t="str">
        <f t="shared" ref="EY6:FC21" si="65">CONCATENATE($CY6,$EX$3,EY$4)</f>
        <v>040902</v>
      </c>
      <c r="EZ6" s="238" t="str">
        <f t="shared" si="65"/>
        <v>040903</v>
      </c>
      <c r="FA6" s="238" t="str">
        <f t="shared" si="65"/>
        <v>040904</v>
      </c>
      <c r="FB6" s="238" t="str">
        <f t="shared" si="65"/>
        <v>040905</v>
      </c>
      <c r="FC6" s="238" t="str">
        <f t="shared" si="65"/>
        <v>040906</v>
      </c>
      <c r="FE6" s="238" t="str">
        <f>CONCATENATE($CY6,$FE$3,FE$4)</f>
        <v>041001</v>
      </c>
      <c r="FF6" s="238" t="str">
        <f t="shared" ref="FF6:FJ21" si="66">CONCATENATE($CY6,$FE$3,FF$4)</f>
        <v>041002</v>
      </c>
      <c r="FG6" s="238" t="str">
        <f t="shared" si="66"/>
        <v>041003</v>
      </c>
      <c r="FH6" s="238" t="str">
        <f t="shared" si="66"/>
        <v>041004</v>
      </c>
      <c r="FI6" s="238" t="str">
        <f t="shared" si="66"/>
        <v>041005</v>
      </c>
      <c r="FJ6" s="238" t="str">
        <f t="shared" si="66"/>
        <v>041006</v>
      </c>
    </row>
    <row r="7" spans="1:166">
      <c r="B7" s="58" t="str">
        <f t="shared" ref="B7:B42" si="67">CONCATENATE(IF((ROW()-2)&lt;10,"0",""),ROW()-2)</f>
        <v>05</v>
      </c>
      <c r="C7" s="243"/>
      <c r="D7" s="251" t="str">
        <f t="shared" ref="D7:D42" ca="1" si="68">IF(ISERROR(VLOOKUP(DA7,INDIRECT($D$2),1,FALSE)),0,CONCATENATE(VLOOKUP(DA7,INDIRECT($D$2),5,FALSE),VLOOKUP(DA7,INDIRECT($D$2),6,FALSE)))</f>
        <v>5s</v>
      </c>
      <c r="E7" s="240">
        <f t="shared" ref="E7:E42" ca="1" si="69">IF(ISERROR(VLOOKUP(DB7,INDIRECT($D$2),1,FALSE)),0,CONCATENATE(VLOOKUP(DB7,INDIRECT($D$2),5,FALSE),VLOOKUP(DB7,INDIRECT($D$2),6,FALSE)))</f>
        <v>0</v>
      </c>
      <c r="F7" s="240">
        <f t="shared" ref="F7:F42" ca="1" si="70">IF(ISERROR(VLOOKUP(DC7,INDIRECT($D$2),1,FALSE)),0,CONCATENATE(VLOOKUP(DC7,INDIRECT($D$2),5,FALSE),VLOOKUP(DC7,INDIRECT($D$2),6,FALSE)))</f>
        <v>0</v>
      </c>
      <c r="G7" s="242">
        <f t="shared" ref="G7:G42" ca="1" si="71">IF(ISERROR(VLOOKUP(DD7,INDIRECT($D$2),1,FALSE)),0,CONCATENATE(VLOOKUP(DD7,INDIRECT($D$2),5,FALSE),VLOOKUP(DD7,INDIRECT($D$2),6,FALSE)))</f>
        <v>0</v>
      </c>
      <c r="H7" s="240">
        <f t="shared" ref="H7:H42" ca="1" si="72">IF(ISERROR(VLOOKUP(DE7,INDIRECT($D$2),1,FALSE)),0,CONCATENATE(VLOOKUP(DE7,INDIRECT($D$2),5,FALSE),VLOOKUP(DE7,INDIRECT($D$2),6,FALSE)))</f>
        <v>0</v>
      </c>
      <c r="I7" s="241">
        <f t="shared" ref="I7:I42" ca="1" si="73">IF(ISERROR(VLOOKUP(DF7,INDIRECT($D$2),1,FALSE)),0,CONCATENATE(VLOOKUP(DF7,INDIRECT($D$2),5,FALSE),VLOOKUP(DF7,INDIRECT($D$2),6,FALSE)))</f>
        <v>0</v>
      </c>
      <c r="J7" s="18" t="str">
        <f t="shared" ref="J7:J42" si="74">CONCATENATE(IF((ROW()-2)&lt;10,"0",""),ROW()-2)</f>
        <v>05</v>
      </c>
      <c r="K7" s="251">
        <f t="shared" ref="K7:K42" ca="1" si="75">IF(ISERROR(VLOOKUP(DH7,INDIRECT($D$2),1,FALSE)),0,CONCATENATE(VLOOKUP(DH7,INDIRECT($D$2),5,FALSE),VLOOKUP(DH7,INDIRECT($D$2),6,FALSE)))</f>
        <v>0</v>
      </c>
      <c r="L7" s="240">
        <f t="shared" ca="1" si="18"/>
        <v>0</v>
      </c>
      <c r="M7" s="240">
        <f t="shared" ca="1" si="19"/>
        <v>0</v>
      </c>
      <c r="N7" s="242">
        <f t="shared" ca="1" si="20"/>
        <v>0</v>
      </c>
      <c r="O7" s="240">
        <f t="shared" ca="1" si="21"/>
        <v>0</v>
      </c>
      <c r="P7" s="241">
        <f t="shared" ca="1" si="22"/>
        <v>0</v>
      </c>
      <c r="Q7" s="18" t="str">
        <f t="shared" ref="Q7:Q42" si="76">CONCATENATE(IF((ROW()-2)&lt;10,"0",""),ROW()-2)</f>
        <v>05</v>
      </c>
      <c r="R7" s="251">
        <f t="shared" ref="R7:R42" ca="1" si="77">IF(ISERROR(VLOOKUP(DO7,INDIRECT($D$2),1,FALSE)),0,CONCATENATE(VLOOKUP(DO7,INDIRECT($D$2),5,FALSE),VLOOKUP(DO7,INDIRECT($D$2),6,FALSE)))</f>
        <v>0</v>
      </c>
      <c r="S7" s="240">
        <f t="shared" ca="1" si="23"/>
        <v>0</v>
      </c>
      <c r="T7" s="240">
        <f t="shared" ca="1" si="24"/>
        <v>0</v>
      </c>
      <c r="U7" s="242">
        <f t="shared" ca="1" si="25"/>
        <v>0</v>
      </c>
      <c r="V7" s="240">
        <f t="shared" ca="1" si="26"/>
        <v>0</v>
      </c>
      <c r="W7" s="241">
        <f t="shared" ca="1" si="27"/>
        <v>0</v>
      </c>
      <c r="X7" s="18" t="str">
        <f t="shared" ref="X7:X42" si="78">CONCATENATE(IF((ROW()-2)&lt;10,"0",""),ROW()-2)</f>
        <v>05</v>
      </c>
      <c r="Y7" s="251">
        <f t="shared" ref="Y7:Y42" ca="1" si="79">IF(ISERROR(VLOOKUP(DV7,INDIRECT($D$2),1,FALSE)),0,CONCATENATE(VLOOKUP(DV7,INDIRECT($D$2),5,FALSE),VLOOKUP(DV7,INDIRECT($D$2),6,FALSE)))</f>
        <v>0</v>
      </c>
      <c r="Z7" s="240">
        <f t="shared" ca="1" si="28"/>
        <v>0</v>
      </c>
      <c r="AA7" s="240">
        <f t="shared" ca="1" si="29"/>
        <v>0</v>
      </c>
      <c r="AB7" s="242">
        <f t="shared" ca="1" si="30"/>
        <v>0</v>
      </c>
      <c r="AC7" s="240">
        <f t="shared" ca="1" si="31"/>
        <v>0</v>
      </c>
      <c r="AD7" s="241">
        <f t="shared" ca="1" si="32"/>
        <v>0</v>
      </c>
      <c r="AE7" s="18" t="str">
        <f t="shared" ref="AE7:AE42" si="80">CONCATENATE(IF((ROW()-2)&lt;10,"0",""),ROW()-2)</f>
        <v>05</v>
      </c>
      <c r="AF7" s="251">
        <f t="shared" ref="AF7:AF42" ca="1" si="81">IF(ISERROR(VLOOKUP(EC7,INDIRECT($D$2),1,FALSE)),0,CONCATENATE(VLOOKUP(EC7,INDIRECT($D$2),5,FALSE),VLOOKUP(EC7,INDIRECT($D$2),6,FALSE)))</f>
        <v>0</v>
      </c>
      <c r="AG7" s="240">
        <f t="shared" ca="1" si="33"/>
        <v>0</v>
      </c>
      <c r="AH7" s="240">
        <f t="shared" ca="1" si="34"/>
        <v>0</v>
      </c>
      <c r="AI7" s="242">
        <f t="shared" ca="1" si="35"/>
        <v>0</v>
      </c>
      <c r="AJ7" s="240">
        <f t="shared" ca="1" si="36"/>
        <v>0</v>
      </c>
      <c r="AK7" s="241">
        <f t="shared" ca="1" si="37"/>
        <v>0</v>
      </c>
      <c r="AL7" s="18" t="str">
        <f t="shared" ref="AL7:AL42" si="82">CONCATENATE(IF((ROW()-2)&lt;10,"0",""),ROW()-2)</f>
        <v>05</v>
      </c>
      <c r="AM7" s="251">
        <f t="shared" ref="AM7:AM42" ca="1" si="83">IF(ISERROR(VLOOKUP(EJ7,INDIRECT($D$2),1,FALSE)),0,CONCATENATE(VLOOKUP(EJ7,INDIRECT($D$2),5,FALSE),VLOOKUP(EJ7,INDIRECT($D$2),6,FALSE)))</f>
        <v>0</v>
      </c>
      <c r="AN7" s="240">
        <f t="shared" ca="1" si="38"/>
        <v>0</v>
      </c>
      <c r="AO7" s="240">
        <f t="shared" ca="1" si="39"/>
        <v>0</v>
      </c>
      <c r="AP7" s="242">
        <f t="shared" ca="1" si="40"/>
        <v>0</v>
      </c>
      <c r="AQ7" s="240">
        <f t="shared" ca="1" si="41"/>
        <v>0</v>
      </c>
      <c r="AR7" s="241">
        <f t="shared" ca="1" si="42"/>
        <v>0</v>
      </c>
      <c r="AS7" s="18" t="str">
        <f t="shared" ref="AS7:AS42" si="84">CONCATENATE(IF((ROW()-2)&lt;10,"0",""),ROW()-2)</f>
        <v>05</v>
      </c>
      <c r="AT7" s="251">
        <f t="shared" ref="AT7:AT42" ca="1" si="85">IF(ISERROR(VLOOKUP(EQ7,INDIRECT($D$2),1,FALSE)),0,CONCATENATE(VLOOKUP(EQ7,INDIRECT($D$2),5,FALSE),VLOOKUP(EQ7,INDIRECT($D$2),6,FALSE)))</f>
        <v>0</v>
      </c>
      <c r="AU7" s="240">
        <f t="shared" ca="1" si="43"/>
        <v>0</v>
      </c>
      <c r="AV7" s="240">
        <f t="shared" ca="1" si="44"/>
        <v>0</v>
      </c>
      <c r="AW7" s="242">
        <f t="shared" ca="1" si="45"/>
        <v>0</v>
      </c>
      <c r="AX7" s="240">
        <f t="shared" ca="1" si="46"/>
        <v>0</v>
      </c>
      <c r="AY7" s="241">
        <f t="shared" ca="1" si="47"/>
        <v>0</v>
      </c>
      <c r="AZ7" s="18" t="str">
        <f t="shared" ref="AZ7:AZ42" si="86">CONCATENATE(IF((ROW()-2)&lt;10,"0",""),ROW()-2)</f>
        <v>05</v>
      </c>
      <c r="BA7" s="251">
        <f t="shared" ref="BA7:BA42" ca="1" si="87">IF(ISERROR(VLOOKUP(EX7,INDIRECT($D$2),1,FALSE)),0,CONCATENATE(VLOOKUP(EX7,INDIRECT($D$2),5,FALSE),VLOOKUP(EX7,INDIRECT($D$2),6,FALSE)))</f>
        <v>0</v>
      </c>
      <c r="BB7" s="240">
        <f t="shared" ca="1" si="48"/>
        <v>0</v>
      </c>
      <c r="BC7" s="240">
        <f t="shared" ca="1" si="49"/>
        <v>0</v>
      </c>
      <c r="BD7" s="242">
        <f t="shared" ca="1" si="50"/>
        <v>0</v>
      </c>
      <c r="BE7" s="240">
        <f t="shared" ca="1" si="51"/>
        <v>0</v>
      </c>
      <c r="BF7" s="241">
        <f t="shared" ca="1" si="52"/>
        <v>0</v>
      </c>
      <c r="BG7" s="18" t="str">
        <f t="shared" ref="BG7:BG42" si="88">CONCATENATE(IF((ROW()-2)&lt;10,"0",""),ROW()-2)</f>
        <v>05</v>
      </c>
      <c r="BH7" s="251">
        <f t="shared" ref="BH7:BH42" ca="1" si="89">IF(ISERROR(VLOOKUP(FE7,INDIRECT($D$2),1,FALSE)),0,CONCATENATE(VLOOKUP(FE7,INDIRECT($D$2),5,FALSE),VLOOKUP(FE7,INDIRECT($D$2),6,FALSE)))</f>
        <v>0</v>
      </c>
      <c r="BI7" s="240">
        <f t="shared" ca="1" si="53"/>
        <v>0</v>
      </c>
      <c r="BJ7" s="240">
        <f t="shared" ca="1" si="54"/>
        <v>0</v>
      </c>
      <c r="BK7" s="242">
        <f t="shared" ca="1" si="55"/>
        <v>0</v>
      </c>
      <c r="BL7" s="240">
        <f t="shared" ca="1" si="56"/>
        <v>0</v>
      </c>
      <c r="BM7" s="241">
        <f t="shared" ca="1" si="57"/>
        <v>0</v>
      </c>
      <c r="CA7" s="16">
        <f t="shared" ca="1" si="8"/>
        <v>67</v>
      </c>
      <c r="CB7" s="16">
        <f t="shared" ca="1" si="9"/>
        <v>55</v>
      </c>
      <c r="CC7" s="16">
        <f t="shared" ca="1" si="10"/>
        <v>20</v>
      </c>
      <c r="CD7" s="16" t="str">
        <f t="shared" ca="1" si="11"/>
        <v>Intro!C</v>
      </c>
      <c r="CE7" s="16">
        <f t="shared" ca="1" si="12"/>
        <v>55</v>
      </c>
      <c r="CF7" s="16" t="str">
        <f t="shared" ca="1" si="13"/>
        <v>Intro!C55</v>
      </c>
      <c r="CH7" s="16" t="str">
        <f t="shared" ca="1" si="14"/>
        <v>Intro!C55:D75</v>
      </c>
      <c r="CI7" s="16" t="str">
        <f t="shared" ca="1" si="15"/>
        <v>080201_14e</v>
      </c>
      <c r="CJ7" s="16" t="str">
        <f t="shared" ca="1" si="6"/>
        <v>080201</v>
      </c>
      <c r="CK7" s="16">
        <f t="shared" ca="1" si="0"/>
        <v>2</v>
      </c>
      <c r="CL7" s="16">
        <f t="shared" ca="1" si="1"/>
        <v>8</v>
      </c>
      <c r="CM7" s="16">
        <f t="shared" ca="1" si="2"/>
        <v>1</v>
      </c>
      <c r="CN7" s="16">
        <f t="shared" ca="1" si="3"/>
        <v>14</v>
      </c>
      <c r="CO7" s="16" t="str">
        <f t="shared" ca="1" si="16"/>
        <v>e</v>
      </c>
      <c r="CY7" s="19" t="str">
        <f t="shared" ref="CY7:CY45" si="90">CONCATENATE(IF((ROW()-2)&lt;10,"0",""),ROW()-2)</f>
        <v>05</v>
      </c>
      <c r="DA7" s="238" t="str">
        <f t="shared" ref="DA7:DF45" si="91">CONCATENATE($CY7,$DA$3,DA$4)</f>
        <v>050201</v>
      </c>
      <c r="DB7" s="238" t="str">
        <f t="shared" si="58"/>
        <v>050202</v>
      </c>
      <c r="DC7" s="238" t="str">
        <f t="shared" si="58"/>
        <v>050203</v>
      </c>
      <c r="DD7" s="238" t="str">
        <f t="shared" si="58"/>
        <v>050204</v>
      </c>
      <c r="DE7" s="238" t="str">
        <f t="shared" si="58"/>
        <v>050251</v>
      </c>
      <c r="DF7" s="238" t="str">
        <f t="shared" si="58"/>
        <v>050206</v>
      </c>
      <c r="DH7" s="238" t="str">
        <f t="shared" ref="DH7:DM45" si="92">CONCATENATE($CY7,$DH$3,DH$4)</f>
        <v>050301</v>
      </c>
      <c r="DI7" s="238" t="str">
        <f t="shared" si="59"/>
        <v>050302</v>
      </c>
      <c r="DJ7" s="238" t="str">
        <f t="shared" si="59"/>
        <v>050303</v>
      </c>
      <c r="DK7" s="238" t="str">
        <f t="shared" si="59"/>
        <v>050304</v>
      </c>
      <c r="DL7" s="238" t="str">
        <f t="shared" si="59"/>
        <v>050305</v>
      </c>
      <c r="DM7" s="238" t="str">
        <f t="shared" si="59"/>
        <v>050306</v>
      </c>
      <c r="DO7" s="238" t="str">
        <f t="shared" ref="DO7:DT45" si="93">CONCATENATE($CY7,$DO$3,DO$4)</f>
        <v>050401</v>
      </c>
      <c r="DP7" s="238" t="str">
        <f t="shared" si="60"/>
        <v>050402</v>
      </c>
      <c r="DQ7" s="238" t="str">
        <f t="shared" si="60"/>
        <v>050403</v>
      </c>
      <c r="DR7" s="238" t="str">
        <f t="shared" si="60"/>
        <v>050404</v>
      </c>
      <c r="DS7" s="238" t="str">
        <f t="shared" si="60"/>
        <v>050405</v>
      </c>
      <c r="DT7" s="238" t="str">
        <f t="shared" si="60"/>
        <v>050406</v>
      </c>
      <c r="DV7" s="238" t="str">
        <f t="shared" ref="DV7:EA45" si="94">CONCATENATE($CY7,$DV$3,DV$4)</f>
        <v>050501</v>
      </c>
      <c r="DW7" s="238" t="str">
        <f t="shared" si="61"/>
        <v>050502</v>
      </c>
      <c r="DX7" s="238" t="str">
        <f t="shared" si="61"/>
        <v>050503</v>
      </c>
      <c r="DY7" s="238" t="str">
        <f t="shared" si="61"/>
        <v>050504</v>
      </c>
      <c r="DZ7" s="238" t="str">
        <f t="shared" si="61"/>
        <v>050505</v>
      </c>
      <c r="EA7" s="238" t="str">
        <f t="shared" si="61"/>
        <v>050506</v>
      </c>
      <c r="EC7" s="238" t="str">
        <f t="shared" ref="EC7:EH45" si="95">CONCATENATE($CY7,$EC$3,EC$4)</f>
        <v>050601</v>
      </c>
      <c r="ED7" s="238" t="str">
        <f t="shared" si="62"/>
        <v>050602</v>
      </c>
      <c r="EE7" s="238" t="str">
        <f t="shared" si="62"/>
        <v>050603</v>
      </c>
      <c r="EF7" s="238" t="str">
        <f t="shared" si="62"/>
        <v>050604</v>
      </c>
      <c r="EG7" s="238" t="str">
        <f t="shared" si="62"/>
        <v>050605</v>
      </c>
      <c r="EH7" s="238" t="str">
        <f t="shared" si="62"/>
        <v>050606</v>
      </c>
      <c r="EJ7" s="238" t="str">
        <f t="shared" ref="EJ7:EO45" si="96">CONCATENATE($CY7,$EJ$3,EJ$4)</f>
        <v>050701</v>
      </c>
      <c r="EK7" s="238" t="str">
        <f t="shared" si="63"/>
        <v>050702</v>
      </c>
      <c r="EL7" s="238" t="str">
        <f t="shared" si="63"/>
        <v>050703</v>
      </c>
      <c r="EM7" s="238" t="str">
        <f t="shared" si="63"/>
        <v>050704</v>
      </c>
      <c r="EN7" s="238" t="str">
        <f t="shared" si="63"/>
        <v>050705</v>
      </c>
      <c r="EO7" s="238" t="str">
        <f t="shared" si="63"/>
        <v>050706</v>
      </c>
      <c r="EQ7" s="238" t="str">
        <f t="shared" ref="EQ7:EV45" si="97">CONCATENATE($CY7,$EQ$3,EQ$4)</f>
        <v>050801</v>
      </c>
      <c r="ER7" s="238" t="str">
        <f t="shared" si="64"/>
        <v>050802</v>
      </c>
      <c r="ES7" s="238" t="str">
        <f t="shared" si="64"/>
        <v>050803</v>
      </c>
      <c r="ET7" s="238" t="str">
        <f t="shared" si="64"/>
        <v>050804</v>
      </c>
      <c r="EU7" s="238" t="str">
        <f t="shared" si="64"/>
        <v>050805</v>
      </c>
      <c r="EV7" s="238" t="str">
        <f t="shared" si="64"/>
        <v>050806</v>
      </c>
      <c r="EX7" s="238" t="str">
        <f t="shared" ref="EX7:FC45" si="98">CONCATENATE($CY7,$EX$3,EX$4)</f>
        <v>050901</v>
      </c>
      <c r="EY7" s="238" t="str">
        <f t="shared" si="65"/>
        <v>050902</v>
      </c>
      <c r="EZ7" s="238" t="str">
        <f t="shared" si="65"/>
        <v>050903</v>
      </c>
      <c r="FA7" s="238" t="str">
        <f t="shared" si="65"/>
        <v>050904</v>
      </c>
      <c r="FB7" s="238" t="str">
        <f t="shared" si="65"/>
        <v>050905</v>
      </c>
      <c r="FC7" s="238" t="str">
        <f t="shared" si="65"/>
        <v>050906</v>
      </c>
      <c r="FE7" s="238" t="str">
        <f t="shared" ref="FE7:FJ45" si="99">CONCATENATE($CY7,$FE$3,FE$4)</f>
        <v>051001</v>
      </c>
      <c r="FF7" s="238" t="str">
        <f t="shared" si="66"/>
        <v>051002</v>
      </c>
      <c r="FG7" s="238" t="str">
        <f t="shared" si="66"/>
        <v>051003</v>
      </c>
      <c r="FH7" s="238" t="str">
        <f t="shared" si="66"/>
        <v>051004</v>
      </c>
      <c r="FI7" s="238" t="str">
        <f t="shared" si="66"/>
        <v>051005</v>
      </c>
      <c r="FJ7" s="238" t="str">
        <f t="shared" si="66"/>
        <v>051006</v>
      </c>
    </row>
    <row r="8" spans="1:166">
      <c r="B8" s="58" t="str">
        <f t="shared" si="67"/>
        <v>06</v>
      </c>
      <c r="C8" s="243"/>
      <c r="D8" s="251" t="str">
        <f t="shared" ca="1" si="68"/>
        <v>10e</v>
      </c>
      <c r="E8" s="240">
        <f t="shared" ca="1" si="69"/>
        <v>0</v>
      </c>
      <c r="F8" s="240">
        <f t="shared" ca="1" si="70"/>
        <v>0</v>
      </c>
      <c r="G8" s="242">
        <f t="shared" ca="1" si="71"/>
        <v>0</v>
      </c>
      <c r="H8" s="240">
        <f t="shared" ca="1" si="72"/>
        <v>0</v>
      </c>
      <c r="I8" s="241">
        <f t="shared" ca="1" si="73"/>
        <v>0</v>
      </c>
      <c r="J8" s="18" t="str">
        <f t="shared" si="74"/>
        <v>06</v>
      </c>
      <c r="K8" s="251" t="str">
        <f t="shared" ca="1" si="75"/>
        <v>5s</v>
      </c>
      <c r="L8" s="240">
        <f t="shared" ca="1" si="18"/>
        <v>0</v>
      </c>
      <c r="M8" s="240">
        <f t="shared" ca="1" si="19"/>
        <v>0</v>
      </c>
      <c r="N8" s="242">
        <f t="shared" ca="1" si="20"/>
        <v>0</v>
      </c>
      <c r="O8" s="240">
        <f t="shared" ca="1" si="21"/>
        <v>0</v>
      </c>
      <c r="P8" s="241">
        <f t="shared" ca="1" si="22"/>
        <v>0</v>
      </c>
      <c r="Q8" s="18" t="str">
        <f t="shared" si="76"/>
        <v>06</v>
      </c>
      <c r="R8" s="251">
        <f t="shared" ca="1" si="77"/>
        <v>0</v>
      </c>
      <c r="S8" s="240">
        <f t="shared" ca="1" si="23"/>
        <v>0</v>
      </c>
      <c r="T8" s="240">
        <f t="shared" ca="1" si="24"/>
        <v>0</v>
      </c>
      <c r="U8" s="242">
        <f t="shared" ca="1" si="25"/>
        <v>0</v>
      </c>
      <c r="V8" s="240">
        <f t="shared" ca="1" si="26"/>
        <v>0</v>
      </c>
      <c r="W8" s="241">
        <f t="shared" ca="1" si="27"/>
        <v>0</v>
      </c>
      <c r="X8" s="18" t="str">
        <f t="shared" si="78"/>
        <v>06</v>
      </c>
      <c r="Y8" s="251">
        <f t="shared" ca="1" si="79"/>
        <v>0</v>
      </c>
      <c r="Z8" s="240">
        <f t="shared" ca="1" si="28"/>
        <v>0</v>
      </c>
      <c r="AA8" s="240">
        <f t="shared" ca="1" si="29"/>
        <v>0</v>
      </c>
      <c r="AB8" s="242">
        <f t="shared" ca="1" si="30"/>
        <v>0</v>
      </c>
      <c r="AC8" s="240">
        <f t="shared" ca="1" si="31"/>
        <v>0</v>
      </c>
      <c r="AD8" s="241">
        <f t="shared" ca="1" si="32"/>
        <v>0</v>
      </c>
      <c r="AE8" s="18" t="str">
        <f t="shared" si="80"/>
        <v>06</v>
      </c>
      <c r="AF8" s="251">
        <f t="shared" ca="1" si="81"/>
        <v>0</v>
      </c>
      <c r="AG8" s="240">
        <f t="shared" ca="1" si="33"/>
        <v>0</v>
      </c>
      <c r="AH8" s="240">
        <f t="shared" ca="1" si="34"/>
        <v>0</v>
      </c>
      <c r="AI8" s="242">
        <f t="shared" ca="1" si="35"/>
        <v>0</v>
      </c>
      <c r="AJ8" s="240">
        <f t="shared" ca="1" si="36"/>
        <v>0</v>
      </c>
      <c r="AK8" s="241">
        <f t="shared" ca="1" si="37"/>
        <v>0</v>
      </c>
      <c r="AL8" s="18" t="str">
        <f t="shared" si="82"/>
        <v>06</v>
      </c>
      <c r="AM8" s="251">
        <f t="shared" ca="1" si="83"/>
        <v>0</v>
      </c>
      <c r="AN8" s="240">
        <f t="shared" ca="1" si="38"/>
        <v>0</v>
      </c>
      <c r="AO8" s="240">
        <f t="shared" ca="1" si="39"/>
        <v>0</v>
      </c>
      <c r="AP8" s="242">
        <f t="shared" ca="1" si="40"/>
        <v>0</v>
      </c>
      <c r="AQ8" s="240">
        <f t="shared" ca="1" si="41"/>
        <v>0</v>
      </c>
      <c r="AR8" s="241">
        <f t="shared" ca="1" si="42"/>
        <v>0</v>
      </c>
      <c r="AS8" s="18" t="str">
        <f t="shared" si="84"/>
        <v>06</v>
      </c>
      <c r="AT8" s="251">
        <f t="shared" ca="1" si="85"/>
        <v>0</v>
      </c>
      <c r="AU8" s="240">
        <f t="shared" ca="1" si="43"/>
        <v>0</v>
      </c>
      <c r="AV8" s="240">
        <f t="shared" ca="1" si="44"/>
        <v>0</v>
      </c>
      <c r="AW8" s="242">
        <f t="shared" ca="1" si="45"/>
        <v>0</v>
      </c>
      <c r="AX8" s="240">
        <f t="shared" ca="1" si="46"/>
        <v>0</v>
      </c>
      <c r="AY8" s="241">
        <f t="shared" ca="1" si="47"/>
        <v>0</v>
      </c>
      <c r="AZ8" s="18" t="str">
        <f t="shared" si="86"/>
        <v>06</v>
      </c>
      <c r="BA8" s="251">
        <f t="shared" ca="1" si="87"/>
        <v>0</v>
      </c>
      <c r="BB8" s="240">
        <f t="shared" ca="1" si="48"/>
        <v>0</v>
      </c>
      <c r="BC8" s="240">
        <f t="shared" ca="1" si="49"/>
        <v>0</v>
      </c>
      <c r="BD8" s="242">
        <f t="shared" ca="1" si="50"/>
        <v>0</v>
      </c>
      <c r="BE8" s="240">
        <f t="shared" ca="1" si="51"/>
        <v>0</v>
      </c>
      <c r="BF8" s="241">
        <f t="shared" ca="1" si="52"/>
        <v>0</v>
      </c>
      <c r="BG8" s="18" t="str">
        <f t="shared" si="88"/>
        <v>06</v>
      </c>
      <c r="BH8" s="251">
        <f t="shared" ca="1" si="89"/>
        <v>0</v>
      </c>
      <c r="BI8" s="240">
        <f t="shared" ca="1" si="53"/>
        <v>0</v>
      </c>
      <c r="BJ8" s="240">
        <f t="shared" ca="1" si="54"/>
        <v>0</v>
      </c>
      <c r="BK8" s="242">
        <f t="shared" ca="1" si="55"/>
        <v>0</v>
      </c>
      <c r="BL8" s="240">
        <f t="shared" ca="1" si="56"/>
        <v>0</v>
      </c>
      <c r="BM8" s="241">
        <f t="shared" ca="1" si="57"/>
        <v>0</v>
      </c>
      <c r="CA8" s="16">
        <f t="shared" ca="1" si="8"/>
        <v>67</v>
      </c>
      <c r="CB8" s="16">
        <f t="shared" ca="1" si="9"/>
        <v>56</v>
      </c>
      <c r="CC8" s="16">
        <f t="shared" ca="1" si="10"/>
        <v>19</v>
      </c>
      <c r="CD8" s="16" t="str">
        <f t="shared" ca="1" si="11"/>
        <v>Intro!C</v>
      </c>
      <c r="CE8" s="16">
        <f t="shared" ca="1" si="12"/>
        <v>56</v>
      </c>
      <c r="CF8" s="16" t="str">
        <f t="shared" ca="1" si="13"/>
        <v>Intro!C56</v>
      </c>
      <c r="CH8" s="16" t="str">
        <f t="shared" ca="1" si="14"/>
        <v>Intro!C56:D75</v>
      </c>
      <c r="CI8" s="16" t="str">
        <f t="shared" ca="1" si="15"/>
        <v>080202_06e</v>
      </c>
      <c r="CJ8" s="16" t="str">
        <f t="shared" ca="1" si="6"/>
        <v>080202</v>
      </c>
      <c r="CK8" s="16">
        <f t="shared" ca="1" si="0"/>
        <v>2</v>
      </c>
      <c r="CL8" s="16">
        <f t="shared" ca="1" si="1"/>
        <v>8</v>
      </c>
      <c r="CM8" s="16">
        <f t="shared" ca="1" si="2"/>
        <v>2</v>
      </c>
      <c r="CN8" s="16">
        <f t="shared" ca="1" si="3"/>
        <v>6</v>
      </c>
      <c r="CO8" s="16" t="str">
        <f t="shared" ca="1" si="16"/>
        <v>e</v>
      </c>
      <c r="CY8" s="19" t="str">
        <f t="shared" si="90"/>
        <v>06</v>
      </c>
      <c r="DA8" s="238" t="str">
        <f t="shared" si="91"/>
        <v>060201</v>
      </c>
      <c r="DB8" s="238" t="str">
        <f t="shared" si="58"/>
        <v>060202</v>
      </c>
      <c r="DC8" s="238" t="str">
        <f t="shared" si="58"/>
        <v>060203</v>
      </c>
      <c r="DD8" s="238" t="str">
        <f t="shared" si="58"/>
        <v>060204</v>
      </c>
      <c r="DE8" s="238" t="str">
        <f t="shared" si="58"/>
        <v>060251</v>
      </c>
      <c r="DF8" s="238" t="str">
        <f t="shared" si="58"/>
        <v>060206</v>
      </c>
      <c r="DH8" s="238" t="str">
        <f t="shared" si="92"/>
        <v>060301</v>
      </c>
      <c r="DI8" s="238" t="str">
        <f t="shared" si="59"/>
        <v>060302</v>
      </c>
      <c r="DJ8" s="238" t="str">
        <f t="shared" si="59"/>
        <v>060303</v>
      </c>
      <c r="DK8" s="238" t="str">
        <f t="shared" si="59"/>
        <v>060304</v>
      </c>
      <c r="DL8" s="238" t="str">
        <f t="shared" si="59"/>
        <v>060305</v>
      </c>
      <c r="DM8" s="238" t="str">
        <f t="shared" si="59"/>
        <v>060306</v>
      </c>
      <c r="DO8" s="238" t="str">
        <f t="shared" si="93"/>
        <v>060401</v>
      </c>
      <c r="DP8" s="238" t="str">
        <f t="shared" si="60"/>
        <v>060402</v>
      </c>
      <c r="DQ8" s="238" t="str">
        <f t="shared" si="60"/>
        <v>060403</v>
      </c>
      <c r="DR8" s="238" t="str">
        <f t="shared" si="60"/>
        <v>060404</v>
      </c>
      <c r="DS8" s="238" t="str">
        <f t="shared" si="60"/>
        <v>060405</v>
      </c>
      <c r="DT8" s="238" t="str">
        <f t="shared" si="60"/>
        <v>060406</v>
      </c>
      <c r="DV8" s="238" t="str">
        <f t="shared" si="94"/>
        <v>060501</v>
      </c>
      <c r="DW8" s="238" t="str">
        <f t="shared" si="61"/>
        <v>060502</v>
      </c>
      <c r="DX8" s="238" t="str">
        <f t="shared" si="61"/>
        <v>060503</v>
      </c>
      <c r="DY8" s="238" t="str">
        <f t="shared" si="61"/>
        <v>060504</v>
      </c>
      <c r="DZ8" s="238" t="str">
        <f t="shared" si="61"/>
        <v>060505</v>
      </c>
      <c r="EA8" s="238" t="str">
        <f t="shared" si="61"/>
        <v>060506</v>
      </c>
      <c r="EC8" s="238" t="str">
        <f t="shared" si="95"/>
        <v>060601</v>
      </c>
      <c r="ED8" s="238" t="str">
        <f t="shared" si="62"/>
        <v>060602</v>
      </c>
      <c r="EE8" s="238" t="str">
        <f t="shared" si="62"/>
        <v>060603</v>
      </c>
      <c r="EF8" s="238" t="str">
        <f t="shared" si="62"/>
        <v>060604</v>
      </c>
      <c r="EG8" s="238" t="str">
        <f t="shared" si="62"/>
        <v>060605</v>
      </c>
      <c r="EH8" s="238" t="str">
        <f t="shared" si="62"/>
        <v>060606</v>
      </c>
      <c r="EJ8" s="238" t="str">
        <f t="shared" si="96"/>
        <v>060701</v>
      </c>
      <c r="EK8" s="238" t="str">
        <f t="shared" si="63"/>
        <v>060702</v>
      </c>
      <c r="EL8" s="238" t="str">
        <f t="shared" si="63"/>
        <v>060703</v>
      </c>
      <c r="EM8" s="238" t="str">
        <f t="shared" si="63"/>
        <v>060704</v>
      </c>
      <c r="EN8" s="238" t="str">
        <f t="shared" si="63"/>
        <v>060705</v>
      </c>
      <c r="EO8" s="238" t="str">
        <f t="shared" si="63"/>
        <v>060706</v>
      </c>
      <c r="EQ8" s="238" t="str">
        <f t="shared" si="97"/>
        <v>060801</v>
      </c>
      <c r="ER8" s="238" t="str">
        <f t="shared" si="64"/>
        <v>060802</v>
      </c>
      <c r="ES8" s="238" t="str">
        <f t="shared" si="64"/>
        <v>060803</v>
      </c>
      <c r="ET8" s="238" t="str">
        <f t="shared" si="64"/>
        <v>060804</v>
      </c>
      <c r="EU8" s="238" t="str">
        <f t="shared" si="64"/>
        <v>060805</v>
      </c>
      <c r="EV8" s="238" t="str">
        <f t="shared" si="64"/>
        <v>060806</v>
      </c>
      <c r="EX8" s="238" t="str">
        <f t="shared" si="98"/>
        <v>060901</v>
      </c>
      <c r="EY8" s="238" t="str">
        <f t="shared" si="65"/>
        <v>060902</v>
      </c>
      <c r="EZ8" s="238" t="str">
        <f t="shared" si="65"/>
        <v>060903</v>
      </c>
      <c r="FA8" s="238" t="str">
        <f t="shared" si="65"/>
        <v>060904</v>
      </c>
      <c r="FB8" s="238" t="str">
        <f t="shared" si="65"/>
        <v>060905</v>
      </c>
      <c r="FC8" s="238" t="str">
        <f t="shared" si="65"/>
        <v>060906</v>
      </c>
      <c r="FE8" s="238" t="str">
        <f t="shared" si="99"/>
        <v>061001</v>
      </c>
      <c r="FF8" s="238" t="str">
        <f t="shared" si="66"/>
        <v>061002</v>
      </c>
      <c r="FG8" s="238" t="str">
        <f t="shared" si="66"/>
        <v>061003</v>
      </c>
      <c r="FH8" s="238" t="str">
        <f t="shared" si="66"/>
        <v>061004</v>
      </c>
      <c r="FI8" s="238" t="str">
        <f t="shared" si="66"/>
        <v>061005</v>
      </c>
      <c r="FJ8" s="238" t="str">
        <f t="shared" si="66"/>
        <v>061006</v>
      </c>
    </row>
    <row r="9" spans="1:166">
      <c r="B9" s="58" t="str">
        <f t="shared" si="67"/>
        <v>07</v>
      </c>
      <c r="C9" s="243"/>
      <c r="D9" s="251" t="str">
        <f t="shared" ca="1" si="68"/>
        <v>14e</v>
      </c>
      <c r="E9" s="240">
        <f t="shared" ca="1" si="69"/>
        <v>0</v>
      </c>
      <c r="F9" s="240">
        <f t="shared" ca="1" si="70"/>
        <v>0</v>
      </c>
      <c r="G9" s="242">
        <f t="shared" ca="1" si="71"/>
        <v>0</v>
      </c>
      <c r="H9" s="240">
        <f t="shared" ca="1" si="72"/>
        <v>0</v>
      </c>
      <c r="I9" s="241">
        <f t="shared" ca="1" si="73"/>
        <v>0</v>
      </c>
      <c r="J9" s="18" t="str">
        <f t="shared" si="74"/>
        <v>07</v>
      </c>
      <c r="K9" s="251" t="str">
        <f t="shared" ca="1" si="75"/>
        <v>7s</v>
      </c>
      <c r="L9" s="240">
        <f t="shared" ca="1" si="18"/>
        <v>0</v>
      </c>
      <c r="M9" s="240">
        <f t="shared" ca="1" si="19"/>
        <v>0</v>
      </c>
      <c r="N9" s="242">
        <f t="shared" ca="1" si="20"/>
        <v>0</v>
      </c>
      <c r="O9" s="240">
        <f t="shared" ca="1" si="21"/>
        <v>0</v>
      </c>
      <c r="P9" s="241">
        <f t="shared" ca="1" si="22"/>
        <v>0</v>
      </c>
      <c r="Q9" s="18" t="str">
        <f t="shared" si="76"/>
        <v>07</v>
      </c>
      <c r="R9" s="251">
        <f t="shared" ca="1" si="77"/>
        <v>0</v>
      </c>
      <c r="S9" s="240">
        <f t="shared" ca="1" si="23"/>
        <v>0</v>
      </c>
      <c r="T9" s="240">
        <f t="shared" ca="1" si="24"/>
        <v>0</v>
      </c>
      <c r="U9" s="242">
        <f t="shared" ca="1" si="25"/>
        <v>0</v>
      </c>
      <c r="V9" s="240">
        <f t="shared" ca="1" si="26"/>
        <v>0</v>
      </c>
      <c r="W9" s="241">
        <f t="shared" ca="1" si="27"/>
        <v>0</v>
      </c>
      <c r="X9" s="18" t="str">
        <f t="shared" si="78"/>
        <v>07</v>
      </c>
      <c r="Y9" s="251">
        <f t="shared" ca="1" si="79"/>
        <v>0</v>
      </c>
      <c r="Z9" s="240">
        <f t="shared" ca="1" si="28"/>
        <v>0</v>
      </c>
      <c r="AA9" s="240">
        <f t="shared" ca="1" si="29"/>
        <v>0</v>
      </c>
      <c r="AB9" s="242">
        <f t="shared" ca="1" si="30"/>
        <v>0</v>
      </c>
      <c r="AC9" s="240">
        <f t="shared" ca="1" si="31"/>
        <v>0</v>
      </c>
      <c r="AD9" s="241">
        <f t="shared" ca="1" si="32"/>
        <v>0</v>
      </c>
      <c r="AE9" s="18" t="str">
        <f t="shared" si="80"/>
        <v>07</v>
      </c>
      <c r="AF9" s="251">
        <f t="shared" ca="1" si="81"/>
        <v>0</v>
      </c>
      <c r="AG9" s="240">
        <f t="shared" ca="1" si="33"/>
        <v>0</v>
      </c>
      <c r="AH9" s="240">
        <f t="shared" ca="1" si="34"/>
        <v>0</v>
      </c>
      <c r="AI9" s="242">
        <f t="shared" ca="1" si="35"/>
        <v>0</v>
      </c>
      <c r="AJ9" s="240">
        <f t="shared" ca="1" si="36"/>
        <v>0</v>
      </c>
      <c r="AK9" s="241">
        <f t="shared" ca="1" si="37"/>
        <v>0</v>
      </c>
      <c r="AL9" s="18" t="str">
        <f t="shared" si="82"/>
        <v>07</v>
      </c>
      <c r="AM9" s="251">
        <f t="shared" ca="1" si="83"/>
        <v>0</v>
      </c>
      <c r="AN9" s="240">
        <f t="shared" ca="1" si="38"/>
        <v>0</v>
      </c>
      <c r="AO9" s="240">
        <f t="shared" ca="1" si="39"/>
        <v>0</v>
      </c>
      <c r="AP9" s="242">
        <f t="shared" ca="1" si="40"/>
        <v>0</v>
      </c>
      <c r="AQ9" s="240">
        <f t="shared" ca="1" si="41"/>
        <v>0</v>
      </c>
      <c r="AR9" s="241">
        <f t="shared" ca="1" si="42"/>
        <v>0</v>
      </c>
      <c r="AS9" s="18" t="str">
        <f t="shared" si="84"/>
        <v>07</v>
      </c>
      <c r="AT9" s="251">
        <f t="shared" ca="1" si="85"/>
        <v>0</v>
      </c>
      <c r="AU9" s="240">
        <f t="shared" ca="1" si="43"/>
        <v>0</v>
      </c>
      <c r="AV9" s="240">
        <f t="shared" ca="1" si="44"/>
        <v>0</v>
      </c>
      <c r="AW9" s="242">
        <f t="shared" ca="1" si="45"/>
        <v>0</v>
      </c>
      <c r="AX9" s="240">
        <f t="shared" ca="1" si="46"/>
        <v>0</v>
      </c>
      <c r="AY9" s="241">
        <f t="shared" ca="1" si="47"/>
        <v>0</v>
      </c>
      <c r="AZ9" s="18" t="str">
        <f t="shared" si="86"/>
        <v>07</v>
      </c>
      <c r="BA9" s="251">
        <f t="shared" ca="1" si="87"/>
        <v>0</v>
      </c>
      <c r="BB9" s="240">
        <f t="shared" ca="1" si="48"/>
        <v>0</v>
      </c>
      <c r="BC9" s="240">
        <f t="shared" ca="1" si="49"/>
        <v>0</v>
      </c>
      <c r="BD9" s="242">
        <f t="shared" ca="1" si="50"/>
        <v>0</v>
      </c>
      <c r="BE9" s="240">
        <f t="shared" ca="1" si="51"/>
        <v>0</v>
      </c>
      <c r="BF9" s="241">
        <f t="shared" ca="1" si="52"/>
        <v>0</v>
      </c>
      <c r="BG9" s="18" t="str">
        <f t="shared" si="88"/>
        <v>07</v>
      </c>
      <c r="BH9" s="251">
        <f t="shared" ca="1" si="89"/>
        <v>0</v>
      </c>
      <c r="BI9" s="240">
        <f t="shared" ca="1" si="53"/>
        <v>0</v>
      </c>
      <c r="BJ9" s="240">
        <f t="shared" ca="1" si="54"/>
        <v>0</v>
      </c>
      <c r="BK9" s="242">
        <f t="shared" ca="1" si="55"/>
        <v>0</v>
      </c>
      <c r="BL9" s="240">
        <f t="shared" ca="1" si="56"/>
        <v>0</v>
      </c>
      <c r="BM9" s="241">
        <f t="shared" ca="1" si="57"/>
        <v>0</v>
      </c>
      <c r="CA9" s="16">
        <f t="shared" ca="1" si="8"/>
        <v>67</v>
      </c>
      <c r="CB9" s="16">
        <f t="shared" ca="1" si="9"/>
        <v>57</v>
      </c>
      <c r="CC9" s="16">
        <f t="shared" ca="1" si="10"/>
        <v>18</v>
      </c>
      <c r="CD9" s="16" t="str">
        <f t="shared" ca="1" si="11"/>
        <v>Intro!C</v>
      </c>
      <c r="CE9" s="16">
        <f t="shared" ca="1" si="12"/>
        <v>57</v>
      </c>
      <c r="CF9" s="16" t="str">
        <f t="shared" ca="1" si="13"/>
        <v>Intro!C57</v>
      </c>
      <c r="CH9" s="16" t="str">
        <f t="shared" ca="1" si="14"/>
        <v>Intro!C57:D75</v>
      </c>
      <c r="CI9" s="16" t="str">
        <f t="shared" ca="1" si="15"/>
        <v>090201_18e</v>
      </c>
      <c r="CJ9" s="16" t="str">
        <f t="shared" ca="1" si="6"/>
        <v>090201</v>
      </c>
      <c r="CK9" s="16">
        <f t="shared" ca="1" si="0"/>
        <v>2</v>
      </c>
      <c r="CL9" s="16">
        <f t="shared" ca="1" si="1"/>
        <v>9</v>
      </c>
      <c r="CM9" s="16">
        <f t="shared" ca="1" si="2"/>
        <v>1</v>
      </c>
      <c r="CN9" s="16">
        <f t="shared" ca="1" si="3"/>
        <v>18</v>
      </c>
      <c r="CO9" s="16" t="str">
        <f t="shared" ca="1" si="16"/>
        <v>e</v>
      </c>
      <c r="CY9" s="19" t="str">
        <f t="shared" si="90"/>
        <v>07</v>
      </c>
      <c r="DA9" s="238" t="str">
        <f t="shared" si="91"/>
        <v>070201</v>
      </c>
      <c r="DB9" s="238" t="str">
        <f t="shared" si="58"/>
        <v>070202</v>
      </c>
      <c r="DC9" s="238" t="str">
        <f t="shared" si="58"/>
        <v>070203</v>
      </c>
      <c r="DD9" s="238" t="str">
        <f t="shared" si="58"/>
        <v>070204</v>
      </c>
      <c r="DE9" s="238" t="str">
        <f t="shared" si="58"/>
        <v>070251</v>
      </c>
      <c r="DF9" s="238" t="str">
        <f t="shared" si="58"/>
        <v>070206</v>
      </c>
      <c r="DH9" s="238" t="str">
        <f t="shared" si="92"/>
        <v>070301</v>
      </c>
      <c r="DI9" s="238" t="str">
        <f t="shared" si="59"/>
        <v>070302</v>
      </c>
      <c r="DJ9" s="238" t="str">
        <f t="shared" si="59"/>
        <v>070303</v>
      </c>
      <c r="DK9" s="238" t="str">
        <f t="shared" si="59"/>
        <v>070304</v>
      </c>
      <c r="DL9" s="238" t="str">
        <f t="shared" si="59"/>
        <v>070305</v>
      </c>
      <c r="DM9" s="238" t="str">
        <f t="shared" si="59"/>
        <v>070306</v>
      </c>
      <c r="DO9" s="238" t="str">
        <f t="shared" si="93"/>
        <v>070401</v>
      </c>
      <c r="DP9" s="238" t="str">
        <f t="shared" si="60"/>
        <v>070402</v>
      </c>
      <c r="DQ9" s="238" t="str">
        <f t="shared" si="60"/>
        <v>070403</v>
      </c>
      <c r="DR9" s="238" t="str">
        <f t="shared" si="60"/>
        <v>070404</v>
      </c>
      <c r="DS9" s="238" t="str">
        <f t="shared" si="60"/>
        <v>070405</v>
      </c>
      <c r="DT9" s="238" t="str">
        <f t="shared" si="60"/>
        <v>070406</v>
      </c>
      <c r="DV9" s="238" t="str">
        <f t="shared" si="94"/>
        <v>070501</v>
      </c>
      <c r="DW9" s="238" t="str">
        <f t="shared" si="61"/>
        <v>070502</v>
      </c>
      <c r="DX9" s="238" t="str">
        <f t="shared" si="61"/>
        <v>070503</v>
      </c>
      <c r="DY9" s="238" t="str">
        <f t="shared" si="61"/>
        <v>070504</v>
      </c>
      <c r="DZ9" s="238" t="str">
        <f t="shared" si="61"/>
        <v>070505</v>
      </c>
      <c r="EA9" s="238" t="str">
        <f t="shared" si="61"/>
        <v>070506</v>
      </c>
      <c r="EC9" s="238" t="str">
        <f t="shared" si="95"/>
        <v>070601</v>
      </c>
      <c r="ED9" s="238" t="str">
        <f t="shared" si="62"/>
        <v>070602</v>
      </c>
      <c r="EE9" s="238" t="str">
        <f t="shared" si="62"/>
        <v>070603</v>
      </c>
      <c r="EF9" s="238" t="str">
        <f t="shared" si="62"/>
        <v>070604</v>
      </c>
      <c r="EG9" s="238" t="str">
        <f t="shared" si="62"/>
        <v>070605</v>
      </c>
      <c r="EH9" s="238" t="str">
        <f t="shared" si="62"/>
        <v>070606</v>
      </c>
      <c r="EJ9" s="238" t="str">
        <f t="shared" si="96"/>
        <v>070701</v>
      </c>
      <c r="EK9" s="238" t="str">
        <f t="shared" si="63"/>
        <v>070702</v>
      </c>
      <c r="EL9" s="238" t="str">
        <f t="shared" si="63"/>
        <v>070703</v>
      </c>
      <c r="EM9" s="238" t="str">
        <f t="shared" si="63"/>
        <v>070704</v>
      </c>
      <c r="EN9" s="238" t="str">
        <f t="shared" si="63"/>
        <v>070705</v>
      </c>
      <c r="EO9" s="238" t="str">
        <f t="shared" si="63"/>
        <v>070706</v>
      </c>
      <c r="EQ9" s="238" t="str">
        <f t="shared" si="97"/>
        <v>070801</v>
      </c>
      <c r="ER9" s="238" t="str">
        <f t="shared" si="64"/>
        <v>070802</v>
      </c>
      <c r="ES9" s="238" t="str">
        <f t="shared" si="64"/>
        <v>070803</v>
      </c>
      <c r="ET9" s="238" t="str">
        <f t="shared" si="64"/>
        <v>070804</v>
      </c>
      <c r="EU9" s="238" t="str">
        <f t="shared" si="64"/>
        <v>070805</v>
      </c>
      <c r="EV9" s="238" t="str">
        <f t="shared" si="64"/>
        <v>070806</v>
      </c>
      <c r="EX9" s="238" t="str">
        <f t="shared" si="98"/>
        <v>070901</v>
      </c>
      <c r="EY9" s="238" t="str">
        <f t="shared" si="65"/>
        <v>070902</v>
      </c>
      <c r="EZ9" s="238" t="str">
        <f t="shared" si="65"/>
        <v>070903</v>
      </c>
      <c r="FA9" s="238" t="str">
        <f t="shared" si="65"/>
        <v>070904</v>
      </c>
      <c r="FB9" s="238" t="str">
        <f t="shared" si="65"/>
        <v>070905</v>
      </c>
      <c r="FC9" s="238" t="str">
        <f t="shared" si="65"/>
        <v>070906</v>
      </c>
      <c r="FE9" s="238" t="str">
        <f t="shared" si="99"/>
        <v>071001</v>
      </c>
      <c r="FF9" s="238" t="str">
        <f t="shared" si="66"/>
        <v>071002</v>
      </c>
      <c r="FG9" s="238" t="str">
        <f t="shared" si="66"/>
        <v>071003</v>
      </c>
      <c r="FH9" s="238" t="str">
        <f t="shared" si="66"/>
        <v>071004</v>
      </c>
      <c r="FI9" s="238" t="str">
        <f t="shared" si="66"/>
        <v>071005</v>
      </c>
      <c r="FJ9" s="238" t="str">
        <f t="shared" si="66"/>
        <v>071006</v>
      </c>
    </row>
    <row r="10" spans="1:166">
      <c r="B10" s="58" t="str">
        <f t="shared" si="67"/>
        <v>08</v>
      </c>
      <c r="C10" s="243"/>
      <c r="D10" s="251" t="str">
        <f t="shared" ca="1" si="68"/>
        <v>14e</v>
      </c>
      <c r="E10" s="240" t="str">
        <f t="shared" ca="1" si="69"/>
        <v>6e</v>
      </c>
      <c r="F10" s="240">
        <f t="shared" ca="1" si="70"/>
        <v>0</v>
      </c>
      <c r="G10" s="242">
        <f t="shared" ca="1" si="71"/>
        <v>0</v>
      </c>
      <c r="H10" s="240">
        <f t="shared" ca="1" si="72"/>
        <v>0</v>
      </c>
      <c r="I10" s="241">
        <f t="shared" ca="1" si="73"/>
        <v>0</v>
      </c>
      <c r="J10" s="18" t="str">
        <f t="shared" si="74"/>
        <v>08</v>
      </c>
      <c r="K10" s="251" t="str">
        <f t="shared" ca="1" si="75"/>
        <v>11c</v>
      </c>
      <c r="L10" s="240">
        <f t="shared" ca="1" si="18"/>
        <v>0</v>
      </c>
      <c r="M10" s="240">
        <f t="shared" ca="1" si="19"/>
        <v>0</v>
      </c>
      <c r="N10" s="242">
        <f t="shared" ca="1" si="20"/>
        <v>0</v>
      </c>
      <c r="O10" s="240">
        <f t="shared" ca="1" si="21"/>
        <v>0</v>
      </c>
      <c r="P10" s="241">
        <f t="shared" ca="1" si="22"/>
        <v>0</v>
      </c>
      <c r="Q10" s="18" t="str">
        <f t="shared" si="76"/>
        <v>08</v>
      </c>
      <c r="R10" s="251" t="str">
        <f t="shared" ca="1" si="77"/>
        <v>7s</v>
      </c>
      <c r="S10" s="240" t="str">
        <f t="shared" ca="1" si="23"/>
        <v>3s</v>
      </c>
      <c r="T10" s="240">
        <f t="shared" ca="1" si="24"/>
        <v>0</v>
      </c>
      <c r="U10" s="242">
        <f t="shared" ca="1" si="25"/>
        <v>0</v>
      </c>
      <c r="V10" s="240">
        <f t="shared" ca="1" si="26"/>
        <v>0</v>
      </c>
      <c r="W10" s="241">
        <f t="shared" ca="1" si="27"/>
        <v>0</v>
      </c>
      <c r="X10" s="18" t="str">
        <f t="shared" si="78"/>
        <v>08</v>
      </c>
      <c r="Y10" s="251">
        <f t="shared" ca="1" si="79"/>
        <v>0</v>
      </c>
      <c r="Z10" s="240">
        <f t="shared" ca="1" si="28"/>
        <v>0</v>
      </c>
      <c r="AA10" s="240">
        <f t="shared" ca="1" si="29"/>
        <v>0</v>
      </c>
      <c r="AB10" s="242">
        <f t="shared" ca="1" si="30"/>
        <v>0</v>
      </c>
      <c r="AC10" s="240">
        <f t="shared" ca="1" si="31"/>
        <v>0</v>
      </c>
      <c r="AD10" s="241">
        <f t="shared" ca="1" si="32"/>
        <v>0</v>
      </c>
      <c r="AE10" s="18" t="str">
        <f t="shared" si="80"/>
        <v>08</v>
      </c>
      <c r="AF10" s="251">
        <f t="shared" ca="1" si="81"/>
        <v>0</v>
      </c>
      <c r="AG10" s="240">
        <f t="shared" ca="1" si="33"/>
        <v>0</v>
      </c>
      <c r="AH10" s="240">
        <f t="shared" ca="1" si="34"/>
        <v>0</v>
      </c>
      <c r="AI10" s="242">
        <f t="shared" ca="1" si="35"/>
        <v>0</v>
      </c>
      <c r="AJ10" s="240">
        <f t="shared" ca="1" si="36"/>
        <v>0</v>
      </c>
      <c r="AK10" s="241">
        <f t="shared" ca="1" si="37"/>
        <v>0</v>
      </c>
      <c r="AL10" s="18" t="str">
        <f t="shared" si="82"/>
        <v>08</v>
      </c>
      <c r="AM10" s="251">
        <f t="shared" ca="1" si="83"/>
        <v>0</v>
      </c>
      <c r="AN10" s="240">
        <f t="shared" ca="1" si="38"/>
        <v>0</v>
      </c>
      <c r="AO10" s="240">
        <f t="shared" ca="1" si="39"/>
        <v>0</v>
      </c>
      <c r="AP10" s="242">
        <f t="shared" ca="1" si="40"/>
        <v>0</v>
      </c>
      <c r="AQ10" s="240">
        <f t="shared" ca="1" si="41"/>
        <v>0</v>
      </c>
      <c r="AR10" s="241">
        <f t="shared" ca="1" si="42"/>
        <v>0</v>
      </c>
      <c r="AS10" s="18" t="str">
        <f t="shared" si="84"/>
        <v>08</v>
      </c>
      <c r="AT10" s="251">
        <f t="shared" ca="1" si="85"/>
        <v>0</v>
      </c>
      <c r="AU10" s="240">
        <f t="shared" ca="1" si="43"/>
        <v>0</v>
      </c>
      <c r="AV10" s="240">
        <f t="shared" ca="1" si="44"/>
        <v>0</v>
      </c>
      <c r="AW10" s="242">
        <f t="shared" ca="1" si="45"/>
        <v>0</v>
      </c>
      <c r="AX10" s="240">
        <f t="shared" ca="1" si="46"/>
        <v>0</v>
      </c>
      <c r="AY10" s="241">
        <f t="shared" ca="1" si="47"/>
        <v>0</v>
      </c>
      <c r="AZ10" s="18" t="str">
        <f t="shared" si="86"/>
        <v>08</v>
      </c>
      <c r="BA10" s="251">
        <f t="shared" ca="1" si="87"/>
        <v>0</v>
      </c>
      <c r="BB10" s="240">
        <f t="shared" ca="1" si="48"/>
        <v>0</v>
      </c>
      <c r="BC10" s="240">
        <f t="shared" ca="1" si="49"/>
        <v>0</v>
      </c>
      <c r="BD10" s="242">
        <f t="shared" ca="1" si="50"/>
        <v>0</v>
      </c>
      <c r="BE10" s="240">
        <f t="shared" ca="1" si="51"/>
        <v>0</v>
      </c>
      <c r="BF10" s="241">
        <f t="shared" ca="1" si="52"/>
        <v>0</v>
      </c>
      <c r="BG10" s="18" t="str">
        <f t="shared" si="88"/>
        <v>08</v>
      </c>
      <c r="BH10" s="251">
        <f t="shared" ca="1" si="89"/>
        <v>0</v>
      </c>
      <c r="BI10" s="240">
        <f t="shared" ca="1" si="53"/>
        <v>0</v>
      </c>
      <c r="BJ10" s="240">
        <f t="shared" ca="1" si="54"/>
        <v>0</v>
      </c>
      <c r="BK10" s="242">
        <f t="shared" ca="1" si="55"/>
        <v>0</v>
      </c>
      <c r="BL10" s="240">
        <f t="shared" ca="1" si="56"/>
        <v>0</v>
      </c>
      <c r="BM10" s="241">
        <f t="shared" ca="1" si="57"/>
        <v>0</v>
      </c>
      <c r="CA10" s="16">
        <f t="shared" ca="1" si="8"/>
        <v>67</v>
      </c>
      <c r="CB10" s="16">
        <f t="shared" ca="1" si="9"/>
        <v>58</v>
      </c>
      <c r="CC10" s="16">
        <f t="shared" ca="1" si="10"/>
        <v>17</v>
      </c>
      <c r="CD10" s="16" t="str">
        <f t="shared" ca="1" si="11"/>
        <v>Intro!C</v>
      </c>
      <c r="CE10" s="16">
        <f t="shared" ca="1" si="12"/>
        <v>58</v>
      </c>
      <c r="CF10" s="16" t="str">
        <f t="shared" ca="1" si="13"/>
        <v>Intro!C58</v>
      </c>
      <c r="CH10" s="16" t="str">
        <f t="shared" ca="1" si="14"/>
        <v>Intro!C58:D75</v>
      </c>
      <c r="CI10" s="16" t="str">
        <f t="shared" ca="1" si="15"/>
        <v>090202_09e</v>
      </c>
      <c r="CJ10" s="16" t="str">
        <f t="shared" ca="1" si="6"/>
        <v>090202</v>
      </c>
      <c r="CK10" s="16">
        <f t="shared" ca="1" si="0"/>
        <v>2</v>
      </c>
      <c r="CL10" s="16">
        <f t="shared" ca="1" si="1"/>
        <v>9</v>
      </c>
      <c r="CM10" s="16">
        <f t="shared" ca="1" si="2"/>
        <v>2</v>
      </c>
      <c r="CN10" s="16">
        <f t="shared" ca="1" si="3"/>
        <v>9</v>
      </c>
      <c r="CO10" s="16" t="str">
        <f t="shared" ca="1" si="16"/>
        <v>e</v>
      </c>
      <c r="CY10" s="19" t="str">
        <f t="shared" si="90"/>
        <v>08</v>
      </c>
      <c r="DA10" s="238" t="str">
        <f t="shared" si="91"/>
        <v>080201</v>
      </c>
      <c r="DB10" s="238" t="str">
        <f t="shared" si="58"/>
        <v>080202</v>
      </c>
      <c r="DC10" s="238" t="str">
        <f t="shared" si="58"/>
        <v>080203</v>
      </c>
      <c r="DD10" s="238" t="str">
        <f t="shared" si="58"/>
        <v>080204</v>
      </c>
      <c r="DE10" s="238" t="str">
        <f t="shared" si="58"/>
        <v>080251</v>
      </c>
      <c r="DF10" s="238" t="str">
        <f t="shared" si="58"/>
        <v>080206</v>
      </c>
      <c r="DH10" s="238" t="str">
        <f t="shared" si="92"/>
        <v>080301</v>
      </c>
      <c r="DI10" s="238" t="str">
        <f t="shared" si="59"/>
        <v>080302</v>
      </c>
      <c r="DJ10" s="238" t="str">
        <f t="shared" si="59"/>
        <v>080303</v>
      </c>
      <c r="DK10" s="238" t="str">
        <f t="shared" si="59"/>
        <v>080304</v>
      </c>
      <c r="DL10" s="238" t="str">
        <f t="shared" si="59"/>
        <v>080305</v>
      </c>
      <c r="DM10" s="238" t="str">
        <f t="shared" si="59"/>
        <v>080306</v>
      </c>
      <c r="DO10" s="238" t="str">
        <f t="shared" si="93"/>
        <v>080401</v>
      </c>
      <c r="DP10" s="238" t="str">
        <f t="shared" si="60"/>
        <v>080402</v>
      </c>
      <c r="DQ10" s="238" t="str">
        <f t="shared" si="60"/>
        <v>080403</v>
      </c>
      <c r="DR10" s="238" t="str">
        <f t="shared" si="60"/>
        <v>080404</v>
      </c>
      <c r="DS10" s="238" t="str">
        <f t="shared" si="60"/>
        <v>080405</v>
      </c>
      <c r="DT10" s="238" t="str">
        <f t="shared" si="60"/>
        <v>080406</v>
      </c>
      <c r="DV10" s="238" t="str">
        <f t="shared" si="94"/>
        <v>080501</v>
      </c>
      <c r="DW10" s="238" t="str">
        <f t="shared" si="61"/>
        <v>080502</v>
      </c>
      <c r="DX10" s="238" t="str">
        <f t="shared" si="61"/>
        <v>080503</v>
      </c>
      <c r="DY10" s="238" t="str">
        <f t="shared" si="61"/>
        <v>080504</v>
      </c>
      <c r="DZ10" s="238" t="str">
        <f t="shared" si="61"/>
        <v>080505</v>
      </c>
      <c r="EA10" s="238" t="str">
        <f t="shared" si="61"/>
        <v>080506</v>
      </c>
      <c r="EC10" s="238" t="str">
        <f t="shared" si="95"/>
        <v>080601</v>
      </c>
      <c r="ED10" s="238" t="str">
        <f t="shared" si="62"/>
        <v>080602</v>
      </c>
      <c r="EE10" s="238" t="str">
        <f t="shared" si="62"/>
        <v>080603</v>
      </c>
      <c r="EF10" s="238" t="str">
        <f t="shared" si="62"/>
        <v>080604</v>
      </c>
      <c r="EG10" s="238" t="str">
        <f t="shared" si="62"/>
        <v>080605</v>
      </c>
      <c r="EH10" s="238" t="str">
        <f t="shared" si="62"/>
        <v>080606</v>
      </c>
      <c r="EJ10" s="238" t="str">
        <f t="shared" si="96"/>
        <v>080701</v>
      </c>
      <c r="EK10" s="238" t="str">
        <f t="shared" si="63"/>
        <v>080702</v>
      </c>
      <c r="EL10" s="238" t="str">
        <f t="shared" si="63"/>
        <v>080703</v>
      </c>
      <c r="EM10" s="238" t="str">
        <f t="shared" si="63"/>
        <v>080704</v>
      </c>
      <c r="EN10" s="238" t="str">
        <f t="shared" si="63"/>
        <v>080705</v>
      </c>
      <c r="EO10" s="238" t="str">
        <f t="shared" si="63"/>
        <v>080706</v>
      </c>
      <c r="EQ10" s="238" t="str">
        <f t="shared" si="97"/>
        <v>080801</v>
      </c>
      <c r="ER10" s="238" t="str">
        <f t="shared" si="64"/>
        <v>080802</v>
      </c>
      <c r="ES10" s="238" t="str">
        <f t="shared" si="64"/>
        <v>080803</v>
      </c>
      <c r="ET10" s="238" t="str">
        <f t="shared" si="64"/>
        <v>080804</v>
      </c>
      <c r="EU10" s="238" t="str">
        <f t="shared" si="64"/>
        <v>080805</v>
      </c>
      <c r="EV10" s="238" t="str">
        <f t="shared" si="64"/>
        <v>080806</v>
      </c>
      <c r="EX10" s="238" t="str">
        <f t="shared" si="98"/>
        <v>080901</v>
      </c>
      <c r="EY10" s="238" t="str">
        <f t="shared" si="65"/>
        <v>080902</v>
      </c>
      <c r="EZ10" s="238" t="str">
        <f t="shared" si="65"/>
        <v>080903</v>
      </c>
      <c r="FA10" s="238" t="str">
        <f t="shared" si="65"/>
        <v>080904</v>
      </c>
      <c r="FB10" s="238" t="str">
        <f t="shared" si="65"/>
        <v>080905</v>
      </c>
      <c r="FC10" s="238" t="str">
        <f t="shared" si="65"/>
        <v>080906</v>
      </c>
      <c r="FE10" s="238" t="str">
        <f t="shared" si="99"/>
        <v>081001</v>
      </c>
      <c r="FF10" s="238" t="str">
        <f t="shared" si="66"/>
        <v>081002</v>
      </c>
      <c r="FG10" s="238" t="str">
        <f t="shared" si="66"/>
        <v>081003</v>
      </c>
      <c r="FH10" s="238" t="str">
        <f t="shared" si="66"/>
        <v>081004</v>
      </c>
      <c r="FI10" s="238" t="str">
        <f t="shared" si="66"/>
        <v>081005</v>
      </c>
      <c r="FJ10" s="238" t="str">
        <f t="shared" si="66"/>
        <v>081006</v>
      </c>
    </row>
    <row r="11" spans="1:166">
      <c r="B11" s="58" t="str">
        <f t="shared" si="67"/>
        <v>09</v>
      </c>
      <c r="C11" s="243"/>
      <c r="D11" s="251" t="str">
        <f t="shared" ca="1" si="68"/>
        <v>18e</v>
      </c>
      <c r="E11" s="240" t="str">
        <f t="shared" ca="1" si="69"/>
        <v>9e</v>
      </c>
      <c r="F11" s="240">
        <f t="shared" ca="1" si="70"/>
        <v>0</v>
      </c>
      <c r="G11" s="242">
        <f t="shared" ca="1" si="71"/>
        <v>0</v>
      </c>
      <c r="H11" s="240">
        <f t="shared" ca="1" si="72"/>
        <v>0</v>
      </c>
      <c r="I11" s="241">
        <f t="shared" ca="1" si="73"/>
        <v>0</v>
      </c>
      <c r="J11" s="18" t="str">
        <f t="shared" si="74"/>
        <v>09</v>
      </c>
      <c r="K11" s="251" t="str">
        <f t="shared" ca="1" si="75"/>
        <v>12c</v>
      </c>
      <c r="L11" s="240">
        <f t="shared" ca="1" si="18"/>
        <v>0</v>
      </c>
      <c r="M11" s="240">
        <f t="shared" ca="1" si="19"/>
        <v>0</v>
      </c>
      <c r="N11" s="242">
        <f t="shared" ca="1" si="20"/>
        <v>0</v>
      </c>
      <c r="O11" s="240">
        <f t="shared" ca="1" si="21"/>
        <v>0</v>
      </c>
      <c r="P11" s="241">
        <f t="shared" ca="1" si="22"/>
        <v>0</v>
      </c>
      <c r="Q11" s="18" t="str">
        <f t="shared" si="76"/>
        <v>09</v>
      </c>
      <c r="R11" s="251" t="str">
        <f t="shared" ca="1" si="77"/>
        <v>9s</v>
      </c>
      <c r="S11" s="240" t="str">
        <f t="shared" ca="1" si="23"/>
        <v>5s</v>
      </c>
      <c r="T11" s="240">
        <f t="shared" ca="1" si="24"/>
        <v>0</v>
      </c>
      <c r="U11" s="242">
        <f t="shared" ca="1" si="25"/>
        <v>0</v>
      </c>
      <c r="V11" s="240">
        <f t="shared" ca="1" si="26"/>
        <v>0</v>
      </c>
      <c r="W11" s="241">
        <f t="shared" ca="1" si="27"/>
        <v>0</v>
      </c>
      <c r="X11" s="18" t="str">
        <f t="shared" si="78"/>
        <v>09</v>
      </c>
      <c r="Y11" s="251">
        <f t="shared" ca="1" si="79"/>
        <v>0</v>
      </c>
      <c r="Z11" s="240">
        <f t="shared" ca="1" si="28"/>
        <v>0</v>
      </c>
      <c r="AA11" s="240">
        <f t="shared" ca="1" si="29"/>
        <v>0</v>
      </c>
      <c r="AB11" s="242">
        <f t="shared" ca="1" si="30"/>
        <v>0</v>
      </c>
      <c r="AC11" s="240">
        <f t="shared" ca="1" si="31"/>
        <v>0</v>
      </c>
      <c r="AD11" s="241">
        <f t="shared" ca="1" si="32"/>
        <v>0</v>
      </c>
      <c r="AE11" s="18" t="str">
        <f t="shared" si="80"/>
        <v>09</v>
      </c>
      <c r="AF11" s="251">
        <f t="shared" ca="1" si="81"/>
        <v>0</v>
      </c>
      <c r="AG11" s="240">
        <f t="shared" ca="1" si="33"/>
        <v>0</v>
      </c>
      <c r="AH11" s="240">
        <f t="shared" ca="1" si="34"/>
        <v>0</v>
      </c>
      <c r="AI11" s="242">
        <f t="shared" ca="1" si="35"/>
        <v>0</v>
      </c>
      <c r="AJ11" s="240">
        <f t="shared" ca="1" si="36"/>
        <v>0</v>
      </c>
      <c r="AK11" s="241">
        <f t="shared" ca="1" si="37"/>
        <v>0</v>
      </c>
      <c r="AL11" s="18" t="str">
        <f t="shared" si="82"/>
        <v>09</v>
      </c>
      <c r="AM11" s="251">
        <f t="shared" ca="1" si="83"/>
        <v>0</v>
      </c>
      <c r="AN11" s="240">
        <f t="shared" ca="1" si="38"/>
        <v>0</v>
      </c>
      <c r="AO11" s="240">
        <f t="shared" ca="1" si="39"/>
        <v>0</v>
      </c>
      <c r="AP11" s="242">
        <f t="shared" ca="1" si="40"/>
        <v>0</v>
      </c>
      <c r="AQ11" s="240">
        <f t="shared" ca="1" si="41"/>
        <v>0</v>
      </c>
      <c r="AR11" s="241">
        <f t="shared" ca="1" si="42"/>
        <v>0</v>
      </c>
      <c r="AS11" s="18" t="str">
        <f t="shared" si="84"/>
        <v>09</v>
      </c>
      <c r="AT11" s="251">
        <f t="shared" ca="1" si="85"/>
        <v>0</v>
      </c>
      <c r="AU11" s="240">
        <f t="shared" ca="1" si="43"/>
        <v>0</v>
      </c>
      <c r="AV11" s="240">
        <f t="shared" ca="1" si="44"/>
        <v>0</v>
      </c>
      <c r="AW11" s="242">
        <f t="shared" ca="1" si="45"/>
        <v>0</v>
      </c>
      <c r="AX11" s="240">
        <f t="shared" ca="1" si="46"/>
        <v>0</v>
      </c>
      <c r="AY11" s="241">
        <f t="shared" ca="1" si="47"/>
        <v>0</v>
      </c>
      <c r="AZ11" s="18" t="str">
        <f t="shared" si="86"/>
        <v>09</v>
      </c>
      <c r="BA11" s="251">
        <f t="shared" ca="1" si="87"/>
        <v>0</v>
      </c>
      <c r="BB11" s="240">
        <f t="shared" ca="1" si="48"/>
        <v>0</v>
      </c>
      <c r="BC11" s="240">
        <f t="shared" ca="1" si="49"/>
        <v>0</v>
      </c>
      <c r="BD11" s="242">
        <f t="shared" ca="1" si="50"/>
        <v>0</v>
      </c>
      <c r="BE11" s="240">
        <f t="shared" ca="1" si="51"/>
        <v>0</v>
      </c>
      <c r="BF11" s="241">
        <f t="shared" ca="1" si="52"/>
        <v>0</v>
      </c>
      <c r="BG11" s="18" t="str">
        <f t="shared" si="88"/>
        <v>09</v>
      </c>
      <c r="BH11" s="251">
        <f t="shared" ca="1" si="89"/>
        <v>0</v>
      </c>
      <c r="BI11" s="240">
        <f t="shared" ca="1" si="53"/>
        <v>0</v>
      </c>
      <c r="BJ11" s="240">
        <f t="shared" ca="1" si="54"/>
        <v>0</v>
      </c>
      <c r="BK11" s="242">
        <f t="shared" ca="1" si="55"/>
        <v>0</v>
      </c>
      <c r="BL11" s="240">
        <f t="shared" ca="1" si="56"/>
        <v>0</v>
      </c>
      <c r="BM11" s="241">
        <f t="shared" ca="1" si="57"/>
        <v>0</v>
      </c>
      <c r="CA11" s="16">
        <f t="shared" ca="1" si="8"/>
        <v>67</v>
      </c>
      <c r="CB11" s="16">
        <f t="shared" ca="1" si="9"/>
        <v>59</v>
      </c>
      <c r="CC11" s="16">
        <f t="shared" ca="1" si="10"/>
        <v>16</v>
      </c>
      <c r="CD11" s="16" t="str">
        <f t="shared" ca="1" si="11"/>
        <v>Intro!C</v>
      </c>
      <c r="CE11" s="16">
        <f t="shared" ca="1" si="12"/>
        <v>59</v>
      </c>
      <c r="CF11" s="16" t="str">
        <f t="shared" ca="1" si="13"/>
        <v>Intro!C59</v>
      </c>
      <c r="CH11" s="16" t="str">
        <f t="shared" ca="1" si="14"/>
        <v>Intro!C59:D75</v>
      </c>
      <c r="CI11" s="16" t="str">
        <f t="shared" ca="1" si="15"/>
        <v>100201_23L</v>
      </c>
      <c r="CJ11" s="16" t="str">
        <f t="shared" ca="1" si="6"/>
        <v>100201</v>
      </c>
      <c r="CK11" s="16">
        <f t="shared" ca="1" si="0"/>
        <v>2</v>
      </c>
      <c r="CL11" s="16">
        <f t="shared" ca="1" si="1"/>
        <v>10</v>
      </c>
      <c r="CM11" s="16">
        <f t="shared" ca="1" si="2"/>
        <v>1</v>
      </c>
      <c r="CN11" s="16">
        <f t="shared" ca="1" si="3"/>
        <v>23</v>
      </c>
      <c r="CO11" s="16" t="str">
        <f t="shared" ca="1" si="16"/>
        <v>L</v>
      </c>
      <c r="CY11" s="19" t="str">
        <f t="shared" si="90"/>
        <v>09</v>
      </c>
      <c r="DA11" s="238" t="str">
        <f t="shared" si="91"/>
        <v>090201</v>
      </c>
      <c r="DB11" s="238" t="str">
        <f t="shared" si="58"/>
        <v>090202</v>
      </c>
      <c r="DC11" s="238" t="str">
        <f t="shared" si="58"/>
        <v>090203</v>
      </c>
      <c r="DD11" s="238" t="str">
        <f t="shared" si="58"/>
        <v>090204</v>
      </c>
      <c r="DE11" s="238" t="str">
        <f t="shared" si="58"/>
        <v>090251</v>
      </c>
      <c r="DF11" s="238" t="str">
        <f t="shared" si="58"/>
        <v>090206</v>
      </c>
      <c r="DH11" s="238" t="str">
        <f t="shared" si="92"/>
        <v>090301</v>
      </c>
      <c r="DI11" s="238" t="str">
        <f t="shared" si="59"/>
        <v>090302</v>
      </c>
      <c r="DJ11" s="238" t="str">
        <f t="shared" si="59"/>
        <v>090303</v>
      </c>
      <c r="DK11" s="238" t="str">
        <f t="shared" si="59"/>
        <v>090304</v>
      </c>
      <c r="DL11" s="238" t="str">
        <f t="shared" si="59"/>
        <v>090305</v>
      </c>
      <c r="DM11" s="238" t="str">
        <f t="shared" si="59"/>
        <v>090306</v>
      </c>
      <c r="DO11" s="238" t="str">
        <f t="shared" si="93"/>
        <v>090401</v>
      </c>
      <c r="DP11" s="238" t="str">
        <f t="shared" si="60"/>
        <v>090402</v>
      </c>
      <c r="DQ11" s="238" t="str">
        <f t="shared" si="60"/>
        <v>090403</v>
      </c>
      <c r="DR11" s="238" t="str">
        <f t="shared" si="60"/>
        <v>090404</v>
      </c>
      <c r="DS11" s="238" t="str">
        <f t="shared" si="60"/>
        <v>090405</v>
      </c>
      <c r="DT11" s="238" t="str">
        <f t="shared" si="60"/>
        <v>090406</v>
      </c>
      <c r="DV11" s="238" t="str">
        <f t="shared" si="94"/>
        <v>090501</v>
      </c>
      <c r="DW11" s="238" t="str">
        <f t="shared" si="61"/>
        <v>090502</v>
      </c>
      <c r="DX11" s="238" t="str">
        <f t="shared" si="61"/>
        <v>090503</v>
      </c>
      <c r="DY11" s="238" t="str">
        <f t="shared" si="61"/>
        <v>090504</v>
      </c>
      <c r="DZ11" s="238" t="str">
        <f t="shared" si="61"/>
        <v>090505</v>
      </c>
      <c r="EA11" s="238" t="str">
        <f t="shared" si="61"/>
        <v>090506</v>
      </c>
      <c r="EC11" s="238" t="str">
        <f t="shared" si="95"/>
        <v>090601</v>
      </c>
      <c r="ED11" s="238" t="str">
        <f t="shared" si="62"/>
        <v>090602</v>
      </c>
      <c r="EE11" s="238" t="str">
        <f t="shared" si="62"/>
        <v>090603</v>
      </c>
      <c r="EF11" s="238" t="str">
        <f t="shared" si="62"/>
        <v>090604</v>
      </c>
      <c r="EG11" s="238" t="str">
        <f t="shared" si="62"/>
        <v>090605</v>
      </c>
      <c r="EH11" s="238" t="str">
        <f t="shared" si="62"/>
        <v>090606</v>
      </c>
      <c r="EJ11" s="238" t="str">
        <f t="shared" si="96"/>
        <v>090701</v>
      </c>
      <c r="EK11" s="238" t="str">
        <f t="shared" si="63"/>
        <v>090702</v>
      </c>
      <c r="EL11" s="238" t="str">
        <f t="shared" si="63"/>
        <v>090703</v>
      </c>
      <c r="EM11" s="238" t="str">
        <f t="shared" si="63"/>
        <v>090704</v>
      </c>
      <c r="EN11" s="238" t="str">
        <f t="shared" si="63"/>
        <v>090705</v>
      </c>
      <c r="EO11" s="238" t="str">
        <f t="shared" si="63"/>
        <v>090706</v>
      </c>
      <c r="EQ11" s="238" t="str">
        <f t="shared" si="97"/>
        <v>090801</v>
      </c>
      <c r="ER11" s="238" t="str">
        <f t="shared" si="64"/>
        <v>090802</v>
      </c>
      <c r="ES11" s="238" t="str">
        <f t="shared" si="64"/>
        <v>090803</v>
      </c>
      <c r="ET11" s="238" t="str">
        <f t="shared" si="64"/>
        <v>090804</v>
      </c>
      <c r="EU11" s="238" t="str">
        <f t="shared" si="64"/>
        <v>090805</v>
      </c>
      <c r="EV11" s="238" t="str">
        <f t="shared" si="64"/>
        <v>090806</v>
      </c>
      <c r="EX11" s="238" t="str">
        <f t="shared" si="98"/>
        <v>090901</v>
      </c>
      <c r="EY11" s="238" t="str">
        <f t="shared" si="65"/>
        <v>090902</v>
      </c>
      <c r="EZ11" s="238" t="str">
        <f t="shared" si="65"/>
        <v>090903</v>
      </c>
      <c r="FA11" s="238" t="str">
        <f t="shared" si="65"/>
        <v>090904</v>
      </c>
      <c r="FB11" s="238" t="str">
        <f t="shared" si="65"/>
        <v>090905</v>
      </c>
      <c r="FC11" s="238" t="str">
        <f t="shared" si="65"/>
        <v>090906</v>
      </c>
      <c r="FE11" s="238" t="str">
        <f t="shared" si="99"/>
        <v>091001</v>
      </c>
      <c r="FF11" s="238" t="str">
        <f t="shared" si="66"/>
        <v>091002</v>
      </c>
      <c r="FG11" s="238" t="str">
        <f t="shared" si="66"/>
        <v>091003</v>
      </c>
      <c r="FH11" s="238" t="str">
        <f t="shared" si="66"/>
        <v>091004</v>
      </c>
      <c r="FI11" s="238" t="str">
        <f t="shared" si="66"/>
        <v>091005</v>
      </c>
      <c r="FJ11" s="238" t="str">
        <f t="shared" si="66"/>
        <v>091006</v>
      </c>
    </row>
    <row r="12" spans="1:166" ht="13" thickBot="1">
      <c r="B12" s="58" t="str">
        <f t="shared" si="67"/>
        <v>10</v>
      </c>
      <c r="C12" s="243"/>
      <c r="D12" s="252" t="str">
        <f t="shared" ca="1" si="68"/>
        <v>23L</v>
      </c>
      <c r="E12" s="244" t="str">
        <f t="shared" ca="1" si="69"/>
        <v>10e</v>
      </c>
      <c r="F12" s="244">
        <f t="shared" ca="1" si="70"/>
        <v>0</v>
      </c>
      <c r="G12" s="245">
        <f t="shared" ca="1" si="71"/>
        <v>0</v>
      </c>
      <c r="H12" s="244">
        <f t="shared" ca="1" si="72"/>
        <v>0</v>
      </c>
      <c r="I12" s="246">
        <f t="shared" ca="1" si="73"/>
        <v>0</v>
      </c>
      <c r="J12" s="18" t="str">
        <f t="shared" si="74"/>
        <v>10</v>
      </c>
      <c r="K12" s="252" t="str">
        <f t="shared" ca="1" si="75"/>
        <v>18e</v>
      </c>
      <c r="L12" s="244" t="str">
        <f t="shared" ca="1" si="18"/>
        <v>7c</v>
      </c>
      <c r="M12" s="244">
        <f t="shared" ca="1" si="19"/>
        <v>0</v>
      </c>
      <c r="N12" s="245">
        <f t="shared" ca="1" si="20"/>
        <v>0</v>
      </c>
      <c r="O12" s="244">
        <f t="shared" ca="1" si="21"/>
        <v>0</v>
      </c>
      <c r="P12" s="246">
        <f t="shared" ca="1" si="22"/>
        <v>0</v>
      </c>
      <c r="Q12" s="18" t="str">
        <f t="shared" si="76"/>
        <v>10</v>
      </c>
      <c r="R12" s="252" t="str">
        <f t="shared" ca="1" si="77"/>
        <v>12c</v>
      </c>
      <c r="S12" s="244" t="str">
        <f t="shared" ca="1" si="23"/>
        <v>5s</v>
      </c>
      <c r="T12" s="244">
        <f t="shared" ca="1" si="24"/>
        <v>0</v>
      </c>
      <c r="U12" s="245">
        <f t="shared" ca="1" si="25"/>
        <v>0</v>
      </c>
      <c r="V12" s="244">
        <f t="shared" ca="1" si="26"/>
        <v>0</v>
      </c>
      <c r="W12" s="246">
        <f t="shared" ca="1" si="27"/>
        <v>0</v>
      </c>
      <c r="X12" s="18" t="str">
        <f t="shared" si="78"/>
        <v>10</v>
      </c>
      <c r="Y12" s="252" t="str">
        <f t="shared" ca="1" si="79"/>
        <v>9s</v>
      </c>
      <c r="Z12" s="244" t="str">
        <f t="shared" ca="1" si="28"/>
        <v>5s</v>
      </c>
      <c r="AA12" s="244" t="str">
        <f t="shared" ca="1" si="29"/>
        <v>3s</v>
      </c>
      <c r="AB12" s="245">
        <f t="shared" ca="1" si="30"/>
        <v>0</v>
      </c>
      <c r="AC12" s="244">
        <f t="shared" ca="1" si="31"/>
        <v>0</v>
      </c>
      <c r="AD12" s="246">
        <f t="shared" ca="1" si="32"/>
        <v>0</v>
      </c>
      <c r="AE12" s="18" t="str">
        <f t="shared" si="80"/>
        <v>10</v>
      </c>
      <c r="AF12" s="252">
        <f t="shared" ca="1" si="81"/>
        <v>0</v>
      </c>
      <c r="AG12" s="244">
        <f t="shared" ca="1" si="33"/>
        <v>0</v>
      </c>
      <c r="AH12" s="244">
        <f t="shared" ca="1" si="34"/>
        <v>0</v>
      </c>
      <c r="AI12" s="245">
        <f t="shared" ca="1" si="35"/>
        <v>0</v>
      </c>
      <c r="AJ12" s="244">
        <f t="shared" ca="1" si="36"/>
        <v>0</v>
      </c>
      <c r="AK12" s="246">
        <f t="shared" ca="1" si="37"/>
        <v>0</v>
      </c>
      <c r="AL12" s="18" t="str">
        <f t="shared" si="82"/>
        <v>10</v>
      </c>
      <c r="AM12" s="252">
        <f t="shared" ca="1" si="83"/>
        <v>0</v>
      </c>
      <c r="AN12" s="244">
        <f t="shared" ca="1" si="38"/>
        <v>0</v>
      </c>
      <c r="AO12" s="244">
        <f t="shared" ca="1" si="39"/>
        <v>0</v>
      </c>
      <c r="AP12" s="245">
        <f t="shared" ca="1" si="40"/>
        <v>0</v>
      </c>
      <c r="AQ12" s="244">
        <f t="shared" ca="1" si="41"/>
        <v>0</v>
      </c>
      <c r="AR12" s="246">
        <f t="shared" ca="1" si="42"/>
        <v>0</v>
      </c>
      <c r="AS12" s="18" t="str">
        <f t="shared" si="84"/>
        <v>10</v>
      </c>
      <c r="AT12" s="252">
        <f t="shared" ca="1" si="85"/>
        <v>0</v>
      </c>
      <c r="AU12" s="244">
        <f t="shared" ca="1" si="43"/>
        <v>0</v>
      </c>
      <c r="AV12" s="244">
        <f t="shared" ca="1" si="44"/>
        <v>0</v>
      </c>
      <c r="AW12" s="245">
        <f t="shared" ca="1" si="45"/>
        <v>0</v>
      </c>
      <c r="AX12" s="244">
        <f t="shared" ca="1" si="46"/>
        <v>0</v>
      </c>
      <c r="AY12" s="246">
        <f t="shared" ca="1" si="47"/>
        <v>0</v>
      </c>
      <c r="AZ12" s="18" t="str">
        <f t="shared" si="86"/>
        <v>10</v>
      </c>
      <c r="BA12" s="252">
        <f t="shared" ca="1" si="87"/>
        <v>0</v>
      </c>
      <c r="BB12" s="244">
        <f t="shared" ca="1" si="48"/>
        <v>0</v>
      </c>
      <c r="BC12" s="244">
        <f t="shared" ca="1" si="49"/>
        <v>0</v>
      </c>
      <c r="BD12" s="245">
        <f t="shared" ca="1" si="50"/>
        <v>0</v>
      </c>
      <c r="BE12" s="244">
        <f t="shared" ca="1" si="51"/>
        <v>0</v>
      </c>
      <c r="BF12" s="246">
        <f t="shared" ca="1" si="52"/>
        <v>0</v>
      </c>
      <c r="BG12" s="18" t="str">
        <f t="shared" si="88"/>
        <v>10</v>
      </c>
      <c r="BH12" s="252">
        <f t="shared" ca="1" si="89"/>
        <v>0</v>
      </c>
      <c r="BI12" s="244">
        <f t="shared" ca="1" si="53"/>
        <v>0</v>
      </c>
      <c r="BJ12" s="244">
        <f t="shared" ca="1" si="54"/>
        <v>0</v>
      </c>
      <c r="BK12" s="245">
        <f t="shared" ca="1" si="55"/>
        <v>0</v>
      </c>
      <c r="BL12" s="244">
        <f t="shared" ca="1" si="56"/>
        <v>0</v>
      </c>
      <c r="BM12" s="246">
        <f t="shared" ca="1" si="57"/>
        <v>0</v>
      </c>
      <c r="CA12" s="16">
        <f t="shared" ca="1" si="8"/>
        <v>67</v>
      </c>
      <c r="CB12" s="16">
        <f t="shared" ca="1" si="9"/>
        <v>60</v>
      </c>
      <c r="CC12" s="16">
        <f t="shared" ca="1" si="10"/>
        <v>15</v>
      </c>
      <c r="CD12" s="16" t="str">
        <f t="shared" ca="1" si="11"/>
        <v>Intro!C</v>
      </c>
      <c r="CE12" s="16">
        <f t="shared" ca="1" si="12"/>
        <v>60</v>
      </c>
      <c r="CF12" s="16" t="str">
        <f t="shared" ca="1" si="13"/>
        <v>Intro!C60</v>
      </c>
      <c r="CH12" s="16" t="str">
        <f t="shared" ca="1" si="14"/>
        <v>Intro!C60:D75</v>
      </c>
      <c r="CI12" s="16" t="str">
        <f t="shared" ca="1" si="15"/>
        <v>100202_10e</v>
      </c>
      <c r="CJ12" s="16" t="str">
        <f t="shared" ca="1" si="6"/>
        <v>100202</v>
      </c>
      <c r="CK12" s="16">
        <f t="shared" ca="1" si="0"/>
        <v>2</v>
      </c>
      <c r="CL12" s="16">
        <f t="shared" ca="1" si="1"/>
        <v>10</v>
      </c>
      <c r="CM12" s="16">
        <f t="shared" ca="1" si="2"/>
        <v>2</v>
      </c>
      <c r="CN12" s="16">
        <f t="shared" ca="1" si="3"/>
        <v>10</v>
      </c>
      <c r="CO12" s="16" t="str">
        <f t="shared" ca="1" si="16"/>
        <v>e</v>
      </c>
      <c r="CY12" s="19" t="str">
        <f t="shared" si="90"/>
        <v>10</v>
      </c>
      <c r="DA12" s="238" t="str">
        <f t="shared" si="91"/>
        <v>100201</v>
      </c>
      <c r="DB12" s="238" t="str">
        <f t="shared" si="58"/>
        <v>100202</v>
      </c>
      <c r="DC12" s="238" t="str">
        <f t="shared" si="58"/>
        <v>100203</v>
      </c>
      <c r="DD12" s="238" t="str">
        <f t="shared" si="58"/>
        <v>100204</v>
      </c>
      <c r="DE12" s="238" t="str">
        <f t="shared" si="58"/>
        <v>100251</v>
      </c>
      <c r="DF12" s="238" t="str">
        <f t="shared" si="58"/>
        <v>100206</v>
      </c>
      <c r="DH12" s="238" t="str">
        <f t="shared" si="92"/>
        <v>100301</v>
      </c>
      <c r="DI12" s="238" t="str">
        <f t="shared" si="59"/>
        <v>100302</v>
      </c>
      <c r="DJ12" s="238" t="str">
        <f t="shared" si="59"/>
        <v>100303</v>
      </c>
      <c r="DK12" s="238" t="str">
        <f t="shared" si="59"/>
        <v>100304</v>
      </c>
      <c r="DL12" s="238" t="str">
        <f t="shared" si="59"/>
        <v>100305</v>
      </c>
      <c r="DM12" s="238" t="str">
        <f t="shared" si="59"/>
        <v>100306</v>
      </c>
      <c r="DO12" s="238" t="str">
        <f t="shared" si="93"/>
        <v>100401</v>
      </c>
      <c r="DP12" s="238" t="str">
        <f t="shared" si="60"/>
        <v>100402</v>
      </c>
      <c r="DQ12" s="238" t="str">
        <f t="shared" si="60"/>
        <v>100403</v>
      </c>
      <c r="DR12" s="238" t="str">
        <f t="shared" si="60"/>
        <v>100404</v>
      </c>
      <c r="DS12" s="238" t="str">
        <f t="shared" si="60"/>
        <v>100405</v>
      </c>
      <c r="DT12" s="238" t="str">
        <f t="shared" si="60"/>
        <v>100406</v>
      </c>
      <c r="DV12" s="238" t="str">
        <f t="shared" si="94"/>
        <v>100501</v>
      </c>
      <c r="DW12" s="238" t="str">
        <f t="shared" si="61"/>
        <v>100502</v>
      </c>
      <c r="DX12" s="238" t="str">
        <f t="shared" si="61"/>
        <v>100503</v>
      </c>
      <c r="DY12" s="238" t="str">
        <f t="shared" si="61"/>
        <v>100504</v>
      </c>
      <c r="DZ12" s="238" t="str">
        <f t="shared" si="61"/>
        <v>100505</v>
      </c>
      <c r="EA12" s="238" t="str">
        <f t="shared" si="61"/>
        <v>100506</v>
      </c>
      <c r="EC12" s="238" t="str">
        <f t="shared" si="95"/>
        <v>100601</v>
      </c>
      <c r="ED12" s="238" t="str">
        <f t="shared" si="62"/>
        <v>100602</v>
      </c>
      <c r="EE12" s="238" t="str">
        <f t="shared" si="62"/>
        <v>100603</v>
      </c>
      <c r="EF12" s="238" t="str">
        <f t="shared" si="62"/>
        <v>100604</v>
      </c>
      <c r="EG12" s="238" t="str">
        <f t="shared" si="62"/>
        <v>100605</v>
      </c>
      <c r="EH12" s="238" t="str">
        <f t="shared" si="62"/>
        <v>100606</v>
      </c>
      <c r="EJ12" s="238" t="str">
        <f t="shared" si="96"/>
        <v>100701</v>
      </c>
      <c r="EK12" s="238" t="str">
        <f t="shared" si="63"/>
        <v>100702</v>
      </c>
      <c r="EL12" s="238" t="str">
        <f t="shared" si="63"/>
        <v>100703</v>
      </c>
      <c r="EM12" s="238" t="str">
        <f t="shared" si="63"/>
        <v>100704</v>
      </c>
      <c r="EN12" s="238" t="str">
        <f t="shared" si="63"/>
        <v>100705</v>
      </c>
      <c r="EO12" s="238" t="str">
        <f t="shared" si="63"/>
        <v>100706</v>
      </c>
      <c r="EQ12" s="238" t="str">
        <f t="shared" si="97"/>
        <v>100801</v>
      </c>
      <c r="ER12" s="238" t="str">
        <f t="shared" si="64"/>
        <v>100802</v>
      </c>
      <c r="ES12" s="238" t="str">
        <f t="shared" si="64"/>
        <v>100803</v>
      </c>
      <c r="ET12" s="238" t="str">
        <f t="shared" si="64"/>
        <v>100804</v>
      </c>
      <c r="EU12" s="238" t="str">
        <f t="shared" si="64"/>
        <v>100805</v>
      </c>
      <c r="EV12" s="238" t="str">
        <f t="shared" si="64"/>
        <v>100806</v>
      </c>
      <c r="EX12" s="238" t="str">
        <f t="shared" si="98"/>
        <v>100901</v>
      </c>
      <c r="EY12" s="238" t="str">
        <f t="shared" si="65"/>
        <v>100902</v>
      </c>
      <c r="EZ12" s="238" t="str">
        <f t="shared" si="65"/>
        <v>100903</v>
      </c>
      <c r="FA12" s="238" t="str">
        <f t="shared" si="65"/>
        <v>100904</v>
      </c>
      <c r="FB12" s="238" t="str">
        <f t="shared" si="65"/>
        <v>100905</v>
      </c>
      <c r="FC12" s="238" t="str">
        <f t="shared" si="65"/>
        <v>100906</v>
      </c>
      <c r="FE12" s="238" t="str">
        <f t="shared" si="99"/>
        <v>101001</v>
      </c>
      <c r="FF12" s="238" t="str">
        <f t="shared" si="66"/>
        <v>101002</v>
      </c>
      <c r="FG12" s="238" t="str">
        <f t="shared" si="66"/>
        <v>101003</v>
      </c>
      <c r="FH12" s="238" t="str">
        <f t="shared" si="66"/>
        <v>101004</v>
      </c>
      <c r="FI12" s="238" t="str">
        <f t="shared" si="66"/>
        <v>101005</v>
      </c>
      <c r="FJ12" s="238" t="str">
        <f t="shared" si="66"/>
        <v>101006</v>
      </c>
    </row>
    <row r="13" spans="1:166">
      <c r="B13" s="58" t="str">
        <f t="shared" si="67"/>
        <v>11</v>
      </c>
      <c r="C13" s="243"/>
      <c r="D13" s="251" t="str">
        <f t="shared" ca="1" si="68"/>
        <v>28L</v>
      </c>
      <c r="E13" s="240" t="str">
        <f t="shared" ca="1" si="69"/>
        <v>13L</v>
      </c>
      <c r="F13" s="240">
        <f t="shared" ca="1" si="70"/>
        <v>0</v>
      </c>
      <c r="G13" s="242">
        <f t="shared" ca="1" si="71"/>
        <v>0</v>
      </c>
      <c r="H13" s="240">
        <f t="shared" ca="1" si="72"/>
        <v>0</v>
      </c>
      <c r="I13" s="241">
        <f t="shared" ca="1" si="73"/>
        <v>0</v>
      </c>
      <c r="J13" s="18" t="str">
        <f t="shared" si="74"/>
        <v>11</v>
      </c>
      <c r="K13" s="251" t="str">
        <f t="shared" ca="1" si="75"/>
        <v>19c</v>
      </c>
      <c r="L13" s="240" t="str">
        <f t="shared" ca="1" si="18"/>
        <v>10e</v>
      </c>
      <c r="M13" s="240">
        <f t="shared" ca="1" si="19"/>
        <v>0</v>
      </c>
      <c r="N13" s="242">
        <f t="shared" ca="1" si="20"/>
        <v>0</v>
      </c>
      <c r="O13" s="240">
        <f t="shared" ca="1" si="21"/>
        <v>0</v>
      </c>
      <c r="P13" s="241">
        <f t="shared" ca="1" si="22"/>
        <v>0</v>
      </c>
      <c r="Q13" s="18" t="str">
        <f t="shared" si="76"/>
        <v>11</v>
      </c>
      <c r="R13" s="251" t="str">
        <f t="shared" ca="1" si="77"/>
        <v>15c</v>
      </c>
      <c r="S13" s="240" t="str">
        <f t="shared" ca="1" si="23"/>
        <v>7c</v>
      </c>
      <c r="T13" s="240">
        <f t="shared" ca="1" si="24"/>
        <v>0</v>
      </c>
      <c r="U13" s="242">
        <f t="shared" ca="1" si="25"/>
        <v>0</v>
      </c>
      <c r="V13" s="240">
        <f t="shared" ca="1" si="26"/>
        <v>0</v>
      </c>
      <c r="W13" s="241">
        <f t="shared" ca="1" si="27"/>
        <v>0</v>
      </c>
      <c r="X13" s="18" t="str">
        <f t="shared" si="78"/>
        <v>11</v>
      </c>
      <c r="Y13" s="251" t="str">
        <f t="shared" ca="1" si="79"/>
        <v>11s</v>
      </c>
      <c r="Z13" s="240" t="str">
        <f t="shared" ca="1" si="28"/>
        <v>5s</v>
      </c>
      <c r="AA13" s="240">
        <f t="shared" ca="1" si="29"/>
        <v>0</v>
      </c>
      <c r="AB13" s="242">
        <f t="shared" ca="1" si="30"/>
        <v>0</v>
      </c>
      <c r="AC13" s="240">
        <f t="shared" ca="1" si="31"/>
        <v>0</v>
      </c>
      <c r="AD13" s="241">
        <f t="shared" ca="1" si="32"/>
        <v>0</v>
      </c>
      <c r="AE13" s="18" t="str">
        <f t="shared" si="80"/>
        <v>11</v>
      </c>
      <c r="AF13" s="251">
        <f t="shared" ca="1" si="81"/>
        <v>0</v>
      </c>
      <c r="AG13" s="240">
        <f t="shared" ca="1" si="33"/>
        <v>0</v>
      </c>
      <c r="AH13" s="240">
        <f t="shared" ca="1" si="34"/>
        <v>0</v>
      </c>
      <c r="AI13" s="242">
        <f t="shared" ca="1" si="35"/>
        <v>0</v>
      </c>
      <c r="AJ13" s="240">
        <f t="shared" ca="1" si="36"/>
        <v>0</v>
      </c>
      <c r="AK13" s="241">
        <f t="shared" ca="1" si="37"/>
        <v>0</v>
      </c>
      <c r="AL13" s="18" t="str">
        <f t="shared" si="82"/>
        <v>11</v>
      </c>
      <c r="AM13" s="251">
        <f t="shared" ca="1" si="83"/>
        <v>0</v>
      </c>
      <c r="AN13" s="240">
        <f t="shared" ca="1" si="38"/>
        <v>0</v>
      </c>
      <c r="AO13" s="240">
        <f t="shared" ca="1" si="39"/>
        <v>0</v>
      </c>
      <c r="AP13" s="242">
        <f t="shared" ca="1" si="40"/>
        <v>0</v>
      </c>
      <c r="AQ13" s="240">
        <f t="shared" ca="1" si="41"/>
        <v>0</v>
      </c>
      <c r="AR13" s="241">
        <f t="shared" ca="1" si="42"/>
        <v>0</v>
      </c>
      <c r="AS13" s="18" t="str">
        <f t="shared" si="84"/>
        <v>11</v>
      </c>
      <c r="AT13" s="251">
        <f t="shared" ca="1" si="85"/>
        <v>0</v>
      </c>
      <c r="AU13" s="240">
        <f t="shared" ca="1" si="43"/>
        <v>0</v>
      </c>
      <c r="AV13" s="240">
        <f t="shared" ca="1" si="44"/>
        <v>0</v>
      </c>
      <c r="AW13" s="242">
        <f t="shared" ca="1" si="45"/>
        <v>0</v>
      </c>
      <c r="AX13" s="240">
        <f t="shared" ca="1" si="46"/>
        <v>0</v>
      </c>
      <c r="AY13" s="241">
        <f t="shared" ca="1" si="47"/>
        <v>0</v>
      </c>
      <c r="AZ13" s="18" t="str">
        <f t="shared" si="86"/>
        <v>11</v>
      </c>
      <c r="BA13" s="251">
        <f t="shared" ca="1" si="87"/>
        <v>0</v>
      </c>
      <c r="BB13" s="240">
        <f t="shared" ca="1" si="48"/>
        <v>0</v>
      </c>
      <c r="BC13" s="240">
        <f t="shared" ca="1" si="49"/>
        <v>0</v>
      </c>
      <c r="BD13" s="242">
        <f t="shared" ca="1" si="50"/>
        <v>0</v>
      </c>
      <c r="BE13" s="240">
        <f t="shared" ca="1" si="51"/>
        <v>0</v>
      </c>
      <c r="BF13" s="241">
        <f t="shared" ca="1" si="52"/>
        <v>0</v>
      </c>
      <c r="BG13" s="18" t="str">
        <f t="shared" si="88"/>
        <v>11</v>
      </c>
      <c r="BH13" s="251">
        <f t="shared" ca="1" si="89"/>
        <v>0</v>
      </c>
      <c r="BI13" s="240">
        <f t="shared" ca="1" si="53"/>
        <v>0</v>
      </c>
      <c r="BJ13" s="240">
        <f t="shared" ca="1" si="54"/>
        <v>0</v>
      </c>
      <c r="BK13" s="242">
        <f t="shared" ca="1" si="55"/>
        <v>0</v>
      </c>
      <c r="BL13" s="240">
        <f t="shared" ca="1" si="56"/>
        <v>0</v>
      </c>
      <c r="BM13" s="241">
        <f t="shared" ca="1" si="57"/>
        <v>0</v>
      </c>
      <c r="CA13" s="16">
        <f t="shared" ca="1" si="8"/>
        <v>67</v>
      </c>
      <c r="CB13" s="16">
        <f t="shared" ca="1" si="9"/>
        <v>61</v>
      </c>
      <c r="CC13" s="16">
        <f t="shared" ca="1" si="10"/>
        <v>14</v>
      </c>
      <c r="CD13" s="16" t="str">
        <f t="shared" ca="1" si="11"/>
        <v>Intro!C</v>
      </c>
      <c r="CE13" s="16">
        <f t="shared" ca="1" si="12"/>
        <v>61</v>
      </c>
      <c r="CF13" s="16" t="str">
        <f t="shared" ca="1" si="13"/>
        <v>Intro!C61</v>
      </c>
      <c r="CH13" s="16" t="str">
        <f t="shared" ca="1" si="14"/>
        <v>Intro!C61:D75</v>
      </c>
      <c r="CI13" s="16" t="str">
        <f t="shared" ca="1" si="15"/>
        <v>110201_28L</v>
      </c>
      <c r="CJ13" s="16" t="str">
        <f t="shared" ca="1" si="6"/>
        <v>110201</v>
      </c>
      <c r="CK13" s="16">
        <f t="shared" ca="1" si="0"/>
        <v>2</v>
      </c>
      <c r="CL13" s="16">
        <f t="shared" ca="1" si="1"/>
        <v>11</v>
      </c>
      <c r="CM13" s="16">
        <f t="shared" ca="1" si="2"/>
        <v>1</v>
      </c>
      <c r="CN13" s="16">
        <f t="shared" ca="1" si="3"/>
        <v>28</v>
      </c>
      <c r="CO13" s="16" t="str">
        <f t="shared" ca="1" si="16"/>
        <v>L</v>
      </c>
      <c r="CY13" s="19" t="str">
        <f t="shared" si="90"/>
        <v>11</v>
      </c>
      <c r="DA13" s="238" t="str">
        <f t="shared" si="91"/>
        <v>110201</v>
      </c>
      <c r="DB13" s="238" t="str">
        <f t="shared" si="58"/>
        <v>110202</v>
      </c>
      <c r="DC13" s="238" t="str">
        <f t="shared" si="58"/>
        <v>110203</v>
      </c>
      <c r="DD13" s="238" t="str">
        <f t="shared" si="58"/>
        <v>110204</v>
      </c>
      <c r="DE13" s="238" t="str">
        <f t="shared" si="58"/>
        <v>110251</v>
      </c>
      <c r="DF13" s="238" t="str">
        <f t="shared" si="58"/>
        <v>110206</v>
      </c>
      <c r="DH13" s="238" t="str">
        <f t="shared" si="92"/>
        <v>110301</v>
      </c>
      <c r="DI13" s="238" t="str">
        <f t="shared" si="59"/>
        <v>110302</v>
      </c>
      <c r="DJ13" s="238" t="str">
        <f t="shared" si="59"/>
        <v>110303</v>
      </c>
      <c r="DK13" s="238" t="str">
        <f t="shared" si="59"/>
        <v>110304</v>
      </c>
      <c r="DL13" s="238" t="str">
        <f t="shared" si="59"/>
        <v>110305</v>
      </c>
      <c r="DM13" s="238" t="str">
        <f t="shared" si="59"/>
        <v>110306</v>
      </c>
      <c r="DO13" s="238" t="str">
        <f t="shared" si="93"/>
        <v>110401</v>
      </c>
      <c r="DP13" s="238" t="str">
        <f t="shared" si="60"/>
        <v>110402</v>
      </c>
      <c r="DQ13" s="238" t="str">
        <f t="shared" si="60"/>
        <v>110403</v>
      </c>
      <c r="DR13" s="238" t="str">
        <f t="shared" si="60"/>
        <v>110404</v>
      </c>
      <c r="DS13" s="238" t="str">
        <f t="shared" si="60"/>
        <v>110405</v>
      </c>
      <c r="DT13" s="238" t="str">
        <f t="shared" si="60"/>
        <v>110406</v>
      </c>
      <c r="DV13" s="238" t="str">
        <f t="shared" si="94"/>
        <v>110501</v>
      </c>
      <c r="DW13" s="238" t="str">
        <f t="shared" si="61"/>
        <v>110502</v>
      </c>
      <c r="DX13" s="238" t="str">
        <f t="shared" si="61"/>
        <v>110503</v>
      </c>
      <c r="DY13" s="238" t="str">
        <f t="shared" si="61"/>
        <v>110504</v>
      </c>
      <c r="DZ13" s="238" t="str">
        <f t="shared" si="61"/>
        <v>110505</v>
      </c>
      <c r="EA13" s="238" t="str">
        <f t="shared" si="61"/>
        <v>110506</v>
      </c>
      <c r="EC13" s="238" t="str">
        <f t="shared" si="95"/>
        <v>110601</v>
      </c>
      <c r="ED13" s="238" t="str">
        <f t="shared" si="62"/>
        <v>110602</v>
      </c>
      <c r="EE13" s="238" t="str">
        <f t="shared" si="62"/>
        <v>110603</v>
      </c>
      <c r="EF13" s="238" t="str">
        <f t="shared" si="62"/>
        <v>110604</v>
      </c>
      <c r="EG13" s="238" t="str">
        <f t="shared" si="62"/>
        <v>110605</v>
      </c>
      <c r="EH13" s="238" t="str">
        <f t="shared" si="62"/>
        <v>110606</v>
      </c>
      <c r="EJ13" s="238" t="str">
        <f t="shared" si="96"/>
        <v>110701</v>
      </c>
      <c r="EK13" s="238" t="str">
        <f t="shared" si="63"/>
        <v>110702</v>
      </c>
      <c r="EL13" s="238" t="str">
        <f t="shared" si="63"/>
        <v>110703</v>
      </c>
      <c r="EM13" s="238" t="str">
        <f t="shared" si="63"/>
        <v>110704</v>
      </c>
      <c r="EN13" s="238" t="str">
        <f t="shared" si="63"/>
        <v>110705</v>
      </c>
      <c r="EO13" s="238" t="str">
        <f t="shared" si="63"/>
        <v>110706</v>
      </c>
      <c r="EQ13" s="238" t="str">
        <f t="shared" si="97"/>
        <v>110801</v>
      </c>
      <c r="ER13" s="238" t="str">
        <f t="shared" si="64"/>
        <v>110802</v>
      </c>
      <c r="ES13" s="238" t="str">
        <f t="shared" si="64"/>
        <v>110803</v>
      </c>
      <c r="ET13" s="238" t="str">
        <f t="shared" si="64"/>
        <v>110804</v>
      </c>
      <c r="EU13" s="238" t="str">
        <f t="shared" si="64"/>
        <v>110805</v>
      </c>
      <c r="EV13" s="238" t="str">
        <f t="shared" si="64"/>
        <v>110806</v>
      </c>
      <c r="EX13" s="238" t="str">
        <f t="shared" si="98"/>
        <v>110901</v>
      </c>
      <c r="EY13" s="238" t="str">
        <f t="shared" si="65"/>
        <v>110902</v>
      </c>
      <c r="EZ13" s="238" t="str">
        <f t="shared" si="65"/>
        <v>110903</v>
      </c>
      <c r="FA13" s="238" t="str">
        <f t="shared" si="65"/>
        <v>110904</v>
      </c>
      <c r="FB13" s="238" t="str">
        <f t="shared" si="65"/>
        <v>110905</v>
      </c>
      <c r="FC13" s="238" t="str">
        <f t="shared" si="65"/>
        <v>110906</v>
      </c>
      <c r="FE13" s="238" t="str">
        <f t="shared" si="99"/>
        <v>111001</v>
      </c>
      <c r="FF13" s="238" t="str">
        <f t="shared" si="66"/>
        <v>111002</v>
      </c>
      <c r="FG13" s="238" t="str">
        <f t="shared" si="66"/>
        <v>111003</v>
      </c>
      <c r="FH13" s="238" t="str">
        <f t="shared" si="66"/>
        <v>111004</v>
      </c>
      <c r="FI13" s="238" t="str">
        <f t="shared" si="66"/>
        <v>111005</v>
      </c>
      <c r="FJ13" s="238" t="str">
        <f t="shared" si="66"/>
        <v>111006</v>
      </c>
    </row>
    <row r="14" spans="1:166">
      <c r="B14" s="58" t="str">
        <f t="shared" si="67"/>
        <v>12</v>
      </c>
      <c r="C14" s="243"/>
      <c r="D14" s="251" t="str">
        <f t="shared" ca="1" si="68"/>
        <v>33c</v>
      </c>
      <c r="E14" s="240" t="str">
        <f t="shared" ca="1" si="69"/>
        <v>15c</v>
      </c>
      <c r="F14" s="240">
        <f t="shared" ca="1" si="70"/>
        <v>0</v>
      </c>
      <c r="G14" s="242">
        <f t="shared" ca="1" si="71"/>
        <v>0</v>
      </c>
      <c r="H14" s="240">
        <f t="shared" ca="1" si="72"/>
        <v>0</v>
      </c>
      <c r="I14" s="241">
        <f t="shared" ca="1" si="73"/>
        <v>0</v>
      </c>
      <c r="J14" s="18" t="str">
        <f t="shared" si="74"/>
        <v>12</v>
      </c>
      <c r="K14" s="251" t="str">
        <f t="shared" ca="1" si="75"/>
        <v>22e</v>
      </c>
      <c r="L14" s="240" t="str">
        <f t="shared" ca="1" si="18"/>
        <v>10e</v>
      </c>
      <c r="M14" s="240" t="str">
        <f t="shared" ca="1" si="19"/>
        <v>6e</v>
      </c>
      <c r="N14" s="242">
        <f t="shared" ca="1" si="20"/>
        <v>0</v>
      </c>
      <c r="O14" s="240">
        <f t="shared" ca="1" si="21"/>
        <v>0</v>
      </c>
      <c r="P14" s="241">
        <f t="shared" ca="1" si="22"/>
        <v>0</v>
      </c>
      <c r="Q14" s="18" t="str">
        <f t="shared" si="76"/>
        <v>12</v>
      </c>
      <c r="R14" s="251" t="str">
        <f t="shared" ca="1" si="77"/>
        <v>17c</v>
      </c>
      <c r="S14" s="240" t="str">
        <f t="shared" ca="1" si="23"/>
        <v>8c</v>
      </c>
      <c r="T14" s="240" t="str">
        <f t="shared" ca="1" si="24"/>
        <v>5c</v>
      </c>
      <c r="U14" s="242">
        <f t="shared" ca="1" si="25"/>
        <v>0</v>
      </c>
      <c r="V14" s="240">
        <f t="shared" ca="1" si="26"/>
        <v>0</v>
      </c>
      <c r="W14" s="241">
        <f t="shared" ca="1" si="27"/>
        <v>0</v>
      </c>
      <c r="X14" s="18" t="str">
        <f t="shared" si="78"/>
        <v>12</v>
      </c>
      <c r="Y14" s="251" t="str">
        <f t="shared" ca="1" si="79"/>
        <v>14s</v>
      </c>
      <c r="Z14" s="240">
        <f t="shared" ca="1" si="28"/>
        <v>0</v>
      </c>
      <c r="AA14" s="240">
        <f t="shared" ca="1" si="29"/>
        <v>0</v>
      </c>
      <c r="AB14" s="242">
        <f t="shared" ca="1" si="30"/>
        <v>0</v>
      </c>
      <c r="AC14" s="240">
        <f t="shared" ca="1" si="31"/>
        <v>0</v>
      </c>
      <c r="AD14" s="241">
        <f t="shared" ca="1" si="32"/>
        <v>0</v>
      </c>
      <c r="AE14" s="18" t="str">
        <f t="shared" si="80"/>
        <v>12</v>
      </c>
      <c r="AF14" s="251" t="str">
        <f t="shared" ca="1" si="81"/>
        <v>11s</v>
      </c>
      <c r="AG14" s="240" t="str">
        <f t="shared" ca="1" si="33"/>
        <v>5s</v>
      </c>
      <c r="AH14" s="240" t="str">
        <f t="shared" ca="1" si="34"/>
        <v>3s</v>
      </c>
      <c r="AI14" s="242">
        <f t="shared" ca="1" si="35"/>
        <v>0</v>
      </c>
      <c r="AJ14" s="240">
        <f t="shared" ca="1" si="36"/>
        <v>0</v>
      </c>
      <c r="AK14" s="241">
        <f t="shared" ca="1" si="37"/>
        <v>0</v>
      </c>
      <c r="AL14" s="18" t="str">
        <f t="shared" si="82"/>
        <v>12</v>
      </c>
      <c r="AM14" s="251">
        <f t="shared" ca="1" si="83"/>
        <v>0</v>
      </c>
      <c r="AN14" s="240">
        <f t="shared" ca="1" si="38"/>
        <v>0</v>
      </c>
      <c r="AO14" s="240">
        <f t="shared" ca="1" si="39"/>
        <v>0</v>
      </c>
      <c r="AP14" s="242">
        <f t="shared" ca="1" si="40"/>
        <v>0</v>
      </c>
      <c r="AQ14" s="240">
        <f t="shared" ca="1" si="41"/>
        <v>0</v>
      </c>
      <c r="AR14" s="241">
        <f t="shared" ca="1" si="42"/>
        <v>0</v>
      </c>
      <c r="AS14" s="18" t="str">
        <f t="shared" si="84"/>
        <v>12</v>
      </c>
      <c r="AT14" s="251">
        <f t="shared" ca="1" si="85"/>
        <v>0</v>
      </c>
      <c r="AU14" s="240">
        <f t="shared" ca="1" si="43"/>
        <v>0</v>
      </c>
      <c r="AV14" s="240">
        <f t="shared" ca="1" si="44"/>
        <v>0</v>
      </c>
      <c r="AW14" s="242">
        <f t="shared" ca="1" si="45"/>
        <v>0</v>
      </c>
      <c r="AX14" s="240">
        <f t="shared" ca="1" si="46"/>
        <v>0</v>
      </c>
      <c r="AY14" s="241">
        <f t="shared" ca="1" si="47"/>
        <v>0</v>
      </c>
      <c r="AZ14" s="18" t="str">
        <f t="shared" si="86"/>
        <v>12</v>
      </c>
      <c r="BA14" s="251">
        <f t="shared" ca="1" si="87"/>
        <v>0</v>
      </c>
      <c r="BB14" s="240">
        <f t="shared" ca="1" si="48"/>
        <v>0</v>
      </c>
      <c r="BC14" s="240">
        <f t="shared" ca="1" si="49"/>
        <v>0</v>
      </c>
      <c r="BD14" s="242">
        <f t="shared" ca="1" si="50"/>
        <v>0</v>
      </c>
      <c r="BE14" s="240">
        <f t="shared" ca="1" si="51"/>
        <v>0</v>
      </c>
      <c r="BF14" s="241">
        <f t="shared" ca="1" si="52"/>
        <v>0</v>
      </c>
      <c r="BG14" s="18" t="str">
        <f t="shared" si="88"/>
        <v>12</v>
      </c>
      <c r="BH14" s="251">
        <f t="shared" ca="1" si="89"/>
        <v>0</v>
      </c>
      <c r="BI14" s="240">
        <f t="shared" ca="1" si="53"/>
        <v>0</v>
      </c>
      <c r="BJ14" s="240">
        <f t="shared" ca="1" si="54"/>
        <v>0</v>
      </c>
      <c r="BK14" s="242">
        <f t="shared" ca="1" si="55"/>
        <v>0</v>
      </c>
      <c r="BL14" s="240">
        <f t="shared" ca="1" si="56"/>
        <v>0</v>
      </c>
      <c r="BM14" s="241">
        <f t="shared" ca="1" si="57"/>
        <v>0</v>
      </c>
      <c r="CA14" s="16">
        <f t="shared" ca="1" si="8"/>
        <v>67</v>
      </c>
      <c r="CB14" s="16">
        <f t="shared" ca="1" si="9"/>
        <v>62</v>
      </c>
      <c r="CC14" s="16">
        <f t="shared" ca="1" si="10"/>
        <v>13</v>
      </c>
      <c r="CD14" s="16" t="str">
        <f t="shared" ca="1" si="11"/>
        <v>Intro!C</v>
      </c>
      <c r="CE14" s="16">
        <f t="shared" ca="1" si="12"/>
        <v>62</v>
      </c>
      <c r="CF14" s="16" t="str">
        <f t="shared" ca="1" si="13"/>
        <v>Intro!C62</v>
      </c>
      <c r="CH14" s="16" t="str">
        <f t="shared" ca="1" si="14"/>
        <v>Intro!C62:D75</v>
      </c>
      <c r="CI14" s="16" t="str">
        <f t="shared" ca="1" si="15"/>
        <v>110202_13L</v>
      </c>
      <c r="CJ14" s="16" t="str">
        <f t="shared" ca="1" si="6"/>
        <v>110202</v>
      </c>
      <c r="CK14" s="16">
        <f t="shared" ca="1" si="0"/>
        <v>2</v>
      </c>
      <c r="CL14" s="16">
        <f t="shared" ca="1" si="1"/>
        <v>11</v>
      </c>
      <c r="CM14" s="16">
        <f t="shared" ca="1" si="2"/>
        <v>2</v>
      </c>
      <c r="CN14" s="16">
        <f t="shared" ca="1" si="3"/>
        <v>13</v>
      </c>
      <c r="CO14" s="16" t="str">
        <f t="shared" ca="1" si="16"/>
        <v>L</v>
      </c>
      <c r="CY14" s="19" t="str">
        <f t="shared" si="90"/>
        <v>12</v>
      </c>
      <c r="DA14" s="238" t="str">
        <f t="shared" si="91"/>
        <v>120201</v>
      </c>
      <c r="DB14" s="238" t="str">
        <f t="shared" si="58"/>
        <v>120202</v>
      </c>
      <c r="DC14" s="238" t="str">
        <f t="shared" si="58"/>
        <v>120203</v>
      </c>
      <c r="DD14" s="238" t="str">
        <f t="shared" si="58"/>
        <v>120204</v>
      </c>
      <c r="DE14" s="238" t="str">
        <f t="shared" si="58"/>
        <v>120251</v>
      </c>
      <c r="DF14" s="238" t="str">
        <f t="shared" si="58"/>
        <v>120206</v>
      </c>
      <c r="DH14" s="238" t="str">
        <f t="shared" si="92"/>
        <v>120301</v>
      </c>
      <c r="DI14" s="238" t="str">
        <f t="shared" si="59"/>
        <v>120302</v>
      </c>
      <c r="DJ14" s="238" t="str">
        <f t="shared" si="59"/>
        <v>120303</v>
      </c>
      <c r="DK14" s="238" t="str">
        <f t="shared" si="59"/>
        <v>120304</v>
      </c>
      <c r="DL14" s="238" t="str">
        <f t="shared" si="59"/>
        <v>120305</v>
      </c>
      <c r="DM14" s="238" t="str">
        <f t="shared" si="59"/>
        <v>120306</v>
      </c>
      <c r="DO14" s="238" t="str">
        <f t="shared" si="93"/>
        <v>120401</v>
      </c>
      <c r="DP14" s="238" t="str">
        <f t="shared" si="60"/>
        <v>120402</v>
      </c>
      <c r="DQ14" s="238" t="str">
        <f t="shared" si="60"/>
        <v>120403</v>
      </c>
      <c r="DR14" s="238" t="str">
        <f t="shared" si="60"/>
        <v>120404</v>
      </c>
      <c r="DS14" s="238" t="str">
        <f t="shared" si="60"/>
        <v>120405</v>
      </c>
      <c r="DT14" s="238" t="str">
        <f t="shared" si="60"/>
        <v>120406</v>
      </c>
      <c r="DV14" s="238" t="str">
        <f t="shared" si="94"/>
        <v>120501</v>
      </c>
      <c r="DW14" s="238" t="str">
        <f t="shared" si="61"/>
        <v>120502</v>
      </c>
      <c r="DX14" s="238" t="str">
        <f t="shared" si="61"/>
        <v>120503</v>
      </c>
      <c r="DY14" s="238" t="str">
        <f t="shared" si="61"/>
        <v>120504</v>
      </c>
      <c r="DZ14" s="238" t="str">
        <f t="shared" si="61"/>
        <v>120505</v>
      </c>
      <c r="EA14" s="238" t="str">
        <f t="shared" si="61"/>
        <v>120506</v>
      </c>
      <c r="EC14" s="238" t="str">
        <f t="shared" si="95"/>
        <v>120601</v>
      </c>
      <c r="ED14" s="238" t="str">
        <f t="shared" si="62"/>
        <v>120602</v>
      </c>
      <c r="EE14" s="238" t="str">
        <f t="shared" si="62"/>
        <v>120603</v>
      </c>
      <c r="EF14" s="238" t="str">
        <f t="shared" si="62"/>
        <v>120604</v>
      </c>
      <c r="EG14" s="238" t="str">
        <f t="shared" si="62"/>
        <v>120605</v>
      </c>
      <c r="EH14" s="238" t="str">
        <f t="shared" si="62"/>
        <v>120606</v>
      </c>
      <c r="EJ14" s="238" t="str">
        <f t="shared" si="96"/>
        <v>120701</v>
      </c>
      <c r="EK14" s="238" t="str">
        <f t="shared" si="63"/>
        <v>120702</v>
      </c>
      <c r="EL14" s="238" t="str">
        <f t="shared" si="63"/>
        <v>120703</v>
      </c>
      <c r="EM14" s="238" t="str">
        <f t="shared" si="63"/>
        <v>120704</v>
      </c>
      <c r="EN14" s="238" t="str">
        <f t="shared" si="63"/>
        <v>120705</v>
      </c>
      <c r="EO14" s="238" t="str">
        <f t="shared" si="63"/>
        <v>120706</v>
      </c>
      <c r="EQ14" s="238" t="str">
        <f t="shared" si="97"/>
        <v>120801</v>
      </c>
      <c r="ER14" s="238" t="str">
        <f t="shared" si="64"/>
        <v>120802</v>
      </c>
      <c r="ES14" s="238" t="str">
        <f t="shared" si="64"/>
        <v>120803</v>
      </c>
      <c r="ET14" s="238" t="str">
        <f t="shared" si="64"/>
        <v>120804</v>
      </c>
      <c r="EU14" s="238" t="str">
        <f t="shared" si="64"/>
        <v>120805</v>
      </c>
      <c r="EV14" s="238" t="str">
        <f t="shared" si="64"/>
        <v>120806</v>
      </c>
      <c r="EX14" s="238" t="str">
        <f t="shared" si="98"/>
        <v>120901</v>
      </c>
      <c r="EY14" s="238" t="str">
        <f t="shared" si="65"/>
        <v>120902</v>
      </c>
      <c r="EZ14" s="238" t="str">
        <f t="shared" si="65"/>
        <v>120903</v>
      </c>
      <c r="FA14" s="238" t="str">
        <f t="shared" si="65"/>
        <v>120904</v>
      </c>
      <c r="FB14" s="238" t="str">
        <f t="shared" si="65"/>
        <v>120905</v>
      </c>
      <c r="FC14" s="238" t="str">
        <f t="shared" si="65"/>
        <v>120906</v>
      </c>
      <c r="FE14" s="238" t="str">
        <f t="shared" si="99"/>
        <v>121001</v>
      </c>
      <c r="FF14" s="238" t="str">
        <f t="shared" si="66"/>
        <v>121002</v>
      </c>
      <c r="FG14" s="238" t="str">
        <f t="shared" si="66"/>
        <v>121003</v>
      </c>
      <c r="FH14" s="238" t="str">
        <f t="shared" si="66"/>
        <v>121004</v>
      </c>
      <c r="FI14" s="238" t="str">
        <f t="shared" si="66"/>
        <v>121005</v>
      </c>
      <c r="FJ14" s="238" t="str">
        <f t="shared" si="66"/>
        <v>121006</v>
      </c>
    </row>
    <row r="15" spans="1:166">
      <c r="B15" s="58" t="str">
        <f t="shared" si="67"/>
        <v>13</v>
      </c>
      <c r="C15" s="243"/>
      <c r="D15" s="251">
        <f t="shared" ca="1" si="68"/>
        <v>0</v>
      </c>
      <c r="E15" s="240" t="str">
        <f t="shared" ca="1" si="69"/>
        <v>18c</v>
      </c>
      <c r="F15" s="240">
        <f t="shared" ca="1" si="70"/>
        <v>0</v>
      </c>
      <c r="G15" s="242">
        <f t="shared" ca="1" si="71"/>
        <v>0</v>
      </c>
      <c r="H15" s="240">
        <f t="shared" ca="1" si="72"/>
        <v>0</v>
      </c>
      <c r="I15" s="241">
        <f t="shared" ca="1" si="73"/>
        <v>0</v>
      </c>
      <c r="J15" s="18" t="str">
        <f t="shared" si="74"/>
        <v>13</v>
      </c>
      <c r="K15" s="251" t="str">
        <f t="shared" ca="1" si="75"/>
        <v>26e</v>
      </c>
      <c r="L15" s="240" t="str">
        <f t="shared" ca="1" si="18"/>
        <v>13e</v>
      </c>
      <c r="M15" s="240" t="str">
        <f t="shared" ca="1" si="19"/>
        <v>9e</v>
      </c>
      <c r="N15" s="242">
        <f t="shared" ca="1" si="20"/>
        <v>0</v>
      </c>
      <c r="O15" s="240">
        <f t="shared" ca="1" si="21"/>
        <v>0</v>
      </c>
      <c r="P15" s="241">
        <f t="shared" ca="1" si="22"/>
        <v>0</v>
      </c>
      <c r="Q15" s="18" t="str">
        <f t="shared" si="76"/>
        <v>13</v>
      </c>
      <c r="R15" s="251" t="str">
        <f t="shared" ca="1" si="77"/>
        <v>20c</v>
      </c>
      <c r="S15" s="240" t="str">
        <f t="shared" ca="1" si="23"/>
        <v>9c</v>
      </c>
      <c r="T15" s="240">
        <f t="shared" ca="1" si="24"/>
        <v>0</v>
      </c>
      <c r="U15" s="242">
        <f t="shared" ca="1" si="25"/>
        <v>0</v>
      </c>
      <c r="V15" s="240">
        <f t="shared" ca="1" si="26"/>
        <v>0</v>
      </c>
      <c r="W15" s="241">
        <f t="shared" ca="1" si="27"/>
        <v>0</v>
      </c>
      <c r="X15" s="18" t="str">
        <f t="shared" si="78"/>
        <v>13</v>
      </c>
      <c r="Y15" s="251" t="str">
        <f t="shared" ca="1" si="79"/>
        <v>16s</v>
      </c>
      <c r="Z15" s="240">
        <f t="shared" ca="1" si="28"/>
        <v>0</v>
      </c>
      <c r="AA15" s="240">
        <f t="shared" ca="1" si="29"/>
        <v>0</v>
      </c>
      <c r="AB15" s="242">
        <f t="shared" ca="1" si="30"/>
        <v>0</v>
      </c>
      <c r="AC15" s="240">
        <f t="shared" ca="1" si="31"/>
        <v>0</v>
      </c>
      <c r="AD15" s="241">
        <f t="shared" ca="1" si="32"/>
        <v>0</v>
      </c>
      <c r="AE15" s="18" t="str">
        <f t="shared" si="80"/>
        <v>13</v>
      </c>
      <c r="AF15" s="251" t="str">
        <f t="shared" ca="1" si="81"/>
        <v>13s</v>
      </c>
      <c r="AG15" s="240" t="str">
        <f t="shared" ca="1" si="33"/>
        <v>7s</v>
      </c>
      <c r="AH15" s="240" t="str">
        <f t="shared" ca="1" si="34"/>
        <v>5s</v>
      </c>
      <c r="AI15" s="242" t="str">
        <f t="shared" ca="1" si="35"/>
        <v>3s</v>
      </c>
      <c r="AJ15" s="240">
        <f t="shared" ca="1" si="36"/>
        <v>0</v>
      </c>
      <c r="AK15" s="241">
        <f t="shared" ca="1" si="37"/>
        <v>0</v>
      </c>
      <c r="AL15" s="18" t="str">
        <f t="shared" si="82"/>
        <v>13</v>
      </c>
      <c r="AM15" s="251">
        <f t="shared" ca="1" si="83"/>
        <v>0</v>
      </c>
      <c r="AN15" s="240">
        <f t="shared" ca="1" si="38"/>
        <v>0</v>
      </c>
      <c r="AO15" s="240">
        <f t="shared" ca="1" si="39"/>
        <v>0</v>
      </c>
      <c r="AP15" s="242">
        <f t="shared" ca="1" si="40"/>
        <v>0</v>
      </c>
      <c r="AQ15" s="240">
        <f t="shared" ca="1" si="41"/>
        <v>0</v>
      </c>
      <c r="AR15" s="241">
        <f t="shared" ca="1" si="42"/>
        <v>0</v>
      </c>
      <c r="AS15" s="18" t="str">
        <f t="shared" si="84"/>
        <v>13</v>
      </c>
      <c r="AT15" s="251">
        <f t="shared" ca="1" si="85"/>
        <v>0</v>
      </c>
      <c r="AU15" s="240">
        <f t="shared" ca="1" si="43"/>
        <v>0</v>
      </c>
      <c r="AV15" s="240">
        <f t="shared" ca="1" si="44"/>
        <v>0</v>
      </c>
      <c r="AW15" s="242">
        <f t="shared" ca="1" si="45"/>
        <v>0</v>
      </c>
      <c r="AX15" s="240">
        <f t="shared" ca="1" si="46"/>
        <v>0</v>
      </c>
      <c r="AY15" s="241">
        <f t="shared" ca="1" si="47"/>
        <v>0</v>
      </c>
      <c r="AZ15" s="18" t="str">
        <f t="shared" si="86"/>
        <v>13</v>
      </c>
      <c r="BA15" s="251">
        <f t="shared" ca="1" si="87"/>
        <v>0</v>
      </c>
      <c r="BB15" s="240">
        <f t="shared" ca="1" si="48"/>
        <v>0</v>
      </c>
      <c r="BC15" s="240">
        <f t="shared" ca="1" si="49"/>
        <v>0</v>
      </c>
      <c r="BD15" s="242">
        <f t="shared" ca="1" si="50"/>
        <v>0</v>
      </c>
      <c r="BE15" s="240">
        <f t="shared" ca="1" si="51"/>
        <v>0</v>
      </c>
      <c r="BF15" s="241">
        <f t="shared" ca="1" si="52"/>
        <v>0</v>
      </c>
      <c r="BG15" s="18" t="str">
        <f t="shared" si="88"/>
        <v>13</v>
      </c>
      <c r="BH15" s="251">
        <f t="shared" ca="1" si="89"/>
        <v>0</v>
      </c>
      <c r="BI15" s="240">
        <f t="shared" ca="1" si="53"/>
        <v>0</v>
      </c>
      <c r="BJ15" s="240">
        <f t="shared" ca="1" si="54"/>
        <v>0</v>
      </c>
      <c r="BK15" s="242">
        <f t="shared" ca="1" si="55"/>
        <v>0</v>
      </c>
      <c r="BL15" s="240">
        <f t="shared" ca="1" si="56"/>
        <v>0</v>
      </c>
      <c r="BM15" s="241">
        <f t="shared" ca="1" si="57"/>
        <v>0</v>
      </c>
      <c r="CA15" s="16">
        <f t="shared" ca="1" si="8"/>
        <v>67</v>
      </c>
      <c r="CB15" s="16">
        <f t="shared" ca="1" si="9"/>
        <v>63</v>
      </c>
      <c r="CC15" s="16">
        <f t="shared" ca="1" si="10"/>
        <v>12</v>
      </c>
      <c r="CD15" s="16" t="str">
        <f t="shared" ca="1" si="11"/>
        <v>Intro!C</v>
      </c>
      <c r="CE15" s="16">
        <f t="shared" ca="1" si="12"/>
        <v>63</v>
      </c>
      <c r="CF15" s="16" t="str">
        <f t="shared" ca="1" si="13"/>
        <v>Intro!C63</v>
      </c>
      <c r="CH15" s="16" t="str">
        <f t="shared" ca="1" si="14"/>
        <v>Intro!C63:D75</v>
      </c>
      <c r="CI15" s="16" t="str">
        <f t="shared" ca="1" si="15"/>
        <v>120201_33c</v>
      </c>
      <c r="CJ15" s="16" t="str">
        <f t="shared" ca="1" si="6"/>
        <v>120201</v>
      </c>
      <c r="CK15" s="16">
        <f t="shared" ca="1" si="0"/>
        <v>2</v>
      </c>
      <c r="CL15" s="16">
        <f t="shared" ca="1" si="1"/>
        <v>12</v>
      </c>
      <c r="CM15" s="16">
        <f t="shared" ca="1" si="2"/>
        <v>1</v>
      </c>
      <c r="CN15" s="16">
        <f t="shared" ca="1" si="3"/>
        <v>33</v>
      </c>
      <c r="CO15" s="16" t="str">
        <f t="shared" ca="1" si="16"/>
        <v>c</v>
      </c>
      <c r="CY15" s="19" t="str">
        <f t="shared" si="90"/>
        <v>13</v>
      </c>
      <c r="DA15" s="238" t="str">
        <f t="shared" si="91"/>
        <v>130201</v>
      </c>
      <c r="DB15" s="238" t="str">
        <f t="shared" si="58"/>
        <v>130202</v>
      </c>
      <c r="DC15" s="238" t="str">
        <f t="shared" si="58"/>
        <v>130203</v>
      </c>
      <c r="DD15" s="238" t="str">
        <f t="shared" si="58"/>
        <v>130204</v>
      </c>
      <c r="DE15" s="238" t="str">
        <f t="shared" si="58"/>
        <v>130251</v>
      </c>
      <c r="DF15" s="238" t="str">
        <f t="shared" si="58"/>
        <v>130206</v>
      </c>
      <c r="DH15" s="238" t="str">
        <f t="shared" si="92"/>
        <v>130301</v>
      </c>
      <c r="DI15" s="238" t="str">
        <f t="shared" si="59"/>
        <v>130302</v>
      </c>
      <c r="DJ15" s="238" t="str">
        <f t="shared" si="59"/>
        <v>130303</v>
      </c>
      <c r="DK15" s="238" t="str">
        <f t="shared" si="59"/>
        <v>130304</v>
      </c>
      <c r="DL15" s="238" t="str">
        <f t="shared" si="59"/>
        <v>130305</v>
      </c>
      <c r="DM15" s="238" t="str">
        <f t="shared" si="59"/>
        <v>130306</v>
      </c>
      <c r="DO15" s="238" t="str">
        <f t="shared" si="93"/>
        <v>130401</v>
      </c>
      <c r="DP15" s="238" t="str">
        <f t="shared" si="60"/>
        <v>130402</v>
      </c>
      <c r="DQ15" s="238" t="str">
        <f t="shared" si="60"/>
        <v>130403</v>
      </c>
      <c r="DR15" s="238" t="str">
        <f t="shared" si="60"/>
        <v>130404</v>
      </c>
      <c r="DS15" s="238" t="str">
        <f t="shared" si="60"/>
        <v>130405</v>
      </c>
      <c r="DT15" s="238" t="str">
        <f t="shared" si="60"/>
        <v>130406</v>
      </c>
      <c r="DV15" s="238" t="str">
        <f t="shared" si="94"/>
        <v>130501</v>
      </c>
      <c r="DW15" s="238" t="str">
        <f t="shared" si="61"/>
        <v>130502</v>
      </c>
      <c r="DX15" s="238" t="str">
        <f t="shared" si="61"/>
        <v>130503</v>
      </c>
      <c r="DY15" s="238" t="str">
        <f t="shared" si="61"/>
        <v>130504</v>
      </c>
      <c r="DZ15" s="238" t="str">
        <f t="shared" si="61"/>
        <v>130505</v>
      </c>
      <c r="EA15" s="238" t="str">
        <f t="shared" si="61"/>
        <v>130506</v>
      </c>
      <c r="EC15" s="238" t="str">
        <f t="shared" si="95"/>
        <v>130601</v>
      </c>
      <c r="ED15" s="238" t="str">
        <f t="shared" si="62"/>
        <v>130602</v>
      </c>
      <c r="EE15" s="238" t="str">
        <f t="shared" si="62"/>
        <v>130603</v>
      </c>
      <c r="EF15" s="238" t="str">
        <f t="shared" si="62"/>
        <v>130604</v>
      </c>
      <c r="EG15" s="238" t="str">
        <f t="shared" si="62"/>
        <v>130605</v>
      </c>
      <c r="EH15" s="238" t="str">
        <f t="shared" si="62"/>
        <v>130606</v>
      </c>
      <c r="EJ15" s="238" t="str">
        <f t="shared" si="96"/>
        <v>130701</v>
      </c>
      <c r="EK15" s="238" t="str">
        <f t="shared" si="63"/>
        <v>130702</v>
      </c>
      <c r="EL15" s="238" t="str">
        <f t="shared" si="63"/>
        <v>130703</v>
      </c>
      <c r="EM15" s="238" t="str">
        <f t="shared" si="63"/>
        <v>130704</v>
      </c>
      <c r="EN15" s="238" t="str">
        <f t="shared" si="63"/>
        <v>130705</v>
      </c>
      <c r="EO15" s="238" t="str">
        <f t="shared" si="63"/>
        <v>130706</v>
      </c>
      <c r="EQ15" s="238" t="str">
        <f t="shared" si="97"/>
        <v>130801</v>
      </c>
      <c r="ER15" s="238" t="str">
        <f t="shared" si="64"/>
        <v>130802</v>
      </c>
      <c r="ES15" s="238" t="str">
        <f t="shared" si="64"/>
        <v>130803</v>
      </c>
      <c r="ET15" s="238" t="str">
        <f t="shared" si="64"/>
        <v>130804</v>
      </c>
      <c r="EU15" s="238" t="str">
        <f t="shared" si="64"/>
        <v>130805</v>
      </c>
      <c r="EV15" s="238" t="str">
        <f t="shared" si="64"/>
        <v>130806</v>
      </c>
      <c r="EX15" s="238" t="str">
        <f t="shared" si="98"/>
        <v>130901</v>
      </c>
      <c r="EY15" s="238" t="str">
        <f t="shared" si="65"/>
        <v>130902</v>
      </c>
      <c r="EZ15" s="238" t="str">
        <f t="shared" si="65"/>
        <v>130903</v>
      </c>
      <c r="FA15" s="238" t="str">
        <f t="shared" si="65"/>
        <v>130904</v>
      </c>
      <c r="FB15" s="238" t="str">
        <f t="shared" si="65"/>
        <v>130905</v>
      </c>
      <c r="FC15" s="238" t="str">
        <f t="shared" si="65"/>
        <v>130906</v>
      </c>
      <c r="FE15" s="238" t="str">
        <f t="shared" si="99"/>
        <v>131001</v>
      </c>
      <c r="FF15" s="238" t="str">
        <f t="shared" si="66"/>
        <v>131002</v>
      </c>
      <c r="FG15" s="238" t="str">
        <f t="shared" si="66"/>
        <v>131003</v>
      </c>
      <c r="FH15" s="238" t="str">
        <f t="shared" si="66"/>
        <v>131004</v>
      </c>
      <c r="FI15" s="238" t="str">
        <f t="shared" si="66"/>
        <v>131005</v>
      </c>
      <c r="FJ15" s="238" t="str">
        <f t="shared" si="66"/>
        <v>131006</v>
      </c>
    </row>
    <row r="16" spans="1:166">
      <c r="B16" s="58" t="str">
        <f t="shared" si="67"/>
        <v>14</v>
      </c>
      <c r="C16" s="243"/>
      <c r="D16" s="251">
        <f t="shared" ca="1" si="68"/>
        <v>0</v>
      </c>
      <c r="E16" s="240" t="str">
        <f t="shared" ca="1" si="69"/>
        <v>21c</v>
      </c>
      <c r="F16" s="240">
        <f t="shared" ca="1" si="70"/>
        <v>0</v>
      </c>
      <c r="G16" s="242">
        <f t="shared" ca="1" si="71"/>
        <v>0</v>
      </c>
      <c r="H16" s="240">
        <f t="shared" ca="1" si="72"/>
        <v>0</v>
      </c>
      <c r="I16" s="241">
        <f t="shared" ca="1" si="73"/>
        <v>0</v>
      </c>
      <c r="J16" s="18" t="str">
        <f t="shared" si="74"/>
        <v>14</v>
      </c>
      <c r="K16" s="251">
        <f t="shared" ca="1" si="75"/>
        <v>0</v>
      </c>
      <c r="L16" s="240" t="str">
        <f t="shared" ca="1" si="18"/>
        <v>14e</v>
      </c>
      <c r="M16" s="240" t="str">
        <f t="shared" ca="1" si="19"/>
        <v>10e</v>
      </c>
      <c r="N16" s="242">
        <f t="shared" ca="1" si="20"/>
        <v>0</v>
      </c>
      <c r="O16" s="240">
        <f t="shared" ca="1" si="21"/>
        <v>0</v>
      </c>
      <c r="P16" s="241">
        <f t="shared" ca="1" si="22"/>
        <v>0</v>
      </c>
      <c r="Q16" s="18" t="str">
        <f t="shared" si="76"/>
        <v>14</v>
      </c>
      <c r="R16" s="251" t="str">
        <f t="shared" ca="1" si="77"/>
        <v>26e</v>
      </c>
      <c r="S16" s="240" t="str">
        <f t="shared" ca="1" si="23"/>
        <v>11c</v>
      </c>
      <c r="T16" s="240" t="str">
        <f t="shared" ca="1" si="24"/>
        <v>10e</v>
      </c>
      <c r="U16" s="242">
        <f t="shared" ca="1" si="25"/>
        <v>0</v>
      </c>
      <c r="V16" s="240">
        <f t="shared" ca="1" si="26"/>
        <v>0</v>
      </c>
      <c r="W16" s="241">
        <f t="shared" ca="1" si="27"/>
        <v>0</v>
      </c>
      <c r="X16" s="18" t="str">
        <f t="shared" si="78"/>
        <v>14</v>
      </c>
      <c r="Y16" s="251">
        <f t="shared" ca="1" si="79"/>
        <v>0</v>
      </c>
      <c r="Z16" s="240" t="str">
        <f t="shared" ca="1" si="28"/>
        <v>9c</v>
      </c>
      <c r="AA16" s="240" t="str">
        <f t="shared" ca="1" si="29"/>
        <v>10e</v>
      </c>
      <c r="AB16" s="242">
        <f t="shared" ca="1" si="30"/>
        <v>0</v>
      </c>
      <c r="AC16" s="240">
        <f t="shared" ca="1" si="31"/>
        <v>0</v>
      </c>
      <c r="AD16" s="241">
        <f t="shared" ca="1" si="32"/>
        <v>0</v>
      </c>
      <c r="AE16" s="18" t="str">
        <f t="shared" si="80"/>
        <v>14</v>
      </c>
      <c r="AF16" s="251">
        <f t="shared" ca="1" si="81"/>
        <v>0</v>
      </c>
      <c r="AG16" s="240" t="str">
        <f t="shared" ca="1" si="33"/>
        <v>7s</v>
      </c>
      <c r="AH16" s="240" t="str">
        <f t="shared" ca="1" si="34"/>
        <v>6s</v>
      </c>
      <c r="AI16" s="242">
        <f t="shared" ca="1" si="35"/>
        <v>0</v>
      </c>
      <c r="AJ16" s="240">
        <f t="shared" ca="1" si="36"/>
        <v>0</v>
      </c>
      <c r="AK16" s="241">
        <f t="shared" ca="1" si="37"/>
        <v>0</v>
      </c>
      <c r="AL16" s="18" t="str">
        <f t="shared" si="82"/>
        <v>14</v>
      </c>
      <c r="AM16" s="251" t="str">
        <f t="shared" ca="1" si="83"/>
        <v>13s</v>
      </c>
      <c r="AN16" s="240" t="str">
        <f t="shared" ca="1" si="38"/>
        <v>7s</v>
      </c>
      <c r="AO16" s="240" t="str">
        <f t="shared" ca="1" si="39"/>
        <v>5s</v>
      </c>
      <c r="AP16" s="242">
        <f t="shared" ca="1" si="40"/>
        <v>0</v>
      </c>
      <c r="AQ16" s="240">
        <f t="shared" ca="1" si="41"/>
        <v>0</v>
      </c>
      <c r="AR16" s="241">
        <f t="shared" ca="1" si="42"/>
        <v>0</v>
      </c>
      <c r="AS16" s="18" t="str">
        <f t="shared" si="84"/>
        <v>14</v>
      </c>
      <c r="AT16" s="251">
        <f t="shared" ca="1" si="85"/>
        <v>0</v>
      </c>
      <c r="AU16" s="240">
        <f t="shared" ca="1" si="43"/>
        <v>0</v>
      </c>
      <c r="AV16" s="240">
        <f t="shared" ca="1" si="44"/>
        <v>0</v>
      </c>
      <c r="AW16" s="242">
        <f t="shared" ca="1" si="45"/>
        <v>0</v>
      </c>
      <c r="AX16" s="240">
        <f t="shared" ca="1" si="46"/>
        <v>0</v>
      </c>
      <c r="AY16" s="241">
        <f t="shared" ca="1" si="47"/>
        <v>0</v>
      </c>
      <c r="AZ16" s="18" t="str">
        <f t="shared" si="86"/>
        <v>14</v>
      </c>
      <c r="BA16" s="251">
        <f t="shared" ca="1" si="87"/>
        <v>0</v>
      </c>
      <c r="BB16" s="240">
        <f t="shared" ca="1" si="48"/>
        <v>0</v>
      </c>
      <c r="BC16" s="240">
        <f t="shared" ca="1" si="49"/>
        <v>0</v>
      </c>
      <c r="BD16" s="242">
        <f t="shared" ca="1" si="50"/>
        <v>0</v>
      </c>
      <c r="BE16" s="240">
        <f t="shared" ca="1" si="51"/>
        <v>0</v>
      </c>
      <c r="BF16" s="241">
        <f t="shared" ca="1" si="52"/>
        <v>0</v>
      </c>
      <c r="BG16" s="18" t="str">
        <f t="shared" si="88"/>
        <v>14</v>
      </c>
      <c r="BH16" s="251">
        <f t="shared" ca="1" si="89"/>
        <v>0</v>
      </c>
      <c r="BI16" s="240">
        <f t="shared" ca="1" si="53"/>
        <v>0</v>
      </c>
      <c r="BJ16" s="240">
        <f t="shared" ca="1" si="54"/>
        <v>0</v>
      </c>
      <c r="BK16" s="242">
        <f t="shared" ca="1" si="55"/>
        <v>0</v>
      </c>
      <c r="BL16" s="240">
        <f t="shared" ca="1" si="56"/>
        <v>0</v>
      </c>
      <c r="BM16" s="241">
        <f t="shared" ca="1" si="57"/>
        <v>0</v>
      </c>
      <c r="CA16" s="16">
        <f t="shared" ca="1" si="8"/>
        <v>67</v>
      </c>
      <c r="CB16" s="16">
        <f t="shared" ca="1" si="9"/>
        <v>64</v>
      </c>
      <c r="CC16" s="16">
        <f t="shared" ca="1" si="10"/>
        <v>11</v>
      </c>
      <c r="CD16" s="16" t="str">
        <f t="shared" ca="1" si="11"/>
        <v>Intro!C</v>
      </c>
      <c r="CE16" s="16">
        <f t="shared" ca="1" si="12"/>
        <v>64</v>
      </c>
      <c r="CF16" s="16" t="str">
        <f t="shared" ca="1" si="13"/>
        <v>Intro!C64</v>
      </c>
      <c r="CH16" s="16" t="str">
        <f t="shared" ca="1" si="14"/>
        <v>Intro!C64:D75</v>
      </c>
      <c r="CI16" s="16" t="str">
        <f t="shared" ca="1" si="15"/>
        <v>120202_15c</v>
      </c>
      <c r="CJ16" s="16" t="str">
        <f t="shared" ca="1" si="6"/>
        <v>120202</v>
      </c>
      <c r="CK16" s="16">
        <f t="shared" ca="1" si="0"/>
        <v>2</v>
      </c>
      <c r="CL16" s="16">
        <f t="shared" ca="1" si="1"/>
        <v>12</v>
      </c>
      <c r="CM16" s="16">
        <f t="shared" ca="1" si="2"/>
        <v>2</v>
      </c>
      <c r="CN16" s="16">
        <f t="shared" ca="1" si="3"/>
        <v>15</v>
      </c>
      <c r="CO16" s="16" t="str">
        <f t="shared" ca="1" si="16"/>
        <v>c</v>
      </c>
      <c r="CY16" s="19" t="str">
        <f t="shared" si="90"/>
        <v>14</v>
      </c>
      <c r="DA16" s="238" t="str">
        <f t="shared" si="91"/>
        <v>140201</v>
      </c>
      <c r="DB16" s="238" t="str">
        <f t="shared" si="58"/>
        <v>140202</v>
      </c>
      <c r="DC16" s="238" t="str">
        <f t="shared" si="58"/>
        <v>140203</v>
      </c>
      <c r="DD16" s="238" t="str">
        <f t="shared" si="58"/>
        <v>140204</v>
      </c>
      <c r="DE16" s="238" t="str">
        <f t="shared" si="58"/>
        <v>140251</v>
      </c>
      <c r="DF16" s="238" t="str">
        <f t="shared" si="58"/>
        <v>140206</v>
      </c>
      <c r="DH16" s="238" t="str">
        <f t="shared" si="92"/>
        <v>140301</v>
      </c>
      <c r="DI16" s="238" t="str">
        <f t="shared" si="59"/>
        <v>140302</v>
      </c>
      <c r="DJ16" s="238" t="str">
        <f t="shared" si="59"/>
        <v>140303</v>
      </c>
      <c r="DK16" s="238" t="str">
        <f t="shared" si="59"/>
        <v>140304</v>
      </c>
      <c r="DL16" s="238" t="str">
        <f t="shared" si="59"/>
        <v>140305</v>
      </c>
      <c r="DM16" s="238" t="str">
        <f t="shared" si="59"/>
        <v>140306</v>
      </c>
      <c r="DO16" s="238" t="str">
        <f t="shared" si="93"/>
        <v>140401</v>
      </c>
      <c r="DP16" s="238" t="str">
        <f t="shared" si="60"/>
        <v>140402</v>
      </c>
      <c r="DQ16" s="238" t="str">
        <f t="shared" si="60"/>
        <v>140403</v>
      </c>
      <c r="DR16" s="238" t="str">
        <f t="shared" si="60"/>
        <v>140404</v>
      </c>
      <c r="DS16" s="238" t="str">
        <f t="shared" si="60"/>
        <v>140405</v>
      </c>
      <c r="DT16" s="238" t="str">
        <f t="shared" si="60"/>
        <v>140406</v>
      </c>
      <c r="DV16" s="238" t="str">
        <f t="shared" si="94"/>
        <v>140501</v>
      </c>
      <c r="DW16" s="238" t="str">
        <f t="shared" si="61"/>
        <v>140502</v>
      </c>
      <c r="DX16" s="238" t="str">
        <f t="shared" si="61"/>
        <v>140503</v>
      </c>
      <c r="DY16" s="238" t="str">
        <f t="shared" si="61"/>
        <v>140504</v>
      </c>
      <c r="DZ16" s="238" t="str">
        <f t="shared" si="61"/>
        <v>140505</v>
      </c>
      <c r="EA16" s="238" t="str">
        <f t="shared" si="61"/>
        <v>140506</v>
      </c>
      <c r="EC16" s="238" t="str">
        <f t="shared" si="95"/>
        <v>140601</v>
      </c>
      <c r="ED16" s="238" t="str">
        <f t="shared" si="62"/>
        <v>140602</v>
      </c>
      <c r="EE16" s="238" t="str">
        <f t="shared" si="62"/>
        <v>140603</v>
      </c>
      <c r="EF16" s="238" t="str">
        <f t="shared" si="62"/>
        <v>140604</v>
      </c>
      <c r="EG16" s="238" t="str">
        <f t="shared" si="62"/>
        <v>140605</v>
      </c>
      <c r="EH16" s="238" t="str">
        <f t="shared" si="62"/>
        <v>140606</v>
      </c>
      <c r="EJ16" s="238" t="str">
        <f t="shared" si="96"/>
        <v>140701</v>
      </c>
      <c r="EK16" s="238" t="str">
        <f t="shared" si="63"/>
        <v>140702</v>
      </c>
      <c r="EL16" s="238" t="str">
        <f t="shared" si="63"/>
        <v>140703</v>
      </c>
      <c r="EM16" s="238" t="str">
        <f t="shared" si="63"/>
        <v>140704</v>
      </c>
      <c r="EN16" s="238" t="str">
        <f t="shared" si="63"/>
        <v>140705</v>
      </c>
      <c r="EO16" s="238" t="str">
        <f t="shared" si="63"/>
        <v>140706</v>
      </c>
      <c r="EQ16" s="238" t="str">
        <f t="shared" si="97"/>
        <v>140801</v>
      </c>
      <c r="ER16" s="238" t="str">
        <f t="shared" si="64"/>
        <v>140802</v>
      </c>
      <c r="ES16" s="238" t="str">
        <f t="shared" si="64"/>
        <v>140803</v>
      </c>
      <c r="ET16" s="238" t="str">
        <f t="shared" si="64"/>
        <v>140804</v>
      </c>
      <c r="EU16" s="238" t="str">
        <f t="shared" si="64"/>
        <v>140805</v>
      </c>
      <c r="EV16" s="238" t="str">
        <f t="shared" si="64"/>
        <v>140806</v>
      </c>
      <c r="EX16" s="238" t="str">
        <f t="shared" si="98"/>
        <v>140901</v>
      </c>
      <c r="EY16" s="238" t="str">
        <f t="shared" si="65"/>
        <v>140902</v>
      </c>
      <c r="EZ16" s="238" t="str">
        <f t="shared" si="65"/>
        <v>140903</v>
      </c>
      <c r="FA16" s="238" t="str">
        <f t="shared" si="65"/>
        <v>140904</v>
      </c>
      <c r="FB16" s="238" t="str">
        <f t="shared" si="65"/>
        <v>140905</v>
      </c>
      <c r="FC16" s="238" t="str">
        <f t="shared" si="65"/>
        <v>140906</v>
      </c>
      <c r="FE16" s="238" t="str">
        <f t="shared" si="99"/>
        <v>141001</v>
      </c>
      <c r="FF16" s="238" t="str">
        <f t="shared" si="66"/>
        <v>141002</v>
      </c>
      <c r="FG16" s="238" t="str">
        <f t="shared" si="66"/>
        <v>141003</v>
      </c>
      <c r="FH16" s="238" t="str">
        <f t="shared" si="66"/>
        <v>141004</v>
      </c>
      <c r="FI16" s="238" t="str">
        <f t="shared" si="66"/>
        <v>141005</v>
      </c>
      <c r="FJ16" s="238" t="str">
        <f t="shared" si="66"/>
        <v>141006</v>
      </c>
    </row>
    <row r="17" spans="2:166">
      <c r="B17" s="58" t="str">
        <f t="shared" si="67"/>
        <v>15</v>
      </c>
      <c r="C17" s="243"/>
      <c r="D17" s="251">
        <f t="shared" ca="1" si="68"/>
        <v>0</v>
      </c>
      <c r="E17" s="240">
        <f t="shared" ca="1" si="69"/>
        <v>0</v>
      </c>
      <c r="F17" s="240" t="str">
        <f t="shared" ca="1" si="70"/>
        <v>15c</v>
      </c>
      <c r="G17" s="242">
        <f t="shared" ca="1" si="71"/>
        <v>0</v>
      </c>
      <c r="H17" s="240">
        <f t="shared" ca="1" si="72"/>
        <v>0</v>
      </c>
      <c r="I17" s="241">
        <f t="shared" ca="1" si="73"/>
        <v>0</v>
      </c>
      <c r="J17" s="18" t="str">
        <f t="shared" si="74"/>
        <v>15</v>
      </c>
      <c r="K17" s="251">
        <f t="shared" ca="1" si="75"/>
        <v>0</v>
      </c>
      <c r="L17" s="240" t="str">
        <f t="shared" ca="1" si="18"/>
        <v>17c</v>
      </c>
      <c r="M17" s="240" t="str">
        <f t="shared" ca="1" si="19"/>
        <v>10e</v>
      </c>
      <c r="N17" s="242">
        <f t="shared" ca="1" si="20"/>
        <v>0</v>
      </c>
      <c r="O17" s="240">
        <f t="shared" ca="1" si="21"/>
        <v>0</v>
      </c>
      <c r="P17" s="241">
        <f t="shared" ca="1" si="22"/>
        <v>0</v>
      </c>
      <c r="Q17" s="18" t="str">
        <f t="shared" si="76"/>
        <v>15</v>
      </c>
      <c r="R17" s="251" t="str">
        <f t="shared" ca="1" si="77"/>
        <v>28c</v>
      </c>
      <c r="S17" s="240" t="str">
        <f t="shared" ca="1" si="23"/>
        <v>13c</v>
      </c>
      <c r="T17" s="240" t="str">
        <f t="shared" ca="1" si="24"/>
        <v>8c</v>
      </c>
      <c r="U17" s="242">
        <f t="shared" ca="1" si="25"/>
        <v>0</v>
      </c>
      <c r="V17" s="240">
        <f t="shared" ca="1" si="26"/>
        <v>0</v>
      </c>
      <c r="W17" s="241">
        <f t="shared" ca="1" si="27"/>
        <v>0</v>
      </c>
      <c r="X17" s="18" t="str">
        <f t="shared" si="78"/>
        <v>15</v>
      </c>
      <c r="Y17" s="251" t="str">
        <f t="shared" ca="1" si="79"/>
        <v>21c</v>
      </c>
      <c r="Z17" s="240" t="str">
        <f t="shared" ca="1" si="28"/>
        <v>10c</v>
      </c>
      <c r="AA17" s="240" t="str">
        <f t="shared" ca="1" si="29"/>
        <v>6c</v>
      </c>
      <c r="AB17" s="242">
        <f t="shared" ca="1" si="30"/>
        <v>0</v>
      </c>
      <c r="AC17" s="240">
        <f t="shared" ca="1" si="31"/>
        <v>0</v>
      </c>
      <c r="AD17" s="241">
        <f t="shared" ca="1" si="32"/>
        <v>0</v>
      </c>
      <c r="AE17" s="18" t="str">
        <f t="shared" si="80"/>
        <v>15</v>
      </c>
      <c r="AF17" s="251">
        <f t="shared" ca="1" si="81"/>
        <v>0</v>
      </c>
      <c r="AG17" s="240">
        <f t="shared" ca="1" si="33"/>
        <v>0</v>
      </c>
      <c r="AH17" s="240" t="str">
        <f t="shared" ca="1" si="34"/>
        <v>5s</v>
      </c>
      <c r="AI17" s="242">
        <f t="shared" ca="1" si="35"/>
        <v>0</v>
      </c>
      <c r="AJ17" s="240">
        <f t="shared" ca="1" si="36"/>
        <v>0</v>
      </c>
      <c r="AK17" s="241">
        <f t="shared" ca="1" si="37"/>
        <v>0</v>
      </c>
      <c r="AL17" s="18" t="str">
        <f t="shared" si="82"/>
        <v>15</v>
      </c>
      <c r="AM17" s="251" t="str">
        <f t="shared" ca="1" si="83"/>
        <v>15s</v>
      </c>
      <c r="AN17" s="240" t="str">
        <f t="shared" ca="1" si="38"/>
        <v>7s</v>
      </c>
      <c r="AO17" s="240">
        <f t="shared" ca="1" si="39"/>
        <v>0</v>
      </c>
      <c r="AP17" s="242">
        <f t="shared" ca="1" si="40"/>
        <v>0</v>
      </c>
      <c r="AQ17" s="240">
        <f t="shared" ca="1" si="41"/>
        <v>0</v>
      </c>
      <c r="AR17" s="241">
        <f t="shared" ca="1" si="42"/>
        <v>0</v>
      </c>
      <c r="AS17" s="18" t="str">
        <f t="shared" si="84"/>
        <v>15</v>
      </c>
      <c r="AT17" s="251">
        <f t="shared" ca="1" si="85"/>
        <v>0</v>
      </c>
      <c r="AU17" s="240">
        <f t="shared" ca="1" si="43"/>
        <v>0</v>
      </c>
      <c r="AV17" s="240">
        <f t="shared" ca="1" si="44"/>
        <v>0</v>
      </c>
      <c r="AW17" s="242">
        <f t="shared" ca="1" si="45"/>
        <v>0</v>
      </c>
      <c r="AX17" s="240">
        <f t="shared" ca="1" si="46"/>
        <v>0</v>
      </c>
      <c r="AY17" s="241">
        <f t="shared" ca="1" si="47"/>
        <v>0</v>
      </c>
      <c r="AZ17" s="18" t="str">
        <f t="shared" si="86"/>
        <v>15</v>
      </c>
      <c r="BA17" s="251">
        <f t="shared" ca="1" si="87"/>
        <v>0</v>
      </c>
      <c r="BB17" s="240">
        <f t="shared" ca="1" si="48"/>
        <v>0</v>
      </c>
      <c r="BC17" s="240">
        <f t="shared" ca="1" si="49"/>
        <v>0</v>
      </c>
      <c r="BD17" s="242">
        <f t="shared" ca="1" si="50"/>
        <v>0</v>
      </c>
      <c r="BE17" s="240">
        <f t="shared" ca="1" si="51"/>
        <v>0</v>
      </c>
      <c r="BF17" s="241">
        <f t="shared" ca="1" si="52"/>
        <v>0</v>
      </c>
      <c r="BG17" s="18" t="str">
        <f t="shared" si="88"/>
        <v>15</v>
      </c>
      <c r="BH17" s="251">
        <f t="shared" ca="1" si="89"/>
        <v>0</v>
      </c>
      <c r="BI17" s="240">
        <f t="shared" ca="1" si="53"/>
        <v>0</v>
      </c>
      <c r="BJ17" s="240">
        <f t="shared" ca="1" si="54"/>
        <v>0</v>
      </c>
      <c r="BK17" s="242">
        <f t="shared" ca="1" si="55"/>
        <v>0</v>
      </c>
      <c r="BL17" s="240">
        <f t="shared" ca="1" si="56"/>
        <v>0</v>
      </c>
      <c r="BM17" s="241">
        <f t="shared" ca="1" si="57"/>
        <v>0</v>
      </c>
      <c r="CA17" s="16">
        <f t="shared" ca="1" si="8"/>
        <v>67</v>
      </c>
      <c r="CB17" s="16">
        <f t="shared" ca="1" si="9"/>
        <v>65</v>
      </c>
      <c r="CC17" s="16">
        <f t="shared" ca="1" si="10"/>
        <v>10</v>
      </c>
      <c r="CD17" s="16" t="str">
        <f t="shared" ca="1" si="11"/>
        <v>Intro!C</v>
      </c>
      <c r="CE17" s="16">
        <f t="shared" ca="1" si="12"/>
        <v>65</v>
      </c>
      <c r="CF17" s="16" t="str">
        <f t="shared" ca="1" si="13"/>
        <v>Intro!C65</v>
      </c>
      <c r="CH17" s="16" t="str">
        <f t="shared" ca="1" si="14"/>
        <v>Intro!C65:D75</v>
      </c>
      <c r="CI17" s="16" t="str">
        <f t="shared" ca="1" si="15"/>
        <v>130202_18c</v>
      </c>
      <c r="CJ17" s="16" t="str">
        <f t="shared" ca="1" si="6"/>
        <v>130202</v>
      </c>
      <c r="CK17" s="16">
        <f t="shared" ca="1" si="0"/>
        <v>2</v>
      </c>
      <c r="CL17" s="16">
        <f t="shared" ca="1" si="1"/>
        <v>13</v>
      </c>
      <c r="CM17" s="16">
        <f t="shared" ca="1" si="2"/>
        <v>2</v>
      </c>
      <c r="CN17" s="16">
        <f t="shared" ca="1" si="3"/>
        <v>18</v>
      </c>
      <c r="CO17" s="16" t="str">
        <f t="shared" ca="1" si="16"/>
        <v>c</v>
      </c>
      <c r="CY17" s="19" t="str">
        <f t="shared" si="90"/>
        <v>15</v>
      </c>
      <c r="DA17" s="238" t="str">
        <f t="shared" si="91"/>
        <v>150201</v>
      </c>
      <c r="DB17" s="238" t="str">
        <f t="shared" si="58"/>
        <v>150202</v>
      </c>
      <c r="DC17" s="238" t="str">
        <f t="shared" si="58"/>
        <v>150203</v>
      </c>
      <c r="DD17" s="238" t="str">
        <f t="shared" si="58"/>
        <v>150204</v>
      </c>
      <c r="DE17" s="238" t="str">
        <f t="shared" si="58"/>
        <v>150251</v>
      </c>
      <c r="DF17" s="238" t="str">
        <f t="shared" si="58"/>
        <v>150206</v>
      </c>
      <c r="DH17" s="238" t="str">
        <f t="shared" si="92"/>
        <v>150301</v>
      </c>
      <c r="DI17" s="238" t="str">
        <f t="shared" si="59"/>
        <v>150302</v>
      </c>
      <c r="DJ17" s="238" t="str">
        <f t="shared" si="59"/>
        <v>150303</v>
      </c>
      <c r="DK17" s="238" t="str">
        <f t="shared" si="59"/>
        <v>150304</v>
      </c>
      <c r="DL17" s="238" t="str">
        <f t="shared" si="59"/>
        <v>150305</v>
      </c>
      <c r="DM17" s="238" t="str">
        <f t="shared" si="59"/>
        <v>150306</v>
      </c>
      <c r="DO17" s="238" t="str">
        <f t="shared" si="93"/>
        <v>150401</v>
      </c>
      <c r="DP17" s="238" t="str">
        <f t="shared" si="60"/>
        <v>150402</v>
      </c>
      <c r="DQ17" s="238" t="str">
        <f t="shared" si="60"/>
        <v>150403</v>
      </c>
      <c r="DR17" s="238" t="str">
        <f t="shared" si="60"/>
        <v>150404</v>
      </c>
      <c r="DS17" s="238" t="str">
        <f t="shared" si="60"/>
        <v>150405</v>
      </c>
      <c r="DT17" s="238" t="str">
        <f t="shared" si="60"/>
        <v>150406</v>
      </c>
      <c r="DV17" s="238" t="str">
        <f t="shared" si="94"/>
        <v>150501</v>
      </c>
      <c r="DW17" s="238" t="str">
        <f t="shared" si="61"/>
        <v>150502</v>
      </c>
      <c r="DX17" s="238" t="str">
        <f t="shared" si="61"/>
        <v>150503</v>
      </c>
      <c r="DY17" s="238" t="str">
        <f t="shared" si="61"/>
        <v>150504</v>
      </c>
      <c r="DZ17" s="238" t="str">
        <f t="shared" si="61"/>
        <v>150505</v>
      </c>
      <c r="EA17" s="238" t="str">
        <f t="shared" si="61"/>
        <v>150506</v>
      </c>
      <c r="EC17" s="238" t="str">
        <f t="shared" si="95"/>
        <v>150601</v>
      </c>
      <c r="ED17" s="238" t="str">
        <f t="shared" si="62"/>
        <v>150602</v>
      </c>
      <c r="EE17" s="238" t="str">
        <f t="shared" si="62"/>
        <v>150603</v>
      </c>
      <c r="EF17" s="238" t="str">
        <f t="shared" si="62"/>
        <v>150604</v>
      </c>
      <c r="EG17" s="238" t="str">
        <f t="shared" si="62"/>
        <v>150605</v>
      </c>
      <c r="EH17" s="238" t="str">
        <f t="shared" si="62"/>
        <v>150606</v>
      </c>
      <c r="EJ17" s="238" t="str">
        <f t="shared" si="96"/>
        <v>150701</v>
      </c>
      <c r="EK17" s="238" t="str">
        <f t="shared" si="63"/>
        <v>150702</v>
      </c>
      <c r="EL17" s="238" t="str">
        <f t="shared" si="63"/>
        <v>150703</v>
      </c>
      <c r="EM17" s="238" t="str">
        <f t="shared" si="63"/>
        <v>150704</v>
      </c>
      <c r="EN17" s="238" t="str">
        <f t="shared" si="63"/>
        <v>150705</v>
      </c>
      <c r="EO17" s="238" t="str">
        <f t="shared" si="63"/>
        <v>150706</v>
      </c>
      <c r="EQ17" s="238" t="str">
        <f t="shared" si="97"/>
        <v>150801</v>
      </c>
      <c r="ER17" s="238" t="str">
        <f t="shared" si="64"/>
        <v>150802</v>
      </c>
      <c r="ES17" s="238" t="str">
        <f t="shared" si="64"/>
        <v>150803</v>
      </c>
      <c r="ET17" s="238" t="str">
        <f t="shared" si="64"/>
        <v>150804</v>
      </c>
      <c r="EU17" s="238" t="str">
        <f t="shared" si="64"/>
        <v>150805</v>
      </c>
      <c r="EV17" s="238" t="str">
        <f t="shared" si="64"/>
        <v>150806</v>
      </c>
      <c r="EX17" s="238" t="str">
        <f t="shared" si="98"/>
        <v>150901</v>
      </c>
      <c r="EY17" s="238" t="str">
        <f t="shared" si="65"/>
        <v>150902</v>
      </c>
      <c r="EZ17" s="238" t="str">
        <f t="shared" si="65"/>
        <v>150903</v>
      </c>
      <c r="FA17" s="238" t="str">
        <f t="shared" si="65"/>
        <v>150904</v>
      </c>
      <c r="FB17" s="238" t="str">
        <f t="shared" si="65"/>
        <v>150905</v>
      </c>
      <c r="FC17" s="238" t="str">
        <f t="shared" si="65"/>
        <v>150906</v>
      </c>
      <c r="FE17" s="238" t="str">
        <f t="shared" si="99"/>
        <v>151001</v>
      </c>
      <c r="FF17" s="238" t="str">
        <f t="shared" si="66"/>
        <v>151002</v>
      </c>
      <c r="FG17" s="238" t="str">
        <f t="shared" si="66"/>
        <v>151003</v>
      </c>
      <c r="FH17" s="238" t="str">
        <f t="shared" si="66"/>
        <v>151004</v>
      </c>
      <c r="FI17" s="238" t="str">
        <f t="shared" si="66"/>
        <v>151005</v>
      </c>
      <c r="FJ17" s="238" t="str">
        <f t="shared" si="66"/>
        <v>151006</v>
      </c>
    </row>
    <row r="18" spans="2:166">
      <c r="B18" s="58" t="str">
        <f t="shared" si="67"/>
        <v>16</v>
      </c>
      <c r="C18" s="243"/>
      <c r="D18" s="251">
        <f t="shared" ca="1" si="68"/>
        <v>0</v>
      </c>
      <c r="E18" s="240" t="str">
        <f t="shared" ca="1" si="69"/>
        <v>28c</v>
      </c>
      <c r="F18" s="240">
        <f t="shared" ca="1" si="70"/>
        <v>0</v>
      </c>
      <c r="G18" s="242">
        <f t="shared" ca="1" si="71"/>
        <v>0</v>
      </c>
      <c r="H18" s="240">
        <f t="shared" ca="1" si="72"/>
        <v>0</v>
      </c>
      <c r="I18" s="241">
        <f t="shared" ca="1" si="73"/>
        <v>0</v>
      </c>
      <c r="J18" s="18" t="str">
        <f t="shared" si="74"/>
        <v>16</v>
      </c>
      <c r="K18" s="251">
        <f t="shared" ca="1" si="75"/>
        <v>0</v>
      </c>
      <c r="L18" s="240" t="str">
        <f t="shared" ca="1" si="18"/>
        <v>19c</v>
      </c>
      <c r="M18" s="240" t="str">
        <f t="shared" ca="1" si="19"/>
        <v>12c</v>
      </c>
      <c r="N18" s="242">
        <f t="shared" ca="1" si="20"/>
        <v>0</v>
      </c>
      <c r="O18" s="240">
        <f t="shared" ca="1" si="21"/>
        <v>0</v>
      </c>
      <c r="P18" s="241">
        <f t="shared" ca="1" si="22"/>
        <v>0</v>
      </c>
      <c r="Q18" s="18" t="str">
        <f t="shared" si="76"/>
        <v>16</v>
      </c>
      <c r="R18" s="251" t="str">
        <f t="shared" ca="1" si="77"/>
        <v>30e</v>
      </c>
      <c r="S18" s="240" t="str">
        <f t="shared" ca="1" si="23"/>
        <v>14e</v>
      </c>
      <c r="T18" s="240" t="str">
        <f t="shared" ca="1" si="24"/>
        <v>10e</v>
      </c>
      <c r="U18" s="242" t="str">
        <f t="shared" ca="1" si="25"/>
        <v>6e</v>
      </c>
      <c r="V18" s="240">
        <f t="shared" ca="1" si="26"/>
        <v>0</v>
      </c>
      <c r="W18" s="241">
        <f t="shared" ca="1" si="27"/>
        <v>0</v>
      </c>
      <c r="X18" s="18" t="str">
        <f t="shared" si="78"/>
        <v>16</v>
      </c>
      <c r="Y18" s="251">
        <f t="shared" ca="1" si="79"/>
        <v>0</v>
      </c>
      <c r="Z18" s="240" t="str">
        <f t="shared" ca="1" si="28"/>
        <v>12c</v>
      </c>
      <c r="AA18" s="240" t="str">
        <f t="shared" ca="1" si="29"/>
        <v>10e</v>
      </c>
      <c r="AB18" s="242">
        <f t="shared" ca="1" si="30"/>
        <v>0</v>
      </c>
      <c r="AC18" s="240">
        <f t="shared" ca="1" si="31"/>
        <v>0</v>
      </c>
      <c r="AD18" s="241">
        <f t="shared" ca="1" si="32"/>
        <v>0</v>
      </c>
      <c r="AE18" s="18" t="str">
        <f t="shared" si="80"/>
        <v>16</v>
      </c>
      <c r="AF18" s="251" t="str">
        <f t="shared" ca="1" si="81"/>
        <v>20s</v>
      </c>
      <c r="AG18" s="240" t="str">
        <f t="shared" ca="1" si="33"/>
        <v>11c</v>
      </c>
      <c r="AH18" s="240" t="str">
        <f t="shared" ca="1" si="34"/>
        <v>7s</v>
      </c>
      <c r="AI18" s="242" t="str">
        <f t="shared" ca="1" si="35"/>
        <v>4s</v>
      </c>
      <c r="AJ18" s="240">
        <f t="shared" ca="1" si="36"/>
        <v>0</v>
      </c>
      <c r="AK18" s="241">
        <f t="shared" ca="1" si="37"/>
        <v>0</v>
      </c>
      <c r="AL18" s="18" t="str">
        <f t="shared" si="82"/>
        <v>16</v>
      </c>
      <c r="AM18" s="251">
        <f t="shared" ca="1" si="83"/>
        <v>0</v>
      </c>
      <c r="AN18" s="240">
        <f t="shared" ca="1" si="38"/>
        <v>0</v>
      </c>
      <c r="AO18" s="240" t="str">
        <f t="shared" ca="1" si="39"/>
        <v>5s</v>
      </c>
      <c r="AP18" s="242">
        <f t="shared" ca="1" si="40"/>
        <v>0</v>
      </c>
      <c r="AQ18" s="240">
        <f t="shared" ca="1" si="41"/>
        <v>0</v>
      </c>
      <c r="AR18" s="241">
        <f t="shared" ca="1" si="42"/>
        <v>0</v>
      </c>
      <c r="AS18" s="18" t="str">
        <f t="shared" si="84"/>
        <v>16</v>
      </c>
      <c r="AT18" s="251" t="str">
        <f t="shared" ca="1" si="85"/>
        <v>15s</v>
      </c>
      <c r="AU18" s="240" t="str">
        <f t="shared" ca="1" si="43"/>
        <v>7s</v>
      </c>
      <c r="AV18" s="240" t="str">
        <f t="shared" ca="1" si="44"/>
        <v>5s</v>
      </c>
      <c r="AW18" s="242" t="str">
        <f t="shared" ca="1" si="45"/>
        <v>3s</v>
      </c>
      <c r="AX18" s="240">
        <f t="shared" ca="1" si="46"/>
        <v>0</v>
      </c>
      <c r="AY18" s="241">
        <f t="shared" ca="1" si="47"/>
        <v>0</v>
      </c>
      <c r="AZ18" s="18" t="str">
        <f t="shared" si="86"/>
        <v>16</v>
      </c>
      <c r="BA18" s="251">
        <f t="shared" ca="1" si="87"/>
        <v>0</v>
      </c>
      <c r="BB18" s="240">
        <f t="shared" ca="1" si="48"/>
        <v>0</v>
      </c>
      <c r="BC18" s="240">
        <f t="shared" ca="1" si="49"/>
        <v>0</v>
      </c>
      <c r="BD18" s="242">
        <f t="shared" ca="1" si="50"/>
        <v>0</v>
      </c>
      <c r="BE18" s="240">
        <f t="shared" ca="1" si="51"/>
        <v>0</v>
      </c>
      <c r="BF18" s="241">
        <f t="shared" ca="1" si="52"/>
        <v>0</v>
      </c>
      <c r="BG18" s="18" t="str">
        <f t="shared" si="88"/>
        <v>16</v>
      </c>
      <c r="BH18" s="251">
        <f t="shared" ca="1" si="89"/>
        <v>0</v>
      </c>
      <c r="BI18" s="240">
        <f t="shared" ca="1" si="53"/>
        <v>0</v>
      </c>
      <c r="BJ18" s="240">
        <f t="shared" ca="1" si="54"/>
        <v>0</v>
      </c>
      <c r="BK18" s="242">
        <f t="shared" ca="1" si="55"/>
        <v>0</v>
      </c>
      <c r="BL18" s="240">
        <f t="shared" ca="1" si="56"/>
        <v>0</v>
      </c>
      <c r="BM18" s="241">
        <f t="shared" ca="1" si="57"/>
        <v>0</v>
      </c>
      <c r="CA18" s="16">
        <f t="shared" ca="1" si="8"/>
        <v>67</v>
      </c>
      <c r="CB18" s="16">
        <f t="shared" ca="1" si="9"/>
        <v>66</v>
      </c>
      <c r="CC18" s="16">
        <f t="shared" ca="1" si="10"/>
        <v>9</v>
      </c>
      <c r="CD18" s="16" t="str">
        <f t="shared" ca="1" si="11"/>
        <v>Intro!C</v>
      </c>
      <c r="CE18" s="16">
        <f t="shared" ca="1" si="12"/>
        <v>66</v>
      </c>
      <c r="CF18" s="16" t="str">
        <f t="shared" ca="1" si="13"/>
        <v>Intro!C66</v>
      </c>
      <c r="CH18" s="16" t="str">
        <f t="shared" ca="1" si="14"/>
        <v>Intro!C66:D75</v>
      </c>
      <c r="CI18" s="16" t="str">
        <f t="shared" ca="1" si="15"/>
        <v>130202_20c</v>
      </c>
      <c r="CJ18" s="16" t="str">
        <f t="shared" ca="1" si="6"/>
        <v>130202</v>
      </c>
      <c r="CK18" s="16">
        <f t="shared" ca="1" si="0"/>
        <v>2</v>
      </c>
      <c r="CL18" s="16">
        <f t="shared" ca="1" si="1"/>
        <v>13</v>
      </c>
      <c r="CM18" s="16">
        <f t="shared" ca="1" si="2"/>
        <v>2</v>
      </c>
      <c r="CN18" s="16">
        <f t="shared" ca="1" si="3"/>
        <v>20</v>
      </c>
      <c r="CO18" s="16" t="str">
        <f t="shared" ca="1" si="16"/>
        <v>c</v>
      </c>
      <c r="CY18" s="19" t="str">
        <f t="shared" si="90"/>
        <v>16</v>
      </c>
      <c r="DA18" s="238" t="str">
        <f t="shared" si="91"/>
        <v>160201</v>
      </c>
      <c r="DB18" s="238" t="str">
        <f t="shared" si="58"/>
        <v>160202</v>
      </c>
      <c r="DC18" s="238" t="str">
        <f t="shared" si="58"/>
        <v>160203</v>
      </c>
      <c r="DD18" s="238" t="str">
        <f t="shared" si="58"/>
        <v>160204</v>
      </c>
      <c r="DE18" s="238" t="str">
        <f t="shared" si="58"/>
        <v>160251</v>
      </c>
      <c r="DF18" s="238" t="str">
        <f t="shared" si="58"/>
        <v>160206</v>
      </c>
      <c r="DH18" s="238" t="str">
        <f t="shared" si="92"/>
        <v>160301</v>
      </c>
      <c r="DI18" s="238" t="str">
        <f t="shared" si="59"/>
        <v>160302</v>
      </c>
      <c r="DJ18" s="238" t="str">
        <f t="shared" si="59"/>
        <v>160303</v>
      </c>
      <c r="DK18" s="238" t="str">
        <f t="shared" si="59"/>
        <v>160304</v>
      </c>
      <c r="DL18" s="238" t="str">
        <f t="shared" si="59"/>
        <v>160305</v>
      </c>
      <c r="DM18" s="238" t="str">
        <f t="shared" si="59"/>
        <v>160306</v>
      </c>
      <c r="DO18" s="238" t="str">
        <f t="shared" si="93"/>
        <v>160401</v>
      </c>
      <c r="DP18" s="238" t="str">
        <f t="shared" si="60"/>
        <v>160402</v>
      </c>
      <c r="DQ18" s="238" t="str">
        <f t="shared" si="60"/>
        <v>160403</v>
      </c>
      <c r="DR18" s="238" t="str">
        <f t="shared" si="60"/>
        <v>160404</v>
      </c>
      <c r="DS18" s="238" t="str">
        <f t="shared" si="60"/>
        <v>160405</v>
      </c>
      <c r="DT18" s="238" t="str">
        <f t="shared" si="60"/>
        <v>160406</v>
      </c>
      <c r="DV18" s="238" t="str">
        <f t="shared" si="94"/>
        <v>160501</v>
      </c>
      <c r="DW18" s="238" t="str">
        <f t="shared" si="61"/>
        <v>160502</v>
      </c>
      <c r="DX18" s="238" t="str">
        <f t="shared" si="61"/>
        <v>160503</v>
      </c>
      <c r="DY18" s="238" t="str">
        <f t="shared" si="61"/>
        <v>160504</v>
      </c>
      <c r="DZ18" s="238" t="str">
        <f t="shared" si="61"/>
        <v>160505</v>
      </c>
      <c r="EA18" s="238" t="str">
        <f t="shared" si="61"/>
        <v>160506</v>
      </c>
      <c r="EC18" s="238" t="str">
        <f t="shared" si="95"/>
        <v>160601</v>
      </c>
      <c r="ED18" s="238" t="str">
        <f t="shared" si="62"/>
        <v>160602</v>
      </c>
      <c r="EE18" s="238" t="str">
        <f t="shared" si="62"/>
        <v>160603</v>
      </c>
      <c r="EF18" s="238" t="str">
        <f t="shared" si="62"/>
        <v>160604</v>
      </c>
      <c r="EG18" s="238" t="str">
        <f t="shared" si="62"/>
        <v>160605</v>
      </c>
      <c r="EH18" s="238" t="str">
        <f t="shared" si="62"/>
        <v>160606</v>
      </c>
      <c r="EJ18" s="238" t="str">
        <f t="shared" si="96"/>
        <v>160701</v>
      </c>
      <c r="EK18" s="238" t="str">
        <f t="shared" si="63"/>
        <v>160702</v>
      </c>
      <c r="EL18" s="238" t="str">
        <f t="shared" si="63"/>
        <v>160703</v>
      </c>
      <c r="EM18" s="238" t="str">
        <f t="shared" si="63"/>
        <v>160704</v>
      </c>
      <c r="EN18" s="238" t="str">
        <f t="shared" si="63"/>
        <v>160705</v>
      </c>
      <c r="EO18" s="238" t="str">
        <f t="shared" si="63"/>
        <v>160706</v>
      </c>
      <c r="EQ18" s="238" t="str">
        <f t="shared" si="97"/>
        <v>160801</v>
      </c>
      <c r="ER18" s="238" t="str">
        <f t="shared" si="64"/>
        <v>160802</v>
      </c>
      <c r="ES18" s="238" t="str">
        <f t="shared" si="64"/>
        <v>160803</v>
      </c>
      <c r="ET18" s="238" t="str">
        <f t="shared" si="64"/>
        <v>160804</v>
      </c>
      <c r="EU18" s="238" t="str">
        <f t="shared" si="64"/>
        <v>160805</v>
      </c>
      <c r="EV18" s="238" t="str">
        <f t="shared" si="64"/>
        <v>160806</v>
      </c>
      <c r="EX18" s="238" t="str">
        <f t="shared" si="98"/>
        <v>160901</v>
      </c>
      <c r="EY18" s="238" t="str">
        <f t="shared" si="65"/>
        <v>160902</v>
      </c>
      <c r="EZ18" s="238" t="str">
        <f t="shared" si="65"/>
        <v>160903</v>
      </c>
      <c r="FA18" s="238" t="str">
        <f t="shared" si="65"/>
        <v>160904</v>
      </c>
      <c r="FB18" s="238" t="str">
        <f t="shared" si="65"/>
        <v>160905</v>
      </c>
      <c r="FC18" s="238" t="str">
        <f t="shared" si="65"/>
        <v>160906</v>
      </c>
      <c r="FE18" s="238" t="str">
        <f t="shared" si="99"/>
        <v>161001</v>
      </c>
      <c r="FF18" s="238" t="str">
        <f t="shared" si="66"/>
        <v>161002</v>
      </c>
      <c r="FG18" s="238" t="str">
        <f t="shared" si="66"/>
        <v>161003</v>
      </c>
      <c r="FH18" s="238" t="str">
        <f t="shared" si="66"/>
        <v>161004</v>
      </c>
      <c r="FI18" s="238" t="str">
        <f t="shared" si="66"/>
        <v>161005</v>
      </c>
      <c r="FJ18" s="238" t="str">
        <f t="shared" si="66"/>
        <v>161006</v>
      </c>
    </row>
    <row r="19" spans="2:166">
      <c r="B19" s="58" t="str">
        <f t="shared" si="67"/>
        <v>17</v>
      </c>
      <c r="C19" s="243"/>
      <c r="D19" s="251">
        <f t="shared" ca="1" si="68"/>
        <v>0</v>
      </c>
      <c r="E19" s="240">
        <f t="shared" ca="1" si="69"/>
        <v>0</v>
      </c>
      <c r="F19" s="240" t="str">
        <f t="shared" ca="1" si="70"/>
        <v>20c</v>
      </c>
      <c r="G19" s="242">
        <f t="shared" ca="1" si="71"/>
        <v>0</v>
      </c>
      <c r="H19" s="240">
        <f t="shared" ca="1" si="72"/>
        <v>0</v>
      </c>
      <c r="I19" s="241">
        <f t="shared" ca="1" si="73"/>
        <v>0</v>
      </c>
      <c r="J19" s="18" t="str">
        <f t="shared" si="74"/>
        <v>17</v>
      </c>
      <c r="K19" s="251">
        <f t="shared" ca="1" si="75"/>
        <v>0</v>
      </c>
      <c r="L19" s="240" t="str">
        <f t="shared" ca="1" si="18"/>
        <v>23e</v>
      </c>
      <c r="M19" s="240" t="str">
        <f t="shared" ca="1" si="19"/>
        <v>14c</v>
      </c>
      <c r="N19" s="242">
        <f t="shared" ca="1" si="20"/>
        <v>0</v>
      </c>
      <c r="O19" s="240">
        <f t="shared" ca="1" si="21"/>
        <v>0</v>
      </c>
      <c r="P19" s="241">
        <f t="shared" ca="1" si="22"/>
        <v>0</v>
      </c>
      <c r="Q19" s="18" t="str">
        <f t="shared" si="76"/>
        <v>17</v>
      </c>
      <c r="R19" s="251" t="str">
        <f t="shared" ca="1" si="77"/>
        <v>34e</v>
      </c>
      <c r="S19" s="240" t="str">
        <f t="shared" ca="1" si="23"/>
        <v>17e</v>
      </c>
      <c r="T19" s="240" t="str">
        <f t="shared" ca="1" si="24"/>
        <v>10e</v>
      </c>
      <c r="U19" s="242" t="str">
        <f t="shared" ca="1" si="25"/>
        <v>9e</v>
      </c>
      <c r="V19" s="240" t="str">
        <f t="shared" ca="1" si="26"/>
        <v>6e</v>
      </c>
      <c r="W19" s="241">
        <f t="shared" ca="1" si="27"/>
        <v>0</v>
      </c>
      <c r="X19" s="18" t="str">
        <f t="shared" si="78"/>
        <v>17</v>
      </c>
      <c r="Y19" s="251">
        <f t="shared" ca="1" si="79"/>
        <v>0</v>
      </c>
      <c r="Z19" s="240">
        <f t="shared" ca="1" si="28"/>
        <v>0</v>
      </c>
      <c r="AA19" s="240" t="str">
        <f t="shared" ca="1" si="29"/>
        <v>8c</v>
      </c>
      <c r="AB19" s="242">
        <f t="shared" ca="1" si="30"/>
        <v>0</v>
      </c>
      <c r="AC19" s="240">
        <f t="shared" ca="1" si="31"/>
        <v>0</v>
      </c>
      <c r="AD19" s="241">
        <f t="shared" ca="1" si="32"/>
        <v>0</v>
      </c>
      <c r="AE19" s="18" t="str">
        <f t="shared" si="80"/>
        <v>17</v>
      </c>
      <c r="AF19" s="251">
        <f t="shared" ca="1" si="81"/>
        <v>0</v>
      </c>
      <c r="AG19" s="240">
        <f t="shared" ca="1" si="33"/>
        <v>0</v>
      </c>
      <c r="AH19" s="240" t="str">
        <f t="shared" ca="1" si="34"/>
        <v>10e</v>
      </c>
      <c r="AI19" s="242">
        <f t="shared" ca="1" si="35"/>
        <v>0</v>
      </c>
      <c r="AJ19" s="240">
        <f t="shared" ca="1" si="36"/>
        <v>0</v>
      </c>
      <c r="AK19" s="241">
        <f t="shared" ca="1" si="37"/>
        <v>0</v>
      </c>
      <c r="AL19" s="18" t="str">
        <f t="shared" si="82"/>
        <v>17</v>
      </c>
      <c r="AM19" s="251">
        <f t="shared" ca="1" si="83"/>
        <v>0</v>
      </c>
      <c r="AN19" s="240">
        <f t="shared" ca="1" si="38"/>
        <v>0</v>
      </c>
      <c r="AO19" s="240">
        <f t="shared" ca="1" si="39"/>
        <v>0</v>
      </c>
      <c r="AP19" s="242">
        <f t="shared" ca="1" si="40"/>
        <v>0</v>
      </c>
      <c r="AQ19" s="240" t="str">
        <f t="shared" ca="1" si="41"/>
        <v>3s</v>
      </c>
      <c r="AR19" s="241">
        <f t="shared" ca="1" si="42"/>
        <v>0</v>
      </c>
      <c r="AS19" s="18" t="str">
        <f t="shared" si="84"/>
        <v>17</v>
      </c>
      <c r="AT19" s="251" t="str">
        <f t="shared" ca="1" si="85"/>
        <v>17s</v>
      </c>
      <c r="AU19" s="240" t="str">
        <f t="shared" ca="1" si="43"/>
        <v>9s</v>
      </c>
      <c r="AV19" s="240" t="str">
        <f t="shared" ca="1" si="44"/>
        <v>5s</v>
      </c>
      <c r="AW19" s="242" t="str">
        <f t="shared" ca="1" si="45"/>
        <v>5s</v>
      </c>
      <c r="AX19" s="240">
        <f t="shared" ca="1" si="46"/>
        <v>0</v>
      </c>
      <c r="AY19" s="241">
        <f t="shared" ca="1" si="47"/>
        <v>0</v>
      </c>
      <c r="AZ19" s="18" t="str">
        <f t="shared" si="86"/>
        <v>17</v>
      </c>
      <c r="BA19" s="251">
        <f t="shared" ca="1" si="87"/>
        <v>0</v>
      </c>
      <c r="BB19" s="240">
        <f t="shared" ca="1" si="48"/>
        <v>0</v>
      </c>
      <c r="BC19" s="240">
        <f t="shared" ca="1" si="49"/>
        <v>0</v>
      </c>
      <c r="BD19" s="242">
        <f t="shared" ca="1" si="50"/>
        <v>0</v>
      </c>
      <c r="BE19" s="240">
        <f t="shared" ca="1" si="51"/>
        <v>0</v>
      </c>
      <c r="BF19" s="241">
        <f t="shared" ca="1" si="52"/>
        <v>0</v>
      </c>
      <c r="BG19" s="18" t="str">
        <f t="shared" si="88"/>
        <v>17</v>
      </c>
      <c r="BH19" s="251">
        <f t="shared" ca="1" si="89"/>
        <v>0</v>
      </c>
      <c r="BI19" s="240">
        <f t="shared" ca="1" si="53"/>
        <v>0</v>
      </c>
      <c r="BJ19" s="240">
        <f t="shared" ca="1" si="54"/>
        <v>0</v>
      </c>
      <c r="BK19" s="242">
        <f t="shared" ca="1" si="55"/>
        <v>0</v>
      </c>
      <c r="BL19" s="240">
        <f t="shared" ca="1" si="56"/>
        <v>0</v>
      </c>
      <c r="BM19" s="241">
        <f t="shared" ca="1" si="57"/>
        <v>0</v>
      </c>
      <c r="CA19" s="16">
        <f t="shared" ca="1" si="8"/>
        <v>67</v>
      </c>
      <c r="CB19" s="16">
        <f t="shared" ca="1" si="9"/>
        <v>67</v>
      </c>
      <c r="CC19" s="16">
        <f t="shared" ca="1" si="10"/>
        <v>8</v>
      </c>
      <c r="CD19" s="16" t="str">
        <f t="shared" ca="1" si="11"/>
        <v>Intro!C</v>
      </c>
      <c r="CE19" s="16">
        <f t="shared" ca="1" si="12"/>
        <v>67</v>
      </c>
      <c r="CF19" s="16" t="str">
        <f t="shared" ca="1" si="13"/>
        <v>Intro!C67</v>
      </c>
      <c r="CH19" s="16" t="str">
        <f t="shared" ca="1" si="14"/>
        <v>Intro!C67:D75</v>
      </c>
      <c r="CI19" s="16" t="str">
        <f t="shared" ca="1" si="15"/>
        <v>130202_20c</v>
      </c>
      <c r="CJ19" s="16" t="str">
        <f t="shared" ca="1" si="6"/>
        <v>130202</v>
      </c>
      <c r="CK19" s="16">
        <f t="shared" ca="1" si="0"/>
        <v>2</v>
      </c>
      <c r="CL19" s="16">
        <f t="shared" ca="1" si="1"/>
        <v>13</v>
      </c>
      <c r="CM19" s="16">
        <f t="shared" ca="1" si="2"/>
        <v>2</v>
      </c>
      <c r="CN19" s="16">
        <f t="shared" ca="1" si="3"/>
        <v>20</v>
      </c>
      <c r="CO19" s="16" t="str">
        <f t="shared" ca="1" si="16"/>
        <v>c</v>
      </c>
      <c r="CY19" s="19" t="str">
        <f t="shared" si="90"/>
        <v>17</v>
      </c>
      <c r="DA19" s="238" t="str">
        <f t="shared" si="91"/>
        <v>170201</v>
      </c>
      <c r="DB19" s="238" t="str">
        <f t="shared" si="58"/>
        <v>170202</v>
      </c>
      <c r="DC19" s="238" t="str">
        <f t="shared" si="58"/>
        <v>170203</v>
      </c>
      <c r="DD19" s="238" t="str">
        <f t="shared" si="58"/>
        <v>170204</v>
      </c>
      <c r="DE19" s="238" t="str">
        <f t="shared" si="58"/>
        <v>170251</v>
      </c>
      <c r="DF19" s="238" t="str">
        <f t="shared" si="58"/>
        <v>170206</v>
      </c>
      <c r="DH19" s="238" t="str">
        <f t="shared" si="92"/>
        <v>170301</v>
      </c>
      <c r="DI19" s="238" t="str">
        <f t="shared" si="59"/>
        <v>170302</v>
      </c>
      <c r="DJ19" s="238" t="str">
        <f t="shared" si="59"/>
        <v>170303</v>
      </c>
      <c r="DK19" s="238" t="str">
        <f t="shared" si="59"/>
        <v>170304</v>
      </c>
      <c r="DL19" s="238" t="str">
        <f t="shared" si="59"/>
        <v>170305</v>
      </c>
      <c r="DM19" s="238" t="str">
        <f t="shared" si="59"/>
        <v>170306</v>
      </c>
      <c r="DO19" s="238" t="str">
        <f t="shared" si="93"/>
        <v>170401</v>
      </c>
      <c r="DP19" s="238" t="str">
        <f t="shared" si="60"/>
        <v>170402</v>
      </c>
      <c r="DQ19" s="238" t="str">
        <f t="shared" si="60"/>
        <v>170403</v>
      </c>
      <c r="DR19" s="238" t="str">
        <f t="shared" si="60"/>
        <v>170404</v>
      </c>
      <c r="DS19" s="238" t="str">
        <f t="shared" si="60"/>
        <v>170405</v>
      </c>
      <c r="DT19" s="238" t="str">
        <f t="shared" si="60"/>
        <v>170406</v>
      </c>
      <c r="DV19" s="238" t="str">
        <f t="shared" si="94"/>
        <v>170501</v>
      </c>
      <c r="DW19" s="238" t="str">
        <f t="shared" si="61"/>
        <v>170502</v>
      </c>
      <c r="DX19" s="238" t="str">
        <f t="shared" si="61"/>
        <v>170503</v>
      </c>
      <c r="DY19" s="238" t="str">
        <f t="shared" si="61"/>
        <v>170504</v>
      </c>
      <c r="DZ19" s="238" t="str">
        <f t="shared" si="61"/>
        <v>170505</v>
      </c>
      <c r="EA19" s="238" t="str">
        <f t="shared" si="61"/>
        <v>170506</v>
      </c>
      <c r="EC19" s="238" t="str">
        <f t="shared" si="95"/>
        <v>170601</v>
      </c>
      <c r="ED19" s="238" t="str">
        <f t="shared" si="62"/>
        <v>170602</v>
      </c>
      <c r="EE19" s="238" t="str">
        <f t="shared" si="62"/>
        <v>170603</v>
      </c>
      <c r="EF19" s="238" t="str">
        <f t="shared" si="62"/>
        <v>170604</v>
      </c>
      <c r="EG19" s="238" t="str">
        <f t="shared" si="62"/>
        <v>170605</v>
      </c>
      <c r="EH19" s="238" t="str">
        <f t="shared" si="62"/>
        <v>170606</v>
      </c>
      <c r="EJ19" s="238" t="str">
        <f t="shared" si="96"/>
        <v>170701</v>
      </c>
      <c r="EK19" s="238" t="str">
        <f t="shared" si="63"/>
        <v>170702</v>
      </c>
      <c r="EL19" s="238" t="str">
        <f t="shared" si="63"/>
        <v>170703</v>
      </c>
      <c r="EM19" s="238" t="str">
        <f t="shared" si="63"/>
        <v>170704</v>
      </c>
      <c r="EN19" s="238" t="str">
        <f t="shared" si="63"/>
        <v>170705</v>
      </c>
      <c r="EO19" s="238" t="str">
        <f t="shared" si="63"/>
        <v>170706</v>
      </c>
      <c r="EQ19" s="238" t="str">
        <f t="shared" si="97"/>
        <v>170801</v>
      </c>
      <c r="ER19" s="238" t="str">
        <f t="shared" si="64"/>
        <v>170802</v>
      </c>
      <c r="ES19" s="238" t="str">
        <f t="shared" si="64"/>
        <v>170803</v>
      </c>
      <c r="ET19" s="238" t="str">
        <f t="shared" si="64"/>
        <v>170804</v>
      </c>
      <c r="EU19" s="238" t="str">
        <f t="shared" si="64"/>
        <v>170805</v>
      </c>
      <c r="EV19" s="238" t="str">
        <f t="shared" si="64"/>
        <v>170806</v>
      </c>
      <c r="EX19" s="238" t="str">
        <f t="shared" si="98"/>
        <v>170901</v>
      </c>
      <c r="EY19" s="238" t="str">
        <f t="shared" si="65"/>
        <v>170902</v>
      </c>
      <c r="EZ19" s="238" t="str">
        <f t="shared" si="65"/>
        <v>170903</v>
      </c>
      <c r="FA19" s="238" t="str">
        <f t="shared" si="65"/>
        <v>170904</v>
      </c>
      <c r="FB19" s="238" t="str">
        <f t="shared" si="65"/>
        <v>170905</v>
      </c>
      <c r="FC19" s="238" t="str">
        <f t="shared" si="65"/>
        <v>170906</v>
      </c>
      <c r="FE19" s="238" t="str">
        <f t="shared" si="99"/>
        <v>171001</v>
      </c>
      <c r="FF19" s="238" t="str">
        <f t="shared" si="66"/>
        <v>171002</v>
      </c>
      <c r="FG19" s="238" t="str">
        <f t="shared" si="66"/>
        <v>171003</v>
      </c>
      <c r="FH19" s="238" t="str">
        <f t="shared" si="66"/>
        <v>171004</v>
      </c>
      <c r="FI19" s="238" t="str">
        <f t="shared" si="66"/>
        <v>171005</v>
      </c>
      <c r="FJ19" s="238" t="str">
        <f t="shared" si="66"/>
        <v>171006</v>
      </c>
    </row>
    <row r="20" spans="2:166">
      <c r="B20" s="58" t="str">
        <f t="shared" si="67"/>
        <v>18</v>
      </c>
      <c r="C20" s="243"/>
      <c r="D20" s="251">
        <f t="shared" ca="1" si="68"/>
        <v>0</v>
      </c>
      <c r="E20" s="240">
        <f t="shared" ca="1" si="69"/>
        <v>0</v>
      </c>
      <c r="F20" s="240" t="str">
        <f t="shared" ca="1" si="70"/>
        <v>23c</v>
      </c>
      <c r="G20" s="242">
        <f t="shared" ca="1" si="71"/>
        <v>0</v>
      </c>
      <c r="H20" s="240">
        <f t="shared" ca="1" si="72"/>
        <v>0</v>
      </c>
      <c r="I20" s="241">
        <f t="shared" ca="1" si="73"/>
        <v>0</v>
      </c>
      <c r="J20" s="18" t="str">
        <f t="shared" si="74"/>
        <v>18</v>
      </c>
      <c r="K20" s="251">
        <f t="shared" ca="1" si="75"/>
        <v>0</v>
      </c>
      <c r="L20" s="240" t="str">
        <f t="shared" ca="1" si="18"/>
        <v>24e</v>
      </c>
      <c r="M20" s="240" t="str">
        <f t="shared" ca="1" si="19"/>
        <v>15c</v>
      </c>
      <c r="N20" s="242">
        <f t="shared" ca="1" si="20"/>
        <v>0</v>
      </c>
      <c r="O20" s="240">
        <f t="shared" ca="1" si="21"/>
        <v>0</v>
      </c>
      <c r="P20" s="241">
        <f t="shared" ca="1" si="22"/>
        <v>0</v>
      </c>
      <c r="Q20" s="18" t="str">
        <f t="shared" si="76"/>
        <v>18</v>
      </c>
      <c r="R20" s="251">
        <f t="shared" ca="1" si="77"/>
        <v>0</v>
      </c>
      <c r="S20" s="240" t="str">
        <f t="shared" ca="1" si="23"/>
        <v>18e</v>
      </c>
      <c r="T20" s="240" t="str">
        <f t="shared" ca="1" si="24"/>
        <v>12c</v>
      </c>
      <c r="U20" s="242" t="str">
        <f t="shared" ca="1" si="25"/>
        <v>9e</v>
      </c>
      <c r="V20" s="240">
        <f t="shared" ca="1" si="26"/>
        <v>0</v>
      </c>
      <c r="W20" s="241">
        <f t="shared" ca="1" si="27"/>
        <v>0</v>
      </c>
      <c r="X20" s="18" t="str">
        <f t="shared" si="78"/>
        <v>18</v>
      </c>
      <c r="Y20" s="251" t="str">
        <f t="shared" ca="1" si="79"/>
        <v>34e</v>
      </c>
      <c r="Z20" s="240" t="str">
        <f t="shared" ca="1" si="28"/>
        <v>15c</v>
      </c>
      <c r="AA20" s="240" t="str">
        <f t="shared" ca="1" si="29"/>
        <v>9c</v>
      </c>
      <c r="AB20" s="242" t="str">
        <f t="shared" ca="1" si="30"/>
        <v>10e</v>
      </c>
      <c r="AC20" s="240">
        <f t="shared" ca="1" si="31"/>
        <v>0</v>
      </c>
      <c r="AD20" s="241">
        <f t="shared" ca="1" si="32"/>
        <v>0</v>
      </c>
      <c r="AE20" s="18" t="str">
        <f t="shared" si="80"/>
        <v>18</v>
      </c>
      <c r="AF20" s="251">
        <f t="shared" ca="1" si="81"/>
        <v>0</v>
      </c>
      <c r="AG20" s="240">
        <f t="shared" ca="1" si="33"/>
        <v>0</v>
      </c>
      <c r="AH20" s="240" t="str">
        <f t="shared" ca="1" si="34"/>
        <v>10e</v>
      </c>
      <c r="AI20" s="242">
        <f t="shared" ca="1" si="35"/>
        <v>0</v>
      </c>
      <c r="AJ20" s="240">
        <f t="shared" ca="1" si="36"/>
        <v>0</v>
      </c>
      <c r="AK20" s="241">
        <f t="shared" ca="1" si="37"/>
        <v>0</v>
      </c>
      <c r="AL20" s="18" t="str">
        <f t="shared" si="82"/>
        <v>18</v>
      </c>
      <c r="AM20" s="251">
        <f t="shared" ca="1" si="83"/>
        <v>0</v>
      </c>
      <c r="AN20" s="240">
        <f t="shared" ca="1" si="38"/>
        <v>0</v>
      </c>
      <c r="AO20" s="240">
        <f t="shared" ca="1" si="39"/>
        <v>0</v>
      </c>
      <c r="AP20" s="242">
        <f t="shared" ca="1" si="40"/>
        <v>0</v>
      </c>
      <c r="AQ20" s="240">
        <f t="shared" ca="1" si="41"/>
        <v>0</v>
      </c>
      <c r="AR20" s="241">
        <f t="shared" ca="1" si="42"/>
        <v>0</v>
      </c>
      <c r="AS20" s="18" t="str">
        <f t="shared" si="84"/>
        <v>18</v>
      </c>
      <c r="AT20" s="251" t="str">
        <f t="shared" ca="1" si="85"/>
        <v>20L</v>
      </c>
      <c r="AU20" s="240" t="str">
        <f t="shared" ca="1" si="43"/>
        <v>9s</v>
      </c>
      <c r="AV20" s="240" t="str">
        <f t="shared" ca="1" si="44"/>
        <v>6c</v>
      </c>
      <c r="AW20" s="242" t="str">
        <f t="shared" ca="1" si="45"/>
        <v>5s</v>
      </c>
      <c r="AX20" s="240">
        <f t="shared" ca="1" si="46"/>
        <v>0</v>
      </c>
      <c r="AY20" s="241">
        <f t="shared" ca="1" si="47"/>
        <v>0</v>
      </c>
      <c r="AZ20" s="18" t="str">
        <f t="shared" si="86"/>
        <v>18</v>
      </c>
      <c r="BA20" s="251" t="str">
        <f t="shared" ca="1" si="87"/>
        <v>17s</v>
      </c>
      <c r="BB20" s="240" t="str">
        <f t="shared" ca="1" si="48"/>
        <v>9s</v>
      </c>
      <c r="BC20" s="240" t="str">
        <f t="shared" ca="1" si="49"/>
        <v>5s</v>
      </c>
      <c r="BD20" s="242" t="str">
        <f t="shared" ca="1" si="50"/>
        <v>5s</v>
      </c>
      <c r="BE20" s="240">
        <f t="shared" ca="1" si="51"/>
        <v>0</v>
      </c>
      <c r="BF20" s="241">
        <f t="shared" ca="1" si="52"/>
        <v>0</v>
      </c>
      <c r="BG20" s="18" t="str">
        <f t="shared" si="88"/>
        <v>18</v>
      </c>
      <c r="BH20" s="251">
        <f t="shared" ca="1" si="89"/>
        <v>0</v>
      </c>
      <c r="BI20" s="240">
        <f t="shared" ca="1" si="53"/>
        <v>0</v>
      </c>
      <c r="BJ20" s="240">
        <f t="shared" ca="1" si="54"/>
        <v>0</v>
      </c>
      <c r="BK20" s="242">
        <f t="shared" ca="1" si="55"/>
        <v>0</v>
      </c>
      <c r="BL20" s="240">
        <f t="shared" ca="1" si="56"/>
        <v>0</v>
      </c>
      <c r="BM20" s="241">
        <f t="shared" ca="1" si="57"/>
        <v>0</v>
      </c>
      <c r="CA20" s="16">
        <f t="shared" ca="1" si="8"/>
        <v>67</v>
      </c>
      <c r="CB20" s="16">
        <f t="shared" ca="1" si="9"/>
        <v>68</v>
      </c>
      <c r="CC20" s="16">
        <f t="shared" ca="1" si="10"/>
        <v>7</v>
      </c>
      <c r="CD20" s="16" t="str">
        <f t="shared" ca="1" si="11"/>
        <v>Intro!C</v>
      </c>
      <c r="CE20" s="16">
        <f t="shared" ca="1" si="12"/>
        <v>68</v>
      </c>
      <c r="CF20" s="16" t="str">
        <f t="shared" ca="1" si="13"/>
        <v>Intro!C68</v>
      </c>
      <c r="CH20" s="16" t="str">
        <f t="shared" ca="1" si="14"/>
        <v>Intro!C68:D75</v>
      </c>
      <c r="CI20" s="16" t="str">
        <f t="shared" ca="1" si="15"/>
        <v>140202_21c</v>
      </c>
      <c r="CJ20" s="16" t="str">
        <f t="shared" ca="1" si="6"/>
        <v>140202</v>
      </c>
      <c r="CK20" s="16">
        <f t="shared" ca="1" si="0"/>
        <v>2</v>
      </c>
      <c r="CL20" s="16">
        <f t="shared" ca="1" si="1"/>
        <v>14</v>
      </c>
      <c r="CM20" s="16">
        <f t="shared" ca="1" si="2"/>
        <v>2</v>
      </c>
      <c r="CN20" s="16">
        <f t="shared" ca="1" si="3"/>
        <v>21</v>
      </c>
      <c r="CO20" s="16" t="str">
        <f t="shared" ca="1" si="16"/>
        <v>c</v>
      </c>
      <c r="CY20" s="19" t="str">
        <f t="shared" si="90"/>
        <v>18</v>
      </c>
      <c r="DA20" s="238" t="str">
        <f t="shared" si="91"/>
        <v>180201</v>
      </c>
      <c r="DB20" s="238" t="str">
        <f t="shared" si="58"/>
        <v>180202</v>
      </c>
      <c r="DC20" s="238" t="str">
        <f t="shared" si="58"/>
        <v>180203</v>
      </c>
      <c r="DD20" s="238" t="str">
        <f t="shared" si="58"/>
        <v>180204</v>
      </c>
      <c r="DE20" s="238" t="str">
        <f t="shared" si="58"/>
        <v>180251</v>
      </c>
      <c r="DF20" s="238" t="str">
        <f t="shared" si="58"/>
        <v>180206</v>
      </c>
      <c r="DH20" s="238" t="str">
        <f t="shared" si="92"/>
        <v>180301</v>
      </c>
      <c r="DI20" s="238" t="str">
        <f t="shared" si="59"/>
        <v>180302</v>
      </c>
      <c r="DJ20" s="238" t="str">
        <f t="shared" si="59"/>
        <v>180303</v>
      </c>
      <c r="DK20" s="238" t="str">
        <f t="shared" si="59"/>
        <v>180304</v>
      </c>
      <c r="DL20" s="238" t="str">
        <f t="shared" si="59"/>
        <v>180305</v>
      </c>
      <c r="DM20" s="238" t="str">
        <f t="shared" si="59"/>
        <v>180306</v>
      </c>
      <c r="DO20" s="238" t="str">
        <f t="shared" si="93"/>
        <v>180401</v>
      </c>
      <c r="DP20" s="238" t="str">
        <f t="shared" si="60"/>
        <v>180402</v>
      </c>
      <c r="DQ20" s="238" t="str">
        <f t="shared" si="60"/>
        <v>180403</v>
      </c>
      <c r="DR20" s="238" t="str">
        <f t="shared" si="60"/>
        <v>180404</v>
      </c>
      <c r="DS20" s="238" t="str">
        <f t="shared" si="60"/>
        <v>180405</v>
      </c>
      <c r="DT20" s="238" t="str">
        <f t="shared" si="60"/>
        <v>180406</v>
      </c>
      <c r="DV20" s="238" t="str">
        <f t="shared" si="94"/>
        <v>180501</v>
      </c>
      <c r="DW20" s="238" t="str">
        <f t="shared" si="61"/>
        <v>180502</v>
      </c>
      <c r="DX20" s="238" t="str">
        <f t="shared" si="61"/>
        <v>180503</v>
      </c>
      <c r="DY20" s="238" t="str">
        <f t="shared" si="61"/>
        <v>180504</v>
      </c>
      <c r="DZ20" s="238" t="str">
        <f t="shared" si="61"/>
        <v>180505</v>
      </c>
      <c r="EA20" s="238" t="str">
        <f t="shared" si="61"/>
        <v>180506</v>
      </c>
      <c r="EC20" s="238" t="str">
        <f t="shared" si="95"/>
        <v>180601</v>
      </c>
      <c r="ED20" s="238" t="str">
        <f t="shared" si="62"/>
        <v>180602</v>
      </c>
      <c r="EE20" s="238" t="str">
        <f t="shared" si="62"/>
        <v>180603</v>
      </c>
      <c r="EF20" s="238" t="str">
        <f t="shared" si="62"/>
        <v>180604</v>
      </c>
      <c r="EG20" s="238" t="str">
        <f t="shared" si="62"/>
        <v>180605</v>
      </c>
      <c r="EH20" s="238" t="str">
        <f t="shared" si="62"/>
        <v>180606</v>
      </c>
      <c r="EJ20" s="238" t="str">
        <f t="shared" si="96"/>
        <v>180701</v>
      </c>
      <c r="EK20" s="238" t="str">
        <f t="shared" si="63"/>
        <v>180702</v>
      </c>
      <c r="EL20" s="238" t="str">
        <f t="shared" si="63"/>
        <v>180703</v>
      </c>
      <c r="EM20" s="238" t="str">
        <f t="shared" si="63"/>
        <v>180704</v>
      </c>
      <c r="EN20" s="238" t="str">
        <f t="shared" si="63"/>
        <v>180705</v>
      </c>
      <c r="EO20" s="238" t="str">
        <f t="shared" si="63"/>
        <v>180706</v>
      </c>
      <c r="EQ20" s="238" t="str">
        <f t="shared" si="97"/>
        <v>180801</v>
      </c>
      <c r="ER20" s="238" t="str">
        <f t="shared" si="64"/>
        <v>180802</v>
      </c>
      <c r="ES20" s="238" t="str">
        <f t="shared" si="64"/>
        <v>180803</v>
      </c>
      <c r="ET20" s="238" t="str">
        <f t="shared" si="64"/>
        <v>180804</v>
      </c>
      <c r="EU20" s="238" t="str">
        <f t="shared" si="64"/>
        <v>180805</v>
      </c>
      <c r="EV20" s="238" t="str">
        <f t="shared" si="64"/>
        <v>180806</v>
      </c>
      <c r="EX20" s="238" t="str">
        <f t="shared" si="98"/>
        <v>180901</v>
      </c>
      <c r="EY20" s="238" t="str">
        <f t="shared" si="65"/>
        <v>180902</v>
      </c>
      <c r="EZ20" s="238" t="str">
        <f t="shared" si="65"/>
        <v>180903</v>
      </c>
      <c r="FA20" s="238" t="str">
        <f t="shared" si="65"/>
        <v>180904</v>
      </c>
      <c r="FB20" s="238" t="str">
        <f t="shared" si="65"/>
        <v>180905</v>
      </c>
      <c r="FC20" s="238" t="str">
        <f t="shared" si="65"/>
        <v>180906</v>
      </c>
      <c r="FE20" s="238" t="str">
        <f t="shared" si="99"/>
        <v>181001</v>
      </c>
      <c r="FF20" s="238" t="str">
        <f t="shared" si="66"/>
        <v>181002</v>
      </c>
      <c r="FG20" s="238" t="str">
        <f t="shared" si="66"/>
        <v>181003</v>
      </c>
      <c r="FH20" s="238" t="str">
        <f t="shared" si="66"/>
        <v>181004</v>
      </c>
      <c r="FI20" s="238" t="str">
        <f t="shared" si="66"/>
        <v>181005</v>
      </c>
      <c r="FJ20" s="238" t="str">
        <f t="shared" si="66"/>
        <v>181006</v>
      </c>
    </row>
    <row r="21" spans="2:166">
      <c r="B21" s="58" t="str">
        <f t="shared" si="67"/>
        <v>19</v>
      </c>
      <c r="C21" s="243"/>
      <c r="D21" s="251">
        <f t="shared" ca="1" si="68"/>
        <v>0</v>
      </c>
      <c r="E21" s="240">
        <f t="shared" ca="1" si="69"/>
        <v>0</v>
      </c>
      <c r="F21" s="240">
        <f t="shared" ca="1" si="70"/>
        <v>0</v>
      </c>
      <c r="G21" s="242">
        <f t="shared" ca="1" si="71"/>
        <v>0</v>
      </c>
      <c r="H21" s="240">
        <f t="shared" ca="1" si="72"/>
        <v>0</v>
      </c>
      <c r="I21" s="241">
        <f t="shared" ca="1" si="73"/>
        <v>0</v>
      </c>
      <c r="J21" s="18" t="str">
        <f t="shared" si="74"/>
        <v>19</v>
      </c>
      <c r="K21" s="251">
        <f t="shared" ca="1" si="75"/>
        <v>0</v>
      </c>
      <c r="L21" s="240">
        <f t="shared" ca="1" si="18"/>
        <v>0</v>
      </c>
      <c r="M21" s="240">
        <f t="shared" ca="1" si="19"/>
        <v>0</v>
      </c>
      <c r="N21" s="242">
        <f t="shared" ca="1" si="20"/>
        <v>0</v>
      </c>
      <c r="O21" s="240">
        <f t="shared" ca="1" si="21"/>
        <v>0</v>
      </c>
      <c r="P21" s="241">
        <f t="shared" ca="1" si="22"/>
        <v>0</v>
      </c>
      <c r="Q21" s="18" t="str">
        <f t="shared" si="76"/>
        <v>19</v>
      </c>
      <c r="R21" s="251">
        <f t="shared" ca="1" si="77"/>
        <v>0</v>
      </c>
      <c r="S21" s="240" t="str">
        <f t="shared" ca="1" si="23"/>
        <v>21e</v>
      </c>
      <c r="T21" s="240" t="str">
        <f t="shared" ca="1" si="24"/>
        <v>15e</v>
      </c>
      <c r="U21" s="242" t="str">
        <f t="shared" ca="1" si="25"/>
        <v>10e</v>
      </c>
      <c r="V21" s="240">
        <f t="shared" ca="1" si="26"/>
        <v>0</v>
      </c>
      <c r="W21" s="241">
        <f t="shared" ca="1" si="27"/>
        <v>0</v>
      </c>
      <c r="X21" s="18" t="str">
        <f t="shared" si="78"/>
        <v>19</v>
      </c>
      <c r="Y21" s="251" t="str">
        <f t="shared" ca="1" si="79"/>
        <v>38e</v>
      </c>
      <c r="Z21" s="240" t="str">
        <f t="shared" ca="1" si="28"/>
        <v>18e</v>
      </c>
      <c r="AA21" s="240" t="str">
        <f t="shared" ca="1" si="29"/>
        <v>13e</v>
      </c>
      <c r="AB21" s="242" t="str">
        <f t="shared" ca="1" si="30"/>
        <v>10e</v>
      </c>
      <c r="AC21" s="240">
        <f t="shared" ca="1" si="31"/>
        <v>0</v>
      </c>
      <c r="AD21" s="241">
        <f t="shared" ca="1" si="32"/>
        <v>0</v>
      </c>
      <c r="AE21" s="18" t="str">
        <f t="shared" si="80"/>
        <v>19</v>
      </c>
      <c r="AF21" s="251">
        <f t="shared" ca="1" si="81"/>
        <v>0</v>
      </c>
      <c r="AG21" s="240">
        <f t="shared" ca="1" si="33"/>
        <v>0</v>
      </c>
      <c r="AH21" s="240">
        <f t="shared" ca="1" si="34"/>
        <v>0</v>
      </c>
      <c r="AI21" s="242" t="str">
        <f t="shared" ca="1" si="35"/>
        <v>10e</v>
      </c>
      <c r="AJ21" s="240">
        <f t="shared" ca="1" si="36"/>
        <v>0</v>
      </c>
      <c r="AK21" s="241">
        <f t="shared" ca="1" si="37"/>
        <v>0</v>
      </c>
      <c r="AL21" s="18" t="str">
        <f t="shared" si="82"/>
        <v>19</v>
      </c>
      <c r="AM21" s="251">
        <f t="shared" ca="1" si="83"/>
        <v>0</v>
      </c>
      <c r="AN21" s="240">
        <f t="shared" ca="1" si="38"/>
        <v>0</v>
      </c>
      <c r="AO21" s="240">
        <f t="shared" ca="1" si="39"/>
        <v>0</v>
      </c>
      <c r="AP21" s="242">
        <f t="shared" ca="1" si="40"/>
        <v>0</v>
      </c>
      <c r="AQ21" s="240">
        <f t="shared" ca="1" si="41"/>
        <v>0</v>
      </c>
      <c r="AR21" s="241">
        <f t="shared" ca="1" si="42"/>
        <v>0</v>
      </c>
      <c r="AS21" s="18" t="str">
        <f t="shared" si="84"/>
        <v>19</v>
      </c>
      <c r="AT21" s="251">
        <f t="shared" ca="1" si="85"/>
        <v>0</v>
      </c>
      <c r="AU21" s="240">
        <f t="shared" ca="1" si="43"/>
        <v>0</v>
      </c>
      <c r="AV21" s="240">
        <f t="shared" ca="1" si="44"/>
        <v>0</v>
      </c>
      <c r="AW21" s="242" t="str">
        <f t="shared" ca="1" si="45"/>
        <v>5s</v>
      </c>
      <c r="AX21" s="240">
        <f t="shared" ca="1" si="46"/>
        <v>0</v>
      </c>
      <c r="AY21" s="241">
        <f t="shared" ca="1" si="47"/>
        <v>0</v>
      </c>
      <c r="AZ21" s="18" t="str">
        <f t="shared" si="86"/>
        <v>19</v>
      </c>
      <c r="BA21" s="251" t="str">
        <f t="shared" ca="1" si="87"/>
        <v>19s</v>
      </c>
      <c r="BB21" s="240" t="str">
        <f t="shared" ca="1" si="48"/>
        <v>9s</v>
      </c>
      <c r="BC21" s="240" t="str">
        <f t="shared" ca="1" si="49"/>
        <v>7s</v>
      </c>
      <c r="BD21" s="242">
        <f t="shared" ca="1" si="50"/>
        <v>0</v>
      </c>
      <c r="BE21" s="240">
        <f t="shared" ca="1" si="51"/>
        <v>0</v>
      </c>
      <c r="BF21" s="241">
        <f t="shared" ca="1" si="52"/>
        <v>0</v>
      </c>
      <c r="BG21" s="18" t="str">
        <f t="shared" si="88"/>
        <v>19</v>
      </c>
      <c r="BH21" s="251">
        <f t="shared" ca="1" si="89"/>
        <v>0</v>
      </c>
      <c r="BI21" s="240">
        <f t="shared" ca="1" si="53"/>
        <v>0</v>
      </c>
      <c r="BJ21" s="240">
        <f t="shared" ca="1" si="54"/>
        <v>0</v>
      </c>
      <c r="BK21" s="242">
        <f t="shared" ca="1" si="55"/>
        <v>0</v>
      </c>
      <c r="BL21" s="240">
        <f t="shared" ca="1" si="56"/>
        <v>0</v>
      </c>
      <c r="BM21" s="241">
        <f t="shared" ca="1" si="57"/>
        <v>0</v>
      </c>
      <c r="CA21" s="16">
        <f t="shared" ca="1" si="8"/>
        <v>67</v>
      </c>
      <c r="CB21" s="16">
        <f t="shared" ca="1" si="9"/>
        <v>69</v>
      </c>
      <c r="CC21" s="16">
        <f t="shared" ca="1" si="10"/>
        <v>6</v>
      </c>
      <c r="CD21" s="16" t="str">
        <f t="shared" ca="1" si="11"/>
        <v>Intro!C</v>
      </c>
      <c r="CE21" s="16">
        <f t="shared" ca="1" si="12"/>
        <v>69</v>
      </c>
      <c r="CF21" s="16" t="str">
        <f t="shared" ca="1" si="13"/>
        <v>Intro!C69</v>
      </c>
      <c r="CH21" s="16" t="str">
        <f t="shared" ca="1" si="14"/>
        <v>Intro!C69:D75</v>
      </c>
      <c r="CI21" s="16" t="str">
        <f t="shared" ca="1" si="15"/>
        <v>140202_25c</v>
      </c>
      <c r="CJ21" s="16" t="str">
        <f t="shared" ca="1" si="6"/>
        <v>140202</v>
      </c>
      <c r="CK21" s="16">
        <f t="shared" ca="1" si="0"/>
        <v>2</v>
      </c>
      <c r="CL21" s="16">
        <f t="shared" ca="1" si="1"/>
        <v>14</v>
      </c>
      <c r="CM21" s="16">
        <f t="shared" ca="1" si="2"/>
        <v>2</v>
      </c>
      <c r="CN21" s="16">
        <f t="shared" ca="1" si="3"/>
        <v>25</v>
      </c>
      <c r="CO21" s="16" t="str">
        <f t="shared" ca="1" si="16"/>
        <v>c</v>
      </c>
      <c r="CY21" s="19" t="str">
        <f t="shared" si="90"/>
        <v>19</v>
      </c>
      <c r="DA21" s="238" t="str">
        <f t="shared" si="91"/>
        <v>190201</v>
      </c>
      <c r="DB21" s="238" t="str">
        <f t="shared" si="58"/>
        <v>190202</v>
      </c>
      <c r="DC21" s="238" t="str">
        <f t="shared" si="58"/>
        <v>190203</v>
      </c>
      <c r="DD21" s="238" t="str">
        <f t="shared" si="58"/>
        <v>190204</v>
      </c>
      <c r="DE21" s="238" t="str">
        <f t="shared" si="58"/>
        <v>190251</v>
      </c>
      <c r="DF21" s="238" t="str">
        <f t="shared" si="58"/>
        <v>190206</v>
      </c>
      <c r="DH21" s="238" t="str">
        <f t="shared" si="92"/>
        <v>190301</v>
      </c>
      <c r="DI21" s="238" t="str">
        <f t="shared" si="59"/>
        <v>190302</v>
      </c>
      <c r="DJ21" s="238" t="str">
        <f t="shared" si="59"/>
        <v>190303</v>
      </c>
      <c r="DK21" s="238" t="str">
        <f t="shared" si="59"/>
        <v>190304</v>
      </c>
      <c r="DL21" s="238" t="str">
        <f t="shared" si="59"/>
        <v>190305</v>
      </c>
      <c r="DM21" s="238" t="str">
        <f t="shared" si="59"/>
        <v>190306</v>
      </c>
      <c r="DO21" s="238" t="str">
        <f t="shared" si="93"/>
        <v>190401</v>
      </c>
      <c r="DP21" s="238" t="str">
        <f t="shared" si="60"/>
        <v>190402</v>
      </c>
      <c r="DQ21" s="238" t="str">
        <f t="shared" si="60"/>
        <v>190403</v>
      </c>
      <c r="DR21" s="238" t="str">
        <f t="shared" si="60"/>
        <v>190404</v>
      </c>
      <c r="DS21" s="238" t="str">
        <f t="shared" si="60"/>
        <v>190405</v>
      </c>
      <c r="DT21" s="238" t="str">
        <f t="shared" si="60"/>
        <v>190406</v>
      </c>
      <c r="DV21" s="238" t="str">
        <f t="shared" si="94"/>
        <v>190501</v>
      </c>
      <c r="DW21" s="238" t="str">
        <f t="shared" si="61"/>
        <v>190502</v>
      </c>
      <c r="DX21" s="238" t="str">
        <f t="shared" si="61"/>
        <v>190503</v>
      </c>
      <c r="DY21" s="238" t="str">
        <f t="shared" si="61"/>
        <v>190504</v>
      </c>
      <c r="DZ21" s="238" t="str">
        <f t="shared" si="61"/>
        <v>190505</v>
      </c>
      <c r="EA21" s="238" t="str">
        <f t="shared" si="61"/>
        <v>190506</v>
      </c>
      <c r="EC21" s="238" t="str">
        <f t="shared" si="95"/>
        <v>190601</v>
      </c>
      <c r="ED21" s="238" t="str">
        <f t="shared" si="62"/>
        <v>190602</v>
      </c>
      <c r="EE21" s="238" t="str">
        <f t="shared" si="62"/>
        <v>190603</v>
      </c>
      <c r="EF21" s="238" t="str">
        <f t="shared" si="62"/>
        <v>190604</v>
      </c>
      <c r="EG21" s="238" t="str">
        <f t="shared" si="62"/>
        <v>190605</v>
      </c>
      <c r="EH21" s="238" t="str">
        <f t="shared" si="62"/>
        <v>190606</v>
      </c>
      <c r="EJ21" s="238" t="str">
        <f t="shared" si="96"/>
        <v>190701</v>
      </c>
      <c r="EK21" s="238" t="str">
        <f t="shared" si="63"/>
        <v>190702</v>
      </c>
      <c r="EL21" s="238" t="str">
        <f t="shared" si="63"/>
        <v>190703</v>
      </c>
      <c r="EM21" s="238" t="str">
        <f t="shared" si="63"/>
        <v>190704</v>
      </c>
      <c r="EN21" s="238" t="str">
        <f t="shared" si="63"/>
        <v>190705</v>
      </c>
      <c r="EO21" s="238" t="str">
        <f t="shared" si="63"/>
        <v>190706</v>
      </c>
      <c r="EQ21" s="238" t="str">
        <f t="shared" si="97"/>
        <v>190801</v>
      </c>
      <c r="ER21" s="238" t="str">
        <f t="shared" si="64"/>
        <v>190802</v>
      </c>
      <c r="ES21" s="238" t="str">
        <f t="shared" si="64"/>
        <v>190803</v>
      </c>
      <c r="ET21" s="238" t="str">
        <f t="shared" si="64"/>
        <v>190804</v>
      </c>
      <c r="EU21" s="238" t="str">
        <f t="shared" si="64"/>
        <v>190805</v>
      </c>
      <c r="EV21" s="238" t="str">
        <f t="shared" si="64"/>
        <v>190806</v>
      </c>
      <c r="EX21" s="238" t="str">
        <f t="shared" si="98"/>
        <v>190901</v>
      </c>
      <c r="EY21" s="238" t="str">
        <f t="shared" si="65"/>
        <v>190902</v>
      </c>
      <c r="EZ21" s="238" t="str">
        <f t="shared" si="65"/>
        <v>190903</v>
      </c>
      <c r="FA21" s="238" t="str">
        <f t="shared" si="65"/>
        <v>190904</v>
      </c>
      <c r="FB21" s="238" t="str">
        <f t="shared" si="65"/>
        <v>190905</v>
      </c>
      <c r="FC21" s="238" t="str">
        <f t="shared" si="65"/>
        <v>190906</v>
      </c>
      <c r="FE21" s="238" t="str">
        <f t="shared" si="99"/>
        <v>191001</v>
      </c>
      <c r="FF21" s="238" t="str">
        <f t="shared" si="66"/>
        <v>191002</v>
      </c>
      <c r="FG21" s="238" t="str">
        <f t="shared" si="66"/>
        <v>191003</v>
      </c>
      <c r="FH21" s="238" t="str">
        <f t="shared" si="66"/>
        <v>191004</v>
      </c>
      <c r="FI21" s="238" t="str">
        <f t="shared" si="66"/>
        <v>191005</v>
      </c>
      <c r="FJ21" s="238" t="str">
        <f t="shared" si="66"/>
        <v>191006</v>
      </c>
    </row>
    <row r="22" spans="2:166" ht="13" thickBot="1">
      <c r="B22" s="58" t="str">
        <f t="shared" si="67"/>
        <v>20</v>
      </c>
      <c r="C22" s="243"/>
      <c r="D22" s="252">
        <f t="shared" ca="1" si="68"/>
        <v>0</v>
      </c>
      <c r="E22" s="244">
        <f t="shared" ca="1" si="69"/>
        <v>0</v>
      </c>
      <c r="F22" s="244">
        <f t="shared" ca="1" si="70"/>
        <v>0</v>
      </c>
      <c r="G22" s="245">
        <f t="shared" ca="1" si="71"/>
        <v>0</v>
      </c>
      <c r="H22" s="244">
        <f t="shared" ca="1" si="72"/>
        <v>0</v>
      </c>
      <c r="I22" s="246">
        <f t="shared" ca="1" si="73"/>
        <v>0</v>
      </c>
      <c r="J22" s="18" t="str">
        <f t="shared" si="74"/>
        <v>20</v>
      </c>
      <c r="K22" s="252">
        <f t="shared" ca="1" si="75"/>
        <v>0</v>
      </c>
      <c r="L22" s="244">
        <f t="shared" ca="1" si="18"/>
        <v>0</v>
      </c>
      <c r="M22" s="244">
        <f t="shared" ca="1" si="19"/>
        <v>0</v>
      </c>
      <c r="N22" s="245">
        <f t="shared" ca="1" si="20"/>
        <v>0</v>
      </c>
      <c r="O22" s="244">
        <f t="shared" ca="1" si="21"/>
        <v>0</v>
      </c>
      <c r="P22" s="246">
        <f t="shared" ca="1" si="22"/>
        <v>0</v>
      </c>
      <c r="Q22" s="18" t="str">
        <f t="shared" si="76"/>
        <v>20</v>
      </c>
      <c r="R22" s="252">
        <f t="shared" ca="1" si="77"/>
        <v>0</v>
      </c>
      <c r="S22" s="244" t="str">
        <f t="shared" ca="1" si="23"/>
        <v>23c</v>
      </c>
      <c r="T22" s="244">
        <f t="shared" ca="1" si="24"/>
        <v>0</v>
      </c>
      <c r="U22" s="245" t="str">
        <f t="shared" ca="1" si="25"/>
        <v>10e</v>
      </c>
      <c r="V22" s="244">
        <f t="shared" ca="1" si="26"/>
        <v>0</v>
      </c>
      <c r="W22" s="246">
        <f t="shared" ca="1" si="27"/>
        <v>0</v>
      </c>
      <c r="X22" s="18" t="str">
        <f t="shared" si="78"/>
        <v>20</v>
      </c>
      <c r="Y22" s="252" t="str">
        <f t="shared" ca="1" si="79"/>
        <v>38e</v>
      </c>
      <c r="Z22" s="244" t="str">
        <f t="shared" ca="1" si="28"/>
        <v>18e</v>
      </c>
      <c r="AA22" s="244" t="str">
        <f t="shared" ca="1" si="29"/>
        <v>14e</v>
      </c>
      <c r="AB22" s="245" t="str">
        <f t="shared" ca="1" si="30"/>
        <v>8c</v>
      </c>
      <c r="AC22" s="244" t="str">
        <f t="shared" ca="1" si="31"/>
        <v>6e</v>
      </c>
      <c r="AD22" s="246">
        <f t="shared" ca="1" si="32"/>
        <v>0</v>
      </c>
      <c r="AE22" s="18" t="str">
        <f t="shared" si="80"/>
        <v>20</v>
      </c>
      <c r="AF22" s="252">
        <f t="shared" ca="1" si="81"/>
        <v>0</v>
      </c>
      <c r="AG22" s="244">
        <f t="shared" ca="1" si="33"/>
        <v>0</v>
      </c>
      <c r="AH22" s="244">
        <f t="shared" ca="1" si="34"/>
        <v>0</v>
      </c>
      <c r="AI22" s="245" t="str">
        <f t="shared" ca="1" si="35"/>
        <v>7c</v>
      </c>
      <c r="AJ22" s="244">
        <f t="shared" ca="1" si="36"/>
        <v>0</v>
      </c>
      <c r="AK22" s="246">
        <f t="shared" ca="1" si="37"/>
        <v>0</v>
      </c>
      <c r="AL22" s="18" t="str">
        <f t="shared" si="82"/>
        <v>20</v>
      </c>
      <c r="AM22" s="252">
        <f t="shared" ca="1" si="83"/>
        <v>0</v>
      </c>
      <c r="AN22" s="244">
        <f t="shared" ca="1" si="38"/>
        <v>0</v>
      </c>
      <c r="AO22" s="244">
        <f t="shared" ca="1" si="39"/>
        <v>0</v>
      </c>
      <c r="AP22" s="245">
        <f t="shared" ca="1" si="40"/>
        <v>0</v>
      </c>
      <c r="AQ22" s="244">
        <f t="shared" ca="1" si="41"/>
        <v>0</v>
      </c>
      <c r="AR22" s="246">
        <f t="shared" ca="1" si="42"/>
        <v>0</v>
      </c>
      <c r="AS22" s="18" t="str">
        <f t="shared" si="84"/>
        <v>20</v>
      </c>
      <c r="AT22" s="252">
        <f t="shared" ca="1" si="85"/>
        <v>0</v>
      </c>
      <c r="AU22" s="244">
        <f t="shared" ca="1" si="43"/>
        <v>0</v>
      </c>
      <c r="AV22" s="244">
        <f t="shared" ca="1" si="44"/>
        <v>0</v>
      </c>
      <c r="AW22" s="245" t="str">
        <f t="shared" ca="1" si="45"/>
        <v>5s</v>
      </c>
      <c r="AX22" s="244">
        <f t="shared" ca="1" si="46"/>
        <v>0</v>
      </c>
      <c r="AY22" s="246">
        <f t="shared" ca="1" si="47"/>
        <v>0</v>
      </c>
      <c r="AZ22" s="18" t="str">
        <f t="shared" si="86"/>
        <v>20</v>
      </c>
      <c r="BA22" s="252">
        <f t="shared" ca="1" si="87"/>
        <v>0</v>
      </c>
      <c r="BB22" s="244">
        <f t="shared" ca="1" si="48"/>
        <v>0</v>
      </c>
      <c r="BC22" s="244" t="str">
        <f t="shared" ca="1" si="49"/>
        <v>7s</v>
      </c>
      <c r="BD22" s="245">
        <f t="shared" ca="1" si="50"/>
        <v>0</v>
      </c>
      <c r="BE22" s="244">
        <f t="shared" ca="1" si="51"/>
        <v>0</v>
      </c>
      <c r="BF22" s="246">
        <f t="shared" ca="1" si="52"/>
        <v>0</v>
      </c>
      <c r="BG22" s="18" t="str">
        <f t="shared" si="88"/>
        <v>20</v>
      </c>
      <c r="BH22" s="252" t="str">
        <f t="shared" ca="1" si="89"/>
        <v>19s</v>
      </c>
      <c r="BI22" s="244" t="str">
        <f t="shared" ca="1" si="53"/>
        <v>9s</v>
      </c>
      <c r="BJ22" s="244" t="str">
        <f t="shared" ca="1" si="54"/>
        <v>7s</v>
      </c>
      <c r="BK22" s="245">
        <f t="shared" ca="1" si="55"/>
        <v>0</v>
      </c>
      <c r="BL22" s="244">
        <f t="shared" ca="1" si="56"/>
        <v>0</v>
      </c>
      <c r="BM22" s="246">
        <f t="shared" ca="1" si="57"/>
        <v>0</v>
      </c>
      <c r="CA22" s="16">
        <f t="shared" ca="1" si="8"/>
        <v>67</v>
      </c>
      <c r="CB22" s="16">
        <f t="shared" ca="1" si="9"/>
        <v>70</v>
      </c>
      <c r="CC22" s="16">
        <f t="shared" ca="1" si="10"/>
        <v>5</v>
      </c>
      <c r="CD22" s="16" t="str">
        <f t="shared" ca="1" si="11"/>
        <v>Intro!C</v>
      </c>
      <c r="CE22" s="16">
        <f t="shared" ca="1" si="12"/>
        <v>70</v>
      </c>
      <c r="CF22" s="16" t="str">
        <f t="shared" ca="1" si="13"/>
        <v>Intro!C70</v>
      </c>
      <c r="CH22" s="16" t="str">
        <f t="shared" ca="1" si="14"/>
        <v>Intro!C70:D75</v>
      </c>
      <c r="CI22" s="16" t="str">
        <f t="shared" ca="1" si="15"/>
        <v>140202_25c</v>
      </c>
      <c r="CJ22" s="16" t="str">
        <f t="shared" ca="1" si="6"/>
        <v>140202</v>
      </c>
      <c r="CK22" s="16">
        <f t="shared" ca="1" si="0"/>
        <v>2</v>
      </c>
      <c r="CL22" s="16">
        <f t="shared" ca="1" si="1"/>
        <v>14</v>
      </c>
      <c r="CM22" s="16">
        <f t="shared" ca="1" si="2"/>
        <v>2</v>
      </c>
      <c r="CN22" s="16">
        <f t="shared" ca="1" si="3"/>
        <v>25</v>
      </c>
      <c r="CO22" s="16" t="str">
        <f t="shared" ca="1" si="16"/>
        <v>c</v>
      </c>
      <c r="CY22" s="19" t="str">
        <f t="shared" si="90"/>
        <v>20</v>
      </c>
      <c r="DA22" s="238" t="str">
        <f t="shared" si="91"/>
        <v>200201</v>
      </c>
      <c r="DB22" s="238" t="str">
        <f t="shared" si="91"/>
        <v>200202</v>
      </c>
      <c r="DC22" s="238" t="str">
        <f t="shared" si="91"/>
        <v>200203</v>
      </c>
      <c r="DD22" s="238" t="str">
        <f t="shared" si="91"/>
        <v>200204</v>
      </c>
      <c r="DE22" s="238" t="str">
        <f t="shared" si="91"/>
        <v>200251</v>
      </c>
      <c r="DF22" s="238" t="str">
        <f t="shared" si="91"/>
        <v>200206</v>
      </c>
      <c r="DH22" s="238" t="str">
        <f t="shared" si="92"/>
        <v>200301</v>
      </c>
      <c r="DI22" s="238" t="str">
        <f t="shared" si="92"/>
        <v>200302</v>
      </c>
      <c r="DJ22" s="238" t="str">
        <f t="shared" si="92"/>
        <v>200303</v>
      </c>
      <c r="DK22" s="238" t="str">
        <f t="shared" si="92"/>
        <v>200304</v>
      </c>
      <c r="DL22" s="238" t="str">
        <f t="shared" si="92"/>
        <v>200305</v>
      </c>
      <c r="DM22" s="238" t="str">
        <f t="shared" si="92"/>
        <v>200306</v>
      </c>
      <c r="DO22" s="238" t="str">
        <f t="shared" si="93"/>
        <v>200401</v>
      </c>
      <c r="DP22" s="238" t="str">
        <f t="shared" si="93"/>
        <v>200402</v>
      </c>
      <c r="DQ22" s="238" t="str">
        <f t="shared" si="93"/>
        <v>200403</v>
      </c>
      <c r="DR22" s="238" t="str">
        <f t="shared" si="93"/>
        <v>200404</v>
      </c>
      <c r="DS22" s="238" t="str">
        <f t="shared" si="93"/>
        <v>200405</v>
      </c>
      <c r="DT22" s="238" t="str">
        <f t="shared" si="93"/>
        <v>200406</v>
      </c>
      <c r="DV22" s="238" t="str">
        <f t="shared" si="94"/>
        <v>200501</v>
      </c>
      <c r="DW22" s="238" t="str">
        <f t="shared" si="94"/>
        <v>200502</v>
      </c>
      <c r="DX22" s="238" t="str">
        <f t="shared" si="94"/>
        <v>200503</v>
      </c>
      <c r="DY22" s="238" t="str">
        <f t="shared" si="94"/>
        <v>200504</v>
      </c>
      <c r="DZ22" s="238" t="str">
        <f t="shared" si="94"/>
        <v>200505</v>
      </c>
      <c r="EA22" s="238" t="str">
        <f t="shared" si="94"/>
        <v>200506</v>
      </c>
      <c r="EC22" s="238" t="str">
        <f t="shared" si="95"/>
        <v>200601</v>
      </c>
      <c r="ED22" s="238" t="str">
        <f t="shared" si="95"/>
        <v>200602</v>
      </c>
      <c r="EE22" s="238" t="str">
        <f t="shared" si="95"/>
        <v>200603</v>
      </c>
      <c r="EF22" s="238" t="str">
        <f t="shared" si="95"/>
        <v>200604</v>
      </c>
      <c r="EG22" s="238" t="str">
        <f t="shared" si="95"/>
        <v>200605</v>
      </c>
      <c r="EH22" s="238" t="str">
        <f t="shared" si="95"/>
        <v>200606</v>
      </c>
      <c r="EJ22" s="238" t="str">
        <f t="shared" si="96"/>
        <v>200701</v>
      </c>
      <c r="EK22" s="238" t="str">
        <f t="shared" si="96"/>
        <v>200702</v>
      </c>
      <c r="EL22" s="238" t="str">
        <f t="shared" si="96"/>
        <v>200703</v>
      </c>
      <c r="EM22" s="238" t="str">
        <f t="shared" si="96"/>
        <v>200704</v>
      </c>
      <c r="EN22" s="238" t="str">
        <f t="shared" si="96"/>
        <v>200705</v>
      </c>
      <c r="EO22" s="238" t="str">
        <f t="shared" si="96"/>
        <v>200706</v>
      </c>
      <c r="EQ22" s="238" t="str">
        <f t="shared" si="97"/>
        <v>200801</v>
      </c>
      <c r="ER22" s="238" t="str">
        <f t="shared" si="97"/>
        <v>200802</v>
      </c>
      <c r="ES22" s="238" t="str">
        <f t="shared" si="97"/>
        <v>200803</v>
      </c>
      <c r="ET22" s="238" t="str">
        <f t="shared" si="97"/>
        <v>200804</v>
      </c>
      <c r="EU22" s="238" t="str">
        <f t="shared" si="97"/>
        <v>200805</v>
      </c>
      <c r="EV22" s="238" t="str">
        <f t="shared" si="97"/>
        <v>200806</v>
      </c>
      <c r="EX22" s="238" t="str">
        <f t="shared" si="98"/>
        <v>200901</v>
      </c>
      <c r="EY22" s="238" t="str">
        <f t="shared" si="98"/>
        <v>200902</v>
      </c>
      <c r="EZ22" s="238" t="str">
        <f t="shared" si="98"/>
        <v>200903</v>
      </c>
      <c r="FA22" s="238" t="str">
        <f t="shared" si="98"/>
        <v>200904</v>
      </c>
      <c r="FB22" s="238" t="str">
        <f t="shared" si="98"/>
        <v>200905</v>
      </c>
      <c r="FC22" s="238" t="str">
        <f t="shared" si="98"/>
        <v>200906</v>
      </c>
      <c r="FE22" s="238" t="str">
        <f t="shared" si="99"/>
        <v>201001</v>
      </c>
      <c r="FF22" s="238" t="str">
        <f t="shared" si="99"/>
        <v>201002</v>
      </c>
      <c r="FG22" s="238" t="str">
        <f t="shared" si="99"/>
        <v>201003</v>
      </c>
      <c r="FH22" s="238" t="str">
        <f t="shared" si="99"/>
        <v>201004</v>
      </c>
      <c r="FI22" s="238" t="str">
        <f t="shared" si="99"/>
        <v>201005</v>
      </c>
      <c r="FJ22" s="238" t="str">
        <f t="shared" si="99"/>
        <v>201006</v>
      </c>
    </row>
    <row r="23" spans="2:166">
      <c r="B23" s="58" t="str">
        <f t="shared" si="67"/>
        <v>21</v>
      </c>
      <c r="C23" s="243"/>
      <c r="D23" s="251">
        <f t="shared" ca="1" si="68"/>
        <v>0</v>
      </c>
      <c r="E23" s="240">
        <f t="shared" ca="1" si="69"/>
        <v>0</v>
      </c>
      <c r="F23" s="240">
        <f t="shared" ca="1" si="70"/>
        <v>0</v>
      </c>
      <c r="G23" s="242">
        <f t="shared" ca="1" si="71"/>
        <v>0</v>
      </c>
      <c r="H23" s="240">
        <f t="shared" ca="1" si="72"/>
        <v>0</v>
      </c>
      <c r="I23" s="241">
        <f t="shared" ca="1" si="73"/>
        <v>0</v>
      </c>
      <c r="J23" s="18" t="str">
        <f t="shared" si="74"/>
        <v>21</v>
      </c>
      <c r="K23" s="251">
        <f t="shared" ca="1" si="75"/>
        <v>0</v>
      </c>
      <c r="L23" s="240">
        <f t="shared" ca="1" si="18"/>
        <v>0</v>
      </c>
      <c r="M23" s="240">
        <f t="shared" ca="1" si="19"/>
        <v>0</v>
      </c>
      <c r="N23" s="242">
        <f t="shared" ca="1" si="20"/>
        <v>0</v>
      </c>
      <c r="O23" s="240">
        <f t="shared" ca="1" si="21"/>
        <v>0</v>
      </c>
      <c r="P23" s="241">
        <f t="shared" ca="1" si="22"/>
        <v>0</v>
      </c>
      <c r="Q23" s="18" t="str">
        <f t="shared" si="76"/>
        <v>21</v>
      </c>
      <c r="R23" s="251">
        <f t="shared" ca="1" si="77"/>
        <v>0</v>
      </c>
      <c r="S23" s="240">
        <f t="shared" ca="1" si="23"/>
        <v>0</v>
      </c>
      <c r="T23" s="240" t="str">
        <f t="shared" ca="1" si="24"/>
        <v>16c</v>
      </c>
      <c r="U23" s="242">
        <f t="shared" ca="1" si="25"/>
        <v>0</v>
      </c>
      <c r="V23" s="240">
        <f t="shared" ca="1" si="26"/>
        <v>0</v>
      </c>
      <c r="W23" s="241">
        <f t="shared" ca="1" si="27"/>
        <v>0</v>
      </c>
      <c r="X23" s="18" t="str">
        <f t="shared" si="78"/>
        <v>21</v>
      </c>
      <c r="Y23" s="251" t="str">
        <f t="shared" ca="1" si="79"/>
        <v>20e</v>
      </c>
      <c r="Z23" s="240" t="str">
        <f t="shared" ca="1" si="28"/>
        <v>21e</v>
      </c>
      <c r="AA23" s="240" t="str">
        <f t="shared" ca="1" si="29"/>
        <v>13c</v>
      </c>
      <c r="AB23" s="242" t="str">
        <f t="shared" ca="1" si="30"/>
        <v>10e</v>
      </c>
      <c r="AC23" s="240" t="str">
        <f t="shared" ca="1" si="31"/>
        <v>9e</v>
      </c>
      <c r="AD23" s="241">
        <f t="shared" ca="1" si="32"/>
        <v>0</v>
      </c>
      <c r="AE23" s="18" t="str">
        <f t="shared" si="80"/>
        <v>21</v>
      </c>
      <c r="AF23" s="251">
        <f t="shared" ca="1" si="81"/>
        <v>0</v>
      </c>
      <c r="AG23" s="240">
        <f t="shared" ca="1" si="33"/>
        <v>0</v>
      </c>
      <c r="AH23" s="240" t="str">
        <f t="shared" ca="1" si="34"/>
        <v>14e</v>
      </c>
      <c r="AI23" s="242">
        <f t="shared" ca="1" si="35"/>
        <v>0</v>
      </c>
      <c r="AJ23" s="240">
        <f t="shared" ca="1" si="36"/>
        <v>0</v>
      </c>
      <c r="AK23" s="241">
        <f t="shared" ca="1" si="37"/>
        <v>0</v>
      </c>
      <c r="AL23" s="18" t="str">
        <f t="shared" si="82"/>
        <v>21</v>
      </c>
      <c r="AM23" s="251">
        <f t="shared" ca="1" si="83"/>
        <v>0</v>
      </c>
      <c r="AN23" s="240">
        <f t="shared" ca="1" si="38"/>
        <v>0</v>
      </c>
      <c r="AO23" s="240">
        <f t="shared" ca="1" si="39"/>
        <v>0</v>
      </c>
      <c r="AP23" s="242">
        <f t="shared" ca="1" si="40"/>
        <v>0</v>
      </c>
      <c r="AQ23" s="240">
        <f t="shared" ca="1" si="41"/>
        <v>0</v>
      </c>
      <c r="AR23" s="241">
        <f t="shared" ca="1" si="42"/>
        <v>0</v>
      </c>
      <c r="AS23" s="18" t="str">
        <f t="shared" si="84"/>
        <v>21</v>
      </c>
      <c r="AT23" s="251">
        <f t="shared" ca="1" si="85"/>
        <v>0</v>
      </c>
      <c r="AU23" s="240">
        <f t="shared" ca="1" si="43"/>
        <v>0</v>
      </c>
      <c r="AV23" s="240">
        <f t="shared" ca="1" si="44"/>
        <v>0</v>
      </c>
      <c r="AW23" s="242">
        <f t="shared" ca="1" si="45"/>
        <v>0</v>
      </c>
      <c r="AX23" s="240">
        <f t="shared" ca="1" si="46"/>
        <v>0</v>
      </c>
      <c r="AY23" s="241">
        <f t="shared" ca="1" si="47"/>
        <v>0</v>
      </c>
      <c r="AZ23" s="18" t="str">
        <f t="shared" si="86"/>
        <v>21</v>
      </c>
      <c r="BA23" s="251">
        <f t="shared" ca="1" si="87"/>
        <v>0</v>
      </c>
      <c r="BB23" s="240">
        <f t="shared" ca="1" si="48"/>
        <v>0</v>
      </c>
      <c r="BC23" s="240" t="str">
        <f t="shared" ca="1" si="49"/>
        <v>7s</v>
      </c>
      <c r="BD23" s="242" t="str">
        <f t="shared" ca="1" si="50"/>
        <v>5s</v>
      </c>
      <c r="BE23" s="240">
        <f t="shared" ca="1" si="51"/>
        <v>0</v>
      </c>
      <c r="BF23" s="241">
        <f t="shared" ca="1" si="52"/>
        <v>0</v>
      </c>
      <c r="BG23" s="18" t="str">
        <f t="shared" si="88"/>
        <v>21</v>
      </c>
      <c r="BH23" s="251">
        <f t="shared" ca="1" si="89"/>
        <v>0</v>
      </c>
      <c r="BI23" s="240">
        <f t="shared" ca="1" si="53"/>
        <v>0</v>
      </c>
      <c r="BJ23" s="240">
        <f t="shared" ca="1" si="54"/>
        <v>0</v>
      </c>
      <c r="BK23" s="242">
        <f t="shared" ca="1" si="55"/>
        <v>0</v>
      </c>
      <c r="BL23" s="240">
        <f t="shared" ca="1" si="56"/>
        <v>0</v>
      </c>
      <c r="BM23" s="241">
        <f t="shared" ca="1" si="57"/>
        <v>0</v>
      </c>
      <c r="CA23" s="16">
        <f t="shared" ca="1" si="8"/>
        <v>67</v>
      </c>
      <c r="CB23" s="16">
        <f t="shared" ca="1" si="9"/>
        <v>71</v>
      </c>
      <c r="CC23" s="16">
        <f t="shared" ca="1" si="10"/>
        <v>4</v>
      </c>
      <c r="CD23" s="16" t="str">
        <f t="shared" ca="1" si="11"/>
        <v>Intro!C</v>
      </c>
      <c r="CE23" s="16">
        <f t="shared" ca="1" si="12"/>
        <v>71</v>
      </c>
      <c r="CF23" s="16" t="str">
        <f t="shared" ca="1" si="13"/>
        <v>Intro!C71</v>
      </c>
      <c r="CH23" s="16" t="str">
        <f t="shared" ca="1" si="14"/>
        <v>Intro!C71:D75</v>
      </c>
      <c r="CI23" s="16" t="str">
        <f t="shared" ca="1" si="15"/>
        <v>150203_15c</v>
      </c>
      <c r="CJ23" s="16" t="str">
        <f t="shared" ca="1" si="6"/>
        <v>150203</v>
      </c>
      <c r="CK23" s="16">
        <f t="shared" ca="1" si="0"/>
        <v>2</v>
      </c>
      <c r="CL23" s="16">
        <f t="shared" ca="1" si="1"/>
        <v>15</v>
      </c>
      <c r="CM23" s="16">
        <f t="shared" ca="1" si="2"/>
        <v>3</v>
      </c>
      <c r="CN23" s="16">
        <f t="shared" ca="1" si="3"/>
        <v>15</v>
      </c>
      <c r="CO23" s="16" t="str">
        <f t="shared" ca="1" si="16"/>
        <v>c</v>
      </c>
      <c r="CY23" s="19" t="str">
        <f t="shared" si="90"/>
        <v>21</v>
      </c>
      <c r="DA23" s="238" t="str">
        <f t="shared" si="91"/>
        <v>210201</v>
      </c>
      <c r="DB23" s="238" t="str">
        <f t="shared" si="91"/>
        <v>210202</v>
      </c>
      <c r="DC23" s="238" t="str">
        <f t="shared" si="91"/>
        <v>210203</v>
      </c>
      <c r="DD23" s="238" t="str">
        <f t="shared" si="91"/>
        <v>210204</v>
      </c>
      <c r="DE23" s="238" t="str">
        <f t="shared" si="91"/>
        <v>210251</v>
      </c>
      <c r="DF23" s="238" t="str">
        <f t="shared" si="91"/>
        <v>210206</v>
      </c>
      <c r="DH23" s="238" t="str">
        <f t="shared" si="92"/>
        <v>210301</v>
      </c>
      <c r="DI23" s="238" t="str">
        <f t="shared" si="92"/>
        <v>210302</v>
      </c>
      <c r="DJ23" s="238" t="str">
        <f t="shared" si="92"/>
        <v>210303</v>
      </c>
      <c r="DK23" s="238" t="str">
        <f t="shared" si="92"/>
        <v>210304</v>
      </c>
      <c r="DL23" s="238" t="str">
        <f t="shared" si="92"/>
        <v>210305</v>
      </c>
      <c r="DM23" s="238" t="str">
        <f t="shared" si="92"/>
        <v>210306</v>
      </c>
      <c r="DO23" s="238" t="str">
        <f t="shared" si="93"/>
        <v>210401</v>
      </c>
      <c r="DP23" s="238" t="str">
        <f t="shared" si="93"/>
        <v>210402</v>
      </c>
      <c r="DQ23" s="238" t="str">
        <f t="shared" si="93"/>
        <v>210403</v>
      </c>
      <c r="DR23" s="238" t="str">
        <f t="shared" si="93"/>
        <v>210404</v>
      </c>
      <c r="DS23" s="238" t="str">
        <f t="shared" si="93"/>
        <v>210405</v>
      </c>
      <c r="DT23" s="238" t="str">
        <f t="shared" si="93"/>
        <v>210406</v>
      </c>
      <c r="DV23" s="238" t="str">
        <f t="shared" si="94"/>
        <v>210501</v>
      </c>
      <c r="DW23" s="238" t="str">
        <f t="shared" si="94"/>
        <v>210502</v>
      </c>
      <c r="DX23" s="238" t="str">
        <f t="shared" si="94"/>
        <v>210503</v>
      </c>
      <c r="DY23" s="238" t="str">
        <f t="shared" si="94"/>
        <v>210504</v>
      </c>
      <c r="DZ23" s="238" t="str">
        <f t="shared" si="94"/>
        <v>210505</v>
      </c>
      <c r="EA23" s="238" t="str">
        <f t="shared" si="94"/>
        <v>210506</v>
      </c>
      <c r="EC23" s="238" t="str">
        <f t="shared" si="95"/>
        <v>210601</v>
      </c>
      <c r="ED23" s="238" t="str">
        <f t="shared" si="95"/>
        <v>210602</v>
      </c>
      <c r="EE23" s="238" t="str">
        <f t="shared" si="95"/>
        <v>210603</v>
      </c>
      <c r="EF23" s="238" t="str">
        <f t="shared" si="95"/>
        <v>210604</v>
      </c>
      <c r="EG23" s="238" t="str">
        <f t="shared" si="95"/>
        <v>210605</v>
      </c>
      <c r="EH23" s="238" t="str">
        <f t="shared" si="95"/>
        <v>210606</v>
      </c>
      <c r="EJ23" s="238" t="str">
        <f t="shared" si="96"/>
        <v>210701</v>
      </c>
      <c r="EK23" s="238" t="str">
        <f t="shared" si="96"/>
        <v>210702</v>
      </c>
      <c r="EL23" s="238" t="str">
        <f t="shared" si="96"/>
        <v>210703</v>
      </c>
      <c r="EM23" s="238" t="str">
        <f t="shared" si="96"/>
        <v>210704</v>
      </c>
      <c r="EN23" s="238" t="str">
        <f t="shared" si="96"/>
        <v>210705</v>
      </c>
      <c r="EO23" s="238" t="str">
        <f t="shared" si="96"/>
        <v>210706</v>
      </c>
      <c r="EQ23" s="238" t="str">
        <f t="shared" si="97"/>
        <v>210801</v>
      </c>
      <c r="ER23" s="238" t="str">
        <f t="shared" si="97"/>
        <v>210802</v>
      </c>
      <c r="ES23" s="238" t="str">
        <f t="shared" si="97"/>
        <v>210803</v>
      </c>
      <c r="ET23" s="238" t="str">
        <f t="shared" si="97"/>
        <v>210804</v>
      </c>
      <c r="EU23" s="238" t="str">
        <f t="shared" si="97"/>
        <v>210805</v>
      </c>
      <c r="EV23" s="238" t="str">
        <f t="shared" si="97"/>
        <v>210806</v>
      </c>
      <c r="EX23" s="238" t="str">
        <f t="shared" si="98"/>
        <v>210901</v>
      </c>
      <c r="EY23" s="238" t="str">
        <f t="shared" si="98"/>
        <v>210902</v>
      </c>
      <c r="EZ23" s="238" t="str">
        <f t="shared" si="98"/>
        <v>210903</v>
      </c>
      <c r="FA23" s="238" t="str">
        <f t="shared" si="98"/>
        <v>210904</v>
      </c>
      <c r="FB23" s="238" t="str">
        <f t="shared" si="98"/>
        <v>210905</v>
      </c>
      <c r="FC23" s="238" t="str">
        <f t="shared" si="98"/>
        <v>210906</v>
      </c>
      <c r="FE23" s="238" t="str">
        <f t="shared" si="99"/>
        <v>211001</v>
      </c>
      <c r="FF23" s="238" t="str">
        <f t="shared" si="99"/>
        <v>211002</v>
      </c>
      <c r="FG23" s="238" t="str">
        <f t="shared" si="99"/>
        <v>211003</v>
      </c>
      <c r="FH23" s="238" t="str">
        <f t="shared" si="99"/>
        <v>211004</v>
      </c>
      <c r="FI23" s="238" t="str">
        <f t="shared" si="99"/>
        <v>211005</v>
      </c>
      <c r="FJ23" s="238" t="str">
        <f t="shared" si="99"/>
        <v>211006</v>
      </c>
    </row>
    <row r="24" spans="2:166">
      <c r="B24" s="58" t="str">
        <f t="shared" si="67"/>
        <v>22</v>
      </c>
      <c r="C24" s="243"/>
      <c r="D24" s="251">
        <f t="shared" ca="1" si="68"/>
        <v>0</v>
      </c>
      <c r="E24" s="240">
        <f t="shared" ca="1" si="69"/>
        <v>0</v>
      </c>
      <c r="F24" s="240">
        <f t="shared" ca="1" si="70"/>
        <v>0</v>
      </c>
      <c r="G24" s="242">
        <f t="shared" ca="1" si="71"/>
        <v>0</v>
      </c>
      <c r="H24" s="240">
        <f t="shared" ca="1" si="72"/>
        <v>0</v>
      </c>
      <c r="I24" s="241">
        <f t="shared" ca="1" si="73"/>
        <v>0</v>
      </c>
      <c r="J24" s="18" t="str">
        <f t="shared" si="74"/>
        <v>22</v>
      </c>
      <c r="K24" s="251">
        <f t="shared" ca="1" si="75"/>
        <v>0</v>
      </c>
      <c r="L24" s="240">
        <f t="shared" ca="1" si="18"/>
        <v>0</v>
      </c>
      <c r="M24" s="240">
        <f t="shared" ca="1" si="19"/>
        <v>0</v>
      </c>
      <c r="N24" s="242">
        <f t="shared" ca="1" si="20"/>
        <v>0</v>
      </c>
      <c r="O24" s="240">
        <f t="shared" ca="1" si="21"/>
        <v>0</v>
      </c>
      <c r="P24" s="241">
        <f t="shared" ca="1" si="22"/>
        <v>0</v>
      </c>
      <c r="Q24" s="18" t="str">
        <f t="shared" si="76"/>
        <v>22</v>
      </c>
      <c r="R24" s="251">
        <f t="shared" ca="1" si="77"/>
        <v>0</v>
      </c>
      <c r="S24" s="240">
        <f t="shared" ca="1" si="23"/>
        <v>0</v>
      </c>
      <c r="T24" s="240">
        <f t="shared" ca="1" si="24"/>
        <v>0</v>
      </c>
      <c r="U24" s="242">
        <f t="shared" ca="1" si="25"/>
        <v>0</v>
      </c>
      <c r="V24" s="240">
        <f t="shared" ca="1" si="26"/>
        <v>0</v>
      </c>
      <c r="W24" s="241">
        <f t="shared" ca="1" si="27"/>
        <v>0</v>
      </c>
      <c r="X24" s="18" t="str">
        <f t="shared" si="78"/>
        <v>22</v>
      </c>
      <c r="Y24" s="251">
        <f t="shared" ca="1" si="79"/>
        <v>0</v>
      </c>
      <c r="Z24" s="240" t="str">
        <f t="shared" ca="1" si="28"/>
        <v>22e</v>
      </c>
      <c r="AA24" s="240" t="str">
        <f t="shared" ca="1" si="29"/>
        <v>14e</v>
      </c>
      <c r="AB24" s="242" t="str">
        <f t="shared" ca="1" si="30"/>
        <v>10e</v>
      </c>
      <c r="AC24" s="240" t="str">
        <f t="shared" ca="1" si="31"/>
        <v>9e</v>
      </c>
      <c r="AD24" s="241">
        <f t="shared" ca="1" si="32"/>
        <v>0</v>
      </c>
      <c r="AE24" s="18" t="str">
        <f t="shared" si="80"/>
        <v>22</v>
      </c>
      <c r="AF24" s="251" t="str">
        <f t="shared" ca="1" si="81"/>
        <v>20e</v>
      </c>
      <c r="AG24" s="240" t="str">
        <f t="shared" ca="1" si="33"/>
        <v>22e</v>
      </c>
      <c r="AH24" s="240" t="str">
        <f t="shared" ca="1" si="34"/>
        <v>14e</v>
      </c>
      <c r="AI24" s="242" t="str">
        <f t="shared" ca="1" si="35"/>
        <v>10e</v>
      </c>
      <c r="AJ24" s="240" t="str">
        <f t="shared" ca="1" si="36"/>
        <v>10e</v>
      </c>
      <c r="AK24" s="241">
        <f t="shared" ca="1" si="37"/>
        <v>0</v>
      </c>
      <c r="AL24" s="18" t="str">
        <f t="shared" si="82"/>
        <v>22</v>
      </c>
      <c r="AM24" s="251">
        <f t="shared" ca="1" si="83"/>
        <v>0</v>
      </c>
      <c r="AN24" s="240">
        <f t="shared" ca="1" si="38"/>
        <v>0</v>
      </c>
      <c r="AO24" s="240">
        <f t="shared" ca="1" si="39"/>
        <v>0</v>
      </c>
      <c r="AP24" s="242">
        <f t="shared" ca="1" si="40"/>
        <v>0</v>
      </c>
      <c r="AQ24" s="240">
        <f t="shared" ca="1" si="41"/>
        <v>0</v>
      </c>
      <c r="AR24" s="241">
        <f t="shared" ca="1" si="42"/>
        <v>0</v>
      </c>
      <c r="AS24" s="18" t="str">
        <f t="shared" si="84"/>
        <v>22</v>
      </c>
      <c r="AT24" s="251">
        <f t="shared" ca="1" si="85"/>
        <v>0</v>
      </c>
      <c r="AU24" s="240">
        <f t="shared" ca="1" si="43"/>
        <v>0</v>
      </c>
      <c r="AV24" s="240">
        <f t="shared" ca="1" si="44"/>
        <v>0</v>
      </c>
      <c r="AW24" s="242">
        <f t="shared" ca="1" si="45"/>
        <v>0</v>
      </c>
      <c r="AX24" s="240">
        <f t="shared" ca="1" si="46"/>
        <v>0</v>
      </c>
      <c r="AY24" s="241">
        <f t="shared" ca="1" si="47"/>
        <v>0</v>
      </c>
      <c r="AZ24" s="18" t="str">
        <f t="shared" si="86"/>
        <v>22</v>
      </c>
      <c r="BA24" s="251">
        <f t="shared" ca="1" si="87"/>
        <v>0</v>
      </c>
      <c r="BB24" s="240">
        <f t="shared" ca="1" si="48"/>
        <v>0</v>
      </c>
      <c r="BC24" s="240">
        <f t="shared" ca="1" si="49"/>
        <v>0</v>
      </c>
      <c r="BD24" s="242">
        <f t="shared" ca="1" si="50"/>
        <v>0</v>
      </c>
      <c r="BE24" s="240">
        <f t="shared" ca="1" si="51"/>
        <v>0</v>
      </c>
      <c r="BF24" s="241">
        <f t="shared" ca="1" si="52"/>
        <v>0</v>
      </c>
      <c r="BG24" s="18" t="str">
        <f t="shared" si="88"/>
        <v>22</v>
      </c>
      <c r="BH24" s="251">
        <f t="shared" ca="1" si="89"/>
        <v>0</v>
      </c>
      <c r="BI24" s="240">
        <f t="shared" ca="1" si="53"/>
        <v>0</v>
      </c>
      <c r="BJ24" s="240">
        <f t="shared" ca="1" si="54"/>
        <v>0</v>
      </c>
      <c r="BK24" s="242">
        <f t="shared" ca="1" si="55"/>
        <v>0</v>
      </c>
      <c r="BL24" s="240">
        <f t="shared" ca="1" si="56"/>
        <v>0</v>
      </c>
      <c r="BM24" s="241">
        <f t="shared" ca="1" si="57"/>
        <v>0</v>
      </c>
      <c r="CA24" s="16">
        <f t="shared" ca="1" si="8"/>
        <v>67</v>
      </c>
      <c r="CB24" s="16">
        <f t="shared" ca="1" si="9"/>
        <v>72</v>
      </c>
      <c r="CC24" s="16">
        <f t="shared" ca="1" si="10"/>
        <v>3</v>
      </c>
      <c r="CD24" s="16" t="str">
        <f t="shared" ca="1" si="11"/>
        <v>Intro!C</v>
      </c>
      <c r="CE24" s="16">
        <f t="shared" ca="1" si="12"/>
        <v>72</v>
      </c>
      <c r="CF24" s="16" t="str">
        <f t="shared" ca="1" si="13"/>
        <v>Intro!C72</v>
      </c>
      <c r="CH24" s="16" t="str">
        <f t="shared" ca="1" si="14"/>
        <v>Intro!C72:D75</v>
      </c>
      <c r="CI24" s="16" t="str">
        <f t="shared" ca="1" si="15"/>
        <v>160202_28c</v>
      </c>
      <c r="CJ24" s="16" t="str">
        <f t="shared" ca="1" si="6"/>
        <v>160202</v>
      </c>
      <c r="CK24" s="16">
        <f t="shared" ca="1" si="0"/>
        <v>2</v>
      </c>
      <c r="CL24" s="16">
        <f t="shared" ca="1" si="1"/>
        <v>16</v>
      </c>
      <c r="CM24" s="16">
        <f t="shared" ca="1" si="2"/>
        <v>2</v>
      </c>
      <c r="CN24" s="16">
        <f t="shared" ca="1" si="3"/>
        <v>28</v>
      </c>
      <c r="CO24" s="16" t="str">
        <f t="shared" ca="1" si="16"/>
        <v>c</v>
      </c>
      <c r="CY24" s="19" t="str">
        <f t="shared" si="90"/>
        <v>22</v>
      </c>
      <c r="DA24" s="238" t="str">
        <f t="shared" si="91"/>
        <v>220201</v>
      </c>
      <c r="DB24" s="238" t="str">
        <f t="shared" si="91"/>
        <v>220202</v>
      </c>
      <c r="DC24" s="238" t="str">
        <f t="shared" si="91"/>
        <v>220203</v>
      </c>
      <c r="DD24" s="238" t="str">
        <f t="shared" si="91"/>
        <v>220204</v>
      </c>
      <c r="DE24" s="238" t="str">
        <f t="shared" si="91"/>
        <v>220251</v>
      </c>
      <c r="DF24" s="238" t="str">
        <f t="shared" si="91"/>
        <v>220206</v>
      </c>
      <c r="DH24" s="238" t="str">
        <f t="shared" si="92"/>
        <v>220301</v>
      </c>
      <c r="DI24" s="238" t="str">
        <f t="shared" si="92"/>
        <v>220302</v>
      </c>
      <c r="DJ24" s="238" t="str">
        <f t="shared" si="92"/>
        <v>220303</v>
      </c>
      <c r="DK24" s="238" t="str">
        <f t="shared" si="92"/>
        <v>220304</v>
      </c>
      <c r="DL24" s="238" t="str">
        <f t="shared" si="92"/>
        <v>220305</v>
      </c>
      <c r="DM24" s="238" t="str">
        <f t="shared" si="92"/>
        <v>220306</v>
      </c>
      <c r="DO24" s="238" t="str">
        <f t="shared" si="93"/>
        <v>220401</v>
      </c>
      <c r="DP24" s="238" t="str">
        <f t="shared" si="93"/>
        <v>220402</v>
      </c>
      <c r="DQ24" s="238" t="str">
        <f t="shared" si="93"/>
        <v>220403</v>
      </c>
      <c r="DR24" s="238" t="str">
        <f t="shared" si="93"/>
        <v>220404</v>
      </c>
      <c r="DS24" s="238" t="str">
        <f t="shared" si="93"/>
        <v>220405</v>
      </c>
      <c r="DT24" s="238" t="str">
        <f t="shared" si="93"/>
        <v>220406</v>
      </c>
      <c r="DV24" s="238" t="str">
        <f t="shared" si="94"/>
        <v>220501</v>
      </c>
      <c r="DW24" s="238" t="str">
        <f t="shared" si="94"/>
        <v>220502</v>
      </c>
      <c r="DX24" s="238" t="str">
        <f t="shared" si="94"/>
        <v>220503</v>
      </c>
      <c r="DY24" s="238" t="str">
        <f t="shared" si="94"/>
        <v>220504</v>
      </c>
      <c r="DZ24" s="238" t="str">
        <f t="shared" si="94"/>
        <v>220505</v>
      </c>
      <c r="EA24" s="238" t="str">
        <f t="shared" si="94"/>
        <v>220506</v>
      </c>
      <c r="EC24" s="238" t="str">
        <f t="shared" si="95"/>
        <v>220601</v>
      </c>
      <c r="ED24" s="238" t="str">
        <f t="shared" si="95"/>
        <v>220602</v>
      </c>
      <c r="EE24" s="238" t="str">
        <f t="shared" si="95"/>
        <v>220603</v>
      </c>
      <c r="EF24" s="238" t="str">
        <f t="shared" si="95"/>
        <v>220604</v>
      </c>
      <c r="EG24" s="238" t="str">
        <f t="shared" si="95"/>
        <v>220605</v>
      </c>
      <c r="EH24" s="238" t="str">
        <f t="shared" si="95"/>
        <v>220606</v>
      </c>
      <c r="EJ24" s="238" t="str">
        <f t="shared" si="96"/>
        <v>220701</v>
      </c>
      <c r="EK24" s="238" t="str">
        <f t="shared" si="96"/>
        <v>220702</v>
      </c>
      <c r="EL24" s="238" t="str">
        <f t="shared" si="96"/>
        <v>220703</v>
      </c>
      <c r="EM24" s="238" t="str">
        <f t="shared" si="96"/>
        <v>220704</v>
      </c>
      <c r="EN24" s="238" t="str">
        <f t="shared" si="96"/>
        <v>220705</v>
      </c>
      <c r="EO24" s="238" t="str">
        <f t="shared" si="96"/>
        <v>220706</v>
      </c>
      <c r="EQ24" s="238" t="str">
        <f t="shared" si="97"/>
        <v>220801</v>
      </c>
      <c r="ER24" s="238" t="str">
        <f t="shared" si="97"/>
        <v>220802</v>
      </c>
      <c r="ES24" s="238" t="str">
        <f t="shared" si="97"/>
        <v>220803</v>
      </c>
      <c r="ET24" s="238" t="str">
        <f t="shared" si="97"/>
        <v>220804</v>
      </c>
      <c r="EU24" s="238" t="str">
        <f t="shared" si="97"/>
        <v>220805</v>
      </c>
      <c r="EV24" s="238" t="str">
        <f t="shared" si="97"/>
        <v>220806</v>
      </c>
      <c r="EX24" s="238" t="str">
        <f t="shared" si="98"/>
        <v>220901</v>
      </c>
      <c r="EY24" s="238" t="str">
        <f t="shared" si="98"/>
        <v>220902</v>
      </c>
      <c r="EZ24" s="238" t="str">
        <f t="shared" si="98"/>
        <v>220903</v>
      </c>
      <c r="FA24" s="238" t="str">
        <f t="shared" si="98"/>
        <v>220904</v>
      </c>
      <c r="FB24" s="238" t="str">
        <f t="shared" si="98"/>
        <v>220905</v>
      </c>
      <c r="FC24" s="238" t="str">
        <f t="shared" si="98"/>
        <v>220906</v>
      </c>
      <c r="FE24" s="238" t="str">
        <f t="shared" si="99"/>
        <v>221001</v>
      </c>
      <c r="FF24" s="238" t="str">
        <f t="shared" si="99"/>
        <v>221002</v>
      </c>
      <c r="FG24" s="238" t="str">
        <f t="shared" si="99"/>
        <v>221003</v>
      </c>
      <c r="FH24" s="238" t="str">
        <f t="shared" si="99"/>
        <v>221004</v>
      </c>
      <c r="FI24" s="238" t="str">
        <f t="shared" si="99"/>
        <v>221005</v>
      </c>
      <c r="FJ24" s="238" t="str">
        <f t="shared" si="99"/>
        <v>221006</v>
      </c>
    </row>
    <row r="25" spans="2:166">
      <c r="B25" s="58" t="str">
        <f t="shared" si="67"/>
        <v>23</v>
      </c>
      <c r="C25" s="243"/>
      <c r="D25" s="251">
        <f t="shared" ca="1" si="68"/>
        <v>0</v>
      </c>
      <c r="E25" s="240">
        <f t="shared" ca="1" si="69"/>
        <v>0</v>
      </c>
      <c r="F25" s="240">
        <f t="shared" ca="1" si="70"/>
        <v>0</v>
      </c>
      <c r="G25" s="242">
        <f t="shared" ca="1" si="71"/>
        <v>0</v>
      </c>
      <c r="H25" s="240">
        <f t="shared" ca="1" si="72"/>
        <v>0</v>
      </c>
      <c r="I25" s="241">
        <f t="shared" ca="1" si="73"/>
        <v>0</v>
      </c>
      <c r="J25" s="18" t="str">
        <f t="shared" si="74"/>
        <v>23</v>
      </c>
      <c r="K25" s="251">
        <f t="shared" ca="1" si="75"/>
        <v>0</v>
      </c>
      <c r="L25" s="240">
        <f t="shared" ca="1" si="18"/>
        <v>0</v>
      </c>
      <c r="M25" s="240">
        <f t="shared" ca="1" si="19"/>
        <v>0</v>
      </c>
      <c r="N25" s="242">
        <f t="shared" ca="1" si="20"/>
        <v>0</v>
      </c>
      <c r="O25" s="240">
        <f t="shared" ca="1" si="21"/>
        <v>0</v>
      </c>
      <c r="P25" s="241">
        <f t="shared" ca="1" si="22"/>
        <v>0</v>
      </c>
      <c r="Q25" s="18" t="str">
        <f t="shared" si="76"/>
        <v>23</v>
      </c>
      <c r="R25" s="251">
        <f t="shared" ca="1" si="77"/>
        <v>0</v>
      </c>
      <c r="S25" s="240">
        <f t="shared" ca="1" si="23"/>
        <v>0</v>
      </c>
      <c r="T25" s="240">
        <f t="shared" ca="1" si="24"/>
        <v>0</v>
      </c>
      <c r="U25" s="242">
        <f t="shared" ca="1" si="25"/>
        <v>0</v>
      </c>
      <c r="V25" s="240">
        <f t="shared" ca="1" si="26"/>
        <v>0</v>
      </c>
      <c r="W25" s="241">
        <f t="shared" ca="1" si="27"/>
        <v>0</v>
      </c>
      <c r="X25" s="18" t="str">
        <f t="shared" si="78"/>
        <v>23</v>
      </c>
      <c r="Y25" s="251">
        <f t="shared" ca="1" si="79"/>
        <v>0</v>
      </c>
      <c r="Z25" s="240">
        <f t="shared" ca="1" si="28"/>
        <v>0</v>
      </c>
      <c r="AA25" s="240">
        <f t="shared" ca="1" si="29"/>
        <v>0</v>
      </c>
      <c r="AB25" s="242">
        <f t="shared" ca="1" si="30"/>
        <v>0</v>
      </c>
      <c r="AC25" s="240" t="str">
        <f t="shared" ca="1" si="31"/>
        <v>10e</v>
      </c>
      <c r="AD25" s="241">
        <f t="shared" ca="1" si="32"/>
        <v>0</v>
      </c>
      <c r="AE25" s="18" t="str">
        <f t="shared" si="80"/>
        <v>23</v>
      </c>
      <c r="AF25" s="251" t="str">
        <f t="shared" ca="1" si="81"/>
        <v>24e</v>
      </c>
      <c r="AG25" s="240" t="str">
        <f t="shared" ca="1" si="33"/>
        <v>22e</v>
      </c>
      <c r="AH25" s="240" t="str">
        <f t="shared" ca="1" si="34"/>
        <v>14e</v>
      </c>
      <c r="AI25" s="242" t="str">
        <f t="shared" ca="1" si="35"/>
        <v>10e</v>
      </c>
      <c r="AJ25" s="240">
        <f t="shared" ca="1" si="36"/>
        <v>0</v>
      </c>
      <c r="AK25" s="241" t="str">
        <f t="shared" ca="1" si="37"/>
        <v>6e</v>
      </c>
      <c r="AL25" s="18" t="str">
        <f t="shared" si="82"/>
        <v>23</v>
      </c>
      <c r="AM25" s="251">
        <f t="shared" ca="1" si="83"/>
        <v>0</v>
      </c>
      <c r="AN25" s="240">
        <f t="shared" ca="1" si="38"/>
        <v>0</v>
      </c>
      <c r="AO25" s="240">
        <f t="shared" ca="1" si="39"/>
        <v>0</v>
      </c>
      <c r="AP25" s="242">
        <f t="shared" ca="1" si="40"/>
        <v>0</v>
      </c>
      <c r="AQ25" s="240">
        <f t="shared" ca="1" si="41"/>
        <v>0</v>
      </c>
      <c r="AR25" s="241">
        <f t="shared" ca="1" si="42"/>
        <v>0</v>
      </c>
      <c r="AS25" s="18" t="str">
        <f t="shared" si="84"/>
        <v>23</v>
      </c>
      <c r="AT25" s="251">
        <f t="shared" ca="1" si="85"/>
        <v>0</v>
      </c>
      <c r="AU25" s="240">
        <f t="shared" ca="1" si="43"/>
        <v>0</v>
      </c>
      <c r="AV25" s="240">
        <f t="shared" ca="1" si="44"/>
        <v>0</v>
      </c>
      <c r="AW25" s="242">
        <f t="shared" ca="1" si="45"/>
        <v>0</v>
      </c>
      <c r="AX25" s="240">
        <f t="shared" ca="1" si="46"/>
        <v>0</v>
      </c>
      <c r="AY25" s="241">
        <f t="shared" ca="1" si="47"/>
        <v>0</v>
      </c>
      <c r="AZ25" s="18" t="str">
        <f t="shared" si="86"/>
        <v>23</v>
      </c>
      <c r="BA25" s="251">
        <f t="shared" ca="1" si="87"/>
        <v>0</v>
      </c>
      <c r="BB25" s="240">
        <f t="shared" ca="1" si="48"/>
        <v>0</v>
      </c>
      <c r="BC25" s="240">
        <f t="shared" ca="1" si="49"/>
        <v>0</v>
      </c>
      <c r="BD25" s="242">
        <f t="shared" ca="1" si="50"/>
        <v>0</v>
      </c>
      <c r="BE25" s="240">
        <f t="shared" ca="1" si="51"/>
        <v>0</v>
      </c>
      <c r="BF25" s="241">
        <f t="shared" ca="1" si="52"/>
        <v>0</v>
      </c>
      <c r="BG25" s="18" t="str">
        <f t="shared" si="88"/>
        <v>23</v>
      </c>
      <c r="BH25" s="251">
        <f t="shared" ca="1" si="89"/>
        <v>0</v>
      </c>
      <c r="BI25" s="240">
        <f t="shared" ca="1" si="53"/>
        <v>0</v>
      </c>
      <c r="BJ25" s="240">
        <f t="shared" ca="1" si="54"/>
        <v>0</v>
      </c>
      <c r="BK25" s="242">
        <f t="shared" ca="1" si="55"/>
        <v>0</v>
      </c>
      <c r="BL25" s="240">
        <f t="shared" ca="1" si="56"/>
        <v>0</v>
      </c>
      <c r="BM25" s="241">
        <f t="shared" ca="1" si="57"/>
        <v>0</v>
      </c>
      <c r="CA25" s="16">
        <f t="shared" ca="1" si="8"/>
        <v>67</v>
      </c>
      <c r="CB25" s="16">
        <f t="shared" ca="1" si="9"/>
        <v>73</v>
      </c>
      <c r="CC25" s="16">
        <f t="shared" ca="1" si="10"/>
        <v>2</v>
      </c>
      <c r="CD25" s="16" t="str">
        <f t="shared" ca="1" si="11"/>
        <v>Intro!C</v>
      </c>
      <c r="CE25" s="16">
        <f t="shared" ca="1" si="12"/>
        <v>73</v>
      </c>
      <c r="CF25" s="16" t="str">
        <f t="shared" ca="1" si="13"/>
        <v>Intro!C73</v>
      </c>
      <c r="CH25" s="16" t="str">
        <f t="shared" ca="1" si="14"/>
        <v>Intro!C73:D75</v>
      </c>
      <c r="CI25" s="16" t="str">
        <f t="shared" ca="1" si="15"/>
        <v>170203_20c</v>
      </c>
      <c r="CJ25" s="16" t="str">
        <f t="shared" ca="1" si="6"/>
        <v>170203</v>
      </c>
      <c r="CK25" s="16">
        <f t="shared" ca="1" si="0"/>
        <v>2</v>
      </c>
      <c r="CL25" s="16">
        <f t="shared" ca="1" si="1"/>
        <v>17</v>
      </c>
      <c r="CM25" s="16">
        <f t="shared" ca="1" si="2"/>
        <v>3</v>
      </c>
      <c r="CN25" s="16">
        <f t="shared" ca="1" si="3"/>
        <v>20</v>
      </c>
      <c r="CO25" s="16" t="str">
        <f t="shared" ca="1" si="16"/>
        <v>c</v>
      </c>
      <c r="CY25" s="19" t="str">
        <f t="shared" si="90"/>
        <v>23</v>
      </c>
      <c r="DA25" s="238" t="str">
        <f t="shared" si="91"/>
        <v>230201</v>
      </c>
      <c r="DB25" s="238" t="str">
        <f t="shared" si="91"/>
        <v>230202</v>
      </c>
      <c r="DC25" s="238" t="str">
        <f t="shared" si="91"/>
        <v>230203</v>
      </c>
      <c r="DD25" s="238" t="str">
        <f t="shared" si="91"/>
        <v>230204</v>
      </c>
      <c r="DE25" s="238" t="str">
        <f t="shared" si="91"/>
        <v>230251</v>
      </c>
      <c r="DF25" s="238" t="str">
        <f t="shared" si="91"/>
        <v>230206</v>
      </c>
      <c r="DH25" s="238" t="str">
        <f t="shared" si="92"/>
        <v>230301</v>
      </c>
      <c r="DI25" s="238" t="str">
        <f t="shared" si="92"/>
        <v>230302</v>
      </c>
      <c r="DJ25" s="238" t="str">
        <f t="shared" si="92"/>
        <v>230303</v>
      </c>
      <c r="DK25" s="238" t="str">
        <f t="shared" si="92"/>
        <v>230304</v>
      </c>
      <c r="DL25" s="238" t="str">
        <f t="shared" si="92"/>
        <v>230305</v>
      </c>
      <c r="DM25" s="238" t="str">
        <f t="shared" si="92"/>
        <v>230306</v>
      </c>
      <c r="DO25" s="238" t="str">
        <f t="shared" si="93"/>
        <v>230401</v>
      </c>
      <c r="DP25" s="238" t="str">
        <f t="shared" si="93"/>
        <v>230402</v>
      </c>
      <c r="DQ25" s="238" t="str">
        <f t="shared" si="93"/>
        <v>230403</v>
      </c>
      <c r="DR25" s="238" t="str">
        <f t="shared" si="93"/>
        <v>230404</v>
      </c>
      <c r="DS25" s="238" t="str">
        <f t="shared" si="93"/>
        <v>230405</v>
      </c>
      <c r="DT25" s="238" t="str">
        <f t="shared" si="93"/>
        <v>230406</v>
      </c>
      <c r="DV25" s="238" t="str">
        <f t="shared" si="94"/>
        <v>230501</v>
      </c>
      <c r="DW25" s="238" t="str">
        <f t="shared" si="94"/>
        <v>230502</v>
      </c>
      <c r="DX25" s="238" t="str">
        <f t="shared" si="94"/>
        <v>230503</v>
      </c>
      <c r="DY25" s="238" t="str">
        <f t="shared" si="94"/>
        <v>230504</v>
      </c>
      <c r="DZ25" s="238" t="str">
        <f t="shared" si="94"/>
        <v>230505</v>
      </c>
      <c r="EA25" s="238" t="str">
        <f t="shared" si="94"/>
        <v>230506</v>
      </c>
      <c r="EC25" s="238" t="str">
        <f t="shared" si="95"/>
        <v>230601</v>
      </c>
      <c r="ED25" s="238" t="str">
        <f t="shared" si="95"/>
        <v>230602</v>
      </c>
      <c r="EE25" s="238" t="str">
        <f t="shared" si="95"/>
        <v>230603</v>
      </c>
      <c r="EF25" s="238" t="str">
        <f t="shared" si="95"/>
        <v>230604</v>
      </c>
      <c r="EG25" s="238" t="str">
        <f t="shared" si="95"/>
        <v>230605</v>
      </c>
      <c r="EH25" s="238" t="str">
        <f t="shared" si="95"/>
        <v>230606</v>
      </c>
      <c r="EJ25" s="238" t="str">
        <f t="shared" si="96"/>
        <v>230701</v>
      </c>
      <c r="EK25" s="238" t="str">
        <f t="shared" si="96"/>
        <v>230702</v>
      </c>
      <c r="EL25" s="238" t="str">
        <f t="shared" si="96"/>
        <v>230703</v>
      </c>
      <c r="EM25" s="238" t="str">
        <f t="shared" si="96"/>
        <v>230704</v>
      </c>
      <c r="EN25" s="238" t="str">
        <f t="shared" si="96"/>
        <v>230705</v>
      </c>
      <c r="EO25" s="238" t="str">
        <f t="shared" si="96"/>
        <v>230706</v>
      </c>
      <c r="EQ25" s="238" t="str">
        <f t="shared" si="97"/>
        <v>230801</v>
      </c>
      <c r="ER25" s="238" t="str">
        <f t="shared" si="97"/>
        <v>230802</v>
      </c>
      <c r="ES25" s="238" t="str">
        <f t="shared" si="97"/>
        <v>230803</v>
      </c>
      <c r="ET25" s="238" t="str">
        <f t="shared" si="97"/>
        <v>230804</v>
      </c>
      <c r="EU25" s="238" t="str">
        <f t="shared" si="97"/>
        <v>230805</v>
      </c>
      <c r="EV25" s="238" t="str">
        <f t="shared" si="97"/>
        <v>230806</v>
      </c>
      <c r="EX25" s="238" t="str">
        <f t="shared" si="98"/>
        <v>230901</v>
      </c>
      <c r="EY25" s="238" t="str">
        <f t="shared" si="98"/>
        <v>230902</v>
      </c>
      <c r="EZ25" s="238" t="str">
        <f t="shared" si="98"/>
        <v>230903</v>
      </c>
      <c r="FA25" s="238" t="str">
        <f t="shared" si="98"/>
        <v>230904</v>
      </c>
      <c r="FB25" s="238" t="str">
        <f t="shared" si="98"/>
        <v>230905</v>
      </c>
      <c r="FC25" s="238" t="str">
        <f t="shared" si="98"/>
        <v>230906</v>
      </c>
      <c r="FE25" s="238" t="str">
        <f t="shared" si="99"/>
        <v>231001</v>
      </c>
      <c r="FF25" s="238" t="str">
        <f t="shared" si="99"/>
        <v>231002</v>
      </c>
      <c r="FG25" s="238" t="str">
        <f t="shared" si="99"/>
        <v>231003</v>
      </c>
      <c r="FH25" s="238" t="str">
        <f t="shared" si="99"/>
        <v>231004</v>
      </c>
      <c r="FI25" s="238" t="str">
        <f t="shared" si="99"/>
        <v>231005</v>
      </c>
      <c r="FJ25" s="238" t="str">
        <f t="shared" si="99"/>
        <v>231006</v>
      </c>
    </row>
    <row r="26" spans="2:166">
      <c r="B26" s="58" t="str">
        <f t="shared" si="67"/>
        <v>24</v>
      </c>
      <c r="C26" s="243"/>
      <c r="D26" s="251">
        <f t="shared" ca="1" si="68"/>
        <v>0</v>
      </c>
      <c r="E26" s="240">
        <f t="shared" ca="1" si="69"/>
        <v>0</v>
      </c>
      <c r="F26" s="240">
        <f t="shared" ca="1" si="70"/>
        <v>0</v>
      </c>
      <c r="G26" s="242">
        <f t="shared" ca="1" si="71"/>
        <v>0</v>
      </c>
      <c r="H26" s="240">
        <f t="shared" ca="1" si="72"/>
        <v>0</v>
      </c>
      <c r="I26" s="241">
        <f t="shared" ca="1" si="73"/>
        <v>0</v>
      </c>
      <c r="J26" s="18" t="str">
        <f t="shared" si="74"/>
        <v>24</v>
      </c>
      <c r="K26" s="251">
        <f t="shared" ca="1" si="75"/>
        <v>0</v>
      </c>
      <c r="L26" s="240">
        <f t="shared" ca="1" si="18"/>
        <v>0</v>
      </c>
      <c r="M26" s="240">
        <f t="shared" ca="1" si="19"/>
        <v>0</v>
      </c>
      <c r="N26" s="242">
        <f t="shared" ca="1" si="20"/>
        <v>0</v>
      </c>
      <c r="O26" s="240">
        <f t="shared" ca="1" si="21"/>
        <v>0</v>
      </c>
      <c r="P26" s="241">
        <f t="shared" ca="1" si="22"/>
        <v>0</v>
      </c>
      <c r="Q26" s="18" t="str">
        <f t="shared" si="76"/>
        <v>24</v>
      </c>
      <c r="R26" s="251">
        <f t="shared" ca="1" si="77"/>
        <v>0</v>
      </c>
      <c r="S26" s="240">
        <f t="shared" ca="1" si="23"/>
        <v>0</v>
      </c>
      <c r="T26" s="240">
        <f t="shared" ca="1" si="24"/>
        <v>0</v>
      </c>
      <c r="U26" s="242">
        <f t="shared" ca="1" si="25"/>
        <v>0</v>
      </c>
      <c r="V26" s="240">
        <f t="shared" ca="1" si="26"/>
        <v>0</v>
      </c>
      <c r="W26" s="241">
        <f t="shared" ca="1" si="27"/>
        <v>0</v>
      </c>
      <c r="X26" s="18" t="str">
        <f t="shared" si="78"/>
        <v>24</v>
      </c>
      <c r="Y26" s="251" t="str">
        <f t="shared" ca="1" si="79"/>
        <v>28e</v>
      </c>
      <c r="Z26" s="240">
        <f t="shared" ca="1" si="28"/>
        <v>0</v>
      </c>
      <c r="AA26" s="240">
        <f t="shared" ca="1" si="29"/>
        <v>0</v>
      </c>
      <c r="AB26" s="242" t="str">
        <f t="shared" ca="1" si="30"/>
        <v>12c</v>
      </c>
      <c r="AC26" s="240" t="str">
        <f t="shared" ca="1" si="31"/>
        <v>10e</v>
      </c>
      <c r="AD26" s="241">
        <f t="shared" ca="1" si="32"/>
        <v>0</v>
      </c>
      <c r="AE26" s="18" t="str">
        <f t="shared" si="80"/>
        <v>24</v>
      </c>
      <c r="AF26" s="251" t="str">
        <f t="shared" ca="1" si="81"/>
        <v>24e</v>
      </c>
      <c r="AG26" s="240" t="str">
        <f t="shared" ca="1" si="33"/>
        <v>22e</v>
      </c>
      <c r="AH26" s="240" t="str">
        <f t="shared" ca="1" si="34"/>
        <v>14e</v>
      </c>
      <c r="AI26" s="242" t="str">
        <f t="shared" ca="1" si="35"/>
        <v>10e</v>
      </c>
      <c r="AJ26" s="240" t="str">
        <f t="shared" ca="1" si="36"/>
        <v>10e</v>
      </c>
      <c r="AK26" s="241" t="str">
        <f t="shared" ca="1" si="37"/>
        <v>6e</v>
      </c>
      <c r="AL26" s="18" t="str">
        <f t="shared" si="82"/>
        <v>24</v>
      </c>
      <c r="AM26" s="251">
        <f t="shared" ca="1" si="83"/>
        <v>0</v>
      </c>
      <c r="AN26" s="240">
        <f t="shared" ca="1" si="38"/>
        <v>0</v>
      </c>
      <c r="AO26" s="240">
        <f t="shared" ca="1" si="39"/>
        <v>0</v>
      </c>
      <c r="AP26" s="242">
        <f t="shared" ca="1" si="40"/>
        <v>0</v>
      </c>
      <c r="AQ26" s="240">
        <f t="shared" ca="1" si="41"/>
        <v>0</v>
      </c>
      <c r="AR26" s="241">
        <f t="shared" ca="1" si="42"/>
        <v>0</v>
      </c>
      <c r="AS26" s="18" t="str">
        <f t="shared" si="84"/>
        <v>24</v>
      </c>
      <c r="AT26" s="251">
        <f t="shared" ca="1" si="85"/>
        <v>0</v>
      </c>
      <c r="AU26" s="240" t="str">
        <f t="shared" ca="1" si="43"/>
        <v>17c</v>
      </c>
      <c r="AV26" s="240">
        <f t="shared" ca="1" si="44"/>
        <v>0</v>
      </c>
      <c r="AW26" s="242">
        <f t="shared" ca="1" si="45"/>
        <v>0</v>
      </c>
      <c r="AX26" s="240">
        <f t="shared" ca="1" si="46"/>
        <v>0</v>
      </c>
      <c r="AY26" s="241">
        <f t="shared" ca="1" si="47"/>
        <v>0</v>
      </c>
      <c r="AZ26" s="18" t="str">
        <f t="shared" si="86"/>
        <v>24</v>
      </c>
      <c r="BA26" s="251">
        <f t="shared" ca="1" si="87"/>
        <v>0</v>
      </c>
      <c r="BB26" s="240">
        <f t="shared" ca="1" si="48"/>
        <v>0</v>
      </c>
      <c r="BC26" s="240">
        <f t="shared" ca="1" si="49"/>
        <v>0</v>
      </c>
      <c r="BD26" s="242">
        <f t="shared" ca="1" si="50"/>
        <v>0</v>
      </c>
      <c r="BE26" s="240">
        <f t="shared" ca="1" si="51"/>
        <v>0</v>
      </c>
      <c r="BF26" s="241">
        <f t="shared" ca="1" si="52"/>
        <v>0</v>
      </c>
      <c r="BG26" s="18" t="str">
        <f t="shared" si="88"/>
        <v>24</v>
      </c>
      <c r="BH26" s="251">
        <f t="shared" ca="1" si="89"/>
        <v>0</v>
      </c>
      <c r="BI26" s="240">
        <f t="shared" ca="1" si="53"/>
        <v>0</v>
      </c>
      <c r="BJ26" s="240">
        <f t="shared" ca="1" si="54"/>
        <v>0</v>
      </c>
      <c r="BK26" s="242">
        <f t="shared" ca="1" si="55"/>
        <v>0</v>
      </c>
      <c r="BL26" s="240">
        <f t="shared" ca="1" si="56"/>
        <v>0</v>
      </c>
      <c r="BM26" s="241">
        <f t="shared" ca="1" si="57"/>
        <v>0</v>
      </c>
      <c r="CA26" s="16">
        <f t="shared" ca="1" si="8"/>
        <v>67</v>
      </c>
      <c r="CB26" s="16">
        <f t="shared" ca="1" si="9"/>
        <v>74</v>
      </c>
      <c r="CC26" s="16">
        <f t="shared" ca="1" si="10"/>
        <v>1</v>
      </c>
      <c r="CD26" s="16" t="str">
        <f t="shared" ca="1" si="11"/>
        <v>Intro!C</v>
      </c>
      <c r="CE26" s="16">
        <f t="shared" ca="1" si="12"/>
        <v>74</v>
      </c>
      <c r="CF26" s="16" t="str">
        <f t="shared" ca="1" si="13"/>
        <v>Intro!C74</v>
      </c>
      <c r="CH26" s="16" t="str">
        <f t="shared" ca="1" si="14"/>
        <v>Intro!C74:D75</v>
      </c>
      <c r="CI26" s="16" t="str">
        <f t="shared" ca="1" si="15"/>
        <v>180203_23c</v>
      </c>
      <c r="CJ26" s="16" t="str">
        <f t="shared" ca="1" si="6"/>
        <v>180203</v>
      </c>
      <c r="CK26" s="16">
        <f t="shared" ca="1" si="0"/>
        <v>2</v>
      </c>
      <c r="CL26" s="16">
        <f t="shared" ca="1" si="1"/>
        <v>18</v>
      </c>
      <c r="CM26" s="16">
        <f t="shared" ca="1" si="2"/>
        <v>3</v>
      </c>
      <c r="CN26" s="16">
        <f t="shared" ca="1" si="3"/>
        <v>23</v>
      </c>
      <c r="CO26" s="16" t="str">
        <f t="shared" ca="1" si="16"/>
        <v>c</v>
      </c>
      <c r="CY26" s="19" t="str">
        <f t="shared" si="90"/>
        <v>24</v>
      </c>
      <c r="DA26" s="238" t="str">
        <f t="shared" si="91"/>
        <v>240201</v>
      </c>
      <c r="DB26" s="238" t="str">
        <f t="shared" si="91"/>
        <v>240202</v>
      </c>
      <c r="DC26" s="238" t="str">
        <f t="shared" si="91"/>
        <v>240203</v>
      </c>
      <c r="DD26" s="238" t="str">
        <f t="shared" si="91"/>
        <v>240204</v>
      </c>
      <c r="DE26" s="238" t="str">
        <f t="shared" si="91"/>
        <v>240251</v>
      </c>
      <c r="DF26" s="238" t="str">
        <f t="shared" si="91"/>
        <v>240206</v>
      </c>
      <c r="DH26" s="238" t="str">
        <f t="shared" si="92"/>
        <v>240301</v>
      </c>
      <c r="DI26" s="238" t="str">
        <f t="shared" si="92"/>
        <v>240302</v>
      </c>
      <c r="DJ26" s="238" t="str">
        <f t="shared" si="92"/>
        <v>240303</v>
      </c>
      <c r="DK26" s="238" t="str">
        <f t="shared" si="92"/>
        <v>240304</v>
      </c>
      <c r="DL26" s="238" t="str">
        <f t="shared" si="92"/>
        <v>240305</v>
      </c>
      <c r="DM26" s="238" t="str">
        <f t="shared" si="92"/>
        <v>240306</v>
      </c>
      <c r="DO26" s="238" t="str">
        <f t="shared" si="93"/>
        <v>240401</v>
      </c>
      <c r="DP26" s="238" t="str">
        <f t="shared" si="93"/>
        <v>240402</v>
      </c>
      <c r="DQ26" s="238" t="str">
        <f t="shared" si="93"/>
        <v>240403</v>
      </c>
      <c r="DR26" s="238" t="str">
        <f t="shared" si="93"/>
        <v>240404</v>
      </c>
      <c r="DS26" s="238" t="str">
        <f t="shared" si="93"/>
        <v>240405</v>
      </c>
      <c r="DT26" s="238" t="str">
        <f t="shared" si="93"/>
        <v>240406</v>
      </c>
      <c r="DV26" s="238" t="str">
        <f t="shared" si="94"/>
        <v>240501</v>
      </c>
      <c r="DW26" s="238" t="str">
        <f t="shared" si="94"/>
        <v>240502</v>
      </c>
      <c r="DX26" s="238" t="str">
        <f t="shared" si="94"/>
        <v>240503</v>
      </c>
      <c r="DY26" s="238" t="str">
        <f t="shared" si="94"/>
        <v>240504</v>
      </c>
      <c r="DZ26" s="238" t="str">
        <f t="shared" si="94"/>
        <v>240505</v>
      </c>
      <c r="EA26" s="238" t="str">
        <f t="shared" si="94"/>
        <v>240506</v>
      </c>
      <c r="EC26" s="238" t="str">
        <f t="shared" si="95"/>
        <v>240601</v>
      </c>
      <c r="ED26" s="238" t="str">
        <f t="shared" si="95"/>
        <v>240602</v>
      </c>
      <c r="EE26" s="238" t="str">
        <f t="shared" si="95"/>
        <v>240603</v>
      </c>
      <c r="EF26" s="238" t="str">
        <f t="shared" si="95"/>
        <v>240604</v>
      </c>
      <c r="EG26" s="238" t="str">
        <f t="shared" si="95"/>
        <v>240605</v>
      </c>
      <c r="EH26" s="238" t="str">
        <f t="shared" si="95"/>
        <v>240606</v>
      </c>
      <c r="EJ26" s="238" t="str">
        <f t="shared" si="96"/>
        <v>240701</v>
      </c>
      <c r="EK26" s="238" t="str">
        <f t="shared" si="96"/>
        <v>240702</v>
      </c>
      <c r="EL26" s="238" t="str">
        <f t="shared" si="96"/>
        <v>240703</v>
      </c>
      <c r="EM26" s="238" t="str">
        <f t="shared" si="96"/>
        <v>240704</v>
      </c>
      <c r="EN26" s="238" t="str">
        <f t="shared" si="96"/>
        <v>240705</v>
      </c>
      <c r="EO26" s="238" t="str">
        <f t="shared" si="96"/>
        <v>240706</v>
      </c>
      <c r="EQ26" s="238" t="str">
        <f t="shared" si="97"/>
        <v>240801</v>
      </c>
      <c r="ER26" s="238" t="str">
        <f t="shared" si="97"/>
        <v>240802</v>
      </c>
      <c r="ES26" s="238" t="str">
        <f t="shared" si="97"/>
        <v>240803</v>
      </c>
      <c r="ET26" s="238" t="str">
        <f t="shared" si="97"/>
        <v>240804</v>
      </c>
      <c r="EU26" s="238" t="str">
        <f t="shared" si="97"/>
        <v>240805</v>
      </c>
      <c r="EV26" s="238" t="str">
        <f t="shared" si="97"/>
        <v>240806</v>
      </c>
      <c r="EX26" s="238" t="str">
        <f t="shared" si="98"/>
        <v>240901</v>
      </c>
      <c r="EY26" s="238" t="str">
        <f t="shared" si="98"/>
        <v>240902</v>
      </c>
      <c r="EZ26" s="238" t="str">
        <f t="shared" si="98"/>
        <v>240903</v>
      </c>
      <c r="FA26" s="238" t="str">
        <f t="shared" si="98"/>
        <v>240904</v>
      </c>
      <c r="FB26" s="238" t="str">
        <f t="shared" si="98"/>
        <v>240905</v>
      </c>
      <c r="FC26" s="238" t="str">
        <f t="shared" si="98"/>
        <v>240906</v>
      </c>
      <c r="FE26" s="238" t="str">
        <f t="shared" si="99"/>
        <v>241001</v>
      </c>
      <c r="FF26" s="238" t="str">
        <f t="shared" si="99"/>
        <v>241002</v>
      </c>
      <c r="FG26" s="238" t="str">
        <f t="shared" si="99"/>
        <v>241003</v>
      </c>
      <c r="FH26" s="238" t="str">
        <f t="shared" si="99"/>
        <v>241004</v>
      </c>
      <c r="FI26" s="238" t="str">
        <f t="shared" si="99"/>
        <v>241005</v>
      </c>
      <c r="FJ26" s="238" t="str">
        <f t="shared" si="99"/>
        <v>241006</v>
      </c>
    </row>
    <row r="27" spans="2:166">
      <c r="B27" s="58" t="str">
        <f t="shared" si="67"/>
        <v>25</v>
      </c>
      <c r="C27" s="243"/>
      <c r="D27" s="251">
        <f t="shared" ca="1" si="68"/>
        <v>0</v>
      </c>
      <c r="E27" s="240">
        <f t="shared" ca="1" si="69"/>
        <v>0</v>
      </c>
      <c r="F27" s="240">
        <f t="shared" ca="1" si="70"/>
        <v>0</v>
      </c>
      <c r="G27" s="242">
        <f t="shared" ca="1" si="71"/>
        <v>0</v>
      </c>
      <c r="H27" s="240">
        <f t="shared" ca="1" si="72"/>
        <v>0</v>
      </c>
      <c r="I27" s="241">
        <f t="shared" ca="1" si="73"/>
        <v>0</v>
      </c>
      <c r="J27" s="18" t="str">
        <f t="shared" si="74"/>
        <v>25</v>
      </c>
      <c r="K27" s="251">
        <f t="shared" ca="1" si="75"/>
        <v>0</v>
      </c>
      <c r="L27" s="240">
        <f t="shared" ca="1" si="18"/>
        <v>0</v>
      </c>
      <c r="M27" s="240">
        <f t="shared" ca="1" si="19"/>
        <v>0</v>
      </c>
      <c r="N27" s="242">
        <f t="shared" ca="1" si="20"/>
        <v>0</v>
      </c>
      <c r="O27" s="240">
        <f t="shared" ca="1" si="21"/>
        <v>0</v>
      </c>
      <c r="P27" s="241">
        <f t="shared" ca="1" si="22"/>
        <v>0</v>
      </c>
      <c r="Q27" s="18" t="str">
        <f t="shared" si="76"/>
        <v>25</v>
      </c>
      <c r="R27" s="251">
        <f t="shared" ca="1" si="77"/>
        <v>0</v>
      </c>
      <c r="S27" s="240">
        <f t="shared" ca="1" si="23"/>
        <v>0</v>
      </c>
      <c r="T27" s="240">
        <f t="shared" ca="1" si="24"/>
        <v>0</v>
      </c>
      <c r="U27" s="242">
        <f t="shared" ca="1" si="25"/>
        <v>0</v>
      </c>
      <c r="V27" s="240">
        <f t="shared" ca="1" si="26"/>
        <v>0</v>
      </c>
      <c r="W27" s="241">
        <f t="shared" ca="1" si="27"/>
        <v>0</v>
      </c>
      <c r="X27" s="18" t="str">
        <f t="shared" si="78"/>
        <v>25</v>
      </c>
      <c r="Y27" s="251" t="str">
        <f t="shared" ca="1" si="79"/>
        <v>30L</v>
      </c>
      <c r="Z27" s="240">
        <f t="shared" ca="1" si="28"/>
        <v>0</v>
      </c>
      <c r="AA27" s="240">
        <f t="shared" ca="1" si="29"/>
        <v>0</v>
      </c>
      <c r="AB27" s="242">
        <f t="shared" ca="1" si="30"/>
        <v>0</v>
      </c>
      <c r="AC27" s="240" t="str">
        <f t="shared" ca="1" si="31"/>
        <v>10e</v>
      </c>
      <c r="AD27" s="241">
        <f t="shared" ca="1" si="32"/>
        <v>0</v>
      </c>
      <c r="AE27" s="18" t="str">
        <f t="shared" si="80"/>
        <v>25</v>
      </c>
      <c r="AF27" s="251" t="str">
        <f t="shared" ca="1" si="81"/>
        <v>24e</v>
      </c>
      <c r="AG27" s="240" t="str">
        <f t="shared" ca="1" si="33"/>
        <v>25e</v>
      </c>
      <c r="AH27" s="240" t="str">
        <f t="shared" ca="1" si="34"/>
        <v>17e</v>
      </c>
      <c r="AI27" s="242" t="str">
        <f t="shared" ca="1" si="35"/>
        <v>13e</v>
      </c>
      <c r="AJ27" s="240">
        <f t="shared" ca="1" si="36"/>
        <v>0</v>
      </c>
      <c r="AK27" s="241" t="str">
        <f t="shared" ca="1" si="37"/>
        <v>9e</v>
      </c>
      <c r="AL27" s="18" t="str">
        <f t="shared" si="82"/>
        <v>25</v>
      </c>
      <c r="AM27" s="251">
        <f t="shared" ca="1" si="83"/>
        <v>0</v>
      </c>
      <c r="AN27" s="240">
        <f t="shared" ca="1" si="38"/>
        <v>0</v>
      </c>
      <c r="AO27" s="240">
        <f t="shared" ca="1" si="39"/>
        <v>0</v>
      </c>
      <c r="AP27" s="242">
        <f t="shared" ca="1" si="40"/>
        <v>0</v>
      </c>
      <c r="AQ27" s="240">
        <f t="shared" ca="1" si="41"/>
        <v>0</v>
      </c>
      <c r="AR27" s="241">
        <f t="shared" ca="1" si="42"/>
        <v>0</v>
      </c>
      <c r="AS27" s="18" t="str">
        <f t="shared" si="84"/>
        <v>25</v>
      </c>
      <c r="AT27" s="251">
        <f t="shared" ca="1" si="85"/>
        <v>0</v>
      </c>
      <c r="AU27" s="240">
        <f t="shared" ca="1" si="43"/>
        <v>0</v>
      </c>
      <c r="AV27" s="240">
        <f t="shared" ca="1" si="44"/>
        <v>0</v>
      </c>
      <c r="AW27" s="242">
        <f t="shared" ca="1" si="45"/>
        <v>0</v>
      </c>
      <c r="AX27" s="240">
        <f t="shared" ca="1" si="46"/>
        <v>0</v>
      </c>
      <c r="AY27" s="241">
        <f t="shared" ca="1" si="47"/>
        <v>0</v>
      </c>
      <c r="AZ27" s="18" t="str">
        <f t="shared" si="86"/>
        <v>25</v>
      </c>
      <c r="BA27" s="251">
        <f t="shared" ca="1" si="87"/>
        <v>0</v>
      </c>
      <c r="BB27" s="240">
        <f t="shared" ca="1" si="48"/>
        <v>0</v>
      </c>
      <c r="BC27" s="240">
        <f t="shared" ca="1" si="49"/>
        <v>0</v>
      </c>
      <c r="BD27" s="242">
        <f t="shared" ca="1" si="50"/>
        <v>0</v>
      </c>
      <c r="BE27" s="240">
        <f t="shared" ca="1" si="51"/>
        <v>0</v>
      </c>
      <c r="BF27" s="241">
        <f t="shared" ca="1" si="52"/>
        <v>0</v>
      </c>
      <c r="BG27" s="18" t="str">
        <f t="shared" si="88"/>
        <v>25</v>
      </c>
      <c r="BH27" s="251">
        <f t="shared" ca="1" si="89"/>
        <v>0</v>
      </c>
      <c r="BI27" s="240">
        <f t="shared" ca="1" si="53"/>
        <v>0</v>
      </c>
      <c r="BJ27" s="240">
        <f t="shared" ca="1" si="54"/>
        <v>0</v>
      </c>
      <c r="BK27" s="242">
        <f t="shared" ca="1" si="55"/>
        <v>0</v>
      </c>
      <c r="BL27" s="240">
        <f t="shared" ca="1" si="56"/>
        <v>0</v>
      </c>
      <c r="BM27" s="241">
        <f t="shared" ca="1" si="57"/>
        <v>0</v>
      </c>
      <c r="CA27" s="16">
        <f t="shared" ca="1" si="8"/>
        <v>69</v>
      </c>
      <c r="CB27" s="16">
        <f t="shared" ca="1" si="9"/>
        <v>51</v>
      </c>
      <c r="CC27" s="16">
        <f t="shared" ca="1" si="10"/>
        <v>35</v>
      </c>
      <c r="CD27" s="16" t="str">
        <f t="shared" ca="1" si="11"/>
        <v>Intro!E</v>
      </c>
      <c r="CE27" s="16">
        <f t="shared" ca="1" si="12"/>
        <v>51</v>
      </c>
      <c r="CF27" s="16" t="str">
        <f t="shared" ca="1" si="13"/>
        <v>Intro!E51</v>
      </c>
      <c r="CH27" s="16" t="str">
        <f t="shared" ca="1" si="14"/>
        <v>Intro!E51:F86</v>
      </c>
      <c r="CI27" s="16" t="str">
        <f t="shared" ca="1" si="15"/>
        <v>060301_05s</v>
      </c>
      <c r="CJ27" s="16" t="str">
        <f t="shared" ca="1" si="6"/>
        <v>060301</v>
      </c>
      <c r="CK27" s="16">
        <f t="shared" ca="1" si="0"/>
        <v>3</v>
      </c>
      <c r="CL27" s="16">
        <f t="shared" ca="1" si="1"/>
        <v>6</v>
      </c>
      <c r="CM27" s="16">
        <f t="shared" ca="1" si="2"/>
        <v>1</v>
      </c>
      <c r="CN27" s="16">
        <f t="shared" ca="1" si="3"/>
        <v>5</v>
      </c>
      <c r="CO27" s="16" t="str">
        <f t="shared" ca="1" si="16"/>
        <v>s</v>
      </c>
      <c r="CY27" s="19" t="str">
        <f t="shared" si="90"/>
        <v>25</v>
      </c>
      <c r="DA27" s="238" t="str">
        <f t="shared" si="91"/>
        <v>250201</v>
      </c>
      <c r="DB27" s="238" t="str">
        <f t="shared" si="91"/>
        <v>250202</v>
      </c>
      <c r="DC27" s="238" t="str">
        <f t="shared" si="91"/>
        <v>250203</v>
      </c>
      <c r="DD27" s="238" t="str">
        <f t="shared" si="91"/>
        <v>250204</v>
      </c>
      <c r="DE27" s="238" t="str">
        <f t="shared" si="91"/>
        <v>250251</v>
      </c>
      <c r="DF27" s="238" t="str">
        <f t="shared" si="91"/>
        <v>250206</v>
      </c>
      <c r="DH27" s="238" t="str">
        <f t="shared" si="92"/>
        <v>250301</v>
      </c>
      <c r="DI27" s="238" t="str">
        <f t="shared" si="92"/>
        <v>250302</v>
      </c>
      <c r="DJ27" s="238" t="str">
        <f t="shared" si="92"/>
        <v>250303</v>
      </c>
      <c r="DK27" s="238" t="str">
        <f t="shared" si="92"/>
        <v>250304</v>
      </c>
      <c r="DL27" s="238" t="str">
        <f t="shared" si="92"/>
        <v>250305</v>
      </c>
      <c r="DM27" s="238" t="str">
        <f t="shared" si="92"/>
        <v>250306</v>
      </c>
      <c r="DO27" s="238" t="str">
        <f t="shared" si="93"/>
        <v>250401</v>
      </c>
      <c r="DP27" s="238" t="str">
        <f t="shared" si="93"/>
        <v>250402</v>
      </c>
      <c r="DQ27" s="238" t="str">
        <f t="shared" si="93"/>
        <v>250403</v>
      </c>
      <c r="DR27" s="238" t="str">
        <f t="shared" si="93"/>
        <v>250404</v>
      </c>
      <c r="DS27" s="238" t="str">
        <f t="shared" si="93"/>
        <v>250405</v>
      </c>
      <c r="DT27" s="238" t="str">
        <f t="shared" si="93"/>
        <v>250406</v>
      </c>
      <c r="DV27" s="238" t="str">
        <f t="shared" si="94"/>
        <v>250501</v>
      </c>
      <c r="DW27" s="238" t="str">
        <f t="shared" si="94"/>
        <v>250502</v>
      </c>
      <c r="DX27" s="238" t="str">
        <f t="shared" si="94"/>
        <v>250503</v>
      </c>
      <c r="DY27" s="238" t="str">
        <f t="shared" si="94"/>
        <v>250504</v>
      </c>
      <c r="DZ27" s="238" t="str">
        <f t="shared" si="94"/>
        <v>250505</v>
      </c>
      <c r="EA27" s="238" t="str">
        <f t="shared" si="94"/>
        <v>250506</v>
      </c>
      <c r="EC27" s="238" t="str">
        <f t="shared" si="95"/>
        <v>250601</v>
      </c>
      <c r="ED27" s="238" t="str">
        <f t="shared" si="95"/>
        <v>250602</v>
      </c>
      <c r="EE27" s="238" t="str">
        <f t="shared" si="95"/>
        <v>250603</v>
      </c>
      <c r="EF27" s="238" t="str">
        <f t="shared" si="95"/>
        <v>250604</v>
      </c>
      <c r="EG27" s="238" t="str">
        <f t="shared" si="95"/>
        <v>250605</v>
      </c>
      <c r="EH27" s="238" t="str">
        <f t="shared" si="95"/>
        <v>250606</v>
      </c>
      <c r="EJ27" s="238" t="str">
        <f t="shared" si="96"/>
        <v>250701</v>
      </c>
      <c r="EK27" s="238" t="str">
        <f t="shared" si="96"/>
        <v>250702</v>
      </c>
      <c r="EL27" s="238" t="str">
        <f t="shared" si="96"/>
        <v>250703</v>
      </c>
      <c r="EM27" s="238" t="str">
        <f t="shared" si="96"/>
        <v>250704</v>
      </c>
      <c r="EN27" s="238" t="str">
        <f t="shared" si="96"/>
        <v>250705</v>
      </c>
      <c r="EO27" s="238" t="str">
        <f t="shared" si="96"/>
        <v>250706</v>
      </c>
      <c r="EQ27" s="238" t="str">
        <f t="shared" si="97"/>
        <v>250801</v>
      </c>
      <c r="ER27" s="238" t="str">
        <f t="shared" si="97"/>
        <v>250802</v>
      </c>
      <c r="ES27" s="238" t="str">
        <f t="shared" si="97"/>
        <v>250803</v>
      </c>
      <c r="ET27" s="238" t="str">
        <f t="shared" si="97"/>
        <v>250804</v>
      </c>
      <c r="EU27" s="238" t="str">
        <f t="shared" si="97"/>
        <v>250805</v>
      </c>
      <c r="EV27" s="238" t="str">
        <f t="shared" si="97"/>
        <v>250806</v>
      </c>
      <c r="EX27" s="238" t="str">
        <f t="shared" si="98"/>
        <v>250901</v>
      </c>
      <c r="EY27" s="238" t="str">
        <f t="shared" si="98"/>
        <v>250902</v>
      </c>
      <c r="EZ27" s="238" t="str">
        <f t="shared" si="98"/>
        <v>250903</v>
      </c>
      <c r="FA27" s="238" t="str">
        <f t="shared" si="98"/>
        <v>250904</v>
      </c>
      <c r="FB27" s="238" t="str">
        <f t="shared" si="98"/>
        <v>250905</v>
      </c>
      <c r="FC27" s="238" t="str">
        <f t="shared" si="98"/>
        <v>250906</v>
      </c>
      <c r="FE27" s="238" t="str">
        <f t="shared" si="99"/>
        <v>251001</v>
      </c>
      <c r="FF27" s="238" t="str">
        <f t="shared" si="99"/>
        <v>251002</v>
      </c>
      <c r="FG27" s="238" t="str">
        <f t="shared" si="99"/>
        <v>251003</v>
      </c>
      <c r="FH27" s="238" t="str">
        <f t="shared" si="99"/>
        <v>251004</v>
      </c>
      <c r="FI27" s="238" t="str">
        <f t="shared" si="99"/>
        <v>251005</v>
      </c>
      <c r="FJ27" s="238" t="str">
        <f t="shared" si="99"/>
        <v>251006</v>
      </c>
    </row>
    <row r="28" spans="2:166">
      <c r="B28" s="58" t="str">
        <f t="shared" si="67"/>
        <v>26</v>
      </c>
      <c r="C28" s="243"/>
      <c r="D28" s="251">
        <f t="shared" ca="1" si="68"/>
        <v>0</v>
      </c>
      <c r="E28" s="240">
        <f t="shared" ca="1" si="69"/>
        <v>0</v>
      </c>
      <c r="F28" s="240">
        <f t="shared" ca="1" si="70"/>
        <v>0</v>
      </c>
      <c r="G28" s="242">
        <f t="shared" ca="1" si="71"/>
        <v>0</v>
      </c>
      <c r="H28" s="240">
        <f t="shared" ca="1" si="72"/>
        <v>0</v>
      </c>
      <c r="I28" s="241">
        <f t="shared" ca="1" si="73"/>
        <v>0</v>
      </c>
      <c r="J28" s="18" t="str">
        <f t="shared" si="74"/>
        <v>26</v>
      </c>
      <c r="K28" s="251">
        <f t="shared" ca="1" si="75"/>
        <v>0</v>
      </c>
      <c r="L28" s="240">
        <f t="shared" ca="1" si="18"/>
        <v>0</v>
      </c>
      <c r="M28" s="240">
        <f t="shared" ca="1" si="19"/>
        <v>0</v>
      </c>
      <c r="N28" s="242">
        <f t="shared" ca="1" si="20"/>
        <v>0</v>
      </c>
      <c r="O28" s="240">
        <f t="shared" ca="1" si="21"/>
        <v>0</v>
      </c>
      <c r="P28" s="241">
        <f t="shared" ca="1" si="22"/>
        <v>0</v>
      </c>
      <c r="Q28" s="18" t="str">
        <f t="shared" si="76"/>
        <v>26</v>
      </c>
      <c r="R28" s="251">
        <f t="shared" ca="1" si="77"/>
        <v>0</v>
      </c>
      <c r="S28" s="240">
        <f t="shared" ca="1" si="23"/>
        <v>0</v>
      </c>
      <c r="T28" s="240">
        <f t="shared" ca="1" si="24"/>
        <v>0</v>
      </c>
      <c r="U28" s="242">
        <f t="shared" ca="1" si="25"/>
        <v>0</v>
      </c>
      <c r="V28" s="240">
        <f t="shared" ca="1" si="26"/>
        <v>0</v>
      </c>
      <c r="W28" s="241">
        <f t="shared" ca="1" si="27"/>
        <v>0</v>
      </c>
      <c r="X28" s="18" t="str">
        <f t="shared" si="78"/>
        <v>26</v>
      </c>
      <c r="Y28" s="251">
        <f t="shared" ca="1" si="79"/>
        <v>0</v>
      </c>
      <c r="Z28" s="240">
        <f t="shared" ca="1" si="28"/>
        <v>0</v>
      </c>
      <c r="AA28" s="240">
        <f t="shared" ca="1" si="29"/>
        <v>0</v>
      </c>
      <c r="AB28" s="242">
        <f t="shared" ca="1" si="30"/>
        <v>0</v>
      </c>
      <c r="AC28" s="240">
        <f t="shared" ca="1" si="31"/>
        <v>0</v>
      </c>
      <c r="AD28" s="241">
        <f t="shared" ca="1" si="32"/>
        <v>0</v>
      </c>
      <c r="AE28" s="18" t="str">
        <f t="shared" si="80"/>
        <v>26</v>
      </c>
      <c r="AF28" s="251">
        <f t="shared" ca="1" si="81"/>
        <v>0</v>
      </c>
      <c r="AG28" s="240" t="str">
        <f t="shared" ca="1" si="33"/>
        <v>26e</v>
      </c>
      <c r="AH28" s="240" t="str">
        <f t="shared" ca="1" si="34"/>
        <v>18e</v>
      </c>
      <c r="AI28" s="242" t="str">
        <f t="shared" ca="1" si="35"/>
        <v>13e</v>
      </c>
      <c r="AJ28" s="240" t="str">
        <f t="shared" ca="1" si="36"/>
        <v>10e</v>
      </c>
      <c r="AK28" s="241" t="str">
        <f t="shared" ca="1" si="37"/>
        <v>9e</v>
      </c>
      <c r="AL28" s="18" t="str">
        <f t="shared" si="82"/>
        <v>26</v>
      </c>
      <c r="AM28" s="251" t="str">
        <f t="shared" ca="1" si="83"/>
        <v>24e</v>
      </c>
      <c r="AN28" s="240" t="str">
        <f t="shared" ca="1" si="38"/>
        <v>26e</v>
      </c>
      <c r="AO28" s="240" t="str">
        <f t="shared" ca="1" si="39"/>
        <v>18e</v>
      </c>
      <c r="AP28" s="242" t="str">
        <f t="shared" ca="1" si="40"/>
        <v>14e</v>
      </c>
      <c r="AQ28" s="240">
        <f t="shared" ca="1" si="41"/>
        <v>0</v>
      </c>
      <c r="AR28" s="241" t="str">
        <f t="shared" ca="1" si="42"/>
        <v>10e</v>
      </c>
      <c r="AS28" s="18" t="str">
        <f t="shared" si="84"/>
        <v>26</v>
      </c>
      <c r="AT28" s="251">
        <f t="shared" ca="1" si="85"/>
        <v>0</v>
      </c>
      <c r="AU28" s="240" t="str">
        <f t="shared" ca="1" si="43"/>
        <v>20c</v>
      </c>
      <c r="AV28" s="240">
        <f t="shared" ca="1" si="44"/>
        <v>0</v>
      </c>
      <c r="AW28" s="242">
        <f t="shared" ca="1" si="45"/>
        <v>0</v>
      </c>
      <c r="AX28" s="240">
        <f t="shared" ca="1" si="46"/>
        <v>0</v>
      </c>
      <c r="AY28" s="241">
        <f t="shared" ca="1" si="47"/>
        <v>0</v>
      </c>
      <c r="AZ28" s="18" t="str">
        <f t="shared" si="86"/>
        <v>26</v>
      </c>
      <c r="BA28" s="251">
        <f t="shared" ca="1" si="87"/>
        <v>0</v>
      </c>
      <c r="BB28" s="240">
        <f t="shared" ca="1" si="48"/>
        <v>0</v>
      </c>
      <c r="BC28" s="240">
        <f t="shared" ca="1" si="49"/>
        <v>0</v>
      </c>
      <c r="BD28" s="242">
        <f t="shared" ca="1" si="50"/>
        <v>0</v>
      </c>
      <c r="BE28" s="240">
        <f t="shared" ca="1" si="51"/>
        <v>0</v>
      </c>
      <c r="BF28" s="241">
        <f t="shared" ca="1" si="52"/>
        <v>0</v>
      </c>
      <c r="BG28" s="18" t="str">
        <f t="shared" si="88"/>
        <v>26</v>
      </c>
      <c r="BH28" s="251">
        <f t="shared" ca="1" si="89"/>
        <v>0</v>
      </c>
      <c r="BI28" s="240">
        <f t="shared" ca="1" si="53"/>
        <v>0</v>
      </c>
      <c r="BJ28" s="240">
        <f t="shared" ca="1" si="54"/>
        <v>0</v>
      </c>
      <c r="BK28" s="242">
        <f t="shared" ca="1" si="55"/>
        <v>0</v>
      </c>
      <c r="BL28" s="240">
        <f t="shared" ca="1" si="56"/>
        <v>0</v>
      </c>
      <c r="BM28" s="241">
        <f t="shared" ca="1" si="57"/>
        <v>0</v>
      </c>
      <c r="CA28" s="16">
        <f t="shared" ca="1" si="8"/>
        <v>69</v>
      </c>
      <c r="CB28" s="16">
        <f t="shared" ca="1" si="9"/>
        <v>52</v>
      </c>
      <c r="CC28" s="16">
        <f t="shared" ca="1" si="10"/>
        <v>34</v>
      </c>
      <c r="CD28" s="16" t="str">
        <f t="shared" ca="1" si="11"/>
        <v>Intro!E</v>
      </c>
      <c r="CE28" s="16">
        <f t="shared" ca="1" si="12"/>
        <v>52</v>
      </c>
      <c r="CF28" s="16" t="str">
        <f t="shared" ca="1" si="13"/>
        <v>Intro!E52</v>
      </c>
      <c r="CH28" s="16" t="str">
        <f t="shared" ca="1" si="14"/>
        <v>Intro!E52:F86</v>
      </c>
      <c r="CI28" s="16" t="str">
        <f t="shared" ca="1" si="15"/>
        <v>070301_07s</v>
      </c>
      <c r="CJ28" s="16" t="str">
        <f t="shared" ca="1" si="6"/>
        <v>070301</v>
      </c>
      <c r="CK28" s="16">
        <f t="shared" ca="1" si="0"/>
        <v>3</v>
      </c>
      <c r="CL28" s="16">
        <f t="shared" ca="1" si="1"/>
        <v>7</v>
      </c>
      <c r="CM28" s="16">
        <f t="shared" ca="1" si="2"/>
        <v>1</v>
      </c>
      <c r="CN28" s="16">
        <f t="shared" ca="1" si="3"/>
        <v>7</v>
      </c>
      <c r="CO28" s="16" t="str">
        <f t="shared" ca="1" si="16"/>
        <v>s</v>
      </c>
      <c r="CY28" s="19" t="str">
        <f t="shared" si="90"/>
        <v>26</v>
      </c>
      <c r="DA28" s="238" t="str">
        <f t="shared" si="91"/>
        <v>260201</v>
      </c>
      <c r="DB28" s="238" t="str">
        <f t="shared" si="91"/>
        <v>260202</v>
      </c>
      <c r="DC28" s="238" t="str">
        <f t="shared" si="91"/>
        <v>260203</v>
      </c>
      <c r="DD28" s="238" t="str">
        <f t="shared" si="91"/>
        <v>260204</v>
      </c>
      <c r="DE28" s="238" t="str">
        <f t="shared" si="91"/>
        <v>260251</v>
      </c>
      <c r="DF28" s="238" t="str">
        <f t="shared" si="91"/>
        <v>260206</v>
      </c>
      <c r="DH28" s="238" t="str">
        <f t="shared" si="92"/>
        <v>260301</v>
      </c>
      <c r="DI28" s="238" t="str">
        <f t="shared" si="92"/>
        <v>260302</v>
      </c>
      <c r="DJ28" s="238" t="str">
        <f t="shared" si="92"/>
        <v>260303</v>
      </c>
      <c r="DK28" s="238" t="str">
        <f t="shared" si="92"/>
        <v>260304</v>
      </c>
      <c r="DL28" s="238" t="str">
        <f t="shared" si="92"/>
        <v>260305</v>
      </c>
      <c r="DM28" s="238" t="str">
        <f t="shared" si="92"/>
        <v>260306</v>
      </c>
      <c r="DO28" s="238" t="str">
        <f t="shared" si="93"/>
        <v>260401</v>
      </c>
      <c r="DP28" s="238" t="str">
        <f t="shared" si="93"/>
        <v>260402</v>
      </c>
      <c r="DQ28" s="238" t="str">
        <f t="shared" si="93"/>
        <v>260403</v>
      </c>
      <c r="DR28" s="238" t="str">
        <f t="shared" si="93"/>
        <v>260404</v>
      </c>
      <c r="DS28" s="238" t="str">
        <f t="shared" si="93"/>
        <v>260405</v>
      </c>
      <c r="DT28" s="238" t="str">
        <f t="shared" si="93"/>
        <v>260406</v>
      </c>
      <c r="DV28" s="238" t="str">
        <f t="shared" si="94"/>
        <v>260501</v>
      </c>
      <c r="DW28" s="238" t="str">
        <f t="shared" si="94"/>
        <v>260502</v>
      </c>
      <c r="DX28" s="238" t="str">
        <f t="shared" si="94"/>
        <v>260503</v>
      </c>
      <c r="DY28" s="238" t="str">
        <f t="shared" si="94"/>
        <v>260504</v>
      </c>
      <c r="DZ28" s="238" t="str">
        <f t="shared" si="94"/>
        <v>260505</v>
      </c>
      <c r="EA28" s="238" t="str">
        <f t="shared" si="94"/>
        <v>260506</v>
      </c>
      <c r="EC28" s="238" t="str">
        <f t="shared" si="95"/>
        <v>260601</v>
      </c>
      <c r="ED28" s="238" t="str">
        <f t="shared" si="95"/>
        <v>260602</v>
      </c>
      <c r="EE28" s="238" t="str">
        <f t="shared" si="95"/>
        <v>260603</v>
      </c>
      <c r="EF28" s="238" t="str">
        <f t="shared" si="95"/>
        <v>260604</v>
      </c>
      <c r="EG28" s="238" t="str">
        <f t="shared" si="95"/>
        <v>260605</v>
      </c>
      <c r="EH28" s="238" t="str">
        <f t="shared" si="95"/>
        <v>260606</v>
      </c>
      <c r="EJ28" s="238" t="str">
        <f t="shared" si="96"/>
        <v>260701</v>
      </c>
      <c r="EK28" s="238" t="str">
        <f t="shared" si="96"/>
        <v>260702</v>
      </c>
      <c r="EL28" s="238" t="str">
        <f t="shared" si="96"/>
        <v>260703</v>
      </c>
      <c r="EM28" s="238" t="str">
        <f t="shared" si="96"/>
        <v>260704</v>
      </c>
      <c r="EN28" s="238" t="str">
        <f t="shared" si="96"/>
        <v>260705</v>
      </c>
      <c r="EO28" s="238" t="str">
        <f t="shared" si="96"/>
        <v>260706</v>
      </c>
      <c r="EQ28" s="238" t="str">
        <f t="shared" si="97"/>
        <v>260801</v>
      </c>
      <c r="ER28" s="238" t="str">
        <f t="shared" si="97"/>
        <v>260802</v>
      </c>
      <c r="ES28" s="238" t="str">
        <f t="shared" si="97"/>
        <v>260803</v>
      </c>
      <c r="ET28" s="238" t="str">
        <f t="shared" si="97"/>
        <v>260804</v>
      </c>
      <c r="EU28" s="238" t="str">
        <f t="shared" si="97"/>
        <v>260805</v>
      </c>
      <c r="EV28" s="238" t="str">
        <f t="shared" si="97"/>
        <v>260806</v>
      </c>
      <c r="EX28" s="238" t="str">
        <f t="shared" si="98"/>
        <v>260901</v>
      </c>
      <c r="EY28" s="238" t="str">
        <f t="shared" si="98"/>
        <v>260902</v>
      </c>
      <c r="EZ28" s="238" t="str">
        <f t="shared" si="98"/>
        <v>260903</v>
      </c>
      <c r="FA28" s="238" t="str">
        <f t="shared" si="98"/>
        <v>260904</v>
      </c>
      <c r="FB28" s="238" t="str">
        <f t="shared" si="98"/>
        <v>260905</v>
      </c>
      <c r="FC28" s="238" t="str">
        <f t="shared" si="98"/>
        <v>260906</v>
      </c>
      <c r="FE28" s="238" t="str">
        <f t="shared" si="99"/>
        <v>261001</v>
      </c>
      <c r="FF28" s="238" t="str">
        <f t="shared" si="99"/>
        <v>261002</v>
      </c>
      <c r="FG28" s="238" t="str">
        <f t="shared" si="99"/>
        <v>261003</v>
      </c>
      <c r="FH28" s="238" t="str">
        <f t="shared" si="99"/>
        <v>261004</v>
      </c>
      <c r="FI28" s="238" t="str">
        <f t="shared" si="99"/>
        <v>261005</v>
      </c>
      <c r="FJ28" s="238" t="str">
        <f t="shared" si="99"/>
        <v>261006</v>
      </c>
    </row>
    <row r="29" spans="2:166">
      <c r="B29" s="58" t="str">
        <f t="shared" si="67"/>
        <v>27</v>
      </c>
      <c r="C29" s="243"/>
      <c r="D29" s="251">
        <f t="shared" ca="1" si="68"/>
        <v>0</v>
      </c>
      <c r="E29" s="240">
        <f t="shared" ca="1" si="69"/>
        <v>0</v>
      </c>
      <c r="F29" s="240">
        <f t="shared" ca="1" si="70"/>
        <v>0</v>
      </c>
      <c r="G29" s="242">
        <f t="shared" ca="1" si="71"/>
        <v>0</v>
      </c>
      <c r="H29" s="240">
        <f t="shared" ca="1" si="72"/>
        <v>0</v>
      </c>
      <c r="I29" s="241">
        <f t="shared" ca="1" si="73"/>
        <v>0</v>
      </c>
      <c r="J29" s="18" t="str">
        <f t="shared" si="74"/>
        <v>27</v>
      </c>
      <c r="K29" s="251">
        <f t="shared" ca="1" si="75"/>
        <v>0</v>
      </c>
      <c r="L29" s="240">
        <f t="shared" ca="1" si="18"/>
        <v>0</v>
      </c>
      <c r="M29" s="240">
        <f t="shared" ca="1" si="19"/>
        <v>0</v>
      </c>
      <c r="N29" s="242">
        <f t="shared" ca="1" si="20"/>
        <v>0</v>
      </c>
      <c r="O29" s="240">
        <f t="shared" ca="1" si="21"/>
        <v>0</v>
      </c>
      <c r="P29" s="241">
        <f t="shared" ca="1" si="22"/>
        <v>0</v>
      </c>
      <c r="Q29" s="18" t="str">
        <f t="shared" si="76"/>
        <v>27</v>
      </c>
      <c r="R29" s="251">
        <f t="shared" ca="1" si="77"/>
        <v>0</v>
      </c>
      <c r="S29" s="240">
        <f t="shared" ca="1" si="23"/>
        <v>0</v>
      </c>
      <c r="T29" s="240">
        <f t="shared" ca="1" si="24"/>
        <v>0</v>
      </c>
      <c r="U29" s="242">
        <f t="shared" ca="1" si="25"/>
        <v>0</v>
      </c>
      <c r="V29" s="240">
        <f t="shared" ca="1" si="26"/>
        <v>0</v>
      </c>
      <c r="W29" s="241">
        <f t="shared" ca="1" si="27"/>
        <v>0</v>
      </c>
      <c r="X29" s="18" t="str">
        <f t="shared" si="78"/>
        <v>27</v>
      </c>
      <c r="Y29" s="251">
        <f t="shared" ca="1" si="79"/>
        <v>0</v>
      </c>
      <c r="Z29" s="240">
        <f t="shared" ca="1" si="28"/>
        <v>0</v>
      </c>
      <c r="AA29" s="240">
        <f t="shared" ca="1" si="29"/>
        <v>0</v>
      </c>
      <c r="AB29" s="242">
        <f t="shared" ca="1" si="30"/>
        <v>0</v>
      </c>
      <c r="AC29" s="240">
        <f t="shared" ca="1" si="31"/>
        <v>0</v>
      </c>
      <c r="AD29" s="241">
        <f t="shared" ca="1" si="32"/>
        <v>0</v>
      </c>
      <c r="AE29" s="18" t="str">
        <f t="shared" si="80"/>
        <v>27</v>
      </c>
      <c r="AF29" s="251">
        <f t="shared" ca="1" si="81"/>
        <v>0</v>
      </c>
      <c r="AG29" s="240">
        <f t="shared" ca="1" si="33"/>
        <v>0</v>
      </c>
      <c r="AH29" s="240" t="str">
        <f t="shared" ca="1" si="34"/>
        <v>18e</v>
      </c>
      <c r="AI29" s="242" t="str">
        <f t="shared" ca="1" si="35"/>
        <v>14e</v>
      </c>
      <c r="AJ29" s="240" t="str">
        <f t="shared" ca="1" si="36"/>
        <v>10e</v>
      </c>
      <c r="AK29" s="241" t="str">
        <f t="shared" ca="1" si="37"/>
        <v>9e</v>
      </c>
      <c r="AL29" s="18" t="str">
        <f t="shared" si="82"/>
        <v>27</v>
      </c>
      <c r="AM29" s="251" t="str">
        <f t="shared" ca="1" si="83"/>
        <v>26e</v>
      </c>
      <c r="AN29" s="240" t="str">
        <f t="shared" ca="1" si="38"/>
        <v>26e</v>
      </c>
      <c r="AO29" s="240">
        <f t="shared" ca="1" si="39"/>
        <v>0</v>
      </c>
      <c r="AP29" s="242">
        <f t="shared" ca="1" si="40"/>
        <v>0</v>
      </c>
      <c r="AQ29" s="240">
        <f t="shared" ca="1" si="41"/>
        <v>0</v>
      </c>
      <c r="AR29" s="241">
        <f t="shared" ca="1" si="42"/>
        <v>0</v>
      </c>
      <c r="AS29" s="18" t="str">
        <f t="shared" si="84"/>
        <v>27</v>
      </c>
      <c r="AT29" s="251">
        <f t="shared" ca="1" si="85"/>
        <v>0</v>
      </c>
      <c r="AU29" s="240">
        <f t="shared" ca="1" si="43"/>
        <v>0</v>
      </c>
      <c r="AV29" s="240">
        <f t="shared" ca="1" si="44"/>
        <v>0</v>
      </c>
      <c r="AW29" s="242">
        <f t="shared" ca="1" si="45"/>
        <v>0</v>
      </c>
      <c r="AX29" s="240">
        <f t="shared" ca="1" si="46"/>
        <v>0</v>
      </c>
      <c r="AY29" s="241">
        <f t="shared" ca="1" si="47"/>
        <v>0</v>
      </c>
      <c r="AZ29" s="18" t="str">
        <f t="shared" si="86"/>
        <v>27</v>
      </c>
      <c r="BA29" s="251">
        <f t="shared" ca="1" si="87"/>
        <v>0</v>
      </c>
      <c r="BB29" s="240">
        <f t="shared" ca="1" si="48"/>
        <v>0</v>
      </c>
      <c r="BC29" s="240">
        <f t="shared" ca="1" si="49"/>
        <v>0</v>
      </c>
      <c r="BD29" s="242">
        <f t="shared" ca="1" si="50"/>
        <v>0</v>
      </c>
      <c r="BE29" s="240">
        <f t="shared" ca="1" si="51"/>
        <v>0</v>
      </c>
      <c r="BF29" s="241">
        <f t="shared" ca="1" si="52"/>
        <v>0</v>
      </c>
      <c r="BG29" s="18" t="str">
        <f t="shared" si="88"/>
        <v>27</v>
      </c>
      <c r="BH29" s="251">
        <f t="shared" ca="1" si="89"/>
        <v>0</v>
      </c>
      <c r="BI29" s="240">
        <f t="shared" ca="1" si="53"/>
        <v>0</v>
      </c>
      <c r="BJ29" s="240">
        <f t="shared" ca="1" si="54"/>
        <v>0</v>
      </c>
      <c r="BK29" s="242">
        <f t="shared" ca="1" si="55"/>
        <v>0</v>
      </c>
      <c r="BL29" s="240">
        <f t="shared" ca="1" si="56"/>
        <v>0</v>
      </c>
      <c r="BM29" s="241">
        <f t="shared" ca="1" si="57"/>
        <v>0</v>
      </c>
      <c r="CA29" s="16">
        <f t="shared" ca="1" si="8"/>
        <v>69</v>
      </c>
      <c r="CB29" s="16">
        <f t="shared" ca="1" si="9"/>
        <v>53</v>
      </c>
      <c r="CC29" s="16">
        <f t="shared" ca="1" si="10"/>
        <v>33</v>
      </c>
      <c r="CD29" s="16" t="str">
        <f t="shared" ca="1" si="11"/>
        <v>Intro!E</v>
      </c>
      <c r="CE29" s="16">
        <f t="shared" ca="1" si="12"/>
        <v>53</v>
      </c>
      <c r="CF29" s="16" t="str">
        <f t="shared" ca="1" si="13"/>
        <v>Intro!E53</v>
      </c>
      <c r="CH29" s="16" t="str">
        <f t="shared" ca="1" si="14"/>
        <v>Intro!E53:F86</v>
      </c>
      <c r="CI29" s="16" t="str">
        <f t="shared" ca="1" si="15"/>
        <v>080301_11c</v>
      </c>
      <c r="CJ29" s="16" t="str">
        <f t="shared" ca="1" si="6"/>
        <v>080301</v>
      </c>
      <c r="CK29" s="16">
        <f t="shared" ca="1" si="0"/>
        <v>3</v>
      </c>
      <c r="CL29" s="16">
        <f t="shared" ca="1" si="1"/>
        <v>8</v>
      </c>
      <c r="CM29" s="16">
        <f t="shared" ca="1" si="2"/>
        <v>1</v>
      </c>
      <c r="CN29" s="16">
        <f t="shared" ca="1" si="3"/>
        <v>11</v>
      </c>
      <c r="CO29" s="16" t="str">
        <f t="shared" ca="1" si="16"/>
        <v>c</v>
      </c>
      <c r="CY29" s="19" t="str">
        <f t="shared" si="90"/>
        <v>27</v>
      </c>
      <c r="DA29" s="238" t="str">
        <f t="shared" si="91"/>
        <v>270201</v>
      </c>
      <c r="DB29" s="238" t="str">
        <f t="shared" si="91"/>
        <v>270202</v>
      </c>
      <c r="DC29" s="238" t="str">
        <f t="shared" si="91"/>
        <v>270203</v>
      </c>
      <c r="DD29" s="238" t="str">
        <f t="shared" si="91"/>
        <v>270204</v>
      </c>
      <c r="DE29" s="238" t="str">
        <f t="shared" si="91"/>
        <v>270251</v>
      </c>
      <c r="DF29" s="238" t="str">
        <f t="shared" si="91"/>
        <v>270206</v>
      </c>
      <c r="DH29" s="238" t="str">
        <f t="shared" si="92"/>
        <v>270301</v>
      </c>
      <c r="DI29" s="238" t="str">
        <f t="shared" si="92"/>
        <v>270302</v>
      </c>
      <c r="DJ29" s="238" t="str">
        <f t="shared" si="92"/>
        <v>270303</v>
      </c>
      <c r="DK29" s="238" t="str">
        <f t="shared" si="92"/>
        <v>270304</v>
      </c>
      <c r="DL29" s="238" t="str">
        <f t="shared" si="92"/>
        <v>270305</v>
      </c>
      <c r="DM29" s="238" t="str">
        <f t="shared" si="92"/>
        <v>270306</v>
      </c>
      <c r="DO29" s="238" t="str">
        <f t="shared" si="93"/>
        <v>270401</v>
      </c>
      <c r="DP29" s="238" t="str">
        <f t="shared" si="93"/>
        <v>270402</v>
      </c>
      <c r="DQ29" s="238" t="str">
        <f t="shared" si="93"/>
        <v>270403</v>
      </c>
      <c r="DR29" s="238" t="str">
        <f t="shared" si="93"/>
        <v>270404</v>
      </c>
      <c r="DS29" s="238" t="str">
        <f t="shared" si="93"/>
        <v>270405</v>
      </c>
      <c r="DT29" s="238" t="str">
        <f t="shared" si="93"/>
        <v>270406</v>
      </c>
      <c r="DV29" s="238" t="str">
        <f t="shared" si="94"/>
        <v>270501</v>
      </c>
      <c r="DW29" s="238" t="str">
        <f t="shared" si="94"/>
        <v>270502</v>
      </c>
      <c r="DX29" s="238" t="str">
        <f t="shared" si="94"/>
        <v>270503</v>
      </c>
      <c r="DY29" s="238" t="str">
        <f t="shared" si="94"/>
        <v>270504</v>
      </c>
      <c r="DZ29" s="238" t="str">
        <f t="shared" si="94"/>
        <v>270505</v>
      </c>
      <c r="EA29" s="238" t="str">
        <f t="shared" si="94"/>
        <v>270506</v>
      </c>
      <c r="EC29" s="238" t="str">
        <f t="shared" si="95"/>
        <v>270601</v>
      </c>
      <c r="ED29" s="238" t="str">
        <f t="shared" si="95"/>
        <v>270602</v>
      </c>
      <c r="EE29" s="238" t="str">
        <f t="shared" si="95"/>
        <v>270603</v>
      </c>
      <c r="EF29" s="238" t="str">
        <f t="shared" si="95"/>
        <v>270604</v>
      </c>
      <c r="EG29" s="238" t="str">
        <f t="shared" si="95"/>
        <v>270605</v>
      </c>
      <c r="EH29" s="238" t="str">
        <f t="shared" si="95"/>
        <v>270606</v>
      </c>
      <c r="EJ29" s="238" t="str">
        <f t="shared" si="96"/>
        <v>270701</v>
      </c>
      <c r="EK29" s="238" t="str">
        <f t="shared" si="96"/>
        <v>270702</v>
      </c>
      <c r="EL29" s="238" t="str">
        <f t="shared" si="96"/>
        <v>270703</v>
      </c>
      <c r="EM29" s="238" t="str">
        <f t="shared" si="96"/>
        <v>270704</v>
      </c>
      <c r="EN29" s="238" t="str">
        <f t="shared" si="96"/>
        <v>270705</v>
      </c>
      <c r="EO29" s="238" t="str">
        <f t="shared" si="96"/>
        <v>270706</v>
      </c>
      <c r="EQ29" s="238" t="str">
        <f t="shared" si="97"/>
        <v>270801</v>
      </c>
      <c r="ER29" s="238" t="str">
        <f t="shared" si="97"/>
        <v>270802</v>
      </c>
      <c r="ES29" s="238" t="str">
        <f t="shared" si="97"/>
        <v>270803</v>
      </c>
      <c r="ET29" s="238" t="str">
        <f t="shared" si="97"/>
        <v>270804</v>
      </c>
      <c r="EU29" s="238" t="str">
        <f t="shared" si="97"/>
        <v>270805</v>
      </c>
      <c r="EV29" s="238" t="str">
        <f t="shared" si="97"/>
        <v>270806</v>
      </c>
      <c r="EX29" s="238" t="str">
        <f t="shared" si="98"/>
        <v>270901</v>
      </c>
      <c r="EY29" s="238" t="str">
        <f t="shared" si="98"/>
        <v>270902</v>
      </c>
      <c r="EZ29" s="238" t="str">
        <f t="shared" si="98"/>
        <v>270903</v>
      </c>
      <c r="FA29" s="238" t="str">
        <f t="shared" si="98"/>
        <v>270904</v>
      </c>
      <c r="FB29" s="238" t="str">
        <f t="shared" si="98"/>
        <v>270905</v>
      </c>
      <c r="FC29" s="238" t="str">
        <f t="shared" si="98"/>
        <v>270906</v>
      </c>
      <c r="FE29" s="238" t="str">
        <f t="shared" si="99"/>
        <v>271001</v>
      </c>
      <c r="FF29" s="238" t="str">
        <f t="shared" si="99"/>
        <v>271002</v>
      </c>
      <c r="FG29" s="238" t="str">
        <f t="shared" si="99"/>
        <v>271003</v>
      </c>
      <c r="FH29" s="238" t="str">
        <f t="shared" si="99"/>
        <v>271004</v>
      </c>
      <c r="FI29" s="238" t="str">
        <f t="shared" si="99"/>
        <v>271005</v>
      </c>
      <c r="FJ29" s="238" t="str">
        <f t="shared" si="99"/>
        <v>271006</v>
      </c>
    </row>
    <row r="30" spans="2:166">
      <c r="B30" s="58" t="str">
        <f t="shared" si="67"/>
        <v>28</v>
      </c>
      <c r="C30" s="243"/>
      <c r="D30" s="251">
        <f t="shared" ca="1" si="68"/>
        <v>0</v>
      </c>
      <c r="E30" s="240">
        <f t="shared" ca="1" si="69"/>
        <v>0</v>
      </c>
      <c r="F30" s="240">
        <f t="shared" ca="1" si="70"/>
        <v>0</v>
      </c>
      <c r="G30" s="242">
        <f t="shared" ca="1" si="71"/>
        <v>0</v>
      </c>
      <c r="H30" s="240">
        <f t="shared" ca="1" si="72"/>
        <v>0</v>
      </c>
      <c r="I30" s="241">
        <f t="shared" ca="1" si="73"/>
        <v>0</v>
      </c>
      <c r="J30" s="18" t="str">
        <f t="shared" si="74"/>
        <v>28</v>
      </c>
      <c r="K30" s="251">
        <f t="shared" ca="1" si="75"/>
        <v>0</v>
      </c>
      <c r="L30" s="240">
        <f t="shared" ca="1" si="18"/>
        <v>0</v>
      </c>
      <c r="M30" s="240">
        <f t="shared" ca="1" si="19"/>
        <v>0</v>
      </c>
      <c r="N30" s="242">
        <f t="shared" ca="1" si="20"/>
        <v>0</v>
      </c>
      <c r="O30" s="240">
        <f t="shared" ca="1" si="21"/>
        <v>0</v>
      </c>
      <c r="P30" s="241">
        <f t="shared" ca="1" si="22"/>
        <v>0</v>
      </c>
      <c r="Q30" s="18" t="str">
        <f t="shared" si="76"/>
        <v>28</v>
      </c>
      <c r="R30" s="251">
        <f t="shared" ca="1" si="77"/>
        <v>0</v>
      </c>
      <c r="S30" s="240">
        <f t="shared" ca="1" si="23"/>
        <v>0</v>
      </c>
      <c r="T30" s="240">
        <f t="shared" ca="1" si="24"/>
        <v>0</v>
      </c>
      <c r="U30" s="242">
        <f t="shared" ca="1" si="25"/>
        <v>0</v>
      </c>
      <c r="V30" s="240">
        <f t="shared" ca="1" si="26"/>
        <v>0</v>
      </c>
      <c r="W30" s="241">
        <f t="shared" ca="1" si="27"/>
        <v>0</v>
      </c>
      <c r="X30" s="18" t="str">
        <f t="shared" si="78"/>
        <v>28</v>
      </c>
      <c r="Y30" s="251">
        <f t="shared" ca="1" si="79"/>
        <v>0</v>
      </c>
      <c r="Z30" s="240">
        <f t="shared" ca="1" si="28"/>
        <v>0</v>
      </c>
      <c r="AA30" s="240">
        <f t="shared" ca="1" si="29"/>
        <v>0</v>
      </c>
      <c r="AB30" s="242" t="str">
        <f t="shared" ca="1" si="30"/>
        <v>18c</v>
      </c>
      <c r="AC30" s="240">
        <f t="shared" ca="1" si="31"/>
        <v>0</v>
      </c>
      <c r="AD30" s="241">
        <f t="shared" ca="1" si="32"/>
        <v>0</v>
      </c>
      <c r="AE30" s="18" t="str">
        <f t="shared" si="80"/>
        <v>28</v>
      </c>
      <c r="AF30" s="251">
        <f t="shared" ca="1" si="81"/>
        <v>0</v>
      </c>
      <c r="AG30" s="240">
        <f t="shared" ca="1" si="33"/>
        <v>0</v>
      </c>
      <c r="AH30" s="240">
        <f t="shared" ca="1" si="34"/>
        <v>0</v>
      </c>
      <c r="AI30" s="242" t="str">
        <f t="shared" ca="1" si="35"/>
        <v>14e</v>
      </c>
      <c r="AJ30" s="240">
        <f t="shared" ca="1" si="36"/>
        <v>0</v>
      </c>
      <c r="AK30" s="241" t="str">
        <f t="shared" ca="1" si="37"/>
        <v>10e</v>
      </c>
      <c r="AL30" s="18" t="str">
        <f t="shared" si="82"/>
        <v>28</v>
      </c>
      <c r="AM30" s="251" t="str">
        <f t="shared" ca="1" si="83"/>
        <v>28e</v>
      </c>
      <c r="AN30" s="240" t="str">
        <f t="shared" ca="1" si="38"/>
        <v>26e</v>
      </c>
      <c r="AO30" s="240" t="str">
        <f t="shared" ca="1" si="39"/>
        <v>18e</v>
      </c>
      <c r="AP30" s="242" t="str">
        <f t="shared" ca="1" si="40"/>
        <v>14e</v>
      </c>
      <c r="AQ30" s="240">
        <f t="shared" ca="1" si="41"/>
        <v>0</v>
      </c>
      <c r="AR30" s="241" t="str">
        <f t="shared" ca="1" si="42"/>
        <v>10e</v>
      </c>
      <c r="AS30" s="18" t="str">
        <f t="shared" si="84"/>
        <v>28</v>
      </c>
      <c r="AT30" s="251">
        <f t="shared" ca="1" si="85"/>
        <v>0</v>
      </c>
      <c r="AU30" s="240">
        <f t="shared" ca="1" si="43"/>
        <v>0</v>
      </c>
      <c r="AV30" s="240">
        <f t="shared" ca="1" si="44"/>
        <v>0</v>
      </c>
      <c r="AW30" s="242" t="str">
        <f t="shared" ca="1" si="45"/>
        <v>12c</v>
      </c>
      <c r="AX30" s="240">
        <f t="shared" ca="1" si="46"/>
        <v>0</v>
      </c>
      <c r="AY30" s="241">
        <f t="shared" ca="1" si="47"/>
        <v>0</v>
      </c>
      <c r="AZ30" s="18" t="str">
        <f t="shared" si="86"/>
        <v>28</v>
      </c>
      <c r="BA30" s="251">
        <f t="shared" ca="1" si="87"/>
        <v>0</v>
      </c>
      <c r="BB30" s="240">
        <f t="shared" ca="1" si="48"/>
        <v>0</v>
      </c>
      <c r="BC30" s="240">
        <f t="shared" ca="1" si="49"/>
        <v>0</v>
      </c>
      <c r="BD30" s="242" t="str">
        <f t="shared" ca="1" si="50"/>
        <v>10c</v>
      </c>
      <c r="BE30" s="240">
        <f t="shared" ca="1" si="51"/>
        <v>0</v>
      </c>
      <c r="BF30" s="241">
        <f t="shared" ca="1" si="52"/>
        <v>0</v>
      </c>
      <c r="BG30" s="18" t="str">
        <f t="shared" si="88"/>
        <v>28</v>
      </c>
      <c r="BH30" s="251">
        <f t="shared" ca="1" si="89"/>
        <v>0</v>
      </c>
      <c r="BI30" s="240">
        <f t="shared" ca="1" si="53"/>
        <v>0</v>
      </c>
      <c r="BJ30" s="240">
        <f t="shared" ca="1" si="54"/>
        <v>0</v>
      </c>
      <c r="BK30" s="242">
        <f t="shared" ca="1" si="55"/>
        <v>0</v>
      </c>
      <c r="BL30" s="240">
        <f t="shared" ca="1" si="56"/>
        <v>0</v>
      </c>
      <c r="BM30" s="241">
        <f t="shared" ca="1" si="57"/>
        <v>0</v>
      </c>
      <c r="CA30" s="16">
        <f t="shared" ca="1" si="8"/>
        <v>69</v>
      </c>
      <c r="CB30" s="16">
        <f t="shared" ca="1" si="9"/>
        <v>54</v>
      </c>
      <c r="CC30" s="16">
        <f t="shared" ca="1" si="10"/>
        <v>32</v>
      </c>
      <c r="CD30" s="16" t="str">
        <f t="shared" ca="1" si="11"/>
        <v>Intro!E</v>
      </c>
      <c r="CE30" s="16">
        <f t="shared" ca="1" si="12"/>
        <v>54</v>
      </c>
      <c r="CF30" s="16" t="str">
        <f t="shared" ca="1" si="13"/>
        <v>Intro!E54</v>
      </c>
      <c r="CH30" s="16" t="str">
        <f t="shared" ca="1" si="14"/>
        <v>Intro!E54:F86</v>
      </c>
      <c r="CI30" s="16" t="str">
        <f t="shared" ca="1" si="15"/>
        <v>080301_14e</v>
      </c>
      <c r="CJ30" s="16" t="str">
        <f t="shared" ca="1" si="6"/>
        <v>080301</v>
      </c>
      <c r="CK30" s="16">
        <f t="shared" ca="1" si="0"/>
        <v>3</v>
      </c>
      <c r="CL30" s="16">
        <f t="shared" ca="1" si="1"/>
        <v>8</v>
      </c>
      <c r="CM30" s="16">
        <f t="shared" ca="1" si="2"/>
        <v>1</v>
      </c>
      <c r="CN30" s="16">
        <f t="shared" ca="1" si="3"/>
        <v>14</v>
      </c>
      <c r="CO30" s="16" t="str">
        <f t="shared" ca="1" si="16"/>
        <v>e</v>
      </c>
      <c r="CY30" s="19" t="str">
        <f t="shared" si="90"/>
        <v>28</v>
      </c>
      <c r="DA30" s="238" t="str">
        <f t="shared" si="91"/>
        <v>280201</v>
      </c>
      <c r="DB30" s="238" t="str">
        <f t="shared" si="91"/>
        <v>280202</v>
      </c>
      <c r="DC30" s="238" t="str">
        <f t="shared" si="91"/>
        <v>280203</v>
      </c>
      <c r="DD30" s="238" t="str">
        <f t="shared" si="91"/>
        <v>280204</v>
      </c>
      <c r="DE30" s="238" t="str">
        <f t="shared" si="91"/>
        <v>280251</v>
      </c>
      <c r="DF30" s="238" t="str">
        <f t="shared" si="91"/>
        <v>280206</v>
      </c>
      <c r="DH30" s="238" t="str">
        <f t="shared" si="92"/>
        <v>280301</v>
      </c>
      <c r="DI30" s="238" t="str">
        <f t="shared" si="92"/>
        <v>280302</v>
      </c>
      <c r="DJ30" s="238" t="str">
        <f t="shared" si="92"/>
        <v>280303</v>
      </c>
      <c r="DK30" s="238" t="str">
        <f t="shared" si="92"/>
        <v>280304</v>
      </c>
      <c r="DL30" s="238" t="str">
        <f t="shared" si="92"/>
        <v>280305</v>
      </c>
      <c r="DM30" s="238" t="str">
        <f t="shared" si="92"/>
        <v>280306</v>
      </c>
      <c r="DO30" s="238" t="str">
        <f t="shared" si="93"/>
        <v>280401</v>
      </c>
      <c r="DP30" s="238" t="str">
        <f t="shared" si="93"/>
        <v>280402</v>
      </c>
      <c r="DQ30" s="238" t="str">
        <f t="shared" si="93"/>
        <v>280403</v>
      </c>
      <c r="DR30" s="238" t="str">
        <f t="shared" si="93"/>
        <v>280404</v>
      </c>
      <c r="DS30" s="238" t="str">
        <f t="shared" si="93"/>
        <v>280405</v>
      </c>
      <c r="DT30" s="238" t="str">
        <f t="shared" si="93"/>
        <v>280406</v>
      </c>
      <c r="DV30" s="238" t="str">
        <f t="shared" si="94"/>
        <v>280501</v>
      </c>
      <c r="DW30" s="238" t="str">
        <f t="shared" si="94"/>
        <v>280502</v>
      </c>
      <c r="DX30" s="238" t="str">
        <f t="shared" si="94"/>
        <v>280503</v>
      </c>
      <c r="DY30" s="238" t="str">
        <f t="shared" si="94"/>
        <v>280504</v>
      </c>
      <c r="DZ30" s="238" t="str">
        <f t="shared" si="94"/>
        <v>280505</v>
      </c>
      <c r="EA30" s="238" t="str">
        <f t="shared" si="94"/>
        <v>280506</v>
      </c>
      <c r="EC30" s="238" t="str">
        <f t="shared" si="95"/>
        <v>280601</v>
      </c>
      <c r="ED30" s="238" t="str">
        <f t="shared" si="95"/>
        <v>280602</v>
      </c>
      <c r="EE30" s="238" t="str">
        <f t="shared" si="95"/>
        <v>280603</v>
      </c>
      <c r="EF30" s="238" t="str">
        <f t="shared" si="95"/>
        <v>280604</v>
      </c>
      <c r="EG30" s="238" t="str">
        <f t="shared" si="95"/>
        <v>280605</v>
      </c>
      <c r="EH30" s="238" t="str">
        <f t="shared" si="95"/>
        <v>280606</v>
      </c>
      <c r="EJ30" s="238" t="str">
        <f t="shared" si="96"/>
        <v>280701</v>
      </c>
      <c r="EK30" s="238" t="str">
        <f t="shared" si="96"/>
        <v>280702</v>
      </c>
      <c r="EL30" s="238" t="str">
        <f t="shared" si="96"/>
        <v>280703</v>
      </c>
      <c r="EM30" s="238" t="str">
        <f t="shared" si="96"/>
        <v>280704</v>
      </c>
      <c r="EN30" s="238" t="str">
        <f t="shared" si="96"/>
        <v>280705</v>
      </c>
      <c r="EO30" s="238" t="str">
        <f t="shared" si="96"/>
        <v>280706</v>
      </c>
      <c r="EQ30" s="238" t="str">
        <f t="shared" si="97"/>
        <v>280801</v>
      </c>
      <c r="ER30" s="238" t="str">
        <f t="shared" si="97"/>
        <v>280802</v>
      </c>
      <c r="ES30" s="238" t="str">
        <f t="shared" si="97"/>
        <v>280803</v>
      </c>
      <c r="ET30" s="238" t="str">
        <f t="shared" si="97"/>
        <v>280804</v>
      </c>
      <c r="EU30" s="238" t="str">
        <f t="shared" si="97"/>
        <v>280805</v>
      </c>
      <c r="EV30" s="238" t="str">
        <f t="shared" si="97"/>
        <v>280806</v>
      </c>
      <c r="EX30" s="238" t="str">
        <f t="shared" si="98"/>
        <v>280901</v>
      </c>
      <c r="EY30" s="238" t="str">
        <f t="shared" si="98"/>
        <v>280902</v>
      </c>
      <c r="EZ30" s="238" t="str">
        <f t="shared" si="98"/>
        <v>280903</v>
      </c>
      <c r="FA30" s="238" t="str">
        <f t="shared" si="98"/>
        <v>280904</v>
      </c>
      <c r="FB30" s="238" t="str">
        <f t="shared" si="98"/>
        <v>280905</v>
      </c>
      <c r="FC30" s="238" t="str">
        <f t="shared" si="98"/>
        <v>280906</v>
      </c>
      <c r="FE30" s="238" t="str">
        <f t="shared" si="99"/>
        <v>281001</v>
      </c>
      <c r="FF30" s="238" t="str">
        <f t="shared" si="99"/>
        <v>281002</v>
      </c>
      <c r="FG30" s="238" t="str">
        <f t="shared" si="99"/>
        <v>281003</v>
      </c>
      <c r="FH30" s="238" t="str">
        <f t="shared" si="99"/>
        <v>281004</v>
      </c>
      <c r="FI30" s="238" t="str">
        <f t="shared" si="99"/>
        <v>281005</v>
      </c>
      <c r="FJ30" s="238" t="str">
        <f t="shared" si="99"/>
        <v>281006</v>
      </c>
    </row>
    <row r="31" spans="2:166">
      <c r="B31" s="58" t="str">
        <f t="shared" si="67"/>
        <v>29</v>
      </c>
      <c r="C31" s="243"/>
      <c r="D31" s="251">
        <f t="shared" ca="1" si="68"/>
        <v>0</v>
      </c>
      <c r="E31" s="240">
        <f t="shared" ca="1" si="69"/>
        <v>0</v>
      </c>
      <c r="F31" s="240">
        <f t="shared" ca="1" si="70"/>
        <v>0</v>
      </c>
      <c r="G31" s="242">
        <f t="shared" ca="1" si="71"/>
        <v>0</v>
      </c>
      <c r="H31" s="240">
        <f t="shared" ca="1" si="72"/>
        <v>0</v>
      </c>
      <c r="I31" s="241">
        <f t="shared" ca="1" si="73"/>
        <v>0</v>
      </c>
      <c r="J31" s="18" t="str">
        <f t="shared" si="74"/>
        <v>29</v>
      </c>
      <c r="K31" s="251">
        <f t="shared" ca="1" si="75"/>
        <v>0</v>
      </c>
      <c r="L31" s="240">
        <f t="shared" ca="1" si="18"/>
        <v>0</v>
      </c>
      <c r="M31" s="240">
        <f t="shared" ca="1" si="19"/>
        <v>0</v>
      </c>
      <c r="N31" s="242">
        <f t="shared" ca="1" si="20"/>
        <v>0</v>
      </c>
      <c r="O31" s="240">
        <f t="shared" ca="1" si="21"/>
        <v>0</v>
      </c>
      <c r="P31" s="241">
        <f t="shared" ca="1" si="22"/>
        <v>0</v>
      </c>
      <c r="Q31" s="18" t="str">
        <f t="shared" si="76"/>
        <v>29</v>
      </c>
      <c r="R31" s="251">
        <f t="shared" ca="1" si="77"/>
        <v>0</v>
      </c>
      <c r="S31" s="240">
        <f t="shared" ca="1" si="23"/>
        <v>0</v>
      </c>
      <c r="T31" s="240">
        <f t="shared" ca="1" si="24"/>
        <v>0</v>
      </c>
      <c r="U31" s="242">
        <f t="shared" ca="1" si="25"/>
        <v>0</v>
      </c>
      <c r="V31" s="240">
        <f t="shared" ca="1" si="26"/>
        <v>0</v>
      </c>
      <c r="W31" s="241">
        <f t="shared" ca="1" si="27"/>
        <v>0</v>
      </c>
      <c r="X31" s="18" t="str">
        <f t="shared" si="78"/>
        <v>29</v>
      </c>
      <c r="Y31" s="251">
        <f t="shared" ca="1" si="79"/>
        <v>0</v>
      </c>
      <c r="Z31" s="240">
        <f t="shared" ca="1" si="28"/>
        <v>0</v>
      </c>
      <c r="AA31" s="240">
        <f t="shared" ca="1" si="29"/>
        <v>0</v>
      </c>
      <c r="AB31" s="242">
        <f t="shared" ca="1" si="30"/>
        <v>0</v>
      </c>
      <c r="AC31" s="240">
        <f t="shared" ca="1" si="31"/>
        <v>0</v>
      </c>
      <c r="AD31" s="241">
        <f t="shared" ca="1" si="32"/>
        <v>0</v>
      </c>
      <c r="AE31" s="18" t="str">
        <f t="shared" si="80"/>
        <v>29</v>
      </c>
      <c r="AF31" s="251">
        <f t="shared" ca="1" si="81"/>
        <v>0</v>
      </c>
      <c r="AG31" s="240">
        <f t="shared" ca="1" si="33"/>
        <v>0</v>
      </c>
      <c r="AH31" s="240">
        <f t="shared" ca="1" si="34"/>
        <v>0</v>
      </c>
      <c r="AI31" s="242">
        <f t="shared" ca="1" si="35"/>
        <v>0</v>
      </c>
      <c r="AJ31" s="240">
        <f t="shared" ca="1" si="36"/>
        <v>0</v>
      </c>
      <c r="AK31" s="241" t="str">
        <f t="shared" ca="1" si="37"/>
        <v>10e</v>
      </c>
      <c r="AL31" s="18" t="str">
        <f t="shared" si="82"/>
        <v>29</v>
      </c>
      <c r="AM31" s="251">
        <f t="shared" ca="1" si="83"/>
        <v>0</v>
      </c>
      <c r="AN31" s="240" t="str">
        <f t="shared" ca="1" si="38"/>
        <v>29e</v>
      </c>
      <c r="AO31" s="240" t="str">
        <f t="shared" ca="1" si="39"/>
        <v>18e</v>
      </c>
      <c r="AP31" s="242">
        <f t="shared" ca="1" si="40"/>
        <v>0</v>
      </c>
      <c r="AQ31" s="240">
        <f t="shared" ca="1" si="41"/>
        <v>0</v>
      </c>
      <c r="AR31" s="241">
        <f t="shared" ca="1" si="42"/>
        <v>0</v>
      </c>
      <c r="AS31" s="18" t="str">
        <f t="shared" si="84"/>
        <v>29</v>
      </c>
      <c r="AT31" s="251">
        <f t="shared" ca="1" si="85"/>
        <v>0</v>
      </c>
      <c r="AU31" s="240">
        <f t="shared" ca="1" si="43"/>
        <v>0</v>
      </c>
      <c r="AV31" s="240">
        <f t="shared" ca="1" si="44"/>
        <v>0</v>
      </c>
      <c r="AW31" s="242">
        <f t="shared" ca="1" si="45"/>
        <v>0</v>
      </c>
      <c r="AX31" s="240">
        <f t="shared" ca="1" si="46"/>
        <v>0</v>
      </c>
      <c r="AY31" s="241">
        <f t="shared" ca="1" si="47"/>
        <v>0</v>
      </c>
      <c r="AZ31" s="18" t="str">
        <f t="shared" si="86"/>
        <v>29</v>
      </c>
      <c r="BA31" s="251">
        <f t="shared" ca="1" si="87"/>
        <v>0</v>
      </c>
      <c r="BB31" s="240">
        <f t="shared" ca="1" si="48"/>
        <v>0</v>
      </c>
      <c r="BC31" s="240">
        <f t="shared" ca="1" si="49"/>
        <v>0</v>
      </c>
      <c r="BD31" s="242">
        <f t="shared" ca="1" si="50"/>
        <v>0</v>
      </c>
      <c r="BE31" s="240">
        <f t="shared" ca="1" si="51"/>
        <v>0</v>
      </c>
      <c r="BF31" s="241">
        <f t="shared" ca="1" si="52"/>
        <v>0</v>
      </c>
      <c r="BG31" s="18" t="str">
        <f t="shared" si="88"/>
        <v>29</v>
      </c>
      <c r="BH31" s="251">
        <f t="shared" ca="1" si="89"/>
        <v>0</v>
      </c>
      <c r="BI31" s="240">
        <f t="shared" ca="1" si="53"/>
        <v>0</v>
      </c>
      <c r="BJ31" s="240">
        <f t="shared" ca="1" si="54"/>
        <v>0</v>
      </c>
      <c r="BK31" s="242">
        <f t="shared" ca="1" si="55"/>
        <v>0</v>
      </c>
      <c r="BL31" s="240">
        <f t="shared" ca="1" si="56"/>
        <v>0</v>
      </c>
      <c r="BM31" s="241">
        <f t="shared" ca="1" si="57"/>
        <v>0</v>
      </c>
      <c r="CA31" s="16">
        <f t="shared" ca="1" si="8"/>
        <v>69</v>
      </c>
      <c r="CB31" s="16">
        <f t="shared" ca="1" si="9"/>
        <v>55</v>
      </c>
      <c r="CC31" s="16">
        <f t="shared" ca="1" si="10"/>
        <v>31</v>
      </c>
      <c r="CD31" s="16" t="str">
        <f t="shared" ca="1" si="11"/>
        <v>Intro!E</v>
      </c>
      <c r="CE31" s="16">
        <f t="shared" ca="1" si="12"/>
        <v>55</v>
      </c>
      <c r="CF31" s="16" t="str">
        <f t="shared" ca="1" si="13"/>
        <v>Intro!E55</v>
      </c>
      <c r="CH31" s="16" t="str">
        <f t="shared" ca="1" si="14"/>
        <v>Intro!E55:F86</v>
      </c>
      <c r="CI31" s="16" t="str">
        <f t="shared" ca="1" si="15"/>
        <v>090301_12c</v>
      </c>
      <c r="CJ31" s="16" t="str">
        <f t="shared" ca="1" si="6"/>
        <v>090301</v>
      </c>
      <c r="CK31" s="16">
        <f t="shared" ca="1" si="0"/>
        <v>3</v>
      </c>
      <c r="CL31" s="16">
        <f t="shared" ca="1" si="1"/>
        <v>9</v>
      </c>
      <c r="CM31" s="16">
        <f t="shared" ca="1" si="2"/>
        <v>1</v>
      </c>
      <c r="CN31" s="16">
        <f t="shared" ca="1" si="3"/>
        <v>12</v>
      </c>
      <c r="CO31" s="16" t="str">
        <f t="shared" ca="1" si="16"/>
        <v>c</v>
      </c>
      <c r="CY31" s="19" t="str">
        <f t="shared" si="90"/>
        <v>29</v>
      </c>
      <c r="DA31" s="238" t="str">
        <f t="shared" si="91"/>
        <v>290201</v>
      </c>
      <c r="DB31" s="238" t="str">
        <f t="shared" si="91"/>
        <v>290202</v>
      </c>
      <c r="DC31" s="238" t="str">
        <f t="shared" si="91"/>
        <v>290203</v>
      </c>
      <c r="DD31" s="238" t="str">
        <f t="shared" si="91"/>
        <v>290204</v>
      </c>
      <c r="DE31" s="238" t="str">
        <f t="shared" si="91"/>
        <v>290251</v>
      </c>
      <c r="DF31" s="238" t="str">
        <f t="shared" si="91"/>
        <v>290206</v>
      </c>
      <c r="DH31" s="238" t="str">
        <f t="shared" si="92"/>
        <v>290301</v>
      </c>
      <c r="DI31" s="238" t="str">
        <f t="shared" si="92"/>
        <v>290302</v>
      </c>
      <c r="DJ31" s="238" t="str">
        <f t="shared" si="92"/>
        <v>290303</v>
      </c>
      <c r="DK31" s="238" t="str">
        <f t="shared" si="92"/>
        <v>290304</v>
      </c>
      <c r="DL31" s="238" t="str">
        <f t="shared" si="92"/>
        <v>290305</v>
      </c>
      <c r="DM31" s="238" t="str">
        <f t="shared" si="92"/>
        <v>290306</v>
      </c>
      <c r="DO31" s="238" t="str">
        <f t="shared" si="93"/>
        <v>290401</v>
      </c>
      <c r="DP31" s="238" t="str">
        <f t="shared" si="93"/>
        <v>290402</v>
      </c>
      <c r="DQ31" s="238" t="str">
        <f t="shared" si="93"/>
        <v>290403</v>
      </c>
      <c r="DR31" s="238" t="str">
        <f t="shared" si="93"/>
        <v>290404</v>
      </c>
      <c r="DS31" s="238" t="str">
        <f t="shared" si="93"/>
        <v>290405</v>
      </c>
      <c r="DT31" s="238" t="str">
        <f t="shared" si="93"/>
        <v>290406</v>
      </c>
      <c r="DV31" s="238" t="str">
        <f t="shared" si="94"/>
        <v>290501</v>
      </c>
      <c r="DW31" s="238" t="str">
        <f t="shared" si="94"/>
        <v>290502</v>
      </c>
      <c r="DX31" s="238" t="str">
        <f t="shared" si="94"/>
        <v>290503</v>
      </c>
      <c r="DY31" s="238" t="str">
        <f t="shared" si="94"/>
        <v>290504</v>
      </c>
      <c r="DZ31" s="238" t="str">
        <f t="shared" si="94"/>
        <v>290505</v>
      </c>
      <c r="EA31" s="238" t="str">
        <f t="shared" si="94"/>
        <v>290506</v>
      </c>
      <c r="EC31" s="238" t="str">
        <f t="shared" si="95"/>
        <v>290601</v>
      </c>
      <c r="ED31" s="238" t="str">
        <f t="shared" si="95"/>
        <v>290602</v>
      </c>
      <c r="EE31" s="238" t="str">
        <f t="shared" si="95"/>
        <v>290603</v>
      </c>
      <c r="EF31" s="238" t="str">
        <f t="shared" si="95"/>
        <v>290604</v>
      </c>
      <c r="EG31" s="238" t="str">
        <f t="shared" si="95"/>
        <v>290605</v>
      </c>
      <c r="EH31" s="238" t="str">
        <f t="shared" si="95"/>
        <v>290606</v>
      </c>
      <c r="EJ31" s="238" t="str">
        <f t="shared" si="96"/>
        <v>290701</v>
      </c>
      <c r="EK31" s="238" t="str">
        <f t="shared" si="96"/>
        <v>290702</v>
      </c>
      <c r="EL31" s="238" t="str">
        <f t="shared" si="96"/>
        <v>290703</v>
      </c>
      <c r="EM31" s="238" t="str">
        <f t="shared" si="96"/>
        <v>290704</v>
      </c>
      <c r="EN31" s="238" t="str">
        <f t="shared" si="96"/>
        <v>290705</v>
      </c>
      <c r="EO31" s="238" t="str">
        <f t="shared" si="96"/>
        <v>290706</v>
      </c>
      <c r="EQ31" s="238" t="str">
        <f t="shared" si="97"/>
        <v>290801</v>
      </c>
      <c r="ER31" s="238" t="str">
        <f t="shared" si="97"/>
        <v>290802</v>
      </c>
      <c r="ES31" s="238" t="str">
        <f t="shared" si="97"/>
        <v>290803</v>
      </c>
      <c r="ET31" s="238" t="str">
        <f t="shared" si="97"/>
        <v>290804</v>
      </c>
      <c r="EU31" s="238" t="str">
        <f t="shared" si="97"/>
        <v>290805</v>
      </c>
      <c r="EV31" s="238" t="str">
        <f t="shared" si="97"/>
        <v>290806</v>
      </c>
      <c r="EX31" s="238" t="str">
        <f t="shared" si="98"/>
        <v>290901</v>
      </c>
      <c r="EY31" s="238" t="str">
        <f t="shared" si="98"/>
        <v>290902</v>
      </c>
      <c r="EZ31" s="238" t="str">
        <f t="shared" si="98"/>
        <v>290903</v>
      </c>
      <c r="FA31" s="238" t="str">
        <f t="shared" si="98"/>
        <v>290904</v>
      </c>
      <c r="FB31" s="238" t="str">
        <f t="shared" si="98"/>
        <v>290905</v>
      </c>
      <c r="FC31" s="238" t="str">
        <f t="shared" si="98"/>
        <v>290906</v>
      </c>
      <c r="FE31" s="238" t="str">
        <f t="shared" si="99"/>
        <v>291001</v>
      </c>
      <c r="FF31" s="238" t="str">
        <f t="shared" si="99"/>
        <v>291002</v>
      </c>
      <c r="FG31" s="238" t="str">
        <f t="shared" si="99"/>
        <v>291003</v>
      </c>
      <c r="FH31" s="238" t="str">
        <f t="shared" si="99"/>
        <v>291004</v>
      </c>
      <c r="FI31" s="238" t="str">
        <f t="shared" si="99"/>
        <v>291005</v>
      </c>
      <c r="FJ31" s="238" t="str">
        <f t="shared" si="99"/>
        <v>291006</v>
      </c>
    </row>
    <row r="32" spans="2:166" ht="13" thickBot="1">
      <c r="B32" s="58" t="str">
        <f t="shared" si="67"/>
        <v>30</v>
      </c>
      <c r="C32" s="243"/>
      <c r="D32" s="252">
        <f t="shared" ca="1" si="68"/>
        <v>0</v>
      </c>
      <c r="E32" s="244">
        <f t="shared" ca="1" si="69"/>
        <v>0</v>
      </c>
      <c r="F32" s="244">
        <f t="shared" ca="1" si="70"/>
        <v>0</v>
      </c>
      <c r="G32" s="245">
        <f t="shared" ca="1" si="71"/>
        <v>0</v>
      </c>
      <c r="H32" s="244">
        <f t="shared" ca="1" si="72"/>
        <v>0</v>
      </c>
      <c r="I32" s="246">
        <f t="shared" ca="1" si="73"/>
        <v>0</v>
      </c>
      <c r="J32" s="18" t="str">
        <f t="shared" si="74"/>
        <v>30</v>
      </c>
      <c r="K32" s="252">
        <f t="shared" ca="1" si="75"/>
        <v>0</v>
      </c>
      <c r="L32" s="244">
        <f t="shared" ca="1" si="18"/>
        <v>0</v>
      </c>
      <c r="M32" s="244">
        <f t="shared" ca="1" si="19"/>
        <v>0</v>
      </c>
      <c r="N32" s="245">
        <f t="shared" ca="1" si="20"/>
        <v>0</v>
      </c>
      <c r="O32" s="244">
        <f t="shared" ca="1" si="21"/>
        <v>0</v>
      </c>
      <c r="P32" s="246">
        <f t="shared" ca="1" si="22"/>
        <v>0</v>
      </c>
      <c r="Q32" s="18" t="str">
        <f t="shared" si="76"/>
        <v>30</v>
      </c>
      <c r="R32" s="252">
        <f t="shared" ca="1" si="77"/>
        <v>0</v>
      </c>
      <c r="S32" s="244">
        <f t="shared" ca="1" si="23"/>
        <v>0</v>
      </c>
      <c r="T32" s="244">
        <f t="shared" ca="1" si="24"/>
        <v>0</v>
      </c>
      <c r="U32" s="245">
        <f t="shared" ca="1" si="25"/>
        <v>0</v>
      </c>
      <c r="V32" s="244">
        <f t="shared" ca="1" si="26"/>
        <v>0</v>
      </c>
      <c r="W32" s="246">
        <f t="shared" ca="1" si="27"/>
        <v>0</v>
      </c>
      <c r="X32" s="18" t="str">
        <f t="shared" si="78"/>
        <v>30</v>
      </c>
      <c r="Y32" s="252">
        <f t="shared" ca="1" si="79"/>
        <v>0</v>
      </c>
      <c r="Z32" s="244">
        <f t="shared" ca="1" si="28"/>
        <v>0</v>
      </c>
      <c r="AA32" s="244">
        <f t="shared" ca="1" si="29"/>
        <v>0</v>
      </c>
      <c r="AB32" s="245">
        <f t="shared" ca="1" si="30"/>
        <v>0</v>
      </c>
      <c r="AC32" s="244">
        <f t="shared" ca="1" si="31"/>
        <v>0</v>
      </c>
      <c r="AD32" s="246" t="str">
        <f t="shared" ca="1" si="32"/>
        <v>12c</v>
      </c>
      <c r="AE32" s="18" t="str">
        <f t="shared" si="80"/>
        <v>30</v>
      </c>
      <c r="AF32" s="252">
        <f t="shared" ca="1" si="81"/>
        <v>0</v>
      </c>
      <c r="AG32" s="244">
        <f t="shared" ca="1" si="33"/>
        <v>0</v>
      </c>
      <c r="AH32" s="244">
        <f t="shared" ca="1" si="34"/>
        <v>0</v>
      </c>
      <c r="AI32" s="245">
        <f t="shared" ca="1" si="35"/>
        <v>0</v>
      </c>
      <c r="AJ32" s="244">
        <f t="shared" ca="1" si="36"/>
        <v>0</v>
      </c>
      <c r="AK32" s="246" t="str">
        <f t="shared" ca="1" si="37"/>
        <v>10e</v>
      </c>
      <c r="AL32" s="18" t="str">
        <f t="shared" si="82"/>
        <v>30</v>
      </c>
      <c r="AM32" s="252">
        <f t="shared" ca="1" si="83"/>
        <v>0</v>
      </c>
      <c r="AN32" s="244" t="str">
        <f t="shared" ca="1" si="38"/>
        <v>30e</v>
      </c>
      <c r="AO32" s="244">
        <f t="shared" ca="1" si="39"/>
        <v>0</v>
      </c>
      <c r="AP32" s="245" t="str">
        <f t="shared" ca="1" si="40"/>
        <v>14e</v>
      </c>
      <c r="AQ32" s="244">
        <f t="shared" ca="1" si="41"/>
        <v>0</v>
      </c>
      <c r="AR32" s="246">
        <f t="shared" ca="1" si="42"/>
        <v>0</v>
      </c>
      <c r="AS32" s="18" t="str">
        <f t="shared" si="84"/>
        <v>30</v>
      </c>
      <c r="AT32" s="252" t="str">
        <f t="shared" ca="1" si="85"/>
        <v>28e</v>
      </c>
      <c r="AU32" s="244" t="str">
        <f t="shared" ca="1" si="43"/>
        <v>30e</v>
      </c>
      <c r="AV32" s="244" t="str">
        <f t="shared" ca="1" si="44"/>
        <v>18e</v>
      </c>
      <c r="AW32" s="245" t="str">
        <f t="shared" ca="1" si="45"/>
        <v>14e</v>
      </c>
      <c r="AX32" s="244">
        <f t="shared" ca="1" si="46"/>
        <v>0</v>
      </c>
      <c r="AY32" s="246">
        <f t="shared" ca="1" si="47"/>
        <v>0</v>
      </c>
      <c r="AZ32" s="18" t="str">
        <f t="shared" si="86"/>
        <v>30</v>
      </c>
      <c r="BA32" s="252">
        <f t="shared" ca="1" si="87"/>
        <v>0</v>
      </c>
      <c r="BB32" s="244">
        <f t="shared" ca="1" si="48"/>
        <v>0</v>
      </c>
      <c r="BC32" s="244">
        <f t="shared" ca="1" si="49"/>
        <v>0</v>
      </c>
      <c r="BD32" s="245">
        <f t="shared" ca="1" si="50"/>
        <v>0</v>
      </c>
      <c r="BE32" s="244">
        <f t="shared" ca="1" si="51"/>
        <v>0</v>
      </c>
      <c r="BF32" s="246">
        <f t="shared" ca="1" si="52"/>
        <v>0</v>
      </c>
      <c r="BG32" s="18" t="str">
        <f t="shared" si="88"/>
        <v>30</v>
      </c>
      <c r="BH32" s="252">
        <f t="shared" ca="1" si="89"/>
        <v>0</v>
      </c>
      <c r="BI32" s="244">
        <f t="shared" ca="1" si="53"/>
        <v>0</v>
      </c>
      <c r="BJ32" s="244">
        <f t="shared" ca="1" si="54"/>
        <v>0</v>
      </c>
      <c r="BK32" s="245">
        <f t="shared" ca="1" si="55"/>
        <v>0</v>
      </c>
      <c r="BL32" s="244">
        <f t="shared" ca="1" si="56"/>
        <v>0</v>
      </c>
      <c r="BM32" s="246">
        <f t="shared" ca="1" si="57"/>
        <v>0</v>
      </c>
      <c r="CA32" s="16">
        <f t="shared" ca="1" si="8"/>
        <v>69</v>
      </c>
      <c r="CB32" s="16">
        <f t="shared" ca="1" si="9"/>
        <v>56</v>
      </c>
      <c r="CC32" s="16">
        <f t="shared" ca="1" si="10"/>
        <v>30</v>
      </c>
      <c r="CD32" s="16" t="str">
        <f t="shared" ca="1" si="11"/>
        <v>Intro!E</v>
      </c>
      <c r="CE32" s="16">
        <f t="shared" ca="1" si="12"/>
        <v>56</v>
      </c>
      <c r="CF32" s="16" t="str">
        <f t="shared" ca="1" si="13"/>
        <v>Intro!E56</v>
      </c>
      <c r="CH32" s="16" t="str">
        <f t="shared" ca="1" si="14"/>
        <v>Intro!E56:F86</v>
      </c>
      <c r="CI32" s="16" t="str">
        <f t="shared" ca="1" si="15"/>
        <v>090301_12c</v>
      </c>
      <c r="CJ32" s="16" t="str">
        <f t="shared" ca="1" si="6"/>
        <v>090301</v>
      </c>
      <c r="CK32" s="16">
        <f t="shared" ca="1" si="0"/>
        <v>3</v>
      </c>
      <c r="CL32" s="16">
        <f t="shared" ca="1" si="1"/>
        <v>9</v>
      </c>
      <c r="CM32" s="16">
        <f t="shared" ca="1" si="2"/>
        <v>1</v>
      </c>
      <c r="CN32" s="16">
        <f t="shared" ca="1" si="3"/>
        <v>12</v>
      </c>
      <c r="CO32" s="16" t="str">
        <f t="shared" ca="1" si="16"/>
        <v>c</v>
      </c>
      <c r="CY32" s="19" t="str">
        <f t="shared" si="90"/>
        <v>30</v>
      </c>
      <c r="DA32" s="238" t="str">
        <f t="shared" si="91"/>
        <v>300201</v>
      </c>
      <c r="DB32" s="238" t="str">
        <f t="shared" si="91"/>
        <v>300202</v>
      </c>
      <c r="DC32" s="238" t="str">
        <f t="shared" si="91"/>
        <v>300203</v>
      </c>
      <c r="DD32" s="238" t="str">
        <f t="shared" si="91"/>
        <v>300204</v>
      </c>
      <c r="DE32" s="238" t="str">
        <f t="shared" si="91"/>
        <v>300251</v>
      </c>
      <c r="DF32" s="238" t="str">
        <f t="shared" si="91"/>
        <v>300206</v>
      </c>
      <c r="DH32" s="238" t="str">
        <f t="shared" si="92"/>
        <v>300301</v>
      </c>
      <c r="DI32" s="238" t="str">
        <f t="shared" si="92"/>
        <v>300302</v>
      </c>
      <c r="DJ32" s="238" t="str">
        <f t="shared" si="92"/>
        <v>300303</v>
      </c>
      <c r="DK32" s="238" t="str">
        <f t="shared" si="92"/>
        <v>300304</v>
      </c>
      <c r="DL32" s="238" t="str">
        <f t="shared" si="92"/>
        <v>300305</v>
      </c>
      <c r="DM32" s="238" t="str">
        <f t="shared" si="92"/>
        <v>300306</v>
      </c>
      <c r="DO32" s="238" t="str">
        <f t="shared" si="93"/>
        <v>300401</v>
      </c>
      <c r="DP32" s="238" t="str">
        <f t="shared" si="93"/>
        <v>300402</v>
      </c>
      <c r="DQ32" s="238" t="str">
        <f t="shared" si="93"/>
        <v>300403</v>
      </c>
      <c r="DR32" s="238" t="str">
        <f t="shared" si="93"/>
        <v>300404</v>
      </c>
      <c r="DS32" s="238" t="str">
        <f t="shared" si="93"/>
        <v>300405</v>
      </c>
      <c r="DT32" s="238" t="str">
        <f t="shared" si="93"/>
        <v>300406</v>
      </c>
      <c r="DV32" s="238" t="str">
        <f t="shared" si="94"/>
        <v>300501</v>
      </c>
      <c r="DW32" s="238" t="str">
        <f t="shared" si="94"/>
        <v>300502</v>
      </c>
      <c r="DX32" s="238" t="str">
        <f t="shared" si="94"/>
        <v>300503</v>
      </c>
      <c r="DY32" s="238" t="str">
        <f t="shared" si="94"/>
        <v>300504</v>
      </c>
      <c r="DZ32" s="238" t="str">
        <f t="shared" si="94"/>
        <v>300505</v>
      </c>
      <c r="EA32" s="238" t="str">
        <f t="shared" si="94"/>
        <v>300506</v>
      </c>
      <c r="EC32" s="238" t="str">
        <f t="shared" si="95"/>
        <v>300601</v>
      </c>
      <c r="ED32" s="238" t="str">
        <f t="shared" si="95"/>
        <v>300602</v>
      </c>
      <c r="EE32" s="238" t="str">
        <f t="shared" si="95"/>
        <v>300603</v>
      </c>
      <c r="EF32" s="238" t="str">
        <f t="shared" si="95"/>
        <v>300604</v>
      </c>
      <c r="EG32" s="238" t="str">
        <f t="shared" si="95"/>
        <v>300605</v>
      </c>
      <c r="EH32" s="238" t="str">
        <f t="shared" si="95"/>
        <v>300606</v>
      </c>
      <c r="EJ32" s="238" t="str">
        <f t="shared" si="96"/>
        <v>300701</v>
      </c>
      <c r="EK32" s="238" t="str">
        <f t="shared" si="96"/>
        <v>300702</v>
      </c>
      <c r="EL32" s="238" t="str">
        <f t="shared" si="96"/>
        <v>300703</v>
      </c>
      <c r="EM32" s="238" t="str">
        <f t="shared" si="96"/>
        <v>300704</v>
      </c>
      <c r="EN32" s="238" t="str">
        <f t="shared" si="96"/>
        <v>300705</v>
      </c>
      <c r="EO32" s="238" t="str">
        <f t="shared" si="96"/>
        <v>300706</v>
      </c>
      <c r="EQ32" s="238" t="str">
        <f t="shared" si="97"/>
        <v>300801</v>
      </c>
      <c r="ER32" s="238" t="str">
        <f t="shared" si="97"/>
        <v>300802</v>
      </c>
      <c r="ES32" s="238" t="str">
        <f t="shared" si="97"/>
        <v>300803</v>
      </c>
      <c r="ET32" s="238" t="str">
        <f t="shared" si="97"/>
        <v>300804</v>
      </c>
      <c r="EU32" s="238" t="str">
        <f t="shared" si="97"/>
        <v>300805</v>
      </c>
      <c r="EV32" s="238" t="str">
        <f t="shared" si="97"/>
        <v>300806</v>
      </c>
      <c r="EX32" s="238" t="str">
        <f t="shared" si="98"/>
        <v>300901</v>
      </c>
      <c r="EY32" s="238" t="str">
        <f t="shared" si="98"/>
        <v>300902</v>
      </c>
      <c r="EZ32" s="238" t="str">
        <f t="shared" si="98"/>
        <v>300903</v>
      </c>
      <c r="FA32" s="238" t="str">
        <f t="shared" si="98"/>
        <v>300904</v>
      </c>
      <c r="FB32" s="238" t="str">
        <f t="shared" si="98"/>
        <v>300905</v>
      </c>
      <c r="FC32" s="238" t="str">
        <f t="shared" si="98"/>
        <v>300906</v>
      </c>
      <c r="FE32" s="238" t="str">
        <f t="shared" si="99"/>
        <v>301001</v>
      </c>
      <c r="FF32" s="238" t="str">
        <f t="shared" si="99"/>
        <v>301002</v>
      </c>
      <c r="FG32" s="238" t="str">
        <f t="shared" si="99"/>
        <v>301003</v>
      </c>
      <c r="FH32" s="238" t="str">
        <f t="shared" si="99"/>
        <v>301004</v>
      </c>
      <c r="FI32" s="238" t="str">
        <f t="shared" si="99"/>
        <v>301005</v>
      </c>
      <c r="FJ32" s="238" t="str">
        <f t="shared" si="99"/>
        <v>301006</v>
      </c>
    </row>
    <row r="33" spans="2:166">
      <c r="B33" s="58" t="str">
        <f t="shared" si="67"/>
        <v>31</v>
      </c>
      <c r="C33" s="243"/>
      <c r="D33" s="251">
        <f t="shared" ca="1" si="68"/>
        <v>0</v>
      </c>
      <c r="E33" s="240">
        <f t="shared" ca="1" si="69"/>
        <v>0</v>
      </c>
      <c r="F33" s="240">
        <f t="shared" ca="1" si="70"/>
        <v>0</v>
      </c>
      <c r="G33" s="242">
        <f t="shared" ca="1" si="71"/>
        <v>0</v>
      </c>
      <c r="H33" s="240">
        <f t="shared" ca="1" si="72"/>
        <v>0</v>
      </c>
      <c r="I33" s="241">
        <f t="shared" ca="1" si="73"/>
        <v>0</v>
      </c>
      <c r="J33" s="18" t="str">
        <f t="shared" si="74"/>
        <v>31</v>
      </c>
      <c r="K33" s="251">
        <f t="shared" ca="1" si="75"/>
        <v>0</v>
      </c>
      <c r="L33" s="240">
        <f t="shared" ca="1" si="18"/>
        <v>0</v>
      </c>
      <c r="M33" s="240">
        <f t="shared" ca="1" si="19"/>
        <v>0</v>
      </c>
      <c r="N33" s="242">
        <f t="shared" ca="1" si="20"/>
        <v>0</v>
      </c>
      <c r="O33" s="240">
        <f t="shared" ca="1" si="21"/>
        <v>0</v>
      </c>
      <c r="P33" s="241">
        <f t="shared" ca="1" si="22"/>
        <v>0</v>
      </c>
      <c r="Q33" s="18" t="str">
        <f t="shared" si="76"/>
        <v>31</v>
      </c>
      <c r="R33" s="251">
        <f t="shared" ca="1" si="77"/>
        <v>0</v>
      </c>
      <c r="S33" s="240">
        <f t="shared" ca="1" si="23"/>
        <v>0</v>
      </c>
      <c r="T33" s="240">
        <f t="shared" ca="1" si="24"/>
        <v>0</v>
      </c>
      <c r="U33" s="242">
        <f t="shared" ca="1" si="25"/>
        <v>0</v>
      </c>
      <c r="V33" s="240">
        <f t="shared" ca="1" si="26"/>
        <v>0</v>
      </c>
      <c r="W33" s="241">
        <f t="shared" ca="1" si="27"/>
        <v>0</v>
      </c>
      <c r="X33" s="18" t="str">
        <f t="shared" si="78"/>
        <v>31</v>
      </c>
      <c r="Y33" s="251">
        <f t="shared" ca="1" si="79"/>
        <v>0</v>
      </c>
      <c r="Z33" s="240">
        <f t="shared" ca="1" si="28"/>
        <v>0</v>
      </c>
      <c r="AA33" s="240">
        <f t="shared" ca="1" si="29"/>
        <v>0</v>
      </c>
      <c r="AB33" s="242">
        <f t="shared" ca="1" si="30"/>
        <v>0</v>
      </c>
      <c r="AC33" s="240">
        <f t="shared" ca="1" si="31"/>
        <v>0</v>
      </c>
      <c r="AD33" s="241">
        <f t="shared" ca="1" si="32"/>
        <v>0</v>
      </c>
      <c r="AE33" s="18" t="str">
        <f t="shared" si="80"/>
        <v>31</v>
      </c>
      <c r="AF33" s="251">
        <f t="shared" ca="1" si="81"/>
        <v>0</v>
      </c>
      <c r="AG33" s="240">
        <f t="shared" ca="1" si="33"/>
        <v>0</v>
      </c>
      <c r="AH33" s="240">
        <f t="shared" ca="1" si="34"/>
        <v>0</v>
      </c>
      <c r="AI33" s="242">
        <f t="shared" ca="1" si="35"/>
        <v>0</v>
      </c>
      <c r="AJ33" s="240">
        <f t="shared" ca="1" si="36"/>
        <v>0</v>
      </c>
      <c r="AK33" s="241">
        <f t="shared" ca="1" si="37"/>
        <v>0</v>
      </c>
      <c r="AL33" s="18" t="str">
        <f t="shared" si="82"/>
        <v>31</v>
      </c>
      <c r="AM33" s="251">
        <f t="shared" ca="1" si="83"/>
        <v>0</v>
      </c>
      <c r="AN33" s="240">
        <f t="shared" ca="1" si="38"/>
        <v>0</v>
      </c>
      <c r="AO33" s="240">
        <f t="shared" ca="1" si="39"/>
        <v>0</v>
      </c>
      <c r="AP33" s="242">
        <f t="shared" ca="1" si="40"/>
        <v>0</v>
      </c>
      <c r="AQ33" s="240">
        <f t="shared" ca="1" si="41"/>
        <v>0</v>
      </c>
      <c r="AR33" s="241">
        <f t="shared" ca="1" si="42"/>
        <v>0</v>
      </c>
      <c r="AS33" s="18" t="str">
        <f t="shared" si="84"/>
        <v>31</v>
      </c>
      <c r="AT33" s="251">
        <f t="shared" ca="1" si="85"/>
        <v>0</v>
      </c>
      <c r="AU33" s="240" t="str">
        <f t="shared" ca="1" si="43"/>
        <v>30e</v>
      </c>
      <c r="AV33" s="240" t="str">
        <f t="shared" ca="1" si="44"/>
        <v>21e</v>
      </c>
      <c r="AW33" s="242" t="str">
        <f t="shared" ca="1" si="45"/>
        <v>14e</v>
      </c>
      <c r="AX33" s="240">
        <f t="shared" ca="1" si="46"/>
        <v>0</v>
      </c>
      <c r="AY33" s="241">
        <f t="shared" ca="1" si="47"/>
        <v>0</v>
      </c>
      <c r="AZ33" s="18" t="str">
        <f t="shared" si="86"/>
        <v>31</v>
      </c>
      <c r="BA33" s="251">
        <f t="shared" ca="1" si="87"/>
        <v>0</v>
      </c>
      <c r="BB33" s="240">
        <f t="shared" ca="1" si="48"/>
        <v>0</v>
      </c>
      <c r="BC33" s="240">
        <f t="shared" ca="1" si="49"/>
        <v>0</v>
      </c>
      <c r="BD33" s="242">
        <f t="shared" ca="1" si="50"/>
        <v>0</v>
      </c>
      <c r="BE33" s="240">
        <f t="shared" ca="1" si="51"/>
        <v>0</v>
      </c>
      <c r="BF33" s="241">
        <f t="shared" ca="1" si="52"/>
        <v>0</v>
      </c>
      <c r="BG33" s="18" t="str">
        <f t="shared" si="88"/>
        <v>31</v>
      </c>
      <c r="BH33" s="251">
        <f t="shared" ca="1" si="89"/>
        <v>0</v>
      </c>
      <c r="BI33" s="240">
        <f t="shared" ca="1" si="53"/>
        <v>0</v>
      </c>
      <c r="BJ33" s="240">
        <f t="shared" ca="1" si="54"/>
        <v>0</v>
      </c>
      <c r="BK33" s="242">
        <f t="shared" ca="1" si="55"/>
        <v>0</v>
      </c>
      <c r="BL33" s="240">
        <f t="shared" ca="1" si="56"/>
        <v>0</v>
      </c>
      <c r="BM33" s="241">
        <f t="shared" ca="1" si="57"/>
        <v>0</v>
      </c>
      <c r="CA33" s="16">
        <f t="shared" ca="1" si="8"/>
        <v>69</v>
      </c>
      <c r="CB33" s="16">
        <f t="shared" ca="1" si="9"/>
        <v>57</v>
      </c>
      <c r="CC33" s="16">
        <f t="shared" ca="1" si="10"/>
        <v>29</v>
      </c>
      <c r="CD33" s="16" t="str">
        <f t="shared" ca="1" si="11"/>
        <v>Intro!E</v>
      </c>
      <c r="CE33" s="16">
        <f t="shared" ca="1" si="12"/>
        <v>57</v>
      </c>
      <c r="CF33" s="16" t="str">
        <f t="shared" ca="1" si="13"/>
        <v>Intro!E57</v>
      </c>
      <c r="CH33" s="16" t="str">
        <f t="shared" ca="1" si="14"/>
        <v>Intro!E57:F86</v>
      </c>
      <c r="CI33" s="16" t="str">
        <f t="shared" ca="1" si="15"/>
        <v>090301_18e</v>
      </c>
      <c r="CJ33" s="16" t="str">
        <f t="shared" ca="1" si="6"/>
        <v>090301</v>
      </c>
      <c r="CK33" s="16">
        <f t="shared" ca="1" si="0"/>
        <v>3</v>
      </c>
      <c r="CL33" s="16">
        <f t="shared" ca="1" si="1"/>
        <v>9</v>
      </c>
      <c r="CM33" s="16">
        <f t="shared" ca="1" si="2"/>
        <v>1</v>
      </c>
      <c r="CN33" s="16">
        <f t="shared" ca="1" si="3"/>
        <v>18</v>
      </c>
      <c r="CO33" s="16" t="str">
        <f t="shared" ca="1" si="16"/>
        <v>e</v>
      </c>
      <c r="CY33" s="19" t="str">
        <f t="shared" si="90"/>
        <v>31</v>
      </c>
      <c r="DA33" s="238" t="str">
        <f t="shared" si="91"/>
        <v>310201</v>
      </c>
      <c r="DB33" s="238" t="str">
        <f t="shared" si="91"/>
        <v>310202</v>
      </c>
      <c r="DC33" s="238" t="str">
        <f t="shared" si="91"/>
        <v>310203</v>
      </c>
      <c r="DD33" s="238" t="str">
        <f t="shared" si="91"/>
        <v>310204</v>
      </c>
      <c r="DE33" s="238" t="str">
        <f t="shared" si="91"/>
        <v>310251</v>
      </c>
      <c r="DF33" s="238" t="str">
        <f t="shared" si="91"/>
        <v>310206</v>
      </c>
      <c r="DH33" s="238" t="str">
        <f t="shared" si="92"/>
        <v>310301</v>
      </c>
      <c r="DI33" s="238" t="str">
        <f t="shared" si="92"/>
        <v>310302</v>
      </c>
      <c r="DJ33" s="238" t="str">
        <f t="shared" si="92"/>
        <v>310303</v>
      </c>
      <c r="DK33" s="238" t="str">
        <f t="shared" si="92"/>
        <v>310304</v>
      </c>
      <c r="DL33" s="238" t="str">
        <f t="shared" si="92"/>
        <v>310305</v>
      </c>
      <c r="DM33" s="238" t="str">
        <f t="shared" si="92"/>
        <v>310306</v>
      </c>
      <c r="DO33" s="238" t="str">
        <f t="shared" si="93"/>
        <v>310401</v>
      </c>
      <c r="DP33" s="238" t="str">
        <f t="shared" si="93"/>
        <v>310402</v>
      </c>
      <c r="DQ33" s="238" t="str">
        <f t="shared" si="93"/>
        <v>310403</v>
      </c>
      <c r="DR33" s="238" t="str">
        <f t="shared" si="93"/>
        <v>310404</v>
      </c>
      <c r="DS33" s="238" t="str">
        <f t="shared" si="93"/>
        <v>310405</v>
      </c>
      <c r="DT33" s="238" t="str">
        <f t="shared" si="93"/>
        <v>310406</v>
      </c>
      <c r="DV33" s="238" t="str">
        <f t="shared" si="94"/>
        <v>310501</v>
      </c>
      <c r="DW33" s="238" t="str">
        <f t="shared" si="94"/>
        <v>310502</v>
      </c>
      <c r="DX33" s="238" t="str">
        <f t="shared" si="94"/>
        <v>310503</v>
      </c>
      <c r="DY33" s="238" t="str">
        <f t="shared" si="94"/>
        <v>310504</v>
      </c>
      <c r="DZ33" s="238" t="str">
        <f t="shared" si="94"/>
        <v>310505</v>
      </c>
      <c r="EA33" s="238" t="str">
        <f t="shared" si="94"/>
        <v>310506</v>
      </c>
      <c r="EC33" s="238" t="str">
        <f t="shared" si="95"/>
        <v>310601</v>
      </c>
      <c r="ED33" s="238" t="str">
        <f t="shared" si="95"/>
        <v>310602</v>
      </c>
      <c r="EE33" s="238" t="str">
        <f t="shared" si="95"/>
        <v>310603</v>
      </c>
      <c r="EF33" s="238" t="str">
        <f t="shared" si="95"/>
        <v>310604</v>
      </c>
      <c r="EG33" s="238" t="str">
        <f t="shared" si="95"/>
        <v>310605</v>
      </c>
      <c r="EH33" s="238" t="str">
        <f t="shared" si="95"/>
        <v>310606</v>
      </c>
      <c r="EJ33" s="238" t="str">
        <f t="shared" si="96"/>
        <v>310701</v>
      </c>
      <c r="EK33" s="238" t="str">
        <f t="shared" si="96"/>
        <v>310702</v>
      </c>
      <c r="EL33" s="238" t="str">
        <f t="shared" si="96"/>
        <v>310703</v>
      </c>
      <c r="EM33" s="238" t="str">
        <f t="shared" si="96"/>
        <v>310704</v>
      </c>
      <c r="EN33" s="238" t="str">
        <f t="shared" si="96"/>
        <v>310705</v>
      </c>
      <c r="EO33" s="238" t="str">
        <f t="shared" si="96"/>
        <v>310706</v>
      </c>
      <c r="EQ33" s="238" t="str">
        <f t="shared" si="97"/>
        <v>310801</v>
      </c>
      <c r="ER33" s="238" t="str">
        <f t="shared" si="97"/>
        <v>310802</v>
      </c>
      <c r="ES33" s="238" t="str">
        <f t="shared" si="97"/>
        <v>310803</v>
      </c>
      <c r="ET33" s="238" t="str">
        <f t="shared" si="97"/>
        <v>310804</v>
      </c>
      <c r="EU33" s="238" t="str">
        <f t="shared" si="97"/>
        <v>310805</v>
      </c>
      <c r="EV33" s="238" t="str">
        <f t="shared" si="97"/>
        <v>310806</v>
      </c>
      <c r="EX33" s="238" t="str">
        <f t="shared" si="98"/>
        <v>310901</v>
      </c>
      <c r="EY33" s="238" t="str">
        <f t="shared" si="98"/>
        <v>310902</v>
      </c>
      <c r="EZ33" s="238" t="str">
        <f t="shared" si="98"/>
        <v>310903</v>
      </c>
      <c r="FA33" s="238" t="str">
        <f t="shared" si="98"/>
        <v>310904</v>
      </c>
      <c r="FB33" s="238" t="str">
        <f t="shared" si="98"/>
        <v>310905</v>
      </c>
      <c r="FC33" s="238" t="str">
        <f t="shared" si="98"/>
        <v>310906</v>
      </c>
      <c r="FE33" s="238" t="str">
        <f t="shared" si="99"/>
        <v>311001</v>
      </c>
      <c r="FF33" s="238" t="str">
        <f t="shared" si="99"/>
        <v>311002</v>
      </c>
      <c r="FG33" s="238" t="str">
        <f t="shared" si="99"/>
        <v>311003</v>
      </c>
      <c r="FH33" s="238" t="str">
        <f t="shared" si="99"/>
        <v>311004</v>
      </c>
      <c r="FI33" s="238" t="str">
        <f t="shared" si="99"/>
        <v>311005</v>
      </c>
      <c r="FJ33" s="238" t="str">
        <f t="shared" si="99"/>
        <v>311006</v>
      </c>
    </row>
    <row r="34" spans="2:166">
      <c r="B34" s="58" t="str">
        <f t="shared" si="67"/>
        <v>32</v>
      </c>
      <c r="C34" s="243"/>
      <c r="D34" s="251">
        <f t="shared" ca="1" si="68"/>
        <v>0</v>
      </c>
      <c r="E34" s="240">
        <f t="shared" ca="1" si="69"/>
        <v>0</v>
      </c>
      <c r="F34" s="240">
        <f t="shared" ca="1" si="70"/>
        <v>0</v>
      </c>
      <c r="G34" s="242">
        <f t="shared" ca="1" si="71"/>
        <v>0</v>
      </c>
      <c r="H34" s="240">
        <f t="shared" ca="1" si="72"/>
        <v>0</v>
      </c>
      <c r="I34" s="241">
        <f t="shared" ca="1" si="73"/>
        <v>0</v>
      </c>
      <c r="J34" s="18" t="str">
        <f t="shared" si="74"/>
        <v>32</v>
      </c>
      <c r="K34" s="251">
        <f t="shared" ca="1" si="75"/>
        <v>0</v>
      </c>
      <c r="L34" s="240">
        <f t="shared" ca="1" si="18"/>
        <v>0</v>
      </c>
      <c r="M34" s="240">
        <f t="shared" ca="1" si="19"/>
        <v>0</v>
      </c>
      <c r="N34" s="242">
        <f t="shared" ca="1" si="20"/>
        <v>0</v>
      </c>
      <c r="O34" s="240">
        <f t="shared" ca="1" si="21"/>
        <v>0</v>
      </c>
      <c r="P34" s="241">
        <f t="shared" ca="1" si="22"/>
        <v>0</v>
      </c>
      <c r="Q34" s="18" t="str">
        <f t="shared" si="76"/>
        <v>32</v>
      </c>
      <c r="R34" s="251">
        <f t="shared" ca="1" si="77"/>
        <v>0</v>
      </c>
      <c r="S34" s="240">
        <f t="shared" ca="1" si="23"/>
        <v>0</v>
      </c>
      <c r="T34" s="240">
        <f t="shared" ca="1" si="24"/>
        <v>0</v>
      </c>
      <c r="U34" s="242">
        <f t="shared" ca="1" si="25"/>
        <v>0</v>
      </c>
      <c r="V34" s="240">
        <f t="shared" ca="1" si="26"/>
        <v>0</v>
      </c>
      <c r="W34" s="241">
        <f t="shared" ca="1" si="27"/>
        <v>0</v>
      </c>
      <c r="X34" s="18" t="str">
        <f t="shared" si="78"/>
        <v>32</v>
      </c>
      <c r="Y34" s="251">
        <f t="shared" ca="1" si="79"/>
        <v>0</v>
      </c>
      <c r="Z34" s="240">
        <f t="shared" ca="1" si="28"/>
        <v>0</v>
      </c>
      <c r="AA34" s="240">
        <f t="shared" ca="1" si="29"/>
        <v>0</v>
      </c>
      <c r="AB34" s="242">
        <f t="shared" ca="1" si="30"/>
        <v>0</v>
      </c>
      <c r="AC34" s="240">
        <f t="shared" ca="1" si="31"/>
        <v>0</v>
      </c>
      <c r="AD34" s="241">
        <f t="shared" ca="1" si="32"/>
        <v>0</v>
      </c>
      <c r="AE34" s="18" t="str">
        <f t="shared" si="80"/>
        <v>32</v>
      </c>
      <c r="AF34" s="251">
        <f t="shared" ca="1" si="81"/>
        <v>0</v>
      </c>
      <c r="AG34" s="240">
        <f t="shared" ca="1" si="33"/>
        <v>0</v>
      </c>
      <c r="AH34" s="240">
        <f t="shared" ca="1" si="34"/>
        <v>0</v>
      </c>
      <c r="AI34" s="242" t="str">
        <f t="shared" ca="1" si="35"/>
        <v>19c</v>
      </c>
      <c r="AJ34" s="240">
        <f t="shared" ca="1" si="36"/>
        <v>0</v>
      </c>
      <c r="AK34" s="241">
        <f t="shared" ca="1" si="37"/>
        <v>0</v>
      </c>
      <c r="AL34" s="18" t="str">
        <f t="shared" si="82"/>
        <v>32</v>
      </c>
      <c r="AM34" s="251">
        <f t="shared" ca="1" si="83"/>
        <v>0</v>
      </c>
      <c r="AN34" s="240">
        <f t="shared" ca="1" si="38"/>
        <v>0</v>
      </c>
      <c r="AO34" s="240">
        <f t="shared" ca="1" si="39"/>
        <v>0</v>
      </c>
      <c r="AP34" s="242">
        <f t="shared" ca="1" si="40"/>
        <v>0</v>
      </c>
      <c r="AQ34" s="240">
        <f t="shared" ca="1" si="41"/>
        <v>0</v>
      </c>
      <c r="AR34" s="241" t="str">
        <f t="shared" ca="1" si="42"/>
        <v>10e</v>
      </c>
      <c r="AS34" s="18" t="str">
        <f t="shared" si="84"/>
        <v>32</v>
      </c>
      <c r="AT34" s="251" t="str">
        <f t="shared" ca="1" si="85"/>
        <v>32e</v>
      </c>
      <c r="AU34" s="240" t="str">
        <f t="shared" ca="1" si="43"/>
        <v>30e</v>
      </c>
      <c r="AV34" s="240" t="str">
        <f t="shared" ca="1" si="44"/>
        <v>22e</v>
      </c>
      <c r="AW34" s="242" t="str">
        <f t="shared" ca="1" si="45"/>
        <v>14e</v>
      </c>
      <c r="AX34" s="240" t="str">
        <f t="shared" ca="1" si="46"/>
        <v>14e</v>
      </c>
      <c r="AY34" s="241" t="str">
        <f t="shared" ca="1" si="47"/>
        <v>10e</v>
      </c>
      <c r="AZ34" s="18" t="str">
        <f t="shared" si="86"/>
        <v>32</v>
      </c>
      <c r="BA34" s="251">
        <f t="shared" ca="1" si="87"/>
        <v>0</v>
      </c>
      <c r="BB34" s="240">
        <f t="shared" ca="1" si="48"/>
        <v>0</v>
      </c>
      <c r="BC34" s="240">
        <f t="shared" ca="1" si="49"/>
        <v>0</v>
      </c>
      <c r="BD34" s="242">
        <f t="shared" ca="1" si="50"/>
        <v>0</v>
      </c>
      <c r="BE34" s="240">
        <f t="shared" ca="1" si="51"/>
        <v>0</v>
      </c>
      <c r="BF34" s="241">
        <f t="shared" ca="1" si="52"/>
        <v>0</v>
      </c>
      <c r="BG34" s="18" t="str">
        <f t="shared" si="88"/>
        <v>32</v>
      </c>
      <c r="BH34" s="251">
        <f t="shared" ca="1" si="89"/>
        <v>0</v>
      </c>
      <c r="BI34" s="240">
        <f t="shared" ca="1" si="53"/>
        <v>0</v>
      </c>
      <c r="BJ34" s="240">
        <f t="shared" ca="1" si="54"/>
        <v>0</v>
      </c>
      <c r="BK34" s="242">
        <f t="shared" ca="1" si="55"/>
        <v>0</v>
      </c>
      <c r="BL34" s="240">
        <f t="shared" ca="1" si="56"/>
        <v>0</v>
      </c>
      <c r="BM34" s="241">
        <f t="shared" ca="1" si="57"/>
        <v>0</v>
      </c>
      <c r="CA34" s="16">
        <f t="shared" ca="1" si="8"/>
        <v>69</v>
      </c>
      <c r="CB34" s="16">
        <f t="shared" ca="1" si="9"/>
        <v>58</v>
      </c>
      <c r="CC34" s="16">
        <f t="shared" ca="1" si="10"/>
        <v>28</v>
      </c>
      <c r="CD34" s="16" t="str">
        <f t="shared" ca="1" si="11"/>
        <v>Intro!E</v>
      </c>
      <c r="CE34" s="16">
        <f t="shared" ca="1" si="12"/>
        <v>58</v>
      </c>
      <c r="CF34" s="16" t="str">
        <f t="shared" ca="1" si="13"/>
        <v>Intro!E58</v>
      </c>
      <c r="CH34" s="16" t="str">
        <f t="shared" ca="1" si="14"/>
        <v>Intro!E58:F86</v>
      </c>
      <c r="CI34" s="16" t="str">
        <f t="shared" ca="1" si="15"/>
        <v>100301_18e</v>
      </c>
      <c r="CJ34" s="16" t="str">
        <f t="shared" ca="1" si="6"/>
        <v>100301</v>
      </c>
      <c r="CK34" s="16">
        <f t="shared" ca="1" si="0"/>
        <v>3</v>
      </c>
      <c r="CL34" s="16">
        <f t="shared" ca="1" si="1"/>
        <v>10</v>
      </c>
      <c r="CM34" s="16">
        <f t="shared" ca="1" si="2"/>
        <v>1</v>
      </c>
      <c r="CN34" s="16">
        <f t="shared" ca="1" si="3"/>
        <v>18</v>
      </c>
      <c r="CO34" s="16" t="str">
        <f t="shared" ca="1" si="16"/>
        <v>e</v>
      </c>
      <c r="CY34" s="19" t="str">
        <f t="shared" si="90"/>
        <v>32</v>
      </c>
      <c r="DA34" s="238" t="str">
        <f t="shared" si="91"/>
        <v>320201</v>
      </c>
      <c r="DB34" s="238" t="str">
        <f t="shared" si="91"/>
        <v>320202</v>
      </c>
      <c r="DC34" s="238" t="str">
        <f t="shared" si="91"/>
        <v>320203</v>
      </c>
      <c r="DD34" s="238" t="str">
        <f t="shared" si="91"/>
        <v>320204</v>
      </c>
      <c r="DE34" s="238" t="str">
        <f t="shared" si="91"/>
        <v>320251</v>
      </c>
      <c r="DF34" s="238" t="str">
        <f t="shared" si="91"/>
        <v>320206</v>
      </c>
      <c r="DH34" s="238" t="str">
        <f t="shared" si="92"/>
        <v>320301</v>
      </c>
      <c r="DI34" s="238" t="str">
        <f t="shared" si="92"/>
        <v>320302</v>
      </c>
      <c r="DJ34" s="238" t="str">
        <f t="shared" si="92"/>
        <v>320303</v>
      </c>
      <c r="DK34" s="238" t="str">
        <f t="shared" si="92"/>
        <v>320304</v>
      </c>
      <c r="DL34" s="238" t="str">
        <f t="shared" si="92"/>
        <v>320305</v>
      </c>
      <c r="DM34" s="238" t="str">
        <f t="shared" si="92"/>
        <v>320306</v>
      </c>
      <c r="DO34" s="238" t="str">
        <f t="shared" si="93"/>
        <v>320401</v>
      </c>
      <c r="DP34" s="238" t="str">
        <f t="shared" si="93"/>
        <v>320402</v>
      </c>
      <c r="DQ34" s="238" t="str">
        <f t="shared" si="93"/>
        <v>320403</v>
      </c>
      <c r="DR34" s="238" t="str">
        <f t="shared" si="93"/>
        <v>320404</v>
      </c>
      <c r="DS34" s="238" t="str">
        <f t="shared" si="93"/>
        <v>320405</v>
      </c>
      <c r="DT34" s="238" t="str">
        <f t="shared" si="93"/>
        <v>320406</v>
      </c>
      <c r="DV34" s="238" t="str">
        <f t="shared" si="94"/>
        <v>320501</v>
      </c>
      <c r="DW34" s="238" t="str">
        <f t="shared" si="94"/>
        <v>320502</v>
      </c>
      <c r="DX34" s="238" t="str">
        <f t="shared" si="94"/>
        <v>320503</v>
      </c>
      <c r="DY34" s="238" t="str">
        <f t="shared" si="94"/>
        <v>320504</v>
      </c>
      <c r="DZ34" s="238" t="str">
        <f t="shared" si="94"/>
        <v>320505</v>
      </c>
      <c r="EA34" s="238" t="str">
        <f t="shared" si="94"/>
        <v>320506</v>
      </c>
      <c r="EC34" s="238" t="str">
        <f t="shared" si="95"/>
        <v>320601</v>
      </c>
      <c r="ED34" s="238" t="str">
        <f t="shared" si="95"/>
        <v>320602</v>
      </c>
      <c r="EE34" s="238" t="str">
        <f t="shared" si="95"/>
        <v>320603</v>
      </c>
      <c r="EF34" s="238" t="str">
        <f t="shared" si="95"/>
        <v>320604</v>
      </c>
      <c r="EG34" s="238" t="str">
        <f t="shared" si="95"/>
        <v>320605</v>
      </c>
      <c r="EH34" s="238" t="str">
        <f t="shared" si="95"/>
        <v>320606</v>
      </c>
      <c r="EJ34" s="238" t="str">
        <f t="shared" si="96"/>
        <v>320701</v>
      </c>
      <c r="EK34" s="238" t="str">
        <f t="shared" si="96"/>
        <v>320702</v>
      </c>
      <c r="EL34" s="238" t="str">
        <f t="shared" si="96"/>
        <v>320703</v>
      </c>
      <c r="EM34" s="238" t="str">
        <f t="shared" si="96"/>
        <v>320704</v>
      </c>
      <c r="EN34" s="238" t="str">
        <f t="shared" si="96"/>
        <v>320705</v>
      </c>
      <c r="EO34" s="238" t="str">
        <f t="shared" si="96"/>
        <v>320706</v>
      </c>
      <c r="EQ34" s="238" t="str">
        <f t="shared" si="97"/>
        <v>320801</v>
      </c>
      <c r="ER34" s="238" t="str">
        <f t="shared" si="97"/>
        <v>320802</v>
      </c>
      <c r="ES34" s="238" t="str">
        <f t="shared" si="97"/>
        <v>320803</v>
      </c>
      <c r="ET34" s="238" t="str">
        <f t="shared" si="97"/>
        <v>320804</v>
      </c>
      <c r="EU34" s="238" t="str">
        <f t="shared" si="97"/>
        <v>320805</v>
      </c>
      <c r="EV34" s="238" t="str">
        <f t="shared" si="97"/>
        <v>320806</v>
      </c>
      <c r="EX34" s="238" t="str">
        <f t="shared" si="98"/>
        <v>320901</v>
      </c>
      <c r="EY34" s="238" t="str">
        <f t="shared" si="98"/>
        <v>320902</v>
      </c>
      <c r="EZ34" s="238" t="str">
        <f t="shared" si="98"/>
        <v>320903</v>
      </c>
      <c r="FA34" s="238" t="str">
        <f t="shared" si="98"/>
        <v>320904</v>
      </c>
      <c r="FB34" s="238" t="str">
        <f t="shared" si="98"/>
        <v>320905</v>
      </c>
      <c r="FC34" s="238" t="str">
        <f t="shared" si="98"/>
        <v>320906</v>
      </c>
      <c r="FE34" s="238" t="str">
        <f t="shared" si="99"/>
        <v>321001</v>
      </c>
      <c r="FF34" s="238" t="str">
        <f t="shared" si="99"/>
        <v>321002</v>
      </c>
      <c r="FG34" s="238" t="str">
        <f t="shared" si="99"/>
        <v>321003</v>
      </c>
      <c r="FH34" s="238" t="str">
        <f t="shared" si="99"/>
        <v>321004</v>
      </c>
      <c r="FI34" s="238" t="str">
        <f t="shared" si="99"/>
        <v>321005</v>
      </c>
      <c r="FJ34" s="238" t="str">
        <f t="shared" si="99"/>
        <v>321006</v>
      </c>
    </row>
    <row r="35" spans="2:166">
      <c r="B35" s="58" t="str">
        <f t="shared" si="67"/>
        <v>33</v>
      </c>
      <c r="C35" s="243"/>
      <c r="D35" s="251">
        <f t="shared" ca="1" si="68"/>
        <v>0</v>
      </c>
      <c r="E35" s="240">
        <f t="shared" ca="1" si="69"/>
        <v>0</v>
      </c>
      <c r="F35" s="240">
        <f t="shared" ca="1" si="70"/>
        <v>0</v>
      </c>
      <c r="G35" s="242">
        <f t="shared" ca="1" si="71"/>
        <v>0</v>
      </c>
      <c r="H35" s="240">
        <f t="shared" ca="1" si="72"/>
        <v>0</v>
      </c>
      <c r="I35" s="241">
        <f t="shared" ca="1" si="73"/>
        <v>0</v>
      </c>
      <c r="J35" s="18" t="str">
        <f t="shared" si="74"/>
        <v>33</v>
      </c>
      <c r="K35" s="251">
        <f t="shared" ca="1" si="75"/>
        <v>0</v>
      </c>
      <c r="L35" s="240">
        <f t="shared" ca="1" si="18"/>
        <v>0</v>
      </c>
      <c r="M35" s="240">
        <f t="shared" ca="1" si="19"/>
        <v>0</v>
      </c>
      <c r="N35" s="242">
        <f t="shared" ca="1" si="20"/>
        <v>0</v>
      </c>
      <c r="O35" s="240">
        <f t="shared" ca="1" si="21"/>
        <v>0</v>
      </c>
      <c r="P35" s="241">
        <f t="shared" ca="1" si="22"/>
        <v>0</v>
      </c>
      <c r="Q35" s="18" t="str">
        <f t="shared" si="76"/>
        <v>33</v>
      </c>
      <c r="R35" s="251">
        <f t="shared" ca="1" si="77"/>
        <v>0</v>
      </c>
      <c r="S35" s="240">
        <f t="shared" ca="1" si="23"/>
        <v>0</v>
      </c>
      <c r="T35" s="240">
        <f t="shared" ca="1" si="24"/>
        <v>0</v>
      </c>
      <c r="U35" s="242">
        <f t="shared" ca="1" si="25"/>
        <v>0</v>
      </c>
      <c r="V35" s="240">
        <f t="shared" ca="1" si="26"/>
        <v>0</v>
      </c>
      <c r="W35" s="241">
        <f t="shared" ca="1" si="27"/>
        <v>0</v>
      </c>
      <c r="X35" s="18" t="str">
        <f t="shared" si="78"/>
        <v>33</v>
      </c>
      <c r="Y35" s="251">
        <f t="shared" ca="1" si="79"/>
        <v>0</v>
      </c>
      <c r="Z35" s="240">
        <f t="shared" ca="1" si="28"/>
        <v>0</v>
      </c>
      <c r="AA35" s="240">
        <f t="shared" ca="1" si="29"/>
        <v>0</v>
      </c>
      <c r="AB35" s="242">
        <f t="shared" ca="1" si="30"/>
        <v>0</v>
      </c>
      <c r="AC35" s="240">
        <f t="shared" ca="1" si="31"/>
        <v>0</v>
      </c>
      <c r="AD35" s="241">
        <f t="shared" ca="1" si="32"/>
        <v>0</v>
      </c>
      <c r="AE35" s="18" t="str">
        <f t="shared" si="80"/>
        <v>33</v>
      </c>
      <c r="AF35" s="251">
        <f t="shared" ca="1" si="81"/>
        <v>0</v>
      </c>
      <c r="AG35" s="240">
        <f t="shared" ca="1" si="33"/>
        <v>0</v>
      </c>
      <c r="AH35" s="240">
        <f t="shared" ca="1" si="34"/>
        <v>0</v>
      </c>
      <c r="AI35" s="242">
        <f t="shared" ca="1" si="35"/>
        <v>0</v>
      </c>
      <c r="AJ35" s="240">
        <f t="shared" ca="1" si="36"/>
        <v>0</v>
      </c>
      <c r="AK35" s="241">
        <f t="shared" ca="1" si="37"/>
        <v>0</v>
      </c>
      <c r="AL35" s="18" t="str">
        <f t="shared" si="82"/>
        <v>33</v>
      </c>
      <c r="AM35" s="251">
        <f t="shared" ca="1" si="83"/>
        <v>0</v>
      </c>
      <c r="AN35" s="240">
        <f t="shared" ca="1" si="38"/>
        <v>0</v>
      </c>
      <c r="AO35" s="240">
        <f t="shared" ca="1" si="39"/>
        <v>0</v>
      </c>
      <c r="AP35" s="242">
        <f t="shared" ca="1" si="40"/>
        <v>0</v>
      </c>
      <c r="AQ35" s="240">
        <f t="shared" ca="1" si="41"/>
        <v>0</v>
      </c>
      <c r="AR35" s="241">
        <f t="shared" ca="1" si="42"/>
        <v>0</v>
      </c>
      <c r="AS35" s="18" t="str">
        <f t="shared" si="84"/>
        <v>33</v>
      </c>
      <c r="AT35" s="251">
        <f t="shared" ca="1" si="85"/>
        <v>0</v>
      </c>
      <c r="AU35" s="240">
        <f t="shared" ca="1" si="43"/>
        <v>0</v>
      </c>
      <c r="AV35" s="240" t="str">
        <f t="shared" ca="1" si="44"/>
        <v>22e</v>
      </c>
      <c r="AW35" s="242">
        <f t="shared" ca="1" si="45"/>
        <v>0</v>
      </c>
      <c r="AX35" s="240">
        <f t="shared" ca="1" si="46"/>
        <v>0</v>
      </c>
      <c r="AY35" s="241">
        <f t="shared" ca="1" si="47"/>
        <v>0</v>
      </c>
      <c r="AZ35" s="18" t="str">
        <f t="shared" si="86"/>
        <v>33</v>
      </c>
      <c r="BA35" s="251">
        <f t="shared" ca="1" si="87"/>
        <v>0</v>
      </c>
      <c r="BB35" s="240">
        <f t="shared" ca="1" si="48"/>
        <v>0</v>
      </c>
      <c r="BC35" s="240">
        <f t="shared" ca="1" si="49"/>
        <v>0</v>
      </c>
      <c r="BD35" s="242">
        <f t="shared" ca="1" si="50"/>
        <v>0</v>
      </c>
      <c r="BE35" s="240">
        <f t="shared" ca="1" si="51"/>
        <v>0</v>
      </c>
      <c r="BF35" s="241">
        <f t="shared" ca="1" si="52"/>
        <v>0</v>
      </c>
      <c r="BG35" s="18" t="str">
        <f t="shared" si="88"/>
        <v>33</v>
      </c>
      <c r="BH35" s="251">
        <f t="shared" ca="1" si="89"/>
        <v>0</v>
      </c>
      <c r="BI35" s="240">
        <f t="shared" ca="1" si="53"/>
        <v>0</v>
      </c>
      <c r="BJ35" s="240">
        <f t="shared" ca="1" si="54"/>
        <v>0</v>
      </c>
      <c r="BK35" s="242">
        <f t="shared" ca="1" si="55"/>
        <v>0</v>
      </c>
      <c r="BL35" s="240">
        <f t="shared" ca="1" si="56"/>
        <v>0</v>
      </c>
      <c r="BM35" s="241">
        <f t="shared" ca="1" si="57"/>
        <v>0</v>
      </c>
      <c r="CA35" s="16">
        <f t="shared" ca="1" si="8"/>
        <v>69</v>
      </c>
      <c r="CB35" s="16">
        <f t="shared" ca="1" si="9"/>
        <v>59</v>
      </c>
      <c r="CC35" s="16">
        <f t="shared" ca="1" si="10"/>
        <v>27</v>
      </c>
      <c r="CD35" s="16" t="str">
        <f t="shared" ca="1" si="11"/>
        <v>Intro!E</v>
      </c>
      <c r="CE35" s="16">
        <f t="shared" ca="1" si="12"/>
        <v>59</v>
      </c>
      <c r="CF35" s="16" t="str">
        <f t="shared" ca="1" si="13"/>
        <v>Intro!E59</v>
      </c>
      <c r="CH35" s="16" t="str">
        <f t="shared" ca="1" si="14"/>
        <v>Intro!E59:F86</v>
      </c>
      <c r="CI35" s="16" t="str">
        <f t="shared" ca="1" si="15"/>
        <v>100302_07c</v>
      </c>
      <c r="CJ35" s="16" t="str">
        <f t="shared" ca="1" si="6"/>
        <v>100302</v>
      </c>
      <c r="CK35" s="16">
        <f t="shared" ca="1" si="0"/>
        <v>3</v>
      </c>
      <c r="CL35" s="16">
        <f t="shared" ca="1" si="1"/>
        <v>10</v>
      </c>
      <c r="CM35" s="16">
        <f t="shared" ca="1" si="2"/>
        <v>2</v>
      </c>
      <c r="CN35" s="16">
        <f t="shared" ca="1" si="3"/>
        <v>7</v>
      </c>
      <c r="CO35" s="16" t="str">
        <f t="shared" ca="1" si="16"/>
        <v>c</v>
      </c>
      <c r="CY35" s="19" t="str">
        <f t="shared" si="90"/>
        <v>33</v>
      </c>
      <c r="DA35" s="238" t="str">
        <f t="shared" si="91"/>
        <v>330201</v>
      </c>
      <c r="DB35" s="238" t="str">
        <f t="shared" si="91"/>
        <v>330202</v>
      </c>
      <c r="DC35" s="238" t="str">
        <f t="shared" si="91"/>
        <v>330203</v>
      </c>
      <c r="DD35" s="238" t="str">
        <f t="shared" si="91"/>
        <v>330204</v>
      </c>
      <c r="DE35" s="238" t="str">
        <f t="shared" si="91"/>
        <v>330251</v>
      </c>
      <c r="DF35" s="238" t="str">
        <f t="shared" si="91"/>
        <v>330206</v>
      </c>
      <c r="DH35" s="238" t="str">
        <f t="shared" si="92"/>
        <v>330301</v>
      </c>
      <c r="DI35" s="238" t="str">
        <f t="shared" si="92"/>
        <v>330302</v>
      </c>
      <c r="DJ35" s="238" t="str">
        <f t="shared" si="92"/>
        <v>330303</v>
      </c>
      <c r="DK35" s="238" t="str">
        <f t="shared" si="92"/>
        <v>330304</v>
      </c>
      <c r="DL35" s="238" t="str">
        <f t="shared" si="92"/>
        <v>330305</v>
      </c>
      <c r="DM35" s="238" t="str">
        <f t="shared" si="92"/>
        <v>330306</v>
      </c>
      <c r="DO35" s="238" t="str">
        <f t="shared" si="93"/>
        <v>330401</v>
      </c>
      <c r="DP35" s="238" t="str">
        <f t="shared" si="93"/>
        <v>330402</v>
      </c>
      <c r="DQ35" s="238" t="str">
        <f t="shared" si="93"/>
        <v>330403</v>
      </c>
      <c r="DR35" s="238" t="str">
        <f t="shared" si="93"/>
        <v>330404</v>
      </c>
      <c r="DS35" s="238" t="str">
        <f t="shared" si="93"/>
        <v>330405</v>
      </c>
      <c r="DT35" s="238" t="str">
        <f t="shared" si="93"/>
        <v>330406</v>
      </c>
      <c r="DV35" s="238" t="str">
        <f t="shared" si="94"/>
        <v>330501</v>
      </c>
      <c r="DW35" s="238" t="str">
        <f t="shared" si="94"/>
        <v>330502</v>
      </c>
      <c r="DX35" s="238" t="str">
        <f t="shared" si="94"/>
        <v>330503</v>
      </c>
      <c r="DY35" s="238" t="str">
        <f t="shared" si="94"/>
        <v>330504</v>
      </c>
      <c r="DZ35" s="238" t="str">
        <f t="shared" si="94"/>
        <v>330505</v>
      </c>
      <c r="EA35" s="238" t="str">
        <f t="shared" si="94"/>
        <v>330506</v>
      </c>
      <c r="EC35" s="238" t="str">
        <f t="shared" si="95"/>
        <v>330601</v>
      </c>
      <c r="ED35" s="238" t="str">
        <f t="shared" si="95"/>
        <v>330602</v>
      </c>
      <c r="EE35" s="238" t="str">
        <f t="shared" si="95"/>
        <v>330603</v>
      </c>
      <c r="EF35" s="238" t="str">
        <f t="shared" si="95"/>
        <v>330604</v>
      </c>
      <c r="EG35" s="238" t="str">
        <f t="shared" si="95"/>
        <v>330605</v>
      </c>
      <c r="EH35" s="238" t="str">
        <f t="shared" si="95"/>
        <v>330606</v>
      </c>
      <c r="EJ35" s="238" t="str">
        <f t="shared" si="96"/>
        <v>330701</v>
      </c>
      <c r="EK35" s="238" t="str">
        <f t="shared" si="96"/>
        <v>330702</v>
      </c>
      <c r="EL35" s="238" t="str">
        <f t="shared" si="96"/>
        <v>330703</v>
      </c>
      <c r="EM35" s="238" t="str">
        <f t="shared" si="96"/>
        <v>330704</v>
      </c>
      <c r="EN35" s="238" t="str">
        <f t="shared" si="96"/>
        <v>330705</v>
      </c>
      <c r="EO35" s="238" t="str">
        <f t="shared" si="96"/>
        <v>330706</v>
      </c>
      <c r="EQ35" s="238" t="str">
        <f t="shared" si="97"/>
        <v>330801</v>
      </c>
      <c r="ER35" s="238" t="str">
        <f t="shared" si="97"/>
        <v>330802</v>
      </c>
      <c r="ES35" s="238" t="str">
        <f t="shared" si="97"/>
        <v>330803</v>
      </c>
      <c r="ET35" s="238" t="str">
        <f t="shared" si="97"/>
        <v>330804</v>
      </c>
      <c r="EU35" s="238" t="str">
        <f t="shared" si="97"/>
        <v>330805</v>
      </c>
      <c r="EV35" s="238" t="str">
        <f t="shared" si="97"/>
        <v>330806</v>
      </c>
      <c r="EX35" s="238" t="str">
        <f t="shared" si="98"/>
        <v>330901</v>
      </c>
      <c r="EY35" s="238" t="str">
        <f t="shared" si="98"/>
        <v>330902</v>
      </c>
      <c r="EZ35" s="238" t="str">
        <f t="shared" si="98"/>
        <v>330903</v>
      </c>
      <c r="FA35" s="238" t="str">
        <f t="shared" si="98"/>
        <v>330904</v>
      </c>
      <c r="FB35" s="238" t="str">
        <f t="shared" si="98"/>
        <v>330905</v>
      </c>
      <c r="FC35" s="238" t="str">
        <f t="shared" si="98"/>
        <v>330906</v>
      </c>
      <c r="FE35" s="238" t="str">
        <f t="shared" si="99"/>
        <v>331001</v>
      </c>
      <c r="FF35" s="238" t="str">
        <f t="shared" si="99"/>
        <v>331002</v>
      </c>
      <c r="FG35" s="238" t="str">
        <f t="shared" si="99"/>
        <v>331003</v>
      </c>
      <c r="FH35" s="238" t="str">
        <f t="shared" si="99"/>
        <v>331004</v>
      </c>
      <c r="FI35" s="238" t="str">
        <f t="shared" si="99"/>
        <v>331005</v>
      </c>
      <c r="FJ35" s="238" t="str">
        <f t="shared" si="99"/>
        <v>331006</v>
      </c>
    </row>
    <row r="36" spans="2:166">
      <c r="B36" s="58" t="str">
        <f t="shared" si="67"/>
        <v>34</v>
      </c>
      <c r="C36" s="243"/>
      <c r="D36" s="251">
        <f t="shared" ca="1" si="68"/>
        <v>0</v>
      </c>
      <c r="E36" s="240">
        <f t="shared" ca="1" si="69"/>
        <v>0</v>
      </c>
      <c r="F36" s="240">
        <f t="shared" ca="1" si="70"/>
        <v>0</v>
      </c>
      <c r="G36" s="242">
        <f t="shared" ca="1" si="71"/>
        <v>0</v>
      </c>
      <c r="H36" s="240">
        <f t="shared" ca="1" si="72"/>
        <v>0</v>
      </c>
      <c r="I36" s="241">
        <f t="shared" ca="1" si="73"/>
        <v>0</v>
      </c>
      <c r="J36" s="18" t="str">
        <f t="shared" si="74"/>
        <v>34</v>
      </c>
      <c r="K36" s="251">
        <f t="shared" ca="1" si="75"/>
        <v>0</v>
      </c>
      <c r="L36" s="240">
        <f t="shared" ca="1" si="18"/>
        <v>0</v>
      </c>
      <c r="M36" s="240">
        <f t="shared" ca="1" si="19"/>
        <v>0</v>
      </c>
      <c r="N36" s="242">
        <f t="shared" ca="1" si="20"/>
        <v>0</v>
      </c>
      <c r="O36" s="240">
        <f t="shared" ca="1" si="21"/>
        <v>0</v>
      </c>
      <c r="P36" s="241">
        <f t="shared" ca="1" si="22"/>
        <v>0</v>
      </c>
      <c r="Q36" s="18" t="str">
        <f t="shared" si="76"/>
        <v>34</v>
      </c>
      <c r="R36" s="251">
        <f t="shared" ca="1" si="77"/>
        <v>0</v>
      </c>
      <c r="S36" s="240">
        <f t="shared" ca="1" si="23"/>
        <v>0</v>
      </c>
      <c r="T36" s="240">
        <f t="shared" ca="1" si="24"/>
        <v>0</v>
      </c>
      <c r="U36" s="242">
        <f t="shared" ca="1" si="25"/>
        <v>0</v>
      </c>
      <c r="V36" s="240">
        <f t="shared" ca="1" si="26"/>
        <v>0</v>
      </c>
      <c r="W36" s="241">
        <f t="shared" ca="1" si="27"/>
        <v>0</v>
      </c>
      <c r="X36" s="18" t="str">
        <f t="shared" si="78"/>
        <v>34</v>
      </c>
      <c r="Y36" s="251">
        <f t="shared" ca="1" si="79"/>
        <v>0</v>
      </c>
      <c r="Z36" s="240">
        <f t="shared" ca="1" si="28"/>
        <v>0</v>
      </c>
      <c r="AA36" s="240">
        <f t="shared" ca="1" si="29"/>
        <v>0</v>
      </c>
      <c r="AB36" s="242">
        <f t="shared" ca="1" si="30"/>
        <v>0</v>
      </c>
      <c r="AC36" s="240">
        <f t="shared" ca="1" si="31"/>
        <v>0</v>
      </c>
      <c r="AD36" s="241">
        <f t="shared" ca="1" si="32"/>
        <v>0</v>
      </c>
      <c r="AE36" s="18" t="str">
        <f t="shared" si="80"/>
        <v>34</v>
      </c>
      <c r="AF36" s="251">
        <f t="shared" ca="1" si="81"/>
        <v>0</v>
      </c>
      <c r="AG36" s="240">
        <f t="shared" ca="1" si="33"/>
        <v>0</v>
      </c>
      <c r="AH36" s="240">
        <f t="shared" ca="1" si="34"/>
        <v>0</v>
      </c>
      <c r="AI36" s="242">
        <f t="shared" ca="1" si="35"/>
        <v>0</v>
      </c>
      <c r="AJ36" s="240">
        <f t="shared" ca="1" si="36"/>
        <v>0</v>
      </c>
      <c r="AK36" s="241">
        <f t="shared" ca="1" si="37"/>
        <v>0</v>
      </c>
      <c r="AL36" s="18" t="str">
        <f t="shared" si="82"/>
        <v>34</v>
      </c>
      <c r="AM36" s="251">
        <f t="shared" ca="1" si="83"/>
        <v>0</v>
      </c>
      <c r="AN36" s="240">
        <f t="shared" ca="1" si="38"/>
        <v>0</v>
      </c>
      <c r="AO36" s="240">
        <f t="shared" ca="1" si="39"/>
        <v>0</v>
      </c>
      <c r="AP36" s="242">
        <f t="shared" ca="1" si="40"/>
        <v>0</v>
      </c>
      <c r="AQ36" s="240">
        <f t="shared" ca="1" si="41"/>
        <v>0</v>
      </c>
      <c r="AR36" s="241">
        <f t="shared" ca="1" si="42"/>
        <v>0</v>
      </c>
      <c r="AS36" s="18" t="str">
        <f t="shared" si="84"/>
        <v>34</v>
      </c>
      <c r="AT36" s="251">
        <f t="shared" ca="1" si="85"/>
        <v>0</v>
      </c>
      <c r="AU36" s="240">
        <f t="shared" ca="1" si="43"/>
        <v>0</v>
      </c>
      <c r="AV36" s="240">
        <f t="shared" ca="1" si="44"/>
        <v>0</v>
      </c>
      <c r="AW36" s="242" t="str">
        <f t="shared" ca="1" si="45"/>
        <v>17e</v>
      </c>
      <c r="AX36" s="240" t="str">
        <f t="shared" ca="1" si="46"/>
        <v>14e</v>
      </c>
      <c r="AY36" s="241" t="str">
        <f t="shared" ca="1" si="47"/>
        <v>10e</v>
      </c>
      <c r="AZ36" s="18" t="str">
        <f t="shared" si="86"/>
        <v>34</v>
      </c>
      <c r="BA36" s="251">
        <f t="shared" ca="1" si="87"/>
        <v>0</v>
      </c>
      <c r="BB36" s="240" t="str">
        <f t="shared" ca="1" si="48"/>
        <v>34e</v>
      </c>
      <c r="BC36" s="240">
        <f t="shared" ca="1" si="49"/>
        <v>0</v>
      </c>
      <c r="BD36" s="242" t="str">
        <f t="shared" ca="1" si="50"/>
        <v>18e</v>
      </c>
      <c r="BE36" s="240" t="str">
        <f t="shared" ca="1" si="51"/>
        <v>14e</v>
      </c>
      <c r="BF36" s="241">
        <f t="shared" ca="1" si="52"/>
        <v>0</v>
      </c>
      <c r="BG36" s="18" t="str">
        <f t="shared" si="88"/>
        <v>34</v>
      </c>
      <c r="BH36" s="251">
        <f t="shared" ca="1" si="89"/>
        <v>0</v>
      </c>
      <c r="BI36" s="240">
        <f t="shared" ca="1" si="53"/>
        <v>0</v>
      </c>
      <c r="BJ36" s="240">
        <f t="shared" ca="1" si="54"/>
        <v>0</v>
      </c>
      <c r="BK36" s="242">
        <f t="shared" ca="1" si="55"/>
        <v>0</v>
      </c>
      <c r="BL36" s="240">
        <f t="shared" ca="1" si="56"/>
        <v>0</v>
      </c>
      <c r="BM36" s="241">
        <f t="shared" ca="1" si="57"/>
        <v>0</v>
      </c>
      <c r="CA36" s="16">
        <f t="shared" ca="1" si="8"/>
        <v>69</v>
      </c>
      <c r="CB36" s="16">
        <f t="shared" ca="1" si="9"/>
        <v>60</v>
      </c>
      <c r="CC36" s="16">
        <f t="shared" ca="1" si="10"/>
        <v>26</v>
      </c>
      <c r="CD36" s="16" t="str">
        <f t="shared" ca="1" si="11"/>
        <v>Intro!E</v>
      </c>
      <c r="CE36" s="16">
        <f t="shared" ca="1" si="12"/>
        <v>60</v>
      </c>
      <c r="CF36" s="16" t="str">
        <f t="shared" ca="1" si="13"/>
        <v>Intro!E60</v>
      </c>
      <c r="CH36" s="16" t="str">
        <f t="shared" ca="1" si="14"/>
        <v>Intro!E60:F86</v>
      </c>
      <c r="CI36" s="16" t="str">
        <f t="shared" ca="1" si="15"/>
        <v>100302_10e</v>
      </c>
      <c r="CJ36" s="16" t="str">
        <f t="shared" ca="1" si="6"/>
        <v>100302</v>
      </c>
      <c r="CK36" s="16">
        <f t="shared" ca="1" si="0"/>
        <v>3</v>
      </c>
      <c r="CL36" s="16">
        <f t="shared" ca="1" si="1"/>
        <v>10</v>
      </c>
      <c r="CM36" s="16">
        <f t="shared" ca="1" si="2"/>
        <v>2</v>
      </c>
      <c r="CN36" s="16">
        <f t="shared" ca="1" si="3"/>
        <v>10</v>
      </c>
      <c r="CO36" s="16" t="str">
        <f t="shared" ca="1" si="16"/>
        <v>e</v>
      </c>
      <c r="CY36" s="19" t="str">
        <f t="shared" si="90"/>
        <v>34</v>
      </c>
      <c r="DA36" s="238" t="str">
        <f t="shared" si="91"/>
        <v>340201</v>
      </c>
      <c r="DB36" s="238" t="str">
        <f t="shared" si="91"/>
        <v>340202</v>
      </c>
      <c r="DC36" s="238" t="str">
        <f t="shared" si="91"/>
        <v>340203</v>
      </c>
      <c r="DD36" s="238" t="str">
        <f t="shared" si="91"/>
        <v>340204</v>
      </c>
      <c r="DE36" s="238" t="str">
        <f t="shared" si="91"/>
        <v>340251</v>
      </c>
      <c r="DF36" s="238" t="str">
        <f t="shared" si="91"/>
        <v>340206</v>
      </c>
      <c r="DH36" s="238" t="str">
        <f t="shared" si="92"/>
        <v>340301</v>
      </c>
      <c r="DI36" s="238" t="str">
        <f t="shared" si="92"/>
        <v>340302</v>
      </c>
      <c r="DJ36" s="238" t="str">
        <f t="shared" si="92"/>
        <v>340303</v>
      </c>
      <c r="DK36" s="238" t="str">
        <f t="shared" si="92"/>
        <v>340304</v>
      </c>
      <c r="DL36" s="238" t="str">
        <f t="shared" si="92"/>
        <v>340305</v>
      </c>
      <c r="DM36" s="238" t="str">
        <f t="shared" si="92"/>
        <v>340306</v>
      </c>
      <c r="DO36" s="238" t="str">
        <f t="shared" si="93"/>
        <v>340401</v>
      </c>
      <c r="DP36" s="238" t="str">
        <f t="shared" si="93"/>
        <v>340402</v>
      </c>
      <c r="DQ36" s="238" t="str">
        <f t="shared" si="93"/>
        <v>340403</v>
      </c>
      <c r="DR36" s="238" t="str">
        <f t="shared" si="93"/>
        <v>340404</v>
      </c>
      <c r="DS36" s="238" t="str">
        <f t="shared" si="93"/>
        <v>340405</v>
      </c>
      <c r="DT36" s="238" t="str">
        <f t="shared" si="93"/>
        <v>340406</v>
      </c>
      <c r="DV36" s="238" t="str">
        <f t="shared" si="94"/>
        <v>340501</v>
      </c>
      <c r="DW36" s="238" t="str">
        <f t="shared" si="94"/>
        <v>340502</v>
      </c>
      <c r="DX36" s="238" t="str">
        <f t="shared" si="94"/>
        <v>340503</v>
      </c>
      <c r="DY36" s="238" t="str">
        <f t="shared" si="94"/>
        <v>340504</v>
      </c>
      <c r="DZ36" s="238" t="str">
        <f t="shared" si="94"/>
        <v>340505</v>
      </c>
      <c r="EA36" s="238" t="str">
        <f t="shared" si="94"/>
        <v>340506</v>
      </c>
      <c r="EC36" s="238" t="str">
        <f t="shared" si="95"/>
        <v>340601</v>
      </c>
      <c r="ED36" s="238" t="str">
        <f t="shared" si="95"/>
        <v>340602</v>
      </c>
      <c r="EE36" s="238" t="str">
        <f t="shared" si="95"/>
        <v>340603</v>
      </c>
      <c r="EF36" s="238" t="str">
        <f t="shared" si="95"/>
        <v>340604</v>
      </c>
      <c r="EG36" s="238" t="str">
        <f t="shared" si="95"/>
        <v>340605</v>
      </c>
      <c r="EH36" s="238" t="str">
        <f t="shared" si="95"/>
        <v>340606</v>
      </c>
      <c r="EJ36" s="238" t="str">
        <f t="shared" si="96"/>
        <v>340701</v>
      </c>
      <c r="EK36" s="238" t="str">
        <f t="shared" si="96"/>
        <v>340702</v>
      </c>
      <c r="EL36" s="238" t="str">
        <f t="shared" si="96"/>
        <v>340703</v>
      </c>
      <c r="EM36" s="238" t="str">
        <f t="shared" si="96"/>
        <v>340704</v>
      </c>
      <c r="EN36" s="238" t="str">
        <f t="shared" si="96"/>
        <v>340705</v>
      </c>
      <c r="EO36" s="238" t="str">
        <f t="shared" si="96"/>
        <v>340706</v>
      </c>
      <c r="EQ36" s="238" t="str">
        <f t="shared" si="97"/>
        <v>340801</v>
      </c>
      <c r="ER36" s="238" t="str">
        <f t="shared" si="97"/>
        <v>340802</v>
      </c>
      <c r="ES36" s="238" t="str">
        <f t="shared" si="97"/>
        <v>340803</v>
      </c>
      <c r="ET36" s="238" t="str">
        <f t="shared" si="97"/>
        <v>340804</v>
      </c>
      <c r="EU36" s="238" t="str">
        <f t="shared" si="97"/>
        <v>340805</v>
      </c>
      <c r="EV36" s="238" t="str">
        <f t="shared" si="97"/>
        <v>340806</v>
      </c>
      <c r="EX36" s="238" t="str">
        <f t="shared" si="98"/>
        <v>340901</v>
      </c>
      <c r="EY36" s="238" t="str">
        <f t="shared" si="98"/>
        <v>340902</v>
      </c>
      <c r="EZ36" s="238" t="str">
        <f t="shared" si="98"/>
        <v>340903</v>
      </c>
      <c r="FA36" s="238" t="str">
        <f t="shared" si="98"/>
        <v>340904</v>
      </c>
      <c r="FB36" s="238" t="str">
        <f t="shared" si="98"/>
        <v>340905</v>
      </c>
      <c r="FC36" s="238" t="str">
        <f t="shared" si="98"/>
        <v>340906</v>
      </c>
      <c r="FE36" s="238" t="str">
        <f t="shared" si="99"/>
        <v>341001</v>
      </c>
      <c r="FF36" s="238" t="str">
        <f t="shared" si="99"/>
        <v>341002</v>
      </c>
      <c r="FG36" s="238" t="str">
        <f t="shared" si="99"/>
        <v>341003</v>
      </c>
      <c r="FH36" s="238" t="str">
        <f t="shared" si="99"/>
        <v>341004</v>
      </c>
      <c r="FI36" s="238" t="str">
        <f t="shared" si="99"/>
        <v>341005</v>
      </c>
      <c r="FJ36" s="238" t="str">
        <f t="shared" si="99"/>
        <v>341006</v>
      </c>
    </row>
    <row r="37" spans="2:166">
      <c r="B37" s="58" t="str">
        <f t="shared" si="67"/>
        <v>35</v>
      </c>
      <c r="C37" s="243"/>
      <c r="D37" s="251">
        <f t="shared" ca="1" si="68"/>
        <v>0</v>
      </c>
      <c r="E37" s="240">
        <f t="shared" ca="1" si="69"/>
        <v>0</v>
      </c>
      <c r="F37" s="240">
        <f t="shared" ca="1" si="70"/>
        <v>0</v>
      </c>
      <c r="G37" s="242">
        <f t="shared" ca="1" si="71"/>
        <v>0</v>
      </c>
      <c r="H37" s="240">
        <f t="shared" ca="1" si="72"/>
        <v>0</v>
      </c>
      <c r="I37" s="241">
        <f t="shared" ca="1" si="73"/>
        <v>0</v>
      </c>
      <c r="J37" s="18" t="str">
        <f t="shared" si="74"/>
        <v>35</v>
      </c>
      <c r="K37" s="251">
        <f t="shared" ca="1" si="75"/>
        <v>0</v>
      </c>
      <c r="L37" s="240">
        <f t="shared" ca="1" si="18"/>
        <v>0</v>
      </c>
      <c r="M37" s="240">
        <f t="shared" ca="1" si="19"/>
        <v>0</v>
      </c>
      <c r="N37" s="242">
        <f t="shared" ca="1" si="20"/>
        <v>0</v>
      </c>
      <c r="O37" s="240">
        <f t="shared" ca="1" si="21"/>
        <v>0</v>
      </c>
      <c r="P37" s="241">
        <f t="shared" ca="1" si="22"/>
        <v>0</v>
      </c>
      <c r="Q37" s="18" t="str">
        <f t="shared" si="76"/>
        <v>35</v>
      </c>
      <c r="R37" s="251">
        <f t="shared" ca="1" si="77"/>
        <v>0</v>
      </c>
      <c r="S37" s="240">
        <f t="shared" ca="1" si="23"/>
        <v>0</v>
      </c>
      <c r="T37" s="240">
        <f t="shared" ca="1" si="24"/>
        <v>0</v>
      </c>
      <c r="U37" s="242">
        <f t="shared" ca="1" si="25"/>
        <v>0</v>
      </c>
      <c r="V37" s="240">
        <f t="shared" ca="1" si="26"/>
        <v>0</v>
      </c>
      <c r="W37" s="241">
        <f t="shared" ca="1" si="27"/>
        <v>0</v>
      </c>
      <c r="X37" s="18" t="str">
        <f t="shared" si="78"/>
        <v>35</v>
      </c>
      <c r="Y37" s="251">
        <f t="shared" ca="1" si="79"/>
        <v>0</v>
      </c>
      <c r="Z37" s="240">
        <f t="shared" ca="1" si="28"/>
        <v>0</v>
      </c>
      <c r="AA37" s="240">
        <f t="shared" ca="1" si="29"/>
        <v>0</v>
      </c>
      <c r="AB37" s="242">
        <f t="shared" ca="1" si="30"/>
        <v>0</v>
      </c>
      <c r="AC37" s="240">
        <f t="shared" ca="1" si="31"/>
        <v>0</v>
      </c>
      <c r="AD37" s="241">
        <f t="shared" ca="1" si="32"/>
        <v>0</v>
      </c>
      <c r="AE37" s="18" t="str">
        <f t="shared" si="80"/>
        <v>35</v>
      </c>
      <c r="AF37" s="251">
        <f t="shared" ca="1" si="81"/>
        <v>0</v>
      </c>
      <c r="AG37" s="240">
        <f t="shared" ca="1" si="33"/>
        <v>0</v>
      </c>
      <c r="AH37" s="240">
        <f t="shared" ca="1" si="34"/>
        <v>0</v>
      </c>
      <c r="AI37" s="242">
        <f t="shared" ca="1" si="35"/>
        <v>0</v>
      </c>
      <c r="AJ37" s="240">
        <f t="shared" ca="1" si="36"/>
        <v>0</v>
      </c>
      <c r="AK37" s="241">
        <f t="shared" ca="1" si="37"/>
        <v>0</v>
      </c>
      <c r="AL37" s="18" t="str">
        <f t="shared" si="82"/>
        <v>35</v>
      </c>
      <c r="AM37" s="251">
        <f t="shared" ca="1" si="83"/>
        <v>0</v>
      </c>
      <c r="AN37" s="240">
        <f t="shared" ca="1" si="38"/>
        <v>0</v>
      </c>
      <c r="AO37" s="240">
        <f t="shared" ca="1" si="39"/>
        <v>0</v>
      </c>
      <c r="AP37" s="242">
        <f t="shared" ca="1" si="40"/>
        <v>0</v>
      </c>
      <c r="AQ37" s="240">
        <f t="shared" ca="1" si="41"/>
        <v>0</v>
      </c>
      <c r="AR37" s="241">
        <f t="shared" ca="1" si="42"/>
        <v>0</v>
      </c>
      <c r="AS37" s="18" t="str">
        <f t="shared" si="84"/>
        <v>35</v>
      </c>
      <c r="AT37" s="251">
        <f t="shared" ca="1" si="85"/>
        <v>0</v>
      </c>
      <c r="AU37" s="240">
        <f t="shared" ca="1" si="43"/>
        <v>0</v>
      </c>
      <c r="AV37" s="240">
        <f t="shared" ca="1" si="44"/>
        <v>0</v>
      </c>
      <c r="AW37" s="242">
        <f t="shared" ca="1" si="45"/>
        <v>0</v>
      </c>
      <c r="AX37" s="240">
        <f t="shared" ca="1" si="46"/>
        <v>0</v>
      </c>
      <c r="AY37" s="241">
        <f t="shared" ca="1" si="47"/>
        <v>0</v>
      </c>
      <c r="AZ37" s="18" t="str">
        <f t="shared" si="86"/>
        <v>35</v>
      </c>
      <c r="BA37" s="251">
        <f t="shared" ca="1" si="87"/>
        <v>0</v>
      </c>
      <c r="BB37" s="240" t="str">
        <f t="shared" ca="1" si="48"/>
        <v>34e</v>
      </c>
      <c r="BC37" s="240">
        <f t="shared" ca="1" si="49"/>
        <v>0</v>
      </c>
      <c r="BD37" s="242">
        <f t="shared" ca="1" si="50"/>
        <v>0</v>
      </c>
      <c r="BE37" s="240">
        <f t="shared" ca="1" si="51"/>
        <v>0</v>
      </c>
      <c r="BF37" s="241">
        <f t="shared" ca="1" si="52"/>
        <v>0</v>
      </c>
      <c r="BG37" s="18" t="str">
        <f t="shared" si="88"/>
        <v>35</v>
      </c>
      <c r="BH37" s="251">
        <f t="shared" ca="1" si="89"/>
        <v>0</v>
      </c>
      <c r="BI37" s="240">
        <f t="shared" ca="1" si="53"/>
        <v>0</v>
      </c>
      <c r="BJ37" s="240">
        <f t="shared" ca="1" si="54"/>
        <v>0</v>
      </c>
      <c r="BK37" s="242">
        <f t="shared" ca="1" si="55"/>
        <v>0</v>
      </c>
      <c r="BL37" s="240">
        <f t="shared" ca="1" si="56"/>
        <v>0</v>
      </c>
      <c r="BM37" s="241">
        <f t="shared" ca="1" si="57"/>
        <v>0</v>
      </c>
      <c r="CA37" s="16">
        <f t="shared" ca="1" si="8"/>
        <v>69</v>
      </c>
      <c r="CB37" s="16">
        <f t="shared" ca="1" si="9"/>
        <v>61</v>
      </c>
      <c r="CC37" s="16">
        <f t="shared" ca="1" si="10"/>
        <v>25</v>
      </c>
      <c r="CD37" s="16" t="str">
        <f t="shared" ca="1" si="11"/>
        <v>Intro!E</v>
      </c>
      <c r="CE37" s="16">
        <f t="shared" ca="1" si="12"/>
        <v>61</v>
      </c>
      <c r="CF37" s="16" t="str">
        <f t="shared" ca="1" si="13"/>
        <v>Intro!E61</v>
      </c>
      <c r="CH37" s="16" t="str">
        <f t="shared" ca="1" si="14"/>
        <v>Intro!E61:F86</v>
      </c>
      <c r="CI37" s="16" t="str">
        <f t="shared" ca="1" si="15"/>
        <v>110301_19c</v>
      </c>
      <c r="CJ37" s="16" t="str">
        <f t="shared" ca="1" si="6"/>
        <v>110301</v>
      </c>
      <c r="CK37" s="16">
        <f t="shared" ca="1" si="0"/>
        <v>3</v>
      </c>
      <c r="CL37" s="16">
        <f t="shared" ca="1" si="1"/>
        <v>11</v>
      </c>
      <c r="CM37" s="16">
        <f t="shared" ca="1" si="2"/>
        <v>1</v>
      </c>
      <c r="CN37" s="16">
        <f t="shared" ca="1" si="3"/>
        <v>19</v>
      </c>
      <c r="CO37" s="16" t="str">
        <f t="shared" ca="1" si="16"/>
        <v>c</v>
      </c>
      <c r="CY37" s="19" t="str">
        <f t="shared" si="90"/>
        <v>35</v>
      </c>
      <c r="DA37" s="238" t="str">
        <f t="shared" si="91"/>
        <v>350201</v>
      </c>
      <c r="DB37" s="238" t="str">
        <f t="shared" si="91"/>
        <v>350202</v>
      </c>
      <c r="DC37" s="238" t="str">
        <f t="shared" si="91"/>
        <v>350203</v>
      </c>
      <c r="DD37" s="238" t="str">
        <f t="shared" si="91"/>
        <v>350204</v>
      </c>
      <c r="DE37" s="238" t="str">
        <f t="shared" si="91"/>
        <v>350251</v>
      </c>
      <c r="DF37" s="238" t="str">
        <f t="shared" si="91"/>
        <v>350206</v>
      </c>
      <c r="DH37" s="238" t="str">
        <f t="shared" si="92"/>
        <v>350301</v>
      </c>
      <c r="DI37" s="238" t="str">
        <f t="shared" si="92"/>
        <v>350302</v>
      </c>
      <c r="DJ37" s="238" t="str">
        <f t="shared" si="92"/>
        <v>350303</v>
      </c>
      <c r="DK37" s="238" t="str">
        <f t="shared" si="92"/>
        <v>350304</v>
      </c>
      <c r="DL37" s="238" t="str">
        <f t="shared" si="92"/>
        <v>350305</v>
      </c>
      <c r="DM37" s="238" t="str">
        <f t="shared" si="92"/>
        <v>350306</v>
      </c>
      <c r="DO37" s="238" t="str">
        <f t="shared" si="93"/>
        <v>350401</v>
      </c>
      <c r="DP37" s="238" t="str">
        <f t="shared" si="93"/>
        <v>350402</v>
      </c>
      <c r="DQ37" s="238" t="str">
        <f t="shared" si="93"/>
        <v>350403</v>
      </c>
      <c r="DR37" s="238" t="str">
        <f t="shared" si="93"/>
        <v>350404</v>
      </c>
      <c r="DS37" s="238" t="str">
        <f t="shared" si="93"/>
        <v>350405</v>
      </c>
      <c r="DT37" s="238" t="str">
        <f t="shared" si="93"/>
        <v>350406</v>
      </c>
      <c r="DV37" s="238" t="str">
        <f t="shared" si="94"/>
        <v>350501</v>
      </c>
      <c r="DW37" s="238" t="str">
        <f t="shared" si="94"/>
        <v>350502</v>
      </c>
      <c r="DX37" s="238" t="str">
        <f t="shared" si="94"/>
        <v>350503</v>
      </c>
      <c r="DY37" s="238" t="str">
        <f t="shared" si="94"/>
        <v>350504</v>
      </c>
      <c r="DZ37" s="238" t="str">
        <f t="shared" si="94"/>
        <v>350505</v>
      </c>
      <c r="EA37" s="238" t="str">
        <f t="shared" si="94"/>
        <v>350506</v>
      </c>
      <c r="EC37" s="238" t="str">
        <f t="shared" si="95"/>
        <v>350601</v>
      </c>
      <c r="ED37" s="238" t="str">
        <f t="shared" si="95"/>
        <v>350602</v>
      </c>
      <c r="EE37" s="238" t="str">
        <f t="shared" si="95"/>
        <v>350603</v>
      </c>
      <c r="EF37" s="238" t="str">
        <f t="shared" si="95"/>
        <v>350604</v>
      </c>
      <c r="EG37" s="238" t="str">
        <f t="shared" si="95"/>
        <v>350605</v>
      </c>
      <c r="EH37" s="238" t="str">
        <f t="shared" si="95"/>
        <v>350606</v>
      </c>
      <c r="EJ37" s="238" t="str">
        <f t="shared" si="96"/>
        <v>350701</v>
      </c>
      <c r="EK37" s="238" t="str">
        <f t="shared" si="96"/>
        <v>350702</v>
      </c>
      <c r="EL37" s="238" t="str">
        <f t="shared" si="96"/>
        <v>350703</v>
      </c>
      <c r="EM37" s="238" t="str">
        <f t="shared" si="96"/>
        <v>350704</v>
      </c>
      <c r="EN37" s="238" t="str">
        <f t="shared" si="96"/>
        <v>350705</v>
      </c>
      <c r="EO37" s="238" t="str">
        <f t="shared" si="96"/>
        <v>350706</v>
      </c>
      <c r="EQ37" s="238" t="str">
        <f t="shared" si="97"/>
        <v>350801</v>
      </c>
      <c r="ER37" s="238" t="str">
        <f t="shared" si="97"/>
        <v>350802</v>
      </c>
      <c r="ES37" s="238" t="str">
        <f t="shared" si="97"/>
        <v>350803</v>
      </c>
      <c r="ET37" s="238" t="str">
        <f t="shared" si="97"/>
        <v>350804</v>
      </c>
      <c r="EU37" s="238" t="str">
        <f t="shared" si="97"/>
        <v>350805</v>
      </c>
      <c r="EV37" s="238" t="str">
        <f t="shared" si="97"/>
        <v>350806</v>
      </c>
      <c r="EX37" s="238" t="str">
        <f t="shared" si="98"/>
        <v>350901</v>
      </c>
      <c r="EY37" s="238" t="str">
        <f t="shared" si="98"/>
        <v>350902</v>
      </c>
      <c r="EZ37" s="238" t="str">
        <f t="shared" si="98"/>
        <v>350903</v>
      </c>
      <c r="FA37" s="238" t="str">
        <f t="shared" si="98"/>
        <v>350904</v>
      </c>
      <c r="FB37" s="238" t="str">
        <f t="shared" si="98"/>
        <v>350905</v>
      </c>
      <c r="FC37" s="238" t="str">
        <f t="shared" si="98"/>
        <v>350906</v>
      </c>
      <c r="FE37" s="238" t="str">
        <f t="shared" si="99"/>
        <v>351001</v>
      </c>
      <c r="FF37" s="238" t="str">
        <f t="shared" si="99"/>
        <v>351002</v>
      </c>
      <c r="FG37" s="238" t="str">
        <f t="shared" si="99"/>
        <v>351003</v>
      </c>
      <c r="FH37" s="238" t="str">
        <f t="shared" si="99"/>
        <v>351004</v>
      </c>
      <c r="FI37" s="238" t="str">
        <f t="shared" si="99"/>
        <v>351005</v>
      </c>
      <c r="FJ37" s="238" t="str">
        <f t="shared" si="99"/>
        <v>351006</v>
      </c>
    </row>
    <row r="38" spans="2:166">
      <c r="B38" s="58" t="str">
        <f t="shared" si="67"/>
        <v>36</v>
      </c>
      <c r="C38" s="243"/>
      <c r="D38" s="251">
        <f t="shared" ca="1" si="68"/>
        <v>0</v>
      </c>
      <c r="E38" s="240">
        <f t="shared" ca="1" si="69"/>
        <v>0</v>
      </c>
      <c r="F38" s="240">
        <f t="shared" ca="1" si="70"/>
        <v>0</v>
      </c>
      <c r="G38" s="242">
        <f t="shared" ca="1" si="71"/>
        <v>0</v>
      </c>
      <c r="H38" s="240">
        <f t="shared" ca="1" si="72"/>
        <v>0</v>
      </c>
      <c r="I38" s="241">
        <f t="shared" ca="1" si="73"/>
        <v>0</v>
      </c>
      <c r="J38" s="18" t="str">
        <f t="shared" si="74"/>
        <v>36</v>
      </c>
      <c r="K38" s="251">
        <f t="shared" ca="1" si="75"/>
        <v>0</v>
      </c>
      <c r="L38" s="240">
        <f t="shared" ca="1" si="18"/>
        <v>0</v>
      </c>
      <c r="M38" s="240">
        <f t="shared" ca="1" si="19"/>
        <v>0</v>
      </c>
      <c r="N38" s="242">
        <f t="shared" ca="1" si="20"/>
        <v>0</v>
      </c>
      <c r="O38" s="240">
        <f t="shared" ca="1" si="21"/>
        <v>0</v>
      </c>
      <c r="P38" s="241">
        <f t="shared" ca="1" si="22"/>
        <v>0</v>
      </c>
      <c r="Q38" s="18" t="str">
        <f t="shared" si="76"/>
        <v>36</v>
      </c>
      <c r="R38" s="251">
        <f t="shared" ca="1" si="77"/>
        <v>0</v>
      </c>
      <c r="S38" s="240">
        <f t="shared" ca="1" si="23"/>
        <v>0</v>
      </c>
      <c r="T38" s="240">
        <f t="shared" ca="1" si="24"/>
        <v>0</v>
      </c>
      <c r="U38" s="242">
        <f t="shared" ca="1" si="25"/>
        <v>0</v>
      </c>
      <c r="V38" s="240">
        <f t="shared" ca="1" si="26"/>
        <v>0</v>
      </c>
      <c r="W38" s="241">
        <f t="shared" ca="1" si="27"/>
        <v>0</v>
      </c>
      <c r="X38" s="18" t="str">
        <f t="shared" si="78"/>
        <v>36</v>
      </c>
      <c r="Y38" s="251">
        <f t="shared" ca="1" si="79"/>
        <v>0</v>
      </c>
      <c r="Z38" s="240">
        <f t="shared" ca="1" si="28"/>
        <v>0</v>
      </c>
      <c r="AA38" s="240">
        <f t="shared" ca="1" si="29"/>
        <v>0</v>
      </c>
      <c r="AB38" s="242">
        <f t="shared" ca="1" si="30"/>
        <v>0</v>
      </c>
      <c r="AC38" s="240">
        <f t="shared" ca="1" si="31"/>
        <v>0</v>
      </c>
      <c r="AD38" s="241">
        <f t="shared" ca="1" si="32"/>
        <v>0</v>
      </c>
      <c r="AE38" s="18" t="str">
        <f t="shared" si="80"/>
        <v>36</v>
      </c>
      <c r="AF38" s="251">
        <f t="shared" ca="1" si="81"/>
        <v>0</v>
      </c>
      <c r="AG38" s="240">
        <f t="shared" ca="1" si="33"/>
        <v>0</v>
      </c>
      <c r="AH38" s="240">
        <f t="shared" ca="1" si="34"/>
        <v>0</v>
      </c>
      <c r="AI38" s="242">
        <f t="shared" ca="1" si="35"/>
        <v>0</v>
      </c>
      <c r="AJ38" s="240">
        <f t="shared" ca="1" si="36"/>
        <v>0</v>
      </c>
      <c r="AK38" s="241">
        <f t="shared" ca="1" si="37"/>
        <v>0</v>
      </c>
      <c r="AL38" s="18" t="str">
        <f t="shared" si="82"/>
        <v>36</v>
      </c>
      <c r="AM38" s="251">
        <f t="shared" ca="1" si="83"/>
        <v>0</v>
      </c>
      <c r="AN38" s="240">
        <f t="shared" ca="1" si="38"/>
        <v>0</v>
      </c>
      <c r="AO38" s="240">
        <f t="shared" ca="1" si="39"/>
        <v>0</v>
      </c>
      <c r="AP38" s="242">
        <f t="shared" ca="1" si="40"/>
        <v>0</v>
      </c>
      <c r="AQ38" s="240">
        <f t="shared" ca="1" si="41"/>
        <v>0</v>
      </c>
      <c r="AR38" s="241">
        <f t="shared" ca="1" si="42"/>
        <v>0</v>
      </c>
      <c r="AS38" s="18" t="str">
        <f t="shared" si="84"/>
        <v>36</v>
      </c>
      <c r="AT38" s="251">
        <f t="shared" ca="1" si="85"/>
        <v>0</v>
      </c>
      <c r="AU38" s="240">
        <f t="shared" ca="1" si="43"/>
        <v>0</v>
      </c>
      <c r="AV38" s="240">
        <f t="shared" ca="1" si="44"/>
        <v>0</v>
      </c>
      <c r="AW38" s="242" t="str">
        <f t="shared" ca="1" si="45"/>
        <v>18e</v>
      </c>
      <c r="AX38" s="240">
        <f t="shared" ca="1" si="46"/>
        <v>0</v>
      </c>
      <c r="AY38" s="241">
        <f t="shared" ca="1" si="47"/>
        <v>0</v>
      </c>
      <c r="AZ38" s="18" t="str">
        <f t="shared" si="86"/>
        <v>36</v>
      </c>
      <c r="BA38" s="251" t="str">
        <f t="shared" ca="1" si="87"/>
        <v>36e</v>
      </c>
      <c r="BB38" s="240" t="str">
        <f t="shared" ca="1" si="48"/>
        <v>34e</v>
      </c>
      <c r="BC38" s="240" t="str">
        <f t="shared" ca="1" si="49"/>
        <v>22e</v>
      </c>
      <c r="BD38" s="242" t="str">
        <f t="shared" ca="1" si="50"/>
        <v>18e</v>
      </c>
      <c r="BE38" s="240" t="str">
        <f t="shared" ca="1" si="51"/>
        <v>14e</v>
      </c>
      <c r="BF38" s="241" t="str">
        <f t="shared" ca="1" si="52"/>
        <v>10e</v>
      </c>
      <c r="BG38" s="18" t="str">
        <f t="shared" si="88"/>
        <v>36</v>
      </c>
      <c r="BH38" s="251">
        <f t="shared" ca="1" si="89"/>
        <v>0</v>
      </c>
      <c r="BI38" s="240">
        <f t="shared" ca="1" si="53"/>
        <v>0</v>
      </c>
      <c r="BJ38" s="240">
        <f t="shared" ca="1" si="54"/>
        <v>0</v>
      </c>
      <c r="BK38" s="242">
        <f t="shared" ca="1" si="55"/>
        <v>0</v>
      </c>
      <c r="BL38" s="240">
        <f t="shared" ca="1" si="56"/>
        <v>0</v>
      </c>
      <c r="BM38" s="241">
        <f t="shared" ca="1" si="57"/>
        <v>0</v>
      </c>
      <c r="CA38" s="16">
        <f t="shared" ca="1" si="8"/>
        <v>69</v>
      </c>
      <c r="CB38" s="16">
        <f t="shared" ca="1" si="9"/>
        <v>62</v>
      </c>
      <c r="CC38" s="16">
        <f t="shared" ca="1" si="10"/>
        <v>24</v>
      </c>
      <c r="CD38" s="16" t="str">
        <f t="shared" ca="1" si="11"/>
        <v>Intro!E</v>
      </c>
      <c r="CE38" s="16">
        <f t="shared" ca="1" si="12"/>
        <v>62</v>
      </c>
      <c r="CF38" s="16" t="str">
        <f t="shared" ca="1" si="13"/>
        <v>Intro!E62</v>
      </c>
      <c r="CH38" s="16" t="str">
        <f t="shared" ca="1" si="14"/>
        <v>Intro!E62:F86</v>
      </c>
      <c r="CI38" s="16" t="str">
        <f t="shared" ca="1" si="15"/>
        <v>110301_22e</v>
      </c>
      <c r="CJ38" s="16" t="str">
        <f t="shared" ca="1" si="6"/>
        <v>110301</v>
      </c>
      <c r="CK38" s="16">
        <f t="shared" ca="1" si="0"/>
        <v>3</v>
      </c>
      <c r="CL38" s="16">
        <f t="shared" ca="1" si="1"/>
        <v>11</v>
      </c>
      <c r="CM38" s="16">
        <f t="shared" ca="1" si="2"/>
        <v>1</v>
      </c>
      <c r="CN38" s="16">
        <f t="shared" ca="1" si="3"/>
        <v>22</v>
      </c>
      <c r="CO38" s="16" t="str">
        <f t="shared" ca="1" si="16"/>
        <v>e</v>
      </c>
      <c r="CY38" s="19" t="str">
        <f t="shared" si="90"/>
        <v>36</v>
      </c>
      <c r="DA38" s="238" t="str">
        <f t="shared" si="91"/>
        <v>360201</v>
      </c>
      <c r="DB38" s="238" t="str">
        <f t="shared" si="91"/>
        <v>360202</v>
      </c>
      <c r="DC38" s="238" t="str">
        <f t="shared" si="91"/>
        <v>360203</v>
      </c>
      <c r="DD38" s="238" t="str">
        <f t="shared" si="91"/>
        <v>360204</v>
      </c>
      <c r="DE38" s="238" t="str">
        <f t="shared" si="91"/>
        <v>360251</v>
      </c>
      <c r="DF38" s="238" t="str">
        <f t="shared" si="91"/>
        <v>360206</v>
      </c>
      <c r="DH38" s="238" t="str">
        <f t="shared" si="92"/>
        <v>360301</v>
      </c>
      <c r="DI38" s="238" t="str">
        <f t="shared" si="92"/>
        <v>360302</v>
      </c>
      <c r="DJ38" s="238" t="str">
        <f t="shared" si="92"/>
        <v>360303</v>
      </c>
      <c r="DK38" s="238" t="str">
        <f t="shared" si="92"/>
        <v>360304</v>
      </c>
      <c r="DL38" s="238" t="str">
        <f t="shared" si="92"/>
        <v>360305</v>
      </c>
      <c r="DM38" s="238" t="str">
        <f t="shared" si="92"/>
        <v>360306</v>
      </c>
      <c r="DO38" s="238" t="str">
        <f t="shared" si="93"/>
        <v>360401</v>
      </c>
      <c r="DP38" s="238" t="str">
        <f t="shared" si="93"/>
        <v>360402</v>
      </c>
      <c r="DQ38" s="238" t="str">
        <f t="shared" si="93"/>
        <v>360403</v>
      </c>
      <c r="DR38" s="238" t="str">
        <f t="shared" si="93"/>
        <v>360404</v>
      </c>
      <c r="DS38" s="238" t="str">
        <f t="shared" si="93"/>
        <v>360405</v>
      </c>
      <c r="DT38" s="238" t="str">
        <f t="shared" si="93"/>
        <v>360406</v>
      </c>
      <c r="DV38" s="238" t="str">
        <f t="shared" si="94"/>
        <v>360501</v>
      </c>
      <c r="DW38" s="238" t="str">
        <f t="shared" si="94"/>
        <v>360502</v>
      </c>
      <c r="DX38" s="238" t="str">
        <f t="shared" si="94"/>
        <v>360503</v>
      </c>
      <c r="DY38" s="238" t="str">
        <f t="shared" si="94"/>
        <v>360504</v>
      </c>
      <c r="DZ38" s="238" t="str">
        <f t="shared" si="94"/>
        <v>360505</v>
      </c>
      <c r="EA38" s="238" t="str">
        <f t="shared" si="94"/>
        <v>360506</v>
      </c>
      <c r="EC38" s="238" t="str">
        <f t="shared" si="95"/>
        <v>360601</v>
      </c>
      <c r="ED38" s="238" t="str">
        <f t="shared" si="95"/>
        <v>360602</v>
      </c>
      <c r="EE38" s="238" t="str">
        <f t="shared" si="95"/>
        <v>360603</v>
      </c>
      <c r="EF38" s="238" t="str">
        <f t="shared" si="95"/>
        <v>360604</v>
      </c>
      <c r="EG38" s="238" t="str">
        <f t="shared" si="95"/>
        <v>360605</v>
      </c>
      <c r="EH38" s="238" t="str">
        <f t="shared" si="95"/>
        <v>360606</v>
      </c>
      <c r="EJ38" s="238" t="str">
        <f t="shared" si="96"/>
        <v>360701</v>
      </c>
      <c r="EK38" s="238" t="str">
        <f t="shared" si="96"/>
        <v>360702</v>
      </c>
      <c r="EL38" s="238" t="str">
        <f t="shared" si="96"/>
        <v>360703</v>
      </c>
      <c r="EM38" s="238" t="str">
        <f t="shared" si="96"/>
        <v>360704</v>
      </c>
      <c r="EN38" s="238" t="str">
        <f t="shared" si="96"/>
        <v>360705</v>
      </c>
      <c r="EO38" s="238" t="str">
        <f t="shared" si="96"/>
        <v>360706</v>
      </c>
      <c r="EQ38" s="238" t="str">
        <f t="shared" si="97"/>
        <v>360801</v>
      </c>
      <c r="ER38" s="238" t="str">
        <f t="shared" si="97"/>
        <v>360802</v>
      </c>
      <c r="ES38" s="238" t="str">
        <f t="shared" si="97"/>
        <v>360803</v>
      </c>
      <c r="ET38" s="238" t="str">
        <f t="shared" si="97"/>
        <v>360804</v>
      </c>
      <c r="EU38" s="238" t="str">
        <f t="shared" si="97"/>
        <v>360805</v>
      </c>
      <c r="EV38" s="238" t="str">
        <f t="shared" si="97"/>
        <v>360806</v>
      </c>
      <c r="EX38" s="238" t="str">
        <f t="shared" si="98"/>
        <v>360901</v>
      </c>
      <c r="EY38" s="238" t="str">
        <f t="shared" si="98"/>
        <v>360902</v>
      </c>
      <c r="EZ38" s="238" t="str">
        <f t="shared" si="98"/>
        <v>360903</v>
      </c>
      <c r="FA38" s="238" t="str">
        <f t="shared" si="98"/>
        <v>360904</v>
      </c>
      <c r="FB38" s="238" t="str">
        <f t="shared" si="98"/>
        <v>360905</v>
      </c>
      <c r="FC38" s="238" t="str">
        <f t="shared" si="98"/>
        <v>360906</v>
      </c>
      <c r="FE38" s="238" t="str">
        <f t="shared" si="99"/>
        <v>361001</v>
      </c>
      <c r="FF38" s="238" t="str">
        <f t="shared" si="99"/>
        <v>361002</v>
      </c>
      <c r="FG38" s="238" t="str">
        <f t="shared" si="99"/>
        <v>361003</v>
      </c>
      <c r="FH38" s="238" t="str">
        <f t="shared" si="99"/>
        <v>361004</v>
      </c>
      <c r="FI38" s="238" t="str">
        <f t="shared" si="99"/>
        <v>361005</v>
      </c>
      <c r="FJ38" s="238" t="str">
        <f t="shared" si="99"/>
        <v>361006</v>
      </c>
    </row>
    <row r="39" spans="2:166">
      <c r="B39" s="58" t="str">
        <f t="shared" si="67"/>
        <v>37</v>
      </c>
      <c r="C39" s="243"/>
      <c r="D39" s="251">
        <f t="shared" ca="1" si="68"/>
        <v>0</v>
      </c>
      <c r="E39" s="240">
        <f t="shared" ca="1" si="69"/>
        <v>0</v>
      </c>
      <c r="F39" s="240">
        <f t="shared" ca="1" si="70"/>
        <v>0</v>
      </c>
      <c r="G39" s="242">
        <f t="shared" ca="1" si="71"/>
        <v>0</v>
      </c>
      <c r="H39" s="240">
        <f t="shared" ca="1" si="72"/>
        <v>0</v>
      </c>
      <c r="I39" s="241">
        <f t="shared" ca="1" si="73"/>
        <v>0</v>
      </c>
      <c r="J39" s="18" t="str">
        <f t="shared" si="74"/>
        <v>37</v>
      </c>
      <c r="K39" s="251">
        <f t="shared" ca="1" si="75"/>
        <v>0</v>
      </c>
      <c r="L39" s="240">
        <f t="shared" ca="1" si="18"/>
        <v>0</v>
      </c>
      <c r="M39" s="240">
        <f t="shared" ca="1" si="19"/>
        <v>0</v>
      </c>
      <c r="N39" s="242">
        <f t="shared" ca="1" si="20"/>
        <v>0</v>
      </c>
      <c r="O39" s="240">
        <f t="shared" ca="1" si="21"/>
        <v>0</v>
      </c>
      <c r="P39" s="241">
        <f t="shared" ca="1" si="22"/>
        <v>0</v>
      </c>
      <c r="Q39" s="18" t="str">
        <f t="shared" si="76"/>
        <v>37</v>
      </c>
      <c r="R39" s="251">
        <f t="shared" ca="1" si="77"/>
        <v>0</v>
      </c>
      <c r="S39" s="240">
        <f t="shared" ca="1" si="23"/>
        <v>0</v>
      </c>
      <c r="T39" s="240">
        <f t="shared" ca="1" si="24"/>
        <v>0</v>
      </c>
      <c r="U39" s="242">
        <f t="shared" ca="1" si="25"/>
        <v>0</v>
      </c>
      <c r="V39" s="240">
        <f t="shared" ca="1" si="26"/>
        <v>0</v>
      </c>
      <c r="W39" s="241">
        <f t="shared" ca="1" si="27"/>
        <v>0</v>
      </c>
      <c r="X39" s="18" t="str">
        <f t="shared" si="78"/>
        <v>37</v>
      </c>
      <c r="Y39" s="251">
        <f t="shared" ca="1" si="79"/>
        <v>0</v>
      </c>
      <c r="Z39" s="240">
        <f t="shared" ca="1" si="28"/>
        <v>0</v>
      </c>
      <c r="AA39" s="240">
        <f t="shared" ca="1" si="29"/>
        <v>0</v>
      </c>
      <c r="AB39" s="242">
        <f t="shared" ca="1" si="30"/>
        <v>0</v>
      </c>
      <c r="AC39" s="240">
        <f t="shared" ca="1" si="31"/>
        <v>0</v>
      </c>
      <c r="AD39" s="241">
        <f t="shared" ca="1" si="32"/>
        <v>0</v>
      </c>
      <c r="AE39" s="18" t="str">
        <f t="shared" si="80"/>
        <v>37</v>
      </c>
      <c r="AF39" s="251">
        <f t="shared" ca="1" si="81"/>
        <v>0</v>
      </c>
      <c r="AG39" s="240">
        <f t="shared" ca="1" si="33"/>
        <v>0</v>
      </c>
      <c r="AH39" s="240">
        <f t="shared" ca="1" si="34"/>
        <v>0</v>
      </c>
      <c r="AI39" s="242">
        <f t="shared" ca="1" si="35"/>
        <v>0</v>
      </c>
      <c r="AJ39" s="240">
        <f t="shared" ca="1" si="36"/>
        <v>0</v>
      </c>
      <c r="AK39" s="241">
        <f t="shared" ca="1" si="37"/>
        <v>0</v>
      </c>
      <c r="AL39" s="18" t="str">
        <f t="shared" si="82"/>
        <v>37</v>
      </c>
      <c r="AM39" s="251">
        <f t="shared" ca="1" si="83"/>
        <v>0</v>
      </c>
      <c r="AN39" s="240">
        <f t="shared" ca="1" si="38"/>
        <v>0</v>
      </c>
      <c r="AO39" s="240">
        <f t="shared" ca="1" si="39"/>
        <v>0</v>
      </c>
      <c r="AP39" s="242">
        <f t="shared" ca="1" si="40"/>
        <v>0</v>
      </c>
      <c r="AQ39" s="240">
        <f t="shared" ca="1" si="41"/>
        <v>0</v>
      </c>
      <c r="AR39" s="241">
        <f t="shared" ca="1" si="42"/>
        <v>0</v>
      </c>
      <c r="AS39" s="18" t="str">
        <f t="shared" si="84"/>
        <v>37</v>
      </c>
      <c r="AT39" s="251">
        <f t="shared" ca="1" si="85"/>
        <v>0</v>
      </c>
      <c r="AU39" s="240">
        <f t="shared" ca="1" si="43"/>
        <v>0</v>
      </c>
      <c r="AV39" s="240">
        <f t="shared" ca="1" si="44"/>
        <v>0</v>
      </c>
      <c r="AW39" s="242">
        <f t="shared" ca="1" si="45"/>
        <v>0</v>
      </c>
      <c r="AX39" s="240">
        <f t="shared" ca="1" si="46"/>
        <v>0</v>
      </c>
      <c r="AY39" s="241">
        <f t="shared" ca="1" si="47"/>
        <v>0</v>
      </c>
      <c r="AZ39" s="18" t="str">
        <f t="shared" si="86"/>
        <v>37</v>
      </c>
      <c r="BA39" s="251">
        <f t="shared" ca="1" si="87"/>
        <v>0</v>
      </c>
      <c r="BB39" s="240">
        <f t="shared" ca="1" si="48"/>
        <v>0</v>
      </c>
      <c r="BC39" s="240">
        <f t="shared" ca="1" si="49"/>
        <v>0</v>
      </c>
      <c r="BD39" s="242">
        <f t="shared" ca="1" si="50"/>
        <v>0</v>
      </c>
      <c r="BE39" s="240">
        <f t="shared" ca="1" si="51"/>
        <v>0</v>
      </c>
      <c r="BF39" s="241">
        <f t="shared" ca="1" si="52"/>
        <v>0</v>
      </c>
      <c r="BG39" s="18" t="str">
        <f t="shared" si="88"/>
        <v>37</v>
      </c>
      <c r="BH39" s="251">
        <f t="shared" ca="1" si="89"/>
        <v>0</v>
      </c>
      <c r="BI39" s="240">
        <f t="shared" ca="1" si="53"/>
        <v>0</v>
      </c>
      <c r="BJ39" s="240">
        <f t="shared" ca="1" si="54"/>
        <v>0</v>
      </c>
      <c r="BK39" s="242">
        <f t="shared" ca="1" si="55"/>
        <v>0</v>
      </c>
      <c r="BL39" s="240">
        <f t="shared" ca="1" si="56"/>
        <v>0</v>
      </c>
      <c r="BM39" s="241">
        <f t="shared" ca="1" si="57"/>
        <v>0</v>
      </c>
      <c r="CA39" s="16">
        <f t="shared" ca="1" si="8"/>
        <v>69</v>
      </c>
      <c r="CB39" s="16">
        <f t="shared" ca="1" si="9"/>
        <v>63</v>
      </c>
      <c r="CC39" s="16">
        <f t="shared" ca="1" si="10"/>
        <v>23</v>
      </c>
      <c r="CD39" s="16" t="str">
        <f t="shared" ca="1" si="11"/>
        <v>Intro!E</v>
      </c>
      <c r="CE39" s="16">
        <f t="shared" ca="1" si="12"/>
        <v>63</v>
      </c>
      <c r="CF39" s="16" t="str">
        <f t="shared" ca="1" si="13"/>
        <v>Intro!E63</v>
      </c>
      <c r="CH39" s="16" t="str">
        <f t="shared" ca="1" si="14"/>
        <v>Intro!E63:F86</v>
      </c>
      <c r="CI39" s="16" t="str">
        <f t="shared" ca="1" si="15"/>
        <v>110302_10e</v>
      </c>
      <c r="CJ39" s="16" t="str">
        <f t="shared" ca="1" si="6"/>
        <v>110302</v>
      </c>
      <c r="CK39" s="16">
        <f t="shared" ca="1" si="0"/>
        <v>3</v>
      </c>
      <c r="CL39" s="16">
        <f t="shared" ca="1" si="1"/>
        <v>11</v>
      </c>
      <c r="CM39" s="16">
        <f t="shared" ca="1" si="2"/>
        <v>2</v>
      </c>
      <c r="CN39" s="16">
        <f t="shared" ca="1" si="3"/>
        <v>10</v>
      </c>
      <c r="CO39" s="16" t="str">
        <f t="shared" ca="1" si="16"/>
        <v>e</v>
      </c>
      <c r="CY39" s="19" t="str">
        <f t="shared" si="90"/>
        <v>37</v>
      </c>
      <c r="DA39" s="238" t="str">
        <f t="shared" si="91"/>
        <v>370201</v>
      </c>
      <c r="DB39" s="238" t="str">
        <f t="shared" si="91"/>
        <v>370202</v>
      </c>
      <c r="DC39" s="238" t="str">
        <f t="shared" si="91"/>
        <v>370203</v>
      </c>
      <c r="DD39" s="238" t="str">
        <f t="shared" si="91"/>
        <v>370204</v>
      </c>
      <c r="DE39" s="238" t="str">
        <f t="shared" si="91"/>
        <v>370251</v>
      </c>
      <c r="DF39" s="238" t="str">
        <f t="shared" si="91"/>
        <v>370206</v>
      </c>
      <c r="DH39" s="238" t="str">
        <f t="shared" si="92"/>
        <v>370301</v>
      </c>
      <c r="DI39" s="238" t="str">
        <f t="shared" si="92"/>
        <v>370302</v>
      </c>
      <c r="DJ39" s="238" t="str">
        <f t="shared" si="92"/>
        <v>370303</v>
      </c>
      <c r="DK39" s="238" t="str">
        <f t="shared" si="92"/>
        <v>370304</v>
      </c>
      <c r="DL39" s="238" t="str">
        <f t="shared" si="92"/>
        <v>370305</v>
      </c>
      <c r="DM39" s="238" t="str">
        <f t="shared" si="92"/>
        <v>370306</v>
      </c>
      <c r="DO39" s="238" t="str">
        <f t="shared" si="93"/>
        <v>370401</v>
      </c>
      <c r="DP39" s="238" t="str">
        <f t="shared" si="93"/>
        <v>370402</v>
      </c>
      <c r="DQ39" s="238" t="str">
        <f t="shared" si="93"/>
        <v>370403</v>
      </c>
      <c r="DR39" s="238" t="str">
        <f t="shared" si="93"/>
        <v>370404</v>
      </c>
      <c r="DS39" s="238" t="str">
        <f t="shared" si="93"/>
        <v>370405</v>
      </c>
      <c r="DT39" s="238" t="str">
        <f t="shared" si="93"/>
        <v>370406</v>
      </c>
      <c r="DV39" s="238" t="str">
        <f t="shared" si="94"/>
        <v>370501</v>
      </c>
      <c r="DW39" s="238" t="str">
        <f t="shared" si="94"/>
        <v>370502</v>
      </c>
      <c r="DX39" s="238" t="str">
        <f t="shared" si="94"/>
        <v>370503</v>
      </c>
      <c r="DY39" s="238" t="str">
        <f t="shared" si="94"/>
        <v>370504</v>
      </c>
      <c r="DZ39" s="238" t="str">
        <f t="shared" si="94"/>
        <v>370505</v>
      </c>
      <c r="EA39" s="238" t="str">
        <f t="shared" si="94"/>
        <v>370506</v>
      </c>
      <c r="EC39" s="238" t="str">
        <f t="shared" si="95"/>
        <v>370601</v>
      </c>
      <c r="ED39" s="238" t="str">
        <f t="shared" si="95"/>
        <v>370602</v>
      </c>
      <c r="EE39" s="238" t="str">
        <f t="shared" si="95"/>
        <v>370603</v>
      </c>
      <c r="EF39" s="238" t="str">
        <f t="shared" si="95"/>
        <v>370604</v>
      </c>
      <c r="EG39" s="238" t="str">
        <f t="shared" si="95"/>
        <v>370605</v>
      </c>
      <c r="EH39" s="238" t="str">
        <f t="shared" si="95"/>
        <v>370606</v>
      </c>
      <c r="EJ39" s="238" t="str">
        <f t="shared" si="96"/>
        <v>370701</v>
      </c>
      <c r="EK39" s="238" t="str">
        <f t="shared" si="96"/>
        <v>370702</v>
      </c>
      <c r="EL39" s="238" t="str">
        <f t="shared" si="96"/>
        <v>370703</v>
      </c>
      <c r="EM39" s="238" t="str">
        <f t="shared" si="96"/>
        <v>370704</v>
      </c>
      <c r="EN39" s="238" t="str">
        <f t="shared" si="96"/>
        <v>370705</v>
      </c>
      <c r="EO39" s="238" t="str">
        <f t="shared" si="96"/>
        <v>370706</v>
      </c>
      <c r="EQ39" s="238" t="str">
        <f t="shared" si="97"/>
        <v>370801</v>
      </c>
      <c r="ER39" s="238" t="str">
        <f t="shared" si="97"/>
        <v>370802</v>
      </c>
      <c r="ES39" s="238" t="str">
        <f t="shared" si="97"/>
        <v>370803</v>
      </c>
      <c r="ET39" s="238" t="str">
        <f t="shared" si="97"/>
        <v>370804</v>
      </c>
      <c r="EU39" s="238" t="str">
        <f t="shared" si="97"/>
        <v>370805</v>
      </c>
      <c r="EV39" s="238" t="str">
        <f t="shared" si="97"/>
        <v>370806</v>
      </c>
      <c r="EX39" s="238" t="str">
        <f t="shared" si="98"/>
        <v>370901</v>
      </c>
      <c r="EY39" s="238" t="str">
        <f t="shared" si="98"/>
        <v>370902</v>
      </c>
      <c r="EZ39" s="238" t="str">
        <f t="shared" si="98"/>
        <v>370903</v>
      </c>
      <c r="FA39" s="238" t="str">
        <f t="shared" si="98"/>
        <v>370904</v>
      </c>
      <c r="FB39" s="238" t="str">
        <f t="shared" si="98"/>
        <v>370905</v>
      </c>
      <c r="FC39" s="238" t="str">
        <f t="shared" si="98"/>
        <v>370906</v>
      </c>
      <c r="FE39" s="238" t="str">
        <f t="shared" si="99"/>
        <v>371001</v>
      </c>
      <c r="FF39" s="238" t="str">
        <f t="shared" si="99"/>
        <v>371002</v>
      </c>
      <c r="FG39" s="238" t="str">
        <f t="shared" si="99"/>
        <v>371003</v>
      </c>
      <c r="FH39" s="238" t="str">
        <f t="shared" si="99"/>
        <v>371004</v>
      </c>
      <c r="FI39" s="238" t="str">
        <f t="shared" si="99"/>
        <v>371005</v>
      </c>
      <c r="FJ39" s="238" t="str">
        <f t="shared" si="99"/>
        <v>371006</v>
      </c>
    </row>
    <row r="40" spans="2:166">
      <c r="B40" s="58" t="str">
        <f t="shared" si="67"/>
        <v>38</v>
      </c>
      <c r="C40" s="243"/>
      <c r="D40" s="251">
        <f t="shared" ca="1" si="68"/>
        <v>0</v>
      </c>
      <c r="E40" s="240">
        <f t="shared" ca="1" si="69"/>
        <v>0</v>
      </c>
      <c r="F40" s="240">
        <f t="shared" ca="1" si="70"/>
        <v>0</v>
      </c>
      <c r="G40" s="242">
        <f t="shared" ca="1" si="71"/>
        <v>0</v>
      </c>
      <c r="H40" s="240">
        <f t="shared" ca="1" si="72"/>
        <v>0</v>
      </c>
      <c r="I40" s="241">
        <f t="shared" ca="1" si="73"/>
        <v>0</v>
      </c>
      <c r="J40" s="18" t="str">
        <f t="shared" si="74"/>
        <v>38</v>
      </c>
      <c r="K40" s="251">
        <f t="shared" ca="1" si="75"/>
        <v>0</v>
      </c>
      <c r="L40" s="240">
        <f t="shared" ca="1" si="18"/>
        <v>0</v>
      </c>
      <c r="M40" s="240">
        <f t="shared" ca="1" si="19"/>
        <v>0</v>
      </c>
      <c r="N40" s="242">
        <f t="shared" ca="1" si="20"/>
        <v>0</v>
      </c>
      <c r="O40" s="240">
        <f t="shared" ca="1" si="21"/>
        <v>0</v>
      </c>
      <c r="P40" s="241">
        <f t="shared" ca="1" si="22"/>
        <v>0</v>
      </c>
      <c r="Q40" s="18" t="str">
        <f t="shared" si="76"/>
        <v>38</v>
      </c>
      <c r="R40" s="251">
        <f t="shared" ca="1" si="77"/>
        <v>0</v>
      </c>
      <c r="S40" s="240">
        <f t="shared" ca="1" si="23"/>
        <v>0</v>
      </c>
      <c r="T40" s="240">
        <f t="shared" ca="1" si="24"/>
        <v>0</v>
      </c>
      <c r="U40" s="242">
        <f t="shared" ca="1" si="25"/>
        <v>0</v>
      </c>
      <c r="V40" s="240">
        <f t="shared" ca="1" si="26"/>
        <v>0</v>
      </c>
      <c r="W40" s="241">
        <f t="shared" ca="1" si="27"/>
        <v>0</v>
      </c>
      <c r="X40" s="18" t="str">
        <f t="shared" si="78"/>
        <v>38</v>
      </c>
      <c r="Y40" s="251">
        <f t="shared" ca="1" si="79"/>
        <v>0</v>
      </c>
      <c r="Z40" s="240">
        <f t="shared" ca="1" si="28"/>
        <v>0</v>
      </c>
      <c r="AA40" s="240">
        <f t="shared" ca="1" si="29"/>
        <v>0</v>
      </c>
      <c r="AB40" s="242">
        <f t="shared" ca="1" si="30"/>
        <v>0</v>
      </c>
      <c r="AC40" s="240">
        <f t="shared" ca="1" si="31"/>
        <v>0</v>
      </c>
      <c r="AD40" s="241">
        <f t="shared" ca="1" si="32"/>
        <v>0</v>
      </c>
      <c r="AE40" s="18" t="str">
        <f t="shared" si="80"/>
        <v>38</v>
      </c>
      <c r="AF40" s="251">
        <f t="shared" ca="1" si="81"/>
        <v>0</v>
      </c>
      <c r="AG40" s="240">
        <f t="shared" ca="1" si="33"/>
        <v>0</v>
      </c>
      <c r="AH40" s="240">
        <f t="shared" ca="1" si="34"/>
        <v>0</v>
      </c>
      <c r="AI40" s="242">
        <f t="shared" ca="1" si="35"/>
        <v>0</v>
      </c>
      <c r="AJ40" s="240">
        <f t="shared" ca="1" si="36"/>
        <v>0</v>
      </c>
      <c r="AK40" s="241">
        <f t="shared" ca="1" si="37"/>
        <v>0</v>
      </c>
      <c r="AL40" s="18" t="str">
        <f t="shared" si="82"/>
        <v>38</v>
      </c>
      <c r="AM40" s="251">
        <f t="shared" ca="1" si="83"/>
        <v>0</v>
      </c>
      <c r="AN40" s="240">
        <f t="shared" ca="1" si="38"/>
        <v>0</v>
      </c>
      <c r="AO40" s="240">
        <f t="shared" ca="1" si="39"/>
        <v>0</v>
      </c>
      <c r="AP40" s="242">
        <f t="shared" ca="1" si="40"/>
        <v>0</v>
      </c>
      <c r="AQ40" s="240">
        <f t="shared" ca="1" si="41"/>
        <v>0</v>
      </c>
      <c r="AR40" s="241">
        <f t="shared" ca="1" si="42"/>
        <v>0</v>
      </c>
      <c r="AS40" s="18" t="str">
        <f t="shared" si="84"/>
        <v>38</v>
      </c>
      <c r="AT40" s="251">
        <f t="shared" ca="1" si="85"/>
        <v>0</v>
      </c>
      <c r="AU40" s="240">
        <f t="shared" ca="1" si="43"/>
        <v>0</v>
      </c>
      <c r="AV40" s="240">
        <f t="shared" ca="1" si="44"/>
        <v>0</v>
      </c>
      <c r="AW40" s="242">
        <f t="shared" ca="1" si="45"/>
        <v>0</v>
      </c>
      <c r="AX40" s="240">
        <f t="shared" ca="1" si="46"/>
        <v>0</v>
      </c>
      <c r="AY40" s="241">
        <f t="shared" ca="1" si="47"/>
        <v>0</v>
      </c>
      <c r="AZ40" s="18" t="str">
        <f t="shared" si="86"/>
        <v>38</v>
      </c>
      <c r="BA40" s="251">
        <f t="shared" ca="1" si="87"/>
        <v>0</v>
      </c>
      <c r="BB40" s="240" t="str">
        <f t="shared" ca="1" si="48"/>
        <v>38e</v>
      </c>
      <c r="BC40" s="240">
        <f t="shared" ca="1" si="49"/>
        <v>0</v>
      </c>
      <c r="BD40" s="242">
        <f t="shared" ca="1" si="50"/>
        <v>0</v>
      </c>
      <c r="BE40" s="240">
        <f t="shared" ca="1" si="51"/>
        <v>0</v>
      </c>
      <c r="BF40" s="241">
        <f t="shared" ca="1" si="52"/>
        <v>0</v>
      </c>
      <c r="BG40" s="18" t="str">
        <f t="shared" si="88"/>
        <v>38</v>
      </c>
      <c r="BH40" s="251">
        <f t="shared" ca="1" si="89"/>
        <v>0</v>
      </c>
      <c r="BI40" s="240">
        <f t="shared" ca="1" si="53"/>
        <v>0</v>
      </c>
      <c r="BJ40" s="240">
        <f t="shared" ca="1" si="54"/>
        <v>0</v>
      </c>
      <c r="BK40" s="242">
        <f t="shared" ca="1" si="55"/>
        <v>0</v>
      </c>
      <c r="BL40" s="240">
        <f t="shared" ca="1" si="56"/>
        <v>0</v>
      </c>
      <c r="BM40" s="241">
        <f t="shared" ca="1" si="57"/>
        <v>0</v>
      </c>
      <c r="CA40" s="16">
        <f t="shared" ca="1" si="8"/>
        <v>69</v>
      </c>
      <c r="CB40" s="16">
        <f t="shared" ca="1" si="9"/>
        <v>64</v>
      </c>
      <c r="CC40" s="16">
        <f t="shared" ca="1" si="10"/>
        <v>22</v>
      </c>
      <c r="CD40" s="16" t="str">
        <f t="shared" ca="1" si="11"/>
        <v>Intro!E</v>
      </c>
      <c r="CE40" s="16">
        <f t="shared" ca="1" si="12"/>
        <v>64</v>
      </c>
      <c r="CF40" s="16" t="str">
        <f t="shared" ca="1" si="13"/>
        <v>Intro!E64</v>
      </c>
      <c r="CH40" s="16" t="str">
        <f t="shared" ca="1" si="14"/>
        <v>Intro!E64:F86</v>
      </c>
      <c r="CI40" s="16" t="str">
        <f t="shared" ca="1" si="15"/>
        <v>120301_22e</v>
      </c>
      <c r="CJ40" s="16" t="str">
        <f t="shared" ca="1" si="6"/>
        <v>120301</v>
      </c>
      <c r="CK40" s="16">
        <f t="shared" ca="1" si="0"/>
        <v>3</v>
      </c>
      <c r="CL40" s="16">
        <f t="shared" ca="1" si="1"/>
        <v>12</v>
      </c>
      <c r="CM40" s="16">
        <f t="shared" ca="1" si="2"/>
        <v>1</v>
      </c>
      <c r="CN40" s="16">
        <f t="shared" ca="1" si="3"/>
        <v>22</v>
      </c>
      <c r="CO40" s="16" t="str">
        <f t="shared" ca="1" si="16"/>
        <v>e</v>
      </c>
      <c r="CY40" s="19" t="str">
        <f t="shared" si="90"/>
        <v>38</v>
      </c>
      <c r="DA40" s="238" t="str">
        <f t="shared" si="91"/>
        <v>380201</v>
      </c>
      <c r="DB40" s="238" t="str">
        <f t="shared" si="91"/>
        <v>380202</v>
      </c>
      <c r="DC40" s="238" t="str">
        <f t="shared" si="91"/>
        <v>380203</v>
      </c>
      <c r="DD40" s="238" t="str">
        <f t="shared" si="91"/>
        <v>380204</v>
      </c>
      <c r="DE40" s="238" t="str">
        <f t="shared" si="91"/>
        <v>380251</v>
      </c>
      <c r="DF40" s="238" t="str">
        <f t="shared" si="91"/>
        <v>380206</v>
      </c>
      <c r="DH40" s="238" t="str">
        <f t="shared" si="92"/>
        <v>380301</v>
      </c>
      <c r="DI40" s="238" t="str">
        <f t="shared" si="92"/>
        <v>380302</v>
      </c>
      <c r="DJ40" s="238" t="str">
        <f t="shared" si="92"/>
        <v>380303</v>
      </c>
      <c r="DK40" s="238" t="str">
        <f t="shared" si="92"/>
        <v>380304</v>
      </c>
      <c r="DL40" s="238" t="str">
        <f t="shared" si="92"/>
        <v>380305</v>
      </c>
      <c r="DM40" s="238" t="str">
        <f t="shared" si="92"/>
        <v>380306</v>
      </c>
      <c r="DO40" s="238" t="str">
        <f t="shared" si="93"/>
        <v>380401</v>
      </c>
      <c r="DP40" s="238" t="str">
        <f t="shared" si="93"/>
        <v>380402</v>
      </c>
      <c r="DQ40" s="238" t="str">
        <f t="shared" si="93"/>
        <v>380403</v>
      </c>
      <c r="DR40" s="238" t="str">
        <f t="shared" si="93"/>
        <v>380404</v>
      </c>
      <c r="DS40" s="238" t="str">
        <f t="shared" si="93"/>
        <v>380405</v>
      </c>
      <c r="DT40" s="238" t="str">
        <f t="shared" si="93"/>
        <v>380406</v>
      </c>
      <c r="DV40" s="238" t="str">
        <f t="shared" si="94"/>
        <v>380501</v>
      </c>
      <c r="DW40" s="238" t="str">
        <f t="shared" si="94"/>
        <v>380502</v>
      </c>
      <c r="DX40" s="238" t="str">
        <f t="shared" si="94"/>
        <v>380503</v>
      </c>
      <c r="DY40" s="238" t="str">
        <f t="shared" si="94"/>
        <v>380504</v>
      </c>
      <c r="DZ40" s="238" t="str">
        <f t="shared" si="94"/>
        <v>380505</v>
      </c>
      <c r="EA40" s="238" t="str">
        <f t="shared" si="94"/>
        <v>380506</v>
      </c>
      <c r="EC40" s="238" t="str">
        <f t="shared" si="95"/>
        <v>380601</v>
      </c>
      <c r="ED40" s="238" t="str">
        <f t="shared" si="95"/>
        <v>380602</v>
      </c>
      <c r="EE40" s="238" t="str">
        <f t="shared" si="95"/>
        <v>380603</v>
      </c>
      <c r="EF40" s="238" t="str">
        <f t="shared" si="95"/>
        <v>380604</v>
      </c>
      <c r="EG40" s="238" t="str">
        <f t="shared" si="95"/>
        <v>380605</v>
      </c>
      <c r="EH40" s="238" t="str">
        <f t="shared" si="95"/>
        <v>380606</v>
      </c>
      <c r="EJ40" s="238" t="str">
        <f t="shared" si="96"/>
        <v>380701</v>
      </c>
      <c r="EK40" s="238" t="str">
        <f t="shared" si="96"/>
        <v>380702</v>
      </c>
      <c r="EL40" s="238" t="str">
        <f t="shared" si="96"/>
        <v>380703</v>
      </c>
      <c r="EM40" s="238" t="str">
        <f t="shared" si="96"/>
        <v>380704</v>
      </c>
      <c r="EN40" s="238" t="str">
        <f t="shared" si="96"/>
        <v>380705</v>
      </c>
      <c r="EO40" s="238" t="str">
        <f t="shared" si="96"/>
        <v>380706</v>
      </c>
      <c r="EQ40" s="238" t="str">
        <f t="shared" si="97"/>
        <v>380801</v>
      </c>
      <c r="ER40" s="238" t="str">
        <f t="shared" si="97"/>
        <v>380802</v>
      </c>
      <c r="ES40" s="238" t="str">
        <f t="shared" si="97"/>
        <v>380803</v>
      </c>
      <c r="ET40" s="238" t="str">
        <f t="shared" si="97"/>
        <v>380804</v>
      </c>
      <c r="EU40" s="238" t="str">
        <f t="shared" si="97"/>
        <v>380805</v>
      </c>
      <c r="EV40" s="238" t="str">
        <f t="shared" si="97"/>
        <v>380806</v>
      </c>
      <c r="EX40" s="238" t="str">
        <f t="shared" si="98"/>
        <v>380901</v>
      </c>
      <c r="EY40" s="238" t="str">
        <f t="shared" si="98"/>
        <v>380902</v>
      </c>
      <c r="EZ40" s="238" t="str">
        <f t="shared" si="98"/>
        <v>380903</v>
      </c>
      <c r="FA40" s="238" t="str">
        <f t="shared" si="98"/>
        <v>380904</v>
      </c>
      <c r="FB40" s="238" t="str">
        <f t="shared" si="98"/>
        <v>380905</v>
      </c>
      <c r="FC40" s="238" t="str">
        <f t="shared" si="98"/>
        <v>380906</v>
      </c>
      <c r="FE40" s="238" t="str">
        <f t="shared" si="99"/>
        <v>381001</v>
      </c>
      <c r="FF40" s="238" t="str">
        <f t="shared" si="99"/>
        <v>381002</v>
      </c>
      <c r="FG40" s="238" t="str">
        <f t="shared" si="99"/>
        <v>381003</v>
      </c>
      <c r="FH40" s="238" t="str">
        <f t="shared" si="99"/>
        <v>381004</v>
      </c>
      <c r="FI40" s="238" t="str">
        <f t="shared" si="99"/>
        <v>381005</v>
      </c>
      <c r="FJ40" s="238" t="str">
        <f t="shared" si="99"/>
        <v>381006</v>
      </c>
    </row>
    <row r="41" spans="2:166">
      <c r="B41" s="58" t="str">
        <f t="shared" si="67"/>
        <v>39</v>
      </c>
      <c r="C41" s="243"/>
      <c r="D41" s="239">
        <f t="shared" ca="1" si="68"/>
        <v>0</v>
      </c>
      <c r="E41" s="240">
        <f t="shared" ca="1" si="69"/>
        <v>0</v>
      </c>
      <c r="F41" s="240">
        <f t="shared" ca="1" si="70"/>
        <v>0</v>
      </c>
      <c r="G41" s="240">
        <f t="shared" ca="1" si="71"/>
        <v>0</v>
      </c>
      <c r="H41" s="240">
        <f t="shared" ca="1" si="72"/>
        <v>0</v>
      </c>
      <c r="I41" s="241">
        <f t="shared" ca="1" si="73"/>
        <v>0</v>
      </c>
      <c r="J41" s="18" t="str">
        <f t="shared" si="74"/>
        <v>39</v>
      </c>
      <c r="K41" s="239">
        <f t="shared" ca="1" si="75"/>
        <v>0</v>
      </c>
      <c r="L41" s="240">
        <f t="shared" ca="1" si="18"/>
        <v>0</v>
      </c>
      <c r="M41" s="240">
        <f t="shared" ca="1" si="19"/>
        <v>0</v>
      </c>
      <c r="N41" s="240">
        <f t="shared" ca="1" si="20"/>
        <v>0</v>
      </c>
      <c r="O41" s="240">
        <f t="shared" ca="1" si="21"/>
        <v>0</v>
      </c>
      <c r="P41" s="241">
        <f t="shared" ca="1" si="22"/>
        <v>0</v>
      </c>
      <c r="Q41" s="18" t="str">
        <f t="shared" si="76"/>
        <v>39</v>
      </c>
      <c r="R41" s="239">
        <f t="shared" ca="1" si="77"/>
        <v>0</v>
      </c>
      <c r="S41" s="240">
        <f t="shared" ca="1" si="23"/>
        <v>0</v>
      </c>
      <c r="T41" s="240">
        <f t="shared" ca="1" si="24"/>
        <v>0</v>
      </c>
      <c r="U41" s="240">
        <f t="shared" ca="1" si="25"/>
        <v>0</v>
      </c>
      <c r="V41" s="240">
        <f t="shared" ca="1" si="26"/>
        <v>0</v>
      </c>
      <c r="W41" s="241">
        <f t="shared" ca="1" si="27"/>
        <v>0</v>
      </c>
      <c r="X41" s="18" t="str">
        <f t="shared" si="78"/>
        <v>39</v>
      </c>
      <c r="Y41" s="239">
        <f t="shared" ca="1" si="79"/>
        <v>0</v>
      </c>
      <c r="Z41" s="240">
        <f t="shared" ca="1" si="28"/>
        <v>0</v>
      </c>
      <c r="AA41" s="240">
        <f t="shared" ca="1" si="29"/>
        <v>0</v>
      </c>
      <c r="AB41" s="240">
        <f t="shared" ca="1" si="30"/>
        <v>0</v>
      </c>
      <c r="AC41" s="240">
        <f t="shared" ca="1" si="31"/>
        <v>0</v>
      </c>
      <c r="AD41" s="241">
        <f t="shared" ca="1" si="32"/>
        <v>0</v>
      </c>
      <c r="AE41" s="18" t="str">
        <f t="shared" si="80"/>
        <v>39</v>
      </c>
      <c r="AF41" s="239">
        <f t="shared" ca="1" si="81"/>
        <v>0</v>
      </c>
      <c r="AG41" s="240">
        <f t="shared" ca="1" si="33"/>
        <v>0</v>
      </c>
      <c r="AH41" s="240">
        <f t="shared" ca="1" si="34"/>
        <v>0</v>
      </c>
      <c r="AI41" s="240">
        <f t="shared" ca="1" si="35"/>
        <v>0</v>
      </c>
      <c r="AJ41" s="240">
        <f t="shared" ca="1" si="36"/>
        <v>0</v>
      </c>
      <c r="AK41" s="241">
        <f t="shared" ca="1" si="37"/>
        <v>0</v>
      </c>
      <c r="AL41" s="18" t="str">
        <f t="shared" si="82"/>
        <v>39</v>
      </c>
      <c r="AM41" s="239">
        <f t="shared" ca="1" si="83"/>
        <v>0</v>
      </c>
      <c r="AN41" s="240">
        <f t="shared" ca="1" si="38"/>
        <v>0</v>
      </c>
      <c r="AO41" s="240">
        <f t="shared" ca="1" si="39"/>
        <v>0</v>
      </c>
      <c r="AP41" s="240">
        <f t="shared" ca="1" si="40"/>
        <v>0</v>
      </c>
      <c r="AQ41" s="240">
        <f t="shared" ca="1" si="41"/>
        <v>0</v>
      </c>
      <c r="AR41" s="241">
        <f t="shared" ca="1" si="42"/>
        <v>0</v>
      </c>
      <c r="AS41" s="18" t="str">
        <f t="shared" si="84"/>
        <v>39</v>
      </c>
      <c r="AT41" s="239">
        <f t="shared" ca="1" si="85"/>
        <v>0</v>
      </c>
      <c r="AU41" s="240">
        <f t="shared" ca="1" si="43"/>
        <v>0</v>
      </c>
      <c r="AV41" s="240">
        <f t="shared" ca="1" si="44"/>
        <v>0</v>
      </c>
      <c r="AW41" s="240">
        <f t="shared" ca="1" si="45"/>
        <v>0</v>
      </c>
      <c r="AX41" s="240">
        <f t="shared" ca="1" si="46"/>
        <v>0</v>
      </c>
      <c r="AY41" s="241">
        <f t="shared" ca="1" si="47"/>
        <v>0</v>
      </c>
      <c r="AZ41" s="18" t="str">
        <f t="shared" si="86"/>
        <v>39</v>
      </c>
      <c r="BA41" s="239">
        <f t="shared" ca="1" si="87"/>
        <v>0</v>
      </c>
      <c r="BB41" s="240">
        <f t="shared" ca="1" si="48"/>
        <v>0</v>
      </c>
      <c r="BC41" s="240">
        <f t="shared" ca="1" si="49"/>
        <v>0</v>
      </c>
      <c r="BD41" s="240">
        <f t="shared" ca="1" si="50"/>
        <v>0</v>
      </c>
      <c r="BE41" s="240">
        <f t="shared" ca="1" si="51"/>
        <v>0</v>
      </c>
      <c r="BF41" s="241">
        <f t="shared" ca="1" si="52"/>
        <v>0</v>
      </c>
      <c r="BG41" s="18" t="str">
        <f t="shared" si="88"/>
        <v>39</v>
      </c>
      <c r="BH41" s="239">
        <f t="shared" ca="1" si="89"/>
        <v>0</v>
      </c>
      <c r="BI41" s="240">
        <f t="shared" ca="1" si="53"/>
        <v>0</v>
      </c>
      <c r="BJ41" s="240">
        <f t="shared" ca="1" si="54"/>
        <v>0</v>
      </c>
      <c r="BK41" s="240">
        <f t="shared" ca="1" si="55"/>
        <v>0</v>
      </c>
      <c r="BL41" s="240">
        <f t="shared" ca="1" si="56"/>
        <v>0</v>
      </c>
      <c r="BM41" s="241">
        <f t="shared" ca="1" si="57"/>
        <v>0</v>
      </c>
      <c r="CA41" s="16">
        <f t="shared" ca="1" si="8"/>
        <v>69</v>
      </c>
      <c r="CB41" s="16">
        <f t="shared" ca="1" si="9"/>
        <v>65</v>
      </c>
      <c r="CC41" s="16">
        <f t="shared" ca="1" si="10"/>
        <v>21</v>
      </c>
      <c r="CD41" s="16" t="str">
        <f t="shared" ca="1" si="11"/>
        <v>Intro!E</v>
      </c>
      <c r="CE41" s="16">
        <f t="shared" ca="1" si="12"/>
        <v>65</v>
      </c>
      <c r="CF41" s="16" t="str">
        <f t="shared" ca="1" si="13"/>
        <v>Intro!E65</v>
      </c>
      <c r="CH41" s="16" t="str">
        <f t="shared" ca="1" si="14"/>
        <v>Intro!E65:F86</v>
      </c>
      <c r="CI41" s="16" t="str">
        <f t="shared" ca="1" si="15"/>
        <v>120302_10e</v>
      </c>
      <c r="CJ41" s="16" t="str">
        <f t="shared" ca="1" si="6"/>
        <v>120302</v>
      </c>
      <c r="CK41" s="16">
        <f t="shared" ca="1" si="0"/>
        <v>3</v>
      </c>
      <c r="CL41" s="16">
        <f t="shared" ca="1" si="1"/>
        <v>12</v>
      </c>
      <c r="CM41" s="16">
        <f t="shared" ca="1" si="2"/>
        <v>2</v>
      </c>
      <c r="CN41" s="16">
        <f t="shared" ca="1" si="3"/>
        <v>10</v>
      </c>
      <c r="CO41" s="16" t="str">
        <f t="shared" ca="1" si="16"/>
        <v>e</v>
      </c>
      <c r="CY41" s="19" t="str">
        <f t="shared" si="90"/>
        <v>39</v>
      </c>
      <c r="DA41" s="238" t="str">
        <f t="shared" si="91"/>
        <v>390201</v>
      </c>
      <c r="DB41" s="238" t="str">
        <f t="shared" si="91"/>
        <v>390202</v>
      </c>
      <c r="DC41" s="238" t="str">
        <f t="shared" si="91"/>
        <v>390203</v>
      </c>
      <c r="DD41" s="238" t="str">
        <f t="shared" si="91"/>
        <v>390204</v>
      </c>
      <c r="DE41" s="238" t="str">
        <f t="shared" si="91"/>
        <v>390251</v>
      </c>
      <c r="DF41" s="238" t="str">
        <f t="shared" si="91"/>
        <v>390206</v>
      </c>
      <c r="DH41" s="238" t="str">
        <f t="shared" si="92"/>
        <v>390301</v>
      </c>
      <c r="DI41" s="238" t="str">
        <f t="shared" si="92"/>
        <v>390302</v>
      </c>
      <c r="DJ41" s="238" t="str">
        <f t="shared" si="92"/>
        <v>390303</v>
      </c>
      <c r="DK41" s="238" t="str">
        <f t="shared" si="92"/>
        <v>390304</v>
      </c>
      <c r="DL41" s="238" t="str">
        <f t="shared" si="92"/>
        <v>390305</v>
      </c>
      <c r="DM41" s="238" t="str">
        <f t="shared" si="92"/>
        <v>390306</v>
      </c>
      <c r="DO41" s="238" t="str">
        <f t="shared" si="93"/>
        <v>390401</v>
      </c>
      <c r="DP41" s="238" t="str">
        <f t="shared" si="93"/>
        <v>390402</v>
      </c>
      <c r="DQ41" s="238" t="str">
        <f t="shared" si="93"/>
        <v>390403</v>
      </c>
      <c r="DR41" s="238" t="str">
        <f t="shared" si="93"/>
        <v>390404</v>
      </c>
      <c r="DS41" s="238" t="str">
        <f t="shared" si="93"/>
        <v>390405</v>
      </c>
      <c r="DT41" s="238" t="str">
        <f t="shared" si="93"/>
        <v>390406</v>
      </c>
      <c r="DV41" s="238" t="str">
        <f t="shared" si="94"/>
        <v>390501</v>
      </c>
      <c r="DW41" s="238" t="str">
        <f t="shared" si="94"/>
        <v>390502</v>
      </c>
      <c r="DX41" s="238" t="str">
        <f t="shared" si="94"/>
        <v>390503</v>
      </c>
      <c r="DY41" s="238" t="str">
        <f t="shared" si="94"/>
        <v>390504</v>
      </c>
      <c r="DZ41" s="238" t="str">
        <f t="shared" si="94"/>
        <v>390505</v>
      </c>
      <c r="EA41" s="238" t="str">
        <f t="shared" si="94"/>
        <v>390506</v>
      </c>
      <c r="EC41" s="238" t="str">
        <f t="shared" si="95"/>
        <v>390601</v>
      </c>
      <c r="ED41" s="238" t="str">
        <f t="shared" si="95"/>
        <v>390602</v>
      </c>
      <c r="EE41" s="238" t="str">
        <f t="shared" si="95"/>
        <v>390603</v>
      </c>
      <c r="EF41" s="238" t="str">
        <f t="shared" si="95"/>
        <v>390604</v>
      </c>
      <c r="EG41" s="238" t="str">
        <f t="shared" si="95"/>
        <v>390605</v>
      </c>
      <c r="EH41" s="238" t="str">
        <f t="shared" si="95"/>
        <v>390606</v>
      </c>
      <c r="EJ41" s="238" t="str">
        <f t="shared" si="96"/>
        <v>390701</v>
      </c>
      <c r="EK41" s="238" t="str">
        <f t="shared" si="96"/>
        <v>390702</v>
      </c>
      <c r="EL41" s="238" t="str">
        <f t="shared" si="96"/>
        <v>390703</v>
      </c>
      <c r="EM41" s="238" t="str">
        <f t="shared" si="96"/>
        <v>390704</v>
      </c>
      <c r="EN41" s="238" t="str">
        <f t="shared" si="96"/>
        <v>390705</v>
      </c>
      <c r="EO41" s="238" t="str">
        <f t="shared" si="96"/>
        <v>390706</v>
      </c>
      <c r="EQ41" s="238" t="str">
        <f t="shared" si="97"/>
        <v>390801</v>
      </c>
      <c r="ER41" s="238" t="str">
        <f t="shared" si="97"/>
        <v>390802</v>
      </c>
      <c r="ES41" s="238" t="str">
        <f t="shared" si="97"/>
        <v>390803</v>
      </c>
      <c r="ET41" s="238" t="str">
        <f t="shared" si="97"/>
        <v>390804</v>
      </c>
      <c r="EU41" s="238" t="str">
        <f t="shared" si="97"/>
        <v>390805</v>
      </c>
      <c r="EV41" s="238" t="str">
        <f t="shared" si="97"/>
        <v>390806</v>
      </c>
      <c r="EX41" s="238" t="str">
        <f t="shared" si="98"/>
        <v>390901</v>
      </c>
      <c r="EY41" s="238" t="str">
        <f t="shared" si="98"/>
        <v>390902</v>
      </c>
      <c r="EZ41" s="238" t="str">
        <f t="shared" si="98"/>
        <v>390903</v>
      </c>
      <c r="FA41" s="238" t="str">
        <f t="shared" si="98"/>
        <v>390904</v>
      </c>
      <c r="FB41" s="238" t="str">
        <f t="shared" si="98"/>
        <v>390905</v>
      </c>
      <c r="FC41" s="238" t="str">
        <f t="shared" si="98"/>
        <v>390906</v>
      </c>
      <c r="FE41" s="238" t="str">
        <f t="shared" si="99"/>
        <v>391001</v>
      </c>
      <c r="FF41" s="238" t="str">
        <f t="shared" si="99"/>
        <v>391002</v>
      </c>
      <c r="FG41" s="238" t="str">
        <f t="shared" si="99"/>
        <v>391003</v>
      </c>
      <c r="FH41" s="238" t="str">
        <f t="shared" si="99"/>
        <v>391004</v>
      </c>
      <c r="FI41" s="238" t="str">
        <f t="shared" si="99"/>
        <v>391005</v>
      </c>
      <c r="FJ41" s="238" t="str">
        <f t="shared" si="99"/>
        <v>391006</v>
      </c>
    </row>
    <row r="42" spans="2:166">
      <c r="B42" s="58" t="str">
        <f t="shared" si="67"/>
        <v>40</v>
      </c>
      <c r="C42" s="243"/>
      <c r="D42" s="239">
        <f t="shared" ca="1" si="68"/>
        <v>0</v>
      </c>
      <c r="E42" s="240">
        <f t="shared" ca="1" si="69"/>
        <v>0</v>
      </c>
      <c r="F42" s="240">
        <f t="shared" ca="1" si="70"/>
        <v>0</v>
      </c>
      <c r="G42" s="240">
        <f t="shared" ca="1" si="71"/>
        <v>0</v>
      </c>
      <c r="H42" s="240">
        <f t="shared" ca="1" si="72"/>
        <v>0</v>
      </c>
      <c r="I42" s="241">
        <f t="shared" ca="1" si="73"/>
        <v>0</v>
      </c>
      <c r="J42" s="18" t="str">
        <f t="shared" si="74"/>
        <v>40</v>
      </c>
      <c r="K42" s="239">
        <f t="shared" ca="1" si="75"/>
        <v>0</v>
      </c>
      <c r="L42" s="240">
        <f t="shared" ca="1" si="18"/>
        <v>0</v>
      </c>
      <c r="M42" s="240">
        <f t="shared" ca="1" si="19"/>
        <v>0</v>
      </c>
      <c r="N42" s="240">
        <f t="shared" ca="1" si="20"/>
        <v>0</v>
      </c>
      <c r="O42" s="240">
        <f t="shared" ca="1" si="21"/>
        <v>0</v>
      </c>
      <c r="P42" s="241">
        <f t="shared" ca="1" si="22"/>
        <v>0</v>
      </c>
      <c r="Q42" s="18" t="str">
        <f t="shared" si="76"/>
        <v>40</v>
      </c>
      <c r="R42" s="239">
        <f t="shared" ca="1" si="77"/>
        <v>0</v>
      </c>
      <c r="S42" s="240">
        <f t="shared" ca="1" si="23"/>
        <v>0</v>
      </c>
      <c r="T42" s="240">
        <f t="shared" ca="1" si="24"/>
        <v>0</v>
      </c>
      <c r="U42" s="240">
        <f t="shared" ca="1" si="25"/>
        <v>0</v>
      </c>
      <c r="V42" s="240">
        <f t="shared" ca="1" si="26"/>
        <v>0</v>
      </c>
      <c r="W42" s="241">
        <f t="shared" ca="1" si="27"/>
        <v>0</v>
      </c>
      <c r="X42" s="18" t="str">
        <f t="shared" si="78"/>
        <v>40</v>
      </c>
      <c r="Y42" s="239">
        <f t="shared" ca="1" si="79"/>
        <v>0</v>
      </c>
      <c r="Z42" s="240">
        <f t="shared" ca="1" si="28"/>
        <v>0</v>
      </c>
      <c r="AA42" s="240">
        <f t="shared" ca="1" si="29"/>
        <v>0</v>
      </c>
      <c r="AB42" s="240">
        <f t="shared" ca="1" si="30"/>
        <v>0</v>
      </c>
      <c r="AC42" s="240">
        <f t="shared" ca="1" si="31"/>
        <v>0</v>
      </c>
      <c r="AD42" s="241">
        <f t="shared" ca="1" si="32"/>
        <v>0</v>
      </c>
      <c r="AE42" s="18" t="str">
        <f t="shared" si="80"/>
        <v>40</v>
      </c>
      <c r="AF42" s="239">
        <f t="shared" ca="1" si="81"/>
        <v>0</v>
      </c>
      <c r="AG42" s="240">
        <f t="shared" ca="1" si="33"/>
        <v>0</v>
      </c>
      <c r="AH42" s="240">
        <f t="shared" ca="1" si="34"/>
        <v>0</v>
      </c>
      <c r="AI42" s="240">
        <f t="shared" ca="1" si="35"/>
        <v>0</v>
      </c>
      <c r="AJ42" s="240">
        <f t="shared" ca="1" si="36"/>
        <v>0</v>
      </c>
      <c r="AK42" s="241">
        <f t="shared" ca="1" si="37"/>
        <v>0</v>
      </c>
      <c r="AL42" s="18" t="str">
        <f t="shared" si="82"/>
        <v>40</v>
      </c>
      <c r="AM42" s="239">
        <f t="shared" ca="1" si="83"/>
        <v>0</v>
      </c>
      <c r="AN42" s="240">
        <f t="shared" ca="1" si="38"/>
        <v>0</v>
      </c>
      <c r="AO42" s="240">
        <f t="shared" ca="1" si="39"/>
        <v>0</v>
      </c>
      <c r="AP42" s="240">
        <f t="shared" ca="1" si="40"/>
        <v>0</v>
      </c>
      <c r="AQ42" s="240">
        <f t="shared" ca="1" si="41"/>
        <v>0</v>
      </c>
      <c r="AR42" s="241">
        <f t="shared" ca="1" si="42"/>
        <v>0</v>
      </c>
      <c r="AS42" s="18" t="str">
        <f t="shared" si="84"/>
        <v>40</v>
      </c>
      <c r="AT42" s="239">
        <f t="shared" ca="1" si="85"/>
        <v>0</v>
      </c>
      <c r="AU42" s="240">
        <f t="shared" ca="1" si="43"/>
        <v>0</v>
      </c>
      <c r="AV42" s="240">
        <f t="shared" ca="1" si="44"/>
        <v>0</v>
      </c>
      <c r="AW42" s="240">
        <f t="shared" ca="1" si="45"/>
        <v>0</v>
      </c>
      <c r="AX42" s="240">
        <f t="shared" ca="1" si="46"/>
        <v>0</v>
      </c>
      <c r="AY42" s="241">
        <f t="shared" ca="1" si="47"/>
        <v>0</v>
      </c>
      <c r="AZ42" s="18" t="str">
        <f t="shared" si="86"/>
        <v>40</v>
      </c>
      <c r="BA42" s="239">
        <f t="shared" ca="1" si="87"/>
        <v>0</v>
      </c>
      <c r="BB42" s="240">
        <f t="shared" ca="1" si="48"/>
        <v>0</v>
      </c>
      <c r="BC42" s="240">
        <f t="shared" ca="1" si="49"/>
        <v>0</v>
      </c>
      <c r="BD42" s="240">
        <f t="shared" ca="1" si="50"/>
        <v>0</v>
      </c>
      <c r="BE42" s="240">
        <f t="shared" ca="1" si="51"/>
        <v>0</v>
      </c>
      <c r="BF42" s="241">
        <f t="shared" ca="1" si="52"/>
        <v>0</v>
      </c>
      <c r="BG42" s="18" t="str">
        <f t="shared" si="88"/>
        <v>40</v>
      </c>
      <c r="BH42" s="239">
        <f t="shared" ca="1" si="89"/>
        <v>0</v>
      </c>
      <c r="BI42" s="240">
        <f t="shared" ca="1" si="53"/>
        <v>0</v>
      </c>
      <c r="BJ42" s="240">
        <f t="shared" ca="1" si="54"/>
        <v>0</v>
      </c>
      <c r="BK42" s="240">
        <f t="shared" ca="1" si="55"/>
        <v>0</v>
      </c>
      <c r="BL42" s="240">
        <f t="shared" ca="1" si="56"/>
        <v>0</v>
      </c>
      <c r="BM42" s="241">
        <f t="shared" ca="1" si="57"/>
        <v>0</v>
      </c>
      <c r="CA42" s="16">
        <f t="shared" ca="1" si="8"/>
        <v>69</v>
      </c>
      <c r="CB42" s="16">
        <f t="shared" ca="1" si="9"/>
        <v>66</v>
      </c>
      <c r="CC42" s="16">
        <f t="shared" ca="1" si="10"/>
        <v>20</v>
      </c>
      <c r="CD42" s="16" t="str">
        <f t="shared" ca="1" si="11"/>
        <v>Intro!E</v>
      </c>
      <c r="CE42" s="16">
        <f t="shared" ca="1" si="12"/>
        <v>66</v>
      </c>
      <c r="CF42" s="16" t="str">
        <f t="shared" ca="1" si="13"/>
        <v>Intro!E66</v>
      </c>
      <c r="CH42" s="16" t="str">
        <f t="shared" ca="1" si="14"/>
        <v>Intro!E66:F86</v>
      </c>
      <c r="CI42" s="16" t="str">
        <f t="shared" ca="1" si="15"/>
        <v>120303_06e</v>
      </c>
      <c r="CJ42" s="16" t="str">
        <f t="shared" ca="1" si="6"/>
        <v>120303</v>
      </c>
      <c r="CK42" s="16">
        <f t="shared" ca="1" si="0"/>
        <v>3</v>
      </c>
      <c r="CL42" s="16">
        <f t="shared" ca="1" si="1"/>
        <v>12</v>
      </c>
      <c r="CM42" s="16">
        <f t="shared" ca="1" si="2"/>
        <v>3</v>
      </c>
      <c r="CN42" s="16">
        <f t="shared" ca="1" si="3"/>
        <v>6</v>
      </c>
      <c r="CO42" s="16" t="str">
        <f t="shared" ca="1" si="16"/>
        <v>e</v>
      </c>
      <c r="CY42" s="19" t="str">
        <f t="shared" si="90"/>
        <v>40</v>
      </c>
      <c r="DA42" s="238" t="str">
        <f t="shared" si="91"/>
        <v>400201</v>
      </c>
      <c r="DB42" s="238" t="str">
        <f t="shared" si="91"/>
        <v>400202</v>
      </c>
      <c r="DC42" s="238" t="str">
        <f t="shared" si="91"/>
        <v>400203</v>
      </c>
      <c r="DD42" s="238" t="str">
        <f t="shared" si="91"/>
        <v>400204</v>
      </c>
      <c r="DE42" s="238" t="str">
        <f t="shared" si="91"/>
        <v>400251</v>
      </c>
      <c r="DF42" s="238" t="str">
        <f t="shared" si="91"/>
        <v>400206</v>
      </c>
      <c r="DH42" s="238" t="str">
        <f t="shared" si="92"/>
        <v>400301</v>
      </c>
      <c r="DI42" s="238" t="str">
        <f t="shared" si="92"/>
        <v>400302</v>
      </c>
      <c r="DJ42" s="238" t="str">
        <f t="shared" si="92"/>
        <v>400303</v>
      </c>
      <c r="DK42" s="238" t="str">
        <f t="shared" si="92"/>
        <v>400304</v>
      </c>
      <c r="DL42" s="238" t="str">
        <f t="shared" si="92"/>
        <v>400305</v>
      </c>
      <c r="DM42" s="238" t="str">
        <f t="shared" si="92"/>
        <v>400306</v>
      </c>
      <c r="DO42" s="238" t="str">
        <f t="shared" si="93"/>
        <v>400401</v>
      </c>
      <c r="DP42" s="238" t="str">
        <f t="shared" si="93"/>
        <v>400402</v>
      </c>
      <c r="DQ42" s="238" t="str">
        <f t="shared" si="93"/>
        <v>400403</v>
      </c>
      <c r="DR42" s="238" t="str">
        <f t="shared" si="93"/>
        <v>400404</v>
      </c>
      <c r="DS42" s="238" t="str">
        <f t="shared" si="93"/>
        <v>400405</v>
      </c>
      <c r="DT42" s="238" t="str">
        <f t="shared" si="93"/>
        <v>400406</v>
      </c>
      <c r="DV42" s="238" t="str">
        <f t="shared" si="94"/>
        <v>400501</v>
      </c>
      <c r="DW42" s="238" t="str">
        <f t="shared" si="94"/>
        <v>400502</v>
      </c>
      <c r="DX42" s="238" t="str">
        <f t="shared" si="94"/>
        <v>400503</v>
      </c>
      <c r="DY42" s="238" t="str">
        <f t="shared" si="94"/>
        <v>400504</v>
      </c>
      <c r="DZ42" s="238" t="str">
        <f t="shared" si="94"/>
        <v>400505</v>
      </c>
      <c r="EA42" s="238" t="str">
        <f t="shared" si="94"/>
        <v>400506</v>
      </c>
      <c r="EC42" s="238" t="str">
        <f t="shared" si="95"/>
        <v>400601</v>
      </c>
      <c r="ED42" s="238" t="str">
        <f t="shared" si="95"/>
        <v>400602</v>
      </c>
      <c r="EE42" s="238" t="str">
        <f t="shared" si="95"/>
        <v>400603</v>
      </c>
      <c r="EF42" s="238" t="str">
        <f t="shared" si="95"/>
        <v>400604</v>
      </c>
      <c r="EG42" s="238" t="str">
        <f t="shared" si="95"/>
        <v>400605</v>
      </c>
      <c r="EH42" s="238" t="str">
        <f t="shared" si="95"/>
        <v>400606</v>
      </c>
      <c r="EJ42" s="238" t="str">
        <f t="shared" si="96"/>
        <v>400701</v>
      </c>
      <c r="EK42" s="238" t="str">
        <f t="shared" si="96"/>
        <v>400702</v>
      </c>
      <c r="EL42" s="238" t="str">
        <f t="shared" si="96"/>
        <v>400703</v>
      </c>
      <c r="EM42" s="238" t="str">
        <f t="shared" si="96"/>
        <v>400704</v>
      </c>
      <c r="EN42" s="238" t="str">
        <f t="shared" si="96"/>
        <v>400705</v>
      </c>
      <c r="EO42" s="238" t="str">
        <f t="shared" si="96"/>
        <v>400706</v>
      </c>
      <c r="EQ42" s="238" t="str">
        <f t="shared" si="97"/>
        <v>400801</v>
      </c>
      <c r="ER42" s="238" t="str">
        <f t="shared" si="97"/>
        <v>400802</v>
      </c>
      <c r="ES42" s="238" t="str">
        <f t="shared" si="97"/>
        <v>400803</v>
      </c>
      <c r="ET42" s="238" t="str">
        <f t="shared" si="97"/>
        <v>400804</v>
      </c>
      <c r="EU42" s="238" t="str">
        <f t="shared" si="97"/>
        <v>400805</v>
      </c>
      <c r="EV42" s="238" t="str">
        <f t="shared" si="97"/>
        <v>400806</v>
      </c>
      <c r="EX42" s="238" t="str">
        <f t="shared" si="98"/>
        <v>400901</v>
      </c>
      <c r="EY42" s="238" t="str">
        <f t="shared" si="98"/>
        <v>400902</v>
      </c>
      <c r="EZ42" s="238" t="str">
        <f t="shared" si="98"/>
        <v>400903</v>
      </c>
      <c r="FA42" s="238" t="str">
        <f t="shared" si="98"/>
        <v>400904</v>
      </c>
      <c r="FB42" s="238" t="str">
        <f t="shared" si="98"/>
        <v>400905</v>
      </c>
      <c r="FC42" s="238" t="str">
        <f t="shared" si="98"/>
        <v>400906</v>
      </c>
      <c r="FE42" s="238" t="str">
        <f t="shared" si="99"/>
        <v>401001</v>
      </c>
      <c r="FF42" s="238" t="str">
        <f t="shared" si="99"/>
        <v>401002</v>
      </c>
      <c r="FG42" s="238" t="str">
        <f t="shared" si="99"/>
        <v>401003</v>
      </c>
      <c r="FH42" s="238" t="str">
        <f t="shared" si="99"/>
        <v>401004</v>
      </c>
      <c r="FI42" s="238" t="str">
        <f t="shared" si="99"/>
        <v>401005</v>
      </c>
      <c r="FJ42" s="238" t="str">
        <f t="shared" si="99"/>
        <v>401006</v>
      </c>
    </row>
    <row r="43" spans="2:166">
      <c r="CA43" s="16">
        <f t="shared" ca="1" si="8"/>
        <v>69</v>
      </c>
      <c r="CB43" s="16">
        <f t="shared" ca="1" si="9"/>
        <v>67</v>
      </c>
      <c r="CC43" s="16">
        <f t="shared" ca="1" si="10"/>
        <v>19</v>
      </c>
      <c r="CD43" s="16" t="str">
        <f t="shared" ca="1" si="11"/>
        <v>Intro!E</v>
      </c>
      <c r="CE43" s="16">
        <f t="shared" ca="1" si="12"/>
        <v>67</v>
      </c>
      <c r="CF43" s="16" t="str">
        <f t="shared" ca="1" si="13"/>
        <v>Intro!E67</v>
      </c>
      <c r="CH43" s="16" t="str">
        <f t="shared" ca="1" si="14"/>
        <v>Intro!E67:F86</v>
      </c>
      <c r="CI43" s="16" t="str">
        <f t="shared" ca="1" si="15"/>
        <v>120303_06c</v>
      </c>
      <c r="CJ43" s="16" t="str">
        <f t="shared" ca="1" si="6"/>
        <v>120303</v>
      </c>
      <c r="CK43" s="16">
        <f t="shared" ca="1" si="0"/>
        <v>3</v>
      </c>
      <c r="CL43" s="16">
        <f t="shared" ca="1" si="1"/>
        <v>12</v>
      </c>
      <c r="CM43" s="16">
        <f t="shared" ca="1" si="2"/>
        <v>3</v>
      </c>
      <c r="CN43" s="16">
        <f t="shared" ca="1" si="3"/>
        <v>6</v>
      </c>
      <c r="CO43" s="16" t="str">
        <f t="shared" ca="1" si="16"/>
        <v>c</v>
      </c>
      <c r="CY43" s="19" t="str">
        <f t="shared" si="90"/>
        <v>41</v>
      </c>
      <c r="DA43" s="238" t="str">
        <f t="shared" si="91"/>
        <v>410201</v>
      </c>
      <c r="DB43" s="238" t="str">
        <f t="shared" si="91"/>
        <v>410202</v>
      </c>
      <c r="DC43" s="238" t="str">
        <f t="shared" si="91"/>
        <v>410203</v>
      </c>
      <c r="DD43" s="238" t="str">
        <f t="shared" si="91"/>
        <v>410204</v>
      </c>
      <c r="DE43" s="238" t="str">
        <f t="shared" si="91"/>
        <v>410251</v>
      </c>
      <c r="DF43" s="238" t="str">
        <f t="shared" si="91"/>
        <v>410206</v>
      </c>
      <c r="DH43" s="238" t="str">
        <f t="shared" si="92"/>
        <v>410301</v>
      </c>
      <c r="DI43" s="238" t="str">
        <f t="shared" si="92"/>
        <v>410302</v>
      </c>
      <c r="DJ43" s="238" t="str">
        <f t="shared" si="92"/>
        <v>410303</v>
      </c>
      <c r="DK43" s="238" t="str">
        <f t="shared" si="92"/>
        <v>410304</v>
      </c>
      <c r="DL43" s="238" t="str">
        <f t="shared" si="92"/>
        <v>410305</v>
      </c>
      <c r="DM43" s="238" t="str">
        <f t="shared" si="92"/>
        <v>410306</v>
      </c>
      <c r="DO43" s="238" t="str">
        <f t="shared" si="93"/>
        <v>410401</v>
      </c>
      <c r="DP43" s="238" t="str">
        <f t="shared" si="93"/>
        <v>410402</v>
      </c>
      <c r="DQ43" s="238" t="str">
        <f t="shared" si="93"/>
        <v>410403</v>
      </c>
      <c r="DR43" s="238" t="str">
        <f t="shared" si="93"/>
        <v>410404</v>
      </c>
      <c r="DS43" s="238" t="str">
        <f t="shared" si="93"/>
        <v>410405</v>
      </c>
      <c r="DT43" s="238" t="str">
        <f t="shared" si="93"/>
        <v>410406</v>
      </c>
      <c r="DV43" s="238" t="str">
        <f t="shared" si="94"/>
        <v>410501</v>
      </c>
      <c r="DW43" s="238" t="str">
        <f t="shared" si="94"/>
        <v>410502</v>
      </c>
      <c r="DX43" s="238" t="str">
        <f t="shared" si="94"/>
        <v>410503</v>
      </c>
      <c r="DY43" s="238" t="str">
        <f t="shared" si="94"/>
        <v>410504</v>
      </c>
      <c r="DZ43" s="238" t="str">
        <f t="shared" si="94"/>
        <v>410505</v>
      </c>
      <c r="EA43" s="238" t="str">
        <f t="shared" si="94"/>
        <v>410506</v>
      </c>
      <c r="EC43" s="238" t="str">
        <f t="shared" si="95"/>
        <v>410601</v>
      </c>
      <c r="ED43" s="238" t="str">
        <f t="shared" si="95"/>
        <v>410602</v>
      </c>
      <c r="EE43" s="238" t="str">
        <f t="shared" si="95"/>
        <v>410603</v>
      </c>
      <c r="EF43" s="238" t="str">
        <f t="shared" si="95"/>
        <v>410604</v>
      </c>
      <c r="EG43" s="238" t="str">
        <f t="shared" si="95"/>
        <v>410605</v>
      </c>
      <c r="EH43" s="238" t="str">
        <f t="shared" si="95"/>
        <v>410606</v>
      </c>
      <c r="EJ43" s="238" t="str">
        <f t="shared" si="96"/>
        <v>410701</v>
      </c>
      <c r="EK43" s="238" t="str">
        <f t="shared" si="96"/>
        <v>410702</v>
      </c>
      <c r="EL43" s="238" t="str">
        <f t="shared" si="96"/>
        <v>410703</v>
      </c>
      <c r="EM43" s="238" t="str">
        <f t="shared" si="96"/>
        <v>410704</v>
      </c>
      <c r="EN43" s="238" t="str">
        <f t="shared" si="96"/>
        <v>410705</v>
      </c>
      <c r="EO43" s="238" t="str">
        <f t="shared" si="96"/>
        <v>410706</v>
      </c>
      <c r="EQ43" s="238" t="str">
        <f t="shared" si="97"/>
        <v>410801</v>
      </c>
      <c r="ER43" s="238" t="str">
        <f t="shared" si="97"/>
        <v>410802</v>
      </c>
      <c r="ES43" s="238" t="str">
        <f t="shared" si="97"/>
        <v>410803</v>
      </c>
      <c r="ET43" s="238" t="str">
        <f t="shared" si="97"/>
        <v>410804</v>
      </c>
      <c r="EU43" s="238" t="str">
        <f t="shared" si="97"/>
        <v>410805</v>
      </c>
      <c r="EV43" s="238" t="str">
        <f t="shared" si="97"/>
        <v>410806</v>
      </c>
      <c r="EX43" s="238" t="str">
        <f t="shared" si="98"/>
        <v>410901</v>
      </c>
      <c r="EY43" s="238" t="str">
        <f t="shared" si="98"/>
        <v>410902</v>
      </c>
      <c r="EZ43" s="238" t="str">
        <f t="shared" si="98"/>
        <v>410903</v>
      </c>
      <c r="FA43" s="238" t="str">
        <f t="shared" si="98"/>
        <v>410904</v>
      </c>
      <c r="FB43" s="238" t="str">
        <f t="shared" si="98"/>
        <v>410905</v>
      </c>
      <c r="FC43" s="238" t="str">
        <f t="shared" si="98"/>
        <v>410906</v>
      </c>
      <c r="FE43" s="238" t="str">
        <f t="shared" si="99"/>
        <v>411001</v>
      </c>
      <c r="FF43" s="238" t="str">
        <f t="shared" si="99"/>
        <v>411002</v>
      </c>
      <c r="FG43" s="238" t="str">
        <f t="shared" si="99"/>
        <v>411003</v>
      </c>
      <c r="FH43" s="238" t="str">
        <f t="shared" si="99"/>
        <v>411004</v>
      </c>
      <c r="FI43" s="238" t="str">
        <f t="shared" si="99"/>
        <v>411005</v>
      </c>
      <c r="FJ43" s="238" t="str">
        <f t="shared" si="99"/>
        <v>411006</v>
      </c>
    </row>
    <row r="44" spans="2:166">
      <c r="CA44" s="16">
        <f t="shared" ref="CA44:CA107" ca="1" si="100">IF(CC43-1=0,CA43+2,CA43)</f>
        <v>69</v>
      </c>
      <c r="CB44" s="16">
        <f t="shared" ref="CB44:CB107" ca="1" si="101">IF(CC43-1=0,CB$1,CB43+1)</f>
        <v>68</v>
      </c>
      <c r="CC44" s="16">
        <f t="shared" ref="CC44:CC107" ca="1" si="102">INDIRECT(CF44)</f>
        <v>18</v>
      </c>
      <c r="CD44" s="16" t="str">
        <f t="shared" ref="CD44:CD107" ca="1" si="103">CONCATENATE("Intro!",CHAR(CA44))</f>
        <v>Intro!E</v>
      </c>
      <c r="CE44" s="16">
        <f t="shared" ref="CE44:CE107" ca="1" si="104">CB44</f>
        <v>68</v>
      </c>
      <c r="CF44" s="16" t="str">
        <f t="shared" ref="CF44:CF107" ca="1" si="105">CONCATENATE(CD44,CE44)</f>
        <v>Intro!E68</v>
      </c>
      <c r="CH44" s="16" t="str">
        <f t="shared" ref="CH44:CH107" ca="1" si="106">CONCATENATE(CF44,":",CHAR(CA44+1),(CB44+CC44))</f>
        <v>Intro!E68:F86</v>
      </c>
      <c r="CI44" s="16" t="str">
        <f t="shared" ref="CI44:CI107" ca="1" si="107">VLOOKUP(CC44,INDIRECT(CH44),2,FALSE)</f>
        <v>130301_26e</v>
      </c>
      <c r="CJ44" s="16" t="str">
        <f t="shared" ca="1" si="6"/>
        <v>130301</v>
      </c>
      <c r="CK44" s="16">
        <f t="shared" ref="CK44:CK107" ca="1" si="108">VALUE(MID(CI44,3,2))</f>
        <v>3</v>
      </c>
      <c r="CL44" s="16">
        <f t="shared" ref="CL44:CL107" ca="1" si="109">VALUE(MID(CI44,1,2))</f>
        <v>13</v>
      </c>
      <c r="CM44" s="16">
        <f t="shared" ref="CM44:CM107" ca="1" si="110">VALUE(MID(CI44,5,2))</f>
        <v>1</v>
      </c>
      <c r="CN44" s="16">
        <f t="shared" ref="CN44:CN107" ca="1" si="111">VALUE(MID(CI44,8,2))</f>
        <v>26</v>
      </c>
      <c r="CO44" s="16" t="str">
        <f t="shared" ref="CO44:CO107" ca="1" si="112">RIGHT(CI44,1)</f>
        <v>e</v>
      </c>
      <c r="CY44" s="19" t="str">
        <f t="shared" si="90"/>
        <v>42</v>
      </c>
      <c r="DA44" s="238" t="str">
        <f t="shared" si="91"/>
        <v>420201</v>
      </c>
      <c r="DB44" s="238" t="str">
        <f t="shared" si="91"/>
        <v>420202</v>
      </c>
      <c r="DC44" s="238" t="str">
        <f t="shared" si="91"/>
        <v>420203</v>
      </c>
      <c r="DD44" s="238" t="str">
        <f t="shared" si="91"/>
        <v>420204</v>
      </c>
      <c r="DE44" s="238" t="str">
        <f t="shared" si="91"/>
        <v>420251</v>
      </c>
      <c r="DF44" s="238" t="str">
        <f t="shared" si="91"/>
        <v>420206</v>
      </c>
      <c r="DH44" s="238" t="str">
        <f t="shared" si="92"/>
        <v>420301</v>
      </c>
      <c r="DI44" s="238" t="str">
        <f t="shared" si="92"/>
        <v>420302</v>
      </c>
      <c r="DJ44" s="238" t="str">
        <f t="shared" si="92"/>
        <v>420303</v>
      </c>
      <c r="DK44" s="238" t="str">
        <f t="shared" si="92"/>
        <v>420304</v>
      </c>
      <c r="DL44" s="238" t="str">
        <f t="shared" si="92"/>
        <v>420305</v>
      </c>
      <c r="DM44" s="238" t="str">
        <f t="shared" si="92"/>
        <v>420306</v>
      </c>
      <c r="DO44" s="238" t="str">
        <f t="shared" si="93"/>
        <v>420401</v>
      </c>
      <c r="DP44" s="238" t="str">
        <f t="shared" si="93"/>
        <v>420402</v>
      </c>
      <c r="DQ44" s="238" t="str">
        <f t="shared" si="93"/>
        <v>420403</v>
      </c>
      <c r="DR44" s="238" t="str">
        <f t="shared" si="93"/>
        <v>420404</v>
      </c>
      <c r="DS44" s="238" t="str">
        <f t="shared" si="93"/>
        <v>420405</v>
      </c>
      <c r="DT44" s="238" t="str">
        <f t="shared" si="93"/>
        <v>420406</v>
      </c>
      <c r="DV44" s="238" t="str">
        <f t="shared" si="94"/>
        <v>420501</v>
      </c>
      <c r="DW44" s="238" t="str">
        <f t="shared" si="94"/>
        <v>420502</v>
      </c>
      <c r="DX44" s="238" t="str">
        <f t="shared" si="94"/>
        <v>420503</v>
      </c>
      <c r="DY44" s="238" t="str">
        <f t="shared" si="94"/>
        <v>420504</v>
      </c>
      <c r="DZ44" s="238" t="str">
        <f t="shared" si="94"/>
        <v>420505</v>
      </c>
      <c r="EA44" s="238" t="str">
        <f t="shared" si="94"/>
        <v>420506</v>
      </c>
      <c r="EC44" s="238" t="str">
        <f t="shared" si="95"/>
        <v>420601</v>
      </c>
      <c r="ED44" s="238" t="str">
        <f t="shared" si="95"/>
        <v>420602</v>
      </c>
      <c r="EE44" s="238" t="str">
        <f t="shared" si="95"/>
        <v>420603</v>
      </c>
      <c r="EF44" s="238" t="str">
        <f t="shared" si="95"/>
        <v>420604</v>
      </c>
      <c r="EG44" s="238" t="str">
        <f t="shared" si="95"/>
        <v>420605</v>
      </c>
      <c r="EH44" s="238" t="str">
        <f t="shared" si="95"/>
        <v>420606</v>
      </c>
      <c r="EJ44" s="238" t="str">
        <f t="shared" si="96"/>
        <v>420701</v>
      </c>
      <c r="EK44" s="238" t="str">
        <f t="shared" si="96"/>
        <v>420702</v>
      </c>
      <c r="EL44" s="238" t="str">
        <f t="shared" si="96"/>
        <v>420703</v>
      </c>
      <c r="EM44" s="238" t="str">
        <f t="shared" si="96"/>
        <v>420704</v>
      </c>
      <c r="EN44" s="238" t="str">
        <f t="shared" si="96"/>
        <v>420705</v>
      </c>
      <c r="EO44" s="238" t="str">
        <f t="shared" si="96"/>
        <v>420706</v>
      </c>
      <c r="EQ44" s="238" t="str">
        <f t="shared" si="97"/>
        <v>420801</v>
      </c>
      <c r="ER44" s="238" t="str">
        <f t="shared" si="97"/>
        <v>420802</v>
      </c>
      <c r="ES44" s="238" t="str">
        <f t="shared" si="97"/>
        <v>420803</v>
      </c>
      <c r="ET44" s="238" t="str">
        <f t="shared" si="97"/>
        <v>420804</v>
      </c>
      <c r="EU44" s="238" t="str">
        <f t="shared" si="97"/>
        <v>420805</v>
      </c>
      <c r="EV44" s="238" t="str">
        <f t="shared" si="97"/>
        <v>420806</v>
      </c>
      <c r="EX44" s="238" t="str">
        <f t="shared" si="98"/>
        <v>420901</v>
      </c>
      <c r="EY44" s="238" t="str">
        <f t="shared" si="98"/>
        <v>420902</v>
      </c>
      <c r="EZ44" s="238" t="str">
        <f t="shared" si="98"/>
        <v>420903</v>
      </c>
      <c r="FA44" s="238" t="str">
        <f t="shared" si="98"/>
        <v>420904</v>
      </c>
      <c r="FB44" s="238" t="str">
        <f t="shared" si="98"/>
        <v>420905</v>
      </c>
      <c r="FC44" s="238" t="str">
        <f t="shared" si="98"/>
        <v>420906</v>
      </c>
      <c r="FE44" s="238" t="str">
        <f t="shared" si="99"/>
        <v>421001</v>
      </c>
      <c r="FF44" s="238" t="str">
        <f t="shared" si="99"/>
        <v>421002</v>
      </c>
      <c r="FG44" s="238" t="str">
        <f t="shared" si="99"/>
        <v>421003</v>
      </c>
      <c r="FH44" s="238" t="str">
        <f t="shared" si="99"/>
        <v>421004</v>
      </c>
      <c r="FI44" s="238" t="str">
        <f t="shared" si="99"/>
        <v>421005</v>
      </c>
      <c r="FJ44" s="238" t="str">
        <f t="shared" si="99"/>
        <v>421006</v>
      </c>
    </row>
    <row r="45" spans="2:166">
      <c r="D45" s="30" t="s">
        <v>805</v>
      </c>
      <c r="K45" s="30" t="s">
        <v>807</v>
      </c>
      <c r="CA45" s="16">
        <f t="shared" ca="1" si="100"/>
        <v>69</v>
      </c>
      <c r="CB45" s="16">
        <f t="shared" ca="1" si="101"/>
        <v>69</v>
      </c>
      <c r="CC45" s="16">
        <f t="shared" ca="1" si="102"/>
        <v>17</v>
      </c>
      <c r="CD45" s="16" t="str">
        <f t="shared" ca="1" si="103"/>
        <v>Intro!E</v>
      </c>
      <c r="CE45" s="16">
        <f t="shared" ca="1" si="104"/>
        <v>69</v>
      </c>
      <c r="CF45" s="16" t="str">
        <f t="shared" ca="1" si="105"/>
        <v>Intro!E69</v>
      </c>
      <c r="CH45" s="16" t="str">
        <f t="shared" ca="1" si="106"/>
        <v>Intro!E69:F86</v>
      </c>
      <c r="CI45" s="16" t="str">
        <f t="shared" ca="1" si="107"/>
        <v>130301_26c</v>
      </c>
      <c r="CJ45" s="16" t="str">
        <f t="shared" ca="1" si="6"/>
        <v>130301</v>
      </c>
      <c r="CK45" s="16">
        <f t="shared" ca="1" si="108"/>
        <v>3</v>
      </c>
      <c r="CL45" s="16">
        <f t="shared" ca="1" si="109"/>
        <v>13</v>
      </c>
      <c r="CM45" s="16">
        <f t="shared" ca="1" si="110"/>
        <v>1</v>
      </c>
      <c r="CN45" s="16">
        <f t="shared" ca="1" si="111"/>
        <v>26</v>
      </c>
      <c r="CO45" s="16" t="str">
        <f t="shared" ca="1" si="112"/>
        <v>c</v>
      </c>
      <c r="CY45" s="19" t="str">
        <f t="shared" si="90"/>
        <v>43</v>
      </c>
      <c r="DA45" s="238" t="str">
        <f t="shared" si="91"/>
        <v>430201</v>
      </c>
      <c r="DB45" s="238" t="str">
        <f t="shared" si="91"/>
        <v>430202</v>
      </c>
      <c r="DC45" s="238" t="str">
        <f t="shared" si="91"/>
        <v>430203</v>
      </c>
      <c r="DD45" s="238" t="str">
        <f t="shared" si="91"/>
        <v>430204</v>
      </c>
      <c r="DE45" s="238" t="str">
        <f t="shared" si="91"/>
        <v>430251</v>
      </c>
      <c r="DF45" s="238" t="str">
        <f t="shared" si="91"/>
        <v>430206</v>
      </c>
      <c r="DH45" s="238" t="str">
        <f t="shared" si="92"/>
        <v>430301</v>
      </c>
      <c r="DI45" s="238" t="str">
        <f t="shared" si="92"/>
        <v>430302</v>
      </c>
      <c r="DJ45" s="238" t="str">
        <f t="shared" si="92"/>
        <v>430303</v>
      </c>
      <c r="DK45" s="238" t="str">
        <f t="shared" si="92"/>
        <v>430304</v>
      </c>
      <c r="DL45" s="238" t="str">
        <f t="shared" si="92"/>
        <v>430305</v>
      </c>
      <c r="DM45" s="238" t="str">
        <f t="shared" si="92"/>
        <v>430306</v>
      </c>
      <c r="DO45" s="238" t="str">
        <f t="shared" si="93"/>
        <v>430401</v>
      </c>
      <c r="DP45" s="238" t="str">
        <f t="shared" si="93"/>
        <v>430402</v>
      </c>
      <c r="DQ45" s="238" t="str">
        <f t="shared" si="93"/>
        <v>430403</v>
      </c>
      <c r="DR45" s="238" t="str">
        <f t="shared" si="93"/>
        <v>430404</v>
      </c>
      <c r="DS45" s="238" t="str">
        <f t="shared" si="93"/>
        <v>430405</v>
      </c>
      <c r="DT45" s="238" t="str">
        <f t="shared" si="93"/>
        <v>430406</v>
      </c>
      <c r="DV45" s="238" t="str">
        <f t="shared" si="94"/>
        <v>430501</v>
      </c>
      <c r="DW45" s="238" t="str">
        <f t="shared" si="94"/>
        <v>430502</v>
      </c>
      <c r="DX45" s="238" t="str">
        <f t="shared" si="94"/>
        <v>430503</v>
      </c>
      <c r="DY45" s="238" t="str">
        <f t="shared" si="94"/>
        <v>430504</v>
      </c>
      <c r="DZ45" s="238" t="str">
        <f t="shared" si="94"/>
        <v>430505</v>
      </c>
      <c r="EA45" s="238" t="str">
        <f t="shared" si="94"/>
        <v>430506</v>
      </c>
      <c r="EC45" s="238" t="str">
        <f t="shared" si="95"/>
        <v>430601</v>
      </c>
      <c r="ED45" s="238" t="str">
        <f t="shared" si="95"/>
        <v>430602</v>
      </c>
      <c r="EE45" s="238" t="str">
        <f t="shared" si="95"/>
        <v>430603</v>
      </c>
      <c r="EF45" s="238" t="str">
        <f t="shared" si="95"/>
        <v>430604</v>
      </c>
      <c r="EG45" s="238" t="str">
        <f t="shared" si="95"/>
        <v>430605</v>
      </c>
      <c r="EH45" s="238" t="str">
        <f t="shared" si="95"/>
        <v>430606</v>
      </c>
      <c r="EJ45" s="238" t="str">
        <f t="shared" si="96"/>
        <v>430701</v>
      </c>
      <c r="EK45" s="238" t="str">
        <f t="shared" si="96"/>
        <v>430702</v>
      </c>
      <c r="EL45" s="238" t="str">
        <f t="shared" si="96"/>
        <v>430703</v>
      </c>
      <c r="EM45" s="238" t="str">
        <f t="shared" si="96"/>
        <v>430704</v>
      </c>
      <c r="EN45" s="238" t="str">
        <f t="shared" si="96"/>
        <v>430705</v>
      </c>
      <c r="EO45" s="238" t="str">
        <f t="shared" si="96"/>
        <v>430706</v>
      </c>
      <c r="EQ45" s="238" t="str">
        <f t="shared" si="97"/>
        <v>430801</v>
      </c>
      <c r="ER45" s="238" t="str">
        <f t="shared" si="97"/>
        <v>430802</v>
      </c>
      <c r="ES45" s="238" t="str">
        <f t="shared" si="97"/>
        <v>430803</v>
      </c>
      <c r="ET45" s="238" t="str">
        <f t="shared" si="97"/>
        <v>430804</v>
      </c>
      <c r="EU45" s="238" t="str">
        <f t="shared" si="97"/>
        <v>430805</v>
      </c>
      <c r="EV45" s="238" t="str">
        <f t="shared" si="97"/>
        <v>430806</v>
      </c>
      <c r="EX45" s="238" t="str">
        <f t="shared" si="98"/>
        <v>430901</v>
      </c>
      <c r="EY45" s="238" t="str">
        <f t="shared" si="98"/>
        <v>430902</v>
      </c>
      <c r="EZ45" s="238" t="str">
        <f t="shared" si="98"/>
        <v>430903</v>
      </c>
      <c r="FA45" s="238" t="str">
        <f t="shared" si="98"/>
        <v>430904</v>
      </c>
      <c r="FB45" s="238" t="str">
        <f t="shared" si="98"/>
        <v>430905</v>
      </c>
      <c r="FC45" s="238" t="str">
        <f t="shared" si="98"/>
        <v>430906</v>
      </c>
      <c r="FE45" s="238" t="str">
        <f t="shared" si="99"/>
        <v>431001</v>
      </c>
      <c r="FF45" s="238" t="str">
        <f t="shared" si="99"/>
        <v>431002</v>
      </c>
      <c r="FG45" s="238" t="str">
        <f t="shared" si="99"/>
        <v>431003</v>
      </c>
      <c r="FH45" s="238" t="str">
        <f t="shared" si="99"/>
        <v>431004</v>
      </c>
      <c r="FI45" s="238" t="str">
        <f t="shared" si="99"/>
        <v>431005</v>
      </c>
      <c r="FJ45" s="238" t="str">
        <f t="shared" si="99"/>
        <v>431006</v>
      </c>
    </row>
    <row r="46" spans="2:166">
      <c r="L46" s="30" t="s">
        <v>808</v>
      </c>
      <c r="CA46" s="16">
        <f t="shared" ca="1" si="100"/>
        <v>69</v>
      </c>
      <c r="CB46" s="16">
        <f t="shared" ca="1" si="101"/>
        <v>70</v>
      </c>
      <c r="CC46" s="16">
        <f t="shared" ca="1" si="102"/>
        <v>16</v>
      </c>
      <c r="CD46" s="16" t="str">
        <f t="shared" ca="1" si="103"/>
        <v>Intro!E</v>
      </c>
      <c r="CE46" s="16">
        <f t="shared" ca="1" si="104"/>
        <v>70</v>
      </c>
      <c r="CF46" s="16" t="str">
        <f t="shared" ca="1" si="105"/>
        <v>Intro!E70</v>
      </c>
      <c r="CH46" s="16" t="str">
        <f t="shared" ca="1" si="106"/>
        <v>Intro!E70:F86</v>
      </c>
      <c r="CI46" s="16" t="str">
        <f t="shared" ca="1" si="107"/>
        <v>130302_13e</v>
      </c>
      <c r="CJ46" s="16" t="str">
        <f t="shared" ca="1" si="6"/>
        <v>130302</v>
      </c>
      <c r="CK46" s="16">
        <f t="shared" ca="1" si="108"/>
        <v>3</v>
      </c>
      <c r="CL46" s="16">
        <f t="shared" ca="1" si="109"/>
        <v>13</v>
      </c>
      <c r="CM46" s="16">
        <f t="shared" ca="1" si="110"/>
        <v>2</v>
      </c>
      <c r="CN46" s="16">
        <f t="shared" ca="1" si="111"/>
        <v>13</v>
      </c>
      <c r="CO46" s="16" t="str">
        <f t="shared" ca="1" si="112"/>
        <v>e</v>
      </c>
    </row>
    <row r="47" spans="2:166">
      <c r="D47" s="253" t="s">
        <v>806</v>
      </c>
      <c r="E47" s="30" t="s">
        <v>801</v>
      </c>
      <c r="CA47" s="16">
        <f t="shared" ca="1" si="100"/>
        <v>69</v>
      </c>
      <c r="CB47" s="16">
        <f t="shared" ca="1" si="101"/>
        <v>71</v>
      </c>
      <c r="CC47" s="16">
        <f t="shared" ca="1" si="102"/>
        <v>15</v>
      </c>
      <c r="CD47" s="16" t="str">
        <f t="shared" ca="1" si="103"/>
        <v>Intro!E</v>
      </c>
      <c r="CE47" s="16">
        <f t="shared" ca="1" si="104"/>
        <v>71</v>
      </c>
      <c r="CF47" s="16" t="str">
        <f t="shared" ca="1" si="105"/>
        <v>Intro!E71</v>
      </c>
      <c r="CH47" s="16" t="str">
        <f t="shared" ca="1" si="106"/>
        <v>Intro!E71:F86</v>
      </c>
      <c r="CI47" s="16" t="str">
        <f t="shared" ca="1" si="107"/>
        <v>130303_09e</v>
      </c>
      <c r="CJ47" s="16" t="str">
        <f t="shared" ca="1" si="6"/>
        <v>130303</v>
      </c>
      <c r="CK47" s="16">
        <f t="shared" ca="1" si="108"/>
        <v>3</v>
      </c>
      <c r="CL47" s="16">
        <f t="shared" ca="1" si="109"/>
        <v>13</v>
      </c>
      <c r="CM47" s="16">
        <f t="shared" ca="1" si="110"/>
        <v>3</v>
      </c>
      <c r="CN47" s="16">
        <f t="shared" ca="1" si="111"/>
        <v>9</v>
      </c>
      <c r="CO47" s="16" t="str">
        <f t="shared" ca="1" si="112"/>
        <v>e</v>
      </c>
    </row>
    <row r="48" spans="2:166">
      <c r="AS48" s="16" t="s">
        <v>797</v>
      </c>
      <c r="CA48" s="16">
        <f t="shared" ca="1" si="100"/>
        <v>69</v>
      </c>
      <c r="CB48" s="16">
        <f t="shared" ca="1" si="101"/>
        <v>72</v>
      </c>
      <c r="CC48" s="16">
        <f t="shared" ca="1" si="102"/>
        <v>14</v>
      </c>
      <c r="CD48" s="16" t="str">
        <f t="shared" ca="1" si="103"/>
        <v>Intro!E</v>
      </c>
      <c r="CE48" s="16">
        <f t="shared" ca="1" si="104"/>
        <v>72</v>
      </c>
      <c r="CF48" s="16" t="str">
        <f t="shared" ca="1" si="105"/>
        <v>Intro!E72</v>
      </c>
      <c r="CH48" s="16" t="str">
        <f t="shared" ca="1" si="106"/>
        <v>Intro!E72:F86</v>
      </c>
      <c r="CI48" s="16" t="str">
        <f t="shared" ca="1" si="107"/>
        <v>140302_14e</v>
      </c>
      <c r="CJ48" s="16" t="str">
        <f t="shared" ca="1" si="6"/>
        <v>140302</v>
      </c>
      <c r="CK48" s="16">
        <f t="shared" ca="1" si="108"/>
        <v>3</v>
      </c>
      <c r="CL48" s="16">
        <f t="shared" ca="1" si="109"/>
        <v>14</v>
      </c>
      <c r="CM48" s="16">
        <f t="shared" ca="1" si="110"/>
        <v>2</v>
      </c>
      <c r="CN48" s="16">
        <f t="shared" ca="1" si="111"/>
        <v>14</v>
      </c>
      <c r="CO48" s="16" t="str">
        <f t="shared" ca="1" si="112"/>
        <v>e</v>
      </c>
    </row>
    <row r="49" spans="4:93">
      <c r="D49" s="254" t="s">
        <v>46</v>
      </c>
      <c r="E49" s="30" t="s">
        <v>802</v>
      </c>
      <c r="CA49" s="16">
        <f t="shared" ca="1" si="100"/>
        <v>69</v>
      </c>
      <c r="CB49" s="16">
        <f t="shared" ca="1" si="101"/>
        <v>73</v>
      </c>
      <c r="CC49" s="16">
        <f t="shared" ca="1" si="102"/>
        <v>13</v>
      </c>
      <c r="CD49" s="16" t="str">
        <f t="shared" ca="1" si="103"/>
        <v>Intro!E</v>
      </c>
      <c r="CE49" s="16">
        <f t="shared" ca="1" si="104"/>
        <v>73</v>
      </c>
      <c r="CF49" s="16" t="str">
        <f t="shared" ca="1" si="105"/>
        <v>Intro!E73</v>
      </c>
      <c r="CH49" s="16" t="str">
        <f t="shared" ca="1" si="106"/>
        <v>Intro!E73:F86</v>
      </c>
      <c r="CI49" s="16" t="str">
        <f t="shared" ca="1" si="107"/>
        <v>140303_10e</v>
      </c>
      <c r="CJ49" s="16" t="str">
        <f t="shared" ca="1" si="6"/>
        <v>140303</v>
      </c>
      <c r="CK49" s="16">
        <f t="shared" ca="1" si="108"/>
        <v>3</v>
      </c>
      <c r="CL49" s="16">
        <f t="shared" ca="1" si="109"/>
        <v>14</v>
      </c>
      <c r="CM49" s="16">
        <f t="shared" ca="1" si="110"/>
        <v>3</v>
      </c>
      <c r="CN49" s="16">
        <f t="shared" ca="1" si="111"/>
        <v>10</v>
      </c>
      <c r="CO49" s="16" t="str">
        <f t="shared" ca="1" si="112"/>
        <v>e</v>
      </c>
    </row>
    <row r="50" spans="4:93">
      <c r="CA50" s="16">
        <f t="shared" ca="1" si="100"/>
        <v>69</v>
      </c>
      <c r="CB50" s="16">
        <f t="shared" ca="1" si="101"/>
        <v>74</v>
      </c>
      <c r="CC50" s="16">
        <f t="shared" ca="1" si="102"/>
        <v>12</v>
      </c>
      <c r="CD50" s="16" t="str">
        <f t="shared" ca="1" si="103"/>
        <v>Intro!E</v>
      </c>
      <c r="CE50" s="16">
        <f t="shared" ca="1" si="104"/>
        <v>74</v>
      </c>
      <c r="CF50" s="16" t="str">
        <f t="shared" ca="1" si="105"/>
        <v>Intro!E74</v>
      </c>
      <c r="CH50" s="16" t="str">
        <f t="shared" ca="1" si="106"/>
        <v>Intro!E74:F86</v>
      </c>
      <c r="CI50" s="16" t="str">
        <f t="shared" ca="1" si="107"/>
        <v>150302_17c</v>
      </c>
      <c r="CJ50" s="16" t="str">
        <f t="shared" ca="1" si="6"/>
        <v>150302</v>
      </c>
      <c r="CK50" s="16">
        <f t="shared" ca="1" si="108"/>
        <v>3</v>
      </c>
      <c r="CL50" s="16">
        <f t="shared" ca="1" si="109"/>
        <v>15</v>
      </c>
      <c r="CM50" s="16">
        <f t="shared" ca="1" si="110"/>
        <v>2</v>
      </c>
      <c r="CN50" s="16">
        <f t="shared" ca="1" si="111"/>
        <v>17</v>
      </c>
      <c r="CO50" s="16" t="str">
        <f t="shared" ca="1" si="112"/>
        <v>c</v>
      </c>
    </row>
    <row r="51" spans="4:93">
      <c r="D51" s="255" t="s">
        <v>204</v>
      </c>
      <c r="E51" s="30" t="s">
        <v>803</v>
      </c>
      <c r="CA51" s="16">
        <f t="shared" ca="1" si="100"/>
        <v>69</v>
      </c>
      <c r="CB51" s="16">
        <f t="shared" ca="1" si="101"/>
        <v>75</v>
      </c>
      <c r="CC51" s="16">
        <f t="shared" ca="1" si="102"/>
        <v>11</v>
      </c>
      <c r="CD51" s="16" t="str">
        <f t="shared" ca="1" si="103"/>
        <v>Intro!E</v>
      </c>
      <c r="CE51" s="16">
        <f t="shared" ca="1" si="104"/>
        <v>75</v>
      </c>
      <c r="CF51" s="16" t="str">
        <f t="shared" ca="1" si="105"/>
        <v>Intro!E75</v>
      </c>
      <c r="CH51" s="16" t="str">
        <f t="shared" ca="1" si="106"/>
        <v>Intro!E75:F86</v>
      </c>
      <c r="CI51" s="16" t="str">
        <f t="shared" ca="1" si="107"/>
        <v>150302_17e</v>
      </c>
      <c r="CJ51" s="16" t="str">
        <f t="shared" ca="1" si="6"/>
        <v>150302</v>
      </c>
      <c r="CK51" s="16">
        <f t="shared" ca="1" si="108"/>
        <v>3</v>
      </c>
      <c r="CL51" s="16">
        <f t="shared" ca="1" si="109"/>
        <v>15</v>
      </c>
      <c r="CM51" s="16">
        <f t="shared" ca="1" si="110"/>
        <v>2</v>
      </c>
      <c r="CN51" s="16">
        <f t="shared" ca="1" si="111"/>
        <v>17</v>
      </c>
      <c r="CO51" s="16" t="str">
        <f t="shared" ca="1" si="112"/>
        <v>e</v>
      </c>
    </row>
    <row r="52" spans="4:93">
      <c r="CA52" s="16">
        <f t="shared" ca="1" si="100"/>
        <v>69</v>
      </c>
      <c r="CB52" s="16">
        <f t="shared" ca="1" si="101"/>
        <v>76</v>
      </c>
      <c r="CC52" s="16">
        <f t="shared" ca="1" si="102"/>
        <v>10</v>
      </c>
      <c r="CD52" s="16" t="str">
        <f t="shared" ca="1" si="103"/>
        <v>Intro!E</v>
      </c>
      <c r="CE52" s="16">
        <f t="shared" ca="1" si="104"/>
        <v>76</v>
      </c>
      <c r="CF52" s="16" t="str">
        <f t="shared" ca="1" si="105"/>
        <v>Intro!E76</v>
      </c>
      <c r="CH52" s="16" t="str">
        <f t="shared" ca="1" si="106"/>
        <v>Intro!E76:F86</v>
      </c>
      <c r="CI52" s="16" t="str">
        <f t="shared" ca="1" si="107"/>
        <v>150303_10e</v>
      </c>
      <c r="CJ52" s="16" t="str">
        <f t="shared" ca="1" si="6"/>
        <v>150303</v>
      </c>
      <c r="CK52" s="16">
        <f t="shared" ca="1" si="108"/>
        <v>3</v>
      </c>
      <c r="CL52" s="16">
        <f t="shared" ca="1" si="109"/>
        <v>15</v>
      </c>
      <c r="CM52" s="16">
        <f t="shared" ca="1" si="110"/>
        <v>3</v>
      </c>
      <c r="CN52" s="16">
        <f t="shared" ca="1" si="111"/>
        <v>10</v>
      </c>
      <c r="CO52" s="16" t="str">
        <f t="shared" ca="1" si="112"/>
        <v>e</v>
      </c>
    </row>
    <row r="53" spans="4:93">
      <c r="D53" s="256" t="s">
        <v>97</v>
      </c>
      <c r="E53" s="30" t="s">
        <v>804</v>
      </c>
      <c r="CA53" s="16">
        <f t="shared" ca="1" si="100"/>
        <v>69</v>
      </c>
      <c r="CB53" s="16">
        <f t="shared" ca="1" si="101"/>
        <v>77</v>
      </c>
      <c r="CC53" s="16">
        <f t="shared" ca="1" si="102"/>
        <v>9</v>
      </c>
      <c r="CD53" s="16" t="str">
        <f t="shared" ca="1" si="103"/>
        <v>Intro!E</v>
      </c>
      <c r="CE53" s="16">
        <f t="shared" ca="1" si="104"/>
        <v>77</v>
      </c>
      <c r="CF53" s="16" t="str">
        <f t="shared" ca="1" si="105"/>
        <v>Intro!E77</v>
      </c>
      <c r="CH53" s="16" t="str">
        <f t="shared" ca="1" si="106"/>
        <v>Intro!E77:F86</v>
      </c>
      <c r="CI53" s="16" t="str">
        <f t="shared" ca="1" si="107"/>
        <v>150303_10c</v>
      </c>
      <c r="CJ53" s="16" t="str">
        <f t="shared" ca="1" si="6"/>
        <v>150303</v>
      </c>
      <c r="CK53" s="16">
        <f t="shared" ca="1" si="108"/>
        <v>3</v>
      </c>
      <c r="CL53" s="16">
        <f t="shared" ca="1" si="109"/>
        <v>15</v>
      </c>
      <c r="CM53" s="16">
        <f t="shared" ca="1" si="110"/>
        <v>3</v>
      </c>
      <c r="CN53" s="16">
        <f t="shared" ca="1" si="111"/>
        <v>10</v>
      </c>
      <c r="CO53" s="16" t="str">
        <f t="shared" ca="1" si="112"/>
        <v>c</v>
      </c>
    </row>
    <row r="54" spans="4:93">
      <c r="CA54" s="16">
        <f t="shared" ca="1" si="100"/>
        <v>69</v>
      </c>
      <c r="CB54" s="16">
        <f t="shared" ca="1" si="101"/>
        <v>78</v>
      </c>
      <c r="CC54" s="16">
        <f t="shared" ca="1" si="102"/>
        <v>8</v>
      </c>
      <c r="CD54" s="16" t="str">
        <f t="shared" ca="1" si="103"/>
        <v>Intro!E</v>
      </c>
      <c r="CE54" s="16">
        <f t="shared" ca="1" si="104"/>
        <v>78</v>
      </c>
      <c r="CF54" s="16" t="str">
        <f t="shared" ca="1" si="105"/>
        <v>Intro!E78</v>
      </c>
      <c r="CH54" s="16" t="str">
        <f t="shared" ca="1" si="106"/>
        <v>Intro!E78:F86</v>
      </c>
      <c r="CI54" s="16" t="str">
        <f t="shared" ca="1" si="107"/>
        <v>160302_19c</v>
      </c>
      <c r="CJ54" s="16" t="str">
        <f t="shared" ca="1" si="6"/>
        <v>160302</v>
      </c>
      <c r="CK54" s="16">
        <f t="shared" ca="1" si="108"/>
        <v>3</v>
      </c>
      <c r="CL54" s="16">
        <f t="shared" ca="1" si="109"/>
        <v>16</v>
      </c>
      <c r="CM54" s="16">
        <f t="shared" ca="1" si="110"/>
        <v>2</v>
      </c>
      <c r="CN54" s="16">
        <f t="shared" ca="1" si="111"/>
        <v>19</v>
      </c>
      <c r="CO54" s="16" t="str">
        <f t="shared" ca="1" si="112"/>
        <v>c</v>
      </c>
    </row>
    <row r="55" spans="4:93">
      <c r="CA55" s="16">
        <f t="shared" ca="1" si="100"/>
        <v>69</v>
      </c>
      <c r="CB55" s="16">
        <f t="shared" ca="1" si="101"/>
        <v>79</v>
      </c>
      <c r="CC55" s="16">
        <f t="shared" ca="1" si="102"/>
        <v>7</v>
      </c>
      <c r="CD55" s="16" t="str">
        <f t="shared" ca="1" si="103"/>
        <v>Intro!E</v>
      </c>
      <c r="CE55" s="16">
        <f t="shared" ca="1" si="104"/>
        <v>79</v>
      </c>
      <c r="CF55" s="16" t="str">
        <f t="shared" ca="1" si="105"/>
        <v>Intro!E79</v>
      </c>
      <c r="CH55" s="16" t="str">
        <f t="shared" ca="1" si="106"/>
        <v>Intro!E79:F86</v>
      </c>
      <c r="CI55" s="16" t="str">
        <f t="shared" ca="1" si="107"/>
        <v>160302_19e</v>
      </c>
      <c r="CJ55" s="16" t="str">
        <f t="shared" ca="1" si="6"/>
        <v>160302</v>
      </c>
      <c r="CK55" s="16">
        <f t="shared" ca="1" si="108"/>
        <v>3</v>
      </c>
      <c r="CL55" s="16">
        <f t="shared" ca="1" si="109"/>
        <v>16</v>
      </c>
      <c r="CM55" s="16">
        <f t="shared" ca="1" si="110"/>
        <v>2</v>
      </c>
      <c r="CN55" s="16">
        <f t="shared" ca="1" si="111"/>
        <v>19</v>
      </c>
      <c r="CO55" s="16" t="str">
        <f t="shared" ca="1" si="112"/>
        <v>e</v>
      </c>
    </row>
    <row r="56" spans="4:93">
      <c r="CA56" s="16">
        <f t="shared" ca="1" si="100"/>
        <v>69</v>
      </c>
      <c r="CB56" s="16">
        <f t="shared" ca="1" si="101"/>
        <v>80</v>
      </c>
      <c r="CC56" s="16">
        <f t="shared" ca="1" si="102"/>
        <v>6</v>
      </c>
      <c r="CD56" s="16" t="str">
        <f t="shared" ca="1" si="103"/>
        <v>Intro!E</v>
      </c>
      <c r="CE56" s="16">
        <f t="shared" ca="1" si="104"/>
        <v>80</v>
      </c>
      <c r="CF56" s="16" t="str">
        <f t="shared" ca="1" si="105"/>
        <v>Intro!E80</v>
      </c>
      <c r="CH56" s="16" t="str">
        <f t="shared" ca="1" si="106"/>
        <v>Intro!E80:F86</v>
      </c>
      <c r="CI56" s="16" t="str">
        <f t="shared" ca="1" si="107"/>
        <v>160303_12c</v>
      </c>
      <c r="CJ56" s="16" t="str">
        <f t="shared" ca="1" si="6"/>
        <v>160303</v>
      </c>
      <c r="CK56" s="16">
        <f t="shared" ca="1" si="108"/>
        <v>3</v>
      </c>
      <c r="CL56" s="16">
        <f t="shared" ca="1" si="109"/>
        <v>16</v>
      </c>
      <c r="CM56" s="16">
        <f t="shared" ca="1" si="110"/>
        <v>3</v>
      </c>
      <c r="CN56" s="16">
        <f t="shared" ca="1" si="111"/>
        <v>12</v>
      </c>
      <c r="CO56" s="16" t="str">
        <f t="shared" ca="1" si="112"/>
        <v>c</v>
      </c>
    </row>
    <row r="57" spans="4:93">
      <c r="CA57" s="16">
        <f t="shared" ca="1" si="100"/>
        <v>69</v>
      </c>
      <c r="CB57" s="16">
        <f t="shared" ca="1" si="101"/>
        <v>81</v>
      </c>
      <c r="CC57" s="16">
        <f t="shared" ca="1" si="102"/>
        <v>5</v>
      </c>
      <c r="CD57" s="16" t="str">
        <f t="shared" ca="1" si="103"/>
        <v>Intro!E</v>
      </c>
      <c r="CE57" s="16">
        <f t="shared" ca="1" si="104"/>
        <v>81</v>
      </c>
      <c r="CF57" s="16" t="str">
        <f t="shared" ca="1" si="105"/>
        <v>Intro!E81</v>
      </c>
      <c r="CH57" s="16" t="str">
        <f t="shared" ca="1" si="106"/>
        <v>Intro!E81:F86</v>
      </c>
      <c r="CI57" s="16" t="str">
        <f t="shared" ca="1" si="107"/>
        <v>160303_14c</v>
      </c>
      <c r="CJ57" s="16" t="str">
        <f t="shared" ca="1" si="6"/>
        <v>160303</v>
      </c>
      <c r="CK57" s="16">
        <f t="shared" ca="1" si="108"/>
        <v>3</v>
      </c>
      <c r="CL57" s="16">
        <f t="shared" ca="1" si="109"/>
        <v>16</v>
      </c>
      <c r="CM57" s="16">
        <f t="shared" ca="1" si="110"/>
        <v>3</v>
      </c>
      <c r="CN57" s="16">
        <f t="shared" ca="1" si="111"/>
        <v>14</v>
      </c>
      <c r="CO57" s="16" t="str">
        <f t="shared" ca="1" si="112"/>
        <v>c</v>
      </c>
    </row>
    <row r="58" spans="4:93">
      <c r="CA58" s="16">
        <f t="shared" ca="1" si="100"/>
        <v>69</v>
      </c>
      <c r="CB58" s="16">
        <f t="shared" ca="1" si="101"/>
        <v>82</v>
      </c>
      <c r="CC58" s="16">
        <f t="shared" ca="1" si="102"/>
        <v>4</v>
      </c>
      <c r="CD58" s="16" t="str">
        <f t="shared" ca="1" si="103"/>
        <v>Intro!E</v>
      </c>
      <c r="CE58" s="16">
        <f t="shared" ca="1" si="104"/>
        <v>82</v>
      </c>
      <c r="CF58" s="16" t="str">
        <f t="shared" ca="1" si="105"/>
        <v>Intro!E82</v>
      </c>
      <c r="CH58" s="16" t="str">
        <f t="shared" ca="1" si="106"/>
        <v>Intro!E82:F86</v>
      </c>
      <c r="CI58" s="16" t="str">
        <f t="shared" ca="1" si="107"/>
        <v>170302_23e</v>
      </c>
      <c r="CJ58" s="16" t="str">
        <f t="shared" ca="1" si="6"/>
        <v>170302</v>
      </c>
      <c r="CK58" s="16">
        <f t="shared" ca="1" si="108"/>
        <v>3</v>
      </c>
      <c r="CL58" s="16">
        <f t="shared" ca="1" si="109"/>
        <v>17</v>
      </c>
      <c r="CM58" s="16">
        <f t="shared" ca="1" si="110"/>
        <v>2</v>
      </c>
      <c r="CN58" s="16">
        <f t="shared" ca="1" si="111"/>
        <v>23</v>
      </c>
      <c r="CO58" s="16" t="str">
        <f t="shared" ca="1" si="112"/>
        <v>e</v>
      </c>
    </row>
    <row r="59" spans="4:93">
      <c r="CA59" s="16">
        <f t="shared" ca="1" si="100"/>
        <v>69</v>
      </c>
      <c r="CB59" s="16">
        <f t="shared" ca="1" si="101"/>
        <v>83</v>
      </c>
      <c r="CC59" s="16">
        <f t="shared" ca="1" si="102"/>
        <v>3</v>
      </c>
      <c r="CD59" s="16" t="str">
        <f t="shared" ca="1" si="103"/>
        <v>Intro!E</v>
      </c>
      <c r="CE59" s="16">
        <f t="shared" ca="1" si="104"/>
        <v>83</v>
      </c>
      <c r="CF59" s="16" t="str">
        <f t="shared" ca="1" si="105"/>
        <v>Intro!E83</v>
      </c>
      <c r="CH59" s="16" t="str">
        <f t="shared" ca="1" si="106"/>
        <v>Intro!E83:F86</v>
      </c>
      <c r="CI59" s="16" t="str">
        <f t="shared" ca="1" si="107"/>
        <v>170303_14c</v>
      </c>
      <c r="CJ59" s="16" t="str">
        <f t="shared" ca="1" si="6"/>
        <v>170303</v>
      </c>
      <c r="CK59" s="16">
        <f t="shared" ca="1" si="108"/>
        <v>3</v>
      </c>
      <c r="CL59" s="16">
        <f t="shared" ca="1" si="109"/>
        <v>17</v>
      </c>
      <c r="CM59" s="16">
        <f t="shared" ca="1" si="110"/>
        <v>3</v>
      </c>
      <c r="CN59" s="16">
        <f t="shared" ca="1" si="111"/>
        <v>14</v>
      </c>
      <c r="CO59" s="16" t="str">
        <f t="shared" ca="1" si="112"/>
        <v>c</v>
      </c>
    </row>
    <row r="60" spans="4:93">
      <c r="CA60" s="16">
        <f t="shared" ca="1" si="100"/>
        <v>69</v>
      </c>
      <c r="CB60" s="16">
        <f t="shared" ca="1" si="101"/>
        <v>84</v>
      </c>
      <c r="CC60" s="16">
        <f t="shared" ca="1" si="102"/>
        <v>2</v>
      </c>
      <c r="CD60" s="16" t="str">
        <f t="shared" ca="1" si="103"/>
        <v>Intro!E</v>
      </c>
      <c r="CE60" s="16">
        <f t="shared" ca="1" si="104"/>
        <v>84</v>
      </c>
      <c r="CF60" s="16" t="str">
        <f t="shared" ca="1" si="105"/>
        <v>Intro!E84</v>
      </c>
      <c r="CH60" s="16" t="str">
        <f t="shared" ca="1" si="106"/>
        <v>Intro!E84:F86</v>
      </c>
      <c r="CI60" s="16" t="str">
        <f t="shared" ca="1" si="107"/>
        <v>180302_24e</v>
      </c>
      <c r="CJ60" s="16" t="str">
        <f t="shared" ca="1" si="6"/>
        <v>180302</v>
      </c>
      <c r="CK60" s="16">
        <f t="shared" ca="1" si="108"/>
        <v>3</v>
      </c>
      <c r="CL60" s="16">
        <f t="shared" ca="1" si="109"/>
        <v>18</v>
      </c>
      <c r="CM60" s="16">
        <f t="shared" ca="1" si="110"/>
        <v>2</v>
      </c>
      <c r="CN60" s="16">
        <f t="shared" ca="1" si="111"/>
        <v>24</v>
      </c>
      <c r="CO60" s="16" t="str">
        <f t="shared" ca="1" si="112"/>
        <v>e</v>
      </c>
    </row>
    <row r="61" spans="4:93">
      <c r="CA61" s="16">
        <f t="shared" ca="1" si="100"/>
        <v>69</v>
      </c>
      <c r="CB61" s="16">
        <f t="shared" ca="1" si="101"/>
        <v>85</v>
      </c>
      <c r="CC61" s="16">
        <f t="shared" ca="1" si="102"/>
        <v>1</v>
      </c>
      <c r="CD61" s="16" t="str">
        <f t="shared" ca="1" si="103"/>
        <v>Intro!E</v>
      </c>
      <c r="CE61" s="16">
        <f t="shared" ca="1" si="104"/>
        <v>85</v>
      </c>
      <c r="CF61" s="16" t="str">
        <f t="shared" ca="1" si="105"/>
        <v>Intro!E85</v>
      </c>
      <c r="CH61" s="16" t="str">
        <f t="shared" ca="1" si="106"/>
        <v>Intro!E85:F86</v>
      </c>
      <c r="CI61" s="16" t="str">
        <f t="shared" ca="1" si="107"/>
        <v>180303_15c</v>
      </c>
      <c r="CJ61" s="16" t="str">
        <f t="shared" ca="1" si="6"/>
        <v>180303</v>
      </c>
      <c r="CK61" s="16">
        <f t="shared" ca="1" si="108"/>
        <v>3</v>
      </c>
      <c r="CL61" s="16">
        <f t="shared" ca="1" si="109"/>
        <v>18</v>
      </c>
      <c r="CM61" s="16">
        <f t="shared" ca="1" si="110"/>
        <v>3</v>
      </c>
      <c r="CN61" s="16">
        <f t="shared" ca="1" si="111"/>
        <v>15</v>
      </c>
      <c r="CO61" s="16" t="str">
        <f t="shared" ca="1" si="112"/>
        <v>c</v>
      </c>
    </row>
    <row r="62" spans="4:93">
      <c r="CA62" s="16">
        <f t="shared" ca="1" si="100"/>
        <v>71</v>
      </c>
      <c r="CB62" s="16">
        <f t="shared" ca="1" si="101"/>
        <v>51</v>
      </c>
      <c r="CC62" s="16">
        <f t="shared" ca="1" si="102"/>
        <v>58</v>
      </c>
      <c r="CD62" s="16" t="str">
        <f t="shared" ca="1" si="103"/>
        <v>Intro!G</v>
      </c>
      <c r="CE62" s="16">
        <f t="shared" ca="1" si="104"/>
        <v>51</v>
      </c>
      <c r="CF62" s="16" t="str">
        <f t="shared" ca="1" si="105"/>
        <v>Intro!G51</v>
      </c>
      <c r="CH62" s="16" t="str">
        <f t="shared" ca="1" si="106"/>
        <v>Intro!G51:H109</v>
      </c>
      <c r="CI62" s="16" t="str">
        <f t="shared" ca="1" si="107"/>
        <v>080401_07s</v>
      </c>
      <c r="CJ62" s="16" t="str">
        <f t="shared" ca="1" si="6"/>
        <v>080401</v>
      </c>
      <c r="CK62" s="16">
        <f t="shared" ca="1" si="108"/>
        <v>4</v>
      </c>
      <c r="CL62" s="16">
        <f t="shared" ca="1" si="109"/>
        <v>8</v>
      </c>
      <c r="CM62" s="16">
        <f t="shared" ca="1" si="110"/>
        <v>1</v>
      </c>
      <c r="CN62" s="16">
        <f t="shared" ca="1" si="111"/>
        <v>7</v>
      </c>
      <c r="CO62" s="16" t="str">
        <f t="shared" ca="1" si="112"/>
        <v>s</v>
      </c>
    </row>
    <row r="63" spans="4:93">
      <c r="CA63" s="16">
        <f t="shared" ca="1" si="100"/>
        <v>71</v>
      </c>
      <c r="CB63" s="16">
        <f t="shared" ca="1" si="101"/>
        <v>52</v>
      </c>
      <c r="CC63" s="16">
        <f t="shared" ca="1" si="102"/>
        <v>57</v>
      </c>
      <c r="CD63" s="16" t="str">
        <f t="shared" ca="1" si="103"/>
        <v>Intro!G</v>
      </c>
      <c r="CE63" s="16">
        <f t="shared" ca="1" si="104"/>
        <v>52</v>
      </c>
      <c r="CF63" s="16" t="str">
        <f t="shared" ca="1" si="105"/>
        <v>Intro!G52</v>
      </c>
      <c r="CH63" s="16" t="str">
        <f t="shared" ca="1" si="106"/>
        <v>Intro!G52:H109</v>
      </c>
      <c r="CI63" s="16" t="str">
        <f t="shared" ca="1" si="107"/>
        <v>080402_03s</v>
      </c>
      <c r="CJ63" s="16" t="str">
        <f t="shared" ca="1" si="6"/>
        <v>080402</v>
      </c>
      <c r="CK63" s="16">
        <f t="shared" ca="1" si="108"/>
        <v>4</v>
      </c>
      <c r="CL63" s="16">
        <f t="shared" ca="1" si="109"/>
        <v>8</v>
      </c>
      <c r="CM63" s="16">
        <f t="shared" ca="1" si="110"/>
        <v>2</v>
      </c>
      <c r="CN63" s="16">
        <f t="shared" ca="1" si="111"/>
        <v>3</v>
      </c>
      <c r="CO63" s="16" t="str">
        <f t="shared" ca="1" si="112"/>
        <v>s</v>
      </c>
    </row>
    <row r="64" spans="4:93">
      <c r="CA64" s="16">
        <f t="shared" ca="1" si="100"/>
        <v>71</v>
      </c>
      <c r="CB64" s="16">
        <f t="shared" ca="1" si="101"/>
        <v>53</v>
      </c>
      <c r="CC64" s="16">
        <f t="shared" ca="1" si="102"/>
        <v>56</v>
      </c>
      <c r="CD64" s="16" t="str">
        <f t="shared" ca="1" si="103"/>
        <v>Intro!G</v>
      </c>
      <c r="CE64" s="16">
        <f t="shared" ca="1" si="104"/>
        <v>53</v>
      </c>
      <c r="CF64" s="16" t="str">
        <f t="shared" ca="1" si="105"/>
        <v>Intro!G53</v>
      </c>
      <c r="CH64" s="16" t="str">
        <f t="shared" ca="1" si="106"/>
        <v>Intro!G53:H109</v>
      </c>
      <c r="CI64" s="16" t="str">
        <f t="shared" ca="1" si="107"/>
        <v>090401_09s</v>
      </c>
      <c r="CJ64" s="16" t="str">
        <f t="shared" ca="1" si="6"/>
        <v>090401</v>
      </c>
      <c r="CK64" s="16">
        <f t="shared" ca="1" si="108"/>
        <v>4</v>
      </c>
      <c r="CL64" s="16">
        <f t="shared" ca="1" si="109"/>
        <v>9</v>
      </c>
      <c r="CM64" s="16">
        <f t="shared" ca="1" si="110"/>
        <v>1</v>
      </c>
      <c r="CN64" s="16">
        <f t="shared" ca="1" si="111"/>
        <v>9</v>
      </c>
      <c r="CO64" s="16" t="str">
        <f t="shared" ca="1" si="112"/>
        <v>s</v>
      </c>
    </row>
    <row r="65" spans="79:93">
      <c r="CA65" s="16">
        <f t="shared" ca="1" si="100"/>
        <v>71</v>
      </c>
      <c r="CB65" s="16">
        <f t="shared" ca="1" si="101"/>
        <v>54</v>
      </c>
      <c r="CC65" s="16">
        <f t="shared" ca="1" si="102"/>
        <v>55</v>
      </c>
      <c r="CD65" s="16" t="str">
        <f t="shared" ca="1" si="103"/>
        <v>Intro!G</v>
      </c>
      <c r="CE65" s="16">
        <f t="shared" ca="1" si="104"/>
        <v>54</v>
      </c>
      <c r="CF65" s="16" t="str">
        <f t="shared" ca="1" si="105"/>
        <v>Intro!G54</v>
      </c>
      <c r="CH65" s="16" t="str">
        <f t="shared" ca="1" si="106"/>
        <v>Intro!G54:H109</v>
      </c>
      <c r="CI65" s="16" t="str">
        <f t="shared" ca="1" si="107"/>
        <v>090402_05s</v>
      </c>
      <c r="CJ65" s="16" t="str">
        <f t="shared" ca="1" si="6"/>
        <v>090402</v>
      </c>
      <c r="CK65" s="16">
        <f t="shared" ca="1" si="108"/>
        <v>4</v>
      </c>
      <c r="CL65" s="16">
        <f t="shared" ca="1" si="109"/>
        <v>9</v>
      </c>
      <c r="CM65" s="16">
        <f t="shared" ca="1" si="110"/>
        <v>2</v>
      </c>
      <c r="CN65" s="16">
        <f t="shared" ca="1" si="111"/>
        <v>5</v>
      </c>
      <c r="CO65" s="16" t="str">
        <f t="shared" ca="1" si="112"/>
        <v>s</v>
      </c>
    </row>
    <row r="66" spans="79:93">
      <c r="CA66" s="16">
        <f t="shared" ca="1" si="100"/>
        <v>71</v>
      </c>
      <c r="CB66" s="16">
        <f t="shared" ca="1" si="101"/>
        <v>55</v>
      </c>
      <c r="CC66" s="16">
        <f t="shared" ca="1" si="102"/>
        <v>54</v>
      </c>
      <c r="CD66" s="16" t="str">
        <f t="shared" ca="1" si="103"/>
        <v>Intro!G</v>
      </c>
      <c r="CE66" s="16">
        <f t="shared" ca="1" si="104"/>
        <v>55</v>
      </c>
      <c r="CF66" s="16" t="str">
        <f t="shared" ca="1" si="105"/>
        <v>Intro!G55</v>
      </c>
      <c r="CH66" s="16" t="str">
        <f t="shared" ca="1" si="106"/>
        <v>Intro!G55:H109</v>
      </c>
      <c r="CI66" s="16" t="str">
        <f t="shared" ca="1" si="107"/>
        <v>100401_12c</v>
      </c>
      <c r="CJ66" s="16" t="str">
        <f t="shared" ca="1" si="6"/>
        <v>100401</v>
      </c>
      <c r="CK66" s="16">
        <f t="shared" ca="1" si="108"/>
        <v>4</v>
      </c>
      <c r="CL66" s="16">
        <f t="shared" ca="1" si="109"/>
        <v>10</v>
      </c>
      <c r="CM66" s="16">
        <f t="shared" ca="1" si="110"/>
        <v>1</v>
      </c>
      <c r="CN66" s="16">
        <f t="shared" ca="1" si="111"/>
        <v>12</v>
      </c>
      <c r="CO66" s="16" t="str">
        <f t="shared" ca="1" si="112"/>
        <v>c</v>
      </c>
    </row>
    <row r="67" spans="79:93">
      <c r="CA67" s="16">
        <f t="shared" ca="1" si="100"/>
        <v>71</v>
      </c>
      <c r="CB67" s="16">
        <f t="shared" ca="1" si="101"/>
        <v>56</v>
      </c>
      <c r="CC67" s="16">
        <f t="shared" ca="1" si="102"/>
        <v>53</v>
      </c>
      <c r="CD67" s="16" t="str">
        <f t="shared" ca="1" si="103"/>
        <v>Intro!G</v>
      </c>
      <c r="CE67" s="16">
        <f t="shared" ca="1" si="104"/>
        <v>56</v>
      </c>
      <c r="CF67" s="16" t="str">
        <f t="shared" ca="1" si="105"/>
        <v>Intro!G56</v>
      </c>
      <c r="CH67" s="16" t="str">
        <f t="shared" ca="1" si="106"/>
        <v>Intro!G56:H109</v>
      </c>
      <c r="CI67" s="16" t="str">
        <f t="shared" ca="1" si="107"/>
        <v>100401_14c</v>
      </c>
      <c r="CJ67" s="16" t="str">
        <f t="shared" ca="1" si="6"/>
        <v>100401</v>
      </c>
      <c r="CK67" s="16">
        <f t="shared" ca="1" si="108"/>
        <v>4</v>
      </c>
      <c r="CL67" s="16">
        <f t="shared" ca="1" si="109"/>
        <v>10</v>
      </c>
      <c r="CM67" s="16">
        <f t="shared" ca="1" si="110"/>
        <v>1</v>
      </c>
      <c r="CN67" s="16">
        <f t="shared" ca="1" si="111"/>
        <v>14</v>
      </c>
      <c r="CO67" s="16" t="str">
        <f t="shared" ca="1" si="112"/>
        <v>c</v>
      </c>
    </row>
    <row r="68" spans="79:93">
      <c r="CA68" s="16">
        <f t="shared" ca="1" si="100"/>
        <v>71</v>
      </c>
      <c r="CB68" s="16">
        <f t="shared" ca="1" si="101"/>
        <v>57</v>
      </c>
      <c r="CC68" s="16">
        <f t="shared" ca="1" si="102"/>
        <v>52</v>
      </c>
      <c r="CD68" s="16" t="str">
        <f t="shared" ca="1" si="103"/>
        <v>Intro!G</v>
      </c>
      <c r="CE68" s="16">
        <f t="shared" ca="1" si="104"/>
        <v>57</v>
      </c>
      <c r="CF68" s="16" t="str">
        <f t="shared" ca="1" si="105"/>
        <v>Intro!G57</v>
      </c>
      <c r="CH68" s="16" t="str">
        <f t="shared" ca="1" si="106"/>
        <v>Intro!G57:H109</v>
      </c>
      <c r="CI68" s="16" t="str">
        <f t="shared" ca="1" si="107"/>
        <v>100402_05s</v>
      </c>
      <c r="CJ68" s="16" t="str">
        <f t="shared" ref="CJ68:CJ131" ca="1" si="113">LEFT(CI68,6)</f>
        <v>100402</v>
      </c>
      <c r="CK68" s="16">
        <f t="shared" ca="1" si="108"/>
        <v>4</v>
      </c>
      <c r="CL68" s="16">
        <f t="shared" ca="1" si="109"/>
        <v>10</v>
      </c>
      <c r="CM68" s="16">
        <f t="shared" ca="1" si="110"/>
        <v>2</v>
      </c>
      <c r="CN68" s="16">
        <f t="shared" ca="1" si="111"/>
        <v>5</v>
      </c>
      <c r="CO68" s="16" t="str">
        <f t="shared" ca="1" si="112"/>
        <v>s</v>
      </c>
    </row>
    <row r="69" spans="79:93">
      <c r="CA69" s="16">
        <f t="shared" ca="1" si="100"/>
        <v>71</v>
      </c>
      <c r="CB69" s="16">
        <f t="shared" ca="1" si="101"/>
        <v>58</v>
      </c>
      <c r="CC69" s="16">
        <f t="shared" ca="1" si="102"/>
        <v>51</v>
      </c>
      <c r="CD69" s="16" t="str">
        <f t="shared" ca="1" si="103"/>
        <v>Intro!G</v>
      </c>
      <c r="CE69" s="16">
        <f t="shared" ca="1" si="104"/>
        <v>58</v>
      </c>
      <c r="CF69" s="16" t="str">
        <f t="shared" ca="1" si="105"/>
        <v>Intro!G58</v>
      </c>
      <c r="CH69" s="16" t="str">
        <f t="shared" ca="1" si="106"/>
        <v>Intro!G58:H109</v>
      </c>
      <c r="CI69" s="16" t="str">
        <f t="shared" ca="1" si="107"/>
        <v>110401_15c</v>
      </c>
      <c r="CJ69" s="16" t="str">
        <f t="shared" ca="1" si="113"/>
        <v>110401</v>
      </c>
      <c r="CK69" s="16">
        <f t="shared" ca="1" si="108"/>
        <v>4</v>
      </c>
      <c r="CL69" s="16">
        <f t="shared" ca="1" si="109"/>
        <v>11</v>
      </c>
      <c r="CM69" s="16">
        <f t="shared" ca="1" si="110"/>
        <v>1</v>
      </c>
      <c r="CN69" s="16">
        <f t="shared" ca="1" si="111"/>
        <v>15</v>
      </c>
      <c r="CO69" s="16" t="str">
        <f t="shared" ca="1" si="112"/>
        <v>c</v>
      </c>
    </row>
    <row r="70" spans="79:93">
      <c r="CA70" s="16">
        <f t="shared" ca="1" si="100"/>
        <v>71</v>
      </c>
      <c r="CB70" s="16">
        <f t="shared" ca="1" si="101"/>
        <v>59</v>
      </c>
      <c r="CC70" s="16">
        <f t="shared" ca="1" si="102"/>
        <v>50</v>
      </c>
      <c r="CD70" s="16" t="str">
        <f t="shared" ca="1" si="103"/>
        <v>Intro!G</v>
      </c>
      <c r="CE70" s="16">
        <f t="shared" ca="1" si="104"/>
        <v>59</v>
      </c>
      <c r="CF70" s="16" t="str">
        <f t="shared" ca="1" si="105"/>
        <v>Intro!G59</v>
      </c>
      <c r="CH70" s="16" t="str">
        <f t="shared" ca="1" si="106"/>
        <v>Intro!G59:H109</v>
      </c>
      <c r="CI70" s="16" t="str">
        <f t="shared" ca="1" si="107"/>
        <v>110402_07c</v>
      </c>
      <c r="CJ70" s="16" t="str">
        <f t="shared" ca="1" si="113"/>
        <v>110402</v>
      </c>
      <c r="CK70" s="16">
        <f t="shared" ca="1" si="108"/>
        <v>4</v>
      </c>
      <c r="CL70" s="16">
        <f t="shared" ca="1" si="109"/>
        <v>11</v>
      </c>
      <c r="CM70" s="16">
        <f t="shared" ca="1" si="110"/>
        <v>2</v>
      </c>
      <c r="CN70" s="16">
        <f t="shared" ca="1" si="111"/>
        <v>7</v>
      </c>
      <c r="CO70" s="16" t="str">
        <f t="shared" ca="1" si="112"/>
        <v>c</v>
      </c>
    </row>
    <row r="71" spans="79:93">
      <c r="CA71" s="16">
        <f t="shared" ca="1" si="100"/>
        <v>71</v>
      </c>
      <c r="CB71" s="16">
        <f t="shared" ca="1" si="101"/>
        <v>60</v>
      </c>
      <c r="CC71" s="16">
        <f t="shared" ca="1" si="102"/>
        <v>49</v>
      </c>
      <c r="CD71" s="16" t="str">
        <f t="shared" ca="1" si="103"/>
        <v>Intro!G</v>
      </c>
      <c r="CE71" s="16">
        <f t="shared" ca="1" si="104"/>
        <v>60</v>
      </c>
      <c r="CF71" s="16" t="str">
        <f t="shared" ca="1" si="105"/>
        <v>Intro!G60</v>
      </c>
      <c r="CH71" s="16" t="str">
        <f t="shared" ca="1" si="106"/>
        <v>Intro!G60:H109</v>
      </c>
      <c r="CI71" s="16" t="str">
        <f t="shared" ca="1" si="107"/>
        <v>120401_17c</v>
      </c>
      <c r="CJ71" s="16" t="str">
        <f t="shared" ca="1" si="113"/>
        <v>120401</v>
      </c>
      <c r="CK71" s="16">
        <f t="shared" ca="1" si="108"/>
        <v>4</v>
      </c>
      <c r="CL71" s="16">
        <f t="shared" ca="1" si="109"/>
        <v>12</v>
      </c>
      <c r="CM71" s="16">
        <f t="shared" ca="1" si="110"/>
        <v>1</v>
      </c>
      <c r="CN71" s="16">
        <f t="shared" ca="1" si="111"/>
        <v>17</v>
      </c>
      <c r="CO71" s="16" t="str">
        <f t="shared" ca="1" si="112"/>
        <v>c</v>
      </c>
    </row>
    <row r="72" spans="79:93">
      <c r="CA72" s="16">
        <f t="shared" ca="1" si="100"/>
        <v>71</v>
      </c>
      <c r="CB72" s="16">
        <f t="shared" ca="1" si="101"/>
        <v>61</v>
      </c>
      <c r="CC72" s="16">
        <f t="shared" ca="1" si="102"/>
        <v>48</v>
      </c>
      <c r="CD72" s="16" t="str">
        <f t="shared" ca="1" si="103"/>
        <v>Intro!G</v>
      </c>
      <c r="CE72" s="16">
        <f t="shared" ca="1" si="104"/>
        <v>61</v>
      </c>
      <c r="CF72" s="16" t="str">
        <f t="shared" ca="1" si="105"/>
        <v>Intro!G61</v>
      </c>
      <c r="CH72" s="16" t="str">
        <f t="shared" ca="1" si="106"/>
        <v>Intro!G61:H109</v>
      </c>
      <c r="CI72" s="16" t="str">
        <f t="shared" ca="1" si="107"/>
        <v>120401_17c</v>
      </c>
      <c r="CJ72" s="16" t="str">
        <f t="shared" ca="1" si="113"/>
        <v>120401</v>
      </c>
      <c r="CK72" s="16">
        <f t="shared" ca="1" si="108"/>
        <v>4</v>
      </c>
      <c r="CL72" s="16">
        <f t="shared" ca="1" si="109"/>
        <v>12</v>
      </c>
      <c r="CM72" s="16">
        <f t="shared" ca="1" si="110"/>
        <v>1</v>
      </c>
      <c r="CN72" s="16">
        <f t="shared" ca="1" si="111"/>
        <v>17</v>
      </c>
      <c r="CO72" s="16" t="str">
        <f t="shared" ca="1" si="112"/>
        <v>c</v>
      </c>
    </row>
    <row r="73" spans="79:93">
      <c r="CA73" s="16">
        <f t="shared" ca="1" si="100"/>
        <v>71</v>
      </c>
      <c r="CB73" s="16">
        <f t="shared" ca="1" si="101"/>
        <v>62</v>
      </c>
      <c r="CC73" s="16">
        <f t="shared" ca="1" si="102"/>
        <v>47</v>
      </c>
      <c r="CD73" s="16" t="str">
        <f t="shared" ca="1" si="103"/>
        <v>Intro!G</v>
      </c>
      <c r="CE73" s="16">
        <f t="shared" ca="1" si="104"/>
        <v>62</v>
      </c>
      <c r="CF73" s="16" t="str">
        <f t="shared" ca="1" si="105"/>
        <v>Intro!G62</v>
      </c>
      <c r="CH73" s="16" t="str">
        <f t="shared" ca="1" si="106"/>
        <v>Intro!G62:H109</v>
      </c>
      <c r="CI73" s="16" t="str">
        <f t="shared" ca="1" si="107"/>
        <v>120401_22e</v>
      </c>
      <c r="CJ73" s="16" t="str">
        <f t="shared" ca="1" si="113"/>
        <v>120401</v>
      </c>
      <c r="CK73" s="16">
        <f t="shared" ca="1" si="108"/>
        <v>4</v>
      </c>
      <c r="CL73" s="16">
        <f t="shared" ca="1" si="109"/>
        <v>12</v>
      </c>
      <c r="CM73" s="16">
        <f t="shared" ca="1" si="110"/>
        <v>1</v>
      </c>
      <c r="CN73" s="16">
        <f t="shared" ca="1" si="111"/>
        <v>22</v>
      </c>
      <c r="CO73" s="16" t="str">
        <f t="shared" ca="1" si="112"/>
        <v>e</v>
      </c>
    </row>
    <row r="74" spans="79:93">
      <c r="CA74" s="16">
        <f t="shared" ca="1" si="100"/>
        <v>71</v>
      </c>
      <c r="CB74" s="16">
        <f t="shared" ca="1" si="101"/>
        <v>63</v>
      </c>
      <c r="CC74" s="16">
        <f t="shared" ca="1" si="102"/>
        <v>46</v>
      </c>
      <c r="CD74" s="16" t="str">
        <f t="shared" ca="1" si="103"/>
        <v>Intro!G</v>
      </c>
      <c r="CE74" s="16">
        <f t="shared" ca="1" si="104"/>
        <v>63</v>
      </c>
      <c r="CF74" s="16" t="str">
        <f t="shared" ca="1" si="105"/>
        <v>Intro!G63</v>
      </c>
      <c r="CH74" s="16" t="str">
        <f t="shared" ca="1" si="106"/>
        <v>Intro!G63:H109</v>
      </c>
      <c r="CI74" s="16" t="str">
        <f t="shared" ca="1" si="107"/>
        <v>120402_08c</v>
      </c>
      <c r="CJ74" s="16" t="str">
        <f t="shared" ca="1" si="113"/>
        <v>120402</v>
      </c>
      <c r="CK74" s="16">
        <f t="shared" ca="1" si="108"/>
        <v>4</v>
      </c>
      <c r="CL74" s="16">
        <f t="shared" ca="1" si="109"/>
        <v>12</v>
      </c>
      <c r="CM74" s="16">
        <f t="shared" ca="1" si="110"/>
        <v>2</v>
      </c>
      <c r="CN74" s="16">
        <f t="shared" ca="1" si="111"/>
        <v>8</v>
      </c>
      <c r="CO74" s="16" t="str">
        <f t="shared" ca="1" si="112"/>
        <v>c</v>
      </c>
    </row>
    <row r="75" spans="79:93">
      <c r="CA75" s="16">
        <f t="shared" ca="1" si="100"/>
        <v>71</v>
      </c>
      <c r="CB75" s="16">
        <f t="shared" ca="1" si="101"/>
        <v>64</v>
      </c>
      <c r="CC75" s="16">
        <f t="shared" ca="1" si="102"/>
        <v>45</v>
      </c>
      <c r="CD75" s="16" t="str">
        <f t="shared" ca="1" si="103"/>
        <v>Intro!G</v>
      </c>
      <c r="CE75" s="16">
        <f t="shared" ca="1" si="104"/>
        <v>64</v>
      </c>
      <c r="CF75" s="16" t="str">
        <f t="shared" ca="1" si="105"/>
        <v>Intro!G64</v>
      </c>
      <c r="CH75" s="16" t="str">
        <f t="shared" ca="1" si="106"/>
        <v>Intro!G64:H109</v>
      </c>
      <c r="CI75" s="16" t="str">
        <f t="shared" ca="1" si="107"/>
        <v>120402_10e</v>
      </c>
      <c r="CJ75" s="16" t="str">
        <f t="shared" ca="1" si="113"/>
        <v>120402</v>
      </c>
      <c r="CK75" s="16">
        <f t="shared" ca="1" si="108"/>
        <v>4</v>
      </c>
      <c r="CL75" s="16">
        <f t="shared" ca="1" si="109"/>
        <v>12</v>
      </c>
      <c r="CM75" s="16">
        <f t="shared" ca="1" si="110"/>
        <v>2</v>
      </c>
      <c r="CN75" s="16">
        <f t="shared" ca="1" si="111"/>
        <v>10</v>
      </c>
      <c r="CO75" s="16" t="str">
        <f t="shared" ca="1" si="112"/>
        <v>e</v>
      </c>
    </row>
    <row r="76" spans="79:93">
      <c r="CA76" s="16">
        <f t="shared" ca="1" si="100"/>
        <v>71</v>
      </c>
      <c r="CB76" s="16">
        <f t="shared" ca="1" si="101"/>
        <v>65</v>
      </c>
      <c r="CC76" s="16">
        <f t="shared" ca="1" si="102"/>
        <v>44</v>
      </c>
      <c r="CD76" s="16" t="str">
        <f t="shared" ca="1" si="103"/>
        <v>Intro!G</v>
      </c>
      <c r="CE76" s="16">
        <f t="shared" ca="1" si="104"/>
        <v>65</v>
      </c>
      <c r="CF76" s="16" t="str">
        <f t="shared" ca="1" si="105"/>
        <v>Intro!G65</v>
      </c>
      <c r="CH76" s="16" t="str">
        <f t="shared" ca="1" si="106"/>
        <v>Intro!G65:H109</v>
      </c>
      <c r="CI76" s="16" t="str">
        <f t="shared" ca="1" si="107"/>
        <v>120403_05c</v>
      </c>
      <c r="CJ76" s="16" t="str">
        <f t="shared" ca="1" si="113"/>
        <v>120403</v>
      </c>
      <c r="CK76" s="16">
        <f t="shared" ca="1" si="108"/>
        <v>4</v>
      </c>
      <c r="CL76" s="16">
        <f t="shared" ca="1" si="109"/>
        <v>12</v>
      </c>
      <c r="CM76" s="16">
        <f t="shared" ca="1" si="110"/>
        <v>3</v>
      </c>
      <c r="CN76" s="16">
        <f t="shared" ca="1" si="111"/>
        <v>5</v>
      </c>
      <c r="CO76" s="16" t="str">
        <f t="shared" ca="1" si="112"/>
        <v>c</v>
      </c>
    </row>
    <row r="77" spans="79:93">
      <c r="CA77" s="16">
        <f t="shared" ca="1" si="100"/>
        <v>71</v>
      </c>
      <c r="CB77" s="16">
        <f t="shared" ca="1" si="101"/>
        <v>66</v>
      </c>
      <c r="CC77" s="16">
        <f t="shared" ca="1" si="102"/>
        <v>43</v>
      </c>
      <c r="CD77" s="16" t="str">
        <f t="shared" ca="1" si="103"/>
        <v>Intro!G</v>
      </c>
      <c r="CE77" s="16">
        <f t="shared" ca="1" si="104"/>
        <v>66</v>
      </c>
      <c r="CF77" s="16" t="str">
        <f t="shared" ca="1" si="105"/>
        <v>Intro!G66</v>
      </c>
      <c r="CH77" s="16" t="str">
        <f t="shared" ca="1" si="106"/>
        <v>Intro!G66:H109</v>
      </c>
      <c r="CI77" s="16" t="str">
        <f t="shared" ca="1" si="107"/>
        <v>130401_20c</v>
      </c>
      <c r="CJ77" s="16" t="str">
        <f t="shared" ca="1" si="113"/>
        <v>130401</v>
      </c>
      <c r="CK77" s="16">
        <f t="shared" ca="1" si="108"/>
        <v>4</v>
      </c>
      <c r="CL77" s="16">
        <f t="shared" ca="1" si="109"/>
        <v>13</v>
      </c>
      <c r="CM77" s="16">
        <f t="shared" ca="1" si="110"/>
        <v>1</v>
      </c>
      <c r="CN77" s="16">
        <f t="shared" ca="1" si="111"/>
        <v>20</v>
      </c>
      <c r="CO77" s="16" t="str">
        <f t="shared" ca="1" si="112"/>
        <v>c</v>
      </c>
    </row>
    <row r="78" spans="79:93">
      <c r="CA78" s="16">
        <f t="shared" ca="1" si="100"/>
        <v>71</v>
      </c>
      <c r="CB78" s="16">
        <f t="shared" ca="1" si="101"/>
        <v>67</v>
      </c>
      <c r="CC78" s="16">
        <f t="shared" ca="1" si="102"/>
        <v>42</v>
      </c>
      <c r="CD78" s="16" t="str">
        <f t="shared" ca="1" si="103"/>
        <v>Intro!G</v>
      </c>
      <c r="CE78" s="16">
        <f t="shared" ca="1" si="104"/>
        <v>67</v>
      </c>
      <c r="CF78" s="16" t="str">
        <f t="shared" ca="1" si="105"/>
        <v>Intro!G67</v>
      </c>
      <c r="CH78" s="16" t="str">
        <f t="shared" ca="1" si="106"/>
        <v>Intro!G67:H109</v>
      </c>
      <c r="CI78" s="16" t="str">
        <f t="shared" ca="1" si="107"/>
        <v>130401_20c</v>
      </c>
      <c r="CJ78" s="16" t="str">
        <f t="shared" ca="1" si="113"/>
        <v>130401</v>
      </c>
      <c r="CK78" s="16">
        <f t="shared" ca="1" si="108"/>
        <v>4</v>
      </c>
      <c r="CL78" s="16">
        <f t="shared" ca="1" si="109"/>
        <v>13</v>
      </c>
      <c r="CM78" s="16">
        <f t="shared" ca="1" si="110"/>
        <v>1</v>
      </c>
      <c r="CN78" s="16">
        <f t="shared" ca="1" si="111"/>
        <v>20</v>
      </c>
      <c r="CO78" s="16" t="str">
        <f t="shared" ca="1" si="112"/>
        <v>c</v>
      </c>
    </row>
    <row r="79" spans="79:93">
      <c r="CA79" s="16">
        <f t="shared" ca="1" si="100"/>
        <v>71</v>
      </c>
      <c r="CB79" s="16">
        <f t="shared" ca="1" si="101"/>
        <v>68</v>
      </c>
      <c r="CC79" s="16">
        <f t="shared" ca="1" si="102"/>
        <v>41</v>
      </c>
      <c r="CD79" s="16" t="str">
        <f t="shared" ca="1" si="103"/>
        <v>Intro!G</v>
      </c>
      <c r="CE79" s="16">
        <f t="shared" ca="1" si="104"/>
        <v>68</v>
      </c>
      <c r="CF79" s="16" t="str">
        <f t="shared" ca="1" si="105"/>
        <v>Intro!G68</v>
      </c>
      <c r="CH79" s="16" t="str">
        <f t="shared" ca="1" si="106"/>
        <v>Intro!G68:H109</v>
      </c>
      <c r="CI79" s="16" t="str">
        <f t="shared" ca="1" si="107"/>
        <v>130401_26e</v>
      </c>
      <c r="CJ79" s="16" t="str">
        <f t="shared" ca="1" si="113"/>
        <v>130401</v>
      </c>
      <c r="CK79" s="16">
        <f t="shared" ca="1" si="108"/>
        <v>4</v>
      </c>
      <c r="CL79" s="16">
        <f t="shared" ca="1" si="109"/>
        <v>13</v>
      </c>
      <c r="CM79" s="16">
        <f t="shared" ca="1" si="110"/>
        <v>1</v>
      </c>
      <c r="CN79" s="16">
        <f t="shared" ca="1" si="111"/>
        <v>26</v>
      </c>
      <c r="CO79" s="16" t="str">
        <f t="shared" ca="1" si="112"/>
        <v>e</v>
      </c>
    </row>
    <row r="80" spans="79:93">
      <c r="CA80" s="16">
        <f t="shared" ca="1" si="100"/>
        <v>71</v>
      </c>
      <c r="CB80" s="16">
        <f t="shared" ca="1" si="101"/>
        <v>69</v>
      </c>
      <c r="CC80" s="16">
        <f t="shared" ca="1" si="102"/>
        <v>40</v>
      </c>
      <c r="CD80" s="16" t="str">
        <f t="shared" ca="1" si="103"/>
        <v>Intro!G</v>
      </c>
      <c r="CE80" s="16">
        <f t="shared" ca="1" si="104"/>
        <v>69</v>
      </c>
      <c r="CF80" s="16" t="str">
        <f t="shared" ca="1" si="105"/>
        <v>Intro!G69</v>
      </c>
      <c r="CH80" s="16" t="str">
        <f t="shared" ca="1" si="106"/>
        <v>Intro!G69:H109</v>
      </c>
      <c r="CI80" s="16" t="str">
        <f t="shared" ca="1" si="107"/>
        <v>130402_09c</v>
      </c>
      <c r="CJ80" s="16" t="str">
        <f t="shared" ca="1" si="113"/>
        <v>130402</v>
      </c>
      <c r="CK80" s="16">
        <f t="shared" ca="1" si="108"/>
        <v>4</v>
      </c>
      <c r="CL80" s="16">
        <f t="shared" ca="1" si="109"/>
        <v>13</v>
      </c>
      <c r="CM80" s="16">
        <f t="shared" ca="1" si="110"/>
        <v>2</v>
      </c>
      <c r="CN80" s="16">
        <f t="shared" ca="1" si="111"/>
        <v>9</v>
      </c>
      <c r="CO80" s="16" t="str">
        <f t="shared" ca="1" si="112"/>
        <v>c</v>
      </c>
    </row>
    <row r="81" spans="79:93">
      <c r="CA81" s="16">
        <f t="shared" ca="1" si="100"/>
        <v>71</v>
      </c>
      <c r="CB81" s="16">
        <f t="shared" ca="1" si="101"/>
        <v>70</v>
      </c>
      <c r="CC81" s="16">
        <f t="shared" ca="1" si="102"/>
        <v>39</v>
      </c>
      <c r="CD81" s="16" t="str">
        <f t="shared" ca="1" si="103"/>
        <v>Intro!G</v>
      </c>
      <c r="CE81" s="16">
        <f t="shared" ca="1" si="104"/>
        <v>70</v>
      </c>
      <c r="CF81" s="16" t="str">
        <f t="shared" ca="1" si="105"/>
        <v>Intro!G70</v>
      </c>
      <c r="CH81" s="16" t="str">
        <f t="shared" ca="1" si="106"/>
        <v>Intro!G70:H109</v>
      </c>
      <c r="CI81" s="16" t="str">
        <f t="shared" ca="1" si="107"/>
        <v>130402_13e</v>
      </c>
      <c r="CJ81" s="16" t="str">
        <f t="shared" ca="1" si="113"/>
        <v>130402</v>
      </c>
      <c r="CK81" s="16">
        <f t="shared" ca="1" si="108"/>
        <v>4</v>
      </c>
      <c r="CL81" s="16">
        <f t="shared" ca="1" si="109"/>
        <v>13</v>
      </c>
      <c r="CM81" s="16">
        <f t="shared" ca="1" si="110"/>
        <v>2</v>
      </c>
      <c r="CN81" s="16">
        <f t="shared" ca="1" si="111"/>
        <v>13</v>
      </c>
      <c r="CO81" s="16" t="str">
        <f t="shared" ca="1" si="112"/>
        <v>e</v>
      </c>
    </row>
    <row r="82" spans="79:93">
      <c r="CA82" s="16">
        <f t="shared" ca="1" si="100"/>
        <v>71</v>
      </c>
      <c r="CB82" s="16">
        <f t="shared" ca="1" si="101"/>
        <v>71</v>
      </c>
      <c r="CC82" s="16">
        <f t="shared" ca="1" si="102"/>
        <v>38</v>
      </c>
      <c r="CD82" s="16" t="str">
        <f t="shared" ca="1" si="103"/>
        <v>Intro!G</v>
      </c>
      <c r="CE82" s="16">
        <f t="shared" ca="1" si="104"/>
        <v>71</v>
      </c>
      <c r="CF82" s="16" t="str">
        <f t="shared" ca="1" si="105"/>
        <v>Intro!G71</v>
      </c>
      <c r="CH82" s="16" t="str">
        <f t="shared" ca="1" si="106"/>
        <v>Intro!G71:H109</v>
      </c>
      <c r="CI82" s="16" t="str">
        <f t="shared" ca="1" si="107"/>
        <v>140401_26e</v>
      </c>
      <c r="CJ82" s="16" t="str">
        <f t="shared" ca="1" si="113"/>
        <v>140401</v>
      </c>
      <c r="CK82" s="16">
        <f t="shared" ca="1" si="108"/>
        <v>4</v>
      </c>
      <c r="CL82" s="16">
        <f t="shared" ca="1" si="109"/>
        <v>14</v>
      </c>
      <c r="CM82" s="16">
        <f t="shared" ca="1" si="110"/>
        <v>1</v>
      </c>
      <c r="CN82" s="16">
        <f t="shared" ca="1" si="111"/>
        <v>26</v>
      </c>
      <c r="CO82" s="16" t="str">
        <f t="shared" ca="1" si="112"/>
        <v>e</v>
      </c>
    </row>
    <row r="83" spans="79:93">
      <c r="CA83" s="16">
        <f t="shared" ca="1" si="100"/>
        <v>71</v>
      </c>
      <c r="CB83" s="16">
        <f t="shared" ca="1" si="101"/>
        <v>72</v>
      </c>
      <c r="CC83" s="16">
        <f t="shared" ca="1" si="102"/>
        <v>37</v>
      </c>
      <c r="CD83" s="16" t="str">
        <f t="shared" ca="1" si="103"/>
        <v>Intro!G</v>
      </c>
      <c r="CE83" s="16">
        <f t="shared" ca="1" si="104"/>
        <v>72</v>
      </c>
      <c r="CF83" s="16" t="str">
        <f t="shared" ca="1" si="105"/>
        <v>Intro!G72</v>
      </c>
      <c r="CH83" s="16" t="str">
        <f t="shared" ca="1" si="106"/>
        <v>Intro!G72:H109</v>
      </c>
      <c r="CI83" s="16" t="str">
        <f t="shared" ca="1" si="107"/>
        <v>140401_26c</v>
      </c>
      <c r="CJ83" s="16" t="str">
        <f t="shared" ca="1" si="113"/>
        <v>140401</v>
      </c>
      <c r="CK83" s="16">
        <f t="shared" ca="1" si="108"/>
        <v>4</v>
      </c>
      <c r="CL83" s="16">
        <f t="shared" ca="1" si="109"/>
        <v>14</v>
      </c>
      <c r="CM83" s="16">
        <f t="shared" ca="1" si="110"/>
        <v>1</v>
      </c>
      <c r="CN83" s="16">
        <f t="shared" ca="1" si="111"/>
        <v>26</v>
      </c>
      <c r="CO83" s="16" t="str">
        <f t="shared" ca="1" si="112"/>
        <v>c</v>
      </c>
    </row>
    <row r="84" spans="79:93">
      <c r="CA84" s="16">
        <f t="shared" ca="1" si="100"/>
        <v>71</v>
      </c>
      <c r="CB84" s="16">
        <f t="shared" ca="1" si="101"/>
        <v>73</v>
      </c>
      <c r="CC84" s="16">
        <f t="shared" ca="1" si="102"/>
        <v>36</v>
      </c>
      <c r="CD84" s="16" t="str">
        <f t="shared" ca="1" si="103"/>
        <v>Intro!G</v>
      </c>
      <c r="CE84" s="16">
        <f t="shared" ca="1" si="104"/>
        <v>73</v>
      </c>
      <c r="CF84" s="16" t="str">
        <f t="shared" ca="1" si="105"/>
        <v>Intro!G73</v>
      </c>
      <c r="CH84" s="16" t="str">
        <f t="shared" ca="1" si="106"/>
        <v>Intro!G73:H109</v>
      </c>
      <c r="CI84" s="16" t="str">
        <f t="shared" ca="1" si="107"/>
        <v>140402_11c</v>
      </c>
      <c r="CJ84" s="16" t="str">
        <f t="shared" ca="1" si="113"/>
        <v>140402</v>
      </c>
      <c r="CK84" s="16">
        <f t="shared" ca="1" si="108"/>
        <v>4</v>
      </c>
      <c r="CL84" s="16">
        <f t="shared" ca="1" si="109"/>
        <v>14</v>
      </c>
      <c r="CM84" s="16">
        <f t="shared" ca="1" si="110"/>
        <v>2</v>
      </c>
      <c r="CN84" s="16">
        <f t="shared" ca="1" si="111"/>
        <v>11</v>
      </c>
      <c r="CO84" s="16" t="str">
        <f t="shared" ca="1" si="112"/>
        <v>c</v>
      </c>
    </row>
    <row r="85" spans="79:93">
      <c r="CA85" s="16">
        <f t="shared" ca="1" si="100"/>
        <v>71</v>
      </c>
      <c r="CB85" s="16">
        <f t="shared" ca="1" si="101"/>
        <v>74</v>
      </c>
      <c r="CC85" s="16">
        <f t="shared" ca="1" si="102"/>
        <v>35</v>
      </c>
      <c r="CD85" s="16" t="str">
        <f t="shared" ca="1" si="103"/>
        <v>Intro!G</v>
      </c>
      <c r="CE85" s="16">
        <f t="shared" ca="1" si="104"/>
        <v>74</v>
      </c>
      <c r="CF85" s="16" t="str">
        <f t="shared" ca="1" si="105"/>
        <v>Intro!G74</v>
      </c>
      <c r="CH85" s="16" t="str">
        <f t="shared" ca="1" si="106"/>
        <v>Intro!G74:H109</v>
      </c>
      <c r="CI85" s="16" t="str">
        <f t="shared" ca="1" si="107"/>
        <v>140402_12c</v>
      </c>
      <c r="CJ85" s="16" t="str">
        <f t="shared" ca="1" si="113"/>
        <v>140402</v>
      </c>
      <c r="CK85" s="16">
        <f t="shared" ca="1" si="108"/>
        <v>4</v>
      </c>
      <c r="CL85" s="16">
        <f t="shared" ca="1" si="109"/>
        <v>14</v>
      </c>
      <c r="CM85" s="16">
        <f t="shared" ca="1" si="110"/>
        <v>2</v>
      </c>
      <c r="CN85" s="16">
        <f t="shared" ca="1" si="111"/>
        <v>12</v>
      </c>
      <c r="CO85" s="16" t="str">
        <f t="shared" ca="1" si="112"/>
        <v>c</v>
      </c>
    </row>
    <row r="86" spans="79:93">
      <c r="CA86" s="16">
        <f t="shared" ca="1" si="100"/>
        <v>71</v>
      </c>
      <c r="CB86" s="16">
        <f t="shared" ca="1" si="101"/>
        <v>75</v>
      </c>
      <c r="CC86" s="16">
        <f t="shared" ca="1" si="102"/>
        <v>34</v>
      </c>
      <c r="CD86" s="16" t="str">
        <f t="shared" ca="1" si="103"/>
        <v>Intro!G</v>
      </c>
      <c r="CE86" s="16">
        <f t="shared" ca="1" si="104"/>
        <v>75</v>
      </c>
      <c r="CF86" s="16" t="str">
        <f t="shared" ca="1" si="105"/>
        <v>Intro!G75</v>
      </c>
      <c r="CH86" s="16" t="str">
        <f t="shared" ca="1" si="106"/>
        <v>Intro!G75:H109</v>
      </c>
      <c r="CI86" s="16" t="str">
        <f t="shared" ca="1" si="107"/>
        <v>140402_14e</v>
      </c>
      <c r="CJ86" s="16" t="str">
        <f t="shared" ca="1" si="113"/>
        <v>140402</v>
      </c>
      <c r="CK86" s="16">
        <f t="shared" ca="1" si="108"/>
        <v>4</v>
      </c>
      <c r="CL86" s="16">
        <f t="shared" ca="1" si="109"/>
        <v>14</v>
      </c>
      <c r="CM86" s="16">
        <f t="shared" ca="1" si="110"/>
        <v>2</v>
      </c>
      <c r="CN86" s="16">
        <f t="shared" ca="1" si="111"/>
        <v>14</v>
      </c>
      <c r="CO86" s="16" t="str">
        <f t="shared" ca="1" si="112"/>
        <v>e</v>
      </c>
    </row>
    <row r="87" spans="79:93">
      <c r="CA87" s="16">
        <f t="shared" ca="1" si="100"/>
        <v>71</v>
      </c>
      <c r="CB87" s="16">
        <f t="shared" ca="1" si="101"/>
        <v>76</v>
      </c>
      <c r="CC87" s="16">
        <f t="shared" ca="1" si="102"/>
        <v>33</v>
      </c>
      <c r="CD87" s="16" t="str">
        <f t="shared" ca="1" si="103"/>
        <v>Intro!G</v>
      </c>
      <c r="CE87" s="16">
        <f t="shared" ca="1" si="104"/>
        <v>76</v>
      </c>
      <c r="CF87" s="16" t="str">
        <f t="shared" ca="1" si="105"/>
        <v>Intro!G76</v>
      </c>
      <c r="CH87" s="16" t="str">
        <f t="shared" ca="1" si="106"/>
        <v>Intro!G76:H109</v>
      </c>
      <c r="CI87" s="16" t="str">
        <f t="shared" ca="1" si="107"/>
        <v>140403_10e</v>
      </c>
      <c r="CJ87" s="16" t="str">
        <f t="shared" ca="1" si="113"/>
        <v>140403</v>
      </c>
      <c r="CK87" s="16">
        <f t="shared" ca="1" si="108"/>
        <v>4</v>
      </c>
      <c r="CL87" s="16">
        <f t="shared" ca="1" si="109"/>
        <v>14</v>
      </c>
      <c r="CM87" s="16">
        <f t="shared" ca="1" si="110"/>
        <v>3</v>
      </c>
      <c r="CN87" s="16">
        <f t="shared" ca="1" si="111"/>
        <v>10</v>
      </c>
      <c r="CO87" s="16" t="str">
        <f t="shared" ca="1" si="112"/>
        <v>e</v>
      </c>
    </row>
    <row r="88" spans="79:93">
      <c r="CA88" s="16">
        <f t="shared" ca="1" si="100"/>
        <v>71</v>
      </c>
      <c r="CB88" s="16">
        <f t="shared" ca="1" si="101"/>
        <v>77</v>
      </c>
      <c r="CC88" s="16">
        <f t="shared" ca="1" si="102"/>
        <v>32</v>
      </c>
      <c r="CD88" s="16" t="str">
        <f t="shared" ca="1" si="103"/>
        <v>Intro!G</v>
      </c>
      <c r="CE88" s="16">
        <f t="shared" ca="1" si="104"/>
        <v>77</v>
      </c>
      <c r="CF88" s="16" t="str">
        <f t="shared" ca="1" si="105"/>
        <v>Intro!G77</v>
      </c>
      <c r="CH88" s="16" t="str">
        <f t="shared" ca="1" si="106"/>
        <v>Intro!G77:H109</v>
      </c>
      <c r="CI88" s="16" t="str">
        <f t="shared" ca="1" si="107"/>
        <v>150401_28c</v>
      </c>
      <c r="CJ88" s="16" t="str">
        <f t="shared" ca="1" si="113"/>
        <v>150401</v>
      </c>
      <c r="CK88" s="16">
        <f t="shared" ca="1" si="108"/>
        <v>4</v>
      </c>
      <c r="CL88" s="16">
        <f t="shared" ca="1" si="109"/>
        <v>15</v>
      </c>
      <c r="CM88" s="16">
        <f t="shared" ca="1" si="110"/>
        <v>1</v>
      </c>
      <c r="CN88" s="16">
        <f t="shared" ca="1" si="111"/>
        <v>28</v>
      </c>
      <c r="CO88" s="16" t="str">
        <f t="shared" ca="1" si="112"/>
        <v>c</v>
      </c>
    </row>
    <row r="89" spans="79:93">
      <c r="CA89" s="16">
        <f t="shared" ca="1" si="100"/>
        <v>71</v>
      </c>
      <c r="CB89" s="16">
        <f t="shared" ca="1" si="101"/>
        <v>78</v>
      </c>
      <c r="CC89" s="16">
        <f t="shared" ca="1" si="102"/>
        <v>31</v>
      </c>
      <c r="CD89" s="16" t="str">
        <f t="shared" ca="1" si="103"/>
        <v>Intro!G</v>
      </c>
      <c r="CE89" s="16">
        <f t="shared" ca="1" si="104"/>
        <v>78</v>
      </c>
      <c r="CF89" s="16" t="str">
        <f t="shared" ca="1" si="105"/>
        <v>Intro!G78</v>
      </c>
      <c r="CH89" s="16" t="str">
        <f t="shared" ca="1" si="106"/>
        <v>Intro!G78:H109</v>
      </c>
      <c r="CI89" s="16" t="str">
        <f t="shared" ca="1" si="107"/>
        <v>150401_30e</v>
      </c>
      <c r="CJ89" s="16" t="str">
        <f t="shared" ca="1" si="113"/>
        <v>150401</v>
      </c>
      <c r="CK89" s="16">
        <f t="shared" ca="1" si="108"/>
        <v>4</v>
      </c>
      <c r="CL89" s="16">
        <f t="shared" ca="1" si="109"/>
        <v>15</v>
      </c>
      <c r="CM89" s="16">
        <f t="shared" ca="1" si="110"/>
        <v>1</v>
      </c>
      <c r="CN89" s="16">
        <f t="shared" ca="1" si="111"/>
        <v>30</v>
      </c>
      <c r="CO89" s="16" t="str">
        <f t="shared" ca="1" si="112"/>
        <v>e</v>
      </c>
    </row>
    <row r="90" spans="79:93">
      <c r="CA90" s="16">
        <f t="shared" ca="1" si="100"/>
        <v>71</v>
      </c>
      <c r="CB90" s="16">
        <f t="shared" ca="1" si="101"/>
        <v>79</v>
      </c>
      <c r="CC90" s="16">
        <f t="shared" ca="1" si="102"/>
        <v>30</v>
      </c>
      <c r="CD90" s="16" t="str">
        <f t="shared" ca="1" si="103"/>
        <v>Intro!G</v>
      </c>
      <c r="CE90" s="16">
        <f t="shared" ca="1" si="104"/>
        <v>79</v>
      </c>
      <c r="CF90" s="16" t="str">
        <f t="shared" ca="1" si="105"/>
        <v>Intro!G79</v>
      </c>
      <c r="CH90" s="16" t="str">
        <f t="shared" ca="1" si="106"/>
        <v>Intro!G79:H109</v>
      </c>
      <c r="CI90" s="16" t="str">
        <f t="shared" ca="1" si="107"/>
        <v>150402_13c</v>
      </c>
      <c r="CJ90" s="16" t="str">
        <f t="shared" ca="1" si="113"/>
        <v>150402</v>
      </c>
      <c r="CK90" s="16">
        <f t="shared" ca="1" si="108"/>
        <v>4</v>
      </c>
      <c r="CL90" s="16">
        <f t="shared" ca="1" si="109"/>
        <v>15</v>
      </c>
      <c r="CM90" s="16">
        <f t="shared" ca="1" si="110"/>
        <v>2</v>
      </c>
      <c r="CN90" s="16">
        <f t="shared" ca="1" si="111"/>
        <v>13</v>
      </c>
      <c r="CO90" s="16" t="str">
        <f t="shared" ca="1" si="112"/>
        <v>c</v>
      </c>
    </row>
    <row r="91" spans="79:93">
      <c r="CA91" s="16">
        <f t="shared" ca="1" si="100"/>
        <v>71</v>
      </c>
      <c r="CB91" s="16">
        <f t="shared" ca="1" si="101"/>
        <v>80</v>
      </c>
      <c r="CC91" s="16">
        <f t="shared" ca="1" si="102"/>
        <v>29</v>
      </c>
      <c r="CD91" s="16" t="str">
        <f t="shared" ca="1" si="103"/>
        <v>Intro!G</v>
      </c>
      <c r="CE91" s="16">
        <f t="shared" ca="1" si="104"/>
        <v>80</v>
      </c>
      <c r="CF91" s="16" t="str">
        <f t="shared" ca="1" si="105"/>
        <v>Intro!G80</v>
      </c>
      <c r="CH91" s="16" t="str">
        <f t="shared" ca="1" si="106"/>
        <v>Intro!G80:H109</v>
      </c>
      <c r="CI91" s="16" t="str">
        <f t="shared" ca="1" si="107"/>
        <v>150402_14e</v>
      </c>
      <c r="CJ91" s="16" t="str">
        <f t="shared" ca="1" si="113"/>
        <v>150402</v>
      </c>
      <c r="CK91" s="16">
        <f t="shared" ca="1" si="108"/>
        <v>4</v>
      </c>
      <c r="CL91" s="16">
        <f t="shared" ca="1" si="109"/>
        <v>15</v>
      </c>
      <c r="CM91" s="16">
        <f t="shared" ca="1" si="110"/>
        <v>2</v>
      </c>
      <c r="CN91" s="16">
        <f t="shared" ca="1" si="111"/>
        <v>14</v>
      </c>
      <c r="CO91" s="16" t="str">
        <f t="shared" ca="1" si="112"/>
        <v>e</v>
      </c>
    </row>
    <row r="92" spans="79:93">
      <c r="CA92" s="16">
        <f t="shared" ca="1" si="100"/>
        <v>71</v>
      </c>
      <c r="CB92" s="16">
        <f t="shared" ca="1" si="101"/>
        <v>81</v>
      </c>
      <c r="CC92" s="16">
        <f t="shared" ca="1" si="102"/>
        <v>28</v>
      </c>
      <c r="CD92" s="16" t="str">
        <f t="shared" ca="1" si="103"/>
        <v>Intro!G</v>
      </c>
      <c r="CE92" s="16">
        <f t="shared" ca="1" si="104"/>
        <v>81</v>
      </c>
      <c r="CF92" s="16" t="str">
        <f t="shared" ca="1" si="105"/>
        <v>Intro!G81</v>
      </c>
      <c r="CH92" s="16" t="str">
        <f t="shared" ca="1" si="106"/>
        <v>Intro!G81:H109</v>
      </c>
      <c r="CI92" s="16" t="str">
        <f t="shared" ca="1" si="107"/>
        <v>150403_08c</v>
      </c>
      <c r="CJ92" s="16" t="str">
        <f t="shared" ca="1" si="113"/>
        <v>150403</v>
      </c>
      <c r="CK92" s="16">
        <f t="shared" ca="1" si="108"/>
        <v>4</v>
      </c>
      <c r="CL92" s="16">
        <f t="shared" ca="1" si="109"/>
        <v>15</v>
      </c>
      <c r="CM92" s="16">
        <f t="shared" ca="1" si="110"/>
        <v>3</v>
      </c>
      <c r="CN92" s="16">
        <f t="shared" ca="1" si="111"/>
        <v>8</v>
      </c>
      <c r="CO92" s="16" t="str">
        <f t="shared" ca="1" si="112"/>
        <v>c</v>
      </c>
    </row>
    <row r="93" spans="79:93">
      <c r="CA93" s="16">
        <f t="shared" ca="1" si="100"/>
        <v>71</v>
      </c>
      <c r="CB93" s="16">
        <f t="shared" ca="1" si="101"/>
        <v>82</v>
      </c>
      <c r="CC93" s="16">
        <f t="shared" ca="1" si="102"/>
        <v>27</v>
      </c>
      <c r="CD93" s="16" t="str">
        <f t="shared" ca="1" si="103"/>
        <v>Intro!G</v>
      </c>
      <c r="CE93" s="16">
        <f t="shared" ca="1" si="104"/>
        <v>82</v>
      </c>
      <c r="CF93" s="16" t="str">
        <f t="shared" ca="1" si="105"/>
        <v>Intro!G82</v>
      </c>
      <c r="CH93" s="16" t="str">
        <f t="shared" ca="1" si="106"/>
        <v>Intro!G82:H109</v>
      </c>
      <c r="CI93" s="16" t="str">
        <f t="shared" ca="1" si="107"/>
        <v>150403_08c</v>
      </c>
      <c r="CJ93" s="16" t="str">
        <f t="shared" ca="1" si="113"/>
        <v>150403</v>
      </c>
      <c r="CK93" s="16">
        <f t="shared" ca="1" si="108"/>
        <v>4</v>
      </c>
      <c r="CL93" s="16">
        <f t="shared" ca="1" si="109"/>
        <v>15</v>
      </c>
      <c r="CM93" s="16">
        <f t="shared" ca="1" si="110"/>
        <v>3</v>
      </c>
      <c r="CN93" s="16">
        <f t="shared" ca="1" si="111"/>
        <v>8</v>
      </c>
      <c r="CO93" s="16" t="str">
        <f t="shared" ca="1" si="112"/>
        <v>c</v>
      </c>
    </row>
    <row r="94" spans="79:93">
      <c r="CA94" s="16">
        <f t="shared" ca="1" si="100"/>
        <v>71</v>
      </c>
      <c r="CB94" s="16">
        <f t="shared" ca="1" si="101"/>
        <v>83</v>
      </c>
      <c r="CC94" s="16">
        <f t="shared" ca="1" si="102"/>
        <v>26</v>
      </c>
      <c r="CD94" s="16" t="str">
        <f t="shared" ca="1" si="103"/>
        <v>Intro!G</v>
      </c>
      <c r="CE94" s="16">
        <f t="shared" ca="1" si="104"/>
        <v>83</v>
      </c>
      <c r="CF94" s="16" t="str">
        <f t="shared" ca="1" si="105"/>
        <v>Intro!G83</v>
      </c>
      <c r="CH94" s="16" t="str">
        <f t="shared" ca="1" si="106"/>
        <v>Intro!G83:H109</v>
      </c>
      <c r="CI94" s="16" t="str">
        <f t="shared" ca="1" si="107"/>
        <v>150403_09c</v>
      </c>
      <c r="CJ94" s="16" t="str">
        <f t="shared" ca="1" si="113"/>
        <v>150403</v>
      </c>
      <c r="CK94" s="16">
        <f t="shared" ca="1" si="108"/>
        <v>4</v>
      </c>
      <c r="CL94" s="16">
        <f t="shared" ca="1" si="109"/>
        <v>15</v>
      </c>
      <c r="CM94" s="16">
        <f t="shared" ca="1" si="110"/>
        <v>3</v>
      </c>
      <c r="CN94" s="16">
        <f t="shared" ca="1" si="111"/>
        <v>9</v>
      </c>
      <c r="CO94" s="16" t="str">
        <f t="shared" ca="1" si="112"/>
        <v>c</v>
      </c>
    </row>
    <row r="95" spans="79:93">
      <c r="CA95" s="16">
        <f t="shared" ca="1" si="100"/>
        <v>71</v>
      </c>
      <c r="CB95" s="16">
        <f t="shared" ca="1" si="101"/>
        <v>84</v>
      </c>
      <c r="CC95" s="16">
        <f t="shared" ca="1" si="102"/>
        <v>25</v>
      </c>
      <c r="CD95" s="16" t="str">
        <f t="shared" ca="1" si="103"/>
        <v>Intro!G</v>
      </c>
      <c r="CE95" s="16">
        <f t="shared" ca="1" si="104"/>
        <v>84</v>
      </c>
      <c r="CF95" s="16" t="str">
        <f t="shared" ca="1" si="105"/>
        <v>Intro!G84</v>
      </c>
      <c r="CH95" s="16" t="str">
        <f t="shared" ca="1" si="106"/>
        <v>Intro!G84:H109</v>
      </c>
      <c r="CI95" s="16" t="str">
        <f t="shared" ca="1" si="107"/>
        <v>150403_10e</v>
      </c>
      <c r="CJ95" s="16" t="str">
        <f t="shared" ca="1" si="113"/>
        <v>150403</v>
      </c>
      <c r="CK95" s="16">
        <f t="shared" ca="1" si="108"/>
        <v>4</v>
      </c>
      <c r="CL95" s="16">
        <f t="shared" ca="1" si="109"/>
        <v>15</v>
      </c>
      <c r="CM95" s="16">
        <f t="shared" ca="1" si="110"/>
        <v>3</v>
      </c>
      <c r="CN95" s="16">
        <f t="shared" ca="1" si="111"/>
        <v>10</v>
      </c>
      <c r="CO95" s="16" t="str">
        <f t="shared" ca="1" si="112"/>
        <v>e</v>
      </c>
    </row>
    <row r="96" spans="79:93">
      <c r="CA96" s="16">
        <f t="shared" ca="1" si="100"/>
        <v>71</v>
      </c>
      <c r="CB96" s="16">
        <f t="shared" ca="1" si="101"/>
        <v>85</v>
      </c>
      <c r="CC96" s="16">
        <f t="shared" ca="1" si="102"/>
        <v>24</v>
      </c>
      <c r="CD96" s="16" t="str">
        <f t="shared" ca="1" si="103"/>
        <v>Intro!G</v>
      </c>
      <c r="CE96" s="16">
        <f t="shared" ca="1" si="104"/>
        <v>85</v>
      </c>
      <c r="CF96" s="16" t="str">
        <f t="shared" ca="1" si="105"/>
        <v>Intro!G85</v>
      </c>
      <c r="CH96" s="16" t="str">
        <f t="shared" ca="1" si="106"/>
        <v>Intro!G85:H109</v>
      </c>
      <c r="CI96" s="16" t="str">
        <f t="shared" ca="1" si="107"/>
        <v>160401_30e</v>
      </c>
      <c r="CJ96" s="16" t="str">
        <f t="shared" ca="1" si="113"/>
        <v>160401</v>
      </c>
      <c r="CK96" s="16">
        <f t="shared" ca="1" si="108"/>
        <v>4</v>
      </c>
      <c r="CL96" s="16">
        <f t="shared" ca="1" si="109"/>
        <v>16</v>
      </c>
      <c r="CM96" s="16">
        <f t="shared" ca="1" si="110"/>
        <v>1</v>
      </c>
      <c r="CN96" s="16">
        <f t="shared" ca="1" si="111"/>
        <v>30</v>
      </c>
      <c r="CO96" s="16" t="str">
        <f t="shared" ca="1" si="112"/>
        <v>e</v>
      </c>
    </row>
    <row r="97" spans="79:93">
      <c r="CA97" s="16">
        <f t="shared" ca="1" si="100"/>
        <v>71</v>
      </c>
      <c r="CB97" s="16">
        <f t="shared" ca="1" si="101"/>
        <v>86</v>
      </c>
      <c r="CC97" s="16">
        <f t="shared" ca="1" si="102"/>
        <v>23</v>
      </c>
      <c r="CD97" s="16" t="str">
        <f t="shared" ca="1" si="103"/>
        <v>Intro!G</v>
      </c>
      <c r="CE97" s="16">
        <f t="shared" ca="1" si="104"/>
        <v>86</v>
      </c>
      <c r="CF97" s="16" t="str">
        <f t="shared" ca="1" si="105"/>
        <v>Intro!G86</v>
      </c>
      <c r="CH97" s="16" t="str">
        <f t="shared" ca="1" si="106"/>
        <v>Intro!G86:H109</v>
      </c>
      <c r="CI97" s="16" t="str">
        <f t="shared" ca="1" si="107"/>
        <v>160402_14e</v>
      </c>
      <c r="CJ97" s="16" t="str">
        <f t="shared" ca="1" si="113"/>
        <v>160402</v>
      </c>
      <c r="CK97" s="16">
        <f t="shared" ca="1" si="108"/>
        <v>4</v>
      </c>
      <c r="CL97" s="16">
        <f t="shared" ca="1" si="109"/>
        <v>16</v>
      </c>
      <c r="CM97" s="16">
        <f t="shared" ca="1" si="110"/>
        <v>2</v>
      </c>
      <c r="CN97" s="16">
        <f t="shared" ca="1" si="111"/>
        <v>14</v>
      </c>
      <c r="CO97" s="16" t="str">
        <f t="shared" ca="1" si="112"/>
        <v>e</v>
      </c>
    </row>
    <row r="98" spans="79:93">
      <c r="CA98" s="16">
        <f t="shared" ca="1" si="100"/>
        <v>71</v>
      </c>
      <c r="CB98" s="16">
        <f t="shared" ca="1" si="101"/>
        <v>87</v>
      </c>
      <c r="CC98" s="16">
        <f t="shared" ca="1" si="102"/>
        <v>22</v>
      </c>
      <c r="CD98" s="16" t="str">
        <f t="shared" ca="1" si="103"/>
        <v>Intro!G</v>
      </c>
      <c r="CE98" s="16">
        <f t="shared" ca="1" si="104"/>
        <v>87</v>
      </c>
      <c r="CF98" s="16" t="str">
        <f t="shared" ca="1" si="105"/>
        <v>Intro!G87</v>
      </c>
      <c r="CH98" s="16" t="str">
        <f t="shared" ca="1" si="106"/>
        <v>Intro!G87:H109</v>
      </c>
      <c r="CI98" s="16" t="str">
        <f t="shared" ca="1" si="107"/>
        <v>160402_14c</v>
      </c>
      <c r="CJ98" s="16" t="str">
        <f t="shared" ca="1" si="113"/>
        <v>160402</v>
      </c>
      <c r="CK98" s="16">
        <f t="shared" ca="1" si="108"/>
        <v>4</v>
      </c>
      <c r="CL98" s="16">
        <f t="shared" ca="1" si="109"/>
        <v>16</v>
      </c>
      <c r="CM98" s="16">
        <f t="shared" ca="1" si="110"/>
        <v>2</v>
      </c>
      <c r="CN98" s="16">
        <f t="shared" ca="1" si="111"/>
        <v>14</v>
      </c>
      <c r="CO98" s="16" t="str">
        <f t="shared" ca="1" si="112"/>
        <v>c</v>
      </c>
    </row>
    <row r="99" spans="79:93">
      <c r="CA99" s="16">
        <f t="shared" ca="1" si="100"/>
        <v>71</v>
      </c>
      <c r="CB99" s="16">
        <f t="shared" ca="1" si="101"/>
        <v>88</v>
      </c>
      <c r="CC99" s="16">
        <f t="shared" ca="1" si="102"/>
        <v>21</v>
      </c>
      <c r="CD99" s="16" t="str">
        <f t="shared" ca="1" si="103"/>
        <v>Intro!G</v>
      </c>
      <c r="CE99" s="16">
        <f t="shared" ca="1" si="104"/>
        <v>88</v>
      </c>
      <c r="CF99" s="16" t="str">
        <f t="shared" ca="1" si="105"/>
        <v>Intro!G88</v>
      </c>
      <c r="CH99" s="16" t="str">
        <f t="shared" ca="1" si="106"/>
        <v>Intro!G88:H109</v>
      </c>
      <c r="CI99" s="16" t="str">
        <f t="shared" ca="1" si="107"/>
        <v>160403_10e</v>
      </c>
      <c r="CJ99" s="16" t="str">
        <f t="shared" ca="1" si="113"/>
        <v>160403</v>
      </c>
      <c r="CK99" s="16">
        <f t="shared" ca="1" si="108"/>
        <v>4</v>
      </c>
      <c r="CL99" s="16">
        <f t="shared" ca="1" si="109"/>
        <v>16</v>
      </c>
      <c r="CM99" s="16">
        <f t="shared" ca="1" si="110"/>
        <v>3</v>
      </c>
      <c r="CN99" s="16">
        <f t="shared" ca="1" si="111"/>
        <v>10</v>
      </c>
      <c r="CO99" s="16" t="str">
        <f t="shared" ca="1" si="112"/>
        <v>e</v>
      </c>
    </row>
    <row r="100" spans="79:93">
      <c r="CA100" s="16">
        <f t="shared" ca="1" si="100"/>
        <v>71</v>
      </c>
      <c r="CB100" s="16">
        <f t="shared" ca="1" si="101"/>
        <v>89</v>
      </c>
      <c r="CC100" s="16">
        <f t="shared" ca="1" si="102"/>
        <v>20</v>
      </c>
      <c r="CD100" s="16" t="str">
        <f t="shared" ca="1" si="103"/>
        <v>Intro!G</v>
      </c>
      <c r="CE100" s="16">
        <f t="shared" ca="1" si="104"/>
        <v>89</v>
      </c>
      <c r="CF100" s="16" t="str">
        <f t="shared" ca="1" si="105"/>
        <v>Intro!G89</v>
      </c>
      <c r="CH100" s="16" t="str">
        <f t="shared" ca="1" si="106"/>
        <v>Intro!G89:H109</v>
      </c>
      <c r="CI100" s="16" t="str">
        <f t="shared" ca="1" si="107"/>
        <v>160404_06e</v>
      </c>
      <c r="CJ100" s="16" t="str">
        <f t="shared" ca="1" si="113"/>
        <v>160404</v>
      </c>
      <c r="CK100" s="16">
        <f t="shared" ca="1" si="108"/>
        <v>4</v>
      </c>
      <c r="CL100" s="16">
        <f t="shared" ca="1" si="109"/>
        <v>16</v>
      </c>
      <c r="CM100" s="16">
        <f t="shared" ca="1" si="110"/>
        <v>4</v>
      </c>
      <c r="CN100" s="16">
        <f t="shared" ca="1" si="111"/>
        <v>6</v>
      </c>
      <c r="CO100" s="16" t="str">
        <f t="shared" ca="1" si="112"/>
        <v>e</v>
      </c>
    </row>
    <row r="101" spans="79:93">
      <c r="CA101" s="16">
        <f t="shared" ca="1" si="100"/>
        <v>71</v>
      </c>
      <c r="CB101" s="16">
        <f t="shared" ca="1" si="101"/>
        <v>90</v>
      </c>
      <c r="CC101" s="16">
        <f t="shared" ca="1" si="102"/>
        <v>19</v>
      </c>
      <c r="CD101" s="16" t="str">
        <f t="shared" ca="1" si="103"/>
        <v>Intro!G</v>
      </c>
      <c r="CE101" s="16">
        <f t="shared" ca="1" si="104"/>
        <v>90</v>
      </c>
      <c r="CF101" s="16" t="str">
        <f t="shared" ca="1" si="105"/>
        <v>Intro!G90</v>
      </c>
      <c r="CH101" s="16" t="str">
        <f t="shared" ca="1" si="106"/>
        <v>Intro!G90:H109</v>
      </c>
      <c r="CI101" s="16" t="str">
        <f t="shared" ca="1" si="107"/>
        <v>170401_34e</v>
      </c>
      <c r="CJ101" s="16" t="str">
        <f t="shared" ca="1" si="113"/>
        <v>170401</v>
      </c>
      <c r="CK101" s="16">
        <f t="shared" ca="1" si="108"/>
        <v>4</v>
      </c>
      <c r="CL101" s="16">
        <f t="shared" ca="1" si="109"/>
        <v>17</v>
      </c>
      <c r="CM101" s="16">
        <f t="shared" ca="1" si="110"/>
        <v>1</v>
      </c>
      <c r="CN101" s="16">
        <f t="shared" ca="1" si="111"/>
        <v>34</v>
      </c>
      <c r="CO101" s="16" t="str">
        <f t="shared" ca="1" si="112"/>
        <v>e</v>
      </c>
    </row>
    <row r="102" spans="79:93">
      <c r="CA102" s="16">
        <f t="shared" ca="1" si="100"/>
        <v>71</v>
      </c>
      <c r="CB102" s="16">
        <f t="shared" ca="1" si="101"/>
        <v>91</v>
      </c>
      <c r="CC102" s="16">
        <f t="shared" ca="1" si="102"/>
        <v>18</v>
      </c>
      <c r="CD102" s="16" t="str">
        <f t="shared" ca="1" si="103"/>
        <v>Intro!G</v>
      </c>
      <c r="CE102" s="16">
        <f t="shared" ca="1" si="104"/>
        <v>91</v>
      </c>
      <c r="CF102" s="16" t="str">
        <f t="shared" ca="1" si="105"/>
        <v>Intro!G91</v>
      </c>
      <c r="CH102" s="16" t="str">
        <f t="shared" ca="1" si="106"/>
        <v>Intro!G91:H109</v>
      </c>
      <c r="CI102" s="16" t="str">
        <f t="shared" ca="1" si="107"/>
        <v>170402_17e</v>
      </c>
      <c r="CJ102" s="16" t="str">
        <f t="shared" ca="1" si="113"/>
        <v>170402</v>
      </c>
      <c r="CK102" s="16">
        <f t="shared" ca="1" si="108"/>
        <v>4</v>
      </c>
      <c r="CL102" s="16">
        <f t="shared" ca="1" si="109"/>
        <v>17</v>
      </c>
      <c r="CM102" s="16">
        <f t="shared" ca="1" si="110"/>
        <v>2</v>
      </c>
      <c r="CN102" s="16">
        <f t="shared" ca="1" si="111"/>
        <v>17</v>
      </c>
      <c r="CO102" s="16" t="str">
        <f t="shared" ca="1" si="112"/>
        <v>e</v>
      </c>
    </row>
    <row r="103" spans="79:93">
      <c r="CA103" s="16">
        <f t="shared" ca="1" si="100"/>
        <v>71</v>
      </c>
      <c r="CB103" s="16">
        <f t="shared" ca="1" si="101"/>
        <v>92</v>
      </c>
      <c r="CC103" s="16">
        <f t="shared" ca="1" si="102"/>
        <v>17</v>
      </c>
      <c r="CD103" s="16" t="str">
        <f t="shared" ca="1" si="103"/>
        <v>Intro!G</v>
      </c>
      <c r="CE103" s="16">
        <f t="shared" ca="1" si="104"/>
        <v>92</v>
      </c>
      <c r="CF103" s="16" t="str">
        <f t="shared" ca="1" si="105"/>
        <v>Intro!G92</v>
      </c>
      <c r="CH103" s="16" t="str">
        <f t="shared" ca="1" si="106"/>
        <v>Intro!G92:H109</v>
      </c>
      <c r="CI103" s="16" t="str">
        <f t="shared" ca="1" si="107"/>
        <v>170403_10e</v>
      </c>
      <c r="CJ103" s="16" t="str">
        <f t="shared" ca="1" si="113"/>
        <v>170403</v>
      </c>
      <c r="CK103" s="16">
        <f t="shared" ca="1" si="108"/>
        <v>4</v>
      </c>
      <c r="CL103" s="16">
        <f t="shared" ca="1" si="109"/>
        <v>17</v>
      </c>
      <c r="CM103" s="16">
        <f t="shared" ca="1" si="110"/>
        <v>3</v>
      </c>
      <c r="CN103" s="16">
        <f t="shared" ca="1" si="111"/>
        <v>10</v>
      </c>
      <c r="CO103" s="16" t="str">
        <f t="shared" ca="1" si="112"/>
        <v>e</v>
      </c>
    </row>
    <row r="104" spans="79:93">
      <c r="CA104" s="16">
        <f t="shared" ca="1" si="100"/>
        <v>71</v>
      </c>
      <c r="CB104" s="16">
        <f t="shared" ca="1" si="101"/>
        <v>93</v>
      </c>
      <c r="CC104" s="16">
        <f t="shared" ca="1" si="102"/>
        <v>16</v>
      </c>
      <c r="CD104" s="16" t="str">
        <f t="shared" ca="1" si="103"/>
        <v>Intro!G</v>
      </c>
      <c r="CE104" s="16">
        <f t="shared" ca="1" si="104"/>
        <v>93</v>
      </c>
      <c r="CF104" s="16" t="str">
        <f t="shared" ca="1" si="105"/>
        <v>Intro!G93</v>
      </c>
      <c r="CH104" s="16" t="str">
        <f t="shared" ca="1" si="106"/>
        <v>Intro!G93:H109</v>
      </c>
      <c r="CI104" s="16" t="str">
        <f t="shared" ca="1" si="107"/>
        <v>170404_09e</v>
      </c>
      <c r="CJ104" s="16" t="str">
        <f t="shared" ca="1" si="113"/>
        <v>170404</v>
      </c>
      <c r="CK104" s="16">
        <f t="shared" ca="1" si="108"/>
        <v>4</v>
      </c>
      <c r="CL104" s="16">
        <f t="shared" ca="1" si="109"/>
        <v>17</v>
      </c>
      <c r="CM104" s="16">
        <f t="shared" ca="1" si="110"/>
        <v>4</v>
      </c>
      <c r="CN104" s="16">
        <f t="shared" ca="1" si="111"/>
        <v>9</v>
      </c>
      <c r="CO104" s="16" t="str">
        <f t="shared" ca="1" si="112"/>
        <v>e</v>
      </c>
    </row>
    <row r="105" spans="79:93">
      <c r="CA105" s="16">
        <f t="shared" ca="1" si="100"/>
        <v>71</v>
      </c>
      <c r="CB105" s="16">
        <f t="shared" ca="1" si="101"/>
        <v>94</v>
      </c>
      <c r="CC105" s="16">
        <f t="shared" ca="1" si="102"/>
        <v>15</v>
      </c>
      <c r="CD105" s="16" t="str">
        <f t="shared" ca="1" si="103"/>
        <v>Intro!G</v>
      </c>
      <c r="CE105" s="16">
        <f t="shared" ca="1" si="104"/>
        <v>94</v>
      </c>
      <c r="CF105" s="16" t="str">
        <f t="shared" ca="1" si="105"/>
        <v>Intro!G94</v>
      </c>
      <c r="CH105" s="16" t="str">
        <f t="shared" ca="1" si="106"/>
        <v>Intro!G94:H109</v>
      </c>
      <c r="CI105" s="16" t="str">
        <f t="shared" ca="1" si="107"/>
        <v>170405_06e</v>
      </c>
      <c r="CJ105" s="16" t="str">
        <f t="shared" ca="1" si="113"/>
        <v>170405</v>
      </c>
      <c r="CK105" s="16">
        <f t="shared" ca="1" si="108"/>
        <v>4</v>
      </c>
      <c r="CL105" s="16">
        <f t="shared" ca="1" si="109"/>
        <v>17</v>
      </c>
      <c r="CM105" s="16">
        <f t="shared" ca="1" si="110"/>
        <v>5</v>
      </c>
      <c r="CN105" s="16">
        <f t="shared" ca="1" si="111"/>
        <v>6</v>
      </c>
      <c r="CO105" s="16" t="str">
        <f t="shared" ca="1" si="112"/>
        <v>e</v>
      </c>
    </row>
    <row r="106" spans="79:93">
      <c r="CA106" s="16">
        <f t="shared" ca="1" si="100"/>
        <v>71</v>
      </c>
      <c r="CB106" s="16">
        <f t="shared" ca="1" si="101"/>
        <v>95</v>
      </c>
      <c r="CC106" s="16">
        <f t="shared" ca="1" si="102"/>
        <v>14</v>
      </c>
      <c r="CD106" s="16" t="str">
        <f t="shared" ca="1" si="103"/>
        <v>Intro!G</v>
      </c>
      <c r="CE106" s="16">
        <f t="shared" ca="1" si="104"/>
        <v>95</v>
      </c>
      <c r="CF106" s="16" t="str">
        <f t="shared" ca="1" si="105"/>
        <v>Intro!G95</v>
      </c>
      <c r="CH106" s="16" t="str">
        <f t="shared" ca="1" si="106"/>
        <v>Intro!G95:H109</v>
      </c>
      <c r="CI106" s="16" t="str">
        <f t="shared" ca="1" si="107"/>
        <v>180402_18e</v>
      </c>
      <c r="CJ106" s="16" t="str">
        <f t="shared" ca="1" si="113"/>
        <v>180402</v>
      </c>
      <c r="CK106" s="16">
        <f t="shared" ca="1" si="108"/>
        <v>4</v>
      </c>
      <c r="CL106" s="16">
        <f t="shared" ca="1" si="109"/>
        <v>18</v>
      </c>
      <c r="CM106" s="16">
        <f t="shared" ca="1" si="110"/>
        <v>2</v>
      </c>
      <c r="CN106" s="16">
        <f t="shared" ca="1" si="111"/>
        <v>18</v>
      </c>
      <c r="CO106" s="16" t="str">
        <f t="shared" ca="1" si="112"/>
        <v>e</v>
      </c>
    </row>
    <row r="107" spans="79:93">
      <c r="CA107" s="16">
        <f t="shared" ca="1" si="100"/>
        <v>71</v>
      </c>
      <c r="CB107" s="16">
        <f t="shared" ca="1" si="101"/>
        <v>96</v>
      </c>
      <c r="CC107" s="16">
        <f t="shared" ca="1" si="102"/>
        <v>13</v>
      </c>
      <c r="CD107" s="16" t="str">
        <f t="shared" ca="1" si="103"/>
        <v>Intro!G</v>
      </c>
      <c r="CE107" s="16">
        <f t="shared" ca="1" si="104"/>
        <v>96</v>
      </c>
      <c r="CF107" s="16" t="str">
        <f t="shared" ca="1" si="105"/>
        <v>Intro!G96</v>
      </c>
      <c r="CH107" s="16" t="str">
        <f t="shared" ca="1" si="106"/>
        <v>Intro!G96:H109</v>
      </c>
      <c r="CI107" s="16" t="str">
        <f t="shared" ca="1" si="107"/>
        <v>180402_19c</v>
      </c>
      <c r="CJ107" s="16" t="str">
        <f t="shared" ca="1" si="113"/>
        <v>180402</v>
      </c>
      <c r="CK107" s="16">
        <f t="shared" ca="1" si="108"/>
        <v>4</v>
      </c>
      <c r="CL107" s="16">
        <f t="shared" ca="1" si="109"/>
        <v>18</v>
      </c>
      <c r="CM107" s="16">
        <f t="shared" ca="1" si="110"/>
        <v>2</v>
      </c>
      <c r="CN107" s="16">
        <f t="shared" ca="1" si="111"/>
        <v>19</v>
      </c>
      <c r="CO107" s="16" t="str">
        <f t="shared" ca="1" si="112"/>
        <v>c</v>
      </c>
    </row>
    <row r="108" spans="79:93">
      <c r="CA108" s="16">
        <f t="shared" ref="CA108:CA171" ca="1" si="114">IF(CC107-1=0,CA107+2,CA107)</f>
        <v>71</v>
      </c>
      <c r="CB108" s="16">
        <f t="shared" ref="CB108:CB171" ca="1" si="115">IF(CC107-1=0,CB$1,CB107+1)</f>
        <v>97</v>
      </c>
      <c r="CC108" s="16">
        <f t="shared" ref="CC108:CC171" ca="1" si="116">INDIRECT(CF108)</f>
        <v>12</v>
      </c>
      <c r="CD108" s="16" t="str">
        <f t="shared" ref="CD108:CD171" ca="1" si="117">CONCATENATE("Intro!",CHAR(CA108))</f>
        <v>Intro!G</v>
      </c>
      <c r="CE108" s="16">
        <f t="shared" ref="CE108:CE171" ca="1" si="118">CB108</f>
        <v>97</v>
      </c>
      <c r="CF108" s="16" t="str">
        <f t="shared" ref="CF108:CF171" ca="1" si="119">CONCATENATE(CD108,CE108)</f>
        <v>Intro!G97</v>
      </c>
      <c r="CH108" s="16" t="str">
        <f t="shared" ref="CH108:CH171" ca="1" si="120">CONCATENATE(CF108,":",CHAR(CA108+1),(CB108+CC108))</f>
        <v>Intro!G97:H109</v>
      </c>
      <c r="CI108" s="16" t="str">
        <f t="shared" ref="CI108:CI171" ca="1" si="121">VLOOKUP(CC108,INDIRECT(CH108),2,FALSE)</f>
        <v>180403_12c</v>
      </c>
      <c r="CJ108" s="16" t="str">
        <f t="shared" ca="1" si="113"/>
        <v>180403</v>
      </c>
      <c r="CK108" s="16">
        <f t="shared" ref="CK108:CK171" ca="1" si="122">VALUE(MID(CI108,3,2))</f>
        <v>4</v>
      </c>
      <c r="CL108" s="16">
        <f t="shared" ref="CL108:CL171" ca="1" si="123">VALUE(MID(CI108,1,2))</f>
        <v>18</v>
      </c>
      <c r="CM108" s="16">
        <f t="shared" ref="CM108:CM171" ca="1" si="124">VALUE(MID(CI108,5,2))</f>
        <v>3</v>
      </c>
      <c r="CN108" s="16">
        <f t="shared" ref="CN108:CN171" ca="1" si="125">VALUE(MID(CI108,8,2))</f>
        <v>12</v>
      </c>
      <c r="CO108" s="16" t="str">
        <f t="shared" ref="CO108:CO171" ca="1" si="126">RIGHT(CI108,1)</f>
        <v>c</v>
      </c>
    </row>
    <row r="109" spans="79:93">
      <c r="CA109" s="16">
        <f t="shared" ca="1" si="114"/>
        <v>71</v>
      </c>
      <c r="CB109" s="16">
        <f t="shared" ca="1" si="115"/>
        <v>98</v>
      </c>
      <c r="CC109" s="16">
        <f t="shared" ca="1" si="116"/>
        <v>11</v>
      </c>
      <c r="CD109" s="16" t="str">
        <f t="shared" ca="1" si="117"/>
        <v>Intro!G</v>
      </c>
      <c r="CE109" s="16">
        <f t="shared" ca="1" si="118"/>
        <v>98</v>
      </c>
      <c r="CF109" s="16" t="str">
        <f t="shared" ca="1" si="119"/>
        <v>Intro!G98</v>
      </c>
      <c r="CH109" s="16" t="str">
        <f t="shared" ca="1" si="120"/>
        <v>Intro!G98:H109</v>
      </c>
      <c r="CI109" s="16" t="str">
        <f t="shared" ca="1" si="121"/>
        <v>180403_12c</v>
      </c>
      <c r="CJ109" s="16" t="str">
        <f t="shared" ca="1" si="113"/>
        <v>180403</v>
      </c>
      <c r="CK109" s="16">
        <f t="shared" ca="1" si="122"/>
        <v>4</v>
      </c>
      <c r="CL109" s="16">
        <f t="shared" ca="1" si="123"/>
        <v>18</v>
      </c>
      <c r="CM109" s="16">
        <f t="shared" ca="1" si="124"/>
        <v>3</v>
      </c>
      <c r="CN109" s="16">
        <f t="shared" ca="1" si="125"/>
        <v>12</v>
      </c>
      <c r="CO109" s="16" t="str">
        <f t="shared" ca="1" si="126"/>
        <v>c</v>
      </c>
    </row>
    <row r="110" spans="79:93">
      <c r="CA110" s="16">
        <f t="shared" ca="1" si="114"/>
        <v>71</v>
      </c>
      <c r="CB110" s="16">
        <f t="shared" ca="1" si="115"/>
        <v>99</v>
      </c>
      <c r="CC110" s="16">
        <f t="shared" ca="1" si="116"/>
        <v>10</v>
      </c>
      <c r="CD110" s="16" t="str">
        <f t="shared" ca="1" si="117"/>
        <v>Intro!G</v>
      </c>
      <c r="CE110" s="16">
        <f t="shared" ca="1" si="118"/>
        <v>99</v>
      </c>
      <c r="CF110" s="16" t="str">
        <f t="shared" ca="1" si="119"/>
        <v>Intro!G99</v>
      </c>
      <c r="CH110" s="16" t="str">
        <f t="shared" ca="1" si="120"/>
        <v>Intro!G99:H109</v>
      </c>
      <c r="CI110" s="16" t="str">
        <f t="shared" ca="1" si="121"/>
        <v>180403_12e</v>
      </c>
      <c r="CJ110" s="16" t="str">
        <f t="shared" ca="1" si="113"/>
        <v>180403</v>
      </c>
      <c r="CK110" s="16">
        <f t="shared" ca="1" si="122"/>
        <v>4</v>
      </c>
      <c r="CL110" s="16">
        <f t="shared" ca="1" si="123"/>
        <v>18</v>
      </c>
      <c r="CM110" s="16">
        <f t="shared" ca="1" si="124"/>
        <v>3</v>
      </c>
      <c r="CN110" s="16">
        <f t="shared" ca="1" si="125"/>
        <v>12</v>
      </c>
      <c r="CO110" s="16" t="str">
        <f t="shared" ca="1" si="126"/>
        <v>e</v>
      </c>
    </row>
    <row r="111" spans="79:93">
      <c r="CA111" s="16">
        <f t="shared" ca="1" si="114"/>
        <v>71</v>
      </c>
      <c r="CB111" s="16">
        <f t="shared" ca="1" si="115"/>
        <v>100</v>
      </c>
      <c r="CC111" s="16">
        <f t="shared" ca="1" si="116"/>
        <v>9</v>
      </c>
      <c r="CD111" s="16" t="str">
        <f t="shared" ca="1" si="117"/>
        <v>Intro!G</v>
      </c>
      <c r="CE111" s="16">
        <f t="shared" ca="1" si="118"/>
        <v>100</v>
      </c>
      <c r="CF111" s="16" t="str">
        <f t="shared" ca="1" si="119"/>
        <v>Intro!G100</v>
      </c>
      <c r="CH111" s="16" t="str">
        <f t="shared" ca="1" si="120"/>
        <v>Intro!G100:H109</v>
      </c>
      <c r="CI111" s="16" t="str">
        <f t="shared" ca="1" si="121"/>
        <v>180404_09e</v>
      </c>
      <c r="CJ111" s="16" t="str">
        <f t="shared" ca="1" si="113"/>
        <v>180404</v>
      </c>
      <c r="CK111" s="16">
        <f t="shared" ca="1" si="122"/>
        <v>4</v>
      </c>
      <c r="CL111" s="16">
        <f t="shared" ca="1" si="123"/>
        <v>18</v>
      </c>
      <c r="CM111" s="16">
        <f t="shared" ca="1" si="124"/>
        <v>4</v>
      </c>
      <c r="CN111" s="16">
        <f t="shared" ca="1" si="125"/>
        <v>9</v>
      </c>
      <c r="CO111" s="16" t="str">
        <f t="shared" ca="1" si="126"/>
        <v>e</v>
      </c>
    </row>
    <row r="112" spans="79:93">
      <c r="CA112" s="16">
        <f t="shared" ca="1" si="114"/>
        <v>71</v>
      </c>
      <c r="CB112" s="16">
        <f t="shared" ca="1" si="115"/>
        <v>101</v>
      </c>
      <c r="CC112" s="16">
        <f t="shared" ca="1" si="116"/>
        <v>8</v>
      </c>
      <c r="CD112" s="16" t="str">
        <f t="shared" ca="1" si="117"/>
        <v>Intro!G</v>
      </c>
      <c r="CE112" s="16">
        <f t="shared" ca="1" si="118"/>
        <v>101</v>
      </c>
      <c r="CF112" s="16" t="str">
        <f t="shared" ca="1" si="119"/>
        <v>Intro!G101</v>
      </c>
      <c r="CH112" s="16" t="str">
        <f t="shared" ca="1" si="120"/>
        <v>Intro!G101:H109</v>
      </c>
      <c r="CI112" s="16" t="str">
        <f t="shared" ca="1" si="121"/>
        <v>190402_21e</v>
      </c>
      <c r="CJ112" s="16" t="str">
        <f t="shared" ca="1" si="113"/>
        <v>190402</v>
      </c>
      <c r="CK112" s="16">
        <f t="shared" ca="1" si="122"/>
        <v>4</v>
      </c>
      <c r="CL112" s="16">
        <f t="shared" ca="1" si="123"/>
        <v>19</v>
      </c>
      <c r="CM112" s="16">
        <f t="shared" ca="1" si="124"/>
        <v>2</v>
      </c>
      <c r="CN112" s="16">
        <f t="shared" ca="1" si="125"/>
        <v>21</v>
      </c>
      <c r="CO112" s="16" t="str">
        <f t="shared" ca="1" si="126"/>
        <v>e</v>
      </c>
    </row>
    <row r="113" spans="79:93">
      <c r="CA113" s="16">
        <f t="shared" ca="1" si="114"/>
        <v>71</v>
      </c>
      <c r="CB113" s="16">
        <f t="shared" ca="1" si="115"/>
        <v>102</v>
      </c>
      <c r="CC113" s="16">
        <f t="shared" ca="1" si="116"/>
        <v>7</v>
      </c>
      <c r="CD113" s="16" t="str">
        <f t="shared" ca="1" si="117"/>
        <v>Intro!G</v>
      </c>
      <c r="CE113" s="16">
        <f t="shared" ca="1" si="118"/>
        <v>102</v>
      </c>
      <c r="CF113" s="16" t="str">
        <f t="shared" ca="1" si="119"/>
        <v>Intro!G102</v>
      </c>
      <c r="CH113" s="16" t="str">
        <f t="shared" ca="1" si="120"/>
        <v>Intro!G102:H109</v>
      </c>
      <c r="CI113" s="16" t="str">
        <f t="shared" ca="1" si="121"/>
        <v>190403_15e</v>
      </c>
      <c r="CJ113" s="16" t="str">
        <f t="shared" ca="1" si="113"/>
        <v>190403</v>
      </c>
      <c r="CK113" s="16">
        <f t="shared" ca="1" si="122"/>
        <v>4</v>
      </c>
      <c r="CL113" s="16">
        <f t="shared" ca="1" si="123"/>
        <v>19</v>
      </c>
      <c r="CM113" s="16">
        <f t="shared" ca="1" si="124"/>
        <v>3</v>
      </c>
      <c r="CN113" s="16">
        <f t="shared" ca="1" si="125"/>
        <v>15</v>
      </c>
      <c r="CO113" s="16" t="str">
        <f t="shared" ca="1" si="126"/>
        <v>e</v>
      </c>
    </row>
    <row r="114" spans="79:93">
      <c r="CA114" s="16">
        <f t="shared" ca="1" si="114"/>
        <v>71</v>
      </c>
      <c r="CB114" s="16">
        <f t="shared" ca="1" si="115"/>
        <v>103</v>
      </c>
      <c r="CC114" s="16">
        <f t="shared" ca="1" si="116"/>
        <v>6</v>
      </c>
      <c r="CD114" s="16" t="str">
        <f t="shared" ca="1" si="117"/>
        <v>Intro!G</v>
      </c>
      <c r="CE114" s="16">
        <f t="shared" ca="1" si="118"/>
        <v>103</v>
      </c>
      <c r="CF114" s="16" t="str">
        <f t="shared" ca="1" si="119"/>
        <v>Intro!G103</v>
      </c>
      <c r="CH114" s="16" t="str">
        <f t="shared" ca="1" si="120"/>
        <v>Intro!G103:H109</v>
      </c>
      <c r="CI114" s="16" t="str">
        <f t="shared" ca="1" si="121"/>
        <v>190404_10e</v>
      </c>
      <c r="CJ114" s="16" t="str">
        <f t="shared" ca="1" si="113"/>
        <v>190404</v>
      </c>
      <c r="CK114" s="16">
        <f t="shared" ca="1" si="122"/>
        <v>4</v>
      </c>
      <c r="CL114" s="16">
        <f t="shared" ca="1" si="123"/>
        <v>19</v>
      </c>
      <c r="CM114" s="16">
        <f t="shared" ca="1" si="124"/>
        <v>4</v>
      </c>
      <c r="CN114" s="16">
        <f t="shared" ca="1" si="125"/>
        <v>10</v>
      </c>
      <c r="CO114" s="16" t="str">
        <f t="shared" ca="1" si="126"/>
        <v>e</v>
      </c>
    </row>
    <row r="115" spans="79:93">
      <c r="CA115" s="16">
        <f t="shared" ca="1" si="114"/>
        <v>71</v>
      </c>
      <c r="CB115" s="16">
        <f t="shared" ca="1" si="115"/>
        <v>104</v>
      </c>
      <c r="CC115" s="16">
        <f t="shared" ca="1" si="116"/>
        <v>5</v>
      </c>
      <c r="CD115" s="16" t="str">
        <f t="shared" ca="1" si="117"/>
        <v>Intro!G</v>
      </c>
      <c r="CE115" s="16">
        <f t="shared" ca="1" si="118"/>
        <v>104</v>
      </c>
      <c r="CF115" s="16" t="str">
        <f t="shared" ca="1" si="119"/>
        <v>Intro!G104</v>
      </c>
      <c r="CH115" s="16" t="str">
        <f t="shared" ca="1" si="120"/>
        <v>Intro!G104:H109</v>
      </c>
      <c r="CI115" s="16" t="str">
        <f t="shared" ca="1" si="121"/>
        <v>200402_23c</v>
      </c>
      <c r="CJ115" s="16" t="str">
        <f t="shared" ca="1" si="113"/>
        <v>200402</v>
      </c>
      <c r="CK115" s="16">
        <f t="shared" ca="1" si="122"/>
        <v>4</v>
      </c>
      <c r="CL115" s="16">
        <f t="shared" ca="1" si="123"/>
        <v>20</v>
      </c>
      <c r="CM115" s="16">
        <f t="shared" ca="1" si="124"/>
        <v>2</v>
      </c>
      <c r="CN115" s="16">
        <f t="shared" ca="1" si="125"/>
        <v>23</v>
      </c>
      <c r="CO115" s="16" t="str">
        <f t="shared" ca="1" si="126"/>
        <v>c</v>
      </c>
    </row>
    <row r="116" spans="79:93">
      <c r="CA116" s="16">
        <f t="shared" ca="1" si="114"/>
        <v>71</v>
      </c>
      <c r="CB116" s="16">
        <f t="shared" ca="1" si="115"/>
        <v>105</v>
      </c>
      <c r="CC116" s="16">
        <f t="shared" ca="1" si="116"/>
        <v>4</v>
      </c>
      <c r="CD116" s="16" t="str">
        <f t="shared" ca="1" si="117"/>
        <v>Intro!G</v>
      </c>
      <c r="CE116" s="16">
        <f t="shared" ca="1" si="118"/>
        <v>105</v>
      </c>
      <c r="CF116" s="16" t="str">
        <f t="shared" ca="1" si="119"/>
        <v>Intro!G105</v>
      </c>
      <c r="CH116" s="16" t="str">
        <f t="shared" ca="1" si="120"/>
        <v>Intro!G105:H109</v>
      </c>
      <c r="CI116" s="16" t="str">
        <f t="shared" ca="1" si="121"/>
        <v>200402_23c</v>
      </c>
      <c r="CJ116" s="16" t="str">
        <f t="shared" ca="1" si="113"/>
        <v>200402</v>
      </c>
      <c r="CK116" s="16">
        <f t="shared" ca="1" si="122"/>
        <v>4</v>
      </c>
      <c r="CL116" s="16">
        <f t="shared" ca="1" si="123"/>
        <v>20</v>
      </c>
      <c r="CM116" s="16">
        <f t="shared" ca="1" si="124"/>
        <v>2</v>
      </c>
      <c r="CN116" s="16">
        <f t="shared" ca="1" si="125"/>
        <v>23</v>
      </c>
      <c r="CO116" s="16" t="str">
        <f t="shared" ca="1" si="126"/>
        <v>c</v>
      </c>
    </row>
    <row r="117" spans="79:93">
      <c r="CA117" s="16">
        <f t="shared" ca="1" si="114"/>
        <v>71</v>
      </c>
      <c r="CB117" s="16">
        <f t="shared" ca="1" si="115"/>
        <v>106</v>
      </c>
      <c r="CC117" s="16">
        <f t="shared" ca="1" si="116"/>
        <v>3</v>
      </c>
      <c r="CD117" s="16" t="str">
        <f t="shared" ca="1" si="117"/>
        <v>Intro!G</v>
      </c>
      <c r="CE117" s="16">
        <f t="shared" ca="1" si="118"/>
        <v>106</v>
      </c>
      <c r="CF117" s="16" t="str">
        <f t="shared" ca="1" si="119"/>
        <v>Intro!G106</v>
      </c>
      <c r="CH117" s="16" t="str">
        <f t="shared" ca="1" si="120"/>
        <v>Intro!G106:H109</v>
      </c>
      <c r="CI117" s="16" t="str">
        <f t="shared" ca="1" si="121"/>
        <v>200404_10e</v>
      </c>
      <c r="CJ117" s="16" t="str">
        <f t="shared" ca="1" si="113"/>
        <v>200404</v>
      </c>
      <c r="CK117" s="16">
        <f t="shared" ca="1" si="122"/>
        <v>4</v>
      </c>
      <c r="CL117" s="16">
        <f t="shared" ca="1" si="123"/>
        <v>20</v>
      </c>
      <c r="CM117" s="16">
        <f t="shared" ca="1" si="124"/>
        <v>4</v>
      </c>
      <c r="CN117" s="16">
        <f t="shared" ca="1" si="125"/>
        <v>10</v>
      </c>
      <c r="CO117" s="16" t="str">
        <f t="shared" ca="1" si="126"/>
        <v>e</v>
      </c>
    </row>
    <row r="118" spans="79:93">
      <c r="CA118" s="16">
        <f t="shared" ca="1" si="114"/>
        <v>71</v>
      </c>
      <c r="CB118" s="16">
        <f t="shared" ca="1" si="115"/>
        <v>107</v>
      </c>
      <c r="CC118" s="16">
        <f t="shared" ca="1" si="116"/>
        <v>2</v>
      </c>
      <c r="CD118" s="16" t="str">
        <f t="shared" ca="1" si="117"/>
        <v>Intro!G</v>
      </c>
      <c r="CE118" s="16">
        <f t="shared" ca="1" si="118"/>
        <v>107</v>
      </c>
      <c r="CF118" s="16" t="str">
        <f t="shared" ca="1" si="119"/>
        <v>Intro!G107</v>
      </c>
      <c r="CH118" s="16" t="str">
        <f t="shared" ca="1" si="120"/>
        <v>Intro!G107:H109</v>
      </c>
      <c r="CI118" s="16" t="str">
        <f t="shared" ca="1" si="121"/>
        <v>200404_10c</v>
      </c>
      <c r="CJ118" s="16" t="str">
        <f t="shared" ca="1" si="113"/>
        <v>200404</v>
      </c>
      <c r="CK118" s="16">
        <f t="shared" ca="1" si="122"/>
        <v>4</v>
      </c>
      <c r="CL118" s="16">
        <f t="shared" ca="1" si="123"/>
        <v>20</v>
      </c>
      <c r="CM118" s="16">
        <f t="shared" ca="1" si="124"/>
        <v>4</v>
      </c>
      <c r="CN118" s="16">
        <f t="shared" ca="1" si="125"/>
        <v>10</v>
      </c>
      <c r="CO118" s="16" t="str">
        <f t="shared" ca="1" si="126"/>
        <v>c</v>
      </c>
    </row>
    <row r="119" spans="79:93">
      <c r="CA119" s="16">
        <f t="shared" ca="1" si="114"/>
        <v>71</v>
      </c>
      <c r="CB119" s="16">
        <f t="shared" ca="1" si="115"/>
        <v>108</v>
      </c>
      <c r="CC119" s="16">
        <f t="shared" ca="1" si="116"/>
        <v>1</v>
      </c>
      <c r="CD119" s="16" t="str">
        <f t="shared" ca="1" si="117"/>
        <v>Intro!G</v>
      </c>
      <c r="CE119" s="16">
        <f t="shared" ca="1" si="118"/>
        <v>108</v>
      </c>
      <c r="CF119" s="16" t="str">
        <f t="shared" ca="1" si="119"/>
        <v>Intro!G108</v>
      </c>
      <c r="CH119" s="16" t="str">
        <f t="shared" ca="1" si="120"/>
        <v>Intro!G108:H109</v>
      </c>
      <c r="CI119" s="16" t="str">
        <f t="shared" ca="1" si="121"/>
        <v>210403_16c</v>
      </c>
      <c r="CJ119" s="16" t="str">
        <f t="shared" ca="1" si="113"/>
        <v>210403</v>
      </c>
      <c r="CK119" s="16">
        <f t="shared" ca="1" si="122"/>
        <v>4</v>
      </c>
      <c r="CL119" s="16">
        <f t="shared" ca="1" si="123"/>
        <v>21</v>
      </c>
      <c r="CM119" s="16">
        <f t="shared" ca="1" si="124"/>
        <v>3</v>
      </c>
      <c r="CN119" s="16">
        <f t="shared" ca="1" si="125"/>
        <v>16</v>
      </c>
      <c r="CO119" s="16" t="str">
        <f t="shared" ca="1" si="126"/>
        <v>c</v>
      </c>
    </row>
    <row r="120" spans="79:93">
      <c r="CA120" s="16">
        <f t="shared" ca="1" si="114"/>
        <v>73</v>
      </c>
      <c r="CB120" s="16">
        <f t="shared" ca="1" si="115"/>
        <v>51</v>
      </c>
      <c r="CC120" s="16">
        <f t="shared" ca="1" si="116"/>
        <v>61</v>
      </c>
      <c r="CD120" s="16" t="str">
        <f t="shared" ca="1" si="117"/>
        <v>Intro!I</v>
      </c>
      <c r="CE120" s="16">
        <f t="shared" ca="1" si="118"/>
        <v>51</v>
      </c>
      <c r="CF120" s="16" t="str">
        <f t="shared" ca="1" si="119"/>
        <v>Intro!I51</v>
      </c>
      <c r="CH120" s="16" t="str">
        <f t="shared" ca="1" si="120"/>
        <v>Intro!I51:J112</v>
      </c>
      <c r="CI120" s="16" t="str">
        <f t="shared" ca="1" si="121"/>
        <v>100501_09s</v>
      </c>
      <c r="CJ120" s="16" t="str">
        <f t="shared" ca="1" si="113"/>
        <v>100501</v>
      </c>
      <c r="CK120" s="16">
        <f t="shared" ca="1" si="122"/>
        <v>5</v>
      </c>
      <c r="CL120" s="16">
        <f t="shared" ca="1" si="123"/>
        <v>10</v>
      </c>
      <c r="CM120" s="16">
        <f t="shared" ca="1" si="124"/>
        <v>1</v>
      </c>
      <c r="CN120" s="16">
        <f t="shared" ca="1" si="125"/>
        <v>9</v>
      </c>
      <c r="CO120" s="16" t="str">
        <f t="shared" ca="1" si="126"/>
        <v>s</v>
      </c>
    </row>
    <row r="121" spans="79:93">
      <c r="CA121" s="16">
        <f t="shared" ca="1" si="114"/>
        <v>73</v>
      </c>
      <c r="CB121" s="16">
        <f t="shared" ca="1" si="115"/>
        <v>52</v>
      </c>
      <c r="CC121" s="16">
        <f t="shared" ca="1" si="116"/>
        <v>60</v>
      </c>
      <c r="CD121" s="16" t="str">
        <f t="shared" ca="1" si="117"/>
        <v>Intro!I</v>
      </c>
      <c r="CE121" s="16">
        <f t="shared" ca="1" si="118"/>
        <v>52</v>
      </c>
      <c r="CF121" s="16" t="str">
        <f t="shared" ca="1" si="119"/>
        <v>Intro!I52</v>
      </c>
      <c r="CH121" s="16" t="str">
        <f t="shared" ca="1" si="120"/>
        <v>Intro!I52:J112</v>
      </c>
      <c r="CI121" s="16" t="str">
        <f t="shared" ca="1" si="121"/>
        <v>100502_05s</v>
      </c>
      <c r="CJ121" s="16" t="str">
        <f t="shared" ca="1" si="113"/>
        <v>100502</v>
      </c>
      <c r="CK121" s="16">
        <f t="shared" ca="1" si="122"/>
        <v>5</v>
      </c>
      <c r="CL121" s="16">
        <f t="shared" ca="1" si="123"/>
        <v>10</v>
      </c>
      <c r="CM121" s="16">
        <f t="shared" ca="1" si="124"/>
        <v>2</v>
      </c>
      <c r="CN121" s="16">
        <f t="shared" ca="1" si="125"/>
        <v>5</v>
      </c>
      <c r="CO121" s="16" t="str">
        <f t="shared" ca="1" si="126"/>
        <v>s</v>
      </c>
    </row>
    <row r="122" spans="79:93">
      <c r="CA122" s="16">
        <f t="shared" ca="1" si="114"/>
        <v>73</v>
      </c>
      <c r="CB122" s="16">
        <f t="shared" ca="1" si="115"/>
        <v>53</v>
      </c>
      <c r="CC122" s="16">
        <f t="shared" ca="1" si="116"/>
        <v>59</v>
      </c>
      <c r="CD122" s="16" t="str">
        <f t="shared" ca="1" si="117"/>
        <v>Intro!I</v>
      </c>
      <c r="CE122" s="16">
        <f t="shared" ca="1" si="118"/>
        <v>53</v>
      </c>
      <c r="CF122" s="16" t="str">
        <f t="shared" ca="1" si="119"/>
        <v>Intro!I53</v>
      </c>
      <c r="CH122" s="16" t="str">
        <f t="shared" ca="1" si="120"/>
        <v>Intro!I53:J112</v>
      </c>
      <c r="CI122" s="16" t="str">
        <f t="shared" ca="1" si="121"/>
        <v>100503_03s</v>
      </c>
      <c r="CJ122" s="16" t="str">
        <f t="shared" ca="1" si="113"/>
        <v>100503</v>
      </c>
      <c r="CK122" s="16">
        <f t="shared" ca="1" si="122"/>
        <v>5</v>
      </c>
      <c r="CL122" s="16">
        <f t="shared" ca="1" si="123"/>
        <v>10</v>
      </c>
      <c r="CM122" s="16">
        <f t="shared" ca="1" si="124"/>
        <v>3</v>
      </c>
      <c r="CN122" s="16">
        <f t="shared" ca="1" si="125"/>
        <v>3</v>
      </c>
      <c r="CO122" s="16" t="str">
        <f t="shared" ca="1" si="126"/>
        <v>s</v>
      </c>
    </row>
    <row r="123" spans="79:93">
      <c r="CA123" s="16">
        <f t="shared" ca="1" si="114"/>
        <v>73</v>
      </c>
      <c r="CB123" s="16">
        <f t="shared" ca="1" si="115"/>
        <v>54</v>
      </c>
      <c r="CC123" s="16">
        <f t="shared" ca="1" si="116"/>
        <v>58</v>
      </c>
      <c r="CD123" s="16" t="str">
        <f t="shared" ca="1" si="117"/>
        <v>Intro!I</v>
      </c>
      <c r="CE123" s="16">
        <f t="shared" ca="1" si="118"/>
        <v>54</v>
      </c>
      <c r="CF123" s="16" t="str">
        <f t="shared" ca="1" si="119"/>
        <v>Intro!I54</v>
      </c>
      <c r="CH123" s="16" t="str">
        <f t="shared" ca="1" si="120"/>
        <v>Intro!I54:J112</v>
      </c>
      <c r="CI123" s="16" t="str">
        <f t="shared" ca="1" si="121"/>
        <v>110501_11s</v>
      </c>
      <c r="CJ123" s="16" t="str">
        <f t="shared" ca="1" si="113"/>
        <v>110501</v>
      </c>
      <c r="CK123" s="16">
        <f t="shared" ca="1" si="122"/>
        <v>5</v>
      </c>
      <c r="CL123" s="16">
        <f t="shared" ca="1" si="123"/>
        <v>11</v>
      </c>
      <c r="CM123" s="16">
        <f t="shared" ca="1" si="124"/>
        <v>1</v>
      </c>
      <c r="CN123" s="16">
        <f t="shared" ca="1" si="125"/>
        <v>11</v>
      </c>
      <c r="CO123" s="16" t="str">
        <f t="shared" ca="1" si="126"/>
        <v>s</v>
      </c>
    </row>
    <row r="124" spans="79:93">
      <c r="CA124" s="16">
        <f t="shared" ca="1" si="114"/>
        <v>73</v>
      </c>
      <c r="CB124" s="16">
        <f t="shared" ca="1" si="115"/>
        <v>55</v>
      </c>
      <c r="CC124" s="16">
        <f t="shared" ca="1" si="116"/>
        <v>57</v>
      </c>
      <c r="CD124" s="16" t="str">
        <f t="shared" ca="1" si="117"/>
        <v>Intro!I</v>
      </c>
      <c r="CE124" s="16">
        <f t="shared" ca="1" si="118"/>
        <v>55</v>
      </c>
      <c r="CF124" s="16" t="str">
        <f t="shared" ca="1" si="119"/>
        <v>Intro!I55</v>
      </c>
      <c r="CH124" s="16" t="str">
        <f t="shared" ca="1" si="120"/>
        <v>Intro!I55:J112</v>
      </c>
      <c r="CI124" s="16" t="str">
        <f t="shared" ca="1" si="121"/>
        <v>110502_05s</v>
      </c>
      <c r="CJ124" s="16" t="str">
        <f t="shared" ca="1" si="113"/>
        <v>110502</v>
      </c>
      <c r="CK124" s="16">
        <f t="shared" ca="1" si="122"/>
        <v>5</v>
      </c>
      <c r="CL124" s="16">
        <f t="shared" ca="1" si="123"/>
        <v>11</v>
      </c>
      <c r="CM124" s="16">
        <f t="shared" ca="1" si="124"/>
        <v>2</v>
      </c>
      <c r="CN124" s="16">
        <f t="shared" ca="1" si="125"/>
        <v>5</v>
      </c>
      <c r="CO124" s="16" t="str">
        <f t="shared" ca="1" si="126"/>
        <v>s</v>
      </c>
    </row>
    <row r="125" spans="79:93">
      <c r="CA125" s="16">
        <f t="shared" ca="1" si="114"/>
        <v>73</v>
      </c>
      <c r="CB125" s="16">
        <f t="shared" ca="1" si="115"/>
        <v>56</v>
      </c>
      <c r="CC125" s="16">
        <f t="shared" ca="1" si="116"/>
        <v>56</v>
      </c>
      <c r="CD125" s="16" t="str">
        <f t="shared" ca="1" si="117"/>
        <v>Intro!I</v>
      </c>
      <c r="CE125" s="16">
        <f t="shared" ca="1" si="118"/>
        <v>56</v>
      </c>
      <c r="CF125" s="16" t="str">
        <f t="shared" ca="1" si="119"/>
        <v>Intro!I56</v>
      </c>
      <c r="CH125" s="16" t="str">
        <f t="shared" ca="1" si="120"/>
        <v>Intro!I56:J112</v>
      </c>
      <c r="CI125" s="16" t="str">
        <f t="shared" ca="1" si="121"/>
        <v>120501_14s</v>
      </c>
      <c r="CJ125" s="16" t="str">
        <f t="shared" ca="1" si="113"/>
        <v>120501</v>
      </c>
      <c r="CK125" s="16">
        <f t="shared" ca="1" si="122"/>
        <v>5</v>
      </c>
      <c r="CL125" s="16">
        <f t="shared" ca="1" si="123"/>
        <v>12</v>
      </c>
      <c r="CM125" s="16">
        <f t="shared" ca="1" si="124"/>
        <v>1</v>
      </c>
      <c r="CN125" s="16">
        <f t="shared" ca="1" si="125"/>
        <v>14</v>
      </c>
      <c r="CO125" s="16" t="str">
        <f t="shared" ca="1" si="126"/>
        <v>s</v>
      </c>
    </row>
    <row r="126" spans="79:93">
      <c r="CA126" s="16">
        <f t="shared" ca="1" si="114"/>
        <v>73</v>
      </c>
      <c r="CB126" s="16">
        <f t="shared" ca="1" si="115"/>
        <v>57</v>
      </c>
      <c r="CC126" s="16">
        <f t="shared" ca="1" si="116"/>
        <v>55</v>
      </c>
      <c r="CD126" s="16" t="str">
        <f t="shared" ca="1" si="117"/>
        <v>Intro!I</v>
      </c>
      <c r="CE126" s="16">
        <f t="shared" ca="1" si="118"/>
        <v>57</v>
      </c>
      <c r="CF126" s="16" t="str">
        <f t="shared" ca="1" si="119"/>
        <v>Intro!I57</v>
      </c>
      <c r="CH126" s="16" t="str">
        <f t="shared" ca="1" si="120"/>
        <v>Intro!I57:J112</v>
      </c>
      <c r="CI126" s="16" t="str">
        <f t="shared" ca="1" si="121"/>
        <v>130501_16s</v>
      </c>
      <c r="CJ126" s="16" t="str">
        <f t="shared" ca="1" si="113"/>
        <v>130501</v>
      </c>
      <c r="CK126" s="16">
        <f t="shared" ca="1" si="122"/>
        <v>5</v>
      </c>
      <c r="CL126" s="16">
        <f t="shared" ca="1" si="123"/>
        <v>13</v>
      </c>
      <c r="CM126" s="16">
        <f t="shared" ca="1" si="124"/>
        <v>1</v>
      </c>
      <c r="CN126" s="16">
        <f t="shared" ca="1" si="125"/>
        <v>16</v>
      </c>
      <c r="CO126" s="16" t="str">
        <f t="shared" ca="1" si="126"/>
        <v>s</v>
      </c>
    </row>
    <row r="127" spans="79:93">
      <c r="CA127" s="16">
        <f t="shared" ca="1" si="114"/>
        <v>73</v>
      </c>
      <c r="CB127" s="16">
        <f t="shared" ca="1" si="115"/>
        <v>58</v>
      </c>
      <c r="CC127" s="16">
        <f t="shared" ca="1" si="116"/>
        <v>54</v>
      </c>
      <c r="CD127" s="16" t="str">
        <f t="shared" ca="1" si="117"/>
        <v>Intro!I</v>
      </c>
      <c r="CE127" s="16">
        <f t="shared" ca="1" si="118"/>
        <v>58</v>
      </c>
      <c r="CF127" s="16" t="str">
        <f t="shared" ca="1" si="119"/>
        <v>Intro!I58</v>
      </c>
      <c r="CH127" s="16" t="str">
        <f t="shared" ca="1" si="120"/>
        <v>Intro!I58:J112</v>
      </c>
      <c r="CI127" s="16" t="str">
        <f t="shared" ca="1" si="121"/>
        <v>130501_18c</v>
      </c>
      <c r="CJ127" s="16" t="str">
        <f t="shared" ca="1" si="113"/>
        <v>130501</v>
      </c>
      <c r="CK127" s="16">
        <f t="shared" ca="1" si="122"/>
        <v>5</v>
      </c>
      <c r="CL127" s="16">
        <f t="shared" ca="1" si="123"/>
        <v>13</v>
      </c>
      <c r="CM127" s="16">
        <f t="shared" ca="1" si="124"/>
        <v>1</v>
      </c>
      <c r="CN127" s="16">
        <f t="shared" ca="1" si="125"/>
        <v>18</v>
      </c>
      <c r="CO127" s="16" t="str">
        <f t="shared" ca="1" si="126"/>
        <v>c</v>
      </c>
    </row>
    <row r="128" spans="79:93">
      <c r="CA128" s="16">
        <f t="shared" ca="1" si="114"/>
        <v>73</v>
      </c>
      <c r="CB128" s="16">
        <f t="shared" ca="1" si="115"/>
        <v>59</v>
      </c>
      <c r="CC128" s="16">
        <f t="shared" ca="1" si="116"/>
        <v>53</v>
      </c>
      <c r="CD128" s="16" t="str">
        <f t="shared" ca="1" si="117"/>
        <v>Intro!I</v>
      </c>
      <c r="CE128" s="16">
        <f t="shared" ca="1" si="118"/>
        <v>59</v>
      </c>
      <c r="CF128" s="16" t="str">
        <f t="shared" ca="1" si="119"/>
        <v>Intro!I59</v>
      </c>
      <c r="CH128" s="16" t="str">
        <f t="shared" ca="1" si="120"/>
        <v>Intro!I59:J112</v>
      </c>
      <c r="CI128" s="16" t="str">
        <f t="shared" ca="1" si="121"/>
        <v>140502_09c</v>
      </c>
      <c r="CJ128" s="16" t="str">
        <f t="shared" ca="1" si="113"/>
        <v>140502</v>
      </c>
      <c r="CK128" s="16">
        <f t="shared" ca="1" si="122"/>
        <v>5</v>
      </c>
      <c r="CL128" s="16">
        <f t="shared" ca="1" si="123"/>
        <v>14</v>
      </c>
      <c r="CM128" s="16">
        <f t="shared" ca="1" si="124"/>
        <v>2</v>
      </c>
      <c r="CN128" s="16">
        <f t="shared" ca="1" si="125"/>
        <v>9</v>
      </c>
      <c r="CO128" s="16" t="str">
        <f t="shared" ca="1" si="126"/>
        <v>c</v>
      </c>
    </row>
    <row r="129" spans="79:93">
      <c r="CA129" s="16">
        <f t="shared" ca="1" si="114"/>
        <v>73</v>
      </c>
      <c r="CB129" s="16">
        <f t="shared" ca="1" si="115"/>
        <v>60</v>
      </c>
      <c r="CC129" s="16">
        <f t="shared" ca="1" si="116"/>
        <v>52</v>
      </c>
      <c r="CD129" s="16" t="str">
        <f t="shared" ca="1" si="117"/>
        <v>Intro!I</v>
      </c>
      <c r="CE129" s="16">
        <f t="shared" ca="1" si="118"/>
        <v>60</v>
      </c>
      <c r="CF129" s="16" t="str">
        <f t="shared" ca="1" si="119"/>
        <v>Intro!I60</v>
      </c>
      <c r="CH129" s="16" t="str">
        <f t="shared" ca="1" si="120"/>
        <v>Intro!I60:J112</v>
      </c>
      <c r="CI129" s="16" t="str">
        <f t="shared" ca="1" si="121"/>
        <v>140503_10e</v>
      </c>
      <c r="CJ129" s="16" t="str">
        <f t="shared" ca="1" si="113"/>
        <v>140503</v>
      </c>
      <c r="CK129" s="16">
        <f t="shared" ca="1" si="122"/>
        <v>5</v>
      </c>
      <c r="CL129" s="16">
        <f t="shared" ca="1" si="123"/>
        <v>14</v>
      </c>
      <c r="CM129" s="16">
        <f t="shared" ca="1" si="124"/>
        <v>3</v>
      </c>
      <c r="CN129" s="16">
        <f t="shared" ca="1" si="125"/>
        <v>10</v>
      </c>
      <c r="CO129" s="16" t="str">
        <f t="shared" ca="1" si="126"/>
        <v>e</v>
      </c>
    </row>
    <row r="130" spans="79:93">
      <c r="CA130" s="16">
        <f t="shared" ca="1" si="114"/>
        <v>73</v>
      </c>
      <c r="CB130" s="16">
        <f t="shared" ca="1" si="115"/>
        <v>61</v>
      </c>
      <c r="CC130" s="16">
        <f t="shared" ca="1" si="116"/>
        <v>51</v>
      </c>
      <c r="CD130" s="16" t="str">
        <f t="shared" ca="1" si="117"/>
        <v>Intro!I</v>
      </c>
      <c r="CE130" s="16">
        <f t="shared" ca="1" si="118"/>
        <v>61</v>
      </c>
      <c r="CF130" s="16" t="str">
        <f t="shared" ca="1" si="119"/>
        <v>Intro!I61</v>
      </c>
      <c r="CH130" s="16" t="str">
        <f t="shared" ca="1" si="120"/>
        <v>Intro!I61:J112</v>
      </c>
      <c r="CI130" s="16" t="str">
        <f t="shared" ca="1" si="121"/>
        <v>150501_21c</v>
      </c>
      <c r="CJ130" s="16" t="str">
        <f t="shared" ca="1" si="113"/>
        <v>150501</v>
      </c>
      <c r="CK130" s="16">
        <f t="shared" ca="1" si="122"/>
        <v>5</v>
      </c>
      <c r="CL130" s="16">
        <f t="shared" ca="1" si="123"/>
        <v>15</v>
      </c>
      <c r="CM130" s="16">
        <f t="shared" ca="1" si="124"/>
        <v>1</v>
      </c>
      <c r="CN130" s="16">
        <f t="shared" ca="1" si="125"/>
        <v>21</v>
      </c>
      <c r="CO130" s="16" t="str">
        <f t="shared" ca="1" si="126"/>
        <v>c</v>
      </c>
    </row>
    <row r="131" spans="79:93">
      <c r="CA131" s="16">
        <f t="shared" ca="1" si="114"/>
        <v>73</v>
      </c>
      <c r="CB131" s="16">
        <f t="shared" ca="1" si="115"/>
        <v>62</v>
      </c>
      <c r="CC131" s="16">
        <f t="shared" ca="1" si="116"/>
        <v>50</v>
      </c>
      <c r="CD131" s="16" t="str">
        <f t="shared" ca="1" si="117"/>
        <v>Intro!I</v>
      </c>
      <c r="CE131" s="16">
        <f t="shared" ca="1" si="118"/>
        <v>62</v>
      </c>
      <c r="CF131" s="16" t="str">
        <f t="shared" ca="1" si="119"/>
        <v>Intro!I62</v>
      </c>
      <c r="CH131" s="16" t="str">
        <f t="shared" ca="1" si="120"/>
        <v>Intro!I62:J112</v>
      </c>
      <c r="CI131" s="16" t="str">
        <f t="shared" ca="1" si="121"/>
        <v>150502_10c</v>
      </c>
      <c r="CJ131" s="16" t="str">
        <f t="shared" ca="1" si="113"/>
        <v>150502</v>
      </c>
      <c r="CK131" s="16">
        <f t="shared" ca="1" si="122"/>
        <v>5</v>
      </c>
      <c r="CL131" s="16">
        <f t="shared" ca="1" si="123"/>
        <v>15</v>
      </c>
      <c r="CM131" s="16">
        <f t="shared" ca="1" si="124"/>
        <v>2</v>
      </c>
      <c r="CN131" s="16">
        <f t="shared" ca="1" si="125"/>
        <v>10</v>
      </c>
      <c r="CO131" s="16" t="str">
        <f t="shared" ca="1" si="126"/>
        <v>c</v>
      </c>
    </row>
    <row r="132" spans="79:93">
      <c r="CA132" s="16">
        <f t="shared" ca="1" si="114"/>
        <v>73</v>
      </c>
      <c r="CB132" s="16">
        <f t="shared" ca="1" si="115"/>
        <v>63</v>
      </c>
      <c r="CC132" s="16">
        <f t="shared" ca="1" si="116"/>
        <v>49</v>
      </c>
      <c r="CD132" s="16" t="str">
        <f t="shared" ca="1" si="117"/>
        <v>Intro!I</v>
      </c>
      <c r="CE132" s="16">
        <f t="shared" ca="1" si="118"/>
        <v>63</v>
      </c>
      <c r="CF132" s="16" t="str">
        <f t="shared" ca="1" si="119"/>
        <v>Intro!I63</v>
      </c>
      <c r="CH132" s="16" t="str">
        <f t="shared" ca="1" si="120"/>
        <v>Intro!I63:J112</v>
      </c>
      <c r="CI132" s="16" t="str">
        <f t="shared" ca="1" si="121"/>
        <v>150502_14e</v>
      </c>
      <c r="CJ132" s="16" t="str">
        <f t="shared" ref="CJ132:CJ195" ca="1" si="127">LEFT(CI132,6)</f>
        <v>150502</v>
      </c>
      <c r="CK132" s="16">
        <f t="shared" ca="1" si="122"/>
        <v>5</v>
      </c>
      <c r="CL132" s="16">
        <f t="shared" ca="1" si="123"/>
        <v>15</v>
      </c>
      <c r="CM132" s="16">
        <f t="shared" ca="1" si="124"/>
        <v>2</v>
      </c>
      <c r="CN132" s="16">
        <f t="shared" ca="1" si="125"/>
        <v>14</v>
      </c>
      <c r="CO132" s="16" t="str">
        <f t="shared" ca="1" si="126"/>
        <v>e</v>
      </c>
    </row>
    <row r="133" spans="79:93">
      <c r="CA133" s="16">
        <f t="shared" ca="1" si="114"/>
        <v>73</v>
      </c>
      <c r="CB133" s="16">
        <f t="shared" ca="1" si="115"/>
        <v>64</v>
      </c>
      <c r="CC133" s="16">
        <f t="shared" ca="1" si="116"/>
        <v>48</v>
      </c>
      <c r="CD133" s="16" t="str">
        <f t="shared" ca="1" si="117"/>
        <v>Intro!I</v>
      </c>
      <c r="CE133" s="16">
        <f t="shared" ca="1" si="118"/>
        <v>64</v>
      </c>
      <c r="CF133" s="16" t="str">
        <f t="shared" ca="1" si="119"/>
        <v>Intro!I64</v>
      </c>
      <c r="CH133" s="16" t="str">
        <f t="shared" ca="1" si="120"/>
        <v>Intro!I64:J112</v>
      </c>
      <c r="CI133" s="16" t="str">
        <f t="shared" ca="1" si="121"/>
        <v>150503_06c</v>
      </c>
      <c r="CJ133" s="16" t="str">
        <f t="shared" ca="1" si="127"/>
        <v>150503</v>
      </c>
      <c r="CK133" s="16">
        <f t="shared" ca="1" si="122"/>
        <v>5</v>
      </c>
      <c r="CL133" s="16">
        <f t="shared" ca="1" si="123"/>
        <v>15</v>
      </c>
      <c r="CM133" s="16">
        <f t="shared" ca="1" si="124"/>
        <v>3</v>
      </c>
      <c r="CN133" s="16">
        <f t="shared" ca="1" si="125"/>
        <v>6</v>
      </c>
      <c r="CO133" s="16" t="str">
        <f t="shared" ca="1" si="126"/>
        <v>c</v>
      </c>
    </row>
    <row r="134" spans="79:93">
      <c r="CA134" s="16">
        <f t="shared" ca="1" si="114"/>
        <v>73</v>
      </c>
      <c r="CB134" s="16">
        <f t="shared" ca="1" si="115"/>
        <v>65</v>
      </c>
      <c r="CC134" s="16">
        <f t="shared" ca="1" si="116"/>
        <v>47</v>
      </c>
      <c r="CD134" s="16" t="str">
        <f t="shared" ca="1" si="117"/>
        <v>Intro!I</v>
      </c>
      <c r="CE134" s="16">
        <f t="shared" ca="1" si="118"/>
        <v>65</v>
      </c>
      <c r="CF134" s="16" t="str">
        <f t="shared" ca="1" si="119"/>
        <v>Intro!I65</v>
      </c>
      <c r="CH134" s="16" t="str">
        <f t="shared" ca="1" si="120"/>
        <v>Intro!I65:J112</v>
      </c>
      <c r="CI134" s="16" t="e">
        <f t="shared" ca="1" si="121"/>
        <v>#N/A</v>
      </c>
      <c r="CJ134" s="16" t="e">
        <f t="shared" ca="1" si="127"/>
        <v>#N/A</v>
      </c>
      <c r="CK134" s="16" t="e">
        <f t="shared" ca="1" si="122"/>
        <v>#N/A</v>
      </c>
      <c r="CL134" s="16" t="e">
        <f t="shared" ca="1" si="123"/>
        <v>#N/A</v>
      </c>
      <c r="CM134" s="16" t="e">
        <f t="shared" ca="1" si="124"/>
        <v>#N/A</v>
      </c>
      <c r="CN134" s="16" t="e">
        <f t="shared" ca="1" si="125"/>
        <v>#N/A</v>
      </c>
      <c r="CO134" s="16" t="e">
        <f t="shared" ca="1" si="126"/>
        <v>#N/A</v>
      </c>
    </row>
    <row r="135" spans="79:93">
      <c r="CA135" s="16">
        <f t="shared" ca="1" si="114"/>
        <v>73</v>
      </c>
      <c r="CB135" s="16">
        <f t="shared" ca="1" si="115"/>
        <v>66</v>
      </c>
      <c r="CC135" s="16">
        <f t="shared" ca="1" si="116"/>
        <v>46</v>
      </c>
      <c r="CD135" s="16" t="str">
        <f t="shared" ca="1" si="117"/>
        <v>Intro!I</v>
      </c>
      <c r="CE135" s="16">
        <f t="shared" ca="1" si="118"/>
        <v>66</v>
      </c>
      <c r="CF135" s="16" t="str">
        <f t="shared" ca="1" si="119"/>
        <v>Intro!I66</v>
      </c>
      <c r="CH135" s="16" t="str">
        <f t="shared" ca="1" si="120"/>
        <v>Intro!I66:J112</v>
      </c>
      <c r="CI135" s="16" t="str">
        <f t="shared" ca="1" si="121"/>
        <v>150503_10e</v>
      </c>
      <c r="CJ135" s="16" t="str">
        <f t="shared" ca="1" si="127"/>
        <v>150503</v>
      </c>
      <c r="CK135" s="16">
        <f t="shared" ca="1" si="122"/>
        <v>5</v>
      </c>
      <c r="CL135" s="16">
        <f t="shared" ca="1" si="123"/>
        <v>15</v>
      </c>
      <c r="CM135" s="16">
        <f t="shared" ca="1" si="124"/>
        <v>3</v>
      </c>
      <c r="CN135" s="16">
        <f t="shared" ca="1" si="125"/>
        <v>10</v>
      </c>
      <c r="CO135" s="16" t="str">
        <f t="shared" ca="1" si="126"/>
        <v>e</v>
      </c>
    </row>
    <row r="136" spans="79:93">
      <c r="CA136" s="16">
        <f t="shared" ca="1" si="114"/>
        <v>73</v>
      </c>
      <c r="CB136" s="16">
        <f t="shared" ca="1" si="115"/>
        <v>67</v>
      </c>
      <c r="CC136" s="16">
        <f t="shared" ca="1" si="116"/>
        <v>45</v>
      </c>
      <c r="CD136" s="16" t="str">
        <f t="shared" ca="1" si="117"/>
        <v>Intro!I</v>
      </c>
      <c r="CE136" s="16">
        <f t="shared" ca="1" si="118"/>
        <v>67</v>
      </c>
      <c r="CF136" s="16" t="str">
        <f t="shared" ca="1" si="119"/>
        <v>Intro!I67</v>
      </c>
      <c r="CH136" s="16" t="str">
        <f t="shared" ca="1" si="120"/>
        <v>Intro!I67:J112</v>
      </c>
      <c r="CI136" s="16" t="str">
        <f t="shared" ca="1" si="121"/>
        <v>160502_12c</v>
      </c>
      <c r="CJ136" s="16" t="str">
        <f t="shared" ca="1" si="127"/>
        <v>160502</v>
      </c>
      <c r="CK136" s="16">
        <f t="shared" ca="1" si="122"/>
        <v>5</v>
      </c>
      <c r="CL136" s="16">
        <f t="shared" ca="1" si="123"/>
        <v>16</v>
      </c>
      <c r="CM136" s="16">
        <f t="shared" ca="1" si="124"/>
        <v>2</v>
      </c>
      <c r="CN136" s="16">
        <f t="shared" ca="1" si="125"/>
        <v>12</v>
      </c>
      <c r="CO136" s="16" t="str">
        <f t="shared" ca="1" si="126"/>
        <v>c</v>
      </c>
    </row>
    <row r="137" spans="79:93">
      <c r="CA137" s="16">
        <f t="shared" ca="1" si="114"/>
        <v>73</v>
      </c>
      <c r="CB137" s="16">
        <f t="shared" ca="1" si="115"/>
        <v>68</v>
      </c>
      <c r="CC137" s="16">
        <f t="shared" ca="1" si="116"/>
        <v>44</v>
      </c>
      <c r="CD137" s="16" t="str">
        <f t="shared" ca="1" si="117"/>
        <v>Intro!I</v>
      </c>
      <c r="CE137" s="16">
        <f t="shared" ca="1" si="118"/>
        <v>68</v>
      </c>
      <c r="CF137" s="16" t="str">
        <f t="shared" ca="1" si="119"/>
        <v>Intro!I68</v>
      </c>
      <c r="CH137" s="16" t="str">
        <f t="shared" ca="1" si="120"/>
        <v>Intro!I68:J112</v>
      </c>
      <c r="CI137" s="16" t="str">
        <f t="shared" ca="1" si="121"/>
        <v>160502_14e</v>
      </c>
      <c r="CJ137" s="16" t="str">
        <f t="shared" ca="1" si="127"/>
        <v>160502</v>
      </c>
      <c r="CK137" s="16">
        <f t="shared" ca="1" si="122"/>
        <v>5</v>
      </c>
      <c r="CL137" s="16">
        <f t="shared" ca="1" si="123"/>
        <v>16</v>
      </c>
      <c r="CM137" s="16">
        <f t="shared" ca="1" si="124"/>
        <v>2</v>
      </c>
      <c r="CN137" s="16">
        <f t="shared" ca="1" si="125"/>
        <v>14</v>
      </c>
      <c r="CO137" s="16" t="str">
        <f t="shared" ca="1" si="126"/>
        <v>e</v>
      </c>
    </row>
    <row r="138" spans="79:93">
      <c r="CA138" s="16">
        <f t="shared" ca="1" si="114"/>
        <v>73</v>
      </c>
      <c r="CB138" s="16">
        <f t="shared" ca="1" si="115"/>
        <v>69</v>
      </c>
      <c r="CC138" s="16">
        <f t="shared" ca="1" si="116"/>
        <v>43</v>
      </c>
      <c r="CD138" s="16" t="str">
        <f t="shared" ca="1" si="117"/>
        <v>Intro!I</v>
      </c>
      <c r="CE138" s="16">
        <f t="shared" ca="1" si="118"/>
        <v>69</v>
      </c>
      <c r="CF138" s="16" t="str">
        <f t="shared" ca="1" si="119"/>
        <v>Intro!I69</v>
      </c>
      <c r="CH138" s="16" t="str">
        <f t="shared" ca="1" si="120"/>
        <v>Intro!I69:J112</v>
      </c>
      <c r="CI138" s="16" t="str">
        <f t="shared" ca="1" si="121"/>
        <v>160503_10e</v>
      </c>
      <c r="CJ138" s="16" t="str">
        <f t="shared" ca="1" si="127"/>
        <v>160503</v>
      </c>
      <c r="CK138" s="16">
        <f t="shared" ca="1" si="122"/>
        <v>5</v>
      </c>
      <c r="CL138" s="16">
        <f t="shared" ca="1" si="123"/>
        <v>16</v>
      </c>
      <c r="CM138" s="16">
        <f t="shared" ca="1" si="124"/>
        <v>3</v>
      </c>
      <c r="CN138" s="16">
        <f t="shared" ca="1" si="125"/>
        <v>10</v>
      </c>
      <c r="CO138" s="16" t="str">
        <f t="shared" ca="1" si="126"/>
        <v>e</v>
      </c>
    </row>
    <row r="139" spans="79:93">
      <c r="CA139" s="16">
        <f t="shared" ca="1" si="114"/>
        <v>73</v>
      </c>
      <c r="CB139" s="16">
        <f t="shared" ca="1" si="115"/>
        <v>70</v>
      </c>
      <c r="CC139" s="16">
        <f t="shared" ca="1" si="116"/>
        <v>42</v>
      </c>
      <c r="CD139" s="16" t="str">
        <f t="shared" ca="1" si="117"/>
        <v>Intro!I</v>
      </c>
      <c r="CE139" s="16">
        <f t="shared" ca="1" si="118"/>
        <v>70</v>
      </c>
      <c r="CF139" s="16" t="str">
        <f t="shared" ca="1" si="119"/>
        <v>Intro!I70</v>
      </c>
      <c r="CH139" s="16" t="str">
        <f t="shared" ca="1" si="120"/>
        <v>Intro!I70:J112</v>
      </c>
      <c r="CI139" s="16" t="str">
        <f t="shared" ca="1" si="121"/>
        <v>170503_08c</v>
      </c>
      <c r="CJ139" s="16" t="str">
        <f t="shared" ca="1" si="127"/>
        <v>170503</v>
      </c>
      <c r="CK139" s="16">
        <f t="shared" ca="1" si="122"/>
        <v>5</v>
      </c>
      <c r="CL139" s="16">
        <f t="shared" ca="1" si="123"/>
        <v>17</v>
      </c>
      <c r="CM139" s="16">
        <f t="shared" ca="1" si="124"/>
        <v>3</v>
      </c>
      <c r="CN139" s="16">
        <f t="shared" ca="1" si="125"/>
        <v>8</v>
      </c>
      <c r="CO139" s="16" t="str">
        <f t="shared" ca="1" si="126"/>
        <v>c</v>
      </c>
    </row>
    <row r="140" spans="79:93">
      <c r="CA140" s="16">
        <f t="shared" ca="1" si="114"/>
        <v>73</v>
      </c>
      <c r="CB140" s="16">
        <f t="shared" ca="1" si="115"/>
        <v>71</v>
      </c>
      <c r="CC140" s="16">
        <f t="shared" ca="1" si="116"/>
        <v>41</v>
      </c>
      <c r="CD140" s="16" t="str">
        <f t="shared" ca="1" si="117"/>
        <v>Intro!I</v>
      </c>
      <c r="CE140" s="16">
        <f t="shared" ca="1" si="118"/>
        <v>71</v>
      </c>
      <c r="CF140" s="16" t="str">
        <f t="shared" ca="1" si="119"/>
        <v>Intro!I71</v>
      </c>
      <c r="CH140" s="16" t="str">
        <f t="shared" ca="1" si="120"/>
        <v>Intro!I71:J112</v>
      </c>
      <c r="CI140" s="16" t="str">
        <f t="shared" ca="1" si="121"/>
        <v>170503_09c</v>
      </c>
      <c r="CJ140" s="16" t="str">
        <f t="shared" ca="1" si="127"/>
        <v>170503</v>
      </c>
      <c r="CK140" s="16">
        <f t="shared" ca="1" si="122"/>
        <v>5</v>
      </c>
      <c r="CL140" s="16">
        <f t="shared" ca="1" si="123"/>
        <v>17</v>
      </c>
      <c r="CM140" s="16">
        <f t="shared" ca="1" si="124"/>
        <v>3</v>
      </c>
      <c r="CN140" s="16">
        <f t="shared" ca="1" si="125"/>
        <v>9</v>
      </c>
      <c r="CO140" s="16" t="str">
        <f t="shared" ca="1" si="126"/>
        <v>c</v>
      </c>
    </row>
    <row r="141" spans="79:93">
      <c r="CA141" s="16">
        <f t="shared" ca="1" si="114"/>
        <v>73</v>
      </c>
      <c r="CB141" s="16">
        <f t="shared" ca="1" si="115"/>
        <v>72</v>
      </c>
      <c r="CC141" s="16">
        <f t="shared" ca="1" si="116"/>
        <v>40</v>
      </c>
      <c r="CD141" s="16" t="str">
        <f t="shared" ca="1" si="117"/>
        <v>Intro!I</v>
      </c>
      <c r="CE141" s="16">
        <f t="shared" ca="1" si="118"/>
        <v>72</v>
      </c>
      <c r="CF141" s="16" t="str">
        <f t="shared" ca="1" si="119"/>
        <v>Intro!I72</v>
      </c>
      <c r="CH141" s="16" t="str">
        <f t="shared" ca="1" si="120"/>
        <v>Intro!I72:J112</v>
      </c>
      <c r="CI141" s="16" t="str">
        <f t="shared" ca="1" si="121"/>
        <v>180501_34e</v>
      </c>
      <c r="CJ141" s="16" t="str">
        <f t="shared" ca="1" si="127"/>
        <v>180501</v>
      </c>
      <c r="CK141" s="16">
        <f t="shared" ca="1" si="122"/>
        <v>5</v>
      </c>
      <c r="CL141" s="16">
        <f t="shared" ca="1" si="123"/>
        <v>18</v>
      </c>
      <c r="CM141" s="16">
        <f t="shared" ca="1" si="124"/>
        <v>1</v>
      </c>
      <c r="CN141" s="16">
        <f t="shared" ca="1" si="125"/>
        <v>34</v>
      </c>
      <c r="CO141" s="16" t="str">
        <f t="shared" ca="1" si="126"/>
        <v>e</v>
      </c>
    </row>
    <row r="142" spans="79:93">
      <c r="CA142" s="16">
        <f t="shared" ca="1" si="114"/>
        <v>73</v>
      </c>
      <c r="CB142" s="16">
        <f t="shared" ca="1" si="115"/>
        <v>73</v>
      </c>
      <c r="CC142" s="16">
        <f t="shared" ca="1" si="116"/>
        <v>39</v>
      </c>
      <c r="CD142" s="16" t="str">
        <f t="shared" ca="1" si="117"/>
        <v>Intro!I</v>
      </c>
      <c r="CE142" s="16">
        <f t="shared" ca="1" si="118"/>
        <v>73</v>
      </c>
      <c r="CF142" s="16" t="str">
        <f t="shared" ca="1" si="119"/>
        <v>Intro!I73</v>
      </c>
      <c r="CH142" s="16" t="str">
        <f t="shared" ca="1" si="120"/>
        <v>Intro!I73:J112</v>
      </c>
      <c r="CI142" s="16" t="str">
        <f t="shared" ca="1" si="121"/>
        <v>180502_15c</v>
      </c>
      <c r="CJ142" s="16" t="str">
        <f t="shared" ca="1" si="127"/>
        <v>180502</v>
      </c>
      <c r="CK142" s="16">
        <f t="shared" ca="1" si="122"/>
        <v>5</v>
      </c>
      <c r="CL142" s="16">
        <f t="shared" ca="1" si="123"/>
        <v>18</v>
      </c>
      <c r="CM142" s="16">
        <f t="shared" ca="1" si="124"/>
        <v>2</v>
      </c>
      <c r="CN142" s="16">
        <f t="shared" ca="1" si="125"/>
        <v>15</v>
      </c>
      <c r="CO142" s="16" t="str">
        <f t="shared" ca="1" si="126"/>
        <v>c</v>
      </c>
    </row>
    <row r="143" spans="79:93">
      <c r="CA143" s="16">
        <f t="shared" ca="1" si="114"/>
        <v>73</v>
      </c>
      <c r="CB143" s="16">
        <f t="shared" ca="1" si="115"/>
        <v>74</v>
      </c>
      <c r="CC143" s="16">
        <f t="shared" ca="1" si="116"/>
        <v>38</v>
      </c>
      <c r="CD143" s="16" t="str">
        <f t="shared" ca="1" si="117"/>
        <v>Intro!I</v>
      </c>
      <c r="CE143" s="16">
        <f t="shared" ca="1" si="118"/>
        <v>74</v>
      </c>
      <c r="CF143" s="16" t="str">
        <f t="shared" ca="1" si="119"/>
        <v>Intro!I74</v>
      </c>
      <c r="CH143" s="16" t="str">
        <f t="shared" ca="1" si="120"/>
        <v>Intro!I74:J112</v>
      </c>
      <c r="CI143" s="16" t="str">
        <f t="shared" ca="1" si="121"/>
        <v>180502_18e</v>
      </c>
      <c r="CJ143" s="16" t="str">
        <f t="shared" ca="1" si="127"/>
        <v>180502</v>
      </c>
      <c r="CK143" s="16">
        <f t="shared" ca="1" si="122"/>
        <v>5</v>
      </c>
      <c r="CL143" s="16">
        <f t="shared" ca="1" si="123"/>
        <v>18</v>
      </c>
      <c r="CM143" s="16">
        <f t="shared" ca="1" si="124"/>
        <v>2</v>
      </c>
      <c r="CN143" s="16">
        <f t="shared" ca="1" si="125"/>
        <v>18</v>
      </c>
      <c r="CO143" s="16" t="str">
        <f t="shared" ca="1" si="126"/>
        <v>e</v>
      </c>
    </row>
    <row r="144" spans="79:93">
      <c r="CA144" s="16">
        <f t="shared" ca="1" si="114"/>
        <v>73</v>
      </c>
      <c r="CB144" s="16">
        <f t="shared" ca="1" si="115"/>
        <v>75</v>
      </c>
      <c r="CC144" s="16">
        <f t="shared" ca="1" si="116"/>
        <v>37</v>
      </c>
      <c r="CD144" s="16" t="str">
        <f t="shared" ca="1" si="117"/>
        <v>Intro!I</v>
      </c>
      <c r="CE144" s="16">
        <f t="shared" ca="1" si="118"/>
        <v>75</v>
      </c>
      <c r="CF144" s="16" t="str">
        <f t="shared" ca="1" si="119"/>
        <v>Intro!I75</v>
      </c>
      <c r="CH144" s="16" t="str">
        <f t="shared" ca="1" si="120"/>
        <v>Intro!I75:J112</v>
      </c>
      <c r="CI144" s="16" t="str">
        <f t="shared" ca="1" si="121"/>
        <v>180503_09c</v>
      </c>
      <c r="CJ144" s="16" t="str">
        <f t="shared" ca="1" si="127"/>
        <v>180503</v>
      </c>
      <c r="CK144" s="16">
        <f t="shared" ca="1" si="122"/>
        <v>5</v>
      </c>
      <c r="CL144" s="16">
        <f t="shared" ca="1" si="123"/>
        <v>18</v>
      </c>
      <c r="CM144" s="16">
        <f t="shared" ca="1" si="124"/>
        <v>3</v>
      </c>
      <c r="CN144" s="16">
        <f t="shared" ca="1" si="125"/>
        <v>9</v>
      </c>
      <c r="CO144" s="16" t="str">
        <f t="shared" ca="1" si="126"/>
        <v>c</v>
      </c>
    </row>
    <row r="145" spans="79:93">
      <c r="CA145" s="16">
        <f t="shared" ca="1" si="114"/>
        <v>73</v>
      </c>
      <c r="CB145" s="16">
        <f t="shared" ca="1" si="115"/>
        <v>76</v>
      </c>
      <c r="CC145" s="16">
        <f t="shared" ca="1" si="116"/>
        <v>36</v>
      </c>
      <c r="CD145" s="16" t="str">
        <f t="shared" ca="1" si="117"/>
        <v>Intro!I</v>
      </c>
      <c r="CE145" s="16">
        <f t="shared" ca="1" si="118"/>
        <v>76</v>
      </c>
      <c r="CF145" s="16" t="str">
        <f t="shared" ca="1" si="119"/>
        <v>Intro!I76</v>
      </c>
      <c r="CH145" s="16" t="str">
        <f t="shared" ca="1" si="120"/>
        <v>Intro!I76:J112</v>
      </c>
      <c r="CI145" s="16" t="str">
        <f t="shared" ca="1" si="121"/>
        <v>180503_10e</v>
      </c>
      <c r="CJ145" s="16" t="str">
        <f t="shared" ca="1" si="127"/>
        <v>180503</v>
      </c>
      <c r="CK145" s="16">
        <f t="shared" ca="1" si="122"/>
        <v>5</v>
      </c>
      <c r="CL145" s="16">
        <f t="shared" ca="1" si="123"/>
        <v>18</v>
      </c>
      <c r="CM145" s="16">
        <f t="shared" ca="1" si="124"/>
        <v>3</v>
      </c>
      <c r="CN145" s="16">
        <f t="shared" ca="1" si="125"/>
        <v>10</v>
      </c>
      <c r="CO145" s="16" t="str">
        <f t="shared" ca="1" si="126"/>
        <v>e</v>
      </c>
    </row>
    <row r="146" spans="79:93">
      <c r="CA146" s="16">
        <f t="shared" ca="1" si="114"/>
        <v>73</v>
      </c>
      <c r="CB146" s="16">
        <f t="shared" ca="1" si="115"/>
        <v>77</v>
      </c>
      <c r="CC146" s="16">
        <f t="shared" ca="1" si="116"/>
        <v>35</v>
      </c>
      <c r="CD146" s="16" t="str">
        <f t="shared" ca="1" si="117"/>
        <v>Intro!I</v>
      </c>
      <c r="CE146" s="16">
        <f t="shared" ca="1" si="118"/>
        <v>77</v>
      </c>
      <c r="CF146" s="16" t="str">
        <f t="shared" ca="1" si="119"/>
        <v>Intro!I77</v>
      </c>
      <c r="CH146" s="16" t="str">
        <f t="shared" ca="1" si="120"/>
        <v>Intro!I77:J112</v>
      </c>
      <c r="CI146" s="16" t="str">
        <f t="shared" ca="1" si="121"/>
        <v>180504_10e</v>
      </c>
      <c r="CJ146" s="16" t="str">
        <f t="shared" ca="1" si="127"/>
        <v>180504</v>
      </c>
      <c r="CK146" s="16">
        <f t="shared" ca="1" si="122"/>
        <v>5</v>
      </c>
      <c r="CL146" s="16">
        <f t="shared" ca="1" si="123"/>
        <v>18</v>
      </c>
      <c r="CM146" s="16">
        <f t="shared" ca="1" si="124"/>
        <v>4</v>
      </c>
      <c r="CN146" s="16">
        <f t="shared" ca="1" si="125"/>
        <v>10</v>
      </c>
      <c r="CO146" s="16" t="str">
        <f t="shared" ca="1" si="126"/>
        <v>e</v>
      </c>
    </row>
    <row r="147" spans="79:93">
      <c r="CA147" s="16">
        <f t="shared" ca="1" si="114"/>
        <v>73</v>
      </c>
      <c r="CB147" s="16">
        <f t="shared" ca="1" si="115"/>
        <v>78</v>
      </c>
      <c r="CC147" s="16">
        <f t="shared" ca="1" si="116"/>
        <v>34</v>
      </c>
      <c r="CD147" s="16" t="str">
        <f t="shared" ca="1" si="117"/>
        <v>Intro!I</v>
      </c>
      <c r="CE147" s="16">
        <f t="shared" ca="1" si="118"/>
        <v>78</v>
      </c>
      <c r="CF147" s="16" t="str">
        <f t="shared" ca="1" si="119"/>
        <v>Intro!I78</v>
      </c>
      <c r="CH147" s="16" t="str">
        <f t="shared" ca="1" si="120"/>
        <v>Intro!I78:J112</v>
      </c>
      <c r="CI147" s="16" t="str">
        <f t="shared" ca="1" si="121"/>
        <v>180504_10e</v>
      </c>
      <c r="CJ147" s="16" t="str">
        <f t="shared" ca="1" si="127"/>
        <v>180504</v>
      </c>
      <c r="CK147" s="16">
        <f t="shared" ca="1" si="122"/>
        <v>5</v>
      </c>
      <c r="CL147" s="16">
        <f t="shared" ca="1" si="123"/>
        <v>18</v>
      </c>
      <c r="CM147" s="16">
        <f t="shared" ca="1" si="124"/>
        <v>4</v>
      </c>
      <c r="CN147" s="16">
        <f t="shared" ca="1" si="125"/>
        <v>10</v>
      </c>
      <c r="CO147" s="16" t="str">
        <f t="shared" ca="1" si="126"/>
        <v>e</v>
      </c>
    </row>
    <row r="148" spans="79:93">
      <c r="CA148" s="16">
        <f t="shared" ca="1" si="114"/>
        <v>73</v>
      </c>
      <c r="CB148" s="16">
        <f t="shared" ca="1" si="115"/>
        <v>79</v>
      </c>
      <c r="CC148" s="16">
        <f t="shared" ca="1" si="116"/>
        <v>33</v>
      </c>
      <c r="CD148" s="16" t="str">
        <f t="shared" ca="1" si="117"/>
        <v>Intro!I</v>
      </c>
      <c r="CE148" s="16">
        <f t="shared" ca="1" si="118"/>
        <v>79</v>
      </c>
      <c r="CF148" s="16" t="str">
        <f t="shared" ca="1" si="119"/>
        <v>Intro!I79</v>
      </c>
      <c r="CH148" s="16" t="str">
        <f t="shared" ca="1" si="120"/>
        <v>Intro!I79:J112</v>
      </c>
      <c r="CI148" s="16" t="str">
        <f t="shared" ca="1" si="121"/>
        <v>190501_38e</v>
      </c>
      <c r="CJ148" s="16" t="str">
        <f t="shared" ca="1" si="127"/>
        <v>190501</v>
      </c>
      <c r="CK148" s="16">
        <f t="shared" ca="1" si="122"/>
        <v>5</v>
      </c>
      <c r="CL148" s="16">
        <f t="shared" ca="1" si="123"/>
        <v>19</v>
      </c>
      <c r="CM148" s="16">
        <f t="shared" ca="1" si="124"/>
        <v>1</v>
      </c>
      <c r="CN148" s="16">
        <f t="shared" ca="1" si="125"/>
        <v>38</v>
      </c>
      <c r="CO148" s="16" t="str">
        <f t="shared" ca="1" si="126"/>
        <v>e</v>
      </c>
    </row>
    <row r="149" spans="79:93">
      <c r="CA149" s="16">
        <f t="shared" ca="1" si="114"/>
        <v>73</v>
      </c>
      <c r="CB149" s="16">
        <f t="shared" ca="1" si="115"/>
        <v>80</v>
      </c>
      <c r="CC149" s="16">
        <f t="shared" ca="1" si="116"/>
        <v>32</v>
      </c>
      <c r="CD149" s="16" t="str">
        <f t="shared" ca="1" si="117"/>
        <v>Intro!I</v>
      </c>
      <c r="CE149" s="16">
        <f t="shared" ca="1" si="118"/>
        <v>80</v>
      </c>
      <c r="CF149" s="16" t="str">
        <f t="shared" ca="1" si="119"/>
        <v>Intro!I80</v>
      </c>
      <c r="CH149" s="16" t="str">
        <f t="shared" ca="1" si="120"/>
        <v>Intro!I80:J112</v>
      </c>
      <c r="CI149" s="16" t="str">
        <f t="shared" ca="1" si="121"/>
        <v>190502_18e</v>
      </c>
      <c r="CJ149" s="16" t="str">
        <f t="shared" ca="1" si="127"/>
        <v>190502</v>
      </c>
      <c r="CK149" s="16">
        <f t="shared" ca="1" si="122"/>
        <v>5</v>
      </c>
      <c r="CL149" s="16">
        <f t="shared" ca="1" si="123"/>
        <v>19</v>
      </c>
      <c r="CM149" s="16">
        <f t="shared" ca="1" si="124"/>
        <v>2</v>
      </c>
      <c r="CN149" s="16">
        <f t="shared" ca="1" si="125"/>
        <v>18</v>
      </c>
      <c r="CO149" s="16" t="str">
        <f t="shared" ca="1" si="126"/>
        <v>e</v>
      </c>
    </row>
    <row r="150" spans="79:93">
      <c r="CA150" s="16">
        <f t="shared" ca="1" si="114"/>
        <v>73</v>
      </c>
      <c r="CB150" s="16">
        <f t="shared" ca="1" si="115"/>
        <v>81</v>
      </c>
      <c r="CC150" s="16">
        <f t="shared" ca="1" si="116"/>
        <v>31</v>
      </c>
      <c r="CD150" s="16" t="str">
        <f t="shared" ca="1" si="117"/>
        <v>Intro!I</v>
      </c>
      <c r="CE150" s="16">
        <f t="shared" ca="1" si="118"/>
        <v>81</v>
      </c>
      <c r="CF150" s="16" t="str">
        <f t="shared" ca="1" si="119"/>
        <v>Intro!I81</v>
      </c>
      <c r="CH150" s="16" t="str">
        <f t="shared" ca="1" si="120"/>
        <v>Intro!I81:J112</v>
      </c>
      <c r="CI150" s="16" t="str">
        <f t="shared" ca="1" si="121"/>
        <v>190503_13e</v>
      </c>
      <c r="CJ150" s="16" t="str">
        <f t="shared" ca="1" si="127"/>
        <v>190503</v>
      </c>
      <c r="CK150" s="16">
        <f t="shared" ca="1" si="122"/>
        <v>5</v>
      </c>
      <c r="CL150" s="16">
        <f t="shared" ca="1" si="123"/>
        <v>19</v>
      </c>
      <c r="CM150" s="16">
        <f t="shared" ca="1" si="124"/>
        <v>3</v>
      </c>
      <c r="CN150" s="16">
        <f t="shared" ca="1" si="125"/>
        <v>13</v>
      </c>
      <c r="CO150" s="16" t="str">
        <f t="shared" ca="1" si="126"/>
        <v>e</v>
      </c>
    </row>
    <row r="151" spans="79:93">
      <c r="CA151" s="16">
        <f t="shared" ca="1" si="114"/>
        <v>73</v>
      </c>
      <c r="CB151" s="16">
        <f t="shared" ca="1" si="115"/>
        <v>82</v>
      </c>
      <c r="CC151" s="16">
        <f t="shared" ca="1" si="116"/>
        <v>30</v>
      </c>
      <c r="CD151" s="16" t="str">
        <f t="shared" ca="1" si="117"/>
        <v>Intro!I</v>
      </c>
      <c r="CE151" s="16">
        <f t="shared" ca="1" si="118"/>
        <v>82</v>
      </c>
      <c r="CF151" s="16" t="str">
        <f t="shared" ca="1" si="119"/>
        <v>Intro!I82</v>
      </c>
      <c r="CH151" s="16" t="str">
        <f t="shared" ca="1" si="120"/>
        <v>Intro!I82:J112</v>
      </c>
      <c r="CI151" s="16" t="str">
        <f t="shared" ca="1" si="121"/>
        <v>190504_10e</v>
      </c>
      <c r="CJ151" s="16" t="str">
        <f t="shared" ca="1" si="127"/>
        <v>190504</v>
      </c>
      <c r="CK151" s="16">
        <f t="shared" ca="1" si="122"/>
        <v>5</v>
      </c>
      <c r="CL151" s="16">
        <f t="shared" ca="1" si="123"/>
        <v>19</v>
      </c>
      <c r="CM151" s="16">
        <f t="shared" ca="1" si="124"/>
        <v>4</v>
      </c>
      <c r="CN151" s="16">
        <f t="shared" ca="1" si="125"/>
        <v>10</v>
      </c>
      <c r="CO151" s="16" t="str">
        <f t="shared" ca="1" si="126"/>
        <v>e</v>
      </c>
    </row>
    <row r="152" spans="79:93">
      <c r="CA152" s="16">
        <f t="shared" ca="1" si="114"/>
        <v>73</v>
      </c>
      <c r="CB152" s="16">
        <f t="shared" ca="1" si="115"/>
        <v>83</v>
      </c>
      <c r="CC152" s="16">
        <f t="shared" ca="1" si="116"/>
        <v>29</v>
      </c>
      <c r="CD152" s="16" t="str">
        <f t="shared" ca="1" si="117"/>
        <v>Intro!I</v>
      </c>
      <c r="CE152" s="16">
        <f t="shared" ca="1" si="118"/>
        <v>83</v>
      </c>
      <c r="CF152" s="16" t="str">
        <f t="shared" ca="1" si="119"/>
        <v>Intro!I83</v>
      </c>
      <c r="CH152" s="16" t="str">
        <f t="shared" ca="1" si="120"/>
        <v>Intro!I83:J112</v>
      </c>
      <c r="CI152" s="16" t="str">
        <f t="shared" ca="1" si="121"/>
        <v>200501_38e</v>
      </c>
      <c r="CJ152" s="16" t="str">
        <f t="shared" ca="1" si="127"/>
        <v>200501</v>
      </c>
      <c r="CK152" s="16">
        <f t="shared" ca="1" si="122"/>
        <v>5</v>
      </c>
      <c r="CL152" s="16">
        <f t="shared" ca="1" si="123"/>
        <v>20</v>
      </c>
      <c r="CM152" s="16">
        <f t="shared" ca="1" si="124"/>
        <v>1</v>
      </c>
      <c r="CN152" s="16">
        <f t="shared" ca="1" si="125"/>
        <v>38</v>
      </c>
      <c r="CO152" s="16" t="str">
        <f t="shared" ca="1" si="126"/>
        <v>e</v>
      </c>
    </row>
    <row r="153" spans="79:93">
      <c r="CA153" s="16">
        <f t="shared" ca="1" si="114"/>
        <v>73</v>
      </c>
      <c r="CB153" s="16">
        <f t="shared" ca="1" si="115"/>
        <v>84</v>
      </c>
      <c r="CC153" s="16">
        <f t="shared" ca="1" si="116"/>
        <v>28</v>
      </c>
      <c r="CD153" s="16" t="str">
        <f t="shared" ca="1" si="117"/>
        <v>Intro!I</v>
      </c>
      <c r="CE153" s="16">
        <f t="shared" ca="1" si="118"/>
        <v>84</v>
      </c>
      <c r="CF153" s="16" t="str">
        <f t="shared" ca="1" si="119"/>
        <v>Intro!I84</v>
      </c>
      <c r="CH153" s="16" t="str">
        <f t="shared" ca="1" si="120"/>
        <v>Intro!I84:J112</v>
      </c>
      <c r="CI153" s="16" t="str">
        <f t="shared" ca="1" si="121"/>
        <v>200502_18e</v>
      </c>
      <c r="CJ153" s="16" t="str">
        <f t="shared" ca="1" si="127"/>
        <v>200502</v>
      </c>
      <c r="CK153" s="16">
        <f t="shared" ca="1" si="122"/>
        <v>5</v>
      </c>
      <c r="CL153" s="16">
        <f t="shared" ca="1" si="123"/>
        <v>20</v>
      </c>
      <c r="CM153" s="16">
        <f t="shared" ca="1" si="124"/>
        <v>2</v>
      </c>
      <c r="CN153" s="16">
        <f t="shared" ca="1" si="125"/>
        <v>18</v>
      </c>
      <c r="CO153" s="16" t="str">
        <f t="shared" ca="1" si="126"/>
        <v>e</v>
      </c>
    </row>
    <row r="154" spans="79:93">
      <c r="CA154" s="16">
        <f t="shared" ca="1" si="114"/>
        <v>73</v>
      </c>
      <c r="CB154" s="16">
        <f t="shared" ca="1" si="115"/>
        <v>85</v>
      </c>
      <c r="CC154" s="16">
        <f t="shared" ca="1" si="116"/>
        <v>27</v>
      </c>
      <c r="CD154" s="16" t="str">
        <f t="shared" ca="1" si="117"/>
        <v>Intro!I</v>
      </c>
      <c r="CE154" s="16">
        <f t="shared" ca="1" si="118"/>
        <v>85</v>
      </c>
      <c r="CF154" s="16" t="str">
        <f t="shared" ca="1" si="119"/>
        <v>Intro!I85</v>
      </c>
      <c r="CH154" s="16" t="str">
        <f t="shared" ca="1" si="120"/>
        <v>Intro!I85:J112</v>
      </c>
      <c r="CI154" s="16" t="str">
        <f t="shared" ca="1" si="121"/>
        <v>200503_14e</v>
      </c>
      <c r="CJ154" s="16" t="str">
        <f t="shared" ca="1" si="127"/>
        <v>200503</v>
      </c>
      <c r="CK154" s="16">
        <f t="shared" ca="1" si="122"/>
        <v>5</v>
      </c>
      <c r="CL154" s="16">
        <f t="shared" ca="1" si="123"/>
        <v>20</v>
      </c>
      <c r="CM154" s="16">
        <f t="shared" ca="1" si="124"/>
        <v>3</v>
      </c>
      <c r="CN154" s="16">
        <f t="shared" ca="1" si="125"/>
        <v>14</v>
      </c>
      <c r="CO154" s="16" t="str">
        <f t="shared" ca="1" si="126"/>
        <v>e</v>
      </c>
    </row>
    <row r="155" spans="79:93">
      <c r="CA155" s="16">
        <f t="shared" ca="1" si="114"/>
        <v>73</v>
      </c>
      <c r="CB155" s="16">
        <f t="shared" ca="1" si="115"/>
        <v>86</v>
      </c>
      <c r="CC155" s="16">
        <f t="shared" ca="1" si="116"/>
        <v>26</v>
      </c>
      <c r="CD155" s="16" t="str">
        <f t="shared" ca="1" si="117"/>
        <v>Intro!I</v>
      </c>
      <c r="CE155" s="16">
        <f t="shared" ca="1" si="118"/>
        <v>86</v>
      </c>
      <c r="CF155" s="16" t="str">
        <f t="shared" ca="1" si="119"/>
        <v>Intro!I86</v>
      </c>
      <c r="CH155" s="16" t="str">
        <f t="shared" ca="1" si="120"/>
        <v>Intro!I86:J112</v>
      </c>
      <c r="CI155" s="16" t="str">
        <f t="shared" ca="1" si="121"/>
        <v>200504_08c</v>
      </c>
      <c r="CJ155" s="16" t="str">
        <f t="shared" ca="1" si="127"/>
        <v>200504</v>
      </c>
      <c r="CK155" s="16">
        <f t="shared" ca="1" si="122"/>
        <v>5</v>
      </c>
      <c r="CL155" s="16">
        <f t="shared" ca="1" si="123"/>
        <v>20</v>
      </c>
      <c r="CM155" s="16">
        <f t="shared" ca="1" si="124"/>
        <v>4</v>
      </c>
      <c r="CN155" s="16">
        <f t="shared" ca="1" si="125"/>
        <v>8</v>
      </c>
      <c r="CO155" s="16" t="str">
        <f t="shared" ca="1" si="126"/>
        <v>c</v>
      </c>
    </row>
    <row r="156" spans="79:93">
      <c r="CA156" s="16">
        <f t="shared" ca="1" si="114"/>
        <v>73</v>
      </c>
      <c r="CB156" s="16">
        <f t="shared" ca="1" si="115"/>
        <v>87</v>
      </c>
      <c r="CC156" s="16">
        <f t="shared" ca="1" si="116"/>
        <v>25</v>
      </c>
      <c r="CD156" s="16" t="str">
        <f t="shared" ca="1" si="117"/>
        <v>Intro!I</v>
      </c>
      <c r="CE156" s="16">
        <f t="shared" ca="1" si="118"/>
        <v>87</v>
      </c>
      <c r="CF156" s="16" t="str">
        <f t="shared" ca="1" si="119"/>
        <v>Intro!I87</v>
      </c>
      <c r="CH156" s="16" t="str">
        <f t="shared" ca="1" si="120"/>
        <v>Intro!I87:J112</v>
      </c>
      <c r="CI156" s="16" t="str">
        <f t="shared" ca="1" si="121"/>
        <v>200504_10e</v>
      </c>
      <c r="CJ156" s="16" t="str">
        <f t="shared" ca="1" si="127"/>
        <v>200504</v>
      </c>
      <c r="CK156" s="16">
        <f t="shared" ca="1" si="122"/>
        <v>5</v>
      </c>
      <c r="CL156" s="16">
        <f t="shared" ca="1" si="123"/>
        <v>20</v>
      </c>
      <c r="CM156" s="16">
        <f t="shared" ca="1" si="124"/>
        <v>4</v>
      </c>
      <c r="CN156" s="16">
        <f t="shared" ca="1" si="125"/>
        <v>10</v>
      </c>
      <c r="CO156" s="16" t="str">
        <f t="shared" ca="1" si="126"/>
        <v>e</v>
      </c>
    </row>
    <row r="157" spans="79:93">
      <c r="CA157" s="16">
        <f t="shared" ca="1" si="114"/>
        <v>73</v>
      </c>
      <c r="CB157" s="16">
        <f t="shared" ca="1" si="115"/>
        <v>88</v>
      </c>
      <c r="CC157" s="16">
        <f t="shared" ca="1" si="116"/>
        <v>24</v>
      </c>
      <c r="CD157" s="16" t="str">
        <f t="shared" ca="1" si="117"/>
        <v>Intro!I</v>
      </c>
      <c r="CE157" s="16">
        <f t="shared" ca="1" si="118"/>
        <v>88</v>
      </c>
      <c r="CF157" s="16" t="str">
        <f t="shared" ca="1" si="119"/>
        <v>Intro!I88</v>
      </c>
      <c r="CH157" s="16" t="str">
        <f t="shared" ca="1" si="120"/>
        <v>Intro!I88:J112</v>
      </c>
      <c r="CI157" s="16" t="str">
        <f t="shared" ca="1" si="121"/>
        <v>200505_06e</v>
      </c>
      <c r="CJ157" s="16" t="str">
        <f t="shared" ca="1" si="127"/>
        <v>200505</v>
      </c>
      <c r="CK157" s="16">
        <f t="shared" ca="1" si="122"/>
        <v>5</v>
      </c>
      <c r="CL157" s="16">
        <f t="shared" ca="1" si="123"/>
        <v>20</v>
      </c>
      <c r="CM157" s="16">
        <f t="shared" ca="1" si="124"/>
        <v>5</v>
      </c>
      <c r="CN157" s="16">
        <f t="shared" ca="1" si="125"/>
        <v>6</v>
      </c>
      <c r="CO157" s="16" t="str">
        <f t="shared" ca="1" si="126"/>
        <v>e</v>
      </c>
    </row>
    <row r="158" spans="79:93">
      <c r="CA158" s="16">
        <f t="shared" ca="1" si="114"/>
        <v>73</v>
      </c>
      <c r="CB158" s="16">
        <f t="shared" ca="1" si="115"/>
        <v>89</v>
      </c>
      <c r="CC158" s="16">
        <f t="shared" ca="1" si="116"/>
        <v>23</v>
      </c>
      <c r="CD158" s="16" t="str">
        <f t="shared" ca="1" si="117"/>
        <v>Intro!I</v>
      </c>
      <c r="CE158" s="16">
        <f t="shared" ca="1" si="118"/>
        <v>89</v>
      </c>
      <c r="CF158" s="16" t="str">
        <f t="shared" ca="1" si="119"/>
        <v>Intro!I89</v>
      </c>
      <c r="CH158" s="16" t="str">
        <f t="shared" ca="1" si="120"/>
        <v>Intro!I89:J112</v>
      </c>
      <c r="CI158" s="16" t="str">
        <f t="shared" ca="1" si="121"/>
        <v>210501_20e</v>
      </c>
      <c r="CJ158" s="16" t="str">
        <f t="shared" ca="1" si="127"/>
        <v>210501</v>
      </c>
      <c r="CK158" s="16">
        <f t="shared" ca="1" si="122"/>
        <v>5</v>
      </c>
      <c r="CL158" s="16">
        <f t="shared" ca="1" si="123"/>
        <v>21</v>
      </c>
      <c r="CM158" s="16">
        <f t="shared" ca="1" si="124"/>
        <v>1</v>
      </c>
      <c r="CN158" s="16">
        <f t="shared" ca="1" si="125"/>
        <v>20</v>
      </c>
      <c r="CO158" s="16" t="str">
        <f t="shared" ca="1" si="126"/>
        <v>e</v>
      </c>
    </row>
    <row r="159" spans="79:93">
      <c r="CA159" s="16">
        <f t="shared" ca="1" si="114"/>
        <v>73</v>
      </c>
      <c r="CB159" s="16">
        <f t="shared" ca="1" si="115"/>
        <v>90</v>
      </c>
      <c r="CC159" s="16">
        <f t="shared" ca="1" si="116"/>
        <v>22</v>
      </c>
      <c r="CD159" s="16" t="str">
        <f t="shared" ca="1" si="117"/>
        <v>Intro!I</v>
      </c>
      <c r="CE159" s="16">
        <f t="shared" ca="1" si="118"/>
        <v>90</v>
      </c>
      <c r="CF159" s="16" t="str">
        <f t="shared" ca="1" si="119"/>
        <v>Intro!I90</v>
      </c>
      <c r="CH159" s="16" t="str">
        <f t="shared" ca="1" si="120"/>
        <v>Intro!I90:J112</v>
      </c>
      <c r="CI159" s="16" t="str">
        <f t="shared" ca="1" si="121"/>
        <v>210501_22e</v>
      </c>
      <c r="CJ159" s="16" t="str">
        <f t="shared" ca="1" si="127"/>
        <v>210501</v>
      </c>
      <c r="CK159" s="16">
        <f t="shared" ca="1" si="122"/>
        <v>5</v>
      </c>
      <c r="CL159" s="16">
        <f t="shared" ca="1" si="123"/>
        <v>21</v>
      </c>
      <c r="CM159" s="16">
        <f t="shared" ca="1" si="124"/>
        <v>1</v>
      </c>
      <c r="CN159" s="16">
        <f t="shared" ca="1" si="125"/>
        <v>22</v>
      </c>
      <c r="CO159" s="16" t="str">
        <f t="shared" ca="1" si="126"/>
        <v>e</v>
      </c>
    </row>
    <row r="160" spans="79:93">
      <c r="CA160" s="16">
        <f t="shared" ca="1" si="114"/>
        <v>73</v>
      </c>
      <c r="CB160" s="16">
        <f t="shared" ca="1" si="115"/>
        <v>91</v>
      </c>
      <c r="CC160" s="16">
        <f t="shared" ca="1" si="116"/>
        <v>21</v>
      </c>
      <c r="CD160" s="16" t="str">
        <f t="shared" ca="1" si="117"/>
        <v>Intro!I</v>
      </c>
      <c r="CE160" s="16">
        <f t="shared" ca="1" si="118"/>
        <v>91</v>
      </c>
      <c r="CF160" s="16" t="str">
        <f t="shared" ca="1" si="119"/>
        <v>Intro!I91</v>
      </c>
      <c r="CH160" s="16" t="str">
        <f t="shared" ca="1" si="120"/>
        <v>Intro!I91:J112</v>
      </c>
      <c r="CI160" s="16" t="str">
        <f t="shared" ca="1" si="121"/>
        <v>210502_21e</v>
      </c>
      <c r="CJ160" s="16" t="str">
        <f t="shared" ca="1" si="127"/>
        <v>210502</v>
      </c>
      <c r="CK160" s="16">
        <f t="shared" ca="1" si="122"/>
        <v>5</v>
      </c>
      <c r="CL160" s="16">
        <f t="shared" ca="1" si="123"/>
        <v>21</v>
      </c>
      <c r="CM160" s="16">
        <f t="shared" ca="1" si="124"/>
        <v>2</v>
      </c>
      <c r="CN160" s="16">
        <f t="shared" ca="1" si="125"/>
        <v>21</v>
      </c>
      <c r="CO160" s="16" t="str">
        <f t="shared" ca="1" si="126"/>
        <v>e</v>
      </c>
    </row>
    <row r="161" spans="79:93">
      <c r="CA161" s="16">
        <f t="shared" ca="1" si="114"/>
        <v>73</v>
      </c>
      <c r="CB161" s="16">
        <f t="shared" ca="1" si="115"/>
        <v>92</v>
      </c>
      <c r="CC161" s="16">
        <f t="shared" ca="1" si="116"/>
        <v>20</v>
      </c>
      <c r="CD161" s="16" t="str">
        <f t="shared" ca="1" si="117"/>
        <v>Intro!I</v>
      </c>
      <c r="CE161" s="16">
        <f t="shared" ca="1" si="118"/>
        <v>92</v>
      </c>
      <c r="CF161" s="16" t="str">
        <f t="shared" ca="1" si="119"/>
        <v>Intro!I92</v>
      </c>
      <c r="CH161" s="16" t="str">
        <f t="shared" ca="1" si="120"/>
        <v>Intro!I92:J112</v>
      </c>
      <c r="CI161" s="16" t="str">
        <f t="shared" ca="1" si="121"/>
        <v>210503_13c</v>
      </c>
      <c r="CJ161" s="16" t="str">
        <f t="shared" ca="1" si="127"/>
        <v>210503</v>
      </c>
      <c r="CK161" s="16">
        <f t="shared" ca="1" si="122"/>
        <v>5</v>
      </c>
      <c r="CL161" s="16">
        <f t="shared" ca="1" si="123"/>
        <v>21</v>
      </c>
      <c r="CM161" s="16">
        <f t="shared" ca="1" si="124"/>
        <v>3</v>
      </c>
      <c r="CN161" s="16">
        <f t="shared" ca="1" si="125"/>
        <v>13</v>
      </c>
      <c r="CO161" s="16" t="str">
        <f t="shared" ca="1" si="126"/>
        <v>c</v>
      </c>
    </row>
    <row r="162" spans="79:93">
      <c r="CA162" s="16">
        <f t="shared" ca="1" si="114"/>
        <v>73</v>
      </c>
      <c r="CB162" s="16">
        <f t="shared" ca="1" si="115"/>
        <v>93</v>
      </c>
      <c r="CC162" s="16">
        <f t="shared" ca="1" si="116"/>
        <v>19</v>
      </c>
      <c r="CD162" s="16" t="str">
        <f t="shared" ca="1" si="117"/>
        <v>Intro!I</v>
      </c>
      <c r="CE162" s="16">
        <f t="shared" ca="1" si="118"/>
        <v>93</v>
      </c>
      <c r="CF162" s="16" t="str">
        <f t="shared" ca="1" si="119"/>
        <v>Intro!I93</v>
      </c>
      <c r="CH162" s="16" t="str">
        <f t="shared" ca="1" si="120"/>
        <v>Intro!I93:J112</v>
      </c>
      <c r="CI162" s="16" t="str">
        <f t="shared" ca="1" si="121"/>
        <v>210503_14e</v>
      </c>
      <c r="CJ162" s="16" t="str">
        <f t="shared" ca="1" si="127"/>
        <v>210503</v>
      </c>
      <c r="CK162" s="16">
        <f t="shared" ca="1" si="122"/>
        <v>5</v>
      </c>
      <c r="CL162" s="16">
        <f t="shared" ca="1" si="123"/>
        <v>21</v>
      </c>
      <c r="CM162" s="16">
        <f t="shared" ca="1" si="124"/>
        <v>3</v>
      </c>
      <c r="CN162" s="16">
        <f t="shared" ca="1" si="125"/>
        <v>14</v>
      </c>
      <c r="CO162" s="16" t="str">
        <f t="shared" ca="1" si="126"/>
        <v>e</v>
      </c>
    </row>
    <row r="163" spans="79:93">
      <c r="CA163" s="16">
        <f t="shared" ca="1" si="114"/>
        <v>73</v>
      </c>
      <c r="CB163" s="16">
        <f t="shared" ca="1" si="115"/>
        <v>94</v>
      </c>
      <c r="CC163" s="16">
        <f t="shared" ca="1" si="116"/>
        <v>18</v>
      </c>
      <c r="CD163" s="16" t="str">
        <f t="shared" ca="1" si="117"/>
        <v>Intro!I</v>
      </c>
      <c r="CE163" s="16">
        <f t="shared" ca="1" si="118"/>
        <v>94</v>
      </c>
      <c r="CF163" s="16" t="str">
        <f t="shared" ca="1" si="119"/>
        <v>Intro!I94</v>
      </c>
      <c r="CH163" s="16" t="str">
        <f t="shared" ca="1" si="120"/>
        <v>Intro!I94:J112</v>
      </c>
      <c r="CI163" s="16" t="str">
        <f t="shared" ca="1" si="121"/>
        <v>210503_14e</v>
      </c>
      <c r="CJ163" s="16" t="str">
        <f t="shared" ca="1" si="127"/>
        <v>210503</v>
      </c>
      <c r="CK163" s="16">
        <f t="shared" ca="1" si="122"/>
        <v>5</v>
      </c>
      <c r="CL163" s="16">
        <f t="shared" ca="1" si="123"/>
        <v>21</v>
      </c>
      <c r="CM163" s="16">
        <f t="shared" ca="1" si="124"/>
        <v>3</v>
      </c>
      <c r="CN163" s="16">
        <f t="shared" ca="1" si="125"/>
        <v>14</v>
      </c>
      <c r="CO163" s="16" t="str">
        <f t="shared" ca="1" si="126"/>
        <v>e</v>
      </c>
    </row>
    <row r="164" spans="79:93">
      <c r="CA164" s="16">
        <f t="shared" ca="1" si="114"/>
        <v>73</v>
      </c>
      <c r="CB164" s="16">
        <f t="shared" ca="1" si="115"/>
        <v>95</v>
      </c>
      <c r="CC164" s="16">
        <f t="shared" ca="1" si="116"/>
        <v>17</v>
      </c>
      <c r="CD164" s="16" t="str">
        <f t="shared" ca="1" si="117"/>
        <v>Intro!I</v>
      </c>
      <c r="CE164" s="16">
        <f t="shared" ca="1" si="118"/>
        <v>95</v>
      </c>
      <c r="CF164" s="16" t="str">
        <f t="shared" ca="1" si="119"/>
        <v>Intro!I95</v>
      </c>
      <c r="CH164" s="16" t="str">
        <f t="shared" ca="1" si="120"/>
        <v>Intro!I95:J112</v>
      </c>
      <c r="CI164" s="16" t="str">
        <f t="shared" ca="1" si="121"/>
        <v>210504_10e</v>
      </c>
      <c r="CJ164" s="16" t="str">
        <f t="shared" ca="1" si="127"/>
        <v>210504</v>
      </c>
      <c r="CK164" s="16">
        <f t="shared" ca="1" si="122"/>
        <v>5</v>
      </c>
      <c r="CL164" s="16">
        <f t="shared" ca="1" si="123"/>
        <v>21</v>
      </c>
      <c r="CM164" s="16">
        <f t="shared" ca="1" si="124"/>
        <v>4</v>
      </c>
      <c r="CN164" s="16">
        <f t="shared" ca="1" si="125"/>
        <v>10</v>
      </c>
      <c r="CO164" s="16" t="str">
        <f t="shared" ca="1" si="126"/>
        <v>e</v>
      </c>
    </row>
    <row r="165" spans="79:93">
      <c r="CA165" s="16">
        <f t="shared" ca="1" si="114"/>
        <v>73</v>
      </c>
      <c r="CB165" s="16">
        <f t="shared" ca="1" si="115"/>
        <v>96</v>
      </c>
      <c r="CC165" s="16">
        <f t="shared" ca="1" si="116"/>
        <v>16</v>
      </c>
      <c r="CD165" s="16" t="str">
        <f t="shared" ca="1" si="117"/>
        <v>Intro!I</v>
      </c>
      <c r="CE165" s="16">
        <f t="shared" ca="1" si="118"/>
        <v>96</v>
      </c>
      <c r="CF165" s="16" t="str">
        <f t="shared" ca="1" si="119"/>
        <v>Intro!I96</v>
      </c>
      <c r="CH165" s="16" t="str">
        <f t="shared" ca="1" si="120"/>
        <v>Intro!I96:J112</v>
      </c>
      <c r="CI165" s="16" t="str">
        <f t="shared" ca="1" si="121"/>
        <v>210505_09e</v>
      </c>
      <c r="CJ165" s="16" t="str">
        <f t="shared" ca="1" si="127"/>
        <v>210505</v>
      </c>
      <c r="CK165" s="16">
        <f t="shared" ca="1" si="122"/>
        <v>5</v>
      </c>
      <c r="CL165" s="16">
        <f t="shared" ca="1" si="123"/>
        <v>21</v>
      </c>
      <c r="CM165" s="16">
        <f t="shared" ca="1" si="124"/>
        <v>5</v>
      </c>
      <c r="CN165" s="16">
        <f t="shared" ca="1" si="125"/>
        <v>9</v>
      </c>
      <c r="CO165" s="16" t="str">
        <f t="shared" ca="1" si="126"/>
        <v>e</v>
      </c>
    </row>
    <row r="166" spans="79:93">
      <c r="CA166" s="16">
        <f t="shared" ca="1" si="114"/>
        <v>73</v>
      </c>
      <c r="CB166" s="16">
        <f t="shared" ca="1" si="115"/>
        <v>97</v>
      </c>
      <c r="CC166" s="16">
        <f t="shared" ca="1" si="116"/>
        <v>15</v>
      </c>
      <c r="CD166" s="16" t="str">
        <f t="shared" ca="1" si="117"/>
        <v>Intro!I</v>
      </c>
      <c r="CE166" s="16">
        <f t="shared" ca="1" si="118"/>
        <v>97</v>
      </c>
      <c r="CF166" s="16" t="str">
        <f t="shared" ca="1" si="119"/>
        <v>Intro!I97</v>
      </c>
      <c r="CH166" s="16" t="str">
        <f t="shared" ca="1" si="120"/>
        <v>Intro!I97:J112</v>
      </c>
      <c r="CI166" s="16" t="str">
        <f t="shared" ca="1" si="121"/>
        <v>220502_22e</v>
      </c>
      <c r="CJ166" s="16" t="str">
        <f t="shared" ca="1" si="127"/>
        <v>220502</v>
      </c>
      <c r="CK166" s="16">
        <f t="shared" ca="1" si="122"/>
        <v>5</v>
      </c>
      <c r="CL166" s="16">
        <f t="shared" ca="1" si="123"/>
        <v>22</v>
      </c>
      <c r="CM166" s="16">
        <f t="shared" ca="1" si="124"/>
        <v>2</v>
      </c>
      <c r="CN166" s="16">
        <f t="shared" ca="1" si="125"/>
        <v>22</v>
      </c>
      <c r="CO166" s="16" t="str">
        <f t="shared" ca="1" si="126"/>
        <v>e</v>
      </c>
    </row>
    <row r="167" spans="79:93">
      <c r="CA167" s="16">
        <f t="shared" ca="1" si="114"/>
        <v>73</v>
      </c>
      <c r="CB167" s="16">
        <f t="shared" ca="1" si="115"/>
        <v>98</v>
      </c>
      <c r="CC167" s="16">
        <f t="shared" ca="1" si="116"/>
        <v>14</v>
      </c>
      <c r="CD167" s="16" t="str">
        <f t="shared" ca="1" si="117"/>
        <v>Intro!I</v>
      </c>
      <c r="CE167" s="16">
        <f t="shared" ca="1" si="118"/>
        <v>98</v>
      </c>
      <c r="CF167" s="16" t="str">
        <f t="shared" ca="1" si="119"/>
        <v>Intro!I98</v>
      </c>
      <c r="CH167" s="16" t="str">
        <f t="shared" ca="1" si="120"/>
        <v>Intro!I98:J112</v>
      </c>
      <c r="CI167" s="16" t="str">
        <f t="shared" ca="1" si="121"/>
        <v>220503_14e</v>
      </c>
      <c r="CJ167" s="16" t="str">
        <f t="shared" ca="1" si="127"/>
        <v>220503</v>
      </c>
      <c r="CK167" s="16">
        <f t="shared" ca="1" si="122"/>
        <v>5</v>
      </c>
      <c r="CL167" s="16">
        <f t="shared" ca="1" si="123"/>
        <v>22</v>
      </c>
      <c r="CM167" s="16">
        <f t="shared" ca="1" si="124"/>
        <v>3</v>
      </c>
      <c r="CN167" s="16">
        <f t="shared" ca="1" si="125"/>
        <v>14</v>
      </c>
      <c r="CO167" s="16" t="str">
        <f t="shared" ca="1" si="126"/>
        <v>e</v>
      </c>
    </row>
    <row r="168" spans="79:93">
      <c r="CA168" s="16">
        <f t="shared" ca="1" si="114"/>
        <v>73</v>
      </c>
      <c r="CB168" s="16">
        <f t="shared" ca="1" si="115"/>
        <v>99</v>
      </c>
      <c r="CC168" s="16">
        <f t="shared" ca="1" si="116"/>
        <v>13</v>
      </c>
      <c r="CD168" s="16" t="str">
        <f t="shared" ca="1" si="117"/>
        <v>Intro!I</v>
      </c>
      <c r="CE168" s="16">
        <f t="shared" ca="1" si="118"/>
        <v>99</v>
      </c>
      <c r="CF168" s="16" t="str">
        <f t="shared" ca="1" si="119"/>
        <v>Intro!I99</v>
      </c>
      <c r="CH168" s="16" t="str">
        <f t="shared" ca="1" si="120"/>
        <v>Intro!I99:J112</v>
      </c>
      <c r="CI168" s="16" t="str">
        <f t="shared" ca="1" si="121"/>
        <v>220504_10e</v>
      </c>
      <c r="CJ168" s="16" t="str">
        <f t="shared" ca="1" si="127"/>
        <v>220504</v>
      </c>
      <c r="CK168" s="16">
        <f t="shared" ca="1" si="122"/>
        <v>5</v>
      </c>
      <c r="CL168" s="16">
        <f t="shared" ca="1" si="123"/>
        <v>22</v>
      </c>
      <c r="CM168" s="16">
        <f t="shared" ca="1" si="124"/>
        <v>4</v>
      </c>
      <c r="CN168" s="16">
        <f t="shared" ca="1" si="125"/>
        <v>10</v>
      </c>
      <c r="CO168" s="16" t="str">
        <f t="shared" ca="1" si="126"/>
        <v>e</v>
      </c>
    </row>
    <row r="169" spans="79:93">
      <c r="CA169" s="16">
        <f t="shared" ca="1" si="114"/>
        <v>73</v>
      </c>
      <c r="CB169" s="16">
        <f t="shared" ca="1" si="115"/>
        <v>100</v>
      </c>
      <c r="CC169" s="16">
        <f t="shared" ca="1" si="116"/>
        <v>12</v>
      </c>
      <c r="CD169" s="16" t="str">
        <f t="shared" ca="1" si="117"/>
        <v>Intro!I</v>
      </c>
      <c r="CE169" s="16">
        <f t="shared" ca="1" si="118"/>
        <v>100</v>
      </c>
      <c r="CF169" s="16" t="str">
        <f t="shared" ca="1" si="119"/>
        <v>Intro!I100</v>
      </c>
      <c r="CH169" s="16" t="str">
        <f t="shared" ca="1" si="120"/>
        <v>Intro!I100:J112</v>
      </c>
      <c r="CI169" s="16" t="str">
        <f t="shared" ca="1" si="121"/>
        <v>220505_09e</v>
      </c>
      <c r="CJ169" s="16" t="str">
        <f t="shared" ca="1" si="127"/>
        <v>220505</v>
      </c>
      <c r="CK169" s="16">
        <f t="shared" ca="1" si="122"/>
        <v>5</v>
      </c>
      <c r="CL169" s="16">
        <f t="shared" ca="1" si="123"/>
        <v>22</v>
      </c>
      <c r="CM169" s="16">
        <f t="shared" ca="1" si="124"/>
        <v>5</v>
      </c>
      <c r="CN169" s="16">
        <f t="shared" ca="1" si="125"/>
        <v>9</v>
      </c>
      <c r="CO169" s="16" t="str">
        <f t="shared" ca="1" si="126"/>
        <v>e</v>
      </c>
    </row>
    <row r="170" spans="79:93">
      <c r="CA170" s="16">
        <f t="shared" ca="1" si="114"/>
        <v>73</v>
      </c>
      <c r="CB170" s="16">
        <f t="shared" ca="1" si="115"/>
        <v>101</v>
      </c>
      <c r="CC170" s="16">
        <f t="shared" ca="1" si="116"/>
        <v>11</v>
      </c>
      <c r="CD170" s="16" t="str">
        <f t="shared" ca="1" si="117"/>
        <v>Intro!I</v>
      </c>
      <c r="CE170" s="16">
        <f t="shared" ca="1" si="118"/>
        <v>101</v>
      </c>
      <c r="CF170" s="16" t="str">
        <f t="shared" ca="1" si="119"/>
        <v>Intro!I101</v>
      </c>
      <c r="CH170" s="16" t="str">
        <f t="shared" ca="1" si="120"/>
        <v>Intro!I101:J112</v>
      </c>
      <c r="CI170" s="16" t="str">
        <f t="shared" ca="1" si="121"/>
        <v>230505_10e</v>
      </c>
      <c r="CJ170" s="16" t="str">
        <f t="shared" ca="1" si="127"/>
        <v>230505</v>
      </c>
      <c r="CK170" s="16">
        <f t="shared" ca="1" si="122"/>
        <v>5</v>
      </c>
      <c r="CL170" s="16">
        <f t="shared" ca="1" si="123"/>
        <v>23</v>
      </c>
      <c r="CM170" s="16">
        <f t="shared" ca="1" si="124"/>
        <v>5</v>
      </c>
      <c r="CN170" s="16">
        <f t="shared" ca="1" si="125"/>
        <v>10</v>
      </c>
      <c r="CO170" s="16" t="str">
        <f t="shared" ca="1" si="126"/>
        <v>e</v>
      </c>
    </row>
    <row r="171" spans="79:93">
      <c r="CA171" s="16">
        <f t="shared" ca="1" si="114"/>
        <v>73</v>
      </c>
      <c r="CB171" s="16">
        <f t="shared" ca="1" si="115"/>
        <v>102</v>
      </c>
      <c r="CC171" s="16">
        <f t="shared" ca="1" si="116"/>
        <v>10</v>
      </c>
      <c r="CD171" s="16" t="str">
        <f t="shared" ca="1" si="117"/>
        <v>Intro!I</v>
      </c>
      <c r="CE171" s="16">
        <f t="shared" ca="1" si="118"/>
        <v>102</v>
      </c>
      <c r="CF171" s="16" t="str">
        <f t="shared" ca="1" si="119"/>
        <v>Intro!I102</v>
      </c>
      <c r="CH171" s="16" t="str">
        <f t="shared" ca="1" si="120"/>
        <v>Intro!I102:J112</v>
      </c>
      <c r="CI171" s="16" t="str">
        <f t="shared" ca="1" si="121"/>
        <v>240501_28e</v>
      </c>
      <c r="CJ171" s="16" t="str">
        <f t="shared" ca="1" si="127"/>
        <v>240501</v>
      </c>
      <c r="CK171" s="16">
        <f t="shared" ca="1" si="122"/>
        <v>5</v>
      </c>
      <c r="CL171" s="16">
        <f t="shared" ca="1" si="123"/>
        <v>24</v>
      </c>
      <c r="CM171" s="16">
        <f t="shared" ca="1" si="124"/>
        <v>1</v>
      </c>
      <c r="CN171" s="16">
        <f t="shared" ca="1" si="125"/>
        <v>28</v>
      </c>
      <c r="CO171" s="16" t="str">
        <f t="shared" ca="1" si="126"/>
        <v>e</v>
      </c>
    </row>
    <row r="172" spans="79:93">
      <c r="CA172" s="16">
        <f t="shared" ref="CA172:CA235" ca="1" si="128">IF(CC171-1=0,CA171+2,CA171)</f>
        <v>73</v>
      </c>
      <c r="CB172" s="16">
        <f t="shared" ref="CB172:CB235" ca="1" si="129">IF(CC171-1=0,CB$1,CB171+1)</f>
        <v>103</v>
      </c>
      <c r="CC172" s="16">
        <f t="shared" ref="CC172:CC235" ca="1" si="130">INDIRECT(CF172)</f>
        <v>9</v>
      </c>
      <c r="CD172" s="16" t="str">
        <f t="shared" ref="CD172:CD235" ca="1" si="131">CONCATENATE("Intro!",CHAR(CA172))</f>
        <v>Intro!I</v>
      </c>
      <c r="CE172" s="16">
        <f t="shared" ref="CE172:CE235" ca="1" si="132">CB172</f>
        <v>103</v>
      </c>
      <c r="CF172" s="16" t="str">
        <f t="shared" ref="CF172:CF235" ca="1" si="133">CONCATENATE(CD172,CE172)</f>
        <v>Intro!I103</v>
      </c>
      <c r="CH172" s="16" t="str">
        <f t="shared" ref="CH172:CH235" ca="1" si="134">CONCATENATE(CF172,":",CHAR(CA172+1),(CB172+CC172))</f>
        <v>Intro!I103:J112</v>
      </c>
      <c r="CI172" s="16" t="str">
        <f t="shared" ref="CI172:CI235" ca="1" si="135">VLOOKUP(CC172,INDIRECT(CH172),2,FALSE)</f>
        <v>240501_28e</v>
      </c>
      <c r="CJ172" s="16" t="str">
        <f t="shared" ca="1" si="127"/>
        <v>240501</v>
      </c>
      <c r="CK172" s="16">
        <f t="shared" ref="CK172:CK235" ca="1" si="136">VALUE(MID(CI172,3,2))</f>
        <v>5</v>
      </c>
      <c r="CL172" s="16">
        <f t="shared" ref="CL172:CL235" ca="1" si="137">VALUE(MID(CI172,1,2))</f>
        <v>24</v>
      </c>
      <c r="CM172" s="16">
        <f t="shared" ref="CM172:CM235" ca="1" si="138">VALUE(MID(CI172,5,2))</f>
        <v>1</v>
      </c>
      <c r="CN172" s="16">
        <f t="shared" ref="CN172:CN235" ca="1" si="139">VALUE(MID(CI172,8,2))</f>
        <v>28</v>
      </c>
      <c r="CO172" s="16" t="str">
        <f t="shared" ref="CO172:CO235" ca="1" si="140">RIGHT(CI172,1)</f>
        <v>e</v>
      </c>
    </row>
    <row r="173" spans="79:93">
      <c r="CA173" s="16">
        <f t="shared" ca="1" si="128"/>
        <v>73</v>
      </c>
      <c r="CB173" s="16">
        <f t="shared" ca="1" si="129"/>
        <v>104</v>
      </c>
      <c r="CC173" s="16">
        <f t="shared" ca="1" si="130"/>
        <v>8</v>
      </c>
      <c r="CD173" s="16" t="str">
        <f t="shared" ca="1" si="131"/>
        <v>Intro!I</v>
      </c>
      <c r="CE173" s="16">
        <f t="shared" ca="1" si="132"/>
        <v>104</v>
      </c>
      <c r="CF173" s="16" t="str">
        <f t="shared" ca="1" si="133"/>
        <v>Intro!I104</v>
      </c>
      <c r="CH173" s="16" t="str">
        <f t="shared" ca="1" si="134"/>
        <v>Intro!I104:J112</v>
      </c>
      <c r="CI173" s="16" t="str">
        <f t="shared" ca="1" si="135"/>
        <v>240504_12c</v>
      </c>
      <c r="CJ173" s="16" t="str">
        <f t="shared" ca="1" si="127"/>
        <v>240504</v>
      </c>
      <c r="CK173" s="16">
        <f t="shared" ca="1" si="136"/>
        <v>5</v>
      </c>
      <c r="CL173" s="16">
        <f t="shared" ca="1" si="137"/>
        <v>24</v>
      </c>
      <c r="CM173" s="16">
        <f t="shared" ca="1" si="138"/>
        <v>4</v>
      </c>
      <c r="CN173" s="16">
        <f t="shared" ca="1" si="139"/>
        <v>12</v>
      </c>
      <c r="CO173" s="16" t="str">
        <f t="shared" ca="1" si="140"/>
        <v>c</v>
      </c>
    </row>
    <row r="174" spans="79:93">
      <c r="CA174" s="16">
        <f t="shared" ca="1" si="128"/>
        <v>73</v>
      </c>
      <c r="CB174" s="16">
        <f t="shared" ca="1" si="129"/>
        <v>105</v>
      </c>
      <c r="CC174" s="16">
        <f t="shared" ca="1" si="130"/>
        <v>7</v>
      </c>
      <c r="CD174" s="16" t="str">
        <f t="shared" ca="1" si="131"/>
        <v>Intro!I</v>
      </c>
      <c r="CE174" s="16">
        <f t="shared" ca="1" si="132"/>
        <v>105</v>
      </c>
      <c r="CF174" s="16" t="str">
        <f t="shared" ca="1" si="133"/>
        <v>Intro!I105</v>
      </c>
      <c r="CH174" s="16" t="str">
        <f t="shared" ca="1" si="134"/>
        <v>Intro!I105:J112</v>
      </c>
      <c r="CI174" s="16" t="str">
        <f t="shared" ca="1" si="135"/>
        <v>240504_12c</v>
      </c>
      <c r="CJ174" s="16" t="str">
        <f t="shared" ca="1" si="127"/>
        <v>240504</v>
      </c>
      <c r="CK174" s="16">
        <f t="shared" ca="1" si="136"/>
        <v>5</v>
      </c>
      <c r="CL174" s="16">
        <f t="shared" ca="1" si="137"/>
        <v>24</v>
      </c>
      <c r="CM174" s="16">
        <f t="shared" ca="1" si="138"/>
        <v>4</v>
      </c>
      <c r="CN174" s="16">
        <f t="shared" ca="1" si="139"/>
        <v>12</v>
      </c>
      <c r="CO174" s="16" t="str">
        <f t="shared" ca="1" si="140"/>
        <v>c</v>
      </c>
    </row>
    <row r="175" spans="79:93">
      <c r="CA175" s="16">
        <f t="shared" ca="1" si="128"/>
        <v>73</v>
      </c>
      <c r="CB175" s="16">
        <f t="shared" ca="1" si="129"/>
        <v>106</v>
      </c>
      <c r="CC175" s="16">
        <f t="shared" ca="1" si="130"/>
        <v>6</v>
      </c>
      <c r="CD175" s="16" t="str">
        <f t="shared" ca="1" si="131"/>
        <v>Intro!I</v>
      </c>
      <c r="CE175" s="16">
        <f t="shared" ca="1" si="132"/>
        <v>106</v>
      </c>
      <c r="CF175" s="16" t="str">
        <f t="shared" ca="1" si="133"/>
        <v>Intro!I106</v>
      </c>
      <c r="CH175" s="16" t="str">
        <f t="shared" ca="1" si="134"/>
        <v>Intro!I106:J112</v>
      </c>
      <c r="CI175" s="16" t="str">
        <f t="shared" ca="1" si="135"/>
        <v>240505_10e</v>
      </c>
      <c r="CJ175" s="16" t="str">
        <f t="shared" ca="1" si="127"/>
        <v>240505</v>
      </c>
      <c r="CK175" s="16">
        <f t="shared" ca="1" si="136"/>
        <v>5</v>
      </c>
      <c r="CL175" s="16">
        <f t="shared" ca="1" si="137"/>
        <v>24</v>
      </c>
      <c r="CM175" s="16">
        <f t="shared" ca="1" si="138"/>
        <v>5</v>
      </c>
      <c r="CN175" s="16">
        <f t="shared" ca="1" si="139"/>
        <v>10</v>
      </c>
      <c r="CO175" s="16" t="str">
        <f t="shared" ca="1" si="140"/>
        <v>e</v>
      </c>
    </row>
    <row r="176" spans="79:93">
      <c r="CA176" s="16">
        <f t="shared" ca="1" si="128"/>
        <v>73</v>
      </c>
      <c r="CB176" s="16">
        <f t="shared" ca="1" si="129"/>
        <v>107</v>
      </c>
      <c r="CC176" s="16">
        <f t="shared" ca="1" si="130"/>
        <v>5</v>
      </c>
      <c r="CD176" s="16" t="str">
        <f t="shared" ca="1" si="131"/>
        <v>Intro!I</v>
      </c>
      <c r="CE176" s="16">
        <f t="shared" ca="1" si="132"/>
        <v>107</v>
      </c>
      <c r="CF176" s="16" t="str">
        <f t="shared" ca="1" si="133"/>
        <v>Intro!I107</v>
      </c>
      <c r="CH176" s="16" t="str">
        <f t="shared" ca="1" si="134"/>
        <v>Intro!I107:J112</v>
      </c>
      <c r="CI176" s="16" t="str">
        <f t="shared" ca="1" si="135"/>
        <v>250501_30L</v>
      </c>
      <c r="CJ176" s="16" t="str">
        <f t="shared" ca="1" si="127"/>
        <v>250501</v>
      </c>
      <c r="CK176" s="16">
        <f t="shared" ca="1" si="136"/>
        <v>5</v>
      </c>
      <c r="CL176" s="16">
        <f t="shared" ca="1" si="137"/>
        <v>25</v>
      </c>
      <c r="CM176" s="16">
        <f t="shared" ca="1" si="138"/>
        <v>1</v>
      </c>
      <c r="CN176" s="16">
        <f t="shared" ca="1" si="139"/>
        <v>30</v>
      </c>
      <c r="CO176" s="16" t="str">
        <f t="shared" ca="1" si="140"/>
        <v>L</v>
      </c>
    </row>
    <row r="177" spans="79:93">
      <c r="CA177" s="16">
        <f t="shared" ca="1" si="128"/>
        <v>73</v>
      </c>
      <c r="CB177" s="16">
        <f t="shared" ca="1" si="129"/>
        <v>108</v>
      </c>
      <c r="CC177" s="16">
        <f t="shared" ca="1" si="130"/>
        <v>4</v>
      </c>
      <c r="CD177" s="16" t="str">
        <f t="shared" ca="1" si="131"/>
        <v>Intro!I</v>
      </c>
      <c r="CE177" s="16">
        <f t="shared" ca="1" si="132"/>
        <v>108</v>
      </c>
      <c r="CF177" s="16" t="str">
        <f t="shared" ca="1" si="133"/>
        <v>Intro!I108</v>
      </c>
      <c r="CH177" s="16" t="str">
        <f t="shared" ca="1" si="134"/>
        <v>Intro!I108:J112</v>
      </c>
      <c r="CI177" s="16" t="str">
        <f t="shared" ca="1" si="135"/>
        <v>250501_30L</v>
      </c>
      <c r="CJ177" s="16" t="str">
        <f t="shared" ca="1" si="127"/>
        <v>250501</v>
      </c>
      <c r="CK177" s="16">
        <f t="shared" ca="1" si="136"/>
        <v>5</v>
      </c>
      <c r="CL177" s="16">
        <f t="shared" ca="1" si="137"/>
        <v>25</v>
      </c>
      <c r="CM177" s="16">
        <f t="shared" ca="1" si="138"/>
        <v>1</v>
      </c>
      <c r="CN177" s="16">
        <f t="shared" ca="1" si="139"/>
        <v>30</v>
      </c>
      <c r="CO177" s="16" t="str">
        <f t="shared" ca="1" si="140"/>
        <v>L</v>
      </c>
    </row>
    <row r="178" spans="79:93">
      <c r="CA178" s="16">
        <f t="shared" ca="1" si="128"/>
        <v>73</v>
      </c>
      <c r="CB178" s="16">
        <f t="shared" ca="1" si="129"/>
        <v>109</v>
      </c>
      <c r="CC178" s="16">
        <f t="shared" ca="1" si="130"/>
        <v>3</v>
      </c>
      <c r="CD178" s="16" t="str">
        <f t="shared" ca="1" si="131"/>
        <v>Intro!I</v>
      </c>
      <c r="CE178" s="16">
        <f t="shared" ca="1" si="132"/>
        <v>109</v>
      </c>
      <c r="CF178" s="16" t="str">
        <f t="shared" ca="1" si="133"/>
        <v>Intro!I109</v>
      </c>
      <c r="CH178" s="16" t="str">
        <f t="shared" ca="1" si="134"/>
        <v>Intro!I109:J112</v>
      </c>
      <c r="CI178" s="16" t="str">
        <f t="shared" ca="1" si="135"/>
        <v>250505_10e</v>
      </c>
      <c r="CJ178" s="16" t="str">
        <f t="shared" ca="1" si="127"/>
        <v>250505</v>
      </c>
      <c r="CK178" s="16">
        <f t="shared" ca="1" si="136"/>
        <v>5</v>
      </c>
      <c r="CL178" s="16">
        <f t="shared" ca="1" si="137"/>
        <v>25</v>
      </c>
      <c r="CM178" s="16">
        <f t="shared" ca="1" si="138"/>
        <v>5</v>
      </c>
      <c r="CN178" s="16">
        <f t="shared" ca="1" si="139"/>
        <v>10</v>
      </c>
      <c r="CO178" s="16" t="str">
        <f t="shared" ca="1" si="140"/>
        <v>e</v>
      </c>
    </row>
    <row r="179" spans="79:93">
      <c r="CA179" s="16">
        <f t="shared" ca="1" si="128"/>
        <v>73</v>
      </c>
      <c r="CB179" s="16">
        <f t="shared" ca="1" si="129"/>
        <v>110</v>
      </c>
      <c r="CC179" s="16">
        <f t="shared" ca="1" si="130"/>
        <v>2</v>
      </c>
      <c r="CD179" s="16" t="str">
        <f t="shared" ca="1" si="131"/>
        <v>Intro!I</v>
      </c>
      <c r="CE179" s="16">
        <f t="shared" ca="1" si="132"/>
        <v>110</v>
      </c>
      <c r="CF179" s="16" t="str">
        <f t="shared" ca="1" si="133"/>
        <v>Intro!I110</v>
      </c>
      <c r="CH179" s="16" t="str">
        <f t="shared" ca="1" si="134"/>
        <v>Intro!I110:J112</v>
      </c>
      <c r="CI179" s="16" t="str">
        <f t="shared" ca="1" si="135"/>
        <v>280504_18c</v>
      </c>
      <c r="CJ179" s="16" t="str">
        <f t="shared" ca="1" si="127"/>
        <v>280504</v>
      </c>
      <c r="CK179" s="16">
        <f t="shared" ca="1" si="136"/>
        <v>5</v>
      </c>
      <c r="CL179" s="16">
        <f t="shared" ca="1" si="137"/>
        <v>28</v>
      </c>
      <c r="CM179" s="16">
        <f t="shared" ca="1" si="138"/>
        <v>4</v>
      </c>
      <c r="CN179" s="16">
        <f t="shared" ca="1" si="139"/>
        <v>18</v>
      </c>
      <c r="CO179" s="16" t="str">
        <f t="shared" ca="1" si="140"/>
        <v>c</v>
      </c>
    </row>
    <row r="180" spans="79:93">
      <c r="CA180" s="16">
        <f t="shared" ca="1" si="128"/>
        <v>73</v>
      </c>
      <c r="CB180" s="16">
        <f t="shared" ca="1" si="129"/>
        <v>111</v>
      </c>
      <c r="CC180" s="16">
        <f t="shared" ca="1" si="130"/>
        <v>1</v>
      </c>
      <c r="CD180" s="16" t="str">
        <f t="shared" ca="1" si="131"/>
        <v>Intro!I</v>
      </c>
      <c r="CE180" s="16">
        <f t="shared" ca="1" si="132"/>
        <v>111</v>
      </c>
      <c r="CF180" s="16" t="str">
        <f t="shared" ca="1" si="133"/>
        <v>Intro!I111</v>
      </c>
      <c r="CH180" s="16" t="str">
        <f t="shared" ca="1" si="134"/>
        <v>Intro!I111:J112</v>
      </c>
      <c r="CI180" s="16" t="str">
        <f t="shared" ca="1" si="135"/>
        <v>300506_12c</v>
      </c>
      <c r="CJ180" s="16" t="str">
        <f t="shared" ca="1" si="127"/>
        <v>300506</v>
      </c>
      <c r="CK180" s="16">
        <f t="shared" ca="1" si="136"/>
        <v>5</v>
      </c>
      <c r="CL180" s="16">
        <f t="shared" ca="1" si="137"/>
        <v>30</v>
      </c>
      <c r="CM180" s="16">
        <f t="shared" ca="1" si="138"/>
        <v>6</v>
      </c>
      <c r="CN180" s="16">
        <f t="shared" ca="1" si="139"/>
        <v>12</v>
      </c>
      <c r="CO180" s="16" t="str">
        <f t="shared" ca="1" si="140"/>
        <v>c</v>
      </c>
    </row>
    <row r="181" spans="79:93">
      <c r="CA181" s="16">
        <f t="shared" ca="1" si="128"/>
        <v>75</v>
      </c>
      <c r="CB181" s="16">
        <f t="shared" ca="1" si="129"/>
        <v>51</v>
      </c>
      <c r="CC181" s="16">
        <f t="shared" ca="1" si="130"/>
        <v>61</v>
      </c>
      <c r="CD181" s="16" t="str">
        <f t="shared" ca="1" si="131"/>
        <v>Intro!K</v>
      </c>
      <c r="CE181" s="16">
        <f t="shared" ca="1" si="132"/>
        <v>51</v>
      </c>
      <c r="CF181" s="16" t="str">
        <f t="shared" ca="1" si="133"/>
        <v>Intro!K51</v>
      </c>
      <c r="CH181" s="16" t="str">
        <f t="shared" ca="1" si="134"/>
        <v>Intro!K51:L112</v>
      </c>
      <c r="CI181" s="16" t="str">
        <f t="shared" ca="1" si="135"/>
        <v>120601_11s</v>
      </c>
      <c r="CJ181" s="16" t="str">
        <f t="shared" ca="1" si="127"/>
        <v>120601</v>
      </c>
      <c r="CK181" s="16">
        <f t="shared" ca="1" si="136"/>
        <v>6</v>
      </c>
      <c r="CL181" s="16">
        <f t="shared" ca="1" si="137"/>
        <v>12</v>
      </c>
      <c r="CM181" s="16">
        <f t="shared" ca="1" si="138"/>
        <v>1</v>
      </c>
      <c r="CN181" s="16">
        <f t="shared" ca="1" si="139"/>
        <v>11</v>
      </c>
      <c r="CO181" s="16" t="str">
        <f t="shared" ca="1" si="140"/>
        <v>s</v>
      </c>
    </row>
    <row r="182" spans="79:93">
      <c r="CA182" s="16">
        <f t="shared" ca="1" si="128"/>
        <v>75</v>
      </c>
      <c r="CB182" s="16">
        <f t="shared" ca="1" si="129"/>
        <v>52</v>
      </c>
      <c r="CC182" s="16">
        <f t="shared" ca="1" si="130"/>
        <v>60</v>
      </c>
      <c r="CD182" s="16" t="str">
        <f t="shared" ca="1" si="131"/>
        <v>Intro!K</v>
      </c>
      <c r="CE182" s="16">
        <f t="shared" ca="1" si="132"/>
        <v>52</v>
      </c>
      <c r="CF182" s="16" t="str">
        <f t="shared" ca="1" si="133"/>
        <v>Intro!K52</v>
      </c>
      <c r="CH182" s="16" t="str">
        <f t="shared" ca="1" si="134"/>
        <v>Intro!K52:L112</v>
      </c>
      <c r="CI182" s="16" t="str">
        <f t="shared" ca="1" si="135"/>
        <v>120602_05s</v>
      </c>
      <c r="CJ182" s="16" t="str">
        <f t="shared" ca="1" si="127"/>
        <v>120602</v>
      </c>
      <c r="CK182" s="16">
        <f t="shared" ca="1" si="136"/>
        <v>6</v>
      </c>
      <c r="CL182" s="16">
        <f t="shared" ca="1" si="137"/>
        <v>12</v>
      </c>
      <c r="CM182" s="16">
        <f t="shared" ca="1" si="138"/>
        <v>2</v>
      </c>
      <c r="CN182" s="16">
        <f t="shared" ca="1" si="139"/>
        <v>5</v>
      </c>
      <c r="CO182" s="16" t="str">
        <f t="shared" ca="1" si="140"/>
        <v>s</v>
      </c>
    </row>
    <row r="183" spans="79:93">
      <c r="CA183" s="16">
        <f t="shared" ca="1" si="128"/>
        <v>75</v>
      </c>
      <c r="CB183" s="16">
        <f t="shared" ca="1" si="129"/>
        <v>53</v>
      </c>
      <c r="CC183" s="16">
        <f t="shared" ca="1" si="130"/>
        <v>59</v>
      </c>
      <c r="CD183" s="16" t="str">
        <f t="shared" ca="1" si="131"/>
        <v>Intro!K</v>
      </c>
      <c r="CE183" s="16">
        <f t="shared" ca="1" si="132"/>
        <v>53</v>
      </c>
      <c r="CF183" s="16" t="str">
        <f t="shared" ca="1" si="133"/>
        <v>Intro!K53</v>
      </c>
      <c r="CH183" s="16" t="str">
        <f t="shared" ca="1" si="134"/>
        <v>Intro!K53:L112</v>
      </c>
      <c r="CI183" s="16" t="str">
        <f t="shared" ca="1" si="135"/>
        <v>120603_03s</v>
      </c>
      <c r="CJ183" s="16" t="str">
        <f t="shared" ca="1" si="127"/>
        <v>120603</v>
      </c>
      <c r="CK183" s="16">
        <f t="shared" ca="1" si="136"/>
        <v>6</v>
      </c>
      <c r="CL183" s="16">
        <f t="shared" ca="1" si="137"/>
        <v>12</v>
      </c>
      <c r="CM183" s="16">
        <f t="shared" ca="1" si="138"/>
        <v>3</v>
      </c>
      <c r="CN183" s="16">
        <f t="shared" ca="1" si="139"/>
        <v>3</v>
      </c>
      <c r="CO183" s="16" t="str">
        <f t="shared" ca="1" si="140"/>
        <v>s</v>
      </c>
    </row>
    <row r="184" spans="79:93">
      <c r="CA184" s="16">
        <f t="shared" ca="1" si="128"/>
        <v>75</v>
      </c>
      <c r="CB184" s="16">
        <f t="shared" ca="1" si="129"/>
        <v>54</v>
      </c>
      <c r="CC184" s="16">
        <f t="shared" ca="1" si="130"/>
        <v>58</v>
      </c>
      <c r="CD184" s="16" t="str">
        <f t="shared" ca="1" si="131"/>
        <v>Intro!K</v>
      </c>
      <c r="CE184" s="16">
        <f t="shared" ca="1" si="132"/>
        <v>54</v>
      </c>
      <c r="CF184" s="16" t="str">
        <f t="shared" ca="1" si="133"/>
        <v>Intro!K54</v>
      </c>
      <c r="CH184" s="16" t="str">
        <f t="shared" ca="1" si="134"/>
        <v>Intro!K54:L112</v>
      </c>
      <c r="CI184" s="16" t="str">
        <f t="shared" ca="1" si="135"/>
        <v>130601_13s</v>
      </c>
      <c r="CJ184" s="16" t="str">
        <f t="shared" ca="1" si="127"/>
        <v>130601</v>
      </c>
      <c r="CK184" s="16">
        <f t="shared" ca="1" si="136"/>
        <v>6</v>
      </c>
      <c r="CL184" s="16">
        <f t="shared" ca="1" si="137"/>
        <v>13</v>
      </c>
      <c r="CM184" s="16">
        <f t="shared" ca="1" si="138"/>
        <v>1</v>
      </c>
      <c r="CN184" s="16">
        <f t="shared" ca="1" si="139"/>
        <v>13</v>
      </c>
      <c r="CO184" s="16" t="str">
        <f t="shared" ca="1" si="140"/>
        <v>s</v>
      </c>
    </row>
    <row r="185" spans="79:93">
      <c r="CA185" s="16">
        <f t="shared" ca="1" si="128"/>
        <v>75</v>
      </c>
      <c r="CB185" s="16">
        <f t="shared" ca="1" si="129"/>
        <v>55</v>
      </c>
      <c r="CC185" s="16">
        <f t="shared" ca="1" si="130"/>
        <v>57</v>
      </c>
      <c r="CD185" s="16" t="str">
        <f t="shared" ca="1" si="131"/>
        <v>Intro!K</v>
      </c>
      <c r="CE185" s="16">
        <f t="shared" ca="1" si="132"/>
        <v>55</v>
      </c>
      <c r="CF185" s="16" t="str">
        <f t="shared" ca="1" si="133"/>
        <v>Intro!K55</v>
      </c>
      <c r="CH185" s="16" t="str">
        <f t="shared" ca="1" si="134"/>
        <v>Intro!K55:L112</v>
      </c>
      <c r="CI185" s="16" t="str">
        <f t="shared" ca="1" si="135"/>
        <v>130602_07s</v>
      </c>
      <c r="CJ185" s="16" t="str">
        <f t="shared" ca="1" si="127"/>
        <v>130602</v>
      </c>
      <c r="CK185" s="16">
        <f t="shared" ca="1" si="136"/>
        <v>6</v>
      </c>
      <c r="CL185" s="16">
        <f t="shared" ca="1" si="137"/>
        <v>13</v>
      </c>
      <c r="CM185" s="16">
        <f t="shared" ca="1" si="138"/>
        <v>2</v>
      </c>
      <c r="CN185" s="16">
        <f t="shared" ca="1" si="139"/>
        <v>7</v>
      </c>
      <c r="CO185" s="16" t="str">
        <f t="shared" ca="1" si="140"/>
        <v>s</v>
      </c>
    </row>
    <row r="186" spans="79:93">
      <c r="CA186" s="16">
        <f t="shared" ca="1" si="128"/>
        <v>75</v>
      </c>
      <c r="CB186" s="16">
        <f t="shared" ca="1" si="129"/>
        <v>56</v>
      </c>
      <c r="CC186" s="16">
        <f t="shared" ca="1" si="130"/>
        <v>56</v>
      </c>
      <c r="CD186" s="16" t="str">
        <f t="shared" ca="1" si="131"/>
        <v>Intro!K</v>
      </c>
      <c r="CE186" s="16">
        <f t="shared" ca="1" si="132"/>
        <v>56</v>
      </c>
      <c r="CF186" s="16" t="str">
        <f t="shared" ca="1" si="133"/>
        <v>Intro!K56</v>
      </c>
      <c r="CH186" s="16" t="str">
        <f t="shared" ca="1" si="134"/>
        <v>Intro!K56:L112</v>
      </c>
      <c r="CI186" s="16" t="str">
        <f t="shared" ca="1" si="135"/>
        <v>130603_05s</v>
      </c>
      <c r="CJ186" s="16" t="str">
        <f t="shared" ca="1" si="127"/>
        <v>130603</v>
      </c>
      <c r="CK186" s="16">
        <f t="shared" ca="1" si="136"/>
        <v>6</v>
      </c>
      <c r="CL186" s="16">
        <f t="shared" ca="1" si="137"/>
        <v>13</v>
      </c>
      <c r="CM186" s="16">
        <f t="shared" ca="1" si="138"/>
        <v>3</v>
      </c>
      <c r="CN186" s="16">
        <f t="shared" ca="1" si="139"/>
        <v>5</v>
      </c>
      <c r="CO186" s="16" t="str">
        <f t="shared" ca="1" si="140"/>
        <v>s</v>
      </c>
    </row>
    <row r="187" spans="79:93">
      <c r="CA187" s="16">
        <f t="shared" ca="1" si="128"/>
        <v>75</v>
      </c>
      <c r="CB187" s="16">
        <f t="shared" ca="1" si="129"/>
        <v>57</v>
      </c>
      <c r="CC187" s="16">
        <f t="shared" ca="1" si="130"/>
        <v>55</v>
      </c>
      <c r="CD187" s="16" t="str">
        <f t="shared" ca="1" si="131"/>
        <v>Intro!K</v>
      </c>
      <c r="CE187" s="16">
        <f t="shared" ca="1" si="132"/>
        <v>57</v>
      </c>
      <c r="CF187" s="16" t="str">
        <f t="shared" ca="1" si="133"/>
        <v>Intro!K57</v>
      </c>
      <c r="CH187" s="16" t="str">
        <f t="shared" ca="1" si="134"/>
        <v>Intro!K57:L112</v>
      </c>
      <c r="CI187" s="16" t="str">
        <f t="shared" ca="1" si="135"/>
        <v>130604_03s</v>
      </c>
      <c r="CJ187" s="16" t="str">
        <f t="shared" ca="1" si="127"/>
        <v>130604</v>
      </c>
      <c r="CK187" s="16">
        <f t="shared" ca="1" si="136"/>
        <v>6</v>
      </c>
      <c r="CL187" s="16">
        <f t="shared" ca="1" si="137"/>
        <v>13</v>
      </c>
      <c r="CM187" s="16">
        <f t="shared" ca="1" si="138"/>
        <v>4</v>
      </c>
      <c r="CN187" s="16">
        <f t="shared" ca="1" si="139"/>
        <v>3</v>
      </c>
      <c r="CO187" s="16" t="str">
        <f t="shared" ca="1" si="140"/>
        <v>s</v>
      </c>
    </row>
    <row r="188" spans="79:93">
      <c r="CA188" s="16">
        <f t="shared" ca="1" si="128"/>
        <v>75</v>
      </c>
      <c r="CB188" s="16">
        <f t="shared" ca="1" si="129"/>
        <v>58</v>
      </c>
      <c r="CC188" s="16">
        <f t="shared" ca="1" si="130"/>
        <v>54</v>
      </c>
      <c r="CD188" s="16" t="str">
        <f t="shared" ca="1" si="131"/>
        <v>Intro!K</v>
      </c>
      <c r="CE188" s="16">
        <f t="shared" ca="1" si="132"/>
        <v>58</v>
      </c>
      <c r="CF188" s="16" t="str">
        <f t="shared" ca="1" si="133"/>
        <v>Intro!K58</v>
      </c>
      <c r="CH188" s="16" t="str">
        <f t="shared" ca="1" si="134"/>
        <v>Intro!K58:L112</v>
      </c>
      <c r="CI188" s="16" t="str">
        <f t="shared" ca="1" si="135"/>
        <v>140602_07s</v>
      </c>
      <c r="CJ188" s="16" t="str">
        <f t="shared" ca="1" si="127"/>
        <v>140602</v>
      </c>
      <c r="CK188" s="16">
        <f t="shared" ca="1" si="136"/>
        <v>6</v>
      </c>
      <c r="CL188" s="16">
        <f t="shared" ca="1" si="137"/>
        <v>14</v>
      </c>
      <c r="CM188" s="16">
        <f t="shared" ca="1" si="138"/>
        <v>2</v>
      </c>
      <c r="CN188" s="16">
        <f t="shared" ca="1" si="139"/>
        <v>7</v>
      </c>
      <c r="CO188" s="16" t="str">
        <f t="shared" ca="1" si="140"/>
        <v>s</v>
      </c>
    </row>
    <row r="189" spans="79:93">
      <c r="CA189" s="16">
        <f t="shared" ca="1" si="128"/>
        <v>75</v>
      </c>
      <c r="CB189" s="16">
        <f t="shared" ca="1" si="129"/>
        <v>59</v>
      </c>
      <c r="CC189" s="16">
        <f t="shared" ca="1" si="130"/>
        <v>53</v>
      </c>
      <c r="CD189" s="16" t="str">
        <f t="shared" ca="1" si="131"/>
        <v>Intro!K</v>
      </c>
      <c r="CE189" s="16">
        <f t="shared" ca="1" si="132"/>
        <v>59</v>
      </c>
      <c r="CF189" s="16" t="str">
        <f t="shared" ca="1" si="133"/>
        <v>Intro!K59</v>
      </c>
      <c r="CH189" s="16" t="str">
        <f t="shared" ca="1" si="134"/>
        <v>Intro!K59:L112</v>
      </c>
      <c r="CI189" s="16" t="str">
        <f t="shared" ca="1" si="135"/>
        <v>140603_06s</v>
      </c>
      <c r="CJ189" s="16" t="str">
        <f t="shared" ca="1" si="127"/>
        <v>140603</v>
      </c>
      <c r="CK189" s="16">
        <f t="shared" ca="1" si="136"/>
        <v>6</v>
      </c>
      <c r="CL189" s="16">
        <f t="shared" ca="1" si="137"/>
        <v>14</v>
      </c>
      <c r="CM189" s="16">
        <f t="shared" ca="1" si="138"/>
        <v>3</v>
      </c>
      <c r="CN189" s="16">
        <f t="shared" ca="1" si="139"/>
        <v>6</v>
      </c>
      <c r="CO189" s="16" t="str">
        <f t="shared" ca="1" si="140"/>
        <v>s</v>
      </c>
    </row>
    <row r="190" spans="79:93">
      <c r="CA190" s="16">
        <f t="shared" ca="1" si="128"/>
        <v>75</v>
      </c>
      <c r="CB190" s="16">
        <f t="shared" ca="1" si="129"/>
        <v>60</v>
      </c>
      <c r="CC190" s="16">
        <f t="shared" ca="1" si="130"/>
        <v>52</v>
      </c>
      <c r="CD190" s="16" t="str">
        <f t="shared" ca="1" si="131"/>
        <v>Intro!K</v>
      </c>
      <c r="CE190" s="16">
        <f t="shared" ca="1" si="132"/>
        <v>60</v>
      </c>
      <c r="CF190" s="16" t="str">
        <f t="shared" ca="1" si="133"/>
        <v>Intro!K60</v>
      </c>
      <c r="CH190" s="16" t="str">
        <f t="shared" ca="1" si="134"/>
        <v>Intro!K60:L112</v>
      </c>
      <c r="CI190" s="16" t="str">
        <f t="shared" ca="1" si="135"/>
        <v>150603_05s</v>
      </c>
      <c r="CJ190" s="16" t="str">
        <f t="shared" ca="1" si="127"/>
        <v>150603</v>
      </c>
      <c r="CK190" s="16">
        <f t="shared" ca="1" si="136"/>
        <v>6</v>
      </c>
      <c r="CL190" s="16">
        <f t="shared" ca="1" si="137"/>
        <v>15</v>
      </c>
      <c r="CM190" s="16">
        <f t="shared" ca="1" si="138"/>
        <v>3</v>
      </c>
      <c r="CN190" s="16">
        <f t="shared" ca="1" si="139"/>
        <v>5</v>
      </c>
      <c r="CO190" s="16" t="str">
        <f t="shared" ca="1" si="140"/>
        <v>s</v>
      </c>
    </row>
    <row r="191" spans="79:93">
      <c r="CA191" s="16">
        <f t="shared" ca="1" si="128"/>
        <v>75</v>
      </c>
      <c r="CB191" s="16">
        <f t="shared" ca="1" si="129"/>
        <v>61</v>
      </c>
      <c r="CC191" s="16">
        <f t="shared" ca="1" si="130"/>
        <v>51</v>
      </c>
      <c r="CD191" s="16" t="str">
        <f t="shared" ca="1" si="131"/>
        <v>Intro!K</v>
      </c>
      <c r="CE191" s="16">
        <f t="shared" ca="1" si="132"/>
        <v>61</v>
      </c>
      <c r="CF191" s="16" t="str">
        <f t="shared" ca="1" si="133"/>
        <v>Intro!K61</v>
      </c>
      <c r="CH191" s="16" t="str">
        <f t="shared" ca="1" si="134"/>
        <v>Intro!K61:L112</v>
      </c>
      <c r="CI191" s="16" t="str">
        <f t="shared" ca="1" si="135"/>
        <v>160601_20s</v>
      </c>
      <c r="CJ191" s="16" t="str">
        <f t="shared" ca="1" si="127"/>
        <v>160601</v>
      </c>
      <c r="CK191" s="16">
        <f t="shared" ca="1" si="136"/>
        <v>6</v>
      </c>
      <c r="CL191" s="16">
        <f t="shared" ca="1" si="137"/>
        <v>16</v>
      </c>
      <c r="CM191" s="16">
        <f t="shared" ca="1" si="138"/>
        <v>1</v>
      </c>
      <c r="CN191" s="16">
        <f t="shared" ca="1" si="139"/>
        <v>20</v>
      </c>
      <c r="CO191" s="16" t="str">
        <f t="shared" ca="1" si="140"/>
        <v>s</v>
      </c>
    </row>
    <row r="192" spans="79:93">
      <c r="CA192" s="16">
        <f t="shared" ca="1" si="128"/>
        <v>75</v>
      </c>
      <c r="CB192" s="16">
        <f t="shared" ca="1" si="129"/>
        <v>62</v>
      </c>
      <c r="CC192" s="16">
        <f t="shared" ca="1" si="130"/>
        <v>50</v>
      </c>
      <c r="CD192" s="16" t="str">
        <f t="shared" ca="1" si="131"/>
        <v>Intro!K</v>
      </c>
      <c r="CE192" s="16">
        <f t="shared" ca="1" si="132"/>
        <v>62</v>
      </c>
      <c r="CF192" s="16" t="str">
        <f t="shared" ca="1" si="133"/>
        <v>Intro!K62</v>
      </c>
      <c r="CH192" s="16" t="str">
        <f t="shared" ca="1" si="134"/>
        <v>Intro!K62:L112</v>
      </c>
      <c r="CI192" s="16" t="str">
        <f t="shared" ca="1" si="135"/>
        <v>160602_11c</v>
      </c>
      <c r="CJ192" s="16" t="str">
        <f t="shared" ca="1" si="127"/>
        <v>160602</v>
      </c>
      <c r="CK192" s="16">
        <f t="shared" ca="1" si="136"/>
        <v>6</v>
      </c>
      <c r="CL192" s="16">
        <f t="shared" ca="1" si="137"/>
        <v>16</v>
      </c>
      <c r="CM192" s="16">
        <f t="shared" ca="1" si="138"/>
        <v>2</v>
      </c>
      <c r="CN192" s="16">
        <f t="shared" ca="1" si="139"/>
        <v>11</v>
      </c>
      <c r="CO192" s="16" t="str">
        <f t="shared" ca="1" si="140"/>
        <v>c</v>
      </c>
    </row>
    <row r="193" spans="79:93">
      <c r="CA193" s="16">
        <f t="shared" ca="1" si="128"/>
        <v>75</v>
      </c>
      <c r="CB193" s="16">
        <f t="shared" ca="1" si="129"/>
        <v>63</v>
      </c>
      <c r="CC193" s="16">
        <f t="shared" ca="1" si="130"/>
        <v>49</v>
      </c>
      <c r="CD193" s="16" t="str">
        <f t="shared" ca="1" si="131"/>
        <v>Intro!K</v>
      </c>
      <c r="CE193" s="16">
        <f t="shared" ca="1" si="132"/>
        <v>63</v>
      </c>
      <c r="CF193" s="16" t="str">
        <f t="shared" ca="1" si="133"/>
        <v>Intro!K63</v>
      </c>
      <c r="CH193" s="16" t="str">
        <f t="shared" ca="1" si="134"/>
        <v>Intro!K63:L112</v>
      </c>
      <c r="CI193" s="16" t="str">
        <f t="shared" ca="1" si="135"/>
        <v>160603_07s</v>
      </c>
      <c r="CJ193" s="16" t="str">
        <f t="shared" ca="1" si="127"/>
        <v>160603</v>
      </c>
      <c r="CK193" s="16">
        <f t="shared" ca="1" si="136"/>
        <v>6</v>
      </c>
      <c r="CL193" s="16">
        <f t="shared" ca="1" si="137"/>
        <v>16</v>
      </c>
      <c r="CM193" s="16">
        <f t="shared" ca="1" si="138"/>
        <v>3</v>
      </c>
      <c r="CN193" s="16">
        <f t="shared" ca="1" si="139"/>
        <v>7</v>
      </c>
      <c r="CO193" s="16" t="str">
        <f t="shared" ca="1" si="140"/>
        <v>s</v>
      </c>
    </row>
    <row r="194" spans="79:93">
      <c r="CA194" s="16">
        <f t="shared" ca="1" si="128"/>
        <v>75</v>
      </c>
      <c r="CB194" s="16">
        <f t="shared" ca="1" si="129"/>
        <v>64</v>
      </c>
      <c r="CC194" s="16">
        <f t="shared" ca="1" si="130"/>
        <v>48</v>
      </c>
      <c r="CD194" s="16" t="str">
        <f t="shared" ca="1" si="131"/>
        <v>Intro!K</v>
      </c>
      <c r="CE194" s="16">
        <f t="shared" ca="1" si="132"/>
        <v>64</v>
      </c>
      <c r="CF194" s="16" t="str">
        <f t="shared" ca="1" si="133"/>
        <v>Intro!K64</v>
      </c>
      <c r="CH194" s="16" t="str">
        <f t="shared" ca="1" si="134"/>
        <v>Intro!K64:L112</v>
      </c>
      <c r="CI194" s="16" t="str">
        <f t="shared" ca="1" si="135"/>
        <v>160603_10e</v>
      </c>
      <c r="CJ194" s="16" t="str">
        <f t="shared" ca="1" si="127"/>
        <v>160603</v>
      </c>
      <c r="CK194" s="16">
        <f t="shared" ca="1" si="136"/>
        <v>6</v>
      </c>
      <c r="CL194" s="16">
        <f t="shared" ca="1" si="137"/>
        <v>16</v>
      </c>
      <c r="CM194" s="16">
        <f t="shared" ca="1" si="138"/>
        <v>3</v>
      </c>
      <c r="CN194" s="16">
        <f t="shared" ca="1" si="139"/>
        <v>10</v>
      </c>
      <c r="CO194" s="16" t="str">
        <f t="shared" ca="1" si="140"/>
        <v>e</v>
      </c>
    </row>
    <row r="195" spans="79:93">
      <c r="CA195" s="16">
        <f t="shared" ca="1" si="128"/>
        <v>75</v>
      </c>
      <c r="CB195" s="16">
        <f t="shared" ca="1" si="129"/>
        <v>65</v>
      </c>
      <c r="CC195" s="16">
        <f t="shared" ca="1" si="130"/>
        <v>47</v>
      </c>
      <c r="CD195" s="16" t="str">
        <f t="shared" ca="1" si="131"/>
        <v>Intro!K</v>
      </c>
      <c r="CE195" s="16">
        <f t="shared" ca="1" si="132"/>
        <v>65</v>
      </c>
      <c r="CF195" s="16" t="str">
        <f t="shared" ca="1" si="133"/>
        <v>Intro!K65</v>
      </c>
      <c r="CH195" s="16" t="str">
        <f t="shared" ca="1" si="134"/>
        <v>Intro!K65:L112</v>
      </c>
      <c r="CI195" s="16" t="str">
        <f t="shared" ca="1" si="135"/>
        <v>160604_04s</v>
      </c>
      <c r="CJ195" s="16" t="str">
        <f t="shared" ca="1" si="127"/>
        <v>160604</v>
      </c>
      <c r="CK195" s="16">
        <f t="shared" ca="1" si="136"/>
        <v>6</v>
      </c>
      <c r="CL195" s="16">
        <f t="shared" ca="1" si="137"/>
        <v>16</v>
      </c>
      <c r="CM195" s="16">
        <f t="shared" ca="1" si="138"/>
        <v>4</v>
      </c>
      <c r="CN195" s="16">
        <f t="shared" ca="1" si="139"/>
        <v>4</v>
      </c>
      <c r="CO195" s="16" t="str">
        <f t="shared" ca="1" si="140"/>
        <v>s</v>
      </c>
    </row>
    <row r="196" spans="79:93">
      <c r="CA196" s="16">
        <f t="shared" ca="1" si="128"/>
        <v>75</v>
      </c>
      <c r="CB196" s="16">
        <f t="shared" ca="1" si="129"/>
        <v>66</v>
      </c>
      <c r="CC196" s="16">
        <f t="shared" ca="1" si="130"/>
        <v>46</v>
      </c>
      <c r="CD196" s="16" t="str">
        <f t="shared" ca="1" si="131"/>
        <v>Intro!K</v>
      </c>
      <c r="CE196" s="16">
        <f t="shared" ca="1" si="132"/>
        <v>66</v>
      </c>
      <c r="CF196" s="16" t="str">
        <f t="shared" ca="1" si="133"/>
        <v>Intro!K66</v>
      </c>
      <c r="CH196" s="16" t="str">
        <f t="shared" ca="1" si="134"/>
        <v>Intro!K66:L112</v>
      </c>
      <c r="CI196" s="16" t="str">
        <f t="shared" ca="1" si="135"/>
        <v>170603_10e</v>
      </c>
      <c r="CJ196" s="16" t="str">
        <f t="shared" ref="CJ196:CJ259" ca="1" si="141">LEFT(CI196,6)</f>
        <v>170603</v>
      </c>
      <c r="CK196" s="16">
        <f t="shared" ca="1" si="136"/>
        <v>6</v>
      </c>
      <c r="CL196" s="16">
        <f t="shared" ca="1" si="137"/>
        <v>17</v>
      </c>
      <c r="CM196" s="16">
        <f t="shared" ca="1" si="138"/>
        <v>3</v>
      </c>
      <c r="CN196" s="16">
        <f t="shared" ca="1" si="139"/>
        <v>10</v>
      </c>
      <c r="CO196" s="16" t="str">
        <f t="shared" ca="1" si="140"/>
        <v>e</v>
      </c>
    </row>
    <row r="197" spans="79:93">
      <c r="CA197" s="16">
        <f t="shared" ca="1" si="128"/>
        <v>75</v>
      </c>
      <c r="CB197" s="16">
        <f t="shared" ca="1" si="129"/>
        <v>67</v>
      </c>
      <c r="CC197" s="16">
        <f t="shared" ca="1" si="130"/>
        <v>45</v>
      </c>
      <c r="CD197" s="16" t="str">
        <f t="shared" ca="1" si="131"/>
        <v>Intro!K</v>
      </c>
      <c r="CE197" s="16">
        <f t="shared" ca="1" si="132"/>
        <v>67</v>
      </c>
      <c r="CF197" s="16" t="str">
        <f t="shared" ca="1" si="133"/>
        <v>Intro!K67</v>
      </c>
      <c r="CH197" s="16" t="str">
        <f t="shared" ca="1" si="134"/>
        <v>Intro!K67:L112</v>
      </c>
      <c r="CI197" s="16" t="str">
        <f t="shared" ca="1" si="135"/>
        <v>180603_10e</v>
      </c>
      <c r="CJ197" s="16" t="str">
        <f t="shared" ca="1" si="141"/>
        <v>180603</v>
      </c>
      <c r="CK197" s="16">
        <f t="shared" ca="1" si="136"/>
        <v>6</v>
      </c>
      <c r="CL197" s="16">
        <f t="shared" ca="1" si="137"/>
        <v>18</v>
      </c>
      <c r="CM197" s="16">
        <f t="shared" ca="1" si="138"/>
        <v>3</v>
      </c>
      <c r="CN197" s="16">
        <f t="shared" ca="1" si="139"/>
        <v>10</v>
      </c>
      <c r="CO197" s="16" t="str">
        <f t="shared" ca="1" si="140"/>
        <v>e</v>
      </c>
    </row>
    <row r="198" spans="79:93">
      <c r="CA198" s="16">
        <f t="shared" ca="1" si="128"/>
        <v>75</v>
      </c>
      <c r="CB198" s="16">
        <f t="shared" ca="1" si="129"/>
        <v>68</v>
      </c>
      <c r="CC198" s="16">
        <f t="shared" ca="1" si="130"/>
        <v>44</v>
      </c>
      <c r="CD198" s="16" t="str">
        <f t="shared" ca="1" si="131"/>
        <v>Intro!K</v>
      </c>
      <c r="CE198" s="16">
        <f t="shared" ca="1" si="132"/>
        <v>68</v>
      </c>
      <c r="CF198" s="16" t="str">
        <f t="shared" ca="1" si="133"/>
        <v>Intro!K68</v>
      </c>
      <c r="CH198" s="16" t="str">
        <f t="shared" ca="1" si="134"/>
        <v>Intro!K68:L112</v>
      </c>
      <c r="CI198" s="16" t="str">
        <f t="shared" ca="1" si="135"/>
        <v>190604_10e</v>
      </c>
      <c r="CJ198" s="16" t="str">
        <f t="shared" ca="1" si="141"/>
        <v>190604</v>
      </c>
      <c r="CK198" s="16">
        <f t="shared" ca="1" si="136"/>
        <v>6</v>
      </c>
      <c r="CL198" s="16">
        <f t="shared" ca="1" si="137"/>
        <v>19</v>
      </c>
      <c r="CM198" s="16">
        <f t="shared" ca="1" si="138"/>
        <v>4</v>
      </c>
      <c r="CN198" s="16">
        <f t="shared" ca="1" si="139"/>
        <v>10</v>
      </c>
      <c r="CO198" s="16" t="str">
        <f t="shared" ca="1" si="140"/>
        <v>e</v>
      </c>
    </row>
    <row r="199" spans="79:93">
      <c r="CA199" s="16">
        <f t="shared" ca="1" si="128"/>
        <v>75</v>
      </c>
      <c r="CB199" s="16">
        <f t="shared" ca="1" si="129"/>
        <v>69</v>
      </c>
      <c r="CC199" s="16">
        <f t="shared" ca="1" si="130"/>
        <v>43</v>
      </c>
      <c r="CD199" s="16" t="str">
        <f t="shared" ca="1" si="131"/>
        <v>Intro!K</v>
      </c>
      <c r="CE199" s="16">
        <f t="shared" ca="1" si="132"/>
        <v>69</v>
      </c>
      <c r="CF199" s="16" t="str">
        <f t="shared" ca="1" si="133"/>
        <v>Intro!K69</v>
      </c>
      <c r="CH199" s="16" t="str">
        <f t="shared" ca="1" si="134"/>
        <v>Intro!K69:L112</v>
      </c>
      <c r="CI199" s="16" t="str">
        <f t="shared" ca="1" si="135"/>
        <v>200604_07c</v>
      </c>
      <c r="CJ199" s="16" t="str">
        <f t="shared" ca="1" si="141"/>
        <v>200604</v>
      </c>
      <c r="CK199" s="16">
        <f t="shared" ca="1" si="136"/>
        <v>6</v>
      </c>
      <c r="CL199" s="16">
        <f t="shared" ca="1" si="137"/>
        <v>20</v>
      </c>
      <c r="CM199" s="16">
        <f t="shared" ca="1" si="138"/>
        <v>4</v>
      </c>
      <c r="CN199" s="16">
        <f t="shared" ca="1" si="139"/>
        <v>7</v>
      </c>
      <c r="CO199" s="16" t="str">
        <f t="shared" ca="1" si="140"/>
        <v>c</v>
      </c>
    </row>
    <row r="200" spans="79:93">
      <c r="CA200" s="16">
        <f t="shared" ca="1" si="128"/>
        <v>75</v>
      </c>
      <c r="CB200" s="16">
        <f t="shared" ca="1" si="129"/>
        <v>70</v>
      </c>
      <c r="CC200" s="16">
        <f t="shared" ca="1" si="130"/>
        <v>42</v>
      </c>
      <c r="CD200" s="16" t="str">
        <f t="shared" ca="1" si="131"/>
        <v>Intro!K</v>
      </c>
      <c r="CE200" s="16">
        <f t="shared" ca="1" si="132"/>
        <v>70</v>
      </c>
      <c r="CF200" s="16" t="str">
        <f t="shared" ca="1" si="133"/>
        <v>Intro!K70</v>
      </c>
      <c r="CH200" s="16" t="str">
        <f t="shared" ca="1" si="134"/>
        <v>Intro!K70:L112</v>
      </c>
      <c r="CI200" s="16" t="str">
        <f t="shared" ca="1" si="135"/>
        <v>200604_09c</v>
      </c>
      <c r="CJ200" s="16" t="str">
        <f t="shared" ca="1" si="141"/>
        <v>200604</v>
      </c>
      <c r="CK200" s="16">
        <f t="shared" ca="1" si="136"/>
        <v>6</v>
      </c>
      <c r="CL200" s="16">
        <f t="shared" ca="1" si="137"/>
        <v>20</v>
      </c>
      <c r="CM200" s="16">
        <f t="shared" ca="1" si="138"/>
        <v>4</v>
      </c>
      <c r="CN200" s="16">
        <f t="shared" ca="1" si="139"/>
        <v>9</v>
      </c>
      <c r="CO200" s="16" t="str">
        <f t="shared" ca="1" si="140"/>
        <v>c</v>
      </c>
    </row>
    <row r="201" spans="79:93">
      <c r="CA201" s="16">
        <f t="shared" ca="1" si="128"/>
        <v>75</v>
      </c>
      <c r="CB201" s="16">
        <f t="shared" ca="1" si="129"/>
        <v>71</v>
      </c>
      <c r="CC201" s="16">
        <f t="shared" ca="1" si="130"/>
        <v>41</v>
      </c>
      <c r="CD201" s="16" t="str">
        <f t="shared" ca="1" si="131"/>
        <v>Intro!K</v>
      </c>
      <c r="CE201" s="16">
        <f t="shared" ca="1" si="132"/>
        <v>71</v>
      </c>
      <c r="CF201" s="16" t="str">
        <f t="shared" ca="1" si="133"/>
        <v>Intro!K71</v>
      </c>
      <c r="CH201" s="16" t="str">
        <f t="shared" ca="1" si="134"/>
        <v>Intro!K71:L112</v>
      </c>
      <c r="CI201" s="16" t="str">
        <f t="shared" ca="1" si="135"/>
        <v>200604_10e</v>
      </c>
      <c r="CJ201" s="16" t="str">
        <f t="shared" ca="1" si="141"/>
        <v>200604</v>
      </c>
      <c r="CK201" s="16">
        <f t="shared" ca="1" si="136"/>
        <v>6</v>
      </c>
      <c r="CL201" s="16">
        <f t="shared" ca="1" si="137"/>
        <v>20</v>
      </c>
      <c r="CM201" s="16">
        <f t="shared" ca="1" si="138"/>
        <v>4</v>
      </c>
      <c r="CN201" s="16">
        <f t="shared" ca="1" si="139"/>
        <v>10</v>
      </c>
      <c r="CO201" s="16" t="str">
        <f t="shared" ca="1" si="140"/>
        <v>e</v>
      </c>
    </row>
    <row r="202" spans="79:93">
      <c r="CA202" s="16">
        <f t="shared" ca="1" si="128"/>
        <v>75</v>
      </c>
      <c r="CB202" s="16">
        <f t="shared" ca="1" si="129"/>
        <v>72</v>
      </c>
      <c r="CC202" s="16">
        <f t="shared" ca="1" si="130"/>
        <v>40</v>
      </c>
      <c r="CD202" s="16" t="str">
        <f t="shared" ca="1" si="131"/>
        <v>Intro!K</v>
      </c>
      <c r="CE202" s="16">
        <f t="shared" ca="1" si="132"/>
        <v>72</v>
      </c>
      <c r="CF202" s="16" t="str">
        <f t="shared" ca="1" si="133"/>
        <v>Intro!K72</v>
      </c>
      <c r="CH202" s="16" t="str">
        <f t="shared" ca="1" si="134"/>
        <v>Intro!K72:L112</v>
      </c>
      <c r="CI202" s="16" t="str">
        <f t="shared" ca="1" si="135"/>
        <v>210603_14e</v>
      </c>
      <c r="CJ202" s="16" t="str">
        <f t="shared" ca="1" si="141"/>
        <v>210603</v>
      </c>
      <c r="CK202" s="16">
        <f t="shared" ca="1" si="136"/>
        <v>6</v>
      </c>
      <c r="CL202" s="16">
        <f t="shared" ca="1" si="137"/>
        <v>21</v>
      </c>
      <c r="CM202" s="16">
        <f t="shared" ca="1" si="138"/>
        <v>3</v>
      </c>
      <c r="CN202" s="16">
        <f t="shared" ca="1" si="139"/>
        <v>14</v>
      </c>
      <c r="CO202" s="16" t="str">
        <f t="shared" ca="1" si="140"/>
        <v>e</v>
      </c>
    </row>
    <row r="203" spans="79:93">
      <c r="CA203" s="16">
        <f t="shared" ca="1" si="128"/>
        <v>75</v>
      </c>
      <c r="CB203" s="16">
        <f t="shared" ca="1" si="129"/>
        <v>73</v>
      </c>
      <c r="CC203" s="16">
        <f t="shared" ca="1" si="130"/>
        <v>39</v>
      </c>
      <c r="CD203" s="16" t="str">
        <f t="shared" ca="1" si="131"/>
        <v>Intro!K</v>
      </c>
      <c r="CE203" s="16">
        <f t="shared" ca="1" si="132"/>
        <v>73</v>
      </c>
      <c r="CF203" s="16" t="str">
        <f t="shared" ca="1" si="133"/>
        <v>Intro!K73</v>
      </c>
      <c r="CH203" s="16" t="str">
        <f t="shared" ca="1" si="134"/>
        <v>Intro!K73:L112</v>
      </c>
      <c r="CI203" s="16" t="str">
        <f t="shared" ca="1" si="135"/>
        <v>220601_20e</v>
      </c>
      <c r="CJ203" s="16" t="str">
        <f t="shared" ca="1" si="141"/>
        <v>220601</v>
      </c>
      <c r="CK203" s="16">
        <f t="shared" ca="1" si="136"/>
        <v>6</v>
      </c>
      <c r="CL203" s="16">
        <f t="shared" ca="1" si="137"/>
        <v>22</v>
      </c>
      <c r="CM203" s="16">
        <f t="shared" ca="1" si="138"/>
        <v>1</v>
      </c>
      <c r="CN203" s="16">
        <f t="shared" ca="1" si="139"/>
        <v>20</v>
      </c>
      <c r="CO203" s="16" t="str">
        <f t="shared" ca="1" si="140"/>
        <v>e</v>
      </c>
    </row>
    <row r="204" spans="79:93">
      <c r="CA204" s="16">
        <f t="shared" ca="1" si="128"/>
        <v>75</v>
      </c>
      <c r="CB204" s="16">
        <f t="shared" ca="1" si="129"/>
        <v>74</v>
      </c>
      <c r="CC204" s="16">
        <f t="shared" ca="1" si="130"/>
        <v>38</v>
      </c>
      <c r="CD204" s="16" t="str">
        <f t="shared" ca="1" si="131"/>
        <v>Intro!K</v>
      </c>
      <c r="CE204" s="16">
        <f t="shared" ca="1" si="132"/>
        <v>74</v>
      </c>
      <c r="CF204" s="16" t="str">
        <f t="shared" ca="1" si="133"/>
        <v>Intro!K74</v>
      </c>
      <c r="CH204" s="16" t="str">
        <f t="shared" ca="1" si="134"/>
        <v>Intro!K74:L112</v>
      </c>
      <c r="CI204" s="16" t="str">
        <f t="shared" ca="1" si="135"/>
        <v>220602_22e</v>
      </c>
      <c r="CJ204" s="16" t="str">
        <f t="shared" ca="1" si="141"/>
        <v>220602</v>
      </c>
      <c r="CK204" s="16">
        <f t="shared" ca="1" si="136"/>
        <v>6</v>
      </c>
      <c r="CL204" s="16">
        <f t="shared" ca="1" si="137"/>
        <v>22</v>
      </c>
      <c r="CM204" s="16">
        <f t="shared" ca="1" si="138"/>
        <v>2</v>
      </c>
      <c r="CN204" s="16">
        <f t="shared" ca="1" si="139"/>
        <v>22</v>
      </c>
      <c r="CO204" s="16" t="str">
        <f t="shared" ca="1" si="140"/>
        <v>e</v>
      </c>
    </row>
    <row r="205" spans="79:93">
      <c r="CA205" s="16">
        <f t="shared" ca="1" si="128"/>
        <v>75</v>
      </c>
      <c r="CB205" s="16">
        <f t="shared" ca="1" si="129"/>
        <v>75</v>
      </c>
      <c r="CC205" s="16">
        <f t="shared" ca="1" si="130"/>
        <v>37</v>
      </c>
      <c r="CD205" s="16" t="str">
        <f t="shared" ca="1" si="131"/>
        <v>Intro!K</v>
      </c>
      <c r="CE205" s="16">
        <f t="shared" ca="1" si="132"/>
        <v>75</v>
      </c>
      <c r="CF205" s="16" t="str">
        <f t="shared" ca="1" si="133"/>
        <v>Intro!K75</v>
      </c>
      <c r="CH205" s="16" t="str">
        <f t="shared" ca="1" si="134"/>
        <v>Intro!K75:L112</v>
      </c>
      <c r="CI205" s="16" t="str">
        <f t="shared" ca="1" si="135"/>
        <v>220603_14e</v>
      </c>
      <c r="CJ205" s="16" t="str">
        <f t="shared" ca="1" si="141"/>
        <v>220603</v>
      </c>
      <c r="CK205" s="16">
        <f t="shared" ca="1" si="136"/>
        <v>6</v>
      </c>
      <c r="CL205" s="16">
        <f t="shared" ca="1" si="137"/>
        <v>22</v>
      </c>
      <c r="CM205" s="16">
        <f t="shared" ca="1" si="138"/>
        <v>3</v>
      </c>
      <c r="CN205" s="16">
        <f t="shared" ca="1" si="139"/>
        <v>14</v>
      </c>
      <c r="CO205" s="16" t="str">
        <f t="shared" ca="1" si="140"/>
        <v>e</v>
      </c>
    </row>
    <row r="206" spans="79:93">
      <c r="CA206" s="16">
        <f t="shared" ca="1" si="128"/>
        <v>75</v>
      </c>
      <c r="CB206" s="16">
        <f t="shared" ca="1" si="129"/>
        <v>76</v>
      </c>
      <c r="CC206" s="16">
        <f t="shared" ca="1" si="130"/>
        <v>36</v>
      </c>
      <c r="CD206" s="16" t="str">
        <f t="shared" ca="1" si="131"/>
        <v>Intro!K</v>
      </c>
      <c r="CE206" s="16">
        <f t="shared" ca="1" si="132"/>
        <v>76</v>
      </c>
      <c r="CF206" s="16" t="str">
        <f t="shared" ca="1" si="133"/>
        <v>Intro!K76</v>
      </c>
      <c r="CH206" s="16" t="str">
        <f t="shared" ca="1" si="134"/>
        <v>Intro!K76:L112</v>
      </c>
      <c r="CI206" s="16" t="str">
        <f t="shared" ca="1" si="135"/>
        <v>220604_10e</v>
      </c>
      <c r="CJ206" s="16" t="str">
        <f t="shared" ca="1" si="141"/>
        <v>220604</v>
      </c>
      <c r="CK206" s="16">
        <f t="shared" ca="1" si="136"/>
        <v>6</v>
      </c>
      <c r="CL206" s="16">
        <f t="shared" ca="1" si="137"/>
        <v>22</v>
      </c>
      <c r="CM206" s="16">
        <f t="shared" ca="1" si="138"/>
        <v>4</v>
      </c>
      <c r="CN206" s="16">
        <f t="shared" ca="1" si="139"/>
        <v>10</v>
      </c>
      <c r="CO206" s="16" t="str">
        <f t="shared" ca="1" si="140"/>
        <v>e</v>
      </c>
    </row>
    <row r="207" spans="79:93">
      <c r="CA207" s="16">
        <f t="shared" ca="1" si="128"/>
        <v>75</v>
      </c>
      <c r="CB207" s="16">
        <f t="shared" ca="1" si="129"/>
        <v>77</v>
      </c>
      <c r="CC207" s="16">
        <f t="shared" ca="1" si="130"/>
        <v>35</v>
      </c>
      <c r="CD207" s="16" t="str">
        <f t="shared" ca="1" si="131"/>
        <v>Intro!K</v>
      </c>
      <c r="CE207" s="16">
        <f t="shared" ca="1" si="132"/>
        <v>77</v>
      </c>
      <c r="CF207" s="16" t="str">
        <f t="shared" ca="1" si="133"/>
        <v>Intro!K77</v>
      </c>
      <c r="CH207" s="16" t="str">
        <f t="shared" ca="1" si="134"/>
        <v>Intro!K77:L112</v>
      </c>
      <c r="CI207" s="16" t="str">
        <f t="shared" ca="1" si="135"/>
        <v>220605_10e</v>
      </c>
      <c r="CJ207" s="16" t="str">
        <f t="shared" ca="1" si="141"/>
        <v>220605</v>
      </c>
      <c r="CK207" s="16">
        <f t="shared" ca="1" si="136"/>
        <v>6</v>
      </c>
      <c r="CL207" s="16">
        <f t="shared" ca="1" si="137"/>
        <v>22</v>
      </c>
      <c r="CM207" s="16">
        <f t="shared" ca="1" si="138"/>
        <v>5</v>
      </c>
      <c r="CN207" s="16">
        <f t="shared" ca="1" si="139"/>
        <v>10</v>
      </c>
      <c r="CO207" s="16" t="str">
        <f t="shared" ca="1" si="140"/>
        <v>e</v>
      </c>
    </row>
    <row r="208" spans="79:93">
      <c r="CA208" s="16">
        <f t="shared" ca="1" si="128"/>
        <v>75</v>
      </c>
      <c r="CB208" s="16">
        <f t="shared" ca="1" si="129"/>
        <v>78</v>
      </c>
      <c r="CC208" s="16">
        <f t="shared" ca="1" si="130"/>
        <v>34</v>
      </c>
      <c r="CD208" s="16" t="str">
        <f t="shared" ca="1" si="131"/>
        <v>Intro!K</v>
      </c>
      <c r="CE208" s="16">
        <f t="shared" ca="1" si="132"/>
        <v>78</v>
      </c>
      <c r="CF208" s="16" t="str">
        <f t="shared" ca="1" si="133"/>
        <v>Intro!K78</v>
      </c>
      <c r="CH208" s="16" t="str">
        <f t="shared" ca="1" si="134"/>
        <v>Intro!K78:L112</v>
      </c>
      <c r="CI208" s="16" t="str">
        <f t="shared" ca="1" si="135"/>
        <v>220605_10e</v>
      </c>
      <c r="CJ208" s="16" t="str">
        <f t="shared" ca="1" si="141"/>
        <v>220605</v>
      </c>
      <c r="CK208" s="16">
        <f t="shared" ca="1" si="136"/>
        <v>6</v>
      </c>
      <c r="CL208" s="16">
        <f t="shared" ca="1" si="137"/>
        <v>22</v>
      </c>
      <c r="CM208" s="16">
        <f t="shared" ca="1" si="138"/>
        <v>5</v>
      </c>
      <c r="CN208" s="16">
        <f t="shared" ca="1" si="139"/>
        <v>10</v>
      </c>
      <c r="CO208" s="16" t="str">
        <f t="shared" ca="1" si="140"/>
        <v>e</v>
      </c>
    </row>
    <row r="209" spans="79:93">
      <c r="CA209" s="16">
        <f t="shared" ca="1" si="128"/>
        <v>75</v>
      </c>
      <c r="CB209" s="16">
        <f t="shared" ca="1" si="129"/>
        <v>79</v>
      </c>
      <c r="CC209" s="16">
        <f t="shared" ca="1" si="130"/>
        <v>33</v>
      </c>
      <c r="CD209" s="16" t="str">
        <f t="shared" ca="1" si="131"/>
        <v>Intro!K</v>
      </c>
      <c r="CE209" s="16">
        <f t="shared" ca="1" si="132"/>
        <v>79</v>
      </c>
      <c r="CF209" s="16" t="str">
        <f t="shared" ca="1" si="133"/>
        <v>Intro!K79</v>
      </c>
      <c r="CH209" s="16" t="str">
        <f t="shared" ca="1" si="134"/>
        <v>Intro!K79:L112</v>
      </c>
      <c r="CI209" s="16" t="str">
        <f t="shared" ca="1" si="135"/>
        <v>230601_24e</v>
      </c>
      <c r="CJ209" s="16" t="str">
        <f t="shared" ca="1" si="141"/>
        <v>230601</v>
      </c>
      <c r="CK209" s="16">
        <f t="shared" ca="1" si="136"/>
        <v>6</v>
      </c>
      <c r="CL209" s="16">
        <f t="shared" ca="1" si="137"/>
        <v>23</v>
      </c>
      <c r="CM209" s="16">
        <f t="shared" ca="1" si="138"/>
        <v>1</v>
      </c>
      <c r="CN209" s="16">
        <f t="shared" ca="1" si="139"/>
        <v>24</v>
      </c>
      <c r="CO209" s="16" t="str">
        <f t="shared" ca="1" si="140"/>
        <v>e</v>
      </c>
    </row>
    <row r="210" spans="79:93">
      <c r="CA210" s="16">
        <f t="shared" ca="1" si="128"/>
        <v>75</v>
      </c>
      <c r="CB210" s="16">
        <f t="shared" ca="1" si="129"/>
        <v>80</v>
      </c>
      <c r="CC210" s="16">
        <f t="shared" ca="1" si="130"/>
        <v>32</v>
      </c>
      <c r="CD210" s="16" t="str">
        <f t="shared" ca="1" si="131"/>
        <v>Intro!K</v>
      </c>
      <c r="CE210" s="16">
        <f t="shared" ca="1" si="132"/>
        <v>80</v>
      </c>
      <c r="CF210" s="16" t="str">
        <f t="shared" ca="1" si="133"/>
        <v>Intro!K80</v>
      </c>
      <c r="CH210" s="16" t="str">
        <f t="shared" ca="1" si="134"/>
        <v>Intro!K80:L112</v>
      </c>
      <c r="CI210" s="16" t="str">
        <f t="shared" ca="1" si="135"/>
        <v>230602_22e</v>
      </c>
      <c r="CJ210" s="16" t="str">
        <f t="shared" ca="1" si="141"/>
        <v>230602</v>
      </c>
      <c r="CK210" s="16">
        <f t="shared" ca="1" si="136"/>
        <v>6</v>
      </c>
      <c r="CL210" s="16">
        <f t="shared" ca="1" si="137"/>
        <v>23</v>
      </c>
      <c r="CM210" s="16">
        <f t="shared" ca="1" si="138"/>
        <v>2</v>
      </c>
      <c r="CN210" s="16">
        <f t="shared" ca="1" si="139"/>
        <v>22</v>
      </c>
      <c r="CO210" s="16" t="str">
        <f t="shared" ca="1" si="140"/>
        <v>e</v>
      </c>
    </row>
    <row r="211" spans="79:93">
      <c r="CA211" s="16">
        <f t="shared" ca="1" si="128"/>
        <v>75</v>
      </c>
      <c r="CB211" s="16">
        <f t="shared" ca="1" si="129"/>
        <v>81</v>
      </c>
      <c r="CC211" s="16">
        <f t="shared" ca="1" si="130"/>
        <v>31</v>
      </c>
      <c r="CD211" s="16" t="str">
        <f t="shared" ca="1" si="131"/>
        <v>Intro!K</v>
      </c>
      <c r="CE211" s="16">
        <f t="shared" ca="1" si="132"/>
        <v>81</v>
      </c>
      <c r="CF211" s="16" t="str">
        <f t="shared" ca="1" si="133"/>
        <v>Intro!K81</v>
      </c>
      <c r="CH211" s="16" t="str">
        <f t="shared" ca="1" si="134"/>
        <v>Intro!K81:L112</v>
      </c>
      <c r="CI211" s="16" t="str">
        <f t="shared" ca="1" si="135"/>
        <v>230603_14e</v>
      </c>
      <c r="CJ211" s="16" t="str">
        <f t="shared" ca="1" si="141"/>
        <v>230603</v>
      </c>
      <c r="CK211" s="16">
        <f t="shared" ca="1" si="136"/>
        <v>6</v>
      </c>
      <c r="CL211" s="16">
        <f t="shared" ca="1" si="137"/>
        <v>23</v>
      </c>
      <c r="CM211" s="16">
        <f t="shared" ca="1" si="138"/>
        <v>3</v>
      </c>
      <c r="CN211" s="16">
        <f t="shared" ca="1" si="139"/>
        <v>14</v>
      </c>
      <c r="CO211" s="16" t="str">
        <f t="shared" ca="1" si="140"/>
        <v>e</v>
      </c>
    </row>
    <row r="212" spans="79:93">
      <c r="CA212" s="16">
        <f t="shared" ca="1" si="128"/>
        <v>75</v>
      </c>
      <c r="CB212" s="16">
        <f t="shared" ca="1" si="129"/>
        <v>82</v>
      </c>
      <c r="CC212" s="16">
        <f t="shared" ca="1" si="130"/>
        <v>30</v>
      </c>
      <c r="CD212" s="16" t="str">
        <f t="shared" ca="1" si="131"/>
        <v>Intro!K</v>
      </c>
      <c r="CE212" s="16">
        <f t="shared" ca="1" si="132"/>
        <v>82</v>
      </c>
      <c r="CF212" s="16" t="str">
        <f t="shared" ca="1" si="133"/>
        <v>Intro!K82</v>
      </c>
      <c r="CH212" s="16" t="str">
        <f t="shared" ca="1" si="134"/>
        <v>Intro!K82:L112</v>
      </c>
      <c r="CI212" s="16" t="str">
        <f t="shared" ca="1" si="135"/>
        <v>230604_10e</v>
      </c>
      <c r="CJ212" s="16" t="str">
        <f t="shared" ca="1" si="141"/>
        <v>230604</v>
      </c>
      <c r="CK212" s="16">
        <f t="shared" ca="1" si="136"/>
        <v>6</v>
      </c>
      <c r="CL212" s="16">
        <f t="shared" ca="1" si="137"/>
        <v>23</v>
      </c>
      <c r="CM212" s="16">
        <f t="shared" ca="1" si="138"/>
        <v>4</v>
      </c>
      <c r="CN212" s="16">
        <f t="shared" ca="1" si="139"/>
        <v>10</v>
      </c>
      <c r="CO212" s="16" t="str">
        <f t="shared" ca="1" si="140"/>
        <v>e</v>
      </c>
    </row>
    <row r="213" spans="79:93">
      <c r="CA213" s="16">
        <f t="shared" ca="1" si="128"/>
        <v>75</v>
      </c>
      <c r="CB213" s="16">
        <f t="shared" ca="1" si="129"/>
        <v>83</v>
      </c>
      <c r="CC213" s="16">
        <f t="shared" ca="1" si="130"/>
        <v>29</v>
      </c>
      <c r="CD213" s="16" t="str">
        <f t="shared" ca="1" si="131"/>
        <v>Intro!K</v>
      </c>
      <c r="CE213" s="16">
        <f t="shared" ca="1" si="132"/>
        <v>83</v>
      </c>
      <c r="CF213" s="16" t="str">
        <f t="shared" ca="1" si="133"/>
        <v>Intro!K83</v>
      </c>
      <c r="CH213" s="16" t="str">
        <f t="shared" ca="1" si="134"/>
        <v>Intro!K83:L112</v>
      </c>
      <c r="CI213" s="16" t="str">
        <f t="shared" ca="1" si="135"/>
        <v>230604_10e</v>
      </c>
      <c r="CJ213" s="16" t="str">
        <f t="shared" ca="1" si="141"/>
        <v>230604</v>
      </c>
      <c r="CK213" s="16">
        <f t="shared" ca="1" si="136"/>
        <v>6</v>
      </c>
      <c r="CL213" s="16">
        <f t="shared" ca="1" si="137"/>
        <v>23</v>
      </c>
      <c r="CM213" s="16">
        <f t="shared" ca="1" si="138"/>
        <v>4</v>
      </c>
      <c r="CN213" s="16">
        <f t="shared" ca="1" si="139"/>
        <v>10</v>
      </c>
      <c r="CO213" s="16" t="str">
        <f t="shared" ca="1" si="140"/>
        <v>e</v>
      </c>
    </row>
    <row r="214" spans="79:93">
      <c r="CA214" s="16">
        <f t="shared" ca="1" si="128"/>
        <v>75</v>
      </c>
      <c r="CB214" s="16">
        <f t="shared" ca="1" si="129"/>
        <v>84</v>
      </c>
      <c r="CC214" s="16">
        <f t="shared" ca="1" si="130"/>
        <v>28</v>
      </c>
      <c r="CD214" s="16" t="str">
        <f t="shared" ca="1" si="131"/>
        <v>Intro!K</v>
      </c>
      <c r="CE214" s="16">
        <f t="shared" ca="1" si="132"/>
        <v>84</v>
      </c>
      <c r="CF214" s="16" t="str">
        <f t="shared" ca="1" si="133"/>
        <v>Intro!K84</v>
      </c>
      <c r="CH214" s="16" t="str">
        <f t="shared" ca="1" si="134"/>
        <v>Intro!K84:L112</v>
      </c>
      <c r="CI214" s="16" t="str">
        <f t="shared" ca="1" si="135"/>
        <v>230606_06e</v>
      </c>
      <c r="CJ214" s="16" t="str">
        <f t="shared" ca="1" si="141"/>
        <v>230606</v>
      </c>
      <c r="CK214" s="16">
        <f t="shared" ca="1" si="136"/>
        <v>6</v>
      </c>
      <c r="CL214" s="16">
        <f t="shared" ca="1" si="137"/>
        <v>23</v>
      </c>
      <c r="CM214" s="16">
        <f t="shared" ca="1" si="138"/>
        <v>6</v>
      </c>
      <c r="CN214" s="16">
        <f t="shared" ca="1" si="139"/>
        <v>6</v>
      </c>
      <c r="CO214" s="16" t="str">
        <f t="shared" ca="1" si="140"/>
        <v>e</v>
      </c>
    </row>
    <row r="215" spans="79:93">
      <c r="CA215" s="16">
        <f t="shared" ca="1" si="128"/>
        <v>75</v>
      </c>
      <c r="CB215" s="16">
        <f t="shared" ca="1" si="129"/>
        <v>85</v>
      </c>
      <c r="CC215" s="16">
        <f t="shared" ca="1" si="130"/>
        <v>27</v>
      </c>
      <c r="CD215" s="16" t="str">
        <f t="shared" ca="1" si="131"/>
        <v>Intro!K</v>
      </c>
      <c r="CE215" s="16">
        <f t="shared" ca="1" si="132"/>
        <v>85</v>
      </c>
      <c r="CF215" s="16" t="str">
        <f t="shared" ca="1" si="133"/>
        <v>Intro!K85</v>
      </c>
      <c r="CH215" s="16" t="str">
        <f t="shared" ca="1" si="134"/>
        <v>Intro!K85:L112</v>
      </c>
      <c r="CI215" s="16" t="str">
        <f t="shared" ca="1" si="135"/>
        <v>240601_24e</v>
      </c>
      <c r="CJ215" s="16" t="str">
        <f t="shared" ca="1" si="141"/>
        <v>240601</v>
      </c>
      <c r="CK215" s="16">
        <f t="shared" ca="1" si="136"/>
        <v>6</v>
      </c>
      <c r="CL215" s="16">
        <f t="shared" ca="1" si="137"/>
        <v>24</v>
      </c>
      <c r="CM215" s="16">
        <f t="shared" ca="1" si="138"/>
        <v>1</v>
      </c>
      <c r="CN215" s="16">
        <f t="shared" ca="1" si="139"/>
        <v>24</v>
      </c>
      <c r="CO215" s="16" t="str">
        <f t="shared" ca="1" si="140"/>
        <v>e</v>
      </c>
    </row>
    <row r="216" spans="79:93">
      <c r="CA216" s="16">
        <f t="shared" ca="1" si="128"/>
        <v>75</v>
      </c>
      <c r="CB216" s="16">
        <f t="shared" ca="1" si="129"/>
        <v>86</v>
      </c>
      <c r="CC216" s="16">
        <f t="shared" ca="1" si="130"/>
        <v>26</v>
      </c>
      <c r="CD216" s="16" t="str">
        <f t="shared" ca="1" si="131"/>
        <v>Intro!K</v>
      </c>
      <c r="CE216" s="16">
        <f t="shared" ca="1" si="132"/>
        <v>86</v>
      </c>
      <c r="CF216" s="16" t="str">
        <f t="shared" ca="1" si="133"/>
        <v>Intro!K86</v>
      </c>
      <c r="CH216" s="16" t="str">
        <f t="shared" ca="1" si="134"/>
        <v>Intro!K86:L112</v>
      </c>
      <c r="CI216" s="16" t="str">
        <f t="shared" ca="1" si="135"/>
        <v>240602_22e</v>
      </c>
      <c r="CJ216" s="16" t="str">
        <f t="shared" ca="1" si="141"/>
        <v>240602</v>
      </c>
      <c r="CK216" s="16">
        <f t="shared" ca="1" si="136"/>
        <v>6</v>
      </c>
      <c r="CL216" s="16">
        <f t="shared" ca="1" si="137"/>
        <v>24</v>
      </c>
      <c r="CM216" s="16">
        <f t="shared" ca="1" si="138"/>
        <v>2</v>
      </c>
      <c r="CN216" s="16">
        <f t="shared" ca="1" si="139"/>
        <v>22</v>
      </c>
      <c r="CO216" s="16" t="str">
        <f t="shared" ca="1" si="140"/>
        <v>e</v>
      </c>
    </row>
    <row r="217" spans="79:93">
      <c r="CA217" s="16">
        <f t="shared" ca="1" si="128"/>
        <v>75</v>
      </c>
      <c r="CB217" s="16">
        <f t="shared" ca="1" si="129"/>
        <v>87</v>
      </c>
      <c r="CC217" s="16">
        <f t="shared" ca="1" si="130"/>
        <v>25</v>
      </c>
      <c r="CD217" s="16" t="str">
        <f t="shared" ca="1" si="131"/>
        <v>Intro!K</v>
      </c>
      <c r="CE217" s="16">
        <f t="shared" ca="1" si="132"/>
        <v>87</v>
      </c>
      <c r="CF217" s="16" t="str">
        <f t="shared" ca="1" si="133"/>
        <v>Intro!K87</v>
      </c>
      <c r="CH217" s="16" t="str">
        <f t="shared" ca="1" si="134"/>
        <v>Intro!K87:L112</v>
      </c>
      <c r="CI217" s="16" t="str">
        <f t="shared" ca="1" si="135"/>
        <v>240603_14e</v>
      </c>
      <c r="CJ217" s="16" t="str">
        <f t="shared" ca="1" si="141"/>
        <v>240603</v>
      </c>
      <c r="CK217" s="16">
        <f t="shared" ca="1" si="136"/>
        <v>6</v>
      </c>
      <c r="CL217" s="16">
        <f t="shared" ca="1" si="137"/>
        <v>24</v>
      </c>
      <c r="CM217" s="16">
        <f t="shared" ca="1" si="138"/>
        <v>3</v>
      </c>
      <c r="CN217" s="16">
        <f t="shared" ca="1" si="139"/>
        <v>14</v>
      </c>
      <c r="CO217" s="16" t="str">
        <f t="shared" ca="1" si="140"/>
        <v>e</v>
      </c>
    </row>
    <row r="218" spans="79:93">
      <c r="CA218" s="16">
        <f t="shared" ca="1" si="128"/>
        <v>75</v>
      </c>
      <c r="CB218" s="16">
        <f t="shared" ca="1" si="129"/>
        <v>88</v>
      </c>
      <c r="CC218" s="16">
        <f t="shared" ca="1" si="130"/>
        <v>24</v>
      </c>
      <c r="CD218" s="16" t="str">
        <f t="shared" ca="1" si="131"/>
        <v>Intro!K</v>
      </c>
      <c r="CE218" s="16">
        <f t="shared" ca="1" si="132"/>
        <v>88</v>
      </c>
      <c r="CF218" s="16" t="str">
        <f t="shared" ca="1" si="133"/>
        <v>Intro!K88</v>
      </c>
      <c r="CH218" s="16" t="str">
        <f t="shared" ca="1" si="134"/>
        <v>Intro!K88:L112</v>
      </c>
      <c r="CI218" s="16" t="str">
        <f t="shared" ca="1" si="135"/>
        <v>240604_10e</v>
      </c>
      <c r="CJ218" s="16" t="str">
        <f t="shared" ca="1" si="141"/>
        <v>240604</v>
      </c>
      <c r="CK218" s="16">
        <f t="shared" ca="1" si="136"/>
        <v>6</v>
      </c>
      <c r="CL218" s="16">
        <f t="shared" ca="1" si="137"/>
        <v>24</v>
      </c>
      <c r="CM218" s="16">
        <f t="shared" ca="1" si="138"/>
        <v>4</v>
      </c>
      <c r="CN218" s="16">
        <f t="shared" ca="1" si="139"/>
        <v>10</v>
      </c>
      <c r="CO218" s="16" t="str">
        <f t="shared" ca="1" si="140"/>
        <v>e</v>
      </c>
    </row>
    <row r="219" spans="79:93">
      <c r="CA219" s="16">
        <f t="shared" ca="1" si="128"/>
        <v>75</v>
      </c>
      <c r="CB219" s="16">
        <f t="shared" ca="1" si="129"/>
        <v>89</v>
      </c>
      <c r="CC219" s="16">
        <f t="shared" ca="1" si="130"/>
        <v>23</v>
      </c>
      <c r="CD219" s="16" t="str">
        <f t="shared" ca="1" si="131"/>
        <v>Intro!K</v>
      </c>
      <c r="CE219" s="16">
        <f t="shared" ca="1" si="132"/>
        <v>89</v>
      </c>
      <c r="CF219" s="16" t="str">
        <f t="shared" ca="1" si="133"/>
        <v>Intro!K89</v>
      </c>
      <c r="CH219" s="16" t="str">
        <f t="shared" ca="1" si="134"/>
        <v>Intro!K89:L112</v>
      </c>
      <c r="CI219" s="16" t="str">
        <f t="shared" ca="1" si="135"/>
        <v>240605_10e</v>
      </c>
      <c r="CJ219" s="16" t="str">
        <f t="shared" ca="1" si="141"/>
        <v>240605</v>
      </c>
      <c r="CK219" s="16">
        <f t="shared" ca="1" si="136"/>
        <v>6</v>
      </c>
      <c r="CL219" s="16">
        <f t="shared" ca="1" si="137"/>
        <v>24</v>
      </c>
      <c r="CM219" s="16">
        <f t="shared" ca="1" si="138"/>
        <v>5</v>
      </c>
      <c r="CN219" s="16">
        <f t="shared" ca="1" si="139"/>
        <v>10</v>
      </c>
      <c r="CO219" s="16" t="str">
        <f t="shared" ca="1" si="140"/>
        <v>e</v>
      </c>
    </row>
    <row r="220" spans="79:93">
      <c r="CA220" s="16">
        <f t="shared" ca="1" si="128"/>
        <v>75</v>
      </c>
      <c r="CB220" s="16">
        <f t="shared" ca="1" si="129"/>
        <v>90</v>
      </c>
      <c r="CC220" s="16">
        <f t="shared" ca="1" si="130"/>
        <v>22</v>
      </c>
      <c r="CD220" s="16" t="str">
        <f t="shared" ca="1" si="131"/>
        <v>Intro!K</v>
      </c>
      <c r="CE220" s="16">
        <f t="shared" ca="1" si="132"/>
        <v>90</v>
      </c>
      <c r="CF220" s="16" t="str">
        <f t="shared" ca="1" si="133"/>
        <v>Intro!K90</v>
      </c>
      <c r="CH220" s="16" t="str">
        <f t="shared" ca="1" si="134"/>
        <v>Intro!K90:L112</v>
      </c>
      <c r="CI220" s="16" t="str">
        <f t="shared" ca="1" si="135"/>
        <v>240606_06e</v>
      </c>
      <c r="CJ220" s="16" t="str">
        <f t="shared" ca="1" si="141"/>
        <v>240606</v>
      </c>
      <c r="CK220" s="16">
        <f t="shared" ca="1" si="136"/>
        <v>6</v>
      </c>
      <c r="CL220" s="16">
        <f t="shared" ca="1" si="137"/>
        <v>24</v>
      </c>
      <c r="CM220" s="16">
        <f t="shared" ca="1" si="138"/>
        <v>6</v>
      </c>
      <c r="CN220" s="16">
        <f t="shared" ca="1" si="139"/>
        <v>6</v>
      </c>
      <c r="CO220" s="16" t="str">
        <f t="shared" ca="1" si="140"/>
        <v>e</v>
      </c>
    </row>
    <row r="221" spans="79:93">
      <c r="CA221" s="16">
        <f t="shared" ca="1" si="128"/>
        <v>75</v>
      </c>
      <c r="CB221" s="16">
        <f t="shared" ca="1" si="129"/>
        <v>91</v>
      </c>
      <c r="CC221" s="16">
        <f t="shared" ca="1" si="130"/>
        <v>21</v>
      </c>
      <c r="CD221" s="16" t="str">
        <f t="shared" ca="1" si="131"/>
        <v>Intro!K</v>
      </c>
      <c r="CE221" s="16">
        <f t="shared" ca="1" si="132"/>
        <v>91</v>
      </c>
      <c r="CF221" s="16" t="str">
        <f t="shared" ca="1" si="133"/>
        <v>Intro!K91</v>
      </c>
      <c r="CH221" s="16" t="str">
        <f t="shared" ca="1" si="134"/>
        <v>Intro!K91:L112</v>
      </c>
      <c r="CI221" s="16" t="str">
        <f t="shared" ca="1" si="135"/>
        <v>250601_24e</v>
      </c>
      <c r="CJ221" s="16" t="str">
        <f t="shared" ca="1" si="141"/>
        <v>250601</v>
      </c>
      <c r="CK221" s="16">
        <f t="shared" ca="1" si="136"/>
        <v>6</v>
      </c>
      <c r="CL221" s="16">
        <f t="shared" ca="1" si="137"/>
        <v>25</v>
      </c>
      <c r="CM221" s="16">
        <f t="shared" ca="1" si="138"/>
        <v>1</v>
      </c>
      <c r="CN221" s="16">
        <f t="shared" ca="1" si="139"/>
        <v>24</v>
      </c>
      <c r="CO221" s="16" t="str">
        <f t="shared" ca="1" si="140"/>
        <v>e</v>
      </c>
    </row>
    <row r="222" spans="79:93">
      <c r="CA222" s="16">
        <f t="shared" ca="1" si="128"/>
        <v>75</v>
      </c>
      <c r="CB222" s="16">
        <f t="shared" ca="1" si="129"/>
        <v>92</v>
      </c>
      <c r="CC222" s="16">
        <f t="shared" ca="1" si="130"/>
        <v>20</v>
      </c>
      <c r="CD222" s="16" t="str">
        <f t="shared" ca="1" si="131"/>
        <v>Intro!K</v>
      </c>
      <c r="CE222" s="16">
        <f t="shared" ca="1" si="132"/>
        <v>92</v>
      </c>
      <c r="CF222" s="16" t="str">
        <f t="shared" ca="1" si="133"/>
        <v>Intro!K92</v>
      </c>
      <c r="CH222" s="16" t="str">
        <f t="shared" ca="1" si="134"/>
        <v>Intro!K92:L112</v>
      </c>
      <c r="CI222" s="16" t="str">
        <f t="shared" ca="1" si="135"/>
        <v>250601_26e</v>
      </c>
      <c r="CJ222" s="16" t="str">
        <f t="shared" ca="1" si="141"/>
        <v>250601</v>
      </c>
      <c r="CK222" s="16">
        <f t="shared" ca="1" si="136"/>
        <v>6</v>
      </c>
      <c r="CL222" s="16">
        <f t="shared" ca="1" si="137"/>
        <v>25</v>
      </c>
      <c r="CM222" s="16">
        <f t="shared" ca="1" si="138"/>
        <v>1</v>
      </c>
      <c r="CN222" s="16">
        <f t="shared" ca="1" si="139"/>
        <v>26</v>
      </c>
      <c r="CO222" s="16" t="str">
        <f t="shared" ca="1" si="140"/>
        <v>e</v>
      </c>
    </row>
    <row r="223" spans="79:93">
      <c r="CA223" s="16">
        <f t="shared" ca="1" si="128"/>
        <v>75</v>
      </c>
      <c r="CB223" s="16">
        <f t="shared" ca="1" si="129"/>
        <v>93</v>
      </c>
      <c r="CC223" s="16">
        <f t="shared" ca="1" si="130"/>
        <v>19</v>
      </c>
      <c r="CD223" s="16" t="str">
        <f t="shared" ca="1" si="131"/>
        <v>Intro!K</v>
      </c>
      <c r="CE223" s="16">
        <f t="shared" ca="1" si="132"/>
        <v>93</v>
      </c>
      <c r="CF223" s="16" t="str">
        <f t="shared" ca="1" si="133"/>
        <v>Intro!K93</v>
      </c>
      <c r="CH223" s="16" t="str">
        <f t="shared" ca="1" si="134"/>
        <v>Intro!K93:L112</v>
      </c>
      <c r="CI223" s="16" t="str">
        <f t="shared" ca="1" si="135"/>
        <v>250602_25e</v>
      </c>
      <c r="CJ223" s="16" t="str">
        <f t="shared" ca="1" si="141"/>
        <v>250602</v>
      </c>
      <c r="CK223" s="16">
        <f t="shared" ca="1" si="136"/>
        <v>6</v>
      </c>
      <c r="CL223" s="16">
        <f t="shared" ca="1" si="137"/>
        <v>25</v>
      </c>
      <c r="CM223" s="16">
        <f t="shared" ca="1" si="138"/>
        <v>2</v>
      </c>
      <c r="CN223" s="16">
        <f t="shared" ca="1" si="139"/>
        <v>25</v>
      </c>
      <c r="CO223" s="16" t="str">
        <f t="shared" ca="1" si="140"/>
        <v>e</v>
      </c>
    </row>
    <row r="224" spans="79:93">
      <c r="CA224" s="16">
        <f t="shared" ca="1" si="128"/>
        <v>75</v>
      </c>
      <c r="CB224" s="16">
        <f t="shared" ca="1" si="129"/>
        <v>94</v>
      </c>
      <c r="CC224" s="16">
        <f t="shared" ca="1" si="130"/>
        <v>18</v>
      </c>
      <c r="CD224" s="16" t="str">
        <f t="shared" ca="1" si="131"/>
        <v>Intro!K</v>
      </c>
      <c r="CE224" s="16">
        <f t="shared" ca="1" si="132"/>
        <v>94</v>
      </c>
      <c r="CF224" s="16" t="str">
        <f t="shared" ca="1" si="133"/>
        <v>Intro!K94</v>
      </c>
      <c r="CH224" s="16" t="str">
        <f t="shared" ca="1" si="134"/>
        <v>Intro!K94:L112</v>
      </c>
      <c r="CI224" s="16" t="str">
        <f t="shared" ca="1" si="135"/>
        <v>250603_17e</v>
      </c>
      <c r="CJ224" s="16" t="str">
        <f t="shared" ca="1" si="141"/>
        <v>250603</v>
      </c>
      <c r="CK224" s="16">
        <f t="shared" ca="1" si="136"/>
        <v>6</v>
      </c>
      <c r="CL224" s="16">
        <f t="shared" ca="1" si="137"/>
        <v>25</v>
      </c>
      <c r="CM224" s="16">
        <f t="shared" ca="1" si="138"/>
        <v>3</v>
      </c>
      <c r="CN224" s="16">
        <f t="shared" ca="1" si="139"/>
        <v>17</v>
      </c>
      <c r="CO224" s="16" t="str">
        <f t="shared" ca="1" si="140"/>
        <v>e</v>
      </c>
    </row>
    <row r="225" spans="79:93">
      <c r="CA225" s="16">
        <f t="shared" ca="1" si="128"/>
        <v>75</v>
      </c>
      <c r="CB225" s="16">
        <f t="shared" ca="1" si="129"/>
        <v>95</v>
      </c>
      <c r="CC225" s="16">
        <f t="shared" ca="1" si="130"/>
        <v>17</v>
      </c>
      <c r="CD225" s="16" t="str">
        <f t="shared" ca="1" si="131"/>
        <v>Intro!K</v>
      </c>
      <c r="CE225" s="16">
        <f t="shared" ca="1" si="132"/>
        <v>95</v>
      </c>
      <c r="CF225" s="16" t="str">
        <f t="shared" ca="1" si="133"/>
        <v>Intro!K95</v>
      </c>
      <c r="CH225" s="16" t="str">
        <f t="shared" ca="1" si="134"/>
        <v>Intro!K95:L112</v>
      </c>
      <c r="CI225" s="16" t="str">
        <f t="shared" ca="1" si="135"/>
        <v>250604_13e</v>
      </c>
      <c r="CJ225" s="16" t="str">
        <f t="shared" ca="1" si="141"/>
        <v>250604</v>
      </c>
      <c r="CK225" s="16">
        <f t="shared" ca="1" si="136"/>
        <v>6</v>
      </c>
      <c r="CL225" s="16">
        <f t="shared" ca="1" si="137"/>
        <v>25</v>
      </c>
      <c r="CM225" s="16">
        <f t="shared" ca="1" si="138"/>
        <v>4</v>
      </c>
      <c r="CN225" s="16">
        <f t="shared" ca="1" si="139"/>
        <v>13</v>
      </c>
      <c r="CO225" s="16" t="str">
        <f t="shared" ca="1" si="140"/>
        <v>e</v>
      </c>
    </row>
    <row r="226" spans="79:93">
      <c r="CA226" s="16">
        <f t="shared" ca="1" si="128"/>
        <v>75</v>
      </c>
      <c r="CB226" s="16">
        <f t="shared" ca="1" si="129"/>
        <v>96</v>
      </c>
      <c r="CC226" s="16">
        <f t="shared" ca="1" si="130"/>
        <v>16</v>
      </c>
      <c r="CD226" s="16" t="str">
        <f t="shared" ca="1" si="131"/>
        <v>Intro!K</v>
      </c>
      <c r="CE226" s="16">
        <f t="shared" ca="1" si="132"/>
        <v>96</v>
      </c>
      <c r="CF226" s="16" t="str">
        <f t="shared" ca="1" si="133"/>
        <v>Intro!K96</v>
      </c>
      <c r="CH226" s="16" t="str">
        <f t="shared" ca="1" si="134"/>
        <v>Intro!K96:L112</v>
      </c>
      <c r="CI226" s="16" t="str">
        <f t="shared" ca="1" si="135"/>
        <v>250606_09e</v>
      </c>
      <c r="CJ226" s="16" t="str">
        <f t="shared" ca="1" si="141"/>
        <v>250606</v>
      </c>
      <c r="CK226" s="16">
        <f t="shared" ca="1" si="136"/>
        <v>6</v>
      </c>
      <c r="CL226" s="16">
        <f t="shared" ca="1" si="137"/>
        <v>25</v>
      </c>
      <c r="CM226" s="16">
        <f t="shared" ca="1" si="138"/>
        <v>6</v>
      </c>
      <c r="CN226" s="16">
        <f t="shared" ca="1" si="139"/>
        <v>9</v>
      </c>
      <c r="CO226" s="16" t="str">
        <f t="shared" ca="1" si="140"/>
        <v>e</v>
      </c>
    </row>
    <row r="227" spans="79:93">
      <c r="CA227" s="16">
        <f t="shared" ca="1" si="128"/>
        <v>75</v>
      </c>
      <c r="CB227" s="16">
        <f t="shared" ca="1" si="129"/>
        <v>97</v>
      </c>
      <c r="CC227" s="16">
        <f t="shared" ca="1" si="130"/>
        <v>15</v>
      </c>
      <c r="CD227" s="16" t="str">
        <f t="shared" ca="1" si="131"/>
        <v>Intro!K</v>
      </c>
      <c r="CE227" s="16">
        <f t="shared" ca="1" si="132"/>
        <v>97</v>
      </c>
      <c r="CF227" s="16" t="str">
        <f t="shared" ca="1" si="133"/>
        <v>Intro!K97</v>
      </c>
      <c r="CH227" s="16" t="str">
        <f t="shared" ca="1" si="134"/>
        <v>Intro!K97:L112</v>
      </c>
      <c r="CI227" s="16" t="str">
        <f t="shared" ca="1" si="135"/>
        <v>260602_26e</v>
      </c>
      <c r="CJ227" s="16" t="str">
        <f t="shared" ca="1" si="141"/>
        <v>260602</v>
      </c>
      <c r="CK227" s="16">
        <f t="shared" ca="1" si="136"/>
        <v>6</v>
      </c>
      <c r="CL227" s="16">
        <f t="shared" ca="1" si="137"/>
        <v>26</v>
      </c>
      <c r="CM227" s="16">
        <f t="shared" ca="1" si="138"/>
        <v>2</v>
      </c>
      <c r="CN227" s="16">
        <f t="shared" ca="1" si="139"/>
        <v>26</v>
      </c>
      <c r="CO227" s="16" t="str">
        <f t="shared" ca="1" si="140"/>
        <v>e</v>
      </c>
    </row>
    <row r="228" spans="79:93">
      <c r="CA228" s="16">
        <f t="shared" ca="1" si="128"/>
        <v>75</v>
      </c>
      <c r="CB228" s="16">
        <f t="shared" ca="1" si="129"/>
        <v>98</v>
      </c>
      <c r="CC228" s="16">
        <f t="shared" ca="1" si="130"/>
        <v>14</v>
      </c>
      <c r="CD228" s="16" t="str">
        <f t="shared" ca="1" si="131"/>
        <v>Intro!K</v>
      </c>
      <c r="CE228" s="16">
        <f t="shared" ca="1" si="132"/>
        <v>98</v>
      </c>
      <c r="CF228" s="16" t="str">
        <f t="shared" ca="1" si="133"/>
        <v>Intro!K98</v>
      </c>
      <c r="CH228" s="16" t="str">
        <f t="shared" ca="1" si="134"/>
        <v>Intro!K98:L112</v>
      </c>
      <c r="CI228" s="16" t="str">
        <f t="shared" ca="1" si="135"/>
        <v>260603_18e</v>
      </c>
      <c r="CJ228" s="16" t="str">
        <f t="shared" ca="1" si="141"/>
        <v>260603</v>
      </c>
      <c r="CK228" s="16">
        <f t="shared" ca="1" si="136"/>
        <v>6</v>
      </c>
      <c r="CL228" s="16">
        <f t="shared" ca="1" si="137"/>
        <v>26</v>
      </c>
      <c r="CM228" s="16">
        <f t="shared" ca="1" si="138"/>
        <v>3</v>
      </c>
      <c r="CN228" s="16">
        <f t="shared" ca="1" si="139"/>
        <v>18</v>
      </c>
      <c r="CO228" s="16" t="str">
        <f t="shared" ca="1" si="140"/>
        <v>e</v>
      </c>
    </row>
    <row r="229" spans="79:93">
      <c r="CA229" s="16">
        <f t="shared" ca="1" si="128"/>
        <v>75</v>
      </c>
      <c r="CB229" s="16">
        <f t="shared" ca="1" si="129"/>
        <v>99</v>
      </c>
      <c r="CC229" s="16">
        <f t="shared" ca="1" si="130"/>
        <v>13</v>
      </c>
      <c r="CD229" s="16" t="str">
        <f t="shared" ca="1" si="131"/>
        <v>Intro!K</v>
      </c>
      <c r="CE229" s="16">
        <f t="shared" ca="1" si="132"/>
        <v>99</v>
      </c>
      <c r="CF229" s="16" t="str">
        <f t="shared" ca="1" si="133"/>
        <v>Intro!K99</v>
      </c>
      <c r="CH229" s="16" t="str">
        <f t="shared" ca="1" si="134"/>
        <v>Intro!K99:L112</v>
      </c>
      <c r="CI229" s="16" t="str">
        <f t="shared" ca="1" si="135"/>
        <v>260604_13e</v>
      </c>
      <c r="CJ229" s="16" t="str">
        <f t="shared" ca="1" si="141"/>
        <v>260604</v>
      </c>
      <c r="CK229" s="16">
        <f t="shared" ca="1" si="136"/>
        <v>6</v>
      </c>
      <c r="CL229" s="16">
        <f t="shared" ca="1" si="137"/>
        <v>26</v>
      </c>
      <c r="CM229" s="16">
        <f t="shared" ca="1" si="138"/>
        <v>4</v>
      </c>
      <c r="CN229" s="16">
        <f t="shared" ca="1" si="139"/>
        <v>13</v>
      </c>
      <c r="CO229" s="16" t="str">
        <f t="shared" ca="1" si="140"/>
        <v>e</v>
      </c>
    </row>
    <row r="230" spans="79:93">
      <c r="CA230" s="16">
        <f t="shared" ca="1" si="128"/>
        <v>75</v>
      </c>
      <c r="CB230" s="16">
        <f t="shared" ca="1" si="129"/>
        <v>100</v>
      </c>
      <c r="CC230" s="16">
        <f t="shared" ca="1" si="130"/>
        <v>12</v>
      </c>
      <c r="CD230" s="16" t="str">
        <f t="shared" ca="1" si="131"/>
        <v>Intro!K</v>
      </c>
      <c r="CE230" s="16">
        <f t="shared" ca="1" si="132"/>
        <v>100</v>
      </c>
      <c r="CF230" s="16" t="str">
        <f t="shared" ca="1" si="133"/>
        <v>Intro!K100</v>
      </c>
      <c r="CH230" s="16" t="str">
        <f t="shared" ca="1" si="134"/>
        <v>Intro!K100:L112</v>
      </c>
      <c r="CI230" s="16" t="str">
        <f t="shared" ca="1" si="135"/>
        <v>260605_10e</v>
      </c>
      <c r="CJ230" s="16" t="str">
        <f t="shared" ca="1" si="141"/>
        <v>260605</v>
      </c>
      <c r="CK230" s="16">
        <f t="shared" ca="1" si="136"/>
        <v>6</v>
      </c>
      <c r="CL230" s="16">
        <f t="shared" ca="1" si="137"/>
        <v>26</v>
      </c>
      <c r="CM230" s="16">
        <f t="shared" ca="1" si="138"/>
        <v>5</v>
      </c>
      <c r="CN230" s="16">
        <f t="shared" ca="1" si="139"/>
        <v>10</v>
      </c>
      <c r="CO230" s="16" t="str">
        <f t="shared" ca="1" si="140"/>
        <v>e</v>
      </c>
    </row>
    <row r="231" spans="79:93">
      <c r="CA231" s="16">
        <f t="shared" ca="1" si="128"/>
        <v>75</v>
      </c>
      <c r="CB231" s="16">
        <f t="shared" ca="1" si="129"/>
        <v>101</v>
      </c>
      <c r="CC231" s="16">
        <f t="shared" ca="1" si="130"/>
        <v>11</v>
      </c>
      <c r="CD231" s="16" t="str">
        <f t="shared" ca="1" si="131"/>
        <v>Intro!K</v>
      </c>
      <c r="CE231" s="16">
        <f t="shared" ca="1" si="132"/>
        <v>101</v>
      </c>
      <c r="CF231" s="16" t="str">
        <f t="shared" ca="1" si="133"/>
        <v>Intro!K101</v>
      </c>
      <c r="CH231" s="16" t="str">
        <f t="shared" ca="1" si="134"/>
        <v>Intro!K101:L112</v>
      </c>
      <c r="CI231" s="16" t="str">
        <f t="shared" ca="1" si="135"/>
        <v>260605_11e</v>
      </c>
      <c r="CJ231" s="16" t="str">
        <f t="shared" ca="1" si="141"/>
        <v>260605</v>
      </c>
      <c r="CK231" s="16">
        <f t="shared" ca="1" si="136"/>
        <v>6</v>
      </c>
      <c r="CL231" s="16">
        <f t="shared" ca="1" si="137"/>
        <v>26</v>
      </c>
      <c r="CM231" s="16">
        <f t="shared" ca="1" si="138"/>
        <v>5</v>
      </c>
      <c r="CN231" s="16">
        <f t="shared" ca="1" si="139"/>
        <v>11</v>
      </c>
      <c r="CO231" s="16" t="str">
        <f t="shared" ca="1" si="140"/>
        <v>e</v>
      </c>
    </row>
    <row r="232" spans="79:93">
      <c r="CA232" s="16">
        <f t="shared" ca="1" si="128"/>
        <v>75</v>
      </c>
      <c r="CB232" s="16">
        <f t="shared" ca="1" si="129"/>
        <v>102</v>
      </c>
      <c r="CC232" s="16">
        <f t="shared" ca="1" si="130"/>
        <v>10</v>
      </c>
      <c r="CD232" s="16" t="str">
        <f t="shared" ca="1" si="131"/>
        <v>Intro!K</v>
      </c>
      <c r="CE232" s="16">
        <f t="shared" ca="1" si="132"/>
        <v>102</v>
      </c>
      <c r="CF232" s="16" t="str">
        <f t="shared" ca="1" si="133"/>
        <v>Intro!K102</v>
      </c>
      <c r="CH232" s="16" t="str">
        <f t="shared" ca="1" si="134"/>
        <v>Intro!K102:L112</v>
      </c>
      <c r="CI232" s="16" t="str">
        <f t="shared" ca="1" si="135"/>
        <v>260606_09e</v>
      </c>
      <c r="CJ232" s="16" t="str">
        <f t="shared" ca="1" si="141"/>
        <v>260606</v>
      </c>
      <c r="CK232" s="16">
        <f t="shared" ca="1" si="136"/>
        <v>6</v>
      </c>
      <c r="CL232" s="16">
        <f t="shared" ca="1" si="137"/>
        <v>26</v>
      </c>
      <c r="CM232" s="16">
        <f t="shared" ca="1" si="138"/>
        <v>6</v>
      </c>
      <c r="CN232" s="16">
        <f t="shared" ca="1" si="139"/>
        <v>9</v>
      </c>
      <c r="CO232" s="16" t="str">
        <f t="shared" ca="1" si="140"/>
        <v>e</v>
      </c>
    </row>
    <row r="233" spans="79:93">
      <c r="CA233" s="16">
        <f t="shared" ca="1" si="128"/>
        <v>75</v>
      </c>
      <c r="CB233" s="16">
        <f t="shared" ca="1" si="129"/>
        <v>103</v>
      </c>
      <c r="CC233" s="16">
        <f t="shared" ca="1" si="130"/>
        <v>9</v>
      </c>
      <c r="CD233" s="16" t="str">
        <f t="shared" ca="1" si="131"/>
        <v>Intro!K</v>
      </c>
      <c r="CE233" s="16">
        <f t="shared" ca="1" si="132"/>
        <v>103</v>
      </c>
      <c r="CF233" s="16" t="str">
        <f t="shared" ca="1" si="133"/>
        <v>Intro!K103</v>
      </c>
      <c r="CH233" s="16" t="str">
        <f t="shared" ca="1" si="134"/>
        <v>Intro!K103:L112</v>
      </c>
      <c r="CI233" s="16" t="str">
        <f t="shared" ca="1" si="135"/>
        <v>270603_18e</v>
      </c>
      <c r="CJ233" s="16" t="str">
        <f t="shared" ca="1" si="141"/>
        <v>270603</v>
      </c>
      <c r="CK233" s="16">
        <f t="shared" ca="1" si="136"/>
        <v>6</v>
      </c>
      <c r="CL233" s="16">
        <f t="shared" ca="1" si="137"/>
        <v>27</v>
      </c>
      <c r="CM233" s="16">
        <f t="shared" ca="1" si="138"/>
        <v>3</v>
      </c>
      <c r="CN233" s="16">
        <f t="shared" ca="1" si="139"/>
        <v>18</v>
      </c>
      <c r="CO233" s="16" t="str">
        <f t="shared" ca="1" si="140"/>
        <v>e</v>
      </c>
    </row>
    <row r="234" spans="79:93">
      <c r="CA234" s="16">
        <f t="shared" ca="1" si="128"/>
        <v>75</v>
      </c>
      <c r="CB234" s="16">
        <f t="shared" ca="1" si="129"/>
        <v>104</v>
      </c>
      <c r="CC234" s="16">
        <f t="shared" ca="1" si="130"/>
        <v>8</v>
      </c>
      <c r="CD234" s="16" t="str">
        <f t="shared" ca="1" si="131"/>
        <v>Intro!K</v>
      </c>
      <c r="CE234" s="16">
        <f t="shared" ca="1" si="132"/>
        <v>104</v>
      </c>
      <c r="CF234" s="16" t="str">
        <f t="shared" ca="1" si="133"/>
        <v>Intro!K104</v>
      </c>
      <c r="CH234" s="16" t="str">
        <f t="shared" ca="1" si="134"/>
        <v>Intro!K104:L112</v>
      </c>
      <c r="CI234" s="16" t="str">
        <f t="shared" ca="1" si="135"/>
        <v>270604_14e</v>
      </c>
      <c r="CJ234" s="16" t="str">
        <f t="shared" ca="1" si="141"/>
        <v>270604</v>
      </c>
      <c r="CK234" s="16">
        <f t="shared" ca="1" si="136"/>
        <v>6</v>
      </c>
      <c r="CL234" s="16">
        <f t="shared" ca="1" si="137"/>
        <v>27</v>
      </c>
      <c r="CM234" s="16">
        <f t="shared" ca="1" si="138"/>
        <v>4</v>
      </c>
      <c r="CN234" s="16">
        <f t="shared" ca="1" si="139"/>
        <v>14</v>
      </c>
      <c r="CO234" s="16" t="str">
        <f t="shared" ca="1" si="140"/>
        <v>e</v>
      </c>
    </row>
    <row r="235" spans="79:93">
      <c r="CA235" s="16">
        <f t="shared" ca="1" si="128"/>
        <v>75</v>
      </c>
      <c r="CB235" s="16">
        <f t="shared" ca="1" si="129"/>
        <v>105</v>
      </c>
      <c r="CC235" s="16">
        <f t="shared" ca="1" si="130"/>
        <v>7</v>
      </c>
      <c r="CD235" s="16" t="str">
        <f t="shared" ca="1" si="131"/>
        <v>Intro!K</v>
      </c>
      <c r="CE235" s="16">
        <f t="shared" ca="1" si="132"/>
        <v>105</v>
      </c>
      <c r="CF235" s="16" t="str">
        <f t="shared" ca="1" si="133"/>
        <v>Intro!K105</v>
      </c>
      <c r="CH235" s="16" t="str">
        <f t="shared" ca="1" si="134"/>
        <v>Intro!K105:L112</v>
      </c>
      <c r="CI235" s="16" t="str">
        <f t="shared" ca="1" si="135"/>
        <v>270605_10e</v>
      </c>
      <c r="CJ235" s="16" t="str">
        <f t="shared" ca="1" si="141"/>
        <v>270605</v>
      </c>
      <c r="CK235" s="16">
        <f t="shared" ca="1" si="136"/>
        <v>6</v>
      </c>
      <c r="CL235" s="16">
        <f t="shared" ca="1" si="137"/>
        <v>27</v>
      </c>
      <c r="CM235" s="16">
        <f t="shared" ca="1" si="138"/>
        <v>5</v>
      </c>
      <c r="CN235" s="16">
        <f t="shared" ca="1" si="139"/>
        <v>10</v>
      </c>
      <c r="CO235" s="16" t="str">
        <f t="shared" ca="1" si="140"/>
        <v>e</v>
      </c>
    </row>
    <row r="236" spans="79:93">
      <c r="CA236" s="16">
        <f t="shared" ref="CA236:CA299" ca="1" si="142">IF(CC235-1=0,CA235+2,CA235)</f>
        <v>75</v>
      </c>
      <c r="CB236" s="16">
        <f t="shared" ref="CB236:CB299" ca="1" si="143">IF(CC235-1=0,CB$1,CB235+1)</f>
        <v>106</v>
      </c>
      <c r="CC236" s="16">
        <f t="shared" ref="CC236:CC299" ca="1" si="144">INDIRECT(CF236)</f>
        <v>6</v>
      </c>
      <c r="CD236" s="16" t="str">
        <f t="shared" ref="CD236:CD299" ca="1" si="145">CONCATENATE("Intro!",CHAR(CA236))</f>
        <v>Intro!K</v>
      </c>
      <c r="CE236" s="16">
        <f t="shared" ref="CE236:CE299" ca="1" si="146">CB236</f>
        <v>106</v>
      </c>
      <c r="CF236" s="16" t="str">
        <f t="shared" ref="CF236:CF299" ca="1" si="147">CONCATENATE(CD236,CE236)</f>
        <v>Intro!K106</v>
      </c>
      <c r="CH236" s="16" t="str">
        <f t="shared" ref="CH236:CH299" ca="1" si="148">CONCATENATE(CF236,":",CHAR(CA236+1),(CB236+CC236))</f>
        <v>Intro!K106:L112</v>
      </c>
      <c r="CI236" s="16" t="str">
        <f t="shared" ref="CI236:CI299" ca="1" si="149">VLOOKUP(CC236,INDIRECT(CH236),2,FALSE)</f>
        <v>270606_09e</v>
      </c>
      <c r="CJ236" s="16" t="str">
        <f t="shared" ca="1" si="141"/>
        <v>270606</v>
      </c>
      <c r="CK236" s="16">
        <f t="shared" ref="CK236:CK299" ca="1" si="150">VALUE(MID(CI236,3,2))</f>
        <v>6</v>
      </c>
      <c r="CL236" s="16">
        <f t="shared" ref="CL236:CL299" ca="1" si="151">VALUE(MID(CI236,1,2))</f>
        <v>27</v>
      </c>
      <c r="CM236" s="16">
        <f t="shared" ref="CM236:CM299" ca="1" si="152">VALUE(MID(CI236,5,2))</f>
        <v>6</v>
      </c>
      <c r="CN236" s="16">
        <f t="shared" ref="CN236:CN299" ca="1" si="153">VALUE(MID(CI236,8,2))</f>
        <v>9</v>
      </c>
      <c r="CO236" s="16" t="str">
        <f t="shared" ref="CO236:CO299" ca="1" si="154">RIGHT(CI236,1)</f>
        <v>e</v>
      </c>
    </row>
    <row r="237" spans="79:93">
      <c r="CA237" s="16">
        <f t="shared" ca="1" si="142"/>
        <v>75</v>
      </c>
      <c r="CB237" s="16">
        <f t="shared" ca="1" si="143"/>
        <v>107</v>
      </c>
      <c r="CC237" s="16">
        <f t="shared" ca="1" si="144"/>
        <v>5</v>
      </c>
      <c r="CD237" s="16" t="str">
        <f t="shared" ca="1" si="145"/>
        <v>Intro!K</v>
      </c>
      <c r="CE237" s="16">
        <f t="shared" ca="1" si="146"/>
        <v>107</v>
      </c>
      <c r="CF237" s="16" t="str">
        <f t="shared" ca="1" si="147"/>
        <v>Intro!K107</v>
      </c>
      <c r="CH237" s="16" t="str">
        <f t="shared" ca="1" si="148"/>
        <v>Intro!K107:L112</v>
      </c>
      <c r="CI237" s="16" t="str">
        <f t="shared" ca="1" si="149"/>
        <v>280604_14e</v>
      </c>
      <c r="CJ237" s="16" t="str">
        <f t="shared" ca="1" si="141"/>
        <v>280604</v>
      </c>
      <c r="CK237" s="16">
        <f t="shared" ca="1" si="150"/>
        <v>6</v>
      </c>
      <c r="CL237" s="16">
        <f t="shared" ca="1" si="151"/>
        <v>28</v>
      </c>
      <c r="CM237" s="16">
        <f t="shared" ca="1" si="152"/>
        <v>4</v>
      </c>
      <c r="CN237" s="16">
        <f t="shared" ca="1" si="153"/>
        <v>14</v>
      </c>
      <c r="CO237" s="16" t="str">
        <f t="shared" ca="1" si="154"/>
        <v>e</v>
      </c>
    </row>
    <row r="238" spans="79:93">
      <c r="CA238" s="16">
        <f t="shared" ca="1" si="142"/>
        <v>75</v>
      </c>
      <c r="CB238" s="16">
        <f t="shared" ca="1" si="143"/>
        <v>108</v>
      </c>
      <c r="CC238" s="16">
        <f t="shared" ca="1" si="144"/>
        <v>4</v>
      </c>
      <c r="CD238" s="16" t="str">
        <f t="shared" ca="1" si="145"/>
        <v>Intro!K</v>
      </c>
      <c r="CE238" s="16">
        <f t="shared" ca="1" si="146"/>
        <v>108</v>
      </c>
      <c r="CF238" s="16" t="str">
        <f t="shared" ca="1" si="147"/>
        <v>Intro!K108</v>
      </c>
      <c r="CH238" s="16" t="str">
        <f t="shared" ca="1" si="148"/>
        <v>Intro!K108:L112</v>
      </c>
      <c r="CI238" s="16" t="str">
        <f t="shared" ca="1" si="149"/>
        <v>280606_10e</v>
      </c>
      <c r="CJ238" s="16" t="str">
        <f t="shared" ca="1" si="141"/>
        <v>280606</v>
      </c>
      <c r="CK238" s="16">
        <f t="shared" ca="1" si="150"/>
        <v>6</v>
      </c>
      <c r="CL238" s="16">
        <f t="shared" ca="1" si="151"/>
        <v>28</v>
      </c>
      <c r="CM238" s="16">
        <f t="shared" ca="1" si="152"/>
        <v>6</v>
      </c>
      <c r="CN238" s="16">
        <f t="shared" ca="1" si="153"/>
        <v>10</v>
      </c>
      <c r="CO238" s="16" t="str">
        <f t="shared" ca="1" si="154"/>
        <v>e</v>
      </c>
    </row>
    <row r="239" spans="79:93">
      <c r="CA239" s="16">
        <f t="shared" ca="1" si="142"/>
        <v>75</v>
      </c>
      <c r="CB239" s="16">
        <f t="shared" ca="1" si="143"/>
        <v>109</v>
      </c>
      <c r="CC239" s="16">
        <f t="shared" ca="1" si="144"/>
        <v>3</v>
      </c>
      <c r="CD239" s="16" t="str">
        <f t="shared" ca="1" si="145"/>
        <v>Intro!K</v>
      </c>
      <c r="CE239" s="16">
        <f t="shared" ca="1" si="146"/>
        <v>109</v>
      </c>
      <c r="CF239" s="16" t="str">
        <f t="shared" ca="1" si="147"/>
        <v>Intro!K109</v>
      </c>
      <c r="CH239" s="16" t="str">
        <f t="shared" ca="1" si="148"/>
        <v>Intro!K109:L112</v>
      </c>
      <c r="CI239" s="16" t="str">
        <f t="shared" ca="1" si="149"/>
        <v>290606_10e</v>
      </c>
      <c r="CJ239" s="16" t="str">
        <f t="shared" ca="1" si="141"/>
        <v>290606</v>
      </c>
      <c r="CK239" s="16">
        <f t="shared" ca="1" si="150"/>
        <v>6</v>
      </c>
      <c r="CL239" s="16">
        <f t="shared" ca="1" si="151"/>
        <v>29</v>
      </c>
      <c r="CM239" s="16">
        <f t="shared" ca="1" si="152"/>
        <v>6</v>
      </c>
      <c r="CN239" s="16">
        <f t="shared" ca="1" si="153"/>
        <v>10</v>
      </c>
      <c r="CO239" s="16" t="str">
        <f t="shared" ca="1" si="154"/>
        <v>e</v>
      </c>
    </row>
    <row r="240" spans="79:93">
      <c r="CA240" s="16">
        <f t="shared" ca="1" si="142"/>
        <v>75</v>
      </c>
      <c r="CB240" s="16">
        <f t="shared" ca="1" si="143"/>
        <v>110</v>
      </c>
      <c r="CC240" s="16">
        <f t="shared" ca="1" si="144"/>
        <v>2</v>
      </c>
      <c r="CD240" s="16" t="str">
        <f t="shared" ca="1" si="145"/>
        <v>Intro!K</v>
      </c>
      <c r="CE240" s="16">
        <f t="shared" ca="1" si="146"/>
        <v>110</v>
      </c>
      <c r="CF240" s="16" t="str">
        <f t="shared" ca="1" si="147"/>
        <v>Intro!K110</v>
      </c>
      <c r="CH240" s="16" t="str">
        <f t="shared" ca="1" si="148"/>
        <v>Intro!K110:L112</v>
      </c>
      <c r="CI240" s="16" t="str">
        <f t="shared" ca="1" si="149"/>
        <v>300606_10e</v>
      </c>
      <c r="CJ240" s="16" t="str">
        <f t="shared" ca="1" si="141"/>
        <v>300606</v>
      </c>
      <c r="CK240" s="16">
        <f t="shared" ca="1" si="150"/>
        <v>6</v>
      </c>
      <c r="CL240" s="16">
        <f t="shared" ca="1" si="151"/>
        <v>30</v>
      </c>
      <c r="CM240" s="16">
        <f t="shared" ca="1" si="152"/>
        <v>6</v>
      </c>
      <c r="CN240" s="16">
        <f t="shared" ca="1" si="153"/>
        <v>10</v>
      </c>
      <c r="CO240" s="16" t="str">
        <f t="shared" ca="1" si="154"/>
        <v>e</v>
      </c>
    </row>
    <row r="241" spans="79:93">
      <c r="CA241" s="16">
        <f t="shared" ca="1" si="142"/>
        <v>75</v>
      </c>
      <c r="CB241" s="16">
        <f t="shared" ca="1" si="143"/>
        <v>111</v>
      </c>
      <c r="CC241" s="16">
        <f t="shared" ca="1" si="144"/>
        <v>1</v>
      </c>
      <c r="CD241" s="16" t="str">
        <f t="shared" ca="1" si="145"/>
        <v>Intro!K</v>
      </c>
      <c r="CE241" s="16">
        <f t="shared" ca="1" si="146"/>
        <v>111</v>
      </c>
      <c r="CF241" s="16" t="str">
        <f t="shared" ca="1" si="147"/>
        <v>Intro!K111</v>
      </c>
      <c r="CH241" s="16" t="str">
        <f t="shared" ca="1" si="148"/>
        <v>Intro!K111:L112</v>
      </c>
      <c r="CI241" s="16" t="str">
        <f t="shared" ca="1" si="149"/>
        <v>320604_19c</v>
      </c>
      <c r="CJ241" s="16" t="str">
        <f t="shared" ca="1" si="141"/>
        <v>320604</v>
      </c>
      <c r="CK241" s="16">
        <f t="shared" ca="1" si="150"/>
        <v>6</v>
      </c>
      <c r="CL241" s="16">
        <f t="shared" ca="1" si="151"/>
        <v>32</v>
      </c>
      <c r="CM241" s="16">
        <f t="shared" ca="1" si="152"/>
        <v>4</v>
      </c>
      <c r="CN241" s="16">
        <f t="shared" ca="1" si="153"/>
        <v>19</v>
      </c>
      <c r="CO241" s="16" t="str">
        <f t="shared" ca="1" si="154"/>
        <v>c</v>
      </c>
    </row>
    <row r="242" spans="79:93">
      <c r="CA242" s="16">
        <f t="shared" ca="1" si="142"/>
        <v>77</v>
      </c>
      <c r="CB242" s="16">
        <f t="shared" ca="1" si="143"/>
        <v>51</v>
      </c>
      <c r="CC242" s="16">
        <f t="shared" ca="1" si="144"/>
        <v>28</v>
      </c>
      <c r="CD242" s="16" t="str">
        <f t="shared" ca="1" si="145"/>
        <v>Intro!M</v>
      </c>
      <c r="CE242" s="16">
        <f t="shared" ca="1" si="146"/>
        <v>51</v>
      </c>
      <c r="CF242" s="16" t="str">
        <f t="shared" ca="1" si="147"/>
        <v>Intro!M51</v>
      </c>
      <c r="CH242" s="16" t="str">
        <f t="shared" ca="1" si="148"/>
        <v>Intro!M51:N79</v>
      </c>
      <c r="CI242" s="16" t="str">
        <f t="shared" ca="1" si="149"/>
        <v>140701_13s</v>
      </c>
      <c r="CJ242" s="16" t="str">
        <f t="shared" ca="1" si="141"/>
        <v>140701</v>
      </c>
      <c r="CK242" s="16">
        <f t="shared" ca="1" si="150"/>
        <v>7</v>
      </c>
      <c r="CL242" s="16">
        <f t="shared" ca="1" si="151"/>
        <v>14</v>
      </c>
      <c r="CM242" s="16">
        <f t="shared" ca="1" si="152"/>
        <v>1</v>
      </c>
      <c r="CN242" s="16">
        <f t="shared" ca="1" si="153"/>
        <v>13</v>
      </c>
      <c r="CO242" s="16" t="str">
        <f t="shared" ca="1" si="154"/>
        <v>s</v>
      </c>
    </row>
    <row r="243" spans="79:93">
      <c r="CA243" s="16">
        <f t="shared" ca="1" si="142"/>
        <v>77</v>
      </c>
      <c r="CB243" s="16">
        <f t="shared" ca="1" si="143"/>
        <v>52</v>
      </c>
      <c r="CC243" s="16">
        <f t="shared" ca="1" si="144"/>
        <v>27</v>
      </c>
      <c r="CD243" s="16" t="str">
        <f t="shared" ca="1" si="145"/>
        <v>Intro!M</v>
      </c>
      <c r="CE243" s="16">
        <f t="shared" ca="1" si="146"/>
        <v>52</v>
      </c>
      <c r="CF243" s="16" t="str">
        <f t="shared" ca="1" si="147"/>
        <v>Intro!M52</v>
      </c>
      <c r="CH243" s="16" t="str">
        <f t="shared" ca="1" si="148"/>
        <v>Intro!M52:N79</v>
      </c>
      <c r="CI243" s="16" t="str">
        <f t="shared" ca="1" si="149"/>
        <v>140702_07s</v>
      </c>
      <c r="CJ243" s="16" t="str">
        <f t="shared" ca="1" si="141"/>
        <v>140702</v>
      </c>
      <c r="CK243" s="16">
        <f t="shared" ca="1" si="150"/>
        <v>7</v>
      </c>
      <c r="CL243" s="16">
        <f t="shared" ca="1" si="151"/>
        <v>14</v>
      </c>
      <c r="CM243" s="16">
        <f t="shared" ca="1" si="152"/>
        <v>2</v>
      </c>
      <c r="CN243" s="16">
        <f t="shared" ca="1" si="153"/>
        <v>7</v>
      </c>
      <c r="CO243" s="16" t="str">
        <f t="shared" ca="1" si="154"/>
        <v>s</v>
      </c>
    </row>
    <row r="244" spans="79:93">
      <c r="CA244" s="16">
        <f t="shared" ca="1" si="142"/>
        <v>77</v>
      </c>
      <c r="CB244" s="16">
        <f t="shared" ca="1" si="143"/>
        <v>53</v>
      </c>
      <c r="CC244" s="16">
        <f t="shared" ca="1" si="144"/>
        <v>26</v>
      </c>
      <c r="CD244" s="16" t="str">
        <f t="shared" ca="1" si="145"/>
        <v>Intro!M</v>
      </c>
      <c r="CE244" s="16">
        <f t="shared" ca="1" si="146"/>
        <v>53</v>
      </c>
      <c r="CF244" s="16" t="str">
        <f t="shared" ca="1" si="147"/>
        <v>Intro!M53</v>
      </c>
      <c r="CH244" s="16" t="str">
        <f t="shared" ca="1" si="148"/>
        <v>Intro!M53:N79</v>
      </c>
      <c r="CI244" s="16" t="str">
        <f t="shared" ca="1" si="149"/>
        <v>140703_05s</v>
      </c>
      <c r="CJ244" s="16" t="str">
        <f t="shared" ca="1" si="141"/>
        <v>140703</v>
      </c>
      <c r="CK244" s="16">
        <f t="shared" ca="1" si="150"/>
        <v>7</v>
      </c>
      <c r="CL244" s="16">
        <f t="shared" ca="1" si="151"/>
        <v>14</v>
      </c>
      <c r="CM244" s="16">
        <f t="shared" ca="1" si="152"/>
        <v>3</v>
      </c>
      <c r="CN244" s="16">
        <f t="shared" ca="1" si="153"/>
        <v>5</v>
      </c>
      <c r="CO244" s="16" t="str">
        <f t="shared" ca="1" si="154"/>
        <v>s</v>
      </c>
    </row>
    <row r="245" spans="79:93">
      <c r="CA245" s="16">
        <f t="shared" ca="1" si="142"/>
        <v>77</v>
      </c>
      <c r="CB245" s="16">
        <f t="shared" ca="1" si="143"/>
        <v>54</v>
      </c>
      <c r="CC245" s="16">
        <f t="shared" ca="1" si="144"/>
        <v>25</v>
      </c>
      <c r="CD245" s="16" t="str">
        <f t="shared" ca="1" si="145"/>
        <v>Intro!M</v>
      </c>
      <c r="CE245" s="16">
        <f t="shared" ca="1" si="146"/>
        <v>54</v>
      </c>
      <c r="CF245" s="16" t="str">
        <f t="shared" ca="1" si="147"/>
        <v>Intro!M54</v>
      </c>
      <c r="CH245" s="16" t="str">
        <f t="shared" ca="1" si="148"/>
        <v>Intro!M54:N79</v>
      </c>
      <c r="CI245" s="16" t="str">
        <f t="shared" ca="1" si="149"/>
        <v>150701_15s</v>
      </c>
      <c r="CJ245" s="16" t="str">
        <f t="shared" ca="1" si="141"/>
        <v>150701</v>
      </c>
      <c r="CK245" s="16">
        <f t="shared" ca="1" si="150"/>
        <v>7</v>
      </c>
      <c r="CL245" s="16">
        <f t="shared" ca="1" si="151"/>
        <v>15</v>
      </c>
      <c r="CM245" s="16">
        <f t="shared" ca="1" si="152"/>
        <v>1</v>
      </c>
      <c r="CN245" s="16">
        <f t="shared" ca="1" si="153"/>
        <v>15</v>
      </c>
      <c r="CO245" s="16" t="str">
        <f t="shared" ca="1" si="154"/>
        <v>s</v>
      </c>
    </row>
    <row r="246" spans="79:93">
      <c r="CA246" s="16">
        <f t="shared" ca="1" si="142"/>
        <v>77</v>
      </c>
      <c r="CB246" s="16">
        <f t="shared" ca="1" si="143"/>
        <v>55</v>
      </c>
      <c r="CC246" s="16">
        <f t="shared" ca="1" si="144"/>
        <v>24</v>
      </c>
      <c r="CD246" s="16" t="str">
        <f t="shared" ca="1" si="145"/>
        <v>Intro!M</v>
      </c>
      <c r="CE246" s="16">
        <f t="shared" ca="1" si="146"/>
        <v>55</v>
      </c>
      <c r="CF246" s="16" t="str">
        <f t="shared" ca="1" si="147"/>
        <v>Intro!M55</v>
      </c>
      <c r="CH246" s="16" t="str">
        <f t="shared" ca="1" si="148"/>
        <v>Intro!M55:N79</v>
      </c>
      <c r="CI246" s="16" t="str">
        <f t="shared" ca="1" si="149"/>
        <v>150702_07s</v>
      </c>
      <c r="CJ246" s="16" t="str">
        <f t="shared" ca="1" si="141"/>
        <v>150702</v>
      </c>
      <c r="CK246" s="16">
        <f t="shared" ca="1" si="150"/>
        <v>7</v>
      </c>
      <c r="CL246" s="16">
        <f t="shared" ca="1" si="151"/>
        <v>15</v>
      </c>
      <c r="CM246" s="16">
        <f t="shared" ca="1" si="152"/>
        <v>2</v>
      </c>
      <c r="CN246" s="16">
        <f t="shared" ca="1" si="153"/>
        <v>7</v>
      </c>
      <c r="CO246" s="16" t="str">
        <f t="shared" ca="1" si="154"/>
        <v>s</v>
      </c>
    </row>
    <row r="247" spans="79:93">
      <c r="CA247" s="16">
        <f t="shared" ca="1" si="142"/>
        <v>77</v>
      </c>
      <c r="CB247" s="16">
        <f t="shared" ca="1" si="143"/>
        <v>56</v>
      </c>
      <c r="CC247" s="16">
        <f t="shared" ca="1" si="144"/>
        <v>23</v>
      </c>
      <c r="CD247" s="16" t="str">
        <f t="shared" ca="1" si="145"/>
        <v>Intro!M</v>
      </c>
      <c r="CE247" s="16">
        <f t="shared" ca="1" si="146"/>
        <v>56</v>
      </c>
      <c r="CF247" s="16" t="str">
        <f t="shared" ca="1" si="147"/>
        <v>Intro!M56</v>
      </c>
      <c r="CH247" s="16" t="str">
        <f t="shared" ca="1" si="148"/>
        <v>Intro!M56:N79</v>
      </c>
      <c r="CI247" s="16" t="str">
        <f t="shared" ca="1" si="149"/>
        <v>160703_05s</v>
      </c>
      <c r="CJ247" s="16" t="str">
        <f t="shared" ca="1" si="141"/>
        <v>160703</v>
      </c>
      <c r="CK247" s="16">
        <f t="shared" ca="1" si="150"/>
        <v>7</v>
      </c>
      <c r="CL247" s="16">
        <f t="shared" ca="1" si="151"/>
        <v>16</v>
      </c>
      <c r="CM247" s="16">
        <f t="shared" ca="1" si="152"/>
        <v>3</v>
      </c>
      <c r="CN247" s="16">
        <f t="shared" ca="1" si="153"/>
        <v>5</v>
      </c>
      <c r="CO247" s="16" t="str">
        <f t="shared" ca="1" si="154"/>
        <v>s</v>
      </c>
    </row>
    <row r="248" spans="79:93">
      <c r="CA248" s="16">
        <f t="shared" ca="1" si="142"/>
        <v>77</v>
      </c>
      <c r="CB248" s="16">
        <f t="shared" ca="1" si="143"/>
        <v>57</v>
      </c>
      <c r="CC248" s="16">
        <f t="shared" ca="1" si="144"/>
        <v>22</v>
      </c>
      <c r="CD248" s="16" t="str">
        <f t="shared" ca="1" si="145"/>
        <v>Intro!M</v>
      </c>
      <c r="CE248" s="16">
        <f t="shared" ca="1" si="146"/>
        <v>57</v>
      </c>
      <c r="CF248" s="16" t="str">
        <f t="shared" ca="1" si="147"/>
        <v>Intro!M57</v>
      </c>
      <c r="CH248" s="16" t="str">
        <f t="shared" ca="1" si="148"/>
        <v>Intro!M57:N79</v>
      </c>
      <c r="CI248" s="16" t="str">
        <f t="shared" ca="1" si="149"/>
        <v>170705_03s</v>
      </c>
      <c r="CJ248" s="16" t="str">
        <f t="shared" ca="1" si="141"/>
        <v>170705</v>
      </c>
      <c r="CK248" s="16">
        <f t="shared" ca="1" si="150"/>
        <v>7</v>
      </c>
      <c r="CL248" s="16">
        <f t="shared" ca="1" si="151"/>
        <v>17</v>
      </c>
      <c r="CM248" s="16">
        <f t="shared" ca="1" si="152"/>
        <v>5</v>
      </c>
      <c r="CN248" s="16">
        <f t="shared" ca="1" si="153"/>
        <v>3</v>
      </c>
      <c r="CO248" s="16" t="str">
        <f t="shared" ca="1" si="154"/>
        <v>s</v>
      </c>
    </row>
    <row r="249" spans="79:93">
      <c r="CA249" s="16">
        <f t="shared" ca="1" si="142"/>
        <v>77</v>
      </c>
      <c r="CB249" s="16">
        <f t="shared" ca="1" si="143"/>
        <v>58</v>
      </c>
      <c r="CC249" s="16">
        <f t="shared" ca="1" si="144"/>
        <v>21</v>
      </c>
      <c r="CD249" s="16" t="str">
        <f t="shared" ca="1" si="145"/>
        <v>Intro!M</v>
      </c>
      <c r="CE249" s="16">
        <f t="shared" ca="1" si="146"/>
        <v>58</v>
      </c>
      <c r="CF249" s="16" t="str">
        <f t="shared" ca="1" si="147"/>
        <v>Intro!M58</v>
      </c>
      <c r="CH249" s="16" t="str">
        <f t="shared" ca="1" si="148"/>
        <v>Intro!M58:N79</v>
      </c>
      <c r="CI249" s="16" t="str">
        <f t="shared" ca="1" si="149"/>
        <v>260701_24e</v>
      </c>
      <c r="CJ249" s="16" t="str">
        <f t="shared" ca="1" si="141"/>
        <v>260701</v>
      </c>
      <c r="CK249" s="16">
        <f t="shared" ca="1" si="150"/>
        <v>7</v>
      </c>
      <c r="CL249" s="16">
        <f t="shared" ca="1" si="151"/>
        <v>26</v>
      </c>
      <c r="CM249" s="16">
        <f t="shared" ca="1" si="152"/>
        <v>1</v>
      </c>
      <c r="CN249" s="16">
        <f t="shared" ca="1" si="153"/>
        <v>24</v>
      </c>
      <c r="CO249" s="16" t="str">
        <f t="shared" ca="1" si="154"/>
        <v>e</v>
      </c>
    </row>
    <row r="250" spans="79:93">
      <c r="CA250" s="16">
        <f t="shared" ca="1" si="142"/>
        <v>77</v>
      </c>
      <c r="CB250" s="16">
        <f t="shared" ca="1" si="143"/>
        <v>59</v>
      </c>
      <c r="CC250" s="16">
        <f t="shared" ca="1" si="144"/>
        <v>20</v>
      </c>
      <c r="CD250" s="16" t="str">
        <f t="shared" ca="1" si="145"/>
        <v>Intro!M</v>
      </c>
      <c r="CE250" s="16">
        <f t="shared" ca="1" si="146"/>
        <v>59</v>
      </c>
      <c r="CF250" s="16" t="str">
        <f t="shared" ca="1" si="147"/>
        <v>Intro!M59</v>
      </c>
      <c r="CH250" s="16" t="str">
        <f t="shared" ca="1" si="148"/>
        <v>Intro!M59:N79</v>
      </c>
      <c r="CI250" s="16" t="str">
        <f t="shared" ca="1" si="149"/>
        <v>260702_26e</v>
      </c>
      <c r="CJ250" s="16" t="str">
        <f t="shared" ca="1" si="141"/>
        <v>260702</v>
      </c>
      <c r="CK250" s="16">
        <f t="shared" ca="1" si="150"/>
        <v>7</v>
      </c>
      <c r="CL250" s="16">
        <f t="shared" ca="1" si="151"/>
        <v>26</v>
      </c>
      <c r="CM250" s="16">
        <f t="shared" ca="1" si="152"/>
        <v>2</v>
      </c>
      <c r="CN250" s="16">
        <f t="shared" ca="1" si="153"/>
        <v>26</v>
      </c>
      <c r="CO250" s="16" t="str">
        <f t="shared" ca="1" si="154"/>
        <v>e</v>
      </c>
    </row>
    <row r="251" spans="79:93">
      <c r="CA251" s="16">
        <f t="shared" ca="1" si="142"/>
        <v>77</v>
      </c>
      <c r="CB251" s="16">
        <f t="shared" ca="1" si="143"/>
        <v>60</v>
      </c>
      <c r="CC251" s="16">
        <f t="shared" ca="1" si="144"/>
        <v>19</v>
      </c>
      <c r="CD251" s="16" t="str">
        <f t="shared" ca="1" si="145"/>
        <v>Intro!M</v>
      </c>
      <c r="CE251" s="16">
        <f t="shared" ca="1" si="146"/>
        <v>60</v>
      </c>
      <c r="CF251" s="16" t="str">
        <f t="shared" ca="1" si="147"/>
        <v>Intro!M60</v>
      </c>
      <c r="CH251" s="16" t="str">
        <f t="shared" ca="1" si="148"/>
        <v>Intro!M60:N79</v>
      </c>
      <c r="CI251" s="16" t="str">
        <f t="shared" ca="1" si="149"/>
        <v>260703_18e</v>
      </c>
      <c r="CJ251" s="16" t="str">
        <f t="shared" ca="1" si="141"/>
        <v>260703</v>
      </c>
      <c r="CK251" s="16">
        <f t="shared" ca="1" si="150"/>
        <v>7</v>
      </c>
      <c r="CL251" s="16">
        <f t="shared" ca="1" si="151"/>
        <v>26</v>
      </c>
      <c r="CM251" s="16">
        <f t="shared" ca="1" si="152"/>
        <v>3</v>
      </c>
      <c r="CN251" s="16">
        <f t="shared" ca="1" si="153"/>
        <v>18</v>
      </c>
      <c r="CO251" s="16" t="str">
        <f t="shared" ca="1" si="154"/>
        <v>e</v>
      </c>
    </row>
    <row r="252" spans="79:93">
      <c r="CA252" s="16">
        <f t="shared" ca="1" si="142"/>
        <v>77</v>
      </c>
      <c r="CB252" s="16">
        <f t="shared" ca="1" si="143"/>
        <v>61</v>
      </c>
      <c r="CC252" s="16">
        <f t="shared" ca="1" si="144"/>
        <v>18</v>
      </c>
      <c r="CD252" s="16" t="str">
        <f t="shared" ca="1" si="145"/>
        <v>Intro!M</v>
      </c>
      <c r="CE252" s="16">
        <f t="shared" ca="1" si="146"/>
        <v>61</v>
      </c>
      <c r="CF252" s="16" t="str">
        <f t="shared" ca="1" si="147"/>
        <v>Intro!M61</v>
      </c>
      <c r="CH252" s="16" t="str">
        <f t="shared" ca="1" si="148"/>
        <v>Intro!M61:N79</v>
      </c>
      <c r="CI252" s="16" t="str">
        <f t="shared" ca="1" si="149"/>
        <v>260704_14e</v>
      </c>
      <c r="CJ252" s="16" t="str">
        <f t="shared" ca="1" si="141"/>
        <v>260704</v>
      </c>
      <c r="CK252" s="16">
        <f t="shared" ca="1" si="150"/>
        <v>7</v>
      </c>
      <c r="CL252" s="16">
        <f t="shared" ca="1" si="151"/>
        <v>26</v>
      </c>
      <c r="CM252" s="16">
        <f t="shared" ca="1" si="152"/>
        <v>4</v>
      </c>
      <c r="CN252" s="16">
        <f t="shared" ca="1" si="153"/>
        <v>14</v>
      </c>
      <c r="CO252" s="16" t="str">
        <f t="shared" ca="1" si="154"/>
        <v>e</v>
      </c>
    </row>
    <row r="253" spans="79:93">
      <c r="CA253" s="16">
        <f t="shared" ca="1" si="142"/>
        <v>77</v>
      </c>
      <c r="CB253" s="16">
        <f t="shared" ca="1" si="143"/>
        <v>62</v>
      </c>
      <c r="CC253" s="16">
        <f t="shared" ca="1" si="144"/>
        <v>17</v>
      </c>
      <c r="CD253" s="16" t="str">
        <f t="shared" ca="1" si="145"/>
        <v>Intro!M</v>
      </c>
      <c r="CE253" s="16">
        <f t="shared" ca="1" si="146"/>
        <v>62</v>
      </c>
      <c r="CF253" s="16" t="str">
        <f t="shared" ca="1" si="147"/>
        <v>Intro!M62</v>
      </c>
      <c r="CH253" s="16" t="str">
        <f t="shared" ca="1" si="148"/>
        <v>Intro!M62:N79</v>
      </c>
      <c r="CI253" s="16" t="str">
        <f t="shared" ca="1" si="149"/>
        <v>260704_14e</v>
      </c>
      <c r="CJ253" s="16" t="str">
        <f t="shared" ca="1" si="141"/>
        <v>260704</v>
      </c>
      <c r="CK253" s="16">
        <f t="shared" ca="1" si="150"/>
        <v>7</v>
      </c>
      <c r="CL253" s="16">
        <f t="shared" ca="1" si="151"/>
        <v>26</v>
      </c>
      <c r="CM253" s="16">
        <f t="shared" ca="1" si="152"/>
        <v>4</v>
      </c>
      <c r="CN253" s="16">
        <f t="shared" ca="1" si="153"/>
        <v>14</v>
      </c>
      <c r="CO253" s="16" t="str">
        <f t="shared" ca="1" si="154"/>
        <v>e</v>
      </c>
    </row>
    <row r="254" spans="79:93">
      <c r="CA254" s="16">
        <f t="shared" ca="1" si="142"/>
        <v>77</v>
      </c>
      <c r="CB254" s="16">
        <f t="shared" ca="1" si="143"/>
        <v>63</v>
      </c>
      <c r="CC254" s="16">
        <f t="shared" ca="1" si="144"/>
        <v>16</v>
      </c>
      <c r="CD254" s="16" t="str">
        <f t="shared" ca="1" si="145"/>
        <v>Intro!M</v>
      </c>
      <c r="CE254" s="16">
        <f t="shared" ca="1" si="146"/>
        <v>63</v>
      </c>
      <c r="CF254" s="16" t="str">
        <f t="shared" ca="1" si="147"/>
        <v>Intro!M63</v>
      </c>
      <c r="CH254" s="16" t="str">
        <f t="shared" ca="1" si="148"/>
        <v>Intro!M63:N79</v>
      </c>
      <c r="CI254" s="16" t="str">
        <f t="shared" ca="1" si="149"/>
        <v>260706_10e</v>
      </c>
      <c r="CJ254" s="16" t="str">
        <f t="shared" ca="1" si="141"/>
        <v>260706</v>
      </c>
      <c r="CK254" s="16">
        <f t="shared" ca="1" si="150"/>
        <v>7</v>
      </c>
      <c r="CL254" s="16">
        <f t="shared" ca="1" si="151"/>
        <v>26</v>
      </c>
      <c r="CM254" s="16">
        <f t="shared" ca="1" si="152"/>
        <v>6</v>
      </c>
      <c r="CN254" s="16">
        <f t="shared" ca="1" si="153"/>
        <v>10</v>
      </c>
      <c r="CO254" s="16" t="str">
        <f t="shared" ca="1" si="154"/>
        <v>e</v>
      </c>
    </row>
    <row r="255" spans="79:93">
      <c r="CA255" s="16">
        <f t="shared" ca="1" si="142"/>
        <v>77</v>
      </c>
      <c r="CB255" s="16">
        <f t="shared" ca="1" si="143"/>
        <v>64</v>
      </c>
      <c r="CC255" s="16">
        <f t="shared" ca="1" si="144"/>
        <v>15</v>
      </c>
      <c r="CD255" s="16" t="str">
        <f t="shared" ca="1" si="145"/>
        <v>Intro!M</v>
      </c>
      <c r="CE255" s="16">
        <f t="shared" ca="1" si="146"/>
        <v>64</v>
      </c>
      <c r="CF255" s="16" t="str">
        <f t="shared" ca="1" si="147"/>
        <v>Intro!M64</v>
      </c>
      <c r="CH255" s="16" t="str">
        <f t="shared" ca="1" si="148"/>
        <v>Intro!M64:N79</v>
      </c>
      <c r="CI255" s="16" t="str">
        <f t="shared" ca="1" si="149"/>
        <v>260706_10e</v>
      </c>
      <c r="CJ255" s="16" t="str">
        <f t="shared" ca="1" si="141"/>
        <v>260706</v>
      </c>
      <c r="CK255" s="16">
        <f t="shared" ca="1" si="150"/>
        <v>7</v>
      </c>
      <c r="CL255" s="16">
        <f t="shared" ca="1" si="151"/>
        <v>26</v>
      </c>
      <c r="CM255" s="16">
        <f t="shared" ca="1" si="152"/>
        <v>6</v>
      </c>
      <c r="CN255" s="16">
        <f t="shared" ca="1" si="153"/>
        <v>10</v>
      </c>
      <c r="CO255" s="16" t="str">
        <f t="shared" ca="1" si="154"/>
        <v>e</v>
      </c>
    </row>
    <row r="256" spans="79:93">
      <c r="CA256" s="16">
        <f t="shared" ca="1" si="142"/>
        <v>77</v>
      </c>
      <c r="CB256" s="16">
        <f t="shared" ca="1" si="143"/>
        <v>65</v>
      </c>
      <c r="CC256" s="16">
        <f t="shared" ca="1" si="144"/>
        <v>14</v>
      </c>
      <c r="CD256" s="16" t="str">
        <f t="shared" ca="1" si="145"/>
        <v>Intro!M</v>
      </c>
      <c r="CE256" s="16">
        <f t="shared" ca="1" si="146"/>
        <v>65</v>
      </c>
      <c r="CF256" s="16" t="str">
        <f t="shared" ca="1" si="147"/>
        <v>Intro!M65</v>
      </c>
      <c r="CH256" s="16" t="str">
        <f t="shared" ca="1" si="148"/>
        <v>Intro!M65:N79</v>
      </c>
      <c r="CI256" s="16" t="str">
        <f t="shared" ca="1" si="149"/>
        <v>270701_26e</v>
      </c>
      <c r="CJ256" s="16" t="str">
        <f t="shared" ca="1" si="141"/>
        <v>270701</v>
      </c>
      <c r="CK256" s="16">
        <f t="shared" ca="1" si="150"/>
        <v>7</v>
      </c>
      <c r="CL256" s="16">
        <f t="shared" ca="1" si="151"/>
        <v>27</v>
      </c>
      <c r="CM256" s="16">
        <f t="shared" ca="1" si="152"/>
        <v>1</v>
      </c>
      <c r="CN256" s="16">
        <f t="shared" ca="1" si="153"/>
        <v>26</v>
      </c>
      <c r="CO256" s="16" t="str">
        <f t="shared" ca="1" si="154"/>
        <v>e</v>
      </c>
    </row>
    <row r="257" spans="79:93">
      <c r="CA257" s="16">
        <f t="shared" ca="1" si="142"/>
        <v>77</v>
      </c>
      <c r="CB257" s="16">
        <f t="shared" ca="1" si="143"/>
        <v>66</v>
      </c>
      <c r="CC257" s="16">
        <f t="shared" ca="1" si="144"/>
        <v>13</v>
      </c>
      <c r="CD257" s="16" t="str">
        <f t="shared" ca="1" si="145"/>
        <v>Intro!M</v>
      </c>
      <c r="CE257" s="16">
        <f t="shared" ca="1" si="146"/>
        <v>66</v>
      </c>
      <c r="CF257" s="16" t="str">
        <f t="shared" ca="1" si="147"/>
        <v>Intro!M66</v>
      </c>
      <c r="CH257" s="16" t="str">
        <f t="shared" ca="1" si="148"/>
        <v>Intro!M66:N79</v>
      </c>
      <c r="CI257" s="16" t="str">
        <f t="shared" ca="1" si="149"/>
        <v>270701_28e</v>
      </c>
      <c r="CJ257" s="16" t="str">
        <f t="shared" ca="1" si="141"/>
        <v>270701</v>
      </c>
      <c r="CK257" s="16">
        <f t="shared" ca="1" si="150"/>
        <v>7</v>
      </c>
      <c r="CL257" s="16">
        <f t="shared" ca="1" si="151"/>
        <v>27</v>
      </c>
      <c r="CM257" s="16">
        <f t="shared" ca="1" si="152"/>
        <v>1</v>
      </c>
      <c r="CN257" s="16">
        <f t="shared" ca="1" si="153"/>
        <v>28</v>
      </c>
      <c r="CO257" s="16" t="str">
        <f t="shared" ca="1" si="154"/>
        <v>e</v>
      </c>
    </row>
    <row r="258" spans="79:93">
      <c r="CA258" s="16">
        <f t="shared" ca="1" si="142"/>
        <v>77</v>
      </c>
      <c r="CB258" s="16">
        <f t="shared" ca="1" si="143"/>
        <v>67</v>
      </c>
      <c r="CC258" s="16">
        <f t="shared" ca="1" si="144"/>
        <v>12</v>
      </c>
      <c r="CD258" s="16" t="str">
        <f t="shared" ca="1" si="145"/>
        <v>Intro!M</v>
      </c>
      <c r="CE258" s="16">
        <f t="shared" ca="1" si="146"/>
        <v>67</v>
      </c>
      <c r="CF258" s="16" t="str">
        <f t="shared" ca="1" si="147"/>
        <v>Intro!M67</v>
      </c>
      <c r="CH258" s="16" t="str">
        <f t="shared" ca="1" si="148"/>
        <v>Intro!M67:N79</v>
      </c>
      <c r="CI258" s="16" t="str">
        <f t="shared" ca="1" si="149"/>
        <v>270702_26e</v>
      </c>
      <c r="CJ258" s="16" t="str">
        <f t="shared" ca="1" si="141"/>
        <v>270702</v>
      </c>
      <c r="CK258" s="16">
        <f t="shared" ca="1" si="150"/>
        <v>7</v>
      </c>
      <c r="CL258" s="16">
        <f t="shared" ca="1" si="151"/>
        <v>27</v>
      </c>
      <c r="CM258" s="16">
        <f t="shared" ca="1" si="152"/>
        <v>2</v>
      </c>
      <c r="CN258" s="16">
        <f t="shared" ca="1" si="153"/>
        <v>26</v>
      </c>
      <c r="CO258" s="16" t="str">
        <f t="shared" ca="1" si="154"/>
        <v>e</v>
      </c>
    </row>
    <row r="259" spans="79:93">
      <c r="CA259" s="16">
        <f t="shared" ca="1" si="142"/>
        <v>77</v>
      </c>
      <c r="CB259" s="16">
        <f t="shared" ca="1" si="143"/>
        <v>68</v>
      </c>
      <c r="CC259" s="16">
        <f t="shared" ca="1" si="144"/>
        <v>11</v>
      </c>
      <c r="CD259" s="16" t="str">
        <f t="shared" ca="1" si="145"/>
        <v>Intro!M</v>
      </c>
      <c r="CE259" s="16">
        <f t="shared" ca="1" si="146"/>
        <v>68</v>
      </c>
      <c r="CF259" s="16" t="str">
        <f t="shared" ca="1" si="147"/>
        <v>Intro!M68</v>
      </c>
      <c r="CH259" s="16" t="str">
        <f t="shared" ca="1" si="148"/>
        <v>Intro!M68:N79</v>
      </c>
      <c r="CI259" s="16" t="str">
        <f t="shared" ca="1" si="149"/>
        <v>280701_28e</v>
      </c>
      <c r="CJ259" s="16" t="str">
        <f t="shared" ca="1" si="141"/>
        <v>280701</v>
      </c>
      <c r="CK259" s="16">
        <f t="shared" ca="1" si="150"/>
        <v>7</v>
      </c>
      <c r="CL259" s="16">
        <f t="shared" ca="1" si="151"/>
        <v>28</v>
      </c>
      <c r="CM259" s="16">
        <f t="shared" ca="1" si="152"/>
        <v>1</v>
      </c>
      <c r="CN259" s="16">
        <f t="shared" ca="1" si="153"/>
        <v>28</v>
      </c>
      <c r="CO259" s="16" t="str">
        <f t="shared" ca="1" si="154"/>
        <v>e</v>
      </c>
    </row>
    <row r="260" spans="79:93">
      <c r="CA260" s="16">
        <f t="shared" ca="1" si="142"/>
        <v>77</v>
      </c>
      <c r="CB260" s="16">
        <f t="shared" ca="1" si="143"/>
        <v>69</v>
      </c>
      <c r="CC260" s="16">
        <f t="shared" ca="1" si="144"/>
        <v>10</v>
      </c>
      <c r="CD260" s="16" t="str">
        <f t="shared" ca="1" si="145"/>
        <v>Intro!M</v>
      </c>
      <c r="CE260" s="16">
        <f t="shared" ca="1" si="146"/>
        <v>69</v>
      </c>
      <c r="CF260" s="16" t="str">
        <f t="shared" ca="1" si="147"/>
        <v>Intro!M69</v>
      </c>
      <c r="CH260" s="16" t="str">
        <f t="shared" ca="1" si="148"/>
        <v>Intro!M69:N79</v>
      </c>
      <c r="CI260" s="16" t="str">
        <f t="shared" ca="1" si="149"/>
        <v>280702_26e</v>
      </c>
      <c r="CJ260" s="16" t="str">
        <f t="shared" ref="CJ260:CJ300" ca="1" si="155">LEFT(CI260,6)</f>
        <v>280702</v>
      </c>
      <c r="CK260" s="16">
        <f t="shared" ca="1" si="150"/>
        <v>7</v>
      </c>
      <c r="CL260" s="16">
        <f t="shared" ca="1" si="151"/>
        <v>28</v>
      </c>
      <c r="CM260" s="16">
        <f t="shared" ca="1" si="152"/>
        <v>2</v>
      </c>
      <c r="CN260" s="16">
        <f t="shared" ca="1" si="153"/>
        <v>26</v>
      </c>
      <c r="CO260" s="16" t="str">
        <f t="shared" ca="1" si="154"/>
        <v>e</v>
      </c>
    </row>
    <row r="261" spans="79:93">
      <c r="CA261" s="16">
        <f t="shared" ca="1" si="142"/>
        <v>77</v>
      </c>
      <c r="CB261" s="16">
        <f t="shared" ca="1" si="143"/>
        <v>70</v>
      </c>
      <c r="CC261" s="16">
        <f t="shared" ca="1" si="144"/>
        <v>9</v>
      </c>
      <c r="CD261" s="16" t="str">
        <f t="shared" ca="1" si="145"/>
        <v>Intro!M</v>
      </c>
      <c r="CE261" s="16">
        <f t="shared" ca="1" si="146"/>
        <v>70</v>
      </c>
      <c r="CF261" s="16" t="str">
        <f t="shared" ca="1" si="147"/>
        <v>Intro!M70</v>
      </c>
      <c r="CH261" s="16" t="str">
        <f t="shared" ca="1" si="148"/>
        <v>Intro!M70:N79</v>
      </c>
      <c r="CI261" s="16" t="str">
        <f t="shared" ca="1" si="149"/>
        <v>280703_18e</v>
      </c>
      <c r="CJ261" s="16" t="str">
        <f t="shared" ca="1" si="155"/>
        <v>280703</v>
      </c>
      <c r="CK261" s="16">
        <f t="shared" ca="1" si="150"/>
        <v>7</v>
      </c>
      <c r="CL261" s="16">
        <f t="shared" ca="1" si="151"/>
        <v>28</v>
      </c>
      <c r="CM261" s="16">
        <f t="shared" ca="1" si="152"/>
        <v>3</v>
      </c>
      <c r="CN261" s="16">
        <f t="shared" ca="1" si="153"/>
        <v>18</v>
      </c>
      <c r="CO261" s="16" t="str">
        <f t="shared" ca="1" si="154"/>
        <v>e</v>
      </c>
    </row>
    <row r="262" spans="79:93">
      <c r="CA262" s="16">
        <f t="shared" ca="1" si="142"/>
        <v>77</v>
      </c>
      <c r="CB262" s="16">
        <f t="shared" ca="1" si="143"/>
        <v>71</v>
      </c>
      <c r="CC262" s="16">
        <f t="shared" ca="1" si="144"/>
        <v>8</v>
      </c>
      <c r="CD262" s="16" t="str">
        <f t="shared" ca="1" si="145"/>
        <v>Intro!M</v>
      </c>
      <c r="CE262" s="16">
        <f t="shared" ca="1" si="146"/>
        <v>71</v>
      </c>
      <c r="CF262" s="16" t="str">
        <f t="shared" ca="1" si="147"/>
        <v>Intro!M71</v>
      </c>
      <c r="CH262" s="16" t="str">
        <f t="shared" ca="1" si="148"/>
        <v>Intro!M71:N79</v>
      </c>
      <c r="CI262" s="16" t="str">
        <f t="shared" ca="1" si="149"/>
        <v>280704_14e</v>
      </c>
      <c r="CJ262" s="16" t="str">
        <f t="shared" ca="1" si="155"/>
        <v>280704</v>
      </c>
      <c r="CK262" s="16">
        <f t="shared" ca="1" si="150"/>
        <v>7</v>
      </c>
      <c r="CL262" s="16">
        <f t="shared" ca="1" si="151"/>
        <v>28</v>
      </c>
      <c r="CM262" s="16">
        <f t="shared" ca="1" si="152"/>
        <v>4</v>
      </c>
      <c r="CN262" s="16">
        <f t="shared" ca="1" si="153"/>
        <v>14</v>
      </c>
      <c r="CO262" s="16" t="str">
        <f t="shared" ca="1" si="154"/>
        <v>e</v>
      </c>
    </row>
    <row r="263" spans="79:93">
      <c r="CA263" s="16">
        <f t="shared" ca="1" si="142"/>
        <v>77</v>
      </c>
      <c r="CB263" s="16">
        <f t="shared" ca="1" si="143"/>
        <v>72</v>
      </c>
      <c r="CC263" s="16">
        <f t="shared" ca="1" si="144"/>
        <v>7</v>
      </c>
      <c r="CD263" s="16" t="str">
        <f t="shared" ca="1" si="145"/>
        <v>Intro!M</v>
      </c>
      <c r="CE263" s="16">
        <f t="shared" ca="1" si="146"/>
        <v>72</v>
      </c>
      <c r="CF263" s="16" t="str">
        <f t="shared" ca="1" si="147"/>
        <v>Intro!M72</v>
      </c>
      <c r="CH263" s="16" t="str">
        <f t="shared" ca="1" si="148"/>
        <v>Intro!M72:N79</v>
      </c>
      <c r="CI263" s="16" t="str">
        <f t="shared" ca="1" si="149"/>
        <v>280706_10e</v>
      </c>
      <c r="CJ263" s="16" t="str">
        <f t="shared" ca="1" si="155"/>
        <v>280706</v>
      </c>
      <c r="CK263" s="16">
        <f t="shared" ca="1" si="150"/>
        <v>7</v>
      </c>
      <c r="CL263" s="16">
        <f t="shared" ca="1" si="151"/>
        <v>28</v>
      </c>
      <c r="CM263" s="16">
        <f t="shared" ca="1" si="152"/>
        <v>6</v>
      </c>
      <c r="CN263" s="16">
        <f t="shared" ca="1" si="153"/>
        <v>10</v>
      </c>
      <c r="CO263" s="16" t="str">
        <f t="shared" ca="1" si="154"/>
        <v>e</v>
      </c>
    </row>
    <row r="264" spans="79:93">
      <c r="CA264" s="16">
        <f t="shared" ca="1" si="142"/>
        <v>77</v>
      </c>
      <c r="CB264" s="16">
        <f t="shared" ca="1" si="143"/>
        <v>73</v>
      </c>
      <c r="CC264" s="16">
        <f t="shared" ca="1" si="144"/>
        <v>6</v>
      </c>
      <c r="CD264" s="16" t="str">
        <f t="shared" ca="1" si="145"/>
        <v>Intro!M</v>
      </c>
      <c r="CE264" s="16">
        <f t="shared" ca="1" si="146"/>
        <v>73</v>
      </c>
      <c r="CF264" s="16" t="str">
        <f t="shared" ca="1" si="147"/>
        <v>Intro!M73</v>
      </c>
      <c r="CH264" s="16" t="str">
        <f t="shared" ca="1" si="148"/>
        <v>Intro!M73:N79</v>
      </c>
      <c r="CI264" s="16" t="str">
        <f t="shared" ca="1" si="149"/>
        <v>280706_10e</v>
      </c>
      <c r="CJ264" s="16" t="str">
        <f t="shared" ca="1" si="155"/>
        <v>280706</v>
      </c>
      <c r="CK264" s="16">
        <f t="shared" ca="1" si="150"/>
        <v>7</v>
      </c>
      <c r="CL264" s="16">
        <f t="shared" ca="1" si="151"/>
        <v>28</v>
      </c>
      <c r="CM264" s="16">
        <f t="shared" ca="1" si="152"/>
        <v>6</v>
      </c>
      <c r="CN264" s="16">
        <f t="shared" ca="1" si="153"/>
        <v>10</v>
      </c>
      <c r="CO264" s="16" t="str">
        <f t="shared" ca="1" si="154"/>
        <v>e</v>
      </c>
    </row>
    <row r="265" spans="79:93">
      <c r="CA265" s="16">
        <f t="shared" ca="1" si="142"/>
        <v>77</v>
      </c>
      <c r="CB265" s="16">
        <f t="shared" ca="1" si="143"/>
        <v>74</v>
      </c>
      <c r="CC265" s="16">
        <f t="shared" ca="1" si="144"/>
        <v>5</v>
      </c>
      <c r="CD265" s="16" t="str">
        <f t="shared" ca="1" si="145"/>
        <v>Intro!M</v>
      </c>
      <c r="CE265" s="16">
        <f t="shared" ca="1" si="146"/>
        <v>74</v>
      </c>
      <c r="CF265" s="16" t="str">
        <f t="shared" ca="1" si="147"/>
        <v>Intro!M74</v>
      </c>
      <c r="CH265" s="16" t="str">
        <f t="shared" ca="1" si="148"/>
        <v>Intro!M74:N79</v>
      </c>
      <c r="CI265" s="16" t="str">
        <f t="shared" ca="1" si="149"/>
        <v>290702_29e</v>
      </c>
      <c r="CJ265" s="16" t="str">
        <f t="shared" ca="1" si="155"/>
        <v>290702</v>
      </c>
      <c r="CK265" s="16">
        <f t="shared" ca="1" si="150"/>
        <v>7</v>
      </c>
      <c r="CL265" s="16">
        <f t="shared" ca="1" si="151"/>
        <v>29</v>
      </c>
      <c r="CM265" s="16">
        <f t="shared" ca="1" si="152"/>
        <v>2</v>
      </c>
      <c r="CN265" s="16">
        <f t="shared" ca="1" si="153"/>
        <v>29</v>
      </c>
      <c r="CO265" s="16" t="str">
        <f t="shared" ca="1" si="154"/>
        <v>e</v>
      </c>
    </row>
    <row r="266" spans="79:93">
      <c r="CA266" s="16">
        <f t="shared" ca="1" si="142"/>
        <v>77</v>
      </c>
      <c r="CB266" s="16">
        <f t="shared" ca="1" si="143"/>
        <v>75</v>
      </c>
      <c r="CC266" s="16">
        <f t="shared" ca="1" si="144"/>
        <v>4</v>
      </c>
      <c r="CD266" s="16" t="str">
        <f t="shared" ca="1" si="145"/>
        <v>Intro!M</v>
      </c>
      <c r="CE266" s="16">
        <f t="shared" ca="1" si="146"/>
        <v>75</v>
      </c>
      <c r="CF266" s="16" t="str">
        <f t="shared" ca="1" si="147"/>
        <v>Intro!M75</v>
      </c>
      <c r="CH266" s="16" t="str">
        <f t="shared" ca="1" si="148"/>
        <v>Intro!M75:N79</v>
      </c>
      <c r="CI266" s="16" t="str">
        <f t="shared" ca="1" si="149"/>
        <v>290703_18e</v>
      </c>
      <c r="CJ266" s="16" t="str">
        <f t="shared" ca="1" si="155"/>
        <v>290703</v>
      </c>
      <c r="CK266" s="16">
        <f t="shared" ca="1" si="150"/>
        <v>7</v>
      </c>
      <c r="CL266" s="16">
        <f t="shared" ca="1" si="151"/>
        <v>29</v>
      </c>
      <c r="CM266" s="16">
        <f t="shared" ca="1" si="152"/>
        <v>3</v>
      </c>
      <c r="CN266" s="16">
        <f t="shared" ca="1" si="153"/>
        <v>18</v>
      </c>
      <c r="CO266" s="16" t="str">
        <f t="shared" ca="1" si="154"/>
        <v>e</v>
      </c>
    </row>
    <row r="267" spans="79:93">
      <c r="CA267" s="16">
        <f t="shared" ca="1" si="142"/>
        <v>77</v>
      </c>
      <c r="CB267" s="16">
        <f t="shared" ca="1" si="143"/>
        <v>76</v>
      </c>
      <c r="CC267" s="16">
        <f t="shared" ca="1" si="144"/>
        <v>3</v>
      </c>
      <c r="CD267" s="16" t="str">
        <f t="shared" ca="1" si="145"/>
        <v>Intro!M</v>
      </c>
      <c r="CE267" s="16">
        <f t="shared" ca="1" si="146"/>
        <v>76</v>
      </c>
      <c r="CF267" s="16" t="str">
        <f t="shared" ca="1" si="147"/>
        <v>Intro!M76</v>
      </c>
      <c r="CH267" s="16" t="str">
        <f t="shared" ca="1" si="148"/>
        <v>Intro!M76:N79</v>
      </c>
      <c r="CI267" s="16" t="str">
        <f t="shared" ca="1" si="149"/>
        <v>300702_30e</v>
      </c>
      <c r="CJ267" s="16" t="str">
        <f t="shared" ca="1" si="155"/>
        <v>300702</v>
      </c>
      <c r="CK267" s="16">
        <f t="shared" ca="1" si="150"/>
        <v>7</v>
      </c>
      <c r="CL267" s="16">
        <f t="shared" ca="1" si="151"/>
        <v>30</v>
      </c>
      <c r="CM267" s="16">
        <f t="shared" ca="1" si="152"/>
        <v>2</v>
      </c>
      <c r="CN267" s="16">
        <f t="shared" ca="1" si="153"/>
        <v>30</v>
      </c>
      <c r="CO267" s="16" t="str">
        <f t="shared" ca="1" si="154"/>
        <v>e</v>
      </c>
    </row>
    <row r="268" spans="79:93">
      <c r="CA268" s="16">
        <f t="shared" ca="1" si="142"/>
        <v>77</v>
      </c>
      <c r="CB268" s="16">
        <f t="shared" ca="1" si="143"/>
        <v>77</v>
      </c>
      <c r="CC268" s="16">
        <f t="shared" ca="1" si="144"/>
        <v>2</v>
      </c>
      <c r="CD268" s="16" t="str">
        <f t="shared" ca="1" si="145"/>
        <v>Intro!M</v>
      </c>
      <c r="CE268" s="16">
        <f t="shared" ca="1" si="146"/>
        <v>77</v>
      </c>
      <c r="CF268" s="16" t="str">
        <f t="shared" ca="1" si="147"/>
        <v>Intro!M77</v>
      </c>
      <c r="CH268" s="16" t="str">
        <f t="shared" ca="1" si="148"/>
        <v>Intro!M77:N79</v>
      </c>
      <c r="CI268" s="16" t="str">
        <f t="shared" ca="1" si="149"/>
        <v>300704_14e</v>
      </c>
      <c r="CJ268" s="16" t="str">
        <f t="shared" ca="1" si="155"/>
        <v>300704</v>
      </c>
      <c r="CK268" s="16">
        <f t="shared" ca="1" si="150"/>
        <v>7</v>
      </c>
      <c r="CL268" s="16">
        <f t="shared" ca="1" si="151"/>
        <v>30</v>
      </c>
      <c r="CM268" s="16">
        <f t="shared" ca="1" si="152"/>
        <v>4</v>
      </c>
      <c r="CN268" s="16">
        <f t="shared" ca="1" si="153"/>
        <v>14</v>
      </c>
      <c r="CO268" s="16" t="str">
        <f t="shared" ca="1" si="154"/>
        <v>e</v>
      </c>
    </row>
    <row r="269" spans="79:93">
      <c r="CA269" s="16">
        <f t="shared" ca="1" si="142"/>
        <v>77</v>
      </c>
      <c r="CB269" s="16">
        <f t="shared" ca="1" si="143"/>
        <v>78</v>
      </c>
      <c r="CC269" s="16">
        <f t="shared" ca="1" si="144"/>
        <v>1</v>
      </c>
      <c r="CD269" s="16" t="str">
        <f t="shared" ca="1" si="145"/>
        <v>Intro!M</v>
      </c>
      <c r="CE269" s="16">
        <f t="shared" ca="1" si="146"/>
        <v>78</v>
      </c>
      <c r="CF269" s="16" t="str">
        <f t="shared" ca="1" si="147"/>
        <v>Intro!M78</v>
      </c>
      <c r="CH269" s="16" t="str">
        <f t="shared" ca="1" si="148"/>
        <v>Intro!M78:N79</v>
      </c>
      <c r="CI269" s="16" t="str">
        <f t="shared" ca="1" si="149"/>
        <v>320706_10e</v>
      </c>
      <c r="CJ269" s="16" t="str">
        <f t="shared" ca="1" si="155"/>
        <v>320706</v>
      </c>
      <c r="CK269" s="16">
        <f t="shared" ca="1" si="150"/>
        <v>7</v>
      </c>
      <c r="CL269" s="16">
        <f t="shared" ca="1" si="151"/>
        <v>32</v>
      </c>
      <c r="CM269" s="16">
        <f t="shared" ca="1" si="152"/>
        <v>6</v>
      </c>
      <c r="CN269" s="16">
        <f t="shared" ca="1" si="153"/>
        <v>10</v>
      </c>
      <c r="CO269" s="16" t="str">
        <f t="shared" ca="1" si="154"/>
        <v>e</v>
      </c>
    </row>
    <row r="270" spans="79:93">
      <c r="CA270" s="16">
        <f t="shared" ca="1" si="142"/>
        <v>79</v>
      </c>
      <c r="CB270" s="16">
        <f t="shared" ca="1" si="143"/>
        <v>51</v>
      </c>
      <c r="CC270" s="16">
        <f t="shared" ca="1" si="144"/>
        <v>37</v>
      </c>
      <c r="CD270" s="16" t="str">
        <f t="shared" ca="1" si="145"/>
        <v>Intro!O</v>
      </c>
      <c r="CE270" s="16">
        <f t="shared" ca="1" si="146"/>
        <v>51</v>
      </c>
      <c r="CF270" s="16" t="str">
        <f t="shared" ca="1" si="147"/>
        <v>Intro!O51</v>
      </c>
      <c r="CH270" s="16" t="str">
        <f t="shared" ca="1" si="148"/>
        <v>Intro!O51:P88</v>
      </c>
      <c r="CI270" s="16" t="str">
        <f t="shared" ca="1" si="149"/>
        <v>160801_15s</v>
      </c>
      <c r="CJ270" s="16" t="str">
        <f t="shared" ca="1" si="155"/>
        <v>160801</v>
      </c>
      <c r="CK270" s="16">
        <f t="shared" ca="1" si="150"/>
        <v>8</v>
      </c>
      <c r="CL270" s="16">
        <f t="shared" ca="1" si="151"/>
        <v>16</v>
      </c>
      <c r="CM270" s="16">
        <f t="shared" ca="1" si="152"/>
        <v>1</v>
      </c>
      <c r="CN270" s="16">
        <f t="shared" ca="1" si="153"/>
        <v>15</v>
      </c>
      <c r="CO270" s="16" t="str">
        <f t="shared" ca="1" si="154"/>
        <v>s</v>
      </c>
    </row>
    <row r="271" spans="79:93">
      <c r="CA271" s="16">
        <f t="shared" ca="1" si="142"/>
        <v>79</v>
      </c>
      <c r="CB271" s="16">
        <f ca="1">IF(CC270-1=0,CB$1,CB270+1)</f>
        <v>52</v>
      </c>
      <c r="CC271" s="16">
        <f t="shared" ca="1" si="144"/>
        <v>36</v>
      </c>
      <c r="CD271" s="16" t="str">
        <f t="shared" ca="1" si="145"/>
        <v>Intro!O</v>
      </c>
      <c r="CE271" s="16">
        <f t="shared" ca="1" si="146"/>
        <v>52</v>
      </c>
      <c r="CF271" s="16" t="str">
        <f t="shared" ca="1" si="147"/>
        <v>Intro!O52</v>
      </c>
      <c r="CH271" s="16" t="str">
        <f t="shared" ca="1" si="148"/>
        <v>Intro!O52:P88</v>
      </c>
      <c r="CI271" s="16" t="str">
        <f t="shared" ca="1" si="149"/>
        <v>160802_07s</v>
      </c>
      <c r="CJ271" s="16" t="str">
        <f t="shared" ca="1" si="155"/>
        <v>160802</v>
      </c>
      <c r="CK271" s="16">
        <f t="shared" ca="1" si="150"/>
        <v>8</v>
      </c>
      <c r="CL271" s="16">
        <f t="shared" ca="1" si="151"/>
        <v>16</v>
      </c>
      <c r="CM271" s="16">
        <f t="shared" ca="1" si="152"/>
        <v>2</v>
      </c>
      <c r="CN271" s="16">
        <f t="shared" ca="1" si="153"/>
        <v>7</v>
      </c>
      <c r="CO271" s="16" t="str">
        <f t="shared" ca="1" si="154"/>
        <v>s</v>
      </c>
    </row>
    <row r="272" spans="79:93">
      <c r="CA272" s="16">
        <f t="shared" ca="1" si="142"/>
        <v>79</v>
      </c>
      <c r="CB272" s="16">
        <f t="shared" ca="1" si="143"/>
        <v>53</v>
      </c>
      <c r="CC272" s="16">
        <f t="shared" ca="1" si="144"/>
        <v>35</v>
      </c>
      <c r="CD272" s="16" t="str">
        <f t="shared" ca="1" si="145"/>
        <v>Intro!O</v>
      </c>
      <c r="CE272" s="16">
        <f t="shared" ca="1" si="146"/>
        <v>53</v>
      </c>
      <c r="CF272" s="16" t="str">
        <f t="shared" ca="1" si="147"/>
        <v>Intro!O53</v>
      </c>
      <c r="CH272" s="16" t="str">
        <f t="shared" ca="1" si="148"/>
        <v>Intro!O53:P88</v>
      </c>
      <c r="CI272" s="16" t="str">
        <f t="shared" ca="1" si="149"/>
        <v>160803_05s</v>
      </c>
      <c r="CJ272" s="16" t="str">
        <f t="shared" ca="1" si="155"/>
        <v>160803</v>
      </c>
      <c r="CK272" s="16">
        <f t="shared" ca="1" si="150"/>
        <v>8</v>
      </c>
      <c r="CL272" s="16">
        <f t="shared" ca="1" si="151"/>
        <v>16</v>
      </c>
      <c r="CM272" s="16">
        <f t="shared" ca="1" si="152"/>
        <v>3</v>
      </c>
      <c r="CN272" s="16">
        <f t="shared" ca="1" si="153"/>
        <v>5</v>
      </c>
      <c r="CO272" s="16" t="str">
        <f t="shared" ca="1" si="154"/>
        <v>s</v>
      </c>
    </row>
    <row r="273" spans="79:93">
      <c r="CA273" s="16">
        <f t="shared" ca="1" si="142"/>
        <v>79</v>
      </c>
      <c r="CB273" s="16">
        <f t="shared" ca="1" si="143"/>
        <v>54</v>
      </c>
      <c r="CC273" s="16">
        <f t="shared" ca="1" si="144"/>
        <v>34</v>
      </c>
      <c r="CD273" s="16" t="str">
        <f t="shared" ca="1" si="145"/>
        <v>Intro!O</v>
      </c>
      <c r="CE273" s="16">
        <f t="shared" ca="1" si="146"/>
        <v>54</v>
      </c>
      <c r="CF273" s="16" t="str">
        <f t="shared" ca="1" si="147"/>
        <v>Intro!O54</v>
      </c>
      <c r="CH273" s="16" t="str">
        <f t="shared" ca="1" si="148"/>
        <v>Intro!O54:P88</v>
      </c>
      <c r="CI273" s="16" t="str">
        <f t="shared" ca="1" si="149"/>
        <v>160804_03s</v>
      </c>
      <c r="CJ273" s="16" t="str">
        <f t="shared" ca="1" si="155"/>
        <v>160804</v>
      </c>
      <c r="CK273" s="16">
        <f t="shared" ca="1" si="150"/>
        <v>8</v>
      </c>
      <c r="CL273" s="16">
        <f t="shared" ca="1" si="151"/>
        <v>16</v>
      </c>
      <c r="CM273" s="16">
        <f t="shared" ca="1" si="152"/>
        <v>4</v>
      </c>
      <c r="CN273" s="16">
        <f t="shared" ca="1" si="153"/>
        <v>3</v>
      </c>
      <c r="CO273" s="16" t="str">
        <f t="shared" ca="1" si="154"/>
        <v>s</v>
      </c>
    </row>
    <row r="274" spans="79:93">
      <c r="CA274" s="16">
        <f t="shared" ca="1" si="142"/>
        <v>79</v>
      </c>
      <c r="CB274" s="16">
        <f t="shared" ca="1" si="143"/>
        <v>55</v>
      </c>
      <c r="CC274" s="16">
        <f t="shared" ca="1" si="144"/>
        <v>33</v>
      </c>
      <c r="CD274" s="16" t="str">
        <f t="shared" ca="1" si="145"/>
        <v>Intro!O</v>
      </c>
      <c r="CE274" s="16">
        <f t="shared" ca="1" si="146"/>
        <v>55</v>
      </c>
      <c r="CF274" s="16" t="str">
        <f t="shared" ca="1" si="147"/>
        <v>Intro!O55</v>
      </c>
      <c r="CH274" s="16" t="str">
        <f t="shared" ca="1" si="148"/>
        <v>Intro!O55:P88</v>
      </c>
      <c r="CI274" s="16" t="str">
        <f t="shared" ca="1" si="149"/>
        <v>170801_17s</v>
      </c>
      <c r="CJ274" s="16" t="str">
        <f t="shared" ca="1" si="155"/>
        <v>170801</v>
      </c>
      <c r="CK274" s="16">
        <f t="shared" ca="1" si="150"/>
        <v>8</v>
      </c>
      <c r="CL274" s="16">
        <f t="shared" ca="1" si="151"/>
        <v>17</v>
      </c>
      <c r="CM274" s="16">
        <f t="shared" ca="1" si="152"/>
        <v>1</v>
      </c>
      <c r="CN274" s="16">
        <f t="shared" ca="1" si="153"/>
        <v>17</v>
      </c>
      <c r="CO274" s="16" t="str">
        <f t="shared" ca="1" si="154"/>
        <v>s</v>
      </c>
    </row>
    <row r="275" spans="79:93">
      <c r="CA275" s="16">
        <f t="shared" ca="1" si="142"/>
        <v>79</v>
      </c>
      <c r="CB275" s="16">
        <f t="shared" ca="1" si="143"/>
        <v>56</v>
      </c>
      <c r="CC275" s="16">
        <f t="shared" ca="1" si="144"/>
        <v>32</v>
      </c>
      <c r="CD275" s="16" t="str">
        <f t="shared" ca="1" si="145"/>
        <v>Intro!O</v>
      </c>
      <c r="CE275" s="16">
        <f t="shared" ca="1" si="146"/>
        <v>56</v>
      </c>
      <c r="CF275" s="16" t="str">
        <f t="shared" ca="1" si="147"/>
        <v>Intro!O56</v>
      </c>
      <c r="CH275" s="16" t="str">
        <f t="shared" ca="1" si="148"/>
        <v>Intro!O56:P88</v>
      </c>
      <c r="CI275" s="16" t="str">
        <f t="shared" ca="1" si="149"/>
        <v>170802_09s</v>
      </c>
      <c r="CJ275" s="16" t="str">
        <f t="shared" ca="1" si="155"/>
        <v>170802</v>
      </c>
      <c r="CK275" s="16">
        <f t="shared" ca="1" si="150"/>
        <v>8</v>
      </c>
      <c r="CL275" s="16">
        <f t="shared" ca="1" si="151"/>
        <v>17</v>
      </c>
      <c r="CM275" s="16">
        <f t="shared" ca="1" si="152"/>
        <v>2</v>
      </c>
      <c r="CN275" s="16">
        <f t="shared" ca="1" si="153"/>
        <v>9</v>
      </c>
      <c r="CO275" s="16" t="str">
        <f t="shared" ca="1" si="154"/>
        <v>s</v>
      </c>
    </row>
    <row r="276" spans="79:93">
      <c r="CA276" s="16">
        <f t="shared" ca="1" si="142"/>
        <v>79</v>
      </c>
      <c r="CB276" s="16">
        <f t="shared" ca="1" si="143"/>
        <v>57</v>
      </c>
      <c r="CC276" s="16">
        <f t="shared" ca="1" si="144"/>
        <v>31</v>
      </c>
      <c r="CD276" s="16" t="str">
        <f t="shared" ca="1" si="145"/>
        <v>Intro!O</v>
      </c>
      <c r="CE276" s="16">
        <f t="shared" ca="1" si="146"/>
        <v>57</v>
      </c>
      <c r="CF276" s="16" t="str">
        <f t="shared" ca="1" si="147"/>
        <v>Intro!O57</v>
      </c>
      <c r="CH276" s="16" t="str">
        <f t="shared" ca="1" si="148"/>
        <v>Intro!O57:P88</v>
      </c>
      <c r="CI276" s="16" t="str">
        <f t="shared" ca="1" si="149"/>
        <v>170803_05s</v>
      </c>
      <c r="CJ276" s="16" t="str">
        <f t="shared" ca="1" si="155"/>
        <v>170803</v>
      </c>
      <c r="CK276" s="16">
        <f t="shared" ca="1" si="150"/>
        <v>8</v>
      </c>
      <c r="CL276" s="16">
        <f t="shared" ca="1" si="151"/>
        <v>17</v>
      </c>
      <c r="CM276" s="16">
        <f t="shared" ca="1" si="152"/>
        <v>3</v>
      </c>
      <c r="CN276" s="16">
        <f t="shared" ca="1" si="153"/>
        <v>5</v>
      </c>
      <c r="CO276" s="16" t="str">
        <f t="shared" ca="1" si="154"/>
        <v>s</v>
      </c>
    </row>
    <row r="277" spans="79:93">
      <c r="CA277" s="16">
        <f t="shared" ca="1" si="142"/>
        <v>79</v>
      </c>
      <c r="CB277" s="16">
        <f t="shared" ca="1" si="143"/>
        <v>58</v>
      </c>
      <c r="CC277" s="16">
        <f t="shared" ca="1" si="144"/>
        <v>30</v>
      </c>
      <c r="CD277" s="16" t="str">
        <f t="shared" ca="1" si="145"/>
        <v>Intro!O</v>
      </c>
      <c r="CE277" s="16">
        <f t="shared" ca="1" si="146"/>
        <v>58</v>
      </c>
      <c r="CF277" s="16" t="str">
        <f t="shared" ca="1" si="147"/>
        <v>Intro!O58</v>
      </c>
      <c r="CH277" s="16" t="str">
        <f t="shared" ca="1" si="148"/>
        <v>Intro!O58:P88</v>
      </c>
      <c r="CI277" s="16" t="str">
        <f t="shared" ca="1" si="149"/>
        <v>170804_05s</v>
      </c>
      <c r="CJ277" s="16" t="str">
        <f t="shared" ca="1" si="155"/>
        <v>170804</v>
      </c>
      <c r="CK277" s="16">
        <f t="shared" ca="1" si="150"/>
        <v>8</v>
      </c>
      <c r="CL277" s="16">
        <f t="shared" ca="1" si="151"/>
        <v>17</v>
      </c>
      <c r="CM277" s="16">
        <f t="shared" ca="1" si="152"/>
        <v>4</v>
      </c>
      <c r="CN277" s="16">
        <f t="shared" ca="1" si="153"/>
        <v>5</v>
      </c>
      <c r="CO277" s="16" t="str">
        <f t="shared" ca="1" si="154"/>
        <v>s</v>
      </c>
    </row>
    <row r="278" spans="79:93">
      <c r="CA278" s="16">
        <f t="shared" ca="1" si="142"/>
        <v>79</v>
      </c>
      <c r="CB278" s="16">
        <f t="shared" ca="1" si="143"/>
        <v>59</v>
      </c>
      <c r="CC278" s="16">
        <f t="shared" ca="1" si="144"/>
        <v>29</v>
      </c>
      <c r="CD278" s="16" t="str">
        <f t="shared" ca="1" si="145"/>
        <v>Intro!O</v>
      </c>
      <c r="CE278" s="16">
        <f t="shared" ca="1" si="146"/>
        <v>59</v>
      </c>
      <c r="CF278" s="16" t="str">
        <f t="shared" ca="1" si="147"/>
        <v>Intro!O59</v>
      </c>
      <c r="CH278" s="16" t="str">
        <f t="shared" ca="1" si="148"/>
        <v>Intro!O59:P88</v>
      </c>
      <c r="CI278" s="16" t="str">
        <f t="shared" ca="1" si="149"/>
        <v>180801_20L</v>
      </c>
      <c r="CJ278" s="16" t="str">
        <f t="shared" ca="1" si="155"/>
        <v>180801</v>
      </c>
      <c r="CK278" s="16">
        <f t="shared" ca="1" si="150"/>
        <v>8</v>
      </c>
      <c r="CL278" s="16">
        <f t="shared" ca="1" si="151"/>
        <v>18</v>
      </c>
      <c r="CM278" s="16">
        <f t="shared" ca="1" si="152"/>
        <v>1</v>
      </c>
      <c r="CN278" s="16">
        <f t="shared" ca="1" si="153"/>
        <v>20</v>
      </c>
      <c r="CO278" s="16" t="str">
        <f t="shared" ca="1" si="154"/>
        <v>L</v>
      </c>
    </row>
    <row r="279" spans="79:93">
      <c r="CA279" s="16">
        <f t="shared" ca="1" si="142"/>
        <v>79</v>
      </c>
      <c r="CB279" s="16">
        <f t="shared" ca="1" si="143"/>
        <v>60</v>
      </c>
      <c r="CC279" s="16">
        <f t="shared" ca="1" si="144"/>
        <v>28</v>
      </c>
      <c r="CD279" s="16" t="str">
        <f t="shared" ca="1" si="145"/>
        <v>Intro!O</v>
      </c>
      <c r="CE279" s="16">
        <f t="shared" ca="1" si="146"/>
        <v>60</v>
      </c>
      <c r="CF279" s="16" t="str">
        <f t="shared" ca="1" si="147"/>
        <v>Intro!O60</v>
      </c>
      <c r="CH279" s="16" t="str">
        <f t="shared" ca="1" si="148"/>
        <v>Intro!O60:P88</v>
      </c>
      <c r="CI279" s="16" t="str">
        <f t="shared" ca="1" si="149"/>
        <v>180802_09s</v>
      </c>
      <c r="CJ279" s="16" t="str">
        <f t="shared" ca="1" si="155"/>
        <v>180802</v>
      </c>
      <c r="CK279" s="16">
        <f t="shared" ca="1" si="150"/>
        <v>8</v>
      </c>
      <c r="CL279" s="16">
        <f t="shared" ca="1" si="151"/>
        <v>18</v>
      </c>
      <c r="CM279" s="16">
        <f t="shared" ca="1" si="152"/>
        <v>2</v>
      </c>
      <c r="CN279" s="16">
        <f t="shared" ca="1" si="153"/>
        <v>9</v>
      </c>
      <c r="CO279" s="16" t="str">
        <f t="shared" ca="1" si="154"/>
        <v>s</v>
      </c>
    </row>
    <row r="280" spans="79:93">
      <c r="CA280" s="16">
        <f t="shared" ca="1" si="142"/>
        <v>79</v>
      </c>
      <c r="CB280" s="16">
        <f t="shared" ca="1" si="143"/>
        <v>61</v>
      </c>
      <c r="CC280" s="16">
        <f t="shared" ca="1" si="144"/>
        <v>27</v>
      </c>
      <c r="CD280" s="16" t="str">
        <f t="shared" ca="1" si="145"/>
        <v>Intro!O</v>
      </c>
      <c r="CE280" s="16">
        <f t="shared" ca="1" si="146"/>
        <v>61</v>
      </c>
      <c r="CF280" s="16" t="str">
        <f t="shared" ca="1" si="147"/>
        <v>Intro!O61</v>
      </c>
      <c r="CH280" s="16" t="str">
        <f t="shared" ca="1" si="148"/>
        <v>Intro!O61:P88</v>
      </c>
      <c r="CI280" s="16" t="str">
        <f t="shared" ca="1" si="149"/>
        <v>180803_06c</v>
      </c>
      <c r="CJ280" s="16" t="str">
        <f t="shared" ca="1" si="155"/>
        <v>180803</v>
      </c>
      <c r="CK280" s="16">
        <f t="shared" ca="1" si="150"/>
        <v>8</v>
      </c>
      <c r="CL280" s="16">
        <f t="shared" ca="1" si="151"/>
        <v>18</v>
      </c>
      <c r="CM280" s="16">
        <f t="shared" ca="1" si="152"/>
        <v>3</v>
      </c>
      <c r="CN280" s="16">
        <f t="shared" ca="1" si="153"/>
        <v>6</v>
      </c>
      <c r="CO280" s="16" t="str">
        <f t="shared" ca="1" si="154"/>
        <v>c</v>
      </c>
    </row>
    <row r="281" spans="79:93">
      <c r="CA281" s="16">
        <f t="shared" ca="1" si="142"/>
        <v>79</v>
      </c>
      <c r="CB281" s="16">
        <f t="shared" ca="1" si="143"/>
        <v>62</v>
      </c>
      <c r="CC281" s="16">
        <f t="shared" ca="1" si="144"/>
        <v>26</v>
      </c>
      <c r="CD281" s="16" t="str">
        <f t="shared" ca="1" si="145"/>
        <v>Intro!O</v>
      </c>
      <c r="CE281" s="16">
        <f t="shared" ca="1" si="146"/>
        <v>62</v>
      </c>
      <c r="CF281" s="16" t="str">
        <f t="shared" ca="1" si="147"/>
        <v>Intro!O62</v>
      </c>
      <c r="CH281" s="16" t="str">
        <f t="shared" ca="1" si="148"/>
        <v>Intro!O62:P88</v>
      </c>
      <c r="CI281" s="16" t="str">
        <f t="shared" ca="1" si="149"/>
        <v>180804_05s</v>
      </c>
      <c r="CJ281" s="16" t="str">
        <f t="shared" ca="1" si="155"/>
        <v>180804</v>
      </c>
      <c r="CK281" s="16">
        <f t="shared" ca="1" si="150"/>
        <v>8</v>
      </c>
      <c r="CL281" s="16">
        <f t="shared" ca="1" si="151"/>
        <v>18</v>
      </c>
      <c r="CM281" s="16">
        <f t="shared" ca="1" si="152"/>
        <v>4</v>
      </c>
      <c r="CN281" s="16">
        <f t="shared" ca="1" si="153"/>
        <v>5</v>
      </c>
      <c r="CO281" s="16" t="str">
        <f t="shared" ca="1" si="154"/>
        <v>s</v>
      </c>
    </row>
    <row r="282" spans="79:93">
      <c r="CA282" s="16">
        <f t="shared" ca="1" si="142"/>
        <v>79</v>
      </c>
      <c r="CB282" s="16">
        <f t="shared" ca="1" si="143"/>
        <v>63</v>
      </c>
      <c r="CC282" s="16">
        <f t="shared" ca="1" si="144"/>
        <v>25</v>
      </c>
      <c r="CD282" s="16" t="str">
        <f t="shared" ca="1" si="145"/>
        <v>Intro!O</v>
      </c>
      <c r="CE282" s="16">
        <f t="shared" ca="1" si="146"/>
        <v>63</v>
      </c>
      <c r="CF282" s="16" t="str">
        <f t="shared" ca="1" si="147"/>
        <v>Intro!O63</v>
      </c>
      <c r="CH282" s="16" t="str">
        <f t="shared" ca="1" si="148"/>
        <v>Intro!O63:P88</v>
      </c>
      <c r="CI282" s="16" t="str">
        <f t="shared" ca="1" si="149"/>
        <v>190804_05s</v>
      </c>
      <c r="CJ282" s="16" t="str">
        <f t="shared" ca="1" si="155"/>
        <v>190804</v>
      </c>
      <c r="CK282" s="16">
        <f t="shared" ca="1" si="150"/>
        <v>8</v>
      </c>
      <c r="CL282" s="16">
        <f t="shared" ca="1" si="151"/>
        <v>19</v>
      </c>
      <c r="CM282" s="16">
        <f t="shared" ca="1" si="152"/>
        <v>4</v>
      </c>
      <c r="CN282" s="16">
        <f t="shared" ca="1" si="153"/>
        <v>5</v>
      </c>
      <c r="CO282" s="16" t="str">
        <f t="shared" ca="1" si="154"/>
        <v>s</v>
      </c>
    </row>
    <row r="283" spans="79:93">
      <c r="CA283" s="16">
        <f t="shared" ca="1" si="142"/>
        <v>79</v>
      </c>
      <c r="CB283" s="16">
        <f t="shared" ca="1" si="143"/>
        <v>64</v>
      </c>
      <c r="CC283" s="16">
        <f t="shared" ca="1" si="144"/>
        <v>24</v>
      </c>
      <c r="CD283" s="16" t="str">
        <f t="shared" ca="1" si="145"/>
        <v>Intro!O</v>
      </c>
      <c r="CE283" s="16">
        <f t="shared" ca="1" si="146"/>
        <v>64</v>
      </c>
      <c r="CF283" s="16" t="str">
        <f t="shared" ca="1" si="147"/>
        <v>Intro!O64</v>
      </c>
      <c r="CH283" s="16" t="str">
        <f t="shared" ca="1" si="148"/>
        <v>Intro!O64:P88</v>
      </c>
      <c r="CI283" s="16" t="str">
        <f t="shared" ca="1" si="149"/>
        <v>200804_05s</v>
      </c>
      <c r="CJ283" s="16" t="str">
        <f t="shared" ca="1" si="155"/>
        <v>200804</v>
      </c>
      <c r="CK283" s="16">
        <f t="shared" ca="1" si="150"/>
        <v>8</v>
      </c>
      <c r="CL283" s="16">
        <f t="shared" ca="1" si="151"/>
        <v>20</v>
      </c>
      <c r="CM283" s="16">
        <f t="shared" ca="1" si="152"/>
        <v>4</v>
      </c>
      <c r="CN283" s="16">
        <f t="shared" ca="1" si="153"/>
        <v>5</v>
      </c>
      <c r="CO283" s="16" t="str">
        <f t="shared" ca="1" si="154"/>
        <v>s</v>
      </c>
    </row>
    <row r="284" spans="79:93">
      <c r="CA284" s="16">
        <f t="shared" ca="1" si="142"/>
        <v>79</v>
      </c>
      <c r="CB284" s="16">
        <f t="shared" ca="1" si="143"/>
        <v>65</v>
      </c>
      <c r="CC284" s="16">
        <f t="shared" ca="1" si="144"/>
        <v>23</v>
      </c>
      <c r="CD284" s="16" t="str">
        <f t="shared" ca="1" si="145"/>
        <v>Intro!O</v>
      </c>
      <c r="CE284" s="16">
        <f t="shared" ca="1" si="146"/>
        <v>65</v>
      </c>
      <c r="CF284" s="16" t="str">
        <f t="shared" ca="1" si="147"/>
        <v>Intro!O65</v>
      </c>
      <c r="CH284" s="16" t="str">
        <f t="shared" ca="1" si="148"/>
        <v>Intro!O65:P88</v>
      </c>
      <c r="CI284" s="16" t="str">
        <f t="shared" ca="1" si="149"/>
        <v>240802_17c</v>
      </c>
      <c r="CJ284" s="16" t="str">
        <f t="shared" ca="1" si="155"/>
        <v>240802</v>
      </c>
      <c r="CK284" s="16">
        <f t="shared" ca="1" si="150"/>
        <v>8</v>
      </c>
      <c r="CL284" s="16">
        <f t="shared" ca="1" si="151"/>
        <v>24</v>
      </c>
      <c r="CM284" s="16">
        <f t="shared" ca="1" si="152"/>
        <v>2</v>
      </c>
      <c r="CN284" s="16">
        <f t="shared" ca="1" si="153"/>
        <v>17</v>
      </c>
      <c r="CO284" s="16" t="str">
        <f t="shared" ca="1" si="154"/>
        <v>c</v>
      </c>
    </row>
    <row r="285" spans="79:93">
      <c r="CA285" s="16">
        <f t="shared" ca="1" si="142"/>
        <v>79</v>
      </c>
      <c r="CB285" s="16">
        <f t="shared" ca="1" si="143"/>
        <v>66</v>
      </c>
      <c r="CC285" s="16">
        <f t="shared" ca="1" si="144"/>
        <v>22</v>
      </c>
      <c r="CD285" s="16" t="str">
        <f t="shared" ca="1" si="145"/>
        <v>Intro!O</v>
      </c>
      <c r="CE285" s="16">
        <f t="shared" ca="1" si="146"/>
        <v>66</v>
      </c>
      <c r="CF285" s="16" t="str">
        <f t="shared" ca="1" si="147"/>
        <v>Intro!O66</v>
      </c>
      <c r="CH285" s="16" t="str">
        <f t="shared" ca="1" si="148"/>
        <v>Intro!O66:P88</v>
      </c>
      <c r="CI285" s="16" t="str">
        <f t="shared" ca="1" si="149"/>
        <v>260802_20c</v>
      </c>
      <c r="CJ285" s="16" t="str">
        <f t="shared" ca="1" si="155"/>
        <v>260802</v>
      </c>
      <c r="CK285" s="16">
        <f t="shared" ca="1" si="150"/>
        <v>8</v>
      </c>
      <c r="CL285" s="16">
        <f t="shared" ca="1" si="151"/>
        <v>26</v>
      </c>
      <c r="CM285" s="16">
        <f t="shared" ca="1" si="152"/>
        <v>2</v>
      </c>
      <c r="CN285" s="16">
        <f t="shared" ca="1" si="153"/>
        <v>20</v>
      </c>
      <c r="CO285" s="16" t="str">
        <f t="shared" ca="1" si="154"/>
        <v>c</v>
      </c>
    </row>
    <row r="286" spans="79:93">
      <c r="CA286" s="16">
        <f t="shared" ca="1" si="142"/>
        <v>79</v>
      </c>
      <c r="CB286" s="16">
        <f t="shared" ca="1" si="143"/>
        <v>67</v>
      </c>
      <c r="CC286" s="16">
        <f t="shared" ca="1" si="144"/>
        <v>21</v>
      </c>
      <c r="CD286" s="16" t="str">
        <f t="shared" ca="1" si="145"/>
        <v>Intro!O</v>
      </c>
      <c r="CE286" s="16">
        <f t="shared" ca="1" si="146"/>
        <v>67</v>
      </c>
      <c r="CF286" s="16" t="str">
        <f t="shared" ca="1" si="147"/>
        <v>Intro!O67</v>
      </c>
      <c r="CH286" s="16" t="str">
        <f t="shared" ca="1" si="148"/>
        <v>Intro!O67:P88</v>
      </c>
      <c r="CI286" s="16" t="str">
        <f t="shared" ca="1" si="149"/>
        <v>280804_12c</v>
      </c>
      <c r="CJ286" s="16" t="str">
        <f t="shared" ca="1" si="155"/>
        <v>280804</v>
      </c>
      <c r="CK286" s="16">
        <f t="shared" ca="1" si="150"/>
        <v>8</v>
      </c>
      <c r="CL286" s="16">
        <f t="shared" ca="1" si="151"/>
        <v>28</v>
      </c>
      <c r="CM286" s="16">
        <f t="shared" ca="1" si="152"/>
        <v>4</v>
      </c>
      <c r="CN286" s="16">
        <f t="shared" ca="1" si="153"/>
        <v>12</v>
      </c>
      <c r="CO286" s="16" t="str">
        <f t="shared" ca="1" si="154"/>
        <v>c</v>
      </c>
    </row>
    <row r="287" spans="79:93">
      <c r="CA287" s="16">
        <f t="shared" ca="1" si="142"/>
        <v>79</v>
      </c>
      <c r="CB287" s="16">
        <f t="shared" ca="1" si="143"/>
        <v>68</v>
      </c>
      <c r="CC287" s="16">
        <f t="shared" ca="1" si="144"/>
        <v>20</v>
      </c>
      <c r="CD287" s="16" t="str">
        <f t="shared" ca="1" si="145"/>
        <v>Intro!O</v>
      </c>
      <c r="CE287" s="16">
        <f t="shared" ca="1" si="146"/>
        <v>68</v>
      </c>
      <c r="CF287" s="16" t="str">
        <f t="shared" ca="1" si="147"/>
        <v>Intro!O68</v>
      </c>
      <c r="CH287" s="16" t="str">
        <f t="shared" ca="1" si="148"/>
        <v>Intro!O68:P88</v>
      </c>
      <c r="CI287" s="16" t="str">
        <f t="shared" ca="1" si="149"/>
        <v>300801_28e</v>
      </c>
      <c r="CJ287" s="16" t="str">
        <f t="shared" ca="1" si="155"/>
        <v>300801</v>
      </c>
      <c r="CK287" s="16">
        <f t="shared" ca="1" si="150"/>
        <v>8</v>
      </c>
      <c r="CL287" s="16">
        <f t="shared" ca="1" si="151"/>
        <v>30</v>
      </c>
      <c r="CM287" s="16">
        <f t="shared" ca="1" si="152"/>
        <v>1</v>
      </c>
      <c r="CN287" s="16">
        <f t="shared" ca="1" si="153"/>
        <v>28</v>
      </c>
      <c r="CO287" s="16" t="str">
        <f t="shared" ca="1" si="154"/>
        <v>e</v>
      </c>
    </row>
    <row r="288" spans="79:93">
      <c r="CA288" s="16">
        <f t="shared" ca="1" si="142"/>
        <v>79</v>
      </c>
      <c r="CB288" s="16">
        <f t="shared" ca="1" si="143"/>
        <v>69</v>
      </c>
      <c r="CC288" s="16">
        <f t="shared" ca="1" si="144"/>
        <v>19</v>
      </c>
      <c r="CD288" s="16" t="str">
        <f t="shared" ca="1" si="145"/>
        <v>Intro!O</v>
      </c>
      <c r="CE288" s="16">
        <f t="shared" ca="1" si="146"/>
        <v>69</v>
      </c>
      <c r="CF288" s="16" t="str">
        <f t="shared" ca="1" si="147"/>
        <v>Intro!O69</v>
      </c>
      <c r="CH288" s="16" t="str">
        <f t="shared" ca="1" si="148"/>
        <v>Intro!O69:P88</v>
      </c>
      <c r="CI288" s="16" t="str">
        <f t="shared" ca="1" si="149"/>
        <v>300802_30e</v>
      </c>
      <c r="CJ288" s="16" t="str">
        <f t="shared" ca="1" si="155"/>
        <v>300802</v>
      </c>
      <c r="CK288" s="16">
        <f t="shared" ca="1" si="150"/>
        <v>8</v>
      </c>
      <c r="CL288" s="16">
        <f t="shared" ca="1" si="151"/>
        <v>30</v>
      </c>
      <c r="CM288" s="16">
        <f t="shared" ca="1" si="152"/>
        <v>2</v>
      </c>
      <c r="CN288" s="16">
        <f t="shared" ca="1" si="153"/>
        <v>30</v>
      </c>
      <c r="CO288" s="16" t="str">
        <f t="shared" ca="1" si="154"/>
        <v>e</v>
      </c>
    </row>
    <row r="289" spans="79:93">
      <c r="CA289" s="16">
        <f t="shared" ca="1" si="142"/>
        <v>79</v>
      </c>
      <c r="CB289" s="16">
        <f t="shared" ca="1" si="143"/>
        <v>70</v>
      </c>
      <c r="CC289" s="16">
        <f t="shared" ca="1" si="144"/>
        <v>18</v>
      </c>
      <c r="CD289" s="16" t="str">
        <f t="shared" ca="1" si="145"/>
        <v>Intro!O</v>
      </c>
      <c r="CE289" s="16">
        <f t="shared" ca="1" si="146"/>
        <v>70</v>
      </c>
      <c r="CF289" s="16" t="str">
        <f t="shared" ca="1" si="147"/>
        <v>Intro!O70</v>
      </c>
      <c r="CH289" s="16" t="str">
        <f t="shared" ca="1" si="148"/>
        <v>Intro!O70:P88</v>
      </c>
      <c r="CI289" s="16" t="str">
        <f t="shared" ca="1" si="149"/>
        <v>300803_18e</v>
      </c>
      <c r="CJ289" s="16" t="str">
        <f t="shared" ca="1" si="155"/>
        <v>300803</v>
      </c>
      <c r="CK289" s="16">
        <f t="shared" ca="1" si="150"/>
        <v>8</v>
      </c>
      <c r="CL289" s="16">
        <f t="shared" ca="1" si="151"/>
        <v>30</v>
      </c>
      <c r="CM289" s="16">
        <f t="shared" ca="1" si="152"/>
        <v>3</v>
      </c>
      <c r="CN289" s="16">
        <f t="shared" ca="1" si="153"/>
        <v>18</v>
      </c>
      <c r="CO289" s="16" t="str">
        <f t="shared" ca="1" si="154"/>
        <v>e</v>
      </c>
    </row>
    <row r="290" spans="79:93">
      <c r="CA290" s="16">
        <f t="shared" ca="1" si="142"/>
        <v>79</v>
      </c>
      <c r="CB290" s="16">
        <f t="shared" ca="1" si="143"/>
        <v>71</v>
      </c>
      <c r="CC290" s="16">
        <f t="shared" ca="1" si="144"/>
        <v>17</v>
      </c>
      <c r="CD290" s="16" t="str">
        <f t="shared" ca="1" si="145"/>
        <v>Intro!O</v>
      </c>
      <c r="CE290" s="16">
        <f t="shared" ca="1" si="146"/>
        <v>71</v>
      </c>
      <c r="CF290" s="16" t="str">
        <f t="shared" ca="1" si="147"/>
        <v>Intro!O71</v>
      </c>
      <c r="CH290" s="16" t="str">
        <f t="shared" ca="1" si="148"/>
        <v>Intro!O71:P88</v>
      </c>
      <c r="CI290" s="16" t="str">
        <f t="shared" ca="1" si="149"/>
        <v>300804_14e</v>
      </c>
      <c r="CJ290" s="16" t="str">
        <f t="shared" ca="1" si="155"/>
        <v>300804</v>
      </c>
      <c r="CK290" s="16">
        <f t="shared" ca="1" si="150"/>
        <v>8</v>
      </c>
      <c r="CL290" s="16">
        <f t="shared" ca="1" si="151"/>
        <v>30</v>
      </c>
      <c r="CM290" s="16">
        <f t="shared" ca="1" si="152"/>
        <v>4</v>
      </c>
      <c r="CN290" s="16">
        <f t="shared" ca="1" si="153"/>
        <v>14</v>
      </c>
      <c r="CO290" s="16" t="str">
        <f t="shared" ca="1" si="154"/>
        <v>e</v>
      </c>
    </row>
    <row r="291" spans="79:93">
      <c r="CA291" s="16">
        <f t="shared" ca="1" si="142"/>
        <v>79</v>
      </c>
      <c r="CB291" s="16">
        <f t="shared" ca="1" si="143"/>
        <v>72</v>
      </c>
      <c r="CC291" s="16">
        <f t="shared" ca="1" si="144"/>
        <v>16</v>
      </c>
      <c r="CD291" s="16" t="str">
        <f t="shared" ca="1" si="145"/>
        <v>Intro!O</v>
      </c>
      <c r="CE291" s="16">
        <f t="shared" ca="1" si="146"/>
        <v>72</v>
      </c>
      <c r="CF291" s="16" t="str">
        <f t="shared" ca="1" si="147"/>
        <v>Intro!O72</v>
      </c>
      <c r="CH291" s="16" t="str">
        <f t="shared" ca="1" si="148"/>
        <v>Intro!O72:P88</v>
      </c>
      <c r="CI291" s="16" t="str">
        <f t="shared" ca="1" si="149"/>
        <v>310802_30e</v>
      </c>
      <c r="CJ291" s="16" t="str">
        <f t="shared" ca="1" si="155"/>
        <v>310802</v>
      </c>
      <c r="CK291" s="16">
        <f t="shared" ca="1" si="150"/>
        <v>8</v>
      </c>
      <c r="CL291" s="16">
        <f t="shared" ca="1" si="151"/>
        <v>31</v>
      </c>
      <c r="CM291" s="16">
        <f t="shared" ca="1" si="152"/>
        <v>2</v>
      </c>
      <c r="CN291" s="16">
        <f t="shared" ca="1" si="153"/>
        <v>30</v>
      </c>
      <c r="CO291" s="16" t="str">
        <f t="shared" ca="1" si="154"/>
        <v>e</v>
      </c>
    </row>
    <row r="292" spans="79:93">
      <c r="CA292" s="16">
        <f t="shared" ca="1" si="142"/>
        <v>79</v>
      </c>
      <c r="CB292" s="16">
        <f t="shared" ca="1" si="143"/>
        <v>73</v>
      </c>
      <c r="CC292" s="16">
        <f t="shared" ca="1" si="144"/>
        <v>15</v>
      </c>
      <c r="CD292" s="16" t="str">
        <f t="shared" ca="1" si="145"/>
        <v>Intro!O</v>
      </c>
      <c r="CE292" s="16">
        <f t="shared" ca="1" si="146"/>
        <v>73</v>
      </c>
      <c r="CF292" s="16" t="str">
        <f t="shared" ca="1" si="147"/>
        <v>Intro!O73</v>
      </c>
      <c r="CH292" s="16" t="str">
        <f t="shared" ca="1" si="148"/>
        <v>Intro!O73:P88</v>
      </c>
      <c r="CI292" s="16" t="str">
        <f t="shared" ca="1" si="149"/>
        <v>310803_21e</v>
      </c>
      <c r="CJ292" s="16" t="str">
        <f t="shared" ca="1" si="155"/>
        <v>310803</v>
      </c>
      <c r="CK292" s="16">
        <f t="shared" ca="1" si="150"/>
        <v>8</v>
      </c>
      <c r="CL292" s="16">
        <f t="shared" ca="1" si="151"/>
        <v>31</v>
      </c>
      <c r="CM292" s="16">
        <f t="shared" ca="1" si="152"/>
        <v>3</v>
      </c>
      <c r="CN292" s="16">
        <f t="shared" ca="1" si="153"/>
        <v>21</v>
      </c>
      <c r="CO292" s="16" t="str">
        <f t="shared" ca="1" si="154"/>
        <v>e</v>
      </c>
    </row>
    <row r="293" spans="79:93">
      <c r="CA293" s="16">
        <f t="shared" ca="1" si="142"/>
        <v>79</v>
      </c>
      <c r="CB293" s="16">
        <f t="shared" ca="1" si="143"/>
        <v>74</v>
      </c>
      <c r="CC293" s="16">
        <f t="shared" ca="1" si="144"/>
        <v>14</v>
      </c>
      <c r="CD293" s="16" t="str">
        <f t="shared" ca="1" si="145"/>
        <v>Intro!O</v>
      </c>
      <c r="CE293" s="16">
        <f t="shared" ca="1" si="146"/>
        <v>74</v>
      </c>
      <c r="CF293" s="16" t="str">
        <f t="shared" ca="1" si="147"/>
        <v>Intro!O74</v>
      </c>
      <c r="CH293" s="16" t="str">
        <f t="shared" ca="1" si="148"/>
        <v>Intro!O74:P88</v>
      </c>
      <c r="CI293" s="16" t="str">
        <f t="shared" ca="1" si="149"/>
        <v>310804_14e</v>
      </c>
      <c r="CJ293" s="16" t="str">
        <f t="shared" ca="1" si="155"/>
        <v>310804</v>
      </c>
      <c r="CK293" s="16">
        <f t="shared" ca="1" si="150"/>
        <v>8</v>
      </c>
      <c r="CL293" s="16">
        <f t="shared" ca="1" si="151"/>
        <v>31</v>
      </c>
      <c r="CM293" s="16">
        <f t="shared" ca="1" si="152"/>
        <v>4</v>
      </c>
      <c r="CN293" s="16">
        <f t="shared" ca="1" si="153"/>
        <v>14</v>
      </c>
      <c r="CO293" s="16" t="str">
        <f t="shared" ca="1" si="154"/>
        <v>e</v>
      </c>
    </row>
    <row r="294" spans="79:93">
      <c r="CA294" s="16">
        <f t="shared" ca="1" si="142"/>
        <v>79</v>
      </c>
      <c r="CB294" s="16">
        <f t="shared" ca="1" si="143"/>
        <v>75</v>
      </c>
      <c r="CC294" s="16">
        <f t="shared" ca="1" si="144"/>
        <v>13</v>
      </c>
      <c r="CD294" s="16" t="str">
        <f t="shared" ca="1" si="145"/>
        <v>Intro!O</v>
      </c>
      <c r="CE294" s="16">
        <f t="shared" ca="1" si="146"/>
        <v>75</v>
      </c>
      <c r="CF294" s="16" t="str">
        <f t="shared" ca="1" si="147"/>
        <v>Intro!O75</v>
      </c>
      <c r="CH294" s="16" t="str">
        <f t="shared" ca="1" si="148"/>
        <v>Intro!O75:P88</v>
      </c>
      <c r="CI294" s="16" t="str">
        <f t="shared" ca="1" si="149"/>
        <v>320801_32e</v>
      </c>
      <c r="CJ294" s="16" t="str">
        <f t="shared" ca="1" si="155"/>
        <v>320801</v>
      </c>
      <c r="CK294" s="16">
        <f t="shared" ca="1" si="150"/>
        <v>8</v>
      </c>
      <c r="CL294" s="16">
        <f t="shared" ca="1" si="151"/>
        <v>32</v>
      </c>
      <c r="CM294" s="16">
        <f t="shared" ca="1" si="152"/>
        <v>1</v>
      </c>
      <c r="CN294" s="16">
        <f t="shared" ca="1" si="153"/>
        <v>32</v>
      </c>
      <c r="CO294" s="16" t="str">
        <f t="shared" ca="1" si="154"/>
        <v>e</v>
      </c>
    </row>
    <row r="295" spans="79:93">
      <c r="CA295" s="16">
        <f t="shared" ca="1" si="142"/>
        <v>79</v>
      </c>
      <c r="CB295" s="16">
        <f t="shared" ca="1" si="143"/>
        <v>76</v>
      </c>
      <c r="CC295" s="16">
        <f t="shared" ca="1" si="144"/>
        <v>12</v>
      </c>
      <c r="CD295" s="16" t="str">
        <f t="shared" ca="1" si="145"/>
        <v>Intro!O</v>
      </c>
      <c r="CE295" s="16">
        <f t="shared" ca="1" si="146"/>
        <v>76</v>
      </c>
      <c r="CF295" s="16" t="str">
        <f t="shared" ca="1" si="147"/>
        <v>Intro!O76</v>
      </c>
      <c r="CH295" s="16" t="str">
        <f t="shared" ca="1" si="148"/>
        <v>Intro!O76:P88</v>
      </c>
      <c r="CI295" s="16" t="str">
        <f t="shared" ca="1" si="149"/>
        <v>320802_30e</v>
      </c>
      <c r="CJ295" s="16" t="str">
        <f t="shared" ca="1" si="155"/>
        <v>320802</v>
      </c>
      <c r="CK295" s="16">
        <f t="shared" ca="1" si="150"/>
        <v>8</v>
      </c>
      <c r="CL295" s="16">
        <f t="shared" ca="1" si="151"/>
        <v>32</v>
      </c>
      <c r="CM295" s="16">
        <f t="shared" ca="1" si="152"/>
        <v>2</v>
      </c>
      <c r="CN295" s="16">
        <f t="shared" ca="1" si="153"/>
        <v>30</v>
      </c>
      <c r="CO295" s="16" t="str">
        <f t="shared" ca="1" si="154"/>
        <v>e</v>
      </c>
    </row>
    <row r="296" spans="79:93">
      <c r="CA296" s="16">
        <f t="shared" ca="1" si="142"/>
        <v>79</v>
      </c>
      <c r="CB296" s="16">
        <f t="shared" ca="1" si="143"/>
        <v>77</v>
      </c>
      <c r="CC296" s="16">
        <f t="shared" ca="1" si="144"/>
        <v>11</v>
      </c>
      <c r="CD296" s="16" t="str">
        <f t="shared" ca="1" si="145"/>
        <v>Intro!O</v>
      </c>
      <c r="CE296" s="16">
        <f t="shared" ca="1" si="146"/>
        <v>77</v>
      </c>
      <c r="CF296" s="16" t="str">
        <f t="shared" ca="1" si="147"/>
        <v>Intro!O77</v>
      </c>
      <c r="CH296" s="16" t="str">
        <f t="shared" ca="1" si="148"/>
        <v>Intro!O77:P88</v>
      </c>
      <c r="CI296" s="16" t="str">
        <f t="shared" ca="1" si="149"/>
        <v>320803_22e</v>
      </c>
      <c r="CJ296" s="16" t="str">
        <f t="shared" ca="1" si="155"/>
        <v>320803</v>
      </c>
      <c r="CK296" s="16">
        <f t="shared" ca="1" si="150"/>
        <v>8</v>
      </c>
      <c r="CL296" s="16">
        <f t="shared" ca="1" si="151"/>
        <v>32</v>
      </c>
      <c r="CM296" s="16">
        <f t="shared" ca="1" si="152"/>
        <v>3</v>
      </c>
      <c r="CN296" s="16">
        <f t="shared" ca="1" si="153"/>
        <v>22</v>
      </c>
      <c r="CO296" s="16" t="str">
        <f t="shared" ca="1" si="154"/>
        <v>e</v>
      </c>
    </row>
    <row r="297" spans="79:93">
      <c r="CA297" s="16">
        <f t="shared" ca="1" si="142"/>
        <v>79</v>
      </c>
      <c r="CB297" s="16">
        <f t="shared" ca="1" si="143"/>
        <v>78</v>
      </c>
      <c r="CC297" s="16">
        <f t="shared" ca="1" si="144"/>
        <v>10</v>
      </c>
      <c r="CD297" s="16" t="str">
        <f t="shared" ca="1" si="145"/>
        <v>Intro!O</v>
      </c>
      <c r="CE297" s="16">
        <f t="shared" ca="1" si="146"/>
        <v>78</v>
      </c>
      <c r="CF297" s="16" t="str">
        <f t="shared" ca="1" si="147"/>
        <v>Intro!O78</v>
      </c>
      <c r="CH297" s="16" t="str">
        <f t="shared" ca="1" si="148"/>
        <v>Intro!O78:P88</v>
      </c>
      <c r="CI297" s="16" t="str">
        <f t="shared" ca="1" si="149"/>
        <v>320804_14e</v>
      </c>
      <c r="CJ297" s="16" t="str">
        <f t="shared" ca="1" si="155"/>
        <v>320804</v>
      </c>
      <c r="CK297" s="16">
        <f t="shared" ca="1" si="150"/>
        <v>8</v>
      </c>
      <c r="CL297" s="16">
        <f t="shared" ca="1" si="151"/>
        <v>32</v>
      </c>
      <c r="CM297" s="16">
        <f t="shared" ca="1" si="152"/>
        <v>4</v>
      </c>
      <c r="CN297" s="16">
        <f t="shared" ca="1" si="153"/>
        <v>14</v>
      </c>
      <c r="CO297" s="16" t="str">
        <f t="shared" ca="1" si="154"/>
        <v>e</v>
      </c>
    </row>
    <row r="298" spans="79:93">
      <c r="CA298" s="16">
        <f t="shared" ca="1" si="142"/>
        <v>79</v>
      </c>
      <c r="CB298" s="16">
        <f t="shared" ca="1" si="143"/>
        <v>79</v>
      </c>
      <c r="CC298" s="16">
        <f t="shared" ca="1" si="144"/>
        <v>9</v>
      </c>
      <c r="CD298" s="16" t="str">
        <f t="shared" ca="1" si="145"/>
        <v>Intro!O</v>
      </c>
      <c r="CE298" s="16">
        <f t="shared" ca="1" si="146"/>
        <v>79</v>
      </c>
      <c r="CF298" s="16" t="str">
        <f t="shared" ca="1" si="147"/>
        <v>Intro!O79</v>
      </c>
      <c r="CH298" s="16" t="str">
        <f t="shared" ca="1" si="148"/>
        <v>Intro!O79:P88</v>
      </c>
      <c r="CI298" s="16" t="str">
        <f t="shared" ca="1" si="149"/>
        <v>320804_14c</v>
      </c>
      <c r="CJ298" s="16" t="str">
        <f t="shared" ca="1" si="155"/>
        <v>320804</v>
      </c>
      <c r="CK298" s="16">
        <f t="shared" ca="1" si="150"/>
        <v>8</v>
      </c>
      <c r="CL298" s="16">
        <f t="shared" ca="1" si="151"/>
        <v>32</v>
      </c>
      <c r="CM298" s="16">
        <f t="shared" ca="1" si="152"/>
        <v>4</v>
      </c>
      <c r="CN298" s="16">
        <f t="shared" ca="1" si="153"/>
        <v>14</v>
      </c>
      <c r="CO298" s="16" t="str">
        <f t="shared" ca="1" si="154"/>
        <v>c</v>
      </c>
    </row>
    <row r="299" spans="79:93">
      <c r="CA299" s="16">
        <f t="shared" ca="1" si="142"/>
        <v>79</v>
      </c>
      <c r="CB299" s="16">
        <f t="shared" ca="1" si="143"/>
        <v>80</v>
      </c>
      <c r="CC299" s="16">
        <f t="shared" ca="1" si="144"/>
        <v>8</v>
      </c>
      <c r="CD299" s="16" t="str">
        <f t="shared" ca="1" si="145"/>
        <v>Intro!O</v>
      </c>
      <c r="CE299" s="16">
        <f t="shared" ca="1" si="146"/>
        <v>80</v>
      </c>
      <c r="CF299" s="16" t="str">
        <f t="shared" ca="1" si="147"/>
        <v>Intro!O80</v>
      </c>
      <c r="CH299" s="16" t="str">
        <f t="shared" ca="1" si="148"/>
        <v>Intro!O80:P88</v>
      </c>
      <c r="CI299" s="16" t="str">
        <f t="shared" ca="1" si="149"/>
        <v>320805_14e</v>
      </c>
      <c r="CJ299" s="16" t="str">
        <f t="shared" ca="1" si="155"/>
        <v>320805</v>
      </c>
      <c r="CK299" s="16">
        <f t="shared" ca="1" si="150"/>
        <v>8</v>
      </c>
      <c r="CL299" s="16">
        <f t="shared" ca="1" si="151"/>
        <v>32</v>
      </c>
      <c r="CM299" s="16">
        <f t="shared" ca="1" si="152"/>
        <v>5</v>
      </c>
      <c r="CN299" s="16">
        <f t="shared" ca="1" si="153"/>
        <v>14</v>
      </c>
      <c r="CO299" s="16" t="str">
        <f t="shared" ca="1" si="154"/>
        <v>e</v>
      </c>
    </row>
    <row r="300" spans="79:93">
      <c r="CA300" s="16">
        <f t="shared" ref="CA300" ca="1" si="156">IF(CC299-1=0,CA299+2,CA299)</f>
        <v>79</v>
      </c>
      <c r="CB300" s="16">
        <f t="shared" ref="CB300" ca="1" si="157">IF(CC299-1=0,CB$1,CB299+1)</f>
        <v>81</v>
      </c>
      <c r="CC300" s="16">
        <f t="shared" ref="CC300" ca="1" si="158">INDIRECT(CF300)</f>
        <v>7</v>
      </c>
      <c r="CD300" s="16" t="str">
        <f t="shared" ref="CD300" ca="1" si="159">CONCATENATE("Intro!",CHAR(CA300))</f>
        <v>Intro!O</v>
      </c>
      <c r="CE300" s="16">
        <f t="shared" ref="CE300" ca="1" si="160">CB300</f>
        <v>81</v>
      </c>
      <c r="CF300" s="16" t="str">
        <f t="shared" ref="CF300" ca="1" si="161">CONCATENATE(CD300,CE300)</f>
        <v>Intro!O81</v>
      </c>
      <c r="CH300" s="16" t="str">
        <f t="shared" ref="CH300" ca="1" si="162">CONCATENATE(CF300,":",CHAR(CA300+1),(CB300+CC300))</f>
        <v>Intro!O81:P88</v>
      </c>
      <c r="CI300" s="16" t="str">
        <f t="shared" ref="CI300" ca="1" si="163">VLOOKUP(CC300,INDIRECT(CH300),2,FALSE)</f>
        <v>320805_14e</v>
      </c>
      <c r="CJ300" s="16" t="str">
        <f t="shared" ca="1" si="155"/>
        <v>320805</v>
      </c>
      <c r="CK300" s="16">
        <f t="shared" ref="CK300" ca="1" si="164">VALUE(MID(CI300,3,2))</f>
        <v>8</v>
      </c>
      <c r="CL300" s="16">
        <f t="shared" ref="CL300" ca="1" si="165">VALUE(MID(CI300,1,2))</f>
        <v>32</v>
      </c>
      <c r="CM300" s="16">
        <f t="shared" ref="CM300" ca="1" si="166">VALUE(MID(CI300,5,2))</f>
        <v>5</v>
      </c>
      <c r="CN300" s="16">
        <f t="shared" ref="CN300" ca="1" si="167">VALUE(MID(CI300,8,2))</f>
        <v>14</v>
      </c>
      <c r="CO300" s="16" t="str">
        <f t="shared" ref="CO300" ca="1" si="168">RIGHT(CI300,1)</f>
        <v>e</v>
      </c>
    </row>
    <row r="301" spans="79:93">
      <c r="CA301" s="16">
        <f t="shared" ref="CA301:CA317" ca="1" si="169">IF(CC300-1=0,CA300+2,CA300)</f>
        <v>79</v>
      </c>
      <c r="CB301" s="16">
        <f t="shared" ref="CB301:CB317" ca="1" si="170">IF(CC300-1=0,CB$1,CB300+1)</f>
        <v>82</v>
      </c>
      <c r="CC301" s="16">
        <f t="shared" ref="CC301:CC317" ca="1" si="171">INDIRECT(CF301)</f>
        <v>6</v>
      </c>
      <c r="CD301" s="16" t="str">
        <f t="shared" ref="CD301:CD317" ca="1" si="172">CONCATENATE("Intro!",CHAR(CA301))</f>
        <v>Intro!O</v>
      </c>
      <c r="CE301" s="16">
        <f t="shared" ref="CE301:CE317" ca="1" si="173">CB301</f>
        <v>82</v>
      </c>
      <c r="CF301" s="16" t="str">
        <f t="shared" ref="CF301:CF317" ca="1" si="174">CONCATENATE(CD301,CE301)</f>
        <v>Intro!O82</v>
      </c>
      <c r="CH301" s="16" t="str">
        <f t="shared" ref="CH301:CH317" ca="1" si="175">CONCATENATE(CF301,":",CHAR(CA301+1),(CB301+CC301))</f>
        <v>Intro!O82:P88</v>
      </c>
      <c r="CI301" s="16" t="str">
        <f t="shared" ref="CI301:CI317" ca="1" si="176">VLOOKUP(CC301,INDIRECT(CH301),2,FALSE)</f>
        <v>320806_10e</v>
      </c>
      <c r="CJ301" s="16" t="str">
        <f t="shared" ref="CJ301:CJ317" ca="1" si="177">LEFT(CI301,6)</f>
        <v>320806</v>
      </c>
      <c r="CK301" s="16">
        <f t="shared" ref="CK301:CK317" ca="1" si="178">VALUE(MID(CI301,3,2))</f>
        <v>8</v>
      </c>
      <c r="CL301" s="16">
        <f t="shared" ref="CL301:CL317" ca="1" si="179">VALUE(MID(CI301,1,2))</f>
        <v>32</v>
      </c>
      <c r="CM301" s="16">
        <f t="shared" ref="CM301:CM317" ca="1" si="180">VALUE(MID(CI301,5,2))</f>
        <v>6</v>
      </c>
      <c r="CN301" s="16">
        <f t="shared" ref="CN301:CN317" ca="1" si="181">VALUE(MID(CI301,8,2))</f>
        <v>10</v>
      </c>
      <c r="CO301" s="16" t="str">
        <f t="shared" ref="CO301:CO317" ca="1" si="182">RIGHT(CI301,1)</f>
        <v>e</v>
      </c>
    </row>
    <row r="302" spans="79:93">
      <c r="CA302" s="16">
        <f t="shared" ca="1" si="169"/>
        <v>79</v>
      </c>
      <c r="CB302" s="16">
        <f t="shared" ca="1" si="170"/>
        <v>83</v>
      </c>
      <c r="CC302" s="16">
        <f t="shared" ca="1" si="171"/>
        <v>5</v>
      </c>
      <c r="CD302" s="16" t="str">
        <f t="shared" ca="1" si="172"/>
        <v>Intro!O</v>
      </c>
      <c r="CE302" s="16">
        <f t="shared" ca="1" si="173"/>
        <v>83</v>
      </c>
      <c r="CF302" s="16" t="str">
        <f t="shared" ca="1" si="174"/>
        <v>Intro!O83</v>
      </c>
      <c r="CH302" s="16" t="str">
        <f t="shared" ca="1" si="175"/>
        <v>Intro!O83:P88</v>
      </c>
      <c r="CI302" s="16" t="str">
        <f t="shared" ca="1" si="176"/>
        <v>330803_22e</v>
      </c>
      <c r="CJ302" s="16" t="str">
        <f t="shared" ca="1" si="177"/>
        <v>330803</v>
      </c>
      <c r="CK302" s="16">
        <f t="shared" ca="1" si="178"/>
        <v>8</v>
      </c>
      <c r="CL302" s="16">
        <f t="shared" ca="1" si="179"/>
        <v>33</v>
      </c>
      <c r="CM302" s="16">
        <f t="shared" ca="1" si="180"/>
        <v>3</v>
      </c>
      <c r="CN302" s="16">
        <f t="shared" ca="1" si="181"/>
        <v>22</v>
      </c>
      <c r="CO302" s="16" t="str">
        <f t="shared" ca="1" si="182"/>
        <v>e</v>
      </c>
    </row>
    <row r="303" spans="79:93">
      <c r="CA303" s="16">
        <f t="shared" ca="1" si="169"/>
        <v>79</v>
      </c>
      <c r="CB303" s="16">
        <f t="shared" ca="1" si="170"/>
        <v>84</v>
      </c>
      <c r="CC303" s="16">
        <f t="shared" ca="1" si="171"/>
        <v>4</v>
      </c>
      <c r="CD303" s="16" t="str">
        <f t="shared" ca="1" si="172"/>
        <v>Intro!O</v>
      </c>
      <c r="CE303" s="16">
        <f t="shared" ca="1" si="173"/>
        <v>84</v>
      </c>
      <c r="CF303" s="16" t="str">
        <f t="shared" ca="1" si="174"/>
        <v>Intro!O84</v>
      </c>
      <c r="CH303" s="16" t="str">
        <f t="shared" ca="1" si="175"/>
        <v>Intro!O84:P88</v>
      </c>
      <c r="CI303" s="16" t="str">
        <f t="shared" ca="1" si="176"/>
        <v>340804_17e</v>
      </c>
      <c r="CJ303" s="16" t="str">
        <f t="shared" ca="1" si="177"/>
        <v>340804</v>
      </c>
      <c r="CK303" s="16">
        <f t="shared" ca="1" si="178"/>
        <v>8</v>
      </c>
      <c r="CL303" s="16">
        <f t="shared" ca="1" si="179"/>
        <v>34</v>
      </c>
      <c r="CM303" s="16">
        <f t="shared" ca="1" si="180"/>
        <v>4</v>
      </c>
      <c r="CN303" s="16">
        <f t="shared" ca="1" si="181"/>
        <v>17</v>
      </c>
      <c r="CO303" s="16" t="str">
        <f t="shared" ca="1" si="182"/>
        <v>e</v>
      </c>
    </row>
    <row r="304" spans="79:93">
      <c r="CA304" s="16">
        <f t="shared" ca="1" si="169"/>
        <v>79</v>
      </c>
      <c r="CB304" s="16">
        <f t="shared" ca="1" si="170"/>
        <v>85</v>
      </c>
      <c r="CC304" s="16">
        <f t="shared" ca="1" si="171"/>
        <v>3</v>
      </c>
      <c r="CD304" s="16" t="str">
        <f t="shared" ca="1" si="172"/>
        <v>Intro!O</v>
      </c>
      <c r="CE304" s="16">
        <f t="shared" ca="1" si="173"/>
        <v>85</v>
      </c>
      <c r="CF304" s="16" t="str">
        <f t="shared" ca="1" si="174"/>
        <v>Intro!O85</v>
      </c>
      <c r="CH304" s="16" t="str">
        <f t="shared" ca="1" si="175"/>
        <v>Intro!O85:P88</v>
      </c>
      <c r="CI304" s="16" t="str">
        <f t="shared" ca="1" si="176"/>
        <v>340805_14e</v>
      </c>
      <c r="CJ304" s="16" t="str">
        <f t="shared" ca="1" si="177"/>
        <v>340805</v>
      </c>
      <c r="CK304" s="16">
        <f t="shared" ca="1" si="178"/>
        <v>8</v>
      </c>
      <c r="CL304" s="16">
        <f t="shared" ca="1" si="179"/>
        <v>34</v>
      </c>
      <c r="CM304" s="16">
        <f t="shared" ca="1" si="180"/>
        <v>5</v>
      </c>
      <c r="CN304" s="16">
        <f t="shared" ca="1" si="181"/>
        <v>14</v>
      </c>
      <c r="CO304" s="16" t="str">
        <f t="shared" ca="1" si="182"/>
        <v>e</v>
      </c>
    </row>
    <row r="305" spans="79:93">
      <c r="CA305" s="16">
        <f t="shared" ca="1" si="169"/>
        <v>79</v>
      </c>
      <c r="CB305" s="16">
        <f t="shared" ca="1" si="170"/>
        <v>86</v>
      </c>
      <c r="CC305" s="16">
        <f t="shared" ca="1" si="171"/>
        <v>2</v>
      </c>
      <c r="CD305" s="16" t="str">
        <f t="shared" ca="1" si="172"/>
        <v>Intro!O</v>
      </c>
      <c r="CE305" s="16">
        <f t="shared" ca="1" si="173"/>
        <v>86</v>
      </c>
      <c r="CF305" s="16" t="str">
        <f t="shared" ca="1" si="174"/>
        <v>Intro!O86</v>
      </c>
      <c r="CH305" s="16" t="str">
        <f t="shared" ca="1" si="175"/>
        <v>Intro!O86:P88</v>
      </c>
      <c r="CI305" s="16" t="str">
        <f t="shared" ca="1" si="176"/>
        <v>340806_10e</v>
      </c>
      <c r="CJ305" s="16" t="str">
        <f t="shared" ca="1" si="177"/>
        <v>340806</v>
      </c>
      <c r="CK305" s="16">
        <f t="shared" ca="1" si="178"/>
        <v>8</v>
      </c>
      <c r="CL305" s="16">
        <f t="shared" ca="1" si="179"/>
        <v>34</v>
      </c>
      <c r="CM305" s="16">
        <f t="shared" ca="1" si="180"/>
        <v>6</v>
      </c>
      <c r="CN305" s="16">
        <f t="shared" ca="1" si="181"/>
        <v>10</v>
      </c>
      <c r="CO305" s="16" t="str">
        <f t="shared" ca="1" si="182"/>
        <v>e</v>
      </c>
    </row>
    <row r="306" spans="79:93">
      <c r="CA306" s="16">
        <f t="shared" ca="1" si="169"/>
        <v>79</v>
      </c>
      <c r="CB306" s="16">
        <f t="shared" ca="1" si="170"/>
        <v>87</v>
      </c>
      <c r="CC306" s="16">
        <f t="shared" ca="1" si="171"/>
        <v>1</v>
      </c>
      <c r="CD306" s="16" t="str">
        <f t="shared" ca="1" si="172"/>
        <v>Intro!O</v>
      </c>
      <c r="CE306" s="16">
        <f t="shared" ca="1" si="173"/>
        <v>87</v>
      </c>
      <c r="CF306" s="16" t="str">
        <f t="shared" ca="1" si="174"/>
        <v>Intro!O87</v>
      </c>
      <c r="CH306" s="16" t="str">
        <f t="shared" ca="1" si="175"/>
        <v>Intro!O87:P88</v>
      </c>
      <c r="CI306" s="16" t="str">
        <f t="shared" ca="1" si="176"/>
        <v>360804_18e</v>
      </c>
      <c r="CJ306" s="16" t="str">
        <f t="shared" ca="1" si="177"/>
        <v>360804</v>
      </c>
      <c r="CK306" s="16">
        <f t="shared" ca="1" si="178"/>
        <v>8</v>
      </c>
      <c r="CL306" s="16">
        <f t="shared" ca="1" si="179"/>
        <v>36</v>
      </c>
      <c r="CM306" s="16">
        <f t="shared" ca="1" si="180"/>
        <v>4</v>
      </c>
      <c r="CN306" s="16">
        <f t="shared" ca="1" si="181"/>
        <v>18</v>
      </c>
      <c r="CO306" s="16" t="str">
        <f t="shared" ca="1" si="182"/>
        <v>e</v>
      </c>
    </row>
    <row r="307" spans="79:93">
      <c r="CA307" s="16">
        <f t="shared" ca="1" si="169"/>
        <v>81</v>
      </c>
      <c r="CB307" s="16">
        <f t="shared" ca="1" si="170"/>
        <v>51</v>
      </c>
      <c r="CC307" s="16">
        <f t="shared" ca="1" si="171"/>
        <v>24</v>
      </c>
      <c r="CD307" s="16" t="str">
        <f t="shared" ca="1" si="172"/>
        <v>Intro!Q</v>
      </c>
      <c r="CE307" s="16">
        <f t="shared" ca="1" si="173"/>
        <v>51</v>
      </c>
      <c r="CF307" s="16" t="str">
        <f t="shared" ca="1" si="174"/>
        <v>Intro!Q51</v>
      </c>
      <c r="CH307" s="16" t="str">
        <f t="shared" ca="1" si="175"/>
        <v>Intro!Q51:R75</v>
      </c>
      <c r="CI307" s="16" t="str">
        <f t="shared" ca="1" si="176"/>
        <v>180901_17s</v>
      </c>
      <c r="CJ307" s="16" t="str">
        <f t="shared" ca="1" si="177"/>
        <v>180901</v>
      </c>
      <c r="CK307" s="16">
        <f t="shared" ca="1" si="178"/>
        <v>9</v>
      </c>
      <c r="CL307" s="16">
        <f t="shared" ca="1" si="179"/>
        <v>18</v>
      </c>
      <c r="CM307" s="16">
        <f t="shared" ca="1" si="180"/>
        <v>1</v>
      </c>
      <c r="CN307" s="16">
        <f t="shared" ca="1" si="181"/>
        <v>17</v>
      </c>
      <c r="CO307" s="16" t="str">
        <f t="shared" ca="1" si="182"/>
        <v>s</v>
      </c>
    </row>
    <row r="308" spans="79:93">
      <c r="CA308" s="16">
        <f t="shared" ca="1" si="169"/>
        <v>81</v>
      </c>
      <c r="CB308" s="16">
        <f t="shared" ca="1" si="170"/>
        <v>52</v>
      </c>
      <c r="CC308" s="16">
        <f t="shared" ca="1" si="171"/>
        <v>23</v>
      </c>
      <c r="CD308" s="16" t="str">
        <f t="shared" ca="1" si="172"/>
        <v>Intro!Q</v>
      </c>
      <c r="CE308" s="16">
        <f t="shared" ca="1" si="173"/>
        <v>52</v>
      </c>
      <c r="CF308" s="16" t="str">
        <f t="shared" ca="1" si="174"/>
        <v>Intro!Q52</v>
      </c>
      <c r="CH308" s="16" t="str">
        <f t="shared" ca="1" si="175"/>
        <v>Intro!Q52:R75</v>
      </c>
      <c r="CI308" s="16" t="str">
        <f t="shared" ca="1" si="176"/>
        <v>180902_09s</v>
      </c>
      <c r="CJ308" s="16" t="str">
        <f t="shared" ca="1" si="177"/>
        <v>180902</v>
      </c>
      <c r="CK308" s="16">
        <f t="shared" ca="1" si="178"/>
        <v>9</v>
      </c>
      <c r="CL308" s="16">
        <f t="shared" ca="1" si="179"/>
        <v>18</v>
      </c>
      <c r="CM308" s="16">
        <f t="shared" ca="1" si="180"/>
        <v>2</v>
      </c>
      <c r="CN308" s="16">
        <f t="shared" ca="1" si="181"/>
        <v>9</v>
      </c>
      <c r="CO308" s="16" t="str">
        <f t="shared" ca="1" si="182"/>
        <v>s</v>
      </c>
    </row>
    <row r="309" spans="79:93">
      <c r="CA309" s="16">
        <f t="shared" ca="1" si="169"/>
        <v>81</v>
      </c>
      <c r="CB309" s="16">
        <f t="shared" ca="1" si="170"/>
        <v>53</v>
      </c>
      <c r="CC309" s="16">
        <f t="shared" ca="1" si="171"/>
        <v>22</v>
      </c>
      <c r="CD309" s="16" t="str">
        <f t="shared" ca="1" si="172"/>
        <v>Intro!Q</v>
      </c>
      <c r="CE309" s="16">
        <f t="shared" ca="1" si="173"/>
        <v>53</v>
      </c>
      <c r="CF309" s="16" t="str">
        <f t="shared" ca="1" si="174"/>
        <v>Intro!Q53</v>
      </c>
      <c r="CH309" s="16" t="str">
        <f t="shared" ca="1" si="175"/>
        <v>Intro!Q53:R75</v>
      </c>
      <c r="CI309" s="16" t="str">
        <f t="shared" ca="1" si="176"/>
        <v>180903_05s</v>
      </c>
      <c r="CJ309" s="16" t="str">
        <f t="shared" ca="1" si="177"/>
        <v>180903</v>
      </c>
      <c r="CK309" s="16">
        <f t="shared" ca="1" si="178"/>
        <v>9</v>
      </c>
      <c r="CL309" s="16">
        <f t="shared" ca="1" si="179"/>
        <v>18</v>
      </c>
      <c r="CM309" s="16">
        <f t="shared" ca="1" si="180"/>
        <v>3</v>
      </c>
      <c r="CN309" s="16">
        <f t="shared" ca="1" si="181"/>
        <v>5</v>
      </c>
      <c r="CO309" s="16" t="str">
        <f t="shared" ca="1" si="182"/>
        <v>s</v>
      </c>
    </row>
    <row r="310" spans="79:93">
      <c r="CA310" s="16">
        <f t="shared" ca="1" si="169"/>
        <v>81</v>
      </c>
      <c r="CB310" s="16">
        <f t="shared" ca="1" si="170"/>
        <v>54</v>
      </c>
      <c r="CC310" s="16">
        <f t="shared" ca="1" si="171"/>
        <v>21</v>
      </c>
      <c r="CD310" s="16" t="str">
        <f t="shared" ca="1" si="172"/>
        <v>Intro!Q</v>
      </c>
      <c r="CE310" s="16">
        <f t="shared" ca="1" si="173"/>
        <v>54</v>
      </c>
      <c r="CF310" s="16" t="str">
        <f t="shared" ca="1" si="174"/>
        <v>Intro!Q54</v>
      </c>
      <c r="CH310" s="16" t="str">
        <f t="shared" ca="1" si="175"/>
        <v>Intro!Q54:R75</v>
      </c>
      <c r="CI310" s="16" t="str">
        <f t="shared" ca="1" si="176"/>
        <v>180904_05s</v>
      </c>
      <c r="CJ310" s="16" t="str">
        <f t="shared" ca="1" si="177"/>
        <v>180904</v>
      </c>
      <c r="CK310" s="16">
        <f t="shared" ca="1" si="178"/>
        <v>9</v>
      </c>
      <c r="CL310" s="16">
        <f t="shared" ca="1" si="179"/>
        <v>18</v>
      </c>
      <c r="CM310" s="16">
        <f t="shared" ca="1" si="180"/>
        <v>4</v>
      </c>
      <c r="CN310" s="16">
        <f t="shared" ca="1" si="181"/>
        <v>5</v>
      </c>
      <c r="CO310" s="16" t="str">
        <f t="shared" ca="1" si="182"/>
        <v>s</v>
      </c>
    </row>
    <row r="311" spans="79:93">
      <c r="CA311" s="16">
        <f t="shared" ca="1" si="169"/>
        <v>81</v>
      </c>
      <c r="CB311" s="16">
        <f t="shared" ca="1" si="170"/>
        <v>55</v>
      </c>
      <c r="CC311" s="16">
        <f t="shared" ca="1" si="171"/>
        <v>20</v>
      </c>
      <c r="CD311" s="16" t="str">
        <f t="shared" ca="1" si="172"/>
        <v>Intro!Q</v>
      </c>
      <c r="CE311" s="16">
        <f t="shared" ca="1" si="173"/>
        <v>55</v>
      </c>
      <c r="CF311" s="16" t="str">
        <f t="shared" ca="1" si="174"/>
        <v>Intro!Q55</v>
      </c>
      <c r="CH311" s="16" t="str">
        <f t="shared" ca="1" si="175"/>
        <v>Intro!Q55:R75</v>
      </c>
      <c r="CI311" s="16" t="str">
        <f t="shared" ca="1" si="176"/>
        <v>180904_05s</v>
      </c>
      <c r="CJ311" s="16" t="str">
        <f t="shared" ca="1" si="177"/>
        <v>180904</v>
      </c>
      <c r="CK311" s="16">
        <f t="shared" ca="1" si="178"/>
        <v>9</v>
      </c>
      <c r="CL311" s="16">
        <f t="shared" ca="1" si="179"/>
        <v>18</v>
      </c>
      <c r="CM311" s="16">
        <f t="shared" ca="1" si="180"/>
        <v>4</v>
      </c>
      <c r="CN311" s="16">
        <f t="shared" ca="1" si="181"/>
        <v>5</v>
      </c>
      <c r="CO311" s="16" t="str">
        <f t="shared" ca="1" si="182"/>
        <v>s</v>
      </c>
    </row>
    <row r="312" spans="79:93">
      <c r="CA312" s="16">
        <f t="shared" ca="1" si="169"/>
        <v>81</v>
      </c>
      <c r="CB312" s="16">
        <f t="shared" ca="1" si="170"/>
        <v>56</v>
      </c>
      <c r="CC312" s="16">
        <f t="shared" ca="1" si="171"/>
        <v>19</v>
      </c>
      <c r="CD312" s="16" t="str">
        <f t="shared" ca="1" si="172"/>
        <v>Intro!Q</v>
      </c>
      <c r="CE312" s="16">
        <f t="shared" ca="1" si="173"/>
        <v>56</v>
      </c>
      <c r="CF312" s="16" t="str">
        <f t="shared" ca="1" si="174"/>
        <v>Intro!Q56</v>
      </c>
      <c r="CH312" s="16" t="str">
        <f t="shared" ca="1" si="175"/>
        <v>Intro!Q56:R75</v>
      </c>
      <c r="CI312" s="16" t="str">
        <f t="shared" ca="1" si="176"/>
        <v>190901_19s</v>
      </c>
      <c r="CJ312" s="16" t="str">
        <f t="shared" ca="1" si="177"/>
        <v>190901</v>
      </c>
      <c r="CK312" s="16">
        <f t="shared" ca="1" si="178"/>
        <v>9</v>
      </c>
      <c r="CL312" s="16">
        <f t="shared" ca="1" si="179"/>
        <v>19</v>
      </c>
      <c r="CM312" s="16">
        <f t="shared" ca="1" si="180"/>
        <v>1</v>
      </c>
      <c r="CN312" s="16">
        <f t="shared" ca="1" si="181"/>
        <v>19</v>
      </c>
      <c r="CO312" s="16" t="str">
        <f t="shared" ca="1" si="182"/>
        <v>s</v>
      </c>
    </row>
    <row r="313" spans="79:93">
      <c r="CA313" s="16">
        <f t="shared" ca="1" si="169"/>
        <v>81</v>
      </c>
      <c r="CB313" s="16">
        <f t="shared" ca="1" si="170"/>
        <v>57</v>
      </c>
      <c r="CC313" s="16">
        <f t="shared" ca="1" si="171"/>
        <v>18</v>
      </c>
      <c r="CD313" s="16" t="str">
        <f t="shared" ca="1" si="172"/>
        <v>Intro!Q</v>
      </c>
      <c r="CE313" s="16">
        <f t="shared" ca="1" si="173"/>
        <v>57</v>
      </c>
      <c r="CF313" s="16" t="str">
        <f t="shared" ca="1" si="174"/>
        <v>Intro!Q57</v>
      </c>
      <c r="CH313" s="16" t="str">
        <f t="shared" ca="1" si="175"/>
        <v>Intro!Q57:R75</v>
      </c>
      <c r="CI313" s="16" t="str">
        <f t="shared" ca="1" si="176"/>
        <v>190902_09s</v>
      </c>
      <c r="CJ313" s="16" t="str">
        <f t="shared" ca="1" si="177"/>
        <v>190902</v>
      </c>
      <c r="CK313" s="16">
        <f t="shared" ca="1" si="178"/>
        <v>9</v>
      </c>
      <c r="CL313" s="16">
        <f t="shared" ca="1" si="179"/>
        <v>19</v>
      </c>
      <c r="CM313" s="16">
        <f t="shared" ca="1" si="180"/>
        <v>2</v>
      </c>
      <c r="CN313" s="16">
        <f t="shared" ca="1" si="181"/>
        <v>9</v>
      </c>
      <c r="CO313" s="16" t="str">
        <f t="shared" ca="1" si="182"/>
        <v>s</v>
      </c>
    </row>
    <row r="314" spans="79:93">
      <c r="CA314" s="16">
        <f t="shared" ca="1" si="169"/>
        <v>81</v>
      </c>
      <c r="CB314" s="16">
        <f t="shared" ca="1" si="170"/>
        <v>58</v>
      </c>
      <c r="CC314" s="16">
        <f t="shared" ca="1" si="171"/>
        <v>17</v>
      </c>
      <c r="CD314" s="16" t="str">
        <f t="shared" ca="1" si="172"/>
        <v>Intro!Q</v>
      </c>
      <c r="CE314" s="16">
        <f t="shared" ca="1" si="173"/>
        <v>58</v>
      </c>
      <c r="CF314" s="16" t="str">
        <f t="shared" ca="1" si="174"/>
        <v>Intro!Q58</v>
      </c>
      <c r="CH314" s="16" t="str">
        <f t="shared" ca="1" si="175"/>
        <v>Intro!Q58:R75</v>
      </c>
      <c r="CI314" s="16" t="str">
        <f t="shared" ca="1" si="176"/>
        <v>190903_07s</v>
      </c>
      <c r="CJ314" s="16" t="str">
        <f t="shared" ca="1" si="177"/>
        <v>190903</v>
      </c>
      <c r="CK314" s="16">
        <f t="shared" ca="1" si="178"/>
        <v>9</v>
      </c>
      <c r="CL314" s="16">
        <f t="shared" ca="1" si="179"/>
        <v>19</v>
      </c>
      <c r="CM314" s="16">
        <f t="shared" ca="1" si="180"/>
        <v>3</v>
      </c>
      <c r="CN314" s="16">
        <f t="shared" ca="1" si="181"/>
        <v>7</v>
      </c>
      <c r="CO314" s="16" t="str">
        <f t="shared" ca="1" si="182"/>
        <v>s</v>
      </c>
    </row>
    <row r="315" spans="79:93">
      <c r="CA315" s="16">
        <f t="shared" ca="1" si="169"/>
        <v>81</v>
      </c>
      <c r="CB315" s="16">
        <f t="shared" ca="1" si="170"/>
        <v>59</v>
      </c>
      <c r="CC315" s="16">
        <f t="shared" ca="1" si="171"/>
        <v>16</v>
      </c>
      <c r="CD315" s="16" t="str">
        <f t="shared" ca="1" si="172"/>
        <v>Intro!Q</v>
      </c>
      <c r="CE315" s="16">
        <f t="shared" ca="1" si="173"/>
        <v>59</v>
      </c>
      <c r="CF315" s="16" t="str">
        <f t="shared" ca="1" si="174"/>
        <v>Intro!Q59</v>
      </c>
      <c r="CH315" s="16" t="str">
        <f t="shared" ca="1" si="175"/>
        <v>Intro!Q59:R75</v>
      </c>
      <c r="CI315" s="16" t="str">
        <f t="shared" ca="1" si="176"/>
        <v>200903_07s</v>
      </c>
      <c r="CJ315" s="16" t="str">
        <f t="shared" ca="1" si="177"/>
        <v>200903</v>
      </c>
      <c r="CK315" s="16">
        <f t="shared" ca="1" si="178"/>
        <v>9</v>
      </c>
      <c r="CL315" s="16">
        <f t="shared" ca="1" si="179"/>
        <v>20</v>
      </c>
      <c r="CM315" s="16">
        <f t="shared" ca="1" si="180"/>
        <v>3</v>
      </c>
      <c r="CN315" s="16">
        <f t="shared" ca="1" si="181"/>
        <v>7</v>
      </c>
      <c r="CO315" s="16" t="str">
        <f t="shared" ca="1" si="182"/>
        <v>s</v>
      </c>
    </row>
    <row r="316" spans="79:93">
      <c r="CA316" s="16">
        <f t="shared" ca="1" si="169"/>
        <v>81</v>
      </c>
      <c r="CB316" s="16">
        <f t="shared" ca="1" si="170"/>
        <v>60</v>
      </c>
      <c r="CC316" s="16">
        <f t="shared" ca="1" si="171"/>
        <v>15</v>
      </c>
      <c r="CD316" s="16" t="str">
        <f t="shared" ca="1" si="172"/>
        <v>Intro!Q</v>
      </c>
      <c r="CE316" s="16">
        <f t="shared" ca="1" si="173"/>
        <v>60</v>
      </c>
      <c r="CF316" s="16" t="str">
        <f t="shared" ca="1" si="174"/>
        <v>Intro!Q60</v>
      </c>
      <c r="CH316" s="16" t="str">
        <f t="shared" ca="1" si="175"/>
        <v>Intro!Q60:R75</v>
      </c>
      <c r="CI316" s="16" t="str">
        <f t="shared" ca="1" si="176"/>
        <v>210903_07s</v>
      </c>
      <c r="CJ316" s="16" t="str">
        <f t="shared" ca="1" si="177"/>
        <v>210903</v>
      </c>
      <c r="CK316" s="16">
        <f t="shared" ca="1" si="178"/>
        <v>9</v>
      </c>
      <c r="CL316" s="16">
        <f t="shared" ca="1" si="179"/>
        <v>21</v>
      </c>
      <c r="CM316" s="16">
        <f t="shared" ca="1" si="180"/>
        <v>3</v>
      </c>
      <c r="CN316" s="16">
        <f t="shared" ca="1" si="181"/>
        <v>7</v>
      </c>
      <c r="CO316" s="16" t="str">
        <f t="shared" ca="1" si="182"/>
        <v>s</v>
      </c>
    </row>
    <row r="317" spans="79:93">
      <c r="CA317" s="16">
        <f t="shared" ca="1" si="169"/>
        <v>81</v>
      </c>
      <c r="CB317" s="16">
        <f t="shared" ca="1" si="170"/>
        <v>61</v>
      </c>
      <c r="CC317" s="16">
        <f t="shared" ca="1" si="171"/>
        <v>14</v>
      </c>
      <c r="CD317" s="16" t="str">
        <f t="shared" ca="1" si="172"/>
        <v>Intro!Q</v>
      </c>
      <c r="CE317" s="16">
        <f t="shared" ca="1" si="173"/>
        <v>61</v>
      </c>
      <c r="CF317" s="16" t="str">
        <f t="shared" ca="1" si="174"/>
        <v>Intro!Q61</v>
      </c>
      <c r="CH317" s="16" t="str">
        <f t="shared" ca="1" si="175"/>
        <v>Intro!Q61:R75</v>
      </c>
      <c r="CI317" s="16" t="str">
        <f t="shared" ca="1" si="176"/>
        <v>210904_05s</v>
      </c>
      <c r="CJ317" s="16" t="str">
        <f t="shared" ca="1" si="177"/>
        <v>210904</v>
      </c>
      <c r="CK317" s="16">
        <f t="shared" ca="1" si="178"/>
        <v>9</v>
      </c>
      <c r="CL317" s="16">
        <f t="shared" ca="1" si="179"/>
        <v>21</v>
      </c>
      <c r="CM317" s="16">
        <f t="shared" ca="1" si="180"/>
        <v>4</v>
      </c>
      <c r="CN317" s="16">
        <f t="shared" ca="1" si="181"/>
        <v>5</v>
      </c>
      <c r="CO317" s="16" t="str">
        <f t="shared" ca="1" si="182"/>
        <v>s</v>
      </c>
    </row>
    <row r="318" spans="79:93">
      <c r="CA318" s="16">
        <f t="shared" ref="CA318:CA333" ca="1" si="183">IF(CC317-1=0,CA317+2,CA317)</f>
        <v>81</v>
      </c>
      <c r="CB318" s="16">
        <f t="shared" ref="CB318:CB333" ca="1" si="184">IF(CC317-1=0,CB$1,CB317+1)</f>
        <v>62</v>
      </c>
      <c r="CC318" s="16">
        <f t="shared" ref="CC318:CC333" ca="1" si="185">INDIRECT(CF318)</f>
        <v>13</v>
      </c>
      <c r="CD318" s="16" t="str">
        <f t="shared" ref="CD318:CD333" ca="1" si="186">CONCATENATE("Intro!",CHAR(CA318))</f>
        <v>Intro!Q</v>
      </c>
      <c r="CE318" s="16">
        <f t="shared" ref="CE318:CE333" ca="1" si="187">CB318</f>
        <v>62</v>
      </c>
      <c r="CF318" s="16" t="str">
        <f t="shared" ref="CF318:CF333" ca="1" si="188">CONCATENATE(CD318,CE318)</f>
        <v>Intro!Q62</v>
      </c>
      <c r="CH318" s="16" t="str">
        <f t="shared" ref="CH318:CH333" ca="1" si="189">CONCATENATE(CF318,":",CHAR(CA318+1),(CB318+CC318))</f>
        <v>Intro!Q62:R75</v>
      </c>
      <c r="CI318" s="16" t="str">
        <f t="shared" ref="CI318:CI333" ca="1" si="190">VLOOKUP(CC318,INDIRECT(CH318),2,FALSE)</f>
        <v>280904_10c</v>
      </c>
      <c r="CJ318" s="16" t="str">
        <f t="shared" ref="CJ318:CJ333" ca="1" si="191">LEFT(CI318,6)</f>
        <v>280904</v>
      </c>
      <c r="CK318" s="16">
        <f t="shared" ref="CK318:CK333" ca="1" si="192">VALUE(MID(CI318,3,2))</f>
        <v>9</v>
      </c>
      <c r="CL318" s="16">
        <f t="shared" ref="CL318:CL333" ca="1" si="193">VALUE(MID(CI318,1,2))</f>
        <v>28</v>
      </c>
      <c r="CM318" s="16">
        <f t="shared" ref="CM318:CM333" ca="1" si="194">VALUE(MID(CI318,5,2))</f>
        <v>4</v>
      </c>
      <c r="CN318" s="16">
        <f t="shared" ref="CN318:CN333" ca="1" si="195">VALUE(MID(CI318,8,2))</f>
        <v>10</v>
      </c>
      <c r="CO318" s="16" t="str">
        <f t="shared" ref="CO318:CO333" ca="1" si="196">RIGHT(CI318,1)</f>
        <v>c</v>
      </c>
    </row>
    <row r="319" spans="79:93">
      <c r="CA319" s="16">
        <f t="shared" ca="1" si="183"/>
        <v>81</v>
      </c>
      <c r="CB319" s="16">
        <f t="shared" ca="1" si="184"/>
        <v>63</v>
      </c>
      <c r="CC319" s="16">
        <f t="shared" ca="1" si="185"/>
        <v>12</v>
      </c>
      <c r="CD319" s="16" t="str">
        <f t="shared" ca="1" si="186"/>
        <v>Intro!Q</v>
      </c>
      <c r="CE319" s="16">
        <f t="shared" ca="1" si="187"/>
        <v>63</v>
      </c>
      <c r="CF319" s="16" t="str">
        <f t="shared" ca="1" si="188"/>
        <v>Intro!Q63</v>
      </c>
      <c r="CH319" s="16" t="str">
        <f t="shared" ca="1" si="189"/>
        <v>Intro!Q63:R75</v>
      </c>
      <c r="CI319" s="16" t="str">
        <f t="shared" ca="1" si="190"/>
        <v>340902_34e</v>
      </c>
      <c r="CJ319" s="16" t="str">
        <f t="shared" ca="1" si="191"/>
        <v>340902</v>
      </c>
      <c r="CK319" s="16">
        <f t="shared" ca="1" si="192"/>
        <v>9</v>
      </c>
      <c r="CL319" s="16">
        <f t="shared" ca="1" si="193"/>
        <v>34</v>
      </c>
      <c r="CM319" s="16">
        <f t="shared" ca="1" si="194"/>
        <v>2</v>
      </c>
      <c r="CN319" s="16">
        <f t="shared" ca="1" si="195"/>
        <v>34</v>
      </c>
      <c r="CO319" s="16" t="str">
        <f t="shared" ca="1" si="196"/>
        <v>e</v>
      </c>
    </row>
    <row r="320" spans="79:93">
      <c r="CA320" s="16">
        <f t="shared" ca="1" si="183"/>
        <v>81</v>
      </c>
      <c r="CB320" s="16">
        <f t="shared" ca="1" si="184"/>
        <v>64</v>
      </c>
      <c r="CC320" s="16">
        <f t="shared" ca="1" si="185"/>
        <v>11</v>
      </c>
      <c r="CD320" s="16" t="str">
        <f t="shared" ca="1" si="186"/>
        <v>Intro!Q</v>
      </c>
      <c r="CE320" s="16">
        <f t="shared" ca="1" si="187"/>
        <v>64</v>
      </c>
      <c r="CF320" s="16" t="str">
        <f t="shared" ca="1" si="188"/>
        <v>Intro!Q64</v>
      </c>
      <c r="CH320" s="16" t="str">
        <f t="shared" ca="1" si="189"/>
        <v>Intro!Q64:R75</v>
      </c>
      <c r="CI320" s="16" t="str">
        <f t="shared" ca="1" si="190"/>
        <v>340904_18e</v>
      </c>
      <c r="CJ320" s="16" t="str">
        <f t="shared" ca="1" si="191"/>
        <v>340904</v>
      </c>
      <c r="CK320" s="16">
        <f t="shared" ca="1" si="192"/>
        <v>9</v>
      </c>
      <c r="CL320" s="16">
        <f t="shared" ca="1" si="193"/>
        <v>34</v>
      </c>
      <c r="CM320" s="16">
        <f t="shared" ca="1" si="194"/>
        <v>4</v>
      </c>
      <c r="CN320" s="16">
        <f t="shared" ca="1" si="195"/>
        <v>18</v>
      </c>
      <c r="CO320" s="16" t="str">
        <f t="shared" ca="1" si="196"/>
        <v>e</v>
      </c>
    </row>
    <row r="321" spans="79:93">
      <c r="CA321" s="16">
        <f t="shared" ca="1" si="183"/>
        <v>81</v>
      </c>
      <c r="CB321" s="16">
        <f t="shared" ca="1" si="184"/>
        <v>65</v>
      </c>
      <c r="CC321" s="16">
        <f t="shared" ca="1" si="185"/>
        <v>10</v>
      </c>
      <c r="CD321" s="16" t="str">
        <f t="shared" ca="1" si="186"/>
        <v>Intro!Q</v>
      </c>
      <c r="CE321" s="16">
        <f t="shared" ca="1" si="187"/>
        <v>65</v>
      </c>
      <c r="CF321" s="16" t="str">
        <f t="shared" ca="1" si="188"/>
        <v>Intro!Q65</v>
      </c>
      <c r="CH321" s="16" t="str">
        <f t="shared" ca="1" si="189"/>
        <v>Intro!Q65:R75</v>
      </c>
      <c r="CI321" s="16" t="str">
        <f t="shared" ca="1" si="190"/>
        <v>340904_18e</v>
      </c>
      <c r="CJ321" s="16" t="str">
        <f t="shared" ca="1" si="191"/>
        <v>340904</v>
      </c>
      <c r="CK321" s="16">
        <f t="shared" ca="1" si="192"/>
        <v>9</v>
      </c>
      <c r="CL321" s="16">
        <f t="shared" ca="1" si="193"/>
        <v>34</v>
      </c>
      <c r="CM321" s="16">
        <f t="shared" ca="1" si="194"/>
        <v>4</v>
      </c>
      <c r="CN321" s="16">
        <f t="shared" ca="1" si="195"/>
        <v>18</v>
      </c>
      <c r="CO321" s="16" t="str">
        <f t="shared" ca="1" si="196"/>
        <v>e</v>
      </c>
    </row>
    <row r="322" spans="79:93">
      <c r="CA322" s="16">
        <f t="shared" ca="1" si="183"/>
        <v>81</v>
      </c>
      <c r="CB322" s="16">
        <f t="shared" ca="1" si="184"/>
        <v>66</v>
      </c>
      <c r="CC322" s="16">
        <f t="shared" ca="1" si="185"/>
        <v>9</v>
      </c>
      <c r="CD322" s="16" t="str">
        <f t="shared" ca="1" si="186"/>
        <v>Intro!Q</v>
      </c>
      <c r="CE322" s="16">
        <f t="shared" ca="1" si="187"/>
        <v>66</v>
      </c>
      <c r="CF322" s="16" t="str">
        <f t="shared" ca="1" si="188"/>
        <v>Intro!Q66</v>
      </c>
      <c r="CH322" s="16" t="str">
        <f t="shared" ca="1" si="189"/>
        <v>Intro!Q66:R75</v>
      </c>
      <c r="CI322" s="16" t="str">
        <f t="shared" ca="1" si="190"/>
        <v>340905_14e</v>
      </c>
      <c r="CJ322" s="16" t="str">
        <f t="shared" ca="1" si="191"/>
        <v>340905</v>
      </c>
      <c r="CK322" s="16">
        <f t="shared" ca="1" si="192"/>
        <v>9</v>
      </c>
      <c r="CL322" s="16">
        <f t="shared" ca="1" si="193"/>
        <v>34</v>
      </c>
      <c r="CM322" s="16">
        <f t="shared" ca="1" si="194"/>
        <v>5</v>
      </c>
      <c r="CN322" s="16">
        <f t="shared" ca="1" si="195"/>
        <v>14</v>
      </c>
      <c r="CO322" s="16" t="str">
        <f t="shared" ca="1" si="196"/>
        <v>e</v>
      </c>
    </row>
    <row r="323" spans="79:93">
      <c r="CA323" s="16">
        <f t="shared" ca="1" si="183"/>
        <v>81</v>
      </c>
      <c r="CB323" s="16">
        <f t="shared" ca="1" si="184"/>
        <v>67</v>
      </c>
      <c r="CC323" s="16">
        <f t="shared" ca="1" si="185"/>
        <v>8</v>
      </c>
      <c r="CD323" s="16" t="str">
        <f t="shared" ca="1" si="186"/>
        <v>Intro!Q</v>
      </c>
      <c r="CE323" s="16">
        <f t="shared" ca="1" si="187"/>
        <v>67</v>
      </c>
      <c r="CF323" s="16" t="str">
        <f t="shared" ca="1" si="188"/>
        <v>Intro!Q67</v>
      </c>
      <c r="CH323" s="16" t="str">
        <f t="shared" ca="1" si="189"/>
        <v>Intro!Q67:R75</v>
      </c>
      <c r="CI323" s="16" t="str">
        <f t="shared" ca="1" si="190"/>
        <v>350902_34e</v>
      </c>
      <c r="CJ323" s="16" t="str">
        <f t="shared" ca="1" si="191"/>
        <v>350902</v>
      </c>
      <c r="CK323" s="16">
        <f t="shared" ca="1" si="192"/>
        <v>9</v>
      </c>
      <c r="CL323" s="16">
        <f t="shared" ca="1" si="193"/>
        <v>35</v>
      </c>
      <c r="CM323" s="16">
        <f t="shared" ca="1" si="194"/>
        <v>2</v>
      </c>
      <c r="CN323" s="16">
        <f t="shared" ca="1" si="195"/>
        <v>34</v>
      </c>
      <c r="CO323" s="16" t="str">
        <f t="shared" ca="1" si="196"/>
        <v>e</v>
      </c>
    </row>
    <row r="324" spans="79:93">
      <c r="CA324" s="16">
        <f t="shared" ca="1" si="183"/>
        <v>81</v>
      </c>
      <c r="CB324" s="16">
        <f t="shared" ca="1" si="184"/>
        <v>68</v>
      </c>
      <c r="CC324" s="16">
        <f t="shared" ca="1" si="185"/>
        <v>7</v>
      </c>
      <c r="CD324" s="16" t="str">
        <f t="shared" ca="1" si="186"/>
        <v>Intro!Q</v>
      </c>
      <c r="CE324" s="16">
        <f t="shared" ca="1" si="187"/>
        <v>68</v>
      </c>
      <c r="CF324" s="16" t="str">
        <f t="shared" ca="1" si="188"/>
        <v>Intro!Q68</v>
      </c>
      <c r="CH324" s="16" t="str">
        <f t="shared" ca="1" si="189"/>
        <v>Intro!Q68:R75</v>
      </c>
      <c r="CI324" s="16" t="str">
        <f t="shared" ca="1" si="190"/>
        <v>360901_36e</v>
      </c>
      <c r="CJ324" s="16" t="str">
        <f t="shared" ca="1" si="191"/>
        <v>360901</v>
      </c>
      <c r="CK324" s="16">
        <f t="shared" ca="1" si="192"/>
        <v>9</v>
      </c>
      <c r="CL324" s="16">
        <f t="shared" ca="1" si="193"/>
        <v>36</v>
      </c>
      <c r="CM324" s="16">
        <f t="shared" ca="1" si="194"/>
        <v>1</v>
      </c>
      <c r="CN324" s="16">
        <f t="shared" ca="1" si="195"/>
        <v>36</v>
      </c>
      <c r="CO324" s="16" t="str">
        <f t="shared" ca="1" si="196"/>
        <v>e</v>
      </c>
    </row>
    <row r="325" spans="79:93">
      <c r="CA325" s="16">
        <f t="shared" ca="1" si="183"/>
        <v>81</v>
      </c>
      <c r="CB325" s="16">
        <f t="shared" ca="1" si="184"/>
        <v>69</v>
      </c>
      <c r="CC325" s="16">
        <f t="shared" ca="1" si="185"/>
        <v>6</v>
      </c>
      <c r="CD325" s="16" t="str">
        <f t="shared" ca="1" si="186"/>
        <v>Intro!Q</v>
      </c>
      <c r="CE325" s="16">
        <f t="shared" ca="1" si="187"/>
        <v>69</v>
      </c>
      <c r="CF325" s="16" t="str">
        <f t="shared" ca="1" si="188"/>
        <v>Intro!Q69</v>
      </c>
      <c r="CH325" s="16" t="str">
        <f t="shared" ca="1" si="189"/>
        <v>Intro!Q69:R75</v>
      </c>
      <c r="CI325" s="16" t="str">
        <f t="shared" ca="1" si="190"/>
        <v>360902_34e</v>
      </c>
      <c r="CJ325" s="16" t="str">
        <f t="shared" ca="1" si="191"/>
        <v>360902</v>
      </c>
      <c r="CK325" s="16">
        <f t="shared" ca="1" si="192"/>
        <v>9</v>
      </c>
      <c r="CL325" s="16">
        <f t="shared" ca="1" si="193"/>
        <v>36</v>
      </c>
      <c r="CM325" s="16">
        <f t="shared" ca="1" si="194"/>
        <v>2</v>
      </c>
      <c r="CN325" s="16">
        <f t="shared" ca="1" si="195"/>
        <v>34</v>
      </c>
      <c r="CO325" s="16" t="str">
        <f t="shared" ca="1" si="196"/>
        <v>e</v>
      </c>
    </row>
    <row r="326" spans="79:93">
      <c r="CA326" s="16">
        <f t="shared" ca="1" si="183"/>
        <v>81</v>
      </c>
      <c r="CB326" s="16">
        <f t="shared" ca="1" si="184"/>
        <v>70</v>
      </c>
      <c r="CC326" s="16">
        <f t="shared" ca="1" si="185"/>
        <v>5</v>
      </c>
      <c r="CD326" s="16" t="str">
        <f t="shared" ca="1" si="186"/>
        <v>Intro!Q</v>
      </c>
      <c r="CE326" s="16">
        <f t="shared" ca="1" si="187"/>
        <v>70</v>
      </c>
      <c r="CF326" s="16" t="str">
        <f t="shared" ca="1" si="188"/>
        <v>Intro!Q70</v>
      </c>
      <c r="CH326" s="16" t="str">
        <f t="shared" ca="1" si="189"/>
        <v>Intro!Q70:R75</v>
      </c>
      <c r="CI326" s="16" t="str">
        <f t="shared" ca="1" si="190"/>
        <v>360903_22e</v>
      </c>
      <c r="CJ326" s="16" t="str">
        <f t="shared" ca="1" si="191"/>
        <v>360903</v>
      </c>
      <c r="CK326" s="16">
        <f t="shared" ca="1" si="192"/>
        <v>9</v>
      </c>
      <c r="CL326" s="16">
        <f t="shared" ca="1" si="193"/>
        <v>36</v>
      </c>
      <c r="CM326" s="16">
        <f t="shared" ca="1" si="194"/>
        <v>3</v>
      </c>
      <c r="CN326" s="16">
        <f t="shared" ca="1" si="195"/>
        <v>22</v>
      </c>
      <c r="CO326" s="16" t="str">
        <f t="shared" ca="1" si="196"/>
        <v>e</v>
      </c>
    </row>
    <row r="327" spans="79:93">
      <c r="CA327" s="16">
        <f t="shared" ca="1" si="183"/>
        <v>81</v>
      </c>
      <c r="CB327" s="16">
        <f t="shared" ca="1" si="184"/>
        <v>71</v>
      </c>
      <c r="CC327" s="16">
        <f t="shared" ca="1" si="185"/>
        <v>4</v>
      </c>
      <c r="CD327" s="16" t="str">
        <f t="shared" ca="1" si="186"/>
        <v>Intro!Q</v>
      </c>
      <c r="CE327" s="16">
        <f t="shared" ca="1" si="187"/>
        <v>71</v>
      </c>
      <c r="CF327" s="16" t="str">
        <f t="shared" ca="1" si="188"/>
        <v>Intro!Q71</v>
      </c>
      <c r="CH327" s="16" t="str">
        <f t="shared" ca="1" si="189"/>
        <v>Intro!Q71:R75</v>
      </c>
      <c r="CI327" s="16" t="str">
        <f t="shared" ca="1" si="190"/>
        <v>360904_18e</v>
      </c>
      <c r="CJ327" s="16" t="str">
        <f t="shared" ca="1" si="191"/>
        <v>360904</v>
      </c>
      <c r="CK327" s="16">
        <f t="shared" ca="1" si="192"/>
        <v>9</v>
      </c>
      <c r="CL327" s="16">
        <f t="shared" ca="1" si="193"/>
        <v>36</v>
      </c>
      <c r="CM327" s="16">
        <f t="shared" ca="1" si="194"/>
        <v>4</v>
      </c>
      <c r="CN327" s="16">
        <f t="shared" ca="1" si="195"/>
        <v>18</v>
      </c>
      <c r="CO327" s="16" t="str">
        <f t="shared" ca="1" si="196"/>
        <v>e</v>
      </c>
    </row>
    <row r="328" spans="79:93">
      <c r="CA328" s="16">
        <f t="shared" ca="1" si="183"/>
        <v>81</v>
      </c>
      <c r="CB328" s="16">
        <f t="shared" ca="1" si="184"/>
        <v>72</v>
      </c>
      <c r="CC328" s="16">
        <f t="shared" ca="1" si="185"/>
        <v>3</v>
      </c>
      <c r="CD328" s="16" t="str">
        <f t="shared" ca="1" si="186"/>
        <v>Intro!Q</v>
      </c>
      <c r="CE328" s="16">
        <f t="shared" ca="1" si="187"/>
        <v>72</v>
      </c>
      <c r="CF328" s="16" t="str">
        <f t="shared" ca="1" si="188"/>
        <v>Intro!Q72</v>
      </c>
      <c r="CH328" s="16" t="str">
        <f t="shared" ca="1" si="189"/>
        <v>Intro!Q72:R75</v>
      </c>
      <c r="CI328" s="16" t="str">
        <f t="shared" ca="1" si="190"/>
        <v>360905_14e</v>
      </c>
      <c r="CJ328" s="16" t="str">
        <f t="shared" ca="1" si="191"/>
        <v>360905</v>
      </c>
      <c r="CK328" s="16">
        <f t="shared" ca="1" si="192"/>
        <v>9</v>
      </c>
      <c r="CL328" s="16">
        <f t="shared" ca="1" si="193"/>
        <v>36</v>
      </c>
      <c r="CM328" s="16">
        <f t="shared" ca="1" si="194"/>
        <v>5</v>
      </c>
      <c r="CN328" s="16">
        <f t="shared" ca="1" si="195"/>
        <v>14</v>
      </c>
      <c r="CO328" s="16" t="str">
        <f t="shared" ca="1" si="196"/>
        <v>e</v>
      </c>
    </row>
    <row r="329" spans="79:93">
      <c r="CA329" s="16">
        <f t="shared" ca="1" si="183"/>
        <v>81</v>
      </c>
      <c r="CB329" s="16">
        <f t="shared" ca="1" si="184"/>
        <v>73</v>
      </c>
      <c r="CC329" s="16">
        <f t="shared" ca="1" si="185"/>
        <v>2</v>
      </c>
      <c r="CD329" s="16" t="str">
        <f t="shared" ca="1" si="186"/>
        <v>Intro!Q</v>
      </c>
      <c r="CE329" s="16">
        <f t="shared" ca="1" si="187"/>
        <v>73</v>
      </c>
      <c r="CF329" s="16" t="str">
        <f t="shared" ca="1" si="188"/>
        <v>Intro!Q73</v>
      </c>
      <c r="CH329" s="16" t="str">
        <f t="shared" ca="1" si="189"/>
        <v>Intro!Q73:R75</v>
      </c>
      <c r="CI329" s="16" t="str">
        <f t="shared" ca="1" si="190"/>
        <v>360906_10e</v>
      </c>
      <c r="CJ329" s="16" t="str">
        <f t="shared" ca="1" si="191"/>
        <v>360906</v>
      </c>
      <c r="CK329" s="16">
        <f t="shared" ca="1" si="192"/>
        <v>9</v>
      </c>
      <c r="CL329" s="16">
        <f t="shared" ca="1" si="193"/>
        <v>36</v>
      </c>
      <c r="CM329" s="16">
        <f t="shared" ca="1" si="194"/>
        <v>6</v>
      </c>
      <c r="CN329" s="16">
        <f t="shared" ca="1" si="195"/>
        <v>10</v>
      </c>
      <c r="CO329" s="16" t="str">
        <f t="shared" ca="1" si="196"/>
        <v>e</v>
      </c>
    </row>
    <row r="330" spans="79:93">
      <c r="CA330" s="16">
        <f t="shared" ca="1" si="183"/>
        <v>81</v>
      </c>
      <c r="CB330" s="16">
        <f t="shared" ca="1" si="184"/>
        <v>74</v>
      </c>
      <c r="CC330" s="16">
        <f t="shared" ca="1" si="185"/>
        <v>1</v>
      </c>
      <c r="CD330" s="16" t="str">
        <f t="shared" ca="1" si="186"/>
        <v>Intro!Q</v>
      </c>
      <c r="CE330" s="16">
        <f t="shared" ca="1" si="187"/>
        <v>74</v>
      </c>
      <c r="CF330" s="16" t="str">
        <f t="shared" ca="1" si="188"/>
        <v>Intro!Q74</v>
      </c>
      <c r="CH330" s="16" t="str">
        <f t="shared" ca="1" si="189"/>
        <v>Intro!Q74:R75</v>
      </c>
      <c r="CI330" s="16" t="str">
        <f t="shared" ca="1" si="190"/>
        <v>380902_38e</v>
      </c>
      <c r="CJ330" s="16" t="str">
        <f t="shared" ca="1" si="191"/>
        <v>380902</v>
      </c>
      <c r="CK330" s="16">
        <f t="shared" ca="1" si="192"/>
        <v>9</v>
      </c>
      <c r="CL330" s="16">
        <f t="shared" ca="1" si="193"/>
        <v>38</v>
      </c>
      <c r="CM330" s="16">
        <f t="shared" ca="1" si="194"/>
        <v>2</v>
      </c>
      <c r="CN330" s="16">
        <f t="shared" ca="1" si="195"/>
        <v>38</v>
      </c>
      <c r="CO330" s="16" t="str">
        <f t="shared" ca="1" si="196"/>
        <v>e</v>
      </c>
    </row>
    <row r="331" spans="79:93">
      <c r="CA331" s="16">
        <f t="shared" ca="1" si="183"/>
        <v>83</v>
      </c>
      <c r="CB331" s="16">
        <f t="shared" ca="1" si="184"/>
        <v>51</v>
      </c>
      <c r="CC331" s="16">
        <f t="shared" ca="1" si="185"/>
        <v>20</v>
      </c>
      <c r="CD331" s="16" t="str">
        <f t="shared" ca="1" si="186"/>
        <v>Intro!S</v>
      </c>
      <c r="CE331" s="16">
        <f t="shared" ca="1" si="187"/>
        <v>51</v>
      </c>
      <c r="CF331" s="16" t="str">
        <f t="shared" ca="1" si="188"/>
        <v>Intro!S51</v>
      </c>
      <c r="CH331" s="16" t="str">
        <f t="shared" ca="1" si="189"/>
        <v>Intro!S51:T71</v>
      </c>
      <c r="CI331" s="16" t="str">
        <f t="shared" ca="1" si="190"/>
        <v>201001_19s</v>
      </c>
      <c r="CJ331" s="16" t="str">
        <f t="shared" ca="1" si="191"/>
        <v>201001</v>
      </c>
      <c r="CK331" s="16">
        <f t="shared" ca="1" si="192"/>
        <v>10</v>
      </c>
      <c r="CL331" s="16">
        <f t="shared" ca="1" si="193"/>
        <v>20</v>
      </c>
      <c r="CM331" s="16">
        <f t="shared" ca="1" si="194"/>
        <v>1</v>
      </c>
      <c r="CN331" s="16">
        <f t="shared" ca="1" si="195"/>
        <v>19</v>
      </c>
      <c r="CO331" s="16" t="str">
        <f t="shared" ca="1" si="196"/>
        <v>s</v>
      </c>
    </row>
    <row r="332" spans="79:93">
      <c r="CA332" s="16">
        <f t="shared" ca="1" si="183"/>
        <v>83</v>
      </c>
      <c r="CB332" s="16">
        <f t="shared" ca="1" si="184"/>
        <v>52</v>
      </c>
      <c r="CC332" s="16">
        <f t="shared" ca="1" si="185"/>
        <v>19</v>
      </c>
      <c r="CD332" s="16" t="str">
        <f t="shared" ca="1" si="186"/>
        <v>Intro!S</v>
      </c>
      <c r="CE332" s="16">
        <f t="shared" ca="1" si="187"/>
        <v>52</v>
      </c>
      <c r="CF332" s="16" t="str">
        <f t="shared" ca="1" si="188"/>
        <v>Intro!S52</v>
      </c>
      <c r="CH332" s="16" t="str">
        <f t="shared" ca="1" si="189"/>
        <v>Intro!S52:T71</v>
      </c>
      <c r="CI332" s="16" t="str">
        <f t="shared" ca="1" si="190"/>
        <v>201002_09s</v>
      </c>
      <c r="CJ332" s="16" t="str">
        <f t="shared" ca="1" si="191"/>
        <v>201002</v>
      </c>
      <c r="CK332" s="16">
        <f t="shared" ca="1" si="192"/>
        <v>10</v>
      </c>
      <c r="CL332" s="16">
        <f t="shared" ca="1" si="193"/>
        <v>20</v>
      </c>
      <c r="CM332" s="16">
        <f t="shared" ca="1" si="194"/>
        <v>2</v>
      </c>
      <c r="CN332" s="16">
        <f t="shared" ca="1" si="195"/>
        <v>9</v>
      </c>
      <c r="CO332" s="16" t="str">
        <f t="shared" ca="1" si="196"/>
        <v>s</v>
      </c>
    </row>
    <row r="333" spans="79:93">
      <c r="CA333" s="16">
        <f t="shared" ca="1" si="183"/>
        <v>83</v>
      </c>
      <c r="CB333" s="16">
        <f t="shared" ca="1" si="184"/>
        <v>53</v>
      </c>
      <c r="CC333" s="16">
        <f t="shared" ca="1" si="185"/>
        <v>18</v>
      </c>
      <c r="CD333" s="16" t="str">
        <f t="shared" ca="1" si="186"/>
        <v>Intro!S</v>
      </c>
      <c r="CE333" s="16">
        <f t="shared" ca="1" si="187"/>
        <v>53</v>
      </c>
      <c r="CF333" s="16" t="str">
        <f t="shared" ca="1" si="188"/>
        <v>Intro!S53</v>
      </c>
      <c r="CH333" s="16" t="str">
        <f t="shared" ca="1" si="189"/>
        <v>Intro!S53:T71</v>
      </c>
      <c r="CI333" s="16" t="str">
        <f t="shared" ca="1" si="190"/>
        <v>201003_07s</v>
      </c>
      <c r="CJ333" s="16" t="str">
        <f t="shared" ca="1" si="191"/>
        <v>201003</v>
      </c>
      <c r="CK333" s="16">
        <f t="shared" ca="1" si="192"/>
        <v>10</v>
      </c>
      <c r="CL333" s="16">
        <f t="shared" ca="1" si="193"/>
        <v>20</v>
      </c>
      <c r="CM333" s="16">
        <f t="shared" ca="1" si="194"/>
        <v>3</v>
      </c>
      <c r="CN333" s="16">
        <f t="shared" ca="1" si="195"/>
        <v>7</v>
      </c>
      <c r="CO333" s="16" t="str">
        <f t="shared" ca="1" si="196"/>
        <v>s</v>
      </c>
    </row>
  </sheetData>
  <sheetProtection password="FFF0" sheet="1" objects="1" scenarios="1"/>
  <phoneticPr fontId="102" type="noConversion"/>
  <conditionalFormatting sqref="D6:I42">
    <cfRule type="containsText" dxfId="342" priority="58" operator="containsText" text="c">
      <formula>NOT(ISERROR(SEARCH("c",D6)))</formula>
    </cfRule>
    <cfRule type="containsText" dxfId="341" priority="59" operator="containsText" text="e">
      <formula>NOT(ISERROR(SEARCH("e",D6)))</formula>
    </cfRule>
    <cfRule type="containsText" dxfId="340" priority="60" operator="containsText" text="s">
      <formula>NOT(ISERROR(SEARCH("s",D6)))</formula>
    </cfRule>
  </conditionalFormatting>
  <conditionalFormatting sqref="R6:W42">
    <cfRule type="containsText" dxfId="339" priority="26" operator="containsText" text="c">
      <formula>NOT(ISERROR(SEARCH("c",R6)))</formula>
    </cfRule>
    <cfRule type="containsText" dxfId="338" priority="27" operator="containsText" text="e">
      <formula>NOT(ISERROR(SEARCH("e",R6)))</formula>
    </cfRule>
    <cfRule type="containsText" dxfId="337" priority="28" operator="containsText" text="s">
      <formula>NOT(ISERROR(SEARCH("s",R6)))</formula>
    </cfRule>
  </conditionalFormatting>
  <conditionalFormatting sqref="K6:P42">
    <cfRule type="containsText" dxfId="336" priority="30" operator="containsText" text="c">
      <formula>NOT(ISERROR(SEARCH("c",K6)))</formula>
    </cfRule>
    <cfRule type="containsText" dxfId="335" priority="31" operator="containsText" text="e">
      <formula>NOT(ISERROR(SEARCH("e",K6)))</formula>
    </cfRule>
    <cfRule type="containsText" dxfId="334" priority="32" operator="containsText" text="s">
      <formula>NOT(ISERROR(SEARCH("s",K6)))</formula>
    </cfRule>
  </conditionalFormatting>
  <conditionalFormatting sqref="D6:I42">
    <cfRule type="containsText" dxfId="333" priority="33" operator="containsText" text="L">
      <formula>NOT(ISERROR(SEARCH("L",D6)))</formula>
    </cfRule>
  </conditionalFormatting>
  <conditionalFormatting sqref="K6:P42">
    <cfRule type="containsText" dxfId="332" priority="29" operator="containsText" text="L">
      <formula>NOT(ISERROR(SEARCH("L",K6)))</formula>
    </cfRule>
  </conditionalFormatting>
  <conditionalFormatting sqref="R6:W42">
    <cfRule type="containsText" dxfId="331" priority="25" operator="containsText" text="L">
      <formula>NOT(ISERROR(SEARCH("L",R6)))</formula>
    </cfRule>
  </conditionalFormatting>
  <conditionalFormatting sqref="Y6:AD42">
    <cfRule type="containsText" dxfId="330" priority="22" operator="containsText" text="c">
      <formula>NOT(ISERROR(SEARCH("c",Y6)))</formula>
    </cfRule>
    <cfRule type="containsText" dxfId="329" priority="23" operator="containsText" text="e">
      <formula>NOT(ISERROR(SEARCH("e",Y6)))</formula>
    </cfRule>
    <cfRule type="containsText" dxfId="328" priority="24" operator="containsText" text="s">
      <formula>NOT(ISERROR(SEARCH("s",Y6)))</formula>
    </cfRule>
  </conditionalFormatting>
  <conditionalFormatting sqref="Y6:AD42">
    <cfRule type="containsText" dxfId="327" priority="21" operator="containsText" text="L">
      <formula>NOT(ISERROR(SEARCH("L",Y6)))</formula>
    </cfRule>
  </conditionalFormatting>
  <conditionalFormatting sqref="AF6:AK42">
    <cfRule type="containsText" dxfId="326" priority="18" operator="containsText" text="c">
      <formula>NOT(ISERROR(SEARCH("c",AF6)))</formula>
    </cfRule>
    <cfRule type="containsText" dxfId="325" priority="19" operator="containsText" text="e">
      <formula>NOT(ISERROR(SEARCH("e",AF6)))</formula>
    </cfRule>
    <cfRule type="containsText" dxfId="324" priority="20" operator="containsText" text="s">
      <formula>NOT(ISERROR(SEARCH("s",AF6)))</formula>
    </cfRule>
  </conditionalFormatting>
  <conditionalFormatting sqref="AF6:AK42">
    <cfRule type="containsText" dxfId="323" priority="17" operator="containsText" text="L">
      <formula>NOT(ISERROR(SEARCH("L",AF6)))</formula>
    </cfRule>
  </conditionalFormatting>
  <conditionalFormatting sqref="AM6:AR42">
    <cfRule type="containsText" dxfId="322" priority="14" operator="containsText" text="c">
      <formula>NOT(ISERROR(SEARCH("c",AM6)))</formula>
    </cfRule>
    <cfRule type="containsText" dxfId="321" priority="15" operator="containsText" text="e">
      <formula>NOT(ISERROR(SEARCH("e",AM6)))</formula>
    </cfRule>
    <cfRule type="containsText" dxfId="320" priority="16" operator="containsText" text="s">
      <formula>NOT(ISERROR(SEARCH("s",AM6)))</formula>
    </cfRule>
  </conditionalFormatting>
  <conditionalFormatting sqref="AM6:AR42">
    <cfRule type="containsText" dxfId="319" priority="13" operator="containsText" text="L">
      <formula>NOT(ISERROR(SEARCH("L",AM6)))</formula>
    </cfRule>
  </conditionalFormatting>
  <conditionalFormatting sqref="AT6:AY42">
    <cfRule type="containsText" dxfId="318" priority="10" operator="containsText" text="c">
      <formula>NOT(ISERROR(SEARCH("c",AT6)))</formula>
    </cfRule>
    <cfRule type="containsText" dxfId="317" priority="11" operator="containsText" text="e">
      <formula>NOT(ISERROR(SEARCH("e",AT6)))</formula>
    </cfRule>
    <cfRule type="containsText" dxfId="316" priority="12" operator="containsText" text="s">
      <formula>NOT(ISERROR(SEARCH("s",AT6)))</formula>
    </cfRule>
  </conditionalFormatting>
  <conditionalFormatting sqref="AT6:AY42">
    <cfRule type="containsText" dxfId="315" priority="9" operator="containsText" text="L">
      <formula>NOT(ISERROR(SEARCH("L",AT6)))</formula>
    </cfRule>
  </conditionalFormatting>
  <conditionalFormatting sqref="BA6:BF42">
    <cfRule type="containsText" dxfId="314" priority="6" operator="containsText" text="c">
      <formula>NOT(ISERROR(SEARCH("c",BA6)))</formula>
    </cfRule>
    <cfRule type="containsText" dxfId="313" priority="7" operator="containsText" text="e">
      <formula>NOT(ISERROR(SEARCH("e",BA6)))</formula>
    </cfRule>
    <cfRule type="containsText" dxfId="312" priority="8" operator="containsText" text="s">
      <formula>NOT(ISERROR(SEARCH("s",BA6)))</formula>
    </cfRule>
  </conditionalFormatting>
  <conditionalFormatting sqref="BA6:BF42">
    <cfRule type="containsText" dxfId="311" priority="5" operator="containsText" text="L">
      <formula>NOT(ISERROR(SEARCH("L",BA6)))</formula>
    </cfRule>
  </conditionalFormatting>
  <conditionalFormatting sqref="BH6:BM42">
    <cfRule type="containsText" dxfId="310" priority="2" operator="containsText" text="c">
      <formula>NOT(ISERROR(SEARCH("c",BH6)))</formula>
    </cfRule>
    <cfRule type="containsText" dxfId="309" priority="3" operator="containsText" text="e">
      <formula>NOT(ISERROR(SEARCH("e",BH6)))</formula>
    </cfRule>
    <cfRule type="containsText" dxfId="308" priority="4" operator="containsText" text="s">
      <formula>NOT(ISERROR(SEARCH("s",BH6)))</formula>
    </cfRule>
  </conditionalFormatting>
  <conditionalFormatting sqref="BH6:BM42">
    <cfRule type="containsText" dxfId="307" priority="1" operator="containsText" text="L">
      <formula>NOT(ISERROR(SEARCH("L",BH6)))</formula>
    </cfRule>
  </conditionalFormatting>
  <printOptions verticalCentered="1"/>
  <pageMargins left="0.25" right="0.25" top="1" bottom="1" header="0" footer="0"/>
  <pageSetup scale="59" orientation="landscape" horizontalDpi="4294967292" verticalDpi="4294967292"/>
  <extLst>
    <ext xmlns:mx="http://schemas.microsoft.com/office/mac/excel/2008/main" uri="{64002731-A6B0-56B0-2670-7721B7C09600}">
      <mx:PLV Mode="0"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207"/>
  <sheetViews>
    <sheetView workbookViewId="0">
      <selection activeCell="BB1" sqref="BB1"/>
    </sheetView>
  </sheetViews>
  <sheetFormatPr baseColWidth="10" defaultRowHeight="12" x14ac:dyDescent="0"/>
  <cols>
    <col min="1" max="1" width="5.140625" style="87" customWidth="1"/>
    <col min="2" max="52" width="2.5703125" style="87" customWidth="1"/>
    <col min="53" max="53" width="4.140625" style="87" customWidth="1"/>
    <col min="54" max="54" width="10.28515625" style="87" customWidth="1"/>
    <col min="55" max="55" width="5.140625" style="87" customWidth="1"/>
    <col min="56" max="56" width="3.140625" style="87" customWidth="1"/>
    <col min="57" max="57" width="7.140625" style="89" customWidth="1"/>
    <col min="58" max="58" width="10.28515625" style="89" customWidth="1"/>
    <col min="59" max="60" width="3.140625" style="87" customWidth="1"/>
    <col min="61" max="61" width="5.140625" style="87" customWidth="1"/>
    <col min="62" max="65" width="3.140625" style="87" customWidth="1"/>
    <col min="66" max="66" width="10.7109375" style="87"/>
    <col min="67" max="74" width="3.140625" style="87" customWidth="1"/>
    <col min="75" max="75" width="10.28515625" style="87" customWidth="1"/>
    <col min="76" max="79" width="5.140625" style="87" customWidth="1"/>
    <col min="80" max="16384" width="10.7109375" style="87"/>
  </cols>
  <sheetData>
    <row r="1" spans="1:76">
      <c r="B1" s="88">
        <f>COLUMN()</f>
        <v>2</v>
      </c>
      <c r="C1" s="88">
        <f>COLUMN()</f>
        <v>3</v>
      </c>
      <c r="D1" s="88">
        <f>COLUMN()</f>
        <v>4</v>
      </c>
      <c r="E1" s="88">
        <f>COLUMN()</f>
        <v>5</v>
      </c>
      <c r="F1" s="88">
        <f>COLUMN()</f>
        <v>6</v>
      </c>
      <c r="G1" s="88">
        <f>COLUMN()</f>
        <v>7</v>
      </c>
      <c r="H1" s="88">
        <f>COLUMN()</f>
        <v>8</v>
      </c>
      <c r="I1" s="88">
        <f>COLUMN()</f>
        <v>9</v>
      </c>
      <c r="J1" s="88">
        <f>COLUMN()</f>
        <v>10</v>
      </c>
      <c r="K1" s="88">
        <f>COLUMN()</f>
        <v>11</v>
      </c>
      <c r="L1" s="88">
        <f>COLUMN()</f>
        <v>12</v>
      </c>
      <c r="M1" s="88">
        <f>COLUMN()</f>
        <v>13</v>
      </c>
      <c r="N1" s="88">
        <f>COLUMN()</f>
        <v>14</v>
      </c>
      <c r="O1" s="88">
        <f>COLUMN()</f>
        <v>15</v>
      </c>
      <c r="P1" s="88">
        <f>COLUMN()</f>
        <v>16</v>
      </c>
      <c r="Q1" s="88">
        <f>COLUMN()</f>
        <v>17</v>
      </c>
      <c r="R1" s="88">
        <f>COLUMN()</f>
        <v>18</v>
      </c>
      <c r="S1" s="88">
        <f>COLUMN()</f>
        <v>19</v>
      </c>
      <c r="T1" s="88">
        <f>COLUMN()</f>
        <v>20</v>
      </c>
      <c r="U1" s="88">
        <f>COLUMN()</f>
        <v>21</v>
      </c>
      <c r="V1" s="88">
        <f>COLUMN()</f>
        <v>22</v>
      </c>
      <c r="W1" s="88">
        <f>COLUMN()</f>
        <v>23</v>
      </c>
      <c r="X1" s="88">
        <f>COLUMN()</f>
        <v>24</v>
      </c>
      <c r="Y1" s="88">
        <f>COLUMN()</f>
        <v>25</v>
      </c>
      <c r="Z1" s="88">
        <f>COLUMN()</f>
        <v>26</v>
      </c>
      <c r="AA1" s="88">
        <f>COLUMN()</f>
        <v>27</v>
      </c>
      <c r="AB1" s="88">
        <f>COLUMN()</f>
        <v>28</v>
      </c>
      <c r="AC1" s="88">
        <f>COLUMN()</f>
        <v>29</v>
      </c>
      <c r="AD1" s="88">
        <f>COLUMN()</f>
        <v>30</v>
      </c>
      <c r="AE1" s="88">
        <f>COLUMN()</f>
        <v>31</v>
      </c>
      <c r="AF1" s="88">
        <f>COLUMN()</f>
        <v>32</v>
      </c>
      <c r="AG1" s="88">
        <f>COLUMN()</f>
        <v>33</v>
      </c>
      <c r="AH1" s="88">
        <f>COLUMN()</f>
        <v>34</v>
      </c>
      <c r="AI1" s="88">
        <f>COLUMN()</f>
        <v>35</v>
      </c>
      <c r="AJ1" s="88">
        <f>COLUMN()</f>
        <v>36</v>
      </c>
      <c r="AK1" s="88">
        <f>COLUMN()</f>
        <v>37</v>
      </c>
      <c r="AL1" s="88">
        <f>COLUMN()</f>
        <v>38</v>
      </c>
      <c r="AM1" s="88">
        <f>COLUMN()</f>
        <v>39</v>
      </c>
      <c r="AN1" s="88">
        <f>COLUMN()</f>
        <v>40</v>
      </c>
      <c r="AO1" s="88">
        <f>COLUMN()</f>
        <v>41</v>
      </c>
      <c r="AP1" s="88">
        <f>COLUMN()</f>
        <v>42</v>
      </c>
      <c r="AQ1" s="88">
        <f>COLUMN()</f>
        <v>43</v>
      </c>
      <c r="AR1" s="88">
        <f>COLUMN()</f>
        <v>44</v>
      </c>
      <c r="AS1" s="88">
        <f>COLUMN()</f>
        <v>45</v>
      </c>
      <c r="AT1" s="88">
        <f>COLUMN()</f>
        <v>46</v>
      </c>
      <c r="AU1" s="88">
        <f>COLUMN()</f>
        <v>47</v>
      </c>
      <c r="AV1" s="88">
        <f>COLUMN()</f>
        <v>48</v>
      </c>
      <c r="AW1" s="88">
        <f>COLUMN()</f>
        <v>49</v>
      </c>
      <c r="AX1" s="88">
        <f>COLUMN()</f>
        <v>50</v>
      </c>
      <c r="AY1" s="88">
        <f>COLUMN()</f>
        <v>51</v>
      </c>
      <c r="AZ1" s="88">
        <f>COLUMN()</f>
        <v>52</v>
      </c>
      <c r="BB1" s="88" t="str">
        <f>Intro!D46</f>
        <v/>
      </c>
    </row>
    <row r="2" spans="1:76">
      <c r="B2" s="88" t="str">
        <f>CHAR(B1+64)</f>
        <v>B</v>
      </c>
      <c r="C2" s="88" t="str">
        <f t="shared" ref="C2:Z2" si="0">CHAR(C1+64)</f>
        <v>C</v>
      </c>
      <c r="D2" s="88" t="str">
        <f t="shared" si="0"/>
        <v>D</v>
      </c>
      <c r="E2" s="88" t="str">
        <f t="shared" si="0"/>
        <v>E</v>
      </c>
      <c r="F2" s="88" t="str">
        <f t="shared" si="0"/>
        <v>F</v>
      </c>
      <c r="G2" s="88" t="str">
        <f t="shared" si="0"/>
        <v>G</v>
      </c>
      <c r="H2" s="88" t="str">
        <f t="shared" si="0"/>
        <v>H</v>
      </c>
      <c r="I2" s="88" t="str">
        <f t="shared" si="0"/>
        <v>I</v>
      </c>
      <c r="J2" s="88" t="str">
        <f t="shared" si="0"/>
        <v>J</v>
      </c>
      <c r="K2" s="88" t="str">
        <f t="shared" si="0"/>
        <v>K</v>
      </c>
      <c r="L2" s="88" t="str">
        <f t="shared" si="0"/>
        <v>L</v>
      </c>
      <c r="M2" s="88" t="str">
        <f t="shared" si="0"/>
        <v>M</v>
      </c>
      <c r="N2" s="88" t="str">
        <f t="shared" si="0"/>
        <v>N</v>
      </c>
      <c r="O2" s="88" t="str">
        <f t="shared" si="0"/>
        <v>O</v>
      </c>
      <c r="P2" s="88" t="str">
        <f t="shared" si="0"/>
        <v>P</v>
      </c>
      <c r="Q2" s="88" t="str">
        <f t="shared" si="0"/>
        <v>Q</v>
      </c>
      <c r="R2" s="88" t="str">
        <f t="shared" si="0"/>
        <v>R</v>
      </c>
      <c r="S2" s="88" t="str">
        <f t="shared" si="0"/>
        <v>S</v>
      </c>
      <c r="T2" s="88" t="str">
        <f t="shared" si="0"/>
        <v>T</v>
      </c>
      <c r="U2" s="88" t="str">
        <f t="shared" si="0"/>
        <v>U</v>
      </c>
      <c r="V2" s="88" t="str">
        <f t="shared" si="0"/>
        <v>V</v>
      </c>
      <c r="W2" s="88" t="str">
        <f t="shared" si="0"/>
        <v>W</v>
      </c>
      <c r="X2" s="88" t="str">
        <f t="shared" si="0"/>
        <v>X</v>
      </c>
      <c r="Y2" s="88" t="str">
        <f t="shared" si="0"/>
        <v>Y</v>
      </c>
      <c r="Z2" s="88" t="str">
        <f t="shared" si="0"/>
        <v>Z</v>
      </c>
      <c r="AA2" s="88" t="str">
        <f>CONCATENATE("A",CHAR(AA1+38))</f>
        <v>AA</v>
      </c>
      <c r="AB2" s="88" t="str">
        <f t="shared" ref="AB2:AZ2" si="1">CONCATENATE("A",CHAR(AB1+38))</f>
        <v>AB</v>
      </c>
      <c r="AC2" s="88" t="str">
        <f t="shared" si="1"/>
        <v>AC</v>
      </c>
      <c r="AD2" s="88" t="str">
        <f t="shared" si="1"/>
        <v>AD</v>
      </c>
      <c r="AE2" s="88" t="str">
        <f t="shared" si="1"/>
        <v>AE</v>
      </c>
      <c r="AF2" s="88" t="str">
        <f t="shared" si="1"/>
        <v>AF</v>
      </c>
      <c r="AG2" s="88" t="str">
        <f t="shared" si="1"/>
        <v>AG</v>
      </c>
      <c r="AH2" s="88" t="str">
        <f t="shared" si="1"/>
        <v>AH</v>
      </c>
      <c r="AI2" s="88" t="str">
        <f t="shared" si="1"/>
        <v>AI</v>
      </c>
      <c r="AJ2" s="88" t="str">
        <f t="shared" si="1"/>
        <v>AJ</v>
      </c>
      <c r="AK2" s="88" t="str">
        <f t="shared" si="1"/>
        <v>AK</v>
      </c>
      <c r="AL2" s="88" t="str">
        <f t="shared" si="1"/>
        <v>AL</v>
      </c>
      <c r="AM2" s="88" t="str">
        <f t="shared" si="1"/>
        <v>AM</v>
      </c>
      <c r="AN2" s="88" t="str">
        <f t="shared" si="1"/>
        <v>AN</v>
      </c>
      <c r="AO2" s="88" t="str">
        <f t="shared" si="1"/>
        <v>AO</v>
      </c>
      <c r="AP2" s="88" t="str">
        <f t="shared" si="1"/>
        <v>AP</v>
      </c>
      <c r="AQ2" s="88" t="str">
        <f t="shared" si="1"/>
        <v>AQ</v>
      </c>
      <c r="AR2" s="88" t="str">
        <f t="shared" si="1"/>
        <v>AR</v>
      </c>
      <c r="AS2" s="88" t="str">
        <f t="shared" si="1"/>
        <v>AS</v>
      </c>
      <c r="AT2" s="88" t="str">
        <f t="shared" si="1"/>
        <v>AT</v>
      </c>
      <c r="AU2" s="88" t="str">
        <f t="shared" si="1"/>
        <v>AU</v>
      </c>
      <c r="AV2" s="88" t="str">
        <f t="shared" si="1"/>
        <v>AV</v>
      </c>
      <c r="AW2" s="88" t="str">
        <f t="shared" si="1"/>
        <v>AW</v>
      </c>
      <c r="AX2" s="88" t="str">
        <f t="shared" si="1"/>
        <v>AX</v>
      </c>
      <c r="AY2" s="88" t="str">
        <f t="shared" si="1"/>
        <v>AY</v>
      </c>
      <c r="AZ2" s="88" t="str">
        <f t="shared" si="1"/>
        <v>AZ</v>
      </c>
    </row>
    <row r="6" spans="1:76">
      <c r="BD6" s="470">
        <v>1</v>
      </c>
    </row>
    <row r="7" spans="1:76">
      <c r="BA7" s="88">
        <f ca="1">VALUE(INDIRECT(CONCATENATE("BA",BE7+10)))</f>
        <v>473</v>
      </c>
      <c r="BD7" s="367">
        <f>IF(BD6&gt;0,BD6,DrawFinder!H10)</f>
        <v>1</v>
      </c>
      <c r="BE7" s="88">
        <f ca="1">MATCH(BD7,BD11:BD70,0)</f>
        <v>20</v>
      </c>
    </row>
    <row r="8" spans="1:76">
      <c r="BD8" s="87" t="s">
        <v>190</v>
      </c>
    </row>
    <row r="9" spans="1:76">
      <c r="BD9" s="89">
        <f ca="1">LARGE(BD11:BD70,1)</f>
        <v>20</v>
      </c>
    </row>
    <row r="10" spans="1:76">
      <c r="BA10" s="93">
        <v>1</v>
      </c>
      <c r="BB10" s="88">
        <v>1200</v>
      </c>
      <c r="BD10" s="87" t="s">
        <v>191</v>
      </c>
      <c r="BG10" s="87" t="s">
        <v>192</v>
      </c>
      <c r="BH10" s="87" t="s">
        <v>193</v>
      </c>
      <c r="BJ10" s="87" t="s">
        <v>194</v>
      </c>
      <c r="BK10" s="89" t="s">
        <v>195</v>
      </c>
      <c r="BL10" s="89" t="s">
        <v>196</v>
      </c>
      <c r="BM10" s="87" t="s">
        <v>197</v>
      </c>
      <c r="BN10" s="87" t="s">
        <v>198</v>
      </c>
      <c r="BO10" s="89" t="s">
        <v>199</v>
      </c>
      <c r="BP10" s="89" t="s">
        <v>200</v>
      </c>
      <c r="BQ10" s="89" t="s">
        <v>201</v>
      </c>
      <c r="BR10" s="87" t="s">
        <v>202</v>
      </c>
      <c r="BS10" s="89" t="s">
        <v>203</v>
      </c>
      <c r="BT10" s="89" t="s">
        <v>90</v>
      </c>
      <c r="BU10" s="89" t="s">
        <v>14</v>
      </c>
      <c r="BV10" s="97" t="s">
        <v>204</v>
      </c>
      <c r="BX10" s="285" t="s">
        <v>843</v>
      </c>
    </row>
    <row r="11" spans="1:76">
      <c r="A11" s="90">
        <f>IF(MID(B11,3,2)="10",ROW(),"")</f>
        <v>11</v>
      </c>
      <c r="B11" s="98" t="s">
        <v>531</v>
      </c>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89"/>
      <c r="AV11" s="89"/>
      <c r="AW11" s="89"/>
      <c r="AX11" s="89"/>
      <c r="AY11" s="89"/>
      <c r="AZ11" s="89"/>
      <c r="BA11" s="91">
        <f ca="1">IF(BA10=0,0,MIN(INDIRECT(BB11)))</f>
        <v>11</v>
      </c>
      <c r="BB11" s="88" t="str">
        <f>IF(BA10=0,"",CONCATENATE("A",BA10+1,":A",BB$10))</f>
        <v>A2:A1200</v>
      </c>
      <c r="BC11" s="89" t="str">
        <f ca="1">IF(BA11=0,0,CONCATENATE("B",BA11))</f>
        <v>B11</v>
      </c>
      <c r="BD11" s="89">
        <f ca="1">IF(BC11=0,0,RANK(BF11,$BF$11:$BF$70,0)+(COUNTIF($BF11:$BF$70,BF11)-1))</f>
        <v>20</v>
      </c>
      <c r="BE11" s="89" t="str">
        <f ca="1">IF(BC11=0,0,LEFT(INDIRECT(BC11),6))</f>
        <v>201001</v>
      </c>
      <c r="BF11" s="89">
        <f ca="1">VALUE(BW11)</f>
        <v>20100119</v>
      </c>
      <c r="BG11" s="89">
        <f ca="1">IF(BA11=0,0,VALUE(LEFT(BE11,2)))</f>
        <v>20</v>
      </c>
      <c r="BH11" s="89">
        <f ca="1">IF(BA11=0,0,VALUE(MID(BE11,5,2)))</f>
        <v>1</v>
      </c>
      <c r="BI11" s="89" t="str">
        <f ca="1">IF(BA11=0,0,CONCATENATE("B",BA11+BG11+1))</f>
        <v>B32</v>
      </c>
      <c r="BJ11" s="89">
        <f ca="1">IF(BA11=0,0,VALUE(MID(INDIRECT(BI11),4,2)))</f>
        <v>19</v>
      </c>
      <c r="BK11" s="89">
        <f ca="1">IF(BA11=0,0,VALUE(MID(INDIRECT(BI11),9,2)))</f>
        <v>19</v>
      </c>
      <c r="BL11" s="89">
        <f ca="1">IF(BA11=0,0,VALUE(MID(INDIRECT(BI11),14,3)))</f>
        <v>190</v>
      </c>
      <c r="BM11" s="89">
        <f ca="1">IF(BA11=0,0,2+BK11)</f>
        <v>21</v>
      </c>
      <c r="BN11" s="89" t="str">
        <f ca="1">IF(BA11=0,0,CONCATENATE("S10!B",BA11+1,":",HLOOKUP(BM11,$B$1:$AZ$2,2,FALSE),BA11+BG11))</f>
        <v>S10!B12:U31</v>
      </c>
      <c r="BO11" s="89" t="str">
        <f ca="1">IF(BA11=0,0,IF(BV11="c","c",IF(ISERROR(FIND("s",INDIRECT($BC11))),IF(ISERROR(FIND("e",INDIRECT($BC11))),"L","e"),"s")))</f>
        <v>s</v>
      </c>
      <c r="BP11" s="89" t="str">
        <f ca="1">IF(BA11=0,0,IF(ISERROR(FIND("b",INDIRECT($BC11))),IF(ISERROR(FIND("w",INDIRECT($BC11))),"","w"),"b"))</f>
        <v/>
      </c>
      <c r="BQ11" s="89" t="str">
        <f ca="1">IF(BA11=0,0,IF(ISERROR(FIND("w",INDIRECT($BC11))),"","w"))</f>
        <v/>
      </c>
      <c r="BR11" s="87" t="str">
        <f ca="1">IF(BA11=0,0,IF(ISERROR(FIND("x",INDIRECT($BC11))),IF(ISERROR(FIND("E",INDIRECT($BC11))),"","E"),"x"))</f>
        <v/>
      </c>
      <c r="BS11" s="89" t="str">
        <f ca="1">IF(BA11=0,0,IF(ISERROR(FIND("a",INDIRECT($BC11))),"","a"))</f>
        <v/>
      </c>
      <c r="BT11" s="89" t="str">
        <f ca="1">IF(BA11=0,0,IF(ISERROR(FIND("E",INDIRECT($BC11))),"","E"))</f>
        <v/>
      </c>
      <c r="BU11" s="89" t="str">
        <f ca="1">IF(BA11=0,0,IF(ISERROR(FIND("X",INDIRECT($BC11))),"","X"))</f>
        <v/>
      </c>
      <c r="BV11" s="87" t="str">
        <f ca="1">IF(BA11=0,0,IF(ISERROR(FIND("c",INDIRECT($BC11))),"","c"))</f>
        <v/>
      </c>
      <c r="BW11" s="87" t="str">
        <f ca="1">CONCATENATE(BE11,IF(BK11&lt;10,"0",""),BK11)</f>
        <v>20100119</v>
      </c>
      <c r="BX11" s="89">
        <f ca="1">IF(BV11="c",RIGHT(INDIRECT(BC11),2),0)</f>
        <v>0</v>
      </c>
    </row>
    <row r="12" spans="1:76">
      <c r="A12" s="90" t="str">
        <f t="shared" ref="A12:A75" si="2">IF(MID(B12,3,2)="10",ROW(),"")</f>
        <v/>
      </c>
      <c r="B12" s="98">
        <v>1</v>
      </c>
      <c r="C12" s="94">
        <v>-2</v>
      </c>
      <c r="D12" s="94">
        <v>6</v>
      </c>
      <c r="E12" s="94">
        <v>-5</v>
      </c>
      <c r="F12" s="94">
        <v>-9</v>
      </c>
      <c r="G12" s="94">
        <v>3</v>
      </c>
      <c r="H12" s="94">
        <v>8</v>
      </c>
      <c r="I12" s="94">
        <v>-10</v>
      </c>
      <c r="J12" s="94">
        <v>-4</v>
      </c>
      <c r="K12" s="94">
        <v>-7</v>
      </c>
      <c r="L12" s="94">
        <v>1</v>
      </c>
      <c r="M12" s="94">
        <v>-3</v>
      </c>
      <c r="N12" s="94">
        <v>-6</v>
      </c>
      <c r="O12" s="94">
        <v>10</v>
      </c>
      <c r="P12" s="94">
        <v>-8</v>
      </c>
      <c r="Q12" s="94">
        <v>2</v>
      </c>
      <c r="R12" s="94">
        <v>4</v>
      </c>
      <c r="S12" s="94">
        <v>7</v>
      </c>
      <c r="T12" s="94">
        <v>9</v>
      </c>
      <c r="U12" s="94">
        <v>5</v>
      </c>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89"/>
      <c r="AV12" s="89"/>
      <c r="AW12" s="89"/>
      <c r="AX12" s="89"/>
      <c r="AY12" s="89"/>
      <c r="AZ12" s="89"/>
      <c r="BA12" s="91">
        <f t="shared" ref="BA12:BA70" ca="1" si="3">IF(BA11=0,0,MIN(INDIRECT(BB12)))</f>
        <v>33</v>
      </c>
      <c r="BB12" s="88" t="str">
        <f t="shared" ref="BB12:BB70" ca="1" si="4">IF(BA11=0,"",CONCATENATE("A",BA11+1,":A",BB$10))</f>
        <v>A12:A1200</v>
      </c>
      <c r="BC12" s="89" t="str">
        <f t="shared" ref="BC12:BC70" ca="1" si="5">IF(BA12=0,0,CONCATENATE("B",BA12))</f>
        <v>B33</v>
      </c>
      <c r="BD12" s="89">
        <f ca="1">IF(BC12=0,0,RANK(BF12,$BF$11:$BF$70,0)+(COUNTIF($BF12:$BF$70,BF12)-1))</f>
        <v>19</v>
      </c>
      <c r="BE12" s="89" t="str">
        <f t="shared" ref="BE12:BE70" ca="1" si="6">IF(BC12=0,0,LEFT(INDIRECT(BC12),6))</f>
        <v>201002</v>
      </c>
      <c r="BF12" s="89">
        <f t="shared" ref="BF12:BF70" ca="1" si="7">VALUE(BW12)</f>
        <v>20100209</v>
      </c>
      <c r="BG12" s="89">
        <f t="shared" ref="BG12:BG70" ca="1" si="8">IF(BA12=0,0,VALUE(LEFT(BE12,2)))</f>
        <v>20</v>
      </c>
      <c r="BH12" s="89">
        <f t="shared" ref="BH12:BH70" ca="1" si="9">IF(BA12=0,0,VALUE(MID(BE12,5,2)))</f>
        <v>2</v>
      </c>
      <c r="BI12" s="89" t="str">
        <f t="shared" ref="BI12:BI70" ca="1" si="10">IF(BA12=0,0,CONCATENATE("B",BA12+BG12+1))</f>
        <v>B54</v>
      </c>
      <c r="BJ12" s="89">
        <f t="shared" ref="BJ12:BJ70" ca="1" si="11">IF(BA12=0,0,VALUE(MID(INDIRECT(BI12),4,2)))</f>
        <v>9</v>
      </c>
      <c r="BK12" s="89">
        <f t="shared" ref="BK12:BK70" ca="1" si="12">IF(BA12=0,0,VALUE(MID(INDIRECT(BI12),9,2)))</f>
        <v>9</v>
      </c>
      <c r="BL12" s="89">
        <f t="shared" ref="BL12:BL70" ca="1" si="13">IF(BA12=0,0,VALUE(MID(INDIRECT(BI12),14,3)))</f>
        <v>90</v>
      </c>
      <c r="BM12" s="89">
        <f t="shared" ref="BM12:BM70" ca="1" si="14">IF(BA12=0,0,2+BK12)</f>
        <v>11</v>
      </c>
      <c r="BN12" s="89" t="str">
        <f t="shared" ref="BN12:BN70" ca="1" si="15">IF(BA12=0,0,CONCATENATE("S10!B",BA12+1,":",HLOOKUP(BM12,$B$1:$AZ$2,2,FALSE),BA12+BG12))</f>
        <v>S10!B34:K53</v>
      </c>
      <c r="BO12" s="89" t="str">
        <f t="shared" ref="BO12:BO70" ca="1" si="16">IF(BA12=0,0,IF(BV12="c","c",IF(ISERROR(FIND("s",INDIRECT($BC12))),IF(ISERROR(FIND("e",INDIRECT($BC12))),"L","e"),"s")))</f>
        <v>s</v>
      </c>
      <c r="BP12" s="89" t="str">
        <f t="shared" ref="BP12:BP70" ca="1" si="17">IF(BA12=0,0,IF(ISERROR(FIND("b",INDIRECT($BC12))),IF(ISERROR(FIND("w",INDIRECT($BC12))),"","w"),"b"))</f>
        <v/>
      </c>
      <c r="BQ12" s="89" t="str">
        <f t="shared" ref="BQ12:BQ70" ca="1" si="18">IF(BA12=0,0,IF(ISERROR(FIND("w",INDIRECT($BC12))),"","w"))</f>
        <v/>
      </c>
      <c r="BR12" s="87" t="str">
        <f t="shared" ref="BR12:BR70" ca="1" si="19">IF(BA12=0,0,IF(ISERROR(FIND("x",INDIRECT($BC12))),IF(ISERROR(FIND("E",INDIRECT($BC12))),"","E"),"x"))</f>
        <v/>
      </c>
      <c r="BS12" s="89" t="str">
        <f t="shared" ref="BS12:BS70" ca="1" si="20">IF(BA12=0,0,IF(ISERROR(FIND("a",INDIRECT($BC12))),"","a"))</f>
        <v/>
      </c>
      <c r="BT12" s="89" t="str">
        <f t="shared" ref="BT12:BT70" ca="1" si="21">IF(BA12=0,0,IF(ISERROR(FIND("E",INDIRECT($BC12))),"","E"))</f>
        <v/>
      </c>
      <c r="BU12" s="89" t="str">
        <f t="shared" ref="BU12:BU70" ca="1" si="22">IF(BA12=0,0,IF(ISERROR(FIND("X",INDIRECT($BC12))),"","X"))</f>
        <v/>
      </c>
      <c r="BV12" s="87" t="str">
        <f t="shared" ref="BV12:BV70" ca="1" si="23">IF(BA12=0,0,IF(ISERROR(FIND("c",INDIRECT($BC12))),"","c"))</f>
        <v/>
      </c>
      <c r="BW12" s="87" t="str">
        <f t="shared" ref="BW12:BW70" ca="1" si="24">CONCATENATE(BE12,IF(BK12&lt;10,"0",""),BK12)</f>
        <v>20100209</v>
      </c>
      <c r="BX12" s="89">
        <f t="shared" ref="BX12:BX70" ca="1" si="25">IF(BV12="c",RIGHT(INDIRECT(BC12),2),0)</f>
        <v>0</v>
      </c>
    </row>
    <row r="13" spans="1:76">
      <c r="A13" s="90" t="str">
        <f t="shared" si="2"/>
        <v/>
      </c>
      <c r="B13" s="98">
        <v>2</v>
      </c>
      <c r="C13" s="94">
        <v>1</v>
      </c>
      <c r="D13" s="94">
        <v>5</v>
      </c>
      <c r="E13" s="94">
        <v>-6</v>
      </c>
      <c r="F13" s="94">
        <v>10</v>
      </c>
      <c r="G13" s="94">
        <v>-4</v>
      </c>
      <c r="H13" s="94">
        <v>7</v>
      </c>
      <c r="I13" s="94">
        <v>-9</v>
      </c>
      <c r="J13" s="94">
        <v>-3</v>
      </c>
      <c r="K13" s="94">
        <v>8</v>
      </c>
      <c r="L13" s="94">
        <v>2</v>
      </c>
      <c r="M13" s="94">
        <v>-7</v>
      </c>
      <c r="N13" s="94">
        <v>4</v>
      </c>
      <c r="O13" s="94">
        <v>-1</v>
      </c>
      <c r="P13" s="94">
        <v>9</v>
      </c>
      <c r="Q13" s="94">
        <v>-8</v>
      </c>
      <c r="R13" s="94">
        <v>6</v>
      </c>
      <c r="S13" s="94">
        <v>3</v>
      </c>
      <c r="T13" s="94">
        <v>-2</v>
      </c>
      <c r="U13" s="94">
        <v>-5</v>
      </c>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89"/>
      <c r="AV13" s="89"/>
      <c r="AW13" s="89"/>
      <c r="AX13" s="89"/>
      <c r="AY13" s="89"/>
      <c r="AZ13" s="89"/>
      <c r="BA13" s="91">
        <f t="shared" ca="1" si="3"/>
        <v>55</v>
      </c>
      <c r="BB13" s="88" t="str">
        <f t="shared" ca="1" si="4"/>
        <v>A34:A1200</v>
      </c>
      <c r="BC13" s="89" t="str">
        <f t="shared" ca="1" si="5"/>
        <v>B55</v>
      </c>
      <c r="BD13" s="89">
        <f ca="1">IF(BC13=0,0,RANK(BF13,$BF$11:$BF$70,0)+(COUNTIF($BF13:$BF$70,BF13)-1))</f>
        <v>18</v>
      </c>
      <c r="BE13" s="89" t="str">
        <f t="shared" ca="1" si="6"/>
        <v>201003</v>
      </c>
      <c r="BF13" s="89">
        <f t="shared" ca="1" si="7"/>
        <v>20100307</v>
      </c>
      <c r="BG13" s="89">
        <f t="shared" ca="1" si="8"/>
        <v>20</v>
      </c>
      <c r="BH13" s="89">
        <f t="shared" ca="1" si="9"/>
        <v>3</v>
      </c>
      <c r="BI13" s="89" t="str">
        <f t="shared" ca="1" si="10"/>
        <v>B76</v>
      </c>
      <c r="BJ13" s="89">
        <f t="shared" ca="1" si="11"/>
        <v>7</v>
      </c>
      <c r="BK13" s="89">
        <f t="shared" ca="1" si="12"/>
        <v>7</v>
      </c>
      <c r="BL13" s="89">
        <f t="shared" ca="1" si="13"/>
        <v>70</v>
      </c>
      <c r="BM13" s="89">
        <f t="shared" ca="1" si="14"/>
        <v>9</v>
      </c>
      <c r="BN13" s="89" t="str">
        <f t="shared" ca="1" si="15"/>
        <v>S10!B56:I75</v>
      </c>
      <c r="BO13" s="89" t="str">
        <f t="shared" ca="1" si="16"/>
        <v>s</v>
      </c>
      <c r="BP13" s="89" t="str">
        <f t="shared" ca="1" si="17"/>
        <v/>
      </c>
      <c r="BQ13" s="89" t="str">
        <f t="shared" ca="1" si="18"/>
        <v/>
      </c>
      <c r="BR13" s="87" t="str">
        <f t="shared" ca="1" si="19"/>
        <v>E</v>
      </c>
      <c r="BS13" s="89" t="str">
        <f t="shared" ca="1" si="20"/>
        <v>a</v>
      </c>
      <c r="BT13" s="89" t="str">
        <f t="shared" ca="1" si="21"/>
        <v>E</v>
      </c>
      <c r="BU13" s="89" t="str">
        <f t="shared" ca="1" si="22"/>
        <v/>
      </c>
      <c r="BV13" s="87" t="str">
        <f t="shared" ca="1" si="23"/>
        <v/>
      </c>
      <c r="BW13" s="87" t="str">
        <f t="shared" ca="1" si="24"/>
        <v>20100307</v>
      </c>
      <c r="BX13" s="89">
        <f t="shared" ca="1" si="25"/>
        <v>0</v>
      </c>
    </row>
    <row r="14" spans="1:76">
      <c r="A14" s="90" t="str">
        <f t="shared" si="2"/>
        <v/>
      </c>
      <c r="B14" s="98">
        <v>3</v>
      </c>
      <c r="C14" s="94">
        <v>4</v>
      </c>
      <c r="D14" s="94">
        <v>8</v>
      </c>
      <c r="E14" s="94">
        <v>7</v>
      </c>
      <c r="F14" s="94">
        <v>-2</v>
      </c>
      <c r="G14" s="94">
        <v>-5</v>
      </c>
      <c r="H14" s="94">
        <v>-9</v>
      </c>
      <c r="I14" s="94">
        <v>-1</v>
      </c>
      <c r="J14" s="94">
        <v>6</v>
      </c>
      <c r="K14" s="94">
        <v>-10</v>
      </c>
      <c r="L14" s="94">
        <v>3</v>
      </c>
      <c r="M14" s="94">
        <v>-4</v>
      </c>
      <c r="N14" s="94">
        <v>5</v>
      </c>
      <c r="O14" s="94">
        <v>-8</v>
      </c>
      <c r="P14" s="94">
        <v>10</v>
      </c>
      <c r="Q14" s="94">
        <v>9</v>
      </c>
      <c r="R14" s="94">
        <v>-3</v>
      </c>
      <c r="S14" s="94">
        <v>-7</v>
      </c>
      <c r="T14" s="94">
        <v>2</v>
      </c>
      <c r="U14" s="94">
        <v>-6</v>
      </c>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89"/>
      <c r="AV14" s="89"/>
      <c r="AW14" s="89"/>
      <c r="AX14" s="89"/>
      <c r="AY14" s="89"/>
      <c r="AZ14" s="89"/>
      <c r="BA14" s="91">
        <f t="shared" ca="1" si="3"/>
        <v>77</v>
      </c>
      <c r="BB14" s="88" t="str">
        <f t="shared" ca="1" si="4"/>
        <v>A56:A1200</v>
      </c>
      <c r="BC14" s="89" t="str">
        <f t="shared" ca="1" si="5"/>
        <v>B77</v>
      </c>
      <c r="BD14" s="89">
        <f ca="1">IF(BC14=0,0,RANK(BF14,$BF$11:$BF$70,0)+(COUNTIF($BF14:$BF$70,BF14)-1))</f>
        <v>17</v>
      </c>
      <c r="BE14" s="89" t="str">
        <f t="shared" ca="1" si="6"/>
        <v>201004</v>
      </c>
      <c r="BF14" s="89">
        <f t="shared" ca="1" si="7"/>
        <v>20100405</v>
      </c>
      <c r="BG14" s="89">
        <f t="shared" ca="1" si="8"/>
        <v>20</v>
      </c>
      <c r="BH14" s="89">
        <f t="shared" ca="1" si="9"/>
        <v>4</v>
      </c>
      <c r="BI14" s="89" t="str">
        <f t="shared" ca="1" si="10"/>
        <v>B98</v>
      </c>
      <c r="BJ14" s="89">
        <f t="shared" ca="1" si="11"/>
        <v>5</v>
      </c>
      <c r="BK14" s="89">
        <f t="shared" ca="1" si="12"/>
        <v>5</v>
      </c>
      <c r="BL14" s="89">
        <f t="shared" ca="1" si="13"/>
        <v>50</v>
      </c>
      <c r="BM14" s="89">
        <f t="shared" ca="1" si="14"/>
        <v>7</v>
      </c>
      <c r="BN14" s="89" t="str">
        <f t="shared" ca="1" si="15"/>
        <v>S10!B78:G97</v>
      </c>
      <c r="BO14" s="89" t="str">
        <f t="shared" ca="1" si="16"/>
        <v>s</v>
      </c>
      <c r="BP14" s="89" t="str">
        <f t="shared" ca="1" si="17"/>
        <v/>
      </c>
      <c r="BQ14" s="89" t="str">
        <f t="shared" ca="1" si="18"/>
        <v/>
      </c>
      <c r="BR14" s="87" t="str">
        <f t="shared" ca="1" si="19"/>
        <v>x</v>
      </c>
      <c r="BS14" s="89" t="str">
        <f t="shared" ca="1" si="20"/>
        <v/>
      </c>
      <c r="BT14" s="89" t="str">
        <f t="shared" ca="1" si="21"/>
        <v/>
      </c>
      <c r="BU14" s="89" t="str">
        <f t="shared" ca="1" si="22"/>
        <v/>
      </c>
      <c r="BV14" s="87" t="str">
        <f t="shared" ca="1" si="23"/>
        <v/>
      </c>
      <c r="BW14" s="87" t="str">
        <f t="shared" ca="1" si="24"/>
        <v>20100405</v>
      </c>
      <c r="BX14" s="89">
        <f t="shared" ca="1" si="25"/>
        <v>0</v>
      </c>
    </row>
    <row r="15" spans="1:76">
      <c r="A15" s="90" t="str">
        <f t="shared" si="2"/>
        <v/>
      </c>
      <c r="B15" s="98">
        <v>4</v>
      </c>
      <c r="C15" s="94">
        <v>9</v>
      </c>
      <c r="D15" s="94">
        <v>4</v>
      </c>
      <c r="E15" s="94">
        <v>3</v>
      </c>
      <c r="F15" s="94">
        <v>-8</v>
      </c>
      <c r="G15" s="94">
        <v>-1</v>
      </c>
      <c r="H15" s="94">
        <v>5</v>
      </c>
      <c r="I15" s="94">
        <v>-7</v>
      </c>
      <c r="J15" s="94">
        <v>-2</v>
      </c>
      <c r="K15" s="94">
        <v>-6</v>
      </c>
      <c r="L15" s="94">
        <v>-9</v>
      </c>
      <c r="M15" s="94">
        <v>7</v>
      </c>
      <c r="N15" s="94">
        <v>-3</v>
      </c>
      <c r="O15" s="94">
        <v>-10</v>
      </c>
      <c r="P15" s="94">
        <v>2</v>
      </c>
      <c r="Q15" s="94">
        <v>1</v>
      </c>
      <c r="R15" s="94">
        <v>-5</v>
      </c>
      <c r="S15" s="94">
        <v>-4</v>
      </c>
      <c r="T15" s="94">
        <v>8</v>
      </c>
      <c r="U15" s="94">
        <v>6</v>
      </c>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89"/>
      <c r="AV15" s="89"/>
      <c r="AW15" s="89"/>
      <c r="AX15" s="89"/>
      <c r="AY15" s="89"/>
      <c r="AZ15" s="89"/>
      <c r="BA15" s="91">
        <f t="shared" ca="1" si="3"/>
        <v>99</v>
      </c>
      <c r="BB15" s="88" t="str">
        <f t="shared" ca="1" si="4"/>
        <v>A78:A1200</v>
      </c>
      <c r="BC15" s="89" t="str">
        <f t="shared" ca="1" si="5"/>
        <v>B99</v>
      </c>
      <c r="BD15" s="89">
        <f ca="1">IF(BC15=0,0,RANK(BF15,$BF$11:$BF$70,0)+(COUNTIF($BF15:$BF$70,BF15)-1))</f>
        <v>16</v>
      </c>
      <c r="BE15" s="89" t="str">
        <f t="shared" ca="1" si="6"/>
        <v>201005</v>
      </c>
      <c r="BF15" s="89">
        <f t="shared" ca="1" si="7"/>
        <v>20100503</v>
      </c>
      <c r="BG15" s="89">
        <f t="shared" ca="1" si="8"/>
        <v>20</v>
      </c>
      <c r="BH15" s="89">
        <f t="shared" ca="1" si="9"/>
        <v>5</v>
      </c>
      <c r="BI15" s="89" t="str">
        <f t="shared" ca="1" si="10"/>
        <v>B120</v>
      </c>
      <c r="BJ15" s="89">
        <f t="shared" ca="1" si="11"/>
        <v>3</v>
      </c>
      <c r="BK15" s="89">
        <f t="shared" ca="1" si="12"/>
        <v>3</v>
      </c>
      <c r="BL15" s="89">
        <f t="shared" ca="1" si="13"/>
        <v>30</v>
      </c>
      <c r="BM15" s="89">
        <f t="shared" ca="1" si="14"/>
        <v>5</v>
      </c>
      <c r="BN15" s="89" t="str">
        <f t="shared" ca="1" si="15"/>
        <v>S10!B100:E119</v>
      </c>
      <c r="BO15" s="89" t="str">
        <f t="shared" ca="1" si="16"/>
        <v>s</v>
      </c>
      <c r="BP15" s="89" t="str">
        <f t="shared" ca="1" si="17"/>
        <v/>
      </c>
      <c r="BQ15" s="89" t="str">
        <f t="shared" ca="1" si="18"/>
        <v/>
      </c>
      <c r="BR15" s="87" t="str">
        <f t="shared" ca="1" si="19"/>
        <v/>
      </c>
      <c r="BS15" s="89" t="str">
        <f t="shared" ca="1" si="20"/>
        <v/>
      </c>
      <c r="BT15" s="89" t="str">
        <f t="shared" ca="1" si="21"/>
        <v/>
      </c>
      <c r="BU15" s="89" t="str">
        <f t="shared" ca="1" si="22"/>
        <v/>
      </c>
      <c r="BV15" s="87" t="str">
        <f t="shared" ca="1" si="23"/>
        <v/>
      </c>
      <c r="BW15" s="87" t="str">
        <f t="shared" ca="1" si="24"/>
        <v>20100503</v>
      </c>
      <c r="BX15" s="89">
        <f t="shared" ca="1" si="25"/>
        <v>0</v>
      </c>
    </row>
    <row r="16" spans="1:76">
      <c r="A16" s="90" t="str">
        <f t="shared" si="2"/>
        <v/>
      </c>
      <c r="B16" s="98">
        <v>5</v>
      </c>
      <c r="C16" s="94">
        <v>-10</v>
      </c>
      <c r="D16" s="94">
        <v>3</v>
      </c>
      <c r="E16" s="94">
        <v>4</v>
      </c>
      <c r="F16" s="94">
        <v>7</v>
      </c>
      <c r="G16" s="94">
        <v>2</v>
      </c>
      <c r="H16" s="94">
        <v>-6</v>
      </c>
      <c r="I16" s="94">
        <v>8</v>
      </c>
      <c r="J16" s="94">
        <v>-1</v>
      </c>
      <c r="K16" s="94">
        <v>5</v>
      </c>
      <c r="L16" s="94">
        <v>10</v>
      </c>
      <c r="M16" s="94">
        <v>6</v>
      </c>
      <c r="N16" s="94">
        <v>-5</v>
      </c>
      <c r="O16" s="94">
        <v>-9</v>
      </c>
      <c r="P16" s="94">
        <v>1</v>
      </c>
      <c r="Q16" s="94">
        <v>-2</v>
      </c>
      <c r="R16" s="94">
        <v>-7</v>
      </c>
      <c r="S16" s="94">
        <v>-3</v>
      </c>
      <c r="T16" s="94">
        <v>-8</v>
      </c>
      <c r="U16" s="94">
        <v>-4</v>
      </c>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89"/>
      <c r="AV16" s="89"/>
      <c r="AW16" s="89"/>
      <c r="AX16" s="89"/>
      <c r="AY16" s="89"/>
      <c r="AZ16" s="89"/>
      <c r="BA16" s="91">
        <f t="shared" ca="1" si="3"/>
        <v>121</v>
      </c>
      <c r="BB16" s="88" t="str">
        <f t="shared" ca="1" si="4"/>
        <v>A100:A1200</v>
      </c>
      <c r="BC16" s="89" t="str">
        <f t="shared" ca="1" si="5"/>
        <v>B121</v>
      </c>
      <c r="BD16" s="89">
        <f ca="1">IF(BC16=0,0,RANK(BF16,$BF$11:$BF$70,0)+(COUNTIF($BF16:$BF$70,BF16)-1))</f>
        <v>14</v>
      </c>
      <c r="BE16" s="89" t="str">
        <f t="shared" ca="1" si="6"/>
        <v>211002</v>
      </c>
      <c r="BF16" s="89">
        <f t="shared" ca="1" si="7"/>
        <v>21100211</v>
      </c>
      <c r="BG16" s="89">
        <f t="shared" ca="1" si="8"/>
        <v>21</v>
      </c>
      <c r="BH16" s="89">
        <f t="shared" ca="1" si="9"/>
        <v>2</v>
      </c>
      <c r="BI16" s="89" t="str">
        <f t="shared" ca="1" si="10"/>
        <v>B143</v>
      </c>
      <c r="BJ16" s="89">
        <f t="shared" ca="1" si="11"/>
        <v>10</v>
      </c>
      <c r="BK16" s="89">
        <f t="shared" ca="1" si="12"/>
        <v>11</v>
      </c>
      <c r="BL16" s="89">
        <f t="shared" ca="1" si="13"/>
        <v>105</v>
      </c>
      <c r="BM16" s="89">
        <f t="shared" ca="1" si="14"/>
        <v>13</v>
      </c>
      <c r="BN16" s="89" t="str">
        <f t="shared" ca="1" si="15"/>
        <v>S10!B122:M142</v>
      </c>
      <c r="BO16" s="89" t="str">
        <f t="shared" ca="1" si="16"/>
        <v>s</v>
      </c>
      <c r="BP16" s="89" t="str">
        <f t="shared" ca="1" si="17"/>
        <v>b</v>
      </c>
      <c r="BQ16" s="89" t="str">
        <f t="shared" ca="1" si="18"/>
        <v/>
      </c>
      <c r="BR16" s="87" t="str">
        <f t="shared" ca="1" si="19"/>
        <v/>
      </c>
      <c r="BS16" s="89" t="str">
        <f t="shared" ca="1" si="20"/>
        <v>a</v>
      </c>
      <c r="BT16" s="89" t="str">
        <f t="shared" ca="1" si="21"/>
        <v/>
      </c>
      <c r="BU16" s="89" t="str">
        <f t="shared" ca="1" si="22"/>
        <v/>
      </c>
      <c r="BV16" s="87" t="str">
        <f t="shared" ca="1" si="23"/>
        <v/>
      </c>
      <c r="BW16" s="87" t="str">
        <f t="shared" ca="1" si="24"/>
        <v>21100211</v>
      </c>
      <c r="BX16" s="89">
        <f t="shared" ca="1" si="25"/>
        <v>0</v>
      </c>
    </row>
    <row r="17" spans="1:76">
      <c r="A17" s="90" t="str">
        <f t="shared" si="2"/>
        <v/>
      </c>
      <c r="B17" s="98">
        <v>6</v>
      </c>
      <c r="C17" s="94">
        <v>-7</v>
      </c>
      <c r="D17" s="94">
        <v>-1</v>
      </c>
      <c r="E17" s="94">
        <v>2</v>
      </c>
      <c r="F17" s="94">
        <v>6</v>
      </c>
      <c r="G17" s="94">
        <v>10</v>
      </c>
      <c r="H17" s="94">
        <v>-4</v>
      </c>
      <c r="I17" s="94">
        <v>-5</v>
      </c>
      <c r="J17" s="94">
        <v>9</v>
      </c>
      <c r="K17" s="94">
        <v>-3</v>
      </c>
      <c r="L17" s="94">
        <v>8</v>
      </c>
      <c r="M17" s="94">
        <v>5</v>
      </c>
      <c r="N17" s="94">
        <v>7</v>
      </c>
      <c r="O17" s="94">
        <v>1</v>
      </c>
      <c r="P17" s="94">
        <v>-2</v>
      </c>
      <c r="Q17" s="94">
        <v>-10</v>
      </c>
      <c r="R17" s="94">
        <v>3</v>
      </c>
      <c r="S17" s="94">
        <v>-6</v>
      </c>
      <c r="T17" s="94">
        <v>-9</v>
      </c>
      <c r="U17" s="94">
        <v>4</v>
      </c>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89"/>
      <c r="AV17" s="89"/>
      <c r="AW17" s="89"/>
      <c r="AX17" s="89"/>
      <c r="AY17" s="89"/>
      <c r="AZ17" s="89"/>
      <c r="BA17" s="91">
        <f t="shared" ca="1" si="3"/>
        <v>144</v>
      </c>
      <c r="BB17" s="88" t="str">
        <f t="shared" ca="1" si="4"/>
        <v>A122:A1200</v>
      </c>
      <c r="BC17" s="89" t="str">
        <f t="shared" ca="1" si="5"/>
        <v>B144</v>
      </c>
      <c r="BD17" s="89">
        <f ca="1">IF(BC17=0,0,RANK(BF17,$BF$11:$BF$70,0)+(COUNTIF($BF17:$BF$70,BF17)-1))</f>
        <v>13</v>
      </c>
      <c r="BE17" s="89" t="str">
        <f t="shared" ca="1" si="6"/>
        <v>211005</v>
      </c>
      <c r="BF17" s="89">
        <f t="shared" ca="1" si="7"/>
        <v>21100505</v>
      </c>
      <c r="BG17" s="89">
        <f t="shared" ca="1" si="8"/>
        <v>21</v>
      </c>
      <c r="BH17" s="89">
        <f t="shared" ca="1" si="9"/>
        <v>5</v>
      </c>
      <c r="BI17" s="89" t="str">
        <f t="shared" ca="1" si="10"/>
        <v>B166</v>
      </c>
      <c r="BJ17" s="89">
        <f t="shared" ca="1" si="11"/>
        <v>4</v>
      </c>
      <c r="BK17" s="89">
        <f t="shared" ca="1" si="12"/>
        <v>5</v>
      </c>
      <c r="BL17" s="89">
        <f t="shared" ca="1" si="13"/>
        <v>42</v>
      </c>
      <c r="BM17" s="89">
        <f t="shared" ca="1" si="14"/>
        <v>7</v>
      </c>
      <c r="BN17" s="89" t="str">
        <f t="shared" ca="1" si="15"/>
        <v>S10!B145:G165</v>
      </c>
      <c r="BO17" s="89" t="str">
        <f t="shared" ca="1" si="16"/>
        <v>s</v>
      </c>
      <c r="BP17" s="89" t="str">
        <f t="shared" ca="1" si="17"/>
        <v>b</v>
      </c>
      <c r="BQ17" s="89" t="str">
        <f t="shared" ca="1" si="18"/>
        <v/>
      </c>
      <c r="BR17" s="87" t="str">
        <f t="shared" ca="1" si="19"/>
        <v/>
      </c>
      <c r="BS17" s="89" t="str">
        <f t="shared" ca="1" si="20"/>
        <v>a</v>
      </c>
      <c r="BT17" s="89" t="str">
        <f t="shared" ca="1" si="21"/>
        <v/>
      </c>
      <c r="BU17" s="89" t="str">
        <f t="shared" ca="1" si="22"/>
        <v/>
      </c>
      <c r="BV17" s="87" t="str">
        <f t="shared" ca="1" si="23"/>
        <v/>
      </c>
      <c r="BW17" s="87" t="str">
        <f t="shared" ca="1" si="24"/>
        <v>21100505</v>
      </c>
      <c r="BX17" s="89">
        <f t="shared" ca="1" si="25"/>
        <v>0</v>
      </c>
    </row>
    <row r="18" spans="1:76">
      <c r="A18" s="90" t="str">
        <f t="shared" si="2"/>
        <v/>
      </c>
      <c r="B18" s="98">
        <v>7</v>
      </c>
      <c r="C18" s="94">
        <v>-3</v>
      </c>
      <c r="D18" s="94">
        <v>7</v>
      </c>
      <c r="E18" s="94">
        <v>-8</v>
      </c>
      <c r="F18" s="94">
        <v>-1</v>
      </c>
      <c r="G18" s="94">
        <v>6</v>
      </c>
      <c r="H18" s="94">
        <v>-10</v>
      </c>
      <c r="I18" s="94">
        <v>-2</v>
      </c>
      <c r="J18" s="94">
        <v>5</v>
      </c>
      <c r="K18" s="94">
        <v>9</v>
      </c>
      <c r="L18" s="94">
        <v>4</v>
      </c>
      <c r="M18" s="94">
        <v>-6</v>
      </c>
      <c r="N18" s="94">
        <v>3</v>
      </c>
      <c r="O18" s="94">
        <v>8</v>
      </c>
      <c r="P18" s="94">
        <v>-9</v>
      </c>
      <c r="Q18" s="94">
        <v>10</v>
      </c>
      <c r="R18" s="94">
        <v>-4</v>
      </c>
      <c r="S18" s="94">
        <v>-5</v>
      </c>
      <c r="T18" s="94">
        <v>1</v>
      </c>
      <c r="U18" s="94">
        <v>-7</v>
      </c>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89"/>
      <c r="AV18" s="89"/>
      <c r="AW18" s="89"/>
      <c r="AX18" s="89"/>
      <c r="AY18" s="89"/>
      <c r="AZ18" s="89"/>
      <c r="BA18" s="91">
        <f t="shared" ca="1" si="3"/>
        <v>167</v>
      </c>
      <c r="BB18" s="88" t="str">
        <f t="shared" ca="1" si="4"/>
        <v>A145:A1200</v>
      </c>
      <c r="BC18" s="89" t="str">
        <f t="shared" ca="1" si="5"/>
        <v>B167</v>
      </c>
      <c r="BD18" s="89">
        <f ca="1">IF(BC18=0,0,RANK(BF18,$BF$11:$BF$70,0)+(COUNTIF($BF18:$BF$70,BF18)-1))</f>
        <v>11</v>
      </c>
      <c r="BE18" s="89" t="str">
        <f t="shared" ca="1" si="6"/>
        <v>221002</v>
      </c>
      <c r="BF18" s="89">
        <f t="shared" ca="1" si="7"/>
        <v>22100211</v>
      </c>
      <c r="BG18" s="89">
        <f t="shared" ca="1" si="8"/>
        <v>22</v>
      </c>
      <c r="BH18" s="89">
        <f t="shared" ca="1" si="9"/>
        <v>2</v>
      </c>
      <c r="BI18" s="89" t="str">
        <f t="shared" ca="1" si="10"/>
        <v>B190</v>
      </c>
      <c r="BJ18" s="89">
        <f t="shared" ca="1" si="11"/>
        <v>10</v>
      </c>
      <c r="BK18" s="89">
        <f t="shared" ca="1" si="12"/>
        <v>11</v>
      </c>
      <c r="BL18" s="89">
        <f t="shared" ca="1" si="13"/>
        <v>110</v>
      </c>
      <c r="BM18" s="89">
        <f t="shared" ca="1" si="14"/>
        <v>13</v>
      </c>
      <c r="BN18" s="89" t="str">
        <f t="shared" ca="1" si="15"/>
        <v>S10!B168:M189</v>
      </c>
      <c r="BO18" s="89" t="str">
        <f t="shared" ca="1" si="16"/>
        <v>s</v>
      </c>
      <c r="BP18" s="89" t="str">
        <f t="shared" ca="1" si="17"/>
        <v>b</v>
      </c>
      <c r="BQ18" s="89" t="str">
        <f t="shared" ca="1" si="18"/>
        <v/>
      </c>
      <c r="BR18" s="87" t="str">
        <f t="shared" ca="1" si="19"/>
        <v/>
      </c>
      <c r="BS18" s="89" t="str">
        <f t="shared" ca="1" si="20"/>
        <v/>
      </c>
      <c r="BT18" s="89" t="str">
        <f t="shared" ca="1" si="21"/>
        <v/>
      </c>
      <c r="BU18" s="89" t="str">
        <f t="shared" ca="1" si="22"/>
        <v/>
      </c>
      <c r="BV18" s="87" t="str">
        <f t="shared" ca="1" si="23"/>
        <v/>
      </c>
      <c r="BW18" s="87" t="str">
        <f t="shared" ca="1" si="24"/>
        <v>22100211</v>
      </c>
      <c r="BX18" s="89">
        <f t="shared" ca="1" si="25"/>
        <v>0</v>
      </c>
    </row>
    <row r="19" spans="1:76">
      <c r="A19" s="90" t="str">
        <f t="shared" si="2"/>
        <v/>
      </c>
      <c r="B19" s="98">
        <v>8</v>
      </c>
      <c r="C19" s="94">
        <v>-6</v>
      </c>
      <c r="D19" s="94">
        <v>9</v>
      </c>
      <c r="E19" s="94">
        <v>10</v>
      </c>
      <c r="F19" s="94">
        <v>-3</v>
      </c>
      <c r="G19" s="94">
        <v>-7</v>
      </c>
      <c r="H19" s="94">
        <v>2</v>
      </c>
      <c r="I19" s="94">
        <v>4</v>
      </c>
      <c r="J19" s="94">
        <v>-8</v>
      </c>
      <c r="K19" s="94">
        <v>1</v>
      </c>
      <c r="L19" s="94">
        <v>-5</v>
      </c>
      <c r="M19" s="94">
        <v>3</v>
      </c>
      <c r="N19" s="94">
        <v>-4</v>
      </c>
      <c r="O19" s="94">
        <v>-2</v>
      </c>
      <c r="P19" s="94">
        <v>-1</v>
      </c>
      <c r="Q19" s="94">
        <v>-9</v>
      </c>
      <c r="R19" s="94">
        <v>5</v>
      </c>
      <c r="S19" s="94">
        <v>6</v>
      </c>
      <c r="T19" s="94">
        <v>-10</v>
      </c>
      <c r="U19" s="94">
        <v>7</v>
      </c>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89"/>
      <c r="AV19" s="89"/>
      <c r="AW19" s="89"/>
      <c r="AX19" s="89"/>
      <c r="AY19" s="89"/>
      <c r="AZ19" s="89"/>
      <c r="BA19" s="91">
        <f t="shared" ca="1" si="3"/>
        <v>191</v>
      </c>
      <c r="BB19" s="88" t="str">
        <f t="shared" ca="1" si="4"/>
        <v>A168:A1200</v>
      </c>
      <c r="BC19" s="89" t="str">
        <f t="shared" ca="1" si="5"/>
        <v>B191</v>
      </c>
      <c r="BD19" s="89">
        <f ca="1">IF(BC19=0,0,RANK(BF19,$BF$11:$BF$70,0)+(COUNTIF($BF19:$BF$70,BF19)-1))</f>
        <v>10</v>
      </c>
      <c r="BE19" s="89" t="str">
        <f t="shared" ca="1" si="6"/>
        <v>221003</v>
      </c>
      <c r="BF19" s="89">
        <f t="shared" ca="1" si="7"/>
        <v>22100307</v>
      </c>
      <c r="BG19" s="89">
        <f t="shared" ca="1" si="8"/>
        <v>22</v>
      </c>
      <c r="BH19" s="89">
        <f t="shared" ca="1" si="9"/>
        <v>3</v>
      </c>
      <c r="BI19" s="89" t="str">
        <f t="shared" ca="1" si="10"/>
        <v>B214</v>
      </c>
      <c r="BJ19" s="89">
        <f t="shared" ca="1" si="11"/>
        <v>7</v>
      </c>
      <c r="BK19" s="89">
        <f t="shared" ca="1" si="12"/>
        <v>7</v>
      </c>
      <c r="BL19" s="89">
        <f t="shared" ca="1" si="13"/>
        <v>70</v>
      </c>
      <c r="BM19" s="89">
        <f t="shared" ca="1" si="14"/>
        <v>9</v>
      </c>
      <c r="BN19" s="89" t="str">
        <f t="shared" ca="1" si="15"/>
        <v>S10!B192:I213</v>
      </c>
      <c r="BO19" s="89" t="str">
        <f t="shared" ca="1" si="16"/>
        <v>s</v>
      </c>
      <c r="BP19" s="89" t="str">
        <f t="shared" ca="1" si="17"/>
        <v>w</v>
      </c>
      <c r="BQ19" s="89" t="str">
        <f t="shared" ca="1" si="18"/>
        <v>w</v>
      </c>
      <c r="BR19" s="87" t="str">
        <f t="shared" ca="1" si="19"/>
        <v/>
      </c>
      <c r="BS19" s="89" t="str">
        <f t="shared" ca="1" si="20"/>
        <v/>
      </c>
      <c r="BT19" s="89" t="str">
        <f t="shared" ca="1" si="21"/>
        <v/>
      </c>
      <c r="BU19" s="89" t="str">
        <f t="shared" ca="1" si="22"/>
        <v/>
      </c>
      <c r="BV19" s="87" t="str">
        <f t="shared" ca="1" si="23"/>
        <v/>
      </c>
      <c r="BW19" s="87" t="str">
        <f t="shared" ca="1" si="24"/>
        <v>22100307</v>
      </c>
      <c r="BX19" s="89">
        <f t="shared" ca="1" si="25"/>
        <v>0</v>
      </c>
    </row>
    <row r="20" spans="1:76">
      <c r="A20" s="90" t="str">
        <f t="shared" si="2"/>
        <v/>
      </c>
      <c r="B20" s="98">
        <v>9</v>
      </c>
      <c r="C20" s="94">
        <v>-5</v>
      </c>
      <c r="D20" s="94">
        <v>-10</v>
      </c>
      <c r="E20" s="94">
        <v>-9</v>
      </c>
      <c r="F20" s="94">
        <v>-4</v>
      </c>
      <c r="G20" s="94">
        <v>-8</v>
      </c>
      <c r="H20" s="94">
        <v>1</v>
      </c>
      <c r="I20" s="94">
        <v>-3</v>
      </c>
      <c r="J20" s="94">
        <v>7</v>
      </c>
      <c r="K20" s="94">
        <v>2</v>
      </c>
      <c r="L20" s="94">
        <v>6</v>
      </c>
      <c r="M20" s="94">
        <v>4</v>
      </c>
      <c r="N20" s="94">
        <v>-7</v>
      </c>
      <c r="O20" s="94">
        <v>9</v>
      </c>
      <c r="P20" s="94">
        <v>8</v>
      </c>
      <c r="Q20" s="94">
        <v>-1</v>
      </c>
      <c r="R20" s="94">
        <v>-6</v>
      </c>
      <c r="S20" s="94">
        <v>5</v>
      </c>
      <c r="T20" s="94">
        <v>10</v>
      </c>
      <c r="U20" s="94">
        <v>3</v>
      </c>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89"/>
      <c r="AV20" s="89"/>
      <c r="AW20" s="89"/>
      <c r="AX20" s="89"/>
      <c r="AY20" s="89"/>
      <c r="AZ20" s="89"/>
      <c r="BA20" s="91">
        <f t="shared" ca="1" si="3"/>
        <v>215</v>
      </c>
      <c r="BB20" s="88" t="str">
        <f t="shared" ca="1" si="4"/>
        <v>A192:A1200</v>
      </c>
      <c r="BC20" s="89" t="str">
        <f t="shared" ca="1" si="5"/>
        <v>B215</v>
      </c>
      <c r="BD20" s="89">
        <f ca="1">IF(BC20=0,0,RANK(BF20,$BF$11:$BF$70,0)+(COUNTIF($BF20:$BF$70,BF20)-1))</f>
        <v>9</v>
      </c>
      <c r="BE20" s="89" t="str">
        <f t="shared" ca="1" si="6"/>
        <v>221004</v>
      </c>
      <c r="BF20" s="89">
        <f t="shared" ca="1" si="7"/>
        <v>22100405</v>
      </c>
      <c r="BG20" s="89">
        <f t="shared" ca="1" si="8"/>
        <v>22</v>
      </c>
      <c r="BH20" s="89">
        <f t="shared" ca="1" si="9"/>
        <v>4</v>
      </c>
      <c r="BI20" s="89" t="str">
        <f t="shared" ca="1" si="10"/>
        <v>B238</v>
      </c>
      <c r="BJ20" s="89">
        <f t="shared" ca="1" si="11"/>
        <v>5</v>
      </c>
      <c r="BK20" s="89">
        <f t="shared" ca="1" si="12"/>
        <v>5</v>
      </c>
      <c r="BL20" s="89">
        <f t="shared" ca="1" si="13"/>
        <v>50</v>
      </c>
      <c r="BM20" s="89">
        <f t="shared" ca="1" si="14"/>
        <v>7</v>
      </c>
      <c r="BN20" s="89" t="str">
        <f t="shared" ca="1" si="15"/>
        <v>S10!B216:G237</v>
      </c>
      <c r="BO20" s="89" t="str">
        <f t="shared" ca="1" si="16"/>
        <v>s</v>
      </c>
      <c r="BP20" s="89" t="str">
        <f t="shared" ca="1" si="17"/>
        <v>w</v>
      </c>
      <c r="BQ20" s="89" t="str">
        <f t="shared" ca="1" si="18"/>
        <v>w</v>
      </c>
      <c r="BR20" s="87" t="str">
        <f t="shared" ca="1" si="19"/>
        <v/>
      </c>
      <c r="BS20" s="89" t="str">
        <f t="shared" ca="1" si="20"/>
        <v/>
      </c>
      <c r="BT20" s="89" t="str">
        <f t="shared" ca="1" si="21"/>
        <v/>
      </c>
      <c r="BU20" s="89" t="str">
        <f t="shared" ca="1" si="22"/>
        <v/>
      </c>
      <c r="BV20" s="87" t="str">
        <f t="shared" ca="1" si="23"/>
        <v/>
      </c>
      <c r="BW20" s="87" t="str">
        <f t="shared" ca="1" si="24"/>
        <v>22100405</v>
      </c>
      <c r="BX20" s="89">
        <f t="shared" ca="1" si="25"/>
        <v>0</v>
      </c>
    </row>
    <row r="21" spans="1:76">
      <c r="A21" s="90" t="str">
        <f t="shared" si="2"/>
        <v/>
      </c>
      <c r="B21" s="98">
        <v>10</v>
      </c>
      <c r="C21" s="94">
        <v>-8</v>
      </c>
      <c r="D21" s="94">
        <v>-2</v>
      </c>
      <c r="E21" s="94">
        <v>1</v>
      </c>
      <c r="F21" s="94">
        <v>5</v>
      </c>
      <c r="G21" s="94">
        <v>9</v>
      </c>
      <c r="H21" s="94">
        <v>3</v>
      </c>
      <c r="I21" s="94">
        <v>-6</v>
      </c>
      <c r="J21" s="94">
        <v>10</v>
      </c>
      <c r="K21" s="94">
        <v>-4</v>
      </c>
      <c r="L21" s="94">
        <v>-7</v>
      </c>
      <c r="M21" s="94">
        <v>-5</v>
      </c>
      <c r="N21" s="94">
        <v>6</v>
      </c>
      <c r="O21" s="94">
        <v>2</v>
      </c>
      <c r="P21" s="94">
        <v>-10</v>
      </c>
      <c r="Q21" s="94">
        <v>8</v>
      </c>
      <c r="R21" s="94">
        <v>7</v>
      </c>
      <c r="S21" s="94">
        <v>4</v>
      </c>
      <c r="T21" s="94">
        <v>-1</v>
      </c>
      <c r="U21" s="94">
        <v>-3</v>
      </c>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89"/>
      <c r="AV21" s="89"/>
      <c r="AW21" s="89"/>
      <c r="AX21" s="89"/>
      <c r="AY21" s="89"/>
      <c r="AZ21" s="89"/>
      <c r="BA21" s="91">
        <f t="shared" ca="1" si="3"/>
        <v>239</v>
      </c>
      <c r="BB21" s="88" t="str">
        <f t="shared" ca="1" si="4"/>
        <v>A216:A1200</v>
      </c>
      <c r="BC21" s="89" t="str">
        <f t="shared" ca="1" si="5"/>
        <v>B239</v>
      </c>
      <c r="BD21" s="89">
        <f ca="1">IF(BC21=0,0,RANK(BF21,$BF$11:$BF$70,0)+(COUNTIF($BF21:$BF$70,BF21)-1))</f>
        <v>8</v>
      </c>
      <c r="BE21" s="89" t="str">
        <f t="shared" ca="1" si="6"/>
        <v>221005</v>
      </c>
      <c r="BF21" s="89">
        <f t="shared" ca="1" si="7"/>
        <v>22100505</v>
      </c>
      <c r="BG21" s="89">
        <f t="shared" ca="1" si="8"/>
        <v>22</v>
      </c>
      <c r="BH21" s="89">
        <f t="shared" ca="1" si="9"/>
        <v>5</v>
      </c>
      <c r="BI21" s="89" t="str">
        <f t="shared" ca="1" si="10"/>
        <v>B262</v>
      </c>
      <c r="BJ21" s="89">
        <f t="shared" ca="1" si="11"/>
        <v>4</v>
      </c>
      <c r="BK21" s="89">
        <f t="shared" ca="1" si="12"/>
        <v>5</v>
      </c>
      <c r="BL21" s="89">
        <f t="shared" ca="1" si="13"/>
        <v>44</v>
      </c>
      <c r="BM21" s="89">
        <f t="shared" ca="1" si="14"/>
        <v>7</v>
      </c>
      <c r="BN21" s="89" t="str">
        <f t="shared" ca="1" si="15"/>
        <v>S10!B240:G261</v>
      </c>
      <c r="BO21" s="89" t="str">
        <f t="shared" ca="1" si="16"/>
        <v>s</v>
      </c>
      <c r="BP21" s="89" t="str">
        <f t="shared" ca="1" si="17"/>
        <v>b</v>
      </c>
      <c r="BQ21" s="89" t="str">
        <f t="shared" ca="1" si="18"/>
        <v/>
      </c>
      <c r="BR21" s="87" t="str">
        <f t="shared" ca="1" si="19"/>
        <v/>
      </c>
      <c r="BS21" s="89" t="str">
        <f t="shared" ca="1" si="20"/>
        <v>a</v>
      </c>
      <c r="BT21" s="89" t="str">
        <f t="shared" ca="1" si="21"/>
        <v/>
      </c>
      <c r="BU21" s="89" t="str">
        <f t="shared" ca="1" si="22"/>
        <v/>
      </c>
      <c r="BV21" s="87" t="str">
        <f t="shared" ca="1" si="23"/>
        <v/>
      </c>
      <c r="BW21" s="87" t="str">
        <f t="shared" ca="1" si="24"/>
        <v>22100505</v>
      </c>
      <c r="BX21" s="89">
        <f t="shared" ca="1" si="25"/>
        <v>0</v>
      </c>
    </row>
    <row r="22" spans="1:76">
      <c r="A22" s="90" t="str">
        <f t="shared" si="2"/>
        <v/>
      </c>
      <c r="B22" s="98">
        <v>11</v>
      </c>
      <c r="C22" s="94">
        <v>-1</v>
      </c>
      <c r="D22" s="94">
        <v>-7</v>
      </c>
      <c r="E22" s="94">
        <v>-4</v>
      </c>
      <c r="F22" s="94">
        <v>3</v>
      </c>
      <c r="G22" s="94">
        <v>-9</v>
      </c>
      <c r="H22" s="94">
        <v>-5</v>
      </c>
      <c r="I22" s="94">
        <v>10</v>
      </c>
      <c r="J22" s="94">
        <v>-6</v>
      </c>
      <c r="K22" s="94">
        <v>-2</v>
      </c>
      <c r="L22" s="94">
        <v>-8</v>
      </c>
      <c r="M22" s="94">
        <v>9</v>
      </c>
      <c r="N22" s="94">
        <v>1</v>
      </c>
      <c r="O22" s="94">
        <v>-3</v>
      </c>
      <c r="P22" s="94">
        <v>5</v>
      </c>
      <c r="Q22" s="94">
        <v>6</v>
      </c>
      <c r="R22" s="94">
        <v>-10</v>
      </c>
      <c r="S22" s="94">
        <v>2</v>
      </c>
      <c r="T22" s="94">
        <v>4</v>
      </c>
      <c r="U22" s="94">
        <v>8</v>
      </c>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89"/>
      <c r="AV22" s="89"/>
      <c r="AW22" s="89"/>
      <c r="AX22" s="89"/>
      <c r="AY22" s="89"/>
      <c r="AZ22" s="89"/>
      <c r="BA22" s="91">
        <f t="shared" ca="1" si="3"/>
        <v>263</v>
      </c>
      <c r="BB22" s="88" t="str">
        <f t="shared" ca="1" si="4"/>
        <v>A240:A1200</v>
      </c>
      <c r="BC22" s="89" t="str">
        <f t="shared" ca="1" si="5"/>
        <v>B263</v>
      </c>
      <c r="BD22" s="89">
        <f ca="1">IF(BC22=0,0,RANK(BF22,$BF$11:$BF$70,0)+(COUNTIF($BF22:$BF$70,BF22)-1))</f>
        <v>7</v>
      </c>
      <c r="BE22" s="89" t="str">
        <f t="shared" ca="1" si="6"/>
        <v>231005</v>
      </c>
      <c r="BF22" s="89">
        <f t="shared" ca="1" si="7"/>
        <v>23100505</v>
      </c>
      <c r="BG22" s="89">
        <f t="shared" ca="1" si="8"/>
        <v>23</v>
      </c>
      <c r="BH22" s="89">
        <f t="shared" ca="1" si="9"/>
        <v>5</v>
      </c>
      <c r="BI22" s="89" t="str">
        <f t="shared" ca="1" si="10"/>
        <v>B287</v>
      </c>
      <c r="BJ22" s="89">
        <f t="shared" ca="1" si="11"/>
        <v>4</v>
      </c>
      <c r="BK22" s="89">
        <f t="shared" ca="1" si="12"/>
        <v>5</v>
      </c>
      <c r="BL22" s="89">
        <f t="shared" ca="1" si="13"/>
        <v>46</v>
      </c>
      <c r="BM22" s="89">
        <f t="shared" ca="1" si="14"/>
        <v>7</v>
      </c>
      <c r="BN22" s="89" t="str">
        <f t="shared" ca="1" si="15"/>
        <v>S10!B264:G286</v>
      </c>
      <c r="BO22" s="89" t="str">
        <f t="shared" ca="1" si="16"/>
        <v>s</v>
      </c>
      <c r="BP22" s="89" t="str">
        <f t="shared" ca="1" si="17"/>
        <v>b</v>
      </c>
      <c r="BQ22" s="89" t="str">
        <f t="shared" ca="1" si="18"/>
        <v/>
      </c>
      <c r="BR22" s="87" t="str">
        <f t="shared" ca="1" si="19"/>
        <v/>
      </c>
      <c r="BS22" s="89" t="str">
        <f t="shared" ca="1" si="20"/>
        <v>a</v>
      </c>
      <c r="BT22" s="89" t="str">
        <f t="shared" ca="1" si="21"/>
        <v/>
      </c>
      <c r="BU22" s="89" t="str">
        <f t="shared" ca="1" si="22"/>
        <v/>
      </c>
      <c r="BV22" s="87" t="str">
        <f t="shared" ca="1" si="23"/>
        <v/>
      </c>
      <c r="BW22" s="87" t="str">
        <f t="shared" ca="1" si="24"/>
        <v>23100505</v>
      </c>
      <c r="BX22" s="89">
        <f t="shared" ca="1" si="25"/>
        <v>0</v>
      </c>
    </row>
    <row r="23" spans="1:76">
      <c r="A23" s="90" t="str">
        <f t="shared" si="2"/>
        <v/>
      </c>
      <c r="B23" s="98">
        <v>12</v>
      </c>
      <c r="C23" s="94">
        <v>10</v>
      </c>
      <c r="D23" s="94">
        <v>-6</v>
      </c>
      <c r="E23" s="94">
        <v>-1</v>
      </c>
      <c r="F23" s="94">
        <v>2</v>
      </c>
      <c r="G23" s="94">
        <v>8</v>
      </c>
      <c r="H23" s="94">
        <v>4</v>
      </c>
      <c r="I23" s="94">
        <v>7</v>
      </c>
      <c r="J23" s="94">
        <v>3</v>
      </c>
      <c r="K23" s="94">
        <v>-9</v>
      </c>
      <c r="L23" s="94">
        <v>5</v>
      </c>
      <c r="M23" s="94">
        <v>-2</v>
      </c>
      <c r="N23" s="94">
        <v>-10</v>
      </c>
      <c r="O23" s="94">
        <v>-7</v>
      </c>
      <c r="P23" s="94">
        <v>-4</v>
      </c>
      <c r="Q23" s="94">
        <v>-5</v>
      </c>
      <c r="R23" s="94">
        <v>1</v>
      </c>
      <c r="S23" s="94">
        <v>9</v>
      </c>
      <c r="T23" s="94">
        <v>6</v>
      </c>
      <c r="U23" s="94">
        <v>-8</v>
      </c>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89"/>
      <c r="AV23" s="89"/>
      <c r="AW23" s="89"/>
      <c r="AX23" s="89"/>
      <c r="AY23" s="89"/>
      <c r="AZ23" s="89"/>
      <c r="BA23" s="91">
        <f t="shared" ca="1" si="3"/>
        <v>288</v>
      </c>
      <c r="BB23" s="88" t="str">
        <f t="shared" ca="1" si="4"/>
        <v>A264:A1200</v>
      </c>
      <c r="BC23" s="89" t="str">
        <f t="shared" ca="1" si="5"/>
        <v>B288</v>
      </c>
      <c r="BD23" s="89">
        <f ca="1">IF(BC23=0,0,RANK(BF23,$BF$11:$BF$70,0)+(COUNTIF($BF23:$BF$70,BF23)-1))</f>
        <v>6</v>
      </c>
      <c r="BE23" s="89" t="str">
        <f t="shared" ca="1" si="6"/>
        <v>241005</v>
      </c>
      <c r="BF23" s="89">
        <f t="shared" ca="1" si="7"/>
        <v>24100505</v>
      </c>
      <c r="BG23" s="89">
        <f t="shared" ca="1" si="8"/>
        <v>24</v>
      </c>
      <c r="BH23" s="89">
        <f t="shared" ca="1" si="9"/>
        <v>5</v>
      </c>
      <c r="BI23" s="89" t="str">
        <f t="shared" ca="1" si="10"/>
        <v>B313</v>
      </c>
      <c r="BJ23" s="89">
        <f t="shared" ca="1" si="11"/>
        <v>4</v>
      </c>
      <c r="BK23" s="89">
        <f t="shared" ca="1" si="12"/>
        <v>5</v>
      </c>
      <c r="BL23" s="89">
        <f t="shared" ca="1" si="13"/>
        <v>48</v>
      </c>
      <c r="BM23" s="89">
        <f t="shared" ca="1" si="14"/>
        <v>7</v>
      </c>
      <c r="BN23" s="89" t="str">
        <f t="shared" ca="1" si="15"/>
        <v>S10!B289:G312</v>
      </c>
      <c r="BO23" s="89" t="str">
        <f t="shared" ca="1" si="16"/>
        <v>s</v>
      </c>
      <c r="BP23" s="89" t="str">
        <f t="shared" ca="1" si="17"/>
        <v>b</v>
      </c>
      <c r="BQ23" s="89" t="str">
        <f t="shared" ca="1" si="18"/>
        <v/>
      </c>
      <c r="BR23" s="87" t="str">
        <f t="shared" ca="1" si="19"/>
        <v/>
      </c>
      <c r="BS23" s="89" t="str">
        <f t="shared" ca="1" si="20"/>
        <v>a</v>
      </c>
      <c r="BT23" s="89" t="str">
        <f t="shared" ca="1" si="21"/>
        <v/>
      </c>
      <c r="BU23" s="89" t="str">
        <f t="shared" ca="1" si="22"/>
        <v/>
      </c>
      <c r="BV23" s="87" t="str">
        <f t="shared" ca="1" si="23"/>
        <v/>
      </c>
      <c r="BW23" s="87" t="str">
        <f t="shared" ca="1" si="24"/>
        <v>24100505</v>
      </c>
      <c r="BX23" s="89">
        <f t="shared" ca="1" si="25"/>
        <v>0</v>
      </c>
    </row>
    <row r="24" spans="1:76">
      <c r="A24" s="90" t="str">
        <f t="shared" si="2"/>
        <v/>
      </c>
      <c r="B24" s="98">
        <v>13</v>
      </c>
      <c r="C24" s="94">
        <v>7</v>
      </c>
      <c r="D24" s="94">
        <v>-3</v>
      </c>
      <c r="E24" s="94">
        <v>-10</v>
      </c>
      <c r="F24" s="94">
        <v>9</v>
      </c>
      <c r="G24" s="94">
        <v>5</v>
      </c>
      <c r="H24" s="94">
        <v>-1</v>
      </c>
      <c r="I24" s="94">
        <v>6</v>
      </c>
      <c r="J24" s="94">
        <v>2</v>
      </c>
      <c r="K24" s="94">
        <v>-8</v>
      </c>
      <c r="L24" s="94">
        <v>-4</v>
      </c>
      <c r="M24" s="94">
        <v>1</v>
      </c>
      <c r="N24" s="94">
        <v>-9</v>
      </c>
      <c r="O24" s="94">
        <v>-5</v>
      </c>
      <c r="P24" s="94">
        <v>4</v>
      </c>
      <c r="Q24" s="94">
        <v>3</v>
      </c>
      <c r="R24" s="94">
        <v>10</v>
      </c>
      <c r="S24" s="94">
        <v>8</v>
      </c>
      <c r="T24" s="94">
        <v>-7</v>
      </c>
      <c r="U24" s="94">
        <v>-2</v>
      </c>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89"/>
      <c r="AV24" s="89"/>
      <c r="AW24" s="89"/>
      <c r="AX24" s="89"/>
      <c r="AY24" s="89"/>
      <c r="AZ24" s="89"/>
      <c r="BA24" s="91">
        <f t="shared" ca="1" si="3"/>
        <v>314</v>
      </c>
      <c r="BB24" s="88" t="str">
        <f t="shared" ca="1" si="4"/>
        <v>A289:A1200</v>
      </c>
      <c r="BC24" s="89" t="str">
        <f t="shared" ca="1" si="5"/>
        <v>B314</v>
      </c>
      <c r="BD24" s="89">
        <f ca="1">IF(BC24=0,0,RANK(BF24,$BF$11:$BF$70,0)+(COUNTIF($BF24:$BF$70,BF24)-1))</f>
        <v>4</v>
      </c>
      <c r="BE24" s="89" t="str">
        <f t="shared" ca="1" si="6"/>
        <v>251005</v>
      </c>
      <c r="BF24" s="89">
        <f t="shared" ca="1" si="7"/>
        <v>25100505</v>
      </c>
      <c r="BG24" s="89">
        <f t="shared" ca="1" si="8"/>
        <v>25</v>
      </c>
      <c r="BH24" s="89">
        <f t="shared" ca="1" si="9"/>
        <v>5</v>
      </c>
      <c r="BI24" s="89" t="str">
        <f t="shared" ca="1" si="10"/>
        <v>B340</v>
      </c>
      <c r="BJ24" s="89">
        <f t="shared" ca="1" si="11"/>
        <v>4</v>
      </c>
      <c r="BK24" s="89">
        <f t="shared" ca="1" si="12"/>
        <v>5</v>
      </c>
      <c r="BL24" s="89">
        <f t="shared" ca="1" si="13"/>
        <v>50</v>
      </c>
      <c r="BM24" s="89">
        <f t="shared" ca="1" si="14"/>
        <v>7</v>
      </c>
      <c r="BN24" s="89" t="str">
        <f t="shared" ca="1" si="15"/>
        <v>S10!B315:G339</v>
      </c>
      <c r="BO24" s="89" t="str">
        <f t="shared" ca="1" si="16"/>
        <v>s</v>
      </c>
      <c r="BP24" s="89" t="str">
        <f t="shared" ca="1" si="17"/>
        <v>b</v>
      </c>
      <c r="BQ24" s="89" t="str">
        <f t="shared" ca="1" si="18"/>
        <v/>
      </c>
      <c r="BR24" s="87" t="str">
        <f t="shared" ca="1" si="19"/>
        <v/>
      </c>
      <c r="BS24" s="89" t="str">
        <f t="shared" ca="1" si="20"/>
        <v/>
      </c>
      <c r="BT24" s="89" t="str">
        <f t="shared" ca="1" si="21"/>
        <v/>
      </c>
      <c r="BU24" s="89" t="str">
        <f t="shared" ca="1" si="22"/>
        <v/>
      </c>
      <c r="BV24" s="87" t="str">
        <f t="shared" ca="1" si="23"/>
        <v/>
      </c>
      <c r="BW24" s="87" t="str">
        <f t="shared" ca="1" si="24"/>
        <v>25100505</v>
      </c>
      <c r="BX24" s="89">
        <f t="shared" ca="1" si="25"/>
        <v>0</v>
      </c>
    </row>
    <row r="25" spans="1:76">
      <c r="A25" s="90" t="str">
        <f t="shared" si="2"/>
        <v/>
      </c>
      <c r="B25" s="98">
        <v>14</v>
      </c>
      <c r="C25" s="94">
        <v>8</v>
      </c>
      <c r="D25" s="94">
        <v>-4</v>
      </c>
      <c r="E25" s="94">
        <v>9</v>
      </c>
      <c r="F25" s="94">
        <v>-10</v>
      </c>
      <c r="G25" s="94">
        <v>-6</v>
      </c>
      <c r="H25" s="94">
        <v>-2</v>
      </c>
      <c r="I25" s="94">
        <v>5</v>
      </c>
      <c r="J25" s="94">
        <v>1</v>
      </c>
      <c r="K25" s="94">
        <v>7</v>
      </c>
      <c r="L25" s="94">
        <v>-3</v>
      </c>
      <c r="M25" s="94">
        <v>-9</v>
      </c>
      <c r="N25" s="94">
        <v>10</v>
      </c>
      <c r="O25" s="94">
        <v>6</v>
      </c>
      <c r="P25" s="94">
        <v>-7</v>
      </c>
      <c r="Q25" s="94">
        <v>4</v>
      </c>
      <c r="R25" s="94">
        <v>-8</v>
      </c>
      <c r="S25" s="94">
        <v>-1</v>
      </c>
      <c r="T25" s="94">
        <v>3</v>
      </c>
      <c r="U25" s="94">
        <v>2</v>
      </c>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89"/>
      <c r="AV25" s="89"/>
      <c r="AW25" s="89"/>
      <c r="AX25" s="89"/>
      <c r="AY25" s="89"/>
      <c r="AZ25" s="89"/>
      <c r="BA25" s="91">
        <f t="shared" ca="1" si="3"/>
        <v>341</v>
      </c>
      <c r="BB25" s="88" t="str">
        <f t="shared" ca="1" si="4"/>
        <v>A315:A1200</v>
      </c>
      <c r="BC25" s="89" t="str">
        <f t="shared" ca="1" si="5"/>
        <v>B341</v>
      </c>
      <c r="BD25" s="89">
        <f ca="1">IF(BC25=0,0,RANK(BF25,$BF$11:$BF$70,0)+(COUNTIF($BF25:$BF$70,BF25)-1))</f>
        <v>12</v>
      </c>
      <c r="BE25" s="89" t="str">
        <f t="shared" ca="1" si="6"/>
        <v>221001</v>
      </c>
      <c r="BF25" s="89">
        <f t="shared" ca="1" si="7"/>
        <v>22100124</v>
      </c>
      <c r="BG25" s="89">
        <f t="shared" ca="1" si="8"/>
        <v>22</v>
      </c>
      <c r="BH25" s="89">
        <f t="shared" ca="1" si="9"/>
        <v>1</v>
      </c>
      <c r="BI25" s="89" t="str">
        <f t="shared" ca="1" si="10"/>
        <v>B364</v>
      </c>
      <c r="BJ25" s="89">
        <f t="shared" ca="1" si="11"/>
        <v>21</v>
      </c>
      <c r="BK25" s="89">
        <f t="shared" ca="1" si="12"/>
        <v>24</v>
      </c>
      <c r="BL25" s="89">
        <f t="shared" ca="1" si="13"/>
        <v>231</v>
      </c>
      <c r="BM25" s="89">
        <f t="shared" ca="1" si="14"/>
        <v>26</v>
      </c>
      <c r="BN25" s="89" t="str">
        <f t="shared" ca="1" si="15"/>
        <v>S10!B342:Z363</v>
      </c>
      <c r="BO25" s="89" t="str">
        <f t="shared" ca="1" si="16"/>
        <v>s</v>
      </c>
      <c r="BP25" s="89" t="str">
        <f t="shared" ca="1" si="17"/>
        <v>b</v>
      </c>
      <c r="BQ25" s="89" t="str">
        <f t="shared" ca="1" si="18"/>
        <v/>
      </c>
      <c r="BR25" s="87" t="str">
        <f t="shared" ca="1" si="19"/>
        <v/>
      </c>
      <c r="BS25" s="89" t="str">
        <f t="shared" ca="1" si="20"/>
        <v/>
      </c>
      <c r="BT25" s="89" t="str">
        <f t="shared" ca="1" si="21"/>
        <v/>
      </c>
      <c r="BU25" s="89" t="str">
        <f t="shared" ca="1" si="22"/>
        <v/>
      </c>
      <c r="BV25" s="87" t="str">
        <f t="shared" ca="1" si="23"/>
        <v/>
      </c>
      <c r="BW25" s="87" t="str">
        <f t="shared" ca="1" si="24"/>
        <v>22100124</v>
      </c>
      <c r="BX25" s="89">
        <f t="shared" ca="1" si="25"/>
        <v>0</v>
      </c>
    </row>
    <row r="26" spans="1:76">
      <c r="A26" s="90" t="str">
        <f t="shared" si="2"/>
        <v/>
      </c>
      <c r="B26" s="98">
        <v>15</v>
      </c>
      <c r="C26" s="94">
        <v>3</v>
      </c>
      <c r="D26" s="94">
        <v>10</v>
      </c>
      <c r="E26" s="94">
        <v>5</v>
      </c>
      <c r="F26" s="94">
        <v>-6</v>
      </c>
      <c r="G26" s="94">
        <v>-2</v>
      </c>
      <c r="H26" s="94">
        <v>-7</v>
      </c>
      <c r="I26" s="94">
        <v>1</v>
      </c>
      <c r="J26" s="94">
        <v>8</v>
      </c>
      <c r="K26" s="94">
        <v>4</v>
      </c>
      <c r="L26" s="94">
        <v>9</v>
      </c>
      <c r="M26" s="94">
        <v>-10</v>
      </c>
      <c r="N26" s="94">
        <v>2</v>
      </c>
      <c r="O26" s="94">
        <v>-4</v>
      </c>
      <c r="P26" s="94">
        <v>-5</v>
      </c>
      <c r="Q26" s="94">
        <v>7</v>
      </c>
      <c r="R26" s="94">
        <v>-1</v>
      </c>
      <c r="S26" s="94">
        <v>-8</v>
      </c>
      <c r="T26" s="94">
        <v>-3</v>
      </c>
      <c r="U26" s="94">
        <v>-9</v>
      </c>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89"/>
      <c r="AV26" s="89"/>
      <c r="AW26" s="89"/>
      <c r="AX26" s="89"/>
      <c r="AY26" s="89"/>
      <c r="AZ26" s="89"/>
      <c r="BA26" s="91">
        <f t="shared" ca="1" si="3"/>
        <v>365</v>
      </c>
      <c r="BB26" s="88" t="str">
        <f t="shared" ca="1" si="4"/>
        <v>A342:A1200</v>
      </c>
      <c r="BC26" s="89" t="str">
        <f t="shared" ca="1" si="5"/>
        <v>B365</v>
      </c>
      <c r="BD26" s="89">
        <f ca="1">IF(BC26=0,0,RANK(BF26,$BF$11:$BF$70,0)+(COUNTIF($BF26:$BF$70,BF26)-1))</f>
        <v>5</v>
      </c>
      <c r="BE26" s="89" t="str">
        <f t="shared" ca="1" si="6"/>
        <v>251001</v>
      </c>
      <c r="BF26" s="89">
        <f t="shared" ca="1" si="7"/>
        <v>25100130</v>
      </c>
      <c r="BG26" s="89">
        <f t="shared" ca="1" si="8"/>
        <v>25</v>
      </c>
      <c r="BH26" s="89">
        <f t="shared" ca="1" si="9"/>
        <v>1</v>
      </c>
      <c r="BI26" s="89" t="str">
        <f t="shared" ca="1" si="10"/>
        <v>B391</v>
      </c>
      <c r="BJ26" s="89">
        <f t="shared" ca="1" si="11"/>
        <v>24</v>
      </c>
      <c r="BK26" s="89">
        <f t="shared" ca="1" si="12"/>
        <v>30</v>
      </c>
      <c r="BL26" s="89">
        <f t="shared" ca="1" si="13"/>
        <v>300</v>
      </c>
      <c r="BM26" s="89">
        <f t="shared" ca="1" si="14"/>
        <v>32</v>
      </c>
      <c r="BN26" s="89" t="str">
        <f t="shared" ca="1" si="15"/>
        <v>S10!B366:AF390</v>
      </c>
      <c r="BO26" s="89" t="str">
        <f t="shared" ca="1" si="16"/>
        <v>L</v>
      </c>
      <c r="BP26" s="89" t="str">
        <f t="shared" ca="1" si="17"/>
        <v/>
      </c>
      <c r="BQ26" s="89" t="str">
        <f t="shared" ca="1" si="18"/>
        <v/>
      </c>
      <c r="BR26" s="87" t="str">
        <f t="shared" ca="1" si="19"/>
        <v/>
      </c>
      <c r="BS26" s="89" t="str">
        <f t="shared" ca="1" si="20"/>
        <v/>
      </c>
      <c r="BT26" s="89" t="str">
        <f t="shared" ca="1" si="21"/>
        <v/>
      </c>
      <c r="BU26" s="89" t="str">
        <f t="shared" ca="1" si="22"/>
        <v/>
      </c>
      <c r="BV26" s="87" t="str">
        <f t="shared" ca="1" si="23"/>
        <v/>
      </c>
      <c r="BW26" s="87" t="str">
        <f t="shared" ca="1" si="24"/>
        <v>25100130</v>
      </c>
      <c r="BX26" s="89">
        <f t="shared" ca="1" si="25"/>
        <v>0</v>
      </c>
    </row>
    <row r="27" spans="1:76">
      <c r="A27" s="90" t="str">
        <f t="shared" si="2"/>
        <v/>
      </c>
      <c r="B27" s="98">
        <v>16</v>
      </c>
      <c r="C27" s="94">
        <v>-4</v>
      </c>
      <c r="D27" s="94">
        <v>-9</v>
      </c>
      <c r="E27" s="94">
        <v>6</v>
      </c>
      <c r="F27" s="94">
        <v>-5</v>
      </c>
      <c r="G27" s="94">
        <v>1</v>
      </c>
      <c r="H27" s="94">
        <v>-8</v>
      </c>
      <c r="I27" s="94">
        <v>2</v>
      </c>
      <c r="J27" s="94">
        <v>-7</v>
      </c>
      <c r="K27" s="94">
        <v>3</v>
      </c>
      <c r="L27" s="94">
        <v>-10</v>
      </c>
      <c r="M27" s="94">
        <v>8</v>
      </c>
      <c r="N27" s="94">
        <v>-1</v>
      </c>
      <c r="O27" s="94">
        <v>-6</v>
      </c>
      <c r="P27" s="94">
        <v>-3</v>
      </c>
      <c r="Q27" s="94">
        <v>5</v>
      </c>
      <c r="R27" s="94">
        <v>-2</v>
      </c>
      <c r="S27" s="94">
        <v>10</v>
      </c>
      <c r="T27" s="94">
        <v>7</v>
      </c>
      <c r="U27" s="94">
        <v>9</v>
      </c>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89"/>
      <c r="AV27" s="89"/>
      <c r="AW27" s="89"/>
      <c r="AX27" s="89"/>
      <c r="AY27" s="89"/>
      <c r="AZ27" s="89"/>
      <c r="BA27" s="91">
        <f t="shared" ca="1" si="3"/>
        <v>392</v>
      </c>
      <c r="BB27" s="88" t="str">
        <f t="shared" ca="1" si="4"/>
        <v>A366:A1200</v>
      </c>
      <c r="BC27" s="89" t="str">
        <f t="shared" ca="1" si="5"/>
        <v>B392</v>
      </c>
      <c r="BD27" s="89">
        <f ca="1">IF(BC27=0,0,RANK(BF27,$BF$11:$BF$70,0)+(COUNTIF($BF27:$BF$70,BF27)-1))</f>
        <v>3</v>
      </c>
      <c r="BE27" s="89" t="str">
        <f t="shared" ca="1" si="6"/>
        <v>261002</v>
      </c>
      <c r="BF27" s="89">
        <f t="shared" ca="1" si="7"/>
        <v>26100218</v>
      </c>
      <c r="BG27" s="89">
        <f t="shared" ca="1" si="8"/>
        <v>26</v>
      </c>
      <c r="BH27" s="89">
        <f t="shared" ca="1" si="9"/>
        <v>2</v>
      </c>
      <c r="BI27" s="89" t="str">
        <f t="shared" ca="1" si="10"/>
        <v>B419</v>
      </c>
      <c r="BJ27" s="89">
        <f t="shared" ca="1" si="11"/>
        <v>12</v>
      </c>
      <c r="BK27" s="89">
        <f t="shared" ca="1" si="12"/>
        <v>18</v>
      </c>
      <c r="BL27" s="89">
        <f t="shared" ca="1" si="13"/>
        <v>156</v>
      </c>
      <c r="BM27" s="89">
        <f t="shared" ca="1" si="14"/>
        <v>20</v>
      </c>
      <c r="BN27" s="89" t="str">
        <f t="shared" ca="1" si="15"/>
        <v>S10!B393:T418</v>
      </c>
      <c r="BO27" s="89" t="str">
        <f t="shared" ca="1" si="16"/>
        <v>c</v>
      </c>
      <c r="BP27" s="89" t="str">
        <f t="shared" ca="1" si="17"/>
        <v/>
      </c>
      <c r="BQ27" s="89" t="str">
        <f t="shared" ca="1" si="18"/>
        <v/>
      </c>
      <c r="BR27" s="87" t="str">
        <f t="shared" ca="1" si="19"/>
        <v/>
      </c>
      <c r="BS27" s="89" t="str">
        <f t="shared" ca="1" si="20"/>
        <v/>
      </c>
      <c r="BT27" s="89" t="str">
        <f t="shared" ca="1" si="21"/>
        <v/>
      </c>
      <c r="BU27" s="89" t="str">
        <f t="shared" ca="1" si="22"/>
        <v/>
      </c>
      <c r="BV27" s="87" t="str">
        <f t="shared" ca="1" si="23"/>
        <v>c</v>
      </c>
      <c r="BW27" s="87" t="str">
        <f t="shared" ca="1" si="24"/>
        <v>26100218</v>
      </c>
      <c r="BX27" s="89" t="str">
        <f t="shared" ca="1" si="25"/>
        <v>33</v>
      </c>
    </row>
    <row r="28" spans="1:76">
      <c r="A28" s="90" t="str">
        <f t="shared" si="2"/>
        <v/>
      </c>
      <c r="B28" s="98">
        <v>17</v>
      </c>
      <c r="C28" s="94">
        <v>-9</v>
      </c>
      <c r="D28" s="94">
        <v>-5</v>
      </c>
      <c r="E28" s="94">
        <v>-2</v>
      </c>
      <c r="F28" s="94">
        <v>1</v>
      </c>
      <c r="G28" s="94">
        <v>7</v>
      </c>
      <c r="H28" s="94">
        <v>-3</v>
      </c>
      <c r="I28" s="94">
        <v>-8</v>
      </c>
      <c r="J28" s="94">
        <v>4</v>
      </c>
      <c r="K28" s="94">
        <v>10</v>
      </c>
      <c r="L28" s="94">
        <v>-6</v>
      </c>
      <c r="M28" s="94">
        <v>2</v>
      </c>
      <c r="N28" s="94">
        <v>9</v>
      </c>
      <c r="O28" s="94">
        <v>3</v>
      </c>
      <c r="P28" s="94">
        <v>6</v>
      </c>
      <c r="Q28" s="94">
        <v>-7</v>
      </c>
      <c r="R28" s="94">
        <v>8</v>
      </c>
      <c r="S28" s="94">
        <v>-10</v>
      </c>
      <c r="T28" s="94">
        <v>5</v>
      </c>
      <c r="U28" s="94">
        <v>-1</v>
      </c>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89"/>
      <c r="AV28" s="89"/>
      <c r="AW28" s="89"/>
      <c r="AX28" s="89"/>
      <c r="AY28" s="89"/>
      <c r="AZ28" s="89"/>
      <c r="BA28" s="91">
        <f t="shared" ca="1" si="3"/>
        <v>420</v>
      </c>
      <c r="BB28" s="88" t="str">
        <f t="shared" ca="1" si="4"/>
        <v>A393:A1200</v>
      </c>
      <c r="BC28" s="89" t="str">
        <f t="shared" ca="1" si="5"/>
        <v>B420</v>
      </c>
      <c r="BD28" s="89">
        <f ca="1">IF(BC28=0,0,RANK(BF28,$BF$11:$BF$70,0)+(COUNTIF($BF28:$BF$70,BF28)-1))</f>
        <v>2</v>
      </c>
      <c r="BE28" s="89" t="str">
        <f t="shared" ca="1" si="6"/>
        <v>281004</v>
      </c>
      <c r="BF28" s="89">
        <f t="shared" ca="1" si="7"/>
        <v>28100409</v>
      </c>
      <c r="BG28" s="89">
        <f t="shared" ca="1" si="8"/>
        <v>28</v>
      </c>
      <c r="BH28" s="89">
        <f t="shared" ca="1" si="9"/>
        <v>4</v>
      </c>
      <c r="BI28" s="89" t="str">
        <f t="shared" ca="1" si="10"/>
        <v>B449</v>
      </c>
      <c r="BJ28" s="89">
        <f t="shared" ca="1" si="11"/>
        <v>6</v>
      </c>
      <c r="BK28" s="89">
        <f t="shared" ca="1" si="12"/>
        <v>9</v>
      </c>
      <c r="BL28" s="89">
        <f t="shared" ca="1" si="13"/>
        <v>84</v>
      </c>
      <c r="BM28" s="89">
        <f t="shared" ca="1" si="14"/>
        <v>11</v>
      </c>
      <c r="BN28" s="89" t="str">
        <f t="shared" ca="1" si="15"/>
        <v>S10!B421:K448</v>
      </c>
      <c r="BO28" s="89" t="str">
        <f t="shared" ca="1" si="16"/>
        <v>c</v>
      </c>
      <c r="BP28" s="89" t="str">
        <f t="shared" ca="1" si="17"/>
        <v/>
      </c>
      <c r="BQ28" s="89" t="str">
        <f t="shared" ca="1" si="18"/>
        <v/>
      </c>
      <c r="BR28" s="87" t="str">
        <f t="shared" ca="1" si="19"/>
        <v/>
      </c>
      <c r="BS28" s="89" t="str">
        <f t="shared" ca="1" si="20"/>
        <v/>
      </c>
      <c r="BT28" s="89" t="str">
        <f t="shared" ca="1" si="21"/>
        <v/>
      </c>
      <c r="BU28" s="89" t="str">
        <f t="shared" ca="1" si="22"/>
        <v/>
      </c>
      <c r="BV28" s="87" t="str">
        <f t="shared" ca="1" si="23"/>
        <v>c</v>
      </c>
      <c r="BW28" s="87" t="str">
        <f t="shared" ca="1" si="24"/>
        <v>28100409</v>
      </c>
      <c r="BX28" s="89" t="str">
        <f t="shared" ca="1" si="25"/>
        <v>23</v>
      </c>
    </row>
    <row r="29" spans="1:76">
      <c r="A29" s="90" t="str">
        <f t="shared" si="2"/>
        <v/>
      </c>
      <c r="B29" s="98">
        <v>18</v>
      </c>
      <c r="C29" s="94">
        <v>2</v>
      </c>
      <c r="D29" s="94">
        <v>-8</v>
      </c>
      <c r="E29" s="94">
        <v>-3</v>
      </c>
      <c r="F29" s="94">
        <v>4</v>
      </c>
      <c r="G29" s="94">
        <v>-10</v>
      </c>
      <c r="H29" s="94">
        <v>6</v>
      </c>
      <c r="I29" s="94">
        <v>9</v>
      </c>
      <c r="J29" s="94">
        <v>-5</v>
      </c>
      <c r="K29" s="94">
        <v>-1</v>
      </c>
      <c r="L29" s="94">
        <v>7</v>
      </c>
      <c r="M29" s="94">
        <v>10</v>
      </c>
      <c r="N29" s="94">
        <v>8</v>
      </c>
      <c r="O29" s="94">
        <v>5</v>
      </c>
      <c r="P29" s="94">
        <v>3</v>
      </c>
      <c r="Q29" s="94">
        <v>-4</v>
      </c>
      <c r="R29" s="94">
        <v>-9</v>
      </c>
      <c r="S29" s="94">
        <v>-2</v>
      </c>
      <c r="T29" s="94">
        <v>-6</v>
      </c>
      <c r="U29" s="94">
        <v>1</v>
      </c>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89"/>
      <c r="AV29" s="89"/>
      <c r="AW29" s="89"/>
      <c r="AX29" s="89"/>
      <c r="AY29" s="89"/>
      <c r="AZ29" s="89"/>
      <c r="BA29" s="91">
        <f t="shared" ca="1" si="3"/>
        <v>450</v>
      </c>
      <c r="BB29" s="88" t="str">
        <f t="shared" ca="1" si="4"/>
        <v>A421:A1200</v>
      </c>
      <c r="BC29" s="89" t="str">
        <f t="shared" ca="1" si="5"/>
        <v>B450</v>
      </c>
      <c r="BD29" s="89">
        <f ca="1">IF(BC29=0,0,RANK(BF29,$BF$11:$BF$70,0)+(COUNTIF($BF29:$BF$70,BF29)-1))</f>
        <v>15</v>
      </c>
      <c r="BE29" s="89" t="str">
        <f t="shared" ca="1" si="6"/>
        <v>211001</v>
      </c>
      <c r="BF29" s="89">
        <f t="shared" ca="1" si="7"/>
        <v>21100121</v>
      </c>
      <c r="BG29" s="89">
        <f t="shared" ca="1" si="8"/>
        <v>21</v>
      </c>
      <c r="BH29" s="89">
        <f t="shared" ca="1" si="9"/>
        <v>1</v>
      </c>
      <c r="BI29" s="89" t="str">
        <f t="shared" ca="1" si="10"/>
        <v>B472</v>
      </c>
      <c r="BJ29" s="89">
        <f t="shared" ca="1" si="11"/>
        <v>20</v>
      </c>
      <c r="BK29" s="89">
        <f t="shared" ca="1" si="12"/>
        <v>21</v>
      </c>
      <c r="BL29" s="89">
        <f t="shared" ca="1" si="13"/>
        <v>210</v>
      </c>
      <c r="BM29" s="89">
        <f t="shared" ca="1" si="14"/>
        <v>23</v>
      </c>
      <c r="BN29" s="89" t="str">
        <f t="shared" ca="1" si="15"/>
        <v>S10!B451:W471</v>
      </c>
      <c r="BO29" s="89" t="str">
        <f t="shared" ca="1" si="16"/>
        <v>s</v>
      </c>
      <c r="BP29" s="89" t="str">
        <f t="shared" ca="1" si="17"/>
        <v>b</v>
      </c>
      <c r="BQ29" s="89" t="str">
        <f t="shared" ca="1" si="18"/>
        <v/>
      </c>
      <c r="BR29" s="87" t="str">
        <f t="shared" ca="1" si="19"/>
        <v/>
      </c>
      <c r="BS29" s="89" t="str">
        <f t="shared" ca="1" si="20"/>
        <v/>
      </c>
      <c r="BT29" s="89" t="str">
        <f t="shared" ca="1" si="21"/>
        <v/>
      </c>
      <c r="BU29" s="89" t="str">
        <f t="shared" ca="1" si="22"/>
        <v/>
      </c>
      <c r="BV29" s="87" t="str">
        <f t="shared" ca="1" si="23"/>
        <v/>
      </c>
      <c r="BW29" s="87" t="str">
        <f t="shared" ca="1" si="24"/>
        <v>21100121</v>
      </c>
      <c r="BX29" s="89">
        <f t="shared" ca="1" si="25"/>
        <v>0</v>
      </c>
    </row>
    <row r="30" spans="1:76">
      <c r="A30" s="90" t="str">
        <f t="shared" si="2"/>
        <v/>
      </c>
      <c r="B30" s="98">
        <v>19</v>
      </c>
      <c r="C30" s="94">
        <v>6</v>
      </c>
      <c r="D30" s="94">
        <v>2</v>
      </c>
      <c r="E30" s="94">
        <v>-7</v>
      </c>
      <c r="F30" s="94">
        <v>8</v>
      </c>
      <c r="G30" s="94">
        <v>4</v>
      </c>
      <c r="H30" s="94">
        <v>10</v>
      </c>
      <c r="I30" s="94">
        <v>3</v>
      </c>
      <c r="J30" s="94">
        <v>-9</v>
      </c>
      <c r="K30" s="94">
        <v>-5</v>
      </c>
      <c r="L30" s="94">
        <v>-1</v>
      </c>
      <c r="M30" s="94">
        <v>-8</v>
      </c>
      <c r="N30" s="94">
        <v>-2</v>
      </c>
      <c r="O30" s="94">
        <v>7</v>
      </c>
      <c r="P30" s="94">
        <v>-6</v>
      </c>
      <c r="Q30" s="94">
        <v>-3</v>
      </c>
      <c r="R30" s="94">
        <v>9</v>
      </c>
      <c r="S30" s="94">
        <v>1</v>
      </c>
      <c r="T30" s="94">
        <v>-4</v>
      </c>
      <c r="U30" s="94">
        <v>-10</v>
      </c>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89"/>
      <c r="AV30" s="89"/>
      <c r="AW30" s="89"/>
      <c r="AX30" s="89"/>
      <c r="AY30" s="89"/>
      <c r="AZ30" s="89"/>
      <c r="BA30" s="91">
        <f t="shared" ca="1" si="3"/>
        <v>473</v>
      </c>
      <c r="BB30" s="88" t="str">
        <f t="shared" ca="1" si="4"/>
        <v>A451:A1200</v>
      </c>
      <c r="BC30" s="89" t="str">
        <f t="shared" ca="1" si="5"/>
        <v>B473</v>
      </c>
      <c r="BD30" s="89">
        <f ca="1">IF(BC30=0,0,RANK(BF30,$BF$11:$BF$70,0)+(COUNTIF($BF30:$BF$70,BF30)-1))</f>
        <v>1</v>
      </c>
      <c r="BE30" s="89" t="str">
        <f t="shared" ca="1" si="6"/>
        <v>281004</v>
      </c>
      <c r="BF30" s="89">
        <f t="shared" ca="1" si="7"/>
        <v>28100409</v>
      </c>
      <c r="BG30" s="89">
        <f t="shared" ca="1" si="8"/>
        <v>28</v>
      </c>
      <c r="BH30" s="89">
        <f t="shared" ca="1" si="9"/>
        <v>4</v>
      </c>
      <c r="BI30" s="89" t="str">
        <f t="shared" ca="1" si="10"/>
        <v>B502</v>
      </c>
      <c r="BJ30" s="89">
        <f t="shared" ca="1" si="11"/>
        <v>6</v>
      </c>
      <c r="BK30" s="89">
        <f t="shared" ca="1" si="12"/>
        <v>9</v>
      </c>
      <c r="BL30" s="89">
        <f t="shared" ca="1" si="13"/>
        <v>84</v>
      </c>
      <c r="BM30" s="89">
        <f t="shared" ca="1" si="14"/>
        <v>11</v>
      </c>
      <c r="BN30" s="89" t="str">
        <f t="shared" ca="1" si="15"/>
        <v>S10!B474:K501</v>
      </c>
      <c r="BO30" s="89" t="str">
        <f t="shared" ca="1" si="16"/>
        <v>c</v>
      </c>
      <c r="BP30" s="89" t="str">
        <f t="shared" ca="1" si="17"/>
        <v/>
      </c>
      <c r="BQ30" s="89" t="str">
        <f t="shared" ca="1" si="18"/>
        <v/>
      </c>
      <c r="BR30" s="87" t="str">
        <f t="shared" ca="1" si="19"/>
        <v/>
      </c>
      <c r="BS30" s="89" t="str">
        <f t="shared" ca="1" si="20"/>
        <v/>
      </c>
      <c r="BT30" s="89" t="str">
        <f t="shared" ca="1" si="21"/>
        <v/>
      </c>
      <c r="BU30" s="89" t="str">
        <f t="shared" ca="1" si="22"/>
        <v/>
      </c>
      <c r="BV30" s="87" t="str">
        <f t="shared" ca="1" si="23"/>
        <v>c</v>
      </c>
      <c r="BW30" s="87" t="str">
        <f t="shared" ca="1" si="24"/>
        <v>28100409</v>
      </c>
      <c r="BX30" s="89" t="str">
        <f t="shared" ca="1" si="25"/>
        <v>33</v>
      </c>
    </row>
    <row r="31" spans="1:76">
      <c r="A31" s="90" t="str">
        <f t="shared" si="2"/>
        <v/>
      </c>
      <c r="B31" s="98">
        <v>20</v>
      </c>
      <c r="C31" s="94">
        <v>5</v>
      </c>
      <c r="D31" s="94">
        <v>1</v>
      </c>
      <c r="E31" s="94">
        <v>8</v>
      </c>
      <c r="F31" s="94">
        <v>-7</v>
      </c>
      <c r="G31" s="94">
        <v>-3</v>
      </c>
      <c r="H31" s="94">
        <v>9</v>
      </c>
      <c r="I31" s="94">
        <v>-4</v>
      </c>
      <c r="J31" s="94">
        <v>-10</v>
      </c>
      <c r="K31" s="94">
        <v>6</v>
      </c>
      <c r="L31" s="94">
        <v>-2</v>
      </c>
      <c r="M31" s="94">
        <v>-1</v>
      </c>
      <c r="N31" s="94">
        <v>-8</v>
      </c>
      <c r="O31" s="94">
        <v>4</v>
      </c>
      <c r="P31" s="94">
        <v>7</v>
      </c>
      <c r="Q31" s="94">
        <v>-6</v>
      </c>
      <c r="R31" s="94">
        <v>2</v>
      </c>
      <c r="S31" s="94">
        <v>-9</v>
      </c>
      <c r="T31" s="94">
        <v>-5</v>
      </c>
      <c r="U31" s="94">
        <v>10</v>
      </c>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89"/>
      <c r="AV31" s="89"/>
      <c r="AW31" s="89"/>
      <c r="AX31" s="89"/>
      <c r="AY31" s="89"/>
      <c r="AZ31" s="89"/>
      <c r="BA31" s="91">
        <f t="shared" ca="1" si="3"/>
        <v>0</v>
      </c>
      <c r="BB31" s="88" t="str">
        <f t="shared" ca="1" si="4"/>
        <v>A474:A1200</v>
      </c>
      <c r="BC31" s="89">
        <f t="shared" ca="1" si="5"/>
        <v>0</v>
      </c>
      <c r="BD31" s="89">
        <f ca="1">IF(BC31=0,0,RANK(BF31,$BF$11:$BF$70,0)+(COUNTIF($BF31:$BF$70,BF31)-1))</f>
        <v>0</v>
      </c>
      <c r="BE31" s="89">
        <f t="shared" ca="1" si="6"/>
        <v>0</v>
      </c>
      <c r="BF31" s="89">
        <f t="shared" ca="1" si="7"/>
        <v>0</v>
      </c>
      <c r="BG31" s="89">
        <f t="shared" ca="1" si="8"/>
        <v>0</v>
      </c>
      <c r="BH31" s="89">
        <f t="shared" ca="1" si="9"/>
        <v>0</v>
      </c>
      <c r="BI31" s="89">
        <f t="shared" ca="1" si="10"/>
        <v>0</v>
      </c>
      <c r="BJ31" s="89">
        <f t="shared" ca="1" si="11"/>
        <v>0</v>
      </c>
      <c r="BK31" s="89">
        <f t="shared" ca="1" si="12"/>
        <v>0</v>
      </c>
      <c r="BL31" s="89">
        <f t="shared" ca="1" si="13"/>
        <v>0</v>
      </c>
      <c r="BM31" s="89">
        <f t="shared" ca="1" si="14"/>
        <v>0</v>
      </c>
      <c r="BN31" s="89">
        <f t="shared" ca="1" si="15"/>
        <v>0</v>
      </c>
      <c r="BO31" s="89">
        <f t="shared" ca="1" si="16"/>
        <v>0</v>
      </c>
      <c r="BP31" s="89">
        <f t="shared" ca="1" si="17"/>
        <v>0</v>
      </c>
      <c r="BQ31" s="89">
        <f t="shared" ca="1" si="18"/>
        <v>0</v>
      </c>
      <c r="BR31" s="87">
        <f t="shared" ca="1" si="19"/>
        <v>0</v>
      </c>
      <c r="BS31" s="89">
        <f t="shared" ca="1" si="20"/>
        <v>0</v>
      </c>
      <c r="BT31" s="89">
        <f t="shared" ca="1" si="21"/>
        <v>0</v>
      </c>
      <c r="BU31" s="89">
        <f t="shared" ca="1" si="22"/>
        <v>0</v>
      </c>
      <c r="BV31" s="87">
        <f t="shared" ca="1" si="23"/>
        <v>0</v>
      </c>
      <c r="BW31" s="87" t="str">
        <f t="shared" ca="1" si="24"/>
        <v>000</v>
      </c>
      <c r="BX31" s="89">
        <f t="shared" ca="1" si="25"/>
        <v>0</v>
      </c>
    </row>
    <row r="32" spans="1:76">
      <c r="A32" s="90" t="str">
        <f t="shared" si="2"/>
        <v/>
      </c>
      <c r="B32" s="98" t="s">
        <v>532</v>
      </c>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89"/>
      <c r="AV32" s="89"/>
      <c r="AW32" s="89"/>
      <c r="AX32" s="89"/>
      <c r="AY32" s="89"/>
      <c r="AZ32" s="89"/>
      <c r="BA32" s="91">
        <f t="shared" ca="1" si="3"/>
        <v>0</v>
      </c>
      <c r="BB32" s="88" t="str">
        <f t="shared" ca="1" si="4"/>
        <v/>
      </c>
      <c r="BC32" s="89">
        <f t="shared" ca="1" si="5"/>
        <v>0</v>
      </c>
      <c r="BD32" s="89">
        <f ca="1">IF(BC32=0,0,RANK(BF32,$BF$11:$BF$70,0)+(COUNTIF($BF32:$BF$70,BF32)-1))</f>
        <v>0</v>
      </c>
      <c r="BE32" s="89">
        <f t="shared" ca="1" si="6"/>
        <v>0</v>
      </c>
      <c r="BF32" s="89">
        <f t="shared" ca="1" si="7"/>
        <v>0</v>
      </c>
      <c r="BG32" s="89">
        <f t="shared" ca="1" si="8"/>
        <v>0</v>
      </c>
      <c r="BH32" s="89">
        <f t="shared" ca="1" si="9"/>
        <v>0</v>
      </c>
      <c r="BI32" s="89">
        <f t="shared" ca="1" si="10"/>
        <v>0</v>
      </c>
      <c r="BJ32" s="89">
        <f t="shared" ca="1" si="11"/>
        <v>0</v>
      </c>
      <c r="BK32" s="89">
        <f t="shared" ca="1" si="12"/>
        <v>0</v>
      </c>
      <c r="BL32" s="89">
        <f t="shared" ca="1" si="13"/>
        <v>0</v>
      </c>
      <c r="BM32" s="89">
        <f t="shared" ca="1" si="14"/>
        <v>0</v>
      </c>
      <c r="BN32" s="89">
        <f t="shared" ca="1" si="15"/>
        <v>0</v>
      </c>
      <c r="BO32" s="89">
        <f t="shared" ca="1" si="16"/>
        <v>0</v>
      </c>
      <c r="BP32" s="89">
        <f t="shared" ca="1" si="17"/>
        <v>0</v>
      </c>
      <c r="BQ32" s="89">
        <f t="shared" ca="1" si="18"/>
        <v>0</v>
      </c>
      <c r="BR32" s="87">
        <f t="shared" ca="1" si="19"/>
        <v>0</v>
      </c>
      <c r="BS32" s="89">
        <f t="shared" ca="1" si="20"/>
        <v>0</v>
      </c>
      <c r="BT32" s="89">
        <f t="shared" ca="1" si="21"/>
        <v>0</v>
      </c>
      <c r="BU32" s="89">
        <f t="shared" ca="1" si="22"/>
        <v>0</v>
      </c>
      <c r="BV32" s="87">
        <f t="shared" ca="1" si="23"/>
        <v>0</v>
      </c>
      <c r="BW32" s="87" t="str">
        <f t="shared" ca="1" si="24"/>
        <v>000</v>
      </c>
      <c r="BX32" s="89">
        <f t="shared" ca="1" si="25"/>
        <v>0</v>
      </c>
    </row>
    <row r="33" spans="1:76">
      <c r="A33" s="90">
        <f t="shared" si="2"/>
        <v>33</v>
      </c>
      <c r="B33" s="98" t="s">
        <v>533</v>
      </c>
      <c r="C33" s="94"/>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89"/>
      <c r="AV33" s="89"/>
      <c r="AW33" s="89"/>
      <c r="AX33" s="89"/>
      <c r="AY33" s="89"/>
      <c r="AZ33" s="89"/>
      <c r="BA33" s="91">
        <f t="shared" ca="1" si="3"/>
        <v>0</v>
      </c>
      <c r="BB33" s="88" t="str">
        <f t="shared" ca="1" si="4"/>
        <v/>
      </c>
      <c r="BC33" s="89">
        <f t="shared" ca="1" si="5"/>
        <v>0</v>
      </c>
      <c r="BD33" s="89">
        <f ca="1">IF(BC33=0,0,RANK(BF33,$BF$11:$BF$70,0)+(COUNTIF($BF33:$BF$70,BF33)-1))</f>
        <v>0</v>
      </c>
      <c r="BE33" s="89">
        <f t="shared" ca="1" si="6"/>
        <v>0</v>
      </c>
      <c r="BF33" s="89">
        <f t="shared" ca="1" si="7"/>
        <v>0</v>
      </c>
      <c r="BG33" s="89">
        <f t="shared" ca="1" si="8"/>
        <v>0</v>
      </c>
      <c r="BH33" s="89">
        <f t="shared" ca="1" si="9"/>
        <v>0</v>
      </c>
      <c r="BI33" s="89">
        <f t="shared" ca="1" si="10"/>
        <v>0</v>
      </c>
      <c r="BJ33" s="89">
        <f t="shared" ca="1" si="11"/>
        <v>0</v>
      </c>
      <c r="BK33" s="89">
        <f t="shared" ca="1" si="12"/>
        <v>0</v>
      </c>
      <c r="BL33" s="89">
        <f t="shared" ca="1" si="13"/>
        <v>0</v>
      </c>
      <c r="BM33" s="89">
        <f t="shared" ca="1" si="14"/>
        <v>0</v>
      </c>
      <c r="BN33" s="89">
        <f t="shared" ca="1" si="15"/>
        <v>0</v>
      </c>
      <c r="BO33" s="89">
        <f t="shared" ca="1" si="16"/>
        <v>0</v>
      </c>
      <c r="BP33" s="89">
        <f t="shared" ca="1" si="17"/>
        <v>0</v>
      </c>
      <c r="BQ33" s="89">
        <f t="shared" ca="1" si="18"/>
        <v>0</v>
      </c>
      <c r="BR33" s="87">
        <f t="shared" ca="1" si="19"/>
        <v>0</v>
      </c>
      <c r="BS33" s="89">
        <f t="shared" ca="1" si="20"/>
        <v>0</v>
      </c>
      <c r="BT33" s="89">
        <f t="shared" ca="1" si="21"/>
        <v>0</v>
      </c>
      <c r="BU33" s="89">
        <f t="shared" ca="1" si="22"/>
        <v>0</v>
      </c>
      <c r="BV33" s="87">
        <f t="shared" ca="1" si="23"/>
        <v>0</v>
      </c>
      <c r="BW33" s="87" t="str">
        <f t="shared" ca="1" si="24"/>
        <v>000</v>
      </c>
      <c r="BX33" s="89">
        <f t="shared" ca="1" si="25"/>
        <v>0</v>
      </c>
    </row>
    <row r="34" spans="1:76">
      <c r="A34" s="90" t="str">
        <f t="shared" si="2"/>
        <v/>
      </c>
      <c r="B34" s="98">
        <v>1</v>
      </c>
      <c r="C34" s="94">
        <v>3</v>
      </c>
      <c r="D34" s="94">
        <v>-6</v>
      </c>
      <c r="E34" s="94">
        <v>-10</v>
      </c>
      <c r="F34" s="94">
        <v>-8</v>
      </c>
      <c r="G34" s="94">
        <v>2</v>
      </c>
      <c r="H34" s="94">
        <v>4</v>
      </c>
      <c r="I34" s="94">
        <v>-7</v>
      </c>
      <c r="J34" s="94">
        <v>-9</v>
      </c>
      <c r="K34" s="94">
        <v>5</v>
      </c>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89"/>
      <c r="AV34" s="89"/>
      <c r="AW34" s="89"/>
      <c r="AX34" s="89"/>
      <c r="AY34" s="89"/>
      <c r="AZ34" s="89"/>
      <c r="BA34" s="91">
        <f t="shared" ca="1" si="3"/>
        <v>0</v>
      </c>
      <c r="BB34" s="88" t="str">
        <f t="shared" ca="1" si="4"/>
        <v/>
      </c>
      <c r="BC34" s="89">
        <f t="shared" ca="1" si="5"/>
        <v>0</v>
      </c>
      <c r="BD34" s="89">
        <f ca="1">IF(BC34=0,0,RANK(BF34,$BF$11:$BF$70,0)+(COUNTIF($BF34:$BF$70,BF34)-1))</f>
        <v>0</v>
      </c>
      <c r="BE34" s="89">
        <f t="shared" ca="1" si="6"/>
        <v>0</v>
      </c>
      <c r="BF34" s="89">
        <f t="shared" ca="1" si="7"/>
        <v>0</v>
      </c>
      <c r="BG34" s="89">
        <f t="shared" ca="1" si="8"/>
        <v>0</v>
      </c>
      <c r="BH34" s="89">
        <f t="shared" ca="1" si="9"/>
        <v>0</v>
      </c>
      <c r="BI34" s="89">
        <f t="shared" ca="1" si="10"/>
        <v>0</v>
      </c>
      <c r="BJ34" s="89">
        <f t="shared" ca="1" si="11"/>
        <v>0</v>
      </c>
      <c r="BK34" s="89">
        <f t="shared" ca="1" si="12"/>
        <v>0</v>
      </c>
      <c r="BL34" s="89">
        <f t="shared" ca="1" si="13"/>
        <v>0</v>
      </c>
      <c r="BM34" s="89">
        <f t="shared" ca="1" si="14"/>
        <v>0</v>
      </c>
      <c r="BN34" s="89">
        <f t="shared" ca="1" si="15"/>
        <v>0</v>
      </c>
      <c r="BO34" s="89">
        <f t="shared" ca="1" si="16"/>
        <v>0</v>
      </c>
      <c r="BP34" s="89">
        <f t="shared" ca="1" si="17"/>
        <v>0</v>
      </c>
      <c r="BQ34" s="89">
        <f t="shared" ca="1" si="18"/>
        <v>0</v>
      </c>
      <c r="BR34" s="87">
        <f t="shared" ca="1" si="19"/>
        <v>0</v>
      </c>
      <c r="BS34" s="89">
        <f t="shared" ca="1" si="20"/>
        <v>0</v>
      </c>
      <c r="BT34" s="89">
        <f t="shared" ca="1" si="21"/>
        <v>0</v>
      </c>
      <c r="BU34" s="89">
        <f t="shared" ca="1" si="22"/>
        <v>0</v>
      </c>
      <c r="BV34" s="87">
        <f t="shared" ca="1" si="23"/>
        <v>0</v>
      </c>
      <c r="BW34" s="87" t="str">
        <f t="shared" ca="1" si="24"/>
        <v>000</v>
      </c>
      <c r="BX34" s="89">
        <f t="shared" ca="1" si="25"/>
        <v>0</v>
      </c>
    </row>
    <row r="35" spans="1:76">
      <c r="A35" s="90" t="str">
        <f t="shared" si="2"/>
        <v/>
      </c>
      <c r="B35" s="98">
        <v>2</v>
      </c>
      <c r="C35" s="94">
        <v>-7</v>
      </c>
      <c r="D35" s="94">
        <v>4</v>
      </c>
      <c r="E35" s="94">
        <v>1</v>
      </c>
      <c r="F35" s="94">
        <v>-9</v>
      </c>
      <c r="G35" s="94">
        <v>8</v>
      </c>
      <c r="H35" s="94">
        <v>-6</v>
      </c>
      <c r="I35" s="94">
        <v>3</v>
      </c>
      <c r="J35" s="94">
        <v>2</v>
      </c>
      <c r="K35" s="94">
        <v>-5</v>
      </c>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89"/>
      <c r="AV35" s="89"/>
      <c r="AW35" s="89"/>
      <c r="AX35" s="89"/>
      <c r="AY35" s="89"/>
      <c r="AZ35" s="89"/>
      <c r="BA35" s="91">
        <f t="shared" ca="1" si="3"/>
        <v>0</v>
      </c>
      <c r="BB35" s="88" t="str">
        <f t="shared" ca="1" si="4"/>
        <v/>
      </c>
      <c r="BC35" s="89">
        <f t="shared" ca="1" si="5"/>
        <v>0</v>
      </c>
      <c r="BD35" s="89">
        <f ca="1">IF(BC35=0,0,RANK(BF35,$BF$11:$BF$70,0)+(COUNTIF($BF35:$BF$70,BF35)-1))</f>
        <v>0</v>
      </c>
      <c r="BE35" s="89">
        <f t="shared" ca="1" si="6"/>
        <v>0</v>
      </c>
      <c r="BF35" s="89">
        <f t="shared" ca="1" si="7"/>
        <v>0</v>
      </c>
      <c r="BG35" s="89">
        <f t="shared" ca="1" si="8"/>
        <v>0</v>
      </c>
      <c r="BH35" s="89">
        <f t="shared" ca="1" si="9"/>
        <v>0</v>
      </c>
      <c r="BI35" s="89">
        <f t="shared" ca="1" si="10"/>
        <v>0</v>
      </c>
      <c r="BJ35" s="89">
        <f t="shared" ca="1" si="11"/>
        <v>0</v>
      </c>
      <c r="BK35" s="89">
        <f t="shared" ca="1" si="12"/>
        <v>0</v>
      </c>
      <c r="BL35" s="89">
        <f t="shared" ca="1" si="13"/>
        <v>0</v>
      </c>
      <c r="BM35" s="89">
        <f t="shared" ca="1" si="14"/>
        <v>0</v>
      </c>
      <c r="BN35" s="89">
        <f t="shared" ca="1" si="15"/>
        <v>0</v>
      </c>
      <c r="BO35" s="89">
        <f t="shared" ca="1" si="16"/>
        <v>0</v>
      </c>
      <c r="BP35" s="89">
        <f t="shared" ca="1" si="17"/>
        <v>0</v>
      </c>
      <c r="BQ35" s="89">
        <f t="shared" ca="1" si="18"/>
        <v>0</v>
      </c>
      <c r="BR35" s="87">
        <f t="shared" ca="1" si="19"/>
        <v>0</v>
      </c>
      <c r="BS35" s="89">
        <f t="shared" ca="1" si="20"/>
        <v>0</v>
      </c>
      <c r="BT35" s="89">
        <f t="shared" ca="1" si="21"/>
        <v>0</v>
      </c>
      <c r="BU35" s="89">
        <f t="shared" ca="1" si="22"/>
        <v>0</v>
      </c>
      <c r="BV35" s="87">
        <f t="shared" ca="1" si="23"/>
        <v>0</v>
      </c>
      <c r="BW35" s="87" t="str">
        <f t="shared" ca="1" si="24"/>
        <v>000</v>
      </c>
      <c r="BX35" s="89">
        <f t="shared" ca="1" si="25"/>
        <v>0</v>
      </c>
    </row>
    <row r="36" spans="1:76">
      <c r="A36" s="90" t="str">
        <f t="shared" si="2"/>
        <v/>
      </c>
      <c r="B36" s="98">
        <v>3</v>
      </c>
      <c r="C36" s="94">
        <v>-4</v>
      </c>
      <c r="D36" s="94">
        <v>-5</v>
      </c>
      <c r="E36" s="94">
        <v>8</v>
      </c>
      <c r="F36" s="94">
        <v>10</v>
      </c>
      <c r="G36" s="94">
        <v>-9</v>
      </c>
      <c r="H36" s="94">
        <v>3</v>
      </c>
      <c r="I36" s="94">
        <v>7</v>
      </c>
      <c r="J36" s="94">
        <v>-2</v>
      </c>
      <c r="K36" s="94">
        <v>6</v>
      </c>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89"/>
      <c r="AV36" s="89"/>
      <c r="AW36" s="89"/>
      <c r="AX36" s="89"/>
      <c r="AY36" s="89"/>
      <c r="AZ36" s="89"/>
      <c r="BA36" s="91">
        <f t="shared" ca="1" si="3"/>
        <v>0</v>
      </c>
      <c r="BB36" s="88" t="str">
        <f t="shared" ca="1" si="4"/>
        <v/>
      </c>
      <c r="BC36" s="89">
        <f t="shared" ca="1" si="5"/>
        <v>0</v>
      </c>
      <c r="BD36" s="89">
        <f ca="1">IF(BC36=0,0,RANK(BF36,$BF$11:$BF$70,0)+(COUNTIF($BF36:$BF$70,BF36)-1))</f>
        <v>0</v>
      </c>
      <c r="BE36" s="89">
        <f t="shared" ca="1" si="6"/>
        <v>0</v>
      </c>
      <c r="BF36" s="89">
        <f t="shared" ca="1" si="7"/>
        <v>0</v>
      </c>
      <c r="BG36" s="89">
        <f t="shared" ca="1" si="8"/>
        <v>0</v>
      </c>
      <c r="BH36" s="89">
        <f t="shared" ca="1" si="9"/>
        <v>0</v>
      </c>
      <c r="BI36" s="89">
        <f t="shared" ca="1" si="10"/>
        <v>0</v>
      </c>
      <c r="BJ36" s="89">
        <f t="shared" ca="1" si="11"/>
        <v>0</v>
      </c>
      <c r="BK36" s="89">
        <f t="shared" ca="1" si="12"/>
        <v>0</v>
      </c>
      <c r="BL36" s="89">
        <f t="shared" ca="1" si="13"/>
        <v>0</v>
      </c>
      <c r="BM36" s="89">
        <f t="shared" ca="1" si="14"/>
        <v>0</v>
      </c>
      <c r="BN36" s="89">
        <f t="shared" ca="1" si="15"/>
        <v>0</v>
      </c>
      <c r="BO36" s="89">
        <f t="shared" ca="1" si="16"/>
        <v>0</v>
      </c>
      <c r="BP36" s="89">
        <f t="shared" ca="1" si="17"/>
        <v>0</v>
      </c>
      <c r="BQ36" s="89">
        <f t="shared" ca="1" si="18"/>
        <v>0</v>
      </c>
      <c r="BR36" s="87">
        <f t="shared" ca="1" si="19"/>
        <v>0</v>
      </c>
      <c r="BS36" s="89">
        <f t="shared" ca="1" si="20"/>
        <v>0</v>
      </c>
      <c r="BT36" s="89">
        <f t="shared" ca="1" si="21"/>
        <v>0</v>
      </c>
      <c r="BU36" s="89">
        <f t="shared" ca="1" si="22"/>
        <v>0</v>
      </c>
      <c r="BV36" s="87">
        <f t="shared" ca="1" si="23"/>
        <v>0</v>
      </c>
      <c r="BW36" s="87" t="str">
        <f t="shared" ca="1" si="24"/>
        <v>000</v>
      </c>
      <c r="BX36" s="89">
        <f t="shared" ca="1" si="25"/>
        <v>0</v>
      </c>
    </row>
    <row r="37" spans="1:76">
      <c r="A37" s="90" t="str">
        <f t="shared" si="2"/>
        <v/>
      </c>
      <c r="B37" s="98">
        <v>4</v>
      </c>
      <c r="C37" s="94">
        <v>7</v>
      </c>
      <c r="D37" s="94">
        <v>3</v>
      </c>
      <c r="E37" s="94">
        <v>10</v>
      </c>
      <c r="F37" s="94">
        <v>-2</v>
      </c>
      <c r="G37" s="94">
        <v>1</v>
      </c>
      <c r="H37" s="94">
        <v>-5</v>
      </c>
      <c r="I37" s="94">
        <v>-4</v>
      </c>
      <c r="J37" s="94">
        <v>8</v>
      </c>
      <c r="K37" s="94">
        <v>-6</v>
      </c>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89"/>
      <c r="AV37" s="89"/>
      <c r="AW37" s="89"/>
      <c r="AX37" s="89"/>
      <c r="AY37" s="89"/>
      <c r="AZ37" s="89"/>
      <c r="BA37" s="91">
        <f t="shared" ca="1" si="3"/>
        <v>0</v>
      </c>
      <c r="BB37" s="88" t="str">
        <f t="shared" ca="1" si="4"/>
        <v/>
      </c>
      <c r="BC37" s="89">
        <f t="shared" ca="1" si="5"/>
        <v>0</v>
      </c>
      <c r="BD37" s="89">
        <f ca="1">IF(BC37=0,0,RANK(BF37,$BF$11:$BF$70,0)+(COUNTIF($BF37:$BF$70,BF37)-1))</f>
        <v>0</v>
      </c>
      <c r="BE37" s="89">
        <f t="shared" ca="1" si="6"/>
        <v>0</v>
      </c>
      <c r="BF37" s="89">
        <f t="shared" ca="1" si="7"/>
        <v>0</v>
      </c>
      <c r="BG37" s="89">
        <f t="shared" ca="1" si="8"/>
        <v>0</v>
      </c>
      <c r="BH37" s="89">
        <f t="shared" ca="1" si="9"/>
        <v>0</v>
      </c>
      <c r="BI37" s="89">
        <f t="shared" ca="1" si="10"/>
        <v>0</v>
      </c>
      <c r="BJ37" s="89">
        <f t="shared" ca="1" si="11"/>
        <v>0</v>
      </c>
      <c r="BK37" s="89">
        <f t="shared" ca="1" si="12"/>
        <v>0</v>
      </c>
      <c r="BL37" s="89">
        <f t="shared" ca="1" si="13"/>
        <v>0</v>
      </c>
      <c r="BM37" s="89">
        <f t="shared" ca="1" si="14"/>
        <v>0</v>
      </c>
      <c r="BN37" s="89">
        <f t="shared" ca="1" si="15"/>
        <v>0</v>
      </c>
      <c r="BO37" s="89">
        <f t="shared" ca="1" si="16"/>
        <v>0</v>
      </c>
      <c r="BP37" s="89">
        <f t="shared" ca="1" si="17"/>
        <v>0</v>
      </c>
      <c r="BQ37" s="89">
        <f t="shared" ca="1" si="18"/>
        <v>0</v>
      </c>
      <c r="BR37" s="87">
        <f t="shared" ca="1" si="19"/>
        <v>0</v>
      </c>
      <c r="BS37" s="89">
        <f t="shared" ca="1" si="20"/>
        <v>0</v>
      </c>
      <c r="BT37" s="89">
        <f t="shared" ca="1" si="21"/>
        <v>0</v>
      </c>
      <c r="BU37" s="89">
        <f t="shared" ca="1" si="22"/>
        <v>0</v>
      </c>
      <c r="BV37" s="87">
        <f t="shared" ca="1" si="23"/>
        <v>0</v>
      </c>
      <c r="BW37" s="87" t="str">
        <f t="shared" ca="1" si="24"/>
        <v>000</v>
      </c>
      <c r="BX37" s="89">
        <f t="shared" ca="1" si="25"/>
        <v>0</v>
      </c>
    </row>
    <row r="38" spans="1:76">
      <c r="A38" s="90" t="str">
        <f t="shared" si="2"/>
        <v/>
      </c>
      <c r="B38" s="98">
        <v>5</v>
      </c>
      <c r="C38" s="94">
        <v>6</v>
      </c>
      <c r="D38" s="94">
        <v>5</v>
      </c>
      <c r="E38" s="94">
        <v>9</v>
      </c>
      <c r="F38" s="94">
        <v>-1</v>
      </c>
      <c r="G38" s="94">
        <v>-2</v>
      </c>
      <c r="H38" s="94">
        <v>7</v>
      </c>
      <c r="I38" s="94">
        <v>-3</v>
      </c>
      <c r="J38" s="94">
        <v>-8</v>
      </c>
      <c r="K38" s="94">
        <v>-4</v>
      </c>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89"/>
      <c r="AV38" s="89"/>
      <c r="AW38" s="89"/>
      <c r="AX38" s="89"/>
      <c r="AY38" s="89"/>
      <c r="AZ38" s="89"/>
      <c r="BA38" s="91">
        <f t="shared" ca="1" si="3"/>
        <v>0</v>
      </c>
      <c r="BB38" s="88" t="str">
        <f t="shared" ca="1" si="4"/>
        <v/>
      </c>
      <c r="BC38" s="89">
        <f t="shared" ca="1" si="5"/>
        <v>0</v>
      </c>
      <c r="BD38" s="89">
        <f ca="1">IF(BC38=0,0,RANK(BF38,$BF$11:$BF$70,0)+(COUNTIF($BF38:$BF$70,BF38)-1))</f>
        <v>0</v>
      </c>
      <c r="BE38" s="89">
        <f t="shared" ca="1" si="6"/>
        <v>0</v>
      </c>
      <c r="BF38" s="89">
        <f t="shared" ca="1" si="7"/>
        <v>0</v>
      </c>
      <c r="BG38" s="89">
        <f t="shared" ca="1" si="8"/>
        <v>0</v>
      </c>
      <c r="BH38" s="89">
        <f t="shared" ca="1" si="9"/>
        <v>0</v>
      </c>
      <c r="BI38" s="89">
        <f t="shared" ca="1" si="10"/>
        <v>0</v>
      </c>
      <c r="BJ38" s="89">
        <f t="shared" ca="1" si="11"/>
        <v>0</v>
      </c>
      <c r="BK38" s="89">
        <f t="shared" ca="1" si="12"/>
        <v>0</v>
      </c>
      <c r="BL38" s="89">
        <f t="shared" ca="1" si="13"/>
        <v>0</v>
      </c>
      <c r="BM38" s="89">
        <f t="shared" ca="1" si="14"/>
        <v>0</v>
      </c>
      <c r="BN38" s="89">
        <f t="shared" ca="1" si="15"/>
        <v>0</v>
      </c>
      <c r="BO38" s="89">
        <f t="shared" ca="1" si="16"/>
        <v>0</v>
      </c>
      <c r="BP38" s="89">
        <f t="shared" ca="1" si="17"/>
        <v>0</v>
      </c>
      <c r="BQ38" s="89">
        <f t="shared" ca="1" si="18"/>
        <v>0</v>
      </c>
      <c r="BR38" s="87">
        <f t="shared" ca="1" si="19"/>
        <v>0</v>
      </c>
      <c r="BS38" s="89">
        <f t="shared" ca="1" si="20"/>
        <v>0</v>
      </c>
      <c r="BT38" s="89">
        <f t="shared" ca="1" si="21"/>
        <v>0</v>
      </c>
      <c r="BU38" s="89">
        <f t="shared" ca="1" si="22"/>
        <v>0</v>
      </c>
      <c r="BV38" s="87">
        <f t="shared" ca="1" si="23"/>
        <v>0</v>
      </c>
      <c r="BW38" s="87" t="str">
        <f t="shared" ca="1" si="24"/>
        <v>000</v>
      </c>
      <c r="BX38" s="89">
        <f t="shared" ca="1" si="25"/>
        <v>0</v>
      </c>
    </row>
    <row r="39" spans="1:76">
      <c r="A39" s="90" t="str">
        <f t="shared" si="2"/>
        <v/>
      </c>
      <c r="B39" s="98">
        <v>6</v>
      </c>
      <c r="C39" s="94">
        <v>-5</v>
      </c>
      <c r="D39" s="94">
        <v>-7</v>
      </c>
      <c r="E39" s="94">
        <v>-1</v>
      </c>
      <c r="F39" s="94">
        <v>2</v>
      </c>
      <c r="G39" s="94">
        <v>-10</v>
      </c>
      <c r="H39" s="94">
        <v>-3</v>
      </c>
      <c r="I39" s="94">
        <v>6</v>
      </c>
      <c r="J39" s="94">
        <v>9</v>
      </c>
      <c r="K39" s="94">
        <v>4</v>
      </c>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89"/>
      <c r="AV39" s="89"/>
      <c r="AW39" s="89"/>
      <c r="AX39" s="89"/>
      <c r="AY39" s="89"/>
      <c r="AZ39" s="89"/>
      <c r="BA39" s="91">
        <f t="shared" ca="1" si="3"/>
        <v>0</v>
      </c>
      <c r="BB39" s="88" t="str">
        <f t="shared" ca="1" si="4"/>
        <v/>
      </c>
      <c r="BC39" s="89">
        <f t="shared" ca="1" si="5"/>
        <v>0</v>
      </c>
      <c r="BD39" s="89">
        <f ca="1">IF(BC39=0,0,RANK(BF39,$BF$11:$BF$70,0)+(COUNTIF($BF39:$BF$70,BF39)-1))</f>
        <v>0</v>
      </c>
      <c r="BE39" s="89">
        <f t="shared" ca="1" si="6"/>
        <v>0</v>
      </c>
      <c r="BF39" s="89">
        <f t="shared" ca="1" si="7"/>
        <v>0</v>
      </c>
      <c r="BG39" s="89">
        <f t="shared" ca="1" si="8"/>
        <v>0</v>
      </c>
      <c r="BH39" s="89">
        <f t="shared" ca="1" si="9"/>
        <v>0</v>
      </c>
      <c r="BI39" s="89">
        <f t="shared" ca="1" si="10"/>
        <v>0</v>
      </c>
      <c r="BJ39" s="89">
        <f t="shared" ca="1" si="11"/>
        <v>0</v>
      </c>
      <c r="BK39" s="89">
        <f t="shared" ca="1" si="12"/>
        <v>0</v>
      </c>
      <c r="BL39" s="89">
        <f t="shared" ca="1" si="13"/>
        <v>0</v>
      </c>
      <c r="BM39" s="89">
        <f t="shared" ca="1" si="14"/>
        <v>0</v>
      </c>
      <c r="BN39" s="89">
        <f t="shared" ca="1" si="15"/>
        <v>0</v>
      </c>
      <c r="BO39" s="89">
        <f t="shared" ca="1" si="16"/>
        <v>0</v>
      </c>
      <c r="BP39" s="89">
        <f t="shared" ca="1" si="17"/>
        <v>0</v>
      </c>
      <c r="BQ39" s="89">
        <f t="shared" ca="1" si="18"/>
        <v>0</v>
      </c>
      <c r="BR39" s="87">
        <f t="shared" ca="1" si="19"/>
        <v>0</v>
      </c>
      <c r="BS39" s="89">
        <f t="shared" ca="1" si="20"/>
        <v>0</v>
      </c>
      <c r="BT39" s="89">
        <f t="shared" ca="1" si="21"/>
        <v>0</v>
      </c>
      <c r="BU39" s="89">
        <f t="shared" ca="1" si="22"/>
        <v>0</v>
      </c>
      <c r="BV39" s="87">
        <f t="shared" ca="1" si="23"/>
        <v>0</v>
      </c>
      <c r="BW39" s="87" t="str">
        <f t="shared" ca="1" si="24"/>
        <v>000</v>
      </c>
      <c r="BX39" s="89">
        <f t="shared" ca="1" si="25"/>
        <v>0</v>
      </c>
    </row>
    <row r="40" spans="1:76">
      <c r="A40" s="90" t="str">
        <f t="shared" si="2"/>
        <v/>
      </c>
      <c r="B40" s="98">
        <v>7</v>
      </c>
      <c r="C40" s="94">
        <v>-6</v>
      </c>
      <c r="D40" s="94">
        <v>-3</v>
      </c>
      <c r="E40" s="94">
        <v>-8</v>
      </c>
      <c r="F40" s="94">
        <v>9</v>
      </c>
      <c r="G40" s="94">
        <v>10</v>
      </c>
      <c r="H40" s="94">
        <v>-4</v>
      </c>
      <c r="I40" s="94">
        <v>5</v>
      </c>
      <c r="J40" s="94">
        <v>1</v>
      </c>
      <c r="K40" s="94">
        <v>-7</v>
      </c>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89"/>
      <c r="AV40" s="89"/>
      <c r="AW40" s="89"/>
      <c r="AX40" s="89"/>
      <c r="AY40" s="89"/>
      <c r="AZ40" s="89"/>
      <c r="BA40" s="91">
        <f t="shared" ca="1" si="3"/>
        <v>0</v>
      </c>
      <c r="BB40" s="88" t="str">
        <f t="shared" ca="1" si="4"/>
        <v/>
      </c>
      <c r="BC40" s="89">
        <f t="shared" ca="1" si="5"/>
        <v>0</v>
      </c>
      <c r="BD40" s="89">
        <f ca="1">IF(BC40=0,0,RANK(BF40,$BF$11:$BF$70,0)+(COUNTIF($BF40:$BF$70,BF40)-1))</f>
        <v>0</v>
      </c>
      <c r="BE40" s="89">
        <f t="shared" ca="1" si="6"/>
        <v>0</v>
      </c>
      <c r="BF40" s="89">
        <f t="shared" ca="1" si="7"/>
        <v>0</v>
      </c>
      <c r="BG40" s="89">
        <f t="shared" ca="1" si="8"/>
        <v>0</v>
      </c>
      <c r="BH40" s="89">
        <f t="shared" ca="1" si="9"/>
        <v>0</v>
      </c>
      <c r="BI40" s="89">
        <f t="shared" ca="1" si="10"/>
        <v>0</v>
      </c>
      <c r="BJ40" s="89">
        <f t="shared" ca="1" si="11"/>
        <v>0</v>
      </c>
      <c r="BK40" s="89">
        <f t="shared" ca="1" si="12"/>
        <v>0</v>
      </c>
      <c r="BL40" s="89">
        <f t="shared" ca="1" si="13"/>
        <v>0</v>
      </c>
      <c r="BM40" s="89">
        <f t="shared" ca="1" si="14"/>
        <v>0</v>
      </c>
      <c r="BN40" s="89">
        <f t="shared" ca="1" si="15"/>
        <v>0</v>
      </c>
      <c r="BO40" s="89">
        <f t="shared" ca="1" si="16"/>
        <v>0</v>
      </c>
      <c r="BP40" s="89">
        <f t="shared" ca="1" si="17"/>
        <v>0</v>
      </c>
      <c r="BQ40" s="89">
        <f t="shared" ca="1" si="18"/>
        <v>0</v>
      </c>
      <c r="BR40" s="87">
        <f t="shared" ca="1" si="19"/>
        <v>0</v>
      </c>
      <c r="BS40" s="89">
        <f t="shared" ca="1" si="20"/>
        <v>0</v>
      </c>
      <c r="BT40" s="89">
        <f t="shared" ca="1" si="21"/>
        <v>0</v>
      </c>
      <c r="BU40" s="89">
        <f t="shared" ca="1" si="22"/>
        <v>0</v>
      </c>
      <c r="BV40" s="87">
        <f t="shared" ca="1" si="23"/>
        <v>0</v>
      </c>
      <c r="BW40" s="87" t="str">
        <f t="shared" ca="1" si="24"/>
        <v>000</v>
      </c>
      <c r="BX40" s="89">
        <f t="shared" ca="1" si="25"/>
        <v>0</v>
      </c>
    </row>
    <row r="41" spans="1:76">
      <c r="A41" s="90" t="str">
        <f t="shared" si="2"/>
        <v/>
      </c>
      <c r="B41" s="98">
        <v>8</v>
      </c>
      <c r="C41" s="94">
        <v>-3</v>
      </c>
      <c r="D41" s="94">
        <v>-4</v>
      </c>
      <c r="E41" s="94">
        <v>-2</v>
      </c>
      <c r="F41" s="94">
        <v>1</v>
      </c>
      <c r="G41" s="94">
        <v>9</v>
      </c>
      <c r="H41" s="94">
        <v>5</v>
      </c>
      <c r="I41" s="94">
        <v>-6</v>
      </c>
      <c r="J41" s="94">
        <v>10</v>
      </c>
      <c r="K41" s="94">
        <v>7</v>
      </c>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89"/>
      <c r="AV41" s="89"/>
      <c r="AW41" s="89"/>
      <c r="AX41" s="89"/>
      <c r="AY41" s="89"/>
      <c r="AZ41" s="89"/>
      <c r="BA41" s="91">
        <f t="shared" ca="1" si="3"/>
        <v>0</v>
      </c>
      <c r="BB41" s="88" t="str">
        <f t="shared" ca="1" si="4"/>
        <v/>
      </c>
      <c r="BC41" s="89">
        <f t="shared" ca="1" si="5"/>
        <v>0</v>
      </c>
      <c r="BD41" s="89">
        <f ca="1">IF(BC41=0,0,RANK(BF41,$BF$11:$BF$70,0)+(COUNTIF($BF41:$BF$70,BF41)-1))</f>
        <v>0</v>
      </c>
      <c r="BE41" s="89">
        <f t="shared" ca="1" si="6"/>
        <v>0</v>
      </c>
      <c r="BF41" s="89">
        <f t="shared" ca="1" si="7"/>
        <v>0</v>
      </c>
      <c r="BG41" s="89">
        <f t="shared" ca="1" si="8"/>
        <v>0</v>
      </c>
      <c r="BH41" s="89">
        <f t="shared" ca="1" si="9"/>
        <v>0</v>
      </c>
      <c r="BI41" s="89">
        <f t="shared" ca="1" si="10"/>
        <v>0</v>
      </c>
      <c r="BJ41" s="89">
        <f t="shared" ca="1" si="11"/>
        <v>0</v>
      </c>
      <c r="BK41" s="89">
        <f t="shared" ca="1" si="12"/>
        <v>0</v>
      </c>
      <c r="BL41" s="89">
        <f t="shared" ca="1" si="13"/>
        <v>0</v>
      </c>
      <c r="BM41" s="89">
        <f t="shared" ca="1" si="14"/>
        <v>0</v>
      </c>
      <c r="BN41" s="89">
        <f t="shared" ca="1" si="15"/>
        <v>0</v>
      </c>
      <c r="BO41" s="89">
        <f t="shared" ca="1" si="16"/>
        <v>0</v>
      </c>
      <c r="BP41" s="89">
        <f t="shared" ca="1" si="17"/>
        <v>0</v>
      </c>
      <c r="BQ41" s="89">
        <f t="shared" ca="1" si="18"/>
        <v>0</v>
      </c>
      <c r="BR41" s="87">
        <f t="shared" ca="1" si="19"/>
        <v>0</v>
      </c>
      <c r="BS41" s="89">
        <f t="shared" ca="1" si="20"/>
        <v>0</v>
      </c>
      <c r="BT41" s="89">
        <f t="shared" ca="1" si="21"/>
        <v>0</v>
      </c>
      <c r="BU41" s="89">
        <f t="shared" ca="1" si="22"/>
        <v>0</v>
      </c>
      <c r="BV41" s="87">
        <f t="shared" ca="1" si="23"/>
        <v>0</v>
      </c>
      <c r="BW41" s="87" t="str">
        <f t="shared" ca="1" si="24"/>
        <v>000</v>
      </c>
      <c r="BX41" s="89">
        <f t="shared" ca="1" si="25"/>
        <v>0</v>
      </c>
    </row>
    <row r="42" spans="1:76">
      <c r="A42" s="90" t="str">
        <f t="shared" si="2"/>
        <v/>
      </c>
      <c r="B42" s="98">
        <v>9</v>
      </c>
      <c r="C42" s="94">
        <v>4</v>
      </c>
      <c r="D42" s="94">
        <v>7</v>
      </c>
      <c r="E42" s="94">
        <v>-9</v>
      </c>
      <c r="F42" s="94">
        <v>8</v>
      </c>
      <c r="G42" s="94">
        <v>-1</v>
      </c>
      <c r="H42" s="94">
        <v>6</v>
      </c>
      <c r="I42" s="94">
        <v>-5</v>
      </c>
      <c r="J42" s="94">
        <v>-10</v>
      </c>
      <c r="K42" s="94">
        <v>3</v>
      </c>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89"/>
      <c r="AV42" s="89"/>
      <c r="AW42" s="89"/>
      <c r="AX42" s="89"/>
      <c r="AY42" s="89"/>
      <c r="AZ42" s="89"/>
      <c r="BA42" s="91">
        <f t="shared" ca="1" si="3"/>
        <v>0</v>
      </c>
      <c r="BB42" s="88" t="str">
        <f t="shared" ca="1" si="4"/>
        <v/>
      </c>
      <c r="BC42" s="89">
        <f t="shared" ca="1" si="5"/>
        <v>0</v>
      </c>
      <c r="BD42" s="89">
        <f ca="1">IF(BC42=0,0,RANK(BF42,$BF$11:$BF$70,0)+(COUNTIF($BF42:$BF$70,BF42)-1))</f>
        <v>0</v>
      </c>
      <c r="BE42" s="89">
        <f t="shared" ca="1" si="6"/>
        <v>0</v>
      </c>
      <c r="BF42" s="89">
        <f t="shared" ca="1" si="7"/>
        <v>0</v>
      </c>
      <c r="BG42" s="89">
        <f t="shared" ca="1" si="8"/>
        <v>0</v>
      </c>
      <c r="BH42" s="89">
        <f t="shared" ca="1" si="9"/>
        <v>0</v>
      </c>
      <c r="BI42" s="89">
        <f t="shared" ca="1" si="10"/>
        <v>0</v>
      </c>
      <c r="BJ42" s="89">
        <f t="shared" ca="1" si="11"/>
        <v>0</v>
      </c>
      <c r="BK42" s="89">
        <f t="shared" ca="1" si="12"/>
        <v>0</v>
      </c>
      <c r="BL42" s="89">
        <f t="shared" ca="1" si="13"/>
        <v>0</v>
      </c>
      <c r="BM42" s="89">
        <f t="shared" ca="1" si="14"/>
        <v>0</v>
      </c>
      <c r="BN42" s="89">
        <f t="shared" ca="1" si="15"/>
        <v>0</v>
      </c>
      <c r="BO42" s="89">
        <f t="shared" ca="1" si="16"/>
        <v>0</v>
      </c>
      <c r="BP42" s="89">
        <f t="shared" ca="1" si="17"/>
        <v>0</v>
      </c>
      <c r="BQ42" s="89">
        <f t="shared" ca="1" si="18"/>
        <v>0</v>
      </c>
      <c r="BR42" s="87">
        <f t="shared" ca="1" si="19"/>
        <v>0</v>
      </c>
      <c r="BS42" s="89">
        <f t="shared" ca="1" si="20"/>
        <v>0</v>
      </c>
      <c r="BT42" s="89">
        <f t="shared" ca="1" si="21"/>
        <v>0</v>
      </c>
      <c r="BU42" s="89">
        <f t="shared" ca="1" si="22"/>
        <v>0</v>
      </c>
      <c r="BV42" s="87">
        <f t="shared" ca="1" si="23"/>
        <v>0</v>
      </c>
      <c r="BW42" s="87" t="str">
        <f t="shared" ca="1" si="24"/>
        <v>000</v>
      </c>
      <c r="BX42" s="89">
        <f t="shared" ca="1" si="25"/>
        <v>0</v>
      </c>
    </row>
    <row r="43" spans="1:76">
      <c r="A43" s="90" t="str">
        <f t="shared" si="2"/>
        <v/>
      </c>
      <c r="B43" s="99">
        <v>10</v>
      </c>
      <c r="C43" s="92">
        <v>5</v>
      </c>
      <c r="D43" s="92">
        <v>6</v>
      </c>
      <c r="E43" s="92">
        <v>2</v>
      </c>
      <c r="F43" s="92">
        <v>-10</v>
      </c>
      <c r="G43" s="92">
        <v>-8</v>
      </c>
      <c r="H43" s="92">
        <v>-7</v>
      </c>
      <c r="I43" s="92">
        <v>4</v>
      </c>
      <c r="J43" s="92">
        <v>-1</v>
      </c>
      <c r="K43" s="92">
        <v>-3</v>
      </c>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89"/>
      <c r="AV43" s="89"/>
      <c r="AW43" s="89"/>
      <c r="AX43" s="89"/>
      <c r="AY43" s="89"/>
      <c r="AZ43" s="89"/>
      <c r="BA43" s="91">
        <f t="shared" ca="1" si="3"/>
        <v>0</v>
      </c>
      <c r="BB43" s="88" t="str">
        <f t="shared" ca="1" si="4"/>
        <v/>
      </c>
      <c r="BC43" s="89">
        <f t="shared" ca="1" si="5"/>
        <v>0</v>
      </c>
      <c r="BD43" s="89">
        <f ca="1">IF(BC43=0,0,RANK(BF43,$BF$11:$BF$70,0)+(COUNTIF($BF43:$BF$70,BF43)-1))</f>
        <v>0</v>
      </c>
      <c r="BE43" s="89">
        <f t="shared" ca="1" si="6"/>
        <v>0</v>
      </c>
      <c r="BF43" s="89">
        <f t="shared" ca="1" si="7"/>
        <v>0</v>
      </c>
      <c r="BG43" s="89">
        <f t="shared" ca="1" si="8"/>
        <v>0</v>
      </c>
      <c r="BH43" s="89">
        <f t="shared" ca="1" si="9"/>
        <v>0</v>
      </c>
      <c r="BI43" s="89">
        <f t="shared" ca="1" si="10"/>
        <v>0</v>
      </c>
      <c r="BJ43" s="89">
        <f t="shared" ca="1" si="11"/>
        <v>0</v>
      </c>
      <c r="BK43" s="89">
        <f t="shared" ca="1" si="12"/>
        <v>0</v>
      </c>
      <c r="BL43" s="89">
        <f t="shared" ca="1" si="13"/>
        <v>0</v>
      </c>
      <c r="BM43" s="89">
        <f t="shared" ca="1" si="14"/>
        <v>0</v>
      </c>
      <c r="BN43" s="89">
        <f t="shared" ca="1" si="15"/>
        <v>0</v>
      </c>
      <c r="BO43" s="89">
        <f t="shared" ca="1" si="16"/>
        <v>0</v>
      </c>
      <c r="BP43" s="89">
        <f t="shared" ca="1" si="17"/>
        <v>0</v>
      </c>
      <c r="BQ43" s="89">
        <f t="shared" ca="1" si="18"/>
        <v>0</v>
      </c>
      <c r="BR43" s="87">
        <f t="shared" ca="1" si="19"/>
        <v>0</v>
      </c>
      <c r="BS43" s="89">
        <f t="shared" ca="1" si="20"/>
        <v>0</v>
      </c>
      <c r="BT43" s="89">
        <f t="shared" ca="1" si="21"/>
        <v>0</v>
      </c>
      <c r="BU43" s="89">
        <f t="shared" ca="1" si="22"/>
        <v>0</v>
      </c>
      <c r="BV43" s="87">
        <f t="shared" ca="1" si="23"/>
        <v>0</v>
      </c>
      <c r="BW43" s="87" t="str">
        <f t="shared" ca="1" si="24"/>
        <v>000</v>
      </c>
      <c r="BX43" s="89">
        <f t="shared" ca="1" si="25"/>
        <v>0</v>
      </c>
    </row>
    <row r="44" spans="1:76">
      <c r="A44" s="90" t="str">
        <f t="shared" si="2"/>
        <v/>
      </c>
      <c r="B44" s="98">
        <v>11</v>
      </c>
      <c r="C44" s="94">
        <v>9</v>
      </c>
      <c r="D44" s="94">
        <v>-1</v>
      </c>
      <c r="E44" s="94">
        <v>-3</v>
      </c>
      <c r="F44" s="94">
        <v>-5</v>
      </c>
      <c r="G44" s="94">
        <v>6</v>
      </c>
      <c r="H44" s="94">
        <v>10</v>
      </c>
      <c r="I44" s="94">
        <v>-2</v>
      </c>
      <c r="J44" s="94">
        <v>-4</v>
      </c>
      <c r="K44" s="94">
        <v>8</v>
      </c>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89"/>
      <c r="AV44" s="89"/>
      <c r="AW44" s="89"/>
      <c r="AX44" s="89"/>
      <c r="AY44" s="89"/>
      <c r="AZ44" s="89"/>
      <c r="BA44" s="91">
        <f t="shared" ca="1" si="3"/>
        <v>0</v>
      </c>
      <c r="BB44" s="88" t="str">
        <f t="shared" ca="1" si="4"/>
        <v/>
      </c>
      <c r="BC44" s="89">
        <f t="shared" ca="1" si="5"/>
        <v>0</v>
      </c>
      <c r="BD44" s="89">
        <f ca="1">IF(BC44=0,0,RANK(BF44,$BF$11:$BF$70,0)+(COUNTIF($BF44:$BF$70,BF44)-1))</f>
        <v>0</v>
      </c>
      <c r="BE44" s="89">
        <f t="shared" ca="1" si="6"/>
        <v>0</v>
      </c>
      <c r="BF44" s="89">
        <f t="shared" ca="1" si="7"/>
        <v>0</v>
      </c>
      <c r="BG44" s="89">
        <f t="shared" ca="1" si="8"/>
        <v>0</v>
      </c>
      <c r="BH44" s="89">
        <f t="shared" ca="1" si="9"/>
        <v>0</v>
      </c>
      <c r="BI44" s="89">
        <f t="shared" ca="1" si="10"/>
        <v>0</v>
      </c>
      <c r="BJ44" s="89">
        <f t="shared" ca="1" si="11"/>
        <v>0</v>
      </c>
      <c r="BK44" s="89">
        <f t="shared" ca="1" si="12"/>
        <v>0</v>
      </c>
      <c r="BL44" s="89">
        <f t="shared" ca="1" si="13"/>
        <v>0</v>
      </c>
      <c r="BM44" s="89">
        <f t="shared" ca="1" si="14"/>
        <v>0</v>
      </c>
      <c r="BN44" s="89">
        <f t="shared" ca="1" si="15"/>
        <v>0</v>
      </c>
      <c r="BO44" s="89">
        <f t="shared" ca="1" si="16"/>
        <v>0</v>
      </c>
      <c r="BP44" s="89">
        <f t="shared" ca="1" si="17"/>
        <v>0</v>
      </c>
      <c r="BQ44" s="89">
        <f t="shared" ca="1" si="18"/>
        <v>0</v>
      </c>
      <c r="BR44" s="87">
        <f t="shared" ca="1" si="19"/>
        <v>0</v>
      </c>
      <c r="BS44" s="89">
        <f t="shared" ca="1" si="20"/>
        <v>0</v>
      </c>
      <c r="BT44" s="89">
        <f t="shared" ca="1" si="21"/>
        <v>0</v>
      </c>
      <c r="BU44" s="89">
        <f t="shared" ca="1" si="22"/>
        <v>0</v>
      </c>
      <c r="BV44" s="87">
        <f t="shared" ca="1" si="23"/>
        <v>0</v>
      </c>
      <c r="BW44" s="87" t="str">
        <f t="shared" ca="1" si="24"/>
        <v>000</v>
      </c>
      <c r="BX44" s="89">
        <f t="shared" ca="1" si="25"/>
        <v>0</v>
      </c>
    </row>
    <row r="45" spans="1:76">
      <c r="A45" s="90" t="str">
        <f t="shared" si="2"/>
        <v/>
      </c>
      <c r="B45" s="98">
        <v>12</v>
      </c>
      <c r="C45" s="94">
        <v>-2</v>
      </c>
      <c r="D45" s="94">
        <v>10</v>
      </c>
      <c r="E45" s="94">
        <v>7</v>
      </c>
      <c r="F45" s="94">
        <v>-4</v>
      </c>
      <c r="G45" s="94">
        <v>5</v>
      </c>
      <c r="H45" s="94">
        <v>-1</v>
      </c>
      <c r="I45" s="94">
        <v>9</v>
      </c>
      <c r="J45" s="94">
        <v>6</v>
      </c>
      <c r="K45" s="94">
        <v>-8</v>
      </c>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89"/>
      <c r="AV45" s="89"/>
      <c r="AW45" s="89"/>
      <c r="AX45" s="89"/>
      <c r="AY45" s="89"/>
      <c r="AZ45" s="89"/>
      <c r="BA45" s="91">
        <f t="shared" ca="1" si="3"/>
        <v>0</v>
      </c>
      <c r="BB45" s="88" t="str">
        <f t="shared" ca="1" si="4"/>
        <v/>
      </c>
      <c r="BC45" s="89">
        <f t="shared" ca="1" si="5"/>
        <v>0</v>
      </c>
      <c r="BD45" s="89">
        <f ca="1">IF(BC45=0,0,RANK(BF45,$BF$11:$BF$70,0)+(COUNTIF($BF45:$BF$70,BF45)-1))</f>
        <v>0</v>
      </c>
      <c r="BE45" s="89">
        <f t="shared" ca="1" si="6"/>
        <v>0</v>
      </c>
      <c r="BF45" s="89">
        <f t="shared" ca="1" si="7"/>
        <v>0</v>
      </c>
      <c r="BG45" s="89">
        <f t="shared" ca="1" si="8"/>
        <v>0</v>
      </c>
      <c r="BH45" s="89">
        <f t="shared" ca="1" si="9"/>
        <v>0</v>
      </c>
      <c r="BI45" s="89">
        <f t="shared" ca="1" si="10"/>
        <v>0</v>
      </c>
      <c r="BJ45" s="89">
        <f t="shared" ca="1" si="11"/>
        <v>0</v>
      </c>
      <c r="BK45" s="89">
        <f t="shared" ca="1" si="12"/>
        <v>0</v>
      </c>
      <c r="BL45" s="89">
        <f t="shared" ca="1" si="13"/>
        <v>0</v>
      </c>
      <c r="BM45" s="89">
        <f t="shared" ca="1" si="14"/>
        <v>0</v>
      </c>
      <c r="BN45" s="89">
        <f t="shared" ca="1" si="15"/>
        <v>0</v>
      </c>
      <c r="BO45" s="89">
        <f t="shared" ca="1" si="16"/>
        <v>0</v>
      </c>
      <c r="BP45" s="89">
        <f t="shared" ca="1" si="17"/>
        <v>0</v>
      </c>
      <c r="BQ45" s="89">
        <f t="shared" ca="1" si="18"/>
        <v>0</v>
      </c>
      <c r="BR45" s="87">
        <f t="shared" ca="1" si="19"/>
        <v>0</v>
      </c>
      <c r="BS45" s="89">
        <f t="shared" ca="1" si="20"/>
        <v>0</v>
      </c>
      <c r="BT45" s="89">
        <f t="shared" ca="1" si="21"/>
        <v>0</v>
      </c>
      <c r="BU45" s="89">
        <f t="shared" ca="1" si="22"/>
        <v>0</v>
      </c>
      <c r="BV45" s="87">
        <f t="shared" ca="1" si="23"/>
        <v>0</v>
      </c>
      <c r="BW45" s="87" t="str">
        <f t="shared" ca="1" si="24"/>
        <v>000</v>
      </c>
      <c r="BX45" s="89">
        <f t="shared" ca="1" si="25"/>
        <v>0</v>
      </c>
    </row>
    <row r="46" spans="1:76">
      <c r="A46" s="90" t="str">
        <f t="shared" si="2"/>
        <v/>
      </c>
      <c r="B46" s="98">
        <v>13</v>
      </c>
      <c r="C46" s="94">
        <v>-1</v>
      </c>
      <c r="D46" s="94">
        <v>-9</v>
      </c>
      <c r="E46" s="94">
        <v>-5</v>
      </c>
      <c r="F46" s="94">
        <v>4</v>
      </c>
      <c r="G46" s="94">
        <v>3</v>
      </c>
      <c r="H46" s="94">
        <v>-10</v>
      </c>
      <c r="I46" s="94">
        <v>8</v>
      </c>
      <c r="J46" s="94">
        <v>7</v>
      </c>
      <c r="K46" s="94">
        <v>-2</v>
      </c>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89"/>
      <c r="AV46" s="89"/>
      <c r="AW46" s="89"/>
      <c r="AX46" s="89"/>
      <c r="AY46" s="89"/>
      <c r="AZ46" s="89"/>
      <c r="BA46" s="91">
        <f t="shared" ca="1" si="3"/>
        <v>0</v>
      </c>
      <c r="BB46" s="88" t="str">
        <f t="shared" ca="1" si="4"/>
        <v/>
      </c>
      <c r="BC46" s="89">
        <f t="shared" ca="1" si="5"/>
        <v>0</v>
      </c>
      <c r="BD46" s="89">
        <f ca="1">IF(BC46=0,0,RANK(BF46,$BF$11:$BF$70,0)+(COUNTIF($BF46:$BF$70,BF46)-1))</f>
        <v>0</v>
      </c>
      <c r="BE46" s="89">
        <f t="shared" ca="1" si="6"/>
        <v>0</v>
      </c>
      <c r="BF46" s="89">
        <f t="shared" ca="1" si="7"/>
        <v>0</v>
      </c>
      <c r="BG46" s="89">
        <f t="shared" ca="1" si="8"/>
        <v>0</v>
      </c>
      <c r="BH46" s="89">
        <f t="shared" ca="1" si="9"/>
        <v>0</v>
      </c>
      <c r="BI46" s="89">
        <f t="shared" ca="1" si="10"/>
        <v>0</v>
      </c>
      <c r="BJ46" s="89">
        <f t="shared" ca="1" si="11"/>
        <v>0</v>
      </c>
      <c r="BK46" s="89">
        <f t="shared" ca="1" si="12"/>
        <v>0</v>
      </c>
      <c r="BL46" s="89">
        <f t="shared" ca="1" si="13"/>
        <v>0</v>
      </c>
      <c r="BM46" s="89">
        <f t="shared" ca="1" si="14"/>
        <v>0</v>
      </c>
      <c r="BN46" s="89">
        <f t="shared" ca="1" si="15"/>
        <v>0</v>
      </c>
      <c r="BO46" s="89">
        <f t="shared" ca="1" si="16"/>
        <v>0</v>
      </c>
      <c r="BP46" s="89">
        <f t="shared" ca="1" si="17"/>
        <v>0</v>
      </c>
      <c r="BQ46" s="89">
        <f t="shared" ca="1" si="18"/>
        <v>0</v>
      </c>
      <c r="BR46" s="87">
        <f t="shared" ca="1" si="19"/>
        <v>0</v>
      </c>
      <c r="BS46" s="89">
        <f t="shared" ca="1" si="20"/>
        <v>0</v>
      </c>
      <c r="BT46" s="89">
        <f t="shared" ca="1" si="21"/>
        <v>0</v>
      </c>
      <c r="BU46" s="89">
        <f t="shared" ca="1" si="22"/>
        <v>0</v>
      </c>
      <c r="BV46" s="87">
        <f t="shared" ca="1" si="23"/>
        <v>0</v>
      </c>
      <c r="BW46" s="87" t="str">
        <f t="shared" ca="1" si="24"/>
        <v>000</v>
      </c>
      <c r="BX46" s="89">
        <f t="shared" ca="1" si="25"/>
        <v>0</v>
      </c>
    </row>
    <row r="47" spans="1:76">
      <c r="A47" s="90" t="str">
        <f t="shared" si="2"/>
        <v/>
      </c>
      <c r="B47" s="98">
        <v>14</v>
      </c>
      <c r="C47" s="94">
        <v>-9</v>
      </c>
      <c r="D47" s="94">
        <v>-10</v>
      </c>
      <c r="E47" s="94">
        <v>-6</v>
      </c>
      <c r="F47" s="94">
        <v>7</v>
      </c>
      <c r="G47" s="94">
        <v>4</v>
      </c>
      <c r="H47" s="94">
        <v>8</v>
      </c>
      <c r="I47" s="94">
        <v>-1</v>
      </c>
      <c r="J47" s="94">
        <v>3</v>
      </c>
      <c r="K47" s="94">
        <v>2</v>
      </c>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89"/>
      <c r="AV47" s="89"/>
      <c r="AW47" s="89"/>
      <c r="AX47" s="89"/>
      <c r="AY47" s="89"/>
      <c r="AZ47" s="89"/>
      <c r="BA47" s="91">
        <f t="shared" ca="1" si="3"/>
        <v>0</v>
      </c>
      <c r="BB47" s="88" t="str">
        <f t="shared" ca="1" si="4"/>
        <v/>
      </c>
      <c r="BC47" s="89">
        <f t="shared" ca="1" si="5"/>
        <v>0</v>
      </c>
      <c r="BD47" s="89">
        <f ca="1">IF(BC47=0,0,RANK(BF47,$BF$11:$BF$70,0)+(COUNTIF($BF47:$BF$70,BF47)-1))</f>
        <v>0</v>
      </c>
      <c r="BE47" s="89">
        <f t="shared" ca="1" si="6"/>
        <v>0</v>
      </c>
      <c r="BF47" s="89">
        <f t="shared" ca="1" si="7"/>
        <v>0</v>
      </c>
      <c r="BG47" s="89">
        <f t="shared" ca="1" si="8"/>
        <v>0</v>
      </c>
      <c r="BH47" s="89">
        <f t="shared" ca="1" si="9"/>
        <v>0</v>
      </c>
      <c r="BI47" s="89">
        <f t="shared" ca="1" si="10"/>
        <v>0</v>
      </c>
      <c r="BJ47" s="89">
        <f t="shared" ca="1" si="11"/>
        <v>0</v>
      </c>
      <c r="BK47" s="89">
        <f t="shared" ca="1" si="12"/>
        <v>0</v>
      </c>
      <c r="BL47" s="89">
        <f t="shared" ca="1" si="13"/>
        <v>0</v>
      </c>
      <c r="BM47" s="89">
        <f t="shared" ca="1" si="14"/>
        <v>0</v>
      </c>
      <c r="BN47" s="89">
        <f t="shared" ca="1" si="15"/>
        <v>0</v>
      </c>
      <c r="BO47" s="89">
        <f t="shared" ca="1" si="16"/>
        <v>0</v>
      </c>
      <c r="BP47" s="89">
        <f t="shared" ca="1" si="17"/>
        <v>0</v>
      </c>
      <c r="BQ47" s="89">
        <f t="shared" ca="1" si="18"/>
        <v>0</v>
      </c>
      <c r="BR47" s="87">
        <f t="shared" ca="1" si="19"/>
        <v>0</v>
      </c>
      <c r="BS47" s="89">
        <f t="shared" ca="1" si="20"/>
        <v>0</v>
      </c>
      <c r="BT47" s="89">
        <f t="shared" ca="1" si="21"/>
        <v>0</v>
      </c>
      <c r="BU47" s="89">
        <f t="shared" ca="1" si="22"/>
        <v>0</v>
      </c>
      <c r="BV47" s="87">
        <f t="shared" ca="1" si="23"/>
        <v>0</v>
      </c>
      <c r="BW47" s="87" t="str">
        <f t="shared" ca="1" si="24"/>
        <v>000</v>
      </c>
      <c r="BX47" s="89">
        <f t="shared" ca="1" si="25"/>
        <v>0</v>
      </c>
    </row>
    <row r="48" spans="1:76">
      <c r="A48" s="90" t="str">
        <f t="shared" si="2"/>
        <v/>
      </c>
      <c r="B48" s="98">
        <v>15</v>
      </c>
      <c r="C48" s="94">
        <v>10</v>
      </c>
      <c r="D48" s="94">
        <v>2</v>
      </c>
      <c r="E48" s="94">
        <v>-4</v>
      </c>
      <c r="F48" s="94">
        <v>5</v>
      </c>
      <c r="G48" s="94">
        <v>-7</v>
      </c>
      <c r="H48" s="94">
        <v>1</v>
      </c>
      <c r="I48" s="94">
        <v>-8</v>
      </c>
      <c r="J48" s="94">
        <v>-3</v>
      </c>
      <c r="K48" s="94">
        <v>9</v>
      </c>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89"/>
      <c r="AV48" s="89"/>
      <c r="AW48" s="89"/>
      <c r="AX48" s="89"/>
      <c r="AY48" s="89"/>
      <c r="AZ48" s="89"/>
      <c r="BA48" s="91">
        <f t="shared" ca="1" si="3"/>
        <v>0</v>
      </c>
      <c r="BB48" s="88" t="str">
        <f t="shared" ca="1" si="4"/>
        <v/>
      </c>
      <c r="BC48" s="89">
        <f t="shared" ca="1" si="5"/>
        <v>0</v>
      </c>
      <c r="BD48" s="89">
        <f ca="1">IF(BC48=0,0,RANK(BF48,$BF$11:$BF$70,0)+(COUNTIF($BF48:$BF$70,BF48)-1))</f>
        <v>0</v>
      </c>
      <c r="BE48" s="89">
        <f t="shared" ca="1" si="6"/>
        <v>0</v>
      </c>
      <c r="BF48" s="89">
        <f t="shared" ca="1" si="7"/>
        <v>0</v>
      </c>
      <c r="BG48" s="89">
        <f t="shared" ca="1" si="8"/>
        <v>0</v>
      </c>
      <c r="BH48" s="89">
        <f t="shared" ca="1" si="9"/>
        <v>0</v>
      </c>
      <c r="BI48" s="89">
        <f t="shared" ca="1" si="10"/>
        <v>0</v>
      </c>
      <c r="BJ48" s="89">
        <f t="shared" ca="1" si="11"/>
        <v>0</v>
      </c>
      <c r="BK48" s="89">
        <f t="shared" ca="1" si="12"/>
        <v>0</v>
      </c>
      <c r="BL48" s="89">
        <f t="shared" ca="1" si="13"/>
        <v>0</v>
      </c>
      <c r="BM48" s="89">
        <f t="shared" ca="1" si="14"/>
        <v>0</v>
      </c>
      <c r="BN48" s="89">
        <f t="shared" ca="1" si="15"/>
        <v>0</v>
      </c>
      <c r="BO48" s="89">
        <f t="shared" ca="1" si="16"/>
        <v>0</v>
      </c>
      <c r="BP48" s="89">
        <f t="shared" ca="1" si="17"/>
        <v>0</v>
      </c>
      <c r="BQ48" s="89">
        <f t="shared" ca="1" si="18"/>
        <v>0</v>
      </c>
      <c r="BR48" s="87">
        <f t="shared" ca="1" si="19"/>
        <v>0</v>
      </c>
      <c r="BS48" s="89">
        <f t="shared" ca="1" si="20"/>
        <v>0</v>
      </c>
      <c r="BT48" s="89">
        <f t="shared" ca="1" si="21"/>
        <v>0</v>
      </c>
      <c r="BU48" s="89">
        <f t="shared" ca="1" si="22"/>
        <v>0</v>
      </c>
      <c r="BV48" s="87">
        <f t="shared" ca="1" si="23"/>
        <v>0</v>
      </c>
      <c r="BW48" s="87" t="str">
        <f t="shared" ca="1" si="24"/>
        <v>000</v>
      </c>
      <c r="BX48" s="89">
        <f t="shared" ca="1" si="25"/>
        <v>0</v>
      </c>
    </row>
    <row r="49" spans="1:76">
      <c r="A49" s="90" t="str">
        <f t="shared" si="2"/>
        <v/>
      </c>
      <c r="B49" s="98">
        <v>16</v>
      </c>
      <c r="C49" s="94">
        <v>8</v>
      </c>
      <c r="D49" s="94">
        <v>1</v>
      </c>
      <c r="E49" s="94">
        <v>6</v>
      </c>
      <c r="F49" s="94">
        <v>-3</v>
      </c>
      <c r="G49" s="94">
        <v>-5</v>
      </c>
      <c r="H49" s="94">
        <v>-2</v>
      </c>
      <c r="I49" s="94">
        <v>10</v>
      </c>
      <c r="J49" s="94">
        <v>-7</v>
      </c>
      <c r="K49" s="94">
        <v>-9</v>
      </c>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89"/>
      <c r="AV49" s="89"/>
      <c r="AW49" s="89"/>
      <c r="AX49" s="89"/>
      <c r="AY49" s="89"/>
      <c r="AZ49" s="89"/>
      <c r="BA49" s="91">
        <f t="shared" ca="1" si="3"/>
        <v>0</v>
      </c>
      <c r="BB49" s="88" t="str">
        <f t="shared" ca="1" si="4"/>
        <v/>
      </c>
      <c r="BC49" s="89">
        <f t="shared" ca="1" si="5"/>
        <v>0</v>
      </c>
      <c r="BD49" s="89">
        <f ca="1">IF(BC49=0,0,RANK(BF49,$BF$11:$BF$70,0)+(COUNTIF($BF49:$BF$70,BF49)-1))</f>
        <v>0</v>
      </c>
      <c r="BE49" s="89">
        <f t="shared" ca="1" si="6"/>
        <v>0</v>
      </c>
      <c r="BF49" s="89">
        <f t="shared" ca="1" si="7"/>
        <v>0</v>
      </c>
      <c r="BG49" s="89">
        <f t="shared" ca="1" si="8"/>
        <v>0</v>
      </c>
      <c r="BH49" s="89">
        <f t="shared" ca="1" si="9"/>
        <v>0</v>
      </c>
      <c r="BI49" s="89">
        <f t="shared" ca="1" si="10"/>
        <v>0</v>
      </c>
      <c r="BJ49" s="89">
        <f t="shared" ca="1" si="11"/>
        <v>0</v>
      </c>
      <c r="BK49" s="89">
        <f t="shared" ca="1" si="12"/>
        <v>0</v>
      </c>
      <c r="BL49" s="89">
        <f t="shared" ca="1" si="13"/>
        <v>0</v>
      </c>
      <c r="BM49" s="89">
        <f t="shared" ca="1" si="14"/>
        <v>0</v>
      </c>
      <c r="BN49" s="89">
        <f t="shared" ca="1" si="15"/>
        <v>0</v>
      </c>
      <c r="BO49" s="89">
        <f t="shared" ca="1" si="16"/>
        <v>0</v>
      </c>
      <c r="BP49" s="89">
        <f t="shared" ca="1" si="17"/>
        <v>0</v>
      </c>
      <c r="BQ49" s="89">
        <f t="shared" ca="1" si="18"/>
        <v>0</v>
      </c>
      <c r="BR49" s="87">
        <f t="shared" ca="1" si="19"/>
        <v>0</v>
      </c>
      <c r="BS49" s="89">
        <f t="shared" ca="1" si="20"/>
        <v>0</v>
      </c>
      <c r="BT49" s="89">
        <f t="shared" ca="1" si="21"/>
        <v>0</v>
      </c>
      <c r="BU49" s="89">
        <f t="shared" ca="1" si="22"/>
        <v>0</v>
      </c>
      <c r="BV49" s="87">
        <f t="shared" ca="1" si="23"/>
        <v>0</v>
      </c>
      <c r="BW49" s="87" t="str">
        <f t="shared" ca="1" si="24"/>
        <v>000</v>
      </c>
      <c r="BX49" s="89">
        <f t="shared" ca="1" si="25"/>
        <v>0</v>
      </c>
    </row>
    <row r="50" spans="1:76">
      <c r="A50" s="90" t="str">
        <f t="shared" si="2"/>
        <v/>
      </c>
      <c r="B50" s="98">
        <v>17</v>
      </c>
      <c r="C50" s="94">
        <v>2</v>
      </c>
      <c r="D50" s="94">
        <v>9</v>
      </c>
      <c r="E50" s="94">
        <v>3</v>
      </c>
      <c r="F50" s="94">
        <v>-6</v>
      </c>
      <c r="G50" s="94">
        <v>7</v>
      </c>
      <c r="H50" s="94">
        <v>-8</v>
      </c>
      <c r="I50" s="94">
        <v>-10</v>
      </c>
      <c r="J50" s="94">
        <v>5</v>
      </c>
      <c r="K50" s="94">
        <v>-1</v>
      </c>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89"/>
      <c r="AV50" s="89"/>
      <c r="AW50" s="89"/>
      <c r="AX50" s="89"/>
      <c r="AY50" s="89"/>
      <c r="AZ50" s="89"/>
      <c r="BA50" s="91">
        <f t="shared" ca="1" si="3"/>
        <v>0</v>
      </c>
      <c r="BB50" s="88" t="str">
        <f t="shared" ca="1" si="4"/>
        <v/>
      </c>
      <c r="BC50" s="89">
        <f t="shared" ca="1" si="5"/>
        <v>0</v>
      </c>
      <c r="BD50" s="89">
        <f ca="1">IF(BC50=0,0,RANK(BF50,$BF$11:$BF$70,0)+(COUNTIF($BF50:$BF$70,BF50)-1))</f>
        <v>0</v>
      </c>
      <c r="BE50" s="89">
        <f t="shared" ca="1" si="6"/>
        <v>0</v>
      </c>
      <c r="BF50" s="89">
        <f t="shared" ca="1" si="7"/>
        <v>0</v>
      </c>
      <c r="BG50" s="89">
        <f t="shared" ca="1" si="8"/>
        <v>0</v>
      </c>
      <c r="BH50" s="89">
        <f t="shared" ca="1" si="9"/>
        <v>0</v>
      </c>
      <c r="BI50" s="89">
        <f t="shared" ca="1" si="10"/>
        <v>0</v>
      </c>
      <c r="BJ50" s="89">
        <f t="shared" ca="1" si="11"/>
        <v>0</v>
      </c>
      <c r="BK50" s="89">
        <f t="shared" ca="1" si="12"/>
        <v>0</v>
      </c>
      <c r="BL50" s="89">
        <f t="shared" ca="1" si="13"/>
        <v>0</v>
      </c>
      <c r="BM50" s="89">
        <f t="shared" ca="1" si="14"/>
        <v>0</v>
      </c>
      <c r="BN50" s="89">
        <f t="shared" ca="1" si="15"/>
        <v>0</v>
      </c>
      <c r="BO50" s="89">
        <f t="shared" ca="1" si="16"/>
        <v>0</v>
      </c>
      <c r="BP50" s="89">
        <f t="shared" ca="1" si="17"/>
        <v>0</v>
      </c>
      <c r="BQ50" s="89">
        <f t="shared" ca="1" si="18"/>
        <v>0</v>
      </c>
      <c r="BR50" s="87">
        <f t="shared" ca="1" si="19"/>
        <v>0</v>
      </c>
      <c r="BS50" s="89">
        <f t="shared" ca="1" si="20"/>
        <v>0</v>
      </c>
      <c r="BT50" s="89">
        <f t="shared" ca="1" si="21"/>
        <v>0</v>
      </c>
      <c r="BU50" s="89">
        <f t="shared" ca="1" si="22"/>
        <v>0</v>
      </c>
      <c r="BV50" s="87">
        <f t="shared" ca="1" si="23"/>
        <v>0</v>
      </c>
      <c r="BW50" s="87" t="str">
        <f t="shared" ca="1" si="24"/>
        <v>000</v>
      </c>
      <c r="BX50" s="89">
        <f t="shared" ca="1" si="25"/>
        <v>0</v>
      </c>
    </row>
    <row r="51" spans="1:76">
      <c r="A51" s="90" t="str">
        <f t="shared" si="2"/>
        <v/>
      </c>
      <c r="B51" s="98">
        <v>18</v>
      </c>
      <c r="C51" s="94">
        <v>-10</v>
      </c>
      <c r="D51" s="94">
        <v>-8</v>
      </c>
      <c r="E51" s="94">
        <v>5</v>
      </c>
      <c r="F51" s="94">
        <v>3</v>
      </c>
      <c r="G51" s="94">
        <v>-4</v>
      </c>
      <c r="H51" s="94">
        <v>9</v>
      </c>
      <c r="I51" s="94">
        <v>2</v>
      </c>
      <c r="J51" s="94">
        <v>-6</v>
      </c>
      <c r="K51" s="94">
        <v>1</v>
      </c>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89"/>
      <c r="AV51" s="89"/>
      <c r="AW51" s="89"/>
      <c r="AX51" s="89"/>
      <c r="AY51" s="89"/>
      <c r="AZ51" s="89"/>
      <c r="BA51" s="91">
        <f t="shared" ca="1" si="3"/>
        <v>0</v>
      </c>
      <c r="BB51" s="88" t="str">
        <f t="shared" ca="1" si="4"/>
        <v/>
      </c>
      <c r="BC51" s="89">
        <f t="shared" ca="1" si="5"/>
        <v>0</v>
      </c>
      <c r="BD51" s="89">
        <f ca="1">IF(BC51=0,0,RANK(BF51,$BF$11:$BF$70,0)+(COUNTIF($BF51:$BF$70,BF51)-1))</f>
        <v>0</v>
      </c>
      <c r="BE51" s="89">
        <f t="shared" ca="1" si="6"/>
        <v>0</v>
      </c>
      <c r="BF51" s="89">
        <f t="shared" ca="1" si="7"/>
        <v>0</v>
      </c>
      <c r="BG51" s="89">
        <f t="shared" ca="1" si="8"/>
        <v>0</v>
      </c>
      <c r="BH51" s="89">
        <f t="shared" ca="1" si="9"/>
        <v>0</v>
      </c>
      <c r="BI51" s="89">
        <f t="shared" ca="1" si="10"/>
        <v>0</v>
      </c>
      <c r="BJ51" s="89">
        <f t="shared" ca="1" si="11"/>
        <v>0</v>
      </c>
      <c r="BK51" s="89">
        <f t="shared" ca="1" si="12"/>
        <v>0</v>
      </c>
      <c r="BL51" s="89">
        <f t="shared" ca="1" si="13"/>
        <v>0</v>
      </c>
      <c r="BM51" s="89">
        <f t="shared" ca="1" si="14"/>
        <v>0</v>
      </c>
      <c r="BN51" s="89">
        <f t="shared" ca="1" si="15"/>
        <v>0</v>
      </c>
      <c r="BO51" s="89">
        <f t="shared" ca="1" si="16"/>
        <v>0</v>
      </c>
      <c r="BP51" s="89">
        <f t="shared" ca="1" si="17"/>
        <v>0</v>
      </c>
      <c r="BQ51" s="89">
        <f t="shared" ca="1" si="18"/>
        <v>0</v>
      </c>
      <c r="BR51" s="87">
        <f t="shared" ca="1" si="19"/>
        <v>0</v>
      </c>
      <c r="BS51" s="89">
        <f t="shared" ca="1" si="20"/>
        <v>0</v>
      </c>
      <c r="BT51" s="89">
        <f t="shared" ca="1" si="21"/>
        <v>0</v>
      </c>
      <c r="BU51" s="89">
        <f t="shared" ca="1" si="22"/>
        <v>0</v>
      </c>
      <c r="BV51" s="87">
        <f t="shared" ca="1" si="23"/>
        <v>0</v>
      </c>
      <c r="BW51" s="87" t="str">
        <f t="shared" ca="1" si="24"/>
        <v>000</v>
      </c>
      <c r="BX51" s="89">
        <f t="shared" ca="1" si="25"/>
        <v>0</v>
      </c>
    </row>
    <row r="52" spans="1:76">
      <c r="A52" s="90" t="str">
        <f t="shared" si="2"/>
        <v/>
      </c>
      <c r="B52" s="98">
        <v>19</v>
      </c>
      <c r="C52" s="94">
        <v>-8</v>
      </c>
      <c r="D52" s="94">
        <v>-2</v>
      </c>
      <c r="E52" s="94">
        <v>-7</v>
      </c>
      <c r="F52" s="94">
        <v>6</v>
      </c>
      <c r="G52" s="94">
        <v>-3</v>
      </c>
      <c r="H52" s="94">
        <v>-9</v>
      </c>
      <c r="I52" s="94">
        <v>1</v>
      </c>
      <c r="J52" s="94">
        <v>4</v>
      </c>
      <c r="K52" s="94">
        <v>10</v>
      </c>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89"/>
      <c r="AV52" s="89"/>
      <c r="AW52" s="89"/>
      <c r="AX52" s="89"/>
      <c r="AY52" s="89"/>
      <c r="AZ52" s="89"/>
      <c r="BA52" s="91">
        <f t="shared" ca="1" si="3"/>
        <v>0</v>
      </c>
      <c r="BB52" s="88" t="str">
        <f t="shared" ca="1" si="4"/>
        <v/>
      </c>
      <c r="BC52" s="89">
        <f t="shared" ca="1" si="5"/>
        <v>0</v>
      </c>
      <c r="BD52" s="89">
        <f ca="1">IF(BC52=0,0,RANK(BF52,$BF$11:$BF$70,0)+(COUNTIF($BF52:$BF$70,BF52)-1))</f>
        <v>0</v>
      </c>
      <c r="BE52" s="89">
        <f t="shared" ca="1" si="6"/>
        <v>0</v>
      </c>
      <c r="BF52" s="89">
        <f t="shared" ca="1" si="7"/>
        <v>0</v>
      </c>
      <c r="BG52" s="89">
        <f t="shared" ca="1" si="8"/>
        <v>0</v>
      </c>
      <c r="BH52" s="89">
        <f t="shared" ca="1" si="9"/>
        <v>0</v>
      </c>
      <c r="BI52" s="89">
        <f t="shared" ca="1" si="10"/>
        <v>0</v>
      </c>
      <c r="BJ52" s="89">
        <f t="shared" ca="1" si="11"/>
        <v>0</v>
      </c>
      <c r="BK52" s="89">
        <f t="shared" ca="1" si="12"/>
        <v>0</v>
      </c>
      <c r="BL52" s="89">
        <f t="shared" ca="1" si="13"/>
        <v>0</v>
      </c>
      <c r="BM52" s="89">
        <f t="shared" ca="1" si="14"/>
        <v>0</v>
      </c>
      <c r="BN52" s="89">
        <f t="shared" ca="1" si="15"/>
        <v>0</v>
      </c>
      <c r="BO52" s="89">
        <f t="shared" ca="1" si="16"/>
        <v>0</v>
      </c>
      <c r="BP52" s="89">
        <f t="shared" ca="1" si="17"/>
        <v>0</v>
      </c>
      <c r="BQ52" s="89">
        <f t="shared" ca="1" si="18"/>
        <v>0</v>
      </c>
      <c r="BR52" s="87">
        <f t="shared" ca="1" si="19"/>
        <v>0</v>
      </c>
      <c r="BS52" s="89">
        <f t="shared" ca="1" si="20"/>
        <v>0</v>
      </c>
      <c r="BT52" s="89">
        <f t="shared" ca="1" si="21"/>
        <v>0</v>
      </c>
      <c r="BU52" s="89">
        <f t="shared" ca="1" si="22"/>
        <v>0</v>
      </c>
      <c r="BV52" s="87">
        <f t="shared" ca="1" si="23"/>
        <v>0</v>
      </c>
      <c r="BW52" s="87" t="str">
        <f t="shared" ca="1" si="24"/>
        <v>000</v>
      </c>
      <c r="BX52" s="89">
        <f t="shared" ca="1" si="25"/>
        <v>0</v>
      </c>
    </row>
    <row r="53" spans="1:76">
      <c r="A53" s="90" t="str">
        <f t="shared" si="2"/>
        <v/>
      </c>
      <c r="B53" s="98">
        <v>20</v>
      </c>
      <c r="C53" s="94">
        <v>1</v>
      </c>
      <c r="D53" s="94">
        <v>8</v>
      </c>
      <c r="E53" s="94">
        <v>4</v>
      </c>
      <c r="F53" s="94">
        <v>-7</v>
      </c>
      <c r="G53" s="94">
        <v>-6</v>
      </c>
      <c r="H53" s="94">
        <v>2</v>
      </c>
      <c r="I53" s="94">
        <v>-9</v>
      </c>
      <c r="J53" s="94">
        <v>-5</v>
      </c>
      <c r="K53" s="94">
        <v>-10</v>
      </c>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89"/>
      <c r="AV53" s="89"/>
      <c r="AW53" s="89"/>
      <c r="AX53" s="89"/>
      <c r="AY53" s="89"/>
      <c r="AZ53" s="89"/>
      <c r="BA53" s="91">
        <f t="shared" ca="1" si="3"/>
        <v>0</v>
      </c>
      <c r="BB53" s="88" t="str">
        <f t="shared" ca="1" si="4"/>
        <v/>
      </c>
      <c r="BC53" s="89">
        <f t="shared" ca="1" si="5"/>
        <v>0</v>
      </c>
      <c r="BD53" s="89">
        <f ca="1">IF(BC53=0,0,RANK(BF53,$BF$11:$BF$70,0)+(COUNTIF($BF53:$BF$70,BF53)-1))</f>
        <v>0</v>
      </c>
      <c r="BE53" s="89">
        <f t="shared" ca="1" si="6"/>
        <v>0</v>
      </c>
      <c r="BF53" s="89">
        <f t="shared" ca="1" si="7"/>
        <v>0</v>
      </c>
      <c r="BG53" s="89">
        <f t="shared" ca="1" si="8"/>
        <v>0</v>
      </c>
      <c r="BH53" s="89">
        <f t="shared" ca="1" si="9"/>
        <v>0</v>
      </c>
      <c r="BI53" s="89">
        <f t="shared" ca="1" si="10"/>
        <v>0</v>
      </c>
      <c r="BJ53" s="89">
        <f t="shared" ca="1" si="11"/>
        <v>0</v>
      </c>
      <c r="BK53" s="89">
        <f t="shared" ca="1" si="12"/>
        <v>0</v>
      </c>
      <c r="BL53" s="89">
        <f t="shared" ca="1" si="13"/>
        <v>0</v>
      </c>
      <c r="BM53" s="89">
        <f t="shared" ca="1" si="14"/>
        <v>0</v>
      </c>
      <c r="BN53" s="89">
        <f t="shared" ca="1" si="15"/>
        <v>0</v>
      </c>
      <c r="BO53" s="89">
        <f t="shared" ca="1" si="16"/>
        <v>0</v>
      </c>
      <c r="BP53" s="89">
        <f t="shared" ca="1" si="17"/>
        <v>0</v>
      </c>
      <c r="BQ53" s="89">
        <f t="shared" ca="1" si="18"/>
        <v>0</v>
      </c>
      <c r="BR53" s="87">
        <f t="shared" ca="1" si="19"/>
        <v>0</v>
      </c>
      <c r="BS53" s="89">
        <f t="shared" ca="1" si="20"/>
        <v>0</v>
      </c>
      <c r="BT53" s="89">
        <f t="shared" ca="1" si="21"/>
        <v>0</v>
      </c>
      <c r="BU53" s="89">
        <f t="shared" ca="1" si="22"/>
        <v>0</v>
      </c>
      <c r="BV53" s="87">
        <f t="shared" ca="1" si="23"/>
        <v>0</v>
      </c>
      <c r="BW53" s="87" t="str">
        <f t="shared" ca="1" si="24"/>
        <v>000</v>
      </c>
      <c r="BX53" s="89">
        <f t="shared" ca="1" si="25"/>
        <v>0</v>
      </c>
    </row>
    <row r="54" spans="1:76">
      <c r="A54" s="90" t="str">
        <f t="shared" si="2"/>
        <v/>
      </c>
      <c r="B54" s="98" t="s">
        <v>534</v>
      </c>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89"/>
      <c r="AV54" s="89"/>
      <c r="AW54" s="89"/>
      <c r="AX54" s="89"/>
      <c r="AY54" s="89"/>
      <c r="AZ54" s="89"/>
      <c r="BA54" s="91">
        <f t="shared" ca="1" si="3"/>
        <v>0</v>
      </c>
      <c r="BB54" s="88" t="str">
        <f t="shared" ca="1" si="4"/>
        <v/>
      </c>
      <c r="BC54" s="89">
        <f t="shared" ca="1" si="5"/>
        <v>0</v>
      </c>
      <c r="BD54" s="89">
        <f ca="1">IF(BC54=0,0,RANK(BF54,$BF$11:$BF$70,0)+(COUNTIF($BF54:$BF$70,BF54)-1))</f>
        <v>0</v>
      </c>
      <c r="BE54" s="89">
        <f t="shared" ca="1" si="6"/>
        <v>0</v>
      </c>
      <c r="BF54" s="89">
        <f t="shared" ca="1" si="7"/>
        <v>0</v>
      </c>
      <c r="BG54" s="89">
        <f t="shared" ca="1" si="8"/>
        <v>0</v>
      </c>
      <c r="BH54" s="89">
        <f t="shared" ca="1" si="9"/>
        <v>0</v>
      </c>
      <c r="BI54" s="89">
        <f t="shared" ca="1" si="10"/>
        <v>0</v>
      </c>
      <c r="BJ54" s="89">
        <f t="shared" ca="1" si="11"/>
        <v>0</v>
      </c>
      <c r="BK54" s="89">
        <f t="shared" ca="1" si="12"/>
        <v>0</v>
      </c>
      <c r="BL54" s="89">
        <f t="shared" ca="1" si="13"/>
        <v>0</v>
      </c>
      <c r="BM54" s="89">
        <f t="shared" ca="1" si="14"/>
        <v>0</v>
      </c>
      <c r="BN54" s="89">
        <f t="shared" ca="1" si="15"/>
        <v>0</v>
      </c>
      <c r="BO54" s="89">
        <f t="shared" ca="1" si="16"/>
        <v>0</v>
      </c>
      <c r="BP54" s="89">
        <f t="shared" ca="1" si="17"/>
        <v>0</v>
      </c>
      <c r="BQ54" s="89">
        <f t="shared" ca="1" si="18"/>
        <v>0</v>
      </c>
      <c r="BR54" s="87">
        <f t="shared" ca="1" si="19"/>
        <v>0</v>
      </c>
      <c r="BS54" s="89">
        <f t="shared" ca="1" si="20"/>
        <v>0</v>
      </c>
      <c r="BT54" s="89">
        <f t="shared" ca="1" si="21"/>
        <v>0</v>
      </c>
      <c r="BU54" s="89">
        <f t="shared" ca="1" si="22"/>
        <v>0</v>
      </c>
      <c r="BV54" s="87">
        <f t="shared" ca="1" si="23"/>
        <v>0</v>
      </c>
      <c r="BW54" s="87" t="str">
        <f t="shared" ca="1" si="24"/>
        <v>000</v>
      </c>
      <c r="BX54" s="89">
        <f t="shared" ca="1" si="25"/>
        <v>0</v>
      </c>
    </row>
    <row r="55" spans="1:76">
      <c r="A55" s="90">
        <f t="shared" si="2"/>
        <v>55</v>
      </c>
      <c r="B55" s="98" t="s">
        <v>535</v>
      </c>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89"/>
      <c r="AV55" s="89"/>
      <c r="AW55" s="89"/>
      <c r="AX55" s="89"/>
      <c r="AY55" s="89"/>
      <c r="AZ55" s="89"/>
      <c r="BA55" s="91">
        <f t="shared" ca="1" si="3"/>
        <v>0</v>
      </c>
      <c r="BB55" s="88" t="str">
        <f t="shared" ca="1" si="4"/>
        <v/>
      </c>
      <c r="BC55" s="89">
        <f t="shared" ca="1" si="5"/>
        <v>0</v>
      </c>
      <c r="BD55" s="89">
        <f ca="1">IF(BC55=0,0,RANK(BF55,$BF$11:$BF$70,0)+(COUNTIF($BF55:$BF$70,BF55)-1))</f>
        <v>0</v>
      </c>
      <c r="BE55" s="89">
        <f t="shared" ca="1" si="6"/>
        <v>0</v>
      </c>
      <c r="BF55" s="89">
        <f t="shared" ca="1" si="7"/>
        <v>0</v>
      </c>
      <c r="BG55" s="89">
        <f t="shared" ca="1" si="8"/>
        <v>0</v>
      </c>
      <c r="BH55" s="89">
        <f t="shared" ca="1" si="9"/>
        <v>0</v>
      </c>
      <c r="BI55" s="89">
        <f t="shared" ca="1" si="10"/>
        <v>0</v>
      </c>
      <c r="BJ55" s="89">
        <f t="shared" ca="1" si="11"/>
        <v>0</v>
      </c>
      <c r="BK55" s="89">
        <f t="shared" ca="1" si="12"/>
        <v>0</v>
      </c>
      <c r="BL55" s="89">
        <f t="shared" ca="1" si="13"/>
        <v>0</v>
      </c>
      <c r="BM55" s="89">
        <f t="shared" ca="1" si="14"/>
        <v>0</v>
      </c>
      <c r="BN55" s="89">
        <f t="shared" ca="1" si="15"/>
        <v>0</v>
      </c>
      <c r="BO55" s="89">
        <f t="shared" ca="1" si="16"/>
        <v>0</v>
      </c>
      <c r="BP55" s="89">
        <f t="shared" ca="1" si="17"/>
        <v>0</v>
      </c>
      <c r="BQ55" s="89">
        <f t="shared" ca="1" si="18"/>
        <v>0</v>
      </c>
      <c r="BR55" s="87">
        <f t="shared" ca="1" si="19"/>
        <v>0</v>
      </c>
      <c r="BS55" s="89">
        <f t="shared" ca="1" si="20"/>
        <v>0</v>
      </c>
      <c r="BT55" s="89">
        <f t="shared" ca="1" si="21"/>
        <v>0</v>
      </c>
      <c r="BU55" s="89">
        <f t="shared" ca="1" si="22"/>
        <v>0</v>
      </c>
      <c r="BV55" s="87">
        <f t="shared" ca="1" si="23"/>
        <v>0</v>
      </c>
      <c r="BW55" s="87" t="str">
        <f t="shared" ca="1" si="24"/>
        <v>000</v>
      </c>
      <c r="BX55" s="89">
        <f t="shared" ca="1" si="25"/>
        <v>0</v>
      </c>
    </row>
    <row r="56" spans="1:76">
      <c r="A56" s="90" t="str">
        <f t="shared" si="2"/>
        <v/>
      </c>
      <c r="B56" s="98">
        <v>1</v>
      </c>
      <c r="C56" s="94">
        <v>2</v>
      </c>
      <c r="D56" s="94">
        <v>9</v>
      </c>
      <c r="E56" s="94">
        <v>-8</v>
      </c>
      <c r="F56" s="94">
        <v>-3</v>
      </c>
      <c r="G56" s="94">
        <v>4</v>
      </c>
      <c r="H56" s="94">
        <v>-7</v>
      </c>
      <c r="I56" s="94">
        <v>5</v>
      </c>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89"/>
      <c r="AV56" s="89"/>
      <c r="AW56" s="89"/>
      <c r="AX56" s="89"/>
      <c r="AY56" s="89"/>
      <c r="AZ56" s="89"/>
      <c r="BA56" s="91">
        <f t="shared" ca="1" si="3"/>
        <v>0</v>
      </c>
      <c r="BB56" s="88" t="str">
        <f t="shared" ca="1" si="4"/>
        <v/>
      </c>
      <c r="BC56" s="89">
        <f t="shared" ca="1" si="5"/>
        <v>0</v>
      </c>
      <c r="BD56" s="89">
        <f ca="1">IF(BC56=0,0,RANK(BF56,$BF$11:$BF$70,0)+(COUNTIF($BF56:$BF$70,BF56)-1))</f>
        <v>0</v>
      </c>
      <c r="BE56" s="89">
        <f t="shared" ca="1" si="6"/>
        <v>0</v>
      </c>
      <c r="BF56" s="89">
        <f t="shared" ca="1" si="7"/>
        <v>0</v>
      </c>
      <c r="BG56" s="89">
        <f t="shared" ca="1" si="8"/>
        <v>0</v>
      </c>
      <c r="BH56" s="89">
        <f t="shared" ca="1" si="9"/>
        <v>0</v>
      </c>
      <c r="BI56" s="89">
        <f t="shared" ca="1" si="10"/>
        <v>0</v>
      </c>
      <c r="BJ56" s="89">
        <f t="shared" ca="1" si="11"/>
        <v>0</v>
      </c>
      <c r="BK56" s="89">
        <f t="shared" ca="1" si="12"/>
        <v>0</v>
      </c>
      <c r="BL56" s="89">
        <f t="shared" ca="1" si="13"/>
        <v>0</v>
      </c>
      <c r="BM56" s="89">
        <f t="shared" ca="1" si="14"/>
        <v>0</v>
      </c>
      <c r="BN56" s="89">
        <f t="shared" ca="1" si="15"/>
        <v>0</v>
      </c>
      <c r="BO56" s="89">
        <f t="shared" ca="1" si="16"/>
        <v>0</v>
      </c>
      <c r="BP56" s="89">
        <f t="shared" ca="1" si="17"/>
        <v>0</v>
      </c>
      <c r="BQ56" s="89">
        <f t="shared" ca="1" si="18"/>
        <v>0</v>
      </c>
      <c r="BR56" s="87">
        <f t="shared" ca="1" si="19"/>
        <v>0</v>
      </c>
      <c r="BS56" s="89">
        <f t="shared" ca="1" si="20"/>
        <v>0</v>
      </c>
      <c r="BT56" s="89">
        <f t="shared" ca="1" si="21"/>
        <v>0</v>
      </c>
      <c r="BU56" s="89">
        <f t="shared" ca="1" si="22"/>
        <v>0</v>
      </c>
      <c r="BV56" s="87">
        <f t="shared" ca="1" si="23"/>
        <v>0</v>
      </c>
      <c r="BW56" s="87" t="str">
        <f t="shared" ca="1" si="24"/>
        <v>000</v>
      </c>
      <c r="BX56" s="89">
        <f t="shared" ca="1" si="25"/>
        <v>0</v>
      </c>
    </row>
    <row r="57" spans="1:76">
      <c r="A57" s="90" t="str">
        <f t="shared" si="2"/>
        <v/>
      </c>
      <c r="B57" s="98">
        <v>2</v>
      </c>
      <c r="C57" s="94">
        <v>-8</v>
      </c>
      <c r="D57" s="94">
        <v>10</v>
      </c>
      <c r="E57" s="94">
        <v>-9</v>
      </c>
      <c r="F57" s="94">
        <v>-1</v>
      </c>
      <c r="G57" s="94">
        <v>6</v>
      </c>
      <c r="H57" s="94">
        <v>4</v>
      </c>
      <c r="I57" s="94">
        <v>-5</v>
      </c>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89"/>
      <c r="AV57" s="89"/>
      <c r="AW57" s="89"/>
      <c r="AX57" s="89"/>
      <c r="AY57" s="89"/>
      <c r="AZ57" s="89"/>
      <c r="BA57" s="91">
        <f t="shared" ca="1" si="3"/>
        <v>0</v>
      </c>
      <c r="BB57" s="88" t="str">
        <f t="shared" ca="1" si="4"/>
        <v/>
      </c>
      <c r="BC57" s="89">
        <f t="shared" ca="1" si="5"/>
        <v>0</v>
      </c>
      <c r="BD57" s="89">
        <f ca="1">IF(BC57=0,0,RANK(BF57,$BF$11:$BF$70,0)+(COUNTIF($BF57:$BF$70,BF57)-1))</f>
        <v>0</v>
      </c>
      <c r="BE57" s="89">
        <f t="shared" ca="1" si="6"/>
        <v>0</v>
      </c>
      <c r="BF57" s="89">
        <f t="shared" ca="1" si="7"/>
        <v>0</v>
      </c>
      <c r="BG57" s="89">
        <f t="shared" ca="1" si="8"/>
        <v>0</v>
      </c>
      <c r="BH57" s="89">
        <f t="shared" ca="1" si="9"/>
        <v>0</v>
      </c>
      <c r="BI57" s="89">
        <f t="shared" ca="1" si="10"/>
        <v>0</v>
      </c>
      <c r="BJ57" s="89">
        <f t="shared" ca="1" si="11"/>
        <v>0</v>
      </c>
      <c r="BK57" s="89">
        <f t="shared" ca="1" si="12"/>
        <v>0</v>
      </c>
      <c r="BL57" s="89">
        <f t="shared" ca="1" si="13"/>
        <v>0</v>
      </c>
      <c r="BM57" s="89">
        <f t="shared" ca="1" si="14"/>
        <v>0</v>
      </c>
      <c r="BN57" s="89">
        <f t="shared" ca="1" si="15"/>
        <v>0</v>
      </c>
      <c r="BO57" s="89">
        <f t="shared" ca="1" si="16"/>
        <v>0</v>
      </c>
      <c r="BP57" s="89">
        <f t="shared" ca="1" si="17"/>
        <v>0</v>
      </c>
      <c r="BQ57" s="89">
        <f t="shared" ca="1" si="18"/>
        <v>0</v>
      </c>
      <c r="BR57" s="87">
        <f t="shared" ca="1" si="19"/>
        <v>0</v>
      </c>
      <c r="BS57" s="89">
        <f t="shared" ca="1" si="20"/>
        <v>0</v>
      </c>
      <c r="BT57" s="89">
        <f t="shared" ca="1" si="21"/>
        <v>0</v>
      </c>
      <c r="BU57" s="89">
        <f t="shared" ca="1" si="22"/>
        <v>0</v>
      </c>
      <c r="BV57" s="87">
        <f t="shared" ca="1" si="23"/>
        <v>0</v>
      </c>
      <c r="BW57" s="87" t="str">
        <f t="shared" ca="1" si="24"/>
        <v>000</v>
      </c>
      <c r="BX57" s="89">
        <f t="shared" ca="1" si="25"/>
        <v>0</v>
      </c>
    </row>
    <row r="58" spans="1:76">
      <c r="A58" s="90" t="str">
        <f t="shared" si="2"/>
        <v/>
      </c>
      <c r="B58" s="98">
        <v>3</v>
      </c>
      <c r="C58" s="94">
        <v>-2</v>
      </c>
      <c r="D58" s="94">
        <v>-1</v>
      </c>
      <c r="E58" s="94">
        <v>9</v>
      </c>
      <c r="F58" s="94">
        <v>5</v>
      </c>
      <c r="G58" s="94">
        <v>-7</v>
      </c>
      <c r="H58" s="94">
        <v>3</v>
      </c>
      <c r="I58" s="94">
        <v>-6</v>
      </c>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89"/>
      <c r="AV58" s="89"/>
      <c r="AW58" s="89"/>
      <c r="AX58" s="89"/>
      <c r="AY58" s="89"/>
      <c r="AZ58" s="89"/>
      <c r="BA58" s="91">
        <f t="shared" ca="1" si="3"/>
        <v>0</v>
      </c>
      <c r="BB58" s="88" t="str">
        <f t="shared" ca="1" si="4"/>
        <v/>
      </c>
      <c r="BC58" s="89">
        <f t="shared" ca="1" si="5"/>
        <v>0</v>
      </c>
      <c r="BD58" s="89">
        <f ca="1">IF(BC58=0,0,RANK(BF58,$BF$11:$BF$70,0)+(COUNTIF($BF58:$BF$70,BF58)-1))</f>
        <v>0</v>
      </c>
      <c r="BE58" s="89">
        <f t="shared" ca="1" si="6"/>
        <v>0</v>
      </c>
      <c r="BF58" s="89">
        <f t="shared" ca="1" si="7"/>
        <v>0</v>
      </c>
      <c r="BG58" s="89">
        <f t="shared" ca="1" si="8"/>
        <v>0</v>
      </c>
      <c r="BH58" s="89">
        <f t="shared" ca="1" si="9"/>
        <v>0</v>
      </c>
      <c r="BI58" s="89">
        <f t="shared" ca="1" si="10"/>
        <v>0</v>
      </c>
      <c r="BJ58" s="89">
        <f t="shared" ca="1" si="11"/>
        <v>0</v>
      </c>
      <c r="BK58" s="89">
        <f t="shared" ca="1" si="12"/>
        <v>0</v>
      </c>
      <c r="BL58" s="89">
        <f t="shared" ca="1" si="13"/>
        <v>0</v>
      </c>
      <c r="BM58" s="89">
        <f t="shared" ca="1" si="14"/>
        <v>0</v>
      </c>
      <c r="BN58" s="89">
        <f t="shared" ca="1" si="15"/>
        <v>0</v>
      </c>
      <c r="BO58" s="89">
        <f t="shared" ca="1" si="16"/>
        <v>0</v>
      </c>
      <c r="BP58" s="89">
        <f t="shared" ca="1" si="17"/>
        <v>0</v>
      </c>
      <c r="BQ58" s="89">
        <f t="shared" ca="1" si="18"/>
        <v>0</v>
      </c>
      <c r="BR58" s="87">
        <f t="shared" ca="1" si="19"/>
        <v>0</v>
      </c>
      <c r="BS58" s="89">
        <f t="shared" ca="1" si="20"/>
        <v>0</v>
      </c>
      <c r="BT58" s="89">
        <f t="shared" ca="1" si="21"/>
        <v>0</v>
      </c>
      <c r="BU58" s="89">
        <f t="shared" ca="1" si="22"/>
        <v>0</v>
      </c>
      <c r="BV58" s="87">
        <f t="shared" ca="1" si="23"/>
        <v>0</v>
      </c>
      <c r="BW58" s="87" t="str">
        <f t="shared" ca="1" si="24"/>
        <v>000</v>
      </c>
      <c r="BX58" s="89">
        <f t="shared" ca="1" si="25"/>
        <v>0</v>
      </c>
    </row>
    <row r="59" spans="1:76">
      <c r="A59" s="90" t="str">
        <f t="shared" si="2"/>
        <v/>
      </c>
      <c r="B59" s="98">
        <v>4</v>
      </c>
      <c r="C59" s="94">
        <v>-9</v>
      </c>
      <c r="D59" s="94">
        <v>-2</v>
      </c>
      <c r="E59" s="94">
        <v>8</v>
      </c>
      <c r="F59" s="94">
        <v>-10</v>
      </c>
      <c r="G59" s="94">
        <v>5</v>
      </c>
      <c r="H59" s="94">
        <v>-4</v>
      </c>
      <c r="I59" s="94">
        <v>6</v>
      </c>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89"/>
      <c r="AV59" s="89"/>
      <c r="AW59" s="89"/>
      <c r="AX59" s="89"/>
      <c r="AY59" s="89"/>
      <c r="AZ59" s="89"/>
      <c r="BA59" s="91">
        <f t="shared" ca="1" si="3"/>
        <v>0</v>
      </c>
      <c r="BB59" s="88" t="str">
        <f t="shared" ca="1" si="4"/>
        <v/>
      </c>
      <c r="BC59" s="89">
        <f t="shared" ca="1" si="5"/>
        <v>0</v>
      </c>
      <c r="BD59" s="89">
        <f ca="1">IF(BC59=0,0,RANK(BF59,$BF$11:$BF$70,0)+(COUNTIF($BF59:$BF$70,BF59)-1))</f>
        <v>0</v>
      </c>
      <c r="BE59" s="89">
        <f t="shared" ca="1" si="6"/>
        <v>0</v>
      </c>
      <c r="BF59" s="89">
        <f t="shared" ca="1" si="7"/>
        <v>0</v>
      </c>
      <c r="BG59" s="89">
        <f t="shared" ca="1" si="8"/>
        <v>0</v>
      </c>
      <c r="BH59" s="89">
        <f t="shared" ca="1" si="9"/>
        <v>0</v>
      </c>
      <c r="BI59" s="89">
        <f t="shared" ca="1" si="10"/>
        <v>0</v>
      </c>
      <c r="BJ59" s="89">
        <f t="shared" ca="1" si="11"/>
        <v>0</v>
      </c>
      <c r="BK59" s="89">
        <f t="shared" ca="1" si="12"/>
        <v>0</v>
      </c>
      <c r="BL59" s="89">
        <f t="shared" ca="1" si="13"/>
        <v>0</v>
      </c>
      <c r="BM59" s="89">
        <f t="shared" ca="1" si="14"/>
        <v>0</v>
      </c>
      <c r="BN59" s="89">
        <f t="shared" ca="1" si="15"/>
        <v>0</v>
      </c>
      <c r="BO59" s="89">
        <f t="shared" ca="1" si="16"/>
        <v>0</v>
      </c>
      <c r="BP59" s="89">
        <f t="shared" ca="1" si="17"/>
        <v>0</v>
      </c>
      <c r="BQ59" s="89">
        <f t="shared" ca="1" si="18"/>
        <v>0</v>
      </c>
      <c r="BR59" s="87">
        <f t="shared" ca="1" si="19"/>
        <v>0</v>
      </c>
      <c r="BS59" s="89">
        <f t="shared" ca="1" si="20"/>
        <v>0</v>
      </c>
      <c r="BT59" s="89">
        <f t="shared" ca="1" si="21"/>
        <v>0</v>
      </c>
      <c r="BU59" s="89">
        <f t="shared" ca="1" si="22"/>
        <v>0</v>
      </c>
      <c r="BV59" s="87">
        <f t="shared" ca="1" si="23"/>
        <v>0</v>
      </c>
      <c r="BW59" s="87" t="str">
        <f t="shared" ca="1" si="24"/>
        <v>000</v>
      </c>
      <c r="BX59" s="89">
        <f t="shared" ca="1" si="25"/>
        <v>0</v>
      </c>
    </row>
    <row r="60" spans="1:76">
      <c r="A60" s="90" t="str">
        <f t="shared" si="2"/>
        <v/>
      </c>
      <c r="B60" s="98">
        <v>5</v>
      </c>
      <c r="C60" s="94">
        <v>-10</v>
      </c>
      <c r="D60" s="94">
        <v>2</v>
      </c>
      <c r="E60" s="94">
        <v>3</v>
      </c>
      <c r="F60" s="94">
        <v>-5</v>
      </c>
      <c r="G60" s="94">
        <v>-6</v>
      </c>
      <c r="H60" s="94">
        <v>7</v>
      </c>
      <c r="I60" s="94">
        <v>4</v>
      </c>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89"/>
      <c r="AV60" s="89"/>
      <c r="AW60" s="89"/>
      <c r="AX60" s="89"/>
      <c r="AY60" s="89"/>
      <c r="AZ60" s="89"/>
      <c r="BA60" s="91">
        <f t="shared" ca="1" si="3"/>
        <v>0</v>
      </c>
      <c r="BB60" s="88" t="str">
        <f t="shared" ca="1" si="4"/>
        <v/>
      </c>
      <c r="BC60" s="89">
        <f t="shared" ca="1" si="5"/>
        <v>0</v>
      </c>
      <c r="BD60" s="89">
        <f ca="1">IF(BC60=0,0,RANK(BF60,$BF$11:$BF$70,0)+(COUNTIF($BF60:$BF$70,BF60)-1))</f>
        <v>0</v>
      </c>
      <c r="BE60" s="89">
        <f t="shared" ca="1" si="6"/>
        <v>0</v>
      </c>
      <c r="BF60" s="89">
        <f t="shared" ca="1" si="7"/>
        <v>0</v>
      </c>
      <c r="BG60" s="89">
        <f t="shared" ca="1" si="8"/>
        <v>0</v>
      </c>
      <c r="BH60" s="89">
        <f t="shared" ca="1" si="9"/>
        <v>0</v>
      </c>
      <c r="BI60" s="89">
        <f t="shared" ca="1" si="10"/>
        <v>0</v>
      </c>
      <c r="BJ60" s="89">
        <f t="shared" ca="1" si="11"/>
        <v>0</v>
      </c>
      <c r="BK60" s="89">
        <f t="shared" ca="1" si="12"/>
        <v>0</v>
      </c>
      <c r="BL60" s="89">
        <f t="shared" ca="1" si="13"/>
        <v>0</v>
      </c>
      <c r="BM60" s="89">
        <f t="shared" ca="1" si="14"/>
        <v>0</v>
      </c>
      <c r="BN60" s="89">
        <f t="shared" ca="1" si="15"/>
        <v>0</v>
      </c>
      <c r="BO60" s="89">
        <f t="shared" ca="1" si="16"/>
        <v>0</v>
      </c>
      <c r="BP60" s="89">
        <f t="shared" ca="1" si="17"/>
        <v>0</v>
      </c>
      <c r="BQ60" s="89">
        <f t="shared" ca="1" si="18"/>
        <v>0</v>
      </c>
      <c r="BR60" s="87">
        <f t="shared" ca="1" si="19"/>
        <v>0</v>
      </c>
      <c r="BS60" s="89">
        <f t="shared" ca="1" si="20"/>
        <v>0</v>
      </c>
      <c r="BT60" s="89">
        <f t="shared" ca="1" si="21"/>
        <v>0</v>
      </c>
      <c r="BU60" s="89">
        <f t="shared" ca="1" si="22"/>
        <v>0</v>
      </c>
      <c r="BV60" s="87">
        <f t="shared" ca="1" si="23"/>
        <v>0</v>
      </c>
      <c r="BW60" s="87" t="str">
        <f t="shared" ca="1" si="24"/>
        <v>000</v>
      </c>
      <c r="BX60" s="89">
        <f t="shared" ca="1" si="25"/>
        <v>0</v>
      </c>
    </row>
    <row r="61" spans="1:76">
      <c r="A61" s="90" t="str">
        <f t="shared" si="2"/>
        <v/>
      </c>
      <c r="B61" s="98">
        <v>6</v>
      </c>
      <c r="C61" s="94">
        <v>9</v>
      </c>
      <c r="D61" s="94">
        <v>-10</v>
      </c>
      <c r="E61" s="94">
        <v>-6</v>
      </c>
      <c r="F61" s="94">
        <v>3</v>
      </c>
      <c r="G61" s="94">
        <v>7</v>
      </c>
      <c r="H61" s="94">
        <v>-5</v>
      </c>
      <c r="I61" s="94">
        <v>-4</v>
      </c>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89"/>
      <c r="AV61" s="89"/>
      <c r="AW61" s="89"/>
      <c r="AX61" s="89"/>
      <c r="AY61" s="89"/>
      <c r="AZ61" s="89"/>
      <c r="BA61" s="91">
        <f t="shared" ca="1" si="3"/>
        <v>0</v>
      </c>
      <c r="BB61" s="88" t="str">
        <f t="shared" ca="1" si="4"/>
        <v/>
      </c>
      <c r="BC61" s="89">
        <f t="shared" ca="1" si="5"/>
        <v>0</v>
      </c>
      <c r="BD61" s="89">
        <f ca="1">IF(BC61=0,0,RANK(BF61,$BF$11:$BF$70,0)+(COUNTIF($BF61:$BF$70,BF61)-1))</f>
        <v>0</v>
      </c>
      <c r="BE61" s="89">
        <f t="shared" ca="1" si="6"/>
        <v>0</v>
      </c>
      <c r="BF61" s="89">
        <f t="shared" ca="1" si="7"/>
        <v>0</v>
      </c>
      <c r="BG61" s="89">
        <f t="shared" ca="1" si="8"/>
        <v>0</v>
      </c>
      <c r="BH61" s="89">
        <f t="shared" ca="1" si="9"/>
        <v>0</v>
      </c>
      <c r="BI61" s="89">
        <f t="shared" ca="1" si="10"/>
        <v>0</v>
      </c>
      <c r="BJ61" s="89">
        <f t="shared" ca="1" si="11"/>
        <v>0</v>
      </c>
      <c r="BK61" s="89">
        <f t="shared" ca="1" si="12"/>
        <v>0</v>
      </c>
      <c r="BL61" s="89">
        <f t="shared" ca="1" si="13"/>
        <v>0</v>
      </c>
      <c r="BM61" s="89">
        <f t="shared" ca="1" si="14"/>
        <v>0</v>
      </c>
      <c r="BN61" s="89">
        <f t="shared" ca="1" si="15"/>
        <v>0</v>
      </c>
      <c r="BO61" s="89">
        <f t="shared" ca="1" si="16"/>
        <v>0</v>
      </c>
      <c r="BP61" s="89">
        <f t="shared" ca="1" si="17"/>
        <v>0</v>
      </c>
      <c r="BQ61" s="89">
        <f t="shared" ca="1" si="18"/>
        <v>0</v>
      </c>
      <c r="BR61" s="87">
        <f t="shared" ca="1" si="19"/>
        <v>0</v>
      </c>
      <c r="BS61" s="89">
        <f t="shared" ca="1" si="20"/>
        <v>0</v>
      </c>
      <c r="BT61" s="89">
        <f t="shared" ca="1" si="21"/>
        <v>0</v>
      </c>
      <c r="BU61" s="89">
        <f t="shared" ca="1" si="22"/>
        <v>0</v>
      </c>
      <c r="BV61" s="87">
        <f t="shared" ca="1" si="23"/>
        <v>0</v>
      </c>
      <c r="BW61" s="87" t="str">
        <f t="shared" ca="1" si="24"/>
        <v>000</v>
      </c>
      <c r="BX61" s="89">
        <f t="shared" ca="1" si="25"/>
        <v>0</v>
      </c>
    </row>
    <row r="62" spans="1:76">
      <c r="A62" s="90" t="str">
        <f t="shared" si="2"/>
        <v/>
      </c>
      <c r="B62" s="98">
        <v>7</v>
      </c>
      <c r="C62" s="94">
        <v>10</v>
      </c>
      <c r="D62" s="94">
        <v>-9</v>
      </c>
      <c r="E62" s="94">
        <v>6</v>
      </c>
      <c r="F62" s="94">
        <v>1</v>
      </c>
      <c r="G62" s="94">
        <v>-5</v>
      </c>
      <c r="H62" s="94">
        <v>-3</v>
      </c>
      <c r="I62" s="94">
        <v>7</v>
      </c>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89"/>
      <c r="AV62" s="89"/>
      <c r="AW62" s="89"/>
      <c r="AX62" s="89"/>
      <c r="AY62" s="89"/>
      <c r="AZ62" s="89"/>
      <c r="BA62" s="91">
        <f t="shared" ca="1" si="3"/>
        <v>0</v>
      </c>
      <c r="BB62" s="88" t="str">
        <f t="shared" ca="1" si="4"/>
        <v/>
      </c>
      <c r="BC62" s="89">
        <f t="shared" ca="1" si="5"/>
        <v>0</v>
      </c>
      <c r="BD62" s="89">
        <f ca="1">IF(BC62=0,0,RANK(BF62,$BF$11:$BF$70,0)+(COUNTIF($BF62:$BF$70,BF62)-1))</f>
        <v>0</v>
      </c>
      <c r="BE62" s="89">
        <f t="shared" ca="1" si="6"/>
        <v>0</v>
      </c>
      <c r="BF62" s="89">
        <f t="shared" ca="1" si="7"/>
        <v>0</v>
      </c>
      <c r="BG62" s="89">
        <f t="shared" ca="1" si="8"/>
        <v>0</v>
      </c>
      <c r="BH62" s="89">
        <f t="shared" ca="1" si="9"/>
        <v>0</v>
      </c>
      <c r="BI62" s="89">
        <f t="shared" ca="1" si="10"/>
        <v>0</v>
      </c>
      <c r="BJ62" s="89">
        <f t="shared" ca="1" si="11"/>
        <v>0</v>
      </c>
      <c r="BK62" s="89">
        <f t="shared" ca="1" si="12"/>
        <v>0</v>
      </c>
      <c r="BL62" s="89">
        <f t="shared" ca="1" si="13"/>
        <v>0</v>
      </c>
      <c r="BM62" s="89">
        <f t="shared" ca="1" si="14"/>
        <v>0</v>
      </c>
      <c r="BN62" s="89">
        <f t="shared" ca="1" si="15"/>
        <v>0</v>
      </c>
      <c r="BO62" s="89">
        <f t="shared" ca="1" si="16"/>
        <v>0</v>
      </c>
      <c r="BP62" s="89">
        <f t="shared" ca="1" si="17"/>
        <v>0</v>
      </c>
      <c r="BQ62" s="89">
        <f t="shared" ca="1" si="18"/>
        <v>0</v>
      </c>
      <c r="BR62" s="87">
        <f t="shared" ca="1" si="19"/>
        <v>0</v>
      </c>
      <c r="BS62" s="89">
        <f t="shared" ca="1" si="20"/>
        <v>0</v>
      </c>
      <c r="BT62" s="89">
        <f t="shared" ca="1" si="21"/>
        <v>0</v>
      </c>
      <c r="BU62" s="89">
        <f t="shared" ca="1" si="22"/>
        <v>0</v>
      </c>
      <c r="BV62" s="87">
        <f t="shared" ca="1" si="23"/>
        <v>0</v>
      </c>
      <c r="BW62" s="87" t="str">
        <f t="shared" ca="1" si="24"/>
        <v>000</v>
      </c>
      <c r="BX62" s="89">
        <f t="shared" ca="1" si="25"/>
        <v>0</v>
      </c>
    </row>
    <row r="63" spans="1:76">
      <c r="A63" s="90" t="str">
        <f t="shared" si="2"/>
        <v/>
      </c>
      <c r="B63" s="99">
        <v>8</v>
      </c>
      <c r="C63" s="92">
        <v>8</v>
      </c>
      <c r="D63" s="92">
        <v>1</v>
      </c>
      <c r="E63" s="92">
        <v>-3</v>
      </c>
      <c r="F63" s="92">
        <v>10</v>
      </c>
      <c r="G63" s="92">
        <v>-4</v>
      </c>
      <c r="H63" s="92">
        <v>5</v>
      </c>
      <c r="I63" s="92">
        <v>-7</v>
      </c>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89"/>
      <c r="AV63" s="89"/>
      <c r="AW63" s="89"/>
      <c r="AX63" s="89"/>
      <c r="AY63" s="89"/>
      <c r="AZ63" s="89"/>
      <c r="BA63" s="91">
        <f t="shared" ca="1" si="3"/>
        <v>0</v>
      </c>
      <c r="BB63" s="88" t="str">
        <f t="shared" ca="1" si="4"/>
        <v/>
      </c>
      <c r="BC63" s="89">
        <f t="shared" ca="1" si="5"/>
        <v>0</v>
      </c>
      <c r="BD63" s="89">
        <f ca="1">IF(BC63=0,0,RANK(BF63,$BF$11:$BF$70,0)+(COUNTIF($BF63:$BF$70,BF63)-1))</f>
        <v>0</v>
      </c>
      <c r="BE63" s="89">
        <f t="shared" ca="1" si="6"/>
        <v>0</v>
      </c>
      <c r="BF63" s="89">
        <f t="shared" ca="1" si="7"/>
        <v>0</v>
      </c>
      <c r="BG63" s="89">
        <f t="shared" ca="1" si="8"/>
        <v>0</v>
      </c>
      <c r="BH63" s="89">
        <f t="shared" ca="1" si="9"/>
        <v>0</v>
      </c>
      <c r="BI63" s="89">
        <f t="shared" ca="1" si="10"/>
        <v>0</v>
      </c>
      <c r="BJ63" s="89">
        <f t="shared" ca="1" si="11"/>
        <v>0</v>
      </c>
      <c r="BK63" s="89">
        <f t="shared" ca="1" si="12"/>
        <v>0</v>
      </c>
      <c r="BL63" s="89">
        <f t="shared" ca="1" si="13"/>
        <v>0</v>
      </c>
      <c r="BM63" s="89">
        <f t="shared" ca="1" si="14"/>
        <v>0</v>
      </c>
      <c r="BN63" s="89">
        <f t="shared" ca="1" si="15"/>
        <v>0</v>
      </c>
      <c r="BO63" s="89">
        <f t="shared" ca="1" si="16"/>
        <v>0</v>
      </c>
      <c r="BP63" s="89">
        <f t="shared" ca="1" si="17"/>
        <v>0</v>
      </c>
      <c r="BQ63" s="89">
        <f t="shared" ca="1" si="18"/>
        <v>0</v>
      </c>
      <c r="BR63" s="87">
        <f t="shared" ca="1" si="19"/>
        <v>0</v>
      </c>
      <c r="BS63" s="89">
        <f t="shared" ca="1" si="20"/>
        <v>0</v>
      </c>
      <c r="BT63" s="89">
        <f t="shared" ca="1" si="21"/>
        <v>0</v>
      </c>
      <c r="BU63" s="89">
        <f t="shared" ca="1" si="22"/>
        <v>0</v>
      </c>
      <c r="BV63" s="87">
        <f t="shared" ca="1" si="23"/>
        <v>0</v>
      </c>
      <c r="BW63" s="87" t="str">
        <f t="shared" ca="1" si="24"/>
        <v>000</v>
      </c>
      <c r="BX63" s="89">
        <f t="shared" ca="1" si="25"/>
        <v>0</v>
      </c>
    </row>
    <row r="64" spans="1:76">
      <c r="A64" s="90" t="str">
        <f t="shared" si="2"/>
        <v/>
      </c>
      <c r="B64" s="98">
        <v>9</v>
      </c>
      <c r="C64" s="94">
        <v>-5</v>
      </c>
      <c r="D64" s="94">
        <v>7</v>
      </c>
      <c r="E64" s="94">
        <v>10</v>
      </c>
      <c r="F64" s="94">
        <v>-4</v>
      </c>
      <c r="G64" s="94">
        <v>-8</v>
      </c>
      <c r="H64" s="94">
        <v>6</v>
      </c>
      <c r="I64" s="94">
        <v>3</v>
      </c>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89"/>
      <c r="AV64" s="89"/>
      <c r="AW64" s="89"/>
      <c r="AX64" s="89"/>
      <c r="AY64" s="89"/>
      <c r="AZ64" s="89"/>
      <c r="BA64" s="91">
        <f t="shared" ca="1" si="3"/>
        <v>0</v>
      </c>
      <c r="BB64" s="88" t="str">
        <f t="shared" ca="1" si="4"/>
        <v/>
      </c>
      <c r="BC64" s="89">
        <f t="shared" ca="1" si="5"/>
        <v>0</v>
      </c>
      <c r="BD64" s="89">
        <f ca="1">IF(BC64=0,0,RANK(BF64,$BF$11:$BF$70,0)+(COUNTIF($BF64:$BF$70,BF64)-1))</f>
        <v>0</v>
      </c>
      <c r="BE64" s="89">
        <f t="shared" ca="1" si="6"/>
        <v>0</v>
      </c>
      <c r="BF64" s="89">
        <f t="shared" ca="1" si="7"/>
        <v>0</v>
      </c>
      <c r="BG64" s="89">
        <f t="shared" ca="1" si="8"/>
        <v>0</v>
      </c>
      <c r="BH64" s="89">
        <f t="shared" ca="1" si="9"/>
        <v>0</v>
      </c>
      <c r="BI64" s="89">
        <f t="shared" ca="1" si="10"/>
        <v>0</v>
      </c>
      <c r="BJ64" s="89">
        <f t="shared" ca="1" si="11"/>
        <v>0</v>
      </c>
      <c r="BK64" s="89">
        <f t="shared" ca="1" si="12"/>
        <v>0</v>
      </c>
      <c r="BL64" s="89">
        <f t="shared" ca="1" si="13"/>
        <v>0</v>
      </c>
      <c r="BM64" s="89">
        <f t="shared" ca="1" si="14"/>
        <v>0</v>
      </c>
      <c r="BN64" s="89">
        <f t="shared" ca="1" si="15"/>
        <v>0</v>
      </c>
      <c r="BO64" s="89">
        <f t="shared" ca="1" si="16"/>
        <v>0</v>
      </c>
      <c r="BP64" s="89">
        <f t="shared" ca="1" si="17"/>
        <v>0</v>
      </c>
      <c r="BQ64" s="89">
        <f t="shared" ca="1" si="18"/>
        <v>0</v>
      </c>
      <c r="BR64" s="87">
        <f t="shared" ca="1" si="19"/>
        <v>0</v>
      </c>
      <c r="BS64" s="89">
        <f t="shared" ca="1" si="20"/>
        <v>0</v>
      </c>
      <c r="BT64" s="89">
        <f t="shared" ca="1" si="21"/>
        <v>0</v>
      </c>
      <c r="BU64" s="89">
        <f t="shared" ca="1" si="22"/>
        <v>0</v>
      </c>
      <c r="BV64" s="87">
        <f t="shared" ca="1" si="23"/>
        <v>0</v>
      </c>
      <c r="BW64" s="87" t="str">
        <f t="shared" ca="1" si="24"/>
        <v>000</v>
      </c>
      <c r="BX64" s="89">
        <f t="shared" ca="1" si="25"/>
        <v>0</v>
      </c>
    </row>
    <row r="65" spans="1:76">
      <c r="A65" s="90" t="str">
        <f t="shared" si="2"/>
        <v/>
      </c>
      <c r="B65" s="98">
        <v>10</v>
      </c>
      <c r="C65" s="94">
        <v>7</v>
      </c>
      <c r="D65" s="94">
        <v>-4</v>
      </c>
      <c r="E65" s="94">
        <v>-5</v>
      </c>
      <c r="F65" s="94">
        <v>6</v>
      </c>
      <c r="G65" s="94">
        <v>2</v>
      </c>
      <c r="H65" s="94">
        <v>-1</v>
      </c>
      <c r="I65" s="94">
        <v>-3</v>
      </c>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89"/>
      <c r="AV65" s="89"/>
      <c r="AW65" s="89"/>
      <c r="AX65" s="89"/>
      <c r="AY65" s="89"/>
      <c r="AZ65" s="89"/>
      <c r="BA65" s="91">
        <f t="shared" ca="1" si="3"/>
        <v>0</v>
      </c>
      <c r="BB65" s="88" t="str">
        <f ca="1">IF(BA64=0,"",CONCATENATE("A",BA64+1,":A",BB$10))</f>
        <v/>
      </c>
      <c r="BC65" s="89">
        <f t="shared" ca="1" si="5"/>
        <v>0</v>
      </c>
      <c r="BD65" s="89">
        <f ca="1">IF(BC65=0,0,RANK(BF65,$BF$11:$BF$70,0)+(COUNTIF($BF65:$BF$70,BF65)-1))</f>
        <v>0</v>
      </c>
      <c r="BE65" s="89">
        <f t="shared" ca="1" si="6"/>
        <v>0</v>
      </c>
      <c r="BF65" s="89">
        <f t="shared" ca="1" si="7"/>
        <v>0</v>
      </c>
      <c r="BG65" s="89">
        <f t="shared" ca="1" si="8"/>
        <v>0</v>
      </c>
      <c r="BH65" s="89">
        <f t="shared" ca="1" si="9"/>
        <v>0</v>
      </c>
      <c r="BI65" s="89">
        <f t="shared" ca="1" si="10"/>
        <v>0</v>
      </c>
      <c r="BJ65" s="89">
        <f t="shared" ca="1" si="11"/>
        <v>0</v>
      </c>
      <c r="BK65" s="89">
        <f t="shared" ca="1" si="12"/>
        <v>0</v>
      </c>
      <c r="BL65" s="89">
        <f t="shared" ca="1" si="13"/>
        <v>0</v>
      </c>
      <c r="BM65" s="89">
        <f t="shared" ca="1" si="14"/>
        <v>0</v>
      </c>
      <c r="BN65" s="89">
        <f t="shared" ca="1" si="15"/>
        <v>0</v>
      </c>
      <c r="BO65" s="89">
        <f t="shared" ca="1" si="16"/>
        <v>0</v>
      </c>
      <c r="BP65" s="89">
        <f t="shared" ca="1" si="17"/>
        <v>0</v>
      </c>
      <c r="BQ65" s="89">
        <f t="shared" ca="1" si="18"/>
        <v>0</v>
      </c>
      <c r="BR65" s="87">
        <f t="shared" ca="1" si="19"/>
        <v>0</v>
      </c>
      <c r="BS65" s="89">
        <f t="shared" ca="1" si="20"/>
        <v>0</v>
      </c>
      <c r="BT65" s="89">
        <f t="shared" ca="1" si="21"/>
        <v>0</v>
      </c>
      <c r="BU65" s="89">
        <f t="shared" ca="1" si="22"/>
        <v>0</v>
      </c>
      <c r="BV65" s="87">
        <f t="shared" ca="1" si="23"/>
        <v>0</v>
      </c>
      <c r="BW65" s="87" t="str">
        <f t="shared" ca="1" si="24"/>
        <v>000</v>
      </c>
      <c r="BX65" s="89">
        <f t="shared" ca="1" si="25"/>
        <v>0</v>
      </c>
    </row>
    <row r="66" spans="1:76">
      <c r="A66" s="90" t="str">
        <f t="shared" si="2"/>
        <v/>
      </c>
      <c r="B66" s="98">
        <v>11</v>
      </c>
      <c r="C66" s="94">
        <v>-3</v>
      </c>
      <c r="D66" s="94">
        <v>-5</v>
      </c>
      <c r="E66" s="94">
        <v>1</v>
      </c>
      <c r="F66" s="94">
        <v>7</v>
      </c>
      <c r="G66" s="94">
        <v>-2</v>
      </c>
      <c r="H66" s="94">
        <v>-6</v>
      </c>
      <c r="I66" s="94">
        <v>8</v>
      </c>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89"/>
      <c r="AV66" s="89"/>
      <c r="AW66" s="89"/>
      <c r="AX66" s="89"/>
      <c r="AY66" s="89"/>
      <c r="AZ66" s="89"/>
      <c r="BA66" s="91">
        <f t="shared" ca="1" si="3"/>
        <v>0</v>
      </c>
      <c r="BB66" s="88" t="str">
        <f t="shared" ca="1" si="4"/>
        <v/>
      </c>
      <c r="BC66" s="89">
        <f t="shared" ca="1" si="5"/>
        <v>0</v>
      </c>
      <c r="BD66" s="89">
        <f ca="1">IF(BC66=0,0,RANK(BF66,$BF$11:$BF$70,0)+(COUNTIF($BF66:$BF$70,BF66)-1))</f>
        <v>0</v>
      </c>
      <c r="BE66" s="89">
        <f t="shared" ca="1" si="6"/>
        <v>0</v>
      </c>
      <c r="BF66" s="89">
        <f t="shared" ca="1" si="7"/>
        <v>0</v>
      </c>
      <c r="BG66" s="89">
        <f t="shared" ca="1" si="8"/>
        <v>0</v>
      </c>
      <c r="BH66" s="89">
        <f t="shared" ca="1" si="9"/>
        <v>0</v>
      </c>
      <c r="BI66" s="89">
        <f t="shared" ca="1" si="10"/>
        <v>0</v>
      </c>
      <c r="BJ66" s="89">
        <f t="shared" ca="1" si="11"/>
        <v>0</v>
      </c>
      <c r="BK66" s="89">
        <f t="shared" ca="1" si="12"/>
        <v>0</v>
      </c>
      <c r="BL66" s="89">
        <f t="shared" ca="1" si="13"/>
        <v>0</v>
      </c>
      <c r="BM66" s="89">
        <f t="shared" ca="1" si="14"/>
        <v>0</v>
      </c>
      <c r="BN66" s="89">
        <f t="shared" ca="1" si="15"/>
        <v>0</v>
      </c>
      <c r="BO66" s="89">
        <f t="shared" ca="1" si="16"/>
        <v>0</v>
      </c>
      <c r="BP66" s="89">
        <f t="shared" ca="1" si="17"/>
        <v>0</v>
      </c>
      <c r="BQ66" s="89">
        <f t="shared" ca="1" si="18"/>
        <v>0</v>
      </c>
      <c r="BR66" s="87">
        <f t="shared" ca="1" si="19"/>
        <v>0</v>
      </c>
      <c r="BS66" s="89">
        <f t="shared" ca="1" si="20"/>
        <v>0</v>
      </c>
      <c r="BT66" s="89">
        <f t="shared" ca="1" si="21"/>
        <v>0</v>
      </c>
      <c r="BU66" s="89">
        <f t="shared" ca="1" si="22"/>
        <v>0</v>
      </c>
      <c r="BV66" s="87">
        <f t="shared" ca="1" si="23"/>
        <v>0</v>
      </c>
      <c r="BW66" s="87" t="str">
        <f t="shared" ca="1" si="24"/>
        <v>000</v>
      </c>
      <c r="BX66" s="89">
        <f t="shared" ca="1" si="25"/>
        <v>0</v>
      </c>
    </row>
    <row r="67" spans="1:76">
      <c r="A67" s="90" t="str">
        <f t="shared" si="2"/>
        <v/>
      </c>
      <c r="B67" s="98">
        <v>12</v>
      </c>
      <c r="C67" s="94">
        <v>-1</v>
      </c>
      <c r="D67" s="94">
        <v>-6</v>
      </c>
      <c r="E67" s="94">
        <v>5</v>
      </c>
      <c r="F67" s="94">
        <v>4</v>
      </c>
      <c r="G67" s="94">
        <v>-9</v>
      </c>
      <c r="H67" s="94">
        <v>10</v>
      </c>
      <c r="I67" s="94">
        <v>-8</v>
      </c>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89"/>
      <c r="AV67" s="89"/>
      <c r="AW67" s="89"/>
      <c r="AX67" s="89"/>
      <c r="AY67" s="89"/>
      <c r="AZ67" s="89"/>
      <c r="BA67" s="91">
        <f t="shared" ca="1" si="3"/>
        <v>0</v>
      </c>
      <c r="BB67" s="88" t="str">
        <f t="shared" ca="1" si="4"/>
        <v/>
      </c>
      <c r="BC67" s="89">
        <f t="shared" ca="1" si="5"/>
        <v>0</v>
      </c>
      <c r="BD67" s="89">
        <f ca="1">IF(BC67=0,0,RANK(BF67,$BF$11:$BF$70,0)+(COUNTIF($BF67:$BF$70,BF67)-1))</f>
        <v>0</v>
      </c>
      <c r="BE67" s="89">
        <f t="shared" ca="1" si="6"/>
        <v>0</v>
      </c>
      <c r="BF67" s="89">
        <f t="shared" ca="1" si="7"/>
        <v>0</v>
      </c>
      <c r="BG67" s="89">
        <f t="shared" ca="1" si="8"/>
        <v>0</v>
      </c>
      <c r="BH67" s="89">
        <f t="shared" ca="1" si="9"/>
        <v>0</v>
      </c>
      <c r="BI67" s="89">
        <f t="shared" ca="1" si="10"/>
        <v>0</v>
      </c>
      <c r="BJ67" s="89">
        <f t="shared" ca="1" si="11"/>
        <v>0</v>
      </c>
      <c r="BK67" s="89">
        <f t="shared" ca="1" si="12"/>
        <v>0</v>
      </c>
      <c r="BL67" s="89">
        <f t="shared" ca="1" si="13"/>
        <v>0</v>
      </c>
      <c r="BM67" s="89">
        <f t="shared" ca="1" si="14"/>
        <v>0</v>
      </c>
      <c r="BN67" s="89">
        <f t="shared" ca="1" si="15"/>
        <v>0</v>
      </c>
      <c r="BO67" s="89">
        <f t="shared" ca="1" si="16"/>
        <v>0</v>
      </c>
      <c r="BP67" s="89">
        <f t="shared" ca="1" si="17"/>
        <v>0</v>
      </c>
      <c r="BQ67" s="89">
        <f t="shared" ca="1" si="18"/>
        <v>0</v>
      </c>
      <c r="BR67" s="87">
        <f t="shared" ca="1" si="19"/>
        <v>0</v>
      </c>
      <c r="BS67" s="89">
        <f t="shared" ca="1" si="20"/>
        <v>0</v>
      </c>
      <c r="BT67" s="89">
        <f t="shared" ca="1" si="21"/>
        <v>0</v>
      </c>
      <c r="BU67" s="89">
        <f t="shared" ca="1" si="22"/>
        <v>0</v>
      </c>
      <c r="BV67" s="87">
        <f t="shared" ca="1" si="23"/>
        <v>0</v>
      </c>
      <c r="BW67" s="87" t="str">
        <f t="shared" ca="1" si="24"/>
        <v>000</v>
      </c>
      <c r="BX67" s="89">
        <f t="shared" ca="1" si="25"/>
        <v>0</v>
      </c>
    </row>
    <row r="68" spans="1:76">
      <c r="A68" s="90" t="str">
        <f t="shared" si="2"/>
        <v/>
      </c>
      <c r="B68" s="98">
        <v>13</v>
      </c>
      <c r="C68" s="94">
        <v>4</v>
      </c>
      <c r="D68" s="94">
        <v>3</v>
      </c>
      <c r="E68" s="94">
        <v>-1</v>
      </c>
      <c r="F68" s="94">
        <v>-6</v>
      </c>
      <c r="G68" s="94">
        <v>8</v>
      </c>
      <c r="H68" s="94">
        <v>-10</v>
      </c>
      <c r="I68" s="94">
        <v>2</v>
      </c>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89"/>
      <c r="AV68" s="89"/>
      <c r="AW68" s="89"/>
      <c r="AX68" s="89"/>
      <c r="AY68" s="89"/>
      <c r="AZ68" s="89"/>
      <c r="BA68" s="91">
        <f t="shared" ca="1" si="3"/>
        <v>0</v>
      </c>
      <c r="BB68" s="88" t="str">
        <f t="shared" ca="1" si="4"/>
        <v/>
      </c>
      <c r="BC68" s="89">
        <f t="shared" ca="1" si="5"/>
        <v>0</v>
      </c>
      <c r="BD68" s="89">
        <f ca="1">IF(BC68=0,0,RANK(BF68,$BF$11:$BF$70,0)+(COUNTIF($BF68:$BF$70,BF68)-1))</f>
        <v>0</v>
      </c>
      <c r="BE68" s="89">
        <f t="shared" ca="1" si="6"/>
        <v>0</v>
      </c>
      <c r="BF68" s="89">
        <f t="shared" ca="1" si="7"/>
        <v>0</v>
      </c>
      <c r="BG68" s="89">
        <f t="shared" ca="1" si="8"/>
        <v>0</v>
      </c>
      <c r="BH68" s="89">
        <f t="shared" ca="1" si="9"/>
        <v>0</v>
      </c>
      <c r="BI68" s="89">
        <f t="shared" ca="1" si="10"/>
        <v>0</v>
      </c>
      <c r="BJ68" s="89">
        <f t="shared" ca="1" si="11"/>
        <v>0</v>
      </c>
      <c r="BK68" s="89">
        <f t="shared" ca="1" si="12"/>
        <v>0</v>
      </c>
      <c r="BL68" s="89">
        <f t="shared" ca="1" si="13"/>
        <v>0</v>
      </c>
      <c r="BM68" s="89">
        <f t="shared" ca="1" si="14"/>
        <v>0</v>
      </c>
      <c r="BN68" s="89">
        <f t="shared" ca="1" si="15"/>
        <v>0</v>
      </c>
      <c r="BO68" s="89">
        <f t="shared" ca="1" si="16"/>
        <v>0</v>
      </c>
      <c r="BP68" s="89">
        <f t="shared" ca="1" si="17"/>
        <v>0</v>
      </c>
      <c r="BQ68" s="89">
        <f t="shared" ca="1" si="18"/>
        <v>0</v>
      </c>
      <c r="BR68" s="87">
        <f t="shared" ca="1" si="19"/>
        <v>0</v>
      </c>
      <c r="BS68" s="89">
        <f t="shared" ca="1" si="20"/>
        <v>0</v>
      </c>
      <c r="BT68" s="89">
        <f t="shared" ca="1" si="21"/>
        <v>0</v>
      </c>
      <c r="BU68" s="89">
        <f t="shared" ca="1" si="22"/>
        <v>0</v>
      </c>
      <c r="BV68" s="87">
        <f t="shared" ca="1" si="23"/>
        <v>0</v>
      </c>
      <c r="BW68" s="87" t="str">
        <f t="shared" ca="1" si="24"/>
        <v>000</v>
      </c>
      <c r="BX68" s="89">
        <f t="shared" ca="1" si="25"/>
        <v>0</v>
      </c>
    </row>
    <row r="69" spans="1:76">
      <c r="A69" s="90" t="str">
        <f t="shared" si="2"/>
        <v/>
      </c>
      <c r="B69" s="99">
        <v>14</v>
      </c>
      <c r="C69" s="92">
        <v>6</v>
      </c>
      <c r="D69" s="92">
        <v>8</v>
      </c>
      <c r="E69" s="92">
        <v>-10</v>
      </c>
      <c r="F69" s="92">
        <v>-7</v>
      </c>
      <c r="G69" s="92">
        <v>9</v>
      </c>
      <c r="H69" s="92">
        <v>1</v>
      </c>
      <c r="I69" s="92">
        <v>-2</v>
      </c>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89"/>
      <c r="AV69" s="89"/>
      <c r="AW69" s="89"/>
      <c r="AX69" s="89"/>
      <c r="AY69" s="89"/>
      <c r="AZ69" s="89"/>
      <c r="BA69" s="91">
        <f t="shared" ca="1" si="3"/>
        <v>0</v>
      </c>
      <c r="BB69" s="88" t="str">
        <f t="shared" ca="1" si="4"/>
        <v/>
      </c>
      <c r="BC69" s="89">
        <f t="shared" ca="1" si="5"/>
        <v>0</v>
      </c>
      <c r="BD69" s="89">
        <f ca="1">IF(BC69=0,0,RANK(BF69,$BF$11:$BF$70,0)+(COUNTIF($BF69:$BF$70,BF69)-1))</f>
        <v>0</v>
      </c>
      <c r="BE69" s="89">
        <f t="shared" ca="1" si="6"/>
        <v>0</v>
      </c>
      <c r="BF69" s="89">
        <f t="shared" ca="1" si="7"/>
        <v>0</v>
      </c>
      <c r="BG69" s="89">
        <f t="shared" ca="1" si="8"/>
        <v>0</v>
      </c>
      <c r="BH69" s="89">
        <f t="shared" ca="1" si="9"/>
        <v>0</v>
      </c>
      <c r="BI69" s="89">
        <f t="shared" ca="1" si="10"/>
        <v>0</v>
      </c>
      <c r="BJ69" s="89">
        <f t="shared" ca="1" si="11"/>
        <v>0</v>
      </c>
      <c r="BK69" s="89">
        <f t="shared" ca="1" si="12"/>
        <v>0</v>
      </c>
      <c r="BL69" s="89">
        <f t="shared" ca="1" si="13"/>
        <v>0</v>
      </c>
      <c r="BM69" s="89">
        <f t="shared" ca="1" si="14"/>
        <v>0</v>
      </c>
      <c r="BN69" s="89">
        <f t="shared" ca="1" si="15"/>
        <v>0</v>
      </c>
      <c r="BO69" s="89">
        <f t="shared" ca="1" si="16"/>
        <v>0</v>
      </c>
      <c r="BP69" s="89">
        <f t="shared" ca="1" si="17"/>
        <v>0</v>
      </c>
      <c r="BQ69" s="89">
        <f t="shared" ca="1" si="18"/>
        <v>0</v>
      </c>
      <c r="BR69" s="87">
        <f t="shared" ca="1" si="19"/>
        <v>0</v>
      </c>
      <c r="BS69" s="89">
        <f t="shared" ca="1" si="20"/>
        <v>0</v>
      </c>
      <c r="BT69" s="89">
        <f t="shared" ca="1" si="21"/>
        <v>0</v>
      </c>
      <c r="BU69" s="89">
        <f t="shared" ca="1" si="22"/>
        <v>0</v>
      </c>
      <c r="BV69" s="87">
        <f t="shared" ca="1" si="23"/>
        <v>0</v>
      </c>
      <c r="BW69" s="87" t="str">
        <f t="shared" ca="1" si="24"/>
        <v>000</v>
      </c>
      <c r="BX69" s="89">
        <f t="shared" ca="1" si="25"/>
        <v>0</v>
      </c>
    </row>
    <row r="70" spans="1:76">
      <c r="A70" s="90" t="str">
        <f t="shared" si="2"/>
        <v/>
      </c>
      <c r="B70" s="98">
        <v>15</v>
      </c>
      <c r="C70" s="94">
        <v>5</v>
      </c>
      <c r="D70" s="94">
        <v>4</v>
      </c>
      <c r="E70" s="94">
        <v>-7</v>
      </c>
      <c r="F70" s="94">
        <v>8</v>
      </c>
      <c r="G70" s="94">
        <v>10</v>
      </c>
      <c r="H70" s="94">
        <v>-2</v>
      </c>
      <c r="I70" s="94">
        <v>-9</v>
      </c>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89"/>
      <c r="AV70" s="89"/>
      <c r="AW70" s="89"/>
      <c r="AX70" s="89"/>
      <c r="AY70" s="89"/>
      <c r="AZ70" s="89"/>
      <c r="BA70" s="91">
        <f t="shared" ca="1" si="3"/>
        <v>0</v>
      </c>
      <c r="BB70" s="88" t="str">
        <f t="shared" ca="1" si="4"/>
        <v/>
      </c>
      <c r="BC70" s="89">
        <f t="shared" ca="1" si="5"/>
        <v>0</v>
      </c>
      <c r="BD70" s="89">
        <f ca="1">IF(BC70=0,0,RANK(BF70,$BF$11:$BF$70,0)+(COUNTIF($BF70:$BF$70,BF70)-1))</f>
        <v>0</v>
      </c>
      <c r="BE70" s="89">
        <f t="shared" ca="1" si="6"/>
        <v>0</v>
      </c>
      <c r="BF70" s="89">
        <f t="shared" ca="1" si="7"/>
        <v>0</v>
      </c>
      <c r="BG70" s="89">
        <f t="shared" ca="1" si="8"/>
        <v>0</v>
      </c>
      <c r="BH70" s="89">
        <f t="shared" ca="1" si="9"/>
        <v>0</v>
      </c>
      <c r="BI70" s="89">
        <f t="shared" ca="1" si="10"/>
        <v>0</v>
      </c>
      <c r="BJ70" s="89">
        <f t="shared" ca="1" si="11"/>
        <v>0</v>
      </c>
      <c r="BK70" s="89">
        <f t="shared" ca="1" si="12"/>
        <v>0</v>
      </c>
      <c r="BL70" s="89">
        <f t="shared" ca="1" si="13"/>
        <v>0</v>
      </c>
      <c r="BM70" s="89">
        <f t="shared" ca="1" si="14"/>
        <v>0</v>
      </c>
      <c r="BN70" s="89">
        <f t="shared" ca="1" si="15"/>
        <v>0</v>
      </c>
      <c r="BO70" s="89">
        <f t="shared" ca="1" si="16"/>
        <v>0</v>
      </c>
      <c r="BP70" s="89">
        <f t="shared" ca="1" si="17"/>
        <v>0</v>
      </c>
      <c r="BQ70" s="89">
        <f t="shared" ca="1" si="18"/>
        <v>0</v>
      </c>
      <c r="BR70" s="87">
        <f t="shared" ca="1" si="19"/>
        <v>0</v>
      </c>
      <c r="BS70" s="89">
        <f t="shared" ca="1" si="20"/>
        <v>0</v>
      </c>
      <c r="BT70" s="89">
        <f t="shared" ca="1" si="21"/>
        <v>0</v>
      </c>
      <c r="BU70" s="89">
        <f t="shared" ca="1" si="22"/>
        <v>0</v>
      </c>
      <c r="BV70" s="87">
        <f t="shared" ca="1" si="23"/>
        <v>0</v>
      </c>
      <c r="BW70" s="87" t="str">
        <f t="shared" ca="1" si="24"/>
        <v>000</v>
      </c>
      <c r="BX70" s="89">
        <f t="shared" ca="1" si="25"/>
        <v>0</v>
      </c>
    </row>
    <row r="71" spans="1:76">
      <c r="A71" s="90" t="str">
        <f t="shared" si="2"/>
        <v/>
      </c>
      <c r="B71" s="98">
        <v>16</v>
      </c>
      <c r="C71" s="94">
        <v>3</v>
      </c>
      <c r="D71" s="94">
        <v>-7</v>
      </c>
      <c r="E71" s="94">
        <v>-4</v>
      </c>
      <c r="F71" s="94">
        <v>2</v>
      </c>
      <c r="G71" s="94">
        <v>-1</v>
      </c>
      <c r="H71" s="94">
        <v>8</v>
      </c>
      <c r="I71" s="94">
        <v>9</v>
      </c>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89"/>
      <c r="AV71" s="89"/>
      <c r="AW71" s="89"/>
      <c r="AX71" s="89"/>
      <c r="AY71" s="89"/>
      <c r="AZ71" s="89"/>
      <c r="BA71" s="93"/>
      <c r="BB71" s="88"/>
    </row>
    <row r="72" spans="1:76">
      <c r="A72" s="90" t="str">
        <f t="shared" si="2"/>
        <v/>
      </c>
      <c r="B72" s="98">
        <v>17</v>
      </c>
      <c r="C72" s="94">
        <v>-7</v>
      </c>
      <c r="D72" s="94">
        <v>5</v>
      </c>
      <c r="E72" s="94">
        <v>-2</v>
      </c>
      <c r="F72" s="94">
        <v>9</v>
      </c>
      <c r="G72" s="94">
        <v>-10</v>
      </c>
      <c r="H72" s="94">
        <v>-8</v>
      </c>
      <c r="I72" s="94">
        <v>1</v>
      </c>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89"/>
      <c r="AV72" s="89"/>
      <c r="AW72" s="89"/>
      <c r="AX72" s="89"/>
      <c r="AY72" s="89"/>
      <c r="AZ72" s="89"/>
      <c r="BA72" s="93"/>
      <c r="BB72" s="88"/>
    </row>
    <row r="73" spans="1:76">
      <c r="A73" s="90" t="str">
        <f t="shared" si="2"/>
        <v/>
      </c>
      <c r="B73" s="98">
        <v>18</v>
      </c>
      <c r="C73" s="94">
        <v>-4</v>
      </c>
      <c r="D73" s="94">
        <v>6</v>
      </c>
      <c r="E73" s="94">
        <v>7</v>
      </c>
      <c r="F73" s="94">
        <v>-2</v>
      </c>
      <c r="G73" s="94">
        <v>3</v>
      </c>
      <c r="H73" s="94">
        <v>-9</v>
      </c>
      <c r="I73" s="94">
        <v>-1</v>
      </c>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89"/>
      <c r="AV73" s="89"/>
      <c r="AW73" s="89"/>
      <c r="AX73" s="89"/>
      <c r="AY73" s="89"/>
      <c r="AZ73" s="89"/>
      <c r="BA73" s="95"/>
    </row>
    <row r="74" spans="1:76">
      <c r="A74" s="90" t="str">
        <f t="shared" si="2"/>
        <v/>
      </c>
      <c r="B74" s="98">
        <v>19</v>
      </c>
      <c r="C74" s="94">
        <v>1</v>
      </c>
      <c r="D74" s="94">
        <v>-8</v>
      </c>
      <c r="E74" s="94">
        <v>4</v>
      </c>
      <c r="F74" s="94">
        <v>-9</v>
      </c>
      <c r="G74" s="94">
        <v>-3</v>
      </c>
      <c r="H74" s="94">
        <v>2</v>
      </c>
      <c r="I74" s="94">
        <v>10</v>
      </c>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89"/>
      <c r="AV74" s="89"/>
      <c r="AW74" s="89"/>
      <c r="AX74" s="89"/>
      <c r="AY74" s="89"/>
      <c r="AZ74" s="89"/>
      <c r="BA74" s="95"/>
    </row>
    <row r="75" spans="1:76">
      <c r="A75" s="90" t="str">
        <f t="shared" si="2"/>
        <v/>
      </c>
      <c r="B75" s="98">
        <v>20</v>
      </c>
      <c r="C75" s="94">
        <v>-6</v>
      </c>
      <c r="D75" s="94">
        <v>-3</v>
      </c>
      <c r="E75" s="94">
        <v>2</v>
      </c>
      <c r="F75" s="94">
        <v>-8</v>
      </c>
      <c r="G75" s="94">
        <v>1</v>
      </c>
      <c r="H75" s="94">
        <v>9</v>
      </c>
      <c r="I75" s="94">
        <v>-10</v>
      </c>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89"/>
      <c r="AV75" s="89"/>
      <c r="AW75" s="89"/>
      <c r="AX75" s="89"/>
      <c r="AY75" s="89"/>
      <c r="AZ75" s="89"/>
      <c r="BA75" s="95"/>
    </row>
    <row r="76" spans="1:76">
      <c r="A76" s="90" t="str">
        <f t="shared" ref="A76:A139" si="26">IF(MID(B76,3,2)="10",ROW(),"")</f>
        <v/>
      </c>
      <c r="B76" s="98" t="s">
        <v>536</v>
      </c>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89"/>
      <c r="AV76" s="89"/>
      <c r="AW76" s="89"/>
      <c r="AX76" s="89"/>
      <c r="AY76" s="89"/>
      <c r="AZ76" s="89"/>
      <c r="BA76" s="95"/>
    </row>
    <row r="77" spans="1:76">
      <c r="A77" s="90">
        <f t="shared" si="26"/>
        <v>77</v>
      </c>
      <c r="B77" s="98" t="s">
        <v>537</v>
      </c>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89"/>
      <c r="AV77" s="89"/>
      <c r="AW77" s="89"/>
      <c r="AX77" s="89"/>
      <c r="AY77" s="89"/>
      <c r="AZ77" s="89"/>
      <c r="BA77" s="95"/>
    </row>
    <row r="78" spans="1:76">
      <c r="A78" s="90" t="str">
        <f t="shared" si="26"/>
        <v/>
      </c>
      <c r="B78" s="98">
        <v>1</v>
      </c>
      <c r="C78" s="94">
        <v>10</v>
      </c>
      <c r="D78" s="94">
        <v>-9</v>
      </c>
      <c r="E78" s="94">
        <v>-6</v>
      </c>
      <c r="F78" s="94">
        <v>4</v>
      </c>
      <c r="G78" s="94">
        <v>5</v>
      </c>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89"/>
      <c r="AV78" s="89"/>
      <c r="AW78" s="89"/>
      <c r="AX78" s="89"/>
      <c r="AY78" s="89"/>
      <c r="AZ78" s="89"/>
      <c r="BA78" s="95"/>
    </row>
    <row r="79" spans="1:76">
      <c r="A79" s="90" t="str">
        <f t="shared" si="26"/>
        <v/>
      </c>
      <c r="B79" s="98">
        <v>2</v>
      </c>
      <c r="C79" s="94">
        <v>-9</v>
      </c>
      <c r="D79" s="94">
        <v>10</v>
      </c>
      <c r="E79" s="94">
        <v>-4</v>
      </c>
      <c r="F79" s="94">
        <v>7</v>
      </c>
      <c r="G79" s="94">
        <v>-5</v>
      </c>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89"/>
      <c r="AV79" s="89"/>
      <c r="AW79" s="89"/>
      <c r="AX79" s="89"/>
      <c r="AY79" s="89"/>
      <c r="AZ79" s="89"/>
      <c r="BA79" s="95"/>
    </row>
    <row r="80" spans="1:76">
      <c r="A80" s="90" t="str">
        <f t="shared" si="26"/>
        <v/>
      </c>
      <c r="B80" s="98">
        <v>3</v>
      </c>
      <c r="C80" s="94">
        <v>9</v>
      </c>
      <c r="D80" s="94">
        <v>3</v>
      </c>
      <c r="E80" s="94">
        <v>-1</v>
      </c>
      <c r="F80" s="94">
        <v>-4</v>
      </c>
      <c r="G80" s="94">
        <v>6</v>
      </c>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89"/>
      <c r="AV80" s="89"/>
      <c r="AW80" s="89"/>
      <c r="AX80" s="89"/>
      <c r="AY80" s="89"/>
      <c r="AZ80" s="89"/>
      <c r="BA80" s="95"/>
    </row>
    <row r="81" spans="1:53" s="87" customFormat="1">
      <c r="A81" s="90" t="str">
        <f t="shared" si="26"/>
        <v/>
      </c>
      <c r="B81" s="98">
        <v>4</v>
      </c>
      <c r="C81" s="94">
        <v>-2</v>
      </c>
      <c r="D81" s="94">
        <v>9</v>
      </c>
      <c r="E81" s="94">
        <v>4</v>
      </c>
      <c r="F81" s="94">
        <v>-1</v>
      </c>
      <c r="G81" s="94">
        <v>-6</v>
      </c>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89"/>
      <c r="AV81" s="89"/>
      <c r="AW81" s="89"/>
      <c r="AX81" s="89"/>
      <c r="AY81" s="89"/>
      <c r="AZ81" s="89"/>
      <c r="BA81" s="95"/>
    </row>
    <row r="82" spans="1:53" s="87" customFormat="1">
      <c r="A82" s="90" t="str">
        <f t="shared" si="26"/>
        <v/>
      </c>
      <c r="B82" s="99">
        <v>5</v>
      </c>
      <c r="C82" s="92">
        <v>2</v>
      </c>
      <c r="D82" s="92">
        <v>-3</v>
      </c>
      <c r="E82" s="92">
        <v>6</v>
      </c>
      <c r="F82" s="92">
        <v>-7</v>
      </c>
      <c r="G82" s="92">
        <v>-1</v>
      </c>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89"/>
      <c r="AV82" s="89"/>
      <c r="AW82" s="89"/>
      <c r="AX82" s="89"/>
      <c r="AY82" s="89"/>
      <c r="AZ82" s="89"/>
      <c r="BA82" s="95"/>
    </row>
    <row r="83" spans="1:53" s="87" customFormat="1">
      <c r="A83" s="90" t="str">
        <f t="shared" si="26"/>
        <v/>
      </c>
      <c r="B83" s="98">
        <v>6</v>
      </c>
      <c r="C83" s="94">
        <v>-10</v>
      </c>
      <c r="D83" s="94">
        <v>8</v>
      </c>
      <c r="E83" s="94">
        <v>7</v>
      </c>
      <c r="F83" s="94">
        <v>-5</v>
      </c>
      <c r="G83" s="94">
        <v>-4</v>
      </c>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89"/>
      <c r="AV83" s="89"/>
      <c r="AW83" s="89"/>
      <c r="AX83" s="89"/>
      <c r="AY83" s="89"/>
      <c r="AZ83" s="89"/>
      <c r="BA83" s="95"/>
    </row>
    <row r="84" spans="1:53" s="87" customFormat="1">
      <c r="A84" s="90" t="str">
        <f t="shared" si="26"/>
        <v/>
      </c>
      <c r="B84" s="98">
        <v>7</v>
      </c>
      <c r="C84" s="94">
        <v>8</v>
      </c>
      <c r="D84" s="94">
        <v>-10</v>
      </c>
      <c r="E84" s="94">
        <v>5</v>
      </c>
      <c r="F84" s="94">
        <v>-6</v>
      </c>
      <c r="G84" s="94">
        <v>4</v>
      </c>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89"/>
      <c r="AV84" s="89"/>
      <c r="AW84" s="89"/>
      <c r="AX84" s="89"/>
      <c r="AY84" s="89"/>
      <c r="AZ84" s="89"/>
      <c r="BA84" s="95"/>
    </row>
    <row r="85" spans="1:53" s="87" customFormat="1">
      <c r="A85" s="90" t="str">
        <f t="shared" si="26"/>
        <v/>
      </c>
      <c r="B85" s="98">
        <v>8</v>
      </c>
      <c r="C85" s="94">
        <v>-8</v>
      </c>
      <c r="D85" s="94">
        <v>-2</v>
      </c>
      <c r="E85" s="94">
        <v>1</v>
      </c>
      <c r="F85" s="94">
        <v>5</v>
      </c>
      <c r="G85" s="94">
        <v>-7</v>
      </c>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89"/>
      <c r="AV85" s="89"/>
      <c r="AW85" s="89"/>
      <c r="AX85" s="89"/>
      <c r="AY85" s="89"/>
      <c r="AZ85" s="89"/>
      <c r="BA85" s="95"/>
    </row>
    <row r="86" spans="1:53" s="87" customFormat="1">
      <c r="A86" s="90" t="str">
        <f t="shared" si="26"/>
        <v/>
      </c>
      <c r="B86" s="98">
        <v>9</v>
      </c>
      <c r="C86" s="94">
        <v>3</v>
      </c>
      <c r="D86" s="94">
        <v>-8</v>
      </c>
      <c r="E86" s="94">
        <v>-5</v>
      </c>
      <c r="F86" s="94">
        <v>1</v>
      </c>
      <c r="G86" s="94">
        <v>7</v>
      </c>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89"/>
      <c r="AV86" s="89"/>
      <c r="AW86" s="89"/>
      <c r="AX86" s="89"/>
      <c r="AY86" s="89"/>
      <c r="AZ86" s="89"/>
      <c r="BA86" s="95"/>
    </row>
    <row r="87" spans="1:53" s="87" customFormat="1">
      <c r="A87" s="90" t="str">
        <f t="shared" si="26"/>
        <v/>
      </c>
      <c r="B87" s="99">
        <v>10</v>
      </c>
      <c r="C87" s="92">
        <v>-3</v>
      </c>
      <c r="D87" s="92">
        <v>2</v>
      </c>
      <c r="E87" s="92">
        <v>-7</v>
      </c>
      <c r="F87" s="92">
        <v>6</v>
      </c>
      <c r="G87" s="92">
        <v>1</v>
      </c>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89"/>
      <c r="AV87" s="89"/>
      <c r="AW87" s="89"/>
      <c r="AX87" s="89"/>
      <c r="AY87" s="89"/>
      <c r="AZ87" s="89"/>
      <c r="BA87" s="95"/>
    </row>
    <row r="88" spans="1:53" s="87" customFormat="1">
      <c r="A88" s="90" t="str">
        <f t="shared" si="26"/>
        <v/>
      </c>
      <c r="B88" s="98">
        <v>11</v>
      </c>
      <c r="C88" s="94">
        <v>1</v>
      </c>
      <c r="D88" s="94">
        <v>-7</v>
      </c>
      <c r="E88" s="94">
        <v>-8</v>
      </c>
      <c r="F88" s="94">
        <v>2</v>
      </c>
      <c r="G88" s="94">
        <v>3</v>
      </c>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89"/>
      <c r="AV88" s="89"/>
      <c r="AW88" s="89"/>
      <c r="AX88" s="89"/>
      <c r="AY88" s="89"/>
      <c r="AZ88" s="89"/>
      <c r="BA88" s="95"/>
    </row>
    <row r="89" spans="1:53" s="87" customFormat="1">
      <c r="A89" s="90" t="str">
        <f t="shared" si="26"/>
        <v/>
      </c>
      <c r="B89" s="98">
        <v>12</v>
      </c>
      <c r="C89" s="94">
        <v>-7</v>
      </c>
      <c r="D89" s="94">
        <v>1</v>
      </c>
      <c r="E89" s="94">
        <v>-2</v>
      </c>
      <c r="F89" s="94">
        <v>9</v>
      </c>
      <c r="G89" s="94">
        <v>-3</v>
      </c>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89"/>
      <c r="AV89" s="89"/>
      <c r="AW89" s="89"/>
      <c r="AX89" s="89"/>
      <c r="AY89" s="89"/>
      <c r="AZ89" s="89"/>
      <c r="BA89" s="95"/>
    </row>
    <row r="90" spans="1:53" s="87" customFormat="1">
      <c r="A90" s="90" t="str">
        <f t="shared" si="26"/>
        <v/>
      </c>
      <c r="B90" s="98">
        <v>13</v>
      </c>
      <c r="C90" s="94">
        <v>7</v>
      </c>
      <c r="D90" s="94">
        <v>5</v>
      </c>
      <c r="E90" s="94">
        <v>-10</v>
      </c>
      <c r="F90" s="94">
        <v>-2</v>
      </c>
      <c r="G90" s="94">
        <v>8</v>
      </c>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89"/>
      <c r="AV90" s="89"/>
      <c r="AW90" s="89"/>
      <c r="AX90" s="89"/>
      <c r="AY90" s="89"/>
      <c r="AZ90" s="89"/>
      <c r="BA90" s="95"/>
    </row>
    <row r="91" spans="1:53" s="87" customFormat="1">
      <c r="A91" s="90" t="str">
        <f t="shared" si="26"/>
        <v/>
      </c>
      <c r="B91" s="98">
        <v>14</v>
      </c>
      <c r="C91" s="94">
        <v>-4</v>
      </c>
      <c r="D91" s="94">
        <v>7</v>
      </c>
      <c r="E91" s="94">
        <v>2</v>
      </c>
      <c r="F91" s="94">
        <v>-10</v>
      </c>
      <c r="G91" s="94">
        <v>-8</v>
      </c>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89"/>
      <c r="AV91" s="89"/>
      <c r="AW91" s="89"/>
      <c r="AX91" s="89"/>
      <c r="AY91" s="89"/>
      <c r="AZ91" s="89"/>
      <c r="BA91" s="95"/>
    </row>
    <row r="92" spans="1:53" s="87" customFormat="1">
      <c r="A92" s="90" t="str">
        <f t="shared" si="26"/>
        <v/>
      </c>
      <c r="B92" s="99">
        <v>15</v>
      </c>
      <c r="C92" s="92">
        <v>4</v>
      </c>
      <c r="D92" s="92">
        <v>-5</v>
      </c>
      <c r="E92" s="92">
        <v>8</v>
      </c>
      <c r="F92" s="92">
        <v>-9</v>
      </c>
      <c r="G92" s="92">
        <v>-10</v>
      </c>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89"/>
      <c r="AV92" s="89"/>
      <c r="AW92" s="89"/>
      <c r="AX92" s="89"/>
      <c r="AY92" s="89"/>
      <c r="AZ92" s="89"/>
      <c r="BA92" s="95"/>
    </row>
    <row r="93" spans="1:53" s="87" customFormat="1">
      <c r="A93" s="90" t="str">
        <f t="shared" si="26"/>
        <v/>
      </c>
      <c r="B93" s="98">
        <v>16</v>
      </c>
      <c r="C93" s="94">
        <v>-1</v>
      </c>
      <c r="D93" s="94">
        <v>6</v>
      </c>
      <c r="E93" s="94">
        <v>9</v>
      </c>
      <c r="F93" s="94">
        <v>-3</v>
      </c>
      <c r="G93" s="94">
        <v>-2</v>
      </c>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89"/>
      <c r="AV93" s="89"/>
      <c r="AW93" s="89"/>
      <c r="AX93" s="89"/>
      <c r="AY93" s="89"/>
      <c r="AZ93" s="89"/>
      <c r="BA93" s="95"/>
    </row>
    <row r="94" spans="1:53" s="87" customFormat="1">
      <c r="A94" s="90" t="str">
        <f t="shared" si="26"/>
        <v/>
      </c>
      <c r="B94" s="98">
        <v>17</v>
      </c>
      <c r="C94" s="94">
        <v>6</v>
      </c>
      <c r="D94" s="94">
        <v>-1</v>
      </c>
      <c r="E94" s="94">
        <v>3</v>
      </c>
      <c r="F94" s="94">
        <v>-8</v>
      </c>
      <c r="G94" s="94">
        <v>2</v>
      </c>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89"/>
      <c r="AV94" s="89"/>
      <c r="AW94" s="89"/>
      <c r="AX94" s="89"/>
      <c r="AY94" s="89"/>
      <c r="AZ94" s="89"/>
      <c r="BA94" s="95"/>
    </row>
    <row r="95" spans="1:53" s="87" customFormat="1">
      <c r="A95" s="90" t="str">
        <f t="shared" si="26"/>
        <v/>
      </c>
      <c r="B95" s="98">
        <v>18</v>
      </c>
      <c r="C95" s="94">
        <v>-6</v>
      </c>
      <c r="D95" s="94">
        <v>-4</v>
      </c>
      <c r="E95" s="94">
        <v>10</v>
      </c>
      <c r="F95" s="94">
        <v>3</v>
      </c>
      <c r="G95" s="94">
        <v>-9</v>
      </c>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89"/>
      <c r="AV95" s="89"/>
      <c r="AW95" s="89"/>
      <c r="AX95" s="89"/>
      <c r="AY95" s="89"/>
      <c r="AZ95" s="89"/>
      <c r="BA95" s="95"/>
    </row>
    <row r="96" spans="1:53" s="87" customFormat="1">
      <c r="A96" s="90" t="str">
        <f t="shared" si="26"/>
        <v/>
      </c>
      <c r="B96" s="98">
        <v>19</v>
      </c>
      <c r="C96" s="94">
        <v>5</v>
      </c>
      <c r="D96" s="94">
        <v>-6</v>
      </c>
      <c r="E96" s="94">
        <v>-3</v>
      </c>
      <c r="F96" s="94">
        <v>10</v>
      </c>
      <c r="G96" s="94">
        <v>9</v>
      </c>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89"/>
      <c r="AV96" s="89"/>
      <c r="AW96" s="89"/>
      <c r="AX96" s="89"/>
      <c r="AY96" s="89"/>
      <c r="AZ96" s="89"/>
      <c r="BA96" s="95"/>
    </row>
    <row r="97" spans="1:53" s="87" customFormat="1">
      <c r="A97" s="90" t="str">
        <f t="shared" si="26"/>
        <v/>
      </c>
      <c r="B97" s="98">
        <v>20</v>
      </c>
      <c r="C97" s="94">
        <v>-5</v>
      </c>
      <c r="D97" s="94">
        <v>4</v>
      </c>
      <c r="E97" s="94">
        <v>-9</v>
      </c>
      <c r="F97" s="94">
        <v>8</v>
      </c>
      <c r="G97" s="94">
        <v>10</v>
      </c>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89"/>
      <c r="AV97" s="89"/>
      <c r="AW97" s="89"/>
      <c r="AX97" s="89"/>
      <c r="AY97" s="89"/>
      <c r="AZ97" s="89"/>
      <c r="BA97" s="95"/>
    </row>
    <row r="98" spans="1:53" s="87" customFormat="1">
      <c r="A98" s="90" t="str">
        <f t="shared" si="26"/>
        <v/>
      </c>
      <c r="B98" s="98" t="s">
        <v>538</v>
      </c>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89"/>
      <c r="AV98" s="89"/>
      <c r="AW98" s="89"/>
      <c r="AX98" s="89"/>
      <c r="AY98" s="89"/>
      <c r="AZ98" s="89"/>
      <c r="BA98" s="95"/>
    </row>
    <row r="99" spans="1:53" s="87" customFormat="1">
      <c r="A99" s="90">
        <f t="shared" si="26"/>
        <v>99</v>
      </c>
      <c r="B99" s="98" t="s">
        <v>539</v>
      </c>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89"/>
      <c r="AV99" s="89"/>
      <c r="AW99" s="89"/>
      <c r="AX99" s="89"/>
      <c r="AY99" s="89"/>
      <c r="AZ99" s="89"/>
      <c r="BA99" s="95"/>
    </row>
    <row r="100" spans="1:53" s="87" customFormat="1">
      <c r="A100" s="90" t="str">
        <f t="shared" si="26"/>
        <v/>
      </c>
      <c r="B100" s="98">
        <v>1</v>
      </c>
      <c r="C100" s="94">
        <v>-3</v>
      </c>
      <c r="D100" s="94">
        <v>4</v>
      </c>
      <c r="E100" s="94">
        <v>5</v>
      </c>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89"/>
      <c r="AV100" s="89"/>
      <c r="AW100" s="89"/>
      <c r="AX100" s="89"/>
      <c r="AY100" s="89"/>
      <c r="AZ100" s="89"/>
      <c r="BA100" s="95"/>
    </row>
    <row r="101" spans="1:53" s="87" customFormat="1">
      <c r="A101" s="90" t="str">
        <f t="shared" si="26"/>
        <v/>
      </c>
      <c r="B101" s="98">
        <v>2</v>
      </c>
      <c r="C101" s="94">
        <v>8</v>
      </c>
      <c r="D101" s="94">
        <v>-7</v>
      </c>
      <c r="E101" s="94">
        <v>-5</v>
      </c>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89"/>
      <c r="AV101" s="89"/>
      <c r="AW101" s="89"/>
      <c r="AX101" s="89"/>
      <c r="AY101" s="89"/>
      <c r="AZ101" s="89"/>
      <c r="BA101" s="95"/>
    </row>
    <row r="102" spans="1:53" s="87" customFormat="1">
      <c r="A102" s="90" t="str">
        <f t="shared" si="26"/>
        <v/>
      </c>
      <c r="B102" s="98">
        <v>3</v>
      </c>
      <c r="C102" s="94">
        <v>-8</v>
      </c>
      <c r="D102" s="94">
        <v>-4</v>
      </c>
      <c r="E102" s="94">
        <v>6</v>
      </c>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89"/>
      <c r="AV102" s="89"/>
      <c r="AW102" s="89"/>
      <c r="AX102" s="89"/>
      <c r="AY102" s="89"/>
      <c r="AZ102" s="89"/>
      <c r="BA102" s="95"/>
    </row>
    <row r="103" spans="1:53" s="87" customFormat="1">
      <c r="A103" s="90" t="str">
        <f t="shared" si="26"/>
        <v/>
      </c>
      <c r="B103" s="99">
        <v>4</v>
      </c>
      <c r="C103" s="92">
        <v>3</v>
      </c>
      <c r="D103" s="92">
        <v>7</v>
      </c>
      <c r="E103" s="92">
        <v>-6</v>
      </c>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89"/>
      <c r="AV103" s="89"/>
      <c r="AW103" s="89"/>
      <c r="AX103" s="89"/>
      <c r="AY103" s="89"/>
      <c r="AZ103" s="89"/>
      <c r="BA103" s="95"/>
    </row>
    <row r="104" spans="1:53" s="87" customFormat="1">
      <c r="A104" s="90" t="str">
        <f t="shared" si="26"/>
        <v/>
      </c>
      <c r="B104" s="98">
        <v>5</v>
      </c>
      <c r="C104" s="94">
        <v>-2</v>
      </c>
      <c r="D104" s="94">
        <v>5</v>
      </c>
      <c r="E104" s="94">
        <v>4</v>
      </c>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89"/>
      <c r="AV104" s="89"/>
      <c r="AW104" s="89"/>
      <c r="AX104" s="89"/>
      <c r="AY104" s="89"/>
      <c r="AZ104" s="89"/>
      <c r="BA104" s="95"/>
    </row>
    <row r="105" spans="1:53" s="87" customFormat="1">
      <c r="A105" s="90" t="str">
        <f t="shared" si="26"/>
        <v/>
      </c>
      <c r="B105" s="98">
        <v>6</v>
      </c>
      <c r="C105" s="94">
        <v>9</v>
      </c>
      <c r="D105" s="94">
        <v>-6</v>
      </c>
      <c r="E105" s="94">
        <v>-4</v>
      </c>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89"/>
      <c r="AV105" s="89"/>
      <c r="AW105" s="89"/>
      <c r="AX105" s="89"/>
      <c r="AY105" s="89"/>
      <c r="AZ105" s="89"/>
      <c r="BA105" s="95"/>
    </row>
    <row r="106" spans="1:53" s="87" customFormat="1">
      <c r="A106" s="90" t="str">
        <f t="shared" si="26"/>
        <v/>
      </c>
      <c r="B106" s="98">
        <v>7</v>
      </c>
      <c r="C106" s="94">
        <v>-9</v>
      </c>
      <c r="D106" s="94">
        <v>-5</v>
      </c>
      <c r="E106" s="94">
        <v>7</v>
      </c>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89"/>
      <c r="AV106" s="89"/>
      <c r="AW106" s="89"/>
      <c r="AX106" s="89"/>
      <c r="AY106" s="89"/>
      <c r="AZ106" s="89"/>
      <c r="BA106" s="95"/>
    </row>
    <row r="107" spans="1:53" s="87" customFormat="1">
      <c r="A107" s="90" t="str">
        <f t="shared" si="26"/>
        <v/>
      </c>
      <c r="B107" s="99">
        <v>8</v>
      </c>
      <c r="C107" s="92">
        <v>2</v>
      </c>
      <c r="D107" s="92">
        <v>6</v>
      </c>
      <c r="E107" s="92">
        <v>-7</v>
      </c>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89"/>
      <c r="AV107" s="89"/>
      <c r="AW107" s="89"/>
      <c r="AX107" s="89"/>
      <c r="AY107" s="89"/>
      <c r="AZ107" s="89"/>
      <c r="BA107" s="95"/>
    </row>
    <row r="108" spans="1:53" s="87" customFormat="1">
      <c r="A108" s="90" t="str">
        <f t="shared" si="26"/>
        <v/>
      </c>
      <c r="B108" s="98">
        <v>9</v>
      </c>
      <c r="C108" s="94">
        <v>-1</v>
      </c>
      <c r="D108" s="94">
        <v>2</v>
      </c>
      <c r="E108" s="94">
        <v>3</v>
      </c>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89"/>
      <c r="AV108" s="89"/>
      <c r="AW108" s="89"/>
      <c r="AX108" s="89"/>
      <c r="AY108" s="89"/>
      <c r="AZ108" s="89"/>
      <c r="BA108" s="95"/>
    </row>
    <row r="109" spans="1:53" s="87" customFormat="1">
      <c r="A109" s="90" t="str">
        <f t="shared" si="26"/>
        <v/>
      </c>
      <c r="B109" s="98">
        <v>10</v>
      </c>
      <c r="C109" s="94">
        <v>10</v>
      </c>
      <c r="D109" s="94">
        <v>-9</v>
      </c>
      <c r="E109" s="94">
        <v>-3</v>
      </c>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89"/>
      <c r="AV109" s="89"/>
      <c r="AW109" s="89"/>
      <c r="AX109" s="89"/>
      <c r="AY109" s="89"/>
      <c r="AZ109" s="89"/>
      <c r="BA109" s="95"/>
    </row>
    <row r="110" spans="1:53" s="87" customFormat="1">
      <c r="A110" s="90" t="str">
        <f t="shared" si="26"/>
        <v/>
      </c>
      <c r="B110" s="98">
        <v>11</v>
      </c>
      <c r="C110" s="94">
        <v>-10</v>
      </c>
      <c r="D110" s="94">
        <v>-2</v>
      </c>
      <c r="E110" s="94">
        <v>8</v>
      </c>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89"/>
      <c r="AV110" s="89"/>
      <c r="AW110" s="89"/>
      <c r="AX110" s="89"/>
      <c r="AY110" s="89"/>
      <c r="AZ110" s="89"/>
      <c r="BA110" s="95"/>
    </row>
    <row r="111" spans="1:53" s="87" customFormat="1">
      <c r="A111" s="90" t="str">
        <f t="shared" si="26"/>
        <v/>
      </c>
      <c r="B111" s="99">
        <v>12</v>
      </c>
      <c r="C111" s="92">
        <v>1</v>
      </c>
      <c r="D111" s="92">
        <v>9</v>
      </c>
      <c r="E111" s="92">
        <v>-8</v>
      </c>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89"/>
      <c r="AV111" s="89"/>
      <c r="AW111" s="89"/>
      <c r="AX111" s="89"/>
      <c r="AY111" s="89"/>
      <c r="AZ111" s="89"/>
      <c r="BA111" s="95"/>
    </row>
    <row r="112" spans="1:53" s="87" customFormat="1">
      <c r="A112" s="90" t="str">
        <f t="shared" si="26"/>
        <v/>
      </c>
      <c r="B112" s="98">
        <v>13</v>
      </c>
      <c r="C112" s="94">
        <v>-5</v>
      </c>
      <c r="D112" s="94">
        <v>1</v>
      </c>
      <c r="E112" s="94">
        <v>2</v>
      </c>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89"/>
      <c r="AV112" s="89"/>
      <c r="AW112" s="89"/>
      <c r="AX112" s="89"/>
      <c r="AY112" s="89"/>
      <c r="AZ112" s="89"/>
      <c r="BA112" s="95"/>
    </row>
    <row r="113" spans="1:53" s="87" customFormat="1">
      <c r="A113" s="90" t="str">
        <f t="shared" si="26"/>
        <v/>
      </c>
      <c r="B113" s="98">
        <v>14</v>
      </c>
      <c r="C113" s="94">
        <v>6</v>
      </c>
      <c r="D113" s="94">
        <v>-10</v>
      </c>
      <c r="E113" s="94">
        <v>-2</v>
      </c>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89"/>
      <c r="AV113" s="89"/>
      <c r="AW113" s="89"/>
      <c r="AX113" s="89"/>
      <c r="AY113" s="89"/>
      <c r="AZ113" s="89"/>
      <c r="BA113" s="95"/>
    </row>
    <row r="114" spans="1:53" s="87" customFormat="1">
      <c r="A114" s="90" t="str">
        <f t="shared" si="26"/>
        <v/>
      </c>
      <c r="B114" s="98">
        <v>15</v>
      </c>
      <c r="C114" s="94">
        <v>-6</v>
      </c>
      <c r="D114" s="94">
        <v>-1</v>
      </c>
      <c r="E114" s="94">
        <v>9</v>
      </c>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89"/>
      <c r="AV114" s="89"/>
      <c r="AW114" s="89"/>
      <c r="AX114" s="89"/>
      <c r="AY114" s="89"/>
      <c r="AZ114" s="89"/>
      <c r="BA114" s="95"/>
    </row>
    <row r="115" spans="1:53" s="87" customFormat="1">
      <c r="A115" s="90" t="str">
        <f t="shared" si="26"/>
        <v/>
      </c>
      <c r="B115" s="99">
        <v>16</v>
      </c>
      <c r="C115" s="92">
        <v>5</v>
      </c>
      <c r="D115" s="92">
        <v>10</v>
      </c>
      <c r="E115" s="92">
        <v>-9</v>
      </c>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89"/>
      <c r="AV115" s="89"/>
      <c r="AW115" s="89"/>
      <c r="AX115" s="89"/>
      <c r="AY115" s="89"/>
      <c r="AZ115" s="89"/>
      <c r="BA115" s="95"/>
    </row>
    <row r="116" spans="1:53" s="87" customFormat="1">
      <c r="A116" s="90" t="str">
        <f t="shared" si="26"/>
        <v/>
      </c>
      <c r="B116" s="98">
        <v>17</v>
      </c>
      <c r="C116" s="94">
        <v>-4</v>
      </c>
      <c r="D116" s="94">
        <v>3</v>
      </c>
      <c r="E116" s="94">
        <v>1</v>
      </c>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89"/>
      <c r="AV116" s="89"/>
      <c r="AW116" s="89"/>
      <c r="AX116" s="89"/>
      <c r="AY116" s="89"/>
      <c r="AZ116" s="89"/>
      <c r="BA116" s="95"/>
    </row>
    <row r="117" spans="1:53" s="87" customFormat="1">
      <c r="A117" s="90" t="str">
        <f t="shared" si="26"/>
        <v/>
      </c>
      <c r="B117" s="98">
        <v>18</v>
      </c>
      <c r="C117" s="94">
        <v>7</v>
      </c>
      <c r="D117" s="94">
        <v>-8</v>
      </c>
      <c r="E117" s="94">
        <v>-1</v>
      </c>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89"/>
      <c r="AV117" s="89"/>
      <c r="AW117" s="89"/>
      <c r="AX117" s="89"/>
      <c r="AY117" s="89"/>
      <c r="AZ117" s="89"/>
      <c r="BA117" s="95"/>
    </row>
    <row r="118" spans="1:53" s="87" customFormat="1">
      <c r="A118" s="90" t="str">
        <f t="shared" si="26"/>
        <v/>
      </c>
      <c r="B118" s="98">
        <v>19</v>
      </c>
      <c r="C118" s="94">
        <v>-7</v>
      </c>
      <c r="D118" s="94">
        <v>-3</v>
      </c>
      <c r="E118" s="94">
        <v>10</v>
      </c>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89"/>
      <c r="AV118" s="89"/>
      <c r="AW118" s="89"/>
      <c r="AX118" s="89"/>
      <c r="AY118" s="89"/>
      <c r="AZ118" s="89"/>
      <c r="BA118" s="95"/>
    </row>
    <row r="119" spans="1:53" s="87" customFormat="1">
      <c r="A119" s="90" t="str">
        <f t="shared" si="26"/>
        <v/>
      </c>
      <c r="B119" s="98">
        <v>20</v>
      </c>
      <c r="C119" s="94">
        <v>4</v>
      </c>
      <c r="D119" s="94">
        <v>8</v>
      </c>
      <c r="E119" s="94">
        <v>-10</v>
      </c>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89"/>
      <c r="AV119" s="89"/>
      <c r="AW119" s="89"/>
      <c r="AX119" s="89"/>
      <c r="AY119" s="89"/>
      <c r="AZ119" s="89"/>
      <c r="BA119" s="95"/>
    </row>
    <row r="120" spans="1:53" s="87" customFormat="1">
      <c r="A120" s="90" t="str">
        <f t="shared" si="26"/>
        <v/>
      </c>
      <c r="B120" s="98" t="s">
        <v>540</v>
      </c>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4"/>
      <c r="AN120" s="94"/>
      <c r="AO120" s="94"/>
      <c r="AP120" s="94"/>
      <c r="AQ120" s="94"/>
      <c r="AR120" s="94"/>
      <c r="AS120" s="94"/>
      <c r="AT120" s="94"/>
      <c r="AU120" s="89"/>
      <c r="AV120" s="89"/>
      <c r="AW120" s="89"/>
      <c r="AX120" s="89"/>
      <c r="AY120" s="89"/>
      <c r="AZ120" s="89"/>
      <c r="BA120" s="95"/>
    </row>
    <row r="121" spans="1:53" s="87" customFormat="1">
      <c r="A121" s="90">
        <f t="shared" si="26"/>
        <v>121</v>
      </c>
      <c r="B121" s="98" t="s">
        <v>541</v>
      </c>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89"/>
      <c r="AV121" s="89"/>
      <c r="AW121" s="89"/>
      <c r="AX121" s="89"/>
      <c r="AY121" s="89"/>
      <c r="AZ121" s="89"/>
      <c r="BA121" s="95"/>
    </row>
    <row r="122" spans="1:53" s="87" customFormat="1">
      <c r="A122" s="90" t="str">
        <f t="shared" si="26"/>
        <v/>
      </c>
      <c r="B122" s="98">
        <v>1</v>
      </c>
      <c r="C122" s="94">
        <v>-7</v>
      </c>
      <c r="D122" s="94">
        <v>2</v>
      </c>
      <c r="E122" s="94">
        <v>1</v>
      </c>
      <c r="F122" s="94">
        <v>-9</v>
      </c>
      <c r="G122" s="94">
        <v>-8</v>
      </c>
      <c r="H122" s="94" t="s">
        <v>202</v>
      </c>
      <c r="I122" s="94">
        <v>-3</v>
      </c>
      <c r="J122" s="94">
        <v>-6</v>
      </c>
      <c r="K122" s="94">
        <v>7</v>
      </c>
      <c r="L122" s="94">
        <v>4</v>
      </c>
      <c r="M122" s="94">
        <v>5</v>
      </c>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89"/>
      <c r="AV122" s="89"/>
      <c r="AW122" s="89"/>
      <c r="AX122" s="89"/>
      <c r="AY122" s="89"/>
      <c r="AZ122" s="89"/>
      <c r="BA122" s="95"/>
    </row>
    <row r="123" spans="1:53" s="87" customFormat="1">
      <c r="A123" s="90" t="str">
        <f t="shared" si="26"/>
        <v/>
      </c>
      <c r="B123" s="98">
        <v>2</v>
      </c>
      <c r="C123" s="94">
        <v>-3</v>
      </c>
      <c r="D123" s="94">
        <v>8</v>
      </c>
      <c r="E123" s="94">
        <v>-9</v>
      </c>
      <c r="F123" s="94">
        <v>10</v>
      </c>
      <c r="G123" s="94">
        <v>-2</v>
      </c>
      <c r="H123" s="94">
        <v>1</v>
      </c>
      <c r="I123" s="94" t="s">
        <v>202</v>
      </c>
      <c r="J123" s="94">
        <v>-7</v>
      </c>
      <c r="K123" s="94">
        <v>4</v>
      </c>
      <c r="L123" s="94">
        <v>6</v>
      </c>
      <c r="M123" s="94">
        <v>-5</v>
      </c>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89"/>
      <c r="AV123" s="89"/>
      <c r="AW123" s="89"/>
      <c r="AX123" s="89"/>
      <c r="AY123" s="89"/>
      <c r="AZ123" s="89"/>
      <c r="BA123" s="95"/>
    </row>
    <row r="124" spans="1:53" s="87" customFormat="1">
      <c r="A124" s="90" t="str">
        <f t="shared" si="26"/>
        <v/>
      </c>
      <c r="B124" s="98">
        <v>3</v>
      </c>
      <c r="C124" s="94">
        <v>7</v>
      </c>
      <c r="D124" s="94">
        <v>9</v>
      </c>
      <c r="E124" s="94">
        <v>-8</v>
      </c>
      <c r="F124" s="94" t="s">
        <v>202</v>
      </c>
      <c r="G124" s="94">
        <v>-1</v>
      </c>
      <c r="H124" s="94">
        <v>2</v>
      </c>
      <c r="I124" s="94">
        <v>5</v>
      </c>
      <c r="J124" s="94">
        <v>3</v>
      </c>
      <c r="K124" s="94">
        <v>-4</v>
      </c>
      <c r="L124" s="94">
        <v>-7</v>
      </c>
      <c r="M124" s="94">
        <v>-6</v>
      </c>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94"/>
      <c r="AM124" s="94"/>
      <c r="AN124" s="94"/>
      <c r="AO124" s="94"/>
      <c r="AP124" s="94"/>
      <c r="AQ124" s="94"/>
      <c r="AR124" s="94"/>
      <c r="AS124" s="94"/>
      <c r="AT124" s="94"/>
      <c r="AU124" s="89"/>
      <c r="AV124" s="89"/>
      <c r="AW124" s="89"/>
      <c r="AX124" s="89"/>
      <c r="AY124" s="89"/>
      <c r="AZ124" s="89"/>
      <c r="BA124" s="95"/>
    </row>
    <row r="125" spans="1:53" s="87" customFormat="1">
      <c r="A125" s="90" t="str">
        <f t="shared" si="26"/>
        <v/>
      </c>
      <c r="B125" s="98">
        <v>4</v>
      </c>
      <c r="C125" s="94">
        <v>-5</v>
      </c>
      <c r="D125" s="94">
        <v>1</v>
      </c>
      <c r="E125" s="94">
        <v>-2</v>
      </c>
      <c r="F125" s="94">
        <v>-10</v>
      </c>
      <c r="G125" s="94">
        <v>9</v>
      </c>
      <c r="H125" s="94">
        <v>8</v>
      </c>
      <c r="I125" s="94">
        <v>7</v>
      </c>
      <c r="J125" s="94" t="s">
        <v>202</v>
      </c>
      <c r="K125" s="94">
        <v>-3</v>
      </c>
      <c r="L125" s="94">
        <v>-4</v>
      </c>
      <c r="M125" s="94">
        <v>6</v>
      </c>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89"/>
      <c r="AV125" s="89"/>
      <c r="AW125" s="89"/>
      <c r="AX125" s="89"/>
      <c r="AY125" s="89"/>
      <c r="AZ125" s="89"/>
      <c r="BA125" s="95"/>
    </row>
    <row r="126" spans="1:53" s="87" customFormat="1">
      <c r="A126" s="90" t="str">
        <f t="shared" si="26"/>
        <v/>
      </c>
      <c r="B126" s="98">
        <v>5</v>
      </c>
      <c r="C126" s="94">
        <v>5</v>
      </c>
      <c r="D126" s="94">
        <v>-10</v>
      </c>
      <c r="E126" s="94" t="s">
        <v>202</v>
      </c>
      <c r="F126" s="94">
        <v>-1</v>
      </c>
      <c r="G126" s="94">
        <v>2</v>
      </c>
      <c r="H126" s="94">
        <v>9</v>
      </c>
      <c r="I126" s="94">
        <v>3</v>
      </c>
      <c r="J126" s="94">
        <v>-5</v>
      </c>
      <c r="K126" s="94">
        <v>-6</v>
      </c>
      <c r="L126" s="94">
        <v>7</v>
      </c>
      <c r="M126" s="94">
        <v>-4</v>
      </c>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4"/>
      <c r="AN126" s="94"/>
      <c r="AO126" s="94"/>
      <c r="AP126" s="94"/>
      <c r="AQ126" s="94"/>
      <c r="AR126" s="94"/>
      <c r="AS126" s="94"/>
      <c r="AT126" s="94"/>
      <c r="AU126" s="89"/>
      <c r="AV126" s="89"/>
      <c r="AW126" s="89"/>
      <c r="AX126" s="89"/>
      <c r="AY126" s="89"/>
      <c r="AZ126" s="89"/>
      <c r="BA126" s="95"/>
    </row>
    <row r="127" spans="1:53" s="87" customFormat="1">
      <c r="A127" s="90" t="str">
        <f t="shared" si="26"/>
        <v/>
      </c>
      <c r="B127" s="98">
        <v>6</v>
      </c>
      <c r="C127" s="94" t="s">
        <v>202</v>
      </c>
      <c r="D127" s="94">
        <v>-9</v>
      </c>
      <c r="E127" s="94">
        <v>-1</v>
      </c>
      <c r="F127" s="94">
        <v>2</v>
      </c>
      <c r="G127" s="94">
        <v>-10</v>
      </c>
      <c r="H127" s="94">
        <v>-8</v>
      </c>
      <c r="I127" s="94">
        <v>-6</v>
      </c>
      <c r="J127" s="94">
        <v>7</v>
      </c>
      <c r="K127" s="94">
        <v>5</v>
      </c>
      <c r="L127" s="94">
        <v>3</v>
      </c>
      <c r="M127" s="94">
        <v>4</v>
      </c>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94"/>
      <c r="AM127" s="94"/>
      <c r="AN127" s="94"/>
      <c r="AO127" s="94"/>
      <c r="AP127" s="94"/>
      <c r="AQ127" s="94"/>
      <c r="AR127" s="94"/>
      <c r="AS127" s="94"/>
      <c r="AT127" s="94"/>
      <c r="AU127" s="89"/>
      <c r="AV127" s="89"/>
      <c r="AW127" s="89"/>
      <c r="AX127" s="89"/>
      <c r="AY127" s="89"/>
      <c r="AZ127" s="89"/>
      <c r="BA127" s="95"/>
    </row>
    <row r="128" spans="1:53" s="87" customFormat="1">
      <c r="A128" s="90" t="str">
        <f t="shared" si="26"/>
        <v/>
      </c>
      <c r="B128" s="98">
        <v>7</v>
      </c>
      <c r="C128" s="94">
        <v>-4</v>
      </c>
      <c r="D128" s="94" t="s">
        <v>202</v>
      </c>
      <c r="E128" s="94">
        <v>2</v>
      </c>
      <c r="F128" s="94">
        <v>1</v>
      </c>
      <c r="G128" s="94">
        <v>8</v>
      </c>
      <c r="H128" s="94">
        <v>-10</v>
      </c>
      <c r="I128" s="94">
        <v>4</v>
      </c>
      <c r="J128" s="94">
        <v>-3</v>
      </c>
      <c r="K128" s="94">
        <v>-5</v>
      </c>
      <c r="L128" s="94">
        <v>-6</v>
      </c>
      <c r="M128" s="94">
        <v>7</v>
      </c>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89"/>
      <c r="AV128" s="89"/>
      <c r="AW128" s="89"/>
      <c r="AX128" s="89"/>
      <c r="AY128" s="89"/>
      <c r="AZ128" s="89"/>
      <c r="BA128" s="95"/>
    </row>
    <row r="129" spans="1:53" s="87" customFormat="1">
      <c r="A129" s="90" t="str">
        <f t="shared" si="26"/>
        <v/>
      </c>
      <c r="B129" s="98">
        <v>8</v>
      </c>
      <c r="C129" s="94">
        <v>-6</v>
      </c>
      <c r="D129" s="94">
        <v>10</v>
      </c>
      <c r="E129" s="94">
        <v>8</v>
      </c>
      <c r="F129" s="94">
        <v>9</v>
      </c>
      <c r="G129" s="94" t="s">
        <v>202</v>
      </c>
      <c r="H129" s="94">
        <v>-1</v>
      </c>
      <c r="I129" s="94">
        <v>6</v>
      </c>
      <c r="J129" s="94">
        <v>-4</v>
      </c>
      <c r="K129" s="94">
        <v>3</v>
      </c>
      <c r="L129" s="94">
        <v>-5</v>
      </c>
      <c r="M129" s="94">
        <v>-7</v>
      </c>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89"/>
      <c r="AV129" s="89"/>
      <c r="AW129" s="89"/>
      <c r="AX129" s="89"/>
      <c r="AY129" s="89"/>
      <c r="AZ129" s="89"/>
      <c r="BA129" s="95"/>
    </row>
    <row r="130" spans="1:53" s="87" customFormat="1">
      <c r="A130" s="90" t="str">
        <f t="shared" si="26"/>
        <v/>
      </c>
      <c r="B130" s="98">
        <v>9</v>
      </c>
      <c r="C130" s="94">
        <v>4</v>
      </c>
      <c r="D130" s="94">
        <v>-8</v>
      </c>
      <c r="E130" s="94">
        <v>10</v>
      </c>
      <c r="F130" s="94">
        <v>-2</v>
      </c>
      <c r="G130" s="94">
        <v>1</v>
      </c>
      <c r="H130" s="94">
        <v>-9</v>
      </c>
      <c r="I130" s="94">
        <v>-7</v>
      </c>
      <c r="J130" s="94">
        <v>6</v>
      </c>
      <c r="K130" s="94" t="s">
        <v>202</v>
      </c>
      <c r="L130" s="94">
        <v>5</v>
      </c>
      <c r="M130" s="94">
        <v>-3</v>
      </c>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89"/>
      <c r="AV130" s="89"/>
      <c r="AW130" s="89"/>
      <c r="AX130" s="89"/>
      <c r="AY130" s="89"/>
      <c r="AZ130" s="89"/>
      <c r="BA130" s="95"/>
    </row>
    <row r="131" spans="1:53" s="87" customFormat="1">
      <c r="A131" s="90" t="str">
        <f t="shared" si="26"/>
        <v/>
      </c>
      <c r="B131" s="98">
        <v>10</v>
      </c>
      <c r="C131" s="94">
        <v>6</v>
      </c>
      <c r="D131" s="94">
        <v>-1</v>
      </c>
      <c r="E131" s="94">
        <v>9</v>
      </c>
      <c r="F131" s="94">
        <v>-8</v>
      </c>
      <c r="G131" s="94">
        <v>10</v>
      </c>
      <c r="H131" s="94">
        <v>-2</v>
      </c>
      <c r="I131" s="94">
        <v>-4</v>
      </c>
      <c r="J131" s="94">
        <v>5</v>
      </c>
      <c r="K131" s="94">
        <v>-7</v>
      </c>
      <c r="L131" s="94" t="s">
        <v>202</v>
      </c>
      <c r="M131" s="94">
        <v>3</v>
      </c>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89"/>
      <c r="AV131" s="89"/>
      <c r="AW131" s="89"/>
      <c r="AX131" s="89"/>
      <c r="AY131" s="89"/>
      <c r="AZ131" s="89"/>
      <c r="BA131" s="95"/>
    </row>
    <row r="132" spans="1:53" s="87" customFormat="1">
      <c r="A132" s="90" t="str">
        <f t="shared" si="26"/>
        <v/>
      </c>
      <c r="B132" s="99">
        <v>11</v>
      </c>
      <c r="C132" s="92">
        <v>3</v>
      </c>
      <c r="D132" s="92">
        <v>-2</v>
      </c>
      <c r="E132" s="92">
        <v>-10</v>
      </c>
      <c r="F132" s="92">
        <v>8</v>
      </c>
      <c r="G132" s="92">
        <v>-9</v>
      </c>
      <c r="H132" s="92">
        <v>10</v>
      </c>
      <c r="I132" s="92">
        <v>-5</v>
      </c>
      <c r="J132" s="92">
        <v>4</v>
      </c>
      <c r="K132" s="92">
        <v>6</v>
      </c>
      <c r="L132" s="92">
        <v>-3</v>
      </c>
      <c r="M132" s="92" t="s">
        <v>202</v>
      </c>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89"/>
      <c r="AV132" s="89"/>
      <c r="AW132" s="89"/>
      <c r="AX132" s="89"/>
      <c r="AY132" s="89"/>
      <c r="AZ132" s="89"/>
      <c r="BA132" s="95"/>
    </row>
    <row r="133" spans="1:53" s="87" customFormat="1">
      <c r="A133" s="90" t="str">
        <f t="shared" si="26"/>
        <v/>
      </c>
      <c r="B133" s="98">
        <v>12</v>
      </c>
      <c r="C133" s="94" t="s">
        <v>210</v>
      </c>
      <c r="D133" s="94">
        <v>7</v>
      </c>
      <c r="E133" s="94">
        <v>5</v>
      </c>
      <c r="F133" s="94">
        <v>3</v>
      </c>
      <c r="G133" s="94">
        <v>-6</v>
      </c>
      <c r="H133" s="94">
        <v>4</v>
      </c>
      <c r="I133" s="94">
        <v>-10</v>
      </c>
      <c r="J133" s="94">
        <v>2</v>
      </c>
      <c r="K133" s="94">
        <v>-1</v>
      </c>
      <c r="L133" s="94">
        <v>-9</v>
      </c>
      <c r="M133" s="94">
        <v>-8</v>
      </c>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89"/>
      <c r="AV133" s="89"/>
      <c r="AW133" s="89"/>
      <c r="AX133" s="89"/>
      <c r="AY133" s="89"/>
      <c r="AZ133" s="89"/>
      <c r="BA133" s="95"/>
    </row>
    <row r="134" spans="1:53" s="87" customFormat="1">
      <c r="A134" s="90" t="str">
        <f t="shared" si="26"/>
        <v/>
      </c>
      <c r="B134" s="98">
        <v>13</v>
      </c>
      <c r="C134" s="94" t="s">
        <v>210</v>
      </c>
      <c r="D134" s="94">
        <v>-7</v>
      </c>
      <c r="E134" s="94">
        <v>-4</v>
      </c>
      <c r="F134" s="94">
        <v>-6</v>
      </c>
      <c r="G134" s="94">
        <v>3</v>
      </c>
      <c r="H134" s="94">
        <v>-5</v>
      </c>
      <c r="I134" s="94">
        <v>1</v>
      </c>
      <c r="J134" s="94">
        <v>9</v>
      </c>
      <c r="K134" s="94">
        <v>-10</v>
      </c>
      <c r="L134" s="94">
        <v>2</v>
      </c>
      <c r="M134" s="94">
        <v>8</v>
      </c>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89"/>
      <c r="AV134" s="89"/>
      <c r="AW134" s="89"/>
      <c r="AX134" s="89"/>
      <c r="AY134" s="89"/>
      <c r="AZ134" s="89"/>
      <c r="BA134" s="95"/>
    </row>
    <row r="135" spans="1:53" s="87" customFormat="1">
      <c r="A135" s="90" t="str">
        <f t="shared" si="26"/>
        <v/>
      </c>
      <c r="B135" s="98">
        <v>14</v>
      </c>
      <c r="C135" s="94" t="s">
        <v>210</v>
      </c>
      <c r="D135" s="94">
        <v>6</v>
      </c>
      <c r="E135" s="94">
        <v>4</v>
      </c>
      <c r="F135" s="94">
        <v>-3</v>
      </c>
      <c r="G135" s="94">
        <v>-5</v>
      </c>
      <c r="H135" s="94">
        <v>7</v>
      </c>
      <c r="I135" s="94">
        <v>-9</v>
      </c>
      <c r="J135" s="94">
        <v>10</v>
      </c>
      <c r="K135" s="94">
        <v>8</v>
      </c>
      <c r="L135" s="94">
        <v>-1</v>
      </c>
      <c r="M135" s="94">
        <v>-2</v>
      </c>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4"/>
      <c r="AL135" s="94"/>
      <c r="AM135" s="94"/>
      <c r="AN135" s="94"/>
      <c r="AO135" s="94"/>
      <c r="AP135" s="94"/>
      <c r="AQ135" s="94"/>
      <c r="AR135" s="94"/>
      <c r="AS135" s="94"/>
      <c r="AT135" s="94"/>
      <c r="AU135" s="89"/>
      <c r="AV135" s="89"/>
      <c r="AW135" s="89"/>
      <c r="AX135" s="89"/>
      <c r="AY135" s="89"/>
      <c r="AZ135" s="89"/>
      <c r="BA135" s="95"/>
    </row>
    <row r="136" spans="1:53" s="87" customFormat="1">
      <c r="A136" s="90" t="str">
        <f t="shared" si="26"/>
        <v/>
      </c>
      <c r="B136" s="98">
        <v>15</v>
      </c>
      <c r="C136" s="94" t="s">
        <v>210</v>
      </c>
      <c r="D136" s="94">
        <v>3</v>
      </c>
      <c r="E136" s="94">
        <v>-5</v>
      </c>
      <c r="F136" s="94">
        <v>7</v>
      </c>
      <c r="G136" s="94">
        <v>4</v>
      </c>
      <c r="H136" s="94">
        <v>-6</v>
      </c>
      <c r="I136" s="94">
        <v>-1</v>
      </c>
      <c r="J136" s="94">
        <v>8</v>
      </c>
      <c r="K136" s="94">
        <v>-9</v>
      </c>
      <c r="L136" s="94">
        <v>-10</v>
      </c>
      <c r="M136" s="94">
        <v>2</v>
      </c>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89"/>
      <c r="AV136" s="89"/>
      <c r="AW136" s="89"/>
      <c r="AX136" s="89"/>
      <c r="AY136" s="89"/>
      <c r="AZ136" s="89"/>
      <c r="BA136" s="95"/>
    </row>
    <row r="137" spans="1:53" s="87" customFormat="1">
      <c r="A137" s="90" t="str">
        <f t="shared" si="26"/>
        <v/>
      </c>
      <c r="B137" s="98">
        <v>16</v>
      </c>
      <c r="C137" s="94" t="s">
        <v>210</v>
      </c>
      <c r="D137" s="94">
        <v>-6</v>
      </c>
      <c r="E137" s="94">
        <v>7</v>
      </c>
      <c r="F137" s="94">
        <v>5</v>
      </c>
      <c r="G137" s="94">
        <v>-3</v>
      </c>
      <c r="H137" s="94">
        <v>-4</v>
      </c>
      <c r="I137" s="94">
        <v>2</v>
      </c>
      <c r="J137" s="94">
        <v>-1</v>
      </c>
      <c r="K137" s="94">
        <v>-8</v>
      </c>
      <c r="L137" s="94">
        <v>10</v>
      </c>
      <c r="M137" s="94">
        <v>9</v>
      </c>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89"/>
      <c r="AV137" s="89"/>
      <c r="AW137" s="89"/>
      <c r="AX137" s="89"/>
      <c r="AY137" s="89"/>
      <c r="AZ137" s="89"/>
      <c r="BA137" s="95"/>
    </row>
    <row r="138" spans="1:53" s="87" customFormat="1">
      <c r="A138" s="90" t="str">
        <f t="shared" si="26"/>
        <v/>
      </c>
      <c r="B138" s="98">
        <v>17</v>
      </c>
      <c r="C138" s="94" t="s">
        <v>210</v>
      </c>
      <c r="D138" s="94">
        <v>-3</v>
      </c>
      <c r="E138" s="94">
        <v>-6</v>
      </c>
      <c r="F138" s="94">
        <v>4</v>
      </c>
      <c r="G138" s="94">
        <v>-7</v>
      </c>
      <c r="H138" s="94">
        <v>5</v>
      </c>
      <c r="I138" s="94">
        <v>10</v>
      </c>
      <c r="J138" s="94">
        <v>-8</v>
      </c>
      <c r="K138" s="94">
        <v>2</v>
      </c>
      <c r="L138" s="94">
        <v>1</v>
      </c>
      <c r="M138" s="94">
        <v>-9</v>
      </c>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89"/>
      <c r="AV138" s="89"/>
      <c r="AW138" s="89"/>
      <c r="AX138" s="89"/>
      <c r="AY138" s="89"/>
      <c r="AZ138" s="89"/>
      <c r="BA138" s="95"/>
    </row>
    <row r="139" spans="1:53" s="87" customFormat="1">
      <c r="A139" s="90" t="str">
        <f t="shared" si="26"/>
        <v/>
      </c>
      <c r="B139" s="98">
        <v>18</v>
      </c>
      <c r="C139" s="94" t="s">
        <v>210</v>
      </c>
      <c r="D139" s="94">
        <v>-4</v>
      </c>
      <c r="E139" s="94">
        <v>-3</v>
      </c>
      <c r="F139" s="94">
        <v>-5</v>
      </c>
      <c r="G139" s="94">
        <v>7</v>
      </c>
      <c r="H139" s="94">
        <v>6</v>
      </c>
      <c r="I139" s="94">
        <v>9</v>
      </c>
      <c r="J139" s="94">
        <v>-2</v>
      </c>
      <c r="K139" s="94">
        <v>10</v>
      </c>
      <c r="L139" s="94">
        <v>8</v>
      </c>
      <c r="M139" s="94">
        <v>-1</v>
      </c>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89"/>
      <c r="AV139" s="89"/>
      <c r="AW139" s="89"/>
      <c r="AX139" s="89"/>
      <c r="AY139" s="89"/>
      <c r="AZ139" s="89"/>
      <c r="BA139" s="95"/>
    </row>
    <row r="140" spans="1:53" s="87" customFormat="1">
      <c r="A140" s="90" t="str">
        <f t="shared" ref="A140:A203" si="27">IF(MID(B140,3,2)="10",ROW(),"")</f>
        <v/>
      </c>
      <c r="B140" s="98">
        <v>19</v>
      </c>
      <c r="C140" s="94" t="s">
        <v>210</v>
      </c>
      <c r="D140" s="94">
        <v>5</v>
      </c>
      <c r="E140" s="94">
        <v>-7</v>
      </c>
      <c r="F140" s="94">
        <v>6</v>
      </c>
      <c r="G140" s="94">
        <v>-4</v>
      </c>
      <c r="H140" s="94">
        <v>3</v>
      </c>
      <c r="I140" s="94">
        <v>-8</v>
      </c>
      <c r="J140" s="94">
        <v>-10</v>
      </c>
      <c r="K140" s="94">
        <v>-2</v>
      </c>
      <c r="L140" s="94">
        <v>9</v>
      </c>
      <c r="M140" s="94">
        <v>1</v>
      </c>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89"/>
      <c r="AV140" s="89"/>
      <c r="AW140" s="89"/>
      <c r="AX140" s="89"/>
      <c r="AY140" s="89"/>
      <c r="AZ140" s="89"/>
      <c r="BA140" s="95"/>
    </row>
    <row r="141" spans="1:53" s="87" customFormat="1">
      <c r="A141" s="90" t="str">
        <f t="shared" si="27"/>
        <v/>
      </c>
      <c r="B141" s="98">
        <v>20</v>
      </c>
      <c r="C141" s="94" t="s">
        <v>210</v>
      </c>
      <c r="D141" s="94">
        <v>4</v>
      </c>
      <c r="E141" s="94">
        <v>6</v>
      </c>
      <c r="F141" s="94">
        <v>-7</v>
      </c>
      <c r="G141" s="94">
        <v>5</v>
      </c>
      <c r="H141" s="94">
        <v>-3</v>
      </c>
      <c r="I141" s="94">
        <v>-2</v>
      </c>
      <c r="J141" s="94">
        <v>-9</v>
      </c>
      <c r="K141" s="94">
        <v>1</v>
      </c>
      <c r="L141" s="94">
        <v>-8</v>
      </c>
      <c r="M141" s="94">
        <v>10</v>
      </c>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89"/>
      <c r="AV141" s="89"/>
      <c r="AW141" s="89"/>
      <c r="AX141" s="89"/>
      <c r="AY141" s="89"/>
      <c r="AZ141" s="89"/>
      <c r="BA141" s="95"/>
    </row>
    <row r="142" spans="1:53" s="87" customFormat="1">
      <c r="A142" s="90" t="str">
        <f t="shared" si="27"/>
        <v/>
      </c>
      <c r="B142" s="98">
        <v>21</v>
      </c>
      <c r="C142" s="94" t="s">
        <v>210</v>
      </c>
      <c r="D142" s="94">
        <v>-5</v>
      </c>
      <c r="E142" s="94">
        <v>3</v>
      </c>
      <c r="F142" s="94">
        <v>-4</v>
      </c>
      <c r="G142" s="94">
        <v>6</v>
      </c>
      <c r="H142" s="94">
        <v>-7</v>
      </c>
      <c r="I142" s="94">
        <v>8</v>
      </c>
      <c r="J142" s="94">
        <v>1</v>
      </c>
      <c r="K142" s="94">
        <v>9</v>
      </c>
      <c r="L142" s="94">
        <v>-2</v>
      </c>
      <c r="M142" s="94">
        <v>-10</v>
      </c>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89"/>
      <c r="AV142" s="89"/>
      <c r="AW142" s="89"/>
      <c r="AX142" s="89"/>
      <c r="AY142" s="89"/>
      <c r="AZ142" s="89"/>
      <c r="BA142" s="95"/>
    </row>
    <row r="143" spans="1:53" s="87" customFormat="1">
      <c r="A143" s="90" t="str">
        <f t="shared" si="27"/>
        <v/>
      </c>
      <c r="B143" s="98" t="s">
        <v>542</v>
      </c>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89"/>
      <c r="AV143" s="89"/>
      <c r="AW143" s="89"/>
      <c r="AX143" s="89"/>
      <c r="AY143" s="89"/>
      <c r="AZ143" s="89"/>
      <c r="BA143" s="95"/>
    </row>
    <row r="144" spans="1:53" s="87" customFormat="1">
      <c r="A144" s="90">
        <f t="shared" si="27"/>
        <v>144</v>
      </c>
      <c r="B144" s="98" t="s">
        <v>543</v>
      </c>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89"/>
      <c r="AV144" s="89"/>
      <c r="AW144" s="89"/>
      <c r="AX144" s="89"/>
      <c r="AY144" s="89"/>
      <c r="AZ144" s="89"/>
      <c r="BA144" s="95"/>
    </row>
    <row r="145" spans="1:53" s="87" customFormat="1">
      <c r="A145" s="90" t="str">
        <f t="shared" si="27"/>
        <v/>
      </c>
      <c r="B145" s="98">
        <v>1</v>
      </c>
      <c r="C145" s="94">
        <v>-7</v>
      </c>
      <c r="D145" s="94" t="s">
        <v>202</v>
      </c>
      <c r="E145" s="94">
        <v>-4</v>
      </c>
      <c r="F145" s="94">
        <v>3</v>
      </c>
      <c r="G145" s="94">
        <v>5</v>
      </c>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89"/>
      <c r="AV145" s="89"/>
      <c r="AW145" s="89"/>
      <c r="AX145" s="89"/>
      <c r="AY145" s="89"/>
      <c r="AZ145" s="89"/>
      <c r="BA145" s="95"/>
    </row>
    <row r="146" spans="1:53" s="87" customFormat="1">
      <c r="A146" s="90" t="str">
        <f t="shared" si="27"/>
        <v/>
      </c>
      <c r="B146" s="98">
        <v>2</v>
      </c>
      <c r="C146" s="94">
        <v>8</v>
      </c>
      <c r="D146" s="94">
        <v>-10</v>
      </c>
      <c r="E146" s="94" t="s">
        <v>202</v>
      </c>
      <c r="F146" s="94">
        <v>6</v>
      </c>
      <c r="G146" s="94">
        <v>-5</v>
      </c>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89"/>
      <c r="AV146" s="89"/>
      <c r="AW146" s="89"/>
      <c r="AX146" s="89"/>
      <c r="AY146" s="89"/>
      <c r="AZ146" s="89"/>
      <c r="BA146" s="95"/>
    </row>
    <row r="147" spans="1:53" s="87" customFormat="1">
      <c r="A147" s="90" t="str">
        <f t="shared" si="27"/>
        <v/>
      </c>
      <c r="B147" s="98">
        <v>3</v>
      </c>
      <c r="C147" s="94">
        <v>-8</v>
      </c>
      <c r="D147" s="94">
        <v>-1</v>
      </c>
      <c r="E147" s="94">
        <v>4</v>
      </c>
      <c r="F147" s="94" t="s">
        <v>202</v>
      </c>
      <c r="G147" s="94">
        <v>6</v>
      </c>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89"/>
      <c r="AV147" s="89"/>
      <c r="AW147" s="89"/>
      <c r="AX147" s="89"/>
      <c r="AY147" s="89"/>
      <c r="AZ147" s="89"/>
      <c r="BA147" s="95"/>
    </row>
    <row r="148" spans="1:53" s="87" customFormat="1">
      <c r="A148" s="90" t="str">
        <f t="shared" si="27"/>
        <v/>
      </c>
      <c r="B148" s="98">
        <v>4</v>
      </c>
      <c r="C148" s="94" t="s">
        <v>202</v>
      </c>
      <c r="D148" s="94">
        <v>10</v>
      </c>
      <c r="E148" s="94">
        <v>5</v>
      </c>
      <c r="F148" s="94">
        <v>-3</v>
      </c>
      <c r="G148" s="94">
        <v>-6</v>
      </c>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89"/>
      <c r="AV148" s="89"/>
      <c r="AW148" s="89"/>
      <c r="AX148" s="89"/>
      <c r="AY148" s="89"/>
      <c r="AZ148" s="89"/>
      <c r="BA148" s="95"/>
    </row>
    <row r="149" spans="1:53" s="87" customFormat="1">
      <c r="A149" s="90" t="str">
        <f t="shared" si="27"/>
        <v/>
      </c>
      <c r="B149" s="99">
        <v>5</v>
      </c>
      <c r="C149" s="92">
        <v>7</v>
      </c>
      <c r="D149" s="92">
        <v>1</v>
      </c>
      <c r="E149" s="92">
        <v>-5</v>
      </c>
      <c r="F149" s="92">
        <v>-6</v>
      </c>
      <c r="G149" s="92" t="s">
        <v>202</v>
      </c>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89"/>
      <c r="AV149" s="89"/>
      <c r="AW149" s="89"/>
      <c r="AX149" s="89"/>
      <c r="AY149" s="89"/>
      <c r="AZ149" s="89"/>
      <c r="BA149" s="95"/>
    </row>
    <row r="150" spans="1:53" s="87" customFormat="1">
      <c r="A150" s="90" t="str">
        <f t="shared" si="27"/>
        <v/>
      </c>
      <c r="B150" s="98">
        <v>6</v>
      </c>
      <c r="C150" s="94" t="s">
        <v>210</v>
      </c>
      <c r="D150" s="94">
        <v>-6</v>
      </c>
      <c r="E150" s="94">
        <v>-2</v>
      </c>
      <c r="F150" s="94">
        <v>5</v>
      </c>
      <c r="G150" s="94">
        <v>4</v>
      </c>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89"/>
      <c r="AV150" s="89"/>
      <c r="AW150" s="89"/>
      <c r="AX150" s="89"/>
      <c r="AY150" s="89"/>
      <c r="AZ150" s="89"/>
      <c r="BA150" s="95"/>
    </row>
    <row r="151" spans="1:53" s="87" customFormat="1">
      <c r="A151" s="90" t="str">
        <f t="shared" si="27"/>
        <v/>
      </c>
      <c r="B151" s="98">
        <v>7</v>
      </c>
      <c r="C151" s="94" t="s">
        <v>210</v>
      </c>
      <c r="D151" s="94">
        <v>5</v>
      </c>
      <c r="E151" s="94">
        <v>9</v>
      </c>
      <c r="F151" s="94">
        <v>-8</v>
      </c>
      <c r="G151" s="94">
        <v>-4</v>
      </c>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89"/>
      <c r="AV151" s="89"/>
      <c r="AW151" s="89"/>
      <c r="AX151" s="89"/>
      <c r="AY151" s="89"/>
      <c r="AZ151" s="89"/>
      <c r="BA151" s="95"/>
    </row>
    <row r="152" spans="1:53" s="87" customFormat="1">
      <c r="A152" s="90" t="str">
        <f t="shared" si="27"/>
        <v/>
      </c>
      <c r="B152" s="98">
        <v>8</v>
      </c>
      <c r="C152" s="94" t="s">
        <v>210</v>
      </c>
      <c r="D152" s="94">
        <v>2</v>
      </c>
      <c r="E152" s="94">
        <v>-9</v>
      </c>
      <c r="F152" s="94">
        <v>-5</v>
      </c>
      <c r="G152" s="94">
        <v>7</v>
      </c>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89"/>
      <c r="AV152" s="89"/>
      <c r="AW152" s="89"/>
      <c r="AX152" s="89"/>
      <c r="AY152" s="89"/>
      <c r="AZ152" s="89"/>
      <c r="BA152" s="95"/>
    </row>
    <row r="153" spans="1:53" s="87" customFormat="1">
      <c r="A153" s="90" t="str">
        <f t="shared" si="27"/>
        <v/>
      </c>
      <c r="B153" s="99">
        <v>9</v>
      </c>
      <c r="C153" s="92" t="s">
        <v>210</v>
      </c>
      <c r="D153" s="92">
        <v>-9</v>
      </c>
      <c r="E153" s="92">
        <v>2</v>
      </c>
      <c r="F153" s="92">
        <v>8</v>
      </c>
      <c r="G153" s="92">
        <v>-7</v>
      </c>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89"/>
      <c r="AV153" s="89"/>
      <c r="AW153" s="89"/>
      <c r="AX153" s="89"/>
      <c r="AY153" s="89"/>
      <c r="AZ153" s="89"/>
      <c r="BA153" s="95"/>
    </row>
    <row r="154" spans="1:53" s="87" customFormat="1">
      <c r="A154" s="90" t="str">
        <f t="shared" si="27"/>
        <v/>
      </c>
      <c r="B154" s="98">
        <v>10</v>
      </c>
      <c r="C154" s="94" t="s">
        <v>210</v>
      </c>
      <c r="D154" s="94">
        <v>6</v>
      </c>
      <c r="E154" s="94">
        <v>1</v>
      </c>
      <c r="F154" s="94">
        <v>-4</v>
      </c>
      <c r="G154" s="94">
        <v>-3</v>
      </c>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89"/>
      <c r="AV154" s="89"/>
      <c r="AW154" s="89"/>
      <c r="AX154" s="89"/>
      <c r="AY154" s="89"/>
      <c r="AZ154" s="89"/>
      <c r="BA154" s="95"/>
    </row>
    <row r="155" spans="1:53" s="87" customFormat="1">
      <c r="A155" s="90" t="str">
        <f t="shared" si="27"/>
        <v/>
      </c>
      <c r="B155" s="98">
        <v>11</v>
      </c>
      <c r="C155" s="94" t="s">
        <v>210</v>
      </c>
      <c r="D155" s="94">
        <v>-5</v>
      </c>
      <c r="E155" s="94">
        <v>-10</v>
      </c>
      <c r="F155" s="94">
        <v>7</v>
      </c>
      <c r="G155" s="94">
        <v>3</v>
      </c>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89"/>
      <c r="AV155" s="89"/>
      <c r="AW155" s="89"/>
      <c r="AX155" s="89"/>
      <c r="AY155" s="89"/>
      <c r="AZ155" s="89"/>
      <c r="BA155" s="95"/>
    </row>
    <row r="156" spans="1:53" s="87" customFormat="1">
      <c r="A156" s="90" t="str">
        <f t="shared" si="27"/>
        <v/>
      </c>
      <c r="B156" s="98">
        <v>12</v>
      </c>
      <c r="C156" s="94" t="s">
        <v>210</v>
      </c>
      <c r="D156" s="94">
        <v>-2</v>
      </c>
      <c r="E156" s="94">
        <v>10</v>
      </c>
      <c r="F156" s="94">
        <v>4</v>
      </c>
      <c r="G156" s="94">
        <v>-8</v>
      </c>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89"/>
      <c r="AV156" s="89"/>
      <c r="AW156" s="89"/>
      <c r="AX156" s="89"/>
      <c r="AY156" s="89"/>
      <c r="AZ156" s="89"/>
      <c r="BA156" s="95"/>
    </row>
    <row r="157" spans="1:53" s="87" customFormat="1">
      <c r="A157" s="90" t="str">
        <f t="shared" si="27"/>
        <v/>
      </c>
      <c r="B157" s="99">
        <v>13</v>
      </c>
      <c r="C157" s="92" t="s">
        <v>210</v>
      </c>
      <c r="D157" s="92">
        <v>9</v>
      </c>
      <c r="E157" s="92">
        <v>-1</v>
      </c>
      <c r="F157" s="92">
        <v>-7</v>
      </c>
      <c r="G157" s="92">
        <v>8</v>
      </c>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89"/>
      <c r="AV157" s="89"/>
      <c r="AW157" s="89"/>
      <c r="AX157" s="89"/>
      <c r="AY157" s="89"/>
      <c r="AZ157" s="89"/>
      <c r="BA157" s="95"/>
    </row>
    <row r="158" spans="1:53" s="87" customFormat="1">
      <c r="A158" s="90" t="str">
        <f t="shared" si="27"/>
        <v/>
      </c>
      <c r="B158" s="98">
        <v>14</v>
      </c>
      <c r="C158" s="94" t="s">
        <v>210</v>
      </c>
      <c r="D158" s="94">
        <v>8</v>
      </c>
      <c r="E158" s="94">
        <v>6</v>
      </c>
      <c r="F158" s="94">
        <v>-1</v>
      </c>
      <c r="G158" s="94">
        <v>-2</v>
      </c>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89"/>
      <c r="AV158" s="89"/>
      <c r="AW158" s="89"/>
      <c r="AX158" s="89"/>
      <c r="AY158" s="89"/>
      <c r="AZ158" s="89"/>
      <c r="BA158" s="95"/>
    </row>
    <row r="159" spans="1:53" s="87" customFormat="1">
      <c r="A159" s="90" t="str">
        <f t="shared" si="27"/>
        <v/>
      </c>
      <c r="B159" s="98">
        <v>16</v>
      </c>
      <c r="C159" s="94" t="s">
        <v>210</v>
      </c>
      <c r="D159" s="94">
        <v>-4</v>
      </c>
      <c r="E159" s="94">
        <v>-7</v>
      </c>
      <c r="F159" s="94">
        <v>10</v>
      </c>
      <c r="G159" s="94">
        <v>2</v>
      </c>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89"/>
      <c r="AV159" s="89"/>
      <c r="AW159" s="89"/>
      <c r="AX159" s="89"/>
      <c r="AY159" s="89"/>
      <c r="AZ159" s="89"/>
      <c r="BA159" s="95"/>
    </row>
    <row r="160" spans="1:53" s="87" customFormat="1">
      <c r="A160" s="90" t="str">
        <f t="shared" si="27"/>
        <v/>
      </c>
      <c r="B160" s="98">
        <v>15</v>
      </c>
      <c r="C160" s="94" t="s">
        <v>210</v>
      </c>
      <c r="D160" s="94">
        <v>-3</v>
      </c>
      <c r="E160" s="94">
        <v>7</v>
      </c>
      <c r="F160" s="94">
        <v>1</v>
      </c>
      <c r="G160" s="94">
        <v>-9</v>
      </c>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89"/>
      <c r="AV160" s="89"/>
      <c r="AW160" s="89"/>
      <c r="AX160" s="89"/>
      <c r="AY160" s="89"/>
      <c r="AZ160" s="89"/>
      <c r="BA160" s="95"/>
    </row>
    <row r="161" spans="1:53" s="87" customFormat="1">
      <c r="A161" s="90" t="str">
        <f t="shared" si="27"/>
        <v/>
      </c>
      <c r="B161" s="99">
        <v>17</v>
      </c>
      <c r="C161" s="92" t="s">
        <v>210</v>
      </c>
      <c r="D161" s="92">
        <v>7</v>
      </c>
      <c r="E161" s="92">
        <v>-6</v>
      </c>
      <c r="F161" s="92">
        <v>-10</v>
      </c>
      <c r="G161" s="92">
        <v>9</v>
      </c>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89"/>
      <c r="AV161" s="89"/>
      <c r="AW161" s="89"/>
      <c r="AX161" s="89"/>
      <c r="AY161" s="89"/>
      <c r="AZ161" s="89"/>
      <c r="BA161" s="95"/>
    </row>
    <row r="162" spans="1:53" s="87" customFormat="1">
      <c r="A162" s="90" t="str">
        <f t="shared" si="27"/>
        <v/>
      </c>
      <c r="B162" s="98">
        <v>18</v>
      </c>
      <c r="C162" s="94" t="s">
        <v>210</v>
      </c>
      <c r="D162" s="94">
        <v>-8</v>
      </c>
      <c r="E162" s="94">
        <v>-3</v>
      </c>
      <c r="F162" s="94">
        <v>2</v>
      </c>
      <c r="G162" s="94">
        <v>1</v>
      </c>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89"/>
      <c r="AV162" s="89"/>
      <c r="AW162" s="89"/>
      <c r="AX162" s="89"/>
      <c r="AY162" s="89"/>
      <c r="AZ162" s="89"/>
      <c r="BA162" s="95"/>
    </row>
    <row r="163" spans="1:53" s="87" customFormat="1">
      <c r="A163" s="90" t="str">
        <f t="shared" si="27"/>
        <v/>
      </c>
      <c r="B163" s="98">
        <v>19</v>
      </c>
      <c r="C163" s="94" t="s">
        <v>210</v>
      </c>
      <c r="D163" s="94">
        <v>4</v>
      </c>
      <c r="E163" s="94">
        <v>8</v>
      </c>
      <c r="F163" s="94">
        <v>-9</v>
      </c>
      <c r="G163" s="94">
        <v>-1</v>
      </c>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89"/>
      <c r="AV163" s="89"/>
      <c r="AW163" s="89"/>
      <c r="AX163" s="89"/>
      <c r="AY163" s="89"/>
      <c r="AZ163" s="89"/>
      <c r="BA163" s="95"/>
    </row>
    <row r="164" spans="1:53" s="87" customFormat="1">
      <c r="A164" s="90" t="str">
        <f t="shared" si="27"/>
        <v/>
      </c>
      <c r="B164" s="98">
        <v>20</v>
      </c>
      <c r="C164" s="94" t="s">
        <v>210</v>
      </c>
      <c r="D164" s="94">
        <v>3</v>
      </c>
      <c r="E164" s="94">
        <v>-8</v>
      </c>
      <c r="F164" s="94">
        <v>-2</v>
      </c>
      <c r="G164" s="94">
        <v>10</v>
      </c>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89"/>
      <c r="AV164" s="89"/>
      <c r="AW164" s="89"/>
      <c r="AX164" s="89"/>
      <c r="AY164" s="89"/>
      <c r="AZ164" s="89"/>
      <c r="BA164" s="95"/>
    </row>
    <row r="165" spans="1:53" s="87" customFormat="1">
      <c r="A165" s="90" t="str">
        <f t="shared" si="27"/>
        <v/>
      </c>
      <c r="B165" s="98">
        <v>21</v>
      </c>
      <c r="C165" s="94" t="s">
        <v>210</v>
      </c>
      <c r="D165" s="94">
        <v>-7</v>
      </c>
      <c r="E165" s="94">
        <v>3</v>
      </c>
      <c r="F165" s="94">
        <v>9</v>
      </c>
      <c r="G165" s="94">
        <v>-10</v>
      </c>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89"/>
      <c r="AV165" s="89"/>
      <c r="AW165" s="89"/>
      <c r="AX165" s="89"/>
      <c r="AY165" s="89"/>
      <c r="AZ165" s="89"/>
      <c r="BA165" s="95"/>
    </row>
    <row r="166" spans="1:53" s="87" customFormat="1">
      <c r="A166" s="90" t="str">
        <f t="shared" si="27"/>
        <v/>
      </c>
      <c r="B166" s="98" t="s">
        <v>544</v>
      </c>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89"/>
      <c r="AV166" s="89"/>
      <c r="AW166" s="89"/>
      <c r="AX166" s="89"/>
      <c r="AY166" s="89"/>
      <c r="AZ166" s="89"/>
      <c r="BA166" s="95"/>
    </row>
    <row r="167" spans="1:53" s="87" customFormat="1">
      <c r="A167" s="90">
        <f t="shared" si="27"/>
        <v>167</v>
      </c>
      <c r="B167" s="98" t="s">
        <v>545</v>
      </c>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89"/>
      <c r="AV167" s="89"/>
      <c r="AW167" s="89"/>
      <c r="AX167" s="89"/>
      <c r="AY167" s="89"/>
      <c r="AZ167" s="89"/>
      <c r="BA167" s="95"/>
    </row>
    <row r="168" spans="1:53" s="87" customFormat="1">
      <c r="A168" s="90" t="str">
        <f t="shared" si="27"/>
        <v/>
      </c>
      <c r="B168" s="98">
        <v>1</v>
      </c>
      <c r="C168" s="94">
        <v>-1</v>
      </c>
      <c r="D168" s="94">
        <v>8</v>
      </c>
      <c r="E168" s="94">
        <v>3</v>
      </c>
      <c r="F168" s="94">
        <v>-9</v>
      </c>
      <c r="G168" s="94">
        <v>-2</v>
      </c>
      <c r="H168" s="94">
        <v>10</v>
      </c>
      <c r="I168" s="94" t="s">
        <v>202</v>
      </c>
      <c r="J168" s="94">
        <v>-6</v>
      </c>
      <c r="K168" s="94">
        <v>4</v>
      </c>
      <c r="L168" s="94">
        <v>7</v>
      </c>
      <c r="M168" s="94">
        <v>-5</v>
      </c>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89"/>
      <c r="AV168" s="89"/>
      <c r="AW168" s="89"/>
      <c r="AX168" s="89"/>
      <c r="AY168" s="89"/>
      <c r="AZ168" s="89"/>
      <c r="BA168" s="95"/>
    </row>
    <row r="169" spans="1:53" s="87" customFormat="1">
      <c r="A169" s="90" t="str">
        <f t="shared" si="27"/>
        <v/>
      </c>
      <c r="B169" s="98">
        <v>2</v>
      </c>
      <c r="C169" s="94">
        <v>6</v>
      </c>
      <c r="D169" s="94">
        <v>-3</v>
      </c>
      <c r="E169" s="94">
        <v>-10</v>
      </c>
      <c r="F169" s="94">
        <v>-8</v>
      </c>
      <c r="G169" s="94">
        <v>-9</v>
      </c>
      <c r="H169" s="94">
        <v>2</v>
      </c>
      <c r="I169" s="94">
        <v>1</v>
      </c>
      <c r="J169" s="94">
        <v>7</v>
      </c>
      <c r="K169" s="94" t="s">
        <v>202</v>
      </c>
      <c r="L169" s="94">
        <v>-4</v>
      </c>
      <c r="M169" s="94">
        <v>5</v>
      </c>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89"/>
      <c r="AV169" s="89"/>
      <c r="AW169" s="89"/>
      <c r="AX169" s="89"/>
      <c r="AY169" s="89"/>
      <c r="AZ169" s="89"/>
      <c r="BA169" s="95"/>
    </row>
    <row r="170" spans="1:53" s="87" customFormat="1">
      <c r="A170" s="90" t="str">
        <f t="shared" si="27"/>
        <v/>
      </c>
      <c r="B170" s="98">
        <v>3</v>
      </c>
      <c r="C170" s="94">
        <v>-5</v>
      </c>
      <c r="D170" s="94">
        <v>9</v>
      </c>
      <c r="E170" s="94">
        <v>-2</v>
      </c>
      <c r="F170" s="94" t="s">
        <v>202</v>
      </c>
      <c r="G170" s="94">
        <v>8</v>
      </c>
      <c r="H170" s="94">
        <v>-10</v>
      </c>
      <c r="I170" s="94">
        <v>-7</v>
      </c>
      <c r="J170" s="94">
        <v>1</v>
      </c>
      <c r="K170" s="94">
        <v>5</v>
      </c>
      <c r="L170" s="94">
        <v>4</v>
      </c>
      <c r="M170" s="94">
        <v>-6</v>
      </c>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89"/>
      <c r="AV170" s="89"/>
      <c r="AW170" s="89"/>
      <c r="AX170" s="89"/>
      <c r="AY170" s="89"/>
      <c r="AZ170" s="89"/>
      <c r="BA170" s="95"/>
    </row>
    <row r="171" spans="1:53" s="87" customFormat="1">
      <c r="A171" s="90" t="str">
        <f t="shared" si="27"/>
        <v/>
      </c>
      <c r="B171" s="98">
        <v>4</v>
      </c>
      <c r="C171" s="94">
        <v>-6</v>
      </c>
      <c r="D171" s="94">
        <v>2</v>
      </c>
      <c r="E171" s="94">
        <v>9</v>
      </c>
      <c r="F171" s="94">
        <v>3</v>
      </c>
      <c r="G171" s="94">
        <v>-10</v>
      </c>
      <c r="H171" s="94" t="s">
        <v>202</v>
      </c>
      <c r="I171" s="94">
        <v>-5</v>
      </c>
      <c r="J171" s="94">
        <v>-4</v>
      </c>
      <c r="K171" s="94">
        <v>1</v>
      </c>
      <c r="L171" s="94">
        <v>-7</v>
      </c>
      <c r="M171" s="94">
        <v>6</v>
      </c>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89"/>
      <c r="AV171" s="89"/>
      <c r="AW171" s="89"/>
      <c r="AX171" s="89"/>
      <c r="AY171" s="89"/>
      <c r="AZ171" s="89"/>
      <c r="BA171" s="95"/>
    </row>
    <row r="172" spans="1:53" s="87" customFormat="1">
      <c r="A172" s="90" t="str">
        <f t="shared" si="27"/>
        <v/>
      </c>
      <c r="B172" s="98">
        <v>5</v>
      </c>
      <c r="C172" s="94">
        <v>4</v>
      </c>
      <c r="D172" s="94">
        <v>10</v>
      </c>
      <c r="E172" s="94" t="s">
        <v>202</v>
      </c>
      <c r="F172" s="94">
        <v>9</v>
      </c>
      <c r="G172" s="94">
        <v>-8</v>
      </c>
      <c r="H172" s="94">
        <v>3</v>
      </c>
      <c r="I172" s="94">
        <v>6</v>
      </c>
      <c r="J172" s="94">
        <v>-7</v>
      </c>
      <c r="K172" s="94">
        <v>-1</v>
      </c>
      <c r="L172" s="94">
        <v>-5</v>
      </c>
      <c r="M172" s="94">
        <v>-4</v>
      </c>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89"/>
      <c r="AV172" s="89"/>
      <c r="AW172" s="89"/>
      <c r="AX172" s="89"/>
      <c r="AY172" s="89"/>
      <c r="AZ172" s="89"/>
      <c r="BA172" s="95"/>
    </row>
    <row r="173" spans="1:53" s="87" customFormat="1">
      <c r="A173" s="90" t="str">
        <f t="shared" si="27"/>
        <v/>
      </c>
      <c r="B173" s="89">
        <v>6</v>
      </c>
      <c r="C173" s="89" t="s">
        <v>202</v>
      </c>
      <c r="D173" s="89">
        <v>-8</v>
      </c>
      <c r="E173" s="89">
        <v>-9</v>
      </c>
      <c r="F173" s="89">
        <v>-10</v>
      </c>
      <c r="G173" s="89">
        <v>3</v>
      </c>
      <c r="H173" s="89">
        <v>-2</v>
      </c>
      <c r="I173" s="89">
        <v>7</v>
      </c>
      <c r="J173" s="89">
        <v>-5</v>
      </c>
      <c r="K173" s="89">
        <v>6</v>
      </c>
      <c r="L173" s="89">
        <v>1</v>
      </c>
      <c r="M173" s="89">
        <v>4</v>
      </c>
      <c r="N173" s="89"/>
      <c r="O173" s="89"/>
      <c r="P173" s="89"/>
      <c r="Q173" s="89"/>
      <c r="R173" s="89"/>
      <c r="S173" s="89"/>
      <c r="T173" s="89"/>
      <c r="U173" s="89"/>
      <c r="V173" s="89"/>
      <c r="W173" s="89"/>
      <c r="X173" s="89"/>
      <c r="Y173" s="89"/>
      <c r="Z173" s="89"/>
      <c r="AA173" s="89"/>
      <c r="AB173" s="89"/>
      <c r="AC173" s="89"/>
      <c r="AD173" s="89"/>
      <c r="AE173" s="89"/>
      <c r="AF173" s="89"/>
      <c r="AG173" s="89"/>
      <c r="AH173" s="89"/>
      <c r="AI173" s="89"/>
      <c r="AJ173" s="89"/>
      <c r="AK173" s="89"/>
      <c r="AL173" s="89"/>
      <c r="AM173" s="89"/>
      <c r="AN173" s="89"/>
      <c r="AO173" s="89"/>
      <c r="AP173" s="89"/>
      <c r="AQ173" s="89"/>
      <c r="AR173" s="89"/>
      <c r="AS173" s="89"/>
      <c r="AT173" s="89"/>
      <c r="AU173" s="89"/>
      <c r="AV173" s="89"/>
      <c r="AW173" s="89"/>
      <c r="AX173" s="89"/>
      <c r="AY173" s="89"/>
      <c r="AZ173" s="89"/>
      <c r="BA173" s="95"/>
    </row>
    <row r="174" spans="1:53" s="87" customFormat="1">
      <c r="A174" s="90" t="str">
        <f t="shared" si="27"/>
        <v/>
      </c>
      <c r="B174" s="89">
        <v>7</v>
      </c>
      <c r="C174" s="89">
        <v>-7</v>
      </c>
      <c r="D174" s="89" t="s">
        <v>202</v>
      </c>
      <c r="E174" s="89">
        <v>10</v>
      </c>
      <c r="F174" s="89">
        <v>-3</v>
      </c>
      <c r="G174" s="89">
        <v>2</v>
      </c>
      <c r="H174" s="89">
        <v>8</v>
      </c>
      <c r="I174" s="89">
        <v>-4</v>
      </c>
      <c r="J174" s="89">
        <v>-1</v>
      </c>
      <c r="K174" s="89">
        <v>-6</v>
      </c>
      <c r="L174" s="89">
        <v>5</v>
      </c>
      <c r="M174" s="89">
        <v>7</v>
      </c>
      <c r="N174" s="89"/>
      <c r="O174" s="89"/>
      <c r="P174" s="89"/>
      <c r="Q174" s="89"/>
      <c r="R174" s="89"/>
      <c r="S174" s="89"/>
      <c r="T174" s="89"/>
      <c r="U174" s="89"/>
      <c r="V174" s="89"/>
      <c r="W174" s="89"/>
      <c r="X174" s="89"/>
      <c r="Y174" s="89"/>
      <c r="Z174" s="89"/>
      <c r="AA174" s="89"/>
      <c r="AB174" s="89"/>
      <c r="AC174" s="89"/>
      <c r="AD174" s="89"/>
      <c r="AE174" s="89"/>
      <c r="AF174" s="89"/>
      <c r="AG174" s="89"/>
      <c r="AH174" s="89"/>
      <c r="AI174" s="89"/>
      <c r="AJ174" s="89"/>
      <c r="AK174" s="89"/>
      <c r="AL174" s="89"/>
      <c r="AM174" s="89"/>
      <c r="AN174" s="89"/>
      <c r="AO174" s="89"/>
      <c r="AP174" s="89"/>
      <c r="AQ174" s="89"/>
      <c r="AR174" s="89"/>
      <c r="AS174" s="89"/>
      <c r="AT174" s="89"/>
      <c r="AU174" s="89"/>
      <c r="AV174" s="89"/>
      <c r="AW174" s="89"/>
      <c r="AX174" s="89"/>
      <c r="AY174" s="89"/>
      <c r="AZ174" s="89"/>
      <c r="BA174" s="95"/>
    </row>
    <row r="175" spans="1:53" s="87" customFormat="1">
      <c r="A175" s="90" t="str">
        <f t="shared" si="27"/>
        <v/>
      </c>
      <c r="B175" s="89">
        <v>8</v>
      </c>
      <c r="C175" s="89">
        <v>1</v>
      </c>
      <c r="D175" s="89">
        <v>3</v>
      </c>
      <c r="E175" s="89">
        <v>8</v>
      </c>
      <c r="F175" s="89">
        <v>-2</v>
      </c>
      <c r="G175" s="89" t="s">
        <v>202</v>
      </c>
      <c r="H175" s="89">
        <v>9</v>
      </c>
      <c r="I175" s="89">
        <v>-6</v>
      </c>
      <c r="J175" s="89">
        <v>4</v>
      </c>
      <c r="K175" s="89">
        <v>-5</v>
      </c>
      <c r="L175" s="89">
        <v>-1</v>
      </c>
      <c r="M175" s="89">
        <v>-7</v>
      </c>
      <c r="N175" s="89"/>
      <c r="O175" s="89"/>
      <c r="P175" s="89"/>
      <c r="Q175" s="89"/>
      <c r="R175" s="89"/>
      <c r="S175" s="89"/>
      <c r="T175" s="89"/>
      <c r="U175" s="89"/>
      <c r="V175" s="89"/>
      <c r="W175" s="89"/>
      <c r="X175" s="89"/>
      <c r="Y175" s="89"/>
      <c r="Z175" s="89"/>
      <c r="AA175" s="89"/>
      <c r="AB175" s="89"/>
      <c r="AC175" s="89"/>
      <c r="AD175" s="89"/>
      <c r="AE175" s="89"/>
      <c r="AF175" s="89"/>
      <c r="AG175" s="89"/>
      <c r="AH175" s="89"/>
      <c r="AI175" s="89"/>
      <c r="AJ175" s="89"/>
      <c r="AK175" s="89"/>
      <c r="AL175" s="89"/>
      <c r="AM175" s="89"/>
      <c r="AN175" s="89"/>
      <c r="AO175" s="89"/>
      <c r="AP175" s="89"/>
      <c r="AQ175" s="89"/>
      <c r="AR175" s="89"/>
      <c r="AS175" s="89"/>
      <c r="AT175" s="89"/>
      <c r="AU175" s="89"/>
      <c r="AV175" s="89"/>
      <c r="AW175" s="89"/>
      <c r="AX175" s="89"/>
      <c r="AY175" s="89"/>
      <c r="AZ175" s="89"/>
      <c r="BA175" s="95"/>
    </row>
    <row r="176" spans="1:53" s="87" customFormat="1">
      <c r="A176" s="90" t="str">
        <f t="shared" si="27"/>
        <v/>
      </c>
      <c r="B176" s="89">
        <v>9</v>
      </c>
      <c r="C176" s="89">
        <v>7</v>
      </c>
      <c r="D176" s="89">
        <v>-10</v>
      </c>
      <c r="E176" s="89">
        <v>2</v>
      </c>
      <c r="F176" s="89">
        <v>8</v>
      </c>
      <c r="G176" s="89">
        <v>-3</v>
      </c>
      <c r="H176" s="89">
        <v>-9</v>
      </c>
      <c r="I176" s="89">
        <v>5</v>
      </c>
      <c r="J176" s="89" t="s">
        <v>202</v>
      </c>
      <c r="K176" s="89">
        <v>-4</v>
      </c>
      <c r="L176" s="89">
        <v>-6</v>
      </c>
      <c r="M176" s="89">
        <v>1</v>
      </c>
      <c r="N176" s="89"/>
      <c r="O176" s="89"/>
      <c r="P176" s="89"/>
      <c r="Q176" s="89"/>
      <c r="R176" s="89"/>
      <c r="S176" s="89"/>
      <c r="T176" s="89"/>
      <c r="U176" s="89"/>
      <c r="V176" s="89"/>
      <c r="W176" s="89"/>
      <c r="X176" s="89"/>
      <c r="Y176" s="89"/>
      <c r="Z176" s="89"/>
      <c r="AA176" s="89"/>
      <c r="AB176" s="89"/>
      <c r="AC176" s="89"/>
      <c r="AD176" s="89"/>
      <c r="AE176" s="89"/>
      <c r="AF176" s="89"/>
      <c r="AG176" s="89"/>
      <c r="AH176" s="89"/>
      <c r="AI176" s="89"/>
      <c r="AJ176" s="89"/>
      <c r="AK176" s="89"/>
      <c r="AL176" s="89"/>
      <c r="AM176" s="89"/>
      <c r="AN176" s="89"/>
      <c r="AO176" s="89"/>
      <c r="AP176" s="89"/>
      <c r="AQ176" s="89"/>
      <c r="AR176" s="89"/>
      <c r="AS176" s="89"/>
      <c r="AT176" s="89"/>
      <c r="AU176" s="89"/>
      <c r="AV176" s="89"/>
      <c r="AW176" s="89"/>
      <c r="AX176" s="89"/>
      <c r="AY176" s="89"/>
      <c r="AZ176" s="89"/>
      <c r="BA176" s="95"/>
    </row>
    <row r="177" spans="1:53" s="87" customFormat="1">
      <c r="A177" s="90" t="str">
        <f t="shared" si="27"/>
        <v/>
      </c>
      <c r="B177" s="89">
        <v>10</v>
      </c>
      <c r="C177" s="89">
        <v>5</v>
      </c>
      <c r="D177" s="89">
        <v>-2</v>
      </c>
      <c r="E177" s="89">
        <v>-8</v>
      </c>
      <c r="F177" s="89">
        <v>10</v>
      </c>
      <c r="G177" s="89">
        <v>9</v>
      </c>
      <c r="H177" s="89">
        <v>-3</v>
      </c>
      <c r="I177" s="89">
        <v>4</v>
      </c>
      <c r="J177" s="89">
        <v>6</v>
      </c>
      <c r="K177" s="89">
        <v>-7</v>
      </c>
      <c r="L177" s="89" t="s">
        <v>202</v>
      </c>
      <c r="M177" s="89">
        <v>-1</v>
      </c>
      <c r="N177" s="89"/>
      <c r="O177" s="89"/>
      <c r="P177" s="89"/>
      <c r="Q177" s="89"/>
      <c r="R177" s="89"/>
      <c r="S177" s="89"/>
      <c r="T177" s="89"/>
      <c r="U177" s="89"/>
      <c r="V177" s="89"/>
      <c r="W177" s="89"/>
      <c r="X177" s="89"/>
      <c r="Y177" s="89"/>
      <c r="Z177" s="89"/>
      <c r="AA177" s="89"/>
      <c r="AB177" s="89"/>
      <c r="AC177" s="89"/>
      <c r="AD177" s="89"/>
      <c r="AE177" s="89"/>
      <c r="AF177" s="89"/>
      <c r="AG177" s="89"/>
      <c r="AH177" s="89"/>
      <c r="AI177" s="89"/>
      <c r="AJ177" s="89"/>
      <c r="AK177" s="89"/>
      <c r="AL177" s="89"/>
      <c r="AM177" s="89"/>
      <c r="AN177" s="89"/>
      <c r="AO177" s="89"/>
      <c r="AP177" s="89"/>
      <c r="AQ177" s="89"/>
      <c r="AR177" s="89"/>
      <c r="AS177" s="89"/>
      <c r="AT177" s="89"/>
      <c r="AU177" s="89"/>
      <c r="AV177" s="89"/>
      <c r="AW177" s="89"/>
      <c r="AX177" s="89"/>
      <c r="AY177" s="89"/>
      <c r="AZ177" s="89"/>
      <c r="BA177" s="95"/>
    </row>
    <row r="178" spans="1:53" s="87" customFormat="1">
      <c r="A178" s="90" t="str">
        <f t="shared" si="27"/>
        <v/>
      </c>
      <c r="B178" s="99">
        <v>11</v>
      </c>
      <c r="C178" s="92">
        <v>-4</v>
      </c>
      <c r="D178" s="92">
        <v>-9</v>
      </c>
      <c r="E178" s="92">
        <v>-3</v>
      </c>
      <c r="F178" s="92">
        <v>2</v>
      </c>
      <c r="G178" s="92">
        <v>10</v>
      </c>
      <c r="H178" s="92">
        <v>-8</v>
      </c>
      <c r="I178" s="92">
        <v>-1</v>
      </c>
      <c r="J178" s="92">
        <v>5</v>
      </c>
      <c r="K178" s="92">
        <v>7</v>
      </c>
      <c r="L178" s="92">
        <v>6</v>
      </c>
      <c r="M178" s="92" t="s">
        <v>202</v>
      </c>
      <c r="N178" s="89"/>
      <c r="O178" s="89"/>
      <c r="P178" s="89"/>
      <c r="Q178" s="89"/>
      <c r="R178" s="89"/>
      <c r="S178" s="89"/>
      <c r="T178" s="89"/>
      <c r="U178" s="89"/>
      <c r="V178" s="89"/>
      <c r="W178" s="89"/>
      <c r="X178" s="89"/>
      <c r="Y178" s="89"/>
      <c r="Z178" s="89"/>
      <c r="AA178" s="89"/>
      <c r="AB178" s="89"/>
      <c r="AC178" s="89"/>
      <c r="AD178" s="89"/>
      <c r="AE178" s="89"/>
      <c r="AF178" s="89"/>
      <c r="AG178" s="89"/>
      <c r="AH178" s="89"/>
      <c r="AI178" s="89"/>
      <c r="AJ178" s="89"/>
      <c r="AK178" s="89"/>
      <c r="AL178" s="89"/>
      <c r="AM178" s="89"/>
      <c r="AN178" s="89"/>
      <c r="AO178" s="89"/>
      <c r="AP178" s="89"/>
      <c r="AQ178" s="89"/>
      <c r="AR178" s="89"/>
      <c r="AS178" s="89"/>
      <c r="AT178" s="89"/>
      <c r="AU178" s="89"/>
      <c r="AV178" s="89"/>
      <c r="AW178" s="89"/>
      <c r="AX178" s="89"/>
      <c r="AY178" s="89"/>
      <c r="AZ178" s="89"/>
      <c r="BA178" s="95"/>
    </row>
    <row r="179" spans="1:53" s="87" customFormat="1">
      <c r="A179" s="90" t="str">
        <f t="shared" si="27"/>
        <v/>
      </c>
      <c r="B179" s="89">
        <v>12</v>
      </c>
      <c r="C179" s="89">
        <v>-10</v>
      </c>
      <c r="D179" s="89">
        <v>6</v>
      </c>
      <c r="E179" s="89">
        <v>5</v>
      </c>
      <c r="F179" s="89">
        <v>-7</v>
      </c>
      <c r="G179" s="89">
        <v>-4</v>
      </c>
      <c r="H179" s="89">
        <v>1</v>
      </c>
      <c r="I179" s="89" t="s">
        <v>202</v>
      </c>
      <c r="J179" s="89">
        <v>-8</v>
      </c>
      <c r="K179" s="89">
        <v>2</v>
      </c>
      <c r="L179" s="89">
        <v>9</v>
      </c>
      <c r="M179" s="89">
        <v>-3</v>
      </c>
      <c r="N179" s="89"/>
      <c r="O179" s="89"/>
      <c r="P179" s="89"/>
      <c r="Q179" s="89"/>
      <c r="R179" s="89"/>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c r="AW179" s="89"/>
      <c r="AX179" s="89"/>
      <c r="AY179" s="89"/>
      <c r="AZ179" s="89"/>
      <c r="BA179" s="95"/>
    </row>
    <row r="180" spans="1:53" s="87" customFormat="1">
      <c r="A180" s="90" t="str">
        <f t="shared" si="27"/>
        <v/>
      </c>
      <c r="B180" s="89">
        <v>13</v>
      </c>
      <c r="C180" s="89">
        <v>8</v>
      </c>
      <c r="D180" s="89">
        <v>-5</v>
      </c>
      <c r="E180" s="89">
        <v>-1</v>
      </c>
      <c r="F180" s="89">
        <v>-6</v>
      </c>
      <c r="G180" s="89">
        <v>-7</v>
      </c>
      <c r="H180" s="89">
        <v>4</v>
      </c>
      <c r="I180" s="89">
        <v>10</v>
      </c>
      <c r="J180" s="89">
        <v>9</v>
      </c>
      <c r="K180" s="89" t="s">
        <v>202</v>
      </c>
      <c r="L180" s="89">
        <v>-2</v>
      </c>
      <c r="M180" s="89">
        <v>3</v>
      </c>
      <c r="N180" s="89"/>
      <c r="O180" s="89"/>
      <c r="P180" s="89"/>
      <c r="Q180" s="89"/>
      <c r="R180" s="89"/>
      <c r="S180" s="89"/>
      <c r="T180" s="89"/>
      <c r="U180" s="89"/>
      <c r="V180" s="89"/>
      <c r="W180" s="89"/>
      <c r="X180" s="89"/>
      <c r="Y180" s="89"/>
      <c r="Z180" s="89"/>
      <c r="AA180" s="89"/>
      <c r="AB180" s="89"/>
      <c r="AC180" s="89"/>
      <c r="AD180" s="89"/>
      <c r="AE180" s="89"/>
      <c r="AF180" s="89"/>
      <c r="AG180" s="89"/>
      <c r="AH180" s="89"/>
      <c r="AI180" s="89"/>
      <c r="AJ180" s="89"/>
      <c r="AK180" s="89"/>
      <c r="AL180" s="89"/>
      <c r="AM180" s="89"/>
      <c r="AN180" s="89"/>
      <c r="AO180" s="89"/>
      <c r="AP180" s="89"/>
      <c r="AQ180" s="89"/>
      <c r="AR180" s="89"/>
      <c r="AS180" s="89"/>
      <c r="AT180" s="89"/>
      <c r="AU180" s="89"/>
      <c r="AV180" s="89"/>
      <c r="AW180" s="89"/>
      <c r="AX180" s="89"/>
      <c r="AY180" s="89"/>
      <c r="AZ180" s="89"/>
      <c r="BA180" s="95"/>
    </row>
    <row r="181" spans="1:53" s="87" customFormat="1">
      <c r="A181" s="90" t="str">
        <f t="shared" si="27"/>
        <v/>
      </c>
      <c r="B181" s="89">
        <v>14</v>
      </c>
      <c r="C181" s="89">
        <v>-3</v>
      </c>
      <c r="D181" s="89">
        <v>7</v>
      </c>
      <c r="E181" s="89">
        <v>-4</v>
      </c>
      <c r="F181" s="89" t="s">
        <v>202</v>
      </c>
      <c r="G181" s="89">
        <v>6</v>
      </c>
      <c r="H181" s="89">
        <v>-1</v>
      </c>
      <c r="I181" s="89">
        <v>-9</v>
      </c>
      <c r="J181" s="89">
        <v>10</v>
      </c>
      <c r="K181" s="89">
        <v>3</v>
      </c>
      <c r="L181" s="89">
        <v>2</v>
      </c>
      <c r="M181" s="89">
        <v>-8</v>
      </c>
      <c r="N181" s="89"/>
      <c r="O181" s="89"/>
      <c r="P181" s="89"/>
      <c r="Q181" s="89"/>
      <c r="R181" s="89"/>
      <c r="S181" s="89"/>
      <c r="T181" s="89"/>
      <c r="U181" s="89"/>
      <c r="V181" s="89"/>
      <c r="W181" s="89"/>
      <c r="X181" s="89"/>
      <c r="Y181" s="89"/>
      <c r="Z181" s="89"/>
      <c r="AA181" s="89"/>
      <c r="AB181" s="89"/>
      <c r="AC181" s="89"/>
      <c r="AD181" s="89"/>
      <c r="AE181" s="89"/>
      <c r="AF181" s="89"/>
      <c r="AG181" s="89"/>
      <c r="AH181" s="89"/>
      <c r="AI181" s="89"/>
      <c r="AJ181" s="89"/>
      <c r="AK181" s="89"/>
      <c r="AL181" s="89"/>
      <c r="AM181" s="89"/>
      <c r="AN181" s="89"/>
      <c r="AO181" s="89"/>
      <c r="AP181" s="89"/>
      <c r="AQ181" s="89"/>
      <c r="AR181" s="89"/>
      <c r="AS181" s="89"/>
      <c r="AT181" s="89"/>
      <c r="AU181" s="89"/>
      <c r="AV181" s="89"/>
      <c r="AW181" s="89"/>
      <c r="AX181" s="89"/>
      <c r="AY181" s="89"/>
      <c r="AZ181" s="89"/>
      <c r="BA181" s="95"/>
    </row>
    <row r="182" spans="1:53" s="87" customFormat="1">
      <c r="A182" s="90" t="str">
        <f t="shared" si="27"/>
        <v/>
      </c>
      <c r="B182" s="89">
        <v>15</v>
      </c>
      <c r="C182" s="89">
        <v>-8</v>
      </c>
      <c r="D182" s="89">
        <v>4</v>
      </c>
      <c r="E182" s="89">
        <v>7</v>
      </c>
      <c r="F182" s="89">
        <v>5</v>
      </c>
      <c r="G182" s="89">
        <v>-1</v>
      </c>
      <c r="H182" s="89" t="s">
        <v>202</v>
      </c>
      <c r="I182" s="89">
        <v>-3</v>
      </c>
      <c r="J182" s="89">
        <v>-2</v>
      </c>
      <c r="K182" s="89">
        <v>10</v>
      </c>
      <c r="L182" s="89">
        <v>-9</v>
      </c>
      <c r="M182" s="89">
        <v>8</v>
      </c>
      <c r="N182" s="89"/>
      <c r="O182" s="89"/>
      <c r="P182" s="89"/>
      <c r="Q182" s="89"/>
      <c r="R182" s="89"/>
      <c r="S182" s="89"/>
      <c r="T182" s="89"/>
      <c r="U182" s="89"/>
      <c r="V182" s="89"/>
      <c r="W182" s="89"/>
      <c r="X182" s="89"/>
      <c r="Y182" s="89"/>
      <c r="Z182" s="89"/>
      <c r="AA182" s="89"/>
      <c r="AB182" s="89"/>
      <c r="AC182" s="89"/>
      <c r="AD182" s="89"/>
      <c r="AE182" s="89"/>
      <c r="AF182" s="89"/>
      <c r="AG182" s="89"/>
      <c r="AH182" s="89"/>
      <c r="AI182" s="89"/>
      <c r="AJ182" s="89"/>
      <c r="AK182" s="89"/>
      <c r="AL182" s="89"/>
      <c r="AM182" s="89"/>
      <c r="AN182" s="89"/>
      <c r="AO182" s="89"/>
      <c r="AP182" s="89"/>
      <c r="AQ182" s="89"/>
      <c r="AR182" s="89"/>
      <c r="AS182" s="89"/>
      <c r="AT182" s="89"/>
      <c r="AU182" s="89"/>
      <c r="AV182" s="89"/>
      <c r="AW182" s="89"/>
      <c r="AX182" s="89"/>
      <c r="AY182" s="89"/>
      <c r="AZ182" s="89"/>
      <c r="BA182" s="95"/>
    </row>
    <row r="183" spans="1:53" s="87" customFormat="1">
      <c r="A183" s="90" t="str">
        <f t="shared" si="27"/>
        <v/>
      </c>
      <c r="B183" s="89">
        <v>16</v>
      </c>
      <c r="C183" s="89">
        <v>2</v>
      </c>
      <c r="D183" s="89">
        <v>1</v>
      </c>
      <c r="E183" s="89" t="s">
        <v>202</v>
      </c>
      <c r="F183" s="89">
        <v>7</v>
      </c>
      <c r="G183" s="89">
        <v>-6</v>
      </c>
      <c r="H183" s="89">
        <v>5</v>
      </c>
      <c r="I183" s="89">
        <v>8</v>
      </c>
      <c r="J183" s="89">
        <v>-9</v>
      </c>
      <c r="K183" s="89">
        <v>-10</v>
      </c>
      <c r="L183" s="89">
        <v>-3</v>
      </c>
      <c r="M183" s="89">
        <v>-2</v>
      </c>
      <c r="N183" s="89"/>
      <c r="O183" s="89"/>
      <c r="P183" s="89"/>
      <c r="Q183" s="89"/>
      <c r="R183" s="89"/>
      <c r="S183" s="89"/>
      <c r="T183" s="89"/>
      <c r="U183" s="89"/>
      <c r="V183" s="89"/>
      <c r="W183" s="89"/>
      <c r="X183" s="89"/>
      <c r="Y183" s="89"/>
      <c r="Z183" s="89"/>
      <c r="AA183" s="89"/>
      <c r="AB183" s="89"/>
      <c r="AC183" s="89"/>
      <c r="AD183" s="89"/>
      <c r="AE183" s="89"/>
      <c r="AF183" s="89"/>
      <c r="AG183" s="89"/>
      <c r="AH183" s="89"/>
      <c r="AI183" s="89"/>
      <c r="AJ183" s="89"/>
      <c r="AK183" s="89"/>
      <c r="AL183" s="89"/>
      <c r="AM183" s="89"/>
      <c r="AN183" s="89"/>
      <c r="AO183" s="89"/>
      <c r="AP183" s="89"/>
      <c r="AQ183" s="89"/>
      <c r="AR183" s="89"/>
      <c r="AS183" s="89"/>
      <c r="AT183" s="89"/>
      <c r="AU183" s="89"/>
      <c r="AV183" s="89"/>
      <c r="AW183" s="89"/>
      <c r="AX183" s="89"/>
      <c r="AY183" s="89"/>
      <c r="AZ183" s="89"/>
      <c r="BA183" s="95"/>
    </row>
    <row r="184" spans="1:53" s="87" customFormat="1">
      <c r="A184" s="90" t="str">
        <f t="shared" si="27"/>
        <v/>
      </c>
      <c r="B184" s="89">
        <v>17</v>
      </c>
      <c r="C184" s="89" t="s">
        <v>202</v>
      </c>
      <c r="D184" s="89">
        <v>-6</v>
      </c>
      <c r="E184" s="89">
        <v>-7</v>
      </c>
      <c r="F184" s="89">
        <v>-1</v>
      </c>
      <c r="G184" s="89">
        <v>5</v>
      </c>
      <c r="H184" s="89">
        <v>-4</v>
      </c>
      <c r="I184" s="89">
        <v>9</v>
      </c>
      <c r="J184" s="89">
        <v>-3</v>
      </c>
      <c r="K184" s="89">
        <v>8</v>
      </c>
      <c r="L184" s="89">
        <v>10</v>
      </c>
      <c r="M184" s="89">
        <v>2</v>
      </c>
      <c r="N184" s="89"/>
      <c r="O184" s="89"/>
      <c r="P184" s="89"/>
      <c r="Q184" s="89"/>
      <c r="R184" s="89"/>
      <c r="S184" s="89"/>
      <c r="T184" s="89"/>
      <c r="U184" s="89"/>
      <c r="V184" s="89"/>
      <c r="W184" s="89"/>
      <c r="X184" s="89"/>
      <c r="Y184" s="89"/>
      <c r="Z184" s="89"/>
      <c r="AA184" s="89"/>
      <c r="AB184" s="89"/>
      <c r="AC184" s="89"/>
      <c r="AD184" s="89"/>
      <c r="AE184" s="89"/>
      <c r="AF184" s="89"/>
      <c r="AG184" s="89"/>
      <c r="AH184" s="89"/>
      <c r="AI184" s="89"/>
      <c r="AJ184" s="89"/>
      <c r="AK184" s="89"/>
      <c r="AL184" s="89"/>
      <c r="AM184" s="89"/>
      <c r="AN184" s="89"/>
      <c r="AO184" s="89"/>
      <c r="AP184" s="89"/>
      <c r="AQ184" s="89"/>
      <c r="AR184" s="89"/>
      <c r="AS184" s="89"/>
      <c r="AT184" s="89"/>
      <c r="AU184" s="89"/>
      <c r="AV184" s="89"/>
      <c r="AW184" s="89"/>
      <c r="AX184" s="89"/>
      <c r="AY184" s="89"/>
      <c r="AZ184" s="89"/>
      <c r="BA184" s="95"/>
    </row>
    <row r="185" spans="1:53" s="87" customFormat="1">
      <c r="A185" s="90" t="str">
        <f t="shared" si="27"/>
        <v/>
      </c>
      <c r="B185" s="89">
        <v>18</v>
      </c>
      <c r="C185" s="89">
        <v>-9</v>
      </c>
      <c r="D185" s="89" t="s">
        <v>202</v>
      </c>
      <c r="E185" s="89">
        <v>1</v>
      </c>
      <c r="F185" s="89">
        <v>-5</v>
      </c>
      <c r="G185" s="89">
        <v>4</v>
      </c>
      <c r="H185" s="89">
        <v>6</v>
      </c>
      <c r="I185" s="89">
        <v>-2</v>
      </c>
      <c r="J185" s="89">
        <v>-10</v>
      </c>
      <c r="K185" s="89">
        <v>-8</v>
      </c>
      <c r="L185" s="89">
        <v>3</v>
      </c>
      <c r="M185" s="89">
        <v>9</v>
      </c>
      <c r="N185" s="89"/>
      <c r="O185" s="89"/>
      <c r="P185" s="89"/>
      <c r="Q185" s="89"/>
      <c r="R185" s="89"/>
      <c r="S185" s="89"/>
      <c r="T185" s="89"/>
      <c r="U185" s="89"/>
      <c r="V185" s="89"/>
      <c r="W185" s="89"/>
      <c r="X185" s="89"/>
      <c r="Y185" s="89"/>
      <c r="Z185" s="89"/>
      <c r="AA185" s="89"/>
      <c r="AB185" s="89"/>
      <c r="AC185" s="89"/>
      <c r="AD185" s="89"/>
      <c r="AE185" s="89"/>
      <c r="AF185" s="89"/>
      <c r="AG185" s="89"/>
      <c r="AH185" s="89"/>
      <c r="AI185" s="89"/>
      <c r="AJ185" s="89"/>
      <c r="AK185" s="89"/>
      <c r="AL185" s="89"/>
      <c r="AM185" s="89"/>
      <c r="AN185" s="89"/>
      <c r="AO185" s="89"/>
      <c r="AP185" s="89"/>
      <c r="AQ185" s="89"/>
      <c r="AR185" s="89"/>
      <c r="AS185" s="89"/>
      <c r="AT185" s="89"/>
      <c r="AU185" s="89"/>
      <c r="AV185" s="89"/>
      <c r="AW185" s="89"/>
      <c r="AX185" s="89"/>
      <c r="AY185" s="89"/>
      <c r="AZ185" s="89"/>
      <c r="BA185" s="95"/>
    </row>
    <row r="186" spans="1:53" s="87" customFormat="1">
      <c r="A186" s="90" t="str">
        <f t="shared" si="27"/>
        <v/>
      </c>
      <c r="B186" s="89">
        <v>19</v>
      </c>
      <c r="C186" s="89">
        <v>10</v>
      </c>
      <c r="D186" s="89">
        <v>5</v>
      </c>
      <c r="E186" s="89">
        <v>6</v>
      </c>
      <c r="F186" s="89">
        <v>-4</v>
      </c>
      <c r="G186" s="89" t="s">
        <v>202</v>
      </c>
      <c r="H186" s="89">
        <v>7</v>
      </c>
      <c r="I186" s="89">
        <v>-8</v>
      </c>
      <c r="J186" s="89">
        <v>2</v>
      </c>
      <c r="K186" s="89">
        <v>-3</v>
      </c>
      <c r="L186" s="89">
        <v>-10</v>
      </c>
      <c r="M186" s="89">
        <v>-9</v>
      </c>
      <c r="N186" s="89"/>
      <c r="O186" s="89"/>
      <c r="P186" s="89"/>
      <c r="Q186" s="89"/>
      <c r="R186" s="89"/>
      <c r="S186" s="89"/>
      <c r="T186" s="89"/>
      <c r="U186" s="89"/>
      <c r="V186" s="89"/>
      <c r="W186" s="89"/>
      <c r="X186" s="89"/>
      <c r="Y186" s="89"/>
      <c r="Z186" s="89"/>
      <c r="AA186" s="89"/>
      <c r="AB186" s="89"/>
      <c r="AC186" s="89"/>
      <c r="AD186" s="89"/>
      <c r="AE186" s="89"/>
      <c r="AF186" s="89"/>
      <c r="AG186" s="89"/>
      <c r="AH186" s="89"/>
      <c r="AI186" s="89"/>
      <c r="AJ186" s="89"/>
      <c r="AK186" s="89"/>
      <c r="AL186" s="89"/>
      <c r="AM186" s="89"/>
      <c r="AN186" s="89"/>
      <c r="AO186" s="89"/>
      <c r="AP186" s="89"/>
      <c r="AQ186" s="89"/>
      <c r="AR186" s="89"/>
      <c r="AS186" s="89"/>
      <c r="AT186" s="89"/>
      <c r="AU186" s="89"/>
      <c r="AV186" s="89"/>
      <c r="AW186" s="89"/>
      <c r="AX186" s="89"/>
      <c r="AY186" s="89"/>
      <c r="AZ186" s="89"/>
      <c r="BA186" s="95"/>
    </row>
    <row r="187" spans="1:53" s="87" customFormat="1">
      <c r="A187" s="90" t="str">
        <f t="shared" si="27"/>
        <v/>
      </c>
      <c r="B187" s="89">
        <v>20</v>
      </c>
      <c r="C187" s="89">
        <v>9</v>
      </c>
      <c r="D187" s="89">
        <v>-1</v>
      </c>
      <c r="E187" s="89">
        <v>4</v>
      </c>
      <c r="F187" s="89">
        <v>6</v>
      </c>
      <c r="G187" s="89">
        <v>-5</v>
      </c>
      <c r="H187" s="89">
        <v>-7</v>
      </c>
      <c r="I187" s="89">
        <v>3</v>
      </c>
      <c r="J187" s="89" t="s">
        <v>202</v>
      </c>
      <c r="K187" s="89">
        <v>-2</v>
      </c>
      <c r="L187" s="89">
        <v>-8</v>
      </c>
      <c r="M187" s="89">
        <v>10</v>
      </c>
      <c r="N187" s="89"/>
      <c r="O187" s="89"/>
      <c r="P187" s="89"/>
      <c r="Q187" s="89"/>
      <c r="R187" s="89"/>
      <c r="S187" s="89"/>
      <c r="T187" s="89"/>
      <c r="U187" s="89"/>
      <c r="V187" s="89"/>
      <c r="W187" s="89"/>
      <c r="X187" s="89"/>
      <c r="Y187" s="89"/>
      <c r="Z187" s="89"/>
      <c r="AA187" s="89"/>
      <c r="AB187" s="89"/>
      <c r="AC187" s="89"/>
      <c r="AD187" s="89"/>
      <c r="AE187" s="89"/>
      <c r="AF187" s="89"/>
      <c r="AG187" s="89"/>
      <c r="AH187" s="89"/>
      <c r="AI187" s="89"/>
      <c r="AJ187" s="89"/>
      <c r="AK187" s="89"/>
      <c r="AL187" s="89"/>
      <c r="AM187" s="89"/>
      <c r="AN187" s="89"/>
      <c r="AO187" s="89"/>
      <c r="AP187" s="89"/>
      <c r="AQ187" s="89"/>
      <c r="AR187" s="89"/>
      <c r="AS187" s="89"/>
      <c r="AT187" s="89"/>
      <c r="AU187" s="89"/>
      <c r="AV187" s="89"/>
      <c r="AW187" s="89"/>
      <c r="AX187" s="89"/>
      <c r="AY187" s="89"/>
      <c r="AZ187" s="89"/>
      <c r="BA187" s="95"/>
    </row>
    <row r="188" spans="1:53" s="87" customFormat="1">
      <c r="A188" s="90" t="str">
        <f t="shared" si="27"/>
        <v/>
      </c>
      <c r="B188" s="89">
        <v>21</v>
      </c>
      <c r="C188" s="89">
        <v>3</v>
      </c>
      <c r="D188" s="89">
        <v>-4</v>
      </c>
      <c r="E188" s="89">
        <v>-6</v>
      </c>
      <c r="F188" s="89">
        <v>1</v>
      </c>
      <c r="G188" s="89">
        <v>7</v>
      </c>
      <c r="H188" s="89">
        <v>-5</v>
      </c>
      <c r="I188" s="89">
        <v>2</v>
      </c>
      <c r="J188" s="89">
        <v>8</v>
      </c>
      <c r="K188" s="89">
        <v>-9</v>
      </c>
      <c r="L188" s="89" t="s">
        <v>202</v>
      </c>
      <c r="M188" s="89">
        <v>-10</v>
      </c>
      <c r="N188" s="89"/>
      <c r="O188" s="89"/>
      <c r="P188" s="89"/>
      <c r="Q188" s="89"/>
      <c r="R188" s="89"/>
      <c r="S188" s="89"/>
      <c r="T188" s="89"/>
      <c r="U188" s="89"/>
      <c r="V188" s="89"/>
      <c r="W188" s="89"/>
      <c r="X188" s="89"/>
      <c r="Y188" s="89"/>
      <c r="Z188" s="89"/>
      <c r="AA188" s="89"/>
      <c r="AB188" s="89"/>
      <c r="AC188" s="89"/>
      <c r="AD188" s="89"/>
      <c r="AE188" s="89"/>
      <c r="AF188" s="89"/>
      <c r="AG188" s="89"/>
      <c r="AH188" s="89"/>
      <c r="AI188" s="89"/>
      <c r="AJ188" s="89"/>
      <c r="AK188" s="89"/>
      <c r="AL188" s="89"/>
      <c r="AM188" s="89"/>
      <c r="AN188" s="89"/>
      <c r="AO188" s="89"/>
      <c r="AP188" s="89"/>
      <c r="AQ188" s="89"/>
      <c r="AR188" s="89"/>
      <c r="AS188" s="89"/>
      <c r="AT188" s="89"/>
      <c r="AU188" s="89"/>
      <c r="AV188" s="89"/>
      <c r="AW188" s="89"/>
      <c r="AX188" s="89"/>
      <c r="AY188" s="89"/>
      <c r="AZ188" s="89"/>
      <c r="BA188" s="95"/>
    </row>
    <row r="189" spans="1:53" s="87" customFormat="1">
      <c r="A189" s="90" t="str">
        <f t="shared" si="27"/>
        <v/>
      </c>
      <c r="B189" s="89">
        <v>22</v>
      </c>
      <c r="C189" s="89">
        <v>-2</v>
      </c>
      <c r="D189" s="89">
        <v>-7</v>
      </c>
      <c r="E189" s="89">
        <v>-5</v>
      </c>
      <c r="F189" s="89">
        <v>4</v>
      </c>
      <c r="G189" s="89">
        <v>1</v>
      </c>
      <c r="H189" s="89">
        <v>-6</v>
      </c>
      <c r="I189" s="89">
        <v>-10</v>
      </c>
      <c r="J189" s="89">
        <v>3</v>
      </c>
      <c r="K189" s="89">
        <v>9</v>
      </c>
      <c r="L189" s="89">
        <v>8</v>
      </c>
      <c r="M189" s="89" t="s">
        <v>202</v>
      </c>
      <c r="N189" s="89"/>
      <c r="O189" s="89"/>
      <c r="P189" s="89"/>
      <c r="Q189" s="89"/>
      <c r="R189" s="89"/>
      <c r="S189" s="89"/>
      <c r="T189" s="89"/>
      <c r="U189" s="89"/>
      <c r="V189" s="89"/>
      <c r="W189" s="89"/>
      <c r="X189" s="89"/>
      <c r="Y189" s="89"/>
      <c r="Z189" s="89"/>
      <c r="AA189" s="89"/>
      <c r="AB189" s="89"/>
      <c r="AC189" s="89"/>
      <c r="AD189" s="89"/>
      <c r="AE189" s="89"/>
      <c r="AF189" s="89"/>
      <c r="AG189" s="89"/>
      <c r="AH189" s="89"/>
      <c r="AI189" s="89"/>
      <c r="AJ189" s="89"/>
      <c r="AK189" s="89"/>
      <c r="AL189" s="89"/>
      <c r="AM189" s="89"/>
      <c r="AN189" s="89"/>
      <c r="AO189" s="89"/>
      <c r="AP189" s="89"/>
      <c r="AQ189" s="89"/>
      <c r="AR189" s="89"/>
      <c r="AS189" s="89"/>
      <c r="AT189" s="89"/>
      <c r="AU189" s="89"/>
      <c r="AV189" s="89"/>
      <c r="AW189" s="89"/>
      <c r="AX189" s="89"/>
      <c r="AY189" s="89"/>
      <c r="AZ189" s="89"/>
      <c r="BA189" s="95"/>
    </row>
    <row r="190" spans="1:53" s="87" customFormat="1">
      <c r="A190" s="90" t="str">
        <f t="shared" si="27"/>
        <v/>
      </c>
      <c r="B190" s="89" t="s">
        <v>546</v>
      </c>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c r="AA190" s="89"/>
      <c r="AB190" s="89"/>
      <c r="AC190" s="89"/>
      <c r="AD190" s="89"/>
      <c r="AE190" s="89"/>
      <c r="AF190" s="89"/>
      <c r="AG190" s="89"/>
      <c r="AH190" s="89"/>
      <c r="AI190" s="89"/>
      <c r="AJ190" s="89"/>
      <c r="AK190" s="89"/>
      <c r="AL190" s="89"/>
      <c r="AM190" s="89"/>
      <c r="AN190" s="89"/>
      <c r="AO190" s="89"/>
      <c r="AP190" s="89"/>
      <c r="AQ190" s="89"/>
      <c r="AR190" s="89"/>
      <c r="AS190" s="89"/>
      <c r="AT190" s="89"/>
      <c r="AU190" s="89"/>
      <c r="AV190" s="89"/>
      <c r="AW190" s="89"/>
      <c r="AX190" s="89"/>
      <c r="AY190" s="89"/>
      <c r="AZ190" s="89"/>
      <c r="BA190" s="95"/>
    </row>
    <row r="191" spans="1:53" s="87" customFormat="1">
      <c r="A191" s="90">
        <f t="shared" si="27"/>
        <v>191</v>
      </c>
      <c r="B191" s="89" t="s">
        <v>547</v>
      </c>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c r="AA191" s="89"/>
      <c r="AB191" s="89"/>
      <c r="AC191" s="89"/>
      <c r="AD191" s="89"/>
      <c r="AE191" s="89"/>
      <c r="AF191" s="89"/>
      <c r="AG191" s="89"/>
      <c r="AH191" s="89"/>
      <c r="AI191" s="89"/>
      <c r="AJ191" s="89"/>
      <c r="AK191" s="89"/>
      <c r="AL191" s="89"/>
      <c r="AM191" s="89"/>
      <c r="AN191" s="89"/>
      <c r="AO191" s="89"/>
      <c r="AP191" s="89"/>
      <c r="AQ191" s="89"/>
      <c r="AR191" s="89"/>
      <c r="AS191" s="89"/>
      <c r="AT191" s="89"/>
      <c r="AU191" s="89"/>
      <c r="AV191" s="89"/>
      <c r="AW191" s="89"/>
      <c r="AX191" s="89"/>
      <c r="AY191" s="89"/>
      <c r="AZ191" s="89"/>
      <c r="BA191" s="95"/>
    </row>
    <row r="192" spans="1:53" s="87" customFormat="1">
      <c r="A192" s="90" t="str">
        <f t="shared" si="27"/>
        <v/>
      </c>
      <c r="B192" s="89">
        <v>1</v>
      </c>
      <c r="C192" s="89">
        <v>-9</v>
      </c>
      <c r="D192" s="89">
        <v>8</v>
      </c>
      <c r="E192" s="89">
        <v>6</v>
      </c>
      <c r="F192" s="89">
        <v>-4</v>
      </c>
      <c r="G192" s="89">
        <v>-3</v>
      </c>
      <c r="H192" s="89">
        <v>7</v>
      </c>
      <c r="I192" s="89">
        <v>5</v>
      </c>
      <c r="J192" s="89"/>
      <c r="K192" s="89"/>
      <c r="L192" s="89"/>
      <c r="M192" s="89"/>
      <c r="N192" s="89"/>
      <c r="O192" s="89"/>
      <c r="P192" s="89"/>
      <c r="Q192" s="89"/>
      <c r="R192" s="89"/>
      <c r="S192" s="89"/>
      <c r="T192" s="89"/>
      <c r="U192" s="89"/>
      <c r="V192" s="89"/>
      <c r="W192" s="89"/>
      <c r="X192" s="89"/>
      <c r="Y192" s="89"/>
      <c r="Z192" s="89"/>
      <c r="AA192" s="89"/>
      <c r="AB192" s="89"/>
      <c r="AC192" s="89"/>
      <c r="AD192" s="89"/>
      <c r="AE192" s="89"/>
      <c r="AF192" s="89"/>
      <c r="AG192" s="89"/>
      <c r="AH192" s="89"/>
      <c r="AI192" s="89"/>
      <c r="AJ192" s="89"/>
      <c r="AK192" s="89"/>
      <c r="AL192" s="89"/>
      <c r="AM192" s="89"/>
      <c r="AN192" s="89"/>
      <c r="AO192" s="89"/>
      <c r="AP192" s="89"/>
      <c r="AQ192" s="89"/>
      <c r="AR192" s="89"/>
      <c r="AS192" s="89"/>
      <c r="AT192" s="89"/>
      <c r="AU192" s="89"/>
      <c r="AV192" s="89"/>
      <c r="AW192" s="89"/>
      <c r="AX192" s="89"/>
      <c r="AY192" s="89"/>
      <c r="AZ192" s="89"/>
      <c r="BA192" s="95"/>
    </row>
    <row r="193" spans="1:53" s="87" customFormat="1">
      <c r="A193" s="90" t="str">
        <f t="shared" si="27"/>
        <v/>
      </c>
      <c r="B193" s="89">
        <v>2</v>
      </c>
      <c r="C193" s="89">
        <v>-10</v>
      </c>
      <c r="D193" s="89">
        <v>7</v>
      </c>
      <c r="E193" s="89">
        <v>9</v>
      </c>
      <c r="F193" s="89">
        <v>-3</v>
      </c>
      <c r="G193" s="89">
        <v>8</v>
      </c>
      <c r="H193" s="89">
        <v>-6</v>
      </c>
      <c r="I193" s="89">
        <v>-5</v>
      </c>
      <c r="J193" s="89"/>
      <c r="K193" s="89"/>
      <c r="L193" s="89"/>
      <c r="M193" s="89"/>
      <c r="N193" s="89"/>
      <c r="O193" s="89"/>
      <c r="P193" s="89"/>
      <c r="Q193" s="89"/>
      <c r="R193" s="89"/>
      <c r="S193" s="89"/>
      <c r="T193" s="89"/>
      <c r="U193" s="89"/>
      <c r="V193" s="89"/>
      <c r="W193" s="89"/>
      <c r="X193" s="89"/>
      <c r="Y193" s="89"/>
      <c r="Z193" s="89"/>
      <c r="AA193" s="89"/>
      <c r="AB193" s="89"/>
      <c r="AC193" s="89"/>
      <c r="AD193" s="89"/>
      <c r="AE193" s="89"/>
      <c r="AF193" s="89"/>
      <c r="AG193" s="89"/>
      <c r="AH193" s="89"/>
      <c r="AI193" s="89"/>
      <c r="AJ193" s="89"/>
      <c r="AK193" s="89"/>
      <c r="AL193" s="89"/>
      <c r="AM193" s="89"/>
      <c r="AN193" s="89"/>
      <c r="AO193" s="89"/>
      <c r="AP193" s="89"/>
      <c r="AQ193" s="89"/>
      <c r="AR193" s="89"/>
      <c r="AS193" s="89"/>
      <c r="AT193" s="89"/>
      <c r="AU193" s="89"/>
      <c r="AV193" s="89"/>
      <c r="AW193" s="89"/>
      <c r="AX193" s="89"/>
      <c r="AY193" s="89"/>
      <c r="AZ193" s="89"/>
      <c r="BA193" s="95"/>
    </row>
    <row r="194" spans="1:53" s="87" customFormat="1">
      <c r="A194" s="90" t="str">
        <f t="shared" si="27"/>
        <v/>
      </c>
      <c r="B194" s="89">
        <v>3</v>
      </c>
      <c r="C194" s="89">
        <v>9</v>
      </c>
      <c r="D194" s="89">
        <v>-7</v>
      </c>
      <c r="E194" s="89">
        <v>-3</v>
      </c>
      <c r="F194" s="89">
        <v>5</v>
      </c>
      <c r="G194" s="89">
        <v>2</v>
      </c>
      <c r="H194" s="89">
        <v>-4</v>
      </c>
      <c r="I194" s="89">
        <v>6</v>
      </c>
      <c r="J194" s="89"/>
      <c r="K194" s="89"/>
      <c r="L194" s="89"/>
      <c r="M194" s="89"/>
      <c r="N194" s="89"/>
      <c r="O194" s="89"/>
      <c r="P194" s="89"/>
      <c r="Q194" s="89"/>
      <c r="R194" s="89"/>
      <c r="S194" s="89"/>
      <c r="T194" s="89"/>
      <c r="U194" s="89"/>
      <c r="V194" s="89"/>
      <c r="W194" s="89"/>
      <c r="X194" s="89"/>
      <c r="Y194" s="89"/>
      <c r="Z194" s="89"/>
      <c r="AA194" s="89"/>
      <c r="AB194" s="89"/>
      <c r="AC194" s="89"/>
      <c r="AD194" s="89"/>
      <c r="AE194" s="89"/>
      <c r="AF194" s="89"/>
      <c r="AG194" s="89"/>
      <c r="AH194" s="89"/>
      <c r="AI194" s="89"/>
      <c r="AJ194" s="89"/>
      <c r="AK194" s="89"/>
      <c r="AL194" s="89"/>
      <c r="AM194" s="89"/>
      <c r="AN194" s="89"/>
      <c r="AO194" s="89"/>
      <c r="AP194" s="89"/>
      <c r="AQ194" s="89"/>
      <c r="AR194" s="89"/>
      <c r="AS194" s="89"/>
      <c r="AT194" s="89"/>
      <c r="AU194" s="89"/>
      <c r="AV194" s="89"/>
      <c r="AW194" s="89"/>
      <c r="AX194" s="89"/>
      <c r="AY194" s="89"/>
      <c r="AZ194" s="89"/>
      <c r="BA194" s="95"/>
    </row>
    <row r="195" spans="1:53" s="87" customFormat="1">
      <c r="A195" s="90" t="str">
        <f t="shared" si="27"/>
        <v/>
      </c>
      <c r="B195" s="89">
        <v>4</v>
      </c>
      <c r="C195" s="89">
        <v>10</v>
      </c>
      <c r="D195" s="89">
        <v>-8</v>
      </c>
      <c r="E195" s="89">
        <v>7</v>
      </c>
      <c r="F195" s="89">
        <v>-2</v>
      </c>
      <c r="G195" s="89">
        <v>9</v>
      </c>
      <c r="H195" s="89">
        <v>-5</v>
      </c>
      <c r="I195" s="89">
        <v>-6</v>
      </c>
      <c r="J195" s="89"/>
      <c r="K195" s="89"/>
      <c r="L195" s="89"/>
      <c r="M195" s="89"/>
      <c r="N195" s="89"/>
      <c r="O195" s="89"/>
      <c r="P195" s="89"/>
      <c r="Q195" s="89"/>
      <c r="R195" s="89"/>
      <c r="S195" s="89"/>
      <c r="T195" s="89"/>
      <c r="U195" s="89"/>
      <c r="V195" s="89"/>
      <c r="W195" s="89"/>
      <c r="X195" s="89"/>
      <c r="Y195" s="89"/>
      <c r="Z195" s="89"/>
      <c r="AA195" s="89"/>
      <c r="AB195" s="89"/>
      <c r="AC195" s="89"/>
      <c r="AD195" s="89"/>
      <c r="AE195" s="89"/>
      <c r="AF195" s="89"/>
      <c r="AG195" s="89"/>
      <c r="AH195" s="89"/>
      <c r="AI195" s="89"/>
      <c r="AJ195" s="89"/>
      <c r="AK195" s="89"/>
      <c r="AL195" s="89"/>
      <c r="AM195" s="89"/>
      <c r="AN195" s="89"/>
      <c r="AO195" s="89"/>
      <c r="AP195" s="89"/>
      <c r="AQ195" s="89"/>
      <c r="AR195" s="89"/>
      <c r="AS195" s="89"/>
      <c r="AT195" s="89"/>
      <c r="AU195" s="89"/>
      <c r="AV195" s="89"/>
      <c r="AW195" s="89"/>
      <c r="AX195" s="89"/>
      <c r="AY195" s="89"/>
      <c r="AZ195" s="89"/>
      <c r="BA195" s="95"/>
    </row>
    <row r="196" spans="1:53" s="87" customFormat="1">
      <c r="A196" s="90" t="str">
        <f t="shared" si="27"/>
        <v/>
      </c>
      <c r="B196" s="89">
        <v>5</v>
      </c>
      <c r="C196" s="89">
        <v>-5</v>
      </c>
      <c r="D196" s="89">
        <v>-10</v>
      </c>
      <c r="E196" s="89">
        <v>3</v>
      </c>
      <c r="F196" s="89">
        <v>2</v>
      </c>
      <c r="G196" s="89">
        <v>-8</v>
      </c>
      <c r="H196" s="89">
        <v>-7</v>
      </c>
      <c r="I196" s="89">
        <v>4</v>
      </c>
      <c r="J196" s="89"/>
      <c r="K196" s="89"/>
      <c r="L196" s="89"/>
      <c r="M196" s="89"/>
      <c r="N196" s="89"/>
      <c r="O196" s="89"/>
      <c r="P196" s="89"/>
      <c r="Q196" s="89"/>
      <c r="R196" s="89"/>
      <c r="S196" s="89"/>
      <c r="T196" s="89"/>
      <c r="U196" s="89"/>
      <c r="V196" s="89"/>
      <c r="W196" s="89"/>
      <c r="X196" s="89"/>
      <c r="Y196" s="89"/>
      <c r="Z196" s="89"/>
      <c r="AA196" s="89"/>
      <c r="AB196" s="89"/>
      <c r="AC196" s="89"/>
      <c r="AD196" s="89"/>
      <c r="AE196" s="89"/>
      <c r="AF196" s="89"/>
      <c r="AG196" s="89"/>
      <c r="AH196" s="89"/>
      <c r="AI196" s="89"/>
      <c r="AJ196" s="89"/>
      <c r="AK196" s="89"/>
      <c r="AL196" s="89"/>
      <c r="AM196" s="89"/>
      <c r="AN196" s="89"/>
      <c r="AO196" s="89"/>
      <c r="AP196" s="89"/>
      <c r="AQ196" s="89"/>
      <c r="AR196" s="89"/>
      <c r="AS196" s="89"/>
      <c r="AT196" s="89"/>
      <c r="AU196" s="89"/>
      <c r="AV196" s="89"/>
      <c r="AW196" s="89"/>
      <c r="AX196" s="89"/>
      <c r="AY196" s="89"/>
      <c r="AZ196" s="89"/>
      <c r="BA196" s="95"/>
    </row>
    <row r="197" spans="1:53" s="87" customFormat="1">
      <c r="A197" s="90" t="str">
        <f t="shared" si="27"/>
        <v/>
      </c>
      <c r="B197" s="89">
        <v>6</v>
      </c>
      <c r="C197" s="89">
        <v>8</v>
      </c>
      <c r="D197" s="89">
        <v>1</v>
      </c>
      <c r="E197" s="89">
        <v>-7</v>
      </c>
      <c r="F197" s="89">
        <v>-5</v>
      </c>
      <c r="G197" s="89">
        <v>3</v>
      </c>
      <c r="H197" s="89">
        <v>6</v>
      </c>
      <c r="I197" s="89">
        <v>-4</v>
      </c>
      <c r="J197" s="89"/>
      <c r="K197" s="89"/>
      <c r="L197" s="89"/>
      <c r="M197" s="89"/>
      <c r="N197" s="89"/>
      <c r="O197" s="89"/>
      <c r="P197" s="89"/>
      <c r="Q197" s="89"/>
      <c r="R197" s="89"/>
      <c r="S197" s="89"/>
      <c r="T197" s="89"/>
      <c r="U197" s="89"/>
      <c r="V197" s="89"/>
      <c r="W197" s="89"/>
      <c r="X197" s="89"/>
      <c r="Y197" s="89"/>
      <c r="Z197" s="89"/>
      <c r="AA197" s="89"/>
      <c r="AB197" s="89"/>
      <c r="AC197" s="89"/>
      <c r="AD197" s="89"/>
      <c r="AE197" s="89"/>
      <c r="AF197" s="89"/>
      <c r="AG197" s="89"/>
      <c r="AH197" s="89"/>
      <c r="AI197" s="89"/>
      <c r="AJ197" s="89"/>
      <c r="AK197" s="89"/>
      <c r="AL197" s="89"/>
      <c r="AM197" s="89"/>
      <c r="AN197" s="89"/>
      <c r="AO197" s="89"/>
      <c r="AP197" s="89"/>
      <c r="AQ197" s="89"/>
      <c r="AR197" s="89"/>
      <c r="AS197" s="89"/>
      <c r="AT197" s="89"/>
      <c r="AU197" s="89"/>
      <c r="AV197" s="89"/>
      <c r="AW197" s="89"/>
      <c r="AX197" s="89"/>
      <c r="AY197" s="89"/>
      <c r="AZ197" s="89"/>
      <c r="BA197" s="95"/>
    </row>
    <row r="198" spans="1:53" s="87" customFormat="1">
      <c r="A198" s="90" t="str">
        <f t="shared" si="27"/>
        <v/>
      </c>
      <c r="B198" s="89">
        <v>7</v>
      </c>
      <c r="C198" s="89">
        <v>-8</v>
      </c>
      <c r="D198" s="89">
        <v>10</v>
      </c>
      <c r="E198" s="89">
        <v>-9</v>
      </c>
      <c r="F198" s="89">
        <v>4</v>
      </c>
      <c r="G198" s="89">
        <v>-2</v>
      </c>
      <c r="H198" s="89">
        <v>5</v>
      </c>
      <c r="I198" s="89">
        <v>7</v>
      </c>
      <c r="J198" s="89"/>
      <c r="K198" s="89"/>
      <c r="L198" s="89"/>
      <c r="M198" s="89"/>
      <c r="N198" s="89"/>
      <c r="O198" s="89"/>
      <c r="P198" s="89"/>
      <c r="Q198" s="89"/>
      <c r="R198" s="89"/>
      <c r="S198" s="89"/>
      <c r="T198" s="89"/>
      <c r="U198" s="89"/>
      <c r="V198" s="89"/>
      <c r="W198" s="89"/>
      <c r="X198" s="89"/>
      <c r="Y198" s="89"/>
      <c r="Z198" s="89"/>
      <c r="AA198" s="89"/>
      <c r="AB198" s="89"/>
      <c r="AC198" s="89"/>
      <c r="AD198" s="89"/>
      <c r="AE198" s="89"/>
      <c r="AF198" s="89"/>
      <c r="AG198" s="89"/>
      <c r="AH198" s="89"/>
      <c r="AI198" s="89"/>
      <c r="AJ198" s="89"/>
      <c r="AK198" s="89"/>
      <c r="AL198" s="89"/>
      <c r="AM198" s="89"/>
      <c r="AN198" s="89"/>
      <c r="AO198" s="89"/>
      <c r="AP198" s="89"/>
      <c r="AQ198" s="89"/>
      <c r="AR198" s="89"/>
      <c r="AS198" s="89"/>
      <c r="AT198" s="89"/>
      <c r="AU198" s="89"/>
      <c r="AV198" s="89"/>
      <c r="AW198" s="89"/>
      <c r="AX198" s="89"/>
      <c r="AY198" s="89"/>
      <c r="AZ198" s="89"/>
      <c r="BA198" s="95"/>
    </row>
    <row r="199" spans="1:53" s="87" customFormat="1">
      <c r="A199" s="90" t="str">
        <f t="shared" si="27"/>
        <v/>
      </c>
      <c r="B199" s="99">
        <v>8</v>
      </c>
      <c r="C199" s="92">
        <v>5</v>
      </c>
      <c r="D199" s="92">
        <v>-1</v>
      </c>
      <c r="E199" s="92">
        <v>-6</v>
      </c>
      <c r="F199" s="92">
        <v>3</v>
      </c>
      <c r="G199" s="92">
        <v>-9</v>
      </c>
      <c r="H199" s="92">
        <v>4</v>
      </c>
      <c r="I199" s="92">
        <v>-7</v>
      </c>
      <c r="J199" s="89"/>
      <c r="K199" s="89"/>
      <c r="L199" s="89"/>
      <c r="M199" s="89"/>
      <c r="N199" s="89"/>
      <c r="O199" s="89"/>
      <c r="P199" s="89"/>
      <c r="Q199" s="89"/>
      <c r="R199" s="89"/>
      <c r="S199" s="89"/>
      <c r="T199" s="89"/>
      <c r="U199" s="89"/>
      <c r="V199" s="89"/>
      <c r="W199" s="89"/>
      <c r="X199" s="89"/>
      <c r="Y199" s="89"/>
      <c r="Z199" s="89"/>
      <c r="AA199" s="89"/>
      <c r="AB199" s="89"/>
      <c r="AC199" s="89"/>
      <c r="AD199" s="89"/>
      <c r="AE199" s="89"/>
      <c r="AF199" s="89"/>
      <c r="AG199" s="89"/>
      <c r="AH199" s="89"/>
      <c r="AI199" s="89"/>
      <c r="AJ199" s="89"/>
      <c r="AK199" s="89"/>
      <c r="AL199" s="89"/>
      <c r="AM199" s="89"/>
      <c r="AN199" s="89"/>
      <c r="AO199" s="89"/>
      <c r="AP199" s="89"/>
      <c r="AQ199" s="89"/>
      <c r="AR199" s="89"/>
      <c r="AS199" s="89"/>
      <c r="AT199" s="89"/>
      <c r="AU199" s="89"/>
      <c r="AV199" s="89"/>
      <c r="AW199" s="89"/>
      <c r="AX199" s="89"/>
      <c r="AY199" s="89"/>
      <c r="AZ199" s="89"/>
      <c r="BA199" s="95"/>
    </row>
    <row r="200" spans="1:53" s="87" customFormat="1">
      <c r="A200" s="90" t="str">
        <f t="shared" si="27"/>
        <v/>
      </c>
      <c r="B200" s="89">
        <v>9</v>
      </c>
      <c r="C200" s="89" t="s">
        <v>202</v>
      </c>
      <c r="D200" s="89">
        <v>9</v>
      </c>
      <c r="E200" s="89">
        <v>-8</v>
      </c>
      <c r="F200" s="89">
        <v>7</v>
      </c>
      <c r="G200" s="89">
        <v>5</v>
      </c>
      <c r="H200" s="89">
        <v>-2</v>
      </c>
      <c r="I200" s="89">
        <v>-3</v>
      </c>
      <c r="J200" s="89"/>
      <c r="K200" s="89"/>
      <c r="L200" s="89"/>
      <c r="M200" s="89"/>
      <c r="N200" s="89"/>
      <c r="O200" s="89"/>
      <c r="P200" s="89"/>
      <c r="Q200" s="89"/>
      <c r="R200" s="89"/>
      <c r="S200" s="89"/>
      <c r="T200" s="89"/>
      <c r="U200" s="89"/>
      <c r="V200" s="89"/>
      <c r="W200" s="89"/>
      <c r="X200" s="89"/>
      <c r="Y200" s="89"/>
      <c r="Z200" s="89"/>
      <c r="AA200" s="89"/>
      <c r="AB200" s="89"/>
      <c r="AC200" s="89"/>
      <c r="AD200" s="89"/>
      <c r="AE200" s="89"/>
      <c r="AF200" s="89"/>
      <c r="AG200" s="89"/>
      <c r="AH200" s="89"/>
      <c r="AI200" s="89"/>
      <c r="AJ200" s="89"/>
      <c r="AK200" s="89"/>
      <c r="AL200" s="89"/>
      <c r="AM200" s="89"/>
      <c r="AN200" s="89"/>
      <c r="AO200" s="89"/>
      <c r="AP200" s="89"/>
      <c r="AQ200" s="89"/>
      <c r="AR200" s="89"/>
      <c r="AS200" s="89"/>
      <c r="AT200" s="89"/>
      <c r="AU200" s="89"/>
      <c r="AV200" s="89"/>
      <c r="AW200" s="89"/>
      <c r="AX200" s="89"/>
      <c r="AY200" s="89"/>
      <c r="AZ200" s="89"/>
      <c r="BA200" s="95"/>
    </row>
    <row r="201" spans="1:53" s="87" customFormat="1">
      <c r="A201" s="90" t="str">
        <f t="shared" si="27"/>
        <v/>
      </c>
      <c r="B201" s="89">
        <v>10</v>
      </c>
      <c r="C201" s="89">
        <v>-2</v>
      </c>
      <c r="D201" s="89" t="s">
        <v>202</v>
      </c>
      <c r="E201" s="89">
        <v>1</v>
      </c>
      <c r="F201" s="89">
        <v>-6</v>
      </c>
      <c r="G201" s="89">
        <v>-10</v>
      </c>
      <c r="H201" s="89">
        <v>9</v>
      </c>
      <c r="I201" s="89">
        <v>3</v>
      </c>
      <c r="J201" s="89"/>
      <c r="K201" s="89"/>
      <c r="L201" s="89"/>
      <c r="M201" s="89"/>
      <c r="N201" s="89"/>
      <c r="O201" s="89"/>
      <c r="P201" s="89"/>
      <c r="Q201" s="89"/>
      <c r="R201" s="89"/>
      <c r="S201" s="89"/>
      <c r="T201" s="89"/>
      <c r="U201" s="89"/>
      <c r="V201" s="89"/>
      <c r="W201" s="89"/>
      <c r="X201" s="89"/>
      <c r="Y201" s="89"/>
      <c r="Z201" s="89"/>
      <c r="AA201" s="89"/>
      <c r="AB201" s="89"/>
      <c r="AC201" s="89"/>
      <c r="AD201" s="89"/>
      <c r="AE201" s="89"/>
      <c r="AF201" s="89"/>
      <c r="AG201" s="89"/>
      <c r="AH201" s="89"/>
      <c r="AI201" s="89"/>
      <c r="AJ201" s="89"/>
      <c r="AK201" s="89"/>
      <c r="AL201" s="89"/>
      <c r="AM201" s="89"/>
      <c r="AN201" s="89"/>
      <c r="AO201" s="89"/>
      <c r="AP201" s="89"/>
      <c r="AQ201" s="89"/>
      <c r="AR201" s="89"/>
      <c r="AS201" s="89"/>
      <c r="AT201" s="89"/>
      <c r="AU201" s="89"/>
      <c r="AV201" s="89"/>
      <c r="AW201" s="89"/>
      <c r="AX201" s="89"/>
      <c r="AY201" s="89"/>
      <c r="AZ201" s="89"/>
      <c r="BA201" s="95"/>
    </row>
    <row r="202" spans="1:53" s="87" customFormat="1">
      <c r="A202" s="90" t="str">
        <f t="shared" si="27"/>
        <v/>
      </c>
      <c r="B202" s="89">
        <v>11</v>
      </c>
      <c r="C202" s="89">
        <v>-4</v>
      </c>
      <c r="D202" s="89">
        <v>3</v>
      </c>
      <c r="E202" s="89" t="s">
        <v>202</v>
      </c>
      <c r="F202" s="89">
        <v>1</v>
      </c>
      <c r="G202" s="89">
        <v>-5</v>
      </c>
      <c r="H202" s="89">
        <v>-9</v>
      </c>
      <c r="I202" s="89">
        <v>8</v>
      </c>
      <c r="J202" s="89"/>
      <c r="K202" s="89"/>
      <c r="L202" s="89"/>
      <c r="M202" s="89"/>
      <c r="N202" s="89"/>
      <c r="O202" s="89"/>
      <c r="P202" s="89"/>
      <c r="Q202" s="89"/>
      <c r="R202" s="89"/>
      <c r="S202" s="89"/>
      <c r="T202" s="89"/>
      <c r="U202" s="89"/>
      <c r="V202" s="89"/>
      <c r="W202" s="89"/>
      <c r="X202" s="89"/>
      <c r="Y202" s="89"/>
      <c r="Z202" s="89"/>
      <c r="AA202" s="89"/>
      <c r="AB202" s="89"/>
      <c r="AC202" s="89"/>
      <c r="AD202" s="89"/>
      <c r="AE202" s="89"/>
      <c r="AF202" s="89"/>
      <c r="AG202" s="89"/>
      <c r="AH202" s="89"/>
      <c r="AI202" s="89"/>
      <c r="AJ202" s="89"/>
      <c r="AK202" s="89"/>
      <c r="AL202" s="89"/>
      <c r="AM202" s="89"/>
      <c r="AN202" s="89"/>
      <c r="AO202" s="89"/>
      <c r="AP202" s="89"/>
      <c r="AQ202" s="89"/>
      <c r="AR202" s="89"/>
      <c r="AS202" s="89"/>
      <c r="AT202" s="89"/>
      <c r="AU202" s="89"/>
      <c r="AV202" s="89"/>
      <c r="AW202" s="89"/>
      <c r="AX202" s="89"/>
      <c r="AY202" s="89"/>
      <c r="AZ202" s="89"/>
      <c r="BA202" s="95"/>
    </row>
    <row r="203" spans="1:53" s="87" customFormat="1">
      <c r="A203" s="90" t="str">
        <f t="shared" si="27"/>
        <v/>
      </c>
      <c r="B203" s="89">
        <v>12</v>
      </c>
      <c r="C203" s="89">
        <v>1</v>
      </c>
      <c r="D203" s="89">
        <v>-6</v>
      </c>
      <c r="E203" s="89">
        <v>-5</v>
      </c>
      <c r="F203" s="89" t="s">
        <v>202</v>
      </c>
      <c r="G203" s="89">
        <v>10</v>
      </c>
      <c r="H203" s="89">
        <v>2</v>
      </c>
      <c r="I203" s="89">
        <v>-8</v>
      </c>
      <c r="J203" s="89"/>
      <c r="K203" s="89"/>
      <c r="L203" s="89"/>
      <c r="M203" s="89"/>
      <c r="N203" s="89"/>
      <c r="O203" s="89"/>
      <c r="P203" s="89"/>
      <c r="Q203" s="89"/>
      <c r="R203" s="89"/>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c r="AW203" s="89"/>
      <c r="AX203" s="89"/>
      <c r="AY203" s="89"/>
      <c r="AZ203" s="89"/>
      <c r="BA203" s="95"/>
    </row>
    <row r="204" spans="1:53" s="87" customFormat="1">
      <c r="A204" s="90" t="str">
        <f t="shared" ref="A204:A267" si="28">IF(MID(B204,3,2)="10",ROW(),"")</f>
        <v/>
      </c>
      <c r="B204" s="89">
        <v>13</v>
      </c>
      <c r="C204" s="89">
        <v>-1</v>
      </c>
      <c r="D204" s="89">
        <v>-3</v>
      </c>
      <c r="E204" s="89">
        <v>8</v>
      </c>
      <c r="F204" s="89">
        <v>6</v>
      </c>
      <c r="G204" s="89">
        <v>-4</v>
      </c>
      <c r="H204" s="89" t="s">
        <v>202</v>
      </c>
      <c r="I204" s="89">
        <v>2</v>
      </c>
      <c r="J204" s="89"/>
      <c r="K204" s="89"/>
      <c r="L204" s="89"/>
      <c r="M204" s="89"/>
      <c r="N204" s="89"/>
      <c r="O204" s="89"/>
      <c r="P204" s="89"/>
      <c r="Q204" s="89"/>
      <c r="R204" s="89"/>
      <c r="S204" s="89"/>
      <c r="T204" s="89"/>
      <c r="U204" s="89"/>
      <c r="V204" s="89"/>
      <c r="W204" s="89"/>
      <c r="X204" s="89"/>
      <c r="Y204" s="89"/>
      <c r="Z204" s="89"/>
      <c r="AA204" s="89"/>
      <c r="AB204" s="89"/>
      <c r="AC204" s="89"/>
      <c r="AD204" s="89"/>
      <c r="AE204" s="89"/>
      <c r="AF204" s="89"/>
      <c r="AG204" s="89"/>
      <c r="AH204" s="89"/>
      <c r="AI204" s="89"/>
      <c r="AJ204" s="89"/>
      <c r="AK204" s="89"/>
      <c r="AL204" s="89"/>
      <c r="AM204" s="89"/>
      <c r="AN204" s="89"/>
      <c r="AO204" s="89"/>
      <c r="AP204" s="89"/>
      <c r="AQ204" s="89"/>
      <c r="AR204" s="89"/>
      <c r="AS204" s="89"/>
      <c r="AT204" s="89"/>
      <c r="AU204" s="89"/>
      <c r="AV204" s="89"/>
      <c r="AW204" s="89"/>
      <c r="AX204" s="89"/>
      <c r="AY204" s="89"/>
      <c r="AZ204" s="89"/>
      <c r="BA204" s="95"/>
    </row>
    <row r="205" spans="1:53" s="87" customFormat="1">
      <c r="A205" s="90" t="str">
        <f t="shared" si="28"/>
        <v/>
      </c>
      <c r="B205" s="89">
        <v>14</v>
      </c>
      <c r="C205" s="89">
        <v>4</v>
      </c>
      <c r="D205" s="89">
        <v>6</v>
      </c>
      <c r="E205" s="89">
        <v>-1</v>
      </c>
      <c r="F205" s="89">
        <v>-7</v>
      </c>
      <c r="G205" s="89" t="s">
        <v>202</v>
      </c>
      <c r="H205" s="89">
        <v>10</v>
      </c>
      <c r="I205" s="89">
        <v>-2</v>
      </c>
      <c r="J205" s="89"/>
      <c r="K205" s="89"/>
      <c r="L205" s="89"/>
      <c r="M205" s="89"/>
      <c r="N205" s="89"/>
      <c r="O205" s="89"/>
      <c r="P205" s="89"/>
      <c r="Q205" s="89"/>
      <c r="R205" s="89"/>
      <c r="S205" s="89"/>
      <c r="T205" s="89"/>
      <c r="U205" s="89"/>
      <c r="V205" s="89"/>
      <c r="W205" s="89"/>
      <c r="X205" s="89"/>
      <c r="Y205" s="89"/>
      <c r="Z205" s="89"/>
      <c r="AA205" s="89"/>
      <c r="AB205" s="89"/>
      <c r="AC205" s="89"/>
      <c r="AD205" s="89"/>
      <c r="AE205" s="89"/>
      <c r="AF205" s="89"/>
      <c r="AG205" s="89"/>
      <c r="AH205" s="89"/>
      <c r="AI205" s="89"/>
      <c r="AJ205" s="89"/>
      <c r="AK205" s="89"/>
      <c r="AL205" s="89"/>
      <c r="AM205" s="89"/>
      <c r="AN205" s="89"/>
      <c r="AO205" s="89"/>
      <c r="AP205" s="89"/>
      <c r="AQ205" s="89"/>
      <c r="AR205" s="89"/>
      <c r="AS205" s="89"/>
      <c r="AT205" s="89"/>
      <c r="AU205" s="89"/>
      <c r="AV205" s="89"/>
      <c r="AW205" s="89"/>
      <c r="AX205" s="89"/>
      <c r="AY205" s="89"/>
      <c r="AZ205" s="89"/>
      <c r="BA205" s="95"/>
    </row>
    <row r="206" spans="1:53" s="87" customFormat="1">
      <c r="A206" s="90" t="str">
        <f t="shared" si="28"/>
        <v/>
      </c>
      <c r="B206" s="99">
        <v>15</v>
      </c>
      <c r="C206" s="92">
        <v>2</v>
      </c>
      <c r="D206" s="92">
        <v>-9</v>
      </c>
      <c r="E206" s="92">
        <v>5</v>
      </c>
      <c r="F206" s="92">
        <v>-1</v>
      </c>
      <c r="G206" s="92">
        <v>4</v>
      </c>
      <c r="H206" s="92">
        <v>-10</v>
      </c>
      <c r="I206" s="92" t="s">
        <v>202</v>
      </c>
      <c r="J206" s="89"/>
      <c r="K206" s="89"/>
      <c r="L206" s="89"/>
      <c r="M206" s="89"/>
      <c r="N206" s="89"/>
      <c r="O206" s="89"/>
      <c r="P206" s="89"/>
      <c r="Q206" s="89"/>
      <c r="R206" s="89"/>
      <c r="S206" s="89"/>
      <c r="T206" s="89"/>
      <c r="U206" s="89"/>
      <c r="V206" s="89"/>
      <c r="W206" s="89"/>
      <c r="X206" s="89"/>
      <c r="Y206" s="89"/>
      <c r="Z206" s="89"/>
      <c r="AA206" s="89"/>
      <c r="AB206" s="89"/>
      <c r="AC206" s="89"/>
      <c r="AD206" s="89"/>
      <c r="AE206" s="89"/>
      <c r="AF206" s="89"/>
      <c r="AG206" s="89"/>
      <c r="AH206" s="89"/>
      <c r="AI206" s="89"/>
      <c r="AJ206" s="89"/>
      <c r="AK206" s="89"/>
      <c r="AL206" s="89"/>
      <c r="AM206" s="89"/>
      <c r="AN206" s="89"/>
      <c r="AO206" s="89"/>
      <c r="AP206" s="89"/>
      <c r="AQ206" s="89"/>
      <c r="AR206" s="89"/>
      <c r="AS206" s="89"/>
      <c r="AT206" s="89"/>
      <c r="AU206" s="89"/>
      <c r="AV206" s="89"/>
      <c r="AW206" s="89"/>
      <c r="AX206" s="89"/>
      <c r="AY206" s="89"/>
      <c r="AZ206" s="89"/>
      <c r="BA206" s="95"/>
    </row>
    <row r="207" spans="1:53" s="87" customFormat="1">
      <c r="A207" s="90" t="str">
        <f t="shared" si="28"/>
        <v/>
      </c>
      <c r="B207" s="89">
        <v>16</v>
      </c>
      <c r="C207" s="89">
        <v>6</v>
      </c>
      <c r="D207" s="89" t="s">
        <v>202</v>
      </c>
      <c r="E207" s="89">
        <v>-10</v>
      </c>
      <c r="F207" s="89">
        <v>8</v>
      </c>
      <c r="G207" s="89">
        <v>1</v>
      </c>
      <c r="H207" s="89">
        <v>-3</v>
      </c>
      <c r="I207" s="89">
        <v>-9</v>
      </c>
      <c r="J207" s="89"/>
      <c r="K207" s="89"/>
      <c r="L207" s="89"/>
      <c r="M207" s="89"/>
      <c r="N207" s="89"/>
      <c r="O207" s="89"/>
      <c r="P207" s="89"/>
      <c r="Q207" s="89"/>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95"/>
    </row>
    <row r="208" spans="1:53" s="87" customFormat="1">
      <c r="A208" s="90" t="str">
        <f t="shared" si="28"/>
        <v/>
      </c>
      <c r="B208" s="89">
        <v>17</v>
      </c>
      <c r="C208" s="89">
        <v>-3</v>
      </c>
      <c r="D208" s="89">
        <v>2</v>
      </c>
      <c r="E208" s="89" t="s">
        <v>202</v>
      </c>
      <c r="F208" s="89">
        <v>-10</v>
      </c>
      <c r="G208" s="89">
        <v>-7</v>
      </c>
      <c r="H208" s="89">
        <v>1</v>
      </c>
      <c r="I208" s="89">
        <v>9</v>
      </c>
      <c r="J208" s="89"/>
      <c r="K208" s="89"/>
      <c r="L208" s="89"/>
      <c r="M208" s="89"/>
      <c r="N208" s="89"/>
      <c r="O208" s="89"/>
      <c r="P208" s="89"/>
      <c r="Q208" s="89"/>
      <c r="R208" s="89"/>
      <c r="S208" s="89"/>
      <c r="T208" s="89"/>
      <c r="U208" s="89"/>
      <c r="V208" s="89"/>
      <c r="W208" s="89"/>
      <c r="X208" s="89"/>
      <c r="Y208" s="89"/>
      <c r="Z208" s="89"/>
      <c r="AA208" s="89"/>
      <c r="AB208" s="89"/>
      <c r="AC208" s="89"/>
      <c r="AD208" s="89"/>
      <c r="AE208" s="89"/>
      <c r="AF208" s="89"/>
      <c r="AG208" s="89"/>
      <c r="AH208" s="89"/>
      <c r="AI208" s="89"/>
      <c r="AJ208" s="89"/>
      <c r="AK208" s="89"/>
      <c r="AL208" s="89"/>
      <c r="AM208" s="89"/>
      <c r="AN208" s="89"/>
      <c r="AO208" s="89"/>
      <c r="AP208" s="89"/>
      <c r="AQ208" s="89"/>
      <c r="AR208" s="89"/>
      <c r="AS208" s="89"/>
      <c r="AT208" s="89"/>
      <c r="AU208" s="89"/>
      <c r="AV208" s="89"/>
      <c r="AW208" s="89"/>
      <c r="AX208" s="89"/>
      <c r="AY208" s="89"/>
      <c r="AZ208" s="89"/>
      <c r="BA208" s="95"/>
    </row>
    <row r="209" spans="1:53" s="87" customFormat="1">
      <c r="A209" s="90" t="str">
        <f t="shared" si="28"/>
        <v/>
      </c>
      <c r="B209" s="89">
        <v>18</v>
      </c>
      <c r="C209" s="89">
        <v>3</v>
      </c>
      <c r="D209" s="89">
        <v>5</v>
      </c>
      <c r="E209" s="89">
        <v>-4</v>
      </c>
      <c r="F209" s="89">
        <v>-8</v>
      </c>
      <c r="G209" s="89">
        <v>6</v>
      </c>
      <c r="H209" s="89" t="s">
        <v>202</v>
      </c>
      <c r="I209" s="89">
        <v>-1</v>
      </c>
      <c r="J209" s="89"/>
      <c r="K209" s="89"/>
      <c r="L209" s="89"/>
      <c r="M209" s="89"/>
      <c r="N209" s="89"/>
      <c r="O209" s="89"/>
      <c r="P209" s="89"/>
      <c r="Q209" s="89"/>
      <c r="R209" s="89"/>
      <c r="S209" s="89"/>
      <c r="T209" s="89"/>
      <c r="U209" s="89"/>
      <c r="V209" s="89"/>
      <c r="W209" s="89"/>
      <c r="X209" s="89"/>
      <c r="Y209" s="89"/>
      <c r="Z209" s="89"/>
      <c r="AA209" s="89"/>
      <c r="AB209" s="89"/>
      <c r="AC209" s="89"/>
      <c r="AD209" s="89"/>
      <c r="AE209" s="89"/>
      <c r="AF209" s="89"/>
      <c r="AG209" s="89"/>
      <c r="AH209" s="89"/>
      <c r="AI209" s="89"/>
      <c r="AJ209" s="89"/>
      <c r="AK209" s="89"/>
      <c r="AL209" s="89"/>
      <c r="AM209" s="89"/>
      <c r="AN209" s="89"/>
      <c r="AO209" s="89"/>
      <c r="AP209" s="89"/>
      <c r="AQ209" s="89"/>
      <c r="AR209" s="89"/>
      <c r="AS209" s="89"/>
      <c r="AT209" s="89"/>
      <c r="AU209" s="89"/>
      <c r="AV209" s="89"/>
      <c r="AW209" s="89"/>
      <c r="AX209" s="89"/>
      <c r="AY209" s="89"/>
      <c r="AZ209" s="89"/>
      <c r="BA209" s="95"/>
    </row>
    <row r="210" spans="1:53" s="87" customFormat="1">
      <c r="A210" s="90" t="str">
        <f t="shared" si="28"/>
        <v/>
      </c>
      <c r="B210" s="89">
        <v>19</v>
      </c>
      <c r="C210" s="89">
        <v>-6</v>
      </c>
      <c r="D210" s="89">
        <v>4</v>
      </c>
      <c r="E210" s="89">
        <v>-2</v>
      </c>
      <c r="F210" s="89">
        <v>10</v>
      </c>
      <c r="G210" s="89" t="s">
        <v>202</v>
      </c>
      <c r="H210" s="89">
        <v>-8</v>
      </c>
      <c r="I210" s="89">
        <v>1</v>
      </c>
      <c r="J210" s="89"/>
      <c r="K210" s="89"/>
      <c r="L210" s="89"/>
      <c r="M210" s="89"/>
      <c r="N210" s="89"/>
      <c r="O210" s="89"/>
      <c r="P210" s="89"/>
      <c r="Q210" s="89"/>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95"/>
    </row>
    <row r="211" spans="1:53" s="87" customFormat="1">
      <c r="A211" s="90" t="str">
        <f t="shared" si="28"/>
        <v/>
      </c>
      <c r="B211" s="89">
        <v>20</v>
      </c>
      <c r="C211" s="89" t="s">
        <v>202</v>
      </c>
      <c r="D211" s="89">
        <v>-5</v>
      </c>
      <c r="E211" s="89">
        <v>2</v>
      </c>
      <c r="F211" s="89">
        <v>-9</v>
      </c>
      <c r="G211" s="89">
        <v>7</v>
      </c>
      <c r="H211" s="89">
        <v>3</v>
      </c>
      <c r="I211" s="89">
        <v>-10</v>
      </c>
      <c r="J211" s="89"/>
      <c r="K211" s="89"/>
      <c r="L211" s="89"/>
      <c r="M211" s="89"/>
      <c r="N211" s="89"/>
      <c r="O211" s="89"/>
      <c r="P211" s="89"/>
      <c r="Q211" s="89"/>
      <c r="R211" s="89"/>
      <c r="S211" s="89"/>
      <c r="T211" s="89"/>
      <c r="U211" s="89"/>
      <c r="V211" s="89"/>
      <c r="W211" s="89"/>
      <c r="X211" s="89"/>
      <c r="Y211" s="89"/>
      <c r="Z211" s="89"/>
      <c r="AA211" s="89"/>
      <c r="AB211" s="89"/>
      <c r="AC211" s="89"/>
      <c r="AD211" s="89"/>
      <c r="AE211" s="89"/>
      <c r="AF211" s="89"/>
      <c r="AG211" s="89"/>
      <c r="AH211" s="89"/>
      <c r="AI211" s="89"/>
      <c r="AJ211" s="89"/>
      <c r="AK211" s="89"/>
      <c r="AL211" s="89"/>
      <c r="AM211" s="89"/>
      <c r="AN211" s="89"/>
      <c r="AO211" s="89"/>
      <c r="AP211" s="89"/>
      <c r="AQ211" s="89"/>
      <c r="AR211" s="89"/>
      <c r="AS211" s="89"/>
      <c r="AT211" s="89"/>
      <c r="AU211" s="89"/>
      <c r="AV211" s="89"/>
      <c r="AW211" s="89"/>
      <c r="AX211" s="89"/>
      <c r="AY211" s="89"/>
      <c r="AZ211" s="89"/>
      <c r="BA211" s="95"/>
    </row>
    <row r="212" spans="1:53" s="87" customFormat="1">
      <c r="A212" s="90" t="str">
        <f t="shared" si="28"/>
        <v/>
      </c>
      <c r="B212" s="89">
        <v>21</v>
      </c>
      <c r="C212" s="89">
        <v>-7</v>
      </c>
      <c r="D212" s="89">
        <v>-2</v>
      </c>
      <c r="E212" s="89">
        <v>4</v>
      </c>
      <c r="F212" s="89" t="s">
        <v>202</v>
      </c>
      <c r="G212" s="89">
        <v>-1</v>
      </c>
      <c r="H212" s="89">
        <v>8</v>
      </c>
      <c r="I212" s="89">
        <v>10</v>
      </c>
      <c r="J212" s="89"/>
      <c r="K212" s="89"/>
      <c r="L212" s="89"/>
      <c r="M212" s="89"/>
      <c r="N212" s="89"/>
      <c r="O212" s="89"/>
      <c r="P212" s="89"/>
      <c r="Q212" s="89"/>
      <c r="R212" s="89"/>
      <c r="S212" s="89"/>
      <c r="T212" s="89"/>
      <c r="U212" s="89"/>
      <c r="V212" s="89"/>
      <c r="W212" s="89"/>
      <c r="X212" s="89"/>
      <c r="Y212" s="89"/>
      <c r="Z212" s="89"/>
      <c r="AA212" s="89"/>
      <c r="AB212" s="89"/>
      <c r="AC212" s="89"/>
      <c r="AD212" s="89"/>
      <c r="AE212" s="89"/>
      <c r="AF212" s="89"/>
      <c r="AG212" s="89"/>
      <c r="AH212" s="89"/>
      <c r="AI212" s="89"/>
      <c r="AJ212" s="89"/>
      <c r="AK212" s="89"/>
      <c r="AL212" s="89"/>
      <c r="AM212" s="89"/>
      <c r="AN212" s="89"/>
      <c r="AO212" s="89"/>
      <c r="AP212" s="89"/>
      <c r="AQ212" s="89"/>
      <c r="AR212" s="89"/>
      <c r="AS212" s="89"/>
      <c r="AT212" s="89"/>
      <c r="AU212" s="89"/>
      <c r="AV212" s="89"/>
      <c r="AW212" s="89"/>
      <c r="AX212" s="89"/>
      <c r="AY212" s="89"/>
      <c r="AZ212" s="89"/>
      <c r="BA212" s="95"/>
    </row>
    <row r="213" spans="1:53" s="87" customFormat="1">
      <c r="A213" s="90" t="str">
        <f t="shared" si="28"/>
        <v/>
      </c>
      <c r="B213" s="89">
        <v>22</v>
      </c>
      <c r="C213" s="89">
        <v>7</v>
      </c>
      <c r="D213" s="89">
        <v>-4</v>
      </c>
      <c r="E213" s="89">
        <v>10</v>
      </c>
      <c r="F213" s="89">
        <v>9</v>
      </c>
      <c r="G213" s="89">
        <v>-6</v>
      </c>
      <c r="H213" s="89">
        <v>-1</v>
      </c>
      <c r="I213" s="89" t="s">
        <v>202</v>
      </c>
      <c r="J213" s="89"/>
      <c r="K213" s="89"/>
      <c r="L213" s="89"/>
      <c r="M213" s="89"/>
      <c r="N213" s="89"/>
      <c r="O213" s="89"/>
      <c r="P213" s="89"/>
      <c r="Q213" s="89"/>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95"/>
    </row>
    <row r="214" spans="1:53" s="87" customFormat="1">
      <c r="A214" s="90" t="str">
        <f t="shared" si="28"/>
        <v/>
      </c>
      <c r="B214" s="89" t="s">
        <v>536</v>
      </c>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c r="AA214" s="89"/>
      <c r="AB214" s="89"/>
      <c r="AC214" s="89"/>
      <c r="AD214" s="89"/>
      <c r="AE214" s="89"/>
      <c r="AF214" s="89"/>
      <c r="AG214" s="89"/>
      <c r="AH214" s="89"/>
      <c r="AI214" s="89"/>
      <c r="AJ214" s="89"/>
      <c r="AK214" s="89"/>
      <c r="AL214" s="89"/>
      <c r="AM214" s="89"/>
      <c r="AN214" s="89"/>
      <c r="AO214" s="89"/>
      <c r="AP214" s="89"/>
      <c r="AQ214" s="89"/>
      <c r="AR214" s="89"/>
      <c r="AS214" s="89"/>
      <c r="AT214" s="89"/>
      <c r="AU214" s="89"/>
      <c r="AV214" s="89"/>
      <c r="AW214" s="89"/>
      <c r="AX214" s="89"/>
      <c r="AY214" s="89"/>
      <c r="AZ214" s="89"/>
      <c r="BA214" s="95"/>
    </row>
    <row r="215" spans="1:53" s="87" customFormat="1">
      <c r="A215" s="90">
        <f t="shared" si="28"/>
        <v>215</v>
      </c>
      <c r="B215" s="89" t="s">
        <v>548</v>
      </c>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c r="AA215" s="89"/>
      <c r="AB215" s="89"/>
      <c r="AC215" s="89"/>
      <c r="AD215" s="89"/>
      <c r="AE215" s="89"/>
      <c r="AF215" s="89"/>
      <c r="AG215" s="89"/>
      <c r="AH215" s="89"/>
      <c r="AI215" s="89"/>
      <c r="AJ215" s="89"/>
      <c r="AK215" s="89"/>
      <c r="AL215" s="89"/>
      <c r="AM215" s="89"/>
      <c r="AN215" s="89"/>
      <c r="AO215" s="89"/>
      <c r="AP215" s="89"/>
      <c r="AQ215" s="89"/>
      <c r="AR215" s="89"/>
      <c r="AS215" s="89"/>
      <c r="AT215" s="89"/>
      <c r="AU215" s="89"/>
      <c r="AV215" s="89"/>
      <c r="AW215" s="89"/>
      <c r="AX215" s="89"/>
      <c r="AY215" s="89"/>
      <c r="AZ215" s="89"/>
      <c r="BA215" s="95"/>
    </row>
    <row r="216" spans="1:53" s="87" customFormat="1">
      <c r="A216" s="90" t="str">
        <f t="shared" si="28"/>
        <v/>
      </c>
      <c r="B216" s="89">
        <v>1</v>
      </c>
      <c r="C216" s="89">
        <v>-9</v>
      </c>
      <c r="D216" s="89">
        <v>-4</v>
      </c>
      <c r="E216" s="89">
        <v>7</v>
      </c>
      <c r="F216" s="89">
        <v>-6</v>
      </c>
      <c r="G216" s="89">
        <v>5</v>
      </c>
      <c r="H216" s="89"/>
      <c r="I216" s="89"/>
      <c r="J216" s="89"/>
      <c r="K216" s="89"/>
      <c r="L216" s="89"/>
      <c r="M216" s="89"/>
      <c r="N216" s="89"/>
      <c r="O216" s="89"/>
      <c r="P216" s="89"/>
      <c r="Q216" s="89"/>
      <c r="R216" s="89"/>
      <c r="S216" s="89"/>
      <c r="T216" s="89"/>
      <c r="U216" s="89"/>
      <c r="V216" s="89"/>
      <c r="W216" s="89"/>
      <c r="X216" s="89"/>
      <c r="Y216" s="89"/>
      <c r="Z216" s="89"/>
      <c r="AA216" s="89"/>
      <c r="AB216" s="89"/>
      <c r="AC216" s="89"/>
      <c r="AD216" s="89"/>
      <c r="AE216" s="89"/>
      <c r="AF216" s="89"/>
      <c r="AG216" s="89"/>
      <c r="AH216" s="89"/>
      <c r="AI216" s="89"/>
      <c r="AJ216" s="89"/>
      <c r="AK216" s="89"/>
      <c r="AL216" s="89"/>
      <c r="AM216" s="89"/>
      <c r="AN216" s="89"/>
      <c r="AO216" s="89"/>
      <c r="AP216" s="89"/>
      <c r="AQ216" s="89"/>
      <c r="AR216" s="89"/>
      <c r="AS216" s="89"/>
      <c r="AT216" s="89"/>
      <c r="AU216" s="89"/>
      <c r="AV216" s="89"/>
      <c r="AW216" s="89"/>
      <c r="AX216" s="89"/>
      <c r="AY216" s="89"/>
      <c r="AZ216" s="89"/>
      <c r="BA216" s="95"/>
    </row>
    <row r="217" spans="1:53" s="87" customFormat="1">
      <c r="A217" s="90" t="str">
        <f t="shared" si="28"/>
        <v/>
      </c>
      <c r="B217" s="89">
        <v>2</v>
      </c>
      <c r="C217" s="89">
        <v>-7</v>
      </c>
      <c r="D217" s="89">
        <v>1</v>
      </c>
      <c r="E217" s="89">
        <v>2</v>
      </c>
      <c r="F217" s="89">
        <v>-4</v>
      </c>
      <c r="G217" s="89">
        <v>-5</v>
      </c>
      <c r="H217" s="89"/>
      <c r="I217" s="89"/>
      <c r="J217" s="89"/>
      <c r="K217" s="89"/>
      <c r="L217" s="89"/>
      <c r="M217" s="89"/>
      <c r="N217" s="89"/>
      <c r="O217" s="89"/>
      <c r="P217" s="89"/>
      <c r="Q217" s="89"/>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95"/>
    </row>
    <row r="218" spans="1:53" s="87" customFormat="1">
      <c r="A218" s="90" t="str">
        <f t="shared" si="28"/>
        <v/>
      </c>
      <c r="B218" s="89">
        <v>3</v>
      </c>
      <c r="C218" s="89">
        <v>7</v>
      </c>
      <c r="D218" s="89">
        <v>4</v>
      </c>
      <c r="E218" s="89">
        <v>-3</v>
      </c>
      <c r="F218" s="89">
        <v>-5</v>
      </c>
      <c r="G218" s="89">
        <v>6</v>
      </c>
      <c r="H218" s="89"/>
      <c r="I218" s="89"/>
      <c r="J218" s="89"/>
      <c r="K218" s="89"/>
      <c r="L218" s="89"/>
      <c r="M218" s="89"/>
      <c r="N218" s="89"/>
      <c r="O218" s="89"/>
      <c r="P218" s="89"/>
      <c r="Q218" s="89"/>
      <c r="R218" s="89"/>
      <c r="S218" s="89"/>
      <c r="T218" s="89"/>
      <c r="U218" s="89"/>
      <c r="V218" s="89"/>
      <c r="W218" s="89"/>
      <c r="X218" s="89"/>
      <c r="Y218" s="89"/>
      <c r="Z218" s="89"/>
      <c r="AA218" s="89"/>
      <c r="AB218" s="89"/>
      <c r="AC218" s="89"/>
      <c r="AD218" s="89"/>
      <c r="AE218" s="89"/>
      <c r="AF218" s="89"/>
      <c r="AG218" s="89"/>
      <c r="AH218" s="89"/>
      <c r="AI218" s="89"/>
      <c r="AJ218" s="89"/>
      <c r="AK218" s="89"/>
      <c r="AL218" s="89"/>
      <c r="AM218" s="89"/>
      <c r="AN218" s="89"/>
      <c r="AO218" s="89"/>
      <c r="AP218" s="89"/>
      <c r="AQ218" s="89"/>
      <c r="AR218" s="89"/>
      <c r="AS218" s="89"/>
      <c r="AT218" s="89"/>
      <c r="AU218" s="89"/>
      <c r="AV218" s="89"/>
      <c r="AW218" s="89"/>
      <c r="AX218" s="89"/>
      <c r="AY218" s="89"/>
      <c r="AZ218" s="89"/>
      <c r="BA218" s="95"/>
    </row>
    <row r="219" spans="1:53" s="87" customFormat="1">
      <c r="A219" s="90" t="str">
        <f t="shared" si="28"/>
        <v/>
      </c>
      <c r="B219" s="89">
        <v>4</v>
      </c>
      <c r="C219" s="89">
        <v>5</v>
      </c>
      <c r="D219" s="89">
        <v>10</v>
      </c>
      <c r="E219" s="89">
        <v>-7</v>
      </c>
      <c r="F219" s="89">
        <v>4</v>
      </c>
      <c r="G219" s="89">
        <v>-6</v>
      </c>
      <c r="H219" s="89"/>
      <c r="I219" s="89"/>
      <c r="J219" s="89"/>
      <c r="K219" s="89"/>
      <c r="L219" s="89"/>
      <c r="M219" s="89"/>
      <c r="N219" s="89"/>
      <c r="O219" s="89"/>
      <c r="P219" s="89"/>
      <c r="Q219" s="89"/>
      <c r="R219" s="89"/>
      <c r="S219" s="89"/>
      <c r="T219" s="89"/>
      <c r="U219" s="89"/>
      <c r="V219" s="89"/>
      <c r="W219" s="89"/>
      <c r="X219" s="89"/>
      <c r="Y219" s="89"/>
      <c r="Z219" s="89"/>
      <c r="AA219" s="89"/>
      <c r="AB219" s="89"/>
      <c r="AC219" s="89"/>
      <c r="AD219" s="89"/>
      <c r="AE219" s="89"/>
      <c r="AF219" s="89"/>
      <c r="AG219" s="89"/>
      <c r="AH219" s="89"/>
      <c r="AI219" s="89"/>
      <c r="AJ219" s="89"/>
      <c r="AK219" s="89"/>
      <c r="AL219" s="89"/>
      <c r="AM219" s="89"/>
      <c r="AN219" s="89"/>
      <c r="AO219" s="89"/>
      <c r="AP219" s="89"/>
      <c r="AQ219" s="89"/>
      <c r="AR219" s="89"/>
      <c r="AS219" s="89"/>
      <c r="AT219" s="89"/>
      <c r="AU219" s="89"/>
      <c r="AV219" s="89"/>
      <c r="AW219" s="89"/>
      <c r="AX219" s="89"/>
      <c r="AY219" s="89"/>
      <c r="AZ219" s="89"/>
      <c r="BA219" s="95"/>
    </row>
    <row r="220" spans="1:53" s="87" customFormat="1">
      <c r="A220" s="90" t="str">
        <f t="shared" si="28"/>
        <v/>
      </c>
      <c r="B220" s="89">
        <v>5</v>
      </c>
      <c r="C220" s="89">
        <v>9</v>
      </c>
      <c r="D220" s="89">
        <v>-10</v>
      </c>
      <c r="E220" s="89">
        <v>-2</v>
      </c>
      <c r="F220" s="89">
        <v>5</v>
      </c>
      <c r="G220" s="89">
        <v>4</v>
      </c>
      <c r="H220" s="89"/>
      <c r="I220" s="89"/>
      <c r="J220" s="89"/>
      <c r="K220" s="89"/>
      <c r="L220" s="89"/>
      <c r="M220" s="89"/>
      <c r="N220" s="89"/>
      <c r="O220" s="89"/>
      <c r="P220" s="89"/>
      <c r="Q220" s="89"/>
      <c r="R220" s="89"/>
      <c r="S220" s="89"/>
      <c r="T220" s="89"/>
      <c r="U220" s="89"/>
      <c r="V220" s="89"/>
      <c r="W220" s="89"/>
      <c r="X220" s="89"/>
      <c r="Y220" s="89"/>
      <c r="Z220" s="89"/>
      <c r="AA220" s="89"/>
      <c r="AB220" s="89"/>
      <c r="AC220" s="89"/>
      <c r="AD220" s="89"/>
      <c r="AE220" s="89"/>
      <c r="AF220" s="89"/>
      <c r="AG220" s="89"/>
      <c r="AH220" s="89"/>
      <c r="AI220" s="89"/>
      <c r="AJ220" s="89"/>
      <c r="AK220" s="89"/>
      <c r="AL220" s="89"/>
      <c r="AM220" s="89"/>
      <c r="AN220" s="89"/>
      <c r="AO220" s="89"/>
      <c r="AP220" s="89"/>
      <c r="AQ220" s="89"/>
      <c r="AR220" s="89"/>
      <c r="AS220" s="89"/>
      <c r="AT220" s="89"/>
      <c r="AU220" s="89"/>
      <c r="AV220" s="89"/>
      <c r="AW220" s="89"/>
      <c r="AX220" s="89"/>
      <c r="AY220" s="89"/>
      <c r="AZ220" s="89"/>
      <c r="BA220" s="95"/>
    </row>
    <row r="221" spans="1:53" s="87" customFormat="1">
      <c r="A221" s="90" t="str">
        <f t="shared" si="28"/>
        <v/>
      </c>
      <c r="B221" s="99">
        <v>6</v>
      </c>
      <c r="C221" s="92">
        <v>-5</v>
      </c>
      <c r="D221" s="92">
        <v>-1</v>
      </c>
      <c r="E221" s="92">
        <v>3</v>
      </c>
      <c r="F221" s="92">
        <v>6</v>
      </c>
      <c r="G221" s="92">
        <v>-4</v>
      </c>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89"/>
      <c r="AN221" s="89"/>
      <c r="AO221" s="89"/>
      <c r="AP221" s="89"/>
      <c r="AQ221" s="89"/>
      <c r="AR221" s="89"/>
      <c r="AS221" s="89"/>
      <c r="AT221" s="89"/>
      <c r="AU221" s="89"/>
      <c r="AV221" s="89"/>
      <c r="AW221" s="89"/>
      <c r="AX221" s="89"/>
      <c r="AY221" s="89"/>
      <c r="AZ221" s="89"/>
      <c r="BA221" s="95"/>
    </row>
    <row r="222" spans="1:53" s="87" customFormat="1">
      <c r="A222" s="90" t="str">
        <f t="shared" si="28"/>
        <v/>
      </c>
      <c r="B222" s="89">
        <v>7</v>
      </c>
      <c r="C222" s="89">
        <v>10</v>
      </c>
      <c r="D222" s="89">
        <v>2</v>
      </c>
      <c r="E222" s="89">
        <v>-9</v>
      </c>
      <c r="F222" s="89">
        <v>8</v>
      </c>
      <c r="G222" s="89">
        <v>-7</v>
      </c>
      <c r="H222" s="89"/>
      <c r="I222" s="89"/>
      <c r="J222" s="89"/>
      <c r="K222" s="89"/>
      <c r="L222" s="89"/>
      <c r="M222" s="89"/>
      <c r="N222" s="89"/>
      <c r="O222" s="89"/>
      <c r="P222" s="89"/>
      <c r="Q222" s="89"/>
      <c r="R222" s="89"/>
      <c r="S222" s="89"/>
      <c r="T222" s="89"/>
      <c r="U222" s="89"/>
      <c r="V222" s="89"/>
      <c r="W222" s="89"/>
      <c r="X222" s="89"/>
      <c r="Y222" s="89"/>
      <c r="Z222" s="89"/>
      <c r="AA222" s="89"/>
      <c r="AB222" s="89"/>
      <c r="AC222" s="89"/>
      <c r="AD222" s="89"/>
      <c r="AE222" s="89"/>
      <c r="AF222" s="89"/>
      <c r="AG222" s="89"/>
      <c r="AH222" s="89"/>
      <c r="AI222" s="89"/>
      <c r="AJ222" s="89"/>
      <c r="AK222" s="89"/>
      <c r="AL222" s="89"/>
      <c r="AM222" s="89"/>
      <c r="AN222" s="89"/>
      <c r="AO222" s="89"/>
      <c r="AP222" s="89"/>
      <c r="AQ222" s="89"/>
      <c r="AR222" s="89"/>
      <c r="AS222" s="89"/>
      <c r="AT222" s="89"/>
      <c r="AU222" s="89"/>
      <c r="AV222" s="89"/>
      <c r="AW222" s="89"/>
      <c r="AX222" s="89"/>
      <c r="AY222" s="89"/>
      <c r="AZ222" s="89"/>
      <c r="BA222" s="95"/>
    </row>
    <row r="223" spans="1:53" s="87" customFormat="1">
      <c r="A223" s="90" t="str">
        <f t="shared" si="28"/>
        <v/>
      </c>
      <c r="B223" s="89">
        <v>8</v>
      </c>
      <c r="C223" s="89">
        <v>2</v>
      </c>
      <c r="D223" s="89">
        <v>5</v>
      </c>
      <c r="E223" s="89">
        <v>-1</v>
      </c>
      <c r="F223" s="89">
        <v>-3</v>
      </c>
      <c r="G223" s="89">
        <v>7</v>
      </c>
      <c r="H223" s="89"/>
      <c r="I223" s="89"/>
      <c r="J223" s="89"/>
      <c r="K223" s="89"/>
      <c r="L223" s="89"/>
      <c r="M223" s="89"/>
      <c r="N223" s="89"/>
      <c r="O223" s="89"/>
      <c r="P223" s="89"/>
      <c r="Q223" s="89"/>
      <c r="R223" s="89"/>
      <c r="S223" s="89"/>
      <c r="T223" s="89"/>
      <c r="U223" s="89"/>
      <c r="V223" s="89"/>
      <c r="W223" s="89"/>
      <c r="X223" s="89"/>
      <c r="Y223" s="89"/>
      <c r="Z223" s="89"/>
      <c r="AA223" s="89"/>
      <c r="AB223" s="89"/>
      <c r="AC223" s="89"/>
      <c r="AD223" s="89"/>
      <c r="AE223" s="89"/>
      <c r="AF223" s="89"/>
      <c r="AG223" s="89"/>
      <c r="AH223" s="89"/>
      <c r="AI223" s="89"/>
      <c r="AJ223" s="89"/>
      <c r="AK223" s="89"/>
      <c r="AL223" s="89"/>
      <c r="AM223" s="89"/>
      <c r="AN223" s="89"/>
      <c r="AO223" s="89"/>
      <c r="AP223" s="89"/>
      <c r="AQ223" s="89"/>
      <c r="AR223" s="89"/>
      <c r="AS223" s="89"/>
      <c r="AT223" s="89"/>
      <c r="AU223" s="89"/>
      <c r="AV223" s="89"/>
      <c r="AW223" s="89"/>
      <c r="AX223" s="89"/>
      <c r="AY223" s="89"/>
      <c r="AZ223" s="89"/>
      <c r="BA223" s="95"/>
    </row>
    <row r="224" spans="1:53" s="87" customFormat="1">
      <c r="A224" s="90" t="str">
        <f t="shared" si="28"/>
        <v/>
      </c>
      <c r="B224" s="89">
        <v>9</v>
      </c>
      <c r="C224" s="89">
        <v>-1</v>
      </c>
      <c r="D224" s="89">
        <v>-5</v>
      </c>
      <c r="E224" s="89">
        <v>9</v>
      </c>
      <c r="F224" s="89">
        <v>-7</v>
      </c>
      <c r="G224" s="89">
        <v>3</v>
      </c>
      <c r="H224" s="89"/>
      <c r="I224" s="89"/>
      <c r="J224" s="89"/>
      <c r="K224" s="89"/>
      <c r="L224" s="89"/>
      <c r="M224" s="89"/>
      <c r="N224" s="89"/>
      <c r="O224" s="89"/>
      <c r="P224" s="89"/>
      <c r="Q224" s="89"/>
      <c r="R224" s="89"/>
      <c r="S224" s="89"/>
      <c r="T224" s="89"/>
      <c r="U224" s="89"/>
      <c r="V224" s="89"/>
      <c r="W224" s="89"/>
      <c r="X224" s="89"/>
      <c r="Y224" s="89"/>
      <c r="Z224" s="89"/>
      <c r="AA224" s="89"/>
      <c r="AB224" s="89"/>
      <c r="AC224" s="89"/>
      <c r="AD224" s="89"/>
      <c r="AE224" s="89"/>
      <c r="AF224" s="89"/>
      <c r="AG224" s="89"/>
      <c r="AH224" s="89"/>
      <c r="AI224" s="89"/>
      <c r="AJ224" s="89"/>
      <c r="AK224" s="89"/>
      <c r="AL224" s="89"/>
      <c r="AM224" s="89"/>
      <c r="AN224" s="89"/>
      <c r="AO224" s="89"/>
      <c r="AP224" s="89"/>
      <c r="AQ224" s="89"/>
      <c r="AR224" s="89"/>
      <c r="AS224" s="89"/>
      <c r="AT224" s="89"/>
      <c r="AU224" s="89"/>
      <c r="AV224" s="89"/>
      <c r="AW224" s="89"/>
      <c r="AX224" s="89"/>
      <c r="AY224" s="89"/>
      <c r="AZ224" s="89"/>
      <c r="BA224" s="95"/>
    </row>
    <row r="225" spans="1:53" s="87" customFormat="1">
      <c r="A225" s="90" t="str">
        <f t="shared" si="28"/>
        <v/>
      </c>
      <c r="B225" s="89">
        <v>10</v>
      </c>
      <c r="C225" s="89">
        <v>-2</v>
      </c>
      <c r="D225" s="89">
        <v>9</v>
      </c>
      <c r="E225" s="89">
        <v>10</v>
      </c>
      <c r="F225" s="89">
        <v>-8</v>
      </c>
      <c r="G225" s="89">
        <v>-3</v>
      </c>
      <c r="H225" s="89"/>
      <c r="I225" s="89"/>
      <c r="J225" s="89"/>
      <c r="K225" s="89"/>
      <c r="L225" s="89"/>
      <c r="M225" s="89"/>
      <c r="N225" s="89"/>
      <c r="O225" s="89"/>
      <c r="P225" s="89"/>
      <c r="Q225" s="89"/>
      <c r="R225" s="89"/>
      <c r="S225" s="89"/>
      <c r="T225" s="89"/>
      <c r="U225" s="89"/>
      <c r="V225" s="89"/>
      <c r="W225" s="89"/>
      <c r="X225" s="89"/>
      <c r="Y225" s="89"/>
      <c r="Z225" s="89"/>
      <c r="AA225" s="89"/>
      <c r="AB225" s="89"/>
      <c r="AC225" s="89"/>
      <c r="AD225" s="89"/>
      <c r="AE225" s="89"/>
      <c r="AF225" s="89"/>
      <c r="AG225" s="89"/>
      <c r="AH225" s="89"/>
      <c r="AI225" s="89"/>
      <c r="AJ225" s="89"/>
      <c r="AK225" s="89"/>
      <c r="AL225" s="89"/>
      <c r="AM225" s="89"/>
      <c r="AN225" s="89"/>
      <c r="AO225" s="89"/>
      <c r="AP225" s="89"/>
      <c r="AQ225" s="89"/>
      <c r="AR225" s="89"/>
      <c r="AS225" s="89"/>
      <c r="AT225" s="89"/>
      <c r="AU225" s="89"/>
      <c r="AV225" s="89"/>
      <c r="AW225" s="89"/>
      <c r="AX225" s="89"/>
      <c r="AY225" s="89"/>
      <c r="AZ225" s="89"/>
      <c r="BA225" s="95"/>
    </row>
    <row r="226" spans="1:53" s="87" customFormat="1">
      <c r="A226" s="90" t="str">
        <f t="shared" si="28"/>
        <v/>
      </c>
      <c r="B226" s="89">
        <v>11</v>
      </c>
      <c r="C226" s="89">
        <v>1</v>
      </c>
      <c r="D226" s="89">
        <v>-2</v>
      </c>
      <c r="E226" s="89">
        <v>-10</v>
      </c>
      <c r="F226" s="89">
        <v>3</v>
      </c>
      <c r="G226" s="89">
        <v>8</v>
      </c>
      <c r="H226" s="89"/>
      <c r="I226" s="89"/>
      <c r="J226" s="89"/>
      <c r="K226" s="89"/>
      <c r="L226" s="89"/>
      <c r="M226" s="89"/>
      <c r="N226" s="89"/>
      <c r="O226" s="89"/>
      <c r="P226" s="89"/>
      <c r="Q226" s="89"/>
      <c r="R226" s="89"/>
      <c r="S226" s="89"/>
      <c r="T226" s="89"/>
      <c r="U226" s="89"/>
      <c r="V226" s="89"/>
      <c r="W226" s="89"/>
      <c r="X226" s="89"/>
      <c r="Y226" s="89"/>
      <c r="Z226" s="89"/>
      <c r="AA226" s="89"/>
      <c r="AB226" s="89"/>
      <c r="AC226" s="89"/>
      <c r="AD226" s="89"/>
      <c r="AE226" s="89"/>
      <c r="AF226" s="89"/>
      <c r="AG226" s="89"/>
      <c r="AH226" s="89"/>
      <c r="AI226" s="89"/>
      <c r="AJ226" s="89"/>
      <c r="AK226" s="89"/>
      <c r="AL226" s="89"/>
      <c r="AM226" s="89"/>
      <c r="AN226" s="89"/>
      <c r="AO226" s="89"/>
      <c r="AP226" s="89"/>
      <c r="AQ226" s="89"/>
      <c r="AR226" s="89"/>
      <c r="AS226" s="89"/>
      <c r="AT226" s="89"/>
      <c r="AU226" s="89"/>
      <c r="AV226" s="89"/>
      <c r="AW226" s="89"/>
      <c r="AX226" s="89"/>
      <c r="AY226" s="89"/>
      <c r="AZ226" s="89"/>
      <c r="BA226" s="95"/>
    </row>
    <row r="227" spans="1:53" s="87" customFormat="1">
      <c r="A227" s="90" t="str">
        <f t="shared" si="28"/>
        <v/>
      </c>
      <c r="B227" s="99">
        <v>12</v>
      </c>
      <c r="C227" s="92">
        <v>-10</v>
      </c>
      <c r="D227" s="92">
        <v>-9</v>
      </c>
      <c r="E227" s="92">
        <v>1</v>
      </c>
      <c r="F227" s="92">
        <v>7</v>
      </c>
      <c r="G227" s="92">
        <v>-8</v>
      </c>
      <c r="H227" s="89"/>
      <c r="I227" s="89"/>
      <c r="J227" s="89"/>
      <c r="K227" s="89"/>
      <c r="L227" s="89"/>
      <c r="M227" s="89"/>
      <c r="N227" s="89"/>
      <c r="O227" s="89"/>
      <c r="P227" s="89"/>
      <c r="Q227" s="89"/>
      <c r="R227" s="89"/>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95"/>
    </row>
    <row r="228" spans="1:53" s="87" customFormat="1">
      <c r="A228" s="90" t="str">
        <f t="shared" si="28"/>
        <v/>
      </c>
      <c r="B228" s="89">
        <v>13</v>
      </c>
      <c r="C228" s="89">
        <v>8</v>
      </c>
      <c r="D228" s="89">
        <v>3</v>
      </c>
      <c r="E228" s="89">
        <v>-5</v>
      </c>
      <c r="F228" s="89" t="s">
        <v>202</v>
      </c>
      <c r="G228" s="89">
        <v>-2</v>
      </c>
      <c r="H228" s="89"/>
      <c r="I228" s="89"/>
      <c r="J228" s="89"/>
      <c r="K228" s="89"/>
      <c r="L228" s="89"/>
      <c r="M228" s="89"/>
      <c r="N228" s="89"/>
      <c r="O228" s="89"/>
      <c r="P228" s="89"/>
      <c r="Q228" s="89"/>
      <c r="R228" s="89"/>
      <c r="S228" s="89"/>
      <c r="T228" s="89"/>
      <c r="U228" s="89"/>
      <c r="V228" s="89"/>
      <c r="W228" s="89"/>
      <c r="X228" s="89"/>
      <c r="Y228" s="89"/>
      <c r="Z228" s="89"/>
      <c r="AA228" s="89"/>
      <c r="AB228" s="89"/>
      <c r="AC228" s="89"/>
      <c r="AD228" s="89"/>
      <c r="AE228" s="89"/>
      <c r="AF228" s="89"/>
      <c r="AG228" s="89"/>
      <c r="AH228" s="89"/>
      <c r="AI228" s="89"/>
      <c r="AJ228" s="89"/>
      <c r="AK228" s="89"/>
      <c r="AL228" s="89"/>
      <c r="AM228" s="89"/>
      <c r="AN228" s="89"/>
      <c r="AO228" s="89"/>
      <c r="AP228" s="89"/>
      <c r="AQ228" s="89"/>
      <c r="AR228" s="89"/>
      <c r="AS228" s="89"/>
      <c r="AT228" s="89"/>
      <c r="AU228" s="89"/>
      <c r="AV228" s="89"/>
      <c r="AW228" s="89"/>
      <c r="AX228" s="89"/>
      <c r="AY228" s="89"/>
      <c r="AZ228" s="89"/>
      <c r="BA228" s="95"/>
    </row>
    <row r="229" spans="1:53" s="87" customFormat="1">
      <c r="A229" s="90" t="str">
        <f t="shared" si="28"/>
        <v/>
      </c>
      <c r="B229" s="89">
        <v>14</v>
      </c>
      <c r="C229" s="89">
        <v>4</v>
      </c>
      <c r="D229" s="89" t="s">
        <v>202</v>
      </c>
      <c r="E229" s="89">
        <v>-6</v>
      </c>
      <c r="F229" s="89">
        <v>-10</v>
      </c>
      <c r="G229" s="89">
        <v>2</v>
      </c>
      <c r="H229" s="89"/>
      <c r="I229" s="89"/>
      <c r="J229" s="89"/>
      <c r="K229" s="89"/>
      <c r="L229" s="89"/>
      <c r="M229" s="89"/>
      <c r="N229" s="89"/>
      <c r="O229" s="89"/>
      <c r="P229" s="89"/>
      <c r="Q229" s="89"/>
      <c r="R229" s="89"/>
      <c r="S229" s="89"/>
      <c r="T229" s="89"/>
      <c r="U229" s="89"/>
      <c r="V229" s="89"/>
      <c r="W229" s="89"/>
      <c r="X229" s="89"/>
      <c r="Y229" s="89"/>
      <c r="Z229" s="89"/>
      <c r="AA229" s="89"/>
      <c r="AB229" s="89"/>
      <c r="AC229" s="89"/>
      <c r="AD229" s="89"/>
      <c r="AE229" s="89"/>
      <c r="AF229" s="89"/>
      <c r="AG229" s="89"/>
      <c r="AH229" s="89"/>
      <c r="AI229" s="89"/>
      <c r="AJ229" s="89"/>
      <c r="AK229" s="89"/>
      <c r="AL229" s="89"/>
      <c r="AM229" s="89"/>
      <c r="AN229" s="89"/>
      <c r="AO229" s="89"/>
      <c r="AP229" s="89"/>
      <c r="AQ229" s="89"/>
      <c r="AR229" s="89"/>
      <c r="AS229" s="89"/>
      <c r="AT229" s="89"/>
      <c r="AU229" s="89"/>
      <c r="AV229" s="89"/>
      <c r="AW229" s="89"/>
      <c r="AX229" s="89"/>
      <c r="AY229" s="89"/>
      <c r="AZ229" s="89"/>
      <c r="BA229" s="95"/>
    </row>
    <row r="230" spans="1:53" s="87" customFormat="1">
      <c r="A230" s="90" t="str">
        <f t="shared" si="28"/>
        <v/>
      </c>
      <c r="B230" s="89">
        <v>15</v>
      </c>
      <c r="C230" s="89" t="s">
        <v>202</v>
      </c>
      <c r="D230" s="89">
        <v>-3</v>
      </c>
      <c r="E230" s="89">
        <v>6</v>
      </c>
      <c r="F230" s="89">
        <v>-1</v>
      </c>
      <c r="G230" s="89">
        <v>9</v>
      </c>
      <c r="H230" s="89"/>
      <c r="I230" s="89"/>
      <c r="J230" s="89"/>
      <c r="K230" s="89"/>
      <c r="L230" s="89"/>
      <c r="M230" s="89"/>
      <c r="N230" s="89"/>
      <c r="O230" s="89"/>
      <c r="P230" s="89"/>
      <c r="Q230" s="89"/>
      <c r="R230" s="89"/>
      <c r="S230" s="89"/>
      <c r="T230" s="89"/>
      <c r="U230" s="89"/>
      <c r="V230" s="89"/>
      <c r="W230" s="89"/>
      <c r="X230" s="89"/>
      <c r="Y230" s="89"/>
      <c r="Z230" s="89"/>
      <c r="AA230" s="89"/>
      <c r="AB230" s="89"/>
      <c r="AC230" s="89"/>
      <c r="AD230" s="89"/>
      <c r="AE230" s="89"/>
      <c r="AF230" s="89"/>
      <c r="AG230" s="89"/>
      <c r="AH230" s="89"/>
      <c r="AI230" s="89"/>
      <c r="AJ230" s="89"/>
      <c r="AK230" s="89"/>
      <c r="AL230" s="89"/>
      <c r="AM230" s="89"/>
      <c r="AN230" s="89"/>
      <c r="AO230" s="89"/>
      <c r="AP230" s="89"/>
      <c r="AQ230" s="89"/>
      <c r="AR230" s="89"/>
      <c r="AS230" s="89"/>
      <c r="AT230" s="89"/>
      <c r="AU230" s="89"/>
      <c r="AV230" s="89"/>
      <c r="AW230" s="89"/>
      <c r="AX230" s="89"/>
      <c r="AY230" s="89"/>
      <c r="AZ230" s="89"/>
      <c r="BA230" s="95"/>
    </row>
    <row r="231" spans="1:53" s="87" customFormat="1">
      <c r="A231" s="90" t="str">
        <f t="shared" si="28"/>
        <v/>
      </c>
      <c r="B231" s="89">
        <v>16</v>
      </c>
      <c r="C231" s="89">
        <v>-8</v>
      </c>
      <c r="D231" s="89">
        <v>6</v>
      </c>
      <c r="E231" s="89" t="s">
        <v>202</v>
      </c>
      <c r="F231" s="89">
        <v>10</v>
      </c>
      <c r="G231" s="89">
        <v>-9</v>
      </c>
      <c r="H231" s="89"/>
      <c r="I231" s="89"/>
      <c r="J231" s="89"/>
      <c r="K231" s="89"/>
      <c r="L231" s="89"/>
      <c r="M231" s="89"/>
      <c r="N231" s="89"/>
      <c r="O231" s="89"/>
      <c r="P231" s="89"/>
      <c r="Q231" s="89"/>
      <c r="R231" s="89"/>
      <c r="S231" s="89"/>
      <c r="T231" s="89"/>
      <c r="U231" s="89"/>
      <c r="V231" s="89"/>
      <c r="W231" s="89"/>
      <c r="X231" s="89"/>
      <c r="Y231" s="89"/>
      <c r="Z231" s="89"/>
      <c r="AA231" s="89"/>
      <c r="AB231" s="89"/>
      <c r="AC231" s="89"/>
      <c r="AD231" s="89"/>
      <c r="AE231" s="89"/>
      <c r="AF231" s="89"/>
      <c r="AG231" s="89"/>
      <c r="AH231" s="89"/>
      <c r="AI231" s="89"/>
      <c r="AJ231" s="89"/>
      <c r="AK231" s="89"/>
      <c r="AL231" s="89"/>
      <c r="AM231" s="89"/>
      <c r="AN231" s="89"/>
      <c r="AO231" s="89"/>
      <c r="AP231" s="89"/>
      <c r="AQ231" s="89"/>
      <c r="AR231" s="89"/>
      <c r="AS231" s="89"/>
      <c r="AT231" s="89"/>
      <c r="AU231" s="89"/>
      <c r="AV231" s="89"/>
      <c r="AW231" s="89"/>
      <c r="AX231" s="89"/>
      <c r="AY231" s="89"/>
      <c r="AZ231" s="89"/>
      <c r="BA231" s="95"/>
    </row>
    <row r="232" spans="1:53" s="87" customFormat="1">
      <c r="A232" s="90" t="str">
        <f t="shared" si="28"/>
        <v/>
      </c>
      <c r="B232" s="99">
        <v>17</v>
      </c>
      <c r="C232" s="92">
        <v>-4</v>
      </c>
      <c r="D232" s="92">
        <v>-6</v>
      </c>
      <c r="E232" s="92">
        <v>5</v>
      </c>
      <c r="F232" s="92">
        <v>1</v>
      </c>
      <c r="G232" s="92" t="s">
        <v>202</v>
      </c>
      <c r="H232" s="89"/>
      <c r="I232" s="89"/>
      <c r="J232" s="89"/>
      <c r="K232" s="89"/>
      <c r="L232" s="89"/>
      <c r="M232" s="89"/>
      <c r="N232" s="89"/>
      <c r="O232" s="89"/>
      <c r="P232" s="89"/>
      <c r="Q232" s="89"/>
      <c r="R232" s="89"/>
      <c r="S232" s="89"/>
      <c r="T232" s="89"/>
      <c r="U232" s="89"/>
      <c r="V232" s="89"/>
      <c r="W232" s="89"/>
      <c r="X232" s="89"/>
      <c r="Y232" s="89"/>
      <c r="Z232" s="89"/>
      <c r="AA232" s="89"/>
      <c r="AB232" s="89"/>
      <c r="AC232" s="89"/>
      <c r="AD232" s="89"/>
      <c r="AE232" s="89"/>
      <c r="AF232" s="89"/>
      <c r="AG232" s="89"/>
      <c r="AH232" s="89"/>
      <c r="AI232" s="89"/>
      <c r="AJ232" s="89"/>
      <c r="AK232" s="89"/>
      <c r="AL232" s="89"/>
      <c r="AM232" s="89"/>
      <c r="AN232" s="89"/>
      <c r="AO232" s="89"/>
      <c r="AP232" s="89"/>
      <c r="AQ232" s="89"/>
      <c r="AR232" s="89"/>
      <c r="AS232" s="89"/>
      <c r="AT232" s="89"/>
      <c r="AU232" s="89"/>
      <c r="AV232" s="89"/>
      <c r="AW232" s="89"/>
      <c r="AX232" s="89"/>
      <c r="AY232" s="89"/>
      <c r="AZ232" s="89"/>
      <c r="BA232" s="95"/>
    </row>
    <row r="233" spans="1:53" s="87" customFormat="1">
      <c r="A233" s="90" t="str">
        <f t="shared" si="28"/>
        <v/>
      </c>
      <c r="B233" s="89">
        <v>18</v>
      </c>
      <c r="C233" s="89">
        <v>3</v>
      </c>
      <c r="D233" s="89">
        <v>7</v>
      </c>
      <c r="E233" s="89">
        <v>-4</v>
      </c>
      <c r="F233" s="89" t="s">
        <v>202</v>
      </c>
      <c r="G233" s="89">
        <v>-1</v>
      </c>
      <c r="H233" s="89"/>
      <c r="I233" s="89"/>
      <c r="J233" s="89"/>
      <c r="K233" s="89"/>
      <c r="L233" s="89"/>
      <c r="M233" s="89"/>
      <c r="N233" s="89"/>
      <c r="O233" s="89"/>
      <c r="P233" s="89"/>
      <c r="Q233" s="89"/>
      <c r="R233" s="89"/>
      <c r="S233" s="89"/>
      <c r="T233" s="89"/>
      <c r="U233" s="89"/>
      <c r="V233" s="89"/>
      <c r="W233" s="89"/>
      <c r="X233" s="89"/>
      <c r="Y233" s="89"/>
      <c r="Z233" s="89"/>
      <c r="AA233" s="89"/>
      <c r="AB233" s="89"/>
      <c r="AC233" s="89"/>
      <c r="AD233" s="89"/>
      <c r="AE233" s="89"/>
      <c r="AF233" s="89"/>
      <c r="AG233" s="89"/>
      <c r="AH233" s="89"/>
      <c r="AI233" s="89"/>
      <c r="AJ233" s="89"/>
      <c r="AK233" s="89"/>
      <c r="AL233" s="89"/>
      <c r="AM233" s="89"/>
      <c r="AN233" s="89"/>
      <c r="AO233" s="89"/>
      <c r="AP233" s="89"/>
      <c r="AQ233" s="89"/>
      <c r="AR233" s="89"/>
      <c r="AS233" s="89"/>
      <c r="AT233" s="89"/>
      <c r="AU233" s="89"/>
      <c r="AV233" s="89"/>
      <c r="AW233" s="89"/>
      <c r="AX233" s="89"/>
      <c r="AY233" s="89"/>
      <c r="AZ233" s="89"/>
      <c r="BA233" s="95"/>
    </row>
    <row r="234" spans="1:53" s="87" customFormat="1">
      <c r="A234" s="90" t="str">
        <f t="shared" si="28"/>
        <v/>
      </c>
      <c r="B234" s="89">
        <v>19</v>
      </c>
      <c r="C234" s="89">
        <v>6</v>
      </c>
      <c r="D234" s="89" t="s">
        <v>202</v>
      </c>
      <c r="E234" s="89">
        <v>-8</v>
      </c>
      <c r="F234" s="89">
        <v>-9</v>
      </c>
      <c r="G234" s="89">
        <v>1</v>
      </c>
      <c r="H234" s="89"/>
      <c r="I234" s="89"/>
      <c r="J234" s="89"/>
      <c r="K234" s="89"/>
      <c r="L234" s="89"/>
      <c r="M234" s="89"/>
      <c r="N234" s="89"/>
      <c r="O234" s="89"/>
      <c r="P234" s="89"/>
      <c r="Q234" s="89"/>
      <c r="R234" s="89"/>
      <c r="S234" s="89"/>
      <c r="T234" s="89"/>
      <c r="U234" s="89"/>
      <c r="V234" s="89"/>
      <c r="W234" s="89"/>
      <c r="X234" s="89"/>
      <c r="Y234" s="89"/>
      <c r="Z234" s="89"/>
      <c r="AA234" s="89"/>
      <c r="AB234" s="89"/>
      <c r="AC234" s="89"/>
      <c r="AD234" s="89"/>
      <c r="AE234" s="89"/>
      <c r="AF234" s="89"/>
      <c r="AG234" s="89"/>
      <c r="AH234" s="89"/>
      <c r="AI234" s="89"/>
      <c r="AJ234" s="89"/>
      <c r="AK234" s="89"/>
      <c r="AL234" s="89"/>
      <c r="AM234" s="89"/>
      <c r="AN234" s="89"/>
      <c r="AO234" s="89"/>
      <c r="AP234" s="89"/>
      <c r="AQ234" s="89"/>
      <c r="AR234" s="89"/>
      <c r="AS234" s="89"/>
      <c r="AT234" s="89"/>
      <c r="AU234" s="89"/>
      <c r="AV234" s="89"/>
      <c r="AW234" s="89"/>
      <c r="AX234" s="89"/>
      <c r="AY234" s="89"/>
      <c r="AZ234" s="89"/>
      <c r="BA234" s="95"/>
    </row>
    <row r="235" spans="1:53" s="87" customFormat="1">
      <c r="A235" s="90" t="str">
        <f t="shared" si="28"/>
        <v/>
      </c>
      <c r="B235" s="89">
        <v>20</v>
      </c>
      <c r="C235" s="89" t="s">
        <v>202</v>
      </c>
      <c r="D235" s="89">
        <v>-7</v>
      </c>
      <c r="E235" s="89">
        <v>8</v>
      </c>
      <c r="F235" s="89">
        <v>-2</v>
      </c>
      <c r="G235" s="89">
        <v>10</v>
      </c>
      <c r="H235" s="89"/>
      <c r="I235" s="89"/>
      <c r="J235" s="89"/>
      <c r="K235" s="89"/>
      <c r="L235" s="89"/>
      <c r="M235" s="89"/>
      <c r="N235" s="89"/>
      <c r="O235" s="89"/>
      <c r="P235" s="89"/>
      <c r="Q235" s="89"/>
      <c r="R235" s="89"/>
      <c r="S235" s="89"/>
      <c r="T235" s="89"/>
      <c r="U235" s="89"/>
      <c r="V235" s="89"/>
      <c r="W235" s="89"/>
      <c r="X235" s="89"/>
      <c r="Y235" s="89"/>
      <c r="Z235" s="89"/>
      <c r="AA235" s="89"/>
      <c r="AB235" s="89"/>
      <c r="AC235" s="89"/>
      <c r="AD235" s="89"/>
      <c r="AE235" s="89"/>
      <c r="AF235" s="89"/>
      <c r="AG235" s="89"/>
      <c r="AH235" s="89"/>
      <c r="AI235" s="89"/>
      <c r="AJ235" s="89"/>
      <c r="AK235" s="89"/>
      <c r="AL235" s="89"/>
      <c r="AM235" s="89"/>
      <c r="AN235" s="89"/>
      <c r="AO235" s="89"/>
      <c r="AP235" s="89"/>
      <c r="AQ235" s="89"/>
      <c r="AR235" s="89"/>
      <c r="AS235" s="89"/>
      <c r="AT235" s="89"/>
      <c r="AU235" s="89"/>
      <c r="AV235" s="89"/>
      <c r="AW235" s="89"/>
      <c r="AX235" s="89"/>
      <c r="AY235" s="89"/>
      <c r="AZ235" s="89"/>
      <c r="BA235" s="95"/>
    </row>
    <row r="236" spans="1:53" s="87" customFormat="1">
      <c r="A236" s="90" t="str">
        <f t="shared" si="28"/>
        <v/>
      </c>
      <c r="B236" s="89">
        <v>21</v>
      </c>
      <c r="C236" s="89">
        <v>-3</v>
      </c>
      <c r="D236" s="89">
        <v>8</v>
      </c>
      <c r="E236" s="89" t="s">
        <v>202</v>
      </c>
      <c r="F236" s="89">
        <v>9</v>
      </c>
      <c r="G236" s="89">
        <v>-10</v>
      </c>
      <c r="H236" s="89"/>
      <c r="I236" s="89"/>
      <c r="J236" s="89"/>
      <c r="K236" s="89"/>
      <c r="L236" s="89"/>
      <c r="M236" s="89"/>
      <c r="N236" s="89"/>
      <c r="O236" s="89"/>
      <c r="P236" s="89"/>
      <c r="Q236" s="89"/>
      <c r="R236" s="89"/>
      <c r="S236" s="89"/>
      <c r="T236" s="89"/>
      <c r="U236" s="89"/>
      <c r="V236" s="89"/>
      <c r="W236" s="89"/>
      <c r="X236" s="89"/>
      <c r="Y236" s="89"/>
      <c r="Z236" s="89"/>
      <c r="AA236" s="89"/>
      <c r="AB236" s="89"/>
      <c r="AC236" s="89"/>
      <c r="AD236" s="89"/>
      <c r="AE236" s="89"/>
      <c r="AF236" s="89"/>
      <c r="AG236" s="89"/>
      <c r="AH236" s="89"/>
      <c r="AI236" s="89"/>
      <c r="AJ236" s="89"/>
      <c r="AK236" s="89"/>
      <c r="AL236" s="89"/>
      <c r="AM236" s="89"/>
      <c r="AN236" s="89"/>
      <c r="AO236" s="89"/>
      <c r="AP236" s="89"/>
      <c r="AQ236" s="89"/>
      <c r="AR236" s="89"/>
      <c r="AS236" s="89"/>
      <c r="AT236" s="89"/>
      <c r="AU236" s="89"/>
      <c r="AV236" s="89"/>
      <c r="AW236" s="89"/>
      <c r="AX236" s="89"/>
      <c r="AY236" s="89"/>
      <c r="AZ236" s="89"/>
      <c r="BA236" s="95"/>
    </row>
    <row r="237" spans="1:53" s="87" customFormat="1">
      <c r="A237" s="90" t="str">
        <f t="shared" si="28"/>
        <v/>
      </c>
      <c r="B237" s="89">
        <v>22</v>
      </c>
      <c r="C237" s="89">
        <v>-6</v>
      </c>
      <c r="D237" s="89">
        <v>-8</v>
      </c>
      <c r="E237" s="89">
        <v>4</v>
      </c>
      <c r="F237" s="89">
        <v>2</v>
      </c>
      <c r="G237" s="89" t="s">
        <v>202</v>
      </c>
      <c r="H237" s="89"/>
      <c r="I237" s="89"/>
      <c r="J237" s="89"/>
      <c r="K237" s="89"/>
      <c r="L237" s="89"/>
      <c r="M237" s="89"/>
      <c r="N237" s="89"/>
      <c r="O237" s="89"/>
      <c r="P237" s="89"/>
      <c r="Q237" s="89"/>
      <c r="R237" s="89"/>
      <c r="S237" s="89"/>
      <c r="T237" s="89"/>
      <c r="U237" s="89"/>
      <c r="V237" s="89"/>
      <c r="W237" s="89"/>
      <c r="X237" s="89"/>
      <c r="Y237" s="89"/>
      <c r="Z237" s="89"/>
      <c r="AA237" s="89"/>
      <c r="AB237" s="89"/>
      <c r="AC237" s="89"/>
      <c r="AD237" s="89"/>
      <c r="AE237" s="89"/>
      <c r="AF237" s="89"/>
      <c r="AG237" s="89"/>
      <c r="AH237" s="89"/>
      <c r="AI237" s="89"/>
      <c r="AJ237" s="89"/>
      <c r="AK237" s="89"/>
      <c r="AL237" s="89"/>
      <c r="AM237" s="89"/>
      <c r="AN237" s="89"/>
      <c r="AO237" s="89"/>
      <c r="AP237" s="89"/>
      <c r="AQ237" s="89"/>
      <c r="AR237" s="89"/>
      <c r="AS237" s="89"/>
      <c r="AT237" s="89"/>
      <c r="AU237" s="89"/>
      <c r="AV237" s="89"/>
      <c r="AW237" s="89"/>
      <c r="AX237" s="89"/>
      <c r="AY237" s="89"/>
      <c r="AZ237" s="89"/>
      <c r="BA237" s="95"/>
    </row>
    <row r="238" spans="1:53" s="87" customFormat="1">
      <c r="A238" s="90" t="str">
        <f t="shared" si="28"/>
        <v/>
      </c>
      <c r="B238" s="89" t="s">
        <v>538</v>
      </c>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c r="AA238" s="89"/>
      <c r="AB238" s="89"/>
      <c r="AC238" s="89"/>
      <c r="AD238" s="89"/>
      <c r="AE238" s="89"/>
      <c r="AF238" s="89"/>
      <c r="AG238" s="89"/>
      <c r="AH238" s="89"/>
      <c r="AI238" s="89"/>
      <c r="AJ238" s="89"/>
      <c r="AK238" s="89"/>
      <c r="AL238" s="89"/>
      <c r="AM238" s="89"/>
      <c r="AN238" s="89"/>
      <c r="AO238" s="89"/>
      <c r="AP238" s="89"/>
      <c r="AQ238" s="89"/>
      <c r="AR238" s="89"/>
      <c r="AS238" s="89"/>
      <c r="AT238" s="89"/>
      <c r="AU238" s="89"/>
      <c r="AV238" s="89"/>
      <c r="AW238" s="89"/>
      <c r="AX238" s="89"/>
      <c r="AY238" s="89"/>
      <c r="AZ238" s="89"/>
      <c r="BA238" s="95"/>
    </row>
    <row r="239" spans="1:53" s="87" customFormat="1">
      <c r="A239" s="90">
        <f t="shared" si="28"/>
        <v>239</v>
      </c>
      <c r="B239" s="89" t="s">
        <v>549</v>
      </c>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c r="AA239" s="89"/>
      <c r="AB239" s="89"/>
      <c r="AC239" s="89"/>
      <c r="AD239" s="89"/>
      <c r="AE239" s="89"/>
      <c r="AF239" s="89"/>
      <c r="AG239" s="89"/>
      <c r="AH239" s="89"/>
      <c r="AI239" s="89"/>
      <c r="AJ239" s="89"/>
      <c r="AK239" s="89"/>
      <c r="AL239" s="89"/>
      <c r="AM239" s="89"/>
      <c r="AN239" s="89"/>
      <c r="AO239" s="89"/>
      <c r="AP239" s="89"/>
      <c r="AQ239" s="89"/>
      <c r="AR239" s="89"/>
      <c r="AS239" s="89"/>
      <c r="AT239" s="89"/>
      <c r="AU239" s="89"/>
      <c r="AV239" s="89"/>
      <c r="AW239" s="89"/>
      <c r="AX239" s="89"/>
      <c r="AY239" s="89"/>
      <c r="AZ239" s="89"/>
      <c r="BA239" s="95"/>
    </row>
    <row r="240" spans="1:53" s="87" customFormat="1">
      <c r="A240" s="90" t="str">
        <f t="shared" si="28"/>
        <v/>
      </c>
      <c r="B240" s="89">
        <v>1</v>
      </c>
      <c r="C240" s="89">
        <v>4</v>
      </c>
      <c r="D240" s="89" t="s">
        <v>202</v>
      </c>
      <c r="E240" s="89">
        <v>2</v>
      </c>
      <c r="F240" s="89">
        <v>-3</v>
      </c>
      <c r="G240" s="89">
        <v>-5</v>
      </c>
      <c r="H240" s="89"/>
      <c r="I240" s="89"/>
      <c r="J240" s="89"/>
      <c r="K240" s="89"/>
      <c r="L240" s="89"/>
      <c r="M240" s="89"/>
      <c r="N240" s="89"/>
      <c r="O240" s="89"/>
      <c r="P240" s="89"/>
      <c r="Q240" s="89"/>
      <c r="R240" s="89"/>
      <c r="S240" s="89"/>
      <c r="T240" s="89"/>
      <c r="U240" s="89"/>
      <c r="V240" s="89"/>
      <c r="W240" s="89"/>
      <c r="X240" s="89"/>
      <c r="Y240" s="89"/>
      <c r="Z240" s="89"/>
      <c r="AA240" s="89"/>
      <c r="AB240" s="89"/>
      <c r="AC240" s="89"/>
      <c r="AD240" s="89"/>
      <c r="AE240" s="89"/>
      <c r="AF240" s="89"/>
      <c r="AG240" s="89"/>
      <c r="AH240" s="89"/>
      <c r="AI240" s="89"/>
      <c r="AJ240" s="89"/>
      <c r="AK240" s="89"/>
      <c r="AL240" s="89"/>
      <c r="AM240" s="89"/>
      <c r="AN240" s="89"/>
      <c r="AO240" s="89"/>
      <c r="AP240" s="89"/>
      <c r="AQ240" s="89"/>
      <c r="AR240" s="89"/>
      <c r="AS240" s="89"/>
      <c r="AT240" s="89"/>
      <c r="AU240" s="89"/>
      <c r="AV240" s="89"/>
      <c r="AW240" s="89"/>
      <c r="AX240" s="89"/>
      <c r="AY240" s="89"/>
      <c r="AZ240" s="89"/>
      <c r="BA240" s="95"/>
    </row>
    <row r="241" spans="1:53" s="87" customFormat="1">
      <c r="A241" s="90" t="str">
        <f t="shared" si="28"/>
        <v/>
      </c>
      <c r="B241" s="89">
        <v>2</v>
      </c>
      <c r="C241" s="89">
        <v>-7</v>
      </c>
      <c r="D241" s="89">
        <v>4</v>
      </c>
      <c r="E241" s="89" t="s">
        <v>202</v>
      </c>
      <c r="F241" s="89">
        <v>-6</v>
      </c>
      <c r="G241" s="89">
        <v>5</v>
      </c>
      <c r="H241" s="89"/>
      <c r="I241" s="89"/>
      <c r="J241" s="89"/>
      <c r="K241" s="89"/>
      <c r="L241" s="89"/>
      <c r="M241" s="89"/>
      <c r="N241" s="89"/>
      <c r="O241" s="89"/>
      <c r="P241" s="89"/>
      <c r="Q241" s="89"/>
      <c r="R241" s="89"/>
      <c r="S241" s="89"/>
      <c r="T241" s="89"/>
      <c r="U241" s="89"/>
      <c r="V241" s="89"/>
      <c r="W241" s="89"/>
      <c r="X241" s="89"/>
      <c r="Y241" s="89"/>
      <c r="Z241" s="89"/>
      <c r="AA241" s="89"/>
      <c r="AB241" s="89"/>
      <c r="AC241" s="89"/>
      <c r="AD241" s="89"/>
      <c r="AE241" s="89"/>
      <c r="AF241" s="89"/>
      <c r="AG241" s="89"/>
      <c r="AH241" s="89"/>
      <c r="AI241" s="89"/>
      <c r="AJ241" s="89"/>
      <c r="AK241" s="89"/>
      <c r="AL241" s="89"/>
      <c r="AM241" s="89"/>
      <c r="AN241" s="89"/>
      <c r="AO241" s="89"/>
      <c r="AP241" s="89"/>
      <c r="AQ241" s="89"/>
      <c r="AR241" s="89"/>
      <c r="AS241" s="89"/>
      <c r="AT241" s="89"/>
      <c r="AU241" s="89"/>
      <c r="AV241" s="89"/>
      <c r="AW241" s="89"/>
      <c r="AX241" s="89"/>
      <c r="AY241" s="89"/>
      <c r="AZ241" s="89"/>
      <c r="BA241" s="95"/>
    </row>
    <row r="242" spans="1:53" s="87" customFormat="1">
      <c r="A242" s="90" t="str">
        <f t="shared" si="28"/>
        <v/>
      </c>
      <c r="B242" s="89">
        <v>3</v>
      </c>
      <c r="C242" s="89" t="s">
        <v>202</v>
      </c>
      <c r="D242" s="89">
        <v>-4</v>
      </c>
      <c r="E242" s="89">
        <v>-5</v>
      </c>
      <c r="F242" s="89">
        <v>3</v>
      </c>
      <c r="G242" s="89">
        <v>6</v>
      </c>
      <c r="H242" s="89"/>
      <c r="I242" s="89"/>
      <c r="J242" s="89"/>
      <c r="K242" s="89"/>
      <c r="L242" s="89"/>
      <c r="M242" s="89"/>
      <c r="N242" s="89"/>
      <c r="O242" s="89"/>
      <c r="P242" s="89"/>
      <c r="Q242" s="89"/>
      <c r="R242" s="89"/>
      <c r="S242" s="89"/>
      <c r="T242" s="89"/>
      <c r="U242" s="89"/>
      <c r="V242" s="89"/>
      <c r="W242" s="89"/>
      <c r="X242" s="89"/>
      <c r="Y242" s="89"/>
      <c r="Z242" s="89"/>
      <c r="AA242" s="89"/>
      <c r="AB242" s="89"/>
      <c r="AC242" s="89"/>
      <c r="AD242" s="89"/>
      <c r="AE242" s="89"/>
      <c r="AF242" s="89"/>
      <c r="AG242" s="89"/>
      <c r="AH242" s="89"/>
      <c r="AI242" s="89"/>
      <c r="AJ242" s="89"/>
      <c r="AK242" s="89"/>
      <c r="AL242" s="89"/>
      <c r="AM242" s="89"/>
      <c r="AN242" s="89"/>
      <c r="AO242" s="89"/>
      <c r="AP242" s="89"/>
      <c r="AQ242" s="89"/>
      <c r="AR242" s="89"/>
      <c r="AS242" s="89"/>
      <c r="AT242" s="89"/>
      <c r="AU242" s="89"/>
      <c r="AV242" s="89"/>
      <c r="AW242" s="89"/>
      <c r="AX242" s="89"/>
      <c r="AY242" s="89"/>
      <c r="AZ242" s="89"/>
      <c r="BA242" s="95"/>
    </row>
    <row r="243" spans="1:53" s="87" customFormat="1">
      <c r="A243" s="90" t="str">
        <f t="shared" si="28"/>
        <v/>
      </c>
      <c r="B243" s="89">
        <v>4</v>
      </c>
      <c r="C243" s="89">
        <v>7</v>
      </c>
      <c r="D243" s="89">
        <v>3</v>
      </c>
      <c r="E243" s="89">
        <v>-2</v>
      </c>
      <c r="F243" s="89" t="s">
        <v>202</v>
      </c>
      <c r="G243" s="89">
        <v>-6</v>
      </c>
      <c r="H243" s="89"/>
      <c r="I243" s="89"/>
      <c r="J243" s="89"/>
      <c r="K243" s="89"/>
      <c r="L243" s="89"/>
      <c r="M243" s="89"/>
      <c r="N243" s="89"/>
      <c r="O243" s="89"/>
      <c r="P243" s="89"/>
      <c r="Q243" s="89"/>
      <c r="R243" s="89"/>
      <c r="S243" s="89"/>
      <c r="T243" s="89"/>
      <c r="U243" s="89"/>
      <c r="V243" s="89"/>
      <c r="W243" s="89"/>
      <c r="X243" s="89"/>
      <c r="Y243" s="89"/>
      <c r="Z243" s="89"/>
      <c r="AA243" s="89"/>
      <c r="AB243" s="89"/>
      <c r="AC243" s="89"/>
      <c r="AD243" s="89"/>
      <c r="AE243" s="89"/>
      <c r="AF243" s="89"/>
      <c r="AG243" s="89"/>
      <c r="AH243" s="89"/>
      <c r="AI243" s="89"/>
      <c r="AJ243" s="89"/>
      <c r="AK243" s="89"/>
      <c r="AL243" s="89"/>
      <c r="AM243" s="89"/>
      <c r="AN243" s="89"/>
      <c r="AO243" s="89"/>
      <c r="AP243" s="89"/>
      <c r="AQ243" s="89"/>
      <c r="AR243" s="89"/>
      <c r="AS243" s="89"/>
      <c r="AT243" s="89"/>
      <c r="AU243" s="89"/>
      <c r="AV243" s="89"/>
      <c r="AW243" s="89"/>
      <c r="AX243" s="89"/>
      <c r="AY243" s="89"/>
      <c r="AZ243" s="89"/>
      <c r="BA243" s="95"/>
    </row>
    <row r="244" spans="1:53" s="87" customFormat="1">
      <c r="A244" s="90" t="str">
        <f t="shared" si="28"/>
        <v/>
      </c>
      <c r="B244" s="99">
        <v>5</v>
      </c>
      <c r="C244" s="92">
        <v>-4</v>
      </c>
      <c r="D244" s="92">
        <v>-3</v>
      </c>
      <c r="E244" s="92">
        <v>5</v>
      </c>
      <c r="F244" s="92">
        <v>6</v>
      </c>
      <c r="G244" s="92" t="s">
        <v>202</v>
      </c>
      <c r="H244" s="89"/>
      <c r="I244" s="89"/>
      <c r="J244" s="89"/>
      <c r="K244" s="89"/>
      <c r="L244" s="89"/>
      <c r="M244" s="89"/>
      <c r="N244" s="89"/>
      <c r="O244" s="89"/>
      <c r="P244" s="89"/>
      <c r="Q244" s="89"/>
      <c r="R244" s="89"/>
      <c r="S244" s="89"/>
      <c r="T244" s="89"/>
      <c r="U244" s="89"/>
      <c r="V244" s="89"/>
      <c r="W244" s="89"/>
      <c r="X244" s="89"/>
      <c r="Y244" s="89"/>
      <c r="Z244" s="89"/>
      <c r="AA244" s="89"/>
      <c r="AB244" s="89"/>
      <c r="AC244" s="89"/>
      <c r="AD244" s="89"/>
      <c r="AE244" s="89"/>
      <c r="AF244" s="89"/>
      <c r="AG244" s="89"/>
      <c r="AH244" s="89"/>
      <c r="AI244" s="89"/>
      <c r="AJ244" s="89"/>
      <c r="AK244" s="89"/>
      <c r="AL244" s="89"/>
      <c r="AM244" s="89"/>
      <c r="AN244" s="89"/>
      <c r="AO244" s="89"/>
      <c r="AP244" s="89"/>
      <c r="AQ244" s="89"/>
      <c r="AR244" s="89"/>
      <c r="AS244" s="89"/>
      <c r="AT244" s="89"/>
      <c r="AU244" s="89"/>
      <c r="AV244" s="89"/>
      <c r="AW244" s="89"/>
      <c r="AX244" s="89"/>
      <c r="AY244" s="89"/>
      <c r="AZ244" s="89"/>
      <c r="BA244" s="95"/>
    </row>
    <row r="245" spans="1:53" s="87" customFormat="1">
      <c r="A245" s="90" t="str">
        <f t="shared" si="28"/>
        <v/>
      </c>
      <c r="B245" s="89">
        <v>6</v>
      </c>
      <c r="C245" s="89">
        <v>3</v>
      </c>
      <c r="D245" s="89" t="s">
        <v>202</v>
      </c>
      <c r="E245" s="89">
        <v>9</v>
      </c>
      <c r="F245" s="89">
        <v>-8</v>
      </c>
      <c r="G245" s="89">
        <v>-4</v>
      </c>
      <c r="H245" s="89"/>
      <c r="I245" s="89"/>
      <c r="J245" s="89"/>
      <c r="K245" s="89"/>
      <c r="L245" s="89"/>
      <c r="M245" s="89"/>
      <c r="N245" s="89"/>
      <c r="O245" s="89"/>
      <c r="P245" s="89"/>
      <c r="Q245" s="89"/>
      <c r="R245" s="89"/>
      <c r="S245" s="89"/>
      <c r="T245" s="89"/>
      <c r="U245" s="89"/>
      <c r="V245" s="89"/>
      <c r="W245" s="89"/>
      <c r="X245" s="89"/>
      <c r="Y245" s="89"/>
      <c r="Z245" s="89"/>
      <c r="AA245" s="89"/>
      <c r="AB245" s="89"/>
      <c r="AC245" s="89"/>
      <c r="AD245" s="89"/>
      <c r="AE245" s="89"/>
      <c r="AF245" s="89"/>
      <c r="AG245" s="89"/>
      <c r="AH245" s="89"/>
      <c r="AI245" s="89"/>
      <c r="AJ245" s="89"/>
      <c r="AK245" s="89"/>
      <c r="AL245" s="89"/>
      <c r="AM245" s="89"/>
      <c r="AN245" s="89"/>
      <c r="AO245" s="89"/>
      <c r="AP245" s="89"/>
      <c r="AQ245" s="89"/>
      <c r="AR245" s="89"/>
      <c r="AS245" s="89"/>
      <c r="AT245" s="89"/>
      <c r="AU245" s="89"/>
      <c r="AV245" s="89"/>
      <c r="AW245" s="89"/>
      <c r="AX245" s="89"/>
      <c r="AY245" s="89"/>
      <c r="AZ245" s="89"/>
      <c r="BA245" s="95"/>
    </row>
    <row r="246" spans="1:53" s="87" customFormat="1">
      <c r="A246" s="90" t="str">
        <f t="shared" si="28"/>
        <v/>
      </c>
      <c r="B246" s="89">
        <v>7</v>
      </c>
      <c r="C246" s="89">
        <v>-8</v>
      </c>
      <c r="D246" s="89">
        <v>10</v>
      </c>
      <c r="E246" s="89" t="s">
        <v>202</v>
      </c>
      <c r="F246" s="89">
        <v>-5</v>
      </c>
      <c r="G246" s="89">
        <v>4</v>
      </c>
      <c r="H246" s="89"/>
      <c r="I246" s="89"/>
      <c r="J246" s="89"/>
      <c r="K246" s="89"/>
      <c r="L246" s="89"/>
      <c r="M246" s="89"/>
      <c r="N246" s="89"/>
      <c r="O246" s="89"/>
      <c r="P246" s="89"/>
      <c r="Q246" s="89"/>
      <c r="R246" s="89"/>
      <c r="S246" s="89"/>
      <c r="T246" s="89"/>
      <c r="U246" s="89"/>
      <c r="V246" s="89"/>
      <c r="W246" s="89"/>
      <c r="X246" s="89"/>
      <c r="Y246" s="89"/>
      <c r="Z246" s="89"/>
      <c r="AA246" s="89"/>
      <c r="AB246" s="89"/>
      <c r="AC246" s="89"/>
      <c r="AD246" s="89"/>
      <c r="AE246" s="89"/>
      <c r="AF246" s="89"/>
      <c r="AG246" s="89"/>
      <c r="AH246" s="89"/>
      <c r="AI246" s="89"/>
      <c r="AJ246" s="89"/>
      <c r="AK246" s="89"/>
      <c r="AL246" s="89"/>
      <c r="AM246" s="89"/>
      <c r="AN246" s="89"/>
      <c r="AO246" s="89"/>
      <c r="AP246" s="89"/>
      <c r="AQ246" s="89"/>
      <c r="AR246" s="89"/>
      <c r="AS246" s="89"/>
      <c r="AT246" s="89"/>
      <c r="AU246" s="89"/>
      <c r="AV246" s="89"/>
      <c r="AW246" s="89"/>
      <c r="AX246" s="89"/>
      <c r="AY246" s="89"/>
      <c r="AZ246" s="89"/>
      <c r="BA246" s="95"/>
    </row>
    <row r="247" spans="1:53" s="87" customFormat="1">
      <c r="A247" s="90" t="str">
        <f t="shared" si="28"/>
        <v/>
      </c>
      <c r="B247" s="89">
        <v>8</v>
      </c>
      <c r="C247" s="89" t="s">
        <v>202</v>
      </c>
      <c r="D247" s="89">
        <v>-10</v>
      </c>
      <c r="E247" s="89">
        <v>-6</v>
      </c>
      <c r="F247" s="89">
        <v>8</v>
      </c>
      <c r="G247" s="89">
        <v>7</v>
      </c>
      <c r="H247" s="89"/>
      <c r="I247" s="89"/>
      <c r="J247" s="89"/>
      <c r="K247" s="89"/>
      <c r="L247" s="89"/>
      <c r="M247" s="89"/>
      <c r="N247" s="89"/>
      <c r="O247" s="89"/>
      <c r="P247" s="89"/>
      <c r="Q247" s="89"/>
      <c r="R247" s="89"/>
      <c r="S247" s="89"/>
      <c r="T247" s="89"/>
      <c r="U247" s="89"/>
      <c r="V247" s="89"/>
      <c r="W247" s="89"/>
      <c r="X247" s="89"/>
      <c r="Y247" s="89"/>
      <c r="Z247" s="89"/>
      <c r="AA247" s="89"/>
      <c r="AB247" s="89"/>
      <c r="AC247" s="89"/>
      <c r="AD247" s="89"/>
      <c r="AE247" s="89"/>
      <c r="AF247" s="89"/>
      <c r="AG247" s="89"/>
      <c r="AH247" s="89"/>
      <c r="AI247" s="89"/>
      <c r="AJ247" s="89"/>
      <c r="AK247" s="89"/>
      <c r="AL247" s="89"/>
      <c r="AM247" s="89"/>
      <c r="AN247" s="89"/>
      <c r="AO247" s="89"/>
      <c r="AP247" s="89"/>
      <c r="AQ247" s="89"/>
      <c r="AR247" s="89"/>
      <c r="AS247" s="89"/>
      <c r="AT247" s="89"/>
      <c r="AU247" s="89"/>
      <c r="AV247" s="89"/>
      <c r="AW247" s="89"/>
      <c r="AX247" s="89"/>
      <c r="AY247" s="89"/>
      <c r="AZ247" s="89"/>
      <c r="BA247" s="95"/>
    </row>
    <row r="248" spans="1:53" s="87" customFormat="1">
      <c r="A248" s="90" t="str">
        <f t="shared" si="28"/>
        <v/>
      </c>
      <c r="B248" s="89">
        <v>9</v>
      </c>
      <c r="C248" s="89">
        <v>8</v>
      </c>
      <c r="D248" s="89">
        <v>1</v>
      </c>
      <c r="E248" s="89">
        <v>-9</v>
      </c>
      <c r="F248" s="89" t="s">
        <v>202</v>
      </c>
      <c r="G248" s="89">
        <v>-7</v>
      </c>
      <c r="H248" s="89"/>
      <c r="I248" s="89"/>
      <c r="J248" s="89"/>
      <c r="K248" s="89"/>
      <c r="L248" s="89"/>
      <c r="M248" s="89"/>
      <c r="N248" s="89"/>
      <c r="O248" s="89"/>
      <c r="P248" s="89"/>
      <c r="Q248" s="89"/>
      <c r="R248" s="89"/>
      <c r="S248" s="89"/>
      <c r="T248" s="89"/>
      <c r="U248" s="89"/>
      <c r="V248" s="89"/>
      <c r="W248" s="89"/>
      <c r="X248" s="89"/>
      <c r="Y248" s="89"/>
      <c r="Z248" s="89"/>
      <c r="AA248" s="89"/>
      <c r="AB248" s="89"/>
      <c r="AC248" s="89"/>
      <c r="AD248" s="89"/>
      <c r="AE248" s="89"/>
      <c r="AF248" s="89"/>
      <c r="AG248" s="89"/>
      <c r="AH248" s="89"/>
      <c r="AI248" s="89"/>
      <c r="AJ248" s="89"/>
      <c r="AK248" s="89"/>
      <c r="AL248" s="89"/>
      <c r="AM248" s="89"/>
      <c r="AN248" s="89"/>
      <c r="AO248" s="89"/>
      <c r="AP248" s="89"/>
      <c r="AQ248" s="89"/>
      <c r="AR248" s="89"/>
      <c r="AS248" s="89"/>
      <c r="AT248" s="89"/>
      <c r="AU248" s="89"/>
      <c r="AV248" s="89"/>
      <c r="AW248" s="89"/>
      <c r="AX248" s="89"/>
      <c r="AY248" s="89"/>
      <c r="AZ248" s="89"/>
      <c r="BA248" s="95"/>
    </row>
    <row r="249" spans="1:53" s="87" customFormat="1">
      <c r="A249" s="90" t="str">
        <f t="shared" si="28"/>
        <v/>
      </c>
      <c r="B249" s="99">
        <v>10</v>
      </c>
      <c r="C249" s="92">
        <v>-3</v>
      </c>
      <c r="D249" s="92">
        <v>-1</v>
      </c>
      <c r="E249" s="92">
        <v>6</v>
      </c>
      <c r="F249" s="92">
        <v>5</v>
      </c>
      <c r="G249" s="92" t="s">
        <v>202</v>
      </c>
      <c r="H249" s="89"/>
      <c r="I249" s="89"/>
      <c r="J249" s="89"/>
      <c r="K249" s="89"/>
      <c r="L249" s="89"/>
      <c r="M249" s="89"/>
      <c r="N249" s="89"/>
      <c r="O249" s="89"/>
      <c r="P249" s="89"/>
      <c r="Q249" s="89"/>
      <c r="R249" s="89"/>
      <c r="S249" s="89"/>
      <c r="T249" s="89"/>
      <c r="U249" s="89"/>
      <c r="V249" s="89"/>
      <c r="W249" s="89"/>
      <c r="X249" s="89"/>
      <c r="Y249" s="89"/>
      <c r="Z249" s="89"/>
      <c r="AA249" s="89"/>
      <c r="AB249" s="89"/>
      <c r="AC249" s="89"/>
      <c r="AD249" s="89"/>
      <c r="AE249" s="89"/>
      <c r="AF249" s="89"/>
      <c r="AG249" s="89"/>
      <c r="AH249" s="89"/>
      <c r="AI249" s="89"/>
      <c r="AJ249" s="89"/>
      <c r="AK249" s="89"/>
      <c r="AL249" s="89"/>
      <c r="AM249" s="89"/>
      <c r="AN249" s="89"/>
      <c r="AO249" s="89"/>
      <c r="AP249" s="89"/>
      <c r="AQ249" s="89"/>
      <c r="AR249" s="89"/>
      <c r="AS249" s="89"/>
      <c r="AT249" s="89"/>
      <c r="AU249" s="89"/>
      <c r="AV249" s="89"/>
      <c r="AW249" s="89"/>
      <c r="AX249" s="89"/>
      <c r="AY249" s="89"/>
      <c r="AZ249" s="89"/>
      <c r="BA249" s="95"/>
    </row>
    <row r="250" spans="1:53" s="87" customFormat="1">
      <c r="A250" s="90" t="str">
        <f t="shared" si="28"/>
        <v/>
      </c>
      <c r="B250" s="89">
        <v>11</v>
      </c>
      <c r="C250" s="89" t="s">
        <v>210</v>
      </c>
      <c r="D250" s="89">
        <v>-6</v>
      </c>
      <c r="E250" s="89">
        <v>-10</v>
      </c>
      <c r="F250" s="89">
        <v>7</v>
      </c>
      <c r="G250" s="89">
        <v>3</v>
      </c>
      <c r="H250" s="89"/>
      <c r="I250" s="89"/>
      <c r="J250" s="89"/>
      <c r="K250" s="89"/>
      <c r="L250" s="89"/>
      <c r="M250" s="89"/>
      <c r="N250" s="89"/>
      <c r="O250" s="89"/>
      <c r="P250" s="89"/>
      <c r="Q250" s="89"/>
      <c r="R250" s="89"/>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95"/>
    </row>
    <row r="251" spans="1:53" s="87" customFormat="1">
      <c r="A251" s="90" t="str">
        <f t="shared" si="28"/>
        <v/>
      </c>
      <c r="B251" s="89">
        <v>12</v>
      </c>
      <c r="C251" s="89" t="s">
        <v>210</v>
      </c>
      <c r="D251" s="89">
        <v>5</v>
      </c>
      <c r="E251" s="89">
        <v>1</v>
      </c>
      <c r="F251" s="89">
        <v>-4</v>
      </c>
      <c r="G251" s="89">
        <v>-3</v>
      </c>
      <c r="H251" s="89"/>
      <c r="I251" s="89"/>
      <c r="J251" s="89"/>
      <c r="K251" s="89"/>
      <c r="L251" s="89"/>
      <c r="M251" s="89"/>
      <c r="N251" s="89"/>
      <c r="O251" s="89"/>
      <c r="P251" s="89"/>
      <c r="Q251" s="89"/>
      <c r="R251" s="89"/>
      <c r="S251" s="89"/>
      <c r="T251" s="89"/>
      <c r="U251" s="89"/>
      <c r="V251" s="89"/>
      <c r="W251" s="89"/>
      <c r="X251" s="89"/>
      <c r="Y251" s="89"/>
      <c r="Z251" s="89"/>
      <c r="AA251" s="89"/>
      <c r="AB251" s="89"/>
      <c r="AC251" s="89"/>
      <c r="AD251" s="89"/>
      <c r="AE251" s="89"/>
      <c r="AF251" s="89"/>
      <c r="AG251" s="89"/>
      <c r="AH251" s="89"/>
      <c r="AI251" s="89"/>
      <c r="AJ251" s="89"/>
      <c r="AK251" s="89"/>
      <c r="AL251" s="89"/>
      <c r="AM251" s="89"/>
      <c r="AN251" s="89"/>
      <c r="AO251" s="89"/>
      <c r="AP251" s="89"/>
      <c r="AQ251" s="89"/>
      <c r="AR251" s="89"/>
      <c r="AS251" s="89"/>
      <c r="AT251" s="89"/>
      <c r="AU251" s="89"/>
      <c r="AV251" s="89"/>
      <c r="AW251" s="89"/>
      <c r="AX251" s="89"/>
      <c r="AY251" s="89"/>
      <c r="AZ251" s="89"/>
      <c r="BA251" s="95"/>
    </row>
    <row r="252" spans="1:53" s="87" customFormat="1">
      <c r="A252" s="90" t="str">
        <f t="shared" si="28"/>
        <v/>
      </c>
      <c r="B252" s="89">
        <v>13</v>
      </c>
      <c r="C252" s="89" t="s">
        <v>210</v>
      </c>
      <c r="D252" s="89">
        <v>9</v>
      </c>
      <c r="E252" s="89">
        <v>-1</v>
      </c>
      <c r="F252" s="89">
        <v>-7</v>
      </c>
      <c r="G252" s="89">
        <v>8</v>
      </c>
      <c r="H252" s="89"/>
      <c r="I252" s="89"/>
      <c r="J252" s="89"/>
      <c r="K252" s="89"/>
      <c r="L252" s="89"/>
      <c r="M252" s="89"/>
      <c r="N252" s="89"/>
      <c r="O252" s="89"/>
      <c r="P252" s="89"/>
      <c r="Q252" s="89"/>
      <c r="R252" s="89"/>
      <c r="S252" s="89"/>
      <c r="T252" s="89"/>
      <c r="U252" s="89"/>
      <c r="V252" s="89"/>
      <c r="W252" s="89"/>
      <c r="X252" s="89"/>
      <c r="Y252" s="89"/>
      <c r="Z252" s="89"/>
      <c r="AA252" s="89"/>
      <c r="AB252" s="89"/>
      <c r="AC252" s="89"/>
      <c r="AD252" s="89"/>
      <c r="AE252" s="89"/>
      <c r="AF252" s="89"/>
      <c r="AG252" s="89"/>
      <c r="AH252" s="89"/>
      <c r="AI252" s="89"/>
      <c r="AJ252" s="89"/>
      <c r="AK252" s="89"/>
      <c r="AL252" s="89"/>
      <c r="AM252" s="89"/>
      <c r="AN252" s="89"/>
      <c r="AO252" s="89"/>
      <c r="AP252" s="89"/>
      <c r="AQ252" s="89"/>
      <c r="AR252" s="89"/>
      <c r="AS252" s="89"/>
      <c r="AT252" s="89"/>
      <c r="AU252" s="89"/>
      <c r="AV252" s="89"/>
      <c r="AW252" s="89"/>
      <c r="AX252" s="89"/>
      <c r="AY252" s="89"/>
      <c r="AZ252" s="89"/>
      <c r="BA252" s="95"/>
    </row>
    <row r="253" spans="1:53" s="87" customFormat="1">
      <c r="A253" s="90" t="str">
        <f t="shared" si="28"/>
        <v/>
      </c>
      <c r="B253" s="99">
        <v>14</v>
      </c>
      <c r="C253" s="92" t="s">
        <v>210</v>
      </c>
      <c r="D253" s="92">
        <v>-7</v>
      </c>
      <c r="E253" s="92">
        <v>10</v>
      </c>
      <c r="F253" s="92">
        <v>4</v>
      </c>
      <c r="G253" s="92">
        <v>-8</v>
      </c>
      <c r="H253" s="89"/>
      <c r="I253" s="89"/>
      <c r="J253" s="89"/>
      <c r="K253" s="89"/>
      <c r="L253" s="89"/>
      <c r="M253" s="89"/>
      <c r="N253" s="89"/>
      <c r="O253" s="89"/>
      <c r="P253" s="89"/>
      <c r="Q253" s="89"/>
      <c r="R253" s="89"/>
      <c r="S253" s="89"/>
      <c r="T253" s="89"/>
      <c r="U253" s="89"/>
      <c r="V253" s="89"/>
      <c r="W253" s="89"/>
      <c r="X253" s="89"/>
      <c r="Y253" s="89"/>
      <c r="Z253" s="89"/>
      <c r="AA253" s="89"/>
      <c r="AB253" s="89"/>
      <c r="AC253" s="89"/>
      <c r="AD253" s="89"/>
      <c r="AE253" s="89"/>
      <c r="AF253" s="89"/>
      <c r="AG253" s="89"/>
      <c r="AH253" s="89"/>
      <c r="AI253" s="89"/>
      <c r="AJ253" s="89"/>
      <c r="AK253" s="89"/>
      <c r="AL253" s="89"/>
      <c r="AM253" s="89"/>
      <c r="AN253" s="89"/>
      <c r="AO253" s="89"/>
      <c r="AP253" s="89"/>
      <c r="AQ253" s="89"/>
      <c r="AR253" s="89"/>
      <c r="AS253" s="89"/>
      <c r="AT253" s="89"/>
      <c r="AU253" s="89"/>
      <c r="AV253" s="89"/>
      <c r="AW253" s="89"/>
      <c r="AX253" s="89"/>
      <c r="AY253" s="89"/>
      <c r="AZ253" s="89"/>
      <c r="BA253" s="95"/>
    </row>
    <row r="254" spans="1:53" s="87" customFormat="1">
      <c r="A254" s="90" t="str">
        <f t="shared" si="28"/>
        <v/>
      </c>
      <c r="B254" s="89">
        <v>15</v>
      </c>
      <c r="C254" s="89" t="s">
        <v>210</v>
      </c>
      <c r="D254" s="89">
        <v>6</v>
      </c>
      <c r="E254" s="89">
        <v>4</v>
      </c>
      <c r="F254" s="89">
        <v>-1</v>
      </c>
      <c r="G254" s="89">
        <v>-2</v>
      </c>
      <c r="H254" s="89"/>
      <c r="I254" s="89"/>
      <c r="J254" s="89"/>
      <c r="K254" s="89"/>
      <c r="L254" s="89"/>
      <c r="M254" s="89"/>
      <c r="N254" s="89"/>
      <c r="O254" s="89"/>
      <c r="P254" s="89"/>
      <c r="Q254" s="89"/>
      <c r="R254" s="89"/>
      <c r="S254" s="89"/>
      <c r="T254" s="89"/>
      <c r="U254" s="89"/>
      <c r="V254" s="89"/>
      <c r="W254" s="89"/>
      <c r="X254" s="89"/>
      <c r="Y254" s="89"/>
      <c r="Z254" s="89"/>
      <c r="AA254" s="89"/>
      <c r="AB254" s="89"/>
      <c r="AC254" s="89"/>
      <c r="AD254" s="89"/>
      <c r="AE254" s="89"/>
      <c r="AF254" s="89"/>
      <c r="AG254" s="89"/>
      <c r="AH254" s="89"/>
      <c r="AI254" s="89"/>
      <c r="AJ254" s="89"/>
      <c r="AK254" s="89"/>
      <c r="AL254" s="89"/>
      <c r="AM254" s="89"/>
      <c r="AN254" s="89"/>
      <c r="AO254" s="89"/>
      <c r="AP254" s="89"/>
      <c r="AQ254" s="89"/>
      <c r="AR254" s="89"/>
      <c r="AS254" s="89"/>
      <c r="AT254" s="89"/>
      <c r="AU254" s="89"/>
      <c r="AV254" s="89"/>
      <c r="AW254" s="89"/>
      <c r="AX254" s="89"/>
      <c r="AY254" s="89"/>
      <c r="AZ254" s="89"/>
      <c r="BA254" s="95"/>
    </row>
    <row r="255" spans="1:53" s="87" customFormat="1">
      <c r="A255" s="90" t="str">
        <f t="shared" si="28"/>
        <v/>
      </c>
      <c r="B255" s="89">
        <v>16</v>
      </c>
      <c r="C255" s="89" t="s">
        <v>210</v>
      </c>
      <c r="D255" s="89">
        <v>-5</v>
      </c>
      <c r="E255" s="89">
        <v>-7</v>
      </c>
      <c r="F255" s="89">
        <v>10</v>
      </c>
      <c r="G255" s="89">
        <v>2</v>
      </c>
      <c r="H255" s="89"/>
      <c r="I255" s="89"/>
      <c r="J255" s="89"/>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c r="AZ255" s="89"/>
      <c r="BA255" s="95"/>
    </row>
    <row r="256" spans="1:53" s="87" customFormat="1">
      <c r="A256" s="90" t="str">
        <f t="shared" si="28"/>
        <v/>
      </c>
      <c r="B256" s="89">
        <v>17</v>
      </c>
      <c r="C256" s="89" t="s">
        <v>210</v>
      </c>
      <c r="D256" s="89">
        <v>-8</v>
      </c>
      <c r="E256" s="89">
        <v>7</v>
      </c>
      <c r="F256" s="89">
        <v>1</v>
      </c>
      <c r="G256" s="89">
        <v>-9</v>
      </c>
      <c r="H256" s="89"/>
      <c r="I256" s="89"/>
      <c r="J256" s="89"/>
      <c r="K256" s="89"/>
      <c r="L256" s="89"/>
      <c r="M256" s="89"/>
      <c r="N256" s="89"/>
      <c r="O256" s="89"/>
      <c r="P256" s="89"/>
      <c r="Q256" s="89"/>
      <c r="R256" s="89"/>
      <c r="S256" s="89"/>
      <c r="T256" s="89"/>
      <c r="U256" s="89"/>
      <c r="V256" s="89"/>
      <c r="W256" s="89"/>
      <c r="X256" s="89"/>
      <c r="Y256" s="89"/>
      <c r="Z256" s="89"/>
      <c r="AA256" s="89"/>
      <c r="AB256" s="89"/>
      <c r="AC256" s="89"/>
      <c r="AD256" s="89"/>
      <c r="AE256" s="89"/>
      <c r="AF256" s="89"/>
      <c r="AG256" s="89"/>
      <c r="AH256" s="89"/>
      <c r="AI256" s="89"/>
      <c r="AJ256" s="89"/>
      <c r="AK256" s="89"/>
      <c r="AL256" s="89"/>
      <c r="AM256" s="89"/>
      <c r="AN256" s="89"/>
      <c r="AO256" s="89"/>
      <c r="AP256" s="89"/>
      <c r="AQ256" s="89"/>
      <c r="AR256" s="89"/>
      <c r="AS256" s="89"/>
      <c r="AT256" s="89"/>
      <c r="AU256" s="89"/>
      <c r="AV256" s="89"/>
      <c r="AW256" s="89"/>
      <c r="AX256" s="89"/>
      <c r="AY256" s="89"/>
      <c r="AZ256" s="89"/>
      <c r="BA256" s="95"/>
    </row>
    <row r="257" spans="1:53" s="87" customFormat="1">
      <c r="A257" s="90" t="str">
        <f t="shared" si="28"/>
        <v/>
      </c>
      <c r="B257" s="99">
        <v>18</v>
      </c>
      <c r="C257" s="92" t="s">
        <v>210</v>
      </c>
      <c r="D257" s="92">
        <v>2</v>
      </c>
      <c r="E257" s="92">
        <v>-4</v>
      </c>
      <c r="F257" s="92">
        <v>-10</v>
      </c>
      <c r="G257" s="92">
        <v>9</v>
      </c>
      <c r="H257" s="89"/>
      <c r="I257" s="89"/>
      <c r="J257" s="89"/>
      <c r="K257" s="89"/>
      <c r="L257" s="89"/>
      <c r="M257" s="89"/>
      <c r="N257" s="89"/>
      <c r="O257" s="89"/>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c r="AZ257" s="89"/>
      <c r="BA257" s="95"/>
    </row>
    <row r="258" spans="1:53" s="87" customFormat="1">
      <c r="A258" s="90" t="str">
        <f t="shared" si="28"/>
        <v/>
      </c>
      <c r="B258" s="89">
        <v>19</v>
      </c>
      <c r="C258" s="89" t="s">
        <v>210</v>
      </c>
      <c r="D258" s="89">
        <v>-9</v>
      </c>
      <c r="E258" s="89">
        <v>-8</v>
      </c>
      <c r="F258" s="89">
        <v>2</v>
      </c>
      <c r="G258" s="89">
        <v>1</v>
      </c>
      <c r="H258" s="89"/>
      <c r="I258" s="89"/>
      <c r="J258" s="89"/>
      <c r="K258" s="89"/>
      <c r="L258" s="89"/>
      <c r="M258" s="89"/>
      <c r="N258" s="89"/>
      <c r="O258" s="89"/>
      <c r="P258" s="89"/>
      <c r="Q258" s="89"/>
      <c r="R258" s="89"/>
      <c r="S258" s="89"/>
      <c r="T258" s="89"/>
      <c r="U258" s="89"/>
      <c r="V258" s="89"/>
      <c r="W258" s="89"/>
      <c r="X258" s="89"/>
      <c r="Y258" s="89"/>
      <c r="Z258" s="89"/>
      <c r="AA258" s="89"/>
      <c r="AB258" s="89"/>
      <c r="AC258" s="89"/>
      <c r="AD258" s="89"/>
      <c r="AE258" s="89"/>
      <c r="AF258" s="89"/>
      <c r="AG258" s="89"/>
      <c r="AH258" s="89"/>
      <c r="AI258" s="89"/>
      <c r="AJ258" s="89"/>
      <c r="AK258" s="89"/>
      <c r="AL258" s="89"/>
      <c r="AM258" s="89"/>
      <c r="AN258" s="89"/>
      <c r="AO258" s="89"/>
      <c r="AP258" s="89"/>
      <c r="AQ258" s="89"/>
      <c r="AR258" s="89"/>
      <c r="AS258" s="89"/>
      <c r="AT258" s="89"/>
      <c r="AU258" s="89"/>
      <c r="AV258" s="89"/>
      <c r="AW258" s="89"/>
      <c r="AX258" s="89"/>
      <c r="AY258" s="89"/>
      <c r="AZ258" s="89"/>
      <c r="BA258" s="95"/>
    </row>
    <row r="259" spans="1:53" s="87" customFormat="1">
      <c r="A259" s="90" t="str">
        <f t="shared" si="28"/>
        <v/>
      </c>
      <c r="B259" s="89">
        <v>20</v>
      </c>
      <c r="C259" s="89" t="s">
        <v>210</v>
      </c>
      <c r="D259" s="89">
        <v>7</v>
      </c>
      <c r="E259" s="89">
        <v>3</v>
      </c>
      <c r="F259" s="89">
        <v>-9</v>
      </c>
      <c r="G259" s="89">
        <v>-1</v>
      </c>
      <c r="H259" s="89"/>
      <c r="I259" s="89"/>
      <c r="J259" s="89"/>
      <c r="K259" s="89"/>
      <c r="L259" s="89"/>
      <c r="M259" s="89"/>
      <c r="N259" s="89"/>
      <c r="O259" s="89"/>
      <c r="P259" s="89"/>
      <c r="Q259" s="89"/>
      <c r="R259" s="89"/>
      <c r="S259" s="89"/>
      <c r="T259" s="89"/>
      <c r="U259" s="89"/>
      <c r="V259" s="89"/>
      <c r="W259" s="89"/>
      <c r="X259" s="89"/>
      <c r="Y259" s="89"/>
      <c r="Z259" s="89"/>
      <c r="AA259" s="89"/>
      <c r="AB259" s="89"/>
      <c r="AC259" s="89"/>
      <c r="AD259" s="89"/>
      <c r="AE259" s="89"/>
      <c r="AF259" s="89"/>
      <c r="AG259" s="89"/>
      <c r="AH259" s="89"/>
      <c r="AI259" s="89"/>
      <c r="AJ259" s="89"/>
      <c r="AK259" s="89"/>
      <c r="AL259" s="89"/>
      <c r="AM259" s="89"/>
      <c r="AN259" s="89"/>
      <c r="AO259" s="89"/>
      <c r="AP259" s="89"/>
      <c r="AQ259" s="89"/>
      <c r="AR259" s="89"/>
      <c r="AS259" s="89"/>
      <c r="AT259" s="89"/>
      <c r="AU259" s="89"/>
      <c r="AV259" s="89"/>
      <c r="AW259" s="89"/>
      <c r="AX259" s="89"/>
      <c r="AY259" s="89"/>
      <c r="AZ259" s="89"/>
      <c r="BA259" s="95"/>
    </row>
    <row r="260" spans="1:53" s="87" customFormat="1">
      <c r="A260" s="90" t="str">
        <f t="shared" si="28"/>
        <v/>
      </c>
      <c r="B260" s="89">
        <v>21</v>
      </c>
      <c r="C260" s="89" t="s">
        <v>210</v>
      </c>
      <c r="D260" s="89">
        <v>8</v>
      </c>
      <c r="E260" s="89">
        <v>-3</v>
      </c>
      <c r="F260" s="89">
        <v>-2</v>
      </c>
      <c r="G260" s="89">
        <v>10</v>
      </c>
      <c r="H260" s="89"/>
      <c r="I260" s="89"/>
      <c r="J260" s="89"/>
      <c r="K260" s="89"/>
      <c r="L260" s="89"/>
      <c r="M260" s="89"/>
      <c r="N260" s="89"/>
      <c r="O260" s="89"/>
      <c r="P260" s="89"/>
      <c r="Q260" s="89"/>
      <c r="R260" s="89"/>
      <c r="S260" s="89"/>
      <c r="T260" s="89"/>
      <c r="U260" s="89"/>
      <c r="V260" s="89"/>
      <c r="W260" s="89"/>
      <c r="X260" s="89"/>
      <c r="Y260" s="89"/>
      <c r="Z260" s="89"/>
      <c r="AA260" s="89"/>
      <c r="AB260" s="89"/>
      <c r="AC260" s="89"/>
      <c r="AD260" s="89"/>
      <c r="AE260" s="89"/>
      <c r="AF260" s="89"/>
      <c r="AG260" s="89"/>
      <c r="AH260" s="89"/>
      <c r="AI260" s="89"/>
      <c r="AJ260" s="89"/>
      <c r="AK260" s="89"/>
      <c r="AL260" s="89"/>
      <c r="AM260" s="89"/>
      <c r="AN260" s="89"/>
      <c r="AO260" s="89"/>
      <c r="AP260" s="89"/>
      <c r="AQ260" s="89"/>
      <c r="AR260" s="89"/>
      <c r="AS260" s="89"/>
      <c r="AT260" s="89"/>
      <c r="AU260" s="89"/>
      <c r="AV260" s="89"/>
      <c r="AW260" s="89"/>
      <c r="AX260" s="89"/>
      <c r="AY260" s="89"/>
      <c r="AZ260" s="89"/>
      <c r="BA260" s="95"/>
    </row>
    <row r="261" spans="1:53" s="87" customFormat="1">
      <c r="A261" s="90" t="str">
        <f t="shared" si="28"/>
        <v/>
      </c>
      <c r="B261" s="89">
        <v>22</v>
      </c>
      <c r="C261" s="89" t="s">
        <v>210</v>
      </c>
      <c r="D261" s="89">
        <v>-2</v>
      </c>
      <c r="E261" s="89">
        <v>8</v>
      </c>
      <c r="F261" s="89">
        <v>9</v>
      </c>
      <c r="G261" s="89">
        <v>-10</v>
      </c>
      <c r="H261" s="89"/>
      <c r="I261" s="89"/>
      <c r="J261" s="89"/>
      <c r="K261" s="89"/>
      <c r="L261" s="89"/>
      <c r="M261" s="89"/>
      <c r="N261" s="89"/>
      <c r="O261" s="89"/>
      <c r="P261" s="89"/>
      <c r="Q261" s="89"/>
      <c r="R261" s="89"/>
      <c r="S261" s="89"/>
      <c r="T261" s="89"/>
      <c r="U261" s="89"/>
      <c r="V261" s="89"/>
      <c r="W261" s="89"/>
      <c r="X261" s="89"/>
      <c r="Y261" s="89"/>
      <c r="Z261" s="89"/>
      <c r="AA261" s="89"/>
      <c r="AB261" s="89"/>
      <c r="AC261" s="89"/>
      <c r="AD261" s="89"/>
      <c r="AE261" s="89"/>
      <c r="AF261" s="89"/>
      <c r="AG261" s="89"/>
      <c r="AH261" s="89"/>
      <c r="AI261" s="89"/>
      <c r="AJ261" s="89"/>
      <c r="AK261" s="89"/>
      <c r="AL261" s="89"/>
      <c r="AM261" s="89"/>
      <c r="AN261" s="89"/>
      <c r="AO261" s="89"/>
      <c r="AP261" s="89"/>
      <c r="AQ261" s="89"/>
      <c r="AR261" s="89"/>
      <c r="AS261" s="89"/>
      <c r="AT261" s="89"/>
      <c r="AU261" s="89"/>
      <c r="AV261" s="89"/>
      <c r="AW261" s="89"/>
      <c r="AX261" s="89"/>
      <c r="AY261" s="89"/>
      <c r="AZ261" s="89"/>
      <c r="BA261" s="95"/>
    </row>
    <row r="262" spans="1:53" s="87" customFormat="1">
      <c r="A262" s="90" t="str">
        <f t="shared" si="28"/>
        <v/>
      </c>
      <c r="B262" s="89" t="s">
        <v>550</v>
      </c>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c r="AA262" s="89"/>
      <c r="AB262" s="89"/>
      <c r="AC262" s="89"/>
      <c r="AD262" s="89"/>
      <c r="AE262" s="89"/>
      <c r="AF262" s="89"/>
      <c r="AG262" s="89"/>
      <c r="AH262" s="89"/>
      <c r="AI262" s="89"/>
      <c r="AJ262" s="89"/>
      <c r="AK262" s="89"/>
      <c r="AL262" s="89"/>
      <c r="AM262" s="89"/>
      <c r="AN262" s="89"/>
      <c r="AO262" s="89"/>
      <c r="AP262" s="89"/>
      <c r="AQ262" s="89"/>
      <c r="AR262" s="89"/>
      <c r="AS262" s="89"/>
      <c r="AT262" s="89"/>
      <c r="AU262" s="89"/>
      <c r="AV262" s="89"/>
      <c r="AW262" s="89"/>
      <c r="AX262" s="89"/>
      <c r="AY262" s="89"/>
      <c r="AZ262" s="89"/>
      <c r="BA262" s="95"/>
    </row>
    <row r="263" spans="1:53" s="87" customFormat="1">
      <c r="A263" s="90">
        <f t="shared" si="28"/>
        <v>263</v>
      </c>
      <c r="B263" s="89" t="s">
        <v>551</v>
      </c>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c r="AA263" s="89"/>
      <c r="AB263" s="89"/>
      <c r="AC263" s="89"/>
      <c r="AD263" s="89"/>
      <c r="AE263" s="89"/>
      <c r="AF263" s="89"/>
      <c r="AG263" s="89"/>
      <c r="AH263" s="89"/>
      <c r="AI263" s="89"/>
      <c r="AJ263" s="89"/>
      <c r="AK263" s="89"/>
      <c r="AL263" s="89"/>
      <c r="AM263" s="89"/>
      <c r="AN263" s="89"/>
      <c r="AO263" s="89"/>
      <c r="AP263" s="89"/>
      <c r="AQ263" s="89"/>
      <c r="AR263" s="89"/>
      <c r="AS263" s="89"/>
      <c r="AT263" s="89"/>
      <c r="AU263" s="89"/>
      <c r="AV263" s="89"/>
      <c r="AW263" s="89"/>
      <c r="AX263" s="89"/>
      <c r="AY263" s="89"/>
      <c r="AZ263" s="89"/>
      <c r="BA263" s="95"/>
    </row>
    <row r="264" spans="1:53" s="87" customFormat="1">
      <c r="A264" s="90" t="str">
        <f t="shared" si="28"/>
        <v/>
      </c>
      <c r="B264" s="89">
        <v>1</v>
      </c>
      <c r="C264" s="89">
        <v>-8</v>
      </c>
      <c r="D264" s="89" t="s">
        <v>202</v>
      </c>
      <c r="E264" s="89">
        <v>-7</v>
      </c>
      <c r="F264" s="89">
        <v>3</v>
      </c>
      <c r="G264" s="89">
        <v>5</v>
      </c>
      <c r="H264" s="89"/>
      <c r="I264" s="89"/>
      <c r="J264" s="89"/>
      <c r="K264" s="89"/>
      <c r="L264" s="89"/>
      <c r="M264" s="89"/>
      <c r="N264" s="89"/>
      <c r="O264" s="89"/>
      <c r="P264" s="89"/>
      <c r="Q264" s="89"/>
      <c r="R264" s="89"/>
      <c r="S264" s="89"/>
      <c r="T264" s="89"/>
      <c r="U264" s="89"/>
      <c r="V264" s="89"/>
      <c r="W264" s="89"/>
      <c r="X264" s="89"/>
      <c r="Y264" s="89"/>
      <c r="Z264" s="89"/>
      <c r="AA264" s="89"/>
      <c r="AB264" s="89"/>
      <c r="AC264" s="89"/>
      <c r="AD264" s="89"/>
      <c r="AE264" s="89"/>
      <c r="AF264" s="89"/>
      <c r="AG264" s="89"/>
      <c r="AH264" s="89"/>
      <c r="AI264" s="89"/>
      <c r="AJ264" s="89"/>
      <c r="AK264" s="89"/>
      <c r="AL264" s="89"/>
      <c r="AM264" s="89"/>
      <c r="AN264" s="89"/>
      <c r="AO264" s="89"/>
      <c r="AP264" s="89"/>
      <c r="AQ264" s="89"/>
      <c r="AR264" s="89"/>
      <c r="AS264" s="89"/>
      <c r="AT264" s="89"/>
      <c r="AU264" s="89"/>
      <c r="AV264" s="89"/>
      <c r="AW264" s="89"/>
      <c r="AX264" s="89"/>
      <c r="AY264" s="89"/>
      <c r="AZ264" s="89"/>
      <c r="BA264" s="95"/>
    </row>
    <row r="265" spans="1:53" s="87" customFormat="1">
      <c r="A265" s="90" t="str">
        <f t="shared" si="28"/>
        <v/>
      </c>
      <c r="B265" s="89">
        <v>2</v>
      </c>
      <c r="C265" s="89">
        <v>3</v>
      </c>
      <c r="D265" s="89">
        <v>7</v>
      </c>
      <c r="E265" s="89">
        <v>-9</v>
      </c>
      <c r="F265" s="89" t="s">
        <v>202</v>
      </c>
      <c r="G265" s="89">
        <v>-5</v>
      </c>
      <c r="H265" s="89"/>
      <c r="I265" s="89"/>
      <c r="J265" s="89"/>
      <c r="K265" s="89"/>
      <c r="L265" s="89"/>
      <c r="M265" s="89"/>
      <c r="N265" s="89"/>
      <c r="O265" s="89"/>
      <c r="P265" s="89"/>
      <c r="Q265" s="89"/>
      <c r="R265" s="89"/>
      <c r="S265" s="89"/>
      <c r="T265" s="89"/>
      <c r="U265" s="89"/>
      <c r="V265" s="89"/>
      <c r="W265" s="89"/>
      <c r="X265" s="89"/>
      <c r="Y265" s="89"/>
      <c r="Z265" s="89"/>
      <c r="AA265" s="89"/>
      <c r="AB265" s="89"/>
      <c r="AC265" s="89"/>
      <c r="AD265" s="89"/>
      <c r="AE265" s="89"/>
      <c r="AF265" s="89"/>
      <c r="AG265" s="89"/>
      <c r="AH265" s="89"/>
      <c r="AI265" s="89"/>
      <c r="AJ265" s="89"/>
      <c r="AK265" s="89"/>
      <c r="AL265" s="89"/>
      <c r="AM265" s="89"/>
      <c r="AN265" s="89"/>
      <c r="AO265" s="89"/>
      <c r="AP265" s="89"/>
      <c r="AQ265" s="89"/>
      <c r="AR265" s="89"/>
      <c r="AS265" s="89"/>
      <c r="AT265" s="89"/>
      <c r="AU265" s="89"/>
      <c r="AV265" s="89"/>
      <c r="AW265" s="89"/>
      <c r="AX265" s="89"/>
      <c r="AY265" s="89"/>
      <c r="AZ265" s="89"/>
      <c r="BA265" s="95"/>
    </row>
    <row r="266" spans="1:53" s="87" customFormat="1">
      <c r="A266" s="90" t="str">
        <f t="shared" si="28"/>
        <v/>
      </c>
      <c r="B266" s="89">
        <v>3</v>
      </c>
      <c r="C266" s="89">
        <v>8</v>
      </c>
      <c r="D266" s="89">
        <v>-7</v>
      </c>
      <c r="E266" s="89" t="s">
        <v>202</v>
      </c>
      <c r="F266" s="89">
        <v>-4</v>
      </c>
      <c r="G266" s="89">
        <v>6</v>
      </c>
      <c r="H266" s="89"/>
      <c r="I266" s="89"/>
      <c r="J266" s="89"/>
      <c r="K266" s="89"/>
      <c r="L266" s="89"/>
      <c r="M266" s="89"/>
      <c r="N266" s="89"/>
      <c r="O266" s="89"/>
      <c r="P266" s="89"/>
      <c r="Q266" s="89"/>
      <c r="R266" s="89"/>
      <c r="S266" s="89"/>
      <c r="T266" s="89"/>
      <c r="U266" s="89"/>
      <c r="V266" s="89"/>
      <c r="W266" s="89"/>
      <c r="X266" s="89"/>
      <c r="Y266" s="89"/>
      <c r="Z266" s="89"/>
      <c r="AA266" s="89"/>
      <c r="AB266" s="89"/>
      <c r="AC266" s="89"/>
      <c r="AD266" s="89"/>
      <c r="AE266" s="89"/>
      <c r="AF266" s="89"/>
      <c r="AG266" s="89"/>
      <c r="AH266" s="89"/>
      <c r="AI266" s="89"/>
      <c r="AJ266" s="89"/>
      <c r="AK266" s="89"/>
      <c r="AL266" s="89"/>
      <c r="AM266" s="89"/>
      <c r="AN266" s="89"/>
      <c r="AO266" s="89"/>
      <c r="AP266" s="89"/>
      <c r="AQ266" s="89"/>
      <c r="AR266" s="89"/>
      <c r="AS266" s="89"/>
      <c r="AT266" s="89"/>
      <c r="AU266" s="89"/>
      <c r="AV266" s="89"/>
      <c r="AW266" s="89"/>
      <c r="AX266" s="89"/>
      <c r="AY266" s="89"/>
      <c r="AZ266" s="89"/>
      <c r="BA266" s="95"/>
    </row>
    <row r="267" spans="1:53" s="87" customFormat="1">
      <c r="A267" s="90" t="str">
        <f t="shared" si="28"/>
        <v/>
      </c>
      <c r="B267" s="89">
        <v>4</v>
      </c>
      <c r="C267" s="89" t="s">
        <v>202</v>
      </c>
      <c r="D267" s="89">
        <v>10</v>
      </c>
      <c r="E267" s="89">
        <v>9</v>
      </c>
      <c r="F267" s="89">
        <v>-3</v>
      </c>
      <c r="G267" s="89">
        <v>-6</v>
      </c>
      <c r="H267" s="89"/>
      <c r="I267" s="89"/>
      <c r="J267" s="89"/>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c r="AZ267" s="89"/>
      <c r="BA267" s="95"/>
    </row>
    <row r="268" spans="1:53" s="87" customFormat="1">
      <c r="A268" s="90" t="str">
        <f t="shared" ref="A268:A331" si="29">IF(MID(B268,3,2)="10",ROW(),"")</f>
        <v/>
      </c>
      <c r="B268" s="99">
        <v>5</v>
      </c>
      <c r="C268" s="92">
        <v>-3</v>
      </c>
      <c r="D268" s="92">
        <v>-10</v>
      </c>
      <c r="E268" s="92">
        <v>7</v>
      </c>
      <c r="F268" s="92">
        <v>4</v>
      </c>
      <c r="G268" s="92" t="s">
        <v>202</v>
      </c>
      <c r="H268" s="89"/>
      <c r="I268" s="89"/>
      <c r="J268" s="89"/>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c r="AZ268" s="89"/>
      <c r="BA268" s="95"/>
    </row>
    <row r="269" spans="1:53" s="87" customFormat="1">
      <c r="A269" s="90" t="str">
        <f t="shared" si="29"/>
        <v/>
      </c>
      <c r="B269" s="89">
        <v>6</v>
      </c>
      <c r="C269" s="89">
        <v>6</v>
      </c>
      <c r="D269" s="89" t="s">
        <v>202</v>
      </c>
      <c r="E269" s="89">
        <v>2</v>
      </c>
      <c r="F269" s="89">
        <v>-5</v>
      </c>
      <c r="G269" s="89">
        <v>-4</v>
      </c>
      <c r="H269" s="89"/>
      <c r="I269" s="89"/>
      <c r="J269" s="89"/>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95"/>
    </row>
    <row r="270" spans="1:53" s="87" customFormat="1">
      <c r="A270" s="90" t="str">
        <f t="shared" si="29"/>
        <v/>
      </c>
      <c r="B270" s="89">
        <v>7</v>
      </c>
      <c r="C270" s="89">
        <v>-5</v>
      </c>
      <c r="D270" s="89">
        <v>1</v>
      </c>
      <c r="E270" s="89" t="s">
        <v>202</v>
      </c>
      <c r="F270" s="89">
        <v>-7</v>
      </c>
      <c r="G270" s="89">
        <v>4</v>
      </c>
      <c r="H270" s="89"/>
      <c r="I270" s="89"/>
      <c r="J270" s="89"/>
      <c r="K270" s="89"/>
      <c r="L270" s="89"/>
      <c r="M270" s="89"/>
      <c r="N270" s="89"/>
      <c r="O270" s="89"/>
      <c r="P270" s="89"/>
      <c r="Q270" s="89"/>
      <c r="R270" s="89"/>
      <c r="S270" s="89"/>
      <c r="T270" s="89"/>
      <c r="U270" s="89"/>
      <c r="V270" s="89"/>
      <c r="W270" s="89"/>
      <c r="X270" s="89"/>
      <c r="Y270" s="89"/>
      <c r="Z270" s="89"/>
      <c r="AA270" s="89"/>
      <c r="AB270" s="89"/>
      <c r="AC270" s="89"/>
      <c r="AD270" s="89"/>
      <c r="AE270" s="89"/>
      <c r="AF270" s="89"/>
      <c r="AG270" s="89"/>
      <c r="AH270" s="89"/>
      <c r="AI270" s="89"/>
      <c r="AJ270" s="89"/>
      <c r="AK270" s="89"/>
      <c r="AL270" s="89"/>
      <c r="AM270" s="89"/>
      <c r="AN270" s="89"/>
      <c r="AO270" s="89"/>
      <c r="AP270" s="89"/>
      <c r="AQ270" s="89"/>
      <c r="AR270" s="89"/>
      <c r="AS270" s="89"/>
      <c r="AT270" s="89"/>
      <c r="AU270" s="89"/>
      <c r="AV270" s="89"/>
      <c r="AW270" s="89"/>
      <c r="AX270" s="89"/>
      <c r="AY270" s="89"/>
      <c r="AZ270" s="89"/>
      <c r="BA270" s="95"/>
    </row>
    <row r="271" spans="1:53" s="87" customFormat="1">
      <c r="A271" s="90" t="str">
        <f t="shared" si="29"/>
        <v/>
      </c>
      <c r="B271" s="89">
        <v>8</v>
      </c>
      <c r="C271" s="89">
        <v>5</v>
      </c>
      <c r="D271" s="89">
        <v>8</v>
      </c>
      <c r="E271" s="89">
        <v>-2</v>
      </c>
      <c r="F271" s="89" t="s">
        <v>202</v>
      </c>
      <c r="G271" s="89">
        <v>-7</v>
      </c>
      <c r="H271" s="89"/>
      <c r="I271" s="89"/>
      <c r="J271" s="89"/>
      <c r="K271" s="89"/>
      <c r="L271" s="89"/>
      <c r="M271" s="89"/>
      <c r="N271" s="89"/>
      <c r="O271" s="89"/>
      <c r="P271" s="89"/>
      <c r="Q271" s="89"/>
      <c r="R271" s="89"/>
      <c r="S271" s="89"/>
      <c r="T271" s="89"/>
      <c r="U271" s="89"/>
      <c r="V271" s="89"/>
      <c r="W271" s="89"/>
      <c r="X271" s="89"/>
      <c r="Y271" s="89"/>
      <c r="Z271" s="89"/>
      <c r="AA271" s="89"/>
      <c r="AB271" s="89"/>
      <c r="AC271" s="89"/>
      <c r="AD271" s="89"/>
      <c r="AE271" s="89"/>
      <c r="AF271" s="89"/>
      <c r="AG271" s="89"/>
      <c r="AH271" s="89"/>
      <c r="AI271" s="89"/>
      <c r="AJ271" s="89"/>
      <c r="AK271" s="89"/>
      <c r="AL271" s="89"/>
      <c r="AM271" s="89"/>
      <c r="AN271" s="89"/>
      <c r="AO271" s="89"/>
      <c r="AP271" s="89"/>
      <c r="AQ271" s="89"/>
      <c r="AR271" s="89"/>
      <c r="AS271" s="89"/>
      <c r="AT271" s="89"/>
      <c r="AU271" s="89"/>
      <c r="AV271" s="89"/>
      <c r="AW271" s="89"/>
      <c r="AX271" s="89"/>
      <c r="AY271" s="89"/>
      <c r="AZ271" s="89"/>
      <c r="BA271" s="95"/>
    </row>
    <row r="272" spans="1:53" s="87" customFormat="1">
      <c r="A272" s="90" t="str">
        <f t="shared" si="29"/>
        <v/>
      </c>
      <c r="B272" s="89">
        <v>9</v>
      </c>
      <c r="C272" s="89" t="s">
        <v>202</v>
      </c>
      <c r="D272" s="89">
        <v>-1</v>
      </c>
      <c r="E272" s="89">
        <v>-4</v>
      </c>
      <c r="F272" s="89">
        <v>5</v>
      </c>
      <c r="G272" s="89">
        <v>7</v>
      </c>
      <c r="H272" s="89"/>
      <c r="I272" s="89"/>
      <c r="J272" s="89"/>
      <c r="K272" s="89"/>
      <c r="L272" s="89"/>
      <c r="M272" s="89"/>
      <c r="N272" s="89"/>
      <c r="O272" s="89"/>
      <c r="P272" s="89"/>
      <c r="Q272" s="89"/>
      <c r="R272" s="89"/>
      <c r="S272" s="89"/>
      <c r="T272" s="89"/>
      <c r="U272" s="89"/>
      <c r="V272" s="89"/>
      <c r="W272" s="89"/>
      <c r="X272" s="89"/>
      <c r="Y272" s="89"/>
      <c r="Z272" s="89"/>
      <c r="AA272" s="89"/>
      <c r="AB272" s="89"/>
      <c r="AC272" s="89"/>
      <c r="AD272" s="89"/>
      <c r="AE272" s="89"/>
      <c r="AF272" s="89"/>
      <c r="AG272" s="89"/>
      <c r="AH272" s="89"/>
      <c r="AI272" s="89"/>
      <c r="AJ272" s="89"/>
      <c r="AK272" s="89"/>
      <c r="AL272" s="89"/>
      <c r="AM272" s="89"/>
      <c r="AN272" s="89"/>
      <c r="AO272" s="89"/>
      <c r="AP272" s="89"/>
      <c r="AQ272" s="89"/>
      <c r="AR272" s="89"/>
      <c r="AS272" s="89"/>
      <c r="AT272" s="89"/>
      <c r="AU272" s="89"/>
      <c r="AV272" s="89"/>
      <c r="AW272" s="89"/>
      <c r="AX272" s="89"/>
      <c r="AY272" s="89"/>
      <c r="AZ272" s="89"/>
      <c r="BA272" s="95"/>
    </row>
    <row r="273" spans="1:53" s="87" customFormat="1">
      <c r="A273" s="90" t="str">
        <f t="shared" si="29"/>
        <v/>
      </c>
      <c r="B273" s="99">
        <v>10</v>
      </c>
      <c r="C273" s="92">
        <v>-6</v>
      </c>
      <c r="D273" s="92">
        <v>-8</v>
      </c>
      <c r="E273" s="92">
        <v>4</v>
      </c>
      <c r="F273" s="92">
        <v>7</v>
      </c>
      <c r="G273" s="92" t="s">
        <v>202</v>
      </c>
      <c r="H273" s="89"/>
      <c r="I273" s="89"/>
      <c r="J273" s="89"/>
      <c r="K273" s="89"/>
      <c r="L273" s="89"/>
      <c r="M273" s="89"/>
      <c r="N273" s="89"/>
      <c r="O273" s="89"/>
      <c r="P273" s="89"/>
      <c r="Q273" s="89"/>
      <c r="R273" s="89"/>
      <c r="S273" s="89"/>
      <c r="T273" s="89"/>
      <c r="U273" s="89"/>
      <c r="V273" s="89"/>
      <c r="W273" s="89"/>
      <c r="X273" s="89"/>
      <c r="Y273" s="89"/>
      <c r="Z273" s="89"/>
      <c r="AA273" s="89"/>
      <c r="AB273" s="89"/>
      <c r="AC273" s="89"/>
      <c r="AD273" s="89"/>
      <c r="AE273" s="89"/>
      <c r="AF273" s="89"/>
      <c r="AG273" s="89"/>
      <c r="AH273" s="89"/>
      <c r="AI273" s="89"/>
      <c r="AJ273" s="89"/>
      <c r="AK273" s="89"/>
      <c r="AL273" s="89"/>
      <c r="AM273" s="89"/>
      <c r="AN273" s="89"/>
      <c r="AO273" s="89"/>
      <c r="AP273" s="89"/>
      <c r="AQ273" s="89"/>
      <c r="AR273" s="89"/>
      <c r="AS273" s="89"/>
      <c r="AT273" s="89"/>
      <c r="AU273" s="89"/>
      <c r="AV273" s="89"/>
      <c r="AW273" s="89"/>
      <c r="AX273" s="89"/>
      <c r="AY273" s="89"/>
      <c r="AZ273" s="89"/>
      <c r="BA273" s="95"/>
    </row>
    <row r="274" spans="1:53" s="87" customFormat="1">
      <c r="A274" s="90" t="str">
        <f t="shared" si="29"/>
        <v/>
      </c>
      <c r="B274" s="89">
        <v>11</v>
      </c>
      <c r="C274" s="89">
        <v>-2</v>
      </c>
      <c r="D274" s="89">
        <v>5</v>
      </c>
      <c r="E274" s="89" t="s">
        <v>202</v>
      </c>
      <c r="F274" s="89">
        <v>-8</v>
      </c>
      <c r="G274" s="89">
        <v>3</v>
      </c>
      <c r="H274" s="89"/>
      <c r="I274" s="89"/>
      <c r="J274" s="89"/>
      <c r="K274" s="89"/>
      <c r="L274" s="89"/>
      <c r="M274" s="89"/>
      <c r="N274" s="89"/>
      <c r="O274" s="89"/>
      <c r="P274" s="89"/>
      <c r="Q274" s="89"/>
      <c r="R274" s="89"/>
      <c r="S274" s="89"/>
      <c r="T274" s="89"/>
      <c r="U274" s="89"/>
      <c r="V274" s="89"/>
      <c r="W274" s="89"/>
      <c r="X274" s="89"/>
      <c r="Y274" s="89"/>
      <c r="Z274" s="89"/>
      <c r="AA274" s="89"/>
      <c r="AB274" s="89"/>
      <c r="AC274" s="89"/>
      <c r="AD274" s="89"/>
      <c r="AE274" s="89"/>
      <c r="AF274" s="89"/>
      <c r="AG274" s="89"/>
      <c r="AH274" s="89"/>
      <c r="AI274" s="89"/>
      <c r="AJ274" s="89"/>
      <c r="AK274" s="89"/>
      <c r="AL274" s="89"/>
      <c r="AM274" s="89"/>
      <c r="AN274" s="89"/>
      <c r="AO274" s="89"/>
      <c r="AP274" s="89"/>
      <c r="AQ274" s="89"/>
      <c r="AR274" s="89"/>
      <c r="AS274" s="89"/>
      <c r="AT274" s="89"/>
      <c r="AU274" s="89"/>
      <c r="AV274" s="89"/>
      <c r="AW274" s="89"/>
      <c r="AX274" s="89"/>
      <c r="AY274" s="89"/>
      <c r="AZ274" s="89"/>
      <c r="BA274" s="95"/>
    </row>
    <row r="275" spans="1:53" s="87" customFormat="1">
      <c r="A275" s="90" t="str">
        <f t="shared" si="29"/>
        <v/>
      </c>
      <c r="B275" s="89">
        <v>12</v>
      </c>
      <c r="C275" s="89">
        <v>9</v>
      </c>
      <c r="D275" s="89" t="s">
        <v>202</v>
      </c>
      <c r="E275" s="89">
        <v>10</v>
      </c>
      <c r="F275" s="89">
        <v>-6</v>
      </c>
      <c r="G275" s="89">
        <v>-3</v>
      </c>
      <c r="H275" s="89"/>
      <c r="I275" s="89"/>
      <c r="J275" s="89"/>
      <c r="K275" s="89"/>
      <c r="L275" s="89"/>
      <c r="M275" s="89"/>
      <c r="N275" s="89"/>
      <c r="O275" s="89"/>
      <c r="P275" s="89"/>
      <c r="Q275" s="89"/>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95"/>
    </row>
    <row r="276" spans="1:53" s="87" customFormat="1">
      <c r="A276" s="90" t="str">
        <f t="shared" si="29"/>
        <v/>
      </c>
      <c r="B276" s="89">
        <v>13</v>
      </c>
      <c r="C276" s="89">
        <v>2</v>
      </c>
      <c r="D276" s="89">
        <v>4</v>
      </c>
      <c r="E276" s="89">
        <v>-10</v>
      </c>
      <c r="F276" s="89" t="s">
        <v>202</v>
      </c>
      <c r="G276" s="89">
        <v>-8</v>
      </c>
      <c r="H276" s="89"/>
      <c r="I276" s="89"/>
      <c r="J276" s="89"/>
      <c r="K276" s="89"/>
      <c r="L276" s="89"/>
      <c r="M276" s="89"/>
      <c r="N276" s="89"/>
      <c r="O276" s="89"/>
      <c r="P276" s="89"/>
      <c r="Q276" s="89"/>
      <c r="R276" s="89"/>
      <c r="S276" s="89"/>
      <c r="T276" s="89"/>
      <c r="U276" s="89"/>
      <c r="V276" s="89"/>
      <c r="W276" s="89"/>
      <c r="X276" s="89"/>
      <c r="Y276" s="89"/>
      <c r="Z276" s="89"/>
      <c r="AA276" s="89"/>
      <c r="AB276" s="89"/>
      <c r="AC276" s="89"/>
      <c r="AD276" s="89"/>
      <c r="AE276" s="89"/>
      <c r="AF276" s="89"/>
      <c r="AG276" s="89"/>
      <c r="AH276" s="89"/>
      <c r="AI276" s="89"/>
      <c r="AJ276" s="89"/>
      <c r="AK276" s="89"/>
      <c r="AL276" s="89"/>
      <c r="AM276" s="89"/>
      <c r="AN276" s="89"/>
      <c r="AO276" s="89"/>
      <c r="AP276" s="89"/>
      <c r="AQ276" s="89"/>
      <c r="AR276" s="89"/>
      <c r="AS276" s="89"/>
      <c r="AT276" s="89"/>
      <c r="AU276" s="89"/>
      <c r="AV276" s="89"/>
      <c r="AW276" s="89"/>
      <c r="AX276" s="89"/>
      <c r="AY276" s="89"/>
      <c r="AZ276" s="89"/>
      <c r="BA276" s="95"/>
    </row>
    <row r="277" spans="1:53" s="87" customFormat="1">
      <c r="A277" s="90" t="str">
        <f t="shared" si="29"/>
        <v/>
      </c>
      <c r="B277" s="89">
        <v>14</v>
      </c>
      <c r="C277" s="89" t="s">
        <v>202</v>
      </c>
      <c r="D277" s="89">
        <v>-5</v>
      </c>
      <c r="E277" s="89">
        <v>-1</v>
      </c>
      <c r="F277" s="89">
        <v>6</v>
      </c>
      <c r="G277" s="89">
        <v>8</v>
      </c>
      <c r="H277" s="89"/>
      <c r="I277" s="89"/>
      <c r="J277" s="89"/>
      <c r="K277" s="89"/>
      <c r="L277" s="89"/>
      <c r="M277" s="89"/>
      <c r="N277" s="89"/>
      <c r="O277" s="89"/>
      <c r="P277" s="89"/>
      <c r="Q277" s="89"/>
      <c r="R277" s="89"/>
      <c r="S277" s="89"/>
      <c r="T277" s="89"/>
      <c r="U277" s="89"/>
      <c r="V277" s="89"/>
      <c r="W277" s="89"/>
      <c r="X277" s="89"/>
      <c r="Y277" s="89"/>
      <c r="Z277" s="89"/>
      <c r="AA277" s="89"/>
      <c r="AB277" s="89"/>
      <c r="AC277" s="89"/>
      <c r="AD277" s="89"/>
      <c r="AE277" s="89"/>
      <c r="AF277" s="89"/>
      <c r="AG277" s="89"/>
      <c r="AH277" s="89"/>
      <c r="AI277" s="89"/>
      <c r="AJ277" s="89"/>
      <c r="AK277" s="89"/>
      <c r="AL277" s="89"/>
      <c r="AM277" s="89"/>
      <c r="AN277" s="89"/>
      <c r="AO277" s="89"/>
      <c r="AP277" s="89"/>
      <c r="AQ277" s="89"/>
      <c r="AR277" s="89"/>
      <c r="AS277" s="89"/>
      <c r="AT277" s="89"/>
      <c r="AU277" s="89"/>
      <c r="AV277" s="89"/>
      <c r="AW277" s="89"/>
      <c r="AX277" s="89"/>
      <c r="AY277" s="89"/>
      <c r="AZ277" s="89"/>
      <c r="BA277" s="95"/>
    </row>
    <row r="278" spans="1:53" s="87" customFormat="1">
      <c r="A278" s="90" t="str">
        <f t="shared" si="29"/>
        <v/>
      </c>
      <c r="B278" s="99">
        <v>15</v>
      </c>
      <c r="C278" s="92">
        <v>-9</v>
      </c>
      <c r="D278" s="92">
        <v>-4</v>
      </c>
      <c r="E278" s="92">
        <v>1</v>
      </c>
      <c r="F278" s="92">
        <v>8</v>
      </c>
      <c r="G278" s="92" t="s">
        <v>202</v>
      </c>
      <c r="H278" s="89"/>
      <c r="I278" s="89"/>
      <c r="J278" s="89"/>
      <c r="K278" s="89"/>
      <c r="L278" s="89"/>
      <c r="M278" s="89"/>
      <c r="N278" s="89"/>
      <c r="O278" s="89"/>
      <c r="P278" s="89"/>
      <c r="Q278" s="89"/>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95"/>
    </row>
    <row r="279" spans="1:53" s="87" customFormat="1">
      <c r="A279" s="90" t="str">
        <f t="shared" si="29"/>
        <v/>
      </c>
      <c r="B279" s="89">
        <v>16</v>
      </c>
      <c r="C279" s="89" t="s">
        <v>210</v>
      </c>
      <c r="D279" s="89">
        <v>-9</v>
      </c>
      <c r="E279" s="89">
        <v>-6</v>
      </c>
      <c r="F279" s="89">
        <v>1</v>
      </c>
      <c r="G279" s="89">
        <v>2</v>
      </c>
      <c r="H279" s="89"/>
      <c r="I279" s="89"/>
      <c r="J279" s="89"/>
      <c r="K279" s="89"/>
      <c r="L279" s="89"/>
      <c r="M279" s="89"/>
      <c r="N279" s="89"/>
      <c r="O279" s="89"/>
      <c r="P279" s="89"/>
      <c r="Q279" s="89"/>
      <c r="R279" s="89"/>
      <c r="S279" s="89"/>
      <c r="T279" s="89"/>
      <c r="U279" s="89"/>
      <c r="V279" s="89"/>
      <c r="W279" s="89"/>
      <c r="X279" s="89"/>
      <c r="Y279" s="89"/>
      <c r="Z279" s="89"/>
      <c r="AA279" s="89"/>
      <c r="AB279" s="89"/>
      <c r="AC279" s="89"/>
      <c r="AD279" s="89"/>
      <c r="AE279" s="89"/>
      <c r="AF279" s="89"/>
      <c r="AG279" s="89"/>
      <c r="AH279" s="89"/>
      <c r="AI279" s="89"/>
      <c r="AJ279" s="89"/>
      <c r="AK279" s="89"/>
      <c r="AL279" s="89"/>
      <c r="AM279" s="89"/>
      <c r="AN279" s="89"/>
      <c r="AO279" s="89"/>
      <c r="AP279" s="89"/>
      <c r="AQ279" s="89"/>
      <c r="AR279" s="89"/>
      <c r="AS279" s="89"/>
      <c r="AT279" s="89"/>
      <c r="AU279" s="89"/>
      <c r="AV279" s="89"/>
      <c r="AW279" s="89"/>
      <c r="AX279" s="89"/>
      <c r="AY279" s="89"/>
      <c r="AZ279" s="89"/>
      <c r="BA279" s="95"/>
    </row>
    <row r="280" spans="1:53" s="87" customFormat="1">
      <c r="A280" s="90" t="str">
        <f t="shared" si="29"/>
        <v/>
      </c>
      <c r="B280" s="89">
        <v>17</v>
      </c>
      <c r="C280" s="89" t="s">
        <v>210</v>
      </c>
      <c r="D280" s="89">
        <v>6</v>
      </c>
      <c r="E280" s="89">
        <v>5</v>
      </c>
      <c r="F280" s="89">
        <v>-10</v>
      </c>
      <c r="G280" s="89">
        <v>-2</v>
      </c>
      <c r="H280" s="89"/>
      <c r="I280" s="89"/>
      <c r="J280" s="89"/>
      <c r="K280" s="89"/>
      <c r="L280" s="89"/>
      <c r="M280" s="89"/>
      <c r="N280" s="89"/>
      <c r="O280" s="89"/>
      <c r="P280" s="89"/>
      <c r="Q280" s="89"/>
      <c r="R280" s="89"/>
      <c r="S280" s="89"/>
      <c r="T280" s="89"/>
      <c r="U280" s="89"/>
      <c r="V280" s="89"/>
      <c r="W280" s="89"/>
      <c r="X280" s="89"/>
      <c r="Y280" s="89"/>
      <c r="Z280" s="89"/>
      <c r="AA280" s="89"/>
      <c r="AB280" s="89"/>
      <c r="AC280" s="89"/>
      <c r="AD280" s="89"/>
      <c r="AE280" s="89"/>
      <c r="AF280" s="89"/>
      <c r="AG280" s="89"/>
      <c r="AH280" s="89"/>
      <c r="AI280" s="89"/>
      <c r="AJ280" s="89"/>
      <c r="AK280" s="89"/>
      <c r="AL280" s="89"/>
      <c r="AM280" s="89"/>
      <c r="AN280" s="89"/>
      <c r="AO280" s="89"/>
      <c r="AP280" s="89"/>
      <c r="AQ280" s="89"/>
      <c r="AR280" s="89"/>
      <c r="AS280" s="89"/>
      <c r="AT280" s="89"/>
      <c r="AU280" s="89"/>
      <c r="AV280" s="89"/>
      <c r="AW280" s="89"/>
      <c r="AX280" s="89"/>
      <c r="AY280" s="89"/>
      <c r="AZ280" s="89"/>
      <c r="BA280" s="95"/>
    </row>
    <row r="281" spans="1:53" s="87" customFormat="1">
      <c r="A281" s="90" t="str">
        <f t="shared" si="29"/>
        <v/>
      </c>
      <c r="B281" s="89">
        <v>18</v>
      </c>
      <c r="C281" s="89" t="s">
        <v>210</v>
      </c>
      <c r="D281" s="89">
        <v>3</v>
      </c>
      <c r="E281" s="89">
        <v>-5</v>
      </c>
      <c r="F281" s="89">
        <v>-1</v>
      </c>
      <c r="G281" s="89">
        <v>9</v>
      </c>
      <c r="H281" s="89"/>
      <c r="I281" s="89"/>
      <c r="J281" s="89"/>
      <c r="K281" s="89"/>
      <c r="L281" s="89"/>
      <c r="M281" s="89"/>
      <c r="N281" s="89"/>
      <c r="O281" s="89"/>
      <c r="P281" s="89"/>
      <c r="Q281" s="89"/>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95"/>
    </row>
    <row r="282" spans="1:53" s="87" customFormat="1">
      <c r="A282" s="90" t="str">
        <f t="shared" si="29"/>
        <v/>
      </c>
      <c r="B282" s="99">
        <v>19</v>
      </c>
      <c r="C282" s="92" t="s">
        <v>210</v>
      </c>
      <c r="D282" s="92">
        <v>-2</v>
      </c>
      <c r="E282" s="92">
        <v>6</v>
      </c>
      <c r="F282" s="92">
        <v>10</v>
      </c>
      <c r="G282" s="92">
        <v>-9</v>
      </c>
      <c r="H282" s="89"/>
      <c r="I282" s="89"/>
      <c r="J282" s="89"/>
      <c r="K282" s="89"/>
      <c r="L282" s="89"/>
      <c r="M282" s="89"/>
      <c r="N282" s="89"/>
      <c r="O282" s="89"/>
      <c r="P282" s="89"/>
      <c r="Q282" s="89"/>
      <c r="R282" s="89"/>
      <c r="S282" s="89"/>
      <c r="T282" s="89"/>
      <c r="U282" s="89"/>
      <c r="V282" s="89"/>
      <c r="W282" s="89"/>
      <c r="X282" s="89"/>
      <c r="Y282" s="89"/>
      <c r="Z282" s="89"/>
      <c r="AA282" s="89"/>
      <c r="AB282" s="89"/>
      <c r="AC282" s="89"/>
      <c r="AD282" s="89"/>
      <c r="AE282" s="89"/>
      <c r="AF282" s="89"/>
      <c r="AG282" s="89"/>
      <c r="AH282" s="89"/>
      <c r="AI282" s="89"/>
      <c r="AJ282" s="89"/>
      <c r="AK282" s="89"/>
      <c r="AL282" s="89"/>
      <c r="AM282" s="89"/>
      <c r="AN282" s="89"/>
      <c r="AO282" s="89"/>
      <c r="AP282" s="89"/>
      <c r="AQ282" s="89"/>
      <c r="AR282" s="89"/>
      <c r="AS282" s="89"/>
      <c r="AT282" s="89"/>
      <c r="AU282" s="89"/>
      <c r="AV282" s="89"/>
      <c r="AW282" s="89"/>
      <c r="AX282" s="89"/>
      <c r="AY282" s="89"/>
      <c r="AZ282" s="89"/>
      <c r="BA282" s="95"/>
    </row>
    <row r="283" spans="1:53" s="87" customFormat="1">
      <c r="A283" s="90" t="str">
        <f t="shared" si="29"/>
        <v/>
      </c>
      <c r="B283" s="89">
        <v>20</v>
      </c>
      <c r="C283" s="89" t="s">
        <v>210</v>
      </c>
      <c r="D283" s="89">
        <v>9</v>
      </c>
      <c r="E283" s="89">
        <v>3</v>
      </c>
      <c r="F283" s="89">
        <v>-2</v>
      </c>
      <c r="G283" s="89">
        <v>-1</v>
      </c>
      <c r="H283" s="89"/>
      <c r="I283" s="89"/>
      <c r="J283" s="89"/>
      <c r="K283" s="89"/>
      <c r="L283" s="89"/>
      <c r="M283" s="89"/>
      <c r="N283" s="89"/>
      <c r="O283" s="89"/>
      <c r="P283" s="89"/>
      <c r="Q283" s="89"/>
      <c r="R283" s="89"/>
      <c r="S283" s="89"/>
      <c r="T283" s="89"/>
      <c r="U283" s="89"/>
      <c r="V283" s="89"/>
      <c r="W283" s="89"/>
      <c r="X283" s="89"/>
      <c r="Y283" s="89"/>
      <c r="Z283" s="89"/>
      <c r="AA283" s="89"/>
      <c r="AB283" s="89"/>
      <c r="AC283" s="89"/>
      <c r="AD283" s="89"/>
      <c r="AE283" s="89"/>
      <c r="AF283" s="89"/>
      <c r="AG283" s="89"/>
      <c r="AH283" s="89"/>
      <c r="AI283" s="89"/>
      <c r="AJ283" s="89"/>
      <c r="AK283" s="89"/>
      <c r="AL283" s="89"/>
      <c r="AM283" s="89"/>
      <c r="AN283" s="89"/>
      <c r="AO283" s="89"/>
      <c r="AP283" s="89"/>
      <c r="AQ283" s="89"/>
      <c r="AR283" s="89"/>
      <c r="AS283" s="89"/>
      <c r="AT283" s="89"/>
      <c r="AU283" s="89"/>
      <c r="AV283" s="89"/>
      <c r="AW283" s="89"/>
      <c r="AX283" s="89"/>
      <c r="AY283" s="89"/>
      <c r="AZ283" s="89"/>
      <c r="BA283" s="95"/>
    </row>
    <row r="284" spans="1:53" s="87" customFormat="1">
      <c r="A284" s="90" t="str">
        <f t="shared" si="29"/>
        <v/>
      </c>
      <c r="B284" s="89">
        <v>21</v>
      </c>
      <c r="C284" s="89" t="s">
        <v>210</v>
      </c>
      <c r="D284" s="89">
        <v>-6</v>
      </c>
      <c r="E284" s="89">
        <v>-8</v>
      </c>
      <c r="F284" s="89">
        <v>9</v>
      </c>
      <c r="G284" s="89">
        <v>1</v>
      </c>
      <c r="H284" s="89"/>
      <c r="I284" s="89"/>
      <c r="J284" s="89"/>
      <c r="K284" s="89"/>
      <c r="L284" s="89"/>
      <c r="M284" s="89"/>
      <c r="N284" s="89"/>
      <c r="O284" s="89"/>
      <c r="P284" s="89"/>
      <c r="Q284" s="89"/>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95"/>
    </row>
    <row r="285" spans="1:53" s="87" customFormat="1">
      <c r="A285" s="90" t="str">
        <f t="shared" si="29"/>
        <v/>
      </c>
      <c r="B285" s="89">
        <v>22</v>
      </c>
      <c r="C285" s="89" t="s">
        <v>210</v>
      </c>
      <c r="D285" s="89">
        <v>-3</v>
      </c>
      <c r="E285" s="89">
        <v>8</v>
      </c>
      <c r="F285" s="89">
        <v>2</v>
      </c>
      <c r="G285" s="89">
        <v>-10</v>
      </c>
      <c r="H285" s="89"/>
      <c r="I285" s="89"/>
      <c r="J285" s="89"/>
      <c r="K285" s="89"/>
      <c r="L285" s="89"/>
      <c r="M285" s="89"/>
      <c r="N285" s="89"/>
      <c r="O285" s="89"/>
      <c r="P285" s="89"/>
      <c r="Q285" s="89"/>
      <c r="R285" s="89"/>
      <c r="S285" s="89"/>
      <c r="T285" s="89"/>
      <c r="U285" s="89"/>
      <c r="V285" s="89"/>
      <c r="W285" s="89"/>
      <c r="X285" s="89"/>
      <c r="Y285" s="89"/>
      <c r="Z285" s="89"/>
      <c r="AA285" s="89"/>
      <c r="AB285" s="89"/>
      <c r="AC285" s="89"/>
      <c r="AD285" s="89"/>
      <c r="AE285" s="89"/>
      <c r="AF285" s="89"/>
      <c r="AG285" s="89"/>
      <c r="AH285" s="89"/>
      <c r="AI285" s="89"/>
      <c r="AJ285" s="89"/>
      <c r="AK285" s="89"/>
      <c r="AL285" s="89"/>
      <c r="AM285" s="89"/>
      <c r="AN285" s="89"/>
      <c r="AO285" s="89"/>
      <c r="AP285" s="89"/>
      <c r="AQ285" s="89"/>
      <c r="AR285" s="89"/>
      <c r="AS285" s="89"/>
      <c r="AT285" s="89"/>
      <c r="AU285" s="89"/>
      <c r="AV285" s="89"/>
      <c r="AW285" s="89"/>
      <c r="AX285" s="89"/>
      <c r="AY285" s="89"/>
      <c r="AZ285" s="89"/>
      <c r="BA285" s="95"/>
    </row>
    <row r="286" spans="1:53" s="87" customFormat="1">
      <c r="A286" s="90" t="str">
        <f t="shared" si="29"/>
        <v/>
      </c>
      <c r="B286" s="89">
        <v>23</v>
      </c>
      <c r="C286" s="89" t="s">
        <v>210</v>
      </c>
      <c r="D286" s="89">
        <v>2</v>
      </c>
      <c r="E286" s="89">
        <v>-3</v>
      </c>
      <c r="F286" s="89">
        <v>-9</v>
      </c>
      <c r="G286" s="89">
        <v>10</v>
      </c>
      <c r="H286" s="89"/>
      <c r="I286" s="89"/>
      <c r="J286" s="89"/>
      <c r="K286" s="89"/>
      <c r="L286" s="89"/>
      <c r="M286" s="89"/>
      <c r="N286" s="89"/>
      <c r="O286" s="89"/>
      <c r="P286" s="89"/>
      <c r="Q286" s="89"/>
      <c r="R286" s="89"/>
      <c r="S286" s="89"/>
      <c r="T286" s="89"/>
      <c r="U286" s="89"/>
      <c r="V286" s="89"/>
      <c r="W286" s="89"/>
      <c r="X286" s="89"/>
      <c r="Y286" s="89"/>
      <c r="Z286" s="89"/>
      <c r="AA286" s="89"/>
      <c r="AB286" s="89"/>
      <c r="AC286" s="89"/>
      <c r="AD286" s="89"/>
      <c r="AE286" s="89"/>
      <c r="AF286" s="89"/>
      <c r="AG286" s="89"/>
      <c r="AH286" s="89"/>
      <c r="AI286" s="89"/>
      <c r="AJ286" s="89"/>
      <c r="AK286" s="89"/>
      <c r="AL286" s="89"/>
      <c r="AM286" s="89"/>
      <c r="AN286" s="89"/>
      <c r="AO286" s="89"/>
      <c r="AP286" s="89"/>
      <c r="AQ286" s="89"/>
      <c r="AR286" s="89"/>
      <c r="AS286" s="89"/>
      <c r="AT286" s="89"/>
      <c r="AU286" s="89"/>
      <c r="AV286" s="89"/>
      <c r="AW286" s="89"/>
      <c r="AX286" s="89"/>
      <c r="AY286" s="89"/>
      <c r="AZ286" s="89"/>
      <c r="BA286" s="95"/>
    </row>
    <row r="287" spans="1:53" s="87" customFormat="1">
      <c r="A287" s="90" t="str">
        <f t="shared" si="29"/>
        <v/>
      </c>
      <c r="B287" s="89" t="s">
        <v>552</v>
      </c>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c r="AA287" s="89"/>
      <c r="AB287" s="89"/>
      <c r="AC287" s="89"/>
      <c r="AD287" s="89"/>
      <c r="AE287" s="89"/>
      <c r="AF287" s="89"/>
      <c r="AG287" s="89"/>
      <c r="AH287" s="89"/>
      <c r="AI287" s="89"/>
      <c r="AJ287" s="89"/>
      <c r="AK287" s="89"/>
      <c r="AL287" s="89"/>
      <c r="AM287" s="89"/>
      <c r="AN287" s="89"/>
      <c r="AO287" s="89"/>
      <c r="AP287" s="89"/>
      <c r="AQ287" s="89"/>
      <c r="AR287" s="89"/>
      <c r="AS287" s="89"/>
      <c r="AT287" s="89"/>
      <c r="AU287" s="89"/>
      <c r="AV287" s="89"/>
      <c r="AW287" s="89"/>
      <c r="AX287" s="89"/>
      <c r="AY287" s="89"/>
      <c r="AZ287" s="89"/>
      <c r="BA287" s="95"/>
    </row>
    <row r="288" spans="1:53" s="87" customFormat="1">
      <c r="A288" s="90">
        <f t="shared" si="29"/>
        <v>288</v>
      </c>
      <c r="B288" s="89" t="s">
        <v>553</v>
      </c>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c r="AA288" s="89"/>
      <c r="AB288" s="89"/>
      <c r="AC288" s="89"/>
      <c r="AD288" s="89"/>
      <c r="AE288" s="89"/>
      <c r="AF288" s="89"/>
      <c r="AG288" s="89"/>
      <c r="AH288" s="89"/>
      <c r="AI288" s="89"/>
      <c r="AJ288" s="89"/>
      <c r="AK288" s="89"/>
      <c r="AL288" s="89"/>
      <c r="AM288" s="89"/>
      <c r="AN288" s="89"/>
      <c r="AO288" s="89"/>
      <c r="AP288" s="89"/>
      <c r="AQ288" s="89"/>
      <c r="AR288" s="89"/>
      <c r="AS288" s="89"/>
      <c r="AT288" s="89"/>
      <c r="AU288" s="89"/>
      <c r="AV288" s="89"/>
      <c r="AW288" s="89"/>
      <c r="AX288" s="89"/>
      <c r="AY288" s="89"/>
      <c r="AZ288" s="89"/>
      <c r="BA288" s="95"/>
    </row>
    <row r="289" spans="1:53" s="87" customFormat="1">
      <c r="A289" s="90" t="str">
        <f t="shared" si="29"/>
        <v/>
      </c>
      <c r="B289" s="89">
        <v>1</v>
      </c>
      <c r="C289" s="89">
        <v>9</v>
      </c>
      <c r="D289" s="89" t="s">
        <v>202</v>
      </c>
      <c r="E289" s="89">
        <v>4</v>
      </c>
      <c r="F289" s="89">
        <v>-3</v>
      </c>
      <c r="G289" s="89">
        <v>-5</v>
      </c>
      <c r="H289" s="89"/>
      <c r="I289" s="89"/>
      <c r="J289" s="89"/>
      <c r="K289" s="89"/>
      <c r="L289" s="89"/>
      <c r="M289" s="89"/>
      <c r="N289" s="89"/>
      <c r="O289" s="89"/>
      <c r="P289" s="89"/>
      <c r="Q289" s="89"/>
      <c r="R289" s="89"/>
      <c r="S289" s="89"/>
      <c r="T289" s="89"/>
      <c r="U289" s="89"/>
      <c r="V289" s="89"/>
      <c r="W289" s="89"/>
      <c r="X289" s="89"/>
      <c r="Y289" s="89"/>
      <c r="Z289" s="89"/>
      <c r="AA289" s="89"/>
      <c r="AB289" s="89"/>
      <c r="AC289" s="89"/>
      <c r="AD289" s="89"/>
      <c r="AE289" s="89"/>
      <c r="AF289" s="89"/>
      <c r="AG289" s="89"/>
      <c r="AH289" s="89"/>
      <c r="AI289" s="89"/>
      <c r="AJ289" s="89"/>
      <c r="AK289" s="89"/>
      <c r="AL289" s="89"/>
      <c r="AM289" s="89"/>
      <c r="AN289" s="89"/>
      <c r="AO289" s="89"/>
      <c r="AP289" s="89"/>
      <c r="AQ289" s="89"/>
      <c r="AR289" s="89"/>
      <c r="AS289" s="89"/>
      <c r="AT289" s="89"/>
      <c r="AU289" s="89"/>
      <c r="AV289" s="89"/>
      <c r="AW289" s="89"/>
      <c r="AX289" s="89"/>
      <c r="AY289" s="89"/>
      <c r="AZ289" s="89"/>
      <c r="BA289" s="95"/>
    </row>
    <row r="290" spans="1:53" s="87" customFormat="1">
      <c r="A290" s="90" t="str">
        <f t="shared" si="29"/>
        <v/>
      </c>
      <c r="B290" s="89">
        <v>2</v>
      </c>
      <c r="C290" s="89">
        <v>-3</v>
      </c>
      <c r="D290" s="89">
        <v>-4</v>
      </c>
      <c r="E290" s="89">
        <v>7</v>
      </c>
      <c r="F290" s="89" t="s">
        <v>202</v>
      </c>
      <c r="G290" s="89">
        <v>5</v>
      </c>
      <c r="H290" s="89"/>
      <c r="I290" s="89"/>
      <c r="J290" s="89"/>
      <c r="K290" s="89"/>
      <c r="L290" s="89"/>
      <c r="M290" s="89"/>
      <c r="N290" s="89"/>
      <c r="O290" s="89"/>
      <c r="P290" s="89"/>
      <c r="Q290" s="89"/>
      <c r="R290" s="89"/>
      <c r="S290" s="89"/>
      <c r="T290" s="89"/>
      <c r="U290" s="89"/>
      <c r="V290" s="89"/>
      <c r="W290" s="89"/>
      <c r="X290" s="89"/>
      <c r="Y290" s="89"/>
      <c r="Z290" s="89"/>
      <c r="AA290" s="89"/>
      <c r="AB290" s="89"/>
      <c r="AC290" s="89"/>
      <c r="AD290" s="89"/>
      <c r="AE290" s="89"/>
      <c r="AF290" s="89"/>
      <c r="AG290" s="89"/>
      <c r="AH290" s="89"/>
      <c r="AI290" s="89"/>
      <c r="AJ290" s="89"/>
      <c r="AK290" s="89"/>
      <c r="AL290" s="89"/>
      <c r="AM290" s="89"/>
      <c r="AN290" s="89"/>
      <c r="AO290" s="89"/>
      <c r="AP290" s="89"/>
      <c r="AQ290" s="89"/>
      <c r="AR290" s="89"/>
      <c r="AS290" s="89"/>
      <c r="AT290" s="89"/>
      <c r="AU290" s="89"/>
      <c r="AV290" s="89"/>
      <c r="AW290" s="89"/>
      <c r="AX290" s="89"/>
      <c r="AY290" s="89"/>
      <c r="AZ290" s="89"/>
      <c r="BA290" s="95"/>
    </row>
    <row r="291" spans="1:53" s="87" customFormat="1">
      <c r="A291" s="90" t="str">
        <f t="shared" si="29"/>
        <v/>
      </c>
      <c r="B291" s="89">
        <v>3</v>
      </c>
      <c r="C291" s="89">
        <v>-9</v>
      </c>
      <c r="D291" s="89">
        <v>4</v>
      </c>
      <c r="E291" s="89" t="s">
        <v>202</v>
      </c>
      <c r="F291" s="89">
        <v>7</v>
      </c>
      <c r="G291" s="89">
        <v>-6</v>
      </c>
      <c r="H291" s="89"/>
      <c r="I291" s="89"/>
      <c r="J291" s="89"/>
      <c r="K291" s="89"/>
      <c r="L291" s="89"/>
      <c r="M291" s="89"/>
      <c r="N291" s="89"/>
      <c r="O291" s="89"/>
      <c r="P291" s="89"/>
      <c r="Q291" s="89"/>
      <c r="R291" s="89"/>
      <c r="S291" s="89"/>
      <c r="T291" s="89"/>
      <c r="U291" s="89"/>
      <c r="V291" s="89"/>
      <c r="W291" s="89"/>
      <c r="X291" s="89"/>
      <c r="Y291" s="89"/>
      <c r="Z291" s="89"/>
      <c r="AA291" s="89"/>
      <c r="AB291" s="89"/>
      <c r="AC291" s="89"/>
      <c r="AD291" s="89"/>
      <c r="AE291" s="89"/>
      <c r="AF291" s="89"/>
      <c r="AG291" s="89"/>
      <c r="AH291" s="89"/>
      <c r="AI291" s="89"/>
      <c r="AJ291" s="89"/>
      <c r="AK291" s="89"/>
      <c r="AL291" s="89"/>
      <c r="AM291" s="89"/>
      <c r="AN291" s="89"/>
      <c r="AO291" s="89"/>
      <c r="AP291" s="89"/>
      <c r="AQ291" s="89"/>
      <c r="AR291" s="89"/>
      <c r="AS291" s="89"/>
      <c r="AT291" s="89"/>
      <c r="AU291" s="89"/>
      <c r="AV291" s="89"/>
      <c r="AW291" s="89"/>
      <c r="AX291" s="89"/>
      <c r="AY291" s="89"/>
      <c r="AZ291" s="89"/>
      <c r="BA291" s="95"/>
    </row>
    <row r="292" spans="1:53" s="87" customFormat="1">
      <c r="A292" s="90" t="str">
        <f t="shared" si="29"/>
        <v/>
      </c>
      <c r="B292" s="89">
        <v>4</v>
      </c>
      <c r="C292" s="89" t="s">
        <v>202</v>
      </c>
      <c r="D292" s="89">
        <v>-10</v>
      </c>
      <c r="E292" s="89">
        <v>-7</v>
      </c>
      <c r="F292" s="89">
        <v>3</v>
      </c>
      <c r="G292" s="89">
        <v>6</v>
      </c>
      <c r="H292" s="89"/>
      <c r="I292" s="89"/>
      <c r="J292" s="89"/>
      <c r="K292" s="89"/>
      <c r="L292" s="89"/>
      <c r="M292" s="89"/>
      <c r="N292" s="89"/>
      <c r="O292" s="89"/>
      <c r="P292" s="89"/>
      <c r="Q292" s="89"/>
      <c r="R292" s="89"/>
      <c r="S292" s="89"/>
      <c r="T292" s="89"/>
      <c r="U292" s="89"/>
      <c r="V292" s="89"/>
      <c r="W292" s="89"/>
      <c r="X292" s="89"/>
      <c r="Y292" s="89"/>
      <c r="Z292" s="89"/>
      <c r="AA292" s="89"/>
      <c r="AB292" s="89"/>
      <c r="AC292" s="89"/>
      <c r="AD292" s="89"/>
      <c r="AE292" s="89"/>
      <c r="AF292" s="89"/>
      <c r="AG292" s="89"/>
      <c r="AH292" s="89"/>
      <c r="AI292" s="89"/>
      <c r="AJ292" s="89"/>
      <c r="AK292" s="89"/>
      <c r="AL292" s="89"/>
      <c r="AM292" s="89"/>
      <c r="AN292" s="89"/>
      <c r="AO292" s="89"/>
      <c r="AP292" s="89"/>
      <c r="AQ292" s="89"/>
      <c r="AR292" s="89"/>
      <c r="AS292" s="89"/>
      <c r="AT292" s="89"/>
      <c r="AU292" s="89"/>
      <c r="AV292" s="89"/>
      <c r="AW292" s="89"/>
      <c r="AX292" s="89"/>
      <c r="AY292" s="89"/>
      <c r="AZ292" s="89"/>
      <c r="BA292" s="95"/>
    </row>
    <row r="293" spans="1:53" s="87" customFormat="1">
      <c r="A293" s="90" t="str">
        <f t="shared" si="29"/>
        <v/>
      </c>
      <c r="B293" s="99">
        <v>5</v>
      </c>
      <c r="C293" s="92">
        <v>3</v>
      </c>
      <c r="D293" s="92">
        <v>10</v>
      </c>
      <c r="E293" s="92">
        <v>-4</v>
      </c>
      <c r="F293" s="92">
        <v>-7</v>
      </c>
      <c r="G293" s="92" t="s">
        <v>202</v>
      </c>
      <c r="H293" s="89"/>
      <c r="I293" s="89"/>
      <c r="J293" s="89"/>
      <c r="K293" s="89"/>
      <c r="L293" s="89"/>
      <c r="M293" s="89"/>
      <c r="N293" s="89"/>
      <c r="O293" s="89"/>
      <c r="P293" s="89"/>
      <c r="Q293" s="89"/>
      <c r="R293" s="89"/>
      <c r="S293" s="89"/>
      <c r="T293" s="89"/>
      <c r="U293" s="89"/>
      <c r="V293" s="89"/>
      <c r="W293" s="89"/>
      <c r="X293" s="89"/>
      <c r="Y293" s="89"/>
      <c r="Z293" s="89"/>
      <c r="AA293" s="89"/>
      <c r="AB293" s="89"/>
      <c r="AC293" s="89"/>
      <c r="AD293" s="89"/>
      <c r="AE293" s="89"/>
      <c r="AF293" s="89"/>
      <c r="AG293" s="89"/>
      <c r="AH293" s="89"/>
      <c r="AI293" s="89"/>
      <c r="AJ293" s="89"/>
      <c r="AK293" s="89"/>
      <c r="AL293" s="89"/>
      <c r="AM293" s="89"/>
      <c r="AN293" s="89"/>
      <c r="AO293" s="89"/>
      <c r="AP293" s="89"/>
      <c r="AQ293" s="89"/>
      <c r="AR293" s="89"/>
      <c r="AS293" s="89"/>
      <c r="AT293" s="89"/>
      <c r="AU293" s="89"/>
      <c r="AV293" s="89"/>
      <c r="AW293" s="89"/>
      <c r="AX293" s="89"/>
      <c r="AY293" s="89"/>
      <c r="AZ293" s="89"/>
      <c r="BA293" s="95"/>
    </row>
    <row r="294" spans="1:53" s="87" customFormat="1">
      <c r="A294" s="90" t="str">
        <f t="shared" si="29"/>
        <v/>
      </c>
      <c r="B294" s="89">
        <v>6</v>
      </c>
      <c r="C294" s="89">
        <v>8</v>
      </c>
      <c r="D294" s="89">
        <v>7</v>
      </c>
      <c r="E294" s="89">
        <v>-5</v>
      </c>
      <c r="F294" s="89" t="s">
        <v>202</v>
      </c>
      <c r="G294" s="89">
        <v>-4</v>
      </c>
      <c r="H294" s="89"/>
      <c r="I294" s="89"/>
      <c r="J294" s="89"/>
      <c r="K294" s="89"/>
      <c r="L294" s="89"/>
      <c r="M294" s="89"/>
      <c r="N294" s="89"/>
      <c r="O294" s="89"/>
      <c r="P294" s="89"/>
      <c r="Q294" s="89"/>
      <c r="R294" s="89"/>
      <c r="S294" s="89"/>
      <c r="T294" s="89"/>
      <c r="U294" s="89"/>
      <c r="V294" s="89"/>
      <c r="W294" s="89"/>
      <c r="X294" s="89"/>
      <c r="Y294" s="89"/>
      <c r="Z294" s="89"/>
      <c r="AA294" s="89"/>
      <c r="AB294" s="89"/>
      <c r="AC294" s="89"/>
      <c r="AD294" s="89"/>
      <c r="AE294" s="89"/>
      <c r="AF294" s="89"/>
      <c r="AG294" s="89"/>
      <c r="AH294" s="89"/>
      <c r="AI294" s="89"/>
      <c r="AJ294" s="89"/>
      <c r="AK294" s="89"/>
      <c r="AL294" s="89"/>
      <c r="AM294" s="89"/>
      <c r="AN294" s="89"/>
      <c r="AO294" s="89"/>
      <c r="AP294" s="89"/>
      <c r="AQ294" s="89"/>
      <c r="AR294" s="89"/>
      <c r="AS294" s="89"/>
      <c r="AT294" s="89"/>
      <c r="AU294" s="89"/>
      <c r="AV294" s="89"/>
      <c r="AW294" s="89"/>
      <c r="AX294" s="89"/>
      <c r="AY294" s="89"/>
      <c r="AZ294" s="89"/>
      <c r="BA294" s="95"/>
    </row>
    <row r="295" spans="1:53" s="87" customFormat="1">
      <c r="A295" s="90" t="str">
        <f t="shared" si="29"/>
        <v/>
      </c>
      <c r="B295" s="89">
        <v>7</v>
      </c>
      <c r="C295" s="89">
        <v>6</v>
      </c>
      <c r="D295" s="89">
        <v>-1</v>
      </c>
      <c r="E295" s="89" t="s">
        <v>202</v>
      </c>
      <c r="F295" s="89">
        <v>-5</v>
      </c>
      <c r="G295" s="89">
        <v>4</v>
      </c>
      <c r="H295" s="89"/>
      <c r="I295" s="89"/>
      <c r="J295" s="89"/>
      <c r="K295" s="89"/>
      <c r="L295" s="89"/>
      <c r="M295" s="89"/>
      <c r="N295" s="89"/>
      <c r="O295" s="89"/>
      <c r="P295" s="89"/>
      <c r="Q295" s="89"/>
      <c r="R295" s="89"/>
      <c r="S295" s="89"/>
      <c r="T295" s="89"/>
      <c r="U295" s="89"/>
      <c r="V295" s="89"/>
      <c r="W295" s="89"/>
      <c r="X295" s="89"/>
      <c r="Y295" s="89"/>
      <c r="Z295" s="89"/>
      <c r="AA295" s="89"/>
      <c r="AB295" s="89"/>
      <c r="AC295" s="89"/>
      <c r="AD295" s="89"/>
      <c r="AE295" s="89"/>
      <c r="AF295" s="89"/>
      <c r="AG295" s="89"/>
      <c r="AH295" s="89"/>
      <c r="AI295" s="89"/>
      <c r="AJ295" s="89"/>
      <c r="AK295" s="89"/>
      <c r="AL295" s="89"/>
      <c r="AM295" s="89"/>
      <c r="AN295" s="89"/>
      <c r="AO295" s="89"/>
      <c r="AP295" s="89"/>
      <c r="AQ295" s="89"/>
      <c r="AR295" s="89"/>
      <c r="AS295" s="89"/>
      <c r="AT295" s="89"/>
      <c r="AU295" s="89"/>
      <c r="AV295" s="89"/>
      <c r="AW295" s="89"/>
      <c r="AX295" s="89"/>
      <c r="AY295" s="89"/>
      <c r="AZ295" s="89"/>
      <c r="BA295" s="95"/>
    </row>
    <row r="296" spans="1:53" s="87" customFormat="1">
      <c r="A296" s="90" t="str">
        <f t="shared" si="29"/>
        <v/>
      </c>
      <c r="B296" s="89">
        <v>8</v>
      </c>
      <c r="C296" s="89">
        <v>-8</v>
      </c>
      <c r="D296" s="89" t="s">
        <v>202</v>
      </c>
      <c r="E296" s="89">
        <v>-2</v>
      </c>
      <c r="F296" s="89">
        <v>5</v>
      </c>
      <c r="G296" s="89">
        <v>7</v>
      </c>
      <c r="H296" s="89"/>
      <c r="I296" s="89"/>
      <c r="J296" s="89"/>
      <c r="K296" s="89"/>
      <c r="L296" s="89"/>
      <c r="M296" s="89"/>
      <c r="N296" s="89"/>
      <c r="O296" s="89"/>
      <c r="P296" s="89"/>
      <c r="Q296" s="89"/>
      <c r="R296" s="89"/>
      <c r="S296" s="89"/>
      <c r="T296" s="89"/>
      <c r="U296" s="89"/>
      <c r="V296" s="89"/>
      <c r="W296" s="89"/>
      <c r="X296" s="89"/>
      <c r="Y296" s="89"/>
      <c r="Z296" s="89"/>
      <c r="AA296" s="89"/>
      <c r="AB296" s="89"/>
      <c r="AC296" s="89"/>
      <c r="AD296" s="89"/>
      <c r="AE296" s="89"/>
      <c r="AF296" s="89"/>
      <c r="AG296" s="89"/>
      <c r="AH296" s="89"/>
      <c r="AI296" s="89"/>
      <c r="AJ296" s="89"/>
      <c r="AK296" s="89"/>
      <c r="AL296" s="89"/>
      <c r="AM296" s="89"/>
      <c r="AN296" s="89"/>
      <c r="AO296" s="89"/>
      <c r="AP296" s="89"/>
      <c r="AQ296" s="89"/>
      <c r="AR296" s="89"/>
      <c r="AS296" s="89"/>
      <c r="AT296" s="89"/>
      <c r="AU296" s="89"/>
      <c r="AV296" s="89"/>
      <c r="AW296" s="89"/>
      <c r="AX296" s="89"/>
      <c r="AY296" s="89"/>
      <c r="AZ296" s="89"/>
      <c r="BA296" s="95"/>
    </row>
    <row r="297" spans="1:53" s="87" customFormat="1">
      <c r="A297" s="90" t="str">
        <f t="shared" si="29"/>
        <v/>
      </c>
      <c r="B297" s="89">
        <v>9</v>
      </c>
      <c r="C297" s="89" t="s">
        <v>202</v>
      </c>
      <c r="D297" s="89">
        <v>1</v>
      </c>
      <c r="E297" s="89">
        <v>5</v>
      </c>
      <c r="F297" s="89">
        <v>-4</v>
      </c>
      <c r="G297" s="89">
        <v>-7</v>
      </c>
      <c r="H297" s="89"/>
      <c r="I297" s="89"/>
      <c r="J297" s="89"/>
      <c r="K297" s="89"/>
      <c r="L297" s="89"/>
      <c r="M297" s="89"/>
      <c r="N297" s="89"/>
      <c r="O297" s="89"/>
      <c r="P297" s="89"/>
      <c r="Q297" s="89"/>
      <c r="R297" s="89"/>
      <c r="S297" s="89"/>
      <c r="T297" s="89"/>
      <c r="U297" s="89"/>
      <c r="V297" s="89"/>
      <c r="W297" s="89"/>
      <c r="X297" s="89"/>
      <c r="Y297" s="89"/>
      <c r="Z297" s="89"/>
      <c r="AA297" s="89"/>
      <c r="AB297" s="89"/>
      <c r="AC297" s="89"/>
      <c r="AD297" s="89"/>
      <c r="AE297" s="89"/>
      <c r="AF297" s="89"/>
      <c r="AG297" s="89"/>
      <c r="AH297" s="89"/>
      <c r="AI297" s="89"/>
      <c r="AJ297" s="89"/>
      <c r="AK297" s="89"/>
      <c r="AL297" s="89"/>
      <c r="AM297" s="89"/>
      <c r="AN297" s="89"/>
      <c r="AO297" s="89"/>
      <c r="AP297" s="89"/>
      <c r="AQ297" s="89"/>
      <c r="AR297" s="89"/>
      <c r="AS297" s="89"/>
      <c r="AT297" s="89"/>
      <c r="AU297" s="89"/>
      <c r="AV297" s="89"/>
      <c r="AW297" s="89"/>
      <c r="AX297" s="89"/>
      <c r="AY297" s="89"/>
      <c r="AZ297" s="89"/>
      <c r="BA297" s="95"/>
    </row>
    <row r="298" spans="1:53" s="87" customFormat="1">
      <c r="A298" s="90" t="str">
        <f t="shared" si="29"/>
        <v/>
      </c>
      <c r="B298" s="99">
        <v>10</v>
      </c>
      <c r="C298" s="92">
        <v>-6</v>
      </c>
      <c r="D298" s="92">
        <v>-7</v>
      </c>
      <c r="E298" s="92">
        <v>2</v>
      </c>
      <c r="F298" s="92">
        <v>4</v>
      </c>
      <c r="G298" s="92" t="s">
        <v>202</v>
      </c>
      <c r="H298" s="89"/>
      <c r="I298" s="89"/>
      <c r="J298" s="89"/>
      <c r="K298" s="89"/>
      <c r="L298" s="89"/>
      <c r="M298" s="89"/>
      <c r="N298" s="89"/>
      <c r="O298" s="89"/>
      <c r="P298" s="89"/>
      <c r="Q298" s="89"/>
      <c r="R298" s="89"/>
      <c r="S298" s="89"/>
      <c r="T298" s="89"/>
      <c r="U298" s="89"/>
      <c r="V298" s="89"/>
      <c r="W298" s="89"/>
      <c r="X298" s="89"/>
      <c r="Y298" s="89"/>
      <c r="Z298" s="89"/>
      <c r="AA298" s="89"/>
      <c r="AB298" s="89"/>
      <c r="AC298" s="89"/>
      <c r="AD298" s="89"/>
      <c r="AE298" s="89"/>
      <c r="AF298" s="89"/>
      <c r="AG298" s="89"/>
      <c r="AH298" s="89"/>
      <c r="AI298" s="89"/>
      <c r="AJ298" s="89"/>
      <c r="AK298" s="89"/>
      <c r="AL298" s="89"/>
      <c r="AM298" s="89"/>
      <c r="AN298" s="89"/>
      <c r="AO298" s="89"/>
      <c r="AP298" s="89"/>
      <c r="AQ298" s="89"/>
      <c r="AR298" s="89"/>
      <c r="AS298" s="89"/>
      <c r="AT298" s="89"/>
      <c r="AU298" s="89"/>
      <c r="AV298" s="89"/>
      <c r="AW298" s="89"/>
      <c r="AX298" s="89"/>
      <c r="AY298" s="89"/>
      <c r="AZ298" s="89"/>
      <c r="BA298" s="95"/>
    </row>
    <row r="299" spans="1:53" s="87" customFormat="1">
      <c r="A299" s="90" t="str">
        <f t="shared" si="29"/>
        <v/>
      </c>
      <c r="B299" s="89">
        <v>11</v>
      </c>
      <c r="C299" s="89">
        <v>4</v>
      </c>
      <c r="D299" s="89">
        <v>-9</v>
      </c>
      <c r="E299" s="89" t="s">
        <v>202</v>
      </c>
      <c r="F299" s="89">
        <v>8</v>
      </c>
      <c r="G299" s="89">
        <v>-3</v>
      </c>
      <c r="H299" s="89"/>
      <c r="I299" s="89"/>
      <c r="J299" s="89"/>
      <c r="K299" s="89"/>
      <c r="L299" s="89"/>
      <c r="M299" s="89"/>
      <c r="N299" s="89"/>
      <c r="O299" s="89"/>
      <c r="P299" s="89"/>
      <c r="Q299" s="89"/>
      <c r="R299" s="89"/>
      <c r="S299" s="89"/>
      <c r="T299" s="89"/>
      <c r="U299" s="89"/>
      <c r="V299" s="89"/>
      <c r="W299" s="89"/>
      <c r="X299" s="89"/>
      <c r="Y299" s="89"/>
      <c r="Z299" s="89"/>
      <c r="AA299" s="89"/>
      <c r="AB299" s="89"/>
      <c r="AC299" s="89"/>
      <c r="AD299" s="89"/>
      <c r="AE299" s="89"/>
      <c r="AF299" s="89"/>
      <c r="AG299" s="89"/>
      <c r="AH299" s="89"/>
      <c r="AI299" s="89"/>
      <c r="AJ299" s="89"/>
      <c r="AK299" s="89"/>
      <c r="AL299" s="89"/>
      <c r="AM299" s="89"/>
      <c r="AN299" s="89"/>
      <c r="AO299" s="89"/>
      <c r="AP299" s="89"/>
      <c r="AQ299" s="89"/>
      <c r="AR299" s="89"/>
      <c r="AS299" s="89"/>
      <c r="AT299" s="89"/>
      <c r="AU299" s="89"/>
      <c r="AV299" s="89"/>
      <c r="AW299" s="89"/>
      <c r="AX299" s="89"/>
      <c r="AY299" s="89"/>
      <c r="AZ299" s="89"/>
      <c r="BA299" s="95"/>
    </row>
    <row r="300" spans="1:53" s="87" customFormat="1">
      <c r="A300" s="90" t="str">
        <f t="shared" si="29"/>
        <v/>
      </c>
      <c r="B300" s="89">
        <v>12</v>
      </c>
      <c r="C300" s="89">
        <v>-7</v>
      </c>
      <c r="D300" s="89" t="s">
        <v>202</v>
      </c>
      <c r="E300" s="89">
        <v>-10</v>
      </c>
      <c r="F300" s="89">
        <v>6</v>
      </c>
      <c r="G300" s="89">
        <v>3</v>
      </c>
      <c r="H300" s="89"/>
      <c r="I300" s="89"/>
      <c r="J300" s="89"/>
      <c r="K300" s="89"/>
      <c r="L300" s="89"/>
      <c r="M300" s="89"/>
      <c r="N300" s="89"/>
      <c r="O300" s="89"/>
      <c r="P300" s="89"/>
      <c r="Q300" s="89"/>
      <c r="R300" s="89"/>
      <c r="S300" s="89"/>
      <c r="T300" s="89"/>
      <c r="U300" s="89"/>
      <c r="V300" s="89"/>
      <c r="W300" s="89"/>
      <c r="X300" s="89"/>
      <c r="Y300" s="89"/>
      <c r="Z300" s="89"/>
      <c r="AA300" s="89"/>
      <c r="AB300" s="89"/>
      <c r="AC300" s="89"/>
      <c r="AD300" s="89"/>
      <c r="AE300" s="89"/>
      <c r="AF300" s="89"/>
      <c r="AG300" s="89"/>
      <c r="AH300" s="89"/>
      <c r="AI300" s="89"/>
      <c r="AJ300" s="89"/>
      <c r="AK300" s="89"/>
      <c r="AL300" s="89"/>
      <c r="AM300" s="89"/>
      <c r="AN300" s="89"/>
      <c r="AO300" s="89"/>
      <c r="AP300" s="89"/>
      <c r="AQ300" s="89"/>
      <c r="AR300" s="89"/>
      <c r="AS300" s="89"/>
      <c r="AT300" s="89"/>
      <c r="AU300" s="89"/>
      <c r="AV300" s="89"/>
      <c r="AW300" s="89"/>
      <c r="AX300" s="89"/>
      <c r="AY300" s="89"/>
      <c r="AZ300" s="89"/>
      <c r="BA300" s="95"/>
    </row>
    <row r="301" spans="1:53" s="87" customFormat="1">
      <c r="A301" s="90" t="str">
        <f t="shared" si="29"/>
        <v/>
      </c>
      <c r="B301" s="89">
        <v>13</v>
      </c>
      <c r="C301" s="89">
        <v>-4</v>
      </c>
      <c r="D301" s="89">
        <v>-2</v>
      </c>
      <c r="E301" s="89">
        <v>10</v>
      </c>
      <c r="F301" s="89" t="s">
        <v>202</v>
      </c>
      <c r="G301" s="89">
        <v>8</v>
      </c>
      <c r="H301" s="89"/>
      <c r="I301" s="89"/>
      <c r="J301" s="89"/>
      <c r="K301" s="89"/>
      <c r="L301" s="89"/>
      <c r="M301" s="89"/>
      <c r="N301" s="89"/>
      <c r="O301" s="89"/>
      <c r="P301" s="89"/>
      <c r="Q301" s="89"/>
      <c r="R301" s="89"/>
      <c r="S301" s="89"/>
      <c r="T301" s="89"/>
      <c r="U301" s="89"/>
      <c r="V301" s="89"/>
      <c r="W301" s="89"/>
      <c r="X301" s="89"/>
      <c r="Y301" s="89"/>
      <c r="Z301" s="89"/>
      <c r="AA301" s="89"/>
      <c r="AB301" s="89"/>
      <c r="AC301" s="89"/>
      <c r="AD301" s="89"/>
      <c r="AE301" s="89"/>
      <c r="AF301" s="89"/>
      <c r="AG301" s="89"/>
      <c r="AH301" s="89"/>
      <c r="AI301" s="89"/>
      <c r="AJ301" s="89"/>
      <c r="AK301" s="89"/>
      <c r="AL301" s="89"/>
      <c r="AM301" s="89"/>
      <c r="AN301" s="89"/>
      <c r="AO301" s="89"/>
      <c r="AP301" s="89"/>
      <c r="AQ301" s="89"/>
      <c r="AR301" s="89"/>
      <c r="AS301" s="89"/>
      <c r="AT301" s="89"/>
      <c r="AU301" s="89"/>
      <c r="AV301" s="89"/>
      <c r="AW301" s="89"/>
      <c r="AX301" s="89"/>
      <c r="AY301" s="89"/>
      <c r="AZ301" s="89"/>
      <c r="BA301" s="95"/>
    </row>
    <row r="302" spans="1:53" s="87" customFormat="1">
      <c r="A302" s="90" t="str">
        <f t="shared" si="29"/>
        <v/>
      </c>
      <c r="B302" s="89">
        <v>14</v>
      </c>
      <c r="C302" s="89" t="s">
        <v>202</v>
      </c>
      <c r="D302" s="89">
        <v>9</v>
      </c>
      <c r="E302" s="89">
        <v>1</v>
      </c>
      <c r="F302" s="89">
        <v>-6</v>
      </c>
      <c r="G302" s="89">
        <v>-8</v>
      </c>
      <c r="H302" s="89"/>
      <c r="I302" s="89"/>
      <c r="J302" s="89"/>
      <c r="K302" s="89"/>
      <c r="L302" s="89"/>
      <c r="M302" s="89"/>
      <c r="N302" s="89"/>
      <c r="O302" s="89"/>
      <c r="P302" s="89"/>
      <c r="Q302" s="89"/>
      <c r="R302" s="89"/>
      <c r="S302" s="89"/>
      <c r="T302" s="89"/>
      <c r="U302" s="89"/>
      <c r="V302" s="89"/>
      <c r="W302" s="89"/>
      <c r="X302" s="89"/>
      <c r="Y302" s="89"/>
      <c r="Z302" s="89"/>
      <c r="AA302" s="89"/>
      <c r="AB302" s="89"/>
      <c r="AC302" s="89"/>
      <c r="AD302" s="89"/>
      <c r="AE302" s="89"/>
      <c r="AF302" s="89"/>
      <c r="AG302" s="89"/>
      <c r="AH302" s="89"/>
      <c r="AI302" s="89"/>
      <c r="AJ302" s="89"/>
      <c r="AK302" s="89"/>
      <c r="AL302" s="89"/>
      <c r="AM302" s="89"/>
      <c r="AN302" s="89"/>
      <c r="AO302" s="89"/>
      <c r="AP302" s="89"/>
      <c r="AQ302" s="89"/>
      <c r="AR302" s="89"/>
      <c r="AS302" s="89"/>
      <c r="AT302" s="89"/>
      <c r="AU302" s="89"/>
      <c r="AV302" s="89"/>
      <c r="AW302" s="89"/>
      <c r="AX302" s="89"/>
      <c r="AY302" s="89"/>
      <c r="AZ302" s="89"/>
      <c r="BA302" s="95"/>
    </row>
    <row r="303" spans="1:53" s="87" customFormat="1">
      <c r="A303" s="90" t="str">
        <f t="shared" si="29"/>
        <v/>
      </c>
      <c r="B303" s="99">
        <v>15</v>
      </c>
      <c r="C303" s="92">
        <v>7</v>
      </c>
      <c r="D303" s="92">
        <v>2</v>
      </c>
      <c r="E303" s="92">
        <v>-1</v>
      </c>
      <c r="F303" s="92">
        <v>-8</v>
      </c>
      <c r="G303" s="92" t="s">
        <v>202</v>
      </c>
      <c r="H303" s="89"/>
      <c r="I303" s="89"/>
      <c r="J303" s="89"/>
      <c r="K303" s="89"/>
      <c r="L303" s="89"/>
      <c r="M303" s="89"/>
      <c r="N303" s="89"/>
      <c r="O303" s="89"/>
      <c r="P303" s="89"/>
      <c r="Q303" s="89"/>
      <c r="R303" s="89"/>
      <c r="S303" s="89"/>
      <c r="T303" s="89"/>
      <c r="U303" s="89"/>
      <c r="V303" s="89"/>
      <c r="W303" s="89"/>
      <c r="X303" s="89"/>
      <c r="Y303" s="89"/>
      <c r="Z303" s="89"/>
      <c r="AA303" s="89"/>
      <c r="AB303" s="89"/>
      <c r="AC303" s="89"/>
      <c r="AD303" s="89"/>
      <c r="AE303" s="89"/>
      <c r="AF303" s="89"/>
      <c r="AG303" s="89"/>
      <c r="AH303" s="89"/>
      <c r="AI303" s="89"/>
      <c r="AJ303" s="89"/>
      <c r="AK303" s="89"/>
      <c r="AL303" s="89"/>
      <c r="AM303" s="89"/>
      <c r="AN303" s="89"/>
      <c r="AO303" s="89"/>
      <c r="AP303" s="89"/>
      <c r="AQ303" s="89"/>
      <c r="AR303" s="89"/>
      <c r="AS303" s="89"/>
      <c r="AT303" s="89"/>
      <c r="AU303" s="89"/>
      <c r="AV303" s="89"/>
      <c r="AW303" s="89"/>
      <c r="AX303" s="89"/>
      <c r="AY303" s="89"/>
      <c r="AZ303" s="89"/>
      <c r="BA303" s="95"/>
    </row>
    <row r="304" spans="1:53" s="87" customFormat="1">
      <c r="A304" s="90" t="str">
        <f t="shared" si="29"/>
        <v/>
      </c>
      <c r="B304" s="89">
        <v>16</v>
      </c>
      <c r="C304" s="89">
        <v>-5</v>
      </c>
      <c r="D304" s="89">
        <v>-8</v>
      </c>
      <c r="E304" s="89">
        <v>6</v>
      </c>
      <c r="F304" s="89" t="s">
        <v>202</v>
      </c>
      <c r="G304" s="89">
        <v>2</v>
      </c>
      <c r="H304" s="89"/>
      <c r="I304" s="89"/>
      <c r="J304" s="89"/>
      <c r="K304" s="89"/>
      <c r="L304" s="89"/>
      <c r="M304" s="89"/>
      <c r="N304" s="89"/>
      <c r="O304" s="89"/>
      <c r="P304" s="89"/>
      <c r="Q304" s="89"/>
      <c r="R304" s="89"/>
      <c r="S304" s="89"/>
      <c r="T304" s="89"/>
      <c r="U304" s="89"/>
      <c r="V304" s="89"/>
      <c r="W304" s="89"/>
      <c r="X304" s="89"/>
      <c r="Y304" s="89"/>
      <c r="Z304" s="89"/>
      <c r="AA304" s="89"/>
      <c r="AB304" s="89"/>
      <c r="AC304" s="89"/>
      <c r="AD304" s="89"/>
      <c r="AE304" s="89"/>
      <c r="AF304" s="89"/>
      <c r="AG304" s="89"/>
      <c r="AH304" s="89"/>
      <c r="AI304" s="89"/>
      <c r="AJ304" s="89"/>
      <c r="AK304" s="89"/>
      <c r="AL304" s="89"/>
      <c r="AM304" s="89"/>
      <c r="AN304" s="89"/>
      <c r="AO304" s="89"/>
      <c r="AP304" s="89"/>
      <c r="AQ304" s="89"/>
      <c r="AR304" s="89"/>
      <c r="AS304" s="89"/>
      <c r="AT304" s="89"/>
      <c r="AU304" s="89"/>
      <c r="AV304" s="89"/>
      <c r="AW304" s="89"/>
      <c r="AX304" s="89"/>
      <c r="AY304" s="89"/>
      <c r="AZ304" s="89"/>
      <c r="BA304" s="95"/>
    </row>
    <row r="305" spans="1:53" s="87" customFormat="1">
      <c r="A305" s="90" t="str">
        <f t="shared" si="29"/>
        <v/>
      </c>
      <c r="B305" s="89">
        <v>17</v>
      </c>
      <c r="C305" s="89" t="s">
        <v>202</v>
      </c>
      <c r="D305" s="89">
        <v>3</v>
      </c>
      <c r="E305" s="89">
        <v>9</v>
      </c>
      <c r="F305" s="89">
        <v>-10</v>
      </c>
      <c r="G305" s="89">
        <v>-2</v>
      </c>
      <c r="H305" s="89"/>
      <c r="I305" s="89"/>
      <c r="J305" s="89"/>
      <c r="K305" s="89"/>
      <c r="L305" s="89"/>
      <c r="M305" s="89"/>
      <c r="N305" s="89"/>
      <c r="O305" s="89"/>
      <c r="P305" s="89"/>
      <c r="Q305" s="89"/>
      <c r="R305" s="89"/>
      <c r="S305" s="89"/>
      <c r="T305" s="89"/>
      <c r="U305" s="89"/>
      <c r="V305" s="89"/>
      <c r="W305" s="89"/>
      <c r="X305" s="89"/>
      <c r="Y305" s="89"/>
      <c r="Z305" s="89"/>
      <c r="AA305" s="89"/>
      <c r="AB305" s="89"/>
      <c r="AC305" s="89"/>
      <c r="AD305" s="89"/>
      <c r="AE305" s="89"/>
      <c r="AF305" s="89"/>
      <c r="AG305" s="89"/>
      <c r="AH305" s="89"/>
      <c r="AI305" s="89"/>
      <c r="AJ305" s="89"/>
      <c r="AK305" s="89"/>
      <c r="AL305" s="89"/>
      <c r="AM305" s="89"/>
      <c r="AN305" s="89"/>
      <c r="AO305" s="89"/>
      <c r="AP305" s="89"/>
      <c r="AQ305" s="89"/>
      <c r="AR305" s="89"/>
      <c r="AS305" s="89"/>
      <c r="AT305" s="89"/>
      <c r="AU305" s="89"/>
      <c r="AV305" s="89"/>
      <c r="AW305" s="89"/>
      <c r="AX305" s="89"/>
      <c r="AY305" s="89"/>
      <c r="AZ305" s="89"/>
      <c r="BA305" s="95"/>
    </row>
    <row r="306" spans="1:53" s="87" customFormat="1">
      <c r="A306" s="90" t="str">
        <f t="shared" si="29"/>
        <v/>
      </c>
      <c r="B306" s="89">
        <v>18</v>
      </c>
      <c r="C306" s="89">
        <v>5</v>
      </c>
      <c r="D306" s="89">
        <v>-3</v>
      </c>
      <c r="E306" s="89" t="s">
        <v>202</v>
      </c>
      <c r="F306" s="89">
        <v>1</v>
      </c>
      <c r="G306" s="89">
        <v>-9</v>
      </c>
      <c r="H306" s="89"/>
      <c r="I306" s="89"/>
      <c r="J306" s="89"/>
      <c r="K306" s="89"/>
      <c r="L306" s="89"/>
      <c r="M306" s="89"/>
      <c r="N306" s="89"/>
      <c r="O306" s="89"/>
      <c r="P306" s="89"/>
      <c r="Q306" s="89"/>
      <c r="R306" s="89"/>
      <c r="S306" s="89"/>
      <c r="T306" s="89"/>
      <c r="U306" s="89"/>
      <c r="V306" s="89"/>
      <c r="W306" s="89"/>
      <c r="X306" s="89"/>
      <c r="Y306" s="89"/>
      <c r="Z306" s="89"/>
      <c r="AA306" s="89"/>
      <c r="AB306" s="89"/>
      <c r="AC306" s="89"/>
      <c r="AD306" s="89"/>
      <c r="AE306" s="89"/>
      <c r="AF306" s="89"/>
      <c r="AG306" s="89"/>
      <c r="AH306" s="89"/>
      <c r="AI306" s="89"/>
      <c r="AJ306" s="89"/>
      <c r="AK306" s="89"/>
      <c r="AL306" s="89"/>
      <c r="AM306" s="89"/>
      <c r="AN306" s="89"/>
      <c r="AO306" s="89"/>
      <c r="AP306" s="89"/>
      <c r="AQ306" s="89"/>
      <c r="AR306" s="89"/>
      <c r="AS306" s="89"/>
      <c r="AT306" s="89"/>
      <c r="AU306" s="89"/>
      <c r="AV306" s="89"/>
      <c r="AW306" s="89"/>
      <c r="AX306" s="89"/>
      <c r="AY306" s="89"/>
      <c r="AZ306" s="89"/>
      <c r="BA306" s="95"/>
    </row>
    <row r="307" spans="1:53" s="87" customFormat="1">
      <c r="A307" s="90" t="str">
        <f t="shared" si="29"/>
        <v/>
      </c>
      <c r="B307" s="89">
        <v>19</v>
      </c>
      <c r="C307" s="89">
        <v>-2</v>
      </c>
      <c r="D307" s="89" t="s">
        <v>202</v>
      </c>
      <c r="E307" s="89">
        <v>-6</v>
      </c>
      <c r="F307" s="89">
        <v>10</v>
      </c>
      <c r="G307" s="89">
        <v>9</v>
      </c>
      <c r="H307" s="89"/>
      <c r="I307" s="89"/>
      <c r="J307" s="89"/>
      <c r="K307" s="89"/>
      <c r="L307" s="89"/>
      <c r="M307" s="89"/>
      <c r="N307" s="89"/>
      <c r="O307" s="89"/>
      <c r="P307" s="89"/>
      <c r="Q307" s="89"/>
      <c r="R307" s="89"/>
      <c r="S307" s="89"/>
      <c r="T307" s="89"/>
      <c r="U307" s="89"/>
      <c r="V307" s="89"/>
      <c r="W307" s="89"/>
      <c r="X307" s="89"/>
      <c r="Y307" s="89"/>
      <c r="Z307" s="89"/>
      <c r="AA307" s="89"/>
      <c r="AB307" s="89"/>
      <c r="AC307" s="89"/>
      <c r="AD307" s="89"/>
      <c r="AE307" s="89"/>
      <c r="AF307" s="89"/>
      <c r="AG307" s="89"/>
      <c r="AH307" s="89"/>
      <c r="AI307" s="89"/>
      <c r="AJ307" s="89"/>
      <c r="AK307" s="89"/>
      <c r="AL307" s="89"/>
      <c r="AM307" s="89"/>
      <c r="AN307" s="89"/>
      <c r="AO307" s="89"/>
      <c r="AP307" s="89"/>
      <c r="AQ307" s="89"/>
      <c r="AR307" s="89"/>
      <c r="AS307" s="89"/>
      <c r="AT307" s="89"/>
      <c r="AU307" s="89"/>
      <c r="AV307" s="89"/>
      <c r="AW307" s="89"/>
      <c r="AX307" s="89"/>
      <c r="AY307" s="89"/>
      <c r="AZ307" s="89"/>
      <c r="BA307" s="95"/>
    </row>
    <row r="308" spans="1:53" s="87" customFormat="1">
      <c r="A308" s="90" t="str">
        <f t="shared" si="29"/>
        <v/>
      </c>
      <c r="B308" s="99">
        <v>20</v>
      </c>
      <c r="C308" s="92">
        <v>2</v>
      </c>
      <c r="D308" s="92">
        <v>8</v>
      </c>
      <c r="E308" s="92">
        <v>-9</v>
      </c>
      <c r="F308" s="92">
        <v>-1</v>
      </c>
      <c r="G308" s="92" t="s">
        <v>202</v>
      </c>
      <c r="H308" s="89"/>
      <c r="I308" s="89"/>
      <c r="J308" s="89"/>
      <c r="K308" s="89"/>
      <c r="L308" s="89"/>
      <c r="M308" s="89"/>
      <c r="N308" s="89"/>
      <c r="O308" s="89"/>
      <c r="P308" s="89"/>
      <c r="Q308" s="89"/>
      <c r="R308" s="89"/>
      <c r="S308" s="89"/>
      <c r="T308" s="89"/>
      <c r="U308" s="89"/>
      <c r="V308" s="89"/>
      <c r="W308" s="89"/>
      <c r="X308" s="89"/>
      <c r="Y308" s="89"/>
      <c r="Z308" s="89"/>
      <c r="AA308" s="89"/>
      <c r="AB308" s="89"/>
      <c r="AC308" s="89"/>
      <c r="AD308" s="89"/>
      <c r="AE308" s="89"/>
      <c r="AF308" s="89"/>
      <c r="AG308" s="89"/>
      <c r="AH308" s="89"/>
      <c r="AI308" s="89"/>
      <c r="AJ308" s="89"/>
      <c r="AK308" s="89"/>
      <c r="AL308" s="89"/>
      <c r="AM308" s="89"/>
      <c r="AN308" s="89"/>
      <c r="AO308" s="89"/>
      <c r="AP308" s="89"/>
      <c r="AQ308" s="89"/>
      <c r="AR308" s="89"/>
      <c r="AS308" s="89"/>
      <c r="AT308" s="89"/>
      <c r="AU308" s="89"/>
      <c r="AV308" s="89"/>
      <c r="AW308" s="89"/>
      <c r="AX308" s="89"/>
      <c r="AY308" s="89"/>
      <c r="AZ308" s="89"/>
      <c r="BA308" s="95"/>
    </row>
    <row r="309" spans="1:53" s="87" customFormat="1">
      <c r="A309" s="90" t="str">
        <f t="shared" si="29"/>
        <v/>
      </c>
      <c r="B309" s="89">
        <v>21</v>
      </c>
      <c r="C309" s="89" t="s">
        <v>210</v>
      </c>
      <c r="D309" s="89">
        <v>5</v>
      </c>
      <c r="E309" s="89">
        <v>3</v>
      </c>
      <c r="F309" s="89">
        <v>-2</v>
      </c>
      <c r="G309" s="89">
        <v>-1</v>
      </c>
      <c r="H309" s="89"/>
      <c r="I309" s="89"/>
      <c r="J309" s="89"/>
      <c r="K309" s="89"/>
      <c r="L309" s="89"/>
      <c r="M309" s="89"/>
      <c r="N309" s="89"/>
      <c r="O309" s="89"/>
      <c r="P309" s="89"/>
      <c r="Q309" s="89"/>
      <c r="R309" s="89"/>
      <c r="S309" s="89"/>
      <c r="T309" s="89"/>
      <c r="U309" s="89"/>
      <c r="V309" s="89"/>
      <c r="W309" s="89"/>
      <c r="X309" s="89"/>
      <c r="Y309" s="89"/>
      <c r="Z309" s="89"/>
      <c r="AA309" s="89"/>
      <c r="AB309" s="89"/>
      <c r="AC309" s="89"/>
      <c r="AD309" s="89"/>
      <c r="AE309" s="89"/>
      <c r="AF309" s="89"/>
      <c r="AG309" s="89"/>
      <c r="AH309" s="89"/>
      <c r="AI309" s="89"/>
      <c r="AJ309" s="89"/>
      <c r="AK309" s="89"/>
      <c r="AL309" s="89"/>
      <c r="AM309" s="89"/>
      <c r="AN309" s="89"/>
      <c r="AO309" s="89"/>
      <c r="AP309" s="89"/>
      <c r="AQ309" s="89"/>
      <c r="AR309" s="89"/>
      <c r="AS309" s="89"/>
      <c r="AT309" s="89"/>
      <c r="AU309" s="89"/>
      <c r="AV309" s="89"/>
      <c r="AW309" s="89"/>
      <c r="AX309" s="89"/>
      <c r="AY309" s="89"/>
      <c r="AZ309" s="89"/>
      <c r="BA309" s="95"/>
    </row>
    <row r="310" spans="1:53" s="87" customFormat="1">
      <c r="A310" s="90" t="str">
        <f t="shared" si="29"/>
        <v/>
      </c>
      <c r="B310" s="89">
        <v>22</v>
      </c>
      <c r="C310" s="89" t="s">
        <v>210</v>
      </c>
      <c r="D310" s="89">
        <v>-5</v>
      </c>
      <c r="E310" s="89">
        <v>-8</v>
      </c>
      <c r="F310" s="89">
        <v>9</v>
      </c>
      <c r="G310" s="89">
        <v>1</v>
      </c>
      <c r="H310" s="89"/>
      <c r="I310" s="89"/>
      <c r="J310" s="89"/>
      <c r="K310" s="89"/>
      <c r="L310" s="89"/>
      <c r="M310" s="89"/>
      <c r="N310" s="89"/>
      <c r="O310" s="89"/>
      <c r="P310" s="89"/>
      <c r="Q310" s="89"/>
      <c r="R310" s="89"/>
      <c r="S310" s="89"/>
      <c r="T310" s="89"/>
      <c r="U310" s="89"/>
      <c r="V310" s="89"/>
      <c r="W310" s="89"/>
      <c r="X310" s="89"/>
      <c r="Y310" s="89"/>
      <c r="Z310" s="89"/>
      <c r="AA310" s="89"/>
      <c r="AB310" s="89"/>
      <c r="AC310" s="89"/>
      <c r="AD310" s="89"/>
      <c r="AE310" s="89"/>
      <c r="AF310" s="89"/>
      <c r="AG310" s="89"/>
      <c r="AH310" s="89"/>
      <c r="AI310" s="89"/>
      <c r="AJ310" s="89"/>
      <c r="AK310" s="89"/>
      <c r="AL310" s="89"/>
      <c r="AM310" s="89"/>
      <c r="AN310" s="89"/>
      <c r="AO310" s="89"/>
      <c r="AP310" s="89"/>
      <c r="AQ310" s="89"/>
      <c r="AR310" s="89"/>
      <c r="AS310" s="89"/>
      <c r="AT310" s="89"/>
      <c r="AU310" s="89"/>
      <c r="AV310" s="89"/>
      <c r="AW310" s="89"/>
      <c r="AX310" s="89"/>
      <c r="AY310" s="89"/>
      <c r="AZ310" s="89"/>
      <c r="BA310" s="95"/>
    </row>
    <row r="311" spans="1:53" s="87" customFormat="1">
      <c r="A311" s="90" t="str">
        <f t="shared" si="29"/>
        <v/>
      </c>
      <c r="B311" s="89">
        <v>23</v>
      </c>
      <c r="C311" s="89" t="s">
        <v>210</v>
      </c>
      <c r="D311" s="89">
        <v>-6</v>
      </c>
      <c r="E311" s="89">
        <v>8</v>
      </c>
      <c r="F311" s="89">
        <v>2</v>
      </c>
      <c r="G311" s="89">
        <v>-10</v>
      </c>
      <c r="H311" s="89"/>
      <c r="I311" s="89"/>
      <c r="J311" s="89"/>
      <c r="K311" s="89"/>
      <c r="L311" s="89"/>
      <c r="M311" s="89"/>
      <c r="N311" s="89"/>
      <c r="O311" s="89"/>
      <c r="P311" s="89"/>
      <c r="Q311" s="89"/>
      <c r="R311" s="89"/>
      <c r="S311" s="89"/>
      <c r="T311" s="89"/>
      <c r="U311" s="89"/>
      <c r="V311" s="89"/>
      <c r="W311" s="89"/>
      <c r="X311" s="89"/>
      <c r="Y311" s="89"/>
      <c r="Z311" s="89"/>
      <c r="AA311" s="89"/>
      <c r="AB311" s="89"/>
      <c r="AC311" s="89"/>
      <c r="AD311" s="89"/>
      <c r="AE311" s="89"/>
      <c r="AF311" s="89"/>
      <c r="AG311" s="89"/>
      <c r="AH311" s="89"/>
      <c r="AI311" s="89"/>
      <c r="AJ311" s="89"/>
      <c r="AK311" s="89"/>
      <c r="AL311" s="89"/>
      <c r="AM311" s="89"/>
      <c r="AN311" s="89"/>
      <c r="AO311" s="89"/>
      <c r="AP311" s="89"/>
      <c r="AQ311" s="89"/>
      <c r="AR311" s="89"/>
      <c r="AS311" s="89"/>
      <c r="AT311" s="89"/>
      <c r="AU311" s="89"/>
      <c r="AV311" s="89"/>
      <c r="AW311" s="89"/>
      <c r="AX311" s="89"/>
      <c r="AY311" s="89"/>
      <c r="AZ311" s="89"/>
      <c r="BA311" s="95"/>
    </row>
    <row r="312" spans="1:53" s="87" customFormat="1">
      <c r="A312" s="90" t="str">
        <f t="shared" si="29"/>
        <v/>
      </c>
      <c r="B312" s="89">
        <v>24</v>
      </c>
      <c r="C312" s="89" t="s">
        <v>210</v>
      </c>
      <c r="D312" s="89">
        <v>6</v>
      </c>
      <c r="E312" s="89">
        <v>-3</v>
      </c>
      <c r="F312" s="89">
        <v>-9</v>
      </c>
      <c r="G312" s="89">
        <v>10</v>
      </c>
      <c r="H312" s="89"/>
      <c r="I312" s="89"/>
      <c r="J312" s="89"/>
      <c r="K312" s="89"/>
      <c r="L312" s="89"/>
      <c r="M312" s="89"/>
      <c r="N312" s="89"/>
      <c r="O312" s="89"/>
      <c r="P312" s="89"/>
      <c r="Q312" s="89"/>
      <c r="R312" s="89"/>
      <c r="S312" s="89"/>
      <c r="T312" s="89"/>
      <c r="U312" s="89"/>
      <c r="V312" s="89"/>
      <c r="W312" s="89"/>
      <c r="X312" s="89"/>
      <c r="Y312" s="89"/>
      <c r="Z312" s="89"/>
      <c r="AA312" s="89"/>
      <c r="AB312" s="89"/>
      <c r="AC312" s="89"/>
      <c r="AD312" s="89"/>
      <c r="AE312" s="89"/>
      <c r="AF312" s="89"/>
      <c r="AG312" s="89"/>
      <c r="AH312" s="89"/>
      <c r="AI312" s="89"/>
      <c r="AJ312" s="89"/>
      <c r="AK312" s="89"/>
      <c r="AL312" s="89"/>
      <c r="AM312" s="89"/>
      <c r="AN312" s="89"/>
      <c r="AO312" s="89"/>
      <c r="AP312" s="89"/>
      <c r="AQ312" s="89"/>
      <c r="AR312" s="89"/>
      <c r="AS312" s="89"/>
      <c r="AT312" s="89"/>
      <c r="AU312" s="89"/>
      <c r="AV312" s="89"/>
      <c r="AW312" s="89"/>
      <c r="AX312" s="89"/>
      <c r="AY312" s="89"/>
      <c r="AZ312" s="89"/>
      <c r="BA312" s="95"/>
    </row>
    <row r="313" spans="1:53" s="87" customFormat="1">
      <c r="A313" s="90" t="str">
        <f t="shared" si="29"/>
        <v/>
      </c>
      <c r="B313" s="89" t="s">
        <v>554</v>
      </c>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c r="AA313" s="89"/>
      <c r="AB313" s="89"/>
      <c r="AC313" s="89"/>
      <c r="AD313" s="89"/>
      <c r="AE313" s="89"/>
      <c r="AF313" s="89"/>
      <c r="AG313" s="89"/>
      <c r="AH313" s="89"/>
      <c r="AI313" s="89"/>
      <c r="AJ313" s="89"/>
      <c r="AK313" s="89"/>
      <c r="AL313" s="89"/>
      <c r="AM313" s="89"/>
      <c r="AN313" s="89"/>
      <c r="AO313" s="89"/>
      <c r="AP313" s="89"/>
      <c r="AQ313" s="89"/>
      <c r="AR313" s="89"/>
      <c r="AS313" s="89"/>
      <c r="AT313" s="89"/>
      <c r="AU313" s="89"/>
      <c r="AV313" s="89"/>
      <c r="AW313" s="89"/>
      <c r="AX313" s="89"/>
      <c r="AY313" s="89"/>
      <c r="AZ313" s="89"/>
      <c r="BA313" s="95"/>
    </row>
    <row r="314" spans="1:53" s="87" customFormat="1">
      <c r="A314" s="90">
        <f t="shared" si="29"/>
        <v>314</v>
      </c>
      <c r="B314" s="89" t="s">
        <v>555</v>
      </c>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c r="AA314" s="89"/>
      <c r="AB314" s="89"/>
      <c r="AC314" s="89"/>
      <c r="AD314" s="89"/>
      <c r="AE314" s="89"/>
      <c r="AF314" s="89"/>
      <c r="AG314" s="89"/>
      <c r="AH314" s="89"/>
      <c r="AI314" s="89"/>
      <c r="AJ314" s="89"/>
      <c r="AK314" s="89"/>
      <c r="AL314" s="89"/>
      <c r="AM314" s="89"/>
      <c r="AN314" s="89"/>
      <c r="AO314" s="89"/>
      <c r="AP314" s="89"/>
      <c r="AQ314" s="89"/>
      <c r="AR314" s="89"/>
      <c r="AS314" s="89"/>
      <c r="AT314" s="89"/>
      <c r="AU314" s="89"/>
      <c r="AV314" s="89"/>
      <c r="AW314" s="89"/>
      <c r="AX314" s="89"/>
      <c r="AY314" s="89"/>
      <c r="AZ314" s="89"/>
      <c r="BA314" s="95"/>
    </row>
    <row r="315" spans="1:53" s="87" customFormat="1">
      <c r="A315" s="90" t="str">
        <f t="shared" si="29"/>
        <v/>
      </c>
      <c r="B315" s="89">
        <v>1</v>
      </c>
      <c r="C315" s="89">
        <v>-6</v>
      </c>
      <c r="D315" s="89">
        <v>-4</v>
      </c>
      <c r="E315" s="89">
        <v>7</v>
      </c>
      <c r="F315" s="89" t="s">
        <v>202</v>
      </c>
      <c r="G315" s="89">
        <v>5</v>
      </c>
      <c r="H315" s="89"/>
      <c r="I315" s="89"/>
      <c r="J315" s="89"/>
      <c r="K315" s="89"/>
      <c r="L315" s="89"/>
      <c r="M315" s="89"/>
      <c r="N315" s="89"/>
      <c r="O315" s="89"/>
      <c r="P315" s="89"/>
      <c r="Q315" s="89"/>
      <c r="R315" s="89"/>
      <c r="S315" s="89"/>
      <c r="T315" s="89"/>
      <c r="U315" s="89"/>
      <c r="V315" s="89"/>
      <c r="W315" s="89"/>
      <c r="X315" s="89"/>
      <c r="Y315" s="89"/>
      <c r="Z315" s="89"/>
      <c r="AA315" s="89"/>
      <c r="AB315" s="89"/>
      <c r="AC315" s="89"/>
      <c r="AD315" s="89"/>
      <c r="AE315" s="89"/>
      <c r="AF315" s="89"/>
      <c r="AG315" s="89"/>
      <c r="AH315" s="89"/>
      <c r="AI315" s="89"/>
      <c r="AJ315" s="89"/>
      <c r="AK315" s="89"/>
      <c r="AL315" s="89"/>
      <c r="AM315" s="89"/>
      <c r="AN315" s="89"/>
      <c r="AO315" s="89"/>
      <c r="AP315" s="89"/>
      <c r="AQ315" s="89"/>
      <c r="AR315" s="89"/>
      <c r="AS315" s="89"/>
      <c r="AT315" s="89"/>
      <c r="AU315" s="89"/>
      <c r="AV315" s="89"/>
      <c r="AW315" s="89"/>
      <c r="AX315" s="89"/>
      <c r="AY315" s="89"/>
      <c r="AZ315" s="89"/>
      <c r="BA315" s="95"/>
    </row>
    <row r="316" spans="1:53" s="87" customFormat="1">
      <c r="A316" s="90" t="str">
        <f t="shared" si="29"/>
        <v/>
      </c>
      <c r="B316" s="89">
        <v>2</v>
      </c>
      <c r="C316" s="89">
        <v>10</v>
      </c>
      <c r="D316" s="89" t="s">
        <v>202</v>
      </c>
      <c r="E316" s="89">
        <v>4</v>
      </c>
      <c r="F316" s="89">
        <v>-3</v>
      </c>
      <c r="G316" s="89">
        <v>-5</v>
      </c>
      <c r="H316" s="89"/>
      <c r="I316" s="89"/>
      <c r="J316" s="89"/>
      <c r="K316" s="89"/>
      <c r="L316" s="89"/>
      <c r="M316" s="89"/>
      <c r="N316" s="89"/>
      <c r="O316" s="89"/>
      <c r="P316" s="89"/>
      <c r="Q316" s="89"/>
      <c r="R316" s="89"/>
      <c r="S316" s="89"/>
      <c r="T316" s="89"/>
      <c r="U316" s="89"/>
      <c r="V316" s="89"/>
      <c r="W316" s="89"/>
      <c r="X316" s="89"/>
      <c r="Y316" s="89"/>
      <c r="Z316" s="89"/>
      <c r="AA316" s="89"/>
      <c r="AB316" s="89"/>
      <c r="AC316" s="89"/>
      <c r="AD316" s="89"/>
      <c r="AE316" s="89"/>
      <c r="AF316" s="89"/>
      <c r="AG316" s="89"/>
      <c r="AH316" s="89"/>
      <c r="AI316" s="89"/>
      <c r="AJ316" s="89"/>
      <c r="AK316" s="89"/>
      <c r="AL316" s="89"/>
      <c r="AM316" s="89"/>
      <c r="AN316" s="89"/>
      <c r="AO316" s="89"/>
      <c r="AP316" s="89"/>
      <c r="AQ316" s="89"/>
      <c r="AR316" s="89"/>
      <c r="AS316" s="89"/>
      <c r="AT316" s="89"/>
      <c r="AU316" s="89"/>
      <c r="AV316" s="89"/>
      <c r="AW316" s="89"/>
      <c r="AX316" s="89"/>
      <c r="AY316" s="89"/>
      <c r="AZ316" s="89"/>
      <c r="BA316" s="95"/>
    </row>
    <row r="317" spans="1:53" s="87" customFormat="1">
      <c r="A317" s="90" t="str">
        <f t="shared" si="29"/>
        <v/>
      </c>
      <c r="B317" s="89">
        <v>3</v>
      </c>
      <c r="C317" s="89">
        <v>-10</v>
      </c>
      <c r="D317" s="89">
        <v>4</v>
      </c>
      <c r="E317" s="89" t="s">
        <v>202</v>
      </c>
      <c r="F317" s="89">
        <v>7</v>
      </c>
      <c r="G317" s="89">
        <v>-6</v>
      </c>
      <c r="H317" s="89"/>
      <c r="I317" s="89"/>
      <c r="J317" s="89"/>
      <c r="K317" s="89"/>
      <c r="L317" s="89"/>
      <c r="M317" s="89"/>
      <c r="N317" s="89"/>
      <c r="O317" s="89"/>
      <c r="P317" s="89"/>
      <c r="Q317" s="89"/>
      <c r="R317" s="89"/>
      <c r="S317" s="89"/>
      <c r="T317" s="89"/>
      <c r="U317" s="89"/>
      <c r="V317" s="89"/>
      <c r="W317" s="89"/>
      <c r="X317" s="89"/>
      <c r="Y317" s="89"/>
      <c r="Z317" s="89"/>
      <c r="AA317" s="89"/>
      <c r="AB317" s="89"/>
      <c r="AC317" s="89"/>
      <c r="AD317" s="89"/>
      <c r="AE317" s="89"/>
      <c r="AF317" s="89"/>
      <c r="AG317" s="89"/>
      <c r="AH317" s="89"/>
      <c r="AI317" s="89"/>
      <c r="AJ317" s="89"/>
      <c r="AK317" s="89"/>
      <c r="AL317" s="89"/>
      <c r="AM317" s="89"/>
      <c r="AN317" s="89"/>
      <c r="AO317" s="89"/>
      <c r="AP317" s="89"/>
      <c r="AQ317" s="89"/>
      <c r="AR317" s="89"/>
      <c r="AS317" s="89"/>
      <c r="AT317" s="89"/>
      <c r="AU317" s="89"/>
      <c r="AV317" s="89"/>
      <c r="AW317" s="89"/>
      <c r="AX317" s="89"/>
      <c r="AY317" s="89"/>
      <c r="AZ317" s="89"/>
      <c r="BA317" s="95"/>
    </row>
    <row r="318" spans="1:53" s="87" customFormat="1">
      <c r="A318" s="90" t="str">
        <f t="shared" si="29"/>
        <v/>
      </c>
      <c r="B318" s="89">
        <v>4</v>
      </c>
      <c r="C318" s="89" t="s">
        <v>202</v>
      </c>
      <c r="D318" s="89">
        <v>-10</v>
      </c>
      <c r="E318" s="89">
        <v>-7</v>
      </c>
      <c r="F318" s="89">
        <v>3</v>
      </c>
      <c r="G318" s="89">
        <v>6</v>
      </c>
      <c r="H318" s="89"/>
      <c r="I318" s="89"/>
      <c r="J318" s="89"/>
      <c r="K318" s="89"/>
      <c r="L318" s="89"/>
      <c r="M318" s="89"/>
      <c r="N318" s="89"/>
      <c r="O318" s="89"/>
      <c r="P318" s="89"/>
      <c r="Q318" s="89"/>
      <c r="R318" s="89"/>
      <c r="S318" s="89"/>
      <c r="T318" s="89"/>
      <c r="U318" s="89"/>
      <c r="V318" s="89"/>
      <c r="W318" s="89"/>
      <c r="X318" s="89"/>
      <c r="Y318" s="89"/>
      <c r="Z318" s="89"/>
      <c r="AA318" s="89"/>
      <c r="AB318" s="89"/>
      <c r="AC318" s="89"/>
      <c r="AD318" s="89"/>
      <c r="AE318" s="89"/>
      <c r="AF318" s="89"/>
      <c r="AG318" s="89"/>
      <c r="AH318" s="89"/>
      <c r="AI318" s="89"/>
      <c r="AJ318" s="89"/>
      <c r="AK318" s="89"/>
      <c r="AL318" s="89"/>
      <c r="AM318" s="89"/>
      <c r="AN318" s="89"/>
      <c r="AO318" s="89"/>
      <c r="AP318" s="89"/>
      <c r="AQ318" s="89"/>
      <c r="AR318" s="89"/>
      <c r="AS318" s="89"/>
      <c r="AT318" s="89"/>
      <c r="AU318" s="89"/>
      <c r="AV318" s="89"/>
      <c r="AW318" s="89"/>
      <c r="AX318" s="89"/>
      <c r="AY318" s="89"/>
      <c r="AZ318" s="89"/>
      <c r="BA318" s="95"/>
    </row>
    <row r="319" spans="1:53" s="87" customFormat="1">
      <c r="A319" s="90" t="str">
        <f t="shared" si="29"/>
        <v/>
      </c>
      <c r="B319" s="99">
        <v>5</v>
      </c>
      <c r="C319" s="92">
        <v>6</v>
      </c>
      <c r="D319" s="92">
        <v>10</v>
      </c>
      <c r="E319" s="92">
        <v>-4</v>
      </c>
      <c r="F319" s="92">
        <v>-7</v>
      </c>
      <c r="G319" s="92" t="s">
        <v>202</v>
      </c>
      <c r="H319" s="89"/>
      <c r="I319" s="89"/>
      <c r="J319" s="89"/>
      <c r="K319" s="89"/>
      <c r="L319" s="89"/>
      <c r="M319" s="89"/>
      <c r="N319" s="89"/>
      <c r="O319" s="89"/>
      <c r="P319" s="89"/>
      <c r="Q319" s="89"/>
      <c r="R319" s="89"/>
      <c r="S319" s="89"/>
      <c r="T319" s="89"/>
      <c r="U319" s="89"/>
      <c r="V319" s="89"/>
      <c r="W319" s="89"/>
      <c r="X319" s="89"/>
      <c r="Y319" s="89"/>
      <c r="Z319" s="89"/>
      <c r="AA319" s="89"/>
      <c r="AB319" s="89"/>
      <c r="AC319" s="89"/>
      <c r="AD319" s="89"/>
      <c r="AE319" s="89"/>
      <c r="AF319" s="89"/>
      <c r="AG319" s="89"/>
      <c r="AH319" s="89"/>
      <c r="AI319" s="89"/>
      <c r="AJ319" s="89"/>
      <c r="AK319" s="89"/>
      <c r="AL319" s="89"/>
      <c r="AM319" s="89"/>
      <c r="AN319" s="89"/>
      <c r="AO319" s="89"/>
      <c r="AP319" s="89"/>
      <c r="AQ319" s="89"/>
      <c r="AR319" s="89"/>
      <c r="AS319" s="89"/>
      <c r="AT319" s="89"/>
      <c r="AU319" s="89"/>
      <c r="AV319" s="89"/>
      <c r="AW319" s="89"/>
      <c r="AX319" s="89"/>
      <c r="AY319" s="89"/>
      <c r="AZ319" s="89"/>
      <c r="BA319" s="95"/>
    </row>
    <row r="320" spans="1:53" s="87" customFormat="1">
      <c r="A320" s="90" t="str">
        <f t="shared" si="29"/>
        <v/>
      </c>
      <c r="B320" s="89">
        <v>6</v>
      </c>
      <c r="C320" s="89">
        <v>1</v>
      </c>
      <c r="D320" s="89">
        <v>7</v>
      </c>
      <c r="E320" s="89">
        <v>-5</v>
      </c>
      <c r="F320" s="89" t="s">
        <v>202</v>
      </c>
      <c r="G320" s="89">
        <v>-4</v>
      </c>
      <c r="H320" s="89"/>
      <c r="I320" s="89"/>
      <c r="J320" s="89"/>
      <c r="K320" s="89"/>
      <c r="L320" s="89"/>
      <c r="M320" s="89"/>
      <c r="N320" s="89"/>
      <c r="O320" s="89"/>
      <c r="P320" s="89"/>
      <c r="Q320" s="89"/>
      <c r="R320" s="89"/>
      <c r="S320" s="89"/>
      <c r="T320" s="89"/>
      <c r="U320" s="89"/>
      <c r="V320" s="89"/>
      <c r="W320" s="89"/>
      <c r="X320" s="89"/>
      <c r="Y320" s="89"/>
      <c r="Z320" s="89"/>
      <c r="AA320" s="89"/>
      <c r="AB320" s="89"/>
      <c r="AC320" s="89"/>
      <c r="AD320" s="89"/>
      <c r="AE320" s="89"/>
      <c r="AF320" s="89"/>
      <c r="AG320" s="89"/>
      <c r="AH320" s="89"/>
      <c r="AI320" s="89"/>
      <c r="AJ320" s="89"/>
      <c r="AK320" s="89"/>
      <c r="AL320" s="89"/>
      <c r="AM320" s="89"/>
      <c r="AN320" s="89"/>
      <c r="AO320" s="89"/>
      <c r="AP320" s="89"/>
      <c r="AQ320" s="89"/>
      <c r="AR320" s="89"/>
      <c r="AS320" s="89"/>
      <c r="AT320" s="89"/>
      <c r="AU320" s="89"/>
      <c r="AV320" s="89"/>
      <c r="AW320" s="89"/>
      <c r="AX320" s="89"/>
      <c r="AY320" s="89"/>
      <c r="AZ320" s="89"/>
      <c r="BA320" s="95"/>
    </row>
    <row r="321" spans="1:53" s="87" customFormat="1">
      <c r="A321" s="90" t="str">
        <f t="shared" si="29"/>
        <v/>
      </c>
      <c r="B321" s="89">
        <v>7</v>
      </c>
      <c r="C321" s="89">
        <v>9</v>
      </c>
      <c r="D321" s="89">
        <v>-1</v>
      </c>
      <c r="E321" s="89" t="s">
        <v>202</v>
      </c>
      <c r="F321" s="89">
        <v>-5</v>
      </c>
      <c r="G321" s="89">
        <v>4</v>
      </c>
      <c r="H321" s="89"/>
      <c r="I321" s="89"/>
      <c r="J321" s="89"/>
      <c r="K321" s="89"/>
      <c r="L321" s="89"/>
      <c r="M321" s="89"/>
      <c r="N321" s="89"/>
      <c r="O321" s="89"/>
      <c r="P321" s="89"/>
      <c r="Q321" s="89"/>
      <c r="R321" s="89"/>
      <c r="S321" s="89"/>
      <c r="T321" s="89"/>
      <c r="U321" s="89"/>
      <c r="V321" s="89"/>
      <c r="W321" s="89"/>
      <c r="X321" s="89"/>
      <c r="Y321" s="89"/>
      <c r="Z321" s="89"/>
      <c r="AA321" s="89"/>
      <c r="AB321" s="89"/>
      <c r="AC321" s="89"/>
      <c r="AD321" s="89"/>
      <c r="AE321" s="89"/>
      <c r="AF321" s="89"/>
      <c r="AG321" s="89"/>
      <c r="AH321" s="89"/>
      <c r="AI321" s="89"/>
      <c r="AJ321" s="89"/>
      <c r="AK321" s="89"/>
      <c r="AL321" s="89"/>
      <c r="AM321" s="89"/>
      <c r="AN321" s="89"/>
      <c r="AO321" s="89"/>
      <c r="AP321" s="89"/>
      <c r="AQ321" s="89"/>
      <c r="AR321" s="89"/>
      <c r="AS321" s="89"/>
      <c r="AT321" s="89"/>
      <c r="AU321" s="89"/>
      <c r="AV321" s="89"/>
      <c r="AW321" s="89"/>
      <c r="AX321" s="89"/>
      <c r="AY321" s="89"/>
      <c r="AZ321" s="89"/>
      <c r="BA321" s="95"/>
    </row>
    <row r="322" spans="1:53" s="87" customFormat="1">
      <c r="A322" s="90" t="str">
        <f t="shared" si="29"/>
        <v/>
      </c>
      <c r="B322" s="89">
        <v>8</v>
      </c>
      <c r="C322" s="89">
        <v>-1</v>
      </c>
      <c r="D322" s="89" t="s">
        <v>202</v>
      </c>
      <c r="E322" s="89">
        <v>-6</v>
      </c>
      <c r="F322" s="89">
        <v>5</v>
      </c>
      <c r="G322" s="89">
        <v>7</v>
      </c>
      <c r="H322" s="89"/>
      <c r="I322" s="89"/>
      <c r="J322" s="89"/>
      <c r="K322" s="89"/>
      <c r="L322" s="89"/>
      <c r="M322" s="89"/>
      <c r="N322" s="89"/>
      <c r="O322" s="89"/>
      <c r="P322" s="89"/>
      <c r="Q322" s="89"/>
      <c r="R322" s="89"/>
      <c r="S322" s="89"/>
      <c r="T322" s="89"/>
      <c r="U322" s="89"/>
      <c r="V322" s="89"/>
      <c r="W322" s="89"/>
      <c r="X322" s="89"/>
      <c r="Y322" s="89"/>
      <c r="Z322" s="89"/>
      <c r="AA322" s="89"/>
      <c r="AB322" s="89"/>
      <c r="AC322" s="89"/>
      <c r="AD322" s="89"/>
      <c r="AE322" s="89"/>
      <c r="AF322" s="89"/>
      <c r="AG322" s="89"/>
      <c r="AH322" s="89"/>
      <c r="AI322" s="89"/>
      <c r="AJ322" s="89"/>
      <c r="AK322" s="89"/>
      <c r="AL322" s="89"/>
      <c r="AM322" s="89"/>
      <c r="AN322" s="89"/>
      <c r="AO322" s="89"/>
      <c r="AP322" s="89"/>
      <c r="AQ322" s="89"/>
      <c r="AR322" s="89"/>
      <c r="AS322" s="89"/>
      <c r="AT322" s="89"/>
      <c r="AU322" s="89"/>
      <c r="AV322" s="89"/>
      <c r="AW322" s="89"/>
      <c r="AX322" s="89"/>
      <c r="AY322" s="89"/>
      <c r="AZ322" s="89"/>
      <c r="BA322" s="95"/>
    </row>
    <row r="323" spans="1:53" s="87" customFormat="1">
      <c r="A323" s="90" t="str">
        <f t="shared" si="29"/>
        <v/>
      </c>
      <c r="B323" s="89">
        <v>9</v>
      </c>
      <c r="C323" s="89" t="s">
        <v>202</v>
      </c>
      <c r="D323" s="89">
        <v>1</v>
      </c>
      <c r="E323" s="89">
        <v>5</v>
      </c>
      <c r="F323" s="89">
        <v>-4</v>
      </c>
      <c r="G323" s="89">
        <v>-7</v>
      </c>
      <c r="H323" s="89"/>
      <c r="I323" s="89"/>
      <c r="J323" s="89"/>
      <c r="K323" s="89"/>
      <c r="L323" s="89"/>
      <c r="M323" s="89"/>
      <c r="N323" s="89"/>
      <c r="O323" s="89"/>
      <c r="P323" s="89"/>
      <c r="Q323" s="89"/>
      <c r="R323" s="89"/>
      <c r="S323" s="89"/>
      <c r="T323" s="89"/>
      <c r="U323" s="89"/>
      <c r="V323" s="89"/>
      <c r="W323" s="89"/>
      <c r="X323" s="89"/>
      <c r="Y323" s="89"/>
      <c r="Z323" s="89"/>
      <c r="AA323" s="89"/>
      <c r="AB323" s="89"/>
      <c r="AC323" s="89"/>
      <c r="AD323" s="89"/>
      <c r="AE323" s="89"/>
      <c r="AF323" s="89"/>
      <c r="AG323" s="89"/>
      <c r="AH323" s="89"/>
      <c r="AI323" s="89"/>
      <c r="AJ323" s="89"/>
      <c r="AK323" s="89"/>
      <c r="AL323" s="89"/>
      <c r="AM323" s="89"/>
      <c r="AN323" s="89"/>
      <c r="AO323" s="89"/>
      <c r="AP323" s="89"/>
      <c r="AQ323" s="89"/>
      <c r="AR323" s="89"/>
      <c r="AS323" s="89"/>
      <c r="AT323" s="89"/>
      <c r="AU323" s="89"/>
      <c r="AV323" s="89"/>
      <c r="AW323" s="89"/>
      <c r="AX323" s="89"/>
      <c r="AY323" s="89"/>
      <c r="AZ323" s="89"/>
      <c r="BA323" s="95"/>
    </row>
    <row r="324" spans="1:53" s="87" customFormat="1">
      <c r="A324" s="90" t="str">
        <f t="shared" si="29"/>
        <v/>
      </c>
      <c r="B324" s="99">
        <v>10</v>
      </c>
      <c r="C324" s="92">
        <v>-9</v>
      </c>
      <c r="D324" s="92">
        <v>-7</v>
      </c>
      <c r="E324" s="92">
        <v>6</v>
      </c>
      <c r="F324" s="92">
        <v>4</v>
      </c>
      <c r="G324" s="92" t="s">
        <v>202</v>
      </c>
      <c r="H324" s="89"/>
      <c r="I324" s="89"/>
      <c r="J324" s="89"/>
      <c r="K324" s="89"/>
      <c r="L324" s="89"/>
      <c r="M324" s="89"/>
      <c r="N324" s="89"/>
      <c r="O324" s="89"/>
      <c r="P324" s="89"/>
      <c r="Q324" s="89"/>
      <c r="R324" s="89"/>
      <c r="S324" s="89"/>
      <c r="T324" s="89"/>
      <c r="U324" s="89"/>
      <c r="V324" s="89"/>
      <c r="W324" s="89"/>
      <c r="X324" s="89"/>
      <c r="Y324" s="89"/>
      <c r="Z324" s="89"/>
      <c r="AA324" s="89"/>
      <c r="AB324" s="89"/>
      <c r="AC324" s="89"/>
      <c r="AD324" s="89"/>
      <c r="AE324" s="89"/>
      <c r="AF324" s="89"/>
      <c r="AG324" s="89"/>
      <c r="AH324" s="89"/>
      <c r="AI324" s="89"/>
      <c r="AJ324" s="89"/>
      <c r="AK324" s="89"/>
      <c r="AL324" s="89"/>
      <c r="AM324" s="89"/>
      <c r="AN324" s="89"/>
      <c r="AO324" s="89"/>
      <c r="AP324" s="89"/>
      <c r="AQ324" s="89"/>
      <c r="AR324" s="89"/>
      <c r="AS324" s="89"/>
      <c r="AT324" s="89"/>
      <c r="AU324" s="89"/>
      <c r="AV324" s="89"/>
      <c r="AW324" s="89"/>
      <c r="AX324" s="89"/>
      <c r="AY324" s="89"/>
      <c r="AZ324" s="89"/>
      <c r="BA324" s="95"/>
    </row>
    <row r="325" spans="1:53" s="87" customFormat="1">
      <c r="A325" s="90" t="str">
        <f t="shared" si="29"/>
        <v/>
      </c>
      <c r="B325" s="89">
        <v>11</v>
      </c>
      <c r="C325" s="89">
        <v>4</v>
      </c>
      <c r="D325" s="89">
        <v>-2</v>
      </c>
      <c r="E325" s="89" t="s">
        <v>202</v>
      </c>
      <c r="F325" s="89">
        <v>8</v>
      </c>
      <c r="G325" s="89">
        <v>-3</v>
      </c>
      <c r="H325" s="89"/>
      <c r="I325" s="89"/>
      <c r="J325" s="89"/>
      <c r="K325" s="89"/>
      <c r="L325" s="89"/>
      <c r="M325" s="89"/>
      <c r="N325" s="89"/>
      <c r="O325" s="89"/>
      <c r="P325" s="89"/>
      <c r="Q325" s="89"/>
      <c r="R325" s="89"/>
      <c r="S325" s="89"/>
      <c r="T325" s="89"/>
      <c r="U325" s="89"/>
      <c r="V325" s="89"/>
      <c r="W325" s="89"/>
      <c r="X325" s="89"/>
      <c r="Y325" s="89"/>
      <c r="Z325" s="89"/>
      <c r="AA325" s="89"/>
      <c r="AB325" s="89"/>
      <c r="AC325" s="89"/>
      <c r="AD325" s="89"/>
      <c r="AE325" s="89"/>
      <c r="AF325" s="89"/>
      <c r="AG325" s="89"/>
      <c r="AH325" s="89"/>
      <c r="AI325" s="89"/>
      <c r="AJ325" s="89"/>
      <c r="AK325" s="89"/>
      <c r="AL325" s="89"/>
      <c r="AM325" s="89"/>
      <c r="AN325" s="89"/>
      <c r="AO325" s="89"/>
      <c r="AP325" s="89"/>
      <c r="AQ325" s="89"/>
      <c r="AR325" s="89"/>
      <c r="AS325" s="89"/>
      <c r="AT325" s="89"/>
      <c r="AU325" s="89"/>
      <c r="AV325" s="89"/>
      <c r="AW325" s="89"/>
      <c r="AX325" s="89"/>
      <c r="AY325" s="89"/>
      <c r="AZ325" s="89"/>
      <c r="BA325" s="95"/>
    </row>
    <row r="326" spans="1:53" s="87" customFormat="1">
      <c r="A326" s="90" t="str">
        <f t="shared" si="29"/>
        <v/>
      </c>
      <c r="B326" s="89">
        <v>12</v>
      </c>
      <c r="C326" s="89">
        <v>-7</v>
      </c>
      <c r="D326" s="89" t="s">
        <v>202</v>
      </c>
      <c r="E326" s="89">
        <v>-10</v>
      </c>
      <c r="F326" s="89">
        <v>6</v>
      </c>
      <c r="G326" s="89">
        <v>3</v>
      </c>
      <c r="H326" s="89"/>
      <c r="I326" s="89"/>
      <c r="J326" s="89"/>
      <c r="K326" s="89"/>
      <c r="L326" s="89"/>
      <c r="M326" s="89"/>
      <c r="N326" s="89"/>
      <c r="O326" s="89"/>
      <c r="P326" s="89"/>
      <c r="Q326" s="89"/>
      <c r="R326" s="89"/>
      <c r="S326" s="89"/>
      <c r="T326" s="89"/>
      <c r="U326" s="89"/>
      <c r="V326" s="89"/>
      <c r="W326" s="89"/>
      <c r="X326" s="89"/>
      <c r="Y326" s="89"/>
      <c r="Z326" s="89"/>
      <c r="AA326" s="89"/>
      <c r="AB326" s="89"/>
      <c r="AC326" s="89"/>
      <c r="AD326" s="89"/>
      <c r="AE326" s="89"/>
      <c r="AF326" s="89"/>
      <c r="AG326" s="89"/>
      <c r="AH326" s="89"/>
      <c r="AI326" s="89"/>
      <c r="AJ326" s="89"/>
      <c r="AK326" s="89"/>
      <c r="AL326" s="89"/>
      <c r="AM326" s="89"/>
      <c r="AN326" s="89"/>
      <c r="AO326" s="89"/>
      <c r="AP326" s="89"/>
      <c r="AQ326" s="89"/>
      <c r="AR326" s="89"/>
      <c r="AS326" s="89"/>
      <c r="AT326" s="89"/>
      <c r="AU326" s="89"/>
      <c r="AV326" s="89"/>
      <c r="AW326" s="89"/>
      <c r="AX326" s="89"/>
      <c r="AY326" s="89"/>
      <c r="AZ326" s="89"/>
      <c r="BA326" s="95"/>
    </row>
    <row r="327" spans="1:53" s="87" customFormat="1">
      <c r="A327" s="90" t="str">
        <f t="shared" si="29"/>
        <v/>
      </c>
      <c r="B327" s="89">
        <v>13</v>
      </c>
      <c r="C327" s="89">
        <v>-4</v>
      </c>
      <c r="D327" s="89">
        <v>-5</v>
      </c>
      <c r="E327" s="89">
        <v>10</v>
      </c>
      <c r="F327" s="89" t="s">
        <v>202</v>
      </c>
      <c r="G327" s="89">
        <v>8</v>
      </c>
      <c r="H327" s="89"/>
      <c r="I327" s="89"/>
      <c r="J327" s="89"/>
      <c r="K327" s="89"/>
      <c r="L327" s="89"/>
      <c r="M327" s="89"/>
      <c r="N327" s="89"/>
      <c r="O327" s="89"/>
      <c r="P327" s="89"/>
      <c r="Q327" s="89"/>
      <c r="R327" s="89"/>
      <c r="S327" s="89"/>
      <c r="T327" s="89"/>
      <c r="U327" s="89"/>
      <c r="V327" s="89"/>
      <c r="W327" s="89"/>
      <c r="X327" s="89"/>
      <c r="Y327" s="89"/>
      <c r="Z327" s="89"/>
      <c r="AA327" s="89"/>
      <c r="AB327" s="89"/>
      <c r="AC327" s="89"/>
      <c r="AD327" s="89"/>
      <c r="AE327" s="89"/>
      <c r="AF327" s="89"/>
      <c r="AG327" s="89"/>
      <c r="AH327" s="89"/>
      <c r="AI327" s="89"/>
      <c r="AJ327" s="89"/>
      <c r="AK327" s="89"/>
      <c r="AL327" s="89"/>
      <c r="AM327" s="89"/>
      <c r="AN327" s="89"/>
      <c r="AO327" s="89"/>
      <c r="AP327" s="89"/>
      <c r="AQ327" s="89"/>
      <c r="AR327" s="89"/>
      <c r="AS327" s="89"/>
      <c r="AT327" s="89"/>
      <c r="AU327" s="89"/>
      <c r="AV327" s="89"/>
      <c r="AW327" s="89"/>
      <c r="AX327" s="89"/>
      <c r="AY327" s="89"/>
      <c r="AZ327" s="89"/>
      <c r="BA327" s="95"/>
    </row>
    <row r="328" spans="1:53" s="87" customFormat="1">
      <c r="A328" s="90" t="str">
        <f t="shared" si="29"/>
        <v/>
      </c>
      <c r="B328" s="89">
        <v>14</v>
      </c>
      <c r="C328" s="89" t="s">
        <v>202</v>
      </c>
      <c r="D328" s="89">
        <v>2</v>
      </c>
      <c r="E328" s="89">
        <v>1</v>
      </c>
      <c r="F328" s="89">
        <v>-6</v>
      </c>
      <c r="G328" s="89">
        <v>-8</v>
      </c>
      <c r="H328" s="89"/>
      <c r="I328" s="89"/>
      <c r="J328" s="89"/>
      <c r="K328" s="89"/>
      <c r="L328" s="89"/>
      <c r="M328" s="89"/>
      <c r="N328" s="89"/>
      <c r="O328" s="89"/>
      <c r="P328" s="89"/>
      <c r="Q328" s="89"/>
      <c r="R328" s="89"/>
      <c r="S328" s="89"/>
      <c r="T328" s="89"/>
      <c r="U328" s="89"/>
      <c r="V328" s="89"/>
      <c r="W328" s="89"/>
      <c r="X328" s="89"/>
      <c r="Y328" s="89"/>
      <c r="Z328" s="89"/>
      <c r="AA328" s="89"/>
      <c r="AB328" s="89"/>
      <c r="AC328" s="89"/>
      <c r="AD328" s="89"/>
      <c r="AE328" s="89"/>
      <c r="AF328" s="89"/>
      <c r="AG328" s="89"/>
      <c r="AH328" s="89"/>
      <c r="AI328" s="89"/>
      <c r="AJ328" s="89"/>
      <c r="AK328" s="89"/>
      <c r="AL328" s="89"/>
      <c r="AM328" s="89"/>
      <c r="AN328" s="89"/>
      <c r="AO328" s="89"/>
      <c r="AP328" s="89"/>
      <c r="AQ328" s="89"/>
      <c r="AR328" s="89"/>
      <c r="AS328" s="89"/>
      <c r="AT328" s="89"/>
      <c r="AU328" s="89"/>
      <c r="AV328" s="89"/>
      <c r="AW328" s="89"/>
      <c r="AX328" s="89"/>
      <c r="AY328" s="89"/>
      <c r="AZ328" s="89"/>
      <c r="BA328" s="95"/>
    </row>
    <row r="329" spans="1:53" s="87" customFormat="1">
      <c r="A329" s="90" t="str">
        <f t="shared" si="29"/>
        <v/>
      </c>
      <c r="B329" s="99">
        <v>15</v>
      </c>
      <c r="C329" s="92">
        <v>7</v>
      </c>
      <c r="D329" s="92">
        <v>5</v>
      </c>
      <c r="E329" s="92">
        <v>-1</v>
      </c>
      <c r="F329" s="92">
        <v>-8</v>
      </c>
      <c r="G329" s="92" t="s">
        <v>202</v>
      </c>
      <c r="H329" s="89"/>
      <c r="I329" s="89"/>
      <c r="J329" s="89"/>
      <c r="K329" s="89"/>
      <c r="L329" s="89"/>
      <c r="M329" s="89"/>
      <c r="N329" s="89"/>
      <c r="O329" s="89"/>
      <c r="P329" s="89"/>
      <c r="Q329" s="89"/>
      <c r="R329" s="89"/>
      <c r="S329" s="89"/>
      <c r="T329" s="89"/>
      <c r="U329" s="89"/>
      <c r="V329" s="89"/>
      <c r="W329" s="89"/>
      <c r="X329" s="89"/>
      <c r="Y329" s="89"/>
      <c r="Z329" s="89"/>
      <c r="AA329" s="89"/>
      <c r="AB329" s="89"/>
      <c r="AC329" s="89"/>
      <c r="AD329" s="89"/>
      <c r="AE329" s="89"/>
      <c r="AF329" s="89"/>
      <c r="AG329" s="89"/>
      <c r="AH329" s="89"/>
      <c r="AI329" s="89"/>
      <c r="AJ329" s="89"/>
      <c r="AK329" s="89"/>
      <c r="AL329" s="89"/>
      <c r="AM329" s="89"/>
      <c r="AN329" s="89"/>
      <c r="AO329" s="89"/>
      <c r="AP329" s="89"/>
      <c r="AQ329" s="89"/>
      <c r="AR329" s="89"/>
      <c r="AS329" s="89"/>
      <c r="AT329" s="89"/>
      <c r="AU329" s="89"/>
      <c r="AV329" s="89"/>
      <c r="AW329" s="89"/>
      <c r="AX329" s="89"/>
      <c r="AY329" s="89"/>
      <c r="AZ329" s="89"/>
      <c r="BA329" s="95"/>
    </row>
    <row r="330" spans="1:53" s="87" customFormat="1">
      <c r="A330" s="90" t="str">
        <f t="shared" si="29"/>
        <v/>
      </c>
      <c r="B330" s="89">
        <v>16</v>
      </c>
      <c r="C330" s="89">
        <v>-5</v>
      </c>
      <c r="D330" s="89">
        <v>-6</v>
      </c>
      <c r="E330" s="89">
        <v>8</v>
      </c>
      <c r="F330" s="89" t="s">
        <v>202</v>
      </c>
      <c r="G330" s="89">
        <v>2</v>
      </c>
      <c r="H330" s="89"/>
      <c r="I330" s="89"/>
      <c r="J330" s="89"/>
      <c r="K330" s="89"/>
      <c r="L330" s="89"/>
      <c r="M330" s="89"/>
      <c r="N330" s="89"/>
      <c r="O330" s="89"/>
      <c r="P330" s="89"/>
      <c r="Q330" s="89"/>
      <c r="R330" s="89"/>
      <c r="S330" s="89"/>
      <c r="T330" s="89"/>
      <c r="U330" s="89"/>
      <c r="V330" s="89"/>
      <c r="W330" s="89"/>
      <c r="X330" s="89"/>
      <c r="Y330" s="89"/>
      <c r="Z330" s="89"/>
      <c r="AA330" s="89"/>
      <c r="AB330" s="89"/>
      <c r="AC330" s="89"/>
      <c r="AD330" s="89"/>
      <c r="AE330" s="89"/>
      <c r="AF330" s="89"/>
      <c r="AG330" s="89"/>
      <c r="AH330" s="89"/>
      <c r="AI330" s="89"/>
      <c r="AJ330" s="89"/>
      <c r="AK330" s="89"/>
      <c r="AL330" s="89"/>
      <c r="AM330" s="89"/>
      <c r="AN330" s="89"/>
      <c r="AO330" s="89"/>
      <c r="AP330" s="89"/>
      <c r="AQ330" s="89"/>
      <c r="AR330" s="89"/>
      <c r="AS330" s="89"/>
      <c r="AT330" s="89"/>
      <c r="AU330" s="89"/>
      <c r="AV330" s="89"/>
      <c r="AW330" s="89"/>
      <c r="AX330" s="89"/>
      <c r="AY330" s="89"/>
      <c r="AZ330" s="89"/>
      <c r="BA330" s="95"/>
    </row>
    <row r="331" spans="1:53" s="87" customFormat="1">
      <c r="A331" s="90" t="str">
        <f t="shared" si="29"/>
        <v/>
      </c>
      <c r="B331" s="89">
        <v>17</v>
      </c>
      <c r="C331" s="89" t="s">
        <v>202</v>
      </c>
      <c r="D331" s="89">
        <v>3</v>
      </c>
      <c r="E331" s="89">
        <v>9</v>
      </c>
      <c r="F331" s="89">
        <v>-10</v>
      </c>
      <c r="G331" s="89">
        <v>-2</v>
      </c>
      <c r="H331" s="89"/>
      <c r="I331" s="89"/>
      <c r="J331" s="89"/>
      <c r="K331" s="89"/>
      <c r="L331" s="89"/>
      <c r="M331" s="89"/>
      <c r="N331" s="89"/>
      <c r="O331" s="89"/>
      <c r="P331" s="89"/>
      <c r="Q331" s="89"/>
      <c r="R331" s="89"/>
      <c r="S331" s="89"/>
      <c r="T331" s="89"/>
      <c r="U331" s="89"/>
      <c r="V331" s="89"/>
      <c r="W331" s="89"/>
      <c r="X331" s="89"/>
      <c r="Y331" s="89"/>
      <c r="Z331" s="89"/>
      <c r="AA331" s="89"/>
      <c r="AB331" s="89"/>
      <c r="AC331" s="89"/>
      <c r="AD331" s="89"/>
      <c r="AE331" s="89"/>
      <c r="AF331" s="89"/>
      <c r="AG331" s="89"/>
      <c r="AH331" s="89"/>
      <c r="AI331" s="89"/>
      <c r="AJ331" s="89"/>
      <c r="AK331" s="89"/>
      <c r="AL331" s="89"/>
      <c r="AM331" s="89"/>
      <c r="AN331" s="89"/>
      <c r="AO331" s="89"/>
      <c r="AP331" s="89"/>
      <c r="AQ331" s="89"/>
      <c r="AR331" s="89"/>
      <c r="AS331" s="89"/>
      <c r="AT331" s="89"/>
      <c r="AU331" s="89"/>
      <c r="AV331" s="89"/>
      <c r="AW331" s="89"/>
      <c r="AX331" s="89"/>
      <c r="AY331" s="89"/>
      <c r="AZ331" s="89"/>
      <c r="BA331" s="95"/>
    </row>
    <row r="332" spans="1:53" s="87" customFormat="1">
      <c r="A332" s="90" t="str">
        <f t="shared" ref="A332:A395" si="30">IF(MID(B332,3,2)="10",ROW(),"")</f>
        <v/>
      </c>
      <c r="B332" s="89">
        <v>18</v>
      </c>
      <c r="C332" s="89">
        <v>5</v>
      </c>
      <c r="D332" s="89">
        <v>-3</v>
      </c>
      <c r="E332" s="89" t="s">
        <v>202</v>
      </c>
      <c r="F332" s="89">
        <v>1</v>
      </c>
      <c r="G332" s="89">
        <v>-9</v>
      </c>
      <c r="H332" s="89"/>
      <c r="I332" s="89"/>
      <c r="J332" s="89"/>
      <c r="K332" s="89"/>
      <c r="L332" s="89"/>
      <c r="M332" s="89"/>
      <c r="N332" s="89"/>
      <c r="O332" s="89"/>
      <c r="P332" s="89"/>
      <c r="Q332" s="89"/>
      <c r="R332" s="89"/>
      <c r="S332" s="89"/>
      <c r="T332" s="89"/>
      <c r="U332" s="89"/>
      <c r="V332" s="89"/>
      <c r="W332" s="89"/>
      <c r="X332" s="89"/>
      <c r="Y332" s="89"/>
      <c r="Z332" s="89"/>
      <c r="AA332" s="89"/>
      <c r="AB332" s="89"/>
      <c r="AC332" s="89"/>
      <c r="AD332" s="89"/>
      <c r="AE332" s="89"/>
      <c r="AF332" s="89"/>
      <c r="AG332" s="89"/>
      <c r="AH332" s="89"/>
      <c r="AI332" s="89"/>
      <c r="AJ332" s="89"/>
      <c r="AK332" s="89"/>
      <c r="AL332" s="89"/>
      <c r="AM332" s="89"/>
      <c r="AN332" s="89"/>
      <c r="AO332" s="89"/>
      <c r="AP332" s="89"/>
      <c r="AQ332" s="89"/>
      <c r="AR332" s="89"/>
      <c r="AS332" s="89"/>
      <c r="AT332" s="89"/>
      <c r="AU332" s="89"/>
      <c r="AV332" s="89"/>
      <c r="AW332" s="89"/>
      <c r="AX332" s="89"/>
      <c r="AY332" s="89"/>
      <c r="AZ332" s="89"/>
      <c r="BA332" s="95"/>
    </row>
    <row r="333" spans="1:53" s="87" customFormat="1">
      <c r="A333" s="90" t="str">
        <f t="shared" si="30"/>
        <v/>
      </c>
      <c r="B333" s="89">
        <v>19</v>
      </c>
      <c r="C333" s="89">
        <v>-2</v>
      </c>
      <c r="D333" s="89" t="s">
        <v>202</v>
      </c>
      <c r="E333" s="89">
        <v>-8</v>
      </c>
      <c r="F333" s="89">
        <v>10</v>
      </c>
      <c r="G333" s="89">
        <v>9</v>
      </c>
      <c r="H333" s="89"/>
      <c r="I333" s="89"/>
      <c r="J333" s="89"/>
      <c r="K333" s="89"/>
      <c r="L333" s="89"/>
      <c r="M333" s="89"/>
      <c r="N333" s="89"/>
      <c r="O333" s="89"/>
      <c r="P333" s="89"/>
      <c r="Q333" s="89"/>
      <c r="R333" s="89"/>
      <c r="S333" s="89"/>
      <c r="T333" s="89"/>
      <c r="U333" s="89"/>
      <c r="V333" s="89"/>
      <c r="W333" s="89"/>
      <c r="X333" s="89"/>
      <c r="Y333" s="89"/>
      <c r="Z333" s="89"/>
      <c r="AA333" s="89"/>
      <c r="AB333" s="89"/>
      <c r="AC333" s="89"/>
      <c r="AD333" s="89"/>
      <c r="AE333" s="89"/>
      <c r="AF333" s="89"/>
      <c r="AG333" s="89"/>
      <c r="AH333" s="89"/>
      <c r="AI333" s="89"/>
      <c r="AJ333" s="89"/>
      <c r="AK333" s="89"/>
      <c r="AL333" s="89"/>
      <c r="AM333" s="89"/>
      <c r="AN333" s="89"/>
      <c r="AO333" s="89"/>
      <c r="AP333" s="89"/>
      <c r="AQ333" s="89"/>
      <c r="AR333" s="89"/>
      <c r="AS333" s="89"/>
      <c r="AT333" s="89"/>
      <c r="AU333" s="89"/>
      <c r="AV333" s="89"/>
      <c r="AW333" s="89"/>
      <c r="AX333" s="89"/>
      <c r="AY333" s="89"/>
      <c r="AZ333" s="89"/>
      <c r="BA333" s="95"/>
    </row>
    <row r="334" spans="1:53" s="87" customFormat="1">
      <c r="A334" s="90" t="str">
        <f t="shared" si="30"/>
        <v/>
      </c>
      <c r="B334" s="99">
        <v>20</v>
      </c>
      <c r="C334" s="92">
        <v>2</v>
      </c>
      <c r="D334" s="92">
        <v>6</v>
      </c>
      <c r="E334" s="92">
        <v>-9</v>
      </c>
      <c r="F334" s="92">
        <v>-1</v>
      </c>
      <c r="G334" s="92" t="s">
        <v>202</v>
      </c>
      <c r="H334" s="89"/>
      <c r="I334" s="89"/>
      <c r="J334" s="89"/>
      <c r="K334" s="89"/>
      <c r="L334" s="89"/>
      <c r="M334" s="89"/>
      <c r="N334" s="89"/>
      <c r="O334" s="89"/>
      <c r="P334" s="89"/>
      <c r="Q334" s="89"/>
      <c r="R334" s="89"/>
      <c r="S334" s="89"/>
      <c r="T334" s="89"/>
      <c r="U334" s="89"/>
      <c r="V334" s="89"/>
      <c r="W334" s="89"/>
      <c r="X334" s="89"/>
      <c r="Y334" s="89"/>
      <c r="Z334" s="89"/>
      <c r="AA334" s="89"/>
      <c r="AB334" s="89"/>
      <c r="AC334" s="89"/>
      <c r="AD334" s="89"/>
      <c r="AE334" s="89"/>
      <c r="AF334" s="89"/>
      <c r="AG334" s="89"/>
      <c r="AH334" s="89"/>
      <c r="AI334" s="89"/>
      <c r="AJ334" s="89"/>
      <c r="AK334" s="89"/>
      <c r="AL334" s="89"/>
      <c r="AM334" s="89"/>
      <c r="AN334" s="89"/>
      <c r="AO334" s="89"/>
      <c r="AP334" s="89"/>
      <c r="AQ334" s="89"/>
      <c r="AR334" s="89"/>
      <c r="AS334" s="89"/>
      <c r="AT334" s="89"/>
      <c r="AU334" s="89"/>
      <c r="AV334" s="89"/>
      <c r="AW334" s="89"/>
      <c r="AX334" s="89"/>
      <c r="AY334" s="89"/>
      <c r="AZ334" s="89"/>
      <c r="BA334" s="95"/>
    </row>
    <row r="335" spans="1:53" s="87" customFormat="1">
      <c r="A335" s="90" t="str">
        <f t="shared" si="30"/>
        <v/>
      </c>
      <c r="B335" s="89">
        <v>21</v>
      </c>
      <c r="C335" s="89">
        <v>-3</v>
      </c>
      <c r="D335" s="89">
        <v>-9</v>
      </c>
      <c r="E335" s="89">
        <v>2</v>
      </c>
      <c r="F335" s="89" t="s">
        <v>202</v>
      </c>
      <c r="G335" s="89">
        <v>1</v>
      </c>
      <c r="H335" s="89"/>
      <c r="I335" s="89"/>
      <c r="J335" s="89"/>
      <c r="K335" s="89"/>
      <c r="L335" s="89"/>
      <c r="M335" s="89"/>
      <c r="N335" s="89"/>
      <c r="O335" s="89"/>
      <c r="P335" s="89"/>
      <c r="Q335" s="89"/>
      <c r="R335" s="89"/>
      <c r="S335" s="89"/>
      <c r="T335" s="89"/>
      <c r="U335" s="89"/>
      <c r="V335" s="89"/>
      <c r="W335" s="89"/>
      <c r="X335" s="89"/>
      <c r="Y335" s="89"/>
      <c r="Z335" s="89"/>
      <c r="AA335" s="89"/>
      <c r="AB335" s="89"/>
      <c r="AC335" s="89"/>
      <c r="AD335" s="89"/>
      <c r="AE335" s="89"/>
      <c r="AF335" s="89"/>
      <c r="AG335" s="89"/>
      <c r="AH335" s="89"/>
      <c r="AI335" s="89"/>
      <c r="AJ335" s="89"/>
      <c r="AK335" s="89"/>
      <c r="AL335" s="89"/>
      <c r="AM335" s="89"/>
      <c r="AN335" s="89"/>
      <c r="AO335" s="89"/>
      <c r="AP335" s="89"/>
      <c r="AQ335" s="89"/>
      <c r="AR335" s="89"/>
      <c r="AS335" s="89"/>
      <c r="AT335" s="89"/>
      <c r="AU335" s="89"/>
      <c r="AV335" s="89"/>
      <c r="AW335" s="89"/>
      <c r="AX335" s="89"/>
      <c r="AY335" s="89"/>
      <c r="AZ335" s="89"/>
      <c r="BA335" s="95"/>
    </row>
    <row r="336" spans="1:53" s="87" customFormat="1">
      <c r="A336" s="90" t="str">
        <f t="shared" si="30"/>
        <v/>
      </c>
      <c r="B336" s="89">
        <v>22</v>
      </c>
      <c r="C336" s="89" t="s">
        <v>202</v>
      </c>
      <c r="D336" s="89">
        <v>8</v>
      </c>
      <c r="E336" s="89">
        <v>3</v>
      </c>
      <c r="F336" s="89">
        <v>-9</v>
      </c>
      <c r="G336" s="89">
        <v>-1</v>
      </c>
      <c r="H336" s="89"/>
      <c r="I336" s="89"/>
      <c r="J336" s="89"/>
      <c r="K336" s="89"/>
      <c r="L336" s="89"/>
      <c r="M336" s="89"/>
      <c r="N336" s="89"/>
      <c r="O336" s="89"/>
      <c r="P336" s="89"/>
      <c r="Q336" s="89"/>
      <c r="R336" s="89"/>
      <c r="S336" s="89"/>
      <c r="T336" s="89"/>
      <c r="U336" s="89"/>
      <c r="V336" s="89"/>
      <c r="W336" s="89"/>
      <c r="X336" s="89"/>
      <c r="Y336" s="89"/>
      <c r="Z336" s="89"/>
      <c r="AA336" s="89"/>
      <c r="AB336" s="89"/>
      <c r="AC336" s="89"/>
      <c r="AD336" s="89"/>
      <c r="AE336" s="89"/>
      <c r="AF336" s="89"/>
      <c r="AG336" s="89"/>
      <c r="AH336" s="89"/>
      <c r="AI336" s="89"/>
      <c r="AJ336" s="89"/>
      <c r="AK336" s="89"/>
      <c r="AL336" s="89"/>
      <c r="AM336" s="89"/>
      <c r="AN336" s="89"/>
      <c r="AO336" s="89"/>
      <c r="AP336" s="89"/>
      <c r="AQ336" s="89"/>
      <c r="AR336" s="89"/>
      <c r="AS336" s="89"/>
      <c r="AT336" s="89"/>
      <c r="AU336" s="89"/>
      <c r="AV336" s="89"/>
      <c r="AW336" s="89"/>
      <c r="AX336" s="89"/>
      <c r="AY336" s="89"/>
      <c r="AZ336" s="89"/>
      <c r="BA336" s="95"/>
    </row>
    <row r="337" spans="1:53" s="87" customFormat="1">
      <c r="A337" s="90" t="str">
        <f t="shared" si="30"/>
        <v/>
      </c>
      <c r="B337" s="89">
        <v>23</v>
      </c>
      <c r="C337" s="89">
        <v>3</v>
      </c>
      <c r="D337" s="89">
        <v>-8</v>
      </c>
      <c r="E337" s="89" t="s">
        <v>202</v>
      </c>
      <c r="F337" s="89">
        <v>2</v>
      </c>
      <c r="G337" s="89">
        <v>-10</v>
      </c>
      <c r="H337" s="89"/>
      <c r="I337" s="89"/>
      <c r="J337" s="89"/>
      <c r="K337" s="89"/>
      <c r="L337" s="89"/>
      <c r="M337" s="89"/>
      <c r="N337" s="89"/>
      <c r="O337" s="89"/>
      <c r="P337" s="89"/>
      <c r="Q337" s="89"/>
      <c r="R337" s="89"/>
      <c r="S337" s="89"/>
      <c r="T337" s="89"/>
      <c r="U337" s="89"/>
      <c r="V337" s="89"/>
      <c r="W337" s="89"/>
      <c r="X337" s="89"/>
      <c r="Y337" s="89"/>
      <c r="Z337" s="89"/>
      <c r="AA337" s="89"/>
      <c r="AB337" s="89"/>
      <c r="AC337" s="89"/>
      <c r="AD337" s="89"/>
      <c r="AE337" s="89"/>
      <c r="AF337" s="89"/>
      <c r="AG337" s="89"/>
      <c r="AH337" s="89"/>
      <c r="AI337" s="89"/>
      <c r="AJ337" s="89"/>
      <c r="AK337" s="89"/>
      <c r="AL337" s="89"/>
      <c r="AM337" s="89"/>
      <c r="AN337" s="89"/>
      <c r="AO337" s="89"/>
      <c r="AP337" s="89"/>
      <c r="AQ337" s="89"/>
      <c r="AR337" s="89"/>
      <c r="AS337" s="89"/>
      <c r="AT337" s="89"/>
      <c r="AU337" s="89"/>
      <c r="AV337" s="89"/>
      <c r="AW337" s="89"/>
      <c r="AX337" s="89"/>
      <c r="AY337" s="89"/>
      <c r="AZ337" s="89"/>
      <c r="BA337" s="95"/>
    </row>
    <row r="338" spans="1:53" s="87" customFormat="1">
      <c r="A338" s="90" t="str">
        <f t="shared" si="30"/>
        <v/>
      </c>
      <c r="B338" s="89">
        <v>24</v>
      </c>
      <c r="C338" s="89">
        <v>-8</v>
      </c>
      <c r="D338" s="89" t="s">
        <v>202</v>
      </c>
      <c r="E338" s="89">
        <v>-2</v>
      </c>
      <c r="F338" s="89">
        <v>9</v>
      </c>
      <c r="G338" s="89">
        <v>10</v>
      </c>
      <c r="H338" s="89"/>
      <c r="I338" s="89"/>
      <c r="J338" s="89"/>
      <c r="K338" s="89"/>
      <c r="L338" s="89"/>
      <c r="M338" s="89"/>
      <c r="N338" s="89"/>
      <c r="O338" s="89"/>
      <c r="P338" s="89"/>
      <c r="Q338" s="89"/>
      <c r="R338" s="89"/>
      <c r="S338" s="89"/>
      <c r="T338" s="89"/>
      <c r="U338" s="89"/>
      <c r="V338" s="89"/>
      <c r="W338" s="89"/>
      <c r="X338" s="89"/>
      <c r="Y338" s="89"/>
      <c r="Z338" s="89"/>
      <c r="AA338" s="89"/>
      <c r="AB338" s="89"/>
      <c r="AC338" s="89"/>
      <c r="AD338" s="89"/>
      <c r="AE338" s="89"/>
      <c r="AF338" s="89"/>
      <c r="AG338" s="89"/>
      <c r="AH338" s="89"/>
      <c r="AI338" s="89"/>
      <c r="AJ338" s="89"/>
      <c r="AK338" s="89"/>
      <c r="AL338" s="89"/>
      <c r="AM338" s="89"/>
      <c r="AN338" s="89"/>
      <c r="AO338" s="89"/>
      <c r="AP338" s="89"/>
      <c r="AQ338" s="89"/>
      <c r="AR338" s="89"/>
      <c r="AS338" s="89"/>
      <c r="AT338" s="89"/>
      <c r="AU338" s="89"/>
      <c r="AV338" s="89"/>
      <c r="AW338" s="89"/>
      <c r="AX338" s="89"/>
      <c r="AY338" s="89"/>
      <c r="AZ338" s="89"/>
      <c r="BA338" s="95"/>
    </row>
    <row r="339" spans="1:53" s="87" customFormat="1">
      <c r="A339" s="90" t="str">
        <f t="shared" si="30"/>
        <v/>
      </c>
      <c r="B339" s="89">
        <v>25</v>
      </c>
      <c r="C339" s="89">
        <v>8</v>
      </c>
      <c r="D339" s="89">
        <v>9</v>
      </c>
      <c r="E339" s="89">
        <v>-3</v>
      </c>
      <c r="F339" s="89">
        <v>-2</v>
      </c>
      <c r="G339" s="89" t="s">
        <v>202</v>
      </c>
      <c r="H339" s="89"/>
      <c r="I339" s="89"/>
      <c r="J339" s="89"/>
      <c r="K339" s="89"/>
      <c r="L339" s="89"/>
      <c r="M339" s="89"/>
      <c r="N339" s="89"/>
      <c r="O339" s="89"/>
      <c r="P339" s="89"/>
      <c r="Q339" s="89"/>
      <c r="R339" s="89"/>
      <c r="S339" s="89"/>
      <c r="T339" s="89"/>
      <c r="U339" s="89"/>
      <c r="V339" s="89"/>
      <c r="W339" s="89"/>
      <c r="X339" s="89"/>
      <c r="Y339" s="89"/>
      <c r="Z339" s="89"/>
      <c r="AA339" s="89"/>
      <c r="AB339" s="89"/>
      <c r="AC339" s="89"/>
      <c r="AD339" s="89"/>
      <c r="AE339" s="89"/>
      <c r="AF339" s="89"/>
      <c r="AG339" s="89"/>
      <c r="AH339" s="89"/>
      <c r="AI339" s="89"/>
      <c r="AJ339" s="89"/>
      <c r="AK339" s="89"/>
      <c r="AL339" s="89"/>
      <c r="AM339" s="89"/>
      <c r="AN339" s="89"/>
      <c r="AO339" s="89"/>
      <c r="AP339" s="89"/>
      <c r="AQ339" s="89"/>
      <c r="AR339" s="89"/>
      <c r="AS339" s="89"/>
      <c r="AT339" s="89"/>
      <c r="AU339" s="89"/>
      <c r="AV339" s="89"/>
      <c r="AW339" s="89"/>
      <c r="AX339" s="89"/>
      <c r="AY339" s="89"/>
      <c r="AZ339" s="89"/>
      <c r="BA339" s="95"/>
    </row>
    <row r="340" spans="1:53" s="87" customFormat="1">
      <c r="A340" s="90" t="str">
        <f t="shared" si="30"/>
        <v/>
      </c>
      <c r="B340" s="89" t="s">
        <v>556</v>
      </c>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c r="AA340" s="89"/>
      <c r="AB340" s="89"/>
      <c r="AC340" s="89"/>
      <c r="AD340" s="89"/>
      <c r="AE340" s="89"/>
      <c r="AF340" s="89"/>
      <c r="AG340" s="89"/>
      <c r="AH340" s="89"/>
      <c r="AI340" s="89"/>
      <c r="AJ340" s="89"/>
      <c r="AK340" s="89"/>
      <c r="AL340" s="89"/>
      <c r="AM340" s="89"/>
      <c r="AN340" s="89"/>
      <c r="AO340" s="89"/>
      <c r="AP340" s="89"/>
      <c r="AQ340" s="89"/>
      <c r="AR340" s="89"/>
      <c r="AS340" s="89"/>
      <c r="AT340" s="89"/>
      <c r="AU340" s="89"/>
      <c r="AV340" s="89"/>
      <c r="AW340" s="89"/>
      <c r="AX340" s="89"/>
      <c r="AY340" s="89"/>
      <c r="AZ340" s="89"/>
      <c r="BA340" s="95"/>
    </row>
    <row r="341" spans="1:53" s="87" customFormat="1">
      <c r="A341" s="90">
        <f t="shared" si="30"/>
        <v>341</v>
      </c>
      <c r="B341" s="89" t="s">
        <v>912</v>
      </c>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c r="AA341" s="89"/>
      <c r="AB341" s="89"/>
      <c r="AC341" s="89"/>
      <c r="AD341" s="89"/>
      <c r="AE341" s="89"/>
      <c r="AF341" s="89"/>
      <c r="AG341" s="89"/>
      <c r="AH341" s="89"/>
      <c r="AI341" s="89"/>
      <c r="AJ341" s="89"/>
      <c r="AK341" s="89"/>
      <c r="AL341" s="89"/>
      <c r="AM341" s="89"/>
      <c r="AN341" s="89"/>
      <c r="AO341" s="89"/>
      <c r="AP341" s="89"/>
      <c r="AQ341" s="89"/>
      <c r="AR341" s="89"/>
      <c r="AS341" s="89"/>
      <c r="AT341" s="89"/>
      <c r="AU341" s="89"/>
      <c r="AV341" s="89"/>
      <c r="AW341" s="89"/>
      <c r="AX341" s="89"/>
      <c r="AY341" s="89"/>
      <c r="AZ341" s="89"/>
      <c r="BA341" s="95"/>
    </row>
    <row r="342" spans="1:53" s="87" customFormat="1">
      <c r="A342" s="90" t="str">
        <f t="shared" si="30"/>
        <v/>
      </c>
      <c r="B342" s="89">
        <v>1</v>
      </c>
      <c r="C342" s="89">
        <v>-5</v>
      </c>
      <c r="D342" s="89" t="s">
        <v>210</v>
      </c>
      <c r="E342" s="89">
        <v>10</v>
      </c>
      <c r="F342" s="89">
        <v>-7</v>
      </c>
      <c r="G342" s="89">
        <v>-3</v>
      </c>
      <c r="H342" s="89">
        <v>-6</v>
      </c>
      <c r="I342" s="89">
        <v>9</v>
      </c>
      <c r="J342" s="89">
        <v>-1</v>
      </c>
      <c r="K342" s="89">
        <v>-4</v>
      </c>
      <c r="L342" s="89" t="s">
        <v>202</v>
      </c>
      <c r="M342" s="89">
        <v>8</v>
      </c>
      <c r="N342" s="89">
        <v>-2</v>
      </c>
      <c r="O342" s="89">
        <v>5</v>
      </c>
      <c r="P342" s="89">
        <v>1</v>
      </c>
      <c r="Q342" s="89">
        <v>-8</v>
      </c>
      <c r="R342" s="89">
        <v>3</v>
      </c>
      <c r="S342" s="89">
        <v>-9</v>
      </c>
      <c r="T342" s="89">
        <v>2</v>
      </c>
      <c r="U342" s="89">
        <v>-10</v>
      </c>
      <c r="V342" s="89" t="s">
        <v>202</v>
      </c>
      <c r="W342" s="89">
        <v>6</v>
      </c>
      <c r="X342" s="89">
        <v>4</v>
      </c>
      <c r="Y342" s="89">
        <v>7</v>
      </c>
      <c r="Z342" s="89">
        <v>5</v>
      </c>
      <c r="AA342" s="89"/>
      <c r="AB342" s="89"/>
      <c r="AC342" s="89"/>
      <c r="AD342" s="89"/>
      <c r="AE342" s="89"/>
      <c r="AF342" s="89"/>
      <c r="AG342" s="89"/>
      <c r="AH342" s="89"/>
      <c r="AI342" s="89"/>
      <c r="AJ342" s="89"/>
      <c r="AK342" s="89"/>
      <c r="AL342" s="89"/>
      <c r="AM342" s="89"/>
      <c r="AN342" s="89"/>
      <c r="AO342" s="89"/>
      <c r="AP342" s="89"/>
      <c r="AQ342" s="89"/>
      <c r="AR342" s="89"/>
      <c r="AS342" s="89"/>
      <c r="AT342" s="89"/>
      <c r="AU342" s="89"/>
      <c r="AV342" s="89"/>
      <c r="AW342" s="89"/>
      <c r="AX342" s="89"/>
      <c r="AY342" s="89"/>
      <c r="AZ342" s="89"/>
      <c r="BA342" s="95"/>
    </row>
    <row r="343" spans="1:53" s="87" customFormat="1">
      <c r="A343" s="90" t="str">
        <f t="shared" si="30"/>
        <v/>
      </c>
      <c r="B343" s="89">
        <v>2</v>
      </c>
      <c r="C343" s="89">
        <v>4</v>
      </c>
      <c r="D343" s="89" t="s">
        <v>210</v>
      </c>
      <c r="E343" s="89">
        <v>-3</v>
      </c>
      <c r="F343" s="89">
        <v>6</v>
      </c>
      <c r="G343" s="89">
        <v>9</v>
      </c>
      <c r="H343" s="89">
        <v>1</v>
      </c>
      <c r="I343" s="89">
        <v>-4</v>
      </c>
      <c r="J343" s="89" t="s">
        <v>202</v>
      </c>
      <c r="K343" s="89">
        <v>8</v>
      </c>
      <c r="L343" s="89">
        <v>-2</v>
      </c>
      <c r="M343" s="89">
        <v>5</v>
      </c>
      <c r="N343" s="89">
        <v>10</v>
      </c>
      <c r="O343" s="89">
        <v>-7</v>
      </c>
      <c r="P343" s="89">
        <v>-6</v>
      </c>
      <c r="Q343" s="89">
        <v>3</v>
      </c>
      <c r="R343" s="89">
        <v>-10</v>
      </c>
      <c r="S343" s="89">
        <v>-8</v>
      </c>
      <c r="T343" s="89">
        <v>-9</v>
      </c>
      <c r="U343" s="89">
        <v>2</v>
      </c>
      <c r="V343" s="89">
        <v>-1</v>
      </c>
      <c r="W343" s="89">
        <v>7</v>
      </c>
      <c r="X343" s="89" t="s">
        <v>202</v>
      </c>
      <c r="Y343" s="89">
        <v>-4</v>
      </c>
      <c r="Z343" s="89">
        <v>-5</v>
      </c>
      <c r="AA343" s="89"/>
      <c r="AB343" s="89"/>
      <c r="AC343" s="89"/>
      <c r="AD343" s="89"/>
      <c r="AE343" s="89"/>
      <c r="AF343" s="89"/>
      <c r="AG343" s="89"/>
      <c r="AH343" s="89"/>
      <c r="AI343" s="89"/>
      <c r="AJ343" s="89"/>
      <c r="AK343" s="89"/>
      <c r="AL343" s="89"/>
      <c r="AM343" s="89"/>
      <c r="AN343" s="89"/>
      <c r="AO343" s="89"/>
      <c r="AP343" s="89"/>
      <c r="AQ343" s="89"/>
      <c r="AR343" s="89"/>
      <c r="AS343" s="89"/>
      <c r="AT343" s="89"/>
      <c r="AU343" s="89"/>
      <c r="AV343" s="89"/>
      <c r="AW343" s="89"/>
      <c r="AX343" s="89"/>
      <c r="AY343" s="89"/>
      <c r="AZ343" s="89"/>
      <c r="BA343" s="95"/>
    </row>
    <row r="344" spans="1:53" s="87" customFormat="1">
      <c r="A344" s="90" t="str">
        <f t="shared" si="30"/>
        <v/>
      </c>
      <c r="B344" s="89">
        <v>3</v>
      </c>
      <c r="C344" s="89" t="s">
        <v>210</v>
      </c>
      <c r="D344" s="89">
        <v>6</v>
      </c>
      <c r="E344" s="89" t="s">
        <v>202</v>
      </c>
      <c r="F344" s="89">
        <v>-8</v>
      </c>
      <c r="G344" s="89">
        <v>-2</v>
      </c>
      <c r="H344" s="89">
        <v>-5</v>
      </c>
      <c r="I344" s="89">
        <v>-10</v>
      </c>
      <c r="J344" s="89">
        <v>7</v>
      </c>
      <c r="K344" s="89">
        <v>-3</v>
      </c>
      <c r="L344" s="89">
        <v>6</v>
      </c>
      <c r="M344" s="89">
        <v>9</v>
      </c>
      <c r="N344" s="89">
        <v>-1</v>
      </c>
      <c r="O344" s="89">
        <v>-4</v>
      </c>
      <c r="P344" s="89">
        <v>5</v>
      </c>
      <c r="Q344" s="89">
        <v>-9</v>
      </c>
      <c r="R344" s="89">
        <v>2</v>
      </c>
      <c r="S344" s="89" t="s">
        <v>202</v>
      </c>
      <c r="T344" s="89">
        <v>8</v>
      </c>
      <c r="U344" s="89">
        <v>10</v>
      </c>
      <c r="V344" s="89">
        <v>-7</v>
      </c>
      <c r="W344" s="89">
        <v>1</v>
      </c>
      <c r="X344" s="89">
        <v>5</v>
      </c>
      <c r="Y344" s="89">
        <v>4</v>
      </c>
      <c r="Z344" s="89">
        <v>-6</v>
      </c>
      <c r="AA344" s="89"/>
      <c r="AB344" s="89"/>
      <c r="AC344" s="89"/>
      <c r="AD344" s="89"/>
      <c r="AE344" s="89"/>
      <c r="AF344" s="89"/>
      <c r="AG344" s="89"/>
      <c r="AH344" s="89"/>
      <c r="AI344" s="89"/>
      <c r="AJ344" s="89"/>
      <c r="AK344" s="89"/>
      <c r="AL344" s="89"/>
      <c r="AM344" s="89"/>
      <c r="AN344" s="89"/>
      <c r="AO344" s="89"/>
      <c r="AP344" s="89"/>
      <c r="AQ344" s="89"/>
      <c r="AR344" s="89"/>
      <c r="AS344" s="89"/>
      <c r="AT344" s="89"/>
      <c r="AU344" s="89"/>
      <c r="AV344" s="89"/>
      <c r="AW344" s="89"/>
      <c r="AX344" s="89"/>
      <c r="AY344" s="89"/>
      <c r="AZ344" s="89"/>
      <c r="BA344" s="95"/>
    </row>
    <row r="345" spans="1:53" s="87" customFormat="1">
      <c r="A345" s="90" t="str">
        <f t="shared" si="30"/>
        <v/>
      </c>
      <c r="B345" s="89">
        <v>4</v>
      </c>
      <c r="C345" s="89" t="s">
        <v>210</v>
      </c>
      <c r="D345" s="89">
        <v>5</v>
      </c>
      <c r="E345" s="89">
        <v>7</v>
      </c>
      <c r="F345" s="89">
        <v>3</v>
      </c>
      <c r="G345" s="89">
        <v>-6</v>
      </c>
      <c r="H345" s="89">
        <v>-9</v>
      </c>
      <c r="I345" s="89">
        <v>-1</v>
      </c>
      <c r="J345" s="89">
        <v>4</v>
      </c>
      <c r="K345" s="89" t="s">
        <v>202</v>
      </c>
      <c r="L345" s="89">
        <v>8</v>
      </c>
      <c r="M345" s="89">
        <v>-2</v>
      </c>
      <c r="N345" s="89">
        <v>-5</v>
      </c>
      <c r="O345" s="89">
        <v>10</v>
      </c>
      <c r="P345" s="89">
        <v>6</v>
      </c>
      <c r="Q345" s="89">
        <v>2</v>
      </c>
      <c r="R345" s="89">
        <v>9</v>
      </c>
      <c r="S345" s="89">
        <v>-3</v>
      </c>
      <c r="T345" s="89">
        <v>-10</v>
      </c>
      <c r="U345" s="89" t="s">
        <v>202</v>
      </c>
      <c r="V345" s="89">
        <v>-5</v>
      </c>
      <c r="W345" s="89">
        <v>-4</v>
      </c>
      <c r="X345" s="89">
        <v>1</v>
      </c>
      <c r="Y345" s="89">
        <v>-7</v>
      </c>
      <c r="Z345" s="89">
        <v>6</v>
      </c>
      <c r="AA345" s="89"/>
      <c r="AB345" s="89"/>
      <c r="AC345" s="89"/>
      <c r="AD345" s="89"/>
      <c r="AE345" s="89"/>
      <c r="AF345" s="89"/>
      <c r="AG345" s="89"/>
      <c r="AH345" s="89"/>
      <c r="AI345" s="89"/>
      <c r="AJ345" s="89"/>
      <c r="AK345" s="89"/>
      <c r="AL345" s="89"/>
      <c r="AM345" s="89"/>
      <c r="AN345" s="89"/>
      <c r="AO345" s="89"/>
      <c r="AP345" s="89"/>
      <c r="AQ345" s="89"/>
      <c r="AR345" s="89"/>
      <c r="AS345" s="89"/>
      <c r="AT345" s="89"/>
      <c r="AU345" s="89"/>
      <c r="AV345" s="89"/>
      <c r="AW345" s="89"/>
      <c r="AX345" s="89"/>
      <c r="AY345" s="89"/>
      <c r="AZ345" s="89"/>
      <c r="BA345" s="95"/>
    </row>
    <row r="346" spans="1:53" s="87" customFormat="1">
      <c r="A346" s="90" t="str">
        <f t="shared" si="30"/>
        <v/>
      </c>
      <c r="B346" s="89">
        <v>5</v>
      </c>
      <c r="C346" s="89" t="s">
        <v>210</v>
      </c>
      <c r="D346" s="89">
        <v>7</v>
      </c>
      <c r="E346" s="89">
        <v>6</v>
      </c>
      <c r="F346" s="89">
        <v>-9</v>
      </c>
      <c r="G346" s="89">
        <v>1</v>
      </c>
      <c r="H346" s="89">
        <v>4</v>
      </c>
      <c r="I346" s="89" t="s">
        <v>202</v>
      </c>
      <c r="J346" s="89">
        <v>8</v>
      </c>
      <c r="K346" s="89">
        <v>-2</v>
      </c>
      <c r="L346" s="89">
        <v>5</v>
      </c>
      <c r="M346" s="89">
        <v>10</v>
      </c>
      <c r="N346" s="89">
        <v>7</v>
      </c>
      <c r="O346" s="89">
        <v>-3</v>
      </c>
      <c r="P346" s="89">
        <v>-4</v>
      </c>
      <c r="Q346" s="89">
        <v>-10</v>
      </c>
      <c r="R346" s="89" t="s">
        <v>202</v>
      </c>
      <c r="S346" s="89">
        <v>9</v>
      </c>
      <c r="T346" s="89">
        <v>-8</v>
      </c>
      <c r="U346" s="89">
        <v>3</v>
      </c>
      <c r="V346" s="89">
        <v>-6</v>
      </c>
      <c r="W346" s="89">
        <v>-7</v>
      </c>
      <c r="X346" s="89">
        <v>-1</v>
      </c>
      <c r="Y346" s="89">
        <v>-5</v>
      </c>
      <c r="Z346" s="89">
        <v>4</v>
      </c>
      <c r="AA346" s="89"/>
      <c r="AB346" s="89"/>
      <c r="AC346" s="89"/>
      <c r="AD346" s="89"/>
      <c r="AE346" s="89"/>
      <c r="AF346" s="89"/>
      <c r="AG346" s="89"/>
      <c r="AH346" s="89"/>
      <c r="AI346" s="89"/>
      <c r="AJ346" s="89"/>
      <c r="AK346" s="89"/>
      <c r="AL346" s="89"/>
      <c r="AM346" s="89"/>
      <c r="AN346" s="89"/>
      <c r="AO346" s="89"/>
      <c r="AP346" s="89"/>
      <c r="AQ346" s="89"/>
      <c r="AR346" s="89"/>
      <c r="AS346" s="89"/>
      <c r="AT346" s="89"/>
      <c r="AU346" s="89"/>
      <c r="AV346" s="89"/>
      <c r="AW346" s="89"/>
      <c r="AX346" s="89"/>
      <c r="AY346" s="89"/>
      <c r="AZ346" s="89"/>
      <c r="BA346" s="95"/>
    </row>
    <row r="347" spans="1:53" s="87" customFormat="1">
      <c r="A347" s="90" t="str">
        <f t="shared" si="30"/>
        <v/>
      </c>
      <c r="B347" s="89">
        <v>6</v>
      </c>
      <c r="C347" s="89">
        <v>2</v>
      </c>
      <c r="D347" s="89" t="s">
        <v>210</v>
      </c>
      <c r="E347" s="89">
        <v>4</v>
      </c>
      <c r="F347" s="89" t="s">
        <v>202</v>
      </c>
      <c r="G347" s="89">
        <v>-8</v>
      </c>
      <c r="H347" s="89">
        <v>2</v>
      </c>
      <c r="I347" s="89">
        <v>-5</v>
      </c>
      <c r="J347" s="89">
        <v>10</v>
      </c>
      <c r="K347" s="89">
        <v>-7</v>
      </c>
      <c r="L347" s="89">
        <v>-3</v>
      </c>
      <c r="M347" s="89">
        <v>6</v>
      </c>
      <c r="N347" s="89">
        <v>9</v>
      </c>
      <c r="O347" s="89">
        <v>1</v>
      </c>
      <c r="P347" s="89" t="s">
        <v>202</v>
      </c>
      <c r="Q347" s="89">
        <v>8</v>
      </c>
      <c r="R347" s="89">
        <v>-9</v>
      </c>
      <c r="S347" s="89">
        <v>-10</v>
      </c>
      <c r="T347" s="89">
        <v>3</v>
      </c>
      <c r="U347" s="89">
        <v>-2</v>
      </c>
      <c r="V347" s="89">
        <v>7</v>
      </c>
      <c r="W347" s="89">
        <v>5</v>
      </c>
      <c r="X347" s="89">
        <v>-6</v>
      </c>
      <c r="Y347" s="89">
        <v>-1</v>
      </c>
      <c r="Z347" s="89">
        <v>-4</v>
      </c>
      <c r="AA347" s="89"/>
      <c r="AB347" s="89"/>
      <c r="AC347" s="89"/>
      <c r="AD347" s="89"/>
      <c r="AE347" s="89"/>
      <c r="AF347" s="89"/>
      <c r="AG347" s="89"/>
      <c r="AH347" s="89"/>
      <c r="AI347" s="89"/>
      <c r="AJ347" s="89"/>
      <c r="AK347" s="89"/>
      <c r="AL347" s="89"/>
      <c r="AM347" s="89"/>
      <c r="AN347" s="89"/>
      <c r="AO347" s="89"/>
      <c r="AP347" s="89"/>
      <c r="AQ347" s="89"/>
      <c r="AR347" s="89"/>
      <c r="AS347" s="89"/>
      <c r="AT347" s="89"/>
      <c r="AU347" s="89"/>
      <c r="AV347" s="89"/>
      <c r="AW347" s="89"/>
      <c r="AX347" s="89"/>
      <c r="AY347" s="89"/>
      <c r="AZ347" s="89"/>
      <c r="BA347" s="95"/>
    </row>
    <row r="348" spans="1:53" s="87" customFormat="1">
      <c r="A348" s="90" t="str">
        <f t="shared" si="30"/>
        <v/>
      </c>
      <c r="B348" s="89">
        <v>7</v>
      </c>
      <c r="C348" s="89">
        <v>-3</v>
      </c>
      <c r="D348" s="89" t="s">
        <v>210</v>
      </c>
      <c r="E348" s="89">
        <v>2</v>
      </c>
      <c r="F348" s="89">
        <v>-5</v>
      </c>
      <c r="G348" s="89">
        <v>-10</v>
      </c>
      <c r="H348" s="89">
        <v>-7</v>
      </c>
      <c r="I348" s="89">
        <v>3</v>
      </c>
      <c r="J348" s="89">
        <v>-6</v>
      </c>
      <c r="K348" s="89">
        <v>-9</v>
      </c>
      <c r="L348" s="89">
        <v>1</v>
      </c>
      <c r="M348" s="89">
        <v>4</v>
      </c>
      <c r="N348" s="89" t="s">
        <v>202</v>
      </c>
      <c r="O348" s="89">
        <v>-8</v>
      </c>
      <c r="P348" s="89">
        <v>7</v>
      </c>
      <c r="Q348" s="89" t="s">
        <v>202</v>
      </c>
      <c r="R348" s="89">
        <v>10</v>
      </c>
      <c r="S348" s="89">
        <v>3</v>
      </c>
      <c r="T348" s="89">
        <v>-2</v>
      </c>
      <c r="U348" s="89">
        <v>8</v>
      </c>
      <c r="V348" s="89">
        <v>-4</v>
      </c>
      <c r="W348" s="89">
        <v>-1</v>
      </c>
      <c r="X348" s="89">
        <v>6</v>
      </c>
      <c r="Y348" s="89">
        <v>5</v>
      </c>
      <c r="Z348" s="89">
        <v>7</v>
      </c>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c r="AZ348" s="89"/>
      <c r="BA348" s="95"/>
    </row>
    <row r="349" spans="1:53" s="87" customFormat="1">
      <c r="A349" s="90" t="str">
        <f t="shared" si="30"/>
        <v/>
      </c>
      <c r="B349" s="89">
        <v>8</v>
      </c>
      <c r="C349" s="89" t="s">
        <v>210</v>
      </c>
      <c r="D349" s="89">
        <v>-4</v>
      </c>
      <c r="E349" s="89">
        <v>5</v>
      </c>
      <c r="F349" s="89">
        <v>-10</v>
      </c>
      <c r="G349" s="89">
        <v>7</v>
      </c>
      <c r="H349" s="89">
        <v>3</v>
      </c>
      <c r="I349" s="89">
        <v>-6</v>
      </c>
      <c r="J349" s="89">
        <v>9</v>
      </c>
      <c r="K349" s="89">
        <v>1</v>
      </c>
      <c r="L349" s="89">
        <v>-4</v>
      </c>
      <c r="M349" s="89" t="s">
        <v>202</v>
      </c>
      <c r="N349" s="89">
        <v>8</v>
      </c>
      <c r="O349" s="89">
        <v>-2</v>
      </c>
      <c r="P349" s="89">
        <v>-1</v>
      </c>
      <c r="Q349" s="89">
        <v>-3</v>
      </c>
      <c r="R349" s="89">
        <v>-8</v>
      </c>
      <c r="S349" s="89">
        <v>2</v>
      </c>
      <c r="T349" s="89" t="s">
        <v>202</v>
      </c>
      <c r="U349" s="89">
        <v>-9</v>
      </c>
      <c r="V349" s="89">
        <v>6</v>
      </c>
      <c r="W349" s="89">
        <v>4</v>
      </c>
      <c r="X349" s="89">
        <v>-5</v>
      </c>
      <c r="Y349" s="89">
        <v>1</v>
      </c>
      <c r="Z349" s="89">
        <v>-7</v>
      </c>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c r="AZ349" s="89"/>
      <c r="BA349" s="95"/>
    </row>
    <row r="350" spans="1:53" s="87" customFormat="1">
      <c r="A350" s="90" t="str">
        <f t="shared" si="30"/>
        <v/>
      </c>
      <c r="B350" s="89">
        <v>9</v>
      </c>
      <c r="C350" s="89" t="s">
        <v>210</v>
      </c>
      <c r="D350" s="89">
        <v>3</v>
      </c>
      <c r="E350" s="89">
        <v>-8</v>
      </c>
      <c r="F350" s="89">
        <v>2</v>
      </c>
      <c r="G350" s="89">
        <v>-5</v>
      </c>
      <c r="H350" s="89">
        <v>-10</v>
      </c>
      <c r="I350" s="89">
        <v>7</v>
      </c>
      <c r="J350" s="89">
        <v>3</v>
      </c>
      <c r="K350" s="89">
        <v>6</v>
      </c>
      <c r="L350" s="89">
        <v>-9</v>
      </c>
      <c r="M350" s="89">
        <v>1</v>
      </c>
      <c r="N350" s="89">
        <v>4</v>
      </c>
      <c r="O350" s="89" t="s">
        <v>202</v>
      </c>
      <c r="P350" s="89">
        <v>-7</v>
      </c>
      <c r="Q350" s="89">
        <v>10</v>
      </c>
      <c r="R350" s="89">
        <v>-2</v>
      </c>
      <c r="S350" s="89">
        <v>8</v>
      </c>
      <c r="T350" s="89">
        <v>-3</v>
      </c>
      <c r="U350" s="89">
        <v>9</v>
      </c>
      <c r="V350" s="89">
        <v>5</v>
      </c>
      <c r="W350" s="89" t="s">
        <v>202</v>
      </c>
      <c r="X350" s="89">
        <v>-4</v>
      </c>
      <c r="Y350" s="89">
        <v>-6</v>
      </c>
      <c r="Z350" s="89">
        <v>-1</v>
      </c>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95"/>
    </row>
    <row r="351" spans="1:53" s="87" customFormat="1">
      <c r="A351" s="90" t="str">
        <f t="shared" si="30"/>
        <v/>
      </c>
      <c r="B351" s="89">
        <v>10</v>
      </c>
      <c r="C351" s="89">
        <v>-6</v>
      </c>
      <c r="D351" s="89" t="s">
        <v>210</v>
      </c>
      <c r="E351" s="89">
        <v>-1</v>
      </c>
      <c r="F351" s="89">
        <v>-4</v>
      </c>
      <c r="G351" s="89" t="s">
        <v>202</v>
      </c>
      <c r="H351" s="89">
        <v>-8</v>
      </c>
      <c r="I351" s="89">
        <v>2</v>
      </c>
      <c r="J351" s="89">
        <v>5</v>
      </c>
      <c r="K351" s="89">
        <v>-10</v>
      </c>
      <c r="L351" s="89">
        <v>7</v>
      </c>
      <c r="M351" s="89">
        <v>3</v>
      </c>
      <c r="N351" s="89">
        <v>6</v>
      </c>
      <c r="O351" s="89">
        <v>-9</v>
      </c>
      <c r="P351" s="89">
        <v>-5</v>
      </c>
      <c r="Q351" s="89">
        <v>-2</v>
      </c>
      <c r="R351" s="89">
        <v>8</v>
      </c>
      <c r="S351" s="89">
        <v>10</v>
      </c>
      <c r="T351" s="89">
        <v>9</v>
      </c>
      <c r="U351" s="89">
        <v>-3</v>
      </c>
      <c r="V351" s="89">
        <v>4</v>
      </c>
      <c r="W351" s="89">
        <v>-6</v>
      </c>
      <c r="X351" s="89">
        <v>-7</v>
      </c>
      <c r="Y351" s="89" t="s">
        <v>202</v>
      </c>
      <c r="Z351" s="89">
        <v>1</v>
      </c>
      <c r="AA351" s="89"/>
      <c r="AB351" s="89"/>
      <c r="AC351" s="89"/>
      <c r="AD351" s="89"/>
      <c r="AE351" s="89"/>
      <c r="AF351" s="89"/>
      <c r="AG351" s="89"/>
      <c r="AH351" s="89"/>
      <c r="AI351" s="89"/>
      <c r="AJ351" s="89"/>
      <c r="AK351" s="89"/>
      <c r="AL351" s="89"/>
      <c r="AM351" s="89"/>
      <c r="AN351" s="89"/>
      <c r="AO351" s="89"/>
      <c r="AP351" s="89"/>
      <c r="AQ351" s="89"/>
      <c r="AR351" s="89"/>
      <c r="AS351" s="89"/>
      <c r="AT351" s="89"/>
      <c r="AU351" s="89"/>
      <c r="AV351" s="89"/>
      <c r="AW351" s="89"/>
      <c r="AX351" s="89"/>
      <c r="AY351" s="89"/>
      <c r="AZ351" s="89"/>
      <c r="BA351" s="95"/>
    </row>
    <row r="352" spans="1:53" s="87" customFormat="1">
      <c r="A352" s="90" t="str">
        <f t="shared" si="30"/>
        <v/>
      </c>
      <c r="B352" s="89">
        <v>11</v>
      </c>
      <c r="C352" s="89">
        <v>7</v>
      </c>
      <c r="D352" s="89" t="s">
        <v>210</v>
      </c>
      <c r="E352" s="89">
        <v>-9</v>
      </c>
      <c r="F352" s="89">
        <v>-1</v>
      </c>
      <c r="G352" s="89">
        <v>-4</v>
      </c>
      <c r="H352" s="89" t="s">
        <v>202</v>
      </c>
      <c r="I352" s="89">
        <v>8</v>
      </c>
      <c r="J352" s="89">
        <v>2</v>
      </c>
      <c r="K352" s="89">
        <v>5</v>
      </c>
      <c r="L352" s="89">
        <v>-10</v>
      </c>
      <c r="M352" s="89">
        <v>-7</v>
      </c>
      <c r="N352" s="89">
        <v>3</v>
      </c>
      <c r="O352" s="89">
        <v>-6</v>
      </c>
      <c r="P352" s="89">
        <v>4</v>
      </c>
      <c r="Q352" s="89">
        <v>9</v>
      </c>
      <c r="R352" s="89">
        <v>-3</v>
      </c>
      <c r="S352" s="89">
        <v>-2</v>
      </c>
      <c r="T352" s="89">
        <v>10</v>
      </c>
      <c r="U352" s="89">
        <v>-8</v>
      </c>
      <c r="V352" s="89">
        <v>1</v>
      </c>
      <c r="W352" s="89">
        <v>-5</v>
      </c>
      <c r="X352" s="89">
        <v>7</v>
      </c>
      <c r="Y352" s="89">
        <v>6</v>
      </c>
      <c r="Z352" s="89" t="s">
        <v>202</v>
      </c>
      <c r="AA352" s="89"/>
      <c r="AB352" s="89"/>
      <c r="AC352" s="89"/>
      <c r="AD352" s="89"/>
      <c r="AE352" s="89"/>
      <c r="AF352" s="89"/>
      <c r="AG352" s="89"/>
      <c r="AH352" s="89"/>
      <c r="AI352" s="89"/>
      <c r="AJ352" s="89"/>
      <c r="AK352" s="89"/>
      <c r="AL352" s="89"/>
      <c r="AM352" s="89"/>
      <c r="AN352" s="89"/>
      <c r="AO352" s="89"/>
      <c r="AP352" s="89"/>
      <c r="AQ352" s="89"/>
      <c r="AR352" s="89"/>
      <c r="AS352" s="89"/>
      <c r="AT352" s="89"/>
      <c r="AU352" s="89"/>
      <c r="AV352" s="89"/>
      <c r="AW352" s="89"/>
      <c r="AX352" s="89"/>
      <c r="AY352" s="89"/>
      <c r="AZ352" s="89"/>
      <c r="BA352" s="95"/>
    </row>
    <row r="353" spans="1:53" s="87" customFormat="1">
      <c r="A353" s="90" t="str">
        <f t="shared" si="30"/>
        <v/>
      </c>
      <c r="B353" s="89">
        <v>12</v>
      </c>
      <c r="C353" s="89">
        <v>5</v>
      </c>
      <c r="D353" s="89" t="s">
        <v>210</v>
      </c>
      <c r="E353" s="89">
        <v>-6</v>
      </c>
      <c r="F353" s="89">
        <v>-3</v>
      </c>
      <c r="G353" s="89">
        <v>-7</v>
      </c>
      <c r="H353" s="89">
        <v>10</v>
      </c>
      <c r="I353" s="89">
        <v>5</v>
      </c>
      <c r="J353" s="89">
        <v>-2</v>
      </c>
      <c r="K353" s="89">
        <v>-8</v>
      </c>
      <c r="L353" s="89" t="s">
        <v>202</v>
      </c>
      <c r="M353" s="89">
        <v>-4</v>
      </c>
      <c r="N353" s="89">
        <v>1</v>
      </c>
      <c r="O353" s="89">
        <v>9</v>
      </c>
      <c r="P353" s="89">
        <v>-10</v>
      </c>
      <c r="Q353" s="89">
        <v>6</v>
      </c>
      <c r="R353" s="89">
        <v>-5</v>
      </c>
      <c r="S353" s="89">
        <v>7</v>
      </c>
      <c r="T353" s="89">
        <v>4</v>
      </c>
      <c r="U353" s="89">
        <v>-1</v>
      </c>
      <c r="V353" s="89" t="s">
        <v>202</v>
      </c>
      <c r="W353" s="89">
        <v>8</v>
      </c>
      <c r="X353" s="89">
        <v>2</v>
      </c>
      <c r="Y353" s="89">
        <v>-9</v>
      </c>
      <c r="Z353" s="89">
        <v>3</v>
      </c>
      <c r="AA353" s="89"/>
      <c r="AB353" s="89"/>
      <c r="AC353" s="89"/>
      <c r="AD353" s="89"/>
      <c r="AE353" s="89"/>
      <c r="AF353" s="89"/>
      <c r="AG353" s="89"/>
      <c r="AH353" s="89"/>
      <c r="AI353" s="89"/>
      <c r="AJ353" s="89"/>
      <c r="AK353" s="89"/>
      <c r="AL353" s="89"/>
      <c r="AM353" s="89"/>
      <c r="AN353" s="89"/>
      <c r="AO353" s="89"/>
      <c r="AP353" s="89"/>
      <c r="AQ353" s="89"/>
      <c r="AR353" s="89"/>
      <c r="AS353" s="89"/>
      <c r="AT353" s="89"/>
      <c r="AU353" s="89"/>
      <c r="AV353" s="89"/>
      <c r="AW353" s="89"/>
      <c r="AX353" s="89"/>
      <c r="AY353" s="89"/>
      <c r="AZ353" s="89"/>
      <c r="BA353" s="95"/>
    </row>
    <row r="354" spans="1:53" s="87" customFormat="1">
      <c r="A354" s="90" t="str">
        <f t="shared" si="30"/>
        <v/>
      </c>
      <c r="B354" s="89">
        <v>13</v>
      </c>
      <c r="C354" s="89">
        <v>-4</v>
      </c>
      <c r="D354" s="89" t="s">
        <v>210</v>
      </c>
      <c r="E354" s="89">
        <v>-7</v>
      </c>
      <c r="F354" s="89">
        <v>10</v>
      </c>
      <c r="G354" s="89">
        <v>5</v>
      </c>
      <c r="H354" s="89">
        <v>-2</v>
      </c>
      <c r="I354" s="89">
        <v>-8</v>
      </c>
      <c r="J354" s="89" t="s">
        <v>202</v>
      </c>
      <c r="K354" s="89">
        <v>4</v>
      </c>
      <c r="L354" s="89">
        <v>-1</v>
      </c>
      <c r="M354" s="89">
        <v>-9</v>
      </c>
      <c r="N354" s="89">
        <v>-6</v>
      </c>
      <c r="O354" s="89">
        <v>3</v>
      </c>
      <c r="P354" s="89">
        <v>8</v>
      </c>
      <c r="Q354" s="89">
        <v>-5</v>
      </c>
      <c r="R354" s="89">
        <v>1</v>
      </c>
      <c r="S354" s="89">
        <v>6</v>
      </c>
      <c r="T354" s="89">
        <v>7</v>
      </c>
      <c r="U354" s="89">
        <v>4</v>
      </c>
      <c r="V354" s="89">
        <v>-10</v>
      </c>
      <c r="W354" s="89">
        <v>9</v>
      </c>
      <c r="X354" s="89" t="s">
        <v>202</v>
      </c>
      <c r="Y354" s="89">
        <v>2</v>
      </c>
      <c r="Z354" s="89">
        <v>-3</v>
      </c>
      <c r="AA354" s="89"/>
      <c r="AB354" s="89"/>
      <c r="AC354" s="89"/>
      <c r="AD354" s="89"/>
      <c r="AE354" s="89"/>
      <c r="AF354" s="89"/>
      <c r="AG354" s="89"/>
      <c r="AH354" s="89"/>
      <c r="AI354" s="89"/>
      <c r="AJ354" s="89"/>
      <c r="AK354" s="89"/>
      <c r="AL354" s="89"/>
      <c r="AM354" s="89"/>
      <c r="AN354" s="89"/>
      <c r="AO354" s="89"/>
      <c r="AP354" s="89"/>
      <c r="AQ354" s="89"/>
      <c r="AR354" s="89"/>
      <c r="AS354" s="89"/>
      <c r="AT354" s="89"/>
      <c r="AU354" s="89"/>
      <c r="AV354" s="89"/>
      <c r="AW354" s="89"/>
      <c r="AX354" s="89"/>
      <c r="AY354" s="89"/>
      <c r="AZ354" s="89"/>
      <c r="BA354" s="95"/>
    </row>
    <row r="355" spans="1:53" s="87" customFormat="1">
      <c r="A355" s="90" t="str">
        <f t="shared" si="30"/>
        <v/>
      </c>
      <c r="B355" s="89">
        <v>14</v>
      </c>
      <c r="C355" s="89" t="s">
        <v>210</v>
      </c>
      <c r="D355" s="89">
        <v>-6</v>
      </c>
      <c r="E355" s="89" t="s">
        <v>202</v>
      </c>
      <c r="F355" s="89">
        <v>4</v>
      </c>
      <c r="G355" s="89">
        <v>-1</v>
      </c>
      <c r="H355" s="89">
        <v>9</v>
      </c>
      <c r="I355" s="89">
        <v>6</v>
      </c>
      <c r="J355" s="89">
        <v>-3</v>
      </c>
      <c r="K355" s="89">
        <v>7</v>
      </c>
      <c r="L355" s="89">
        <v>10</v>
      </c>
      <c r="M355" s="89">
        <v>-5</v>
      </c>
      <c r="N355" s="89">
        <v>2</v>
      </c>
      <c r="O355" s="89">
        <v>8</v>
      </c>
      <c r="P355" s="89">
        <v>3</v>
      </c>
      <c r="Q355" s="89">
        <v>-7</v>
      </c>
      <c r="R355" s="89">
        <v>-4</v>
      </c>
      <c r="S355" s="89" t="s">
        <v>202</v>
      </c>
      <c r="T355" s="89">
        <v>-6</v>
      </c>
      <c r="U355" s="89">
        <v>1</v>
      </c>
      <c r="V355" s="89">
        <v>-9</v>
      </c>
      <c r="W355" s="89">
        <v>-10</v>
      </c>
      <c r="X355" s="89">
        <v>3</v>
      </c>
      <c r="Y355" s="89">
        <v>-2</v>
      </c>
      <c r="Z355" s="89">
        <v>-8</v>
      </c>
      <c r="AA355" s="89"/>
      <c r="AB355" s="89"/>
      <c r="AC355" s="89"/>
      <c r="AD355" s="89"/>
      <c r="AE355" s="89"/>
      <c r="AF355" s="89"/>
      <c r="AG355" s="89"/>
      <c r="AH355" s="89"/>
      <c r="AI355" s="89"/>
      <c r="AJ355" s="89"/>
      <c r="AK355" s="89"/>
      <c r="AL355" s="89"/>
      <c r="AM355" s="89"/>
      <c r="AN355" s="89"/>
      <c r="AO355" s="89"/>
      <c r="AP355" s="89"/>
      <c r="AQ355" s="89"/>
      <c r="AR355" s="89"/>
      <c r="AS355" s="89"/>
      <c r="AT355" s="89"/>
      <c r="AU355" s="89"/>
      <c r="AV355" s="89"/>
      <c r="AW355" s="89"/>
      <c r="AX355" s="89"/>
      <c r="AY355" s="89"/>
      <c r="AZ355" s="89"/>
      <c r="BA355" s="95"/>
    </row>
    <row r="356" spans="1:53" s="87" customFormat="1">
      <c r="A356" s="90" t="str">
        <f t="shared" si="30"/>
        <v/>
      </c>
      <c r="B356" s="89">
        <v>15</v>
      </c>
      <c r="C356" s="89" t="s">
        <v>210</v>
      </c>
      <c r="D356" s="89">
        <v>-5</v>
      </c>
      <c r="E356" s="89">
        <v>3</v>
      </c>
      <c r="F356" s="89">
        <v>7</v>
      </c>
      <c r="G356" s="89">
        <v>10</v>
      </c>
      <c r="H356" s="89">
        <v>5</v>
      </c>
      <c r="I356" s="89">
        <v>-2</v>
      </c>
      <c r="J356" s="89">
        <v>-8</v>
      </c>
      <c r="K356" s="89" t="s">
        <v>202</v>
      </c>
      <c r="L356" s="89">
        <v>4</v>
      </c>
      <c r="M356" s="89">
        <v>-1</v>
      </c>
      <c r="N356" s="89">
        <v>-9</v>
      </c>
      <c r="O356" s="89">
        <v>6</v>
      </c>
      <c r="P356" s="89">
        <v>-8</v>
      </c>
      <c r="Q356" s="89">
        <v>-4</v>
      </c>
      <c r="R356" s="89">
        <v>-7</v>
      </c>
      <c r="S356" s="89">
        <v>-5</v>
      </c>
      <c r="T356" s="89">
        <v>1</v>
      </c>
      <c r="U356" s="89" t="s">
        <v>202</v>
      </c>
      <c r="V356" s="89">
        <v>-3</v>
      </c>
      <c r="W356" s="89">
        <v>2</v>
      </c>
      <c r="X356" s="89">
        <v>-10</v>
      </c>
      <c r="Y356" s="89">
        <v>9</v>
      </c>
      <c r="Z356" s="89">
        <v>8</v>
      </c>
      <c r="AA356" s="89"/>
      <c r="AB356" s="89"/>
      <c r="AC356" s="89"/>
      <c r="AD356" s="89"/>
      <c r="AE356" s="89"/>
      <c r="AF356" s="89"/>
      <c r="AG356" s="89"/>
      <c r="AH356" s="89"/>
      <c r="AI356" s="89"/>
      <c r="AJ356" s="89"/>
      <c r="AK356" s="89"/>
      <c r="AL356" s="89"/>
      <c r="AM356" s="89"/>
      <c r="AN356" s="89"/>
      <c r="AO356" s="89"/>
      <c r="AP356" s="89"/>
      <c r="AQ356" s="89"/>
      <c r="AR356" s="89"/>
      <c r="AS356" s="89"/>
      <c r="AT356" s="89"/>
      <c r="AU356" s="89"/>
      <c r="AV356" s="89"/>
      <c r="AW356" s="89"/>
      <c r="AX356" s="89"/>
      <c r="AY356" s="89"/>
      <c r="AZ356" s="89"/>
      <c r="BA356" s="95"/>
    </row>
    <row r="357" spans="1:53" s="87" customFormat="1">
      <c r="A357" s="90" t="str">
        <f t="shared" si="30"/>
        <v/>
      </c>
      <c r="B357" s="89">
        <v>16</v>
      </c>
      <c r="C357" s="89" t="s">
        <v>210</v>
      </c>
      <c r="D357" s="89">
        <v>-7</v>
      </c>
      <c r="E357" s="89">
        <v>-10</v>
      </c>
      <c r="F357" s="89">
        <v>5</v>
      </c>
      <c r="G357" s="89">
        <v>2</v>
      </c>
      <c r="H357" s="89">
        <v>8</v>
      </c>
      <c r="I357" s="89" t="s">
        <v>202</v>
      </c>
      <c r="J357" s="89">
        <v>-4</v>
      </c>
      <c r="K357" s="89">
        <v>-1</v>
      </c>
      <c r="L357" s="89">
        <v>9</v>
      </c>
      <c r="M357" s="89">
        <v>-6</v>
      </c>
      <c r="N357" s="89">
        <v>-3</v>
      </c>
      <c r="O357" s="89">
        <v>7</v>
      </c>
      <c r="P357" s="89">
        <v>-2</v>
      </c>
      <c r="Q357" s="89">
        <v>1</v>
      </c>
      <c r="R357" s="89" t="s">
        <v>202</v>
      </c>
      <c r="S357" s="89">
        <v>-7</v>
      </c>
      <c r="T357" s="89">
        <v>6</v>
      </c>
      <c r="U357" s="89">
        <v>-5</v>
      </c>
      <c r="V357" s="89">
        <v>-8</v>
      </c>
      <c r="W357" s="89">
        <v>-9</v>
      </c>
      <c r="X357" s="89">
        <v>10</v>
      </c>
      <c r="Y357" s="89">
        <v>3</v>
      </c>
      <c r="Z357" s="89">
        <v>2</v>
      </c>
      <c r="AA357" s="89"/>
      <c r="AB357" s="89"/>
      <c r="AC357" s="89"/>
      <c r="AD357" s="89"/>
      <c r="AE357" s="89"/>
      <c r="AF357" s="89"/>
      <c r="AG357" s="89"/>
      <c r="AH357" s="89"/>
      <c r="AI357" s="89"/>
      <c r="AJ357" s="89"/>
      <c r="AK357" s="89"/>
      <c r="AL357" s="89"/>
      <c r="AM357" s="89"/>
      <c r="AN357" s="89"/>
      <c r="AO357" s="89"/>
      <c r="AP357" s="89"/>
      <c r="AQ357" s="89"/>
      <c r="AR357" s="89"/>
      <c r="AS357" s="89"/>
      <c r="AT357" s="89"/>
      <c r="AU357" s="89"/>
      <c r="AV357" s="89"/>
      <c r="AW357" s="89"/>
      <c r="AX357" s="89"/>
      <c r="AY357" s="89"/>
      <c r="AZ357" s="89"/>
      <c r="BA357" s="95"/>
    </row>
    <row r="358" spans="1:53" s="87" customFormat="1">
      <c r="A358" s="90" t="str">
        <f t="shared" si="30"/>
        <v/>
      </c>
      <c r="B358" s="89">
        <v>17</v>
      </c>
      <c r="C358" s="89">
        <v>-2</v>
      </c>
      <c r="D358" s="89" t="s">
        <v>210</v>
      </c>
      <c r="E358" s="89">
        <v>8</v>
      </c>
      <c r="F358" s="89" t="s">
        <v>202</v>
      </c>
      <c r="G358" s="89">
        <v>4</v>
      </c>
      <c r="H358" s="89">
        <v>-1</v>
      </c>
      <c r="I358" s="89">
        <v>-9</v>
      </c>
      <c r="J358" s="89">
        <v>6</v>
      </c>
      <c r="K358" s="89">
        <v>3</v>
      </c>
      <c r="L358" s="89">
        <v>-7</v>
      </c>
      <c r="M358" s="89">
        <v>-10</v>
      </c>
      <c r="N358" s="89">
        <v>5</v>
      </c>
      <c r="O358" s="89">
        <v>2</v>
      </c>
      <c r="P358" s="89" t="s">
        <v>202</v>
      </c>
      <c r="Q358" s="89">
        <v>-6</v>
      </c>
      <c r="R358" s="89">
        <v>7</v>
      </c>
      <c r="S358" s="89">
        <v>1</v>
      </c>
      <c r="T358" s="89">
        <v>-5</v>
      </c>
      <c r="U358" s="89">
        <v>-4</v>
      </c>
      <c r="V358" s="89">
        <v>9</v>
      </c>
      <c r="W358" s="89">
        <v>-3</v>
      </c>
      <c r="X358" s="89">
        <v>-8</v>
      </c>
      <c r="Y358" s="89">
        <v>10</v>
      </c>
      <c r="Z358" s="89">
        <v>-2</v>
      </c>
      <c r="AA358" s="89"/>
      <c r="AB358" s="89"/>
      <c r="AC358" s="89"/>
      <c r="AD358" s="89"/>
      <c r="AE358" s="89"/>
      <c r="AF358" s="89"/>
      <c r="AG358" s="89"/>
      <c r="AH358" s="89"/>
      <c r="AI358" s="89"/>
      <c r="AJ358" s="89"/>
      <c r="AK358" s="89"/>
      <c r="AL358" s="89"/>
      <c r="AM358" s="89"/>
      <c r="AN358" s="89"/>
      <c r="AO358" s="89"/>
      <c r="AP358" s="89"/>
      <c r="AQ358" s="89"/>
      <c r="AR358" s="89"/>
      <c r="AS358" s="89"/>
      <c r="AT358" s="89"/>
      <c r="AU358" s="89"/>
      <c r="AV358" s="89"/>
      <c r="AW358" s="89"/>
      <c r="AX358" s="89"/>
      <c r="AY358" s="89"/>
      <c r="AZ358" s="89"/>
      <c r="BA358" s="95"/>
    </row>
    <row r="359" spans="1:53" s="87" customFormat="1">
      <c r="A359" s="90" t="str">
        <f t="shared" si="30"/>
        <v/>
      </c>
      <c r="B359" s="89">
        <v>18</v>
      </c>
      <c r="C359" s="89">
        <v>3</v>
      </c>
      <c r="D359" s="89" t="s">
        <v>210</v>
      </c>
      <c r="E359" s="89">
        <v>1</v>
      </c>
      <c r="F359" s="89">
        <v>9</v>
      </c>
      <c r="G359" s="89">
        <v>6</v>
      </c>
      <c r="H359" s="89">
        <v>-3</v>
      </c>
      <c r="I359" s="89">
        <v>-7</v>
      </c>
      <c r="J359" s="89">
        <v>-10</v>
      </c>
      <c r="K359" s="89">
        <v>-5</v>
      </c>
      <c r="L359" s="89">
        <v>2</v>
      </c>
      <c r="M359" s="89">
        <v>-8</v>
      </c>
      <c r="N359" s="89" t="s">
        <v>202</v>
      </c>
      <c r="O359" s="89">
        <v>4</v>
      </c>
      <c r="P359" s="89">
        <v>-9</v>
      </c>
      <c r="Q359" s="89" t="s">
        <v>202</v>
      </c>
      <c r="R359" s="89">
        <v>-1</v>
      </c>
      <c r="S359" s="89">
        <v>5</v>
      </c>
      <c r="T359" s="89">
        <v>-4</v>
      </c>
      <c r="U359" s="89">
        <v>-6</v>
      </c>
      <c r="V359" s="89">
        <v>-2</v>
      </c>
      <c r="W359" s="89">
        <v>10</v>
      </c>
      <c r="X359" s="89">
        <v>8</v>
      </c>
      <c r="Y359" s="89">
        <v>-3</v>
      </c>
      <c r="Z359" s="89">
        <v>9</v>
      </c>
      <c r="AA359" s="89"/>
      <c r="AB359" s="89"/>
      <c r="AC359" s="89"/>
      <c r="AD359" s="89"/>
      <c r="AE359" s="89"/>
      <c r="AF359" s="89"/>
      <c r="AG359" s="89"/>
      <c r="AH359" s="89"/>
      <c r="AI359" s="89"/>
      <c r="AJ359" s="89"/>
      <c r="AK359" s="89"/>
      <c r="AL359" s="89"/>
      <c r="AM359" s="89"/>
      <c r="AN359" s="89"/>
      <c r="AO359" s="89"/>
      <c r="AP359" s="89"/>
      <c r="AQ359" s="89"/>
      <c r="AR359" s="89"/>
      <c r="AS359" s="89"/>
      <c r="AT359" s="89"/>
      <c r="AU359" s="89"/>
      <c r="AV359" s="89"/>
      <c r="AW359" s="89"/>
      <c r="AX359" s="89"/>
      <c r="AY359" s="89"/>
      <c r="AZ359" s="89"/>
      <c r="BA359" s="95"/>
    </row>
    <row r="360" spans="1:53" s="87" customFormat="1">
      <c r="A360" s="90" t="str">
        <f t="shared" si="30"/>
        <v/>
      </c>
      <c r="B360" s="89">
        <v>19</v>
      </c>
      <c r="C360" s="89" t="s">
        <v>210</v>
      </c>
      <c r="D360" s="89">
        <v>4</v>
      </c>
      <c r="E360" s="89">
        <v>9</v>
      </c>
      <c r="F360" s="89">
        <v>-6</v>
      </c>
      <c r="G360" s="89">
        <v>3</v>
      </c>
      <c r="H360" s="89">
        <v>7</v>
      </c>
      <c r="I360" s="89">
        <v>10</v>
      </c>
      <c r="J360" s="89">
        <v>-5</v>
      </c>
      <c r="K360" s="89">
        <v>2</v>
      </c>
      <c r="L360" s="89">
        <v>-8</v>
      </c>
      <c r="M360" s="89" t="s">
        <v>202</v>
      </c>
      <c r="N360" s="89">
        <v>-4</v>
      </c>
      <c r="O360" s="89">
        <v>-1</v>
      </c>
      <c r="P360" s="89">
        <v>10</v>
      </c>
      <c r="Q360" s="89">
        <v>5</v>
      </c>
      <c r="R360" s="89">
        <v>6</v>
      </c>
      <c r="S360" s="89">
        <v>4</v>
      </c>
      <c r="T360" s="89" t="s">
        <v>202</v>
      </c>
      <c r="U360" s="89">
        <v>-7</v>
      </c>
      <c r="V360" s="89">
        <v>8</v>
      </c>
      <c r="W360" s="89">
        <v>-2</v>
      </c>
      <c r="X360" s="89">
        <v>-3</v>
      </c>
      <c r="Y360" s="89">
        <v>-10</v>
      </c>
      <c r="Z360" s="89">
        <v>-9</v>
      </c>
      <c r="AA360" s="89"/>
      <c r="AB360" s="89"/>
      <c r="AC360" s="89"/>
      <c r="AD360" s="89"/>
      <c r="AE360" s="89"/>
      <c r="AF360" s="89"/>
      <c r="AG360" s="89"/>
      <c r="AH360" s="89"/>
      <c r="AI360" s="89"/>
      <c r="AJ360" s="89"/>
      <c r="AK360" s="89"/>
      <c r="AL360" s="89"/>
      <c r="AM360" s="89"/>
      <c r="AN360" s="89"/>
      <c r="AO360" s="89"/>
      <c r="AP360" s="89"/>
      <c r="AQ360" s="89"/>
      <c r="AR360" s="89"/>
      <c r="AS360" s="89"/>
      <c r="AT360" s="89"/>
      <c r="AU360" s="89"/>
      <c r="AV360" s="89"/>
      <c r="AW360" s="89"/>
      <c r="AX360" s="89"/>
      <c r="AY360" s="89"/>
      <c r="AZ360" s="89"/>
      <c r="BA360" s="95"/>
    </row>
    <row r="361" spans="1:53" s="87" customFormat="1">
      <c r="A361" s="90" t="str">
        <f t="shared" si="30"/>
        <v/>
      </c>
      <c r="B361" s="89">
        <v>20</v>
      </c>
      <c r="C361" s="89" t="s">
        <v>210</v>
      </c>
      <c r="D361" s="89">
        <v>-3</v>
      </c>
      <c r="E361" s="89">
        <v>-4</v>
      </c>
      <c r="F361" s="89">
        <v>1</v>
      </c>
      <c r="G361" s="89">
        <v>-9</v>
      </c>
      <c r="H361" s="89">
        <v>6</v>
      </c>
      <c r="I361" s="89">
        <v>-3</v>
      </c>
      <c r="J361" s="89">
        <v>-7</v>
      </c>
      <c r="K361" s="89">
        <v>10</v>
      </c>
      <c r="L361" s="89">
        <v>-5</v>
      </c>
      <c r="M361" s="89">
        <v>2</v>
      </c>
      <c r="N361" s="89">
        <v>-8</v>
      </c>
      <c r="O361" s="89" t="s">
        <v>202</v>
      </c>
      <c r="P361" s="89">
        <v>9</v>
      </c>
      <c r="Q361" s="89">
        <v>-1</v>
      </c>
      <c r="R361" s="89">
        <v>4</v>
      </c>
      <c r="S361" s="89">
        <v>-6</v>
      </c>
      <c r="T361" s="89">
        <v>5</v>
      </c>
      <c r="U361" s="89">
        <v>7</v>
      </c>
      <c r="V361" s="89">
        <v>3</v>
      </c>
      <c r="W361" s="89" t="s">
        <v>202</v>
      </c>
      <c r="X361" s="89">
        <v>-2</v>
      </c>
      <c r="Y361" s="89">
        <v>8</v>
      </c>
      <c r="Z361" s="89">
        <v>-10</v>
      </c>
      <c r="AA361" s="89"/>
      <c r="AB361" s="89"/>
      <c r="AC361" s="89"/>
      <c r="AD361" s="89"/>
      <c r="AE361" s="89"/>
      <c r="AF361" s="89"/>
      <c r="AG361" s="89"/>
      <c r="AH361" s="89"/>
      <c r="AI361" s="89"/>
      <c r="AJ361" s="89"/>
      <c r="AK361" s="89"/>
      <c r="AL361" s="89"/>
      <c r="AM361" s="89"/>
      <c r="AN361" s="89"/>
      <c r="AO361" s="89"/>
      <c r="AP361" s="89"/>
      <c r="AQ361" s="89"/>
      <c r="AR361" s="89"/>
      <c r="AS361" s="89"/>
      <c r="AT361" s="89"/>
      <c r="AU361" s="89"/>
      <c r="AV361" s="89"/>
      <c r="AW361" s="89"/>
      <c r="AX361" s="89"/>
      <c r="AY361" s="89"/>
      <c r="AZ361" s="89"/>
      <c r="BA361" s="95"/>
    </row>
    <row r="362" spans="1:53" s="87" customFormat="1">
      <c r="A362" s="90" t="str">
        <f t="shared" si="30"/>
        <v/>
      </c>
      <c r="B362" s="89">
        <v>21</v>
      </c>
      <c r="C362" s="89">
        <v>6</v>
      </c>
      <c r="D362" s="89" t="s">
        <v>210</v>
      </c>
      <c r="E362" s="89">
        <v>-2</v>
      </c>
      <c r="F362" s="89">
        <v>8</v>
      </c>
      <c r="G362" s="89" t="s">
        <v>202</v>
      </c>
      <c r="H362" s="89">
        <v>-4</v>
      </c>
      <c r="I362" s="89">
        <v>1</v>
      </c>
      <c r="J362" s="89">
        <v>-9</v>
      </c>
      <c r="K362" s="89">
        <v>-6</v>
      </c>
      <c r="L362" s="89">
        <v>3</v>
      </c>
      <c r="M362" s="89">
        <v>7</v>
      </c>
      <c r="N362" s="89">
        <v>-10</v>
      </c>
      <c r="O362" s="89">
        <v>-5</v>
      </c>
      <c r="P362" s="89">
        <v>-3</v>
      </c>
      <c r="Q362" s="89">
        <v>4</v>
      </c>
      <c r="R362" s="89">
        <v>-6</v>
      </c>
      <c r="S362" s="89">
        <v>-1</v>
      </c>
      <c r="T362" s="89">
        <v>-7</v>
      </c>
      <c r="U362" s="89">
        <v>5</v>
      </c>
      <c r="V362" s="89">
        <v>2</v>
      </c>
      <c r="W362" s="89">
        <v>-8</v>
      </c>
      <c r="X362" s="89">
        <v>9</v>
      </c>
      <c r="Y362" s="89" t="s">
        <v>202</v>
      </c>
      <c r="Z362" s="89">
        <v>10</v>
      </c>
      <c r="AA362" s="89"/>
      <c r="AB362" s="89"/>
      <c r="AC362" s="89"/>
      <c r="AD362" s="89"/>
      <c r="AE362" s="89"/>
      <c r="AF362" s="89"/>
      <c r="AG362" s="89"/>
      <c r="AH362" s="89"/>
      <c r="AI362" s="89"/>
      <c r="AJ362" s="89"/>
      <c r="AK362" s="89"/>
      <c r="AL362" s="89"/>
      <c r="AM362" s="89"/>
      <c r="AN362" s="89"/>
      <c r="AO362" s="89"/>
      <c r="AP362" s="89"/>
      <c r="AQ362" s="89"/>
      <c r="AR362" s="89"/>
      <c r="AS362" s="89"/>
      <c r="AT362" s="89"/>
      <c r="AU362" s="89"/>
      <c r="AV362" s="89"/>
      <c r="AW362" s="89"/>
      <c r="AX362" s="89"/>
      <c r="AY362" s="89"/>
      <c r="AZ362" s="89"/>
      <c r="BA362" s="95"/>
    </row>
    <row r="363" spans="1:53" s="87" customFormat="1">
      <c r="A363" s="90" t="str">
        <f t="shared" si="30"/>
        <v/>
      </c>
      <c r="B363" s="89">
        <v>22</v>
      </c>
      <c r="C363" s="89">
        <v>-7</v>
      </c>
      <c r="D363" s="89" t="s">
        <v>210</v>
      </c>
      <c r="E363" s="89">
        <v>-5</v>
      </c>
      <c r="F363" s="89">
        <v>-2</v>
      </c>
      <c r="G363" s="89">
        <v>8</v>
      </c>
      <c r="H363" s="89" t="s">
        <v>202</v>
      </c>
      <c r="I363" s="89">
        <v>4</v>
      </c>
      <c r="J363" s="89">
        <v>1</v>
      </c>
      <c r="K363" s="89">
        <v>9</v>
      </c>
      <c r="L363" s="89">
        <v>-6</v>
      </c>
      <c r="M363" s="89">
        <v>-3</v>
      </c>
      <c r="N363" s="89">
        <v>-7</v>
      </c>
      <c r="O363" s="89">
        <v>-10</v>
      </c>
      <c r="P363" s="89">
        <v>2</v>
      </c>
      <c r="Q363" s="89">
        <v>7</v>
      </c>
      <c r="R363" s="89">
        <v>5</v>
      </c>
      <c r="S363" s="89">
        <v>-4</v>
      </c>
      <c r="T363" s="89">
        <v>-1</v>
      </c>
      <c r="U363" s="89">
        <v>6</v>
      </c>
      <c r="V363" s="89">
        <v>10</v>
      </c>
      <c r="W363" s="89">
        <v>3</v>
      </c>
      <c r="X363" s="89">
        <v>-9</v>
      </c>
      <c r="Y363" s="89">
        <v>-8</v>
      </c>
      <c r="Z363" s="89" t="s">
        <v>202</v>
      </c>
      <c r="AA363" s="89"/>
      <c r="AB363" s="89"/>
      <c r="AC363" s="89"/>
      <c r="AD363" s="89"/>
      <c r="AE363" s="89"/>
      <c r="AF363" s="89"/>
      <c r="AG363" s="89"/>
      <c r="AH363" s="89"/>
      <c r="AI363" s="89"/>
      <c r="AJ363" s="89"/>
      <c r="AK363" s="89"/>
      <c r="AL363" s="89"/>
      <c r="AM363" s="89"/>
      <c r="AN363" s="89"/>
      <c r="AO363" s="89"/>
      <c r="AP363" s="89"/>
      <c r="AQ363" s="89"/>
      <c r="AR363" s="89"/>
      <c r="AS363" s="89"/>
      <c r="AT363" s="89"/>
      <c r="AU363" s="89"/>
      <c r="AV363" s="89"/>
      <c r="AW363" s="89"/>
      <c r="AX363" s="89"/>
      <c r="AY363" s="89"/>
      <c r="AZ363" s="89"/>
      <c r="BA363" s="95"/>
    </row>
    <row r="364" spans="1:53" s="87" customFormat="1">
      <c r="A364" s="90" t="str">
        <f t="shared" si="30"/>
        <v/>
      </c>
      <c r="B364" s="319" t="s">
        <v>913</v>
      </c>
      <c r="C364" s="89"/>
      <c r="D364" s="89"/>
      <c r="E364" s="89"/>
      <c r="F364" s="89"/>
      <c r="G364" s="89"/>
      <c r="H364" s="89"/>
      <c r="I364" s="89"/>
      <c r="J364" s="89"/>
      <c r="K364" s="89"/>
      <c r="L364" s="89"/>
      <c r="M364" s="89"/>
      <c r="N364" s="89"/>
      <c r="O364" s="89"/>
      <c r="P364" s="89"/>
      <c r="Q364" s="89"/>
      <c r="R364" s="89"/>
      <c r="S364" s="89"/>
      <c r="T364" s="89"/>
      <c r="U364" s="89"/>
      <c r="V364" s="89"/>
      <c r="W364" s="89"/>
      <c r="X364" s="89"/>
      <c r="Y364" s="89"/>
      <c r="Z364" s="89"/>
      <c r="AA364" s="89"/>
      <c r="AB364" s="89"/>
      <c r="AC364" s="89"/>
      <c r="AD364" s="89"/>
      <c r="AE364" s="89"/>
      <c r="AF364" s="89"/>
      <c r="AG364" s="89"/>
      <c r="AH364" s="89"/>
      <c r="AI364" s="89"/>
      <c r="AJ364" s="89"/>
      <c r="AK364" s="89"/>
      <c r="AL364" s="89"/>
      <c r="AM364" s="89"/>
      <c r="AN364" s="89"/>
      <c r="AO364" s="89"/>
      <c r="AP364" s="89"/>
      <c r="AQ364" s="89"/>
      <c r="AR364" s="89"/>
      <c r="AS364" s="89"/>
      <c r="AT364" s="89"/>
      <c r="AU364" s="89"/>
      <c r="AV364" s="89"/>
      <c r="AW364" s="89"/>
      <c r="AX364" s="89"/>
      <c r="AY364" s="89"/>
      <c r="AZ364" s="89"/>
      <c r="BA364" s="95"/>
    </row>
    <row r="365" spans="1:53" s="87" customFormat="1">
      <c r="A365" s="90">
        <f t="shared" si="30"/>
        <v>365</v>
      </c>
      <c r="B365" s="89" t="s">
        <v>914</v>
      </c>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c r="AA365" s="89"/>
      <c r="AB365" s="89"/>
      <c r="AC365" s="89"/>
      <c r="AD365" s="89"/>
      <c r="AE365" s="89"/>
      <c r="AF365" s="89"/>
      <c r="AG365" s="89"/>
      <c r="AH365" s="89"/>
      <c r="AI365" s="89"/>
      <c r="AJ365" s="89"/>
      <c r="AK365" s="89"/>
      <c r="AL365" s="89"/>
      <c r="AM365" s="89"/>
      <c r="AN365" s="89"/>
      <c r="AO365" s="89"/>
      <c r="AP365" s="89"/>
      <c r="AQ365" s="89"/>
      <c r="AR365" s="89"/>
      <c r="AS365" s="89"/>
      <c r="AT365" s="89"/>
      <c r="AU365" s="89"/>
      <c r="AV365" s="89"/>
      <c r="AW365" s="89"/>
      <c r="AX365" s="89"/>
      <c r="AY365" s="89"/>
      <c r="AZ365" s="89"/>
      <c r="BA365" s="95"/>
    </row>
    <row r="366" spans="1:53" s="87" customFormat="1">
      <c r="A366" s="90" t="str">
        <f t="shared" si="30"/>
        <v/>
      </c>
      <c r="B366" s="89">
        <v>1</v>
      </c>
      <c r="C366" s="89">
        <v>-1</v>
      </c>
      <c r="D366" s="89">
        <v>2</v>
      </c>
      <c r="E366" s="89" t="s">
        <v>210</v>
      </c>
      <c r="F366" s="89">
        <v>-9</v>
      </c>
      <c r="G366" s="89">
        <v>7</v>
      </c>
      <c r="H366" s="89">
        <v>-5</v>
      </c>
      <c r="I366" s="89">
        <v>1</v>
      </c>
      <c r="J366" s="89" t="s">
        <v>210</v>
      </c>
      <c r="K366" s="89">
        <v>-8</v>
      </c>
      <c r="L366" s="89">
        <v>6</v>
      </c>
      <c r="M366" s="89">
        <v>-4</v>
      </c>
      <c r="N366" s="89">
        <v>3</v>
      </c>
      <c r="O366" s="89" t="s">
        <v>210</v>
      </c>
      <c r="P366" s="89">
        <v>-6</v>
      </c>
      <c r="Q366" s="89">
        <v>9</v>
      </c>
      <c r="R366" s="89">
        <v>-3</v>
      </c>
      <c r="S366" s="89">
        <v>5</v>
      </c>
      <c r="T366" s="89" t="s">
        <v>210</v>
      </c>
      <c r="U366" s="89">
        <v>-10</v>
      </c>
      <c r="V366" s="89">
        <v>8</v>
      </c>
      <c r="W366" s="89">
        <v>4</v>
      </c>
      <c r="X366" s="89">
        <v>-2</v>
      </c>
      <c r="Y366" s="89">
        <v>-7</v>
      </c>
      <c r="Z366" s="89" t="s">
        <v>210</v>
      </c>
      <c r="AA366" s="89">
        <v>10</v>
      </c>
      <c r="AB366" s="89">
        <v>-6</v>
      </c>
      <c r="AC366" s="89">
        <v>-4</v>
      </c>
      <c r="AD366" s="89">
        <v>7</v>
      </c>
      <c r="AE366" s="89" t="s">
        <v>210</v>
      </c>
      <c r="AF366" s="89">
        <v>5</v>
      </c>
      <c r="AG366" s="89"/>
      <c r="AH366" s="89"/>
      <c r="AI366" s="89"/>
      <c r="AJ366" s="89"/>
      <c r="AK366" s="89"/>
      <c r="AL366" s="89"/>
      <c r="AM366" s="89"/>
      <c r="AN366" s="89"/>
      <c r="AO366" s="89"/>
      <c r="AP366" s="89"/>
      <c r="AQ366" s="89"/>
      <c r="AR366" s="89"/>
      <c r="AS366" s="89"/>
      <c r="AT366" s="89"/>
      <c r="AU366" s="89"/>
      <c r="AV366" s="89"/>
      <c r="AW366" s="89"/>
      <c r="AX366" s="89"/>
      <c r="AY366" s="89"/>
      <c r="AZ366" s="89"/>
      <c r="BA366" s="95"/>
    </row>
    <row r="367" spans="1:53" s="87" customFormat="1">
      <c r="A367" s="90" t="str">
        <f t="shared" si="30"/>
        <v/>
      </c>
      <c r="B367" s="89">
        <v>2</v>
      </c>
      <c r="C367" s="89">
        <v>-5</v>
      </c>
      <c r="D367" s="89">
        <v>4</v>
      </c>
      <c r="E367" s="89" t="s">
        <v>210</v>
      </c>
      <c r="F367" s="89">
        <v>-7</v>
      </c>
      <c r="G367" s="89">
        <v>8</v>
      </c>
      <c r="H367" s="89">
        <v>-2</v>
      </c>
      <c r="I367" s="89">
        <v>5</v>
      </c>
      <c r="J367" s="89" t="s">
        <v>210</v>
      </c>
      <c r="K367" s="89">
        <v>-10</v>
      </c>
      <c r="L367" s="89">
        <v>9</v>
      </c>
      <c r="M367" s="89">
        <v>-3</v>
      </c>
      <c r="N367" s="89">
        <v>1</v>
      </c>
      <c r="O367" s="89" t="s">
        <v>210</v>
      </c>
      <c r="P367" s="89">
        <v>-9</v>
      </c>
      <c r="Q367" s="89">
        <v>7</v>
      </c>
      <c r="R367" s="89">
        <v>-1</v>
      </c>
      <c r="S367" s="89">
        <v>2</v>
      </c>
      <c r="T367" s="89" t="s">
        <v>210</v>
      </c>
      <c r="U367" s="89">
        <v>-6</v>
      </c>
      <c r="V367" s="89">
        <v>10</v>
      </c>
      <c r="W367" s="89">
        <v>3</v>
      </c>
      <c r="X367" s="89">
        <v>-4</v>
      </c>
      <c r="Y367" s="89">
        <v>-8</v>
      </c>
      <c r="Z367" s="89" t="s">
        <v>210</v>
      </c>
      <c r="AA367" s="89">
        <v>6</v>
      </c>
      <c r="AB367" s="89" t="s">
        <v>210</v>
      </c>
      <c r="AC367" s="89">
        <v>1</v>
      </c>
      <c r="AD367" s="89">
        <v>-7</v>
      </c>
      <c r="AE367" s="89">
        <v>3</v>
      </c>
      <c r="AF367" s="89">
        <v>-6</v>
      </c>
      <c r="AG367" s="89"/>
      <c r="AH367" s="89"/>
      <c r="AI367" s="89"/>
      <c r="AJ367" s="89"/>
      <c r="AK367" s="89"/>
      <c r="AL367" s="89"/>
      <c r="AM367" s="89"/>
      <c r="AN367" s="89"/>
      <c r="AO367" s="89"/>
      <c r="AP367" s="89"/>
      <c r="AQ367" s="89"/>
      <c r="AR367" s="89"/>
      <c r="AS367" s="89"/>
      <c r="AT367" s="89"/>
      <c r="AU367" s="89"/>
      <c r="AV367" s="89"/>
      <c r="AW367" s="89"/>
      <c r="AX367" s="89"/>
      <c r="AY367" s="89"/>
      <c r="AZ367" s="89"/>
      <c r="BA367" s="95"/>
    </row>
    <row r="368" spans="1:53" s="87" customFormat="1">
      <c r="A368" s="90" t="str">
        <f t="shared" si="30"/>
        <v/>
      </c>
      <c r="B368" s="89">
        <v>3</v>
      </c>
      <c r="C368" s="89">
        <v>-2</v>
      </c>
      <c r="D368" s="89">
        <v>3</v>
      </c>
      <c r="E368" s="89" t="s">
        <v>210</v>
      </c>
      <c r="F368" s="89">
        <v>-8</v>
      </c>
      <c r="G368" s="89">
        <v>10</v>
      </c>
      <c r="H368" s="89">
        <v>-4</v>
      </c>
      <c r="I368" s="89">
        <v>2</v>
      </c>
      <c r="J368" s="89" t="s">
        <v>210</v>
      </c>
      <c r="K368" s="89">
        <v>-6</v>
      </c>
      <c r="L368" s="89">
        <v>7</v>
      </c>
      <c r="M368" s="89">
        <v>-1</v>
      </c>
      <c r="N368" s="89">
        <v>5</v>
      </c>
      <c r="O368" s="89" t="s">
        <v>210</v>
      </c>
      <c r="P368" s="89">
        <v>-7</v>
      </c>
      <c r="Q368" s="89">
        <v>8</v>
      </c>
      <c r="R368" s="89">
        <v>-5</v>
      </c>
      <c r="S368" s="89">
        <v>4</v>
      </c>
      <c r="T368" s="89" t="s">
        <v>210</v>
      </c>
      <c r="U368" s="89">
        <v>-9</v>
      </c>
      <c r="V368" s="89">
        <v>6</v>
      </c>
      <c r="W368" s="89">
        <v>1</v>
      </c>
      <c r="X368" s="89">
        <v>-3</v>
      </c>
      <c r="Y368" s="89">
        <v>-10</v>
      </c>
      <c r="Z368" s="89" t="s">
        <v>210</v>
      </c>
      <c r="AA368" s="89">
        <v>9</v>
      </c>
      <c r="AB368" s="89">
        <v>6</v>
      </c>
      <c r="AC368" s="89">
        <v>-1</v>
      </c>
      <c r="AD368" s="89">
        <v>-4</v>
      </c>
      <c r="AE368" s="89">
        <v>7</v>
      </c>
      <c r="AF368" s="89" t="s">
        <v>210</v>
      </c>
      <c r="AG368" s="89"/>
      <c r="AH368" s="89"/>
      <c r="AI368" s="89"/>
      <c r="AJ368" s="89"/>
      <c r="AK368" s="89"/>
      <c r="AL368" s="89"/>
      <c r="AM368" s="89"/>
      <c r="AN368" s="89"/>
      <c r="AO368" s="89"/>
      <c r="AP368" s="89"/>
      <c r="AQ368" s="89"/>
      <c r="AR368" s="89"/>
      <c r="AS368" s="89"/>
      <c r="AT368" s="89"/>
      <c r="AU368" s="89"/>
      <c r="AV368" s="89"/>
      <c r="AW368" s="89"/>
      <c r="AX368" s="89"/>
      <c r="AY368" s="89"/>
      <c r="AZ368" s="89"/>
      <c r="BA368" s="95"/>
    </row>
    <row r="369" spans="1:53" s="87" customFormat="1">
      <c r="A369" s="90" t="str">
        <f t="shared" si="30"/>
        <v/>
      </c>
      <c r="B369" s="89">
        <v>4</v>
      </c>
      <c r="C369" s="89">
        <v>-4</v>
      </c>
      <c r="D369" s="89">
        <v>1</v>
      </c>
      <c r="E369" s="89" t="s">
        <v>210</v>
      </c>
      <c r="F369" s="89">
        <v>-10</v>
      </c>
      <c r="G369" s="89">
        <v>6</v>
      </c>
      <c r="H369" s="89">
        <v>-3</v>
      </c>
      <c r="I369" s="89">
        <v>4</v>
      </c>
      <c r="J369" s="89" t="s">
        <v>210</v>
      </c>
      <c r="K369" s="89">
        <v>-9</v>
      </c>
      <c r="L369" s="89">
        <v>8</v>
      </c>
      <c r="M369" s="89">
        <v>-5</v>
      </c>
      <c r="N369" s="89">
        <v>2</v>
      </c>
      <c r="O369" s="89" t="s">
        <v>210</v>
      </c>
      <c r="P369" s="89">
        <v>-8</v>
      </c>
      <c r="Q369" s="89">
        <v>10</v>
      </c>
      <c r="R369" s="89">
        <v>-2</v>
      </c>
      <c r="S369" s="89">
        <v>3</v>
      </c>
      <c r="T369" s="89" t="s">
        <v>210</v>
      </c>
      <c r="U369" s="89">
        <v>-7</v>
      </c>
      <c r="V369" s="89">
        <v>9</v>
      </c>
      <c r="W369" s="89">
        <v>5</v>
      </c>
      <c r="X369" s="89">
        <v>-1</v>
      </c>
      <c r="Y369" s="89">
        <v>-6</v>
      </c>
      <c r="Z369" s="89" t="s">
        <v>210</v>
      </c>
      <c r="AA369" s="89">
        <v>7</v>
      </c>
      <c r="AB369" s="89">
        <v>10</v>
      </c>
      <c r="AC369" s="89" t="s">
        <v>210</v>
      </c>
      <c r="AD369" s="89">
        <v>4</v>
      </c>
      <c r="AE369" s="89">
        <v>-3</v>
      </c>
      <c r="AF369" s="89">
        <v>-5</v>
      </c>
      <c r="AG369" s="89"/>
      <c r="AH369" s="89"/>
      <c r="AI369" s="89"/>
      <c r="AJ369" s="89"/>
      <c r="AK369" s="89"/>
      <c r="AL369" s="89"/>
      <c r="AM369" s="89"/>
      <c r="AN369" s="89"/>
      <c r="AO369" s="89"/>
      <c r="AP369" s="89"/>
      <c r="AQ369" s="89"/>
      <c r="AR369" s="89"/>
      <c r="AS369" s="89"/>
      <c r="AT369" s="89"/>
      <c r="AU369" s="89"/>
      <c r="AV369" s="89"/>
      <c r="AW369" s="89"/>
      <c r="AX369" s="89"/>
      <c r="AY369" s="89"/>
      <c r="AZ369" s="89"/>
      <c r="BA369" s="95"/>
    </row>
    <row r="370" spans="1:53" s="87" customFormat="1">
      <c r="A370" s="90" t="str">
        <f t="shared" si="30"/>
        <v/>
      </c>
      <c r="B370" s="89">
        <v>5</v>
      </c>
      <c r="C370" s="89">
        <v>-3</v>
      </c>
      <c r="D370" s="89">
        <v>5</v>
      </c>
      <c r="E370" s="89" t="s">
        <v>210</v>
      </c>
      <c r="F370" s="89">
        <v>-6</v>
      </c>
      <c r="G370" s="89">
        <v>9</v>
      </c>
      <c r="H370" s="89">
        <v>-1</v>
      </c>
      <c r="I370" s="89">
        <v>3</v>
      </c>
      <c r="J370" s="89" t="s">
        <v>210</v>
      </c>
      <c r="K370" s="89">
        <v>-7</v>
      </c>
      <c r="L370" s="89">
        <v>10</v>
      </c>
      <c r="M370" s="89">
        <v>-2</v>
      </c>
      <c r="N370" s="89">
        <v>4</v>
      </c>
      <c r="O370" s="89" t="s">
        <v>210</v>
      </c>
      <c r="P370" s="89">
        <v>-10</v>
      </c>
      <c r="Q370" s="89">
        <v>6</v>
      </c>
      <c r="R370" s="89">
        <v>-4</v>
      </c>
      <c r="S370" s="89">
        <v>1</v>
      </c>
      <c r="T370" s="89" t="s">
        <v>210</v>
      </c>
      <c r="U370" s="89">
        <v>-8</v>
      </c>
      <c r="V370" s="89">
        <v>7</v>
      </c>
      <c r="W370" s="89">
        <v>2</v>
      </c>
      <c r="X370" s="89">
        <v>-5</v>
      </c>
      <c r="Y370" s="89">
        <v>-9</v>
      </c>
      <c r="Z370" s="89" t="s">
        <v>210</v>
      </c>
      <c r="AA370" s="89">
        <v>8</v>
      </c>
      <c r="AB370" s="89">
        <v>-10</v>
      </c>
      <c r="AC370" s="89">
        <v>4</v>
      </c>
      <c r="AD370" s="89" t="s">
        <v>210</v>
      </c>
      <c r="AE370" s="89">
        <v>-7</v>
      </c>
      <c r="AF370" s="89">
        <v>6</v>
      </c>
      <c r="AG370" s="89"/>
      <c r="AH370" s="89"/>
      <c r="AI370" s="89"/>
      <c r="AJ370" s="89"/>
      <c r="AK370" s="89"/>
      <c r="AL370" s="89"/>
      <c r="AM370" s="89"/>
      <c r="AN370" s="89"/>
      <c r="AO370" s="89"/>
      <c r="AP370" s="89"/>
      <c r="AQ370" s="89"/>
      <c r="AR370" s="89"/>
      <c r="AS370" s="89"/>
      <c r="AT370" s="89"/>
      <c r="AU370" s="89"/>
      <c r="AV370" s="89"/>
      <c r="AW370" s="89"/>
      <c r="AX370" s="89"/>
      <c r="AY370" s="89"/>
      <c r="AZ370" s="89"/>
      <c r="BA370" s="95"/>
    </row>
    <row r="371" spans="1:53" s="87" customFormat="1">
      <c r="A371" s="90" t="str">
        <f t="shared" si="30"/>
        <v/>
      </c>
      <c r="B371" s="89">
        <v>6</v>
      </c>
      <c r="C371" s="89">
        <v>1</v>
      </c>
      <c r="D371" s="89">
        <v>7</v>
      </c>
      <c r="E371" s="89">
        <v>-9</v>
      </c>
      <c r="F371" s="89">
        <v>-4</v>
      </c>
      <c r="G371" s="89" t="s">
        <v>210</v>
      </c>
      <c r="H371" s="89">
        <v>3</v>
      </c>
      <c r="I371" s="89">
        <v>10</v>
      </c>
      <c r="J371" s="89">
        <v>-8</v>
      </c>
      <c r="K371" s="89">
        <v>-5</v>
      </c>
      <c r="L371" s="89" t="s">
        <v>210</v>
      </c>
      <c r="M371" s="89">
        <v>2</v>
      </c>
      <c r="N371" s="89">
        <v>6</v>
      </c>
      <c r="O371" s="89">
        <v>-10</v>
      </c>
      <c r="P371" s="89">
        <v>-3</v>
      </c>
      <c r="Q371" s="89" t="s">
        <v>210</v>
      </c>
      <c r="R371" s="89">
        <v>5</v>
      </c>
      <c r="S371" s="89">
        <v>8</v>
      </c>
      <c r="T371" s="89">
        <v>-6</v>
      </c>
      <c r="U371" s="89">
        <v>-1</v>
      </c>
      <c r="V371" s="89" t="s">
        <v>210</v>
      </c>
      <c r="W371" s="89">
        <v>9</v>
      </c>
      <c r="X371" s="89">
        <v>4</v>
      </c>
      <c r="Y371" s="89">
        <v>-2</v>
      </c>
      <c r="Z371" s="89">
        <v>-7</v>
      </c>
      <c r="AA371" s="89" t="s">
        <v>210</v>
      </c>
      <c r="AB371" s="89">
        <v>-1</v>
      </c>
      <c r="AC371" s="89" t="s">
        <v>210</v>
      </c>
      <c r="AD371" s="89">
        <v>-6</v>
      </c>
      <c r="AE371" s="89">
        <v>5</v>
      </c>
      <c r="AF371" s="89">
        <v>7</v>
      </c>
      <c r="AG371" s="89"/>
      <c r="AH371" s="89"/>
      <c r="AI371" s="89"/>
      <c r="AJ371" s="89"/>
      <c r="AK371" s="89"/>
      <c r="AL371" s="89"/>
      <c r="AM371" s="89"/>
      <c r="AN371" s="89"/>
      <c r="AO371" s="89"/>
      <c r="AP371" s="89"/>
      <c r="AQ371" s="89"/>
      <c r="AR371" s="89"/>
      <c r="AS371" s="89"/>
      <c r="AT371" s="89"/>
      <c r="AU371" s="89"/>
      <c r="AV371" s="89"/>
      <c r="AW371" s="89"/>
      <c r="AX371" s="89"/>
      <c r="AY371" s="89"/>
      <c r="AZ371" s="89"/>
      <c r="BA371" s="95"/>
    </row>
    <row r="372" spans="1:53" s="87" customFormat="1">
      <c r="A372" s="90" t="str">
        <f t="shared" si="30"/>
        <v/>
      </c>
      <c r="B372" s="89">
        <v>7</v>
      </c>
      <c r="C372" s="89">
        <v>5</v>
      </c>
      <c r="D372" s="89">
        <v>8</v>
      </c>
      <c r="E372" s="89">
        <v>-7</v>
      </c>
      <c r="F372" s="89">
        <v>-3</v>
      </c>
      <c r="G372" s="89" t="s">
        <v>210</v>
      </c>
      <c r="H372" s="89">
        <v>1</v>
      </c>
      <c r="I372" s="89">
        <v>6</v>
      </c>
      <c r="J372" s="89">
        <v>-10</v>
      </c>
      <c r="K372" s="89">
        <v>-2</v>
      </c>
      <c r="L372" s="89" t="s">
        <v>210</v>
      </c>
      <c r="M372" s="89">
        <v>4</v>
      </c>
      <c r="N372" s="89">
        <v>9</v>
      </c>
      <c r="O372" s="89">
        <v>-6</v>
      </c>
      <c r="P372" s="89">
        <v>-1</v>
      </c>
      <c r="Q372" s="89" t="s">
        <v>210</v>
      </c>
      <c r="R372" s="89">
        <v>2</v>
      </c>
      <c r="S372" s="89">
        <v>10</v>
      </c>
      <c r="T372" s="89">
        <v>-9</v>
      </c>
      <c r="U372" s="89">
        <v>-5</v>
      </c>
      <c r="V372" s="89" t="s">
        <v>210</v>
      </c>
      <c r="W372" s="89">
        <v>7</v>
      </c>
      <c r="X372" s="89">
        <v>3</v>
      </c>
      <c r="Y372" s="89">
        <v>-4</v>
      </c>
      <c r="Z372" s="89">
        <v>-8</v>
      </c>
      <c r="AA372" s="89" t="s">
        <v>210</v>
      </c>
      <c r="AB372" s="89">
        <v>1</v>
      </c>
      <c r="AC372" s="89">
        <v>7</v>
      </c>
      <c r="AD372" s="89">
        <v>-5</v>
      </c>
      <c r="AE372" s="89" t="s">
        <v>210</v>
      </c>
      <c r="AF372" s="89">
        <v>-4</v>
      </c>
      <c r="AG372" s="89"/>
      <c r="AH372" s="89"/>
      <c r="AI372" s="89"/>
      <c r="AJ372" s="89"/>
      <c r="AK372" s="89"/>
      <c r="AL372" s="89"/>
      <c r="AM372" s="89"/>
      <c r="AN372" s="89"/>
      <c r="AO372" s="89"/>
      <c r="AP372" s="89"/>
      <c r="AQ372" s="89"/>
      <c r="AR372" s="89"/>
      <c r="AS372" s="89"/>
      <c r="AT372" s="89"/>
      <c r="AU372" s="89"/>
      <c r="AV372" s="89"/>
      <c r="AW372" s="89"/>
      <c r="AX372" s="89"/>
      <c r="AY372" s="89"/>
      <c r="AZ372" s="89"/>
      <c r="BA372" s="95"/>
    </row>
    <row r="373" spans="1:53" s="87" customFormat="1">
      <c r="A373" s="90" t="str">
        <f t="shared" si="30"/>
        <v/>
      </c>
      <c r="B373" s="89">
        <v>8</v>
      </c>
      <c r="C373" s="89">
        <v>2</v>
      </c>
      <c r="D373" s="89">
        <v>10</v>
      </c>
      <c r="E373" s="89">
        <v>-8</v>
      </c>
      <c r="F373" s="89">
        <v>-1</v>
      </c>
      <c r="G373" s="89" t="s">
        <v>210</v>
      </c>
      <c r="H373" s="89">
        <v>5</v>
      </c>
      <c r="I373" s="89">
        <v>9</v>
      </c>
      <c r="J373" s="89">
        <v>-6</v>
      </c>
      <c r="K373" s="89">
        <v>-4</v>
      </c>
      <c r="L373" s="89" t="s">
        <v>210</v>
      </c>
      <c r="M373" s="89">
        <v>3</v>
      </c>
      <c r="N373" s="89">
        <v>7</v>
      </c>
      <c r="O373" s="89">
        <v>-9</v>
      </c>
      <c r="P373" s="89">
        <v>-5</v>
      </c>
      <c r="Q373" s="89" t="s">
        <v>210</v>
      </c>
      <c r="R373" s="89">
        <v>4</v>
      </c>
      <c r="S373" s="89">
        <v>6</v>
      </c>
      <c r="T373" s="89">
        <v>-7</v>
      </c>
      <c r="U373" s="89">
        <v>-2</v>
      </c>
      <c r="V373" s="89" t="s">
        <v>210</v>
      </c>
      <c r="W373" s="89">
        <v>8</v>
      </c>
      <c r="X373" s="89">
        <v>1</v>
      </c>
      <c r="Y373" s="89">
        <v>-3</v>
      </c>
      <c r="Z373" s="89">
        <v>-10</v>
      </c>
      <c r="AA373" s="89" t="s">
        <v>210</v>
      </c>
      <c r="AB373" s="89">
        <v>-9</v>
      </c>
      <c r="AC373" s="89">
        <v>-7</v>
      </c>
      <c r="AD373" s="89">
        <v>6</v>
      </c>
      <c r="AE373" s="89">
        <v>4</v>
      </c>
      <c r="AF373" s="89" t="s">
        <v>210</v>
      </c>
      <c r="AG373" s="89"/>
      <c r="AH373" s="89"/>
      <c r="AI373" s="89"/>
      <c r="AJ373" s="89"/>
      <c r="AK373" s="89"/>
      <c r="AL373" s="89"/>
      <c r="AM373" s="89"/>
      <c r="AN373" s="89"/>
      <c r="AO373" s="89"/>
      <c r="AP373" s="89"/>
      <c r="AQ373" s="89"/>
      <c r="AR373" s="89"/>
      <c r="AS373" s="89"/>
      <c r="AT373" s="89"/>
      <c r="AU373" s="89"/>
      <c r="AV373" s="89"/>
      <c r="AW373" s="89"/>
      <c r="AX373" s="89"/>
      <c r="AY373" s="89"/>
      <c r="AZ373" s="89"/>
      <c r="BA373" s="95"/>
    </row>
    <row r="374" spans="1:53" s="87" customFormat="1">
      <c r="A374" s="90" t="str">
        <f t="shared" si="30"/>
        <v/>
      </c>
      <c r="B374" s="89">
        <v>9</v>
      </c>
      <c r="C374" s="89">
        <v>4</v>
      </c>
      <c r="D374" s="89">
        <v>6</v>
      </c>
      <c r="E374" s="89">
        <v>-10</v>
      </c>
      <c r="F374" s="89">
        <v>-5</v>
      </c>
      <c r="G374" s="89" t="s">
        <v>210</v>
      </c>
      <c r="H374" s="89">
        <v>2</v>
      </c>
      <c r="I374" s="89">
        <v>7</v>
      </c>
      <c r="J374" s="89">
        <v>-9</v>
      </c>
      <c r="K374" s="89">
        <v>-3</v>
      </c>
      <c r="L374" s="89" t="s">
        <v>210</v>
      </c>
      <c r="M374" s="89">
        <v>1</v>
      </c>
      <c r="N374" s="89">
        <v>8</v>
      </c>
      <c r="O374" s="89">
        <v>-7</v>
      </c>
      <c r="P374" s="89">
        <v>-2</v>
      </c>
      <c r="Q374" s="89" t="s">
        <v>210</v>
      </c>
      <c r="R374" s="89">
        <v>3</v>
      </c>
      <c r="S374" s="89">
        <v>9</v>
      </c>
      <c r="T374" s="89">
        <v>-8</v>
      </c>
      <c r="U374" s="89">
        <v>-4</v>
      </c>
      <c r="V374" s="89" t="s">
        <v>210</v>
      </c>
      <c r="W374" s="89">
        <v>10</v>
      </c>
      <c r="X374" s="89">
        <v>5</v>
      </c>
      <c r="Y374" s="89">
        <v>-1</v>
      </c>
      <c r="Z374" s="89">
        <v>-6</v>
      </c>
      <c r="AA374" s="89" t="s">
        <v>210</v>
      </c>
      <c r="AB374" s="89">
        <v>9</v>
      </c>
      <c r="AC374" s="89">
        <v>-10</v>
      </c>
      <c r="AD374" s="89" t="s">
        <v>210</v>
      </c>
      <c r="AE374" s="89">
        <v>-5</v>
      </c>
      <c r="AF374" s="89">
        <v>4</v>
      </c>
      <c r="AG374" s="89"/>
      <c r="AH374" s="89"/>
      <c r="AI374" s="89"/>
      <c r="AJ374" s="89"/>
      <c r="AK374" s="89"/>
      <c r="AL374" s="89"/>
      <c r="AM374" s="89"/>
      <c r="AN374" s="89"/>
      <c r="AO374" s="89"/>
      <c r="AP374" s="89"/>
      <c r="AQ374" s="89"/>
      <c r="AR374" s="89"/>
      <c r="AS374" s="89"/>
      <c r="AT374" s="89"/>
      <c r="AU374" s="89"/>
      <c r="AV374" s="89"/>
      <c r="AW374" s="89"/>
      <c r="AX374" s="89"/>
      <c r="AY374" s="89"/>
      <c r="AZ374" s="89"/>
      <c r="BA374" s="95"/>
    </row>
    <row r="375" spans="1:53" s="87" customFormat="1">
      <c r="A375" s="90" t="str">
        <f t="shared" si="30"/>
        <v/>
      </c>
      <c r="B375" s="89">
        <v>10</v>
      </c>
      <c r="C375" s="89">
        <v>3</v>
      </c>
      <c r="D375" s="89">
        <v>9</v>
      </c>
      <c r="E375" s="89">
        <v>-6</v>
      </c>
      <c r="F375" s="89">
        <v>-2</v>
      </c>
      <c r="G375" s="89" t="s">
        <v>210</v>
      </c>
      <c r="H375" s="89">
        <v>4</v>
      </c>
      <c r="I375" s="89">
        <v>8</v>
      </c>
      <c r="J375" s="89">
        <v>-7</v>
      </c>
      <c r="K375" s="89">
        <v>-1</v>
      </c>
      <c r="L375" s="89" t="s">
        <v>210</v>
      </c>
      <c r="M375" s="89">
        <v>5</v>
      </c>
      <c r="N375" s="89">
        <v>10</v>
      </c>
      <c r="O375" s="89">
        <v>-8</v>
      </c>
      <c r="P375" s="89">
        <v>-4</v>
      </c>
      <c r="Q375" s="89" t="s">
        <v>210</v>
      </c>
      <c r="R375" s="89">
        <v>1</v>
      </c>
      <c r="S375" s="89">
        <v>7</v>
      </c>
      <c r="T375" s="89">
        <v>-10</v>
      </c>
      <c r="U375" s="89">
        <v>-3</v>
      </c>
      <c r="V375" s="89" t="s">
        <v>210</v>
      </c>
      <c r="W375" s="89">
        <v>6</v>
      </c>
      <c r="X375" s="89">
        <v>2</v>
      </c>
      <c r="Y375" s="89">
        <v>-5</v>
      </c>
      <c r="Z375" s="89">
        <v>-9</v>
      </c>
      <c r="AA375" s="89" t="s">
        <v>210</v>
      </c>
      <c r="AB375" s="89" t="s">
        <v>210</v>
      </c>
      <c r="AC375" s="89">
        <v>10</v>
      </c>
      <c r="AD375" s="89">
        <v>5</v>
      </c>
      <c r="AE375" s="89">
        <v>-4</v>
      </c>
      <c r="AF375" s="89">
        <v>-7</v>
      </c>
      <c r="AG375" s="89"/>
      <c r="AH375" s="89"/>
      <c r="AI375" s="89"/>
      <c r="AJ375" s="89"/>
      <c r="AK375" s="89"/>
      <c r="AL375" s="89"/>
      <c r="AM375" s="89"/>
      <c r="AN375" s="89"/>
      <c r="AO375" s="89"/>
      <c r="AP375" s="89"/>
      <c r="AQ375" s="89"/>
      <c r="AR375" s="89"/>
      <c r="AS375" s="89"/>
      <c r="AT375" s="89"/>
      <c r="AU375" s="89"/>
      <c r="AV375" s="89"/>
      <c r="AW375" s="89"/>
      <c r="AX375" s="89"/>
      <c r="AY375" s="89"/>
      <c r="AZ375" s="89"/>
      <c r="BA375" s="95"/>
    </row>
    <row r="376" spans="1:53" s="87" customFormat="1">
      <c r="A376" s="90" t="str">
        <f t="shared" si="30"/>
        <v/>
      </c>
      <c r="B376" s="89">
        <v>11</v>
      </c>
      <c r="C376" s="89" t="s">
        <v>210</v>
      </c>
      <c r="D376" s="89">
        <v>-9</v>
      </c>
      <c r="E376" s="89">
        <v>2</v>
      </c>
      <c r="F376" s="89">
        <v>7</v>
      </c>
      <c r="G376" s="89">
        <v>-4</v>
      </c>
      <c r="H376" s="89" t="s">
        <v>210</v>
      </c>
      <c r="I376" s="89">
        <v>-10</v>
      </c>
      <c r="J376" s="89">
        <v>3</v>
      </c>
      <c r="K376" s="89">
        <v>6</v>
      </c>
      <c r="L376" s="89">
        <v>-5</v>
      </c>
      <c r="M376" s="89" t="s">
        <v>210</v>
      </c>
      <c r="N376" s="89">
        <v>-8</v>
      </c>
      <c r="O376" s="89">
        <v>1</v>
      </c>
      <c r="P376" s="89">
        <v>8</v>
      </c>
      <c r="Q376" s="89">
        <v>-2</v>
      </c>
      <c r="R376" s="89" t="s">
        <v>210</v>
      </c>
      <c r="S376" s="89">
        <v>-6</v>
      </c>
      <c r="T376" s="89">
        <v>5</v>
      </c>
      <c r="U376" s="89">
        <v>10</v>
      </c>
      <c r="V376" s="89">
        <v>-3</v>
      </c>
      <c r="W376" s="89">
        <v>-7</v>
      </c>
      <c r="X376" s="89" t="s">
        <v>210</v>
      </c>
      <c r="Y376" s="89">
        <v>9</v>
      </c>
      <c r="Z376" s="89">
        <v>4</v>
      </c>
      <c r="AA376" s="89">
        <v>-1</v>
      </c>
      <c r="AB376" s="89">
        <v>7</v>
      </c>
      <c r="AC376" s="89" t="s">
        <v>210</v>
      </c>
      <c r="AD376" s="89">
        <v>10</v>
      </c>
      <c r="AE376" s="89">
        <v>-6</v>
      </c>
      <c r="AF376" s="89">
        <v>-3</v>
      </c>
      <c r="AG376" s="89"/>
      <c r="AH376" s="89"/>
      <c r="AI376" s="89"/>
      <c r="AJ376" s="89"/>
      <c r="AK376" s="89"/>
      <c r="AL376" s="89"/>
      <c r="AM376" s="89"/>
      <c r="AN376" s="89"/>
      <c r="AO376" s="89"/>
      <c r="AP376" s="89"/>
      <c r="AQ376" s="89"/>
      <c r="AR376" s="89"/>
      <c r="AS376" s="89"/>
      <c r="AT376" s="89"/>
      <c r="AU376" s="89"/>
      <c r="AV376" s="89"/>
      <c r="AW376" s="89"/>
      <c r="AX376" s="89"/>
      <c r="AY376" s="89"/>
      <c r="AZ376" s="89"/>
      <c r="BA376" s="95"/>
    </row>
    <row r="377" spans="1:53" s="87" customFormat="1">
      <c r="A377" s="90" t="str">
        <f t="shared" si="30"/>
        <v/>
      </c>
      <c r="B377" s="89">
        <v>12</v>
      </c>
      <c r="C377" s="89" t="s">
        <v>210</v>
      </c>
      <c r="D377" s="89">
        <v>-7</v>
      </c>
      <c r="E377" s="89">
        <v>4</v>
      </c>
      <c r="F377" s="89">
        <v>8</v>
      </c>
      <c r="G377" s="89">
        <v>-3</v>
      </c>
      <c r="H377" s="89" t="s">
        <v>210</v>
      </c>
      <c r="I377" s="89">
        <v>-6</v>
      </c>
      <c r="J377" s="89">
        <v>1</v>
      </c>
      <c r="K377" s="89">
        <v>9</v>
      </c>
      <c r="L377" s="89">
        <v>-2</v>
      </c>
      <c r="M377" s="89" t="s">
        <v>210</v>
      </c>
      <c r="N377" s="89">
        <v>-10</v>
      </c>
      <c r="O377" s="89">
        <v>5</v>
      </c>
      <c r="P377" s="89">
        <v>10</v>
      </c>
      <c r="Q377" s="89">
        <v>-4</v>
      </c>
      <c r="R377" s="89" t="s">
        <v>210</v>
      </c>
      <c r="S377" s="89">
        <v>-9</v>
      </c>
      <c r="T377" s="89">
        <v>2</v>
      </c>
      <c r="U377" s="89">
        <v>6</v>
      </c>
      <c r="V377" s="89">
        <v>-1</v>
      </c>
      <c r="W377" s="89">
        <v>-8</v>
      </c>
      <c r="X377" s="89" t="s">
        <v>210</v>
      </c>
      <c r="Y377" s="89">
        <v>7</v>
      </c>
      <c r="Z377" s="89">
        <v>3</v>
      </c>
      <c r="AA377" s="89">
        <v>-5</v>
      </c>
      <c r="AB377" s="89">
        <v>-4</v>
      </c>
      <c r="AC377" s="89">
        <v>-2</v>
      </c>
      <c r="AD377" s="89" t="s">
        <v>210</v>
      </c>
      <c r="AE377" s="89">
        <v>8</v>
      </c>
      <c r="AF377" s="89">
        <v>3</v>
      </c>
      <c r="AG377" s="89"/>
      <c r="AH377" s="89"/>
      <c r="AI377" s="89"/>
      <c r="AJ377" s="89"/>
      <c r="AK377" s="89"/>
      <c r="AL377" s="89"/>
      <c r="AM377" s="89"/>
      <c r="AN377" s="89"/>
      <c r="AO377" s="89"/>
      <c r="AP377" s="89"/>
      <c r="AQ377" s="89"/>
      <c r="AR377" s="89"/>
      <c r="AS377" s="89"/>
      <c r="AT377" s="89"/>
      <c r="AU377" s="89"/>
      <c r="AV377" s="89"/>
      <c r="AW377" s="89"/>
      <c r="AX377" s="89"/>
      <c r="AY377" s="89"/>
      <c r="AZ377" s="89"/>
      <c r="BA377" s="95"/>
    </row>
    <row r="378" spans="1:53" s="87" customFormat="1">
      <c r="A378" s="90" t="str">
        <f t="shared" si="30"/>
        <v/>
      </c>
      <c r="B378" s="89">
        <v>13</v>
      </c>
      <c r="C378" s="89" t="s">
        <v>210</v>
      </c>
      <c r="D378" s="89">
        <v>-8</v>
      </c>
      <c r="E378" s="89">
        <v>3</v>
      </c>
      <c r="F378" s="89">
        <v>10</v>
      </c>
      <c r="G378" s="89">
        <v>-1</v>
      </c>
      <c r="H378" s="89" t="s">
        <v>210</v>
      </c>
      <c r="I378" s="89">
        <v>-9</v>
      </c>
      <c r="J378" s="89">
        <v>5</v>
      </c>
      <c r="K378" s="89">
        <v>7</v>
      </c>
      <c r="L378" s="89">
        <v>-4</v>
      </c>
      <c r="M378" s="89" t="s">
        <v>210</v>
      </c>
      <c r="N378" s="89">
        <v>-6</v>
      </c>
      <c r="O378" s="89">
        <v>2</v>
      </c>
      <c r="P378" s="89">
        <v>6</v>
      </c>
      <c r="Q378" s="89">
        <v>-3</v>
      </c>
      <c r="R378" s="89" t="s">
        <v>210</v>
      </c>
      <c r="S378" s="89">
        <v>-7</v>
      </c>
      <c r="T378" s="89">
        <v>4</v>
      </c>
      <c r="U378" s="89">
        <v>9</v>
      </c>
      <c r="V378" s="89">
        <v>-5</v>
      </c>
      <c r="W378" s="89">
        <v>-10</v>
      </c>
      <c r="X378" s="89" t="s">
        <v>210</v>
      </c>
      <c r="Y378" s="89">
        <v>8</v>
      </c>
      <c r="Z378" s="89">
        <v>1</v>
      </c>
      <c r="AA378" s="89">
        <v>-2</v>
      </c>
      <c r="AB378" s="89">
        <v>4</v>
      </c>
      <c r="AC378" s="89">
        <v>-5</v>
      </c>
      <c r="AD378" s="89">
        <v>-10</v>
      </c>
      <c r="AE378" s="89" t="s">
        <v>210</v>
      </c>
      <c r="AF378" s="89">
        <v>8</v>
      </c>
      <c r="AG378" s="89"/>
      <c r="AH378" s="89"/>
      <c r="AI378" s="89"/>
      <c r="AJ378" s="89"/>
      <c r="AK378" s="89"/>
      <c r="AL378" s="89"/>
      <c r="AM378" s="89"/>
      <c r="AN378" s="89"/>
      <c r="AO378" s="89"/>
      <c r="AP378" s="89"/>
      <c r="AQ378" s="89"/>
      <c r="AR378" s="89"/>
      <c r="AS378" s="89"/>
      <c r="AT378" s="89"/>
      <c r="AU378" s="89"/>
      <c r="AV378" s="89"/>
      <c r="AW378" s="89"/>
      <c r="AX378" s="89"/>
      <c r="AY378" s="89"/>
      <c r="AZ378" s="89"/>
      <c r="BA378" s="95"/>
    </row>
    <row r="379" spans="1:53" s="87" customFormat="1">
      <c r="A379" s="90" t="str">
        <f t="shared" si="30"/>
        <v/>
      </c>
      <c r="B379" s="89">
        <v>14</v>
      </c>
      <c r="C379" s="89" t="s">
        <v>210</v>
      </c>
      <c r="D379" s="89">
        <v>-10</v>
      </c>
      <c r="E379" s="89">
        <v>1</v>
      </c>
      <c r="F379" s="89">
        <v>6</v>
      </c>
      <c r="G379" s="89">
        <v>-5</v>
      </c>
      <c r="H379" s="89" t="s">
        <v>210</v>
      </c>
      <c r="I379" s="89">
        <v>-7</v>
      </c>
      <c r="J379" s="89">
        <v>2</v>
      </c>
      <c r="K379" s="89">
        <v>8</v>
      </c>
      <c r="L379" s="89">
        <v>-3</v>
      </c>
      <c r="M379" s="89" t="s">
        <v>210</v>
      </c>
      <c r="N379" s="89">
        <v>-9</v>
      </c>
      <c r="O379" s="89">
        <v>4</v>
      </c>
      <c r="P379" s="89">
        <v>9</v>
      </c>
      <c r="Q379" s="89">
        <v>-1</v>
      </c>
      <c r="R379" s="89" t="s">
        <v>210</v>
      </c>
      <c r="S379" s="89">
        <v>-8</v>
      </c>
      <c r="T379" s="89">
        <v>3</v>
      </c>
      <c r="U379" s="89">
        <v>7</v>
      </c>
      <c r="V379" s="89">
        <v>-2</v>
      </c>
      <c r="W379" s="89">
        <v>-6</v>
      </c>
      <c r="X379" s="89" t="s">
        <v>210</v>
      </c>
      <c r="Y379" s="89">
        <v>10</v>
      </c>
      <c r="Z379" s="89">
        <v>5</v>
      </c>
      <c r="AA379" s="89">
        <v>-4</v>
      </c>
      <c r="AB379" s="89" t="s">
        <v>210</v>
      </c>
      <c r="AC379" s="89">
        <v>2</v>
      </c>
      <c r="AD379" s="89">
        <v>-1</v>
      </c>
      <c r="AE379" s="89">
        <v>6</v>
      </c>
      <c r="AF379" s="89">
        <v>-8</v>
      </c>
      <c r="AG379" s="89"/>
      <c r="AH379" s="89"/>
      <c r="AI379" s="89"/>
      <c r="AJ379" s="89"/>
      <c r="AK379" s="89"/>
      <c r="AL379" s="89"/>
      <c r="AM379" s="89"/>
      <c r="AN379" s="89"/>
      <c r="AO379" s="89"/>
      <c r="AP379" s="89"/>
      <c r="AQ379" s="89"/>
      <c r="AR379" s="89"/>
      <c r="AS379" s="89"/>
      <c r="AT379" s="89"/>
      <c r="AU379" s="89"/>
      <c r="AV379" s="89"/>
      <c r="AW379" s="89"/>
      <c r="AX379" s="89"/>
      <c r="AY379" s="89"/>
      <c r="AZ379" s="89"/>
      <c r="BA379" s="95"/>
    </row>
    <row r="380" spans="1:53" s="87" customFormat="1">
      <c r="A380" s="90" t="str">
        <f t="shared" si="30"/>
        <v/>
      </c>
      <c r="B380" s="89">
        <v>15</v>
      </c>
      <c r="C380" s="89" t="s">
        <v>210</v>
      </c>
      <c r="D380" s="89">
        <v>-6</v>
      </c>
      <c r="E380" s="89">
        <v>5</v>
      </c>
      <c r="F380" s="89">
        <v>9</v>
      </c>
      <c r="G380" s="89">
        <v>-2</v>
      </c>
      <c r="H380" s="89" t="s">
        <v>210</v>
      </c>
      <c r="I380" s="89">
        <v>-8</v>
      </c>
      <c r="J380" s="89">
        <v>4</v>
      </c>
      <c r="K380" s="89">
        <v>10</v>
      </c>
      <c r="L380" s="89">
        <v>-1</v>
      </c>
      <c r="M380" s="89" t="s">
        <v>210</v>
      </c>
      <c r="N380" s="89">
        <v>-7</v>
      </c>
      <c r="O380" s="89">
        <v>3</v>
      </c>
      <c r="P380" s="89">
        <v>7</v>
      </c>
      <c r="Q380" s="89">
        <v>-5</v>
      </c>
      <c r="R380" s="89" t="s">
        <v>210</v>
      </c>
      <c r="S380" s="89">
        <v>-10</v>
      </c>
      <c r="T380" s="89">
        <v>1</v>
      </c>
      <c r="U380" s="89">
        <v>8</v>
      </c>
      <c r="V380" s="89">
        <v>-4</v>
      </c>
      <c r="W380" s="89">
        <v>-9</v>
      </c>
      <c r="X380" s="89" t="s">
        <v>210</v>
      </c>
      <c r="Y380" s="89">
        <v>6</v>
      </c>
      <c r="Z380" s="89">
        <v>2</v>
      </c>
      <c r="AA380" s="89">
        <v>-3</v>
      </c>
      <c r="AB380" s="89">
        <v>-7</v>
      </c>
      <c r="AC380" s="89">
        <v>5</v>
      </c>
      <c r="AD380" s="89">
        <v>1</v>
      </c>
      <c r="AE380" s="89">
        <v>-8</v>
      </c>
      <c r="AF380" s="89" t="s">
        <v>210</v>
      </c>
      <c r="AG380" s="89"/>
      <c r="AH380" s="89"/>
      <c r="AI380" s="89"/>
      <c r="AJ380" s="89"/>
      <c r="AK380" s="89"/>
      <c r="AL380" s="89"/>
      <c r="AM380" s="89"/>
      <c r="AN380" s="89"/>
      <c r="AO380" s="89"/>
      <c r="AP380" s="89"/>
      <c r="AQ380" s="89"/>
      <c r="AR380" s="89"/>
      <c r="AS380" s="89"/>
      <c r="AT380" s="89"/>
      <c r="AU380" s="89"/>
      <c r="AV380" s="89"/>
      <c r="AW380" s="89"/>
      <c r="AX380" s="89"/>
      <c r="AY380" s="89"/>
      <c r="AZ380" s="89"/>
      <c r="BA380" s="95"/>
    </row>
    <row r="381" spans="1:53" s="87" customFormat="1">
      <c r="A381" s="90" t="str">
        <f t="shared" si="30"/>
        <v/>
      </c>
      <c r="B381" s="89">
        <v>16</v>
      </c>
      <c r="C381" s="89">
        <v>10</v>
      </c>
      <c r="D381" s="89" t="s">
        <v>210</v>
      </c>
      <c r="E381" s="89">
        <v>-4</v>
      </c>
      <c r="F381" s="89">
        <v>2</v>
      </c>
      <c r="G381" s="89">
        <v>-9</v>
      </c>
      <c r="H381" s="89">
        <v>6</v>
      </c>
      <c r="I381" s="89" t="s">
        <v>210</v>
      </c>
      <c r="J381" s="89">
        <v>-5</v>
      </c>
      <c r="K381" s="89">
        <v>3</v>
      </c>
      <c r="L381" s="89">
        <v>-8</v>
      </c>
      <c r="M381" s="89">
        <v>7</v>
      </c>
      <c r="N381" s="89" t="s">
        <v>210</v>
      </c>
      <c r="O381" s="89">
        <v>-1</v>
      </c>
      <c r="P381" s="89">
        <v>5</v>
      </c>
      <c r="Q381" s="89">
        <v>-7</v>
      </c>
      <c r="R381" s="89">
        <v>8</v>
      </c>
      <c r="S381" s="89" t="s">
        <v>210</v>
      </c>
      <c r="T381" s="89">
        <v>-3</v>
      </c>
      <c r="U381" s="89">
        <v>1</v>
      </c>
      <c r="V381" s="89">
        <v>-6</v>
      </c>
      <c r="W381" s="89" t="s">
        <v>210</v>
      </c>
      <c r="X381" s="89">
        <v>9</v>
      </c>
      <c r="Y381" s="89">
        <v>4</v>
      </c>
      <c r="Z381" s="89">
        <v>-2</v>
      </c>
      <c r="AA381" s="89">
        <v>-10</v>
      </c>
      <c r="AB381" s="89">
        <v>5</v>
      </c>
      <c r="AC381" s="89">
        <v>3</v>
      </c>
      <c r="AD381" s="89" t="s">
        <v>210</v>
      </c>
      <c r="AE381" s="89">
        <v>-1</v>
      </c>
      <c r="AF381" s="89">
        <v>-9</v>
      </c>
      <c r="AG381" s="89"/>
      <c r="AH381" s="89"/>
      <c r="AI381" s="89"/>
      <c r="AJ381" s="89"/>
      <c r="AK381" s="89"/>
      <c r="AL381" s="89"/>
      <c r="AM381" s="89"/>
      <c r="AN381" s="89"/>
      <c r="AO381" s="89"/>
      <c r="AP381" s="89"/>
      <c r="AQ381" s="89"/>
      <c r="AR381" s="89"/>
      <c r="AS381" s="89"/>
      <c r="AT381" s="89"/>
      <c r="AU381" s="89"/>
      <c r="AV381" s="89"/>
      <c r="AW381" s="89"/>
      <c r="AX381" s="89"/>
      <c r="AY381" s="89"/>
      <c r="AZ381" s="89"/>
      <c r="BA381" s="95"/>
    </row>
    <row r="382" spans="1:53" s="87" customFormat="1">
      <c r="A382" s="90" t="str">
        <f t="shared" si="30"/>
        <v/>
      </c>
      <c r="B382" s="89">
        <v>17</v>
      </c>
      <c r="C382" s="89">
        <v>6</v>
      </c>
      <c r="D382" s="89" t="s">
        <v>210</v>
      </c>
      <c r="E382" s="89">
        <v>-3</v>
      </c>
      <c r="F382" s="89">
        <v>4</v>
      </c>
      <c r="G382" s="89">
        <v>-7</v>
      </c>
      <c r="H382" s="89">
        <v>9</v>
      </c>
      <c r="I382" s="89" t="s">
        <v>210</v>
      </c>
      <c r="J382" s="89">
        <v>-2</v>
      </c>
      <c r="K382" s="89">
        <v>1</v>
      </c>
      <c r="L382" s="89">
        <v>-10</v>
      </c>
      <c r="M382" s="89">
        <v>8</v>
      </c>
      <c r="N382" s="89" t="s">
        <v>210</v>
      </c>
      <c r="O382" s="89">
        <v>-5</v>
      </c>
      <c r="P382" s="89">
        <v>2</v>
      </c>
      <c r="Q382" s="89">
        <v>-8</v>
      </c>
      <c r="R382" s="89">
        <v>10</v>
      </c>
      <c r="S382" s="89" t="s">
        <v>210</v>
      </c>
      <c r="T382" s="89">
        <v>-1</v>
      </c>
      <c r="U382" s="89">
        <v>5</v>
      </c>
      <c r="V382" s="89">
        <v>-9</v>
      </c>
      <c r="W382" s="89" t="s">
        <v>210</v>
      </c>
      <c r="X382" s="89">
        <v>7</v>
      </c>
      <c r="Y382" s="89">
        <v>3</v>
      </c>
      <c r="Z382" s="89">
        <v>-4</v>
      </c>
      <c r="AA382" s="89">
        <v>-6</v>
      </c>
      <c r="AB382" s="89">
        <v>-2</v>
      </c>
      <c r="AC382" s="89" t="s">
        <v>210</v>
      </c>
      <c r="AD382" s="89">
        <v>-8</v>
      </c>
      <c r="AE382" s="89">
        <v>10</v>
      </c>
      <c r="AF382" s="89">
        <v>9</v>
      </c>
      <c r="AG382" s="89"/>
      <c r="AH382" s="89"/>
      <c r="AI382" s="89"/>
      <c r="AJ382" s="89"/>
      <c r="AK382" s="89"/>
      <c r="AL382" s="89"/>
      <c r="AM382" s="89"/>
      <c r="AN382" s="89"/>
      <c r="AO382" s="89"/>
      <c r="AP382" s="89"/>
      <c r="AQ382" s="89"/>
      <c r="AR382" s="89"/>
      <c r="AS382" s="89"/>
      <c r="AT382" s="89"/>
      <c r="AU382" s="89"/>
      <c r="AV382" s="89"/>
      <c r="AW382" s="89"/>
      <c r="AX382" s="89"/>
      <c r="AY382" s="89"/>
      <c r="AZ382" s="89"/>
      <c r="BA382" s="95"/>
    </row>
    <row r="383" spans="1:53" s="87" customFormat="1">
      <c r="A383" s="90" t="str">
        <f t="shared" si="30"/>
        <v/>
      </c>
      <c r="B383" s="89">
        <v>18</v>
      </c>
      <c r="C383" s="89">
        <v>9</v>
      </c>
      <c r="D383" s="89" t="s">
        <v>210</v>
      </c>
      <c r="E383" s="89">
        <v>-1</v>
      </c>
      <c r="F383" s="89">
        <v>3</v>
      </c>
      <c r="G383" s="89">
        <v>-8</v>
      </c>
      <c r="H383" s="89">
        <v>7</v>
      </c>
      <c r="I383" s="89" t="s">
        <v>210</v>
      </c>
      <c r="J383" s="89">
        <v>-4</v>
      </c>
      <c r="K383" s="89">
        <v>5</v>
      </c>
      <c r="L383" s="89">
        <v>-6</v>
      </c>
      <c r="M383" s="89">
        <v>10</v>
      </c>
      <c r="N383" s="89" t="s">
        <v>210</v>
      </c>
      <c r="O383" s="89">
        <v>-2</v>
      </c>
      <c r="P383" s="89">
        <v>4</v>
      </c>
      <c r="Q383" s="89">
        <v>-10</v>
      </c>
      <c r="R383" s="89">
        <v>6</v>
      </c>
      <c r="S383" s="89" t="s">
        <v>210</v>
      </c>
      <c r="T383" s="89">
        <v>-5</v>
      </c>
      <c r="U383" s="89">
        <v>2</v>
      </c>
      <c r="V383" s="89">
        <v>-7</v>
      </c>
      <c r="W383" s="89" t="s">
        <v>210</v>
      </c>
      <c r="X383" s="89">
        <v>8</v>
      </c>
      <c r="Y383" s="89">
        <v>1</v>
      </c>
      <c r="Z383" s="89">
        <v>-3</v>
      </c>
      <c r="AA383" s="89">
        <v>-9</v>
      </c>
      <c r="AB383" s="89">
        <v>-5</v>
      </c>
      <c r="AC383" s="89">
        <v>6</v>
      </c>
      <c r="AD383" s="89">
        <v>8</v>
      </c>
      <c r="AE383" s="89" t="s">
        <v>210</v>
      </c>
      <c r="AF383" s="89">
        <v>-2</v>
      </c>
      <c r="AG383" s="89"/>
      <c r="AH383" s="89"/>
      <c r="AI383" s="89"/>
      <c r="AJ383" s="89"/>
      <c r="AK383" s="89"/>
      <c r="AL383" s="89"/>
      <c r="AM383" s="89"/>
      <c r="AN383" s="89"/>
      <c r="AO383" s="89"/>
      <c r="AP383" s="89"/>
      <c r="AQ383" s="89"/>
      <c r="AR383" s="89"/>
      <c r="AS383" s="89"/>
      <c r="AT383" s="89"/>
      <c r="AU383" s="89"/>
      <c r="AV383" s="89"/>
      <c r="AW383" s="89"/>
      <c r="AX383" s="89"/>
      <c r="AY383" s="89"/>
      <c r="AZ383" s="89"/>
      <c r="BA383" s="95"/>
    </row>
    <row r="384" spans="1:53" s="87" customFormat="1">
      <c r="A384" s="90" t="str">
        <f t="shared" si="30"/>
        <v/>
      </c>
      <c r="B384" s="89">
        <v>19</v>
      </c>
      <c r="C384" s="89">
        <v>7</v>
      </c>
      <c r="D384" s="89" t="s">
        <v>210</v>
      </c>
      <c r="E384" s="89">
        <v>-5</v>
      </c>
      <c r="F384" s="89">
        <v>1</v>
      </c>
      <c r="G384" s="89">
        <v>-10</v>
      </c>
      <c r="H384" s="89">
        <v>8</v>
      </c>
      <c r="I384" s="89" t="s">
        <v>210</v>
      </c>
      <c r="J384" s="89">
        <v>-3</v>
      </c>
      <c r="K384" s="89">
        <v>2</v>
      </c>
      <c r="L384" s="89">
        <v>-9</v>
      </c>
      <c r="M384" s="89">
        <v>6</v>
      </c>
      <c r="N384" s="89" t="s">
        <v>210</v>
      </c>
      <c r="O384" s="89">
        <v>-4</v>
      </c>
      <c r="P384" s="89">
        <v>3</v>
      </c>
      <c r="Q384" s="89">
        <v>-6</v>
      </c>
      <c r="R384" s="89">
        <v>9</v>
      </c>
      <c r="S384" s="89" t="s">
        <v>210</v>
      </c>
      <c r="T384" s="89">
        <v>-2</v>
      </c>
      <c r="U384" s="89">
        <v>4</v>
      </c>
      <c r="V384" s="89">
        <v>-8</v>
      </c>
      <c r="W384" s="89" t="s">
        <v>210</v>
      </c>
      <c r="X384" s="89">
        <v>10</v>
      </c>
      <c r="Y384" s="89">
        <v>5</v>
      </c>
      <c r="Z384" s="89">
        <v>-1</v>
      </c>
      <c r="AA384" s="89">
        <v>-7</v>
      </c>
      <c r="AB384" s="89">
        <v>2</v>
      </c>
      <c r="AC384" s="89">
        <v>-6</v>
      </c>
      <c r="AD384" s="89">
        <v>-9</v>
      </c>
      <c r="AE384" s="89">
        <v>1</v>
      </c>
      <c r="AF384" s="89" t="s">
        <v>210</v>
      </c>
      <c r="AG384" s="89"/>
      <c r="AH384" s="89"/>
      <c r="AI384" s="89"/>
      <c r="AJ384" s="89"/>
      <c r="AK384" s="89"/>
      <c r="AL384" s="89"/>
      <c r="AM384" s="89"/>
      <c r="AN384" s="89"/>
      <c r="AO384" s="89"/>
      <c r="AP384" s="89"/>
      <c r="AQ384" s="89"/>
      <c r="AR384" s="89"/>
      <c r="AS384" s="89"/>
      <c r="AT384" s="89"/>
      <c r="AU384" s="89"/>
      <c r="AV384" s="89"/>
      <c r="AW384" s="89"/>
      <c r="AX384" s="89"/>
      <c r="AY384" s="89"/>
      <c r="AZ384" s="89"/>
      <c r="BA384" s="95"/>
    </row>
    <row r="385" spans="1:53" s="87" customFormat="1">
      <c r="A385" s="90" t="str">
        <f t="shared" si="30"/>
        <v/>
      </c>
      <c r="B385" s="89">
        <v>20</v>
      </c>
      <c r="C385" s="89">
        <v>8</v>
      </c>
      <c r="D385" s="89" t="s">
        <v>210</v>
      </c>
      <c r="E385" s="89">
        <v>-2</v>
      </c>
      <c r="F385" s="89">
        <v>5</v>
      </c>
      <c r="G385" s="89">
        <v>-6</v>
      </c>
      <c r="H385" s="89">
        <v>10</v>
      </c>
      <c r="I385" s="89" t="s">
        <v>210</v>
      </c>
      <c r="J385" s="89">
        <v>-1</v>
      </c>
      <c r="K385" s="89">
        <v>4</v>
      </c>
      <c r="L385" s="89">
        <v>-7</v>
      </c>
      <c r="M385" s="89">
        <v>9</v>
      </c>
      <c r="N385" s="89" t="s">
        <v>210</v>
      </c>
      <c r="O385" s="89">
        <v>-3</v>
      </c>
      <c r="P385" s="89">
        <v>1</v>
      </c>
      <c r="Q385" s="89">
        <v>-9</v>
      </c>
      <c r="R385" s="89">
        <v>7</v>
      </c>
      <c r="S385" s="89" t="s">
        <v>210</v>
      </c>
      <c r="T385" s="89">
        <v>-4</v>
      </c>
      <c r="U385" s="89">
        <v>3</v>
      </c>
      <c r="V385" s="89">
        <v>-10</v>
      </c>
      <c r="W385" s="89" t="s">
        <v>210</v>
      </c>
      <c r="X385" s="89">
        <v>6</v>
      </c>
      <c r="Y385" s="89">
        <v>2</v>
      </c>
      <c r="Z385" s="89">
        <v>-5</v>
      </c>
      <c r="AA385" s="89">
        <v>-8</v>
      </c>
      <c r="AB385" s="89" t="s">
        <v>210</v>
      </c>
      <c r="AC385" s="89">
        <v>-3</v>
      </c>
      <c r="AD385" s="89">
        <v>9</v>
      </c>
      <c r="AE385" s="89">
        <v>-10</v>
      </c>
      <c r="AF385" s="89">
        <v>2</v>
      </c>
      <c r="AG385" s="89"/>
      <c r="AH385" s="89"/>
      <c r="AI385" s="89"/>
      <c r="AJ385" s="89"/>
      <c r="AK385" s="89"/>
      <c r="AL385" s="89"/>
      <c r="AM385" s="89"/>
      <c r="AN385" s="89"/>
      <c r="AO385" s="89"/>
      <c r="AP385" s="89"/>
      <c r="AQ385" s="89"/>
      <c r="AR385" s="89"/>
      <c r="AS385" s="89"/>
      <c r="AT385" s="89"/>
      <c r="AU385" s="89"/>
      <c r="AV385" s="89"/>
      <c r="AW385" s="89"/>
      <c r="AX385" s="89"/>
      <c r="AY385" s="89"/>
      <c r="AZ385" s="89"/>
      <c r="BA385" s="95"/>
    </row>
    <row r="386" spans="1:53" s="87" customFormat="1">
      <c r="A386" s="90" t="str">
        <f t="shared" si="30"/>
        <v/>
      </c>
      <c r="B386" s="89">
        <v>21</v>
      </c>
      <c r="C386" s="89">
        <v>-10</v>
      </c>
      <c r="D386" s="89">
        <v>-4</v>
      </c>
      <c r="E386" s="89">
        <v>7</v>
      </c>
      <c r="F386" s="89" t="s">
        <v>210</v>
      </c>
      <c r="G386" s="89">
        <v>2</v>
      </c>
      <c r="H386" s="89">
        <v>-8</v>
      </c>
      <c r="I386" s="89">
        <v>-1</v>
      </c>
      <c r="J386" s="89">
        <v>6</v>
      </c>
      <c r="K386" s="89" t="s">
        <v>210</v>
      </c>
      <c r="L386" s="89">
        <v>3</v>
      </c>
      <c r="M386" s="89">
        <v>-9</v>
      </c>
      <c r="N386" s="89">
        <v>-5</v>
      </c>
      <c r="O386" s="89">
        <v>10</v>
      </c>
      <c r="P386" s="89" t="s">
        <v>210</v>
      </c>
      <c r="Q386" s="89">
        <v>4</v>
      </c>
      <c r="R386" s="89">
        <v>-6</v>
      </c>
      <c r="S386" s="89">
        <v>-3</v>
      </c>
      <c r="T386" s="89">
        <v>8</v>
      </c>
      <c r="U386" s="89" t="s">
        <v>210</v>
      </c>
      <c r="V386" s="89">
        <v>5</v>
      </c>
      <c r="W386" s="89">
        <v>-2</v>
      </c>
      <c r="X386" s="89">
        <v>-7</v>
      </c>
      <c r="Y386" s="89" t="s">
        <v>210</v>
      </c>
      <c r="Z386" s="89">
        <v>9</v>
      </c>
      <c r="AA386" s="89">
        <v>1</v>
      </c>
      <c r="AB386" s="89">
        <v>3</v>
      </c>
      <c r="AC386" s="89">
        <v>8</v>
      </c>
      <c r="AD386" s="89" t="s">
        <v>210</v>
      </c>
      <c r="AE386" s="89">
        <v>-2</v>
      </c>
      <c r="AF386" s="89">
        <v>-10</v>
      </c>
      <c r="AG386" s="89"/>
      <c r="AH386" s="89"/>
      <c r="AI386" s="89"/>
      <c r="AJ386" s="89"/>
      <c r="AK386" s="89"/>
      <c r="AL386" s="89"/>
      <c r="AM386" s="89"/>
      <c r="AN386" s="89"/>
      <c r="AO386" s="89"/>
      <c r="AP386" s="89"/>
      <c r="AQ386" s="89"/>
      <c r="AR386" s="89"/>
      <c r="AS386" s="89"/>
      <c r="AT386" s="89"/>
      <c r="AU386" s="89"/>
      <c r="AV386" s="89"/>
      <c r="AW386" s="89"/>
      <c r="AX386" s="89"/>
      <c r="AY386" s="89"/>
      <c r="AZ386" s="89"/>
      <c r="BA386" s="95"/>
    </row>
    <row r="387" spans="1:53" s="87" customFormat="1">
      <c r="A387" s="90" t="str">
        <f t="shared" si="30"/>
        <v/>
      </c>
      <c r="B387" s="89">
        <v>22</v>
      </c>
      <c r="C387" s="89">
        <v>-6</v>
      </c>
      <c r="D387" s="89">
        <v>-3</v>
      </c>
      <c r="E387" s="89">
        <v>8</v>
      </c>
      <c r="F387" s="89" t="s">
        <v>210</v>
      </c>
      <c r="G387" s="89">
        <v>4</v>
      </c>
      <c r="H387" s="89">
        <v>-10</v>
      </c>
      <c r="I387" s="89">
        <v>-5</v>
      </c>
      <c r="J387" s="89">
        <v>9</v>
      </c>
      <c r="K387" s="89" t="s">
        <v>210</v>
      </c>
      <c r="L387" s="89">
        <v>1</v>
      </c>
      <c r="M387" s="89">
        <v>-7</v>
      </c>
      <c r="N387" s="89">
        <v>-2</v>
      </c>
      <c r="O387" s="89">
        <v>6</v>
      </c>
      <c r="P387" s="89" t="s">
        <v>210</v>
      </c>
      <c r="Q387" s="89">
        <v>3</v>
      </c>
      <c r="R387" s="89">
        <v>-9</v>
      </c>
      <c r="S387" s="89">
        <v>-1</v>
      </c>
      <c r="T387" s="89">
        <v>10</v>
      </c>
      <c r="U387" s="89" t="s">
        <v>210</v>
      </c>
      <c r="V387" s="89">
        <v>2</v>
      </c>
      <c r="W387" s="89">
        <v>-4</v>
      </c>
      <c r="X387" s="89">
        <v>-8</v>
      </c>
      <c r="Y387" s="89" t="s">
        <v>210</v>
      </c>
      <c r="Z387" s="89">
        <v>7</v>
      </c>
      <c r="AA387" s="89">
        <v>5</v>
      </c>
      <c r="AB387" s="89" t="s">
        <v>210</v>
      </c>
      <c r="AC387" s="89">
        <v>-8</v>
      </c>
      <c r="AD387" s="89">
        <v>-3</v>
      </c>
      <c r="AE387" s="89">
        <v>9</v>
      </c>
      <c r="AF387" s="89">
        <v>1</v>
      </c>
      <c r="AG387" s="89"/>
      <c r="AH387" s="89"/>
      <c r="AI387" s="89"/>
      <c r="AJ387" s="89"/>
      <c r="AK387" s="89"/>
      <c r="AL387" s="89"/>
      <c r="AM387" s="89"/>
      <c r="AN387" s="89"/>
      <c r="AO387" s="89"/>
      <c r="AP387" s="89"/>
      <c r="AQ387" s="89"/>
      <c r="AR387" s="89"/>
      <c r="AS387" s="89"/>
      <c r="AT387" s="89"/>
      <c r="AU387" s="89"/>
      <c r="AV387" s="89"/>
      <c r="AW387" s="89"/>
      <c r="AX387" s="89"/>
      <c r="AY387" s="89"/>
      <c r="AZ387" s="89"/>
      <c r="BA387" s="95"/>
    </row>
    <row r="388" spans="1:53" s="87" customFormat="1">
      <c r="A388" s="90" t="str">
        <f t="shared" si="30"/>
        <v/>
      </c>
      <c r="B388" s="89">
        <v>23</v>
      </c>
      <c r="C388" s="89">
        <v>-9</v>
      </c>
      <c r="D388" s="89">
        <v>-1</v>
      </c>
      <c r="E388" s="89">
        <v>10</v>
      </c>
      <c r="F388" s="89" t="s">
        <v>210</v>
      </c>
      <c r="G388" s="89">
        <v>3</v>
      </c>
      <c r="H388" s="89">
        <v>-6</v>
      </c>
      <c r="I388" s="89">
        <v>-2</v>
      </c>
      <c r="J388" s="89">
        <v>7</v>
      </c>
      <c r="K388" s="89" t="s">
        <v>210</v>
      </c>
      <c r="L388" s="89">
        <v>5</v>
      </c>
      <c r="M388" s="89">
        <v>-8</v>
      </c>
      <c r="N388" s="89">
        <v>-4</v>
      </c>
      <c r="O388" s="89">
        <v>9</v>
      </c>
      <c r="P388" s="89" t="s">
        <v>210</v>
      </c>
      <c r="Q388" s="89">
        <v>1</v>
      </c>
      <c r="R388" s="89">
        <v>-7</v>
      </c>
      <c r="S388" s="89">
        <v>-5</v>
      </c>
      <c r="T388" s="89">
        <v>6</v>
      </c>
      <c r="U388" s="89" t="s">
        <v>210</v>
      </c>
      <c r="V388" s="89">
        <v>4</v>
      </c>
      <c r="W388" s="89">
        <v>-3</v>
      </c>
      <c r="X388" s="89">
        <v>-10</v>
      </c>
      <c r="Y388" s="89" t="s">
        <v>210</v>
      </c>
      <c r="Z388" s="89">
        <v>8</v>
      </c>
      <c r="AA388" s="89">
        <v>2</v>
      </c>
      <c r="AB388" s="89">
        <v>-3</v>
      </c>
      <c r="AC388" s="89">
        <v>9</v>
      </c>
      <c r="AD388" s="89">
        <v>2</v>
      </c>
      <c r="AE388" s="89" t="s">
        <v>210</v>
      </c>
      <c r="AF388" s="89">
        <v>-1</v>
      </c>
      <c r="AG388" s="89"/>
      <c r="AH388" s="89"/>
      <c r="AI388" s="89"/>
      <c r="AJ388" s="89"/>
      <c r="AK388" s="89"/>
      <c r="AL388" s="89"/>
      <c r="AM388" s="89"/>
      <c r="AN388" s="89"/>
      <c r="AO388" s="89"/>
      <c r="AP388" s="89"/>
      <c r="AQ388" s="89"/>
      <c r="AR388" s="89"/>
      <c r="AS388" s="89"/>
      <c r="AT388" s="89"/>
      <c r="AU388" s="89"/>
      <c r="AV388" s="89"/>
      <c r="AW388" s="89"/>
      <c r="AX388" s="89"/>
      <c r="AY388" s="89"/>
      <c r="AZ388" s="89"/>
      <c r="BA388" s="95"/>
    </row>
    <row r="389" spans="1:53" s="87" customFormat="1">
      <c r="A389" s="90" t="str">
        <f t="shared" si="30"/>
        <v/>
      </c>
      <c r="B389" s="89">
        <v>24</v>
      </c>
      <c r="C389" s="89">
        <v>-7</v>
      </c>
      <c r="D389" s="89">
        <v>-5</v>
      </c>
      <c r="E389" s="89">
        <v>6</v>
      </c>
      <c r="F389" s="89" t="s">
        <v>210</v>
      </c>
      <c r="G389" s="89">
        <v>1</v>
      </c>
      <c r="H389" s="89">
        <v>-9</v>
      </c>
      <c r="I389" s="89">
        <v>-4</v>
      </c>
      <c r="J389" s="89">
        <v>8</v>
      </c>
      <c r="K389" s="89" t="s">
        <v>210</v>
      </c>
      <c r="L389" s="89">
        <v>2</v>
      </c>
      <c r="M389" s="89">
        <v>-10</v>
      </c>
      <c r="N389" s="89">
        <v>-3</v>
      </c>
      <c r="O389" s="89">
        <v>7</v>
      </c>
      <c r="P389" s="89" t="s">
        <v>210</v>
      </c>
      <c r="Q389" s="89">
        <v>5</v>
      </c>
      <c r="R389" s="89">
        <v>-8</v>
      </c>
      <c r="S389" s="89">
        <v>-2</v>
      </c>
      <c r="T389" s="89">
        <v>9</v>
      </c>
      <c r="U389" s="89" t="s">
        <v>210</v>
      </c>
      <c r="V389" s="89">
        <v>3</v>
      </c>
      <c r="W389" s="89">
        <v>-1</v>
      </c>
      <c r="X389" s="89">
        <v>-6</v>
      </c>
      <c r="Y389" s="89" t="s">
        <v>210</v>
      </c>
      <c r="Z389" s="89">
        <v>10</v>
      </c>
      <c r="AA389" s="89">
        <v>4</v>
      </c>
      <c r="AB389" s="89">
        <v>-8</v>
      </c>
      <c r="AC389" s="89">
        <v>-9</v>
      </c>
      <c r="AD389" s="89">
        <v>3</v>
      </c>
      <c r="AE389" s="89">
        <v>2</v>
      </c>
      <c r="AF389" s="89" t="s">
        <v>210</v>
      </c>
      <c r="AG389" s="89"/>
      <c r="AH389" s="89"/>
      <c r="AI389" s="89"/>
      <c r="AJ389" s="89"/>
      <c r="AK389" s="89"/>
      <c r="AL389" s="89"/>
      <c r="AM389" s="89"/>
      <c r="AN389" s="89"/>
      <c r="AO389" s="89"/>
      <c r="AP389" s="89"/>
      <c r="AQ389" s="89"/>
      <c r="AR389" s="89"/>
      <c r="AS389" s="89"/>
      <c r="AT389" s="89"/>
      <c r="AU389" s="89"/>
      <c r="AV389" s="89"/>
      <c r="AW389" s="89"/>
      <c r="AX389" s="89"/>
      <c r="AY389" s="89"/>
      <c r="AZ389" s="89"/>
      <c r="BA389" s="95"/>
    </row>
    <row r="390" spans="1:53" s="87" customFormat="1">
      <c r="A390" s="90" t="str">
        <f t="shared" si="30"/>
        <v/>
      </c>
      <c r="B390" s="89">
        <v>25</v>
      </c>
      <c r="C390" s="89">
        <v>-8</v>
      </c>
      <c r="D390" s="89">
        <v>-2</v>
      </c>
      <c r="E390" s="89">
        <v>9</v>
      </c>
      <c r="F390" s="89" t="s">
        <v>210</v>
      </c>
      <c r="G390" s="89">
        <v>5</v>
      </c>
      <c r="H390" s="89">
        <v>-7</v>
      </c>
      <c r="I390" s="89">
        <v>-3</v>
      </c>
      <c r="J390" s="89">
        <v>10</v>
      </c>
      <c r="K390" s="89" t="s">
        <v>210</v>
      </c>
      <c r="L390" s="89">
        <v>4</v>
      </c>
      <c r="M390" s="89">
        <v>-6</v>
      </c>
      <c r="N390" s="89">
        <v>-1</v>
      </c>
      <c r="O390" s="89">
        <v>8</v>
      </c>
      <c r="P390" s="89" t="s">
        <v>210</v>
      </c>
      <c r="Q390" s="89">
        <v>2</v>
      </c>
      <c r="R390" s="89">
        <v>-10</v>
      </c>
      <c r="S390" s="89">
        <v>-4</v>
      </c>
      <c r="T390" s="89">
        <v>7</v>
      </c>
      <c r="U390" s="89" t="s">
        <v>210</v>
      </c>
      <c r="V390" s="89">
        <v>1</v>
      </c>
      <c r="W390" s="89">
        <v>-5</v>
      </c>
      <c r="X390" s="89">
        <v>-9</v>
      </c>
      <c r="Y390" s="89" t="s">
        <v>210</v>
      </c>
      <c r="Z390" s="89">
        <v>6</v>
      </c>
      <c r="AA390" s="89">
        <v>3</v>
      </c>
      <c r="AB390" s="89">
        <v>8</v>
      </c>
      <c r="AC390" s="89" t="s">
        <v>210</v>
      </c>
      <c r="AD390" s="89">
        <v>-2</v>
      </c>
      <c r="AE390" s="89">
        <v>-9</v>
      </c>
      <c r="AF390" s="89">
        <v>10</v>
      </c>
      <c r="AG390" s="89"/>
      <c r="AH390" s="89"/>
      <c r="AI390" s="89"/>
      <c r="AJ390" s="89"/>
      <c r="AK390" s="89"/>
      <c r="AL390" s="89"/>
      <c r="AM390" s="89"/>
      <c r="AN390" s="89"/>
      <c r="AO390" s="89"/>
      <c r="AP390" s="89"/>
      <c r="AQ390" s="89"/>
      <c r="AR390" s="89"/>
      <c r="AS390" s="89"/>
      <c r="AT390" s="89"/>
      <c r="AU390" s="89"/>
      <c r="AV390" s="89"/>
      <c r="AW390" s="89"/>
      <c r="AX390" s="89"/>
      <c r="AY390" s="89"/>
      <c r="AZ390" s="89"/>
      <c r="BA390" s="95"/>
    </row>
    <row r="391" spans="1:53" s="87" customFormat="1">
      <c r="A391" s="90" t="str">
        <f t="shared" si="30"/>
        <v/>
      </c>
      <c r="B391" s="319" t="s">
        <v>915</v>
      </c>
      <c r="C391" s="89"/>
      <c r="D391" s="89"/>
      <c r="E391" s="89"/>
      <c r="F391" s="89"/>
      <c r="G391" s="89"/>
      <c r="H391" s="89"/>
      <c r="I391" s="89"/>
      <c r="J391" s="89"/>
      <c r="K391" s="89"/>
      <c r="L391" s="89"/>
      <c r="M391" s="89"/>
      <c r="N391" s="89"/>
      <c r="O391" s="89"/>
      <c r="P391" s="89"/>
      <c r="Q391" s="89"/>
      <c r="R391" s="89"/>
      <c r="S391" s="89"/>
      <c r="T391" s="89"/>
      <c r="U391" s="89"/>
      <c r="V391" s="89"/>
      <c r="W391" s="89"/>
      <c r="X391" s="89"/>
      <c r="Y391" s="89"/>
      <c r="Z391" s="89"/>
      <c r="AA391" s="89"/>
      <c r="AB391" s="89"/>
      <c r="AC391" s="89"/>
      <c r="AD391" s="89"/>
      <c r="AE391" s="89"/>
      <c r="AF391" s="89"/>
      <c r="AG391" s="89"/>
      <c r="AH391" s="89"/>
      <c r="AI391" s="89"/>
      <c r="AJ391" s="89"/>
      <c r="AK391" s="89"/>
      <c r="AL391" s="89"/>
      <c r="AM391" s="89"/>
      <c r="AN391" s="89"/>
      <c r="AO391" s="89"/>
      <c r="AP391" s="89"/>
      <c r="AQ391" s="89"/>
      <c r="AR391" s="89"/>
      <c r="AS391" s="89"/>
      <c r="AT391" s="89"/>
      <c r="AU391" s="89"/>
      <c r="AV391" s="89"/>
      <c r="AW391" s="89"/>
      <c r="AX391" s="89"/>
      <c r="AY391" s="89"/>
      <c r="AZ391" s="89"/>
      <c r="BA391" s="95"/>
    </row>
    <row r="392" spans="1:53" s="87" customFormat="1">
      <c r="A392" s="90">
        <f t="shared" si="30"/>
        <v>392</v>
      </c>
      <c r="B392" s="319" t="s">
        <v>1187</v>
      </c>
      <c r="C392" s="89"/>
      <c r="D392" s="89"/>
      <c r="E392" s="89"/>
      <c r="F392" s="89"/>
      <c r="G392" s="89"/>
      <c r="H392" s="89"/>
      <c r="I392" s="89"/>
      <c r="J392" s="89"/>
      <c r="K392" s="89"/>
      <c r="L392" s="89"/>
      <c r="M392" s="89"/>
      <c r="N392" s="89"/>
      <c r="O392" s="89"/>
      <c r="P392" s="89"/>
      <c r="Q392" s="89"/>
      <c r="R392" s="89"/>
      <c r="S392" s="89"/>
      <c r="T392" s="89"/>
      <c r="U392" s="89"/>
      <c r="V392" s="89"/>
      <c r="W392" s="89"/>
      <c r="X392" s="89"/>
      <c r="Y392" s="89"/>
      <c r="Z392" s="89"/>
      <c r="AA392" s="89"/>
      <c r="AB392" s="89"/>
      <c r="AC392" s="89"/>
      <c r="AD392" s="89"/>
      <c r="AE392" s="89"/>
      <c r="AF392" s="89"/>
      <c r="AG392" s="89"/>
      <c r="AH392" s="89"/>
      <c r="AI392" s="89"/>
      <c r="AJ392" s="89"/>
      <c r="AK392" s="89"/>
      <c r="AL392" s="89"/>
      <c r="AM392" s="89"/>
      <c r="AN392" s="89"/>
      <c r="AO392" s="89"/>
      <c r="AP392" s="89"/>
      <c r="AQ392" s="89"/>
      <c r="AR392" s="89"/>
      <c r="AS392" s="89"/>
      <c r="AT392" s="89"/>
      <c r="AU392" s="89"/>
      <c r="AV392" s="89"/>
      <c r="AW392" s="89"/>
      <c r="AX392" s="89"/>
      <c r="AY392" s="89"/>
      <c r="AZ392" s="89"/>
      <c r="BA392" s="95"/>
    </row>
    <row r="393" spans="1:53" s="87" customFormat="1">
      <c r="A393" s="90" t="str">
        <f t="shared" si="30"/>
        <v/>
      </c>
      <c r="B393" s="89">
        <v>1</v>
      </c>
      <c r="C393" s="89">
        <v>8</v>
      </c>
      <c r="D393" s="89">
        <v>-2</v>
      </c>
      <c r="E393" s="89" t="s">
        <v>210</v>
      </c>
      <c r="F393" s="89" t="s">
        <v>210</v>
      </c>
      <c r="G393" s="89">
        <v>3</v>
      </c>
      <c r="H393" s="89">
        <v>-7</v>
      </c>
      <c r="I393" s="89" t="s">
        <v>210</v>
      </c>
      <c r="J393" s="89">
        <v>-6</v>
      </c>
      <c r="K393" s="89">
        <v>1</v>
      </c>
      <c r="L393" s="89">
        <v>-4</v>
      </c>
      <c r="M393" s="89" t="s">
        <v>210</v>
      </c>
      <c r="N393" s="89">
        <v>-8</v>
      </c>
      <c r="O393" s="89">
        <v>-3</v>
      </c>
      <c r="P393" s="89">
        <v>5</v>
      </c>
      <c r="Q393" s="89" t="s">
        <v>210</v>
      </c>
      <c r="R393" s="89" t="s">
        <v>210</v>
      </c>
      <c r="S393" s="89">
        <v>9</v>
      </c>
      <c r="T393" s="89">
        <v>4</v>
      </c>
      <c r="U393" s="89"/>
      <c r="V393" s="89"/>
      <c r="W393" s="89"/>
      <c r="X393" s="89"/>
      <c r="Y393" s="89"/>
      <c r="Z393" s="89"/>
      <c r="AA393" s="89"/>
      <c r="AB393" s="89"/>
      <c r="AC393" s="89"/>
      <c r="AD393" s="89"/>
      <c r="AE393" s="89"/>
      <c r="AF393" s="89"/>
      <c r="AG393" s="89"/>
      <c r="AH393" s="89"/>
      <c r="AI393" s="89"/>
      <c r="AJ393" s="89"/>
      <c r="AK393" s="89"/>
      <c r="AL393" s="89"/>
      <c r="AM393" s="89"/>
      <c r="AN393" s="89"/>
      <c r="AO393" s="89"/>
      <c r="AP393" s="89"/>
      <c r="AQ393" s="89"/>
      <c r="AR393" s="89"/>
      <c r="AS393" s="89"/>
      <c r="AT393" s="89"/>
      <c r="AU393" s="89"/>
      <c r="AV393" s="89"/>
      <c r="AW393" s="89"/>
      <c r="AX393" s="89"/>
      <c r="AY393" s="89"/>
      <c r="AZ393" s="89"/>
      <c r="BA393" s="95"/>
    </row>
    <row r="394" spans="1:53" s="87" customFormat="1">
      <c r="A394" s="90" t="str">
        <f t="shared" si="30"/>
        <v/>
      </c>
      <c r="B394" s="89">
        <v>2</v>
      </c>
      <c r="C394" s="89">
        <v>-4</v>
      </c>
      <c r="D394" s="89">
        <v>2</v>
      </c>
      <c r="E394" s="89" t="s">
        <v>210</v>
      </c>
      <c r="F394" s="89" t="s">
        <v>210</v>
      </c>
      <c r="G394" s="89">
        <v>-10</v>
      </c>
      <c r="H394" s="89">
        <v>-5</v>
      </c>
      <c r="I394" s="89" t="s">
        <v>210</v>
      </c>
      <c r="J394" s="89">
        <v>-7</v>
      </c>
      <c r="K394" s="89">
        <v>9</v>
      </c>
      <c r="L394" s="89">
        <v>6</v>
      </c>
      <c r="M394" s="89" t="s">
        <v>210</v>
      </c>
      <c r="N394" s="89">
        <v>-3</v>
      </c>
      <c r="O394" s="89">
        <v>5</v>
      </c>
      <c r="P394" s="89">
        <v>8</v>
      </c>
      <c r="Q394" s="89" t="s">
        <v>210</v>
      </c>
      <c r="R394" s="89" t="s">
        <v>210</v>
      </c>
      <c r="S394" s="89">
        <v>4</v>
      </c>
      <c r="T394" s="89">
        <v>-2</v>
      </c>
      <c r="U394" s="89"/>
      <c r="V394" s="89"/>
      <c r="W394" s="89"/>
      <c r="X394" s="89"/>
      <c r="Y394" s="89"/>
      <c r="Z394" s="89"/>
      <c r="AA394" s="89"/>
      <c r="AB394" s="89"/>
      <c r="AC394" s="89"/>
      <c r="AD394" s="89"/>
      <c r="AE394" s="89"/>
      <c r="AF394" s="89"/>
      <c r="AG394" s="89"/>
      <c r="AH394" s="89"/>
      <c r="AI394" s="89"/>
      <c r="AJ394" s="89"/>
      <c r="AK394" s="89"/>
      <c r="AL394" s="89"/>
      <c r="AM394" s="89"/>
      <c r="AN394" s="89"/>
      <c r="AO394" s="89"/>
      <c r="AP394" s="89"/>
      <c r="AQ394" s="89"/>
      <c r="AR394" s="89"/>
      <c r="AS394" s="89"/>
      <c r="AT394" s="89"/>
      <c r="AU394" s="89"/>
      <c r="AV394" s="89"/>
      <c r="AW394" s="89"/>
      <c r="AX394" s="89"/>
      <c r="AY394" s="89"/>
      <c r="AZ394" s="89"/>
      <c r="BA394" s="95"/>
    </row>
    <row r="395" spans="1:53" s="87" customFormat="1">
      <c r="A395" s="90" t="str">
        <f t="shared" si="30"/>
        <v/>
      </c>
      <c r="B395" s="89">
        <v>3</v>
      </c>
      <c r="C395" s="89">
        <v>6</v>
      </c>
      <c r="D395" s="89">
        <v>8</v>
      </c>
      <c r="E395" s="89" t="s">
        <v>210</v>
      </c>
      <c r="F395" s="89" t="s">
        <v>210</v>
      </c>
      <c r="G395" s="89">
        <v>-3</v>
      </c>
      <c r="H395" s="89">
        <v>-10</v>
      </c>
      <c r="I395" s="89" t="s">
        <v>210</v>
      </c>
      <c r="J395" s="89">
        <v>2</v>
      </c>
      <c r="K395" s="89">
        <v>5</v>
      </c>
      <c r="L395" s="89" t="s">
        <v>210</v>
      </c>
      <c r="M395" s="89">
        <v>-8</v>
      </c>
      <c r="N395" s="89">
        <v>3</v>
      </c>
      <c r="O395" s="89">
        <v>7</v>
      </c>
      <c r="P395" s="89" t="s">
        <v>210</v>
      </c>
      <c r="Q395" s="89">
        <v>-9</v>
      </c>
      <c r="R395" s="89">
        <v>-4</v>
      </c>
      <c r="S395" s="89">
        <v>-6</v>
      </c>
      <c r="T395" s="89" t="s">
        <v>210</v>
      </c>
      <c r="U395" s="89"/>
      <c r="V395" s="89"/>
      <c r="W395" s="89"/>
      <c r="X395" s="89"/>
      <c r="Y395" s="89"/>
      <c r="Z395" s="89"/>
      <c r="AA395" s="89"/>
      <c r="AB395" s="89"/>
      <c r="AC395" s="89"/>
      <c r="AD395" s="89"/>
      <c r="AE395" s="89"/>
      <c r="AF395" s="89"/>
      <c r="AG395" s="89"/>
      <c r="AH395" s="89"/>
      <c r="AI395" s="89"/>
      <c r="AJ395" s="89"/>
      <c r="AK395" s="89"/>
      <c r="AL395" s="89"/>
      <c r="AM395" s="89"/>
      <c r="AN395" s="89"/>
      <c r="AO395" s="89"/>
      <c r="AP395" s="89"/>
      <c r="AQ395" s="89"/>
      <c r="AR395" s="89"/>
      <c r="AS395" s="89"/>
      <c r="AT395" s="89"/>
      <c r="AU395" s="89"/>
      <c r="AV395" s="89"/>
      <c r="AW395" s="89"/>
      <c r="AX395" s="89"/>
      <c r="AY395" s="89"/>
      <c r="AZ395" s="89"/>
      <c r="BA395" s="95"/>
    </row>
    <row r="396" spans="1:53" s="87" customFormat="1">
      <c r="A396" s="90" t="str">
        <f t="shared" ref="A396:A459" si="31">IF(MID(B396,3,2)="10",ROW(),"")</f>
        <v/>
      </c>
      <c r="B396" s="89">
        <v>4</v>
      </c>
      <c r="C396" s="89">
        <v>-6</v>
      </c>
      <c r="D396" s="89" t="s">
        <v>210</v>
      </c>
      <c r="E396" s="89">
        <v>-2</v>
      </c>
      <c r="F396" s="89">
        <v>-8</v>
      </c>
      <c r="G396" s="89">
        <v>10</v>
      </c>
      <c r="H396" s="89" t="s">
        <v>210</v>
      </c>
      <c r="I396" s="89" t="s">
        <v>210</v>
      </c>
      <c r="J396" s="89">
        <v>-4</v>
      </c>
      <c r="K396" s="89">
        <v>8</v>
      </c>
      <c r="L396" s="89" t="s">
        <v>210</v>
      </c>
      <c r="M396" s="89">
        <v>-9</v>
      </c>
      <c r="N396" s="89">
        <v>1</v>
      </c>
      <c r="O396" s="89">
        <v>3</v>
      </c>
      <c r="P396" s="89" t="s">
        <v>210</v>
      </c>
      <c r="Q396" s="89">
        <v>-5</v>
      </c>
      <c r="R396" s="89" t="s">
        <v>210</v>
      </c>
      <c r="S396" s="89">
        <v>7</v>
      </c>
      <c r="T396" s="89">
        <v>6</v>
      </c>
      <c r="U396" s="89"/>
      <c r="V396" s="89"/>
      <c r="W396" s="89"/>
      <c r="X396" s="89"/>
      <c r="Y396" s="89"/>
      <c r="Z396" s="89"/>
      <c r="AA396" s="89"/>
      <c r="AB396" s="89"/>
      <c r="AC396" s="89"/>
      <c r="AD396" s="89"/>
      <c r="AE396" s="89"/>
      <c r="AF396" s="89"/>
      <c r="AG396" s="89"/>
      <c r="AH396" s="89"/>
      <c r="AI396" s="89"/>
      <c r="AJ396" s="89"/>
      <c r="AK396" s="89"/>
      <c r="AL396" s="89"/>
      <c r="AM396" s="89"/>
      <c r="AN396" s="89"/>
      <c r="AO396" s="89"/>
      <c r="AP396" s="89"/>
      <c r="AQ396" s="89"/>
      <c r="AR396" s="89"/>
      <c r="AS396" s="89"/>
      <c r="AT396" s="89"/>
      <c r="AU396" s="89"/>
      <c r="AV396" s="89"/>
      <c r="AW396" s="89"/>
      <c r="AX396" s="89"/>
      <c r="AY396" s="89"/>
      <c r="AZ396" s="89"/>
      <c r="BA396" s="95"/>
    </row>
    <row r="397" spans="1:53" s="87" customFormat="1">
      <c r="A397" s="90" t="str">
        <f t="shared" si="31"/>
        <v/>
      </c>
      <c r="B397" s="89">
        <v>5</v>
      </c>
      <c r="C397" s="89">
        <v>-8</v>
      </c>
      <c r="D397" s="89" t="s">
        <v>210</v>
      </c>
      <c r="E397" s="89">
        <v>2</v>
      </c>
      <c r="F397" s="89">
        <v>-6</v>
      </c>
      <c r="G397" s="89">
        <v>-7</v>
      </c>
      <c r="H397" s="89" t="s">
        <v>210</v>
      </c>
      <c r="I397" s="89" t="s">
        <v>210</v>
      </c>
      <c r="J397" s="89">
        <v>-10</v>
      </c>
      <c r="K397" s="89">
        <v>3</v>
      </c>
      <c r="L397" s="89" t="s">
        <v>210</v>
      </c>
      <c r="M397" s="89">
        <v>1</v>
      </c>
      <c r="N397" s="89">
        <v>-9</v>
      </c>
      <c r="O397" s="89">
        <v>-5</v>
      </c>
      <c r="P397" s="89" t="s">
        <v>210</v>
      </c>
      <c r="Q397" s="89">
        <v>4</v>
      </c>
      <c r="R397" s="89" t="s">
        <v>210</v>
      </c>
      <c r="S397" s="89">
        <v>6</v>
      </c>
      <c r="T397" s="89">
        <v>7</v>
      </c>
      <c r="U397" s="89"/>
      <c r="V397" s="89"/>
      <c r="W397" s="89"/>
      <c r="X397" s="89"/>
      <c r="Y397" s="89"/>
      <c r="Z397" s="89"/>
      <c r="AA397" s="89"/>
      <c r="AB397" s="89"/>
      <c r="AC397" s="89"/>
      <c r="AD397" s="89"/>
      <c r="AE397" s="89"/>
      <c r="AF397" s="89"/>
      <c r="AG397" s="89"/>
      <c r="AH397" s="89"/>
      <c r="AI397" s="89"/>
      <c r="AJ397" s="89"/>
      <c r="AK397" s="89"/>
      <c r="AL397" s="89"/>
      <c r="AM397" s="89"/>
      <c r="AN397" s="89"/>
      <c r="AO397" s="89"/>
      <c r="AP397" s="89"/>
      <c r="AQ397" s="89"/>
      <c r="AR397" s="89"/>
      <c r="AS397" s="89"/>
      <c r="AT397" s="89"/>
      <c r="AU397" s="89"/>
      <c r="AV397" s="89"/>
      <c r="AW397" s="89"/>
      <c r="AX397" s="89"/>
      <c r="AY397" s="89"/>
      <c r="AZ397" s="89"/>
      <c r="BA397" s="95"/>
    </row>
    <row r="398" spans="1:53" s="87" customFormat="1">
      <c r="A398" s="90" t="str">
        <f t="shared" si="31"/>
        <v/>
      </c>
      <c r="B398" s="89">
        <v>6</v>
      </c>
      <c r="C398" s="89">
        <v>4</v>
      </c>
      <c r="D398" s="89" t="s">
        <v>210</v>
      </c>
      <c r="E398" s="89">
        <v>-7</v>
      </c>
      <c r="F398" s="89">
        <v>-3</v>
      </c>
      <c r="G398" s="89">
        <v>2</v>
      </c>
      <c r="H398" s="89" t="s">
        <v>210</v>
      </c>
      <c r="I398" s="89" t="s">
        <v>210</v>
      </c>
      <c r="J398" s="89">
        <v>10</v>
      </c>
      <c r="K398" s="89">
        <v>-5</v>
      </c>
      <c r="L398" s="89" t="s">
        <v>210</v>
      </c>
      <c r="M398" s="89">
        <v>3</v>
      </c>
      <c r="N398" s="89">
        <v>8</v>
      </c>
      <c r="O398" s="89" t="s">
        <v>210</v>
      </c>
      <c r="P398" s="89">
        <v>-4</v>
      </c>
      <c r="Q398" s="89">
        <v>-1</v>
      </c>
      <c r="R398" s="89">
        <v>7</v>
      </c>
      <c r="S398" s="89" t="s">
        <v>210</v>
      </c>
      <c r="T398" s="89">
        <v>-6</v>
      </c>
      <c r="U398" s="89"/>
      <c r="V398" s="89"/>
      <c r="W398" s="89"/>
      <c r="X398" s="89"/>
      <c r="Y398" s="89"/>
      <c r="Z398" s="89"/>
      <c r="AA398" s="89"/>
      <c r="AB398" s="89"/>
      <c r="AC398" s="89"/>
      <c r="AD398" s="89"/>
      <c r="AE398" s="89"/>
      <c r="AF398" s="89"/>
      <c r="AG398" s="89"/>
      <c r="AH398" s="89"/>
      <c r="AI398" s="89"/>
      <c r="AJ398" s="89"/>
      <c r="AK398" s="89"/>
      <c r="AL398" s="89"/>
      <c r="AM398" s="89"/>
      <c r="AN398" s="89"/>
      <c r="AO398" s="89"/>
      <c r="AP398" s="89"/>
      <c r="AQ398" s="89"/>
      <c r="AR398" s="89"/>
      <c r="AS398" s="89"/>
      <c r="AT398" s="89"/>
      <c r="AU398" s="89"/>
      <c r="AV398" s="89"/>
      <c r="AW398" s="89"/>
      <c r="AX398" s="89"/>
      <c r="AY398" s="89"/>
      <c r="AZ398" s="89"/>
      <c r="BA398" s="95"/>
    </row>
    <row r="399" spans="1:53" s="87" customFormat="1">
      <c r="A399" s="90" t="str">
        <f t="shared" si="31"/>
        <v/>
      </c>
      <c r="B399" s="89">
        <v>7</v>
      </c>
      <c r="C399" s="89" t="s">
        <v>210</v>
      </c>
      <c r="D399" s="89">
        <v>5</v>
      </c>
      <c r="E399" s="89">
        <v>-4</v>
      </c>
      <c r="F399" s="89">
        <v>6</v>
      </c>
      <c r="G399" s="89" t="s">
        <v>210</v>
      </c>
      <c r="H399" s="89">
        <v>7</v>
      </c>
      <c r="I399" s="89">
        <v>-3</v>
      </c>
      <c r="J399" s="89">
        <v>-2</v>
      </c>
      <c r="K399" s="89" t="s">
        <v>210</v>
      </c>
      <c r="L399" s="89" t="s">
        <v>210</v>
      </c>
      <c r="M399" s="89">
        <v>9</v>
      </c>
      <c r="N399" s="89">
        <v>-6</v>
      </c>
      <c r="O399" s="89" t="s">
        <v>210</v>
      </c>
      <c r="P399" s="89">
        <v>-8</v>
      </c>
      <c r="Q399" s="89">
        <v>1</v>
      </c>
      <c r="R399" s="89">
        <v>-5</v>
      </c>
      <c r="S399" s="89" t="s">
        <v>210</v>
      </c>
      <c r="T399" s="89">
        <v>10</v>
      </c>
      <c r="U399" s="89"/>
      <c r="V399" s="89"/>
      <c r="W399" s="89"/>
      <c r="X399" s="89"/>
      <c r="Y399" s="89"/>
      <c r="Z399" s="89"/>
      <c r="AA399" s="89"/>
      <c r="AB399" s="89"/>
      <c r="AC399" s="89"/>
      <c r="AD399" s="89"/>
      <c r="AE399" s="89"/>
      <c r="AF399" s="89"/>
      <c r="AG399" s="89"/>
      <c r="AH399" s="89"/>
      <c r="AI399" s="89"/>
      <c r="AJ399" s="89"/>
      <c r="AK399" s="89"/>
      <c r="AL399" s="89"/>
      <c r="AM399" s="89"/>
      <c r="AN399" s="89"/>
      <c r="AO399" s="89"/>
      <c r="AP399" s="89"/>
      <c r="AQ399" s="89"/>
      <c r="AR399" s="89"/>
      <c r="AS399" s="89"/>
      <c r="AT399" s="89"/>
      <c r="AU399" s="89"/>
      <c r="AV399" s="89"/>
      <c r="AW399" s="89"/>
      <c r="AX399" s="89"/>
      <c r="AY399" s="89"/>
      <c r="AZ399" s="89"/>
      <c r="BA399" s="95"/>
    </row>
    <row r="400" spans="1:53" s="87" customFormat="1">
      <c r="A400" s="90" t="str">
        <f t="shared" si="31"/>
        <v/>
      </c>
      <c r="B400" s="89">
        <v>8</v>
      </c>
      <c r="C400" s="89" t="s">
        <v>210</v>
      </c>
      <c r="D400" s="89">
        <v>-4</v>
      </c>
      <c r="E400" s="89">
        <v>5</v>
      </c>
      <c r="F400" s="89">
        <v>8</v>
      </c>
      <c r="G400" s="89" t="s">
        <v>210</v>
      </c>
      <c r="H400" s="89">
        <v>2</v>
      </c>
      <c r="I400" s="89">
        <v>-6</v>
      </c>
      <c r="J400" s="89">
        <v>7</v>
      </c>
      <c r="K400" s="89" t="s">
        <v>210</v>
      </c>
      <c r="L400" s="89" t="s">
        <v>210</v>
      </c>
      <c r="M400" s="89">
        <v>-3</v>
      </c>
      <c r="N400" s="89">
        <v>9</v>
      </c>
      <c r="O400" s="89" t="s">
        <v>210</v>
      </c>
      <c r="P400" s="89">
        <v>-5</v>
      </c>
      <c r="Q400" s="89">
        <v>-8</v>
      </c>
      <c r="R400" s="89">
        <v>4</v>
      </c>
      <c r="S400" s="89" t="s">
        <v>210</v>
      </c>
      <c r="T400" s="89">
        <v>-10</v>
      </c>
      <c r="U400" s="89"/>
      <c r="V400" s="89"/>
      <c r="W400" s="89"/>
      <c r="X400" s="89"/>
      <c r="Y400" s="89"/>
      <c r="Z400" s="89"/>
      <c r="AA400" s="89"/>
      <c r="AB400" s="89"/>
      <c r="AC400" s="89"/>
      <c r="AD400" s="89"/>
      <c r="AE400" s="89"/>
      <c r="AF400" s="89"/>
      <c r="AG400" s="89"/>
      <c r="AH400" s="89"/>
      <c r="AI400" s="89"/>
      <c r="AJ400" s="89"/>
      <c r="AK400" s="89"/>
      <c r="AL400" s="89"/>
      <c r="AM400" s="89"/>
      <c r="AN400" s="89"/>
      <c r="AO400" s="89"/>
      <c r="AP400" s="89"/>
      <c r="AQ400" s="89"/>
      <c r="AR400" s="89"/>
      <c r="AS400" s="89"/>
      <c r="AT400" s="89"/>
      <c r="AU400" s="89"/>
      <c r="AV400" s="89"/>
      <c r="AW400" s="89"/>
      <c r="AX400" s="89"/>
      <c r="AY400" s="89"/>
      <c r="AZ400" s="89"/>
      <c r="BA400" s="95"/>
    </row>
    <row r="401" spans="1:53" s="87" customFormat="1">
      <c r="A401" s="90" t="str">
        <f t="shared" si="31"/>
        <v/>
      </c>
      <c r="B401" s="89">
        <v>9</v>
      </c>
      <c r="C401" s="89" t="s">
        <v>210</v>
      </c>
      <c r="D401" s="89">
        <v>-8</v>
      </c>
      <c r="E401" s="89">
        <v>-10</v>
      </c>
      <c r="F401" s="89">
        <v>3</v>
      </c>
      <c r="G401" s="89" t="s">
        <v>210</v>
      </c>
      <c r="H401" s="89">
        <v>5</v>
      </c>
      <c r="I401" s="89">
        <v>-7</v>
      </c>
      <c r="J401" s="89">
        <v>4</v>
      </c>
      <c r="K401" s="89" t="s">
        <v>210</v>
      </c>
      <c r="L401" s="89" t="s">
        <v>210</v>
      </c>
      <c r="M401" s="89">
        <v>-1</v>
      </c>
      <c r="N401" s="89">
        <v>6</v>
      </c>
      <c r="O401" s="89" t="s">
        <v>210</v>
      </c>
      <c r="P401" s="89">
        <v>-9</v>
      </c>
      <c r="Q401" s="89">
        <v>8</v>
      </c>
      <c r="R401" s="89" t="s">
        <v>210</v>
      </c>
      <c r="S401" s="89">
        <v>2</v>
      </c>
      <c r="T401" s="89">
        <v>-4</v>
      </c>
      <c r="U401" s="89"/>
      <c r="V401" s="89"/>
      <c r="W401" s="89"/>
      <c r="X401" s="89"/>
      <c r="Y401" s="89"/>
      <c r="Z401" s="89"/>
      <c r="AA401" s="89"/>
      <c r="AB401" s="89"/>
      <c r="AC401" s="89"/>
      <c r="AD401" s="89"/>
      <c r="AE401" s="89"/>
      <c r="AF401" s="89"/>
      <c r="AG401" s="89"/>
      <c r="AH401" s="89"/>
      <c r="AI401" s="89"/>
      <c r="AJ401" s="89"/>
      <c r="AK401" s="89"/>
      <c r="AL401" s="89"/>
      <c r="AM401" s="89"/>
      <c r="AN401" s="89"/>
      <c r="AO401" s="89"/>
      <c r="AP401" s="89"/>
      <c r="AQ401" s="89"/>
      <c r="AR401" s="89"/>
      <c r="AS401" s="89"/>
      <c r="AT401" s="89"/>
      <c r="AU401" s="89"/>
      <c r="AV401" s="89"/>
      <c r="AW401" s="89"/>
      <c r="AX401" s="89"/>
      <c r="AY401" s="89"/>
      <c r="AZ401" s="89"/>
      <c r="BA401" s="95"/>
    </row>
    <row r="402" spans="1:53" s="87" customFormat="1">
      <c r="A402" s="90" t="str">
        <f t="shared" si="31"/>
        <v/>
      </c>
      <c r="B402" s="89">
        <v>10</v>
      </c>
      <c r="C402" s="89" t="s">
        <v>210</v>
      </c>
      <c r="D402" s="89">
        <v>4</v>
      </c>
      <c r="E402" s="89">
        <v>7</v>
      </c>
      <c r="F402" s="89" t="s">
        <v>210</v>
      </c>
      <c r="G402" s="89">
        <v>-6</v>
      </c>
      <c r="H402" s="89">
        <v>10</v>
      </c>
      <c r="I402" s="89">
        <v>3</v>
      </c>
      <c r="J402" s="89" t="s">
        <v>210</v>
      </c>
      <c r="K402" s="89">
        <v>-1</v>
      </c>
      <c r="L402" s="89">
        <v>-8</v>
      </c>
      <c r="M402" s="89">
        <v>-5</v>
      </c>
      <c r="N402" s="89" t="s">
        <v>210</v>
      </c>
      <c r="O402" s="89" t="s">
        <v>210</v>
      </c>
      <c r="P402" s="89">
        <v>9</v>
      </c>
      <c r="Q402" s="89">
        <v>-4</v>
      </c>
      <c r="R402" s="89" t="s">
        <v>210</v>
      </c>
      <c r="S402" s="89">
        <v>-7</v>
      </c>
      <c r="T402" s="89">
        <v>2</v>
      </c>
      <c r="U402" s="89"/>
      <c r="V402" s="89"/>
      <c r="W402" s="89"/>
      <c r="X402" s="89"/>
      <c r="Y402" s="89"/>
      <c r="Z402" s="89"/>
      <c r="AA402" s="89"/>
      <c r="AB402" s="89"/>
      <c r="AC402" s="89"/>
      <c r="AD402" s="89"/>
      <c r="AE402" s="89"/>
      <c r="AF402" s="89"/>
      <c r="AG402" s="89"/>
      <c r="AH402" s="89"/>
      <c r="AI402" s="89"/>
      <c r="AJ402" s="89"/>
      <c r="AK402" s="89"/>
      <c r="AL402" s="89"/>
      <c r="AM402" s="89"/>
      <c r="AN402" s="89"/>
      <c r="AO402" s="89"/>
      <c r="AP402" s="89"/>
      <c r="AQ402" s="89"/>
      <c r="AR402" s="89"/>
      <c r="AS402" s="89"/>
      <c r="AT402" s="89"/>
      <c r="AU402" s="89"/>
      <c r="AV402" s="89"/>
      <c r="AW402" s="89"/>
      <c r="AX402" s="89"/>
      <c r="AY402" s="89"/>
      <c r="AZ402" s="89"/>
      <c r="BA402" s="95"/>
    </row>
    <row r="403" spans="1:53" s="87" customFormat="1">
      <c r="A403" s="90" t="str">
        <f t="shared" si="31"/>
        <v/>
      </c>
      <c r="B403" s="89">
        <v>11</v>
      </c>
      <c r="C403" s="89" t="s">
        <v>210</v>
      </c>
      <c r="D403" s="89">
        <v>-5</v>
      </c>
      <c r="E403" s="89">
        <v>10</v>
      </c>
      <c r="F403" s="89" t="s">
        <v>210</v>
      </c>
      <c r="G403" s="89">
        <v>-2</v>
      </c>
      <c r="H403" s="89">
        <v>3</v>
      </c>
      <c r="I403" s="89">
        <v>6</v>
      </c>
      <c r="J403" s="89" t="s">
        <v>210</v>
      </c>
      <c r="K403" s="89">
        <v>-8</v>
      </c>
      <c r="L403" s="89">
        <v>4</v>
      </c>
      <c r="M403" s="89">
        <v>5</v>
      </c>
      <c r="N403" s="89" t="s">
        <v>210</v>
      </c>
      <c r="O403" s="89" t="s">
        <v>210</v>
      </c>
      <c r="P403" s="89">
        <v>-1</v>
      </c>
      <c r="Q403" s="89">
        <v>9</v>
      </c>
      <c r="R403" s="89" t="s">
        <v>210</v>
      </c>
      <c r="S403" s="89">
        <v>-4</v>
      </c>
      <c r="T403" s="89">
        <v>-7</v>
      </c>
      <c r="U403" s="89"/>
      <c r="V403" s="89"/>
      <c r="W403" s="89"/>
      <c r="X403" s="89"/>
      <c r="Y403" s="89"/>
      <c r="Z403" s="89"/>
      <c r="AA403" s="89"/>
      <c r="AB403" s="89"/>
      <c r="AC403" s="89"/>
      <c r="AD403" s="89"/>
      <c r="AE403" s="89"/>
      <c r="AF403" s="89"/>
      <c r="AG403" s="89"/>
      <c r="AH403" s="89"/>
      <c r="AI403" s="89"/>
      <c r="AJ403" s="89"/>
      <c r="AK403" s="89"/>
      <c r="AL403" s="89"/>
      <c r="AM403" s="89"/>
      <c r="AN403" s="89"/>
      <c r="AO403" s="89"/>
      <c r="AP403" s="89"/>
      <c r="AQ403" s="89"/>
      <c r="AR403" s="89"/>
      <c r="AS403" s="89"/>
      <c r="AT403" s="89"/>
      <c r="AU403" s="89"/>
      <c r="AV403" s="89"/>
      <c r="AW403" s="89"/>
      <c r="AX403" s="89"/>
      <c r="AY403" s="89"/>
      <c r="AZ403" s="89"/>
      <c r="BA403" s="95"/>
    </row>
    <row r="404" spans="1:53" s="87" customFormat="1">
      <c r="A404" s="90" t="str">
        <f t="shared" si="31"/>
        <v/>
      </c>
      <c r="B404" s="89">
        <v>12</v>
      </c>
      <c r="C404" s="89" t="s">
        <v>210</v>
      </c>
      <c r="D404" s="89">
        <v>-10</v>
      </c>
      <c r="E404" s="89">
        <v>4</v>
      </c>
      <c r="F404" s="89" t="s">
        <v>210</v>
      </c>
      <c r="G404" s="89">
        <v>6</v>
      </c>
      <c r="H404" s="89">
        <v>-2</v>
      </c>
      <c r="I404" s="89">
        <v>7</v>
      </c>
      <c r="J404" s="89" t="s">
        <v>210</v>
      </c>
      <c r="K404" s="89">
        <v>-3</v>
      </c>
      <c r="L404" s="89">
        <v>-6</v>
      </c>
      <c r="M404" s="89">
        <v>8</v>
      </c>
      <c r="N404" s="89" t="s">
        <v>210</v>
      </c>
      <c r="O404" s="89" t="s">
        <v>210</v>
      </c>
      <c r="P404" s="89">
        <v>1</v>
      </c>
      <c r="Q404" s="89">
        <v>5</v>
      </c>
      <c r="R404" s="89">
        <v>-7</v>
      </c>
      <c r="S404" s="89">
        <v>-9</v>
      </c>
      <c r="T404" s="89" t="s">
        <v>210</v>
      </c>
      <c r="U404" s="89"/>
      <c r="V404" s="89"/>
      <c r="W404" s="89"/>
      <c r="X404" s="89"/>
      <c r="Y404" s="89"/>
      <c r="Z404" s="89"/>
      <c r="AA404" s="89"/>
      <c r="AB404" s="89"/>
      <c r="AC404" s="89"/>
      <c r="AD404" s="89"/>
      <c r="AE404" s="89"/>
      <c r="AF404" s="89"/>
      <c r="AG404" s="89"/>
      <c r="AH404" s="89"/>
      <c r="AI404" s="89"/>
      <c r="AJ404" s="89"/>
      <c r="AK404" s="89"/>
      <c r="AL404" s="89"/>
      <c r="AM404" s="89"/>
      <c r="AN404" s="89"/>
      <c r="AO404" s="89"/>
      <c r="AP404" s="89"/>
      <c r="AQ404" s="89"/>
      <c r="AR404" s="89"/>
      <c r="AS404" s="89"/>
      <c r="AT404" s="89"/>
      <c r="AU404" s="89"/>
      <c r="AV404" s="89"/>
      <c r="AW404" s="89"/>
      <c r="AX404" s="89"/>
      <c r="AY404" s="89"/>
      <c r="AZ404" s="89"/>
      <c r="BA404" s="95"/>
    </row>
    <row r="405" spans="1:53" s="87" customFormat="1">
      <c r="A405" s="90" t="str">
        <f t="shared" si="31"/>
        <v/>
      </c>
      <c r="B405" s="99">
        <v>13</v>
      </c>
      <c r="C405" s="92" t="s">
        <v>210</v>
      </c>
      <c r="D405" s="92">
        <v>10</v>
      </c>
      <c r="E405" s="92">
        <v>-5</v>
      </c>
      <c r="F405" s="92" t="s">
        <v>210</v>
      </c>
      <c r="G405" s="92">
        <v>7</v>
      </c>
      <c r="H405" s="92">
        <v>-3</v>
      </c>
      <c r="I405" s="92" t="s">
        <v>210</v>
      </c>
      <c r="J405" s="92">
        <v>6</v>
      </c>
      <c r="K405" s="92">
        <v>-9</v>
      </c>
      <c r="L405" s="92">
        <v>8</v>
      </c>
      <c r="M405" s="92" t="s">
        <v>210</v>
      </c>
      <c r="N405" s="92">
        <v>-1</v>
      </c>
      <c r="O405" s="92">
        <v>-7</v>
      </c>
      <c r="P405" s="92">
        <v>4</v>
      </c>
      <c r="Q405" s="92" t="s">
        <v>210</v>
      </c>
      <c r="R405" s="92">
        <v>5</v>
      </c>
      <c r="S405" s="92">
        <v>-2</v>
      </c>
      <c r="T405" s="92" t="s">
        <v>210</v>
      </c>
      <c r="U405" s="89"/>
      <c r="V405" s="89"/>
      <c r="W405" s="89"/>
      <c r="X405" s="89"/>
      <c r="Y405" s="89"/>
      <c r="Z405" s="89"/>
      <c r="AA405" s="89"/>
      <c r="AB405" s="89"/>
      <c r="AC405" s="89"/>
      <c r="AD405" s="89"/>
      <c r="AE405" s="89"/>
      <c r="AF405" s="89"/>
      <c r="AG405" s="89"/>
      <c r="AH405" s="89"/>
      <c r="AI405" s="89"/>
      <c r="AJ405" s="89"/>
      <c r="AK405" s="89"/>
      <c r="AL405" s="89"/>
      <c r="AM405" s="89"/>
      <c r="AN405" s="89"/>
      <c r="AO405" s="89"/>
      <c r="AP405" s="89"/>
      <c r="AQ405" s="89"/>
      <c r="AR405" s="89"/>
      <c r="AS405" s="89"/>
      <c r="AT405" s="89"/>
      <c r="AU405" s="89"/>
      <c r="AV405" s="89"/>
      <c r="AW405" s="89"/>
      <c r="AX405" s="89"/>
      <c r="AY405" s="89"/>
      <c r="AZ405" s="89"/>
      <c r="BA405" s="95"/>
    </row>
    <row r="406" spans="1:53" s="87" customFormat="1">
      <c r="A406" s="90" t="str">
        <f t="shared" si="31"/>
        <v/>
      </c>
      <c r="B406" s="89">
        <v>14</v>
      </c>
      <c r="C406" s="89">
        <v>-7</v>
      </c>
      <c r="D406" s="89">
        <v>1</v>
      </c>
      <c r="E406" s="89" t="s">
        <v>210</v>
      </c>
      <c r="F406" s="89" t="s">
        <v>210</v>
      </c>
      <c r="G406" s="89">
        <v>-4</v>
      </c>
      <c r="H406" s="89">
        <v>8</v>
      </c>
      <c r="I406" s="89" t="s">
        <v>210</v>
      </c>
      <c r="J406" s="89">
        <v>5</v>
      </c>
      <c r="K406" s="89">
        <v>-2</v>
      </c>
      <c r="L406" s="89">
        <v>3</v>
      </c>
      <c r="M406" s="89" t="s">
        <v>210</v>
      </c>
      <c r="N406" s="89">
        <v>7</v>
      </c>
      <c r="O406" s="89">
        <v>4</v>
      </c>
      <c r="P406" s="89">
        <v>-6</v>
      </c>
      <c r="Q406" s="89" t="s">
        <v>210</v>
      </c>
      <c r="R406" s="89" t="s">
        <v>210</v>
      </c>
      <c r="S406" s="89">
        <v>-10</v>
      </c>
      <c r="T406" s="89">
        <v>-3</v>
      </c>
      <c r="U406" s="89"/>
      <c r="V406" s="89"/>
      <c r="W406" s="89"/>
      <c r="X406" s="89"/>
      <c r="Y406" s="89"/>
      <c r="Z406" s="89"/>
      <c r="AA406" s="89"/>
      <c r="AB406" s="89"/>
      <c r="AC406" s="89"/>
      <c r="AD406" s="89"/>
      <c r="AE406" s="89"/>
      <c r="AF406" s="89"/>
      <c r="AG406" s="89"/>
      <c r="AH406" s="89"/>
      <c r="AI406" s="89"/>
      <c r="AJ406" s="89"/>
      <c r="AK406" s="89"/>
      <c r="AL406" s="89"/>
      <c r="AM406" s="89"/>
      <c r="AN406" s="89"/>
      <c r="AO406" s="89"/>
      <c r="AP406" s="89"/>
      <c r="AQ406" s="89"/>
      <c r="AR406" s="89"/>
      <c r="AS406" s="89"/>
      <c r="AT406" s="89"/>
      <c r="AU406" s="89"/>
      <c r="AV406" s="89"/>
      <c r="AW406" s="89"/>
      <c r="AX406" s="89"/>
      <c r="AY406" s="89"/>
      <c r="AZ406" s="89"/>
      <c r="BA406" s="95"/>
    </row>
    <row r="407" spans="1:53" s="87" customFormat="1">
      <c r="A407" s="90" t="str">
        <f t="shared" si="31"/>
        <v/>
      </c>
      <c r="B407" s="89">
        <v>15</v>
      </c>
      <c r="C407" s="89">
        <v>3</v>
      </c>
      <c r="D407" s="89">
        <v>-1</v>
      </c>
      <c r="E407" s="89" t="s">
        <v>210</v>
      </c>
      <c r="F407" s="89" t="s">
        <v>210</v>
      </c>
      <c r="G407" s="89">
        <v>9</v>
      </c>
      <c r="H407" s="89">
        <v>6</v>
      </c>
      <c r="I407" s="89" t="s">
        <v>210</v>
      </c>
      <c r="J407" s="89">
        <v>8</v>
      </c>
      <c r="K407" s="89">
        <v>-10</v>
      </c>
      <c r="L407" s="89">
        <v>-5</v>
      </c>
      <c r="M407" s="89" t="s">
        <v>210</v>
      </c>
      <c r="N407" s="89">
        <v>4</v>
      </c>
      <c r="O407" s="89">
        <v>-6</v>
      </c>
      <c r="P407" s="89">
        <v>-7</v>
      </c>
      <c r="Q407" s="89" t="s">
        <v>210</v>
      </c>
      <c r="R407" s="89" t="s">
        <v>210</v>
      </c>
      <c r="S407" s="89">
        <v>-3</v>
      </c>
      <c r="T407" s="89">
        <v>1</v>
      </c>
      <c r="U407" s="89"/>
      <c r="V407" s="89"/>
      <c r="W407" s="89"/>
      <c r="X407" s="89"/>
      <c r="Y407" s="89"/>
      <c r="Z407" s="89"/>
      <c r="AA407" s="89"/>
      <c r="AB407" s="89"/>
      <c r="AC407" s="89"/>
      <c r="AD407" s="89"/>
      <c r="AE407" s="89"/>
      <c r="AF407" s="89"/>
      <c r="AG407" s="89"/>
      <c r="AH407" s="89"/>
      <c r="AI407" s="89"/>
      <c r="AJ407" s="89"/>
      <c r="AK407" s="89"/>
      <c r="AL407" s="89"/>
      <c r="AM407" s="89"/>
      <c r="AN407" s="89"/>
      <c r="AO407" s="89"/>
      <c r="AP407" s="89"/>
      <c r="AQ407" s="89"/>
      <c r="AR407" s="89"/>
      <c r="AS407" s="89"/>
      <c r="AT407" s="89"/>
      <c r="AU407" s="89"/>
      <c r="AV407" s="89"/>
      <c r="AW407" s="89"/>
      <c r="AX407" s="89"/>
      <c r="AY407" s="89"/>
      <c r="AZ407" s="89"/>
      <c r="BA407" s="95"/>
    </row>
    <row r="408" spans="1:53" s="87" customFormat="1">
      <c r="A408" s="90" t="str">
        <f t="shared" si="31"/>
        <v/>
      </c>
      <c r="B408" s="89">
        <v>16</v>
      </c>
      <c r="C408" s="89">
        <v>-5</v>
      </c>
      <c r="D408" s="89">
        <v>-7</v>
      </c>
      <c r="E408" s="89" t="s">
        <v>210</v>
      </c>
      <c r="F408" s="89" t="s">
        <v>210</v>
      </c>
      <c r="G408" s="89">
        <v>4</v>
      </c>
      <c r="H408" s="89">
        <v>9</v>
      </c>
      <c r="I408" s="89" t="s">
        <v>210</v>
      </c>
      <c r="J408" s="89">
        <v>-1</v>
      </c>
      <c r="K408" s="89">
        <v>-6</v>
      </c>
      <c r="L408" s="89" t="s">
        <v>210</v>
      </c>
      <c r="M408" s="89">
        <v>7</v>
      </c>
      <c r="N408" s="89">
        <v>-4</v>
      </c>
      <c r="O408" s="89">
        <v>-8</v>
      </c>
      <c r="P408" s="89" t="s">
        <v>210</v>
      </c>
      <c r="Q408" s="89">
        <v>10</v>
      </c>
      <c r="R408" s="89">
        <v>3</v>
      </c>
      <c r="S408" s="89">
        <v>5</v>
      </c>
      <c r="T408" s="89" t="s">
        <v>210</v>
      </c>
      <c r="U408" s="89"/>
      <c r="V408" s="89"/>
      <c r="W408" s="89"/>
      <c r="X408" s="89"/>
      <c r="Y408" s="89"/>
      <c r="Z408" s="89"/>
      <c r="AA408" s="89"/>
      <c r="AB408" s="89"/>
      <c r="AC408" s="89"/>
      <c r="AD408" s="89"/>
      <c r="AE408" s="89"/>
      <c r="AF408" s="89"/>
      <c r="AG408" s="89"/>
      <c r="AH408" s="89"/>
      <c r="AI408" s="89"/>
      <c r="AJ408" s="89"/>
      <c r="AK408" s="89"/>
      <c r="AL408" s="89"/>
      <c r="AM408" s="89"/>
      <c r="AN408" s="89"/>
      <c r="AO408" s="89"/>
      <c r="AP408" s="89"/>
      <c r="AQ408" s="89"/>
      <c r="AR408" s="89"/>
      <c r="AS408" s="89"/>
      <c r="AT408" s="89"/>
      <c r="AU408" s="89"/>
      <c r="AV408" s="89"/>
      <c r="AW408" s="89"/>
      <c r="AX408" s="89"/>
      <c r="AY408" s="89"/>
      <c r="AZ408" s="89"/>
      <c r="BA408" s="95"/>
    </row>
    <row r="409" spans="1:53" s="87" customFormat="1">
      <c r="A409" s="90" t="str">
        <f t="shared" si="31"/>
        <v/>
      </c>
      <c r="B409" s="89">
        <v>17</v>
      </c>
      <c r="C409" s="89">
        <v>5</v>
      </c>
      <c r="D409" s="89" t="s">
        <v>210</v>
      </c>
      <c r="E409" s="89">
        <v>1</v>
      </c>
      <c r="F409" s="89">
        <v>7</v>
      </c>
      <c r="G409" s="89">
        <v>-9</v>
      </c>
      <c r="H409" s="89" t="s">
        <v>210</v>
      </c>
      <c r="I409" s="89" t="s">
        <v>210</v>
      </c>
      <c r="J409" s="89">
        <v>3</v>
      </c>
      <c r="K409" s="89">
        <v>-7</v>
      </c>
      <c r="L409" s="89" t="s">
        <v>210</v>
      </c>
      <c r="M409" s="89">
        <v>10</v>
      </c>
      <c r="N409" s="89">
        <v>-2</v>
      </c>
      <c r="O409" s="89">
        <v>-4</v>
      </c>
      <c r="P409" s="89" t="s">
        <v>210</v>
      </c>
      <c r="Q409" s="89">
        <v>6</v>
      </c>
      <c r="R409" s="89" t="s">
        <v>210</v>
      </c>
      <c r="S409" s="89">
        <v>-8</v>
      </c>
      <c r="T409" s="89">
        <v>-5</v>
      </c>
      <c r="U409" s="89"/>
      <c r="V409" s="89"/>
      <c r="W409" s="89"/>
      <c r="X409" s="89"/>
      <c r="Y409" s="89"/>
      <c r="Z409" s="89"/>
      <c r="AA409" s="89"/>
      <c r="AB409" s="89"/>
      <c r="AC409" s="89"/>
      <c r="AD409" s="89"/>
      <c r="AE409" s="89"/>
      <c r="AF409" s="89"/>
      <c r="AG409" s="89"/>
      <c r="AH409" s="89"/>
      <c r="AI409" s="89"/>
      <c r="AJ409" s="89"/>
      <c r="AK409" s="89"/>
      <c r="AL409" s="89"/>
      <c r="AM409" s="89"/>
      <c r="AN409" s="89"/>
      <c r="AO409" s="89"/>
      <c r="AP409" s="89"/>
      <c r="AQ409" s="89"/>
      <c r="AR409" s="89"/>
      <c r="AS409" s="89"/>
      <c r="AT409" s="89"/>
      <c r="AU409" s="89"/>
      <c r="AV409" s="89"/>
      <c r="AW409" s="89"/>
      <c r="AX409" s="89"/>
      <c r="AY409" s="89"/>
      <c r="AZ409" s="89"/>
      <c r="BA409" s="95"/>
    </row>
    <row r="410" spans="1:53" s="87" customFormat="1">
      <c r="A410" s="90" t="str">
        <f t="shared" si="31"/>
        <v/>
      </c>
      <c r="B410" s="89">
        <v>18</v>
      </c>
      <c r="C410" s="89">
        <v>7</v>
      </c>
      <c r="D410" s="89" t="s">
        <v>210</v>
      </c>
      <c r="E410" s="89">
        <v>-1</v>
      </c>
      <c r="F410" s="89">
        <v>5</v>
      </c>
      <c r="G410" s="89">
        <v>8</v>
      </c>
      <c r="H410" s="89" t="s">
        <v>210</v>
      </c>
      <c r="I410" s="89" t="s">
        <v>210</v>
      </c>
      <c r="J410" s="89">
        <v>9</v>
      </c>
      <c r="K410" s="89">
        <v>-4</v>
      </c>
      <c r="L410" s="89" t="s">
        <v>210</v>
      </c>
      <c r="M410" s="89">
        <v>-2</v>
      </c>
      <c r="N410" s="89">
        <v>10</v>
      </c>
      <c r="O410" s="89">
        <v>6</v>
      </c>
      <c r="P410" s="89" t="s">
        <v>210</v>
      </c>
      <c r="Q410" s="89">
        <v>-3</v>
      </c>
      <c r="R410" s="89" t="s">
        <v>210</v>
      </c>
      <c r="S410" s="89">
        <v>-5</v>
      </c>
      <c r="T410" s="89">
        <v>-8</v>
      </c>
      <c r="U410" s="89"/>
      <c r="V410" s="89"/>
      <c r="W410" s="89"/>
      <c r="X410" s="89"/>
      <c r="Y410" s="89"/>
      <c r="Z410" s="89"/>
      <c r="AA410" s="89"/>
      <c r="AB410" s="89"/>
      <c r="AC410" s="89"/>
      <c r="AD410" s="89"/>
      <c r="AE410" s="89"/>
      <c r="AF410" s="89"/>
      <c r="AG410" s="89"/>
      <c r="AH410" s="89"/>
      <c r="AI410" s="89"/>
      <c r="AJ410" s="89"/>
      <c r="AK410" s="89"/>
      <c r="AL410" s="89"/>
      <c r="AM410" s="89"/>
      <c r="AN410" s="89"/>
      <c r="AO410" s="89"/>
      <c r="AP410" s="89"/>
      <c r="AQ410" s="89"/>
      <c r="AR410" s="89"/>
      <c r="AS410" s="89"/>
      <c r="AT410" s="89"/>
      <c r="AU410" s="89"/>
      <c r="AV410" s="89"/>
      <c r="AW410" s="89"/>
      <c r="AX410" s="89"/>
      <c r="AY410" s="89"/>
      <c r="AZ410" s="89"/>
      <c r="BA410" s="95"/>
    </row>
    <row r="411" spans="1:53" s="87" customFormat="1">
      <c r="A411" s="90" t="str">
        <f t="shared" si="31"/>
        <v/>
      </c>
      <c r="B411" s="89">
        <v>19</v>
      </c>
      <c r="C411" s="89">
        <v>-3</v>
      </c>
      <c r="D411" s="89" t="s">
        <v>210</v>
      </c>
      <c r="E411" s="89">
        <v>8</v>
      </c>
      <c r="F411" s="89">
        <v>4</v>
      </c>
      <c r="G411" s="89">
        <v>-1</v>
      </c>
      <c r="H411" s="89" t="s">
        <v>210</v>
      </c>
      <c r="I411" s="89" t="s">
        <v>210</v>
      </c>
      <c r="J411" s="89">
        <v>-9</v>
      </c>
      <c r="K411" s="89">
        <v>6</v>
      </c>
      <c r="L411" s="89" t="s">
        <v>210</v>
      </c>
      <c r="M411" s="89">
        <v>-4</v>
      </c>
      <c r="N411" s="89">
        <v>-7</v>
      </c>
      <c r="O411" s="89" t="s">
        <v>210</v>
      </c>
      <c r="P411" s="89">
        <v>3</v>
      </c>
      <c r="Q411" s="89">
        <v>2</v>
      </c>
      <c r="R411" s="89">
        <v>-8</v>
      </c>
      <c r="S411" s="89" t="s">
        <v>210</v>
      </c>
      <c r="T411" s="89">
        <v>5</v>
      </c>
      <c r="U411" s="89"/>
      <c r="V411" s="89"/>
      <c r="W411" s="89"/>
      <c r="X411" s="89"/>
      <c r="Y411" s="89"/>
      <c r="Z411" s="89"/>
      <c r="AA411" s="89"/>
      <c r="AB411" s="89"/>
      <c r="AC411" s="89"/>
      <c r="AD411" s="89"/>
      <c r="AE411" s="89"/>
      <c r="AF411" s="89"/>
      <c r="AG411" s="89"/>
      <c r="AH411" s="89"/>
      <c r="AI411" s="89"/>
      <c r="AJ411" s="89"/>
      <c r="AK411" s="89"/>
      <c r="AL411" s="89"/>
      <c r="AM411" s="89"/>
      <c r="AN411" s="89"/>
      <c r="AO411" s="89"/>
      <c r="AP411" s="89"/>
      <c r="AQ411" s="89"/>
      <c r="AR411" s="89"/>
      <c r="AS411" s="89"/>
      <c r="AT411" s="89"/>
      <c r="AU411" s="89"/>
      <c r="AV411" s="89"/>
      <c r="AW411" s="89"/>
      <c r="AX411" s="89"/>
      <c r="AY411" s="89"/>
      <c r="AZ411" s="89"/>
      <c r="BA411" s="95"/>
    </row>
    <row r="412" spans="1:53" s="87" customFormat="1">
      <c r="A412" s="90" t="str">
        <f t="shared" si="31"/>
        <v/>
      </c>
      <c r="B412" s="89">
        <v>20</v>
      </c>
      <c r="C412" s="89" t="s">
        <v>210</v>
      </c>
      <c r="D412" s="89">
        <v>-6</v>
      </c>
      <c r="E412" s="89">
        <v>3</v>
      </c>
      <c r="F412" s="89">
        <v>-5</v>
      </c>
      <c r="G412" s="89" t="s">
        <v>210</v>
      </c>
      <c r="H412" s="89">
        <v>-8</v>
      </c>
      <c r="I412" s="89">
        <v>4</v>
      </c>
      <c r="J412" s="89">
        <v>1</v>
      </c>
      <c r="K412" s="89" t="s">
        <v>210</v>
      </c>
      <c r="L412" s="89" t="s">
        <v>210</v>
      </c>
      <c r="M412" s="89">
        <v>-10</v>
      </c>
      <c r="N412" s="89">
        <v>5</v>
      </c>
      <c r="O412" s="89" t="s">
        <v>210</v>
      </c>
      <c r="P412" s="89">
        <v>7</v>
      </c>
      <c r="Q412" s="89">
        <v>-2</v>
      </c>
      <c r="R412" s="89">
        <v>6</v>
      </c>
      <c r="S412" s="89" t="s">
        <v>210</v>
      </c>
      <c r="T412" s="89">
        <v>-9</v>
      </c>
      <c r="U412" s="89"/>
      <c r="V412" s="89"/>
      <c r="W412" s="89"/>
      <c r="X412" s="89"/>
      <c r="Y412" s="89"/>
      <c r="Z412" s="89"/>
      <c r="AA412" s="89"/>
      <c r="AB412" s="89"/>
      <c r="AC412" s="89"/>
      <c r="AD412" s="89"/>
      <c r="AE412" s="89"/>
      <c r="AF412" s="89"/>
      <c r="AG412" s="89"/>
      <c r="AH412" s="89"/>
      <c r="AI412" s="89"/>
      <c r="AJ412" s="89"/>
      <c r="AK412" s="89"/>
      <c r="AL412" s="89"/>
      <c r="AM412" s="89"/>
      <c r="AN412" s="89"/>
      <c r="AO412" s="89"/>
      <c r="AP412" s="89"/>
      <c r="AQ412" s="89"/>
      <c r="AR412" s="89"/>
      <c r="AS412" s="89"/>
      <c r="AT412" s="89"/>
      <c r="AU412" s="89"/>
      <c r="AV412" s="89"/>
      <c r="AW412" s="89"/>
      <c r="AX412" s="89"/>
      <c r="AY412" s="89"/>
      <c r="AZ412" s="89"/>
      <c r="BA412" s="95"/>
    </row>
    <row r="413" spans="1:53" s="87" customFormat="1">
      <c r="A413" s="90" t="str">
        <f t="shared" si="31"/>
        <v/>
      </c>
      <c r="B413" s="89">
        <v>21</v>
      </c>
      <c r="C413" s="89" t="s">
        <v>210</v>
      </c>
      <c r="D413" s="89">
        <v>3</v>
      </c>
      <c r="E413" s="89">
        <v>-6</v>
      </c>
      <c r="F413" s="89">
        <v>-7</v>
      </c>
      <c r="G413" s="89" t="s">
        <v>210</v>
      </c>
      <c r="H413" s="89">
        <v>-1</v>
      </c>
      <c r="I413" s="89">
        <v>5</v>
      </c>
      <c r="J413" s="89">
        <v>-8</v>
      </c>
      <c r="K413" s="89" t="s">
        <v>210</v>
      </c>
      <c r="L413" s="89" t="s">
        <v>210</v>
      </c>
      <c r="M413" s="89">
        <v>4</v>
      </c>
      <c r="N413" s="89">
        <v>-10</v>
      </c>
      <c r="O413" s="89" t="s">
        <v>210</v>
      </c>
      <c r="P413" s="89">
        <v>6</v>
      </c>
      <c r="Q413" s="89">
        <v>7</v>
      </c>
      <c r="R413" s="89">
        <v>-3</v>
      </c>
      <c r="S413" s="89" t="s">
        <v>210</v>
      </c>
      <c r="T413" s="89">
        <v>9</v>
      </c>
      <c r="U413" s="89"/>
      <c r="V413" s="89"/>
      <c r="W413" s="89"/>
      <c r="X413" s="89"/>
      <c r="Y413" s="89"/>
      <c r="Z413" s="89"/>
      <c r="AA413" s="89"/>
      <c r="AB413" s="89"/>
      <c r="AC413" s="89"/>
      <c r="AD413" s="89"/>
      <c r="AE413" s="89"/>
      <c r="AF413" s="89"/>
      <c r="AG413" s="89"/>
      <c r="AH413" s="89"/>
      <c r="AI413" s="89"/>
      <c r="AJ413" s="89"/>
      <c r="AK413" s="89"/>
      <c r="AL413" s="89"/>
      <c r="AM413" s="89"/>
      <c r="AN413" s="89"/>
      <c r="AO413" s="89"/>
      <c r="AP413" s="89"/>
      <c r="AQ413" s="89"/>
      <c r="AR413" s="89"/>
      <c r="AS413" s="89"/>
      <c r="AT413" s="89"/>
      <c r="AU413" s="89"/>
      <c r="AV413" s="89"/>
      <c r="AW413" s="89"/>
      <c r="AX413" s="89"/>
      <c r="AY413" s="89"/>
      <c r="AZ413" s="89"/>
      <c r="BA413" s="95"/>
    </row>
    <row r="414" spans="1:53" s="87" customFormat="1">
      <c r="A414" s="90" t="str">
        <f t="shared" si="31"/>
        <v/>
      </c>
      <c r="B414" s="89">
        <v>22</v>
      </c>
      <c r="C414" s="89" t="s">
        <v>210</v>
      </c>
      <c r="D414" s="89">
        <v>7</v>
      </c>
      <c r="E414" s="89">
        <v>9</v>
      </c>
      <c r="F414" s="89">
        <v>-4</v>
      </c>
      <c r="G414" s="89" t="s">
        <v>210</v>
      </c>
      <c r="H414" s="89">
        <v>-6</v>
      </c>
      <c r="I414" s="89">
        <v>8</v>
      </c>
      <c r="J414" s="89">
        <v>-3</v>
      </c>
      <c r="K414" s="89" t="s">
        <v>210</v>
      </c>
      <c r="L414" s="89" t="s">
        <v>210</v>
      </c>
      <c r="M414" s="89">
        <v>2</v>
      </c>
      <c r="N414" s="89">
        <v>-5</v>
      </c>
      <c r="O414" s="89" t="s">
        <v>210</v>
      </c>
      <c r="P414" s="89">
        <v>10</v>
      </c>
      <c r="Q414" s="89">
        <v>-7</v>
      </c>
      <c r="R414" s="89" t="s">
        <v>210</v>
      </c>
      <c r="S414" s="89">
        <v>-1</v>
      </c>
      <c r="T414" s="89">
        <v>3</v>
      </c>
      <c r="U414" s="89"/>
      <c r="V414" s="89"/>
      <c r="W414" s="89"/>
      <c r="X414" s="89"/>
      <c r="Y414" s="89"/>
      <c r="Z414" s="89"/>
      <c r="AA414" s="89"/>
      <c r="AB414" s="89"/>
      <c r="AC414" s="89"/>
      <c r="AD414" s="89"/>
      <c r="AE414" s="89"/>
      <c r="AF414" s="89"/>
      <c r="AG414" s="89"/>
      <c r="AH414" s="89"/>
      <c r="AI414" s="89"/>
      <c r="AJ414" s="89"/>
      <c r="AK414" s="89"/>
      <c r="AL414" s="89"/>
      <c r="AM414" s="89"/>
      <c r="AN414" s="89"/>
      <c r="AO414" s="89"/>
      <c r="AP414" s="89"/>
      <c r="AQ414" s="89"/>
      <c r="AR414" s="89"/>
      <c r="AS414" s="89"/>
      <c r="AT414" s="89"/>
      <c r="AU414" s="89"/>
      <c r="AV414" s="89"/>
      <c r="AW414" s="89"/>
      <c r="AX414" s="89"/>
      <c r="AY414" s="89"/>
      <c r="AZ414" s="89"/>
      <c r="BA414" s="95"/>
    </row>
    <row r="415" spans="1:53" s="87" customFormat="1">
      <c r="A415" s="90" t="str">
        <f t="shared" si="31"/>
        <v/>
      </c>
      <c r="B415" s="89">
        <v>23</v>
      </c>
      <c r="C415" s="89" t="s">
        <v>210</v>
      </c>
      <c r="D415" s="89">
        <v>-3</v>
      </c>
      <c r="E415" s="89">
        <v>-8</v>
      </c>
      <c r="F415" s="89" t="s">
        <v>210</v>
      </c>
      <c r="G415" s="89">
        <v>5</v>
      </c>
      <c r="H415" s="89">
        <v>-9</v>
      </c>
      <c r="I415" s="89">
        <v>-4</v>
      </c>
      <c r="J415" s="89" t="s">
        <v>210</v>
      </c>
      <c r="K415" s="89">
        <v>2</v>
      </c>
      <c r="L415" s="89">
        <v>7</v>
      </c>
      <c r="M415" s="89">
        <v>6</v>
      </c>
      <c r="N415" s="89" t="s">
        <v>210</v>
      </c>
      <c r="O415" s="89" t="s">
        <v>210</v>
      </c>
      <c r="P415" s="89">
        <v>-10</v>
      </c>
      <c r="Q415" s="89">
        <v>3</v>
      </c>
      <c r="R415" s="89" t="s">
        <v>210</v>
      </c>
      <c r="S415" s="89">
        <v>8</v>
      </c>
      <c r="T415" s="89">
        <v>-1</v>
      </c>
      <c r="U415" s="89"/>
      <c r="V415" s="89"/>
      <c r="W415" s="89"/>
      <c r="X415" s="89"/>
      <c r="Y415" s="89"/>
      <c r="Z415" s="89"/>
      <c r="AA415" s="89"/>
      <c r="AB415" s="89"/>
      <c r="AC415" s="89"/>
      <c r="AD415" s="89"/>
      <c r="AE415" s="89"/>
      <c r="AF415" s="89"/>
      <c r="AG415" s="89"/>
      <c r="AH415" s="89"/>
      <c r="AI415" s="89"/>
      <c r="AJ415" s="89"/>
      <c r="AK415" s="89"/>
      <c r="AL415" s="89"/>
      <c r="AM415" s="89"/>
      <c r="AN415" s="89"/>
      <c r="AO415" s="89"/>
      <c r="AP415" s="89"/>
      <c r="AQ415" s="89"/>
      <c r="AR415" s="89"/>
      <c r="AS415" s="89"/>
      <c r="AT415" s="89"/>
      <c r="AU415" s="89"/>
      <c r="AV415" s="89"/>
      <c r="AW415" s="89"/>
      <c r="AX415" s="89"/>
      <c r="AY415" s="89"/>
      <c r="AZ415" s="89"/>
      <c r="BA415" s="95"/>
    </row>
    <row r="416" spans="1:53" s="87" customFormat="1">
      <c r="A416" s="90" t="str">
        <f t="shared" si="31"/>
        <v/>
      </c>
      <c r="B416" s="89">
        <v>24</v>
      </c>
      <c r="C416" s="89" t="s">
        <v>210</v>
      </c>
      <c r="D416" s="89">
        <v>6</v>
      </c>
      <c r="E416" s="89">
        <v>-9</v>
      </c>
      <c r="F416" s="89" t="s">
        <v>210</v>
      </c>
      <c r="G416" s="89">
        <v>1</v>
      </c>
      <c r="H416" s="89">
        <v>-4</v>
      </c>
      <c r="I416" s="89">
        <v>-5</v>
      </c>
      <c r="J416" s="89" t="s">
        <v>210</v>
      </c>
      <c r="K416" s="89">
        <v>7</v>
      </c>
      <c r="L416" s="89">
        <v>-3</v>
      </c>
      <c r="M416" s="89">
        <v>-6</v>
      </c>
      <c r="N416" s="89" t="s">
        <v>210</v>
      </c>
      <c r="O416" s="89" t="s">
        <v>210</v>
      </c>
      <c r="P416" s="89">
        <v>2</v>
      </c>
      <c r="Q416" s="89">
        <v>-10</v>
      </c>
      <c r="R416" s="89" t="s">
        <v>210</v>
      </c>
      <c r="S416" s="89">
        <v>3</v>
      </c>
      <c r="T416" s="89">
        <v>8</v>
      </c>
      <c r="U416" s="89"/>
      <c r="V416" s="89"/>
      <c r="W416" s="89"/>
      <c r="X416" s="89"/>
      <c r="Y416" s="89"/>
      <c r="Z416" s="89"/>
      <c r="AA416" s="89"/>
      <c r="AB416" s="89"/>
      <c r="AC416" s="89"/>
      <c r="AD416" s="89"/>
      <c r="AE416" s="89"/>
      <c r="AF416" s="89"/>
      <c r="AG416" s="89"/>
      <c r="AH416" s="89"/>
      <c r="AI416" s="89"/>
      <c r="AJ416" s="89"/>
      <c r="AK416" s="89"/>
      <c r="AL416" s="89"/>
      <c r="AM416" s="89"/>
      <c r="AN416" s="89"/>
      <c r="AO416" s="89"/>
      <c r="AP416" s="89"/>
      <c r="AQ416" s="89"/>
      <c r="AR416" s="89"/>
      <c r="AS416" s="89"/>
      <c r="AT416" s="89"/>
      <c r="AU416" s="89"/>
      <c r="AV416" s="89"/>
      <c r="AW416" s="89"/>
      <c r="AX416" s="89"/>
      <c r="AY416" s="89"/>
      <c r="AZ416" s="89"/>
      <c r="BA416" s="95"/>
    </row>
    <row r="417" spans="1:53" s="87" customFormat="1">
      <c r="A417" s="90" t="str">
        <f t="shared" si="31"/>
        <v/>
      </c>
      <c r="B417" s="89">
        <v>25</v>
      </c>
      <c r="C417" s="89" t="s">
        <v>210</v>
      </c>
      <c r="D417" s="89">
        <v>9</v>
      </c>
      <c r="E417" s="89">
        <v>-3</v>
      </c>
      <c r="F417" s="89" t="s">
        <v>210</v>
      </c>
      <c r="G417" s="89">
        <v>-5</v>
      </c>
      <c r="H417" s="89">
        <v>1</v>
      </c>
      <c r="I417" s="89">
        <v>-8</v>
      </c>
      <c r="J417" s="89" t="s">
        <v>210</v>
      </c>
      <c r="K417" s="89">
        <v>4</v>
      </c>
      <c r="L417" s="89">
        <v>5</v>
      </c>
      <c r="M417" s="89">
        <v>-7</v>
      </c>
      <c r="N417" s="89" t="s">
        <v>210</v>
      </c>
      <c r="O417" s="89" t="s">
        <v>210</v>
      </c>
      <c r="P417" s="89">
        <v>-2</v>
      </c>
      <c r="Q417" s="89">
        <v>-6</v>
      </c>
      <c r="R417" s="89">
        <v>8</v>
      </c>
      <c r="S417" s="89">
        <v>10</v>
      </c>
      <c r="T417" s="89" t="s">
        <v>210</v>
      </c>
      <c r="U417" s="89"/>
      <c r="V417" s="89"/>
      <c r="W417" s="89"/>
      <c r="X417" s="89"/>
      <c r="Y417" s="89"/>
      <c r="Z417" s="89"/>
      <c r="AA417" s="89"/>
      <c r="AB417" s="89"/>
      <c r="AC417" s="89"/>
      <c r="AD417" s="89"/>
      <c r="AE417" s="89"/>
      <c r="AF417" s="89"/>
      <c r="AG417" s="89"/>
      <c r="AH417" s="89"/>
      <c r="AI417" s="89"/>
      <c r="AJ417" s="89"/>
      <c r="AK417" s="89"/>
      <c r="AL417" s="89"/>
      <c r="AM417" s="89"/>
      <c r="AN417" s="89"/>
      <c r="AO417" s="89"/>
      <c r="AP417" s="89"/>
      <c r="AQ417" s="89"/>
      <c r="AR417" s="89"/>
      <c r="AS417" s="89"/>
      <c r="AT417" s="89"/>
      <c r="AU417" s="89"/>
      <c r="AV417" s="89"/>
      <c r="AW417" s="89"/>
      <c r="AX417" s="89"/>
      <c r="AY417" s="89"/>
      <c r="AZ417" s="89"/>
      <c r="BA417" s="95"/>
    </row>
    <row r="418" spans="1:53" s="87" customFormat="1">
      <c r="A418" s="90" t="str">
        <f t="shared" si="31"/>
        <v/>
      </c>
      <c r="B418" s="89">
        <v>26</v>
      </c>
      <c r="C418" s="89" t="s">
        <v>210</v>
      </c>
      <c r="D418" s="89">
        <v>-9</v>
      </c>
      <c r="E418" s="89">
        <v>6</v>
      </c>
      <c r="F418" s="89" t="s">
        <v>210</v>
      </c>
      <c r="G418" s="89">
        <v>-8</v>
      </c>
      <c r="H418" s="89">
        <v>4</v>
      </c>
      <c r="I418" s="89" t="s">
        <v>210</v>
      </c>
      <c r="J418" s="89">
        <v>-5</v>
      </c>
      <c r="K418" s="89">
        <v>10</v>
      </c>
      <c r="L418" s="89">
        <v>-7</v>
      </c>
      <c r="M418" s="89" t="s">
        <v>210</v>
      </c>
      <c r="N418" s="89">
        <v>2</v>
      </c>
      <c r="O418" s="89">
        <v>8</v>
      </c>
      <c r="P418" s="89">
        <v>-3</v>
      </c>
      <c r="Q418" s="89" t="s">
        <v>210</v>
      </c>
      <c r="R418" s="89">
        <v>-6</v>
      </c>
      <c r="S418" s="89">
        <v>1</v>
      </c>
      <c r="T418" s="89" t="s">
        <v>210</v>
      </c>
      <c r="U418" s="89"/>
      <c r="V418" s="89"/>
      <c r="W418" s="89"/>
      <c r="X418" s="89"/>
      <c r="Y418" s="89"/>
      <c r="Z418" s="89"/>
      <c r="AA418" s="89"/>
      <c r="AB418" s="89"/>
      <c r="AC418" s="89"/>
      <c r="AD418" s="89"/>
      <c r="AE418" s="89"/>
      <c r="AF418" s="89"/>
      <c r="AG418" s="89"/>
      <c r="AH418" s="89"/>
      <c r="AI418" s="89"/>
      <c r="AJ418" s="89"/>
      <c r="AK418" s="89"/>
      <c r="AL418" s="89"/>
      <c r="AM418" s="89"/>
      <c r="AN418" s="89"/>
      <c r="AO418" s="89"/>
      <c r="AP418" s="89"/>
      <c r="AQ418" s="89"/>
      <c r="AR418" s="89"/>
      <c r="AS418" s="89"/>
      <c r="AT418" s="89"/>
      <c r="AU418" s="89"/>
      <c r="AV418" s="89"/>
      <c r="AW418" s="89"/>
      <c r="AX418" s="89"/>
      <c r="AY418" s="89"/>
      <c r="AZ418" s="89"/>
      <c r="BA418" s="95"/>
    </row>
    <row r="419" spans="1:53" s="87" customFormat="1">
      <c r="A419" s="90" t="str">
        <f t="shared" si="31"/>
        <v/>
      </c>
      <c r="B419" s="319" t="s">
        <v>918</v>
      </c>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Z419" s="89"/>
      <c r="AA419" s="89"/>
      <c r="AB419" s="89"/>
      <c r="AC419" s="89"/>
      <c r="AD419" s="89"/>
      <c r="AE419" s="89"/>
      <c r="AF419" s="89"/>
      <c r="AG419" s="89"/>
      <c r="AH419" s="89"/>
      <c r="AI419" s="89"/>
      <c r="AJ419" s="89"/>
      <c r="AK419" s="89"/>
      <c r="AL419" s="89"/>
      <c r="AM419" s="89"/>
      <c r="AN419" s="89"/>
      <c r="AO419" s="89"/>
      <c r="AP419" s="89"/>
      <c r="AQ419" s="89"/>
      <c r="AR419" s="89"/>
      <c r="AS419" s="89"/>
      <c r="AT419" s="89"/>
      <c r="AU419" s="89"/>
      <c r="AV419" s="89"/>
      <c r="AW419" s="89"/>
      <c r="AX419" s="89"/>
      <c r="AY419" s="89"/>
      <c r="AZ419" s="89"/>
      <c r="BA419" s="95"/>
    </row>
    <row r="420" spans="1:53" s="87" customFormat="1">
      <c r="A420" s="90">
        <f t="shared" si="31"/>
        <v>420</v>
      </c>
      <c r="B420" s="319" t="s">
        <v>1188</v>
      </c>
      <c r="C420" s="89"/>
      <c r="D420" s="89"/>
      <c r="E420" s="89"/>
      <c r="F420" s="89"/>
      <c r="G420" s="89"/>
      <c r="H420" s="89"/>
      <c r="I420" s="89"/>
      <c r="J420" s="89"/>
      <c r="K420" s="89"/>
      <c r="L420" s="89"/>
      <c r="M420" s="89"/>
      <c r="N420" s="89"/>
      <c r="O420" s="89"/>
      <c r="P420" s="89"/>
      <c r="Q420" s="89"/>
      <c r="R420" s="89"/>
      <c r="S420" s="89"/>
      <c r="T420" s="89"/>
      <c r="U420" s="89"/>
      <c r="V420" s="89"/>
      <c r="W420" s="89"/>
      <c r="X420" s="89"/>
      <c r="Y420" s="89"/>
      <c r="Z420" s="89"/>
      <c r="AA420" s="89"/>
      <c r="AB420" s="89"/>
      <c r="AC420" s="89"/>
      <c r="AD420" s="89"/>
      <c r="AE420" s="89"/>
      <c r="AF420" s="89"/>
      <c r="AG420" s="89"/>
      <c r="AH420" s="89"/>
      <c r="AI420" s="89"/>
      <c r="AJ420" s="89"/>
      <c r="AK420" s="89"/>
      <c r="AL420" s="89"/>
      <c r="AM420" s="89"/>
      <c r="AN420" s="89"/>
      <c r="AO420" s="89"/>
      <c r="AP420" s="89"/>
      <c r="AQ420" s="89"/>
      <c r="AR420" s="89"/>
      <c r="AS420" s="89"/>
      <c r="AT420" s="89"/>
      <c r="AU420" s="89"/>
      <c r="AV420" s="89"/>
      <c r="AW420" s="89"/>
      <c r="AX420" s="89"/>
      <c r="AY420" s="89"/>
      <c r="AZ420" s="89"/>
      <c r="BA420" s="95"/>
    </row>
    <row r="421" spans="1:53" s="87" customFormat="1">
      <c r="A421" s="90" t="str">
        <f t="shared" si="31"/>
        <v/>
      </c>
      <c r="B421" s="89">
        <v>1</v>
      </c>
      <c r="C421" s="89">
        <v>-4</v>
      </c>
      <c r="D421" s="89" t="s">
        <v>210</v>
      </c>
      <c r="E421" s="89">
        <v>8</v>
      </c>
      <c r="F421" s="89">
        <v>-5</v>
      </c>
      <c r="G421" s="89" t="s">
        <v>210</v>
      </c>
      <c r="H421" s="89">
        <v>-1</v>
      </c>
      <c r="I421" s="89">
        <v>9</v>
      </c>
      <c r="J421" s="89" t="s">
        <v>210</v>
      </c>
      <c r="K421" s="89">
        <v>7</v>
      </c>
      <c r="L421" s="89"/>
      <c r="M421" s="89"/>
      <c r="N421" s="89"/>
      <c r="O421" s="89"/>
      <c r="P421" s="89"/>
      <c r="Q421" s="89"/>
      <c r="R421" s="89"/>
      <c r="S421" s="89"/>
      <c r="T421" s="89"/>
      <c r="U421" s="89"/>
      <c r="V421" s="89"/>
      <c r="W421" s="89"/>
      <c r="X421" s="89"/>
      <c r="Y421" s="89"/>
      <c r="Z421" s="89"/>
      <c r="AA421" s="89"/>
      <c r="AB421" s="89"/>
      <c r="AC421" s="89"/>
      <c r="AD421" s="89"/>
      <c r="AE421" s="89"/>
      <c r="AF421" s="89"/>
      <c r="AG421" s="89"/>
      <c r="AH421" s="89"/>
      <c r="AI421" s="89"/>
      <c r="AJ421" s="89"/>
      <c r="AK421" s="89"/>
      <c r="AL421" s="89"/>
      <c r="AM421" s="89"/>
      <c r="AN421" s="89"/>
      <c r="AO421" s="89"/>
      <c r="AP421" s="89"/>
      <c r="AQ421" s="89"/>
      <c r="AR421" s="89"/>
      <c r="AS421" s="89"/>
      <c r="AT421" s="89"/>
      <c r="AU421" s="89"/>
      <c r="AV421" s="89"/>
      <c r="AW421" s="89"/>
      <c r="AX421" s="89"/>
      <c r="AY421" s="89"/>
      <c r="AZ421" s="89"/>
      <c r="BA421" s="95"/>
    </row>
    <row r="422" spans="1:53" s="87" customFormat="1">
      <c r="A422" s="90" t="str">
        <f t="shared" si="31"/>
        <v/>
      </c>
      <c r="B422" s="89">
        <v>2</v>
      </c>
      <c r="C422" s="89" t="s">
        <v>210</v>
      </c>
      <c r="D422" s="89">
        <v>1</v>
      </c>
      <c r="E422" s="89" t="s">
        <v>210</v>
      </c>
      <c r="F422" s="89">
        <v>-8</v>
      </c>
      <c r="G422" s="89">
        <v>9</v>
      </c>
      <c r="H422" s="89" t="s">
        <v>210</v>
      </c>
      <c r="I422" s="89">
        <v>6</v>
      </c>
      <c r="J422" s="89">
        <v>-3</v>
      </c>
      <c r="K422" s="89">
        <v>-7</v>
      </c>
      <c r="L422" s="89"/>
      <c r="M422" s="89"/>
      <c r="N422" s="89"/>
      <c r="O422" s="89"/>
      <c r="P422" s="89"/>
      <c r="Q422" s="89"/>
      <c r="R422" s="89"/>
      <c r="S422" s="89"/>
      <c r="T422" s="89"/>
      <c r="U422" s="89"/>
      <c r="V422" s="89"/>
      <c r="W422" s="89"/>
      <c r="X422" s="89"/>
      <c r="Y422" s="89"/>
      <c r="Z422" s="89"/>
      <c r="AA422" s="89"/>
      <c r="AB422" s="89"/>
      <c r="AC422" s="89"/>
      <c r="AD422" s="89"/>
      <c r="AE422" s="89"/>
      <c r="AF422" s="89"/>
      <c r="AG422" s="89"/>
      <c r="AH422" s="89"/>
      <c r="AI422" s="89"/>
      <c r="AJ422" s="89"/>
      <c r="AK422" s="89"/>
      <c r="AL422" s="89"/>
      <c r="AM422" s="89"/>
      <c r="AN422" s="89"/>
      <c r="AO422" s="89"/>
      <c r="AP422" s="89"/>
      <c r="AQ422" s="89"/>
      <c r="AR422" s="89"/>
      <c r="AS422" s="89"/>
      <c r="AT422" s="89"/>
      <c r="AU422" s="89"/>
      <c r="AV422" s="89"/>
      <c r="AW422" s="89"/>
      <c r="AX422" s="89"/>
      <c r="AY422" s="89"/>
      <c r="AZ422" s="89"/>
      <c r="BA422" s="95"/>
    </row>
    <row r="423" spans="1:53" s="87" customFormat="1">
      <c r="A423" s="90" t="str">
        <f t="shared" si="31"/>
        <v/>
      </c>
      <c r="B423" s="89">
        <v>3</v>
      </c>
      <c r="C423" s="89">
        <v>-8</v>
      </c>
      <c r="D423" s="89">
        <v>10</v>
      </c>
      <c r="E423" s="89" t="s">
        <v>210</v>
      </c>
      <c r="F423" s="89">
        <v>5</v>
      </c>
      <c r="G423" s="89">
        <v>-2</v>
      </c>
      <c r="H423" s="89" t="s">
        <v>210</v>
      </c>
      <c r="I423" s="89">
        <v>-7</v>
      </c>
      <c r="J423" s="89">
        <v>3</v>
      </c>
      <c r="K423" s="89" t="s">
        <v>210</v>
      </c>
      <c r="L423" s="89"/>
      <c r="M423" s="89"/>
      <c r="N423" s="89"/>
      <c r="O423" s="89"/>
      <c r="P423" s="89"/>
      <c r="Q423" s="89"/>
      <c r="R423" s="89"/>
      <c r="S423" s="89"/>
      <c r="T423" s="89"/>
      <c r="U423" s="89"/>
      <c r="V423" s="89"/>
      <c r="W423" s="89"/>
      <c r="X423" s="89"/>
      <c r="Y423" s="89"/>
      <c r="Z423" s="89"/>
      <c r="AA423" s="89"/>
      <c r="AB423" s="89"/>
      <c r="AC423" s="89"/>
      <c r="AD423" s="89"/>
      <c r="AE423" s="89"/>
      <c r="AF423" s="89"/>
      <c r="AG423" s="89"/>
      <c r="AH423" s="89"/>
      <c r="AI423" s="89"/>
      <c r="AJ423" s="89"/>
      <c r="AK423" s="89"/>
      <c r="AL423" s="89"/>
      <c r="AM423" s="89"/>
      <c r="AN423" s="89"/>
      <c r="AO423" s="89"/>
      <c r="AP423" s="89"/>
      <c r="AQ423" s="89"/>
      <c r="AR423" s="89"/>
      <c r="AS423" s="89"/>
      <c r="AT423" s="89"/>
      <c r="AU423" s="89"/>
      <c r="AV423" s="89"/>
      <c r="AW423" s="89"/>
      <c r="AX423" s="89"/>
      <c r="AY423" s="89"/>
      <c r="AZ423" s="89"/>
      <c r="BA423" s="95"/>
    </row>
    <row r="424" spans="1:53" s="87" customFormat="1">
      <c r="A424" s="90" t="str">
        <f t="shared" si="31"/>
        <v/>
      </c>
      <c r="B424" s="89">
        <v>4</v>
      </c>
      <c r="C424" s="89">
        <v>8</v>
      </c>
      <c r="D424" s="89">
        <v>5</v>
      </c>
      <c r="E424" s="89" t="s">
        <v>210</v>
      </c>
      <c r="F424" s="89" t="s">
        <v>210</v>
      </c>
      <c r="G424" s="89">
        <v>-3</v>
      </c>
      <c r="H424" s="89">
        <v>1</v>
      </c>
      <c r="I424" s="89">
        <v>-6</v>
      </c>
      <c r="J424" s="89" t="s">
        <v>210</v>
      </c>
      <c r="K424" s="89">
        <v>-9</v>
      </c>
      <c r="L424" s="89"/>
      <c r="M424" s="89"/>
      <c r="N424" s="89"/>
      <c r="O424" s="89"/>
      <c r="P424" s="89"/>
      <c r="Q424" s="89"/>
      <c r="R424" s="89"/>
      <c r="S424" s="89"/>
      <c r="T424" s="89"/>
      <c r="U424" s="89"/>
      <c r="V424" s="89"/>
      <c r="W424" s="89"/>
      <c r="X424" s="89"/>
      <c r="Y424" s="89"/>
      <c r="Z424" s="89"/>
      <c r="AA424" s="89"/>
      <c r="AB424" s="89"/>
      <c r="AC424" s="89"/>
      <c r="AD424" s="89"/>
      <c r="AE424" s="89"/>
      <c r="AF424" s="89"/>
      <c r="AG424" s="89"/>
      <c r="AH424" s="89"/>
      <c r="AI424" s="89"/>
      <c r="AJ424" s="89"/>
      <c r="AK424" s="89"/>
      <c r="AL424" s="89"/>
      <c r="AM424" s="89"/>
      <c r="AN424" s="89"/>
      <c r="AO424" s="89"/>
      <c r="AP424" s="89"/>
      <c r="AQ424" s="89"/>
      <c r="AR424" s="89"/>
      <c r="AS424" s="89"/>
      <c r="AT424" s="89"/>
      <c r="AU424" s="89"/>
      <c r="AV424" s="89"/>
      <c r="AW424" s="89"/>
      <c r="AX424" s="89"/>
      <c r="AY424" s="89"/>
      <c r="AZ424" s="89"/>
      <c r="BA424" s="95"/>
    </row>
    <row r="425" spans="1:53" s="87" customFormat="1">
      <c r="A425" s="90" t="str">
        <f t="shared" si="31"/>
        <v/>
      </c>
      <c r="B425" s="89">
        <v>5</v>
      </c>
      <c r="C425" s="89" t="s">
        <v>210</v>
      </c>
      <c r="D425" s="89">
        <v>-1</v>
      </c>
      <c r="E425" s="89">
        <v>-8</v>
      </c>
      <c r="F425" s="89" t="s">
        <v>210</v>
      </c>
      <c r="G425" s="89">
        <v>2</v>
      </c>
      <c r="H425" s="89">
        <v>-3</v>
      </c>
      <c r="I425" s="89" t="s">
        <v>210</v>
      </c>
      <c r="J425" s="89">
        <v>5</v>
      </c>
      <c r="K425" s="89">
        <v>9</v>
      </c>
      <c r="L425" s="89"/>
      <c r="M425" s="89"/>
      <c r="N425" s="89"/>
      <c r="O425" s="89"/>
      <c r="P425" s="89"/>
      <c r="Q425" s="89"/>
      <c r="R425" s="89"/>
      <c r="S425" s="89"/>
      <c r="T425" s="89"/>
      <c r="U425" s="89"/>
      <c r="V425" s="89"/>
      <c r="W425" s="89"/>
      <c r="X425" s="89"/>
      <c r="Y425" s="89"/>
      <c r="Z425" s="89"/>
      <c r="AA425" s="89"/>
      <c r="AB425" s="89"/>
      <c r="AC425" s="89"/>
      <c r="AD425" s="89"/>
      <c r="AE425" s="89"/>
      <c r="AF425" s="89"/>
      <c r="AG425" s="89"/>
      <c r="AH425" s="89"/>
      <c r="AI425" s="89"/>
      <c r="AJ425" s="89"/>
      <c r="AK425" s="89"/>
      <c r="AL425" s="89"/>
      <c r="AM425" s="89"/>
      <c r="AN425" s="89"/>
      <c r="AO425" s="89"/>
      <c r="AP425" s="89"/>
      <c r="AQ425" s="89"/>
      <c r="AR425" s="89"/>
      <c r="AS425" s="89"/>
      <c r="AT425" s="89"/>
      <c r="AU425" s="89"/>
      <c r="AV425" s="89"/>
      <c r="AW425" s="89"/>
      <c r="AX425" s="89"/>
      <c r="AY425" s="89"/>
      <c r="AZ425" s="89"/>
      <c r="BA425" s="95"/>
    </row>
    <row r="426" spans="1:53" s="87" customFormat="1">
      <c r="A426" s="90" t="str">
        <f t="shared" si="31"/>
        <v/>
      </c>
      <c r="B426" s="89">
        <v>6</v>
      </c>
      <c r="C426" s="89" t="s">
        <v>210</v>
      </c>
      <c r="D426" s="89">
        <v>-10</v>
      </c>
      <c r="E426" s="89" t="s">
        <v>210</v>
      </c>
      <c r="F426" s="89">
        <v>8</v>
      </c>
      <c r="G426" s="89">
        <v>3</v>
      </c>
      <c r="H426" s="89" t="s">
        <v>210</v>
      </c>
      <c r="I426" s="89">
        <v>-9</v>
      </c>
      <c r="J426" s="89">
        <v>-5</v>
      </c>
      <c r="K426" s="89">
        <v>1</v>
      </c>
      <c r="L426" s="89"/>
      <c r="M426" s="89"/>
      <c r="N426" s="89"/>
      <c r="O426" s="89"/>
      <c r="P426" s="89"/>
      <c r="Q426" s="89"/>
      <c r="R426" s="89"/>
      <c r="S426" s="89"/>
      <c r="T426" s="89"/>
      <c r="U426" s="89"/>
      <c r="V426" s="89"/>
      <c r="W426" s="89"/>
      <c r="X426" s="89"/>
      <c r="Y426" s="89"/>
      <c r="Z426" s="89"/>
      <c r="AA426" s="89"/>
      <c r="AB426" s="89"/>
      <c r="AC426" s="89"/>
      <c r="AD426" s="89"/>
      <c r="AE426" s="89"/>
      <c r="AF426" s="89"/>
      <c r="AG426" s="89"/>
      <c r="AH426" s="89"/>
      <c r="AI426" s="89"/>
      <c r="AJ426" s="89"/>
      <c r="AK426" s="89"/>
      <c r="AL426" s="89"/>
      <c r="AM426" s="89"/>
      <c r="AN426" s="89"/>
      <c r="AO426" s="89"/>
      <c r="AP426" s="89"/>
      <c r="AQ426" s="89"/>
      <c r="AR426" s="89"/>
      <c r="AS426" s="89"/>
      <c r="AT426" s="89"/>
      <c r="AU426" s="89"/>
      <c r="AV426" s="89"/>
      <c r="AW426" s="89"/>
      <c r="AX426" s="89"/>
      <c r="AY426" s="89"/>
      <c r="AZ426" s="89"/>
      <c r="BA426" s="95"/>
    </row>
    <row r="427" spans="1:53" s="87" customFormat="1">
      <c r="A427" s="90" t="str">
        <f t="shared" si="31"/>
        <v/>
      </c>
      <c r="B427" s="99">
        <v>7</v>
      </c>
      <c r="C427" s="92">
        <v>4</v>
      </c>
      <c r="D427" s="92">
        <v>-5</v>
      </c>
      <c r="E427" s="92" t="s">
        <v>210</v>
      </c>
      <c r="F427" s="92" t="s">
        <v>210</v>
      </c>
      <c r="G427" s="92">
        <v>-9</v>
      </c>
      <c r="H427" s="92">
        <v>3</v>
      </c>
      <c r="I427" s="92">
        <v>7</v>
      </c>
      <c r="J427" s="92" t="s">
        <v>210</v>
      </c>
      <c r="K427" s="92">
        <v>-1</v>
      </c>
      <c r="L427" s="89"/>
      <c r="M427" s="89"/>
      <c r="N427" s="89"/>
      <c r="O427" s="89"/>
      <c r="P427" s="89"/>
      <c r="Q427" s="89"/>
      <c r="R427" s="89"/>
      <c r="S427" s="89"/>
      <c r="T427" s="89"/>
      <c r="U427" s="89"/>
      <c r="V427" s="89"/>
      <c r="W427" s="89"/>
      <c r="X427" s="89"/>
      <c r="Y427" s="89"/>
      <c r="Z427" s="89"/>
      <c r="AA427" s="89"/>
      <c r="AB427" s="89"/>
      <c r="AC427" s="89"/>
      <c r="AD427" s="89"/>
      <c r="AE427" s="89"/>
      <c r="AF427" s="89"/>
      <c r="AG427" s="89"/>
      <c r="AH427" s="89"/>
      <c r="AI427" s="89"/>
      <c r="AJ427" s="89"/>
      <c r="AK427" s="89"/>
      <c r="AL427" s="89"/>
      <c r="AM427" s="89"/>
      <c r="AN427" s="89"/>
      <c r="AO427" s="89"/>
      <c r="AP427" s="89"/>
      <c r="AQ427" s="89"/>
      <c r="AR427" s="89"/>
      <c r="AS427" s="89"/>
      <c r="AT427" s="89"/>
      <c r="AU427" s="89"/>
      <c r="AV427" s="89"/>
      <c r="AW427" s="89"/>
      <c r="AX427" s="89"/>
      <c r="AY427" s="89"/>
      <c r="AZ427" s="89"/>
      <c r="BA427" s="95"/>
    </row>
    <row r="428" spans="1:53" s="87" customFormat="1">
      <c r="A428" s="90" t="str">
        <f t="shared" si="31"/>
        <v/>
      </c>
      <c r="B428" s="89">
        <v>8</v>
      </c>
      <c r="C428" s="89">
        <v>-1</v>
      </c>
      <c r="D428" s="89" t="s">
        <v>210</v>
      </c>
      <c r="E428" s="89">
        <v>4</v>
      </c>
      <c r="F428" s="89" t="s">
        <v>210</v>
      </c>
      <c r="G428" s="89">
        <v>-7</v>
      </c>
      <c r="H428" s="89">
        <v>-5</v>
      </c>
      <c r="I428" s="89" t="s">
        <v>210</v>
      </c>
      <c r="J428" s="89">
        <v>9</v>
      </c>
      <c r="K428" s="89">
        <v>3</v>
      </c>
      <c r="L428" s="89"/>
      <c r="M428" s="89"/>
      <c r="N428" s="89"/>
      <c r="O428" s="89"/>
      <c r="P428" s="89"/>
      <c r="Q428" s="89"/>
      <c r="R428" s="89"/>
      <c r="S428" s="89"/>
      <c r="T428" s="89"/>
      <c r="U428" s="89"/>
      <c r="V428" s="89"/>
      <c r="W428" s="89"/>
      <c r="X428" s="89"/>
      <c r="Y428" s="89"/>
      <c r="Z428" s="89"/>
      <c r="AA428" s="89"/>
      <c r="AB428" s="89"/>
      <c r="AC428" s="89"/>
      <c r="AD428" s="89"/>
      <c r="AE428" s="89"/>
      <c r="AF428" s="89"/>
      <c r="AG428" s="89"/>
      <c r="AH428" s="89"/>
      <c r="AI428" s="89"/>
      <c r="AJ428" s="89"/>
      <c r="AK428" s="89"/>
      <c r="AL428" s="89"/>
      <c r="AM428" s="89"/>
      <c r="AN428" s="89"/>
      <c r="AO428" s="89"/>
      <c r="AP428" s="89"/>
      <c r="AQ428" s="89"/>
      <c r="AR428" s="89"/>
      <c r="AS428" s="89"/>
      <c r="AT428" s="89"/>
      <c r="AU428" s="89"/>
      <c r="AV428" s="89"/>
      <c r="AW428" s="89"/>
      <c r="AX428" s="89"/>
      <c r="AY428" s="89"/>
      <c r="AZ428" s="89"/>
      <c r="BA428" s="95"/>
    </row>
    <row r="429" spans="1:53" s="87" customFormat="1">
      <c r="A429" s="90" t="str">
        <f t="shared" si="31"/>
        <v/>
      </c>
      <c r="B429" s="89">
        <v>9</v>
      </c>
      <c r="C429" s="89" t="s">
        <v>210</v>
      </c>
      <c r="D429" s="89">
        <v>4</v>
      </c>
      <c r="E429" s="89" t="s">
        <v>210</v>
      </c>
      <c r="F429" s="89">
        <v>-2</v>
      </c>
      <c r="G429" s="89">
        <v>5</v>
      </c>
      <c r="H429" s="89">
        <v>10</v>
      </c>
      <c r="I429" s="89" t="s">
        <v>210</v>
      </c>
      <c r="J429" s="89">
        <v>-7</v>
      </c>
      <c r="K429" s="89">
        <v>-3</v>
      </c>
      <c r="L429" s="89"/>
      <c r="M429" s="89"/>
      <c r="N429" s="89"/>
      <c r="O429" s="89"/>
      <c r="P429" s="89"/>
      <c r="Q429" s="89"/>
      <c r="R429" s="89"/>
      <c r="S429" s="89"/>
      <c r="T429" s="89"/>
      <c r="U429" s="89"/>
      <c r="V429" s="89"/>
      <c r="W429" s="89"/>
      <c r="X429" s="89"/>
      <c r="Y429" s="89"/>
      <c r="Z429" s="89"/>
      <c r="AA429" s="89"/>
      <c r="AB429" s="89"/>
      <c r="AC429" s="89"/>
      <c r="AD429" s="89"/>
      <c r="AE429" s="89"/>
      <c r="AF429" s="89"/>
      <c r="AG429" s="89"/>
      <c r="AH429" s="89"/>
      <c r="AI429" s="89"/>
      <c r="AJ429" s="89"/>
      <c r="AK429" s="89"/>
      <c r="AL429" s="89"/>
      <c r="AM429" s="89"/>
      <c r="AN429" s="89"/>
      <c r="AO429" s="89"/>
      <c r="AP429" s="89"/>
      <c r="AQ429" s="89"/>
      <c r="AR429" s="89"/>
      <c r="AS429" s="89"/>
      <c r="AT429" s="89"/>
      <c r="AU429" s="89"/>
      <c r="AV429" s="89"/>
      <c r="AW429" s="89"/>
      <c r="AX429" s="89"/>
      <c r="AY429" s="89"/>
      <c r="AZ429" s="89"/>
      <c r="BA429" s="95"/>
    </row>
    <row r="430" spans="1:53" s="87" customFormat="1">
      <c r="A430" s="90" t="str">
        <f t="shared" si="31"/>
        <v/>
      </c>
      <c r="B430" s="89">
        <v>10</v>
      </c>
      <c r="C430" s="89">
        <v>9</v>
      </c>
      <c r="D430" s="89">
        <v>-8</v>
      </c>
      <c r="E430" s="89" t="s">
        <v>210</v>
      </c>
      <c r="F430" s="89">
        <v>-3</v>
      </c>
      <c r="G430" s="89" t="s">
        <v>210</v>
      </c>
      <c r="H430" s="89">
        <v>5</v>
      </c>
      <c r="I430" s="89">
        <v>-1</v>
      </c>
      <c r="J430" s="89">
        <v>7</v>
      </c>
      <c r="K430" s="89" t="s">
        <v>210</v>
      </c>
      <c r="L430" s="89"/>
      <c r="M430" s="89"/>
      <c r="N430" s="89"/>
      <c r="O430" s="89"/>
      <c r="P430" s="89"/>
      <c r="Q430" s="89"/>
      <c r="R430" s="89"/>
      <c r="S430" s="89"/>
      <c r="T430" s="89"/>
      <c r="U430" s="89"/>
      <c r="V430" s="89"/>
      <c r="W430" s="89"/>
      <c r="X430" s="89"/>
      <c r="Y430" s="89"/>
      <c r="Z430" s="89"/>
      <c r="AA430" s="89"/>
      <c r="AB430" s="89"/>
      <c r="AC430" s="89"/>
      <c r="AD430" s="89"/>
      <c r="AE430" s="89"/>
      <c r="AF430" s="89"/>
      <c r="AG430" s="89"/>
      <c r="AH430" s="89"/>
      <c r="AI430" s="89"/>
      <c r="AJ430" s="89"/>
      <c r="AK430" s="89"/>
      <c r="AL430" s="89"/>
      <c r="AM430" s="89"/>
      <c r="AN430" s="89"/>
      <c r="AO430" s="89"/>
      <c r="AP430" s="89"/>
      <c r="AQ430" s="89"/>
      <c r="AR430" s="89"/>
      <c r="AS430" s="89"/>
      <c r="AT430" s="89"/>
      <c r="AU430" s="89"/>
      <c r="AV430" s="89"/>
      <c r="AW430" s="89"/>
      <c r="AX430" s="89"/>
      <c r="AY430" s="89"/>
      <c r="AZ430" s="89"/>
      <c r="BA430" s="95"/>
    </row>
    <row r="431" spans="1:53" s="87" customFormat="1">
      <c r="A431" s="90" t="str">
        <f t="shared" si="31"/>
        <v/>
      </c>
      <c r="B431" s="89">
        <v>11</v>
      </c>
      <c r="C431" s="89">
        <v>5</v>
      </c>
      <c r="D431" s="89">
        <v>-4</v>
      </c>
      <c r="E431" s="89" t="s">
        <v>210</v>
      </c>
      <c r="F431" s="89">
        <v>10</v>
      </c>
      <c r="G431" s="89" t="s">
        <v>210</v>
      </c>
      <c r="H431" s="89">
        <v>-7</v>
      </c>
      <c r="I431" s="89">
        <v>1</v>
      </c>
      <c r="J431" s="89">
        <v>-9</v>
      </c>
      <c r="K431" s="89" t="s">
        <v>210</v>
      </c>
      <c r="L431" s="89"/>
      <c r="M431" s="89"/>
      <c r="N431" s="89"/>
      <c r="O431" s="89"/>
      <c r="P431" s="89"/>
      <c r="Q431" s="89"/>
      <c r="R431" s="89"/>
      <c r="S431" s="89"/>
      <c r="T431" s="89"/>
      <c r="U431" s="89"/>
      <c r="V431" s="89"/>
      <c r="W431" s="89"/>
      <c r="X431" s="89"/>
      <c r="Y431" s="89"/>
      <c r="Z431" s="89"/>
      <c r="AA431" s="89"/>
      <c r="AB431" s="89"/>
      <c r="AC431" s="89"/>
      <c r="AD431" s="89"/>
      <c r="AE431" s="89"/>
      <c r="AF431" s="89"/>
      <c r="AG431" s="89"/>
      <c r="AH431" s="89"/>
      <c r="AI431" s="89"/>
      <c r="AJ431" s="89"/>
      <c r="AK431" s="89"/>
      <c r="AL431" s="89"/>
      <c r="AM431" s="89"/>
      <c r="AN431" s="89"/>
      <c r="AO431" s="89"/>
      <c r="AP431" s="89"/>
      <c r="AQ431" s="89"/>
      <c r="AR431" s="89"/>
      <c r="AS431" s="89"/>
      <c r="AT431" s="89"/>
      <c r="AU431" s="89"/>
      <c r="AV431" s="89"/>
      <c r="AW431" s="89"/>
      <c r="AX431" s="89"/>
      <c r="AY431" s="89"/>
      <c r="AZ431" s="89"/>
      <c r="BA431" s="95"/>
    </row>
    <row r="432" spans="1:53" s="87" customFormat="1">
      <c r="A432" s="90" t="str">
        <f t="shared" si="31"/>
        <v/>
      </c>
      <c r="B432" s="89">
        <v>12</v>
      </c>
      <c r="C432" s="89">
        <v>-9</v>
      </c>
      <c r="D432" s="89" t="s">
        <v>210</v>
      </c>
      <c r="E432" s="89">
        <v>-4</v>
      </c>
      <c r="F432" s="89">
        <v>2</v>
      </c>
      <c r="G432" s="89" t="s">
        <v>210</v>
      </c>
      <c r="H432" s="89">
        <v>7</v>
      </c>
      <c r="I432" s="89">
        <v>-3</v>
      </c>
      <c r="J432" s="89" t="s">
        <v>210</v>
      </c>
      <c r="K432" s="89">
        <v>6</v>
      </c>
      <c r="L432" s="89"/>
      <c r="M432" s="89"/>
      <c r="N432" s="89"/>
      <c r="O432" s="89"/>
      <c r="P432" s="89"/>
      <c r="Q432" s="89"/>
      <c r="R432" s="89"/>
      <c r="S432" s="89"/>
      <c r="T432" s="89"/>
      <c r="U432" s="89"/>
      <c r="V432" s="89"/>
      <c r="W432" s="89"/>
      <c r="X432" s="89"/>
      <c r="Y432" s="89"/>
      <c r="Z432" s="89"/>
      <c r="AA432" s="89"/>
      <c r="AB432" s="89"/>
      <c r="AC432" s="89"/>
      <c r="AD432" s="89"/>
      <c r="AE432" s="89"/>
      <c r="AF432" s="89"/>
      <c r="AG432" s="89"/>
      <c r="AH432" s="89"/>
      <c r="AI432" s="89"/>
      <c r="AJ432" s="89"/>
      <c r="AK432" s="89"/>
      <c r="AL432" s="89"/>
      <c r="AM432" s="89"/>
      <c r="AN432" s="89"/>
      <c r="AO432" s="89"/>
      <c r="AP432" s="89"/>
      <c r="AQ432" s="89"/>
      <c r="AR432" s="89"/>
      <c r="AS432" s="89"/>
      <c r="AT432" s="89"/>
      <c r="AU432" s="89"/>
      <c r="AV432" s="89"/>
      <c r="AW432" s="89"/>
      <c r="AX432" s="89"/>
      <c r="AY432" s="89"/>
      <c r="AZ432" s="89"/>
      <c r="BA432" s="95"/>
    </row>
    <row r="433" spans="1:53" s="87" customFormat="1">
      <c r="A433" s="90" t="str">
        <f t="shared" si="31"/>
        <v/>
      </c>
      <c r="B433" s="89">
        <v>13</v>
      </c>
      <c r="C433" s="89">
        <v>-5</v>
      </c>
      <c r="D433" s="89" t="s">
        <v>210</v>
      </c>
      <c r="E433" s="89" t="s">
        <v>210</v>
      </c>
      <c r="F433" s="89">
        <v>3</v>
      </c>
      <c r="G433" s="89">
        <v>7</v>
      </c>
      <c r="H433" s="89">
        <v>-10</v>
      </c>
      <c r="I433" s="89" t="s">
        <v>210</v>
      </c>
      <c r="J433" s="89">
        <v>2</v>
      </c>
      <c r="K433" s="89">
        <v>-6</v>
      </c>
      <c r="L433" s="89"/>
      <c r="M433" s="89"/>
      <c r="N433" s="89"/>
      <c r="O433" s="89"/>
      <c r="P433" s="89"/>
      <c r="Q433" s="89"/>
      <c r="R433" s="89"/>
      <c r="S433" s="89"/>
      <c r="T433" s="89"/>
      <c r="U433" s="89"/>
      <c r="V433" s="89"/>
      <c r="W433" s="89"/>
      <c r="X433" s="89"/>
      <c r="Y433" s="89"/>
      <c r="Z433" s="89"/>
      <c r="AA433" s="89"/>
      <c r="AB433" s="89"/>
      <c r="AC433" s="89"/>
      <c r="AD433" s="89"/>
      <c r="AE433" s="89"/>
      <c r="AF433" s="89"/>
      <c r="AG433" s="89"/>
      <c r="AH433" s="89"/>
      <c r="AI433" s="89"/>
      <c r="AJ433" s="89"/>
      <c r="AK433" s="89"/>
      <c r="AL433" s="89"/>
      <c r="AM433" s="89"/>
      <c r="AN433" s="89"/>
      <c r="AO433" s="89"/>
      <c r="AP433" s="89"/>
      <c r="AQ433" s="89"/>
      <c r="AR433" s="89"/>
      <c r="AS433" s="89"/>
      <c r="AT433" s="89"/>
      <c r="AU433" s="89"/>
      <c r="AV433" s="89"/>
      <c r="AW433" s="89"/>
      <c r="AX433" s="89"/>
      <c r="AY433" s="89"/>
      <c r="AZ433" s="89"/>
      <c r="BA433" s="95"/>
    </row>
    <row r="434" spans="1:53" s="87" customFormat="1">
      <c r="A434" s="90" t="str">
        <f t="shared" si="31"/>
        <v/>
      </c>
      <c r="B434" s="99">
        <v>14</v>
      </c>
      <c r="C434" s="92">
        <v>1</v>
      </c>
      <c r="D434" s="92">
        <v>8</v>
      </c>
      <c r="E434" s="92" t="s">
        <v>210</v>
      </c>
      <c r="F434" s="92">
        <v>-10</v>
      </c>
      <c r="G434" s="92">
        <v>-5</v>
      </c>
      <c r="H434" s="92" t="s">
        <v>210</v>
      </c>
      <c r="I434" s="92">
        <v>3</v>
      </c>
      <c r="J434" s="92">
        <v>-2</v>
      </c>
      <c r="K434" s="92" t="s">
        <v>210</v>
      </c>
      <c r="L434" s="89"/>
      <c r="M434" s="89"/>
      <c r="N434" s="89"/>
      <c r="O434" s="89"/>
      <c r="P434" s="89"/>
      <c r="Q434" s="89"/>
      <c r="R434" s="89"/>
      <c r="S434" s="89"/>
      <c r="T434" s="89"/>
      <c r="U434" s="89"/>
      <c r="V434" s="89"/>
      <c r="W434" s="89"/>
      <c r="X434" s="89"/>
      <c r="Y434" s="89"/>
      <c r="Z434" s="89"/>
      <c r="AA434" s="89"/>
      <c r="AB434" s="89"/>
      <c r="AC434" s="89"/>
      <c r="AD434" s="89"/>
      <c r="AE434" s="89"/>
      <c r="AF434" s="89"/>
      <c r="AG434" s="89"/>
      <c r="AH434" s="89"/>
      <c r="AI434" s="89"/>
      <c r="AJ434" s="89"/>
      <c r="AK434" s="89"/>
      <c r="AL434" s="89"/>
      <c r="AM434" s="89"/>
      <c r="AN434" s="89"/>
      <c r="AO434" s="89"/>
      <c r="AP434" s="89"/>
      <c r="AQ434" s="89"/>
      <c r="AR434" s="89"/>
      <c r="AS434" s="89"/>
      <c r="AT434" s="89"/>
      <c r="AU434" s="89"/>
      <c r="AV434" s="89"/>
      <c r="AW434" s="89"/>
      <c r="AX434" s="89"/>
      <c r="AY434" s="89"/>
      <c r="AZ434" s="89"/>
      <c r="BA434" s="95"/>
    </row>
    <row r="435" spans="1:53" s="87" customFormat="1">
      <c r="A435" s="90" t="str">
        <f t="shared" si="31"/>
        <v/>
      </c>
      <c r="B435" s="89">
        <v>15</v>
      </c>
      <c r="C435" s="89">
        <v>-3</v>
      </c>
      <c r="D435" s="89" t="s">
        <v>210</v>
      </c>
      <c r="E435" s="89">
        <v>7</v>
      </c>
      <c r="F435" s="89">
        <v>-6</v>
      </c>
      <c r="G435" s="89" t="s">
        <v>210</v>
      </c>
      <c r="H435" s="89">
        <v>-2</v>
      </c>
      <c r="I435" s="89">
        <v>10</v>
      </c>
      <c r="J435" s="89" t="s">
        <v>210</v>
      </c>
      <c r="K435" s="89">
        <v>8</v>
      </c>
      <c r="L435" s="89"/>
      <c r="M435" s="89"/>
      <c r="N435" s="89"/>
      <c r="O435" s="89"/>
      <c r="P435" s="89"/>
      <c r="Q435" s="89"/>
      <c r="R435" s="89"/>
      <c r="S435" s="89"/>
      <c r="T435" s="89"/>
      <c r="U435" s="89"/>
      <c r="V435" s="89"/>
      <c r="W435" s="89"/>
      <c r="X435" s="89"/>
      <c r="Y435" s="89"/>
      <c r="Z435" s="89"/>
      <c r="AA435" s="89"/>
      <c r="AB435" s="89"/>
      <c r="AC435" s="89"/>
      <c r="AD435" s="89"/>
      <c r="AE435" s="89"/>
      <c r="AF435" s="89"/>
      <c r="AG435" s="89"/>
      <c r="AH435" s="89"/>
      <c r="AI435" s="89"/>
      <c r="AJ435" s="89"/>
      <c r="AK435" s="89"/>
      <c r="AL435" s="89"/>
      <c r="AM435" s="89"/>
      <c r="AN435" s="89"/>
      <c r="AO435" s="89"/>
      <c r="AP435" s="89"/>
      <c r="AQ435" s="89"/>
      <c r="AR435" s="89"/>
      <c r="AS435" s="89"/>
      <c r="AT435" s="89"/>
      <c r="AU435" s="89"/>
      <c r="AV435" s="89"/>
      <c r="AW435" s="89"/>
      <c r="AX435" s="89"/>
      <c r="AY435" s="89"/>
      <c r="AZ435" s="89"/>
      <c r="BA435" s="95"/>
    </row>
    <row r="436" spans="1:53" s="87" customFormat="1">
      <c r="A436" s="90" t="str">
        <f t="shared" si="31"/>
        <v/>
      </c>
      <c r="B436" s="89">
        <v>16</v>
      </c>
      <c r="C436" s="89" t="s">
        <v>210</v>
      </c>
      <c r="D436" s="89">
        <v>2</v>
      </c>
      <c r="E436" s="89" t="s">
        <v>210</v>
      </c>
      <c r="F436" s="89">
        <v>-7</v>
      </c>
      <c r="G436" s="89">
        <v>10</v>
      </c>
      <c r="H436" s="89" t="s">
        <v>210</v>
      </c>
      <c r="I436" s="89">
        <v>5</v>
      </c>
      <c r="J436" s="89">
        <v>-4</v>
      </c>
      <c r="K436" s="89">
        <v>-8</v>
      </c>
      <c r="L436" s="89"/>
      <c r="M436" s="89"/>
      <c r="N436" s="89"/>
      <c r="O436" s="89"/>
      <c r="P436" s="89"/>
      <c r="Q436" s="89"/>
      <c r="R436" s="89"/>
      <c r="S436" s="89"/>
      <c r="T436" s="89"/>
      <c r="U436" s="89"/>
      <c r="V436" s="89"/>
      <c r="W436" s="89"/>
      <c r="X436" s="89"/>
      <c r="Y436" s="89"/>
      <c r="Z436" s="89"/>
      <c r="AA436" s="89"/>
      <c r="AB436" s="89"/>
      <c r="AC436" s="89"/>
      <c r="AD436" s="89"/>
      <c r="AE436" s="89"/>
      <c r="AF436" s="89"/>
      <c r="AG436" s="89"/>
      <c r="AH436" s="89"/>
      <c r="AI436" s="89"/>
      <c r="AJ436" s="89"/>
      <c r="AK436" s="89"/>
      <c r="AL436" s="89"/>
      <c r="AM436" s="89"/>
      <c r="AN436" s="89"/>
      <c r="AO436" s="89"/>
      <c r="AP436" s="89"/>
      <c r="AQ436" s="89"/>
      <c r="AR436" s="89"/>
      <c r="AS436" s="89"/>
      <c r="AT436" s="89"/>
      <c r="AU436" s="89"/>
      <c r="AV436" s="89"/>
      <c r="AW436" s="89"/>
      <c r="AX436" s="89"/>
      <c r="AY436" s="89"/>
      <c r="AZ436" s="89"/>
      <c r="BA436" s="95"/>
    </row>
    <row r="437" spans="1:53" s="87" customFormat="1">
      <c r="A437" s="90" t="str">
        <f t="shared" si="31"/>
        <v/>
      </c>
      <c r="B437" s="89">
        <v>17</v>
      </c>
      <c r="C437" s="89">
        <v>-7</v>
      </c>
      <c r="D437" s="89">
        <v>9</v>
      </c>
      <c r="E437" s="89" t="s">
        <v>210</v>
      </c>
      <c r="F437" s="89">
        <v>6</v>
      </c>
      <c r="G437" s="89">
        <v>-1</v>
      </c>
      <c r="H437" s="89" t="s">
        <v>210</v>
      </c>
      <c r="I437" s="89">
        <v>-8</v>
      </c>
      <c r="J437" s="89">
        <v>4</v>
      </c>
      <c r="K437" s="89" t="s">
        <v>210</v>
      </c>
      <c r="L437" s="89"/>
      <c r="M437" s="89"/>
      <c r="N437" s="89"/>
      <c r="O437" s="89"/>
      <c r="P437" s="89"/>
      <c r="Q437" s="89"/>
      <c r="R437" s="89"/>
      <c r="S437" s="89"/>
      <c r="T437" s="89"/>
      <c r="U437" s="89"/>
      <c r="V437" s="89"/>
      <c r="W437" s="89"/>
      <c r="X437" s="89"/>
      <c r="Y437" s="89"/>
      <c r="Z437" s="89"/>
      <c r="AA437" s="89"/>
      <c r="AB437" s="89"/>
      <c r="AC437" s="89"/>
      <c r="AD437" s="89"/>
      <c r="AE437" s="89"/>
      <c r="AF437" s="89"/>
      <c r="AG437" s="89"/>
      <c r="AH437" s="89"/>
      <c r="AI437" s="89"/>
      <c r="AJ437" s="89"/>
      <c r="AK437" s="89"/>
      <c r="AL437" s="89"/>
      <c r="AM437" s="89"/>
      <c r="AN437" s="89"/>
      <c r="AO437" s="89"/>
      <c r="AP437" s="89"/>
      <c r="AQ437" s="89"/>
      <c r="AR437" s="89"/>
      <c r="AS437" s="89"/>
      <c r="AT437" s="89"/>
      <c r="AU437" s="89"/>
      <c r="AV437" s="89"/>
      <c r="AW437" s="89"/>
      <c r="AX437" s="89"/>
      <c r="AY437" s="89"/>
      <c r="AZ437" s="89"/>
      <c r="BA437" s="95"/>
    </row>
    <row r="438" spans="1:53" s="87" customFormat="1">
      <c r="A438" s="90" t="str">
        <f t="shared" si="31"/>
        <v/>
      </c>
      <c r="B438" s="89">
        <v>18</v>
      </c>
      <c r="C438" s="89">
        <v>7</v>
      </c>
      <c r="D438" s="89">
        <v>6</v>
      </c>
      <c r="E438" s="89" t="s">
        <v>210</v>
      </c>
      <c r="F438" s="89" t="s">
        <v>210</v>
      </c>
      <c r="G438" s="89">
        <v>-4</v>
      </c>
      <c r="H438" s="89">
        <v>2</v>
      </c>
      <c r="I438" s="89">
        <v>-5</v>
      </c>
      <c r="J438" s="89" t="s">
        <v>210</v>
      </c>
      <c r="K438" s="89">
        <v>-10</v>
      </c>
      <c r="L438" s="89"/>
      <c r="M438" s="89"/>
      <c r="N438" s="89"/>
      <c r="O438" s="89"/>
      <c r="P438" s="89"/>
      <c r="Q438" s="89"/>
      <c r="R438" s="89"/>
      <c r="S438" s="89"/>
      <c r="T438" s="89"/>
      <c r="U438" s="89"/>
      <c r="V438" s="89"/>
      <c r="W438" s="89"/>
      <c r="X438" s="89"/>
      <c r="Y438" s="89"/>
      <c r="Z438" s="89"/>
      <c r="AA438" s="89"/>
      <c r="AB438" s="89"/>
      <c r="AC438" s="89"/>
      <c r="AD438" s="89"/>
      <c r="AE438" s="89"/>
      <c r="AF438" s="89"/>
      <c r="AG438" s="89"/>
      <c r="AH438" s="89"/>
      <c r="AI438" s="89"/>
      <c r="AJ438" s="89"/>
      <c r="AK438" s="89"/>
      <c r="AL438" s="89"/>
      <c r="AM438" s="89"/>
      <c r="AN438" s="89"/>
      <c r="AO438" s="89"/>
      <c r="AP438" s="89"/>
      <c r="AQ438" s="89"/>
      <c r="AR438" s="89"/>
      <c r="AS438" s="89"/>
      <c r="AT438" s="89"/>
      <c r="AU438" s="89"/>
      <c r="AV438" s="89"/>
      <c r="AW438" s="89"/>
      <c r="AX438" s="89"/>
      <c r="AY438" s="89"/>
      <c r="AZ438" s="89"/>
      <c r="BA438" s="95"/>
    </row>
    <row r="439" spans="1:53" s="87" customFormat="1">
      <c r="A439" s="90" t="str">
        <f t="shared" si="31"/>
        <v/>
      </c>
      <c r="B439" s="89">
        <v>19</v>
      </c>
      <c r="C439" s="89" t="s">
        <v>210</v>
      </c>
      <c r="D439" s="89">
        <v>-2</v>
      </c>
      <c r="E439" s="89">
        <v>-7</v>
      </c>
      <c r="F439" s="89" t="s">
        <v>210</v>
      </c>
      <c r="G439" s="89">
        <v>1</v>
      </c>
      <c r="H439" s="89">
        <v>-4</v>
      </c>
      <c r="I439" s="89" t="s">
        <v>210</v>
      </c>
      <c r="J439" s="89">
        <v>6</v>
      </c>
      <c r="K439" s="89">
        <v>10</v>
      </c>
      <c r="L439" s="89"/>
      <c r="M439" s="89"/>
      <c r="N439" s="89"/>
      <c r="O439" s="89"/>
      <c r="P439" s="89"/>
      <c r="Q439" s="89"/>
      <c r="R439" s="89"/>
      <c r="S439" s="89"/>
      <c r="T439" s="89"/>
      <c r="U439" s="89"/>
      <c r="V439" s="89"/>
      <c r="W439" s="89"/>
      <c r="X439" s="89"/>
      <c r="Y439" s="89"/>
      <c r="Z439" s="89"/>
      <c r="AA439" s="89"/>
      <c r="AB439" s="89"/>
      <c r="AC439" s="89"/>
      <c r="AD439" s="89"/>
      <c r="AE439" s="89"/>
      <c r="AF439" s="89"/>
      <c r="AG439" s="89"/>
      <c r="AH439" s="89"/>
      <c r="AI439" s="89"/>
      <c r="AJ439" s="89"/>
      <c r="AK439" s="89"/>
      <c r="AL439" s="89"/>
      <c r="AM439" s="89"/>
      <c r="AN439" s="89"/>
      <c r="AO439" s="89"/>
      <c r="AP439" s="89"/>
      <c r="AQ439" s="89"/>
      <c r="AR439" s="89"/>
      <c r="AS439" s="89"/>
      <c r="AT439" s="89"/>
      <c r="AU439" s="89"/>
      <c r="AV439" s="89"/>
      <c r="AW439" s="89"/>
      <c r="AX439" s="89"/>
      <c r="AY439" s="89"/>
      <c r="AZ439" s="89"/>
      <c r="BA439" s="95"/>
    </row>
    <row r="440" spans="1:53" s="87" customFormat="1">
      <c r="A440" s="90" t="str">
        <f t="shared" si="31"/>
        <v/>
      </c>
      <c r="B440" s="89">
        <v>20</v>
      </c>
      <c r="C440" s="89" t="s">
        <v>210</v>
      </c>
      <c r="D440" s="89">
        <v>-9</v>
      </c>
      <c r="E440" s="89" t="s">
        <v>210</v>
      </c>
      <c r="F440" s="89">
        <v>7</v>
      </c>
      <c r="G440" s="89">
        <v>4</v>
      </c>
      <c r="H440" s="89" t="s">
        <v>210</v>
      </c>
      <c r="I440" s="89">
        <v>-10</v>
      </c>
      <c r="J440" s="89">
        <v>-6</v>
      </c>
      <c r="K440" s="89">
        <v>2</v>
      </c>
      <c r="L440" s="89"/>
      <c r="M440" s="89"/>
      <c r="N440" s="89"/>
      <c r="O440" s="89"/>
      <c r="P440" s="89"/>
      <c r="Q440" s="89"/>
      <c r="R440" s="89"/>
      <c r="S440" s="89"/>
      <c r="T440" s="89"/>
      <c r="U440" s="89"/>
      <c r="V440" s="89"/>
      <c r="W440" s="89"/>
      <c r="X440" s="89"/>
      <c r="Y440" s="89"/>
      <c r="Z440" s="89"/>
      <c r="AA440" s="89"/>
      <c r="AB440" s="89"/>
      <c r="AC440" s="89"/>
      <c r="AD440" s="89"/>
      <c r="AE440" s="89"/>
      <c r="AF440" s="89"/>
      <c r="AG440" s="89"/>
      <c r="AH440" s="89"/>
      <c r="AI440" s="89"/>
      <c r="AJ440" s="89"/>
      <c r="AK440" s="89"/>
      <c r="AL440" s="89"/>
      <c r="AM440" s="89"/>
      <c r="AN440" s="89"/>
      <c r="AO440" s="89"/>
      <c r="AP440" s="89"/>
      <c r="AQ440" s="89"/>
      <c r="AR440" s="89"/>
      <c r="AS440" s="89"/>
      <c r="AT440" s="89"/>
      <c r="AU440" s="89"/>
      <c r="AV440" s="89"/>
      <c r="AW440" s="89"/>
      <c r="AX440" s="89"/>
      <c r="AY440" s="89"/>
      <c r="AZ440" s="89"/>
      <c r="BA440" s="95"/>
    </row>
    <row r="441" spans="1:53" s="87" customFormat="1">
      <c r="A441" s="90" t="str">
        <f t="shared" si="31"/>
        <v/>
      </c>
      <c r="B441" s="99">
        <v>21</v>
      </c>
      <c r="C441" s="92">
        <v>3</v>
      </c>
      <c r="D441" s="92">
        <v>-6</v>
      </c>
      <c r="E441" s="92" t="s">
        <v>210</v>
      </c>
      <c r="F441" s="92" t="s">
        <v>210</v>
      </c>
      <c r="G441" s="92">
        <v>-10</v>
      </c>
      <c r="H441" s="92">
        <v>4</v>
      </c>
      <c r="I441" s="92">
        <v>8</v>
      </c>
      <c r="J441" s="92" t="s">
        <v>210</v>
      </c>
      <c r="K441" s="92">
        <v>-2</v>
      </c>
      <c r="L441" s="89"/>
      <c r="M441" s="89"/>
      <c r="N441" s="89"/>
      <c r="O441" s="89"/>
      <c r="P441" s="89"/>
      <c r="Q441" s="89"/>
      <c r="R441" s="89"/>
      <c r="S441" s="89"/>
      <c r="T441" s="89"/>
      <c r="U441" s="89"/>
      <c r="V441" s="89"/>
      <c r="W441" s="89"/>
      <c r="X441" s="89"/>
      <c r="Y441" s="89"/>
      <c r="Z441" s="89"/>
      <c r="AA441" s="89"/>
      <c r="AB441" s="89"/>
      <c r="AC441" s="89"/>
      <c r="AD441" s="89"/>
      <c r="AE441" s="89"/>
      <c r="AF441" s="89"/>
      <c r="AG441" s="89"/>
      <c r="AH441" s="89"/>
      <c r="AI441" s="89"/>
      <c r="AJ441" s="89"/>
      <c r="AK441" s="89"/>
      <c r="AL441" s="89"/>
      <c r="AM441" s="89"/>
      <c r="AN441" s="89"/>
      <c r="AO441" s="89"/>
      <c r="AP441" s="89"/>
      <c r="AQ441" s="89"/>
      <c r="AR441" s="89"/>
      <c r="AS441" s="89"/>
      <c r="AT441" s="89"/>
      <c r="AU441" s="89"/>
      <c r="AV441" s="89"/>
      <c r="AW441" s="89"/>
      <c r="AX441" s="89"/>
      <c r="AY441" s="89"/>
      <c r="AZ441" s="89"/>
      <c r="BA441" s="95"/>
    </row>
    <row r="442" spans="1:53" s="87" customFormat="1">
      <c r="A442" s="90" t="str">
        <f t="shared" si="31"/>
        <v/>
      </c>
      <c r="B442" s="89">
        <v>22</v>
      </c>
      <c r="C442" s="89">
        <v>-2</v>
      </c>
      <c r="D442" s="89" t="s">
        <v>210</v>
      </c>
      <c r="E442" s="89">
        <v>3</v>
      </c>
      <c r="F442" s="89" t="s">
        <v>210</v>
      </c>
      <c r="G442" s="89">
        <v>-8</v>
      </c>
      <c r="H442" s="89">
        <v>-6</v>
      </c>
      <c r="I442" s="89" t="s">
        <v>210</v>
      </c>
      <c r="J442" s="89">
        <v>10</v>
      </c>
      <c r="K442" s="89">
        <v>4</v>
      </c>
      <c r="L442" s="89"/>
      <c r="M442" s="89"/>
      <c r="N442" s="89"/>
      <c r="O442" s="89"/>
      <c r="P442" s="89"/>
      <c r="Q442" s="89"/>
      <c r="R442" s="89"/>
      <c r="S442" s="89"/>
      <c r="T442" s="89"/>
      <c r="U442" s="89"/>
      <c r="V442" s="89"/>
      <c r="W442" s="89"/>
      <c r="X442" s="89"/>
      <c r="Y442" s="89"/>
      <c r="Z442" s="89"/>
      <c r="AA442" s="89"/>
      <c r="AB442" s="89"/>
      <c r="AC442" s="89"/>
      <c r="AD442" s="89"/>
      <c r="AE442" s="89"/>
      <c r="AF442" s="89"/>
      <c r="AG442" s="89"/>
      <c r="AH442" s="89"/>
      <c r="AI442" s="89"/>
      <c r="AJ442" s="89"/>
      <c r="AK442" s="89"/>
      <c r="AL442" s="89"/>
      <c r="AM442" s="89"/>
      <c r="AN442" s="89"/>
      <c r="AO442" s="89"/>
      <c r="AP442" s="89"/>
      <c r="AQ442" s="89"/>
      <c r="AR442" s="89"/>
      <c r="AS442" s="89"/>
      <c r="AT442" s="89"/>
      <c r="AU442" s="89"/>
      <c r="AV442" s="89"/>
      <c r="AW442" s="89"/>
      <c r="AX442" s="89"/>
      <c r="AY442" s="89"/>
      <c r="AZ442" s="89"/>
      <c r="BA442" s="95"/>
    </row>
    <row r="443" spans="1:53" s="87" customFormat="1">
      <c r="A443" s="90" t="str">
        <f t="shared" si="31"/>
        <v/>
      </c>
      <c r="B443" s="89">
        <v>23</v>
      </c>
      <c r="C443" s="89" t="s">
        <v>210</v>
      </c>
      <c r="D443" s="89">
        <v>3</v>
      </c>
      <c r="E443" s="89" t="s">
        <v>210</v>
      </c>
      <c r="F443" s="89">
        <v>-1</v>
      </c>
      <c r="G443" s="89">
        <v>6</v>
      </c>
      <c r="H443" s="89">
        <v>9</v>
      </c>
      <c r="I443" s="89" t="s">
        <v>210</v>
      </c>
      <c r="J443" s="89">
        <v>-8</v>
      </c>
      <c r="K443" s="89">
        <v>-4</v>
      </c>
      <c r="L443" s="89"/>
      <c r="M443" s="89"/>
      <c r="N443" s="89"/>
      <c r="O443" s="89"/>
      <c r="P443" s="89"/>
      <c r="Q443" s="89"/>
      <c r="R443" s="89"/>
      <c r="S443" s="89"/>
      <c r="T443" s="89"/>
      <c r="U443" s="89"/>
      <c r="V443" s="89"/>
      <c r="W443" s="89"/>
      <c r="X443" s="89"/>
      <c r="Y443" s="89"/>
      <c r="Z443" s="89"/>
      <c r="AA443" s="89"/>
      <c r="AB443" s="89"/>
      <c r="AC443" s="89"/>
      <c r="AD443" s="89"/>
      <c r="AE443" s="89"/>
      <c r="AF443" s="89"/>
      <c r="AG443" s="89"/>
      <c r="AH443" s="89"/>
      <c r="AI443" s="89"/>
      <c r="AJ443" s="89"/>
      <c r="AK443" s="89"/>
      <c r="AL443" s="89"/>
      <c r="AM443" s="89"/>
      <c r="AN443" s="89"/>
      <c r="AO443" s="89"/>
      <c r="AP443" s="89"/>
      <c r="AQ443" s="89"/>
      <c r="AR443" s="89"/>
      <c r="AS443" s="89"/>
      <c r="AT443" s="89"/>
      <c r="AU443" s="89"/>
      <c r="AV443" s="89"/>
      <c r="AW443" s="89"/>
      <c r="AX443" s="89"/>
      <c r="AY443" s="89"/>
      <c r="AZ443" s="89"/>
      <c r="BA443" s="95"/>
    </row>
    <row r="444" spans="1:53" s="87" customFormat="1">
      <c r="A444" s="90" t="str">
        <f t="shared" si="31"/>
        <v/>
      </c>
      <c r="B444" s="89">
        <v>24</v>
      </c>
      <c r="C444" s="89">
        <v>10</v>
      </c>
      <c r="D444" s="89">
        <v>-7</v>
      </c>
      <c r="E444" s="89" t="s">
        <v>210</v>
      </c>
      <c r="F444" s="89">
        <v>-4</v>
      </c>
      <c r="G444" s="89" t="s">
        <v>210</v>
      </c>
      <c r="H444" s="89">
        <v>6</v>
      </c>
      <c r="I444" s="89">
        <v>-2</v>
      </c>
      <c r="J444" s="89">
        <v>8</v>
      </c>
      <c r="K444" s="89" t="s">
        <v>210</v>
      </c>
      <c r="L444" s="89"/>
      <c r="M444" s="89"/>
      <c r="N444" s="89"/>
      <c r="O444" s="89"/>
      <c r="P444" s="89"/>
      <c r="Q444" s="89"/>
      <c r="R444" s="89"/>
      <c r="S444" s="89"/>
      <c r="T444" s="89"/>
      <c r="U444" s="89"/>
      <c r="V444" s="89"/>
      <c r="W444" s="89"/>
      <c r="X444" s="89"/>
      <c r="Y444" s="89"/>
      <c r="Z444" s="89"/>
      <c r="AA444" s="89"/>
      <c r="AB444" s="89"/>
      <c r="AC444" s="89"/>
      <c r="AD444" s="89"/>
      <c r="AE444" s="89"/>
      <c r="AF444" s="89"/>
      <c r="AG444" s="89"/>
      <c r="AH444" s="89"/>
      <c r="AI444" s="89"/>
      <c r="AJ444" s="89"/>
      <c r="AK444" s="89"/>
      <c r="AL444" s="89"/>
      <c r="AM444" s="89"/>
      <c r="AN444" s="89"/>
      <c r="AO444" s="89"/>
      <c r="AP444" s="89"/>
      <c r="AQ444" s="89"/>
      <c r="AR444" s="89"/>
      <c r="AS444" s="89"/>
      <c r="AT444" s="89"/>
      <c r="AU444" s="89"/>
      <c r="AV444" s="89"/>
      <c r="AW444" s="89"/>
      <c r="AX444" s="89"/>
      <c r="AY444" s="89"/>
      <c r="AZ444" s="89"/>
      <c r="BA444" s="95"/>
    </row>
    <row r="445" spans="1:53" s="87" customFormat="1">
      <c r="A445" s="90" t="str">
        <f t="shared" si="31"/>
        <v/>
      </c>
      <c r="B445" s="89">
        <v>25</v>
      </c>
      <c r="C445" s="89">
        <v>6</v>
      </c>
      <c r="D445" s="89">
        <v>-3</v>
      </c>
      <c r="E445" s="89" t="s">
        <v>210</v>
      </c>
      <c r="F445" s="89">
        <v>9</v>
      </c>
      <c r="G445" s="89" t="s">
        <v>210</v>
      </c>
      <c r="H445" s="89">
        <v>-8</v>
      </c>
      <c r="I445" s="89">
        <v>2</v>
      </c>
      <c r="J445" s="89">
        <v>-10</v>
      </c>
      <c r="K445" s="89" t="s">
        <v>210</v>
      </c>
      <c r="L445" s="89"/>
      <c r="M445" s="89"/>
      <c r="N445" s="89"/>
      <c r="O445" s="89"/>
      <c r="P445" s="89"/>
      <c r="Q445" s="89"/>
      <c r="R445" s="89"/>
      <c r="S445" s="89"/>
      <c r="T445" s="89"/>
      <c r="U445" s="89"/>
      <c r="V445" s="89"/>
      <c r="W445" s="89"/>
      <c r="X445" s="89"/>
      <c r="Y445" s="89"/>
      <c r="Z445" s="89"/>
      <c r="AA445" s="89"/>
      <c r="AB445" s="89"/>
      <c r="AC445" s="89"/>
      <c r="AD445" s="89"/>
      <c r="AE445" s="89"/>
      <c r="AF445" s="89"/>
      <c r="AG445" s="89"/>
      <c r="AH445" s="89"/>
      <c r="AI445" s="89"/>
      <c r="AJ445" s="89"/>
      <c r="AK445" s="89"/>
      <c r="AL445" s="89"/>
      <c r="AM445" s="89"/>
      <c r="AN445" s="89"/>
      <c r="AO445" s="89"/>
      <c r="AP445" s="89"/>
      <c r="AQ445" s="89"/>
      <c r="AR445" s="89"/>
      <c r="AS445" s="89"/>
      <c r="AT445" s="89"/>
      <c r="AU445" s="89"/>
      <c r="AV445" s="89"/>
      <c r="AW445" s="89"/>
      <c r="AX445" s="89"/>
      <c r="AY445" s="89"/>
      <c r="AZ445" s="89"/>
      <c r="BA445" s="95"/>
    </row>
    <row r="446" spans="1:53" s="87" customFormat="1">
      <c r="A446" s="90" t="str">
        <f t="shared" si="31"/>
        <v/>
      </c>
      <c r="B446" s="89">
        <v>26</v>
      </c>
      <c r="C446" s="89">
        <v>-10</v>
      </c>
      <c r="D446" s="89" t="s">
        <v>210</v>
      </c>
      <c r="E446" s="89">
        <v>-3</v>
      </c>
      <c r="F446" s="89">
        <v>1</v>
      </c>
      <c r="G446" s="89" t="s">
        <v>210</v>
      </c>
      <c r="H446" s="89">
        <v>8</v>
      </c>
      <c r="I446" s="89">
        <v>-4</v>
      </c>
      <c r="J446" s="89" t="s">
        <v>210</v>
      </c>
      <c r="K446" s="89">
        <v>5</v>
      </c>
      <c r="L446" s="89"/>
      <c r="M446" s="89"/>
      <c r="N446" s="89"/>
      <c r="O446" s="89"/>
      <c r="P446" s="89"/>
      <c r="Q446" s="89"/>
      <c r="R446" s="89"/>
      <c r="S446" s="89"/>
      <c r="T446" s="89"/>
      <c r="U446" s="89"/>
      <c r="V446" s="89"/>
      <c r="W446" s="89"/>
      <c r="X446" s="89"/>
      <c r="Y446" s="89"/>
      <c r="Z446" s="89"/>
      <c r="AA446" s="89"/>
      <c r="AB446" s="89"/>
      <c r="AC446" s="89"/>
      <c r="AD446" s="89"/>
      <c r="AE446" s="89"/>
      <c r="AF446" s="89"/>
      <c r="AG446" s="89"/>
      <c r="AH446" s="89"/>
      <c r="AI446" s="89"/>
      <c r="AJ446" s="89"/>
      <c r="AK446" s="89"/>
      <c r="AL446" s="89"/>
      <c r="AM446" s="89"/>
      <c r="AN446" s="89"/>
      <c r="AO446" s="89"/>
      <c r="AP446" s="89"/>
      <c r="AQ446" s="89"/>
      <c r="AR446" s="89"/>
      <c r="AS446" s="89"/>
      <c r="AT446" s="89"/>
      <c r="AU446" s="89"/>
      <c r="AV446" s="89"/>
      <c r="AW446" s="89"/>
      <c r="AX446" s="89"/>
      <c r="AY446" s="89"/>
      <c r="AZ446" s="89"/>
      <c r="BA446" s="95"/>
    </row>
    <row r="447" spans="1:53" s="87" customFormat="1">
      <c r="A447" s="90" t="str">
        <f t="shared" si="31"/>
        <v/>
      </c>
      <c r="B447" s="89">
        <v>27</v>
      </c>
      <c r="C447" s="89">
        <v>-6</v>
      </c>
      <c r="D447" s="89" t="s">
        <v>210</v>
      </c>
      <c r="E447" s="89" t="s">
        <v>210</v>
      </c>
      <c r="F447" s="89">
        <v>4</v>
      </c>
      <c r="G447" s="89">
        <v>8</v>
      </c>
      <c r="H447" s="89">
        <v>-9</v>
      </c>
      <c r="I447" s="89" t="s">
        <v>210</v>
      </c>
      <c r="J447" s="89">
        <v>1</v>
      </c>
      <c r="K447" s="89">
        <v>-5</v>
      </c>
      <c r="L447" s="89"/>
      <c r="M447" s="89"/>
      <c r="N447" s="89"/>
      <c r="O447" s="89"/>
      <c r="P447" s="89"/>
      <c r="Q447" s="89"/>
      <c r="R447" s="89"/>
      <c r="S447" s="89"/>
      <c r="T447" s="89"/>
      <c r="U447" s="89"/>
      <c r="V447" s="89"/>
      <c r="W447" s="89"/>
      <c r="X447" s="89"/>
      <c r="Y447" s="89"/>
      <c r="Z447" s="89"/>
      <c r="AA447" s="89"/>
      <c r="AB447" s="89"/>
      <c r="AC447" s="89"/>
      <c r="AD447" s="89"/>
      <c r="AE447" s="89"/>
      <c r="AF447" s="89"/>
      <c r="AG447" s="89"/>
      <c r="AH447" s="89"/>
      <c r="AI447" s="89"/>
      <c r="AJ447" s="89"/>
      <c r="AK447" s="89"/>
      <c r="AL447" s="89"/>
      <c r="AM447" s="89"/>
      <c r="AN447" s="89"/>
      <c r="AO447" s="89"/>
      <c r="AP447" s="89"/>
      <c r="AQ447" s="89"/>
      <c r="AR447" s="89"/>
      <c r="AS447" s="89"/>
      <c r="AT447" s="89"/>
      <c r="AU447" s="89"/>
      <c r="AV447" s="89"/>
      <c r="AW447" s="89"/>
      <c r="AX447" s="89"/>
      <c r="AY447" s="89"/>
      <c r="AZ447" s="89"/>
      <c r="BA447" s="95"/>
    </row>
    <row r="448" spans="1:53" s="87" customFormat="1">
      <c r="A448" s="90" t="str">
        <f t="shared" si="31"/>
        <v/>
      </c>
      <c r="B448" s="89">
        <v>28</v>
      </c>
      <c r="C448" s="89">
        <v>2</v>
      </c>
      <c r="D448" s="89">
        <v>7</v>
      </c>
      <c r="E448" s="89" t="s">
        <v>210</v>
      </c>
      <c r="F448" s="89">
        <v>-9</v>
      </c>
      <c r="G448" s="89">
        <v>-6</v>
      </c>
      <c r="H448" s="89" t="s">
        <v>210</v>
      </c>
      <c r="I448" s="89">
        <v>4</v>
      </c>
      <c r="J448" s="89">
        <v>-1</v>
      </c>
      <c r="K448" s="89" t="s">
        <v>210</v>
      </c>
      <c r="L448" s="89"/>
      <c r="M448" s="89"/>
      <c r="N448" s="89"/>
      <c r="O448" s="89"/>
      <c r="P448" s="89"/>
      <c r="Q448" s="89"/>
      <c r="R448" s="89"/>
      <c r="S448" s="89"/>
      <c r="T448" s="89"/>
      <c r="U448" s="89"/>
      <c r="V448" s="89"/>
      <c r="W448" s="89"/>
      <c r="X448" s="89"/>
      <c r="Y448" s="89"/>
      <c r="Z448" s="89"/>
      <c r="AA448" s="89"/>
      <c r="AB448" s="89"/>
      <c r="AC448" s="89"/>
      <c r="AD448" s="89"/>
      <c r="AE448" s="89"/>
      <c r="AF448" s="89"/>
      <c r="AG448" s="89"/>
      <c r="AH448" s="89"/>
      <c r="AI448" s="89"/>
      <c r="AJ448" s="89"/>
      <c r="AK448" s="89"/>
      <c r="AL448" s="89"/>
      <c r="AM448" s="89"/>
      <c r="AN448" s="89"/>
      <c r="AO448" s="89"/>
      <c r="AP448" s="89"/>
      <c r="AQ448" s="89"/>
      <c r="AR448" s="89"/>
      <c r="AS448" s="89"/>
      <c r="AT448" s="89"/>
      <c r="AU448" s="89"/>
      <c r="AV448" s="89"/>
      <c r="AW448" s="89"/>
      <c r="AX448" s="89"/>
      <c r="AY448" s="89"/>
      <c r="AZ448" s="89"/>
      <c r="BA448" s="95"/>
    </row>
    <row r="449" spans="1:53" s="87" customFormat="1">
      <c r="A449" s="90" t="str">
        <f t="shared" si="31"/>
        <v/>
      </c>
      <c r="B449" s="319" t="s">
        <v>919</v>
      </c>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c r="AA449" s="89"/>
      <c r="AB449" s="89"/>
      <c r="AC449" s="89"/>
      <c r="AD449" s="89"/>
      <c r="AE449" s="89"/>
      <c r="AF449" s="89"/>
      <c r="AG449" s="89"/>
      <c r="AH449" s="89"/>
      <c r="AI449" s="89"/>
      <c r="AJ449" s="89"/>
      <c r="AK449" s="89"/>
      <c r="AL449" s="89"/>
      <c r="AM449" s="89"/>
      <c r="AN449" s="89"/>
      <c r="AO449" s="89"/>
      <c r="AP449" s="89"/>
      <c r="AQ449" s="89"/>
      <c r="AR449" s="89"/>
      <c r="AS449" s="89"/>
      <c r="AT449" s="89"/>
      <c r="AU449" s="89"/>
      <c r="AV449" s="89"/>
      <c r="AW449" s="89"/>
      <c r="AX449" s="89"/>
      <c r="AY449" s="89"/>
      <c r="AZ449" s="89"/>
      <c r="BA449" s="95"/>
    </row>
    <row r="450" spans="1:53" s="87" customFormat="1">
      <c r="A450" s="90">
        <f t="shared" si="31"/>
        <v>450</v>
      </c>
      <c r="B450" s="89" t="s">
        <v>929</v>
      </c>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c r="AA450" s="89"/>
      <c r="AB450" s="89"/>
      <c r="AC450" s="89"/>
      <c r="AD450" s="89"/>
      <c r="AE450" s="89"/>
      <c r="AF450" s="89"/>
      <c r="AG450" s="89"/>
      <c r="AH450" s="89"/>
      <c r="AI450" s="89"/>
      <c r="AJ450" s="89"/>
      <c r="AK450" s="89"/>
      <c r="AL450" s="89"/>
      <c r="AM450" s="89"/>
      <c r="AN450" s="89"/>
      <c r="AO450" s="89"/>
      <c r="AP450" s="89"/>
      <c r="AQ450" s="89"/>
      <c r="AR450" s="89"/>
      <c r="AS450" s="89"/>
      <c r="AT450" s="89"/>
      <c r="AU450" s="89"/>
      <c r="AV450" s="89"/>
      <c r="AW450" s="89"/>
      <c r="AX450" s="89"/>
      <c r="AY450" s="89"/>
      <c r="AZ450" s="89"/>
      <c r="BA450" s="95"/>
    </row>
    <row r="451" spans="1:53" s="87" customFormat="1">
      <c r="A451" s="90" t="str">
        <f t="shared" si="31"/>
        <v/>
      </c>
      <c r="B451" s="89">
        <v>1</v>
      </c>
      <c r="C451" s="89">
        <v>2</v>
      </c>
      <c r="D451" s="89">
        <v>10</v>
      </c>
      <c r="E451" s="89">
        <v>-4</v>
      </c>
      <c r="F451" s="89">
        <v>-9</v>
      </c>
      <c r="G451" s="89">
        <v>7</v>
      </c>
      <c r="H451" s="89">
        <v>5</v>
      </c>
      <c r="I451" s="89">
        <v>1</v>
      </c>
      <c r="J451" s="89">
        <v>3</v>
      </c>
      <c r="K451" s="89">
        <v>-10</v>
      </c>
      <c r="L451" s="89">
        <v>8</v>
      </c>
      <c r="M451" s="89">
        <v>-6</v>
      </c>
      <c r="N451" s="89">
        <v>-2</v>
      </c>
      <c r="O451" s="89">
        <v>-1</v>
      </c>
      <c r="P451" s="89">
        <v>-7</v>
      </c>
      <c r="Q451" s="89">
        <v>-3</v>
      </c>
      <c r="R451" s="89" t="s">
        <v>202</v>
      </c>
      <c r="S451" s="89">
        <v>9</v>
      </c>
      <c r="T451" s="89">
        <v>-8</v>
      </c>
      <c r="U451" s="89">
        <v>4</v>
      </c>
      <c r="V451" s="89">
        <v>6</v>
      </c>
      <c r="W451" s="89">
        <v>-5</v>
      </c>
      <c r="X451" s="89"/>
      <c r="Y451" s="89"/>
      <c r="Z451" s="89"/>
      <c r="AA451" s="89"/>
      <c r="AB451" s="89"/>
      <c r="AC451" s="89"/>
      <c r="AD451" s="89"/>
      <c r="AE451" s="89"/>
      <c r="AF451" s="89"/>
      <c r="AG451" s="89"/>
      <c r="AH451" s="89"/>
      <c r="AI451" s="89"/>
      <c r="AJ451" s="89"/>
      <c r="AK451" s="89"/>
      <c r="AL451" s="89"/>
      <c r="AM451" s="89"/>
      <c r="AN451" s="89"/>
      <c r="AO451" s="89"/>
      <c r="AP451" s="89"/>
      <c r="AQ451" s="89"/>
      <c r="AR451" s="89"/>
      <c r="AS451" s="89"/>
      <c r="AT451" s="89"/>
      <c r="AU451" s="89"/>
      <c r="AV451" s="89"/>
      <c r="AW451" s="89"/>
      <c r="AX451" s="89"/>
      <c r="AY451" s="89"/>
      <c r="AZ451" s="89"/>
      <c r="BA451" s="95"/>
    </row>
    <row r="452" spans="1:53" s="87" customFormat="1">
      <c r="A452" s="90" t="str">
        <f t="shared" si="31"/>
        <v/>
      </c>
      <c r="B452" s="89">
        <v>2</v>
      </c>
      <c r="C452" s="89">
        <v>-1</v>
      </c>
      <c r="D452" s="89">
        <v>9</v>
      </c>
      <c r="E452" s="89">
        <v>3</v>
      </c>
      <c r="F452" s="89">
        <v>-4</v>
      </c>
      <c r="G452" s="89">
        <v>-8</v>
      </c>
      <c r="H452" s="89">
        <v>-10</v>
      </c>
      <c r="I452" s="89">
        <v>-6</v>
      </c>
      <c r="J452" s="89">
        <v>7</v>
      </c>
      <c r="K452" s="89">
        <v>-5</v>
      </c>
      <c r="L452" s="89">
        <v>-3</v>
      </c>
      <c r="M452" s="89">
        <v>2</v>
      </c>
      <c r="N452" s="89">
        <v>10</v>
      </c>
      <c r="O452" s="89">
        <v>-9</v>
      </c>
      <c r="P452" s="89">
        <v>1</v>
      </c>
      <c r="Q452" s="89">
        <v>6</v>
      </c>
      <c r="R452" s="89">
        <v>-3</v>
      </c>
      <c r="S452" s="89">
        <v>8</v>
      </c>
      <c r="T452" s="89" t="s">
        <v>202</v>
      </c>
      <c r="U452" s="89">
        <v>-7</v>
      </c>
      <c r="V452" s="89">
        <v>4</v>
      </c>
      <c r="W452" s="89">
        <v>5</v>
      </c>
      <c r="X452" s="89"/>
      <c r="Y452" s="89"/>
      <c r="Z452" s="89"/>
      <c r="AA452" s="89"/>
      <c r="AB452" s="89"/>
      <c r="AC452" s="89"/>
      <c r="AD452" s="89"/>
      <c r="AE452" s="89"/>
      <c r="AF452" s="89"/>
      <c r="AG452" s="89"/>
      <c r="AH452" s="89"/>
      <c r="AI452" s="89"/>
      <c r="AJ452" s="89"/>
      <c r="AK452" s="89"/>
      <c r="AL452" s="89"/>
      <c r="AM452" s="89"/>
      <c r="AN452" s="89"/>
      <c r="AO452" s="89"/>
      <c r="AP452" s="89"/>
      <c r="AQ452" s="89"/>
      <c r="AR452" s="89"/>
      <c r="AS452" s="89"/>
      <c r="AT452" s="89"/>
      <c r="AU452" s="89"/>
      <c r="AV452" s="89"/>
      <c r="AW452" s="89"/>
      <c r="AX452" s="89"/>
      <c r="AY452" s="89"/>
      <c r="AZ452" s="89"/>
      <c r="BA452" s="95"/>
    </row>
    <row r="453" spans="1:53" s="87" customFormat="1">
      <c r="A453" s="90" t="str">
        <f t="shared" si="31"/>
        <v/>
      </c>
      <c r="B453" s="89">
        <v>3</v>
      </c>
      <c r="C453" s="89">
        <v>-3</v>
      </c>
      <c r="D453" s="89">
        <v>-5</v>
      </c>
      <c r="E453" s="89">
        <v>10</v>
      </c>
      <c r="F453" s="89">
        <v>-6</v>
      </c>
      <c r="G453" s="89">
        <v>1</v>
      </c>
      <c r="H453" s="89">
        <v>7</v>
      </c>
      <c r="I453" s="89">
        <v>-8</v>
      </c>
      <c r="J453" s="89">
        <v>4</v>
      </c>
      <c r="K453" s="89">
        <v>3</v>
      </c>
      <c r="L453" s="89">
        <v>9</v>
      </c>
      <c r="M453" s="89">
        <v>5</v>
      </c>
      <c r="N453" s="89">
        <v>-1</v>
      </c>
      <c r="O453" s="89">
        <v>-2</v>
      </c>
      <c r="P453" s="89">
        <v>-10</v>
      </c>
      <c r="Q453" s="89">
        <v>-9</v>
      </c>
      <c r="R453" s="89">
        <v>-7</v>
      </c>
      <c r="S453" s="89" t="s">
        <v>202</v>
      </c>
      <c r="T453" s="89">
        <v>8</v>
      </c>
      <c r="U453" s="89">
        <v>5</v>
      </c>
      <c r="V453" s="89">
        <v>-4</v>
      </c>
      <c r="W453" s="89">
        <v>6</v>
      </c>
      <c r="X453" s="89"/>
      <c r="Y453" s="89"/>
      <c r="Z453" s="89"/>
      <c r="AA453" s="89"/>
      <c r="AB453" s="89"/>
      <c r="AC453" s="89"/>
      <c r="AD453" s="89"/>
      <c r="AE453" s="89"/>
      <c r="AF453" s="89"/>
      <c r="AG453" s="89"/>
      <c r="AH453" s="89"/>
      <c r="AI453" s="89"/>
      <c r="AJ453" s="89"/>
      <c r="AK453" s="89"/>
      <c r="AL453" s="89"/>
      <c r="AM453" s="89"/>
      <c r="AN453" s="89"/>
      <c r="AO453" s="89"/>
      <c r="AP453" s="89"/>
      <c r="AQ453" s="89"/>
      <c r="AR453" s="89"/>
      <c r="AS453" s="89"/>
      <c r="AT453" s="89"/>
      <c r="AU453" s="89"/>
      <c r="AV453" s="89"/>
      <c r="AW453" s="89"/>
      <c r="AX453" s="89"/>
      <c r="AY453" s="89"/>
      <c r="AZ453" s="89"/>
      <c r="BA453" s="95"/>
    </row>
    <row r="454" spans="1:53" s="87" customFormat="1">
      <c r="A454" s="90" t="str">
        <f t="shared" si="31"/>
        <v/>
      </c>
      <c r="B454" s="89">
        <v>4</v>
      </c>
      <c r="C454" s="89">
        <v>10</v>
      </c>
      <c r="D454" s="89">
        <v>6</v>
      </c>
      <c r="E454" s="89">
        <v>-2</v>
      </c>
      <c r="F454" s="89">
        <v>1</v>
      </c>
      <c r="G454" s="89">
        <v>-7</v>
      </c>
      <c r="H454" s="89">
        <v>9</v>
      </c>
      <c r="I454" s="89">
        <v>-5</v>
      </c>
      <c r="J454" s="89">
        <v>-2</v>
      </c>
      <c r="K454" s="89" t="s">
        <v>202</v>
      </c>
      <c r="L454" s="89">
        <v>-10</v>
      </c>
      <c r="M454" s="89">
        <v>-3</v>
      </c>
      <c r="N454" s="89">
        <v>4</v>
      </c>
      <c r="O454" s="89">
        <v>8</v>
      </c>
      <c r="P454" s="89">
        <v>-9</v>
      </c>
      <c r="Q454" s="89">
        <v>5</v>
      </c>
      <c r="R454" s="89">
        <v>-1</v>
      </c>
      <c r="S454" s="89">
        <v>2</v>
      </c>
      <c r="T454" s="89">
        <v>-4</v>
      </c>
      <c r="U454" s="89">
        <v>7</v>
      </c>
      <c r="V454" s="89">
        <v>3</v>
      </c>
      <c r="W454" s="89">
        <v>-6</v>
      </c>
      <c r="X454" s="89"/>
      <c r="Y454" s="89"/>
      <c r="Z454" s="89"/>
      <c r="AA454" s="89"/>
      <c r="AB454" s="89"/>
      <c r="AC454" s="89"/>
      <c r="AD454" s="89"/>
      <c r="AE454" s="89"/>
      <c r="AF454" s="89"/>
      <c r="AG454" s="89"/>
      <c r="AH454" s="89"/>
      <c r="AI454" s="89"/>
      <c r="AJ454" s="89"/>
      <c r="AK454" s="89"/>
      <c r="AL454" s="89"/>
      <c r="AM454" s="89"/>
      <c r="AN454" s="89"/>
      <c r="AO454" s="89"/>
      <c r="AP454" s="89"/>
      <c r="AQ454" s="89"/>
      <c r="AR454" s="89"/>
      <c r="AS454" s="89"/>
      <c r="AT454" s="89"/>
      <c r="AU454" s="89"/>
      <c r="AV454" s="89"/>
      <c r="AW454" s="89"/>
      <c r="AX454" s="89"/>
      <c r="AY454" s="89"/>
      <c r="AZ454" s="89"/>
      <c r="BA454" s="95"/>
    </row>
    <row r="455" spans="1:53" s="87" customFormat="1">
      <c r="A455" s="90" t="str">
        <f t="shared" si="31"/>
        <v/>
      </c>
      <c r="B455" s="89">
        <v>5</v>
      </c>
      <c r="C455" s="89">
        <v>7</v>
      </c>
      <c r="D455" s="89">
        <v>1</v>
      </c>
      <c r="E455" s="89">
        <v>6</v>
      </c>
      <c r="F455" s="89">
        <v>10</v>
      </c>
      <c r="G455" s="89">
        <v>-2</v>
      </c>
      <c r="H455" s="89">
        <v>-5</v>
      </c>
      <c r="I455" s="89">
        <v>-9</v>
      </c>
      <c r="J455" s="89">
        <v>-4</v>
      </c>
      <c r="K455" s="89">
        <v>-6</v>
      </c>
      <c r="L455" s="89">
        <v>3</v>
      </c>
      <c r="M455" s="89">
        <v>8</v>
      </c>
      <c r="N455" s="89">
        <v>5</v>
      </c>
      <c r="O455" s="89">
        <v>-10</v>
      </c>
      <c r="P455" s="89">
        <v>-6</v>
      </c>
      <c r="Q455" s="89">
        <v>-7</v>
      </c>
      <c r="R455" s="89">
        <v>9</v>
      </c>
      <c r="S455" s="89">
        <v>-1</v>
      </c>
      <c r="T455" s="89">
        <v>2</v>
      </c>
      <c r="U455" s="89" t="s">
        <v>202</v>
      </c>
      <c r="V455" s="89">
        <v>-3</v>
      </c>
      <c r="W455" s="89">
        <v>4</v>
      </c>
      <c r="X455" s="89"/>
      <c r="Y455" s="89"/>
      <c r="Z455" s="89"/>
      <c r="AA455" s="89"/>
      <c r="AB455" s="89"/>
      <c r="AC455" s="89"/>
      <c r="AD455" s="89"/>
      <c r="AE455" s="89"/>
      <c r="AF455" s="89"/>
      <c r="AG455" s="89"/>
      <c r="AH455" s="89"/>
      <c r="AI455" s="89"/>
      <c r="AJ455" s="89"/>
      <c r="AK455" s="89"/>
      <c r="AL455" s="89"/>
      <c r="AM455" s="89"/>
      <c r="AN455" s="89"/>
      <c r="AO455" s="89"/>
      <c r="AP455" s="89"/>
      <c r="AQ455" s="89"/>
      <c r="AR455" s="89"/>
      <c r="AS455" s="89"/>
      <c r="AT455" s="89"/>
      <c r="AU455" s="89"/>
      <c r="AV455" s="89"/>
      <c r="AW455" s="89"/>
      <c r="AX455" s="89"/>
      <c r="AY455" s="89"/>
      <c r="AZ455" s="89"/>
      <c r="BA455" s="95"/>
    </row>
    <row r="456" spans="1:53" s="87" customFormat="1">
      <c r="A456" s="90" t="str">
        <f t="shared" si="31"/>
        <v/>
      </c>
      <c r="B456" s="89">
        <v>6</v>
      </c>
      <c r="C456" s="89">
        <v>8</v>
      </c>
      <c r="D456" s="89">
        <v>3</v>
      </c>
      <c r="E456" s="89">
        <v>4</v>
      </c>
      <c r="F456" s="89">
        <v>7</v>
      </c>
      <c r="G456" s="89">
        <v>10</v>
      </c>
      <c r="H456" s="89">
        <v>-2</v>
      </c>
      <c r="I456" s="89">
        <v>6</v>
      </c>
      <c r="J456" s="89">
        <v>-5</v>
      </c>
      <c r="K456" s="89">
        <v>-3</v>
      </c>
      <c r="L456" s="89">
        <v>1</v>
      </c>
      <c r="M456" s="89">
        <v>4</v>
      </c>
      <c r="N456" s="89">
        <v>-6</v>
      </c>
      <c r="O456" s="89">
        <v>-8</v>
      </c>
      <c r="P456" s="89">
        <v>2</v>
      </c>
      <c r="Q456" s="89">
        <v>-10</v>
      </c>
      <c r="R456" s="89">
        <v>5</v>
      </c>
      <c r="S456" s="89">
        <v>-7</v>
      </c>
      <c r="T456" s="89">
        <v>-9</v>
      </c>
      <c r="U456" s="89">
        <v>-1</v>
      </c>
      <c r="V456" s="89" t="s">
        <v>202</v>
      </c>
      <c r="W456" s="89">
        <v>-4</v>
      </c>
      <c r="X456" s="89"/>
      <c r="Y456" s="89"/>
      <c r="Z456" s="89"/>
      <c r="AA456" s="89"/>
      <c r="AB456" s="89"/>
      <c r="AC456" s="89"/>
      <c r="AD456" s="89"/>
      <c r="AE456" s="89"/>
      <c r="AF456" s="89"/>
      <c r="AG456" s="89"/>
      <c r="AH456" s="89"/>
      <c r="AI456" s="89"/>
      <c r="AJ456" s="89"/>
      <c r="AK456" s="89"/>
      <c r="AL456" s="89"/>
      <c r="AM456" s="89"/>
      <c r="AN456" s="89"/>
      <c r="AO456" s="89"/>
      <c r="AP456" s="89"/>
      <c r="AQ456" s="89"/>
      <c r="AR456" s="89"/>
      <c r="AS456" s="89"/>
      <c r="AT456" s="89"/>
      <c r="AU456" s="89"/>
      <c r="AV456" s="89"/>
      <c r="AW456" s="89"/>
      <c r="AX456" s="89"/>
      <c r="AY456" s="89"/>
      <c r="AZ456" s="89"/>
      <c r="BA456" s="95"/>
    </row>
    <row r="457" spans="1:53" s="87" customFormat="1">
      <c r="A457" s="90" t="str">
        <f t="shared" si="31"/>
        <v/>
      </c>
      <c r="B457" s="89">
        <v>7</v>
      </c>
      <c r="C457" s="89">
        <v>1</v>
      </c>
      <c r="D457" s="89">
        <v>4</v>
      </c>
      <c r="E457" s="89">
        <v>-9</v>
      </c>
      <c r="F457" s="89">
        <v>5</v>
      </c>
      <c r="G457" s="89">
        <v>6</v>
      </c>
      <c r="H457" s="89">
        <v>-3</v>
      </c>
      <c r="I457" s="89">
        <v>7</v>
      </c>
      <c r="J457" s="89">
        <v>-10</v>
      </c>
      <c r="K457" s="89">
        <v>2</v>
      </c>
      <c r="L457" s="89">
        <v>-1</v>
      </c>
      <c r="M457" s="89">
        <v>9</v>
      </c>
      <c r="N457" s="89">
        <v>3</v>
      </c>
      <c r="O457" s="89">
        <v>10</v>
      </c>
      <c r="P457" s="89">
        <v>-8</v>
      </c>
      <c r="Q457" s="89" t="s">
        <v>202</v>
      </c>
      <c r="R457" s="89">
        <v>-4</v>
      </c>
      <c r="S457" s="89">
        <v>-2</v>
      </c>
      <c r="T457" s="89">
        <v>1</v>
      </c>
      <c r="U457" s="89">
        <v>-5</v>
      </c>
      <c r="V457" s="89">
        <v>-6</v>
      </c>
      <c r="W457" s="89">
        <v>-7</v>
      </c>
      <c r="X457" s="89"/>
      <c r="Y457" s="89"/>
      <c r="Z457" s="89"/>
      <c r="AA457" s="89"/>
      <c r="AB457" s="89"/>
      <c r="AC457" s="89"/>
      <c r="AD457" s="89"/>
      <c r="AE457" s="89"/>
      <c r="AF457" s="89"/>
      <c r="AG457" s="89"/>
      <c r="AH457" s="89"/>
      <c r="AI457" s="89"/>
      <c r="AJ457" s="89"/>
      <c r="AK457" s="89"/>
      <c r="AL457" s="89"/>
      <c r="AM457" s="89"/>
      <c r="AN457" s="89"/>
      <c r="AO457" s="89"/>
      <c r="AP457" s="89"/>
      <c r="AQ457" s="89"/>
      <c r="AR457" s="89"/>
      <c r="AS457" s="89"/>
      <c r="AT457" s="89"/>
      <c r="AU457" s="89"/>
      <c r="AV457" s="89"/>
      <c r="AW457" s="89"/>
      <c r="AX457" s="89"/>
      <c r="AY457" s="89"/>
      <c r="AZ457" s="89"/>
      <c r="BA457" s="95"/>
    </row>
    <row r="458" spans="1:53" s="87" customFormat="1">
      <c r="A458" s="90" t="str">
        <f t="shared" si="31"/>
        <v/>
      </c>
      <c r="B458" s="89">
        <v>8</v>
      </c>
      <c r="C458" s="89">
        <v>-7</v>
      </c>
      <c r="D458" s="89">
        <v>-3</v>
      </c>
      <c r="E458" s="89">
        <v>-1</v>
      </c>
      <c r="F458" s="89">
        <v>-2</v>
      </c>
      <c r="G458" s="89">
        <v>9</v>
      </c>
      <c r="H458" s="89">
        <v>10</v>
      </c>
      <c r="I458" s="89">
        <v>-4</v>
      </c>
      <c r="J458" s="89">
        <v>8</v>
      </c>
      <c r="K458" s="89">
        <v>1</v>
      </c>
      <c r="L458" s="89">
        <v>5</v>
      </c>
      <c r="M458" s="89">
        <v>-7</v>
      </c>
      <c r="N458" s="89" t="s">
        <v>202</v>
      </c>
      <c r="O458" s="89">
        <v>2</v>
      </c>
      <c r="P458" s="89">
        <v>3</v>
      </c>
      <c r="Q458" s="89">
        <v>-8</v>
      </c>
      <c r="R458" s="89">
        <v>-10</v>
      </c>
      <c r="S458" s="89">
        <v>-9</v>
      </c>
      <c r="T458" s="89">
        <v>4</v>
      </c>
      <c r="U458" s="89">
        <v>6</v>
      </c>
      <c r="V458" s="89">
        <v>-5</v>
      </c>
      <c r="W458" s="89">
        <v>7</v>
      </c>
      <c r="X458" s="89"/>
      <c r="Y458" s="89"/>
      <c r="Z458" s="89"/>
      <c r="AA458" s="89"/>
      <c r="AB458" s="89"/>
      <c r="AC458" s="89"/>
      <c r="AD458" s="89"/>
      <c r="AE458" s="89"/>
      <c r="AF458" s="89"/>
      <c r="AG458" s="89"/>
      <c r="AH458" s="89"/>
      <c r="AI458" s="89"/>
      <c r="AJ458" s="89"/>
      <c r="AK458" s="89"/>
      <c r="AL458" s="89"/>
      <c r="AM458" s="89"/>
      <c r="AN458" s="89"/>
      <c r="AO458" s="89"/>
      <c r="AP458" s="89"/>
      <c r="AQ458" s="89"/>
      <c r="AR458" s="89"/>
      <c r="AS458" s="89"/>
      <c r="AT458" s="89"/>
      <c r="AU458" s="89"/>
      <c r="AV458" s="89"/>
      <c r="AW458" s="89"/>
      <c r="AX458" s="89"/>
      <c r="AY458" s="89"/>
      <c r="AZ458" s="89"/>
      <c r="BA458" s="95"/>
    </row>
    <row r="459" spans="1:53" s="87" customFormat="1">
      <c r="A459" s="90" t="str">
        <f t="shared" si="31"/>
        <v/>
      </c>
      <c r="B459" s="89">
        <v>9</v>
      </c>
      <c r="C459" s="89">
        <v>-9</v>
      </c>
      <c r="D459" s="89">
        <v>-8</v>
      </c>
      <c r="E459" s="89">
        <v>-6</v>
      </c>
      <c r="F459" s="89">
        <v>-7</v>
      </c>
      <c r="G459" s="89">
        <v>3</v>
      </c>
      <c r="H459" s="89">
        <v>4</v>
      </c>
      <c r="I459" s="89">
        <v>8</v>
      </c>
      <c r="J459" s="89">
        <v>-1</v>
      </c>
      <c r="K459" s="89">
        <v>-2</v>
      </c>
      <c r="L459" s="89">
        <v>7</v>
      </c>
      <c r="M459" s="89">
        <v>-10</v>
      </c>
      <c r="N459" s="89">
        <v>-8</v>
      </c>
      <c r="O459" s="89">
        <v>9</v>
      </c>
      <c r="P459" s="89" t="s">
        <v>202</v>
      </c>
      <c r="Q459" s="89">
        <v>2</v>
      </c>
      <c r="R459" s="89">
        <v>1</v>
      </c>
      <c r="S459" s="89">
        <v>6</v>
      </c>
      <c r="T459" s="89">
        <v>10</v>
      </c>
      <c r="U459" s="89">
        <v>-4</v>
      </c>
      <c r="V459" s="89">
        <v>5</v>
      </c>
      <c r="W459" s="89">
        <v>-3</v>
      </c>
      <c r="X459" s="89"/>
      <c r="Y459" s="89"/>
      <c r="Z459" s="89"/>
      <c r="AA459" s="89"/>
      <c r="AB459" s="89"/>
      <c r="AC459" s="89"/>
      <c r="AD459" s="89"/>
      <c r="AE459" s="89"/>
      <c r="AF459" s="89"/>
      <c r="AG459" s="89"/>
      <c r="AH459" s="89"/>
      <c r="AI459" s="89"/>
      <c r="AJ459" s="89"/>
      <c r="AK459" s="89"/>
      <c r="AL459" s="89"/>
      <c r="AM459" s="89"/>
      <c r="AN459" s="89"/>
      <c r="AO459" s="89"/>
      <c r="AP459" s="89"/>
      <c r="AQ459" s="89"/>
      <c r="AR459" s="89"/>
      <c r="AS459" s="89"/>
      <c r="AT459" s="89"/>
      <c r="AU459" s="89"/>
      <c r="AV459" s="89"/>
      <c r="AW459" s="89"/>
      <c r="AX459" s="89"/>
      <c r="AY459" s="89"/>
      <c r="AZ459" s="89"/>
      <c r="BA459" s="95"/>
    </row>
    <row r="460" spans="1:53" s="87" customFormat="1">
      <c r="A460" s="90" t="str">
        <f t="shared" ref="A460:A523" si="32">IF(MID(B460,3,2)="10",ROW(),"")</f>
        <v/>
      </c>
      <c r="B460" s="89">
        <v>10</v>
      </c>
      <c r="C460" s="89">
        <v>5</v>
      </c>
      <c r="D460" s="89">
        <v>2</v>
      </c>
      <c r="E460" s="89">
        <v>8</v>
      </c>
      <c r="F460" s="89">
        <v>4</v>
      </c>
      <c r="G460" s="89">
        <v>-10</v>
      </c>
      <c r="H460" s="89">
        <v>6</v>
      </c>
      <c r="I460" s="89">
        <v>9</v>
      </c>
      <c r="J460" s="89">
        <v>-3</v>
      </c>
      <c r="K460" s="89">
        <v>-8</v>
      </c>
      <c r="L460" s="89">
        <v>-2</v>
      </c>
      <c r="M460" s="89">
        <v>1</v>
      </c>
      <c r="N460" s="89">
        <v>-9</v>
      </c>
      <c r="O460" s="89" t="s">
        <v>202</v>
      </c>
      <c r="P460" s="89">
        <v>10</v>
      </c>
      <c r="Q460" s="89">
        <v>-5</v>
      </c>
      <c r="R460" s="89">
        <v>-8</v>
      </c>
      <c r="S460" s="89">
        <v>-4</v>
      </c>
      <c r="T460" s="89">
        <v>-1</v>
      </c>
      <c r="U460" s="89">
        <v>-6</v>
      </c>
      <c r="V460" s="89">
        <v>7</v>
      </c>
      <c r="W460" s="89">
        <v>3</v>
      </c>
      <c r="X460" s="89"/>
      <c r="Y460" s="89"/>
      <c r="Z460" s="89"/>
      <c r="AA460" s="89"/>
      <c r="AB460" s="89"/>
      <c r="AC460" s="89"/>
      <c r="AD460" s="89"/>
      <c r="AE460" s="89"/>
      <c r="AF460" s="89"/>
      <c r="AG460" s="89"/>
      <c r="AH460" s="89"/>
      <c r="AI460" s="89"/>
      <c r="AJ460" s="89"/>
      <c r="AK460" s="89"/>
      <c r="AL460" s="89"/>
      <c r="AM460" s="89"/>
      <c r="AN460" s="89"/>
      <c r="AO460" s="89"/>
      <c r="AP460" s="89"/>
      <c r="AQ460" s="89"/>
      <c r="AR460" s="89"/>
      <c r="AS460" s="89"/>
      <c r="AT460" s="89"/>
      <c r="AU460" s="89"/>
      <c r="AV460" s="89"/>
      <c r="AW460" s="89"/>
      <c r="AX460" s="89"/>
      <c r="AY460" s="89"/>
      <c r="AZ460" s="89"/>
      <c r="BA460" s="95"/>
    </row>
    <row r="461" spans="1:53" s="87" customFormat="1">
      <c r="A461" s="90" t="str">
        <f t="shared" si="32"/>
        <v/>
      </c>
      <c r="B461" s="89">
        <v>11</v>
      </c>
      <c r="C461" s="89">
        <v>-6</v>
      </c>
      <c r="D461" s="89">
        <v>-9</v>
      </c>
      <c r="E461" s="89">
        <v>-5</v>
      </c>
      <c r="F461" s="89">
        <v>-1</v>
      </c>
      <c r="G461" s="89">
        <v>2</v>
      </c>
      <c r="H461" s="89">
        <v>3</v>
      </c>
      <c r="I461" s="89">
        <v>10</v>
      </c>
      <c r="J461" s="89">
        <v>-8</v>
      </c>
      <c r="K461" s="89">
        <v>9</v>
      </c>
      <c r="L461" s="89" t="s">
        <v>202</v>
      </c>
      <c r="M461" s="89">
        <v>-5</v>
      </c>
      <c r="N461" s="89">
        <v>7</v>
      </c>
      <c r="O461" s="89">
        <v>1</v>
      </c>
      <c r="P461" s="89">
        <v>-2</v>
      </c>
      <c r="Q461" s="89">
        <v>4</v>
      </c>
      <c r="R461" s="89">
        <v>6</v>
      </c>
      <c r="S461" s="89">
        <v>5</v>
      </c>
      <c r="T461" s="89">
        <v>-10</v>
      </c>
      <c r="U461" s="89">
        <v>-3</v>
      </c>
      <c r="V461" s="89">
        <v>-7</v>
      </c>
      <c r="W461" s="89">
        <v>8</v>
      </c>
      <c r="X461" s="89"/>
      <c r="Y461" s="89"/>
      <c r="Z461" s="89"/>
      <c r="AA461" s="89"/>
      <c r="AB461" s="89"/>
      <c r="AC461" s="89"/>
      <c r="AD461" s="89"/>
      <c r="AE461" s="89"/>
      <c r="AF461" s="89"/>
      <c r="AG461" s="89"/>
      <c r="AH461" s="89"/>
      <c r="AI461" s="89"/>
      <c r="AJ461" s="89"/>
      <c r="AK461" s="89"/>
      <c r="AL461" s="89"/>
      <c r="AM461" s="89"/>
      <c r="AN461" s="89"/>
      <c r="AO461" s="89"/>
      <c r="AP461" s="89"/>
      <c r="AQ461" s="89"/>
      <c r="AR461" s="89"/>
      <c r="AS461" s="89"/>
      <c r="AT461" s="89"/>
      <c r="AU461" s="89"/>
      <c r="AV461" s="89"/>
      <c r="AW461" s="89"/>
      <c r="AX461" s="89"/>
      <c r="AY461" s="89"/>
      <c r="AZ461" s="89"/>
      <c r="BA461" s="95"/>
    </row>
    <row r="462" spans="1:53" s="87" customFormat="1">
      <c r="A462" s="90" t="str">
        <f t="shared" si="32"/>
        <v/>
      </c>
      <c r="B462" s="89">
        <v>12</v>
      </c>
      <c r="C462" s="89">
        <v>3</v>
      </c>
      <c r="D462" s="89">
        <v>-4</v>
      </c>
      <c r="E462" s="89">
        <v>-7</v>
      </c>
      <c r="F462" s="89">
        <v>-10</v>
      </c>
      <c r="G462" s="89">
        <v>8</v>
      </c>
      <c r="H462" s="89">
        <v>2</v>
      </c>
      <c r="I462" s="89">
        <v>-1</v>
      </c>
      <c r="J462" s="89">
        <v>-9</v>
      </c>
      <c r="K462" s="89">
        <v>7</v>
      </c>
      <c r="L462" s="89">
        <v>-6</v>
      </c>
      <c r="M462" s="89" t="s">
        <v>202</v>
      </c>
      <c r="N462" s="89">
        <v>-4</v>
      </c>
      <c r="O462" s="89">
        <v>-3</v>
      </c>
      <c r="P462" s="89">
        <v>5</v>
      </c>
      <c r="Q462" s="89">
        <v>-2</v>
      </c>
      <c r="R462" s="89">
        <v>10</v>
      </c>
      <c r="S462" s="89">
        <v>4</v>
      </c>
      <c r="T462" s="89">
        <v>6</v>
      </c>
      <c r="U462" s="89">
        <v>9</v>
      </c>
      <c r="V462" s="89">
        <v>1</v>
      </c>
      <c r="W462" s="89">
        <v>-8</v>
      </c>
      <c r="X462" s="89"/>
      <c r="Y462" s="89"/>
      <c r="Z462" s="89"/>
      <c r="AA462" s="89"/>
      <c r="AB462" s="89"/>
      <c r="AC462" s="89"/>
      <c r="AD462" s="89"/>
      <c r="AE462" s="89"/>
      <c r="AF462" s="89"/>
      <c r="AG462" s="89"/>
      <c r="AH462" s="89"/>
      <c r="AI462" s="89"/>
      <c r="AJ462" s="89"/>
      <c r="AK462" s="89"/>
      <c r="AL462" s="89"/>
      <c r="AM462" s="89"/>
      <c r="AN462" s="89"/>
      <c r="AO462" s="89"/>
      <c r="AP462" s="89"/>
      <c r="AQ462" s="89"/>
      <c r="AR462" s="89"/>
      <c r="AS462" s="89"/>
      <c r="AT462" s="89"/>
      <c r="AU462" s="89"/>
      <c r="AV462" s="89"/>
      <c r="AW462" s="89"/>
      <c r="AX462" s="89"/>
      <c r="AY462" s="89"/>
      <c r="AZ462" s="89"/>
      <c r="BA462" s="95"/>
    </row>
    <row r="463" spans="1:53" s="87" customFormat="1">
      <c r="A463" s="90" t="str">
        <f t="shared" si="32"/>
        <v/>
      </c>
      <c r="B463" s="89">
        <v>13</v>
      </c>
      <c r="C463" s="89">
        <v>-5</v>
      </c>
      <c r="D463" s="89">
        <v>-7</v>
      </c>
      <c r="E463" s="89">
        <v>-10</v>
      </c>
      <c r="F463" s="89">
        <v>8</v>
      </c>
      <c r="G463" s="89">
        <v>-9</v>
      </c>
      <c r="H463" s="89">
        <v>1</v>
      </c>
      <c r="I463" s="89" t="s">
        <v>202</v>
      </c>
      <c r="J463" s="89">
        <v>6</v>
      </c>
      <c r="K463" s="89">
        <v>-4</v>
      </c>
      <c r="L463" s="89">
        <v>-8</v>
      </c>
      <c r="M463" s="89">
        <v>-2</v>
      </c>
      <c r="N463" s="89">
        <v>-5</v>
      </c>
      <c r="O463" s="89">
        <v>7</v>
      </c>
      <c r="P463" s="89">
        <v>9</v>
      </c>
      <c r="Q463" s="89">
        <v>10</v>
      </c>
      <c r="R463" s="89">
        <v>4</v>
      </c>
      <c r="S463" s="89">
        <v>-6</v>
      </c>
      <c r="T463" s="89">
        <v>5</v>
      </c>
      <c r="U463" s="89">
        <v>3</v>
      </c>
      <c r="V463" s="89">
        <v>-1</v>
      </c>
      <c r="W463" s="89">
        <v>2</v>
      </c>
      <c r="X463" s="89"/>
      <c r="Y463" s="89"/>
      <c r="Z463" s="89"/>
      <c r="AA463" s="89"/>
      <c r="AB463" s="89"/>
      <c r="AC463" s="89"/>
      <c r="AD463" s="89"/>
      <c r="AE463" s="89"/>
      <c r="AF463" s="89"/>
      <c r="AG463" s="89"/>
      <c r="AH463" s="89"/>
      <c r="AI463" s="89"/>
      <c r="AJ463" s="89"/>
      <c r="AK463" s="89"/>
      <c r="AL463" s="89"/>
      <c r="AM463" s="89"/>
      <c r="AN463" s="89"/>
      <c r="AO463" s="89"/>
      <c r="AP463" s="89"/>
      <c r="AQ463" s="89"/>
      <c r="AR463" s="89"/>
      <c r="AS463" s="89"/>
      <c r="AT463" s="89"/>
      <c r="AU463" s="89"/>
      <c r="AV463" s="89"/>
      <c r="AW463" s="89"/>
      <c r="AX463" s="89"/>
      <c r="AY463" s="89"/>
      <c r="AZ463" s="89"/>
      <c r="BA463" s="95"/>
    </row>
    <row r="464" spans="1:53" s="87" customFormat="1">
      <c r="A464" s="90" t="str">
        <f t="shared" si="32"/>
        <v/>
      </c>
      <c r="B464" s="89">
        <v>14</v>
      </c>
      <c r="C464" s="89">
        <v>-8</v>
      </c>
      <c r="D464" s="89">
        <v>-1</v>
      </c>
      <c r="E464" s="89">
        <v>9</v>
      </c>
      <c r="F464" s="89">
        <v>3</v>
      </c>
      <c r="G464" s="89" t="s">
        <v>202</v>
      </c>
      <c r="H464" s="89">
        <v>-4</v>
      </c>
      <c r="I464" s="89">
        <v>2</v>
      </c>
      <c r="J464" s="89">
        <v>-7</v>
      </c>
      <c r="K464" s="89">
        <v>8</v>
      </c>
      <c r="L464" s="89">
        <v>10</v>
      </c>
      <c r="M464" s="89">
        <v>6</v>
      </c>
      <c r="N464" s="89">
        <v>1</v>
      </c>
      <c r="O464" s="89">
        <v>-5</v>
      </c>
      <c r="P464" s="89">
        <v>4</v>
      </c>
      <c r="Q464" s="89">
        <v>8</v>
      </c>
      <c r="R464" s="89">
        <v>-6</v>
      </c>
      <c r="S464" s="89">
        <v>-3</v>
      </c>
      <c r="T464" s="89">
        <v>7</v>
      </c>
      <c r="U464" s="89">
        <v>-9</v>
      </c>
      <c r="V464" s="89">
        <v>-10</v>
      </c>
      <c r="W464" s="89">
        <v>-2</v>
      </c>
      <c r="X464" s="89"/>
      <c r="Y464" s="89"/>
      <c r="Z464" s="89"/>
      <c r="AA464" s="89"/>
      <c r="AB464" s="89"/>
      <c r="AC464" s="89"/>
      <c r="AD464" s="89"/>
      <c r="AE464" s="89"/>
      <c r="AF464" s="89"/>
      <c r="AG464" s="89"/>
      <c r="AH464" s="89"/>
      <c r="AI464" s="89"/>
      <c r="AJ464" s="89"/>
      <c r="AK464" s="89"/>
      <c r="AL464" s="89"/>
      <c r="AM464" s="89"/>
      <c r="AN464" s="89"/>
      <c r="AO464" s="89"/>
      <c r="AP464" s="89"/>
      <c r="AQ464" s="89"/>
      <c r="AR464" s="89"/>
      <c r="AS464" s="89"/>
      <c r="AT464" s="89"/>
      <c r="AU464" s="89"/>
      <c r="AV464" s="89"/>
      <c r="AW464" s="89"/>
      <c r="AX464" s="89"/>
      <c r="AY464" s="89"/>
      <c r="AZ464" s="89"/>
      <c r="BA464" s="95"/>
    </row>
    <row r="465" spans="1:53" s="87" customFormat="1">
      <c r="A465" s="90" t="str">
        <f t="shared" si="32"/>
        <v/>
      </c>
      <c r="B465" s="89">
        <v>15</v>
      </c>
      <c r="C465" s="89" t="s">
        <v>202</v>
      </c>
      <c r="D465" s="89">
        <v>7</v>
      </c>
      <c r="E465" s="89">
        <v>2</v>
      </c>
      <c r="F465" s="89">
        <v>9</v>
      </c>
      <c r="G465" s="89">
        <v>-1</v>
      </c>
      <c r="H465" s="89">
        <v>-8</v>
      </c>
      <c r="I465" s="89">
        <v>3</v>
      </c>
      <c r="J465" s="89">
        <v>5</v>
      </c>
      <c r="K465" s="89">
        <v>6</v>
      </c>
      <c r="L465" s="89">
        <v>-7</v>
      </c>
      <c r="M465" s="89">
        <v>-9</v>
      </c>
      <c r="N465" s="89">
        <v>-10</v>
      </c>
      <c r="O465" s="89">
        <v>4</v>
      </c>
      <c r="P465" s="89">
        <v>-3</v>
      </c>
      <c r="Q465" s="89">
        <v>1</v>
      </c>
      <c r="R465" s="89">
        <v>8</v>
      </c>
      <c r="S465" s="89">
        <v>-5</v>
      </c>
      <c r="T465" s="89">
        <v>-6</v>
      </c>
      <c r="U465" s="89">
        <v>-2</v>
      </c>
      <c r="V465" s="89">
        <v>10</v>
      </c>
      <c r="W465" s="89">
        <v>-9</v>
      </c>
      <c r="X465" s="89"/>
      <c r="Y465" s="89"/>
      <c r="Z465" s="89"/>
      <c r="AA465" s="89"/>
      <c r="AB465" s="89"/>
      <c r="AC465" s="89"/>
      <c r="AD465" s="89"/>
      <c r="AE465" s="89"/>
      <c r="AF465" s="89"/>
      <c r="AG465" s="89"/>
      <c r="AH465" s="89"/>
      <c r="AI465" s="89"/>
      <c r="AJ465" s="89"/>
      <c r="AK465" s="89"/>
      <c r="AL465" s="89"/>
      <c r="AM465" s="89"/>
      <c r="AN465" s="89"/>
      <c r="AO465" s="89"/>
      <c r="AP465" s="89"/>
      <c r="AQ465" s="89"/>
      <c r="AR465" s="89"/>
      <c r="AS465" s="89"/>
      <c r="AT465" s="89"/>
      <c r="AU465" s="89"/>
      <c r="AV465" s="89"/>
      <c r="AW465" s="89"/>
      <c r="AX465" s="89"/>
      <c r="AY465" s="89"/>
      <c r="AZ465" s="89"/>
      <c r="BA465" s="95"/>
    </row>
    <row r="466" spans="1:53" s="87" customFormat="1">
      <c r="A466" s="90" t="str">
        <f t="shared" si="32"/>
        <v/>
      </c>
      <c r="B466" s="89">
        <v>16</v>
      </c>
      <c r="C466" s="89">
        <v>-2</v>
      </c>
      <c r="D466" s="89">
        <v>8</v>
      </c>
      <c r="E466" s="89">
        <v>1</v>
      </c>
      <c r="F466" s="89">
        <v>6</v>
      </c>
      <c r="G466" s="89">
        <v>5</v>
      </c>
      <c r="H466" s="89">
        <v>-9</v>
      </c>
      <c r="I466" s="89">
        <v>-10</v>
      </c>
      <c r="J466" s="89" t="s">
        <v>202</v>
      </c>
      <c r="K466" s="89">
        <v>-7</v>
      </c>
      <c r="L466" s="89">
        <v>2</v>
      </c>
      <c r="M466" s="89">
        <v>-4</v>
      </c>
      <c r="N466" s="89">
        <v>-3</v>
      </c>
      <c r="O466" s="89">
        <v>-6</v>
      </c>
      <c r="P466" s="89">
        <v>-1</v>
      </c>
      <c r="Q466" s="89">
        <v>7</v>
      </c>
      <c r="R466" s="89">
        <v>2</v>
      </c>
      <c r="S466" s="89">
        <v>3</v>
      </c>
      <c r="T466" s="89">
        <v>-5</v>
      </c>
      <c r="U466" s="89">
        <v>10</v>
      </c>
      <c r="V466" s="89">
        <v>-8</v>
      </c>
      <c r="W466" s="89">
        <v>9</v>
      </c>
      <c r="X466" s="89"/>
      <c r="Y466" s="89"/>
      <c r="Z466" s="89"/>
      <c r="AA466" s="89"/>
      <c r="AB466" s="89"/>
      <c r="AC466" s="89"/>
      <c r="AD466" s="89"/>
      <c r="AE466" s="89"/>
      <c r="AF466" s="89"/>
      <c r="AG466" s="89"/>
      <c r="AH466" s="89"/>
      <c r="AI466" s="89"/>
      <c r="AJ466" s="89"/>
      <c r="AK466" s="89"/>
      <c r="AL466" s="89"/>
      <c r="AM466" s="89"/>
      <c r="AN466" s="89"/>
      <c r="AO466" s="89"/>
      <c r="AP466" s="89"/>
      <c r="AQ466" s="89"/>
      <c r="AR466" s="89"/>
      <c r="AS466" s="89"/>
      <c r="AT466" s="89"/>
      <c r="AU466" s="89"/>
      <c r="AV466" s="89"/>
      <c r="AW466" s="89"/>
      <c r="AX466" s="89"/>
      <c r="AY466" s="89"/>
      <c r="AZ466" s="89"/>
      <c r="BA466" s="95"/>
    </row>
    <row r="467" spans="1:53" s="87" customFormat="1">
      <c r="A467" s="90" t="str">
        <f t="shared" si="32"/>
        <v/>
      </c>
      <c r="B467" s="89">
        <v>17</v>
      </c>
      <c r="C467" s="89">
        <v>4</v>
      </c>
      <c r="D467" s="89">
        <v>-2</v>
      </c>
      <c r="E467" s="89">
        <v>-3</v>
      </c>
      <c r="F467" s="89">
        <v>-8</v>
      </c>
      <c r="G467" s="89">
        <v>-6</v>
      </c>
      <c r="H467" s="89" t="s">
        <v>202</v>
      </c>
      <c r="I467" s="89">
        <v>5</v>
      </c>
      <c r="J467" s="89">
        <v>1</v>
      </c>
      <c r="K467" s="89">
        <v>-9</v>
      </c>
      <c r="L467" s="89">
        <v>-4</v>
      </c>
      <c r="M467" s="89">
        <v>7</v>
      </c>
      <c r="N467" s="89">
        <v>2</v>
      </c>
      <c r="O467" s="89">
        <v>3</v>
      </c>
      <c r="P467" s="89">
        <v>6</v>
      </c>
      <c r="Q467" s="89">
        <v>9</v>
      </c>
      <c r="R467" s="89">
        <v>-5</v>
      </c>
      <c r="S467" s="89">
        <v>-10</v>
      </c>
      <c r="T467" s="89">
        <v>-7</v>
      </c>
      <c r="U467" s="89">
        <v>2</v>
      </c>
      <c r="V467" s="89">
        <v>8</v>
      </c>
      <c r="W467" s="89">
        <v>-1</v>
      </c>
      <c r="X467" s="89"/>
      <c r="Y467" s="89"/>
      <c r="Z467" s="89"/>
      <c r="AA467" s="89"/>
      <c r="AB467" s="89"/>
      <c r="AC467" s="89"/>
      <c r="AD467" s="89"/>
      <c r="AE467" s="89"/>
      <c r="AF467" s="89"/>
      <c r="AG467" s="89"/>
      <c r="AH467" s="89"/>
      <c r="AI467" s="89"/>
      <c r="AJ467" s="89"/>
      <c r="AK467" s="89"/>
      <c r="AL467" s="89"/>
      <c r="AM467" s="89"/>
      <c r="AN467" s="89"/>
      <c r="AO467" s="89"/>
      <c r="AP467" s="89"/>
      <c r="AQ467" s="89"/>
      <c r="AR467" s="89"/>
      <c r="AS467" s="89"/>
      <c r="AT467" s="89"/>
      <c r="AU467" s="89"/>
      <c r="AV467" s="89"/>
      <c r="AW467" s="89"/>
      <c r="AX467" s="89"/>
      <c r="AY467" s="89"/>
      <c r="AZ467" s="89"/>
      <c r="BA467" s="95"/>
    </row>
    <row r="468" spans="1:53" s="87" customFormat="1">
      <c r="A468" s="90" t="str">
        <f t="shared" si="32"/>
        <v/>
      </c>
      <c r="B468" s="89">
        <v>18</v>
      </c>
      <c r="C468" s="89">
        <v>9</v>
      </c>
      <c r="D468" s="89">
        <v>5</v>
      </c>
      <c r="E468" s="89">
        <v>-8</v>
      </c>
      <c r="F468" s="89" t="s">
        <v>202</v>
      </c>
      <c r="G468" s="89">
        <v>4</v>
      </c>
      <c r="H468" s="89">
        <v>-1</v>
      </c>
      <c r="I468" s="89">
        <v>-2</v>
      </c>
      <c r="J468" s="89">
        <v>9</v>
      </c>
      <c r="K468" s="89">
        <v>10</v>
      </c>
      <c r="L468" s="89">
        <v>-5</v>
      </c>
      <c r="M468" s="89">
        <v>3</v>
      </c>
      <c r="N468" s="89">
        <v>-7</v>
      </c>
      <c r="O468" s="89">
        <v>-4</v>
      </c>
      <c r="P468" s="89">
        <v>8</v>
      </c>
      <c r="Q468" s="89">
        <v>-6</v>
      </c>
      <c r="R468" s="89">
        <v>-9</v>
      </c>
      <c r="S468" s="89">
        <v>7</v>
      </c>
      <c r="T468" s="89">
        <v>-3</v>
      </c>
      <c r="U468" s="89">
        <v>-10</v>
      </c>
      <c r="V468" s="89">
        <v>2</v>
      </c>
      <c r="W468" s="89">
        <v>1</v>
      </c>
      <c r="X468" s="89"/>
      <c r="Y468" s="89"/>
      <c r="Z468" s="89"/>
      <c r="AA468" s="89"/>
      <c r="AB468" s="89"/>
      <c r="AC468" s="89"/>
      <c r="AD468" s="89"/>
      <c r="AE468" s="89"/>
      <c r="AF468" s="89"/>
      <c r="AG468" s="89"/>
      <c r="AH468" s="89"/>
      <c r="AI468" s="89"/>
      <c r="AJ468" s="89"/>
      <c r="AK468" s="89"/>
      <c r="AL468" s="89"/>
      <c r="AM468" s="89"/>
      <c r="AN468" s="89"/>
      <c r="AO468" s="89"/>
      <c r="AP468" s="89"/>
      <c r="AQ468" s="89"/>
      <c r="AR468" s="89"/>
      <c r="AS468" s="89"/>
      <c r="AT468" s="89"/>
      <c r="AU468" s="89"/>
      <c r="AV468" s="89"/>
      <c r="AW468" s="89"/>
      <c r="AX468" s="89"/>
      <c r="AY468" s="89"/>
      <c r="AZ468" s="89"/>
      <c r="BA468" s="95"/>
    </row>
    <row r="469" spans="1:53" s="87" customFormat="1">
      <c r="A469" s="90" t="str">
        <f t="shared" si="32"/>
        <v/>
      </c>
      <c r="B469" s="89">
        <v>19</v>
      </c>
      <c r="C469" s="89">
        <v>-4</v>
      </c>
      <c r="D469" s="89">
        <v>-6</v>
      </c>
      <c r="E469" s="89" t="s">
        <v>202</v>
      </c>
      <c r="F469" s="89">
        <v>2</v>
      </c>
      <c r="G469" s="89">
        <v>-5</v>
      </c>
      <c r="H469" s="89">
        <v>-7</v>
      </c>
      <c r="I469" s="89">
        <v>-3</v>
      </c>
      <c r="J469" s="89">
        <v>10</v>
      </c>
      <c r="K469" s="89">
        <v>4</v>
      </c>
      <c r="L469" s="89">
        <v>6</v>
      </c>
      <c r="M469" s="89">
        <v>-1</v>
      </c>
      <c r="N469" s="89">
        <v>8</v>
      </c>
      <c r="O469" s="89">
        <v>5</v>
      </c>
      <c r="P469" s="89">
        <v>7</v>
      </c>
      <c r="Q469" s="89">
        <v>-4</v>
      </c>
      <c r="R469" s="89">
        <v>3</v>
      </c>
      <c r="S469" s="89">
        <v>1</v>
      </c>
      <c r="T469" s="89">
        <v>9</v>
      </c>
      <c r="U469" s="89">
        <v>-8</v>
      </c>
      <c r="V469" s="89">
        <v>-2</v>
      </c>
      <c r="W469" s="89">
        <v>-10</v>
      </c>
      <c r="X469" s="89"/>
      <c r="Y469" s="89"/>
      <c r="Z469" s="89"/>
      <c r="AA469" s="89"/>
      <c r="AB469" s="89"/>
      <c r="AC469" s="89"/>
      <c r="AD469" s="89"/>
      <c r="AE469" s="89"/>
      <c r="AF469" s="89"/>
      <c r="AG469" s="89"/>
      <c r="AH469" s="89"/>
      <c r="AI469" s="89"/>
      <c r="AJ469" s="89"/>
      <c r="AK469" s="89"/>
      <c r="AL469" s="89"/>
      <c r="AM469" s="89"/>
      <c r="AN469" s="89"/>
      <c r="AO469" s="89"/>
      <c r="AP469" s="89"/>
      <c r="AQ469" s="89"/>
      <c r="AR469" s="89"/>
      <c r="AS469" s="89"/>
      <c r="AT469" s="89"/>
      <c r="AU469" s="89"/>
      <c r="AV469" s="89"/>
      <c r="AW469" s="89"/>
      <c r="AX469" s="89"/>
      <c r="AY469" s="89"/>
      <c r="AZ469" s="89"/>
      <c r="BA469" s="95"/>
    </row>
    <row r="470" spans="1:53" s="87" customFormat="1">
      <c r="A470" s="90" t="str">
        <f t="shared" si="32"/>
        <v/>
      </c>
      <c r="B470" s="89">
        <v>20</v>
      </c>
      <c r="C470" s="89">
        <v>-10</v>
      </c>
      <c r="D470" s="89" t="s">
        <v>202</v>
      </c>
      <c r="E470" s="89">
        <v>5</v>
      </c>
      <c r="F470" s="89">
        <v>-3</v>
      </c>
      <c r="G470" s="89">
        <v>-4</v>
      </c>
      <c r="H470" s="89">
        <v>8</v>
      </c>
      <c r="I470" s="89">
        <v>-7</v>
      </c>
      <c r="J470" s="89">
        <v>-6</v>
      </c>
      <c r="K470" s="89">
        <v>-1</v>
      </c>
      <c r="L470" s="89">
        <v>4</v>
      </c>
      <c r="M470" s="89">
        <v>10</v>
      </c>
      <c r="N470" s="89">
        <v>9</v>
      </c>
      <c r="O470" s="89">
        <v>6</v>
      </c>
      <c r="P470" s="89">
        <v>-5</v>
      </c>
      <c r="Q470" s="89">
        <v>3</v>
      </c>
      <c r="R470" s="89">
        <v>7</v>
      </c>
      <c r="S470" s="89">
        <v>-8</v>
      </c>
      <c r="T470" s="89">
        <v>-2</v>
      </c>
      <c r="U470" s="89">
        <v>1</v>
      </c>
      <c r="V470" s="89">
        <v>-9</v>
      </c>
      <c r="W470" s="89">
        <v>10</v>
      </c>
      <c r="X470" s="89"/>
      <c r="Y470" s="89"/>
      <c r="Z470" s="89"/>
      <c r="AA470" s="89"/>
      <c r="AB470" s="89"/>
      <c r="AC470" s="89"/>
      <c r="AD470" s="89"/>
      <c r="AE470" s="89"/>
      <c r="AF470" s="89"/>
      <c r="AG470" s="89"/>
      <c r="AH470" s="89"/>
      <c r="AI470" s="89"/>
      <c r="AJ470" s="89"/>
      <c r="AK470" s="89"/>
      <c r="AL470" s="89"/>
      <c r="AM470" s="89"/>
      <c r="AN470" s="89"/>
      <c r="AO470" s="89"/>
      <c r="AP470" s="89"/>
      <c r="AQ470" s="89"/>
      <c r="AR470" s="89"/>
      <c r="AS470" s="89"/>
      <c r="AT470" s="89"/>
      <c r="AU470" s="89"/>
      <c r="AV470" s="89"/>
      <c r="AW470" s="89"/>
      <c r="AX470" s="89"/>
      <c r="AY470" s="89"/>
      <c r="AZ470" s="89"/>
      <c r="BA470" s="95"/>
    </row>
    <row r="471" spans="1:53" s="87" customFormat="1">
      <c r="A471" s="90" t="str">
        <f t="shared" si="32"/>
        <v/>
      </c>
      <c r="B471" s="89">
        <v>21</v>
      </c>
      <c r="C471" s="89">
        <v>6</v>
      </c>
      <c r="D471" s="89">
        <v>-10</v>
      </c>
      <c r="E471" s="89">
        <v>7</v>
      </c>
      <c r="F471" s="89">
        <v>-5</v>
      </c>
      <c r="G471" s="89">
        <v>-3</v>
      </c>
      <c r="H471" s="89">
        <v>-6</v>
      </c>
      <c r="I471" s="89">
        <v>4</v>
      </c>
      <c r="J471" s="89">
        <v>2</v>
      </c>
      <c r="K471" s="89">
        <v>5</v>
      </c>
      <c r="L471" s="89">
        <v>-9</v>
      </c>
      <c r="M471" s="89">
        <v>-8</v>
      </c>
      <c r="N471" s="89">
        <v>6</v>
      </c>
      <c r="O471" s="89">
        <v>-7</v>
      </c>
      <c r="P471" s="89">
        <v>-4</v>
      </c>
      <c r="Q471" s="89">
        <v>-1</v>
      </c>
      <c r="R471" s="89">
        <v>-2</v>
      </c>
      <c r="S471" s="89">
        <v>10</v>
      </c>
      <c r="T471" s="89">
        <v>3</v>
      </c>
      <c r="U471" s="89">
        <v>8</v>
      </c>
      <c r="V471" s="89">
        <v>9</v>
      </c>
      <c r="W471" s="89" t="s">
        <v>202</v>
      </c>
      <c r="X471" s="89"/>
      <c r="Y471" s="89"/>
      <c r="Z471" s="89"/>
      <c r="AA471" s="89"/>
      <c r="AB471" s="89"/>
      <c r="AC471" s="89"/>
      <c r="AD471" s="89"/>
      <c r="AE471" s="89"/>
      <c r="AF471" s="89"/>
      <c r="AG471" s="89"/>
      <c r="AH471" s="89"/>
      <c r="AI471" s="89"/>
      <c r="AJ471" s="89"/>
      <c r="AK471" s="89"/>
      <c r="AL471" s="89"/>
      <c r="AM471" s="89"/>
      <c r="AN471" s="89"/>
      <c r="AO471" s="89"/>
      <c r="AP471" s="89"/>
      <c r="AQ471" s="89"/>
      <c r="AR471" s="89"/>
      <c r="AS471" s="89"/>
      <c r="AT471" s="89"/>
      <c r="AU471" s="89"/>
      <c r="AV471" s="89"/>
      <c r="AW471" s="89"/>
      <c r="AX471" s="89"/>
      <c r="AY471" s="89"/>
      <c r="AZ471" s="89"/>
      <c r="BA471" s="95"/>
    </row>
    <row r="472" spans="1:53" s="87" customFormat="1">
      <c r="A472" s="90" t="str">
        <f t="shared" si="32"/>
        <v/>
      </c>
      <c r="B472" s="319" t="s">
        <v>930</v>
      </c>
      <c r="C472" s="89"/>
      <c r="D472" s="89"/>
      <c r="E472" s="89"/>
      <c r="F472" s="89"/>
      <c r="G472" s="89"/>
      <c r="H472" s="89"/>
      <c r="I472" s="89"/>
      <c r="J472" s="89"/>
      <c r="K472" s="89"/>
      <c r="L472" s="89"/>
      <c r="M472" s="89"/>
      <c r="N472" s="89"/>
      <c r="O472" s="89"/>
      <c r="P472" s="89"/>
      <c r="Q472" s="89"/>
      <c r="R472" s="89"/>
      <c r="S472" s="89"/>
      <c r="T472" s="89"/>
      <c r="U472" s="89"/>
      <c r="V472" s="89"/>
      <c r="W472" s="89"/>
      <c r="X472" s="89"/>
      <c r="Y472" s="89"/>
      <c r="Z472" s="89"/>
      <c r="AA472" s="89"/>
      <c r="AB472" s="89"/>
      <c r="AC472" s="89"/>
      <c r="AD472" s="89"/>
      <c r="AE472" s="89"/>
      <c r="AF472" s="89"/>
      <c r="AG472" s="89"/>
      <c r="AH472" s="89"/>
      <c r="AI472" s="89"/>
      <c r="AJ472" s="89"/>
      <c r="AK472" s="89"/>
      <c r="AL472" s="89"/>
      <c r="AM472" s="89"/>
      <c r="AN472" s="89"/>
      <c r="AO472" s="89"/>
      <c r="AP472" s="89"/>
      <c r="AQ472" s="89"/>
      <c r="AR472" s="89"/>
      <c r="AS472" s="89"/>
      <c r="AT472" s="89"/>
      <c r="AU472" s="89"/>
      <c r="AV472" s="89"/>
      <c r="AW472" s="89"/>
      <c r="AX472" s="89"/>
      <c r="AY472" s="89"/>
      <c r="AZ472" s="89"/>
      <c r="BA472" s="95"/>
    </row>
    <row r="473" spans="1:53" s="87" customFormat="1">
      <c r="A473" s="90">
        <f t="shared" si="32"/>
        <v>473</v>
      </c>
      <c r="B473" s="319" t="s">
        <v>1189</v>
      </c>
      <c r="C473" s="89"/>
      <c r="D473" s="89"/>
      <c r="E473" s="89"/>
      <c r="F473" s="89"/>
      <c r="G473" s="89"/>
      <c r="H473" s="89"/>
      <c r="I473" s="89"/>
      <c r="J473" s="89"/>
      <c r="K473" s="89"/>
      <c r="L473" s="89"/>
      <c r="M473" s="89"/>
      <c r="N473" s="89"/>
      <c r="O473" s="89"/>
      <c r="P473" s="89"/>
      <c r="Q473" s="89"/>
      <c r="R473" s="89"/>
      <c r="S473" s="89"/>
      <c r="T473" s="89"/>
      <c r="U473" s="89"/>
      <c r="V473" s="89"/>
      <c r="W473" s="89"/>
      <c r="X473" s="89"/>
      <c r="Y473" s="89"/>
      <c r="Z473" s="89"/>
      <c r="AA473" s="89"/>
      <c r="AB473" s="89"/>
      <c r="AC473" s="89"/>
      <c r="AD473" s="89"/>
      <c r="AE473" s="89"/>
      <c r="AF473" s="89"/>
      <c r="AG473" s="89"/>
      <c r="AH473" s="89"/>
      <c r="AI473" s="89"/>
      <c r="AJ473" s="89"/>
      <c r="AK473" s="89"/>
      <c r="AL473" s="89"/>
      <c r="AM473" s="89"/>
      <c r="AN473" s="89"/>
      <c r="AO473" s="89"/>
      <c r="AP473" s="89"/>
      <c r="AQ473" s="89"/>
      <c r="AR473" s="89"/>
      <c r="AS473" s="89"/>
      <c r="AT473" s="89"/>
      <c r="AU473" s="89"/>
      <c r="AV473" s="89"/>
      <c r="AW473" s="89"/>
      <c r="AX473" s="89"/>
      <c r="AY473" s="89"/>
      <c r="AZ473" s="89"/>
      <c r="BA473" s="95"/>
    </row>
    <row r="474" spans="1:53" s="87" customFormat="1">
      <c r="A474" s="90" t="str">
        <f t="shared" si="32"/>
        <v/>
      </c>
      <c r="B474" s="89">
        <v>1</v>
      </c>
      <c r="C474" s="89">
        <v>9</v>
      </c>
      <c r="D474" s="89">
        <v>3</v>
      </c>
      <c r="E474" s="89" t="s">
        <v>210</v>
      </c>
      <c r="F474" s="89" t="s">
        <v>210</v>
      </c>
      <c r="G474" s="89">
        <v>-6</v>
      </c>
      <c r="H474" s="89">
        <v>-8</v>
      </c>
      <c r="I474" s="89" t="s">
        <v>210</v>
      </c>
      <c r="J474" s="89">
        <v>10</v>
      </c>
      <c r="K474" s="89">
        <v>-5</v>
      </c>
      <c r="L474" s="89"/>
      <c r="M474" s="89"/>
      <c r="N474" s="89"/>
      <c r="O474" s="89"/>
      <c r="P474" s="89"/>
      <c r="Q474" s="89"/>
      <c r="R474" s="89"/>
      <c r="S474" s="89"/>
      <c r="T474" s="89"/>
      <c r="U474" s="89"/>
      <c r="V474" s="89"/>
      <c r="W474" s="89"/>
      <c r="X474" s="89"/>
      <c r="Y474" s="89"/>
      <c r="Z474" s="89"/>
      <c r="AA474" s="89"/>
      <c r="AB474" s="89"/>
      <c r="AC474" s="89"/>
      <c r="AD474" s="89"/>
      <c r="AE474" s="89"/>
      <c r="AF474" s="89"/>
      <c r="AG474" s="89"/>
      <c r="AH474" s="89"/>
      <c r="AI474" s="89"/>
      <c r="AJ474" s="89"/>
      <c r="AK474" s="89"/>
      <c r="AL474" s="89"/>
      <c r="AM474" s="89"/>
      <c r="AN474" s="89"/>
      <c r="AO474" s="89"/>
      <c r="AP474" s="89"/>
      <c r="AQ474" s="89"/>
      <c r="AR474" s="89"/>
      <c r="AS474" s="89"/>
      <c r="AT474" s="89"/>
      <c r="AU474" s="89"/>
      <c r="AV474" s="89"/>
      <c r="AW474" s="89"/>
      <c r="AX474" s="89"/>
      <c r="AY474" s="89"/>
      <c r="AZ474" s="89"/>
      <c r="BA474" s="95"/>
    </row>
    <row r="475" spans="1:53" s="87" customFormat="1">
      <c r="A475" s="90" t="str">
        <f t="shared" si="32"/>
        <v/>
      </c>
      <c r="B475" s="89">
        <v>2</v>
      </c>
      <c r="C475" s="89" t="s">
        <v>210</v>
      </c>
      <c r="D475" s="89">
        <v>-8</v>
      </c>
      <c r="E475" s="89">
        <v>-1</v>
      </c>
      <c r="F475" s="89">
        <v>2</v>
      </c>
      <c r="G475" s="89">
        <v>-7</v>
      </c>
      <c r="H475" s="89" t="s">
        <v>210</v>
      </c>
      <c r="I475" s="89">
        <v>4</v>
      </c>
      <c r="J475" s="89" t="s">
        <v>210</v>
      </c>
      <c r="K475" s="89">
        <v>5</v>
      </c>
      <c r="L475" s="89"/>
      <c r="M475" s="89"/>
      <c r="N475" s="89"/>
      <c r="O475" s="89"/>
      <c r="P475" s="89"/>
      <c r="Q475" s="89"/>
      <c r="R475" s="89"/>
      <c r="S475" s="89"/>
      <c r="T475" s="89"/>
      <c r="U475" s="89"/>
      <c r="V475" s="89"/>
      <c r="W475" s="89"/>
      <c r="X475" s="89"/>
      <c r="Y475" s="89"/>
      <c r="Z475" s="89"/>
      <c r="AA475" s="89"/>
      <c r="AB475" s="89"/>
      <c r="AC475" s="89"/>
      <c r="AD475" s="89"/>
      <c r="AE475" s="89"/>
      <c r="AF475" s="89"/>
      <c r="AG475" s="89"/>
      <c r="AH475" s="89"/>
      <c r="AI475" s="89"/>
      <c r="AJ475" s="89"/>
      <c r="AK475" s="89"/>
      <c r="AL475" s="89"/>
      <c r="AM475" s="89"/>
      <c r="AN475" s="89"/>
      <c r="AO475" s="89"/>
      <c r="AP475" s="89"/>
      <c r="AQ475" s="89"/>
      <c r="AR475" s="89"/>
      <c r="AS475" s="89"/>
      <c r="AT475" s="89"/>
      <c r="AU475" s="89"/>
      <c r="AV475" s="89"/>
      <c r="AW475" s="89"/>
      <c r="AX475" s="89"/>
      <c r="AY475" s="89"/>
      <c r="AZ475" s="89"/>
      <c r="BA475" s="95"/>
    </row>
    <row r="476" spans="1:53" s="87" customFormat="1">
      <c r="A476" s="90" t="str">
        <f t="shared" si="32"/>
        <v/>
      </c>
      <c r="B476" s="89">
        <v>3</v>
      </c>
      <c r="C476" s="89" t="s">
        <v>210</v>
      </c>
      <c r="D476" s="89">
        <v>2</v>
      </c>
      <c r="E476" s="89">
        <v>-7</v>
      </c>
      <c r="F476" s="89">
        <v>9</v>
      </c>
      <c r="G476" s="89" t="s">
        <v>210</v>
      </c>
      <c r="H476" s="89">
        <v>8</v>
      </c>
      <c r="I476" s="89">
        <v>-4</v>
      </c>
      <c r="J476" s="89" t="s">
        <v>210</v>
      </c>
      <c r="K476" s="89">
        <v>-6</v>
      </c>
      <c r="L476" s="89"/>
      <c r="M476" s="89"/>
      <c r="N476" s="89"/>
      <c r="O476" s="89"/>
      <c r="P476" s="89"/>
      <c r="Q476" s="89"/>
      <c r="R476" s="89"/>
      <c r="S476" s="89"/>
      <c r="T476" s="89"/>
      <c r="U476" s="89"/>
      <c r="V476" s="89"/>
      <c r="W476" s="89"/>
      <c r="X476" s="89"/>
      <c r="Y476" s="89"/>
      <c r="Z476" s="89"/>
      <c r="AA476" s="89"/>
      <c r="AB476" s="89"/>
      <c r="AC476" s="89"/>
      <c r="AD476" s="89"/>
      <c r="AE476" s="89"/>
      <c r="AF476" s="89"/>
      <c r="AG476" s="89"/>
      <c r="AH476" s="89"/>
      <c r="AI476" s="89"/>
      <c r="AJ476" s="89"/>
      <c r="AK476" s="89"/>
      <c r="AL476" s="89"/>
      <c r="AM476" s="89"/>
      <c r="AN476" s="89"/>
      <c r="AO476" s="89"/>
      <c r="AP476" s="89"/>
      <c r="AQ476" s="89"/>
      <c r="AR476" s="89"/>
      <c r="AS476" s="89"/>
      <c r="AT476" s="89"/>
      <c r="AU476" s="89"/>
      <c r="AV476" s="89"/>
      <c r="AW476" s="89"/>
      <c r="AX476" s="89"/>
      <c r="AY476" s="89"/>
      <c r="AZ476" s="89"/>
      <c r="BA476" s="95"/>
    </row>
    <row r="477" spans="1:53" s="87" customFormat="1">
      <c r="A477" s="90" t="str">
        <f t="shared" si="32"/>
        <v/>
      </c>
      <c r="B477" s="89">
        <v>4</v>
      </c>
      <c r="C477" s="89">
        <v>7</v>
      </c>
      <c r="D477" s="89">
        <v>-3</v>
      </c>
      <c r="E477" s="89" t="s">
        <v>210</v>
      </c>
      <c r="F477" s="89">
        <v>-2</v>
      </c>
      <c r="G477" s="89">
        <v>5</v>
      </c>
      <c r="H477" s="89" t="s">
        <v>210</v>
      </c>
      <c r="I477" s="89" t="s">
        <v>210</v>
      </c>
      <c r="J477" s="89">
        <v>-1</v>
      </c>
      <c r="K477" s="89">
        <v>6</v>
      </c>
      <c r="L477" s="89"/>
      <c r="M477" s="89"/>
      <c r="N477" s="89"/>
      <c r="O477" s="89"/>
      <c r="P477" s="89"/>
      <c r="Q477" s="89"/>
      <c r="R477" s="89"/>
      <c r="S477" s="89"/>
      <c r="T477" s="89"/>
      <c r="U477" s="89"/>
      <c r="V477" s="89"/>
      <c r="W477" s="89"/>
      <c r="X477" s="89"/>
      <c r="Y477" s="89"/>
      <c r="Z477" s="89"/>
      <c r="AA477" s="89"/>
      <c r="AB477" s="89"/>
      <c r="AC477" s="89"/>
      <c r="AD477" s="89"/>
      <c r="AE477" s="89"/>
      <c r="AF477" s="89"/>
      <c r="AG477" s="89"/>
      <c r="AH477" s="89"/>
      <c r="AI477" s="89"/>
      <c r="AJ477" s="89"/>
      <c r="AK477" s="89"/>
      <c r="AL477" s="89"/>
      <c r="AM477" s="89"/>
      <c r="AN477" s="89"/>
      <c r="AO477" s="89"/>
      <c r="AP477" s="89"/>
      <c r="AQ477" s="89"/>
      <c r="AR477" s="89"/>
      <c r="AS477" s="89"/>
      <c r="AT477" s="89"/>
      <c r="AU477" s="89"/>
      <c r="AV477" s="89"/>
      <c r="AW477" s="89"/>
      <c r="AX477" s="89"/>
      <c r="AY477" s="89"/>
      <c r="AZ477" s="89"/>
      <c r="BA477" s="95"/>
    </row>
    <row r="478" spans="1:53" s="87" customFormat="1">
      <c r="A478" s="90" t="str">
        <f t="shared" si="32"/>
        <v/>
      </c>
      <c r="B478" s="89">
        <v>5</v>
      </c>
      <c r="C478" s="89" t="s">
        <v>210</v>
      </c>
      <c r="D478" s="89">
        <v>8</v>
      </c>
      <c r="E478" s="89">
        <v>7</v>
      </c>
      <c r="F478" s="89" t="s">
        <v>210</v>
      </c>
      <c r="G478" s="89">
        <v>-5</v>
      </c>
      <c r="H478" s="89">
        <v>3</v>
      </c>
      <c r="I478" s="89" t="s">
        <v>210</v>
      </c>
      <c r="J478" s="89">
        <v>-10</v>
      </c>
      <c r="K478" s="89">
        <v>-4</v>
      </c>
      <c r="L478" s="89"/>
      <c r="M478" s="89"/>
      <c r="N478" s="89"/>
      <c r="O478" s="89"/>
      <c r="P478" s="89"/>
      <c r="Q478" s="89"/>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95"/>
    </row>
    <row r="479" spans="1:53" s="87" customFormat="1">
      <c r="A479" s="90" t="str">
        <f t="shared" si="32"/>
        <v/>
      </c>
      <c r="B479" s="89">
        <v>6</v>
      </c>
      <c r="C479" s="89">
        <v>-7</v>
      </c>
      <c r="D479" s="89" t="s">
        <v>210</v>
      </c>
      <c r="E479" s="89">
        <v>1</v>
      </c>
      <c r="F479" s="89">
        <v>-9</v>
      </c>
      <c r="G479" s="89">
        <v>6</v>
      </c>
      <c r="H479" s="89" t="s">
        <v>210</v>
      </c>
      <c r="I479" s="89">
        <v>-5</v>
      </c>
      <c r="J479" s="89" t="s">
        <v>210</v>
      </c>
      <c r="K479" s="89">
        <v>4</v>
      </c>
      <c r="L479" s="89"/>
      <c r="M479" s="89"/>
      <c r="N479" s="89"/>
      <c r="O479" s="89"/>
      <c r="P479" s="89"/>
      <c r="Q479" s="89"/>
      <c r="R479" s="89"/>
      <c r="S479" s="89"/>
      <c r="T479" s="89"/>
      <c r="U479" s="89"/>
      <c r="V479" s="89"/>
      <c r="W479" s="89"/>
      <c r="X479" s="89"/>
      <c r="Y479" s="89"/>
      <c r="Z479" s="89"/>
      <c r="AA479" s="89"/>
      <c r="AB479" s="89"/>
      <c r="AC479" s="89"/>
      <c r="AD479" s="89"/>
      <c r="AE479" s="89"/>
      <c r="AF479" s="89"/>
      <c r="AG479" s="89"/>
      <c r="AH479" s="89"/>
      <c r="AI479" s="89"/>
      <c r="AJ479" s="89"/>
      <c r="AK479" s="89"/>
      <c r="AL479" s="89"/>
      <c r="AM479" s="89"/>
      <c r="AN479" s="89"/>
      <c r="AO479" s="89"/>
      <c r="AP479" s="89"/>
      <c r="AQ479" s="89"/>
      <c r="AR479" s="89"/>
      <c r="AS479" s="89"/>
      <c r="AT479" s="89"/>
      <c r="AU479" s="89"/>
      <c r="AV479" s="89"/>
      <c r="AW479" s="89"/>
      <c r="AX479" s="89"/>
      <c r="AY479" s="89"/>
      <c r="AZ479" s="89"/>
      <c r="BA479" s="95"/>
    </row>
    <row r="480" spans="1:53" s="87" customFormat="1">
      <c r="A480" s="90" t="str">
        <f t="shared" si="32"/>
        <v/>
      </c>
      <c r="B480" s="89">
        <v>7</v>
      </c>
      <c r="C480" s="89">
        <v>-9</v>
      </c>
      <c r="D480" s="89">
        <v>-2</v>
      </c>
      <c r="E480" s="89" t="s">
        <v>210</v>
      </c>
      <c r="F480" s="89" t="s">
        <v>210</v>
      </c>
      <c r="G480" s="89">
        <v>7</v>
      </c>
      <c r="H480" s="89">
        <v>-3</v>
      </c>
      <c r="I480" s="89">
        <v>5</v>
      </c>
      <c r="J480" s="89">
        <v>1</v>
      </c>
      <c r="K480" s="89" t="s">
        <v>210</v>
      </c>
      <c r="L480" s="89"/>
      <c r="M480" s="89"/>
      <c r="N480" s="89"/>
      <c r="O480" s="89"/>
      <c r="P480" s="89"/>
      <c r="Q480" s="89"/>
      <c r="R480" s="89"/>
      <c r="S480" s="89"/>
      <c r="T480" s="89"/>
      <c r="U480" s="89"/>
      <c r="V480" s="89"/>
      <c r="W480" s="89"/>
      <c r="X480" s="89"/>
      <c r="Y480" s="89"/>
      <c r="Z480" s="89"/>
      <c r="AA480" s="89"/>
      <c r="AB480" s="89"/>
      <c r="AC480" s="89"/>
      <c r="AD480" s="89"/>
      <c r="AE480" s="89"/>
      <c r="AF480" s="89"/>
      <c r="AG480" s="89"/>
      <c r="AH480" s="89"/>
      <c r="AI480" s="89"/>
      <c r="AJ480" s="89"/>
      <c r="AK480" s="89"/>
      <c r="AL480" s="89"/>
      <c r="AM480" s="89"/>
      <c r="AN480" s="89"/>
      <c r="AO480" s="89"/>
      <c r="AP480" s="89"/>
      <c r="AQ480" s="89"/>
      <c r="AR480" s="89"/>
      <c r="AS480" s="89"/>
      <c r="AT480" s="89"/>
      <c r="AU480" s="89"/>
      <c r="AV480" s="89"/>
      <c r="AW480" s="89"/>
      <c r="AX480" s="89"/>
      <c r="AY480" s="89"/>
      <c r="AZ480" s="89"/>
      <c r="BA480" s="95"/>
    </row>
    <row r="481" spans="1:53" s="87" customFormat="1">
      <c r="A481" s="90" t="str">
        <f t="shared" si="32"/>
        <v/>
      </c>
      <c r="B481" s="89">
        <v>8</v>
      </c>
      <c r="C481" s="89">
        <v>-6</v>
      </c>
      <c r="D481" s="89" t="s">
        <v>210</v>
      </c>
      <c r="E481" s="89">
        <v>-5</v>
      </c>
      <c r="F481" s="89" t="s">
        <v>210</v>
      </c>
      <c r="G481" s="89">
        <v>4</v>
      </c>
      <c r="H481" s="89">
        <v>10</v>
      </c>
      <c r="I481" s="89" t="s">
        <v>210</v>
      </c>
      <c r="J481" s="89">
        <v>-9</v>
      </c>
      <c r="K481" s="89">
        <v>7</v>
      </c>
      <c r="L481" s="89"/>
      <c r="M481" s="89"/>
      <c r="N481" s="89"/>
      <c r="O481" s="89"/>
      <c r="P481" s="89"/>
      <c r="Q481" s="89"/>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95"/>
    </row>
    <row r="482" spans="1:53" s="87" customFormat="1">
      <c r="A482" s="90" t="str">
        <f t="shared" si="32"/>
        <v/>
      </c>
      <c r="B482" s="89">
        <v>9</v>
      </c>
      <c r="C482" s="89" t="s">
        <v>210</v>
      </c>
      <c r="D482" s="89">
        <v>5</v>
      </c>
      <c r="E482" s="89">
        <v>-4</v>
      </c>
      <c r="F482" s="89">
        <v>-8</v>
      </c>
      <c r="G482" s="89" t="s">
        <v>210</v>
      </c>
      <c r="H482" s="89">
        <v>1</v>
      </c>
      <c r="I482" s="89">
        <v>-6</v>
      </c>
      <c r="J482" s="89">
        <v>9</v>
      </c>
      <c r="K482" s="89" t="s">
        <v>210</v>
      </c>
      <c r="L482" s="89"/>
      <c r="M482" s="89"/>
      <c r="N482" s="89"/>
      <c r="O482" s="89"/>
      <c r="P482" s="89"/>
      <c r="Q482" s="89"/>
      <c r="R482" s="89"/>
      <c r="S482" s="89"/>
      <c r="T482" s="89"/>
      <c r="U482" s="89"/>
      <c r="V482" s="89"/>
      <c r="W482" s="89"/>
      <c r="X482" s="89"/>
      <c r="Y482" s="89"/>
      <c r="Z482" s="89"/>
      <c r="AA482" s="89"/>
      <c r="AB482" s="89"/>
      <c r="AC482" s="89"/>
      <c r="AD482" s="89"/>
      <c r="AE482" s="89"/>
      <c r="AF482" s="89"/>
      <c r="AG482" s="89"/>
      <c r="AH482" s="89"/>
      <c r="AI482" s="89"/>
      <c r="AJ482" s="89"/>
      <c r="AK482" s="89"/>
      <c r="AL482" s="89"/>
      <c r="AM482" s="89"/>
      <c r="AN482" s="89"/>
      <c r="AO482" s="89"/>
      <c r="AP482" s="89"/>
      <c r="AQ482" s="89"/>
      <c r="AR482" s="89"/>
      <c r="AS482" s="89"/>
      <c r="AT482" s="89"/>
      <c r="AU482" s="89"/>
      <c r="AV482" s="89"/>
      <c r="AW482" s="89"/>
      <c r="AX482" s="89"/>
      <c r="AY482" s="89"/>
      <c r="AZ482" s="89"/>
      <c r="BA482" s="95"/>
    </row>
    <row r="483" spans="1:53" s="87" customFormat="1">
      <c r="A483" s="90" t="str">
        <f t="shared" si="32"/>
        <v/>
      </c>
      <c r="B483" s="89">
        <v>10</v>
      </c>
      <c r="C483" s="89" t="s">
        <v>210</v>
      </c>
      <c r="D483" s="89">
        <v>-10</v>
      </c>
      <c r="E483" s="89">
        <v>9</v>
      </c>
      <c r="F483" s="89">
        <v>-3</v>
      </c>
      <c r="G483" s="89">
        <v>-4</v>
      </c>
      <c r="H483" s="89" t="s">
        <v>210</v>
      </c>
      <c r="I483" s="89">
        <v>6</v>
      </c>
      <c r="J483" s="89">
        <v>2</v>
      </c>
      <c r="K483" s="89" t="s">
        <v>210</v>
      </c>
      <c r="L483" s="89"/>
      <c r="M483" s="89"/>
      <c r="N483" s="89"/>
      <c r="O483" s="89"/>
      <c r="P483" s="89"/>
      <c r="Q483" s="89"/>
      <c r="R483" s="89"/>
      <c r="S483" s="89"/>
      <c r="T483" s="89"/>
      <c r="U483" s="89"/>
      <c r="V483" s="89"/>
      <c r="W483" s="89"/>
      <c r="X483" s="89"/>
      <c r="Y483" s="89"/>
      <c r="Z483" s="89"/>
      <c r="AA483" s="89"/>
      <c r="AB483" s="89"/>
      <c r="AC483" s="89"/>
      <c r="AD483" s="89"/>
      <c r="AE483" s="89"/>
      <c r="AF483" s="89"/>
      <c r="AG483" s="89"/>
      <c r="AH483" s="89"/>
      <c r="AI483" s="89"/>
      <c r="AJ483" s="89"/>
      <c r="AK483" s="89"/>
      <c r="AL483" s="89"/>
      <c r="AM483" s="89"/>
      <c r="AN483" s="89"/>
      <c r="AO483" s="89"/>
      <c r="AP483" s="89"/>
      <c r="AQ483" s="89"/>
      <c r="AR483" s="89"/>
      <c r="AS483" s="89"/>
      <c r="AT483" s="89"/>
      <c r="AU483" s="89"/>
      <c r="AV483" s="89"/>
      <c r="AW483" s="89"/>
      <c r="AX483" s="89"/>
      <c r="AY483" s="89"/>
      <c r="AZ483" s="89"/>
      <c r="BA483" s="95"/>
    </row>
    <row r="484" spans="1:53" s="87" customFormat="1">
      <c r="A484" s="90" t="str">
        <f t="shared" si="32"/>
        <v/>
      </c>
      <c r="B484" s="89">
        <v>11</v>
      </c>
      <c r="C484" s="89">
        <v>-4</v>
      </c>
      <c r="D484" s="89" t="s">
        <v>210</v>
      </c>
      <c r="E484" s="89">
        <v>5</v>
      </c>
      <c r="F484" s="89">
        <v>8</v>
      </c>
      <c r="G484" s="89" t="s">
        <v>210</v>
      </c>
      <c r="H484" s="89">
        <v>-9</v>
      </c>
      <c r="I484" s="89" t="s">
        <v>210</v>
      </c>
      <c r="J484" s="89">
        <v>-2</v>
      </c>
      <c r="K484" s="89">
        <v>3</v>
      </c>
      <c r="L484" s="89"/>
      <c r="M484" s="89"/>
      <c r="N484" s="89"/>
      <c r="O484" s="89"/>
      <c r="P484" s="89"/>
      <c r="Q484" s="89"/>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95"/>
    </row>
    <row r="485" spans="1:53" s="87" customFormat="1">
      <c r="A485" s="90" t="str">
        <f t="shared" si="32"/>
        <v/>
      </c>
      <c r="B485" s="89">
        <v>12</v>
      </c>
      <c r="C485" s="89" t="s">
        <v>210</v>
      </c>
      <c r="D485" s="89">
        <v>10</v>
      </c>
      <c r="E485" s="89">
        <v>4</v>
      </c>
      <c r="F485" s="89" t="s">
        <v>210</v>
      </c>
      <c r="G485" s="89">
        <v>-2</v>
      </c>
      <c r="H485" s="89">
        <v>9</v>
      </c>
      <c r="I485" s="89" t="s">
        <v>210</v>
      </c>
      <c r="J485" s="89">
        <v>-8</v>
      </c>
      <c r="K485" s="89">
        <v>-7</v>
      </c>
      <c r="L485" s="89"/>
      <c r="M485" s="89"/>
      <c r="N485" s="89"/>
      <c r="O485" s="89"/>
      <c r="P485" s="89"/>
      <c r="Q485" s="89"/>
      <c r="R485" s="89"/>
      <c r="S485" s="89"/>
      <c r="T485" s="89"/>
      <c r="U485" s="89"/>
      <c r="V485" s="89"/>
      <c r="W485" s="89"/>
      <c r="X485" s="89"/>
      <c r="Y485" s="89"/>
      <c r="Z485" s="89"/>
      <c r="AA485" s="89"/>
      <c r="AB485" s="89"/>
      <c r="AC485" s="89"/>
      <c r="AD485" s="89"/>
      <c r="AE485" s="89"/>
      <c r="AF485" s="89"/>
      <c r="AG485" s="89"/>
      <c r="AH485" s="89"/>
      <c r="AI485" s="89"/>
      <c r="AJ485" s="89"/>
      <c r="AK485" s="89"/>
      <c r="AL485" s="89"/>
      <c r="AM485" s="89"/>
      <c r="AN485" s="89"/>
      <c r="AO485" s="89"/>
      <c r="AP485" s="89"/>
      <c r="AQ485" s="89"/>
      <c r="AR485" s="89"/>
      <c r="AS485" s="89"/>
      <c r="AT485" s="89"/>
      <c r="AU485" s="89"/>
      <c r="AV485" s="89"/>
      <c r="AW485" s="89"/>
      <c r="AX485" s="89"/>
      <c r="AY485" s="89"/>
      <c r="AZ485" s="89"/>
      <c r="BA485" s="95"/>
    </row>
    <row r="486" spans="1:53" s="87" customFormat="1">
      <c r="A486" s="90" t="str">
        <f t="shared" si="32"/>
        <v/>
      </c>
      <c r="B486" s="89">
        <v>13</v>
      </c>
      <c r="C486" s="89">
        <v>4</v>
      </c>
      <c r="D486" s="89">
        <v>-5</v>
      </c>
      <c r="E486" s="89" t="s">
        <v>210</v>
      </c>
      <c r="F486" s="89">
        <v>3</v>
      </c>
      <c r="G486" s="89" t="s">
        <v>210</v>
      </c>
      <c r="H486" s="89">
        <v>-10</v>
      </c>
      <c r="I486" s="89">
        <v>-7</v>
      </c>
      <c r="J486" s="89">
        <v>8</v>
      </c>
      <c r="K486" s="89" t="s">
        <v>210</v>
      </c>
      <c r="L486" s="89"/>
      <c r="M486" s="89"/>
      <c r="N486" s="89"/>
      <c r="O486" s="89"/>
      <c r="P486" s="89"/>
      <c r="Q486" s="89"/>
      <c r="R486" s="89"/>
      <c r="S486" s="89"/>
      <c r="T486" s="89"/>
      <c r="U486" s="89"/>
      <c r="V486" s="89"/>
      <c r="W486" s="89"/>
      <c r="X486" s="89"/>
      <c r="Y486" s="89"/>
      <c r="Z486" s="89"/>
      <c r="AA486" s="89"/>
      <c r="AB486" s="89"/>
      <c r="AC486" s="89"/>
      <c r="AD486" s="89"/>
      <c r="AE486" s="89"/>
      <c r="AF486" s="89"/>
      <c r="AG486" s="89"/>
      <c r="AH486" s="89"/>
      <c r="AI486" s="89"/>
      <c r="AJ486" s="89"/>
      <c r="AK486" s="89"/>
      <c r="AL486" s="89"/>
      <c r="AM486" s="89"/>
      <c r="AN486" s="89"/>
      <c r="AO486" s="89"/>
      <c r="AP486" s="89"/>
      <c r="AQ486" s="89"/>
      <c r="AR486" s="89"/>
      <c r="AS486" s="89"/>
      <c r="AT486" s="89"/>
      <c r="AU486" s="89"/>
      <c r="AV486" s="89"/>
      <c r="AW486" s="89"/>
      <c r="AX486" s="89"/>
      <c r="AY486" s="89"/>
      <c r="AZ486" s="89"/>
      <c r="BA486" s="95"/>
    </row>
    <row r="487" spans="1:53" s="87" customFormat="1">
      <c r="A487" s="90" t="str">
        <f t="shared" si="32"/>
        <v/>
      </c>
      <c r="B487" s="89">
        <v>14</v>
      </c>
      <c r="C487" s="89">
        <v>6</v>
      </c>
      <c r="D487" s="89" t="s">
        <v>210</v>
      </c>
      <c r="E487" s="89">
        <v>-9</v>
      </c>
      <c r="F487" s="89" t="s">
        <v>210</v>
      </c>
      <c r="G487" s="89">
        <v>2</v>
      </c>
      <c r="H487" s="89">
        <v>-1</v>
      </c>
      <c r="I487" s="89">
        <v>7</v>
      </c>
      <c r="J487" s="89" t="s">
        <v>210</v>
      </c>
      <c r="K487" s="89">
        <v>-3</v>
      </c>
      <c r="L487" s="89"/>
      <c r="M487" s="89"/>
      <c r="N487" s="89"/>
      <c r="O487" s="89"/>
      <c r="P487" s="89"/>
      <c r="Q487" s="89"/>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95"/>
    </row>
    <row r="488" spans="1:53" s="87" customFormat="1">
      <c r="A488" s="90" t="str">
        <f t="shared" si="32"/>
        <v/>
      </c>
      <c r="B488" s="89">
        <v>15</v>
      </c>
      <c r="C488" s="89">
        <v>-5</v>
      </c>
      <c r="D488" s="89">
        <v>-9</v>
      </c>
      <c r="E488" s="89" t="s">
        <v>210</v>
      </c>
      <c r="F488" s="89" t="s">
        <v>210</v>
      </c>
      <c r="G488" s="89">
        <v>1</v>
      </c>
      <c r="H488" s="89">
        <v>7</v>
      </c>
      <c r="I488" s="89" t="s">
        <v>210</v>
      </c>
      <c r="J488" s="89">
        <v>-3</v>
      </c>
      <c r="K488" s="89">
        <v>8</v>
      </c>
      <c r="L488" s="89"/>
      <c r="M488" s="89"/>
      <c r="N488" s="89"/>
      <c r="O488" s="89"/>
      <c r="P488" s="89"/>
      <c r="Q488" s="89"/>
      <c r="R488" s="89"/>
      <c r="S488" s="89"/>
      <c r="T488" s="89"/>
      <c r="U488" s="89"/>
      <c r="V488" s="89"/>
      <c r="W488" s="89"/>
      <c r="X488" s="89"/>
      <c r="Y488" s="89"/>
      <c r="Z488" s="89"/>
      <c r="AA488" s="89"/>
      <c r="AB488" s="89"/>
      <c r="AC488" s="89"/>
      <c r="AD488" s="89"/>
      <c r="AE488" s="89"/>
      <c r="AF488" s="89"/>
      <c r="AG488" s="89"/>
      <c r="AH488" s="89"/>
      <c r="AI488" s="89"/>
      <c r="AJ488" s="89"/>
      <c r="AK488" s="89"/>
      <c r="AL488" s="89"/>
      <c r="AM488" s="89"/>
      <c r="AN488" s="89"/>
      <c r="AO488" s="89"/>
      <c r="AP488" s="89"/>
      <c r="AQ488" s="89"/>
      <c r="AR488" s="89"/>
      <c r="AS488" s="89"/>
      <c r="AT488" s="89"/>
      <c r="AU488" s="89"/>
      <c r="AV488" s="89"/>
      <c r="AW488" s="89"/>
      <c r="AX488" s="89"/>
      <c r="AY488" s="89"/>
      <c r="AZ488" s="89"/>
      <c r="BA488" s="95"/>
    </row>
    <row r="489" spans="1:53" s="87" customFormat="1">
      <c r="A489" s="90" t="str">
        <f t="shared" si="32"/>
        <v/>
      </c>
      <c r="B489" s="89">
        <v>16</v>
      </c>
      <c r="C489" s="89" t="s">
        <v>210</v>
      </c>
      <c r="D489" s="89">
        <v>4</v>
      </c>
      <c r="E489" s="89">
        <v>2</v>
      </c>
      <c r="F489" s="89">
        <v>-6</v>
      </c>
      <c r="G489" s="89">
        <v>10</v>
      </c>
      <c r="H489" s="89" t="s">
        <v>210</v>
      </c>
      <c r="I489" s="89">
        <v>-3</v>
      </c>
      <c r="J489" s="89" t="s">
        <v>210</v>
      </c>
      <c r="K489" s="89">
        <v>-8</v>
      </c>
      <c r="L489" s="89"/>
      <c r="M489" s="89"/>
      <c r="N489" s="89"/>
      <c r="O489" s="89"/>
      <c r="P489" s="89"/>
      <c r="Q489" s="89"/>
      <c r="R489" s="89"/>
      <c r="S489" s="89"/>
      <c r="T489" s="89"/>
      <c r="U489" s="89"/>
      <c r="V489" s="89"/>
      <c r="W489" s="89"/>
      <c r="X489" s="89"/>
      <c r="Y489" s="89"/>
      <c r="Z489" s="89"/>
      <c r="AA489" s="89"/>
      <c r="AB489" s="89"/>
      <c r="AC489" s="89"/>
      <c r="AD489" s="89"/>
      <c r="AE489" s="89"/>
      <c r="AF489" s="89"/>
      <c r="AG489" s="89"/>
      <c r="AH489" s="89"/>
      <c r="AI489" s="89"/>
      <c r="AJ489" s="89"/>
      <c r="AK489" s="89"/>
      <c r="AL489" s="89"/>
      <c r="AM489" s="89"/>
      <c r="AN489" s="89"/>
      <c r="AO489" s="89"/>
      <c r="AP489" s="89"/>
      <c r="AQ489" s="89"/>
      <c r="AR489" s="89"/>
      <c r="AS489" s="89"/>
      <c r="AT489" s="89"/>
      <c r="AU489" s="89"/>
      <c r="AV489" s="89"/>
      <c r="AW489" s="89"/>
      <c r="AX489" s="89"/>
      <c r="AY489" s="89"/>
      <c r="AZ489" s="89"/>
      <c r="BA489" s="95"/>
    </row>
    <row r="490" spans="1:53" s="87" customFormat="1">
      <c r="A490" s="90" t="str">
        <f t="shared" si="32"/>
        <v/>
      </c>
      <c r="B490" s="89">
        <v>17</v>
      </c>
      <c r="C490" s="89" t="s">
        <v>210</v>
      </c>
      <c r="D490" s="89">
        <v>-6</v>
      </c>
      <c r="E490" s="89">
        <v>10</v>
      </c>
      <c r="F490" s="89">
        <v>-5</v>
      </c>
      <c r="G490" s="89" t="s">
        <v>210</v>
      </c>
      <c r="H490" s="89">
        <v>-7</v>
      </c>
      <c r="I490" s="89">
        <v>3</v>
      </c>
      <c r="J490" s="89" t="s">
        <v>210</v>
      </c>
      <c r="K490" s="89">
        <v>2</v>
      </c>
      <c r="L490" s="89"/>
      <c r="M490" s="89"/>
      <c r="N490" s="89"/>
      <c r="O490" s="89"/>
      <c r="P490" s="89"/>
      <c r="Q490" s="89"/>
      <c r="R490" s="89"/>
      <c r="S490" s="89"/>
      <c r="T490" s="89"/>
      <c r="U490" s="89"/>
      <c r="V490" s="89"/>
      <c r="W490" s="89"/>
      <c r="X490" s="89"/>
      <c r="Y490" s="89"/>
      <c r="Z490" s="89"/>
      <c r="AA490" s="89"/>
      <c r="AB490" s="89"/>
      <c r="AC490" s="89"/>
      <c r="AD490" s="89"/>
      <c r="AE490" s="89"/>
      <c r="AF490" s="89"/>
      <c r="AG490" s="89"/>
      <c r="AH490" s="89"/>
      <c r="AI490" s="89"/>
      <c r="AJ490" s="89"/>
      <c r="AK490" s="89"/>
      <c r="AL490" s="89"/>
      <c r="AM490" s="89"/>
      <c r="AN490" s="89"/>
      <c r="AO490" s="89"/>
      <c r="AP490" s="89"/>
      <c r="AQ490" s="89"/>
      <c r="AR490" s="89"/>
      <c r="AS490" s="89"/>
      <c r="AT490" s="89"/>
      <c r="AU490" s="89"/>
      <c r="AV490" s="89"/>
      <c r="AW490" s="89"/>
      <c r="AX490" s="89"/>
      <c r="AY490" s="89"/>
      <c r="AZ490" s="89"/>
      <c r="BA490" s="95"/>
    </row>
    <row r="491" spans="1:53" s="87" customFormat="1">
      <c r="A491" s="90" t="str">
        <f t="shared" si="32"/>
        <v/>
      </c>
      <c r="B491" s="89">
        <v>18</v>
      </c>
      <c r="C491" s="89">
        <v>-3</v>
      </c>
      <c r="D491" s="89">
        <v>9</v>
      </c>
      <c r="E491" s="89" t="s">
        <v>210</v>
      </c>
      <c r="F491" s="89">
        <v>6</v>
      </c>
      <c r="G491" s="89">
        <v>-8</v>
      </c>
      <c r="H491" s="89" t="s">
        <v>210</v>
      </c>
      <c r="I491" s="89" t="s">
        <v>210</v>
      </c>
      <c r="J491" s="89">
        <v>7</v>
      </c>
      <c r="K491" s="89">
        <v>-2</v>
      </c>
      <c r="L491" s="89"/>
      <c r="M491" s="89"/>
      <c r="N491" s="89"/>
      <c r="O491" s="89"/>
      <c r="P491" s="89"/>
      <c r="Q491" s="89"/>
      <c r="R491" s="89"/>
      <c r="S491" s="89"/>
      <c r="T491" s="89"/>
      <c r="U491" s="89"/>
      <c r="V491" s="89"/>
      <c r="W491" s="89"/>
      <c r="X491" s="89"/>
      <c r="Y491" s="89"/>
      <c r="Z491" s="89"/>
      <c r="AA491" s="89"/>
      <c r="AB491" s="89"/>
      <c r="AC491" s="89"/>
      <c r="AD491" s="89"/>
      <c r="AE491" s="89"/>
      <c r="AF491" s="89"/>
      <c r="AG491" s="89"/>
      <c r="AH491" s="89"/>
      <c r="AI491" s="89"/>
      <c r="AJ491" s="89"/>
      <c r="AK491" s="89"/>
      <c r="AL491" s="89"/>
      <c r="AM491" s="89"/>
      <c r="AN491" s="89"/>
      <c r="AO491" s="89"/>
      <c r="AP491" s="89"/>
      <c r="AQ491" s="89"/>
      <c r="AR491" s="89"/>
      <c r="AS491" s="89"/>
      <c r="AT491" s="89"/>
      <c r="AU491" s="89"/>
      <c r="AV491" s="89"/>
      <c r="AW491" s="89"/>
      <c r="AX491" s="89"/>
      <c r="AY491" s="89"/>
      <c r="AZ491" s="89"/>
      <c r="BA491" s="95"/>
    </row>
    <row r="492" spans="1:53" s="87" customFormat="1">
      <c r="A492" s="90" t="str">
        <f t="shared" si="32"/>
        <v/>
      </c>
      <c r="B492" s="89">
        <v>19</v>
      </c>
      <c r="C492" s="89" t="s">
        <v>210</v>
      </c>
      <c r="D492" s="89">
        <v>-4</v>
      </c>
      <c r="E492" s="89">
        <v>-10</v>
      </c>
      <c r="F492" s="89" t="s">
        <v>210</v>
      </c>
      <c r="G492" s="89">
        <v>8</v>
      </c>
      <c r="H492" s="89">
        <v>-2</v>
      </c>
      <c r="I492" s="89" t="s">
        <v>210</v>
      </c>
      <c r="J492" s="89">
        <v>3</v>
      </c>
      <c r="K492" s="89">
        <v>9</v>
      </c>
      <c r="L492" s="89"/>
      <c r="M492" s="89"/>
      <c r="N492" s="89"/>
      <c r="O492" s="89"/>
      <c r="P492" s="89"/>
      <c r="Q492" s="89"/>
      <c r="R492" s="89"/>
      <c r="S492" s="89"/>
      <c r="T492" s="89"/>
      <c r="U492" s="89"/>
      <c r="V492" s="89"/>
      <c r="W492" s="89"/>
      <c r="X492" s="89"/>
      <c r="Y492" s="89"/>
      <c r="Z492" s="89"/>
      <c r="AA492" s="89"/>
      <c r="AB492" s="89"/>
      <c r="AC492" s="89"/>
      <c r="AD492" s="89"/>
      <c r="AE492" s="89"/>
      <c r="AF492" s="89"/>
      <c r="AG492" s="89"/>
      <c r="AH492" s="89"/>
      <c r="AI492" s="89"/>
      <c r="AJ492" s="89"/>
      <c r="AK492" s="89"/>
      <c r="AL492" s="89"/>
      <c r="AM492" s="89"/>
      <c r="AN492" s="89"/>
      <c r="AO492" s="89"/>
      <c r="AP492" s="89"/>
      <c r="AQ492" s="89"/>
      <c r="AR492" s="89"/>
      <c r="AS492" s="89"/>
      <c r="AT492" s="89"/>
      <c r="AU492" s="89"/>
      <c r="AV492" s="89"/>
      <c r="AW492" s="89"/>
      <c r="AX492" s="89"/>
      <c r="AY492" s="89"/>
      <c r="AZ492" s="89"/>
      <c r="BA492" s="95"/>
    </row>
    <row r="493" spans="1:53" s="87" customFormat="1">
      <c r="A493" s="90" t="str">
        <f t="shared" si="32"/>
        <v/>
      </c>
      <c r="B493" s="89">
        <v>20</v>
      </c>
      <c r="C493" s="89">
        <v>3</v>
      </c>
      <c r="D493" s="89" t="s">
        <v>210</v>
      </c>
      <c r="E493" s="89">
        <v>-2</v>
      </c>
      <c r="F493" s="89">
        <v>5</v>
      </c>
      <c r="G493" s="89">
        <v>-1</v>
      </c>
      <c r="H493" s="89" t="s">
        <v>210</v>
      </c>
      <c r="I493" s="89">
        <v>8</v>
      </c>
      <c r="J493" s="89" t="s">
        <v>210</v>
      </c>
      <c r="K493" s="89">
        <v>-9</v>
      </c>
      <c r="L493" s="89"/>
      <c r="M493" s="89"/>
      <c r="N493" s="89"/>
      <c r="O493" s="89"/>
      <c r="P493" s="89"/>
      <c r="Q493" s="89"/>
      <c r="R493" s="89"/>
      <c r="S493" s="89"/>
      <c r="T493" s="89"/>
      <c r="U493" s="89"/>
      <c r="V493" s="89"/>
      <c r="W493" s="89"/>
      <c r="X493" s="89"/>
      <c r="Y493" s="89"/>
      <c r="Z493" s="89"/>
      <c r="AA493" s="89"/>
      <c r="AB493" s="89"/>
      <c r="AC493" s="89"/>
      <c r="AD493" s="89"/>
      <c r="AE493" s="89"/>
      <c r="AF493" s="89"/>
      <c r="AG493" s="89"/>
      <c r="AH493" s="89"/>
      <c r="AI493" s="89"/>
      <c r="AJ493" s="89"/>
      <c r="AK493" s="89"/>
      <c r="AL493" s="89"/>
      <c r="AM493" s="89"/>
      <c r="AN493" s="89"/>
      <c r="AO493" s="89"/>
      <c r="AP493" s="89"/>
      <c r="AQ493" s="89"/>
      <c r="AR493" s="89"/>
      <c r="AS493" s="89"/>
      <c r="AT493" s="89"/>
      <c r="AU493" s="89"/>
      <c r="AV493" s="89"/>
      <c r="AW493" s="89"/>
      <c r="AX493" s="89"/>
      <c r="AY493" s="89"/>
      <c r="AZ493" s="89"/>
      <c r="BA493" s="95"/>
    </row>
    <row r="494" spans="1:53" s="87" customFormat="1">
      <c r="A494" s="90" t="str">
        <f t="shared" si="32"/>
        <v/>
      </c>
      <c r="B494" s="89">
        <v>21</v>
      </c>
      <c r="C494" s="89">
        <v>5</v>
      </c>
      <c r="D494" s="89">
        <v>6</v>
      </c>
      <c r="E494" s="89" t="s">
        <v>210</v>
      </c>
      <c r="F494" s="89" t="s">
        <v>210</v>
      </c>
      <c r="G494" s="89">
        <v>-10</v>
      </c>
      <c r="H494" s="89">
        <v>2</v>
      </c>
      <c r="I494" s="89">
        <v>-8</v>
      </c>
      <c r="J494" s="89">
        <v>-7</v>
      </c>
      <c r="K494" s="89" t="s">
        <v>210</v>
      </c>
      <c r="L494" s="89"/>
      <c r="M494" s="89"/>
      <c r="N494" s="89"/>
      <c r="O494" s="89"/>
      <c r="P494" s="89"/>
      <c r="Q494" s="89"/>
      <c r="R494" s="89"/>
      <c r="S494" s="89"/>
      <c r="T494" s="89"/>
      <c r="U494" s="89"/>
      <c r="V494" s="89"/>
      <c r="W494" s="89"/>
      <c r="X494" s="89"/>
      <c r="Y494" s="89"/>
      <c r="Z494" s="89"/>
      <c r="AA494" s="89"/>
      <c r="AB494" s="89"/>
      <c r="AC494" s="89"/>
      <c r="AD494" s="89"/>
      <c r="AE494" s="89"/>
      <c r="AF494" s="89"/>
      <c r="AG494" s="89"/>
      <c r="AH494" s="89"/>
      <c r="AI494" s="89"/>
      <c r="AJ494" s="89"/>
      <c r="AK494" s="89"/>
      <c r="AL494" s="89"/>
      <c r="AM494" s="89"/>
      <c r="AN494" s="89"/>
      <c r="AO494" s="89"/>
      <c r="AP494" s="89"/>
      <c r="AQ494" s="89"/>
      <c r="AR494" s="89"/>
      <c r="AS494" s="89"/>
      <c r="AT494" s="89"/>
      <c r="AU494" s="89"/>
      <c r="AV494" s="89"/>
      <c r="AW494" s="89"/>
      <c r="AX494" s="89"/>
      <c r="AY494" s="89"/>
      <c r="AZ494" s="89"/>
      <c r="BA494" s="95"/>
    </row>
    <row r="495" spans="1:53" s="87" customFormat="1">
      <c r="A495" s="90" t="str">
        <f t="shared" si="32"/>
        <v/>
      </c>
      <c r="B495" s="89">
        <v>22</v>
      </c>
      <c r="C495" s="89">
        <v>2</v>
      </c>
      <c r="D495" s="89" t="s">
        <v>210</v>
      </c>
      <c r="E495" s="89">
        <v>3</v>
      </c>
      <c r="F495" s="89" t="s">
        <v>210</v>
      </c>
      <c r="G495" s="89">
        <v>-9</v>
      </c>
      <c r="H495" s="89">
        <v>-6</v>
      </c>
      <c r="I495" s="89" t="s">
        <v>210</v>
      </c>
      <c r="J495" s="89">
        <v>4</v>
      </c>
      <c r="K495" s="89">
        <v>-1</v>
      </c>
      <c r="L495" s="89"/>
      <c r="M495" s="89"/>
      <c r="N495" s="89"/>
      <c r="O495" s="89"/>
      <c r="P495" s="89"/>
      <c r="Q495" s="89"/>
      <c r="R495" s="89"/>
      <c r="S495" s="89"/>
      <c r="T495" s="89"/>
      <c r="U495" s="89"/>
      <c r="V495" s="89"/>
      <c r="W495" s="89"/>
      <c r="X495" s="89"/>
      <c r="Y495" s="89"/>
      <c r="Z495" s="89"/>
      <c r="AA495" s="89"/>
      <c r="AB495" s="89"/>
      <c r="AC495" s="89"/>
      <c r="AD495" s="89"/>
      <c r="AE495" s="89"/>
      <c r="AF495" s="89"/>
      <c r="AG495" s="89"/>
      <c r="AH495" s="89"/>
      <c r="AI495" s="89"/>
      <c r="AJ495" s="89"/>
      <c r="AK495" s="89"/>
      <c r="AL495" s="89"/>
      <c r="AM495" s="89"/>
      <c r="AN495" s="89"/>
      <c r="AO495" s="89"/>
      <c r="AP495" s="89"/>
      <c r="AQ495" s="89"/>
      <c r="AR495" s="89"/>
      <c r="AS495" s="89"/>
      <c r="AT495" s="89"/>
      <c r="AU495" s="89"/>
      <c r="AV495" s="89"/>
      <c r="AW495" s="89"/>
      <c r="AX495" s="89"/>
      <c r="AY495" s="89"/>
      <c r="AZ495" s="89"/>
      <c r="BA495" s="95"/>
    </row>
    <row r="496" spans="1:53" s="87" customFormat="1">
      <c r="A496" s="90" t="str">
        <f t="shared" si="32"/>
        <v/>
      </c>
      <c r="B496" s="89">
        <v>23</v>
      </c>
      <c r="C496" s="89" t="s">
        <v>210</v>
      </c>
      <c r="D496" s="89">
        <v>-1</v>
      </c>
      <c r="E496" s="89">
        <v>6</v>
      </c>
      <c r="F496" s="89">
        <v>7</v>
      </c>
      <c r="G496" s="89" t="s">
        <v>210</v>
      </c>
      <c r="H496" s="89">
        <v>-5</v>
      </c>
      <c r="I496" s="89">
        <v>2</v>
      </c>
      <c r="J496" s="89">
        <v>-4</v>
      </c>
      <c r="K496" s="89" t="s">
        <v>210</v>
      </c>
      <c r="L496" s="89"/>
      <c r="M496" s="89"/>
      <c r="N496" s="89"/>
      <c r="O496" s="89"/>
      <c r="P496" s="89"/>
      <c r="Q496" s="89"/>
      <c r="R496" s="89"/>
      <c r="S496" s="89"/>
      <c r="T496" s="89"/>
      <c r="U496" s="89"/>
      <c r="V496" s="89"/>
      <c r="W496" s="89"/>
      <c r="X496" s="89"/>
      <c r="Y496" s="89"/>
      <c r="Z496" s="89"/>
      <c r="AA496" s="89"/>
      <c r="AB496" s="89"/>
      <c r="AC496" s="89"/>
      <c r="AD496" s="89"/>
      <c r="AE496" s="89"/>
      <c r="AF496" s="89"/>
      <c r="AG496" s="89"/>
      <c r="AH496" s="89"/>
      <c r="AI496" s="89"/>
      <c r="AJ496" s="89"/>
      <c r="AK496" s="89"/>
      <c r="AL496" s="89"/>
      <c r="AM496" s="89"/>
      <c r="AN496" s="89"/>
      <c r="AO496" s="89"/>
      <c r="AP496" s="89"/>
      <c r="AQ496" s="89"/>
      <c r="AR496" s="89"/>
      <c r="AS496" s="89"/>
      <c r="AT496" s="89"/>
      <c r="AU496" s="89"/>
      <c r="AV496" s="89"/>
      <c r="AW496" s="89"/>
      <c r="AX496" s="89"/>
      <c r="AY496" s="89"/>
      <c r="AZ496" s="89"/>
      <c r="BA496" s="95"/>
    </row>
    <row r="497" spans="1:53" s="87" customFormat="1">
      <c r="A497" s="90" t="str">
        <f t="shared" si="32"/>
        <v/>
      </c>
      <c r="B497" s="89">
        <v>24</v>
      </c>
      <c r="C497" s="89" t="s">
        <v>210</v>
      </c>
      <c r="D497" s="89">
        <v>7</v>
      </c>
      <c r="E497" s="89">
        <v>-8</v>
      </c>
      <c r="F497" s="89">
        <v>4</v>
      </c>
      <c r="G497" s="89">
        <v>9</v>
      </c>
      <c r="H497" s="89" t="s">
        <v>210</v>
      </c>
      <c r="I497" s="89">
        <v>-2</v>
      </c>
      <c r="J497" s="89">
        <v>-6</v>
      </c>
      <c r="K497" s="89" t="s">
        <v>210</v>
      </c>
      <c r="L497" s="89"/>
      <c r="M497" s="89"/>
      <c r="N497" s="89"/>
      <c r="O497" s="89"/>
      <c r="P497" s="89"/>
      <c r="Q497" s="89"/>
      <c r="R497" s="89"/>
      <c r="S497" s="89"/>
      <c r="T497" s="89"/>
      <c r="U497" s="89"/>
      <c r="V497" s="89"/>
      <c r="W497" s="89"/>
      <c r="X497" s="89"/>
      <c r="Y497" s="89"/>
      <c r="Z497" s="89"/>
      <c r="AA497" s="89"/>
      <c r="AB497" s="89"/>
      <c r="AC497" s="89"/>
      <c r="AD497" s="89"/>
      <c r="AE497" s="89"/>
      <c r="AF497" s="89"/>
      <c r="AG497" s="89"/>
      <c r="AH497" s="89"/>
      <c r="AI497" s="89"/>
      <c r="AJ497" s="89"/>
      <c r="AK497" s="89"/>
      <c r="AL497" s="89"/>
      <c r="AM497" s="89"/>
      <c r="AN497" s="89"/>
      <c r="AO497" s="89"/>
      <c r="AP497" s="89"/>
      <c r="AQ497" s="89"/>
      <c r="AR497" s="89"/>
      <c r="AS497" s="89"/>
      <c r="AT497" s="89"/>
      <c r="AU497" s="89"/>
      <c r="AV497" s="89"/>
      <c r="AW497" s="89"/>
      <c r="AX497" s="89"/>
      <c r="AY497" s="89"/>
      <c r="AZ497" s="89"/>
      <c r="BA497" s="95"/>
    </row>
    <row r="498" spans="1:53" s="87" customFormat="1">
      <c r="A498" s="90" t="str">
        <f t="shared" si="32"/>
        <v/>
      </c>
      <c r="B498" s="89">
        <v>25</v>
      </c>
      <c r="C498" s="89">
        <v>8</v>
      </c>
      <c r="D498" s="89" t="s">
        <v>210</v>
      </c>
      <c r="E498" s="89">
        <v>-3</v>
      </c>
      <c r="F498" s="89">
        <v>-7</v>
      </c>
      <c r="G498" s="89" t="s">
        <v>210</v>
      </c>
      <c r="H498" s="89">
        <v>4</v>
      </c>
      <c r="I498" s="89" t="s">
        <v>210</v>
      </c>
      <c r="J498" s="89">
        <v>6</v>
      </c>
      <c r="K498" s="89">
        <v>-10</v>
      </c>
      <c r="L498" s="89"/>
      <c r="M498" s="89"/>
      <c r="N498" s="89"/>
      <c r="O498" s="89"/>
      <c r="P498" s="89"/>
      <c r="Q498" s="89"/>
      <c r="R498" s="89"/>
      <c r="S498" s="89"/>
      <c r="T498" s="89"/>
      <c r="U498" s="89"/>
      <c r="V498" s="89"/>
      <c r="W498" s="89"/>
      <c r="X498" s="89"/>
      <c r="Y498" s="89"/>
      <c r="Z498" s="89"/>
      <c r="AA498" s="89"/>
      <c r="AB498" s="89"/>
      <c r="AC498" s="89"/>
      <c r="AD498" s="89"/>
      <c r="AE498" s="89"/>
      <c r="AF498" s="89"/>
      <c r="AG498" s="89"/>
      <c r="AH498" s="89"/>
      <c r="AI498" s="89"/>
      <c r="AJ498" s="89"/>
      <c r="AK498" s="89"/>
      <c r="AL498" s="89"/>
      <c r="AM498" s="89"/>
      <c r="AN498" s="89"/>
      <c r="AO498" s="89"/>
      <c r="AP498" s="89"/>
      <c r="AQ498" s="89"/>
      <c r="AR498" s="89"/>
      <c r="AS498" s="89"/>
      <c r="AT498" s="89"/>
      <c r="AU498" s="89"/>
      <c r="AV498" s="89"/>
      <c r="AW498" s="89"/>
      <c r="AX498" s="89"/>
      <c r="AY498" s="89"/>
      <c r="AZ498" s="89"/>
      <c r="BA498" s="95"/>
    </row>
    <row r="499" spans="1:53" s="87" customFormat="1">
      <c r="A499" s="90" t="str">
        <f t="shared" si="32"/>
        <v/>
      </c>
      <c r="B499" s="89">
        <v>26</v>
      </c>
      <c r="C499" s="89" t="s">
        <v>210</v>
      </c>
      <c r="D499" s="89">
        <v>-7</v>
      </c>
      <c r="E499" s="89">
        <v>-6</v>
      </c>
      <c r="F499" s="89" t="s">
        <v>210</v>
      </c>
      <c r="G499" s="89">
        <v>3</v>
      </c>
      <c r="H499" s="89">
        <v>-4</v>
      </c>
      <c r="I499" s="89" t="s">
        <v>210</v>
      </c>
      <c r="J499" s="89">
        <v>5</v>
      </c>
      <c r="K499" s="89">
        <v>1</v>
      </c>
      <c r="L499" s="89"/>
      <c r="M499" s="89"/>
      <c r="N499" s="89"/>
      <c r="O499" s="89"/>
      <c r="P499" s="89"/>
      <c r="Q499" s="89"/>
      <c r="R499" s="89"/>
      <c r="S499" s="89"/>
      <c r="T499" s="89"/>
      <c r="U499" s="89"/>
      <c r="V499" s="89"/>
      <c r="W499" s="89"/>
      <c r="X499" s="89"/>
      <c r="Y499" s="89"/>
      <c r="Z499" s="89"/>
      <c r="AA499" s="89"/>
      <c r="AB499" s="89"/>
      <c r="AC499" s="89"/>
      <c r="AD499" s="89"/>
      <c r="AE499" s="89"/>
      <c r="AF499" s="89"/>
      <c r="AG499" s="89"/>
      <c r="AH499" s="89"/>
      <c r="AI499" s="89"/>
      <c r="AJ499" s="89"/>
      <c r="AK499" s="89"/>
      <c r="AL499" s="89"/>
      <c r="AM499" s="89"/>
      <c r="AN499" s="89"/>
      <c r="AO499" s="89"/>
      <c r="AP499" s="89"/>
      <c r="AQ499" s="89"/>
      <c r="AR499" s="89"/>
      <c r="AS499" s="89"/>
      <c r="AT499" s="89"/>
      <c r="AU499" s="89"/>
      <c r="AV499" s="89"/>
      <c r="AW499" s="89"/>
      <c r="AX499" s="89"/>
      <c r="AY499" s="89"/>
      <c r="AZ499" s="89"/>
      <c r="BA499" s="95"/>
    </row>
    <row r="500" spans="1:53" s="87" customFormat="1">
      <c r="A500" s="90" t="str">
        <f t="shared" si="32"/>
        <v/>
      </c>
      <c r="B500" s="89">
        <v>27</v>
      </c>
      <c r="C500" s="89">
        <v>-8</v>
      </c>
      <c r="D500" s="89">
        <v>1</v>
      </c>
      <c r="E500" s="89" t="s">
        <v>210</v>
      </c>
      <c r="F500" s="89">
        <v>-4</v>
      </c>
      <c r="G500" s="89" t="s">
        <v>210</v>
      </c>
      <c r="H500" s="89">
        <v>6</v>
      </c>
      <c r="I500" s="89">
        <v>9</v>
      </c>
      <c r="J500" s="89">
        <v>-5</v>
      </c>
      <c r="K500" s="89" t="s">
        <v>210</v>
      </c>
      <c r="L500" s="89"/>
      <c r="M500" s="89"/>
      <c r="N500" s="89"/>
      <c r="O500" s="89"/>
      <c r="P500" s="89"/>
      <c r="Q500" s="89"/>
      <c r="R500" s="89"/>
      <c r="S500" s="89"/>
      <c r="T500" s="89"/>
      <c r="U500" s="89"/>
      <c r="V500" s="89"/>
      <c r="W500" s="89"/>
      <c r="X500" s="89"/>
      <c r="Y500" s="89"/>
      <c r="Z500" s="89"/>
      <c r="AA500" s="89"/>
      <c r="AB500" s="89"/>
      <c r="AC500" s="89"/>
      <c r="AD500" s="89"/>
      <c r="AE500" s="89"/>
      <c r="AF500" s="89"/>
      <c r="AG500" s="89"/>
      <c r="AH500" s="89"/>
      <c r="AI500" s="89"/>
      <c r="AJ500" s="89"/>
      <c r="AK500" s="89"/>
      <c r="AL500" s="89"/>
      <c r="AM500" s="89"/>
      <c r="AN500" s="89"/>
      <c r="AO500" s="89"/>
      <c r="AP500" s="89"/>
      <c r="AQ500" s="89"/>
      <c r="AR500" s="89"/>
      <c r="AS500" s="89"/>
      <c r="AT500" s="89"/>
      <c r="AU500" s="89"/>
      <c r="AV500" s="89"/>
      <c r="AW500" s="89"/>
      <c r="AX500" s="89"/>
      <c r="AY500" s="89"/>
      <c r="AZ500" s="89"/>
      <c r="BA500" s="95"/>
    </row>
    <row r="501" spans="1:53" s="87" customFormat="1">
      <c r="A501" s="90" t="str">
        <f t="shared" si="32"/>
        <v/>
      </c>
      <c r="B501" s="89">
        <v>28</v>
      </c>
      <c r="C501" s="89">
        <v>-2</v>
      </c>
      <c r="D501" s="89" t="s">
        <v>210</v>
      </c>
      <c r="E501" s="89">
        <v>8</v>
      </c>
      <c r="F501" s="89" t="s">
        <v>210</v>
      </c>
      <c r="G501" s="89">
        <v>-3</v>
      </c>
      <c r="H501" s="89">
        <v>5</v>
      </c>
      <c r="I501" s="89">
        <v>-9</v>
      </c>
      <c r="J501" s="89" t="s">
        <v>210</v>
      </c>
      <c r="K501" s="89">
        <v>10</v>
      </c>
      <c r="L501" s="89"/>
      <c r="M501" s="89"/>
      <c r="N501" s="89"/>
      <c r="O501" s="89"/>
      <c r="P501" s="89"/>
      <c r="Q501" s="89"/>
      <c r="R501" s="89"/>
      <c r="S501" s="89"/>
      <c r="T501" s="89"/>
      <c r="U501" s="89"/>
      <c r="V501" s="89"/>
      <c r="W501" s="89"/>
      <c r="X501" s="89"/>
      <c r="Y501" s="89"/>
      <c r="Z501" s="89"/>
      <c r="AA501" s="89"/>
      <c r="AB501" s="89"/>
      <c r="AC501" s="89"/>
      <c r="AD501" s="89"/>
      <c r="AE501" s="89"/>
      <c r="AF501" s="89"/>
      <c r="AG501" s="89"/>
      <c r="AH501" s="89"/>
      <c r="AI501" s="89"/>
      <c r="AJ501" s="89"/>
      <c r="AK501" s="89"/>
      <c r="AL501" s="89"/>
      <c r="AM501" s="89"/>
      <c r="AN501" s="89"/>
      <c r="AO501" s="89"/>
      <c r="AP501" s="89"/>
      <c r="AQ501" s="89"/>
      <c r="AR501" s="89"/>
      <c r="AS501" s="89"/>
      <c r="AT501" s="89"/>
      <c r="AU501" s="89"/>
      <c r="AV501" s="89"/>
      <c r="AW501" s="89"/>
      <c r="AX501" s="89"/>
      <c r="AY501" s="89"/>
      <c r="AZ501" s="89"/>
      <c r="BA501" s="95"/>
    </row>
    <row r="502" spans="1:53" s="87" customFormat="1">
      <c r="A502" s="90" t="str">
        <f t="shared" si="32"/>
        <v/>
      </c>
      <c r="B502" s="319" t="s">
        <v>919</v>
      </c>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c r="AA502" s="89"/>
      <c r="AB502" s="89"/>
      <c r="AC502" s="89"/>
      <c r="AD502" s="89"/>
      <c r="AE502" s="89"/>
      <c r="AF502" s="89"/>
      <c r="AG502" s="89"/>
      <c r="AH502" s="89"/>
      <c r="AI502" s="89"/>
      <c r="AJ502" s="89"/>
      <c r="AK502" s="89"/>
      <c r="AL502" s="89"/>
      <c r="AM502" s="89"/>
      <c r="AN502" s="89"/>
      <c r="AO502" s="89"/>
      <c r="AP502" s="89"/>
      <c r="AQ502" s="89"/>
      <c r="AR502" s="89"/>
      <c r="AS502" s="89"/>
      <c r="AT502" s="89"/>
      <c r="AU502" s="89"/>
      <c r="AV502" s="89"/>
      <c r="AW502" s="89"/>
      <c r="AX502" s="89"/>
      <c r="AY502" s="89"/>
      <c r="AZ502" s="89"/>
      <c r="BA502" s="95"/>
    </row>
    <row r="503" spans="1:53" s="87" customFormat="1">
      <c r="A503" s="90" t="str">
        <f t="shared" si="32"/>
        <v/>
      </c>
      <c r="B503" s="89"/>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c r="AA503" s="89"/>
      <c r="AB503" s="89"/>
      <c r="AC503" s="89"/>
      <c r="AD503" s="89"/>
      <c r="AE503" s="89"/>
      <c r="AF503" s="89"/>
      <c r="AG503" s="89"/>
      <c r="AH503" s="89"/>
      <c r="AI503" s="89"/>
      <c r="AJ503" s="89"/>
      <c r="AK503" s="89"/>
      <c r="AL503" s="89"/>
      <c r="AM503" s="89"/>
      <c r="AN503" s="89"/>
      <c r="AO503" s="89"/>
      <c r="AP503" s="89"/>
      <c r="AQ503" s="89"/>
      <c r="AR503" s="89"/>
      <c r="AS503" s="89"/>
      <c r="AT503" s="89"/>
      <c r="AU503" s="89"/>
      <c r="AV503" s="89"/>
      <c r="AW503" s="89"/>
      <c r="AX503" s="89"/>
      <c r="AY503" s="89"/>
      <c r="AZ503" s="89"/>
      <c r="BA503" s="95"/>
    </row>
    <row r="504" spans="1:53" s="87" customFormat="1">
      <c r="A504" s="90" t="str">
        <f t="shared" si="32"/>
        <v/>
      </c>
      <c r="B504" s="89"/>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9"/>
      <c r="AC504" s="89"/>
      <c r="AD504" s="89"/>
      <c r="AE504" s="89"/>
      <c r="AF504" s="89"/>
      <c r="AG504" s="89"/>
      <c r="AH504" s="89"/>
      <c r="AI504" s="89"/>
      <c r="AJ504" s="89"/>
      <c r="AK504" s="89"/>
      <c r="AL504" s="89"/>
      <c r="AM504" s="89"/>
      <c r="AN504" s="89"/>
      <c r="AO504" s="89"/>
      <c r="AP504" s="89"/>
      <c r="AQ504" s="89"/>
      <c r="AR504" s="89"/>
      <c r="AS504" s="89"/>
      <c r="AT504" s="89"/>
      <c r="AU504" s="89"/>
      <c r="AV504" s="89"/>
      <c r="AW504" s="89"/>
      <c r="AX504" s="89"/>
      <c r="AY504" s="89"/>
      <c r="AZ504" s="89"/>
      <c r="BA504" s="95"/>
    </row>
    <row r="505" spans="1:53" s="87" customFormat="1">
      <c r="A505" s="90" t="str">
        <f t="shared" si="32"/>
        <v/>
      </c>
      <c r="B505" s="89"/>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c r="AA505" s="89"/>
      <c r="AB505" s="89"/>
      <c r="AC505" s="89"/>
      <c r="AD505" s="89"/>
      <c r="AE505" s="89"/>
      <c r="AF505" s="89"/>
      <c r="AG505" s="89"/>
      <c r="AH505" s="89"/>
      <c r="AI505" s="89"/>
      <c r="AJ505" s="89"/>
      <c r="AK505" s="89"/>
      <c r="AL505" s="89"/>
      <c r="AM505" s="89"/>
      <c r="AN505" s="89"/>
      <c r="AO505" s="89"/>
      <c r="AP505" s="89"/>
      <c r="AQ505" s="89"/>
      <c r="AR505" s="89"/>
      <c r="AS505" s="89"/>
      <c r="AT505" s="89"/>
      <c r="AU505" s="89"/>
      <c r="AV505" s="89"/>
      <c r="AW505" s="89"/>
      <c r="AX505" s="89"/>
      <c r="AY505" s="89"/>
      <c r="AZ505" s="89"/>
      <c r="BA505" s="95"/>
    </row>
    <row r="506" spans="1:53" s="87" customFormat="1">
      <c r="A506" s="90" t="str">
        <f t="shared" si="32"/>
        <v/>
      </c>
      <c r="B506" s="89"/>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c r="AA506" s="89"/>
      <c r="AB506" s="89"/>
      <c r="AC506" s="89"/>
      <c r="AD506" s="89"/>
      <c r="AE506" s="89"/>
      <c r="AF506" s="89"/>
      <c r="AG506" s="89"/>
      <c r="AH506" s="89"/>
      <c r="AI506" s="89"/>
      <c r="AJ506" s="89"/>
      <c r="AK506" s="89"/>
      <c r="AL506" s="89"/>
      <c r="AM506" s="89"/>
      <c r="AN506" s="89"/>
      <c r="AO506" s="89"/>
      <c r="AP506" s="89"/>
      <c r="AQ506" s="89"/>
      <c r="AR506" s="89"/>
      <c r="AS506" s="89"/>
      <c r="AT506" s="89"/>
      <c r="AU506" s="89"/>
      <c r="AV506" s="89"/>
      <c r="AW506" s="89"/>
      <c r="AX506" s="89"/>
      <c r="AY506" s="89"/>
      <c r="AZ506" s="89"/>
      <c r="BA506" s="95"/>
    </row>
    <row r="507" spans="1:53" s="87" customFormat="1">
      <c r="A507" s="90" t="str">
        <f t="shared" si="32"/>
        <v/>
      </c>
      <c r="B507" s="89"/>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c r="AA507" s="89"/>
      <c r="AB507" s="89"/>
      <c r="AC507" s="89"/>
      <c r="AD507" s="89"/>
      <c r="AE507" s="89"/>
      <c r="AF507" s="89"/>
      <c r="AG507" s="89"/>
      <c r="AH507" s="89"/>
      <c r="AI507" s="89"/>
      <c r="AJ507" s="89"/>
      <c r="AK507" s="89"/>
      <c r="AL507" s="89"/>
      <c r="AM507" s="89"/>
      <c r="AN507" s="89"/>
      <c r="AO507" s="89"/>
      <c r="AP507" s="89"/>
      <c r="AQ507" s="89"/>
      <c r="AR507" s="89"/>
      <c r="AS507" s="89"/>
      <c r="AT507" s="89"/>
      <c r="AU507" s="89"/>
      <c r="AV507" s="89"/>
      <c r="AW507" s="89"/>
      <c r="AX507" s="89"/>
      <c r="AY507" s="89"/>
      <c r="AZ507" s="89"/>
      <c r="BA507" s="95"/>
    </row>
    <row r="508" spans="1:53" s="87" customFormat="1">
      <c r="A508" s="90" t="str">
        <f t="shared" si="32"/>
        <v/>
      </c>
      <c r="B508" s="89"/>
      <c r="C508" s="89"/>
      <c r="D508" s="89"/>
      <c r="E508" s="89"/>
      <c r="F508" s="89"/>
      <c r="G508" s="89"/>
      <c r="H508" s="89"/>
      <c r="I508" s="89"/>
      <c r="J508" s="89"/>
      <c r="K508" s="89"/>
      <c r="L508" s="89"/>
      <c r="M508" s="89"/>
      <c r="N508" s="89"/>
      <c r="O508" s="89"/>
      <c r="P508" s="89"/>
      <c r="Q508" s="89"/>
      <c r="R508" s="89"/>
      <c r="S508" s="89"/>
      <c r="T508" s="89"/>
      <c r="U508" s="89"/>
      <c r="V508" s="89"/>
      <c r="W508" s="89"/>
      <c r="X508" s="89"/>
      <c r="Y508" s="89"/>
      <c r="Z508" s="89"/>
      <c r="AA508" s="89"/>
      <c r="AB508" s="89"/>
      <c r="AC508" s="89"/>
      <c r="AD508" s="89"/>
      <c r="AE508" s="89"/>
      <c r="AF508" s="89"/>
      <c r="AG508" s="89"/>
      <c r="AH508" s="89"/>
      <c r="AI508" s="89"/>
      <c r="AJ508" s="89"/>
      <c r="AK508" s="89"/>
      <c r="AL508" s="89"/>
      <c r="AM508" s="89"/>
      <c r="AN508" s="89"/>
      <c r="AO508" s="89"/>
      <c r="AP508" s="89"/>
      <c r="AQ508" s="89"/>
      <c r="AR508" s="89"/>
      <c r="AS508" s="89"/>
      <c r="AT508" s="89"/>
      <c r="AU508" s="89"/>
      <c r="AV508" s="89"/>
      <c r="AW508" s="89"/>
      <c r="AX508" s="89"/>
      <c r="AY508" s="89"/>
      <c r="AZ508" s="89"/>
      <c r="BA508" s="95"/>
    </row>
    <row r="509" spans="1:53" s="87" customFormat="1">
      <c r="A509" s="90" t="str">
        <f t="shared" si="32"/>
        <v/>
      </c>
      <c r="B509" s="89"/>
      <c r="C509" s="89"/>
      <c r="D509" s="89"/>
      <c r="E509" s="89"/>
      <c r="F509" s="89"/>
      <c r="G509" s="89"/>
      <c r="H509" s="89"/>
      <c r="I509" s="89"/>
      <c r="J509" s="89"/>
      <c r="K509" s="89"/>
      <c r="L509" s="89"/>
      <c r="M509" s="89"/>
      <c r="N509" s="89"/>
      <c r="O509" s="89"/>
      <c r="P509" s="89"/>
      <c r="Q509" s="89"/>
      <c r="R509" s="89"/>
      <c r="S509" s="89"/>
      <c r="T509" s="89"/>
      <c r="U509" s="89"/>
      <c r="V509" s="89"/>
      <c r="W509" s="89"/>
      <c r="X509" s="89"/>
      <c r="Y509" s="89"/>
      <c r="Z509" s="89"/>
      <c r="AA509" s="89"/>
      <c r="AB509" s="89"/>
      <c r="AC509" s="89"/>
      <c r="AD509" s="89"/>
      <c r="AE509" s="89"/>
      <c r="AF509" s="89"/>
      <c r="AG509" s="89"/>
      <c r="AH509" s="89"/>
      <c r="AI509" s="89"/>
      <c r="AJ509" s="89"/>
      <c r="AK509" s="89"/>
      <c r="AL509" s="89"/>
      <c r="AM509" s="89"/>
      <c r="AN509" s="89"/>
      <c r="AO509" s="89"/>
      <c r="AP509" s="89"/>
      <c r="AQ509" s="89"/>
      <c r="AR509" s="89"/>
      <c r="AS509" s="89"/>
      <c r="AT509" s="89"/>
      <c r="AU509" s="89"/>
      <c r="AV509" s="89"/>
      <c r="AW509" s="89"/>
      <c r="AX509" s="89"/>
      <c r="AY509" s="89"/>
      <c r="AZ509" s="89"/>
      <c r="BA509" s="95"/>
    </row>
    <row r="510" spans="1:53" s="87" customFormat="1">
      <c r="A510" s="90" t="str">
        <f t="shared" si="32"/>
        <v/>
      </c>
      <c r="B510" s="89"/>
      <c r="C510" s="89"/>
      <c r="D510" s="89"/>
      <c r="E510" s="89"/>
      <c r="F510" s="89"/>
      <c r="G510" s="89"/>
      <c r="H510" s="89"/>
      <c r="I510" s="89"/>
      <c r="J510" s="89"/>
      <c r="K510" s="89"/>
      <c r="L510" s="89"/>
      <c r="M510" s="89"/>
      <c r="N510" s="89"/>
      <c r="O510" s="89"/>
      <c r="P510" s="89"/>
      <c r="Q510" s="89"/>
      <c r="R510" s="89"/>
      <c r="S510" s="89"/>
      <c r="T510" s="89"/>
      <c r="U510" s="89"/>
      <c r="V510" s="89"/>
      <c r="W510" s="89"/>
      <c r="X510" s="89"/>
      <c r="Y510" s="89"/>
      <c r="Z510" s="89"/>
      <c r="AA510" s="89"/>
      <c r="AB510" s="89"/>
      <c r="AC510" s="89"/>
      <c r="AD510" s="89"/>
      <c r="AE510" s="89"/>
      <c r="AF510" s="89"/>
      <c r="AG510" s="89"/>
      <c r="AH510" s="89"/>
      <c r="AI510" s="89"/>
      <c r="AJ510" s="89"/>
      <c r="AK510" s="89"/>
      <c r="AL510" s="89"/>
      <c r="AM510" s="89"/>
      <c r="AN510" s="89"/>
      <c r="AO510" s="89"/>
      <c r="AP510" s="89"/>
      <c r="AQ510" s="89"/>
      <c r="AR510" s="89"/>
      <c r="AS510" s="89"/>
      <c r="AT510" s="89"/>
      <c r="AU510" s="89"/>
      <c r="AV510" s="89"/>
      <c r="AW510" s="89"/>
      <c r="AX510" s="89"/>
      <c r="AY510" s="89"/>
      <c r="AZ510" s="89"/>
      <c r="BA510" s="95"/>
    </row>
    <row r="511" spans="1:53" s="87" customFormat="1">
      <c r="A511" s="90" t="str">
        <f t="shared" si="32"/>
        <v/>
      </c>
      <c r="B511" s="89"/>
      <c r="C511" s="89"/>
      <c r="D511" s="89"/>
      <c r="E511" s="89"/>
      <c r="F511" s="89"/>
      <c r="G511" s="89"/>
      <c r="H511" s="89"/>
      <c r="I511" s="89"/>
      <c r="J511" s="89"/>
      <c r="K511" s="89"/>
      <c r="L511" s="89"/>
      <c r="M511" s="89"/>
      <c r="N511" s="89"/>
      <c r="O511" s="89"/>
      <c r="P511" s="89"/>
      <c r="Q511" s="89"/>
      <c r="R511" s="89"/>
      <c r="S511" s="89"/>
      <c r="T511" s="89"/>
      <c r="U511" s="89"/>
      <c r="V511" s="89"/>
      <c r="W511" s="89"/>
      <c r="X511" s="89"/>
      <c r="Y511" s="89"/>
      <c r="Z511" s="89"/>
      <c r="AA511" s="89"/>
      <c r="AB511" s="89"/>
      <c r="AC511" s="89"/>
      <c r="AD511" s="89"/>
      <c r="AE511" s="89"/>
      <c r="AF511" s="89"/>
      <c r="AG511" s="89"/>
      <c r="AH511" s="89"/>
      <c r="AI511" s="89"/>
      <c r="AJ511" s="89"/>
      <c r="AK511" s="89"/>
      <c r="AL511" s="89"/>
      <c r="AM511" s="89"/>
      <c r="AN511" s="89"/>
      <c r="AO511" s="89"/>
      <c r="AP511" s="89"/>
      <c r="AQ511" s="89"/>
      <c r="AR511" s="89"/>
      <c r="AS511" s="89"/>
      <c r="AT511" s="89"/>
      <c r="AU511" s="89"/>
      <c r="AV511" s="89"/>
      <c r="AW511" s="89"/>
      <c r="AX511" s="89"/>
      <c r="AY511" s="89"/>
      <c r="AZ511" s="89"/>
      <c r="BA511" s="95"/>
    </row>
    <row r="512" spans="1:53" s="87" customFormat="1">
      <c r="A512" s="90" t="str">
        <f t="shared" si="32"/>
        <v/>
      </c>
      <c r="B512" s="89"/>
      <c r="C512" s="89"/>
      <c r="D512" s="89"/>
      <c r="E512" s="89"/>
      <c r="F512" s="89"/>
      <c r="G512" s="89"/>
      <c r="H512" s="89"/>
      <c r="I512" s="89"/>
      <c r="J512" s="89"/>
      <c r="K512" s="89"/>
      <c r="L512" s="89"/>
      <c r="M512" s="89"/>
      <c r="N512" s="89"/>
      <c r="O512" s="89"/>
      <c r="P512" s="89"/>
      <c r="Q512" s="89"/>
      <c r="R512" s="89"/>
      <c r="S512" s="89"/>
      <c r="T512" s="89"/>
      <c r="U512" s="89"/>
      <c r="V512" s="89"/>
      <c r="W512" s="89"/>
      <c r="X512" s="89"/>
      <c r="Y512" s="89"/>
      <c r="Z512" s="89"/>
      <c r="AA512" s="89"/>
      <c r="AB512" s="89"/>
      <c r="AC512" s="89"/>
      <c r="AD512" s="89"/>
      <c r="AE512" s="89"/>
      <c r="AF512" s="89"/>
      <c r="AG512" s="89"/>
      <c r="AH512" s="89"/>
      <c r="AI512" s="89"/>
      <c r="AJ512" s="89"/>
      <c r="AK512" s="89"/>
      <c r="AL512" s="89"/>
      <c r="AM512" s="89"/>
      <c r="AN512" s="89"/>
      <c r="AO512" s="89"/>
      <c r="AP512" s="89"/>
      <c r="AQ512" s="89"/>
      <c r="AR512" s="89"/>
      <c r="AS512" s="89"/>
      <c r="AT512" s="89"/>
      <c r="AU512" s="89"/>
      <c r="AV512" s="89"/>
      <c r="AW512" s="89"/>
      <c r="AX512" s="89"/>
      <c r="AY512" s="89"/>
      <c r="AZ512" s="89"/>
      <c r="BA512" s="95"/>
    </row>
    <row r="513" spans="1:53" s="87" customFormat="1">
      <c r="A513" s="90" t="str">
        <f t="shared" si="32"/>
        <v/>
      </c>
      <c r="B513" s="89"/>
      <c r="C513" s="89"/>
      <c r="D513" s="89"/>
      <c r="E513" s="89"/>
      <c r="F513" s="89"/>
      <c r="G513" s="89"/>
      <c r="H513" s="89"/>
      <c r="I513" s="89"/>
      <c r="J513" s="89"/>
      <c r="K513" s="89"/>
      <c r="L513" s="89"/>
      <c r="M513" s="89"/>
      <c r="N513" s="89"/>
      <c r="O513" s="89"/>
      <c r="P513" s="89"/>
      <c r="Q513" s="89"/>
      <c r="R513" s="89"/>
      <c r="S513" s="89"/>
      <c r="T513" s="89"/>
      <c r="U513" s="89"/>
      <c r="V513" s="89"/>
      <c r="W513" s="89"/>
      <c r="X513" s="89"/>
      <c r="Y513" s="89"/>
      <c r="Z513" s="89"/>
      <c r="AA513" s="89"/>
      <c r="AB513" s="89"/>
      <c r="AC513" s="89"/>
      <c r="AD513" s="89"/>
      <c r="AE513" s="89"/>
      <c r="AF513" s="89"/>
      <c r="AG513" s="89"/>
      <c r="AH513" s="89"/>
      <c r="AI513" s="89"/>
      <c r="AJ513" s="89"/>
      <c r="AK513" s="89"/>
      <c r="AL513" s="89"/>
      <c r="AM513" s="89"/>
      <c r="AN513" s="89"/>
      <c r="AO513" s="89"/>
      <c r="AP513" s="89"/>
      <c r="AQ513" s="89"/>
      <c r="AR513" s="89"/>
      <c r="AS513" s="89"/>
      <c r="AT513" s="89"/>
      <c r="AU513" s="89"/>
      <c r="AV513" s="89"/>
      <c r="AW513" s="89"/>
      <c r="AX513" s="89"/>
      <c r="AY513" s="89"/>
      <c r="AZ513" s="89"/>
      <c r="BA513" s="95"/>
    </row>
    <row r="514" spans="1:53" s="87" customFormat="1">
      <c r="A514" s="90" t="str">
        <f t="shared" si="32"/>
        <v/>
      </c>
      <c r="B514" s="89"/>
      <c r="C514" s="89"/>
      <c r="D514" s="89"/>
      <c r="E514" s="89"/>
      <c r="F514" s="89"/>
      <c r="G514" s="89"/>
      <c r="H514" s="89"/>
      <c r="I514" s="89"/>
      <c r="J514" s="89"/>
      <c r="K514" s="89"/>
      <c r="L514" s="89"/>
      <c r="M514" s="89"/>
      <c r="N514" s="89"/>
      <c r="O514" s="89"/>
      <c r="P514" s="89"/>
      <c r="Q514" s="89"/>
      <c r="R514" s="89"/>
      <c r="S514" s="89"/>
      <c r="T514" s="89"/>
      <c r="U514" s="89"/>
      <c r="V514" s="89"/>
      <c r="W514" s="89"/>
      <c r="X514" s="89"/>
      <c r="Y514" s="89"/>
      <c r="Z514" s="89"/>
      <c r="AA514" s="89"/>
      <c r="AB514" s="89"/>
      <c r="AC514" s="89"/>
      <c r="AD514" s="89"/>
      <c r="AE514" s="89"/>
      <c r="AF514" s="89"/>
      <c r="AG514" s="89"/>
      <c r="AH514" s="89"/>
      <c r="AI514" s="89"/>
      <c r="AJ514" s="89"/>
      <c r="AK514" s="89"/>
      <c r="AL514" s="89"/>
      <c r="AM514" s="89"/>
      <c r="AN514" s="89"/>
      <c r="AO514" s="89"/>
      <c r="AP514" s="89"/>
      <c r="AQ514" s="89"/>
      <c r="AR514" s="89"/>
      <c r="AS514" s="89"/>
      <c r="AT514" s="89"/>
      <c r="AU514" s="89"/>
      <c r="AV514" s="89"/>
      <c r="AW514" s="89"/>
      <c r="AX514" s="89"/>
      <c r="AY514" s="89"/>
      <c r="AZ514" s="89"/>
      <c r="BA514" s="95"/>
    </row>
    <row r="515" spans="1:53" s="87" customFormat="1">
      <c r="A515" s="90" t="str">
        <f t="shared" si="32"/>
        <v/>
      </c>
      <c r="B515" s="89"/>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c r="AA515" s="89"/>
      <c r="AB515" s="89"/>
      <c r="AC515" s="89"/>
      <c r="AD515" s="89"/>
      <c r="AE515" s="89"/>
      <c r="AF515" s="89"/>
      <c r="AG515" s="89"/>
      <c r="AH515" s="89"/>
      <c r="AI515" s="89"/>
      <c r="AJ515" s="89"/>
      <c r="AK515" s="89"/>
      <c r="AL515" s="89"/>
      <c r="AM515" s="89"/>
      <c r="AN515" s="89"/>
      <c r="AO515" s="89"/>
      <c r="AP515" s="89"/>
      <c r="AQ515" s="89"/>
      <c r="AR515" s="89"/>
      <c r="AS515" s="89"/>
      <c r="AT515" s="89"/>
      <c r="AU515" s="89"/>
      <c r="AV515" s="89"/>
      <c r="AW515" s="89"/>
      <c r="AX515" s="89"/>
      <c r="AY515" s="89"/>
      <c r="AZ515" s="89"/>
      <c r="BA515" s="95"/>
    </row>
    <row r="516" spans="1:53" s="87" customFormat="1">
      <c r="A516" s="90" t="str">
        <f t="shared" si="32"/>
        <v/>
      </c>
      <c r="B516" s="89"/>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c r="AA516" s="89"/>
      <c r="AB516" s="89"/>
      <c r="AC516" s="89"/>
      <c r="AD516" s="89"/>
      <c r="AE516" s="89"/>
      <c r="AF516" s="89"/>
      <c r="AG516" s="89"/>
      <c r="AH516" s="89"/>
      <c r="AI516" s="89"/>
      <c r="AJ516" s="89"/>
      <c r="AK516" s="89"/>
      <c r="AL516" s="89"/>
      <c r="AM516" s="89"/>
      <c r="AN516" s="89"/>
      <c r="AO516" s="89"/>
      <c r="AP516" s="89"/>
      <c r="AQ516" s="89"/>
      <c r="AR516" s="89"/>
      <c r="AS516" s="89"/>
      <c r="AT516" s="89"/>
      <c r="AU516" s="89"/>
      <c r="AV516" s="89"/>
      <c r="AW516" s="89"/>
      <c r="AX516" s="89"/>
      <c r="AY516" s="89"/>
      <c r="AZ516" s="89"/>
      <c r="BA516" s="95"/>
    </row>
    <row r="517" spans="1:53" s="87" customFormat="1">
      <c r="A517" s="90" t="str">
        <f t="shared" si="32"/>
        <v/>
      </c>
      <c r="B517" s="89"/>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c r="AA517" s="89"/>
      <c r="AB517" s="89"/>
      <c r="AC517" s="89"/>
      <c r="AD517" s="89"/>
      <c r="AE517" s="89"/>
      <c r="AF517" s="89"/>
      <c r="AG517" s="89"/>
      <c r="AH517" s="89"/>
      <c r="AI517" s="89"/>
      <c r="AJ517" s="89"/>
      <c r="AK517" s="89"/>
      <c r="AL517" s="89"/>
      <c r="AM517" s="89"/>
      <c r="AN517" s="89"/>
      <c r="AO517" s="89"/>
      <c r="AP517" s="89"/>
      <c r="AQ517" s="89"/>
      <c r="AR517" s="89"/>
      <c r="AS517" s="89"/>
      <c r="AT517" s="89"/>
      <c r="AU517" s="89"/>
      <c r="AV517" s="89"/>
      <c r="AW517" s="89"/>
      <c r="AX517" s="89"/>
      <c r="AY517" s="89"/>
      <c r="AZ517" s="89"/>
      <c r="BA517" s="95"/>
    </row>
    <row r="518" spans="1:53" s="87" customFormat="1">
      <c r="A518" s="90" t="str">
        <f t="shared" si="32"/>
        <v/>
      </c>
      <c r="B518" s="89"/>
      <c r="C518" s="89"/>
      <c r="D518" s="89"/>
      <c r="E518" s="89"/>
      <c r="F518" s="89"/>
      <c r="G518" s="89"/>
      <c r="H518" s="89"/>
      <c r="I518" s="89"/>
      <c r="J518" s="89"/>
      <c r="K518" s="89"/>
      <c r="L518" s="89"/>
      <c r="M518" s="89"/>
      <c r="N518" s="89"/>
      <c r="O518" s="89"/>
      <c r="P518" s="89"/>
      <c r="Q518" s="89"/>
      <c r="R518" s="89"/>
      <c r="S518" s="89"/>
      <c r="T518" s="89"/>
      <c r="U518" s="89"/>
      <c r="V518" s="89"/>
      <c r="W518" s="89"/>
      <c r="X518" s="89"/>
      <c r="Y518" s="89"/>
      <c r="Z518" s="89"/>
      <c r="AA518" s="89"/>
      <c r="AB518" s="89"/>
      <c r="AC518" s="89"/>
      <c r="AD518" s="89"/>
      <c r="AE518" s="89"/>
      <c r="AF518" s="89"/>
      <c r="AG518" s="89"/>
      <c r="AH518" s="89"/>
      <c r="AI518" s="89"/>
      <c r="AJ518" s="89"/>
      <c r="AK518" s="89"/>
      <c r="AL518" s="89"/>
      <c r="AM518" s="89"/>
      <c r="AN518" s="89"/>
      <c r="AO518" s="89"/>
      <c r="AP518" s="89"/>
      <c r="AQ518" s="89"/>
      <c r="AR518" s="89"/>
      <c r="AS518" s="89"/>
      <c r="AT518" s="89"/>
      <c r="AU518" s="89"/>
      <c r="AV518" s="89"/>
      <c r="AW518" s="89"/>
      <c r="AX518" s="89"/>
      <c r="AY518" s="89"/>
      <c r="AZ518" s="89"/>
      <c r="BA518" s="95"/>
    </row>
    <row r="519" spans="1:53" s="87" customFormat="1">
      <c r="A519" s="90" t="str">
        <f t="shared" si="32"/>
        <v/>
      </c>
      <c r="B519" s="89"/>
      <c r="C519" s="89"/>
      <c r="D519" s="89"/>
      <c r="E519" s="89"/>
      <c r="F519" s="89"/>
      <c r="G519" s="89"/>
      <c r="H519" s="89"/>
      <c r="I519" s="89"/>
      <c r="J519" s="89"/>
      <c r="K519" s="89"/>
      <c r="L519" s="89"/>
      <c r="M519" s="89"/>
      <c r="N519" s="89"/>
      <c r="O519" s="89"/>
      <c r="P519" s="89"/>
      <c r="Q519" s="89"/>
      <c r="R519" s="89"/>
      <c r="S519" s="89"/>
      <c r="T519" s="89"/>
      <c r="U519" s="89"/>
      <c r="V519" s="89"/>
      <c r="W519" s="89"/>
      <c r="X519" s="89"/>
      <c r="Y519" s="89"/>
      <c r="Z519" s="89"/>
      <c r="AA519" s="89"/>
      <c r="AB519" s="89"/>
      <c r="AC519" s="89"/>
      <c r="AD519" s="89"/>
      <c r="AE519" s="89"/>
      <c r="AF519" s="89"/>
      <c r="AG519" s="89"/>
      <c r="AH519" s="89"/>
      <c r="AI519" s="89"/>
      <c r="AJ519" s="89"/>
      <c r="AK519" s="89"/>
      <c r="AL519" s="89"/>
      <c r="AM519" s="89"/>
      <c r="AN519" s="89"/>
      <c r="AO519" s="89"/>
      <c r="AP519" s="89"/>
      <c r="AQ519" s="89"/>
      <c r="AR519" s="89"/>
      <c r="AS519" s="89"/>
      <c r="AT519" s="89"/>
      <c r="AU519" s="89"/>
      <c r="AV519" s="89"/>
      <c r="AW519" s="89"/>
      <c r="AX519" s="89"/>
      <c r="AY519" s="89"/>
      <c r="AZ519" s="89"/>
      <c r="BA519" s="95"/>
    </row>
    <row r="520" spans="1:53" s="87" customFormat="1">
      <c r="A520" s="90" t="str">
        <f t="shared" si="32"/>
        <v/>
      </c>
      <c r="B520" s="89"/>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c r="AA520" s="89"/>
      <c r="AB520" s="89"/>
      <c r="AC520" s="89"/>
      <c r="AD520" s="89"/>
      <c r="AE520" s="89"/>
      <c r="AF520" s="89"/>
      <c r="AG520" s="89"/>
      <c r="AH520" s="89"/>
      <c r="AI520" s="89"/>
      <c r="AJ520" s="89"/>
      <c r="AK520" s="89"/>
      <c r="AL520" s="89"/>
      <c r="AM520" s="89"/>
      <c r="AN520" s="89"/>
      <c r="AO520" s="89"/>
      <c r="AP520" s="89"/>
      <c r="AQ520" s="89"/>
      <c r="AR520" s="89"/>
      <c r="AS520" s="89"/>
      <c r="AT520" s="89"/>
      <c r="AU520" s="89"/>
      <c r="AV520" s="89"/>
      <c r="AW520" s="89"/>
      <c r="AX520" s="89"/>
      <c r="AY520" s="89"/>
      <c r="AZ520" s="89"/>
      <c r="BA520" s="95"/>
    </row>
    <row r="521" spans="1:53" s="87" customFormat="1">
      <c r="A521" s="90" t="str">
        <f t="shared" si="32"/>
        <v/>
      </c>
      <c r="B521" s="89"/>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c r="AA521" s="89"/>
      <c r="AB521" s="89"/>
      <c r="AC521" s="89"/>
      <c r="AD521" s="89"/>
      <c r="AE521" s="89"/>
      <c r="AF521" s="89"/>
      <c r="AG521" s="89"/>
      <c r="AH521" s="89"/>
      <c r="AI521" s="89"/>
      <c r="AJ521" s="89"/>
      <c r="AK521" s="89"/>
      <c r="AL521" s="89"/>
      <c r="AM521" s="89"/>
      <c r="AN521" s="89"/>
      <c r="AO521" s="89"/>
      <c r="AP521" s="89"/>
      <c r="AQ521" s="89"/>
      <c r="AR521" s="89"/>
      <c r="AS521" s="89"/>
      <c r="AT521" s="89"/>
      <c r="AU521" s="89"/>
      <c r="AV521" s="89"/>
      <c r="AW521" s="89"/>
      <c r="AX521" s="89"/>
      <c r="AY521" s="89"/>
      <c r="AZ521" s="89"/>
      <c r="BA521" s="95"/>
    </row>
    <row r="522" spans="1:53" s="87" customFormat="1">
      <c r="A522" s="90" t="str">
        <f t="shared" si="32"/>
        <v/>
      </c>
      <c r="B522" s="89"/>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c r="AA522" s="89"/>
      <c r="AB522" s="89"/>
      <c r="AC522" s="89"/>
      <c r="AD522" s="89"/>
      <c r="AE522" s="89"/>
      <c r="AF522" s="89"/>
      <c r="AG522" s="89"/>
      <c r="AH522" s="89"/>
      <c r="AI522" s="89"/>
      <c r="AJ522" s="89"/>
      <c r="AK522" s="89"/>
      <c r="AL522" s="89"/>
      <c r="AM522" s="89"/>
      <c r="AN522" s="89"/>
      <c r="AO522" s="89"/>
      <c r="AP522" s="89"/>
      <c r="AQ522" s="89"/>
      <c r="AR522" s="89"/>
      <c r="AS522" s="89"/>
      <c r="AT522" s="89"/>
      <c r="AU522" s="89"/>
      <c r="AV522" s="89"/>
      <c r="AW522" s="89"/>
      <c r="AX522" s="89"/>
      <c r="AY522" s="89"/>
      <c r="AZ522" s="89"/>
      <c r="BA522" s="95"/>
    </row>
    <row r="523" spans="1:53" s="87" customFormat="1">
      <c r="A523" s="90" t="str">
        <f t="shared" si="32"/>
        <v/>
      </c>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c r="AA523" s="89"/>
      <c r="AB523" s="89"/>
      <c r="AC523" s="89"/>
      <c r="AD523" s="89"/>
      <c r="AE523" s="89"/>
      <c r="AF523" s="89"/>
      <c r="AG523" s="89"/>
      <c r="AH523" s="89"/>
      <c r="AI523" s="89"/>
      <c r="AJ523" s="89"/>
      <c r="AK523" s="89"/>
      <c r="AL523" s="89"/>
      <c r="AM523" s="89"/>
      <c r="AN523" s="89"/>
      <c r="AO523" s="89"/>
      <c r="AP523" s="89"/>
      <c r="AQ523" s="89"/>
      <c r="AR523" s="89"/>
      <c r="AS523" s="89"/>
      <c r="AT523" s="89"/>
      <c r="AU523" s="89"/>
      <c r="AV523" s="89"/>
      <c r="AW523" s="89"/>
      <c r="AX523" s="89"/>
      <c r="AY523" s="89"/>
      <c r="AZ523" s="89"/>
      <c r="BA523" s="95"/>
    </row>
    <row r="524" spans="1:53" s="87" customFormat="1">
      <c r="A524" s="90" t="str">
        <f t="shared" ref="A524:A587" si="33">IF(MID(B524,3,2)="10",ROW(),"")</f>
        <v/>
      </c>
      <c r="B524" s="89"/>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c r="AA524" s="89"/>
      <c r="AB524" s="89"/>
      <c r="AC524" s="89"/>
      <c r="AD524" s="89"/>
      <c r="AE524" s="89"/>
      <c r="AF524" s="89"/>
      <c r="AG524" s="89"/>
      <c r="AH524" s="89"/>
      <c r="AI524" s="89"/>
      <c r="AJ524" s="89"/>
      <c r="AK524" s="89"/>
      <c r="AL524" s="89"/>
      <c r="AM524" s="89"/>
      <c r="AN524" s="89"/>
      <c r="AO524" s="89"/>
      <c r="AP524" s="89"/>
      <c r="AQ524" s="89"/>
      <c r="AR524" s="89"/>
      <c r="AS524" s="89"/>
      <c r="AT524" s="89"/>
      <c r="AU524" s="89"/>
      <c r="AV524" s="89"/>
      <c r="AW524" s="89"/>
      <c r="AX524" s="89"/>
      <c r="AY524" s="89"/>
      <c r="AZ524" s="89"/>
      <c r="BA524" s="95"/>
    </row>
    <row r="525" spans="1:53" s="87" customFormat="1">
      <c r="A525" s="90" t="str">
        <f t="shared" si="33"/>
        <v/>
      </c>
      <c r="B525" s="89"/>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c r="AA525" s="89"/>
      <c r="AB525" s="89"/>
      <c r="AC525" s="89"/>
      <c r="AD525" s="89"/>
      <c r="AE525" s="89"/>
      <c r="AF525" s="89"/>
      <c r="AG525" s="89"/>
      <c r="AH525" s="89"/>
      <c r="AI525" s="89"/>
      <c r="AJ525" s="89"/>
      <c r="AK525" s="89"/>
      <c r="AL525" s="89"/>
      <c r="AM525" s="89"/>
      <c r="AN525" s="89"/>
      <c r="AO525" s="89"/>
      <c r="AP525" s="89"/>
      <c r="AQ525" s="89"/>
      <c r="AR525" s="89"/>
      <c r="AS525" s="89"/>
      <c r="AT525" s="89"/>
      <c r="AU525" s="89"/>
      <c r="AV525" s="89"/>
      <c r="AW525" s="89"/>
      <c r="AX525" s="89"/>
      <c r="AY525" s="89"/>
      <c r="AZ525" s="89"/>
      <c r="BA525" s="95"/>
    </row>
    <row r="526" spans="1:53" s="87" customFormat="1">
      <c r="A526" s="90" t="str">
        <f t="shared" si="33"/>
        <v/>
      </c>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c r="AA526" s="89"/>
      <c r="AB526" s="89"/>
      <c r="AC526" s="89"/>
      <c r="AD526" s="89"/>
      <c r="AE526" s="89"/>
      <c r="AF526" s="89"/>
      <c r="AG526" s="89"/>
      <c r="AH526" s="89"/>
      <c r="AI526" s="89"/>
      <c r="AJ526" s="89"/>
      <c r="AK526" s="89"/>
      <c r="AL526" s="89"/>
      <c r="AM526" s="89"/>
      <c r="AN526" s="89"/>
      <c r="AO526" s="89"/>
      <c r="AP526" s="89"/>
      <c r="AQ526" s="89"/>
      <c r="AR526" s="89"/>
      <c r="AS526" s="89"/>
      <c r="AT526" s="89"/>
      <c r="AU526" s="89"/>
      <c r="AV526" s="89"/>
      <c r="AW526" s="89"/>
      <c r="AX526" s="89"/>
      <c r="AY526" s="89"/>
      <c r="AZ526" s="89"/>
      <c r="BA526" s="95"/>
    </row>
    <row r="527" spans="1:53" s="87" customFormat="1">
      <c r="A527" s="90" t="str">
        <f t="shared" si="33"/>
        <v/>
      </c>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c r="AA527" s="89"/>
      <c r="AB527" s="89"/>
      <c r="AC527" s="89"/>
      <c r="AD527" s="89"/>
      <c r="AE527" s="89"/>
      <c r="AF527" s="89"/>
      <c r="AG527" s="89"/>
      <c r="AH527" s="89"/>
      <c r="AI527" s="89"/>
      <c r="AJ527" s="89"/>
      <c r="AK527" s="89"/>
      <c r="AL527" s="89"/>
      <c r="AM527" s="89"/>
      <c r="AN527" s="89"/>
      <c r="AO527" s="89"/>
      <c r="AP527" s="89"/>
      <c r="AQ527" s="89"/>
      <c r="AR527" s="89"/>
      <c r="AS527" s="89"/>
      <c r="AT527" s="89"/>
      <c r="AU527" s="89"/>
      <c r="AV527" s="89"/>
      <c r="AW527" s="89"/>
      <c r="AX527" s="89"/>
      <c r="AY527" s="89"/>
      <c r="AZ527" s="89"/>
      <c r="BA527" s="95"/>
    </row>
    <row r="528" spans="1:53" s="87" customFormat="1">
      <c r="A528" s="90" t="str">
        <f t="shared" si="33"/>
        <v/>
      </c>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c r="AA528" s="89"/>
      <c r="AB528" s="89"/>
      <c r="AC528" s="89"/>
      <c r="AD528" s="89"/>
      <c r="AE528" s="89"/>
      <c r="AF528" s="89"/>
      <c r="AG528" s="89"/>
      <c r="AH528" s="89"/>
      <c r="AI528" s="89"/>
      <c r="AJ528" s="89"/>
      <c r="AK528" s="89"/>
      <c r="AL528" s="89"/>
      <c r="AM528" s="89"/>
      <c r="AN528" s="89"/>
      <c r="AO528" s="89"/>
      <c r="AP528" s="89"/>
      <c r="AQ528" s="89"/>
      <c r="AR528" s="89"/>
      <c r="AS528" s="89"/>
      <c r="AT528" s="89"/>
      <c r="AU528" s="89"/>
      <c r="AV528" s="89"/>
      <c r="AW528" s="89"/>
      <c r="AX528" s="89"/>
      <c r="AY528" s="89"/>
      <c r="AZ528" s="89"/>
      <c r="BA528" s="95"/>
    </row>
    <row r="529" spans="1:53" s="87" customFormat="1">
      <c r="A529" s="90" t="str">
        <f t="shared" si="33"/>
        <v/>
      </c>
      <c r="B529" s="89"/>
      <c r="C529" s="89"/>
      <c r="D529" s="89"/>
      <c r="E529" s="89"/>
      <c r="F529" s="89"/>
      <c r="G529" s="89"/>
      <c r="H529" s="89"/>
      <c r="I529" s="89"/>
      <c r="J529" s="89"/>
      <c r="K529" s="89"/>
      <c r="L529" s="89"/>
      <c r="M529" s="89"/>
      <c r="N529" s="89"/>
      <c r="O529" s="89"/>
      <c r="P529" s="89"/>
      <c r="Q529" s="89"/>
      <c r="R529" s="89"/>
      <c r="S529" s="89"/>
      <c r="T529" s="89"/>
      <c r="U529" s="89"/>
      <c r="V529" s="89"/>
      <c r="W529" s="89"/>
      <c r="X529" s="89"/>
      <c r="Y529" s="89"/>
      <c r="Z529" s="89"/>
      <c r="AA529" s="89"/>
      <c r="AB529" s="89"/>
      <c r="AC529" s="89"/>
      <c r="AD529" s="89"/>
      <c r="AE529" s="89"/>
      <c r="AF529" s="89"/>
      <c r="AG529" s="89"/>
      <c r="AH529" s="89"/>
      <c r="AI529" s="89"/>
      <c r="AJ529" s="89"/>
      <c r="AK529" s="89"/>
      <c r="AL529" s="89"/>
      <c r="AM529" s="89"/>
      <c r="AN529" s="89"/>
      <c r="AO529" s="89"/>
      <c r="AP529" s="89"/>
      <c r="AQ529" s="89"/>
      <c r="AR529" s="89"/>
      <c r="AS529" s="89"/>
      <c r="AT529" s="89"/>
      <c r="AU529" s="89"/>
      <c r="AV529" s="89"/>
      <c r="AW529" s="89"/>
      <c r="AX529" s="89"/>
      <c r="AY529" s="89"/>
      <c r="AZ529" s="89"/>
      <c r="BA529" s="95"/>
    </row>
    <row r="530" spans="1:53" s="87" customFormat="1">
      <c r="A530" s="90" t="str">
        <f t="shared" si="33"/>
        <v/>
      </c>
      <c r="B530" s="89"/>
      <c r="C530" s="89"/>
      <c r="D530" s="89"/>
      <c r="E530" s="89"/>
      <c r="F530" s="89"/>
      <c r="G530" s="89"/>
      <c r="H530" s="89"/>
      <c r="I530" s="89"/>
      <c r="J530" s="89"/>
      <c r="K530" s="89"/>
      <c r="L530" s="89"/>
      <c r="M530" s="89"/>
      <c r="N530" s="89"/>
      <c r="O530" s="89"/>
      <c r="P530" s="89"/>
      <c r="Q530" s="89"/>
      <c r="R530" s="89"/>
      <c r="S530" s="89"/>
      <c r="T530" s="89"/>
      <c r="U530" s="89"/>
      <c r="V530" s="89"/>
      <c r="W530" s="89"/>
      <c r="X530" s="89"/>
      <c r="Y530" s="89"/>
      <c r="Z530" s="89"/>
      <c r="AA530" s="89"/>
      <c r="AB530" s="89"/>
      <c r="AC530" s="89"/>
      <c r="AD530" s="89"/>
      <c r="AE530" s="89"/>
      <c r="AF530" s="89"/>
      <c r="AG530" s="89"/>
      <c r="AH530" s="89"/>
      <c r="AI530" s="89"/>
      <c r="AJ530" s="89"/>
      <c r="AK530" s="89"/>
      <c r="AL530" s="89"/>
      <c r="AM530" s="89"/>
      <c r="AN530" s="89"/>
      <c r="AO530" s="89"/>
      <c r="AP530" s="89"/>
      <c r="AQ530" s="89"/>
      <c r="AR530" s="89"/>
      <c r="AS530" s="89"/>
      <c r="AT530" s="89"/>
      <c r="AU530" s="89"/>
      <c r="AV530" s="89"/>
      <c r="AW530" s="89"/>
      <c r="AX530" s="89"/>
      <c r="AY530" s="89"/>
      <c r="AZ530" s="89"/>
      <c r="BA530" s="95"/>
    </row>
    <row r="531" spans="1:53" s="87" customFormat="1">
      <c r="A531" s="90" t="str">
        <f t="shared" si="33"/>
        <v/>
      </c>
      <c r="B531" s="89"/>
      <c r="C531" s="89"/>
      <c r="D531" s="89"/>
      <c r="E531" s="89"/>
      <c r="F531" s="89"/>
      <c r="G531" s="89"/>
      <c r="H531" s="89"/>
      <c r="I531" s="89"/>
      <c r="J531" s="89"/>
      <c r="K531" s="89"/>
      <c r="L531" s="89"/>
      <c r="M531" s="89"/>
      <c r="N531" s="89"/>
      <c r="O531" s="89"/>
      <c r="P531" s="89"/>
      <c r="Q531" s="89"/>
      <c r="R531" s="89"/>
      <c r="S531" s="89"/>
      <c r="T531" s="89"/>
      <c r="U531" s="89"/>
      <c r="V531" s="89"/>
      <c r="W531" s="89"/>
      <c r="X531" s="89"/>
      <c r="Y531" s="89"/>
      <c r="Z531" s="89"/>
      <c r="AA531" s="89"/>
      <c r="AB531" s="89"/>
      <c r="AC531" s="89"/>
      <c r="AD531" s="89"/>
      <c r="AE531" s="89"/>
      <c r="AF531" s="89"/>
      <c r="AG531" s="89"/>
      <c r="AH531" s="89"/>
      <c r="AI531" s="89"/>
      <c r="AJ531" s="89"/>
      <c r="AK531" s="89"/>
      <c r="AL531" s="89"/>
      <c r="AM531" s="89"/>
      <c r="AN531" s="89"/>
      <c r="AO531" s="89"/>
      <c r="AP531" s="89"/>
      <c r="AQ531" s="89"/>
      <c r="AR531" s="89"/>
      <c r="AS531" s="89"/>
      <c r="AT531" s="89"/>
      <c r="AU531" s="89"/>
      <c r="AV531" s="89"/>
      <c r="AW531" s="89"/>
      <c r="AX531" s="89"/>
      <c r="AY531" s="89"/>
      <c r="AZ531" s="89"/>
      <c r="BA531" s="95"/>
    </row>
    <row r="532" spans="1:53" s="87" customFormat="1">
      <c r="A532" s="90" t="str">
        <f t="shared" si="33"/>
        <v/>
      </c>
      <c r="B532" s="89"/>
      <c r="C532" s="89"/>
      <c r="D532" s="89"/>
      <c r="E532" s="89"/>
      <c r="F532" s="89"/>
      <c r="G532" s="89"/>
      <c r="H532" s="89"/>
      <c r="I532" s="89"/>
      <c r="J532" s="89"/>
      <c r="K532" s="89"/>
      <c r="L532" s="89"/>
      <c r="M532" s="89"/>
      <c r="N532" s="89"/>
      <c r="O532" s="89"/>
      <c r="P532" s="89"/>
      <c r="Q532" s="89"/>
      <c r="R532" s="89"/>
      <c r="S532" s="89"/>
      <c r="T532" s="89"/>
      <c r="U532" s="89"/>
      <c r="V532" s="89"/>
      <c r="W532" s="89"/>
      <c r="X532" s="89"/>
      <c r="Y532" s="89"/>
      <c r="Z532" s="89"/>
      <c r="AA532" s="89"/>
      <c r="AB532" s="89"/>
      <c r="AC532" s="89"/>
      <c r="AD532" s="89"/>
      <c r="AE532" s="89"/>
      <c r="AF532" s="89"/>
      <c r="AG532" s="89"/>
      <c r="AH532" s="89"/>
      <c r="AI532" s="89"/>
      <c r="AJ532" s="89"/>
      <c r="AK532" s="89"/>
      <c r="AL532" s="89"/>
      <c r="AM532" s="89"/>
      <c r="AN532" s="89"/>
      <c r="AO532" s="89"/>
      <c r="AP532" s="89"/>
      <c r="AQ532" s="89"/>
      <c r="AR532" s="89"/>
      <c r="AS532" s="89"/>
      <c r="AT532" s="89"/>
      <c r="AU532" s="89"/>
      <c r="AV532" s="89"/>
      <c r="AW532" s="89"/>
      <c r="AX532" s="89"/>
      <c r="AY532" s="89"/>
      <c r="AZ532" s="89"/>
      <c r="BA532" s="95"/>
    </row>
    <row r="533" spans="1:53" s="87" customFormat="1">
      <c r="A533" s="90" t="str">
        <f t="shared" si="33"/>
        <v/>
      </c>
      <c r="B533" s="89"/>
      <c r="C533" s="89"/>
      <c r="D533" s="89"/>
      <c r="E533" s="89"/>
      <c r="F533" s="89"/>
      <c r="G533" s="89"/>
      <c r="H533" s="89"/>
      <c r="I533" s="89"/>
      <c r="J533" s="89"/>
      <c r="K533" s="89"/>
      <c r="L533" s="89"/>
      <c r="M533" s="89"/>
      <c r="N533" s="89"/>
      <c r="O533" s="89"/>
      <c r="P533" s="89"/>
      <c r="Q533" s="89"/>
      <c r="R533" s="89"/>
      <c r="S533" s="89"/>
      <c r="T533" s="89"/>
      <c r="U533" s="89"/>
      <c r="V533" s="89"/>
      <c r="W533" s="89"/>
      <c r="X533" s="89"/>
      <c r="Y533" s="89"/>
      <c r="Z533" s="89"/>
      <c r="AA533" s="89"/>
      <c r="AB533" s="89"/>
      <c r="AC533" s="89"/>
      <c r="AD533" s="89"/>
      <c r="AE533" s="89"/>
      <c r="AF533" s="89"/>
      <c r="AG533" s="89"/>
      <c r="AH533" s="89"/>
      <c r="AI533" s="89"/>
      <c r="AJ533" s="89"/>
      <c r="AK533" s="89"/>
      <c r="AL533" s="89"/>
      <c r="AM533" s="89"/>
      <c r="AN533" s="89"/>
      <c r="AO533" s="89"/>
      <c r="AP533" s="89"/>
      <c r="AQ533" s="89"/>
      <c r="AR533" s="89"/>
      <c r="AS533" s="89"/>
      <c r="AT533" s="89"/>
      <c r="AU533" s="89"/>
      <c r="AV533" s="89"/>
      <c r="AW533" s="89"/>
      <c r="AX533" s="89"/>
      <c r="AY533" s="89"/>
      <c r="AZ533" s="89"/>
      <c r="BA533" s="95"/>
    </row>
    <row r="534" spans="1:53" s="87" customFormat="1">
      <c r="A534" s="90" t="str">
        <f t="shared" si="33"/>
        <v/>
      </c>
      <c r="B534" s="89"/>
      <c r="C534" s="89"/>
      <c r="D534" s="89"/>
      <c r="E534" s="89"/>
      <c r="F534" s="89"/>
      <c r="G534" s="89"/>
      <c r="H534" s="89"/>
      <c r="I534" s="89"/>
      <c r="J534" s="89"/>
      <c r="K534" s="89"/>
      <c r="L534" s="89"/>
      <c r="M534" s="89"/>
      <c r="N534" s="89"/>
      <c r="O534" s="89"/>
      <c r="P534" s="89"/>
      <c r="Q534" s="89"/>
      <c r="R534" s="89"/>
      <c r="S534" s="89"/>
      <c r="T534" s="89"/>
      <c r="U534" s="89"/>
      <c r="V534" s="89"/>
      <c r="W534" s="89"/>
      <c r="X534" s="89"/>
      <c r="Y534" s="89"/>
      <c r="Z534" s="89"/>
      <c r="AA534" s="89"/>
      <c r="AB534" s="89"/>
      <c r="AC534" s="89"/>
      <c r="AD534" s="89"/>
      <c r="AE534" s="89"/>
      <c r="AF534" s="89"/>
      <c r="AG534" s="89"/>
      <c r="AH534" s="89"/>
      <c r="AI534" s="89"/>
      <c r="AJ534" s="89"/>
      <c r="AK534" s="89"/>
      <c r="AL534" s="89"/>
      <c r="AM534" s="89"/>
      <c r="AN534" s="89"/>
      <c r="AO534" s="89"/>
      <c r="AP534" s="89"/>
      <c r="AQ534" s="89"/>
      <c r="AR534" s="89"/>
      <c r="AS534" s="89"/>
      <c r="AT534" s="89"/>
      <c r="AU534" s="89"/>
      <c r="AV534" s="89"/>
      <c r="AW534" s="89"/>
      <c r="AX534" s="89"/>
      <c r="AY534" s="89"/>
      <c r="AZ534" s="89"/>
      <c r="BA534" s="95"/>
    </row>
    <row r="535" spans="1:53" s="87" customFormat="1">
      <c r="A535" s="90" t="str">
        <f t="shared" si="33"/>
        <v/>
      </c>
      <c r="B535" s="89"/>
      <c r="C535" s="89"/>
      <c r="D535" s="89"/>
      <c r="E535" s="89"/>
      <c r="F535" s="89"/>
      <c r="G535" s="89"/>
      <c r="H535" s="89"/>
      <c r="I535" s="89"/>
      <c r="J535" s="89"/>
      <c r="K535" s="89"/>
      <c r="L535" s="89"/>
      <c r="M535" s="89"/>
      <c r="N535" s="89"/>
      <c r="O535" s="89"/>
      <c r="P535" s="89"/>
      <c r="Q535" s="89"/>
      <c r="R535" s="89"/>
      <c r="S535" s="89"/>
      <c r="T535" s="89"/>
      <c r="U535" s="89"/>
      <c r="V535" s="89"/>
      <c r="W535" s="89"/>
      <c r="X535" s="89"/>
      <c r="Y535" s="89"/>
      <c r="Z535" s="89"/>
      <c r="AA535" s="89"/>
      <c r="AB535" s="89"/>
      <c r="AC535" s="89"/>
      <c r="AD535" s="89"/>
      <c r="AE535" s="89"/>
      <c r="AF535" s="89"/>
      <c r="AG535" s="89"/>
      <c r="AH535" s="89"/>
      <c r="AI535" s="89"/>
      <c r="AJ535" s="89"/>
      <c r="AK535" s="89"/>
      <c r="AL535" s="89"/>
      <c r="AM535" s="89"/>
      <c r="AN535" s="89"/>
      <c r="AO535" s="89"/>
      <c r="AP535" s="89"/>
      <c r="AQ535" s="89"/>
      <c r="AR535" s="89"/>
      <c r="AS535" s="89"/>
      <c r="AT535" s="89"/>
      <c r="AU535" s="89"/>
      <c r="AV535" s="89"/>
      <c r="AW535" s="89"/>
      <c r="AX535" s="89"/>
      <c r="AY535" s="89"/>
      <c r="AZ535" s="89"/>
      <c r="BA535" s="95"/>
    </row>
    <row r="536" spans="1:53" s="87" customFormat="1">
      <c r="A536" s="90" t="str">
        <f t="shared" si="33"/>
        <v/>
      </c>
      <c r="B536" s="89"/>
      <c r="C536" s="89"/>
      <c r="D536" s="89"/>
      <c r="E536" s="89"/>
      <c r="F536" s="89"/>
      <c r="G536" s="89"/>
      <c r="H536" s="89"/>
      <c r="I536" s="89"/>
      <c r="J536" s="89"/>
      <c r="K536" s="89"/>
      <c r="L536" s="89"/>
      <c r="M536" s="89"/>
      <c r="N536" s="89"/>
      <c r="O536" s="89"/>
      <c r="P536" s="89"/>
      <c r="Q536" s="89"/>
      <c r="R536" s="89"/>
      <c r="S536" s="89"/>
      <c r="T536" s="89"/>
      <c r="U536" s="89"/>
      <c r="V536" s="89"/>
      <c r="W536" s="89"/>
      <c r="X536" s="89"/>
      <c r="Y536" s="89"/>
      <c r="Z536" s="89"/>
      <c r="AA536" s="89"/>
      <c r="AB536" s="89"/>
      <c r="AC536" s="89"/>
      <c r="AD536" s="89"/>
      <c r="AE536" s="89"/>
      <c r="AF536" s="89"/>
      <c r="AG536" s="89"/>
      <c r="AH536" s="89"/>
      <c r="AI536" s="89"/>
      <c r="AJ536" s="89"/>
      <c r="AK536" s="89"/>
      <c r="AL536" s="89"/>
      <c r="AM536" s="89"/>
      <c r="AN536" s="89"/>
      <c r="AO536" s="89"/>
      <c r="AP536" s="89"/>
      <c r="AQ536" s="89"/>
      <c r="AR536" s="89"/>
      <c r="AS536" s="89"/>
      <c r="AT536" s="89"/>
      <c r="AU536" s="89"/>
      <c r="AV536" s="89"/>
      <c r="AW536" s="89"/>
      <c r="AX536" s="89"/>
      <c r="AY536" s="89"/>
      <c r="AZ536" s="89"/>
      <c r="BA536" s="95"/>
    </row>
    <row r="537" spans="1:53" s="87" customFormat="1">
      <c r="A537" s="90" t="str">
        <f t="shared" si="33"/>
        <v/>
      </c>
      <c r="B537" s="89"/>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c r="AA537" s="89"/>
      <c r="AB537" s="89"/>
      <c r="AC537" s="89"/>
      <c r="AD537" s="89"/>
      <c r="AE537" s="89"/>
      <c r="AF537" s="89"/>
      <c r="AG537" s="89"/>
      <c r="AH537" s="89"/>
      <c r="AI537" s="89"/>
      <c r="AJ537" s="89"/>
      <c r="AK537" s="89"/>
      <c r="AL537" s="89"/>
      <c r="AM537" s="89"/>
      <c r="AN537" s="89"/>
      <c r="AO537" s="89"/>
      <c r="AP537" s="89"/>
      <c r="AQ537" s="89"/>
      <c r="AR537" s="89"/>
      <c r="AS537" s="89"/>
      <c r="AT537" s="89"/>
      <c r="AU537" s="89"/>
      <c r="AV537" s="89"/>
      <c r="AW537" s="89"/>
      <c r="AX537" s="89"/>
      <c r="AY537" s="89"/>
      <c r="AZ537" s="89"/>
      <c r="BA537" s="95"/>
    </row>
    <row r="538" spans="1:53" s="87" customFormat="1">
      <c r="A538" s="90" t="str">
        <f t="shared" si="33"/>
        <v/>
      </c>
      <c r="B538" s="89"/>
      <c r="C538" s="89"/>
      <c r="D538" s="89"/>
      <c r="E538" s="89"/>
      <c r="F538" s="89"/>
      <c r="G538" s="89"/>
      <c r="H538" s="89"/>
      <c r="I538" s="89"/>
      <c r="J538" s="89"/>
      <c r="K538" s="89"/>
      <c r="L538" s="89"/>
      <c r="M538" s="89"/>
      <c r="N538" s="89"/>
      <c r="O538" s="89"/>
      <c r="P538" s="89"/>
      <c r="Q538" s="89"/>
      <c r="R538" s="89"/>
      <c r="S538" s="89"/>
      <c r="T538" s="89"/>
      <c r="U538" s="89"/>
      <c r="V538" s="89"/>
      <c r="W538" s="89"/>
      <c r="X538" s="89"/>
      <c r="Y538" s="89"/>
      <c r="Z538" s="89"/>
      <c r="AA538" s="89"/>
      <c r="AB538" s="89"/>
      <c r="AC538" s="89"/>
      <c r="AD538" s="89"/>
      <c r="AE538" s="89"/>
      <c r="AF538" s="89"/>
      <c r="AG538" s="89"/>
      <c r="AH538" s="89"/>
      <c r="AI538" s="89"/>
      <c r="AJ538" s="89"/>
      <c r="AK538" s="89"/>
      <c r="AL538" s="89"/>
      <c r="AM538" s="89"/>
      <c r="AN538" s="89"/>
      <c r="AO538" s="89"/>
      <c r="AP538" s="89"/>
      <c r="AQ538" s="89"/>
      <c r="AR538" s="89"/>
      <c r="AS538" s="89"/>
      <c r="AT538" s="89"/>
      <c r="AU538" s="89"/>
      <c r="AV538" s="89"/>
      <c r="AW538" s="89"/>
      <c r="AX538" s="89"/>
      <c r="AY538" s="89"/>
      <c r="AZ538" s="89"/>
      <c r="BA538" s="95"/>
    </row>
    <row r="539" spans="1:53" s="87" customFormat="1">
      <c r="A539" s="90" t="str">
        <f t="shared" si="33"/>
        <v/>
      </c>
      <c r="B539" s="89"/>
      <c r="C539" s="89"/>
      <c r="D539" s="89"/>
      <c r="E539" s="89"/>
      <c r="F539" s="89"/>
      <c r="G539" s="89"/>
      <c r="H539" s="89"/>
      <c r="I539" s="89"/>
      <c r="J539" s="89"/>
      <c r="K539" s="89"/>
      <c r="L539" s="89"/>
      <c r="M539" s="89"/>
      <c r="N539" s="89"/>
      <c r="O539" s="89"/>
      <c r="P539" s="89"/>
      <c r="Q539" s="89"/>
      <c r="R539" s="89"/>
      <c r="S539" s="89"/>
      <c r="T539" s="89"/>
      <c r="U539" s="89"/>
      <c r="V539" s="89"/>
      <c r="W539" s="89"/>
      <c r="X539" s="89"/>
      <c r="Y539" s="89"/>
      <c r="Z539" s="89"/>
      <c r="AA539" s="89"/>
      <c r="AB539" s="89"/>
      <c r="AC539" s="89"/>
      <c r="AD539" s="89"/>
      <c r="AE539" s="89"/>
      <c r="AF539" s="89"/>
      <c r="AG539" s="89"/>
      <c r="AH539" s="89"/>
      <c r="AI539" s="89"/>
      <c r="AJ539" s="89"/>
      <c r="AK539" s="89"/>
      <c r="AL539" s="89"/>
      <c r="AM539" s="89"/>
      <c r="AN539" s="89"/>
      <c r="AO539" s="89"/>
      <c r="AP539" s="89"/>
      <c r="AQ539" s="89"/>
      <c r="AR539" s="89"/>
      <c r="AS539" s="89"/>
      <c r="AT539" s="89"/>
      <c r="AU539" s="89"/>
      <c r="AV539" s="89"/>
      <c r="AW539" s="89"/>
      <c r="AX539" s="89"/>
      <c r="AY539" s="89"/>
      <c r="AZ539" s="89"/>
      <c r="BA539" s="95"/>
    </row>
    <row r="540" spans="1:53" s="87" customFormat="1">
      <c r="A540" s="90" t="str">
        <f t="shared" si="33"/>
        <v/>
      </c>
      <c r="B540" s="89"/>
      <c r="C540" s="89"/>
      <c r="D540" s="89"/>
      <c r="E540" s="89"/>
      <c r="F540" s="89"/>
      <c r="G540" s="89"/>
      <c r="H540" s="89"/>
      <c r="I540" s="89"/>
      <c r="J540" s="89"/>
      <c r="K540" s="89"/>
      <c r="L540" s="89"/>
      <c r="M540" s="89"/>
      <c r="N540" s="89"/>
      <c r="O540" s="89"/>
      <c r="P540" s="89"/>
      <c r="Q540" s="89"/>
      <c r="R540" s="89"/>
      <c r="S540" s="89"/>
      <c r="T540" s="89"/>
      <c r="U540" s="89"/>
      <c r="V540" s="89"/>
      <c r="W540" s="89"/>
      <c r="X540" s="89"/>
      <c r="Y540" s="89"/>
      <c r="Z540" s="89"/>
      <c r="AA540" s="89"/>
      <c r="AB540" s="89"/>
      <c r="AC540" s="89"/>
      <c r="AD540" s="89"/>
      <c r="AE540" s="89"/>
      <c r="AF540" s="89"/>
      <c r="AG540" s="89"/>
      <c r="AH540" s="89"/>
      <c r="AI540" s="89"/>
      <c r="AJ540" s="89"/>
      <c r="AK540" s="89"/>
      <c r="AL540" s="89"/>
      <c r="AM540" s="89"/>
      <c r="AN540" s="89"/>
      <c r="AO540" s="89"/>
      <c r="AP540" s="89"/>
      <c r="AQ540" s="89"/>
      <c r="AR540" s="89"/>
      <c r="AS540" s="89"/>
      <c r="AT540" s="89"/>
      <c r="AU540" s="89"/>
      <c r="AV540" s="89"/>
      <c r="AW540" s="89"/>
      <c r="AX540" s="89"/>
      <c r="AY540" s="89"/>
      <c r="AZ540" s="89"/>
      <c r="BA540" s="95"/>
    </row>
    <row r="541" spans="1:53" s="87" customFormat="1">
      <c r="A541" s="90" t="str">
        <f t="shared" si="33"/>
        <v/>
      </c>
      <c r="B541" s="89"/>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c r="AA541" s="89"/>
      <c r="AB541" s="89"/>
      <c r="AC541" s="89"/>
      <c r="AD541" s="89"/>
      <c r="AE541" s="89"/>
      <c r="AF541" s="89"/>
      <c r="AG541" s="89"/>
      <c r="AH541" s="89"/>
      <c r="AI541" s="89"/>
      <c r="AJ541" s="89"/>
      <c r="AK541" s="89"/>
      <c r="AL541" s="89"/>
      <c r="AM541" s="89"/>
      <c r="AN541" s="89"/>
      <c r="AO541" s="89"/>
      <c r="AP541" s="89"/>
      <c r="AQ541" s="89"/>
      <c r="AR541" s="89"/>
      <c r="AS541" s="89"/>
      <c r="AT541" s="89"/>
      <c r="AU541" s="89"/>
      <c r="AV541" s="89"/>
      <c r="AW541" s="89"/>
      <c r="AX541" s="89"/>
      <c r="AY541" s="89"/>
      <c r="AZ541" s="89"/>
      <c r="BA541" s="95"/>
    </row>
    <row r="542" spans="1:53" s="87" customFormat="1">
      <c r="A542" s="90" t="str">
        <f t="shared" si="33"/>
        <v/>
      </c>
      <c r="B542" s="89"/>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c r="AA542" s="89"/>
      <c r="AB542" s="89"/>
      <c r="AC542" s="89"/>
      <c r="AD542" s="89"/>
      <c r="AE542" s="89"/>
      <c r="AF542" s="89"/>
      <c r="AG542" s="89"/>
      <c r="AH542" s="89"/>
      <c r="AI542" s="89"/>
      <c r="AJ542" s="89"/>
      <c r="AK542" s="89"/>
      <c r="AL542" s="89"/>
      <c r="AM542" s="89"/>
      <c r="AN542" s="89"/>
      <c r="AO542" s="89"/>
      <c r="AP542" s="89"/>
      <c r="AQ542" s="89"/>
      <c r="AR542" s="89"/>
      <c r="AS542" s="89"/>
      <c r="AT542" s="89"/>
      <c r="AU542" s="89"/>
      <c r="AV542" s="89"/>
      <c r="AW542" s="89"/>
      <c r="AX542" s="89"/>
      <c r="AY542" s="89"/>
      <c r="AZ542" s="89"/>
      <c r="BA542" s="95"/>
    </row>
    <row r="543" spans="1:53" s="87" customFormat="1">
      <c r="A543" s="90" t="str">
        <f t="shared" si="33"/>
        <v/>
      </c>
      <c r="B543" s="89"/>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9"/>
      <c r="AC543" s="89"/>
      <c r="AD543" s="89"/>
      <c r="AE543" s="89"/>
      <c r="AF543" s="89"/>
      <c r="AG543" s="89"/>
      <c r="AH543" s="89"/>
      <c r="AI543" s="89"/>
      <c r="AJ543" s="89"/>
      <c r="AK543" s="89"/>
      <c r="AL543" s="89"/>
      <c r="AM543" s="89"/>
      <c r="AN543" s="89"/>
      <c r="AO543" s="89"/>
      <c r="AP543" s="89"/>
      <c r="AQ543" s="89"/>
      <c r="AR543" s="89"/>
      <c r="AS543" s="89"/>
      <c r="AT543" s="89"/>
      <c r="AU543" s="89"/>
      <c r="AV543" s="89"/>
      <c r="AW543" s="89"/>
      <c r="AX543" s="89"/>
      <c r="AY543" s="89"/>
      <c r="AZ543" s="89"/>
      <c r="BA543" s="95"/>
    </row>
    <row r="544" spans="1:53" s="87" customFormat="1">
      <c r="A544" s="90" t="str">
        <f t="shared" si="33"/>
        <v/>
      </c>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c r="AA544" s="89"/>
      <c r="AB544" s="89"/>
      <c r="AC544" s="89"/>
      <c r="AD544" s="89"/>
      <c r="AE544" s="89"/>
      <c r="AF544" s="89"/>
      <c r="AG544" s="89"/>
      <c r="AH544" s="89"/>
      <c r="AI544" s="89"/>
      <c r="AJ544" s="89"/>
      <c r="AK544" s="89"/>
      <c r="AL544" s="89"/>
      <c r="AM544" s="89"/>
      <c r="AN544" s="89"/>
      <c r="AO544" s="89"/>
      <c r="AP544" s="89"/>
      <c r="AQ544" s="89"/>
      <c r="AR544" s="89"/>
      <c r="AS544" s="89"/>
      <c r="AT544" s="89"/>
      <c r="AU544" s="89"/>
      <c r="AV544" s="89"/>
      <c r="AW544" s="89"/>
      <c r="AX544" s="89"/>
      <c r="AY544" s="89"/>
      <c r="AZ544" s="89"/>
      <c r="BA544" s="95"/>
    </row>
    <row r="545" spans="1:53" s="87" customFormat="1">
      <c r="A545" s="90" t="str">
        <f t="shared" si="33"/>
        <v/>
      </c>
      <c r="B545" s="89"/>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c r="AA545" s="89"/>
      <c r="AB545" s="89"/>
      <c r="AC545" s="89"/>
      <c r="AD545" s="89"/>
      <c r="AE545" s="89"/>
      <c r="AF545" s="89"/>
      <c r="AG545" s="89"/>
      <c r="AH545" s="89"/>
      <c r="AI545" s="89"/>
      <c r="AJ545" s="89"/>
      <c r="AK545" s="89"/>
      <c r="AL545" s="89"/>
      <c r="AM545" s="89"/>
      <c r="AN545" s="89"/>
      <c r="AO545" s="89"/>
      <c r="AP545" s="89"/>
      <c r="AQ545" s="89"/>
      <c r="AR545" s="89"/>
      <c r="AS545" s="89"/>
      <c r="AT545" s="89"/>
      <c r="AU545" s="89"/>
      <c r="AV545" s="89"/>
      <c r="AW545" s="89"/>
      <c r="AX545" s="89"/>
      <c r="AY545" s="89"/>
      <c r="AZ545" s="89"/>
      <c r="BA545" s="95"/>
    </row>
    <row r="546" spans="1:53" s="87" customFormat="1">
      <c r="A546" s="90" t="str">
        <f t="shared" si="33"/>
        <v/>
      </c>
      <c r="B546" s="89"/>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c r="AA546" s="89"/>
      <c r="AB546" s="89"/>
      <c r="AC546" s="89"/>
      <c r="AD546" s="89"/>
      <c r="AE546" s="89"/>
      <c r="AF546" s="89"/>
      <c r="AG546" s="89"/>
      <c r="AH546" s="89"/>
      <c r="AI546" s="89"/>
      <c r="AJ546" s="89"/>
      <c r="AK546" s="89"/>
      <c r="AL546" s="89"/>
      <c r="AM546" s="89"/>
      <c r="AN546" s="89"/>
      <c r="AO546" s="89"/>
      <c r="AP546" s="89"/>
      <c r="AQ546" s="89"/>
      <c r="AR546" s="89"/>
      <c r="AS546" s="89"/>
      <c r="AT546" s="89"/>
      <c r="AU546" s="89"/>
      <c r="AV546" s="89"/>
      <c r="AW546" s="89"/>
      <c r="AX546" s="89"/>
      <c r="AY546" s="89"/>
      <c r="AZ546" s="89"/>
      <c r="BA546" s="95"/>
    </row>
    <row r="547" spans="1:53" s="87" customFormat="1">
      <c r="A547" s="90" t="str">
        <f t="shared" si="33"/>
        <v/>
      </c>
      <c r="B547" s="89"/>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c r="AA547" s="89"/>
      <c r="AB547" s="89"/>
      <c r="AC547" s="89"/>
      <c r="AD547" s="89"/>
      <c r="AE547" s="89"/>
      <c r="AF547" s="89"/>
      <c r="AG547" s="89"/>
      <c r="AH547" s="89"/>
      <c r="AI547" s="89"/>
      <c r="AJ547" s="89"/>
      <c r="AK547" s="89"/>
      <c r="AL547" s="89"/>
      <c r="AM547" s="89"/>
      <c r="AN547" s="89"/>
      <c r="AO547" s="89"/>
      <c r="AP547" s="89"/>
      <c r="AQ547" s="89"/>
      <c r="AR547" s="89"/>
      <c r="AS547" s="89"/>
      <c r="AT547" s="89"/>
      <c r="AU547" s="89"/>
      <c r="AV547" s="89"/>
      <c r="AW547" s="89"/>
      <c r="AX547" s="89"/>
      <c r="AY547" s="89"/>
      <c r="AZ547" s="89"/>
      <c r="BA547" s="95"/>
    </row>
    <row r="548" spans="1:53" s="87" customFormat="1">
      <c r="A548" s="90" t="str">
        <f t="shared" si="33"/>
        <v/>
      </c>
      <c r="B548" s="89"/>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c r="AA548" s="89"/>
      <c r="AB548" s="89"/>
      <c r="AC548" s="89"/>
      <c r="AD548" s="89"/>
      <c r="AE548" s="89"/>
      <c r="AF548" s="89"/>
      <c r="AG548" s="89"/>
      <c r="AH548" s="89"/>
      <c r="AI548" s="89"/>
      <c r="AJ548" s="89"/>
      <c r="AK548" s="89"/>
      <c r="AL548" s="89"/>
      <c r="AM548" s="89"/>
      <c r="AN548" s="89"/>
      <c r="AO548" s="89"/>
      <c r="AP548" s="89"/>
      <c r="AQ548" s="89"/>
      <c r="AR548" s="89"/>
      <c r="AS548" s="89"/>
      <c r="AT548" s="89"/>
      <c r="AU548" s="89"/>
      <c r="AV548" s="89"/>
      <c r="AW548" s="89"/>
      <c r="AX548" s="89"/>
      <c r="AY548" s="89"/>
      <c r="AZ548" s="89"/>
      <c r="BA548" s="95"/>
    </row>
    <row r="549" spans="1:53" s="87" customFormat="1">
      <c r="A549" s="90" t="str">
        <f t="shared" si="33"/>
        <v/>
      </c>
      <c r="B549" s="89"/>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c r="AA549" s="89"/>
      <c r="AB549" s="89"/>
      <c r="AC549" s="89"/>
      <c r="AD549" s="89"/>
      <c r="AE549" s="89"/>
      <c r="AF549" s="89"/>
      <c r="AG549" s="89"/>
      <c r="AH549" s="89"/>
      <c r="AI549" s="89"/>
      <c r="AJ549" s="89"/>
      <c r="AK549" s="89"/>
      <c r="AL549" s="89"/>
      <c r="AM549" s="89"/>
      <c r="AN549" s="89"/>
      <c r="AO549" s="89"/>
      <c r="AP549" s="89"/>
      <c r="AQ549" s="89"/>
      <c r="AR549" s="89"/>
      <c r="AS549" s="89"/>
      <c r="AT549" s="89"/>
      <c r="AU549" s="89"/>
      <c r="AV549" s="89"/>
      <c r="AW549" s="89"/>
      <c r="AX549" s="89"/>
      <c r="AY549" s="89"/>
      <c r="AZ549" s="89"/>
      <c r="BA549" s="95"/>
    </row>
    <row r="550" spans="1:53" s="87" customFormat="1">
      <c r="A550" s="90" t="str">
        <f t="shared" si="33"/>
        <v/>
      </c>
      <c r="B550" s="89"/>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89"/>
      <c r="AA550" s="89"/>
      <c r="AB550" s="89"/>
      <c r="AC550" s="89"/>
      <c r="AD550" s="89"/>
      <c r="AE550" s="89"/>
      <c r="AF550" s="89"/>
      <c r="AG550" s="89"/>
      <c r="AH550" s="89"/>
      <c r="AI550" s="89"/>
      <c r="AJ550" s="89"/>
      <c r="AK550" s="89"/>
      <c r="AL550" s="89"/>
      <c r="AM550" s="89"/>
      <c r="AN550" s="89"/>
      <c r="AO550" s="89"/>
      <c r="AP550" s="89"/>
      <c r="AQ550" s="89"/>
      <c r="AR550" s="89"/>
      <c r="AS550" s="89"/>
      <c r="AT550" s="89"/>
      <c r="AU550" s="89"/>
      <c r="AV550" s="89"/>
      <c r="AW550" s="89"/>
      <c r="AX550" s="89"/>
      <c r="AY550" s="89"/>
      <c r="AZ550" s="89"/>
      <c r="BA550" s="95"/>
    </row>
    <row r="551" spans="1:53" s="87" customFormat="1">
      <c r="A551" s="90" t="str">
        <f t="shared" si="33"/>
        <v/>
      </c>
      <c r="B551" s="89"/>
      <c r="C551" s="89"/>
      <c r="D551" s="89"/>
      <c r="E551" s="89"/>
      <c r="F551" s="89"/>
      <c r="G551" s="89"/>
      <c r="H551" s="89"/>
      <c r="I551" s="89"/>
      <c r="J551" s="89"/>
      <c r="K551" s="89"/>
      <c r="L551" s="89"/>
      <c r="M551" s="89"/>
      <c r="N551" s="89"/>
      <c r="O551" s="89"/>
      <c r="P551" s="89"/>
      <c r="Q551" s="89"/>
      <c r="R551" s="89"/>
      <c r="S551" s="89"/>
      <c r="T551" s="89"/>
      <c r="U551" s="89"/>
      <c r="V551" s="89"/>
      <c r="W551" s="89"/>
      <c r="X551" s="89"/>
      <c r="Y551" s="89"/>
      <c r="Z551" s="89"/>
      <c r="AA551" s="89"/>
      <c r="AB551" s="89"/>
      <c r="AC551" s="89"/>
      <c r="AD551" s="89"/>
      <c r="AE551" s="89"/>
      <c r="AF551" s="89"/>
      <c r="AG551" s="89"/>
      <c r="AH551" s="89"/>
      <c r="AI551" s="89"/>
      <c r="AJ551" s="89"/>
      <c r="AK551" s="89"/>
      <c r="AL551" s="89"/>
      <c r="AM551" s="89"/>
      <c r="AN551" s="89"/>
      <c r="AO551" s="89"/>
      <c r="AP551" s="89"/>
      <c r="AQ551" s="89"/>
      <c r="AR551" s="89"/>
      <c r="AS551" s="89"/>
      <c r="AT551" s="89"/>
      <c r="AU551" s="89"/>
      <c r="AV551" s="89"/>
      <c r="AW551" s="89"/>
      <c r="AX551" s="89"/>
      <c r="AY551" s="89"/>
      <c r="AZ551" s="89"/>
      <c r="BA551" s="95"/>
    </row>
    <row r="552" spans="1:53" s="87" customFormat="1">
      <c r="A552" s="90" t="str">
        <f t="shared" si="33"/>
        <v/>
      </c>
      <c r="B552" s="89"/>
      <c r="C552" s="89"/>
      <c r="D552" s="89"/>
      <c r="E552" s="89"/>
      <c r="F552" s="89"/>
      <c r="G552" s="89"/>
      <c r="H552" s="89"/>
      <c r="I552" s="89"/>
      <c r="J552" s="89"/>
      <c r="K552" s="89"/>
      <c r="L552" s="89"/>
      <c r="M552" s="89"/>
      <c r="N552" s="89"/>
      <c r="O552" s="89"/>
      <c r="P552" s="89"/>
      <c r="Q552" s="89"/>
      <c r="R552" s="89"/>
      <c r="S552" s="89"/>
      <c r="T552" s="89"/>
      <c r="U552" s="89"/>
      <c r="V552" s="89"/>
      <c r="W552" s="89"/>
      <c r="X552" s="89"/>
      <c r="Y552" s="89"/>
      <c r="Z552" s="89"/>
      <c r="AA552" s="89"/>
      <c r="AB552" s="89"/>
      <c r="AC552" s="89"/>
      <c r="AD552" s="89"/>
      <c r="AE552" s="89"/>
      <c r="AF552" s="89"/>
      <c r="AG552" s="89"/>
      <c r="AH552" s="89"/>
      <c r="AI552" s="89"/>
      <c r="AJ552" s="89"/>
      <c r="AK552" s="89"/>
      <c r="AL552" s="89"/>
      <c r="AM552" s="89"/>
      <c r="AN552" s="89"/>
      <c r="AO552" s="89"/>
      <c r="AP552" s="89"/>
      <c r="AQ552" s="89"/>
      <c r="AR552" s="89"/>
      <c r="AS552" s="89"/>
      <c r="AT552" s="89"/>
      <c r="AU552" s="89"/>
      <c r="AV552" s="89"/>
      <c r="AW552" s="89"/>
      <c r="AX552" s="89"/>
      <c r="AY552" s="89"/>
      <c r="AZ552" s="89"/>
      <c r="BA552" s="95"/>
    </row>
    <row r="553" spans="1:53" s="87" customFormat="1">
      <c r="A553" s="90" t="str">
        <f t="shared" si="33"/>
        <v/>
      </c>
      <c r="B553" s="89"/>
      <c r="C553" s="89"/>
      <c r="D553" s="89"/>
      <c r="E553" s="89"/>
      <c r="F553" s="89"/>
      <c r="G553" s="89"/>
      <c r="H553" s="89"/>
      <c r="I553" s="89"/>
      <c r="J553" s="89"/>
      <c r="K553" s="89"/>
      <c r="L553" s="89"/>
      <c r="M553" s="89"/>
      <c r="N553" s="89"/>
      <c r="O553" s="89"/>
      <c r="P553" s="89"/>
      <c r="Q553" s="89"/>
      <c r="R553" s="89"/>
      <c r="S553" s="89"/>
      <c r="T553" s="89"/>
      <c r="U553" s="89"/>
      <c r="V553" s="89"/>
      <c r="W553" s="89"/>
      <c r="X553" s="89"/>
      <c r="Y553" s="89"/>
      <c r="Z553" s="89"/>
      <c r="AA553" s="89"/>
      <c r="AB553" s="89"/>
      <c r="AC553" s="89"/>
      <c r="AD553" s="89"/>
      <c r="AE553" s="89"/>
      <c r="AF553" s="89"/>
      <c r="AG553" s="89"/>
      <c r="AH553" s="89"/>
      <c r="AI553" s="89"/>
      <c r="AJ553" s="89"/>
      <c r="AK553" s="89"/>
      <c r="AL553" s="89"/>
      <c r="AM553" s="89"/>
      <c r="AN553" s="89"/>
      <c r="AO553" s="89"/>
      <c r="AP553" s="89"/>
      <c r="AQ553" s="89"/>
      <c r="AR553" s="89"/>
      <c r="AS553" s="89"/>
      <c r="AT553" s="89"/>
      <c r="AU553" s="89"/>
      <c r="AV553" s="89"/>
      <c r="AW553" s="89"/>
      <c r="AX553" s="89"/>
      <c r="AY553" s="89"/>
      <c r="AZ553" s="89"/>
      <c r="BA553" s="95"/>
    </row>
    <row r="554" spans="1:53" s="87" customFormat="1">
      <c r="A554" s="90" t="str">
        <f t="shared" si="33"/>
        <v/>
      </c>
      <c r="B554" s="89"/>
      <c r="C554" s="89"/>
      <c r="D554" s="89"/>
      <c r="E554" s="89"/>
      <c r="F554" s="89"/>
      <c r="G554" s="89"/>
      <c r="H554" s="89"/>
      <c r="I554" s="89"/>
      <c r="J554" s="89"/>
      <c r="K554" s="89"/>
      <c r="L554" s="89"/>
      <c r="M554" s="89"/>
      <c r="N554" s="89"/>
      <c r="O554" s="89"/>
      <c r="P554" s="89"/>
      <c r="Q554" s="89"/>
      <c r="R554" s="89"/>
      <c r="S554" s="89"/>
      <c r="T554" s="89"/>
      <c r="U554" s="89"/>
      <c r="V554" s="89"/>
      <c r="W554" s="89"/>
      <c r="X554" s="89"/>
      <c r="Y554" s="89"/>
      <c r="Z554" s="89"/>
      <c r="AA554" s="89"/>
      <c r="AB554" s="89"/>
      <c r="AC554" s="89"/>
      <c r="AD554" s="89"/>
      <c r="AE554" s="89"/>
      <c r="AF554" s="89"/>
      <c r="AG554" s="89"/>
      <c r="AH554" s="89"/>
      <c r="AI554" s="89"/>
      <c r="AJ554" s="89"/>
      <c r="AK554" s="89"/>
      <c r="AL554" s="89"/>
      <c r="AM554" s="89"/>
      <c r="AN554" s="89"/>
      <c r="AO554" s="89"/>
      <c r="AP554" s="89"/>
      <c r="AQ554" s="89"/>
      <c r="AR554" s="89"/>
      <c r="AS554" s="89"/>
      <c r="AT554" s="89"/>
      <c r="AU554" s="89"/>
      <c r="AV554" s="89"/>
      <c r="AW554" s="89"/>
      <c r="AX554" s="89"/>
      <c r="AY554" s="89"/>
      <c r="AZ554" s="89"/>
      <c r="BA554" s="95"/>
    </row>
    <row r="555" spans="1:53" s="87" customFormat="1">
      <c r="A555" s="90" t="str">
        <f t="shared" si="33"/>
        <v/>
      </c>
      <c r="B555" s="89"/>
      <c r="C555" s="89"/>
      <c r="D555" s="89"/>
      <c r="E555" s="89"/>
      <c r="F555" s="89"/>
      <c r="G555" s="89"/>
      <c r="H555" s="89"/>
      <c r="I555" s="89"/>
      <c r="J555" s="89"/>
      <c r="K555" s="89"/>
      <c r="L555" s="89"/>
      <c r="M555" s="89"/>
      <c r="N555" s="89"/>
      <c r="O555" s="89"/>
      <c r="P555" s="89"/>
      <c r="Q555" s="89"/>
      <c r="R555" s="89"/>
      <c r="S555" s="89"/>
      <c r="T555" s="89"/>
      <c r="U555" s="89"/>
      <c r="V555" s="89"/>
      <c r="W555" s="89"/>
      <c r="X555" s="89"/>
      <c r="Y555" s="89"/>
      <c r="Z555" s="89"/>
      <c r="AA555" s="89"/>
      <c r="AB555" s="89"/>
      <c r="AC555" s="89"/>
      <c r="AD555" s="89"/>
      <c r="AE555" s="89"/>
      <c r="AF555" s="89"/>
      <c r="AG555" s="89"/>
      <c r="AH555" s="89"/>
      <c r="AI555" s="89"/>
      <c r="AJ555" s="89"/>
      <c r="AK555" s="89"/>
      <c r="AL555" s="89"/>
      <c r="AM555" s="89"/>
      <c r="AN555" s="89"/>
      <c r="AO555" s="89"/>
      <c r="AP555" s="89"/>
      <c r="AQ555" s="89"/>
      <c r="AR555" s="89"/>
      <c r="AS555" s="89"/>
      <c r="AT555" s="89"/>
      <c r="AU555" s="89"/>
      <c r="AV555" s="89"/>
      <c r="AW555" s="89"/>
      <c r="AX555" s="89"/>
      <c r="AY555" s="89"/>
      <c r="AZ555" s="89"/>
      <c r="BA555" s="95"/>
    </row>
    <row r="556" spans="1:53" s="87" customFormat="1">
      <c r="A556" s="90" t="str">
        <f t="shared" si="33"/>
        <v/>
      </c>
      <c r="B556" s="89"/>
      <c r="C556" s="89"/>
      <c r="D556" s="89"/>
      <c r="E556" s="89"/>
      <c r="F556" s="89"/>
      <c r="G556" s="89"/>
      <c r="H556" s="89"/>
      <c r="I556" s="89"/>
      <c r="J556" s="89"/>
      <c r="K556" s="89"/>
      <c r="L556" s="89"/>
      <c r="M556" s="89"/>
      <c r="N556" s="89"/>
      <c r="O556" s="89"/>
      <c r="P556" s="89"/>
      <c r="Q556" s="89"/>
      <c r="R556" s="89"/>
      <c r="S556" s="89"/>
      <c r="T556" s="89"/>
      <c r="U556" s="89"/>
      <c r="V556" s="89"/>
      <c r="W556" s="89"/>
      <c r="X556" s="89"/>
      <c r="Y556" s="89"/>
      <c r="Z556" s="89"/>
      <c r="AA556" s="89"/>
      <c r="AB556" s="89"/>
      <c r="AC556" s="89"/>
      <c r="AD556" s="89"/>
      <c r="AE556" s="89"/>
      <c r="AF556" s="89"/>
      <c r="AG556" s="89"/>
      <c r="AH556" s="89"/>
      <c r="AI556" s="89"/>
      <c r="AJ556" s="89"/>
      <c r="AK556" s="89"/>
      <c r="AL556" s="89"/>
      <c r="AM556" s="89"/>
      <c r="AN556" s="89"/>
      <c r="AO556" s="89"/>
      <c r="AP556" s="89"/>
      <c r="AQ556" s="89"/>
      <c r="AR556" s="89"/>
      <c r="AS556" s="89"/>
      <c r="AT556" s="89"/>
      <c r="AU556" s="89"/>
      <c r="AV556" s="89"/>
      <c r="AW556" s="89"/>
      <c r="AX556" s="89"/>
      <c r="AY556" s="89"/>
      <c r="AZ556" s="89"/>
      <c r="BA556" s="95"/>
    </row>
    <row r="557" spans="1:53" s="87" customFormat="1">
      <c r="A557" s="90" t="str">
        <f t="shared" si="33"/>
        <v/>
      </c>
      <c r="B557" s="89"/>
      <c r="C557" s="89"/>
      <c r="D557" s="89"/>
      <c r="E557" s="89"/>
      <c r="F557" s="89"/>
      <c r="G557" s="89"/>
      <c r="H557" s="89"/>
      <c r="I557" s="89"/>
      <c r="J557" s="89"/>
      <c r="K557" s="89"/>
      <c r="L557" s="89"/>
      <c r="M557" s="89"/>
      <c r="N557" s="89"/>
      <c r="O557" s="89"/>
      <c r="P557" s="89"/>
      <c r="Q557" s="89"/>
      <c r="R557" s="89"/>
      <c r="S557" s="89"/>
      <c r="T557" s="89"/>
      <c r="U557" s="89"/>
      <c r="V557" s="89"/>
      <c r="W557" s="89"/>
      <c r="X557" s="89"/>
      <c r="Y557" s="89"/>
      <c r="Z557" s="89"/>
      <c r="AA557" s="89"/>
      <c r="AB557" s="89"/>
      <c r="AC557" s="89"/>
      <c r="AD557" s="89"/>
      <c r="AE557" s="89"/>
      <c r="AF557" s="89"/>
      <c r="AG557" s="89"/>
      <c r="AH557" s="89"/>
      <c r="AI557" s="89"/>
      <c r="AJ557" s="89"/>
      <c r="AK557" s="89"/>
      <c r="AL557" s="89"/>
      <c r="AM557" s="89"/>
      <c r="AN557" s="89"/>
      <c r="AO557" s="89"/>
      <c r="AP557" s="89"/>
      <c r="AQ557" s="89"/>
      <c r="AR557" s="89"/>
      <c r="AS557" s="89"/>
      <c r="AT557" s="89"/>
      <c r="AU557" s="89"/>
      <c r="AV557" s="89"/>
      <c r="AW557" s="89"/>
      <c r="AX557" s="89"/>
      <c r="AY557" s="89"/>
      <c r="AZ557" s="89"/>
      <c r="BA557" s="95"/>
    </row>
    <row r="558" spans="1:53" s="87" customFormat="1">
      <c r="A558" s="90" t="str">
        <f t="shared" si="33"/>
        <v/>
      </c>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89"/>
      <c r="AF558" s="89"/>
      <c r="AG558" s="89"/>
      <c r="AH558" s="89"/>
      <c r="AI558" s="89"/>
      <c r="AJ558" s="89"/>
      <c r="AK558" s="89"/>
      <c r="AL558" s="89"/>
      <c r="AM558" s="89"/>
      <c r="AN558" s="89"/>
      <c r="AO558" s="89"/>
      <c r="AP558" s="89"/>
      <c r="AQ558" s="89"/>
      <c r="AR558" s="89"/>
      <c r="AS558" s="89"/>
      <c r="AT558" s="89"/>
      <c r="AU558" s="89"/>
      <c r="AV558" s="89"/>
      <c r="AW558" s="89"/>
      <c r="AX558" s="89"/>
      <c r="AY558" s="89"/>
      <c r="AZ558" s="89"/>
      <c r="BA558" s="95"/>
    </row>
    <row r="559" spans="1:53" s="87" customFormat="1">
      <c r="A559" s="90" t="str">
        <f t="shared" si="33"/>
        <v/>
      </c>
      <c r="B559" s="89"/>
      <c r="C559" s="89"/>
      <c r="D559" s="89"/>
      <c r="E559" s="89"/>
      <c r="F559" s="89"/>
      <c r="G559" s="89"/>
      <c r="H559" s="89"/>
      <c r="I559" s="89"/>
      <c r="J559" s="89"/>
      <c r="K559" s="89"/>
      <c r="L559" s="89"/>
      <c r="M559" s="89"/>
      <c r="N559" s="89"/>
      <c r="O559" s="89"/>
      <c r="P559" s="89"/>
      <c r="Q559" s="89"/>
      <c r="R559" s="89"/>
      <c r="S559" s="89"/>
      <c r="T559" s="89"/>
      <c r="U559" s="89"/>
      <c r="V559" s="89"/>
      <c r="W559" s="89"/>
      <c r="X559" s="89"/>
      <c r="Y559" s="89"/>
      <c r="Z559" s="89"/>
      <c r="AA559" s="89"/>
      <c r="AB559" s="89"/>
      <c r="AC559" s="89"/>
      <c r="AD559" s="89"/>
      <c r="AE559" s="89"/>
      <c r="AF559" s="89"/>
      <c r="AG559" s="89"/>
      <c r="AH559" s="89"/>
      <c r="AI559" s="89"/>
      <c r="AJ559" s="89"/>
      <c r="AK559" s="89"/>
      <c r="AL559" s="89"/>
      <c r="AM559" s="89"/>
      <c r="AN559" s="89"/>
      <c r="AO559" s="89"/>
      <c r="AP559" s="89"/>
      <c r="AQ559" s="89"/>
      <c r="AR559" s="89"/>
      <c r="AS559" s="89"/>
      <c r="AT559" s="89"/>
      <c r="AU559" s="89"/>
      <c r="AV559" s="89"/>
      <c r="AW559" s="89"/>
      <c r="AX559" s="89"/>
      <c r="AY559" s="89"/>
      <c r="AZ559" s="89"/>
      <c r="BA559" s="95"/>
    </row>
    <row r="560" spans="1:53" s="87" customFormat="1">
      <c r="A560" s="90" t="str">
        <f t="shared" si="33"/>
        <v/>
      </c>
      <c r="B560" s="89"/>
      <c r="C560" s="89"/>
      <c r="D560" s="89"/>
      <c r="E560" s="89"/>
      <c r="F560" s="89"/>
      <c r="G560" s="89"/>
      <c r="H560" s="89"/>
      <c r="I560" s="89"/>
      <c r="J560" s="89"/>
      <c r="K560" s="89"/>
      <c r="L560" s="89"/>
      <c r="M560" s="89"/>
      <c r="N560" s="89"/>
      <c r="O560" s="89"/>
      <c r="P560" s="89"/>
      <c r="Q560" s="89"/>
      <c r="R560" s="89"/>
      <c r="S560" s="89"/>
      <c r="T560" s="89"/>
      <c r="U560" s="89"/>
      <c r="V560" s="89"/>
      <c r="W560" s="89"/>
      <c r="X560" s="89"/>
      <c r="Y560" s="89"/>
      <c r="Z560" s="89"/>
      <c r="AA560" s="89"/>
      <c r="AB560" s="89"/>
      <c r="AC560" s="89"/>
      <c r="AD560" s="89"/>
      <c r="AE560" s="89"/>
      <c r="AF560" s="89"/>
      <c r="AG560" s="89"/>
      <c r="AH560" s="89"/>
      <c r="AI560" s="89"/>
      <c r="AJ560" s="89"/>
      <c r="AK560" s="89"/>
      <c r="AL560" s="89"/>
      <c r="AM560" s="89"/>
      <c r="AN560" s="89"/>
      <c r="AO560" s="89"/>
      <c r="AP560" s="89"/>
      <c r="AQ560" s="89"/>
      <c r="AR560" s="89"/>
      <c r="AS560" s="89"/>
      <c r="AT560" s="89"/>
      <c r="AU560" s="89"/>
      <c r="AV560" s="89"/>
      <c r="AW560" s="89"/>
      <c r="AX560" s="89"/>
      <c r="AY560" s="89"/>
      <c r="AZ560" s="89"/>
      <c r="BA560" s="95"/>
    </row>
    <row r="561" spans="1:53" s="87" customFormat="1">
      <c r="A561" s="90" t="str">
        <f t="shared" si="33"/>
        <v/>
      </c>
      <c r="B561" s="89"/>
      <c r="C561" s="89"/>
      <c r="D561" s="89"/>
      <c r="E561" s="89"/>
      <c r="F561" s="89"/>
      <c r="G561" s="89"/>
      <c r="H561" s="89"/>
      <c r="I561" s="89"/>
      <c r="J561" s="89"/>
      <c r="K561" s="89"/>
      <c r="L561" s="89"/>
      <c r="M561" s="89"/>
      <c r="N561" s="89"/>
      <c r="O561" s="89"/>
      <c r="P561" s="89"/>
      <c r="Q561" s="89"/>
      <c r="R561" s="89"/>
      <c r="S561" s="89"/>
      <c r="T561" s="89"/>
      <c r="U561" s="89"/>
      <c r="V561" s="89"/>
      <c r="W561" s="89"/>
      <c r="X561" s="89"/>
      <c r="Y561" s="89"/>
      <c r="Z561" s="89"/>
      <c r="AA561" s="89"/>
      <c r="AB561" s="89"/>
      <c r="AC561" s="89"/>
      <c r="AD561" s="89"/>
      <c r="AE561" s="89"/>
      <c r="AF561" s="89"/>
      <c r="AG561" s="89"/>
      <c r="AH561" s="89"/>
      <c r="AI561" s="89"/>
      <c r="AJ561" s="89"/>
      <c r="AK561" s="89"/>
      <c r="AL561" s="89"/>
      <c r="AM561" s="89"/>
      <c r="AN561" s="89"/>
      <c r="AO561" s="89"/>
      <c r="AP561" s="89"/>
      <c r="AQ561" s="89"/>
      <c r="AR561" s="89"/>
      <c r="AS561" s="89"/>
      <c r="AT561" s="89"/>
      <c r="AU561" s="89"/>
      <c r="AV561" s="89"/>
      <c r="AW561" s="89"/>
      <c r="AX561" s="89"/>
      <c r="AY561" s="89"/>
      <c r="AZ561" s="89"/>
      <c r="BA561" s="95"/>
    </row>
    <row r="562" spans="1:53" s="87" customFormat="1">
      <c r="A562" s="90" t="str">
        <f t="shared" si="33"/>
        <v/>
      </c>
      <c r="B562" s="89"/>
      <c r="C562" s="89"/>
      <c r="D562" s="89"/>
      <c r="E562" s="89"/>
      <c r="F562" s="89"/>
      <c r="G562" s="89"/>
      <c r="H562" s="89"/>
      <c r="I562" s="89"/>
      <c r="J562" s="89"/>
      <c r="K562" s="89"/>
      <c r="L562" s="89"/>
      <c r="M562" s="89"/>
      <c r="N562" s="89"/>
      <c r="O562" s="89"/>
      <c r="P562" s="89"/>
      <c r="Q562" s="89"/>
      <c r="R562" s="89"/>
      <c r="S562" s="89"/>
      <c r="T562" s="89"/>
      <c r="U562" s="89"/>
      <c r="V562" s="89"/>
      <c r="W562" s="89"/>
      <c r="X562" s="89"/>
      <c r="Y562" s="89"/>
      <c r="Z562" s="89"/>
      <c r="AA562" s="89"/>
      <c r="AB562" s="89"/>
      <c r="AC562" s="89"/>
      <c r="AD562" s="89"/>
      <c r="AE562" s="89"/>
      <c r="AF562" s="89"/>
      <c r="AG562" s="89"/>
      <c r="AH562" s="89"/>
      <c r="AI562" s="89"/>
      <c r="AJ562" s="89"/>
      <c r="AK562" s="89"/>
      <c r="AL562" s="89"/>
      <c r="AM562" s="89"/>
      <c r="AN562" s="89"/>
      <c r="AO562" s="89"/>
      <c r="AP562" s="89"/>
      <c r="AQ562" s="89"/>
      <c r="AR562" s="89"/>
      <c r="AS562" s="89"/>
      <c r="AT562" s="89"/>
      <c r="AU562" s="89"/>
      <c r="AV562" s="89"/>
      <c r="AW562" s="89"/>
      <c r="AX562" s="89"/>
      <c r="AY562" s="89"/>
      <c r="AZ562" s="89"/>
      <c r="BA562" s="95"/>
    </row>
    <row r="563" spans="1:53" s="87" customFormat="1">
      <c r="A563" s="90" t="str">
        <f t="shared" si="33"/>
        <v/>
      </c>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89"/>
      <c r="AF563" s="89"/>
      <c r="AG563" s="89"/>
      <c r="AH563" s="89"/>
      <c r="AI563" s="89"/>
      <c r="AJ563" s="89"/>
      <c r="AK563" s="89"/>
      <c r="AL563" s="89"/>
      <c r="AM563" s="89"/>
      <c r="AN563" s="89"/>
      <c r="AO563" s="89"/>
      <c r="AP563" s="89"/>
      <c r="AQ563" s="89"/>
      <c r="AR563" s="89"/>
      <c r="AS563" s="89"/>
      <c r="AT563" s="89"/>
      <c r="AU563" s="89"/>
      <c r="AV563" s="89"/>
      <c r="AW563" s="89"/>
      <c r="AX563" s="89"/>
      <c r="AY563" s="89"/>
      <c r="AZ563" s="89"/>
      <c r="BA563" s="95"/>
    </row>
    <row r="564" spans="1:53" s="87" customFormat="1">
      <c r="A564" s="90" t="str">
        <f t="shared" si="33"/>
        <v/>
      </c>
      <c r="B564" s="89"/>
      <c r="C564" s="89"/>
      <c r="D564" s="89"/>
      <c r="E564" s="89"/>
      <c r="F564" s="89"/>
      <c r="G564" s="89"/>
      <c r="H564" s="89"/>
      <c r="I564" s="89"/>
      <c r="J564" s="89"/>
      <c r="K564" s="89"/>
      <c r="L564" s="89"/>
      <c r="M564" s="89"/>
      <c r="N564" s="89"/>
      <c r="O564" s="89"/>
      <c r="P564" s="89"/>
      <c r="Q564" s="89"/>
      <c r="R564" s="89"/>
      <c r="S564" s="89"/>
      <c r="T564" s="89"/>
      <c r="U564" s="89"/>
      <c r="V564" s="89"/>
      <c r="W564" s="89"/>
      <c r="X564" s="89"/>
      <c r="Y564" s="89"/>
      <c r="Z564" s="89"/>
      <c r="AA564" s="89"/>
      <c r="AB564" s="89"/>
      <c r="AC564" s="89"/>
      <c r="AD564" s="89"/>
      <c r="AE564" s="89"/>
      <c r="AF564" s="89"/>
      <c r="AG564" s="89"/>
      <c r="AH564" s="89"/>
      <c r="AI564" s="89"/>
      <c r="AJ564" s="89"/>
      <c r="AK564" s="89"/>
      <c r="AL564" s="89"/>
      <c r="AM564" s="89"/>
      <c r="AN564" s="89"/>
      <c r="AO564" s="89"/>
      <c r="AP564" s="89"/>
      <c r="AQ564" s="89"/>
      <c r="AR564" s="89"/>
      <c r="AS564" s="89"/>
      <c r="AT564" s="89"/>
      <c r="AU564" s="89"/>
      <c r="AV564" s="89"/>
      <c r="AW564" s="89"/>
      <c r="AX564" s="89"/>
      <c r="AY564" s="89"/>
      <c r="AZ564" s="89"/>
      <c r="BA564" s="95"/>
    </row>
    <row r="565" spans="1:53" s="87" customFormat="1">
      <c r="A565" s="90" t="str">
        <f t="shared" si="33"/>
        <v/>
      </c>
      <c r="B565" s="89"/>
      <c r="C565" s="89"/>
      <c r="D565" s="89"/>
      <c r="E565" s="89"/>
      <c r="F565" s="89"/>
      <c r="G565" s="89"/>
      <c r="H565" s="89"/>
      <c r="I565" s="89"/>
      <c r="J565" s="89"/>
      <c r="K565" s="89"/>
      <c r="L565" s="89"/>
      <c r="M565" s="89"/>
      <c r="N565" s="89"/>
      <c r="O565" s="89"/>
      <c r="P565" s="89"/>
      <c r="Q565" s="89"/>
      <c r="R565" s="89"/>
      <c r="S565" s="89"/>
      <c r="T565" s="89"/>
      <c r="U565" s="89"/>
      <c r="V565" s="89"/>
      <c r="W565" s="89"/>
      <c r="X565" s="89"/>
      <c r="Y565" s="89"/>
      <c r="Z565" s="89"/>
      <c r="AA565" s="89"/>
      <c r="AB565" s="89"/>
      <c r="AC565" s="89"/>
      <c r="AD565" s="89"/>
      <c r="AE565" s="89"/>
      <c r="AF565" s="89"/>
      <c r="AG565" s="89"/>
      <c r="AH565" s="89"/>
      <c r="AI565" s="89"/>
      <c r="AJ565" s="89"/>
      <c r="AK565" s="89"/>
      <c r="AL565" s="89"/>
      <c r="AM565" s="89"/>
      <c r="AN565" s="89"/>
      <c r="AO565" s="89"/>
      <c r="AP565" s="89"/>
      <c r="AQ565" s="89"/>
      <c r="AR565" s="89"/>
      <c r="AS565" s="89"/>
      <c r="AT565" s="89"/>
      <c r="AU565" s="89"/>
      <c r="AV565" s="89"/>
      <c r="AW565" s="89"/>
      <c r="AX565" s="89"/>
      <c r="AY565" s="89"/>
      <c r="AZ565" s="89"/>
      <c r="BA565" s="95"/>
    </row>
    <row r="566" spans="1:53" s="87" customFormat="1">
      <c r="A566" s="90" t="str">
        <f t="shared" si="33"/>
        <v/>
      </c>
      <c r="B566" s="89"/>
      <c r="C566" s="89"/>
      <c r="D566" s="89"/>
      <c r="E566" s="89"/>
      <c r="F566" s="89"/>
      <c r="G566" s="89"/>
      <c r="H566" s="89"/>
      <c r="I566" s="89"/>
      <c r="J566" s="89"/>
      <c r="K566" s="89"/>
      <c r="L566" s="89"/>
      <c r="M566" s="89"/>
      <c r="N566" s="89"/>
      <c r="O566" s="89"/>
      <c r="P566" s="89"/>
      <c r="Q566" s="89"/>
      <c r="R566" s="89"/>
      <c r="S566" s="89"/>
      <c r="T566" s="89"/>
      <c r="U566" s="89"/>
      <c r="V566" s="89"/>
      <c r="W566" s="89"/>
      <c r="X566" s="89"/>
      <c r="Y566" s="89"/>
      <c r="Z566" s="89"/>
      <c r="AA566" s="89"/>
      <c r="AB566" s="89"/>
      <c r="AC566" s="89"/>
      <c r="AD566" s="89"/>
      <c r="AE566" s="89"/>
      <c r="AF566" s="89"/>
      <c r="AG566" s="89"/>
      <c r="AH566" s="89"/>
      <c r="AI566" s="89"/>
      <c r="AJ566" s="89"/>
      <c r="AK566" s="89"/>
      <c r="AL566" s="89"/>
      <c r="AM566" s="89"/>
      <c r="AN566" s="89"/>
      <c r="AO566" s="89"/>
      <c r="AP566" s="89"/>
      <c r="AQ566" s="89"/>
      <c r="AR566" s="89"/>
      <c r="AS566" s="89"/>
      <c r="AT566" s="89"/>
      <c r="AU566" s="89"/>
      <c r="AV566" s="89"/>
      <c r="AW566" s="89"/>
      <c r="AX566" s="89"/>
      <c r="AY566" s="89"/>
      <c r="AZ566" s="89"/>
      <c r="BA566" s="95"/>
    </row>
    <row r="567" spans="1:53" s="87" customFormat="1">
      <c r="A567" s="90" t="str">
        <f t="shared" si="33"/>
        <v/>
      </c>
      <c r="B567" s="89"/>
      <c r="C567" s="89"/>
      <c r="D567" s="89"/>
      <c r="E567" s="89"/>
      <c r="F567" s="89"/>
      <c r="G567" s="89"/>
      <c r="H567" s="89"/>
      <c r="I567" s="89"/>
      <c r="J567" s="89"/>
      <c r="K567" s="89"/>
      <c r="L567" s="89"/>
      <c r="M567" s="89"/>
      <c r="N567" s="89"/>
      <c r="O567" s="89"/>
      <c r="P567" s="89"/>
      <c r="Q567" s="89"/>
      <c r="R567" s="89"/>
      <c r="S567" s="89"/>
      <c r="T567" s="89"/>
      <c r="U567" s="89"/>
      <c r="V567" s="89"/>
      <c r="W567" s="89"/>
      <c r="X567" s="89"/>
      <c r="Y567" s="89"/>
      <c r="Z567" s="89"/>
      <c r="AA567" s="89"/>
      <c r="AB567" s="89"/>
      <c r="AC567" s="89"/>
      <c r="AD567" s="89"/>
      <c r="AE567" s="89"/>
      <c r="AF567" s="89"/>
      <c r="AG567" s="89"/>
      <c r="AH567" s="89"/>
      <c r="AI567" s="89"/>
      <c r="AJ567" s="89"/>
      <c r="AK567" s="89"/>
      <c r="AL567" s="89"/>
      <c r="AM567" s="89"/>
      <c r="AN567" s="89"/>
      <c r="AO567" s="89"/>
      <c r="AP567" s="89"/>
      <c r="AQ567" s="89"/>
      <c r="AR567" s="89"/>
      <c r="AS567" s="89"/>
      <c r="AT567" s="89"/>
      <c r="AU567" s="89"/>
      <c r="AV567" s="89"/>
      <c r="AW567" s="89"/>
      <c r="AX567" s="89"/>
      <c r="AY567" s="89"/>
      <c r="AZ567" s="89"/>
      <c r="BA567" s="95"/>
    </row>
    <row r="568" spans="1:53" s="87" customFormat="1">
      <c r="A568" s="90" t="str">
        <f t="shared" si="33"/>
        <v/>
      </c>
      <c r="B568" s="89"/>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c r="AA568" s="89"/>
      <c r="AB568" s="89"/>
      <c r="AC568" s="89"/>
      <c r="AD568" s="89"/>
      <c r="AE568" s="89"/>
      <c r="AF568" s="89"/>
      <c r="AG568" s="89"/>
      <c r="AH568" s="89"/>
      <c r="AI568" s="89"/>
      <c r="AJ568" s="89"/>
      <c r="AK568" s="89"/>
      <c r="AL568" s="89"/>
      <c r="AM568" s="89"/>
      <c r="AN568" s="89"/>
      <c r="AO568" s="89"/>
      <c r="AP568" s="89"/>
      <c r="AQ568" s="89"/>
      <c r="AR568" s="89"/>
      <c r="AS568" s="89"/>
      <c r="AT568" s="89"/>
      <c r="AU568" s="89"/>
      <c r="AV568" s="89"/>
      <c r="AW568" s="89"/>
      <c r="AX568" s="89"/>
      <c r="AY568" s="89"/>
      <c r="AZ568" s="89"/>
      <c r="BA568" s="95"/>
    </row>
    <row r="569" spans="1:53" s="87" customFormat="1">
      <c r="A569" s="90" t="str">
        <f t="shared" si="33"/>
        <v/>
      </c>
      <c r="B569" s="89"/>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c r="AA569" s="89"/>
      <c r="AB569" s="89"/>
      <c r="AC569" s="89"/>
      <c r="AD569" s="89"/>
      <c r="AE569" s="89"/>
      <c r="AF569" s="89"/>
      <c r="AG569" s="89"/>
      <c r="AH569" s="89"/>
      <c r="AI569" s="89"/>
      <c r="AJ569" s="89"/>
      <c r="AK569" s="89"/>
      <c r="AL569" s="89"/>
      <c r="AM569" s="89"/>
      <c r="AN569" s="89"/>
      <c r="AO569" s="89"/>
      <c r="AP569" s="89"/>
      <c r="AQ569" s="89"/>
      <c r="AR569" s="89"/>
      <c r="AS569" s="89"/>
      <c r="AT569" s="89"/>
      <c r="AU569" s="89"/>
      <c r="AV569" s="89"/>
      <c r="AW569" s="89"/>
      <c r="AX569" s="89"/>
      <c r="AY569" s="89"/>
      <c r="AZ569" s="89"/>
      <c r="BA569" s="95"/>
    </row>
    <row r="570" spans="1:53" s="87" customFormat="1">
      <c r="A570" s="90" t="str">
        <f t="shared" si="33"/>
        <v/>
      </c>
      <c r="B570" s="89"/>
      <c r="C570" s="89"/>
      <c r="D570" s="89"/>
      <c r="E570" s="89"/>
      <c r="F570" s="89"/>
      <c r="G570" s="89"/>
      <c r="H570" s="89"/>
      <c r="I570" s="89"/>
      <c r="J570" s="89"/>
      <c r="K570" s="89"/>
      <c r="L570" s="89"/>
      <c r="M570" s="89"/>
      <c r="N570" s="89"/>
      <c r="O570" s="89"/>
      <c r="P570" s="89"/>
      <c r="Q570" s="89"/>
      <c r="R570" s="89"/>
      <c r="S570" s="89"/>
      <c r="T570" s="89"/>
      <c r="U570" s="89"/>
      <c r="V570" s="89"/>
      <c r="W570" s="89"/>
      <c r="X570" s="89"/>
      <c r="Y570" s="89"/>
      <c r="Z570" s="89"/>
      <c r="AA570" s="89"/>
      <c r="AB570" s="89"/>
      <c r="AC570" s="89"/>
      <c r="AD570" s="89"/>
      <c r="AE570" s="89"/>
      <c r="AF570" s="89"/>
      <c r="AG570" s="89"/>
      <c r="AH570" s="89"/>
      <c r="AI570" s="89"/>
      <c r="AJ570" s="89"/>
      <c r="AK570" s="89"/>
      <c r="AL570" s="89"/>
      <c r="AM570" s="89"/>
      <c r="AN570" s="89"/>
      <c r="AO570" s="89"/>
      <c r="AP570" s="89"/>
      <c r="AQ570" s="89"/>
      <c r="AR570" s="89"/>
      <c r="AS570" s="89"/>
      <c r="AT570" s="89"/>
      <c r="AU570" s="89"/>
      <c r="AV570" s="89"/>
      <c r="AW570" s="89"/>
      <c r="AX570" s="89"/>
      <c r="AY570" s="89"/>
      <c r="AZ570" s="89"/>
      <c r="BA570" s="95"/>
    </row>
    <row r="571" spans="1:53" s="87" customFormat="1">
      <c r="A571" s="90" t="str">
        <f t="shared" si="33"/>
        <v/>
      </c>
      <c r="B571" s="89"/>
      <c r="C571" s="89"/>
      <c r="D571" s="89"/>
      <c r="E571" s="89"/>
      <c r="F571" s="89"/>
      <c r="G571" s="89"/>
      <c r="H571" s="89"/>
      <c r="I571" s="89"/>
      <c r="J571" s="89"/>
      <c r="K571" s="89"/>
      <c r="L571" s="89"/>
      <c r="M571" s="89"/>
      <c r="N571" s="89"/>
      <c r="O571" s="89"/>
      <c r="P571" s="89"/>
      <c r="Q571" s="89"/>
      <c r="R571" s="89"/>
      <c r="S571" s="89"/>
      <c r="T571" s="89"/>
      <c r="U571" s="89"/>
      <c r="V571" s="89"/>
      <c r="W571" s="89"/>
      <c r="X571" s="89"/>
      <c r="Y571" s="89"/>
      <c r="Z571" s="89"/>
      <c r="AA571" s="89"/>
      <c r="AB571" s="89"/>
      <c r="AC571" s="89"/>
      <c r="AD571" s="89"/>
      <c r="AE571" s="89"/>
      <c r="AF571" s="89"/>
      <c r="AG571" s="89"/>
      <c r="AH571" s="89"/>
      <c r="AI571" s="89"/>
      <c r="AJ571" s="89"/>
      <c r="AK571" s="89"/>
      <c r="AL571" s="89"/>
      <c r="AM571" s="89"/>
      <c r="AN571" s="89"/>
      <c r="AO571" s="89"/>
      <c r="AP571" s="89"/>
      <c r="AQ571" s="89"/>
      <c r="AR571" s="89"/>
      <c r="AS571" s="89"/>
      <c r="AT571" s="89"/>
      <c r="AU571" s="89"/>
      <c r="AV571" s="89"/>
      <c r="AW571" s="89"/>
      <c r="AX571" s="89"/>
      <c r="AY571" s="89"/>
      <c r="AZ571" s="89"/>
      <c r="BA571" s="95"/>
    </row>
    <row r="572" spans="1:53" s="87" customFormat="1">
      <c r="A572" s="90" t="str">
        <f t="shared" si="33"/>
        <v/>
      </c>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89"/>
      <c r="AA572" s="89"/>
      <c r="AB572" s="89"/>
      <c r="AC572" s="89"/>
      <c r="AD572" s="89"/>
      <c r="AE572" s="89"/>
      <c r="AF572" s="89"/>
      <c r="AG572" s="89"/>
      <c r="AH572" s="89"/>
      <c r="AI572" s="89"/>
      <c r="AJ572" s="89"/>
      <c r="AK572" s="89"/>
      <c r="AL572" s="89"/>
      <c r="AM572" s="89"/>
      <c r="AN572" s="89"/>
      <c r="AO572" s="89"/>
      <c r="AP572" s="89"/>
      <c r="AQ572" s="89"/>
      <c r="AR572" s="89"/>
      <c r="AS572" s="89"/>
      <c r="AT572" s="89"/>
      <c r="AU572" s="89"/>
      <c r="AV572" s="89"/>
      <c r="AW572" s="89"/>
      <c r="AX572" s="89"/>
      <c r="AY572" s="89"/>
      <c r="AZ572" s="89"/>
      <c r="BA572" s="95"/>
    </row>
    <row r="573" spans="1:53" s="87" customFormat="1">
      <c r="A573" s="90" t="str">
        <f t="shared" si="33"/>
        <v/>
      </c>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89"/>
      <c r="AA573" s="89"/>
      <c r="AB573" s="89"/>
      <c r="AC573" s="89"/>
      <c r="AD573" s="89"/>
      <c r="AE573" s="89"/>
      <c r="AF573" s="89"/>
      <c r="AG573" s="89"/>
      <c r="AH573" s="89"/>
      <c r="AI573" s="89"/>
      <c r="AJ573" s="89"/>
      <c r="AK573" s="89"/>
      <c r="AL573" s="89"/>
      <c r="AM573" s="89"/>
      <c r="AN573" s="89"/>
      <c r="AO573" s="89"/>
      <c r="AP573" s="89"/>
      <c r="AQ573" s="89"/>
      <c r="AR573" s="89"/>
      <c r="AS573" s="89"/>
      <c r="AT573" s="89"/>
      <c r="AU573" s="89"/>
      <c r="AV573" s="89"/>
      <c r="AW573" s="89"/>
      <c r="AX573" s="89"/>
      <c r="AY573" s="89"/>
      <c r="AZ573" s="89"/>
      <c r="BA573" s="95"/>
    </row>
    <row r="574" spans="1:53" s="87" customFormat="1">
      <c r="A574" s="90" t="str">
        <f t="shared" si="33"/>
        <v/>
      </c>
      <c r="B574" s="89"/>
      <c r="C574" s="89"/>
      <c r="D574" s="89"/>
      <c r="E574" s="89"/>
      <c r="F574" s="89"/>
      <c r="G574" s="89"/>
      <c r="H574" s="89"/>
      <c r="I574" s="89"/>
      <c r="J574" s="89"/>
      <c r="K574" s="89"/>
      <c r="L574" s="89"/>
      <c r="M574" s="89"/>
      <c r="N574" s="89"/>
      <c r="O574" s="89"/>
      <c r="P574" s="89"/>
      <c r="Q574" s="89"/>
      <c r="R574" s="89"/>
      <c r="S574" s="89"/>
      <c r="T574" s="89"/>
      <c r="U574" s="89"/>
      <c r="V574" s="89"/>
      <c r="W574" s="89"/>
      <c r="X574" s="89"/>
      <c r="Y574" s="89"/>
      <c r="Z574" s="89"/>
      <c r="AA574" s="89"/>
      <c r="AB574" s="89"/>
      <c r="AC574" s="89"/>
      <c r="AD574" s="89"/>
      <c r="AE574" s="89"/>
      <c r="AF574" s="89"/>
      <c r="AG574" s="89"/>
      <c r="AH574" s="89"/>
      <c r="AI574" s="89"/>
      <c r="AJ574" s="89"/>
      <c r="AK574" s="89"/>
      <c r="AL574" s="89"/>
      <c r="AM574" s="89"/>
      <c r="AN574" s="89"/>
      <c r="AO574" s="89"/>
      <c r="AP574" s="89"/>
      <c r="AQ574" s="89"/>
      <c r="AR574" s="89"/>
      <c r="AS574" s="89"/>
      <c r="AT574" s="89"/>
      <c r="AU574" s="89"/>
      <c r="AV574" s="89"/>
      <c r="AW574" s="89"/>
      <c r="AX574" s="89"/>
      <c r="AY574" s="89"/>
      <c r="AZ574" s="89"/>
      <c r="BA574" s="95"/>
    </row>
    <row r="575" spans="1:53" s="87" customFormat="1">
      <c r="A575" s="90" t="str">
        <f t="shared" si="33"/>
        <v/>
      </c>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89"/>
      <c r="AA575" s="89"/>
      <c r="AB575" s="89"/>
      <c r="AC575" s="89"/>
      <c r="AD575" s="89"/>
      <c r="AE575" s="89"/>
      <c r="AF575" s="89"/>
      <c r="AG575" s="89"/>
      <c r="AH575" s="89"/>
      <c r="AI575" s="89"/>
      <c r="AJ575" s="89"/>
      <c r="AK575" s="89"/>
      <c r="AL575" s="89"/>
      <c r="AM575" s="89"/>
      <c r="AN575" s="89"/>
      <c r="AO575" s="89"/>
      <c r="AP575" s="89"/>
      <c r="AQ575" s="89"/>
      <c r="AR575" s="89"/>
      <c r="AS575" s="89"/>
      <c r="AT575" s="89"/>
      <c r="AU575" s="89"/>
      <c r="AV575" s="89"/>
      <c r="AW575" s="89"/>
      <c r="AX575" s="89"/>
      <c r="AY575" s="89"/>
      <c r="AZ575" s="89"/>
      <c r="BA575" s="95"/>
    </row>
    <row r="576" spans="1:53" s="87" customFormat="1">
      <c r="A576" s="90" t="str">
        <f t="shared" si="33"/>
        <v/>
      </c>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89"/>
      <c r="AA576" s="89"/>
      <c r="AB576" s="89"/>
      <c r="AC576" s="89"/>
      <c r="AD576" s="89"/>
      <c r="AE576" s="89"/>
      <c r="AF576" s="89"/>
      <c r="AG576" s="89"/>
      <c r="AH576" s="89"/>
      <c r="AI576" s="89"/>
      <c r="AJ576" s="89"/>
      <c r="AK576" s="89"/>
      <c r="AL576" s="89"/>
      <c r="AM576" s="89"/>
      <c r="AN576" s="89"/>
      <c r="AO576" s="89"/>
      <c r="AP576" s="89"/>
      <c r="AQ576" s="89"/>
      <c r="AR576" s="89"/>
      <c r="AS576" s="89"/>
      <c r="AT576" s="89"/>
      <c r="AU576" s="89"/>
      <c r="AV576" s="89"/>
      <c r="AW576" s="89"/>
      <c r="AX576" s="89"/>
      <c r="AY576" s="89"/>
      <c r="AZ576" s="89"/>
      <c r="BA576" s="95"/>
    </row>
    <row r="577" spans="1:53" s="87" customFormat="1">
      <c r="A577" s="90" t="str">
        <f t="shared" si="33"/>
        <v/>
      </c>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89"/>
      <c r="AF577" s="89"/>
      <c r="AG577" s="89"/>
      <c r="AH577" s="89"/>
      <c r="AI577" s="89"/>
      <c r="AJ577" s="89"/>
      <c r="AK577" s="89"/>
      <c r="AL577" s="89"/>
      <c r="AM577" s="89"/>
      <c r="AN577" s="89"/>
      <c r="AO577" s="89"/>
      <c r="AP577" s="89"/>
      <c r="AQ577" s="89"/>
      <c r="AR577" s="89"/>
      <c r="AS577" s="89"/>
      <c r="AT577" s="89"/>
      <c r="AU577" s="89"/>
      <c r="AV577" s="89"/>
      <c r="AW577" s="89"/>
      <c r="AX577" s="89"/>
      <c r="AY577" s="89"/>
      <c r="AZ577" s="89"/>
      <c r="BA577" s="95"/>
    </row>
    <row r="578" spans="1:53" s="87" customFormat="1">
      <c r="A578" s="90" t="str">
        <f t="shared" si="33"/>
        <v/>
      </c>
      <c r="B578" s="89"/>
      <c r="C578" s="89"/>
      <c r="D578" s="89"/>
      <c r="E578" s="89"/>
      <c r="F578" s="89"/>
      <c r="G578" s="89"/>
      <c r="H578" s="89"/>
      <c r="I578" s="89"/>
      <c r="J578" s="89"/>
      <c r="K578" s="89"/>
      <c r="L578" s="89"/>
      <c r="M578" s="89"/>
      <c r="N578" s="89"/>
      <c r="O578" s="89"/>
      <c r="P578" s="89"/>
      <c r="Q578" s="89"/>
      <c r="R578" s="89"/>
      <c r="S578" s="89"/>
      <c r="T578" s="89"/>
      <c r="U578" s="89"/>
      <c r="V578" s="89"/>
      <c r="W578" s="89"/>
      <c r="X578" s="89"/>
      <c r="Y578" s="89"/>
      <c r="Z578" s="89"/>
      <c r="AA578" s="89"/>
      <c r="AB578" s="89"/>
      <c r="AC578" s="89"/>
      <c r="AD578" s="89"/>
      <c r="AE578" s="89"/>
      <c r="AF578" s="89"/>
      <c r="AG578" s="89"/>
      <c r="AH578" s="89"/>
      <c r="AI578" s="89"/>
      <c r="AJ578" s="89"/>
      <c r="AK578" s="89"/>
      <c r="AL578" s="89"/>
      <c r="AM578" s="89"/>
      <c r="AN578" s="89"/>
      <c r="AO578" s="89"/>
      <c r="AP578" s="89"/>
      <c r="AQ578" s="89"/>
      <c r="AR578" s="89"/>
      <c r="AS578" s="89"/>
      <c r="AT578" s="89"/>
      <c r="AU578" s="89"/>
      <c r="AV578" s="89"/>
      <c r="AW578" s="89"/>
      <c r="AX578" s="89"/>
      <c r="AY578" s="89"/>
      <c r="AZ578" s="89"/>
      <c r="BA578" s="95"/>
    </row>
    <row r="579" spans="1:53" s="87" customFormat="1">
      <c r="A579" s="90" t="str">
        <f t="shared" si="33"/>
        <v/>
      </c>
      <c r="B579" s="89"/>
      <c r="C579" s="89"/>
      <c r="D579" s="89"/>
      <c r="E579" s="89"/>
      <c r="F579" s="89"/>
      <c r="G579" s="89"/>
      <c r="H579" s="89"/>
      <c r="I579" s="89"/>
      <c r="J579" s="89"/>
      <c r="K579" s="89"/>
      <c r="L579" s="89"/>
      <c r="M579" s="89"/>
      <c r="N579" s="89"/>
      <c r="O579" s="89"/>
      <c r="P579" s="89"/>
      <c r="Q579" s="89"/>
      <c r="R579" s="89"/>
      <c r="S579" s="89"/>
      <c r="T579" s="89"/>
      <c r="U579" s="89"/>
      <c r="V579" s="89"/>
      <c r="W579" s="89"/>
      <c r="X579" s="89"/>
      <c r="Y579" s="89"/>
      <c r="Z579" s="89"/>
      <c r="AA579" s="89"/>
      <c r="AB579" s="89"/>
      <c r="AC579" s="89"/>
      <c r="AD579" s="89"/>
      <c r="AE579" s="89"/>
      <c r="AF579" s="89"/>
      <c r="AG579" s="89"/>
      <c r="AH579" s="89"/>
      <c r="AI579" s="89"/>
      <c r="AJ579" s="89"/>
      <c r="AK579" s="89"/>
      <c r="AL579" s="89"/>
      <c r="AM579" s="89"/>
      <c r="AN579" s="89"/>
      <c r="AO579" s="89"/>
      <c r="AP579" s="89"/>
      <c r="AQ579" s="89"/>
      <c r="AR579" s="89"/>
      <c r="AS579" s="89"/>
      <c r="AT579" s="89"/>
      <c r="AU579" s="89"/>
      <c r="AV579" s="89"/>
      <c r="AW579" s="89"/>
      <c r="AX579" s="89"/>
      <c r="AY579" s="89"/>
      <c r="AZ579" s="89"/>
      <c r="BA579" s="95"/>
    </row>
    <row r="580" spans="1:53" s="87" customFormat="1">
      <c r="A580" s="90" t="str">
        <f t="shared" si="33"/>
        <v/>
      </c>
      <c r="B580" s="89"/>
      <c r="C580" s="89"/>
      <c r="D580" s="89"/>
      <c r="E580" s="89"/>
      <c r="F580" s="89"/>
      <c r="G580" s="89"/>
      <c r="H580" s="89"/>
      <c r="I580" s="89"/>
      <c r="J580" s="89"/>
      <c r="K580" s="89"/>
      <c r="L580" s="89"/>
      <c r="M580" s="89"/>
      <c r="N580" s="89"/>
      <c r="O580" s="89"/>
      <c r="P580" s="89"/>
      <c r="Q580" s="89"/>
      <c r="R580" s="89"/>
      <c r="S580" s="89"/>
      <c r="T580" s="89"/>
      <c r="U580" s="89"/>
      <c r="V580" s="89"/>
      <c r="W580" s="89"/>
      <c r="X580" s="89"/>
      <c r="Y580" s="89"/>
      <c r="Z580" s="89"/>
      <c r="AA580" s="89"/>
      <c r="AB580" s="89"/>
      <c r="AC580" s="89"/>
      <c r="AD580" s="89"/>
      <c r="AE580" s="89"/>
      <c r="AF580" s="89"/>
      <c r="AG580" s="89"/>
      <c r="AH580" s="89"/>
      <c r="AI580" s="89"/>
      <c r="AJ580" s="89"/>
      <c r="AK580" s="89"/>
      <c r="AL580" s="89"/>
      <c r="AM580" s="89"/>
      <c r="AN580" s="89"/>
      <c r="AO580" s="89"/>
      <c r="AP580" s="89"/>
      <c r="AQ580" s="89"/>
      <c r="AR580" s="89"/>
      <c r="AS580" s="89"/>
      <c r="AT580" s="89"/>
      <c r="AU580" s="89"/>
      <c r="AV580" s="89"/>
      <c r="AW580" s="89"/>
      <c r="AX580" s="89"/>
      <c r="AY580" s="89"/>
      <c r="AZ580" s="89"/>
      <c r="BA580" s="95"/>
    </row>
    <row r="581" spans="1:53" s="87" customFormat="1">
      <c r="A581" s="90" t="str">
        <f t="shared" si="33"/>
        <v/>
      </c>
      <c r="B581" s="89"/>
      <c r="C581" s="89"/>
      <c r="D581" s="89"/>
      <c r="E581" s="89"/>
      <c r="F581" s="89"/>
      <c r="G581" s="89"/>
      <c r="H581" s="89"/>
      <c r="I581" s="89"/>
      <c r="J581" s="89"/>
      <c r="K581" s="89"/>
      <c r="L581" s="89"/>
      <c r="M581" s="89"/>
      <c r="N581" s="89"/>
      <c r="O581" s="89"/>
      <c r="P581" s="89"/>
      <c r="Q581" s="89"/>
      <c r="R581" s="89"/>
      <c r="S581" s="89"/>
      <c r="T581" s="89"/>
      <c r="U581" s="89"/>
      <c r="V581" s="89"/>
      <c r="W581" s="89"/>
      <c r="X581" s="89"/>
      <c r="Y581" s="89"/>
      <c r="Z581" s="89"/>
      <c r="AA581" s="89"/>
      <c r="AB581" s="89"/>
      <c r="AC581" s="89"/>
      <c r="AD581" s="89"/>
      <c r="AE581" s="89"/>
      <c r="AF581" s="89"/>
      <c r="AG581" s="89"/>
      <c r="AH581" s="89"/>
      <c r="AI581" s="89"/>
      <c r="AJ581" s="89"/>
      <c r="AK581" s="89"/>
      <c r="AL581" s="89"/>
      <c r="AM581" s="89"/>
      <c r="AN581" s="89"/>
      <c r="AO581" s="89"/>
      <c r="AP581" s="89"/>
      <c r="AQ581" s="89"/>
      <c r="AR581" s="89"/>
      <c r="AS581" s="89"/>
      <c r="AT581" s="89"/>
      <c r="AU581" s="89"/>
      <c r="AV581" s="89"/>
      <c r="AW581" s="89"/>
      <c r="AX581" s="89"/>
      <c r="AY581" s="89"/>
      <c r="AZ581" s="89"/>
      <c r="BA581" s="95"/>
    </row>
    <row r="582" spans="1:53" s="87" customFormat="1">
      <c r="A582" s="90" t="str">
        <f t="shared" si="33"/>
        <v/>
      </c>
      <c r="B582" s="89"/>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c r="AA582" s="89"/>
      <c r="AB582" s="89"/>
      <c r="AC582" s="89"/>
      <c r="AD582" s="89"/>
      <c r="AE582" s="89"/>
      <c r="AF582" s="89"/>
      <c r="AG582" s="89"/>
      <c r="AH582" s="89"/>
      <c r="AI582" s="89"/>
      <c r="AJ582" s="89"/>
      <c r="AK582" s="89"/>
      <c r="AL582" s="89"/>
      <c r="AM582" s="89"/>
      <c r="AN582" s="89"/>
      <c r="AO582" s="89"/>
      <c r="AP582" s="89"/>
      <c r="AQ582" s="89"/>
      <c r="AR582" s="89"/>
      <c r="AS582" s="89"/>
      <c r="AT582" s="89"/>
      <c r="AU582" s="89"/>
      <c r="AV582" s="89"/>
      <c r="AW582" s="89"/>
      <c r="AX582" s="89"/>
      <c r="AY582" s="89"/>
      <c r="AZ582" s="89"/>
      <c r="BA582" s="95"/>
    </row>
    <row r="583" spans="1:53" s="87" customFormat="1">
      <c r="A583" s="90" t="str">
        <f t="shared" si="33"/>
        <v/>
      </c>
      <c r="B583" s="89"/>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c r="AA583" s="89"/>
      <c r="AB583" s="89"/>
      <c r="AC583" s="89"/>
      <c r="AD583" s="89"/>
      <c r="AE583" s="89"/>
      <c r="AF583" s="89"/>
      <c r="AG583" s="89"/>
      <c r="AH583" s="89"/>
      <c r="AI583" s="89"/>
      <c r="AJ583" s="89"/>
      <c r="AK583" s="89"/>
      <c r="AL583" s="89"/>
      <c r="AM583" s="89"/>
      <c r="AN583" s="89"/>
      <c r="AO583" s="89"/>
      <c r="AP583" s="89"/>
      <c r="AQ583" s="89"/>
      <c r="AR583" s="89"/>
      <c r="AS583" s="89"/>
      <c r="AT583" s="89"/>
      <c r="AU583" s="89"/>
      <c r="AV583" s="89"/>
      <c r="AW583" s="89"/>
      <c r="AX583" s="89"/>
      <c r="AY583" s="89"/>
      <c r="AZ583" s="89"/>
      <c r="BA583" s="95"/>
    </row>
    <row r="584" spans="1:53" s="87" customFormat="1">
      <c r="A584" s="90" t="str">
        <f t="shared" si="33"/>
        <v/>
      </c>
      <c r="B584" s="89"/>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c r="AK584" s="89"/>
      <c r="AL584" s="89"/>
      <c r="AM584" s="89"/>
      <c r="AN584" s="89"/>
      <c r="AO584" s="89"/>
      <c r="AP584" s="89"/>
      <c r="AQ584" s="89"/>
      <c r="AR584" s="89"/>
      <c r="AS584" s="89"/>
      <c r="AT584" s="89"/>
      <c r="AU584" s="89"/>
      <c r="AV584" s="89"/>
      <c r="AW584" s="89"/>
      <c r="AX584" s="89"/>
      <c r="AY584" s="89"/>
      <c r="AZ584" s="89"/>
      <c r="BA584" s="95"/>
    </row>
    <row r="585" spans="1:53" s="87" customFormat="1">
      <c r="A585" s="90" t="str">
        <f t="shared" si="33"/>
        <v/>
      </c>
      <c r="B585" s="89"/>
      <c r="C585" s="89"/>
      <c r="D585" s="89"/>
      <c r="E585" s="89"/>
      <c r="F585" s="89"/>
      <c r="G585" s="89"/>
      <c r="H585" s="89"/>
      <c r="I585" s="89"/>
      <c r="J585" s="89"/>
      <c r="K585" s="89"/>
      <c r="L585" s="89"/>
      <c r="M585" s="89"/>
      <c r="N585" s="89"/>
      <c r="O585" s="89"/>
      <c r="P585" s="89"/>
      <c r="Q585" s="89"/>
      <c r="R585" s="89"/>
      <c r="S585" s="89"/>
      <c r="T585" s="89"/>
      <c r="U585" s="89"/>
      <c r="V585" s="89"/>
      <c r="W585" s="89"/>
      <c r="X585" s="89"/>
      <c r="Y585" s="89"/>
      <c r="Z585" s="89"/>
      <c r="AA585" s="89"/>
      <c r="AB585" s="89"/>
      <c r="AC585" s="89"/>
      <c r="AD585" s="89"/>
      <c r="AE585" s="89"/>
      <c r="AF585" s="89"/>
      <c r="AG585" s="89"/>
      <c r="AH585" s="89"/>
      <c r="AI585" s="89"/>
      <c r="AJ585" s="89"/>
      <c r="AK585" s="89"/>
      <c r="AL585" s="89"/>
      <c r="AM585" s="89"/>
      <c r="AN585" s="89"/>
      <c r="AO585" s="89"/>
      <c r="AP585" s="89"/>
      <c r="AQ585" s="89"/>
      <c r="AR585" s="89"/>
      <c r="AS585" s="89"/>
      <c r="AT585" s="89"/>
      <c r="AU585" s="89"/>
      <c r="AV585" s="89"/>
      <c r="AW585" s="89"/>
      <c r="AX585" s="89"/>
      <c r="AY585" s="89"/>
      <c r="AZ585" s="89"/>
      <c r="BA585" s="95"/>
    </row>
    <row r="586" spans="1:53" s="87" customFormat="1">
      <c r="A586" s="90" t="str">
        <f t="shared" si="33"/>
        <v/>
      </c>
      <c r="B586" s="89"/>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c r="AA586" s="89"/>
      <c r="AB586" s="89"/>
      <c r="AC586" s="89"/>
      <c r="AD586" s="89"/>
      <c r="AE586" s="89"/>
      <c r="AF586" s="89"/>
      <c r="AG586" s="89"/>
      <c r="AH586" s="89"/>
      <c r="AI586" s="89"/>
      <c r="AJ586" s="89"/>
      <c r="AK586" s="89"/>
      <c r="AL586" s="89"/>
      <c r="AM586" s="89"/>
      <c r="AN586" s="89"/>
      <c r="AO586" s="89"/>
      <c r="AP586" s="89"/>
      <c r="AQ586" s="89"/>
      <c r="AR586" s="89"/>
      <c r="AS586" s="89"/>
      <c r="AT586" s="89"/>
      <c r="AU586" s="89"/>
      <c r="AV586" s="89"/>
      <c r="AW586" s="89"/>
      <c r="AX586" s="89"/>
      <c r="AY586" s="89"/>
      <c r="AZ586" s="89"/>
      <c r="BA586" s="95"/>
    </row>
    <row r="587" spans="1:53" s="87" customFormat="1">
      <c r="A587" s="90" t="str">
        <f t="shared" si="33"/>
        <v/>
      </c>
      <c r="B587" s="89"/>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c r="AA587" s="89"/>
      <c r="AB587" s="89"/>
      <c r="AC587" s="89"/>
      <c r="AD587" s="89"/>
      <c r="AE587" s="89"/>
      <c r="AF587" s="89"/>
      <c r="AG587" s="89"/>
      <c r="AH587" s="89"/>
      <c r="AI587" s="89"/>
      <c r="AJ587" s="89"/>
      <c r="AK587" s="89"/>
      <c r="AL587" s="89"/>
      <c r="AM587" s="89"/>
      <c r="AN587" s="89"/>
      <c r="AO587" s="89"/>
      <c r="AP587" s="89"/>
      <c r="AQ587" s="89"/>
      <c r="AR587" s="89"/>
      <c r="AS587" s="89"/>
      <c r="AT587" s="89"/>
      <c r="AU587" s="89"/>
      <c r="AV587" s="89"/>
      <c r="AW587" s="89"/>
      <c r="AX587" s="89"/>
      <c r="AY587" s="89"/>
      <c r="AZ587" s="89"/>
      <c r="BA587" s="95"/>
    </row>
    <row r="588" spans="1:53" s="87" customFormat="1">
      <c r="A588" s="90" t="str">
        <f t="shared" ref="A588:A651" si="34">IF(MID(B588,3,2)="10",ROW(),"")</f>
        <v/>
      </c>
      <c r="B588" s="89"/>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c r="AA588" s="89"/>
      <c r="AB588" s="89"/>
      <c r="AC588" s="89"/>
      <c r="AD588" s="89"/>
      <c r="AE588" s="89"/>
      <c r="AF588" s="89"/>
      <c r="AG588" s="89"/>
      <c r="AH588" s="89"/>
      <c r="AI588" s="89"/>
      <c r="AJ588" s="89"/>
      <c r="AK588" s="89"/>
      <c r="AL588" s="89"/>
      <c r="AM588" s="89"/>
      <c r="AN588" s="89"/>
      <c r="AO588" s="89"/>
      <c r="AP588" s="89"/>
      <c r="AQ588" s="89"/>
      <c r="AR588" s="89"/>
      <c r="AS588" s="89"/>
      <c r="AT588" s="89"/>
      <c r="AU588" s="89"/>
      <c r="AV588" s="89"/>
      <c r="AW588" s="89"/>
      <c r="AX588" s="89"/>
      <c r="AY588" s="89"/>
      <c r="AZ588" s="89"/>
      <c r="BA588" s="95"/>
    </row>
    <row r="589" spans="1:53" s="87" customFormat="1">
      <c r="A589" s="90" t="str">
        <f t="shared" si="34"/>
        <v/>
      </c>
      <c r="B589" s="89"/>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c r="AA589" s="89"/>
      <c r="AB589" s="89"/>
      <c r="AC589" s="89"/>
      <c r="AD589" s="89"/>
      <c r="AE589" s="89"/>
      <c r="AF589" s="89"/>
      <c r="AG589" s="89"/>
      <c r="AH589" s="89"/>
      <c r="AI589" s="89"/>
      <c r="AJ589" s="89"/>
      <c r="AK589" s="89"/>
      <c r="AL589" s="89"/>
      <c r="AM589" s="89"/>
      <c r="AN589" s="89"/>
      <c r="AO589" s="89"/>
      <c r="AP589" s="89"/>
      <c r="AQ589" s="89"/>
      <c r="AR589" s="89"/>
      <c r="AS589" s="89"/>
      <c r="AT589" s="89"/>
      <c r="AU589" s="89"/>
      <c r="AV589" s="89"/>
      <c r="AW589" s="89"/>
      <c r="AX589" s="89"/>
      <c r="AY589" s="89"/>
      <c r="AZ589" s="89"/>
      <c r="BA589" s="95"/>
    </row>
    <row r="590" spans="1:53" s="87" customFormat="1">
      <c r="A590" s="90" t="str">
        <f t="shared" si="34"/>
        <v/>
      </c>
      <c r="B590" s="89"/>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c r="AA590" s="89"/>
      <c r="AB590" s="89"/>
      <c r="AC590" s="89"/>
      <c r="AD590" s="89"/>
      <c r="AE590" s="89"/>
      <c r="AF590" s="89"/>
      <c r="AG590" s="89"/>
      <c r="AH590" s="89"/>
      <c r="AI590" s="89"/>
      <c r="AJ590" s="89"/>
      <c r="AK590" s="89"/>
      <c r="AL590" s="89"/>
      <c r="AM590" s="89"/>
      <c r="AN590" s="89"/>
      <c r="AO590" s="89"/>
      <c r="AP590" s="89"/>
      <c r="AQ590" s="89"/>
      <c r="AR590" s="89"/>
      <c r="AS590" s="89"/>
      <c r="AT590" s="89"/>
      <c r="AU590" s="89"/>
      <c r="AV590" s="89"/>
      <c r="AW590" s="89"/>
      <c r="AX590" s="89"/>
      <c r="AY590" s="89"/>
      <c r="AZ590" s="89"/>
      <c r="BA590" s="95"/>
    </row>
    <row r="591" spans="1:53" s="87" customFormat="1">
      <c r="A591" s="90" t="str">
        <f t="shared" si="34"/>
        <v/>
      </c>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c r="AA591" s="89"/>
      <c r="AB591" s="89"/>
      <c r="AC591" s="89"/>
      <c r="AD591" s="89"/>
      <c r="AE591" s="89"/>
      <c r="AF591" s="89"/>
      <c r="AG591" s="89"/>
      <c r="AH591" s="89"/>
      <c r="AI591" s="89"/>
      <c r="AJ591" s="89"/>
      <c r="AK591" s="89"/>
      <c r="AL591" s="89"/>
      <c r="AM591" s="89"/>
      <c r="AN591" s="89"/>
      <c r="AO591" s="89"/>
      <c r="AP591" s="89"/>
      <c r="AQ591" s="89"/>
      <c r="AR591" s="89"/>
      <c r="AS591" s="89"/>
      <c r="AT591" s="89"/>
      <c r="AU591" s="89"/>
      <c r="AV591" s="89"/>
      <c r="AW591" s="89"/>
      <c r="AX591" s="89"/>
      <c r="AY591" s="89"/>
      <c r="AZ591" s="89"/>
      <c r="BA591" s="95"/>
    </row>
    <row r="592" spans="1:53" s="87" customFormat="1">
      <c r="A592" s="90" t="str">
        <f t="shared" si="34"/>
        <v/>
      </c>
      <c r="B592" s="89"/>
      <c r="C592" s="89"/>
      <c r="D592" s="89"/>
      <c r="E592" s="89"/>
      <c r="F592" s="89"/>
      <c r="G592" s="89"/>
      <c r="H592" s="89"/>
      <c r="I592" s="89"/>
      <c r="J592" s="89"/>
      <c r="K592" s="89"/>
      <c r="L592" s="89"/>
      <c r="M592" s="89"/>
      <c r="N592" s="89"/>
      <c r="O592" s="89"/>
      <c r="P592" s="89"/>
      <c r="Q592" s="89"/>
      <c r="R592" s="89"/>
      <c r="S592" s="89"/>
      <c r="T592" s="89"/>
      <c r="U592" s="89"/>
      <c r="V592" s="89"/>
      <c r="W592" s="89"/>
      <c r="X592" s="89"/>
      <c r="Y592" s="89"/>
      <c r="Z592" s="89"/>
      <c r="AA592" s="89"/>
      <c r="AB592" s="89"/>
      <c r="AC592" s="89"/>
      <c r="AD592" s="89"/>
      <c r="AE592" s="89"/>
      <c r="AF592" s="89"/>
      <c r="AG592" s="89"/>
      <c r="AH592" s="89"/>
      <c r="AI592" s="89"/>
      <c r="AJ592" s="89"/>
      <c r="AK592" s="89"/>
      <c r="AL592" s="89"/>
      <c r="AM592" s="89"/>
      <c r="AN592" s="89"/>
      <c r="AO592" s="89"/>
      <c r="AP592" s="89"/>
      <c r="AQ592" s="89"/>
      <c r="AR592" s="89"/>
      <c r="AS592" s="89"/>
      <c r="AT592" s="89"/>
      <c r="AU592" s="89"/>
      <c r="AV592" s="89"/>
      <c r="AW592" s="89"/>
      <c r="AX592" s="89"/>
      <c r="AY592" s="89"/>
      <c r="AZ592" s="89"/>
      <c r="BA592" s="95"/>
    </row>
    <row r="593" spans="1:53" s="87" customFormat="1">
      <c r="A593" s="90" t="str">
        <f t="shared" si="34"/>
        <v/>
      </c>
      <c r="B593" s="89"/>
      <c r="C593" s="89"/>
      <c r="D593" s="89"/>
      <c r="E593" s="89"/>
      <c r="F593" s="89"/>
      <c r="G593" s="89"/>
      <c r="H593" s="89"/>
      <c r="I593" s="89"/>
      <c r="J593" s="89"/>
      <c r="K593" s="89"/>
      <c r="L593" s="89"/>
      <c r="M593" s="89"/>
      <c r="N593" s="89"/>
      <c r="O593" s="89"/>
      <c r="P593" s="89"/>
      <c r="Q593" s="89"/>
      <c r="R593" s="89"/>
      <c r="S593" s="89"/>
      <c r="T593" s="89"/>
      <c r="U593" s="89"/>
      <c r="V593" s="89"/>
      <c r="W593" s="89"/>
      <c r="X593" s="89"/>
      <c r="Y593" s="89"/>
      <c r="Z593" s="89"/>
      <c r="AA593" s="89"/>
      <c r="AB593" s="89"/>
      <c r="AC593" s="89"/>
      <c r="AD593" s="89"/>
      <c r="AE593" s="89"/>
      <c r="AF593" s="89"/>
      <c r="AG593" s="89"/>
      <c r="AH593" s="89"/>
      <c r="AI593" s="89"/>
      <c r="AJ593" s="89"/>
      <c r="AK593" s="89"/>
      <c r="AL593" s="89"/>
      <c r="AM593" s="89"/>
      <c r="AN593" s="89"/>
      <c r="AO593" s="89"/>
      <c r="AP593" s="89"/>
      <c r="AQ593" s="89"/>
      <c r="AR593" s="89"/>
      <c r="AS593" s="89"/>
      <c r="AT593" s="89"/>
      <c r="AU593" s="89"/>
      <c r="AV593" s="89"/>
      <c r="AW593" s="89"/>
      <c r="AX593" s="89"/>
      <c r="AY593" s="89"/>
      <c r="AZ593" s="89"/>
      <c r="BA593" s="95"/>
    </row>
    <row r="594" spans="1:53" s="87" customFormat="1">
      <c r="A594" s="90" t="str">
        <f t="shared" si="34"/>
        <v/>
      </c>
      <c r="B594" s="89"/>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c r="AA594" s="89"/>
      <c r="AB594" s="89"/>
      <c r="AC594" s="89"/>
      <c r="AD594" s="89"/>
      <c r="AE594" s="89"/>
      <c r="AF594" s="89"/>
      <c r="AG594" s="89"/>
      <c r="AH594" s="89"/>
      <c r="AI594" s="89"/>
      <c r="AJ594" s="89"/>
      <c r="AK594" s="89"/>
      <c r="AL594" s="89"/>
      <c r="AM594" s="89"/>
      <c r="AN594" s="89"/>
      <c r="AO594" s="89"/>
      <c r="AP594" s="89"/>
      <c r="AQ594" s="89"/>
      <c r="AR594" s="89"/>
      <c r="AS594" s="89"/>
      <c r="AT594" s="89"/>
      <c r="AU594" s="89"/>
      <c r="AV594" s="89"/>
      <c r="AW594" s="89"/>
      <c r="AX594" s="89"/>
      <c r="AY594" s="89"/>
      <c r="AZ594" s="89"/>
      <c r="BA594" s="95"/>
    </row>
    <row r="595" spans="1:53" s="87" customFormat="1">
      <c r="A595" s="90" t="str">
        <f t="shared" si="34"/>
        <v/>
      </c>
      <c r="B595" s="89"/>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c r="AA595" s="89"/>
      <c r="AB595" s="89"/>
      <c r="AC595" s="89"/>
      <c r="AD595" s="89"/>
      <c r="AE595" s="89"/>
      <c r="AF595" s="89"/>
      <c r="AG595" s="89"/>
      <c r="AH595" s="89"/>
      <c r="AI595" s="89"/>
      <c r="AJ595" s="89"/>
      <c r="AK595" s="89"/>
      <c r="AL595" s="89"/>
      <c r="AM595" s="89"/>
      <c r="AN595" s="89"/>
      <c r="AO595" s="89"/>
      <c r="AP595" s="89"/>
      <c r="AQ595" s="89"/>
      <c r="AR595" s="89"/>
      <c r="AS595" s="89"/>
      <c r="AT595" s="89"/>
      <c r="AU595" s="89"/>
      <c r="AV595" s="89"/>
      <c r="AW595" s="89"/>
      <c r="AX595" s="89"/>
      <c r="AY595" s="89"/>
      <c r="AZ595" s="89"/>
      <c r="BA595" s="95"/>
    </row>
    <row r="596" spans="1:53" s="87" customFormat="1">
      <c r="A596" s="90" t="str">
        <f t="shared" si="34"/>
        <v/>
      </c>
      <c r="B596" s="89"/>
      <c r="C596" s="89"/>
      <c r="D596" s="89"/>
      <c r="E596" s="89"/>
      <c r="F596" s="89"/>
      <c r="G596" s="89"/>
      <c r="H596" s="89"/>
      <c r="I596" s="89"/>
      <c r="J596" s="89"/>
      <c r="K596" s="89"/>
      <c r="L596" s="89"/>
      <c r="M596" s="89"/>
      <c r="N596" s="89"/>
      <c r="O596" s="89"/>
      <c r="P596" s="89"/>
      <c r="Q596" s="89"/>
      <c r="R596" s="89"/>
      <c r="S596" s="89"/>
      <c r="T596" s="89"/>
      <c r="U596" s="89"/>
      <c r="V596" s="89"/>
      <c r="W596" s="89"/>
      <c r="X596" s="89"/>
      <c r="Y596" s="89"/>
      <c r="Z596" s="89"/>
      <c r="AA596" s="89"/>
      <c r="AB596" s="89"/>
      <c r="AC596" s="89"/>
      <c r="AD596" s="89"/>
      <c r="AE596" s="89"/>
      <c r="AF596" s="89"/>
      <c r="AG596" s="89"/>
      <c r="AH596" s="89"/>
      <c r="AI596" s="89"/>
      <c r="AJ596" s="89"/>
      <c r="AK596" s="89"/>
      <c r="AL596" s="89"/>
      <c r="AM596" s="89"/>
      <c r="AN596" s="89"/>
      <c r="AO596" s="89"/>
      <c r="AP596" s="89"/>
      <c r="AQ596" s="89"/>
      <c r="AR596" s="89"/>
      <c r="AS596" s="89"/>
      <c r="AT596" s="89"/>
      <c r="AU596" s="89"/>
      <c r="AV596" s="89"/>
      <c r="AW596" s="89"/>
      <c r="AX596" s="89"/>
      <c r="AY596" s="89"/>
      <c r="AZ596" s="89"/>
      <c r="BA596" s="95"/>
    </row>
    <row r="597" spans="1:53" s="87" customFormat="1">
      <c r="A597" s="90" t="str">
        <f t="shared" si="34"/>
        <v/>
      </c>
      <c r="B597" s="89"/>
      <c r="C597" s="89"/>
      <c r="D597" s="89"/>
      <c r="E597" s="89"/>
      <c r="F597" s="89"/>
      <c r="G597" s="89"/>
      <c r="H597" s="89"/>
      <c r="I597" s="89"/>
      <c r="J597" s="89"/>
      <c r="K597" s="89"/>
      <c r="L597" s="89"/>
      <c r="M597" s="89"/>
      <c r="N597" s="89"/>
      <c r="O597" s="89"/>
      <c r="P597" s="89"/>
      <c r="Q597" s="89"/>
      <c r="R597" s="89"/>
      <c r="S597" s="89"/>
      <c r="T597" s="89"/>
      <c r="U597" s="89"/>
      <c r="V597" s="89"/>
      <c r="W597" s="89"/>
      <c r="X597" s="89"/>
      <c r="Y597" s="89"/>
      <c r="Z597" s="89"/>
      <c r="AA597" s="89"/>
      <c r="AB597" s="89"/>
      <c r="AC597" s="89"/>
      <c r="AD597" s="89"/>
      <c r="AE597" s="89"/>
      <c r="AF597" s="89"/>
      <c r="AG597" s="89"/>
      <c r="AH597" s="89"/>
      <c r="AI597" s="89"/>
      <c r="AJ597" s="89"/>
      <c r="AK597" s="89"/>
      <c r="AL597" s="89"/>
      <c r="AM597" s="89"/>
      <c r="AN597" s="89"/>
      <c r="AO597" s="89"/>
      <c r="AP597" s="89"/>
      <c r="AQ597" s="89"/>
      <c r="AR597" s="89"/>
      <c r="AS597" s="89"/>
      <c r="AT597" s="89"/>
      <c r="AU597" s="89"/>
      <c r="AV597" s="89"/>
      <c r="AW597" s="89"/>
      <c r="AX597" s="89"/>
      <c r="AY597" s="89"/>
      <c r="AZ597" s="89"/>
      <c r="BA597" s="95"/>
    </row>
    <row r="598" spans="1:53" s="87" customFormat="1">
      <c r="A598" s="90" t="str">
        <f t="shared" si="34"/>
        <v/>
      </c>
      <c r="B598" s="89"/>
      <c r="C598" s="89"/>
      <c r="D598" s="89"/>
      <c r="E598" s="89"/>
      <c r="F598" s="89"/>
      <c r="G598" s="89"/>
      <c r="H598" s="89"/>
      <c r="I598" s="89"/>
      <c r="J598" s="89"/>
      <c r="K598" s="89"/>
      <c r="L598" s="89"/>
      <c r="M598" s="89"/>
      <c r="N598" s="89"/>
      <c r="O598" s="89"/>
      <c r="P598" s="89"/>
      <c r="Q598" s="89"/>
      <c r="R598" s="89"/>
      <c r="S598" s="89"/>
      <c r="T598" s="89"/>
      <c r="U598" s="89"/>
      <c r="V598" s="89"/>
      <c r="W598" s="89"/>
      <c r="X598" s="89"/>
      <c r="Y598" s="89"/>
      <c r="Z598" s="89"/>
      <c r="AA598" s="89"/>
      <c r="AB598" s="89"/>
      <c r="AC598" s="89"/>
      <c r="AD598" s="89"/>
      <c r="AE598" s="89"/>
      <c r="AF598" s="89"/>
      <c r="AG598" s="89"/>
      <c r="AH598" s="89"/>
      <c r="AI598" s="89"/>
      <c r="AJ598" s="89"/>
      <c r="AK598" s="89"/>
      <c r="AL598" s="89"/>
      <c r="AM598" s="89"/>
      <c r="AN598" s="89"/>
      <c r="AO598" s="89"/>
      <c r="AP598" s="89"/>
      <c r="AQ598" s="89"/>
      <c r="AR598" s="89"/>
      <c r="AS598" s="89"/>
      <c r="AT598" s="89"/>
      <c r="AU598" s="89"/>
      <c r="AV598" s="89"/>
      <c r="AW598" s="89"/>
      <c r="AX598" s="89"/>
      <c r="AY598" s="89"/>
      <c r="AZ598" s="89"/>
      <c r="BA598" s="95"/>
    </row>
    <row r="599" spans="1:53" s="87" customFormat="1">
      <c r="A599" s="90" t="str">
        <f t="shared" si="34"/>
        <v/>
      </c>
      <c r="B599" s="89"/>
      <c r="C599" s="89"/>
      <c r="D599" s="89"/>
      <c r="E599" s="89"/>
      <c r="F599" s="89"/>
      <c r="G599" s="89"/>
      <c r="H599" s="89"/>
      <c r="I599" s="89"/>
      <c r="J599" s="89"/>
      <c r="K599" s="89"/>
      <c r="L599" s="89"/>
      <c r="M599" s="89"/>
      <c r="N599" s="89"/>
      <c r="O599" s="89"/>
      <c r="P599" s="89"/>
      <c r="Q599" s="89"/>
      <c r="R599" s="89"/>
      <c r="S599" s="89"/>
      <c r="T599" s="89"/>
      <c r="U599" s="89"/>
      <c r="V599" s="89"/>
      <c r="W599" s="89"/>
      <c r="X599" s="89"/>
      <c r="Y599" s="89"/>
      <c r="Z599" s="89"/>
      <c r="AA599" s="89"/>
      <c r="AB599" s="89"/>
      <c r="AC599" s="89"/>
      <c r="AD599" s="89"/>
      <c r="AE599" s="89"/>
      <c r="AF599" s="89"/>
      <c r="AG599" s="89"/>
      <c r="AH599" s="89"/>
      <c r="AI599" s="89"/>
      <c r="AJ599" s="89"/>
      <c r="AK599" s="89"/>
      <c r="AL599" s="89"/>
      <c r="AM599" s="89"/>
      <c r="AN599" s="89"/>
      <c r="AO599" s="89"/>
      <c r="AP599" s="89"/>
      <c r="AQ599" s="89"/>
      <c r="AR599" s="89"/>
      <c r="AS599" s="89"/>
      <c r="AT599" s="89"/>
      <c r="AU599" s="89"/>
      <c r="AV599" s="89"/>
      <c r="AW599" s="89"/>
      <c r="AX599" s="89"/>
      <c r="AY599" s="89"/>
      <c r="AZ599" s="89"/>
      <c r="BA599" s="95"/>
    </row>
    <row r="600" spans="1:53" s="87" customFormat="1">
      <c r="A600" s="90" t="str">
        <f t="shared" si="34"/>
        <v/>
      </c>
      <c r="B600" s="89"/>
      <c r="C600" s="89"/>
      <c r="D600" s="89"/>
      <c r="E600" s="89"/>
      <c r="F600" s="89"/>
      <c r="G600" s="89"/>
      <c r="H600" s="89"/>
      <c r="I600" s="89"/>
      <c r="J600" s="89"/>
      <c r="K600" s="89"/>
      <c r="L600" s="89"/>
      <c r="M600" s="89"/>
      <c r="N600" s="89"/>
      <c r="O600" s="89"/>
      <c r="P600" s="89"/>
      <c r="Q600" s="89"/>
      <c r="R600" s="89"/>
      <c r="S600" s="89"/>
      <c r="T600" s="89"/>
      <c r="U600" s="89"/>
      <c r="V600" s="89"/>
      <c r="W600" s="89"/>
      <c r="X600" s="89"/>
      <c r="Y600" s="89"/>
      <c r="Z600" s="89"/>
      <c r="AA600" s="89"/>
      <c r="AB600" s="89"/>
      <c r="AC600" s="89"/>
      <c r="AD600" s="89"/>
      <c r="AE600" s="89"/>
      <c r="AF600" s="89"/>
      <c r="AG600" s="89"/>
      <c r="AH600" s="89"/>
      <c r="AI600" s="89"/>
      <c r="AJ600" s="89"/>
      <c r="AK600" s="89"/>
      <c r="AL600" s="89"/>
      <c r="AM600" s="89"/>
      <c r="AN600" s="89"/>
      <c r="AO600" s="89"/>
      <c r="AP600" s="89"/>
      <c r="AQ600" s="89"/>
      <c r="AR600" s="89"/>
      <c r="AS600" s="89"/>
      <c r="AT600" s="89"/>
      <c r="AU600" s="89"/>
      <c r="AV600" s="89"/>
      <c r="AW600" s="89"/>
      <c r="AX600" s="89"/>
      <c r="AY600" s="89"/>
      <c r="AZ600" s="89"/>
      <c r="BA600" s="95"/>
    </row>
    <row r="601" spans="1:53" s="87" customFormat="1">
      <c r="A601" s="90" t="str">
        <f t="shared" si="34"/>
        <v/>
      </c>
      <c r="B601" s="89"/>
      <c r="C601" s="89"/>
      <c r="D601" s="89"/>
      <c r="E601" s="89"/>
      <c r="F601" s="89"/>
      <c r="G601" s="89"/>
      <c r="H601" s="89"/>
      <c r="I601" s="89"/>
      <c r="J601" s="89"/>
      <c r="K601" s="89"/>
      <c r="L601" s="89"/>
      <c r="M601" s="89"/>
      <c r="N601" s="89"/>
      <c r="O601" s="89"/>
      <c r="P601" s="89"/>
      <c r="Q601" s="89"/>
      <c r="R601" s="89"/>
      <c r="S601" s="89"/>
      <c r="T601" s="89"/>
      <c r="U601" s="89"/>
      <c r="V601" s="89"/>
      <c r="W601" s="89"/>
      <c r="X601" s="89"/>
      <c r="Y601" s="89"/>
      <c r="Z601" s="89"/>
      <c r="AA601" s="89"/>
      <c r="AB601" s="89"/>
      <c r="AC601" s="89"/>
      <c r="AD601" s="89"/>
      <c r="AE601" s="89"/>
      <c r="AF601" s="89"/>
      <c r="AG601" s="89"/>
      <c r="AH601" s="89"/>
      <c r="AI601" s="89"/>
      <c r="AJ601" s="89"/>
      <c r="AK601" s="89"/>
      <c r="AL601" s="89"/>
      <c r="AM601" s="89"/>
      <c r="AN601" s="89"/>
      <c r="AO601" s="89"/>
      <c r="AP601" s="89"/>
      <c r="AQ601" s="89"/>
      <c r="AR601" s="89"/>
      <c r="AS601" s="89"/>
      <c r="AT601" s="89"/>
      <c r="AU601" s="89"/>
      <c r="AV601" s="89"/>
      <c r="AW601" s="89"/>
      <c r="AX601" s="89"/>
      <c r="AY601" s="89"/>
      <c r="AZ601" s="89"/>
      <c r="BA601" s="95"/>
    </row>
    <row r="602" spans="1:53" s="87" customFormat="1">
      <c r="A602" s="90" t="str">
        <f t="shared" si="34"/>
        <v/>
      </c>
      <c r="B602" s="89"/>
      <c r="C602" s="89"/>
      <c r="D602" s="89"/>
      <c r="E602" s="89"/>
      <c r="F602" s="89"/>
      <c r="G602" s="89"/>
      <c r="H602" s="89"/>
      <c r="I602" s="89"/>
      <c r="J602" s="89"/>
      <c r="K602" s="89"/>
      <c r="L602" s="89"/>
      <c r="M602" s="89"/>
      <c r="N602" s="89"/>
      <c r="O602" s="89"/>
      <c r="P602" s="89"/>
      <c r="Q602" s="89"/>
      <c r="R602" s="89"/>
      <c r="S602" s="89"/>
      <c r="T602" s="89"/>
      <c r="U602" s="89"/>
      <c r="V602" s="89"/>
      <c r="W602" s="89"/>
      <c r="X602" s="89"/>
      <c r="Y602" s="89"/>
      <c r="Z602" s="89"/>
      <c r="AA602" s="89"/>
      <c r="AB602" s="89"/>
      <c r="AC602" s="89"/>
      <c r="AD602" s="89"/>
      <c r="AE602" s="89"/>
      <c r="AF602" s="89"/>
      <c r="AG602" s="89"/>
      <c r="AH602" s="89"/>
      <c r="AI602" s="89"/>
      <c r="AJ602" s="89"/>
      <c r="AK602" s="89"/>
      <c r="AL602" s="89"/>
      <c r="AM602" s="89"/>
      <c r="AN602" s="89"/>
      <c r="AO602" s="89"/>
      <c r="AP602" s="89"/>
      <c r="AQ602" s="89"/>
      <c r="AR602" s="89"/>
      <c r="AS602" s="89"/>
      <c r="AT602" s="89"/>
      <c r="AU602" s="89"/>
      <c r="AV602" s="89"/>
      <c r="AW602" s="89"/>
      <c r="AX602" s="89"/>
      <c r="AY602" s="89"/>
      <c r="AZ602" s="89"/>
      <c r="BA602" s="95"/>
    </row>
    <row r="603" spans="1:53" s="87" customFormat="1">
      <c r="A603" s="90" t="str">
        <f t="shared" si="34"/>
        <v/>
      </c>
      <c r="B603" s="89"/>
      <c r="C603" s="89"/>
      <c r="D603" s="89"/>
      <c r="E603" s="89"/>
      <c r="F603" s="89"/>
      <c r="G603" s="89"/>
      <c r="H603" s="89"/>
      <c r="I603" s="89"/>
      <c r="J603" s="89"/>
      <c r="K603" s="89"/>
      <c r="L603" s="89"/>
      <c r="M603" s="89"/>
      <c r="N603" s="89"/>
      <c r="O603" s="89"/>
      <c r="P603" s="89"/>
      <c r="Q603" s="89"/>
      <c r="R603" s="89"/>
      <c r="S603" s="89"/>
      <c r="T603" s="89"/>
      <c r="U603" s="89"/>
      <c r="V603" s="89"/>
      <c r="W603" s="89"/>
      <c r="X603" s="89"/>
      <c r="Y603" s="89"/>
      <c r="Z603" s="89"/>
      <c r="AA603" s="89"/>
      <c r="AB603" s="89"/>
      <c r="AC603" s="89"/>
      <c r="AD603" s="89"/>
      <c r="AE603" s="89"/>
      <c r="AF603" s="89"/>
      <c r="AG603" s="89"/>
      <c r="AH603" s="89"/>
      <c r="AI603" s="89"/>
      <c r="AJ603" s="89"/>
      <c r="AK603" s="89"/>
      <c r="AL603" s="89"/>
      <c r="AM603" s="89"/>
      <c r="AN603" s="89"/>
      <c r="AO603" s="89"/>
      <c r="AP603" s="89"/>
      <c r="AQ603" s="89"/>
      <c r="AR603" s="89"/>
      <c r="AS603" s="89"/>
      <c r="AT603" s="89"/>
      <c r="AU603" s="89"/>
      <c r="AV603" s="89"/>
      <c r="AW603" s="89"/>
      <c r="AX603" s="89"/>
      <c r="AY603" s="89"/>
      <c r="AZ603" s="89"/>
      <c r="BA603" s="95"/>
    </row>
    <row r="604" spans="1:53" s="87" customFormat="1">
      <c r="A604" s="90" t="str">
        <f t="shared" si="34"/>
        <v/>
      </c>
      <c r="B604" s="89"/>
      <c r="C604" s="89"/>
      <c r="D604" s="89"/>
      <c r="E604" s="89"/>
      <c r="F604" s="89"/>
      <c r="G604" s="89"/>
      <c r="H604" s="89"/>
      <c r="I604" s="89"/>
      <c r="J604" s="89"/>
      <c r="K604" s="89"/>
      <c r="L604" s="89"/>
      <c r="M604" s="89"/>
      <c r="N604" s="89"/>
      <c r="O604" s="89"/>
      <c r="P604" s="89"/>
      <c r="Q604" s="89"/>
      <c r="R604" s="89"/>
      <c r="S604" s="89"/>
      <c r="T604" s="89"/>
      <c r="U604" s="89"/>
      <c r="V604" s="89"/>
      <c r="W604" s="89"/>
      <c r="X604" s="89"/>
      <c r="Y604" s="89"/>
      <c r="Z604" s="89"/>
      <c r="AA604" s="89"/>
      <c r="AB604" s="89"/>
      <c r="AC604" s="89"/>
      <c r="AD604" s="89"/>
      <c r="AE604" s="89"/>
      <c r="AF604" s="89"/>
      <c r="AG604" s="89"/>
      <c r="AH604" s="89"/>
      <c r="AI604" s="89"/>
      <c r="AJ604" s="89"/>
      <c r="AK604" s="89"/>
      <c r="AL604" s="89"/>
      <c r="AM604" s="89"/>
      <c r="AN604" s="89"/>
      <c r="AO604" s="89"/>
      <c r="AP604" s="89"/>
      <c r="AQ604" s="89"/>
      <c r="AR604" s="89"/>
      <c r="AS604" s="89"/>
      <c r="AT604" s="89"/>
      <c r="AU604" s="89"/>
      <c r="AV604" s="89"/>
      <c r="AW604" s="89"/>
      <c r="AX604" s="89"/>
      <c r="AY604" s="89"/>
      <c r="AZ604" s="89"/>
      <c r="BA604" s="95"/>
    </row>
    <row r="605" spans="1:53" s="87" customFormat="1">
      <c r="A605" s="90" t="str">
        <f t="shared" si="34"/>
        <v/>
      </c>
      <c r="B605" s="89"/>
      <c r="C605" s="89"/>
      <c r="D605" s="89"/>
      <c r="E605" s="89"/>
      <c r="F605" s="89"/>
      <c r="G605" s="89"/>
      <c r="H605" s="89"/>
      <c r="I605" s="89"/>
      <c r="J605" s="89"/>
      <c r="K605" s="89"/>
      <c r="L605" s="89"/>
      <c r="M605" s="89"/>
      <c r="N605" s="89"/>
      <c r="O605" s="89"/>
      <c r="P605" s="89"/>
      <c r="Q605" s="89"/>
      <c r="R605" s="89"/>
      <c r="S605" s="89"/>
      <c r="T605" s="89"/>
      <c r="U605" s="89"/>
      <c r="V605" s="89"/>
      <c r="W605" s="89"/>
      <c r="X605" s="89"/>
      <c r="Y605" s="89"/>
      <c r="Z605" s="89"/>
      <c r="AA605" s="89"/>
      <c r="AB605" s="89"/>
      <c r="AC605" s="89"/>
      <c r="AD605" s="89"/>
      <c r="AE605" s="89"/>
      <c r="AF605" s="89"/>
      <c r="AG605" s="89"/>
      <c r="AH605" s="89"/>
      <c r="AI605" s="89"/>
      <c r="AJ605" s="89"/>
      <c r="AK605" s="89"/>
      <c r="AL605" s="89"/>
      <c r="AM605" s="89"/>
      <c r="AN605" s="89"/>
      <c r="AO605" s="89"/>
      <c r="AP605" s="89"/>
      <c r="AQ605" s="89"/>
      <c r="AR605" s="89"/>
      <c r="AS605" s="89"/>
      <c r="AT605" s="89"/>
      <c r="AU605" s="89"/>
      <c r="AV605" s="89"/>
      <c r="AW605" s="89"/>
      <c r="AX605" s="89"/>
      <c r="AY605" s="89"/>
      <c r="AZ605" s="89"/>
      <c r="BA605" s="95"/>
    </row>
    <row r="606" spans="1:53" s="87" customFormat="1">
      <c r="A606" s="90" t="str">
        <f t="shared" si="34"/>
        <v/>
      </c>
      <c r="B606" s="89"/>
      <c r="C606" s="89"/>
      <c r="D606" s="89"/>
      <c r="E606" s="89"/>
      <c r="F606" s="89"/>
      <c r="G606" s="89"/>
      <c r="H606" s="89"/>
      <c r="I606" s="89"/>
      <c r="J606" s="89"/>
      <c r="K606" s="89"/>
      <c r="L606" s="89"/>
      <c r="M606" s="89"/>
      <c r="N606" s="89"/>
      <c r="O606" s="89"/>
      <c r="P606" s="89"/>
      <c r="Q606" s="89"/>
      <c r="R606" s="89"/>
      <c r="S606" s="89"/>
      <c r="T606" s="89"/>
      <c r="U606" s="89"/>
      <c r="V606" s="89"/>
      <c r="W606" s="89"/>
      <c r="X606" s="89"/>
      <c r="Y606" s="89"/>
      <c r="Z606" s="89"/>
      <c r="AA606" s="89"/>
      <c r="AB606" s="89"/>
      <c r="AC606" s="89"/>
      <c r="AD606" s="89"/>
      <c r="AE606" s="89"/>
      <c r="AF606" s="89"/>
      <c r="AG606" s="89"/>
      <c r="AH606" s="89"/>
      <c r="AI606" s="89"/>
      <c r="AJ606" s="89"/>
      <c r="AK606" s="89"/>
      <c r="AL606" s="89"/>
      <c r="AM606" s="89"/>
      <c r="AN606" s="89"/>
      <c r="AO606" s="89"/>
      <c r="AP606" s="89"/>
      <c r="AQ606" s="89"/>
      <c r="AR606" s="89"/>
      <c r="AS606" s="89"/>
      <c r="AT606" s="89"/>
      <c r="AU606" s="89"/>
      <c r="AV606" s="89"/>
      <c r="AW606" s="89"/>
      <c r="AX606" s="89"/>
      <c r="AY606" s="89"/>
      <c r="AZ606" s="89"/>
      <c r="BA606" s="95"/>
    </row>
    <row r="607" spans="1:53" s="87" customFormat="1">
      <c r="A607" s="90" t="str">
        <f t="shared" si="34"/>
        <v/>
      </c>
      <c r="B607" s="89"/>
      <c r="C607" s="89"/>
      <c r="D607" s="89"/>
      <c r="E607" s="89"/>
      <c r="F607" s="89"/>
      <c r="G607" s="89"/>
      <c r="H607" s="89"/>
      <c r="I607" s="89"/>
      <c r="J607" s="89"/>
      <c r="K607" s="89"/>
      <c r="L607" s="89"/>
      <c r="M607" s="89"/>
      <c r="N607" s="89"/>
      <c r="O607" s="89"/>
      <c r="P607" s="89"/>
      <c r="Q607" s="89"/>
      <c r="R607" s="89"/>
      <c r="S607" s="89"/>
      <c r="T607" s="89"/>
      <c r="U607" s="89"/>
      <c r="V607" s="89"/>
      <c r="W607" s="89"/>
      <c r="X607" s="89"/>
      <c r="Y607" s="89"/>
      <c r="Z607" s="89"/>
      <c r="AA607" s="89"/>
      <c r="AB607" s="89"/>
      <c r="AC607" s="89"/>
      <c r="AD607" s="89"/>
      <c r="AE607" s="89"/>
      <c r="AF607" s="89"/>
      <c r="AG607" s="89"/>
      <c r="AH607" s="89"/>
      <c r="AI607" s="89"/>
      <c r="AJ607" s="89"/>
      <c r="AK607" s="89"/>
      <c r="AL607" s="89"/>
      <c r="AM607" s="89"/>
      <c r="AN607" s="89"/>
      <c r="AO607" s="89"/>
      <c r="AP607" s="89"/>
      <c r="AQ607" s="89"/>
      <c r="AR607" s="89"/>
      <c r="AS607" s="89"/>
      <c r="AT607" s="89"/>
      <c r="AU607" s="89"/>
      <c r="AV607" s="89"/>
      <c r="AW607" s="89"/>
      <c r="AX607" s="89"/>
      <c r="AY607" s="89"/>
      <c r="AZ607" s="89"/>
      <c r="BA607" s="95"/>
    </row>
    <row r="608" spans="1:53" s="87" customFormat="1">
      <c r="A608" s="90" t="str">
        <f t="shared" si="34"/>
        <v/>
      </c>
      <c r="B608" s="89"/>
      <c r="C608" s="89"/>
      <c r="D608" s="89"/>
      <c r="E608" s="89"/>
      <c r="F608" s="89"/>
      <c r="G608" s="89"/>
      <c r="H608" s="89"/>
      <c r="I608" s="89"/>
      <c r="J608" s="89"/>
      <c r="K608" s="89"/>
      <c r="L608" s="89"/>
      <c r="M608" s="89"/>
      <c r="N608" s="89"/>
      <c r="O608" s="89"/>
      <c r="P608" s="89"/>
      <c r="Q608" s="89"/>
      <c r="R608" s="89"/>
      <c r="S608" s="89"/>
      <c r="T608" s="89"/>
      <c r="U608" s="89"/>
      <c r="V608" s="89"/>
      <c r="W608" s="89"/>
      <c r="X608" s="89"/>
      <c r="Y608" s="89"/>
      <c r="Z608" s="89"/>
      <c r="AA608" s="89"/>
      <c r="AB608" s="89"/>
      <c r="AC608" s="89"/>
      <c r="AD608" s="89"/>
      <c r="AE608" s="89"/>
      <c r="AF608" s="89"/>
      <c r="AG608" s="89"/>
      <c r="AH608" s="89"/>
      <c r="AI608" s="89"/>
      <c r="AJ608" s="89"/>
      <c r="AK608" s="89"/>
      <c r="AL608" s="89"/>
      <c r="AM608" s="89"/>
      <c r="AN608" s="89"/>
      <c r="AO608" s="89"/>
      <c r="AP608" s="89"/>
      <c r="AQ608" s="89"/>
      <c r="AR608" s="89"/>
      <c r="AS608" s="89"/>
      <c r="AT608" s="89"/>
      <c r="AU608" s="89"/>
      <c r="AV608" s="89"/>
      <c r="AW608" s="89"/>
      <c r="AX608" s="89"/>
      <c r="AY608" s="89"/>
      <c r="AZ608" s="89"/>
      <c r="BA608" s="95"/>
    </row>
    <row r="609" spans="1:53" s="87" customFormat="1">
      <c r="A609" s="90" t="str">
        <f t="shared" si="34"/>
        <v/>
      </c>
      <c r="B609" s="89"/>
      <c r="C609" s="89"/>
      <c r="D609" s="89"/>
      <c r="E609" s="89"/>
      <c r="F609" s="89"/>
      <c r="G609" s="89"/>
      <c r="H609" s="89"/>
      <c r="I609" s="89"/>
      <c r="J609" s="89"/>
      <c r="K609" s="89"/>
      <c r="L609" s="89"/>
      <c r="M609" s="89"/>
      <c r="N609" s="89"/>
      <c r="O609" s="89"/>
      <c r="P609" s="89"/>
      <c r="Q609" s="89"/>
      <c r="R609" s="89"/>
      <c r="S609" s="89"/>
      <c r="T609" s="89"/>
      <c r="U609" s="89"/>
      <c r="V609" s="89"/>
      <c r="W609" s="89"/>
      <c r="X609" s="89"/>
      <c r="Y609" s="89"/>
      <c r="Z609" s="89"/>
      <c r="AA609" s="89"/>
      <c r="AB609" s="89"/>
      <c r="AC609" s="89"/>
      <c r="AD609" s="89"/>
      <c r="AE609" s="89"/>
      <c r="AF609" s="89"/>
      <c r="AG609" s="89"/>
      <c r="AH609" s="89"/>
      <c r="AI609" s="89"/>
      <c r="AJ609" s="89"/>
      <c r="AK609" s="89"/>
      <c r="AL609" s="89"/>
      <c r="AM609" s="89"/>
      <c r="AN609" s="89"/>
      <c r="AO609" s="89"/>
      <c r="AP609" s="89"/>
      <c r="AQ609" s="89"/>
      <c r="AR609" s="89"/>
      <c r="AS609" s="89"/>
      <c r="AT609" s="89"/>
      <c r="AU609" s="89"/>
      <c r="AV609" s="89"/>
      <c r="AW609" s="89"/>
      <c r="AX609" s="89"/>
      <c r="AY609" s="89"/>
      <c r="AZ609" s="89"/>
      <c r="BA609" s="95"/>
    </row>
    <row r="610" spans="1:53" s="87" customFormat="1">
      <c r="A610" s="90" t="str">
        <f t="shared" si="34"/>
        <v/>
      </c>
      <c r="B610" s="89"/>
      <c r="C610" s="89"/>
      <c r="D610" s="89"/>
      <c r="E610" s="89"/>
      <c r="F610" s="89"/>
      <c r="G610" s="89"/>
      <c r="H610" s="89"/>
      <c r="I610" s="89"/>
      <c r="J610" s="89"/>
      <c r="K610" s="89"/>
      <c r="L610" s="89"/>
      <c r="M610" s="89"/>
      <c r="N610" s="89"/>
      <c r="O610" s="89"/>
      <c r="P610" s="89"/>
      <c r="Q610" s="89"/>
      <c r="R610" s="89"/>
      <c r="S610" s="89"/>
      <c r="T610" s="89"/>
      <c r="U610" s="89"/>
      <c r="V610" s="89"/>
      <c r="W610" s="89"/>
      <c r="X610" s="89"/>
      <c r="Y610" s="89"/>
      <c r="Z610" s="89"/>
      <c r="AA610" s="89"/>
      <c r="AB610" s="89"/>
      <c r="AC610" s="89"/>
      <c r="AD610" s="89"/>
      <c r="AE610" s="89"/>
      <c r="AF610" s="89"/>
      <c r="AG610" s="89"/>
      <c r="AH610" s="89"/>
      <c r="AI610" s="89"/>
      <c r="AJ610" s="89"/>
      <c r="AK610" s="89"/>
      <c r="AL610" s="89"/>
      <c r="AM610" s="89"/>
      <c r="AN610" s="89"/>
      <c r="AO610" s="89"/>
      <c r="AP610" s="89"/>
      <c r="AQ610" s="89"/>
      <c r="AR610" s="89"/>
      <c r="AS610" s="89"/>
      <c r="AT610" s="89"/>
      <c r="AU610" s="89"/>
      <c r="AV610" s="89"/>
      <c r="AW610" s="89"/>
      <c r="AX610" s="89"/>
      <c r="AY610" s="89"/>
      <c r="AZ610" s="89"/>
      <c r="BA610" s="95"/>
    </row>
    <row r="611" spans="1:53" s="87" customFormat="1">
      <c r="A611" s="90" t="str">
        <f t="shared" si="34"/>
        <v/>
      </c>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c r="AA611" s="89"/>
      <c r="AB611" s="89"/>
      <c r="AC611" s="89"/>
      <c r="AD611" s="89"/>
      <c r="AE611" s="89"/>
      <c r="AF611" s="89"/>
      <c r="AG611" s="89"/>
      <c r="AH611" s="89"/>
      <c r="AI611" s="89"/>
      <c r="AJ611" s="89"/>
      <c r="AK611" s="89"/>
      <c r="AL611" s="89"/>
      <c r="AM611" s="89"/>
      <c r="AN611" s="89"/>
      <c r="AO611" s="89"/>
      <c r="AP611" s="89"/>
      <c r="AQ611" s="89"/>
      <c r="AR611" s="89"/>
      <c r="AS611" s="89"/>
      <c r="AT611" s="89"/>
      <c r="AU611" s="89"/>
      <c r="AV611" s="89"/>
      <c r="AW611" s="89"/>
      <c r="AX611" s="89"/>
      <c r="AY611" s="89"/>
      <c r="AZ611" s="89"/>
      <c r="BA611" s="95"/>
    </row>
    <row r="612" spans="1:53" s="87" customFormat="1">
      <c r="A612" s="90" t="str">
        <f t="shared" si="34"/>
        <v/>
      </c>
      <c r="B612" s="89"/>
      <c r="C612" s="89"/>
      <c r="D612" s="89"/>
      <c r="E612" s="89"/>
      <c r="F612" s="89"/>
      <c r="G612" s="89"/>
      <c r="H612" s="89"/>
      <c r="I612" s="89"/>
      <c r="J612" s="89"/>
      <c r="K612" s="89"/>
      <c r="L612" s="89"/>
      <c r="M612" s="89"/>
      <c r="N612" s="89"/>
      <c r="O612" s="89"/>
      <c r="P612" s="89"/>
      <c r="Q612" s="89"/>
      <c r="R612" s="89"/>
      <c r="S612" s="89"/>
      <c r="T612" s="89"/>
      <c r="U612" s="89"/>
      <c r="V612" s="89"/>
      <c r="W612" s="89"/>
      <c r="X612" s="89"/>
      <c r="Y612" s="89"/>
      <c r="Z612" s="89"/>
      <c r="AA612" s="89"/>
      <c r="AB612" s="89"/>
      <c r="AC612" s="89"/>
      <c r="AD612" s="89"/>
      <c r="AE612" s="89"/>
      <c r="AF612" s="89"/>
      <c r="AG612" s="89"/>
      <c r="AH612" s="89"/>
      <c r="AI612" s="89"/>
      <c r="AJ612" s="89"/>
      <c r="AK612" s="89"/>
      <c r="AL612" s="89"/>
      <c r="AM612" s="89"/>
      <c r="AN612" s="89"/>
      <c r="AO612" s="89"/>
      <c r="AP612" s="89"/>
      <c r="AQ612" s="89"/>
      <c r="AR612" s="89"/>
      <c r="AS612" s="89"/>
      <c r="AT612" s="89"/>
      <c r="AU612" s="89"/>
      <c r="AV612" s="89"/>
      <c r="AW612" s="89"/>
      <c r="AX612" s="89"/>
      <c r="AY612" s="89"/>
      <c r="AZ612" s="89"/>
      <c r="BA612" s="95"/>
    </row>
    <row r="613" spans="1:53" s="87" customFormat="1">
      <c r="A613" s="90" t="str">
        <f t="shared" si="34"/>
        <v/>
      </c>
      <c r="B613" s="89"/>
      <c r="C613" s="89"/>
      <c r="D613" s="89"/>
      <c r="E613" s="89"/>
      <c r="F613" s="89"/>
      <c r="G613" s="89"/>
      <c r="H613" s="89"/>
      <c r="I613" s="89"/>
      <c r="J613" s="89"/>
      <c r="K613" s="89"/>
      <c r="L613" s="89"/>
      <c r="M613" s="89"/>
      <c r="N613" s="89"/>
      <c r="O613" s="89"/>
      <c r="P613" s="89"/>
      <c r="Q613" s="89"/>
      <c r="R613" s="89"/>
      <c r="S613" s="89"/>
      <c r="T613" s="89"/>
      <c r="U613" s="89"/>
      <c r="V613" s="89"/>
      <c r="W613" s="89"/>
      <c r="X613" s="89"/>
      <c r="Y613" s="89"/>
      <c r="Z613" s="89"/>
      <c r="AA613" s="89"/>
      <c r="AB613" s="89"/>
      <c r="AC613" s="89"/>
      <c r="AD613" s="89"/>
      <c r="AE613" s="89"/>
      <c r="AF613" s="89"/>
      <c r="AG613" s="89"/>
      <c r="AH613" s="89"/>
      <c r="AI613" s="89"/>
      <c r="AJ613" s="89"/>
      <c r="AK613" s="89"/>
      <c r="AL613" s="89"/>
      <c r="AM613" s="89"/>
      <c r="AN613" s="89"/>
      <c r="AO613" s="89"/>
      <c r="AP613" s="89"/>
      <c r="AQ613" s="89"/>
      <c r="AR613" s="89"/>
      <c r="AS613" s="89"/>
      <c r="AT613" s="89"/>
      <c r="AU613" s="89"/>
      <c r="AV613" s="89"/>
      <c r="AW613" s="89"/>
      <c r="AX613" s="89"/>
      <c r="AY613" s="89"/>
      <c r="AZ613" s="89"/>
      <c r="BA613" s="95"/>
    </row>
    <row r="614" spans="1:53" s="87" customFormat="1">
      <c r="A614" s="90" t="str">
        <f t="shared" si="34"/>
        <v/>
      </c>
      <c r="B614" s="89"/>
      <c r="C614" s="89"/>
      <c r="D614" s="89"/>
      <c r="E614" s="89"/>
      <c r="F614" s="89"/>
      <c r="G614" s="89"/>
      <c r="H614" s="89"/>
      <c r="I614" s="89"/>
      <c r="J614" s="89"/>
      <c r="K614" s="89"/>
      <c r="L614" s="89"/>
      <c r="M614" s="89"/>
      <c r="N614" s="89"/>
      <c r="O614" s="89"/>
      <c r="P614" s="89"/>
      <c r="Q614" s="89"/>
      <c r="R614" s="89"/>
      <c r="S614" s="89"/>
      <c r="T614" s="89"/>
      <c r="U614" s="89"/>
      <c r="V614" s="89"/>
      <c r="W614" s="89"/>
      <c r="X614" s="89"/>
      <c r="Y614" s="89"/>
      <c r="Z614" s="89"/>
      <c r="AA614" s="89"/>
      <c r="AB614" s="89"/>
      <c r="AC614" s="89"/>
      <c r="AD614" s="89"/>
      <c r="AE614" s="89"/>
      <c r="AF614" s="89"/>
      <c r="AG614" s="89"/>
      <c r="AH614" s="89"/>
      <c r="AI614" s="89"/>
      <c r="AJ614" s="89"/>
      <c r="AK614" s="89"/>
      <c r="AL614" s="89"/>
      <c r="AM614" s="89"/>
      <c r="AN614" s="89"/>
      <c r="AO614" s="89"/>
      <c r="AP614" s="89"/>
      <c r="AQ614" s="89"/>
      <c r="AR614" s="89"/>
      <c r="AS614" s="89"/>
      <c r="AT614" s="89"/>
      <c r="AU614" s="89"/>
      <c r="AV614" s="89"/>
      <c r="AW614" s="89"/>
      <c r="AX614" s="89"/>
      <c r="AY614" s="89"/>
      <c r="AZ614" s="89"/>
      <c r="BA614" s="95"/>
    </row>
    <row r="615" spans="1:53" s="87" customFormat="1">
      <c r="A615" s="90" t="str">
        <f t="shared" si="34"/>
        <v/>
      </c>
      <c r="B615" s="89"/>
      <c r="C615" s="89"/>
      <c r="D615" s="89"/>
      <c r="E615" s="89"/>
      <c r="F615" s="89"/>
      <c r="G615" s="89"/>
      <c r="H615" s="89"/>
      <c r="I615" s="89"/>
      <c r="J615" s="89"/>
      <c r="K615" s="89"/>
      <c r="L615" s="89"/>
      <c r="M615" s="89"/>
      <c r="N615" s="89"/>
      <c r="O615" s="89"/>
      <c r="P615" s="89"/>
      <c r="Q615" s="89"/>
      <c r="R615" s="89"/>
      <c r="S615" s="89"/>
      <c r="T615" s="89"/>
      <c r="U615" s="89"/>
      <c r="V615" s="89"/>
      <c r="W615" s="89"/>
      <c r="X615" s="89"/>
      <c r="Y615" s="89"/>
      <c r="Z615" s="89"/>
      <c r="AA615" s="89"/>
      <c r="AB615" s="89"/>
      <c r="AC615" s="89"/>
      <c r="AD615" s="89"/>
      <c r="AE615" s="89"/>
      <c r="AF615" s="89"/>
      <c r="AG615" s="89"/>
      <c r="AH615" s="89"/>
      <c r="AI615" s="89"/>
      <c r="AJ615" s="89"/>
      <c r="AK615" s="89"/>
      <c r="AL615" s="89"/>
      <c r="AM615" s="89"/>
      <c r="AN615" s="89"/>
      <c r="AO615" s="89"/>
      <c r="AP615" s="89"/>
      <c r="AQ615" s="89"/>
      <c r="AR615" s="89"/>
      <c r="AS615" s="89"/>
      <c r="AT615" s="89"/>
      <c r="AU615" s="89"/>
      <c r="AV615" s="89"/>
      <c r="AW615" s="89"/>
      <c r="AX615" s="89"/>
      <c r="AY615" s="89"/>
      <c r="AZ615" s="89"/>
      <c r="BA615" s="95"/>
    </row>
    <row r="616" spans="1:53" s="87" customFormat="1">
      <c r="A616" s="90" t="str">
        <f t="shared" si="34"/>
        <v/>
      </c>
      <c r="B616" s="89"/>
      <c r="C616" s="89"/>
      <c r="D616" s="89"/>
      <c r="E616" s="89"/>
      <c r="F616" s="89"/>
      <c r="G616" s="89"/>
      <c r="H616" s="89"/>
      <c r="I616" s="89"/>
      <c r="J616" s="89"/>
      <c r="K616" s="89"/>
      <c r="L616" s="89"/>
      <c r="M616" s="89"/>
      <c r="N616" s="89"/>
      <c r="O616" s="89"/>
      <c r="P616" s="89"/>
      <c r="Q616" s="89"/>
      <c r="R616" s="89"/>
      <c r="S616" s="89"/>
      <c r="T616" s="89"/>
      <c r="U616" s="89"/>
      <c r="V616" s="89"/>
      <c r="W616" s="89"/>
      <c r="X616" s="89"/>
      <c r="Y616" s="89"/>
      <c r="Z616" s="89"/>
      <c r="AA616" s="89"/>
      <c r="AB616" s="89"/>
      <c r="AC616" s="89"/>
      <c r="AD616" s="89"/>
      <c r="AE616" s="89"/>
      <c r="AF616" s="89"/>
      <c r="AG616" s="89"/>
      <c r="AH616" s="89"/>
      <c r="AI616" s="89"/>
      <c r="AJ616" s="89"/>
      <c r="AK616" s="89"/>
      <c r="AL616" s="89"/>
      <c r="AM616" s="89"/>
      <c r="AN616" s="89"/>
      <c r="AO616" s="89"/>
      <c r="AP616" s="89"/>
      <c r="AQ616" s="89"/>
      <c r="AR616" s="89"/>
      <c r="AS616" s="89"/>
      <c r="AT616" s="89"/>
      <c r="AU616" s="89"/>
      <c r="AV616" s="89"/>
      <c r="AW616" s="89"/>
      <c r="AX616" s="89"/>
      <c r="AY616" s="89"/>
      <c r="AZ616" s="89"/>
      <c r="BA616" s="95"/>
    </row>
    <row r="617" spans="1:53" s="87" customFormat="1">
      <c r="A617" s="90" t="str">
        <f t="shared" si="34"/>
        <v/>
      </c>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c r="AA617" s="89"/>
      <c r="AB617" s="89"/>
      <c r="AC617" s="89"/>
      <c r="AD617" s="89"/>
      <c r="AE617" s="89"/>
      <c r="AF617" s="89"/>
      <c r="AG617" s="89"/>
      <c r="AH617" s="89"/>
      <c r="AI617" s="89"/>
      <c r="AJ617" s="89"/>
      <c r="AK617" s="89"/>
      <c r="AL617" s="89"/>
      <c r="AM617" s="89"/>
      <c r="AN617" s="89"/>
      <c r="AO617" s="89"/>
      <c r="AP617" s="89"/>
      <c r="AQ617" s="89"/>
      <c r="AR617" s="89"/>
      <c r="AS617" s="89"/>
      <c r="AT617" s="89"/>
      <c r="AU617" s="89"/>
      <c r="AV617" s="89"/>
      <c r="AW617" s="89"/>
      <c r="AX617" s="89"/>
      <c r="AY617" s="89"/>
      <c r="AZ617" s="89"/>
      <c r="BA617" s="95"/>
    </row>
    <row r="618" spans="1:53" s="87" customFormat="1">
      <c r="A618" s="90" t="str">
        <f t="shared" si="34"/>
        <v/>
      </c>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c r="AA618" s="89"/>
      <c r="AB618" s="89"/>
      <c r="AC618" s="89"/>
      <c r="AD618" s="89"/>
      <c r="AE618" s="89"/>
      <c r="AF618" s="89"/>
      <c r="AG618" s="89"/>
      <c r="AH618" s="89"/>
      <c r="AI618" s="89"/>
      <c r="AJ618" s="89"/>
      <c r="AK618" s="89"/>
      <c r="AL618" s="89"/>
      <c r="AM618" s="89"/>
      <c r="AN618" s="89"/>
      <c r="AO618" s="89"/>
      <c r="AP618" s="89"/>
      <c r="AQ618" s="89"/>
      <c r="AR618" s="89"/>
      <c r="AS618" s="89"/>
      <c r="AT618" s="89"/>
      <c r="AU618" s="89"/>
      <c r="AV618" s="89"/>
      <c r="AW618" s="89"/>
      <c r="AX618" s="89"/>
      <c r="AY618" s="89"/>
      <c r="AZ618" s="89"/>
      <c r="BA618" s="95"/>
    </row>
    <row r="619" spans="1:53" s="87" customFormat="1">
      <c r="A619" s="90" t="str">
        <f t="shared" si="34"/>
        <v/>
      </c>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c r="AA619" s="89"/>
      <c r="AB619" s="89"/>
      <c r="AC619" s="89"/>
      <c r="AD619" s="89"/>
      <c r="AE619" s="89"/>
      <c r="AF619" s="89"/>
      <c r="AG619" s="89"/>
      <c r="AH619" s="89"/>
      <c r="AI619" s="89"/>
      <c r="AJ619" s="89"/>
      <c r="AK619" s="89"/>
      <c r="AL619" s="89"/>
      <c r="AM619" s="89"/>
      <c r="AN619" s="89"/>
      <c r="AO619" s="89"/>
      <c r="AP619" s="89"/>
      <c r="AQ619" s="89"/>
      <c r="AR619" s="89"/>
      <c r="AS619" s="89"/>
      <c r="AT619" s="89"/>
      <c r="AU619" s="89"/>
      <c r="AV619" s="89"/>
      <c r="AW619" s="89"/>
      <c r="AX619" s="89"/>
      <c r="AY619" s="89"/>
      <c r="AZ619" s="89"/>
      <c r="BA619" s="95"/>
    </row>
    <row r="620" spans="1:53" s="87" customFormat="1">
      <c r="A620" s="90" t="str">
        <f t="shared" si="34"/>
        <v/>
      </c>
      <c r="B620" s="89"/>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c r="AA620" s="89"/>
      <c r="AB620" s="89"/>
      <c r="AC620" s="89"/>
      <c r="AD620" s="89"/>
      <c r="AE620" s="89"/>
      <c r="AF620" s="89"/>
      <c r="AG620" s="89"/>
      <c r="AH620" s="89"/>
      <c r="AI620" s="89"/>
      <c r="AJ620" s="89"/>
      <c r="AK620" s="89"/>
      <c r="AL620" s="89"/>
      <c r="AM620" s="89"/>
      <c r="AN620" s="89"/>
      <c r="AO620" s="89"/>
      <c r="AP620" s="89"/>
      <c r="AQ620" s="89"/>
      <c r="AR620" s="89"/>
      <c r="AS620" s="89"/>
      <c r="AT620" s="89"/>
      <c r="AU620" s="89"/>
      <c r="AV620" s="89"/>
      <c r="AW620" s="89"/>
      <c r="AX620" s="89"/>
      <c r="AY620" s="89"/>
      <c r="AZ620" s="89"/>
      <c r="BA620" s="95"/>
    </row>
    <row r="621" spans="1:53" s="87" customFormat="1">
      <c r="A621" s="90" t="str">
        <f t="shared" si="34"/>
        <v/>
      </c>
      <c r="B621" s="89"/>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c r="AA621" s="89"/>
      <c r="AB621" s="89"/>
      <c r="AC621" s="89"/>
      <c r="AD621" s="89"/>
      <c r="AE621" s="89"/>
      <c r="AF621" s="89"/>
      <c r="AG621" s="89"/>
      <c r="AH621" s="89"/>
      <c r="AI621" s="89"/>
      <c r="AJ621" s="89"/>
      <c r="AK621" s="89"/>
      <c r="AL621" s="89"/>
      <c r="AM621" s="89"/>
      <c r="AN621" s="89"/>
      <c r="AO621" s="89"/>
      <c r="AP621" s="89"/>
      <c r="AQ621" s="89"/>
      <c r="AR621" s="89"/>
      <c r="AS621" s="89"/>
      <c r="AT621" s="89"/>
      <c r="AU621" s="89"/>
      <c r="AV621" s="89"/>
      <c r="AW621" s="89"/>
      <c r="AX621" s="89"/>
      <c r="AY621" s="89"/>
      <c r="AZ621" s="89"/>
      <c r="BA621" s="95"/>
    </row>
    <row r="622" spans="1:53" s="87" customFormat="1">
      <c r="A622" s="90" t="str">
        <f t="shared" si="34"/>
        <v/>
      </c>
      <c r="B622" s="89"/>
      <c r="C622" s="89"/>
      <c r="D622" s="89"/>
      <c r="E622" s="89"/>
      <c r="F622" s="89"/>
      <c r="G622" s="89"/>
      <c r="H622" s="89"/>
      <c r="I622" s="89"/>
      <c r="J622" s="89"/>
      <c r="K622" s="89"/>
      <c r="L622" s="89"/>
      <c r="M622" s="89"/>
      <c r="N622" s="89"/>
      <c r="O622" s="89"/>
      <c r="P622" s="89"/>
      <c r="Q622" s="89"/>
      <c r="R622" s="89"/>
      <c r="S622" s="89"/>
      <c r="T622" s="89"/>
      <c r="U622" s="89"/>
      <c r="V622" s="89"/>
      <c r="W622" s="89"/>
      <c r="X622" s="89"/>
      <c r="Y622" s="89"/>
      <c r="Z622" s="89"/>
      <c r="AA622" s="89"/>
      <c r="AB622" s="89"/>
      <c r="AC622" s="89"/>
      <c r="AD622" s="89"/>
      <c r="AE622" s="89"/>
      <c r="AF622" s="89"/>
      <c r="AG622" s="89"/>
      <c r="AH622" s="89"/>
      <c r="AI622" s="89"/>
      <c r="AJ622" s="89"/>
      <c r="AK622" s="89"/>
      <c r="AL622" s="89"/>
      <c r="AM622" s="89"/>
      <c r="AN622" s="89"/>
      <c r="AO622" s="89"/>
      <c r="AP622" s="89"/>
      <c r="AQ622" s="89"/>
      <c r="AR622" s="89"/>
      <c r="AS622" s="89"/>
      <c r="AT622" s="89"/>
      <c r="AU622" s="89"/>
      <c r="AV622" s="89"/>
      <c r="AW622" s="89"/>
      <c r="AX622" s="89"/>
      <c r="AY622" s="89"/>
      <c r="AZ622" s="89"/>
      <c r="BA622" s="95"/>
    </row>
    <row r="623" spans="1:53" s="87" customFormat="1">
      <c r="A623" s="90" t="str">
        <f t="shared" si="34"/>
        <v/>
      </c>
      <c r="B623" s="89"/>
      <c r="C623" s="89"/>
      <c r="D623" s="89"/>
      <c r="E623" s="89"/>
      <c r="F623" s="89"/>
      <c r="G623" s="89"/>
      <c r="H623" s="89"/>
      <c r="I623" s="89"/>
      <c r="J623" s="89"/>
      <c r="K623" s="89"/>
      <c r="L623" s="89"/>
      <c r="M623" s="89"/>
      <c r="N623" s="89"/>
      <c r="O623" s="89"/>
      <c r="P623" s="89"/>
      <c r="Q623" s="89"/>
      <c r="R623" s="89"/>
      <c r="S623" s="89"/>
      <c r="T623" s="89"/>
      <c r="U623" s="89"/>
      <c r="V623" s="89"/>
      <c r="W623" s="89"/>
      <c r="X623" s="89"/>
      <c r="Y623" s="89"/>
      <c r="Z623" s="89"/>
      <c r="AA623" s="89"/>
      <c r="AB623" s="89"/>
      <c r="AC623" s="89"/>
      <c r="AD623" s="89"/>
      <c r="AE623" s="89"/>
      <c r="AF623" s="89"/>
      <c r="AG623" s="89"/>
      <c r="AH623" s="89"/>
      <c r="AI623" s="89"/>
      <c r="AJ623" s="89"/>
      <c r="AK623" s="89"/>
      <c r="AL623" s="89"/>
      <c r="AM623" s="89"/>
      <c r="AN623" s="89"/>
      <c r="AO623" s="89"/>
      <c r="AP623" s="89"/>
      <c r="AQ623" s="89"/>
      <c r="AR623" s="89"/>
      <c r="AS623" s="89"/>
      <c r="AT623" s="89"/>
      <c r="AU623" s="89"/>
      <c r="AV623" s="89"/>
      <c r="AW623" s="89"/>
      <c r="AX623" s="89"/>
      <c r="AY623" s="89"/>
      <c r="AZ623" s="89"/>
      <c r="BA623" s="95"/>
    </row>
    <row r="624" spans="1:53" s="87" customFormat="1">
      <c r="A624" s="90" t="str">
        <f t="shared" si="34"/>
        <v/>
      </c>
      <c r="B624" s="89"/>
      <c r="C624" s="89"/>
      <c r="D624" s="89"/>
      <c r="E624" s="89"/>
      <c r="F624" s="89"/>
      <c r="G624" s="89"/>
      <c r="H624" s="89"/>
      <c r="I624" s="89"/>
      <c r="J624" s="89"/>
      <c r="K624" s="89"/>
      <c r="L624" s="89"/>
      <c r="M624" s="89"/>
      <c r="N624" s="89"/>
      <c r="O624" s="89"/>
      <c r="P624" s="89"/>
      <c r="Q624" s="89"/>
      <c r="R624" s="89"/>
      <c r="S624" s="89"/>
      <c r="T624" s="89"/>
      <c r="U624" s="89"/>
      <c r="V624" s="89"/>
      <c r="W624" s="89"/>
      <c r="X624" s="89"/>
      <c r="Y624" s="89"/>
      <c r="Z624" s="89"/>
      <c r="AA624" s="89"/>
      <c r="AB624" s="89"/>
      <c r="AC624" s="89"/>
      <c r="AD624" s="89"/>
      <c r="AE624" s="89"/>
      <c r="AF624" s="89"/>
      <c r="AG624" s="89"/>
      <c r="AH624" s="89"/>
      <c r="AI624" s="89"/>
      <c r="AJ624" s="89"/>
      <c r="AK624" s="89"/>
      <c r="AL624" s="89"/>
      <c r="AM624" s="89"/>
      <c r="AN624" s="89"/>
      <c r="AO624" s="89"/>
      <c r="AP624" s="89"/>
      <c r="AQ624" s="89"/>
      <c r="AR624" s="89"/>
      <c r="AS624" s="89"/>
      <c r="AT624" s="89"/>
      <c r="AU624" s="89"/>
      <c r="AV624" s="89"/>
      <c r="AW624" s="89"/>
      <c r="AX624" s="89"/>
      <c r="AY624" s="89"/>
      <c r="AZ624" s="89"/>
      <c r="BA624" s="95"/>
    </row>
    <row r="625" spans="1:53" s="87" customFormat="1">
      <c r="A625" s="90" t="str">
        <f t="shared" si="34"/>
        <v/>
      </c>
      <c r="B625" s="89"/>
      <c r="C625" s="89"/>
      <c r="D625" s="89"/>
      <c r="E625" s="89"/>
      <c r="F625" s="89"/>
      <c r="G625" s="89"/>
      <c r="H625" s="89"/>
      <c r="I625" s="89"/>
      <c r="J625" s="89"/>
      <c r="K625" s="89"/>
      <c r="L625" s="89"/>
      <c r="M625" s="89"/>
      <c r="N625" s="89"/>
      <c r="O625" s="89"/>
      <c r="P625" s="89"/>
      <c r="Q625" s="89"/>
      <c r="R625" s="89"/>
      <c r="S625" s="89"/>
      <c r="T625" s="89"/>
      <c r="U625" s="89"/>
      <c r="V625" s="89"/>
      <c r="W625" s="89"/>
      <c r="X625" s="89"/>
      <c r="Y625" s="89"/>
      <c r="Z625" s="89"/>
      <c r="AA625" s="89"/>
      <c r="AB625" s="89"/>
      <c r="AC625" s="89"/>
      <c r="AD625" s="89"/>
      <c r="AE625" s="89"/>
      <c r="AF625" s="89"/>
      <c r="AG625" s="89"/>
      <c r="AH625" s="89"/>
      <c r="AI625" s="89"/>
      <c r="AJ625" s="89"/>
      <c r="AK625" s="89"/>
      <c r="AL625" s="89"/>
      <c r="AM625" s="89"/>
      <c r="AN625" s="89"/>
      <c r="AO625" s="89"/>
      <c r="AP625" s="89"/>
      <c r="AQ625" s="89"/>
      <c r="AR625" s="89"/>
      <c r="AS625" s="89"/>
      <c r="AT625" s="89"/>
      <c r="AU625" s="89"/>
      <c r="AV625" s="89"/>
      <c r="AW625" s="89"/>
      <c r="AX625" s="89"/>
      <c r="AY625" s="89"/>
      <c r="AZ625" s="89"/>
      <c r="BA625" s="95"/>
    </row>
    <row r="626" spans="1:53" s="87" customFormat="1">
      <c r="A626" s="90" t="str">
        <f t="shared" si="34"/>
        <v/>
      </c>
      <c r="B626" s="89"/>
      <c r="C626" s="89"/>
      <c r="D626" s="89"/>
      <c r="E626" s="89"/>
      <c r="F626" s="89"/>
      <c r="G626" s="89"/>
      <c r="H626" s="89"/>
      <c r="I626" s="89"/>
      <c r="J626" s="89"/>
      <c r="K626" s="89"/>
      <c r="L626" s="89"/>
      <c r="M626" s="89"/>
      <c r="N626" s="89"/>
      <c r="O626" s="89"/>
      <c r="P626" s="89"/>
      <c r="Q626" s="89"/>
      <c r="R626" s="89"/>
      <c r="S626" s="89"/>
      <c r="T626" s="89"/>
      <c r="U626" s="89"/>
      <c r="V626" s="89"/>
      <c r="W626" s="89"/>
      <c r="X626" s="89"/>
      <c r="Y626" s="89"/>
      <c r="Z626" s="89"/>
      <c r="AA626" s="89"/>
      <c r="AB626" s="89"/>
      <c r="AC626" s="89"/>
      <c r="AD626" s="89"/>
      <c r="AE626" s="89"/>
      <c r="AF626" s="89"/>
      <c r="AG626" s="89"/>
      <c r="AH626" s="89"/>
      <c r="AI626" s="89"/>
      <c r="AJ626" s="89"/>
      <c r="AK626" s="89"/>
      <c r="AL626" s="89"/>
      <c r="AM626" s="89"/>
      <c r="AN626" s="89"/>
      <c r="AO626" s="89"/>
      <c r="AP626" s="89"/>
      <c r="AQ626" s="89"/>
      <c r="AR626" s="89"/>
      <c r="AS626" s="89"/>
      <c r="AT626" s="89"/>
      <c r="AU626" s="89"/>
      <c r="AV626" s="89"/>
      <c r="AW626" s="89"/>
      <c r="AX626" s="89"/>
      <c r="AY626" s="89"/>
      <c r="AZ626" s="89"/>
      <c r="BA626" s="95"/>
    </row>
    <row r="627" spans="1:53" s="87" customFormat="1">
      <c r="A627" s="90" t="str">
        <f t="shared" si="34"/>
        <v/>
      </c>
      <c r="B627" s="89"/>
      <c r="C627" s="89"/>
      <c r="D627" s="89"/>
      <c r="E627" s="89"/>
      <c r="F627" s="89"/>
      <c r="G627" s="89"/>
      <c r="H627" s="89"/>
      <c r="I627" s="89"/>
      <c r="J627" s="89"/>
      <c r="K627" s="89"/>
      <c r="L627" s="89"/>
      <c r="M627" s="89"/>
      <c r="N627" s="89"/>
      <c r="O627" s="89"/>
      <c r="P627" s="89"/>
      <c r="Q627" s="89"/>
      <c r="R627" s="89"/>
      <c r="S627" s="89"/>
      <c r="T627" s="89"/>
      <c r="U627" s="89"/>
      <c r="V627" s="89"/>
      <c r="W627" s="89"/>
      <c r="X627" s="89"/>
      <c r="Y627" s="89"/>
      <c r="Z627" s="89"/>
      <c r="AA627" s="89"/>
      <c r="AB627" s="89"/>
      <c r="AC627" s="89"/>
      <c r="AD627" s="89"/>
      <c r="AE627" s="89"/>
      <c r="AF627" s="89"/>
      <c r="AG627" s="89"/>
      <c r="AH627" s="89"/>
      <c r="AI627" s="89"/>
      <c r="AJ627" s="89"/>
      <c r="AK627" s="89"/>
      <c r="AL627" s="89"/>
      <c r="AM627" s="89"/>
      <c r="AN627" s="89"/>
      <c r="AO627" s="89"/>
      <c r="AP627" s="89"/>
      <c r="AQ627" s="89"/>
      <c r="AR627" s="89"/>
      <c r="AS627" s="89"/>
      <c r="AT627" s="89"/>
      <c r="AU627" s="89"/>
      <c r="AV627" s="89"/>
      <c r="AW627" s="89"/>
      <c r="AX627" s="89"/>
      <c r="AY627" s="89"/>
      <c r="AZ627" s="89"/>
      <c r="BA627" s="95"/>
    </row>
    <row r="628" spans="1:53" s="87" customFormat="1">
      <c r="A628" s="90" t="str">
        <f t="shared" si="34"/>
        <v/>
      </c>
      <c r="B628" s="89"/>
      <c r="C628" s="89"/>
      <c r="D628" s="89"/>
      <c r="E628" s="89"/>
      <c r="F628" s="89"/>
      <c r="G628" s="89"/>
      <c r="H628" s="89"/>
      <c r="I628" s="89"/>
      <c r="J628" s="89"/>
      <c r="K628" s="89"/>
      <c r="L628" s="89"/>
      <c r="M628" s="89"/>
      <c r="N628" s="89"/>
      <c r="O628" s="89"/>
      <c r="P628" s="89"/>
      <c r="Q628" s="89"/>
      <c r="R628" s="89"/>
      <c r="S628" s="89"/>
      <c r="T628" s="89"/>
      <c r="U628" s="89"/>
      <c r="V628" s="89"/>
      <c r="W628" s="89"/>
      <c r="X628" s="89"/>
      <c r="Y628" s="89"/>
      <c r="Z628" s="89"/>
      <c r="AA628" s="89"/>
      <c r="AB628" s="89"/>
      <c r="AC628" s="89"/>
      <c r="AD628" s="89"/>
      <c r="AE628" s="89"/>
      <c r="AF628" s="89"/>
      <c r="AG628" s="89"/>
      <c r="AH628" s="89"/>
      <c r="AI628" s="89"/>
      <c r="AJ628" s="89"/>
      <c r="AK628" s="89"/>
      <c r="AL628" s="89"/>
      <c r="AM628" s="89"/>
      <c r="AN628" s="89"/>
      <c r="AO628" s="89"/>
      <c r="AP628" s="89"/>
      <c r="AQ628" s="89"/>
      <c r="AR628" s="89"/>
      <c r="AS628" s="89"/>
      <c r="AT628" s="89"/>
      <c r="AU628" s="89"/>
      <c r="AV628" s="89"/>
      <c r="AW628" s="89"/>
      <c r="AX628" s="89"/>
      <c r="AY628" s="89"/>
      <c r="AZ628" s="89"/>
      <c r="BA628" s="95"/>
    </row>
    <row r="629" spans="1:53" s="87" customFormat="1">
      <c r="A629" s="90" t="str">
        <f t="shared" si="34"/>
        <v/>
      </c>
      <c r="B629" s="89"/>
      <c r="C629" s="89"/>
      <c r="D629" s="89"/>
      <c r="E629" s="89"/>
      <c r="F629" s="89"/>
      <c r="G629" s="89"/>
      <c r="H629" s="89"/>
      <c r="I629" s="89"/>
      <c r="J629" s="89"/>
      <c r="K629" s="89"/>
      <c r="L629" s="89"/>
      <c r="M629" s="89"/>
      <c r="N629" s="89"/>
      <c r="O629" s="89"/>
      <c r="P629" s="89"/>
      <c r="Q629" s="89"/>
      <c r="R629" s="89"/>
      <c r="S629" s="89"/>
      <c r="T629" s="89"/>
      <c r="U629" s="89"/>
      <c r="V629" s="89"/>
      <c r="W629" s="89"/>
      <c r="X629" s="89"/>
      <c r="Y629" s="89"/>
      <c r="Z629" s="89"/>
      <c r="AA629" s="89"/>
      <c r="AB629" s="89"/>
      <c r="AC629" s="89"/>
      <c r="AD629" s="89"/>
      <c r="AE629" s="89"/>
      <c r="AF629" s="89"/>
      <c r="AG629" s="89"/>
      <c r="AH629" s="89"/>
      <c r="AI629" s="89"/>
      <c r="AJ629" s="89"/>
      <c r="AK629" s="89"/>
      <c r="AL629" s="89"/>
      <c r="AM629" s="89"/>
      <c r="AN629" s="89"/>
      <c r="AO629" s="89"/>
      <c r="AP629" s="89"/>
      <c r="AQ629" s="89"/>
      <c r="AR629" s="89"/>
      <c r="AS629" s="89"/>
      <c r="AT629" s="89"/>
      <c r="AU629" s="89"/>
      <c r="AV629" s="89"/>
      <c r="AW629" s="89"/>
      <c r="AX629" s="89"/>
      <c r="AY629" s="89"/>
      <c r="AZ629" s="89"/>
      <c r="BA629" s="95"/>
    </row>
    <row r="630" spans="1:53" s="87" customFormat="1">
      <c r="A630" s="90" t="str">
        <f t="shared" si="34"/>
        <v/>
      </c>
      <c r="B630" s="89"/>
      <c r="C630" s="89"/>
      <c r="D630" s="89"/>
      <c r="E630" s="89"/>
      <c r="F630" s="89"/>
      <c r="G630" s="89"/>
      <c r="H630" s="89"/>
      <c r="I630" s="89"/>
      <c r="J630" s="89"/>
      <c r="K630" s="89"/>
      <c r="L630" s="89"/>
      <c r="M630" s="89"/>
      <c r="N630" s="89"/>
      <c r="O630" s="89"/>
      <c r="P630" s="89"/>
      <c r="Q630" s="89"/>
      <c r="R630" s="89"/>
      <c r="S630" s="89"/>
      <c r="T630" s="89"/>
      <c r="U630" s="89"/>
      <c r="V630" s="89"/>
      <c r="W630" s="89"/>
      <c r="X630" s="89"/>
      <c r="Y630" s="89"/>
      <c r="Z630" s="89"/>
      <c r="AA630" s="89"/>
      <c r="AB630" s="89"/>
      <c r="AC630" s="89"/>
      <c r="AD630" s="89"/>
      <c r="AE630" s="89"/>
      <c r="AF630" s="89"/>
      <c r="AG630" s="89"/>
      <c r="AH630" s="89"/>
      <c r="AI630" s="89"/>
      <c r="AJ630" s="89"/>
      <c r="AK630" s="89"/>
      <c r="AL630" s="89"/>
      <c r="AM630" s="89"/>
      <c r="AN630" s="89"/>
      <c r="AO630" s="89"/>
      <c r="AP630" s="89"/>
      <c r="AQ630" s="89"/>
      <c r="AR630" s="89"/>
      <c r="AS630" s="89"/>
      <c r="AT630" s="89"/>
      <c r="AU630" s="89"/>
      <c r="AV630" s="89"/>
      <c r="AW630" s="89"/>
      <c r="AX630" s="89"/>
      <c r="AY630" s="89"/>
      <c r="AZ630" s="89"/>
      <c r="BA630" s="95"/>
    </row>
    <row r="631" spans="1:53" s="87" customFormat="1">
      <c r="A631" s="90" t="str">
        <f t="shared" si="34"/>
        <v/>
      </c>
      <c r="B631" s="89"/>
      <c r="C631" s="89"/>
      <c r="D631" s="89"/>
      <c r="E631" s="89"/>
      <c r="F631" s="89"/>
      <c r="G631" s="89"/>
      <c r="H631" s="89"/>
      <c r="I631" s="89"/>
      <c r="J631" s="89"/>
      <c r="K631" s="89"/>
      <c r="L631" s="89"/>
      <c r="M631" s="89"/>
      <c r="N631" s="89"/>
      <c r="O631" s="89"/>
      <c r="P631" s="89"/>
      <c r="Q631" s="89"/>
      <c r="R631" s="89"/>
      <c r="S631" s="89"/>
      <c r="T631" s="89"/>
      <c r="U631" s="89"/>
      <c r="V631" s="89"/>
      <c r="W631" s="89"/>
      <c r="X631" s="89"/>
      <c r="Y631" s="89"/>
      <c r="Z631" s="89"/>
      <c r="AA631" s="89"/>
      <c r="AB631" s="89"/>
      <c r="AC631" s="89"/>
      <c r="AD631" s="89"/>
      <c r="AE631" s="89"/>
      <c r="AF631" s="89"/>
      <c r="AG631" s="89"/>
      <c r="AH631" s="89"/>
      <c r="AI631" s="89"/>
      <c r="AJ631" s="89"/>
      <c r="AK631" s="89"/>
      <c r="AL631" s="89"/>
      <c r="AM631" s="89"/>
      <c r="AN631" s="89"/>
      <c r="AO631" s="89"/>
      <c r="AP631" s="89"/>
      <c r="AQ631" s="89"/>
      <c r="AR631" s="89"/>
      <c r="AS631" s="89"/>
      <c r="AT631" s="89"/>
      <c r="AU631" s="89"/>
      <c r="AV631" s="89"/>
      <c r="AW631" s="89"/>
      <c r="AX631" s="89"/>
      <c r="AY631" s="89"/>
      <c r="AZ631" s="89"/>
      <c r="BA631" s="95"/>
    </row>
    <row r="632" spans="1:53" s="87" customFormat="1">
      <c r="A632" s="90" t="str">
        <f t="shared" si="34"/>
        <v/>
      </c>
      <c r="B632" s="89"/>
      <c r="C632" s="89"/>
      <c r="D632" s="89"/>
      <c r="E632" s="89"/>
      <c r="F632" s="89"/>
      <c r="G632" s="89"/>
      <c r="H632" s="89"/>
      <c r="I632" s="89"/>
      <c r="J632" s="89"/>
      <c r="K632" s="89"/>
      <c r="L632" s="89"/>
      <c r="M632" s="89"/>
      <c r="N632" s="89"/>
      <c r="O632" s="89"/>
      <c r="P632" s="89"/>
      <c r="Q632" s="89"/>
      <c r="R632" s="89"/>
      <c r="S632" s="89"/>
      <c r="T632" s="89"/>
      <c r="U632" s="89"/>
      <c r="V632" s="89"/>
      <c r="W632" s="89"/>
      <c r="X632" s="89"/>
      <c r="Y632" s="89"/>
      <c r="Z632" s="89"/>
      <c r="AA632" s="89"/>
      <c r="AB632" s="89"/>
      <c r="AC632" s="89"/>
      <c r="AD632" s="89"/>
      <c r="AE632" s="89"/>
      <c r="AF632" s="89"/>
      <c r="AG632" s="89"/>
      <c r="AH632" s="89"/>
      <c r="AI632" s="89"/>
      <c r="AJ632" s="89"/>
      <c r="AK632" s="89"/>
      <c r="AL632" s="89"/>
      <c r="AM632" s="89"/>
      <c r="AN632" s="89"/>
      <c r="AO632" s="89"/>
      <c r="AP632" s="89"/>
      <c r="AQ632" s="89"/>
      <c r="AR632" s="89"/>
      <c r="AS632" s="89"/>
      <c r="AT632" s="89"/>
      <c r="AU632" s="89"/>
      <c r="AV632" s="89"/>
      <c r="AW632" s="89"/>
      <c r="AX632" s="89"/>
      <c r="AY632" s="89"/>
      <c r="AZ632" s="89"/>
      <c r="BA632" s="95"/>
    </row>
    <row r="633" spans="1:53" s="87" customFormat="1">
      <c r="A633" s="90" t="str">
        <f t="shared" si="34"/>
        <v/>
      </c>
      <c r="B633" s="89"/>
      <c r="C633" s="89"/>
      <c r="D633" s="89"/>
      <c r="E633" s="89"/>
      <c r="F633" s="89"/>
      <c r="G633" s="89"/>
      <c r="H633" s="89"/>
      <c r="I633" s="89"/>
      <c r="J633" s="89"/>
      <c r="K633" s="89"/>
      <c r="L633" s="89"/>
      <c r="M633" s="89"/>
      <c r="N633" s="89"/>
      <c r="O633" s="89"/>
      <c r="P633" s="89"/>
      <c r="Q633" s="89"/>
      <c r="R633" s="89"/>
      <c r="S633" s="89"/>
      <c r="T633" s="89"/>
      <c r="U633" s="89"/>
      <c r="V633" s="89"/>
      <c r="W633" s="89"/>
      <c r="X633" s="89"/>
      <c r="Y633" s="89"/>
      <c r="Z633" s="89"/>
      <c r="AA633" s="89"/>
      <c r="AB633" s="89"/>
      <c r="AC633" s="89"/>
      <c r="AD633" s="89"/>
      <c r="AE633" s="89"/>
      <c r="AF633" s="89"/>
      <c r="AG633" s="89"/>
      <c r="AH633" s="89"/>
      <c r="AI633" s="89"/>
      <c r="AJ633" s="89"/>
      <c r="AK633" s="89"/>
      <c r="AL633" s="89"/>
      <c r="AM633" s="89"/>
      <c r="AN633" s="89"/>
      <c r="AO633" s="89"/>
      <c r="AP633" s="89"/>
      <c r="AQ633" s="89"/>
      <c r="AR633" s="89"/>
      <c r="AS633" s="89"/>
      <c r="AT633" s="89"/>
      <c r="AU633" s="89"/>
      <c r="AV633" s="89"/>
      <c r="AW633" s="89"/>
      <c r="AX633" s="89"/>
      <c r="AY633" s="89"/>
      <c r="AZ633" s="89"/>
      <c r="BA633" s="95"/>
    </row>
    <row r="634" spans="1:53" s="87" customFormat="1">
      <c r="A634" s="90" t="str">
        <f t="shared" si="34"/>
        <v/>
      </c>
      <c r="B634" s="89"/>
      <c r="C634" s="89"/>
      <c r="D634" s="89"/>
      <c r="E634" s="89"/>
      <c r="F634" s="89"/>
      <c r="G634" s="89"/>
      <c r="H634" s="89"/>
      <c r="I634" s="89"/>
      <c r="J634" s="89"/>
      <c r="K634" s="89"/>
      <c r="L634" s="89"/>
      <c r="M634" s="89"/>
      <c r="N634" s="89"/>
      <c r="O634" s="89"/>
      <c r="P634" s="89"/>
      <c r="Q634" s="89"/>
      <c r="R634" s="89"/>
      <c r="S634" s="89"/>
      <c r="T634" s="89"/>
      <c r="U634" s="89"/>
      <c r="V634" s="89"/>
      <c r="W634" s="89"/>
      <c r="X634" s="89"/>
      <c r="Y634" s="89"/>
      <c r="Z634" s="89"/>
      <c r="AA634" s="89"/>
      <c r="AB634" s="89"/>
      <c r="AC634" s="89"/>
      <c r="AD634" s="89"/>
      <c r="AE634" s="89"/>
      <c r="AF634" s="89"/>
      <c r="AG634" s="89"/>
      <c r="AH634" s="89"/>
      <c r="AI634" s="89"/>
      <c r="AJ634" s="89"/>
      <c r="AK634" s="89"/>
      <c r="AL634" s="89"/>
      <c r="AM634" s="89"/>
      <c r="AN634" s="89"/>
      <c r="AO634" s="89"/>
      <c r="AP634" s="89"/>
      <c r="AQ634" s="89"/>
      <c r="AR634" s="89"/>
      <c r="AS634" s="89"/>
      <c r="AT634" s="89"/>
      <c r="AU634" s="89"/>
      <c r="AV634" s="89"/>
      <c r="AW634" s="89"/>
      <c r="AX634" s="89"/>
      <c r="AY634" s="89"/>
      <c r="AZ634" s="89"/>
      <c r="BA634" s="95"/>
    </row>
    <row r="635" spans="1:53" s="87" customFormat="1">
      <c r="A635" s="90" t="str">
        <f t="shared" si="34"/>
        <v/>
      </c>
      <c r="B635" s="89"/>
      <c r="C635" s="89"/>
      <c r="D635" s="89"/>
      <c r="E635" s="89"/>
      <c r="F635" s="89"/>
      <c r="G635" s="89"/>
      <c r="H635" s="89"/>
      <c r="I635" s="89"/>
      <c r="J635" s="89"/>
      <c r="K635" s="89"/>
      <c r="L635" s="89"/>
      <c r="M635" s="89"/>
      <c r="N635" s="89"/>
      <c r="O635" s="89"/>
      <c r="P635" s="89"/>
      <c r="Q635" s="89"/>
      <c r="R635" s="89"/>
      <c r="S635" s="89"/>
      <c r="T635" s="89"/>
      <c r="U635" s="89"/>
      <c r="V635" s="89"/>
      <c r="W635" s="89"/>
      <c r="X635" s="89"/>
      <c r="Y635" s="89"/>
      <c r="Z635" s="89"/>
      <c r="AA635" s="89"/>
      <c r="AB635" s="89"/>
      <c r="AC635" s="89"/>
      <c r="AD635" s="89"/>
      <c r="AE635" s="89"/>
      <c r="AF635" s="89"/>
      <c r="AG635" s="89"/>
      <c r="AH635" s="89"/>
      <c r="AI635" s="89"/>
      <c r="AJ635" s="89"/>
      <c r="AK635" s="89"/>
      <c r="AL635" s="89"/>
      <c r="AM635" s="89"/>
      <c r="AN635" s="89"/>
      <c r="AO635" s="89"/>
      <c r="AP635" s="89"/>
      <c r="AQ635" s="89"/>
      <c r="AR635" s="89"/>
      <c r="AS635" s="89"/>
      <c r="AT635" s="89"/>
      <c r="AU635" s="89"/>
      <c r="AV635" s="89"/>
      <c r="AW635" s="89"/>
      <c r="AX635" s="89"/>
      <c r="AY635" s="89"/>
      <c r="AZ635" s="89"/>
      <c r="BA635" s="95"/>
    </row>
    <row r="636" spans="1:53" s="87" customFormat="1">
      <c r="A636" s="90" t="str">
        <f t="shared" si="34"/>
        <v/>
      </c>
      <c r="B636" s="89"/>
      <c r="C636" s="89"/>
      <c r="D636" s="89"/>
      <c r="E636" s="89"/>
      <c r="F636" s="89"/>
      <c r="G636" s="89"/>
      <c r="H636" s="89"/>
      <c r="I636" s="89"/>
      <c r="J636" s="89"/>
      <c r="K636" s="89"/>
      <c r="L636" s="89"/>
      <c r="M636" s="89"/>
      <c r="N636" s="89"/>
      <c r="O636" s="89"/>
      <c r="P636" s="89"/>
      <c r="Q636" s="89"/>
      <c r="R636" s="89"/>
      <c r="S636" s="89"/>
      <c r="T636" s="89"/>
      <c r="U636" s="89"/>
      <c r="V636" s="89"/>
      <c r="W636" s="89"/>
      <c r="X636" s="89"/>
      <c r="Y636" s="89"/>
      <c r="Z636" s="89"/>
      <c r="AA636" s="89"/>
      <c r="AB636" s="89"/>
      <c r="AC636" s="89"/>
      <c r="AD636" s="89"/>
      <c r="AE636" s="89"/>
      <c r="AF636" s="89"/>
      <c r="AG636" s="89"/>
      <c r="AH636" s="89"/>
      <c r="AI636" s="89"/>
      <c r="AJ636" s="89"/>
      <c r="AK636" s="89"/>
      <c r="AL636" s="89"/>
      <c r="AM636" s="89"/>
      <c r="AN636" s="89"/>
      <c r="AO636" s="89"/>
      <c r="AP636" s="89"/>
      <c r="AQ636" s="89"/>
      <c r="AR636" s="89"/>
      <c r="AS636" s="89"/>
      <c r="AT636" s="89"/>
      <c r="AU636" s="89"/>
      <c r="AV636" s="89"/>
      <c r="AW636" s="89"/>
      <c r="AX636" s="89"/>
      <c r="AY636" s="89"/>
      <c r="AZ636" s="89"/>
      <c r="BA636" s="95"/>
    </row>
    <row r="637" spans="1:53" s="87" customFormat="1">
      <c r="A637" s="90" t="str">
        <f t="shared" si="34"/>
        <v/>
      </c>
      <c r="B637" s="89"/>
      <c r="C637" s="89"/>
      <c r="D637" s="89"/>
      <c r="E637" s="89"/>
      <c r="F637" s="89"/>
      <c r="G637" s="89"/>
      <c r="H637" s="89"/>
      <c r="I637" s="89"/>
      <c r="J637" s="89"/>
      <c r="K637" s="89"/>
      <c r="L637" s="89"/>
      <c r="M637" s="89"/>
      <c r="N637" s="89"/>
      <c r="O637" s="89"/>
      <c r="P637" s="89"/>
      <c r="Q637" s="89"/>
      <c r="R637" s="89"/>
      <c r="S637" s="89"/>
      <c r="T637" s="89"/>
      <c r="U637" s="89"/>
      <c r="V637" s="89"/>
      <c r="W637" s="89"/>
      <c r="X637" s="89"/>
      <c r="Y637" s="89"/>
      <c r="Z637" s="89"/>
      <c r="AA637" s="89"/>
      <c r="AB637" s="89"/>
      <c r="AC637" s="89"/>
      <c r="AD637" s="89"/>
      <c r="AE637" s="89"/>
      <c r="AF637" s="89"/>
      <c r="AG637" s="89"/>
      <c r="AH637" s="89"/>
      <c r="AI637" s="89"/>
      <c r="AJ637" s="89"/>
      <c r="AK637" s="89"/>
      <c r="AL637" s="89"/>
      <c r="AM637" s="89"/>
      <c r="AN637" s="89"/>
      <c r="AO637" s="89"/>
      <c r="AP637" s="89"/>
      <c r="AQ637" s="89"/>
      <c r="AR637" s="89"/>
      <c r="AS637" s="89"/>
      <c r="AT637" s="89"/>
      <c r="AU637" s="89"/>
      <c r="AV637" s="89"/>
      <c r="AW637" s="89"/>
      <c r="AX637" s="89"/>
      <c r="AY637" s="89"/>
      <c r="AZ637" s="89"/>
      <c r="BA637" s="95"/>
    </row>
    <row r="638" spans="1:53" s="87" customFormat="1">
      <c r="A638" s="90" t="str">
        <f t="shared" si="34"/>
        <v/>
      </c>
      <c r="B638" s="89"/>
      <c r="C638" s="89"/>
      <c r="D638" s="89"/>
      <c r="E638" s="89"/>
      <c r="F638" s="89"/>
      <c r="G638" s="89"/>
      <c r="H638" s="89"/>
      <c r="I638" s="89"/>
      <c r="J638" s="89"/>
      <c r="K638" s="89"/>
      <c r="L638" s="89"/>
      <c r="M638" s="89"/>
      <c r="N638" s="89"/>
      <c r="O638" s="89"/>
      <c r="P638" s="89"/>
      <c r="Q638" s="89"/>
      <c r="R638" s="89"/>
      <c r="S638" s="89"/>
      <c r="T638" s="89"/>
      <c r="U638" s="89"/>
      <c r="V638" s="89"/>
      <c r="W638" s="89"/>
      <c r="X638" s="89"/>
      <c r="Y638" s="89"/>
      <c r="Z638" s="89"/>
      <c r="AA638" s="89"/>
      <c r="AB638" s="89"/>
      <c r="AC638" s="89"/>
      <c r="AD638" s="89"/>
      <c r="AE638" s="89"/>
      <c r="AF638" s="89"/>
      <c r="AG638" s="89"/>
      <c r="AH638" s="89"/>
      <c r="AI638" s="89"/>
      <c r="AJ638" s="89"/>
      <c r="AK638" s="89"/>
      <c r="AL638" s="89"/>
      <c r="AM638" s="89"/>
      <c r="AN638" s="89"/>
      <c r="AO638" s="89"/>
      <c r="AP638" s="89"/>
      <c r="AQ638" s="89"/>
      <c r="AR638" s="89"/>
      <c r="AS638" s="89"/>
      <c r="AT638" s="89"/>
      <c r="AU638" s="89"/>
      <c r="AV638" s="89"/>
      <c r="AW638" s="89"/>
      <c r="AX638" s="89"/>
      <c r="AY638" s="89"/>
      <c r="AZ638" s="89"/>
      <c r="BA638" s="95"/>
    </row>
    <row r="639" spans="1:53" s="87" customFormat="1">
      <c r="A639" s="90" t="str">
        <f t="shared" si="34"/>
        <v/>
      </c>
      <c r="B639" s="89"/>
      <c r="C639" s="89"/>
      <c r="D639" s="89"/>
      <c r="E639" s="89"/>
      <c r="F639" s="89"/>
      <c r="G639" s="89"/>
      <c r="H639" s="89"/>
      <c r="I639" s="89"/>
      <c r="J639" s="89"/>
      <c r="K639" s="89"/>
      <c r="L639" s="89"/>
      <c r="M639" s="89"/>
      <c r="N639" s="89"/>
      <c r="O639" s="89"/>
      <c r="P639" s="89"/>
      <c r="Q639" s="89"/>
      <c r="R639" s="89"/>
      <c r="S639" s="89"/>
      <c r="T639" s="89"/>
      <c r="U639" s="89"/>
      <c r="V639" s="89"/>
      <c r="W639" s="89"/>
      <c r="X639" s="89"/>
      <c r="Y639" s="89"/>
      <c r="Z639" s="89"/>
      <c r="AA639" s="89"/>
      <c r="AB639" s="89"/>
      <c r="AC639" s="89"/>
      <c r="AD639" s="89"/>
      <c r="AE639" s="89"/>
      <c r="AF639" s="89"/>
      <c r="AG639" s="89"/>
      <c r="AH639" s="89"/>
      <c r="AI639" s="89"/>
      <c r="AJ639" s="89"/>
      <c r="AK639" s="89"/>
      <c r="AL639" s="89"/>
      <c r="AM639" s="89"/>
      <c r="AN639" s="89"/>
      <c r="AO639" s="89"/>
      <c r="AP639" s="89"/>
      <c r="AQ639" s="89"/>
      <c r="AR639" s="89"/>
      <c r="AS639" s="89"/>
      <c r="AT639" s="89"/>
      <c r="AU639" s="89"/>
      <c r="AV639" s="89"/>
      <c r="AW639" s="89"/>
      <c r="AX639" s="89"/>
      <c r="AY639" s="89"/>
      <c r="AZ639" s="89"/>
      <c r="BA639" s="95"/>
    </row>
    <row r="640" spans="1:53" s="87" customFormat="1">
      <c r="A640" s="90" t="str">
        <f t="shared" si="34"/>
        <v/>
      </c>
      <c r="B640" s="89"/>
      <c r="C640" s="89"/>
      <c r="D640" s="89"/>
      <c r="E640" s="89"/>
      <c r="F640" s="89"/>
      <c r="G640" s="89"/>
      <c r="H640" s="89"/>
      <c r="I640" s="89"/>
      <c r="J640" s="89"/>
      <c r="K640" s="89"/>
      <c r="L640" s="89"/>
      <c r="M640" s="89"/>
      <c r="N640" s="89"/>
      <c r="O640" s="89"/>
      <c r="P640" s="89"/>
      <c r="Q640" s="89"/>
      <c r="R640" s="89"/>
      <c r="S640" s="89"/>
      <c r="T640" s="89"/>
      <c r="U640" s="89"/>
      <c r="V640" s="89"/>
      <c r="W640" s="89"/>
      <c r="X640" s="89"/>
      <c r="Y640" s="89"/>
      <c r="Z640" s="89"/>
      <c r="AA640" s="89"/>
      <c r="AB640" s="89"/>
      <c r="AC640" s="89"/>
      <c r="AD640" s="89"/>
      <c r="AE640" s="89"/>
      <c r="AF640" s="89"/>
      <c r="AG640" s="89"/>
      <c r="AH640" s="89"/>
      <c r="AI640" s="89"/>
      <c r="AJ640" s="89"/>
      <c r="AK640" s="89"/>
      <c r="AL640" s="89"/>
      <c r="AM640" s="89"/>
      <c r="AN640" s="89"/>
      <c r="AO640" s="89"/>
      <c r="AP640" s="89"/>
      <c r="AQ640" s="89"/>
      <c r="AR640" s="89"/>
      <c r="AS640" s="89"/>
      <c r="AT640" s="89"/>
      <c r="AU640" s="89"/>
      <c r="AV640" s="89"/>
      <c r="AW640" s="89"/>
      <c r="AX640" s="89"/>
      <c r="AY640" s="89"/>
      <c r="AZ640" s="89"/>
      <c r="BA640" s="95"/>
    </row>
    <row r="641" spans="1:53" s="87" customFormat="1">
      <c r="A641" s="90" t="str">
        <f t="shared" si="34"/>
        <v/>
      </c>
      <c r="B641" s="89"/>
      <c r="C641" s="89"/>
      <c r="D641" s="89"/>
      <c r="E641" s="89"/>
      <c r="F641" s="89"/>
      <c r="G641" s="89"/>
      <c r="H641" s="89"/>
      <c r="I641" s="89"/>
      <c r="J641" s="89"/>
      <c r="K641" s="89"/>
      <c r="L641" s="89"/>
      <c r="M641" s="89"/>
      <c r="N641" s="89"/>
      <c r="O641" s="89"/>
      <c r="P641" s="89"/>
      <c r="Q641" s="89"/>
      <c r="R641" s="89"/>
      <c r="S641" s="89"/>
      <c r="T641" s="89"/>
      <c r="U641" s="89"/>
      <c r="V641" s="89"/>
      <c r="W641" s="89"/>
      <c r="X641" s="89"/>
      <c r="Y641" s="89"/>
      <c r="Z641" s="89"/>
      <c r="AA641" s="89"/>
      <c r="AB641" s="89"/>
      <c r="AC641" s="89"/>
      <c r="AD641" s="89"/>
      <c r="AE641" s="89"/>
      <c r="AF641" s="89"/>
      <c r="AG641" s="89"/>
      <c r="AH641" s="89"/>
      <c r="AI641" s="89"/>
      <c r="AJ641" s="89"/>
      <c r="AK641" s="89"/>
      <c r="AL641" s="89"/>
      <c r="AM641" s="89"/>
      <c r="AN641" s="89"/>
      <c r="AO641" s="89"/>
      <c r="AP641" s="89"/>
      <c r="AQ641" s="89"/>
      <c r="AR641" s="89"/>
      <c r="AS641" s="89"/>
      <c r="AT641" s="89"/>
      <c r="AU641" s="89"/>
      <c r="AV641" s="89"/>
      <c r="AW641" s="89"/>
      <c r="AX641" s="89"/>
      <c r="AY641" s="89"/>
      <c r="AZ641" s="89"/>
      <c r="BA641" s="95"/>
    </row>
    <row r="642" spans="1:53" s="87" customFormat="1">
      <c r="A642" s="90" t="str">
        <f t="shared" si="34"/>
        <v/>
      </c>
      <c r="B642" s="89"/>
      <c r="C642" s="89"/>
      <c r="D642" s="89"/>
      <c r="E642" s="89"/>
      <c r="F642" s="89"/>
      <c r="G642" s="89"/>
      <c r="H642" s="89"/>
      <c r="I642" s="89"/>
      <c r="J642" s="89"/>
      <c r="K642" s="89"/>
      <c r="L642" s="89"/>
      <c r="M642" s="89"/>
      <c r="N642" s="89"/>
      <c r="O642" s="89"/>
      <c r="P642" s="89"/>
      <c r="Q642" s="89"/>
      <c r="R642" s="89"/>
      <c r="S642" s="89"/>
      <c r="T642" s="89"/>
      <c r="U642" s="89"/>
      <c r="V642" s="89"/>
      <c r="W642" s="89"/>
      <c r="X642" s="89"/>
      <c r="Y642" s="89"/>
      <c r="Z642" s="89"/>
      <c r="AA642" s="89"/>
      <c r="AB642" s="89"/>
      <c r="AC642" s="89"/>
      <c r="AD642" s="89"/>
      <c r="AE642" s="89"/>
      <c r="AF642" s="89"/>
      <c r="AG642" s="89"/>
      <c r="AH642" s="89"/>
      <c r="AI642" s="89"/>
      <c r="AJ642" s="89"/>
      <c r="AK642" s="89"/>
      <c r="AL642" s="89"/>
      <c r="AM642" s="89"/>
      <c r="AN642" s="89"/>
      <c r="AO642" s="89"/>
      <c r="AP642" s="89"/>
      <c r="AQ642" s="89"/>
      <c r="AR642" s="89"/>
      <c r="AS642" s="89"/>
      <c r="AT642" s="89"/>
      <c r="AU642" s="89"/>
      <c r="AV642" s="89"/>
      <c r="AW642" s="89"/>
      <c r="AX642" s="89"/>
      <c r="AY642" s="89"/>
      <c r="AZ642" s="89"/>
      <c r="BA642" s="95"/>
    </row>
    <row r="643" spans="1:53" s="87" customFormat="1">
      <c r="A643" s="90" t="str">
        <f t="shared" si="34"/>
        <v/>
      </c>
      <c r="B643" s="89"/>
      <c r="C643" s="89"/>
      <c r="D643" s="89"/>
      <c r="E643" s="89"/>
      <c r="F643" s="89"/>
      <c r="G643" s="89"/>
      <c r="H643" s="89"/>
      <c r="I643" s="89"/>
      <c r="J643" s="89"/>
      <c r="K643" s="89"/>
      <c r="L643" s="89"/>
      <c r="M643" s="89"/>
      <c r="N643" s="89"/>
      <c r="O643" s="89"/>
      <c r="P643" s="89"/>
      <c r="Q643" s="89"/>
      <c r="R643" s="89"/>
      <c r="S643" s="89"/>
      <c r="T643" s="89"/>
      <c r="U643" s="89"/>
      <c r="V643" s="89"/>
      <c r="W643" s="89"/>
      <c r="X643" s="89"/>
      <c r="Y643" s="89"/>
      <c r="Z643" s="89"/>
      <c r="AA643" s="89"/>
      <c r="AB643" s="89"/>
      <c r="AC643" s="89"/>
      <c r="AD643" s="89"/>
      <c r="AE643" s="89"/>
      <c r="AF643" s="89"/>
      <c r="AG643" s="89"/>
      <c r="AH643" s="89"/>
      <c r="AI643" s="89"/>
      <c r="AJ643" s="89"/>
      <c r="AK643" s="89"/>
      <c r="AL643" s="89"/>
      <c r="AM643" s="89"/>
      <c r="AN643" s="89"/>
      <c r="AO643" s="89"/>
      <c r="AP643" s="89"/>
      <c r="AQ643" s="89"/>
      <c r="AR643" s="89"/>
      <c r="AS643" s="89"/>
      <c r="AT643" s="89"/>
      <c r="AU643" s="89"/>
      <c r="AV643" s="89"/>
      <c r="AW643" s="89"/>
      <c r="AX643" s="89"/>
      <c r="AY643" s="89"/>
      <c r="AZ643" s="89"/>
      <c r="BA643" s="95"/>
    </row>
    <row r="644" spans="1:53" s="87" customFormat="1">
      <c r="A644" s="90" t="str">
        <f t="shared" si="34"/>
        <v/>
      </c>
      <c r="B644" s="89"/>
      <c r="C644" s="89"/>
      <c r="D644" s="89"/>
      <c r="E644" s="89"/>
      <c r="F644" s="89"/>
      <c r="G644" s="89"/>
      <c r="H644" s="89"/>
      <c r="I644" s="89"/>
      <c r="J644" s="89"/>
      <c r="K644" s="89"/>
      <c r="L644" s="89"/>
      <c r="M644" s="89"/>
      <c r="N644" s="89"/>
      <c r="O644" s="89"/>
      <c r="P644" s="89"/>
      <c r="Q644" s="89"/>
      <c r="R644" s="89"/>
      <c r="S644" s="89"/>
      <c r="T644" s="89"/>
      <c r="U644" s="89"/>
      <c r="V644" s="89"/>
      <c r="W644" s="89"/>
      <c r="X644" s="89"/>
      <c r="Y644" s="89"/>
      <c r="Z644" s="89"/>
      <c r="AA644" s="89"/>
      <c r="AB644" s="89"/>
      <c r="AC644" s="89"/>
      <c r="AD644" s="89"/>
      <c r="AE644" s="89"/>
      <c r="AF644" s="89"/>
      <c r="AG644" s="89"/>
      <c r="AH644" s="89"/>
      <c r="AI644" s="89"/>
      <c r="AJ644" s="89"/>
      <c r="AK644" s="89"/>
      <c r="AL644" s="89"/>
      <c r="AM644" s="89"/>
      <c r="AN644" s="89"/>
      <c r="AO644" s="89"/>
      <c r="AP644" s="89"/>
      <c r="AQ644" s="89"/>
      <c r="AR644" s="89"/>
      <c r="AS644" s="89"/>
      <c r="AT644" s="89"/>
      <c r="AU644" s="89"/>
      <c r="AV644" s="89"/>
      <c r="AW644" s="89"/>
      <c r="AX644" s="89"/>
      <c r="AY644" s="89"/>
      <c r="AZ644" s="89"/>
      <c r="BA644" s="95"/>
    </row>
    <row r="645" spans="1:53" s="87" customFormat="1">
      <c r="A645" s="90" t="str">
        <f t="shared" si="34"/>
        <v/>
      </c>
      <c r="B645" s="89"/>
      <c r="C645" s="89"/>
      <c r="D645" s="89"/>
      <c r="E645" s="89"/>
      <c r="F645" s="89"/>
      <c r="G645" s="89"/>
      <c r="H645" s="89"/>
      <c r="I645" s="89"/>
      <c r="J645" s="89"/>
      <c r="K645" s="89"/>
      <c r="L645" s="89"/>
      <c r="M645" s="89"/>
      <c r="N645" s="89"/>
      <c r="O645" s="89"/>
      <c r="P645" s="89"/>
      <c r="Q645" s="89"/>
      <c r="R645" s="89"/>
      <c r="S645" s="89"/>
      <c r="T645" s="89"/>
      <c r="U645" s="89"/>
      <c r="V645" s="89"/>
      <c r="W645" s="89"/>
      <c r="X645" s="89"/>
      <c r="Y645" s="89"/>
      <c r="Z645" s="89"/>
      <c r="AA645" s="89"/>
      <c r="AB645" s="89"/>
      <c r="AC645" s="89"/>
      <c r="AD645" s="89"/>
      <c r="AE645" s="89"/>
      <c r="AF645" s="89"/>
      <c r="AG645" s="89"/>
      <c r="AH645" s="89"/>
      <c r="AI645" s="89"/>
      <c r="AJ645" s="89"/>
      <c r="AK645" s="89"/>
      <c r="AL645" s="89"/>
      <c r="AM645" s="89"/>
      <c r="AN645" s="89"/>
      <c r="AO645" s="89"/>
      <c r="AP645" s="89"/>
      <c r="AQ645" s="89"/>
      <c r="AR645" s="89"/>
      <c r="AS645" s="89"/>
      <c r="AT645" s="89"/>
      <c r="AU645" s="89"/>
      <c r="AV645" s="89"/>
      <c r="AW645" s="89"/>
      <c r="AX645" s="89"/>
      <c r="AY645" s="89"/>
      <c r="AZ645" s="89"/>
      <c r="BA645" s="95"/>
    </row>
    <row r="646" spans="1:53" s="87" customFormat="1">
      <c r="A646" s="90" t="str">
        <f t="shared" si="34"/>
        <v/>
      </c>
      <c r="B646" s="89"/>
      <c r="C646" s="89"/>
      <c r="D646" s="89"/>
      <c r="E646" s="89"/>
      <c r="F646" s="89"/>
      <c r="G646" s="89"/>
      <c r="H646" s="89"/>
      <c r="I646" s="89"/>
      <c r="J646" s="89"/>
      <c r="K646" s="89"/>
      <c r="L646" s="89"/>
      <c r="M646" s="89"/>
      <c r="N646" s="89"/>
      <c r="O646" s="89"/>
      <c r="P646" s="89"/>
      <c r="Q646" s="89"/>
      <c r="R646" s="89"/>
      <c r="S646" s="89"/>
      <c r="T646" s="89"/>
      <c r="U646" s="89"/>
      <c r="V646" s="89"/>
      <c r="W646" s="89"/>
      <c r="X646" s="89"/>
      <c r="Y646" s="89"/>
      <c r="Z646" s="89"/>
      <c r="AA646" s="89"/>
      <c r="AB646" s="89"/>
      <c r="AC646" s="89"/>
      <c r="AD646" s="89"/>
      <c r="AE646" s="89"/>
      <c r="AF646" s="89"/>
      <c r="AG646" s="89"/>
      <c r="AH646" s="89"/>
      <c r="AI646" s="89"/>
      <c r="AJ646" s="89"/>
      <c r="AK646" s="89"/>
      <c r="AL646" s="89"/>
      <c r="AM646" s="89"/>
      <c r="AN646" s="89"/>
      <c r="AO646" s="89"/>
      <c r="AP646" s="89"/>
      <c r="AQ646" s="89"/>
      <c r="AR646" s="89"/>
      <c r="AS646" s="89"/>
      <c r="AT646" s="89"/>
      <c r="AU646" s="89"/>
      <c r="AV646" s="89"/>
      <c r="AW646" s="89"/>
      <c r="AX646" s="89"/>
      <c r="AY646" s="89"/>
      <c r="AZ646" s="89"/>
      <c r="BA646" s="95"/>
    </row>
    <row r="647" spans="1:53" s="87" customFormat="1">
      <c r="A647" s="90" t="str">
        <f t="shared" si="34"/>
        <v/>
      </c>
      <c r="B647" s="89"/>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c r="AA647" s="89"/>
      <c r="AB647" s="89"/>
      <c r="AC647" s="89"/>
      <c r="AD647" s="89"/>
      <c r="AE647" s="89"/>
      <c r="AF647" s="89"/>
      <c r="AG647" s="89"/>
      <c r="AH647" s="89"/>
      <c r="AI647" s="89"/>
      <c r="AJ647" s="89"/>
      <c r="AK647" s="89"/>
      <c r="AL647" s="89"/>
      <c r="AM647" s="89"/>
      <c r="AN647" s="89"/>
      <c r="AO647" s="89"/>
      <c r="AP647" s="89"/>
      <c r="AQ647" s="89"/>
      <c r="AR647" s="89"/>
      <c r="AS647" s="89"/>
      <c r="AT647" s="89"/>
      <c r="AU647" s="89"/>
      <c r="AV647" s="89"/>
      <c r="AW647" s="89"/>
      <c r="AX647" s="89"/>
      <c r="AY647" s="89"/>
      <c r="AZ647" s="89"/>
      <c r="BA647" s="95"/>
    </row>
    <row r="648" spans="1:53" s="87" customFormat="1">
      <c r="A648" s="90" t="str">
        <f t="shared" si="34"/>
        <v/>
      </c>
      <c r="B648" s="89"/>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c r="AA648" s="89"/>
      <c r="AB648" s="89"/>
      <c r="AC648" s="89"/>
      <c r="AD648" s="89"/>
      <c r="AE648" s="89"/>
      <c r="AF648" s="89"/>
      <c r="AG648" s="89"/>
      <c r="AH648" s="89"/>
      <c r="AI648" s="89"/>
      <c r="AJ648" s="89"/>
      <c r="AK648" s="89"/>
      <c r="AL648" s="89"/>
      <c r="AM648" s="89"/>
      <c r="AN648" s="89"/>
      <c r="AO648" s="89"/>
      <c r="AP648" s="89"/>
      <c r="AQ648" s="89"/>
      <c r="AR648" s="89"/>
      <c r="AS648" s="89"/>
      <c r="AT648" s="89"/>
      <c r="AU648" s="89"/>
      <c r="AV648" s="89"/>
      <c r="AW648" s="89"/>
      <c r="AX648" s="89"/>
      <c r="AY648" s="89"/>
      <c r="AZ648" s="89"/>
      <c r="BA648" s="95"/>
    </row>
    <row r="649" spans="1:53" s="87" customFormat="1">
      <c r="A649" s="90" t="str">
        <f t="shared" si="34"/>
        <v/>
      </c>
      <c r="B649" s="89"/>
      <c r="C649" s="89"/>
      <c r="D649" s="89"/>
      <c r="E649" s="89"/>
      <c r="F649" s="89"/>
      <c r="G649" s="89"/>
      <c r="H649" s="89"/>
      <c r="I649" s="89"/>
      <c r="J649" s="89"/>
      <c r="K649" s="89"/>
      <c r="L649" s="89"/>
      <c r="M649" s="89"/>
      <c r="N649" s="89"/>
      <c r="O649" s="89"/>
      <c r="P649" s="89"/>
      <c r="Q649" s="89"/>
      <c r="R649" s="89"/>
      <c r="S649" s="89"/>
      <c r="T649" s="89"/>
      <c r="U649" s="89"/>
      <c r="V649" s="89"/>
      <c r="W649" s="89"/>
      <c r="X649" s="89"/>
      <c r="Y649" s="89"/>
      <c r="Z649" s="89"/>
      <c r="AA649" s="89"/>
      <c r="AB649" s="89"/>
      <c r="AC649" s="89"/>
      <c r="AD649" s="89"/>
      <c r="AE649" s="89"/>
      <c r="AF649" s="89"/>
      <c r="AG649" s="89"/>
      <c r="AH649" s="89"/>
      <c r="AI649" s="89"/>
      <c r="AJ649" s="89"/>
      <c r="AK649" s="89"/>
      <c r="AL649" s="89"/>
      <c r="AM649" s="89"/>
      <c r="AN649" s="89"/>
      <c r="AO649" s="89"/>
      <c r="AP649" s="89"/>
      <c r="AQ649" s="89"/>
      <c r="AR649" s="89"/>
      <c r="AS649" s="89"/>
      <c r="AT649" s="89"/>
      <c r="AU649" s="89"/>
      <c r="AV649" s="89"/>
      <c r="AW649" s="89"/>
      <c r="AX649" s="89"/>
      <c r="AY649" s="89"/>
      <c r="AZ649" s="89"/>
      <c r="BA649" s="95"/>
    </row>
    <row r="650" spans="1:53" s="87" customFormat="1">
      <c r="A650" s="90" t="str">
        <f t="shared" si="34"/>
        <v/>
      </c>
      <c r="B650" s="89"/>
      <c r="C650" s="89"/>
      <c r="D650" s="89"/>
      <c r="E650" s="89"/>
      <c r="F650" s="89"/>
      <c r="G650" s="89"/>
      <c r="H650" s="89"/>
      <c r="I650" s="89"/>
      <c r="J650" s="89"/>
      <c r="K650" s="89"/>
      <c r="L650" s="89"/>
      <c r="M650" s="89"/>
      <c r="N650" s="89"/>
      <c r="O650" s="89"/>
      <c r="P650" s="89"/>
      <c r="Q650" s="89"/>
      <c r="R650" s="89"/>
      <c r="S650" s="89"/>
      <c r="T650" s="89"/>
      <c r="U650" s="89"/>
      <c r="V650" s="89"/>
      <c r="W650" s="89"/>
      <c r="X650" s="89"/>
      <c r="Y650" s="89"/>
      <c r="Z650" s="89"/>
      <c r="AA650" s="89"/>
      <c r="AB650" s="89"/>
      <c r="AC650" s="89"/>
      <c r="AD650" s="89"/>
      <c r="AE650" s="89"/>
      <c r="AF650" s="89"/>
      <c r="AG650" s="89"/>
      <c r="AH650" s="89"/>
      <c r="AI650" s="89"/>
      <c r="AJ650" s="89"/>
      <c r="AK650" s="89"/>
      <c r="AL650" s="89"/>
      <c r="AM650" s="89"/>
      <c r="AN650" s="89"/>
      <c r="AO650" s="89"/>
      <c r="AP650" s="89"/>
      <c r="AQ650" s="89"/>
      <c r="AR650" s="89"/>
      <c r="AS650" s="89"/>
      <c r="AT650" s="89"/>
      <c r="AU650" s="89"/>
      <c r="AV650" s="89"/>
      <c r="AW650" s="89"/>
      <c r="AX650" s="89"/>
      <c r="AY650" s="89"/>
      <c r="AZ650" s="89"/>
      <c r="BA650" s="95"/>
    </row>
    <row r="651" spans="1:53" s="87" customFormat="1">
      <c r="A651" s="90" t="str">
        <f t="shared" si="34"/>
        <v/>
      </c>
      <c r="B651" s="89"/>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89"/>
      <c r="AA651" s="89"/>
      <c r="AB651" s="89"/>
      <c r="AC651" s="89"/>
      <c r="AD651" s="89"/>
      <c r="AE651" s="89"/>
      <c r="AF651" s="89"/>
      <c r="AG651" s="89"/>
      <c r="AH651" s="89"/>
      <c r="AI651" s="89"/>
      <c r="AJ651" s="89"/>
      <c r="AK651" s="89"/>
      <c r="AL651" s="89"/>
      <c r="AM651" s="89"/>
      <c r="AN651" s="89"/>
      <c r="AO651" s="89"/>
      <c r="AP651" s="89"/>
      <c r="AQ651" s="89"/>
      <c r="AR651" s="89"/>
      <c r="AS651" s="89"/>
      <c r="AT651" s="89"/>
      <c r="AU651" s="89"/>
      <c r="AV651" s="89"/>
      <c r="AW651" s="89"/>
      <c r="AX651" s="89"/>
      <c r="AY651" s="89"/>
      <c r="AZ651" s="89"/>
      <c r="BA651" s="95"/>
    </row>
    <row r="652" spans="1:53" s="87" customFormat="1">
      <c r="A652" s="90" t="str">
        <f t="shared" ref="A652:A715" si="35">IF(MID(B652,3,2)="10",ROW(),"")</f>
        <v/>
      </c>
      <c r="B652" s="89"/>
      <c r="C652" s="89"/>
      <c r="D652" s="89"/>
      <c r="E652" s="89"/>
      <c r="F652" s="89"/>
      <c r="G652" s="89"/>
      <c r="H652" s="89"/>
      <c r="I652" s="89"/>
      <c r="J652" s="89"/>
      <c r="K652" s="89"/>
      <c r="L652" s="89"/>
      <c r="M652" s="89"/>
      <c r="N652" s="89"/>
      <c r="O652" s="89"/>
      <c r="P652" s="89"/>
      <c r="Q652" s="89"/>
      <c r="R652" s="89"/>
      <c r="S652" s="89"/>
      <c r="T652" s="89"/>
      <c r="U652" s="89"/>
      <c r="V652" s="89"/>
      <c r="W652" s="89"/>
      <c r="X652" s="89"/>
      <c r="Y652" s="89"/>
      <c r="Z652" s="89"/>
      <c r="AA652" s="89"/>
      <c r="AB652" s="89"/>
      <c r="AC652" s="89"/>
      <c r="AD652" s="89"/>
      <c r="AE652" s="89"/>
      <c r="AF652" s="89"/>
      <c r="AG652" s="89"/>
      <c r="AH652" s="89"/>
      <c r="AI652" s="89"/>
      <c r="AJ652" s="89"/>
      <c r="AK652" s="89"/>
      <c r="AL652" s="89"/>
      <c r="AM652" s="89"/>
      <c r="AN652" s="89"/>
      <c r="AO652" s="89"/>
      <c r="AP652" s="89"/>
      <c r="AQ652" s="89"/>
      <c r="AR652" s="89"/>
      <c r="AS652" s="89"/>
      <c r="AT652" s="89"/>
      <c r="AU652" s="89"/>
      <c r="AV652" s="89"/>
      <c r="AW652" s="89"/>
      <c r="AX652" s="89"/>
      <c r="AY652" s="89"/>
      <c r="AZ652" s="89"/>
      <c r="BA652" s="95"/>
    </row>
    <row r="653" spans="1:53" s="87" customFormat="1">
      <c r="A653" s="90" t="str">
        <f t="shared" si="35"/>
        <v/>
      </c>
      <c r="B653" s="89"/>
      <c r="C653" s="89"/>
      <c r="D653" s="89"/>
      <c r="E653" s="89"/>
      <c r="F653" s="89"/>
      <c r="G653" s="89"/>
      <c r="H653" s="89"/>
      <c r="I653" s="89"/>
      <c r="J653" s="89"/>
      <c r="K653" s="89"/>
      <c r="L653" s="89"/>
      <c r="M653" s="89"/>
      <c r="N653" s="89"/>
      <c r="O653" s="89"/>
      <c r="P653" s="89"/>
      <c r="Q653" s="89"/>
      <c r="R653" s="89"/>
      <c r="S653" s="89"/>
      <c r="T653" s="89"/>
      <c r="U653" s="89"/>
      <c r="V653" s="89"/>
      <c r="W653" s="89"/>
      <c r="X653" s="89"/>
      <c r="Y653" s="89"/>
      <c r="Z653" s="89"/>
      <c r="AA653" s="89"/>
      <c r="AB653" s="89"/>
      <c r="AC653" s="89"/>
      <c r="AD653" s="89"/>
      <c r="AE653" s="89"/>
      <c r="AF653" s="89"/>
      <c r="AG653" s="89"/>
      <c r="AH653" s="89"/>
      <c r="AI653" s="89"/>
      <c r="AJ653" s="89"/>
      <c r="AK653" s="89"/>
      <c r="AL653" s="89"/>
      <c r="AM653" s="89"/>
      <c r="AN653" s="89"/>
      <c r="AO653" s="89"/>
      <c r="AP653" s="89"/>
      <c r="AQ653" s="89"/>
      <c r="AR653" s="89"/>
      <c r="AS653" s="89"/>
      <c r="AT653" s="89"/>
      <c r="AU653" s="89"/>
      <c r="AV653" s="89"/>
      <c r="AW653" s="89"/>
      <c r="AX653" s="89"/>
      <c r="AY653" s="89"/>
      <c r="AZ653" s="89"/>
      <c r="BA653" s="95"/>
    </row>
    <row r="654" spans="1:53" s="87" customFormat="1">
      <c r="A654" s="90" t="str">
        <f t="shared" si="35"/>
        <v/>
      </c>
      <c r="B654" s="89"/>
      <c r="C654" s="89"/>
      <c r="D654" s="89"/>
      <c r="E654" s="89"/>
      <c r="F654" s="89"/>
      <c r="G654" s="89"/>
      <c r="H654" s="89"/>
      <c r="I654" s="89"/>
      <c r="J654" s="89"/>
      <c r="K654" s="89"/>
      <c r="L654" s="89"/>
      <c r="M654" s="89"/>
      <c r="N654" s="89"/>
      <c r="O654" s="89"/>
      <c r="P654" s="89"/>
      <c r="Q654" s="89"/>
      <c r="R654" s="89"/>
      <c r="S654" s="89"/>
      <c r="T654" s="89"/>
      <c r="U654" s="89"/>
      <c r="V654" s="89"/>
      <c r="W654" s="89"/>
      <c r="X654" s="89"/>
      <c r="Y654" s="89"/>
      <c r="Z654" s="89"/>
      <c r="AA654" s="89"/>
      <c r="AB654" s="89"/>
      <c r="AC654" s="89"/>
      <c r="AD654" s="89"/>
      <c r="AE654" s="89"/>
      <c r="AF654" s="89"/>
      <c r="AG654" s="89"/>
      <c r="AH654" s="89"/>
      <c r="AI654" s="89"/>
      <c r="AJ654" s="89"/>
      <c r="AK654" s="89"/>
      <c r="AL654" s="89"/>
      <c r="AM654" s="89"/>
      <c r="AN654" s="89"/>
      <c r="AO654" s="89"/>
      <c r="AP654" s="89"/>
      <c r="AQ654" s="89"/>
      <c r="AR654" s="89"/>
      <c r="AS654" s="89"/>
      <c r="AT654" s="89"/>
      <c r="AU654" s="89"/>
      <c r="AV654" s="89"/>
      <c r="AW654" s="89"/>
      <c r="AX654" s="89"/>
      <c r="AY654" s="89"/>
      <c r="AZ654" s="89"/>
      <c r="BA654" s="95"/>
    </row>
    <row r="655" spans="1:53" s="87" customFormat="1">
      <c r="A655" s="90" t="str">
        <f t="shared" si="35"/>
        <v/>
      </c>
      <c r="B655" s="89"/>
      <c r="C655" s="89"/>
      <c r="D655" s="89"/>
      <c r="E655" s="89"/>
      <c r="F655" s="89"/>
      <c r="G655" s="89"/>
      <c r="H655" s="89"/>
      <c r="I655" s="89"/>
      <c r="J655" s="89"/>
      <c r="K655" s="89"/>
      <c r="L655" s="89"/>
      <c r="M655" s="89"/>
      <c r="N655" s="89"/>
      <c r="O655" s="89"/>
      <c r="P655" s="89"/>
      <c r="Q655" s="89"/>
      <c r="R655" s="89"/>
      <c r="S655" s="89"/>
      <c r="T655" s="89"/>
      <c r="U655" s="89"/>
      <c r="V655" s="89"/>
      <c r="W655" s="89"/>
      <c r="X655" s="89"/>
      <c r="Y655" s="89"/>
      <c r="Z655" s="89"/>
      <c r="AA655" s="89"/>
      <c r="AB655" s="89"/>
      <c r="AC655" s="89"/>
      <c r="AD655" s="89"/>
      <c r="AE655" s="89"/>
      <c r="AF655" s="89"/>
      <c r="AG655" s="89"/>
      <c r="AH655" s="89"/>
      <c r="AI655" s="89"/>
      <c r="AJ655" s="89"/>
      <c r="AK655" s="89"/>
      <c r="AL655" s="89"/>
      <c r="AM655" s="89"/>
      <c r="AN655" s="89"/>
      <c r="AO655" s="89"/>
      <c r="AP655" s="89"/>
      <c r="AQ655" s="89"/>
      <c r="AR655" s="89"/>
      <c r="AS655" s="89"/>
      <c r="AT655" s="89"/>
      <c r="AU655" s="89"/>
      <c r="AV655" s="89"/>
      <c r="AW655" s="89"/>
      <c r="AX655" s="89"/>
      <c r="AY655" s="89"/>
      <c r="AZ655" s="89"/>
      <c r="BA655" s="95"/>
    </row>
    <row r="656" spans="1:53" s="87" customFormat="1">
      <c r="A656" s="90" t="str">
        <f t="shared" si="35"/>
        <v/>
      </c>
      <c r="B656" s="89"/>
      <c r="C656" s="89"/>
      <c r="D656" s="89"/>
      <c r="E656" s="89"/>
      <c r="F656" s="89"/>
      <c r="G656" s="89"/>
      <c r="H656" s="89"/>
      <c r="I656" s="89"/>
      <c r="J656" s="89"/>
      <c r="K656" s="89"/>
      <c r="L656" s="89"/>
      <c r="M656" s="89"/>
      <c r="N656" s="89"/>
      <c r="O656" s="89"/>
      <c r="P656" s="89"/>
      <c r="Q656" s="89"/>
      <c r="R656" s="89"/>
      <c r="S656" s="89"/>
      <c r="T656" s="89"/>
      <c r="U656" s="89"/>
      <c r="V656" s="89"/>
      <c r="W656" s="89"/>
      <c r="X656" s="89"/>
      <c r="Y656" s="89"/>
      <c r="Z656" s="89"/>
      <c r="AA656" s="89"/>
      <c r="AB656" s="89"/>
      <c r="AC656" s="89"/>
      <c r="AD656" s="89"/>
      <c r="AE656" s="89"/>
      <c r="AF656" s="89"/>
      <c r="AG656" s="89"/>
      <c r="AH656" s="89"/>
      <c r="AI656" s="89"/>
      <c r="AJ656" s="89"/>
      <c r="AK656" s="89"/>
      <c r="AL656" s="89"/>
      <c r="AM656" s="89"/>
      <c r="AN656" s="89"/>
      <c r="AO656" s="89"/>
      <c r="AP656" s="89"/>
      <c r="AQ656" s="89"/>
      <c r="AR656" s="89"/>
      <c r="AS656" s="89"/>
      <c r="AT656" s="89"/>
      <c r="AU656" s="89"/>
      <c r="AV656" s="89"/>
      <c r="AW656" s="89"/>
      <c r="AX656" s="89"/>
      <c r="AY656" s="89"/>
      <c r="AZ656" s="89"/>
      <c r="BA656" s="95"/>
    </row>
    <row r="657" spans="1:53" s="87" customFormat="1">
      <c r="A657" s="90" t="str">
        <f t="shared" si="35"/>
        <v/>
      </c>
      <c r="B657" s="89"/>
      <c r="C657" s="89"/>
      <c r="D657" s="89"/>
      <c r="E657" s="89"/>
      <c r="F657" s="89"/>
      <c r="G657" s="89"/>
      <c r="H657" s="89"/>
      <c r="I657" s="89"/>
      <c r="J657" s="89"/>
      <c r="K657" s="89"/>
      <c r="L657" s="89"/>
      <c r="M657" s="89"/>
      <c r="N657" s="89"/>
      <c r="O657" s="89"/>
      <c r="P657" s="89"/>
      <c r="Q657" s="89"/>
      <c r="R657" s="89"/>
      <c r="S657" s="89"/>
      <c r="T657" s="89"/>
      <c r="U657" s="89"/>
      <c r="V657" s="89"/>
      <c r="W657" s="89"/>
      <c r="X657" s="89"/>
      <c r="Y657" s="89"/>
      <c r="Z657" s="89"/>
      <c r="AA657" s="89"/>
      <c r="AB657" s="89"/>
      <c r="AC657" s="89"/>
      <c r="AD657" s="89"/>
      <c r="AE657" s="89"/>
      <c r="AF657" s="89"/>
      <c r="AG657" s="89"/>
      <c r="AH657" s="89"/>
      <c r="AI657" s="89"/>
      <c r="AJ657" s="89"/>
      <c r="AK657" s="89"/>
      <c r="AL657" s="89"/>
      <c r="AM657" s="89"/>
      <c r="AN657" s="89"/>
      <c r="AO657" s="89"/>
      <c r="AP657" s="89"/>
      <c r="AQ657" s="89"/>
      <c r="AR657" s="89"/>
      <c r="AS657" s="89"/>
      <c r="AT657" s="89"/>
      <c r="AU657" s="89"/>
      <c r="AV657" s="89"/>
      <c r="AW657" s="89"/>
      <c r="AX657" s="89"/>
      <c r="AY657" s="89"/>
      <c r="AZ657" s="89"/>
      <c r="BA657" s="95"/>
    </row>
    <row r="658" spans="1:53" s="87" customFormat="1">
      <c r="A658" s="90" t="str">
        <f t="shared" si="35"/>
        <v/>
      </c>
      <c r="B658" s="89"/>
      <c r="C658" s="89"/>
      <c r="D658" s="89"/>
      <c r="E658" s="89"/>
      <c r="F658" s="89"/>
      <c r="G658" s="89"/>
      <c r="H658" s="89"/>
      <c r="I658" s="89"/>
      <c r="J658" s="89"/>
      <c r="K658" s="89"/>
      <c r="L658" s="89"/>
      <c r="M658" s="89"/>
      <c r="N658" s="89"/>
      <c r="O658" s="89"/>
      <c r="P658" s="89"/>
      <c r="Q658" s="89"/>
      <c r="R658" s="89"/>
      <c r="S658" s="89"/>
      <c r="T658" s="89"/>
      <c r="U658" s="89"/>
      <c r="V658" s="89"/>
      <c r="W658" s="89"/>
      <c r="X658" s="89"/>
      <c r="Y658" s="89"/>
      <c r="Z658" s="89"/>
      <c r="AA658" s="89"/>
      <c r="AB658" s="89"/>
      <c r="AC658" s="89"/>
      <c r="AD658" s="89"/>
      <c r="AE658" s="89"/>
      <c r="AF658" s="89"/>
      <c r="AG658" s="89"/>
      <c r="AH658" s="89"/>
      <c r="AI658" s="89"/>
      <c r="AJ658" s="89"/>
      <c r="AK658" s="89"/>
      <c r="AL658" s="89"/>
      <c r="AM658" s="89"/>
      <c r="AN658" s="89"/>
      <c r="AO658" s="89"/>
      <c r="AP658" s="89"/>
      <c r="AQ658" s="89"/>
      <c r="AR658" s="89"/>
      <c r="AS658" s="89"/>
      <c r="AT658" s="89"/>
      <c r="AU658" s="89"/>
      <c r="AV658" s="89"/>
      <c r="AW658" s="89"/>
      <c r="AX658" s="89"/>
      <c r="AY658" s="89"/>
      <c r="AZ658" s="89"/>
      <c r="BA658" s="95"/>
    </row>
    <row r="659" spans="1:53" s="87" customFormat="1">
      <c r="A659" s="90" t="str">
        <f t="shared" si="35"/>
        <v/>
      </c>
      <c r="B659" s="89"/>
      <c r="C659" s="89"/>
      <c r="D659" s="89"/>
      <c r="E659" s="89"/>
      <c r="F659" s="89"/>
      <c r="G659" s="89"/>
      <c r="H659" s="89"/>
      <c r="I659" s="89"/>
      <c r="J659" s="89"/>
      <c r="K659" s="89"/>
      <c r="L659" s="89"/>
      <c r="M659" s="89"/>
      <c r="N659" s="89"/>
      <c r="O659" s="89"/>
      <c r="P659" s="89"/>
      <c r="Q659" s="89"/>
      <c r="R659" s="89"/>
      <c r="S659" s="89"/>
      <c r="T659" s="89"/>
      <c r="U659" s="89"/>
      <c r="V659" s="89"/>
      <c r="W659" s="89"/>
      <c r="X659" s="89"/>
      <c r="Y659" s="89"/>
      <c r="Z659" s="89"/>
      <c r="AA659" s="89"/>
      <c r="AB659" s="89"/>
      <c r="AC659" s="89"/>
      <c r="AD659" s="89"/>
      <c r="AE659" s="89"/>
      <c r="AF659" s="89"/>
      <c r="AG659" s="89"/>
      <c r="AH659" s="89"/>
      <c r="AI659" s="89"/>
      <c r="AJ659" s="89"/>
      <c r="AK659" s="89"/>
      <c r="AL659" s="89"/>
      <c r="AM659" s="89"/>
      <c r="AN659" s="89"/>
      <c r="AO659" s="89"/>
      <c r="AP659" s="89"/>
      <c r="AQ659" s="89"/>
      <c r="AR659" s="89"/>
      <c r="AS659" s="89"/>
      <c r="AT659" s="89"/>
      <c r="AU659" s="89"/>
      <c r="AV659" s="89"/>
      <c r="AW659" s="89"/>
      <c r="AX659" s="89"/>
      <c r="AY659" s="89"/>
      <c r="AZ659" s="89"/>
      <c r="BA659" s="95"/>
    </row>
    <row r="660" spans="1:53" s="87" customFormat="1">
      <c r="A660" s="90" t="str">
        <f t="shared" si="35"/>
        <v/>
      </c>
      <c r="B660" s="89"/>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c r="AA660" s="89"/>
      <c r="AB660" s="89"/>
      <c r="AC660" s="89"/>
      <c r="AD660" s="89"/>
      <c r="AE660" s="89"/>
      <c r="AF660" s="89"/>
      <c r="AG660" s="89"/>
      <c r="AH660" s="89"/>
      <c r="AI660" s="89"/>
      <c r="AJ660" s="89"/>
      <c r="AK660" s="89"/>
      <c r="AL660" s="89"/>
      <c r="AM660" s="89"/>
      <c r="AN660" s="89"/>
      <c r="AO660" s="89"/>
      <c r="AP660" s="89"/>
      <c r="AQ660" s="89"/>
      <c r="AR660" s="89"/>
      <c r="AS660" s="89"/>
      <c r="AT660" s="89"/>
      <c r="AU660" s="89"/>
      <c r="AV660" s="89"/>
      <c r="AW660" s="89"/>
      <c r="AX660" s="89"/>
      <c r="AY660" s="89"/>
      <c r="AZ660" s="89"/>
      <c r="BA660" s="95"/>
    </row>
    <row r="661" spans="1:53" s="87" customFormat="1">
      <c r="A661" s="90" t="str">
        <f t="shared" si="35"/>
        <v/>
      </c>
      <c r="B661" s="89"/>
      <c r="C661" s="89"/>
      <c r="D661" s="89"/>
      <c r="E661" s="89"/>
      <c r="F661" s="89"/>
      <c r="G661" s="89"/>
      <c r="H661" s="89"/>
      <c r="I661" s="89"/>
      <c r="J661" s="89"/>
      <c r="K661" s="89"/>
      <c r="L661" s="89"/>
      <c r="M661" s="89"/>
      <c r="N661" s="89"/>
      <c r="O661" s="89"/>
      <c r="P661" s="89"/>
      <c r="Q661" s="89"/>
      <c r="R661" s="89"/>
      <c r="S661" s="89"/>
      <c r="T661" s="89"/>
      <c r="U661" s="89"/>
      <c r="V661" s="89"/>
      <c r="W661" s="89"/>
      <c r="X661" s="89"/>
      <c r="Y661" s="89"/>
      <c r="Z661" s="89"/>
      <c r="AA661" s="89"/>
      <c r="AB661" s="89"/>
      <c r="AC661" s="89"/>
      <c r="AD661" s="89"/>
      <c r="AE661" s="89"/>
      <c r="AF661" s="89"/>
      <c r="AG661" s="89"/>
      <c r="AH661" s="89"/>
      <c r="AI661" s="89"/>
      <c r="AJ661" s="89"/>
      <c r="AK661" s="89"/>
      <c r="AL661" s="89"/>
      <c r="AM661" s="89"/>
      <c r="AN661" s="89"/>
      <c r="AO661" s="89"/>
      <c r="AP661" s="89"/>
      <c r="AQ661" s="89"/>
      <c r="AR661" s="89"/>
      <c r="AS661" s="89"/>
      <c r="AT661" s="89"/>
      <c r="AU661" s="89"/>
      <c r="AV661" s="89"/>
      <c r="AW661" s="89"/>
      <c r="AX661" s="89"/>
      <c r="AY661" s="89"/>
      <c r="AZ661" s="89"/>
      <c r="BA661" s="95"/>
    </row>
    <row r="662" spans="1:53" s="87" customFormat="1">
      <c r="A662" s="90" t="str">
        <f t="shared" si="35"/>
        <v/>
      </c>
      <c r="B662" s="89"/>
      <c r="C662" s="89"/>
      <c r="D662" s="89"/>
      <c r="E662" s="89"/>
      <c r="F662" s="89"/>
      <c r="G662" s="89"/>
      <c r="H662" s="89"/>
      <c r="I662" s="89"/>
      <c r="J662" s="89"/>
      <c r="K662" s="89"/>
      <c r="L662" s="89"/>
      <c r="M662" s="89"/>
      <c r="N662" s="89"/>
      <c r="O662" s="89"/>
      <c r="P662" s="89"/>
      <c r="Q662" s="89"/>
      <c r="R662" s="89"/>
      <c r="S662" s="89"/>
      <c r="T662" s="89"/>
      <c r="U662" s="89"/>
      <c r="V662" s="89"/>
      <c r="W662" s="89"/>
      <c r="X662" s="89"/>
      <c r="Y662" s="89"/>
      <c r="Z662" s="89"/>
      <c r="AA662" s="89"/>
      <c r="AB662" s="89"/>
      <c r="AC662" s="89"/>
      <c r="AD662" s="89"/>
      <c r="AE662" s="89"/>
      <c r="AF662" s="89"/>
      <c r="AG662" s="89"/>
      <c r="AH662" s="89"/>
      <c r="AI662" s="89"/>
      <c r="AJ662" s="89"/>
      <c r="AK662" s="89"/>
      <c r="AL662" s="89"/>
      <c r="AM662" s="89"/>
      <c r="AN662" s="89"/>
      <c r="AO662" s="89"/>
      <c r="AP662" s="89"/>
      <c r="AQ662" s="89"/>
      <c r="AR662" s="89"/>
      <c r="AS662" s="89"/>
      <c r="AT662" s="89"/>
      <c r="AU662" s="89"/>
      <c r="AV662" s="89"/>
      <c r="AW662" s="89"/>
      <c r="AX662" s="89"/>
      <c r="AY662" s="89"/>
      <c r="AZ662" s="89"/>
      <c r="BA662" s="95"/>
    </row>
    <row r="663" spans="1:53" s="87" customFormat="1">
      <c r="A663" s="90" t="str">
        <f t="shared" si="35"/>
        <v/>
      </c>
      <c r="B663" s="89"/>
      <c r="C663" s="89"/>
      <c r="D663" s="89"/>
      <c r="E663" s="89"/>
      <c r="F663" s="89"/>
      <c r="G663" s="89"/>
      <c r="H663" s="89"/>
      <c r="I663" s="89"/>
      <c r="J663" s="89"/>
      <c r="K663" s="89"/>
      <c r="L663" s="89"/>
      <c r="M663" s="89"/>
      <c r="N663" s="89"/>
      <c r="O663" s="89"/>
      <c r="P663" s="89"/>
      <c r="Q663" s="89"/>
      <c r="R663" s="89"/>
      <c r="S663" s="89"/>
      <c r="T663" s="89"/>
      <c r="U663" s="89"/>
      <c r="V663" s="89"/>
      <c r="W663" s="89"/>
      <c r="X663" s="89"/>
      <c r="Y663" s="89"/>
      <c r="Z663" s="89"/>
      <c r="AA663" s="89"/>
      <c r="AB663" s="89"/>
      <c r="AC663" s="89"/>
      <c r="AD663" s="89"/>
      <c r="AE663" s="89"/>
      <c r="AF663" s="89"/>
      <c r="AG663" s="89"/>
      <c r="AH663" s="89"/>
      <c r="AI663" s="89"/>
      <c r="AJ663" s="89"/>
      <c r="AK663" s="89"/>
      <c r="AL663" s="89"/>
      <c r="AM663" s="89"/>
      <c r="AN663" s="89"/>
      <c r="AO663" s="89"/>
      <c r="AP663" s="89"/>
      <c r="AQ663" s="89"/>
      <c r="AR663" s="89"/>
      <c r="AS663" s="89"/>
      <c r="AT663" s="89"/>
      <c r="AU663" s="89"/>
      <c r="AV663" s="89"/>
      <c r="AW663" s="89"/>
      <c r="AX663" s="89"/>
      <c r="AY663" s="89"/>
      <c r="AZ663" s="89"/>
      <c r="BA663" s="95"/>
    </row>
    <row r="664" spans="1:53" s="87" customFormat="1">
      <c r="A664" s="90" t="str">
        <f t="shared" si="35"/>
        <v/>
      </c>
      <c r="B664" s="89"/>
      <c r="C664" s="89"/>
      <c r="D664" s="89"/>
      <c r="E664" s="89"/>
      <c r="F664" s="89"/>
      <c r="G664" s="89"/>
      <c r="H664" s="89"/>
      <c r="I664" s="89"/>
      <c r="J664" s="89"/>
      <c r="K664" s="89"/>
      <c r="L664" s="89"/>
      <c r="M664" s="89"/>
      <c r="N664" s="89"/>
      <c r="O664" s="89"/>
      <c r="P664" s="89"/>
      <c r="Q664" s="89"/>
      <c r="R664" s="89"/>
      <c r="S664" s="89"/>
      <c r="T664" s="89"/>
      <c r="U664" s="89"/>
      <c r="V664" s="89"/>
      <c r="W664" s="89"/>
      <c r="X664" s="89"/>
      <c r="Y664" s="89"/>
      <c r="Z664" s="89"/>
      <c r="AA664" s="89"/>
      <c r="AB664" s="89"/>
      <c r="AC664" s="89"/>
      <c r="AD664" s="89"/>
      <c r="AE664" s="89"/>
      <c r="AF664" s="89"/>
      <c r="AG664" s="89"/>
      <c r="AH664" s="89"/>
      <c r="AI664" s="89"/>
      <c r="AJ664" s="89"/>
      <c r="AK664" s="89"/>
      <c r="AL664" s="89"/>
      <c r="AM664" s="89"/>
      <c r="AN664" s="89"/>
      <c r="AO664" s="89"/>
      <c r="AP664" s="89"/>
      <c r="AQ664" s="89"/>
      <c r="AR664" s="89"/>
      <c r="AS664" s="89"/>
      <c r="AT664" s="89"/>
      <c r="AU664" s="89"/>
      <c r="AV664" s="89"/>
      <c r="AW664" s="89"/>
      <c r="AX664" s="89"/>
      <c r="AY664" s="89"/>
      <c r="AZ664" s="89"/>
      <c r="BA664" s="95"/>
    </row>
    <row r="665" spans="1:53" s="87" customFormat="1">
      <c r="A665" s="90" t="str">
        <f t="shared" si="35"/>
        <v/>
      </c>
      <c r="B665" s="89"/>
      <c r="C665" s="89"/>
      <c r="D665" s="89"/>
      <c r="E665" s="89"/>
      <c r="F665" s="89"/>
      <c r="G665" s="89"/>
      <c r="H665" s="89"/>
      <c r="I665" s="89"/>
      <c r="J665" s="89"/>
      <c r="K665" s="89"/>
      <c r="L665" s="89"/>
      <c r="M665" s="89"/>
      <c r="N665" s="89"/>
      <c r="O665" s="89"/>
      <c r="P665" s="89"/>
      <c r="Q665" s="89"/>
      <c r="R665" s="89"/>
      <c r="S665" s="89"/>
      <c r="T665" s="89"/>
      <c r="U665" s="89"/>
      <c r="V665" s="89"/>
      <c r="W665" s="89"/>
      <c r="X665" s="89"/>
      <c r="Y665" s="89"/>
      <c r="Z665" s="89"/>
      <c r="AA665" s="89"/>
      <c r="AB665" s="89"/>
      <c r="AC665" s="89"/>
      <c r="AD665" s="89"/>
      <c r="AE665" s="89"/>
      <c r="AF665" s="89"/>
      <c r="AG665" s="89"/>
      <c r="AH665" s="89"/>
      <c r="AI665" s="89"/>
      <c r="AJ665" s="89"/>
      <c r="AK665" s="89"/>
      <c r="AL665" s="89"/>
      <c r="AM665" s="89"/>
      <c r="AN665" s="89"/>
      <c r="AO665" s="89"/>
      <c r="AP665" s="89"/>
      <c r="AQ665" s="89"/>
      <c r="AR665" s="89"/>
      <c r="AS665" s="89"/>
      <c r="AT665" s="89"/>
      <c r="AU665" s="89"/>
      <c r="AV665" s="89"/>
      <c r="AW665" s="89"/>
      <c r="AX665" s="89"/>
      <c r="AY665" s="89"/>
      <c r="AZ665" s="89"/>
      <c r="BA665" s="95"/>
    </row>
    <row r="666" spans="1:53" s="87" customFormat="1">
      <c r="A666" s="90" t="str">
        <f t="shared" si="35"/>
        <v/>
      </c>
      <c r="B666" s="89"/>
      <c r="C666" s="89"/>
      <c r="D666" s="89"/>
      <c r="E666" s="89"/>
      <c r="F666" s="89"/>
      <c r="G666" s="89"/>
      <c r="H666" s="89"/>
      <c r="I666" s="89"/>
      <c r="J666" s="89"/>
      <c r="K666" s="89"/>
      <c r="L666" s="89"/>
      <c r="M666" s="89"/>
      <c r="N666" s="89"/>
      <c r="O666" s="89"/>
      <c r="P666" s="89"/>
      <c r="Q666" s="89"/>
      <c r="R666" s="89"/>
      <c r="S666" s="89"/>
      <c r="T666" s="89"/>
      <c r="U666" s="89"/>
      <c r="V666" s="89"/>
      <c r="W666" s="89"/>
      <c r="X666" s="89"/>
      <c r="Y666" s="89"/>
      <c r="Z666" s="89"/>
      <c r="AA666" s="89"/>
      <c r="AB666" s="89"/>
      <c r="AC666" s="89"/>
      <c r="AD666" s="89"/>
      <c r="AE666" s="89"/>
      <c r="AF666" s="89"/>
      <c r="AG666" s="89"/>
      <c r="AH666" s="89"/>
      <c r="AI666" s="89"/>
      <c r="AJ666" s="89"/>
      <c r="AK666" s="89"/>
      <c r="AL666" s="89"/>
      <c r="AM666" s="89"/>
      <c r="AN666" s="89"/>
      <c r="AO666" s="89"/>
      <c r="AP666" s="89"/>
      <c r="AQ666" s="89"/>
      <c r="AR666" s="89"/>
      <c r="AS666" s="89"/>
      <c r="AT666" s="89"/>
      <c r="AU666" s="89"/>
      <c r="AV666" s="89"/>
      <c r="AW666" s="89"/>
      <c r="AX666" s="89"/>
      <c r="AY666" s="89"/>
      <c r="AZ666" s="89"/>
      <c r="BA666" s="95"/>
    </row>
    <row r="667" spans="1:53" s="87" customFormat="1">
      <c r="A667" s="90" t="str">
        <f t="shared" si="35"/>
        <v/>
      </c>
      <c r="B667" s="89"/>
      <c r="C667" s="89"/>
      <c r="D667" s="89"/>
      <c r="E667" s="89"/>
      <c r="F667" s="89"/>
      <c r="G667" s="89"/>
      <c r="H667" s="89"/>
      <c r="I667" s="89"/>
      <c r="J667" s="89"/>
      <c r="K667" s="89"/>
      <c r="L667" s="89"/>
      <c r="M667" s="89"/>
      <c r="N667" s="89"/>
      <c r="O667" s="89"/>
      <c r="P667" s="89"/>
      <c r="Q667" s="89"/>
      <c r="R667" s="89"/>
      <c r="S667" s="89"/>
      <c r="T667" s="89"/>
      <c r="U667" s="89"/>
      <c r="V667" s="89"/>
      <c r="W667" s="89"/>
      <c r="X667" s="89"/>
      <c r="Y667" s="89"/>
      <c r="Z667" s="89"/>
      <c r="AA667" s="89"/>
      <c r="AB667" s="89"/>
      <c r="AC667" s="89"/>
      <c r="AD667" s="89"/>
      <c r="AE667" s="89"/>
      <c r="AF667" s="89"/>
      <c r="AG667" s="89"/>
      <c r="AH667" s="89"/>
      <c r="AI667" s="89"/>
      <c r="AJ667" s="89"/>
      <c r="AK667" s="89"/>
      <c r="AL667" s="89"/>
      <c r="AM667" s="89"/>
      <c r="AN667" s="89"/>
      <c r="AO667" s="89"/>
      <c r="AP667" s="89"/>
      <c r="AQ667" s="89"/>
      <c r="AR667" s="89"/>
      <c r="AS667" s="89"/>
      <c r="AT667" s="89"/>
      <c r="AU667" s="89"/>
      <c r="AV667" s="89"/>
      <c r="AW667" s="89"/>
      <c r="AX667" s="89"/>
      <c r="AY667" s="89"/>
      <c r="AZ667" s="89"/>
      <c r="BA667" s="95"/>
    </row>
    <row r="668" spans="1:53" s="87" customFormat="1">
      <c r="A668" s="90" t="str">
        <f t="shared" si="35"/>
        <v/>
      </c>
      <c r="B668" s="89"/>
      <c r="C668" s="89"/>
      <c r="D668" s="89"/>
      <c r="E668" s="89"/>
      <c r="F668" s="89"/>
      <c r="G668" s="89"/>
      <c r="H668" s="89"/>
      <c r="I668" s="89"/>
      <c r="J668" s="89"/>
      <c r="K668" s="89"/>
      <c r="L668" s="89"/>
      <c r="M668" s="89"/>
      <c r="N668" s="89"/>
      <c r="O668" s="89"/>
      <c r="P668" s="89"/>
      <c r="Q668" s="89"/>
      <c r="R668" s="89"/>
      <c r="S668" s="89"/>
      <c r="T668" s="89"/>
      <c r="U668" s="89"/>
      <c r="V668" s="89"/>
      <c r="W668" s="89"/>
      <c r="X668" s="89"/>
      <c r="Y668" s="89"/>
      <c r="Z668" s="89"/>
      <c r="AA668" s="89"/>
      <c r="AB668" s="89"/>
      <c r="AC668" s="89"/>
      <c r="AD668" s="89"/>
      <c r="AE668" s="89"/>
      <c r="AF668" s="89"/>
      <c r="AG668" s="89"/>
      <c r="AH668" s="89"/>
      <c r="AI668" s="89"/>
      <c r="AJ668" s="89"/>
      <c r="AK668" s="89"/>
      <c r="AL668" s="89"/>
      <c r="AM668" s="89"/>
      <c r="AN668" s="89"/>
      <c r="AO668" s="89"/>
      <c r="AP668" s="89"/>
      <c r="AQ668" s="89"/>
      <c r="AR668" s="89"/>
      <c r="AS668" s="89"/>
      <c r="AT668" s="89"/>
      <c r="AU668" s="89"/>
      <c r="AV668" s="89"/>
      <c r="AW668" s="89"/>
      <c r="AX668" s="89"/>
      <c r="AY668" s="89"/>
      <c r="AZ668" s="89"/>
      <c r="BA668" s="95"/>
    </row>
    <row r="669" spans="1:53" s="87" customFormat="1">
      <c r="A669" s="90" t="str">
        <f t="shared" si="35"/>
        <v/>
      </c>
      <c r="B669" s="89"/>
      <c r="C669" s="89"/>
      <c r="D669" s="89"/>
      <c r="E669" s="89"/>
      <c r="F669" s="89"/>
      <c r="G669" s="89"/>
      <c r="H669" s="89"/>
      <c r="I669" s="89"/>
      <c r="J669" s="89"/>
      <c r="K669" s="89"/>
      <c r="L669" s="89"/>
      <c r="M669" s="89"/>
      <c r="N669" s="89"/>
      <c r="O669" s="89"/>
      <c r="P669" s="89"/>
      <c r="Q669" s="89"/>
      <c r="R669" s="89"/>
      <c r="S669" s="89"/>
      <c r="T669" s="89"/>
      <c r="U669" s="89"/>
      <c r="V669" s="89"/>
      <c r="W669" s="89"/>
      <c r="X669" s="89"/>
      <c r="Y669" s="89"/>
      <c r="Z669" s="89"/>
      <c r="AA669" s="89"/>
      <c r="AB669" s="89"/>
      <c r="AC669" s="89"/>
      <c r="AD669" s="89"/>
      <c r="AE669" s="89"/>
      <c r="AF669" s="89"/>
      <c r="AG669" s="89"/>
      <c r="AH669" s="89"/>
      <c r="AI669" s="89"/>
      <c r="AJ669" s="89"/>
      <c r="AK669" s="89"/>
      <c r="AL669" s="89"/>
      <c r="AM669" s="89"/>
      <c r="AN669" s="89"/>
      <c r="AO669" s="89"/>
      <c r="AP669" s="89"/>
      <c r="AQ669" s="89"/>
      <c r="AR669" s="89"/>
      <c r="AS669" s="89"/>
      <c r="AT669" s="89"/>
      <c r="AU669" s="89"/>
      <c r="AV669" s="89"/>
      <c r="AW669" s="89"/>
      <c r="AX669" s="89"/>
      <c r="AY669" s="89"/>
      <c r="AZ669" s="89"/>
      <c r="BA669" s="95"/>
    </row>
    <row r="670" spans="1:53" s="87" customFormat="1">
      <c r="A670" s="90" t="str">
        <f t="shared" si="35"/>
        <v/>
      </c>
      <c r="B670" s="89"/>
      <c r="C670" s="89"/>
      <c r="D670" s="89"/>
      <c r="E670" s="89"/>
      <c r="F670" s="89"/>
      <c r="G670" s="89"/>
      <c r="H670" s="89"/>
      <c r="I670" s="89"/>
      <c r="J670" s="89"/>
      <c r="K670" s="89"/>
      <c r="L670" s="89"/>
      <c r="M670" s="89"/>
      <c r="N670" s="89"/>
      <c r="O670" s="89"/>
      <c r="P670" s="89"/>
      <c r="Q670" s="89"/>
      <c r="R670" s="89"/>
      <c r="S670" s="89"/>
      <c r="T670" s="89"/>
      <c r="U670" s="89"/>
      <c r="V670" s="89"/>
      <c r="W670" s="89"/>
      <c r="X670" s="89"/>
      <c r="Y670" s="89"/>
      <c r="Z670" s="89"/>
      <c r="AA670" s="89"/>
      <c r="AB670" s="89"/>
      <c r="AC670" s="89"/>
      <c r="AD670" s="89"/>
      <c r="AE670" s="89"/>
      <c r="AF670" s="89"/>
      <c r="AG670" s="89"/>
      <c r="AH670" s="89"/>
      <c r="AI670" s="89"/>
      <c r="AJ670" s="89"/>
      <c r="AK670" s="89"/>
      <c r="AL670" s="89"/>
      <c r="AM670" s="89"/>
      <c r="AN670" s="89"/>
      <c r="AO670" s="89"/>
      <c r="AP670" s="89"/>
      <c r="AQ670" s="89"/>
      <c r="AR670" s="89"/>
      <c r="AS670" s="89"/>
      <c r="AT670" s="89"/>
      <c r="AU670" s="89"/>
      <c r="AV670" s="89"/>
      <c r="AW670" s="89"/>
      <c r="AX670" s="89"/>
      <c r="AY670" s="89"/>
      <c r="AZ670" s="89"/>
      <c r="BA670" s="95"/>
    </row>
    <row r="671" spans="1:53" s="87" customFormat="1">
      <c r="A671" s="90" t="str">
        <f t="shared" si="35"/>
        <v/>
      </c>
      <c r="B671" s="89"/>
      <c r="C671" s="89"/>
      <c r="D671" s="89"/>
      <c r="E671" s="89"/>
      <c r="F671" s="89"/>
      <c r="G671" s="89"/>
      <c r="H671" s="89"/>
      <c r="I671" s="89"/>
      <c r="J671" s="89"/>
      <c r="K671" s="89"/>
      <c r="L671" s="89"/>
      <c r="M671" s="89"/>
      <c r="N671" s="89"/>
      <c r="O671" s="89"/>
      <c r="P671" s="89"/>
      <c r="Q671" s="89"/>
      <c r="R671" s="89"/>
      <c r="S671" s="89"/>
      <c r="T671" s="89"/>
      <c r="U671" s="89"/>
      <c r="V671" s="89"/>
      <c r="W671" s="89"/>
      <c r="X671" s="89"/>
      <c r="Y671" s="89"/>
      <c r="Z671" s="89"/>
      <c r="AA671" s="89"/>
      <c r="AB671" s="89"/>
      <c r="AC671" s="89"/>
      <c r="AD671" s="89"/>
      <c r="AE671" s="89"/>
      <c r="AF671" s="89"/>
      <c r="AG671" s="89"/>
      <c r="AH671" s="89"/>
      <c r="AI671" s="89"/>
      <c r="AJ671" s="89"/>
      <c r="AK671" s="89"/>
      <c r="AL671" s="89"/>
      <c r="AM671" s="89"/>
      <c r="AN671" s="89"/>
      <c r="AO671" s="89"/>
      <c r="AP671" s="89"/>
      <c r="AQ671" s="89"/>
      <c r="AR671" s="89"/>
      <c r="AS671" s="89"/>
      <c r="AT671" s="89"/>
      <c r="AU671" s="89"/>
      <c r="AV671" s="89"/>
      <c r="AW671" s="89"/>
      <c r="AX671" s="89"/>
      <c r="AY671" s="89"/>
      <c r="AZ671" s="89"/>
      <c r="BA671" s="95"/>
    </row>
    <row r="672" spans="1:53" s="87" customFormat="1">
      <c r="A672" s="90" t="str">
        <f t="shared" si="35"/>
        <v/>
      </c>
      <c r="B672" s="89"/>
      <c r="C672" s="89"/>
      <c r="D672" s="89"/>
      <c r="E672" s="89"/>
      <c r="F672" s="89"/>
      <c r="G672" s="89"/>
      <c r="H672" s="89"/>
      <c r="I672" s="89"/>
      <c r="J672" s="89"/>
      <c r="K672" s="89"/>
      <c r="L672" s="89"/>
      <c r="M672" s="89"/>
      <c r="N672" s="89"/>
      <c r="O672" s="89"/>
      <c r="P672" s="89"/>
      <c r="Q672" s="89"/>
      <c r="R672" s="89"/>
      <c r="S672" s="89"/>
      <c r="T672" s="89"/>
      <c r="U672" s="89"/>
      <c r="V672" s="89"/>
      <c r="W672" s="89"/>
      <c r="X672" s="89"/>
      <c r="Y672" s="89"/>
      <c r="Z672" s="89"/>
      <c r="AA672" s="89"/>
      <c r="AB672" s="89"/>
      <c r="AC672" s="89"/>
      <c r="AD672" s="89"/>
      <c r="AE672" s="89"/>
      <c r="AF672" s="89"/>
      <c r="AG672" s="89"/>
      <c r="AH672" s="89"/>
      <c r="AI672" s="89"/>
      <c r="AJ672" s="89"/>
      <c r="AK672" s="89"/>
      <c r="AL672" s="89"/>
      <c r="AM672" s="89"/>
      <c r="AN672" s="89"/>
      <c r="AO672" s="89"/>
      <c r="AP672" s="89"/>
      <c r="AQ672" s="89"/>
      <c r="AR672" s="89"/>
      <c r="AS672" s="89"/>
      <c r="AT672" s="89"/>
      <c r="AU672" s="89"/>
      <c r="AV672" s="89"/>
      <c r="AW672" s="89"/>
      <c r="AX672" s="89"/>
      <c r="AY672" s="89"/>
      <c r="AZ672" s="89"/>
      <c r="BA672" s="95"/>
    </row>
    <row r="673" spans="1:53" s="87" customFormat="1">
      <c r="A673" s="90" t="str">
        <f t="shared" si="35"/>
        <v/>
      </c>
      <c r="B673" s="89"/>
      <c r="C673" s="89"/>
      <c r="D673" s="89"/>
      <c r="E673" s="89"/>
      <c r="F673" s="89"/>
      <c r="G673" s="89"/>
      <c r="H673" s="89"/>
      <c r="I673" s="89"/>
      <c r="J673" s="89"/>
      <c r="K673" s="89"/>
      <c r="L673" s="89"/>
      <c r="M673" s="89"/>
      <c r="N673" s="89"/>
      <c r="O673" s="89"/>
      <c r="P673" s="89"/>
      <c r="Q673" s="89"/>
      <c r="R673" s="89"/>
      <c r="S673" s="89"/>
      <c r="T673" s="89"/>
      <c r="U673" s="89"/>
      <c r="V673" s="89"/>
      <c r="W673" s="89"/>
      <c r="X673" s="89"/>
      <c r="Y673" s="89"/>
      <c r="Z673" s="89"/>
      <c r="AA673" s="89"/>
      <c r="AB673" s="89"/>
      <c r="AC673" s="89"/>
      <c r="AD673" s="89"/>
      <c r="AE673" s="89"/>
      <c r="AF673" s="89"/>
      <c r="AG673" s="89"/>
      <c r="AH673" s="89"/>
      <c r="AI673" s="89"/>
      <c r="AJ673" s="89"/>
      <c r="AK673" s="89"/>
      <c r="AL673" s="89"/>
      <c r="AM673" s="89"/>
      <c r="AN673" s="89"/>
      <c r="AO673" s="89"/>
      <c r="AP673" s="89"/>
      <c r="AQ673" s="89"/>
      <c r="AR673" s="89"/>
      <c r="AS673" s="89"/>
      <c r="AT673" s="89"/>
      <c r="AU673" s="89"/>
      <c r="AV673" s="89"/>
      <c r="AW673" s="89"/>
      <c r="AX673" s="89"/>
      <c r="AY673" s="89"/>
      <c r="AZ673" s="89"/>
      <c r="BA673" s="95"/>
    </row>
    <row r="674" spans="1:53" s="87" customFormat="1">
      <c r="A674" s="90" t="str">
        <f t="shared" si="35"/>
        <v/>
      </c>
      <c r="B674" s="89"/>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c r="AA674" s="89"/>
      <c r="AB674" s="89"/>
      <c r="AC674" s="89"/>
      <c r="AD674" s="89"/>
      <c r="AE674" s="89"/>
      <c r="AF674" s="89"/>
      <c r="AG674" s="89"/>
      <c r="AH674" s="89"/>
      <c r="AI674" s="89"/>
      <c r="AJ674" s="89"/>
      <c r="AK674" s="89"/>
      <c r="AL674" s="89"/>
      <c r="AM674" s="89"/>
      <c r="AN674" s="89"/>
      <c r="AO674" s="89"/>
      <c r="AP674" s="89"/>
      <c r="AQ674" s="89"/>
      <c r="AR674" s="89"/>
      <c r="AS674" s="89"/>
      <c r="AT674" s="89"/>
      <c r="AU674" s="89"/>
      <c r="AV674" s="89"/>
      <c r="AW674" s="89"/>
      <c r="AX674" s="89"/>
      <c r="AY674" s="89"/>
      <c r="AZ674" s="89"/>
      <c r="BA674" s="95"/>
    </row>
    <row r="675" spans="1:53" s="87" customFormat="1">
      <c r="A675" s="90" t="str">
        <f t="shared" si="35"/>
        <v/>
      </c>
      <c r="B675" s="89"/>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c r="AA675" s="89"/>
      <c r="AB675" s="89"/>
      <c r="AC675" s="89"/>
      <c r="AD675" s="89"/>
      <c r="AE675" s="89"/>
      <c r="AF675" s="89"/>
      <c r="AG675" s="89"/>
      <c r="AH675" s="89"/>
      <c r="AI675" s="89"/>
      <c r="AJ675" s="89"/>
      <c r="AK675" s="89"/>
      <c r="AL675" s="89"/>
      <c r="AM675" s="89"/>
      <c r="AN675" s="89"/>
      <c r="AO675" s="89"/>
      <c r="AP675" s="89"/>
      <c r="AQ675" s="89"/>
      <c r="AR675" s="89"/>
      <c r="AS675" s="89"/>
      <c r="AT675" s="89"/>
      <c r="AU675" s="89"/>
      <c r="AV675" s="89"/>
      <c r="AW675" s="89"/>
      <c r="AX675" s="89"/>
      <c r="AY675" s="89"/>
      <c r="AZ675" s="89"/>
      <c r="BA675" s="95"/>
    </row>
    <row r="676" spans="1:53" s="87" customFormat="1">
      <c r="A676" s="90" t="str">
        <f t="shared" si="35"/>
        <v/>
      </c>
      <c r="B676" s="89"/>
      <c r="C676" s="89"/>
      <c r="D676" s="89"/>
      <c r="E676" s="89"/>
      <c r="F676" s="89"/>
      <c r="G676" s="89"/>
      <c r="H676" s="89"/>
      <c r="I676" s="89"/>
      <c r="J676" s="89"/>
      <c r="K676" s="89"/>
      <c r="L676" s="89"/>
      <c r="M676" s="89"/>
      <c r="N676" s="89"/>
      <c r="O676" s="89"/>
      <c r="P676" s="89"/>
      <c r="Q676" s="89"/>
      <c r="R676" s="89"/>
      <c r="S676" s="89"/>
      <c r="T676" s="89"/>
      <c r="U676" s="89"/>
      <c r="V676" s="89"/>
      <c r="W676" s="89"/>
      <c r="X676" s="89"/>
      <c r="Y676" s="89"/>
      <c r="Z676" s="89"/>
      <c r="AA676" s="89"/>
      <c r="AB676" s="89"/>
      <c r="AC676" s="89"/>
      <c r="AD676" s="89"/>
      <c r="AE676" s="89"/>
      <c r="AF676" s="89"/>
      <c r="AG676" s="89"/>
      <c r="AH676" s="89"/>
      <c r="AI676" s="89"/>
      <c r="AJ676" s="89"/>
      <c r="AK676" s="89"/>
      <c r="AL676" s="89"/>
      <c r="AM676" s="89"/>
      <c r="AN676" s="89"/>
      <c r="AO676" s="89"/>
      <c r="AP676" s="89"/>
      <c r="AQ676" s="89"/>
      <c r="AR676" s="89"/>
      <c r="AS676" s="89"/>
      <c r="AT676" s="89"/>
      <c r="AU676" s="89"/>
      <c r="AV676" s="89"/>
      <c r="AW676" s="89"/>
      <c r="AX676" s="89"/>
      <c r="AY676" s="89"/>
      <c r="AZ676" s="89"/>
      <c r="BA676" s="95"/>
    </row>
    <row r="677" spans="1:53" s="87" customFormat="1">
      <c r="A677" s="90" t="str">
        <f t="shared" si="35"/>
        <v/>
      </c>
      <c r="B677" s="89"/>
      <c r="C677" s="89"/>
      <c r="D677" s="89"/>
      <c r="E677" s="89"/>
      <c r="F677" s="89"/>
      <c r="G677" s="89"/>
      <c r="H677" s="89"/>
      <c r="I677" s="89"/>
      <c r="J677" s="89"/>
      <c r="K677" s="89"/>
      <c r="L677" s="89"/>
      <c r="M677" s="89"/>
      <c r="N677" s="89"/>
      <c r="O677" s="89"/>
      <c r="P677" s="89"/>
      <c r="Q677" s="89"/>
      <c r="R677" s="89"/>
      <c r="S677" s="89"/>
      <c r="T677" s="89"/>
      <c r="U677" s="89"/>
      <c r="V677" s="89"/>
      <c r="W677" s="89"/>
      <c r="X677" s="89"/>
      <c r="Y677" s="89"/>
      <c r="Z677" s="89"/>
      <c r="AA677" s="89"/>
      <c r="AB677" s="89"/>
      <c r="AC677" s="89"/>
      <c r="AD677" s="89"/>
      <c r="AE677" s="89"/>
      <c r="AF677" s="89"/>
      <c r="AG677" s="89"/>
      <c r="AH677" s="89"/>
      <c r="AI677" s="89"/>
      <c r="AJ677" s="89"/>
      <c r="AK677" s="89"/>
      <c r="AL677" s="89"/>
      <c r="AM677" s="89"/>
      <c r="AN677" s="89"/>
      <c r="AO677" s="89"/>
      <c r="AP677" s="89"/>
      <c r="AQ677" s="89"/>
      <c r="AR677" s="89"/>
      <c r="AS677" s="89"/>
      <c r="AT677" s="89"/>
      <c r="AU677" s="89"/>
      <c r="AV677" s="89"/>
      <c r="AW677" s="89"/>
      <c r="AX677" s="89"/>
      <c r="AY677" s="89"/>
      <c r="AZ677" s="89"/>
      <c r="BA677" s="95"/>
    </row>
    <row r="678" spans="1:53" s="87" customFormat="1">
      <c r="A678" s="90" t="str">
        <f t="shared" si="35"/>
        <v/>
      </c>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c r="AA678" s="89"/>
      <c r="AB678" s="89"/>
      <c r="AC678" s="89"/>
      <c r="AD678" s="89"/>
      <c r="AE678" s="89"/>
      <c r="AF678" s="89"/>
      <c r="AG678" s="89"/>
      <c r="AH678" s="89"/>
      <c r="AI678" s="89"/>
      <c r="AJ678" s="89"/>
      <c r="AK678" s="89"/>
      <c r="AL678" s="89"/>
      <c r="AM678" s="89"/>
      <c r="AN678" s="89"/>
      <c r="AO678" s="89"/>
      <c r="AP678" s="89"/>
      <c r="AQ678" s="89"/>
      <c r="AR678" s="89"/>
      <c r="AS678" s="89"/>
      <c r="AT678" s="89"/>
      <c r="AU678" s="89"/>
      <c r="AV678" s="89"/>
      <c r="AW678" s="89"/>
      <c r="AX678" s="89"/>
      <c r="AY678" s="89"/>
      <c r="AZ678" s="89"/>
      <c r="BA678" s="95"/>
    </row>
    <row r="679" spans="1:53" s="87" customFormat="1">
      <c r="A679" s="90" t="str">
        <f t="shared" si="35"/>
        <v/>
      </c>
      <c r="B679" s="89"/>
      <c r="C679" s="89"/>
      <c r="D679" s="89"/>
      <c r="E679" s="89"/>
      <c r="F679" s="89"/>
      <c r="G679" s="89"/>
      <c r="H679" s="89"/>
      <c r="I679" s="89"/>
      <c r="J679" s="89"/>
      <c r="K679" s="89"/>
      <c r="L679" s="89"/>
      <c r="M679" s="89"/>
      <c r="N679" s="89"/>
      <c r="O679" s="89"/>
      <c r="P679" s="89"/>
      <c r="Q679" s="89"/>
      <c r="R679" s="89"/>
      <c r="S679" s="89"/>
      <c r="T679" s="89"/>
      <c r="U679" s="89"/>
      <c r="V679" s="89"/>
      <c r="W679" s="89"/>
      <c r="X679" s="89"/>
      <c r="Y679" s="89"/>
      <c r="Z679" s="89"/>
      <c r="AA679" s="89"/>
      <c r="AB679" s="89"/>
      <c r="AC679" s="89"/>
      <c r="AD679" s="89"/>
      <c r="AE679" s="89"/>
      <c r="AF679" s="89"/>
      <c r="AG679" s="89"/>
      <c r="AH679" s="89"/>
      <c r="AI679" s="89"/>
      <c r="AJ679" s="89"/>
      <c r="AK679" s="89"/>
      <c r="AL679" s="89"/>
      <c r="AM679" s="89"/>
      <c r="AN679" s="89"/>
      <c r="AO679" s="89"/>
      <c r="AP679" s="89"/>
      <c r="AQ679" s="89"/>
      <c r="AR679" s="89"/>
      <c r="AS679" s="89"/>
      <c r="AT679" s="89"/>
      <c r="AU679" s="89"/>
      <c r="AV679" s="89"/>
      <c r="AW679" s="89"/>
      <c r="AX679" s="89"/>
      <c r="AY679" s="89"/>
      <c r="AZ679" s="89"/>
      <c r="BA679" s="95"/>
    </row>
    <row r="680" spans="1:53" s="87" customFormat="1">
      <c r="A680" s="90" t="str">
        <f t="shared" si="35"/>
        <v/>
      </c>
      <c r="B680" s="89"/>
      <c r="C680" s="89"/>
      <c r="D680" s="89"/>
      <c r="E680" s="89"/>
      <c r="F680" s="89"/>
      <c r="G680" s="89"/>
      <c r="H680" s="89"/>
      <c r="I680" s="89"/>
      <c r="J680" s="89"/>
      <c r="K680" s="89"/>
      <c r="L680" s="89"/>
      <c r="M680" s="89"/>
      <c r="N680" s="89"/>
      <c r="O680" s="89"/>
      <c r="P680" s="89"/>
      <c r="Q680" s="89"/>
      <c r="R680" s="89"/>
      <c r="S680" s="89"/>
      <c r="T680" s="89"/>
      <c r="U680" s="89"/>
      <c r="V680" s="89"/>
      <c r="W680" s="89"/>
      <c r="X680" s="89"/>
      <c r="Y680" s="89"/>
      <c r="Z680" s="89"/>
      <c r="AA680" s="89"/>
      <c r="AB680" s="89"/>
      <c r="AC680" s="89"/>
      <c r="AD680" s="89"/>
      <c r="AE680" s="89"/>
      <c r="AF680" s="89"/>
      <c r="AG680" s="89"/>
      <c r="AH680" s="89"/>
      <c r="AI680" s="89"/>
      <c r="AJ680" s="89"/>
      <c r="AK680" s="89"/>
      <c r="AL680" s="89"/>
      <c r="AM680" s="89"/>
      <c r="AN680" s="89"/>
      <c r="AO680" s="89"/>
      <c r="AP680" s="89"/>
      <c r="AQ680" s="89"/>
      <c r="AR680" s="89"/>
      <c r="AS680" s="89"/>
      <c r="AT680" s="89"/>
      <c r="AU680" s="89"/>
      <c r="AV680" s="89"/>
      <c r="AW680" s="89"/>
      <c r="AX680" s="89"/>
      <c r="AY680" s="89"/>
      <c r="AZ680" s="89"/>
      <c r="BA680" s="95"/>
    </row>
    <row r="681" spans="1:53" s="87" customFormat="1">
      <c r="A681" s="90" t="str">
        <f t="shared" si="35"/>
        <v/>
      </c>
      <c r="B681" s="89"/>
      <c r="C681" s="89"/>
      <c r="D681" s="89"/>
      <c r="E681" s="89"/>
      <c r="F681" s="89"/>
      <c r="G681" s="89"/>
      <c r="H681" s="89"/>
      <c r="I681" s="89"/>
      <c r="J681" s="89"/>
      <c r="K681" s="89"/>
      <c r="L681" s="89"/>
      <c r="M681" s="89"/>
      <c r="N681" s="89"/>
      <c r="O681" s="89"/>
      <c r="P681" s="89"/>
      <c r="Q681" s="89"/>
      <c r="R681" s="89"/>
      <c r="S681" s="89"/>
      <c r="T681" s="89"/>
      <c r="U681" s="89"/>
      <c r="V681" s="89"/>
      <c r="W681" s="89"/>
      <c r="X681" s="89"/>
      <c r="Y681" s="89"/>
      <c r="Z681" s="89"/>
      <c r="AA681" s="89"/>
      <c r="AB681" s="89"/>
      <c r="AC681" s="89"/>
      <c r="AD681" s="89"/>
      <c r="AE681" s="89"/>
      <c r="AF681" s="89"/>
      <c r="AG681" s="89"/>
      <c r="AH681" s="89"/>
      <c r="AI681" s="89"/>
      <c r="AJ681" s="89"/>
      <c r="AK681" s="89"/>
      <c r="AL681" s="89"/>
      <c r="AM681" s="89"/>
      <c r="AN681" s="89"/>
      <c r="AO681" s="89"/>
      <c r="AP681" s="89"/>
      <c r="AQ681" s="89"/>
      <c r="AR681" s="89"/>
      <c r="AS681" s="89"/>
      <c r="AT681" s="89"/>
      <c r="AU681" s="89"/>
      <c r="AV681" s="89"/>
      <c r="AW681" s="89"/>
      <c r="AX681" s="89"/>
      <c r="AY681" s="89"/>
      <c r="AZ681" s="89"/>
      <c r="BA681" s="95"/>
    </row>
    <row r="682" spans="1:53" s="87" customFormat="1">
      <c r="A682" s="90" t="str">
        <f t="shared" si="35"/>
        <v/>
      </c>
      <c r="B682" s="89"/>
      <c r="C682" s="89"/>
      <c r="D682" s="89"/>
      <c r="E682" s="89"/>
      <c r="F682" s="89"/>
      <c r="G682" s="89"/>
      <c r="H682" s="89"/>
      <c r="I682" s="89"/>
      <c r="J682" s="89"/>
      <c r="K682" s="89"/>
      <c r="L682" s="89"/>
      <c r="M682" s="89"/>
      <c r="N682" s="89"/>
      <c r="O682" s="89"/>
      <c r="P682" s="89"/>
      <c r="Q682" s="89"/>
      <c r="R682" s="89"/>
      <c r="S682" s="89"/>
      <c r="T682" s="89"/>
      <c r="U682" s="89"/>
      <c r="V682" s="89"/>
      <c r="W682" s="89"/>
      <c r="X682" s="89"/>
      <c r="Y682" s="89"/>
      <c r="Z682" s="89"/>
      <c r="AA682" s="89"/>
      <c r="AB682" s="89"/>
      <c r="AC682" s="89"/>
      <c r="AD682" s="89"/>
      <c r="AE682" s="89"/>
      <c r="AF682" s="89"/>
      <c r="AG682" s="89"/>
      <c r="AH682" s="89"/>
      <c r="AI682" s="89"/>
      <c r="AJ682" s="89"/>
      <c r="AK682" s="89"/>
      <c r="AL682" s="89"/>
      <c r="AM682" s="89"/>
      <c r="AN682" s="89"/>
      <c r="AO682" s="89"/>
      <c r="AP682" s="89"/>
      <c r="AQ682" s="89"/>
      <c r="AR682" s="89"/>
      <c r="AS682" s="89"/>
      <c r="AT682" s="89"/>
      <c r="AU682" s="89"/>
      <c r="AV682" s="89"/>
      <c r="AW682" s="89"/>
      <c r="AX682" s="89"/>
      <c r="AY682" s="89"/>
      <c r="AZ682" s="89"/>
      <c r="BA682" s="95"/>
    </row>
    <row r="683" spans="1:53" s="87" customFormat="1">
      <c r="A683" s="90" t="str">
        <f t="shared" si="35"/>
        <v/>
      </c>
      <c r="B683" s="89"/>
      <c r="C683" s="89"/>
      <c r="D683" s="89"/>
      <c r="E683" s="89"/>
      <c r="F683" s="89"/>
      <c r="G683" s="89"/>
      <c r="H683" s="89"/>
      <c r="I683" s="89"/>
      <c r="J683" s="89"/>
      <c r="K683" s="89"/>
      <c r="L683" s="89"/>
      <c r="M683" s="89"/>
      <c r="N683" s="89"/>
      <c r="O683" s="89"/>
      <c r="P683" s="89"/>
      <c r="Q683" s="89"/>
      <c r="R683" s="89"/>
      <c r="S683" s="89"/>
      <c r="T683" s="89"/>
      <c r="U683" s="89"/>
      <c r="V683" s="89"/>
      <c r="W683" s="89"/>
      <c r="X683" s="89"/>
      <c r="Y683" s="89"/>
      <c r="Z683" s="89"/>
      <c r="AA683" s="89"/>
      <c r="AB683" s="89"/>
      <c r="AC683" s="89"/>
      <c r="AD683" s="89"/>
      <c r="AE683" s="89"/>
      <c r="AF683" s="89"/>
      <c r="AG683" s="89"/>
      <c r="AH683" s="89"/>
      <c r="AI683" s="89"/>
      <c r="AJ683" s="89"/>
      <c r="AK683" s="89"/>
      <c r="AL683" s="89"/>
      <c r="AM683" s="89"/>
      <c r="AN683" s="89"/>
      <c r="AO683" s="89"/>
      <c r="AP683" s="89"/>
      <c r="AQ683" s="89"/>
      <c r="AR683" s="89"/>
      <c r="AS683" s="89"/>
      <c r="AT683" s="89"/>
      <c r="AU683" s="89"/>
      <c r="AV683" s="89"/>
      <c r="AW683" s="89"/>
      <c r="AX683" s="89"/>
      <c r="AY683" s="89"/>
      <c r="AZ683" s="89"/>
      <c r="BA683" s="95"/>
    </row>
    <row r="684" spans="1:53" s="87" customFormat="1">
      <c r="A684" s="90" t="str">
        <f t="shared" si="35"/>
        <v/>
      </c>
      <c r="B684" s="89"/>
      <c r="C684" s="89"/>
      <c r="D684" s="89"/>
      <c r="E684" s="89"/>
      <c r="F684" s="89"/>
      <c r="G684" s="89"/>
      <c r="H684" s="89"/>
      <c r="I684" s="89"/>
      <c r="J684" s="89"/>
      <c r="K684" s="89"/>
      <c r="L684" s="89"/>
      <c r="M684" s="89"/>
      <c r="N684" s="89"/>
      <c r="O684" s="89"/>
      <c r="P684" s="89"/>
      <c r="Q684" s="89"/>
      <c r="R684" s="89"/>
      <c r="S684" s="89"/>
      <c r="T684" s="89"/>
      <c r="U684" s="89"/>
      <c r="V684" s="89"/>
      <c r="W684" s="89"/>
      <c r="X684" s="89"/>
      <c r="Y684" s="89"/>
      <c r="Z684" s="89"/>
      <c r="AA684" s="89"/>
      <c r="AB684" s="89"/>
      <c r="AC684" s="89"/>
      <c r="AD684" s="89"/>
      <c r="AE684" s="89"/>
      <c r="AF684" s="89"/>
      <c r="AG684" s="89"/>
      <c r="AH684" s="89"/>
      <c r="AI684" s="89"/>
      <c r="AJ684" s="89"/>
      <c r="AK684" s="89"/>
      <c r="AL684" s="89"/>
      <c r="AM684" s="89"/>
      <c r="AN684" s="89"/>
      <c r="AO684" s="89"/>
      <c r="AP684" s="89"/>
      <c r="AQ684" s="89"/>
      <c r="AR684" s="89"/>
      <c r="AS684" s="89"/>
      <c r="AT684" s="89"/>
      <c r="AU684" s="89"/>
      <c r="AV684" s="89"/>
      <c r="AW684" s="89"/>
      <c r="AX684" s="89"/>
      <c r="AY684" s="89"/>
      <c r="AZ684" s="89"/>
      <c r="BA684" s="95"/>
    </row>
    <row r="685" spans="1:53" s="87" customFormat="1">
      <c r="A685" s="90" t="str">
        <f t="shared" si="35"/>
        <v/>
      </c>
      <c r="B685" s="89"/>
      <c r="C685" s="89"/>
      <c r="D685" s="89"/>
      <c r="E685" s="89"/>
      <c r="F685" s="89"/>
      <c r="G685" s="89"/>
      <c r="H685" s="89"/>
      <c r="I685" s="89"/>
      <c r="J685" s="89"/>
      <c r="K685" s="89"/>
      <c r="L685" s="89"/>
      <c r="M685" s="89"/>
      <c r="N685" s="89"/>
      <c r="O685" s="89"/>
      <c r="P685" s="89"/>
      <c r="Q685" s="89"/>
      <c r="R685" s="89"/>
      <c r="S685" s="89"/>
      <c r="T685" s="89"/>
      <c r="U685" s="89"/>
      <c r="V685" s="89"/>
      <c r="W685" s="89"/>
      <c r="X685" s="89"/>
      <c r="Y685" s="89"/>
      <c r="Z685" s="89"/>
      <c r="AA685" s="89"/>
      <c r="AB685" s="89"/>
      <c r="AC685" s="89"/>
      <c r="AD685" s="89"/>
      <c r="AE685" s="89"/>
      <c r="AF685" s="89"/>
      <c r="AG685" s="89"/>
      <c r="AH685" s="89"/>
      <c r="AI685" s="89"/>
      <c r="AJ685" s="89"/>
      <c r="AK685" s="89"/>
      <c r="AL685" s="89"/>
      <c r="AM685" s="89"/>
      <c r="AN685" s="89"/>
      <c r="AO685" s="89"/>
      <c r="AP685" s="89"/>
      <c r="AQ685" s="89"/>
      <c r="AR685" s="89"/>
      <c r="AS685" s="89"/>
      <c r="AT685" s="89"/>
      <c r="AU685" s="89"/>
      <c r="AV685" s="89"/>
      <c r="AW685" s="89"/>
      <c r="AX685" s="89"/>
      <c r="AY685" s="89"/>
      <c r="AZ685" s="89"/>
      <c r="BA685" s="95"/>
    </row>
    <row r="686" spans="1:53" s="87" customFormat="1">
      <c r="A686" s="90" t="str">
        <f t="shared" si="35"/>
        <v/>
      </c>
      <c r="B686" s="89"/>
      <c r="C686" s="89"/>
      <c r="D686" s="89"/>
      <c r="E686" s="89"/>
      <c r="F686" s="89"/>
      <c r="G686" s="89"/>
      <c r="H686" s="89"/>
      <c r="I686" s="89"/>
      <c r="J686" s="89"/>
      <c r="K686" s="89"/>
      <c r="L686" s="89"/>
      <c r="M686" s="89"/>
      <c r="N686" s="89"/>
      <c r="O686" s="89"/>
      <c r="P686" s="89"/>
      <c r="Q686" s="89"/>
      <c r="R686" s="89"/>
      <c r="S686" s="89"/>
      <c r="T686" s="89"/>
      <c r="U686" s="89"/>
      <c r="V686" s="89"/>
      <c r="W686" s="89"/>
      <c r="X686" s="89"/>
      <c r="Y686" s="89"/>
      <c r="Z686" s="89"/>
      <c r="AA686" s="89"/>
      <c r="AB686" s="89"/>
      <c r="AC686" s="89"/>
      <c r="AD686" s="89"/>
      <c r="AE686" s="89"/>
      <c r="AF686" s="89"/>
      <c r="AG686" s="89"/>
      <c r="AH686" s="89"/>
      <c r="AI686" s="89"/>
      <c r="AJ686" s="89"/>
      <c r="AK686" s="89"/>
      <c r="AL686" s="89"/>
      <c r="AM686" s="89"/>
      <c r="AN686" s="89"/>
      <c r="AO686" s="89"/>
      <c r="AP686" s="89"/>
      <c r="AQ686" s="89"/>
      <c r="AR686" s="89"/>
      <c r="AS686" s="89"/>
      <c r="AT686" s="89"/>
      <c r="AU686" s="89"/>
      <c r="AV686" s="89"/>
      <c r="AW686" s="89"/>
      <c r="AX686" s="89"/>
      <c r="AY686" s="89"/>
      <c r="AZ686" s="89"/>
      <c r="BA686" s="95"/>
    </row>
    <row r="687" spans="1:53" s="87" customFormat="1">
      <c r="A687" s="90" t="str">
        <f t="shared" si="35"/>
        <v/>
      </c>
      <c r="B687" s="89"/>
      <c r="C687" s="89"/>
      <c r="D687" s="89"/>
      <c r="E687" s="89"/>
      <c r="F687" s="89"/>
      <c r="G687" s="89"/>
      <c r="H687" s="89"/>
      <c r="I687" s="89"/>
      <c r="J687" s="89"/>
      <c r="K687" s="89"/>
      <c r="L687" s="89"/>
      <c r="M687" s="89"/>
      <c r="N687" s="89"/>
      <c r="O687" s="89"/>
      <c r="P687" s="89"/>
      <c r="Q687" s="89"/>
      <c r="R687" s="89"/>
      <c r="S687" s="89"/>
      <c r="T687" s="89"/>
      <c r="U687" s="89"/>
      <c r="V687" s="89"/>
      <c r="W687" s="89"/>
      <c r="X687" s="89"/>
      <c r="Y687" s="89"/>
      <c r="Z687" s="89"/>
      <c r="AA687" s="89"/>
      <c r="AB687" s="89"/>
      <c r="AC687" s="89"/>
      <c r="AD687" s="89"/>
      <c r="AE687" s="89"/>
      <c r="AF687" s="89"/>
      <c r="AG687" s="89"/>
      <c r="AH687" s="89"/>
      <c r="AI687" s="89"/>
      <c r="AJ687" s="89"/>
      <c r="AK687" s="89"/>
      <c r="AL687" s="89"/>
      <c r="AM687" s="89"/>
      <c r="AN687" s="89"/>
      <c r="AO687" s="89"/>
      <c r="AP687" s="89"/>
      <c r="AQ687" s="89"/>
      <c r="AR687" s="89"/>
      <c r="AS687" s="89"/>
      <c r="AT687" s="89"/>
      <c r="AU687" s="89"/>
      <c r="AV687" s="89"/>
      <c r="AW687" s="89"/>
      <c r="AX687" s="89"/>
      <c r="AY687" s="89"/>
      <c r="AZ687" s="89"/>
      <c r="BA687" s="95"/>
    </row>
    <row r="688" spans="1:53" s="87" customFormat="1">
      <c r="A688" s="90" t="str">
        <f t="shared" si="35"/>
        <v/>
      </c>
      <c r="B688" s="89"/>
      <c r="C688" s="89"/>
      <c r="D688" s="89"/>
      <c r="E688" s="89"/>
      <c r="F688" s="89"/>
      <c r="G688" s="89"/>
      <c r="H688" s="89"/>
      <c r="I688" s="89"/>
      <c r="J688" s="89"/>
      <c r="K688" s="89"/>
      <c r="L688" s="89"/>
      <c r="M688" s="89"/>
      <c r="N688" s="89"/>
      <c r="O688" s="89"/>
      <c r="P688" s="89"/>
      <c r="Q688" s="89"/>
      <c r="R688" s="89"/>
      <c r="S688" s="89"/>
      <c r="T688" s="89"/>
      <c r="U688" s="89"/>
      <c r="V688" s="89"/>
      <c r="W688" s="89"/>
      <c r="X688" s="89"/>
      <c r="Y688" s="89"/>
      <c r="Z688" s="89"/>
      <c r="AA688" s="89"/>
      <c r="AB688" s="89"/>
      <c r="AC688" s="89"/>
      <c r="AD688" s="89"/>
      <c r="AE688" s="89"/>
      <c r="AF688" s="89"/>
      <c r="AG688" s="89"/>
      <c r="AH688" s="89"/>
      <c r="AI688" s="89"/>
      <c r="AJ688" s="89"/>
      <c r="AK688" s="89"/>
      <c r="AL688" s="89"/>
      <c r="AM688" s="89"/>
      <c r="AN688" s="89"/>
      <c r="AO688" s="89"/>
      <c r="AP688" s="89"/>
      <c r="AQ688" s="89"/>
      <c r="AR688" s="89"/>
      <c r="AS688" s="89"/>
      <c r="AT688" s="89"/>
      <c r="AU688" s="89"/>
      <c r="AV688" s="89"/>
      <c r="AW688" s="89"/>
      <c r="AX688" s="89"/>
      <c r="AY688" s="89"/>
      <c r="AZ688" s="89"/>
      <c r="BA688" s="95"/>
    </row>
    <row r="689" spans="1:53" s="87" customFormat="1">
      <c r="A689" s="90" t="str">
        <f t="shared" si="35"/>
        <v/>
      </c>
      <c r="B689" s="89"/>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89"/>
      <c r="AA689" s="89"/>
      <c r="AB689" s="89"/>
      <c r="AC689" s="89"/>
      <c r="AD689" s="89"/>
      <c r="AE689" s="89"/>
      <c r="AF689" s="89"/>
      <c r="AG689" s="89"/>
      <c r="AH689" s="89"/>
      <c r="AI689" s="89"/>
      <c r="AJ689" s="89"/>
      <c r="AK689" s="89"/>
      <c r="AL689" s="89"/>
      <c r="AM689" s="89"/>
      <c r="AN689" s="89"/>
      <c r="AO689" s="89"/>
      <c r="AP689" s="89"/>
      <c r="AQ689" s="89"/>
      <c r="AR689" s="89"/>
      <c r="AS689" s="89"/>
      <c r="AT689" s="89"/>
      <c r="AU689" s="89"/>
      <c r="AV689" s="89"/>
      <c r="AW689" s="89"/>
      <c r="AX689" s="89"/>
      <c r="AY689" s="89"/>
      <c r="AZ689" s="89"/>
      <c r="BA689" s="95"/>
    </row>
    <row r="690" spans="1:53" s="87" customFormat="1">
      <c r="A690" s="90" t="str">
        <f t="shared" si="35"/>
        <v/>
      </c>
      <c r="B690" s="89"/>
      <c r="C690" s="89"/>
      <c r="D690" s="89"/>
      <c r="E690" s="89"/>
      <c r="F690" s="89"/>
      <c r="G690" s="89"/>
      <c r="H690" s="89"/>
      <c r="I690" s="89"/>
      <c r="J690" s="89"/>
      <c r="K690" s="89"/>
      <c r="L690" s="89"/>
      <c r="M690" s="89"/>
      <c r="N690" s="89"/>
      <c r="O690" s="89"/>
      <c r="P690" s="89"/>
      <c r="Q690" s="89"/>
      <c r="R690" s="89"/>
      <c r="S690" s="89"/>
      <c r="T690" s="89"/>
      <c r="U690" s="89"/>
      <c r="V690" s="89"/>
      <c r="W690" s="89"/>
      <c r="X690" s="89"/>
      <c r="Y690" s="89"/>
      <c r="Z690" s="89"/>
      <c r="AA690" s="89"/>
      <c r="AB690" s="89"/>
      <c r="AC690" s="89"/>
      <c r="AD690" s="89"/>
      <c r="AE690" s="89"/>
      <c r="AF690" s="89"/>
      <c r="AG690" s="89"/>
      <c r="AH690" s="89"/>
      <c r="AI690" s="89"/>
      <c r="AJ690" s="89"/>
      <c r="AK690" s="89"/>
      <c r="AL690" s="89"/>
      <c r="AM690" s="89"/>
      <c r="AN690" s="89"/>
      <c r="AO690" s="89"/>
      <c r="AP690" s="89"/>
      <c r="AQ690" s="89"/>
      <c r="AR690" s="89"/>
      <c r="AS690" s="89"/>
      <c r="AT690" s="89"/>
      <c r="AU690" s="89"/>
      <c r="AV690" s="89"/>
      <c r="AW690" s="89"/>
      <c r="AX690" s="89"/>
      <c r="AY690" s="89"/>
      <c r="AZ690" s="89"/>
      <c r="BA690" s="95"/>
    </row>
    <row r="691" spans="1:53" s="87" customFormat="1">
      <c r="A691" s="90" t="str">
        <f t="shared" si="35"/>
        <v/>
      </c>
      <c r="B691" s="89"/>
      <c r="C691" s="89"/>
      <c r="D691" s="89"/>
      <c r="E691" s="89"/>
      <c r="F691" s="89"/>
      <c r="G691" s="89"/>
      <c r="H691" s="89"/>
      <c r="I691" s="89"/>
      <c r="J691" s="89"/>
      <c r="K691" s="89"/>
      <c r="L691" s="89"/>
      <c r="M691" s="89"/>
      <c r="N691" s="89"/>
      <c r="O691" s="89"/>
      <c r="P691" s="89"/>
      <c r="Q691" s="89"/>
      <c r="R691" s="89"/>
      <c r="S691" s="89"/>
      <c r="T691" s="89"/>
      <c r="U691" s="89"/>
      <c r="V691" s="89"/>
      <c r="W691" s="89"/>
      <c r="X691" s="89"/>
      <c r="Y691" s="89"/>
      <c r="Z691" s="89"/>
      <c r="AA691" s="89"/>
      <c r="AB691" s="89"/>
      <c r="AC691" s="89"/>
      <c r="AD691" s="89"/>
      <c r="AE691" s="89"/>
      <c r="AF691" s="89"/>
      <c r="AG691" s="89"/>
      <c r="AH691" s="89"/>
      <c r="AI691" s="89"/>
      <c r="AJ691" s="89"/>
      <c r="AK691" s="89"/>
      <c r="AL691" s="89"/>
      <c r="AM691" s="89"/>
      <c r="AN691" s="89"/>
      <c r="AO691" s="89"/>
      <c r="AP691" s="89"/>
      <c r="AQ691" s="89"/>
      <c r="AR691" s="89"/>
      <c r="AS691" s="89"/>
      <c r="AT691" s="89"/>
      <c r="AU691" s="89"/>
      <c r="AV691" s="89"/>
      <c r="AW691" s="89"/>
      <c r="AX691" s="89"/>
      <c r="AY691" s="89"/>
      <c r="AZ691" s="89"/>
      <c r="BA691" s="95"/>
    </row>
    <row r="692" spans="1:53" s="87" customFormat="1">
      <c r="A692" s="90" t="str">
        <f t="shared" si="35"/>
        <v/>
      </c>
      <c r="B692" s="89"/>
      <c r="C692" s="89"/>
      <c r="D692" s="89"/>
      <c r="E692" s="89"/>
      <c r="F692" s="89"/>
      <c r="G692" s="89"/>
      <c r="H692" s="89"/>
      <c r="I692" s="89"/>
      <c r="J692" s="89"/>
      <c r="K692" s="89"/>
      <c r="L692" s="89"/>
      <c r="M692" s="89"/>
      <c r="N692" s="89"/>
      <c r="O692" s="89"/>
      <c r="P692" s="89"/>
      <c r="Q692" s="89"/>
      <c r="R692" s="89"/>
      <c r="S692" s="89"/>
      <c r="T692" s="89"/>
      <c r="U692" s="89"/>
      <c r="V692" s="89"/>
      <c r="W692" s="89"/>
      <c r="X692" s="89"/>
      <c r="Y692" s="89"/>
      <c r="Z692" s="89"/>
      <c r="AA692" s="89"/>
      <c r="AB692" s="89"/>
      <c r="AC692" s="89"/>
      <c r="AD692" s="89"/>
      <c r="AE692" s="89"/>
      <c r="AF692" s="89"/>
      <c r="AG692" s="89"/>
      <c r="AH692" s="89"/>
      <c r="AI692" s="89"/>
      <c r="AJ692" s="89"/>
      <c r="AK692" s="89"/>
      <c r="AL692" s="89"/>
      <c r="AM692" s="89"/>
      <c r="AN692" s="89"/>
      <c r="AO692" s="89"/>
      <c r="AP692" s="89"/>
      <c r="AQ692" s="89"/>
      <c r="AR692" s="89"/>
      <c r="AS692" s="89"/>
      <c r="AT692" s="89"/>
      <c r="AU692" s="89"/>
      <c r="AV692" s="89"/>
      <c r="AW692" s="89"/>
      <c r="AX692" s="89"/>
      <c r="AY692" s="89"/>
      <c r="AZ692" s="89"/>
      <c r="BA692" s="95"/>
    </row>
    <row r="693" spans="1:53" s="87" customFormat="1">
      <c r="A693" s="90" t="str">
        <f t="shared" si="35"/>
        <v/>
      </c>
      <c r="B693" s="89"/>
      <c r="C693" s="89"/>
      <c r="D693" s="89"/>
      <c r="E693" s="89"/>
      <c r="F693" s="89"/>
      <c r="G693" s="89"/>
      <c r="H693" s="89"/>
      <c r="I693" s="89"/>
      <c r="J693" s="89"/>
      <c r="K693" s="89"/>
      <c r="L693" s="89"/>
      <c r="M693" s="89"/>
      <c r="N693" s="89"/>
      <c r="O693" s="89"/>
      <c r="P693" s="89"/>
      <c r="Q693" s="89"/>
      <c r="R693" s="89"/>
      <c r="S693" s="89"/>
      <c r="T693" s="89"/>
      <c r="U693" s="89"/>
      <c r="V693" s="89"/>
      <c r="W693" s="89"/>
      <c r="X693" s="89"/>
      <c r="Y693" s="89"/>
      <c r="Z693" s="89"/>
      <c r="AA693" s="89"/>
      <c r="AB693" s="89"/>
      <c r="AC693" s="89"/>
      <c r="AD693" s="89"/>
      <c r="AE693" s="89"/>
      <c r="AF693" s="89"/>
      <c r="AG693" s="89"/>
      <c r="AH693" s="89"/>
      <c r="AI693" s="89"/>
      <c r="AJ693" s="89"/>
      <c r="AK693" s="89"/>
      <c r="AL693" s="89"/>
      <c r="AM693" s="89"/>
      <c r="AN693" s="89"/>
      <c r="AO693" s="89"/>
      <c r="AP693" s="89"/>
      <c r="AQ693" s="89"/>
      <c r="AR693" s="89"/>
      <c r="AS693" s="89"/>
      <c r="AT693" s="89"/>
      <c r="AU693" s="89"/>
      <c r="AV693" s="89"/>
      <c r="AW693" s="89"/>
      <c r="AX693" s="89"/>
      <c r="AY693" s="89"/>
      <c r="AZ693" s="89"/>
      <c r="BA693" s="95"/>
    </row>
    <row r="694" spans="1:53" s="87" customFormat="1">
      <c r="A694" s="90" t="str">
        <f t="shared" si="35"/>
        <v/>
      </c>
      <c r="B694" s="89"/>
      <c r="C694" s="89"/>
      <c r="D694" s="89"/>
      <c r="E694" s="89"/>
      <c r="F694" s="89"/>
      <c r="G694" s="89"/>
      <c r="H694" s="89"/>
      <c r="I694" s="89"/>
      <c r="J694" s="89"/>
      <c r="K694" s="89"/>
      <c r="L694" s="89"/>
      <c r="M694" s="89"/>
      <c r="N694" s="89"/>
      <c r="O694" s="89"/>
      <c r="P694" s="89"/>
      <c r="Q694" s="89"/>
      <c r="R694" s="89"/>
      <c r="S694" s="89"/>
      <c r="T694" s="89"/>
      <c r="U694" s="89"/>
      <c r="V694" s="89"/>
      <c r="W694" s="89"/>
      <c r="X694" s="89"/>
      <c r="Y694" s="89"/>
      <c r="Z694" s="89"/>
      <c r="AA694" s="89"/>
      <c r="AB694" s="89"/>
      <c r="AC694" s="89"/>
      <c r="AD694" s="89"/>
      <c r="AE694" s="89"/>
      <c r="AF694" s="89"/>
      <c r="AG694" s="89"/>
      <c r="AH694" s="89"/>
      <c r="AI694" s="89"/>
      <c r="AJ694" s="89"/>
      <c r="AK694" s="89"/>
      <c r="AL694" s="89"/>
      <c r="AM694" s="89"/>
      <c r="AN694" s="89"/>
      <c r="AO694" s="89"/>
      <c r="AP694" s="89"/>
      <c r="AQ694" s="89"/>
      <c r="AR694" s="89"/>
      <c r="AS694" s="89"/>
      <c r="AT694" s="89"/>
      <c r="AU694" s="89"/>
      <c r="AV694" s="89"/>
      <c r="AW694" s="89"/>
      <c r="AX694" s="89"/>
      <c r="AY694" s="89"/>
      <c r="AZ694" s="89"/>
      <c r="BA694" s="95"/>
    </row>
    <row r="695" spans="1:53" s="87" customFormat="1">
      <c r="A695" s="90" t="str">
        <f t="shared" si="35"/>
        <v/>
      </c>
      <c r="B695" s="89"/>
      <c r="C695" s="89"/>
      <c r="D695" s="89"/>
      <c r="E695" s="89"/>
      <c r="F695" s="89"/>
      <c r="G695" s="89"/>
      <c r="H695" s="89"/>
      <c r="I695" s="89"/>
      <c r="J695" s="89"/>
      <c r="K695" s="89"/>
      <c r="L695" s="89"/>
      <c r="M695" s="89"/>
      <c r="N695" s="89"/>
      <c r="O695" s="89"/>
      <c r="P695" s="89"/>
      <c r="Q695" s="89"/>
      <c r="R695" s="89"/>
      <c r="S695" s="89"/>
      <c r="T695" s="89"/>
      <c r="U695" s="89"/>
      <c r="V695" s="89"/>
      <c r="W695" s="89"/>
      <c r="X695" s="89"/>
      <c r="Y695" s="89"/>
      <c r="Z695" s="89"/>
      <c r="AA695" s="89"/>
      <c r="AB695" s="89"/>
      <c r="AC695" s="89"/>
      <c r="AD695" s="89"/>
      <c r="AE695" s="89"/>
      <c r="AF695" s="89"/>
      <c r="AG695" s="89"/>
      <c r="AH695" s="89"/>
      <c r="AI695" s="89"/>
      <c r="AJ695" s="89"/>
      <c r="AK695" s="89"/>
      <c r="AL695" s="89"/>
      <c r="AM695" s="89"/>
      <c r="AN695" s="89"/>
      <c r="AO695" s="89"/>
      <c r="AP695" s="89"/>
      <c r="AQ695" s="89"/>
      <c r="AR695" s="89"/>
      <c r="AS695" s="89"/>
      <c r="AT695" s="89"/>
      <c r="AU695" s="89"/>
      <c r="AV695" s="89"/>
      <c r="AW695" s="89"/>
      <c r="AX695" s="89"/>
      <c r="AY695" s="89"/>
      <c r="AZ695" s="89"/>
      <c r="BA695" s="95"/>
    </row>
    <row r="696" spans="1:53" s="87" customFormat="1">
      <c r="A696" s="90" t="str">
        <f t="shared" si="35"/>
        <v/>
      </c>
      <c r="B696" s="89"/>
      <c r="C696" s="89"/>
      <c r="D696" s="89"/>
      <c r="E696" s="89"/>
      <c r="F696" s="89"/>
      <c r="G696" s="89"/>
      <c r="H696" s="89"/>
      <c r="I696" s="89"/>
      <c r="J696" s="89"/>
      <c r="K696" s="89"/>
      <c r="L696" s="89"/>
      <c r="M696" s="89"/>
      <c r="N696" s="89"/>
      <c r="O696" s="89"/>
      <c r="P696" s="89"/>
      <c r="Q696" s="89"/>
      <c r="R696" s="89"/>
      <c r="S696" s="89"/>
      <c r="T696" s="89"/>
      <c r="U696" s="89"/>
      <c r="V696" s="89"/>
      <c r="W696" s="89"/>
      <c r="X696" s="89"/>
      <c r="Y696" s="89"/>
      <c r="Z696" s="89"/>
      <c r="AA696" s="89"/>
      <c r="AB696" s="89"/>
      <c r="AC696" s="89"/>
      <c r="AD696" s="89"/>
      <c r="AE696" s="89"/>
      <c r="AF696" s="89"/>
      <c r="AG696" s="89"/>
      <c r="AH696" s="89"/>
      <c r="AI696" s="89"/>
      <c r="AJ696" s="89"/>
      <c r="AK696" s="89"/>
      <c r="AL696" s="89"/>
      <c r="AM696" s="89"/>
      <c r="AN696" s="89"/>
      <c r="AO696" s="89"/>
      <c r="AP696" s="89"/>
      <c r="AQ696" s="89"/>
      <c r="AR696" s="89"/>
      <c r="AS696" s="89"/>
      <c r="AT696" s="89"/>
      <c r="AU696" s="89"/>
      <c r="AV696" s="89"/>
      <c r="AW696" s="89"/>
      <c r="AX696" s="89"/>
      <c r="AY696" s="89"/>
      <c r="AZ696" s="89"/>
      <c r="BA696" s="95"/>
    </row>
    <row r="697" spans="1:53" s="87" customFormat="1">
      <c r="A697" s="90" t="str">
        <f t="shared" si="35"/>
        <v/>
      </c>
      <c r="B697" s="89"/>
      <c r="C697" s="89"/>
      <c r="D697" s="89"/>
      <c r="E697" s="89"/>
      <c r="F697" s="89"/>
      <c r="G697" s="89"/>
      <c r="H697" s="89"/>
      <c r="I697" s="89"/>
      <c r="J697" s="89"/>
      <c r="K697" s="89"/>
      <c r="L697" s="89"/>
      <c r="M697" s="89"/>
      <c r="N697" s="89"/>
      <c r="O697" s="89"/>
      <c r="P697" s="89"/>
      <c r="Q697" s="89"/>
      <c r="R697" s="89"/>
      <c r="S697" s="89"/>
      <c r="T697" s="89"/>
      <c r="U697" s="89"/>
      <c r="V697" s="89"/>
      <c r="W697" s="89"/>
      <c r="X697" s="89"/>
      <c r="Y697" s="89"/>
      <c r="Z697" s="89"/>
      <c r="AA697" s="89"/>
      <c r="AB697" s="89"/>
      <c r="AC697" s="89"/>
      <c r="AD697" s="89"/>
      <c r="AE697" s="89"/>
      <c r="AF697" s="89"/>
      <c r="AG697" s="89"/>
      <c r="AH697" s="89"/>
      <c r="AI697" s="89"/>
      <c r="AJ697" s="89"/>
      <c r="AK697" s="89"/>
      <c r="AL697" s="89"/>
      <c r="AM697" s="89"/>
      <c r="AN697" s="89"/>
      <c r="AO697" s="89"/>
      <c r="AP697" s="89"/>
      <c r="AQ697" s="89"/>
      <c r="AR697" s="89"/>
      <c r="AS697" s="89"/>
      <c r="AT697" s="89"/>
      <c r="AU697" s="89"/>
      <c r="AV697" s="89"/>
      <c r="AW697" s="89"/>
      <c r="AX697" s="89"/>
      <c r="AY697" s="89"/>
      <c r="AZ697" s="89"/>
      <c r="BA697" s="95"/>
    </row>
    <row r="698" spans="1:53" s="87" customFormat="1">
      <c r="A698" s="90" t="str">
        <f t="shared" si="35"/>
        <v/>
      </c>
      <c r="B698" s="89"/>
      <c r="C698" s="89"/>
      <c r="D698" s="89"/>
      <c r="E698" s="89"/>
      <c r="F698" s="89"/>
      <c r="G698" s="89"/>
      <c r="H698" s="89"/>
      <c r="I698" s="89"/>
      <c r="J698" s="89"/>
      <c r="K698" s="89"/>
      <c r="L698" s="89"/>
      <c r="M698" s="89"/>
      <c r="N698" s="89"/>
      <c r="O698" s="89"/>
      <c r="P698" s="89"/>
      <c r="Q698" s="89"/>
      <c r="R698" s="89"/>
      <c r="S698" s="89"/>
      <c r="T698" s="89"/>
      <c r="U698" s="89"/>
      <c r="V698" s="89"/>
      <c r="W698" s="89"/>
      <c r="X698" s="89"/>
      <c r="Y698" s="89"/>
      <c r="Z698" s="89"/>
      <c r="AA698" s="89"/>
      <c r="AB698" s="89"/>
      <c r="AC698" s="89"/>
      <c r="AD698" s="89"/>
      <c r="AE698" s="89"/>
      <c r="AF698" s="89"/>
      <c r="AG698" s="89"/>
      <c r="AH698" s="89"/>
      <c r="AI698" s="89"/>
      <c r="AJ698" s="89"/>
      <c r="AK698" s="89"/>
      <c r="AL698" s="89"/>
      <c r="AM698" s="89"/>
      <c r="AN698" s="89"/>
      <c r="AO698" s="89"/>
      <c r="AP698" s="89"/>
      <c r="AQ698" s="89"/>
      <c r="AR698" s="89"/>
      <c r="AS698" s="89"/>
      <c r="AT698" s="89"/>
      <c r="AU698" s="89"/>
      <c r="AV698" s="89"/>
      <c r="AW698" s="89"/>
      <c r="AX698" s="89"/>
      <c r="AY698" s="89"/>
      <c r="AZ698" s="89"/>
      <c r="BA698" s="95"/>
    </row>
    <row r="699" spans="1:53" s="87" customFormat="1">
      <c r="A699" s="90" t="str">
        <f t="shared" si="35"/>
        <v/>
      </c>
      <c r="B699" s="89"/>
      <c r="C699" s="89"/>
      <c r="D699" s="89"/>
      <c r="E699" s="89"/>
      <c r="F699" s="89"/>
      <c r="G699" s="89"/>
      <c r="H699" s="89"/>
      <c r="I699" s="89"/>
      <c r="J699" s="89"/>
      <c r="K699" s="89"/>
      <c r="L699" s="89"/>
      <c r="M699" s="89"/>
      <c r="N699" s="89"/>
      <c r="O699" s="89"/>
      <c r="P699" s="89"/>
      <c r="Q699" s="89"/>
      <c r="R699" s="89"/>
      <c r="S699" s="89"/>
      <c r="T699" s="89"/>
      <c r="U699" s="89"/>
      <c r="V699" s="89"/>
      <c r="W699" s="89"/>
      <c r="X699" s="89"/>
      <c r="Y699" s="89"/>
      <c r="Z699" s="89"/>
      <c r="AA699" s="89"/>
      <c r="AB699" s="89"/>
      <c r="AC699" s="89"/>
      <c r="AD699" s="89"/>
      <c r="AE699" s="89"/>
      <c r="AF699" s="89"/>
      <c r="AG699" s="89"/>
      <c r="AH699" s="89"/>
      <c r="AI699" s="89"/>
      <c r="AJ699" s="89"/>
      <c r="AK699" s="89"/>
      <c r="AL699" s="89"/>
      <c r="AM699" s="89"/>
      <c r="AN699" s="89"/>
      <c r="AO699" s="89"/>
      <c r="AP699" s="89"/>
      <c r="AQ699" s="89"/>
      <c r="AR699" s="89"/>
      <c r="AS699" s="89"/>
      <c r="AT699" s="89"/>
      <c r="AU699" s="89"/>
      <c r="AV699" s="89"/>
      <c r="AW699" s="89"/>
      <c r="AX699" s="89"/>
      <c r="AY699" s="89"/>
      <c r="AZ699" s="89"/>
      <c r="BA699" s="95"/>
    </row>
    <row r="700" spans="1:53" s="87" customFormat="1">
      <c r="A700" s="90" t="str">
        <f t="shared" si="35"/>
        <v/>
      </c>
      <c r="B700" s="89"/>
      <c r="C700" s="89"/>
      <c r="D700" s="89"/>
      <c r="E700" s="89"/>
      <c r="F700" s="89"/>
      <c r="G700" s="89"/>
      <c r="H700" s="89"/>
      <c r="I700" s="89"/>
      <c r="J700" s="89"/>
      <c r="K700" s="89"/>
      <c r="L700" s="89"/>
      <c r="M700" s="89"/>
      <c r="N700" s="89"/>
      <c r="O700" s="89"/>
      <c r="P700" s="89"/>
      <c r="Q700" s="89"/>
      <c r="R700" s="89"/>
      <c r="S700" s="89"/>
      <c r="T700" s="89"/>
      <c r="U700" s="89"/>
      <c r="V700" s="89"/>
      <c r="W700" s="89"/>
      <c r="X700" s="89"/>
      <c r="Y700" s="89"/>
      <c r="Z700" s="89"/>
      <c r="AA700" s="89"/>
      <c r="AB700" s="89"/>
      <c r="AC700" s="89"/>
      <c r="AD700" s="89"/>
      <c r="AE700" s="89"/>
      <c r="AF700" s="89"/>
      <c r="AG700" s="89"/>
      <c r="AH700" s="89"/>
      <c r="AI700" s="89"/>
      <c r="AJ700" s="89"/>
      <c r="AK700" s="89"/>
      <c r="AL700" s="89"/>
      <c r="AM700" s="89"/>
      <c r="AN700" s="89"/>
      <c r="AO700" s="89"/>
      <c r="AP700" s="89"/>
      <c r="AQ700" s="89"/>
      <c r="AR700" s="89"/>
      <c r="AS700" s="89"/>
      <c r="AT700" s="89"/>
      <c r="AU700" s="89"/>
      <c r="AV700" s="89"/>
      <c r="AW700" s="89"/>
      <c r="AX700" s="89"/>
      <c r="AY700" s="89"/>
      <c r="AZ700" s="89"/>
      <c r="BA700" s="95"/>
    </row>
    <row r="701" spans="1:53" s="87" customFormat="1">
      <c r="A701" s="90" t="str">
        <f t="shared" si="35"/>
        <v/>
      </c>
      <c r="B701" s="89"/>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c r="AA701" s="89"/>
      <c r="AB701" s="89"/>
      <c r="AC701" s="89"/>
      <c r="AD701" s="89"/>
      <c r="AE701" s="89"/>
      <c r="AF701" s="89"/>
      <c r="AG701" s="89"/>
      <c r="AH701" s="89"/>
      <c r="AI701" s="89"/>
      <c r="AJ701" s="89"/>
      <c r="AK701" s="89"/>
      <c r="AL701" s="89"/>
      <c r="AM701" s="89"/>
      <c r="AN701" s="89"/>
      <c r="AO701" s="89"/>
      <c r="AP701" s="89"/>
      <c r="AQ701" s="89"/>
      <c r="AR701" s="89"/>
      <c r="AS701" s="89"/>
      <c r="AT701" s="89"/>
      <c r="AU701" s="89"/>
      <c r="AV701" s="89"/>
      <c r="AW701" s="89"/>
      <c r="AX701" s="89"/>
      <c r="AY701" s="89"/>
      <c r="AZ701" s="89"/>
      <c r="BA701" s="95"/>
    </row>
    <row r="702" spans="1:53" s="87" customFormat="1">
      <c r="A702" s="90" t="str">
        <f t="shared" si="35"/>
        <v/>
      </c>
      <c r="B702" s="89"/>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c r="AA702" s="89"/>
      <c r="AB702" s="89"/>
      <c r="AC702" s="89"/>
      <c r="AD702" s="89"/>
      <c r="AE702" s="89"/>
      <c r="AF702" s="89"/>
      <c r="AG702" s="89"/>
      <c r="AH702" s="89"/>
      <c r="AI702" s="89"/>
      <c r="AJ702" s="89"/>
      <c r="AK702" s="89"/>
      <c r="AL702" s="89"/>
      <c r="AM702" s="89"/>
      <c r="AN702" s="89"/>
      <c r="AO702" s="89"/>
      <c r="AP702" s="89"/>
      <c r="AQ702" s="89"/>
      <c r="AR702" s="89"/>
      <c r="AS702" s="89"/>
      <c r="AT702" s="89"/>
      <c r="AU702" s="89"/>
      <c r="AV702" s="89"/>
      <c r="AW702" s="89"/>
      <c r="AX702" s="89"/>
      <c r="AY702" s="89"/>
      <c r="AZ702" s="89"/>
      <c r="BA702" s="95"/>
    </row>
    <row r="703" spans="1:53" s="87" customFormat="1">
      <c r="A703" s="90" t="str">
        <f t="shared" si="35"/>
        <v/>
      </c>
      <c r="B703" s="89"/>
      <c r="C703" s="89"/>
      <c r="D703" s="89"/>
      <c r="E703" s="89"/>
      <c r="F703" s="89"/>
      <c r="G703" s="89"/>
      <c r="H703" s="89"/>
      <c r="I703" s="89"/>
      <c r="J703" s="89"/>
      <c r="K703" s="89"/>
      <c r="L703" s="89"/>
      <c r="M703" s="89"/>
      <c r="N703" s="89"/>
      <c r="O703" s="89"/>
      <c r="P703" s="89"/>
      <c r="Q703" s="89"/>
      <c r="R703" s="89"/>
      <c r="S703" s="89"/>
      <c r="T703" s="89"/>
      <c r="U703" s="89"/>
      <c r="V703" s="89"/>
      <c r="W703" s="89"/>
      <c r="X703" s="89"/>
      <c r="Y703" s="89"/>
      <c r="Z703" s="89"/>
      <c r="AA703" s="89"/>
      <c r="AB703" s="89"/>
      <c r="AC703" s="89"/>
      <c r="AD703" s="89"/>
      <c r="AE703" s="89"/>
      <c r="AF703" s="89"/>
      <c r="AG703" s="89"/>
      <c r="AH703" s="89"/>
      <c r="AI703" s="89"/>
      <c r="AJ703" s="89"/>
      <c r="AK703" s="89"/>
      <c r="AL703" s="89"/>
      <c r="AM703" s="89"/>
      <c r="AN703" s="89"/>
      <c r="AO703" s="89"/>
      <c r="AP703" s="89"/>
      <c r="AQ703" s="89"/>
      <c r="AR703" s="89"/>
      <c r="AS703" s="89"/>
      <c r="AT703" s="89"/>
      <c r="AU703" s="89"/>
      <c r="AV703" s="89"/>
      <c r="AW703" s="89"/>
      <c r="AX703" s="89"/>
      <c r="AY703" s="89"/>
      <c r="AZ703" s="89"/>
      <c r="BA703" s="95"/>
    </row>
    <row r="704" spans="1:53" s="87" customFormat="1">
      <c r="A704" s="90" t="str">
        <f t="shared" si="35"/>
        <v/>
      </c>
      <c r="B704" s="89"/>
      <c r="C704" s="89"/>
      <c r="D704" s="89"/>
      <c r="E704" s="89"/>
      <c r="F704" s="89"/>
      <c r="G704" s="89"/>
      <c r="H704" s="89"/>
      <c r="I704" s="89"/>
      <c r="J704" s="89"/>
      <c r="K704" s="89"/>
      <c r="L704" s="89"/>
      <c r="M704" s="89"/>
      <c r="N704" s="89"/>
      <c r="O704" s="89"/>
      <c r="P704" s="89"/>
      <c r="Q704" s="89"/>
      <c r="R704" s="89"/>
      <c r="S704" s="89"/>
      <c r="T704" s="89"/>
      <c r="U704" s="89"/>
      <c r="V704" s="89"/>
      <c r="W704" s="89"/>
      <c r="X704" s="89"/>
      <c r="Y704" s="89"/>
      <c r="Z704" s="89"/>
      <c r="AA704" s="89"/>
      <c r="AB704" s="89"/>
      <c r="AC704" s="89"/>
      <c r="AD704" s="89"/>
      <c r="AE704" s="89"/>
      <c r="AF704" s="89"/>
      <c r="AG704" s="89"/>
      <c r="AH704" s="89"/>
      <c r="AI704" s="89"/>
      <c r="AJ704" s="89"/>
      <c r="AK704" s="89"/>
      <c r="AL704" s="89"/>
      <c r="AM704" s="89"/>
      <c r="AN704" s="89"/>
      <c r="AO704" s="89"/>
      <c r="AP704" s="89"/>
      <c r="AQ704" s="89"/>
      <c r="AR704" s="89"/>
      <c r="AS704" s="89"/>
      <c r="AT704" s="89"/>
      <c r="AU704" s="89"/>
      <c r="AV704" s="89"/>
      <c r="AW704" s="89"/>
      <c r="AX704" s="89"/>
      <c r="AY704" s="89"/>
      <c r="AZ704" s="89"/>
      <c r="BA704" s="95"/>
    </row>
    <row r="705" spans="1:53" s="87" customFormat="1">
      <c r="A705" s="90" t="str">
        <f t="shared" si="35"/>
        <v/>
      </c>
      <c r="B705" s="89"/>
      <c r="C705" s="89"/>
      <c r="D705" s="89"/>
      <c r="E705" s="89"/>
      <c r="F705" s="89"/>
      <c r="G705" s="89"/>
      <c r="H705" s="89"/>
      <c r="I705" s="89"/>
      <c r="J705" s="89"/>
      <c r="K705" s="89"/>
      <c r="L705" s="89"/>
      <c r="M705" s="89"/>
      <c r="N705" s="89"/>
      <c r="O705" s="89"/>
      <c r="P705" s="89"/>
      <c r="Q705" s="89"/>
      <c r="R705" s="89"/>
      <c r="S705" s="89"/>
      <c r="T705" s="89"/>
      <c r="U705" s="89"/>
      <c r="V705" s="89"/>
      <c r="W705" s="89"/>
      <c r="X705" s="89"/>
      <c r="Y705" s="89"/>
      <c r="Z705" s="89"/>
      <c r="AA705" s="89"/>
      <c r="AB705" s="89"/>
      <c r="AC705" s="89"/>
      <c r="AD705" s="89"/>
      <c r="AE705" s="89"/>
      <c r="AF705" s="89"/>
      <c r="AG705" s="89"/>
      <c r="AH705" s="89"/>
      <c r="AI705" s="89"/>
      <c r="AJ705" s="89"/>
      <c r="AK705" s="89"/>
      <c r="AL705" s="89"/>
      <c r="AM705" s="89"/>
      <c r="AN705" s="89"/>
      <c r="AO705" s="89"/>
      <c r="AP705" s="89"/>
      <c r="AQ705" s="89"/>
      <c r="AR705" s="89"/>
      <c r="AS705" s="89"/>
      <c r="AT705" s="89"/>
      <c r="AU705" s="89"/>
      <c r="AV705" s="89"/>
      <c r="AW705" s="89"/>
      <c r="AX705" s="89"/>
      <c r="AY705" s="89"/>
      <c r="AZ705" s="89"/>
      <c r="BA705" s="95"/>
    </row>
    <row r="706" spans="1:53" s="87" customFormat="1">
      <c r="A706" s="90" t="str">
        <f t="shared" si="35"/>
        <v/>
      </c>
      <c r="B706" s="89"/>
      <c r="C706" s="89"/>
      <c r="D706" s="89"/>
      <c r="E706" s="89"/>
      <c r="F706" s="89"/>
      <c r="G706" s="89"/>
      <c r="H706" s="89"/>
      <c r="I706" s="89"/>
      <c r="J706" s="89"/>
      <c r="K706" s="89"/>
      <c r="L706" s="89"/>
      <c r="M706" s="89"/>
      <c r="N706" s="89"/>
      <c r="O706" s="89"/>
      <c r="P706" s="89"/>
      <c r="Q706" s="89"/>
      <c r="R706" s="89"/>
      <c r="S706" s="89"/>
      <c r="T706" s="89"/>
      <c r="U706" s="89"/>
      <c r="V706" s="89"/>
      <c r="W706" s="89"/>
      <c r="X706" s="89"/>
      <c r="Y706" s="89"/>
      <c r="Z706" s="89"/>
      <c r="AA706" s="89"/>
      <c r="AB706" s="89"/>
      <c r="AC706" s="89"/>
      <c r="AD706" s="89"/>
      <c r="AE706" s="89"/>
      <c r="AF706" s="89"/>
      <c r="AG706" s="89"/>
      <c r="AH706" s="89"/>
      <c r="AI706" s="89"/>
      <c r="AJ706" s="89"/>
      <c r="AK706" s="89"/>
      <c r="AL706" s="89"/>
      <c r="AM706" s="89"/>
      <c r="AN706" s="89"/>
      <c r="AO706" s="89"/>
      <c r="AP706" s="89"/>
      <c r="AQ706" s="89"/>
      <c r="AR706" s="89"/>
      <c r="AS706" s="89"/>
      <c r="AT706" s="89"/>
      <c r="AU706" s="89"/>
      <c r="AV706" s="89"/>
      <c r="AW706" s="89"/>
      <c r="AX706" s="89"/>
      <c r="AY706" s="89"/>
      <c r="AZ706" s="89"/>
      <c r="BA706" s="95"/>
    </row>
    <row r="707" spans="1:53" s="87" customFormat="1">
      <c r="A707" s="90" t="str">
        <f t="shared" si="35"/>
        <v/>
      </c>
      <c r="B707" s="89"/>
      <c r="C707" s="89"/>
      <c r="D707" s="89"/>
      <c r="E707" s="89"/>
      <c r="F707" s="89"/>
      <c r="G707" s="89"/>
      <c r="H707" s="89"/>
      <c r="I707" s="89"/>
      <c r="J707" s="89"/>
      <c r="K707" s="89"/>
      <c r="L707" s="89"/>
      <c r="M707" s="89"/>
      <c r="N707" s="89"/>
      <c r="O707" s="89"/>
      <c r="P707" s="89"/>
      <c r="Q707" s="89"/>
      <c r="R707" s="89"/>
      <c r="S707" s="89"/>
      <c r="T707" s="89"/>
      <c r="U707" s="89"/>
      <c r="V707" s="89"/>
      <c r="W707" s="89"/>
      <c r="X707" s="89"/>
      <c r="Y707" s="89"/>
      <c r="Z707" s="89"/>
      <c r="AA707" s="89"/>
      <c r="AB707" s="89"/>
      <c r="AC707" s="89"/>
      <c r="AD707" s="89"/>
      <c r="AE707" s="89"/>
      <c r="AF707" s="89"/>
      <c r="AG707" s="89"/>
      <c r="AH707" s="89"/>
      <c r="AI707" s="89"/>
      <c r="AJ707" s="89"/>
      <c r="AK707" s="89"/>
      <c r="AL707" s="89"/>
      <c r="AM707" s="89"/>
      <c r="AN707" s="89"/>
      <c r="AO707" s="89"/>
      <c r="AP707" s="89"/>
      <c r="AQ707" s="89"/>
      <c r="AR707" s="89"/>
      <c r="AS707" s="89"/>
      <c r="AT707" s="89"/>
      <c r="AU707" s="89"/>
      <c r="AV707" s="89"/>
      <c r="AW707" s="89"/>
      <c r="AX707" s="89"/>
      <c r="AY707" s="89"/>
      <c r="AZ707" s="89"/>
      <c r="BA707" s="95"/>
    </row>
    <row r="708" spans="1:53" s="87" customFormat="1">
      <c r="A708" s="90" t="str">
        <f t="shared" si="35"/>
        <v/>
      </c>
      <c r="B708" s="89"/>
      <c r="C708" s="89"/>
      <c r="D708" s="89"/>
      <c r="E708" s="89"/>
      <c r="F708" s="89"/>
      <c r="G708" s="89"/>
      <c r="H708" s="89"/>
      <c r="I708" s="89"/>
      <c r="J708" s="89"/>
      <c r="K708" s="89"/>
      <c r="L708" s="89"/>
      <c r="M708" s="89"/>
      <c r="N708" s="89"/>
      <c r="O708" s="89"/>
      <c r="P708" s="89"/>
      <c r="Q708" s="89"/>
      <c r="R708" s="89"/>
      <c r="S708" s="89"/>
      <c r="T708" s="89"/>
      <c r="U708" s="89"/>
      <c r="V708" s="89"/>
      <c r="W708" s="89"/>
      <c r="X708" s="89"/>
      <c r="Y708" s="89"/>
      <c r="Z708" s="89"/>
      <c r="AA708" s="89"/>
      <c r="AB708" s="89"/>
      <c r="AC708" s="89"/>
      <c r="AD708" s="89"/>
      <c r="AE708" s="89"/>
      <c r="AF708" s="89"/>
      <c r="AG708" s="89"/>
      <c r="AH708" s="89"/>
      <c r="AI708" s="89"/>
      <c r="AJ708" s="89"/>
      <c r="AK708" s="89"/>
      <c r="AL708" s="89"/>
      <c r="AM708" s="89"/>
      <c r="AN708" s="89"/>
      <c r="AO708" s="89"/>
      <c r="AP708" s="89"/>
      <c r="AQ708" s="89"/>
      <c r="AR708" s="89"/>
      <c r="AS708" s="89"/>
      <c r="AT708" s="89"/>
      <c r="AU708" s="89"/>
      <c r="AV708" s="89"/>
      <c r="AW708" s="89"/>
      <c r="AX708" s="89"/>
      <c r="AY708" s="89"/>
      <c r="AZ708" s="89"/>
      <c r="BA708" s="95"/>
    </row>
    <row r="709" spans="1:53" s="87" customFormat="1">
      <c r="A709" s="90" t="str">
        <f t="shared" si="35"/>
        <v/>
      </c>
      <c r="B709" s="89"/>
      <c r="C709" s="89"/>
      <c r="D709" s="89"/>
      <c r="E709" s="89"/>
      <c r="F709" s="89"/>
      <c r="G709" s="89"/>
      <c r="H709" s="89"/>
      <c r="I709" s="89"/>
      <c r="J709" s="89"/>
      <c r="K709" s="89"/>
      <c r="L709" s="89"/>
      <c r="M709" s="89"/>
      <c r="N709" s="89"/>
      <c r="O709" s="89"/>
      <c r="P709" s="89"/>
      <c r="Q709" s="89"/>
      <c r="R709" s="89"/>
      <c r="S709" s="89"/>
      <c r="T709" s="89"/>
      <c r="U709" s="89"/>
      <c r="V709" s="89"/>
      <c r="W709" s="89"/>
      <c r="X709" s="89"/>
      <c r="Y709" s="89"/>
      <c r="Z709" s="89"/>
      <c r="AA709" s="89"/>
      <c r="AB709" s="89"/>
      <c r="AC709" s="89"/>
      <c r="AD709" s="89"/>
      <c r="AE709" s="89"/>
      <c r="AF709" s="89"/>
      <c r="AG709" s="89"/>
      <c r="AH709" s="89"/>
      <c r="AI709" s="89"/>
      <c r="AJ709" s="89"/>
      <c r="AK709" s="89"/>
      <c r="AL709" s="89"/>
      <c r="AM709" s="89"/>
      <c r="AN709" s="89"/>
      <c r="AO709" s="89"/>
      <c r="AP709" s="89"/>
      <c r="AQ709" s="89"/>
      <c r="AR709" s="89"/>
      <c r="AS709" s="89"/>
      <c r="AT709" s="89"/>
      <c r="AU709" s="89"/>
      <c r="AV709" s="89"/>
      <c r="AW709" s="89"/>
      <c r="AX709" s="89"/>
      <c r="AY709" s="89"/>
      <c r="AZ709" s="89"/>
      <c r="BA709" s="95"/>
    </row>
    <row r="710" spans="1:53" s="87" customFormat="1">
      <c r="A710" s="90" t="str">
        <f t="shared" si="35"/>
        <v/>
      </c>
      <c r="B710" s="89"/>
      <c r="C710" s="89"/>
      <c r="D710" s="89"/>
      <c r="E710" s="89"/>
      <c r="F710" s="89"/>
      <c r="G710" s="89"/>
      <c r="H710" s="89"/>
      <c r="I710" s="89"/>
      <c r="J710" s="89"/>
      <c r="K710" s="89"/>
      <c r="L710" s="89"/>
      <c r="M710" s="89"/>
      <c r="N710" s="89"/>
      <c r="O710" s="89"/>
      <c r="P710" s="89"/>
      <c r="Q710" s="89"/>
      <c r="R710" s="89"/>
      <c r="S710" s="89"/>
      <c r="T710" s="89"/>
      <c r="U710" s="89"/>
      <c r="V710" s="89"/>
      <c r="W710" s="89"/>
      <c r="X710" s="89"/>
      <c r="Y710" s="89"/>
      <c r="Z710" s="89"/>
      <c r="AA710" s="89"/>
      <c r="AB710" s="89"/>
      <c r="AC710" s="89"/>
      <c r="AD710" s="89"/>
      <c r="AE710" s="89"/>
      <c r="AF710" s="89"/>
      <c r="AG710" s="89"/>
      <c r="AH710" s="89"/>
      <c r="AI710" s="89"/>
      <c r="AJ710" s="89"/>
      <c r="AK710" s="89"/>
      <c r="AL710" s="89"/>
      <c r="AM710" s="89"/>
      <c r="AN710" s="89"/>
      <c r="AO710" s="89"/>
      <c r="AP710" s="89"/>
      <c r="AQ710" s="89"/>
      <c r="AR710" s="89"/>
      <c r="AS710" s="89"/>
      <c r="AT710" s="89"/>
      <c r="AU710" s="89"/>
      <c r="AV710" s="89"/>
      <c r="AW710" s="89"/>
      <c r="AX710" s="89"/>
      <c r="AY710" s="89"/>
      <c r="AZ710" s="89"/>
      <c r="BA710" s="95"/>
    </row>
    <row r="711" spans="1:53" s="87" customFormat="1">
      <c r="A711" s="90" t="str">
        <f t="shared" si="35"/>
        <v/>
      </c>
      <c r="B711" s="89"/>
      <c r="C711" s="89"/>
      <c r="D711" s="89"/>
      <c r="E711" s="89"/>
      <c r="F711" s="89"/>
      <c r="G711" s="89"/>
      <c r="H711" s="89"/>
      <c r="I711" s="89"/>
      <c r="J711" s="89"/>
      <c r="K711" s="89"/>
      <c r="L711" s="89"/>
      <c r="M711" s="89"/>
      <c r="N711" s="89"/>
      <c r="O711" s="89"/>
      <c r="P711" s="89"/>
      <c r="Q711" s="89"/>
      <c r="R711" s="89"/>
      <c r="S711" s="89"/>
      <c r="T711" s="89"/>
      <c r="U711" s="89"/>
      <c r="V711" s="89"/>
      <c r="W711" s="89"/>
      <c r="X711" s="89"/>
      <c r="Y711" s="89"/>
      <c r="Z711" s="89"/>
      <c r="AA711" s="89"/>
      <c r="AB711" s="89"/>
      <c r="AC711" s="89"/>
      <c r="AD711" s="89"/>
      <c r="AE711" s="89"/>
      <c r="AF711" s="89"/>
      <c r="AG711" s="89"/>
      <c r="AH711" s="89"/>
      <c r="AI711" s="89"/>
      <c r="AJ711" s="89"/>
      <c r="AK711" s="89"/>
      <c r="AL711" s="89"/>
      <c r="AM711" s="89"/>
      <c r="AN711" s="89"/>
      <c r="AO711" s="89"/>
      <c r="AP711" s="89"/>
      <c r="AQ711" s="89"/>
      <c r="AR711" s="89"/>
      <c r="AS711" s="89"/>
      <c r="AT711" s="89"/>
      <c r="AU711" s="89"/>
      <c r="AV711" s="89"/>
      <c r="AW711" s="89"/>
      <c r="AX711" s="89"/>
      <c r="AY711" s="89"/>
      <c r="AZ711" s="89"/>
      <c r="BA711" s="95"/>
    </row>
    <row r="712" spans="1:53" s="87" customFormat="1">
      <c r="A712" s="90" t="str">
        <f t="shared" si="35"/>
        <v/>
      </c>
      <c r="B712" s="89"/>
      <c r="C712" s="89"/>
      <c r="D712" s="89"/>
      <c r="E712" s="89"/>
      <c r="F712" s="89"/>
      <c r="G712" s="89"/>
      <c r="H712" s="89"/>
      <c r="I712" s="89"/>
      <c r="J712" s="89"/>
      <c r="K712" s="89"/>
      <c r="L712" s="89"/>
      <c r="M712" s="89"/>
      <c r="N712" s="89"/>
      <c r="O712" s="89"/>
      <c r="P712" s="89"/>
      <c r="Q712" s="89"/>
      <c r="R712" s="89"/>
      <c r="S712" s="89"/>
      <c r="T712" s="89"/>
      <c r="U712" s="89"/>
      <c r="V712" s="89"/>
      <c r="W712" s="89"/>
      <c r="X712" s="89"/>
      <c r="Y712" s="89"/>
      <c r="Z712" s="89"/>
      <c r="AA712" s="89"/>
      <c r="AB712" s="89"/>
      <c r="AC712" s="89"/>
      <c r="AD712" s="89"/>
      <c r="AE712" s="89"/>
      <c r="AF712" s="89"/>
      <c r="AG712" s="89"/>
      <c r="AH712" s="89"/>
      <c r="AI712" s="89"/>
      <c r="AJ712" s="89"/>
      <c r="AK712" s="89"/>
      <c r="AL712" s="89"/>
      <c r="AM712" s="89"/>
      <c r="AN712" s="89"/>
      <c r="AO712" s="89"/>
      <c r="AP712" s="89"/>
      <c r="AQ712" s="89"/>
      <c r="AR712" s="89"/>
      <c r="AS712" s="89"/>
      <c r="AT712" s="89"/>
      <c r="AU712" s="89"/>
      <c r="AV712" s="89"/>
      <c r="AW712" s="89"/>
      <c r="AX712" s="89"/>
      <c r="AY712" s="89"/>
      <c r="AZ712" s="89"/>
      <c r="BA712" s="95"/>
    </row>
    <row r="713" spans="1:53" s="87" customFormat="1">
      <c r="A713" s="90" t="str">
        <f t="shared" si="35"/>
        <v/>
      </c>
      <c r="B713" s="89"/>
      <c r="C713" s="89"/>
      <c r="D713" s="89"/>
      <c r="E713" s="89"/>
      <c r="F713" s="89"/>
      <c r="G713" s="89"/>
      <c r="H713" s="89"/>
      <c r="I713" s="89"/>
      <c r="J713" s="89"/>
      <c r="K713" s="89"/>
      <c r="L713" s="89"/>
      <c r="M713" s="89"/>
      <c r="N713" s="89"/>
      <c r="O713" s="89"/>
      <c r="P713" s="89"/>
      <c r="Q713" s="89"/>
      <c r="R713" s="89"/>
      <c r="S713" s="89"/>
      <c r="T713" s="89"/>
      <c r="U713" s="89"/>
      <c r="V713" s="89"/>
      <c r="W713" s="89"/>
      <c r="X713" s="89"/>
      <c r="Y713" s="89"/>
      <c r="Z713" s="89"/>
      <c r="AA713" s="89"/>
      <c r="AB713" s="89"/>
      <c r="AC713" s="89"/>
      <c r="AD713" s="89"/>
      <c r="AE713" s="89"/>
      <c r="AF713" s="89"/>
      <c r="AG713" s="89"/>
      <c r="AH713" s="89"/>
      <c r="AI713" s="89"/>
      <c r="AJ713" s="89"/>
      <c r="AK713" s="89"/>
      <c r="AL713" s="89"/>
      <c r="AM713" s="89"/>
      <c r="AN713" s="89"/>
      <c r="AO713" s="89"/>
      <c r="AP713" s="89"/>
      <c r="AQ713" s="89"/>
      <c r="AR713" s="89"/>
      <c r="AS713" s="89"/>
      <c r="AT713" s="89"/>
      <c r="AU713" s="89"/>
      <c r="AV713" s="89"/>
      <c r="AW713" s="89"/>
      <c r="AX713" s="89"/>
      <c r="AY713" s="89"/>
      <c r="AZ713" s="89"/>
      <c r="BA713" s="95"/>
    </row>
    <row r="714" spans="1:53" s="87" customFormat="1">
      <c r="A714" s="90" t="str">
        <f t="shared" si="35"/>
        <v/>
      </c>
      <c r="B714" s="89"/>
      <c r="C714" s="89"/>
      <c r="D714" s="89"/>
      <c r="E714" s="89"/>
      <c r="F714" s="89"/>
      <c r="G714" s="89"/>
      <c r="H714" s="89"/>
      <c r="I714" s="89"/>
      <c r="J714" s="89"/>
      <c r="K714" s="89"/>
      <c r="L714" s="89"/>
      <c r="M714" s="89"/>
      <c r="N714" s="89"/>
      <c r="O714" s="89"/>
      <c r="P714" s="89"/>
      <c r="Q714" s="89"/>
      <c r="R714" s="89"/>
      <c r="S714" s="89"/>
      <c r="T714" s="89"/>
      <c r="U714" s="89"/>
      <c r="V714" s="89"/>
      <c r="W714" s="89"/>
      <c r="X714" s="89"/>
      <c r="Y714" s="89"/>
      <c r="Z714" s="89"/>
      <c r="AA714" s="89"/>
      <c r="AB714" s="89"/>
      <c r="AC714" s="89"/>
      <c r="AD714" s="89"/>
      <c r="AE714" s="89"/>
      <c r="AF714" s="89"/>
      <c r="AG714" s="89"/>
      <c r="AH714" s="89"/>
      <c r="AI714" s="89"/>
      <c r="AJ714" s="89"/>
      <c r="AK714" s="89"/>
      <c r="AL714" s="89"/>
      <c r="AM714" s="89"/>
      <c r="AN714" s="89"/>
      <c r="AO714" s="89"/>
      <c r="AP714" s="89"/>
      <c r="AQ714" s="89"/>
      <c r="AR714" s="89"/>
      <c r="AS714" s="89"/>
      <c r="AT714" s="89"/>
      <c r="AU714" s="89"/>
      <c r="AV714" s="89"/>
      <c r="AW714" s="89"/>
      <c r="AX714" s="89"/>
      <c r="AY714" s="89"/>
      <c r="AZ714" s="89"/>
      <c r="BA714" s="95"/>
    </row>
    <row r="715" spans="1:53" s="87" customFormat="1">
      <c r="A715" s="90" t="str">
        <f t="shared" si="35"/>
        <v/>
      </c>
      <c r="B715" s="89"/>
      <c r="C715" s="89"/>
      <c r="D715" s="89"/>
      <c r="E715" s="89"/>
      <c r="F715" s="89"/>
      <c r="G715" s="89"/>
      <c r="H715" s="89"/>
      <c r="I715" s="89"/>
      <c r="J715" s="89"/>
      <c r="K715" s="89"/>
      <c r="L715" s="89"/>
      <c r="M715" s="89"/>
      <c r="N715" s="89"/>
      <c r="O715" s="89"/>
      <c r="P715" s="89"/>
      <c r="Q715" s="89"/>
      <c r="R715" s="89"/>
      <c r="S715" s="89"/>
      <c r="T715" s="89"/>
      <c r="U715" s="89"/>
      <c r="V715" s="89"/>
      <c r="W715" s="89"/>
      <c r="X715" s="89"/>
      <c r="Y715" s="89"/>
      <c r="Z715" s="89"/>
      <c r="AA715" s="89"/>
      <c r="AB715" s="89"/>
      <c r="AC715" s="89"/>
      <c r="AD715" s="89"/>
      <c r="AE715" s="89"/>
      <c r="AF715" s="89"/>
      <c r="AG715" s="89"/>
      <c r="AH715" s="89"/>
      <c r="AI715" s="89"/>
      <c r="AJ715" s="89"/>
      <c r="AK715" s="89"/>
      <c r="AL715" s="89"/>
      <c r="AM715" s="89"/>
      <c r="AN715" s="89"/>
      <c r="AO715" s="89"/>
      <c r="AP715" s="89"/>
      <c r="AQ715" s="89"/>
      <c r="AR715" s="89"/>
      <c r="AS715" s="89"/>
      <c r="AT715" s="89"/>
      <c r="AU715" s="89"/>
      <c r="AV715" s="89"/>
      <c r="AW715" s="89"/>
      <c r="AX715" s="89"/>
      <c r="AY715" s="89"/>
      <c r="AZ715" s="89"/>
      <c r="BA715" s="95"/>
    </row>
    <row r="716" spans="1:53" s="87" customFormat="1">
      <c r="A716" s="90" t="str">
        <f t="shared" ref="A716:A779" si="36">IF(MID(B716,3,2)="10",ROW(),"")</f>
        <v/>
      </c>
      <c r="B716" s="89"/>
      <c r="C716" s="89"/>
      <c r="D716" s="89"/>
      <c r="E716" s="89"/>
      <c r="F716" s="89"/>
      <c r="G716" s="89"/>
      <c r="H716" s="89"/>
      <c r="I716" s="89"/>
      <c r="J716" s="89"/>
      <c r="K716" s="89"/>
      <c r="L716" s="89"/>
      <c r="M716" s="89"/>
      <c r="N716" s="89"/>
      <c r="O716" s="89"/>
      <c r="P716" s="89"/>
      <c r="Q716" s="89"/>
      <c r="R716" s="89"/>
      <c r="S716" s="89"/>
      <c r="T716" s="89"/>
      <c r="U716" s="89"/>
      <c r="V716" s="89"/>
      <c r="W716" s="89"/>
      <c r="X716" s="89"/>
      <c r="Y716" s="89"/>
      <c r="Z716" s="89"/>
      <c r="AA716" s="89"/>
      <c r="AB716" s="89"/>
      <c r="AC716" s="89"/>
      <c r="AD716" s="89"/>
      <c r="AE716" s="89"/>
      <c r="AF716" s="89"/>
      <c r="AG716" s="89"/>
      <c r="AH716" s="89"/>
      <c r="AI716" s="89"/>
      <c r="AJ716" s="89"/>
      <c r="AK716" s="89"/>
      <c r="AL716" s="89"/>
      <c r="AM716" s="89"/>
      <c r="AN716" s="89"/>
      <c r="AO716" s="89"/>
      <c r="AP716" s="89"/>
      <c r="AQ716" s="89"/>
      <c r="AR716" s="89"/>
      <c r="AS716" s="89"/>
      <c r="AT716" s="89"/>
      <c r="AU716" s="89"/>
      <c r="AV716" s="89"/>
      <c r="AW716" s="89"/>
      <c r="AX716" s="89"/>
      <c r="AY716" s="89"/>
      <c r="AZ716" s="89"/>
      <c r="BA716" s="95"/>
    </row>
    <row r="717" spans="1:53" s="87" customFormat="1">
      <c r="A717" s="90" t="str">
        <f t="shared" si="36"/>
        <v/>
      </c>
      <c r="B717" s="89"/>
      <c r="C717" s="89"/>
      <c r="D717" s="89"/>
      <c r="E717" s="89"/>
      <c r="F717" s="89"/>
      <c r="G717" s="89"/>
      <c r="H717" s="89"/>
      <c r="I717" s="89"/>
      <c r="J717" s="89"/>
      <c r="K717" s="89"/>
      <c r="L717" s="89"/>
      <c r="M717" s="89"/>
      <c r="N717" s="89"/>
      <c r="O717" s="89"/>
      <c r="P717" s="89"/>
      <c r="Q717" s="89"/>
      <c r="R717" s="89"/>
      <c r="S717" s="89"/>
      <c r="T717" s="89"/>
      <c r="U717" s="89"/>
      <c r="V717" s="89"/>
      <c r="W717" s="89"/>
      <c r="X717" s="89"/>
      <c r="Y717" s="89"/>
      <c r="Z717" s="89"/>
      <c r="AA717" s="89"/>
      <c r="AB717" s="89"/>
      <c r="AC717" s="89"/>
      <c r="AD717" s="89"/>
      <c r="AE717" s="89"/>
      <c r="AF717" s="89"/>
      <c r="AG717" s="89"/>
      <c r="AH717" s="89"/>
      <c r="AI717" s="89"/>
      <c r="AJ717" s="89"/>
      <c r="AK717" s="89"/>
      <c r="AL717" s="89"/>
      <c r="AM717" s="89"/>
      <c r="AN717" s="89"/>
      <c r="AO717" s="89"/>
      <c r="AP717" s="89"/>
      <c r="AQ717" s="89"/>
      <c r="AR717" s="89"/>
      <c r="AS717" s="89"/>
      <c r="AT717" s="89"/>
      <c r="AU717" s="89"/>
      <c r="AV717" s="89"/>
      <c r="AW717" s="89"/>
      <c r="AX717" s="89"/>
      <c r="AY717" s="89"/>
      <c r="AZ717" s="89"/>
      <c r="BA717" s="95"/>
    </row>
    <row r="718" spans="1:53" s="87" customFormat="1">
      <c r="A718" s="90" t="str">
        <f t="shared" si="36"/>
        <v/>
      </c>
      <c r="B718" s="89"/>
      <c r="C718" s="89"/>
      <c r="D718" s="89"/>
      <c r="E718" s="89"/>
      <c r="F718" s="89"/>
      <c r="G718" s="89"/>
      <c r="H718" s="89"/>
      <c r="I718" s="89"/>
      <c r="J718" s="89"/>
      <c r="K718" s="89"/>
      <c r="L718" s="89"/>
      <c r="M718" s="89"/>
      <c r="N718" s="89"/>
      <c r="O718" s="89"/>
      <c r="P718" s="89"/>
      <c r="Q718" s="89"/>
      <c r="R718" s="89"/>
      <c r="S718" s="89"/>
      <c r="T718" s="89"/>
      <c r="U718" s="89"/>
      <c r="V718" s="89"/>
      <c r="W718" s="89"/>
      <c r="X718" s="89"/>
      <c r="Y718" s="89"/>
      <c r="Z718" s="89"/>
      <c r="AA718" s="89"/>
      <c r="AB718" s="89"/>
      <c r="AC718" s="89"/>
      <c r="AD718" s="89"/>
      <c r="AE718" s="89"/>
      <c r="AF718" s="89"/>
      <c r="AG718" s="89"/>
      <c r="AH718" s="89"/>
      <c r="AI718" s="89"/>
      <c r="AJ718" s="89"/>
      <c r="AK718" s="89"/>
      <c r="AL718" s="89"/>
      <c r="AM718" s="89"/>
      <c r="AN718" s="89"/>
      <c r="AO718" s="89"/>
      <c r="AP718" s="89"/>
      <c r="AQ718" s="89"/>
      <c r="AR718" s="89"/>
      <c r="AS718" s="89"/>
      <c r="AT718" s="89"/>
      <c r="AU718" s="89"/>
      <c r="AV718" s="89"/>
      <c r="AW718" s="89"/>
      <c r="AX718" s="89"/>
      <c r="AY718" s="89"/>
      <c r="AZ718" s="89"/>
      <c r="BA718" s="95"/>
    </row>
    <row r="719" spans="1:53" s="87" customFormat="1">
      <c r="A719" s="90" t="str">
        <f t="shared" si="36"/>
        <v/>
      </c>
      <c r="B719" s="89"/>
      <c r="C719" s="89"/>
      <c r="D719" s="89"/>
      <c r="E719" s="89"/>
      <c r="F719" s="89"/>
      <c r="G719" s="89"/>
      <c r="H719" s="89"/>
      <c r="I719" s="89"/>
      <c r="J719" s="89"/>
      <c r="K719" s="89"/>
      <c r="L719" s="89"/>
      <c r="M719" s="89"/>
      <c r="N719" s="89"/>
      <c r="O719" s="89"/>
      <c r="P719" s="89"/>
      <c r="Q719" s="89"/>
      <c r="R719" s="89"/>
      <c r="S719" s="89"/>
      <c r="T719" s="89"/>
      <c r="U719" s="89"/>
      <c r="V719" s="89"/>
      <c r="W719" s="89"/>
      <c r="X719" s="89"/>
      <c r="Y719" s="89"/>
      <c r="Z719" s="89"/>
      <c r="AA719" s="89"/>
      <c r="AB719" s="89"/>
      <c r="AC719" s="89"/>
      <c r="AD719" s="89"/>
      <c r="AE719" s="89"/>
      <c r="AF719" s="89"/>
      <c r="AG719" s="89"/>
      <c r="AH719" s="89"/>
      <c r="AI719" s="89"/>
      <c r="AJ719" s="89"/>
      <c r="AK719" s="89"/>
      <c r="AL719" s="89"/>
      <c r="AM719" s="89"/>
      <c r="AN719" s="89"/>
      <c r="AO719" s="89"/>
      <c r="AP719" s="89"/>
      <c r="AQ719" s="89"/>
      <c r="AR719" s="89"/>
      <c r="AS719" s="89"/>
      <c r="AT719" s="89"/>
      <c r="AU719" s="89"/>
      <c r="AV719" s="89"/>
      <c r="AW719" s="89"/>
      <c r="AX719" s="89"/>
      <c r="AY719" s="89"/>
      <c r="AZ719" s="89"/>
      <c r="BA719" s="95"/>
    </row>
    <row r="720" spans="1:53" s="87" customFormat="1">
      <c r="A720" s="90" t="str">
        <f t="shared" si="36"/>
        <v/>
      </c>
      <c r="B720" s="89"/>
      <c r="C720" s="89"/>
      <c r="D720" s="89"/>
      <c r="E720" s="89"/>
      <c r="F720" s="89"/>
      <c r="G720" s="89"/>
      <c r="H720" s="89"/>
      <c r="I720" s="89"/>
      <c r="J720" s="89"/>
      <c r="K720" s="89"/>
      <c r="L720" s="89"/>
      <c r="M720" s="89"/>
      <c r="N720" s="89"/>
      <c r="O720" s="89"/>
      <c r="P720" s="89"/>
      <c r="Q720" s="89"/>
      <c r="R720" s="89"/>
      <c r="S720" s="89"/>
      <c r="T720" s="89"/>
      <c r="U720" s="89"/>
      <c r="V720" s="89"/>
      <c r="W720" s="89"/>
      <c r="X720" s="89"/>
      <c r="Y720" s="89"/>
      <c r="Z720" s="89"/>
      <c r="AA720" s="89"/>
      <c r="AB720" s="89"/>
      <c r="AC720" s="89"/>
      <c r="AD720" s="89"/>
      <c r="AE720" s="89"/>
      <c r="AF720" s="89"/>
      <c r="AG720" s="89"/>
      <c r="AH720" s="89"/>
      <c r="AI720" s="89"/>
      <c r="AJ720" s="89"/>
      <c r="AK720" s="89"/>
      <c r="AL720" s="89"/>
      <c r="AM720" s="89"/>
      <c r="AN720" s="89"/>
      <c r="AO720" s="89"/>
      <c r="AP720" s="89"/>
      <c r="AQ720" s="89"/>
      <c r="AR720" s="89"/>
      <c r="AS720" s="89"/>
      <c r="AT720" s="89"/>
      <c r="AU720" s="89"/>
      <c r="AV720" s="89"/>
      <c r="AW720" s="89"/>
      <c r="AX720" s="89"/>
      <c r="AY720" s="89"/>
      <c r="AZ720" s="89"/>
      <c r="BA720" s="95"/>
    </row>
    <row r="721" spans="1:53" s="87" customFormat="1">
      <c r="A721" s="90" t="str">
        <f t="shared" si="36"/>
        <v/>
      </c>
      <c r="B721" s="89"/>
      <c r="C721" s="89"/>
      <c r="D721" s="89"/>
      <c r="E721" s="89"/>
      <c r="F721" s="89"/>
      <c r="G721" s="89"/>
      <c r="H721" s="89"/>
      <c r="I721" s="89"/>
      <c r="J721" s="89"/>
      <c r="K721" s="89"/>
      <c r="L721" s="89"/>
      <c r="M721" s="89"/>
      <c r="N721" s="89"/>
      <c r="O721" s="89"/>
      <c r="P721" s="89"/>
      <c r="Q721" s="89"/>
      <c r="R721" s="89"/>
      <c r="S721" s="89"/>
      <c r="T721" s="89"/>
      <c r="U721" s="89"/>
      <c r="V721" s="89"/>
      <c r="W721" s="89"/>
      <c r="X721" s="89"/>
      <c r="Y721" s="89"/>
      <c r="Z721" s="89"/>
      <c r="AA721" s="89"/>
      <c r="AB721" s="89"/>
      <c r="AC721" s="89"/>
      <c r="AD721" s="89"/>
      <c r="AE721" s="89"/>
      <c r="AF721" s="89"/>
      <c r="AG721" s="89"/>
      <c r="AH721" s="89"/>
      <c r="AI721" s="89"/>
      <c r="AJ721" s="89"/>
      <c r="AK721" s="89"/>
      <c r="AL721" s="89"/>
      <c r="AM721" s="89"/>
      <c r="AN721" s="89"/>
      <c r="AO721" s="89"/>
      <c r="AP721" s="89"/>
      <c r="AQ721" s="89"/>
      <c r="AR721" s="89"/>
      <c r="AS721" s="89"/>
      <c r="AT721" s="89"/>
      <c r="AU721" s="89"/>
      <c r="AV721" s="89"/>
      <c r="AW721" s="89"/>
      <c r="AX721" s="89"/>
      <c r="AY721" s="89"/>
      <c r="AZ721" s="89"/>
      <c r="BA721" s="95"/>
    </row>
    <row r="722" spans="1:53" s="87" customFormat="1">
      <c r="A722" s="90" t="str">
        <f t="shared" si="36"/>
        <v/>
      </c>
      <c r="B722" s="89"/>
      <c r="C722" s="89"/>
      <c r="D722" s="89"/>
      <c r="E722" s="89"/>
      <c r="F722" s="89"/>
      <c r="G722" s="89"/>
      <c r="H722" s="89"/>
      <c r="I722" s="89"/>
      <c r="J722" s="89"/>
      <c r="K722" s="89"/>
      <c r="L722" s="89"/>
      <c r="M722" s="89"/>
      <c r="N722" s="89"/>
      <c r="O722" s="89"/>
      <c r="P722" s="89"/>
      <c r="Q722" s="89"/>
      <c r="R722" s="89"/>
      <c r="S722" s="89"/>
      <c r="T722" s="89"/>
      <c r="U722" s="89"/>
      <c r="V722" s="89"/>
      <c r="W722" s="89"/>
      <c r="X722" s="89"/>
      <c r="Y722" s="89"/>
      <c r="Z722" s="89"/>
      <c r="AA722" s="89"/>
      <c r="AB722" s="89"/>
      <c r="AC722" s="89"/>
      <c r="AD722" s="89"/>
      <c r="AE722" s="89"/>
      <c r="AF722" s="89"/>
      <c r="AG722" s="89"/>
      <c r="AH722" s="89"/>
      <c r="AI722" s="89"/>
      <c r="AJ722" s="89"/>
      <c r="AK722" s="89"/>
      <c r="AL722" s="89"/>
      <c r="AM722" s="89"/>
      <c r="AN722" s="89"/>
      <c r="AO722" s="89"/>
      <c r="AP722" s="89"/>
      <c r="AQ722" s="89"/>
      <c r="AR722" s="89"/>
      <c r="AS722" s="89"/>
      <c r="AT722" s="89"/>
      <c r="AU722" s="89"/>
      <c r="AV722" s="89"/>
      <c r="AW722" s="89"/>
      <c r="AX722" s="89"/>
      <c r="AY722" s="89"/>
      <c r="AZ722" s="89"/>
      <c r="BA722" s="95"/>
    </row>
    <row r="723" spans="1:53" s="87" customFormat="1">
      <c r="A723" s="90" t="str">
        <f t="shared" si="36"/>
        <v/>
      </c>
      <c r="B723" s="89"/>
      <c r="C723" s="89"/>
      <c r="D723" s="89"/>
      <c r="E723" s="89"/>
      <c r="F723" s="89"/>
      <c r="G723" s="89"/>
      <c r="H723" s="89"/>
      <c r="I723" s="89"/>
      <c r="J723" s="89"/>
      <c r="K723" s="89"/>
      <c r="L723" s="89"/>
      <c r="M723" s="89"/>
      <c r="N723" s="89"/>
      <c r="O723" s="89"/>
      <c r="P723" s="89"/>
      <c r="Q723" s="89"/>
      <c r="R723" s="89"/>
      <c r="S723" s="89"/>
      <c r="T723" s="89"/>
      <c r="U723" s="89"/>
      <c r="V723" s="89"/>
      <c r="W723" s="89"/>
      <c r="X723" s="89"/>
      <c r="Y723" s="89"/>
      <c r="Z723" s="89"/>
      <c r="AA723" s="89"/>
      <c r="AB723" s="89"/>
      <c r="AC723" s="89"/>
      <c r="AD723" s="89"/>
      <c r="AE723" s="89"/>
      <c r="AF723" s="89"/>
      <c r="AG723" s="89"/>
      <c r="AH723" s="89"/>
      <c r="AI723" s="89"/>
      <c r="AJ723" s="89"/>
      <c r="AK723" s="89"/>
      <c r="AL723" s="89"/>
      <c r="AM723" s="89"/>
      <c r="AN723" s="89"/>
      <c r="AO723" s="89"/>
      <c r="AP723" s="89"/>
      <c r="AQ723" s="89"/>
      <c r="AR723" s="89"/>
      <c r="AS723" s="89"/>
      <c r="AT723" s="89"/>
      <c r="AU723" s="89"/>
      <c r="AV723" s="89"/>
      <c r="AW723" s="89"/>
      <c r="AX723" s="89"/>
      <c r="AY723" s="89"/>
      <c r="AZ723" s="89"/>
      <c r="BA723" s="95"/>
    </row>
    <row r="724" spans="1:53" s="87" customFormat="1">
      <c r="A724" s="90" t="str">
        <f t="shared" si="36"/>
        <v/>
      </c>
      <c r="B724" s="89"/>
      <c r="C724" s="89"/>
      <c r="D724" s="89"/>
      <c r="E724" s="89"/>
      <c r="F724" s="89"/>
      <c r="G724" s="89"/>
      <c r="H724" s="89"/>
      <c r="I724" s="89"/>
      <c r="J724" s="89"/>
      <c r="K724" s="89"/>
      <c r="L724" s="89"/>
      <c r="M724" s="89"/>
      <c r="N724" s="89"/>
      <c r="O724" s="89"/>
      <c r="P724" s="89"/>
      <c r="Q724" s="89"/>
      <c r="R724" s="89"/>
      <c r="S724" s="89"/>
      <c r="T724" s="89"/>
      <c r="U724" s="89"/>
      <c r="V724" s="89"/>
      <c r="W724" s="89"/>
      <c r="X724" s="89"/>
      <c r="Y724" s="89"/>
      <c r="Z724" s="89"/>
      <c r="AA724" s="89"/>
      <c r="AB724" s="89"/>
      <c r="AC724" s="89"/>
      <c r="AD724" s="89"/>
      <c r="AE724" s="89"/>
      <c r="AF724" s="89"/>
      <c r="AG724" s="89"/>
      <c r="AH724" s="89"/>
      <c r="AI724" s="89"/>
      <c r="AJ724" s="89"/>
      <c r="AK724" s="89"/>
      <c r="AL724" s="89"/>
      <c r="AM724" s="89"/>
      <c r="AN724" s="89"/>
      <c r="AO724" s="89"/>
      <c r="AP724" s="89"/>
      <c r="AQ724" s="89"/>
      <c r="AR724" s="89"/>
      <c r="AS724" s="89"/>
      <c r="AT724" s="89"/>
      <c r="AU724" s="89"/>
      <c r="AV724" s="89"/>
      <c r="AW724" s="89"/>
      <c r="AX724" s="89"/>
      <c r="AY724" s="89"/>
      <c r="AZ724" s="89"/>
      <c r="BA724" s="95"/>
    </row>
    <row r="725" spans="1:53" s="87" customFormat="1">
      <c r="A725" s="90" t="str">
        <f t="shared" si="36"/>
        <v/>
      </c>
      <c r="B725" s="89"/>
      <c r="C725" s="89"/>
      <c r="D725" s="89"/>
      <c r="E725" s="89"/>
      <c r="F725" s="89"/>
      <c r="G725" s="89"/>
      <c r="H725" s="89"/>
      <c r="I725" s="89"/>
      <c r="J725" s="89"/>
      <c r="K725" s="89"/>
      <c r="L725" s="89"/>
      <c r="M725" s="89"/>
      <c r="N725" s="89"/>
      <c r="O725" s="89"/>
      <c r="P725" s="89"/>
      <c r="Q725" s="89"/>
      <c r="R725" s="89"/>
      <c r="S725" s="89"/>
      <c r="T725" s="89"/>
      <c r="U725" s="89"/>
      <c r="V725" s="89"/>
      <c r="W725" s="89"/>
      <c r="X725" s="89"/>
      <c r="Y725" s="89"/>
      <c r="Z725" s="89"/>
      <c r="AA725" s="89"/>
      <c r="AB725" s="89"/>
      <c r="AC725" s="89"/>
      <c r="AD725" s="89"/>
      <c r="AE725" s="89"/>
      <c r="AF725" s="89"/>
      <c r="AG725" s="89"/>
      <c r="AH725" s="89"/>
      <c r="AI725" s="89"/>
      <c r="AJ725" s="89"/>
      <c r="AK725" s="89"/>
      <c r="AL725" s="89"/>
      <c r="AM725" s="89"/>
      <c r="AN725" s="89"/>
      <c r="AO725" s="89"/>
      <c r="AP725" s="89"/>
      <c r="AQ725" s="89"/>
      <c r="AR725" s="89"/>
      <c r="AS725" s="89"/>
      <c r="AT725" s="89"/>
      <c r="AU725" s="89"/>
      <c r="AV725" s="89"/>
      <c r="AW725" s="89"/>
      <c r="AX725" s="89"/>
      <c r="AY725" s="89"/>
      <c r="AZ725" s="89"/>
      <c r="BA725" s="95"/>
    </row>
    <row r="726" spans="1:53" s="87" customFormat="1">
      <c r="A726" s="90" t="str">
        <f t="shared" si="36"/>
        <v/>
      </c>
      <c r="B726" s="89"/>
      <c r="C726" s="89"/>
      <c r="D726" s="89"/>
      <c r="E726" s="89"/>
      <c r="F726" s="89"/>
      <c r="G726" s="89"/>
      <c r="H726" s="89"/>
      <c r="I726" s="89"/>
      <c r="J726" s="89"/>
      <c r="K726" s="89"/>
      <c r="L726" s="89"/>
      <c r="M726" s="89"/>
      <c r="N726" s="89"/>
      <c r="O726" s="89"/>
      <c r="P726" s="89"/>
      <c r="Q726" s="89"/>
      <c r="R726" s="89"/>
      <c r="S726" s="89"/>
      <c r="T726" s="89"/>
      <c r="U726" s="89"/>
      <c r="V726" s="89"/>
      <c r="W726" s="89"/>
      <c r="X726" s="89"/>
      <c r="Y726" s="89"/>
      <c r="Z726" s="89"/>
      <c r="AA726" s="89"/>
      <c r="AB726" s="89"/>
      <c r="AC726" s="89"/>
      <c r="AD726" s="89"/>
      <c r="AE726" s="89"/>
      <c r="AF726" s="89"/>
      <c r="AG726" s="89"/>
      <c r="AH726" s="89"/>
      <c r="AI726" s="89"/>
      <c r="AJ726" s="89"/>
      <c r="AK726" s="89"/>
      <c r="AL726" s="89"/>
      <c r="AM726" s="89"/>
      <c r="AN726" s="89"/>
      <c r="AO726" s="89"/>
      <c r="AP726" s="89"/>
      <c r="AQ726" s="89"/>
      <c r="AR726" s="89"/>
      <c r="AS726" s="89"/>
      <c r="AT726" s="89"/>
      <c r="AU726" s="89"/>
      <c r="AV726" s="89"/>
      <c r="AW726" s="89"/>
      <c r="AX726" s="89"/>
      <c r="AY726" s="89"/>
      <c r="AZ726" s="89"/>
      <c r="BA726" s="95"/>
    </row>
    <row r="727" spans="1:53" s="87" customFormat="1">
      <c r="A727" s="90" t="str">
        <f t="shared" si="36"/>
        <v/>
      </c>
      <c r="B727" s="89"/>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89"/>
      <c r="AA727" s="89"/>
      <c r="AB727" s="89"/>
      <c r="AC727" s="89"/>
      <c r="AD727" s="89"/>
      <c r="AE727" s="89"/>
      <c r="AF727" s="89"/>
      <c r="AG727" s="89"/>
      <c r="AH727" s="89"/>
      <c r="AI727" s="89"/>
      <c r="AJ727" s="89"/>
      <c r="AK727" s="89"/>
      <c r="AL727" s="89"/>
      <c r="AM727" s="89"/>
      <c r="AN727" s="89"/>
      <c r="AO727" s="89"/>
      <c r="AP727" s="89"/>
      <c r="AQ727" s="89"/>
      <c r="AR727" s="89"/>
      <c r="AS727" s="89"/>
      <c r="AT727" s="89"/>
      <c r="AU727" s="89"/>
      <c r="AV727" s="89"/>
      <c r="AW727" s="89"/>
      <c r="AX727" s="89"/>
      <c r="AY727" s="89"/>
      <c r="AZ727" s="89"/>
      <c r="BA727" s="95"/>
    </row>
    <row r="728" spans="1:53" s="87" customFormat="1">
      <c r="A728" s="90" t="str">
        <f t="shared" si="36"/>
        <v/>
      </c>
      <c r="B728" s="89"/>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c r="AA728" s="89"/>
      <c r="AB728" s="89"/>
      <c r="AC728" s="89"/>
      <c r="AD728" s="89"/>
      <c r="AE728" s="89"/>
      <c r="AF728" s="89"/>
      <c r="AG728" s="89"/>
      <c r="AH728" s="89"/>
      <c r="AI728" s="89"/>
      <c r="AJ728" s="89"/>
      <c r="AK728" s="89"/>
      <c r="AL728" s="89"/>
      <c r="AM728" s="89"/>
      <c r="AN728" s="89"/>
      <c r="AO728" s="89"/>
      <c r="AP728" s="89"/>
      <c r="AQ728" s="89"/>
      <c r="AR728" s="89"/>
      <c r="AS728" s="89"/>
      <c r="AT728" s="89"/>
      <c r="AU728" s="89"/>
      <c r="AV728" s="89"/>
      <c r="AW728" s="89"/>
      <c r="AX728" s="89"/>
      <c r="AY728" s="89"/>
      <c r="AZ728" s="89"/>
      <c r="BA728" s="95"/>
    </row>
    <row r="729" spans="1:53" s="87" customFormat="1">
      <c r="A729" s="90" t="str">
        <f t="shared" si="36"/>
        <v/>
      </c>
      <c r="B729" s="89"/>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c r="AA729" s="89"/>
      <c r="AB729" s="89"/>
      <c r="AC729" s="89"/>
      <c r="AD729" s="89"/>
      <c r="AE729" s="89"/>
      <c r="AF729" s="89"/>
      <c r="AG729" s="89"/>
      <c r="AH729" s="89"/>
      <c r="AI729" s="89"/>
      <c r="AJ729" s="89"/>
      <c r="AK729" s="89"/>
      <c r="AL729" s="89"/>
      <c r="AM729" s="89"/>
      <c r="AN729" s="89"/>
      <c r="AO729" s="89"/>
      <c r="AP729" s="89"/>
      <c r="AQ729" s="89"/>
      <c r="AR729" s="89"/>
      <c r="AS729" s="89"/>
      <c r="AT729" s="89"/>
      <c r="AU729" s="89"/>
      <c r="AV729" s="89"/>
      <c r="AW729" s="89"/>
      <c r="AX729" s="89"/>
      <c r="AY729" s="89"/>
      <c r="AZ729" s="89"/>
      <c r="BA729" s="95"/>
    </row>
    <row r="730" spans="1:53" s="87" customFormat="1">
      <c r="A730" s="90" t="str">
        <f t="shared" si="36"/>
        <v/>
      </c>
      <c r="B730" s="89"/>
      <c r="C730" s="89"/>
      <c r="D730" s="89"/>
      <c r="E730" s="89"/>
      <c r="F730" s="89"/>
      <c r="G730" s="89"/>
      <c r="H730" s="89"/>
      <c r="I730" s="89"/>
      <c r="J730" s="89"/>
      <c r="K730" s="89"/>
      <c r="L730" s="89"/>
      <c r="M730" s="89"/>
      <c r="N730" s="89"/>
      <c r="O730" s="89"/>
      <c r="P730" s="89"/>
      <c r="Q730" s="89"/>
      <c r="R730" s="89"/>
      <c r="S730" s="89"/>
      <c r="T730" s="89"/>
      <c r="U730" s="89"/>
      <c r="V730" s="89"/>
      <c r="W730" s="89"/>
      <c r="X730" s="89"/>
      <c r="Y730" s="89"/>
      <c r="Z730" s="89"/>
      <c r="AA730" s="89"/>
      <c r="AB730" s="89"/>
      <c r="AC730" s="89"/>
      <c r="AD730" s="89"/>
      <c r="AE730" s="89"/>
      <c r="AF730" s="89"/>
      <c r="AG730" s="89"/>
      <c r="AH730" s="89"/>
      <c r="AI730" s="89"/>
      <c r="AJ730" s="89"/>
      <c r="AK730" s="89"/>
      <c r="AL730" s="89"/>
      <c r="AM730" s="89"/>
      <c r="AN730" s="89"/>
      <c r="AO730" s="89"/>
      <c r="AP730" s="89"/>
      <c r="AQ730" s="89"/>
      <c r="AR730" s="89"/>
      <c r="AS730" s="89"/>
      <c r="AT730" s="89"/>
      <c r="AU730" s="89"/>
      <c r="AV730" s="89"/>
      <c r="AW730" s="89"/>
      <c r="AX730" s="89"/>
      <c r="AY730" s="89"/>
      <c r="AZ730" s="89"/>
      <c r="BA730" s="95"/>
    </row>
    <row r="731" spans="1:53" s="87" customFormat="1">
      <c r="A731" s="90" t="str">
        <f t="shared" si="36"/>
        <v/>
      </c>
      <c r="B731" s="89"/>
      <c r="C731" s="89"/>
      <c r="D731" s="89"/>
      <c r="E731" s="89"/>
      <c r="F731" s="89"/>
      <c r="G731" s="89"/>
      <c r="H731" s="89"/>
      <c r="I731" s="89"/>
      <c r="J731" s="89"/>
      <c r="K731" s="89"/>
      <c r="L731" s="89"/>
      <c r="M731" s="89"/>
      <c r="N731" s="89"/>
      <c r="O731" s="89"/>
      <c r="P731" s="89"/>
      <c r="Q731" s="89"/>
      <c r="R731" s="89"/>
      <c r="S731" s="89"/>
      <c r="T731" s="89"/>
      <c r="U731" s="89"/>
      <c r="V731" s="89"/>
      <c r="W731" s="89"/>
      <c r="X731" s="89"/>
      <c r="Y731" s="89"/>
      <c r="Z731" s="89"/>
      <c r="AA731" s="89"/>
      <c r="AB731" s="89"/>
      <c r="AC731" s="89"/>
      <c r="AD731" s="89"/>
      <c r="AE731" s="89"/>
      <c r="AF731" s="89"/>
      <c r="AG731" s="89"/>
      <c r="AH731" s="89"/>
      <c r="AI731" s="89"/>
      <c r="AJ731" s="89"/>
      <c r="AK731" s="89"/>
      <c r="AL731" s="89"/>
      <c r="AM731" s="89"/>
      <c r="AN731" s="89"/>
      <c r="AO731" s="89"/>
      <c r="AP731" s="89"/>
      <c r="AQ731" s="89"/>
      <c r="AR731" s="89"/>
      <c r="AS731" s="89"/>
      <c r="AT731" s="89"/>
      <c r="AU731" s="89"/>
      <c r="AV731" s="89"/>
      <c r="AW731" s="89"/>
      <c r="AX731" s="89"/>
      <c r="AY731" s="89"/>
      <c r="AZ731" s="89"/>
      <c r="BA731" s="95"/>
    </row>
    <row r="732" spans="1:53" s="87" customFormat="1">
      <c r="A732" s="90" t="str">
        <f t="shared" si="36"/>
        <v/>
      </c>
      <c r="B732" s="89"/>
      <c r="C732" s="89"/>
      <c r="D732" s="89"/>
      <c r="E732" s="89"/>
      <c r="F732" s="89"/>
      <c r="G732" s="89"/>
      <c r="H732" s="89"/>
      <c r="I732" s="89"/>
      <c r="J732" s="89"/>
      <c r="K732" s="89"/>
      <c r="L732" s="89"/>
      <c r="M732" s="89"/>
      <c r="N732" s="89"/>
      <c r="O732" s="89"/>
      <c r="P732" s="89"/>
      <c r="Q732" s="89"/>
      <c r="R732" s="89"/>
      <c r="S732" s="89"/>
      <c r="T732" s="89"/>
      <c r="U732" s="89"/>
      <c r="V732" s="89"/>
      <c r="W732" s="89"/>
      <c r="X732" s="89"/>
      <c r="Y732" s="89"/>
      <c r="Z732" s="89"/>
      <c r="AA732" s="89"/>
      <c r="AB732" s="89"/>
      <c r="AC732" s="89"/>
      <c r="AD732" s="89"/>
      <c r="AE732" s="89"/>
      <c r="AF732" s="89"/>
      <c r="AG732" s="89"/>
      <c r="AH732" s="89"/>
      <c r="AI732" s="89"/>
      <c r="AJ732" s="89"/>
      <c r="AK732" s="89"/>
      <c r="AL732" s="89"/>
      <c r="AM732" s="89"/>
      <c r="AN732" s="89"/>
      <c r="AO732" s="89"/>
      <c r="AP732" s="89"/>
      <c r="AQ732" s="89"/>
      <c r="AR732" s="89"/>
      <c r="AS732" s="89"/>
      <c r="AT732" s="89"/>
      <c r="AU732" s="89"/>
      <c r="AV732" s="89"/>
      <c r="AW732" s="89"/>
      <c r="AX732" s="89"/>
      <c r="AY732" s="89"/>
      <c r="AZ732" s="89"/>
      <c r="BA732" s="95"/>
    </row>
    <row r="733" spans="1:53" s="87" customFormat="1">
      <c r="A733" s="90" t="str">
        <f t="shared" si="36"/>
        <v/>
      </c>
      <c r="B733" s="89"/>
      <c r="C733" s="89"/>
      <c r="D733" s="89"/>
      <c r="E733" s="89"/>
      <c r="F733" s="89"/>
      <c r="G733" s="89"/>
      <c r="H733" s="89"/>
      <c r="I733" s="89"/>
      <c r="J733" s="89"/>
      <c r="K733" s="89"/>
      <c r="L733" s="89"/>
      <c r="M733" s="89"/>
      <c r="N733" s="89"/>
      <c r="O733" s="89"/>
      <c r="P733" s="89"/>
      <c r="Q733" s="89"/>
      <c r="R733" s="89"/>
      <c r="S733" s="89"/>
      <c r="T733" s="89"/>
      <c r="U733" s="89"/>
      <c r="V733" s="89"/>
      <c r="W733" s="89"/>
      <c r="X733" s="89"/>
      <c r="Y733" s="89"/>
      <c r="Z733" s="89"/>
      <c r="AA733" s="89"/>
      <c r="AB733" s="89"/>
      <c r="AC733" s="89"/>
      <c r="AD733" s="89"/>
      <c r="AE733" s="89"/>
      <c r="AF733" s="89"/>
      <c r="AG733" s="89"/>
      <c r="AH733" s="89"/>
      <c r="AI733" s="89"/>
      <c r="AJ733" s="89"/>
      <c r="AK733" s="89"/>
      <c r="AL733" s="89"/>
      <c r="AM733" s="89"/>
      <c r="AN733" s="89"/>
      <c r="AO733" s="89"/>
      <c r="AP733" s="89"/>
      <c r="AQ733" s="89"/>
      <c r="AR733" s="89"/>
      <c r="AS733" s="89"/>
      <c r="AT733" s="89"/>
      <c r="AU733" s="89"/>
      <c r="AV733" s="89"/>
      <c r="AW733" s="89"/>
      <c r="AX733" s="89"/>
      <c r="AY733" s="89"/>
      <c r="AZ733" s="89"/>
      <c r="BA733" s="95"/>
    </row>
    <row r="734" spans="1:53" s="87" customFormat="1">
      <c r="A734" s="90" t="str">
        <f t="shared" si="36"/>
        <v/>
      </c>
      <c r="B734" s="89"/>
      <c r="C734" s="89"/>
      <c r="D734" s="89"/>
      <c r="E734" s="89"/>
      <c r="F734" s="89"/>
      <c r="G734" s="89"/>
      <c r="H734" s="89"/>
      <c r="I734" s="89"/>
      <c r="J734" s="89"/>
      <c r="K734" s="89"/>
      <c r="L734" s="89"/>
      <c r="M734" s="89"/>
      <c r="N734" s="89"/>
      <c r="O734" s="89"/>
      <c r="P734" s="89"/>
      <c r="Q734" s="89"/>
      <c r="R734" s="89"/>
      <c r="S734" s="89"/>
      <c r="T734" s="89"/>
      <c r="U734" s="89"/>
      <c r="V734" s="89"/>
      <c r="W734" s="89"/>
      <c r="X734" s="89"/>
      <c r="Y734" s="89"/>
      <c r="Z734" s="89"/>
      <c r="AA734" s="89"/>
      <c r="AB734" s="89"/>
      <c r="AC734" s="89"/>
      <c r="AD734" s="89"/>
      <c r="AE734" s="89"/>
      <c r="AF734" s="89"/>
      <c r="AG734" s="89"/>
      <c r="AH734" s="89"/>
      <c r="AI734" s="89"/>
      <c r="AJ734" s="89"/>
      <c r="AK734" s="89"/>
      <c r="AL734" s="89"/>
      <c r="AM734" s="89"/>
      <c r="AN734" s="89"/>
      <c r="AO734" s="89"/>
      <c r="AP734" s="89"/>
      <c r="AQ734" s="89"/>
      <c r="AR734" s="89"/>
      <c r="AS734" s="89"/>
      <c r="AT734" s="89"/>
      <c r="AU734" s="89"/>
      <c r="AV734" s="89"/>
      <c r="AW734" s="89"/>
      <c r="AX734" s="89"/>
      <c r="AY734" s="89"/>
      <c r="AZ734" s="89"/>
      <c r="BA734" s="95"/>
    </row>
    <row r="735" spans="1:53" s="87" customFormat="1">
      <c r="A735" s="90" t="str">
        <f t="shared" si="36"/>
        <v/>
      </c>
      <c r="B735" s="89"/>
      <c r="C735" s="89"/>
      <c r="D735" s="89"/>
      <c r="E735" s="89"/>
      <c r="F735" s="89"/>
      <c r="G735" s="89"/>
      <c r="H735" s="89"/>
      <c r="I735" s="89"/>
      <c r="J735" s="89"/>
      <c r="K735" s="89"/>
      <c r="L735" s="89"/>
      <c r="M735" s="89"/>
      <c r="N735" s="89"/>
      <c r="O735" s="89"/>
      <c r="P735" s="89"/>
      <c r="Q735" s="89"/>
      <c r="R735" s="89"/>
      <c r="S735" s="89"/>
      <c r="T735" s="89"/>
      <c r="U735" s="89"/>
      <c r="V735" s="89"/>
      <c r="W735" s="89"/>
      <c r="X735" s="89"/>
      <c r="Y735" s="89"/>
      <c r="Z735" s="89"/>
      <c r="AA735" s="89"/>
      <c r="AB735" s="89"/>
      <c r="AC735" s="89"/>
      <c r="AD735" s="89"/>
      <c r="AE735" s="89"/>
      <c r="AF735" s="89"/>
      <c r="AG735" s="89"/>
      <c r="AH735" s="89"/>
      <c r="AI735" s="89"/>
      <c r="AJ735" s="89"/>
      <c r="AK735" s="89"/>
      <c r="AL735" s="89"/>
      <c r="AM735" s="89"/>
      <c r="AN735" s="89"/>
      <c r="AO735" s="89"/>
      <c r="AP735" s="89"/>
      <c r="AQ735" s="89"/>
      <c r="AR735" s="89"/>
      <c r="AS735" s="89"/>
      <c r="AT735" s="89"/>
      <c r="AU735" s="89"/>
      <c r="AV735" s="89"/>
      <c r="AW735" s="89"/>
      <c r="AX735" s="89"/>
      <c r="AY735" s="89"/>
      <c r="AZ735" s="89"/>
      <c r="BA735" s="95"/>
    </row>
    <row r="736" spans="1:53" s="87" customFormat="1">
      <c r="A736" s="90" t="str">
        <f t="shared" si="36"/>
        <v/>
      </c>
      <c r="B736" s="89"/>
      <c r="C736" s="89"/>
      <c r="D736" s="89"/>
      <c r="E736" s="89"/>
      <c r="F736" s="89"/>
      <c r="G736" s="89"/>
      <c r="H736" s="89"/>
      <c r="I736" s="89"/>
      <c r="J736" s="89"/>
      <c r="K736" s="89"/>
      <c r="L736" s="89"/>
      <c r="M736" s="89"/>
      <c r="N736" s="89"/>
      <c r="O736" s="89"/>
      <c r="P736" s="89"/>
      <c r="Q736" s="89"/>
      <c r="R736" s="89"/>
      <c r="S736" s="89"/>
      <c r="T736" s="89"/>
      <c r="U736" s="89"/>
      <c r="V736" s="89"/>
      <c r="W736" s="89"/>
      <c r="X736" s="89"/>
      <c r="Y736" s="89"/>
      <c r="Z736" s="89"/>
      <c r="AA736" s="89"/>
      <c r="AB736" s="89"/>
      <c r="AC736" s="89"/>
      <c r="AD736" s="89"/>
      <c r="AE736" s="89"/>
      <c r="AF736" s="89"/>
      <c r="AG736" s="89"/>
      <c r="AH736" s="89"/>
      <c r="AI736" s="89"/>
      <c r="AJ736" s="89"/>
      <c r="AK736" s="89"/>
      <c r="AL736" s="89"/>
      <c r="AM736" s="89"/>
      <c r="AN736" s="89"/>
      <c r="AO736" s="89"/>
      <c r="AP736" s="89"/>
      <c r="AQ736" s="89"/>
      <c r="AR736" s="89"/>
      <c r="AS736" s="89"/>
      <c r="AT736" s="89"/>
      <c r="AU736" s="89"/>
      <c r="AV736" s="89"/>
      <c r="AW736" s="89"/>
      <c r="AX736" s="89"/>
      <c r="AY736" s="89"/>
      <c r="AZ736" s="89"/>
      <c r="BA736" s="95"/>
    </row>
    <row r="737" spans="1:53" s="87" customFormat="1">
      <c r="A737" s="90" t="str">
        <f t="shared" si="36"/>
        <v/>
      </c>
      <c r="B737" s="89"/>
      <c r="C737" s="89"/>
      <c r="D737" s="89"/>
      <c r="E737" s="89"/>
      <c r="F737" s="89"/>
      <c r="G737" s="89"/>
      <c r="H737" s="89"/>
      <c r="I737" s="89"/>
      <c r="J737" s="89"/>
      <c r="K737" s="89"/>
      <c r="L737" s="89"/>
      <c r="M737" s="89"/>
      <c r="N737" s="89"/>
      <c r="O737" s="89"/>
      <c r="P737" s="89"/>
      <c r="Q737" s="89"/>
      <c r="R737" s="89"/>
      <c r="S737" s="89"/>
      <c r="T737" s="89"/>
      <c r="U737" s="89"/>
      <c r="V737" s="89"/>
      <c r="W737" s="89"/>
      <c r="X737" s="89"/>
      <c r="Y737" s="89"/>
      <c r="Z737" s="89"/>
      <c r="AA737" s="89"/>
      <c r="AB737" s="89"/>
      <c r="AC737" s="89"/>
      <c r="AD737" s="89"/>
      <c r="AE737" s="89"/>
      <c r="AF737" s="89"/>
      <c r="AG737" s="89"/>
      <c r="AH737" s="89"/>
      <c r="AI737" s="89"/>
      <c r="AJ737" s="89"/>
      <c r="AK737" s="89"/>
      <c r="AL737" s="89"/>
      <c r="AM737" s="89"/>
      <c r="AN737" s="89"/>
      <c r="AO737" s="89"/>
      <c r="AP737" s="89"/>
      <c r="AQ737" s="89"/>
      <c r="AR737" s="89"/>
      <c r="AS737" s="89"/>
      <c r="AT737" s="89"/>
      <c r="AU737" s="89"/>
      <c r="AV737" s="89"/>
      <c r="AW737" s="89"/>
      <c r="AX737" s="89"/>
      <c r="AY737" s="89"/>
      <c r="AZ737" s="89"/>
      <c r="BA737" s="95"/>
    </row>
    <row r="738" spans="1:53" s="87" customFormat="1">
      <c r="A738" s="90" t="str">
        <f t="shared" si="36"/>
        <v/>
      </c>
      <c r="B738" s="89"/>
      <c r="C738" s="89"/>
      <c r="D738" s="89"/>
      <c r="E738" s="89"/>
      <c r="F738" s="89"/>
      <c r="G738" s="89"/>
      <c r="H738" s="89"/>
      <c r="I738" s="89"/>
      <c r="J738" s="89"/>
      <c r="K738" s="89"/>
      <c r="L738" s="89"/>
      <c r="M738" s="89"/>
      <c r="N738" s="89"/>
      <c r="O738" s="89"/>
      <c r="P738" s="89"/>
      <c r="Q738" s="89"/>
      <c r="R738" s="89"/>
      <c r="S738" s="89"/>
      <c r="T738" s="89"/>
      <c r="U738" s="89"/>
      <c r="V738" s="89"/>
      <c r="W738" s="89"/>
      <c r="X738" s="89"/>
      <c r="Y738" s="89"/>
      <c r="Z738" s="89"/>
      <c r="AA738" s="89"/>
      <c r="AB738" s="89"/>
      <c r="AC738" s="89"/>
      <c r="AD738" s="89"/>
      <c r="AE738" s="89"/>
      <c r="AF738" s="89"/>
      <c r="AG738" s="89"/>
      <c r="AH738" s="89"/>
      <c r="AI738" s="89"/>
      <c r="AJ738" s="89"/>
      <c r="AK738" s="89"/>
      <c r="AL738" s="89"/>
      <c r="AM738" s="89"/>
      <c r="AN738" s="89"/>
      <c r="AO738" s="89"/>
      <c r="AP738" s="89"/>
      <c r="AQ738" s="89"/>
      <c r="AR738" s="89"/>
      <c r="AS738" s="89"/>
      <c r="AT738" s="89"/>
      <c r="AU738" s="89"/>
      <c r="AV738" s="89"/>
      <c r="AW738" s="89"/>
      <c r="AX738" s="89"/>
      <c r="AY738" s="89"/>
      <c r="AZ738" s="89"/>
      <c r="BA738" s="95"/>
    </row>
    <row r="739" spans="1:53" s="87" customFormat="1">
      <c r="A739" s="90" t="str">
        <f t="shared" si="36"/>
        <v/>
      </c>
      <c r="B739" s="89"/>
      <c r="C739" s="89"/>
      <c r="D739" s="89"/>
      <c r="E739" s="89"/>
      <c r="F739" s="89"/>
      <c r="G739" s="89"/>
      <c r="H739" s="89"/>
      <c r="I739" s="89"/>
      <c r="J739" s="89"/>
      <c r="K739" s="89"/>
      <c r="L739" s="89"/>
      <c r="M739" s="89"/>
      <c r="N739" s="89"/>
      <c r="O739" s="89"/>
      <c r="P739" s="89"/>
      <c r="Q739" s="89"/>
      <c r="R739" s="89"/>
      <c r="S739" s="89"/>
      <c r="T739" s="89"/>
      <c r="U739" s="89"/>
      <c r="V739" s="89"/>
      <c r="W739" s="89"/>
      <c r="X739" s="89"/>
      <c r="Y739" s="89"/>
      <c r="Z739" s="89"/>
      <c r="AA739" s="89"/>
      <c r="AB739" s="89"/>
      <c r="AC739" s="89"/>
      <c r="AD739" s="89"/>
      <c r="AE739" s="89"/>
      <c r="AF739" s="89"/>
      <c r="AG739" s="89"/>
      <c r="AH739" s="89"/>
      <c r="AI739" s="89"/>
      <c r="AJ739" s="89"/>
      <c r="AK739" s="89"/>
      <c r="AL739" s="89"/>
      <c r="AM739" s="89"/>
      <c r="AN739" s="89"/>
      <c r="AO739" s="89"/>
      <c r="AP739" s="89"/>
      <c r="AQ739" s="89"/>
      <c r="AR739" s="89"/>
      <c r="AS739" s="89"/>
      <c r="AT739" s="89"/>
      <c r="AU739" s="89"/>
      <c r="AV739" s="89"/>
      <c r="AW739" s="89"/>
      <c r="AX739" s="89"/>
      <c r="AY739" s="89"/>
      <c r="AZ739" s="89"/>
      <c r="BA739" s="95"/>
    </row>
    <row r="740" spans="1:53" s="87" customFormat="1">
      <c r="A740" s="90" t="str">
        <f t="shared" si="36"/>
        <v/>
      </c>
      <c r="B740" s="89"/>
      <c r="C740" s="89"/>
      <c r="D740" s="89"/>
      <c r="E740" s="89"/>
      <c r="F740" s="89"/>
      <c r="G740" s="89"/>
      <c r="H740" s="89"/>
      <c r="I740" s="89"/>
      <c r="J740" s="89"/>
      <c r="K740" s="89"/>
      <c r="L740" s="89"/>
      <c r="M740" s="89"/>
      <c r="N740" s="89"/>
      <c r="O740" s="89"/>
      <c r="P740" s="89"/>
      <c r="Q740" s="89"/>
      <c r="R740" s="89"/>
      <c r="S740" s="89"/>
      <c r="T740" s="89"/>
      <c r="U740" s="89"/>
      <c r="V740" s="89"/>
      <c r="W740" s="89"/>
      <c r="X740" s="89"/>
      <c r="Y740" s="89"/>
      <c r="Z740" s="89"/>
      <c r="AA740" s="89"/>
      <c r="AB740" s="89"/>
      <c r="AC740" s="89"/>
      <c r="AD740" s="89"/>
      <c r="AE740" s="89"/>
      <c r="AF740" s="89"/>
      <c r="AG740" s="89"/>
      <c r="AH740" s="89"/>
      <c r="AI740" s="89"/>
      <c r="AJ740" s="89"/>
      <c r="AK740" s="89"/>
      <c r="AL740" s="89"/>
      <c r="AM740" s="89"/>
      <c r="AN740" s="89"/>
      <c r="AO740" s="89"/>
      <c r="AP740" s="89"/>
      <c r="AQ740" s="89"/>
      <c r="AR740" s="89"/>
      <c r="AS740" s="89"/>
      <c r="AT740" s="89"/>
      <c r="AU740" s="89"/>
      <c r="AV740" s="89"/>
      <c r="AW740" s="89"/>
      <c r="AX740" s="89"/>
      <c r="AY740" s="89"/>
      <c r="AZ740" s="89"/>
      <c r="BA740" s="95"/>
    </row>
    <row r="741" spans="1:53" s="87" customFormat="1">
      <c r="A741" s="90" t="str">
        <f t="shared" si="36"/>
        <v/>
      </c>
      <c r="B741" s="89"/>
      <c r="C741" s="89"/>
      <c r="D741" s="89"/>
      <c r="E741" s="89"/>
      <c r="F741" s="89"/>
      <c r="G741" s="89"/>
      <c r="H741" s="89"/>
      <c r="I741" s="89"/>
      <c r="J741" s="89"/>
      <c r="K741" s="89"/>
      <c r="L741" s="89"/>
      <c r="M741" s="89"/>
      <c r="N741" s="89"/>
      <c r="O741" s="89"/>
      <c r="P741" s="89"/>
      <c r="Q741" s="89"/>
      <c r="R741" s="89"/>
      <c r="S741" s="89"/>
      <c r="T741" s="89"/>
      <c r="U741" s="89"/>
      <c r="V741" s="89"/>
      <c r="W741" s="89"/>
      <c r="X741" s="89"/>
      <c r="Y741" s="89"/>
      <c r="Z741" s="89"/>
      <c r="AA741" s="89"/>
      <c r="AB741" s="89"/>
      <c r="AC741" s="89"/>
      <c r="AD741" s="89"/>
      <c r="AE741" s="89"/>
      <c r="AF741" s="89"/>
      <c r="AG741" s="89"/>
      <c r="AH741" s="89"/>
      <c r="AI741" s="89"/>
      <c r="AJ741" s="89"/>
      <c r="AK741" s="89"/>
      <c r="AL741" s="89"/>
      <c r="AM741" s="89"/>
      <c r="AN741" s="89"/>
      <c r="AO741" s="89"/>
      <c r="AP741" s="89"/>
      <c r="AQ741" s="89"/>
      <c r="AR741" s="89"/>
      <c r="AS741" s="89"/>
      <c r="AT741" s="89"/>
      <c r="AU741" s="89"/>
      <c r="AV741" s="89"/>
      <c r="AW741" s="89"/>
      <c r="AX741" s="89"/>
      <c r="AY741" s="89"/>
      <c r="AZ741" s="89"/>
      <c r="BA741" s="95"/>
    </row>
    <row r="742" spans="1:53" s="87" customFormat="1">
      <c r="A742" s="90" t="str">
        <f t="shared" si="36"/>
        <v/>
      </c>
      <c r="B742" s="89"/>
      <c r="C742" s="89"/>
      <c r="D742" s="89"/>
      <c r="E742" s="89"/>
      <c r="F742" s="89"/>
      <c r="G742" s="89"/>
      <c r="H742" s="89"/>
      <c r="I742" s="89"/>
      <c r="J742" s="89"/>
      <c r="K742" s="89"/>
      <c r="L742" s="89"/>
      <c r="M742" s="89"/>
      <c r="N742" s="89"/>
      <c r="O742" s="89"/>
      <c r="P742" s="89"/>
      <c r="Q742" s="89"/>
      <c r="R742" s="89"/>
      <c r="S742" s="89"/>
      <c r="T742" s="89"/>
      <c r="U742" s="89"/>
      <c r="V742" s="89"/>
      <c r="W742" s="89"/>
      <c r="X742" s="89"/>
      <c r="Y742" s="89"/>
      <c r="Z742" s="89"/>
      <c r="AA742" s="89"/>
      <c r="AB742" s="89"/>
      <c r="AC742" s="89"/>
      <c r="AD742" s="89"/>
      <c r="AE742" s="89"/>
      <c r="AF742" s="89"/>
      <c r="AG742" s="89"/>
      <c r="AH742" s="89"/>
      <c r="AI742" s="89"/>
      <c r="AJ742" s="89"/>
      <c r="AK742" s="89"/>
      <c r="AL742" s="89"/>
      <c r="AM742" s="89"/>
      <c r="AN742" s="89"/>
      <c r="AO742" s="89"/>
      <c r="AP742" s="89"/>
      <c r="AQ742" s="89"/>
      <c r="AR742" s="89"/>
      <c r="AS742" s="89"/>
      <c r="AT742" s="89"/>
      <c r="AU742" s="89"/>
      <c r="AV742" s="89"/>
      <c r="AW742" s="89"/>
      <c r="AX742" s="89"/>
      <c r="AY742" s="89"/>
      <c r="AZ742" s="89"/>
      <c r="BA742" s="95"/>
    </row>
    <row r="743" spans="1:53" s="87" customFormat="1">
      <c r="A743" s="90" t="str">
        <f t="shared" si="36"/>
        <v/>
      </c>
      <c r="B743" s="89"/>
      <c r="C743" s="89"/>
      <c r="D743" s="89"/>
      <c r="E743" s="89"/>
      <c r="F743" s="89"/>
      <c r="G743" s="89"/>
      <c r="H743" s="89"/>
      <c r="I743" s="89"/>
      <c r="J743" s="89"/>
      <c r="K743" s="89"/>
      <c r="L743" s="89"/>
      <c r="M743" s="89"/>
      <c r="N743" s="89"/>
      <c r="O743" s="89"/>
      <c r="P743" s="89"/>
      <c r="Q743" s="89"/>
      <c r="R743" s="89"/>
      <c r="S743" s="89"/>
      <c r="T743" s="89"/>
      <c r="U743" s="89"/>
      <c r="V743" s="89"/>
      <c r="W743" s="89"/>
      <c r="X743" s="89"/>
      <c r="Y743" s="89"/>
      <c r="Z743" s="89"/>
      <c r="AA743" s="89"/>
      <c r="AB743" s="89"/>
      <c r="AC743" s="89"/>
      <c r="AD743" s="89"/>
      <c r="AE743" s="89"/>
      <c r="AF743" s="89"/>
      <c r="AG743" s="89"/>
      <c r="AH743" s="89"/>
      <c r="AI743" s="89"/>
      <c r="AJ743" s="89"/>
      <c r="AK743" s="89"/>
      <c r="AL743" s="89"/>
      <c r="AM743" s="89"/>
      <c r="AN743" s="89"/>
      <c r="AO743" s="89"/>
      <c r="AP743" s="89"/>
      <c r="AQ743" s="89"/>
      <c r="AR743" s="89"/>
      <c r="AS743" s="89"/>
      <c r="AT743" s="89"/>
      <c r="AU743" s="89"/>
      <c r="AV743" s="89"/>
      <c r="AW743" s="89"/>
      <c r="AX743" s="89"/>
      <c r="AY743" s="89"/>
      <c r="AZ743" s="89"/>
      <c r="BA743" s="95"/>
    </row>
    <row r="744" spans="1:53" s="87" customFormat="1">
      <c r="A744" s="90" t="str">
        <f t="shared" si="36"/>
        <v/>
      </c>
      <c r="B744" s="89"/>
      <c r="C744" s="89"/>
      <c r="D744" s="89"/>
      <c r="E744" s="89"/>
      <c r="F744" s="89"/>
      <c r="G744" s="89"/>
      <c r="H744" s="89"/>
      <c r="I744" s="89"/>
      <c r="J744" s="89"/>
      <c r="K744" s="89"/>
      <c r="L744" s="89"/>
      <c r="M744" s="89"/>
      <c r="N744" s="89"/>
      <c r="O744" s="89"/>
      <c r="P744" s="89"/>
      <c r="Q744" s="89"/>
      <c r="R744" s="89"/>
      <c r="S744" s="89"/>
      <c r="T744" s="89"/>
      <c r="U744" s="89"/>
      <c r="V744" s="89"/>
      <c r="W744" s="89"/>
      <c r="X744" s="89"/>
      <c r="Y744" s="89"/>
      <c r="Z744" s="89"/>
      <c r="AA744" s="89"/>
      <c r="AB744" s="89"/>
      <c r="AC744" s="89"/>
      <c r="AD744" s="89"/>
      <c r="AE744" s="89"/>
      <c r="AF744" s="89"/>
      <c r="AG744" s="89"/>
      <c r="AH744" s="89"/>
      <c r="AI744" s="89"/>
      <c r="AJ744" s="89"/>
      <c r="AK744" s="89"/>
      <c r="AL744" s="89"/>
      <c r="AM744" s="89"/>
      <c r="AN744" s="89"/>
      <c r="AO744" s="89"/>
      <c r="AP744" s="89"/>
      <c r="AQ744" s="89"/>
      <c r="AR744" s="89"/>
      <c r="AS744" s="89"/>
      <c r="AT744" s="89"/>
      <c r="AU744" s="89"/>
      <c r="AV744" s="89"/>
      <c r="AW744" s="89"/>
      <c r="AX744" s="89"/>
      <c r="AY744" s="89"/>
      <c r="AZ744" s="89"/>
      <c r="BA744" s="95"/>
    </row>
    <row r="745" spans="1:53" s="87" customFormat="1">
      <c r="A745" s="90" t="str">
        <f t="shared" si="36"/>
        <v/>
      </c>
      <c r="B745" s="89"/>
      <c r="C745" s="89"/>
      <c r="D745" s="89"/>
      <c r="E745" s="89"/>
      <c r="F745" s="89"/>
      <c r="G745" s="89"/>
      <c r="H745" s="89"/>
      <c r="I745" s="89"/>
      <c r="J745" s="89"/>
      <c r="K745" s="89"/>
      <c r="L745" s="89"/>
      <c r="M745" s="89"/>
      <c r="N745" s="89"/>
      <c r="O745" s="89"/>
      <c r="P745" s="89"/>
      <c r="Q745" s="89"/>
      <c r="R745" s="89"/>
      <c r="S745" s="89"/>
      <c r="T745" s="89"/>
      <c r="U745" s="89"/>
      <c r="V745" s="89"/>
      <c r="W745" s="89"/>
      <c r="X745" s="89"/>
      <c r="Y745" s="89"/>
      <c r="Z745" s="89"/>
      <c r="AA745" s="89"/>
      <c r="AB745" s="89"/>
      <c r="AC745" s="89"/>
      <c r="AD745" s="89"/>
      <c r="AE745" s="89"/>
      <c r="AF745" s="89"/>
      <c r="AG745" s="89"/>
      <c r="AH745" s="89"/>
      <c r="AI745" s="89"/>
      <c r="AJ745" s="89"/>
      <c r="AK745" s="89"/>
      <c r="AL745" s="89"/>
      <c r="AM745" s="89"/>
      <c r="AN745" s="89"/>
      <c r="AO745" s="89"/>
      <c r="AP745" s="89"/>
      <c r="AQ745" s="89"/>
      <c r="AR745" s="89"/>
      <c r="AS745" s="89"/>
      <c r="AT745" s="89"/>
      <c r="AU745" s="89"/>
      <c r="AV745" s="89"/>
      <c r="AW745" s="89"/>
      <c r="AX745" s="89"/>
      <c r="AY745" s="89"/>
      <c r="AZ745" s="89"/>
      <c r="BA745" s="95"/>
    </row>
    <row r="746" spans="1:53" s="87" customFormat="1">
      <c r="A746" s="90" t="str">
        <f t="shared" si="36"/>
        <v/>
      </c>
      <c r="B746" s="89"/>
      <c r="C746" s="89"/>
      <c r="D746" s="89"/>
      <c r="E746" s="89"/>
      <c r="F746" s="89"/>
      <c r="G746" s="89"/>
      <c r="H746" s="89"/>
      <c r="I746" s="89"/>
      <c r="J746" s="89"/>
      <c r="K746" s="89"/>
      <c r="L746" s="89"/>
      <c r="M746" s="89"/>
      <c r="N746" s="89"/>
      <c r="O746" s="89"/>
      <c r="P746" s="89"/>
      <c r="Q746" s="89"/>
      <c r="R746" s="89"/>
      <c r="S746" s="89"/>
      <c r="T746" s="89"/>
      <c r="U746" s="89"/>
      <c r="V746" s="89"/>
      <c r="W746" s="89"/>
      <c r="X746" s="89"/>
      <c r="Y746" s="89"/>
      <c r="Z746" s="89"/>
      <c r="AA746" s="89"/>
      <c r="AB746" s="89"/>
      <c r="AC746" s="89"/>
      <c r="AD746" s="89"/>
      <c r="AE746" s="89"/>
      <c r="AF746" s="89"/>
      <c r="AG746" s="89"/>
      <c r="AH746" s="89"/>
      <c r="AI746" s="89"/>
      <c r="AJ746" s="89"/>
      <c r="AK746" s="89"/>
      <c r="AL746" s="89"/>
      <c r="AM746" s="89"/>
      <c r="AN746" s="89"/>
      <c r="AO746" s="89"/>
      <c r="AP746" s="89"/>
      <c r="AQ746" s="89"/>
      <c r="AR746" s="89"/>
      <c r="AS746" s="89"/>
      <c r="AT746" s="89"/>
      <c r="AU746" s="89"/>
      <c r="AV746" s="89"/>
      <c r="AW746" s="89"/>
      <c r="AX746" s="89"/>
      <c r="AY746" s="89"/>
      <c r="AZ746" s="89"/>
      <c r="BA746" s="95"/>
    </row>
    <row r="747" spans="1:53" s="87" customFormat="1">
      <c r="A747" s="90" t="str">
        <f t="shared" si="36"/>
        <v/>
      </c>
      <c r="B747" s="89"/>
      <c r="C747" s="89"/>
      <c r="D747" s="89"/>
      <c r="E747" s="89"/>
      <c r="F747" s="89"/>
      <c r="G747" s="89"/>
      <c r="H747" s="89"/>
      <c r="I747" s="89"/>
      <c r="J747" s="89"/>
      <c r="K747" s="89"/>
      <c r="L747" s="89"/>
      <c r="M747" s="89"/>
      <c r="N747" s="89"/>
      <c r="O747" s="89"/>
      <c r="P747" s="89"/>
      <c r="Q747" s="89"/>
      <c r="R747" s="89"/>
      <c r="S747" s="89"/>
      <c r="T747" s="89"/>
      <c r="U747" s="89"/>
      <c r="V747" s="89"/>
      <c r="W747" s="89"/>
      <c r="X747" s="89"/>
      <c r="Y747" s="89"/>
      <c r="Z747" s="89"/>
      <c r="AA747" s="89"/>
      <c r="AB747" s="89"/>
      <c r="AC747" s="89"/>
      <c r="AD747" s="89"/>
      <c r="AE747" s="89"/>
      <c r="AF747" s="89"/>
      <c r="AG747" s="89"/>
      <c r="AH747" s="89"/>
      <c r="AI747" s="89"/>
      <c r="AJ747" s="89"/>
      <c r="AK747" s="89"/>
      <c r="AL747" s="89"/>
      <c r="AM747" s="89"/>
      <c r="AN747" s="89"/>
      <c r="AO747" s="89"/>
      <c r="AP747" s="89"/>
      <c r="AQ747" s="89"/>
      <c r="AR747" s="89"/>
      <c r="AS747" s="89"/>
      <c r="AT747" s="89"/>
      <c r="AU747" s="89"/>
      <c r="AV747" s="89"/>
      <c r="AW747" s="89"/>
      <c r="AX747" s="89"/>
      <c r="AY747" s="89"/>
      <c r="AZ747" s="89"/>
      <c r="BA747" s="95"/>
    </row>
    <row r="748" spans="1:53" s="87" customFormat="1">
      <c r="A748" s="90" t="str">
        <f t="shared" si="36"/>
        <v/>
      </c>
      <c r="B748" s="89"/>
      <c r="C748" s="89"/>
      <c r="D748" s="89"/>
      <c r="E748" s="89"/>
      <c r="F748" s="89"/>
      <c r="G748" s="89"/>
      <c r="H748" s="89"/>
      <c r="I748" s="89"/>
      <c r="J748" s="89"/>
      <c r="K748" s="89"/>
      <c r="L748" s="89"/>
      <c r="M748" s="89"/>
      <c r="N748" s="89"/>
      <c r="O748" s="89"/>
      <c r="P748" s="89"/>
      <c r="Q748" s="89"/>
      <c r="R748" s="89"/>
      <c r="S748" s="89"/>
      <c r="T748" s="89"/>
      <c r="U748" s="89"/>
      <c r="V748" s="89"/>
      <c r="W748" s="89"/>
      <c r="X748" s="89"/>
      <c r="Y748" s="89"/>
      <c r="Z748" s="89"/>
      <c r="AA748" s="89"/>
      <c r="AB748" s="89"/>
      <c r="AC748" s="89"/>
      <c r="AD748" s="89"/>
      <c r="AE748" s="89"/>
      <c r="AF748" s="89"/>
      <c r="AG748" s="89"/>
      <c r="AH748" s="89"/>
      <c r="AI748" s="89"/>
      <c r="AJ748" s="89"/>
      <c r="AK748" s="89"/>
      <c r="AL748" s="89"/>
      <c r="AM748" s="89"/>
      <c r="AN748" s="89"/>
      <c r="AO748" s="89"/>
      <c r="AP748" s="89"/>
      <c r="AQ748" s="89"/>
      <c r="AR748" s="89"/>
      <c r="AS748" s="89"/>
      <c r="AT748" s="89"/>
      <c r="AU748" s="89"/>
      <c r="AV748" s="89"/>
      <c r="AW748" s="89"/>
      <c r="AX748" s="89"/>
      <c r="AY748" s="89"/>
      <c r="AZ748" s="89"/>
      <c r="BA748" s="95"/>
    </row>
    <row r="749" spans="1:53" s="87" customFormat="1">
      <c r="A749" s="90" t="str">
        <f t="shared" si="36"/>
        <v/>
      </c>
      <c r="B749" s="89"/>
      <c r="C749" s="89"/>
      <c r="D749" s="89"/>
      <c r="E749" s="89"/>
      <c r="F749" s="89"/>
      <c r="G749" s="89"/>
      <c r="H749" s="89"/>
      <c r="I749" s="89"/>
      <c r="J749" s="89"/>
      <c r="K749" s="89"/>
      <c r="L749" s="89"/>
      <c r="M749" s="89"/>
      <c r="N749" s="89"/>
      <c r="O749" s="89"/>
      <c r="P749" s="89"/>
      <c r="Q749" s="89"/>
      <c r="R749" s="89"/>
      <c r="S749" s="89"/>
      <c r="T749" s="89"/>
      <c r="U749" s="89"/>
      <c r="V749" s="89"/>
      <c r="W749" s="89"/>
      <c r="X749" s="89"/>
      <c r="Y749" s="89"/>
      <c r="Z749" s="89"/>
      <c r="AA749" s="89"/>
      <c r="AB749" s="89"/>
      <c r="AC749" s="89"/>
      <c r="AD749" s="89"/>
      <c r="AE749" s="89"/>
      <c r="AF749" s="89"/>
      <c r="AG749" s="89"/>
      <c r="AH749" s="89"/>
      <c r="AI749" s="89"/>
      <c r="AJ749" s="89"/>
      <c r="AK749" s="89"/>
      <c r="AL749" s="89"/>
      <c r="AM749" s="89"/>
      <c r="AN749" s="89"/>
      <c r="AO749" s="89"/>
      <c r="AP749" s="89"/>
      <c r="AQ749" s="89"/>
      <c r="AR749" s="89"/>
      <c r="AS749" s="89"/>
      <c r="AT749" s="89"/>
      <c r="AU749" s="89"/>
      <c r="AV749" s="89"/>
      <c r="AW749" s="89"/>
      <c r="AX749" s="89"/>
      <c r="AY749" s="89"/>
      <c r="AZ749" s="89"/>
      <c r="BA749" s="95"/>
    </row>
    <row r="750" spans="1:53" s="87" customFormat="1">
      <c r="A750" s="90" t="str">
        <f t="shared" si="36"/>
        <v/>
      </c>
      <c r="B750" s="89"/>
      <c r="C750" s="89"/>
      <c r="D750" s="89"/>
      <c r="E750" s="89"/>
      <c r="F750" s="89"/>
      <c r="G750" s="89"/>
      <c r="H750" s="89"/>
      <c r="I750" s="89"/>
      <c r="J750" s="89"/>
      <c r="K750" s="89"/>
      <c r="L750" s="89"/>
      <c r="M750" s="89"/>
      <c r="N750" s="89"/>
      <c r="O750" s="89"/>
      <c r="P750" s="89"/>
      <c r="Q750" s="89"/>
      <c r="R750" s="89"/>
      <c r="S750" s="89"/>
      <c r="T750" s="89"/>
      <c r="U750" s="89"/>
      <c r="V750" s="89"/>
      <c r="W750" s="89"/>
      <c r="X750" s="89"/>
      <c r="Y750" s="89"/>
      <c r="Z750" s="89"/>
      <c r="AA750" s="89"/>
      <c r="AB750" s="89"/>
      <c r="AC750" s="89"/>
      <c r="AD750" s="89"/>
      <c r="AE750" s="89"/>
      <c r="AF750" s="89"/>
      <c r="AG750" s="89"/>
      <c r="AH750" s="89"/>
      <c r="AI750" s="89"/>
      <c r="AJ750" s="89"/>
      <c r="AK750" s="89"/>
      <c r="AL750" s="89"/>
      <c r="AM750" s="89"/>
      <c r="AN750" s="89"/>
      <c r="AO750" s="89"/>
      <c r="AP750" s="89"/>
      <c r="AQ750" s="89"/>
      <c r="AR750" s="89"/>
      <c r="AS750" s="89"/>
      <c r="AT750" s="89"/>
      <c r="AU750" s="89"/>
      <c r="AV750" s="89"/>
      <c r="AW750" s="89"/>
      <c r="AX750" s="89"/>
      <c r="AY750" s="89"/>
      <c r="AZ750" s="89"/>
      <c r="BA750" s="95"/>
    </row>
    <row r="751" spans="1:53" s="87" customFormat="1">
      <c r="A751" s="90" t="str">
        <f t="shared" si="36"/>
        <v/>
      </c>
      <c r="B751" s="89"/>
      <c r="C751" s="89"/>
      <c r="D751" s="89"/>
      <c r="E751" s="89"/>
      <c r="F751" s="89"/>
      <c r="G751" s="89"/>
      <c r="H751" s="89"/>
      <c r="I751" s="89"/>
      <c r="J751" s="89"/>
      <c r="K751" s="89"/>
      <c r="L751" s="89"/>
      <c r="M751" s="89"/>
      <c r="N751" s="89"/>
      <c r="O751" s="89"/>
      <c r="P751" s="89"/>
      <c r="Q751" s="89"/>
      <c r="R751" s="89"/>
      <c r="S751" s="89"/>
      <c r="T751" s="89"/>
      <c r="U751" s="89"/>
      <c r="V751" s="89"/>
      <c r="W751" s="89"/>
      <c r="X751" s="89"/>
      <c r="Y751" s="89"/>
      <c r="Z751" s="89"/>
      <c r="AA751" s="89"/>
      <c r="AB751" s="89"/>
      <c r="AC751" s="89"/>
      <c r="AD751" s="89"/>
      <c r="AE751" s="89"/>
      <c r="AF751" s="89"/>
      <c r="AG751" s="89"/>
      <c r="AH751" s="89"/>
      <c r="AI751" s="89"/>
      <c r="AJ751" s="89"/>
      <c r="AK751" s="89"/>
      <c r="AL751" s="89"/>
      <c r="AM751" s="89"/>
      <c r="AN751" s="89"/>
      <c r="AO751" s="89"/>
      <c r="AP751" s="89"/>
      <c r="AQ751" s="89"/>
      <c r="AR751" s="89"/>
      <c r="AS751" s="89"/>
      <c r="AT751" s="89"/>
      <c r="AU751" s="89"/>
      <c r="AV751" s="89"/>
      <c r="AW751" s="89"/>
      <c r="AX751" s="89"/>
      <c r="AY751" s="89"/>
      <c r="AZ751" s="89"/>
      <c r="BA751" s="95"/>
    </row>
    <row r="752" spans="1:53" s="87" customFormat="1">
      <c r="A752" s="90" t="str">
        <f t="shared" si="36"/>
        <v/>
      </c>
      <c r="B752" s="89"/>
      <c r="C752" s="89"/>
      <c r="D752" s="89"/>
      <c r="E752" s="89"/>
      <c r="F752" s="89"/>
      <c r="G752" s="89"/>
      <c r="H752" s="89"/>
      <c r="I752" s="89"/>
      <c r="J752" s="89"/>
      <c r="K752" s="89"/>
      <c r="L752" s="89"/>
      <c r="M752" s="89"/>
      <c r="N752" s="89"/>
      <c r="O752" s="89"/>
      <c r="P752" s="89"/>
      <c r="Q752" s="89"/>
      <c r="R752" s="89"/>
      <c r="S752" s="89"/>
      <c r="T752" s="89"/>
      <c r="U752" s="89"/>
      <c r="V752" s="89"/>
      <c r="W752" s="89"/>
      <c r="X752" s="89"/>
      <c r="Y752" s="89"/>
      <c r="Z752" s="89"/>
      <c r="AA752" s="89"/>
      <c r="AB752" s="89"/>
      <c r="AC752" s="89"/>
      <c r="AD752" s="89"/>
      <c r="AE752" s="89"/>
      <c r="AF752" s="89"/>
      <c r="AG752" s="89"/>
      <c r="AH752" s="89"/>
      <c r="AI752" s="89"/>
      <c r="AJ752" s="89"/>
      <c r="AK752" s="89"/>
      <c r="AL752" s="89"/>
      <c r="AM752" s="89"/>
      <c r="AN752" s="89"/>
      <c r="AO752" s="89"/>
      <c r="AP752" s="89"/>
      <c r="AQ752" s="89"/>
      <c r="AR752" s="89"/>
      <c r="AS752" s="89"/>
      <c r="AT752" s="89"/>
      <c r="AU752" s="89"/>
      <c r="AV752" s="89"/>
      <c r="AW752" s="89"/>
      <c r="AX752" s="89"/>
      <c r="AY752" s="89"/>
      <c r="AZ752" s="89"/>
      <c r="BA752" s="95"/>
    </row>
    <row r="753" spans="1:53" s="87" customFormat="1">
      <c r="A753" s="90" t="str">
        <f t="shared" si="36"/>
        <v/>
      </c>
      <c r="B753" s="89"/>
      <c r="C753" s="89"/>
      <c r="D753" s="89"/>
      <c r="E753" s="89"/>
      <c r="F753" s="89"/>
      <c r="G753" s="89"/>
      <c r="H753" s="89"/>
      <c r="I753" s="89"/>
      <c r="J753" s="89"/>
      <c r="K753" s="89"/>
      <c r="L753" s="89"/>
      <c r="M753" s="89"/>
      <c r="N753" s="89"/>
      <c r="O753" s="89"/>
      <c r="P753" s="89"/>
      <c r="Q753" s="89"/>
      <c r="R753" s="89"/>
      <c r="S753" s="89"/>
      <c r="T753" s="89"/>
      <c r="U753" s="89"/>
      <c r="V753" s="89"/>
      <c r="W753" s="89"/>
      <c r="X753" s="89"/>
      <c r="Y753" s="89"/>
      <c r="Z753" s="89"/>
      <c r="AA753" s="89"/>
      <c r="AB753" s="89"/>
      <c r="AC753" s="89"/>
      <c r="AD753" s="89"/>
      <c r="AE753" s="89"/>
      <c r="AF753" s="89"/>
      <c r="AG753" s="89"/>
      <c r="AH753" s="89"/>
      <c r="AI753" s="89"/>
      <c r="AJ753" s="89"/>
      <c r="AK753" s="89"/>
      <c r="AL753" s="89"/>
      <c r="AM753" s="89"/>
      <c r="AN753" s="89"/>
      <c r="AO753" s="89"/>
      <c r="AP753" s="89"/>
      <c r="AQ753" s="89"/>
      <c r="AR753" s="89"/>
      <c r="AS753" s="89"/>
      <c r="AT753" s="89"/>
      <c r="AU753" s="89"/>
      <c r="AV753" s="89"/>
      <c r="AW753" s="89"/>
      <c r="AX753" s="89"/>
      <c r="AY753" s="89"/>
      <c r="AZ753" s="89"/>
      <c r="BA753" s="95"/>
    </row>
    <row r="754" spans="1:53" s="87" customFormat="1">
      <c r="A754" s="90" t="str">
        <f t="shared" si="36"/>
        <v/>
      </c>
      <c r="B754" s="89"/>
      <c r="C754" s="89"/>
      <c r="D754" s="89"/>
      <c r="E754" s="89"/>
      <c r="F754" s="89"/>
      <c r="G754" s="89"/>
      <c r="H754" s="89"/>
      <c r="I754" s="89"/>
      <c r="J754" s="89"/>
      <c r="K754" s="89"/>
      <c r="L754" s="89"/>
      <c r="M754" s="89"/>
      <c r="N754" s="89"/>
      <c r="O754" s="89"/>
      <c r="P754" s="89"/>
      <c r="Q754" s="89"/>
      <c r="R754" s="89"/>
      <c r="S754" s="89"/>
      <c r="T754" s="89"/>
      <c r="U754" s="89"/>
      <c r="V754" s="89"/>
      <c r="W754" s="89"/>
      <c r="X754" s="89"/>
      <c r="Y754" s="89"/>
      <c r="Z754" s="89"/>
      <c r="AA754" s="89"/>
      <c r="AB754" s="89"/>
      <c r="AC754" s="89"/>
      <c r="AD754" s="89"/>
      <c r="AE754" s="89"/>
      <c r="AF754" s="89"/>
      <c r="AG754" s="89"/>
      <c r="AH754" s="89"/>
      <c r="AI754" s="89"/>
      <c r="AJ754" s="89"/>
      <c r="AK754" s="89"/>
      <c r="AL754" s="89"/>
      <c r="AM754" s="89"/>
      <c r="AN754" s="89"/>
      <c r="AO754" s="89"/>
      <c r="AP754" s="89"/>
      <c r="AQ754" s="89"/>
      <c r="AR754" s="89"/>
      <c r="AS754" s="89"/>
      <c r="AT754" s="89"/>
      <c r="AU754" s="89"/>
      <c r="AV754" s="89"/>
      <c r="AW754" s="89"/>
      <c r="AX754" s="89"/>
      <c r="AY754" s="89"/>
      <c r="AZ754" s="89"/>
      <c r="BA754" s="95"/>
    </row>
    <row r="755" spans="1:53" s="87" customFormat="1">
      <c r="A755" s="90" t="str">
        <f t="shared" si="36"/>
        <v/>
      </c>
      <c r="B755" s="89"/>
      <c r="C755" s="89"/>
      <c r="D755" s="89"/>
      <c r="E755" s="89"/>
      <c r="F755" s="89"/>
      <c r="G755" s="89"/>
      <c r="H755" s="89"/>
      <c r="I755" s="89"/>
      <c r="J755" s="89"/>
      <c r="K755" s="89"/>
      <c r="L755" s="89"/>
      <c r="M755" s="89"/>
      <c r="N755" s="89"/>
      <c r="O755" s="89"/>
      <c r="P755" s="89"/>
      <c r="Q755" s="89"/>
      <c r="R755" s="89"/>
      <c r="S755" s="89"/>
      <c r="T755" s="89"/>
      <c r="U755" s="89"/>
      <c r="V755" s="89"/>
      <c r="W755" s="89"/>
      <c r="X755" s="89"/>
      <c r="Y755" s="89"/>
      <c r="Z755" s="89"/>
      <c r="AA755" s="89"/>
      <c r="AB755" s="89"/>
      <c r="AC755" s="89"/>
      <c r="AD755" s="89"/>
      <c r="AE755" s="89"/>
      <c r="AF755" s="89"/>
      <c r="AG755" s="89"/>
      <c r="AH755" s="89"/>
      <c r="AI755" s="89"/>
      <c r="AJ755" s="89"/>
      <c r="AK755" s="89"/>
      <c r="AL755" s="89"/>
      <c r="AM755" s="89"/>
      <c r="AN755" s="89"/>
      <c r="AO755" s="89"/>
      <c r="AP755" s="89"/>
      <c r="AQ755" s="89"/>
      <c r="AR755" s="89"/>
      <c r="AS755" s="89"/>
      <c r="AT755" s="89"/>
      <c r="AU755" s="89"/>
      <c r="AV755" s="89"/>
      <c r="AW755" s="89"/>
      <c r="AX755" s="89"/>
      <c r="AY755" s="89"/>
      <c r="AZ755" s="89"/>
      <c r="BA755" s="95"/>
    </row>
    <row r="756" spans="1:53" s="87" customFormat="1">
      <c r="A756" s="90" t="str">
        <f t="shared" si="36"/>
        <v/>
      </c>
      <c r="B756" s="89"/>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c r="AA756" s="89"/>
      <c r="AB756" s="89"/>
      <c r="AC756" s="89"/>
      <c r="AD756" s="89"/>
      <c r="AE756" s="89"/>
      <c r="AF756" s="89"/>
      <c r="AG756" s="89"/>
      <c r="AH756" s="89"/>
      <c r="AI756" s="89"/>
      <c r="AJ756" s="89"/>
      <c r="AK756" s="89"/>
      <c r="AL756" s="89"/>
      <c r="AM756" s="89"/>
      <c r="AN756" s="89"/>
      <c r="AO756" s="89"/>
      <c r="AP756" s="89"/>
      <c r="AQ756" s="89"/>
      <c r="AR756" s="89"/>
      <c r="AS756" s="89"/>
      <c r="AT756" s="89"/>
      <c r="AU756" s="89"/>
      <c r="AV756" s="89"/>
      <c r="AW756" s="89"/>
      <c r="AX756" s="89"/>
      <c r="AY756" s="89"/>
      <c r="AZ756" s="89"/>
      <c r="BA756" s="95"/>
    </row>
    <row r="757" spans="1:53" s="87" customFormat="1">
      <c r="A757" s="90" t="str">
        <f t="shared" si="36"/>
        <v/>
      </c>
      <c r="B757" s="89"/>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c r="AA757" s="89"/>
      <c r="AB757" s="89"/>
      <c r="AC757" s="89"/>
      <c r="AD757" s="89"/>
      <c r="AE757" s="89"/>
      <c r="AF757" s="89"/>
      <c r="AG757" s="89"/>
      <c r="AH757" s="89"/>
      <c r="AI757" s="89"/>
      <c r="AJ757" s="89"/>
      <c r="AK757" s="89"/>
      <c r="AL757" s="89"/>
      <c r="AM757" s="89"/>
      <c r="AN757" s="89"/>
      <c r="AO757" s="89"/>
      <c r="AP757" s="89"/>
      <c r="AQ757" s="89"/>
      <c r="AR757" s="89"/>
      <c r="AS757" s="89"/>
      <c r="AT757" s="89"/>
      <c r="AU757" s="89"/>
      <c r="AV757" s="89"/>
      <c r="AW757" s="89"/>
      <c r="AX757" s="89"/>
      <c r="AY757" s="89"/>
      <c r="AZ757" s="89"/>
      <c r="BA757" s="95"/>
    </row>
    <row r="758" spans="1:53" s="87" customFormat="1">
      <c r="A758" s="90" t="str">
        <f t="shared" si="36"/>
        <v/>
      </c>
      <c r="B758" s="89"/>
      <c r="C758" s="89"/>
      <c r="D758" s="89"/>
      <c r="E758" s="89"/>
      <c r="F758" s="89"/>
      <c r="G758" s="89"/>
      <c r="H758" s="89"/>
      <c r="I758" s="89"/>
      <c r="J758" s="89"/>
      <c r="K758" s="89"/>
      <c r="L758" s="89"/>
      <c r="M758" s="89"/>
      <c r="N758" s="89"/>
      <c r="O758" s="89"/>
      <c r="P758" s="89"/>
      <c r="Q758" s="89"/>
      <c r="R758" s="89"/>
      <c r="S758" s="89"/>
      <c r="T758" s="89"/>
      <c r="U758" s="89"/>
      <c r="V758" s="89"/>
      <c r="W758" s="89"/>
      <c r="X758" s="89"/>
      <c r="Y758" s="89"/>
      <c r="Z758" s="89"/>
      <c r="AA758" s="89"/>
      <c r="AB758" s="89"/>
      <c r="AC758" s="89"/>
      <c r="AD758" s="89"/>
      <c r="AE758" s="89"/>
      <c r="AF758" s="89"/>
      <c r="AG758" s="89"/>
      <c r="AH758" s="89"/>
      <c r="AI758" s="89"/>
      <c r="AJ758" s="89"/>
      <c r="AK758" s="89"/>
      <c r="AL758" s="89"/>
      <c r="AM758" s="89"/>
      <c r="AN758" s="89"/>
      <c r="AO758" s="89"/>
      <c r="AP758" s="89"/>
      <c r="AQ758" s="89"/>
      <c r="AR758" s="89"/>
      <c r="AS758" s="89"/>
      <c r="AT758" s="89"/>
      <c r="AU758" s="89"/>
      <c r="AV758" s="89"/>
      <c r="AW758" s="89"/>
      <c r="AX758" s="89"/>
      <c r="AY758" s="89"/>
      <c r="AZ758" s="89"/>
      <c r="BA758" s="95"/>
    </row>
    <row r="759" spans="1:53" s="87" customFormat="1">
      <c r="A759" s="90" t="str">
        <f t="shared" si="36"/>
        <v/>
      </c>
      <c r="B759" s="89"/>
      <c r="C759" s="89"/>
      <c r="D759" s="89"/>
      <c r="E759" s="89"/>
      <c r="F759" s="89"/>
      <c r="G759" s="89"/>
      <c r="H759" s="89"/>
      <c r="I759" s="89"/>
      <c r="J759" s="89"/>
      <c r="K759" s="89"/>
      <c r="L759" s="89"/>
      <c r="M759" s="89"/>
      <c r="N759" s="89"/>
      <c r="O759" s="89"/>
      <c r="P759" s="89"/>
      <c r="Q759" s="89"/>
      <c r="R759" s="89"/>
      <c r="S759" s="89"/>
      <c r="T759" s="89"/>
      <c r="U759" s="89"/>
      <c r="V759" s="89"/>
      <c r="W759" s="89"/>
      <c r="X759" s="89"/>
      <c r="Y759" s="89"/>
      <c r="Z759" s="89"/>
      <c r="AA759" s="89"/>
      <c r="AB759" s="89"/>
      <c r="AC759" s="89"/>
      <c r="AD759" s="89"/>
      <c r="AE759" s="89"/>
      <c r="AF759" s="89"/>
      <c r="AG759" s="89"/>
      <c r="AH759" s="89"/>
      <c r="AI759" s="89"/>
      <c r="AJ759" s="89"/>
      <c r="AK759" s="89"/>
      <c r="AL759" s="89"/>
      <c r="AM759" s="89"/>
      <c r="AN759" s="89"/>
      <c r="AO759" s="89"/>
      <c r="AP759" s="89"/>
      <c r="AQ759" s="89"/>
      <c r="AR759" s="89"/>
      <c r="AS759" s="89"/>
      <c r="AT759" s="89"/>
      <c r="AU759" s="89"/>
      <c r="AV759" s="89"/>
      <c r="AW759" s="89"/>
      <c r="AX759" s="89"/>
      <c r="AY759" s="89"/>
      <c r="AZ759" s="89"/>
      <c r="BA759" s="95"/>
    </row>
    <row r="760" spans="1:53" s="87" customFormat="1">
      <c r="A760" s="90" t="str">
        <f t="shared" si="36"/>
        <v/>
      </c>
      <c r="B760" s="89"/>
      <c r="C760" s="89"/>
      <c r="D760" s="89"/>
      <c r="E760" s="89"/>
      <c r="F760" s="89"/>
      <c r="G760" s="89"/>
      <c r="H760" s="89"/>
      <c r="I760" s="89"/>
      <c r="J760" s="89"/>
      <c r="K760" s="89"/>
      <c r="L760" s="89"/>
      <c r="M760" s="89"/>
      <c r="N760" s="89"/>
      <c r="O760" s="89"/>
      <c r="P760" s="89"/>
      <c r="Q760" s="89"/>
      <c r="R760" s="89"/>
      <c r="S760" s="89"/>
      <c r="T760" s="89"/>
      <c r="U760" s="89"/>
      <c r="V760" s="89"/>
      <c r="W760" s="89"/>
      <c r="X760" s="89"/>
      <c r="Y760" s="89"/>
      <c r="Z760" s="89"/>
      <c r="AA760" s="89"/>
      <c r="AB760" s="89"/>
      <c r="AC760" s="89"/>
      <c r="AD760" s="89"/>
      <c r="AE760" s="89"/>
      <c r="AF760" s="89"/>
      <c r="AG760" s="89"/>
      <c r="AH760" s="89"/>
      <c r="AI760" s="89"/>
      <c r="AJ760" s="89"/>
      <c r="AK760" s="89"/>
      <c r="AL760" s="89"/>
      <c r="AM760" s="89"/>
      <c r="AN760" s="89"/>
      <c r="AO760" s="89"/>
      <c r="AP760" s="89"/>
      <c r="AQ760" s="89"/>
      <c r="AR760" s="89"/>
      <c r="AS760" s="89"/>
      <c r="AT760" s="89"/>
      <c r="AU760" s="89"/>
      <c r="AV760" s="89"/>
      <c r="AW760" s="89"/>
      <c r="AX760" s="89"/>
      <c r="AY760" s="89"/>
      <c r="AZ760" s="89"/>
      <c r="BA760" s="95"/>
    </row>
    <row r="761" spans="1:53" s="87" customFormat="1">
      <c r="A761" s="90" t="str">
        <f t="shared" si="36"/>
        <v/>
      </c>
      <c r="B761" s="89"/>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89"/>
      <c r="AA761" s="89"/>
      <c r="AB761" s="89"/>
      <c r="AC761" s="89"/>
      <c r="AD761" s="89"/>
      <c r="AE761" s="89"/>
      <c r="AF761" s="89"/>
      <c r="AG761" s="89"/>
      <c r="AH761" s="89"/>
      <c r="AI761" s="89"/>
      <c r="AJ761" s="89"/>
      <c r="AK761" s="89"/>
      <c r="AL761" s="89"/>
      <c r="AM761" s="89"/>
      <c r="AN761" s="89"/>
      <c r="AO761" s="89"/>
      <c r="AP761" s="89"/>
      <c r="AQ761" s="89"/>
      <c r="AR761" s="89"/>
      <c r="AS761" s="89"/>
      <c r="AT761" s="89"/>
      <c r="AU761" s="89"/>
      <c r="AV761" s="89"/>
      <c r="AW761" s="89"/>
      <c r="AX761" s="89"/>
      <c r="AY761" s="89"/>
      <c r="AZ761" s="89"/>
      <c r="BA761" s="95"/>
    </row>
    <row r="762" spans="1:53" s="87" customFormat="1">
      <c r="A762" s="90" t="str">
        <f t="shared" si="36"/>
        <v/>
      </c>
      <c r="B762" s="89"/>
      <c r="C762" s="89"/>
      <c r="D762" s="89"/>
      <c r="E762" s="89"/>
      <c r="F762" s="89"/>
      <c r="G762" s="89"/>
      <c r="H762" s="89"/>
      <c r="I762" s="89"/>
      <c r="J762" s="89"/>
      <c r="K762" s="89"/>
      <c r="L762" s="89"/>
      <c r="M762" s="89"/>
      <c r="N762" s="89"/>
      <c r="O762" s="89"/>
      <c r="P762" s="89"/>
      <c r="Q762" s="89"/>
      <c r="R762" s="89"/>
      <c r="S762" s="89"/>
      <c r="T762" s="89"/>
      <c r="U762" s="89"/>
      <c r="V762" s="89"/>
      <c r="W762" s="89"/>
      <c r="X762" s="89"/>
      <c r="Y762" s="89"/>
      <c r="Z762" s="89"/>
      <c r="AA762" s="89"/>
      <c r="AB762" s="89"/>
      <c r="AC762" s="89"/>
      <c r="AD762" s="89"/>
      <c r="AE762" s="89"/>
      <c r="AF762" s="89"/>
      <c r="AG762" s="89"/>
      <c r="AH762" s="89"/>
      <c r="AI762" s="89"/>
      <c r="AJ762" s="89"/>
      <c r="AK762" s="89"/>
      <c r="AL762" s="89"/>
      <c r="AM762" s="89"/>
      <c r="AN762" s="89"/>
      <c r="AO762" s="89"/>
      <c r="AP762" s="89"/>
      <c r="AQ762" s="89"/>
      <c r="AR762" s="89"/>
      <c r="AS762" s="89"/>
      <c r="AT762" s="89"/>
      <c r="AU762" s="89"/>
      <c r="AV762" s="89"/>
      <c r="AW762" s="89"/>
      <c r="AX762" s="89"/>
      <c r="AY762" s="89"/>
      <c r="AZ762" s="89"/>
      <c r="BA762" s="95"/>
    </row>
    <row r="763" spans="1:53" s="87" customFormat="1">
      <c r="A763" s="90" t="str">
        <f t="shared" si="36"/>
        <v/>
      </c>
      <c r="B763" s="89"/>
      <c r="C763" s="89"/>
      <c r="D763" s="89"/>
      <c r="E763" s="89"/>
      <c r="F763" s="89"/>
      <c r="G763" s="89"/>
      <c r="H763" s="89"/>
      <c r="I763" s="89"/>
      <c r="J763" s="89"/>
      <c r="K763" s="89"/>
      <c r="L763" s="89"/>
      <c r="M763" s="89"/>
      <c r="N763" s="89"/>
      <c r="O763" s="89"/>
      <c r="P763" s="89"/>
      <c r="Q763" s="89"/>
      <c r="R763" s="89"/>
      <c r="S763" s="89"/>
      <c r="T763" s="89"/>
      <c r="U763" s="89"/>
      <c r="V763" s="89"/>
      <c r="W763" s="89"/>
      <c r="X763" s="89"/>
      <c r="Y763" s="89"/>
      <c r="Z763" s="89"/>
      <c r="AA763" s="89"/>
      <c r="AB763" s="89"/>
      <c r="AC763" s="89"/>
      <c r="AD763" s="89"/>
      <c r="AE763" s="89"/>
      <c r="AF763" s="89"/>
      <c r="AG763" s="89"/>
      <c r="AH763" s="89"/>
      <c r="AI763" s="89"/>
      <c r="AJ763" s="89"/>
      <c r="AK763" s="89"/>
      <c r="AL763" s="89"/>
      <c r="AM763" s="89"/>
      <c r="AN763" s="89"/>
      <c r="AO763" s="89"/>
      <c r="AP763" s="89"/>
      <c r="AQ763" s="89"/>
      <c r="AR763" s="89"/>
      <c r="AS763" s="89"/>
      <c r="AT763" s="89"/>
      <c r="AU763" s="89"/>
      <c r="AV763" s="89"/>
      <c r="AW763" s="89"/>
      <c r="AX763" s="89"/>
      <c r="AY763" s="89"/>
      <c r="AZ763" s="89"/>
      <c r="BA763" s="95"/>
    </row>
    <row r="764" spans="1:53" s="87" customFormat="1">
      <c r="A764" s="90" t="str">
        <f t="shared" si="36"/>
        <v/>
      </c>
      <c r="B764" s="89"/>
      <c r="C764" s="89"/>
      <c r="D764" s="89"/>
      <c r="E764" s="89"/>
      <c r="F764" s="89"/>
      <c r="G764" s="89"/>
      <c r="H764" s="89"/>
      <c r="I764" s="89"/>
      <c r="J764" s="89"/>
      <c r="K764" s="89"/>
      <c r="L764" s="89"/>
      <c r="M764" s="89"/>
      <c r="N764" s="89"/>
      <c r="O764" s="89"/>
      <c r="P764" s="89"/>
      <c r="Q764" s="89"/>
      <c r="R764" s="89"/>
      <c r="S764" s="89"/>
      <c r="T764" s="89"/>
      <c r="U764" s="89"/>
      <c r="V764" s="89"/>
      <c r="W764" s="89"/>
      <c r="X764" s="89"/>
      <c r="Y764" s="89"/>
      <c r="Z764" s="89"/>
      <c r="AA764" s="89"/>
      <c r="AB764" s="89"/>
      <c r="AC764" s="89"/>
      <c r="AD764" s="89"/>
      <c r="AE764" s="89"/>
      <c r="AF764" s="89"/>
      <c r="AG764" s="89"/>
      <c r="AH764" s="89"/>
      <c r="AI764" s="89"/>
      <c r="AJ764" s="89"/>
      <c r="AK764" s="89"/>
      <c r="AL764" s="89"/>
      <c r="AM764" s="89"/>
      <c r="AN764" s="89"/>
      <c r="AO764" s="89"/>
      <c r="AP764" s="89"/>
      <c r="AQ764" s="89"/>
      <c r="AR764" s="89"/>
      <c r="AS764" s="89"/>
      <c r="AT764" s="89"/>
      <c r="AU764" s="89"/>
      <c r="AV764" s="89"/>
      <c r="AW764" s="89"/>
      <c r="AX764" s="89"/>
      <c r="AY764" s="89"/>
      <c r="AZ764" s="89"/>
      <c r="BA764" s="95"/>
    </row>
    <row r="765" spans="1:53" s="87" customFormat="1">
      <c r="A765" s="90" t="str">
        <f t="shared" si="36"/>
        <v/>
      </c>
      <c r="B765" s="89"/>
      <c r="C765" s="89"/>
      <c r="D765" s="89"/>
      <c r="E765" s="89"/>
      <c r="F765" s="89"/>
      <c r="G765" s="89"/>
      <c r="H765" s="89"/>
      <c r="I765" s="89"/>
      <c r="J765" s="89"/>
      <c r="K765" s="89"/>
      <c r="L765" s="89"/>
      <c r="M765" s="89"/>
      <c r="N765" s="89"/>
      <c r="O765" s="89"/>
      <c r="P765" s="89"/>
      <c r="Q765" s="89"/>
      <c r="R765" s="89"/>
      <c r="S765" s="89"/>
      <c r="T765" s="89"/>
      <c r="U765" s="89"/>
      <c r="V765" s="89"/>
      <c r="W765" s="89"/>
      <c r="X765" s="89"/>
      <c r="Y765" s="89"/>
      <c r="Z765" s="89"/>
      <c r="AA765" s="89"/>
      <c r="AB765" s="89"/>
      <c r="AC765" s="89"/>
      <c r="AD765" s="89"/>
      <c r="AE765" s="89"/>
      <c r="AF765" s="89"/>
      <c r="AG765" s="89"/>
      <c r="AH765" s="89"/>
      <c r="AI765" s="89"/>
      <c r="AJ765" s="89"/>
      <c r="AK765" s="89"/>
      <c r="AL765" s="89"/>
      <c r="AM765" s="89"/>
      <c r="AN765" s="89"/>
      <c r="AO765" s="89"/>
      <c r="AP765" s="89"/>
      <c r="AQ765" s="89"/>
      <c r="AR765" s="89"/>
      <c r="AS765" s="89"/>
      <c r="AT765" s="89"/>
      <c r="AU765" s="89"/>
      <c r="AV765" s="89"/>
      <c r="AW765" s="89"/>
      <c r="AX765" s="89"/>
      <c r="AY765" s="89"/>
      <c r="AZ765" s="89"/>
      <c r="BA765" s="95"/>
    </row>
    <row r="766" spans="1:53" s="87" customFormat="1">
      <c r="A766" s="90" t="str">
        <f t="shared" si="36"/>
        <v/>
      </c>
      <c r="B766" s="89"/>
      <c r="C766" s="89"/>
      <c r="D766" s="89"/>
      <c r="E766" s="89"/>
      <c r="F766" s="89"/>
      <c r="G766" s="89"/>
      <c r="H766" s="89"/>
      <c r="I766" s="89"/>
      <c r="J766" s="89"/>
      <c r="K766" s="89"/>
      <c r="L766" s="89"/>
      <c r="M766" s="89"/>
      <c r="N766" s="89"/>
      <c r="O766" s="89"/>
      <c r="P766" s="89"/>
      <c r="Q766" s="89"/>
      <c r="R766" s="89"/>
      <c r="S766" s="89"/>
      <c r="T766" s="89"/>
      <c r="U766" s="89"/>
      <c r="V766" s="89"/>
      <c r="W766" s="89"/>
      <c r="X766" s="89"/>
      <c r="Y766" s="89"/>
      <c r="Z766" s="89"/>
      <c r="AA766" s="89"/>
      <c r="AB766" s="89"/>
      <c r="AC766" s="89"/>
      <c r="AD766" s="89"/>
      <c r="AE766" s="89"/>
      <c r="AF766" s="89"/>
      <c r="AG766" s="89"/>
      <c r="AH766" s="89"/>
      <c r="AI766" s="89"/>
      <c r="AJ766" s="89"/>
      <c r="AK766" s="89"/>
      <c r="AL766" s="89"/>
      <c r="AM766" s="89"/>
      <c r="AN766" s="89"/>
      <c r="AO766" s="89"/>
      <c r="AP766" s="89"/>
      <c r="AQ766" s="89"/>
      <c r="AR766" s="89"/>
      <c r="AS766" s="89"/>
      <c r="AT766" s="89"/>
      <c r="AU766" s="89"/>
      <c r="AV766" s="89"/>
      <c r="AW766" s="89"/>
      <c r="AX766" s="89"/>
      <c r="AY766" s="89"/>
      <c r="AZ766" s="89"/>
      <c r="BA766" s="95"/>
    </row>
    <row r="767" spans="1:53" s="87" customFormat="1">
      <c r="A767" s="90" t="str">
        <f t="shared" si="36"/>
        <v/>
      </c>
      <c r="B767" s="89"/>
      <c r="C767" s="89"/>
      <c r="D767" s="89"/>
      <c r="E767" s="89"/>
      <c r="F767" s="89"/>
      <c r="G767" s="89"/>
      <c r="H767" s="89"/>
      <c r="I767" s="89"/>
      <c r="J767" s="89"/>
      <c r="K767" s="89"/>
      <c r="L767" s="89"/>
      <c r="M767" s="89"/>
      <c r="N767" s="89"/>
      <c r="O767" s="89"/>
      <c r="P767" s="89"/>
      <c r="Q767" s="89"/>
      <c r="R767" s="89"/>
      <c r="S767" s="89"/>
      <c r="T767" s="89"/>
      <c r="U767" s="89"/>
      <c r="V767" s="89"/>
      <c r="W767" s="89"/>
      <c r="X767" s="89"/>
      <c r="Y767" s="89"/>
      <c r="Z767" s="89"/>
      <c r="AA767" s="89"/>
      <c r="AB767" s="89"/>
      <c r="AC767" s="89"/>
      <c r="AD767" s="89"/>
      <c r="AE767" s="89"/>
      <c r="AF767" s="89"/>
      <c r="AG767" s="89"/>
      <c r="AH767" s="89"/>
      <c r="AI767" s="89"/>
      <c r="AJ767" s="89"/>
      <c r="AK767" s="89"/>
      <c r="AL767" s="89"/>
      <c r="AM767" s="89"/>
      <c r="AN767" s="89"/>
      <c r="AO767" s="89"/>
      <c r="AP767" s="89"/>
      <c r="AQ767" s="89"/>
      <c r="AR767" s="89"/>
      <c r="AS767" s="89"/>
      <c r="AT767" s="89"/>
      <c r="AU767" s="89"/>
      <c r="AV767" s="89"/>
      <c r="AW767" s="89"/>
      <c r="AX767" s="89"/>
      <c r="AY767" s="89"/>
      <c r="AZ767" s="89"/>
      <c r="BA767" s="95"/>
    </row>
    <row r="768" spans="1:53" s="87" customFormat="1">
      <c r="A768" s="90" t="str">
        <f t="shared" si="36"/>
        <v/>
      </c>
      <c r="B768" s="89"/>
      <c r="C768" s="89"/>
      <c r="D768" s="89"/>
      <c r="E768" s="89"/>
      <c r="F768" s="89"/>
      <c r="G768" s="89"/>
      <c r="H768" s="89"/>
      <c r="I768" s="89"/>
      <c r="J768" s="89"/>
      <c r="K768" s="89"/>
      <c r="L768" s="89"/>
      <c r="M768" s="89"/>
      <c r="N768" s="89"/>
      <c r="O768" s="89"/>
      <c r="P768" s="89"/>
      <c r="Q768" s="89"/>
      <c r="R768" s="89"/>
      <c r="S768" s="89"/>
      <c r="T768" s="89"/>
      <c r="U768" s="89"/>
      <c r="V768" s="89"/>
      <c r="W768" s="89"/>
      <c r="X768" s="89"/>
      <c r="Y768" s="89"/>
      <c r="Z768" s="89"/>
      <c r="AA768" s="89"/>
      <c r="AB768" s="89"/>
      <c r="AC768" s="89"/>
      <c r="AD768" s="89"/>
      <c r="AE768" s="89"/>
      <c r="AF768" s="89"/>
      <c r="AG768" s="89"/>
      <c r="AH768" s="89"/>
      <c r="AI768" s="89"/>
      <c r="AJ768" s="89"/>
      <c r="AK768" s="89"/>
      <c r="AL768" s="89"/>
      <c r="AM768" s="89"/>
      <c r="AN768" s="89"/>
      <c r="AO768" s="89"/>
      <c r="AP768" s="89"/>
      <c r="AQ768" s="89"/>
      <c r="AR768" s="89"/>
      <c r="AS768" s="89"/>
      <c r="AT768" s="89"/>
      <c r="AU768" s="89"/>
      <c r="AV768" s="89"/>
      <c r="AW768" s="89"/>
      <c r="AX768" s="89"/>
      <c r="AY768" s="89"/>
      <c r="AZ768" s="89"/>
      <c r="BA768" s="95"/>
    </row>
    <row r="769" spans="1:53" s="87" customFormat="1">
      <c r="A769" s="90" t="str">
        <f t="shared" si="36"/>
        <v/>
      </c>
      <c r="B769" s="89"/>
      <c r="C769" s="89"/>
      <c r="D769" s="89"/>
      <c r="E769" s="89"/>
      <c r="F769" s="89"/>
      <c r="G769" s="89"/>
      <c r="H769" s="89"/>
      <c r="I769" s="89"/>
      <c r="J769" s="89"/>
      <c r="K769" s="89"/>
      <c r="L769" s="89"/>
      <c r="M769" s="89"/>
      <c r="N769" s="89"/>
      <c r="O769" s="89"/>
      <c r="P769" s="89"/>
      <c r="Q769" s="89"/>
      <c r="R769" s="89"/>
      <c r="S769" s="89"/>
      <c r="T769" s="89"/>
      <c r="U769" s="89"/>
      <c r="V769" s="89"/>
      <c r="W769" s="89"/>
      <c r="X769" s="89"/>
      <c r="Y769" s="89"/>
      <c r="Z769" s="89"/>
      <c r="AA769" s="89"/>
      <c r="AB769" s="89"/>
      <c r="AC769" s="89"/>
      <c r="AD769" s="89"/>
      <c r="AE769" s="89"/>
      <c r="AF769" s="89"/>
      <c r="AG769" s="89"/>
      <c r="AH769" s="89"/>
      <c r="AI769" s="89"/>
      <c r="AJ769" s="89"/>
      <c r="AK769" s="89"/>
      <c r="AL769" s="89"/>
      <c r="AM769" s="89"/>
      <c r="AN769" s="89"/>
      <c r="AO769" s="89"/>
      <c r="AP769" s="89"/>
      <c r="AQ769" s="89"/>
      <c r="AR769" s="89"/>
      <c r="AS769" s="89"/>
      <c r="AT769" s="89"/>
      <c r="AU769" s="89"/>
      <c r="AV769" s="89"/>
      <c r="AW769" s="89"/>
      <c r="AX769" s="89"/>
      <c r="AY769" s="89"/>
      <c r="AZ769" s="89"/>
      <c r="BA769" s="95"/>
    </row>
    <row r="770" spans="1:53" s="87" customFormat="1">
      <c r="A770" s="90" t="str">
        <f t="shared" si="36"/>
        <v/>
      </c>
      <c r="B770" s="89"/>
      <c r="C770" s="89"/>
      <c r="D770" s="89"/>
      <c r="E770" s="89"/>
      <c r="F770" s="89"/>
      <c r="G770" s="89"/>
      <c r="H770" s="89"/>
      <c r="I770" s="89"/>
      <c r="J770" s="89"/>
      <c r="K770" s="89"/>
      <c r="L770" s="89"/>
      <c r="M770" s="89"/>
      <c r="N770" s="89"/>
      <c r="O770" s="89"/>
      <c r="P770" s="89"/>
      <c r="Q770" s="89"/>
      <c r="R770" s="89"/>
      <c r="S770" s="89"/>
      <c r="T770" s="89"/>
      <c r="U770" s="89"/>
      <c r="V770" s="89"/>
      <c r="W770" s="89"/>
      <c r="X770" s="89"/>
      <c r="Y770" s="89"/>
      <c r="Z770" s="89"/>
      <c r="AA770" s="89"/>
      <c r="AB770" s="89"/>
      <c r="AC770" s="89"/>
      <c r="AD770" s="89"/>
      <c r="AE770" s="89"/>
      <c r="AF770" s="89"/>
      <c r="AG770" s="89"/>
      <c r="AH770" s="89"/>
      <c r="AI770" s="89"/>
      <c r="AJ770" s="89"/>
      <c r="AK770" s="89"/>
      <c r="AL770" s="89"/>
      <c r="AM770" s="89"/>
      <c r="AN770" s="89"/>
      <c r="AO770" s="89"/>
      <c r="AP770" s="89"/>
      <c r="AQ770" s="89"/>
      <c r="AR770" s="89"/>
      <c r="AS770" s="89"/>
      <c r="AT770" s="89"/>
      <c r="AU770" s="89"/>
      <c r="AV770" s="89"/>
      <c r="AW770" s="89"/>
      <c r="AX770" s="89"/>
      <c r="AY770" s="89"/>
      <c r="AZ770" s="89"/>
      <c r="BA770" s="95"/>
    </row>
    <row r="771" spans="1:53" s="87" customFormat="1">
      <c r="A771" s="90" t="str">
        <f t="shared" si="36"/>
        <v/>
      </c>
      <c r="B771" s="89"/>
      <c r="C771" s="89"/>
      <c r="D771" s="89"/>
      <c r="E771" s="89"/>
      <c r="F771" s="89"/>
      <c r="G771" s="89"/>
      <c r="H771" s="89"/>
      <c r="I771" s="89"/>
      <c r="J771" s="89"/>
      <c r="K771" s="89"/>
      <c r="L771" s="89"/>
      <c r="M771" s="89"/>
      <c r="N771" s="89"/>
      <c r="O771" s="89"/>
      <c r="P771" s="89"/>
      <c r="Q771" s="89"/>
      <c r="R771" s="89"/>
      <c r="S771" s="89"/>
      <c r="T771" s="89"/>
      <c r="U771" s="89"/>
      <c r="V771" s="89"/>
      <c r="W771" s="89"/>
      <c r="X771" s="89"/>
      <c r="Y771" s="89"/>
      <c r="Z771" s="89"/>
      <c r="AA771" s="89"/>
      <c r="AB771" s="89"/>
      <c r="AC771" s="89"/>
      <c r="AD771" s="89"/>
      <c r="AE771" s="89"/>
      <c r="AF771" s="89"/>
      <c r="AG771" s="89"/>
      <c r="AH771" s="89"/>
      <c r="AI771" s="89"/>
      <c r="AJ771" s="89"/>
      <c r="AK771" s="89"/>
      <c r="AL771" s="89"/>
      <c r="AM771" s="89"/>
      <c r="AN771" s="89"/>
      <c r="AO771" s="89"/>
      <c r="AP771" s="89"/>
      <c r="AQ771" s="89"/>
      <c r="AR771" s="89"/>
      <c r="AS771" s="89"/>
      <c r="AT771" s="89"/>
      <c r="AU771" s="89"/>
      <c r="AV771" s="89"/>
      <c r="AW771" s="89"/>
      <c r="AX771" s="89"/>
      <c r="AY771" s="89"/>
      <c r="AZ771" s="89"/>
      <c r="BA771" s="95"/>
    </row>
    <row r="772" spans="1:53" s="87" customFormat="1">
      <c r="A772" s="90" t="str">
        <f t="shared" si="36"/>
        <v/>
      </c>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89"/>
      <c r="AA772" s="89"/>
      <c r="AB772" s="89"/>
      <c r="AC772" s="89"/>
      <c r="AD772" s="89"/>
      <c r="AE772" s="89"/>
      <c r="AF772" s="89"/>
      <c r="AG772" s="89"/>
      <c r="AH772" s="89"/>
      <c r="AI772" s="89"/>
      <c r="AJ772" s="89"/>
      <c r="AK772" s="89"/>
      <c r="AL772" s="89"/>
      <c r="AM772" s="89"/>
      <c r="AN772" s="89"/>
      <c r="AO772" s="89"/>
      <c r="AP772" s="89"/>
      <c r="AQ772" s="89"/>
      <c r="AR772" s="89"/>
      <c r="AS772" s="89"/>
      <c r="AT772" s="89"/>
      <c r="AU772" s="89"/>
      <c r="AV772" s="89"/>
      <c r="AW772" s="89"/>
      <c r="AX772" s="89"/>
      <c r="AY772" s="89"/>
      <c r="AZ772" s="89"/>
      <c r="BA772" s="95"/>
    </row>
    <row r="773" spans="1:53" s="87" customFormat="1">
      <c r="A773" s="90" t="str">
        <f t="shared" si="36"/>
        <v/>
      </c>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89"/>
      <c r="AA773" s="89"/>
      <c r="AB773" s="89"/>
      <c r="AC773" s="89"/>
      <c r="AD773" s="89"/>
      <c r="AE773" s="89"/>
      <c r="AF773" s="89"/>
      <c r="AG773" s="89"/>
      <c r="AH773" s="89"/>
      <c r="AI773" s="89"/>
      <c r="AJ773" s="89"/>
      <c r="AK773" s="89"/>
      <c r="AL773" s="89"/>
      <c r="AM773" s="89"/>
      <c r="AN773" s="89"/>
      <c r="AO773" s="89"/>
      <c r="AP773" s="89"/>
      <c r="AQ773" s="89"/>
      <c r="AR773" s="89"/>
      <c r="AS773" s="89"/>
      <c r="AT773" s="89"/>
      <c r="AU773" s="89"/>
      <c r="AV773" s="89"/>
      <c r="AW773" s="89"/>
      <c r="AX773" s="89"/>
      <c r="AY773" s="89"/>
      <c r="AZ773" s="89"/>
      <c r="BA773" s="95"/>
    </row>
    <row r="774" spans="1:53" s="87" customFormat="1">
      <c r="A774" s="90" t="str">
        <f t="shared" si="36"/>
        <v/>
      </c>
      <c r="B774" s="89"/>
      <c r="C774" s="89"/>
      <c r="D774" s="89"/>
      <c r="E774" s="89"/>
      <c r="F774" s="89"/>
      <c r="G774" s="89"/>
      <c r="H774" s="89"/>
      <c r="I774" s="89"/>
      <c r="J774" s="89"/>
      <c r="K774" s="89"/>
      <c r="L774" s="89"/>
      <c r="M774" s="89"/>
      <c r="N774" s="89"/>
      <c r="O774" s="89"/>
      <c r="P774" s="89"/>
      <c r="Q774" s="89"/>
      <c r="R774" s="89"/>
      <c r="S774" s="89"/>
      <c r="T774" s="89"/>
      <c r="U774" s="89"/>
      <c r="V774" s="89"/>
      <c r="W774" s="89"/>
      <c r="X774" s="89"/>
      <c r="Y774" s="89"/>
      <c r="Z774" s="89"/>
      <c r="AA774" s="89"/>
      <c r="AB774" s="89"/>
      <c r="AC774" s="89"/>
      <c r="AD774" s="89"/>
      <c r="AE774" s="89"/>
      <c r="AF774" s="89"/>
      <c r="AG774" s="89"/>
      <c r="AH774" s="89"/>
      <c r="AI774" s="89"/>
      <c r="AJ774" s="89"/>
      <c r="AK774" s="89"/>
      <c r="AL774" s="89"/>
      <c r="AM774" s="89"/>
      <c r="AN774" s="89"/>
      <c r="AO774" s="89"/>
      <c r="AP774" s="89"/>
      <c r="AQ774" s="89"/>
      <c r="AR774" s="89"/>
      <c r="AS774" s="89"/>
      <c r="AT774" s="89"/>
      <c r="AU774" s="89"/>
      <c r="AV774" s="89"/>
      <c r="AW774" s="89"/>
      <c r="AX774" s="89"/>
      <c r="AY774" s="89"/>
      <c r="AZ774" s="89"/>
      <c r="BA774" s="95"/>
    </row>
    <row r="775" spans="1:53" s="87" customFormat="1">
      <c r="A775" s="90" t="str">
        <f t="shared" si="36"/>
        <v/>
      </c>
      <c r="B775" s="89"/>
      <c r="C775" s="89"/>
      <c r="D775" s="89"/>
      <c r="E775" s="89"/>
      <c r="F775" s="89"/>
      <c r="G775" s="89"/>
      <c r="H775" s="89"/>
      <c r="I775" s="89"/>
      <c r="J775" s="89"/>
      <c r="K775" s="89"/>
      <c r="L775" s="89"/>
      <c r="M775" s="89"/>
      <c r="N775" s="89"/>
      <c r="O775" s="89"/>
      <c r="P775" s="89"/>
      <c r="Q775" s="89"/>
      <c r="R775" s="89"/>
      <c r="S775" s="89"/>
      <c r="T775" s="89"/>
      <c r="U775" s="89"/>
      <c r="V775" s="89"/>
      <c r="W775" s="89"/>
      <c r="X775" s="89"/>
      <c r="Y775" s="89"/>
      <c r="Z775" s="89"/>
      <c r="AA775" s="89"/>
      <c r="AB775" s="89"/>
      <c r="AC775" s="89"/>
      <c r="AD775" s="89"/>
      <c r="AE775" s="89"/>
      <c r="AF775" s="89"/>
      <c r="AG775" s="89"/>
      <c r="AH775" s="89"/>
      <c r="AI775" s="89"/>
      <c r="AJ775" s="89"/>
      <c r="AK775" s="89"/>
      <c r="AL775" s="89"/>
      <c r="AM775" s="89"/>
      <c r="AN775" s="89"/>
      <c r="AO775" s="89"/>
      <c r="AP775" s="89"/>
      <c r="AQ775" s="89"/>
      <c r="AR775" s="89"/>
      <c r="AS775" s="89"/>
      <c r="AT775" s="89"/>
      <c r="AU775" s="89"/>
      <c r="AV775" s="89"/>
      <c r="AW775" s="89"/>
      <c r="AX775" s="89"/>
      <c r="AY775" s="89"/>
      <c r="AZ775" s="89"/>
      <c r="BA775" s="95"/>
    </row>
    <row r="776" spans="1:53" s="87" customFormat="1">
      <c r="A776" s="90" t="str">
        <f t="shared" si="36"/>
        <v/>
      </c>
      <c r="B776" s="89"/>
      <c r="C776" s="89"/>
      <c r="D776" s="89"/>
      <c r="E776" s="89"/>
      <c r="F776" s="89"/>
      <c r="G776" s="89"/>
      <c r="H776" s="89"/>
      <c r="I776" s="89"/>
      <c r="J776" s="89"/>
      <c r="K776" s="89"/>
      <c r="L776" s="89"/>
      <c r="M776" s="89"/>
      <c r="N776" s="89"/>
      <c r="O776" s="89"/>
      <c r="P776" s="89"/>
      <c r="Q776" s="89"/>
      <c r="R776" s="89"/>
      <c r="S776" s="89"/>
      <c r="T776" s="89"/>
      <c r="U776" s="89"/>
      <c r="V776" s="89"/>
      <c r="W776" s="89"/>
      <c r="X776" s="89"/>
      <c r="Y776" s="89"/>
      <c r="Z776" s="89"/>
      <c r="AA776" s="89"/>
      <c r="AB776" s="89"/>
      <c r="AC776" s="89"/>
      <c r="AD776" s="89"/>
      <c r="AE776" s="89"/>
      <c r="AF776" s="89"/>
      <c r="AG776" s="89"/>
      <c r="AH776" s="89"/>
      <c r="AI776" s="89"/>
      <c r="AJ776" s="89"/>
      <c r="AK776" s="89"/>
      <c r="AL776" s="89"/>
      <c r="AM776" s="89"/>
      <c r="AN776" s="89"/>
      <c r="AO776" s="89"/>
      <c r="AP776" s="89"/>
      <c r="AQ776" s="89"/>
      <c r="AR776" s="89"/>
      <c r="AS776" s="89"/>
      <c r="AT776" s="89"/>
      <c r="AU776" s="89"/>
      <c r="AV776" s="89"/>
      <c r="AW776" s="89"/>
      <c r="AX776" s="89"/>
      <c r="AY776" s="89"/>
      <c r="AZ776" s="89"/>
      <c r="BA776" s="95"/>
    </row>
    <row r="777" spans="1:53" s="87" customFormat="1">
      <c r="A777" s="90" t="str">
        <f t="shared" si="36"/>
        <v/>
      </c>
      <c r="B777" s="89"/>
      <c r="C777" s="89"/>
      <c r="D777" s="89"/>
      <c r="E777" s="89"/>
      <c r="F777" s="89"/>
      <c r="G777" s="89"/>
      <c r="H777" s="89"/>
      <c r="I777" s="89"/>
      <c r="J777" s="89"/>
      <c r="K777" s="89"/>
      <c r="L777" s="89"/>
      <c r="M777" s="89"/>
      <c r="N777" s="89"/>
      <c r="O777" s="89"/>
      <c r="P777" s="89"/>
      <c r="Q777" s="89"/>
      <c r="R777" s="89"/>
      <c r="S777" s="89"/>
      <c r="T777" s="89"/>
      <c r="U777" s="89"/>
      <c r="V777" s="89"/>
      <c r="W777" s="89"/>
      <c r="X777" s="89"/>
      <c r="Y777" s="89"/>
      <c r="Z777" s="89"/>
      <c r="AA777" s="89"/>
      <c r="AB777" s="89"/>
      <c r="AC777" s="89"/>
      <c r="AD777" s="89"/>
      <c r="AE777" s="89"/>
      <c r="AF777" s="89"/>
      <c r="AG777" s="89"/>
      <c r="AH777" s="89"/>
      <c r="AI777" s="89"/>
      <c r="AJ777" s="89"/>
      <c r="AK777" s="89"/>
      <c r="AL777" s="89"/>
      <c r="AM777" s="89"/>
      <c r="AN777" s="89"/>
      <c r="AO777" s="89"/>
      <c r="AP777" s="89"/>
      <c r="AQ777" s="89"/>
      <c r="AR777" s="89"/>
      <c r="AS777" s="89"/>
      <c r="AT777" s="89"/>
      <c r="AU777" s="89"/>
      <c r="AV777" s="89"/>
      <c r="AW777" s="89"/>
      <c r="AX777" s="89"/>
      <c r="AY777" s="89"/>
      <c r="AZ777" s="89"/>
      <c r="BA777" s="95"/>
    </row>
    <row r="778" spans="1:53" s="87" customFormat="1">
      <c r="A778" s="90" t="str">
        <f t="shared" si="36"/>
        <v/>
      </c>
      <c r="B778" s="89"/>
      <c r="C778" s="89"/>
      <c r="D778" s="89"/>
      <c r="E778" s="89"/>
      <c r="F778" s="89"/>
      <c r="G778" s="89"/>
      <c r="H778" s="89"/>
      <c r="I778" s="89"/>
      <c r="J778" s="89"/>
      <c r="K778" s="89"/>
      <c r="L778" s="89"/>
      <c r="M778" s="89"/>
      <c r="N778" s="89"/>
      <c r="O778" s="89"/>
      <c r="P778" s="89"/>
      <c r="Q778" s="89"/>
      <c r="R778" s="89"/>
      <c r="S778" s="89"/>
      <c r="T778" s="89"/>
      <c r="U778" s="89"/>
      <c r="V778" s="89"/>
      <c r="W778" s="89"/>
      <c r="X778" s="89"/>
      <c r="Y778" s="89"/>
      <c r="Z778" s="89"/>
      <c r="AA778" s="89"/>
      <c r="AB778" s="89"/>
      <c r="AC778" s="89"/>
      <c r="AD778" s="89"/>
      <c r="AE778" s="89"/>
      <c r="AF778" s="89"/>
      <c r="AG778" s="89"/>
      <c r="AH778" s="89"/>
      <c r="AI778" s="89"/>
      <c r="AJ778" s="89"/>
      <c r="AK778" s="89"/>
      <c r="AL778" s="89"/>
      <c r="AM778" s="89"/>
      <c r="AN778" s="89"/>
      <c r="AO778" s="89"/>
      <c r="AP778" s="89"/>
      <c r="AQ778" s="89"/>
      <c r="AR778" s="89"/>
      <c r="AS778" s="89"/>
      <c r="AT778" s="89"/>
      <c r="AU778" s="89"/>
      <c r="AV778" s="89"/>
      <c r="AW778" s="89"/>
      <c r="AX778" s="89"/>
      <c r="AY778" s="89"/>
      <c r="AZ778" s="89"/>
      <c r="BA778" s="95"/>
    </row>
    <row r="779" spans="1:53" s="87" customFormat="1">
      <c r="A779" s="90" t="str">
        <f t="shared" si="36"/>
        <v/>
      </c>
      <c r="B779" s="89"/>
      <c r="C779" s="89"/>
      <c r="D779" s="89"/>
      <c r="E779" s="89"/>
      <c r="F779" s="89"/>
      <c r="G779" s="89"/>
      <c r="H779" s="89"/>
      <c r="I779" s="89"/>
      <c r="J779" s="89"/>
      <c r="K779" s="89"/>
      <c r="L779" s="89"/>
      <c r="M779" s="89"/>
      <c r="N779" s="89"/>
      <c r="O779" s="89"/>
      <c r="P779" s="89"/>
      <c r="Q779" s="89"/>
      <c r="R779" s="89"/>
      <c r="S779" s="89"/>
      <c r="T779" s="89"/>
      <c r="U779" s="89"/>
      <c r="V779" s="89"/>
      <c r="W779" s="89"/>
      <c r="X779" s="89"/>
      <c r="Y779" s="89"/>
      <c r="Z779" s="89"/>
      <c r="AA779" s="89"/>
      <c r="AB779" s="89"/>
      <c r="AC779" s="89"/>
      <c r="AD779" s="89"/>
      <c r="AE779" s="89"/>
      <c r="AF779" s="89"/>
      <c r="AG779" s="89"/>
      <c r="AH779" s="89"/>
      <c r="AI779" s="89"/>
      <c r="AJ779" s="89"/>
      <c r="AK779" s="89"/>
      <c r="AL779" s="89"/>
      <c r="AM779" s="89"/>
      <c r="AN779" s="89"/>
      <c r="AO779" s="89"/>
      <c r="AP779" s="89"/>
      <c r="AQ779" s="89"/>
      <c r="AR779" s="89"/>
      <c r="AS779" s="89"/>
      <c r="AT779" s="89"/>
      <c r="AU779" s="89"/>
      <c r="AV779" s="89"/>
      <c r="AW779" s="89"/>
      <c r="AX779" s="89"/>
      <c r="AY779" s="89"/>
      <c r="AZ779" s="89"/>
      <c r="BA779" s="95"/>
    </row>
    <row r="780" spans="1:53" s="87" customFormat="1">
      <c r="A780" s="90" t="str">
        <f t="shared" ref="A780:A843" si="37">IF(MID(B780,3,2)="10",ROW(),"")</f>
        <v/>
      </c>
      <c r="B780" s="89"/>
      <c r="C780" s="89"/>
      <c r="D780" s="89"/>
      <c r="E780" s="89"/>
      <c r="F780" s="89"/>
      <c r="G780" s="89"/>
      <c r="H780" s="89"/>
      <c r="I780" s="89"/>
      <c r="J780" s="89"/>
      <c r="K780" s="89"/>
      <c r="L780" s="89"/>
      <c r="M780" s="89"/>
      <c r="N780" s="89"/>
      <c r="O780" s="89"/>
      <c r="P780" s="89"/>
      <c r="Q780" s="89"/>
      <c r="R780" s="89"/>
      <c r="S780" s="89"/>
      <c r="T780" s="89"/>
      <c r="U780" s="89"/>
      <c r="V780" s="89"/>
      <c r="W780" s="89"/>
      <c r="X780" s="89"/>
      <c r="Y780" s="89"/>
      <c r="Z780" s="89"/>
      <c r="AA780" s="89"/>
      <c r="AB780" s="89"/>
      <c r="AC780" s="89"/>
      <c r="AD780" s="89"/>
      <c r="AE780" s="89"/>
      <c r="AF780" s="89"/>
      <c r="AG780" s="89"/>
      <c r="AH780" s="89"/>
      <c r="AI780" s="89"/>
      <c r="AJ780" s="89"/>
      <c r="AK780" s="89"/>
      <c r="AL780" s="89"/>
      <c r="AM780" s="89"/>
      <c r="AN780" s="89"/>
      <c r="AO780" s="89"/>
      <c r="AP780" s="89"/>
      <c r="AQ780" s="89"/>
      <c r="AR780" s="89"/>
      <c r="AS780" s="89"/>
      <c r="AT780" s="89"/>
      <c r="AU780" s="89"/>
      <c r="AV780" s="89"/>
      <c r="AW780" s="89"/>
      <c r="AX780" s="89"/>
      <c r="AY780" s="89"/>
      <c r="AZ780" s="89"/>
      <c r="BA780" s="95"/>
    </row>
    <row r="781" spans="1:53" s="87" customFormat="1">
      <c r="A781" s="90" t="str">
        <f t="shared" si="37"/>
        <v/>
      </c>
      <c r="B781" s="89"/>
      <c r="C781" s="89"/>
      <c r="D781" s="89"/>
      <c r="E781" s="89"/>
      <c r="F781" s="89"/>
      <c r="G781" s="89"/>
      <c r="H781" s="89"/>
      <c r="I781" s="89"/>
      <c r="J781" s="89"/>
      <c r="K781" s="89"/>
      <c r="L781" s="89"/>
      <c r="M781" s="89"/>
      <c r="N781" s="89"/>
      <c r="O781" s="89"/>
      <c r="P781" s="89"/>
      <c r="Q781" s="89"/>
      <c r="R781" s="89"/>
      <c r="S781" s="89"/>
      <c r="T781" s="89"/>
      <c r="U781" s="89"/>
      <c r="V781" s="89"/>
      <c r="W781" s="89"/>
      <c r="X781" s="89"/>
      <c r="Y781" s="89"/>
      <c r="Z781" s="89"/>
      <c r="AA781" s="89"/>
      <c r="AB781" s="89"/>
      <c r="AC781" s="89"/>
      <c r="AD781" s="89"/>
      <c r="AE781" s="89"/>
      <c r="AF781" s="89"/>
      <c r="AG781" s="89"/>
      <c r="AH781" s="89"/>
      <c r="AI781" s="89"/>
      <c r="AJ781" s="89"/>
      <c r="AK781" s="89"/>
      <c r="AL781" s="89"/>
      <c r="AM781" s="89"/>
      <c r="AN781" s="89"/>
      <c r="AO781" s="89"/>
      <c r="AP781" s="89"/>
      <c r="AQ781" s="89"/>
      <c r="AR781" s="89"/>
      <c r="AS781" s="89"/>
      <c r="AT781" s="89"/>
      <c r="AU781" s="89"/>
      <c r="AV781" s="89"/>
      <c r="AW781" s="89"/>
      <c r="AX781" s="89"/>
      <c r="AY781" s="89"/>
      <c r="AZ781" s="89"/>
      <c r="BA781" s="95"/>
    </row>
    <row r="782" spans="1:53" s="87" customFormat="1">
      <c r="A782" s="90" t="str">
        <f t="shared" si="37"/>
        <v/>
      </c>
      <c r="B782" s="89"/>
      <c r="C782" s="89"/>
      <c r="D782" s="89"/>
      <c r="E782" s="89"/>
      <c r="F782" s="89"/>
      <c r="G782" s="89"/>
      <c r="H782" s="89"/>
      <c r="I782" s="89"/>
      <c r="J782" s="89"/>
      <c r="K782" s="89"/>
      <c r="L782" s="89"/>
      <c r="M782" s="89"/>
      <c r="N782" s="89"/>
      <c r="O782" s="89"/>
      <c r="P782" s="89"/>
      <c r="Q782" s="89"/>
      <c r="R782" s="89"/>
      <c r="S782" s="89"/>
      <c r="T782" s="89"/>
      <c r="U782" s="89"/>
      <c r="V782" s="89"/>
      <c r="W782" s="89"/>
      <c r="X782" s="89"/>
      <c r="Y782" s="89"/>
      <c r="Z782" s="89"/>
      <c r="AA782" s="89"/>
      <c r="AB782" s="89"/>
      <c r="AC782" s="89"/>
      <c r="AD782" s="89"/>
      <c r="AE782" s="89"/>
      <c r="AF782" s="89"/>
      <c r="AG782" s="89"/>
      <c r="AH782" s="89"/>
      <c r="AI782" s="89"/>
      <c r="AJ782" s="89"/>
      <c r="AK782" s="89"/>
      <c r="AL782" s="89"/>
      <c r="AM782" s="89"/>
      <c r="AN782" s="89"/>
      <c r="AO782" s="89"/>
      <c r="AP782" s="89"/>
      <c r="AQ782" s="89"/>
      <c r="AR782" s="89"/>
      <c r="AS782" s="89"/>
      <c r="AT782" s="89"/>
      <c r="AU782" s="89"/>
      <c r="AV782" s="89"/>
      <c r="AW782" s="89"/>
      <c r="AX782" s="89"/>
      <c r="AY782" s="89"/>
      <c r="AZ782" s="89"/>
      <c r="BA782" s="95"/>
    </row>
    <row r="783" spans="1:53" s="87" customFormat="1">
      <c r="A783" s="90" t="str">
        <f t="shared" si="37"/>
        <v/>
      </c>
      <c r="B783" s="89"/>
      <c r="C783" s="89"/>
      <c r="D783" s="89"/>
      <c r="E783" s="89"/>
      <c r="F783" s="89"/>
      <c r="G783" s="89"/>
      <c r="H783" s="89"/>
      <c r="I783" s="89"/>
      <c r="J783" s="89"/>
      <c r="K783" s="89"/>
      <c r="L783" s="89"/>
      <c r="M783" s="89"/>
      <c r="N783" s="89"/>
      <c r="O783" s="89"/>
      <c r="P783" s="89"/>
      <c r="Q783" s="89"/>
      <c r="R783" s="89"/>
      <c r="S783" s="89"/>
      <c r="T783" s="89"/>
      <c r="U783" s="89"/>
      <c r="V783" s="89"/>
      <c r="W783" s="89"/>
      <c r="X783" s="89"/>
      <c r="Y783" s="89"/>
      <c r="Z783" s="89"/>
      <c r="AA783" s="89"/>
      <c r="AB783" s="89"/>
      <c r="AC783" s="89"/>
      <c r="AD783" s="89"/>
      <c r="AE783" s="89"/>
      <c r="AF783" s="89"/>
      <c r="AG783" s="89"/>
      <c r="AH783" s="89"/>
      <c r="AI783" s="89"/>
      <c r="AJ783" s="89"/>
      <c r="AK783" s="89"/>
      <c r="AL783" s="89"/>
      <c r="AM783" s="89"/>
      <c r="AN783" s="89"/>
      <c r="AO783" s="89"/>
      <c r="AP783" s="89"/>
      <c r="AQ783" s="89"/>
      <c r="AR783" s="89"/>
      <c r="AS783" s="89"/>
      <c r="AT783" s="89"/>
      <c r="AU783" s="89"/>
      <c r="AV783" s="89"/>
      <c r="AW783" s="89"/>
      <c r="AX783" s="89"/>
      <c r="AY783" s="89"/>
      <c r="AZ783" s="89"/>
      <c r="BA783" s="95"/>
    </row>
    <row r="784" spans="1:53" s="87" customFormat="1">
      <c r="A784" s="90" t="str">
        <f t="shared" si="37"/>
        <v/>
      </c>
      <c r="B784" s="89"/>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c r="AA784" s="89"/>
      <c r="AB784" s="89"/>
      <c r="AC784" s="89"/>
      <c r="AD784" s="89"/>
      <c r="AE784" s="89"/>
      <c r="AF784" s="89"/>
      <c r="AG784" s="89"/>
      <c r="AH784" s="89"/>
      <c r="AI784" s="89"/>
      <c r="AJ784" s="89"/>
      <c r="AK784" s="89"/>
      <c r="AL784" s="89"/>
      <c r="AM784" s="89"/>
      <c r="AN784" s="89"/>
      <c r="AO784" s="89"/>
      <c r="AP784" s="89"/>
      <c r="AQ784" s="89"/>
      <c r="AR784" s="89"/>
      <c r="AS784" s="89"/>
      <c r="AT784" s="89"/>
      <c r="AU784" s="89"/>
      <c r="AV784" s="89"/>
      <c r="AW784" s="89"/>
      <c r="AX784" s="89"/>
      <c r="AY784" s="89"/>
      <c r="AZ784" s="89"/>
      <c r="BA784" s="95"/>
    </row>
    <row r="785" spans="1:53" s="87" customFormat="1">
      <c r="A785" s="90" t="str">
        <f t="shared" si="37"/>
        <v/>
      </c>
      <c r="B785" s="89"/>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c r="AA785" s="89"/>
      <c r="AB785" s="89"/>
      <c r="AC785" s="89"/>
      <c r="AD785" s="89"/>
      <c r="AE785" s="89"/>
      <c r="AF785" s="89"/>
      <c r="AG785" s="89"/>
      <c r="AH785" s="89"/>
      <c r="AI785" s="89"/>
      <c r="AJ785" s="89"/>
      <c r="AK785" s="89"/>
      <c r="AL785" s="89"/>
      <c r="AM785" s="89"/>
      <c r="AN785" s="89"/>
      <c r="AO785" s="89"/>
      <c r="AP785" s="89"/>
      <c r="AQ785" s="89"/>
      <c r="AR785" s="89"/>
      <c r="AS785" s="89"/>
      <c r="AT785" s="89"/>
      <c r="AU785" s="89"/>
      <c r="AV785" s="89"/>
      <c r="AW785" s="89"/>
      <c r="AX785" s="89"/>
      <c r="AY785" s="89"/>
      <c r="AZ785" s="89"/>
      <c r="BA785" s="95"/>
    </row>
    <row r="786" spans="1:53" s="87" customFormat="1">
      <c r="A786" s="90" t="str">
        <f t="shared" si="37"/>
        <v/>
      </c>
      <c r="B786" s="89"/>
      <c r="C786" s="89"/>
      <c r="D786" s="89"/>
      <c r="E786" s="89"/>
      <c r="F786" s="89"/>
      <c r="G786" s="89"/>
      <c r="H786" s="89"/>
      <c r="I786" s="89"/>
      <c r="J786" s="89"/>
      <c r="K786" s="89"/>
      <c r="L786" s="89"/>
      <c r="M786" s="89"/>
      <c r="N786" s="89"/>
      <c r="O786" s="89"/>
      <c r="P786" s="89"/>
      <c r="Q786" s="89"/>
      <c r="R786" s="89"/>
      <c r="S786" s="89"/>
      <c r="T786" s="89"/>
      <c r="U786" s="89"/>
      <c r="V786" s="89"/>
      <c r="W786" s="89"/>
      <c r="X786" s="89"/>
      <c r="Y786" s="89"/>
      <c r="Z786" s="89"/>
      <c r="AA786" s="89"/>
      <c r="AB786" s="89"/>
      <c r="AC786" s="89"/>
      <c r="AD786" s="89"/>
      <c r="AE786" s="89"/>
      <c r="AF786" s="89"/>
      <c r="AG786" s="89"/>
      <c r="AH786" s="89"/>
      <c r="AI786" s="89"/>
      <c r="AJ786" s="89"/>
      <c r="AK786" s="89"/>
      <c r="AL786" s="89"/>
      <c r="AM786" s="89"/>
      <c r="AN786" s="89"/>
      <c r="AO786" s="89"/>
      <c r="AP786" s="89"/>
      <c r="AQ786" s="89"/>
      <c r="AR786" s="89"/>
      <c r="AS786" s="89"/>
      <c r="AT786" s="89"/>
      <c r="AU786" s="89"/>
      <c r="AV786" s="89"/>
      <c r="AW786" s="89"/>
      <c r="AX786" s="89"/>
      <c r="AY786" s="89"/>
      <c r="AZ786" s="89"/>
      <c r="BA786" s="95"/>
    </row>
    <row r="787" spans="1:53" s="87" customFormat="1">
      <c r="A787" s="90" t="str">
        <f t="shared" si="37"/>
        <v/>
      </c>
      <c r="B787" s="89"/>
      <c r="C787" s="89"/>
      <c r="D787" s="89"/>
      <c r="E787" s="89"/>
      <c r="F787" s="89"/>
      <c r="G787" s="89"/>
      <c r="H787" s="89"/>
      <c r="I787" s="89"/>
      <c r="J787" s="89"/>
      <c r="K787" s="89"/>
      <c r="L787" s="89"/>
      <c r="M787" s="89"/>
      <c r="N787" s="89"/>
      <c r="O787" s="89"/>
      <c r="P787" s="89"/>
      <c r="Q787" s="89"/>
      <c r="R787" s="89"/>
      <c r="S787" s="89"/>
      <c r="T787" s="89"/>
      <c r="U787" s="89"/>
      <c r="V787" s="89"/>
      <c r="W787" s="89"/>
      <c r="X787" s="89"/>
      <c r="Y787" s="89"/>
      <c r="Z787" s="89"/>
      <c r="AA787" s="89"/>
      <c r="AB787" s="89"/>
      <c r="AC787" s="89"/>
      <c r="AD787" s="89"/>
      <c r="AE787" s="89"/>
      <c r="AF787" s="89"/>
      <c r="AG787" s="89"/>
      <c r="AH787" s="89"/>
      <c r="AI787" s="89"/>
      <c r="AJ787" s="89"/>
      <c r="AK787" s="89"/>
      <c r="AL787" s="89"/>
      <c r="AM787" s="89"/>
      <c r="AN787" s="89"/>
      <c r="AO787" s="89"/>
      <c r="AP787" s="89"/>
      <c r="AQ787" s="89"/>
      <c r="AR787" s="89"/>
      <c r="AS787" s="89"/>
      <c r="AT787" s="89"/>
      <c r="AU787" s="89"/>
      <c r="AV787" s="89"/>
      <c r="AW787" s="89"/>
      <c r="AX787" s="89"/>
      <c r="AY787" s="89"/>
      <c r="AZ787" s="89"/>
      <c r="BA787" s="95"/>
    </row>
    <row r="788" spans="1:53" s="87" customFormat="1">
      <c r="A788" s="90" t="str">
        <f t="shared" si="37"/>
        <v/>
      </c>
      <c r="B788" s="89"/>
      <c r="C788" s="89"/>
      <c r="D788" s="89"/>
      <c r="E788" s="89"/>
      <c r="F788" s="89"/>
      <c r="G788" s="89"/>
      <c r="H788" s="89"/>
      <c r="I788" s="89"/>
      <c r="J788" s="89"/>
      <c r="K788" s="89"/>
      <c r="L788" s="89"/>
      <c r="M788" s="89"/>
      <c r="N788" s="89"/>
      <c r="O788" s="89"/>
      <c r="P788" s="89"/>
      <c r="Q788" s="89"/>
      <c r="R788" s="89"/>
      <c r="S788" s="89"/>
      <c r="T788" s="89"/>
      <c r="U788" s="89"/>
      <c r="V788" s="89"/>
      <c r="W788" s="89"/>
      <c r="X788" s="89"/>
      <c r="Y788" s="89"/>
      <c r="Z788" s="89"/>
      <c r="AA788" s="89"/>
      <c r="AB788" s="89"/>
      <c r="AC788" s="89"/>
      <c r="AD788" s="89"/>
      <c r="AE788" s="89"/>
      <c r="AF788" s="89"/>
      <c r="AG788" s="89"/>
      <c r="AH788" s="89"/>
      <c r="AI788" s="89"/>
      <c r="AJ788" s="89"/>
      <c r="AK788" s="89"/>
      <c r="AL788" s="89"/>
      <c r="AM788" s="89"/>
      <c r="AN788" s="89"/>
      <c r="AO788" s="89"/>
      <c r="AP788" s="89"/>
      <c r="AQ788" s="89"/>
      <c r="AR788" s="89"/>
      <c r="AS788" s="89"/>
      <c r="AT788" s="89"/>
      <c r="AU788" s="89"/>
      <c r="AV788" s="89"/>
      <c r="AW788" s="89"/>
      <c r="AX788" s="89"/>
      <c r="AY788" s="89"/>
      <c r="AZ788" s="89"/>
      <c r="BA788" s="95"/>
    </row>
    <row r="789" spans="1:53" s="87" customFormat="1">
      <c r="A789" s="90" t="str">
        <f t="shared" si="37"/>
        <v/>
      </c>
      <c r="B789" s="89"/>
      <c r="C789" s="89"/>
      <c r="D789" s="89"/>
      <c r="E789" s="89"/>
      <c r="F789" s="89"/>
      <c r="G789" s="89"/>
      <c r="H789" s="89"/>
      <c r="I789" s="89"/>
      <c r="J789" s="89"/>
      <c r="K789" s="89"/>
      <c r="L789" s="89"/>
      <c r="M789" s="89"/>
      <c r="N789" s="89"/>
      <c r="O789" s="89"/>
      <c r="P789" s="89"/>
      <c r="Q789" s="89"/>
      <c r="R789" s="89"/>
      <c r="S789" s="89"/>
      <c r="T789" s="89"/>
      <c r="U789" s="89"/>
      <c r="V789" s="89"/>
      <c r="W789" s="89"/>
      <c r="X789" s="89"/>
      <c r="Y789" s="89"/>
      <c r="Z789" s="89"/>
      <c r="AA789" s="89"/>
      <c r="AB789" s="89"/>
      <c r="AC789" s="89"/>
      <c r="AD789" s="89"/>
      <c r="AE789" s="89"/>
      <c r="AF789" s="89"/>
      <c r="AG789" s="89"/>
      <c r="AH789" s="89"/>
      <c r="AI789" s="89"/>
      <c r="AJ789" s="89"/>
      <c r="AK789" s="89"/>
      <c r="AL789" s="89"/>
      <c r="AM789" s="89"/>
      <c r="AN789" s="89"/>
      <c r="AO789" s="89"/>
      <c r="AP789" s="89"/>
      <c r="AQ789" s="89"/>
      <c r="AR789" s="89"/>
      <c r="AS789" s="89"/>
      <c r="AT789" s="89"/>
      <c r="AU789" s="89"/>
      <c r="AV789" s="89"/>
      <c r="AW789" s="89"/>
      <c r="AX789" s="89"/>
      <c r="AY789" s="89"/>
      <c r="AZ789" s="89"/>
      <c r="BA789" s="95"/>
    </row>
    <row r="790" spans="1:53" s="87" customFormat="1">
      <c r="A790" s="90" t="str">
        <f t="shared" si="37"/>
        <v/>
      </c>
      <c r="B790" s="89"/>
      <c r="C790" s="89"/>
      <c r="D790" s="89"/>
      <c r="E790" s="89"/>
      <c r="F790" s="89"/>
      <c r="G790" s="89"/>
      <c r="H790" s="89"/>
      <c r="I790" s="89"/>
      <c r="J790" s="89"/>
      <c r="K790" s="89"/>
      <c r="L790" s="89"/>
      <c r="M790" s="89"/>
      <c r="N790" s="89"/>
      <c r="O790" s="89"/>
      <c r="P790" s="89"/>
      <c r="Q790" s="89"/>
      <c r="R790" s="89"/>
      <c r="S790" s="89"/>
      <c r="T790" s="89"/>
      <c r="U790" s="89"/>
      <c r="V790" s="89"/>
      <c r="W790" s="89"/>
      <c r="X790" s="89"/>
      <c r="Y790" s="89"/>
      <c r="Z790" s="89"/>
      <c r="AA790" s="89"/>
      <c r="AB790" s="89"/>
      <c r="AC790" s="89"/>
      <c r="AD790" s="89"/>
      <c r="AE790" s="89"/>
      <c r="AF790" s="89"/>
      <c r="AG790" s="89"/>
      <c r="AH790" s="89"/>
      <c r="AI790" s="89"/>
      <c r="AJ790" s="89"/>
      <c r="AK790" s="89"/>
      <c r="AL790" s="89"/>
      <c r="AM790" s="89"/>
      <c r="AN790" s="89"/>
      <c r="AO790" s="89"/>
      <c r="AP790" s="89"/>
      <c r="AQ790" s="89"/>
      <c r="AR790" s="89"/>
      <c r="AS790" s="89"/>
      <c r="AT790" s="89"/>
      <c r="AU790" s="89"/>
      <c r="AV790" s="89"/>
      <c r="AW790" s="89"/>
      <c r="AX790" s="89"/>
      <c r="AY790" s="89"/>
      <c r="AZ790" s="89"/>
      <c r="BA790" s="95"/>
    </row>
    <row r="791" spans="1:53" s="87" customFormat="1">
      <c r="A791" s="90" t="str">
        <f t="shared" si="37"/>
        <v/>
      </c>
      <c r="B791" s="89"/>
      <c r="C791" s="89"/>
      <c r="D791" s="89"/>
      <c r="E791" s="89"/>
      <c r="F791" s="89"/>
      <c r="G791" s="89"/>
      <c r="H791" s="89"/>
      <c r="I791" s="89"/>
      <c r="J791" s="89"/>
      <c r="K791" s="89"/>
      <c r="L791" s="89"/>
      <c r="M791" s="89"/>
      <c r="N791" s="89"/>
      <c r="O791" s="89"/>
      <c r="P791" s="89"/>
      <c r="Q791" s="89"/>
      <c r="R791" s="89"/>
      <c r="S791" s="89"/>
      <c r="T791" s="89"/>
      <c r="U791" s="89"/>
      <c r="V791" s="89"/>
      <c r="W791" s="89"/>
      <c r="X791" s="89"/>
      <c r="Y791" s="89"/>
      <c r="Z791" s="89"/>
      <c r="AA791" s="89"/>
      <c r="AB791" s="89"/>
      <c r="AC791" s="89"/>
      <c r="AD791" s="89"/>
      <c r="AE791" s="89"/>
      <c r="AF791" s="89"/>
      <c r="AG791" s="89"/>
      <c r="AH791" s="89"/>
      <c r="AI791" s="89"/>
      <c r="AJ791" s="89"/>
      <c r="AK791" s="89"/>
      <c r="AL791" s="89"/>
      <c r="AM791" s="89"/>
      <c r="AN791" s="89"/>
      <c r="AO791" s="89"/>
      <c r="AP791" s="89"/>
      <c r="AQ791" s="89"/>
      <c r="AR791" s="89"/>
      <c r="AS791" s="89"/>
      <c r="AT791" s="89"/>
      <c r="AU791" s="89"/>
      <c r="AV791" s="89"/>
      <c r="AW791" s="89"/>
      <c r="AX791" s="89"/>
      <c r="AY791" s="89"/>
      <c r="AZ791" s="89"/>
      <c r="BA791" s="95"/>
    </row>
    <row r="792" spans="1:53" s="87" customFormat="1">
      <c r="A792" s="90" t="str">
        <f t="shared" si="37"/>
        <v/>
      </c>
      <c r="B792" s="89"/>
      <c r="C792" s="89"/>
      <c r="D792" s="89"/>
      <c r="E792" s="89"/>
      <c r="F792" s="89"/>
      <c r="G792" s="89"/>
      <c r="H792" s="89"/>
      <c r="I792" s="89"/>
      <c r="J792" s="89"/>
      <c r="K792" s="89"/>
      <c r="L792" s="89"/>
      <c r="M792" s="89"/>
      <c r="N792" s="89"/>
      <c r="O792" s="89"/>
      <c r="P792" s="89"/>
      <c r="Q792" s="89"/>
      <c r="R792" s="89"/>
      <c r="S792" s="89"/>
      <c r="T792" s="89"/>
      <c r="U792" s="89"/>
      <c r="V792" s="89"/>
      <c r="W792" s="89"/>
      <c r="X792" s="89"/>
      <c r="Y792" s="89"/>
      <c r="Z792" s="89"/>
      <c r="AA792" s="89"/>
      <c r="AB792" s="89"/>
      <c r="AC792" s="89"/>
      <c r="AD792" s="89"/>
      <c r="AE792" s="89"/>
      <c r="AF792" s="89"/>
      <c r="AG792" s="89"/>
      <c r="AH792" s="89"/>
      <c r="AI792" s="89"/>
      <c r="AJ792" s="89"/>
      <c r="AK792" s="89"/>
      <c r="AL792" s="89"/>
      <c r="AM792" s="89"/>
      <c r="AN792" s="89"/>
      <c r="AO792" s="89"/>
      <c r="AP792" s="89"/>
      <c r="AQ792" s="89"/>
      <c r="AR792" s="89"/>
      <c r="AS792" s="89"/>
      <c r="AT792" s="89"/>
      <c r="AU792" s="89"/>
      <c r="AV792" s="89"/>
      <c r="AW792" s="89"/>
      <c r="AX792" s="89"/>
      <c r="AY792" s="89"/>
      <c r="AZ792" s="89"/>
      <c r="BA792" s="95"/>
    </row>
    <row r="793" spans="1:53" s="87" customFormat="1">
      <c r="A793" s="90" t="str">
        <f t="shared" si="37"/>
        <v/>
      </c>
      <c r="B793" s="89"/>
      <c r="C793" s="89"/>
      <c r="D793" s="89"/>
      <c r="E793" s="89"/>
      <c r="F793" s="89"/>
      <c r="G793" s="89"/>
      <c r="H793" s="89"/>
      <c r="I793" s="89"/>
      <c r="J793" s="89"/>
      <c r="K793" s="89"/>
      <c r="L793" s="89"/>
      <c r="M793" s="89"/>
      <c r="N793" s="89"/>
      <c r="O793" s="89"/>
      <c r="P793" s="89"/>
      <c r="Q793" s="89"/>
      <c r="R793" s="89"/>
      <c r="S793" s="89"/>
      <c r="T793" s="89"/>
      <c r="U793" s="89"/>
      <c r="V793" s="89"/>
      <c r="W793" s="89"/>
      <c r="X793" s="89"/>
      <c r="Y793" s="89"/>
      <c r="Z793" s="89"/>
      <c r="AA793" s="89"/>
      <c r="AB793" s="89"/>
      <c r="AC793" s="89"/>
      <c r="AD793" s="89"/>
      <c r="AE793" s="89"/>
      <c r="AF793" s="89"/>
      <c r="AG793" s="89"/>
      <c r="AH793" s="89"/>
      <c r="AI793" s="89"/>
      <c r="AJ793" s="89"/>
      <c r="AK793" s="89"/>
      <c r="AL793" s="89"/>
      <c r="AM793" s="89"/>
      <c r="AN793" s="89"/>
      <c r="AO793" s="89"/>
      <c r="AP793" s="89"/>
      <c r="AQ793" s="89"/>
      <c r="AR793" s="89"/>
      <c r="AS793" s="89"/>
      <c r="AT793" s="89"/>
      <c r="AU793" s="89"/>
      <c r="AV793" s="89"/>
      <c r="AW793" s="89"/>
      <c r="AX793" s="89"/>
      <c r="AY793" s="89"/>
      <c r="AZ793" s="89"/>
      <c r="BA793" s="95"/>
    </row>
    <row r="794" spans="1:53" s="87" customFormat="1">
      <c r="A794" s="90" t="str">
        <f t="shared" si="37"/>
        <v/>
      </c>
      <c r="B794" s="89"/>
      <c r="C794" s="89"/>
      <c r="D794" s="89"/>
      <c r="E794" s="89"/>
      <c r="F794" s="89"/>
      <c r="G794" s="89"/>
      <c r="H794" s="89"/>
      <c r="I794" s="89"/>
      <c r="J794" s="89"/>
      <c r="K794" s="89"/>
      <c r="L794" s="89"/>
      <c r="M794" s="89"/>
      <c r="N794" s="89"/>
      <c r="O794" s="89"/>
      <c r="P794" s="89"/>
      <c r="Q794" s="89"/>
      <c r="R794" s="89"/>
      <c r="S794" s="89"/>
      <c r="T794" s="89"/>
      <c r="U794" s="89"/>
      <c r="V794" s="89"/>
      <c r="W794" s="89"/>
      <c r="X794" s="89"/>
      <c r="Y794" s="89"/>
      <c r="Z794" s="89"/>
      <c r="AA794" s="89"/>
      <c r="AB794" s="89"/>
      <c r="AC794" s="89"/>
      <c r="AD794" s="89"/>
      <c r="AE794" s="89"/>
      <c r="AF794" s="89"/>
      <c r="AG794" s="89"/>
      <c r="AH794" s="89"/>
      <c r="AI794" s="89"/>
      <c r="AJ794" s="89"/>
      <c r="AK794" s="89"/>
      <c r="AL794" s="89"/>
      <c r="AM794" s="89"/>
      <c r="AN794" s="89"/>
      <c r="AO794" s="89"/>
      <c r="AP794" s="89"/>
      <c r="AQ794" s="89"/>
      <c r="AR794" s="89"/>
      <c r="AS794" s="89"/>
      <c r="AT794" s="89"/>
      <c r="AU794" s="89"/>
      <c r="AV794" s="89"/>
      <c r="AW794" s="89"/>
      <c r="AX794" s="89"/>
      <c r="AY794" s="89"/>
      <c r="AZ794" s="89"/>
      <c r="BA794" s="95"/>
    </row>
    <row r="795" spans="1:53" s="87" customFormat="1">
      <c r="A795" s="90" t="str">
        <f t="shared" si="37"/>
        <v/>
      </c>
      <c r="B795" s="89"/>
      <c r="C795" s="89"/>
      <c r="D795" s="89"/>
      <c r="E795" s="89"/>
      <c r="F795" s="89"/>
      <c r="G795" s="89"/>
      <c r="H795" s="89"/>
      <c r="I795" s="89"/>
      <c r="J795" s="89"/>
      <c r="K795" s="89"/>
      <c r="L795" s="89"/>
      <c r="M795" s="89"/>
      <c r="N795" s="89"/>
      <c r="O795" s="89"/>
      <c r="P795" s="89"/>
      <c r="Q795" s="89"/>
      <c r="R795" s="89"/>
      <c r="S795" s="89"/>
      <c r="T795" s="89"/>
      <c r="U795" s="89"/>
      <c r="V795" s="89"/>
      <c r="W795" s="89"/>
      <c r="X795" s="89"/>
      <c r="Y795" s="89"/>
      <c r="Z795" s="89"/>
      <c r="AA795" s="89"/>
      <c r="AB795" s="89"/>
      <c r="AC795" s="89"/>
      <c r="AD795" s="89"/>
      <c r="AE795" s="89"/>
      <c r="AF795" s="89"/>
      <c r="AG795" s="89"/>
      <c r="AH795" s="89"/>
      <c r="AI795" s="89"/>
      <c r="AJ795" s="89"/>
      <c r="AK795" s="89"/>
      <c r="AL795" s="89"/>
      <c r="AM795" s="89"/>
      <c r="AN795" s="89"/>
      <c r="AO795" s="89"/>
      <c r="AP795" s="89"/>
      <c r="AQ795" s="89"/>
      <c r="AR795" s="89"/>
      <c r="AS795" s="89"/>
      <c r="AT795" s="89"/>
      <c r="AU795" s="89"/>
      <c r="AV795" s="89"/>
      <c r="AW795" s="89"/>
      <c r="AX795" s="89"/>
      <c r="AY795" s="89"/>
      <c r="AZ795" s="89"/>
      <c r="BA795" s="95"/>
    </row>
    <row r="796" spans="1:53" s="87" customFormat="1">
      <c r="A796" s="90" t="str">
        <f t="shared" si="37"/>
        <v/>
      </c>
      <c r="B796" s="89"/>
      <c r="C796" s="89"/>
      <c r="D796" s="89"/>
      <c r="E796" s="89"/>
      <c r="F796" s="89"/>
      <c r="G796" s="89"/>
      <c r="H796" s="89"/>
      <c r="I796" s="89"/>
      <c r="J796" s="89"/>
      <c r="K796" s="89"/>
      <c r="L796" s="89"/>
      <c r="M796" s="89"/>
      <c r="N796" s="89"/>
      <c r="O796" s="89"/>
      <c r="P796" s="89"/>
      <c r="Q796" s="89"/>
      <c r="R796" s="89"/>
      <c r="S796" s="89"/>
      <c r="T796" s="89"/>
      <c r="U796" s="89"/>
      <c r="V796" s="89"/>
      <c r="W796" s="89"/>
      <c r="X796" s="89"/>
      <c r="Y796" s="89"/>
      <c r="Z796" s="89"/>
      <c r="AA796" s="89"/>
      <c r="AB796" s="89"/>
      <c r="AC796" s="89"/>
      <c r="AD796" s="89"/>
      <c r="AE796" s="89"/>
      <c r="AF796" s="89"/>
      <c r="AG796" s="89"/>
      <c r="AH796" s="89"/>
      <c r="AI796" s="89"/>
      <c r="AJ796" s="89"/>
      <c r="AK796" s="89"/>
      <c r="AL796" s="89"/>
      <c r="AM796" s="89"/>
      <c r="AN796" s="89"/>
      <c r="AO796" s="89"/>
      <c r="AP796" s="89"/>
      <c r="AQ796" s="89"/>
      <c r="AR796" s="89"/>
      <c r="AS796" s="89"/>
      <c r="AT796" s="89"/>
      <c r="AU796" s="89"/>
      <c r="AV796" s="89"/>
      <c r="AW796" s="89"/>
      <c r="AX796" s="89"/>
      <c r="AY796" s="89"/>
      <c r="AZ796" s="89"/>
      <c r="BA796" s="95"/>
    </row>
    <row r="797" spans="1:53" s="87" customFormat="1">
      <c r="A797" s="90" t="str">
        <f t="shared" si="37"/>
        <v/>
      </c>
      <c r="B797" s="89"/>
      <c r="C797" s="89"/>
      <c r="D797" s="89"/>
      <c r="E797" s="89"/>
      <c r="F797" s="89"/>
      <c r="G797" s="89"/>
      <c r="H797" s="89"/>
      <c r="I797" s="89"/>
      <c r="J797" s="89"/>
      <c r="K797" s="89"/>
      <c r="L797" s="89"/>
      <c r="M797" s="89"/>
      <c r="N797" s="89"/>
      <c r="O797" s="89"/>
      <c r="P797" s="89"/>
      <c r="Q797" s="89"/>
      <c r="R797" s="89"/>
      <c r="S797" s="89"/>
      <c r="T797" s="89"/>
      <c r="U797" s="89"/>
      <c r="V797" s="89"/>
      <c r="W797" s="89"/>
      <c r="X797" s="89"/>
      <c r="Y797" s="89"/>
      <c r="Z797" s="89"/>
      <c r="AA797" s="89"/>
      <c r="AB797" s="89"/>
      <c r="AC797" s="89"/>
      <c r="AD797" s="89"/>
      <c r="AE797" s="89"/>
      <c r="AF797" s="89"/>
      <c r="AG797" s="89"/>
      <c r="AH797" s="89"/>
      <c r="AI797" s="89"/>
      <c r="AJ797" s="89"/>
      <c r="AK797" s="89"/>
      <c r="AL797" s="89"/>
      <c r="AM797" s="89"/>
      <c r="AN797" s="89"/>
      <c r="AO797" s="89"/>
      <c r="AP797" s="89"/>
      <c r="AQ797" s="89"/>
      <c r="AR797" s="89"/>
      <c r="AS797" s="89"/>
      <c r="AT797" s="89"/>
      <c r="AU797" s="89"/>
      <c r="AV797" s="89"/>
      <c r="AW797" s="89"/>
      <c r="AX797" s="89"/>
      <c r="AY797" s="89"/>
      <c r="AZ797" s="89"/>
      <c r="BA797" s="95"/>
    </row>
    <row r="798" spans="1:53" s="87" customFormat="1">
      <c r="A798" s="90" t="str">
        <f t="shared" si="37"/>
        <v/>
      </c>
      <c r="B798" s="89"/>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89"/>
      <c r="AA798" s="89"/>
      <c r="AB798" s="89"/>
      <c r="AC798" s="89"/>
      <c r="AD798" s="89"/>
      <c r="AE798" s="89"/>
      <c r="AF798" s="89"/>
      <c r="AG798" s="89"/>
      <c r="AH798" s="89"/>
      <c r="AI798" s="89"/>
      <c r="AJ798" s="89"/>
      <c r="AK798" s="89"/>
      <c r="AL798" s="89"/>
      <c r="AM798" s="89"/>
      <c r="AN798" s="89"/>
      <c r="AO798" s="89"/>
      <c r="AP798" s="89"/>
      <c r="AQ798" s="89"/>
      <c r="AR798" s="89"/>
      <c r="AS798" s="89"/>
      <c r="AT798" s="89"/>
      <c r="AU798" s="89"/>
      <c r="AV798" s="89"/>
      <c r="AW798" s="89"/>
      <c r="AX798" s="89"/>
      <c r="AY798" s="89"/>
      <c r="AZ798" s="89"/>
      <c r="BA798" s="95"/>
    </row>
    <row r="799" spans="1:53" s="87" customFormat="1">
      <c r="A799" s="90" t="str">
        <f t="shared" si="37"/>
        <v/>
      </c>
      <c r="B799" s="89"/>
      <c r="C799" s="89"/>
      <c r="D799" s="89"/>
      <c r="E799" s="89"/>
      <c r="F799" s="89"/>
      <c r="G799" s="89"/>
      <c r="H799" s="89"/>
      <c r="I799" s="89"/>
      <c r="J799" s="89"/>
      <c r="K799" s="89"/>
      <c r="L799" s="89"/>
      <c r="M799" s="89"/>
      <c r="N799" s="89"/>
      <c r="O799" s="89"/>
      <c r="P799" s="89"/>
      <c r="Q799" s="89"/>
      <c r="R799" s="89"/>
      <c r="S799" s="89"/>
      <c r="T799" s="89"/>
      <c r="U799" s="89"/>
      <c r="V799" s="89"/>
      <c r="W799" s="89"/>
      <c r="X799" s="89"/>
      <c r="Y799" s="89"/>
      <c r="Z799" s="89"/>
      <c r="AA799" s="89"/>
      <c r="AB799" s="89"/>
      <c r="AC799" s="89"/>
      <c r="AD799" s="89"/>
      <c r="AE799" s="89"/>
      <c r="AF799" s="89"/>
      <c r="AG799" s="89"/>
      <c r="AH799" s="89"/>
      <c r="AI799" s="89"/>
      <c r="AJ799" s="89"/>
      <c r="AK799" s="89"/>
      <c r="AL799" s="89"/>
      <c r="AM799" s="89"/>
      <c r="AN799" s="89"/>
      <c r="AO799" s="89"/>
      <c r="AP799" s="89"/>
      <c r="AQ799" s="89"/>
      <c r="AR799" s="89"/>
      <c r="AS799" s="89"/>
      <c r="AT799" s="89"/>
      <c r="AU799" s="89"/>
      <c r="AV799" s="89"/>
      <c r="AW799" s="89"/>
      <c r="AX799" s="89"/>
      <c r="AY799" s="89"/>
      <c r="AZ799" s="89"/>
      <c r="BA799" s="95"/>
    </row>
    <row r="800" spans="1:53" s="87" customFormat="1">
      <c r="A800" s="90" t="str">
        <f t="shared" si="37"/>
        <v/>
      </c>
      <c r="B800" s="89"/>
      <c r="C800" s="89"/>
      <c r="D800" s="89"/>
      <c r="E800" s="89"/>
      <c r="F800" s="89"/>
      <c r="G800" s="89"/>
      <c r="H800" s="89"/>
      <c r="I800" s="89"/>
      <c r="J800" s="89"/>
      <c r="K800" s="89"/>
      <c r="L800" s="89"/>
      <c r="M800" s="89"/>
      <c r="N800" s="89"/>
      <c r="O800" s="89"/>
      <c r="P800" s="89"/>
      <c r="Q800" s="89"/>
      <c r="R800" s="89"/>
      <c r="S800" s="89"/>
      <c r="T800" s="89"/>
      <c r="U800" s="89"/>
      <c r="V800" s="89"/>
      <c r="W800" s="89"/>
      <c r="X800" s="89"/>
      <c r="Y800" s="89"/>
      <c r="Z800" s="89"/>
      <c r="AA800" s="89"/>
      <c r="AB800" s="89"/>
      <c r="AC800" s="89"/>
      <c r="AD800" s="89"/>
      <c r="AE800" s="89"/>
      <c r="AF800" s="89"/>
      <c r="AG800" s="89"/>
      <c r="AH800" s="89"/>
      <c r="AI800" s="89"/>
      <c r="AJ800" s="89"/>
      <c r="AK800" s="89"/>
      <c r="AL800" s="89"/>
      <c r="AM800" s="89"/>
      <c r="AN800" s="89"/>
      <c r="AO800" s="89"/>
      <c r="AP800" s="89"/>
      <c r="AQ800" s="89"/>
      <c r="AR800" s="89"/>
      <c r="AS800" s="89"/>
      <c r="AT800" s="89"/>
      <c r="AU800" s="89"/>
      <c r="AV800" s="89"/>
      <c r="AW800" s="89"/>
      <c r="AX800" s="89"/>
      <c r="AY800" s="89"/>
      <c r="AZ800" s="89"/>
      <c r="BA800" s="95"/>
    </row>
    <row r="801" spans="1:53" s="87" customFormat="1">
      <c r="A801" s="90" t="str">
        <f t="shared" si="37"/>
        <v/>
      </c>
      <c r="B801" s="89"/>
      <c r="C801" s="89"/>
      <c r="D801" s="89"/>
      <c r="E801" s="89"/>
      <c r="F801" s="89"/>
      <c r="G801" s="89"/>
      <c r="H801" s="89"/>
      <c r="I801" s="89"/>
      <c r="J801" s="89"/>
      <c r="K801" s="89"/>
      <c r="L801" s="89"/>
      <c r="M801" s="89"/>
      <c r="N801" s="89"/>
      <c r="O801" s="89"/>
      <c r="P801" s="89"/>
      <c r="Q801" s="89"/>
      <c r="R801" s="89"/>
      <c r="S801" s="89"/>
      <c r="T801" s="89"/>
      <c r="U801" s="89"/>
      <c r="V801" s="89"/>
      <c r="W801" s="89"/>
      <c r="X801" s="89"/>
      <c r="Y801" s="89"/>
      <c r="Z801" s="89"/>
      <c r="AA801" s="89"/>
      <c r="AB801" s="89"/>
      <c r="AC801" s="89"/>
      <c r="AD801" s="89"/>
      <c r="AE801" s="89"/>
      <c r="AF801" s="89"/>
      <c r="AG801" s="89"/>
      <c r="AH801" s="89"/>
      <c r="AI801" s="89"/>
      <c r="AJ801" s="89"/>
      <c r="AK801" s="89"/>
      <c r="AL801" s="89"/>
      <c r="AM801" s="89"/>
      <c r="AN801" s="89"/>
      <c r="AO801" s="89"/>
      <c r="AP801" s="89"/>
      <c r="AQ801" s="89"/>
      <c r="AR801" s="89"/>
      <c r="AS801" s="89"/>
      <c r="AT801" s="89"/>
      <c r="AU801" s="89"/>
      <c r="AV801" s="89"/>
      <c r="AW801" s="89"/>
      <c r="AX801" s="89"/>
      <c r="AY801" s="89"/>
      <c r="AZ801" s="89"/>
      <c r="BA801" s="95"/>
    </row>
    <row r="802" spans="1:53" s="87" customFormat="1">
      <c r="A802" s="90" t="str">
        <f t="shared" si="37"/>
        <v/>
      </c>
      <c r="B802" s="89"/>
      <c r="C802" s="89"/>
      <c r="D802" s="89"/>
      <c r="E802" s="89"/>
      <c r="F802" s="89"/>
      <c r="G802" s="89"/>
      <c r="H802" s="89"/>
      <c r="I802" s="89"/>
      <c r="J802" s="89"/>
      <c r="K802" s="89"/>
      <c r="L802" s="89"/>
      <c r="M802" s="89"/>
      <c r="N802" s="89"/>
      <c r="O802" s="89"/>
      <c r="P802" s="89"/>
      <c r="Q802" s="89"/>
      <c r="R802" s="89"/>
      <c r="S802" s="89"/>
      <c r="T802" s="89"/>
      <c r="U802" s="89"/>
      <c r="V802" s="89"/>
      <c r="W802" s="89"/>
      <c r="X802" s="89"/>
      <c r="Y802" s="89"/>
      <c r="Z802" s="89"/>
      <c r="AA802" s="89"/>
      <c r="AB802" s="89"/>
      <c r="AC802" s="89"/>
      <c r="AD802" s="89"/>
      <c r="AE802" s="89"/>
      <c r="AF802" s="89"/>
      <c r="AG802" s="89"/>
      <c r="AH802" s="89"/>
      <c r="AI802" s="89"/>
      <c r="AJ802" s="89"/>
      <c r="AK802" s="89"/>
      <c r="AL802" s="89"/>
      <c r="AM802" s="89"/>
      <c r="AN802" s="89"/>
      <c r="AO802" s="89"/>
      <c r="AP802" s="89"/>
      <c r="AQ802" s="89"/>
      <c r="AR802" s="89"/>
      <c r="AS802" s="89"/>
      <c r="AT802" s="89"/>
      <c r="AU802" s="89"/>
      <c r="AV802" s="89"/>
      <c r="AW802" s="89"/>
      <c r="AX802" s="89"/>
      <c r="AY802" s="89"/>
      <c r="AZ802" s="89"/>
      <c r="BA802" s="95"/>
    </row>
    <row r="803" spans="1:53" s="87" customFormat="1">
      <c r="A803" s="90" t="str">
        <f t="shared" si="37"/>
        <v/>
      </c>
      <c r="B803" s="89"/>
      <c r="C803" s="89"/>
      <c r="D803" s="89"/>
      <c r="E803" s="89"/>
      <c r="F803" s="89"/>
      <c r="G803" s="89"/>
      <c r="H803" s="89"/>
      <c r="I803" s="89"/>
      <c r="J803" s="89"/>
      <c r="K803" s="89"/>
      <c r="L803" s="89"/>
      <c r="M803" s="89"/>
      <c r="N803" s="89"/>
      <c r="O803" s="89"/>
      <c r="P803" s="89"/>
      <c r="Q803" s="89"/>
      <c r="R803" s="89"/>
      <c r="S803" s="89"/>
      <c r="T803" s="89"/>
      <c r="U803" s="89"/>
      <c r="V803" s="89"/>
      <c r="W803" s="89"/>
      <c r="X803" s="89"/>
      <c r="Y803" s="89"/>
      <c r="Z803" s="89"/>
      <c r="AA803" s="89"/>
      <c r="AB803" s="89"/>
      <c r="AC803" s="89"/>
      <c r="AD803" s="89"/>
      <c r="AE803" s="89"/>
      <c r="AF803" s="89"/>
      <c r="AG803" s="89"/>
      <c r="AH803" s="89"/>
      <c r="AI803" s="89"/>
      <c r="AJ803" s="89"/>
      <c r="AK803" s="89"/>
      <c r="AL803" s="89"/>
      <c r="AM803" s="89"/>
      <c r="AN803" s="89"/>
      <c r="AO803" s="89"/>
      <c r="AP803" s="89"/>
      <c r="AQ803" s="89"/>
      <c r="AR803" s="89"/>
      <c r="AS803" s="89"/>
      <c r="AT803" s="89"/>
      <c r="AU803" s="89"/>
      <c r="AV803" s="89"/>
      <c r="AW803" s="89"/>
      <c r="AX803" s="89"/>
      <c r="AY803" s="89"/>
      <c r="AZ803" s="89"/>
      <c r="BA803" s="95"/>
    </row>
    <row r="804" spans="1:53" s="87" customFormat="1">
      <c r="A804" s="90" t="str">
        <f t="shared" si="37"/>
        <v/>
      </c>
      <c r="B804" s="89"/>
      <c r="C804" s="89"/>
      <c r="D804" s="89"/>
      <c r="E804" s="89"/>
      <c r="F804" s="89"/>
      <c r="G804" s="89"/>
      <c r="H804" s="89"/>
      <c r="I804" s="89"/>
      <c r="J804" s="89"/>
      <c r="K804" s="89"/>
      <c r="L804" s="89"/>
      <c r="M804" s="89"/>
      <c r="N804" s="89"/>
      <c r="O804" s="89"/>
      <c r="P804" s="89"/>
      <c r="Q804" s="89"/>
      <c r="R804" s="89"/>
      <c r="S804" s="89"/>
      <c r="T804" s="89"/>
      <c r="U804" s="89"/>
      <c r="V804" s="89"/>
      <c r="W804" s="89"/>
      <c r="X804" s="89"/>
      <c r="Y804" s="89"/>
      <c r="Z804" s="89"/>
      <c r="AA804" s="89"/>
      <c r="AB804" s="89"/>
      <c r="AC804" s="89"/>
      <c r="AD804" s="89"/>
      <c r="AE804" s="89"/>
      <c r="AF804" s="89"/>
      <c r="AG804" s="89"/>
      <c r="AH804" s="89"/>
      <c r="AI804" s="89"/>
      <c r="AJ804" s="89"/>
      <c r="AK804" s="89"/>
      <c r="AL804" s="89"/>
      <c r="AM804" s="89"/>
      <c r="AN804" s="89"/>
      <c r="AO804" s="89"/>
      <c r="AP804" s="89"/>
      <c r="AQ804" s="89"/>
      <c r="AR804" s="89"/>
      <c r="AS804" s="89"/>
      <c r="AT804" s="89"/>
      <c r="AU804" s="89"/>
      <c r="AV804" s="89"/>
      <c r="AW804" s="89"/>
      <c r="AX804" s="89"/>
      <c r="AY804" s="89"/>
      <c r="AZ804" s="89"/>
      <c r="BA804" s="95"/>
    </row>
    <row r="805" spans="1:53" s="87" customFormat="1">
      <c r="A805" s="90" t="str">
        <f t="shared" si="37"/>
        <v/>
      </c>
      <c r="B805" s="89"/>
      <c r="C805" s="89"/>
      <c r="D805" s="89"/>
      <c r="E805" s="89"/>
      <c r="F805" s="89"/>
      <c r="G805" s="89"/>
      <c r="H805" s="89"/>
      <c r="I805" s="89"/>
      <c r="J805" s="89"/>
      <c r="K805" s="89"/>
      <c r="L805" s="89"/>
      <c r="M805" s="89"/>
      <c r="N805" s="89"/>
      <c r="O805" s="89"/>
      <c r="P805" s="89"/>
      <c r="Q805" s="89"/>
      <c r="R805" s="89"/>
      <c r="S805" s="89"/>
      <c r="T805" s="89"/>
      <c r="U805" s="89"/>
      <c r="V805" s="89"/>
      <c r="W805" s="89"/>
      <c r="X805" s="89"/>
      <c r="Y805" s="89"/>
      <c r="Z805" s="89"/>
      <c r="AA805" s="89"/>
      <c r="AB805" s="89"/>
      <c r="AC805" s="89"/>
      <c r="AD805" s="89"/>
      <c r="AE805" s="89"/>
      <c r="AF805" s="89"/>
      <c r="AG805" s="89"/>
      <c r="AH805" s="89"/>
      <c r="AI805" s="89"/>
      <c r="AJ805" s="89"/>
      <c r="AK805" s="89"/>
      <c r="AL805" s="89"/>
      <c r="AM805" s="89"/>
      <c r="AN805" s="89"/>
      <c r="AO805" s="89"/>
      <c r="AP805" s="89"/>
      <c r="AQ805" s="89"/>
      <c r="AR805" s="89"/>
      <c r="AS805" s="89"/>
      <c r="AT805" s="89"/>
      <c r="AU805" s="89"/>
      <c r="AV805" s="89"/>
      <c r="AW805" s="89"/>
      <c r="AX805" s="89"/>
      <c r="AY805" s="89"/>
      <c r="AZ805" s="89"/>
      <c r="BA805" s="95"/>
    </row>
    <row r="806" spans="1:53" s="87" customFormat="1">
      <c r="A806" s="90" t="str">
        <f t="shared" si="37"/>
        <v/>
      </c>
      <c r="B806" s="89"/>
      <c r="C806" s="89"/>
      <c r="D806" s="89"/>
      <c r="E806" s="89"/>
      <c r="F806" s="89"/>
      <c r="G806" s="89"/>
      <c r="H806" s="89"/>
      <c r="I806" s="89"/>
      <c r="J806" s="89"/>
      <c r="K806" s="89"/>
      <c r="L806" s="89"/>
      <c r="M806" s="89"/>
      <c r="N806" s="89"/>
      <c r="O806" s="89"/>
      <c r="P806" s="89"/>
      <c r="Q806" s="89"/>
      <c r="R806" s="89"/>
      <c r="S806" s="89"/>
      <c r="T806" s="89"/>
      <c r="U806" s="89"/>
      <c r="V806" s="89"/>
      <c r="W806" s="89"/>
      <c r="X806" s="89"/>
      <c r="Y806" s="89"/>
      <c r="Z806" s="89"/>
      <c r="AA806" s="89"/>
      <c r="AB806" s="89"/>
      <c r="AC806" s="89"/>
      <c r="AD806" s="89"/>
      <c r="AE806" s="89"/>
      <c r="AF806" s="89"/>
      <c r="AG806" s="89"/>
      <c r="AH806" s="89"/>
      <c r="AI806" s="89"/>
      <c r="AJ806" s="89"/>
      <c r="AK806" s="89"/>
      <c r="AL806" s="89"/>
      <c r="AM806" s="89"/>
      <c r="AN806" s="89"/>
      <c r="AO806" s="89"/>
      <c r="AP806" s="89"/>
      <c r="AQ806" s="89"/>
      <c r="AR806" s="89"/>
      <c r="AS806" s="89"/>
      <c r="AT806" s="89"/>
      <c r="AU806" s="89"/>
      <c r="AV806" s="89"/>
      <c r="AW806" s="89"/>
      <c r="AX806" s="89"/>
      <c r="AY806" s="89"/>
      <c r="AZ806" s="89"/>
      <c r="BA806" s="95"/>
    </row>
    <row r="807" spans="1:53" s="87" customFormat="1">
      <c r="A807" s="90" t="str">
        <f t="shared" si="37"/>
        <v/>
      </c>
      <c r="B807" s="89"/>
      <c r="C807" s="89"/>
      <c r="D807" s="89"/>
      <c r="E807" s="89"/>
      <c r="F807" s="89"/>
      <c r="G807" s="89"/>
      <c r="H807" s="89"/>
      <c r="I807" s="89"/>
      <c r="J807" s="89"/>
      <c r="K807" s="89"/>
      <c r="L807" s="89"/>
      <c r="M807" s="89"/>
      <c r="N807" s="89"/>
      <c r="O807" s="89"/>
      <c r="P807" s="89"/>
      <c r="Q807" s="89"/>
      <c r="R807" s="89"/>
      <c r="S807" s="89"/>
      <c r="T807" s="89"/>
      <c r="U807" s="89"/>
      <c r="V807" s="89"/>
      <c r="W807" s="89"/>
      <c r="X807" s="89"/>
      <c r="Y807" s="89"/>
      <c r="Z807" s="89"/>
      <c r="AA807" s="89"/>
      <c r="AB807" s="89"/>
      <c r="AC807" s="89"/>
      <c r="AD807" s="89"/>
      <c r="AE807" s="89"/>
      <c r="AF807" s="89"/>
      <c r="AG807" s="89"/>
      <c r="AH807" s="89"/>
      <c r="AI807" s="89"/>
      <c r="AJ807" s="89"/>
      <c r="AK807" s="89"/>
      <c r="AL807" s="89"/>
      <c r="AM807" s="89"/>
      <c r="AN807" s="89"/>
      <c r="AO807" s="89"/>
      <c r="AP807" s="89"/>
      <c r="AQ807" s="89"/>
      <c r="AR807" s="89"/>
      <c r="AS807" s="89"/>
      <c r="AT807" s="89"/>
      <c r="AU807" s="89"/>
      <c r="AV807" s="89"/>
      <c r="AW807" s="89"/>
      <c r="AX807" s="89"/>
      <c r="AY807" s="89"/>
      <c r="AZ807" s="89"/>
      <c r="BA807" s="95"/>
    </row>
    <row r="808" spans="1:53" s="87" customFormat="1">
      <c r="A808" s="90" t="str">
        <f t="shared" si="37"/>
        <v/>
      </c>
      <c r="B808" s="89"/>
      <c r="C808" s="89"/>
      <c r="D808" s="89"/>
      <c r="E808" s="89"/>
      <c r="F808" s="89"/>
      <c r="G808" s="89"/>
      <c r="H808" s="89"/>
      <c r="I808" s="89"/>
      <c r="J808" s="89"/>
      <c r="K808" s="89"/>
      <c r="L808" s="89"/>
      <c r="M808" s="89"/>
      <c r="N808" s="89"/>
      <c r="O808" s="89"/>
      <c r="P808" s="89"/>
      <c r="Q808" s="89"/>
      <c r="R808" s="89"/>
      <c r="S808" s="89"/>
      <c r="T808" s="89"/>
      <c r="U808" s="89"/>
      <c r="V808" s="89"/>
      <c r="W808" s="89"/>
      <c r="X808" s="89"/>
      <c r="Y808" s="89"/>
      <c r="Z808" s="89"/>
      <c r="AA808" s="89"/>
      <c r="AB808" s="89"/>
      <c r="AC808" s="89"/>
      <c r="AD808" s="89"/>
      <c r="AE808" s="89"/>
      <c r="AF808" s="89"/>
      <c r="AG808" s="89"/>
      <c r="AH808" s="89"/>
      <c r="AI808" s="89"/>
      <c r="AJ808" s="89"/>
      <c r="AK808" s="89"/>
      <c r="AL808" s="89"/>
      <c r="AM808" s="89"/>
      <c r="AN808" s="89"/>
      <c r="AO808" s="89"/>
      <c r="AP808" s="89"/>
      <c r="AQ808" s="89"/>
      <c r="AR808" s="89"/>
      <c r="AS808" s="89"/>
      <c r="AT808" s="89"/>
      <c r="AU808" s="89"/>
      <c r="AV808" s="89"/>
      <c r="AW808" s="89"/>
      <c r="AX808" s="89"/>
      <c r="AY808" s="89"/>
      <c r="AZ808" s="89"/>
      <c r="BA808" s="95"/>
    </row>
    <row r="809" spans="1:53" s="87" customFormat="1">
      <c r="A809" s="90" t="str">
        <f t="shared" si="37"/>
        <v/>
      </c>
      <c r="B809" s="89"/>
      <c r="C809" s="89"/>
      <c r="D809" s="89"/>
      <c r="E809" s="89"/>
      <c r="F809" s="89"/>
      <c r="G809" s="89"/>
      <c r="H809" s="89"/>
      <c r="I809" s="89"/>
      <c r="J809" s="89"/>
      <c r="K809" s="89"/>
      <c r="L809" s="89"/>
      <c r="M809" s="89"/>
      <c r="N809" s="89"/>
      <c r="O809" s="89"/>
      <c r="P809" s="89"/>
      <c r="Q809" s="89"/>
      <c r="R809" s="89"/>
      <c r="S809" s="89"/>
      <c r="T809" s="89"/>
      <c r="U809" s="89"/>
      <c r="V809" s="89"/>
      <c r="W809" s="89"/>
      <c r="X809" s="89"/>
      <c r="Y809" s="89"/>
      <c r="Z809" s="89"/>
      <c r="AA809" s="89"/>
      <c r="AB809" s="89"/>
      <c r="AC809" s="89"/>
      <c r="AD809" s="89"/>
      <c r="AE809" s="89"/>
      <c r="AF809" s="89"/>
      <c r="AG809" s="89"/>
      <c r="AH809" s="89"/>
      <c r="AI809" s="89"/>
      <c r="AJ809" s="89"/>
      <c r="AK809" s="89"/>
      <c r="AL809" s="89"/>
      <c r="AM809" s="89"/>
      <c r="AN809" s="89"/>
      <c r="AO809" s="89"/>
      <c r="AP809" s="89"/>
      <c r="AQ809" s="89"/>
      <c r="AR809" s="89"/>
      <c r="AS809" s="89"/>
      <c r="AT809" s="89"/>
      <c r="AU809" s="89"/>
      <c r="AV809" s="89"/>
      <c r="AW809" s="89"/>
      <c r="AX809" s="89"/>
      <c r="AY809" s="89"/>
      <c r="AZ809" s="89"/>
      <c r="BA809" s="95"/>
    </row>
    <row r="810" spans="1:53" s="87" customFormat="1">
      <c r="A810" s="90" t="str">
        <f t="shared" si="37"/>
        <v/>
      </c>
      <c r="B810" s="89"/>
      <c r="C810" s="89"/>
      <c r="D810" s="89"/>
      <c r="E810" s="89"/>
      <c r="F810" s="89"/>
      <c r="G810" s="89"/>
      <c r="H810" s="89"/>
      <c r="I810" s="89"/>
      <c r="J810" s="89"/>
      <c r="K810" s="89"/>
      <c r="L810" s="89"/>
      <c r="M810" s="89"/>
      <c r="N810" s="89"/>
      <c r="O810" s="89"/>
      <c r="P810" s="89"/>
      <c r="Q810" s="89"/>
      <c r="R810" s="89"/>
      <c r="S810" s="89"/>
      <c r="T810" s="89"/>
      <c r="U810" s="89"/>
      <c r="V810" s="89"/>
      <c r="W810" s="89"/>
      <c r="X810" s="89"/>
      <c r="Y810" s="89"/>
      <c r="Z810" s="89"/>
      <c r="AA810" s="89"/>
      <c r="AB810" s="89"/>
      <c r="AC810" s="89"/>
      <c r="AD810" s="89"/>
      <c r="AE810" s="89"/>
      <c r="AF810" s="89"/>
      <c r="AG810" s="89"/>
      <c r="AH810" s="89"/>
      <c r="AI810" s="89"/>
      <c r="AJ810" s="89"/>
      <c r="AK810" s="89"/>
      <c r="AL810" s="89"/>
      <c r="AM810" s="89"/>
      <c r="AN810" s="89"/>
      <c r="AO810" s="89"/>
      <c r="AP810" s="89"/>
      <c r="AQ810" s="89"/>
      <c r="AR810" s="89"/>
      <c r="AS810" s="89"/>
      <c r="AT810" s="89"/>
      <c r="AU810" s="89"/>
      <c r="AV810" s="89"/>
      <c r="AW810" s="89"/>
      <c r="AX810" s="89"/>
      <c r="AY810" s="89"/>
      <c r="AZ810" s="89"/>
      <c r="BA810" s="95"/>
    </row>
    <row r="811" spans="1:53" s="87" customFormat="1">
      <c r="A811" s="90" t="str">
        <f t="shared" si="37"/>
        <v/>
      </c>
      <c r="B811" s="89"/>
      <c r="C811" s="89"/>
      <c r="D811" s="89"/>
      <c r="E811" s="89"/>
      <c r="F811" s="89"/>
      <c r="G811" s="89"/>
      <c r="H811" s="89"/>
      <c r="I811" s="89"/>
      <c r="J811" s="89"/>
      <c r="K811" s="89"/>
      <c r="L811" s="89"/>
      <c r="M811" s="89"/>
      <c r="N811" s="89"/>
      <c r="O811" s="89"/>
      <c r="P811" s="89"/>
      <c r="Q811" s="89"/>
      <c r="R811" s="89"/>
      <c r="S811" s="89"/>
      <c r="T811" s="89"/>
      <c r="U811" s="89"/>
      <c r="V811" s="89"/>
      <c r="W811" s="89"/>
      <c r="X811" s="89"/>
      <c r="Y811" s="89"/>
      <c r="Z811" s="89"/>
      <c r="AA811" s="89"/>
      <c r="AB811" s="89"/>
      <c r="AC811" s="89"/>
      <c r="AD811" s="89"/>
      <c r="AE811" s="89"/>
      <c r="AF811" s="89"/>
      <c r="AG811" s="89"/>
      <c r="AH811" s="89"/>
      <c r="AI811" s="89"/>
      <c r="AJ811" s="89"/>
      <c r="AK811" s="89"/>
      <c r="AL811" s="89"/>
      <c r="AM811" s="89"/>
      <c r="AN811" s="89"/>
      <c r="AO811" s="89"/>
      <c r="AP811" s="89"/>
      <c r="AQ811" s="89"/>
      <c r="AR811" s="89"/>
      <c r="AS811" s="89"/>
      <c r="AT811" s="89"/>
      <c r="AU811" s="89"/>
      <c r="AV811" s="89"/>
      <c r="AW811" s="89"/>
      <c r="AX811" s="89"/>
      <c r="AY811" s="89"/>
      <c r="AZ811" s="89"/>
      <c r="BA811" s="95"/>
    </row>
    <row r="812" spans="1:53" s="87" customFormat="1">
      <c r="A812" s="90" t="str">
        <f t="shared" si="37"/>
        <v/>
      </c>
      <c r="B812" s="89"/>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c r="AA812" s="89"/>
      <c r="AB812" s="89"/>
      <c r="AC812" s="89"/>
      <c r="AD812" s="89"/>
      <c r="AE812" s="89"/>
      <c r="AF812" s="89"/>
      <c r="AG812" s="89"/>
      <c r="AH812" s="89"/>
      <c r="AI812" s="89"/>
      <c r="AJ812" s="89"/>
      <c r="AK812" s="89"/>
      <c r="AL812" s="89"/>
      <c r="AM812" s="89"/>
      <c r="AN812" s="89"/>
      <c r="AO812" s="89"/>
      <c r="AP812" s="89"/>
      <c r="AQ812" s="89"/>
      <c r="AR812" s="89"/>
      <c r="AS812" s="89"/>
      <c r="AT812" s="89"/>
      <c r="AU812" s="89"/>
      <c r="AV812" s="89"/>
      <c r="AW812" s="89"/>
      <c r="AX812" s="89"/>
      <c r="AY812" s="89"/>
      <c r="AZ812" s="89"/>
      <c r="BA812" s="95"/>
    </row>
    <row r="813" spans="1:53" s="87" customFormat="1">
      <c r="A813" s="90" t="str">
        <f t="shared" si="37"/>
        <v/>
      </c>
      <c r="B813" s="89"/>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c r="AA813" s="89"/>
      <c r="AB813" s="89"/>
      <c r="AC813" s="89"/>
      <c r="AD813" s="89"/>
      <c r="AE813" s="89"/>
      <c r="AF813" s="89"/>
      <c r="AG813" s="89"/>
      <c r="AH813" s="89"/>
      <c r="AI813" s="89"/>
      <c r="AJ813" s="89"/>
      <c r="AK813" s="89"/>
      <c r="AL813" s="89"/>
      <c r="AM813" s="89"/>
      <c r="AN813" s="89"/>
      <c r="AO813" s="89"/>
      <c r="AP813" s="89"/>
      <c r="AQ813" s="89"/>
      <c r="AR813" s="89"/>
      <c r="AS813" s="89"/>
      <c r="AT813" s="89"/>
      <c r="AU813" s="89"/>
      <c r="AV813" s="89"/>
      <c r="AW813" s="89"/>
      <c r="AX813" s="89"/>
      <c r="AY813" s="89"/>
      <c r="AZ813" s="89"/>
      <c r="BA813" s="95"/>
    </row>
    <row r="814" spans="1:53" s="87" customFormat="1">
      <c r="A814" s="90" t="str">
        <f t="shared" si="37"/>
        <v/>
      </c>
      <c r="B814" s="89"/>
      <c r="C814" s="89"/>
      <c r="D814" s="89"/>
      <c r="E814" s="89"/>
      <c r="F814" s="89"/>
      <c r="G814" s="89"/>
      <c r="H814" s="89"/>
      <c r="I814" s="89"/>
      <c r="J814" s="89"/>
      <c r="K814" s="89"/>
      <c r="L814" s="89"/>
      <c r="M814" s="89"/>
      <c r="N814" s="89"/>
      <c r="O814" s="89"/>
      <c r="P814" s="89"/>
      <c r="Q814" s="89"/>
      <c r="R814" s="89"/>
      <c r="S814" s="89"/>
      <c r="T814" s="89"/>
      <c r="U814" s="89"/>
      <c r="V814" s="89"/>
      <c r="W814" s="89"/>
      <c r="X814" s="89"/>
      <c r="Y814" s="89"/>
      <c r="Z814" s="89"/>
      <c r="AA814" s="89"/>
      <c r="AB814" s="89"/>
      <c r="AC814" s="89"/>
      <c r="AD814" s="89"/>
      <c r="AE814" s="89"/>
      <c r="AF814" s="89"/>
      <c r="AG814" s="89"/>
      <c r="AH814" s="89"/>
      <c r="AI814" s="89"/>
      <c r="AJ814" s="89"/>
      <c r="AK814" s="89"/>
      <c r="AL814" s="89"/>
      <c r="AM814" s="89"/>
      <c r="AN814" s="89"/>
      <c r="AO814" s="89"/>
      <c r="AP814" s="89"/>
      <c r="AQ814" s="89"/>
      <c r="AR814" s="89"/>
      <c r="AS814" s="89"/>
      <c r="AT814" s="89"/>
      <c r="AU814" s="89"/>
      <c r="AV814" s="89"/>
      <c r="AW814" s="89"/>
      <c r="AX814" s="89"/>
      <c r="AY814" s="89"/>
      <c r="AZ814" s="89"/>
      <c r="BA814" s="95"/>
    </row>
    <row r="815" spans="1:53" s="87" customFormat="1">
      <c r="A815" s="90" t="str">
        <f t="shared" si="37"/>
        <v/>
      </c>
      <c r="B815" s="89"/>
      <c r="C815" s="89"/>
      <c r="D815" s="89"/>
      <c r="E815" s="89"/>
      <c r="F815" s="89"/>
      <c r="G815" s="89"/>
      <c r="H815" s="89"/>
      <c r="I815" s="89"/>
      <c r="J815" s="89"/>
      <c r="K815" s="89"/>
      <c r="L815" s="89"/>
      <c r="M815" s="89"/>
      <c r="N815" s="89"/>
      <c r="O815" s="89"/>
      <c r="P815" s="89"/>
      <c r="Q815" s="89"/>
      <c r="R815" s="89"/>
      <c r="S815" s="89"/>
      <c r="T815" s="89"/>
      <c r="U815" s="89"/>
      <c r="V815" s="89"/>
      <c r="W815" s="89"/>
      <c r="X815" s="89"/>
      <c r="Y815" s="89"/>
      <c r="Z815" s="89"/>
      <c r="AA815" s="89"/>
      <c r="AB815" s="89"/>
      <c r="AC815" s="89"/>
      <c r="AD815" s="89"/>
      <c r="AE815" s="89"/>
      <c r="AF815" s="89"/>
      <c r="AG815" s="89"/>
      <c r="AH815" s="89"/>
      <c r="AI815" s="89"/>
      <c r="AJ815" s="89"/>
      <c r="AK815" s="89"/>
      <c r="AL815" s="89"/>
      <c r="AM815" s="89"/>
      <c r="AN815" s="89"/>
      <c r="AO815" s="89"/>
      <c r="AP815" s="89"/>
      <c r="AQ815" s="89"/>
      <c r="AR815" s="89"/>
      <c r="AS815" s="89"/>
      <c r="AT815" s="89"/>
      <c r="AU815" s="89"/>
      <c r="AV815" s="89"/>
      <c r="AW815" s="89"/>
      <c r="AX815" s="89"/>
      <c r="AY815" s="89"/>
      <c r="AZ815" s="89"/>
      <c r="BA815" s="95"/>
    </row>
    <row r="816" spans="1:53" s="87" customFormat="1">
      <c r="A816" s="90" t="str">
        <f t="shared" si="37"/>
        <v/>
      </c>
      <c r="B816" s="89"/>
      <c r="C816" s="89"/>
      <c r="D816" s="89"/>
      <c r="E816" s="89"/>
      <c r="F816" s="89"/>
      <c r="G816" s="89"/>
      <c r="H816" s="89"/>
      <c r="I816" s="89"/>
      <c r="J816" s="89"/>
      <c r="K816" s="89"/>
      <c r="L816" s="89"/>
      <c r="M816" s="89"/>
      <c r="N816" s="89"/>
      <c r="O816" s="89"/>
      <c r="P816" s="89"/>
      <c r="Q816" s="89"/>
      <c r="R816" s="89"/>
      <c r="S816" s="89"/>
      <c r="T816" s="89"/>
      <c r="U816" s="89"/>
      <c r="V816" s="89"/>
      <c r="W816" s="89"/>
      <c r="X816" s="89"/>
      <c r="Y816" s="89"/>
      <c r="Z816" s="89"/>
      <c r="AA816" s="89"/>
      <c r="AB816" s="89"/>
      <c r="AC816" s="89"/>
      <c r="AD816" s="89"/>
      <c r="AE816" s="89"/>
      <c r="AF816" s="89"/>
      <c r="AG816" s="89"/>
      <c r="AH816" s="89"/>
      <c r="AI816" s="89"/>
      <c r="AJ816" s="89"/>
      <c r="AK816" s="89"/>
      <c r="AL816" s="89"/>
      <c r="AM816" s="89"/>
      <c r="AN816" s="89"/>
      <c r="AO816" s="89"/>
      <c r="AP816" s="89"/>
      <c r="AQ816" s="89"/>
      <c r="AR816" s="89"/>
      <c r="AS816" s="89"/>
      <c r="AT816" s="89"/>
      <c r="AU816" s="89"/>
      <c r="AV816" s="89"/>
      <c r="AW816" s="89"/>
      <c r="AX816" s="89"/>
      <c r="AY816" s="89"/>
      <c r="AZ816" s="89"/>
      <c r="BA816" s="95"/>
    </row>
    <row r="817" spans="1:53" s="87" customFormat="1">
      <c r="A817" s="90" t="str">
        <f t="shared" si="37"/>
        <v/>
      </c>
      <c r="B817" s="89"/>
      <c r="C817" s="89"/>
      <c r="D817" s="89"/>
      <c r="E817" s="89"/>
      <c r="F817" s="89"/>
      <c r="G817" s="89"/>
      <c r="H817" s="89"/>
      <c r="I817" s="89"/>
      <c r="J817" s="89"/>
      <c r="K817" s="89"/>
      <c r="L817" s="89"/>
      <c r="M817" s="89"/>
      <c r="N817" s="89"/>
      <c r="O817" s="89"/>
      <c r="P817" s="89"/>
      <c r="Q817" s="89"/>
      <c r="R817" s="89"/>
      <c r="S817" s="89"/>
      <c r="T817" s="89"/>
      <c r="U817" s="89"/>
      <c r="V817" s="89"/>
      <c r="W817" s="89"/>
      <c r="X817" s="89"/>
      <c r="Y817" s="89"/>
      <c r="Z817" s="89"/>
      <c r="AA817" s="89"/>
      <c r="AB817" s="89"/>
      <c r="AC817" s="89"/>
      <c r="AD817" s="89"/>
      <c r="AE817" s="89"/>
      <c r="AF817" s="89"/>
      <c r="AG817" s="89"/>
      <c r="AH817" s="89"/>
      <c r="AI817" s="89"/>
      <c r="AJ817" s="89"/>
      <c r="AK817" s="89"/>
      <c r="AL817" s="89"/>
      <c r="AM817" s="89"/>
      <c r="AN817" s="89"/>
      <c r="AO817" s="89"/>
      <c r="AP817" s="89"/>
      <c r="AQ817" s="89"/>
      <c r="AR817" s="89"/>
      <c r="AS817" s="89"/>
      <c r="AT817" s="89"/>
      <c r="AU817" s="89"/>
      <c r="AV817" s="89"/>
      <c r="AW817" s="89"/>
      <c r="AX817" s="89"/>
      <c r="AY817" s="89"/>
      <c r="AZ817" s="89"/>
      <c r="BA817" s="95"/>
    </row>
    <row r="818" spans="1:53" s="87" customFormat="1">
      <c r="A818" s="90" t="str">
        <f t="shared" si="37"/>
        <v/>
      </c>
      <c r="B818" s="89"/>
      <c r="C818" s="89"/>
      <c r="D818" s="89"/>
      <c r="E818" s="89"/>
      <c r="F818" s="89"/>
      <c r="G818" s="89"/>
      <c r="H818" s="89"/>
      <c r="I818" s="89"/>
      <c r="J818" s="89"/>
      <c r="K818" s="89"/>
      <c r="L818" s="89"/>
      <c r="M818" s="89"/>
      <c r="N818" s="89"/>
      <c r="O818" s="89"/>
      <c r="P818" s="89"/>
      <c r="Q818" s="89"/>
      <c r="R818" s="89"/>
      <c r="S818" s="89"/>
      <c r="T818" s="89"/>
      <c r="U818" s="89"/>
      <c r="V818" s="89"/>
      <c r="W818" s="89"/>
      <c r="X818" s="89"/>
      <c r="Y818" s="89"/>
      <c r="Z818" s="89"/>
      <c r="AA818" s="89"/>
      <c r="AB818" s="89"/>
      <c r="AC818" s="89"/>
      <c r="AD818" s="89"/>
      <c r="AE818" s="89"/>
      <c r="AF818" s="89"/>
      <c r="AG818" s="89"/>
      <c r="AH818" s="89"/>
      <c r="AI818" s="89"/>
      <c r="AJ818" s="89"/>
      <c r="AK818" s="89"/>
      <c r="AL818" s="89"/>
      <c r="AM818" s="89"/>
      <c r="AN818" s="89"/>
      <c r="AO818" s="89"/>
      <c r="AP818" s="89"/>
      <c r="AQ818" s="89"/>
      <c r="AR818" s="89"/>
      <c r="AS818" s="89"/>
      <c r="AT818" s="89"/>
      <c r="AU818" s="89"/>
      <c r="AV818" s="89"/>
      <c r="AW818" s="89"/>
      <c r="AX818" s="89"/>
      <c r="AY818" s="89"/>
      <c r="AZ818" s="89"/>
      <c r="BA818" s="95"/>
    </row>
    <row r="819" spans="1:53" s="87" customFormat="1">
      <c r="A819" s="90" t="str">
        <f t="shared" si="37"/>
        <v/>
      </c>
      <c r="B819" s="89"/>
      <c r="C819" s="89"/>
      <c r="D819" s="89"/>
      <c r="E819" s="89"/>
      <c r="F819" s="89"/>
      <c r="G819" s="89"/>
      <c r="H819" s="89"/>
      <c r="I819" s="89"/>
      <c r="J819" s="89"/>
      <c r="K819" s="89"/>
      <c r="L819" s="89"/>
      <c r="M819" s="89"/>
      <c r="N819" s="89"/>
      <c r="O819" s="89"/>
      <c r="P819" s="89"/>
      <c r="Q819" s="89"/>
      <c r="R819" s="89"/>
      <c r="S819" s="89"/>
      <c r="T819" s="89"/>
      <c r="U819" s="89"/>
      <c r="V819" s="89"/>
      <c r="W819" s="89"/>
      <c r="X819" s="89"/>
      <c r="Y819" s="89"/>
      <c r="Z819" s="89"/>
      <c r="AA819" s="89"/>
      <c r="AB819" s="89"/>
      <c r="AC819" s="89"/>
      <c r="AD819" s="89"/>
      <c r="AE819" s="89"/>
      <c r="AF819" s="89"/>
      <c r="AG819" s="89"/>
      <c r="AH819" s="89"/>
      <c r="AI819" s="89"/>
      <c r="AJ819" s="89"/>
      <c r="AK819" s="89"/>
      <c r="AL819" s="89"/>
      <c r="AM819" s="89"/>
      <c r="AN819" s="89"/>
      <c r="AO819" s="89"/>
      <c r="AP819" s="89"/>
      <c r="AQ819" s="89"/>
      <c r="AR819" s="89"/>
      <c r="AS819" s="89"/>
      <c r="AT819" s="89"/>
      <c r="AU819" s="89"/>
      <c r="AV819" s="89"/>
      <c r="AW819" s="89"/>
      <c r="AX819" s="89"/>
      <c r="AY819" s="89"/>
      <c r="AZ819" s="89"/>
      <c r="BA819" s="95"/>
    </row>
    <row r="820" spans="1:53" s="87" customFormat="1">
      <c r="A820" s="90" t="str">
        <f t="shared" si="37"/>
        <v/>
      </c>
      <c r="B820" s="89"/>
      <c r="C820" s="89"/>
      <c r="D820" s="89"/>
      <c r="E820" s="89"/>
      <c r="F820" s="89"/>
      <c r="G820" s="89"/>
      <c r="H820" s="89"/>
      <c r="I820" s="89"/>
      <c r="J820" s="89"/>
      <c r="K820" s="89"/>
      <c r="L820" s="89"/>
      <c r="M820" s="89"/>
      <c r="N820" s="89"/>
      <c r="O820" s="89"/>
      <c r="P820" s="89"/>
      <c r="Q820" s="89"/>
      <c r="R820" s="89"/>
      <c r="S820" s="89"/>
      <c r="T820" s="89"/>
      <c r="U820" s="89"/>
      <c r="V820" s="89"/>
      <c r="W820" s="89"/>
      <c r="X820" s="89"/>
      <c r="Y820" s="89"/>
      <c r="Z820" s="89"/>
      <c r="AA820" s="89"/>
      <c r="AB820" s="89"/>
      <c r="AC820" s="89"/>
      <c r="AD820" s="89"/>
      <c r="AE820" s="89"/>
      <c r="AF820" s="89"/>
      <c r="AG820" s="89"/>
      <c r="AH820" s="89"/>
      <c r="AI820" s="89"/>
      <c r="AJ820" s="89"/>
      <c r="AK820" s="89"/>
      <c r="AL820" s="89"/>
      <c r="AM820" s="89"/>
      <c r="AN820" s="89"/>
      <c r="AO820" s="89"/>
      <c r="AP820" s="89"/>
      <c r="AQ820" s="89"/>
      <c r="AR820" s="89"/>
      <c r="AS820" s="89"/>
      <c r="AT820" s="89"/>
      <c r="AU820" s="89"/>
      <c r="AV820" s="89"/>
      <c r="AW820" s="89"/>
      <c r="AX820" s="89"/>
      <c r="AY820" s="89"/>
      <c r="AZ820" s="89"/>
      <c r="BA820" s="95"/>
    </row>
    <row r="821" spans="1:53" s="87" customFormat="1">
      <c r="A821" s="90" t="str">
        <f t="shared" si="37"/>
        <v/>
      </c>
      <c r="B821" s="89"/>
      <c r="C821" s="89"/>
      <c r="D821" s="89"/>
      <c r="E821" s="89"/>
      <c r="F821" s="89"/>
      <c r="G821" s="89"/>
      <c r="H821" s="89"/>
      <c r="I821" s="89"/>
      <c r="J821" s="89"/>
      <c r="K821" s="89"/>
      <c r="L821" s="89"/>
      <c r="M821" s="89"/>
      <c r="N821" s="89"/>
      <c r="O821" s="89"/>
      <c r="P821" s="89"/>
      <c r="Q821" s="89"/>
      <c r="R821" s="89"/>
      <c r="S821" s="89"/>
      <c r="T821" s="89"/>
      <c r="U821" s="89"/>
      <c r="V821" s="89"/>
      <c r="W821" s="89"/>
      <c r="X821" s="89"/>
      <c r="Y821" s="89"/>
      <c r="Z821" s="89"/>
      <c r="AA821" s="89"/>
      <c r="AB821" s="89"/>
      <c r="AC821" s="89"/>
      <c r="AD821" s="89"/>
      <c r="AE821" s="89"/>
      <c r="AF821" s="89"/>
      <c r="AG821" s="89"/>
      <c r="AH821" s="89"/>
      <c r="AI821" s="89"/>
      <c r="AJ821" s="89"/>
      <c r="AK821" s="89"/>
      <c r="AL821" s="89"/>
      <c r="AM821" s="89"/>
      <c r="AN821" s="89"/>
      <c r="AO821" s="89"/>
      <c r="AP821" s="89"/>
      <c r="AQ821" s="89"/>
      <c r="AR821" s="89"/>
      <c r="AS821" s="89"/>
      <c r="AT821" s="89"/>
      <c r="AU821" s="89"/>
      <c r="AV821" s="89"/>
      <c r="AW821" s="89"/>
      <c r="AX821" s="89"/>
      <c r="AY821" s="89"/>
      <c r="AZ821" s="89"/>
      <c r="BA821" s="95"/>
    </row>
    <row r="822" spans="1:53" s="87" customFormat="1">
      <c r="A822" s="90" t="str">
        <f t="shared" si="37"/>
        <v/>
      </c>
      <c r="B822" s="89"/>
      <c r="C822" s="89"/>
      <c r="D822" s="89"/>
      <c r="E822" s="89"/>
      <c r="F822" s="89"/>
      <c r="G822" s="89"/>
      <c r="H822" s="89"/>
      <c r="I822" s="89"/>
      <c r="J822" s="89"/>
      <c r="K822" s="89"/>
      <c r="L822" s="89"/>
      <c r="M822" s="89"/>
      <c r="N822" s="89"/>
      <c r="O822" s="89"/>
      <c r="P822" s="89"/>
      <c r="Q822" s="89"/>
      <c r="R822" s="89"/>
      <c r="S822" s="89"/>
      <c r="T822" s="89"/>
      <c r="U822" s="89"/>
      <c r="V822" s="89"/>
      <c r="W822" s="89"/>
      <c r="X822" s="89"/>
      <c r="Y822" s="89"/>
      <c r="Z822" s="89"/>
      <c r="AA822" s="89"/>
      <c r="AB822" s="89"/>
      <c r="AC822" s="89"/>
      <c r="AD822" s="89"/>
      <c r="AE822" s="89"/>
      <c r="AF822" s="89"/>
      <c r="AG822" s="89"/>
      <c r="AH822" s="89"/>
      <c r="AI822" s="89"/>
      <c r="AJ822" s="89"/>
      <c r="AK822" s="89"/>
      <c r="AL822" s="89"/>
      <c r="AM822" s="89"/>
      <c r="AN822" s="89"/>
      <c r="AO822" s="89"/>
      <c r="AP822" s="89"/>
      <c r="AQ822" s="89"/>
      <c r="AR822" s="89"/>
      <c r="AS822" s="89"/>
      <c r="AT822" s="89"/>
      <c r="AU822" s="89"/>
      <c r="AV822" s="89"/>
      <c r="AW822" s="89"/>
      <c r="AX822" s="89"/>
      <c r="AY822" s="89"/>
      <c r="AZ822" s="89"/>
      <c r="BA822" s="95"/>
    </row>
    <row r="823" spans="1:53" s="87" customFormat="1">
      <c r="A823" s="90" t="str">
        <f t="shared" si="37"/>
        <v/>
      </c>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c r="AA823" s="89"/>
      <c r="AB823" s="89"/>
      <c r="AC823" s="89"/>
      <c r="AD823" s="89"/>
      <c r="AE823" s="89"/>
      <c r="AF823" s="89"/>
      <c r="AG823" s="89"/>
      <c r="AH823" s="89"/>
      <c r="AI823" s="89"/>
      <c r="AJ823" s="89"/>
      <c r="AK823" s="89"/>
      <c r="AL823" s="89"/>
      <c r="AM823" s="89"/>
      <c r="AN823" s="89"/>
      <c r="AO823" s="89"/>
      <c r="AP823" s="89"/>
      <c r="AQ823" s="89"/>
      <c r="AR823" s="89"/>
      <c r="AS823" s="89"/>
      <c r="AT823" s="89"/>
      <c r="AU823" s="89"/>
      <c r="AV823" s="89"/>
      <c r="AW823" s="89"/>
      <c r="AX823" s="89"/>
      <c r="AY823" s="89"/>
      <c r="AZ823" s="89"/>
      <c r="BA823" s="95"/>
    </row>
    <row r="824" spans="1:53" s="87" customFormat="1">
      <c r="A824" s="90" t="str">
        <f t="shared" si="37"/>
        <v/>
      </c>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89"/>
      <c r="AA824" s="89"/>
      <c r="AB824" s="89"/>
      <c r="AC824" s="89"/>
      <c r="AD824" s="89"/>
      <c r="AE824" s="89"/>
      <c r="AF824" s="89"/>
      <c r="AG824" s="89"/>
      <c r="AH824" s="89"/>
      <c r="AI824" s="89"/>
      <c r="AJ824" s="89"/>
      <c r="AK824" s="89"/>
      <c r="AL824" s="89"/>
      <c r="AM824" s="89"/>
      <c r="AN824" s="89"/>
      <c r="AO824" s="89"/>
      <c r="AP824" s="89"/>
      <c r="AQ824" s="89"/>
      <c r="AR824" s="89"/>
      <c r="AS824" s="89"/>
      <c r="AT824" s="89"/>
      <c r="AU824" s="89"/>
      <c r="AV824" s="89"/>
      <c r="AW824" s="89"/>
      <c r="AX824" s="89"/>
      <c r="AY824" s="89"/>
      <c r="AZ824" s="89"/>
      <c r="BA824" s="95"/>
    </row>
    <row r="825" spans="1:53" s="87" customFormat="1">
      <c r="A825" s="90" t="str">
        <f t="shared" si="37"/>
        <v/>
      </c>
      <c r="B825" s="89"/>
      <c r="C825" s="89"/>
      <c r="D825" s="89"/>
      <c r="E825" s="89"/>
      <c r="F825" s="89"/>
      <c r="G825" s="89"/>
      <c r="H825" s="89"/>
      <c r="I825" s="89"/>
      <c r="J825" s="89"/>
      <c r="K825" s="89"/>
      <c r="L825" s="89"/>
      <c r="M825" s="89"/>
      <c r="N825" s="89"/>
      <c r="O825" s="89"/>
      <c r="P825" s="89"/>
      <c r="Q825" s="89"/>
      <c r="R825" s="89"/>
      <c r="S825" s="89"/>
      <c r="T825" s="89"/>
      <c r="U825" s="89"/>
      <c r="V825" s="89"/>
      <c r="W825" s="89"/>
      <c r="X825" s="89"/>
      <c r="Y825" s="89"/>
      <c r="Z825" s="89"/>
      <c r="AA825" s="89"/>
      <c r="AB825" s="89"/>
      <c r="AC825" s="89"/>
      <c r="AD825" s="89"/>
      <c r="AE825" s="89"/>
      <c r="AF825" s="89"/>
      <c r="AG825" s="89"/>
      <c r="AH825" s="89"/>
      <c r="AI825" s="89"/>
      <c r="AJ825" s="89"/>
      <c r="AK825" s="89"/>
      <c r="AL825" s="89"/>
      <c r="AM825" s="89"/>
      <c r="AN825" s="89"/>
      <c r="AO825" s="89"/>
      <c r="AP825" s="89"/>
      <c r="AQ825" s="89"/>
      <c r="AR825" s="89"/>
      <c r="AS825" s="89"/>
      <c r="AT825" s="89"/>
      <c r="AU825" s="89"/>
      <c r="AV825" s="89"/>
      <c r="AW825" s="89"/>
      <c r="AX825" s="89"/>
      <c r="AY825" s="89"/>
      <c r="AZ825" s="89"/>
      <c r="BA825" s="95"/>
    </row>
    <row r="826" spans="1:53" s="87" customFormat="1">
      <c r="A826" s="90" t="str">
        <f t="shared" si="37"/>
        <v/>
      </c>
      <c r="B826" s="89"/>
      <c r="C826" s="89"/>
      <c r="D826" s="89"/>
      <c r="E826" s="89"/>
      <c r="F826" s="89"/>
      <c r="G826" s="89"/>
      <c r="H826" s="89"/>
      <c r="I826" s="89"/>
      <c r="J826" s="89"/>
      <c r="K826" s="89"/>
      <c r="L826" s="89"/>
      <c r="M826" s="89"/>
      <c r="N826" s="89"/>
      <c r="O826" s="89"/>
      <c r="P826" s="89"/>
      <c r="Q826" s="89"/>
      <c r="R826" s="89"/>
      <c r="S826" s="89"/>
      <c r="T826" s="89"/>
      <c r="U826" s="89"/>
      <c r="V826" s="89"/>
      <c r="W826" s="89"/>
      <c r="X826" s="89"/>
      <c r="Y826" s="89"/>
      <c r="Z826" s="89"/>
      <c r="AA826" s="89"/>
      <c r="AB826" s="89"/>
      <c r="AC826" s="89"/>
      <c r="AD826" s="89"/>
      <c r="AE826" s="89"/>
      <c r="AF826" s="89"/>
      <c r="AG826" s="89"/>
      <c r="AH826" s="89"/>
      <c r="AI826" s="89"/>
      <c r="AJ826" s="89"/>
      <c r="AK826" s="89"/>
      <c r="AL826" s="89"/>
      <c r="AM826" s="89"/>
      <c r="AN826" s="89"/>
      <c r="AO826" s="89"/>
      <c r="AP826" s="89"/>
      <c r="AQ826" s="89"/>
      <c r="AR826" s="89"/>
      <c r="AS826" s="89"/>
      <c r="AT826" s="89"/>
      <c r="AU826" s="89"/>
      <c r="AV826" s="89"/>
      <c r="AW826" s="89"/>
      <c r="AX826" s="89"/>
      <c r="AY826" s="89"/>
      <c r="AZ826" s="89"/>
      <c r="BA826" s="95"/>
    </row>
    <row r="827" spans="1:53" s="87" customFormat="1">
      <c r="A827" s="90" t="str">
        <f t="shared" si="37"/>
        <v/>
      </c>
      <c r="B827" s="89"/>
      <c r="C827" s="89"/>
      <c r="D827" s="89"/>
      <c r="E827" s="89"/>
      <c r="F827" s="89"/>
      <c r="G827" s="89"/>
      <c r="H827" s="89"/>
      <c r="I827" s="89"/>
      <c r="J827" s="89"/>
      <c r="K827" s="89"/>
      <c r="L827" s="89"/>
      <c r="M827" s="89"/>
      <c r="N827" s="89"/>
      <c r="O827" s="89"/>
      <c r="P827" s="89"/>
      <c r="Q827" s="89"/>
      <c r="R827" s="89"/>
      <c r="S827" s="89"/>
      <c r="T827" s="89"/>
      <c r="U827" s="89"/>
      <c r="V827" s="89"/>
      <c r="W827" s="89"/>
      <c r="X827" s="89"/>
      <c r="Y827" s="89"/>
      <c r="Z827" s="89"/>
      <c r="AA827" s="89"/>
      <c r="AB827" s="89"/>
      <c r="AC827" s="89"/>
      <c r="AD827" s="89"/>
      <c r="AE827" s="89"/>
      <c r="AF827" s="89"/>
      <c r="AG827" s="89"/>
      <c r="AH827" s="89"/>
      <c r="AI827" s="89"/>
      <c r="AJ827" s="89"/>
      <c r="AK827" s="89"/>
      <c r="AL827" s="89"/>
      <c r="AM827" s="89"/>
      <c r="AN827" s="89"/>
      <c r="AO827" s="89"/>
      <c r="AP827" s="89"/>
      <c r="AQ827" s="89"/>
      <c r="AR827" s="89"/>
      <c r="AS827" s="89"/>
      <c r="AT827" s="89"/>
      <c r="AU827" s="89"/>
      <c r="AV827" s="89"/>
      <c r="AW827" s="89"/>
      <c r="AX827" s="89"/>
      <c r="AY827" s="89"/>
      <c r="AZ827" s="89"/>
      <c r="BA827" s="95"/>
    </row>
    <row r="828" spans="1:53" s="87" customFormat="1">
      <c r="A828" s="90" t="str">
        <f t="shared" si="37"/>
        <v/>
      </c>
      <c r="B828" s="89"/>
      <c r="C828" s="89"/>
      <c r="D828" s="89"/>
      <c r="E828" s="89"/>
      <c r="F828" s="89"/>
      <c r="G828" s="89"/>
      <c r="H828" s="89"/>
      <c r="I828" s="89"/>
      <c r="J828" s="89"/>
      <c r="K828" s="89"/>
      <c r="L828" s="89"/>
      <c r="M828" s="89"/>
      <c r="N828" s="89"/>
      <c r="O828" s="89"/>
      <c r="P828" s="89"/>
      <c r="Q828" s="89"/>
      <c r="R828" s="89"/>
      <c r="S828" s="89"/>
      <c r="T828" s="89"/>
      <c r="U828" s="89"/>
      <c r="V828" s="89"/>
      <c r="W828" s="89"/>
      <c r="X828" s="89"/>
      <c r="Y828" s="89"/>
      <c r="Z828" s="89"/>
      <c r="AA828" s="89"/>
      <c r="AB828" s="89"/>
      <c r="AC828" s="89"/>
      <c r="AD828" s="89"/>
      <c r="AE828" s="89"/>
      <c r="AF828" s="89"/>
      <c r="AG828" s="89"/>
      <c r="AH828" s="89"/>
      <c r="AI828" s="89"/>
      <c r="AJ828" s="89"/>
      <c r="AK828" s="89"/>
      <c r="AL828" s="89"/>
      <c r="AM828" s="89"/>
      <c r="AN828" s="89"/>
      <c r="AO828" s="89"/>
      <c r="AP828" s="89"/>
      <c r="AQ828" s="89"/>
      <c r="AR828" s="89"/>
      <c r="AS828" s="89"/>
      <c r="AT828" s="89"/>
      <c r="AU828" s="89"/>
      <c r="AV828" s="89"/>
      <c r="AW828" s="89"/>
      <c r="AX828" s="89"/>
      <c r="AY828" s="89"/>
      <c r="AZ828" s="89"/>
      <c r="BA828" s="95"/>
    </row>
    <row r="829" spans="1:53" s="87" customFormat="1">
      <c r="A829" s="90" t="str">
        <f t="shared" si="37"/>
        <v/>
      </c>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c r="AA829" s="89"/>
      <c r="AB829" s="89"/>
      <c r="AC829" s="89"/>
      <c r="AD829" s="89"/>
      <c r="AE829" s="89"/>
      <c r="AF829" s="89"/>
      <c r="AG829" s="89"/>
      <c r="AH829" s="89"/>
      <c r="AI829" s="89"/>
      <c r="AJ829" s="89"/>
      <c r="AK829" s="89"/>
      <c r="AL829" s="89"/>
      <c r="AM829" s="89"/>
      <c r="AN829" s="89"/>
      <c r="AO829" s="89"/>
      <c r="AP829" s="89"/>
      <c r="AQ829" s="89"/>
      <c r="AR829" s="89"/>
      <c r="AS829" s="89"/>
      <c r="AT829" s="89"/>
      <c r="AU829" s="89"/>
      <c r="AV829" s="89"/>
      <c r="AW829" s="89"/>
      <c r="AX829" s="89"/>
      <c r="AY829" s="89"/>
      <c r="AZ829" s="89"/>
      <c r="BA829" s="95"/>
    </row>
    <row r="830" spans="1:53" s="87" customFormat="1">
      <c r="A830" s="90" t="str">
        <f t="shared" si="37"/>
        <v/>
      </c>
      <c r="B830" s="89"/>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89"/>
      <c r="AA830" s="89"/>
      <c r="AB830" s="89"/>
      <c r="AC830" s="89"/>
      <c r="AD830" s="89"/>
      <c r="AE830" s="89"/>
      <c r="AF830" s="89"/>
      <c r="AG830" s="89"/>
      <c r="AH830" s="89"/>
      <c r="AI830" s="89"/>
      <c r="AJ830" s="89"/>
      <c r="AK830" s="89"/>
      <c r="AL830" s="89"/>
      <c r="AM830" s="89"/>
      <c r="AN830" s="89"/>
      <c r="AO830" s="89"/>
      <c r="AP830" s="89"/>
      <c r="AQ830" s="89"/>
      <c r="AR830" s="89"/>
      <c r="AS830" s="89"/>
      <c r="AT830" s="89"/>
      <c r="AU830" s="89"/>
      <c r="AV830" s="89"/>
      <c r="AW830" s="89"/>
      <c r="AX830" s="89"/>
      <c r="AY830" s="89"/>
      <c r="AZ830" s="89"/>
      <c r="BA830" s="95"/>
    </row>
    <row r="831" spans="1:53" s="87" customFormat="1">
      <c r="A831" s="90" t="str">
        <f t="shared" si="37"/>
        <v/>
      </c>
      <c r="B831" s="89"/>
      <c r="C831" s="89"/>
      <c r="D831" s="89"/>
      <c r="E831" s="89"/>
      <c r="F831" s="89"/>
      <c r="G831" s="89"/>
      <c r="H831" s="89"/>
      <c r="I831" s="89"/>
      <c r="J831" s="89"/>
      <c r="K831" s="89"/>
      <c r="L831" s="89"/>
      <c r="M831" s="89"/>
      <c r="N831" s="89"/>
      <c r="O831" s="89"/>
      <c r="P831" s="89"/>
      <c r="Q831" s="89"/>
      <c r="R831" s="89"/>
      <c r="S831" s="89"/>
      <c r="T831" s="89"/>
      <c r="U831" s="89"/>
      <c r="V831" s="89"/>
      <c r="W831" s="89"/>
      <c r="X831" s="89"/>
      <c r="Y831" s="89"/>
      <c r="Z831" s="89"/>
      <c r="AA831" s="89"/>
      <c r="AB831" s="89"/>
      <c r="AC831" s="89"/>
      <c r="AD831" s="89"/>
      <c r="AE831" s="89"/>
      <c r="AF831" s="89"/>
      <c r="AG831" s="89"/>
      <c r="AH831" s="89"/>
      <c r="AI831" s="89"/>
      <c r="AJ831" s="89"/>
      <c r="AK831" s="89"/>
      <c r="AL831" s="89"/>
      <c r="AM831" s="89"/>
      <c r="AN831" s="89"/>
      <c r="AO831" s="89"/>
      <c r="AP831" s="89"/>
      <c r="AQ831" s="89"/>
      <c r="AR831" s="89"/>
      <c r="AS831" s="89"/>
      <c r="AT831" s="89"/>
      <c r="AU831" s="89"/>
      <c r="AV831" s="89"/>
      <c r="AW831" s="89"/>
      <c r="AX831" s="89"/>
      <c r="AY831" s="89"/>
      <c r="AZ831" s="89"/>
      <c r="BA831" s="95"/>
    </row>
    <row r="832" spans="1:53" s="87" customFormat="1">
      <c r="A832" s="90" t="str">
        <f t="shared" si="37"/>
        <v/>
      </c>
      <c r="B832" s="89"/>
      <c r="C832" s="89"/>
      <c r="D832" s="89"/>
      <c r="E832" s="89"/>
      <c r="F832" s="89"/>
      <c r="G832" s="89"/>
      <c r="H832" s="89"/>
      <c r="I832" s="89"/>
      <c r="J832" s="89"/>
      <c r="K832" s="89"/>
      <c r="L832" s="89"/>
      <c r="M832" s="89"/>
      <c r="N832" s="89"/>
      <c r="O832" s="89"/>
      <c r="P832" s="89"/>
      <c r="Q832" s="89"/>
      <c r="R832" s="89"/>
      <c r="S832" s="89"/>
      <c r="T832" s="89"/>
      <c r="U832" s="89"/>
      <c r="V832" s="89"/>
      <c r="W832" s="89"/>
      <c r="X832" s="89"/>
      <c r="Y832" s="89"/>
      <c r="Z832" s="89"/>
      <c r="AA832" s="89"/>
      <c r="AB832" s="89"/>
      <c r="AC832" s="89"/>
      <c r="AD832" s="89"/>
      <c r="AE832" s="89"/>
      <c r="AF832" s="89"/>
      <c r="AG832" s="89"/>
      <c r="AH832" s="89"/>
      <c r="AI832" s="89"/>
      <c r="AJ832" s="89"/>
      <c r="AK832" s="89"/>
      <c r="AL832" s="89"/>
      <c r="AM832" s="89"/>
      <c r="AN832" s="89"/>
      <c r="AO832" s="89"/>
      <c r="AP832" s="89"/>
      <c r="AQ832" s="89"/>
      <c r="AR832" s="89"/>
      <c r="AS832" s="89"/>
      <c r="AT832" s="89"/>
      <c r="AU832" s="89"/>
      <c r="AV832" s="89"/>
      <c r="AW832" s="89"/>
      <c r="AX832" s="89"/>
      <c r="AY832" s="89"/>
      <c r="AZ832" s="89"/>
      <c r="BA832" s="95"/>
    </row>
    <row r="833" spans="1:53" s="87" customFormat="1">
      <c r="A833" s="90" t="str">
        <f t="shared" si="37"/>
        <v/>
      </c>
      <c r="B833" s="89"/>
      <c r="C833" s="89"/>
      <c r="D833" s="89"/>
      <c r="E833" s="89"/>
      <c r="F833" s="89"/>
      <c r="G833" s="89"/>
      <c r="H833" s="89"/>
      <c r="I833" s="89"/>
      <c r="J833" s="89"/>
      <c r="K833" s="89"/>
      <c r="L833" s="89"/>
      <c r="M833" s="89"/>
      <c r="N833" s="89"/>
      <c r="O833" s="89"/>
      <c r="P833" s="89"/>
      <c r="Q833" s="89"/>
      <c r="R833" s="89"/>
      <c r="S833" s="89"/>
      <c r="T833" s="89"/>
      <c r="U833" s="89"/>
      <c r="V833" s="89"/>
      <c r="W833" s="89"/>
      <c r="X833" s="89"/>
      <c r="Y833" s="89"/>
      <c r="Z833" s="89"/>
      <c r="AA833" s="89"/>
      <c r="AB833" s="89"/>
      <c r="AC833" s="89"/>
      <c r="AD833" s="89"/>
      <c r="AE833" s="89"/>
      <c r="AF833" s="89"/>
      <c r="AG833" s="89"/>
      <c r="AH833" s="89"/>
      <c r="AI833" s="89"/>
      <c r="AJ833" s="89"/>
      <c r="AK833" s="89"/>
      <c r="AL833" s="89"/>
      <c r="AM833" s="89"/>
      <c r="AN833" s="89"/>
      <c r="AO833" s="89"/>
      <c r="AP833" s="89"/>
      <c r="AQ833" s="89"/>
      <c r="AR833" s="89"/>
      <c r="AS833" s="89"/>
      <c r="AT833" s="89"/>
      <c r="AU833" s="89"/>
      <c r="AV833" s="89"/>
      <c r="AW833" s="89"/>
      <c r="AX833" s="89"/>
      <c r="AY833" s="89"/>
      <c r="AZ833" s="89"/>
      <c r="BA833" s="95"/>
    </row>
    <row r="834" spans="1:53" s="87" customFormat="1">
      <c r="A834" s="90" t="str">
        <f t="shared" si="37"/>
        <v/>
      </c>
      <c r="B834" s="89"/>
      <c r="C834" s="89"/>
      <c r="D834" s="89"/>
      <c r="E834" s="89"/>
      <c r="F834" s="89"/>
      <c r="G834" s="89"/>
      <c r="H834" s="89"/>
      <c r="I834" s="89"/>
      <c r="J834" s="89"/>
      <c r="K834" s="89"/>
      <c r="L834" s="89"/>
      <c r="M834" s="89"/>
      <c r="N834" s="89"/>
      <c r="O834" s="89"/>
      <c r="P834" s="89"/>
      <c r="Q834" s="89"/>
      <c r="R834" s="89"/>
      <c r="S834" s="89"/>
      <c r="T834" s="89"/>
      <c r="U834" s="89"/>
      <c r="V834" s="89"/>
      <c r="W834" s="89"/>
      <c r="X834" s="89"/>
      <c r="Y834" s="89"/>
      <c r="Z834" s="89"/>
      <c r="AA834" s="89"/>
      <c r="AB834" s="89"/>
      <c r="AC834" s="89"/>
      <c r="AD834" s="89"/>
      <c r="AE834" s="89"/>
      <c r="AF834" s="89"/>
      <c r="AG834" s="89"/>
      <c r="AH834" s="89"/>
      <c r="AI834" s="89"/>
      <c r="AJ834" s="89"/>
      <c r="AK834" s="89"/>
      <c r="AL834" s="89"/>
      <c r="AM834" s="89"/>
      <c r="AN834" s="89"/>
      <c r="AO834" s="89"/>
      <c r="AP834" s="89"/>
      <c r="AQ834" s="89"/>
      <c r="AR834" s="89"/>
      <c r="AS834" s="89"/>
      <c r="AT834" s="89"/>
      <c r="AU834" s="89"/>
      <c r="AV834" s="89"/>
      <c r="AW834" s="89"/>
      <c r="AX834" s="89"/>
      <c r="AY834" s="89"/>
      <c r="AZ834" s="89"/>
      <c r="BA834" s="95"/>
    </row>
    <row r="835" spans="1:53" s="87" customFormat="1">
      <c r="A835" s="90" t="str">
        <f t="shared" si="37"/>
        <v/>
      </c>
      <c r="B835" s="89"/>
      <c r="C835" s="89"/>
      <c r="D835" s="89"/>
      <c r="E835" s="89"/>
      <c r="F835" s="89"/>
      <c r="G835" s="89"/>
      <c r="H835" s="89"/>
      <c r="I835" s="89"/>
      <c r="J835" s="89"/>
      <c r="K835" s="89"/>
      <c r="L835" s="89"/>
      <c r="M835" s="89"/>
      <c r="N835" s="89"/>
      <c r="O835" s="89"/>
      <c r="P835" s="89"/>
      <c r="Q835" s="89"/>
      <c r="R835" s="89"/>
      <c r="S835" s="89"/>
      <c r="T835" s="89"/>
      <c r="U835" s="89"/>
      <c r="V835" s="89"/>
      <c r="W835" s="89"/>
      <c r="X835" s="89"/>
      <c r="Y835" s="89"/>
      <c r="Z835" s="89"/>
      <c r="AA835" s="89"/>
      <c r="AB835" s="89"/>
      <c r="AC835" s="89"/>
      <c r="AD835" s="89"/>
      <c r="AE835" s="89"/>
      <c r="AF835" s="89"/>
      <c r="AG835" s="89"/>
      <c r="AH835" s="89"/>
      <c r="AI835" s="89"/>
      <c r="AJ835" s="89"/>
      <c r="AK835" s="89"/>
      <c r="AL835" s="89"/>
      <c r="AM835" s="89"/>
      <c r="AN835" s="89"/>
      <c r="AO835" s="89"/>
      <c r="AP835" s="89"/>
      <c r="AQ835" s="89"/>
      <c r="AR835" s="89"/>
      <c r="AS835" s="89"/>
      <c r="AT835" s="89"/>
      <c r="AU835" s="89"/>
      <c r="AV835" s="89"/>
      <c r="AW835" s="89"/>
      <c r="AX835" s="89"/>
      <c r="AY835" s="89"/>
      <c r="AZ835" s="89"/>
      <c r="BA835" s="95"/>
    </row>
    <row r="836" spans="1:53" s="87" customFormat="1">
      <c r="A836" s="90" t="str">
        <f t="shared" si="37"/>
        <v/>
      </c>
      <c r="B836" s="89"/>
      <c r="C836" s="89"/>
      <c r="D836" s="89"/>
      <c r="E836" s="89"/>
      <c r="F836" s="89"/>
      <c r="G836" s="89"/>
      <c r="H836" s="89"/>
      <c r="I836" s="89"/>
      <c r="J836" s="89"/>
      <c r="K836" s="89"/>
      <c r="L836" s="89"/>
      <c r="M836" s="89"/>
      <c r="N836" s="89"/>
      <c r="O836" s="89"/>
      <c r="P836" s="89"/>
      <c r="Q836" s="89"/>
      <c r="R836" s="89"/>
      <c r="S836" s="89"/>
      <c r="T836" s="89"/>
      <c r="U836" s="89"/>
      <c r="V836" s="89"/>
      <c r="W836" s="89"/>
      <c r="X836" s="89"/>
      <c r="Y836" s="89"/>
      <c r="Z836" s="89"/>
      <c r="AA836" s="89"/>
      <c r="AB836" s="89"/>
      <c r="AC836" s="89"/>
      <c r="AD836" s="89"/>
      <c r="AE836" s="89"/>
      <c r="AF836" s="89"/>
      <c r="AG836" s="89"/>
      <c r="AH836" s="89"/>
      <c r="AI836" s="89"/>
      <c r="AJ836" s="89"/>
      <c r="AK836" s="89"/>
      <c r="AL836" s="89"/>
      <c r="AM836" s="89"/>
      <c r="AN836" s="89"/>
      <c r="AO836" s="89"/>
      <c r="AP836" s="89"/>
      <c r="AQ836" s="89"/>
      <c r="AR836" s="89"/>
      <c r="AS836" s="89"/>
      <c r="AT836" s="89"/>
      <c r="AU836" s="89"/>
      <c r="AV836" s="89"/>
      <c r="AW836" s="89"/>
      <c r="AX836" s="89"/>
      <c r="AY836" s="89"/>
      <c r="AZ836" s="89"/>
      <c r="BA836" s="95"/>
    </row>
    <row r="837" spans="1:53" s="87" customFormat="1">
      <c r="A837" s="90" t="str">
        <f t="shared" si="37"/>
        <v/>
      </c>
      <c r="B837" s="89"/>
      <c r="C837" s="89"/>
      <c r="D837" s="89"/>
      <c r="E837" s="89"/>
      <c r="F837" s="89"/>
      <c r="G837" s="89"/>
      <c r="H837" s="89"/>
      <c r="I837" s="89"/>
      <c r="J837" s="89"/>
      <c r="K837" s="89"/>
      <c r="L837" s="89"/>
      <c r="M837" s="89"/>
      <c r="N837" s="89"/>
      <c r="O837" s="89"/>
      <c r="P837" s="89"/>
      <c r="Q837" s="89"/>
      <c r="R837" s="89"/>
      <c r="S837" s="89"/>
      <c r="T837" s="89"/>
      <c r="U837" s="89"/>
      <c r="V837" s="89"/>
      <c r="W837" s="89"/>
      <c r="X837" s="89"/>
      <c r="Y837" s="89"/>
      <c r="Z837" s="89"/>
      <c r="AA837" s="89"/>
      <c r="AB837" s="89"/>
      <c r="AC837" s="89"/>
      <c r="AD837" s="89"/>
      <c r="AE837" s="89"/>
      <c r="AF837" s="89"/>
      <c r="AG837" s="89"/>
      <c r="AH837" s="89"/>
      <c r="AI837" s="89"/>
      <c r="AJ837" s="89"/>
      <c r="AK837" s="89"/>
      <c r="AL837" s="89"/>
      <c r="AM837" s="89"/>
      <c r="AN837" s="89"/>
      <c r="AO837" s="89"/>
      <c r="AP837" s="89"/>
      <c r="AQ837" s="89"/>
      <c r="AR837" s="89"/>
      <c r="AS837" s="89"/>
      <c r="AT837" s="89"/>
      <c r="AU837" s="89"/>
      <c r="AV837" s="89"/>
      <c r="AW837" s="89"/>
      <c r="AX837" s="89"/>
      <c r="AY837" s="89"/>
      <c r="AZ837" s="89"/>
      <c r="BA837" s="95"/>
    </row>
    <row r="838" spans="1:53" s="87" customFormat="1">
      <c r="A838" s="90" t="str">
        <f t="shared" si="37"/>
        <v/>
      </c>
      <c r="B838" s="89"/>
      <c r="C838" s="89"/>
      <c r="D838" s="89"/>
      <c r="E838" s="89"/>
      <c r="F838" s="89"/>
      <c r="G838" s="89"/>
      <c r="H838" s="89"/>
      <c r="I838" s="89"/>
      <c r="J838" s="89"/>
      <c r="K838" s="89"/>
      <c r="L838" s="89"/>
      <c r="M838" s="89"/>
      <c r="N838" s="89"/>
      <c r="O838" s="89"/>
      <c r="P838" s="89"/>
      <c r="Q838" s="89"/>
      <c r="R838" s="89"/>
      <c r="S838" s="89"/>
      <c r="T838" s="89"/>
      <c r="U838" s="89"/>
      <c r="V838" s="89"/>
      <c r="W838" s="89"/>
      <c r="X838" s="89"/>
      <c r="Y838" s="89"/>
      <c r="Z838" s="89"/>
      <c r="AA838" s="89"/>
      <c r="AB838" s="89"/>
      <c r="AC838" s="89"/>
      <c r="AD838" s="89"/>
      <c r="AE838" s="89"/>
      <c r="AF838" s="89"/>
      <c r="AG838" s="89"/>
      <c r="AH838" s="89"/>
      <c r="AI838" s="89"/>
      <c r="AJ838" s="89"/>
      <c r="AK838" s="89"/>
      <c r="AL838" s="89"/>
      <c r="AM838" s="89"/>
      <c r="AN838" s="89"/>
      <c r="AO838" s="89"/>
      <c r="AP838" s="89"/>
      <c r="AQ838" s="89"/>
      <c r="AR838" s="89"/>
      <c r="AS838" s="89"/>
      <c r="AT838" s="89"/>
      <c r="AU838" s="89"/>
      <c r="AV838" s="89"/>
      <c r="AW838" s="89"/>
      <c r="AX838" s="89"/>
      <c r="AY838" s="89"/>
      <c r="AZ838" s="89"/>
      <c r="BA838" s="95"/>
    </row>
    <row r="839" spans="1:53" s="87" customFormat="1">
      <c r="A839" s="90" t="str">
        <f t="shared" si="37"/>
        <v/>
      </c>
      <c r="B839" s="89"/>
      <c r="C839" s="89"/>
      <c r="D839" s="89"/>
      <c r="E839" s="89"/>
      <c r="F839" s="89"/>
      <c r="G839" s="89"/>
      <c r="H839" s="89"/>
      <c r="I839" s="89"/>
      <c r="J839" s="89"/>
      <c r="K839" s="89"/>
      <c r="L839" s="89"/>
      <c r="M839" s="89"/>
      <c r="N839" s="89"/>
      <c r="O839" s="89"/>
      <c r="P839" s="89"/>
      <c r="Q839" s="89"/>
      <c r="R839" s="89"/>
      <c r="S839" s="89"/>
      <c r="T839" s="89"/>
      <c r="U839" s="89"/>
      <c r="V839" s="89"/>
      <c r="W839" s="89"/>
      <c r="X839" s="89"/>
      <c r="Y839" s="89"/>
      <c r="Z839" s="89"/>
      <c r="AA839" s="89"/>
      <c r="AB839" s="89"/>
      <c r="AC839" s="89"/>
      <c r="AD839" s="89"/>
      <c r="AE839" s="89"/>
      <c r="AF839" s="89"/>
      <c r="AG839" s="89"/>
      <c r="AH839" s="89"/>
      <c r="AI839" s="89"/>
      <c r="AJ839" s="89"/>
      <c r="AK839" s="89"/>
      <c r="AL839" s="89"/>
      <c r="AM839" s="89"/>
      <c r="AN839" s="89"/>
      <c r="AO839" s="89"/>
      <c r="AP839" s="89"/>
      <c r="AQ839" s="89"/>
      <c r="AR839" s="89"/>
      <c r="AS839" s="89"/>
      <c r="AT839" s="89"/>
      <c r="AU839" s="89"/>
      <c r="AV839" s="89"/>
      <c r="AW839" s="89"/>
      <c r="AX839" s="89"/>
      <c r="AY839" s="89"/>
      <c r="AZ839" s="89"/>
      <c r="BA839" s="95"/>
    </row>
    <row r="840" spans="1:53" s="87" customFormat="1">
      <c r="A840" s="90" t="str">
        <f t="shared" si="37"/>
        <v/>
      </c>
      <c r="B840" s="89"/>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c r="AA840" s="89"/>
      <c r="AB840" s="89"/>
      <c r="AC840" s="89"/>
      <c r="AD840" s="89"/>
      <c r="AE840" s="89"/>
      <c r="AF840" s="89"/>
      <c r="AG840" s="89"/>
      <c r="AH840" s="89"/>
      <c r="AI840" s="89"/>
      <c r="AJ840" s="89"/>
      <c r="AK840" s="89"/>
      <c r="AL840" s="89"/>
      <c r="AM840" s="89"/>
      <c r="AN840" s="89"/>
      <c r="AO840" s="89"/>
      <c r="AP840" s="89"/>
      <c r="AQ840" s="89"/>
      <c r="AR840" s="89"/>
      <c r="AS840" s="89"/>
      <c r="AT840" s="89"/>
      <c r="AU840" s="89"/>
      <c r="AV840" s="89"/>
      <c r="AW840" s="89"/>
      <c r="AX840" s="89"/>
      <c r="AY840" s="89"/>
      <c r="AZ840" s="89"/>
      <c r="BA840" s="95"/>
    </row>
    <row r="841" spans="1:53" s="87" customFormat="1">
      <c r="A841" s="90" t="str">
        <f t="shared" si="37"/>
        <v/>
      </c>
      <c r="B841" s="89"/>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c r="AA841" s="89"/>
      <c r="AB841" s="89"/>
      <c r="AC841" s="89"/>
      <c r="AD841" s="89"/>
      <c r="AE841" s="89"/>
      <c r="AF841" s="89"/>
      <c r="AG841" s="89"/>
      <c r="AH841" s="89"/>
      <c r="AI841" s="89"/>
      <c r="AJ841" s="89"/>
      <c r="AK841" s="89"/>
      <c r="AL841" s="89"/>
      <c r="AM841" s="89"/>
      <c r="AN841" s="89"/>
      <c r="AO841" s="89"/>
      <c r="AP841" s="89"/>
      <c r="AQ841" s="89"/>
      <c r="AR841" s="89"/>
      <c r="AS841" s="89"/>
      <c r="AT841" s="89"/>
      <c r="AU841" s="89"/>
      <c r="AV841" s="89"/>
      <c r="AW841" s="89"/>
      <c r="AX841" s="89"/>
      <c r="AY841" s="89"/>
      <c r="AZ841" s="89"/>
      <c r="BA841" s="95"/>
    </row>
    <row r="842" spans="1:53" s="87" customFormat="1">
      <c r="A842" s="90" t="str">
        <f t="shared" si="37"/>
        <v/>
      </c>
      <c r="B842" s="89"/>
      <c r="C842" s="89"/>
      <c r="D842" s="89"/>
      <c r="E842" s="89"/>
      <c r="F842" s="89"/>
      <c r="G842" s="89"/>
      <c r="H842" s="89"/>
      <c r="I842" s="89"/>
      <c r="J842" s="89"/>
      <c r="K842" s="89"/>
      <c r="L842" s="89"/>
      <c r="M842" s="89"/>
      <c r="N842" s="89"/>
      <c r="O842" s="89"/>
      <c r="P842" s="89"/>
      <c r="Q842" s="89"/>
      <c r="R842" s="89"/>
      <c r="S842" s="89"/>
      <c r="T842" s="89"/>
      <c r="U842" s="89"/>
      <c r="V842" s="89"/>
      <c r="W842" s="89"/>
      <c r="X842" s="89"/>
      <c r="Y842" s="89"/>
      <c r="Z842" s="89"/>
      <c r="AA842" s="89"/>
      <c r="AB842" s="89"/>
      <c r="AC842" s="89"/>
      <c r="AD842" s="89"/>
      <c r="AE842" s="89"/>
      <c r="AF842" s="89"/>
      <c r="AG842" s="89"/>
      <c r="AH842" s="89"/>
      <c r="AI842" s="89"/>
      <c r="AJ842" s="89"/>
      <c r="AK842" s="89"/>
      <c r="AL842" s="89"/>
      <c r="AM842" s="89"/>
      <c r="AN842" s="89"/>
      <c r="AO842" s="89"/>
      <c r="AP842" s="89"/>
      <c r="AQ842" s="89"/>
      <c r="AR842" s="89"/>
      <c r="AS842" s="89"/>
      <c r="AT842" s="89"/>
      <c r="AU842" s="89"/>
      <c r="AV842" s="89"/>
      <c r="AW842" s="89"/>
      <c r="AX842" s="89"/>
      <c r="AY842" s="89"/>
      <c r="AZ842" s="89"/>
      <c r="BA842" s="95"/>
    </row>
    <row r="843" spans="1:53" s="87" customFormat="1">
      <c r="A843" s="90" t="str">
        <f t="shared" si="37"/>
        <v/>
      </c>
      <c r="B843" s="89"/>
      <c r="C843" s="89"/>
      <c r="D843" s="89"/>
      <c r="E843" s="89"/>
      <c r="F843" s="89"/>
      <c r="G843" s="89"/>
      <c r="H843" s="89"/>
      <c r="I843" s="89"/>
      <c r="J843" s="89"/>
      <c r="K843" s="89"/>
      <c r="L843" s="89"/>
      <c r="M843" s="89"/>
      <c r="N843" s="89"/>
      <c r="O843" s="89"/>
      <c r="P843" s="89"/>
      <c r="Q843" s="89"/>
      <c r="R843" s="89"/>
      <c r="S843" s="89"/>
      <c r="T843" s="89"/>
      <c r="U843" s="89"/>
      <c r="V843" s="89"/>
      <c r="W843" s="89"/>
      <c r="X843" s="89"/>
      <c r="Y843" s="89"/>
      <c r="Z843" s="89"/>
      <c r="AA843" s="89"/>
      <c r="AB843" s="89"/>
      <c r="AC843" s="89"/>
      <c r="AD843" s="89"/>
      <c r="AE843" s="89"/>
      <c r="AF843" s="89"/>
      <c r="AG843" s="89"/>
      <c r="AH843" s="89"/>
      <c r="AI843" s="89"/>
      <c r="AJ843" s="89"/>
      <c r="AK843" s="89"/>
      <c r="AL843" s="89"/>
      <c r="AM843" s="89"/>
      <c r="AN843" s="89"/>
      <c r="AO843" s="89"/>
      <c r="AP843" s="89"/>
      <c r="AQ843" s="89"/>
      <c r="AR843" s="89"/>
      <c r="AS843" s="89"/>
      <c r="AT843" s="89"/>
      <c r="AU843" s="89"/>
      <c r="AV843" s="89"/>
      <c r="AW843" s="89"/>
      <c r="AX843" s="89"/>
      <c r="AY843" s="89"/>
      <c r="AZ843" s="89"/>
      <c r="BA843" s="95"/>
    </row>
    <row r="844" spans="1:53" s="87" customFormat="1">
      <c r="A844" s="90" t="str">
        <f t="shared" ref="A844:A907" si="38">IF(MID(B844,3,2)="10",ROW(),"")</f>
        <v/>
      </c>
      <c r="B844" s="89"/>
      <c r="C844" s="89"/>
      <c r="D844" s="89"/>
      <c r="E844" s="89"/>
      <c r="F844" s="89"/>
      <c r="G844" s="89"/>
      <c r="H844" s="89"/>
      <c r="I844" s="89"/>
      <c r="J844" s="89"/>
      <c r="K844" s="89"/>
      <c r="L844" s="89"/>
      <c r="M844" s="89"/>
      <c r="N844" s="89"/>
      <c r="O844" s="89"/>
      <c r="P844" s="89"/>
      <c r="Q844" s="89"/>
      <c r="R844" s="89"/>
      <c r="S844" s="89"/>
      <c r="T844" s="89"/>
      <c r="U844" s="89"/>
      <c r="V844" s="89"/>
      <c r="W844" s="89"/>
      <c r="X844" s="89"/>
      <c r="Y844" s="89"/>
      <c r="Z844" s="89"/>
      <c r="AA844" s="89"/>
      <c r="AB844" s="89"/>
      <c r="AC844" s="89"/>
      <c r="AD844" s="89"/>
      <c r="AE844" s="89"/>
      <c r="AF844" s="89"/>
      <c r="AG844" s="89"/>
      <c r="AH844" s="89"/>
      <c r="AI844" s="89"/>
      <c r="AJ844" s="89"/>
      <c r="AK844" s="89"/>
      <c r="AL844" s="89"/>
      <c r="AM844" s="89"/>
      <c r="AN844" s="89"/>
      <c r="AO844" s="89"/>
      <c r="AP844" s="89"/>
      <c r="AQ844" s="89"/>
      <c r="AR844" s="89"/>
      <c r="AS844" s="89"/>
      <c r="AT844" s="89"/>
      <c r="AU844" s="89"/>
      <c r="AV844" s="89"/>
      <c r="AW844" s="89"/>
      <c r="AX844" s="89"/>
      <c r="AY844" s="89"/>
      <c r="AZ844" s="89"/>
      <c r="BA844" s="95"/>
    </row>
    <row r="845" spans="1:53" s="87" customFormat="1">
      <c r="A845" s="90" t="str">
        <f t="shared" si="38"/>
        <v/>
      </c>
      <c r="B845" s="89"/>
      <c r="C845" s="89"/>
      <c r="D845" s="89"/>
      <c r="E845" s="89"/>
      <c r="F845" s="89"/>
      <c r="G845" s="89"/>
      <c r="H845" s="89"/>
      <c r="I845" s="89"/>
      <c r="J845" s="89"/>
      <c r="K845" s="89"/>
      <c r="L845" s="89"/>
      <c r="M845" s="89"/>
      <c r="N845" s="89"/>
      <c r="O845" s="89"/>
      <c r="P845" s="89"/>
      <c r="Q845" s="89"/>
      <c r="R845" s="89"/>
      <c r="S845" s="89"/>
      <c r="T845" s="89"/>
      <c r="U845" s="89"/>
      <c r="V845" s="89"/>
      <c r="W845" s="89"/>
      <c r="X845" s="89"/>
      <c r="Y845" s="89"/>
      <c r="Z845" s="89"/>
      <c r="AA845" s="89"/>
      <c r="AB845" s="89"/>
      <c r="AC845" s="89"/>
      <c r="AD845" s="89"/>
      <c r="AE845" s="89"/>
      <c r="AF845" s="89"/>
      <c r="AG845" s="89"/>
      <c r="AH845" s="89"/>
      <c r="AI845" s="89"/>
      <c r="AJ845" s="89"/>
      <c r="AK845" s="89"/>
      <c r="AL845" s="89"/>
      <c r="AM845" s="89"/>
      <c r="AN845" s="89"/>
      <c r="AO845" s="89"/>
      <c r="AP845" s="89"/>
      <c r="AQ845" s="89"/>
      <c r="AR845" s="89"/>
      <c r="AS845" s="89"/>
      <c r="AT845" s="89"/>
      <c r="AU845" s="89"/>
      <c r="AV845" s="89"/>
      <c r="AW845" s="89"/>
      <c r="AX845" s="89"/>
      <c r="AY845" s="89"/>
      <c r="AZ845" s="89"/>
      <c r="BA845" s="95"/>
    </row>
    <row r="846" spans="1:53" s="87" customFormat="1">
      <c r="A846" s="90" t="str">
        <f t="shared" si="38"/>
        <v/>
      </c>
      <c r="B846" s="89"/>
      <c r="C846" s="89"/>
      <c r="D846" s="89"/>
      <c r="E846" s="89"/>
      <c r="F846" s="89"/>
      <c r="G846" s="89"/>
      <c r="H846" s="89"/>
      <c r="I846" s="89"/>
      <c r="J846" s="89"/>
      <c r="K846" s="89"/>
      <c r="L846" s="89"/>
      <c r="M846" s="89"/>
      <c r="N846" s="89"/>
      <c r="O846" s="89"/>
      <c r="P846" s="89"/>
      <c r="Q846" s="89"/>
      <c r="R846" s="89"/>
      <c r="S846" s="89"/>
      <c r="T846" s="89"/>
      <c r="U846" s="89"/>
      <c r="V846" s="89"/>
      <c r="W846" s="89"/>
      <c r="X846" s="89"/>
      <c r="Y846" s="89"/>
      <c r="Z846" s="89"/>
      <c r="AA846" s="89"/>
      <c r="AB846" s="89"/>
      <c r="AC846" s="89"/>
      <c r="AD846" s="89"/>
      <c r="AE846" s="89"/>
      <c r="AF846" s="89"/>
      <c r="AG846" s="89"/>
      <c r="AH846" s="89"/>
      <c r="AI846" s="89"/>
      <c r="AJ846" s="89"/>
      <c r="AK846" s="89"/>
      <c r="AL846" s="89"/>
      <c r="AM846" s="89"/>
      <c r="AN846" s="89"/>
      <c r="AO846" s="89"/>
      <c r="AP846" s="89"/>
      <c r="AQ846" s="89"/>
      <c r="AR846" s="89"/>
      <c r="AS846" s="89"/>
      <c r="AT846" s="89"/>
      <c r="AU846" s="89"/>
      <c r="AV846" s="89"/>
      <c r="AW846" s="89"/>
      <c r="AX846" s="89"/>
      <c r="AY846" s="89"/>
      <c r="AZ846" s="89"/>
      <c r="BA846" s="95"/>
    </row>
    <row r="847" spans="1:53" s="87" customFormat="1">
      <c r="A847" s="90" t="str">
        <f t="shared" si="38"/>
        <v/>
      </c>
      <c r="B847" s="89"/>
      <c r="C847" s="89"/>
      <c r="D847" s="89"/>
      <c r="E847" s="89"/>
      <c r="F847" s="89"/>
      <c r="G847" s="89"/>
      <c r="H847" s="89"/>
      <c r="I847" s="89"/>
      <c r="J847" s="89"/>
      <c r="K847" s="89"/>
      <c r="L847" s="89"/>
      <c r="M847" s="89"/>
      <c r="N847" s="89"/>
      <c r="O847" s="89"/>
      <c r="P847" s="89"/>
      <c r="Q847" s="89"/>
      <c r="R847" s="89"/>
      <c r="S847" s="89"/>
      <c r="T847" s="89"/>
      <c r="U847" s="89"/>
      <c r="V847" s="89"/>
      <c r="W847" s="89"/>
      <c r="X847" s="89"/>
      <c r="Y847" s="89"/>
      <c r="Z847" s="89"/>
      <c r="AA847" s="89"/>
      <c r="AB847" s="89"/>
      <c r="AC847" s="89"/>
      <c r="AD847" s="89"/>
      <c r="AE847" s="89"/>
      <c r="AF847" s="89"/>
      <c r="AG847" s="89"/>
      <c r="AH847" s="89"/>
      <c r="AI847" s="89"/>
      <c r="AJ847" s="89"/>
      <c r="AK847" s="89"/>
      <c r="AL847" s="89"/>
      <c r="AM847" s="89"/>
      <c r="AN847" s="89"/>
      <c r="AO847" s="89"/>
      <c r="AP847" s="89"/>
      <c r="AQ847" s="89"/>
      <c r="AR847" s="89"/>
      <c r="AS847" s="89"/>
      <c r="AT847" s="89"/>
      <c r="AU847" s="89"/>
      <c r="AV847" s="89"/>
      <c r="AW847" s="89"/>
      <c r="AX847" s="89"/>
      <c r="AY847" s="89"/>
      <c r="AZ847" s="89"/>
      <c r="BA847" s="95"/>
    </row>
    <row r="848" spans="1:53" s="87" customFormat="1">
      <c r="A848" s="90" t="str">
        <f t="shared" si="38"/>
        <v/>
      </c>
      <c r="B848" s="89"/>
      <c r="C848" s="89"/>
      <c r="D848" s="89"/>
      <c r="E848" s="89"/>
      <c r="F848" s="89"/>
      <c r="G848" s="89"/>
      <c r="H848" s="89"/>
      <c r="I848" s="89"/>
      <c r="J848" s="89"/>
      <c r="K848" s="89"/>
      <c r="L848" s="89"/>
      <c r="M848" s="89"/>
      <c r="N848" s="89"/>
      <c r="O848" s="89"/>
      <c r="P848" s="89"/>
      <c r="Q848" s="89"/>
      <c r="R848" s="89"/>
      <c r="S848" s="89"/>
      <c r="T848" s="89"/>
      <c r="U848" s="89"/>
      <c r="V848" s="89"/>
      <c r="W848" s="89"/>
      <c r="X848" s="89"/>
      <c r="Y848" s="89"/>
      <c r="Z848" s="89"/>
      <c r="AA848" s="89"/>
      <c r="AB848" s="89"/>
      <c r="AC848" s="89"/>
      <c r="AD848" s="89"/>
      <c r="AE848" s="89"/>
      <c r="AF848" s="89"/>
      <c r="AG848" s="89"/>
      <c r="AH848" s="89"/>
      <c r="AI848" s="89"/>
      <c r="AJ848" s="89"/>
      <c r="AK848" s="89"/>
      <c r="AL848" s="89"/>
      <c r="AM848" s="89"/>
      <c r="AN848" s="89"/>
      <c r="AO848" s="89"/>
      <c r="AP848" s="89"/>
      <c r="AQ848" s="89"/>
      <c r="AR848" s="89"/>
      <c r="AS848" s="89"/>
      <c r="AT848" s="89"/>
      <c r="AU848" s="89"/>
      <c r="AV848" s="89"/>
      <c r="AW848" s="89"/>
      <c r="AX848" s="89"/>
      <c r="AY848" s="89"/>
      <c r="AZ848" s="89"/>
      <c r="BA848" s="95"/>
    </row>
    <row r="849" spans="1:53" s="87" customFormat="1">
      <c r="A849" s="90" t="str">
        <f t="shared" si="38"/>
        <v/>
      </c>
      <c r="B849" s="89"/>
      <c r="C849" s="89"/>
      <c r="D849" s="89"/>
      <c r="E849" s="89"/>
      <c r="F849" s="89"/>
      <c r="G849" s="89"/>
      <c r="H849" s="89"/>
      <c r="I849" s="89"/>
      <c r="J849" s="89"/>
      <c r="K849" s="89"/>
      <c r="L849" s="89"/>
      <c r="M849" s="89"/>
      <c r="N849" s="89"/>
      <c r="O849" s="89"/>
      <c r="P849" s="89"/>
      <c r="Q849" s="89"/>
      <c r="R849" s="89"/>
      <c r="S849" s="89"/>
      <c r="T849" s="89"/>
      <c r="U849" s="89"/>
      <c r="V849" s="89"/>
      <c r="W849" s="89"/>
      <c r="X849" s="89"/>
      <c r="Y849" s="89"/>
      <c r="Z849" s="89"/>
      <c r="AA849" s="89"/>
      <c r="AB849" s="89"/>
      <c r="AC849" s="89"/>
      <c r="AD849" s="89"/>
      <c r="AE849" s="89"/>
      <c r="AF849" s="89"/>
      <c r="AG849" s="89"/>
      <c r="AH849" s="89"/>
      <c r="AI849" s="89"/>
      <c r="AJ849" s="89"/>
      <c r="AK849" s="89"/>
      <c r="AL849" s="89"/>
      <c r="AM849" s="89"/>
      <c r="AN849" s="89"/>
      <c r="AO849" s="89"/>
      <c r="AP849" s="89"/>
      <c r="AQ849" s="89"/>
      <c r="AR849" s="89"/>
      <c r="AS849" s="89"/>
      <c r="AT849" s="89"/>
      <c r="AU849" s="89"/>
      <c r="AV849" s="89"/>
      <c r="AW849" s="89"/>
      <c r="AX849" s="89"/>
      <c r="AY849" s="89"/>
      <c r="AZ849" s="89"/>
      <c r="BA849" s="95"/>
    </row>
    <row r="850" spans="1:53" s="87" customFormat="1">
      <c r="A850" s="90" t="str">
        <f t="shared" si="38"/>
        <v/>
      </c>
      <c r="B850" s="89"/>
      <c r="C850" s="89"/>
      <c r="D850" s="89"/>
      <c r="E850" s="89"/>
      <c r="F850" s="89"/>
      <c r="G850" s="89"/>
      <c r="H850" s="89"/>
      <c r="I850" s="89"/>
      <c r="J850" s="89"/>
      <c r="K850" s="89"/>
      <c r="L850" s="89"/>
      <c r="M850" s="89"/>
      <c r="N850" s="89"/>
      <c r="O850" s="89"/>
      <c r="P850" s="89"/>
      <c r="Q850" s="89"/>
      <c r="R850" s="89"/>
      <c r="S850" s="89"/>
      <c r="T850" s="89"/>
      <c r="U850" s="89"/>
      <c r="V850" s="89"/>
      <c r="W850" s="89"/>
      <c r="X850" s="89"/>
      <c r="Y850" s="89"/>
      <c r="Z850" s="89"/>
      <c r="AA850" s="89"/>
      <c r="AB850" s="89"/>
      <c r="AC850" s="89"/>
      <c r="AD850" s="89"/>
      <c r="AE850" s="89"/>
      <c r="AF850" s="89"/>
      <c r="AG850" s="89"/>
      <c r="AH850" s="89"/>
      <c r="AI850" s="89"/>
      <c r="AJ850" s="89"/>
      <c r="AK850" s="89"/>
      <c r="AL850" s="89"/>
      <c r="AM850" s="89"/>
      <c r="AN850" s="89"/>
      <c r="AO850" s="89"/>
      <c r="AP850" s="89"/>
      <c r="AQ850" s="89"/>
      <c r="AR850" s="89"/>
      <c r="AS850" s="89"/>
      <c r="AT850" s="89"/>
      <c r="AU850" s="89"/>
      <c r="AV850" s="89"/>
      <c r="AW850" s="89"/>
      <c r="AX850" s="89"/>
      <c r="AY850" s="89"/>
      <c r="AZ850" s="89"/>
      <c r="BA850" s="95"/>
    </row>
    <row r="851" spans="1:53" s="87" customFormat="1">
      <c r="A851" s="90" t="str">
        <f t="shared" si="38"/>
        <v/>
      </c>
      <c r="B851" s="89"/>
      <c r="C851" s="89"/>
      <c r="D851" s="89"/>
      <c r="E851" s="89"/>
      <c r="F851" s="89"/>
      <c r="G851" s="89"/>
      <c r="H851" s="89"/>
      <c r="I851" s="89"/>
      <c r="J851" s="89"/>
      <c r="K851" s="89"/>
      <c r="L851" s="89"/>
      <c r="M851" s="89"/>
      <c r="N851" s="89"/>
      <c r="O851" s="89"/>
      <c r="P851" s="89"/>
      <c r="Q851" s="89"/>
      <c r="R851" s="89"/>
      <c r="S851" s="89"/>
      <c r="T851" s="89"/>
      <c r="U851" s="89"/>
      <c r="V851" s="89"/>
      <c r="W851" s="89"/>
      <c r="X851" s="89"/>
      <c r="Y851" s="89"/>
      <c r="Z851" s="89"/>
      <c r="AA851" s="89"/>
      <c r="AB851" s="89"/>
      <c r="AC851" s="89"/>
      <c r="AD851" s="89"/>
      <c r="AE851" s="89"/>
      <c r="AF851" s="89"/>
      <c r="AG851" s="89"/>
      <c r="AH851" s="89"/>
      <c r="AI851" s="89"/>
      <c r="AJ851" s="89"/>
      <c r="AK851" s="89"/>
      <c r="AL851" s="89"/>
      <c r="AM851" s="89"/>
      <c r="AN851" s="89"/>
      <c r="AO851" s="89"/>
      <c r="AP851" s="89"/>
      <c r="AQ851" s="89"/>
      <c r="AR851" s="89"/>
      <c r="AS851" s="89"/>
      <c r="AT851" s="89"/>
      <c r="AU851" s="89"/>
      <c r="AV851" s="89"/>
      <c r="AW851" s="89"/>
      <c r="AX851" s="89"/>
      <c r="AY851" s="89"/>
      <c r="AZ851" s="89"/>
      <c r="BA851" s="95"/>
    </row>
    <row r="852" spans="1:53" s="87" customFormat="1">
      <c r="A852" s="90" t="str">
        <f t="shared" si="38"/>
        <v/>
      </c>
      <c r="B852" s="89"/>
      <c r="C852" s="89"/>
      <c r="D852" s="89"/>
      <c r="E852" s="89"/>
      <c r="F852" s="89"/>
      <c r="G852" s="89"/>
      <c r="H852" s="89"/>
      <c r="I852" s="89"/>
      <c r="J852" s="89"/>
      <c r="K852" s="89"/>
      <c r="L852" s="89"/>
      <c r="M852" s="89"/>
      <c r="N852" s="89"/>
      <c r="O852" s="89"/>
      <c r="P852" s="89"/>
      <c r="Q852" s="89"/>
      <c r="R852" s="89"/>
      <c r="S852" s="89"/>
      <c r="T852" s="89"/>
      <c r="U852" s="89"/>
      <c r="V852" s="89"/>
      <c r="W852" s="89"/>
      <c r="X852" s="89"/>
      <c r="Y852" s="89"/>
      <c r="Z852" s="89"/>
      <c r="AA852" s="89"/>
      <c r="AB852" s="89"/>
      <c r="AC852" s="89"/>
      <c r="AD852" s="89"/>
      <c r="AE852" s="89"/>
      <c r="AF852" s="89"/>
      <c r="AG852" s="89"/>
      <c r="AH852" s="89"/>
      <c r="AI852" s="89"/>
      <c r="AJ852" s="89"/>
      <c r="AK852" s="89"/>
      <c r="AL852" s="89"/>
      <c r="AM852" s="89"/>
      <c r="AN852" s="89"/>
      <c r="AO852" s="89"/>
      <c r="AP852" s="89"/>
      <c r="AQ852" s="89"/>
      <c r="AR852" s="89"/>
      <c r="AS852" s="89"/>
      <c r="AT852" s="89"/>
      <c r="AU852" s="89"/>
      <c r="AV852" s="89"/>
      <c r="AW852" s="89"/>
      <c r="AX852" s="89"/>
      <c r="AY852" s="89"/>
      <c r="AZ852" s="89"/>
      <c r="BA852" s="95"/>
    </row>
    <row r="853" spans="1:53" s="87" customFormat="1">
      <c r="A853" s="90" t="str">
        <f t="shared" si="38"/>
        <v/>
      </c>
      <c r="B853" s="89"/>
      <c r="C853" s="89"/>
      <c r="D853" s="89"/>
      <c r="E853" s="89"/>
      <c r="F853" s="89"/>
      <c r="G853" s="89"/>
      <c r="H853" s="89"/>
      <c r="I853" s="89"/>
      <c r="J853" s="89"/>
      <c r="K853" s="89"/>
      <c r="L853" s="89"/>
      <c r="M853" s="89"/>
      <c r="N853" s="89"/>
      <c r="O853" s="89"/>
      <c r="P853" s="89"/>
      <c r="Q853" s="89"/>
      <c r="R853" s="89"/>
      <c r="S853" s="89"/>
      <c r="T853" s="89"/>
      <c r="U853" s="89"/>
      <c r="V853" s="89"/>
      <c r="W853" s="89"/>
      <c r="X853" s="89"/>
      <c r="Y853" s="89"/>
      <c r="Z853" s="89"/>
      <c r="AA853" s="89"/>
      <c r="AB853" s="89"/>
      <c r="AC853" s="89"/>
      <c r="AD853" s="89"/>
      <c r="AE853" s="89"/>
      <c r="AF853" s="89"/>
      <c r="AG853" s="89"/>
      <c r="AH853" s="89"/>
      <c r="AI853" s="89"/>
      <c r="AJ853" s="89"/>
      <c r="AK853" s="89"/>
      <c r="AL853" s="89"/>
      <c r="AM853" s="89"/>
      <c r="AN853" s="89"/>
      <c r="AO853" s="89"/>
      <c r="AP853" s="89"/>
      <c r="AQ853" s="89"/>
      <c r="AR853" s="89"/>
      <c r="AS853" s="89"/>
      <c r="AT853" s="89"/>
      <c r="AU853" s="89"/>
      <c r="AV853" s="89"/>
      <c r="AW853" s="89"/>
      <c r="AX853" s="89"/>
      <c r="AY853" s="89"/>
      <c r="AZ853" s="89"/>
      <c r="BA853" s="95"/>
    </row>
    <row r="854" spans="1:53" s="87" customFormat="1">
      <c r="A854" s="90" t="str">
        <f t="shared" si="38"/>
        <v/>
      </c>
      <c r="B854" s="89"/>
      <c r="C854" s="89"/>
      <c r="D854" s="89"/>
      <c r="E854" s="89"/>
      <c r="F854" s="89"/>
      <c r="G854" s="89"/>
      <c r="H854" s="89"/>
      <c r="I854" s="89"/>
      <c r="J854" s="89"/>
      <c r="K854" s="89"/>
      <c r="L854" s="89"/>
      <c r="M854" s="89"/>
      <c r="N854" s="89"/>
      <c r="O854" s="89"/>
      <c r="P854" s="89"/>
      <c r="Q854" s="89"/>
      <c r="R854" s="89"/>
      <c r="S854" s="89"/>
      <c r="T854" s="89"/>
      <c r="U854" s="89"/>
      <c r="V854" s="89"/>
      <c r="W854" s="89"/>
      <c r="X854" s="89"/>
      <c r="Y854" s="89"/>
      <c r="Z854" s="89"/>
      <c r="AA854" s="89"/>
      <c r="AB854" s="89"/>
      <c r="AC854" s="89"/>
      <c r="AD854" s="89"/>
      <c r="AE854" s="89"/>
      <c r="AF854" s="89"/>
      <c r="AG854" s="89"/>
      <c r="AH854" s="89"/>
      <c r="AI854" s="89"/>
      <c r="AJ854" s="89"/>
      <c r="AK854" s="89"/>
      <c r="AL854" s="89"/>
      <c r="AM854" s="89"/>
      <c r="AN854" s="89"/>
      <c r="AO854" s="89"/>
      <c r="AP854" s="89"/>
      <c r="AQ854" s="89"/>
      <c r="AR854" s="89"/>
      <c r="AS854" s="89"/>
      <c r="AT854" s="89"/>
      <c r="AU854" s="89"/>
      <c r="AV854" s="89"/>
      <c r="AW854" s="89"/>
      <c r="AX854" s="89"/>
      <c r="AY854" s="89"/>
      <c r="AZ854" s="89"/>
      <c r="BA854" s="95"/>
    </row>
    <row r="855" spans="1:53" s="87" customFormat="1">
      <c r="A855" s="90" t="str">
        <f t="shared" si="38"/>
        <v/>
      </c>
      <c r="B855" s="89"/>
      <c r="C855" s="89"/>
      <c r="D855" s="89"/>
      <c r="E855" s="89"/>
      <c r="F855" s="89"/>
      <c r="G855" s="89"/>
      <c r="H855" s="89"/>
      <c r="I855" s="89"/>
      <c r="J855" s="89"/>
      <c r="K855" s="89"/>
      <c r="L855" s="89"/>
      <c r="M855" s="89"/>
      <c r="N855" s="89"/>
      <c r="O855" s="89"/>
      <c r="P855" s="89"/>
      <c r="Q855" s="89"/>
      <c r="R855" s="89"/>
      <c r="S855" s="89"/>
      <c r="T855" s="89"/>
      <c r="U855" s="89"/>
      <c r="V855" s="89"/>
      <c r="W855" s="89"/>
      <c r="X855" s="89"/>
      <c r="Y855" s="89"/>
      <c r="Z855" s="89"/>
      <c r="AA855" s="89"/>
      <c r="AB855" s="89"/>
      <c r="AC855" s="89"/>
      <c r="AD855" s="89"/>
      <c r="AE855" s="89"/>
      <c r="AF855" s="89"/>
      <c r="AG855" s="89"/>
      <c r="AH855" s="89"/>
      <c r="AI855" s="89"/>
      <c r="AJ855" s="89"/>
      <c r="AK855" s="89"/>
      <c r="AL855" s="89"/>
      <c r="AM855" s="89"/>
      <c r="AN855" s="89"/>
      <c r="AO855" s="89"/>
      <c r="AP855" s="89"/>
      <c r="AQ855" s="89"/>
      <c r="AR855" s="89"/>
      <c r="AS855" s="89"/>
      <c r="AT855" s="89"/>
      <c r="AU855" s="89"/>
      <c r="AV855" s="89"/>
      <c r="AW855" s="89"/>
      <c r="AX855" s="89"/>
      <c r="AY855" s="89"/>
      <c r="AZ855" s="89"/>
      <c r="BA855" s="95"/>
    </row>
    <row r="856" spans="1:53" s="87" customFormat="1">
      <c r="A856" s="90" t="str">
        <f t="shared" si="38"/>
        <v/>
      </c>
      <c r="B856" s="89"/>
      <c r="C856" s="89"/>
      <c r="D856" s="89"/>
      <c r="E856" s="89"/>
      <c r="F856" s="89"/>
      <c r="G856" s="89"/>
      <c r="H856" s="89"/>
      <c r="I856" s="89"/>
      <c r="J856" s="89"/>
      <c r="K856" s="89"/>
      <c r="L856" s="89"/>
      <c r="M856" s="89"/>
      <c r="N856" s="89"/>
      <c r="O856" s="89"/>
      <c r="P856" s="89"/>
      <c r="Q856" s="89"/>
      <c r="R856" s="89"/>
      <c r="S856" s="89"/>
      <c r="T856" s="89"/>
      <c r="U856" s="89"/>
      <c r="V856" s="89"/>
      <c r="W856" s="89"/>
      <c r="X856" s="89"/>
      <c r="Y856" s="89"/>
      <c r="Z856" s="89"/>
      <c r="AA856" s="89"/>
      <c r="AB856" s="89"/>
      <c r="AC856" s="89"/>
      <c r="AD856" s="89"/>
      <c r="AE856" s="89"/>
      <c r="AF856" s="89"/>
      <c r="AG856" s="89"/>
      <c r="AH856" s="89"/>
      <c r="AI856" s="89"/>
      <c r="AJ856" s="89"/>
      <c r="AK856" s="89"/>
      <c r="AL856" s="89"/>
      <c r="AM856" s="89"/>
      <c r="AN856" s="89"/>
      <c r="AO856" s="89"/>
      <c r="AP856" s="89"/>
      <c r="AQ856" s="89"/>
      <c r="AR856" s="89"/>
      <c r="AS856" s="89"/>
      <c r="AT856" s="89"/>
      <c r="AU856" s="89"/>
      <c r="AV856" s="89"/>
      <c r="AW856" s="89"/>
      <c r="AX856" s="89"/>
      <c r="AY856" s="89"/>
      <c r="AZ856" s="89"/>
      <c r="BA856" s="95"/>
    </row>
    <row r="857" spans="1:53" s="87" customFormat="1">
      <c r="A857" s="90" t="str">
        <f t="shared" si="38"/>
        <v/>
      </c>
      <c r="B857" s="89"/>
      <c r="C857" s="89"/>
      <c r="D857" s="89"/>
      <c r="E857" s="89"/>
      <c r="F857" s="89"/>
      <c r="G857" s="89"/>
      <c r="H857" s="89"/>
      <c r="I857" s="89"/>
      <c r="J857" s="89"/>
      <c r="K857" s="89"/>
      <c r="L857" s="89"/>
      <c r="M857" s="89"/>
      <c r="N857" s="89"/>
      <c r="O857" s="89"/>
      <c r="P857" s="89"/>
      <c r="Q857" s="89"/>
      <c r="R857" s="89"/>
      <c r="S857" s="89"/>
      <c r="T857" s="89"/>
      <c r="U857" s="89"/>
      <c r="V857" s="89"/>
      <c r="W857" s="89"/>
      <c r="X857" s="89"/>
      <c r="Y857" s="89"/>
      <c r="Z857" s="89"/>
      <c r="AA857" s="89"/>
      <c r="AB857" s="89"/>
      <c r="AC857" s="89"/>
      <c r="AD857" s="89"/>
      <c r="AE857" s="89"/>
      <c r="AF857" s="89"/>
      <c r="AG857" s="89"/>
      <c r="AH857" s="89"/>
      <c r="AI857" s="89"/>
      <c r="AJ857" s="89"/>
      <c r="AK857" s="89"/>
      <c r="AL857" s="89"/>
      <c r="AM857" s="89"/>
      <c r="AN857" s="89"/>
      <c r="AO857" s="89"/>
      <c r="AP857" s="89"/>
      <c r="AQ857" s="89"/>
      <c r="AR857" s="89"/>
      <c r="AS857" s="89"/>
      <c r="AT857" s="89"/>
      <c r="AU857" s="89"/>
      <c r="AV857" s="89"/>
      <c r="AW857" s="89"/>
      <c r="AX857" s="89"/>
      <c r="AY857" s="89"/>
      <c r="AZ857" s="89"/>
      <c r="BA857" s="95"/>
    </row>
    <row r="858" spans="1:53" s="87" customFormat="1">
      <c r="A858" s="90" t="str">
        <f t="shared" si="38"/>
        <v/>
      </c>
      <c r="B858" s="89"/>
      <c r="C858" s="89"/>
      <c r="D858" s="89"/>
      <c r="E858" s="89"/>
      <c r="F858" s="89"/>
      <c r="G858" s="89"/>
      <c r="H858" s="89"/>
      <c r="I858" s="89"/>
      <c r="J858" s="89"/>
      <c r="K858" s="89"/>
      <c r="L858" s="89"/>
      <c r="M858" s="89"/>
      <c r="N858" s="89"/>
      <c r="O858" s="89"/>
      <c r="P858" s="89"/>
      <c r="Q858" s="89"/>
      <c r="R858" s="89"/>
      <c r="S858" s="89"/>
      <c r="T858" s="89"/>
      <c r="U858" s="89"/>
      <c r="V858" s="89"/>
      <c r="W858" s="89"/>
      <c r="X858" s="89"/>
      <c r="Y858" s="89"/>
      <c r="Z858" s="89"/>
      <c r="AA858" s="89"/>
      <c r="AB858" s="89"/>
      <c r="AC858" s="89"/>
      <c r="AD858" s="89"/>
      <c r="AE858" s="89"/>
      <c r="AF858" s="89"/>
      <c r="AG858" s="89"/>
      <c r="AH858" s="89"/>
      <c r="AI858" s="89"/>
      <c r="AJ858" s="89"/>
      <c r="AK858" s="89"/>
      <c r="AL858" s="89"/>
      <c r="AM858" s="89"/>
      <c r="AN858" s="89"/>
      <c r="AO858" s="89"/>
      <c r="AP858" s="89"/>
      <c r="AQ858" s="89"/>
      <c r="AR858" s="89"/>
      <c r="AS858" s="89"/>
      <c r="AT858" s="89"/>
      <c r="AU858" s="89"/>
      <c r="AV858" s="89"/>
      <c r="AW858" s="89"/>
      <c r="AX858" s="89"/>
      <c r="AY858" s="89"/>
      <c r="AZ858" s="89"/>
      <c r="BA858" s="95"/>
    </row>
    <row r="859" spans="1:53" s="87" customFormat="1">
      <c r="A859" s="90" t="str">
        <f t="shared" si="38"/>
        <v/>
      </c>
      <c r="B859" s="89"/>
      <c r="C859" s="89"/>
      <c r="D859" s="89"/>
      <c r="E859" s="89"/>
      <c r="F859" s="89"/>
      <c r="G859" s="89"/>
      <c r="H859" s="89"/>
      <c r="I859" s="89"/>
      <c r="J859" s="89"/>
      <c r="K859" s="89"/>
      <c r="L859" s="89"/>
      <c r="M859" s="89"/>
      <c r="N859" s="89"/>
      <c r="O859" s="89"/>
      <c r="P859" s="89"/>
      <c r="Q859" s="89"/>
      <c r="R859" s="89"/>
      <c r="S859" s="89"/>
      <c r="T859" s="89"/>
      <c r="U859" s="89"/>
      <c r="V859" s="89"/>
      <c r="W859" s="89"/>
      <c r="X859" s="89"/>
      <c r="Y859" s="89"/>
      <c r="Z859" s="89"/>
      <c r="AA859" s="89"/>
      <c r="AB859" s="89"/>
      <c r="AC859" s="89"/>
      <c r="AD859" s="89"/>
      <c r="AE859" s="89"/>
      <c r="AF859" s="89"/>
      <c r="AG859" s="89"/>
      <c r="AH859" s="89"/>
      <c r="AI859" s="89"/>
      <c r="AJ859" s="89"/>
      <c r="AK859" s="89"/>
      <c r="AL859" s="89"/>
      <c r="AM859" s="89"/>
      <c r="AN859" s="89"/>
      <c r="AO859" s="89"/>
      <c r="AP859" s="89"/>
      <c r="AQ859" s="89"/>
      <c r="AR859" s="89"/>
      <c r="AS859" s="89"/>
      <c r="AT859" s="89"/>
      <c r="AU859" s="89"/>
      <c r="AV859" s="89"/>
      <c r="AW859" s="89"/>
      <c r="AX859" s="89"/>
      <c r="AY859" s="89"/>
      <c r="AZ859" s="89"/>
      <c r="BA859" s="95"/>
    </row>
    <row r="860" spans="1:53" s="87" customFormat="1">
      <c r="A860" s="90" t="str">
        <f t="shared" si="38"/>
        <v/>
      </c>
      <c r="B860" s="89"/>
      <c r="C860" s="89"/>
      <c r="D860" s="89"/>
      <c r="E860" s="89"/>
      <c r="F860" s="89"/>
      <c r="G860" s="89"/>
      <c r="H860" s="89"/>
      <c r="I860" s="89"/>
      <c r="J860" s="89"/>
      <c r="K860" s="89"/>
      <c r="L860" s="89"/>
      <c r="M860" s="89"/>
      <c r="N860" s="89"/>
      <c r="O860" s="89"/>
      <c r="P860" s="89"/>
      <c r="Q860" s="89"/>
      <c r="R860" s="89"/>
      <c r="S860" s="89"/>
      <c r="T860" s="89"/>
      <c r="U860" s="89"/>
      <c r="V860" s="89"/>
      <c r="W860" s="89"/>
      <c r="X860" s="89"/>
      <c r="Y860" s="89"/>
      <c r="Z860" s="89"/>
      <c r="AA860" s="89"/>
      <c r="AB860" s="89"/>
      <c r="AC860" s="89"/>
      <c r="AD860" s="89"/>
      <c r="AE860" s="89"/>
      <c r="AF860" s="89"/>
      <c r="AG860" s="89"/>
      <c r="AH860" s="89"/>
      <c r="AI860" s="89"/>
      <c r="AJ860" s="89"/>
      <c r="AK860" s="89"/>
      <c r="AL860" s="89"/>
      <c r="AM860" s="89"/>
      <c r="AN860" s="89"/>
      <c r="AO860" s="89"/>
      <c r="AP860" s="89"/>
      <c r="AQ860" s="89"/>
      <c r="AR860" s="89"/>
      <c r="AS860" s="89"/>
      <c r="AT860" s="89"/>
      <c r="AU860" s="89"/>
      <c r="AV860" s="89"/>
      <c r="AW860" s="89"/>
      <c r="AX860" s="89"/>
      <c r="AY860" s="89"/>
      <c r="AZ860" s="89"/>
      <c r="BA860" s="95"/>
    </row>
    <row r="861" spans="1:53" s="87" customFormat="1">
      <c r="A861" s="90" t="str">
        <f t="shared" si="38"/>
        <v/>
      </c>
      <c r="B861" s="89"/>
      <c r="C861" s="89"/>
      <c r="D861" s="89"/>
      <c r="E861" s="89"/>
      <c r="F861" s="89"/>
      <c r="G861" s="89"/>
      <c r="H861" s="89"/>
      <c r="I861" s="89"/>
      <c r="J861" s="89"/>
      <c r="K861" s="89"/>
      <c r="L861" s="89"/>
      <c r="M861" s="89"/>
      <c r="N861" s="89"/>
      <c r="O861" s="89"/>
      <c r="P861" s="89"/>
      <c r="Q861" s="89"/>
      <c r="R861" s="89"/>
      <c r="S861" s="89"/>
      <c r="T861" s="89"/>
      <c r="U861" s="89"/>
      <c r="V861" s="89"/>
      <c r="W861" s="89"/>
      <c r="X861" s="89"/>
      <c r="Y861" s="89"/>
      <c r="Z861" s="89"/>
      <c r="AA861" s="89"/>
      <c r="AB861" s="89"/>
      <c r="AC861" s="89"/>
      <c r="AD861" s="89"/>
      <c r="AE861" s="89"/>
      <c r="AF861" s="89"/>
      <c r="AG861" s="89"/>
      <c r="AH861" s="89"/>
      <c r="AI861" s="89"/>
      <c r="AJ861" s="89"/>
      <c r="AK861" s="89"/>
      <c r="AL861" s="89"/>
      <c r="AM861" s="89"/>
      <c r="AN861" s="89"/>
      <c r="AO861" s="89"/>
      <c r="AP861" s="89"/>
      <c r="AQ861" s="89"/>
      <c r="AR861" s="89"/>
      <c r="AS861" s="89"/>
      <c r="AT861" s="89"/>
      <c r="AU861" s="89"/>
      <c r="AV861" s="89"/>
      <c r="AW861" s="89"/>
      <c r="AX861" s="89"/>
      <c r="AY861" s="89"/>
      <c r="AZ861" s="89"/>
      <c r="BA861" s="95"/>
    </row>
    <row r="862" spans="1:53" s="87" customFormat="1">
      <c r="A862" s="90" t="str">
        <f t="shared" si="38"/>
        <v/>
      </c>
      <c r="B862" s="89"/>
      <c r="C862" s="89"/>
      <c r="D862" s="89"/>
      <c r="E862" s="89"/>
      <c r="F862" s="89"/>
      <c r="G862" s="89"/>
      <c r="H862" s="89"/>
      <c r="I862" s="89"/>
      <c r="J862" s="89"/>
      <c r="K862" s="89"/>
      <c r="L862" s="89"/>
      <c r="M862" s="89"/>
      <c r="N862" s="89"/>
      <c r="O862" s="89"/>
      <c r="P862" s="89"/>
      <c r="Q862" s="89"/>
      <c r="R862" s="89"/>
      <c r="S862" s="89"/>
      <c r="T862" s="89"/>
      <c r="U862" s="89"/>
      <c r="V862" s="89"/>
      <c r="W862" s="89"/>
      <c r="X862" s="89"/>
      <c r="Y862" s="89"/>
      <c r="Z862" s="89"/>
      <c r="AA862" s="89"/>
      <c r="AB862" s="89"/>
      <c r="AC862" s="89"/>
      <c r="AD862" s="89"/>
      <c r="AE862" s="89"/>
      <c r="AF862" s="89"/>
      <c r="AG862" s="89"/>
      <c r="AH862" s="89"/>
      <c r="AI862" s="89"/>
      <c r="AJ862" s="89"/>
      <c r="AK862" s="89"/>
      <c r="AL862" s="89"/>
      <c r="AM862" s="89"/>
      <c r="AN862" s="89"/>
      <c r="AO862" s="89"/>
      <c r="AP862" s="89"/>
      <c r="AQ862" s="89"/>
      <c r="AR862" s="89"/>
      <c r="AS862" s="89"/>
      <c r="AT862" s="89"/>
      <c r="AU862" s="89"/>
      <c r="AV862" s="89"/>
      <c r="AW862" s="89"/>
      <c r="AX862" s="89"/>
      <c r="AY862" s="89"/>
      <c r="AZ862" s="89"/>
      <c r="BA862" s="95"/>
    </row>
    <row r="863" spans="1:53" s="87" customFormat="1">
      <c r="A863" s="90" t="str">
        <f t="shared" si="38"/>
        <v/>
      </c>
      <c r="B863" s="89"/>
      <c r="C863" s="89"/>
      <c r="D863" s="89"/>
      <c r="E863" s="89"/>
      <c r="F863" s="89"/>
      <c r="G863" s="89"/>
      <c r="H863" s="89"/>
      <c r="I863" s="89"/>
      <c r="J863" s="89"/>
      <c r="K863" s="89"/>
      <c r="L863" s="89"/>
      <c r="M863" s="89"/>
      <c r="N863" s="89"/>
      <c r="O863" s="89"/>
      <c r="P863" s="89"/>
      <c r="Q863" s="89"/>
      <c r="R863" s="89"/>
      <c r="S863" s="89"/>
      <c r="T863" s="89"/>
      <c r="U863" s="89"/>
      <c r="V863" s="89"/>
      <c r="W863" s="89"/>
      <c r="X863" s="89"/>
      <c r="Y863" s="89"/>
      <c r="Z863" s="89"/>
      <c r="AA863" s="89"/>
      <c r="AB863" s="89"/>
      <c r="AC863" s="89"/>
      <c r="AD863" s="89"/>
      <c r="AE863" s="89"/>
      <c r="AF863" s="89"/>
      <c r="AG863" s="89"/>
      <c r="AH863" s="89"/>
      <c r="AI863" s="89"/>
      <c r="AJ863" s="89"/>
      <c r="AK863" s="89"/>
      <c r="AL863" s="89"/>
      <c r="AM863" s="89"/>
      <c r="AN863" s="89"/>
      <c r="AO863" s="89"/>
      <c r="AP863" s="89"/>
      <c r="AQ863" s="89"/>
      <c r="AR863" s="89"/>
      <c r="AS863" s="89"/>
      <c r="AT863" s="89"/>
      <c r="AU863" s="89"/>
      <c r="AV863" s="89"/>
      <c r="AW863" s="89"/>
      <c r="AX863" s="89"/>
      <c r="AY863" s="89"/>
      <c r="AZ863" s="89"/>
      <c r="BA863" s="95"/>
    </row>
    <row r="864" spans="1:53" s="87" customFormat="1">
      <c r="A864" s="90" t="str">
        <f t="shared" si="38"/>
        <v/>
      </c>
      <c r="B864" s="89"/>
      <c r="C864" s="89"/>
      <c r="D864" s="89"/>
      <c r="E864" s="89"/>
      <c r="F864" s="89"/>
      <c r="G864" s="89"/>
      <c r="H864" s="89"/>
      <c r="I864" s="89"/>
      <c r="J864" s="89"/>
      <c r="K864" s="89"/>
      <c r="L864" s="89"/>
      <c r="M864" s="89"/>
      <c r="N864" s="89"/>
      <c r="O864" s="89"/>
      <c r="P864" s="89"/>
      <c r="Q864" s="89"/>
      <c r="R864" s="89"/>
      <c r="S864" s="89"/>
      <c r="T864" s="89"/>
      <c r="U864" s="89"/>
      <c r="V864" s="89"/>
      <c r="W864" s="89"/>
      <c r="X864" s="89"/>
      <c r="Y864" s="89"/>
      <c r="Z864" s="89"/>
      <c r="AA864" s="89"/>
      <c r="AB864" s="89"/>
      <c r="AC864" s="89"/>
      <c r="AD864" s="89"/>
      <c r="AE864" s="89"/>
      <c r="AF864" s="89"/>
      <c r="AG864" s="89"/>
      <c r="AH864" s="89"/>
      <c r="AI864" s="89"/>
      <c r="AJ864" s="89"/>
      <c r="AK864" s="89"/>
      <c r="AL864" s="89"/>
      <c r="AM864" s="89"/>
      <c r="AN864" s="89"/>
      <c r="AO864" s="89"/>
      <c r="AP864" s="89"/>
      <c r="AQ864" s="89"/>
      <c r="AR864" s="89"/>
      <c r="AS864" s="89"/>
      <c r="AT864" s="89"/>
      <c r="AU864" s="89"/>
      <c r="AV864" s="89"/>
      <c r="AW864" s="89"/>
      <c r="AX864" s="89"/>
      <c r="AY864" s="89"/>
      <c r="AZ864" s="89"/>
      <c r="BA864" s="95"/>
    </row>
    <row r="865" spans="1:53" s="87" customFormat="1">
      <c r="A865" s="90" t="str">
        <f t="shared" si="38"/>
        <v/>
      </c>
      <c r="B865" s="89"/>
      <c r="C865" s="89"/>
      <c r="D865" s="89"/>
      <c r="E865" s="89"/>
      <c r="F865" s="89"/>
      <c r="G865" s="89"/>
      <c r="H865" s="89"/>
      <c r="I865" s="89"/>
      <c r="J865" s="89"/>
      <c r="K865" s="89"/>
      <c r="L865" s="89"/>
      <c r="M865" s="89"/>
      <c r="N865" s="89"/>
      <c r="O865" s="89"/>
      <c r="P865" s="89"/>
      <c r="Q865" s="89"/>
      <c r="R865" s="89"/>
      <c r="S865" s="89"/>
      <c r="T865" s="89"/>
      <c r="U865" s="89"/>
      <c r="V865" s="89"/>
      <c r="W865" s="89"/>
      <c r="X865" s="89"/>
      <c r="Y865" s="89"/>
      <c r="Z865" s="89"/>
      <c r="AA865" s="89"/>
      <c r="AB865" s="89"/>
      <c r="AC865" s="89"/>
      <c r="AD865" s="89"/>
      <c r="AE865" s="89"/>
      <c r="AF865" s="89"/>
      <c r="AG865" s="89"/>
      <c r="AH865" s="89"/>
      <c r="AI865" s="89"/>
      <c r="AJ865" s="89"/>
      <c r="AK865" s="89"/>
      <c r="AL865" s="89"/>
      <c r="AM865" s="89"/>
      <c r="AN865" s="89"/>
      <c r="AO865" s="89"/>
      <c r="AP865" s="89"/>
      <c r="AQ865" s="89"/>
      <c r="AR865" s="89"/>
      <c r="AS865" s="89"/>
      <c r="AT865" s="89"/>
      <c r="AU865" s="89"/>
      <c r="AV865" s="89"/>
      <c r="AW865" s="89"/>
      <c r="AX865" s="89"/>
      <c r="AY865" s="89"/>
      <c r="AZ865" s="89"/>
      <c r="BA865" s="95"/>
    </row>
    <row r="866" spans="1:53" s="87" customFormat="1">
      <c r="A866" s="90" t="str">
        <f t="shared" si="38"/>
        <v/>
      </c>
      <c r="B866" s="89"/>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89"/>
      <c r="AA866" s="89"/>
      <c r="AB866" s="89"/>
      <c r="AC866" s="89"/>
      <c r="AD866" s="89"/>
      <c r="AE866" s="89"/>
      <c r="AF866" s="89"/>
      <c r="AG866" s="89"/>
      <c r="AH866" s="89"/>
      <c r="AI866" s="89"/>
      <c r="AJ866" s="89"/>
      <c r="AK866" s="89"/>
      <c r="AL866" s="89"/>
      <c r="AM866" s="89"/>
      <c r="AN866" s="89"/>
      <c r="AO866" s="89"/>
      <c r="AP866" s="89"/>
      <c r="AQ866" s="89"/>
      <c r="AR866" s="89"/>
      <c r="AS866" s="89"/>
      <c r="AT866" s="89"/>
      <c r="AU866" s="89"/>
      <c r="AV866" s="89"/>
      <c r="AW866" s="89"/>
      <c r="AX866" s="89"/>
      <c r="AY866" s="89"/>
      <c r="AZ866" s="89"/>
      <c r="BA866" s="95"/>
    </row>
    <row r="867" spans="1:53" s="87" customFormat="1">
      <c r="A867" s="90" t="str">
        <f t="shared" si="38"/>
        <v/>
      </c>
      <c r="B867" s="89"/>
      <c r="C867" s="89"/>
      <c r="D867" s="89"/>
      <c r="E867" s="89"/>
      <c r="F867" s="89"/>
      <c r="G867" s="89"/>
      <c r="H867" s="89"/>
      <c r="I867" s="89"/>
      <c r="J867" s="89"/>
      <c r="K867" s="89"/>
      <c r="L867" s="89"/>
      <c r="M867" s="89"/>
      <c r="N867" s="89"/>
      <c r="O867" s="89"/>
      <c r="P867" s="89"/>
      <c r="Q867" s="89"/>
      <c r="R867" s="89"/>
      <c r="S867" s="89"/>
      <c r="T867" s="89"/>
      <c r="U867" s="89"/>
      <c r="V867" s="89"/>
      <c r="W867" s="89"/>
      <c r="X867" s="89"/>
      <c r="Y867" s="89"/>
      <c r="Z867" s="89"/>
      <c r="AA867" s="89"/>
      <c r="AB867" s="89"/>
      <c r="AC867" s="89"/>
      <c r="AD867" s="89"/>
      <c r="AE867" s="89"/>
      <c r="AF867" s="89"/>
      <c r="AG867" s="89"/>
      <c r="AH867" s="89"/>
      <c r="AI867" s="89"/>
      <c r="AJ867" s="89"/>
      <c r="AK867" s="89"/>
      <c r="AL867" s="89"/>
      <c r="AM867" s="89"/>
      <c r="AN867" s="89"/>
      <c r="AO867" s="89"/>
      <c r="AP867" s="89"/>
      <c r="AQ867" s="89"/>
      <c r="AR867" s="89"/>
      <c r="AS867" s="89"/>
      <c r="AT867" s="89"/>
      <c r="AU867" s="89"/>
      <c r="AV867" s="89"/>
      <c r="AW867" s="89"/>
      <c r="AX867" s="89"/>
      <c r="AY867" s="89"/>
      <c r="AZ867" s="89"/>
      <c r="BA867" s="95"/>
    </row>
    <row r="868" spans="1:53" s="87" customFormat="1">
      <c r="A868" s="90" t="str">
        <f t="shared" si="38"/>
        <v/>
      </c>
      <c r="B868" s="89"/>
      <c r="C868" s="89"/>
      <c r="D868" s="89"/>
      <c r="E868" s="89"/>
      <c r="F868" s="89"/>
      <c r="G868" s="89"/>
      <c r="H868" s="89"/>
      <c r="I868" s="89"/>
      <c r="J868" s="89"/>
      <c r="K868" s="89"/>
      <c r="L868" s="89"/>
      <c r="M868" s="89"/>
      <c r="N868" s="89"/>
      <c r="O868" s="89"/>
      <c r="P868" s="89"/>
      <c r="Q868" s="89"/>
      <c r="R868" s="89"/>
      <c r="S868" s="89"/>
      <c r="T868" s="89"/>
      <c r="U868" s="89"/>
      <c r="V868" s="89"/>
      <c r="W868" s="89"/>
      <c r="X868" s="89"/>
      <c r="Y868" s="89"/>
      <c r="Z868" s="89"/>
      <c r="AA868" s="89"/>
      <c r="AB868" s="89"/>
      <c r="AC868" s="89"/>
      <c r="AD868" s="89"/>
      <c r="AE868" s="89"/>
      <c r="AF868" s="89"/>
      <c r="AG868" s="89"/>
      <c r="AH868" s="89"/>
      <c r="AI868" s="89"/>
      <c r="AJ868" s="89"/>
      <c r="AK868" s="89"/>
      <c r="AL868" s="89"/>
      <c r="AM868" s="89"/>
      <c r="AN868" s="89"/>
      <c r="AO868" s="89"/>
      <c r="AP868" s="89"/>
      <c r="AQ868" s="89"/>
      <c r="AR868" s="89"/>
      <c r="AS868" s="89"/>
      <c r="AT868" s="89"/>
      <c r="AU868" s="89"/>
      <c r="AV868" s="89"/>
      <c r="AW868" s="89"/>
      <c r="AX868" s="89"/>
      <c r="AY868" s="89"/>
      <c r="AZ868" s="89"/>
      <c r="BA868" s="95"/>
    </row>
    <row r="869" spans="1:53" s="87" customFormat="1">
      <c r="A869" s="90" t="str">
        <f t="shared" si="38"/>
        <v/>
      </c>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c r="AA869" s="89"/>
      <c r="AB869" s="89"/>
      <c r="AC869" s="89"/>
      <c r="AD869" s="89"/>
      <c r="AE869" s="89"/>
      <c r="AF869" s="89"/>
      <c r="AG869" s="89"/>
      <c r="AH869" s="89"/>
      <c r="AI869" s="89"/>
      <c r="AJ869" s="89"/>
      <c r="AK869" s="89"/>
      <c r="AL869" s="89"/>
      <c r="AM869" s="89"/>
      <c r="AN869" s="89"/>
      <c r="AO869" s="89"/>
      <c r="AP869" s="89"/>
      <c r="AQ869" s="89"/>
      <c r="AR869" s="89"/>
      <c r="AS869" s="89"/>
      <c r="AT869" s="89"/>
      <c r="AU869" s="89"/>
      <c r="AV869" s="89"/>
      <c r="AW869" s="89"/>
      <c r="AX869" s="89"/>
      <c r="AY869" s="89"/>
      <c r="AZ869" s="89"/>
      <c r="BA869" s="95"/>
    </row>
    <row r="870" spans="1:53" s="87" customFormat="1">
      <c r="A870" s="90" t="str">
        <f t="shared" si="38"/>
        <v/>
      </c>
      <c r="B870" s="89"/>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c r="AA870" s="89"/>
      <c r="AB870" s="89"/>
      <c r="AC870" s="89"/>
      <c r="AD870" s="89"/>
      <c r="AE870" s="89"/>
      <c r="AF870" s="89"/>
      <c r="AG870" s="89"/>
      <c r="AH870" s="89"/>
      <c r="AI870" s="89"/>
      <c r="AJ870" s="89"/>
      <c r="AK870" s="89"/>
      <c r="AL870" s="89"/>
      <c r="AM870" s="89"/>
      <c r="AN870" s="89"/>
      <c r="AO870" s="89"/>
      <c r="AP870" s="89"/>
      <c r="AQ870" s="89"/>
      <c r="AR870" s="89"/>
      <c r="AS870" s="89"/>
      <c r="AT870" s="89"/>
      <c r="AU870" s="89"/>
      <c r="AV870" s="89"/>
      <c r="AW870" s="89"/>
      <c r="AX870" s="89"/>
      <c r="AY870" s="89"/>
      <c r="AZ870" s="89"/>
      <c r="BA870" s="95"/>
    </row>
    <row r="871" spans="1:53" s="87" customFormat="1">
      <c r="A871" s="90" t="str">
        <f t="shared" si="38"/>
        <v/>
      </c>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89"/>
      <c r="AA871" s="89"/>
      <c r="AB871" s="89"/>
      <c r="AC871" s="89"/>
      <c r="AD871" s="89"/>
      <c r="AE871" s="89"/>
      <c r="AF871" s="89"/>
      <c r="AG871" s="89"/>
      <c r="AH871" s="89"/>
      <c r="AI871" s="89"/>
      <c r="AJ871" s="89"/>
      <c r="AK871" s="89"/>
      <c r="AL871" s="89"/>
      <c r="AM871" s="89"/>
      <c r="AN871" s="89"/>
      <c r="AO871" s="89"/>
      <c r="AP871" s="89"/>
      <c r="AQ871" s="89"/>
      <c r="AR871" s="89"/>
      <c r="AS871" s="89"/>
      <c r="AT871" s="89"/>
      <c r="AU871" s="89"/>
      <c r="AV871" s="89"/>
      <c r="AW871" s="89"/>
      <c r="AX871" s="89"/>
      <c r="AY871" s="89"/>
      <c r="AZ871" s="89"/>
      <c r="BA871" s="95"/>
    </row>
    <row r="872" spans="1:53" s="87" customFormat="1">
      <c r="A872" s="90" t="str">
        <f t="shared" si="38"/>
        <v/>
      </c>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89"/>
      <c r="AA872" s="89"/>
      <c r="AB872" s="89"/>
      <c r="AC872" s="89"/>
      <c r="AD872" s="89"/>
      <c r="AE872" s="89"/>
      <c r="AF872" s="89"/>
      <c r="AG872" s="89"/>
      <c r="AH872" s="89"/>
      <c r="AI872" s="89"/>
      <c r="AJ872" s="89"/>
      <c r="AK872" s="89"/>
      <c r="AL872" s="89"/>
      <c r="AM872" s="89"/>
      <c r="AN872" s="89"/>
      <c r="AO872" s="89"/>
      <c r="AP872" s="89"/>
      <c r="AQ872" s="89"/>
      <c r="AR872" s="89"/>
      <c r="AS872" s="89"/>
      <c r="AT872" s="89"/>
      <c r="AU872" s="89"/>
      <c r="AV872" s="89"/>
      <c r="AW872" s="89"/>
      <c r="AX872" s="89"/>
      <c r="AY872" s="89"/>
      <c r="AZ872" s="89"/>
      <c r="BA872" s="95"/>
    </row>
    <row r="873" spans="1:53" s="87" customFormat="1">
      <c r="A873" s="90" t="str">
        <f t="shared" si="38"/>
        <v/>
      </c>
      <c r="B873" s="89"/>
      <c r="C873" s="89"/>
      <c r="D873" s="89"/>
      <c r="E873" s="89"/>
      <c r="F873" s="89"/>
      <c r="G873" s="89"/>
      <c r="H873" s="89"/>
      <c r="I873" s="89"/>
      <c r="J873" s="89"/>
      <c r="K873" s="89"/>
      <c r="L873" s="89"/>
      <c r="M873" s="89"/>
      <c r="N873" s="89"/>
      <c r="O873" s="89"/>
      <c r="P873" s="89"/>
      <c r="Q873" s="89"/>
      <c r="R873" s="89"/>
      <c r="S873" s="89"/>
      <c r="T873" s="89"/>
      <c r="U873" s="89"/>
      <c r="V873" s="89"/>
      <c r="W873" s="89"/>
      <c r="X873" s="89"/>
      <c r="Y873" s="89"/>
      <c r="Z873" s="89"/>
      <c r="AA873" s="89"/>
      <c r="AB873" s="89"/>
      <c r="AC873" s="89"/>
      <c r="AD873" s="89"/>
      <c r="AE873" s="89"/>
      <c r="AF873" s="89"/>
      <c r="AG873" s="89"/>
      <c r="AH873" s="89"/>
      <c r="AI873" s="89"/>
      <c r="AJ873" s="89"/>
      <c r="AK873" s="89"/>
      <c r="AL873" s="89"/>
      <c r="AM873" s="89"/>
      <c r="AN873" s="89"/>
      <c r="AO873" s="89"/>
      <c r="AP873" s="89"/>
      <c r="AQ873" s="89"/>
      <c r="AR873" s="89"/>
      <c r="AS873" s="89"/>
      <c r="AT873" s="89"/>
      <c r="AU873" s="89"/>
      <c r="AV873" s="89"/>
      <c r="AW873" s="89"/>
      <c r="AX873" s="89"/>
      <c r="AY873" s="89"/>
      <c r="AZ873" s="89"/>
      <c r="BA873" s="95"/>
    </row>
    <row r="874" spans="1:53" s="87" customFormat="1">
      <c r="A874" s="90" t="str">
        <f t="shared" si="38"/>
        <v/>
      </c>
      <c r="B874" s="89"/>
      <c r="C874" s="89"/>
      <c r="D874" s="89"/>
      <c r="E874" s="89"/>
      <c r="F874" s="89"/>
      <c r="G874" s="89"/>
      <c r="H874" s="89"/>
      <c r="I874" s="89"/>
      <c r="J874" s="89"/>
      <c r="K874" s="89"/>
      <c r="L874" s="89"/>
      <c r="M874" s="89"/>
      <c r="N874" s="89"/>
      <c r="O874" s="89"/>
      <c r="P874" s="89"/>
      <c r="Q874" s="89"/>
      <c r="R874" s="89"/>
      <c r="S874" s="89"/>
      <c r="T874" s="89"/>
      <c r="U874" s="89"/>
      <c r="V874" s="89"/>
      <c r="W874" s="89"/>
      <c r="X874" s="89"/>
      <c r="Y874" s="89"/>
      <c r="Z874" s="89"/>
      <c r="AA874" s="89"/>
      <c r="AB874" s="89"/>
      <c r="AC874" s="89"/>
      <c r="AD874" s="89"/>
      <c r="AE874" s="89"/>
      <c r="AF874" s="89"/>
      <c r="AG874" s="89"/>
      <c r="AH874" s="89"/>
      <c r="AI874" s="89"/>
      <c r="AJ874" s="89"/>
      <c r="AK874" s="89"/>
      <c r="AL874" s="89"/>
      <c r="AM874" s="89"/>
      <c r="AN874" s="89"/>
      <c r="AO874" s="89"/>
      <c r="AP874" s="89"/>
      <c r="AQ874" s="89"/>
      <c r="AR874" s="89"/>
      <c r="AS874" s="89"/>
      <c r="AT874" s="89"/>
      <c r="AU874" s="89"/>
      <c r="AV874" s="89"/>
      <c r="AW874" s="89"/>
      <c r="AX874" s="89"/>
      <c r="AY874" s="89"/>
      <c r="AZ874" s="89"/>
      <c r="BA874" s="95"/>
    </row>
    <row r="875" spans="1:53" s="87" customFormat="1">
      <c r="A875" s="90" t="str">
        <f t="shared" si="38"/>
        <v/>
      </c>
      <c r="B875" s="89"/>
      <c r="C875" s="89"/>
      <c r="D875" s="89"/>
      <c r="E875" s="89"/>
      <c r="F875" s="89"/>
      <c r="G875" s="89"/>
      <c r="H875" s="89"/>
      <c r="I875" s="89"/>
      <c r="J875" s="89"/>
      <c r="K875" s="89"/>
      <c r="L875" s="89"/>
      <c r="M875" s="89"/>
      <c r="N875" s="89"/>
      <c r="O875" s="89"/>
      <c r="P875" s="89"/>
      <c r="Q875" s="89"/>
      <c r="R875" s="89"/>
      <c r="S875" s="89"/>
      <c r="T875" s="89"/>
      <c r="U875" s="89"/>
      <c r="V875" s="89"/>
      <c r="W875" s="89"/>
      <c r="X875" s="89"/>
      <c r="Y875" s="89"/>
      <c r="Z875" s="89"/>
      <c r="AA875" s="89"/>
      <c r="AB875" s="89"/>
      <c r="AC875" s="89"/>
      <c r="AD875" s="89"/>
      <c r="AE875" s="89"/>
      <c r="AF875" s="89"/>
      <c r="AG875" s="89"/>
      <c r="AH875" s="89"/>
      <c r="AI875" s="89"/>
      <c r="AJ875" s="89"/>
      <c r="AK875" s="89"/>
      <c r="AL875" s="89"/>
      <c r="AM875" s="89"/>
      <c r="AN875" s="89"/>
      <c r="AO875" s="89"/>
      <c r="AP875" s="89"/>
      <c r="AQ875" s="89"/>
      <c r="AR875" s="89"/>
      <c r="AS875" s="89"/>
      <c r="AT875" s="89"/>
      <c r="AU875" s="89"/>
      <c r="AV875" s="89"/>
      <c r="AW875" s="89"/>
      <c r="AX875" s="89"/>
      <c r="AY875" s="89"/>
      <c r="AZ875" s="89"/>
      <c r="BA875" s="95"/>
    </row>
    <row r="876" spans="1:53" s="87" customFormat="1">
      <c r="A876" s="90" t="str">
        <f t="shared" si="38"/>
        <v/>
      </c>
      <c r="B876" s="89"/>
      <c r="C876" s="89"/>
      <c r="D876" s="89"/>
      <c r="E876" s="89"/>
      <c r="F876" s="89"/>
      <c r="G876" s="89"/>
      <c r="H876" s="89"/>
      <c r="I876" s="89"/>
      <c r="J876" s="89"/>
      <c r="K876" s="89"/>
      <c r="L876" s="89"/>
      <c r="M876" s="89"/>
      <c r="N876" s="89"/>
      <c r="O876" s="89"/>
      <c r="P876" s="89"/>
      <c r="Q876" s="89"/>
      <c r="R876" s="89"/>
      <c r="S876" s="89"/>
      <c r="T876" s="89"/>
      <c r="U876" s="89"/>
      <c r="V876" s="89"/>
      <c r="W876" s="89"/>
      <c r="X876" s="89"/>
      <c r="Y876" s="89"/>
      <c r="Z876" s="89"/>
      <c r="AA876" s="89"/>
      <c r="AB876" s="89"/>
      <c r="AC876" s="89"/>
      <c r="AD876" s="89"/>
      <c r="AE876" s="89"/>
      <c r="AF876" s="89"/>
      <c r="AG876" s="89"/>
      <c r="AH876" s="89"/>
      <c r="AI876" s="89"/>
      <c r="AJ876" s="89"/>
      <c r="AK876" s="89"/>
      <c r="AL876" s="89"/>
      <c r="AM876" s="89"/>
      <c r="AN876" s="89"/>
      <c r="AO876" s="89"/>
      <c r="AP876" s="89"/>
      <c r="AQ876" s="89"/>
      <c r="AR876" s="89"/>
      <c r="AS876" s="89"/>
      <c r="AT876" s="89"/>
      <c r="AU876" s="89"/>
      <c r="AV876" s="89"/>
      <c r="AW876" s="89"/>
      <c r="AX876" s="89"/>
      <c r="AY876" s="89"/>
      <c r="AZ876" s="89"/>
      <c r="BA876" s="95"/>
    </row>
    <row r="877" spans="1:53" s="87" customFormat="1">
      <c r="A877" s="90" t="str">
        <f t="shared" si="38"/>
        <v/>
      </c>
      <c r="B877" s="89"/>
      <c r="C877" s="89"/>
      <c r="D877" s="89"/>
      <c r="E877" s="89"/>
      <c r="F877" s="89"/>
      <c r="G877" s="89"/>
      <c r="H877" s="89"/>
      <c r="I877" s="89"/>
      <c r="J877" s="89"/>
      <c r="K877" s="89"/>
      <c r="L877" s="89"/>
      <c r="M877" s="89"/>
      <c r="N877" s="89"/>
      <c r="O877" s="89"/>
      <c r="P877" s="89"/>
      <c r="Q877" s="89"/>
      <c r="R877" s="89"/>
      <c r="S877" s="89"/>
      <c r="T877" s="89"/>
      <c r="U877" s="89"/>
      <c r="V877" s="89"/>
      <c r="W877" s="89"/>
      <c r="X877" s="89"/>
      <c r="Y877" s="89"/>
      <c r="Z877" s="89"/>
      <c r="AA877" s="89"/>
      <c r="AB877" s="89"/>
      <c r="AC877" s="89"/>
      <c r="AD877" s="89"/>
      <c r="AE877" s="89"/>
      <c r="AF877" s="89"/>
      <c r="AG877" s="89"/>
      <c r="AH877" s="89"/>
      <c r="AI877" s="89"/>
      <c r="AJ877" s="89"/>
      <c r="AK877" s="89"/>
      <c r="AL877" s="89"/>
      <c r="AM877" s="89"/>
      <c r="AN877" s="89"/>
      <c r="AO877" s="89"/>
      <c r="AP877" s="89"/>
      <c r="AQ877" s="89"/>
      <c r="AR877" s="89"/>
      <c r="AS877" s="89"/>
      <c r="AT877" s="89"/>
      <c r="AU877" s="89"/>
      <c r="AV877" s="89"/>
      <c r="AW877" s="89"/>
      <c r="AX877" s="89"/>
      <c r="AY877" s="89"/>
      <c r="AZ877" s="89"/>
      <c r="BA877" s="95"/>
    </row>
    <row r="878" spans="1:53" s="87" customFormat="1">
      <c r="A878" s="90" t="str">
        <f t="shared" si="38"/>
        <v/>
      </c>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c r="AA878" s="89"/>
      <c r="AB878" s="89"/>
      <c r="AC878" s="89"/>
      <c r="AD878" s="89"/>
      <c r="AE878" s="89"/>
      <c r="AF878" s="89"/>
      <c r="AG878" s="89"/>
      <c r="AH878" s="89"/>
      <c r="AI878" s="89"/>
      <c r="AJ878" s="89"/>
      <c r="AK878" s="89"/>
      <c r="AL878" s="89"/>
      <c r="AM878" s="89"/>
      <c r="AN878" s="89"/>
      <c r="AO878" s="89"/>
      <c r="AP878" s="89"/>
      <c r="AQ878" s="89"/>
      <c r="AR878" s="89"/>
      <c r="AS878" s="89"/>
      <c r="AT878" s="89"/>
      <c r="AU878" s="89"/>
      <c r="AV878" s="89"/>
      <c r="AW878" s="89"/>
      <c r="AX878" s="89"/>
      <c r="AY878" s="89"/>
      <c r="AZ878" s="89"/>
      <c r="BA878" s="95"/>
    </row>
    <row r="879" spans="1:53" s="87" customFormat="1">
      <c r="A879" s="90" t="str">
        <f t="shared" si="38"/>
        <v/>
      </c>
      <c r="B879" s="89"/>
      <c r="C879" s="89"/>
      <c r="D879" s="89"/>
      <c r="E879" s="89"/>
      <c r="F879" s="89"/>
      <c r="G879" s="89"/>
      <c r="H879" s="89"/>
      <c r="I879" s="89"/>
      <c r="J879" s="89"/>
      <c r="K879" s="89"/>
      <c r="L879" s="89"/>
      <c r="M879" s="89"/>
      <c r="N879" s="89"/>
      <c r="O879" s="89"/>
      <c r="P879" s="89"/>
      <c r="Q879" s="89"/>
      <c r="R879" s="89"/>
      <c r="S879" s="89"/>
      <c r="T879" s="89"/>
      <c r="U879" s="89"/>
      <c r="V879" s="89"/>
      <c r="W879" s="89"/>
      <c r="X879" s="89"/>
      <c r="Y879" s="89"/>
      <c r="Z879" s="89"/>
      <c r="AA879" s="89"/>
      <c r="AB879" s="89"/>
      <c r="AC879" s="89"/>
      <c r="AD879" s="89"/>
      <c r="AE879" s="89"/>
      <c r="AF879" s="89"/>
      <c r="AG879" s="89"/>
      <c r="AH879" s="89"/>
      <c r="AI879" s="89"/>
      <c r="AJ879" s="89"/>
      <c r="AK879" s="89"/>
      <c r="AL879" s="89"/>
      <c r="AM879" s="89"/>
      <c r="AN879" s="89"/>
      <c r="AO879" s="89"/>
      <c r="AP879" s="89"/>
      <c r="AQ879" s="89"/>
      <c r="AR879" s="89"/>
      <c r="AS879" s="89"/>
      <c r="AT879" s="89"/>
      <c r="AU879" s="89"/>
      <c r="AV879" s="89"/>
      <c r="AW879" s="89"/>
      <c r="AX879" s="89"/>
      <c r="AY879" s="89"/>
      <c r="AZ879" s="89"/>
      <c r="BA879" s="95"/>
    </row>
    <row r="880" spans="1:53" s="87" customFormat="1">
      <c r="A880" s="90" t="str">
        <f t="shared" si="38"/>
        <v/>
      </c>
      <c r="B880" s="89"/>
      <c r="C880" s="89"/>
      <c r="D880" s="89"/>
      <c r="E880" s="89"/>
      <c r="F880" s="89"/>
      <c r="G880" s="89"/>
      <c r="H880" s="89"/>
      <c r="I880" s="89"/>
      <c r="J880" s="89"/>
      <c r="K880" s="89"/>
      <c r="L880" s="89"/>
      <c r="M880" s="89"/>
      <c r="N880" s="89"/>
      <c r="O880" s="89"/>
      <c r="P880" s="89"/>
      <c r="Q880" s="89"/>
      <c r="R880" s="89"/>
      <c r="S880" s="89"/>
      <c r="T880" s="89"/>
      <c r="U880" s="89"/>
      <c r="V880" s="89"/>
      <c r="W880" s="89"/>
      <c r="X880" s="89"/>
      <c r="Y880" s="89"/>
      <c r="Z880" s="89"/>
      <c r="AA880" s="89"/>
      <c r="AB880" s="89"/>
      <c r="AC880" s="89"/>
      <c r="AD880" s="89"/>
      <c r="AE880" s="89"/>
      <c r="AF880" s="89"/>
      <c r="AG880" s="89"/>
      <c r="AH880" s="89"/>
      <c r="AI880" s="89"/>
      <c r="AJ880" s="89"/>
      <c r="AK880" s="89"/>
      <c r="AL880" s="89"/>
      <c r="AM880" s="89"/>
      <c r="AN880" s="89"/>
      <c r="AO880" s="89"/>
      <c r="AP880" s="89"/>
      <c r="AQ880" s="89"/>
      <c r="AR880" s="89"/>
      <c r="AS880" s="89"/>
      <c r="AT880" s="89"/>
      <c r="AU880" s="89"/>
      <c r="AV880" s="89"/>
      <c r="AW880" s="89"/>
      <c r="AX880" s="89"/>
      <c r="AY880" s="89"/>
      <c r="AZ880" s="89"/>
      <c r="BA880" s="95"/>
    </row>
    <row r="881" spans="1:53" s="87" customFormat="1">
      <c r="A881" s="90" t="str">
        <f t="shared" si="38"/>
        <v/>
      </c>
      <c r="B881" s="89"/>
      <c r="C881" s="89"/>
      <c r="D881" s="89"/>
      <c r="E881" s="89"/>
      <c r="F881" s="89"/>
      <c r="G881" s="89"/>
      <c r="H881" s="89"/>
      <c r="I881" s="89"/>
      <c r="J881" s="89"/>
      <c r="K881" s="89"/>
      <c r="L881" s="89"/>
      <c r="M881" s="89"/>
      <c r="N881" s="89"/>
      <c r="O881" s="89"/>
      <c r="P881" s="89"/>
      <c r="Q881" s="89"/>
      <c r="R881" s="89"/>
      <c r="S881" s="89"/>
      <c r="T881" s="89"/>
      <c r="U881" s="89"/>
      <c r="V881" s="89"/>
      <c r="W881" s="89"/>
      <c r="X881" s="89"/>
      <c r="Y881" s="89"/>
      <c r="Z881" s="89"/>
      <c r="AA881" s="89"/>
      <c r="AB881" s="89"/>
      <c r="AC881" s="89"/>
      <c r="AD881" s="89"/>
      <c r="AE881" s="89"/>
      <c r="AF881" s="89"/>
      <c r="AG881" s="89"/>
      <c r="AH881" s="89"/>
      <c r="AI881" s="89"/>
      <c r="AJ881" s="89"/>
      <c r="AK881" s="89"/>
      <c r="AL881" s="89"/>
      <c r="AM881" s="89"/>
      <c r="AN881" s="89"/>
      <c r="AO881" s="89"/>
      <c r="AP881" s="89"/>
      <c r="AQ881" s="89"/>
      <c r="AR881" s="89"/>
      <c r="AS881" s="89"/>
      <c r="AT881" s="89"/>
      <c r="AU881" s="89"/>
      <c r="AV881" s="89"/>
      <c r="AW881" s="89"/>
      <c r="AX881" s="89"/>
      <c r="AY881" s="89"/>
      <c r="AZ881" s="89"/>
      <c r="BA881" s="95"/>
    </row>
    <row r="882" spans="1:53" s="87" customFormat="1">
      <c r="A882" s="90" t="str">
        <f t="shared" si="38"/>
        <v/>
      </c>
      <c r="B882" s="89"/>
      <c r="C882" s="89"/>
      <c r="D882" s="89"/>
      <c r="E882" s="89"/>
      <c r="F882" s="89"/>
      <c r="G882" s="89"/>
      <c r="H882" s="89"/>
      <c r="I882" s="89"/>
      <c r="J882" s="89"/>
      <c r="K882" s="89"/>
      <c r="L882" s="89"/>
      <c r="M882" s="89"/>
      <c r="N882" s="89"/>
      <c r="O882" s="89"/>
      <c r="P882" s="89"/>
      <c r="Q882" s="89"/>
      <c r="R882" s="89"/>
      <c r="S882" s="89"/>
      <c r="T882" s="89"/>
      <c r="U882" s="89"/>
      <c r="V882" s="89"/>
      <c r="W882" s="89"/>
      <c r="X882" s="89"/>
      <c r="Y882" s="89"/>
      <c r="Z882" s="89"/>
      <c r="AA882" s="89"/>
      <c r="AB882" s="89"/>
      <c r="AC882" s="89"/>
      <c r="AD882" s="89"/>
      <c r="AE882" s="89"/>
      <c r="AF882" s="89"/>
      <c r="AG882" s="89"/>
      <c r="AH882" s="89"/>
      <c r="AI882" s="89"/>
      <c r="AJ882" s="89"/>
      <c r="AK882" s="89"/>
      <c r="AL882" s="89"/>
      <c r="AM882" s="89"/>
      <c r="AN882" s="89"/>
      <c r="AO882" s="89"/>
      <c r="AP882" s="89"/>
      <c r="AQ882" s="89"/>
      <c r="AR882" s="89"/>
      <c r="AS882" s="89"/>
      <c r="AT882" s="89"/>
      <c r="AU882" s="89"/>
      <c r="AV882" s="89"/>
      <c r="AW882" s="89"/>
      <c r="AX882" s="89"/>
      <c r="AY882" s="89"/>
      <c r="AZ882" s="89"/>
      <c r="BA882" s="95"/>
    </row>
    <row r="883" spans="1:53" s="87" customFormat="1">
      <c r="A883" s="90" t="str">
        <f t="shared" si="38"/>
        <v/>
      </c>
      <c r="B883" s="89"/>
      <c r="C883" s="89"/>
      <c r="D883" s="89"/>
      <c r="E883" s="89"/>
      <c r="F883" s="89"/>
      <c r="G883" s="89"/>
      <c r="H883" s="89"/>
      <c r="I883" s="89"/>
      <c r="J883" s="89"/>
      <c r="K883" s="89"/>
      <c r="L883" s="89"/>
      <c r="M883" s="89"/>
      <c r="N883" s="89"/>
      <c r="O883" s="89"/>
      <c r="P883" s="89"/>
      <c r="Q883" s="89"/>
      <c r="R883" s="89"/>
      <c r="S883" s="89"/>
      <c r="T883" s="89"/>
      <c r="U883" s="89"/>
      <c r="V883" s="89"/>
      <c r="W883" s="89"/>
      <c r="X883" s="89"/>
      <c r="Y883" s="89"/>
      <c r="Z883" s="89"/>
      <c r="AA883" s="89"/>
      <c r="AB883" s="89"/>
      <c r="AC883" s="89"/>
      <c r="AD883" s="89"/>
      <c r="AE883" s="89"/>
      <c r="AF883" s="89"/>
      <c r="AG883" s="89"/>
      <c r="AH883" s="89"/>
      <c r="AI883" s="89"/>
      <c r="AJ883" s="89"/>
      <c r="AK883" s="89"/>
      <c r="AL883" s="89"/>
      <c r="AM883" s="89"/>
      <c r="AN883" s="89"/>
      <c r="AO883" s="89"/>
      <c r="AP883" s="89"/>
      <c r="AQ883" s="89"/>
      <c r="AR883" s="89"/>
      <c r="AS883" s="89"/>
      <c r="AT883" s="89"/>
      <c r="AU883" s="89"/>
      <c r="AV883" s="89"/>
      <c r="AW883" s="89"/>
      <c r="AX883" s="89"/>
      <c r="AY883" s="89"/>
      <c r="AZ883" s="89"/>
      <c r="BA883" s="95"/>
    </row>
    <row r="884" spans="1:53" s="87" customFormat="1">
      <c r="A884" s="90" t="str">
        <f t="shared" si="38"/>
        <v/>
      </c>
      <c r="B884" s="89"/>
      <c r="C884" s="89"/>
      <c r="D884" s="89"/>
      <c r="E884" s="89"/>
      <c r="F884" s="89"/>
      <c r="G884" s="89"/>
      <c r="H884" s="89"/>
      <c r="I884" s="89"/>
      <c r="J884" s="89"/>
      <c r="K884" s="89"/>
      <c r="L884" s="89"/>
      <c r="M884" s="89"/>
      <c r="N884" s="89"/>
      <c r="O884" s="89"/>
      <c r="P884" s="89"/>
      <c r="Q884" s="89"/>
      <c r="R884" s="89"/>
      <c r="S884" s="89"/>
      <c r="T884" s="89"/>
      <c r="U884" s="89"/>
      <c r="V884" s="89"/>
      <c r="W884" s="89"/>
      <c r="X884" s="89"/>
      <c r="Y884" s="89"/>
      <c r="Z884" s="89"/>
      <c r="AA884" s="89"/>
      <c r="AB884" s="89"/>
      <c r="AC884" s="89"/>
      <c r="AD884" s="89"/>
      <c r="AE884" s="89"/>
      <c r="AF884" s="89"/>
      <c r="AG884" s="89"/>
      <c r="AH884" s="89"/>
      <c r="AI884" s="89"/>
      <c r="AJ884" s="89"/>
      <c r="AK884" s="89"/>
      <c r="AL884" s="89"/>
      <c r="AM884" s="89"/>
      <c r="AN884" s="89"/>
      <c r="AO884" s="89"/>
      <c r="AP884" s="89"/>
      <c r="AQ884" s="89"/>
      <c r="AR884" s="89"/>
      <c r="AS884" s="89"/>
      <c r="AT884" s="89"/>
      <c r="AU884" s="89"/>
      <c r="AV884" s="89"/>
      <c r="AW884" s="89"/>
      <c r="AX884" s="89"/>
      <c r="AY884" s="89"/>
      <c r="AZ884" s="89"/>
      <c r="BA884" s="95"/>
    </row>
    <row r="885" spans="1:53" s="87" customFormat="1">
      <c r="A885" s="90" t="str">
        <f t="shared" si="38"/>
        <v/>
      </c>
      <c r="B885" s="89"/>
      <c r="C885" s="89"/>
      <c r="D885" s="89"/>
      <c r="E885" s="89"/>
      <c r="F885" s="89"/>
      <c r="G885" s="89"/>
      <c r="H885" s="89"/>
      <c r="I885" s="89"/>
      <c r="J885" s="89"/>
      <c r="K885" s="89"/>
      <c r="L885" s="89"/>
      <c r="M885" s="89"/>
      <c r="N885" s="89"/>
      <c r="O885" s="89"/>
      <c r="P885" s="89"/>
      <c r="Q885" s="89"/>
      <c r="R885" s="89"/>
      <c r="S885" s="89"/>
      <c r="T885" s="89"/>
      <c r="U885" s="89"/>
      <c r="V885" s="89"/>
      <c r="W885" s="89"/>
      <c r="X885" s="89"/>
      <c r="Y885" s="89"/>
      <c r="Z885" s="89"/>
      <c r="AA885" s="89"/>
      <c r="AB885" s="89"/>
      <c r="AC885" s="89"/>
      <c r="AD885" s="89"/>
      <c r="AE885" s="89"/>
      <c r="AF885" s="89"/>
      <c r="AG885" s="89"/>
      <c r="AH885" s="89"/>
      <c r="AI885" s="89"/>
      <c r="AJ885" s="89"/>
      <c r="AK885" s="89"/>
      <c r="AL885" s="89"/>
      <c r="AM885" s="89"/>
      <c r="AN885" s="89"/>
      <c r="AO885" s="89"/>
      <c r="AP885" s="89"/>
      <c r="AQ885" s="89"/>
      <c r="AR885" s="89"/>
      <c r="AS885" s="89"/>
      <c r="AT885" s="89"/>
      <c r="AU885" s="89"/>
      <c r="AV885" s="89"/>
      <c r="AW885" s="89"/>
      <c r="AX885" s="89"/>
      <c r="AY885" s="89"/>
      <c r="AZ885" s="89"/>
      <c r="BA885" s="95"/>
    </row>
    <row r="886" spans="1:53" s="87" customFormat="1">
      <c r="A886" s="90" t="str">
        <f t="shared" si="38"/>
        <v/>
      </c>
      <c r="B886" s="89"/>
      <c r="C886" s="89"/>
      <c r="D886" s="89"/>
      <c r="E886" s="89"/>
      <c r="F886" s="89"/>
      <c r="G886" s="89"/>
      <c r="H886" s="89"/>
      <c r="I886" s="89"/>
      <c r="J886" s="89"/>
      <c r="K886" s="89"/>
      <c r="L886" s="89"/>
      <c r="M886" s="89"/>
      <c r="N886" s="89"/>
      <c r="O886" s="89"/>
      <c r="P886" s="89"/>
      <c r="Q886" s="89"/>
      <c r="R886" s="89"/>
      <c r="S886" s="89"/>
      <c r="T886" s="89"/>
      <c r="U886" s="89"/>
      <c r="V886" s="89"/>
      <c r="W886" s="89"/>
      <c r="X886" s="89"/>
      <c r="Y886" s="89"/>
      <c r="Z886" s="89"/>
      <c r="AA886" s="89"/>
      <c r="AB886" s="89"/>
      <c r="AC886" s="89"/>
      <c r="AD886" s="89"/>
      <c r="AE886" s="89"/>
      <c r="AF886" s="89"/>
      <c r="AG886" s="89"/>
      <c r="AH886" s="89"/>
      <c r="AI886" s="89"/>
      <c r="AJ886" s="89"/>
      <c r="AK886" s="89"/>
      <c r="AL886" s="89"/>
      <c r="AM886" s="89"/>
      <c r="AN886" s="89"/>
      <c r="AO886" s="89"/>
      <c r="AP886" s="89"/>
      <c r="AQ886" s="89"/>
      <c r="AR886" s="89"/>
      <c r="AS886" s="89"/>
      <c r="AT886" s="89"/>
      <c r="AU886" s="89"/>
      <c r="AV886" s="89"/>
      <c r="AW886" s="89"/>
      <c r="AX886" s="89"/>
      <c r="AY886" s="89"/>
      <c r="AZ886" s="89"/>
      <c r="BA886" s="95"/>
    </row>
    <row r="887" spans="1:53" s="87" customFormat="1">
      <c r="A887" s="90" t="str">
        <f t="shared" si="38"/>
        <v/>
      </c>
      <c r="B887" s="89"/>
      <c r="C887" s="89"/>
      <c r="D887" s="89"/>
      <c r="E887" s="89"/>
      <c r="F887" s="89"/>
      <c r="G887" s="89"/>
      <c r="H887" s="89"/>
      <c r="I887" s="89"/>
      <c r="J887" s="89"/>
      <c r="K887" s="89"/>
      <c r="L887" s="89"/>
      <c r="M887" s="89"/>
      <c r="N887" s="89"/>
      <c r="O887" s="89"/>
      <c r="P887" s="89"/>
      <c r="Q887" s="89"/>
      <c r="R887" s="89"/>
      <c r="S887" s="89"/>
      <c r="T887" s="89"/>
      <c r="U887" s="89"/>
      <c r="V887" s="89"/>
      <c r="W887" s="89"/>
      <c r="X887" s="89"/>
      <c r="Y887" s="89"/>
      <c r="Z887" s="89"/>
      <c r="AA887" s="89"/>
      <c r="AB887" s="89"/>
      <c r="AC887" s="89"/>
      <c r="AD887" s="89"/>
      <c r="AE887" s="89"/>
      <c r="AF887" s="89"/>
      <c r="AG887" s="89"/>
      <c r="AH887" s="89"/>
      <c r="AI887" s="89"/>
      <c r="AJ887" s="89"/>
      <c r="AK887" s="89"/>
      <c r="AL887" s="89"/>
      <c r="AM887" s="89"/>
      <c r="AN887" s="89"/>
      <c r="AO887" s="89"/>
      <c r="AP887" s="89"/>
      <c r="AQ887" s="89"/>
      <c r="AR887" s="89"/>
      <c r="AS887" s="89"/>
      <c r="AT887" s="89"/>
      <c r="AU887" s="89"/>
      <c r="AV887" s="89"/>
      <c r="AW887" s="89"/>
      <c r="AX887" s="89"/>
      <c r="AY887" s="89"/>
      <c r="AZ887" s="89"/>
      <c r="BA887" s="95"/>
    </row>
    <row r="888" spans="1:53" s="87" customFormat="1">
      <c r="A888" s="90" t="str">
        <f t="shared" si="38"/>
        <v/>
      </c>
      <c r="B888" s="89"/>
      <c r="C888" s="89"/>
      <c r="D888" s="89"/>
      <c r="E888" s="89"/>
      <c r="F888" s="89"/>
      <c r="G888" s="89"/>
      <c r="H888" s="89"/>
      <c r="I888" s="89"/>
      <c r="J888" s="89"/>
      <c r="K888" s="89"/>
      <c r="L888" s="89"/>
      <c r="M888" s="89"/>
      <c r="N888" s="89"/>
      <c r="O888" s="89"/>
      <c r="P888" s="89"/>
      <c r="Q888" s="89"/>
      <c r="R888" s="89"/>
      <c r="S888" s="89"/>
      <c r="T888" s="89"/>
      <c r="U888" s="89"/>
      <c r="V888" s="89"/>
      <c r="W888" s="89"/>
      <c r="X888" s="89"/>
      <c r="Y888" s="89"/>
      <c r="Z888" s="89"/>
      <c r="AA888" s="89"/>
      <c r="AB888" s="89"/>
      <c r="AC888" s="89"/>
      <c r="AD888" s="89"/>
      <c r="AE888" s="89"/>
      <c r="AF888" s="89"/>
      <c r="AG888" s="89"/>
      <c r="AH888" s="89"/>
      <c r="AI888" s="89"/>
      <c r="AJ888" s="89"/>
      <c r="AK888" s="89"/>
      <c r="AL888" s="89"/>
      <c r="AM888" s="89"/>
      <c r="AN888" s="89"/>
      <c r="AO888" s="89"/>
      <c r="AP888" s="89"/>
      <c r="AQ888" s="89"/>
      <c r="AR888" s="89"/>
      <c r="AS888" s="89"/>
      <c r="AT888" s="89"/>
      <c r="AU888" s="89"/>
      <c r="AV888" s="89"/>
      <c r="AW888" s="89"/>
      <c r="AX888" s="89"/>
      <c r="AY888" s="89"/>
      <c r="AZ888" s="89"/>
      <c r="BA888" s="95"/>
    </row>
    <row r="889" spans="1:53" s="87" customFormat="1">
      <c r="A889" s="90" t="str">
        <f t="shared" si="38"/>
        <v/>
      </c>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c r="AA889" s="89"/>
      <c r="AB889" s="89"/>
      <c r="AC889" s="89"/>
      <c r="AD889" s="89"/>
      <c r="AE889" s="89"/>
      <c r="AF889" s="89"/>
      <c r="AG889" s="89"/>
      <c r="AH889" s="89"/>
      <c r="AI889" s="89"/>
      <c r="AJ889" s="89"/>
      <c r="AK889" s="89"/>
      <c r="AL889" s="89"/>
      <c r="AM889" s="89"/>
      <c r="AN889" s="89"/>
      <c r="AO889" s="89"/>
      <c r="AP889" s="89"/>
      <c r="AQ889" s="89"/>
      <c r="AR889" s="89"/>
      <c r="AS889" s="89"/>
      <c r="AT889" s="89"/>
      <c r="AU889" s="89"/>
      <c r="AV889" s="89"/>
      <c r="AW889" s="89"/>
      <c r="AX889" s="89"/>
      <c r="AY889" s="89"/>
      <c r="AZ889" s="89"/>
      <c r="BA889" s="95"/>
    </row>
    <row r="890" spans="1:53" s="87" customFormat="1">
      <c r="A890" s="90" t="str">
        <f t="shared" si="38"/>
        <v/>
      </c>
      <c r="B890" s="89"/>
      <c r="C890" s="89"/>
      <c r="D890" s="89"/>
      <c r="E890" s="89"/>
      <c r="F890" s="89"/>
      <c r="G890" s="89"/>
      <c r="H890" s="89"/>
      <c r="I890" s="89"/>
      <c r="J890" s="89"/>
      <c r="K890" s="89"/>
      <c r="L890" s="89"/>
      <c r="M890" s="89"/>
      <c r="N890" s="89"/>
      <c r="O890" s="89"/>
      <c r="P890" s="89"/>
      <c r="Q890" s="89"/>
      <c r="R890" s="89"/>
      <c r="S890" s="89"/>
      <c r="T890" s="89"/>
      <c r="U890" s="89"/>
      <c r="V890" s="89"/>
      <c r="W890" s="89"/>
      <c r="X890" s="89"/>
      <c r="Y890" s="89"/>
      <c r="Z890" s="89"/>
      <c r="AA890" s="89"/>
      <c r="AB890" s="89"/>
      <c r="AC890" s="89"/>
      <c r="AD890" s="89"/>
      <c r="AE890" s="89"/>
      <c r="AF890" s="89"/>
      <c r="AG890" s="89"/>
      <c r="AH890" s="89"/>
      <c r="AI890" s="89"/>
      <c r="AJ890" s="89"/>
      <c r="AK890" s="89"/>
      <c r="AL890" s="89"/>
      <c r="AM890" s="89"/>
      <c r="AN890" s="89"/>
      <c r="AO890" s="89"/>
      <c r="AP890" s="89"/>
      <c r="AQ890" s="89"/>
      <c r="AR890" s="89"/>
      <c r="AS890" s="89"/>
      <c r="AT890" s="89"/>
      <c r="AU890" s="89"/>
      <c r="AV890" s="89"/>
      <c r="AW890" s="89"/>
      <c r="AX890" s="89"/>
      <c r="AY890" s="89"/>
      <c r="AZ890" s="89"/>
      <c r="BA890" s="95"/>
    </row>
    <row r="891" spans="1:53" s="87" customFormat="1">
      <c r="A891" s="90" t="str">
        <f t="shared" si="38"/>
        <v/>
      </c>
      <c r="B891" s="89"/>
      <c r="C891" s="89"/>
      <c r="D891" s="89"/>
      <c r="E891" s="89"/>
      <c r="F891" s="89"/>
      <c r="G891" s="89"/>
      <c r="H891" s="89"/>
      <c r="I891" s="89"/>
      <c r="J891" s="89"/>
      <c r="K891" s="89"/>
      <c r="L891" s="89"/>
      <c r="M891" s="89"/>
      <c r="N891" s="89"/>
      <c r="O891" s="89"/>
      <c r="P891" s="89"/>
      <c r="Q891" s="89"/>
      <c r="R891" s="89"/>
      <c r="S891" s="89"/>
      <c r="T891" s="89"/>
      <c r="U891" s="89"/>
      <c r="V891" s="89"/>
      <c r="W891" s="89"/>
      <c r="X891" s="89"/>
      <c r="Y891" s="89"/>
      <c r="Z891" s="89"/>
      <c r="AA891" s="89"/>
      <c r="AB891" s="89"/>
      <c r="AC891" s="89"/>
      <c r="AD891" s="89"/>
      <c r="AE891" s="89"/>
      <c r="AF891" s="89"/>
      <c r="AG891" s="89"/>
      <c r="AH891" s="89"/>
      <c r="AI891" s="89"/>
      <c r="AJ891" s="89"/>
      <c r="AK891" s="89"/>
      <c r="AL891" s="89"/>
      <c r="AM891" s="89"/>
      <c r="AN891" s="89"/>
      <c r="AO891" s="89"/>
      <c r="AP891" s="89"/>
      <c r="AQ891" s="89"/>
      <c r="AR891" s="89"/>
      <c r="AS891" s="89"/>
      <c r="AT891" s="89"/>
      <c r="AU891" s="89"/>
      <c r="AV891" s="89"/>
      <c r="AW891" s="89"/>
      <c r="AX891" s="89"/>
      <c r="AY891" s="89"/>
      <c r="AZ891" s="89"/>
      <c r="BA891" s="95"/>
    </row>
    <row r="892" spans="1:53" s="87" customFormat="1">
      <c r="A892" s="90" t="str">
        <f t="shared" si="38"/>
        <v/>
      </c>
      <c r="B892" s="89"/>
      <c r="C892" s="89"/>
      <c r="D892" s="89"/>
      <c r="E892" s="89"/>
      <c r="F892" s="89"/>
      <c r="G892" s="89"/>
      <c r="H892" s="89"/>
      <c r="I892" s="89"/>
      <c r="J892" s="89"/>
      <c r="K892" s="89"/>
      <c r="L892" s="89"/>
      <c r="M892" s="89"/>
      <c r="N892" s="89"/>
      <c r="O892" s="89"/>
      <c r="P892" s="89"/>
      <c r="Q892" s="89"/>
      <c r="R892" s="89"/>
      <c r="S892" s="89"/>
      <c r="T892" s="89"/>
      <c r="U892" s="89"/>
      <c r="V892" s="89"/>
      <c r="W892" s="89"/>
      <c r="X892" s="89"/>
      <c r="Y892" s="89"/>
      <c r="Z892" s="89"/>
      <c r="AA892" s="89"/>
      <c r="AB892" s="89"/>
      <c r="AC892" s="89"/>
      <c r="AD892" s="89"/>
      <c r="AE892" s="89"/>
      <c r="AF892" s="89"/>
      <c r="AG892" s="89"/>
      <c r="AH892" s="89"/>
      <c r="AI892" s="89"/>
      <c r="AJ892" s="89"/>
      <c r="AK892" s="89"/>
      <c r="AL892" s="89"/>
      <c r="AM892" s="89"/>
      <c r="AN892" s="89"/>
      <c r="AO892" s="89"/>
      <c r="AP892" s="89"/>
      <c r="AQ892" s="89"/>
      <c r="AR892" s="89"/>
      <c r="AS892" s="89"/>
      <c r="AT892" s="89"/>
      <c r="AU892" s="89"/>
      <c r="AV892" s="89"/>
      <c r="AW892" s="89"/>
      <c r="AX892" s="89"/>
      <c r="AY892" s="89"/>
      <c r="AZ892" s="89"/>
      <c r="BA892" s="95"/>
    </row>
    <row r="893" spans="1:53" s="87" customFormat="1">
      <c r="A893" s="90" t="str">
        <f t="shared" si="38"/>
        <v/>
      </c>
      <c r="B893" s="89"/>
      <c r="C893" s="89"/>
      <c r="D893" s="89"/>
      <c r="E893" s="89"/>
      <c r="F893" s="89"/>
      <c r="G893" s="89"/>
      <c r="H893" s="89"/>
      <c r="I893" s="89"/>
      <c r="J893" s="89"/>
      <c r="K893" s="89"/>
      <c r="L893" s="89"/>
      <c r="M893" s="89"/>
      <c r="N893" s="89"/>
      <c r="O893" s="89"/>
      <c r="P893" s="89"/>
      <c r="Q893" s="89"/>
      <c r="R893" s="89"/>
      <c r="S893" s="89"/>
      <c r="T893" s="89"/>
      <c r="U893" s="89"/>
      <c r="V893" s="89"/>
      <c r="W893" s="89"/>
      <c r="X893" s="89"/>
      <c r="Y893" s="89"/>
      <c r="Z893" s="89"/>
      <c r="AA893" s="89"/>
      <c r="AB893" s="89"/>
      <c r="AC893" s="89"/>
      <c r="AD893" s="89"/>
      <c r="AE893" s="89"/>
      <c r="AF893" s="89"/>
      <c r="AG893" s="89"/>
      <c r="AH893" s="89"/>
      <c r="AI893" s="89"/>
      <c r="AJ893" s="89"/>
      <c r="AK893" s="89"/>
      <c r="AL893" s="89"/>
      <c r="AM893" s="89"/>
      <c r="AN893" s="89"/>
      <c r="AO893" s="89"/>
      <c r="AP893" s="89"/>
      <c r="AQ893" s="89"/>
      <c r="AR893" s="89"/>
      <c r="AS893" s="89"/>
      <c r="AT893" s="89"/>
      <c r="AU893" s="89"/>
      <c r="AV893" s="89"/>
      <c r="AW893" s="89"/>
      <c r="AX893" s="89"/>
      <c r="AY893" s="89"/>
      <c r="AZ893" s="89"/>
      <c r="BA893" s="95"/>
    </row>
    <row r="894" spans="1:53" s="87" customFormat="1">
      <c r="A894" s="90" t="str">
        <f t="shared" si="38"/>
        <v/>
      </c>
      <c r="B894" s="89"/>
      <c r="C894" s="89"/>
      <c r="D894" s="89"/>
      <c r="E894" s="89"/>
      <c r="F894" s="89"/>
      <c r="G894" s="89"/>
      <c r="H894" s="89"/>
      <c r="I894" s="89"/>
      <c r="J894" s="89"/>
      <c r="K894" s="89"/>
      <c r="L894" s="89"/>
      <c r="M894" s="89"/>
      <c r="N894" s="89"/>
      <c r="O894" s="89"/>
      <c r="P894" s="89"/>
      <c r="Q894" s="89"/>
      <c r="R894" s="89"/>
      <c r="S894" s="89"/>
      <c r="T894" s="89"/>
      <c r="U894" s="89"/>
      <c r="V894" s="89"/>
      <c r="W894" s="89"/>
      <c r="X894" s="89"/>
      <c r="Y894" s="89"/>
      <c r="Z894" s="89"/>
      <c r="AA894" s="89"/>
      <c r="AB894" s="89"/>
      <c r="AC894" s="89"/>
      <c r="AD894" s="89"/>
      <c r="AE894" s="89"/>
      <c r="AF894" s="89"/>
      <c r="AG894" s="89"/>
      <c r="AH894" s="89"/>
      <c r="AI894" s="89"/>
      <c r="AJ894" s="89"/>
      <c r="AK894" s="89"/>
      <c r="AL894" s="89"/>
      <c r="AM894" s="89"/>
      <c r="AN894" s="89"/>
      <c r="AO894" s="89"/>
      <c r="AP894" s="89"/>
      <c r="AQ894" s="89"/>
      <c r="AR894" s="89"/>
      <c r="AS894" s="89"/>
      <c r="AT894" s="89"/>
      <c r="AU894" s="89"/>
      <c r="AV894" s="89"/>
      <c r="AW894" s="89"/>
      <c r="AX894" s="89"/>
      <c r="AY894" s="89"/>
      <c r="AZ894" s="89"/>
      <c r="BA894" s="95"/>
    </row>
    <row r="895" spans="1:53" s="87" customFormat="1">
      <c r="A895" s="90" t="str">
        <f t="shared" si="38"/>
        <v/>
      </c>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c r="AA895" s="89"/>
      <c r="AB895" s="89"/>
      <c r="AC895" s="89"/>
      <c r="AD895" s="89"/>
      <c r="AE895" s="89"/>
      <c r="AF895" s="89"/>
      <c r="AG895" s="89"/>
      <c r="AH895" s="89"/>
      <c r="AI895" s="89"/>
      <c r="AJ895" s="89"/>
      <c r="AK895" s="89"/>
      <c r="AL895" s="89"/>
      <c r="AM895" s="89"/>
      <c r="AN895" s="89"/>
      <c r="AO895" s="89"/>
      <c r="AP895" s="89"/>
      <c r="AQ895" s="89"/>
      <c r="AR895" s="89"/>
      <c r="AS895" s="89"/>
      <c r="AT895" s="89"/>
      <c r="AU895" s="89"/>
      <c r="AV895" s="89"/>
      <c r="AW895" s="89"/>
      <c r="AX895" s="89"/>
      <c r="AY895" s="89"/>
      <c r="AZ895" s="89"/>
      <c r="BA895" s="95"/>
    </row>
    <row r="896" spans="1:53" s="87" customFormat="1">
      <c r="A896" s="90" t="str">
        <f t="shared" si="38"/>
        <v/>
      </c>
      <c r="B896" s="89"/>
      <c r="C896" s="89"/>
      <c r="D896" s="89"/>
      <c r="E896" s="89"/>
      <c r="F896" s="89"/>
      <c r="G896" s="89"/>
      <c r="H896" s="89"/>
      <c r="I896" s="89"/>
      <c r="J896" s="89"/>
      <c r="K896" s="89"/>
      <c r="L896" s="89"/>
      <c r="M896" s="89"/>
      <c r="N896" s="89"/>
      <c r="O896" s="89"/>
      <c r="P896" s="89"/>
      <c r="Q896" s="89"/>
      <c r="R896" s="89"/>
      <c r="S896" s="89"/>
      <c r="T896" s="89"/>
      <c r="U896" s="89"/>
      <c r="V896" s="89"/>
      <c r="W896" s="89"/>
      <c r="X896" s="89"/>
      <c r="Y896" s="89"/>
      <c r="Z896" s="89"/>
      <c r="AA896" s="89"/>
      <c r="AB896" s="89"/>
      <c r="AC896" s="89"/>
      <c r="AD896" s="89"/>
      <c r="AE896" s="89"/>
      <c r="AF896" s="89"/>
      <c r="AG896" s="89"/>
      <c r="AH896" s="89"/>
      <c r="AI896" s="89"/>
      <c r="AJ896" s="89"/>
      <c r="AK896" s="89"/>
      <c r="AL896" s="89"/>
      <c r="AM896" s="89"/>
      <c r="AN896" s="89"/>
      <c r="AO896" s="89"/>
      <c r="AP896" s="89"/>
      <c r="AQ896" s="89"/>
      <c r="AR896" s="89"/>
      <c r="AS896" s="89"/>
      <c r="AT896" s="89"/>
      <c r="AU896" s="89"/>
      <c r="AV896" s="89"/>
      <c r="AW896" s="89"/>
      <c r="AX896" s="89"/>
      <c r="AY896" s="89"/>
      <c r="AZ896" s="89"/>
      <c r="BA896" s="95"/>
    </row>
    <row r="897" spans="1:53" s="87" customFormat="1">
      <c r="A897" s="90" t="str">
        <f t="shared" si="38"/>
        <v/>
      </c>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c r="AA897" s="89"/>
      <c r="AB897" s="89"/>
      <c r="AC897" s="89"/>
      <c r="AD897" s="89"/>
      <c r="AE897" s="89"/>
      <c r="AF897" s="89"/>
      <c r="AG897" s="89"/>
      <c r="AH897" s="89"/>
      <c r="AI897" s="89"/>
      <c r="AJ897" s="89"/>
      <c r="AK897" s="89"/>
      <c r="AL897" s="89"/>
      <c r="AM897" s="89"/>
      <c r="AN897" s="89"/>
      <c r="AO897" s="89"/>
      <c r="AP897" s="89"/>
      <c r="AQ897" s="89"/>
      <c r="AR897" s="89"/>
      <c r="AS897" s="89"/>
      <c r="AT897" s="89"/>
      <c r="AU897" s="89"/>
      <c r="AV897" s="89"/>
      <c r="AW897" s="89"/>
      <c r="AX897" s="89"/>
      <c r="AY897" s="89"/>
      <c r="AZ897" s="89"/>
      <c r="BA897" s="95"/>
    </row>
    <row r="898" spans="1:53" s="87" customFormat="1">
      <c r="A898" s="90" t="str">
        <f t="shared" si="38"/>
        <v/>
      </c>
      <c r="B898" s="89"/>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c r="AA898" s="89"/>
      <c r="AB898" s="89"/>
      <c r="AC898" s="89"/>
      <c r="AD898" s="89"/>
      <c r="AE898" s="89"/>
      <c r="AF898" s="89"/>
      <c r="AG898" s="89"/>
      <c r="AH898" s="89"/>
      <c r="AI898" s="89"/>
      <c r="AJ898" s="89"/>
      <c r="AK898" s="89"/>
      <c r="AL898" s="89"/>
      <c r="AM898" s="89"/>
      <c r="AN898" s="89"/>
      <c r="AO898" s="89"/>
      <c r="AP898" s="89"/>
      <c r="AQ898" s="89"/>
      <c r="AR898" s="89"/>
      <c r="AS898" s="89"/>
      <c r="AT898" s="89"/>
      <c r="AU898" s="89"/>
      <c r="AV898" s="89"/>
      <c r="AW898" s="89"/>
      <c r="AX898" s="89"/>
      <c r="AY898" s="89"/>
      <c r="AZ898" s="89"/>
      <c r="BA898" s="95"/>
    </row>
    <row r="899" spans="1:53" s="87" customFormat="1">
      <c r="A899" s="90" t="str">
        <f t="shared" si="38"/>
        <v/>
      </c>
      <c r="B899" s="89"/>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c r="AA899" s="89"/>
      <c r="AB899" s="89"/>
      <c r="AC899" s="89"/>
      <c r="AD899" s="89"/>
      <c r="AE899" s="89"/>
      <c r="AF899" s="89"/>
      <c r="AG899" s="89"/>
      <c r="AH899" s="89"/>
      <c r="AI899" s="89"/>
      <c r="AJ899" s="89"/>
      <c r="AK899" s="89"/>
      <c r="AL899" s="89"/>
      <c r="AM899" s="89"/>
      <c r="AN899" s="89"/>
      <c r="AO899" s="89"/>
      <c r="AP899" s="89"/>
      <c r="AQ899" s="89"/>
      <c r="AR899" s="89"/>
      <c r="AS899" s="89"/>
      <c r="AT899" s="89"/>
      <c r="AU899" s="89"/>
      <c r="AV899" s="89"/>
      <c r="AW899" s="89"/>
      <c r="AX899" s="89"/>
      <c r="AY899" s="89"/>
      <c r="AZ899" s="89"/>
      <c r="BA899" s="95"/>
    </row>
    <row r="900" spans="1:53" s="87" customFormat="1">
      <c r="A900" s="90" t="str">
        <f t="shared" si="38"/>
        <v/>
      </c>
      <c r="B900" s="89"/>
      <c r="C900" s="89"/>
      <c r="D900" s="89"/>
      <c r="E900" s="89"/>
      <c r="F900" s="89"/>
      <c r="G900" s="89"/>
      <c r="H900" s="89"/>
      <c r="I900" s="89"/>
      <c r="J900" s="89"/>
      <c r="K900" s="89"/>
      <c r="L900" s="89"/>
      <c r="M900" s="89"/>
      <c r="N900" s="89"/>
      <c r="O900" s="89"/>
      <c r="P900" s="89"/>
      <c r="Q900" s="89"/>
      <c r="R900" s="89"/>
      <c r="S900" s="89"/>
      <c r="T900" s="89"/>
      <c r="U900" s="89"/>
      <c r="V900" s="89"/>
      <c r="W900" s="89"/>
      <c r="X900" s="89"/>
      <c r="Y900" s="89"/>
      <c r="Z900" s="89"/>
      <c r="AA900" s="89"/>
      <c r="AB900" s="89"/>
      <c r="AC900" s="89"/>
      <c r="AD900" s="89"/>
      <c r="AE900" s="89"/>
      <c r="AF900" s="89"/>
      <c r="AG900" s="89"/>
      <c r="AH900" s="89"/>
      <c r="AI900" s="89"/>
      <c r="AJ900" s="89"/>
      <c r="AK900" s="89"/>
      <c r="AL900" s="89"/>
      <c r="AM900" s="89"/>
      <c r="AN900" s="89"/>
      <c r="AO900" s="89"/>
      <c r="AP900" s="89"/>
      <c r="AQ900" s="89"/>
      <c r="AR900" s="89"/>
      <c r="AS900" s="89"/>
      <c r="AT900" s="89"/>
      <c r="AU900" s="89"/>
      <c r="AV900" s="89"/>
      <c r="AW900" s="89"/>
      <c r="AX900" s="89"/>
      <c r="AY900" s="89"/>
      <c r="AZ900" s="89"/>
      <c r="BA900" s="95"/>
    </row>
    <row r="901" spans="1:53" s="87" customFormat="1">
      <c r="A901" s="90" t="str">
        <f t="shared" si="38"/>
        <v/>
      </c>
      <c r="B901" s="89"/>
      <c r="C901" s="89"/>
      <c r="D901" s="89"/>
      <c r="E901" s="89"/>
      <c r="F901" s="89"/>
      <c r="G901" s="89"/>
      <c r="H901" s="89"/>
      <c r="I901" s="89"/>
      <c r="J901" s="89"/>
      <c r="K901" s="89"/>
      <c r="L901" s="89"/>
      <c r="M901" s="89"/>
      <c r="N901" s="89"/>
      <c r="O901" s="89"/>
      <c r="P901" s="89"/>
      <c r="Q901" s="89"/>
      <c r="R901" s="89"/>
      <c r="S901" s="89"/>
      <c r="T901" s="89"/>
      <c r="U901" s="89"/>
      <c r="V901" s="89"/>
      <c r="W901" s="89"/>
      <c r="X901" s="89"/>
      <c r="Y901" s="89"/>
      <c r="Z901" s="89"/>
      <c r="AA901" s="89"/>
      <c r="AB901" s="89"/>
      <c r="AC901" s="89"/>
      <c r="AD901" s="89"/>
      <c r="AE901" s="89"/>
      <c r="AF901" s="89"/>
      <c r="AG901" s="89"/>
      <c r="AH901" s="89"/>
      <c r="AI901" s="89"/>
      <c r="AJ901" s="89"/>
      <c r="AK901" s="89"/>
      <c r="AL901" s="89"/>
      <c r="AM901" s="89"/>
      <c r="AN901" s="89"/>
      <c r="AO901" s="89"/>
      <c r="AP901" s="89"/>
      <c r="AQ901" s="89"/>
      <c r="AR901" s="89"/>
      <c r="AS901" s="89"/>
      <c r="AT901" s="89"/>
      <c r="AU901" s="89"/>
      <c r="AV901" s="89"/>
      <c r="AW901" s="89"/>
      <c r="AX901" s="89"/>
      <c r="AY901" s="89"/>
      <c r="AZ901" s="89"/>
      <c r="BA901" s="95"/>
    </row>
    <row r="902" spans="1:53" s="87" customFormat="1">
      <c r="A902" s="90" t="str">
        <f t="shared" si="38"/>
        <v/>
      </c>
      <c r="B902" s="89"/>
      <c r="C902" s="89"/>
      <c r="D902" s="89"/>
      <c r="E902" s="89"/>
      <c r="F902" s="89"/>
      <c r="G902" s="89"/>
      <c r="H902" s="89"/>
      <c r="I902" s="89"/>
      <c r="J902" s="89"/>
      <c r="K902" s="89"/>
      <c r="L902" s="89"/>
      <c r="M902" s="89"/>
      <c r="N902" s="89"/>
      <c r="O902" s="89"/>
      <c r="P902" s="89"/>
      <c r="Q902" s="89"/>
      <c r="R902" s="89"/>
      <c r="S902" s="89"/>
      <c r="T902" s="89"/>
      <c r="U902" s="89"/>
      <c r="V902" s="89"/>
      <c r="W902" s="89"/>
      <c r="X902" s="89"/>
      <c r="Y902" s="89"/>
      <c r="Z902" s="89"/>
      <c r="AA902" s="89"/>
      <c r="AB902" s="89"/>
      <c r="AC902" s="89"/>
      <c r="AD902" s="89"/>
      <c r="AE902" s="89"/>
      <c r="AF902" s="89"/>
      <c r="AG902" s="89"/>
      <c r="AH902" s="89"/>
      <c r="AI902" s="89"/>
      <c r="AJ902" s="89"/>
      <c r="AK902" s="89"/>
      <c r="AL902" s="89"/>
      <c r="AM902" s="89"/>
      <c r="AN902" s="89"/>
      <c r="AO902" s="89"/>
      <c r="AP902" s="89"/>
      <c r="AQ902" s="89"/>
      <c r="AR902" s="89"/>
      <c r="AS902" s="89"/>
      <c r="AT902" s="89"/>
      <c r="AU902" s="89"/>
      <c r="AV902" s="89"/>
      <c r="AW902" s="89"/>
      <c r="AX902" s="89"/>
      <c r="AY902" s="89"/>
      <c r="AZ902" s="89"/>
      <c r="BA902" s="95"/>
    </row>
    <row r="903" spans="1:53" s="87" customFormat="1">
      <c r="A903" s="90" t="str">
        <f t="shared" si="38"/>
        <v/>
      </c>
      <c r="B903" s="89"/>
      <c r="C903" s="89"/>
      <c r="D903" s="89"/>
      <c r="E903" s="89"/>
      <c r="F903" s="89"/>
      <c r="G903" s="89"/>
      <c r="H903" s="89"/>
      <c r="I903" s="89"/>
      <c r="J903" s="89"/>
      <c r="K903" s="89"/>
      <c r="L903" s="89"/>
      <c r="M903" s="89"/>
      <c r="N903" s="89"/>
      <c r="O903" s="89"/>
      <c r="P903" s="89"/>
      <c r="Q903" s="89"/>
      <c r="R903" s="89"/>
      <c r="S903" s="89"/>
      <c r="T903" s="89"/>
      <c r="U903" s="89"/>
      <c r="V903" s="89"/>
      <c r="W903" s="89"/>
      <c r="X903" s="89"/>
      <c r="Y903" s="89"/>
      <c r="Z903" s="89"/>
      <c r="AA903" s="89"/>
      <c r="AB903" s="89"/>
      <c r="AC903" s="89"/>
      <c r="AD903" s="89"/>
      <c r="AE903" s="89"/>
      <c r="AF903" s="89"/>
      <c r="AG903" s="89"/>
      <c r="AH903" s="89"/>
      <c r="AI903" s="89"/>
      <c r="AJ903" s="89"/>
      <c r="AK903" s="89"/>
      <c r="AL903" s="89"/>
      <c r="AM903" s="89"/>
      <c r="AN903" s="89"/>
      <c r="AO903" s="89"/>
      <c r="AP903" s="89"/>
      <c r="AQ903" s="89"/>
      <c r="AR903" s="89"/>
      <c r="AS903" s="89"/>
      <c r="AT903" s="89"/>
      <c r="AU903" s="89"/>
      <c r="AV903" s="89"/>
      <c r="AW903" s="89"/>
      <c r="AX903" s="89"/>
      <c r="AY903" s="89"/>
      <c r="AZ903" s="89"/>
      <c r="BA903" s="95"/>
    </row>
    <row r="904" spans="1:53" s="87" customFormat="1">
      <c r="A904" s="90" t="str">
        <f t="shared" si="38"/>
        <v/>
      </c>
      <c r="B904" s="89"/>
      <c r="C904" s="89"/>
      <c r="D904" s="89"/>
      <c r="E904" s="89"/>
      <c r="F904" s="89"/>
      <c r="G904" s="89"/>
      <c r="H904" s="89"/>
      <c r="I904" s="89"/>
      <c r="J904" s="89"/>
      <c r="K904" s="89"/>
      <c r="L904" s="89"/>
      <c r="M904" s="89"/>
      <c r="N904" s="89"/>
      <c r="O904" s="89"/>
      <c r="P904" s="89"/>
      <c r="Q904" s="89"/>
      <c r="R904" s="89"/>
      <c r="S904" s="89"/>
      <c r="T904" s="89"/>
      <c r="U904" s="89"/>
      <c r="V904" s="89"/>
      <c r="W904" s="89"/>
      <c r="X904" s="89"/>
      <c r="Y904" s="89"/>
      <c r="Z904" s="89"/>
      <c r="AA904" s="89"/>
      <c r="AB904" s="89"/>
      <c r="AC904" s="89"/>
      <c r="AD904" s="89"/>
      <c r="AE904" s="89"/>
      <c r="AF904" s="89"/>
      <c r="AG904" s="89"/>
      <c r="AH904" s="89"/>
      <c r="AI904" s="89"/>
      <c r="AJ904" s="89"/>
      <c r="AK904" s="89"/>
      <c r="AL904" s="89"/>
      <c r="AM904" s="89"/>
      <c r="AN904" s="89"/>
      <c r="AO904" s="89"/>
      <c r="AP904" s="89"/>
      <c r="AQ904" s="89"/>
      <c r="AR904" s="89"/>
      <c r="AS904" s="89"/>
      <c r="AT904" s="89"/>
      <c r="AU904" s="89"/>
      <c r="AV904" s="89"/>
      <c r="AW904" s="89"/>
      <c r="AX904" s="89"/>
      <c r="AY904" s="89"/>
      <c r="AZ904" s="89"/>
      <c r="BA904" s="95"/>
    </row>
    <row r="905" spans="1:53" s="87" customFormat="1">
      <c r="A905" s="90" t="str">
        <f t="shared" si="38"/>
        <v/>
      </c>
      <c r="B905" s="89"/>
      <c r="C905" s="89"/>
      <c r="D905" s="89"/>
      <c r="E905" s="89"/>
      <c r="F905" s="89"/>
      <c r="G905" s="89"/>
      <c r="H905" s="89"/>
      <c r="I905" s="89"/>
      <c r="J905" s="89"/>
      <c r="K905" s="89"/>
      <c r="L905" s="89"/>
      <c r="M905" s="89"/>
      <c r="N905" s="89"/>
      <c r="O905" s="89"/>
      <c r="P905" s="89"/>
      <c r="Q905" s="89"/>
      <c r="R905" s="89"/>
      <c r="S905" s="89"/>
      <c r="T905" s="89"/>
      <c r="U905" s="89"/>
      <c r="V905" s="89"/>
      <c r="W905" s="89"/>
      <c r="X905" s="89"/>
      <c r="Y905" s="89"/>
      <c r="Z905" s="89"/>
      <c r="AA905" s="89"/>
      <c r="AB905" s="89"/>
      <c r="AC905" s="89"/>
      <c r="AD905" s="89"/>
      <c r="AE905" s="89"/>
      <c r="AF905" s="89"/>
      <c r="AG905" s="89"/>
      <c r="AH905" s="89"/>
      <c r="AI905" s="89"/>
      <c r="AJ905" s="89"/>
      <c r="AK905" s="89"/>
      <c r="AL905" s="89"/>
      <c r="AM905" s="89"/>
      <c r="AN905" s="89"/>
      <c r="AO905" s="89"/>
      <c r="AP905" s="89"/>
      <c r="AQ905" s="89"/>
      <c r="AR905" s="89"/>
      <c r="AS905" s="89"/>
      <c r="AT905" s="89"/>
      <c r="AU905" s="89"/>
      <c r="AV905" s="89"/>
      <c r="AW905" s="89"/>
      <c r="AX905" s="89"/>
      <c r="AY905" s="89"/>
      <c r="AZ905" s="89"/>
      <c r="BA905" s="95"/>
    </row>
    <row r="906" spans="1:53" s="87" customFormat="1">
      <c r="A906" s="90" t="str">
        <f t="shared" si="38"/>
        <v/>
      </c>
      <c r="B906" s="89"/>
      <c r="C906" s="89"/>
      <c r="D906" s="89"/>
      <c r="E906" s="89"/>
      <c r="F906" s="89"/>
      <c r="G906" s="89"/>
      <c r="H906" s="89"/>
      <c r="I906" s="89"/>
      <c r="J906" s="89"/>
      <c r="K906" s="89"/>
      <c r="L906" s="89"/>
      <c r="M906" s="89"/>
      <c r="N906" s="89"/>
      <c r="O906" s="89"/>
      <c r="P906" s="89"/>
      <c r="Q906" s="89"/>
      <c r="R906" s="89"/>
      <c r="S906" s="89"/>
      <c r="T906" s="89"/>
      <c r="U906" s="89"/>
      <c r="V906" s="89"/>
      <c r="W906" s="89"/>
      <c r="X906" s="89"/>
      <c r="Y906" s="89"/>
      <c r="Z906" s="89"/>
      <c r="AA906" s="89"/>
      <c r="AB906" s="89"/>
      <c r="AC906" s="89"/>
      <c r="AD906" s="89"/>
      <c r="AE906" s="89"/>
      <c r="AF906" s="89"/>
      <c r="AG906" s="89"/>
      <c r="AH906" s="89"/>
      <c r="AI906" s="89"/>
      <c r="AJ906" s="89"/>
      <c r="AK906" s="89"/>
      <c r="AL906" s="89"/>
      <c r="AM906" s="89"/>
      <c r="AN906" s="89"/>
      <c r="AO906" s="89"/>
      <c r="AP906" s="89"/>
      <c r="AQ906" s="89"/>
      <c r="AR906" s="89"/>
      <c r="AS906" s="89"/>
      <c r="AT906" s="89"/>
      <c r="AU906" s="89"/>
      <c r="AV906" s="89"/>
      <c r="AW906" s="89"/>
      <c r="AX906" s="89"/>
      <c r="AY906" s="89"/>
      <c r="AZ906" s="89"/>
      <c r="BA906" s="95"/>
    </row>
    <row r="907" spans="1:53" s="87" customFormat="1">
      <c r="A907" s="90" t="str">
        <f t="shared" si="38"/>
        <v/>
      </c>
      <c r="B907" s="89"/>
      <c r="C907" s="89"/>
      <c r="D907" s="89"/>
      <c r="E907" s="89"/>
      <c r="F907" s="89"/>
      <c r="G907" s="89"/>
      <c r="H907" s="89"/>
      <c r="I907" s="89"/>
      <c r="J907" s="89"/>
      <c r="K907" s="89"/>
      <c r="L907" s="89"/>
      <c r="M907" s="89"/>
      <c r="N907" s="89"/>
      <c r="O907" s="89"/>
      <c r="P907" s="89"/>
      <c r="Q907" s="89"/>
      <c r="R907" s="89"/>
      <c r="S907" s="89"/>
      <c r="T907" s="89"/>
      <c r="U907" s="89"/>
      <c r="V907" s="89"/>
      <c r="W907" s="89"/>
      <c r="X907" s="89"/>
      <c r="Y907" s="89"/>
      <c r="Z907" s="89"/>
      <c r="AA907" s="89"/>
      <c r="AB907" s="89"/>
      <c r="AC907" s="89"/>
      <c r="AD907" s="89"/>
      <c r="AE907" s="89"/>
      <c r="AF907" s="89"/>
      <c r="AG907" s="89"/>
      <c r="AH907" s="89"/>
      <c r="AI907" s="89"/>
      <c r="AJ907" s="89"/>
      <c r="AK907" s="89"/>
      <c r="AL907" s="89"/>
      <c r="AM907" s="89"/>
      <c r="AN907" s="89"/>
      <c r="AO907" s="89"/>
      <c r="AP907" s="89"/>
      <c r="AQ907" s="89"/>
      <c r="AR907" s="89"/>
      <c r="AS907" s="89"/>
      <c r="AT907" s="89"/>
      <c r="AU907" s="89"/>
      <c r="AV907" s="89"/>
      <c r="AW907" s="89"/>
      <c r="AX907" s="89"/>
      <c r="AY907" s="89"/>
      <c r="AZ907" s="89"/>
      <c r="BA907" s="95"/>
    </row>
    <row r="908" spans="1:53" s="87" customFormat="1">
      <c r="A908" s="90" t="str">
        <f t="shared" ref="A908:A971" si="39">IF(MID(B908,3,2)="10",ROW(),"")</f>
        <v/>
      </c>
      <c r="B908" s="89"/>
      <c r="C908" s="89"/>
      <c r="D908" s="89"/>
      <c r="E908" s="89"/>
      <c r="F908" s="89"/>
      <c r="G908" s="89"/>
      <c r="H908" s="89"/>
      <c r="I908" s="89"/>
      <c r="J908" s="89"/>
      <c r="K908" s="89"/>
      <c r="L908" s="89"/>
      <c r="M908" s="89"/>
      <c r="N908" s="89"/>
      <c r="O908" s="89"/>
      <c r="P908" s="89"/>
      <c r="Q908" s="89"/>
      <c r="R908" s="89"/>
      <c r="S908" s="89"/>
      <c r="T908" s="89"/>
      <c r="U908" s="89"/>
      <c r="V908" s="89"/>
      <c r="W908" s="89"/>
      <c r="X908" s="89"/>
      <c r="Y908" s="89"/>
      <c r="Z908" s="89"/>
      <c r="AA908" s="89"/>
      <c r="AB908" s="89"/>
      <c r="AC908" s="89"/>
      <c r="AD908" s="89"/>
      <c r="AE908" s="89"/>
      <c r="AF908" s="89"/>
      <c r="AG908" s="89"/>
      <c r="AH908" s="89"/>
      <c r="AI908" s="89"/>
      <c r="AJ908" s="89"/>
      <c r="AK908" s="89"/>
      <c r="AL908" s="89"/>
      <c r="AM908" s="89"/>
      <c r="AN908" s="89"/>
      <c r="AO908" s="89"/>
      <c r="AP908" s="89"/>
      <c r="AQ908" s="89"/>
      <c r="AR908" s="89"/>
      <c r="AS908" s="89"/>
      <c r="AT908" s="89"/>
      <c r="AU908" s="89"/>
      <c r="AV908" s="89"/>
      <c r="AW908" s="89"/>
      <c r="AX908" s="89"/>
      <c r="AY908" s="89"/>
      <c r="AZ908" s="89"/>
      <c r="BA908" s="95"/>
    </row>
    <row r="909" spans="1:53" s="87" customFormat="1">
      <c r="A909" s="90" t="str">
        <f t="shared" si="39"/>
        <v/>
      </c>
      <c r="B909" s="89"/>
      <c r="C909" s="89"/>
      <c r="D909" s="89"/>
      <c r="E909" s="89"/>
      <c r="F909" s="89"/>
      <c r="G909" s="89"/>
      <c r="H909" s="89"/>
      <c r="I909" s="89"/>
      <c r="J909" s="89"/>
      <c r="K909" s="89"/>
      <c r="L909" s="89"/>
      <c r="M909" s="89"/>
      <c r="N909" s="89"/>
      <c r="O909" s="89"/>
      <c r="P909" s="89"/>
      <c r="Q909" s="89"/>
      <c r="R909" s="89"/>
      <c r="S909" s="89"/>
      <c r="T909" s="89"/>
      <c r="U909" s="89"/>
      <c r="V909" s="89"/>
      <c r="W909" s="89"/>
      <c r="X909" s="89"/>
      <c r="Y909" s="89"/>
      <c r="Z909" s="89"/>
      <c r="AA909" s="89"/>
      <c r="AB909" s="89"/>
      <c r="AC909" s="89"/>
      <c r="AD909" s="89"/>
      <c r="AE909" s="89"/>
      <c r="AF909" s="89"/>
      <c r="AG909" s="89"/>
      <c r="AH909" s="89"/>
      <c r="AI909" s="89"/>
      <c r="AJ909" s="89"/>
      <c r="AK909" s="89"/>
      <c r="AL909" s="89"/>
      <c r="AM909" s="89"/>
      <c r="AN909" s="89"/>
      <c r="AO909" s="89"/>
      <c r="AP909" s="89"/>
      <c r="AQ909" s="89"/>
      <c r="AR909" s="89"/>
      <c r="AS909" s="89"/>
      <c r="AT909" s="89"/>
      <c r="AU909" s="89"/>
      <c r="AV909" s="89"/>
      <c r="AW909" s="89"/>
      <c r="AX909" s="89"/>
      <c r="AY909" s="89"/>
      <c r="AZ909" s="89"/>
      <c r="BA909" s="95"/>
    </row>
    <row r="910" spans="1:53" s="87" customFormat="1">
      <c r="A910" s="90" t="str">
        <f t="shared" si="39"/>
        <v/>
      </c>
      <c r="B910" s="89"/>
      <c r="C910" s="89"/>
      <c r="D910" s="89"/>
      <c r="E910" s="89"/>
      <c r="F910" s="89"/>
      <c r="G910" s="89"/>
      <c r="H910" s="89"/>
      <c r="I910" s="89"/>
      <c r="J910" s="89"/>
      <c r="K910" s="89"/>
      <c r="L910" s="89"/>
      <c r="M910" s="89"/>
      <c r="N910" s="89"/>
      <c r="O910" s="89"/>
      <c r="P910" s="89"/>
      <c r="Q910" s="89"/>
      <c r="R910" s="89"/>
      <c r="S910" s="89"/>
      <c r="T910" s="89"/>
      <c r="U910" s="89"/>
      <c r="V910" s="89"/>
      <c r="W910" s="89"/>
      <c r="X910" s="89"/>
      <c r="Y910" s="89"/>
      <c r="Z910" s="89"/>
      <c r="AA910" s="89"/>
      <c r="AB910" s="89"/>
      <c r="AC910" s="89"/>
      <c r="AD910" s="89"/>
      <c r="AE910" s="89"/>
      <c r="AF910" s="89"/>
      <c r="AG910" s="89"/>
      <c r="AH910" s="89"/>
      <c r="AI910" s="89"/>
      <c r="AJ910" s="89"/>
      <c r="AK910" s="89"/>
      <c r="AL910" s="89"/>
      <c r="AM910" s="89"/>
      <c r="AN910" s="89"/>
      <c r="AO910" s="89"/>
      <c r="AP910" s="89"/>
      <c r="AQ910" s="89"/>
      <c r="AR910" s="89"/>
      <c r="AS910" s="89"/>
      <c r="AT910" s="89"/>
      <c r="AU910" s="89"/>
      <c r="AV910" s="89"/>
      <c r="AW910" s="89"/>
      <c r="AX910" s="89"/>
      <c r="AY910" s="89"/>
      <c r="AZ910" s="89"/>
      <c r="BA910" s="95"/>
    </row>
    <row r="911" spans="1:53" s="87" customFormat="1">
      <c r="A911" s="90" t="str">
        <f t="shared" si="39"/>
        <v/>
      </c>
      <c r="B911" s="89"/>
      <c r="C911" s="89"/>
      <c r="D911" s="89"/>
      <c r="E911" s="89"/>
      <c r="F911" s="89"/>
      <c r="G911" s="89"/>
      <c r="H911" s="89"/>
      <c r="I911" s="89"/>
      <c r="J911" s="89"/>
      <c r="K911" s="89"/>
      <c r="L911" s="89"/>
      <c r="M911" s="89"/>
      <c r="N911" s="89"/>
      <c r="O911" s="89"/>
      <c r="P911" s="89"/>
      <c r="Q911" s="89"/>
      <c r="R911" s="89"/>
      <c r="S911" s="89"/>
      <c r="T911" s="89"/>
      <c r="U911" s="89"/>
      <c r="V911" s="89"/>
      <c r="W911" s="89"/>
      <c r="X911" s="89"/>
      <c r="Y911" s="89"/>
      <c r="Z911" s="89"/>
      <c r="AA911" s="89"/>
      <c r="AB911" s="89"/>
      <c r="AC911" s="89"/>
      <c r="AD911" s="89"/>
      <c r="AE911" s="89"/>
      <c r="AF911" s="89"/>
      <c r="AG911" s="89"/>
      <c r="AH911" s="89"/>
      <c r="AI911" s="89"/>
      <c r="AJ911" s="89"/>
      <c r="AK911" s="89"/>
      <c r="AL911" s="89"/>
      <c r="AM911" s="89"/>
      <c r="AN911" s="89"/>
      <c r="AO911" s="89"/>
      <c r="AP911" s="89"/>
      <c r="AQ911" s="89"/>
      <c r="AR911" s="89"/>
      <c r="AS911" s="89"/>
      <c r="AT911" s="89"/>
      <c r="AU911" s="89"/>
      <c r="AV911" s="89"/>
      <c r="AW911" s="89"/>
      <c r="AX911" s="89"/>
      <c r="AY911" s="89"/>
      <c r="AZ911" s="89"/>
      <c r="BA911" s="95"/>
    </row>
    <row r="912" spans="1:53" s="87" customFormat="1">
      <c r="A912" s="90" t="str">
        <f t="shared" si="39"/>
        <v/>
      </c>
      <c r="B912" s="89"/>
      <c r="C912" s="89"/>
      <c r="D912" s="89"/>
      <c r="E912" s="89"/>
      <c r="F912" s="89"/>
      <c r="G912" s="89"/>
      <c r="H912" s="89"/>
      <c r="I912" s="89"/>
      <c r="J912" s="89"/>
      <c r="K912" s="89"/>
      <c r="L912" s="89"/>
      <c r="M912" s="89"/>
      <c r="N912" s="89"/>
      <c r="O912" s="89"/>
      <c r="P912" s="89"/>
      <c r="Q912" s="89"/>
      <c r="R912" s="89"/>
      <c r="S912" s="89"/>
      <c r="T912" s="89"/>
      <c r="U912" s="89"/>
      <c r="V912" s="89"/>
      <c r="W912" s="89"/>
      <c r="X912" s="89"/>
      <c r="Y912" s="89"/>
      <c r="Z912" s="89"/>
      <c r="AA912" s="89"/>
      <c r="AB912" s="89"/>
      <c r="AC912" s="89"/>
      <c r="AD912" s="89"/>
      <c r="AE912" s="89"/>
      <c r="AF912" s="89"/>
      <c r="AG912" s="89"/>
      <c r="AH912" s="89"/>
      <c r="AI912" s="89"/>
      <c r="AJ912" s="89"/>
      <c r="AK912" s="89"/>
      <c r="AL912" s="89"/>
      <c r="AM912" s="89"/>
      <c r="AN912" s="89"/>
      <c r="AO912" s="89"/>
      <c r="AP912" s="89"/>
      <c r="AQ912" s="89"/>
      <c r="AR912" s="89"/>
      <c r="AS912" s="89"/>
      <c r="AT912" s="89"/>
      <c r="AU912" s="89"/>
      <c r="AV912" s="89"/>
      <c r="AW912" s="89"/>
      <c r="AX912" s="89"/>
      <c r="AY912" s="89"/>
      <c r="AZ912" s="89"/>
      <c r="BA912" s="95"/>
    </row>
    <row r="913" spans="1:53" s="87" customFormat="1">
      <c r="A913" s="90" t="str">
        <f t="shared" si="39"/>
        <v/>
      </c>
      <c r="B913" s="89"/>
      <c r="C913" s="89"/>
      <c r="D913" s="89"/>
      <c r="E913" s="89"/>
      <c r="F913" s="89"/>
      <c r="G913" s="89"/>
      <c r="H913" s="89"/>
      <c r="I913" s="89"/>
      <c r="J913" s="89"/>
      <c r="K913" s="89"/>
      <c r="L913" s="89"/>
      <c r="M913" s="89"/>
      <c r="N913" s="89"/>
      <c r="O913" s="89"/>
      <c r="P913" s="89"/>
      <c r="Q913" s="89"/>
      <c r="R913" s="89"/>
      <c r="S913" s="89"/>
      <c r="T913" s="89"/>
      <c r="U913" s="89"/>
      <c r="V913" s="89"/>
      <c r="W913" s="89"/>
      <c r="X913" s="89"/>
      <c r="Y913" s="89"/>
      <c r="Z913" s="89"/>
      <c r="AA913" s="89"/>
      <c r="AB913" s="89"/>
      <c r="AC913" s="89"/>
      <c r="AD913" s="89"/>
      <c r="AE913" s="89"/>
      <c r="AF913" s="89"/>
      <c r="AG913" s="89"/>
      <c r="AH913" s="89"/>
      <c r="AI913" s="89"/>
      <c r="AJ913" s="89"/>
      <c r="AK913" s="89"/>
      <c r="AL913" s="89"/>
      <c r="AM913" s="89"/>
      <c r="AN913" s="89"/>
      <c r="AO913" s="89"/>
      <c r="AP913" s="89"/>
      <c r="AQ913" s="89"/>
      <c r="AR913" s="89"/>
      <c r="AS913" s="89"/>
      <c r="AT913" s="89"/>
      <c r="AU913" s="89"/>
      <c r="AV913" s="89"/>
      <c r="AW913" s="89"/>
      <c r="AX913" s="89"/>
      <c r="AY913" s="89"/>
      <c r="AZ913" s="89"/>
      <c r="BA913" s="95"/>
    </row>
    <row r="914" spans="1:53" s="87" customFormat="1">
      <c r="A914" s="90" t="str">
        <f t="shared" si="39"/>
        <v/>
      </c>
      <c r="B914" s="89"/>
      <c r="C914" s="89"/>
      <c r="D914" s="89"/>
      <c r="E914" s="89"/>
      <c r="F914" s="89"/>
      <c r="G914" s="89"/>
      <c r="H914" s="89"/>
      <c r="I914" s="89"/>
      <c r="J914" s="89"/>
      <c r="K914" s="89"/>
      <c r="L914" s="89"/>
      <c r="M914" s="89"/>
      <c r="N914" s="89"/>
      <c r="O914" s="89"/>
      <c r="P914" s="89"/>
      <c r="Q914" s="89"/>
      <c r="R914" s="89"/>
      <c r="S914" s="89"/>
      <c r="T914" s="89"/>
      <c r="U914" s="89"/>
      <c r="V914" s="89"/>
      <c r="W914" s="89"/>
      <c r="X914" s="89"/>
      <c r="Y914" s="89"/>
      <c r="Z914" s="89"/>
      <c r="AA914" s="89"/>
      <c r="AB914" s="89"/>
      <c r="AC914" s="89"/>
      <c r="AD914" s="89"/>
      <c r="AE914" s="89"/>
      <c r="AF914" s="89"/>
      <c r="AG914" s="89"/>
      <c r="AH914" s="89"/>
      <c r="AI914" s="89"/>
      <c r="AJ914" s="89"/>
      <c r="AK914" s="89"/>
      <c r="AL914" s="89"/>
      <c r="AM914" s="89"/>
      <c r="AN914" s="89"/>
      <c r="AO914" s="89"/>
      <c r="AP914" s="89"/>
      <c r="AQ914" s="89"/>
      <c r="AR914" s="89"/>
      <c r="AS914" s="89"/>
      <c r="AT914" s="89"/>
      <c r="AU914" s="89"/>
      <c r="AV914" s="89"/>
      <c r="AW914" s="89"/>
      <c r="AX914" s="89"/>
      <c r="AY914" s="89"/>
      <c r="AZ914" s="89"/>
      <c r="BA914" s="95"/>
    </row>
    <row r="915" spans="1:53" s="87" customFormat="1">
      <c r="A915" s="90" t="str">
        <f t="shared" si="39"/>
        <v/>
      </c>
      <c r="B915" s="89"/>
      <c r="C915" s="89"/>
      <c r="D915" s="89"/>
      <c r="E915" s="89"/>
      <c r="F915" s="89"/>
      <c r="G915" s="89"/>
      <c r="H915" s="89"/>
      <c r="I915" s="89"/>
      <c r="J915" s="89"/>
      <c r="K915" s="89"/>
      <c r="L915" s="89"/>
      <c r="M915" s="89"/>
      <c r="N915" s="89"/>
      <c r="O915" s="89"/>
      <c r="P915" s="89"/>
      <c r="Q915" s="89"/>
      <c r="R915" s="89"/>
      <c r="S915" s="89"/>
      <c r="T915" s="89"/>
      <c r="U915" s="89"/>
      <c r="V915" s="89"/>
      <c r="W915" s="89"/>
      <c r="X915" s="89"/>
      <c r="Y915" s="89"/>
      <c r="Z915" s="89"/>
      <c r="AA915" s="89"/>
      <c r="AB915" s="89"/>
      <c r="AC915" s="89"/>
      <c r="AD915" s="89"/>
      <c r="AE915" s="89"/>
      <c r="AF915" s="89"/>
      <c r="AG915" s="89"/>
      <c r="AH915" s="89"/>
      <c r="AI915" s="89"/>
      <c r="AJ915" s="89"/>
      <c r="AK915" s="89"/>
      <c r="AL915" s="89"/>
      <c r="AM915" s="89"/>
      <c r="AN915" s="89"/>
      <c r="AO915" s="89"/>
      <c r="AP915" s="89"/>
      <c r="AQ915" s="89"/>
      <c r="AR915" s="89"/>
      <c r="AS915" s="89"/>
      <c r="AT915" s="89"/>
      <c r="AU915" s="89"/>
      <c r="AV915" s="89"/>
      <c r="AW915" s="89"/>
      <c r="AX915" s="89"/>
      <c r="AY915" s="89"/>
      <c r="AZ915" s="89"/>
      <c r="BA915" s="95"/>
    </row>
    <row r="916" spans="1:53" s="87" customFormat="1">
      <c r="A916" s="90" t="str">
        <f t="shared" si="39"/>
        <v/>
      </c>
      <c r="B916" s="89"/>
      <c r="C916" s="89"/>
      <c r="D916" s="89"/>
      <c r="E916" s="89"/>
      <c r="F916" s="89"/>
      <c r="G916" s="89"/>
      <c r="H916" s="89"/>
      <c r="I916" s="89"/>
      <c r="J916" s="89"/>
      <c r="K916" s="89"/>
      <c r="L916" s="89"/>
      <c r="M916" s="89"/>
      <c r="N916" s="89"/>
      <c r="O916" s="89"/>
      <c r="P916" s="89"/>
      <c r="Q916" s="89"/>
      <c r="R916" s="89"/>
      <c r="S916" s="89"/>
      <c r="T916" s="89"/>
      <c r="U916" s="89"/>
      <c r="V916" s="89"/>
      <c r="W916" s="89"/>
      <c r="X916" s="89"/>
      <c r="Y916" s="89"/>
      <c r="Z916" s="89"/>
      <c r="AA916" s="89"/>
      <c r="AB916" s="89"/>
      <c r="AC916" s="89"/>
      <c r="AD916" s="89"/>
      <c r="AE916" s="89"/>
      <c r="AF916" s="89"/>
      <c r="AG916" s="89"/>
      <c r="AH916" s="89"/>
      <c r="AI916" s="89"/>
      <c r="AJ916" s="89"/>
      <c r="AK916" s="89"/>
      <c r="AL916" s="89"/>
      <c r="AM916" s="89"/>
      <c r="AN916" s="89"/>
      <c r="AO916" s="89"/>
      <c r="AP916" s="89"/>
      <c r="AQ916" s="89"/>
      <c r="AR916" s="89"/>
      <c r="AS916" s="89"/>
      <c r="AT916" s="89"/>
      <c r="AU916" s="89"/>
      <c r="AV916" s="89"/>
      <c r="AW916" s="89"/>
      <c r="AX916" s="89"/>
      <c r="AY916" s="89"/>
      <c r="AZ916" s="89"/>
      <c r="BA916" s="95"/>
    </row>
    <row r="917" spans="1:53" s="87" customFormat="1">
      <c r="A917" s="90" t="str">
        <f t="shared" si="39"/>
        <v/>
      </c>
      <c r="B917" s="89"/>
      <c r="C917" s="89"/>
      <c r="D917" s="89"/>
      <c r="E917" s="89"/>
      <c r="F917" s="89"/>
      <c r="G917" s="89"/>
      <c r="H917" s="89"/>
      <c r="I917" s="89"/>
      <c r="J917" s="89"/>
      <c r="K917" s="89"/>
      <c r="L917" s="89"/>
      <c r="M917" s="89"/>
      <c r="N917" s="89"/>
      <c r="O917" s="89"/>
      <c r="P917" s="89"/>
      <c r="Q917" s="89"/>
      <c r="R917" s="89"/>
      <c r="S917" s="89"/>
      <c r="T917" s="89"/>
      <c r="U917" s="89"/>
      <c r="V917" s="89"/>
      <c r="W917" s="89"/>
      <c r="X917" s="89"/>
      <c r="Y917" s="89"/>
      <c r="Z917" s="89"/>
      <c r="AA917" s="89"/>
      <c r="AB917" s="89"/>
      <c r="AC917" s="89"/>
      <c r="AD917" s="89"/>
      <c r="AE917" s="89"/>
      <c r="AF917" s="89"/>
      <c r="AG917" s="89"/>
      <c r="AH917" s="89"/>
      <c r="AI917" s="89"/>
      <c r="AJ917" s="89"/>
      <c r="AK917" s="89"/>
      <c r="AL917" s="89"/>
      <c r="AM917" s="89"/>
      <c r="AN917" s="89"/>
      <c r="AO917" s="89"/>
      <c r="AP917" s="89"/>
      <c r="AQ917" s="89"/>
      <c r="AR917" s="89"/>
      <c r="AS917" s="89"/>
      <c r="AT917" s="89"/>
      <c r="AU917" s="89"/>
      <c r="AV917" s="89"/>
      <c r="AW917" s="89"/>
      <c r="AX917" s="89"/>
      <c r="AY917" s="89"/>
      <c r="AZ917" s="89"/>
      <c r="BA917" s="95"/>
    </row>
    <row r="918" spans="1:53" s="87" customFormat="1">
      <c r="A918" s="90" t="str">
        <f t="shared" si="39"/>
        <v/>
      </c>
      <c r="B918" s="89"/>
      <c r="C918" s="89"/>
      <c r="D918" s="89"/>
      <c r="E918" s="89"/>
      <c r="F918" s="89"/>
      <c r="G918" s="89"/>
      <c r="H918" s="89"/>
      <c r="I918" s="89"/>
      <c r="J918" s="89"/>
      <c r="K918" s="89"/>
      <c r="L918" s="89"/>
      <c r="M918" s="89"/>
      <c r="N918" s="89"/>
      <c r="O918" s="89"/>
      <c r="P918" s="89"/>
      <c r="Q918" s="89"/>
      <c r="R918" s="89"/>
      <c r="S918" s="89"/>
      <c r="T918" s="89"/>
      <c r="U918" s="89"/>
      <c r="V918" s="89"/>
      <c r="W918" s="89"/>
      <c r="X918" s="89"/>
      <c r="Y918" s="89"/>
      <c r="Z918" s="89"/>
      <c r="AA918" s="89"/>
      <c r="AB918" s="89"/>
      <c r="AC918" s="89"/>
      <c r="AD918" s="89"/>
      <c r="AE918" s="89"/>
      <c r="AF918" s="89"/>
      <c r="AG918" s="89"/>
      <c r="AH918" s="89"/>
      <c r="AI918" s="89"/>
      <c r="AJ918" s="89"/>
      <c r="AK918" s="89"/>
      <c r="AL918" s="89"/>
      <c r="AM918" s="89"/>
      <c r="AN918" s="89"/>
      <c r="AO918" s="89"/>
      <c r="AP918" s="89"/>
      <c r="AQ918" s="89"/>
      <c r="AR918" s="89"/>
      <c r="AS918" s="89"/>
      <c r="AT918" s="89"/>
      <c r="AU918" s="89"/>
      <c r="AV918" s="89"/>
      <c r="AW918" s="89"/>
      <c r="AX918" s="89"/>
      <c r="AY918" s="89"/>
      <c r="AZ918" s="89"/>
      <c r="BA918" s="95"/>
    </row>
    <row r="919" spans="1:53" s="87" customFormat="1">
      <c r="A919" s="90" t="str">
        <f t="shared" si="39"/>
        <v/>
      </c>
      <c r="B919" s="89"/>
      <c r="C919" s="89"/>
      <c r="D919" s="89"/>
      <c r="E919" s="89"/>
      <c r="F919" s="89"/>
      <c r="G919" s="89"/>
      <c r="H919" s="89"/>
      <c r="I919" s="89"/>
      <c r="J919" s="89"/>
      <c r="K919" s="89"/>
      <c r="L919" s="89"/>
      <c r="M919" s="89"/>
      <c r="N919" s="89"/>
      <c r="O919" s="89"/>
      <c r="P919" s="89"/>
      <c r="Q919" s="89"/>
      <c r="R919" s="89"/>
      <c r="S919" s="89"/>
      <c r="T919" s="89"/>
      <c r="U919" s="89"/>
      <c r="V919" s="89"/>
      <c r="W919" s="89"/>
      <c r="X919" s="89"/>
      <c r="Y919" s="89"/>
      <c r="Z919" s="89"/>
      <c r="AA919" s="89"/>
      <c r="AB919" s="89"/>
      <c r="AC919" s="89"/>
      <c r="AD919" s="89"/>
      <c r="AE919" s="89"/>
      <c r="AF919" s="89"/>
      <c r="AG919" s="89"/>
      <c r="AH919" s="89"/>
      <c r="AI919" s="89"/>
      <c r="AJ919" s="89"/>
      <c r="AK919" s="89"/>
      <c r="AL919" s="89"/>
      <c r="AM919" s="89"/>
      <c r="AN919" s="89"/>
      <c r="AO919" s="89"/>
      <c r="AP919" s="89"/>
      <c r="AQ919" s="89"/>
      <c r="AR919" s="89"/>
      <c r="AS919" s="89"/>
      <c r="AT919" s="89"/>
      <c r="AU919" s="89"/>
      <c r="AV919" s="89"/>
      <c r="AW919" s="89"/>
      <c r="AX919" s="89"/>
      <c r="AY919" s="89"/>
      <c r="AZ919" s="89"/>
      <c r="BA919" s="95"/>
    </row>
    <row r="920" spans="1:53" s="87" customFormat="1">
      <c r="A920" s="90" t="str">
        <f t="shared" si="39"/>
        <v/>
      </c>
      <c r="B920" s="89"/>
      <c r="C920" s="89"/>
      <c r="D920" s="89"/>
      <c r="E920" s="89"/>
      <c r="F920" s="89"/>
      <c r="G920" s="89"/>
      <c r="H920" s="89"/>
      <c r="I920" s="89"/>
      <c r="J920" s="89"/>
      <c r="K920" s="89"/>
      <c r="L920" s="89"/>
      <c r="M920" s="89"/>
      <c r="N920" s="89"/>
      <c r="O920" s="89"/>
      <c r="P920" s="89"/>
      <c r="Q920" s="89"/>
      <c r="R920" s="89"/>
      <c r="S920" s="89"/>
      <c r="T920" s="89"/>
      <c r="U920" s="89"/>
      <c r="V920" s="89"/>
      <c r="W920" s="89"/>
      <c r="X920" s="89"/>
      <c r="Y920" s="89"/>
      <c r="Z920" s="89"/>
      <c r="AA920" s="89"/>
      <c r="AB920" s="89"/>
      <c r="AC920" s="89"/>
      <c r="AD920" s="89"/>
      <c r="AE920" s="89"/>
      <c r="AF920" s="89"/>
      <c r="AG920" s="89"/>
      <c r="AH920" s="89"/>
      <c r="AI920" s="89"/>
      <c r="AJ920" s="89"/>
      <c r="AK920" s="89"/>
      <c r="AL920" s="89"/>
      <c r="AM920" s="89"/>
      <c r="AN920" s="89"/>
      <c r="AO920" s="89"/>
      <c r="AP920" s="89"/>
      <c r="AQ920" s="89"/>
      <c r="AR920" s="89"/>
      <c r="AS920" s="89"/>
      <c r="AT920" s="89"/>
      <c r="AU920" s="89"/>
      <c r="AV920" s="89"/>
      <c r="AW920" s="89"/>
      <c r="AX920" s="89"/>
      <c r="AY920" s="89"/>
      <c r="AZ920" s="89"/>
      <c r="BA920" s="95"/>
    </row>
    <row r="921" spans="1:53" s="87" customFormat="1">
      <c r="A921" s="90" t="str">
        <f t="shared" si="39"/>
        <v/>
      </c>
      <c r="B921" s="89"/>
      <c r="C921" s="89"/>
      <c r="D921" s="89"/>
      <c r="E921" s="89"/>
      <c r="F921" s="89"/>
      <c r="G921" s="89"/>
      <c r="H921" s="89"/>
      <c r="I921" s="89"/>
      <c r="J921" s="89"/>
      <c r="K921" s="89"/>
      <c r="L921" s="89"/>
      <c r="M921" s="89"/>
      <c r="N921" s="89"/>
      <c r="O921" s="89"/>
      <c r="P921" s="89"/>
      <c r="Q921" s="89"/>
      <c r="R921" s="89"/>
      <c r="S921" s="89"/>
      <c r="T921" s="89"/>
      <c r="U921" s="89"/>
      <c r="V921" s="89"/>
      <c r="W921" s="89"/>
      <c r="X921" s="89"/>
      <c r="Y921" s="89"/>
      <c r="Z921" s="89"/>
      <c r="AA921" s="89"/>
      <c r="AB921" s="89"/>
      <c r="AC921" s="89"/>
      <c r="AD921" s="89"/>
      <c r="AE921" s="89"/>
      <c r="AF921" s="89"/>
      <c r="AG921" s="89"/>
      <c r="AH921" s="89"/>
      <c r="AI921" s="89"/>
      <c r="AJ921" s="89"/>
      <c r="AK921" s="89"/>
      <c r="AL921" s="89"/>
      <c r="AM921" s="89"/>
      <c r="AN921" s="89"/>
      <c r="AO921" s="89"/>
      <c r="AP921" s="89"/>
      <c r="AQ921" s="89"/>
      <c r="AR921" s="89"/>
      <c r="AS921" s="89"/>
      <c r="AT921" s="89"/>
      <c r="AU921" s="89"/>
      <c r="AV921" s="89"/>
      <c r="AW921" s="89"/>
      <c r="AX921" s="89"/>
      <c r="AY921" s="89"/>
      <c r="AZ921" s="89"/>
      <c r="BA921" s="95"/>
    </row>
    <row r="922" spans="1:53" s="87" customFormat="1">
      <c r="A922" s="90" t="str">
        <f t="shared" si="39"/>
        <v/>
      </c>
      <c r="B922" s="89"/>
      <c r="C922" s="89"/>
      <c r="D922" s="89"/>
      <c r="E922" s="89"/>
      <c r="F922" s="89"/>
      <c r="G922" s="89"/>
      <c r="H922" s="89"/>
      <c r="I922" s="89"/>
      <c r="J922" s="89"/>
      <c r="K922" s="89"/>
      <c r="L922" s="89"/>
      <c r="M922" s="89"/>
      <c r="N922" s="89"/>
      <c r="O922" s="89"/>
      <c r="P922" s="89"/>
      <c r="Q922" s="89"/>
      <c r="R922" s="89"/>
      <c r="S922" s="89"/>
      <c r="T922" s="89"/>
      <c r="U922" s="89"/>
      <c r="V922" s="89"/>
      <c r="W922" s="89"/>
      <c r="X922" s="89"/>
      <c r="Y922" s="89"/>
      <c r="Z922" s="89"/>
      <c r="AA922" s="89"/>
      <c r="AB922" s="89"/>
      <c r="AC922" s="89"/>
      <c r="AD922" s="89"/>
      <c r="AE922" s="89"/>
      <c r="AF922" s="89"/>
      <c r="AG922" s="89"/>
      <c r="AH922" s="89"/>
      <c r="AI922" s="89"/>
      <c r="AJ922" s="89"/>
      <c r="AK922" s="89"/>
      <c r="AL922" s="89"/>
      <c r="AM922" s="89"/>
      <c r="AN922" s="89"/>
      <c r="AO922" s="89"/>
      <c r="AP922" s="89"/>
      <c r="AQ922" s="89"/>
      <c r="AR922" s="89"/>
      <c r="AS922" s="89"/>
      <c r="AT922" s="89"/>
      <c r="AU922" s="89"/>
      <c r="AV922" s="89"/>
      <c r="AW922" s="89"/>
      <c r="AX922" s="89"/>
      <c r="AY922" s="89"/>
      <c r="AZ922" s="89"/>
      <c r="BA922" s="95"/>
    </row>
    <row r="923" spans="1:53" s="87" customFormat="1">
      <c r="A923" s="90" t="str">
        <f t="shared" si="39"/>
        <v/>
      </c>
      <c r="B923" s="89"/>
      <c r="C923" s="89"/>
      <c r="D923" s="89"/>
      <c r="E923" s="89"/>
      <c r="F923" s="89"/>
      <c r="G923" s="89"/>
      <c r="H923" s="89"/>
      <c r="I923" s="89"/>
      <c r="J923" s="89"/>
      <c r="K923" s="89"/>
      <c r="L923" s="89"/>
      <c r="M923" s="89"/>
      <c r="N923" s="89"/>
      <c r="O923" s="89"/>
      <c r="P923" s="89"/>
      <c r="Q923" s="89"/>
      <c r="R923" s="89"/>
      <c r="S923" s="89"/>
      <c r="T923" s="89"/>
      <c r="U923" s="89"/>
      <c r="V923" s="89"/>
      <c r="W923" s="89"/>
      <c r="X923" s="89"/>
      <c r="Y923" s="89"/>
      <c r="Z923" s="89"/>
      <c r="AA923" s="89"/>
      <c r="AB923" s="89"/>
      <c r="AC923" s="89"/>
      <c r="AD923" s="89"/>
      <c r="AE923" s="89"/>
      <c r="AF923" s="89"/>
      <c r="AG923" s="89"/>
      <c r="AH923" s="89"/>
      <c r="AI923" s="89"/>
      <c r="AJ923" s="89"/>
      <c r="AK923" s="89"/>
      <c r="AL923" s="89"/>
      <c r="AM923" s="89"/>
      <c r="AN923" s="89"/>
      <c r="AO923" s="89"/>
      <c r="AP923" s="89"/>
      <c r="AQ923" s="89"/>
      <c r="AR923" s="89"/>
      <c r="AS923" s="89"/>
      <c r="AT923" s="89"/>
      <c r="AU923" s="89"/>
      <c r="AV923" s="89"/>
      <c r="AW923" s="89"/>
      <c r="AX923" s="89"/>
      <c r="AY923" s="89"/>
      <c r="AZ923" s="89"/>
      <c r="BA923" s="95"/>
    </row>
    <row r="924" spans="1:53" s="87" customFormat="1">
      <c r="A924" s="90" t="str">
        <f t="shared" si="39"/>
        <v/>
      </c>
      <c r="B924" s="89"/>
      <c r="C924" s="89"/>
      <c r="D924" s="89"/>
      <c r="E924" s="89"/>
      <c r="F924" s="89"/>
      <c r="G924" s="89"/>
      <c r="H924" s="89"/>
      <c r="I924" s="89"/>
      <c r="J924" s="89"/>
      <c r="K924" s="89"/>
      <c r="L924" s="89"/>
      <c r="M924" s="89"/>
      <c r="N924" s="89"/>
      <c r="O924" s="89"/>
      <c r="P924" s="89"/>
      <c r="Q924" s="89"/>
      <c r="R924" s="89"/>
      <c r="S924" s="89"/>
      <c r="T924" s="89"/>
      <c r="U924" s="89"/>
      <c r="V924" s="89"/>
      <c r="W924" s="89"/>
      <c r="X924" s="89"/>
      <c r="Y924" s="89"/>
      <c r="Z924" s="89"/>
      <c r="AA924" s="89"/>
      <c r="AB924" s="89"/>
      <c r="AC924" s="89"/>
      <c r="AD924" s="89"/>
      <c r="AE924" s="89"/>
      <c r="AF924" s="89"/>
      <c r="AG924" s="89"/>
      <c r="AH924" s="89"/>
      <c r="AI924" s="89"/>
      <c r="AJ924" s="89"/>
      <c r="AK924" s="89"/>
      <c r="AL924" s="89"/>
      <c r="AM924" s="89"/>
      <c r="AN924" s="89"/>
      <c r="AO924" s="89"/>
      <c r="AP924" s="89"/>
      <c r="AQ924" s="89"/>
      <c r="AR924" s="89"/>
      <c r="AS924" s="89"/>
      <c r="AT924" s="89"/>
      <c r="AU924" s="89"/>
      <c r="AV924" s="89"/>
      <c r="AW924" s="89"/>
      <c r="AX924" s="89"/>
      <c r="AY924" s="89"/>
      <c r="AZ924" s="89"/>
      <c r="BA924" s="95"/>
    </row>
    <row r="925" spans="1:53" s="87" customFormat="1">
      <c r="A925" s="90" t="str">
        <f t="shared" si="39"/>
        <v/>
      </c>
      <c r="B925" s="89"/>
      <c r="C925" s="89"/>
      <c r="D925" s="89"/>
      <c r="E925" s="89"/>
      <c r="F925" s="89"/>
      <c r="G925" s="89"/>
      <c r="H925" s="89"/>
      <c r="I925" s="89"/>
      <c r="J925" s="89"/>
      <c r="K925" s="89"/>
      <c r="L925" s="89"/>
      <c r="M925" s="89"/>
      <c r="N925" s="89"/>
      <c r="O925" s="89"/>
      <c r="P925" s="89"/>
      <c r="Q925" s="89"/>
      <c r="R925" s="89"/>
      <c r="S925" s="89"/>
      <c r="T925" s="89"/>
      <c r="U925" s="89"/>
      <c r="V925" s="89"/>
      <c r="W925" s="89"/>
      <c r="X925" s="89"/>
      <c r="Y925" s="89"/>
      <c r="Z925" s="89"/>
      <c r="AA925" s="89"/>
      <c r="AB925" s="89"/>
      <c r="AC925" s="89"/>
      <c r="AD925" s="89"/>
      <c r="AE925" s="89"/>
      <c r="AF925" s="89"/>
      <c r="AG925" s="89"/>
      <c r="AH925" s="89"/>
      <c r="AI925" s="89"/>
      <c r="AJ925" s="89"/>
      <c r="AK925" s="89"/>
      <c r="AL925" s="89"/>
      <c r="AM925" s="89"/>
      <c r="AN925" s="89"/>
      <c r="AO925" s="89"/>
      <c r="AP925" s="89"/>
      <c r="AQ925" s="89"/>
      <c r="AR925" s="89"/>
      <c r="AS925" s="89"/>
      <c r="AT925" s="89"/>
      <c r="AU925" s="89"/>
      <c r="AV925" s="89"/>
      <c r="AW925" s="89"/>
      <c r="AX925" s="89"/>
      <c r="AY925" s="89"/>
      <c r="AZ925" s="89"/>
      <c r="BA925" s="95"/>
    </row>
    <row r="926" spans="1:53" s="87" customFormat="1">
      <c r="A926" s="90" t="str">
        <f t="shared" si="39"/>
        <v/>
      </c>
      <c r="B926" s="89"/>
      <c r="C926" s="89"/>
      <c r="D926" s="89"/>
      <c r="E926" s="89"/>
      <c r="F926" s="89"/>
      <c r="G926" s="89"/>
      <c r="H926" s="89"/>
      <c r="I926" s="89"/>
      <c r="J926" s="89"/>
      <c r="K926" s="89"/>
      <c r="L926" s="89"/>
      <c r="M926" s="89"/>
      <c r="N926" s="89"/>
      <c r="O926" s="89"/>
      <c r="P926" s="89"/>
      <c r="Q926" s="89"/>
      <c r="R926" s="89"/>
      <c r="S926" s="89"/>
      <c r="T926" s="89"/>
      <c r="U926" s="89"/>
      <c r="V926" s="89"/>
      <c r="W926" s="89"/>
      <c r="X926" s="89"/>
      <c r="Y926" s="89"/>
      <c r="Z926" s="89"/>
      <c r="AA926" s="89"/>
      <c r="AB926" s="89"/>
      <c r="AC926" s="89"/>
      <c r="AD926" s="89"/>
      <c r="AE926" s="89"/>
      <c r="AF926" s="89"/>
      <c r="AG926" s="89"/>
      <c r="AH926" s="89"/>
      <c r="AI926" s="89"/>
      <c r="AJ926" s="89"/>
      <c r="AK926" s="89"/>
      <c r="AL926" s="89"/>
      <c r="AM926" s="89"/>
      <c r="AN926" s="89"/>
      <c r="AO926" s="89"/>
      <c r="AP926" s="89"/>
      <c r="AQ926" s="89"/>
      <c r="AR926" s="89"/>
      <c r="AS926" s="89"/>
      <c r="AT926" s="89"/>
      <c r="AU926" s="89"/>
      <c r="AV926" s="89"/>
      <c r="AW926" s="89"/>
      <c r="AX926" s="89"/>
      <c r="AY926" s="89"/>
      <c r="AZ926" s="89"/>
      <c r="BA926" s="95"/>
    </row>
    <row r="927" spans="1:53" s="87" customFormat="1">
      <c r="A927" s="90" t="str">
        <f t="shared" si="39"/>
        <v/>
      </c>
      <c r="B927" s="89"/>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c r="AA927" s="89"/>
      <c r="AB927" s="89"/>
      <c r="AC927" s="89"/>
      <c r="AD927" s="89"/>
      <c r="AE927" s="89"/>
      <c r="AF927" s="89"/>
      <c r="AG927" s="89"/>
      <c r="AH927" s="89"/>
      <c r="AI927" s="89"/>
      <c r="AJ927" s="89"/>
      <c r="AK927" s="89"/>
      <c r="AL927" s="89"/>
      <c r="AM927" s="89"/>
      <c r="AN927" s="89"/>
      <c r="AO927" s="89"/>
      <c r="AP927" s="89"/>
      <c r="AQ927" s="89"/>
      <c r="AR927" s="89"/>
      <c r="AS927" s="89"/>
      <c r="AT927" s="89"/>
      <c r="AU927" s="89"/>
      <c r="AV927" s="89"/>
      <c r="AW927" s="89"/>
      <c r="AX927" s="89"/>
      <c r="AY927" s="89"/>
      <c r="AZ927" s="89"/>
      <c r="BA927" s="95"/>
    </row>
    <row r="928" spans="1:53" s="87" customFormat="1">
      <c r="A928" s="90" t="str">
        <f t="shared" si="39"/>
        <v/>
      </c>
      <c r="B928" s="89"/>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c r="AA928" s="89"/>
      <c r="AB928" s="89"/>
      <c r="AC928" s="89"/>
      <c r="AD928" s="89"/>
      <c r="AE928" s="89"/>
      <c r="AF928" s="89"/>
      <c r="AG928" s="89"/>
      <c r="AH928" s="89"/>
      <c r="AI928" s="89"/>
      <c r="AJ928" s="89"/>
      <c r="AK928" s="89"/>
      <c r="AL928" s="89"/>
      <c r="AM928" s="89"/>
      <c r="AN928" s="89"/>
      <c r="AO928" s="89"/>
      <c r="AP928" s="89"/>
      <c r="AQ928" s="89"/>
      <c r="AR928" s="89"/>
      <c r="AS928" s="89"/>
      <c r="AT928" s="89"/>
      <c r="AU928" s="89"/>
      <c r="AV928" s="89"/>
      <c r="AW928" s="89"/>
      <c r="AX928" s="89"/>
      <c r="AY928" s="89"/>
      <c r="AZ928" s="89"/>
      <c r="BA928" s="95"/>
    </row>
    <row r="929" spans="1:53" s="87" customFormat="1">
      <c r="A929" s="90" t="str">
        <f t="shared" si="39"/>
        <v/>
      </c>
      <c r="B929" s="89"/>
      <c r="C929" s="89"/>
      <c r="D929" s="89"/>
      <c r="E929" s="89"/>
      <c r="F929" s="89"/>
      <c r="G929" s="89"/>
      <c r="H929" s="89"/>
      <c r="I929" s="89"/>
      <c r="J929" s="89"/>
      <c r="K929" s="89"/>
      <c r="L929" s="89"/>
      <c r="M929" s="89"/>
      <c r="N929" s="89"/>
      <c r="O929" s="89"/>
      <c r="P929" s="89"/>
      <c r="Q929" s="89"/>
      <c r="R929" s="89"/>
      <c r="S929" s="89"/>
      <c r="T929" s="89"/>
      <c r="U929" s="89"/>
      <c r="V929" s="89"/>
      <c r="W929" s="89"/>
      <c r="X929" s="89"/>
      <c r="Y929" s="89"/>
      <c r="Z929" s="89"/>
      <c r="AA929" s="89"/>
      <c r="AB929" s="89"/>
      <c r="AC929" s="89"/>
      <c r="AD929" s="89"/>
      <c r="AE929" s="89"/>
      <c r="AF929" s="89"/>
      <c r="AG929" s="89"/>
      <c r="AH929" s="89"/>
      <c r="AI929" s="89"/>
      <c r="AJ929" s="89"/>
      <c r="AK929" s="89"/>
      <c r="AL929" s="89"/>
      <c r="AM929" s="89"/>
      <c r="AN929" s="89"/>
      <c r="AO929" s="89"/>
      <c r="AP929" s="89"/>
      <c r="AQ929" s="89"/>
      <c r="AR929" s="89"/>
      <c r="AS929" s="89"/>
      <c r="AT929" s="89"/>
      <c r="AU929" s="89"/>
      <c r="AV929" s="89"/>
      <c r="AW929" s="89"/>
      <c r="AX929" s="89"/>
      <c r="AY929" s="89"/>
      <c r="AZ929" s="89"/>
      <c r="BA929" s="95"/>
    </row>
    <row r="930" spans="1:53" s="87" customFormat="1">
      <c r="A930" s="90" t="str">
        <f t="shared" si="39"/>
        <v/>
      </c>
      <c r="B930" s="89"/>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89"/>
      <c r="AA930" s="89"/>
      <c r="AB930" s="89"/>
      <c r="AC930" s="89"/>
      <c r="AD930" s="89"/>
      <c r="AE930" s="89"/>
      <c r="AF930" s="89"/>
      <c r="AG930" s="89"/>
      <c r="AH930" s="89"/>
      <c r="AI930" s="89"/>
      <c r="AJ930" s="89"/>
      <c r="AK930" s="89"/>
      <c r="AL930" s="89"/>
      <c r="AM930" s="89"/>
      <c r="AN930" s="89"/>
      <c r="AO930" s="89"/>
      <c r="AP930" s="89"/>
      <c r="AQ930" s="89"/>
      <c r="AR930" s="89"/>
      <c r="AS930" s="89"/>
      <c r="AT930" s="89"/>
      <c r="AU930" s="89"/>
      <c r="AV930" s="89"/>
      <c r="AW930" s="89"/>
      <c r="AX930" s="89"/>
      <c r="AY930" s="89"/>
      <c r="AZ930" s="89"/>
      <c r="BA930" s="95"/>
    </row>
    <row r="931" spans="1:53" s="87" customFormat="1">
      <c r="A931" s="90" t="str">
        <f t="shared" si="39"/>
        <v/>
      </c>
      <c r="B931" s="89"/>
      <c r="C931" s="89"/>
      <c r="D931" s="89"/>
      <c r="E931" s="89"/>
      <c r="F931" s="89"/>
      <c r="G931" s="89"/>
      <c r="H931" s="89"/>
      <c r="I931" s="89"/>
      <c r="J931" s="89"/>
      <c r="K931" s="89"/>
      <c r="L931" s="89"/>
      <c r="M931" s="89"/>
      <c r="N931" s="89"/>
      <c r="O931" s="89"/>
      <c r="P931" s="89"/>
      <c r="Q931" s="89"/>
      <c r="R931" s="89"/>
      <c r="S931" s="89"/>
      <c r="T931" s="89"/>
      <c r="U931" s="89"/>
      <c r="V931" s="89"/>
      <c r="W931" s="89"/>
      <c r="X931" s="89"/>
      <c r="Y931" s="89"/>
      <c r="Z931" s="89"/>
      <c r="AA931" s="89"/>
      <c r="AB931" s="89"/>
      <c r="AC931" s="89"/>
      <c r="AD931" s="89"/>
      <c r="AE931" s="89"/>
      <c r="AF931" s="89"/>
      <c r="AG931" s="89"/>
      <c r="AH931" s="89"/>
      <c r="AI931" s="89"/>
      <c r="AJ931" s="89"/>
      <c r="AK931" s="89"/>
      <c r="AL931" s="89"/>
      <c r="AM931" s="89"/>
      <c r="AN931" s="89"/>
      <c r="AO931" s="89"/>
      <c r="AP931" s="89"/>
      <c r="AQ931" s="89"/>
      <c r="AR931" s="89"/>
      <c r="AS931" s="89"/>
      <c r="AT931" s="89"/>
      <c r="AU931" s="89"/>
      <c r="AV931" s="89"/>
      <c r="AW931" s="89"/>
      <c r="AX931" s="89"/>
      <c r="AY931" s="89"/>
      <c r="AZ931" s="89"/>
      <c r="BA931" s="95"/>
    </row>
    <row r="932" spans="1:53" s="87" customFormat="1">
      <c r="A932" s="90" t="str">
        <f t="shared" si="39"/>
        <v/>
      </c>
      <c r="B932" s="89"/>
      <c r="C932" s="89"/>
      <c r="D932" s="89"/>
      <c r="E932" s="89"/>
      <c r="F932" s="89"/>
      <c r="G932" s="89"/>
      <c r="H932" s="89"/>
      <c r="I932" s="89"/>
      <c r="J932" s="89"/>
      <c r="K932" s="89"/>
      <c r="L932" s="89"/>
      <c r="M932" s="89"/>
      <c r="N932" s="89"/>
      <c r="O932" s="89"/>
      <c r="P932" s="89"/>
      <c r="Q932" s="89"/>
      <c r="R932" s="89"/>
      <c r="S932" s="89"/>
      <c r="T932" s="89"/>
      <c r="U932" s="89"/>
      <c r="V932" s="89"/>
      <c r="W932" s="89"/>
      <c r="X932" s="89"/>
      <c r="Y932" s="89"/>
      <c r="Z932" s="89"/>
      <c r="AA932" s="89"/>
      <c r="AB932" s="89"/>
      <c r="AC932" s="89"/>
      <c r="AD932" s="89"/>
      <c r="AE932" s="89"/>
      <c r="AF932" s="89"/>
      <c r="AG932" s="89"/>
      <c r="AH932" s="89"/>
      <c r="AI932" s="89"/>
      <c r="AJ932" s="89"/>
      <c r="AK932" s="89"/>
      <c r="AL932" s="89"/>
      <c r="AM932" s="89"/>
      <c r="AN932" s="89"/>
      <c r="AO932" s="89"/>
      <c r="AP932" s="89"/>
      <c r="AQ932" s="89"/>
      <c r="AR932" s="89"/>
      <c r="AS932" s="89"/>
      <c r="AT932" s="89"/>
      <c r="AU932" s="89"/>
      <c r="AV932" s="89"/>
      <c r="AW932" s="89"/>
      <c r="AX932" s="89"/>
      <c r="AY932" s="89"/>
      <c r="AZ932" s="89"/>
      <c r="BA932" s="95"/>
    </row>
    <row r="933" spans="1:53" s="87" customFormat="1">
      <c r="A933" s="90" t="str">
        <f t="shared" si="39"/>
        <v/>
      </c>
      <c r="B933" s="89"/>
      <c r="C933" s="89"/>
      <c r="D933" s="89"/>
      <c r="E933" s="89"/>
      <c r="F933" s="89"/>
      <c r="G933" s="89"/>
      <c r="H933" s="89"/>
      <c r="I933" s="89"/>
      <c r="J933" s="89"/>
      <c r="K933" s="89"/>
      <c r="L933" s="89"/>
      <c r="M933" s="89"/>
      <c r="N933" s="89"/>
      <c r="O933" s="89"/>
      <c r="P933" s="89"/>
      <c r="Q933" s="89"/>
      <c r="R933" s="89"/>
      <c r="S933" s="89"/>
      <c r="T933" s="89"/>
      <c r="U933" s="89"/>
      <c r="V933" s="89"/>
      <c r="W933" s="89"/>
      <c r="X933" s="89"/>
      <c r="Y933" s="89"/>
      <c r="Z933" s="89"/>
      <c r="AA933" s="89"/>
      <c r="AB933" s="89"/>
      <c r="AC933" s="89"/>
      <c r="AD933" s="89"/>
      <c r="AE933" s="89"/>
      <c r="AF933" s="89"/>
      <c r="AG933" s="89"/>
      <c r="AH933" s="89"/>
      <c r="AI933" s="89"/>
      <c r="AJ933" s="89"/>
      <c r="AK933" s="89"/>
      <c r="AL933" s="89"/>
      <c r="AM933" s="89"/>
      <c r="AN933" s="89"/>
      <c r="AO933" s="89"/>
      <c r="AP933" s="89"/>
      <c r="AQ933" s="89"/>
      <c r="AR933" s="89"/>
      <c r="AS933" s="89"/>
      <c r="AT933" s="89"/>
      <c r="AU933" s="89"/>
      <c r="AV933" s="89"/>
      <c r="AW933" s="89"/>
      <c r="AX933" s="89"/>
      <c r="AY933" s="89"/>
      <c r="AZ933" s="89"/>
      <c r="BA933" s="95"/>
    </row>
    <row r="934" spans="1:53" s="87" customFormat="1">
      <c r="A934" s="90" t="str">
        <f t="shared" si="39"/>
        <v/>
      </c>
      <c r="B934" s="89"/>
      <c r="C934" s="89"/>
      <c r="D934" s="89"/>
      <c r="E934" s="89"/>
      <c r="F934" s="89"/>
      <c r="G934" s="89"/>
      <c r="H934" s="89"/>
      <c r="I934" s="89"/>
      <c r="J934" s="89"/>
      <c r="K934" s="89"/>
      <c r="L934" s="89"/>
      <c r="M934" s="89"/>
      <c r="N934" s="89"/>
      <c r="O934" s="89"/>
      <c r="P934" s="89"/>
      <c r="Q934" s="89"/>
      <c r="R934" s="89"/>
      <c r="S934" s="89"/>
      <c r="T934" s="89"/>
      <c r="U934" s="89"/>
      <c r="V934" s="89"/>
      <c r="W934" s="89"/>
      <c r="X934" s="89"/>
      <c r="Y934" s="89"/>
      <c r="Z934" s="89"/>
      <c r="AA934" s="89"/>
      <c r="AB934" s="89"/>
      <c r="AC934" s="89"/>
      <c r="AD934" s="89"/>
      <c r="AE934" s="89"/>
      <c r="AF934" s="89"/>
      <c r="AG934" s="89"/>
      <c r="AH934" s="89"/>
      <c r="AI934" s="89"/>
      <c r="AJ934" s="89"/>
      <c r="AK934" s="89"/>
      <c r="AL934" s="89"/>
      <c r="AM934" s="89"/>
      <c r="AN934" s="89"/>
      <c r="AO934" s="89"/>
      <c r="AP934" s="89"/>
      <c r="AQ934" s="89"/>
      <c r="AR934" s="89"/>
      <c r="AS934" s="89"/>
      <c r="AT934" s="89"/>
      <c r="AU934" s="89"/>
      <c r="AV934" s="89"/>
      <c r="AW934" s="89"/>
      <c r="AX934" s="89"/>
      <c r="AY934" s="89"/>
      <c r="AZ934" s="89"/>
      <c r="BA934" s="95"/>
    </row>
    <row r="935" spans="1:53" s="87" customFormat="1">
      <c r="A935" s="90" t="str">
        <f t="shared" si="39"/>
        <v/>
      </c>
      <c r="B935" s="89"/>
      <c r="C935" s="89"/>
      <c r="D935" s="89"/>
      <c r="E935" s="89"/>
      <c r="F935" s="89"/>
      <c r="G935" s="89"/>
      <c r="H935" s="89"/>
      <c r="I935" s="89"/>
      <c r="J935" s="89"/>
      <c r="K935" s="89"/>
      <c r="L935" s="89"/>
      <c r="M935" s="89"/>
      <c r="N935" s="89"/>
      <c r="O935" s="89"/>
      <c r="P935" s="89"/>
      <c r="Q935" s="89"/>
      <c r="R935" s="89"/>
      <c r="S935" s="89"/>
      <c r="T935" s="89"/>
      <c r="U935" s="89"/>
      <c r="V935" s="89"/>
      <c r="W935" s="89"/>
      <c r="X935" s="89"/>
      <c r="Y935" s="89"/>
      <c r="Z935" s="89"/>
      <c r="AA935" s="89"/>
      <c r="AB935" s="89"/>
      <c r="AC935" s="89"/>
      <c r="AD935" s="89"/>
      <c r="AE935" s="89"/>
      <c r="AF935" s="89"/>
      <c r="AG935" s="89"/>
      <c r="AH935" s="89"/>
      <c r="AI935" s="89"/>
      <c r="AJ935" s="89"/>
      <c r="AK935" s="89"/>
      <c r="AL935" s="89"/>
      <c r="AM935" s="89"/>
      <c r="AN935" s="89"/>
      <c r="AO935" s="89"/>
      <c r="AP935" s="89"/>
      <c r="AQ935" s="89"/>
      <c r="AR935" s="89"/>
      <c r="AS935" s="89"/>
      <c r="AT935" s="89"/>
      <c r="AU935" s="89"/>
      <c r="AV935" s="89"/>
      <c r="AW935" s="89"/>
      <c r="AX935" s="89"/>
      <c r="AY935" s="89"/>
      <c r="AZ935" s="89"/>
      <c r="BA935" s="95"/>
    </row>
    <row r="936" spans="1:53" s="87" customFormat="1">
      <c r="A936" s="90" t="str">
        <f t="shared" si="39"/>
        <v/>
      </c>
      <c r="B936" s="89"/>
      <c r="C936" s="89"/>
      <c r="D936" s="89"/>
      <c r="E936" s="89"/>
      <c r="F936" s="89"/>
      <c r="G936" s="89"/>
      <c r="H936" s="89"/>
      <c r="I936" s="89"/>
      <c r="J936" s="89"/>
      <c r="K936" s="89"/>
      <c r="L936" s="89"/>
      <c r="M936" s="89"/>
      <c r="N936" s="89"/>
      <c r="O936" s="89"/>
      <c r="P936" s="89"/>
      <c r="Q936" s="89"/>
      <c r="R936" s="89"/>
      <c r="S936" s="89"/>
      <c r="T936" s="89"/>
      <c r="U936" s="89"/>
      <c r="V936" s="89"/>
      <c r="W936" s="89"/>
      <c r="X936" s="89"/>
      <c r="Y936" s="89"/>
      <c r="Z936" s="89"/>
      <c r="AA936" s="89"/>
      <c r="AB936" s="89"/>
      <c r="AC936" s="89"/>
      <c r="AD936" s="89"/>
      <c r="AE936" s="89"/>
      <c r="AF936" s="89"/>
      <c r="AG936" s="89"/>
      <c r="AH936" s="89"/>
      <c r="AI936" s="89"/>
      <c r="AJ936" s="89"/>
      <c r="AK936" s="89"/>
      <c r="AL936" s="89"/>
      <c r="AM936" s="89"/>
      <c r="AN936" s="89"/>
      <c r="AO936" s="89"/>
      <c r="AP936" s="89"/>
      <c r="AQ936" s="89"/>
      <c r="AR936" s="89"/>
      <c r="AS936" s="89"/>
      <c r="AT936" s="89"/>
      <c r="AU936" s="89"/>
      <c r="AV936" s="89"/>
      <c r="AW936" s="89"/>
      <c r="AX936" s="89"/>
      <c r="AY936" s="89"/>
      <c r="AZ936" s="89"/>
      <c r="BA936" s="95"/>
    </row>
    <row r="937" spans="1:53" s="87" customFormat="1">
      <c r="A937" s="90" t="str">
        <f t="shared" si="39"/>
        <v/>
      </c>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c r="AA937" s="89"/>
      <c r="AB937" s="89"/>
      <c r="AC937" s="89"/>
      <c r="AD937" s="89"/>
      <c r="AE937" s="89"/>
      <c r="AF937" s="89"/>
      <c r="AG937" s="89"/>
      <c r="AH937" s="89"/>
      <c r="AI937" s="89"/>
      <c r="AJ937" s="89"/>
      <c r="AK937" s="89"/>
      <c r="AL937" s="89"/>
      <c r="AM937" s="89"/>
      <c r="AN937" s="89"/>
      <c r="AO937" s="89"/>
      <c r="AP937" s="89"/>
      <c r="AQ937" s="89"/>
      <c r="AR937" s="89"/>
      <c r="AS937" s="89"/>
      <c r="AT937" s="89"/>
      <c r="AU937" s="89"/>
      <c r="AV937" s="89"/>
      <c r="AW937" s="89"/>
      <c r="AX937" s="89"/>
      <c r="AY937" s="89"/>
      <c r="AZ937" s="89"/>
      <c r="BA937" s="95"/>
    </row>
    <row r="938" spans="1:53" s="87" customFormat="1">
      <c r="A938" s="90" t="str">
        <f t="shared" si="39"/>
        <v/>
      </c>
      <c r="B938" s="89"/>
      <c r="C938" s="89"/>
      <c r="D938" s="89"/>
      <c r="E938" s="89"/>
      <c r="F938" s="89"/>
      <c r="G938" s="89"/>
      <c r="H938" s="89"/>
      <c r="I938" s="89"/>
      <c r="J938" s="89"/>
      <c r="K938" s="89"/>
      <c r="L938" s="89"/>
      <c r="M938" s="89"/>
      <c r="N938" s="89"/>
      <c r="O938" s="89"/>
      <c r="P938" s="89"/>
      <c r="Q938" s="89"/>
      <c r="R938" s="89"/>
      <c r="S938" s="89"/>
      <c r="T938" s="89"/>
      <c r="U938" s="89"/>
      <c r="V938" s="89"/>
      <c r="W938" s="89"/>
      <c r="X938" s="89"/>
      <c r="Y938" s="89"/>
      <c r="Z938" s="89"/>
      <c r="AA938" s="89"/>
      <c r="AB938" s="89"/>
      <c r="AC938" s="89"/>
      <c r="AD938" s="89"/>
      <c r="AE938" s="89"/>
      <c r="AF938" s="89"/>
      <c r="AG938" s="89"/>
      <c r="AH938" s="89"/>
      <c r="AI938" s="89"/>
      <c r="AJ938" s="89"/>
      <c r="AK938" s="89"/>
      <c r="AL938" s="89"/>
      <c r="AM938" s="89"/>
      <c r="AN938" s="89"/>
      <c r="AO938" s="89"/>
      <c r="AP938" s="89"/>
      <c r="AQ938" s="89"/>
      <c r="AR938" s="89"/>
      <c r="AS938" s="89"/>
      <c r="AT938" s="89"/>
      <c r="AU938" s="89"/>
      <c r="AV938" s="89"/>
      <c r="AW938" s="89"/>
      <c r="AX938" s="89"/>
      <c r="AY938" s="89"/>
      <c r="AZ938" s="89"/>
      <c r="BA938" s="95"/>
    </row>
    <row r="939" spans="1:53" s="87" customFormat="1">
      <c r="A939" s="90" t="str">
        <f t="shared" si="39"/>
        <v/>
      </c>
      <c r="B939" s="89"/>
      <c r="C939" s="89"/>
      <c r="D939" s="89"/>
      <c r="E939" s="89"/>
      <c r="F939" s="89"/>
      <c r="G939" s="89"/>
      <c r="H939" s="89"/>
      <c r="I939" s="89"/>
      <c r="J939" s="89"/>
      <c r="K939" s="89"/>
      <c r="L939" s="89"/>
      <c r="M939" s="89"/>
      <c r="N939" s="89"/>
      <c r="O939" s="89"/>
      <c r="P939" s="89"/>
      <c r="Q939" s="89"/>
      <c r="R939" s="89"/>
      <c r="S939" s="89"/>
      <c r="T939" s="89"/>
      <c r="U939" s="89"/>
      <c r="V939" s="89"/>
      <c r="W939" s="89"/>
      <c r="X939" s="89"/>
      <c r="Y939" s="89"/>
      <c r="Z939" s="89"/>
      <c r="AA939" s="89"/>
      <c r="AB939" s="89"/>
      <c r="AC939" s="89"/>
      <c r="AD939" s="89"/>
      <c r="AE939" s="89"/>
      <c r="AF939" s="89"/>
      <c r="AG939" s="89"/>
      <c r="AH939" s="89"/>
      <c r="AI939" s="89"/>
      <c r="AJ939" s="89"/>
      <c r="AK939" s="89"/>
      <c r="AL939" s="89"/>
      <c r="AM939" s="89"/>
      <c r="AN939" s="89"/>
      <c r="AO939" s="89"/>
      <c r="AP939" s="89"/>
      <c r="AQ939" s="89"/>
      <c r="AR939" s="89"/>
      <c r="AS939" s="89"/>
      <c r="AT939" s="89"/>
      <c r="AU939" s="89"/>
      <c r="AV939" s="89"/>
      <c r="AW939" s="89"/>
      <c r="AX939" s="89"/>
      <c r="AY939" s="89"/>
      <c r="AZ939" s="89"/>
      <c r="BA939" s="95"/>
    </row>
    <row r="940" spans="1:53" s="87" customFormat="1">
      <c r="A940" s="90" t="str">
        <f t="shared" si="39"/>
        <v/>
      </c>
      <c r="B940" s="89"/>
      <c r="C940" s="89"/>
      <c r="D940" s="89"/>
      <c r="E940" s="89"/>
      <c r="F940" s="89"/>
      <c r="G940" s="89"/>
      <c r="H940" s="89"/>
      <c r="I940" s="89"/>
      <c r="J940" s="89"/>
      <c r="K940" s="89"/>
      <c r="L940" s="89"/>
      <c r="M940" s="89"/>
      <c r="N940" s="89"/>
      <c r="O940" s="89"/>
      <c r="P940" s="89"/>
      <c r="Q940" s="89"/>
      <c r="R940" s="89"/>
      <c r="S940" s="89"/>
      <c r="T940" s="89"/>
      <c r="U940" s="89"/>
      <c r="V940" s="89"/>
      <c r="W940" s="89"/>
      <c r="X940" s="89"/>
      <c r="Y940" s="89"/>
      <c r="Z940" s="89"/>
      <c r="AA940" s="89"/>
      <c r="AB940" s="89"/>
      <c r="AC940" s="89"/>
      <c r="AD940" s="89"/>
      <c r="AE940" s="89"/>
      <c r="AF940" s="89"/>
      <c r="AG940" s="89"/>
      <c r="AH940" s="89"/>
      <c r="AI940" s="89"/>
      <c r="AJ940" s="89"/>
      <c r="AK940" s="89"/>
      <c r="AL940" s="89"/>
      <c r="AM940" s="89"/>
      <c r="AN940" s="89"/>
      <c r="AO940" s="89"/>
      <c r="AP940" s="89"/>
      <c r="AQ940" s="89"/>
      <c r="AR940" s="89"/>
      <c r="AS940" s="89"/>
      <c r="AT940" s="89"/>
      <c r="AU940" s="89"/>
      <c r="AV940" s="89"/>
      <c r="AW940" s="89"/>
      <c r="AX940" s="89"/>
      <c r="AY940" s="89"/>
      <c r="AZ940" s="89"/>
      <c r="BA940" s="95"/>
    </row>
    <row r="941" spans="1:53" s="87" customFormat="1">
      <c r="A941" s="90" t="str">
        <f t="shared" si="39"/>
        <v/>
      </c>
      <c r="B941" s="89"/>
      <c r="C941" s="89"/>
      <c r="D941" s="89"/>
      <c r="E941" s="89"/>
      <c r="F941" s="89"/>
      <c r="G941" s="89"/>
      <c r="H941" s="89"/>
      <c r="I941" s="89"/>
      <c r="J941" s="89"/>
      <c r="K941" s="89"/>
      <c r="L941" s="89"/>
      <c r="M941" s="89"/>
      <c r="N941" s="89"/>
      <c r="O941" s="89"/>
      <c r="P941" s="89"/>
      <c r="Q941" s="89"/>
      <c r="R941" s="89"/>
      <c r="S941" s="89"/>
      <c r="T941" s="89"/>
      <c r="U941" s="89"/>
      <c r="V941" s="89"/>
      <c r="W941" s="89"/>
      <c r="X941" s="89"/>
      <c r="Y941" s="89"/>
      <c r="Z941" s="89"/>
      <c r="AA941" s="89"/>
      <c r="AB941" s="89"/>
      <c r="AC941" s="89"/>
      <c r="AD941" s="89"/>
      <c r="AE941" s="89"/>
      <c r="AF941" s="89"/>
      <c r="AG941" s="89"/>
      <c r="AH941" s="89"/>
      <c r="AI941" s="89"/>
      <c r="AJ941" s="89"/>
      <c r="AK941" s="89"/>
      <c r="AL941" s="89"/>
      <c r="AM941" s="89"/>
      <c r="AN941" s="89"/>
      <c r="AO941" s="89"/>
      <c r="AP941" s="89"/>
      <c r="AQ941" s="89"/>
      <c r="AR941" s="89"/>
      <c r="AS941" s="89"/>
      <c r="AT941" s="89"/>
      <c r="AU941" s="89"/>
      <c r="AV941" s="89"/>
      <c r="AW941" s="89"/>
      <c r="AX941" s="89"/>
      <c r="AY941" s="89"/>
      <c r="AZ941" s="89"/>
      <c r="BA941" s="95"/>
    </row>
    <row r="942" spans="1:53" s="87" customFormat="1">
      <c r="A942" s="90" t="str">
        <f t="shared" si="39"/>
        <v/>
      </c>
      <c r="B942" s="89"/>
      <c r="C942" s="89"/>
      <c r="D942" s="89"/>
      <c r="E942" s="89"/>
      <c r="F942" s="89"/>
      <c r="G942" s="89"/>
      <c r="H942" s="89"/>
      <c r="I942" s="89"/>
      <c r="J942" s="89"/>
      <c r="K942" s="89"/>
      <c r="L942" s="89"/>
      <c r="M942" s="89"/>
      <c r="N942" s="89"/>
      <c r="O942" s="89"/>
      <c r="P942" s="89"/>
      <c r="Q942" s="89"/>
      <c r="R942" s="89"/>
      <c r="S942" s="89"/>
      <c r="T942" s="89"/>
      <c r="U942" s="89"/>
      <c r="V942" s="89"/>
      <c r="W942" s="89"/>
      <c r="X942" s="89"/>
      <c r="Y942" s="89"/>
      <c r="Z942" s="89"/>
      <c r="AA942" s="89"/>
      <c r="AB942" s="89"/>
      <c r="AC942" s="89"/>
      <c r="AD942" s="89"/>
      <c r="AE942" s="89"/>
      <c r="AF942" s="89"/>
      <c r="AG942" s="89"/>
      <c r="AH942" s="89"/>
      <c r="AI942" s="89"/>
      <c r="AJ942" s="89"/>
      <c r="AK942" s="89"/>
      <c r="AL942" s="89"/>
      <c r="AM942" s="89"/>
      <c r="AN942" s="89"/>
      <c r="AO942" s="89"/>
      <c r="AP942" s="89"/>
      <c r="AQ942" s="89"/>
      <c r="AR942" s="89"/>
      <c r="AS942" s="89"/>
      <c r="AT942" s="89"/>
      <c r="AU942" s="89"/>
      <c r="AV942" s="89"/>
      <c r="AW942" s="89"/>
      <c r="AX942" s="89"/>
      <c r="AY942" s="89"/>
      <c r="AZ942" s="89"/>
      <c r="BA942" s="95"/>
    </row>
    <row r="943" spans="1:53" s="87" customFormat="1">
      <c r="A943" s="90" t="str">
        <f t="shared" si="39"/>
        <v/>
      </c>
      <c r="B943" s="89"/>
      <c r="C943" s="89"/>
      <c r="D943" s="89"/>
      <c r="E943" s="89"/>
      <c r="F943" s="89"/>
      <c r="G943" s="89"/>
      <c r="H943" s="89"/>
      <c r="I943" s="89"/>
      <c r="J943" s="89"/>
      <c r="K943" s="89"/>
      <c r="L943" s="89"/>
      <c r="M943" s="89"/>
      <c r="N943" s="89"/>
      <c r="O943" s="89"/>
      <c r="P943" s="89"/>
      <c r="Q943" s="89"/>
      <c r="R943" s="89"/>
      <c r="S943" s="89"/>
      <c r="T943" s="89"/>
      <c r="U943" s="89"/>
      <c r="V943" s="89"/>
      <c r="W943" s="89"/>
      <c r="X943" s="89"/>
      <c r="Y943" s="89"/>
      <c r="Z943" s="89"/>
      <c r="AA943" s="89"/>
      <c r="AB943" s="89"/>
      <c r="AC943" s="89"/>
      <c r="AD943" s="89"/>
      <c r="AE943" s="89"/>
      <c r="AF943" s="89"/>
      <c r="AG943" s="89"/>
      <c r="AH943" s="89"/>
      <c r="AI943" s="89"/>
      <c r="AJ943" s="89"/>
      <c r="AK943" s="89"/>
      <c r="AL943" s="89"/>
      <c r="AM943" s="89"/>
      <c r="AN943" s="89"/>
      <c r="AO943" s="89"/>
      <c r="AP943" s="89"/>
      <c r="AQ943" s="89"/>
      <c r="AR943" s="89"/>
      <c r="AS943" s="89"/>
      <c r="AT943" s="89"/>
      <c r="AU943" s="89"/>
      <c r="AV943" s="89"/>
      <c r="AW943" s="89"/>
      <c r="AX943" s="89"/>
      <c r="AY943" s="89"/>
      <c r="AZ943" s="89"/>
      <c r="BA943" s="95"/>
    </row>
    <row r="944" spans="1:53" s="87" customFormat="1">
      <c r="A944" s="90" t="str">
        <f t="shared" si="39"/>
        <v/>
      </c>
      <c r="B944" s="89"/>
      <c r="C944" s="89"/>
      <c r="D944" s="89"/>
      <c r="E944" s="89"/>
      <c r="F944" s="89"/>
      <c r="G944" s="89"/>
      <c r="H944" s="89"/>
      <c r="I944" s="89"/>
      <c r="J944" s="89"/>
      <c r="K944" s="89"/>
      <c r="L944" s="89"/>
      <c r="M944" s="89"/>
      <c r="N944" s="89"/>
      <c r="O944" s="89"/>
      <c r="P944" s="89"/>
      <c r="Q944" s="89"/>
      <c r="R944" s="89"/>
      <c r="S944" s="89"/>
      <c r="T944" s="89"/>
      <c r="U944" s="89"/>
      <c r="V944" s="89"/>
      <c r="W944" s="89"/>
      <c r="X944" s="89"/>
      <c r="Y944" s="89"/>
      <c r="Z944" s="89"/>
      <c r="AA944" s="89"/>
      <c r="AB944" s="89"/>
      <c r="AC944" s="89"/>
      <c r="AD944" s="89"/>
      <c r="AE944" s="89"/>
      <c r="AF944" s="89"/>
      <c r="AG944" s="89"/>
      <c r="AH944" s="89"/>
      <c r="AI944" s="89"/>
      <c r="AJ944" s="89"/>
      <c r="AK944" s="89"/>
      <c r="AL944" s="89"/>
      <c r="AM944" s="89"/>
      <c r="AN944" s="89"/>
      <c r="AO944" s="89"/>
      <c r="AP944" s="89"/>
      <c r="AQ944" s="89"/>
      <c r="AR944" s="89"/>
      <c r="AS944" s="89"/>
      <c r="AT944" s="89"/>
      <c r="AU944" s="89"/>
      <c r="AV944" s="89"/>
      <c r="AW944" s="89"/>
      <c r="AX944" s="89"/>
      <c r="AY944" s="89"/>
      <c r="AZ944" s="89"/>
      <c r="BA944" s="95"/>
    </row>
    <row r="945" spans="1:53" s="87" customFormat="1">
      <c r="A945" s="90" t="str">
        <f t="shared" si="39"/>
        <v/>
      </c>
      <c r="B945" s="89"/>
      <c r="C945" s="89"/>
      <c r="D945" s="89"/>
      <c r="E945" s="89"/>
      <c r="F945" s="89"/>
      <c r="G945" s="89"/>
      <c r="H945" s="89"/>
      <c r="I945" s="89"/>
      <c r="J945" s="89"/>
      <c r="K945" s="89"/>
      <c r="L945" s="89"/>
      <c r="M945" s="89"/>
      <c r="N945" s="89"/>
      <c r="O945" s="89"/>
      <c r="P945" s="89"/>
      <c r="Q945" s="89"/>
      <c r="R945" s="89"/>
      <c r="S945" s="89"/>
      <c r="T945" s="89"/>
      <c r="U945" s="89"/>
      <c r="V945" s="89"/>
      <c r="W945" s="89"/>
      <c r="X945" s="89"/>
      <c r="Y945" s="89"/>
      <c r="Z945" s="89"/>
      <c r="AA945" s="89"/>
      <c r="AB945" s="89"/>
      <c r="AC945" s="89"/>
      <c r="AD945" s="89"/>
      <c r="AE945" s="89"/>
      <c r="AF945" s="89"/>
      <c r="AG945" s="89"/>
      <c r="AH945" s="89"/>
      <c r="AI945" s="89"/>
      <c r="AJ945" s="89"/>
      <c r="AK945" s="89"/>
      <c r="AL945" s="89"/>
      <c r="AM945" s="89"/>
      <c r="AN945" s="89"/>
      <c r="AO945" s="89"/>
      <c r="AP945" s="89"/>
      <c r="AQ945" s="89"/>
      <c r="AR945" s="89"/>
      <c r="AS945" s="89"/>
      <c r="AT945" s="89"/>
      <c r="AU945" s="89"/>
      <c r="AV945" s="89"/>
      <c r="AW945" s="89"/>
      <c r="AX945" s="89"/>
      <c r="AY945" s="89"/>
      <c r="AZ945" s="89"/>
      <c r="BA945" s="95"/>
    </row>
    <row r="946" spans="1:53" s="87" customFormat="1">
      <c r="A946" s="90" t="str">
        <f t="shared" si="39"/>
        <v/>
      </c>
      <c r="B946" s="89"/>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c r="AA946" s="89"/>
      <c r="AB946" s="89"/>
      <c r="AC946" s="89"/>
      <c r="AD946" s="89"/>
      <c r="AE946" s="89"/>
      <c r="AF946" s="89"/>
      <c r="AG946" s="89"/>
      <c r="AH946" s="89"/>
      <c r="AI946" s="89"/>
      <c r="AJ946" s="89"/>
      <c r="AK946" s="89"/>
      <c r="AL946" s="89"/>
      <c r="AM946" s="89"/>
      <c r="AN946" s="89"/>
      <c r="AO946" s="89"/>
      <c r="AP946" s="89"/>
      <c r="AQ946" s="89"/>
      <c r="AR946" s="89"/>
      <c r="AS946" s="89"/>
      <c r="AT946" s="89"/>
      <c r="AU946" s="89"/>
      <c r="AV946" s="89"/>
      <c r="AW946" s="89"/>
      <c r="AX946" s="89"/>
      <c r="AY946" s="89"/>
      <c r="AZ946" s="89"/>
      <c r="BA946" s="95"/>
    </row>
    <row r="947" spans="1:53" s="87" customFormat="1">
      <c r="A947" s="90" t="str">
        <f t="shared" si="39"/>
        <v/>
      </c>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c r="AA947" s="89"/>
      <c r="AB947" s="89"/>
      <c r="AC947" s="89"/>
      <c r="AD947" s="89"/>
      <c r="AE947" s="89"/>
      <c r="AF947" s="89"/>
      <c r="AG947" s="89"/>
      <c r="AH947" s="89"/>
      <c r="AI947" s="89"/>
      <c r="AJ947" s="89"/>
      <c r="AK947" s="89"/>
      <c r="AL947" s="89"/>
      <c r="AM947" s="89"/>
      <c r="AN947" s="89"/>
      <c r="AO947" s="89"/>
      <c r="AP947" s="89"/>
      <c r="AQ947" s="89"/>
      <c r="AR947" s="89"/>
      <c r="AS947" s="89"/>
      <c r="AT947" s="89"/>
      <c r="AU947" s="89"/>
      <c r="AV947" s="89"/>
      <c r="AW947" s="89"/>
      <c r="AX947" s="89"/>
      <c r="AY947" s="89"/>
      <c r="AZ947" s="89"/>
      <c r="BA947" s="95"/>
    </row>
    <row r="948" spans="1:53" s="87" customFormat="1">
      <c r="A948" s="90" t="str">
        <f t="shared" si="39"/>
        <v/>
      </c>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c r="AA948" s="89"/>
      <c r="AB948" s="89"/>
      <c r="AC948" s="89"/>
      <c r="AD948" s="89"/>
      <c r="AE948" s="89"/>
      <c r="AF948" s="89"/>
      <c r="AG948" s="89"/>
      <c r="AH948" s="89"/>
      <c r="AI948" s="89"/>
      <c r="AJ948" s="89"/>
      <c r="AK948" s="89"/>
      <c r="AL948" s="89"/>
      <c r="AM948" s="89"/>
      <c r="AN948" s="89"/>
      <c r="AO948" s="89"/>
      <c r="AP948" s="89"/>
      <c r="AQ948" s="89"/>
      <c r="AR948" s="89"/>
      <c r="AS948" s="89"/>
      <c r="AT948" s="89"/>
      <c r="AU948" s="89"/>
      <c r="AV948" s="89"/>
      <c r="AW948" s="89"/>
      <c r="AX948" s="89"/>
      <c r="AY948" s="89"/>
      <c r="AZ948" s="89"/>
      <c r="BA948" s="95"/>
    </row>
    <row r="949" spans="1:53" s="87" customFormat="1">
      <c r="A949" s="90" t="str">
        <f t="shared" si="39"/>
        <v/>
      </c>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c r="AA949" s="89"/>
      <c r="AB949" s="89"/>
      <c r="AC949" s="89"/>
      <c r="AD949" s="89"/>
      <c r="AE949" s="89"/>
      <c r="AF949" s="89"/>
      <c r="AG949" s="89"/>
      <c r="AH949" s="89"/>
      <c r="AI949" s="89"/>
      <c r="AJ949" s="89"/>
      <c r="AK949" s="89"/>
      <c r="AL949" s="89"/>
      <c r="AM949" s="89"/>
      <c r="AN949" s="89"/>
      <c r="AO949" s="89"/>
      <c r="AP949" s="89"/>
      <c r="AQ949" s="89"/>
      <c r="AR949" s="89"/>
      <c r="AS949" s="89"/>
      <c r="AT949" s="89"/>
      <c r="AU949" s="89"/>
      <c r="AV949" s="89"/>
      <c r="AW949" s="89"/>
      <c r="AX949" s="89"/>
      <c r="AY949" s="89"/>
      <c r="AZ949" s="89"/>
      <c r="BA949" s="95"/>
    </row>
    <row r="950" spans="1:53" s="87" customFormat="1">
      <c r="A950" s="90" t="str">
        <f t="shared" si="39"/>
        <v/>
      </c>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c r="AA950" s="89"/>
      <c r="AB950" s="89"/>
      <c r="AC950" s="89"/>
      <c r="AD950" s="89"/>
      <c r="AE950" s="89"/>
      <c r="AF950" s="89"/>
      <c r="AG950" s="89"/>
      <c r="AH950" s="89"/>
      <c r="AI950" s="89"/>
      <c r="AJ950" s="89"/>
      <c r="AK950" s="89"/>
      <c r="AL950" s="89"/>
      <c r="AM950" s="89"/>
      <c r="AN950" s="89"/>
      <c r="AO950" s="89"/>
      <c r="AP950" s="89"/>
      <c r="AQ950" s="89"/>
      <c r="AR950" s="89"/>
      <c r="AS950" s="89"/>
      <c r="AT950" s="89"/>
      <c r="AU950" s="89"/>
      <c r="AV950" s="89"/>
      <c r="AW950" s="89"/>
      <c r="AX950" s="89"/>
      <c r="AY950" s="89"/>
      <c r="AZ950" s="89"/>
      <c r="BA950" s="95"/>
    </row>
    <row r="951" spans="1:53" s="87" customFormat="1">
      <c r="A951" s="90" t="str">
        <f t="shared" si="39"/>
        <v/>
      </c>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c r="AA951" s="89"/>
      <c r="AB951" s="89"/>
      <c r="AC951" s="89"/>
      <c r="AD951" s="89"/>
      <c r="AE951" s="89"/>
      <c r="AF951" s="89"/>
      <c r="AG951" s="89"/>
      <c r="AH951" s="89"/>
      <c r="AI951" s="89"/>
      <c r="AJ951" s="89"/>
      <c r="AK951" s="89"/>
      <c r="AL951" s="89"/>
      <c r="AM951" s="89"/>
      <c r="AN951" s="89"/>
      <c r="AO951" s="89"/>
      <c r="AP951" s="89"/>
      <c r="AQ951" s="89"/>
      <c r="AR951" s="89"/>
      <c r="AS951" s="89"/>
      <c r="AT951" s="89"/>
      <c r="AU951" s="89"/>
      <c r="AV951" s="89"/>
      <c r="AW951" s="89"/>
      <c r="AX951" s="89"/>
      <c r="AY951" s="89"/>
      <c r="AZ951" s="89"/>
      <c r="BA951" s="95"/>
    </row>
    <row r="952" spans="1:53" s="87" customFormat="1">
      <c r="A952" s="90" t="str">
        <f t="shared" si="39"/>
        <v/>
      </c>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c r="AA952" s="89"/>
      <c r="AB952" s="89"/>
      <c r="AC952" s="89"/>
      <c r="AD952" s="89"/>
      <c r="AE952" s="89"/>
      <c r="AF952" s="89"/>
      <c r="AG952" s="89"/>
      <c r="AH952" s="89"/>
      <c r="AI952" s="89"/>
      <c r="AJ952" s="89"/>
      <c r="AK952" s="89"/>
      <c r="AL952" s="89"/>
      <c r="AM952" s="89"/>
      <c r="AN952" s="89"/>
      <c r="AO952" s="89"/>
      <c r="AP952" s="89"/>
      <c r="AQ952" s="89"/>
      <c r="AR952" s="89"/>
      <c r="AS952" s="89"/>
      <c r="AT952" s="89"/>
      <c r="AU952" s="89"/>
      <c r="AV952" s="89"/>
      <c r="AW952" s="89"/>
      <c r="AX952" s="89"/>
      <c r="AY952" s="89"/>
      <c r="AZ952" s="89"/>
      <c r="BA952" s="95"/>
    </row>
    <row r="953" spans="1:53" s="87" customFormat="1">
      <c r="A953" s="90" t="str">
        <f t="shared" si="39"/>
        <v/>
      </c>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c r="AA953" s="89"/>
      <c r="AB953" s="89"/>
      <c r="AC953" s="89"/>
      <c r="AD953" s="89"/>
      <c r="AE953" s="89"/>
      <c r="AF953" s="89"/>
      <c r="AG953" s="89"/>
      <c r="AH953" s="89"/>
      <c r="AI953" s="89"/>
      <c r="AJ953" s="89"/>
      <c r="AK953" s="89"/>
      <c r="AL953" s="89"/>
      <c r="AM953" s="89"/>
      <c r="AN953" s="89"/>
      <c r="AO953" s="89"/>
      <c r="AP953" s="89"/>
      <c r="AQ953" s="89"/>
      <c r="AR953" s="89"/>
      <c r="AS953" s="89"/>
      <c r="AT953" s="89"/>
      <c r="AU953" s="89"/>
      <c r="AV953" s="89"/>
      <c r="AW953" s="89"/>
      <c r="AX953" s="89"/>
      <c r="AY953" s="89"/>
      <c r="AZ953" s="89"/>
      <c r="BA953" s="95"/>
    </row>
    <row r="954" spans="1:53" s="87" customFormat="1">
      <c r="A954" s="90" t="str">
        <f t="shared" si="39"/>
        <v/>
      </c>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c r="AA954" s="89"/>
      <c r="AB954" s="89"/>
      <c r="AC954" s="89"/>
      <c r="AD954" s="89"/>
      <c r="AE954" s="89"/>
      <c r="AF954" s="89"/>
      <c r="AG954" s="89"/>
      <c r="AH954" s="89"/>
      <c r="AI954" s="89"/>
      <c r="AJ954" s="89"/>
      <c r="AK954" s="89"/>
      <c r="AL954" s="89"/>
      <c r="AM954" s="89"/>
      <c r="AN954" s="89"/>
      <c r="AO954" s="89"/>
      <c r="AP954" s="89"/>
      <c r="AQ954" s="89"/>
      <c r="AR954" s="89"/>
      <c r="AS954" s="89"/>
      <c r="AT954" s="89"/>
      <c r="AU954" s="89"/>
      <c r="AV954" s="89"/>
      <c r="AW954" s="89"/>
      <c r="AX954" s="89"/>
      <c r="AY954" s="89"/>
      <c r="AZ954" s="89"/>
      <c r="BA954" s="95"/>
    </row>
    <row r="955" spans="1:53" s="87" customFormat="1">
      <c r="A955" s="90" t="str">
        <f t="shared" si="39"/>
        <v/>
      </c>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c r="AA955" s="89"/>
      <c r="AB955" s="89"/>
      <c r="AC955" s="89"/>
      <c r="AD955" s="89"/>
      <c r="AE955" s="89"/>
      <c r="AF955" s="89"/>
      <c r="AG955" s="89"/>
      <c r="AH955" s="89"/>
      <c r="AI955" s="89"/>
      <c r="AJ955" s="89"/>
      <c r="AK955" s="89"/>
      <c r="AL955" s="89"/>
      <c r="AM955" s="89"/>
      <c r="AN955" s="89"/>
      <c r="AO955" s="89"/>
      <c r="AP955" s="89"/>
      <c r="AQ955" s="89"/>
      <c r="AR955" s="89"/>
      <c r="AS955" s="89"/>
      <c r="AT955" s="89"/>
      <c r="AU955" s="89"/>
      <c r="AV955" s="89"/>
      <c r="AW955" s="89"/>
      <c r="AX955" s="89"/>
      <c r="AY955" s="89"/>
      <c r="AZ955" s="89"/>
      <c r="BA955" s="95"/>
    </row>
    <row r="956" spans="1:53" s="87" customFormat="1">
      <c r="A956" s="90" t="str">
        <f t="shared" si="39"/>
        <v/>
      </c>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c r="AA956" s="89"/>
      <c r="AB956" s="89"/>
      <c r="AC956" s="89"/>
      <c r="AD956" s="89"/>
      <c r="AE956" s="89"/>
      <c r="AF956" s="89"/>
      <c r="AG956" s="89"/>
      <c r="AH956" s="89"/>
      <c r="AI956" s="89"/>
      <c r="AJ956" s="89"/>
      <c r="AK956" s="89"/>
      <c r="AL956" s="89"/>
      <c r="AM956" s="89"/>
      <c r="AN956" s="89"/>
      <c r="AO956" s="89"/>
      <c r="AP956" s="89"/>
      <c r="AQ956" s="89"/>
      <c r="AR956" s="89"/>
      <c r="AS956" s="89"/>
      <c r="AT956" s="89"/>
      <c r="AU956" s="89"/>
      <c r="AV956" s="89"/>
      <c r="AW956" s="89"/>
      <c r="AX956" s="89"/>
      <c r="AY956" s="89"/>
      <c r="AZ956" s="89"/>
      <c r="BA956" s="95"/>
    </row>
    <row r="957" spans="1:53" s="87" customFormat="1">
      <c r="A957" s="90" t="str">
        <f t="shared" si="39"/>
        <v/>
      </c>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c r="AA957" s="89"/>
      <c r="AB957" s="89"/>
      <c r="AC957" s="89"/>
      <c r="AD957" s="89"/>
      <c r="AE957" s="89"/>
      <c r="AF957" s="89"/>
      <c r="AG957" s="89"/>
      <c r="AH957" s="89"/>
      <c r="AI957" s="89"/>
      <c r="AJ957" s="89"/>
      <c r="AK957" s="89"/>
      <c r="AL957" s="89"/>
      <c r="AM957" s="89"/>
      <c r="AN957" s="89"/>
      <c r="AO957" s="89"/>
      <c r="AP957" s="89"/>
      <c r="AQ957" s="89"/>
      <c r="AR957" s="89"/>
      <c r="AS957" s="89"/>
      <c r="AT957" s="89"/>
      <c r="AU957" s="89"/>
      <c r="AV957" s="89"/>
      <c r="AW957" s="89"/>
      <c r="AX957" s="89"/>
      <c r="AY957" s="89"/>
      <c r="AZ957" s="89"/>
      <c r="BA957" s="95"/>
    </row>
    <row r="958" spans="1:53" s="87" customFormat="1">
      <c r="A958" s="90" t="str">
        <f t="shared" si="39"/>
        <v/>
      </c>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c r="AA958" s="89"/>
      <c r="AB958" s="89"/>
      <c r="AC958" s="89"/>
      <c r="AD958" s="89"/>
      <c r="AE958" s="89"/>
      <c r="AF958" s="89"/>
      <c r="AG958" s="89"/>
      <c r="AH958" s="89"/>
      <c r="AI958" s="89"/>
      <c r="AJ958" s="89"/>
      <c r="AK958" s="89"/>
      <c r="AL958" s="89"/>
      <c r="AM958" s="89"/>
      <c r="AN958" s="89"/>
      <c r="AO958" s="89"/>
      <c r="AP958" s="89"/>
      <c r="AQ958" s="89"/>
      <c r="AR958" s="89"/>
      <c r="AS958" s="89"/>
      <c r="AT958" s="89"/>
      <c r="AU958" s="89"/>
      <c r="AV958" s="89"/>
      <c r="AW958" s="89"/>
      <c r="AX958" s="89"/>
      <c r="AY958" s="89"/>
      <c r="AZ958" s="89"/>
      <c r="BA958" s="95"/>
    </row>
    <row r="959" spans="1:53" s="87" customFormat="1">
      <c r="A959" s="90" t="str">
        <f t="shared" si="39"/>
        <v/>
      </c>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c r="AA959" s="89"/>
      <c r="AB959" s="89"/>
      <c r="AC959" s="89"/>
      <c r="AD959" s="89"/>
      <c r="AE959" s="89"/>
      <c r="AF959" s="89"/>
      <c r="AG959" s="89"/>
      <c r="AH959" s="89"/>
      <c r="AI959" s="89"/>
      <c r="AJ959" s="89"/>
      <c r="AK959" s="89"/>
      <c r="AL959" s="89"/>
      <c r="AM959" s="89"/>
      <c r="AN959" s="89"/>
      <c r="AO959" s="89"/>
      <c r="AP959" s="89"/>
      <c r="AQ959" s="89"/>
      <c r="AR959" s="89"/>
      <c r="AS959" s="89"/>
      <c r="AT959" s="89"/>
      <c r="AU959" s="89"/>
      <c r="AV959" s="89"/>
      <c r="AW959" s="89"/>
      <c r="AX959" s="89"/>
      <c r="AY959" s="89"/>
      <c r="AZ959" s="89"/>
      <c r="BA959" s="95"/>
    </row>
    <row r="960" spans="1:53" s="87" customFormat="1">
      <c r="A960" s="90" t="str">
        <f t="shared" si="39"/>
        <v/>
      </c>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c r="AA960" s="89"/>
      <c r="AB960" s="89"/>
      <c r="AC960" s="89"/>
      <c r="AD960" s="89"/>
      <c r="AE960" s="89"/>
      <c r="AF960" s="89"/>
      <c r="AG960" s="89"/>
      <c r="AH960" s="89"/>
      <c r="AI960" s="89"/>
      <c r="AJ960" s="89"/>
      <c r="AK960" s="89"/>
      <c r="AL960" s="89"/>
      <c r="AM960" s="89"/>
      <c r="AN960" s="89"/>
      <c r="AO960" s="89"/>
      <c r="AP960" s="89"/>
      <c r="AQ960" s="89"/>
      <c r="AR960" s="89"/>
      <c r="AS960" s="89"/>
      <c r="AT960" s="89"/>
      <c r="AU960" s="89"/>
      <c r="AV960" s="89"/>
      <c r="AW960" s="89"/>
      <c r="AX960" s="89"/>
      <c r="AY960" s="89"/>
      <c r="AZ960" s="89"/>
      <c r="BA960" s="95"/>
    </row>
    <row r="961" spans="1:53" s="87" customFormat="1">
      <c r="A961" s="90" t="str">
        <f t="shared" si="39"/>
        <v/>
      </c>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c r="AA961" s="89"/>
      <c r="AB961" s="89"/>
      <c r="AC961" s="89"/>
      <c r="AD961" s="89"/>
      <c r="AE961" s="89"/>
      <c r="AF961" s="89"/>
      <c r="AG961" s="89"/>
      <c r="AH961" s="89"/>
      <c r="AI961" s="89"/>
      <c r="AJ961" s="89"/>
      <c r="AK961" s="89"/>
      <c r="AL961" s="89"/>
      <c r="AM961" s="89"/>
      <c r="AN961" s="89"/>
      <c r="AO961" s="89"/>
      <c r="AP961" s="89"/>
      <c r="AQ961" s="89"/>
      <c r="AR961" s="89"/>
      <c r="AS961" s="89"/>
      <c r="AT961" s="89"/>
      <c r="AU961" s="89"/>
      <c r="AV961" s="89"/>
      <c r="AW961" s="89"/>
      <c r="AX961" s="89"/>
      <c r="AY961" s="89"/>
      <c r="AZ961" s="89"/>
      <c r="BA961" s="95"/>
    </row>
    <row r="962" spans="1:53" s="87" customFormat="1">
      <c r="A962" s="90" t="str">
        <f t="shared" si="39"/>
        <v/>
      </c>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c r="AA962" s="89"/>
      <c r="AB962" s="89"/>
      <c r="AC962" s="89"/>
      <c r="AD962" s="89"/>
      <c r="AE962" s="89"/>
      <c r="AF962" s="89"/>
      <c r="AG962" s="89"/>
      <c r="AH962" s="89"/>
      <c r="AI962" s="89"/>
      <c r="AJ962" s="89"/>
      <c r="AK962" s="89"/>
      <c r="AL962" s="89"/>
      <c r="AM962" s="89"/>
      <c r="AN962" s="89"/>
      <c r="AO962" s="89"/>
      <c r="AP962" s="89"/>
      <c r="AQ962" s="89"/>
      <c r="AR962" s="89"/>
      <c r="AS962" s="89"/>
      <c r="AT962" s="89"/>
      <c r="AU962" s="89"/>
      <c r="AV962" s="89"/>
      <c r="AW962" s="89"/>
      <c r="AX962" s="89"/>
      <c r="AY962" s="89"/>
      <c r="AZ962" s="89"/>
      <c r="BA962" s="95"/>
    </row>
    <row r="963" spans="1:53" s="87" customFormat="1">
      <c r="A963" s="90" t="str">
        <f t="shared" si="39"/>
        <v/>
      </c>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c r="AA963" s="89"/>
      <c r="AB963" s="89"/>
      <c r="AC963" s="89"/>
      <c r="AD963" s="89"/>
      <c r="AE963" s="89"/>
      <c r="AF963" s="89"/>
      <c r="AG963" s="89"/>
      <c r="AH963" s="89"/>
      <c r="AI963" s="89"/>
      <c r="AJ963" s="89"/>
      <c r="AK963" s="89"/>
      <c r="AL963" s="89"/>
      <c r="AM963" s="89"/>
      <c r="AN963" s="89"/>
      <c r="AO963" s="89"/>
      <c r="AP963" s="89"/>
      <c r="AQ963" s="89"/>
      <c r="AR963" s="89"/>
      <c r="AS963" s="89"/>
      <c r="AT963" s="89"/>
      <c r="AU963" s="89"/>
      <c r="AV963" s="89"/>
      <c r="AW963" s="89"/>
      <c r="AX963" s="89"/>
      <c r="AY963" s="89"/>
      <c r="AZ963" s="89"/>
      <c r="BA963" s="95"/>
    </row>
    <row r="964" spans="1:53" s="87" customFormat="1">
      <c r="A964" s="90" t="str">
        <f t="shared" si="39"/>
        <v/>
      </c>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c r="AA964" s="89"/>
      <c r="AB964" s="89"/>
      <c r="AC964" s="89"/>
      <c r="AD964" s="89"/>
      <c r="AE964" s="89"/>
      <c r="AF964" s="89"/>
      <c r="AG964" s="89"/>
      <c r="AH964" s="89"/>
      <c r="AI964" s="89"/>
      <c r="AJ964" s="89"/>
      <c r="AK964" s="89"/>
      <c r="AL964" s="89"/>
      <c r="AM964" s="89"/>
      <c r="AN964" s="89"/>
      <c r="AO964" s="89"/>
      <c r="AP964" s="89"/>
      <c r="AQ964" s="89"/>
      <c r="AR964" s="89"/>
      <c r="AS964" s="89"/>
      <c r="AT964" s="89"/>
      <c r="AU964" s="89"/>
      <c r="AV964" s="89"/>
      <c r="AW964" s="89"/>
      <c r="AX964" s="89"/>
      <c r="AY964" s="89"/>
      <c r="AZ964" s="89"/>
      <c r="BA964" s="95"/>
    </row>
    <row r="965" spans="1:53" s="87" customFormat="1">
      <c r="A965" s="90" t="str">
        <f t="shared" si="39"/>
        <v/>
      </c>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c r="AA965" s="89"/>
      <c r="AB965" s="89"/>
      <c r="AC965" s="89"/>
      <c r="AD965" s="89"/>
      <c r="AE965" s="89"/>
      <c r="AF965" s="89"/>
      <c r="AG965" s="89"/>
      <c r="AH965" s="89"/>
      <c r="AI965" s="89"/>
      <c r="AJ965" s="89"/>
      <c r="AK965" s="89"/>
      <c r="AL965" s="89"/>
      <c r="AM965" s="89"/>
      <c r="AN965" s="89"/>
      <c r="AO965" s="89"/>
      <c r="AP965" s="89"/>
      <c r="AQ965" s="89"/>
      <c r="AR965" s="89"/>
      <c r="AS965" s="89"/>
      <c r="AT965" s="89"/>
      <c r="AU965" s="89"/>
      <c r="AV965" s="89"/>
      <c r="AW965" s="89"/>
      <c r="AX965" s="89"/>
      <c r="AY965" s="89"/>
      <c r="AZ965" s="89"/>
      <c r="BA965" s="95"/>
    </row>
    <row r="966" spans="1:53" s="87" customFormat="1">
      <c r="A966" s="90" t="str">
        <f t="shared" si="39"/>
        <v/>
      </c>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c r="AA966" s="89"/>
      <c r="AB966" s="89"/>
      <c r="AC966" s="89"/>
      <c r="AD966" s="89"/>
      <c r="AE966" s="89"/>
      <c r="AF966" s="89"/>
      <c r="AG966" s="89"/>
      <c r="AH966" s="89"/>
      <c r="AI966" s="89"/>
      <c r="AJ966" s="89"/>
      <c r="AK966" s="89"/>
      <c r="AL966" s="89"/>
      <c r="AM966" s="89"/>
      <c r="AN966" s="89"/>
      <c r="AO966" s="89"/>
      <c r="AP966" s="89"/>
      <c r="AQ966" s="89"/>
      <c r="AR966" s="89"/>
      <c r="AS966" s="89"/>
      <c r="AT966" s="89"/>
      <c r="AU966" s="89"/>
      <c r="AV966" s="89"/>
      <c r="AW966" s="89"/>
      <c r="AX966" s="89"/>
      <c r="AY966" s="89"/>
      <c r="AZ966" s="89"/>
      <c r="BA966" s="95"/>
    </row>
    <row r="967" spans="1:53" s="87" customFormat="1">
      <c r="A967" s="90" t="str">
        <f t="shared" si="39"/>
        <v/>
      </c>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c r="AA967" s="89"/>
      <c r="AB967" s="89"/>
      <c r="AC967" s="89"/>
      <c r="AD967" s="89"/>
      <c r="AE967" s="89"/>
      <c r="AF967" s="89"/>
      <c r="AG967" s="89"/>
      <c r="AH967" s="89"/>
      <c r="AI967" s="89"/>
      <c r="AJ967" s="89"/>
      <c r="AK967" s="89"/>
      <c r="AL967" s="89"/>
      <c r="AM967" s="89"/>
      <c r="AN967" s="89"/>
      <c r="AO967" s="89"/>
      <c r="AP967" s="89"/>
      <c r="AQ967" s="89"/>
      <c r="AR967" s="89"/>
      <c r="AS967" s="89"/>
      <c r="AT967" s="89"/>
      <c r="AU967" s="89"/>
      <c r="AV967" s="89"/>
      <c r="AW967" s="89"/>
      <c r="AX967" s="89"/>
      <c r="AY967" s="89"/>
      <c r="AZ967" s="89"/>
      <c r="BA967" s="95"/>
    </row>
    <row r="968" spans="1:53" s="87" customFormat="1">
      <c r="A968" s="90" t="str">
        <f t="shared" si="39"/>
        <v/>
      </c>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c r="AA968" s="89"/>
      <c r="AB968" s="89"/>
      <c r="AC968" s="89"/>
      <c r="AD968" s="89"/>
      <c r="AE968" s="89"/>
      <c r="AF968" s="89"/>
      <c r="AG968" s="89"/>
      <c r="AH968" s="89"/>
      <c r="AI968" s="89"/>
      <c r="AJ968" s="89"/>
      <c r="AK968" s="89"/>
      <c r="AL968" s="89"/>
      <c r="AM968" s="89"/>
      <c r="AN968" s="89"/>
      <c r="AO968" s="89"/>
      <c r="AP968" s="89"/>
      <c r="AQ968" s="89"/>
      <c r="AR968" s="89"/>
      <c r="AS968" s="89"/>
      <c r="AT968" s="89"/>
      <c r="AU968" s="89"/>
      <c r="AV968" s="89"/>
      <c r="AW968" s="89"/>
      <c r="AX968" s="89"/>
      <c r="AY968" s="89"/>
      <c r="AZ968" s="89"/>
      <c r="BA968" s="95"/>
    </row>
    <row r="969" spans="1:53" s="87" customFormat="1">
      <c r="A969" s="90" t="str">
        <f t="shared" si="39"/>
        <v/>
      </c>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c r="AA969" s="89"/>
      <c r="AB969" s="89"/>
      <c r="AC969" s="89"/>
      <c r="AD969" s="89"/>
      <c r="AE969" s="89"/>
      <c r="AF969" s="89"/>
      <c r="AG969" s="89"/>
      <c r="AH969" s="89"/>
      <c r="AI969" s="89"/>
      <c r="AJ969" s="89"/>
      <c r="AK969" s="89"/>
      <c r="AL969" s="89"/>
      <c r="AM969" s="89"/>
      <c r="AN969" s="89"/>
      <c r="AO969" s="89"/>
      <c r="AP969" s="89"/>
      <c r="AQ969" s="89"/>
      <c r="AR969" s="89"/>
      <c r="AS969" s="89"/>
      <c r="AT969" s="89"/>
      <c r="AU969" s="89"/>
      <c r="AV969" s="89"/>
      <c r="AW969" s="89"/>
      <c r="AX969" s="89"/>
      <c r="AY969" s="89"/>
      <c r="AZ969" s="89"/>
      <c r="BA969" s="95"/>
    </row>
    <row r="970" spans="1:53" s="87" customFormat="1">
      <c r="A970" s="90" t="str">
        <f t="shared" si="39"/>
        <v/>
      </c>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c r="AA970" s="89"/>
      <c r="AB970" s="89"/>
      <c r="AC970" s="89"/>
      <c r="AD970" s="89"/>
      <c r="AE970" s="89"/>
      <c r="AF970" s="89"/>
      <c r="AG970" s="89"/>
      <c r="AH970" s="89"/>
      <c r="AI970" s="89"/>
      <c r="AJ970" s="89"/>
      <c r="AK970" s="89"/>
      <c r="AL970" s="89"/>
      <c r="AM970" s="89"/>
      <c r="AN970" s="89"/>
      <c r="AO970" s="89"/>
      <c r="AP970" s="89"/>
      <c r="AQ970" s="89"/>
      <c r="AR970" s="89"/>
      <c r="AS970" s="89"/>
      <c r="AT970" s="89"/>
      <c r="AU970" s="89"/>
      <c r="AV970" s="89"/>
      <c r="AW970" s="89"/>
      <c r="AX970" s="89"/>
      <c r="AY970" s="89"/>
      <c r="AZ970" s="89"/>
      <c r="BA970" s="95"/>
    </row>
    <row r="971" spans="1:53" s="87" customFormat="1">
      <c r="A971" s="90" t="str">
        <f t="shared" si="39"/>
        <v/>
      </c>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c r="AA971" s="89"/>
      <c r="AB971" s="89"/>
      <c r="AC971" s="89"/>
      <c r="AD971" s="89"/>
      <c r="AE971" s="89"/>
      <c r="AF971" s="89"/>
      <c r="AG971" s="89"/>
      <c r="AH971" s="89"/>
      <c r="AI971" s="89"/>
      <c r="AJ971" s="89"/>
      <c r="AK971" s="89"/>
      <c r="AL971" s="89"/>
      <c r="AM971" s="89"/>
      <c r="AN971" s="89"/>
      <c r="AO971" s="89"/>
      <c r="AP971" s="89"/>
      <c r="AQ971" s="89"/>
      <c r="AR971" s="89"/>
      <c r="AS971" s="89"/>
      <c r="AT971" s="89"/>
      <c r="AU971" s="89"/>
      <c r="AV971" s="89"/>
      <c r="AW971" s="89"/>
      <c r="AX971" s="89"/>
      <c r="AY971" s="89"/>
      <c r="AZ971" s="89"/>
      <c r="BA971" s="95"/>
    </row>
    <row r="972" spans="1:53" s="87" customFormat="1">
      <c r="A972" s="90" t="str">
        <f t="shared" ref="A972:A1035" si="40">IF(MID(B972,3,2)="10",ROW(),"")</f>
        <v/>
      </c>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c r="AA972" s="89"/>
      <c r="AB972" s="89"/>
      <c r="AC972" s="89"/>
      <c r="AD972" s="89"/>
      <c r="AE972" s="89"/>
      <c r="AF972" s="89"/>
      <c r="AG972" s="89"/>
      <c r="AH972" s="89"/>
      <c r="AI972" s="89"/>
      <c r="AJ972" s="89"/>
      <c r="AK972" s="89"/>
      <c r="AL972" s="89"/>
      <c r="AM972" s="89"/>
      <c r="AN972" s="89"/>
      <c r="AO972" s="89"/>
      <c r="AP972" s="89"/>
      <c r="AQ972" s="89"/>
      <c r="AR972" s="89"/>
      <c r="AS972" s="89"/>
      <c r="AT972" s="89"/>
      <c r="AU972" s="89"/>
      <c r="AV972" s="89"/>
      <c r="AW972" s="89"/>
      <c r="AX972" s="89"/>
      <c r="AY972" s="89"/>
      <c r="AZ972" s="89"/>
      <c r="BA972" s="95"/>
    </row>
    <row r="973" spans="1:53" s="87" customFormat="1">
      <c r="A973" s="90" t="str">
        <f t="shared" si="40"/>
        <v/>
      </c>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c r="AA973" s="89"/>
      <c r="AB973" s="89"/>
      <c r="AC973" s="89"/>
      <c r="AD973" s="89"/>
      <c r="AE973" s="89"/>
      <c r="AF973" s="89"/>
      <c r="AG973" s="89"/>
      <c r="AH973" s="89"/>
      <c r="AI973" s="89"/>
      <c r="AJ973" s="89"/>
      <c r="AK973" s="89"/>
      <c r="AL973" s="89"/>
      <c r="AM973" s="89"/>
      <c r="AN973" s="89"/>
      <c r="AO973" s="89"/>
      <c r="AP973" s="89"/>
      <c r="AQ973" s="89"/>
      <c r="AR973" s="89"/>
      <c r="AS973" s="89"/>
      <c r="AT973" s="89"/>
      <c r="AU973" s="89"/>
      <c r="AV973" s="89"/>
      <c r="AW973" s="89"/>
      <c r="AX973" s="89"/>
      <c r="AY973" s="89"/>
      <c r="AZ973" s="89"/>
      <c r="BA973" s="95"/>
    </row>
    <row r="974" spans="1:53" s="87" customFormat="1">
      <c r="A974" s="90" t="str">
        <f t="shared" si="40"/>
        <v/>
      </c>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c r="AA974" s="89"/>
      <c r="AB974" s="89"/>
      <c r="AC974" s="89"/>
      <c r="AD974" s="89"/>
      <c r="AE974" s="89"/>
      <c r="AF974" s="89"/>
      <c r="AG974" s="89"/>
      <c r="AH974" s="89"/>
      <c r="AI974" s="89"/>
      <c r="AJ974" s="89"/>
      <c r="AK974" s="89"/>
      <c r="AL974" s="89"/>
      <c r="AM974" s="89"/>
      <c r="AN974" s="89"/>
      <c r="AO974" s="89"/>
      <c r="AP974" s="89"/>
      <c r="AQ974" s="89"/>
      <c r="AR974" s="89"/>
      <c r="AS974" s="89"/>
      <c r="AT974" s="89"/>
      <c r="AU974" s="89"/>
      <c r="AV974" s="89"/>
      <c r="AW974" s="89"/>
      <c r="AX974" s="89"/>
      <c r="AY974" s="89"/>
      <c r="AZ974" s="89"/>
      <c r="BA974" s="95"/>
    </row>
    <row r="975" spans="1:53" s="87" customFormat="1">
      <c r="A975" s="90" t="str">
        <f t="shared" si="40"/>
        <v/>
      </c>
      <c r="B975" s="89"/>
      <c r="C975" s="89"/>
      <c r="D975" s="89"/>
      <c r="E975" s="89"/>
      <c r="F975" s="89"/>
      <c r="G975" s="89"/>
      <c r="H975" s="89"/>
      <c r="I975" s="89"/>
      <c r="J975" s="89"/>
      <c r="K975" s="89"/>
      <c r="L975" s="89"/>
      <c r="M975" s="89"/>
      <c r="N975" s="89"/>
      <c r="O975" s="89"/>
      <c r="P975" s="89"/>
      <c r="Q975" s="89"/>
      <c r="R975" s="89"/>
      <c r="S975" s="89"/>
      <c r="T975" s="89"/>
      <c r="U975" s="89"/>
      <c r="V975" s="89"/>
      <c r="W975" s="89"/>
      <c r="X975" s="89"/>
      <c r="Y975" s="89"/>
      <c r="Z975" s="89"/>
      <c r="AA975" s="89"/>
      <c r="AB975" s="89"/>
      <c r="AC975" s="89"/>
      <c r="AD975" s="89"/>
      <c r="AE975" s="89"/>
      <c r="AF975" s="89"/>
      <c r="AG975" s="89"/>
      <c r="AH975" s="89"/>
      <c r="AI975" s="89"/>
      <c r="AJ975" s="89"/>
      <c r="AK975" s="89"/>
      <c r="AL975" s="89"/>
      <c r="AM975" s="89"/>
      <c r="AN975" s="89"/>
      <c r="AO975" s="89"/>
      <c r="AP975" s="89"/>
      <c r="AQ975" s="89"/>
      <c r="AR975" s="89"/>
      <c r="AS975" s="89"/>
      <c r="AT975" s="89"/>
      <c r="AU975" s="89"/>
      <c r="AV975" s="89"/>
      <c r="AW975" s="89"/>
      <c r="AX975" s="89"/>
      <c r="AY975" s="89"/>
      <c r="AZ975" s="89"/>
      <c r="BA975" s="95"/>
    </row>
    <row r="976" spans="1:53" s="87" customFormat="1">
      <c r="A976" s="90" t="str">
        <f t="shared" si="40"/>
        <v/>
      </c>
      <c r="B976" s="89"/>
      <c r="C976" s="89"/>
      <c r="D976" s="89"/>
      <c r="E976" s="89"/>
      <c r="F976" s="89"/>
      <c r="G976" s="89"/>
      <c r="H976" s="89"/>
      <c r="I976" s="89"/>
      <c r="J976" s="89"/>
      <c r="K976" s="89"/>
      <c r="L976" s="89"/>
      <c r="M976" s="89"/>
      <c r="N976" s="89"/>
      <c r="O976" s="89"/>
      <c r="P976" s="89"/>
      <c r="Q976" s="89"/>
      <c r="R976" s="89"/>
      <c r="S976" s="89"/>
      <c r="T976" s="89"/>
      <c r="U976" s="89"/>
      <c r="V976" s="89"/>
      <c r="W976" s="89"/>
      <c r="X976" s="89"/>
      <c r="Y976" s="89"/>
      <c r="Z976" s="89"/>
      <c r="AA976" s="89"/>
      <c r="AB976" s="89"/>
      <c r="AC976" s="89"/>
      <c r="AD976" s="89"/>
      <c r="AE976" s="89"/>
      <c r="AF976" s="89"/>
      <c r="AG976" s="89"/>
      <c r="AH976" s="89"/>
      <c r="AI976" s="89"/>
      <c r="AJ976" s="89"/>
      <c r="AK976" s="89"/>
      <c r="AL976" s="89"/>
      <c r="AM976" s="89"/>
      <c r="AN976" s="89"/>
      <c r="AO976" s="89"/>
      <c r="AP976" s="89"/>
      <c r="AQ976" s="89"/>
      <c r="AR976" s="89"/>
      <c r="AS976" s="89"/>
      <c r="AT976" s="89"/>
      <c r="AU976" s="89"/>
      <c r="AV976" s="89"/>
      <c r="AW976" s="89"/>
      <c r="AX976" s="89"/>
      <c r="AY976" s="89"/>
      <c r="AZ976" s="89"/>
      <c r="BA976" s="95"/>
    </row>
    <row r="977" spans="1:53" s="87" customFormat="1">
      <c r="A977" s="90" t="str">
        <f t="shared" si="40"/>
        <v/>
      </c>
      <c r="B977" s="89"/>
      <c r="C977" s="89"/>
      <c r="D977" s="89"/>
      <c r="E977" s="89"/>
      <c r="F977" s="89"/>
      <c r="G977" s="89"/>
      <c r="H977" s="89"/>
      <c r="I977" s="89"/>
      <c r="J977" s="89"/>
      <c r="K977" s="89"/>
      <c r="L977" s="89"/>
      <c r="M977" s="89"/>
      <c r="N977" s="89"/>
      <c r="O977" s="89"/>
      <c r="P977" s="89"/>
      <c r="Q977" s="89"/>
      <c r="R977" s="89"/>
      <c r="S977" s="89"/>
      <c r="T977" s="89"/>
      <c r="U977" s="89"/>
      <c r="V977" s="89"/>
      <c r="W977" s="89"/>
      <c r="X977" s="89"/>
      <c r="Y977" s="89"/>
      <c r="Z977" s="89"/>
      <c r="AA977" s="89"/>
      <c r="AB977" s="89"/>
      <c r="AC977" s="89"/>
      <c r="AD977" s="89"/>
      <c r="AE977" s="89"/>
      <c r="AF977" s="89"/>
      <c r="AG977" s="89"/>
      <c r="AH977" s="89"/>
      <c r="AI977" s="89"/>
      <c r="AJ977" s="89"/>
      <c r="AK977" s="89"/>
      <c r="AL977" s="89"/>
      <c r="AM977" s="89"/>
      <c r="AN977" s="89"/>
      <c r="AO977" s="89"/>
      <c r="AP977" s="89"/>
      <c r="AQ977" s="89"/>
      <c r="AR977" s="89"/>
      <c r="AS977" s="89"/>
      <c r="AT977" s="89"/>
      <c r="AU977" s="89"/>
      <c r="AV977" s="89"/>
      <c r="AW977" s="89"/>
      <c r="AX977" s="89"/>
      <c r="AY977" s="89"/>
      <c r="AZ977" s="89"/>
      <c r="BA977" s="95"/>
    </row>
    <row r="978" spans="1:53" s="87" customFormat="1">
      <c r="A978" s="90" t="str">
        <f t="shared" si="40"/>
        <v/>
      </c>
      <c r="B978" s="89"/>
      <c r="C978" s="89"/>
      <c r="D978" s="89"/>
      <c r="E978" s="89"/>
      <c r="F978" s="89"/>
      <c r="G978" s="89"/>
      <c r="H978" s="89"/>
      <c r="I978" s="89"/>
      <c r="J978" s="89"/>
      <c r="K978" s="89"/>
      <c r="L978" s="89"/>
      <c r="M978" s="89"/>
      <c r="N978" s="89"/>
      <c r="O978" s="89"/>
      <c r="P978" s="89"/>
      <c r="Q978" s="89"/>
      <c r="R978" s="89"/>
      <c r="S978" s="89"/>
      <c r="T978" s="89"/>
      <c r="U978" s="89"/>
      <c r="V978" s="89"/>
      <c r="W978" s="89"/>
      <c r="X978" s="89"/>
      <c r="Y978" s="89"/>
      <c r="Z978" s="89"/>
      <c r="AA978" s="89"/>
      <c r="AB978" s="89"/>
      <c r="AC978" s="89"/>
      <c r="AD978" s="89"/>
      <c r="AE978" s="89"/>
      <c r="AF978" s="89"/>
      <c r="AG978" s="89"/>
      <c r="AH978" s="89"/>
      <c r="AI978" s="89"/>
      <c r="AJ978" s="89"/>
      <c r="AK978" s="89"/>
      <c r="AL978" s="89"/>
      <c r="AM978" s="89"/>
      <c r="AN978" s="89"/>
      <c r="AO978" s="89"/>
      <c r="AP978" s="89"/>
      <c r="AQ978" s="89"/>
      <c r="AR978" s="89"/>
      <c r="AS978" s="89"/>
      <c r="AT978" s="89"/>
      <c r="AU978" s="89"/>
      <c r="AV978" s="89"/>
      <c r="AW978" s="89"/>
      <c r="AX978" s="89"/>
      <c r="AY978" s="89"/>
      <c r="AZ978" s="89"/>
      <c r="BA978" s="95"/>
    </row>
    <row r="979" spans="1:53" s="87" customFormat="1">
      <c r="A979" s="90" t="str">
        <f t="shared" si="40"/>
        <v/>
      </c>
      <c r="B979" s="89"/>
      <c r="C979" s="89"/>
      <c r="D979" s="89"/>
      <c r="E979" s="89"/>
      <c r="F979" s="89"/>
      <c r="G979" s="89"/>
      <c r="H979" s="89"/>
      <c r="I979" s="89"/>
      <c r="J979" s="89"/>
      <c r="K979" s="89"/>
      <c r="L979" s="89"/>
      <c r="M979" s="89"/>
      <c r="N979" s="89"/>
      <c r="O979" s="89"/>
      <c r="P979" s="89"/>
      <c r="Q979" s="89"/>
      <c r="R979" s="89"/>
      <c r="S979" s="89"/>
      <c r="T979" s="89"/>
      <c r="U979" s="89"/>
      <c r="V979" s="89"/>
      <c r="W979" s="89"/>
      <c r="X979" s="89"/>
      <c r="Y979" s="89"/>
      <c r="Z979" s="89"/>
      <c r="AA979" s="89"/>
      <c r="AB979" s="89"/>
      <c r="AC979" s="89"/>
      <c r="AD979" s="89"/>
      <c r="AE979" s="89"/>
      <c r="AF979" s="89"/>
      <c r="AG979" s="89"/>
      <c r="AH979" s="89"/>
      <c r="AI979" s="89"/>
      <c r="AJ979" s="89"/>
      <c r="AK979" s="89"/>
      <c r="AL979" s="89"/>
      <c r="AM979" s="89"/>
      <c r="AN979" s="89"/>
      <c r="AO979" s="89"/>
      <c r="AP979" s="89"/>
      <c r="AQ979" s="89"/>
      <c r="AR979" s="89"/>
      <c r="AS979" s="89"/>
      <c r="AT979" s="89"/>
      <c r="AU979" s="89"/>
      <c r="AV979" s="89"/>
      <c r="AW979" s="89"/>
      <c r="AX979" s="89"/>
      <c r="AY979" s="89"/>
      <c r="AZ979" s="89"/>
      <c r="BA979" s="95"/>
    </row>
    <row r="980" spans="1:53" s="87" customFormat="1">
      <c r="A980" s="90" t="str">
        <f t="shared" si="40"/>
        <v/>
      </c>
      <c r="B980" s="89"/>
      <c r="C980" s="89"/>
      <c r="D980" s="89"/>
      <c r="E980" s="89"/>
      <c r="F980" s="89"/>
      <c r="G980" s="89"/>
      <c r="H980" s="89"/>
      <c r="I980" s="89"/>
      <c r="J980" s="89"/>
      <c r="K980" s="89"/>
      <c r="L980" s="89"/>
      <c r="M980" s="89"/>
      <c r="N980" s="89"/>
      <c r="O980" s="89"/>
      <c r="P980" s="89"/>
      <c r="Q980" s="89"/>
      <c r="R980" s="89"/>
      <c r="S980" s="89"/>
      <c r="T980" s="89"/>
      <c r="U980" s="89"/>
      <c r="V980" s="89"/>
      <c r="W980" s="89"/>
      <c r="X980" s="89"/>
      <c r="Y980" s="89"/>
      <c r="Z980" s="89"/>
      <c r="AA980" s="89"/>
      <c r="AB980" s="89"/>
      <c r="AC980" s="89"/>
      <c r="AD980" s="89"/>
      <c r="AE980" s="89"/>
      <c r="AF980" s="89"/>
      <c r="AG980" s="89"/>
      <c r="AH980" s="89"/>
      <c r="AI980" s="89"/>
      <c r="AJ980" s="89"/>
      <c r="AK980" s="89"/>
      <c r="AL980" s="89"/>
      <c r="AM980" s="89"/>
      <c r="AN980" s="89"/>
      <c r="AO980" s="89"/>
      <c r="AP980" s="89"/>
      <c r="AQ980" s="89"/>
      <c r="AR980" s="89"/>
      <c r="AS980" s="89"/>
      <c r="AT980" s="89"/>
      <c r="AU980" s="89"/>
      <c r="AV980" s="89"/>
      <c r="AW980" s="89"/>
      <c r="AX980" s="89"/>
      <c r="AY980" s="89"/>
      <c r="AZ980" s="89"/>
      <c r="BA980" s="95"/>
    </row>
    <row r="981" spans="1:53" s="87" customFormat="1">
      <c r="A981" s="90" t="str">
        <f t="shared" si="40"/>
        <v/>
      </c>
      <c r="B981" s="89"/>
      <c r="C981" s="89"/>
      <c r="D981" s="89"/>
      <c r="E981" s="89"/>
      <c r="F981" s="89"/>
      <c r="G981" s="89"/>
      <c r="H981" s="89"/>
      <c r="I981" s="89"/>
      <c r="J981" s="89"/>
      <c r="K981" s="89"/>
      <c r="L981" s="89"/>
      <c r="M981" s="89"/>
      <c r="N981" s="89"/>
      <c r="O981" s="89"/>
      <c r="P981" s="89"/>
      <c r="Q981" s="89"/>
      <c r="R981" s="89"/>
      <c r="S981" s="89"/>
      <c r="T981" s="89"/>
      <c r="U981" s="89"/>
      <c r="V981" s="89"/>
      <c r="W981" s="89"/>
      <c r="X981" s="89"/>
      <c r="Y981" s="89"/>
      <c r="Z981" s="89"/>
      <c r="AA981" s="89"/>
      <c r="AB981" s="89"/>
      <c r="AC981" s="89"/>
      <c r="AD981" s="89"/>
      <c r="AE981" s="89"/>
      <c r="AF981" s="89"/>
      <c r="AG981" s="89"/>
      <c r="AH981" s="89"/>
      <c r="AI981" s="89"/>
      <c r="AJ981" s="89"/>
      <c r="AK981" s="89"/>
      <c r="AL981" s="89"/>
      <c r="AM981" s="89"/>
      <c r="AN981" s="89"/>
      <c r="AO981" s="89"/>
      <c r="AP981" s="89"/>
      <c r="AQ981" s="89"/>
      <c r="AR981" s="89"/>
      <c r="AS981" s="89"/>
      <c r="AT981" s="89"/>
      <c r="AU981" s="89"/>
      <c r="AV981" s="89"/>
      <c r="AW981" s="89"/>
      <c r="AX981" s="89"/>
      <c r="AY981" s="89"/>
      <c r="AZ981" s="89"/>
      <c r="BA981" s="95"/>
    </row>
    <row r="982" spans="1:53" s="87" customFormat="1">
      <c r="A982" s="90" t="str">
        <f t="shared" si="40"/>
        <v/>
      </c>
      <c r="B982" s="89"/>
      <c r="C982" s="89"/>
      <c r="D982" s="89"/>
      <c r="E982" s="89"/>
      <c r="F982" s="89"/>
      <c r="G982" s="89"/>
      <c r="H982" s="89"/>
      <c r="I982" s="89"/>
      <c r="J982" s="89"/>
      <c r="K982" s="89"/>
      <c r="L982" s="89"/>
      <c r="M982" s="89"/>
      <c r="N982" s="89"/>
      <c r="O982" s="89"/>
      <c r="P982" s="89"/>
      <c r="Q982" s="89"/>
      <c r="R982" s="89"/>
      <c r="S982" s="89"/>
      <c r="T982" s="89"/>
      <c r="U982" s="89"/>
      <c r="V982" s="89"/>
      <c r="W982" s="89"/>
      <c r="X982" s="89"/>
      <c r="Y982" s="89"/>
      <c r="Z982" s="89"/>
      <c r="AA982" s="89"/>
      <c r="AB982" s="89"/>
      <c r="AC982" s="89"/>
      <c r="AD982" s="89"/>
      <c r="AE982" s="89"/>
      <c r="AF982" s="89"/>
      <c r="AG982" s="89"/>
      <c r="AH982" s="89"/>
      <c r="AI982" s="89"/>
      <c r="AJ982" s="89"/>
      <c r="AK982" s="89"/>
      <c r="AL982" s="89"/>
      <c r="AM982" s="89"/>
      <c r="AN982" s="89"/>
      <c r="AO982" s="89"/>
      <c r="AP982" s="89"/>
      <c r="AQ982" s="89"/>
      <c r="AR982" s="89"/>
      <c r="AS982" s="89"/>
      <c r="AT982" s="89"/>
      <c r="AU982" s="89"/>
      <c r="AV982" s="89"/>
      <c r="AW982" s="89"/>
      <c r="AX982" s="89"/>
      <c r="AY982" s="89"/>
      <c r="AZ982" s="89"/>
      <c r="BA982" s="95"/>
    </row>
    <row r="983" spans="1:53" s="87" customFormat="1">
      <c r="A983" s="90" t="str">
        <f t="shared" si="40"/>
        <v/>
      </c>
      <c r="B983" s="89"/>
      <c r="C983" s="89"/>
      <c r="D983" s="89"/>
      <c r="E983" s="89"/>
      <c r="F983" s="89"/>
      <c r="G983" s="89"/>
      <c r="H983" s="89"/>
      <c r="I983" s="89"/>
      <c r="J983" s="89"/>
      <c r="K983" s="89"/>
      <c r="L983" s="89"/>
      <c r="M983" s="89"/>
      <c r="N983" s="89"/>
      <c r="O983" s="89"/>
      <c r="P983" s="89"/>
      <c r="Q983" s="89"/>
      <c r="R983" s="89"/>
      <c r="S983" s="89"/>
      <c r="T983" s="89"/>
      <c r="U983" s="89"/>
      <c r="V983" s="89"/>
      <c r="W983" s="89"/>
      <c r="X983" s="89"/>
      <c r="Y983" s="89"/>
      <c r="Z983" s="89"/>
      <c r="AA983" s="89"/>
      <c r="AB983" s="89"/>
      <c r="AC983" s="89"/>
      <c r="AD983" s="89"/>
      <c r="AE983" s="89"/>
      <c r="AF983" s="89"/>
      <c r="AG983" s="89"/>
      <c r="AH983" s="89"/>
      <c r="AI983" s="89"/>
      <c r="AJ983" s="89"/>
      <c r="AK983" s="89"/>
      <c r="AL983" s="89"/>
      <c r="AM983" s="89"/>
      <c r="AN983" s="89"/>
      <c r="AO983" s="89"/>
      <c r="AP983" s="89"/>
      <c r="AQ983" s="89"/>
      <c r="AR983" s="89"/>
      <c r="AS983" s="89"/>
      <c r="AT983" s="89"/>
      <c r="AU983" s="89"/>
      <c r="AV983" s="89"/>
      <c r="AW983" s="89"/>
      <c r="AX983" s="89"/>
      <c r="AY983" s="89"/>
      <c r="AZ983" s="89"/>
      <c r="BA983" s="95"/>
    </row>
    <row r="984" spans="1:53" s="87" customFormat="1">
      <c r="A984" s="90" t="str">
        <f t="shared" si="40"/>
        <v/>
      </c>
      <c r="B984" s="89"/>
      <c r="C984" s="89"/>
      <c r="D984" s="89"/>
      <c r="E984" s="89"/>
      <c r="F984" s="89"/>
      <c r="G984" s="89"/>
      <c r="H984" s="89"/>
      <c r="I984" s="89"/>
      <c r="J984" s="89"/>
      <c r="K984" s="89"/>
      <c r="L984" s="89"/>
      <c r="M984" s="89"/>
      <c r="N984" s="89"/>
      <c r="O984" s="89"/>
      <c r="P984" s="89"/>
      <c r="Q984" s="89"/>
      <c r="R984" s="89"/>
      <c r="S984" s="89"/>
      <c r="T984" s="89"/>
      <c r="U984" s="89"/>
      <c r="V984" s="89"/>
      <c r="W984" s="89"/>
      <c r="X984" s="89"/>
      <c r="Y984" s="89"/>
      <c r="Z984" s="89"/>
      <c r="AA984" s="89"/>
      <c r="AB984" s="89"/>
      <c r="AC984" s="89"/>
      <c r="AD984" s="89"/>
      <c r="AE984" s="89"/>
      <c r="AF984" s="89"/>
      <c r="AG984" s="89"/>
      <c r="AH984" s="89"/>
      <c r="AI984" s="89"/>
      <c r="AJ984" s="89"/>
      <c r="AK984" s="89"/>
      <c r="AL984" s="89"/>
      <c r="AM984" s="89"/>
      <c r="AN984" s="89"/>
      <c r="AO984" s="89"/>
      <c r="AP984" s="89"/>
      <c r="AQ984" s="89"/>
      <c r="AR984" s="89"/>
      <c r="AS984" s="89"/>
      <c r="AT984" s="89"/>
      <c r="AU984" s="89"/>
      <c r="AV984" s="89"/>
      <c r="AW984" s="89"/>
      <c r="AX984" s="89"/>
      <c r="AY984" s="89"/>
      <c r="AZ984" s="89"/>
      <c r="BA984" s="95"/>
    </row>
    <row r="985" spans="1:53" s="87" customFormat="1">
      <c r="A985" s="90" t="str">
        <f t="shared" si="40"/>
        <v/>
      </c>
      <c r="B985" s="89"/>
      <c r="C985" s="89"/>
      <c r="D985" s="89"/>
      <c r="E985" s="89"/>
      <c r="F985" s="89"/>
      <c r="G985" s="89"/>
      <c r="H985" s="89"/>
      <c r="I985" s="89"/>
      <c r="J985" s="89"/>
      <c r="K985" s="89"/>
      <c r="L985" s="89"/>
      <c r="M985" s="89"/>
      <c r="N985" s="89"/>
      <c r="O985" s="89"/>
      <c r="P985" s="89"/>
      <c r="Q985" s="89"/>
      <c r="R985" s="89"/>
      <c r="S985" s="89"/>
      <c r="T985" s="89"/>
      <c r="U985" s="89"/>
      <c r="V985" s="89"/>
      <c r="W985" s="89"/>
      <c r="X985" s="89"/>
      <c r="Y985" s="89"/>
      <c r="Z985" s="89"/>
      <c r="AA985" s="89"/>
      <c r="AB985" s="89"/>
      <c r="AC985" s="89"/>
      <c r="AD985" s="89"/>
      <c r="AE985" s="89"/>
      <c r="AF985" s="89"/>
      <c r="AG985" s="89"/>
      <c r="AH985" s="89"/>
      <c r="AI985" s="89"/>
      <c r="AJ985" s="89"/>
      <c r="AK985" s="89"/>
      <c r="AL985" s="89"/>
      <c r="AM985" s="89"/>
      <c r="AN985" s="89"/>
      <c r="AO985" s="89"/>
      <c r="AP985" s="89"/>
      <c r="AQ985" s="89"/>
      <c r="AR985" s="89"/>
      <c r="AS985" s="89"/>
      <c r="AT985" s="89"/>
      <c r="AU985" s="89"/>
      <c r="AV985" s="89"/>
      <c r="AW985" s="89"/>
      <c r="AX985" s="89"/>
      <c r="AY985" s="89"/>
      <c r="AZ985" s="89"/>
      <c r="BA985" s="95"/>
    </row>
    <row r="986" spans="1:53" s="87" customFormat="1">
      <c r="A986" s="90" t="str">
        <f t="shared" si="40"/>
        <v/>
      </c>
      <c r="B986" s="89"/>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c r="AA986" s="89"/>
      <c r="AB986" s="89"/>
      <c r="AC986" s="89"/>
      <c r="AD986" s="89"/>
      <c r="AE986" s="89"/>
      <c r="AF986" s="89"/>
      <c r="AG986" s="89"/>
      <c r="AH986" s="89"/>
      <c r="AI986" s="89"/>
      <c r="AJ986" s="89"/>
      <c r="AK986" s="89"/>
      <c r="AL986" s="89"/>
      <c r="AM986" s="89"/>
      <c r="AN986" s="89"/>
      <c r="AO986" s="89"/>
      <c r="AP986" s="89"/>
      <c r="AQ986" s="89"/>
      <c r="AR986" s="89"/>
      <c r="AS986" s="89"/>
      <c r="AT986" s="89"/>
      <c r="AU986" s="89"/>
      <c r="AV986" s="89"/>
      <c r="AW986" s="89"/>
      <c r="AX986" s="89"/>
      <c r="AY986" s="89"/>
      <c r="AZ986" s="89"/>
      <c r="BA986" s="95"/>
    </row>
    <row r="987" spans="1:53" s="87" customFormat="1">
      <c r="A987" s="90" t="str">
        <f t="shared" si="40"/>
        <v/>
      </c>
      <c r="B987" s="89"/>
      <c r="C987" s="89"/>
      <c r="D987" s="89"/>
      <c r="E987" s="89"/>
      <c r="F987" s="89"/>
      <c r="G987" s="89"/>
      <c r="H987" s="89"/>
      <c r="I987" s="89"/>
      <c r="J987" s="89"/>
      <c r="K987" s="89"/>
      <c r="L987" s="89"/>
      <c r="M987" s="89"/>
      <c r="N987" s="89"/>
      <c r="O987" s="89"/>
      <c r="P987" s="89"/>
      <c r="Q987" s="89"/>
      <c r="R987" s="89"/>
      <c r="S987" s="89"/>
      <c r="T987" s="89"/>
      <c r="U987" s="89"/>
      <c r="V987" s="89"/>
      <c r="W987" s="89"/>
      <c r="X987" s="89"/>
      <c r="Y987" s="89"/>
      <c r="Z987" s="89"/>
      <c r="AA987" s="89"/>
      <c r="AB987" s="89"/>
      <c r="AC987" s="89"/>
      <c r="AD987" s="89"/>
      <c r="AE987" s="89"/>
      <c r="AF987" s="89"/>
      <c r="AG987" s="89"/>
      <c r="AH987" s="89"/>
      <c r="AI987" s="89"/>
      <c r="AJ987" s="89"/>
      <c r="AK987" s="89"/>
      <c r="AL987" s="89"/>
      <c r="AM987" s="89"/>
      <c r="AN987" s="89"/>
      <c r="AO987" s="89"/>
      <c r="AP987" s="89"/>
      <c r="AQ987" s="89"/>
      <c r="AR987" s="89"/>
      <c r="AS987" s="89"/>
      <c r="AT987" s="89"/>
      <c r="AU987" s="89"/>
      <c r="AV987" s="89"/>
      <c r="AW987" s="89"/>
      <c r="AX987" s="89"/>
      <c r="AY987" s="89"/>
      <c r="AZ987" s="89"/>
      <c r="BA987" s="95"/>
    </row>
    <row r="988" spans="1:53" s="87" customFormat="1">
      <c r="A988" s="90" t="str">
        <f t="shared" si="40"/>
        <v/>
      </c>
      <c r="B988" s="89"/>
      <c r="C988" s="89"/>
      <c r="D988" s="89"/>
      <c r="E988" s="89"/>
      <c r="F988" s="89"/>
      <c r="G988" s="89"/>
      <c r="H988" s="89"/>
      <c r="I988" s="89"/>
      <c r="J988" s="89"/>
      <c r="K988" s="89"/>
      <c r="L988" s="89"/>
      <c r="M988" s="89"/>
      <c r="N988" s="89"/>
      <c r="O988" s="89"/>
      <c r="P988" s="89"/>
      <c r="Q988" s="89"/>
      <c r="R988" s="89"/>
      <c r="S988" s="89"/>
      <c r="T988" s="89"/>
      <c r="U988" s="89"/>
      <c r="V988" s="89"/>
      <c r="W988" s="89"/>
      <c r="X988" s="89"/>
      <c r="Y988" s="89"/>
      <c r="Z988" s="89"/>
      <c r="AA988" s="89"/>
      <c r="AB988" s="89"/>
      <c r="AC988" s="89"/>
      <c r="AD988" s="89"/>
      <c r="AE988" s="89"/>
      <c r="AF988" s="89"/>
      <c r="AG988" s="89"/>
      <c r="AH988" s="89"/>
      <c r="AI988" s="89"/>
      <c r="AJ988" s="89"/>
      <c r="AK988" s="89"/>
      <c r="AL988" s="89"/>
      <c r="AM988" s="89"/>
      <c r="AN988" s="89"/>
      <c r="AO988" s="89"/>
      <c r="AP988" s="89"/>
      <c r="AQ988" s="89"/>
      <c r="AR988" s="89"/>
      <c r="AS988" s="89"/>
      <c r="AT988" s="89"/>
      <c r="AU988" s="89"/>
      <c r="AV988" s="89"/>
      <c r="AW988" s="89"/>
      <c r="AX988" s="89"/>
      <c r="AY988" s="89"/>
      <c r="AZ988" s="89"/>
      <c r="BA988" s="95"/>
    </row>
    <row r="989" spans="1:53" s="87" customFormat="1">
      <c r="A989" s="90" t="str">
        <f t="shared" si="40"/>
        <v/>
      </c>
      <c r="B989" s="89"/>
      <c r="C989" s="89"/>
      <c r="D989" s="89"/>
      <c r="E989" s="89"/>
      <c r="F989" s="89"/>
      <c r="G989" s="89"/>
      <c r="H989" s="89"/>
      <c r="I989" s="89"/>
      <c r="J989" s="89"/>
      <c r="K989" s="89"/>
      <c r="L989" s="89"/>
      <c r="M989" s="89"/>
      <c r="N989" s="89"/>
      <c r="O989" s="89"/>
      <c r="P989" s="89"/>
      <c r="Q989" s="89"/>
      <c r="R989" s="89"/>
      <c r="S989" s="89"/>
      <c r="T989" s="89"/>
      <c r="U989" s="89"/>
      <c r="V989" s="89"/>
      <c r="W989" s="89"/>
      <c r="X989" s="89"/>
      <c r="Y989" s="89"/>
      <c r="Z989" s="89"/>
      <c r="AA989" s="89"/>
      <c r="AB989" s="89"/>
      <c r="AC989" s="89"/>
      <c r="AD989" s="89"/>
      <c r="AE989" s="89"/>
      <c r="AF989" s="89"/>
      <c r="AG989" s="89"/>
      <c r="AH989" s="89"/>
      <c r="AI989" s="89"/>
      <c r="AJ989" s="89"/>
      <c r="AK989" s="89"/>
      <c r="AL989" s="89"/>
      <c r="AM989" s="89"/>
      <c r="AN989" s="89"/>
      <c r="AO989" s="89"/>
      <c r="AP989" s="89"/>
      <c r="AQ989" s="89"/>
      <c r="AR989" s="89"/>
      <c r="AS989" s="89"/>
      <c r="AT989" s="89"/>
      <c r="AU989" s="89"/>
      <c r="AV989" s="89"/>
      <c r="AW989" s="89"/>
      <c r="AX989" s="89"/>
      <c r="AY989" s="89"/>
      <c r="AZ989" s="89"/>
      <c r="BA989" s="95"/>
    </row>
    <row r="990" spans="1:53" s="87" customFormat="1">
      <c r="A990" s="90" t="str">
        <f t="shared" si="40"/>
        <v/>
      </c>
      <c r="B990" s="89"/>
      <c r="C990" s="89"/>
      <c r="D990" s="89"/>
      <c r="E990" s="89"/>
      <c r="F990" s="89"/>
      <c r="G990" s="89"/>
      <c r="H990" s="89"/>
      <c r="I990" s="89"/>
      <c r="J990" s="89"/>
      <c r="K990" s="89"/>
      <c r="L990" s="89"/>
      <c r="M990" s="89"/>
      <c r="N990" s="89"/>
      <c r="O990" s="89"/>
      <c r="P990" s="89"/>
      <c r="Q990" s="89"/>
      <c r="R990" s="89"/>
      <c r="S990" s="89"/>
      <c r="T990" s="89"/>
      <c r="U990" s="89"/>
      <c r="V990" s="89"/>
      <c r="W990" s="89"/>
      <c r="X990" s="89"/>
      <c r="Y990" s="89"/>
      <c r="Z990" s="89"/>
      <c r="AA990" s="89"/>
      <c r="AB990" s="89"/>
      <c r="AC990" s="89"/>
      <c r="AD990" s="89"/>
      <c r="AE990" s="89"/>
      <c r="AF990" s="89"/>
      <c r="AG990" s="89"/>
      <c r="AH990" s="89"/>
      <c r="AI990" s="89"/>
      <c r="AJ990" s="89"/>
      <c r="AK990" s="89"/>
      <c r="AL990" s="89"/>
      <c r="AM990" s="89"/>
      <c r="AN990" s="89"/>
      <c r="AO990" s="89"/>
      <c r="AP990" s="89"/>
      <c r="AQ990" s="89"/>
      <c r="AR990" s="89"/>
      <c r="AS990" s="89"/>
      <c r="AT990" s="89"/>
      <c r="AU990" s="89"/>
      <c r="AV990" s="89"/>
      <c r="AW990" s="89"/>
      <c r="AX990" s="89"/>
      <c r="AY990" s="89"/>
      <c r="AZ990" s="89"/>
      <c r="BA990" s="95"/>
    </row>
    <row r="991" spans="1:53" s="87" customFormat="1">
      <c r="A991" s="90" t="str">
        <f t="shared" si="40"/>
        <v/>
      </c>
      <c r="B991" s="89"/>
      <c r="C991" s="89"/>
      <c r="D991" s="89"/>
      <c r="E991" s="89"/>
      <c r="F991" s="89"/>
      <c r="G991" s="89"/>
      <c r="H991" s="89"/>
      <c r="I991" s="89"/>
      <c r="J991" s="89"/>
      <c r="K991" s="89"/>
      <c r="L991" s="89"/>
      <c r="M991" s="89"/>
      <c r="N991" s="89"/>
      <c r="O991" s="89"/>
      <c r="P991" s="89"/>
      <c r="Q991" s="89"/>
      <c r="R991" s="89"/>
      <c r="S991" s="89"/>
      <c r="T991" s="89"/>
      <c r="U991" s="89"/>
      <c r="V991" s="89"/>
      <c r="W991" s="89"/>
      <c r="X991" s="89"/>
      <c r="Y991" s="89"/>
      <c r="Z991" s="89"/>
      <c r="AA991" s="89"/>
      <c r="AB991" s="89"/>
      <c r="AC991" s="89"/>
      <c r="AD991" s="89"/>
      <c r="AE991" s="89"/>
      <c r="AF991" s="89"/>
      <c r="AG991" s="89"/>
      <c r="AH991" s="89"/>
      <c r="AI991" s="89"/>
      <c r="AJ991" s="89"/>
      <c r="AK991" s="89"/>
      <c r="AL991" s="89"/>
      <c r="AM991" s="89"/>
      <c r="AN991" s="89"/>
      <c r="AO991" s="89"/>
      <c r="AP991" s="89"/>
      <c r="AQ991" s="89"/>
      <c r="AR991" s="89"/>
      <c r="AS991" s="89"/>
      <c r="AT991" s="89"/>
      <c r="AU991" s="89"/>
      <c r="AV991" s="89"/>
      <c r="AW991" s="89"/>
      <c r="AX991" s="89"/>
      <c r="AY991" s="89"/>
      <c r="AZ991" s="89"/>
      <c r="BA991" s="95"/>
    </row>
    <row r="992" spans="1:53" s="87" customFormat="1">
      <c r="A992" s="90" t="str">
        <f t="shared" si="40"/>
        <v/>
      </c>
      <c r="B992" s="89"/>
      <c r="C992" s="89"/>
      <c r="D992" s="89"/>
      <c r="E992" s="89"/>
      <c r="F992" s="89"/>
      <c r="G992" s="89"/>
      <c r="H992" s="89"/>
      <c r="I992" s="89"/>
      <c r="J992" s="89"/>
      <c r="K992" s="89"/>
      <c r="L992" s="89"/>
      <c r="M992" s="89"/>
      <c r="N992" s="89"/>
      <c r="O992" s="89"/>
      <c r="P992" s="89"/>
      <c r="Q992" s="89"/>
      <c r="R992" s="89"/>
      <c r="S992" s="89"/>
      <c r="T992" s="89"/>
      <c r="U992" s="89"/>
      <c r="V992" s="89"/>
      <c r="W992" s="89"/>
      <c r="X992" s="89"/>
      <c r="Y992" s="89"/>
      <c r="Z992" s="89"/>
      <c r="AA992" s="89"/>
      <c r="AB992" s="89"/>
      <c r="AC992" s="89"/>
      <c r="AD992" s="89"/>
      <c r="AE992" s="89"/>
      <c r="AF992" s="89"/>
      <c r="AG992" s="89"/>
      <c r="AH992" s="89"/>
      <c r="AI992" s="89"/>
      <c r="AJ992" s="89"/>
      <c r="AK992" s="89"/>
      <c r="AL992" s="89"/>
      <c r="AM992" s="89"/>
      <c r="AN992" s="89"/>
      <c r="AO992" s="89"/>
      <c r="AP992" s="89"/>
      <c r="AQ992" s="89"/>
      <c r="AR992" s="89"/>
      <c r="AS992" s="89"/>
      <c r="AT992" s="89"/>
      <c r="AU992" s="89"/>
      <c r="AV992" s="89"/>
      <c r="AW992" s="89"/>
      <c r="AX992" s="89"/>
      <c r="AY992" s="89"/>
      <c r="AZ992" s="89"/>
      <c r="BA992" s="95"/>
    </row>
    <row r="993" spans="1:53" s="87" customFormat="1">
      <c r="A993" s="90" t="str">
        <f t="shared" si="40"/>
        <v/>
      </c>
      <c r="B993" s="89"/>
      <c r="C993" s="89"/>
      <c r="D993" s="89"/>
      <c r="E993" s="89"/>
      <c r="F993" s="89"/>
      <c r="G993" s="89"/>
      <c r="H993" s="89"/>
      <c r="I993" s="89"/>
      <c r="J993" s="89"/>
      <c r="K993" s="89"/>
      <c r="L993" s="89"/>
      <c r="M993" s="89"/>
      <c r="N993" s="89"/>
      <c r="O993" s="89"/>
      <c r="P993" s="89"/>
      <c r="Q993" s="89"/>
      <c r="R993" s="89"/>
      <c r="S993" s="89"/>
      <c r="T993" s="89"/>
      <c r="U993" s="89"/>
      <c r="V993" s="89"/>
      <c r="W993" s="89"/>
      <c r="X993" s="89"/>
      <c r="Y993" s="89"/>
      <c r="Z993" s="89"/>
      <c r="AA993" s="89"/>
      <c r="AB993" s="89"/>
      <c r="AC993" s="89"/>
      <c r="AD993" s="89"/>
      <c r="AE993" s="89"/>
      <c r="AF993" s="89"/>
      <c r="AG993" s="89"/>
      <c r="AH993" s="89"/>
      <c r="AI993" s="89"/>
      <c r="AJ993" s="89"/>
      <c r="AK993" s="89"/>
      <c r="AL993" s="89"/>
      <c r="AM993" s="89"/>
      <c r="AN993" s="89"/>
      <c r="AO993" s="89"/>
      <c r="AP993" s="89"/>
      <c r="AQ993" s="89"/>
      <c r="AR993" s="89"/>
      <c r="AS993" s="89"/>
      <c r="AT993" s="89"/>
      <c r="AU993" s="89"/>
      <c r="AV993" s="89"/>
      <c r="AW993" s="89"/>
      <c r="AX993" s="89"/>
      <c r="AY993" s="89"/>
      <c r="AZ993" s="89"/>
      <c r="BA993" s="95"/>
    </row>
    <row r="994" spans="1:53" s="87" customFormat="1">
      <c r="A994" s="90" t="str">
        <f t="shared" si="40"/>
        <v/>
      </c>
      <c r="B994" s="89"/>
      <c r="C994" s="89"/>
      <c r="D994" s="89"/>
      <c r="E994" s="89"/>
      <c r="F994" s="89"/>
      <c r="G994" s="89"/>
      <c r="H994" s="89"/>
      <c r="I994" s="89"/>
      <c r="J994" s="89"/>
      <c r="K994" s="89"/>
      <c r="L994" s="89"/>
      <c r="M994" s="89"/>
      <c r="N994" s="89"/>
      <c r="O994" s="89"/>
      <c r="P994" s="89"/>
      <c r="Q994" s="89"/>
      <c r="R994" s="89"/>
      <c r="S994" s="89"/>
      <c r="T994" s="89"/>
      <c r="U994" s="89"/>
      <c r="V994" s="89"/>
      <c r="W994" s="89"/>
      <c r="X994" s="89"/>
      <c r="Y994" s="89"/>
      <c r="Z994" s="89"/>
      <c r="AA994" s="89"/>
      <c r="AB994" s="89"/>
      <c r="AC994" s="89"/>
      <c r="AD994" s="89"/>
      <c r="AE994" s="89"/>
      <c r="AF994" s="89"/>
      <c r="AG994" s="89"/>
      <c r="AH994" s="89"/>
      <c r="AI994" s="89"/>
      <c r="AJ994" s="89"/>
      <c r="AK994" s="89"/>
      <c r="AL994" s="89"/>
      <c r="AM994" s="89"/>
      <c r="AN994" s="89"/>
      <c r="AO994" s="89"/>
      <c r="AP994" s="89"/>
      <c r="AQ994" s="89"/>
      <c r="AR994" s="89"/>
      <c r="AS994" s="89"/>
      <c r="AT994" s="89"/>
      <c r="AU994" s="89"/>
      <c r="AV994" s="89"/>
      <c r="AW994" s="89"/>
      <c r="AX994" s="89"/>
      <c r="AY994" s="89"/>
      <c r="AZ994" s="89"/>
      <c r="BA994" s="95"/>
    </row>
    <row r="995" spans="1:53" s="87" customFormat="1">
      <c r="A995" s="90" t="str">
        <f t="shared" si="40"/>
        <v/>
      </c>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c r="AB995" s="89"/>
      <c r="AC995" s="89"/>
      <c r="AD995" s="89"/>
      <c r="AE995" s="89"/>
      <c r="AF995" s="89"/>
      <c r="AG995" s="89"/>
      <c r="AH995" s="89"/>
      <c r="AI995" s="89"/>
      <c r="AJ995" s="89"/>
      <c r="AK995" s="89"/>
      <c r="AL995" s="89"/>
      <c r="AM995" s="89"/>
      <c r="AN995" s="89"/>
      <c r="AO995" s="89"/>
      <c r="AP995" s="89"/>
      <c r="AQ995" s="89"/>
      <c r="AR995" s="89"/>
      <c r="AS995" s="89"/>
      <c r="AT995" s="89"/>
      <c r="AU995" s="89"/>
      <c r="AV995" s="89"/>
      <c r="AW995" s="89"/>
      <c r="AX995" s="89"/>
      <c r="AY995" s="89"/>
      <c r="AZ995" s="89"/>
      <c r="BA995" s="95"/>
    </row>
    <row r="996" spans="1:53" s="87" customFormat="1">
      <c r="A996" s="90" t="str">
        <f t="shared" si="40"/>
        <v/>
      </c>
      <c r="B996" s="89"/>
      <c r="C996" s="89"/>
      <c r="D996" s="89"/>
      <c r="E996" s="89"/>
      <c r="F996" s="89"/>
      <c r="G996" s="89"/>
      <c r="H996" s="89"/>
      <c r="I996" s="89"/>
      <c r="J996" s="89"/>
      <c r="K996" s="89"/>
      <c r="L996" s="89"/>
      <c r="M996" s="89"/>
      <c r="N996" s="89"/>
      <c r="O996" s="89"/>
      <c r="P996" s="89"/>
      <c r="Q996" s="89"/>
      <c r="R996" s="89"/>
      <c r="S996" s="89"/>
      <c r="T996" s="89"/>
      <c r="U996" s="89"/>
      <c r="V996" s="89"/>
      <c r="W996" s="89"/>
      <c r="X996" s="89"/>
      <c r="Y996" s="89"/>
      <c r="Z996" s="89"/>
      <c r="AA996" s="89"/>
      <c r="AB996" s="89"/>
      <c r="AC996" s="89"/>
      <c r="AD996" s="89"/>
      <c r="AE996" s="89"/>
      <c r="AF996" s="89"/>
      <c r="AG996" s="89"/>
      <c r="AH996" s="89"/>
      <c r="AI996" s="89"/>
      <c r="AJ996" s="89"/>
      <c r="AK996" s="89"/>
      <c r="AL996" s="89"/>
      <c r="AM996" s="89"/>
      <c r="AN996" s="89"/>
      <c r="AO996" s="89"/>
      <c r="AP996" s="89"/>
      <c r="AQ996" s="89"/>
      <c r="AR996" s="89"/>
      <c r="AS996" s="89"/>
      <c r="AT996" s="89"/>
      <c r="AU996" s="89"/>
      <c r="AV996" s="89"/>
      <c r="AW996" s="89"/>
      <c r="AX996" s="89"/>
      <c r="AY996" s="89"/>
      <c r="AZ996" s="89"/>
      <c r="BA996" s="95"/>
    </row>
    <row r="997" spans="1:53" s="87" customFormat="1">
      <c r="A997" s="90" t="str">
        <f t="shared" si="40"/>
        <v/>
      </c>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c r="AA997" s="89"/>
      <c r="AB997" s="89"/>
      <c r="AC997" s="89"/>
      <c r="AD997" s="89"/>
      <c r="AE997" s="89"/>
      <c r="AF997" s="89"/>
      <c r="AG997" s="89"/>
      <c r="AH997" s="89"/>
      <c r="AI997" s="89"/>
      <c r="AJ997" s="89"/>
      <c r="AK997" s="89"/>
      <c r="AL997" s="89"/>
      <c r="AM997" s="89"/>
      <c r="AN997" s="89"/>
      <c r="AO997" s="89"/>
      <c r="AP997" s="89"/>
      <c r="AQ997" s="89"/>
      <c r="AR997" s="89"/>
      <c r="AS997" s="89"/>
      <c r="AT997" s="89"/>
      <c r="AU997" s="89"/>
      <c r="AV997" s="89"/>
      <c r="AW997" s="89"/>
      <c r="AX997" s="89"/>
      <c r="AY997" s="89"/>
      <c r="AZ997" s="89"/>
      <c r="BA997" s="95"/>
    </row>
    <row r="998" spans="1:53" s="87" customFormat="1">
      <c r="A998" s="90" t="str">
        <f t="shared" si="40"/>
        <v/>
      </c>
      <c r="B998" s="89"/>
      <c r="C998" s="89"/>
      <c r="D998" s="89"/>
      <c r="E998" s="89"/>
      <c r="F998" s="89"/>
      <c r="G998" s="89"/>
      <c r="H998" s="89"/>
      <c r="I998" s="89"/>
      <c r="J998" s="89"/>
      <c r="K998" s="89"/>
      <c r="L998" s="89"/>
      <c r="M998" s="89"/>
      <c r="N998" s="89"/>
      <c r="O998" s="89"/>
      <c r="P998" s="89"/>
      <c r="Q998" s="89"/>
      <c r="R998" s="89"/>
      <c r="S998" s="89"/>
      <c r="T998" s="89"/>
      <c r="U998" s="89"/>
      <c r="V998" s="89"/>
      <c r="W998" s="89"/>
      <c r="X998" s="89"/>
      <c r="Y998" s="89"/>
      <c r="Z998" s="89"/>
      <c r="AA998" s="89"/>
      <c r="AB998" s="89"/>
      <c r="AC998" s="89"/>
      <c r="AD998" s="89"/>
      <c r="AE998" s="89"/>
      <c r="AF998" s="89"/>
      <c r="AG998" s="89"/>
      <c r="AH998" s="89"/>
      <c r="AI998" s="89"/>
      <c r="AJ998" s="89"/>
      <c r="AK998" s="89"/>
      <c r="AL998" s="89"/>
      <c r="AM998" s="89"/>
      <c r="AN998" s="89"/>
      <c r="AO998" s="89"/>
      <c r="AP998" s="89"/>
      <c r="AQ998" s="89"/>
      <c r="AR998" s="89"/>
      <c r="AS998" s="89"/>
      <c r="AT998" s="89"/>
      <c r="AU998" s="89"/>
      <c r="AV998" s="89"/>
      <c r="AW998" s="89"/>
      <c r="AX998" s="89"/>
      <c r="AY998" s="89"/>
      <c r="AZ998" s="89"/>
      <c r="BA998" s="95"/>
    </row>
    <row r="999" spans="1:53" s="87" customFormat="1">
      <c r="A999" s="90" t="str">
        <f t="shared" si="40"/>
        <v/>
      </c>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c r="AA999" s="89"/>
      <c r="AB999" s="89"/>
      <c r="AC999" s="89"/>
      <c r="AD999" s="89"/>
      <c r="AE999" s="89"/>
      <c r="AF999" s="89"/>
      <c r="AG999" s="89"/>
      <c r="AH999" s="89"/>
      <c r="AI999" s="89"/>
      <c r="AJ999" s="89"/>
      <c r="AK999" s="89"/>
      <c r="AL999" s="89"/>
      <c r="AM999" s="89"/>
      <c r="AN999" s="89"/>
      <c r="AO999" s="89"/>
      <c r="AP999" s="89"/>
      <c r="AQ999" s="89"/>
      <c r="AR999" s="89"/>
      <c r="AS999" s="89"/>
      <c r="AT999" s="89"/>
      <c r="AU999" s="89"/>
      <c r="AV999" s="89"/>
      <c r="AW999" s="89"/>
      <c r="AX999" s="89"/>
      <c r="AY999" s="89"/>
      <c r="AZ999" s="89"/>
      <c r="BA999" s="95"/>
    </row>
    <row r="1000" spans="1:53" s="87" customFormat="1">
      <c r="A1000" s="90" t="str">
        <f t="shared" si="40"/>
        <v/>
      </c>
      <c r="B1000" s="89"/>
      <c r="C1000" s="89"/>
      <c r="D1000" s="89"/>
      <c r="E1000" s="89"/>
      <c r="F1000" s="89"/>
      <c r="G1000" s="89"/>
      <c r="H1000" s="89"/>
      <c r="I1000" s="89"/>
      <c r="J1000" s="89"/>
      <c r="K1000" s="89"/>
      <c r="L1000" s="89"/>
      <c r="M1000" s="89"/>
      <c r="N1000" s="89"/>
      <c r="O1000" s="89"/>
      <c r="P1000" s="89"/>
      <c r="Q1000" s="89"/>
      <c r="R1000" s="89"/>
      <c r="S1000" s="89"/>
      <c r="T1000" s="89"/>
      <c r="U1000" s="89"/>
      <c r="V1000" s="89"/>
      <c r="W1000" s="89"/>
      <c r="X1000" s="89"/>
      <c r="Y1000" s="89"/>
      <c r="Z1000" s="89"/>
      <c r="AA1000" s="89"/>
      <c r="AB1000" s="89"/>
      <c r="AC1000" s="89"/>
      <c r="AD1000" s="89"/>
      <c r="AE1000" s="89"/>
      <c r="AF1000" s="89"/>
      <c r="AG1000" s="89"/>
      <c r="AH1000" s="89"/>
      <c r="AI1000" s="89"/>
      <c r="AJ1000" s="89"/>
      <c r="AK1000" s="89"/>
      <c r="AL1000" s="89"/>
      <c r="AM1000" s="89"/>
      <c r="AN1000" s="89"/>
      <c r="AO1000" s="89"/>
      <c r="AP1000" s="89"/>
      <c r="AQ1000" s="89"/>
      <c r="AR1000" s="89"/>
      <c r="AS1000" s="89"/>
      <c r="AT1000" s="89"/>
      <c r="AU1000" s="89"/>
      <c r="AV1000" s="89"/>
      <c r="AW1000" s="89"/>
      <c r="AX1000" s="89"/>
      <c r="AY1000" s="89"/>
      <c r="AZ1000" s="89"/>
      <c r="BA1000" s="95"/>
    </row>
    <row r="1001" spans="1:53" s="87" customFormat="1">
      <c r="A1001" s="90" t="str">
        <f t="shared" si="40"/>
        <v/>
      </c>
      <c r="B1001" s="89"/>
      <c r="C1001" s="89"/>
      <c r="D1001" s="89"/>
      <c r="E1001" s="89"/>
      <c r="F1001" s="89"/>
      <c r="G1001" s="89"/>
      <c r="H1001" s="89"/>
      <c r="I1001" s="89"/>
      <c r="J1001" s="89"/>
      <c r="K1001" s="89"/>
      <c r="L1001" s="89"/>
      <c r="M1001" s="89"/>
      <c r="N1001" s="89"/>
      <c r="O1001" s="89"/>
      <c r="P1001" s="89"/>
      <c r="Q1001" s="89"/>
      <c r="R1001" s="89"/>
      <c r="S1001" s="89"/>
      <c r="T1001" s="89"/>
      <c r="U1001" s="89"/>
      <c r="V1001" s="89"/>
      <c r="W1001" s="89"/>
      <c r="X1001" s="89"/>
      <c r="Y1001" s="89"/>
      <c r="Z1001" s="89"/>
      <c r="AA1001" s="89"/>
      <c r="AB1001" s="89"/>
      <c r="AC1001" s="89"/>
      <c r="AD1001" s="89"/>
      <c r="AE1001" s="89"/>
      <c r="AF1001" s="89"/>
      <c r="AG1001" s="89"/>
      <c r="AH1001" s="89"/>
      <c r="AI1001" s="89"/>
      <c r="AJ1001" s="89"/>
      <c r="AK1001" s="89"/>
      <c r="AL1001" s="89"/>
      <c r="AM1001" s="89"/>
      <c r="AN1001" s="89"/>
      <c r="AO1001" s="89"/>
      <c r="AP1001" s="89"/>
      <c r="AQ1001" s="89"/>
      <c r="AR1001" s="89"/>
      <c r="AS1001" s="89"/>
      <c r="AT1001" s="89"/>
      <c r="AU1001" s="89"/>
      <c r="AV1001" s="89"/>
      <c r="AW1001" s="89"/>
      <c r="AX1001" s="89"/>
      <c r="AY1001" s="89"/>
      <c r="AZ1001" s="89"/>
      <c r="BA1001" s="95"/>
    </row>
    <row r="1002" spans="1:53" s="87" customFormat="1">
      <c r="A1002" s="90" t="str">
        <f t="shared" si="40"/>
        <v/>
      </c>
      <c r="B1002" s="89"/>
      <c r="C1002" s="89"/>
      <c r="D1002" s="89"/>
      <c r="E1002" s="89"/>
      <c r="F1002" s="89"/>
      <c r="G1002" s="89"/>
      <c r="H1002" s="89"/>
      <c r="I1002" s="89"/>
      <c r="J1002" s="89"/>
      <c r="K1002" s="89"/>
      <c r="L1002" s="89"/>
      <c r="M1002" s="89"/>
      <c r="N1002" s="89"/>
      <c r="O1002" s="89"/>
      <c r="P1002" s="89"/>
      <c r="Q1002" s="89"/>
      <c r="R1002" s="89"/>
      <c r="S1002" s="89"/>
      <c r="T1002" s="89"/>
      <c r="U1002" s="89"/>
      <c r="V1002" s="89"/>
      <c r="W1002" s="89"/>
      <c r="X1002" s="89"/>
      <c r="Y1002" s="89"/>
      <c r="Z1002" s="89"/>
      <c r="AA1002" s="89"/>
      <c r="AB1002" s="89"/>
      <c r="AC1002" s="89"/>
      <c r="AD1002" s="89"/>
      <c r="AE1002" s="89"/>
      <c r="AF1002" s="89"/>
      <c r="AG1002" s="89"/>
      <c r="AH1002" s="89"/>
      <c r="AI1002" s="89"/>
      <c r="AJ1002" s="89"/>
      <c r="AK1002" s="89"/>
      <c r="AL1002" s="89"/>
      <c r="AM1002" s="89"/>
      <c r="AN1002" s="89"/>
      <c r="AO1002" s="89"/>
      <c r="AP1002" s="89"/>
      <c r="AQ1002" s="89"/>
      <c r="AR1002" s="89"/>
      <c r="AS1002" s="89"/>
      <c r="AT1002" s="89"/>
      <c r="AU1002" s="89"/>
      <c r="AV1002" s="89"/>
      <c r="AW1002" s="89"/>
      <c r="AX1002" s="89"/>
      <c r="AY1002" s="89"/>
      <c r="AZ1002" s="89"/>
      <c r="BA1002" s="95"/>
    </row>
    <row r="1003" spans="1:53" s="87" customFormat="1">
      <c r="A1003" s="90" t="str">
        <f t="shared" si="40"/>
        <v/>
      </c>
      <c r="B1003" s="89"/>
      <c r="C1003" s="89"/>
      <c r="D1003" s="89"/>
      <c r="E1003" s="89"/>
      <c r="F1003" s="89"/>
      <c r="G1003" s="89"/>
      <c r="H1003" s="89"/>
      <c r="I1003" s="89"/>
      <c r="J1003" s="89"/>
      <c r="K1003" s="89"/>
      <c r="L1003" s="89"/>
      <c r="M1003" s="89"/>
      <c r="N1003" s="89"/>
      <c r="O1003" s="89"/>
      <c r="P1003" s="89"/>
      <c r="Q1003" s="89"/>
      <c r="R1003" s="89"/>
      <c r="S1003" s="89"/>
      <c r="T1003" s="89"/>
      <c r="U1003" s="89"/>
      <c r="V1003" s="89"/>
      <c r="W1003" s="89"/>
      <c r="X1003" s="89"/>
      <c r="Y1003" s="89"/>
      <c r="Z1003" s="89"/>
      <c r="AA1003" s="89"/>
      <c r="AB1003" s="89"/>
      <c r="AC1003" s="89"/>
      <c r="AD1003" s="89"/>
      <c r="AE1003" s="89"/>
      <c r="AF1003" s="89"/>
      <c r="AG1003" s="89"/>
      <c r="AH1003" s="89"/>
      <c r="AI1003" s="89"/>
      <c r="AJ1003" s="89"/>
      <c r="AK1003" s="89"/>
      <c r="AL1003" s="89"/>
      <c r="AM1003" s="89"/>
      <c r="AN1003" s="89"/>
      <c r="AO1003" s="89"/>
      <c r="AP1003" s="89"/>
      <c r="AQ1003" s="89"/>
      <c r="AR1003" s="89"/>
      <c r="AS1003" s="89"/>
      <c r="AT1003" s="89"/>
      <c r="AU1003" s="89"/>
      <c r="AV1003" s="89"/>
      <c r="AW1003" s="89"/>
      <c r="AX1003" s="89"/>
      <c r="AY1003" s="89"/>
      <c r="AZ1003" s="89"/>
      <c r="BA1003" s="95"/>
    </row>
    <row r="1004" spans="1:53" s="87" customFormat="1">
      <c r="A1004" s="90" t="str">
        <f t="shared" si="40"/>
        <v/>
      </c>
      <c r="B1004" s="89"/>
      <c r="C1004" s="89"/>
      <c r="D1004" s="89"/>
      <c r="E1004" s="89"/>
      <c r="F1004" s="89"/>
      <c r="G1004" s="89"/>
      <c r="H1004" s="89"/>
      <c r="I1004" s="89"/>
      <c r="J1004" s="89"/>
      <c r="K1004" s="89"/>
      <c r="L1004" s="89"/>
      <c r="M1004" s="89"/>
      <c r="N1004" s="89"/>
      <c r="O1004" s="89"/>
      <c r="P1004" s="89"/>
      <c r="Q1004" s="89"/>
      <c r="R1004" s="89"/>
      <c r="S1004" s="89"/>
      <c r="T1004" s="89"/>
      <c r="U1004" s="89"/>
      <c r="V1004" s="89"/>
      <c r="W1004" s="89"/>
      <c r="X1004" s="89"/>
      <c r="Y1004" s="89"/>
      <c r="Z1004" s="89"/>
      <c r="AA1004" s="89"/>
      <c r="AB1004" s="89"/>
      <c r="AC1004" s="89"/>
      <c r="AD1004" s="89"/>
      <c r="AE1004" s="89"/>
      <c r="AF1004" s="89"/>
      <c r="AG1004" s="89"/>
      <c r="AH1004" s="89"/>
      <c r="AI1004" s="89"/>
      <c r="AJ1004" s="89"/>
      <c r="AK1004" s="89"/>
      <c r="AL1004" s="89"/>
      <c r="AM1004" s="89"/>
      <c r="AN1004" s="89"/>
      <c r="AO1004" s="89"/>
      <c r="AP1004" s="89"/>
      <c r="AQ1004" s="89"/>
      <c r="AR1004" s="89"/>
      <c r="AS1004" s="89"/>
      <c r="AT1004" s="89"/>
      <c r="AU1004" s="89"/>
      <c r="AV1004" s="89"/>
      <c r="AW1004" s="89"/>
      <c r="AX1004" s="89"/>
      <c r="AY1004" s="89"/>
      <c r="AZ1004" s="89"/>
      <c r="BA1004" s="95"/>
    </row>
    <row r="1005" spans="1:53" s="87" customFormat="1">
      <c r="A1005" s="90" t="str">
        <f t="shared" si="40"/>
        <v/>
      </c>
      <c r="B1005" s="89"/>
      <c r="C1005" s="89"/>
      <c r="D1005" s="89"/>
      <c r="E1005" s="89"/>
      <c r="F1005" s="89"/>
      <c r="G1005" s="89"/>
      <c r="H1005" s="89"/>
      <c r="I1005" s="89"/>
      <c r="J1005" s="89"/>
      <c r="K1005" s="89"/>
      <c r="L1005" s="89"/>
      <c r="M1005" s="89"/>
      <c r="N1005" s="89"/>
      <c r="O1005" s="89"/>
      <c r="P1005" s="89"/>
      <c r="Q1005" s="89"/>
      <c r="R1005" s="89"/>
      <c r="S1005" s="89"/>
      <c r="T1005" s="89"/>
      <c r="U1005" s="89"/>
      <c r="V1005" s="89"/>
      <c r="W1005" s="89"/>
      <c r="X1005" s="89"/>
      <c r="Y1005" s="89"/>
      <c r="Z1005" s="89"/>
      <c r="AA1005" s="89"/>
      <c r="AB1005" s="89"/>
      <c r="AC1005" s="89"/>
      <c r="AD1005" s="89"/>
      <c r="AE1005" s="89"/>
      <c r="AF1005" s="89"/>
      <c r="AG1005" s="89"/>
      <c r="AH1005" s="89"/>
      <c r="AI1005" s="89"/>
      <c r="AJ1005" s="89"/>
      <c r="AK1005" s="89"/>
      <c r="AL1005" s="89"/>
      <c r="AM1005" s="89"/>
      <c r="AN1005" s="89"/>
      <c r="AO1005" s="89"/>
      <c r="AP1005" s="89"/>
      <c r="AQ1005" s="89"/>
      <c r="AR1005" s="89"/>
      <c r="AS1005" s="89"/>
      <c r="AT1005" s="89"/>
      <c r="AU1005" s="89"/>
      <c r="AV1005" s="89"/>
      <c r="AW1005" s="89"/>
      <c r="AX1005" s="89"/>
      <c r="AY1005" s="89"/>
      <c r="AZ1005" s="89"/>
      <c r="BA1005" s="95"/>
    </row>
    <row r="1006" spans="1:53" s="87" customFormat="1">
      <c r="A1006" s="90" t="str">
        <f t="shared" si="40"/>
        <v/>
      </c>
      <c r="B1006" s="89"/>
      <c r="C1006" s="89"/>
      <c r="D1006" s="89"/>
      <c r="E1006" s="89"/>
      <c r="F1006" s="89"/>
      <c r="G1006" s="89"/>
      <c r="H1006" s="89"/>
      <c r="I1006" s="89"/>
      <c r="J1006" s="89"/>
      <c r="K1006" s="89"/>
      <c r="L1006" s="89"/>
      <c r="M1006" s="89"/>
      <c r="N1006" s="89"/>
      <c r="O1006" s="89"/>
      <c r="P1006" s="89"/>
      <c r="Q1006" s="89"/>
      <c r="R1006" s="89"/>
      <c r="S1006" s="89"/>
      <c r="T1006" s="89"/>
      <c r="U1006" s="89"/>
      <c r="V1006" s="89"/>
      <c r="W1006" s="89"/>
      <c r="X1006" s="89"/>
      <c r="Y1006" s="89"/>
      <c r="Z1006" s="89"/>
      <c r="AA1006" s="89"/>
      <c r="AB1006" s="89"/>
      <c r="AC1006" s="89"/>
      <c r="AD1006" s="89"/>
      <c r="AE1006" s="89"/>
      <c r="AF1006" s="89"/>
      <c r="AG1006" s="89"/>
      <c r="AH1006" s="89"/>
      <c r="AI1006" s="89"/>
      <c r="AJ1006" s="89"/>
      <c r="AK1006" s="89"/>
      <c r="AL1006" s="89"/>
      <c r="AM1006" s="89"/>
      <c r="AN1006" s="89"/>
      <c r="AO1006" s="89"/>
      <c r="AP1006" s="89"/>
      <c r="AQ1006" s="89"/>
      <c r="AR1006" s="89"/>
      <c r="AS1006" s="89"/>
      <c r="AT1006" s="89"/>
      <c r="AU1006" s="89"/>
      <c r="AV1006" s="89"/>
      <c r="AW1006" s="89"/>
      <c r="AX1006" s="89"/>
      <c r="AY1006" s="89"/>
      <c r="AZ1006" s="89"/>
      <c r="BA1006" s="95"/>
    </row>
    <row r="1007" spans="1:53" s="87" customFormat="1">
      <c r="A1007" s="90" t="str">
        <f t="shared" si="40"/>
        <v/>
      </c>
      <c r="B1007" s="89"/>
      <c r="C1007" s="89"/>
      <c r="D1007" s="89"/>
      <c r="E1007" s="89"/>
      <c r="F1007" s="89"/>
      <c r="G1007" s="89"/>
      <c r="H1007" s="89"/>
      <c r="I1007" s="89"/>
      <c r="J1007" s="89"/>
      <c r="K1007" s="89"/>
      <c r="L1007" s="89"/>
      <c r="M1007" s="89"/>
      <c r="N1007" s="89"/>
      <c r="O1007" s="89"/>
      <c r="P1007" s="89"/>
      <c r="Q1007" s="89"/>
      <c r="R1007" s="89"/>
      <c r="S1007" s="89"/>
      <c r="T1007" s="89"/>
      <c r="U1007" s="89"/>
      <c r="V1007" s="89"/>
      <c r="W1007" s="89"/>
      <c r="X1007" s="89"/>
      <c r="Y1007" s="89"/>
      <c r="Z1007" s="89"/>
      <c r="AA1007" s="89"/>
      <c r="AB1007" s="89"/>
      <c r="AC1007" s="89"/>
      <c r="AD1007" s="89"/>
      <c r="AE1007" s="89"/>
      <c r="AF1007" s="89"/>
      <c r="AG1007" s="89"/>
      <c r="AH1007" s="89"/>
      <c r="AI1007" s="89"/>
      <c r="AJ1007" s="89"/>
      <c r="AK1007" s="89"/>
      <c r="AL1007" s="89"/>
      <c r="AM1007" s="89"/>
      <c r="AN1007" s="89"/>
      <c r="AO1007" s="89"/>
      <c r="AP1007" s="89"/>
      <c r="AQ1007" s="89"/>
      <c r="AR1007" s="89"/>
      <c r="AS1007" s="89"/>
      <c r="AT1007" s="89"/>
      <c r="AU1007" s="89"/>
      <c r="AV1007" s="89"/>
      <c r="AW1007" s="89"/>
      <c r="AX1007" s="89"/>
      <c r="AY1007" s="89"/>
      <c r="AZ1007" s="89"/>
      <c r="BA1007" s="95"/>
    </row>
    <row r="1008" spans="1:53" s="87" customFormat="1">
      <c r="A1008" s="90" t="str">
        <f t="shared" si="40"/>
        <v/>
      </c>
      <c r="B1008" s="89"/>
      <c r="C1008" s="89"/>
      <c r="D1008" s="89"/>
      <c r="E1008" s="89"/>
      <c r="F1008" s="89"/>
      <c r="G1008" s="89"/>
      <c r="H1008" s="89"/>
      <c r="I1008" s="89"/>
      <c r="J1008" s="89"/>
      <c r="K1008" s="89"/>
      <c r="L1008" s="89"/>
      <c r="M1008" s="89"/>
      <c r="N1008" s="89"/>
      <c r="O1008" s="89"/>
      <c r="P1008" s="89"/>
      <c r="Q1008" s="89"/>
      <c r="R1008" s="89"/>
      <c r="S1008" s="89"/>
      <c r="T1008" s="89"/>
      <c r="U1008" s="89"/>
      <c r="V1008" s="89"/>
      <c r="W1008" s="89"/>
      <c r="X1008" s="89"/>
      <c r="Y1008" s="89"/>
      <c r="Z1008" s="89"/>
      <c r="AA1008" s="89"/>
      <c r="AB1008" s="89"/>
      <c r="AC1008" s="89"/>
      <c r="AD1008" s="89"/>
      <c r="AE1008" s="89"/>
      <c r="AF1008" s="89"/>
      <c r="AG1008" s="89"/>
      <c r="AH1008" s="89"/>
      <c r="AI1008" s="89"/>
      <c r="AJ1008" s="89"/>
      <c r="AK1008" s="89"/>
      <c r="AL1008" s="89"/>
      <c r="AM1008" s="89"/>
      <c r="AN1008" s="89"/>
      <c r="AO1008" s="89"/>
      <c r="AP1008" s="89"/>
      <c r="AQ1008" s="89"/>
      <c r="AR1008" s="89"/>
      <c r="AS1008" s="89"/>
      <c r="AT1008" s="89"/>
      <c r="AU1008" s="89"/>
      <c r="AV1008" s="89"/>
      <c r="AW1008" s="89"/>
      <c r="AX1008" s="89"/>
      <c r="AY1008" s="89"/>
      <c r="AZ1008" s="89"/>
      <c r="BA1008" s="95"/>
    </row>
    <row r="1009" spans="1:53" s="87" customFormat="1">
      <c r="A1009" s="90" t="str">
        <f t="shared" si="40"/>
        <v/>
      </c>
      <c r="B1009" s="89"/>
      <c r="C1009" s="89"/>
      <c r="D1009" s="89"/>
      <c r="E1009" s="89"/>
      <c r="F1009" s="89"/>
      <c r="G1009" s="89"/>
      <c r="H1009" s="89"/>
      <c r="I1009" s="89"/>
      <c r="J1009" s="89"/>
      <c r="K1009" s="89"/>
      <c r="L1009" s="89"/>
      <c r="M1009" s="89"/>
      <c r="N1009" s="89"/>
      <c r="O1009" s="89"/>
      <c r="P1009" s="89"/>
      <c r="Q1009" s="89"/>
      <c r="R1009" s="89"/>
      <c r="S1009" s="89"/>
      <c r="T1009" s="89"/>
      <c r="U1009" s="89"/>
      <c r="V1009" s="89"/>
      <c r="W1009" s="89"/>
      <c r="X1009" s="89"/>
      <c r="Y1009" s="89"/>
      <c r="Z1009" s="89"/>
      <c r="AA1009" s="89"/>
      <c r="AB1009" s="89"/>
      <c r="AC1009" s="89"/>
      <c r="AD1009" s="89"/>
      <c r="AE1009" s="89"/>
      <c r="AF1009" s="89"/>
      <c r="AG1009" s="89"/>
      <c r="AH1009" s="89"/>
      <c r="AI1009" s="89"/>
      <c r="AJ1009" s="89"/>
      <c r="AK1009" s="89"/>
      <c r="AL1009" s="89"/>
      <c r="AM1009" s="89"/>
      <c r="AN1009" s="89"/>
      <c r="AO1009" s="89"/>
      <c r="AP1009" s="89"/>
      <c r="AQ1009" s="89"/>
      <c r="AR1009" s="89"/>
      <c r="AS1009" s="89"/>
      <c r="AT1009" s="89"/>
      <c r="AU1009" s="89"/>
      <c r="AV1009" s="89"/>
      <c r="AW1009" s="89"/>
      <c r="AX1009" s="89"/>
      <c r="AY1009" s="89"/>
      <c r="AZ1009" s="89"/>
      <c r="BA1009" s="95"/>
    </row>
    <row r="1010" spans="1:53" s="87" customFormat="1">
      <c r="A1010" s="90" t="str">
        <f t="shared" si="40"/>
        <v/>
      </c>
      <c r="B1010" s="89"/>
      <c r="C1010" s="89"/>
      <c r="D1010" s="89"/>
      <c r="E1010" s="89"/>
      <c r="F1010" s="89"/>
      <c r="G1010" s="89"/>
      <c r="H1010" s="89"/>
      <c r="I1010" s="89"/>
      <c r="J1010" s="89"/>
      <c r="K1010" s="89"/>
      <c r="L1010" s="89"/>
      <c r="M1010" s="89"/>
      <c r="N1010" s="89"/>
      <c r="O1010" s="89"/>
      <c r="P1010" s="89"/>
      <c r="Q1010" s="89"/>
      <c r="R1010" s="89"/>
      <c r="S1010" s="89"/>
      <c r="T1010" s="89"/>
      <c r="U1010" s="89"/>
      <c r="V1010" s="89"/>
      <c r="W1010" s="89"/>
      <c r="X1010" s="89"/>
      <c r="Y1010" s="89"/>
      <c r="Z1010" s="89"/>
      <c r="AA1010" s="89"/>
      <c r="AB1010" s="89"/>
      <c r="AC1010" s="89"/>
      <c r="AD1010" s="89"/>
      <c r="AE1010" s="89"/>
      <c r="AF1010" s="89"/>
      <c r="AG1010" s="89"/>
      <c r="AH1010" s="89"/>
      <c r="AI1010" s="89"/>
      <c r="AJ1010" s="89"/>
      <c r="AK1010" s="89"/>
      <c r="AL1010" s="89"/>
      <c r="AM1010" s="89"/>
      <c r="AN1010" s="89"/>
      <c r="AO1010" s="89"/>
      <c r="AP1010" s="89"/>
      <c r="AQ1010" s="89"/>
      <c r="AR1010" s="89"/>
      <c r="AS1010" s="89"/>
      <c r="AT1010" s="89"/>
      <c r="AU1010" s="89"/>
      <c r="AV1010" s="89"/>
      <c r="AW1010" s="89"/>
      <c r="AX1010" s="89"/>
      <c r="AY1010" s="89"/>
      <c r="AZ1010" s="89"/>
      <c r="BA1010" s="95"/>
    </row>
    <row r="1011" spans="1:53" s="87" customFormat="1">
      <c r="A1011" s="90" t="str">
        <f t="shared" si="40"/>
        <v/>
      </c>
      <c r="B1011" s="89"/>
      <c r="C1011" s="89"/>
      <c r="D1011" s="89"/>
      <c r="E1011" s="89"/>
      <c r="F1011" s="89"/>
      <c r="G1011" s="89"/>
      <c r="H1011" s="89"/>
      <c r="I1011" s="89"/>
      <c r="J1011" s="89"/>
      <c r="K1011" s="89"/>
      <c r="L1011" s="89"/>
      <c r="M1011" s="89"/>
      <c r="N1011" s="89"/>
      <c r="O1011" s="89"/>
      <c r="P1011" s="89"/>
      <c r="Q1011" s="89"/>
      <c r="R1011" s="89"/>
      <c r="S1011" s="89"/>
      <c r="T1011" s="89"/>
      <c r="U1011" s="89"/>
      <c r="V1011" s="89"/>
      <c r="W1011" s="89"/>
      <c r="X1011" s="89"/>
      <c r="Y1011" s="89"/>
      <c r="Z1011" s="89"/>
      <c r="AA1011" s="89"/>
      <c r="AB1011" s="89"/>
      <c r="AC1011" s="89"/>
      <c r="AD1011" s="89"/>
      <c r="AE1011" s="89"/>
      <c r="AF1011" s="89"/>
      <c r="AG1011" s="89"/>
      <c r="AH1011" s="89"/>
      <c r="AI1011" s="89"/>
      <c r="AJ1011" s="89"/>
      <c r="AK1011" s="89"/>
      <c r="AL1011" s="89"/>
      <c r="AM1011" s="89"/>
      <c r="AN1011" s="89"/>
      <c r="AO1011" s="89"/>
      <c r="AP1011" s="89"/>
      <c r="AQ1011" s="89"/>
      <c r="AR1011" s="89"/>
      <c r="AS1011" s="89"/>
      <c r="AT1011" s="89"/>
      <c r="AU1011" s="89"/>
      <c r="AV1011" s="89"/>
      <c r="AW1011" s="89"/>
      <c r="AX1011" s="89"/>
      <c r="AY1011" s="89"/>
      <c r="AZ1011" s="89"/>
      <c r="BA1011" s="95"/>
    </row>
    <row r="1012" spans="1:53" s="87" customFormat="1">
      <c r="A1012" s="90" t="str">
        <f t="shared" si="40"/>
        <v/>
      </c>
      <c r="B1012" s="89"/>
      <c r="C1012" s="89"/>
      <c r="D1012" s="89"/>
      <c r="E1012" s="89"/>
      <c r="F1012" s="89"/>
      <c r="G1012" s="89"/>
      <c r="H1012" s="89"/>
      <c r="I1012" s="89"/>
      <c r="J1012" s="89"/>
      <c r="K1012" s="89"/>
      <c r="L1012" s="89"/>
      <c r="M1012" s="89"/>
      <c r="N1012" s="89"/>
      <c r="O1012" s="89"/>
      <c r="P1012" s="89"/>
      <c r="Q1012" s="89"/>
      <c r="R1012" s="89"/>
      <c r="S1012" s="89"/>
      <c r="T1012" s="89"/>
      <c r="U1012" s="89"/>
      <c r="V1012" s="89"/>
      <c r="W1012" s="89"/>
      <c r="X1012" s="89"/>
      <c r="Y1012" s="89"/>
      <c r="Z1012" s="89"/>
      <c r="AA1012" s="89"/>
      <c r="AB1012" s="89"/>
      <c r="AC1012" s="89"/>
      <c r="AD1012" s="89"/>
      <c r="AE1012" s="89"/>
      <c r="AF1012" s="89"/>
      <c r="AG1012" s="89"/>
      <c r="AH1012" s="89"/>
      <c r="AI1012" s="89"/>
      <c r="AJ1012" s="89"/>
      <c r="AK1012" s="89"/>
      <c r="AL1012" s="89"/>
      <c r="AM1012" s="89"/>
      <c r="AN1012" s="89"/>
      <c r="AO1012" s="89"/>
      <c r="AP1012" s="89"/>
      <c r="AQ1012" s="89"/>
      <c r="AR1012" s="89"/>
      <c r="AS1012" s="89"/>
      <c r="AT1012" s="89"/>
      <c r="AU1012" s="89"/>
      <c r="AV1012" s="89"/>
      <c r="AW1012" s="89"/>
      <c r="AX1012" s="89"/>
      <c r="AY1012" s="89"/>
      <c r="AZ1012" s="89"/>
      <c r="BA1012" s="95"/>
    </row>
    <row r="1013" spans="1:53" s="87" customFormat="1">
      <c r="A1013" s="90" t="str">
        <f t="shared" si="40"/>
        <v/>
      </c>
      <c r="B1013" s="89"/>
      <c r="C1013" s="89"/>
      <c r="D1013" s="89"/>
      <c r="E1013" s="89"/>
      <c r="F1013" s="89"/>
      <c r="G1013" s="89"/>
      <c r="H1013" s="89"/>
      <c r="I1013" s="89"/>
      <c r="J1013" s="89"/>
      <c r="K1013" s="89"/>
      <c r="L1013" s="89"/>
      <c r="M1013" s="89"/>
      <c r="N1013" s="89"/>
      <c r="O1013" s="89"/>
      <c r="P1013" s="89"/>
      <c r="Q1013" s="89"/>
      <c r="R1013" s="89"/>
      <c r="S1013" s="89"/>
      <c r="T1013" s="89"/>
      <c r="U1013" s="89"/>
      <c r="V1013" s="89"/>
      <c r="W1013" s="89"/>
      <c r="X1013" s="89"/>
      <c r="Y1013" s="89"/>
      <c r="Z1013" s="89"/>
      <c r="AA1013" s="89"/>
      <c r="AB1013" s="89"/>
      <c r="AC1013" s="89"/>
      <c r="AD1013" s="89"/>
      <c r="AE1013" s="89"/>
      <c r="AF1013" s="89"/>
      <c r="AG1013" s="89"/>
      <c r="AH1013" s="89"/>
      <c r="AI1013" s="89"/>
      <c r="AJ1013" s="89"/>
      <c r="AK1013" s="89"/>
      <c r="AL1013" s="89"/>
      <c r="AM1013" s="89"/>
      <c r="AN1013" s="89"/>
      <c r="AO1013" s="89"/>
      <c r="AP1013" s="89"/>
      <c r="AQ1013" s="89"/>
      <c r="AR1013" s="89"/>
      <c r="AS1013" s="89"/>
      <c r="AT1013" s="89"/>
      <c r="AU1013" s="89"/>
      <c r="AV1013" s="89"/>
      <c r="AW1013" s="89"/>
      <c r="AX1013" s="89"/>
      <c r="AY1013" s="89"/>
      <c r="AZ1013" s="89"/>
      <c r="BA1013" s="95"/>
    </row>
    <row r="1014" spans="1:53" s="87" customFormat="1">
      <c r="A1014" s="90" t="str">
        <f t="shared" si="40"/>
        <v/>
      </c>
      <c r="B1014" s="89"/>
      <c r="C1014" s="89"/>
      <c r="D1014" s="89"/>
      <c r="E1014" s="89"/>
      <c r="F1014" s="89"/>
      <c r="G1014" s="89"/>
      <c r="H1014" s="89"/>
      <c r="I1014" s="89"/>
      <c r="J1014" s="89"/>
      <c r="K1014" s="89"/>
      <c r="L1014" s="89"/>
      <c r="M1014" s="89"/>
      <c r="N1014" s="89"/>
      <c r="O1014" s="89"/>
      <c r="P1014" s="89"/>
      <c r="Q1014" s="89"/>
      <c r="R1014" s="89"/>
      <c r="S1014" s="89"/>
      <c r="T1014" s="89"/>
      <c r="U1014" s="89"/>
      <c r="V1014" s="89"/>
      <c r="W1014" s="89"/>
      <c r="X1014" s="89"/>
      <c r="Y1014" s="89"/>
      <c r="Z1014" s="89"/>
      <c r="AA1014" s="89"/>
      <c r="AB1014" s="89"/>
      <c r="AC1014" s="89"/>
      <c r="AD1014" s="89"/>
      <c r="AE1014" s="89"/>
      <c r="AF1014" s="89"/>
      <c r="AG1014" s="89"/>
      <c r="AH1014" s="89"/>
      <c r="AI1014" s="89"/>
      <c r="AJ1014" s="89"/>
      <c r="AK1014" s="89"/>
      <c r="AL1014" s="89"/>
      <c r="AM1014" s="89"/>
      <c r="AN1014" s="89"/>
      <c r="AO1014" s="89"/>
      <c r="AP1014" s="89"/>
      <c r="AQ1014" s="89"/>
      <c r="AR1014" s="89"/>
      <c r="AS1014" s="89"/>
      <c r="AT1014" s="89"/>
      <c r="AU1014" s="89"/>
      <c r="AV1014" s="89"/>
      <c r="AW1014" s="89"/>
      <c r="AX1014" s="89"/>
      <c r="AY1014" s="89"/>
      <c r="AZ1014" s="89"/>
      <c r="BA1014" s="95"/>
    </row>
    <row r="1015" spans="1:53" s="87" customFormat="1">
      <c r="A1015" s="90" t="str">
        <f t="shared" si="40"/>
        <v/>
      </c>
      <c r="B1015" s="89"/>
      <c r="C1015" s="89"/>
      <c r="D1015" s="89"/>
      <c r="E1015" s="89"/>
      <c r="F1015" s="89"/>
      <c r="G1015" s="89"/>
      <c r="H1015" s="89"/>
      <c r="I1015" s="89"/>
      <c r="J1015" s="89"/>
      <c r="K1015" s="89"/>
      <c r="L1015" s="89"/>
      <c r="M1015" s="89"/>
      <c r="N1015" s="89"/>
      <c r="O1015" s="89"/>
      <c r="P1015" s="89"/>
      <c r="Q1015" s="89"/>
      <c r="R1015" s="89"/>
      <c r="S1015" s="89"/>
      <c r="T1015" s="89"/>
      <c r="U1015" s="89"/>
      <c r="V1015" s="89"/>
      <c r="W1015" s="89"/>
      <c r="X1015" s="89"/>
      <c r="Y1015" s="89"/>
      <c r="Z1015" s="89"/>
      <c r="AA1015" s="89"/>
      <c r="AB1015" s="89"/>
      <c r="AC1015" s="89"/>
      <c r="AD1015" s="89"/>
      <c r="AE1015" s="89"/>
      <c r="AF1015" s="89"/>
      <c r="AG1015" s="89"/>
      <c r="AH1015" s="89"/>
      <c r="AI1015" s="89"/>
      <c r="AJ1015" s="89"/>
      <c r="AK1015" s="89"/>
      <c r="AL1015" s="89"/>
      <c r="AM1015" s="89"/>
      <c r="AN1015" s="89"/>
      <c r="AO1015" s="89"/>
      <c r="AP1015" s="89"/>
      <c r="AQ1015" s="89"/>
      <c r="AR1015" s="89"/>
      <c r="AS1015" s="89"/>
      <c r="AT1015" s="89"/>
      <c r="AU1015" s="89"/>
      <c r="AV1015" s="89"/>
      <c r="AW1015" s="89"/>
      <c r="AX1015" s="89"/>
      <c r="AY1015" s="89"/>
      <c r="AZ1015" s="89"/>
      <c r="BA1015" s="95"/>
    </row>
    <row r="1016" spans="1:53" s="87" customFormat="1">
      <c r="A1016" s="90" t="str">
        <f t="shared" si="40"/>
        <v/>
      </c>
      <c r="B1016" s="89"/>
      <c r="C1016" s="89"/>
      <c r="D1016" s="89"/>
      <c r="E1016" s="89"/>
      <c r="F1016" s="89"/>
      <c r="G1016" s="89"/>
      <c r="H1016" s="89"/>
      <c r="I1016" s="89"/>
      <c r="J1016" s="89"/>
      <c r="K1016" s="89"/>
      <c r="L1016" s="89"/>
      <c r="M1016" s="89"/>
      <c r="N1016" s="89"/>
      <c r="O1016" s="89"/>
      <c r="P1016" s="89"/>
      <c r="Q1016" s="89"/>
      <c r="R1016" s="89"/>
      <c r="S1016" s="89"/>
      <c r="T1016" s="89"/>
      <c r="U1016" s="89"/>
      <c r="V1016" s="89"/>
      <c r="W1016" s="89"/>
      <c r="X1016" s="89"/>
      <c r="Y1016" s="89"/>
      <c r="Z1016" s="89"/>
      <c r="AA1016" s="89"/>
      <c r="AB1016" s="89"/>
      <c r="AC1016" s="89"/>
      <c r="AD1016" s="89"/>
      <c r="AE1016" s="89"/>
      <c r="AF1016" s="89"/>
      <c r="AG1016" s="89"/>
      <c r="AH1016" s="89"/>
      <c r="AI1016" s="89"/>
      <c r="AJ1016" s="89"/>
      <c r="AK1016" s="89"/>
      <c r="AL1016" s="89"/>
      <c r="AM1016" s="89"/>
      <c r="AN1016" s="89"/>
      <c r="AO1016" s="89"/>
      <c r="AP1016" s="89"/>
      <c r="AQ1016" s="89"/>
      <c r="AR1016" s="89"/>
      <c r="AS1016" s="89"/>
      <c r="AT1016" s="89"/>
      <c r="AU1016" s="89"/>
      <c r="AV1016" s="89"/>
      <c r="AW1016" s="89"/>
      <c r="AX1016" s="89"/>
      <c r="AY1016" s="89"/>
      <c r="AZ1016" s="89"/>
      <c r="BA1016" s="95"/>
    </row>
    <row r="1017" spans="1:53" s="87" customFormat="1">
      <c r="A1017" s="90" t="str">
        <f t="shared" si="40"/>
        <v/>
      </c>
      <c r="B1017" s="89"/>
      <c r="C1017" s="89"/>
      <c r="D1017" s="89"/>
      <c r="E1017" s="89"/>
      <c r="F1017" s="89"/>
      <c r="G1017" s="89"/>
      <c r="H1017" s="89"/>
      <c r="I1017" s="89"/>
      <c r="J1017" s="89"/>
      <c r="K1017" s="89"/>
      <c r="L1017" s="89"/>
      <c r="M1017" s="89"/>
      <c r="N1017" s="89"/>
      <c r="O1017" s="89"/>
      <c r="P1017" s="89"/>
      <c r="Q1017" s="89"/>
      <c r="R1017" s="89"/>
      <c r="S1017" s="89"/>
      <c r="T1017" s="89"/>
      <c r="U1017" s="89"/>
      <c r="V1017" s="89"/>
      <c r="W1017" s="89"/>
      <c r="X1017" s="89"/>
      <c r="Y1017" s="89"/>
      <c r="Z1017" s="89"/>
      <c r="AA1017" s="89"/>
      <c r="AB1017" s="89"/>
      <c r="AC1017" s="89"/>
      <c r="AD1017" s="89"/>
      <c r="AE1017" s="89"/>
      <c r="AF1017" s="89"/>
      <c r="AG1017" s="89"/>
      <c r="AH1017" s="89"/>
      <c r="AI1017" s="89"/>
      <c r="AJ1017" s="89"/>
      <c r="AK1017" s="89"/>
      <c r="AL1017" s="89"/>
      <c r="AM1017" s="89"/>
      <c r="AN1017" s="89"/>
      <c r="AO1017" s="89"/>
      <c r="AP1017" s="89"/>
      <c r="AQ1017" s="89"/>
      <c r="AR1017" s="89"/>
      <c r="AS1017" s="89"/>
      <c r="AT1017" s="89"/>
      <c r="AU1017" s="89"/>
      <c r="AV1017" s="89"/>
      <c r="AW1017" s="89"/>
      <c r="AX1017" s="89"/>
      <c r="AY1017" s="89"/>
      <c r="AZ1017" s="89"/>
      <c r="BA1017" s="95"/>
    </row>
    <row r="1018" spans="1:53" s="87" customFormat="1">
      <c r="A1018" s="90" t="str">
        <f t="shared" si="40"/>
        <v/>
      </c>
      <c r="B1018" s="89"/>
      <c r="C1018" s="89"/>
      <c r="D1018" s="89"/>
      <c r="E1018" s="89"/>
      <c r="F1018" s="89"/>
      <c r="G1018" s="89"/>
      <c r="H1018" s="89"/>
      <c r="I1018" s="89"/>
      <c r="J1018" s="89"/>
      <c r="K1018" s="89"/>
      <c r="L1018" s="89"/>
      <c r="M1018" s="89"/>
      <c r="N1018" s="89"/>
      <c r="O1018" s="89"/>
      <c r="P1018" s="89"/>
      <c r="Q1018" s="89"/>
      <c r="R1018" s="89"/>
      <c r="S1018" s="89"/>
      <c r="T1018" s="89"/>
      <c r="U1018" s="89"/>
      <c r="V1018" s="89"/>
      <c r="W1018" s="89"/>
      <c r="X1018" s="89"/>
      <c r="Y1018" s="89"/>
      <c r="Z1018" s="89"/>
      <c r="AA1018" s="89"/>
      <c r="AB1018" s="89"/>
      <c r="AC1018" s="89"/>
      <c r="AD1018" s="89"/>
      <c r="AE1018" s="89"/>
      <c r="AF1018" s="89"/>
      <c r="AG1018" s="89"/>
      <c r="AH1018" s="89"/>
      <c r="AI1018" s="89"/>
      <c r="AJ1018" s="89"/>
      <c r="AK1018" s="89"/>
      <c r="AL1018" s="89"/>
      <c r="AM1018" s="89"/>
      <c r="AN1018" s="89"/>
      <c r="AO1018" s="89"/>
      <c r="AP1018" s="89"/>
      <c r="AQ1018" s="89"/>
      <c r="AR1018" s="89"/>
      <c r="AS1018" s="89"/>
      <c r="AT1018" s="89"/>
      <c r="AU1018" s="89"/>
      <c r="AV1018" s="89"/>
      <c r="AW1018" s="89"/>
      <c r="AX1018" s="89"/>
      <c r="AY1018" s="89"/>
      <c r="AZ1018" s="89"/>
      <c r="BA1018" s="95"/>
    </row>
    <row r="1019" spans="1:53" s="87" customFormat="1">
      <c r="A1019" s="90" t="str">
        <f t="shared" si="40"/>
        <v/>
      </c>
      <c r="B1019" s="89"/>
      <c r="C1019" s="89"/>
      <c r="D1019" s="89"/>
      <c r="E1019" s="89"/>
      <c r="F1019" s="89"/>
      <c r="G1019" s="89"/>
      <c r="H1019" s="89"/>
      <c r="I1019" s="89"/>
      <c r="J1019" s="89"/>
      <c r="K1019" s="89"/>
      <c r="L1019" s="89"/>
      <c r="M1019" s="89"/>
      <c r="N1019" s="89"/>
      <c r="O1019" s="89"/>
      <c r="P1019" s="89"/>
      <c r="Q1019" s="89"/>
      <c r="R1019" s="89"/>
      <c r="S1019" s="89"/>
      <c r="T1019" s="89"/>
      <c r="U1019" s="89"/>
      <c r="V1019" s="89"/>
      <c r="W1019" s="89"/>
      <c r="X1019" s="89"/>
      <c r="Y1019" s="89"/>
      <c r="Z1019" s="89"/>
      <c r="AA1019" s="89"/>
      <c r="AB1019" s="89"/>
      <c r="AC1019" s="89"/>
      <c r="AD1019" s="89"/>
      <c r="AE1019" s="89"/>
      <c r="AF1019" s="89"/>
      <c r="AG1019" s="89"/>
      <c r="AH1019" s="89"/>
      <c r="AI1019" s="89"/>
      <c r="AJ1019" s="89"/>
      <c r="AK1019" s="89"/>
      <c r="AL1019" s="89"/>
      <c r="AM1019" s="89"/>
      <c r="AN1019" s="89"/>
      <c r="AO1019" s="89"/>
      <c r="AP1019" s="89"/>
      <c r="AQ1019" s="89"/>
      <c r="AR1019" s="89"/>
      <c r="AS1019" s="89"/>
      <c r="AT1019" s="89"/>
      <c r="AU1019" s="89"/>
      <c r="AV1019" s="89"/>
      <c r="AW1019" s="89"/>
      <c r="AX1019" s="89"/>
      <c r="AY1019" s="89"/>
      <c r="AZ1019" s="89"/>
      <c r="BA1019" s="95"/>
    </row>
    <row r="1020" spans="1:53" s="87" customFormat="1">
      <c r="A1020" s="90" t="str">
        <f t="shared" si="40"/>
        <v/>
      </c>
      <c r="B1020" s="89"/>
      <c r="C1020" s="89"/>
      <c r="D1020" s="89"/>
      <c r="E1020" s="89"/>
      <c r="F1020" s="89"/>
      <c r="G1020" s="89"/>
      <c r="H1020" s="89"/>
      <c r="I1020" s="89"/>
      <c r="J1020" s="89"/>
      <c r="K1020" s="89"/>
      <c r="L1020" s="89"/>
      <c r="M1020" s="89"/>
      <c r="N1020" s="89"/>
      <c r="O1020" s="89"/>
      <c r="P1020" s="89"/>
      <c r="Q1020" s="89"/>
      <c r="R1020" s="89"/>
      <c r="S1020" s="89"/>
      <c r="T1020" s="89"/>
      <c r="U1020" s="89"/>
      <c r="V1020" s="89"/>
      <c r="W1020" s="89"/>
      <c r="X1020" s="89"/>
      <c r="Y1020" s="89"/>
      <c r="Z1020" s="89"/>
      <c r="AA1020" s="89"/>
      <c r="AB1020" s="89"/>
      <c r="AC1020" s="89"/>
      <c r="AD1020" s="89"/>
      <c r="AE1020" s="89"/>
      <c r="AF1020" s="89"/>
      <c r="AG1020" s="89"/>
      <c r="AH1020" s="89"/>
      <c r="AI1020" s="89"/>
      <c r="AJ1020" s="89"/>
      <c r="AK1020" s="89"/>
      <c r="AL1020" s="89"/>
      <c r="AM1020" s="89"/>
      <c r="AN1020" s="89"/>
      <c r="AO1020" s="89"/>
      <c r="AP1020" s="89"/>
      <c r="AQ1020" s="89"/>
      <c r="AR1020" s="89"/>
      <c r="AS1020" s="89"/>
      <c r="AT1020" s="89"/>
      <c r="AU1020" s="89"/>
      <c r="AV1020" s="89"/>
      <c r="AW1020" s="89"/>
      <c r="AX1020" s="89"/>
      <c r="AY1020" s="89"/>
      <c r="AZ1020" s="89"/>
      <c r="BA1020" s="95"/>
    </row>
    <row r="1021" spans="1:53" s="87" customFormat="1">
      <c r="A1021" s="90" t="str">
        <f t="shared" si="40"/>
        <v/>
      </c>
      <c r="B1021" s="89"/>
      <c r="C1021" s="89"/>
      <c r="D1021" s="89"/>
      <c r="E1021" s="89"/>
      <c r="F1021" s="89"/>
      <c r="G1021" s="89"/>
      <c r="H1021" s="89"/>
      <c r="I1021" s="89"/>
      <c r="J1021" s="89"/>
      <c r="K1021" s="89"/>
      <c r="L1021" s="89"/>
      <c r="M1021" s="89"/>
      <c r="N1021" s="89"/>
      <c r="O1021" s="89"/>
      <c r="P1021" s="89"/>
      <c r="Q1021" s="89"/>
      <c r="R1021" s="89"/>
      <c r="S1021" s="89"/>
      <c r="T1021" s="89"/>
      <c r="U1021" s="89"/>
      <c r="V1021" s="89"/>
      <c r="W1021" s="89"/>
      <c r="X1021" s="89"/>
      <c r="Y1021" s="89"/>
      <c r="Z1021" s="89"/>
      <c r="AA1021" s="89"/>
      <c r="AB1021" s="89"/>
      <c r="AC1021" s="89"/>
      <c r="AD1021" s="89"/>
      <c r="AE1021" s="89"/>
      <c r="AF1021" s="89"/>
      <c r="AG1021" s="89"/>
      <c r="AH1021" s="89"/>
      <c r="AI1021" s="89"/>
      <c r="AJ1021" s="89"/>
      <c r="AK1021" s="89"/>
      <c r="AL1021" s="89"/>
      <c r="AM1021" s="89"/>
      <c r="AN1021" s="89"/>
      <c r="AO1021" s="89"/>
      <c r="AP1021" s="89"/>
      <c r="AQ1021" s="89"/>
      <c r="AR1021" s="89"/>
      <c r="AS1021" s="89"/>
      <c r="AT1021" s="89"/>
      <c r="AU1021" s="89"/>
      <c r="AV1021" s="89"/>
      <c r="AW1021" s="89"/>
      <c r="AX1021" s="89"/>
      <c r="AY1021" s="89"/>
      <c r="AZ1021" s="89"/>
      <c r="BA1021" s="95"/>
    </row>
    <row r="1022" spans="1:53" s="87" customFormat="1">
      <c r="A1022" s="90" t="str">
        <f t="shared" si="40"/>
        <v/>
      </c>
      <c r="B1022" s="89"/>
      <c r="C1022" s="89"/>
      <c r="D1022" s="89"/>
      <c r="E1022" s="89"/>
      <c r="F1022" s="89"/>
      <c r="G1022" s="89"/>
      <c r="H1022" s="89"/>
      <c r="I1022" s="89"/>
      <c r="J1022" s="89"/>
      <c r="K1022" s="89"/>
      <c r="L1022" s="89"/>
      <c r="M1022" s="89"/>
      <c r="N1022" s="89"/>
      <c r="O1022" s="89"/>
      <c r="P1022" s="89"/>
      <c r="Q1022" s="89"/>
      <c r="R1022" s="89"/>
      <c r="S1022" s="89"/>
      <c r="T1022" s="89"/>
      <c r="U1022" s="89"/>
      <c r="V1022" s="89"/>
      <c r="W1022" s="89"/>
      <c r="X1022" s="89"/>
      <c r="Y1022" s="89"/>
      <c r="Z1022" s="89"/>
      <c r="AA1022" s="89"/>
      <c r="AB1022" s="89"/>
      <c r="AC1022" s="89"/>
      <c r="AD1022" s="89"/>
      <c r="AE1022" s="89"/>
      <c r="AF1022" s="89"/>
      <c r="AG1022" s="89"/>
      <c r="AH1022" s="89"/>
      <c r="AI1022" s="89"/>
      <c r="AJ1022" s="89"/>
      <c r="AK1022" s="89"/>
      <c r="AL1022" s="89"/>
      <c r="AM1022" s="89"/>
      <c r="AN1022" s="89"/>
      <c r="AO1022" s="89"/>
      <c r="AP1022" s="89"/>
      <c r="AQ1022" s="89"/>
      <c r="AR1022" s="89"/>
      <c r="AS1022" s="89"/>
      <c r="AT1022" s="89"/>
      <c r="AU1022" s="89"/>
      <c r="AV1022" s="89"/>
      <c r="AW1022" s="89"/>
      <c r="AX1022" s="89"/>
      <c r="AY1022" s="89"/>
      <c r="AZ1022" s="89"/>
      <c r="BA1022" s="95"/>
    </row>
    <row r="1023" spans="1:53" s="87" customFormat="1">
      <c r="A1023" s="90" t="str">
        <f t="shared" si="40"/>
        <v/>
      </c>
      <c r="B1023" s="89"/>
      <c r="C1023" s="89"/>
      <c r="D1023" s="89"/>
      <c r="E1023" s="89"/>
      <c r="F1023" s="89"/>
      <c r="G1023" s="89"/>
      <c r="H1023" s="89"/>
      <c r="I1023" s="89"/>
      <c r="J1023" s="89"/>
      <c r="K1023" s="89"/>
      <c r="L1023" s="89"/>
      <c r="M1023" s="89"/>
      <c r="N1023" s="89"/>
      <c r="O1023" s="89"/>
      <c r="P1023" s="89"/>
      <c r="Q1023" s="89"/>
      <c r="R1023" s="89"/>
      <c r="S1023" s="89"/>
      <c r="T1023" s="89"/>
      <c r="U1023" s="89"/>
      <c r="V1023" s="89"/>
      <c r="W1023" s="89"/>
      <c r="X1023" s="89"/>
      <c r="Y1023" s="89"/>
      <c r="Z1023" s="89"/>
      <c r="AA1023" s="89"/>
      <c r="AB1023" s="89"/>
      <c r="AC1023" s="89"/>
      <c r="AD1023" s="89"/>
      <c r="AE1023" s="89"/>
      <c r="AF1023" s="89"/>
      <c r="AG1023" s="89"/>
      <c r="AH1023" s="89"/>
      <c r="AI1023" s="89"/>
      <c r="AJ1023" s="89"/>
      <c r="AK1023" s="89"/>
      <c r="AL1023" s="89"/>
      <c r="AM1023" s="89"/>
      <c r="AN1023" s="89"/>
      <c r="AO1023" s="89"/>
      <c r="AP1023" s="89"/>
      <c r="AQ1023" s="89"/>
      <c r="AR1023" s="89"/>
      <c r="AS1023" s="89"/>
      <c r="AT1023" s="89"/>
      <c r="AU1023" s="89"/>
      <c r="AV1023" s="89"/>
      <c r="AW1023" s="89"/>
      <c r="AX1023" s="89"/>
      <c r="AY1023" s="89"/>
      <c r="AZ1023" s="89"/>
      <c r="BA1023" s="95"/>
    </row>
    <row r="1024" spans="1:53" s="87" customFormat="1">
      <c r="A1024" s="90" t="str">
        <f t="shared" si="40"/>
        <v/>
      </c>
      <c r="B1024" s="89"/>
      <c r="C1024" s="89"/>
      <c r="D1024" s="89"/>
      <c r="E1024" s="89"/>
      <c r="F1024" s="89"/>
      <c r="G1024" s="89"/>
      <c r="H1024" s="89"/>
      <c r="I1024" s="89"/>
      <c r="J1024" s="89"/>
      <c r="K1024" s="89"/>
      <c r="L1024" s="89"/>
      <c r="M1024" s="89"/>
      <c r="N1024" s="89"/>
      <c r="O1024" s="89"/>
      <c r="P1024" s="89"/>
      <c r="Q1024" s="89"/>
      <c r="R1024" s="89"/>
      <c r="S1024" s="89"/>
      <c r="T1024" s="89"/>
      <c r="U1024" s="89"/>
      <c r="V1024" s="89"/>
      <c r="W1024" s="89"/>
      <c r="X1024" s="89"/>
      <c r="Y1024" s="89"/>
      <c r="Z1024" s="89"/>
      <c r="AA1024" s="89"/>
      <c r="AB1024" s="89"/>
      <c r="AC1024" s="89"/>
      <c r="AD1024" s="89"/>
      <c r="AE1024" s="89"/>
      <c r="AF1024" s="89"/>
      <c r="AG1024" s="89"/>
      <c r="AH1024" s="89"/>
      <c r="AI1024" s="89"/>
      <c r="AJ1024" s="89"/>
      <c r="AK1024" s="89"/>
      <c r="AL1024" s="89"/>
      <c r="AM1024" s="89"/>
      <c r="AN1024" s="89"/>
      <c r="AO1024" s="89"/>
      <c r="AP1024" s="89"/>
      <c r="AQ1024" s="89"/>
      <c r="AR1024" s="89"/>
      <c r="AS1024" s="89"/>
      <c r="AT1024" s="89"/>
      <c r="AU1024" s="89"/>
      <c r="AV1024" s="89"/>
      <c r="AW1024" s="89"/>
      <c r="AX1024" s="89"/>
      <c r="AY1024" s="89"/>
      <c r="AZ1024" s="89"/>
      <c r="BA1024" s="95"/>
    </row>
    <row r="1025" spans="1:53" s="87" customFormat="1">
      <c r="A1025" s="90" t="str">
        <f t="shared" si="40"/>
        <v/>
      </c>
      <c r="B1025" s="89"/>
      <c r="C1025" s="89"/>
      <c r="D1025" s="89"/>
      <c r="E1025" s="89"/>
      <c r="F1025" s="89"/>
      <c r="G1025" s="89"/>
      <c r="H1025" s="89"/>
      <c r="I1025" s="89"/>
      <c r="J1025" s="89"/>
      <c r="K1025" s="89"/>
      <c r="L1025" s="89"/>
      <c r="M1025" s="89"/>
      <c r="N1025" s="89"/>
      <c r="O1025" s="89"/>
      <c r="P1025" s="89"/>
      <c r="Q1025" s="89"/>
      <c r="R1025" s="89"/>
      <c r="S1025" s="89"/>
      <c r="T1025" s="89"/>
      <c r="U1025" s="89"/>
      <c r="V1025" s="89"/>
      <c r="W1025" s="89"/>
      <c r="X1025" s="89"/>
      <c r="Y1025" s="89"/>
      <c r="Z1025" s="89"/>
      <c r="AA1025" s="89"/>
      <c r="AB1025" s="89"/>
      <c r="AC1025" s="89"/>
      <c r="AD1025" s="89"/>
      <c r="AE1025" s="89"/>
      <c r="AF1025" s="89"/>
      <c r="AG1025" s="89"/>
      <c r="AH1025" s="89"/>
      <c r="AI1025" s="89"/>
      <c r="AJ1025" s="89"/>
      <c r="AK1025" s="89"/>
      <c r="AL1025" s="89"/>
      <c r="AM1025" s="89"/>
      <c r="AN1025" s="89"/>
      <c r="AO1025" s="89"/>
      <c r="AP1025" s="89"/>
      <c r="AQ1025" s="89"/>
      <c r="AR1025" s="89"/>
      <c r="AS1025" s="89"/>
      <c r="AT1025" s="89"/>
      <c r="AU1025" s="89"/>
      <c r="AV1025" s="89"/>
      <c r="AW1025" s="89"/>
      <c r="AX1025" s="89"/>
      <c r="AY1025" s="89"/>
      <c r="AZ1025" s="89"/>
      <c r="BA1025" s="95"/>
    </row>
    <row r="1026" spans="1:53" s="87" customFormat="1">
      <c r="A1026" s="90" t="str">
        <f t="shared" si="40"/>
        <v/>
      </c>
      <c r="B1026" s="89"/>
      <c r="C1026" s="89"/>
      <c r="D1026" s="89"/>
      <c r="E1026" s="89"/>
      <c r="F1026" s="89"/>
      <c r="G1026" s="89"/>
      <c r="H1026" s="89"/>
      <c r="I1026" s="89"/>
      <c r="J1026" s="89"/>
      <c r="K1026" s="89"/>
      <c r="L1026" s="89"/>
      <c r="M1026" s="89"/>
      <c r="N1026" s="89"/>
      <c r="O1026" s="89"/>
      <c r="P1026" s="89"/>
      <c r="Q1026" s="89"/>
      <c r="R1026" s="89"/>
      <c r="S1026" s="89"/>
      <c r="T1026" s="89"/>
      <c r="U1026" s="89"/>
      <c r="V1026" s="89"/>
      <c r="W1026" s="89"/>
      <c r="X1026" s="89"/>
      <c r="Y1026" s="89"/>
      <c r="Z1026" s="89"/>
      <c r="AA1026" s="89"/>
      <c r="AB1026" s="89"/>
      <c r="AC1026" s="89"/>
      <c r="AD1026" s="89"/>
      <c r="AE1026" s="89"/>
      <c r="AF1026" s="89"/>
      <c r="AG1026" s="89"/>
      <c r="AH1026" s="89"/>
      <c r="AI1026" s="89"/>
      <c r="AJ1026" s="89"/>
      <c r="AK1026" s="89"/>
      <c r="AL1026" s="89"/>
      <c r="AM1026" s="89"/>
      <c r="AN1026" s="89"/>
      <c r="AO1026" s="89"/>
      <c r="AP1026" s="89"/>
      <c r="AQ1026" s="89"/>
      <c r="AR1026" s="89"/>
      <c r="AS1026" s="89"/>
      <c r="AT1026" s="89"/>
      <c r="AU1026" s="89"/>
      <c r="AV1026" s="89"/>
      <c r="AW1026" s="89"/>
      <c r="AX1026" s="89"/>
      <c r="AY1026" s="89"/>
      <c r="AZ1026" s="89"/>
      <c r="BA1026" s="95"/>
    </row>
    <row r="1027" spans="1:53" s="87" customFormat="1">
      <c r="A1027" s="90" t="str">
        <f t="shared" si="40"/>
        <v/>
      </c>
      <c r="B1027" s="89"/>
      <c r="C1027" s="89"/>
      <c r="D1027" s="89"/>
      <c r="E1027" s="89"/>
      <c r="F1027" s="89"/>
      <c r="G1027" s="89"/>
      <c r="H1027" s="89"/>
      <c r="I1027" s="89"/>
      <c r="J1027" s="89"/>
      <c r="K1027" s="89"/>
      <c r="L1027" s="89"/>
      <c r="M1027" s="89"/>
      <c r="N1027" s="89"/>
      <c r="O1027" s="89"/>
      <c r="P1027" s="89"/>
      <c r="Q1027" s="89"/>
      <c r="R1027" s="89"/>
      <c r="S1027" s="89"/>
      <c r="T1027" s="89"/>
      <c r="U1027" s="89"/>
      <c r="V1027" s="89"/>
      <c r="W1027" s="89"/>
      <c r="X1027" s="89"/>
      <c r="Y1027" s="89"/>
      <c r="Z1027" s="89"/>
      <c r="AA1027" s="89"/>
      <c r="AB1027" s="89"/>
      <c r="AC1027" s="89"/>
      <c r="AD1027" s="89"/>
      <c r="AE1027" s="89"/>
      <c r="AF1027" s="89"/>
      <c r="AG1027" s="89"/>
      <c r="AH1027" s="89"/>
      <c r="AI1027" s="89"/>
      <c r="AJ1027" s="89"/>
      <c r="AK1027" s="89"/>
      <c r="AL1027" s="89"/>
      <c r="AM1027" s="89"/>
      <c r="AN1027" s="89"/>
      <c r="AO1027" s="89"/>
      <c r="AP1027" s="89"/>
      <c r="AQ1027" s="89"/>
      <c r="AR1027" s="89"/>
      <c r="AS1027" s="89"/>
      <c r="AT1027" s="89"/>
      <c r="AU1027" s="89"/>
      <c r="AV1027" s="89"/>
      <c r="AW1027" s="89"/>
      <c r="AX1027" s="89"/>
      <c r="AY1027" s="89"/>
      <c r="AZ1027" s="89"/>
      <c r="BA1027" s="95"/>
    </row>
    <row r="1028" spans="1:53" s="87" customFormat="1">
      <c r="A1028" s="90" t="str">
        <f t="shared" si="40"/>
        <v/>
      </c>
      <c r="B1028" s="89"/>
      <c r="C1028" s="89"/>
      <c r="D1028" s="89"/>
      <c r="E1028" s="89"/>
      <c r="F1028" s="89"/>
      <c r="G1028" s="89"/>
      <c r="H1028" s="89"/>
      <c r="I1028" s="89"/>
      <c r="J1028" s="89"/>
      <c r="K1028" s="89"/>
      <c r="L1028" s="89"/>
      <c r="M1028" s="89"/>
      <c r="N1028" s="89"/>
      <c r="O1028" s="89"/>
      <c r="P1028" s="89"/>
      <c r="Q1028" s="89"/>
      <c r="R1028" s="89"/>
      <c r="S1028" s="89"/>
      <c r="T1028" s="89"/>
      <c r="U1028" s="89"/>
      <c r="V1028" s="89"/>
      <c r="W1028" s="89"/>
      <c r="X1028" s="89"/>
      <c r="Y1028" s="89"/>
      <c r="Z1028" s="89"/>
      <c r="AA1028" s="89"/>
      <c r="AB1028" s="89"/>
      <c r="AC1028" s="89"/>
      <c r="AD1028" s="89"/>
      <c r="AE1028" s="89"/>
      <c r="AF1028" s="89"/>
      <c r="AG1028" s="89"/>
      <c r="AH1028" s="89"/>
      <c r="AI1028" s="89"/>
      <c r="AJ1028" s="89"/>
      <c r="AK1028" s="89"/>
      <c r="AL1028" s="89"/>
      <c r="AM1028" s="89"/>
      <c r="AN1028" s="89"/>
      <c r="AO1028" s="89"/>
      <c r="AP1028" s="89"/>
      <c r="AQ1028" s="89"/>
      <c r="AR1028" s="89"/>
      <c r="AS1028" s="89"/>
      <c r="AT1028" s="89"/>
      <c r="AU1028" s="89"/>
      <c r="AV1028" s="89"/>
      <c r="AW1028" s="89"/>
      <c r="AX1028" s="89"/>
      <c r="AY1028" s="89"/>
      <c r="AZ1028" s="89"/>
      <c r="BA1028" s="95"/>
    </row>
    <row r="1029" spans="1:53" s="87" customFormat="1">
      <c r="A1029" s="90" t="str">
        <f t="shared" si="40"/>
        <v/>
      </c>
      <c r="B1029" s="89"/>
      <c r="C1029" s="89"/>
      <c r="D1029" s="89"/>
      <c r="E1029" s="89"/>
      <c r="F1029" s="89"/>
      <c r="G1029" s="89"/>
      <c r="H1029" s="89"/>
      <c r="I1029" s="89"/>
      <c r="J1029" s="89"/>
      <c r="K1029" s="89"/>
      <c r="L1029" s="89"/>
      <c r="M1029" s="89"/>
      <c r="N1029" s="89"/>
      <c r="O1029" s="89"/>
      <c r="P1029" s="89"/>
      <c r="Q1029" s="89"/>
      <c r="R1029" s="89"/>
      <c r="S1029" s="89"/>
      <c r="T1029" s="89"/>
      <c r="U1029" s="89"/>
      <c r="V1029" s="89"/>
      <c r="W1029" s="89"/>
      <c r="X1029" s="89"/>
      <c r="Y1029" s="89"/>
      <c r="Z1029" s="89"/>
      <c r="AA1029" s="89"/>
      <c r="AB1029" s="89"/>
      <c r="AC1029" s="89"/>
      <c r="AD1029" s="89"/>
      <c r="AE1029" s="89"/>
      <c r="AF1029" s="89"/>
      <c r="AG1029" s="89"/>
      <c r="AH1029" s="89"/>
      <c r="AI1029" s="89"/>
      <c r="AJ1029" s="89"/>
      <c r="AK1029" s="89"/>
      <c r="AL1029" s="89"/>
      <c r="AM1029" s="89"/>
      <c r="AN1029" s="89"/>
      <c r="AO1029" s="89"/>
      <c r="AP1029" s="89"/>
      <c r="AQ1029" s="89"/>
      <c r="AR1029" s="89"/>
      <c r="AS1029" s="89"/>
      <c r="AT1029" s="89"/>
      <c r="AU1029" s="89"/>
      <c r="AV1029" s="89"/>
      <c r="AW1029" s="89"/>
      <c r="AX1029" s="89"/>
      <c r="AY1029" s="89"/>
      <c r="AZ1029" s="89"/>
      <c r="BA1029" s="95"/>
    </row>
    <row r="1030" spans="1:53" s="87" customFormat="1">
      <c r="A1030" s="90" t="str">
        <f t="shared" si="40"/>
        <v/>
      </c>
      <c r="B1030" s="89"/>
      <c r="C1030" s="89"/>
      <c r="D1030" s="89"/>
      <c r="E1030" s="89"/>
      <c r="F1030" s="89"/>
      <c r="G1030" s="89"/>
      <c r="H1030" s="89"/>
      <c r="I1030" s="89"/>
      <c r="J1030" s="89"/>
      <c r="K1030" s="89"/>
      <c r="L1030" s="89"/>
      <c r="M1030" s="89"/>
      <c r="N1030" s="89"/>
      <c r="O1030" s="89"/>
      <c r="P1030" s="89"/>
      <c r="Q1030" s="89"/>
      <c r="R1030" s="89"/>
      <c r="S1030" s="89"/>
      <c r="T1030" s="89"/>
      <c r="U1030" s="89"/>
      <c r="V1030" s="89"/>
      <c r="W1030" s="89"/>
      <c r="X1030" s="89"/>
      <c r="Y1030" s="89"/>
      <c r="Z1030" s="89"/>
      <c r="AA1030" s="89"/>
      <c r="AB1030" s="89"/>
      <c r="AC1030" s="89"/>
      <c r="AD1030" s="89"/>
      <c r="AE1030" s="89"/>
      <c r="AF1030" s="89"/>
      <c r="AG1030" s="89"/>
      <c r="AH1030" s="89"/>
      <c r="AI1030" s="89"/>
      <c r="AJ1030" s="89"/>
      <c r="AK1030" s="89"/>
      <c r="AL1030" s="89"/>
      <c r="AM1030" s="89"/>
      <c r="AN1030" s="89"/>
      <c r="AO1030" s="89"/>
      <c r="AP1030" s="89"/>
      <c r="AQ1030" s="89"/>
      <c r="AR1030" s="89"/>
      <c r="AS1030" s="89"/>
      <c r="AT1030" s="89"/>
      <c r="AU1030" s="89"/>
      <c r="AV1030" s="89"/>
      <c r="AW1030" s="89"/>
      <c r="AX1030" s="89"/>
      <c r="AY1030" s="89"/>
      <c r="AZ1030" s="89"/>
      <c r="BA1030" s="95"/>
    </row>
    <row r="1031" spans="1:53" s="87" customFormat="1">
      <c r="A1031" s="90" t="str">
        <f t="shared" si="40"/>
        <v/>
      </c>
      <c r="B1031" s="89"/>
      <c r="C1031" s="89"/>
      <c r="D1031" s="89"/>
      <c r="E1031" s="89"/>
      <c r="F1031" s="89"/>
      <c r="G1031" s="89"/>
      <c r="H1031" s="89"/>
      <c r="I1031" s="89"/>
      <c r="J1031" s="89"/>
      <c r="K1031" s="89"/>
      <c r="L1031" s="89"/>
      <c r="M1031" s="89"/>
      <c r="N1031" s="89"/>
      <c r="O1031" s="89"/>
      <c r="P1031" s="89"/>
      <c r="Q1031" s="89"/>
      <c r="R1031" s="89"/>
      <c r="S1031" s="89"/>
      <c r="T1031" s="89"/>
      <c r="U1031" s="89"/>
      <c r="V1031" s="89"/>
      <c r="W1031" s="89"/>
      <c r="X1031" s="89"/>
      <c r="Y1031" s="89"/>
      <c r="Z1031" s="89"/>
      <c r="AA1031" s="89"/>
      <c r="AB1031" s="89"/>
      <c r="AC1031" s="89"/>
      <c r="AD1031" s="89"/>
      <c r="AE1031" s="89"/>
      <c r="AF1031" s="89"/>
      <c r="AG1031" s="89"/>
      <c r="AH1031" s="89"/>
      <c r="AI1031" s="89"/>
      <c r="AJ1031" s="89"/>
      <c r="AK1031" s="89"/>
      <c r="AL1031" s="89"/>
      <c r="AM1031" s="89"/>
      <c r="AN1031" s="89"/>
      <c r="AO1031" s="89"/>
      <c r="AP1031" s="89"/>
      <c r="AQ1031" s="89"/>
      <c r="AR1031" s="89"/>
      <c r="AS1031" s="89"/>
      <c r="AT1031" s="89"/>
      <c r="AU1031" s="89"/>
      <c r="AV1031" s="89"/>
      <c r="AW1031" s="89"/>
      <c r="AX1031" s="89"/>
      <c r="AY1031" s="89"/>
      <c r="AZ1031" s="89"/>
      <c r="BA1031" s="95"/>
    </row>
    <row r="1032" spans="1:53" s="87" customFormat="1">
      <c r="A1032" s="90" t="str">
        <f t="shared" si="40"/>
        <v/>
      </c>
      <c r="B1032" s="89"/>
      <c r="C1032" s="89"/>
      <c r="D1032" s="89"/>
      <c r="E1032" s="89"/>
      <c r="F1032" s="89"/>
      <c r="G1032" s="89"/>
      <c r="H1032" s="89"/>
      <c r="I1032" s="89"/>
      <c r="J1032" s="89"/>
      <c r="K1032" s="89"/>
      <c r="L1032" s="89"/>
      <c r="M1032" s="89"/>
      <c r="N1032" s="89"/>
      <c r="O1032" s="89"/>
      <c r="P1032" s="89"/>
      <c r="Q1032" s="89"/>
      <c r="R1032" s="89"/>
      <c r="S1032" s="89"/>
      <c r="T1032" s="89"/>
      <c r="U1032" s="89"/>
      <c r="V1032" s="89"/>
      <c r="W1032" s="89"/>
      <c r="X1032" s="89"/>
      <c r="Y1032" s="89"/>
      <c r="Z1032" s="89"/>
      <c r="AA1032" s="89"/>
      <c r="AB1032" s="89"/>
      <c r="AC1032" s="89"/>
      <c r="AD1032" s="89"/>
      <c r="AE1032" s="89"/>
      <c r="AF1032" s="89"/>
      <c r="AG1032" s="89"/>
      <c r="AH1032" s="89"/>
      <c r="AI1032" s="89"/>
      <c r="AJ1032" s="89"/>
      <c r="AK1032" s="89"/>
      <c r="AL1032" s="89"/>
      <c r="AM1032" s="89"/>
      <c r="AN1032" s="89"/>
      <c r="AO1032" s="89"/>
      <c r="AP1032" s="89"/>
      <c r="AQ1032" s="89"/>
      <c r="AR1032" s="89"/>
      <c r="AS1032" s="89"/>
      <c r="AT1032" s="89"/>
      <c r="AU1032" s="89"/>
      <c r="AV1032" s="89"/>
      <c r="AW1032" s="89"/>
      <c r="AX1032" s="89"/>
      <c r="AY1032" s="89"/>
      <c r="AZ1032" s="89"/>
      <c r="BA1032" s="95"/>
    </row>
    <row r="1033" spans="1:53" s="87" customFormat="1">
      <c r="A1033" s="90" t="str">
        <f t="shared" si="40"/>
        <v/>
      </c>
      <c r="B1033" s="89"/>
      <c r="C1033" s="89"/>
      <c r="D1033" s="89"/>
      <c r="E1033" s="89"/>
      <c r="F1033" s="89"/>
      <c r="G1033" s="89"/>
      <c r="H1033" s="89"/>
      <c r="I1033" s="89"/>
      <c r="J1033" s="89"/>
      <c r="K1033" s="89"/>
      <c r="L1033" s="89"/>
      <c r="M1033" s="89"/>
      <c r="N1033" s="89"/>
      <c r="O1033" s="89"/>
      <c r="P1033" s="89"/>
      <c r="Q1033" s="89"/>
      <c r="R1033" s="89"/>
      <c r="S1033" s="89"/>
      <c r="T1033" s="89"/>
      <c r="U1033" s="89"/>
      <c r="V1033" s="89"/>
      <c r="W1033" s="89"/>
      <c r="X1033" s="89"/>
      <c r="Y1033" s="89"/>
      <c r="Z1033" s="89"/>
      <c r="AA1033" s="89"/>
      <c r="AB1033" s="89"/>
      <c r="AC1033" s="89"/>
      <c r="AD1033" s="89"/>
      <c r="AE1033" s="89"/>
      <c r="AF1033" s="89"/>
      <c r="AG1033" s="89"/>
      <c r="AH1033" s="89"/>
      <c r="AI1033" s="89"/>
      <c r="AJ1033" s="89"/>
      <c r="AK1033" s="89"/>
      <c r="AL1033" s="89"/>
      <c r="AM1033" s="89"/>
      <c r="AN1033" s="89"/>
      <c r="AO1033" s="89"/>
      <c r="AP1033" s="89"/>
      <c r="AQ1033" s="89"/>
      <c r="AR1033" s="89"/>
      <c r="AS1033" s="89"/>
      <c r="AT1033" s="89"/>
      <c r="AU1033" s="89"/>
      <c r="AV1033" s="89"/>
      <c r="AW1033" s="89"/>
      <c r="AX1033" s="89"/>
      <c r="AY1033" s="89"/>
      <c r="AZ1033" s="89"/>
      <c r="BA1033" s="95"/>
    </row>
    <row r="1034" spans="1:53" s="87" customFormat="1">
      <c r="A1034" s="90" t="str">
        <f t="shared" si="40"/>
        <v/>
      </c>
      <c r="B1034" s="89"/>
      <c r="C1034" s="89"/>
      <c r="D1034" s="89"/>
      <c r="E1034" s="89"/>
      <c r="F1034" s="89"/>
      <c r="G1034" s="89"/>
      <c r="H1034" s="89"/>
      <c r="I1034" s="89"/>
      <c r="J1034" s="89"/>
      <c r="K1034" s="89"/>
      <c r="L1034" s="89"/>
      <c r="M1034" s="89"/>
      <c r="N1034" s="89"/>
      <c r="O1034" s="89"/>
      <c r="P1034" s="89"/>
      <c r="Q1034" s="89"/>
      <c r="R1034" s="89"/>
      <c r="S1034" s="89"/>
      <c r="T1034" s="89"/>
      <c r="U1034" s="89"/>
      <c r="V1034" s="89"/>
      <c r="W1034" s="89"/>
      <c r="X1034" s="89"/>
      <c r="Y1034" s="89"/>
      <c r="Z1034" s="89"/>
      <c r="AA1034" s="89"/>
      <c r="AB1034" s="89"/>
      <c r="AC1034" s="89"/>
      <c r="AD1034" s="89"/>
      <c r="AE1034" s="89"/>
      <c r="AF1034" s="89"/>
      <c r="AG1034" s="89"/>
      <c r="AH1034" s="89"/>
      <c r="AI1034" s="89"/>
      <c r="AJ1034" s="89"/>
      <c r="AK1034" s="89"/>
      <c r="AL1034" s="89"/>
      <c r="AM1034" s="89"/>
      <c r="AN1034" s="89"/>
      <c r="AO1034" s="89"/>
      <c r="AP1034" s="89"/>
      <c r="AQ1034" s="89"/>
      <c r="AR1034" s="89"/>
      <c r="AS1034" s="89"/>
      <c r="AT1034" s="89"/>
      <c r="AU1034" s="89"/>
      <c r="AV1034" s="89"/>
      <c r="AW1034" s="89"/>
      <c r="AX1034" s="89"/>
      <c r="AY1034" s="89"/>
      <c r="AZ1034" s="89"/>
      <c r="BA1034" s="95"/>
    </row>
    <row r="1035" spans="1:53" s="87" customFormat="1">
      <c r="A1035" s="90" t="str">
        <f t="shared" si="40"/>
        <v/>
      </c>
      <c r="B1035" s="89"/>
      <c r="C1035" s="89"/>
      <c r="D1035" s="89"/>
      <c r="E1035" s="89"/>
      <c r="F1035" s="89"/>
      <c r="G1035" s="89"/>
      <c r="H1035" s="89"/>
      <c r="I1035" s="89"/>
      <c r="J1035" s="89"/>
      <c r="K1035" s="89"/>
      <c r="L1035" s="89"/>
      <c r="M1035" s="89"/>
      <c r="N1035" s="89"/>
      <c r="O1035" s="89"/>
      <c r="P1035" s="89"/>
      <c r="Q1035" s="89"/>
      <c r="R1035" s="89"/>
      <c r="S1035" s="89"/>
      <c r="T1035" s="89"/>
      <c r="U1035" s="89"/>
      <c r="V1035" s="89"/>
      <c r="W1035" s="89"/>
      <c r="X1035" s="89"/>
      <c r="Y1035" s="89"/>
      <c r="Z1035" s="89"/>
      <c r="AA1035" s="89"/>
      <c r="AB1035" s="89"/>
      <c r="AC1035" s="89"/>
      <c r="AD1035" s="89"/>
      <c r="AE1035" s="89"/>
      <c r="AF1035" s="89"/>
      <c r="AG1035" s="89"/>
      <c r="AH1035" s="89"/>
      <c r="AI1035" s="89"/>
      <c r="AJ1035" s="89"/>
      <c r="AK1035" s="89"/>
      <c r="AL1035" s="89"/>
      <c r="AM1035" s="89"/>
      <c r="AN1035" s="89"/>
      <c r="AO1035" s="89"/>
      <c r="AP1035" s="89"/>
      <c r="AQ1035" s="89"/>
      <c r="AR1035" s="89"/>
      <c r="AS1035" s="89"/>
      <c r="AT1035" s="89"/>
      <c r="AU1035" s="89"/>
      <c r="AV1035" s="89"/>
      <c r="AW1035" s="89"/>
      <c r="AX1035" s="89"/>
      <c r="AY1035" s="89"/>
      <c r="AZ1035" s="89"/>
      <c r="BA1035" s="95"/>
    </row>
    <row r="1036" spans="1:53" s="87" customFormat="1">
      <c r="A1036" s="90" t="str">
        <f t="shared" ref="A1036:A1099" si="41">IF(MID(B1036,3,2)="10",ROW(),"")</f>
        <v/>
      </c>
      <c r="B1036" s="89"/>
      <c r="C1036" s="89"/>
      <c r="D1036" s="89"/>
      <c r="E1036" s="89"/>
      <c r="F1036" s="89"/>
      <c r="G1036" s="89"/>
      <c r="H1036" s="89"/>
      <c r="I1036" s="89"/>
      <c r="J1036" s="89"/>
      <c r="K1036" s="89"/>
      <c r="L1036" s="89"/>
      <c r="M1036" s="89"/>
      <c r="N1036" s="89"/>
      <c r="O1036" s="89"/>
      <c r="P1036" s="89"/>
      <c r="Q1036" s="89"/>
      <c r="R1036" s="89"/>
      <c r="S1036" s="89"/>
      <c r="T1036" s="89"/>
      <c r="U1036" s="89"/>
      <c r="V1036" s="89"/>
      <c r="W1036" s="89"/>
      <c r="X1036" s="89"/>
      <c r="Y1036" s="89"/>
      <c r="Z1036" s="89"/>
      <c r="AA1036" s="89"/>
      <c r="AB1036" s="89"/>
      <c r="AC1036" s="89"/>
      <c r="AD1036" s="89"/>
      <c r="AE1036" s="89"/>
      <c r="AF1036" s="89"/>
      <c r="AG1036" s="89"/>
      <c r="AH1036" s="89"/>
      <c r="AI1036" s="89"/>
      <c r="AJ1036" s="89"/>
      <c r="AK1036" s="89"/>
      <c r="AL1036" s="89"/>
      <c r="AM1036" s="89"/>
      <c r="AN1036" s="89"/>
      <c r="AO1036" s="89"/>
      <c r="AP1036" s="89"/>
      <c r="AQ1036" s="89"/>
      <c r="AR1036" s="89"/>
      <c r="AS1036" s="89"/>
      <c r="AT1036" s="89"/>
      <c r="AU1036" s="89"/>
      <c r="AV1036" s="89"/>
      <c r="AW1036" s="89"/>
      <c r="AX1036" s="89"/>
      <c r="AY1036" s="89"/>
      <c r="AZ1036" s="89"/>
      <c r="BA1036" s="95"/>
    </row>
    <row r="1037" spans="1:53" s="87" customFormat="1">
      <c r="A1037" s="90" t="str">
        <f t="shared" si="41"/>
        <v/>
      </c>
      <c r="B1037" s="89"/>
      <c r="C1037" s="89"/>
      <c r="D1037" s="89"/>
      <c r="E1037" s="89"/>
      <c r="F1037" s="89"/>
      <c r="G1037" s="89"/>
      <c r="H1037" s="89"/>
      <c r="I1037" s="89"/>
      <c r="J1037" s="89"/>
      <c r="K1037" s="89"/>
      <c r="L1037" s="89"/>
      <c r="M1037" s="89"/>
      <c r="N1037" s="89"/>
      <c r="O1037" s="89"/>
      <c r="P1037" s="89"/>
      <c r="Q1037" s="89"/>
      <c r="R1037" s="89"/>
      <c r="S1037" s="89"/>
      <c r="T1037" s="89"/>
      <c r="U1037" s="89"/>
      <c r="V1037" s="89"/>
      <c r="W1037" s="89"/>
      <c r="X1037" s="89"/>
      <c r="Y1037" s="89"/>
      <c r="Z1037" s="89"/>
      <c r="AA1037" s="89"/>
      <c r="AB1037" s="89"/>
      <c r="AC1037" s="89"/>
      <c r="AD1037" s="89"/>
      <c r="AE1037" s="89"/>
      <c r="AF1037" s="89"/>
      <c r="AG1037" s="89"/>
      <c r="AH1037" s="89"/>
      <c r="AI1037" s="89"/>
      <c r="AJ1037" s="89"/>
      <c r="AK1037" s="89"/>
      <c r="AL1037" s="89"/>
      <c r="AM1037" s="89"/>
      <c r="AN1037" s="89"/>
      <c r="AO1037" s="89"/>
      <c r="AP1037" s="89"/>
      <c r="AQ1037" s="89"/>
      <c r="AR1037" s="89"/>
      <c r="AS1037" s="89"/>
      <c r="AT1037" s="89"/>
      <c r="AU1037" s="89"/>
      <c r="AV1037" s="89"/>
      <c r="AW1037" s="89"/>
      <c r="AX1037" s="89"/>
      <c r="AY1037" s="89"/>
      <c r="AZ1037" s="89"/>
      <c r="BA1037" s="95"/>
    </row>
    <row r="1038" spans="1:53" s="87" customFormat="1">
      <c r="A1038" s="90" t="str">
        <f t="shared" si="41"/>
        <v/>
      </c>
      <c r="B1038" s="89"/>
      <c r="C1038" s="89"/>
      <c r="D1038" s="89"/>
      <c r="E1038" s="89"/>
      <c r="F1038" s="89"/>
      <c r="G1038" s="89"/>
      <c r="H1038" s="89"/>
      <c r="I1038" s="89"/>
      <c r="J1038" s="89"/>
      <c r="K1038" s="89"/>
      <c r="L1038" s="89"/>
      <c r="M1038" s="89"/>
      <c r="N1038" s="89"/>
      <c r="O1038" s="89"/>
      <c r="P1038" s="89"/>
      <c r="Q1038" s="89"/>
      <c r="R1038" s="89"/>
      <c r="S1038" s="89"/>
      <c r="T1038" s="89"/>
      <c r="U1038" s="89"/>
      <c r="V1038" s="89"/>
      <c r="W1038" s="89"/>
      <c r="X1038" s="89"/>
      <c r="Y1038" s="89"/>
      <c r="Z1038" s="89"/>
      <c r="AA1038" s="89"/>
      <c r="AB1038" s="89"/>
      <c r="AC1038" s="89"/>
      <c r="AD1038" s="89"/>
      <c r="AE1038" s="89"/>
      <c r="AF1038" s="89"/>
      <c r="AG1038" s="89"/>
      <c r="AH1038" s="89"/>
      <c r="AI1038" s="89"/>
      <c r="AJ1038" s="89"/>
      <c r="AK1038" s="89"/>
      <c r="AL1038" s="89"/>
      <c r="AM1038" s="89"/>
      <c r="AN1038" s="89"/>
      <c r="AO1038" s="89"/>
      <c r="AP1038" s="89"/>
      <c r="AQ1038" s="89"/>
      <c r="AR1038" s="89"/>
      <c r="AS1038" s="89"/>
      <c r="AT1038" s="89"/>
      <c r="AU1038" s="89"/>
      <c r="AV1038" s="89"/>
      <c r="AW1038" s="89"/>
      <c r="AX1038" s="89"/>
      <c r="AY1038" s="89"/>
      <c r="AZ1038" s="89"/>
      <c r="BA1038" s="95"/>
    </row>
    <row r="1039" spans="1:53" s="87" customFormat="1">
      <c r="A1039" s="90" t="str">
        <f t="shared" si="41"/>
        <v/>
      </c>
      <c r="B1039" s="89"/>
      <c r="C1039" s="89"/>
      <c r="D1039" s="89"/>
      <c r="E1039" s="89"/>
      <c r="F1039" s="89"/>
      <c r="G1039" s="89"/>
      <c r="H1039" s="89"/>
      <c r="I1039" s="89"/>
      <c r="J1039" s="89"/>
      <c r="K1039" s="89"/>
      <c r="L1039" s="89"/>
      <c r="M1039" s="89"/>
      <c r="N1039" s="89"/>
      <c r="O1039" s="89"/>
      <c r="P1039" s="89"/>
      <c r="Q1039" s="89"/>
      <c r="R1039" s="89"/>
      <c r="S1039" s="89"/>
      <c r="T1039" s="89"/>
      <c r="U1039" s="89"/>
      <c r="V1039" s="89"/>
      <c r="W1039" s="89"/>
      <c r="X1039" s="89"/>
      <c r="Y1039" s="89"/>
      <c r="Z1039" s="89"/>
      <c r="AA1039" s="89"/>
      <c r="AB1039" s="89"/>
      <c r="AC1039" s="89"/>
      <c r="AD1039" s="89"/>
      <c r="AE1039" s="89"/>
      <c r="AF1039" s="89"/>
      <c r="AG1039" s="89"/>
      <c r="AH1039" s="89"/>
      <c r="AI1039" s="89"/>
      <c r="AJ1039" s="89"/>
      <c r="AK1039" s="89"/>
      <c r="AL1039" s="89"/>
      <c r="AM1039" s="89"/>
      <c r="AN1039" s="89"/>
      <c r="AO1039" s="89"/>
      <c r="AP1039" s="89"/>
      <c r="AQ1039" s="89"/>
      <c r="AR1039" s="89"/>
      <c r="AS1039" s="89"/>
      <c r="AT1039" s="89"/>
      <c r="AU1039" s="89"/>
      <c r="AV1039" s="89"/>
      <c r="AW1039" s="89"/>
      <c r="AX1039" s="89"/>
      <c r="AY1039" s="89"/>
      <c r="AZ1039" s="89"/>
      <c r="BA1039" s="95"/>
    </row>
    <row r="1040" spans="1:53" s="87" customFormat="1">
      <c r="A1040" s="90" t="str">
        <f t="shared" si="41"/>
        <v/>
      </c>
      <c r="B1040" s="89"/>
      <c r="C1040" s="89"/>
      <c r="D1040" s="89"/>
      <c r="E1040" s="89"/>
      <c r="F1040" s="89"/>
      <c r="G1040" s="89"/>
      <c r="H1040" s="89"/>
      <c r="I1040" s="89"/>
      <c r="J1040" s="89"/>
      <c r="K1040" s="89"/>
      <c r="L1040" s="89"/>
      <c r="M1040" s="89"/>
      <c r="N1040" s="89"/>
      <c r="O1040" s="89"/>
      <c r="P1040" s="89"/>
      <c r="Q1040" s="89"/>
      <c r="R1040" s="89"/>
      <c r="S1040" s="89"/>
      <c r="T1040" s="89"/>
      <c r="U1040" s="89"/>
      <c r="V1040" s="89"/>
      <c r="W1040" s="89"/>
      <c r="X1040" s="89"/>
      <c r="Y1040" s="89"/>
      <c r="Z1040" s="89"/>
      <c r="AA1040" s="89"/>
      <c r="AB1040" s="89"/>
      <c r="AC1040" s="89"/>
      <c r="AD1040" s="89"/>
      <c r="AE1040" s="89"/>
      <c r="AF1040" s="89"/>
      <c r="AG1040" s="89"/>
      <c r="AH1040" s="89"/>
      <c r="AI1040" s="89"/>
      <c r="AJ1040" s="89"/>
      <c r="AK1040" s="89"/>
      <c r="AL1040" s="89"/>
      <c r="AM1040" s="89"/>
      <c r="AN1040" s="89"/>
      <c r="AO1040" s="89"/>
      <c r="AP1040" s="89"/>
      <c r="AQ1040" s="89"/>
      <c r="AR1040" s="89"/>
      <c r="AS1040" s="89"/>
      <c r="AT1040" s="89"/>
      <c r="AU1040" s="89"/>
      <c r="AV1040" s="89"/>
      <c r="AW1040" s="89"/>
      <c r="AX1040" s="89"/>
      <c r="AY1040" s="89"/>
      <c r="AZ1040" s="89"/>
      <c r="BA1040" s="95"/>
    </row>
    <row r="1041" spans="1:53" s="87" customFormat="1">
      <c r="A1041" s="90" t="str">
        <f t="shared" si="41"/>
        <v/>
      </c>
      <c r="B1041" s="89"/>
      <c r="C1041" s="89"/>
      <c r="D1041" s="89"/>
      <c r="E1041" s="89"/>
      <c r="F1041" s="89"/>
      <c r="G1041" s="89"/>
      <c r="H1041" s="89"/>
      <c r="I1041" s="89"/>
      <c r="J1041" s="89"/>
      <c r="K1041" s="89"/>
      <c r="L1041" s="89"/>
      <c r="M1041" s="89"/>
      <c r="N1041" s="89"/>
      <c r="O1041" s="89"/>
      <c r="P1041" s="89"/>
      <c r="Q1041" s="89"/>
      <c r="R1041" s="89"/>
      <c r="S1041" s="89"/>
      <c r="T1041" s="89"/>
      <c r="U1041" s="89"/>
      <c r="V1041" s="89"/>
      <c r="W1041" s="89"/>
      <c r="X1041" s="89"/>
      <c r="Y1041" s="89"/>
      <c r="Z1041" s="89"/>
      <c r="AA1041" s="89"/>
      <c r="AB1041" s="89"/>
      <c r="AC1041" s="89"/>
      <c r="AD1041" s="89"/>
      <c r="AE1041" s="89"/>
      <c r="AF1041" s="89"/>
      <c r="AG1041" s="89"/>
      <c r="AH1041" s="89"/>
      <c r="AI1041" s="89"/>
      <c r="AJ1041" s="89"/>
      <c r="AK1041" s="89"/>
      <c r="AL1041" s="89"/>
      <c r="AM1041" s="89"/>
      <c r="AN1041" s="89"/>
      <c r="AO1041" s="89"/>
      <c r="AP1041" s="89"/>
      <c r="AQ1041" s="89"/>
      <c r="AR1041" s="89"/>
      <c r="AS1041" s="89"/>
      <c r="AT1041" s="89"/>
      <c r="AU1041" s="89"/>
      <c r="AV1041" s="89"/>
      <c r="AW1041" s="89"/>
      <c r="AX1041" s="89"/>
      <c r="AY1041" s="89"/>
      <c r="AZ1041" s="89"/>
      <c r="BA1041" s="95"/>
    </row>
    <row r="1042" spans="1:53" s="87" customFormat="1">
      <c r="A1042" s="90" t="str">
        <f t="shared" si="41"/>
        <v/>
      </c>
      <c r="B1042" s="89"/>
      <c r="C1042" s="89"/>
      <c r="D1042" s="89"/>
      <c r="E1042" s="89"/>
      <c r="F1042" s="89"/>
      <c r="G1042" s="89"/>
      <c r="H1042" s="89"/>
      <c r="I1042" s="89"/>
      <c r="J1042" s="89"/>
      <c r="K1042" s="89"/>
      <c r="L1042" s="89"/>
      <c r="M1042" s="89"/>
      <c r="N1042" s="89"/>
      <c r="O1042" s="89"/>
      <c r="P1042" s="89"/>
      <c r="Q1042" s="89"/>
      <c r="R1042" s="89"/>
      <c r="S1042" s="89"/>
      <c r="T1042" s="89"/>
      <c r="U1042" s="89"/>
      <c r="V1042" s="89"/>
      <c r="W1042" s="89"/>
      <c r="X1042" s="89"/>
      <c r="Y1042" s="89"/>
      <c r="Z1042" s="89"/>
      <c r="AA1042" s="89"/>
      <c r="AB1042" s="89"/>
      <c r="AC1042" s="89"/>
      <c r="AD1042" s="89"/>
      <c r="AE1042" s="89"/>
      <c r="AF1042" s="89"/>
      <c r="AG1042" s="89"/>
      <c r="AH1042" s="89"/>
      <c r="AI1042" s="89"/>
      <c r="AJ1042" s="89"/>
      <c r="AK1042" s="89"/>
      <c r="AL1042" s="89"/>
      <c r="AM1042" s="89"/>
      <c r="AN1042" s="89"/>
      <c r="AO1042" s="89"/>
      <c r="AP1042" s="89"/>
      <c r="AQ1042" s="89"/>
      <c r="AR1042" s="89"/>
      <c r="AS1042" s="89"/>
      <c r="AT1042" s="89"/>
      <c r="AU1042" s="89"/>
      <c r="AV1042" s="89"/>
      <c r="AW1042" s="89"/>
      <c r="AX1042" s="89"/>
      <c r="AY1042" s="89"/>
      <c r="AZ1042" s="89"/>
      <c r="BA1042" s="95"/>
    </row>
    <row r="1043" spans="1:53" s="87" customFormat="1">
      <c r="A1043" s="90" t="str">
        <f t="shared" si="41"/>
        <v/>
      </c>
      <c r="B1043" s="89"/>
      <c r="C1043" s="89"/>
      <c r="D1043" s="89"/>
      <c r="E1043" s="89"/>
      <c r="F1043" s="89"/>
      <c r="G1043" s="89"/>
      <c r="H1043" s="89"/>
      <c r="I1043" s="89"/>
      <c r="J1043" s="89"/>
      <c r="K1043" s="89"/>
      <c r="L1043" s="89"/>
      <c r="M1043" s="89"/>
      <c r="N1043" s="89"/>
      <c r="O1043" s="89"/>
      <c r="P1043" s="89"/>
      <c r="Q1043" s="89"/>
      <c r="R1043" s="89"/>
      <c r="S1043" s="89"/>
      <c r="T1043" s="89"/>
      <c r="U1043" s="89"/>
      <c r="V1043" s="89"/>
      <c r="W1043" s="89"/>
      <c r="X1043" s="89"/>
      <c r="Y1043" s="89"/>
      <c r="Z1043" s="89"/>
      <c r="AA1043" s="89"/>
      <c r="AB1043" s="89"/>
      <c r="AC1043" s="89"/>
      <c r="AD1043" s="89"/>
      <c r="AE1043" s="89"/>
      <c r="AF1043" s="89"/>
      <c r="AG1043" s="89"/>
      <c r="AH1043" s="89"/>
      <c r="AI1043" s="89"/>
      <c r="AJ1043" s="89"/>
      <c r="AK1043" s="89"/>
      <c r="AL1043" s="89"/>
      <c r="AM1043" s="89"/>
      <c r="AN1043" s="89"/>
      <c r="AO1043" s="89"/>
      <c r="AP1043" s="89"/>
      <c r="AQ1043" s="89"/>
      <c r="AR1043" s="89"/>
      <c r="AS1043" s="89"/>
      <c r="AT1043" s="89"/>
      <c r="AU1043" s="89"/>
      <c r="AV1043" s="89"/>
      <c r="AW1043" s="89"/>
      <c r="AX1043" s="89"/>
      <c r="AY1043" s="89"/>
      <c r="AZ1043" s="89"/>
      <c r="BA1043" s="95"/>
    </row>
    <row r="1044" spans="1:53" s="87" customFormat="1">
      <c r="A1044" s="90" t="str">
        <f t="shared" si="41"/>
        <v/>
      </c>
      <c r="B1044" s="89"/>
      <c r="C1044" s="89"/>
      <c r="D1044" s="89"/>
      <c r="E1044" s="89"/>
      <c r="F1044" s="89"/>
      <c r="G1044" s="89"/>
      <c r="H1044" s="89"/>
      <c r="I1044" s="89"/>
      <c r="J1044" s="89"/>
      <c r="K1044" s="89"/>
      <c r="L1044" s="89"/>
      <c r="M1044" s="89"/>
      <c r="N1044" s="89"/>
      <c r="O1044" s="89"/>
      <c r="P1044" s="89"/>
      <c r="Q1044" s="89"/>
      <c r="R1044" s="89"/>
      <c r="S1044" s="89"/>
      <c r="T1044" s="89"/>
      <c r="U1044" s="89"/>
      <c r="V1044" s="89"/>
      <c r="W1044" s="89"/>
      <c r="X1044" s="89"/>
      <c r="Y1044" s="89"/>
      <c r="Z1044" s="89"/>
      <c r="AA1044" s="89"/>
      <c r="AB1044" s="89"/>
      <c r="AC1044" s="89"/>
      <c r="AD1044" s="89"/>
      <c r="AE1044" s="89"/>
      <c r="AF1044" s="89"/>
      <c r="AG1044" s="89"/>
      <c r="AH1044" s="89"/>
      <c r="AI1044" s="89"/>
      <c r="AJ1044" s="89"/>
      <c r="AK1044" s="89"/>
      <c r="AL1044" s="89"/>
      <c r="AM1044" s="89"/>
      <c r="AN1044" s="89"/>
      <c r="AO1044" s="89"/>
      <c r="AP1044" s="89"/>
      <c r="AQ1044" s="89"/>
      <c r="AR1044" s="89"/>
      <c r="AS1044" s="89"/>
      <c r="AT1044" s="89"/>
      <c r="AU1044" s="89"/>
      <c r="AV1044" s="89"/>
      <c r="AW1044" s="89"/>
      <c r="AX1044" s="89"/>
      <c r="AY1044" s="89"/>
      <c r="AZ1044" s="89"/>
      <c r="BA1044" s="95"/>
    </row>
    <row r="1045" spans="1:53" s="87" customFormat="1">
      <c r="A1045" s="90" t="str">
        <f t="shared" si="41"/>
        <v/>
      </c>
      <c r="B1045" s="89"/>
      <c r="C1045" s="89"/>
      <c r="D1045" s="89"/>
      <c r="E1045" s="89"/>
      <c r="F1045" s="89"/>
      <c r="G1045" s="89"/>
      <c r="H1045" s="89"/>
      <c r="I1045" s="89"/>
      <c r="J1045" s="89"/>
      <c r="K1045" s="89"/>
      <c r="L1045" s="89"/>
      <c r="M1045" s="89"/>
      <c r="N1045" s="89"/>
      <c r="O1045" s="89"/>
      <c r="P1045" s="89"/>
      <c r="Q1045" s="89"/>
      <c r="R1045" s="89"/>
      <c r="S1045" s="89"/>
      <c r="T1045" s="89"/>
      <c r="U1045" s="89"/>
      <c r="V1045" s="89"/>
      <c r="W1045" s="89"/>
      <c r="X1045" s="89"/>
      <c r="Y1045" s="89"/>
      <c r="Z1045" s="89"/>
      <c r="AA1045" s="89"/>
      <c r="AB1045" s="89"/>
      <c r="AC1045" s="89"/>
      <c r="AD1045" s="89"/>
      <c r="AE1045" s="89"/>
      <c r="AF1045" s="89"/>
      <c r="AG1045" s="89"/>
      <c r="AH1045" s="89"/>
      <c r="AI1045" s="89"/>
      <c r="AJ1045" s="89"/>
      <c r="AK1045" s="89"/>
      <c r="AL1045" s="89"/>
      <c r="AM1045" s="89"/>
      <c r="AN1045" s="89"/>
      <c r="AO1045" s="89"/>
      <c r="AP1045" s="89"/>
      <c r="AQ1045" s="89"/>
      <c r="AR1045" s="89"/>
      <c r="AS1045" s="89"/>
      <c r="AT1045" s="89"/>
      <c r="AU1045" s="89"/>
      <c r="AV1045" s="89"/>
      <c r="AW1045" s="89"/>
      <c r="AX1045" s="89"/>
      <c r="AY1045" s="89"/>
      <c r="AZ1045" s="89"/>
      <c r="BA1045" s="95"/>
    </row>
    <row r="1046" spans="1:53" s="87" customFormat="1">
      <c r="A1046" s="90" t="str">
        <f t="shared" si="41"/>
        <v/>
      </c>
      <c r="B1046" s="89"/>
      <c r="C1046" s="89"/>
      <c r="D1046" s="89"/>
      <c r="E1046" s="89"/>
      <c r="F1046" s="89"/>
      <c r="G1046" s="89"/>
      <c r="H1046" s="89"/>
      <c r="I1046" s="89"/>
      <c r="J1046" s="89"/>
      <c r="K1046" s="89"/>
      <c r="L1046" s="89"/>
      <c r="M1046" s="89"/>
      <c r="N1046" s="89"/>
      <c r="O1046" s="89"/>
      <c r="P1046" s="89"/>
      <c r="Q1046" s="89"/>
      <c r="R1046" s="89"/>
      <c r="S1046" s="89"/>
      <c r="T1046" s="89"/>
      <c r="U1046" s="89"/>
      <c r="V1046" s="89"/>
      <c r="W1046" s="89"/>
      <c r="X1046" s="89"/>
      <c r="Y1046" s="89"/>
      <c r="Z1046" s="89"/>
      <c r="AA1046" s="89"/>
      <c r="AB1046" s="89"/>
      <c r="AC1046" s="89"/>
      <c r="AD1046" s="89"/>
      <c r="AE1046" s="89"/>
      <c r="AF1046" s="89"/>
      <c r="AG1046" s="89"/>
      <c r="AH1046" s="89"/>
      <c r="AI1046" s="89"/>
      <c r="AJ1046" s="89"/>
      <c r="AK1046" s="89"/>
      <c r="AL1046" s="89"/>
      <c r="AM1046" s="89"/>
      <c r="AN1046" s="89"/>
      <c r="AO1046" s="89"/>
      <c r="AP1046" s="89"/>
      <c r="AQ1046" s="89"/>
      <c r="AR1046" s="89"/>
      <c r="AS1046" s="89"/>
      <c r="AT1046" s="89"/>
      <c r="AU1046" s="89"/>
      <c r="AV1046" s="89"/>
      <c r="AW1046" s="89"/>
      <c r="AX1046" s="89"/>
      <c r="AY1046" s="89"/>
      <c r="AZ1046" s="89"/>
      <c r="BA1046" s="95"/>
    </row>
    <row r="1047" spans="1:53" s="87" customFormat="1">
      <c r="A1047" s="90" t="str">
        <f t="shared" si="41"/>
        <v/>
      </c>
      <c r="B1047" s="89"/>
      <c r="C1047" s="89"/>
      <c r="D1047" s="89"/>
      <c r="E1047" s="89"/>
      <c r="F1047" s="89"/>
      <c r="G1047" s="89"/>
      <c r="H1047" s="89"/>
      <c r="I1047" s="89"/>
      <c r="J1047" s="89"/>
      <c r="K1047" s="89"/>
      <c r="L1047" s="89"/>
      <c r="M1047" s="89"/>
      <c r="N1047" s="89"/>
      <c r="O1047" s="89"/>
      <c r="P1047" s="89"/>
      <c r="Q1047" s="89"/>
      <c r="R1047" s="89"/>
      <c r="S1047" s="89"/>
      <c r="T1047" s="89"/>
      <c r="U1047" s="89"/>
      <c r="V1047" s="89"/>
      <c r="W1047" s="89"/>
      <c r="X1047" s="89"/>
      <c r="Y1047" s="89"/>
      <c r="Z1047" s="89"/>
      <c r="AA1047" s="89"/>
      <c r="AB1047" s="89"/>
      <c r="AC1047" s="89"/>
      <c r="AD1047" s="89"/>
      <c r="AE1047" s="89"/>
      <c r="AF1047" s="89"/>
      <c r="AG1047" s="89"/>
      <c r="AH1047" s="89"/>
      <c r="AI1047" s="89"/>
      <c r="AJ1047" s="89"/>
      <c r="AK1047" s="89"/>
      <c r="AL1047" s="89"/>
      <c r="AM1047" s="89"/>
      <c r="AN1047" s="89"/>
      <c r="AO1047" s="89"/>
      <c r="AP1047" s="89"/>
      <c r="AQ1047" s="89"/>
      <c r="AR1047" s="89"/>
      <c r="AS1047" s="89"/>
      <c r="AT1047" s="89"/>
      <c r="AU1047" s="89"/>
      <c r="AV1047" s="89"/>
      <c r="AW1047" s="89"/>
      <c r="AX1047" s="89"/>
      <c r="AY1047" s="89"/>
      <c r="AZ1047" s="89"/>
      <c r="BA1047" s="95"/>
    </row>
    <row r="1048" spans="1:53" s="87" customFormat="1">
      <c r="A1048" s="90" t="str">
        <f t="shared" si="41"/>
        <v/>
      </c>
      <c r="B1048" s="89"/>
      <c r="C1048" s="89"/>
      <c r="D1048" s="89"/>
      <c r="E1048" s="89"/>
      <c r="F1048" s="89"/>
      <c r="G1048" s="89"/>
      <c r="H1048" s="89"/>
      <c r="I1048" s="89"/>
      <c r="J1048" s="89"/>
      <c r="K1048" s="89"/>
      <c r="L1048" s="89"/>
      <c r="M1048" s="89"/>
      <c r="N1048" s="89"/>
      <c r="O1048" s="89"/>
      <c r="P1048" s="89"/>
      <c r="Q1048" s="89"/>
      <c r="R1048" s="89"/>
      <c r="S1048" s="89"/>
      <c r="T1048" s="89"/>
      <c r="U1048" s="89"/>
      <c r="V1048" s="89"/>
      <c r="W1048" s="89"/>
      <c r="X1048" s="89"/>
      <c r="Y1048" s="89"/>
      <c r="Z1048" s="89"/>
      <c r="AA1048" s="89"/>
      <c r="AB1048" s="89"/>
      <c r="AC1048" s="89"/>
      <c r="AD1048" s="89"/>
      <c r="AE1048" s="89"/>
      <c r="AF1048" s="89"/>
      <c r="AG1048" s="89"/>
      <c r="AH1048" s="89"/>
      <c r="AI1048" s="89"/>
      <c r="AJ1048" s="89"/>
      <c r="AK1048" s="89"/>
      <c r="AL1048" s="89"/>
      <c r="AM1048" s="89"/>
      <c r="AN1048" s="89"/>
      <c r="AO1048" s="89"/>
      <c r="AP1048" s="89"/>
      <c r="AQ1048" s="89"/>
      <c r="AR1048" s="89"/>
      <c r="AS1048" s="89"/>
      <c r="AT1048" s="89"/>
      <c r="AU1048" s="89"/>
      <c r="AV1048" s="89"/>
      <c r="AW1048" s="89"/>
      <c r="AX1048" s="89"/>
      <c r="AY1048" s="89"/>
      <c r="AZ1048" s="89"/>
      <c r="BA1048" s="95"/>
    </row>
    <row r="1049" spans="1:53" s="87" customFormat="1">
      <c r="A1049" s="90" t="str">
        <f t="shared" si="41"/>
        <v/>
      </c>
      <c r="B1049" s="89"/>
      <c r="C1049" s="89"/>
      <c r="D1049" s="89"/>
      <c r="E1049" s="89"/>
      <c r="F1049" s="89"/>
      <c r="G1049" s="89"/>
      <c r="H1049" s="89"/>
      <c r="I1049" s="89"/>
      <c r="J1049" s="89"/>
      <c r="K1049" s="89"/>
      <c r="L1049" s="89"/>
      <c r="M1049" s="89"/>
      <c r="N1049" s="89"/>
      <c r="O1049" s="89"/>
      <c r="P1049" s="89"/>
      <c r="Q1049" s="89"/>
      <c r="R1049" s="89"/>
      <c r="S1049" s="89"/>
      <c r="T1049" s="89"/>
      <c r="U1049" s="89"/>
      <c r="V1049" s="89"/>
      <c r="W1049" s="89"/>
      <c r="X1049" s="89"/>
      <c r="Y1049" s="89"/>
      <c r="Z1049" s="89"/>
      <c r="AA1049" s="89"/>
      <c r="AB1049" s="89"/>
      <c r="AC1049" s="89"/>
      <c r="AD1049" s="89"/>
      <c r="AE1049" s="89"/>
      <c r="AF1049" s="89"/>
      <c r="AG1049" s="89"/>
      <c r="AH1049" s="89"/>
      <c r="AI1049" s="89"/>
      <c r="AJ1049" s="89"/>
      <c r="AK1049" s="89"/>
      <c r="AL1049" s="89"/>
      <c r="AM1049" s="89"/>
      <c r="AN1049" s="89"/>
      <c r="AO1049" s="89"/>
      <c r="AP1049" s="89"/>
      <c r="AQ1049" s="89"/>
      <c r="AR1049" s="89"/>
      <c r="AS1049" s="89"/>
      <c r="AT1049" s="89"/>
      <c r="AU1049" s="89"/>
      <c r="AV1049" s="89"/>
      <c r="AW1049" s="89"/>
      <c r="AX1049" s="89"/>
      <c r="AY1049" s="89"/>
      <c r="AZ1049" s="89"/>
      <c r="BA1049" s="95"/>
    </row>
    <row r="1050" spans="1:53" s="87" customFormat="1">
      <c r="A1050" s="90" t="str">
        <f t="shared" si="41"/>
        <v/>
      </c>
      <c r="B1050" s="89"/>
      <c r="C1050" s="89"/>
      <c r="D1050" s="89"/>
      <c r="E1050" s="89"/>
      <c r="F1050" s="89"/>
      <c r="G1050" s="89"/>
      <c r="H1050" s="89"/>
      <c r="I1050" s="89"/>
      <c r="J1050" s="89"/>
      <c r="K1050" s="89"/>
      <c r="L1050" s="89"/>
      <c r="M1050" s="89"/>
      <c r="N1050" s="89"/>
      <c r="O1050" s="89"/>
      <c r="P1050" s="89"/>
      <c r="Q1050" s="89"/>
      <c r="R1050" s="89"/>
      <c r="S1050" s="89"/>
      <c r="T1050" s="89"/>
      <c r="U1050" s="89"/>
      <c r="V1050" s="89"/>
      <c r="W1050" s="89"/>
      <c r="X1050" s="89"/>
      <c r="Y1050" s="89"/>
      <c r="Z1050" s="89"/>
      <c r="AA1050" s="89"/>
      <c r="AB1050" s="89"/>
      <c r="AC1050" s="89"/>
      <c r="AD1050" s="89"/>
      <c r="AE1050" s="89"/>
      <c r="AF1050" s="89"/>
      <c r="AG1050" s="89"/>
      <c r="AH1050" s="89"/>
      <c r="AI1050" s="89"/>
      <c r="AJ1050" s="89"/>
      <c r="AK1050" s="89"/>
      <c r="AL1050" s="89"/>
      <c r="AM1050" s="89"/>
      <c r="AN1050" s="89"/>
      <c r="AO1050" s="89"/>
      <c r="AP1050" s="89"/>
      <c r="AQ1050" s="89"/>
      <c r="AR1050" s="89"/>
      <c r="AS1050" s="89"/>
      <c r="AT1050" s="89"/>
      <c r="AU1050" s="89"/>
      <c r="AV1050" s="89"/>
      <c r="AW1050" s="89"/>
      <c r="AX1050" s="89"/>
      <c r="AY1050" s="89"/>
      <c r="AZ1050" s="89"/>
      <c r="BA1050" s="95"/>
    </row>
    <row r="1051" spans="1:53" s="87" customFormat="1">
      <c r="A1051" s="90" t="str">
        <f t="shared" si="41"/>
        <v/>
      </c>
      <c r="B1051" s="89"/>
      <c r="C1051" s="89"/>
      <c r="D1051" s="89"/>
      <c r="E1051" s="89"/>
      <c r="F1051" s="89"/>
      <c r="G1051" s="89"/>
      <c r="H1051" s="89"/>
      <c r="I1051" s="89"/>
      <c r="J1051" s="89"/>
      <c r="K1051" s="89"/>
      <c r="L1051" s="89"/>
      <c r="M1051" s="89"/>
      <c r="N1051" s="89"/>
      <c r="O1051" s="89"/>
      <c r="P1051" s="89"/>
      <c r="Q1051" s="89"/>
      <c r="R1051" s="89"/>
      <c r="S1051" s="89"/>
      <c r="T1051" s="89"/>
      <c r="U1051" s="89"/>
      <c r="V1051" s="89"/>
      <c r="W1051" s="89"/>
      <c r="X1051" s="89"/>
      <c r="Y1051" s="89"/>
      <c r="Z1051" s="89"/>
      <c r="AA1051" s="89"/>
      <c r="AB1051" s="89"/>
      <c r="AC1051" s="89"/>
      <c r="AD1051" s="89"/>
      <c r="AE1051" s="89"/>
      <c r="AF1051" s="89"/>
      <c r="AG1051" s="89"/>
      <c r="AH1051" s="89"/>
      <c r="AI1051" s="89"/>
      <c r="AJ1051" s="89"/>
      <c r="AK1051" s="89"/>
      <c r="AL1051" s="89"/>
      <c r="AM1051" s="89"/>
      <c r="AN1051" s="89"/>
      <c r="AO1051" s="89"/>
      <c r="AP1051" s="89"/>
      <c r="AQ1051" s="89"/>
      <c r="AR1051" s="89"/>
      <c r="AS1051" s="89"/>
      <c r="AT1051" s="89"/>
      <c r="AU1051" s="89"/>
      <c r="AV1051" s="89"/>
      <c r="AW1051" s="89"/>
      <c r="AX1051" s="89"/>
      <c r="AY1051" s="89"/>
      <c r="AZ1051" s="89"/>
      <c r="BA1051" s="95"/>
    </row>
    <row r="1052" spans="1:53" s="87" customFormat="1">
      <c r="A1052" s="90" t="str">
        <f t="shared" si="41"/>
        <v/>
      </c>
      <c r="B1052" s="89"/>
      <c r="C1052" s="89"/>
      <c r="D1052" s="89"/>
      <c r="E1052" s="89"/>
      <c r="F1052" s="89"/>
      <c r="G1052" s="89"/>
      <c r="H1052" s="89"/>
      <c r="I1052" s="89"/>
      <c r="J1052" s="89"/>
      <c r="K1052" s="89"/>
      <c r="L1052" s="89"/>
      <c r="M1052" s="89"/>
      <c r="N1052" s="89"/>
      <c r="O1052" s="89"/>
      <c r="P1052" s="89"/>
      <c r="Q1052" s="89"/>
      <c r="R1052" s="89"/>
      <c r="S1052" s="89"/>
      <c r="T1052" s="89"/>
      <c r="U1052" s="89"/>
      <c r="V1052" s="89"/>
      <c r="W1052" s="89"/>
      <c r="X1052" s="89"/>
      <c r="Y1052" s="89"/>
      <c r="Z1052" s="89"/>
      <c r="AA1052" s="89"/>
      <c r="AB1052" s="89"/>
      <c r="AC1052" s="89"/>
      <c r="AD1052" s="89"/>
      <c r="AE1052" s="89"/>
      <c r="AF1052" s="89"/>
      <c r="AG1052" s="89"/>
      <c r="AH1052" s="89"/>
      <c r="AI1052" s="89"/>
      <c r="AJ1052" s="89"/>
      <c r="AK1052" s="89"/>
      <c r="AL1052" s="89"/>
      <c r="AM1052" s="89"/>
      <c r="AN1052" s="89"/>
      <c r="AO1052" s="89"/>
      <c r="AP1052" s="89"/>
      <c r="AQ1052" s="89"/>
      <c r="AR1052" s="89"/>
      <c r="AS1052" s="89"/>
      <c r="AT1052" s="89"/>
      <c r="AU1052" s="89"/>
      <c r="AV1052" s="89"/>
      <c r="AW1052" s="89"/>
      <c r="AX1052" s="89"/>
      <c r="AY1052" s="89"/>
      <c r="AZ1052" s="89"/>
      <c r="BA1052" s="95"/>
    </row>
    <row r="1053" spans="1:53" s="87" customFormat="1">
      <c r="A1053" s="90" t="str">
        <f t="shared" si="41"/>
        <v/>
      </c>
      <c r="B1053" s="89"/>
      <c r="C1053" s="89"/>
      <c r="D1053" s="89"/>
      <c r="E1053" s="89"/>
      <c r="F1053" s="89"/>
      <c r="G1053" s="89"/>
      <c r="H1053" s="89"/>
      <c r="I1053" s="89"/>
      <c r="J1053" s="89"/>
      <c r="K1053" s="89"/>
      <c r="L1053" s="89"/>
      <c r="M1053" s="89"/>
      <c r="N1053" s="89"/>
      <c r="O1053" s="89"/>
      <c r="P1053" s="89"/>
      <c r="Q1053" s="89"/>
      <c r="R1053" s="89"/>
      <c r="S1053" s="89"/>
      <c r="T1053" s="89"/>
      <c r="U1053" s="89"/>
      <c r="V1053" s="89"/>
      <c r="W1053" s="89"/>
      <c r="X1053" s="89"/>
      <c r="Y1053" s="89"/>
      <c r="Z1053" s="89"/>
      <c r="AA1053" s="89"/>
      <c r="AB1053" s="89"/>
      <c r="AC1053" s="89"/>
      <c r="AD1053" s="89"/>
      <c r="AE1053" s="89"/>
      <c r="AF1053" s="89"/>
      <c r="AG1053" s="89"/>
      <c r="AH1053" s="89"/>
      <c r="AI1053" s="89"/>
      <c r="AJ1053" s="89"/>
      <c r="AK1053" s="89"/>
      <c r="AL1053" s="89"/>
      <c r="AM1053" s="89"/>
      <c r="AN1053" s="89"/>
      <c r="AO1053" s="89"/>
      <c r="AP1053" s="89"/>
      <c r="AQ1053" s="89"/>
      <c r="AR1053" s="89"/>
      <c r="AS1053" s="89"/>
      <c r="AT1053" s="89"/>
      <c r="AU1053" s="89"/>
      <c r="AV1053" s="89"/>
      <c r="AW1053" s="89"/>
      <c r="AX1053" s="89"/>
      <c r="AY1053" s="89"/>
      <c r="AZ1053" s="89"/>
      <c r="BA1053" s="95"/>
    </row>
    <row r="1054" spans="1:53" s="87" customFormat="1">
      <c r="A1054" s="90" t="str">
        <f t="shared" si="41"/>
        <v/>
      </c>
      <c r="B1054" s="89"/>
      <c r="C1054" s="89"/>
      <c r="D1054" s="89"/>
      <c r="E1054" s="89"/>
      <c r="F1054" s="89"/>
      <c r="G1054" s="89"/>
      <c r="H1054" s="89"/>
      <c r="I1054" s="89"/>
      <c r="J1054" s="89"/>
      <c r="K1054" s="89"/>
      <c r="L1054" s="89"/>
      <c r="M1054" s="89"/>
      <c r="N1054" s="89"/>
      <c r="O1054" s="89"/>
      <c r="P1054" s="89"/>
      <c r="Q1054" s="89"/>
      <c r="R1054" s="89"/>
      <c r="S1054" s="89"/>
      <c r="T1054" s="89"/>
      <c r="U1054" s="89"/>
      <c r="V1054" s="89"/>
      <c r="W1054" s="89"/>
      <c r="X1054" s="89"/>
      <c r="Y1054" s="89"/>
      <c r="Z1054" s="89"/>
      <c r="AA1054" s="89"/>
      <c r="AB1054" s="89"/>
      <c r="AC1054" s="89"/>
      <c r="AD1054" s="89"/>
      <c r="AE1054" s="89"/>
      <c r="AF1054" s="89"/>
      <c r="AG1054" s="89"/>
      <c r="AH1054" s="89"/>
      <c r="AI1054" s="89"/>
      <c r="AJ1054" s="89"/>
      <c r="AK1054" s="89"/>
      <c r="AL1054" s="89"/>
      <c r="AM1054" s="89"/>
      <c r="AN1054" s="89"/>
      <c r="AO1054" s="89"/>
      <c r="AP1054" s="89"/>
      <c r="AQ1054" s="89"/>
      <c r="AR1054" s="89"/>
      <c r="AS1054" s="89"/>
      <c r="AT1054" s="89"/>
      <c r="AU1054" s="89"/>
      <c r="AV1054" s="89"/>
      <c r="AW1054" s="89"/>
      <c r="AX1054" s="89"/>
      <c r="AY1054" s="89"/>
      <c r="AZ1054" s="89"/>
      <c r="BA1054" s="95"/>
    </row>
    <row r="1055" spans="1:53" s="87" customFormat="1">
      <c r="A1055" s="90" t="str">
        <f t="shared" si="41"/>
        <v/>
      </c>
      <c r="B1055" s="89"/>
      <c r="C1055" s="89"/>
      <c r="D1055" s="89"/>
      <c r="E1055" s="89"/>
      <c r="F1055" s="89"/>
      <c r="G1055" s="89"/>
      <c r="H1055" s="89"/>
      <c r="I1055" s="89"/>
      <c r="J1055" s="89"/>
      <c r="K1055" s="89"/>
      <c r="L1055" s="89"/>
      <c r="M1055" s="89"/>
      <c r="N1055" s="89"/>
      <c r="O1055" s="89"/>
      <c r="P1055" s="89"/>
      <c r="Q1055" s="89"/>
      <c r="R1055" s="89"/>
      <c r="S1055" s="89"/>
      <c r="T1055" s="89"/>
      <c r="U1055" s="89"/>
      <c r="V1055" s="89"/>
      <c r="W1055" s="89"/>
      <c r="X1055" s="89"/>
      <c r="Y1055" s="89"/>
      <c r="Z1055" s="89"/>
      <c r="AA1055" s="89"/>
      <c r="AB1055" s="89"/>
      <c r="AC1055" s="89"/>
      <c r="AD1055" s="89"/>
      <c r="AE1055" s="89"/>
      <c r="AF1055" s="89"/>
      <c r="AG1055" s="89"/>
      <c r="AH1055" s="89"/>
      <c r="AI1055" s="89"/>
      <c r="AJ1055" s="89"/>
      <c r="AK1055" s="89"/>
      <c r="AL1055" s="89"/>
      <c r="AM1055" s="89"/>
      <c r="AN1055" s="89"/>
      <c r="AO1055" s="89"/>
      <c r="AP1055" s="89"/>
      <c r="AQ1055" s="89"/>
      <c r="AR1055" s="89"/>
      <c r="AS1055" s="89"/>
      <c r="AT1055" s="89"/>
      <c r="AU1055" s="89"/>
      <c r="AV1055" s="89"/>
      <c r="AW1055" s="89"/>
      <c r="AX1055" s="89"/>
      <c r="AY1055" s="89"/>
      <c r="AZ1055" s="89"/>
      <c r="BA1055" s="95"/>
    </row>
    <row r="1056" spans="1:53" s="87" customFormat="1">
      <c r="A1056" s="90" t="str">
        <f t="shared" si="41"/>
        <v/>
      </c>
      <c r="B1056" s="89"/>
      <c r="C1056" s="89"/>
      <c r="D1056" s="89"/>
      <c r="E1056" s="89"/>
      <c r="F1056" s="89"/>
      <c r="G1056" s="89"/>
      <c r="H1056" s="89"/>
      <c r="I1056" s="89"/>
      <c r="J1056" s="89"/>
      <c r="K1056" s="89"/>
      <c r="L1056" s="89"/>
      <c r="M1056" s="89"/>
      <c r="N1056" s="89"/>
      <c r="O1056" s="89"/>
      <c r="P1056" s="89"/>
      <c r="Q1056" s="89"/>
      <c r="R1056" s="89"/>
      <c r="S1056" s="89"/>
      <c r="T1056" s="89"/>
      <c r="U1056" s="89"/>
      <c r="V1056" s="89"/>
      <c r="W1056" s="89"/>
      <c r="X1056" s="89"/>
      <c r="Y1056" s="89"/>
      <c r="Z1056" s="89"/>
      <c r="AA1056" s="89"/>
      <c r="AB1056" s="89"/>
      <c r="AC1056" s="89"/>
      <c r="AD1056" s="89"/>
      <c r="AE1056" s="89"/>
      <c r="AF1056" s="89"/>
      <c r="AG1056" s="89"/>
      <c r="AH1056" s="89"/>
      <c r="AI1056" s="89"/>
      <c r="AJ1056" s="89"/>
      <c r="AK1056" s="89"/>
      <c r="AL1056" s="89"/>
      <c r="AM1056" s="89"/>
      <c r="AN1056" s="89"/>
      <c r="AO1056" s="89"/>
      <c r="AP1056" s="89"/>
      <c r="AQ1056" s="89"/>
      <c r="AR1056" s="89"/>
      <c r="AS1056" s="89"/>
      <c r="AT1056" s="89"/>
      <c r="AU1056" s="89"/>
      <c r="AV1056" s="89"/>
      <c r="AW1056" s="89"/>
      <c r="AX1056" s="89"/>
      <c r="AY1056" s="89"/>
      <c r="AZ1056" s="89"/>
      <c r="BA1056" s="95"/>
    </row>
    <row r="1057" spans="1:53" s="87" customFormat="1">
      <c r="A1057" s="90" t="str">
        <f t="shared" si="41"/>
        <v/>
      </c>
      <c r="B1057" s="89"/>
      <c r="C1057" s="89"/>
      <c r="D1057" s="89"/>
      <c r="E1057" s="89"/>
      <c r="F1057" s="89"/>
      <c r="G1057" s="89"/>
      <c r="H1057" s="89"/>
      <c r="I1057" s="89"/>
      <c r="J1057" s="89"/>
      <c r="K1057" s="89"/>
      <c r="L1057" s="89"/>
      <c r="M1057" s="89"/>
      <c r="N1057" s="89"/>
      <c r="O1057" s="89"/>
      <c r="P1057" s="89"/>
      <c r="Q1057" s="89"/>
      <c r="R1057" s="89"/>
      <c r="S1057" s="89"/>
      <c r="T1057" s="89"/>
      <c r="U1057" s="89"/>
      <c r="V1057" s="89"/>
      <c r="W1057" s="89"/>
      <c r="X1057" s="89"/>
      <c r="Y1057" s="89"/>
      <c r="Z1057" s="89"/>
      <c r="AA1057" s="89"/>
      <c r="AB1057" s="89"/>
      <c r="AC1057" s="89"/>
      <c r="AD1057" s="89"/>
      <c r="AE1057" s="89"/>
      <c r="AF1057" s="89"/>
      <c r="AG1057" s="89"/>
      <c r="AH1057" s="89"/>
      <c r="AI1057" s="89"/>
      <c r="AJ1057" s="89"/>
      <c r="AK1057" s="89"/>
      <c r="AL1057" s="89"/>
      <c r="AM1057" s="89"/>
      <c r="AN1057" s="89"/>
      <c r="AO1057" s="89"/>
      <c r="AP1057" s="89"/>
      <c r="AQ1057" s="89"/>
      <c r="AR1057" s="89"/>
      <c r="AS1057" s="89"/>
      <c r="AT1057" s="89"/>
      <c r="AU1057" s="89"/>
      <c r="AV1057" s="89"/>
      <c r="AW1057" s="89"/>
      <c r="AX1057" s="89"/>
      <c r="AY1057" s="89"/>
      <c r="AZ1057" s="89"/>
      <c r="BA1057" s="95"/>
    </row>
    <row r="1058" spans="1:53" s="87" customFormat="1">
      <c r="A1058" s="90" t="str">
        <f t="shared" si="41"/>
        <v/>
      </c>
      <c r="B1058" s="89"/>
      <c r="C1058" s="89"/>
      <c r="D1058" s="89"/>
      <c r="E1058" s="89"/>
      <c r="F1058" s="89"/>
      <c r="G1058" s="89"/>
      <c r="H1058" s="89"/>
      <c r="I1058" s="89"/>
      <c r="J1058" s="89"/>
      <c r="K1058" s="89"/>
      <c r="L1058" s="89"/>
      <c r="M1058" s="89"/>
      <c r="N1058" s="89"/>
      <c r="O1058" s="89"/>
      <c r="P1058" s="89"/>
      <c r="Q1058" s="89"/>
      <c r="R1058" s="89"/>
      <c r="S1058" s="89"/>
      <c r="T1058" s="89"/>
      <c r="U1058" s="89"/>
      <c r="V1058" s="89"/>
      <c r="W1058" s="89"/>
      <c r="X1058" s="89"/>
      <c r="Y1058" s="89"/>
      <c r="Z1058" s="89"/>
      <c r="AA1058" s="89"/>
      <c r="AB1058" s="89"/>
      <c r="AC1058" s="89"/>
      <c r="AD1058" s="89"/>
      <c r="AE1058" s="89"/>
      <c r="AF1058" s="89"/>
      <c r="AG1058" s="89"/>
      <c r="AH1058" s="89"/>
      <c r="AI1058" s="89"/>
      <c r="AJ1058" s="89"/>
      <c r="AK1058" s="89"/>
      <c r="AL1058" s="89"/>
      <c r="AM1058" s="89"/>
      <c r="AN1058" s="89"/>
      <c r="AO1058" s="89"/>
      <c r="AP1058" s="89"/>
      <c r="AQ1058" s="89"/>
      <c r="AR1058" s="89"/>
      <c r="AS1058" s="89"/>
      <c r="AT1058" s="89"/>
      <c r="AU1058" s="89"/>
      <c r="AV1058" s="89"/>
      <c r="AW1058" s="89"/>
      <c r="AX1058" s="89"/>
      <c r="AY1058" s="89"/>
      <c r="AZ1058" s="89"/>
      <c r="BA1058" s="95"/>
    </row>
    <row r="1059" spans="1:53" s="87" customFormat="1">
      <c r="A1059" s="90" t="str">
        <f t="shared" si="41"/>
        <v/>
      </c>
      <c r="B1059" s="89"/>
      <c r="C1059" s="89"/>
      <c r="D1059" s="89"/>
      <c r="E1059" s="89"/>
      <c r="F1059" s="89"/>
      <c r="G1059" s="89"/>
      <c r="H1059" s="89"/>
      <c r="I1059" s="89"/>
      <c r="J1059" s="89"/>
      <c r="K1059" s="89"/>
      <c r="L1059" s="89"/>
      <c r="M1059" s="89"/>
      <c r="N1059" s="89"/>
      <c r="O1059" s="89"/>
      <c r="P1059" s="89"/>
      <c r="Q1059" s="89"/>
      <c r="R1059" s="89"/>
      <c r="S1059" s="89"/>
      <c r="T1059" s="89"/>
      <c r="U1059" s="89"/>
      <c r="V1059" s="89"/>
      <c r="W1059" s="89"/>
      <c r="X1059" s="89"/>
      <c r="Y1059" s="89"/>
      <c r="Z1059" s="89"/>
      <c r="AA1059" s="89"/>
      <c r="AB1059" s="89"/>
      <c r="AC1059" s="89"/>
      <c r="AD1059" s="89"/>
      <c r="AE1059" s="89"/>
      <c r="AF1059" s="89"/>
      <c r="AG1059" s="89"/>
      <c r="AH1059" s="89"/>
      <c r="AI1059" s="89"/>
      <c r="AJ1059" s="89"/>
      <c r="AK1059" s="89"/>
      <c r="AL1059" s="89"/>
      <c r="AM1059" s="89"/>
      <c r="AN1059" s="89"/>
      <c r="AO1059" s="89"/>
      <c r="AP1059" s="89"/>
      <c r="AQ1059" s="89"/>
      <c r="AR1059" s="89"/>
      <c r="AS1059" s="89"/>
      <c r="AT1059" s="89"/>
      <c r="AU1059" s="89"/>
      <c r="AV1059" s="89"/>
      <c r="AW1059" s="89"/>
      <c r="AX1059" s="89"/>
      <c r="AY1059" s="89"/>
      <c r="AZ1059" s="89"/>
      <c r="BA1059" s="95"/>
    </row>
    <row r="1060" spans="1:53" s="87" customFormat="1">
      <c r="A1060" s="90" t="str">
        <f t="shared" si="41"/>
        <v/>
      </c>
      <c r="B1060" s="89"/>
      <c r="C1060" s="89"/>
      <c r="D1060" s="89"/>
      <c r="E1060" s="89"/>
      <c r="F1060" s="89"/>
      <c r="G1060" s="89"/>
      <c r="H1060" s="89"/>
      <c r="I1060" s="89"/>
      <c r="J1060" s="89"/>
      <c r="K1060" s="89"/>
      <c r="L1060" s="89"/>
      <c r="M1060" s="89"/>
      <c r="N1060" s="89"/>
      <c r="O1060" s="89"/>
      <c r="P1060" s="89"/>
      <c r="Q1060" s="89"/>
      <c r="R1060" s="89"/>
      <c r="S1060" s="89"/>
      <c r="T1060" s="89"/>
      <c r="U1060" s="89"/>
      <c r="V1060" s="89"/>
      <c r="W1060" s="89"/>
      <c r="X1060" s="89"/>
      <c r="Y1060" s="89"/>
      <c r="Z1060" s="89"/>
      <c r="AA1060" s="89"/>
      <c r="AB1060" s="89"/>
      <c r="AC1060" s="89"/>
      <c r="AD1060" s="89"/>
      <c r="AE1060" s="89"/>
      <c r="AF1060" s="89"/>
      <c r="AG1060" s="89"/>
      <c r="AH1060" s="89"/>
      <c r="AI1060" s="89"/>
      <c r="AJ1060" s="89"/>
      <c r="AK1060" s="89"/>
      <c r="AL1060" s="89"/>
      <c r="AM1060" s="89"/>
      <c r="AN1060" s="89"/>
      <c r="AO1060" s="89"/>
      <c r="AP1060" s="89"/>
      <c r="AQ1060" s="89"/>
      <c r="AR1060" s="89"/>
      <c r="AS1060" s="89"/>
      <c r="AT1060" s="89"/>
      <c r="AU1060" s="89"/>
      <c r="AV1060" s="89"/>
      <c r="AW1060" s="89"/>
      <c r="AX1060" s="89"/>
      <c r="AY1060" s="89"/>
      <c r="AZ1060" s="89"/>
      <c r="BA1060" s="95"/>
    </row>
    <row r="1061" spans="1:53" s="87" customFormat="1">
      <c r="A1061" s="90" t="str">
        <f t="shared" si="41"/>
        <v/>
      </c>
      <c r="B1061" s="89"/>
      <c r="C1061" s="89"/>
      <c r="D1061" s="89"/>
      <c r="E1061" s="89"/>
      <c r="F1061" s="89"/>
      <c r="G1061" s="89"/>
      <c r="H1061" s="89"/>
      <c r="I1061" s="89"/>
      <c r="J1061" s="89"/>
      <c r="K1061" s="89"/>
      <c r="L1061" s="89"/>
      <c r="M1061" s="89"/>
      <c r="N1061" s="89"/>
      <c r="O1061" s="89"/>
      <c r="P1061" s="89"/>
      <c r="Q1061" s="89"/>
      <c r="R1061" s="89"/>
      <c r="S1061" s="89"/>
      <c r="T1061" s="89"/>
      <c r="U1061" s="89"/>
      <c r="V1061" s="89"/>
      <c r="W1061" s="89"/>
      <c r="X1061" s="89"/>
      <c r="Y1061" s="89"/>
      <c r="Z1061" s="89"/>
      <c r="AA1061" s="89"/>
      <c r="AB1061" s="89"/>
      <c r="AC1061" s="89"/>
      <c r="AD1061" s="89"/>
      <c r="AE1061" s="89"/>
      <c r="AF1061" s="89"/>
      <c r="AG1061" s="89"/>
      <c r="AH1061" s="89"/>
      <c r="AI1061" s="89"/>
      <c r="AJ1061" s="89"/>
      <c r="AK1061" s="89"/>
      <c r="AL1061" s="89"/>
      <c r="AM1061" s="89"/>
      <c r="AN1061" s="89"/>
      <c r="AO1061" s="89"/>
      <c r="AP1061" s="89"/>
      <c r="AQ1061" s="89"/>
      <c r="AR1061" s="89"/>
      <c r="AS1061" s="89"/>
      <c r="AT1061" s="89"/>
      <c r="AU1061" s="89"/>
      <c r="AV1061" s="89"/>
      <c r="AW1061" s="89"/>
      <c r="AX1061" s="89"/>
      <c r="AY1061" s="89"/>
      <c r="AZ1061" s="89"/>
      <c r="BA1061" s="95"/>
    </row>
    <row r="1062" spans="1:53" s="87" customFormat="1">
      <c r="A1062" s="90" t="str">
        <f t="shared" si="41"/>
        <v/>
      </c>
      <c r="B1062" s="89"/>
      <c r="C1062" s="89"/>
      <c r="D1062" s="89"/>
      <c r="E1062" s="89"/>
      <c r="F1062" s="89"/>
      <c r="G1062" s="89"/>
      <c r="H1062" s="89"/>
      <c r="I1062" s="89"/>
      <c r="J1062" s="89"/>
      <c r="K1062" s="89"/>
      <c r="L1062" s="89"/>
      <c r="M1062" s="89"/>
      <c r="N1062" s="89"/>
      <c r="O1062" s="89"/>
      <c r="P1062" s="89"/>
      <c r="Q1062" s="89"/>
      <c r="R1062" s="89"/>
      <c r="S1062" s="89"/>
      <c r="T1062" s="89"/>
      <c r="U1062" s="89"/>
      <c r="V1062" s="89"/>
      <c r="W1062" s="89"/>
      <c r="X1062" s="89"/>
      <c r="Y1062" s="89"/>
      <c r="Z1062" s="89"/>
      <c r="AA1062" s="89"/>
      <c r="AB1062" s="89"/>
      <c r="AC1062" s="89"/>
      <c r="AD1062" s="89"/>
      <c r="AE1062" s="89"/>
      <c r="AF1062" s="89"/>
      <c r="AG1062" s="89"/>
      <c r="AH1062" s="89"/>
      <c r="AI1062" s="89"/>
      <c r="AJ1062" s="89"/>
      <c r="AK1062" s="89"/>
      <c r="AL1062" s="89"/>
      <c r="AM1062" s="89"/>
      <c r="AN1062" s="89"/>
      <c r="AO1062" s="89"/>
      <c r="AP1062" s="89"/>
      <c r="AQ1062" s="89"/>
      <c r="AR1062" s="89"/>
      <c r="AS1062" s="89"/>
      <c r="AT1062" s="89"/>
      <c r="AU1062" s="89"/>
      <c r="AV1062" s="89"/>
      <c r="AW1062" s="89"/>
      <c r="AX1062" s="89"/>
      <c r="AY1062" s="89"/>
      <c r="AZ1062" s="89"/>
      <c r="BA1062" s="95"/>
    </row>
    <row r="1063" spans="1:53" s="87" customFormat="1">
      <c r="A1063" s="90" t="str">
        <f t="shared" si="41"/>
        <v/>
      </c>
      <c r="B1063" s="89"/>
      <c r="C1063" s="89"/>
      <c r="D1063" s="89"/>
      <c r="E1063" s="89"/>
      <c r="F1063" s="89"/>
      <c r="G1063" s="89"/>
      <c r="H1063" s="89"/>
      <c r="I1063" s="89"/>
      <c r="J1063" s="89"/>
      <c r="K1063" s="89"/>
      <c r="L1063" s="89"/>
      <c r="M1063" s="89"/>
      <c r="N1063" s="89"/>
      <c r="O1063" s="89"/>
      <c r="P1063" s="89"/>
      <c r="Q1063" s="89"/>
      <c r="R1063" s="89"/>
      <c r="S1063" s="89"/>
      <c r="T1063" s="89"/>
      <c r="U1063" s="89"/>
      <c r="V1063" s="89"/>
      <c r="W1063" s="89"/>
      <c r="X1063" s="89"/>
      <c r="Y1063" s="89"/>
      <c r="Z1063" s="89"/>
      <c r="AA1063" s="89"/>
      <c r="AB1063" s="89"/>
      <c r="AC1063" s="89"/>
      <c r="AD1063" s="89"/>
      <c r="AE1063" s="89"/>
      <c r="AF1063" s="89"/>
      <c r="AG1063" s="89"/>
      <c r="AH1063" s="89"/>
      <c r="AI1063" s="89"/>
      <c r="AJ1063" s="89"/>
      <c r="AK1063" s="89"/>
      <c r="AL1063" s="89"/>
      <c r="AM1063" s="89"/>
      <c r="AN1063" s="89"/>
      <c r="AO1063" s="89"/>
      <c r="AP1063" s="89"/>
      <c r="AQ1063" s="89"/>
      <c r="AR1063" s="89"/>
      <c r="AS1063" s="89"/>
      <c r="AT1063" s="89"/>
      <c r="AU1063" s="89"/>
      <c r="AV1063" s="89"/>
      <c r="AW1063" s="89"/>
      <c r="AX1063" s="89"/>
      <c r="AY1063" s="89"/>
      <c r="AZ1063" s="89"/>
      <c r="BA1063" s="95"/>
    </row>
    <row r="1064" spans="1:53" s="87" customFormat="1">
      <c r="A1064" s="90" t="str">
        <f t="shared" si="41"/>
        <v/>
      </c>
      <c r="B1064" s="89"/>
      <c r="C1064" s="89"/>
      <c r="D1064" s="89"/>
      <c r="E1064" s="89"/>
      <c r="F1064" s="89"/>
      <c r="G1064" s="89"/>
      <c r="H1064" s="89"/>
      <c r="I1064" s="89"/>
      <c r="J1064" s="89"/>
      <c r="K1064" s="89"/>
      <c r="L1064" s="89"/>
      <c r="M1064" s="89"/>
      <c r="N1064" s="89"/>
      <c r="O1064" s="89"/>
      <c r="P1064" s="89"/>
      <c r="Q1064" s="89"/>
      <c r="R1064" s="89"/>
      <c r="S1064" s="89"/>
      <c r="T1064" s="89"/>
      <c r="U1064" s="89"/>
      <c r="V1064" s="89"/>
      <c r="W1064" s="89"/>
      <c r="X1064" s="89"/>
      <c r="Y1064" s="89"/>
      <c r="Z1064" s="89"/>
      <c r="AA1064" s="89"/>
      <c r="AB1064" s="89"/>
      <c r="AC1064" s="89"/>
      <c r="AD1064" s="89"/>
      <c r="AE1064" s="89"/>
      <c r="AF1064" s="89"/>
      <c r="AG1064" s="89"/>
      <c r="AH1064" s="89"/>
      <c r="AI1064" s="89"/>
      <c r="AJ1064" s="89"/>
      <c r="AK1064" s="89"/>
      <c r="AL1064" s="89"/>
      <c r="AM1064" s="89"/>
      <c r="AN1064" s="89"/>
      <c r="AO1064" s="89"/>
      <c r="AP1064" s="89"/>
      <c r="AQ1064" s="89"/>
      <c r="AR1064" s="89"/>
      <c r="AS1064" s="89"/>
      <c r="AT1064" s="89"/>
      <c r="AU1064" s="89"/>
      <c r="AV1064" s="89"/>
      <c r="AW1064" s="89"/>
      <c r="AX1064" s="89"/>
      <c r="AY1064" s="89"/>
      <c r="AZ1064" s="89"/>
      <c r="BA1064" s="95"/>
    </row>
    <row r="1065" spans="1:53" s="87" customFormat="1">
      <c r="A1065" s="90" t="str">
        <f t="shared" si="41"/>
        <v/>
      </c>
      <c r="B1065" s="89"/>
      <c r="C1065" s="89"/>
      <c r="D1065" s="89"/>
      <c r="E1065" s="89"/>
      <c r="F1065" s="89"/>
      <c r="G1065" s="89"/>
      <c r="H1065" s="89"/>
      <c r="I1065" s="89"/>
      <c r="J1065" s="89"/>
      <c r="K1065" s="89"/>
      <c r="L1065" s="89"/>
      <c r="M1065" s="89"/>
      <c r="N1065" s="89"/>
      <c r="O1065" s="89"/>
      <c r="P1065" s="89"/>
      <c r="Q1065" s="89"/>
      <c r="R1065" s="89"/>
      <c r="S1065" s="89"/>
      <c r="T1065" s="89"/>
      <c r="U1065" s="89"/>
      <c r="V1065" s="89"/>
      <c r="W1065" s="89"/>
      <c r="X1065" s="89"/>
      <c r="Y1065" s="89"/>
      <c r="Z1065" s="89"/>
      <c r="AA1065" s="89"/>
      <c r="AB1065" s="89"/>
      <c r="AC1065" s="89"/>
      <c r="AD1065" s="89"/>
      <c r="AE1065" s="89"/>
      <c r="AF1065" s="89"/>
      <c r="AG1065" s="89"/>
      <c r="AH1065" s="89"/>
      <c r="AI1065" s="89"/>
      <c r="AJ1065" s="89"/>
      <c r="AK1065" s="89"/>
      <c r="AL1065" s="89"/>
      <c r="AM1065" s="89"/>
      <c r="AN1065" s="89"/>
      <c r="AO1065" s="89"/>
      <c r="AP1065" s="89"/>
      <c r="AQ1065" s="89"/>
      <c r="AR1065" s="89"/>
      <c r="AS1065" s="89"/>
      <c r="AT1065" s="89"/>
      <c r="AU1065" s="89"/>
      <c r="AV1065" s="89"/>
      <c r="AW1065" s="89"/>
      <c r="AX1065" s="89"/>
      <c r="AY1065" s="89"/>
      <c r="AZ1065" s="89"/>
      <c r="BA1065" s="95"/>
    </row>
    <row r="1066" spans="1:53" s="87" customFormat="1">
      <c r="A1066" s="90" t="str">
        <f t="shared" si="41"/>
        <v/>
      </c>
      <c r="B1066" s="89"/>
      <c r="C1066" s="89"/>
      <c r="D1066" s="89"/>
      <c r="E1066" s="89"/>
      <c r="F1066" s="89"/>
      <c r="G1066" s="89"/>
      <c r="H1066" s="89"/>
      <c r="I1066" s="89"/>
      <c r="J1066" s="89"/>
      <c r="K1066" s="89"/>
      <c r="L1066" s="89"/>
      <c r="M1066" s="89"/>
      <c r="N1066" s="89"/>
      <c r="O1066" s="89"/>
      <c r="P1066" s="89"/>
      <c r="Q1066" s="89"/>
      <c r="R1066" s="89"/>
      <c r="S1066" s="89"/>
      <c r="T1066" s="89"/>
      <c r="U1066" s="89"/>
      <c r="V1066" s="89"/>
      <c r="W1066" s="89"/>
      <c r="X1066" s="89"/>
      <c r="Y1066" s="89"/>
      <c r="Z1066" s="89"/>
      <c r="AA1066" s="89"/>
      <c r="AB1066" s="89"/>
      <c r="AC1066" s="89"/>
      <c r="AD1066" s="89"/>
      <c r="AE1066" s="89"/>
      <c r="AF1066" s="89"/>
      <c r="AG1066" s="89"/>
      <c r="AH1066" s="89"/>
      <c r="AI1066" s="89"/>
      <c r="AJ1066" s="89"/>
      <c r="AK1066" s="89"/>
      <c r="AL1066" s="89"/>
      <c r="AM1066" s="89"/>
      <c r="AN1066" s="89"/>
      <c r="AO1066" s="89"/>
      <c r="AP1066" s="89"/>
      <c r="AQ1066" s="89"/>
      <c r="AR1066" s="89"/>
      <c r="AS1066" s="89"/>
      <c r="AT1066" s="89"/>
      <c r="AU1066" s="89"/>
      <c r="AV1066" s="89"/>
      <c r="AW1066" s="89"/>
      <c r="AX1066" s="89"/>
      <c r="AY1066" s="89"/>
      <c r="AZ1066" s="89"/>
      <c r="BA1066" s="95"/>
    </row>
    <row r="1067" spans="1:53" s="87" customFormat="1">
      <c r="A1067" s="90" t="str">
        <f t="shared" si="41"/>
        <v/>
      </c>
      <c r="B1067" s="89"/>
      <c r="C1067" s="89"/>
      <c r="D1067" s="89"/>
      <c r="E1067" s="89"/>
      <c r="F1067" s="89"/>
      <c r="G1067" s="89"/>
      <c r="H1067" s="89"/>
      <c r="I1067" s="89"/>
      <c r="J1067" s="89"/>
      <c r="K1067" s="89"/>
      <c r="L1067" s="89"/>
      <c r="M1067" s="89"/>
      <c r="N1067" s="89"/>
      <c r="O1067" s="89"/>
      <c r="P1067" s="89"/>
      <c r="Q1067" s="89"/>
      <c r="R1067" s="89"/>
      <c r="S1067" s="89"/>
      <c r="T1067" s="89"/>
      <c r="U1067" s="89"/>
      <c r="V1067" s="89"/>
      <c r="W1067" s="89"/>
      <c r="X1067" s="89"/>
      <c r="Y1067" s="89"/>
      <c r="Z1067" s="89"/>
      <c r="AA1067" s="89"/>
      <c r="AB1067" s="89"/>
      <c r="AC1067" s="89"/>
      <c r="AD1067" s="89"/>
      <c r="AE1067" s="89"/>
      <c r="AF1067" s="89"/>
      <c r="AG1067" s="89"/>
      <c r="AH1067" s="89"/>
      <c r="AI1067" s="89"/>
      <c r="AJ1067" s="89"/>
      <c r="AK1067" s="89"/>
      <c r="AL1067" s="89"/>
      <c r="AM1067" s="89"/>
      <c r="AN1067" s="89"/>
      <c r="AO1067" s="89"/>
      <c r="AP1067" s="89"/>
      <c r="AQ1067" s="89"/>
      <c r="AR1067" s="89"/>
      <c r="AS1067" s="89"/>
      <c r="AT1067" s="89"/>
      <c r="AU1067" s="89"/>
      <c r="AV1067" s="89"/>
      <c r="AW1067" s="89"/>
      <c r="AX1067" s="89"/>
      <c r="AY1067" s="89"/>
      <c r="AZ1067" s="89"/>
      <c r="BA1067" s="95"/>
    </row>
    <row r="1068" spans="1:53" s="87" customFormat="1">
      <c r="A1068" s="90" t="str">
        <f t="shared" si="41"/>
        <v/>
      </c>
      <c r="B1068" s="89"/>
      <c r="C1068" s="89"/>
      <c r="D1068" s="89"/>
      <c r="E1068" s="89"/>
      <c r="F1068" s="89"/>
      <c r="G1068" s="89"/>
      <c r="H1068" s="89"/>
      <c r="I1068" s="89"/>
      <c r="J1068" s="89"/>
      <c r="K1068" s="89"/>
      <c r="L1068" s="89"/>
      <c r="M1068" s="89"/>
      <c r="N1068" s="89"/>
      <c r="O1068" s="89"/>
      <c r="P1068" s="89"/>
      <c r="Q1068" s="89"/>
      <c r="R1068" s="89"/>
      <c r="S1068" s="89"/>
      <c r="T1068" s="89"/>
      <c r="U1068" s="89"/>
      <c r="V1068" s="89"/>
      <c r="W1068" s="89"/>
      <c r="X1068" s="89"/>
      <c r="Y1068" s="89"/>
      <c r="Z1068" s="89"/>
      <c r="AA1068" s="89"/>
      <c r="AB1068" s="89"/>
      <c r="AC1068" s="89"/>
      <c r="AD1068" s="89"/>
      <c r="AE1068" s="89"/>
      <c r="AF1068" s="89"/>
      <c r="AG1068" s="89"/>
      <c r="AH1068" s="89"/>
      <c r="AI1068" s="89"/>
      <c r="AJ1068" s="89"/>
      <c r="AK1068" s="89"/>
      <c r="AL1068" s="89"/>
      <c r="AM1068" s="89"/>
      <c r="AN1068" s="89"/>
      <c r="AO1068" s="89"/>
      <c r="AP1068" s="89"/>
      <c r="AQ1068" s="89"/>
      <c r="AR1068" s="89"/>
      <c r="AS1068" s="89"/>
      <c r="AT1068" s="89"/>
      <c r="AU1068" s="89"/>
      <c r="AV1068" s="89"/>
      <c r="AW1068" s="89"/>
      <c r="AX1068" s="89"/>
      <c r="AY1068" s="89"/>
      <c r="AZ1068" s="89"/>
      <c r="BA1068" s="95"/>
    </row>
    <row r="1069" spans="1:53" s="87" customFormat="1">
      <c r="A1069" s="90" t="str">
        <f t="shared" si="41"/>
        <v/>
      </c>
      <c r="B1069" s="89"/>
      <c r="C1069" s="89"/>
      <c r="D1069" s="89"/>
      <c r="E1069" s="89"/>
      <c r="F1069" s="89"/>
      <c r="G1069" s="89"/>
      <c r="H1069" s="89"/>
      <c r="I1069" s="89"/>
      <c r="J1069" s="89"/>
      <c r="K1069" s="89"/>
      <c r="L1069" s="89"/>
      <c r="M1069" s="89"/>
      <c r="N1069" s="89"/>
      <c r="O1069" s="89"/>
      <c r="P1069" s="89"/>
      <c r="Q1069" s="89"/>
      <c r="R1069" s="89"/>
      <c r="S1069" s="89"/>
      <c r="T1069" s="89"/>
      <c r="U1069" s="89"/>
      <c r="V1069" s="89"/>
      <c r="W1069" s="89"/>
      <c r="X1069" s="89"/>
      <c r="Y1069" s="89"/>
      <c r="Z1069" s="89"/>
      <c r="AA1069" s="89"/>
      <c r="AB1069" s="89"/>
      <c r="AC1069" s="89"/>
      <c r="AD1069" s="89"/>
      <c r="AE1069" s="89"/>
      <c r="AF1069" s="89"/>
      <c r="AG1069" s="89"/>
      <c r="AH1069" s="89"/>
      <c r="AI1069" s="89"/>
      <c r="AJ1069" s="89"/>
      <c r="AK1069" s="89"/>
      <c r="AL1069" s="89"/>
      <c r="AM1069" s="89"/>
      <c r="AN1069" s="89"/>
      <c r="AO1069" s="89"/>
      <c r="AP1069" s="89"/>
      <c r="AQ1069" s="89"/>
      <c r="AR1069" s="89"/>
      <c r="AS1069" s="89"/>
      <c r="AT1069" s="89"/>
      <c r="AU1069" s="89"/>
      <c r="AV1069" s="89"/>
      <c r="AW1069" s="89"/>
      <c r="AX1069" s="89"/>
      <c r="AY1069" s="89"/>
      <c r="AZ1069" s="89"/>
      <c r="BA1069" s="95"/>
    </row>
    <row r="1070" spans="1:53" s="87" customFormat="1">
      <c r="A1070" s="90" t="str">
        <f t="shared" si="41"/>
        <v/>
      </c>
      <c r="B1070" s="89"/>
      <c r="C1070" s="89"/>
      <c r="D1070" s="89"/>
      <c r="E1070" s="89"/>
      <c r="F1070" s="89"/>
      <c r="G1070" s="89"/>
      <c r="H1070" s="89"/>
      <c r="I1070" s="89"/>
      <c r="J1070" s="89"/>
      <c r="K1070" s="89"/>
      <c r="L1070" s="89"/>
      <c r="M1070" s="89"/>
      <c r="N1070" s="89"/>
      <c r="O1070" s="89"/>
      <c r="P1070" s="89"/>
      <c r="Q1070" s="89"/>
      <c r="R1070" s="89"/>
      <c r="S1070" s="89"/>
      <c r="T1070" s="89"/>
      <c r="U1070" s="89"/>
      <c r="V1070" s="89"/>
      <c r="W1070" s="89"/>
      <c r="X1070" s="89"/>
      <c r="Y1070" s="89"/>
      <c r="Z1070" s="89"/>
      <c r="AA1070" s="89"/>
      <c r="AB1070" s="89"/>
      <c r="AC1070" s="89"/>
      <c r="AD1070" s="89"/>
      <c r="AE1070" s="89"/>
      <c r="AF1070" s="89"/>
      <c r="AG1070" s="89"/>
      <c r="AH1070" s="89"/>
      <c r="AI1070" s="89"/>
      <c r="AJ1070" s="89"/>
      <c r="AK1070" s="89"/>
      <c r="AL1070" s="89"/>
      <c r="AM1070" s="89"/>
      <c r="AN1070" s="89"/>
      <c r="AO1070" s="89"/>
      <c r="AP1070" s="89"/>
      <c r="AQ1070" s="89"/>
      <c r="AR1070" s="89"/>
      <c r="AS1070" s="89"/>
      <c r="AT1070" s="89"/>
      <c r="AU1070" s="89"/>
      <c r="AV1070" s="89"/>
      <c r="AW1070" s="89"/>
      <c r="AX1070" s="89"/>
      <c r="AY1070" s="89"/>
      <c r="AZ1070" s="89"/>
      <c r="BA1070" s="95"/>
    </row>
    <row r="1071" spans="1:53" s="87" customFormat="1">
      <c r="A1071" s="90" t="str">
        <f t="shared" si="41"/>
        <v/>
      </c>
      <c r="B1071" s="89"/>
      <c r="C1071" s="89"/>
      <c r="D1071" s="89"/>
      <c r="E1071" s="89"/>
      <c r="F1071" s="89"/>
      <c r="G1071" s="89"/>
      <c r="H1071" s="89"/>
      <c r="I1071" s="89"/>
      <c r="J1071" s="89"/>
      <c r="K1071" s="89"/>
      <c r="L1071" s="89"/>
      <c r="M1071" s="89"/>
      <c r="N1071" s="89"/>
      <c r="O1071" s="89"/>
      <c r="P1071" s="89"/>
      <c r="Q1071" s="89"/>
      <c r="R1071" s="89"/>
      <c r="S1071" s="89"/>
      <c r="T1071" s="89"/>
      <c r="U1071" s="89"/>
      <c r="V1071" s="89"/>
      <c r="W1071" s="89"/>
      <c r="X1071" s="89"/>
      <c r="Y1071" s="89"/>
      <c r="Z1071" s="89"/>
      <c r="AA1071" s="89"/>
      <c r="AB1071" s="89"/>
      <c r="AC1071" s="89"/>
      <c r="AD1071" s="89"/>
      <c r="AE1071" s="89"/>
      <c r="AF1071" s="89"/>
      <c r="AG1071" s="89"/>
      <c r="AH1071" s="89"/>
      <c r="AI1071" s="89"/>
      <c r="AJ1071" s="89"/>
      <c r="AK1071" s="89"/>
      <c r="AL1071" s="89"/>
      <c r="AM1071" s="89"/>
      <c r="AN1071" s="89"/>
      <c r="AO1071" s="89"/>
      <c r="AP1071" s="89"/>
      <c r="AQ1071" s="89"/>
      <c r="AR1071" s="89"/>
      <c r="AS1071" s="89"/>
      <c r="AT1071" s="89"/>
      <c r="AU1071" s="89"/>
      <c r="AV1071" s="89"/>
      <c r="AW1071" s="89"/>
      <c r="AX1071" s="89"/>
      <c r="AY1071" s="89"/>
      <c r="AZ1071" s="89"/>
      <c r="BA1071" s="95"/>
    </row>
    <row r="1072" spans="1:53" s="87" customFormat="1">
      <c r="A1072" s="90" t="str">
        <f t="shared" si="41"/>
        <v/>
      </c>
      <c r="B1072" s="89"/>
      <c r="C1072" s="89"/>
      <c r="D1072" s="89"/>
      <c r="E1072" s="89"/>
      <c r="F1072" s="89"/>
      <c r="G1072" s="89"/>
      <c r="H1072" s="89"/>
      <c r="I1072" s="89"/>
      <c r="J1072" s="89"/>
      <c r="K1072" s="89"/>
      <c r="L1072" s="89"/>
      <c r="M1072" s="89"/>
      <c r="N1072" s="89"/>
      <c r="O1072" s="89"/>
      <c r="P1072" s="89"/>
      <c r="Q1072" s="89"/>
      <c r="R1072" s="89"/>
      <c r="S1072" s="89"/>
      <c r="T1072" s="89"/>
      <c r="U1072" s="89"/>
      <c r="V1072" s="89"/>
      <c r="W1072" s="89"/>
      <c r="X1072" s="89"/>
      <c r="Y1072" s="89"/>
      <c r="Z1072" s="89"/>
      <c r="AA1072" s="89"/>
      <c r="AB1072" s="89"/>
      <c r="AC1072" s="89"/>
      <c r="AD1072" s="89"/>
      <c r="AE1072" s="89"/>
      <c r="AF1072" s="89"/>
      <c r="AG1072" s="89"/>
      <c r="AH1072" s="89"/>
      <c r="AI1072" s="89"/>
      <c r="AJ1072" s="89"/>
      <c r="AK1072" s="89"/>
      <c r="AL1072" s="89"/>
      <c r="AM1072" s="89"/>
      <c r="AN1072" s="89"/>
      <c r="AO1072" s="89"/>
      <c r="AP1072" s="89"/>
      <c r="AQ1072" s="89"/>
      <c r="AR1072" s="89"/>
      <c r="AS1072" s="89"/>
      <c r="AT1072" s="89"/>
      <c r="AU1072" s="89"/>
      <c r="AV1072" s="89"/>
      <c r="AW1072" s="89"/>
      <c r="AX1072" s="89"/>
      <c r="AY1072" s="89"/>
      <c r="AZ1072" s="89"/>
      <c r="BA1072" s="95"/>
    </row>
    <row r="1073" spans="1:53" s="87" customFormat="1">
      <c r="A1073" s="90" t="str">
        <f t="shared" si="41"/>
        <v/>
      </c>
      <c r="B1073" s="89"/>
      <c r="C1073" s="89"/>
      <c r="D1073" s="89"/>
      <c r="E1073" s="89"/>
      <c r="F1073" s="89"/>
      <c r="G1073" s="89"/>
      <c r="H1073" s="89"/>
      <c r="I1073" s="89"/>
      <c r="J1073" s="89"/>
      <c r="K1073" s="89"/>
      <c r="L1073" s="89"/>
      <c r="M1073" s="89"/>
      <c r="N1073" s="89"/>
      <c r="O1073" s="89"/>
      <c r="P1073" s="89"/>
      <c r="Q1073" s="89"/>
      <c r="R1073" s="89"/>
      <c r="S1073" s="89"/>
      <c r="T1073" s="89"/>
      <c r="U1073" s="89"/>
      <c r="V1073" s="89"/>
      <c r="W1073" s="89"/>
      <c r="X1073" s="89"/>
      <c r="Y1073" s="89"/>
      <c r="Z1073" s="89"/>
      <c r="AA1073" s="89"/>
      <c r="AB1073" s="89"/>
      <c r="AC1073" s="89"/>
      <c r="AD1073" s="89"/>
      <c r="AE1073" s="89"/>
      <c r="AF1073" s="89"/>
      <c r="AG1073" s="89"/>
      <c r="AH1073" s="89"/>
      <c r="AI1073" s="89"/>
      <c r="AJ1073" s="89"/>
      <c r="AK1073" s="89"/>
      <c r="AL1073" s="89"/>
      <c r="AM1073" s="89"/>
      <c r="AN1073" s="89"/>
      <c r="AO1073" s="89"/>
      <c r="AP1073" s="89"/>
      <c r="AQ1073" s="89"/>
      <c r="AR1073" s="89"/>
      <c r="AS1073" s="89"/>
      <c r="AT1073" s="89"/>
      <c r="AU1073" s="89"/>
      <c r="AV1073" s="89"/>
      <c r="AW1073" s="89"/>
      <c r="AX1073" s="89"/>
      <c r="AY1073" s="89"/>
      <c r="AZ1073" s="89"/>
      <c r="BA1073" s="95"/>
    </row>
    <row r="1074" spans="1:53" s="87" customFormat="1">
      <c r="A1074" s="90" t="str">
        <f t="shared" si="41"/>
        <v/>
      </c>
      <c r="B1074" s="89"/>
      <c r="C1074" s="89"/>
      <c r="D1074" s="89"/>
      <c r="E1074" s="89"/>
      <c r="F1074" s="89"/>
      <c r="G1074" s="89"/>
      <c r="H1074" s="89"/>
      <c r="I1074" s="89"/>
      <c r="J1074" s="89"/>
      <c r="K1074" s="89"/>
      <c r="L1074" s="89"/>
      <c r="M1074" s="89"/>
      <c r="N1074" s="89"/>
      <c r="O1074" s="89"/>
      <c r="P1074" s="89"/>
      <c r="Q1074" s="89"/>
      <c r="R1074" s="89"/>
      <c r="S1074" s="89"/>
      <c r="T1074" s="89"/>
      <c r="U1074" s="89"/>
      <c r="V1074" s="89"/>
      <c r="W1074" s="89"/>
      <c r="X1074" s="89"/>
      <c r="Y1074" s="89"/>
      <c r="Z1074" s="89"/>
      <c r="AA1074" s="89"/>
      <c r="AB1074" s="89"/>
      <c r="AC1074" s="89"/>
      <c r="AD1074" s="89"/>
      <c r="AE1074" s="89"/>
      <c r="AF1074" s="89"/>
      <c r="AG1074" s="89"/>
      <c r="AH1074" s="89"/>
      <c r="AI1074" s="89"/>
      <c r="AJ1074" s="89"/>
      <c r="AK1074" s="89"/>
      <c r="AL1074" s="89"/>
      <c r="AM1074" s="89"/>
      <c r="AN1074" s="89"/>
      <c r="AO1074" s="89"/>
      <c r="AP1074" s="89"/>
      <c r="AQ1074" s="89"/>
      <c r="AR1074" s="89"/>
      <c r="AS1074" s="89"/>
      <c r="AT1074" s="89"/>
      <c r="AU1074" s="89"/>
      <c r="AV1074" s="89"/>
      <c r="AW1074" s="89"/>
      <c r="AX1074" s="89"/>
      <c r="AY1074" s="89"/>
      <c r="AZ1074" s="89"/>
      <c r="BA1074" s="95"/>
    </row>
    <row r="1075" spans="1:53" s="87" customFormat="1">
      <c r="A1075" s="90" t="str">
        <f t="shared" si="41"/>
        <v/>
      </c>
      <c r="B1075" s="89"/>
      <c r="C1075" s="89"/>
      <c r="D1075" s="89"/>
      <c r="E1075" s="89"/>
      <c r="F1075" s="89"/>
      <c r="G1075" s="89"/>
      <c r="H1075" s="89"/>
      <c r="I1075" s="89"/>
      <c r="J1075" s="89"/>
      <c r="K1075" s="89"/>
      <c r="L1075" s="89"/>
      <c r="M1075" s="89"/>
      <c r="N1075" s="89"/>
      <c r="O1075" s="89"/>
      <c r="P1075" s="89"/>
      <c r="Q1075" s="89"/>
      <c r="R1075" s="89"/>
      <c r="S1075" s="89"/>
      <c r="T1075" s="89"/>
      <c r="U1075" s="89"/>
      <c r="V1075" s="89"/>
      <c r="W1075" s="89"/>
      <c r="X1075" s="89"/>
      <c r="Y1075" s="89"/>
      <c r="Z1075" s="89"/>
      <c r="AA1075" s="89"/>
      <c r="AB1075" s="89"/>
      <c r="AC1075" s="89"/>
      <c r="AD1075" s="89"/>
      <c r="AE1075" s="89"/>
      <c r="AF1075" s="89"/>
      <c r="AG1075" s="89"/>
      <c r="AH1075" s="89"/>
      <c r="AI1075" s="89"/>
      <c r="AJ1075" s="89"/>
      <c r="AK1075" s="89"/>
      <c r="AL1075" s="89"/>
      <c r="AM1075" s="89"/>
      <c r="AN1075" s="89"/>
      <c r="AO1075" s="89"/>
      <c r="AP1075" s="89"/>
      <c r="AQ1075" s="89"/>
      <c r="AR1075" s="89"/>
      <c r="AS1075" s="89"/>
      <c r="AT1075" s="89"/>
      <c r="AU1075" s="89"/>
      <c r="AV1075" s="89"/>
      <c r="AW1075" s="89"/>
      <c r="AX1075" s="89"/>
      <c r="AY1075" s="89"/>
      <c r="AZ1075" s="89"/>
      <c r="BA1075" s="95"/>
    </row>
    <row r="1076" spans="1:53" s="87" customFormat="1">
      <c r="A1076" s="90" t="str">
        <f t="shared" si="41"/>
        <v/>
      </c>
      <c r="B1076" s="89"/>
      <c r="C1076" s="89"/>
      <c r="D1076" s="89"/>
      <c r="E1076" s="89"/>
      <c r="F1076" s="89"/>
      <c r="G1076" s="89"/>
      <c r="H1076" s="89"/>
      <c r="I1076" s="89"/>
      <c r="J1076" s="89"/>
      <c r="K1076" s="89"/>
      <c r="L1076" s="89"/>
      <c r="M1076" s="89"/>
      <c r="N1076" s="89"/>
      <c r="O1076" s="89"/>
      <c r="P1076" s="89"/>
      <c r="Q1076" s="89"/>
      <c r="R1076" s="89"/>
      <c r="S1076" s="89"/>
      <c r="T1076" s="89"/>
      <c r="U1076" s="89"/>
      <c r="V1076" s="89"/>
      <c r="W1076" s="89"/>
      <c r="X1076" s="89"/>
      <c r="Y1076" s="89"/>
      <c r="Z1076" s="89"/>
      <c r="AA1076" s="89"/>
      <c r="AB1076" s="89"/>
      <c r="AC1076" s="89"/>
      <c r="AD1076" s="89"/>
      <c r="AE1076" s="89"/>
      <c r="AF1076" s="89"/>
      <c r="AG1076" s="89"/>
      <c r="AH1076" s="89"/>
      <c r="AI1076" s="89"/>
      <c r="AJ1076" s="89"/>
      <c r="AK1076" s="89"/>
      <c r="AL1076" s="89"/>
      <c r="AM1076" s="89"/>
      <c r="AN1076" s="89"/>
      <c r="AO1076" s="89"/>
      <c r="AP1076" s="89"/>
      <c r="AQ1076" s="89"/>
      <c r="AR1076" s="89"/>
      <c r="AS1076" s="89"/>
      <c r="AT1076" s="89"/>
      <c r="AU1076" s="89"/>
      <c r="AV1076" s="89"/>
      <c r="AW1076" s="89"/>
      <c r="AX1076" s="89"/>
      <c r="AY1076" s="89"/>
      <c r="AZ1076" s="89"/>
      <c r="BA1076" s="95"/>
    </row>
    <row r="1077" spans="1:53" s="87" customFormat="1">
      <c r="A1077" s="90" t="str">
        <f t="shared" si="41"/>
        <v/>
      </c>
      <c r="B1077" s="89"/>
      <c r="C1077" s="89"/>
      <c r="D1077" s="89"/>
      <c r="E1077" s="89"/>
      <c r="F1077" s="89"/>
      <c r="G1077" s="89"/>
      <c r="H1077" s="89"/>
      <c r="I1077" s="89"/>
      <c r="J1077" s="89"/>
      <c r="K1077" s="89"/>
      <c r="L1077" s="89"/>
      <c r="M1077" s="89"/>
      <c r="N1077" s="89"/>
      <c r="O1077" s="89"/>
      <c r="P1077" s="89"/>
      <c r="Q1077" s="89"/>
      <c r="R1077" s="89"/>
      <c r="S1077" s="89"/>
      <c r="T1077" s="89"/>
      <c r="U1077" s="89"/>
      <c r="V1077" s="89"/>
      <c r="W1077" s="89"/>
      <c r="X1077" s="89"/>
      <c r="Y1077" s="89"/>
      <c r="Z1077" s="89"/>
      <c r="AA1077" s="89"/>
      <c r="AB1077" s="89"/>
      <c r="AC1077" s="89"/>
      <c r="AD1077" s="89"/>
      <c r="AE1077" s="89"/>
      <c r="AF1077" s="89"/>
      <c r="AG1077" s="89"/>
      <c r="AH1077" s="89"/>
      <c r="AI1077" s="89"/>
      <c r="AJ1077" s="89"/>
      <c r="AK1077" s="89"/>
      <c r="AL1077" s="89"/>
      <c r="AM1077" s="89"/>
      <c r="AN1077" s="89"/>
      <c r="AO1077" s="89"/>
      <c r="AP1077" s="89"/>
      <c r="AQ1077" s="89"/>
      <c r="AR1077" s="89"/>
      <c r="AS1077" s="89"/>
      <c r="AT1077" s="89"/>
      <c r="AU1077" s="89"/>
      <c r="AV1077" s="89"/>
      <c r="AW1077" s="89"/>
      <c r="AX1077" s="89"/>
      <c r="AY1077" s="89"/>
      <c r="AZ1077" s="89"/>
      <c r="BA1077" s="95"/>
    </row>
    <row r="1078" spans="1:53" s="87" customFormat="1">
      <c r="A1078" s="90" t="str">
        <f t="shared" si="41"/>
        <v/>
      </c>
      <c r="B1078" s="89"/>
      <c r="C1078" s="89"/>
      <c r="D1078" s="89"/>
      <c r="E1078" s="89"/>
      <c r="F1078" s="89"/>
      <c r="G1078" s="89"/>
      <c r="H1078" s="89"/>
      <c r="I1078" s="89"/>
      <c r="J1078" s="89"/>
      <c r="K1078" s="89"/>
      <c r="L1078" s="89"/>
      <c r="M1078" s="89"/>
      <c r="N1078" s="89"/>
      <c r="O1078" s="89"/>
      <c r="P1078" s="89"/>
      <c r="Q1078" s="89"/>
      <c r="R1078" s="89"/>
      <c r="S1078" s="89"/>
      <c r="T1078" s="89"/>
      <c r="U1078" s="89"/>
      <c r="V1078" s="89"/>
      <c r="W1078" s="89"/>
      <c r="X1078" s="89"/>
      <c r="Y1078" s="89"/>
      <c r="Z1078" s="89"/>
      <c r="AA1078" s="89"/>
      <c r="AB1078" s="89"/>
      <c r="AC1078" s="89"/>
      <c r="AD1078" s="89"/>
      <c r="AE1078" s="89"/>
      <c r="AF1078" s="89"/>
      <c r="AG1078" s="89"/>
      <c r="AH1078" s="89"/>
      <c r="AI1078" s="89"/>
      <c r="AJ1078" s="89"/>
      <c r="AK1078" s="89"/>
      <c r="AL1078" s="89"/>
      <c r="AM1078" s="89"/>
      <c r="AN1078" s="89"/>
      <c r="AO1078" s="89"/>
      <c r="AP1078" s="89"/>
      <c r="AQ1078" s="89"/>
      <c r="AR1078" s="89"/>
      <c r="AS1078" s="89"/>
      <c r="AT1078" s="89"/>
      <c r="AU1078" s="89"/>
      <c r="AV1078" s="89"/>
      <c r="AW1078" s="89"/>
      <c r="AX1078" s="89"/>
      <c r="AY1078" s="89"/>
      <c r="AZ1078" s="89"/>
      <c r="BA1078" s="95"/>
    </row>
    <row r="1079" spans="1:53" s="87" customFormat="1">
      <c r="A1079" s="90" t="str">
        <f t="shared" si="41"/>
        <v/>
      </c>
      <c r="B1079" s="89"/>
      <c r="C1079" s="89"/>
      <c r="D1079" s="89"/>
      <c r="E1079" s="89"/>
      <c r="F1079" s="89"/>
      <c r="G1079" s="89"/>
      <c r="H1079" s="89"/>
      <c r="I1079" s="89"/>
      <c r="J1079" s="89"/>
      <c r="K1079" s="89"/>
      <c r="L1079" s="89"/>
      <c r="M1079" s="89"/>
      <c r="N1079" s="89"/>
      <c r="O1079" s="89"/>
      <c r="P1079" s="89"/>
      <c r="Q1079" s="89"/>
      <c r="R1079" s="89"/>
      <c r="S1079" s="89"/>
      <c r="T1079" s="89"/>
      <c r="U1079" s="89"/>
      <c r="V1079" s="89"/>
      <c r="W1079" s="89"/>
      <c r="X1079" s="89"/>
      <c r="Y1079" s="89"/>
      <c r="Z1079" s="89"/>
      <c r="AA1079" s="89"/>
      <c r="AB1079" s="89"/>
      <c r="AC1079" s="89"/>
      <c r="AD1079" s="89"/>
      <c r="AE1079" s="89"/>
      <c r="AF1079" s="89"/>
      <c r="AG1079" s="89"/>
      <c r="AH1079" s="89"/>
      <c r="AI1079" s="89"/>
      <c r="AJ1079" s="89"/>
      <c r="AK1079" s="89"/>
      <c r="AL1079" s="89"/>
      <c r="AM1079" s="89"/>
      <c r="AN1079" s="89"/>
      <c r="AO1079" s="89"/>
      <c r="AP1079" s="89"/>
      <c r="AQ1079" s="89"/>
      <c r="AR1079" s="89"/>
      <c r="AS1079" s="89"/>
      <c r="AT1079" s="89"/>
      <c r="AU1079" s="89"/>
      <c r="AV1079" s="89"/>
      <c r="AW1079" s="89"/>
      <c r="AX1079" s="89"/>
      <c r="AY1079" s="89"/>
      <c r="AZ1079" s="89"/>
      <c r="BA1079" s="95"/>
    </row>
    <row r="1080" spans="1:53" s="87" customFormat="1">
      <c r="A1080" s="90" t="str">
        <f t="shared" si="41"/>
        <v/>
      </c>
      <c r="B1080" s="89"/>
      <c r="C1080" s="89"/>
      <c r="D1080" s="89"/>
      <c r="E1080" s="89"/>
      <c r="F1080" s="89"/>
      <c r="G1080" s="89"/>
      <c r="H1080" s="89"/>
      <c r="I1080" s="89"/>
      <c r="J1080" s="89"/>
      <c r="K1080" s="89"/>
      <c r="L1080" s="89"/>
      <c r="M1080" s="89"/>
      <c r="N1080" s="89"/>
      <c r="O1080" s="89"/>
      <c r="P1080" s="89"/>
      <c r="Q1080" s="89"/>
      <c r="R1080" s="89"/>
      <c r="S1080" s="89"/>
      <c r="T1080" s="89"/>
      <c r="U1080" s="89"/>
      <c r="V1080" s="89"/>
      <c r="W1080" s="89"/>
      <c r="X1080" s="89"/>
      <c r="Y1080" s="89"/>
      <c r="Z1080" s="89"/>
      <c r="AA1080" s="89"/>
      <c r="AB1080" s="89"/>
      <c r="AC1080" s="89"/>
      <c r="AD1080" s="89"/>
      <c r="AE1080" s="89"/>
      <c r="AF1080" s="89"/>
      <c r="AG1080" s="89"/>
      <c r="AH1080" s="89"/>
      <c r="AI1080" s="89"/>
      <c r="AJ1080" s="89"/>
      <c r="AK1080" s="89"/>
      <c r="AL1080" s="89"/>
      <c r="AM1080" s="89"/>
      <c r="AN1080" s="89"/>
      <c r="AO1080" s="89"/>
      <c r="AP1080" s="89"/>
      <c r="AQ1080" s="89"/>
      <c r="AR1080" s="89"/>
      <c r="AS1080" s="89"/>
      <c r="AT1080" s="89"/>
      <c r="AU1080" s="89"/>
      <c r="AV1080" s="89"/>
      <c r="AW1080" s="89"/>
      <c r="AX1080" s="89"/>
      <c r="AY1080" s="89"/>
      <c r="AZ1080" s="89"/>
      <c r="BA1080" s="95"/>
    </row>
    <row r="1081" spans="1:53" s="87" customFormat="1">
      <c r="A1081" s="90" t="str">
        <f t="shared" si="41"/>
        <v/>
      </c>
      <c r="B1081" s="89"/>
      <c r="C1081" s="89"/>
      <c r="D1081" s="89"/>
      <c r="E1081" s="89"/>
      <c r="F1081" s="89"/>
      <c r="G1081" s="89"/>
      <c r="H1081" s="89"/>
      <c r="I1081" s="89"/>
      <c r="J1081" s="89"/>
      <c r="K1081" s="89"/>
      <c r="L1081" s="89"/>
      <c r="M1081" s="89"/>
      <c r="N1081" s="89"/>
      <c r="O1081" s="89"/>
      <c r="P1081" s="89"/>
      <c r="Q1081" s="89"/>
      <c r="R1081" s="89"/>
      <c r="S1081" s="89"/>
      <c r="T1081" s="89"/>
      <c r="U1081" s="89"/>
      <c r="V1081" s="89"/>
      <c r="W1081" s="89"/>
      <c r="X1081" s="89"/>
      <c r="Y1081" s="89"/>
      <c r="Z1081" s="89"/>
      <c r="AA1081" s="89"/>
      <c r="AB1081" s="89"/>
      <c r="AC1081" s="89"/>
      <c r="AD1081" s="89"/>
      <c r="AE1081" s="89"/>
      <c r="AF1081" s="89"/>
      <c r="AG1081" s="89"/>
      <c r="AH1081" s="89"/>
      <c r="AI1081" s="89"/>
      <c r="AJ1081" s="89"/>
      <c r="AK1081" s="89"/>
      <c r="AL1081" s="89"/>
      <c r="AM1081" s="89"/>
      <c r="AN1081" s="89"/>
      <c r="AO1081" s="89"/>
      <c r="AP1081" s="89"/>
      <c r="AQ1081" s="89"/>
      <c r="AR1081" s="89"/>
      <c r="AS1081" s="89"/>
      <c r="AT1081" s="89"/>
      <c r="AU1081" s="89"/>
      <c r="AV1081" s="89"/>
      <c r="AW1081" s="89"/>
      <c r="AX1081" s="89"/>
      <c r="AY1081" s="89"/>
      <c r="AZ1081" s="89"/>
      <c r="BA1081" s="95"/>
    </row>
    <row r="1082" spans="1:53" s="87" customFormat="1">
      <c r="A1082" s="90" t="str">
        <f t="shared" si="41"/>
        <v/>
      </c>
      <c r="B1082" s="89"/>
      <c r="C1082" s="89"/>
      <c r="D1082" s="89"/>
      <c r="E1082" s="89"/>
      <c r="F1082" s="89"/>
      <c r="G1082" s="89"/>
      <c r="H1082" s="89"/>
      <c r="I1082" s="89"/>
      <c r="J1082" s="89"/>
      <c r="K1082" s="89"/>
      <c r="L1082" s="89"/>
      <c r="M1082" s="89"/>
      <c r="N1082" s="89"/>
      <c r="O1082" s="89"/>
      <c r="P1082" s="89"/>
      <c r="Q1082" s="89"/>
      <c r="R1082" s="89"/>
      <c r="S1082" s="89"/>
      <c r="T1082" s="89"/>
      <c r="U1082" s="89"/>
      <c r="V1082" s="89"/>
      <c r="W1082" s="89"/>
      <c r="X1082" s="89"/>
      <c r="Y1082" s="89"/>
      <c r="Z1082" s="89"/>
      <c r="AA1082" s="89"/>
      <c r="AB1082" s="89"/>
      <c r="AC1082" s="89"/>
      <c r="AD1082" s="89"/>
      <c r="AE1082" s="89"/>
      <c r="AF1082" s="89"/>
      <c r="AG1082" s="89"/>
      <c r="AH1082" s="89"/>
      <c r="AI1082" s="89"/>
      <c r="AJ1082" s="89"/>
      <c r="AK1082" s="89"/>
      <c r="AL1082" s="89"/>
      <c r="AM1082" s="89"/>
      <c r="AN1082" s="89"/>
      <c r="AO1082" s="89"/>
      <c r="AP1082" s="89"/>
      <c r="AQ1082" s="89"/>
      <c r="AR1082" s="89"/>
      <c r="AS1082" s="89"/>
      <c r="AT1082" s="89"/>
      <c r="AU1082" s="89"/>
      <c r="AV1082" s="89"/>
      <c r="AW1082" s="89"/>
      <c r="AX1082" s="89"/>
      <c r="AY1082" s="89"/>
      <c r="AZ1082" s="89"/>
      <c r="BA1082" s="95"/>
    </row>
    <row r="1083" spans="1:53" s="87" customFormat="1">
      <c r="A1083" s="90" t="str">
        <f t="shared" si="41"/>
        <v/>
      </c>
      <c r="B1083" s="89"/>
      <c r="C1083" s="89"/>
      <c r="D1083" s="89"/>
      <c r="E1083" s="89"/>
      <c r="F1083" s="89"/>
      <c r="G1083" s="89"/>
      <c r="H1083" s="89"/>
      <c r="I1083" s="89"/>
      <c r="J1083" s="89"/>
      <c r="K1083" s="89"/>
      <c r="L1083" s="89"/>
      <c r="M1083" s="89"/>
      <c r="N1083" s="89"/>
      <c r="O1083" s="89"/>
      <c r="P1083" s="89"/>
      <c r="Q1083" s="89"/>
      <c r="R1083" s="89"/>
      <c r="S1083" s="89"/>
      <c r="T1083" s="89"/>
      <c r="U1083" s="89"/>
      <c r="V1083" s="89"/>
      <c r="W1083" s="89"/>
      <c r="X1083" s="89"/>
      <c r="Y1083" s="89"/>
      <c r="Z1083" s="89"/>
      <c r="AA1083" s="89"/>
      <c r="AB1083" s="89"/>
      <c r="AC1083" s="89"/>
      <c r="AD1083" s="89"/>
      <c r="AE1083" s="89"/>
      <c r="AF1083" s="89"/>
      <c r="AG1083" s="89"/>
      <c r="AH1083" s="89"/>
      <c r="AI1083" s="89"/>
      <c r="AJ1083" s="89"/>
      <c r="AK1083" s="89"/>
      <c r="AL1083" s="89"/>
      <c r="AM1083" s="89"/>
      <c r="AN1083" s="89"/>
      <c r="AO1083" s="89"/>
      <c r="AP1083" s="89"/>
      <c r="AQ1083" s="89"/>
      <c r="AR1083" s="89"/>
      <c r="AS1083" s="89"/>
      <c r="AT1083" s="89"/>
      <c r="AU1083" s="89"/>
      <c r="AV1083" s="89"/>
      <c r="AW1083" s="89"/>
      <c r="AX1083" s="89"/>
      <c r="AY1083" s="89"/>
      <c r="AZ1083" s="89"/>
      <c r="BA1083" s="95"/>
    </row>
    <row r="1084" spans="1:53" s="87" customFormat="1">
      <c r="A1084" s="90" t="str">
        <f t="shared" si="41"/>
        <v/>
      </c>
      <c r="B1084" s="89"/>
      <c r="C1084" s="89"/>
      <c r="D1084" s="89"/>
      <c r="E1084" s="89"/>
      <c r="F1084" s="89"/>
      <c r="G1084" s="89"/>
      <c r="H1084" s="89"/>
      <c r="I1084" s="89"/>
      <c r="J1084" s="89"/>
      <c r="K1084" s="89"/>
      <c r="L1084" s="89"/>
      <c r="M1084" s="89"/>
      <c r="N1084" s="89"/>
      <c r="O1084" s="89"/>
      <c r="P1084" s="89"/>
      <c r="Q1084" s="89"/>
      <c r="R1084" s="89"/>
      <c r="S1084" s="89"/>
      <c r="T1084" s="89"/>
      <c r="U1084" s="89"/>
      <c r="V1084" s="89"/>
      <c r="W1084" s="89"/>
      <c r="X1084" s="89"/>
      <c r="Y1084" s="89"/>
      <c r="Z1084" s="89"/>
      <c r="AA1084" s="89"/>
      <c r="AB1084" s="89"/>
      <c r="AC1084" s="89"/>
      <c r="AD1084" s="89"/>
      <c r="AE1084" s="89"/>
      <c r="AF1084" s="89"/>
      <c r="AG1084" s="89"/>
      <c r="AH1084" s="89"/>
      <c r="AI1084" s="89"/>
      <c r="AJ1084" s="89"/>
      <c r="AK1084" s="89"/>
      <c r="AL1084" s="89"/>
      <c r="AM1084" s="89"/>
      <c r="AN1084" s="89"/>
      <c r="AO1084" s="89"/>
      <c r="AP1084" s="89"/>
      <c r="AQ1084" s="89"/>
      <c r="AR1084" s="89"/>
      <c r="AS1084" s="89"/>
      <c r="AT1084" s="89"/>
      <c r="AU1084" s="89"/>
      <c r="AV1084" s="89"/>
      <c r="AW1084" s="89"/>
      <c r="AX1084" s="89"/>
      <c r="AY1084" s="89"/>
      <c r="AZ1084" s="89"/>
      <c r="BA1084" s="95"/>
    </row>
    <row r="1085" spans="1:53" s="87" customFormat="1">
      <c r="A1085" s="90" t="str">
        <f t="shared" si="41"/>
        <v/>
      </c>
      <c r="B1085" s="89"/>
      <c r="C1085" s="89"/>
      <c r="D1085" s="89"/>
      <c r="E1085" s="89"/>
      <c r="F1085" s="89"/>
      <c r="G1085" s="89"/>
      <c r="H1085" s="89"/>
      <c r="I1085" s="89"/>
      <c r="J1085" s="89"/>
      <c r="K1085" s="89"/>
      <c r="L1085" s="89"/>
      <c r="M1085" s="89"/>
      <c r="N1085" s="89"/>
      <c r="O1085" s="89"/>
      <c r="P1085" s="89"/>
      <c r="Q1085" s="89"/>
      <c r="R1085" s="89"/>
      <c r="S1085" s="89"/>
      <c r="T1085" s="89"/>
      <c r="U1085" s="89"/>
      <c r="V1085" s="89"/>
      <c r="W1085" s="89"/>
      <c r="X1085" s="89"/>
      <c r="Y1085" s="89"/>
      <c r="Z1085" s="89"/>
      <c r="AA1085" s="89"/>
      <c r="AB1085" s="89"/>
      <c r="AC1085" s="89"/>
      <c r="AD1085" s="89"/>
      <c r="AE1085" s="89"/>
      <c r="AF1085" s="89"/>
      <c r="AG1085" s="89"/>
      <c r="AH1085" s="89"/>
      <c r="AI1085" s="89"/>
      <c r="AJ1085" s="89"/>
      <c r="AK1085" s="89"/>
      <c r="AL1085" s="89"/>
      <c r="AM1085" s="89"/>
      <c r="AN1085" s="89"/>
      <c r="AO1085" s="89"/>
      <c r="AP1085" s="89"/>
      <c r="AQ1085" s="89"/>
      <c r="AR1085" s="89"/>
      <c r="AS1085" s="89"/>
      <c r="AT1085" s="89"/>
      <c r="AU1085" s="89"/>
      <c r="AV1085" s="89"/>
      <c r="AW1085" s="89"/>
      <c r="AX1085" s="89"/>
      <c r="AY1085" s="89"/>
      <c r="AZ1085" s="89"/>
      <c r="BA1085" s="95"/>
    </row>
    <row r="1086" spans="1:53" s="87" customFormat="1">
      <c r="A1086" s="90" t="str">
        <f t="shared" si="41"/>
        <v/>
      </c>
      <c r="B1086" s="89"/>
      <c r="C1086" s="89"/>
      <c r="D1086" s="89"/>
      <c r="E1086" s="89"/>
      <c r="F1086" s="89"/>
      <c r="G1086" s="89"/>
      <c r="H1086" s="89"/>
      <c r="I1086" s="89"/>
      <c r="J1086" s="89"/>
      <c r="K1086" s="89"/>
      <c r="L1086" s="89"/>
      <c r="M1086" s="89"/>
      <c r="N1086" s="89"/>
      <c r="O1086" s="89"/>
      <c r="P1086" s="89"/>
      <c r="Q1086" s="89"/>
      <c r="R1086" s="89"/>
      <c r="S1086" s="89"/>
      <c r="T1086" s="89"/>
      <c r="U1086" s="89"/>
      <c r="V1086" s="89"/>
      <c r="W1086" s="89"/>
      <c r="X1086" s="89"/>
      <c r="Y1086" s="89"/>
      <c r="Z1086" s="89"/>
      <c r="AA1086" s="89"/>
      <c r="AB1086" s="89"/>
      <c r="AC1086" s="89"/>
      <c r="AD1086" s="89"/>
      <c r="AE1086" s="89"/>
      <c r="AF1086" s="89"/>
      <c r="AG1086" s="89"/>
      <c r="AH1086" s="89"/>
      <c r="AI1086" s="89"/>
      <c r="AJ1086" s="89"/>
      <c r="AK1086" s="89"/>
      <c r="AL1086" s="89"/>
      <c r="AM1086" s="89"/>
      <c r="AN1086" s="89"/>
      <c r="AO1086" s="89"/>
      <c r="AP1086" s="89"/>
      <c r="AQ1086" s="89"/>
      <c r="AR1086" s="89"/>
      <c r="AS1086" s="89"/>
      <c r="AT1086" s="89"/>
      <c r="AU1086" s="89"/>
      <c r="AV1086" s="89"/>
      <c r="AW1086" s="89"/>
      <c r="AX1086" s="89"/>
      <c r="AY1086" s="89"/>
      <c r="AZ1086" s="89"/>
      <c r="BA1086" s="95"/>
    </row>
    <row r="1087" spans="1:53" s="87" customFormat="1">
      <c r="A1087" s="90" t="str">
        <f t="shared" si="41"/>
        <v/>
      </c>
      <c r="B1087" s="89"/>
      <c r="C1087" s="89"/>
      <c r="D1087" s="89"/>
      <c r="E1087" s="89"/>
      <c r="F1087" s="89"/>
      <c r="G1087" s="89"/>
      <c r="H1087" s="89"/>
      <c r="I1087" s="89"/>
      <c r="J1087" s="89"/>
      <c r="K1087" s="89"/>
      <c r="L1087" s="89"/>
      <c r="M1087" s="89"/>
      <c r="N1087" s="89"/>
      <c r="O1087" s="89"/>
      <c r="P1087" s="89"/>
      <c r="Q1087" s="89"/>
      <c r="R1087" s="89"/>
      <c r="S1087" s="89"/>
      <c r="T1087" s="89"/>
      <c r="U1087" s="89"/>
      <c r="V1087" s="89"/>
      <c r="W1087" s="89"/>
      <c r="X1087" s="89"/>
      <c r="Y1087" s="89"/>
      <c r="Z1087" s="89"/>
      <c r="AA1087" s="89"/>
      <c r="AB1087" s="89"/>
      <c r="AC1087" s="89"/>
      <c r="AD1087" s="89"/>
      <c r="AE1087" s="89"/>
      <c r="AF1087" s="89"/>
      <c r="AG1087" s="89"/>
      <c r="AH1087" s="89"/>
      <c r="AI1087" s="89"/>
      <c r="AJ1087" s="89"/>
      <c r="AK1087" s="89"/>
      <c r="AL1087" s="89"/>
      <c r="AM1087" s="89"/>
      <c r="AN1087" s="89"/>
      <c r="AO1087" s="89"/>
      <c r="AP1087" s="89"/>
      <c r="AQ1087" s="89"/>
      <c r="AR1087" s="89"/>
      <c r="AS1087" s="89"/>
      <c r="AT1087" s="89"/>
      <c r="AU1087" s="89"/>
      <c r="AV1087" s="89"/>
      <c r="AW1087" s="89"/>
      <c r="AX1087" s="89"/>
      <c r="AY1087" s="89"/>
      <c r="AZ1087" s="89"/>
      <c r="BA1087" s="95"/>
    </row>
    <row r="1088" spans="1:53" s="87" customFormat="1">
      <c r="A1088" s="90" t="str">
        <f t="shared" si="41"/>
        <v/>
      </c>
      <c r="B1088" s="89"/>
      <c r="C1088" s="89"/>
      <c r="D1088" s="89"/>
      <c r="E1088" s="89"/>
      <c r="F1088" s="89"/>
      <c r="G1088" s="89"/>
      <c r="H1088" s="89"/>
      <c r="I1088" s="89"/>
      <c r="J1088" s="89"/>
      <c r="K1088" s="89"/>
      <c r="L1088" s="89"/>
      <c r="M1088" s="89"/>
      <c r="N1088" s="89"/>
      <c r="O1088" s="89"/>
      <c r="P1088" s="89"/>
      <c r="Q1088" s="89"/>
      <c r="R1088" s="89"/>
      <c r="S1088" s="89"/>
      <c r="T1088" s="89"/>
      <c r="U1088" s="89"/>
      <c r="V1088" s="89"/>
      <c r="W1088" s="89"/>
      <c r="X1088" s="89"/>
      <c r="Y1088" s="89"/>
      <c r="Z1088" s="89"/>
      <c r="AA1088" s="89"/>
      <c r="AB1088" s="89"/>
      <c r="AC1088" s="89"/>
      <c r="AD1088" s="89"/>
      <c r="AE1088" s="89"/>
      <c r="AF1088" s="89"/>
      <c r="AG1088" s="89"/>
      <c r="AH1088" s="89"/>
      <c r="AI1088" s="89"/>
      <c r="AJ1088" s="89"/>
      <c r="AK1088" s="89"/>
      <c r="AL1088" s="89"/>
      <c r="AM1088" s="89"/>
      <c r="AN1088" s="89"/>
      <c r="AO1088" s="89"/>
      <c r="AP1088" s="89"/>
      <c r="AQ1088" s="89"/>
      <c r="AR1088" s="89"/>
      <c r="AS1088" s="89"/>
      <c r="AT1088" s="89"/>
      <c r="AU1088" s="89"/>
      <c r="AV1088" s="89"/>
      <c r="AW1088" s="89"/>
      <c r="AX1088" s="89"/>
      <c r="AY1088" s="89"/>
      <c r="AZ1088" s="89"/>
      <c r="BA1088" s="95"/>
    </row>
    <row r="1089" spans="1:53" s="87" customFormat="1">
      <c r="A1089" s="90" t="str">
        <f t="shared" si="41"/>
        <v/>
      </c>
      <c r="B1089" s="89"/>
      <c r="C1089" s="89"/>
      <c r="D1089" s="89"/>
      <c r="E1089" s="89"/>
      <c r="F1089" s="89"/>
      <c r="G1089" s="89"/>
      <c r="H1089" s="89"/>
      <c r="I1089" s="89"/>
      <c r="J1089" s="89"/>
      <c r="K1089" s="89"/>
      <c r="L1089" s="89"/>
      <c r="M1089" s="89"/>
      <c r="N1089" s="89"/>
      <c r="O1089" s="89"/>
      <c r="P1089" s="89"/>
      <c r="Q1089" s="89"/>
      <c r="R1089" s="89"/>
      <c r="S1089" s="89"/>
      <c r="T1089" s="89"/>
      <c r="U1089" s="89"/>
      <c r="V1089" s="89"/>
      <c r="W1089" s="89"/>
      <c r="X1089" s="89"/>
      <c r="Y1089" s="89"/>
      <c r="Z1089" s="89"/>
      <c r="AA1089" s="89"/>
      <c r="AB1089" s="89"/>
      <c r="AC1089" s="89"/>
      <c r="AD1089" s="89"/>
      <c r="AE1089" s="89"/>
      <c r="AF1089" s="89"/>
      <c r="AG1089" s="89"/>
      <c r="AH1089" s="89"/>
      <c r="AI1089" s="89"/>
      <c r="AJ1089" s="89"/>
      <c r="AK1089" s="89"/>
      <c r="AL1089" s="89"/>
      <c r="AM1089" s="89"/>
      <c r="AN1089" s="89"/>
      <c r="AO1089" s="89"/>
      <c r="AP1089" s="89"/>
      <c r="AQ1089" s="89"/>
      <c r="AR1089" s="89"/>
      <c r="AS1089" s="89"/>
      <c r="AT1089" s="89"/>
      <c r="AU1089" s="89"/>
      <c r="AV1089" s="89"/>
      <c r="AW1089" s="89"/>
      <c r="AX1089" s="89"/>
      <c r="AY1089" s="89"/>
      <c r="AZ1089" s="89"/>
      <c r="BA1089" s="95"/>
    </row>
    <row r="1090" spans="1:53" s="87" customFormat="1">
      <c r="A1090" s="90" t="str">
        <f t="shared" si="41"/>
        <v/>
      </c>
      <c r="B1090" s="89"/>
      <c r="C1090" s="89"/>
      <c r="D1090" s="89"/>
      <c r="E1090" s="89"/>
      <c r="F1090" s="89"/>
      <c r="G1090" s="89"/>
      <c r="H1090" s="89"/>
      <c r="I1090" s="89"/>
      <c r="J1090" s="89"/>
      <c r="K1090" s="89"/>
      <c r="L1090" s="89"/>
      <c r="M1090" s="89"/>
      <c r="N1090" s="89"/>
      <c r="O1090" s="89"/>
      <c r="P1090" s="89"/>
      <c r="Q1090" s="89"/>
      <c r="R1090" s="89"/>
      <c r="S1090" s="89"/>
      <c r="T1090" s="89"/>
      <c r="U1090" s="89"/>
      <c r="V1090" s="89"/>
      <c r="W1090" s="89"/>
      <c r="X1090" s="89"/>
      <c r="Y1090" s="89"/>
      <c r="Z1090" s="89"/>
      <c r="AA1090" s="89"/>
      <c r="AB1090" s="89"/>
      <c r="AC1090" s="89"/>
      <c r="AD1090" s="89"/>
      <c r="AE1090" s="89"/>
      <c r="AF1090" s="89"/>
      <c r="AG1090" s="89"/>
      <c r="AH1090" s="89"/>
      <c r="AI1090" s="89"/>
      <c r="AJ1090" s="89"/>
      <c r="AK1090" s="89"/>
      <c r="AL1090" s="89"/>
      <c r="AM1090" s="89"/>
      <c r="AN1090" s="89"/>
      <c r="AO1090" s="89"/>
      <c r="AP1090" s="89"/>
      <c r="AQ1090" s="89"/>
      <c r="AR1090" s="89"/>
      <c r="AS1090" s="89"/>
      <c r="AT1090" s="89"/>
      <c r="AU1090" s="89"/>
      <c r="AV1090" s="89"/>
      <c r="AW1090" s="89"/>
      <c r="AX1090" s="89"/>
      <c r="AY1090" s="89"/>
      <c r="AZ1090" s="89"/>
      <c r="BA1090" s="95"/>
    </row>
    <row r="1091" spans="1:53" s="87" customFormat="1">
      <c r="A1091" s="90" t="str">
        <f t="shared" si="41"/>
        <v/>
      </c>
      <c r="B1091" s="89"/>
      <c r="C1091" s="89"/>
      <c r="D1091" s="89"/>
      <c r="E1091" s="89"/>
      <c r="F1091" s="89"/>
      <c r="G1091" s="89"/>
      <c r="H1091" s="89"/>
      <c r="I1091" s="89"/>
      <c r="J1091" s="89"/>
      <c r="K1091" s="89"/>
      <c r="L1091" s="89"/>
      <c r="M1091" s="89"/>
      <c r="N1091" s="89"/>
      <c r="O1091" s="89"/>
      <c r="P1091" s="89"/>
      <c r="Q1091" s="89"/>
      <c r="R1091" s="89"/>
      <c r="S1091" s="89"/>
      <c r="T1091" s="89"/>
      <c r="U1091" s="89"/>
      <c r="V1091" s="89"/>
      <c r="W1091" s="89"/>
      <c r="X1091" s="89"/>
      <c r="Y1091" s="89"/>
      <c r="Z1091" s="89"/>
      <c r="AA1091" s="89"/>
      <c r="AB1091" s="89"/>
      <c r="AC1091" s="89"/>
      <c r="AD1091" s="89"/>
      <c r="AE1091" s="89"/>
      <c r="AF1091" s="89"/>
      <c r="AG1091" s="89"/>
      <c r="AH1091" s="89"/>
      <c r="AI1091" s="89"/>
      <c r="AJ1091" s="89"/>
      <c r="AK1091" s="89"/>
      <c r="AL1091" s="89"/>
      <c r="AM1091" s="89"/>
      <c r="AN1091" s="89"/>
      <c r="AO1091" s="89"/>
      <c r="AP1091" s="89"/>
      <c r="AQ1091" s="89"/>
      <c r="AR1091" s="89"/>
      <c r="AS1091" s="89"/>
      <c r="AT1091" s="89"/>
      <c r="AU1091" s="89"/>
      <c r="AV1091" s="89"/>
      <c r="AW1091" s="89"/>
      <c r="AX1091" s="89"/>
      <c r="AY1091" s="89"/>
      <c r="AZ1091" s="89"/>
      <c r="BA1091" s="95"/>
    </row>
    <row r="1092" spans="1:53" s="87" customFormat="1">
      <c r="A1092" s="90" t="str">
        <f t="shared" si="41"/>
        <v/>
      </c>
      <c r="B1092" s="89"/>
      <c r="C1092" s="89"/>
      <c r="D1092" s="89"/>
      <c r="E1092" s="89"/>
      <c r="F1092" s="89"/>
      <c r="G1092" s="89"/>
      <c r="H1092" s="89"/>
      <c r="I1092" s="89"/>
      <c r="J1092" s="89"/>
      <c r="K1092" s="89"/>
      <c r="L1092" s="89"/>
      <c r="M1092" s="89"/>
      <c r="N1092" s="89"/>
      <c r="O1092" s="89"/>
      <c r="P1092" s="89"/>
      <c r="Q1092" s="89"/>
      <c r="R1092" s="89"/>
      <c r="S1092" s="89"/>
      <c r="T1092" s="89"/>
      <c r="U1092" s="89"/>
      <c r="V1092" s="89"/>
      <c r="W1092" s="89"/>
      <c r="X1092" s="89"/>
      <c r="Y1092" s="89"/>
      <c r="Z1092" s="89"/>
      <c r="AA1092" s="89"/>
      <c r="AB1092" s="89"/>
      <c r="AC1092" s="89"/>
      <c r="AD1092" s="89"/>
      <c r="AE1092" s="89"/>
      <c r="AF1092" s="89"/>
      <c r="AG1092" s="89"/>
      <c r="AH1092" s="89"/>
      <c r="AI1092" s="89"/>
      <c r="AJ1092" s="89"/>
      <c r="AK1092" s="89"/>
      <c r="AL1092" s="89"/>
      <c r="AM1092" s="89"/>
      <c r="AN1092" s="89"/>
      <c r="AO1092" s="89"/>
      <c r="AP1092" s="89"/>
      <c r="AQ1092" s="89"/>
      <c r="AR1092" s="89"/>
      <c r="AS1092" s="89"/>
      <c r="AT1092" s="89"/>
      <c r="AU1092" s="89"/>
      <c r="AV1092" s="89"/>
      <c r="AW1092" s="89"/>
      <c r="AX1092" s="89"/>
      <c r="AY1092" s="89"/>
      <c r="AZ1092" s="89"/>
      <c r="BA1092" s="95"/>
    </row>
    <row r="1093" spans="1:53" s="87" customFormat="1">
      <c r="A1093" s="90" t="str">
        <f t="shared" si="41"/>
        <v/>
      </c>
      <c r="B1093" s="89"/>
      <c r="C1093" s="89"/>
      <c r="D1093" s="89"/>
      <c r="E1093" s="89"/>
      <c r="F1093" s="89"/>
      <c r="G1093" s="89"/>
      <c r="H1093" s="89"/>
      <c r="I1093" s="89"/>
      <c r="J1093" s="89"/>
      <c r="K1093" s="89"/>
      <c r="L1093" s="89"/>
      <c r="M1093" s="89"/>
      <c r="N1093" s="89"/>
      <c r="O1093" s="89"/>
      <c r="P1093" s="89"/>
      <c r="Q1093" s="89"/>
      <c r="R1093" s="89"/>
      <c r="S1093" s="89"/>
      <c r="T1093" s="89"/>
      <c r="U1093" s="89"/>
      <c r="V1093" s="89"/>
      <c r="W1093" s="89"/>
      <c r="X1093" s="89"/>
      <c r="Y1093" s="89"/>
      <c r="Z1093" s="89"/>
      <c r="AA1093" s="89"/>
      <c r="AB1093" s="89"/>
      <c r="AC1093" s="89"/>
      <c r="AD1093" s="89"/>
      <c r="AE1093" s="89"/>
      <c r="AF1093" s="89"/>
      <c r="AG1093" s="89"/>
      <c r="AH1093" s="89"/>
      <c r="AI1093" s="89"/>
      <c r="AJ1093" s="89"/>
      <c r="AK1093" s="89"/>
      <c r="AL1093" s="89"/>
      <c r="AM1093" s="89"/>
      <c r="AN1093" s="89"/>
      <c r="AO1093" s="89"/>
      <c r="AP1093" s="89"/>
      <c r="AQ1093" s="89"/>
      <c r="AR1093" s="89"/>
      <c r="AS1093" s="89"/>
      <c r="AT1093" s="89"/>
      <c r="AU1093" s="89"/>
      <c r="AV1093" s="89"/>
      <c r="AW1093" s="89"/>
      <c r="AX1093" s="89"/>
      <c r="AY1093" s="89"/>
      <c r="AZ1093" s="89"/>
      <c r="BA1093" s="95"/>
    </row>
    <row r="1094" spans="1:53" s="87" customFormat="1">
      <c r="A1094" s="90" t="str">
        <f t="shared" si="41"/>
        <v/>
      </c>
      <c r="B1094" s="89"/>
      <c r="C1094" s="89"/>
      <c r="D1094" s="89"/>
      <c r="E1094" s="89"/>
      <c r="F1094" s="89"/>
      <c r="G1094" s="89"/>
      <c r="H1094" s="89"/>
      <c r="I1094" s="89"/>
      <c r="J1094" s="89"/>
      <c r="K1094" s="89"/>
      <c r="L1094" s="89"/>
      <c r="M1094" s="89"/>
      <c r="N1094" s="89"/>
      <c r="O1094" s="89"/>
      <c r="P1094" s="89"/>
      <c r="Q1094" s="89"/>
      <c r="R1094" s="89"/>
      <c r="S1094" s="89"/>
      <c r="T1094" s="89"/>
      <c r="U1094" s="89"/>
      <c r="V1094" s="89"/>
      <c r="W1094" s="89"/>
      <c r="X1094" s="89"/>
      <c r="Y1094" s="89"/>
      <c r="Z1094" s="89"/>
      <c r="AA1094" s="89"/>
      <c r="AB1094" s="89"/>
      <c r="AC1094" s="89"/>
      <c r="AD1094" s="89"/>
      <c r="AE1094" s="89"/>
      <c r="AF1094" s="89"/>
      <c r="AG1094" s="89"/>
      <c r="AH1094" s="89"/>
      <c r="AI1094" s="89"/>
      <c r="AJ1094" s="89"/>
      <c r="AK1094" s="89"/>
      <c r="AL1094" s="89"/>
      <c r="AM1094" s="89"/>
      <c r="AN1094" s="89"/>
      <c r="AO1094" s="89"/>
      <c r="AP1094" s="89"/>
      <c r="AQ1094" s="89"/>
      <c r="AR1094" s="89"/>
      <c r="AS1094" s="89"/>
      <c r="AT1094" s="89"/>
      <c r="AU1094" s="89"/>
      <c r="AV1094" s="89"/>
      <c r="AW1094" s="89"/>
      <c r="AX1094" s="89"/>
      <c r="AY1094" s="89"/>
      <c r="AZ1094" s="89"/>
      <c r="BA1094" s="95"/>
    </row>
    <row r="1095" spans="1:53" s="87" customFormat="1">
      <c r="A1095" s="90" t="str">
        <f t="shared" si="41"/>
        <v/>
      </c>
      <c r="B1095" s="89"/>
      <c r="C1095" s="89"/>
      <c r="D1095" s="89"/>
      <c r="E1095" s="89"/>
      <c r="F1095" s="89"/>
      <c r="G1095" s="89"/>
      <c r="H1095" s="89"/>
      <c r="I1095" s="89"/>
      <c r="J1095" s="89"/>
      <c r="K1095" s="89"/>
      <c r="L1095" s="89"/>
      <c r="M1095" s="89"/>
      <c r="N1095" s="89"/>
      <c r="O1095" s="89"/>
      <c r="P1095" s="89"/>
      <c r="Q1095" s="89"/>
      <c r="R1095" s="89"/>
      <c r="S1095" s="89"/>
      <c r="T1095" s="89"/>
      <c r="U1095" s="89"/>
      <c r="V1095" s="89"/>
      <c r="W1095" s="89"/>
      <c r="X1095" s="89"/>
      <c r="Y1095" s="89"/>
      <c r="Z1095" s="89"/>
      <c r="AA1095" s="89"/>
      <c r="AB1095" s="89"/>
      <c r="AC1095" s="89"/>
      <c r="AD1095" s="89"/>
      <c r="AE1095" s="89"/>
      <c r="AF1095" s="89"/>
      <c r="AG1095" s="89"/>
      <c r="AH1095" s="89"/>
      <c r="AI1095" s="89"/>
      <c r="AJ1095" s="89"/>
      <c r="AK1095" s="89"/>
      <c r="AL1095" s="89"/>
      <c r="AM1095" s="89"/>
      <c r="AN1095" s="89"/>
      <c r="AO1095" s="89"/>
      <c r="AP1095" s="89"/>
      <c r="AQ1095" s="89"/>
      <c r="AR1095" s="89"/>
      <c r="AS1095" s="89"/>
      <c r="AT1095" s="89"/>
      <c r="AU1095" s="89"/>
      <c r="AV1095" s="89"/>
      <c r="AW1095" s="89"/>
      <c r="AX1095" s="89"/>
      <c r="AY1095" s="89"/>
      <c r="AZ1095" s="89"/>
      <c r="BA1095" s="95"/>
    </row>
    <row r="1096" spans="1:53" s="87" customFormat="1">
      <c r="A1096" s="90" t="str">
        <f t="shared" si="41"/>
        <v/>
      </c>
      <c r="B1096" s="89"/>
      <c r="C1096" s="89"/>
      <c r="D1096" s="89"/>
      <c r="E1096" s="89"/>
      <c r="F1096" s="89"/>
      <c r="G1096" s="89"/>
      <c r="H1096" s="89"/>
      <c r="I1096" s="89"/>
      <c r="J1096" s="89"/>
      <c r="K1096" s="89"/>
      <c r="L1096" s="89"/>
      <c r="M1096" s="89"/>
      <c r="N1096" s="89"/>
      <c r="O1096" s="89"/>
      <c r="P1096" s="89"/>
      <c r="Q1096" s="89"/>
      <c r="R1096" s="89"/>
      <c r="S1096" s="89"/>
      <c r="T1096" s="89"/>
      <c r="U1096" s="89"/>
      <c r="V1096" s="89"/>
      <c r="W1096" s="89"/>
      <c r="X1096" s="89"/>
      <c r="Y1096" s="89"/>
      <c r="Z1096" s="89"/>
      <c r="AA1096" s="89"/>
      <c r="AB1096" s="89"/>
      <c r="AC1096" s="89"/>
      <c r="AD1096" s="89"/>
      <c r="AE1096" s="89"/>
      <c r="AF1096" s="89"/>
      <c r="AG1096" s="89"/>
      <c r="AH1096" s="89"/>
      <c r="AI1096" s="89"/>
      <c r="AJ1096" s="89"/>
      <c r="AK1096" s="89"/>
      <c r="AL1096" s="89"/>
      <c r="AM1096" s="89"/>
      <c r="AN1096" s="89"/>
      <c r="AO1096" s="89"/>
      <c r="AP1096" s="89"/>
      <c r="AQ1096" s="89"/>
      <c r="AR1096" s="89"/>
      <c r="AS1096" s="89"/>
      <c r="AT1096" s="89"/>
      <c r="AU1096" s="89"/>
      <c r="AV1096" s="89"/>
      <c r="AW1096" s="89"/>
      <c r="AX1096" s="89"/>
      <c r="AY1096" s="89"/>
      <c r="AZ1096" s="89"/>
      <c r="BA1096" s="95"/>
    </row>
    <row r="1097" spans="1:53" s="87" customFormat="1">
      <c r="A1097" s="90" t="str">
        <f t="shared" si="41"/>
        <v/>
      </c>
      <c r="B1097" s="89"/>
      <c r="C1097" s="89"/>
      <c r="D1097" s="89"/>
      <c r="E1097" s="89"/>
      <c r="F1097" s="89"/>
      <c r="G1097" s="89"/>
      <c r="H1097" s="89"/>
      <c r="I1097" s="89"/>
      <c r="J1097" s="89"/>
      <c r="K1097" s="89"/>
      <c r="L1097" s="89"/>
      <c r="M1097" s="89"/>
      <c r="N1097" s="89"/>
      <c r="O1097" s="89"/>
      <c r="P1097" s="89"/>
      <c r="Q1097" s="89"/>
      <c r="R1097" s="89"/>
      <c r="S1097" s="89"/>
      <c r="T1097" s="89"/>
      <c r="U1097" s="89"/>
      <c r="V1097" s="89"/>
      <c r="W1097" s="89"/>
      <c r="X1097" s="89"/>
      <c r="Y1097" s="89"/>
      <c r="Z1097" s="89"/>
      <c r="AA1097" s="89"/>
      <c r="AB1097" s="89"/>
      <c r="AC1097" s="89"/>
      <c r="AD1097" s="89"/>
      <c r="AE1097" s="89"/>
      <c r="AF1097" s="89"/>
      <c r="AG1097" s="89"/>
      <c r="AH1097" s="89"/>
      <c r="AI1097" s="89"/>
      <c r="AJ1097" s="89"/>
      <c r="AK1097" s="89"/>
      <c r="AL1097" s="89"/>
      <c r="AM1097" s="89"/>
      <c r="AN1097" s="89"/>
      <c r="AO1097" s="89"/>
      <c r="AP1097" s="89"/>
      <c r="AQ1097" s="89"/>
      <c r="AR1097" s="89"/>
      <c r="AS1097" s="89"/>
      <c r="AT1097" s="89"/>
      <c r="AU1097" s="89"/>
      <c r="AV1097" s="89"/>
      <c r="AW1097" s="89"/>
      <c r="AX1097" s="89"/>
      <c r="AY1097" s="89"/>
      <c r="AZ1097" s="89"/>
      <c r="BA1097" s="95"/>
    </row>
    <row r="1098" spans="1:53" s="87" customFormat="1">
      <c r="A1098" s="90" t="str">
        <f t="shared" si="41"/>
        <v/>
      </c>
      <c r="B1098" s="89"/>
      <c r="C1098" s="89"/>
      <c r="D1098" s="89"/>
      <c r="E1098" s="89"/>
      <c r="F1098" s="89"/>
      <c r="G1098" s="89"/>
      <c r="H1098" s="89"/>
      <c r="I1098" s="89"/>
      <c r="J1098" s="89"/>
      <c r="K1098" s="89"/>
      <c r="L1098" s="89"/>
      <c r="M1098" s="89"/>
      <c r="N1098" s="89"/>
      <c r="O1098" s="89"/>
      <c r="P1098" s="89"/>
      <c r="Q1098" s="89"/>
      <c r="R1098" s="89"/>
      <c r="S1098" s="89"/>
      <c r="T1098" s="89"/>
      <c r="U1098" s="89"/>
      <c r="V1098" s="89"/>
      <c r="W1098" s="89"/>
      <c r="X1098" s="89"/>
      <c r="Y1098" s="89"/>
      <c r="Z1098" s="89"/>
      <c r="AA1098" s="89"/>
      <c r="AB1098" s="89"/>
      <c r="AC1098" s="89"/>
      <c r="AD1098" s="89"/>
      <c r="AE1098" s="89"/>
      <c r="AF1098" s="89"/>
      <c r="AG1098" s="89"/>
      <c r="AH1098" s="89"/>
      <c r="AI1098" s="89"/>
      <c r="AJ1098" s="89"/>
      <c r="AK1098" s="89"/>
      <c r="AL1098" s="89"/>
      <c r="AM1098" s="89"/>
      <c r="AN1098" s="89"/>
      <c r="AO1098" s="89"/>
      <c r="AP1098" s="89"/>
      <c r="AQ1098" s="89"/>
      <c r="AR1098" s="89"/>
      <c r="AS1098" s="89"/>
      <c r="AT1098" s="89"/>
      <c r="AU1098" s="89"/>
      <c r="AV1098" s="89"/>
      <c r="AW1098" s="89"/>
      <c r="AX1098" s="89"/>
      <c r="AY1098" s="89"/>
      <c r="AZ1098" s="89"/>
      <c r="BA1098" s="95"/>
    </row>
    <row r="1099" spans="1:53" s="87" customFormat="1">
      <c r="A1099" s="90" t="str">
        <f t="shared" si="41"/>
        <v/>
      </c>
      <c r="B1099" s="89"/>
      <c r="C1099" s="89"/>
      <c r="D1099" s="89"/>
      <c r="E1099" s="89"/>
      <c r="F1099" s="89"/>
      <c r="G1099" s="89"/>
      <c r="H1099" s="89"/>
      <c r="I1099" s="89"/>
      <c r="J1099" s="89"/>
      <c r="K1099" s="89"/>
      <c r="L1099" s="89"/>
      <c r="M1099" s="89"/>
      <c r="N1099" s="89"/>
      <c r="O1099" s="89"/>
      <c r="P1099" s="89"/>
      <c r="Q1099" s="89"/>
      <c r="R1099" s="89"/>
      <c r="S1099" s="89"/>
      <c r="T1099" s="89"/>
      <c r="U1099" s="89"/>
      <c r="V1099" s="89"/>
      <c r="W1099" s="89"/>
      <c r="X1099" s="89"/>
      <c r="Y1099" s="89"/>
      <c r="Z1099" s="89"/>
      <c r="AA1099" s="89"/>
      <c r="AB1099" s="89"/>
      <c r="AC1099" s="89"/>
      <c r="AD1099" s="89"/>
      <c r="AE1099" s="89"/>
      <c r="AF1099" s="89"/>
      <c r="AG1099" s="89"/>
      <c r="AH1099" s="89"/>
      <c r="AI1099" s="89"/>
      <c r="AJ1099" s="89"/>
      <c r="AK1099" s="89"/>
      <c r="AL1099" s="89"/>
      <c r="AM1099" s="89"/>
      <c r="AN1099" s="89"/>
      <c r="AO1099" s="89"/>
      <c r="AP1099" s="89"/>
      <c r="AQ1099" s="89"/>
      <c r="AR1099" s="89"/>
      <c r="AS1099" s="89"/>
      <c r="AT1099" s="89"/>
      <c r="AU1099" s="89"/>
      <c r="AV1099" s="89"/>
      <c r="AW1099" s="89"/>
      <c r="AX1099" s="89"/>
      <c r="AY1099" s="89"/>
      <c r="AZ1099" s="89"/>
      <c r="BA1099" s="95"/>
    </row>
    <row r="1100" spans="1:53" s="87" customFormat="1">
      <c r="A1100" s="90" t="str">
        <f t="shared" ref="A1100:A1163" si="42">IF(MID(B1100,3,2)="10",ROW(),"")</f>
        <v/>
      </c>
      <c r="B1100" s="89"/>
      <c r="C1100" s="89"/>
      <c r="D1100" s="89"/>
      <c r="E1100" s="89"/>
      <c r="F1100" s="89"/>
      <c r="G1100" s="89"/>
      <c r="H1100" s="89"/>
      <c r="I1100" s="89"/>
      <c r="J1100" s="89"/>
      <c r="K1100" s="89"/>
      <c r="L1100" s="89"/>
      <c r="M1100" s="89"/>
      <c r="N1100" s="89"/>
      <c r="O1100" s="89"/>
      <c r="P1100" s="89"/>
      <c r="Q1100" s="89"/>
      <c r="R1100" s="89"/>
      <c r="S1100" s="89"/>
      <c r="T1100" s="89"/>
      <c r="U1100" s="89"/>
      <c r="V1100" s="89"/>
      <c r="W1100" s="89"/>
      <c r="X1100" s="89"/>
      <c r="Y1100" s="89"/>
      <c r="Z1100" s="89"/>
      <c r="AA1100" s="89"/>
      <c r="AB1100" s="89"/>
      <c r="AC1100" s="89"/>
      <c r="AD1100" s="89"/>
      <c r="AE1100" s="89"/>
      <c r="AF1100" s="89"/>
      <c r="AG1100" s="89"/>
      <c r="AH1100" s="89"/>
      <c r="AI1100" s="89"/>
      <c r="AJ1100" s="89"/>
      <c r="AK1100" s="89"/>
      <c r="AL1100" s="89"/>
      <c r="AM1100" s="89"/>
      <c r="AN1100" s="89"/>
      <c r="AO1100" s="89"/>
      <c r="AP1100" s="89"/>
      <c r="AQ1100" s="89"/>
      <c r="AR1100" s="89"/>
      <c r="AS1100" s="89"/>
      <c r="AT1100" s="89"/>
      <c r="AU1100" s="89"/>
      <c r="AV1100" s="89"/>
      <c r="AW1100" s="89"/>
      <c r="AX1100" s="89"/>
      <c r="AY1100" s="89"/>
      <c r="AZ1100" s="89"/>
      <c r="BA1100" s="95"/>
    </row>
    <row r="1101" spans="1:53" s="87" customFormat="1">
      <c r="A1101" s="90" t="str">
        <f t="shared" si="42"/>
        <v/>
      </c>
      <c r="B1101" s="89"/>
      <c r="C1101" s="89"/>
      <c r="D1101" s="89"/>
      <c r="E1101" s="89"/>
      <c r="F1101" s="89"/>
      <c r="G1101" s="89"/>
      <c r="H1101" s="89"/>
      <c r="I1101" s="89"/>
      <c r="J1101" s="89"/>
      <c r="K1101" s="89"/>
      <c r="L1101" s="89"/>
      <c r="M1101" s="89"/>
      <c r="N1101" s="89"/>
      <c r="O1101" s="89"/>
      <c r="P1101" s="89"/>
      <c r="Q1101" s="89"/>
      <c r="R1101" s="89"/>
      <c r="S1101" s="89"/>
      <c r="T1101" s="89"/>
      <c r="U1101" s="89"/>
      <c r="V1101" s="89"/>
      <c r="W1101" s="89"/>
      <c r="X1101" s="89"/>
      <c r="Y1101" s="89"/>
      <c r="Z1101" s="89"/>
      <c r="AA1101" s="89"/>
      <c r="AB1101" s="89"/>
      <c r="AC1101" s="89"/>
      <c r="AD1101" s="89"/>
      <c r="AE1101" s="89"/>
      <c r="AF1101" s="89"/>
      <c r="AG1101" s="89"/>
      <c r="AH1101" s="89"/>
      <c r="AI1101" s="89"/>
      <c r="AJ1101" s="89"/>
      <c r="AK1101" s="89"/>
      <c r="AL1101" s="89"/>
      <c r="AM1101" s="89"/>
      <c r="AN1101" s="89"/>
      <c r="AO1101" s="89"/>
      <c r="AP1101" s="89"/>
      <c r="AQ1101" s="89"/>
      <c r="AR1101" s="89"/>
      <c r="AS1101" s="89"/>
      <c r="AT1101" s="89"/>
      <c r="AU1101" s="89"/>
      <c r="AV1101" s="89"/>
      <c r="AW1101" s="89"/>
      <c r="AX1101" s="89"/>
      <c r="AY1101" s="89"/>
      <c r="AZ1101" s="89"/>
      <c r="BA1101" s="95"/>
    </row>
    <row r="1102" spans="1:53" s="87" customFormat="1">
      <c r="A1102" s="90" t="str">
        <f t="shared" si="42"/>
        <v/>
      </c>
      <c r="B1102" s="89"/>
      <c r="C1102" s="89"/>
      <c r="D1102" s="89"/>
      <c r="E1102" s="89"/>
      <c r="F1102" s="89"/>
      <c r="G1102" s="89"/>
      <c r="H1102" s="89"/>
      <c r="I1102" s="89"/>
      <c r="J1102" s="89"/>
      <c r="K1102" s="89"/>
      <c r="L1102" s="89"/>
      <c r="M1102" s="89"/>
      <c r="N1102" s="89"/>
      <c r="O1102" s="89"/>
      <c r="P1102" s="89"/>
      <c r="Q1102" s="89"/>
      <c r="R1102" s="89"/>
      <c r="S1102" s="89"/>
      <c r="T1102" s="89"/>
      <c r="U1102" s="89"/>
      <c r="V1102" s="89"/>
      <c r="W1102" s="89"/>
      <c r="X1102" s="89"/>
      <c r="Y1102" s="89"/>
      <c r="Z1102" s="89"/>
      <c r="AA1102" s="89"/>
      <c r="AB1102" s="89"/>
      <c r="AC1102" s="89"/>
      <c r="AD1102" s="89"/>
      <c r="AE1102" s="89"/>
      <c r="AF1102" s="89"/>
      <c r="AG1102" s="89"/>
      <c r="AH1102" s="89"/>
      <c r="AI1102" s="89"/>
      <c r="AJ1102" s="89"/>
      <c r="AK1102" s="89"/>
      <c r="AL1102" s="89"/>
      <c r="AM1102" s="89"/>
      <c r="AN1102" s="89"/>
      <c r="AO1102" s="89"/>
      <c r="AP1102" s="89"/>
      <c r="AQ1102" s="89"/>
      <c r="AR1102" s="89"/>
      <c r="AS1102" s="89"/>
      <c r="AT1102" s="89"/>
      <c r="AU1102" s="89"/>
      <c r="AV1102" s="89"/>
      <c r="AW1102" s="89"/>
      <c r="AX1102" s="89"/>
      <c r="AY1102" s="89"/>
      <c r="AZ1102" s="89"/>
      <c r="BA1102" s="95"/>
    </row>
    <row r="1103" spans="1:53" s="87" customFormat="1">
      <c r="A1103" s="90" t="str">
        <f t="shared" si="42"/>
        <v/>
      </c>
      <c r="B1103" s="89"/>
      <c r="C1103" s="89"/>
      <c r="D1103" s="89"/>
      <c r="E1103" s="89"/>
      <c r="F1103" s="89"/>
      <c r="G1103" s="89"/>
      <c r="H1103" s="89"/>
      <c r="I1103" s="89"/>
      <c r="J1103" s="89"/>
      <c r="K1103" s="89"/>
      <c r="L1103" s="89"/>
      <c r="M1103" s="89"/>
      <c r="N1103" s="89"/>
      <c r="O1103" s="89"/>
      <c r="P1103" s="89"/>
      <c r="Q1103" s="89"/>
      <c r="R1103" s="89"/>
      <c r="S1103" s="89"/>
      <c r="T1103" s="89"/>
      <c r="U1103" s="89"/>
      <c r="V1103" s="89"/>
      <c r="W1103" s="89"/>
      <c r="X1103" s="89"/>
      <c r="Y1103" s="89"/>
      <c r="Z1103" s="89"/>
      <c r="AA1103" s="89"/>
      <c r="AB1103" s="89"/>
      <c r="AC1103" s="89"/>
      <c r="AD1103" s="89"/>
      <c r="AE1103" s="89"/>
      <c r="AF1103" s="89"/>
      <c r="AG1103" s="89"/>
      <c r="AH1103" s="89"/>
      <c r="AI1103" s="89"/>
      <c r="AJ1103" s="89"/>
      <c r="AK1103" s="89"/>
      <c r="AL1103" s="89"/>
      <c r="AM1103" s="89"/>
      <c r="AN1103" s="89"/>
      <c r="AO1103" s="89"/>
      <c r="AP1103" s="89"/>
      <c r="AQ1103" s="89"/>
      <c r="AR1103" s="89"/>
      <c r="AS1103" s="89"/>
      <c r="AT1103" s="89"/>
      <c r="AU1103" s="89"/>
      <c r="AV1103" s="89"/>
      <c r="AW1103" s="89"/>
      <c r="AX1103" s="89"/>
      <c r="AY1103" s="89"/>
      <c r="AZ1103" s="89"/>
      <c r="BA1103" s="95"/>
    </row>
    <row r="1104" spans="1:53" s="87" customFormat="1">
      <c r="A1104" s="90" t="str">
        <f t="shared" si="42"/>
        <v/>
      </c>
      <c r="B1104" s="89"/>
      <c r="C1104" s="89"/>
      <c r="D1104" s="89"/>
      <c r="E1104" s="89"/>
      <c r="F1104" s="89"/>
      <c r="G1104" s="89"/>
      <c r="H1104" s="89"/>
      <c r="I1104" s="89"/>
      <c r="J1104" s="89"/>
      <c r="K1104" s="89"/>
      <c r="L1104" s="89"/>
      <c r="M1104" s="89"/>
      <c r="N1104" s="89"/>
      <c r="O1104" s="89"/>
      <c r="P1104" s="89"/>
      <c r="Q1104" s="89"/>
      <c r="R1104" s="89"/>
      <c r="S1104" s="89"/>
      <c r="T1104" s="89"/>
      <c r="U1104" s="89"/>
      <c r="V1104" s="89"/>
      <c r="W1104" s="89"/>
      <c r="X1104" s="89"/>
      <c r="Y1104" s="89"/>
      <c r="Z1104" s="89"/>
      <c r="AA1104" s="89"/>
      <c r="AB1104" s="89"/>
      <c r="AC1104" s="89"/>
      <c r="AD1104" s="89"/>
      <c r="AE1104" s="89"/>
      <c r="AF1104" s="89"/>
      <c r="AG1104" s="89"/>
      <c r="AH1104" s="89"/>
      <c r="AI1104" s="89"/>
      <c r="AJ1104" s="89"/>
      <c r="AK1104" s="89"/>
      <c r="AL1104" s="89"/>
      <c r="AM1104" s="89"/>
      <c r="AN1104" s="89"/>
      <c r="AO1104" s="89"/>
      <c r="AP1104" s="89"/>
      <c r="AQ1104" s="89"/>
      <c r="AR1104" s="89"/>
      <c r="AS1104" s="89"/>
      <c r="AT1104" s="89"/>
      <c r="AU1104" s="89"/>
      <c r="AV1104" s="89"/>
      <c r="AW1104" s="89"/>
      <c r="AX1104" s="89"/>
      <c r="AY1104" s="89"/>
      <c r="AZ1104" s="89"/>
      <c r="BA1104" s="95"/>
    </row>
    <row r="1105" spans="1:53" s="87" customFormat="1">
      <c r="A1105" s="90" t="str">
        <f t="shared" si="42"/>
        <v/>
      </c>
      <c r="B1105" s="89"/>
      <c r="C1105" s="89"/>
      <c r="D1105" s="89"/>
      <c r="E1105" s="89"/>
      <c r="F1105" s="89"/>
      <c r="G1105" s="89"/>
      <c r="H1105" s="89"/>
      <c r="I1105" s="89"/>
      <c r="J1105" s="89"/>
      <c r="K1105" s="89"/>
      <c r="L1105" s="89"/>
      <c r="M1105" s="89"/>
      <c r="N1105" s="89"/>
      <c r="O1105" s="89"/>
      <c r="P1105" s="89"/>
      <c r="Q1105" s="89"/>
      <c r="R1105" s="89"/>
      <c r="S1105" s="89"/>
      <c r="T1105" s="89"/>
      <c r="U1105" s="89"/>
      <c r="V1105" s="89"/>
      <c r="W1105" s="89"/>
      <c r="X1105" s="89"/>
      <c r="Y1105" s="89"/>
      <c r="Z1105" s="89"/>
      <c r="AA1105" s="89"/>
      <c r="AB1105" s="89"/>
      <c r="AC1105" s="89"/>
      <c r="AD1105" s="89"/>
      <c r="AE1105" s="89"/>
      <c r="AF1105" s="89"/>
      <c r="AG1105" s="89"/>
      <c r="AH1105" s="89"/>
      <c r="AI1105" s="89"/>
      <c r="AJ1105" s="89"/>
      <c r="AK1105" s="89"/>
      <c r="AL1105" s="89"/>
      <c r="AM1105" s="89"/>
      <c r="AN1105" s="89"/>
      <c r="AO1105" s="89"/>
      <c r="AP1105" s="89"/>
      <c r="AQ1105" s="89"/>
      <c r="AR1105" s="89"/>
      <c r="AS1105" s="89"/>
      <c r="AT1105" s="89"/>
      <c r="AU1105" s="89"/>
      <c r="AV1105" s="89"/>
      <c r="AW1105" s="89"/>
      <c r="AX1105" s="89"/>
      <c r="AY1105" s="89"/>
      <c r="AZ1105" s="89"/>
      <c r="BA1105" s="95"/>
    </row>
    <row r="1106" spans="1:53" s="87" customFormat="1">
      <c r="A1106" s="90" t="str">
        <f t="shared" si="42"/>
        <v/>
      </c>
      <c r="B1106" s="89"/>
      <c r="C1106" s="89"/>
      <c r="D1106" s="89"/>
      <c r="E1106" s="89"/>
      <c r="F1106" s="89"/>
      <c r="G1106" s="89"/>
      <c r="H1106" s="89"/>
      <c r="I1106" s="89"/>
      <c r="J1106" s="89"/>
      <c r="K1106" s="89"/>
      <c r="L1106" s="89"/>
      <c r="M1106" s="89"/>
      <c r="N1106" s="89"/>
      <c r="O1106" s="89"/>
      <c r="P1106" s="89"/>
      <c r="Q1106" s="89"/>
      <c r="R1106" s="89"/>
      <c r="S1106" s="89"/>
      <c r="T1106" s="89"/>
      <c r="U1106" s="89"/>
      <c r="V1106" s="89"/>
      <c r="W1106" s="89"/>
      <c r="X1106" s="89"/>
      <c r="Y1106" s="89"/>
      <c r="Z1106" s="89"/>
      <c r="AA1106" s="89"/>
      <c r="AB1106" s="89"/>
      <c r="AC1106" s="89"/>
      <c r="AD1106" s="89"/>
      <c r="AE1106" s="89"/>
      <c r="AF1106" s="89"/>
      <c r="AG1106" s="89"/>
      <c r="AH1106" s="89"/>
      <c r="AI1106" s="89"/>
      <c r="AJ1106" s="89"/>
      <c r="AK1106" s="89"/>
      <c r="AL1106" s="89"/>
      <c r="AM1106" s="89"/>
      <c r="AN1106" s="89"/>
      <c r="AO1106" s="89"/>
      <c r="AP1106" s="89"/>
      <c r="AQ1106" s="89"/>
      <c r="AR1106" s="89"/>
      <c r="AS1106" s="89"/>
      <c r="AT1106" s="89"/>
      <c r="AU1106" s="89"/>
      <c r="AV1106" s="89"/>
      <c r="AW1106" s="89"/>
      <c r="AX1106" s="89"/>
      <c r="AY1106" s="89"/>
      <c r="AZ1106" s="89"/>
      <c r="BA1106" s="95"/>
    </row>
    <row r="1107" spans="1:53" s="87" customFormat="1">
      <c r="A1107" s="90" t="str">
        <f t="shared" si="42"/>
        <v/>
      </c>
      <c r="B1107" s="89"/>
      <c r="C1107" s="89"/>
      <c r="D1107" s="89"/>
      <c r="E1107" s="89"/>
      <c r="F1107" s="89"/>
      <c r="G1107" s="89"/>
      <c r="H1107" s="89"/>
      <c r="I1107" s="89"/>
      <c r="J1107" s="89"/>
      <c r="K1107" s="89"/>
      <c r="L1107" s="89"/>
      <c r="M1107" s="89"/>
      <c r="N1107" s="89"/>
      <c r="O1107" s="89"/>
      <c r="P1107" s="89"/>
      <c r="Q1107" s="89"/>
      <c r="R1107" s="89"/>
      <c r="S1107" s="89"/>
      <c r="T1107" s="89"/>
      <c r="U1107" s="89"/>
      <c r="V1107" s="89"/>
      <c r="W1107" s="89"/>
      <c r="X1107" s="89"/>
      <c r="Y1107" s="89"/>
      <c r="Z1107" s="89"/>
      <c r="AA1107" s="89"/>
      <c r="AB1107" s="89"/>
      <c r="AC1107" s="89"/>
      <c r="AD1107" s="89"/>
      <c r="AE1107" s="89"/>
      <c r="AF1107" s="89"/>
      <c r="AG1107" s="89"/>
      <c r="AH1107" s="89"/>
      <c r="AI1107" s="89"/>
      <c r="AJ1107" s="89"/>
      <c r="AK1107" s="89"/>
      <c r="AL1107" s="89"/>
      <c r="AM1107" s="89"/>
      <c r="AN1107" s="89"/>
      <c r="AO1107" s="89"/>
      <c r="AP1107" s="89"/>
      <c r="AQ1107" s="89"/>
      <c r="AR1107" s="89"/>
      <c r="AS1107" s="89"/>
      <c r="AT1107" s="89"/>
      <c r="AU1107" s="89"/>
      <c r="AV1107" s="89"/>
      <c r="AW1107" s="89"/>
      <c r="AX1107" s="89"/>
      <c r="AY1107" s="89"/>
      <c r="AZ1107" s="89"/>
      <c r="BA1107" s="95"/>
    </row>
    <row r="1108" spans="1:53" s="87" customFormat="1">
      <c r="A1108" s="90" t="str">
        <f t="shared" si="42"/>
        <v/>
      </c>
      <c r="B1108" s="89"/>
      <c r="C1108" s="89"/>
      <c r="D1108" s="89"/>
      <c r="E1108" s="89"/>
      <c r="F1108" s="89"/>
      <c r="G1108" s="89"/>
      <c r="H1108" s="89"/>
      <c r="I1108" s="89"/>
      <c r="J1108" s="89"/>
      <c r="K1108" s="89"/>
      <c r="L1108" s="89"/>
      <c r="M1108" s="89"/>
      <c r="N1108" s="89"/>
      <c r="O1108" s="89"/>
      <c r="P1108" s="89"/>
      <c r="Q1108" s="89"/>
      <c r="R1108" s="89"/>
      <c r="S1108" s="89"/>
      <c r="T1108" s="89"/>
      <c r="U1108" s="89"/>
      <c r="V1108" s="89"/>
      <c r="W1108" s="89"/>
      <c r="X1108" s="89"/>
      <c r="Y1108" s="89"/>
      <c r="Z1108" s="89"/>
      <c r="AA1108" s="89"/>
      <c r="AB1108" s="89"/>
      <c r="AC1108" s="89"/>
      <c r="AD1108" s="89"/>
      <c r="AE1108" s="89"/>
      <c r="AF1108" s="89"/>
      <c r="AG1108" s="89"/>
      <c r="AH1108" s="89"/>
      <c r="AI1108" s="89"/>
      <c r="AJ1108" s="89"/>
      <c r="AK1108" s="89"/>
      <c r="AL1108" s="89"/>
      <c r="AM1108" s="89"/>
      <c r="AN1108" s="89"/>
      <c r="AO1108" s="89"/>
      <c r="AP1108" s="89"/>
      <c r="AQ1108" s="89"/>
      <c r="AR1108" s="89"/>
      <c r="AS1108" s="89"/>
      <c r="AT1108" s="89"/>
      <c r="AU1108" s="89"/>
      <c r="AV1108" s="89"/>
      <c r="AW1108" s="89"/>
      <c r="AX1108" s="89"/>
      <c r="AY1108" s="89"/>
      <c r="AZ1108" s="89"/>
      <c r="BA1108" s="95"/>
    </row>
    <row r="1109" spans="1:53" s="87" customFormat="1">
      <c r="A1109" s="90" t="str">
        <f t="shared" si="42"/>
        <v/>
      </c>
      <c r="B1109" s="89"/>
      <c r="C1109" s="89"/>
      <c r="D1109" s="89"/>
      <c r="E1109" s="89"/>
      <c r="F1109" s="89"/>
      <c r="G1109" s="89"/>
      <c r="H1109" s="89"/>
      <c r="I1109" s="89"/>
      <c r="J1109" s="89"/>
      <c r="K1109" s="89"/>
      <c r="L1109" s="89"/>
      <c r="M1109" s="89"/>
      <c r="N1109" s="89"/>
      <c r="O1109" s="89"/>
      <c r="P1109" s="89"/>
      <c r="Q1109" s="89"/>
      <c r="R1109" s="89"/>
      <c r="S1109" s="89"/>
      <c r="T1109" s="89"/>
      <c r="U1109" s="89"/>
      <c r="V1109" s="89"/>
      <c r="W1109" s="89"/>
      <c r="X1109" s="89"/>
      <c r="Y1109" s="89"/>
      <c r="Z1109" s="89"/>
      <c r="AA1109" s="89"/>
      <c r="AB1109" s="89"/>
      <c r="AC1109" s="89"/>
      <c r="AD1109" s="89"/>
      <c r="AE1109" s="89"/>
      <c r="AF1109" s="89"/>
      <c r="AG1109" s="89"/>
      <c r="AH1109" s="89"/>
      <c r="AI1109" s="89"/>
      <c r="AJ1109" s="89"/>
      <c r="AK1109" s="89"/>
      <c r="AL1109" s="89"/>
      <c r="AM1109" s="89"/>
      <c r="AN1109" s="89"/>
      <c r="AO1109" s="89"/>
      <c r="AP1109" s="89"/>
      <c r="AQ1109" s="89"/>
      <c r="AR1109" s="89"/>
      <c r="AS1109" s="89"/>
      <c r="AT1109" s="89"/>
      <c r="AU1109" s="89"/>
      <c r="AV1109" s="89"/>
      <c r="AW1109" s="89"/>
      <c r="AX1109" s="89"/>
      <c r="AY1109" s="89"/>
      <c r="AZ1109" s="89"/>
      <c r="BA1109" s="95"/>
    </row>
    <row r="1110" spans="1:53" s="87" customFormat="1">
      <c r="A1110" s="90" t="str">
        <f t="shared" si="42"/>
        <v/>
      </c>
      <c r="B1110" s="89"/>
      <c r="C1110" s="89"/>
      <c r="D1110" s="89"/>
      <c r="E1110" s="89"/>
      <c r="F1110" s="89"/>
      <c r="G1110" s="89"/>
      <c r="H1110" s="89"/>
      <c r="I1110" s="89"/>
      <c r="J1110" s="89"/>
      <c r="K1110" s="89"/>
      <c r="L1110" s="89"/>
      <c r="M1110" s="89"/>
      <c r="N1110" s="89"/>
      <c r="O1110" s="89"/>
      <c r="P1110" s="89"/>
      <c r="Q1110" s="89"/>
      <c r="R1110" s="89"/>
      <c r="S1110" s="89"/>
      <c r="T1110" s="89"/>
      <c r="U1110" s="89"/>
      <c r="V1110" s="89"/>
      <c r="W1110" s="89"/>
      <c r="X1110" s="89"/>
      <c r="Y1110" s="89"/>
      <c r="Z1110" s="89"/>
      <c r="AA1110" s="89"/>
      <c r="AB1110" s="89"/>
      <c r="AC1110" s="89"/>
      <c r="AD1110" s="89"/>
      <c r="AE1110" s="89"/>
      <c r="AF1110" s="89"/>
      <c r="AG1110" s="89"/>
      <c r="AH1110" s="89"/>
      <c r="AI1110" s="89"/>
      <c r="AJ1110" s="89"/>
      <c r="AK1110" s="89"/>
      <c r="AL1110" s="89"/>
      <c r="AM1110" s="89"/>
      <c r="AN1110" s="89"/>
      <c r="AO1110" s="89"/>
      <c r="AP1110" s="89"/>
      <c r="AQ1110" s="89"/>
      <c r="AR1110" s="89"/>
      <c r="AS1110" s="89"/>
      <c r="AT1110" s="89"/>
      <c r="AU1110" s="89"/>
      <c r="AV1110" s="89"/>
      <c r="AW1110" s="89"/>
      <c r="AX1110" s="89"/>
      <c r="AY1110" s="89"/>
      <c r="AZ1110" s="89"/>
      <c r="BA1110" s="95"/>
    </row>
    <row r="1111" spans="1:53" s="87" customFormat="1">
      <c r="A1111" s="90" t="str">
        <f t="shared" si="42"/>
        <v/>
      </c>
      <c r="B1111" s="89"/>
      <c r="C1111" s="89"/>
      <c r="D1111" s="89"/>
      <c r="E1111" s="89"/>
      <c r="F1111" s="89"/>
      <c r="G1111" s="89"/>
      <c r="H1111" s="89"/>
      <c r="I1111" s="89"/>
      <c r="J1111" s="89"/>
      <c r="K1111" s="89"/>
      <c r="L1111" s="89"/>
      <c r="M1111" s="89"/>
      <c r="N1111" s="89"/>
      <c r="O1111" s="89"/>
      <c r="P1111" s="89"/>
      <c r="Q1111" s="89"/>
      <c r="R1111" s="89"/>
      <c r="S1111" s="89"/>
      <c r="T1111" s="89"/>
      <c r="U1111" s="89"/>
      <c r="V1111" s="89"/>
      <c r="W1111" s="89"/>
      <c r="X1111" s="89"/>
      <c r="Y1111" s="89"/>
      <c r="Z1111" s="89"/>
      <c r="AA1111" s="89"/>
      <c r="AB1111" s="89"/>
      <c r="AC1111" s="89"/>
      <c r="AD1111" s="89"/>
      <c r="AE1111" s="89"/>
      <c r="AF1111" s="89"/>
      <c r="AG1111" s="89"/>
      <c r="AH1111" s="89"/>
      <c r="AI1111" s="89"/>
      <c r="AJ1111" s="89"/>
      <c r="AK1111" s="89"/>
      <c r="AL1111" s="89"/>
      <c r="AM1111" s="89"/>
      <c r="AN1111" s="89"/>
      <c r="AO1111" s="89"/>
      <c r="AP1111" s="89"/>
      <c r="AQ1111" s="89"/>
      <c r="AR1111" s="89"/>
      <c r="AS1111" s="89"/>
      <c r="AT1111" s="89"/>
      <c r="AU1111" s="89"/>
      <c r="AV1111" s="89"/>
      <c r="AW1111" s="89"/>
      <c r="AX1111" s="89"/>
      <c r="AY1111" s="89"/>
      <c r="AZ1111" s="89"/>
      <c r="BA1111" s="95"/>
    </row>
    <row r="1112" spans="1:53" s="87" customFormat="1">
      <c r="A1112" s="90" t="str">
        <f t="shared" si="42"/>
        <v/>
      </c>
      <c r="B1112" s="89"/>
      <c r="C1112" s="89"/>
      <c r="D1112" s="89"/>
      <c r="E1112" s="89"/>
      <c r="F1112" s="89"/>
      <c r="G1112" s="89"/>
      <c r="H1112" s="89"/>
      <c r="I1112" s="89"/>
      <c r="J1112" s="89"/>
      <c r="K1112" s="89"/>
      <c r="L1112" s="89"/>
      <c r="M1112" s="89"/>
      <c r="N1112" s="89"/>
      <c r="O1112" s="89"/>
      <c r="P1112" s="89"/>
      <c r="Q1112" s="89"/>
      <c r="R1112" s="89"/>
      <c r="S1112" s="89"/>
      <c r="T1112" s="89"/>
      <c r="U1112" s="89"/>
      <c r="V1112" s="89"/>
      <c r="W1112" s="89"/>
      <c r="X1112" s="89"/>
      <c r="Y1112" s="89"/>
      <c r="Z1112" s="89"/>
      <c r="AA1112" s="89"/>
      <c r="AB1112" s="89"/>
      <c r="AC1112" s="89"/>
      <c r="AD1112" s="89"/>
      <c r="AE1112" s="89"/>
      <c r="AF1112" s="89"/>
      <c r="AG1112" s="89"/>
      <c r="AH1112" s="89"/>
      <c r="AI1112" s="89"/>
      <c r="AJ1112" s="89"/>
      <c r="AK1112" s="89"/>
      <c r="AL1112" s="89"/>
      <c r="AM1112" s="89"/>
      <c r="AN1112" s="89"/>
      <c r="AO1112" s="89"/>
      <c r="AP1112" s="89"/>
      <c r="AQ1112" s="89"/>
      <c r="AR1112" s="89"/>
      <c r="AS1112" s="89"/>
      <c r="AT1112" s="89"/>
      <c r="AU1112" s="89"/>
      <c r="AV1112" s="89"/>
      <c r="AW1112" s="89"/>
      <c r="AX1112" s="89"/>
      <c r="AY1112" s="89"/>
      <c r="AZ1112" s="89"/>
      <c r="BA1112" s="95"/>
    </row>
    <row r="1113" spans="1:53" s="87" customFormat="1">
      <c r="A1113" s="90" t="str">
        <f t="shared" si="42"/>
        <v/>
      </c>
      <c r="B1113" s="89"/>
      <c r="C1113" s="89"/>
      <c r="D1113" s="89"/>
      <c r="E1113" s="89"/>
      <c r="F1113" s="89"/>
      <c r="G1113" s="89"/>
      <c r="H1113" s="89"/>
      <c r="I1113" s="89"/>
      <c r="J1113" s="89"/>
      <c r="K1113" s="89"/>
      <c r="L1113" s="89"/>
      <c r="M1113" s="89"/>
      <c r="N1113" s="89"/>
      <c r="O1113" s="89"/>
      <c r="P1113" s="89"/>
      <c r="Q1113" s="89"/>
      <c r="R1113" s="89"/>
      <c r="S1113" s="89"/>
      <c r="T1113" s="89"/>
      <c r="U1113" s="89"/>
      <c r="V1113" s="89"/>
      <c r="W1113" s="89"/>
      <c r="X1113" s="89"/>
      <c r="Y1113" s="89"/>
      <c r="Z1113" s="89"/>
      <c r="AA1113" s="89"/>
      <c r="AB1113" s="89"/>
      <c r="AC1113" s="89"/>
      <c r="AD1113" s="89"/>
      <c r="AE1113" s="89"/>
      <c r="AF1113" s="89"/>
      <c r="AG1113" s="89"/>
      <c r="AH1113" s="89"/>
      <c r="AI1113" s="89"/>
      <c r="AJ1113" s="89"/>
      <c r="AK1113" s="89"/>
      <c r="AL1113" s="89"/>
      <c r="AM1113" s="89"/>
      <c r="AN1113" s="89"/>
      <c r="AO1113" s="89"/>
      <c r="AP1113" s="89"/>
      <c r="AQ1113" s="89"/>
      <c r="AR1113" s="89"/>
      <c r="AS1113" s="89"/>
      <c r="AT1113" s="89"/>
      <c r="AU1113" s="89"/>
      <c r="AV1113" s="89"/>
      <c r="AW1113" s="89"/>
      <c r="AX1113" s="89"/>
      <c r="AY1113" s="89"/>
      <c r="AZ1113" s="89"/>
      <c r="BA1113" s="95"/>
    </row>
    <row r="1114" spans="1:53" s="87" customFormat="1">
      <c r="A1114" s="90" t="str">
        <f t="shared" si="42"/>
        <v/>
      </c>
      <c r="B1114" s="89"/>
      <c r="C1114" s="89"/>
      <c r="D1114" s="89"/>
      <c r="E1114" s="89"/>
      <c r="F1114" s="89"/>
      <c r="G1114" s="89"/>
      <c r="H1114" s="89"/>
      <c r="I1114" s="89"/>
      <c r="J1114" s="89"/>
      <c r="K1114" s="89"/>
      <c r="L1114" s="89"/>
      <c r="M1114" s="89"/>
      <c r="N1114" s="89"/>
      <c r="O1114" s="89"/>
      <c r="P1114" s="89"/>
      <c r="Q1114" s="89"/>
      <c r="R1114" s="89"/>
      <c r="S1114" s="89"/>
      <c r="T1114" s="89"/>
      <c r="U1114" s="89"/>
      <c r="V1114" s="89"/>
      <c r="W1114" s="89"/>
      <c r="X1114" s="89"/>
      <c r="Y1114" s="89"/>
      <c r="Z1114" s="89"/>
      <c r="AA1114" s="89"/>
      <c r="AB1114" s="89"/>
      <c r="AC1114" s="89"/>
      <c r="AD1114" s="89"/>
      <c r="AE1114" s="89"/>
      <c r="AF1114" s="89"/>
      <c r="AG1114" s="89"/>
      <c r="AH1114" s="89"/>
      <c r="AI1114" s="89"/>
      <c r="AJ1114" s="89"/>
      <c r="AK1114" s="89"/>
      <c r="AL1114" s="89"/>
      <c r="AM1114" s="89"/>
      <c r="AN1114" s="89"/>
      <c r="AO1114" s="89"/>
      <c r="AP1114" s="89"/>
      <c r="AQ1114" s="89"/>
      <c r="AR1114" s="89"/>
      <c r="AS1114" s="89"/>
      <c r="AT1114" s="89"/>
      <c r="AU1114" s="89"/>
      <c r="AV1114" s="89"/>
      <c r="AW1114" s="89"/>
      <c r="AX1114" s="89"/>
      <c r="AY1114" s="89"/>
      <c r="AZ1114" s="89"/>
      <c r="BA1114" s="95"/>
    </row>
    <row r="1115" spans="1:53" s="87" customFormat="1">
      <c r="A1115" s="90" t="str">
        <f t="shared" si="42"/>
        <v/>
      </c>
      <c r="B1115" s="89"/>
      <c r="C1115" s="89"/>
      <c r="D1115" s="89"/>
      <c r="E1115" s="89"/>
      <c r="F1115" s="89"/>
      <c r="G1115" s="89"/>
      <c r="H1115" s="89"/>
      <c r="I1115" s="89"/>
      <c r="J1115" s="89"/>
      <c r="K1115" s="89"/>
      <c r="L1115" s="89"/>
      <c r="M1115" s="89"/>
      <c r="N1115" s="89"/>
      <c r="O1115" s="89"/>
      <c r="P1115" s="89"/>
      <c r="Q1115" s="89"/>
      <c r="R1115" s="89"/>
      <c r="S1115" s="89"/>
      <c r="T1115" s="89"/>
      <c r="U1115" s="89"/>
      <c r="V1115" s="89"/>
      <c r="W1115" s="89"/>
      <c r="X1115" s="89"/>
      <c r="Y1115" s="89"/>
      <c r="Z1115" s="89"/>
      <c r="AA1115" s="89"/>
      <c r="AB1115" s="89"/>
      <c r="AC1115" s="89"/>
      <c r="AD1115" s="89"/>
      <c r="AE1115" s="89"/>
      <c r="AF1115" s="89"/>
      <c r="AG1115" s="89"/>
      <c r="AH1115" s="89"/>
      <c r="AI1115" s="89"/>
      <c r="AJ1115" s="89"/>
      <c r="AK1115" s="89"/>
      <c r="AL1115" s="89"/>
      <c r="AM1115" s="89"/>
      <c r="AN1115" s="89"/>
      <c r="AO1115" s="89"/>
      <c r="AP1115" s="89"/>
      <c r="AQ1115" s="89"/>
      <c r="AR1115" s="89"/>
      <c r="AS1115" s="89"/>
      <c r="AT1115" s="89"/>
      <c r="AU1115" s="89"/>
      <c r="AV1115" s="89"/>
      <c r="AW1115" s="89"/>
      <c r="AX1115" s="89"/>
      <c r="AY1115" s="89"/>
      <c r="AZ1115" s="89"/>
      <c r="BA1115" s="95"/>
    </row>
    <row r="1116" spans="1:53" s="87" customFormat="1">
      <c r="A1116" s="90" t="str">
        <f t="shared" si="42"/>
        <v/>
      </c>
      <c r="B1116" s="89"/>
      <c r="C1116" s="89"/>
      <c r="D1116" s="89"/>
      <c r="E1116" s="89"/>
      <c r="F1116" s="89"/>
      <c r="G1116" s="89"/>
      <c r="H1116" s="89"/>
      <c r="I1116" s="89"/>
      <c r="J1116" s="89"/>
      <c r="K1116" s="89"/>
      <c r="L1116" s="89"/>
      <c r="M1116" s="89"/>
      <c r="N1116" s="89"/>
      <c r="O1116" s="89"/>
      <c r="P1116" s="89"/>
      <c r="Q1116" s="89"/>
      <c r="R1116" s="89"/>
      <c r="S1116" s="89"/>
      <c r="T1116" s="89"/>
      <c r="U1116" s="89"/>
      <c r="V1116" s="89"/>
      <c r="W1116" s="89"/>
      <c r="X1116" s="89"/>
      <c r="Y1116" s="89"/>
      <c r="Z1116" s="89"/>
      <c r="AA1116" s="89"/>
      <c r="AB1116" s="89"/>
      <c r="AC1116" s="89"/>
      <c r="AD1116" s="89"/>
      <c r="AE1116" s="89"/>
      <c r="AF1116" s="89"/>
      <c r="AG1116" s="89"/>
      <c r="AH1116" s="89"/>
      <c r="AI1116" s="89"/>
      <c r="AJ1116" s="89"/>
      <c r="AK1116" s="89"/>
      <c r="AL1116" s="89"/>
      <c r="AM1116" s="89"/>
      <c r="AN1116" s="89"/>
      <c r="AO1116" s="89"/>
      <c r="AP1116" s="89"/>
      <c r="AQ1116" s="89"/>
      <c r="AR1116" s="89"/>
      <c r="AS1116" s="89"/>
      <c r="AT1116" s="89"/>
      <c r="AU1116" s="89"/>
      <c r="AV1116" s="89"/>
      <c r="AW1116" s="89"/>
      <c r="AX1116" s="89"/>
      <c r="AY1116" s="89"/>
      <c r="AZ1116" s="89"/>
      <c r="BA1116" s="95"/>
    </row>
    <row r="1117" spans="1:53" s="87" customFormat="1">
      <c r="A1117" s="90" t="str">
        <f t="shared" si="42"/>
        <v/>
      </c>
      <c r="B1117" s="89"/>
      <c r="C1117" s="89"/>
      <c r="D1117" s="89"/>
      <c r="E1117" s="89"/>
      <c r="F1117" s="89"/>
      <c r="G1117" s="89"/>
      <c r="H1117" s="89"/>
      <c r="I1117" s="89"/>
      <c r="J1117" s="89"/>
      <c r="K1117" s="89"/>
      <c r="L1117" s="89"/>
      <c r="M1117" s="89"/>
      <c r="N1117" s="89"/>
      <c r="O1117" s="89"/>
      <c r="P1117" s="89"/>
      <c r="Q1117" s="89"/>
      <c r="R1117" s="89"/>
      <c r="S1117" s="89"/>
      <c r="T1117" s="89"/>
      <c r="U1117" s="89"/>
      <c r="V1117" s="89"/>
      <c r="W1117" s="89"/>
      <c r="X1117" s="89"/>
      <c r="Y1117" s="89"/>
      <c r="Z1117" s="89"/>
      <c r="AA1117" s="89"/>
      <c r="AB1117" s="89"/>
      <c r="AC1117" s="89"/>
      <c r="AD1117" s="89"/>
      <c r="AE1117" s="89"/>
      <c r="AF1117" s="89"/>
      <c r="AG1117" s="89"/>
      <c r="AH1117" s="89"/>
      <c r="AI1117" s="89"/>
      <c r="AJ1117" s="89"/>
      <c r="AK1117" s="89"/>
      <c r="AL1117" s="89"/>
      <c r="AM1117" s="89"/>
      <c r="AN1117" s="89"/>
      <c r="AO1117" s="89"/>
      <c r="AP1117" s="89"/>
      <c r="AQ1117" s="89"/>
      <c r="AR1117" s="89"/>
      <c r="AS1117" s="89"/>
      <c r="AT1117" s="89"/>
      <c r="AU1117" s="89"/>
      <c r="AV1117" s="89"/>
      <c r="AW1117" s="89"/>
      <c r="AX1117" s="89"/>
      <c r="AY1117" s="89"/>
      <c r="AZ1117" s="89"/>
      <c r="BA1117" s="95"/>
    </row>
    <row r="1118" spans="1:53" s="87" customFormat="1">
      <c r="A1118" s="90" t="str">
        <f t="shared" si="42"/>
        <v/>
      </c>
      <c r="B1118" s="89"/>
      <c r="C1118" s="89"/>
      <c r="D1118" s="89"/>
      <c r="E1118" s="89"/>
      <c r="F1118" s="89"/>
      <c r="G1118" s="89"/>
      <c r="H1118" s="89"/>
      <c r="I1118" s="89"/>
      <c r="J1118" s="89"/>
      <c r="K1118" s="89"/>
      <c r="L1118" s="89"/>
      <c r="M1118" s="89"/>
      <c r="N1118" s="89"/>
      <c r="O1118" s="89"/>
      <c r="P1118" s="89"/>
      <c r="Q1118" s="89"/>
      <c r="R1118" s="89"/>
      <c r="S1118" s="89"/>
      <c r="T1118" s="89"/>
      <c r="U1118" s="89"/>
      <c r="V1118" s="89"/>
      <c r="W1118" s="89"/>
      <c r="X1118" s="89"/>
      <c r="Y1118" s="89"/>
      <c r="Z1118" s="89"/>
      <c r="AA1118" s="89"/>
      <c r="AB1118" s="89"/>
      <c r="AC1118" s="89"/>
      <c r="AD1118" s="89"/>
      <c r="AE1118" s="89"/>
      <c r="AF1118" s="89"/>
      <c r="AG1118" s="89"/>
      <c r="AH1118" s="89"/>
      <c r="AI1118" s="89"/>
      <c r="AJ1118" s="89"/>
      <c r="AK1118" s="89"/>
      <c r="AL1118" s="89"/>
      <c r="AM1118" s="89"/>
      <c r="AN1118" s="89"/>
      <c r="AO1118" s="89"/>
      <c r="AP1118" s="89"/>
      <c r="AQ1118" s="89"/>
      <c r="AR1118" s="89"/>
      <c r="AS1118" s="89"/>
      <c r="AT1118" s="89"/>
      <c r="AU1118" s="89"/>
      <c r="AV1118" s="89"/>
      <c r="AW1118" s="89"/>
      <c r="AX1118" s="89"/>
      <c r="AY1118" s="89"/>
      <c r="AZ1118" s="89"/>
      <c r="BA1118" s="95"/>
    </row>
    <row r="1119" spans="1:53" s="87" customFormat="1">
      <c r="A1119" s="90" t="str">
        <f t="shared" si="42"/>
        <v/>
      </c>
      <c r="B1119" s="89"/>
      <c r="C1119" s="89"/>
      <c r="D1119" s="89"/>
      <c r="E1119" s="89"/>
      <c r="F1119" s="89"/>
      <c r="G1119" s="89"/>
      <c r="H1119" s="89"/>
      <c r="I1119" s="89"/>
      <c r="J1119" s="89"/>
      <c r="K1119" s="89"/>
      <c r="L1119" s="89"/>
      <c r="M1119" s="89"/>
      <c r="N1119" s="89"/>
      <c r="O1119" s="89"/>
      <c r="P1119" s="89"/>
      <c r="Q1119" s="89"/>
      <c r="R1119" s="89"/>
      <c r="S1119" s="89"/>
      <c r="T1119" s="89"/>
      <c r="U1119" s="89"/>
      <c r="V1119" s="89"/>
      <c r="W1119" s="89"/>
      <c r="X1119" s="89"/>
      <c r="Y1119" s="89"/>
      <c r="Z1119" s="89"/>
      <c r="AA1119" s="89"/>
      <c r="AB1119" s="89"/>
      <c r="AC1119" s="89"/>
      <c r="AD1119" s="89"/>
      <c r="AE1119" s="89"/>
      <c r="AF1119" s="89"/>
      <c r="AG1119" s="89"/>
      <c r="AH1119" s="89"/>
      <c r="AI1119" s="89"/>
      <c r="AJ1119" s="89"/>
      <c r="AK1119" s="89"/>
      <c r="AL1119" s="89"/>
      <c r="AM1119" s="89"/>
      <c r="AN1119" s="89"/>
      <c r="AO1119" s="89"/>
      <c r="AP1119" s="89"/>
      <c r="AQ1119" s="89"/>
      <c r="AR1119" s="89"/>
      <c r="AS1119" s="89"/>
      <c r="AT1119" s="89"/>
      <c r="AU1119" s="89"/>
      <c r="AV1119" s="89"/>
      <c r="AW1119" s="89"/>
      <c r="AX1119" s="89"/>
      <c r="AY1119" s="89"/>
      <c r="AZ1119" s="89"/>
      <c r="BA1119" s="95"/>
    </row>
    <row r="1120" spans="1:53" s="87" customFormat="1">
      <c r="A1120" s="90" t="str">
        <f t="shared" si="42"/>
        <v/>
      </c>
      <c r="B1120" s="89"/>
      <c r="C1120" s="89"/>
      <c r="D1120" s="89"/>
      <c r="E1120" s="89"/>
      <c r="F1120" s="89"/>
      <c r="G1120" s="89"/>
      <c r="H1120" s="89"/>
      <c r="I1120" s="89"/>
      <c r="J1120" s="89"/>
      <c r="K1120" s="89"/>
      <c r="L1120" s="89"/>
      <c r="M1120" s="89"/>
      <c r="N1120" s="89"/>
      <c r="O1120" s="89"/>
      <c r="P1120" s="89"/>
      <c r="Q1120" s="89"/>
      <c r="R1120" s="89"/>
      <c r="S1120" s="89"/>
      <c r="T1120" s="89"/>
      <c r="U1120" s="89"/>
      <c r="V1120" s="89"/>
      <c r="W1120" s="89"/>
      <c r="X1120" s="89"/>
      <c r="Y1120" s="89"/>
      <c r="Z1120" s="89"/>
      <c r="AA1120" s="89"/>
      <c r="AB1120" s="89"/>
      <c r="AC1120" s="89"/>
      <c r="AD1120" s="89"/>
      <c r="AE1120" s="89"/>
      <c r="AF1120" s="89"/>
      <c r="AG1120" s="89"/>
      <c r="AH1120" s="89"/>
      <c r="AI1120" s="89"/>
      <c r="AJ1120" s="89"/>
      <c r="AK1120" s="89"/>
      <c r="AL1120" s="89"/>
      <c r="AM1120" s="89"/>
      <c r="AN1120" s="89"/>
      <c r="AO1120" s="89"/>
      <c r="AP1120" s="89"/>
      <c r="AQ1120" s="89"/>
      <c r="AR1120" s="89"/>
      <c r="AS1120" s="89"/>
      <c r="AT1120" s="89"/>
      <c r="AU1120" s="89"/>
      <c r="AV1120" s="89"/>
      <c r="AW1120" s="89"/>
      <c r="AX1120" s="89"/>
      <c r="AY1120" s="89"/>
      <c r="AZ1120" s="89"/>
      <c r="BA1120" s="95"/>
    </row>
    <row r="1121" spans="1:53" s="87" customFormat="1">
      <c r="A1121" s="90" t="str">
        <f t="shared" si="42"/>
        <v/>
      </c>
      <c r="B1121" s="89"/>
      <c r="C1121" s="89"/>
      <c r="D1121" s="89"/>
      <c r="E1121" s="89"/>
      <c r="F1121" s="89"/>
      <c r="G1121" s="89"/>
      <c r="H1121" s="89"/>
      <c r="I1121" s="89"/>
      <c r="J1121" s="89"/>
      <c r="K1121" s="89"/>
      <c r="L1121" s="89"/>
      <c r="M1121" s="89"/>
      <c r="N1121" s="89"/>
      <c r="O1121" s="89"/>
      <c r="P1121" s="89"/>
      <c r="Q1121" s="89"/>
      <c r="R1121" s="89"/>
      <c r="S1121" s="89"/>
      <c r="T1121" s="89"/>
      <c r="U1121" s="89"/>
      <c r="V1121" s="89"/>
      <c r="W1121" s="89"/>
      <c r="X1121" s="89"/>
      <c r="Y1121" s="89"/>
      <c r="Z1121" s="89"/>
      <c r="AA1121" s="89"/>
      <c r="AB1121" s="89"/>
      <c r="AC1121" s="89"/>
      <c r="AD1121" s="89"/>
      <c r="AE1121" s="89"/>
      <c r="AF1121" s="89"/>
      <c r="AG1121" s="89"/>
      <c r="AH1121" s="89"/>
      <c r="AI1121" s="89"/>
      <c r="AJ1121" s="89"/>
      <c r="AK1121" s="89"/>
      <c r="AL1121" s="89"/>
      <c r="AM1121" s="89"/>
      <c r="AN1121" s="89"/>
      <c r="AO1121" s="89"/>
      <c r="AP1121" s="89"/>
      <c r="AQ1121" s="89"/>
      <c r="AR1121" s="89"/>
      <c r="AS1121" s="89"/>
      <c r="AT1121" s="89"/>
      <c r="AU1121" s="89"/>
      <c r="AV1121" s="89"/>
      <c r="AW1121" s="89"/>
      <c r="AX1121" s="89"/>
      <c r="AY1121" s="89"/>
      <c r="AZ1121" s="89"/>
      <c r="BA1121" s="95"/>
    </row>
    <row r="1122" spans="1:53" s="87" customFormat="1">
      <c r="A1122" s="90" t="str">
        <f t="shared" si="42"/>
        <v/>
      </c>
      <c r="B1122" s="89"/>
      <c r="C1122" s="89"/>
      <c r="D1122" s="89"/>
      <c r="E1122" s="89"/>
      <c r="F1122" s="89"/>
      <c r="G1122" s="89"/>
      <c r="H1122" s="89"/>
      <c r="I1122" s="89"/>
      <c r="J1122" s="89"/>
      <c r="K1122" s="89"/>
      <c r="L1122" s="89"/>
      <c r="M1122" s="89"/>
      <c r="N1122" s="89"/>
      <c r="O1122" s="89"/>
      <c r="P1122" s="89"/>
      <c r="Q1122" s="89"/>
      <c r="R1122" s="89"/>
      <c r="S1122" s="89"/>
      <c r="T1122" s="89"/>
      <c r="U1122" s="89"/>
      <c r="V1122" s="89"/>
      <c r="W1122" s="89"/>
      <c r="X1122" s="89"/>
      <c r="Y1122" s="89"/>
      <c r="Z1122" s="89"/>
      <c r="AA1122" s="89"/>
      <c r="AB1122" s="89"/>
      <c r="AC1122" s="89"/>
      <c r="AD1122" s="89"/>
      <c r="AE1122" s="89"/>
      <c r="AF1122" s="89"/>
      <c r="AG1122" s="89"/>
      <c r="AH1122" s="89"/>
      <c r="AI1122" s="89"/>
      <c r="AJ1122" s="89"/>
      <c r="AK1122" s="89"/>
      <c r="AL1122" s="89"/>
      <c r="AM1122" s="89"/>
      <c r="AN1122" s="89"/>
      <c r="AO1122" s="89"/>
      <c r="AP1122" s="89"/>
      <c r="AQ1122" s="89"/>
      <c r="AR1122" s="89"/>
      <c r="AS1122" s="89"/>
      <c r="AT1122" s="89"/>
      <c r="AU1122" s="89"/>
      <c r="AV1122" s="89"/>
      <c r="AW1122" s="89"/>
      <c r="AX1122" s="89"/>
      <c r="AY1122" s="89"/>
      <c r="AZ1122" s="89"/>
      <c r="BA1122" s="95"/>
    </row>
    <row r="1123" spans="1:53" s="87" customFormat="1">
      <c r="A1123" s="90" t="str">
        <f t="shared" si="42"/>
        <v/>
      </c>
      <c r="B1123" s="89"/>
      <c r="C1123" s="89"/>
      <c r="D1123" s="89"/>
      <c r="E1123" s="89"/>
      <c r="F1123" s="89"/>
      <c r="G1123" s="89"/>
      <c r="H1123" s="89"/>
      <c r="I1123" s="89"/>
      <c r="J1123" s="89"/>
      <c r="K1123" s="89"/>
      <c r="L1123" s="89"/>
      <c r="M1123" s="89"/>
      <c r="N1123" s="89"/>
      <c r="O1123" s="89"/>
      <c r="P1123" s="89"/>
      <c r="Q1123" s="89"/>
      <c r="R1123" s="89"/>
      <c r="S1123" s="89"/>
      <c r="T1123" s="89"/>
      <c r="U1123" s="89"/>
      <c r="V1123" s="89"/>
      <c r="W1123" s="89"/>
      <c r="X1123" s="89"/>
      <c r="Y1123" s="89"/>
      <c r="Z1123" s="89"/>
      <c r="AA1123" s="89"/>
      <c r="AB1123" s="89"/>
      <c r="AC1123" s="89"/>
      <c r="AD1123" s="89"/>
      <c r="AE1123" s="89"/>
      <c r="AF1123" s="89"/>
      <c r="AG1123" s="89"/>
      <c r="AH1123" s="89"/>
      <c r="AI1123" s="89"/>
      <c r="AJ1123" s="89"/>
      <c r="AK1123" s="89"/>
      <c r="AL1123" s="89"/>
      <c r="AM1123" s="89"/>
      <c r="AN1123" s="89"/>
      <c r="AO1123" s="89"/>
      <c r="AP1123" s="89"/>
      <c r="AQ1123" s="89"/>
      <c r="AR1123" s="89"/>
      <c r="AS1123" s="89"/>
      <c r="AT1123" s="89"/>
      <c r="AU1123" s="89"/>
      <c r="AV1123" s="89"/>
      <c r="AW1123" s="89"/>
      <c r="AX1123" s="89"/>
      <c r="AY1123" s="89"/>
      <c r="AZ1123" s="89"/>
      <c r="BA1123" s="95"/>
    </row>
    <row r="1124" spans="1:53" s="87" customFormat="1">
      <c r="A1124" s="90" t="str">
        <f t="shared" si="42"/>
        <v/>
      </c>
      <c r="B1124" s="89"/>
      <c r="C1124" s="89"/>
      <c r="D1124" s="89"/>
      <c r="E1124" s="89"/>
      <c r="F1124" s="89"/>
      <c r="G1124" s="89"/>
      <c r="H1124" s="89"/>
      <c r="I1124" s="89"/>
      <c r="J1124" s="89"/>
      <c r="K1124" s="89"/>
      <c r="L1124" s="89"/>
      <c r="M1124" s="89"/>
      <c r="N1124" s="89"/>
      <c r="O1124" s="89"/>
      <c r="P1124" s="89"/>
      <c r="Q1124" s="89"/>
      <c r="R1124" s="89"/>
      <c r="S1124" s="89"/>
      <c r="T1124" s="89"/>
      <c r="U1124" s="89"/>
      <c r="V1124" s="89"/>
      <c r="W1124" s="89"/>
      <c r="X1124" s="89"/>
      <c r="Y1124" s="89"/>
      <c r="Z1124" s="89"/>
      <c r="AA1124" s="89"/>
      <c r="AB1124" s="89"/>
      <c r="AC1124" s="89"/>
      <c r="AD1124" s="89"/>
      <c r="AE1124" s="89"/>
      <c r="AF1124" s="89"/>
      <c r="AG1124" s="89"/>
      <c r="AH1124" s="89"/>
      <c r="AI1124" s="89"/>
      <c r="AJ1124" s="89"/>
      <c r="AK1124" s="89"/>
      <c r="AL1124" s="89"/>
      <c r="AM1124" s="89"/>
      <c r="AN1124" s="89"/>
      <c r="AO1124" s="89"/>
      <c r="AP1124" s="89"/>
      <c r="AQ1124" s="89"/>
      <c r="AR1124" s="89"/>
      <c r="AS1124" s="89"/>
      <c r="AT1124" s="89"/>
      <c r="AU1124" s="89"/>
      <c r="AV1124" s="89"/>
      <c r="AW1124" s="89"/>
      <c r="AX1124" s="89"/>
      <c r="AY1124" s="89"/>
      <c r="AZ1124" s="89"/>
      <c r="BA1124" s="95"/>
    </row>
    <row r="1125" spans="1:53" s="87" customFormat="1">
      <c r="A1125" s="90" t="str">
        <f t="shared" si="42"/>
        <v/>
      </c>
      <c r="B1125" s="89"/>
      <c r="C1125" s="89"/>
      <c r="D1125" s="89"/>
      <c r="E1125" s="89"/>
      <c r="F1125" s="89"/>
      <c r="G1125" s="89"/>
      <c r="H1125" s="89"/>
      <c r="I1125" s="89"/>
      <c r="J1125" s="89"/>
      <c r="K1125" s="89"/>
      <c r="L1125" s="89"/>
      <c r="M1125" s="89"/>
      <c r="N1125" s="89"/>
      <c r="O1125" s="89"/>
      <c r="P1125" s="89"/>
      <c r="Q1125" s="89"/>
      <c r="R1125" s="89"/>
      <c r="S1125" s="89"/>
      <c r="T1125" s="89"/>
      <c r="U1125" s="89"/>
      <c r="V1125" s="89"/>
      <c r="W1125" s="89"/>
      <c r="X1125" s="89"/>
      <c r="Y1125" s="89"/>
      <c r="Z1125" s="89"/>
      <c r="AA1125" s="89"/>
      <c r="AB1125" s="89"/>
      <c r="AC1125" s="89"/>
      <c r="AD1125" s="89"/>
      <c r="AE1125" s="89"/>
      <c r="AF1125" s="89"/>
      <c r="AG1125" s="89"/>
      <c r="AH1125" s="89"/>
      <c r="AI1125" s="89"/>
      <c r="AJ1125" s="89"/>
      <c r="AK1125" s="89"/>
      <c r="AL1125" s="89"/>
      <c r="AM1125" s="89"/>
      <c r="AN1125" s="89"/>
      <c r="AO1125" s="89"/>
      <c r="AP1125" s="89"/>
      <c r="AQ1125" s="89"/>
      <c r="AR1125" s="89"/>
      <c r="AS1125" s="89"/>
      <c r="AT1125" s="89"/>
      <c r="AU1125" s="89"/>
      <c r="AV1125" s="89"/>
      <c r="AW1125" s="89"/>
      <c r="AX1125" s="89"/>
      <c r="AY1125" s="89"/>
      <c r="AZ1125" s="89"/>
      <c r="BA1125" s="95"/>
    </row>
    <row r="1126" spans="1:53" s="87" customFormat="1">
      <c r="A1126" s="90" t="str">
        <f t="shared" si="42"/>
        <v/>
      </c>
      <c r="B1126" s="89"/>
      <c r="C1126" s="89"/>
      <c r="D1126" s="89"/>
      <c r="E1126" s="89"/>
      <c r="F1126" s="89"/>
      <c r="G1126" s="89"/>
      <c r="H1126" s="89"/>
      <c r="I1126" s="89"/>
      <c r="J1126" s="89"/>
      <c r="K1126" s="89"/>
      <c r="L1126" s="89"/>
      <c r="M1126" s="89"/>
      <c r="N1126" s="89"/>
      <c r="O1126" s="89"/>
      <c r="P1126" s="89"/>
      <c r="Q1126" s="89"/>
      <c r="R1126" s="89"/>
      <c r="S1126" s="89"/>
      <c r="T1126" s="89"/>
      <c r="U1126" s="89"/>
      <c r="V1126" s="89"/>
      <c r="W1126" s="89"/>
      <c r="X1126" s="89"/>
      <c r="Y1126" s="89"/>
      <c r="Z1126" s="89"/>
      <c r="AA1126" s="89"/>
      <c r="AB1126" s="89"/>
      <c r="AC1126" s="89"/>
      <c r="AD1126" s="89"/>
      <c r="AE1126" s="89"/>
      <c r="AF1126" s="89"/>
      <c r="AG1126" s="89"/>
      <c r="AH1126" s="89"/>
      <c r="AI1126" s="89"/>
      <c r="AJ1126" s="89"/>
      <c r="AK1126" s="89"/>
      <c r="AL1126" s="89"/>
      <c r="AM1126" s="89"/>
      <c r="AN1126" s="89"/>
      <c r="AO1126" s="89"/>
      <c r="AP1126" s="89"/>
      <c r="AQ1126" s="89"/>
      <c r="AR1126" s="89"/>
      <c r="AS1126" s="89"/>
      <c r="AT1126" s="89"/>
      <c r="AU1126" s="89"/>
      <c r="AV1126" s="89"/>
      <c r="AW1126" s="89"/>
      <c r="AX1126" s="89"/>
      <c r="AY1126" s="89"/>
      <c r="AZ1126" s="89"/>
      <c r="BA1126" s="95"/>
    </row>
    <row r="1127" spans="1:53" s="87" customFormat="1">
      <c r="A1127" s="90" t="str">
        <f t="shared" si="42"/>
        <v/>
      </c>
      <c r="B1127" s="89"/>
      <c r="C1127" s="89"/>
      <c r="D1127" s="89"/>
      <c r="E1127" s="89"/>
      <c r="F1127" s="89"/>
      <c r="G1127" s="89"/>
      <c r="H1127" s="89"/>
      <c r="I1127" s="89"/>
      <c r="J1127" s="89"/>
      <c r="K1127" s="89"/>
      <c r="L1127" s="89"/>
      <c r="M1127" s="89"/>
      <c r="N1127" s="89"/>
      <c r="O1127" s="89"/>
      <c r="P1127" s="89"/>
      <c r="Q1127" s="89"/>
      <c r="R1127" s="89"/>
      <c r="S1127" s="89"/>
      <c r="T1127" s="89"/>
      <c r="U1127" s="89"/>
      <c r="V1127" s="89"/>
      <c r="W1127" s="89"/>
      <c r="X1127" s="89"/>
      <c r="Y1127" s="89"/>
      <c r="Z1127" s="89"/>
      <c r="AA1127" s="89"/>
      <c r="AB1127" s="89"/>
      <c r="AC1127" s="89"/>
      <c r="AD1127" s="89"/>
      <c r="AE1127" s="89"/>
      <c r="AF1127" s="89"/>
      <c r="AG1127" s="89"/>
      <c r="AH1127" s="89"/>
      <c r="AI1127" s="89"/>
      <c r="AJ1127" s="89"/>
      <c r="AK1127" s="89"/>
      <c r="AL1127" s="89"/>
      <c r="AM1127" s="89"/>
      <c r="AN1127" s="89"/>
      <c r="AO1127" s="89"/>
      <c r="AP1127" s="89"/>
      <c r="AQ1127" s="89"/>
      <c r="AR1127" s="89"/>
      <c r="AS1127" s="89"/>
      <c r="AT1127" s="89"/>
      <c r="AU1127" s="89"/>
      <c r="AV1127" s="89"/>
      <c r="AW1127" s="89"/>
      <c r="AX1127" s="89"/>
      <c r="AY1127" s="89"/>
      <c r="AZ1127" s="89"/>
      <c r="BA1127" s="95"/>
    </row>
    <row r="1128" spans="1:53" s="87" customFormat="1">
      <c r="A1128" s="90" t="str">
        <f t="shared" si="42"/>
        <v/>
      </c>
      <c r="B1128" s="89"/>
      <c r="C1128" s="89"/>
      <c r="D1128" s="89"/>
      <c r="E1128" s="89"/>
      <c r="F1128" s="89"/>
      <c r="G1128" s="89"/>
      <c r="H1128" s="89"/>
      <c r="I1128" s="89"/>
      <c r="J1128" s="89"/>
      <c r="K1128" s="89"/>
      <c r="L1128" s="89"/>
      <c r="M1128" s="89"/>
      <c r="N1128" s="89"/>
      <c r="O1128" s="89"/>
      <c r="P1128" s="89"/>
      <c r="Q1128" s="89"/>
      <c r="R1128" s="89"/>
      <c r="S1128" s="89"/>
      <c r="T1128" s="89"/>
      <c r="U1128" s="89"/>
      <c r="V1128" s="89"/>
      <c r="W1128" s="89"/>
      <c r="X1128" s="89"/>
      <c r="Y1128" s="89"/>
      <c r="Z1128" s="89"/>
      <c r="AA1128" s="89"/>
      <c r="AB1128" s="89"/>
      <c r="AC1128" s="89"/>
      <c r="AD1128" s="89"/>
      <c r="AE1128" s="89"/>
      <c r="AF1128" s="89"/>
      <c r="AG1128" s="89"/>
      <c r="AH1128" s="89"/>
      <c r="AI1128" s="89"/>
      <c r="AJ1128" s="89"/>
      <c r="AK1128" s="89"/>
      <c r="AL1128" s="89"/>
      <c r="AM1128" s="89"/>
      <c r="AN1128" s="89"/>
      <c r="AO1128" s="89"/>
      <c r="AP1128" s="89"/>
      <c r="AQ1128" s="89"/>
      <c r="AR1128" s="89"/>
      <c r="AS1128" s="89"/>
      <c r="AT1128" s="89"/>
      <c r="AU1128" s="89"/>
      <c r="AV1128" s="89"/>
      <c r="AW1128" s="89"/>
      <c r="AX1128" s="89"/>
      <c r="AY1128" s="89"/>
      <c r="AZ1128" s="89"/>
      <c r="BA1128" s="95"/>
    </row>
    <row r="1129" spans="1:53" s="87" customFormat="1">
      <c r="A1129" s="90" t="str">
        <f t="shared" si="42"/>
        <v/>
      </c>
      <c r="B1129" s="89"/>
      <c r="C1129" s="89"/>
      <c r="D1129" s="89"/>
      <c r="E1129" s="89"/>
      <c r="F1129" s="89"/>
      <c r="G1129" s="89"/>
      <c r="H1129" s="89"/>
      <c r="I1129" s="89"/>
      <c r="J1129" s="89"/>
      <c r="K1129" s="89"/>
      <c r="L1129" s="89"/>
      <c r="M1129" s="89"/>
      <c r="N1129" s="89"/>
      <c r="O1129" s="89"/>
      <c r="P1129" s="89"/>
      <c r="Q1129" s="89"/>
      <c r="R1129" s="89"/>
      <c r="S1129" s="89"/>
      <c r="T1129" s="89"/>
      <c r="U1129" s="89"/>
      <c r="V1129" s="89"/>
      <c r="W1129" s="89"/>
      <c r="X1129" s="89"/>
      <c r="Y1129" s="89"/>
      <c r="Z1129" s="89"/>
      <c r="AA1129" s="89"/>
      <c r="AB1129" s="89"/>
      <c r="AC1129" s="89"/>
      <c r="AD1129" s="89"/>
      <c r="AE1129" s="89"/>
      <c r="AF1129" s="89"/>
      <c r="AG1129" s="89"/>
      <c r="AH1129" s="89"/>
      <c r="AI1129" s="89"/>
      <c r="AJ1129" s="89"/>
      <c r="AK1129" s="89"/>
      <c r="AL1129" s="89"/>
      <c r="AM1129" s="89"/>
      <c r="AN1129" s="89"/>
      <c r="AO1129" s="89"/>
      <c r="AP1129" s="89"/>
      <c r="AQ1129" s="89"/>
      <c r="AR1129" s="89"/>
      <c r="AS1129" s="89"/>
      <c r="AT1129" s="89"/>
      <c r="AU1129" s="89"/>
      <c r="AV1129" s="89"/>
      <c r="AW1129" s="89"/>
      <c r="AX1129" s="89"/>
      <c r="AY1129" s="89"/>
      <c r="AZ1129" s="89"/>
      <c r="BA1129" s="95"/>
    </row>
    <row r="1130" spans="1:53" s="87" customFormat="1">
      <c r="A1130" s="90" t="str">
        <f t="shared" si="42"/>
        <v/>
      </c>
      <c r="B1130" s="89"/>
      <c r="C1130" s="89"/>
      <c r="D1130" s="89"/>
      <c r="E1130" s="89"/>
      <c r="F1130" s="89"/>
      <c r="G1130" s="89"/>
      <c r="H1130" s="89"/>
      <c r="I1130" s="89"/>
      <c r="J1130" s="89"/>
      <c r="K1130" s="89"/>
      <c r="L1130" s="89"/>
      <c r="M1130" s="89"/>
      <c r="N1130" s="89"/>
      <c r="O1130" s="89"/>
      <c r="P1130" s="89"/>
      <c r="Q1130" s="89"/>
      <c r="R1130" s="89"/>
      <c r="S1130" s="89"/>
      <c r="T1130" s="89"/>
      <c r="U1130" s="89"/>
      <c r="V1130" s="89"/>
      <c r="W1130" s="89"/>
      <c r="X1130" s="89"/>
      <c r="Y1130" s="89"/>
      <c r="Z1130" s="89"/>
      <c r="AA1130" s="89"/>
      <c r="AB1130" s="89"/>
      <c r="AC1130" s="89"/>
      <c r="AD1130" s="89"/>
      <c r="AE1130" s="89"/>
      <c r="AF1130" s="89"/>
      <c r="AG1130" s="89"/>
      <c r="AH1130" s="89"/>
      <c r="AI1130" s="89"/>
      <c r="AJ1130" s="89"/>
      <c r="AK1130" s="89"/>
      <c r="AL1130" s="89"/>
      <c r="AM1130" s="89"/>
      <c r="AN1130" s="89"/>
      <c r="AO1130" s="89"/>
      <c r="AP1130" s="89"/>
      <c r="AQ1130" s="89"/>
      <c r="AR1130" s="89"/>
      <c r="AS1130" s="89"/>
      <c r="AT1130" s="89"/>
      <c r="AU1130" s="89"/>
      <c r="AV1130" s="89"/>
      <c r="AW1130" s="89"/>
      <c r="AX1130" s="89"/>
      <c r="AY1130" s="89"/>
      <c r="AZ1130" s="89"/>
      <c r="BA1130" s="95"/>
    </row>
    <row r="1131" spans="1:53" s="87" customFormat="1">
      <c r="A1131" s="90" t="str">
        <f t="shared" si="42"/>
        <v/>
      </c>
      <c r="B1131" s="89"/>
      <c r="C1131" s="89"/>
      <c r="D1131" s="89"/>
      <c r="E1131" s="89"/>
      <c r="F1131" s="89"/>
      <c r="G1131" s="89"/>
      <c r="H1131" s="89"/>
      <c r="I1131" s="89"/>
      <c r="J1131" s="89"/>
      <c r="K1131" s="89"/>
      <c r="L1131" s="89"/>
      <c r="M1131" s="89"/>
      <c r="N1131" s="89"/>
      <c r="O1131" s="89"/>
      <c r="P1131" s="89"/>
      <c r="Q1131" s="89"/>
      <c r="R1131" s="89"/>
      <c r="S1131" s="89"/>
      <c r="T1131" s="89"/>
      <c r="U1131" s="89"/>
      <c r="V1131" s="89"/>
      <c r="W1131" s="89"/>
      <c r="X1131" s="89"/>
      <c r="Y1131" s="89"/>
      <c r="Z1131" s="89"/>
      <c r="AA1131" s="89"/>
      <c r="AB1131" s="89"/>
      <c r="AC1131" s="89"/>
      <c r="AD1131" s="89"/>
      <c r="AE1131" s="89"/>
      <c r="AF1131" s="89"/>
      <c r="AG1131" s="89"/>
      <c r="AH1131" s="89"/>
      <c r="AI1131" s="89"/>
      <c r="AJ1131" s="89"/>
      <c r="AK1131" s="89"/>
      <c r="AL1131" s="89"/>
      <c r="AM1131" s="89"/>
      <c r="AN1131" s="89"/>
      <c r="AO1131" s="89"/>
      <c r="AP1131" s="89"/>
      <c r="AQ1131" s="89"/>
      <c r="AR1131" s="89"/>
      <c r="AS1131" s="89"/>
      <c r="AT1131" s="89"/>
      <c r="AU1131" s="89"/>
      <c r="AV1131" s="89"/>
      <c r="AW1131" s="89"/>
      <c r="AX1131" s="89"/>
      <c r="AY1131" s="89"/>
      <c r="AZ1131" s="89"/>
      <c r="BA1131" s="95"/>
    </row>
    <row r="1132" spans="1:53" s="87" customFormat="1">
      <c r="A1132" s="90" t="str">
        <f t="shared" si="42"/>
        <v/>
      </c>
      <c r="B1132" s="89"/>
      <c r="C1132" s="89"/>
      <c r="D1132" s="89"/>
      <c r="E1132" s="89"/>
      <c r="F1132" s="89"/>
      <c r="G1132" s="89"/>
      <c r="H1132" s="89"/>
      <c r="I1132" s="89"/>
      <c r="J1132" s="89"/>
      <c r="K1132" s="89"/>
      <c r="L1132" s="89"/>
      <c r="M1132" s="89"/>
      <c r="N1132" s="89"/>
      <c r="O1132" s="89"/>
      <c r="P1132" s="89"/>
      <c r="Q1132" s="89"/>
      <c r="R1132" s="89"/>
      <c r="S1132" s="89"/>
      <c r="T1132" s="89"/>
      <c r="U1132" s="89"/>
      <c r="V1132" s="89"/>
      <c r="W1132" s="89"/>
      <c r="X1132" s="89"/>
      <c r="Y1132" s="89"/>
      <c r="Z1132" s="89"/>
      <c r="AA1132" s="89"/>
      <c r="AB1132" s="89"/>
      <c r="AC1132" s="89"/>
      <c r="AD1132" s="89"/>
      <c r="AE1132" s="89"/>
      <c r="AF1132" s="89"/>
      <c r="AG1132" s="89"/>
      <c r="AH1132" s="89"/>
      <c r="AI1132" s="89"/>
      <c r="AJ1132" s="89"/>
      <c r="AK1132" s="89"/>
      <c r="AL1132" s="89"/>
      <c r="AM1132" s="89"/>
      <c r="AN1132" s="89"/>
      <c r="AO1132" s="89"/>
      <c r="AP1132" s="89"/>
      <c r="AQ1132" s="89"/>
      <c r="AR1132" s="89"/>
      <c r="AS1132" s="89"/>
      <c r="AT1132" s="89"/>
      <c r="AU1132" s="89"/>
      <c r="AV1132" s="89"/>
      <c r="AW1132" s="89"/>
      <c r="AX1132" s="89"/>
      <c r="AY1132" s="89"/>
      <c r="AZ1132" s="89"/>
      <c r="BA1132" s="95"/>
    </row>
    <row r="1133" spans="1:53" s="87" customFormat="1">
      <c r="A1133" s="90" t="str">
        <f t="shared" si="42"/>
        <v/>
      </c>
      <c r="B1133" s="89"/>
      <c r="C1133" s="89"/>
      <c r="D1133" s="89"/>
      <c r="E1133" s="89"/>
      <c r="F1133" s="89"/>
      <c r="G1133" s="89"/>
      <c r="H1133" s="89"/>
      <c r="I1133" s="89"/>
      <c r="J1133" s="89"/>
      <c r="K1133" s="89"/>
      <c r="L1133" s="89"/>
      <c r="M1133" s="89"/>
      <c r="N1133" s="89"/>
      <c r="O1133" s="89"/>
      <c r="P1133" s="89"/>
      <c r="Q1133" s="89"/>
      <c r="R1133" s="89"/>
      <c r="S1133" s="89"/>
      <c r="T1133" s="89"/>
      <c r="U1133" s="89"/>
      <c r="V1133" s="89"/>
      <c r="W1133" s="89"/>
      <c r="X1133" s="89"/>
      <c r="Y1133" s="89"/>
      <c r="Z1133" s="89"/>
      <c r="AA1133" s="89"/>
      <c r="AB1133" s="89"/>
      <c r="AC1133" s="89"/>
      <c r="AD1133" s="89"/>
      <c r="AE1133" s="89"/>
      <c r="AF1133" s="89"/>
      <c r="AG1133" s="89"/>
      <c r="AH1133" s="89"/>
      <c r="AI1133" s="89"/>
      <c r="AJ1133" s="89"/>
      <c r="AK1133" s="89"/>
      <c r="AL1133" s="89"/>
      <c r="AM1133" s="89"/>
      <c r="AN1133" s="89"/>
      <c r="AO1133" s="89"/>
      <c r="AP1133" s="89"/>
      <c r="AQ1133" s="89"/>
      <c r="AR1133" s="89"/>
      <c r="AS1133" s="89"/>
      <c r="AT1133" s="89"/>
      <c r="AU1133" s="89"/>
      <c r="AV1133" s="89"/>
      <c r="AW1133" s="89"/>
      <c r="AX1133" s="89"/>
      <c r="AY1133" s="89"/>
      <c r="AZ1133" s="89"/>
      <c r="BA1133" s="95"/>
    </row>
    <row r="1134" spans="1:53" s="87" customFormat="1">
      <c r="A1134" s="90" t="str">
        <f t="shared" si="42"/>
        <v/>
      </c>
      <c r="B1134" s="89"/>
      <c r="C1134" s="89"/>
      <c r="D1134" s="89"/>
      <c r="E1134" s="89"/>
      <c r="F1134" s="89"/>
      <c r="G1134" s="89"/>
      <c r="H1134" s="89"/>
      <c r="I1134" s="89"/>
      <c r="J1134" s="89"/>
      <c r="K1134" s="89"/>
      <c r="L1134" s="89"/>
      <c r="M1134" s="89"/>
      <c r="N1134" s="89"/>
      <c r="O1134" s="89"/>
      <c r="P1134" s="89"/>
      <c r="Q1134" s="89"/>
      <c r="R1134" s="89"/>
      <c r="S1134" s="89"/>
      <c r="T1134" s="89"/>
      <c r="U1134" s="89"/>
      <c r="V1134" s="89"/>
      <c r="W1134" s="89"/>
      <c r="X1134" s="89"/>
      <c r="Y1134" s="89"/>
      <c r="Z1134" s="89"/>
      <c r="AA1134" s="89"/>
      <c r="AB1134" s="89"/>
      <c r="AC1134" s="89"/>
      <c r="AD1134" s="89"/>
      <c r="AE1134" s="89"/>
      <c r="AF1134" s="89"/>
      <c r="AG1134" s="89"/>
      <c r="AH1134" s="89"/>
      <c r="AI1134" s="89"/>
      <c r="AJ1134" s="89"/>
      <c r="AK1134" s="89"/>
      <c r="AL1134" s="89"/>
      <c r="AM1134" s="89"/>
      <c r="AN1134" s="89"/>
      <c r="AO1134" s="89"/>
      <c r="AP1134" s="89"/>
      <c r="AQ1134" s="89"/>
      <c r="AR1134" s="89"/>
      <c r="AS1134" s="89"/>
      <c r="AT1134" s="89"/>
      <c r="AU1134" s="89"/>
      <c r="AV1134" s="89"/>
      <c r="AW1134" s="89"/>
      <c r="AX1134" s="89"/>
      <c r="AY1134" s="89"/>
      <c r="AZ1134" s="89"/>
      <c r="BA1134" s="95"/>
    </row>
    <row r="1135" spans="1:53" s="87" customFormat="1">
      <c r="A1135" s="90" t="str">
        <f t="shared" si="42"/>
        <v/>
      </c>
      <c r="B1135" s="89"/>
      <c r="C1135" s="89"/>
      <c r="D1135" s="89"/>
      <c r="E1135" s="89"/>
      <c r="F1135" s="89"/>
      <c r="G1135" s="89"/>
      <c r="H1135" s="89"/>
      <c r="I1135" s="89"/>
      <c r="J1135" s="89"/>
      <c r="K1135" s="89"/>
      <c r="L1135" s="89"/>
      <c r="M1135" s="89"/>
      <c r="N1135" s="89"/>
      <c r="O1135" s="89"/>
      <c r="P1135" s="89"/>
      <c r="Q1135" s="89"/>
      <c r="R1135" s="89"/>
      <c r="S1135" s="89"/>
      <c r="T1135" s="89"/>
      <c r="U1135" s="89"/>
      <c r="V1135" s="89"/>
      <c r="W1135" s="89"/>
      <c r="X1135" s="89"/>
      <c r="Y1135" s="89"/>
      <c r="Z1135" s="89"/>
      <c r="AA1135" s="89"/>
      <c r="AB1135" s="89"/>
      <c r="AC1135" s="89"/>
      <c r="AD1135" s="89"/>
      <c r="AE1135" s="89"/>
      <c r="AF1135" s="89"/>
      <c r="AG1135" s="89"/>
      <c r="AH1135" s="89"/>
      <c r="AI1135" s="89"/>
      <c r="AJ1135" s="89"/>
      <c r="AK1135" s="89"/>
      <c r="AL1135" s="89"/>
      <c r="AM1135" s="89"/>
      <c r="AN1135" s="89"/>
      <c r="AO1135" s="89"/>
      <c r="AP1135" s="89"/>
      <c r="AQ1135" s="89"/>
      <c r="AR1135" s="89"/>
      <c r="AS1135" s="89"/>
      <c r="AT1135" s="89"/>
      <c r="AU1135" s="89"/>
      <c r="AV1135" s="89"/>
      <c r="AW1135" s="89"/>
      <c r="AX1135" s="89"/>
      <c r="AY1135" s="89"/>
      <c r="AZ1135" s="89"/>
      <c r="BA1135" s="95"/>
    </row>
    <row r="1136" spans="1:53" s="87" customFormat="1">
      <c r="A1136" s="90" t="str">
        <f t="shared" si="42"/>
        <v/>
      </c>
      <c r="B1136" s="89"/>
      <c r="C1136" s="89"/>
      <c r="D1136" s="89"/>
      <c r="E1136" s="89"/>
      <c r="F1136" s="89"/>
      <c r="G1136" s="89"/>
      <c r="H1136" s="89"/>
      <c r="I1136" s="89"/>
      <c r="J1136" s="89"/>
      <c r="K1136" s="89"/>
      <c r="L1136" s="89"/>
      <c r="M1136" s="89"/>
      <c r="N1136" s="89"/>
      <c r="O1136" s="89"/>
      <c r="P1136" s="89"/>
      <c r="Q1136" s="89"/>
      <c r="R1136" s="89"/>
      <c r="S1136" s="89"/>
      <c r="T1136" s="89"/>
      <c r="U1136" s="89"/>
      <c r="V1136" s="89"/>
      <c r="W1136" s="89"/>
      <c r="X1136" s="89"/>
      <c r="Y1136" s="89"/>
      <c r="Z1136" s="89"/>
      <c r="AA1136" s="89"/>
      <c r="AB1136" s="89"/>
      <c r="AC1136" s="89"/>
      <c r="AD1136" s="89"/>
      <c r="AE1136" s="89"/>
      <c r="AF1136" s="89"/>
      <c r="AG1136" s="89"/>
      <c r="AH1136" s="89"/>
      <c r="AI1136" s="89"/>
      <c r="AJ1136" s="89"/>
      <c r="AK1136" s="89"/>
      <c r="AL1136" s="89"/>
      <c r="AM1136" s="89"/>
      <c r="AN1136" s="89"/>
      <c r="AO1136" s="89"/>
      <c r="AP1136" s="89"/>
      <c r="AQ1136" s="89"/>
      <c r="AR1136" s="89"/>
      <c r="AS1136" s="89"/>
      <c r="AT1136" s="89"/>
      <c r="AU1136" s="89"/>
      <c r="AV1136" s="89"/>
      <c r="AW1136" s="89"/>
      <c r="AX1136" s="89"/>
      <c r="AY1136" s="89"/>
      <c r="AZ1136" s="89"/>
      <c r="BA1136" s="95"/>
    </row>
    <row r="1137" spans="1:53" s="87" customFormat="1">
      <c r="A1137" s="90" t="str">
        <f t="shared" si="42"/>
        <v/>
      </c>
      <c r="B1137" s="89"/>
      <c r="C1137" s="89"/>
      <c r="D1137" s="89"/>
      <c r="E1137" s="89"/>
      <c r="F1137" s="89"/>
      <c r="G1137" s="89"/>
      <c r="H1137" s="89"/>
      <c r="I1137" s="89"/>
      <c r="J1137" s="89"/>
      <c r="K1137" s="89"/>
      <c r="L1137" s="89"/>
      <c r="M1137" s="89"/>
      <c r="N1137" s="89"/>
      <c r="O1137" s="89"/>
      <c r="P1137" s="89"/>
      <c r="Q1137" s="89"/>
      <c r="R1137" s="89"/>
      <c r="S1137" s="89"/>
      <c r="T1137" s="89"/>
      <c r="U1137" s="89"/>
      <c r="V1137" s="89"/>
      <c r="W1137" s="89"/>
      <c r="X1137" s="89"/>
      <c r="Y1137" s="89"/>
      <c r="Z1137" s="89"/>
      <c r="AA1137" s="89"/>
      <c r="AB1137" s="89"/>
      <c r="AC1137" s="89"/>
      <c r="AD1137" s="89"/>
      <c r="AE1137" s="89"/>
      <c r="AF1137" s="89"/>
      <c r="AG1137" s="89"/>
      <c r="AH1137" s="89"/>
      <c r="AI1137" s="89"/>
      <c r="AJ1137" s="89"/>
      <c r="AK1137" s="89"/>
      <c r="AL1137" s="89"/>
      <c r="AM1137" s="89"/>
      <c r="AN1137" s="89"/>
      <c r="AO1137" s="89"/>
      <c r="AP1137" s="89"/>
      <c r="AQ1137" s="89"/>
      <c r="AR1137" s="89"/>
      <c r="AS1137" s="89"/>
      <c r="AT1137" s="89"/>
      <c r="AU1137" s="89"/>
      <c r="AV1137" s="89"/>
      <c r="AW1137" s="89"/>
      <c r="AX1137" s="89"/>
      <c r="AY1137" s="89"/>
      <c r="AZ1137" s="89"/>
      <c r="BA1137" s="95"/>
    </row>
    <row r="1138" spans="1:53" s="87" customFormat="1">
      <c r="A1138" s="90" t="str">
        <f t="shared" si="42"/>
        <v/>
      </c>
      <c r="B1138" s="89"/>
      <c r="C1138" s="89"/>
      <c r="D1138" s="89"/>
      <c r="E1138" s="89"/>
      <c r="F1138" s="89"/>
      <c r="G1138" s="89"/>
      <c r="H1138" s="89"/>
      <c r="I1138" s="89"/>
      <c r="J1138" s="89"/>
      <c r="K1138" s="89"/>
      <c r="L1138" s="89"/>
      <c r="M1138" s="89"/>
      <c r="N1138" s="89"/>
      <c r="O1138" s="89"/>
      <c r="P1138" s="89"/>
      <c r="Q1138" s="89"/>
      <c r="R1138" s="89"/>
      <c r="S1138" s="89"/>
      <c r="T1138" s="89"/>
      <c r="U1138" s="89"/>
      <c r="V1138" s="89"/>
      <c r="W1138" s="89"/>
      <c r="X1138" s="89"/>
      <c r="Y1138" s="89"/>
      <c r="Z1138" s="89"/>
      <c r="AA1138" s="89"/>
      <c r="AB1138" s="89"/>
      <c r="AC1138" s="89"/>
      <c r="AD1138" s="89"/>
      <c r="AE1138" s="89"/>
      <c r="AF1138" s="89"/>
      <c r="AG1138" s="89"/>
      <c r="AH1138" s="89"/>
      <c r="AI1138" s="89"/>
      <c r="AJ1138" s="89"/>
      <c r="AK1138" s="89"/>
      <c r="AL1138" s="89"/>
      <c r="AM1138" s="89"/>
      <c r="AN1138" s="89"/>
      <c r="AO1138" s="89"/>
      <c r="AP1138" s="89"/>
      <c r="AQ1138" s="89"/>
      <c r="AR1138" s="89"/>
      <c r="AS1138" s="89"/>
      <c r="AT1138" s="89"/>
      <c r="AU1138" s="89"/>
      <c r="AV1138" s="89"/>
      <c r="AW1138" s="89"/>
      <c r="AX1138" s="89"/>
      <c r="AY1138" s="89"/>
      <c r="AZ1138" s="89"/>
      <c r="BA1138" s="95"/>
    </row>
    <row r="1139" spans="1:53" s="87" customFormat="1">
      <c r="A1139" s="90" t="str">
        <f t="shared" si="42"/>
        <v/>
      </c>
      <c r="B1139" s="89"/>
      <c r="C1139" s="89"/>
      <c r="D1139" s="89"/>
      <c r="E1139" s="89"/>
      <c r="F1139" s="89"/>
      <c r="G1139" s="89"/>
      <c r="H1139" s="89"/>
      <c r="I1139" s="89"/>
      <c r="J1139" s="89"/>
      <c r="K1139" s="89"/>
      <c r="L1139" s="89"/>
      <c r="M1139" s="89"/>
      <c r="N1139" s="89"/>
      <c r="O1139" s="89"/>
      <c r="P1139" s="89"/>
      <c r="Q1139" s="89"/>
      <c r="R1139" s="89"/>
      <c r="S1139" s="89"/>
      <c r="T1139" s="89"/>
      <c r="U1139" s="89"/>
      <c r="V1139" s="89"/>
      <c r="W1139" s="89"/>
      <c r="X1139" s="89"/>
      <c r="Y1139" s="89"/>
      <c r="Z1139" s="89"/>
      <c r="AA1139" s="89"/>
      <c r="AB1139" s="89"/>
      <c r="AC1139" s="89"/>
      <c r="AD1139" s="89"/>
      <c r="AE1139" s="89"/>
      <c r="AF1139" s="89"/>
      <c r="AG1139" s="89"/>
      <c r="AH1139" s="89"/>
      <c r="AI1139" s="89"/>
      <c r="AJ1139" s="89"/>
      <c r="AK1139" s="89"/>
      <c r="AL1139" s="89"/>
      <c r="AM1139" s="89"/>
      <c r="AN1139" s="89"/>
      <c r="AO1139" s="89"/>
      <c r="AP1139" s="89"/>
      <c r="AQ1139" s="89"/>
      <c r="AR1139" s="89"/>
      <c r="AS1139" s="89"/>
      <c r="AT1139" s="89"/>
      <c r="AU1139" s="89"/>
      <c r="AV1139" s="89"/>
      <c r="AW1139" s="89"/>
      <c r="AX1139" s="89"/>
      <c r="AY1139" s="89"/>
      <c r="AZ1139" s="89"/>
      <c r="BA1139" s="95"/>
    </row>
    <row r="1140" spans="1:53" s="87" customFormat="1">
      <c r="A1140" s="90" t="str">
        <f t="shared" si="42"/>
        <v/>
      </c>
      <c r="B1140" s="89"/>
      <c r="C1140" s="89"/>
      <c r="D1140" s="89"/>
      <c r="E1140" s="89"/>
      <c r="F1140" s="89"/>
      <c r="G1140" s="89"/>
      <c r="H1140" s="89"/>
      <c r="I1140" s="89"/>
      <c r="J1140" s="89"/>
      <c r="K1140" s="89"/>
      <c r="L1140" s="89"/>
      <c r="M1140" s="89"/>
      <c r="N1140" s="89"/>
      <c r="O1140" s="89"/>
      <c r="P1140" s="89"/>
      <c r="Q1140" s="89"/>
      <c r="R1140" s="89"/>
      <c r="S1140" s="89"/>
      <c r="T1140" s="89"/>
      <c r="U1140" s="89"/>
      <c r="V1140" s="89"/>
      <c r="W1140" s="89"/>
      <c r="X1140" s="89"/>
      <c r="Y1140" s="89"/>
      <c r="Z1140" s="89"/>
      <c r="AA1140" s="89"/>
      <c r="AB1140" s="89"/>
      <c r="AC1140" s="89"/>
      <c r="AD1140" s="89"/>
      <c r="AE1140" s="89"/>
      <c r="AF1140" s="89"/>
      <c r="AG1140" s="89"/>
      <c r="AH1140" s="89"/>
      <c r="AI1140" s="89"/>
      <c r="AJ1140" s="89"/>
      <c r="AK1140" s="89"/>
      <c r="AL1140" s="89"/>
      <c r="AM1140" s="89"/>
      <c r="AN1140" s="89"/>
      <c r="AO1140" s="89"/>
      <c r="AP1140" s="89"/>
      <c r="AQ1140" s="89"/>
      <c r="AR1140" s="89"/>
      <c r="AS1140" s="89"/>
      <c r="AT1140" s="89"/>
      <c r="AU1140" s="89"/>
      <c r="AV1140" s="89"/>
      <c r="AW1140" s="89"/>
      <c r="AX1140" s="89"/>
      <c r="AY1140" s="89"/>
      <c r="AZ1140" s="89"/>
      <c r="BA1140" s="95"/>
    </row>
    <row r="1141" spans="1:53" s="87" customFormat="1">
      <c r="A1141" s="90" t="str">
        <f t="shared" si="42"/>
        <v/>
      </c>
      <c r="B1141" s="89"/>
      <c r="C1141" s="89"/>
      <c r="D1141" s="89"/>
      <c r="E1141" s="89"/>
      <c r="F1141" s="89"/>
      <c r="G1141" s="89"/>
      <c r="H1141" s="89"/>
      <c r="I1141" s="89"/>
      <c r="J1141" s="89"/>
      <c r="K1141" s="89"/>
      <c r="L1141" s="89"/>
      <c r="M1141" s="89"/>
      <c r="N1141" s="89"/>
      <c r="O1141" s="89"/>
      <c r="P1141" s="89"/>
      <c r="Q1141" s="89"/>
      <c r="R1141" s="89"/>
      <c r="S1141" s="89"/>
      <c r="T1141" s="89"/>
      <c r="U1141" s="89"/>
      <c r="V1141" s="89"/>
      <c r="W1141" s="89"/>
      <c r="X1141" s="89"/>
      <c r="Y1141" s="89"/>
      <c r="Z1141" s="89"/>
      <c r="AA1141" s="89"/>
      <c r="AB1141" s="89"/>
      <c r="AC1141" s="89"/>
      <c r="AD1141" s="89"/>
      <c r="AE1141" s="89"/>
      <c r="AF1141" s="89"/>
      <c r="AG1141" s="89"/>
      <c r="AH1141" s="89"/>
      <c r="AI1141" s="89"/>
      <c r="AJ1141" s="89"/>
      <c r="AK1141" s="89"/>
      <c r="AL1141" s="89"/>
      <c r="AM1141" s="89"/>
      <c r="AN1141" s="89"/>
      <c r="AO1141" s="89"/>
      <c r="AP1141" s="89"/>
      <c r="AQ1141" s="89"/>
      <c r="AR1141" s="89"/>
      <c r="AS1141" s="89"/>
      <c r="AT1141" s="89"/>
      <c r="AU1141" s="89"/>
      <c r="AV1141" s="89"/>
      <c r="AW1141" s="89"/>
      <c r="AX1141" s="89"/>
      <c r="AY1141" s="89"/>
      <c r="AZ1141" s="89"/>
      <c r="BA1141" s="95"/>
    </row>
    <row r="1142" spans="1:53" s="87" customFormat="1">
      <c r="A1142" s="90" t="str">
        <f t="shared" si="42"/>
        <v/>
      </c>
      <c r="B1142" s="89"/>
      <c r="C1142" s="89"/>
      <c r="D1142" s="89"/>
      <c r="E1142" s="89"/>
      <c r="F1142" s="89"/>
      <c r="G1142" s="89"/>
      <c r="H1142" s="89"/>
      <c r="I1142" s="89"/>
      <c r="J1142" s="89"/>
      <c r="K1142" s="89"/>
      <c r="L1142" s="89"/>
      <c r="M1142" s="89"/>
      <c r="N1142" s="89"/>
      <c r="O1142" s="89"/>
      <c r="P1142" s="89"/>
      <c r="Q1142" s="89"/>
      <c r="R1142" s="89"/>
      <c r="S1142" s="89"/>
      <c r="T1142" s="89"/>
      <c r="U1142" s="89"/>
      <c r="V1142" s="89"/>
      <c r="W1142" s="89"/>
      <c r="X1142" s="89"/>
      <c r="Y1142" s="89"/>
      <c r="Z1142" s="89"/>
      <c r="AA1142" s="89"/>
      <c r="AB1142" s="89"/>
      <c r="AC1142" s="89"/>
      <c r="AD1142" s="89"/>
      <c r="AE1142" s="89"/>
      <c r="AF1142" s="89"/>
      <c r="AG1142" s="89"/>
      <c r="AH1142" s="89"/>
      <c r="AI1142" s="89"/>
      <c r="AJ1142" s="89"/>
      <c r="AK1142" s="89"/>
      <c r="AL1142" s="89"/>
      <c r="AM1142" s="89"/>
      <c r="AN1142" s="89"/>
      <c r="AO1142" s="89"/>
      <c r="AP1142" s="89"/>
      <c r="AQ1142" s="89"/>
      <c r="AR1142" s="89"/>
      <c r="AS1142" s="89"/>
      <c r="AT1142" s="89"/>
      <c r="AU1142" s="89"/>
      <c r="AV1142" s="89"/>
      <c r="AW1142" s="89"/>
      <c r="AX1142" s="89"/>
      <c r="AY1142" s="89"/>
      <c r="AZ1142" s="89"/>
      <c r="BA1142" s="95"/>
    </row>
    <row r="1143" spans="1:53" s="87" customFormat="1">
      <c r="A1143" s="90" t="str">
        <f t="shared" si="42"/>
        <v/>
      </c>
      <c r="B1143" s="89"/>
      <c r="C1143" s="89"/>
      <c r="D1143" s="89"/>
      <c r="E1143" s="89"/>
      <c r="F1143" s="89"/>
      <c r="G1143" s="89"/>
      <c r="H1143" s="89"/>
      <c r="I1143" s="89"/>
      <c r="J1143" s="89"/>
      <c r="K1143" s="89"/>
      <c r="L1143" s="89"/>
      <c r="M1143" s="89"/>
      <c r="N1143" s="89"/>
      <c r="O1143" s="89"/>
      <c r="P1143" s="89"/>
      <c r="Q1143" s="89"/>
      <c r="R1143" s="89"/>
      <c r="S1143" s="89"/>
      <c r="T1143" s="89"/>
      <c r="U1143" s="89"/>
      <c r="V1143" s="89"/>
      <c r="W1143" s="89"/>
      <c r="X1143" s="89"/>
      <c r="Y1143" s="89"/>
      <c r="Z1143" s="89"/>
      <c r="AA1143" s="89"/>
      <c r="AB1143" s="89"/>
      <c r="AC1143" s="89"/>
      <c r="AD1143" s="89"/>
      <c r="AE1143" s="89"/>
      <c r="AF1143" s="89"/>
      <c r="AG1143" s="89"/>
      <c r="AH1143" s="89"/>
      <c r="AI1143" s="89"/>
      <c r="AJ1143" s="89"/>
      <c r="AK1143" s="89"/>
      <c r="AL1143" s="89"/>
      <c r="AM1143" s="89"/>
      <c r="AN1143" s="89"/>
      <c r="AO1143" s="89"/>
      <c r="AP1143" s="89"/>
      <c r="AQ1143" s="89"/>
      <c r="AR1143" s="89"/>
      <c r="AS1143" s="89"/>
      <c r="AT1143" s="89"/>
      <c r="AU1143" s="89"/>
      <c r="AV1143" s="89"/>
      <c r="AW1143" s="89"/>
      <c r="AX1143" s="89"/>
      <c r="AY1143" s="89"/>
      <c r="AZ1143" s="89"/>
      <c r="BA1143" s="95"/>
    </row>
    <row r="1144" spans="1:53" s="87" customFormat="1">
      <c r="A1144" s="90" t="str">
        <f t="shared" si="42"/>
        <v/>
      </c>
      <c r="B1144" s="89"/>
      <c r="C1144" s="89"/>
      <c r="D1144" s="89"/>
      <c r="E1144" s="89"/>
      <c r="F1144" s="89"/>
      <c r="G1144" s="89"/>
      <c r="H1144" s="89"/>
      <c r="I1144" s="89"/>
      <c r="J1144" s="89"/>
      <c r="K1144" s="89"/>
      <c r="L1144" s="89"/>
      <c r="M1144" s="89"/>
      <c r="N1144" s="89"/>
      <c r="O1144" s="89"/>
      <c r="P1144" s="89"/>
      <c r="Q1144" s="89"/>
      <c r="R1144" s="89"/>
      <c r="S1144" s="89"/>
      <c r="T1144" s="89"/>
      <c r="U1144" s="89"/>
      <c r="V1144" s="89"/>
      <c r="W1144" s="89"/>
      <c r="X1144" s="89"/>
      <c r="Y1144" s="89"/>
      <c r="Z1144" s="89"/>
      <c r="AA1144" s="89"/>
      <c r="AB1144" s="89"/>
      <c r="AC1144" s="89"/>
      <c r="AD1144" s="89"/>
      <c r="AE1144" s="89"/>
      <c r="AF1144" s="89"/>
      <c r="AG1144" s="89"/>
      <c r="AH1144" s="89"/>
      <c r="AI1144" s="89"/>
      <c r="AJ1144" s="89"/>
      <c r="AK1144" s="89"/>
      <c r="AL1144" s="89"/>
      <c r="AM1144" s="89"/>
      <c r="AN1144" s="89"/>
      <c r="AO1144" s="89"/>
      <c r="AP1144" s="89"/>
      <c r="AQ1144" s="89"/>
      <c r="AR1144" s="89"/>
      <c r="AS1144" s="89"/>
      <c r="AT1144" s="89"/>
      <c r="AU1144" s="89"/>
      <c r="AV1144" s="89"/>
      <c r="AW1144" s="89"/>
      <c r="AX1144" s="89"/>
      <c r="AY1144" s="89"/>
      <c r="AZ1144" s="89"/>
      <c r="BA1144" s="95"/>
    </row>
    <row r="1145" spans="1:53" s="87" customFormat="1">
      <c r="A1145" s="90" t="str">
        <f t="shared" si="42"/>
        <v/>
      </c>
      <c r="B1145" s="89"/>
      <c r="C1145" s="89"/>
      <c r="D1145" s="89"/>
      <c r="E1145" s="89"/>
      <c r="F1145" s="89"/>
      <c r="G1145" s="89"/>
      <c r="H1145" s="89"/>
      <c r="I1145" s="89"/>
      <c r="J1145" s="89"/>
      <c r="K1145" s="89"/>
      <c r="L1145" s="89"/>
      <c r="M1145" s="89"/>
      <c r="N1145" s="89"/>
      <c r="O1145" s="89"/>
      <c r="P1145" s="89"/>
      <c r="Q1145" s="89"/>
      <c r="R1145" s="89"/>
      <c r="S1145" s="89"/>
      <c r="T1145" s="89"/>
      <c r="U1145" s="89"/>
      <c r="V1145" s="89"/>
      <c r="W1145" s="89"/>
      <c r="X1145" s="89"/>
      <c r="Y1145" s="89"/>
      <c r="Z1145" s="89"/>
      <c r="AA1145" s="89"/>
      <c r="AB1145" s="89"/>
      <c r="AC1145" s="89"/>
      <c r="AD1145" s="89"/>
      <c r="AE1145" s="89"/>
      <c r="AF1145" s="89"/>
      <c r="AG1145" s="89"/>
      <c r="AH1145" s="89"/>
      <c r="AI1145" s="89"/>
      <c r="AJ1145" s="89"/>
      <c r="AK1145" s="89"/>
      <c r="AL1145" s="89"/>
      <c r="AM1145" s="89"/>
      <c r="AN1145" s="89"/>
      <c r="AO1145" s="89"/>
      <c r="AP1145" s="89"/>
      <c r="AQ1145" s="89"/>
      <c r="AR1145" s="89"/>
      <c r="AS1145" s="89"/>
      <c r="AT1145" s="89"/>
      <c r="AU1145" s="89"/>
      <c r="AV1145" s="89"/>
      <c r="AW1145" s="89"/>
      <c r="AX1145" s="89"/>
      <c r="AY1145" s="89"/>
      <c r="AZ1145" s="89"/>
      <c r="BA1145" s="95"/>
    </row>
    <row r="1146" spans="1:53" s="87" customFormat="1">
      <c r="A1146" s="90" t="str">
        <f t="shared" si="42"/>
        <v/>
      </c>
      <c r="B1146" s="89"/>
      <c r="C1146" s="89"/>
      <c r="D1146" s="89"/>
      <c r="E1146" s="89"/>
      <c r="F1146" s="89"/>
      <c r="G1146" s="89"/>
      <c r="H1146" s="89"/>
      <c r="I1146" s="89"/>
      <c r="J1146" s="89"/>
      <c r="K1146" s="89"/>
      <c r="L1146" s="89"/>
      <c r="M1146" s="89"/>
      <c r="N1146" s="89"/>
      <c r="O1146" s="89"/>
      <c r="P1146" s="89"/>
      <c r="Q1146" s="89"/>
      <c r="R1146" s="89"/>
      <c r="S1146" s="89"/>
      <c r="T1146" s="89"/>
      <c r="U1146" s="89"/>
      <c r="V1146" s="89"/>
      <c r="W1146" s="89"/>
      <c r="X1146" s="89"/>
      <c r="Y1146" s="89"/>
      <c r="Z1146" s="89"/>
      <c r="AA1146" s="89"/>
      <c r="AB1146" s="89"/>
      <c r="AC1146" s="89"/>
      <c r="AD1146" s="89"/>
      <c r="AE1146" s="89"/>
      <c r="AF1146" s="89"/>
      <c r="AG1146" s="89"/>
      <c r="AH1146" s="89"/>
      <c r="AI1146" s="89"/>
      <c r="AJ1146" s="89"/>
      <c r="AK1146" s="89"/>
      <c r="AL1146" s="89"/>
      <c r="AM1146" s="89"/>
      <c r="AN1146" s="89"/>
      <c r="AO1146" s="89"/>
      <c r="AP1146" s="89"/>
      <c r="AQ1146" s="89"/>
      <c r="AR1146" s="89"/>
      <c r="AS1146" s="89"/>
      <c r="AT1146" s="89"/>
      <c r="AU1146" s="89"/>
      <c r="AV1146" s="89"/>
      <c r="AW1146" s="89"/>
      <c r="AX1146" s="89"/>
      <c r="AY1146" s="89"/>
      <c r="AZ1146" s="89"/>
      <c r="BA1146" s="95"/>
    </row>
    <row r="1147" spans="1:53" s="87" customFormat="1">
      <c r="A1147" s="90" t="str">
        <f t="shared" si="42"/>
        <v/>
      </c>
      <c r="B1147" s="89"/>
      <c r="C1147" s="89"/>
      <c r="D1147" s="89"/>
      <c r="E1147" s="89"/>
      <c r="F1147" s="89"/>
      <c r="G1147" s="89"/>
      <c r="H1147" s="89"/>
      <c r="I1147" s="89"/>
      <c r="J1147" s="89"/>
      <c r="K1147" s="89"/>
      <c r="L1147" s="89"/>
      <c r="M1147" s="89"/>
      <c r="N1147" s="89"/>
      <c r="O1147" s="89"/>
      <c r="P1147" s="89"/>
      <c r="Q1147" s="89"/>
      <c r="R1147" s="89"/>
      <c r="S1147" s="89"/>
      <c r="T1147" s="89"/>
      <c r="U1147" s="89"/>
      <c r="V1147" s="89"/>
      <c r="W1147" s="89"/>
      <c r="X1147" s="89"/>
      <c r="Y1147" s="89"/>
      <c r="Z1147" s="89"/>
      <c r="AA1147" s="89"/>
      <c r="AB1147" s="89"/>
      <c r="AC1147" s="89"/>
      <c r="AD1147" s="89"/>
      <c r="AE1147" s="89"/>
      <c r="AF1147" s="89"/>
      <c r="AG1147" s="89"/>
      <c r="AH1147" s="89"/>
      <c r="AI1147" s="89"/>
      <c r="AJ1147" s="89"/>
      <c r="AK1147" s="89"/>
      <c r="AL1147" s="89"/>
      <c r="AM1147" s="89"/>
      <c r="AN1147" s="89"/>
      <c r="AO1147" s="89"/>
      <c r="AP1147" s="89"/>
      <c r="AQ1147" s="89"/>
      <c r="AR1147" s="89"/>
      <c r="AS1147" s="89"/>
      <c r="AT1147" s="89"/>
      <c r="AU1147" s="89"/>
      <c r="AV1147" s="89"/>
      <c r="AW1147" s="89"/>
      <c r="AX1147" s="89"/>
      <c r="AY1147" s="89"/>
      <c r="AZ1147" s="89"/>
      <c r="BA1147" s="95"/>
    </row>
    <row r="1148" spans="1:53" s="87" customFormat="1">
      <c r="A1148" s="90" t="str">
        <f t="shared" si="42"/>
        <v/>
      </c>
      <c r="B1148" s="89"/>
      <c r="C1148" s="89"/>
      <c r="D1148" s="89"/>
      <c r="E1148" s="89"/>
      <c r="F1148" s="89"/>
      <c r="G1148" s="89"/>
      <c r="H1148" s="89"/>
      <c r="I1148" s="89"/>
      <c r="J1148" s="89"/>
      <c r="K1148" s="89"/>
      <c r="L1148" s="89"/>
      <c r="M1148" s="89"/>
      <c r="N1148" s="89"/>
      <c r="O1148" s="89"/>
      <c r="P1148" s="89"/>
      <c r="Q1148" s="89"/>
      <c r="R1148" s="89"/>
      <c r="S1148" s="89"/>
      <c r="T1148" s="89"/>
      <c r="U1148" s="89"/>
      <c r="V1148" s="89"/>
      <c r="W1148" s="89"/>
      <c r="X1148" s="89"/>
      <c r="Y1148" s="89"/>
      <c r="Z1148" s="89"/>
      <c r="AA1148" s="89"/>
      <c r="AB1148" s="89"/>
      <c r="AC1148" s="89"/>
      <c r="AD1148" s="89"/>
      <c r="AE1148" s="89"/>
      <c r="AF1148" s="89"/>
      <c r="AG1148" s="89"/>
      <c r="AH1148" s="89"/>
      <c r="AI1148" s="89"/>
      <c r="AJ1148" s="89"/>
      <c r="AK1148" s="89"/>
      <c r="AL1148" s="89"/>
      <c r="AM1148" s="89"/>
      <c r="AN1148" s="89"/>
      <c r="AO1148" s="89"/>
      <c r="AP1148" s="89"/>
      <c r="AQ1148" s="89"/>
      <c r="AR1148" s="89"/>
      <c r="AS1148" s="89"/>
      <c r="AT1148" s="89"/>
      <c r="AU1148" s="89"/>
      <c r="AV1148" s="89"/>
      <c r="AW1148" s="89"/>
      <c r="AX1148" s="89"/>
      <c r="AY1148" s="89"/>
      <c r="AZ1148" s="89"/>
      <c r="BA1148" s="95"/>
    </row>
    <row r="1149" spans="1:53" s="87" customFormat="1">
      <c r="A1149" s="90" t="str">
        <f t="shared" si="42"/>
        <v/>
      </c>
      <c r="B1149" s="89"/>
      <c r="C1149" s="89"/>
      <c r="D1149" s="89"/>
      <c r="E1149" s="89"/>
      <c r="F1149" s="89"/>
      <c r="G1149" s="89"/>
      <c r="H1149" s="89"/>
      <c r="I1149" s="89"/>
      <c r="J1149" s="89"/>
      <c r="K1149" s="89"/>
      <c r="L1149" s="89"/>
      <c r="M1149" s="89"/>
      <c r="N1149" s="89"/>
      <c r="O1149" s="89"/>
      <c r="P1149" s="89"/>
      <c r="Q1149" s="89"/>
      <c r="R1149" s="89"/>
      <c r="S1149" s="89"/>
      <c r="T1149" s="89"/>
      <c r="U1149" s="89"/>
      <c r="V1149" s="89"/>
      <c r="W1149" s="89"/>
      <c r="X1149" s="89"/>
      <c r="Y1149" s="89"/>
      <c r="Z1149" s="89"/>
      <c r="AA1149" s="89"/>
      <c r="AB1149" s="89"/>
      <c r="AC1149" s="89"/>
      <c r="AD1149" s="89"/>
      <c r="AE1149" s="89"/>
      <c r="AF1149" s="89"/>
      <c r="AG1149" s="89"/>
      <c r="AH1149" s="89"/>
      <c r="AI1149" s="89"/>
      <c r="AJ1149" s="89"/>
      <c r="AK1149" s="89"/>
      <c r="AL1149" s="89"/>
      <c r="AM1149" s="89"/>
      <c r="AN1149" s="89"/>
      <c r="AO1149" s="89"/>
      <c r="AP1149" s="89"/>
      <c r="AQ1149" s="89"/>
      <c r="AR1149" s="89"/>
      <c r="AS1149" s="89"/>
      <c r="AT1149" s="89"/>
      <c r="AU1149" s="89"/>
      <c r="AV1149" s="89"/>
      <c r="AW1149" s="89"/>
      <c r="AX1149" s="89"/>
      <c r="AY1149" s="89"/>
      <c r="AZ1149" s="89"/>
      <c r="BA1149" s="95"/>
    </row>
    <row r="1150" spans="1:53" s="87" customFormat="1">
      <c r="A1150" s="90" t="str">
        <f t="shared" si="42"/>
        <v/>
      </c>
      <c r="B1150" s="89"/>
      <c r="C1150" s="89"/>
      <c r="D1150" s="89"/>
      <c r="E1150" s="89"/>
      <c r="F1150" s="89"/>
      <c r="G1150" s="89"/>
      <c r="H1150" s="89"/>
      <c r="I1150" s="89"/>
      <c r="J1150" s="89"/>
      <c r="K1150" s="89"/>
      <c r="L1150" s="89"/>
      <c r="M1150" s="89"/>
      <c r="N1150" s="89"/>
      <c r="O1150" s="89"/>
      <c r="P1150" s="89"/>
      <c r="Q1150" s="89"/>
      <c r="R1150" s="89"/>
      <c r="S1150" s="89"/>
      <c r="T1150" s="89"/>
      <c r="U1150" s="89"/>
      <c r="V1150" s="89"/>
      <c r="W1150" s="89"/>
      <c r="X1150" s="89"/>
      <c r="Y1150" s="89"/>
      <c r="Z1150" s="89"/>
      <c r="AA1150" s="89"/>
      <c r="AB1150" s="89"/>
      <c r="AC1150" s="89"/>
      <c r="AD1150" s="89"/>
      <c r="AE1150" s="89"/>
      <c r="AF1150" s="89"/>
      <c r="AG1150" s="89"/>
      <c r="AH1150" s="89"/>
      <c r="AI1150" s="89"/>
      <c r="AJ1150" s="89"/>
      <c r="AK1150" s="89"/>
      <c r="AL1150" s="89"/>
      <c r="AM1150" s="89"/>
      <c r="AN1150" s="89"/>
      <c r="AO1150" s="89"/>
      <c r="AP1150" s="89"/>
      <c r="AQ1150" s="89"/>
      <c r="AR1150" s="89"/>
      <c r="AS1150" s="89"/>
      <c r="AT1150" s="89"/>
      <c r="AU1150" s="89"/>
      <c r="AV1150" s="89"/>
      <c r="AW1150" s="89"/>
      <c r="AX1150" s="89"/>
      <c r="AY1150" s="89"/>
      <c r="AZ1150" s="89"/>
      <c r="BA1150" s="95"/>
    </row>
    <row r="1151" spans="1:53" s="87" customFormat="1">
      <c r="A1151" s="90" t="str">
        <f t="shared" si="42"/>
        <v/>
      </c>
      <c r="B1151" s="89"/>
      <c r="C1151" s="89"/>
      <c r="D1151" s="89"/>
      <c r="E1151" s="89"/>
      <c r="F1151" s="89"/>
      <c r="G1151" s="89"/>
      <c r="H1151" s="89"/>
      <c r="I1151" s="89"/>
      <c r="J1151" s="89"/>
      <c r="K1151" s="89"/>
      <c r="L1151" s="89"/>
      <c r="M1151" s="89"/>
      <c r="N1151" s="89"/>
      <c r="O1151" s="89"/>
      <c r="P1151" s="89"/>
      <c r="Q1151" s="89"/>
      <c r="R1151" s="89"/>
      <c r="S1151" s="89"/>
      <c r="T1151" s="89"/>
      <c r="U1151" s="89"/>
      <c r="V1151" s="89"/>
      <c r="W1151" s="89"/>
      <c r="X1151" s="89"/>
      <c r="Y1151" s="89"/>
      <c r="Z1151" s="89"/>
      <c r="AA1151" s="89"/>
      <c r="AB1151" s="89"/>
      <c r="AC1151" s="89"/>
      <c r="AD1151" s="89"/>
      <c r="AE1151" s="89"/>
      <c r="AF1151" s="89"/>
      <c r="AG1151" s="89"/>
      <c r="AH1151" s="89"/>
      <c r="AI1151" s="89"/>
      <c r="AJ1151" s="89"/>
      <c r="AK1151" s="89"/>
      <c r="AL1151" s="89"/>
      <c r="AM1151" s="89"/>
      <c r="AN1151" s="89"/>
      <c r="AO1151" s="89"/>
      <c r="AP1151" s="89"/>
      <c r="AQ1151" s="89"/>
      <c r="AR1151" s="89"/>
      <c r="AS1151" s="89"/>
      <c r="AT1151" s="89"/>
      <c r="AU1151" s="89"/>
      <c r="AV1151" s="89"/>
      <c r="AW1151" s="89"/>
      <c r="AX1151" s="89"/>
      <c r="AY1151" s="89"/>
      <c r="AZ1151" s="89"/>
      <c r="BA1151" s="95"/>
    </row>
    <row r="1152" spans="1:53" s="87" customFormat="1">
      <c r="A1152" s="90" t="str">
        <f t="shared" si="42"/>
        <v/>
      </c>
      <c r="B1152" s="89"/>
      <c r="C1152" s="89"/>
      <c r="D1152" s="89"/>
      <c r="E1152" s="89"/>
      <c r="F1152" s="89"/>
      <c r="G1152" s="89"/>
      <c r="H1152" s="89"/>
      <c r="I1152" s="89"/>
      <c r="J1152" s="89"/>
      <c r="K1152" s="89"/>
      <c r="L1152" s="89"/>
      <c r="M1152" s="89"/>
      <c r="N1152" s="89"/>
      <c r="O1152" s="89"/>
      <c r="P1152" s="89"/>
      <c r="Q1152" s="89"/>
      <c r="R1152" s="89"/>
      <c r="S1152" s="89"/>
      <c r="T1152" s="89"/>
      <c r="U1152" s="89"/>
      <c r="V1152" s="89"/>
      <c r="W1152" s="89"/>
      <c r="X1152" s="89"/>
      <c r="Y1152" s="89"/>
      <c r="Z1152" s="89"/>
      <c r="AA1152" s="89"/>
      <c r="AB1152" s="89"/>
      <c r="AC1152" s="89"/>
      <c r="AD1152" s="89"/>
      <c r="AE1152" s="89"/>
      <c r="AF1152" s="89"/>
      <c r="AG1152" s="89"/>
      <c r="AH1152" s="89"/>
      <c r="AI1152" s="89"/>
      <c r="AJ1152" s="89"/>
      <c r="AK1152" s="89"/>
      <c r="AL1152" s="89"/>
      <c r="AM1152" s="89"/>
      <c r="AN1152" s="89"/>
      <c r="AO1152" s="89"/>
      <c r="AP1152" s="89"/>
      <c r="AQ1152" s="89"/>
      <c r="AR1152" s="89"/>
      <c r="AS1152" s="89"/>
      <c r="AT1152" s="89"/>
      <c r="AU1152" s="89"/>
      <c r="AV1152" s="89"/>
      <c r="AW1152" s="89"/>
      <c r="AX1152" s="89"/>
      <c r="AY1152" s="89"/>
      <c r="AZ1152" s="89"/>
      <c r="BA1152" s="95"/>
    </row>
    <row r="1153" spans="1:53" s="87" customFormat="1">
      <c r="A1153" s="90" t="str">
        <f t="shared" si="42"/>
        <v/>
      </c>
      <c r="B1153" s="89"/>
      <c r="C1153" s="89"/>
      <c r="D1153" s="89"/>
      <c r="E1153" s="89"/>
      <c r="F1153" s="89"/>
      <c r="G1153" s="89"/>
      <c r="H1153" s="89"/>
      <c r="I1153" s="89"/>
      <c r="J1153" s="89"/>
      <c r="K1153" s="89"/>
      <c r="L1153" s="89"/>
      <c r="M1153" s="89"/>
      <c r="N1153" s="89"/>
      <c r="O1153" s="89"/>
      <c r="P1153" s="89"/>
      <c r="Q1153" s="89"/>
      <c r="R1153" s="89"/>
      <c r="S1153" s="89"/>
      <c r="T1153" s="89"/>
      <c r="U1153" s="89"/>
      <c r="V1153" s="89"/>
      <c r="W1153" s="89"/>
      <c r="X1153" s="89"/>
      <c r="Y1153" s="89"/>
      <c r="Z1153" s="89"/>
      <c r="AA1153" s="89"/>
      <c r="AB1153" s="89"/>
      <c r="AC1153" s="89"/>
      <c r="AD1153" s="89"/>
      <c r="AE1153" s="89"/>
      <c r="AF1153" s="89"/>
      <c r="AG1153" s="89"/>
      <c r="AH1153" s="89"/>
      <c r="AI1153" s="89"/>
      <c r="AJ1153" s="89"/>
      <c r="AK1153" s="89"/>
      <c r="AL1153" s="89"/>
      <c r="AM1153" s="89"/>
      <c r="AN1153" s="89"/>
      <c r="AO1153" s="89"/>
      <c r="AP1153" s="89"/>
      <c r="AQ1153" s="89"/>
      <c r="AR1153" s="89"/>
      <c r="AS1153" s="89"/>
      <c r="AT1153" s="89"/>
      <c r="AU1153" s="89"/>
      <c r="AV1153" s="89"/>
      <c r="AW1153" s="89"/>
      <c r="AX1153" s="89"/>
      <c r="AY1153" s="89"/>
      <c r="AZ1153" s="89"/>
      <c r="BA1153" s="95"/>
    </row>
    <row r="1154" spans="1:53" s="87" customFormat="1">
      <c r="A1154" s="90" t="str">
        <f t="shared" si="42"/>
        <v/>
      </c>
      <c r="B1154" s="89"/>
      <c r="C1154" s="89"/>
      <c r="D1154" s="89"/>
      <c r="E1154" s="89"/>
      <c r="F1154" s="89"/>
      <c r="G1154" s="89"/>
      <c r="H1154" s="89"/>
      <c r="I1154" s="89"/>
      <c r="J1154" s="89"/>
      <c r="K1154" s="89"/>
      <c r="L1154" s="89"/>
      <c r="M1154" s="89"/>
      <c r="N1154" s="89"/>
      <c r="O1154" s="89"/>
      <c r="P1154" s="89"/>
      <c r="Q1154" s="89"/>
      <c r="R1154" s="89"/>
      <c r="S1154" s="89"/>
      <c r="T1154" s="89"/>
      <c r="U1154" s="89"/>
      <c r="V1154" s="89"/>
      <c r="W1154" s="89"/>
      <c r="X1154" s="89"/>
      <c r="Y1154" s="89"/>
      <c r="Z1154" s="89"/>
      <c r="AA1154" s="89"/>
      <c r="AB1154" s="89"/>
      <c r="AC1154" s="89"/>
      <c r="AD1154" s="89"/>
      <c r="AE1154" s="89"/>
      <c r="AF1154" s="89"/>
      <c r="AG1154" s="89"/>
      <c r="AH1154" s="89"/>
      <c r="AI1154" s="89"/>
      <c r="AJ1154" s="89"/>
      <c r="AK1154" s="89"/>
      <c r="AL1154" s="89"/>
      <c r="AM1154" s="89"/>
      <c r="AN1154" s="89"/>
      <c r="AO1154" s="89"/>
      <c r="AP1154" s="89"/>
      <c r="AQ1154" s="89"/>
      <c r="AR1154" s="89"/>
      <c r="AS1154" s="89"/>
      <c r="AT1154" s="89"/>
      <c r="AU1154" s="89"/>
      <c r="AV1154" s="89"/>
      <c r="AW1154" s="89"/>
      <c r="AX1154" s="89"/>
      <c r="AY1154" s="89"/>
      <c r="AZ1154" s="89"/>
      <c r="BA1154" s="95"/>
    </row>
    <row r="1155" spans="1:53" s="87" customFormat="1">
      <c r="A1155" s="90" t="str">
        <f t="shared" si="42"/>
        <v/>
      </c>
      <c r="B1155" s="89"/>
      <c r="C1155" s="89"/>
      <c r="D1155" s="89"/>
      <c r="E1155" s="89"/>
      <c r="F1155" s="89"/>
      <c r="G1155" s="89"/>
      <c r="H1155" s="89"/>
      <c r="I1155" s="89"/>
      <c r="J1155" s="89"/>
      <c r="K1155" s="89"/>
      <c r="L1155" s="89"/>
      <c r="M1155" s="89"/>
      <c r="N1155" s="89"/>
      <c r="O1155" s="89"/>
      <c r="P1155" s="89"/>
      <c r="Q1155" s="89"/>
      <c r="R1155" s="89"/>
      <c r="S1155" s="89"/>
      <c r="T1155" s="89"/>
      <c r="U1155" s="89"/>
      <c r="V1155" s="89"/>
      <c r="W1155" s="89"/>
      <c r="X1155" s="89"/>
      <c r="Y1155" s="89"/>
      <c r="Z1155" s="89"/>
      <c r="AA1155" s="89"/>
      <c r="AB1155" s="89"/>
      <c r="AC1155" s="89"/>
      <c r="AD1155" s="89"/>
      <c r="AE1155" s="89"/>
      <c r="AF1155" s="89"/>
      <c r="AG1155" s="89"/>
      <c r="AH1155" s="89"/>
      <c r="AI1155" s="89"/>
      <c r="AJ1155" s="89"/>
      <c r="AK1155" s="89"/>
      <c r="AL1155" s="89"/>
      <c r="AM1155" s="89"/>
      <c r="AN1155" s="89"/>
      <c r="AO1155" s="89"/>
      <c r="AP1155" s="89"/>
      <c r="AQ1155" s="89"/>
      <c r="AR1155" s="89"/>
      <c r="AS1155" s="89"/>
      <c r="AT1155" s="89"/>
      <c r="AU1155" s="89"/>
      <c r="AV1155" s="89"/>
      <c r="AW1155" s="89"/>
      <c r="AX1155" s="89"/>
      <c r="AY1155" s="89"/>
      <c r="AZ1155" s="89"/>
      <c r="BA1155" s="95"/>
    </row>
    <row r="1156" spans="1:53" s="87" customFormat="1">
      <c r="A1156" s="90" t="str">
        <f t="shared" si="42"/>
        <v/>
      </c>
      <c r="B1156" s="89"/>
      <c r="C1156" s="89"/>
      <c r="D1156" s="89"/>
      <c r="E1156" s="89"/>
      <c r="F1156" s="89"/>
      <c r="G1156" s="89"/>
      <c r="H1156" s="89"/>
      <c r="I1156" s="89"/>
      <c r="J1156" s="89"/>
      <c r="K1156" s="89"/>
      <c r="L1156" s="89"/>
      <c r="M1156" s="89"/>
      <c r="N1156" s="89"/>
      <c r="O1156" s="89"/>
      <c r="P1156" s="89"/>
      <c r="Q1156" s="89"/>
      <c r="R1156" s="89"/>
      <c r="S1156" s="89"/>
      <c r="T1156" s="89"/>
      <c r="U1156" s="89"/>
      <c r="V1156" s="89"/>
      <c r="W1156" s="89"/>
      <c r="X1156" s="89"/>
      <c r="Y1156" s="89"/>
      <c r="Z1156" s="89"/>
      <c r="AA1156" s="89"/>
      <c r="AB1156" s="89"/>
      <c r="AC1156" s="89"/>
      <c r="AD1156" s="89"/>
      <c r="AE1156" s="89"/>
      <c r="AF1156" s="89"/>
      <c r="AG1156" s="89"/>
      <c r="AH1156" s="89"/>
      <c r="AI1156" s="89"/>
      <c r="AJ1156" s="89"/>
      <c r="AK1156" s="89"/>
      <c r="AL1156" s="89"/>
      <c r="AM1156" s="89"/>
      <c r="AN1156" s="89"/>
      <c r="AO1156" s="89"/>
      <c r="AP1156" s="89"/>
      <c r="AQ1156" s="89"/>
      <c r="AR1156" s="89"/>
      <c r="AS1156" s="89"/>
      <c r="AT1156" s="89"/>
      <c r="AU1156" s="89"/>
      <c r="AV1156" s="89"/>
      <c r="AW1156" s="89"/>
      <c r="AX1156" s="89"/>
      <c r="AY1156" s="89"/>
      <c r="AZ1156" s="89"/>
      <c r="BA1156" s="95"/>
    </row>
    <row r="1157" spans="1:53" s="87" customFormat="1">
      <c r="A1157" s="90" t="str">
        <f t="shared" si="42"/>
        <v/>
      </c>
      <c r="B1157" s="89"/>
      <c r="C1157" s="89"/>
      <c r="D1157" s="89"/>
      <c r="E1157" s="89"/>
      <c r="F1157" s="89"/>
      <c r="G1157" s="89"/>
      <c r="H1157" s="89"/>
      <c r="I1157" s="89"/>
      <c r="J1157" s="89"/>
      <c r="K1157" s="89"/>
      <c r="L1157" s="89"/>
      <c r="M1157" s="89"/>
      <c r="N1157" s="89"/>
      <c r="O1157" s="89"/>
      <c r="P1157" s="89"/>
      <c r="Q1157" s="89"/>
      <c r="R1157" s="89"/>
      <c r="S1157" s="89"/>
      <c r="T1157" s="89"/>
      <c r="U1157" s="89"/>
      <c r="V1157" s="89"/>
      <c r="W1157" s="89"/>
      <c r="X1157" s="89"/>
      <c r="Y1157" s="89"/>
      <c r="Z1157" s="89"/>
      <c r="AA1157" s="89"/>
      <c r="AB1157" s="89"/>
      <c r="AC1157" s="89"/>
      <c r="AD1157" s="89"/>
      <c r="AE1157" s="89"/>
      <c r="AF1157" s="89"/>
      <c r="AG1157" s="89"/>
      <c r="AH1157" s="89"/>
      <c r="AI1157" s="89"/>
      <c r="AJ1157" s="89"/>
      <c r="AK1157" s="89"/>
      <c r="AL1157" s="89"/>
      <c r="AM1157" s="89"/>
      <c r="AN1157" s="89"/>
      <c r="AO1157" s="89"/>
      <c r="AP1157" s="89"/>
      <c r="AQ1157" s="89"/>
      <c r="AR1157" s="89"/>
      <c r="AS1157" s="89"/>
      <c r="AT1157" s="89"/>
      <c r="AU1157" s="89"/>
      <c r="AV1157" s="89"/>
      <c r="AW1157" s="89"/>
      <c r="AX1157" s="89"/>
      <c r="AY1157" s="89"/>
      <c r="AZ1157" s="89"/>
      <c r="BA1157" s="95"/>
    </row>
    <row r="1158" spans="1:53" s="87" customFormat="1">
      <c r="A1158" s="90" t="str">
        <f t="shared" si="42"/>
        <v/>
      </c>
      <c r="B1158" s="89"/>
      <c r="C1158" s="89"/>
      <c r="D1158" s="89"/>
      <c r="E1158" s="89"/>
      <c r="F1158" s="89"/>
      <c r="G1158" s="89"/>
      <c r="H1158" s="89"/>
      <c r="I1158" s="89"/>
      <c r="J1158" s="89"/>
      <c r="K1158" s="89"/>
      <c r="L1158" s="89"/>
      <c r="M1158" s="89"/>
      <c r="N1158" s="89"/>
      <c r="O1158" s="89"/>
      <c r="P1158" s="89"/>
      <c r="Q1158" s="89"/>
      <c r="R1158" s="89"/>
      <c r="S1158" s="89"/>
      <c r="T1158" s="89"/>
      <c r="U1158" s="89"/>
      <c r="V1158" s="89"/>
      <c r="W1158" s="89"/>
      <c r="X1158" s="89"/>
      <c r="Y1158" s="89"/>
      <c r="Z1158" s="89"/>
      <c r="AA1158" s="89"/>
      <c r="AB1158" s="89"/>
      <c r="AC1158" s="89"/>
      <c r="AD1158" s="89"/>
      <c r="AE1158" s="89"/>
      <c r="AF1158" s="89"/>
      <c r="AG1158" s="89"/>
      <c r="AH1158" s="89"/>
      <c r="AI1158" s="89"/>
      <c r="AJ1158" s="89"/>
      <c r="AK1158" s="89"/>
      <c r="AL1158" s="89"/>
      <c r="AM1158" s="89"/>
      <c r="AN1158" s="89"/>
      <c r="AO1158" s="89"/>
      <c r="AP1158" s="89"/>
      <c r="AQ1158" s="89"/>
      <c r="AR1158" s="89"/>
      <c r="AS1158" s="89"/>
      <c r="AT1158" s="89"/>
      <c r="AU1158" s="89"/>
      <c r="AV1158" s="89"/>
      <c r="AW1158" s="89"/>
      <c r="AX1158" s="89"/>
      <c r="AY1158" s="89"/>
      <c r="AZ1158" s="89"/>
      <c r="BA1158" s="95"/>
    </row>
    <row r="1159" spans="1:53" s="87" customFormat="1">
      <c r="A1159" s="90" t="str">
        <f t="shared" si="42"/>
        <v/>
      </c>
      <c r="B1159" s="89"/>
      <c r="C1159" s="89"/>
      <c r="D1159" s="89"/>
      <c r="E1159" s="89"/>
      <c r="F1159" s="89"/>
      <c r="G1159" s="89"/>
      <c r="H1159" s="89"/>
      <c r="I1159" s="89"/>
      <c r="J1159" s="89"/>
      <c r="K1159" s="89"/>
      <c r="L1159" s="89"/>
      <c r="M1159" s="89"/>
      <c r="N1159" s="89"/>
      <c r="O1159" s="89"/>
      <c r="P1159" s="89"/>
      <c r="Q1159" s="89"/>
      <c r="R1159" s="89"/>
      <c r="S1159" s="89"/>
      <c r="T1159" s="89"/>
      <c r="U1159" s="89"/>
      <c r="V1159" s="89"/>
      <c r="W1159" s="89"/>
      <c r="X1159" s="89"/>
      <c r="Y1159" s="89"/>
      <c r="Z1159" s="89"/>
      <c r="AA1159" s="89"/>
      <c r="AB1159" s="89"/>
      <c r="AC1159" s="89"/>
      <c r="AD1159" s="89"/>
      <c r="AE1159" s="89"/>
      <c r="AF1159" s="89"/>
      <c r="AG1159" s="89"/>
      <c r="AH1159" s="89"/>
      <c r="AI1159" s="89"/>
      <c r="AJ1159" s="89"/>
      <c r="AK1159" s="89"/>
      <c r="AL1159" s="89"/>
      <c r="AM1159" s="89"/>
      <c r="AN1159" s="89"/>
      <c r="AO1159" s="89"/>
      <c r="AP1159" s="89"/>
      <c r="AQ1159" s="89"/>
      <c r="AR1159" s="89"/>
      <c r="AS1159" s="89"/>
      <c r="AT1159" s="89"/>
      <c r="AU1159" s="89"/>
      <c r="AV1159" s="89"/>
      <c r="AW1159" s="89"/>
      <c r="AX1159" s="89"/>
      <c r="AY1159" s="89"/>
      <c r="AZ1159" s="89"/>
      <c r="BA1159" s="95"/>
    </row>
    <row r="1160" spans="1:53" s="87" customFormat="1">
      <c r="A1160" s="90" t="str">
        <f t="shared" si="42"/>
        <v/>
      </c>
      <c r="B1160" s="89"/>
      <c r="C1160" s="89"/>
      <c r="D1160" s="89"/>
      <c r="E1160" s="89"/>
      <c r="F1160" s="89"/>
      <c r="G1160" s="89"/>
      <c r="H1160" s="89"/>
      <c r="I1160" s="89"/>
      <c r="J1160" s="89"/>
      <c r="K1160" s="89"/>
      <c r="L1160" s="89"/>
      <c r="M1160" s="89"/>
      <c r="N1160" s="89"/>
      <c r="O1160" s="89"/>
      <c r="P1160" s="89"/>
      <c r="Q1160" s="89"/>
      <c r="R1160" s="89"/>
      <c r="S1160" s="89"/>
      <c r="T1160" s="89"/>
      <c r="U1160" s="89"/>
      <c r="V1160" s="89"/>
      <c r="W1160" s="89"/>
      <c r="X1160" s="89"/>
      <c r="Y1160" s="89"/>
      <c r="Z1160" s="89"/>
      <c r="AA1160" s="89"/>
      <c r="AB1160" s="89"/>
      <c r="AC1160" s="89"/>
      <c r="AD1160" s="89"/>
      <c r="AE1160" s="89"/>
      <c r="AF1160" s="89"/>
      <c r="AG1160" s="89"/>
      <c r="AH1160" s="89"/>
      <c r="AI1160" s="89"/>
      <c r="AJ1160" s="89"/>
      <c r="AK1160" s="89"/>
      <c r="AL1160" s="89"/>
      <c r="AM1160" s="89"/>
      <c r="AN1160" s="89"/>
      <c r="AO1160" s="89"/>
      <c r="AP1160" s="89"/>
      <c r="AQ1160" s="89"/>
      <c r="AR1160" s="89"/>
      <c r="AS1160" s="89"/>
      <c r="AT1160" s="89"/>
      <c r="AU1160" s="89"/>
      <c r="AV1160" s="89"/>
      <c r="AW1160" s="89"/>
      <c r="AX1160" s="89"/>
      <c r="AY1160" s="89"/>
      <c r="AZ1160" s="89"/>
      <c r="BA1160" s="95"/>
    </row>
    <row r="1161" spans="1:53" s="87" customFormat="1">
      <c r="A1161" s="90" t="str">
        <f t="shared" si="42"/>
        <v/>
      </c>
      <c r="B1161" s="89"/>
      <c r="C1161" s="89"/>
      <c r="D1161" s="89"/>
      <c r="E1161" s="89"/>
      <c r="F1161" s="89"/>
      <c r="G1161" s="89"/>
      <c r="H1161" s="89"/>
      <c r="I1161" s="89"/>
      <c r="J1161" s="89"/>
      <c r="K1161" s="89"/>
      <c r="L1161" s="89"/>
      <c r="M1161" s="89"/>
      <c r="N1161" s="89"/>
      <c r="O1161" s="89"/>
      <c r="P1161" s="89"/>
      <c r="Q1161" s="89"/>
      <c r="R1161" s="89"/>
      <c r="S1161" s="89"/>
      <c r="T1161" s="89"/>
      <c r="U1161" s="89"/>
      <c r="V1161" s="89"/>
      <c r="W1161" s="89"/>
      <c r="X1161" s="89"/>
      <c r="Y1161" s="89"/>
      <c r="Z1161" s="89"/>
      <c r="AA1161" s="89"/>
      <c r="AB1161" s="89"/>
      <c r="AC1161" s="89"/>
      <c r="AD1161" s="89"/>
      <c r="AE1161" s="89"/>
      <c r="AF1161" s="89"/>
      <c r="AG1161" s="89"/>
      <c r="AH1161" s="89"/>
      <c r="AI1161" s="89"/>
      <c r="AJ1161" s="89"/>
      <c r="AK1161" s="89"/>
      <c r="AL1161" s="89"/>
      <c r="AM1161" s="89"/>
      <c r="AN1161" s="89"/>
      <c r="AO1161" s="89"/>
      <c r="AP1161" s="89"/>
      <c r="AQ1161" s="89"/>
      <c r="AR1161" s="89"/>
      <c r="AS1161" s="89"/>
      <c r="AT1161" s="89"/>
      <c r="AU1161" s="89"/>
      <c r="AV1161" s="89"/>
      <c r="AW1161" s="89"/>
      <c r="AX1161" s="89"/>
      <c r="AY1161" s="89"/>
      <c r="AZ1161" s="89"/>
      <c r="BA1161" s="95"/>
    </row>
    <row r="1162" spans="1:53" s="87" customFormat="1">
      <c r="A1162" s="90" t="str">
        <f t="shared" si="42"/>
        <v/>
      </c>
      <c r="B1162" s="89"/>
      <c r="C1162" s="89"/>
      <c r="D1162" s="89"/>
      <c r="E1162" s="89"/>
      <c r="F1162" s="89"/>
      <c r="G1162" s="89"/>
      <c r="H1162" s="89"/>
      <c r="I1162" s="89"/>
      <c r="J1162" s="89"/>
      <c r="K1162" s="89"/>
      <c r="L1162" s="89"/>
      <c r="M1162" s="89"/>
      <c r="N1162" s="89"/>
      <c r="O1162" s="89"/>
      <c r="P1162" s="89"/>
      <c r="Q1162" s="89"/>
      <c r="R1162" s="89"/>
      <c r="S1162" s="89"/>
      <c r="T1162" s="89"/>
      <c r="U1162" s="89"/>
      <c r="V1162" s="89"/>
      <c r="W1162" s="89"/>
      <c r="X1162" s="89"/>
      <c r="Y1162" s="89"/>
      <c r="Z1162" s="89"/>
      <c r="AA1162" s="89"/>
      <c r="AB1162" s="89"/>
      <c r="AC1162" s="89"/>
      <c r="AD1162" s="89"/>
      <c r="AE1162" s="89"/>
      <c r="AF1162" s="89"/>
      <c r="AG1162" s="89"/>
      <c r="AH1162" s="89"/>
      <c r="AI1162" s="89"/>
      <c r="AJ1162" s="89"/>
      <c r="AK1162" s="89"/>
      <c r="AL1162" s="89"/>
      <c r="AM1162" s="89"/>
      <c r="AN1162" s="89"/>
      <c r="AO1162" s="89"/>
      <c r="AP1162" s="89"/>
      <c r="AQ1162" s="89"/>
      <c r="AR1162" s="89"/>
      <c r="AS1162" s="89"/>
      <c r="AT1162" s="89"/>
      <c r="AU1162" s="89"/>
      <c r="AV1162" s="89"/>
      <c r="AW1162" s="89"/>
      <c r="AX1162" s="89"/>
      <c r="AY1162" s="89"/>
      <c r="AZ1162" s="89"/>
      <c r="BA1162" s="95"/>
    </row>
    <row r="1163" spans="1:53" s="87" customFormat="1">
      <c r="A1163" s="90" t="str">
        <f t="shared" si="42"/>
        <v/>
      </c>
      <c r="B1163" s="89"/>
      <c r="C1163" s="89"/>
      <c r="D1163" s="89"/>
      <c r="E1163" s="89"/>
      <c r="F1163" s="89"/>
      <c r="G1163" s="89"/>
      <c r="H1163" s="89"/>
      <c r="I1163" s="89"/>
      <c r="J1163" s="89"/>
      <c r="K1163" s="89"/>
      <c r="L1163" s="89"/>
      <c r="M1163" s="89"/>
      <c r="N1163" s="89"/>
      <c r="O1163" s="89"/>
      <c r="P1163" s="89"/>
      <c r="Q1163" s="89"/>
      <c r="R1163" s="89"/>
      <c r="S1163" s="89"/>
      <c r="T1163" s="89"/>
      <c r="U1163" s="89"/>
      <c r="V1163" s="89"/>
      <c r="W1163" s="89"/>
      <c r="X1163" s="89"/>
      <c r="Y1163" s="89"/>
      <c r="Z1163" s="89"/>
      <c r="AA1163" s="89"/>
      <c r="AB1163" s="89"/>
      <c r="AC1163" s="89"/>
      <c r="AD1163" s="89"/>
      <c r="AE1163" s="89"/>
      <c r="AF1163" s="89"/>
      <c r="AG1163" s="89"/>
      <c r="AH1163" s="89"/>
      <c r="AI1163" s="89"/>
      <c r="AJ1163" s="89"/>
      <c r="AK1163" s="89"/>
      <c r="AL1163" s="89"/>
      <c r="AM1163" s="89"/>
      <c r="AN1163" s="89"/>
      <c r="AO1163" s="89"/>
      <c r="AP1163" s="89"/>
      <c r="AQ1163" s="89"/>
      <c r="AR1163" s="89"/>
      <c r="AS1163" s="89"/>
      <c r="AT1163" s="89"/>
      <c r="AU1163" s="89"/>
      <c r="AV1163" s="89"/>
      <c r="AW1163" s="89"/>
      <c r="AX1163" s="89"/>
      <c r="AY1163" s="89"/>
      <c r="AZ1163" s="89"/>
      <c r="BA1163" s="95"/>
    </row>
    <row r="1164" spans="1:53" s="87" customFormat="1">
      <c r="A1164" s="90" t="str">
        <f t="shared" ref="A1164:A1200" si="43">IF(MID(B1164,3,2)="10",ROW(),"")</f>
        <v/>
      </c>
      <c r="B1164" s="89"/>
      <c r="C1164" s="89"/>
      <c r="D1164" s="89"/>
      <c r="E1164" s="89"/>
      <c r="F1164" s="89"/>
      <c r="G1164" s="89"/>
      <c r="H1164" s="89"/>
      <c r="I1164" s="89"/>
      <c r="J1164" s="89"/>
      <c r="K1164" s="89"/>
      <c r="L1164" s="89"/>
      <c r="M1164" s="89"/>
      <c r="N1164" s="89"/>
      <c r="O1164" s="89"/>
      <c r="P1164" s="89"/>
      <c r="Q1164" s="89"/>
      <c r="R1164" s="89"/>
      <c r="S1164" s="89"/>
      <c r="T1164" s="89"/>
      <c r="U1164" s="89"/>
      <c r="V1164" s="89"/>
      <c r="W1164" s="89"/>
      <c r="X1164" s="89"/>
      <c r="Y1164" s="89"/>
      <c r="Z1164" s="89"/>
      <c r="AA1164" s="89"/>
      <c r="AB1164" s="89"/>
      <c r="AC1164" s="89"/>
      <c r="AD1164" s="89"/>
      <c r="AE1164" s="89"/>
      <c r="AF1164" s="89"/>
      <c r="AG1164" s="89"/>
      <c r="AH1164" s="89"/>
      <c r="AI1164" s="89"/>
      <c r="AJ1164" s="89"/>
      <c r="AK1164" s="89"/>
      <c r="AL1164" s="89"/>
      <c r="AM1164" s="89"/>
      <c r="AN1164" s="89"/>
      <c r="AO1164" s="89"/>
      <c r="AP1164" s="89"/>
      <c r="AQ1164" s="89"/>
      <c r="AR1164" s="89"/>
      <c r="AS1164" s="89"/>
      <c r="AT1164" s="89"/>
      <c r="AU1164" s="89"/>
      <c r="AV1164" s="89"/>
      <c r="AW1164" s="89"/>
      <c r="AX1164" s="89"/>
      <c r="AY1164" s="89"/>
      <c r="AZ1164" s="89"/>
      <c r="BA1164" s="95"/>
    </row>
    <row r="1165" spans="1:53" s="87" customFormat="1">
      <c r="A1165" s="90" t="str">
        <f t="shared" si="43"/>
        <v/>
      </c>
      <c r="B1165" s="89"/>
      <c r="C1165" s="89"/>
      <c r="D1165" s="89"/>
      <c r="E1165" s="89"/>
      <c r="F1165" s="89"/>
      <c r="G1165" s="89"/>
      <c r="H1165" s="89"/>
      <c r="I1165" s="89"/>
      <c r="J1165" s="89"/>
      <c r="K1165" s="89"/>
      <c r="L1165" s="89"/>
      <c r="M1165" s="89"/>
      <c r="N1165" s="89"/>
      <c r="O1165" s="89"/>
      <c r="P1165" s="89"/>
      <c r="Q1165" s="89"/>
      <c r="R1165" s="89"/>
      <c r="S1165" s="89"/>
      <c r="T1165" s="89"/>
      <c r="U1165" s="89"/>
      <c r="V1165" s="89"/>
      <c r="W1165" s="89"/>
      <c r="X1165" s="89"/>
      <c r="Y1165" s="89"/>
      <c r="Z1165" s="89"/>
      <c r="AA1165" s="89"/>
      <c r="AB1165" s="89"/>
      <c r="AC1165" s="89"/>
      <c r="AD1165" s="89"/>
      <c r="AE1165" s="89"/>
      <c r="AF1165" s="89"/>
      <c r="AG1165" s="89"/>
      <c r="AH1165" s="89"/>
      <c r="AI1165" s="89"/>
      <c r="AJ1165" s="89"/>
      <c r="AK1165" s="89"/>
      <c r="AL1165" s="89"/>
      <c r="AM1165" s="89"/>
      <c r="AN1165" s="89"/>
      <c r="AO1165" s="89"/>
      <c r="AP1165" s="89"/>
      <c r="AQ1165" s="89"/>
      <c r="AR1165" s="89"/>
      <c r="AS1165" s="89"/>
      <c r="AT1165" s="89"/>
      <c r="AU1165" s="89"/>
      <c r="AV1165" s="89"/>
      <c r="AW1165" s="89"/>
      <c r="AX1165" s="89"/>
      <c r="AY1165" s="89"/>
      <c r="AZ1165" s="89"/>
      <c r="BA1165" s="95"/>
    </row>
    <row r="1166" spans="1:53" s="87" customFormat="1">
      <c r="A1166" s="90" t="str">
        <f t="shared" si="43"/>
        <v/>
      </c>
      <c r="B1166" s="89"/>
      <c r="C1166" s="89"/>
      <c r="D1166" s="89"/>
      <c r="E1166" s="89"/>
      <c r="F1166" s="89"/>
      <c r="G1166" s="89"/>
      <c r="H1166" s="89"/>
      <c r="I1166" s="89"/>
      <c r="J1166" s="89"/>
      <c r="K1166" s="89"/>
      <c r="L1166" s="89"/>
      <c r="M1166" s="89"/>
      <c r="N1166" s="89"/>
      <c r="O1166" s="89"/>
      <c r="P1166" s="89"/>
      <c r="Q1166" s="89"/>
      <c r="R1166" s="89"/>
      <c r="S1166" s="89"/>
      <c r="T1166" s="89"/>
      <c r="U1166" s="89"/>
      <c r="V1166" s="89"/>
      <c r="W1166" s="89"/>
      <c r="X1166" s="89"/>
      <c r="Y1166" s="89"/>
      <c r="Z1166" s="89"/>
      <c r="AA1166" s="89"/>
      <c r="AB1166" s="89"/>
      <c r="AC1166" s="89"/>
      <c r="AD1166" s="89"/>
      <c r="AE1166" s="89"/>
      <c r="AF1166" s="89"/>
      <c r="AG1166" s="89"/>
      <c r="AH1166" s="89"/>
      <c r="AI1166" s="89"/>
      <c r="AJ1166" s="89"/>
      <c r="AK1166" s="89"/>
      <c r="AL1166" s="89"/>
      <c r="AM1166" s="89"/>
      <c r="AN1166" s="89"/>
      <c r="AO1166" s="89"/>
      <c r="AP1166" s="89"/>
      <c r="AQ1166" s="89"/>
      <c r="AR1166" s="89"/>
      <c r="AS1166" s="89"/>
      <c r="AT1166" s="89"/>
      <c r="AU1166" s="89"/>
      <c r="AV1166" s="89"/>
      <c r="AW1166" s="89"/>
      <c r="AX1166" s="89"/>
      <c r="AY1166" s="89"/>
      <c r="AZ1166" s="89"/>
      <c r="BA1166" s="95"/>
    </row>
    <row r="1167" spans="1:53" s="87" customFormat="1">
      <c r="A1167" s="90" t="str">
        <f t="shared" si="43"/>
        <v/>
      </c>
      <c r="B1167" s="89"/>
      <c r="C1167" s="89"/>
      <c r="D1167" s="89"/>
      <c r="E1167" s="89"/>
      <c r="F1167" s="89"/>
      <c r="G1167" s="89"/>
      <c r="H1167" s="89"/>
      <c r="I1167" s="89"/>
      <c r="J1167" s="89"/>
      <c r="K1167" s="89"/>
      <c r="L1167" s="89"/>
      <c r="M1167" s="89"/>
      <c r="N1167" s="89"/>
      <c r="O1167" s="89"/>
      <c r="P1167" s="89"/>
      <c r="Q1167" s="89"/>
      <c r="R1167" s="89"/>
      <c r="S1167" s="89"/>
      <c r="T1167" s="89"/>
      <c r="U1167" s="89"/>
      <c r="V1167" s="89"/>
      <c r="W1167" s="89"/>
      <c r="X1167" s="89"/>
      <c r="Y1167" s="89"/>
      <c r="Z1167" s="89"/>
      <c r="AA1167" s="89"/>
      <c r="AB1167" s="89"/>
      <c r="AC1167" s="89"/>
      <c r="AD1167" s="89"/>
      <c r="AE1167" s="89"/>
      <c r="AF1167" s="89"/>
      <c r="AG1167" s="89"/>
      <c r="AH1167" s="89"/>
      <c r="AI1167" s="89"/>
      <c r="AJ1167" s="89"/>
      <c r="AK1167" s="89"/>
      <c r="AL1167" s="89"/>
      <c r="AM1167" s="89"/>
      <c r="AN1167" s="89"/>
      <c r="AO1167" s="89"/>
      <c r="AP1167" s="89"/>
      <c r="AQ1167" s="89"/>
      <c r="AR1167" s="89"/>
      <c r="AS1167" s="89"/>
      <c r="AT1167" s="89"/>
      <c r="AU1167" s="89"/>
      <c r="AV1167" s="89"/>
      <c r="AW1167" s="89"/>
      <c r="AX1167" s="89"/>
      <c r="AY1167" s="89"/>
      <c r="AZ1167" s="89"/>
      <c r="BA1167" s="95"/>
    </row>
    <row r="1168" spans="1:53" s="87" customFormat="1">
      <c r="A1168" s="90" t="str">
        <f t="shared" si="43"/>
        <v/>
      </c>
      <c r="B1168" s="89"/>
      <c r="C1168" s="89"/>
      <c r="D1168" s="89"/>
      <c r="E1168" s="89"/>
      <c r="F1168" s="89"/>
      <c r="G1168" s="89"/>
      <c r="H1168" s="89"/>
      <c r="I1168" s="89"/>
      <c r="J1168" s="89"/>
      <c r="K1168" s="89"/>
      <c r="L1168" s="89"/>
      <c r="M1168" s="89"/>
      <c r="N1168" s="89"/>
      <c r="O1168" s="89"/>
      <c r="P1168" s="89"/>
      <c r="Q1168" s="89"/>
      <c r="R1168" s="89"/>
      <c r="S1168" s="89"/>
      <c r="T1168" s="89"/>
      <c r="U1168" s="89"/>
      <c r="V1168" s="89"/>
      <c r="W1168" s="89"/>
      <c r="X1168" s="89"/>
      <c r="Y1168" s="89"/>
      <c r="Z1168" s="89"/>
      <c r="AA1168" s="89"/>
      <c r="AB1168" s="89"/>
      <c r="AC1168" s="89"/>
      <c r="AD1168" s="89"/>
      <c r="AE1168" s="89"/>
      <c r="AF1168" s="89"/>
      <c r="AG1168" s="89"/>
      <c r="AH1168" s="89"/>
      <c r="AI1168" s="89"/>
      <c r="AJ1168" s="89"/>
      <c r="AK1168" s="89"/>
      <c r="AL1168" s="89"/>
      <c r="AM1168" s="89"/>
      <c r="AN1168" s="89"/>
      <c r="AO1168" s="89"/>
      <c r="AP1168" s="89"/>
      <c r="AQ1168" s="89"/>
      <c r="AR1168" s="89"/>
      <c r="AS1168" s="89"/>
      <c r="AT1168" s="89"/>
      <c r="AU1168" s="89"/>
      <c r="AV1168" s="89"/>
      <c r="AW1168" s="89"/>
      <c r="AX1168" s="89"/>
      <c r="AY1168" s="89"/>
      <c r="AZ1168" s="89"/>
      <c r="BA1168" s="95"/>
    </row>
    <row r="1169" spans="1:53" s="87" customFormat="1">
      <c r="A1169" s="90" t="str">
        <f t="shared" si="43"/>
        <v/>
      </c>
      <c r="B1169" s="89"/>
      <c r="C1169" s="89"/>
      <c r="D1169" s="89"/>
      <c r="E1169" s="89"/>
      <c r="F1169" s="89"/>
      <c r="G1169" s="89"/>
      <c r="H1169" s="89"/>
      <c r="I1169" s="89"/>
      <c r="J1169" s="89"/>
      <c r="K1169" s="89"/>
      <c r="L1169" s="89"/>
      <c r="M1169" s="89"/>
      <c r="N1169" s="89"/>
      <c r="O1169" s="89"/>
      <c r="P1169" s="89"/>
      <c r="Q1169" s="89"/>
      <c r="R1169" s="89"/>
      <c r="S1169" s="89"/>
      <c r="T1169" s="89"/>
      <c r="U1169" s="89"/>
      <c r="V1169" s="89"/>
      <c r="W1169" s="89"/>
      <c r="X1169" s="89"/>
      <c r="Y1169" s="89"/>
      <c r="Z1169" s="89"/>
      <c r="AA1169" s="89"/>
      <c r="AB1169" s="89"/>
      <c r="AC1169" s="89"/>
      <c r="AD1169" s="89"/>
      <c r="AE1169" s="89"/>
      <c r="AF1169" s="89"/>
      <c r="AG1169" s="89"/>
      <c r="AH1169" s="89"/>
      <c r="AI1169" s="89"/>
      <c r="AJ1169" s="89"/>
      <c r="AK1169" s="89"/>
      <c r="AL1169" s="89"/>
      <c r="AM1169" s="89"/>
      <c r="AN1169" s="89"/>
      <c r="AO1169" s="89"/>
      <c r="AP1169" s="89"/>
      <c r="AQ1169" s="89"/>
      <c r="AR1169" s="89"/>
      <c r="AS1169" s="89"/>
      <c r="AT1169" s="89"/>
      <c r="AU1169" s="89"/>
      <c r="AV1169" s="89"/>
      <c r="AW1169" s="89"/>
      <c r="AX1169" s="89"/>
      <c r="AY1169" s="89"/>
      <c r="AZ1169" s="89"/>
      <c r="BA1169" s="95"/>
    </row>
    <row r="1170" spans="1:53" s="87" customFormat="1">
      <c r="A1170" s="90" t="str">
        <f t="shared" si="43"/>
        <v/>
      </c>
      <c r="B1170" s="89"/>
      <c r="C1170" s="89"/>
      <c r="D1170" s="89"/>
      <c r="E1170" s="89"/>
      <c r="F1170" s="89"/>
      <c r="G1170" s="89"/>
      <c r="H1170" s="89"/>
      <c r="I1170" s="89"/>
      <c r="J1170" s="89"/>
      <c r="K1170" s="89"/>
      <c r="L1170" s="89"/>
      <c r="M1170" s="89"/>
      <c r="N1170" s="89"/>
      <c r="O1170" s="89"/>
      <c r="P1170" s="89"/>
      <c r="Q1170" s="89"/>
      <c r="R1170" s="89"/>
      <c r="S1170" s="89"/>
      <c r="T1170" s="89"/>
      <c r="U1170" s="89"/>
      <c r="V1170" s="89"/>
      <c r="W1170" s="89"/>
      <c r="X1170" s="89"/>
      <c r="Y1170" s="89"/>
      <c r="Z1170" s="89"/>
      <c r="AA1170" s="89"/>
      <c r="AB1170" s="89"/>
      <c r="AC1170" s="89"/>
      <c r="AD1170" s="89"/>
      <c r="AE1170" s="89"/>
      <c r="AF1170" s="89"/>
      <c r="AG1170" s="89"/>
      <c r="AH1170" s="89"/>
      <c r="AI1170" s="89"/>
      <c r="AJ1170" s="89"/>
      <c r="AK1170" s="89"/>
      <c r="AL1170" s="89"/>
      <c r="AM1170" s="89"/>
      <c r="AN1170" s="89"/>
      <c r="AO1170" s="89"/>
      <c r="AP1170" s="89"/>
      <c r="AQ1170" s="89"/>
      <c r="AR1170" s="89"/>
      <c r="AS1170" s="89"/>
      <c r="AT1170" s="89"/>
      <c r="AU1170" s="89"/>
      <c r="AV1170" s="89"/>
      <c r="AW1170" s="89"/>
      <c r="AX1170" s="89"/>
      <c r="AY1170" s="89"/>
      <c r="AZ1170" s="89"/>
      <c r="BA1170" s="95"/>
    </row>
    <row r="1171" spans="1:53" s="87" customFormat="1">
      <c r="A1171" s="90" t="str">
        <f t="shared" si="43"/>
        <v/>
      </c>
      <c r="B1171" s="89"/>
      <c r="C1171" s="89"/>
      <c r="D1171" s="89"/>
      <c r="E1171" s="89"/>
      <c r="F1171" s="89"/>
      <c r="G1171" s="89"/>
      <c r="H1171" s="89"/>
      <c r="I1171" s="89"/>
      <c r="J1171" s="89"/>
      <c r="K1171" s="89"/>
      <c r="L1171" s="89"/>
      <c r="M1171" s="89"/>
      <c r="N1171" s="89"/>
      <c r="O1171" s="89"/>
      <c r="P1171" s="89"/>
      <c r="Q1171" s="89"/>
      <c r="R1171" s="89"/>
      <c r="S1171" s="89"/>
      <c r="T1171" s="89"/>
      <c r="U1171" s="89"/>
      <c r="V1171" s="89"/>
      <c r="W1171" s="89"/>
      <c r="X1171" s="89"/>
      <c r="Y1171" s="89"/>
      <c r="Z1171" s="89"/>
      <c r="AA1171" s="89"/>
      <c r="AB1171" s="89"/>
      <c r="AC1171" s="89"/>
      <c r="AD1171" s="89"/>
      <c r="AE1171" s="89"/>
      <c r="AF1171" s="89"/>
      <c r="AG1171" s="89"/>
      <c r="AH1171" s="89"/>
      <c r="AI1171" s="89"/>
      <c r="AJ1171" s="89"/>
      <c r="AK1171" s="89"/>
      <c r="AL1171" s="89"/>
      <c r="AM1171" s="89"/>
      <c r="AN1171" s="89"/>
      <c r="AO1171" s="89"/>
      <c r="AP1171" s="89"/>
      <c r="AQ1171" s="89"/>
      <c r="AR1171" s="89"/>
      <c r="AS1171" s="89"/>
      <c r="AT1171" s="89"/>
      <c r="AU1171" s="89"/>
      <c r="AV1171" s="89"/>
      <c r="AW1171" s="89"/>
      <c r="AX1171" s="89"/>
      <c r="AY1171" s="89"/>
      <c r="AZ1171" s="89"/>
      <c r="BA1171" s="95"/>
    </row>
    <row r="1172" spans="1:53" s="87" customFormat="1">
      <c r="A1172" s="90" t="str">
        <f t="shared" si="43"/>
        <v/>
      </c>
      <c r="B1172" s="89"/>
      <c r="C1172" s="89"/>
      <c r="D1172" s="89"/>
      <c r="E1172" s="89"/>
      <c r="F1172" s="89"/>
      <c r="G1172" s="89"/>
      <c r="H1172" s="89"/>
      <c r="I1172" s="89"/>
      <c r="J1172" s="89"/>
      <c r="K1172" s="89"/>
      <c r="L1172" s="89"/>
      <c r="M1172" s="89"/>
      <c r="N1172" s="89"/>
      <c r="O1172" s="89"/>
      <c r="P1172" s="89"/>
      <c r="Q1172" s="89"/>
      <c r="R1172" s="89"/>
      <c r="S1172" s="89"/>
      <c r="T1172" s="89"/>
      <c r="U1172" s="89"/>
      <c r="V1172" s="89"/>
      <c r="W1172" s="89"/>
      <c r="X1172" s="89"/>
      <c r="Y1172" s="89"/>
      <c r="Z1172" s="89"/>
      <c r="AA1172" s="89"/>
      <c r="AB1172" s="89"/>
      <c r="AC1172" s="89"/>
      <c r="AD1172" s="89"/>
      <c r="AE1172" s="89"/>
      <c r="AF1172" s="89"/>
      <c r="AG1172" s="89"/>
      <c r="AH1172" s="89"/>
      <c r="AI1172" s="89"/>
      <c r="AJ1172" s="89"/>
      <c r="AK1172" s="89"/>
      <c r="AL1172" s="89"/>
      <c r="AM1172" s="89"/>
      <c r="AN1172" s="89"/>
      <c r="AO1172" s="89"/>
      <c r="AP1172" s="89"/>
      <c r="AQ1172" s="89"/>
      <c r="AR1172" s="89"/>
      <c r="AS1172" s="89"/>
      <c r="AT1172" s="89"/>
      <c r="AU1172" s="89"/>
      <c r="AV1172" s="89"/>
      <c r="AW1172" s="89"/>
      <c r="AX1172" s="89"/>
      <c r="AY1172" s="89"/>
      <c r="AZ1172" s="89"/>
      <c r="BA1172" s="95"/>
    </row>
    <row r="1173" spans="1:53" s="87" customFormat="1">
      <c r="A1173" s="90" t="str">
        <f t="shared" si="43"/>
        <v/>
      </c>
      <c r="B1173" s="89"/>
      <c r="C1173" s="89"/>
      <c r="D1173" s="89"/>
      <c r="E1173" s="89"/>
      <c r="F1173" s="89"/>
      <c r="G1173" s="89"/>
      <c r="H1173" s="89"/>
      <c r="I1173" s="89"/>
      <c r="J1173" s="89"/>
      <c r="K1173" s="89"/>
      <c r="L1173" s="89"/>
      <c r="M1173" s="89"/>
      <c r="N1173" s="89"/>
      <c r="O1173" s="89"/>
      <c r="P1173" s="89"/>
      <c r="Q1173" s="89"/>
      <c r="R1173" s="89"/>
      <c r="S1173" s="89"/>
      <c r="T1173" s="89"/>
      <c r="U1173" s="89"/>
      <c r="V1173" s="89"/>
      <c r="W1173" s="89"/>
      <c r="X1173" s="89"/>
      <c r="Y1173" s="89"/>
      <c r="Z1173" s="89"/>
      <c r="AA1173" s="89"/>
      <c r="AB1173" s="89"/>
      <c r="AC1173" s="89"/>
      <c r="AD1173" s="89"/>
      <c r="AE1173" s="89"/>
      <c r="AF1173" s="89"/>
      <c r="AG1173" s="89"/>
      <c r="AH1173" s="89"/>
      <c r="AI1173" s="89"/>
      <c r="AJ1173" s="89"/>
      <c r="AK1173" s="89"/>
      <c r="AL1173" s="89"/>
      <c r="AM1173" s="89"/>
      <c r="AN1173" s="89"/>
      <c r="AO1173" s="89"/>
      <c r="AP1173" s="89"/>
      <c r="AQ1173" s="89"/>
      <c r="AR1173" s="89"/>
      <c r="AS1173" s="89"/>
      <c r="AT1173" s="89"/>
      <c r="AU1173" s="89"/>
      <c r="AV1173" s="89"/>
      <c r="AW1173" s="89"/>
      <c r="AX1173" s="89"/>
      <c r="AY1173" s="89"/>
      <c r="AZ1173" s="89"/>
      <c r="BA1173" s="95"/>
    </row>
    <row r="1174" spans="1:53" s="87" customFormat="1">
      <c r="A1174" s="90" t="str">
        <f t="shared" si="43"/>
        <v/>
      </c>
      <c r="B1174" s="89"/>
      <c r="C1174" s="89"/>
      <c r="D1174" s="89"/>
      <c r="E1174" s="89"/>
      <c r="F1174" s="89"/>
      <c r="G1174" s="89"/>
      <c r="H1174" s="89"/>
      <c r="I1174" s="89"/>
      <c r="J1174" s="89"/>
      <c r="K1174" s="89"/>
      <c r="L1174" s="89"/>
      <c r="M1174" s="89"/>
      <c r="N1174" s="89"/>
      <c r="O1174" s="89"/>
      <c r="P1174" s="89"/>
      <c r="Q1174" s="89"/>
      <c r="R1174" s="89"/>
      <c r="S1174" s="89"/>
      <c r="T1174" s="89"/>
      <c r="U1174" s="89"/>
      <c r="V1174" s="89"/>
      <c r="W1174" s="89"/>
      <c r="X1174" s="89"/>
      <c r="Y1174" s="89"/>
      <c r="Z1174" s="89"/>
      <c r="AA1174" s="89"/>
      <c r="AB1174" s="89"/>
      <c r="AC1174" s="89"/>
      <c r="AD1174" s="89"/>
      <c r="AE1174" s="89"/>
      <c r="AF1174" s="89"/>
      <c r="AG1174" s="89"/>
      <c r="AH1174" s="89"/>
      <c r="AI1174" s="89"/>
      <c r="AJ1174" s="89"/>
      <c r="AK1174" s="89"/>
      <c r="AL1174" s="89"/>
      <c r="AM1174" s="89"/>
      <c r="AN1174" s="89"/>
      <c r="AO1174" s="89"/>
      <c r="AP1174" s="89"/>
      <c r="AQ1174" s="89"/>
      <c r="AR1174" s="89"/>
      <c r="AS1174" s="89"/>
      <c r="AT1174" s="89"/>
      <c r="AU1174" s="89"/>
      <c r="AV1174" s="89"/>
      <c r="AW1174" s="89"/>
      <c r="AX1174" s="89"/>
      <c r="AY1174" s="89"/>
      <c r="AZ1174" s="89"/>
      <c r="BA1174" s="95"/>
    </row>
    <row r="1175" spans="1:53" s="87" customFormat="1">
      <c r="A1175" s="90" t="str">
        <f t="shared" si="43"/>
        <v/>
      </c>
      <c r="B1175" s="89"/>
      <c r="C1175" s="89"/>
      <c r="D1175" s="89"/>
      <c r="E1175" s="89"/>
      <c r="F1175" s="89"/>
      <c r="G1175" s="89"/>
      <c r="H1175" s="89"/>
      <c r="I1175" s="89"/>
      <c r="J1175" s="89"/>
      <c r="K1175" s="89"/>
      <c r="L1175" s="89"/>
      <c r="M1175" s="89"/>
      <c r="N1175" s="89"/>
      <c r="O1175" s="89"/>
      <c r="P1175" s="89"/>
      <c r="Q1175" s="89"/>
      <c r="R1175" s="89"/>
      <c r="S1175" s="89"/>
      <c r="T1175" s="89"/>
      <c r="U1175" s="89"/>
      <c r="V1175" s="89"/>
      <c r="W1175" s="89"/>
      <c r="X1175" s="89"/>
      <c r="Y1175" s="89"/>
      <c r="Z1175" s="89"/>
      <c r="AA1175" s="89"/>
      <c r="AB1175" s="89"/>
      <c r="AC1175" s="89"/>
      <c r="AD1175" s="89"/>
      <c r="AE1175" s="89"/>
      <c r="AF1175" s="89"/>
      <c r="AG1175" s="89"/>
      <c r="AH1175" s="89"/>
      <c r="AI1175" s="89"/>
      <c r="AJ1175" s="89"/>
      <c r="AK1175" s="89"/>
      <c r="AL1175" s="89"/>
      <c r="AM1175" s="89"/>
      <c r="AN1175" s="89"/>
      <c r="AO1175" s="89"/>
      <c r="AP1175" s="89"/>
      <c r="AQ1175" s="89"/>
      <c r="AR1175" s="89"/>
      <c r="AS1175" s="89"/>
      <c r="AT1175" s="89"/>
      <c r="AU1175" s="89"/>
      <c r="AV1175" s="89"/>
      <c r="AW1175" s="89"/>
      <c r="AX1175" s="89"/>
      <c r="AY1175" s="89"/>
      <c r="AZ1175" s="89"/>
      <c r="BA1175" s="95"/>
    </row>
    <row r="1176" spans="1:53" s="87" customFormat="1">
      <c r="A1176" s="90" t="str">
        <f t="shared" si="43"/>
        <v/>
      </c>
      <c r="B1176" s="89"/>
      <c r="C1176" s="89"/>
      <c r="D1176" s="89"/>
      <c r="E1176" s="89"/>
      <c r="F1176" s="89"/>
      <c r="G1176" s="89"/>
      <c r="H1176" s="89"/>
      <c r="I1176" s="89"/>
      <c r="J1176" s="89"/>
      <c r="K1176" s="89"/>
      <c r="L1176" s="89"/>
      <c r="M1176" s="89"/>
      <c r="N1176" s="89"/>
      <c r="O1176" s="89"/>
      <c r="P1176" s="89"/>
      <c r="Q1176" s="89"/>
      <c r="R1176" s="89"/>
      <c r="S1176" s="89"/>
      <c r="T1176" s="89"/>
      <c r="U1176" s="89"/>
      <c r="V1176" s="89"/>
      <c r="W1176" s="89"/>
      <c r="X1176" s="89"/>
      <c r="Y1176" s="89"/>
      <c r="Z1176" s="89"/>
      <c r="AA1176" s="89"/>
      <c r="AB1176" s="89"/>
      <c r="AC1176" s="89"/>
      <c r="AD1176" s="89"/>
      <c r="AE1176" s="89"/>
      <c r="AF1176" s="89"/>
      <c r="AG1176" s="89"/>
      <c r="AH1176" s="89"/>
      <c r="AI1176" s="89"/>
      <c r="AJ1176" s="89"/>
      <c r="AK1176" s="89"/>
      <c r="AL1176" s="89"/>
      <c r="AM1176" s="89"/>
      <c r="AN1176" s="89"/>
      <c r="AO1176" s="89"/>
      <c r="AP1176" s="89"/>
      <c r="AQ1176" s="89"/>
      <c r="AR1176" s="89"/>
      <c r="AS1176" s="89"/>
      <c r="AT1176" s="89"/>
      <c r="AU1176" s="89"/>
      <c r="AV1176" s="89"/>
      <c r="AW1176" s="89"/>
      <c r="AX1176" s="89"/>
      <c r="AY1176" s="89"/>
      <c r="AZ1176" s="89"/>
      <c r="BA1176" s="95"/>
    </row>
    <row r="1177" spans="1:53" s="87" customFormat="1">
      <c r="A1177" s="90" t="str">
        <f t="shared" si="43"/>
        <v/>
      </c>
      <c r="B1177" s="89"/>
      <c r="C1177" s="89"/>
      <c r="D1177" s="89"/>
      <c r="E1177" s="89"/>
      <c r="F1177" s="89"/>
      <c r="G1177" s="89"/>
      <c r="H1177" s="89"/>
      <c r="I1177" s="89"/>
      <c r="J1177" s="89"/>
      <c r="K1177" s="89"/>
      <c r="L1177" s="89"/>
      <c r="M1177" s="89"/>
      <c r="N1177" s="89"/>
      <c r="O1177" s="89"/>
      <c r="P1177" s="89"/>
      <c r="Q1177" s="89"/>
      <c r="R1177" s="89"/>
      <c r="S1177" s="89"/>
      <c r="T1177" s="89"/>
      <c r="U1177" s="89"/>
      <c r="V1177" s="89"/>
      <c r="W1177" s="89"/>
      <c r="X1177" s="89"/>
      <c r="Y1177" s="89"/>
      <c r="Z1177" s="89"/>
      <c r="AA1177" s="89"/>
      <c r="AB1177" s="89"/>
      <c r="AC1177" s="89"/>
      <c r="AD1177" s="89"/>
      <c r="AE1177" s="89"/>
      <c r="AF1177" s="89"/>
      <c r="AG1177" s="89"/>
      <c r="AH1177" s="89"/>
      <c r="AI1177" s="89"/>
      <c r="AJ1177" s="89"/>
      <c r="AK1177" s="89"/>
      <c r="AL1177" s="89"/>
      <c r="AM1177" s="89"/>
      <c r="AN1177" s="89"/>
      <c r="AO1177" s="89"/>
      <c r="AP1177" s="89"/>
      <c r="AQ1177" s="89"/>
      <c r="AR1177" s="89"/>
      <c r="AS1177" s="89"/>
      <c r="AT1177" s="89"/>
      <c r="AU1177" s="89"/>
      <c r="AV1177" s="89"/>
      <c r="AW1177" s="89"/>
      <c r="AX1177" s="89"/>
      <c r="AY1177" s="89"/>
      <c r="AZ1177" s="89"/>
      <c r="BA1177" s="95"/>
    </row>
    <row r="1178" spans="1:53" s="87" customFormat="1">
      <c r="A1178" s="90" t="str">
        <f t="shared" si="43"/>
        <v/>
      </c>
      <c r="B1178" s="89"/>
      <c r="C1178" s="89"/>
      <c r="D1178" s="89"/>
      <c r="E1178" s="89"/>
      <c r="F1178" s="89"/>
      <c r="G1178" s="89"/>
      <c r="H1178" s="89"/>
      <c r="I1178" s="89"/>
      <c r="J1178" s="89"/>
      <c r="K1178" s="89"/>
      <c r="L1178" s="89"/>
      <c r="M1178" s="89"/>
      <c r="N1178" s="89"/>
      <c r="O1178" s="89"/>
      <c r="P1178" s="89"/>
      <c r="Q1178" s="89"/>
      <c r="R1178" s="89"/>
      <c r="S1178" s="89"/>
      <c r="T1178" s="89"/>
      <c r="U1178" s="89"/>
      <c r="V1178" s="89"/>
      <c r="W1178" s="89"/>
      <c r="X1178" s="89"/>
      <c r="Y1178" s="89"/>
      <c r="Z1178" s="89"/>
      <c r="AA1178" s="89"/>
      <c r="AB1178" s="89"/>
      <c r="AC1178" s="89"/>
      <c r="AD1178" s="89"/>
      <c r="AE1178" s="89"/>
      <c r="AF1178" s="89"/>
      <c r="AG1178" s="89"/>
      <c r="AH1178" s="89"/>
      <c r="AI1178" s="89"/>
      <c r="AJ1178" s="89"/>
      <c r="AK1178" s="89"/>
      <c r="AL1178" s="89"/>
      <c r="AM1178" s="89"/>
      <c r="AN1178" s="89"/>
      <c r="AO1178" s="89"/>
      <c r="AP1178" s="89"/>
      <c r="AQ1178" s="89"/>
      <c r="AR1178" s="89"/>
      <c r="AS1178" s="89"/>
      <c r="AT1178" s="89"/>
      <c r="AU1178" s="89"/>
      <c r="AV1178" s="89"/>
      <c r="AW1178" s="89"/>
      <c r="AX1178" s="89"/>
      <c r="AY1178" s="89"/>
      <c r="AZ1178" s="89"/>
      <c r="BA1178" s="95"/>
    </row>
    <row r="1179" spans="1:53" s="87" customFormat="1">
      <c r="A1179" s="90" t="str">
        <f t="shared" si="43"/>
        <v/>
      </c>
      <c r="B1179" s="89"/>
      <c r="C1179" s="89"/>
      <c r="D1179" s="89"/>
      <c r="E1179" s="89"/>
      <c r="F1179" s="89"/>
      <c r="G1179" s="89"/>
      <c r="H1179" s="89"/>
      <c r="I1179" s="89"/>
      <c r="J1179" s="89"/>
      <c r="K1179" s="89"/>
      <c r="L1179" s="89"/>
      <c r="M1179" s="89"/>
      <c r="N1179" s="89"/>
      <c r="O1179" s="89"/>
      <c r="P1179" s="89"/>
      <c r="Q1179" s="89"/>
      <c r="R1179" s="89"/>
      <c r="S1179" s="89"/>
      <c r="T1179" s="89"/>
      <c r="U1179" s="89"/>
      <c r="V1179" s="89"/>
      <c r="W1179" s="89"/>
      <c r="X1179" s="89"/>
      <c r="Y1179" s="89"/>
      <c r="Z1179" s="89"/>
      <c r="AA1179" s="89"/>
      <c r="AB1179" s="89"/>
      <c r="AC1179" s="89"/>
      <c r="AD1179" s="89"/>
      <c r="AE1179" s="89"/>
      <c r="AF1179" s="89"/>
      <c r="AG1179" s="89"/>
      <c r="AH1179" s="89"/>
      <c r="AI1179" s="89"/>
      <c r="AJ1179" s="89"/>
      <c r="AK1179" s="89"/>
      <c r="AL1179" s="89"/>
      <c r="AM1179" s="89"/>
      <c r="AN1179" s="89"/>
      <c r="AO1179" s="89"/>
      <c r="AP1179" s="89"/>
      <c r="AQ1179" s="89"/>
      <c r="AR1179" s="89"/>
      <c r="AS1179" s="89"/>
      <c r="AT1179" s="89"/>
      <c r="AU1179" s="89"/>
      <c r="AV1179" s="89"/>
      <c r="AW1179" s="89"/>
      <c r="AX1179" s="89"/>
      <c r="AY1179" s="89"/>
      <c r="AZ1179" s="89"/>
      <c r="BA1179" s="95"/>
    </row>
    <row r="1180" spans="1:53" s="87" customFormat="1">
      <c r="A1180" s="90" t="str">
        <f t="shared" si="43"/>
        <v/>
      </c>
      <c r="B1180" s="89"/>
      <c r="C1180" s="89"/>
      <c r="D1180" s="89"/>
      <c r="E1180" s="89"/>
      <c r="F1180" s="89"/>
      <c r="G1180" s="89"/>
      <c r="H1180" s="89"/>
      <c r="I1180" s="89"/>
      <c r="J1180" s="89"/>
      <c r="K1180" s="89"/>
      <c r="L1180" s="89"/>
      <c r="M1180" s="89"/>
      <c r="N1180" s="89"/>
      <c r="O1180" s="89"/>
      <c r="P1180" s="89"/>
      <c r="Q1180" s="89"/>
      <c r="R1180" s="89"/>
      <c r="S1180" s="89"/>
      <c r="T1180" s="89"/>
      <c r="U1180" s="89"/>
      <c r="V1180" s="89"/>
      <c r="W1180" s="89"/>
      <c r="X1180" s="89"/>
      <c r="Y1180" s="89"/>
      <c r="Z1180" s="89"/>
      <c r="AA1180" s="89"/>
      <c r="AB1180" s="89"/>
      <c r="AC1180" s="89"/>
      <c r="AD1180" s="89"/>
      <c r="AE1180" s="89"/>
      <c r="AF1180" s="89"/>
      <c r="AG1180" s="89"/>
      <c r="AH1180" s="89"/>
      <c r="AI1180" s="89"/>
      <c r="AJ1180" s="89"/>
      <c r="AK1180" s="89"/>
      <c r="AL1180" s="89"/>
      <c r="AM1180" s="89"/>
      <c r="AN1180" s="89"/>
      <c r="AO1180" s="89"/>
      <c r="AP1180" s="89"/>
      <c r="AQ1180" s="89"/>
      <c r="AR1180" s="89"/>
      <c r="AS1180" s="89"/>
      <c r="AT1180" s="89"/>
      <c r="AU1180" s="89"/>
      <c r="AV1180" s="89"/>
      <c r="AW1180" s="89"/>
      <c r="AX1180" s="89"/>
      <c r="AY1180" s="89"/>
      <c r="AZ1180" s="89"/>
      <c r="BA1180" s="95"/>
    </row>
    <row r="1181" spans="1:53" s="87" customFormat="1">
      <c r="A1181" s="90" t="str">
        <f t="shared" si="43"/>
        <v/>
      </c>
      <c r="B1181" s="89"/>
      <c r="C1181" s="89"/>
      <c r="D1181" s="89"/>
      <c r="E1181" s="89"/>
      <c r="F1181" s="89"/>
      <c r="G1181" s="89"/>
      <c r="H1181" s="89"/>
      <c r="I1181" s="89"/>
      <c r="J1181" s="89"/>
      <c r="K1181" s="89"/>
      <c r="L1181" s="89"/>
      <c r="M1181" s="89"/>
      <c r="N1181" s="89"/>
      <c r="O1181" s="89"/>
      <c r="P1181" s="89"/>
      <c r="Q1181" s="89"/>
      <c r="R1181" s="89"/>
      <c r="S1181" s="89"/>
      <c r="T1181" s="89"/>
      <c r="U1181" s="89"/>
      <c r="V1181" s="89"/>
      <c r="W1181" s="89"/>
      <c r="X1181" s="89"/>
      <c r="Y1181" s="89"/>
      <c r="Z1181" s="89"/>
      <c r="AA1181" s="89"/>
      <c r="AB1181" s="89"/>
      <c r="AC1181" s="89"/>
      <c r="AD1181" s="89"/>
      <c r="AE1181" s="89"/>
      <c r="AF1181" s="89"/>
      <c r="AG1181" s="89"/>
      <c r="AH1181" s="89"/>
      <c r="AI1181" s="89"/>
      <c r="AJ1181" s="89"/>
      <c r="AK1181" s="89"/>
      <c r="AL1181" s="89"/>
      <c r="AM1181" s="89"/>
      <c r="AN1181" s="89"/>
      <c r="AO1181" s="89"/>
      <c r="AP1181" s="89"/>
      <c r="AQ1181" s="89"/>
      <c r="AR1181" s="89"/>
      <c r="AS1181" s="89"/>
      <c r="AT1181" s="89"/>
      <c r="AU1181" s="89"/>
      <c r="AV1181" s="89"/>
      <c r="AW1181" s="89"/>
      <c r="AX1181" s="89"/>
      <c r="AY1181" s="89"/>
      <c r="AZ1181" s="89"/>
      <c r="BA1181" s="95"/>
    </row>
    <row r="1182" spans="1:53" s="87" customFormat="1">
      <c r="A1182" s="90" t="str">
        <f t="shared" si="43"/>
        <v/>
      </c>
      <c r="B1182" s="89"/>
      <c r="C1182" s="89"/>
      <c r="D1182" s="89"/>
      <c r="E1182" s="89"/>
      <c r="F1182" s="89"/>
      <c r="G1182" s="89"/>
      <c r="H1182" s="89"/>
      <c r="I1182" s="89"/>
      <c r="J1182" s="89"/>
      <c r="K1182" s="89"/>
      <c r="L1182" s="89"/>
      <c r="M1182" s="89"/>
      <c r="N1182" s="89"/>
      <c r="O1182" s="89"/>
      <c r="P1182" s="89"/>
      <c r="Q1182" s="89"/>
      <c r="R1182" s="89"/>
      <c r="S1182" s="89"/>
      <c r="T1182" s="89"/>
      <c r="U1182" s="89"/>
      <c r="V1182" s="89"/>
      <c r="W1182" s="89"/>
      <c r="X1182" s="89"/>
      <c r="Y1182" s="89"/>
      <c r="Z1182" s="89"/>
      <c r="AA1182" s="89"/>
      <c r="AB1182" s="89"/>
      <c r="AC1182" s="89"/>
      <c r="AD1182" s="89"/>
      <c r="AE1182" s="89"/>
      <c r="AF1182" s="89"/>
      <c r="AG1182" s="89"/>
      <c r="AH1182" s="89"/>
      <c r="AI1182" s="89"/>
      <c r="AJ1182" s="89"/>
      <c r="AK1182" s="89"/>
      <c r="AL1182" s="89"/>
      <c r="AM1182" s="89"/>
      <c r="AN1182" s="89"/>
      <c r="AO1182" s="89"/>
      <c r="AP1182" s="89"/>
      <c r="AQ1182" s="89"/>
      <c r="AR1182" s="89"/>
      <c r="AS1182" s="89"/>
      <c r="AT1182" s="89"/>
      <c r="AU1182" s="89"/>
      <c r="AV1182" s="89"/>
      <c r="AW1182" s="89"/>
      <c r="AX1182" s="89"/>
      <c r="AY1182" s="89"/>
      <c r="AZ1182" s="89"/>
      <c r="BA1182" s="95"/>
    </row>
    <row r="1183" spans="1:53" s="87" customFormat="1">
      <c r="A1183" s="90" t="str">
        <f t="shared" si="43"/>
        <v/>
      </c>
      <c r="B1183" s="89"/>
      <c r="C1183" s="89"/>
      <c r="D1183" s="89"/>
      <c r="E1183" s="89"/>
      <c r="F1183" s="89"/>
      <c r="G1183" s="89"/>
      <c r="H1183" s="89"/>
      <c r="I1183" s="89"/>
      <c r="J1183" s="89"/>
      <c r="K1183" s="89"/>
      <c r="L1183" s="89"/>
      <c r="M1183" s="89"/>
      <c r="N1183" s="89"/>
      <c r="O1183" s="89"/>
      <c r="P1183" s="89"/>
      <c r="Q1183" s="89"/>
      <c r="R1183" s="89"/>
      <c r="S1183" s="89"/>
      <c r="T1183" s="89"/>
      <c r="U1183" s="89"/>
      <c r="V1183" s="89"/>
      <c r="W1183" s="89"/>
      <c r="X1183" s="89"/>
      <c r="Y1183" s="89"/>
      <c r="Z1183" s="89"/>
      <c r="AA1183" s="89"/>
      <c r="AB1183" s="89"/>
      <c r="AC1183" s="89"/>
      <c r="AD1183" s="89"/>
      <c r="AE1183" s="89"/>
      <c r="AF1183" s="89"/>
      <c r="AG1183" s="89"/>
      <c r="AH1183" s="89"/>
      <c r="AI1183" s="89"/>
      <c r="AJ1183" s="89"/>
      <c r="AK1183" s="89"/>
      <c r="AL1183" s="89"/>
      <c r="AM1183" s="89"/>
      <c r="AN1183" s="89"/>
      <c r="AO1183" s="89"/>
      <c r="AP1183" s="89"/>
      <c r="AQ1183" s="89"/>
      <c r="AR1183" s="89"/>
      <c r="AS1183" s="89"/>
      <c r="AT1183" s="89"/>
      <c r="AU1183" s="89"/>
      <c r="AV1183" s="89"/>
      <c r="AW1183" s="89"/>
      <c r="AX1183" s="89"/>
      <c r="AY1183" s="89"/>
      <c r="AZ1183" s="89"/>
      <c r="BA1183" s="95"/>
    </row>
    <row r="1184" spans="1:53" s="87" customFormat="1">
      <c r="A1184" s="90" t="str">
        <f t="shared" si="43"/>
        <v/>
      </c>
      <c r="B1184" s="89"/>
      <c r="C1184" s="89"/>
      <c r="D1184" s="89"/>
      <c r="E1184" s="89"/>
      <c r="F1184" s="89"/>
      <c r="G1184" s="89"/>
      <c r="H1184" s="89"/>
      <c r="I1184" s="89"/>
      <c r="J1184" s="89"/>
      <c r="K1184" s="89"/>
      <c r="L1184" s="89"/>
      <c r="M1184" s="89"/>
      <c r="N1184" s="89"/>
      <c r="O1184" s="89"/>
      <c r="P1184" s="89"/>
      <c r="Q1184" s="89"/>
      <c r="R1184" s="89"/>
      <c r="S1184" s="89"/>
      <c r="T1184" s="89"/>
      <c r="U1184" s="89"/>
      <c r="V1184" s="89"/>
      <c r="W1184" s="89"/>
      <c r="X1184" s="89"/>
      <c r="Y1184" s="89"/>
      <c r="Z1184" s="89"/>
      <c r="AA1184" s="89"/>
      <c r="AB1184" s="89"/>
      <c r="AC1184" s="89"/>
      <c r="AD1184" s="89"/>
      <c r="AE1184" s="89"/>
      <c r="AF1184" s="89"/>
      <c r="AG1184" s="89"/>
      <c r="AH1184" s="89"/>
      <c r="AI1184" s="89"/>
      <c r="AJ1184" s="89"/>
      <c r="AK1184" s="89"/>
      <c r="AL1184" s="89"/>
      <c r="AM1184" s="89"/>
      <c r="AN1184" s="89"/>
      <c r="AO1184" s="89"/>
      <c r="AP1184" s="89"/>
      <c r="AQ1184" s="89"/>
      <c r="AR1184" s="89"/>
      <c r="AS1184" s="89"/>
      <c r="AT1184" s="89"/>
      <c r="AU1184" s="89"/>
      <c r="AV1184" s="89"/>
      <c r="AW1184" s="89"/>
      <c r="AX1184" s="89"/>
      <c r="AY1184" s="89"/>
      <c r="AZ1184" s="89"/>
      <c r="BA1184" s="95"/>
    </row>
    <row r="1185" spans="1:53" s="87" customFormat="1">
      <c r="A1185" s="90" t="str">
        <f t="shared" si="43"/>
        <v/>
      </c>
      <c r="B1185" s="89"/>
      <c r="C1185" s="89"/>
      <c r="D1185" s="89"/>
      <c r="E1185" s="89"/>
      <c r="F1185" s="89"/>
      <c r="G1185" s="89"/>
      <c r="H1185" s="89"/>
      <c r="I1185" s="89"/>
      <c r="J1185" s="89"/>
      <c r="K1185" s="89"/>
      <c r="L1185" s="89"/>
      <c r="M1185" s="89"/>
      <c r="N1185" s="89"/>
      <c r="O1185" s="89"/>
      <c r="P1185" s="89"/>
      <c r="Q1185" s="89"/>
      <c r="R1185" s="89"/>
      <c r="S1185" s="89"/>
      <c r="T1185" s="89"/>
      <c r="U1185" s="89"/>
      <c r="V1185" s="89"/>
      <c r="W1185" s="89"/>
      <c r="X1185" s="89"/>
      <c r="Y1185" s="89"/>
      <c r="Z1185" s="89"/>
      <c r="AA1185" s="89"/>
      <c r="AB1185" s="89"/>
      <c r="AC1185" s="89"/>
      <c r="AD1185" s="89"/>
      <c r="AE1185" s="89"/>
      <c r="AF1185" s="89"/>
      <c r="AG1185" s="89"/>
      <c r="AH1185" s="89"/>
      <c r="AI1185" s="89"/>
      <c r="AJ1185" s="89"/>
      <c r="AK1185" s="89"/>
      <c r="AL1185" s="89"/>
      <c r="AM1185" s="89"/>
      <c r="AN1185" s="89"/>
      <c r="AO1185" s="89"/>
      <c r="AP1185" s="89"/>
      <c r="AQ1185" s="89"/>
      <c r="AR1185" s="89"/>
      <c r="AS1185" s="89"/>
      <c r="AT1185" s="89"/>
      <c r="AU1185" s="89"/>
      <c r="AV1185" s="89"/>
      <c r="AW1185" s="89"/>
      <c r="AX1185" s="89"/>
      <c r="AY1185" s="89"/>
      <c r="AZ1185" s="89"/>
      <c r="BA1185" s="95"/>
    </row>
    <row r="1186" spans="1:53" s="87" customFormat="1">
      <c r="A1186" s="90" t="str">
        <f t="shared" si="43"/>
        <v/>
      </c>
      <c r="B1186" s="89"/>
      <c r="C1186" s="89"/>
      <c r="D1186" s="89"/>
      <c r="E1186" s="89"/>
      <c r="F1186" s="89"/>
      <c r="G1186" s="89"/>
      <c r="H1186" s="89"/>
      <c r="I1186" s="89"/>
      <c r="J1186" s="89"/>
      <c r="K1186" s="89"/>
      <c r="L1186" s="89"/>
      <c r="M1186" s="89"/>
      <c r="N1186" s="89"/>
      <c r="O1186" s="89"/>
      <c r="P1186" s="89"/>
      <c r="Q1186" s="89"/>
      <c r="R1186" s="89"/>
      <c r="S1186" s="89"/>
      <c r="T1186" s="89"/>
      <c r="U1186" s="89"/>
      <c r="V1186" s="89"/>
      <c r="W1186" s="89"/>
      <c r="X1186" s="89"/>
      <c r="Y1186" s="89"/>
      <c r="Z1186" s="89"/>
      <c r="AA1186" s="89"/>
      <c r="AB1186" s="89"/>
      <c r="AC1186" s="89"/>
      <c r="AD1186" s="89"/>
      <c r="AE1186" s="89"/>
      <c r="AF1186" s="89"/>
      <c r="AG1186" s="89"/>
      <c r="AH1186" s="89"/>
      <c r="AI1186" s="89"/>
      <c r="AJ1186" s="89"/>
      <c r="AK1186" s="89"/>
      <c r="AL1186" s="89"/>
      <c r="AM1186" s="89"/>
      <c r="AN1186" s="89"/>
      <c r="AO1186" s="89"/>
      <c r="AP1186" s="89"/>
      <c r="AQ1186" s="89"/>
      <c r="AR1186" s="89"/>
      <c r="AS1186" s="89"/>
      <c r="AT1186" s="89"/>
      <c r="AU1186" s="89"/>
      <c r="AV1186" s="89"/>
      <c r="AW1186" s="89"/>
      <c r="AX1186" s="89"/>
      <c r="AY1186" s="89"/>
      <c r="AZ1186" s="89"/>
      <c r="BA1186" s="95"/>
    </row>
    <row r="1187" spans="1:53" s="87" customFormat="1">
      <c r="A1187" s="90" t="str">
        <f t="shared" si="43"/>
        <v/>
      </c>
      <c r="B1187" s="89"/>
      <c r="C1187" s="89"/>
      <c r="D1187" s="89"/>
      <c r="E1187" s="89"/>
      <c r="F1187" s="89"/>
      <c r="G1187" s="89"/>
      <c r="H1187" s="89"/>
      <c r="I1187" s="89"/>
      <c r="J1187" s="89"/>
      <c r="K1187" s="89"/>
      <c r="L1187" s="89"/>
      <c r="M1187" s="89"/>
      <c r="N1187" s="89"/>
      <c r="O1187" s="89"/>
      <c r="P1187" s="89"/>
      <c r="Q1187" s="89"/>
      <c r="R1187" s="89"/>
      <c r="S1187" s="89"/>
      <c r="T1187" s="89"/>
      <c r="U1187" s="89"/>
      <c r="V1187" s="89"/>
      <c r="W1187" s="89"/>
      <c r="X1187" s="89"/>
      <c r="Y1187" s="89"/>
      <c r="Z1187" s="89"/>
      <c r="AA1187" s="89"/>
      <c r="AB1187" s="89"/>
      <c r="AC1187" s="89"/>
      <c r="AD1187" s="89"/>
      <c r="AE1187" s="89"/>
      <c r="AF1187" s="89"/>
      <c r="AG1187" s="89"/>
      <c r="AH1187" s="89"/>
      <c r="AI1187" s="89"/>
      <c r="AJ1187" s="89"/>
      <c r="AK1187" s="89"/>
      <c r="AL1187" s="89"/>
      <c r="AM1187" s="89"/>
      <c r="AN1187" s="89"/>
      <c r="AO1187" s="89"/>
      <c r="AP1187" s="89"/>
      <c r="AQ1187" s="89"/>
      <c r="AR1187" s="89"/>
      <c r="AS1187" s="89"/>
      <c r="AT1187" s="89"/>
      <c r="AU1187" s="89"/>
      <c r="AV1187" s="89"/>
      <c r="AW1187" s="89"/>
      <c r="AX1187" s="89"/>
      <c r="AY1187" s="89"/>
      <c r="AZ1187" s="89"/>
      <c r="BA1187" s="95"/>
    </row>
    <row r="1188" spans="1:53" s="87" customFormat="1">
      <c r="A1188" s="90" t="str">
        <f t="shared" si="43"/>
        <v/>
      </c>
      <c r="B1188" s="89"/>
      <c r="C1188" s="89"/>
      <c r="D1188" s="89"/>
      <c r="E1188" s="89"/>
      <c r="F1188" s="89"/>
      <c r="G1188" s="89"/>
      <c r="H1188" s="89"/>
      <c r="I1188" s="89"/>
      <c r="J1188" s="89"/>
      <c r="K1188" s="89"/>
      <c r="L1188" s="89"/>
      <c r="M1188" s="89"/>
      <c r="N1188" s="89"/>
      <c r="O1188" s="89"/>
      <c r="P1188" s="89"/>
      <c r="Q1188" s="89"/>
      <c r="R1188" s="89"/>
      <c r="S1188" s="89"/>
      <c r="T1188" s="89"/>
      <c r="U1188" s="89"/>
      <c r="V1188" s="89"/>
      <c r="W1188" s="89"/>
      <c r="X1188" s="89"/>
      <c r="Y1188" s="89"/>
      <c r="Z1188" s="89"/>
      <c r="AA1188" s="89"/>
      <c r="AB1188" s="89"/>
      <c r="AC1188" s="89"/>
      <c r="AD1188" s="89"/>
      <c r="AE1188" s="89"/>
      <c r="AF1188" s="89"/>
      <c r="AG1188" s="89"/>
      <c r="AH1188" s="89"/>
      <c r="AI1188" s="89"/>
      <c r="AJ1188" s="89"/>
      <c r="AK1188" s="89"/>
      <c r="AL1188" s="89"/>
      <c r="AM1188" s="89"/>
      <c r="AN1188" s="89"/>
      <c r="AO1188" s="89"/>
      <c r="AP1188" s="89"/>
      <c r="AQ1188" s="89"/>
      <c r="AR1188" s="89"/>
      <c r="AS1188" s="89"/>
      <c r="AT1188" s="89"/>
      <c r="AU1188" s="89"/>
      <c r="AV1188" s="89"/>
      <c r="AW1188" s="89"/>
      <c r="AX1188" s="89"/>
      <c r="AY1188" s="89"/>
      <c r="AZ1188" s="89"/>
      <c r="BA1188" s="95"/>
    </row>
    <row r="1189" spans="1:53" s="87" customFormat="1">
      <c r="A1189" s="90" t="str">
        <f t="shared" si="43"/>
        <v/>
      </c>
      <c r="B1189" s="89"/>
      <c r="C1189" s="89"/>
      <c r="D1189" s="89"/>
      <c r="E1189" s="89"/>
      <c r="F1189" s="89"/>
      <c r="G1189" s="89"/>
      <c r="H1189" s="89"/>
      <c r="I1189" s="89"/>
      <c r="J1189" s="89"/>
      <c r="K1189" s="89"/>
      <c r="L1189" s="89"/>
      <c r="M1189" s="89"/>
      <c r="N1189" s="89"/>
      <c r="O1189" s="89"/>
      <c r="P1189" s="89"/>
      <c r="Q1189" s="89"/>
      <c r="R1189" s="89"/>
      <c r="S1189" s="89"/>
      <c r="T1189" s="89"/>
      <c r="U1189" s="89"/>
      <c r="V1189" s="89"/>
      <c r="W1189" s="89"/>
      <c r="X1189" s="89"/>
      <c r="Y1189" s="89"/>
      <c r="Z1189" s="89"/>
      <c r="AA1189" s="89"/>
      <c r="AB1189" s="89"/>
      <c r="AC1189" s="89"/>
      <c r="AD1189" s="89"/>
      <c r="AE1189" s="89"/>
      <c r="AF1189" s="89"/>
      <c r="AG1189" s="89"/>
      <c r="AH1189" s="89"/>
      <c r="AI1189" s="89"/>
      <c r="AJ1189" s="89"/>
      <c r="AK1189" s="89"/>
      <c r="AL1189" s="89"/>
      <c r="AM1189" s="89"/>
      <c r="AN1189" s="89"/>
      <c r="AO1189" s="89"/>
      <c r="AP1189" s="89"/>
      <c r="AQ1189" s="89"/>
      <c r="AR1189" s="89"/>
      <c r="AS1189" s="89"/>
      <c r="AT1189" s="89"/>
      <c r="AU1189" s="89"/>
      <c r="AV1189" s="89"/>
      <c r="AW1189" s="89"/>
      <c r="AX1189" s="89"/>
      <c r="AY1189" s="89"/>
      <c r="AZ1189" s="89"/>
      <c r="BA1189" s="95"/>
    </row>
    <row r="1190" spans="1:53" s="87" customFormat="1">
      <c r="A1190" s="90" t="str">
        <f t="shared" si="43"/>
        <v/>
      </c>
      <c r="B1190" s="89"/>
      <c r="C1190" s="89"/>
      <c r="D1190" s="89"/>
      <c r="E1190" s="89"/>
      <c r="F1190" s="89"/>
      <c r="G1190" s="89"/>
      <c r="H1190" s="89"/>
      <c r="I1190" s="89"/>
      <c r="J1190" s="89"/>
      <c r="K1190" s="89"/>
      <c r="L1190" s="89"/>
      <c r="M1190" s="89"/>
      <c r="N1190" s="89"/>
      <c r="O1190" s="89"/>
      <c r="P1190" s="89"/>
      <c r="Q1190" s="89"/>
      <c r="R1190" s="89"/>
      <c r="S1190" s="89"/>
      <c r="T1190" s="89"/>
      <c r="U1190" s="89"/>
      <c r="V1190" s="89"/>
      <c r="W1190" s="89"/>
      <c r="X1190" s="89"/>
      <c r="Y1190" s="89"/>
      <c r="Z1190" s="89"/>
      <c r="AA1190" s="89"/>
      <c r="AB1190" s="89"/>
      <c r="AC1190" s="89"/>
      <c r="AD1190" s="89"/>
      <c r="AE1190" s="89"/>
      <c r="AF1190" s="89"/>
      <c r="AG1190" s="89"/>
      <c r="AH1190" s="89"/>
      <c r="AI1190" s="89"/>
      <c r="AJ1190" s="89"/>
      <c r="AK1190" s="89"/>
      <c r="AL1190" s="89"/>
      <c r="AM1190" s="89"/>
      <c r="AN1190" s="89"/>
      <c r="AO1190" s="89"/>
      <c r="AP1190" s="89"/>
      <c r="AQ1190" s="89"/>
      <c r="AR1190" s="89"/>
      <c r="AS1190" s="89"/>
      <c r="AT1190" s="89"/>
      <c r="AU1190" s="89"/>
      <c r="AV1190" s="89"/>
      <c r="AW1190" s="89"/>
      <c r="AX1190" s="89"/>
      <c r="AY1190" s="89"/>
      <c r="AZ1190" s="89"/>
      <c r="BA1190" s="95"/>
    </row>
    <row r="1191" spans="1:53" s="87" customFormat="1">
      <c r="A1191" s="90" t="str">
        <f t="shared" si="43"/>
        <v/>
      </c>
      <c r="B1191" s="89"/>
      <c r="C1191" s="89"/>
      <c r="D1191" s="89"/>
      <c r="E1191" s="89"/>
      <c r="F1191" s="89"/>
      <c r="G1191" s="89"/>
      <c r="H1191" s="89"/>
      <c r="I1191" s="89"/>
      <c r="J1191" s="89"/>
      <c r="K1191" s="89"/>
      <c r="L1191" s="89"/>
      <c r="M1191" s="89"/>
      <c r="N1191" s="89"/>
      <c r="O1191" s="89"/>
      <c r="P1191" s="89"/>
      <c r="Q1191" s="89"/>
      <c r="R1191" s="89"/>
      <c r="S1191" s="89"/>
      <c r="T1191" s="89"/>
      <c r="U1191" s="89"/>
      <c r="V1191" s="89"/>
      <c r="W1191" s="89"/>
      <c r="X1191" s="89"/>
      <c r="Y1191" s="89"/>
      <c r="Z1191" s="89"/>
      <c r="AA1191" s="89"/>
      <c r="AB1191" s="89"/>
      <c r="AC1191" s="89"/>
      <c r="AD1191" s="89"/>
      <c r="AE1191" s="89"/>
      <c r="AF1191" s="89"/>
      <c r="AG1191" s="89"/>
      <c r="AH1191" s="89"/>
      <c r="AI1191" s="89"/>
      <c r="AJ1191" s="89"/>
      <c r="AK1191" s="89"/>
      <c r="AL1191" s="89"/>
      <c r="AM1191" s="89"/>
      <c r="AN1191" s="89"/>
      <c r="AO1191" s="89"/>
      <c r="AP1191" s="89"/>
      <c r="AQ1191" s="89"/>
      <c r="AR1191" s="89"/>
      <c r="AS1191" s="89"/>
      <c r="AT1191" s="89"/>
      <c r="AU1191" s="89"/>
      <c r="AV1191" s="89"/>
      <c r="AW1191" s="89"/>
      <c r="AX1191" s="89"/>
      <c r="AY1191" s="89"/>
      <c r="AZ1191" s="89"/>
      <c r="BA1191" s="95"/>
    </row>
    <row r="1192" spans="1:53" s="87" customFormat="1">
      <c r="A1192" s="90" t="str">
        <f t="shared" si="43"/>
        <v/>
      </c>
      <c r="B1192" s="89"/>
      <c r="C1192" s="89"/>
      <c r="D1192" s="89"/>
      <c r="E1192" s="89"/>
      <c r="F1192" s="89"/>
      <c r="G1192" s="89"/>
      <c r="H1192" s="89"/>
      <c r="I1192" s="89"/>
      <c r="J1192" s="89"/>
      <c r="K1192" s="89"/>
      <c r="L1192" s="89"/>
      <c r="M1192" s="89"/>
      <c r="N1192" s="89"/>
      <c r="O1192" s="89"/>
      <c r="P1192" s="89"/>
      <c r="Q1192" s="89"/>
      <c r="R1192" s="89"/>
      <c r="S1192" s="89"/>
      <c r="T1192" s="89"/>
      <c r="U1192" s="89"/>
      <c r="V1192" s="89"/>
      <c r="W1192" s="89"/>
      <c r="X1192" s="89"/>
      <c r="Y1192" s="89"/>
      <c r="Z1192" s="89"/>
      <c r="AA1192" s="89"/>
      <c r="AB1192" s="89"/>
      <c r="AC1192" s="89"/>
      <c r="AD1192" s="89"/>
      <c r="AE1192" s="89"/>
      <c r="AF1192" s="89"/>
      <c r="AG1192" s="89"/>
      <c r="AH1192" s="89"/>
      <c r="AI1192" s="89"/>
      <c r="AJ1192" s="89"/>
      <c r="AK1192" s="89"/>
      <c r="AL1192" s="89"/>
      <c r="AM1192" s="89"/>
      <c r="AN1192" s="89"/>
      <c r="AO1192" s="89"/>
      <c r="AP1192" s="89"/>
      <c r="AQ1192" s="89"/>
      <c r="AR1192" s="89"/>
      <c r="AS1192" s="89"/>
      <c r="AT1192" s="89"/>
      <c r="AU1192" s="89"/>
      <c r="AV1192" s="89"/>
      <c r="AW1192" s="89"/>
      <c r="AX1192" s="89"/>
      <c r="AY1192" s="89"/>
      <c r="AZ1192" s="89"/>
      <c r="BA1192" s="95"/>
    </row>
    <row r="1193" spans="1:53" s="87" customFormat="1">
      <c r="A1193" s="90" t="str">
        <f t="shared" si="43"/>
        <v/>
      </c>
      <c r="B1193" s="89"/>
      <c r="C1193" s="89"/>
      <c r="D1193" s="89"/>
      <c r="E1193" s="89"/>
      <c r="F1193" s="89"/>
      <c r="G1193" s="89"/>
      <c r="H1193" s="89"/>
      <c r="I1193" s="89"/>
      <c r="J1193" s="89"/>
      <c r="K1193" s="89"/>
      <c r="L1193" s="89"/>
      <c r="M1193" s="89"/>
      <c r="N1193" s="89"/>
      <c r="O1193" s="89"/>
      <c r="P1193" s="89"/>
      <c r="Q1193" s="89"/>
      <c r="R1193" s="89"/>
      <c r="S1193" s="89"/>
      <c r="T1193" s="89"/>
      <c r="U1193" s="89"/>
      <c r="V1193" s="89"/>
      <c r="W1193" s="89"/>
      <c r="X1193" s="89"/>
      <c r="Y1193" s="89"/>
      <c r="Z1193" s="89"/>
      <c r="AA1193" s="89"/>
      <c r="AB1193" s="89"/>
      <c r="AC1193" s="89"/>
      <c r="AD1193" s="89"/>
      <c r="AE1193" s="89"/>
      <c r="AF1193" s="89"/>
      <c r="AG1193" s="89"/>
      <c r="AH1193" s="89"/>
      <c r="AI1193" s="89"/>
      <c r="AJ1193" s="89"/>
      <c r="AK1193" s="89"/>
      <c r="AL1193" s="89"/>
      <c r="AM1193" s="89"/>
      <c r="AN1193" s="89"/>
      <c r="AO1193" s="89"/>
      <c r="AP1193" s="89"/>
      <c r="AQ1193" s="89"/>
      <c r="AR1193" s="89"/>
      <c r="AS1193" s="89"/>
      <c r="AT1193" s="89"/>
      <c r="AU1193" s="89"/>
      <c r="AV1193" s="89"/>
      <c r="AW1193" s="89"/>
      <c r="AX1193" s="89"/>
      <c r="AY1193" s="89"/>
      <c r="AZ1193" s="89"/>
      <c r="BA1193" s="95"/>
    </row>
    <row r="1194" spans="1:53" s="87" customFormat="1">
      <c r="A1194" s="90" t="str">
        <f t="shared" si="43"/>
        <v/>
      </c>
      <c r="B1194" s="89"/>
      <c r="C1194" s="89"/>
      <c r="D1194" s="89"/>
      <c r="E1194" s="89"/>
      <c r="F1194" s="89"/>
      <c r="G1194" s="89"/>
      <c r="H1194" s="89"/>
      <c r="I1194" s="89"/>
      <c r="J1194" s="89"/>
      <c r="K1194" s="89"/>
      <c r="L1194" s="89"/>
      <c r="M1194" s="89"/>
      <c r="N1194" s="89"/>
      <c r="O1194" s="89"/>
      <c r="P1194" s="89"/>
      <c r="Q1194" s="89"/>
      <c r="R1194" s="89"/>
      <c r="S1194" s="89"/>
      <c r="T1194" s="89"/>
      <c r="U1194" s="89"/>
      <c r="V1194" s="89"/>
      <c r="W1194" s="89"/>
      <c r="X1194" s="89"/>
      <c r="Y1194" s="89"/>
      <c r="Z1194" s="89"/>
      <c r="AA1194" s="89"/>
      <c r="AB1194" s="89"/>
      <c r="AC1194" s="89"/>
      <c r="AD1194" s="89"/>
      <c r="AE1194" s="89"/>
      <c r="AF1194" s="89"/>
      <c r="AG1194" s="89"/>
      <c r="AH1194" s="89"/>
      <c r="AI1194" s="89"/>
      <c r="AJ1194" s="89"/>
      <c r="AK1194" s="89"/>
      <c r="AL1194" s="89"/>
      <c r="AM1194" s="89"/>
      <c r="AN1194" s="89"/>
      <c r="AO1194" s="89"/>
      <c r="AP1194" s="89"/>
      <c r="AQ1194" s="89"/>
      <c r="AR1194" s="89"/>
      <c r="AS1194" s="89"/>
      <c r="AT1194" s="89"/>
      <c r="AU1194" s="89"/>
      <c r="AV1194" s="89"/>
      <c r="AW1194" s="89"/>
      <c r="AX1194" s="89"/>
      <c r="AY1194" s="89"/>
      <c r="AZ1194" s="89"/>
      <c r="BA1194" s="95"/>
    </row>
    <row r="1195" spans="1:53" s="87" customFormat="1">
      <c r="A1195" s="90" t="str">
        <f t="shared" si="43"/>
        <v/>
      </c>
      <c r="B1195" s="89"/>
      <c r="C1195" s="89"/>
      <c r="D1195" s="89"/>
      <c r="E1195" s="89"/>
      <c r="F1195" s="89"/>
      <c r="G1195" s="89"/>
      <c r="H1195" s="89"/>
      <c r="I1195" s="89"/>
      <c r="J1195" s="89"/>
      <c r="K1195" s="89"/>
      <c r="L1195" s="89"/>
      <c r="M1195" s="89"/>
      <c r="N1195" s="89"/>
      <c r="O1195" s="89"/>
      <c r="P1195" s="89"/>
      <c r="Q1195" s="89"/>
      <c r="R1195" s="89"/>
      <c r="S1195" s="89"/>
      <c r="T1195" s="89"/>
      <c r="U1195" s="89"/>
      <c r="V1195" s="89"/>
      <c r="W1195" s="89"/>
      <c r="X1195" s="89"/>
      <c r="Y1195" s="89"/>
      <c r="Z1195" s="89"/>
      <c r="AA1195" s="89"/>
      <c r="AB1195" s="89"/>
      <c r="AC1195" s="89"/>
      <c r="AD1195" s="89"/>
      <c r="AE1195" s="89"/>
      <c r="AF1195" s="89"/>
      <c r="AG1195" s="89"/>
      <c r="AH1195" s="89"/>
      <c r="AI1195" s="89"/>
      <c r="AJ1195" s="89"/>
      <c r="AK1195" s="89"/>
      <c r="AL1195" s="89"/>
      <c r="AM1195" s="89"/>
      <c r="AN1195" s="89"/>
      <c r="AO1195" s="89"/>
      <c r="AP1195" s="89"/>
      <c r="AQ1195" s="89"/>
      <c r="AR1195" s="89"/>
      <c r="AS1195" s="89"/>
      <c r="AT1195" s="89"/>
      <c r="AU1195" s="89"/>
      <c r="AV1195" s="89"/>
      <c r="AW1195" s="89"/>
      <c r="AX1195" s="89"/>
      <c r="AY1195" s="89"/>
      <c r="AZ1195" s="89"/>
      <c r="BA1195" s="95"/>
    </row>
    <row r="1196" spans="1:53" s="87" customFormat="1">
      <c r="A1196" s="90" t="str">
        <f t="shared" si="43"/>
        <v/>
      </c>
      <c r="B1196" s="89"/>
      <c r="C1196" s="89"/>
      <c r="D1196" s="89"/>
      <c r="E1196" s="89"/>
      <c r="F1196" s="89"/>
      <c r="G1196" s="89"/>
      <c r="H1196" s="89"/>
      <c r="I1196" s="89"/>
      <c r="J1196" s="89"/>
      <c r="K1196" s="89"/>
      <c r="L1196" s="89"/>
      <c r="M1196" s="89"/>
      <c r="N1196" s="89"/>
      <c r="O1196" s="89"/>
      <c r="P1196" s="89"/>
      <c r="Q1196" s="89"/>
      <c r="R1196" s="89"/>
      <c r="S1196" s="89"/>
      <c r="T1196" s="89"/>
      <c r="U1196" s="89"/>
      <c r="V1196" s="89"/>
      <c r="W1196" s="89"/>
      <c r="X1196" s="89"/>
      <c r="Y1196" s="89"/>
      <c r="Z1196" s="89"/>
      <c r="AA1196" s="89"/>
      <c r="AB1196" s="89"/>
      <c r="AC1196" s="89"/>
      <c r="AD1196" s="89"/>
      <c r="AE1196" s="89"/>
      <c r="AF1196" s="89"/>
      <c r="AG1196" s="89"/>
      <c r="AH1196" s="89"/>
      <c r="AI1196" s="89"/>
      <c r="AJ1196" s="89"/>
      <c r="AK1196" s="89"/>
      <c r="AL1196" s="89"/>
      <c r="AM1196" s="89"/>
      <c r="AN1196" s="89"/>
      <c r="AO1196" s="89"/>
      <c r="AP1196" s="89"/>
      <c r="AQ1196" s="89"/>
      <c r="AR1196" s="89"/>
      <c r="AS1196" s="89"/>
      <c r="AT1196" s="89"/>
      <c r="AU1196" s="89"/>
      <c r="AV1196" s="89"/>
      <c r="AW1196" s="89"/>
      <c r="AX1196" s="89"/>
      <c r="AY1196" s="89"/>
      <c r="AZ1196" s="89"/>
      <c r="BA1196" s="95"/>
    </row>
    <row r="1197" spans="1:53" s="87" customFormat="1">
      <c r="A1197" s="90" t="str">
        <f t="shared" si="43"/>
        <v/>
      </c>
      <c r="B1197" s="89"/>
      <c r="C1197" s="89"/>
      <c r="D1197" s="89"/>
      <c r="E1197" s="89"/>
      <c r="F1197" s="89"/>
      <c r="G1197" s="89"/>
      <c r="H1197" s="89"/>
      <c r="I1197" s="89"/>
      <c r="J1197" s="89"/>
      <c r="K1197" s="89"/>
      <c r="L1197" s="89"/>
      <c r="M1197" s="89"/>
      <c r="N1197" s="89"/>
      <c r="O1197" s="89"/>
      <c r="P1197" s="89"/>
      <c r="Q1197" s="89"/>
      <c r="R1197" s="89"/>
      <c r="S1197" s="89"/>
      <c r="T1197" s="89"/>
      <c r="U1197" s="89"/>
      <c r="V1197" s="89"/>
      <c r="W1197" s="89"/>
      <c r="X1197" s="89"/>
      <c r="Y1197" s="89"/>
      <c r="Z1197" s="89"/>
      <c r="AA1197" s="89"/>
      <c r="AB1197" s="89"/>
      <c r="AC1197" s="89"/>
      <c r="AD1197" s="89"/>
      <c r="AE1197" s="89"/>
      <c r="AF1197" s="89"/>
      <c r="AG1197" s="89"/>
      <c r="AH1197" s="89"/>
      <c r="AI1197" s="89"/>
      <c r="AJ1197" s="89"/>
      <c r="AK1197" s="89"/>
      <c r="AL1197" s="89"/>
      <c r="AM1197" s="89"/>
      <c r="AN1197" s="89"/>
      <c r="AO1197" s="89"/>
      <c r="AP1197" s="89"/>
      <c r="AQ1197" s="89"/>
      <c r="AR1197" s="89"/>
      <c r="AS1197" s="89"/>
      <c r="AT1197" s="89"/>
      <c r="AU1197" s="89"/>
      <c r="AV1197" s="89"/>
      <c r="AW1197" s="89"/>
      <c r="AX1197" s="89"/>
      <c r="AY1197" s="89"/>
      <c r="AZ1197" s="89"/>
      <c r="BA1197" s="95"/>
    </row>
    <row r="1198" spans="1:53" s="87" customFormat="1">
      <c r="A1198" s="90" t="str">
        <f t="shared" si="43"/>
        <v/>
      </c>
      <c r="B1198" s="89"/>
      <c r="C1198" s="89"/>
      <c r="D1198" s="89"/>
      <c r="E1198" s="89"/>
      <c r="F1198" s="89"/>
      <c r="G1198" s="89"/>
      <c r="H1198" s="89"/>
      <c r="I1198" s="89"/>
      <c r="J1198" s="89"/>
      <c r="K1198" s="89"/>
      <c r="L1198" s="89"/>
      <c r="M1198" s="89"/>
      <c r="N1198" s="89"/>
      <c r="O1198" s="89"/>
      <c r="P1198" s="89"/>
      <c r="Q1198" s="89"/>
      <c r="R1198" s="89"/>
      <c r="S1198" s="89"/>
      <c r="T1198" s="89"/>
      <c r="U1198" s="89"/>
      <c r="V1198" s="89"/>
      <c r="W1198" s="89"/>
      <c r="X1198" s="89"/>
      <c r="Y1198" s="89"/>
      <c r="Z1198" s="89"/>
      <c r="AA1198" s="89"/>
      <c r="AB1198" s="89"/>
      <c r="AC1198" s="89"/>
      <c r="AD1198" s="89"/>
      <c r="AE1198" s="89"/>
      <c r="AF1198" s="89"/>
      <c r="AG1198" s="89"/>
      <c r="AH1198" s="89"/>
      <c r="AI1198" s="89"/>
      <c r="AJ1198" s="89"/>
      <c r="AK1198" s="89"/>
      <c r="AL1198" s="89"/>
      <c r="AM1198" s="89"/>
      <c r="AN1198" s="89"/>
      <c r="AO1198" s="89"/>
      <c r="AP1198" s="89"/>
      <c r="AQ1198" s="89"/>
      <c r="AR1198" s="89"/>
      <c r="AS1198" s="89"/>
      <c r="AT1198" s="89"/>
      <c r="AU1198" s="89"/>
      <c r="AV1198" s="89"/>
      <c r="AW1198" s="89"/>
      <c r="AX1198" s="89"/>
      <c r="AY1198" s="89"/>
      <c r="AZ1198" s="89"/>
      <c r="BA1198" s="95"/>
    </row>
    <row r="1199" spans="1:53" s="87" customFormat="1">
      <c r="A1199" s="90" t="str">
        <f t="shared" si="43"/>
        <v/>
      </c>
      <c r="B1199" s="89"/>
      <c r="C1199" s="89"/>
      <c r="D1199" s="89"/>
      <c r="E1199" s="89"/>
      <c r="F1199" s="89"/>
      <c r="G1199" s="89"/>
      <c r="H1199" s="89"/>
      <c r="I1199" s="89"/>
      <c r="J1199" s="89"/>
      <c r="K1199" s="89"/>
      <c r="L1199" s="89"/>
      <c r="M1199" s="89"/>
      <c r="N1199" s="89"/>
      <c r="O1199" s="89"/>
      <c r="P1199" s="89"/>
      <c r="Q1199" s="89"/>
      <c r="R1199" s="89"/>
      <c r="S1199" s="89"/>
      <c r="T1199" s="89"/>
      <c r="U1199" s="89"/>
      <c r="V1199" s="89"/>
      <c r="W1199" s="89"/>
      <c r="X1199" s="89"/>
      <c r="Y1199" s="89"/>
      <c r="Z1199" s="89"/>
      <c r="AA1199" s="89"/>
      <c r="AB1199" s="89"/>
      <c r="AC1199" s="89"/>
      <c r="AD1199" s="89"/>
      <c r="AE1199" s="89"/>
      <c r="AF1199" s="89"/>
      <c r="AG1199" s="89"/>
      <c r="AH1199" s="89"/>
      <c r="AI1199" s="89"/>
      <c r="AJ1199" s="89"/>
      <c r="AK1199" s="89"/>
      <c r="AL1199" s="89"/>
      <c r="AM1199" s="89"/>
      <c r="AN1199" s="89"/>
      <c r="AO1199" s="89"/>
      <c r="AP1199" s="89"/>
      <c r="AQ1199" s="89"/>
      <c r="AR1199" s="89"/>
      <c r="AS1199" s="89"/>
      <c r="AT1199" s="89"/>
      <c r="AU1199" s="89"/>
      <c r="AV1199" s="89"/>
      <c r="AW1199" s="89"/>
      <c r="AX1199" s="89"/>
      <c r="AY1199" s="89"/>
      <c r="AZ1199" s="89"/>
      <c r="BA1199" s="95"/>
    </row>
    <row r="1200" spans="1:53" s="87" customFormat="1">
      <c r="A1200" s="90" t="str">
        <f t="shared" si="43"/>
        <v/>
      </c>
      <c r="B1200" s="89"/>
      <c r="C1200" s="89"/>
      <c r="D1200" s="89"/>
      <c r="E1200" s="89"/>
      <c r="F1200" s="89"/>
      <c r="G1200" s="89"/>
      <c r="H1200" s="89"/>
      <c r="I1200" s="89"/>
      <c r="J1200" s="89"/>
      <c r="K1200" s="89"/>
      <c r="L1200" s="89"/>
      <c r="M1200" s="89"/>
      <c r="N1200" s="89"/>
      <c r="O1200" s="89"/>
      <c r="P1200" s="89"/>
      <c r="Q1200" s="89"/>
      <c r="R1200" s="89"/>
      <c r="S1200" s="89"/>
      <c r="T1200" s="89"/>
      <c r="U1200" s="89"/>
      <c r="V1200" s="89"/>
      <c r="W1200" s="89"/>
      <c r="X1200" s="89"/>
      <c r="Y1200" s="89"/>
      <c r="Z1200" s="89"/>
      <c r="AA1200" s="89"/>
      <c r="AB1200" s="89"/>
      <c r="AC1200" s="89"/>
      <c r="AD1200" s="89"/>
      <c r="AE1200" s="89"/>
      <c r="AF1200" s="89"/>
      <c r="AG1200" s="89"/>
      <c r="AH1200" s="89"/>
      <c r="AI1200" s="89"/>
      <c r="AJ1200" s="89"/>
      <c r="AK1200" s="89"/>
      <c r="AL1200" s="89"/>
      <c r="AM1200" s="89"/>
      <c r="AN1200" s="89"/>
      <c r="AO1200" s="89"/>
      <c r="AP1200" s="89"/>
      <c r="AQ1200" s="89"/>
      <c r="AR1200" s="89"/>
      <c r="AS1200" s="89"/>
      <c r="AT1200" s="89"/>
      <c r="AU1200" s="89"/>
      <c r="AV1200" s="89"/>
      <c r="AW1200" s="89"/>
      <c r="AX1200" s="89"/>
      <c r="AY1200" s="89"/>
      <c r="AZ1200" s="89"/>
      <c r="BA1200" s="95"/>
    </row>
    <row r="1201" spans="53:53" s="87" customFormat="1">
      <c r="BA1201" s="95"/>
    </row>
    <row r="1202" spans="53:53" s="87" customFormat="1">
      <c r="BA1202" s="95"/>
    </row>
    <row r="1203" spans="53:53" s="87" customFormat="1">
      <c r="BA1203" s="95"/>
    </row>
    <row r="1204" spans="53:53" s="87" customFormat="1">
      <c r="BA1204" s="95"/>
    </row>
    <row r="1205" spans="53:53" s="87" customFormat="1">
      <c r="BA1205" s="95"/>
    </row>
    <row r="1206" spans="53:53" s="87" customFormat="1">
      <c r="BA1206" s="95"/>
    </row>
    <row r="1207" spans="53:53" s="87" customFormat="1">
      <c r="BA1207" s="95"/>
    </row>
  </sheetData>
  <sheetProtection password="FFF0" sheet="1" objects="1" scenarios="1"/>
  <conditionalFormatting sqref="BD11:BD70">
    <cfRule type="expression" dxfId="48" priority="2">
      <formula>BD11=$BD$7</formula>
    </cfRule>
  </conditionalFormatting>
  <conditionalFormatting sqref="A11:A1200">
    <cfRule type="expression" dxfId="47" priority="1">
      <formula>A11=$BA$7</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view="pageLayout" workbookViewId="0">
      <selection activeCell="G1" sqref="G1"/>
    </sheetView>
  </sheetViews>
  <sheetFormatPr baseColWidth="10" defaultRowHeight="15" x14ac:dyDescent="0"/>
  <cols>
    <col min="1" max="1" width="7.7109375" style="50" customWidth="1"/>
    <col min="2" max="4" width="3.140625" style="50" customWidth="1"/>
    <col min="5" max="11" width="10.7109375" style="50"/>
    <col min="12" max="12" width="7.7109375" style="50" customWidth="1"/>
    <col min="13" max="15" width="3.140625" style="50" customWidth="1"/>
    <col min="16" max="16" width="15.42578125" style="50" bestFit="1" customWidth="1"/>
    <col min="17" max="16384" width="10.7109375" style="50"/>
  </cols>
  <sheetData>
    <row r="1" spans="1:16" ht="18">
      <c r="A1" s="100" t="s">
        <v>787</v>
      </c>
      <c r="G1" s="154" t="str">
        <f>Intro!D46</f>
        <v/>
      </c>
    </row>
    <row r="2" spans="1:16" ht="28">
      <c r="A2" s="101" t="s">
        <v>627</v>
      </c>
    </row>
    <row r="3" spans="1:16" ht="18" customHeight="1"/>
    <row r="4" spans="1:16">
      <c r="B4" s="4" t="s">
        <v>630</v>
      </c>
      <c r="M4" s="4" t="s">
        <v>673</v>
      </c>
    </row>
    <row r="5" spans="1:16">
      <c r="C5" s="50" t="s">
        <v>628</v>
      </c>
      <c r="N5" s="50" t="s">
        <v>675</v>
      </c>
    </row>
    <row r="6" spans="1:16">
      <c r="C6" s="50" t="s">
        <v>629</v>
      </c>
    </row>
    <row r="7" spans="1:16">
      <c r="C7" s="50" t="s">
        <v>660</v>
      </c>
      <c r="N7" s="4" t="s">
        <v>685</v>
      </c>
    </row>
    <row r="9" spans="1:16">
      <c r="B9" s="4" t="s">
        <v>641</v>
      </c>
      <c r="N9" s="4" t="s">
        <v>686</v>
      </c>
    </row>
    <row r="10" spans="1:16">
      <c r="C10" s="50" t="s">
        <v>646</v>
      </c>
    </row>
    <row r="11" spans="1:16">
      <c r="C11" s="50" t="s">
        <v>647</v>
      </c>
      <c r="O11" s="4" t="s">
        <v>664</v>
      </c>
    </row>
    <row r="12" spans="1:16">
      <c r="C12" s="50" t="s">
        <v>648</v>
      </c>
      <c r="P12" s="50" t="s">
        <v>672</v>
      </c>
    </row>
    <row r="13" spans="1:16">
      <c r="C13" s="50" t="s">
        <v>649</v>
      </c>
      <c r="P13" s="50" t="s">
        <v>671</v>
      </c>
    </row>
    <row r="14" spans="1:16">
      <c r="C14" s="50" t="s">
        <v>650</v>
      </c>
    </row>
    <row r="15" spans="1:16">
      <c r="M15" s="4" t="s">
        <v>674</v>
      </c>
    </row>
    <row r="16" spans="1:16">
      <c r="B16" s="4" t="s">
        <v>643</v>
      </c>
      <c r="N16" s="50" t="s">
        <v>659</v>
      </c>
    </row>
    <row r="17" spans="2:16">
      <c r="C17" s="50" t="s">
        <v>644</v>
      </c>
      <c r="N17" s="50" t="s">
        <v>676</v>
      </c>
    </row>
    <row r="18" spans="2:16">
      <c r="C18" s="50" t="s">
        <v>642</v>
      </c>
    </row>
    <row r="19" spans="2:16">
      <c r="D19" s="50" t="s">
        <v>653</v>
      </c>
      <c r="N19" s="4" t="s">
        <v>687</v>
      </c>
    </row>
    <row r="20" spans="2:16">
      <c r="D20" s="50" t="s">
        <v>651</v>
      </c>
    </row>
    <row r="21" spans="2:16">
      <c r="D21" s="50" t="s">
        <v>652</v>
      </c>
      <c r="O21" s="4" t="s">
        <v>667</v>
      </c>
    </row>
    <row r="22" spans="2:16">
      <c r="P22" s="50" t="s">
        <v>679</v>
      </c>
    </row>
    <row r="23" spans="2:16">
      <c r="B23" s="4" t="s">
        <v>631</v>
      </c>
      <c r="P23" s="50" t="s">
        <v>669</v>
      </c>
    </row>
    <row r="24" spans="2:16">
      <c r="C24" s="50" t="s">
        <v>632</v>
      </c>
      <c r="O24" s="4" t="s">
        <v>664</v>
      </c>
    </row>
    <row r="25" spans="2:16">
      <c r="D25" s="50" t="s">
        <v>633</v>
      </c>
      <c r="P25" s="50" t="s">
        <v>677</v>
      </c>
    </row>
    <row r="26" spans="2:16">
      <c r="C26" s="50" t="s">
        <v>634</v>
      </c>
      <c r="P26" s="50" t="s">
        <v>670</v>
      </c>
    </row>
    <row r="27" spans="2:16">
      <c r="D27" s="50" t="s">
        <v>1073</v>
      </c>
    </row>
    <row r="28" spans="2:16">
      <c r="D28" s="50" t="s">
        <v>645</v>
      </c>
    </row>
    <row r="29" spans="2:16">
      <c r="N29" s="4" t="s">
        <v>688</v>
      </c>
    </row>
    <row r="30" spans="2:16">
      <c r="B30" s="4" t="s">
        <v>639</v>
      </c>
    </row>
    <row r="31" spans="2:16">
      <c r="C31" s="50" t="s">
        <v>640</v>
      </c>
      <c r="O31" s="4" t="s">
        <v>666</v>
      </c>
    </row>
    <row r="32" spans="2:16">
      <c r="D32" s="50" t="s">
        <v>765</v>
      </c>
      <c r="P32" s="50" t="s">
        <v>689</v>
      </c>
    </row>
    <row r="33" spans="2:16">
      <c r="D33" s="50" t="s">
        <v>769</v>
      </c>
      <c r="P33" s="50" t="s">
        <v>669</v>
      </c>
    </row>
    <row r="34" spans="2:16">
      <c r="D34" s="50" t="s">
        <v>768</v>
      </c>
      <c r="O34" s="4" t="s">
        <v>664</v>
      </c>
    </row>
    <row r="35" spans="2:16">
      <c r="E35" s="50" t="s">
        <v>767</v>
      </c>
      <c r="P35" s="50" t="s">
        <v>690</v>
      </c>
    </row>
    <row r="36" spans="2:16">
      <c r="P36" s="50" t="s">
        <v>668</v>
      </c>
    </row>
    <row r="37" spans="2:16">
      <c r="P37" s="50" t="s">
        <v>678</v>
      </c>
    </row>
    <row r="38" spans="2:16">
      <c r="B38" s="4" t="s">
        <v>654</v>
      </c>
      <c r="O38" s="4" t="s">
        <v>665</v>
      </c>
    </row>
    <row r="39" spans="2:16">
      <c r="C39" s="50" t="s">
        <v>656</v>
      </c>
      <c r="P39" s="50" t="s">
        <v>682</v>
      </c>
    </row>
    <row r="40" spans="2:16">
      <c r="C40" s="50" t="s">
        <v>657</v>
      </c>
      <c r="P40" s="50" t="s">
        <v>681</v>
      </c>
    </row>
    <row r="41" spans="2:16">
      <c r="D41" s="50" t="s">
        <v>663</v>
      </c>
      <c r="P41" s="50" t="s">
        <v>683</v>
      </c>
    </row>
    <row r="42" spans="2:16">
      <c r="D42" s="50" t="s">
        <v>662</v>
      </c>
      <c r="P42" s="50" t="s">
        <v>684</v>
      </c>
    </row>
    <row r="43" spans="2:16">
      <c r="D43" s="50" t="s">
        <v>661</v>
      </c>
      <c r="P43" s="50" t="s">
        <v>680</v>
      </c>
    </row>
    <row r="44" spans="2:16">
      <c r="C44" s="50" t="s">
        <v>766</v>
      </c>
    </row>
    <row r="45" spans="2:16">
      <c r="C45" s="50" t="s">
        <v>658</v>
      </c>
      <c r="M45" s="4" t="s">
        <v>691</v>
      </c>
    </row>
    <row r="46" spans="2:16">
      <c r="D46" s="50" t="s">
        <v>655</v>
      </c>
      <c r="N46" s="50" t="s">
        <v>761</v>
      </c>
    </row>
    <row r="47" spans="2:16">
      <c r="O47" s="50" t="s">
        <v>762</v>
      </c>
    </row>
    <row r="48" spans="2:16">
      <c r="C48" s="4" t="s">
        <v>635</v>
      </c>
      <c r="N48" s="50" t="s">
        <v>692</v>
      </c>
    </row>
    <row r="49" spans="4:16">
      <c r="D49" s="50" t="s">
        <v>636</v>
      </c>
      <c r="O49" s="50" t="s">
        <v>763</v>
      </c>
    </row>
    <row r="50" spans="4:16">
      <c r="E50" s="50" t="s">
        <v>637</v>
      </c>
      <c r="N50" s="50" t="s">
        <v>764</v>
      </c>
    </row>
    <row r="51" spans="4:16">
      <c r="E51" s="50" t="s">
        <v>638</v>
      </c>
    </row>
    <row r="52" spans="4:16">
      <c r="N52" s="50" t="s">
        <v>770</v>
      </c>
    </row>
    <row r="53" spans="4:16">
      <c r="O53" s="50" t="s">
        <v>771</v>
      </c>
      <c r="P53" s="161"/>
    </row>
    <row r="54" spans="4:16">
      <c r="O54" s="50" t="s">
        <v>772</v>
      </c>
    </row>
    <row r="55" spans="4:16">
      <c r="O55" s="50" t="s">
        <v>866</v>
      </c>
    </row>
    <row r="57" spans="4:16">
      <c r="N57" s="50" t="s">
        <v>773</v>
      </c>
    </row>
    <row r="58" spans="4:16">
      <c r="O58" s="50" t="s">
        <v>774</v>
      </c>
    </row>
  </sheetData>
  <sheetProtection password="FFF0" sheet="1" objects="1" scenarios="1"/>
  <phoneticPr fontId="102" type="noConversion"/>
  <pageMargins left="0.5" right="0.5" top="0.25" bottom="0.25" header="0" footer="0"/>
  <pageSetup orientation="landscape" horizontalDpi="4294967292" verticalDpi="4294967292"/>
  <extLst>
    <ext xmlns:mx="http://schemas.microsoft.com/office/mac/excel/2008/main" uri="{64002731-A6B0-56B0-2670-7721B7C09600}">
      <mx:PLV Mode="1"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12"/>
  <sheetViews>
    <sheetView view="pageLayout" workbookViewId="0">
      <selection activeCell="S1" sqref="S1"/>
    </sheetView>
  </sheetViews>
  <sheetFormatPr baseColWidth="10" defaultRowHeight="15" x14ac:dyDescent="0"/>
  <cols>
    <col min="1" max="1" width="5.140625" style="50" customWidth="1"/>
    <col min="2" max="2" width="10.7109375" style="50"/>
    <col min="3" max="18" width="3.140625" style="50" customWidth="1"/>
    <col min="19" max="19" width="10.28515625" style="50" customWidth="1"/>
    <col min="20" max="27" width="3.140625" style="50" customWidth="1"/>
    <col min="28" max="28" width="10.28515625" style="50" customWidth="1"/>
    <col min="29" max="40" width="3.140625" style="50" customWidth="1"/>
    <col min="41" max="41" width="4.140625" style="50" customWidth="1"/>
    <col min="42" max="55" width="3.140625" style="50" customWidth="1"/>
    <col min="56" max="16384" width="10.7109375" style="50"/>
  </cols>
  <sheetData>
    <row r="1" spans="1:53" ht="18">
      <c r="A1" s="162" t="s">
        <v>693</v>
      </c>
      <c r="S1" s="209" t="str">
        <f>Intro!D46</f>
        <v/>
      </c>
      <c r="AB1" s="162" t="s">
        <v>716</v>
      </c>
      <c r="AD1" s="63"/>
      <c r="AE1" s="63"/>
      <c r="AF1" s="63"/>
      <c r="AG1" s="63"/>
      <c r="AH1" s="63"/>
      <c r="AI1" s="63"/>
      <c r="AJ1" s="63"/>
      <c r="AK1" s="63"/>
      <c r="AL1" s="63"/>
      <c r="AM1" s="63"/>
      <c r="AN1" s="63"/>
      <c r="AO1" s="63"/>
      <c r="AP1" s="63"/>
      <c r="AQ1" s="63"/>
      <c r="AR1" s="63"/>
      <c r="AS1" s="63"/>
      <c r="AT1" s="63"/>
      <c r="AU1" s="63"/>
      <c r="AV1" s="63"/>
      <c r="AW1" s="63"/>
      <c r="AX1" s="63"/>
      <c r="AY1" s="63"/>
      <c r="AZ1" s="63"/>
      <c r="BA1" s="63"/>
    </row>
    <row r="2" spans="1:53" ht="15" customHeight="1">
      <c r="B2" s="50" t="s">
        <v>694</v>
      </c>
      <c r="AC2" s="50" t="s">
        <v>750</v>
      </c>
      <c r="AD2" s="63"/>
      <c r="AE2" s="63"/>
      <c r="AF2" s="63"/>
      <c r="AG2" s="63"/>
      <c r="AH2" s="63"/>
      <c r="AI2" s="63"/>
      <c r="AJ2" s="63"/>
      <c r="AK2" s="63"/>
      <c r="AL2" s="63"/>
      <c r="AM2" s="63"/>
      <c r="AN2" s="63"/>
      <c r="AO2" s="63"/>
      <c r="AP2" s="63"/>
      <c r="AQ2" s="63"/>
      <c r="AR2" s="63"/>
      <c r="AS2" s="63"/>
      <c r="AT2" s="63"/>
      <c r="AU2" s="63"/>
      <c r="AV2" s="63"/>
      <c r="AW2" s="63"/>
      <c r="AX2" s="63"/>
      <c r="AY2" s="63"/>
      <c r="AZ2" s="63"/>
      <c r="BA2" s="63"/>
    </row>
    <row r="3" spans="1:53" ht="15" customHeight="1">
      <c r="C3" s="50" t="s">
        <v>695</v>
      </c>
      <c r="AD3" s="150" t="s">
        <v>751</v>
      </c>
      <c r="AE3" s="150"/>
      <c r="AF3" s="150"/>
      <c r="AG3" s="150"/>
      <c r="AH3" s="150"/>
      <c r="AI3" s="150"/>
      <c r="AJ3" s="150"/>
      <c r="AK3" s="150"/>
      <c r="AL3" s="150"/>
      <c r="AM3" s="150"/>
      <c r="AN3" s="150"/>
      <c r="AO3" s="150"/>
      <c r="AP3" s="150"/>
      <c r="AQ3" s="150"/>
      <c r="AR3" s="150"/>
      <c r="AS3" s="150"/>
      <c r="AT3" s="150"/>
      <c r="AU3" s="150"/>
      <c r="AV3" s="150"/>
      <c r="AW3" s="150"/>
      <c r="AX3" s="150"/>
      <c r="AY3" s="150"/>
      <c r="AZ3" s="150"/>
      <c r="BA3" s="150"/>
    </row>
    <row r="4" spans="1:53" ht="15" customHeight="1">
      <c r="B4" s="50" t="s">
        <v>696</v>
      </c>
      <c r="AC4" s="50" t="s">
        <v>752</v>
      </c>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row>
    <row r="5" spans="1:53" ht="15" customHeight="1">
      <c r="C5" s="50" t="s">
        <v>697</v>
      </c>
      <c r="AD5" s="150" t="s">
        <v>753</v>
      </c>
      <c r="AE5" s="150"/>
      <c r="AF5" s="150"/>
      <c r="AG5" s="150"/>
      <c r="AH5" s="150"/>
      <c r="AI5" s="150"/>
      <c r="AJ5" s="150"/>
      <c r="AK5" s="150"/>
      <c r="AL5" s="150"/>
      <c r="AM5" s="150"/>
      <c r="AN5" s="150"/>
      <c r="AO5" s="150"/>
      <c r="AP5" s="150"/>
      <c r="AQ5" s="150"/>
      <c r="AR5" s="150"/>
      <c r="AS5" s="150"/>
      <c r="AT5" s="150"/>
      <c r="AU5" s="150"/>
      <c r="AV5" s="150"/>
      <c r="AW5" s="150"/>
      <c r="AX5" s="150"/>
      <c r="AY5" s="150"/>
      <c r="AZ5" s="150"/>
      <c r="BA5" s="150"/>
    </row>
    <row r="6" spans="1:53" ht="15" customHeight="1">
      <c r="B6" s="50" t="s">
        <v>698</v>
      </c>
      <c r="AC6" s="150" t="s">
        <v>717</v>
      </c>
      <c r="AE6" s="150"/>
      <c r="AF6" s="150"/>
      <c r="AG6" s="150"/>
      <c r="AH6" s="150"/>
      <c r="AI6" s="150"/>
      <c r="AJ6" s="150"/>
      <c r="AK6" s="150"/>
      <c r="AL6" s="150"/>
      <c r="AM6" s="150"/>
      <c r="AN6" s="150"/>
      <c r="AO6" s="150"/>
      <c r="AP6" s="150"/>
      <c r="AQ6" s="150"/>
      <c r="AR6" s="150"/>
      <c r="AS6" s="150"/>
      <c r="AT6" s="150"/>
      <c r="AU6" s="150"/>
      <c r="AV6" s="150"/>
      <c r="AW6" s="150"/>
      <c r="AX6" s="150"/>
      <c r="AY6" s="150"/>
      <c r="AZ6" s="150"/>
      <c r="BA6" s="150"/>
    </row>
    <row r="7" spans="1:53" ht="15" customHeight="1">
      <c r="C7" s="50" t="s">
        <v>699</v>
      </c>
      <c r="AD7" s="150" t="s">
        <v>754</v>
      </c>
      <c r="AE7" s="150"/>
      <c r="AF7" s="150"/>
      <c r="AG7" s="150"/>
      <c r="AH7" s="150"/>
      <c r="AI7" s="150"/>
      <c r="AJ7" s="150"/>
      <c r="AK7" s="150"/>
      <c r="AL7" s="150"/>
      <c r="AM7" s="150"/>
      <c r="AN7" s="150"/>
      <c r="AO7" s="150"/>
      <c r="AP7" s="150"/>
      <c r="AQ7" s="150"/>
      <c r="AR7" s="150"/>
      <c r="AS7" s="150"/>
      <c r="AT7" s="150"/>
      <c r="AU7" s="150"/>
      <c r="AV7" s="150"/>
      <c r="AW7" s="150"/>
      <c r="AX7" s="150"/>
      <c r="AY7" s="150"/>
      <c r="AZ7" s="150"/>
      <c r="BA7" s="150"/>
    </row>
    <row r="8" spans="1:53" ht="15" customHeight="1">
      <c r="AD8" s="150"/>
      <c r="AE8" s="150" t="s">
        <v>718</v>
      </c>
      <c r="AF8" s="150"/>
      <c r="AG8" s="150"/>
      <c r="AH8" s="150"/>
      <c r="AI8" s="150"/>
      <c r="AJ8" s="150"/>
      <c r="AK8" s="150"/>
      <c r="AL8" s="150"/>
      <c r="AM8" s="150"/>
      <c r="AN8" s="150"/>
      <c r="AO8" s="150"/>
      <c r="AP8" s="150"/>
      <c r="AQ8" s="150"/>
      <c r="AR8" s="150"/>
      <c r="AS8" s="150"/>
      <c r="AT8" s="150"/>
      <c r="AU8" s="150"/>
      <c r="AV8" s="150"/>
      <c r="AW8" s="150"/>
      <c r="AX8" s="150"/>
      <c r="AY8" s="150"/>
      <c r="AZ8" s="150"/>
      <c r="BA8" s="150"/>
    </row>
    <row r="9" spans="1:53" ht="15" customHeight="1">
      <c r="K9" s="106"/>
      <c r="L9" s="106"/>
      <c r="M9" s="106"/>
      <c r="N9" s="106"/>
      <c r="O9" s="106"/>
      <c r="P9" s="106"/>
      <c r="Q9" s="106"/>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row>
    <row r="10" spans="1:53" ht="15" customHeight="1">
      <c r="AC10" s="151" t="s">
        <v>719</v>
      </c>
      <c r="AD10" s="63">
        <v>1</v>
      </c>
      <c r="AE10" s="63"/>
      <c r="AF10" s="63"/>
      <c r="AG10" s="63"/>
      <c r="AH10" s="63"/>
      <c r="AI10" s="63"/>
      <c r="AJ10" s="151" t="s">
        <v>720</v>
      </c>
      <c r="AK10" s="63">
        <v>1</v>
      </c>
      <c r="AL10" s="63"/>
      <c r="AM10" s="63"/>
      <c r="AN10" s="63"/>
      <c r="AO10" s="63"/>
      <c r="AP10" s="63"/>
      <c r="AQ10" s="151" t="s">
        <v>721</v>
      </c>
      <c r="AR10" s="63">
        <v>1</v>
      </c>
      <c r="AS10" s="63"/>
      <c r="AT10" s="63">
        <v>1</v>
      </c>
      <c r="AU10" s="63"/>
      <c r="AV10" s="63">
        <v>1</v>
      </c>
      <c r="AW10" s="63"/>
      <c r="AX10" s="63"/>
      <c r="AY10" s="63"/>
      <c r="AZ10" s="63"/>
      <c r="BA10" s="63"/>
    </row>
    <row r="11" spans="1:53" ht="15" customHeight="1" thickBot="1">
      <c r="B11" s="107" t="s">
        <v>700</v>
      </c>
      <c r="AD11" s="63">
        <v>2</v>
      </c>
      <c r="AE11" s="63"/>
      <c r="AF11" s="63"/>
      <c r="AG11" s="63"/>
      <c r="AH11" s="63"/>
      <c r="AI11" s="63"/>
      <c r="AK11" s="63">
        <v>2</v>
      </c>
      <c r="AL11" s="63">
        <v>3</v>
      </c>
      <c r="AM11" s="63"/>
      <c r="AN11" s="63"/>
      <c r="AO11" s="63"/>
      <c r="AP11" s="63"/>
      <c r="AR11" s="63">
        <v>2</v>
      </c>
      <c r="AS11" s="63"/>
      <c r="AT11" s="63">
        <v>3</v>
      </c>
      <c r="AU11" s="63"/>
      <c r="AV11" s="63">
        <v>4</v>
      </c>
      <c r="AW11" s="63"/>
      <c r="AX11" s="63"/>
      <c r="AY11" s="63"/>
      <c r="AZ11" s="63"/>
      <c r="BA11" s="63"/>
    </row>
    <row r="12" spans="1:53" ht="15" customHeight="1" thickBot="1">
      <c r="AD12" s="170">
        <v>1</v>
      </c>
      <c r="AE12" s="63"/>
      <c r="AF12" s="63"/>
      <c r="AG12" s="63"/>
      <c r="AH12" s="63"/>
      <c r="AI12" s="63"/>
      <c r="AK12" s="63">
        <v>3</v>
      </c>
      <c r="AL12" s="63">
        <v>2</v>
      </c>
      <c r="AM12" s="63"/>
      <c r="AN12" s="63"/>
      <c r="AO12" s="63"/>
      <c r="AP12" s="63"/>
      <c r="AR12" s="63">
        <v>3</v>
      </c>
      <c r="AS12" s="63">
        <v>4</v>
      </c>
      <c r="AT12" s="63">
        <v>2</v>
      </c>
      <c r="AU12" s="63">
        <v>4</v>
      </c>
      <c r="AV12" s="63">
        <v>2</v>
      </c>
      <c r="AW12" s="63">
        <v>3</v>
      </c>
      <c r="AX12" s="63"/>
      <c r="AY12" s="63"/>
      <c r="AZ12" s="63"/>
      <c r="BA12" s="63"/>
    </row>
    <row r="13" spans="1:53" ht="15" customHeight="1" thickBot="1">
      <c r="B13" s="151" t="s">
        <v>730</v>
      </c>
      <c r="C13" s="208" t="s">
        <v>741</v>
      </c>
      <c r="D13" s="106"/>
      <c r="E13" s="106"/>
      <c r="F13" s="106"/>
      <c r="J13" s="151" t="s">
        <v>739</v>
      </c>
      <c r="K13" s="207">
        <v>1</v>
      </c>
      <c r="L13" s="207">
        <v>2</v>
      </c>
      <c r="M13" s="207">
        <v>3</v>
      </c>
      <c r="N13" s="207">
        <v>4</v>
      </c>
      <c r="O13" s="207">
        <v>5</v>
      </c>
      <c r="P13" s="207">
        <v>6</v>
      </c>
      <c r="Q13" s="207">
        <v>7</v>
      </c>
      <c r="S13" s="151" t="s">
        <v>739</v>
      </c>
      <c r="T13" s="207">
        <v>1</v>
      </c>
      <c r="U13" s="207">
        <v>2</v>
      </c>
      <c r="V13" s="207">
        <v>3</v>
      </c>
      <c r="W13" s="207">
        <v>4</v>
      </c>
      <c r="X13" s="207">
        <v>5</v>
      </c>
      <c r="Y13" s="207">
        <v>6</v>
      </c>
      <c r="Z13" s="207">
        <v>7</v>
      </c>
      <c r="AD13" s="63"/>
      <c r="AE13" s="63"/>
      <c r="AF13" s="63"/>
      <c r="AG13" s="63"/>
      <c r="AH13" s="63"/>
      <c r="AI13" s="63"/>
      <c r="AK13" s="170">
        <v>2</v>
      </c>
      <c r="AL13" s="63"/>
      <c r="AM13" s="63"/>
      <c r="AN13" s="63"/>
      <c r="AO13" s="63"/>
      <c r="AP13" s="63"/>
      <c r="AR13" s="63">
        <v>4</v>
      </c>
      <c r="AS13" s="63">
        <v>3</v>
      </c>
      <c r="AT13" s="63">
        <v>4</v>
      </c>
      <c r="AU13" s="63">
        <v>2</v>
      </c>
      <c r="AV13" s="63">
        <v>3</v>
      </c>
      <c r="AW13" s="63">
        <v>2</v>
      </c>
      <c r="AX13" s="63"/>
      <c r="AY13" s="63"/>
      <c r="AZ13" s="63"/>
      <c r="BA13" s="63"/>
    </row>
    <row r="14" spans="1:53" ht="15" customHeight="1">
      <c r="AC14" s="68"/>
      <c r="AD14" s="210"/>
      <c r="AE14" s="210"/>
      <c r="AF14" s="210"/>
      <c r="AG14" s="210"/>
      <c r="AH14" s="210"/>
      <c r="AI14" s="210"/>
      <c r="AJ14" s="63"/>
      <c r="AK14" s="63"/>
      <c r="AL14" s="63"/>
      <c r="AM14" s="63"/>
      <c r="AN14" s="63"/>
      <c r="AO14" s="63"/>
      <c r="AP14" s="63"/>
      <c r="AR14" s="170">
        <v>6</v>
      </c>
      <c r="AS14" s="63"/>
      <c r="AT14" s="63"/>
      <c r="AU14" s="63"/>
      <c r="AV14" s="63"/>
      <c r="AW14" s="63"/>
      <c r="AX14" s="63"/>
      <c r="AY14" s="63"/>
      <c r="AZ14" s="63"/>
      <c r="BA14" s="63"/>
    </row>
    <row r="15" spans="1:53" ht="15" customHeight="1">
      <c r="B15" s="103" t="s">
        <v>738</v>
      </c>
      <c r="C15" s="163">
        <v>1</v>
      </c>
      <c r="D15" s="106">
        <v>4</v>
      </c>
      <c r="E15" s="106">
        <v>6</v>
      </c>
      <c r="F15" s="106">
        <v>8</v>
      </c>
      <c r="G15" s="163"/>
      <c r="H15" s="106"/>
      <c r="I15" s="106"/>
      <c r="J15" s="151" t="s">
        <v>702</v>
      </c>
      <c r="K15" s="106" t="s">
        <v>203</v>
      </c>
      <c r="L15" s="106" t="s">
        <v>203</v>
      </c>
      <c r="M15" s="164" t="s">
        <v>203</v>
      </c>
      <c r="N15" s="164" t="s">
        <v>203</v>
      </c>
      <c r="O15" s="164" t="s">
        <v>203</v>
      </c>
      <c r="P15" s="106" t="s">
        <v>203</v>
      </c>
      <c r="Q15" s="106" t="s">
        <v>203</v>
      </c>
      <c r="S15" s="151" t="s">
        <v>702</v>
      </c>
      <c r="T15" s="179"/>
      <c r="U15" s="179"/>
      <c r="V15" s="180"/>
      <c r="W15" s="180"/>
      <c r="X15" s="180"/>
      <c r="Y15" s="179"/>
      <c r="Z15" s="203">
        <v>2</v>
      </c>
      <c r="AC15" s="68"/>
      <c r="AD15" s="210"/>
      <c r="AE15" s="210"/>
      <c r="AF15" s="210"/>
      <c r="AG15" s="210"/>
      <c r="AH15" s="210"/>
      <c r="AI15" s="210"/>
      <c r="AJ15" s="63"/>
      <c r="AK15" s="63"/>
      <c r="AL15" s="63"/>
      <c r="AM15" s="63"/>
      <c r="AN15" s="63"/>
      <c r="AO15" s="63"/>
      <c r="AP15" s="63"/>
      <c r="AQ15" s="63"/>
      <c r="AR15" s="63"/>
      <c r="AS15" s="63"/>
      <c r="AT15" s="63"/>
      <c r="AU15" s="63"/>
      <c r="AV15" s="63"/>
      <c r="AW15" s="63"/>
      <c r="AX15" s="63"/>
      <c r="AY15" s="63"/>
      <c r="AZ15" s="63"/>
      <c r="BA15" s="63"/>
    </row>
    <row r="16" spans="1:53" ht="15" customHeight="1">
      <c r="B16" s="103"/>
      <c r="C16" s="106">
        <v>2</v>
      </c>
      <c r="D16" s="106">
        <v>3</v>
      </c>
      <c r="E16" s="106">
        <v>5</v>
      </c>
      <c r="F16" s="106">
        <v>7</v>
      </c>
      <c r="G16" s="106"/>
      <c r="H16" s="106"/>
      <c r="I16" s="106"/>
      <c r="J16" s="151" t="s">
        <v>703</v>
      </c>
      <c r="K16" s="106" t="s">
        <v>701</v>
      </c>
      <c r="L16" s="106" t="s">
        <v>701</v>
      </c>
      <c r="M16" s="164" t="s">
        <v>204</v>
      </c>
      <c r="N16" s="164" t="s">
        <v>204</v>
      </c>
      <c r="O16" s="164" t="s">
        <v>200</v>
      </c>
      <c r="P16" s="106" t="s">
        <v>200</v>
      </c>
      <c r="Q16" s="106" t="s">
        <v>203</v>
      </c>
      <c r="S16" s="151" t="s">
        <v>703</v>
      </c>
      <c r="T16" s="185"/>
      <c r="U16" s="185"/>
      <c r="V16" s="184"/>
      <c r="W16" s="184"/>
      <c r="X16" s="182"/>
      <c r="Y16" s="181"/>
      <c r="Z16" s="203">
        <v>2</v>
      </c>
      <c r="AC16" s="151" t="s">
        <v>722</v>
      </c>
      <c r="AD16" s="63">
        <v>1</v>
      </c>
      <c r="AE16" s="63"/>
      <c r="AF16" s="63"/>
      <c r="AG16" s="63"/>
      <c r="AH16" s="63"/>
      <c r="AI16" s="63"/>
      <c r="AJ16" s="63">
        <v>1</v>
      </c>
      <c r="AK16" s="63"/>
      <c r="AL16" s="63"/>
      <c r="AM16" s="63"/>
      <c r="AN16" s="63"/>
      <c r="AO16" s="63"/>
      <c r="AP16" s="63">
        <v>1</v>
      </c>
      <c r="AQ16" s="63"/>
      <c r="AR16" s="63"/>
      <c r="AS16" s="63"/>
      <c r="AT16" s="63"/>
      <c r="AU16" s="63"/>
      <c r="AV16" s="63">
        <v>1</v>
      </c>
      <c r="AW16" s="63"/>
      <c r="AX16" s="63"/>
      <c r="AY16" s="63"/>
      <c r="AZ16" s="63"/>
      <c r="BA16" s="63"/>
    </row>
    <row r="17" spans="2:53" ht="15" customHeight="1">
      <c r="B17" s="103"/>
      <c r="J17" s="151" t="s">
        <v>704</v>
      </c>
      <c r="K17" s="106" t="s">
        <v>701</v>
      </c>
      <c r="L17" s="106" t="s">
        <v>204</v>
      </c>
      <c r="M17" s="164" t="s">
        <v>701</v>
      </c>
      <c r="N17" s="164" t="s">
        <v>200</v>
      </c>
      <c r="O17" s="164" t="s">
        <v>204</v>
      </c>
      <c r="P17" s="106" t="s">
        <v>203</v>
      </c>
      <c r="Q17" s="106" t="s">
        <v>200</v>
      </c>
      <c r="S17" s="151" t="s">
        <v>704</v>
      </c>
      <c r="T17" s="185"/>
      <c r="U17" s="183"/>
      <c r="V17" s="186"/>
      <c r="W17" s="182"/>
      <c r="X17" s="184"/>
      <c r="Y17" s="179"/>
      <c r="Z17" s="204">
        <v>3</v>
      </c>
      <c r="AD17" s="63">
        <v>2</v>
      </c>
      <c r="AE17" s="63"/>
      <c r="AF17" s="63"/>
      <c r="AG17" s="63"/>
      <c r="AH17" s="63"/>
      <c r="AI17" s="63"/>
      <c r="AJ17" s="63">
        <v>3</v>
      </c>
      <c r="AK17" s="63"/>
      <c r="AL17" s="63"/>
      <c r="AM17" s="63"/>
      <c r="AN17" s="63"/>
      <c r="AO17" s="63"/>
      <c r="AP17" s="63">
        <v>4</v>
      </c>
      <c r="AQ17" s="63"/>
      <c r="AR17" s="63"/>
      <c r="AS17" s="63"/>
      <c r="AT17" s="63"/>
      <c r="AU17" s="63"/>
      <c r="AV17" s="63">
        <v>5</v>
      </c>
      <c r="AW17" s="63"/>
      <c r="AX17" s="63"/>
      <c r="AY17" s="63"/>
      <c r="AZ17" s="63"/>
      <c r="BA17" s="63"/>
    </row>
    <row r="18" spans="2:53" ht="15" customHeight="1">
      <c r="B18" s="103" t="s">
        <v>737</v>
      </c>
      <c r="C18" s="163">
        <v>1</v>
      </c>
      <c r="D18" s="106">
        <v>2</v>
      </c>
      <c r="E18" s="106">
        <v>4</v>
      </c>
      <c r="F18" s="106">
        <v>6</v>
      </c>
      <c r="G18" s="106"/>
      <c r="H18" s="163"/>
      <c r="I18" s="106"/>
      <c r="J18" s="151" t="s">
        <v>705</v>
      </c>
      <c r="K18" s="106" t="s">
        <v>204</v>
      </c>
      <c r="L18" s="106" t="s">
        <v>701</v>
      </c>
      <c r="M18" s="164" t="s">
        <v>200</v>
      </c>
      <c r="N18" s="164" t="s">
        <v>701</v>
      </c>
      <c r="O18" s="164" t="s">
        <v>203</v>
      </c>
      <c r="P18" s="106" t="s">
        <v>204</v>
      </c>
      <c r="Q18" s="106" t="s">
        <v>200</v>
      </c>
      <c r="S18" s="151" t="s">
        <v>705</v>
      </c>
      <c r="T18" s="183"/>
      <c r="U18" s="185"/>
      <c r="V18" s="182"/>
      <c r="W18" s="186"/>
      <c r="X18" s="180"/>
      <c r="Y18" s="183"/>
      <c r="Z18" s="204">
        <v>3</v>
      </c>
      <c r="AD18" s="63">
        <v>3</v>
      </c>
      <c r="AE18" s="63"/>
      <c r="AF18" s="63">
        <v>4</v>
      </c>
      <c r="AG18" s="63"/>
      <c r="AH18" s="63">
        <v>5</v>
      </c>
      <c r="AI18" s="63"/>
      <c r="AJ18" s="63">
        <v>2</v>
      </c>
      <c r="AK18" s="63"/>
      <c r="AL18" s="63">
        <v>4</v>
      </c>
      <c r="AM18" s="63"/>
      <c r="AN18" s="63">
        <v>5</v>
      </c>
      <c r="AO18" s="63"/>
      <c r="AP18" s="63">
        <v>2</v>
      </c>
      <c r="AQ18" s="63"/>
      <c r="AR18" s="63">
        <v>3</v>
      </c>
      <c r="AS18" s="63"/>
      <c r="AT18" s="63">
        <v>5</v>
      </c>
      <c r="AU18" s="63"/>
      <c r="AV18" s="63">
        <v>2</v>
      </c>
      <c r="AW18" s="63"/>
      <c r="AX18" s="63">
        <v>3</v>
      </c>
      <c r="AY18" s="63"/>
      <c r="AZ18" s="63">
        <v>4</v>
      </c>
      <c r="BA18" s="63"/>
    </row>
    <row r="19" spans="2:53" ht="15" customHeight="1">
      <c r="B19" s="103"/>
      <c r="C19" s="106">
        <v>3</v>
      </c>
      <c r="D19" s="106">
        <v>5</v>
      </c>
      <c r="E19" s="106">
        <v>7</v>
      </c>
      <c r="F19" s="106">
        <v>8</v>
      </c>
      <c r="G19" s="106"/>
      <c r="H19" s="106"/>
      <c r="I19" s="106"/>
      <c r="J19" s="151" t="s">
        <v>706</v>
      </c>
      <c r="K19" s="106" t="s">
        <v>204</v>
      </c>
      <c r="L19" s="106" t="s">
        <v>200</v>
      </c>
      <c r="M19" s="164" t="s">
        <v>701</v>
      </c>
      <c r="N19" s="164" t="s">
        <v>203</v>
      </c>
      <c r="O19" s="164" t="s">
        <v>701</v>
      </c>
      <c r="P19" s="106" t="s">
        <v>200</v>
      </c>
      <c r="Q19" s="106" t="s">
        <v>204</v>
      </c>
      <c r="S19" s="151" t="s">
        <v>706</v>
      </c>
      <c r="T19" s="183"/>
      <c r="U19" s="181"/>
      <c r="V19" s="186"/>
      <c r="W19" s="180"/>
      <c r="X19" s="186"/>
      <c r="Y19" s="181"/>
      <c r="Z19" s="205">
        <v>1</v>
      </c>
      <c r="AD19" s="63">
        <v>4</v>
      </c>
      <c r="AE19" s="63">
        <v>5</v>
      </c>
      <c r="AF19" s="63">
        <v>3</v>
      </c>
      <c r="AG19" s="63">
        <v>5</v>
      </c>
      <c r="AH19" s="63">
        <v>3</v>
      </c>
      <c r="AI19" s="63">
        <v>4</v>
      </c>
      <c r="AJ19" s="63">
        <v>4</v>
      </c>
      <c r="AK19" s="63">
        <v>5</v>
      </c>
      <c r="AL19" s="63">
        <v>2</v>
      </c>
      <c r="AM19" s="63">
        <v>5</v>
      </c>
      <c r="AN19" s="63">
        <v>2</v>
      </c>
      <c r="AO19" s="63">
        <v>4</v>
      </c>
      <c r="AP19" s="63">
        <v>3</v>
      </c>
      <c r="AQ19" s="63">
        <v>5</v>
      </c>
      <c r="AR19" s="63">
        <v>2</v>
      </c>
      <c r="AS19" s="63">
        <v>5</v>
      </c>
      <c r="AT19" s="63">
        <v>2</v>
      </c>
      <c r="AU19" s="63">
        <v>3</v>
      </c>
      <c r="AV19" s="63">
        <v>3</v>
      </c>
      <c r="AW19" s="63">
        <v>4</v>
      </c>
      <c r="AX19" s="63">
        <v>2</v>
      </c>
      <c r="AY19" s="63">
        <v>4</v>
      </c>
      <c r="AZ19" s="63">
        <v>2</v>
      </c>
      <c r="BA19" s="63">
        <v>3</v>
      </c>
    </row>
    <row r="20" spans="2:53" ht="15" customHeight="1" thickBot="1">
      <c r="B20" s="103"/>
      <c r="J20" s="151" t="s">
        <v>707</v>
      </c>
      <c r="K20" s="106" t="s">
        <v>200</v>
      </c>
      <c r="L20" s="106" t="s">
        <v>204</v>
      </c>
      <c r="M20" s="164" t="s">
        <v>203</v>
      </c>
      <c r="N20" s="164" t="s">
        <v>701</v>
      </c>
      <c r="O20" s="164" t="s">
        <v>200</v>
      </c>
      <c r="P20" s="106" t="s">
        <v>701</v>
      </c>
      <c r="Q20" s="106" t="s">
        <v>204</v>
      </c>
      <c r="S20" s="151" t="s">
        <v>707</v>
      </c>
      <c r="T20" s="181"/>
      <c r="U20" s="183"/>
      <c r="V20" s="180"/>
      <c r="W20" s="186"/>
      <c r="X20" s="182"/>
      <c r="Y20" s="185"/>
      <c r="Z20" s="205">
        <v>1</v>
      </c>
      <c r="AD20" s="63">
        <v>5</v>
      </c>
      <c r="AE20" s="63">
        <v>4</v>
      </c>
      <c r="AF20" s="63">
        <v>5</v>
      </c>
      <c r="AG20" s="63">
        <v>3</v>
      </c>
      <c r="AH20" s="63">
        <v>4</v>
      </c>
      <c r="AI20" s="63">
        <v>3</v>
      </c>
      <c r="AJ20" s="63">
        <v>5</v>
      </c>
      <c r="AK20" s="63">
        <v>4</v>
      </c>
      <c r="AL20" s="63">
        <v>5</v>
      </c>
      <c r="AM20" s="63">
        <v>2</v>
      </c>
      <c r="AN20" s="63">
        <v>4</v>
      </c>
      <c r="AO20" s="63">
        <v>2</v>
      </c>
      <c r="AP20" s="63">
        <v>5</v>
      </c>
      <c r="AQ20" s="63">
        <v>3</v>
      </c>
      <c r="AR20" s="63">
        <v>5</v>
      </c>
      <c r="AS20" s="63">
        <v>2</v>
      </c>
      <c r="AT20" s="63">
        <v>3</v>
      </c>
      <c r="AU20" s="63">
        <v>2</v>
      </c>
      <c r="AV20" s="63">
        <v>4</v>
      </c>
      <c r="AW20" s="63">
        <v>3</v>
      </c>
      <c r="AX20" s="63">
        <v>4</v>
      </c>
      <c r="AY20" s="63">
        <v>2</v>
      </c>
      <c r="AZ20" s="63">
        <v>3</v>
      </c>
      <c r="BA20" s="63">
        <v>2</v>
      </c>
    </row>
    <row r="21" spans="2:53" ht="15" customHeight="1">
      <c r="B21" s="103" t="s">
        <v>736</v>
      </c>
      <c r="C21" s="163">
        <v>1</v>
      </c>
      <c r="D21" s="106">
        <v>6</v>
      </c>
      <c r="E21" s="106">
        <v>8</v>
      </c>
      <c r="F21" s="106">
        <v>7</v>
      </c>
      <c r="G21" s="164"/>
      <c r="H21" s="163"/>
      <c r="I21" s="164"/>
      <c r="J21" s="151" t="s">
        <v>708</v>
      </c>
      <c r="K21" s="106" t="s">
        <v>200</v>
      </c>
      <c r="L21" s="106" t="s">
        <v>203</v>
      </c>
      <c r="M21" s="106" t="s">
        <v>204</v>
      </c>
      <c r="N21" s="106" t="s">
        <v>200</v>
      </c>
      <c r="O21" s="106" t="s">
        <v>701</v>
      </c>
      <c r="P21" s="106" t="s">
        <v>204</v>
      </c>
      <c r="Q21" s="106" t="s">
        <v>701</v>
      </c>
      <c r="S21" s="151" t="s">
        <v>708</v>
      </c>
      <c r="T21" s="181"/>
      <c r="U21" s="179"/>
      <c r="V21" s="183"/>
      <c r="W21" s="181"/>
      <c r="X21" s="185"/>
      <c r="Y21" s="183"/>
      <c r="Z21" s="206">
        <v>4</v>
      </c>
      <c r="AD21" s="170">
        <v>24</v>
      </c>
      <c r="AE21" s="63"/>
      <c r="AF21" s="63"/>
      <c r="AG21" s="63"/>
      <c r="AH21" s="63"/>
      <c r="AI21" s="63"/>
      <c r="AJ21" s="63"/>
      <c r="AK21" s="63"/>
      <c r="AL21" s="63"/>
      <c r="AM21" s="63"/>
      <c r="AN21" s="63"/>
      <c r="AO21" s="63"/>
      <c r="AP21" s="63"/>
      <c r="AQ21" s="63"/>
      <c r="AR21" s="63"/>
      <c r="AS21" s="63"/>
      <c r="AT21" s="63"/>
      <c r="AU21" s="63"/>
      <c r="AV21" s="63"/>
      <c r="AW21" s="63"/>
      <c r="AX21" s="63"/>
      <c r="AY21" s="63"/>
      <c r="AZ21" s="63"/>
      <c r="BA21" s="63"/>
    </row>
    <row r="22" spans="2:53" ht="15" customHeight="1">
      <c r="B22" s="103"/>
      <c r="C22" s="106">
        <v>4</v>
      </c>
      <c r="D22" s="106">
        <v>2</v>
      </c>
      <c r="E22" s="106">
        <v>3</v>
      </c>
      <c r="F22" s="106">
        <v>5</v>
      </c>
      <c r="G22" s="164"/>
      <c r="H22" s="164"/>
      <c r="I22" s="164"/>
      <c r="J22" s="151" t="s">
        <v>709</v>
      </c>
      <c r="K22" s="106" t="s">
        <v>203</v>
      </c>
      <c r="L22" s="106" t="s">
        <v>200</v>
      </c>
      <c r="M22" s="106" t="s">
        <v>200</v>
      </c>
      <c r="N22" s="106" t="s">
        <v>204</v>
      </c>
      <c r="O22" s="106" t="s">
        <v>204</v>
      </c>
      <c r="P22" s="106" t="s">
        <v>701</v>
      </c>
      <c r="Q22" s="106" t="s">
        <v>701</v>
      </c>
      <c r="S22" s="151" t="s">
        <v>709</v>
      </c>
      <c r="T22" s="179"/>
      <c r="U22" s="181"/>
      <c r="V22" s="181"/>
      <c r="W22" s="183"/>
      <c r="X22" s="183"/>
      <c r="Y22" s="185"/>
      <c r="Z22" s="206">
        <v>4</v>
      </c>
      <c r="AC22" s="68"/>
      <c r="AD22" s="210"/>
      <c r="AE22" s="210"/>
      <c r="AF22" s="210"/>
      <c r="AG22" s="210"/>
      <c r="AH22" s="210"/>
      <c r="AI22" s="210"/>
      <c r="AJ22" s="63"/>
      <c r="AK22" s="63"/>
      <c r="AL22" s="63"/>
      <c r="AM22" s="63"/>
      <c r="AN22" s="63"/>
      <c r="AO22" s="63"/>
      <c r="AP22" s="63"/>
      <c r="AQ22" s="63"/>
      <c r="AR22" s="63"/>
      <c r="AS22" s="63"/>
      <c r="AT22" s="63"/>
      <c r="AU22" s="63"/>
      <c r="AV22" s="63"/>
      <c r="AW22" s="63"/>
      <c r="AX22" s="63"/>
      <c r="AY22" s="63"/>
      <c r="AZ22" s="63"/>
      <c r="BA22" s="63"/>
    </row>
    <row r="23" spans="2:53" ht="15" customHeight="1">
      <c r="B23" s="103"/>
      <c r="J23" s="151"/>
      <c r="K23" s="106"/>
      <c r="L23" s="106"/>
      <c r="M23" s="106"/>
      <c r="N23" s="106"/>
      <c r="O23" s="106"/>
      <c r="P23" s="106"/>
      <c r="Q23" s="106"/>
      <c r="AC23" s="106" t="s">
        <v>723</v>
      </c>
      <c r="AD23" s="171"/>
      <c r="AE23" s="210"/>
      <c r="AF23" s="210"/>
      <c r="AG23" s="210"/>
      <c r="AH23" s="210"/>
      <c r="AI23" s="210"/>
      <c r="AJ23" s="63"/>
      <c r="AK23" s="63"/>
      <c r="AL23" s="63"/>
      <c r="AM23" s="63"/>
      <c r="AN23" s="63"/>
      <c r="AO23" s="106" t="s">
        <v>724</v>
      </c>
      <c r="AP23" s="63"/>
      <c r="AQ23" s="63"/>
      <c r="AS23" s="63"/>
      <c r="AT23" s="63"/>
      <c r="AU23" s="63"/>
      <c r="AV23" s="63"/>
      <c r="AW23" s="63"/>
      <c r="AX23" s="63"/>
      <c r="AY23" s="63"/>
      <c r="AZ23" s="63"/>
      <c r="BA23" s="63"/>
    </row>
    <row r="24" spans="2:53" ht="15" customHeight="1">
      <c r="B24" s="103" t="s">
        <v>735</v>
      </c>
      <c r="C24" s="163">
        <v>1</v>
      </c>
      <c r="D24" s="106">
        <v>3</v>
      </c>
      <c r="E24" s="106">
        <v>2</v>
      </c>
      <c r="F24" s="106">
        <v>4</v>
      </c>
      <c r="G24" s="164"/>
      <c r="H24" s="164"/>
      <c r="I24" s="150" t="s">
        <v>742</v>
      </c>
      <c r="S24" s="50" t="s">
        <v>744</v>
      </c>
      <c r="AC24" s="50">
        <v>2</v>
      </c>
      <c r="AD24" s="63" t="s">
        <v>725</v>
      </c>
      <c r="AE24" s="172"/>
      <c r="AF24" s="172"/>
      <c r="AG24" s="173">
        <v>1</v>
      </c>
      <c r="AI24" s="172"/>
      <c r="AJ24" s="172" t="s">
        <v>202</v>
      </c>
      <c r="AK24" s="172">
        <v>1</v>
      </c>
      <c r="AL24" s="172" t="str">
        <f>"="</f>
        <v>=</v>
      </c>
      <c r="AM24" s="4"/>
      <c r="AN24" s="4"/>
      <c r="AO24" s="211">
        <f>AG24*AK24</f>
        <v>1</v>
      </c>
      <c r="AP24" s="5"/>
      <c r="AQ24" s="5"/>
      <c r="AS24" s="63"/>
      <c r="AT24" s="63"/>
      <c r="AU24" s="63"/>
      <c r="AV24" s="63"/>
      <c r="AW24" s="63"/>
      <c r="AX24" s="63"/>
      <c r="AY24" s="63"/>
      <c r="AZ24" s="63"/>
      <c r="BA24" s="63"/>
    </row>
    <row r="25" spans="2:53" ht="15" customHeight="1">
      <c r="B25" s="103"/>
      <c r="C25" s="106">
        <v>5</v>
      </c>
      <c r="D25" s="106">
        <v>7</v>
      </c>
      <c r="E25" s="106">
        <v>8</v>
      </c>
      <c r="F25" s="106">
        <v>6</v>
      </c>
      <c r="G25" s="164"/>
      <c r="H25" s="164"/>
      <c r="I25" s="165"/>
      <c r="J25" s="150" t="s">
        <v>710</v>
      </c>
      <c r="S25" s="50" t="s">
        <v>745</v>
      </c>
      <c r="AC25" s="50">
        <f>AC24+1</f>
        <v>3</v>
      </c>
      <c r="AD25" s="63" t="s">
        <v>725</v>
      </c>
      <c r="AE25" s="172"/>
      <c r="AF25" s="172"/>
      <c r="AG25" s="173">
        <f>AO24</f>
        <v>1</v>
      </c>
      <c r="AI25" s="172"/>
      <c r="AJ25" s="172" t="s">
        <v>202</v>
      </c>
      <c r="AK25" s="172">
        <v>2</v>
      </c>
      <c r="AL25" s="172" t="str">
        <f t="shared" ref="AL25:AL38" si="0">"="</f>
        <v>=</v>
      </c>
      <c r="AM25" s="4"/>
      <c r="AN25" s="4"/>
      <c r="AO25" s="211">
        <f>AG25*AK25</f>
        <v>2</v>
      </c>
      <c r="AP25" s="5"/>
      <c r="AQ25" s="5"/>
      <c r="AS25" s="63"/>
      <c r="AT25" s="63"/>
      <c r="AU25" s="63"/>
      <c r="AV25" s="63"/>
      <c r="AW25" s="63"/>
      <c r="AX25" s="63"/>
      <c r="AY25" s="63"/>
      <c r="AZ25" s="63"/>
      <c r="BA25" s="63"/>
    </row>
    <row r="26" spans="2:53" ht="15" customHeight="1">
      <c r="B26" s="103"/>
      <c r="AC26" s="50">
        <f t="shared" ref="AC26:AC38" si="1">AC25+1</f>
        <v>4</v>
      </c>
      <c r="AD26" s="63" t="s">
        <v>725</v>
      </c>
      <c r="AE26" s="172"/>
      <c r="AF26" s="172"/>
      <c r="AG26" s="173">
        <f>AO25</f>
        <v>2</v>
      </c>
      <c r="AI26" s="172"/>
      <c r="AJ26" s="172" t="s">
        <v>202</v>
      </c>
      <c r="AK26" s="172">
        <v>3</v>
      </c>
      <c r="AL26" s="172" t="str">
        <f t="shared" si="0"/>
        <v>=</v>
      </c>
      <c r="AM26" s="4"/>
      <c r="AN26" s="4"/>
      <c r="AO26" s="211">
        <f>AG26*AK26</f>
        <v>6</v>
      </c>
      <c r="AP26" s="5"/>
      <c r="AQ26" s="5"/>
      <c r="AS26" s="63"/>
      <c r="AT26" s="63"/>
      <c r="AU26" s="63"/>
      <c r="AV26" s="63"/>
      <c r="AW26" s="63"/>
      <c r="AX26" s="63"/>
      <c r="AY26" s="63"/>
      <c r="AZ26" s="63"/>
      <c r="BA26" s="63"/>
    </row>
    <row r="27" spans="2:53" ht="15" customHeight="1">
      <c r="B27" s="103" t="s">
        <v>734</v>
      </c>
      <c r="C27" s="163">
        <v>1</v>
      </c>
      <c r="D27" s="106">
        <v>8</v>
      </c>
      <c r="E27" s="106">
        <v>7</v>
      </c>
      <c r="F27" s="106">
        <v>5</v>
      </c>
      <c r="G27" s="163"/>
      <c r="H27" s="164"/>
      <c r="I27" s="50" t="s">
        <v>775</v>
      </c>
      <c r="S27" s="50" t="s">
        <v>746</v>
      </c>
      <c r="AC27" s="50">
        <f t="shared" si="1"/>
        <v>5</v>
      </c>
      <c r="AD27" s="63" t="s">
        <v>725</v>
      </c>
      <c r="AE27" s="172"/>
      <c r="AF27" s="172"/>
      <c r="AG27" s="173">
        <f>AO26</f>
        <v>6</v>
      </c>
      <c r="AI27" s="172"/>
      <c r="AJ27" s="172" t="s">
        <v>202</v>
      </c>
      <c r="AK27" s="172">
        <v>4</v>
      </c>
      <c r="AL27" s="172" t="str">
        <f t="shared" si="0"/>
        <v>=</v>
      </c>
      <c r="AM27" s="484">
        <f>AG27*AK27</f>
        <v>24</v>
      </c>
      <c r="AN27" s="484"/>
      <c r="AO27" s="484"/>
      <c r="AP27" s="484"/>
      <c r="AQ27" s="484"/>
      <c r="AR27" s="212"/>
      <c r="AS27" s="212"/>
      <c r="AT27" s="212"/>
      <c r="AU27" s="212"/>
      <c r="AV27" s="63"/>
      <c r="AW27" s="63"/>
      <c r="AX27" s="63"/>
      <c r="AY27" s="63"/>
      <c r="AZ27" s="63"/>
      <c r="BA27" s="63"/>
    </row>
    <row r="28" spans="2:53" ht="15" customHeight="1">
      <c r="B28" s="103"/>
      <c r="C28" s="106">
        <v>6</v>
      </c>
      <c r="D28" s="106">
        <v>4</v>
      </c>
      <c r="E28" s="106">
        <v>2</v>
      </c>
      <c r="F28" s="106">
        <v>3</v>
      </c>
      <c r="G28" s="164"/>
      <c r="H28" s="164"/>
      <c r="I28" s="50" t="s">
        <v>776</v>
      </c>
      <c r="R28" s="166"/>
      <c r="S28" s="50" t="s">
        <v>783</v>
      </c>
      <c r="AC28" s="50">
        <f t="shared" si="1"/>
        <v>6</v>
      </c>
      <c r="AD28" s="63" t="s">
        <v>725</v>
      </c>
      <c r="AE28" s="483">
        <f t="shared" ref="AE28:AE38" si="2">AM27</f>
        <v>24</v>
      </c>
      <c r="AF28" s="483"/>
      <c r="AG28" s="483"/>
      <c r="AH28" s="483"/>
      <c r="AI28" s="483"/>
      <c r="AJ28" s="172" t="s">
        <v>202</v>
      </c>
      <c r="AK28" s="172">
        <v>5</v>
      </c>
      <c r="AL28" s="172" t="str">
        <f t="shared" si="0"/>
        <v>=</v>
      </c>
      <c r="AM28" s="484">
        <f t="shared" ref="AM28:AM38" si="3">AE28*AK28</f>
        <v>120</v>
      </c>
      <c r="AN28" s="484"/>
      <c r="AO28" s="484"/>
      <c r="AP28" s="484"/>
      <c r="AQ28" s="484"/>
      <c r="AR28" s="212"/>
      <c r="AS28" s="212"/>
      <c r="AT28" s="212"/>
      <c r="AU28" s="212"/>
      <c r="AV28" s="63"/>
      <c r="AW28" s="63"/>
      <c r="AX28" s="63"/>
      <c r="AY28" s="63"/>
      <c r="AZ28" s="63"/>
      <c r="BA28" s="63"/>
    </row>
    <row r="29" spans="2:53" ht="15" customHeight="1">
      <c r="B29" s="103"/>
      <c r="AC29" s="50">
        <f t="shared" si="1"/>
        <v>7</v>
      </c>
      <c r="AD29" s="63" t="s">
        <v>725</v>
      </c>
      <c r="AE29" s="483">
        <f t="shared" si="2"/>
        <v>120</v>
      </c>
      <c r="AF29" s="483"/>
      <c r="AG29" s="483"/>
      <c r="AH29" s="483"/>
      <c r="AI29" s="483"/>
      <c r="AJ29" s="172" t="s">
        <v>202</v>
      </c>
      <c r="AK29" s="172">
        <v>6</v>
      </c>
      <c r="AL29" s="172" t="str">
        <f t="shared" si="0"/>
        <v>=</v>
      </c>
      <c r="AM29" s="484">
        <f t="shared" si="3"/>
        <v>720</v>
      </c>
      <c r="AN29" s="484"/>
      <c r="AO29" s="484"/>
      <c r="AP29" s="484"/>
      <c r="AQ29" s="484"/>
      <c r="AR29" s="212"/>
      <c r="AS29" s="212"/>
      <c r="AT29" s="212"/>
      <c r="AU29" s="212"/>
      <c r="AV29" s="63"/>
      <c r="AW29" s="63"/>
      <c r="AX29" s="63"/>
      <c r="AY29" s="63"/>
      <c r="AZ29" s="63"/>
      <c r="BA29" s="63"/>
    </row>
    <row r="30" spans="2:53" ht="15" customHeight="1">
      <c r="B30" s="103" t="s">
        <v>733</v>
      </c>
      <c r="C30" s="163">
        <v>1</v>
      </c>
      <c r="D30" s="106">
        <v>5</v>
      </c>
      <c r="E30" s="106">
        <v>3</v>
      </c>
      <c r="F30" s="106">
        <v>2</v>
      </c>
      <c r="AC30" s="50">
        <f t="shared" si="1"/>
        <v>8</v>
      </c>
      <c r="AD30" s="63" t="s">
        <v>725</v>
      </c>
      <c r="AE30" s="483">
        <f t="shared" si="2"/>
        <v>720</v>
      </c>
      <c r="AF30" s="483"/>
      <c r="AG30" s="483"/>
      <c r="AH30" s="483"/>
      <c r="AI30" s="483"/>
      <c r="AJ30" s="172" t="s">
        <v>202</v>
      </c>
      <c r="AK30" s="172">
        <v>7</v>
      </c>
      <c r="AL30" s="172" t="str">
        <f t="shared" si="0"/>
        <v>=</v>
      </c>
      <c r="AM30" s="484">
        <f t="shared" si="3"/>
        <v>5040</v>
      </c>
      <c r="AN30" s="484"/>
      <c r="AO30" s="484"/>
      <c r="AP30" s="484"/>
      <c r="AQ30" s="484"/>
      <c r="AR30" s="212"/>
      <c r="AS30" s="212"/>
      <c r="AT30" s="212"/>
      <c r="AU30" s="212"/>
      <c r="AV30" s="63"/>
      <c r="AW30" s="63"/>
      <c r="AX30" s="63"/>
      <c r="AY30" s="63"/>
      <c r="AZ30" s="63"/>
      <c r="BA30" s="63"/>
    </row>
    <row r="31" spans="2:53" ht="15" customHeight="1">
      <c r="B31" s="103"/>
      <c r="C31" s="106">
        <v>7</v>
      </c>
      <c r="D31" s="106">
        <v>8</v>
      </c>
      <c r="E31" s="106">
        <v>6</v>
      </c>
      <c r="F31" s="106">
        <v>4</v>
      </c>
      <c r="G31" s="164"/>
      <c r="AC31" s="50">
        <f t="shared" si="1"/>
        <v>9</v>
      </c>
      <c r="AD31" s="63" t="s">
        <v>725</v>
      </c>
      <c r="AE31" s="483">
        <f t="shared" si="2"/>
        <v>5040</v>
      </c>
      <c r="AF31" s="483"/>
      <c r="AG31" s="483"/>
      <c r="AH31" s="483"/>
      <c r="AI31" s="483"/>
      <c r="AJ31" s="172" t="s">
        <v>202</v>
      </c>
      <c r="AK31" s="172">
        <v>8</v>
      </c>
      <c r="AL31" s="172" t="str">
        <f t="shared" si="0"/>
        <v>=</v>
      </c>
      <c r="AM31" s="484">
        <f t="shared" si="3"/>
        <v>40320</v>
      </c>
      <c r="AN31" s="484"/>
      <c r="AO31" s="484"/>
      <c r="AP31" s="484"/>
      <c r="AQ31" s="484"/>
      <c r="AR31" s="212"/>
      <c r="AS31" s="212"/>
      <c r="AT31" s="212"/>
      <c r="AU31" s="212"/>
      <c r="AV31" s="63"/>
      <c r="AW31" s="63"/>
      <c r="AX31" s="63"/>
      <c r="AY31" s="63"/>
      <c r="AZ31" s="63"/>
      <c r="BA31" s="63"/>
    </row>
    <row r="32" spans="2:53" ht="15" customHeight="1">
      <c r="B32" s="103"/>
      <c r="C32" s="106"/>
      <c r="D32" s="106"/>
      <c r="E32" s="164"/>
      <c r="F32" s="164"/>
      <c r="G32" s="164"/>
      <c r="AC32" s="50">
        <f t="shared" si="1"/>
        <v>10</v>
      </c>
      <c r="AD32" s="63" t="s">
        <v>725</v>
      </c>
      <c r="AE32" s="483">
        <f t="shared" si="2"/>
        <v>40320</v>
      </c>
      <c r="AF32" s="483"/>
      <c r="AG32" s="483"/>
      <c r="AH32" s="483"/>
      <c r="AI32" s="483"/>
      <c r="AJ32" s="172" t="s">
        <v>202</v>
      </c>
      <c r="AK32" s="172">
        <v>9</v>
      </c>
      <c r="AL32" s="172" t="str">
        <f t="shared" si="0"/>
        <v>=</v>
      </c>
      <c r="AM32" s="484">
        <f t="shared" si="3"/>
        <v>362880</v>
      </c>
      <c r="AN32" s="484"/>
      <c r="AO32" s="484"/>
      <c r="AP32" s="484"/>
      <c r="AQ32" s="484"/>
      <c r="AR32" s="212"/>
      <c r="AS32" s="212"/>
      <c r="AT32" s="212"/>
      <c r="AU32" s="212"/>
      <c r="AV32" s="63"/>
      <c r="AW32" s="63"/>
      <c r="AX32" s="63"/>
      <c r="AY32" s="63"/>
      <c r="AZ32" s="63"/>
      <c r="BA32" s="63"/>
    </row>
    <row r="33" spans="1:53" ht="15" customHeight="1">
      <c r="B33" s="103" t="s">
        <v>732</v>
      </c>
      <c r="C33" s="163">
        <v>1</v>
      </c>
      <c r="D33" s="106">
        <v>7</v>
      </c>
      <c r="E33" s="106">
        <v>5</v>
      </c>
      <c r="F33" s="106">
        <v>3</v>
      </c>
      <c r="G33" s="164"/>
      <c r="AC33" s="50">
        <f t="shared" si="1"/>
        <v>11</v>
      </c>
      <c r="AD33" s="63" t="s">
        <v>725</v>
      </c>
      <c r="AE33" s="483">
        <f t="shared" si="2"/>
        <v>362880</v>
      </c>
      <c r="AF33" s="483"/>
      <c r="AG33" s="483"/>
      <c r="AH33" s="483"/>
      <c r="AI33" s="483"/>
      <c r="AJ33" s="172" t="s">
        <v>202</v>
      </c>
      <c r="AK33" s="172">
        <v>10</v>
      </c>
      <c r="AL33" s="172" t="str">
        <f t="shared" si="0"/>
        <v>=</v>
      </c>
      <c r="AM33" s="484">
        <f t="shared" si="3"/>
        <v>3628800</v>
      </c>
      <c r="AN33" s="484"/>
      <c r="AO33" s="484"/>
      <c r="AP33" s="484"/>
      <c r="AQ33" s="484"/>
      <c r="AR33" s="212"/>
      <c r="AS33" s="212"/>
      <c r="AT33" s="212"/>
      <c r="AU33" s="212"/>
      <c r="AV33" s="63"/>
      <c r="AW33" s="63"/>
      <c r="AX33" s="63"/>
      <c r="AY33" s="63"/>
      <c r="AZ33" s="63"/>
      <c r="BA33" s="63"/>
    </row>
    <row r="34" spans="1:53" ht="15" customHeight="1">
      <c r="C34" s="106">
        <v>8</v>
      </c>
      <c r="D34" s="106">
        <v>6</v>
      </c>
      <c r="E34" s="106">
        <v>4</v>
      </c>
      <c r="F34" s="106">
        <v>2</v>
      </c>
      <c r="G34" s="164"/>
      <c r="AC34" s="50">
        <f t="shared" si="1"/>
        <v>12</v>
      </c>
      <c r="AD34" s="63" t="s">
        <v>725</v>
      </c>
      <c r="AE34" s="483">
        <f t="shared" si="2"/>
        <v>3628800</v>
      </c>
      <c r="AF34" s="483"/>
      <c r="AG34" s="483"/>
      <c r="AH34" s="483"/>
      <c r="AI34" s="483"/>
      <c r="AJ34" s="172" t="s">
        <v>202</v>
      </c>
      <c r="AK34" s="172">
        <v>11</v>
      </c>
      <c r="AL34" s="172" t="str">
        <f t="shared" si="0"/>
        <v>=</v>
      </c>
      <c r="AM34" s="484">
        <f t="shared" si="3"/>
        <v>39916800</v>
      </c>
      <c r="AN34" s="484"/>
      <c r="AO34" s="484"/>
      <c r="AP34" s="484"/>
      <c r="AQ34" s="484"/>
      <c r="AR34" s="212"/>
      <c r="AS34" s="212"/>
      <c r="AT34" s="212"/>
      <c r="AU34" s="212"/>
      <c r="AV34" s="63"/>
      <c r="AW34" s="63"/>
      <c r="AX34" s="63"/>
      <c r="AY34" s="63"/>
      <c r="AZ34" s="63"/>
      <c r="BA34" s="63"/>
    </row>
    <row r="35" spans="1:53" ht="15" customHeight="1">
      <c r="AC35" s="50">
        <f t="shared" si="1"/>
        <v>13</v>
      </c>
      <c r="AD35" s="63" t="s">
        <v>725</v>
      </c>
      <c r="AE35" s="483">
        <f t="shared" si="2"/>
        <v>39916800</v>
      </c>
      <c r="AF35" s="483"/>
      <c r="AG35" s="483"/>
      <c r="AH35" s="483"/>
      <c r="AI35" s="483"/>
      <c r="AJ35" s="172" t="s">
        <v>202</v>
      </c>
      <c r="AK35" s="172">
        <v>12</v>
      </c>
      <c r="AL35" s="172" t="str">
        <f t="shared" si="0"/>
        <v>=</v>
      </c>
      <c r="AM35" s="484">
        <f t="shared" si="3"/>
        <v>479001600</v>
      </c>
      <c r="AN35" s="484"/>
      <c r="AO35" s="484"/>
      <c r="AP35" s="484"/>
      <c r="AQ35" s="484"/>
      <c r="AR35" s="212"/>
      <c r="AS35" s="212"/>
      <c r="AT35" s="212"/>
      <c r="AU35" s="212"/>
      <c r="AV35" s="63"/>
      <c r="AW35" s="63"/>
      <c r="AX35" s="63"/>
      <c r="AY35" s="63"/>
      <c r="AZ35" s="63"/>
      <c r="BA35" s="63"/>
    </row>
    <row r="36" spans="1:53" ht="15" customHeight="1">
      <c r="B36" s="50" t="s">
        <v>777</v>
      </c>
      <c r="AC36" s="50">
        <f t="shared" si="1"/>
        <v>14</v>
      </c>
      <c r="AD36" s="63" t="s">
        <v>725</v>
      </c>
      <c r="AE36" s="483">
        <f t="shared" si="2"/>
        <v>479001600</v>
      </c>
      <c r="AF36" s="483"/>
      <c r="AG36" s="483"/>
      <c r="AH36" s="483"/>
      <c r="AI36" s="483"/>
      <c r="AJ36" s="172" t="s">
        <v>202</v>
      </c>
      <c r="AK36" s="172">
        <v>13</v>
      </c>
      <c r="AL36" s="172" t="str">
        <f t="shared" si="0"/>
        <v>=</v>
      </c>
      <c r="AM36" s="484">
        <f t="shared" si="3"/>
        <v>6227020800</v>
      </c>
      <c r="AN36" s="484"/>
      <c r="AO36" s="484"/>
      <c r="AP36" s="484"/>
      <c r="AQ36" s="484"/>
      <c r="AR36" s="212"/>
      <c r="AS36" s="212"/>
      <c r="AT36" s="212"/>
      <c r="AU36" s="212"/>
      <c r="AV36" s="63"/>
      <c r="AW36" s="63"/>
      <c r="AX36" s="63"/>
      <c r="AY36" s="63"/>
      <c r="AZ36" s="63"/>
      <c r="BA36" s="63"/>
    </row>
    <row r="37" spans="1:53" ht="15" customHeight="1">
      <c r="B37" s="50" t="s">
        <v>778</v>
      </c>
      <c r="AC37" s="50">
        <f t="shared" si="1"/>
        <v>15</v>
      </c>
      <c r="AD37" s="63" t="s">
        <v>725</v>
      </c>
      <c r="AE37" s="483">
        <f t="shared" si="2"/>
        <v>6227020800</v>
      </c>
      <c r="AF37" s="483"/>
      <c r="AG37" s="483"/>
      <c r="AH37" s="483"/>
      <c r="AI37" s="483"/>
      <c r="AJ37" s="172" t="s">
        <v>202</v>
      </c>
      <c r="AK37" s="172">
        <v>14</v>
      </c>
      <c r="AL37" s="172" t="str">
        <f t="shared" si="0"/>
        <v>=</v>
      </c>
      <c r="AM37" s="484">
        <f t="shared" si="3"/>
        <v>87178291200</v>
      </c>
      <c r="AN37" s="484"/>
      <c r="AO37" s="484"/>
      <c r="AP37" s="484"/>
      <c r="AQ37" s="484"/>
      <c r="AR37" s="212"/>
      <c r="AS37" s="212"/>
      <c r="AT37" s="212"/>
      <c r="AU37" s="212"/>
      <c r="AV37" s="63"/>
      <c r="AW37" s="63"/>
      <c r="AX37" s="63"/>
      <c r="AY37" s="63"/>
      <c r="AZ37" s="63"/>
      <c r="BA37" s="63"/>
    </row>
    <row r="38" spans="1:53" ht="15" customHeight="1">
      <c r="AC38" s="50">
        <f t="shared" si="1"/>
        <v>16</v>
      </c>
      <c r="AD38" s="63" t="s">
        <v>725</v>
      </c>
      <c r="AE38" s="483">
        <f t="shared" si="2"/>
        <v>87178291200</v>
      </c>
      <c r="AF38" s="483"/>
      <c r="AG38" s="483"/>
      <c r="AH38" s="483"/>
      <c r="AI38" s="483"/>
      <c r="AJ38" s="172" t="s">
        <v>202</v>
      </c>
      <c r="AK38" s="172">
        <v>15</v>
      </c>
      <c r="AL38" s="172" t="str">
        <f t="shared" si="0"/>
        <v>=</v>
      </c>
      <c r="AM38" s="484">
        <f t="shared" si="3"/>
        <v>1307674368000</v>
      </c>
      <c r="AN38" s="484"/>
      <c r="AO38" s="484"/>
      <c r="AP38" s="484"/>
      <c r="AQ38" s="484"/>
      <c r="AR38" s="212"/>
      <c r="AS38" s="212"/>
      <c r="AT38" s="212"/>
      <c r="AU38" s="212"/>
      <c r="AV38" s="63"/>
      <c r="AW38" s="63"/>
      <c r="AX38" s="63"/>
      <c r="AY38" s="63"/>
      <c r="AZ38" s="63"/>
      <c r="BA38" s="63"/>
    </row>
    <row r="39" spans="1:53" ht="50">
      <c r="B39" s="107" t="s">
        <v>711</v>
      </c>
      <c r="K39" s="213" t="s">
        <v>702</v>
      </c>
      <c r="L39" s="213" t="s">
        <v>703</v>
      </c>
      <c r="M39" s="213" t="s">
        <v>704</v>
      </c>
      <c r="N39" s="213" t="s">
        <v>705</v>
      </c>
      <c r="O39" s="213" t="s">
        <v>706</v>
      </c>
      <c r="P39" s="213" t="s">
        <v>707</v>
      </c>
      <c r="Q39" s="213" t="s">
        <v>708</v>
      </c>
      <c r="R39" s="213" t="s">
        <v>709</v>
      </c>
      <c r="T39" s="213" t="s">
        <v>702</v>
      </c>
      <c r="U39" s="213" t="s">
        <v>703</v>
      </c>
      <c r="V39" s="213" t="s">
        <v>704</v>
      </c>
      <c r="W39" s="213" t="s">
        <v>705</v>
      </c>
      <c r="X39" s="213" t="s">
        <v>706</v>
      </c>
      <c r="Y39" s="213" t="s">
        <v>707</v>
      </c>
      <c r="Z39" s="213" t="s">
        <v>708</v>
      </c>
      <c r="AA39" s="213" t="s">
        <v>709</v>
      </c>
      <c r="AB39" s="162" t="s">
        <v>726</v>
      </c>
    </row>
    <row r="40" spans="1:53">
      <c r="J40" s="151" t="s">
        <v>702</v>
      </c>
      <c r="K40" s="167" t="s">
        <v>202</v>
      </c>
      <c r="L40" s="106"/>
      <c r="M40" s="106"/>
      <c r="N40" s="106"/>
      <c r="O40" s="106"/>
      <c r="P40" s="106"/>
      <c r="Q40" s="106"/>
      <c r="R40" s="106"/>
      <c r="S40" s="151" t="s">
        <v>702</v>
      </c>
      <c r="T40" s="167" t="s">
        <v>202</v>
      </c>
      <c r="U40" s="106"/>
      <c r="V40" s="106"/>
      <c r="W40" s="106"/>
      <c r="X40" s="106"/>
      <c r="Y40" s="106"/>
      <c r="Z40" s="106"/>
      <c r="AA40" s="106"/>
      <c r="AC40" s="50" t="s">
        <v>727</v>
      </c>
    </row>
    <row r="41" spans="1:53">
      <c r="B41" s="50" t="s">
        <v>712</v>
      </c>
      <c r="J41" s="151" t="s">
        <v>703</v>
      </c>
      <c r="K41" s="106">
        <v>7</v>
      </c>
      <c r="L41" s="167" t="s">
        <v>202</v>
      </c>
      <c r="M41" s="106"/>
      <c r="N41" s="106"/>
      <c r="O41" s="106"/>
      <c r="P41" s="106"/>
      <c r="Q41" s="106"/>
      <c r="R41" s="106"/>
      <c r="S41" s="151" t="s">
        <v>703</v>
      </c>
      <c r="T41" s="202">
        <v>2</v>
      </c>
      <c r="U41" s="167" t="s">
        <v>202</v>
      </c>
      <c r="V41" s="106"/>
      <c r="W41" s="106"/>
      <c r="X41" s="106"/>
      <c r="Y41" s="106"/>
      <c r="Z41" s="106"/>
      <c r="AA41" s="106"/>
      <c r="AD41" s="50" t="s">
        <v>756</v>
      </c>
    </row>
    <row r="42" spans="1:53">
      <c r="B42" s="50" t="s">
        <v>713</v>
      </c>
      <c r="J42" s="151" t="s">
        <v>704</v>
      </c>
      <c r="K42" s="106">
        <v>6</v>
      </c>
      <c r="L42" s="106">
        <v>1</v>
      </c>
      <c r="M42" s="167" t="s">
        <v>202</v>
      </c>
      <c r="N42" s="106"/>
      <c r="O42" s="106"/>
      <c r="P42" s="106"/>
      <c r="Q42" s="106"/>
      <c r="R42" s="106"/>
      <c r="S42" s="151" t="s">
        <v>704</v>
      </c>
      <c r="T42" s="187"/>
      <c r="U42" s="179"/>
      <c r="V42" s="167" t="s">
        <v>202</v>
      </c>
      <c r="W42" s="106"/>
      <c r="X42" s="106"/>
      <c r="Y42" s="106"/>
      <c r="Z42" s="106"/>
      <c r="AA42" s="106"/>
      <c r="AC42" s="50" t="s">
        <v>740</v>
      </c>
    </row>
    <row r="43" spans="1:53">
      <c r="J43" s="151" t="s">
        <v>705</v>
      </c>
      <c r="K43" s="106">
        <v>5</v>
      </c>
      <c r="L43" s="106">
        <v>2</v>
      </c>
      <c r="M43" s="106">
        <v>7</v>
      </c>
      <c r="N43" s="167" t="s">
        <v>202</v>
      </c>
      <c r="O43" s="106"/>
      <c r="P43" s="106"/>
      <c r="Q43" s="106"/>
      <c r="R43" s="106"/>
      <c r="S43" s="151" t="s">
        <v>705</v>
      </c>
      <c r="T43" s="185"/>
      <c r="U43" s="181"/>
      <c r="V43" s="202">
        <v>3</v>
      </c>
      <c r="W43" s="167" t="s">
        <v>202</v>
      </c>
      <c r="X43" s="106"/>
      <c r="Y43" s="106"/>
      <c r="Z43" s="106"/>
      <c r="AA43" s="106"/>
      <c r="AD43" s="50" t="s">
        <v>757</v>
      </c>
    </row>
    <row r="44" spans="1:53">
      <c r="A44" s="214"/>
      <c r="J44" s="151" t="s">
        <v>706</v>
      </c>
      <c r="K44" s="106">
        <v>4</v>
      </c>
      <c r="L44" s="106">
        <v>6</v>
      </c>
      <c r="M44" s="106">
        <v>3</v>
      </c>
      <c r="N44" s="106">
        <v>1</v>
      </c>
      <c r="O44" s="167" t="s">
        <v>202</v>
      </c>
      <c r="P44" s="106"/>
      <c r="Q44" s="106"/>
      <c r="R44" s="106"/>
      <c r="S44" s="151" t="s">
        <v>706</v>
      </c>
      <c r="T44" s="183"/>
      <c r="U44" s="187"/>
      <c r="V44" s="188"/>
      <c r="W44" s="179"/>
      <c r="X44" s="167" t="s">
        <v>202</v>
      </c>
      <c r="Y44" s="106"/>
      <c r="Z44" s="106"/>
      <c r="AA44" s="106"/>
      <c r="AC44" s="50" t="s">
        <v>760</v>
      </c>
    </row>
    <row r="45" spans="1:53">
      <c r="J45" s="151" t="s">
        <v>707</v>
      </c>
      <c r="K45" s="106">
        <v>3</v>
      </c>
      <c r="L45" s="106">
        <v>5</v>
      </c>
      <c r="M45" s="106">
        <v>2</v>
      </c>
      <c r="N45" s="106">
        <v>4</v>
      </c>
      <c r="O45" s="106">
        <v>7</v>
      </c>
      <c r="P45" s="167" t="s">
        <v>202</v>
      </c>
      <c r="Q45" s="106"/>
      <c r="R45" s="106"/>
      <c r="S45" s="151" t="s">
        <v>707</v>
      </c>
      <c r="T45" s="188"/>
      <c r="U45" s="185"/>
      <c r="V45" s="181"/>
      <c r="W45" s="183"/>
      <c r="X45" s="202">
        <v>1</v>
      </c>
      <c r="Y45" s="167" t="s">
        <v>202</v>
      </c>
      <c r="Z45" s="106"/>
      <c r="AA45" s="106"/>
    </row>
    <row r="46" spans="1:53">
      <c r="J46" s="151" t="s">
        <v>708</v>
      </c>
      <c r="K46" s="106">
        <v>2</v>
      </c>
      <c r="L46" s="106">
        <v>3</v>
      </c>
      <c r="M46" s="106">
        <v>4</v>
      </c>
      <c r="N46" s="106">
        <v>6</v>
      </c>
      <c r="O46" s="106">
        <v>5</v>
      </c>
      <c r="P46" s="106">
        <v>1</v>
      </c>
      <c r="Q46" s="167" t="s">
        <v>202</v>
      </c>
      <c r="R46" s="106"/>
      <c r="S46" s="151" t="s">
        <v>708</v>
      </c>
      <c r="T46" s="181"/>
      <c r="U46" s="188"/>
      <c r="V46" s="183"/>
      <c r="W46" s="187"/>
      <c r="X46" s="185"/>
      <c r="Y46" s="179"/>
      <c r="Z46" s="167" t="s">
        <v>202</v>
      </c>
      <c r="AA46" s="106"/>
    </row>
    <row r="47" spans="1:53">
      <c r="J47" s="151" t="s">
        <v>709</v>
      </c>
      <c r="K47" s="106">
        <v>1</v>
      </c>
      <c r="L47" s="106">
        <v>4</v>
      </c>
      <c r="M47" s="106">
        <v>5</v>
      </c>
      <c r="N47" s="106">
        <v>3</v>
      </c>
      <c r="O47" s="106">
        <v>2</v>
      </c>
      <c r="P47" s="106">
        <v>6</v>
      </c>
      <c r="Q47" s="106">
        <v>7</v>
      </c>
      <c r="R47" s="167" t="s">
        <v>202</v>
      </c>
      <c r="S47" s="151" t="s">
        <v>709</v>
      </c>
      <c r="T47" s="179"/>
      <c r="U47" s="183"/>
      <c r="V47" s="185"/>
      <c r="W47" s="188"/>
      <c r="X47" s="181"/>
      <c r="Y47" s="187"/>
      <c r="Z47" s="202">
        <v>4</v>
      </c>
      <c r="AA47" s="167" t="s">
        <v>202</v>
      </c>
      <c r="AC47" s="151" t="s">
        <v>739</v>
      </c>
      <c r="AD47" s="63">
        <v>1</v>
      </c>
      <c r="AE47" s="63">
        <f>AD47+1</f>
        <v>2</v>
      </c>
      <c r="AF47" s="63">
        <f t="shared" ref="AF47:AJ47" si="4">AE47+1</f>
        <v>3</v>
      </c>
      <c r="AG47" s="63">
        <f t="shared" si="4"/>
        <v>4</v>
      </c>
      <c r="AH47" s="63">
        <f t="shared" si="4"/>
        <v>5</v>
      </c>
      <c r="AI47" s="63">
        <f t="shared" si="4"/>
        <v>6</v>
      </c>
      <c r="AJ47" s="63">
        <f t="shared" si="4"/>
        <v>7</v>
      </c>
    </row>
    <row r="48" spans="1:53">
      <c r="S48" s="215"/>
      <c r="T48" s="168"/>
      <c r="U48" s="168"/>
      <c r="V48" s="168"/>
      <c r="W48" s="168"/>
      <c r="X48" s="169"/>
      <c r="Y48" s="189"/>
      <c r="Z48" s="168"/>
    </row>
    <row r="49" spans="2:50">
      <c r="S49" s="151" t="s">
        <v>749</v>
      </c>
      <c r="T49" s="217"/>
      <c r="U49" s="218"/>
      <c r="V49" s="219"/>
      <c r="W49" s="220"/>
      <c r="X49" s="221"/>
      <c r="Y49" s="222"/>
      <c r="Z49" s="223"/>
      <c r="AC49" s="151" t="s">
        <v>702</v>
      </c>
      <c r="AD49" s="174">
        <v>1</v>
      </c>
      <c r="AE49" s="163" t="s">
        <v>728</v>
      </c>
      <c r="AF49" s="163" t="s">
        <v>728</v>
      </c>
      <c r="AG49" s="175" t="s">
        <v>728</v>
      </c>
      <c r="AH49" s="106">
        <v>1</v>
      </c>
      <c r="AI49" s="106"/>
      <c r="AJ49" s="106"/>
    </row>
    <row r="50" spans="2:50" ht="16" thickBot="1">
      <c r="S50" s="216" t="s">
        <v>747</v>
      </c>
      <c r="AC50" s="151" t="s">
        <v>703</v>
      </c>
      <c r="AD50" s="174">
        <v>1</v>
      </c>
      <c r="AE50" s="106"/>
      <c r="AF50" s="106"/>
      <c r="AG50" s="176"/>
      <c r="AH50" s="177">
        <v>1</v>
      </c>
      <c r="AI50" s="106">
        <v>1</v>
      </c>
      <c r="AJ50" s="106"/>
    </row>
    <row r="51" spans="2:50" ht="16" thickBot="1">
      <c r="S51" s="216" t="s">
        <v>784</v>
      </c>
      <c r="AC51" s="151" t="s">
        <v>704</v>
      </c>
      <c r="AD51" s="174"/>
      <c r="AE51" s="106">
        <v>1</v>
      </c>
      <c r="AF51" s="163" t="s">
        <v>728</v>
      </c>
      <c r="AG51" s="163" t="s">
        <v>728</v>
      </c>
      <c r="AH51" s="178">
        <v>1</v>
      </c>
      <c r="AI51" s="106"/>
      <c r="AJ51" s="106"/>
    </row>
    <row r="52" spans="2:50">
      <c r="AC52" s="151" t="s">
        <v>705</v>
      </c>
      <c r="AD52" s="174"/>
      <c r="AE52" s="106">
        <v>1</v>
      </c>
      <c r="AF52" s="106"/>
      <c r="AG52" s="176"/>
      <c r="AH52" s="177">
        <v>1</v>
      </c>
      <c r="AI52" s="106">
        <v>1</v>
      </c>
      <c r="AJ52" s="106"/>
    </row>
    <row r="53" spans="2:50">
      <c r="S53" s="50" t="s">
        <v>746</v>
      </c>
      <c r="AC53" s="151" t="s">
        <v>706</v>
      </c>
      <c r="AD53" s="174"/>
      <c r="AE53" s="106"/>
      <c r="AF53" s="106">
        <v>1</v>
      </c>
      <c r="AG53" s="176"/>
      <c r="AH53" s="106"/>
      <c r="AI53" s="106"/>
      <c r="AJ53" s="106">
        <v>1</v>
      </c>
    </row>
    <row r="54" spans="2:50">
      <c r="S54" s="50" t="s">
        <v>783</v>
      </c>
      <c r="AC54" s="151" t="s">
        <v>707</v>
      </c>
      <c r="AD54" s="174"/>
      <c r="AE54" s="106"/>
      <c r="AF54" s="106">
        <v>1</v>
      </c>
      <c r="AG54" s="176"/>
      <c r="AH54" s="106"/>
      <c r="AI54" s="106"/>
      <c r="AJ54" s="106"/>
    </row>
    <row r="55" spans="2:50">
      <c r="AC55" s="151" t="s">
        <v>708</v>
      </c>
      <c r="AD55" s="174"/>
      <c r="AE55" s="106"/>
      <c r="AF55" s="106"/>
      <c r="AG55" s="176">
        <v>1</v>
      </c>
      <c r="AH55" s="177" t="s">
        <v>202</v>
      </c>
      <c r="AI55" s="106"/>
      <c r="AJ55" s="106">
        <v>1</v>
      </c>
    </row>
    <row r="56" spans="2:50">
      <c r="AC56" s="151" t="s">
        <v>709</v>
      </c>
      <c r="AD56" s="174"/>
      <c r="AE56" s="106"/>
      <c r="AF56" s="106"/>
      <c r="AG56" s="176">
        <v>1</v>
      </c>
      <c r="AH56" s="177" t="s">
        <v>202</v>
      </c>
      <c r="AI56" s="106"/>
      <c r="AJ56" s="106"/>
    </row>
    <row r="57" spans="2:50" ht="16" thickBot="1">
      <c r="B57" s="107" t="s">
        <v>714</v>
      </c>
      <c r="C57" s="214"/>
      <c r="D57" s="214"/>
      <c r="E57" s="224"/>
      <c r="F57" s="224"/>
      <c r="G57" s="224"/>
      <c r="H57" s="224"/>
      <c r="I57" s="224"/>
      <c r="J57" s="224"/>
      <c r="K57" s="225" t="s">
        <v>203</v>
      </c>
      <c r="L57" s="226"/>
      <c r="M57" s="227" t="s">
        <v>200</v>
      </c>
      <c r="N57" s="226"/>
      <c r="O57" s="227" t="s">
        <v>204</v>
      </c>
      <c r="P57" s="226"/>
      <c r="Q57" s="227" t="s">
        <v>701</v>
      </c>
      <c r="R57" s="228"/>
      <c r="S57" s="224"/>
      <c r="T57" s="225" t="s">
        <v>188</v>
      </c>
      <c r="U57" s="226">
        <v>1</v>
      </c>
      <c r="V57" s="225" t="s">
        <v>188</v>
      </c>
      <c r="W57" s="226">
        <v>2</v>
      </c>
      <c r="X57" s="225" t="s">
        <v>188</v>
      </c>
      <c r="Y57" s="226">
        <v>3</v>
      </c>
      <c r="Z57" s="225" t="s">
        <v>188</v>
      </c>
      <c r="AA57" s="226">
        <v>4</v>
      </c>
    </row>
    <row r="58" spans="2:50">
      <c r="E58" s="229"/>
      <c r="F58" s="229"/>
      <c r="G58" s="229"/>
      <c r="H58" s="229"/>
      <c r="I58" s="229"/>
      <c r="J58" s="215" t="s">
        <v>732</v>
      </c>
      <c r="K58" s="194">
        <v>1</v>
      </c>
      <c r="L58" s="196">
        <v>8</v>
      </c>
      <c r="M58" s="195">
        <v>6</v>
      </c>
      <c r="N58" s="196">
        <v>7</v>
      </c>
      <c r="O58" s="195">
        <v>4</v>
      </c>
      <c r="P58" s="196">
        <v>5</v>
      </c>
      <c r="Q58" s="195">
        <v>3</v>
      </c>
      <c r="R58" s="197">
        <v>2</v>
      </c>
      <c r="S58" s="215" t="s">
        <v>732</v>
      </c>
      <c r="T58" s="190"/>
      <c r="U58" s="192"/>
      <c r="V58" s="191"/>
      <c r="W58" s="192"/>
      <c r="X58" s="191"/>
      <c r="Y58" s="192"/>
      <c r="Z58" s="191"/>
      <c r="AA58" s="193"/>
      <c r="AC58" s="50" t="s">
        <v>758</v>
      </c>
    </row>
    <row r="59" spans="2:50">
      <c r="B59" s="50" t="s">
        <v>715</v>
      </c>
      <c r="E59" s="229"/>
      <c r="F59" s="229"/>
      <c r="G59" s="229"/>
      <c r="H59" s="229"/>
      <c r="I59" s="229"/>
      <c r="J59" s="215" t="s">
        <v>733</v>
      </c>
      <c r="K59" s="194">
        <v>1</v>
      </c>
      <c r="L59" s="196">
        <v>7</v>
      </c>
      <c r="M59" s="195">
        <v>5</v>
      </c>
      <c r="N59" s="196">
        <v>8</v>
      </c>
      <c r="O59" s="195">
        <v>3</v>
      </c>
      <c r="P59" s="196">
        <v>6</v>
      </c>
      <c r="Q59" s="195">
        <v>2</v>
      </c>
      <c r="R59" s="197">
        <v>4</v>
      </c>
      <c r="S59" s="215" t="s">
        <v>733</v>
      </c>
      <c r="T59" s="190"/>
      <c r="U59" s="192"/>
      <c r="V59" s="191"/>
      <c r="W59" s="192"/>
      <c r="X59" s="191"/>
      <c r="Y59" s="192"/>
      <c r="Z59" s="191"/>
      <c r="AA59" s="193"/>
      <c r="AC59" s="50" t="s">
        <v>759</v>
      </c>
      <c r="AK59" s="150"/>
      <c r="AL59" s="150"/>
      <c r="AM59" s="150"/>
      <c r="AN59" s="150"/>
      <c r="AO59" s="150"/>
      <c r="AP59" s="150"/>
      <c r="AQ59" s="150"/>
      <c r="AR59" s="150"/>
      <c r="AS59" s="150"/>
    </row>
    <row r="60" spans="2:50">
      <c r="B60" s="50" t="s">
        <v>748</v>
      </c>
      <c r="E60" s="229"/>
      <c r="F60" s="229"/>
      <c r="G60" s="229"/>
      <c r="H60" s="229"/>
      <c r="I60" s="229"/>
      <c r="J60" s="215" t="s">
        <v>734</v>
      </c>
      <c r="K60" s="194">
        <v>1</v>
      </c>
      <c r="L60" s="196">
        <v>6</v>
      </c>
      <c r="M60" s="195">
        <v>4</v>
      </c>
      <c r="N60" s="196">
        <v>8</v>
      </c>
      <c r="O60" s="195">
        <v>2</v>
      </c>
      <c r="P60" s="196">
        <v>7</v>
      </c>
      <c r="Q60" s="195">
        <v>3</v>
      </c>
      <c r="R60" s="197">
        <v>5</v>
      </c>
      <c r="S60" s="215" t="s">
        <v>734</v>
      </c>
      <c r="T60" s="190"/>
      <c r="U60" s="192"/>
      <c r="V60" s="191"/>
      <c r="W60" s="192"/>
      <c r="X60" s="191"/>
      <c r="Y60" s="192"/>
      <c r="Z60" s="191"/>
      <c r="AA60" s="193"/>
      <c r="AK60" s="150"/>
      <c r="AL60" s="150"/>
      <c r="AM60" s="150"/>
      <c r="AN60" s="150"/>
      <c r="AO60" s="150"/>
      <c r="AP60" s="150"/>
      <c r="AQ60" s="150"/>
      <c r="AR60" s="150"/>
      <c r="AS60" s="150"/>
      <c r="AT60" s="150"/>
      <c r="AU60" s="150"/>
      <c r="AV60" s="150"/>
      <c r="AW60" s="150"/>
      <c r="AX60" s="150"/>
    </row>
    <row r="61" spans="2:50">
      <c r="E61" s="229"/>
      <c r="F61" s="229"/>
      <c r="G61" s="229"/>
      <c r="H61" s="229"/>
      <c r="I61" s="229"/>
      <c r="J61" s="215" t="s">
        <v>735</v>
      </c>
      <c r="K61" s="194">
        <v>1</v>
      </c>
      <c r="L61" s="196">
        <v>5</v>
      </c>
      <c r="M61" s="195">
        <v>3</v>
      </c>
      <c r="N61" s="196">
        <v>7</v>
      </c>
      <c r="O61" s="195">
        <v>2</v>
      </c>
      <c r="P61" s="196">
        <v>8</v>
      </c>
      <c r="Q61" s="195">
        <v>4</v>
      </c>
      <c r="R61" s="197">
        <v>6</v>
      </c>
      <c r="S61" s="215" t="s">
        <v>735</v>
      </c>
      <c r="T61" s="190"/>
      <c r="U61" s="192"/>
      <c r="V61" s="191"/>
      <c r="W61" s="192"/>
      <c r="X61" s="191"/>
      <c r="Y61" s="192"/>
      <c r="Z61" s="191"/>
      <c r="AA61" s="193"/>
      <c r="AC61" s="150" t="s">
        <v>755</v>
      </c>
      <c r="AD61" s="150"/>
      <c r="AK61" s="150"/>
      <c r="AL61" s="150"/>
      <c r="AM61" s="150"/>
      <c r="AN61" s="150"/>
      <c r="AO61" s="150"/>
      <c r="AP61" s="150"/>
      <c r="AQ61" s="150"/>
      <c r="AR61" s="150"/>
      <c r="AS61" s="150"/>
      <c r="AT61" s="150"/>
      <c r="AU61" s="150"/>
      <c r="AV61" s="150"/>
      <c r="AW61" s="150"/>
      <c r="AX61" s="150"/>
    </row>
    <row r="62" spans="2:50">
      <c r="E62" s="229"/>
      <c r="F62" s="229"/>
      <c r="G62" s="229"/>
      <c r="H62" s="229"/>
      <c r="I62" s="229"/>
      <c r="J62" s="215" t="s">
        <v>736</v>
      </c>
      <c r="K62" s="194">
        <v>1</v>
      </c>
      <c r="L62" s="196">
        <v>4</v>
      </c>
      <c r="M62" s="195">
        <v>2</v>
      </c>
      <c r="N62" s="196">
        <v>6</v>
      </c>
      <c r="O62" s="195">
        <v>3</v>
      </c>
      <c r="P62" s="196">
        <v>8</v>
      </c>
      <c r="Q62" s="195">
        <v>5</v>
      </c>
      <c r="R62" s="197">
        <v>7</v>
      </c>
      <c r="S62" s="215" t="s">
        <v>736</v>
      </c>
      <c r="T62" s="190"/>
      <c r="U62" s="192"/>
      <c r="V62" s="191"/>
      <c r="W62" s="192"/>
      <c r="X62" s="191"/>
      <c r="Y62" s="192"/>
      <c r="Z62" s="191"/>
      <c r="AA62" s="193"/>
      <c r="AC62" s="150"/>
      <c r="AD62" s="150" t="s">
        <v>729</v>
      </c>
      <c r="AK62" s="150"/>
      <c r="AL62" s="150"/>
      <c r="AM62" s="150"/>
      <c r="AN62" s="150"/>
      <c r="AO62" s="150"/>
      <c r="AP62" s="150"/>
      <c r="AQ62" s="150"/>
      <c r="AR62" s="150"/>
      <c r="AS62" s="150"/>
      <c r="AT62" s="150"/>
      <c r="AU62" s="150"/>
      <c r="AV62" s="150"/>
      <c r="AW62" s="150"/>
      <c r="AX62" s="150"/>
    </row>
    <row r="63" spans="2:50">
      <c r="E63" s="229"/>
      <c r="F63" s="229"/>
      <c r="G63" s="229"/>
      <c r="H63" s="229"/>
      <c r="I63" s="229"/>
      <c r="J63" s="215" t="s">
        <v>737</v>
      </c>
      <c r="K63" s="194">
        <v>1</v>
      </c>
      <c r="L63" s="196">
        <v>3</v>
      </c>
      <c r="M63" s="195">
        <v>2</v>
      </c>
      <c r="N63" s="196">
        <v>5</v>
      </c>
      <c r="O63" s="195">
        <v>4</v>
      </c>
      <c r="P63" s="196">
        <v>7</v>
      </c>
      <c r="Q63" s="195">
        <v>6</v>
      </c>
      <c r="R63" s="197">
        <v>8</v>
      </c>
      <c r="S63" s="215" t="s">
        <v>737</v>
      </c>
      <c r="T63" s="190"/>
      <c r="U63" s="192"/>
      <c r="V63" s="191"/>
      <c r="W63" s="192"/>
      <c r="X63" s="191"/>
      <c r="Y63" s="192"/>
      <c r="Z63" s="191"/>
      <c r="AA63" s="193"/>
      <c r="AC63" s="150" t="s">
        <v>731</v>
      </c>
      <c r="AK63" s="150"/>
      <c r="AL63" s="150"/>
      <c r="AM63" s="150"/>
      <c r="AN63" s="150"/>
      <c r="AO63" s="150"/>
      <c r="AP63" s="150"/>
      <c r="AQ63" s="150"/>
      <c r="AR63" s="150"/>
      <c r="AS63" s="150"/>
      <c r="AT63" s="150"/>
      <c r="AU63" s="150"/>
      <c r="AV63" s="150"/>
      <c r="AW63" s="150"/>
      <c r="AX63" s="150"/>
    </row>
    <row r="64" spans="2:50">
      <c r="E64" s="229"/>
      <c r="F64" s="229"/>
      <c r="G64" s="229"/>
      <c r="H64" s="229"/>
      <c r="I64" s="229"/>
      <c r="J64" s="215" t="s">
        <v>738</v>
      </c>
      <c r="K64" s="194">
        <v>1</v>
      </c>
      <c r="L64" s="196">
        <v>2</v>
      </c>
      <c r="M64" s="195">
        <v>3</v>
      </c>
      <c r="N64" s="196">
        <v>4</v>
      </c>
      <c r="O64" s="195">
        <v>5</v>
      </c>
      <c r="P64" s="196">
        <v>6</v>
      </c>
      <c r="Q64" s="195">
        <v>7</v>
      </c>
      <c r="R64" s="197">
        <v>8</v>
      </c>
      <c r="S64" s="215" t="s">
        <v>738</v>
      </c>
      <c r="T64" s="198">
        <v>5</v>
      </c>
      <c r="U64" s="199">
        <v>6</v>
      </c>
      <c r="V64" s="200">
        <v>1</v>
      </c>
      <c r="W64" s="199">
        <v>2</v>
      </c>
      <c r="X64" s="200">
        <v>3</v>
      </c>
      <c r="Y64" s="199">
        <v>4</v>
      </c>
      <c r="Z64" s="200">
        <v>7</v>
      </c>
      <c r="AA64" s="201">
        <v>8</v>
      </c>
      <c r="AC64" s="150"/>
      <c r="AD64" s="150" t="s">
        <v>743</v>
      </c>
      <c r="AK64" s="150"/>
      <c r="AL64" s="150"/>
      <c r="AM64" s="150"/>
      <c r="AN64" s="150"/>
      <c r="AO64" s="150"/>
      <c r="AP64" s="150"/>
      <c r="AQ64" s="150"/>
      <c r="AR64" s="150"/>
      <c r="AS64" s="150"/>
      <c r="AT64" s="150"/>
      <c r="AU64" s="150"/>
      <c r="AV64" s="150"/>
      <c r="AW64" s="150"/>
      <c r="AX64" s="150"/>
    </row>
    <row r="65" spans="2:55">
      <c r="AK65" s="150"/>
      <c r="AL65" s="150"/>
      <c r="AM65" s="150"/>
      <c r="AN65" s="150"/>
      <c r="AO65" s="150"/>
      <c r="AP65" s="150"/>
      <c r="AQ65" s="150"/>
      <c r="AR65" s="150"/>
      <c r="AS65" s="150"/>
      <c r="AT65" s="150"/>
      <c r="AU65" s="150"/>
      <c r="AV65" s="150"/>
      <c r="AW65" s="150"/>
      <c r="AX65" s="150"/>
    </row>
    <row r="66" spans="2:55">
      <c r="S66" s="216" t="s">
        <v>782</v>
      </c>
      <c r="AK66" s="150"/>
      <c r="AL66" s="150"/>
      <c r="AM66" s="150"/>
      <c r="AN66" s="150"/>
      <c r="AO66" s="150"/>
      <c r="AP66" s="150"/>
      <c r="AQ66" s="150"/>
      <c r="AR66" s="150"/>
      <c r="AS66" s="150"/>
      <c r="AT66" s="150"/>
      <c r="AU66" s="150"/>
      <c r="AV66" s="150"/>
      <c r="AW66" s="150"/>
      <c r="AX66" s="150"/>
    </row>
    <row r="67" spans="2:55">
      <c r="AT67" s="150"/>
      <c r="AU67" s="150"/>
      <c r="AV67" s="150"/>
      <c r="AW67" s="150"/>
      <c r="AX67" s="150"/>
    </row>
    <row r="68" spans="2:55">
      <c r="S68" s="50" t="s">
        <v>785</v>
      </c>
    </row>
    <row r="69" spans="2:55">
      <c r="S69" s="50" t="s">
        <v>786</v>
      </c>
    </row>
    <row r="71" spans="2:55">
      <c r="B71" s="50" t="s">
        <v>781</v>
      </c>
    </row>
    <row r="72" spans="2:55">
      <c r="B72" s="50" t="s">
        <v>780</v>
      </c>
    </row>
    <row r="73" spans="2:55">
      <c r="C73" s="50" t="s">
        <v>779</v>
      </c>
    </row>
    <row r="75" spans="2:55">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row>
    <row r="76" spans="2:55">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row>
    <row r="77" spans="2:55">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row>
    <row r="78" spans="2:55">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row>
    <row r="79" spans="2:55">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row>
    <row r="80" spans="2:55">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row>
    <row r="81" spans="28:55">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row>
    <row r="82" spans="28:55">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row>
    <row r="83" spans="28:55">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row>
    <row r="84" spans="28:55">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row>
    <row r="85" spans="28:55">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row>
    <row r="86" spans="28:55">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row>
    <row r="87" spans="28:55">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row>
    <row r="88" spans="28:55">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row>
    <row r="89" spans="28:55">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row>
    <row r="90" spans="28:55">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row>
    <row r="91" spans="28:55">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row>
    <row r="92" spans="28:55">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row>
    <row r="93" spans="28:55">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row>
    <row r="94" spans="28:55">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row>
    <row r="95" spans="28:55">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row>
    <row r="96" spans="28:55">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row>
    <row r="97" spans="28:55">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row>
    <row r="98" spans="28:55">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row>
    <row r="99" spans="28:55">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row>
    <row r="100" spans="28:55">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row>
    <row r="101" spans="28:55">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row>
    <row r="102" spans="28:55">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row>
    <row r="103" spans="28:55">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row>
    <row r="104" spans="28:55">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row>
    <row r="105" spans="28:55">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row>
    <row r="106" spans="28:55">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row>
    <row r="107" spans="28:55">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row>
    <row r="108" spans="28:55">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row>
    <row r="109" spans="28:55">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row>
    <row r="110" spans="28:55">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row>
    <row r="111" spans="28:55">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row>
    <row r="112" spans="28:55">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row>
  </sheetData>
  <sheetProtection password="FFF0" sheet="1" objects="1" scenarios="1"/>
  <mergeCells count="23">
    <mergeCell ref="AE30:AI30"/>
    <mergeCell ref="AE31:AI31"/>
    <mergeCell ref="AM35:AQ35"/>
    <mergeCell ref="AM36:AQ36"/>
    <mergeCell ref="AM37:AQ37"/>
    <mergeCell ref="AE33:AI33"/>
    <mergeCell ref="AE32:AI32"/>
    <mergeCell ref="AE38:AI38"/>
    <mergeCell ref="AM38:AQ38"/>
    <mergeCell ref="AM27:AQ27"/>
    <mergeCell ref="AM28:AQ28"/>
    <mergeCell ref="AM29:AQ29"/>
    <mergeCell ref="AM30:AQ30"/>
    <mergeCell ref="AM31:AQ31"/>
    <mergeCell ref="AM32:AQ32"/>
    <mergeCell ref="AE37:AI37"/>
    <mergeCell ref="AE36:AI36"/>
    <mergeCell ref="AE35:AI35"/>
    <mergeCell ref="AE34:AI34"/>
    <mergeCell ref="AM33:AQ33"/>
    <mergeCell ref="AM34:AQ34"/>
    <mergeCell ref="AE29:AI29"/>
    <mergeCell ref="AE28:AI28"/>
  </mergeCells>
  <phoneticPr fontId="102" type="noConversion"/>
  <pageMargins left="0.5" right="0.5" top="0.25" bottom="0.25" header="0" footer="0"/>
  <pageSetup orientation="landscape" horizontalDpi="4294967292" verticalDpi="4294967292"/>
  <extLst>
    <ext xmlns:mx="http://schemas.microsoft.com/office/mac/excel/2008/main" uri="{64002731-A6B0-56B0-2670-7721B7C09600}">
      <mx:PLV Mode="1"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56"/>
  <sheetViews>
    <sheetView workbookViewId="0">
      <selection activeCell="A3" sqref="A3"/>
    </sheetView>
  </sheetViews>
  <sheetFormatPr baseColWidth="10" defaultRowHeight="12" x14ac:dyDescent="0"/>
  <cols>
    <col min="1" max="3" width="10.7109375" style="16"/>
    <col min="4" max="100" width="5.140625" style="16" customWidth="1"/>
    <col min="101" max="16384" width="10.7109375" style="16"/>
  </cols>
  <sheetData>
    <row r="1" spans="1:100" ht="18">
      <c r="A1" s="14" t="s">
        <v>1049</v>
      </c>
    </row>
    <row r="3" spans="1:100" ht="15">
      <c r="A3" s="16" t="str">
        <f>Intro!D46</f>
        <v/>
      </c>
      <c r="E3" s="151" t="str">
        <f t="shared" ref="E3:AX3" si="0">BC3</f>
        <v>BC</v>
      </c>
      <c r="F3" s="151" t="str">
        <f t="shared" si="0"/>
        <v>BD</v>
      </c>
      <c r="G3" s="151" t="str">
        <f t="shared" si="0"/>
        <v>BE</v>
      </c>
      <c r="H3" s="151" t="str">
        <f t="shared" si="0"/>
        <v>BF</v>
      </c>
      <c r="I3" s="151" t="str">
        <f t="shared" si="0"/>
        <v>BG</v>
      </c>
      <c r="J3" s="151" t="str">
        <f t="shared" si="0"/>
        <v>BH</v>
      </c>
      <c r="K3" s="151" t="str">
        <f t="shared" si="0"/>
        <v>BI</v>
      </c>
      <c r="L3" s="151" t="str">
        <f t="shared" si="0"/>
        <v>BJ</v>
      </c>
      <c r="M3" s="151" t="str">
        <f t="shared" si="0"/>
        <v>BK</v>
      </c>
      <c r="N3" s="151" t="str">
        <f t="shared" si="0"/>
        <v>BL</v>
      </c>
      <c r="O3" s="151" t="str">
        <f t="shared" si="0"/>
        <v>BM</v>
      </c>
      <c r="P3" s="151" t="str">
        <f t="shared" si="0"/>
        <v>BN</v>
      </c>
      <c r="Q3" s="151" t="str">
        <f t="shared" si="0"/>
        <v>BO</v>
      </c>
      <c r="R3" s="151" t="str">
        <f t="shared" si="0"/>
        <v>BP</v>
      </c>
      <c r="S3" s="151" t="str">
        <f t="shared" si="0"/>
        <v>BQ</v>
      </c>
      <c r="T3" s="151" t="str">
        <f t="shared" si="0"/>
        <v>BR</v>
      </c>
      <c r="U3" s="151" t="str">
        <f t="shared" si="0"/>
        <v>BS</v>
      </c>
      <c r="V3" s="151" t="str">
        <f t="shared" si="0"/>
        <v>BT</v>
      </c>
      <c r="W3" s="151" t="str">
        <f t="shared" si="0"/>
        <v>BU</v>
      </c>
      <c r="X3" s="151" t="str">
        <f t="shared" si="0"/>
        <v>BV</v>
      </c>
      <c r="Y3" s="151" t="str">
        <f t="shared" si="0"/>
        <v>BW</v>
      </c>
      <c r="Z3" s="151" t="str">
        <f t="shared" si="0"/>
        <v>BX</v>
      </c>
      <c r="AA3" s="151" t="str">
        <f t="shared" si="0"/>
        <v>BY</v>
      </c>
      <c r="AB3" s="151" t="str">
        <f t="shared" si="0"/>
        <v>BZ</v>
      </c>
      <c r="AC3" s="151" t="str">
        <f t="shared" si="0"/>
        <v>CA</v>
      </c>
      <c r="AD3" s="151" t="str">
        <f t="shared" si="0"/>
        <v>CB</v>
      </c>
      <c r="AE3" s="151" t="str">
        <f t="shared" si="0"/>
        <v>CC</v>
      </c>
      <c r="AF3" s="151" t="str">
        <f t="shared" si="0"/>
        <v>CD</v>
      </c>
      <c r="AG3" s="151" t="str">
        <f t="shared" si="0"/>
        <v>CE</v>
      </c>
      <c r="AH3" s="151" t="str">
        <f t="shared" si="0"/>
        <v>CF</v>
      </c>
      <c r="AI3" s="151" t="str">
        <f t="shared" si="0"/>
        <v>CG</v>
      </c>
      <c r="AJ3" s="151" t="str">
        <f t="shared" si="0"/>
        <v>CH</v>
      </c>
      <c r="AK3" s="151" t="str">
        <f t="shared" si="0"/>
        <v>CI</v>
      </c>
      <c r="AL3" s="151" t="str">
        <f t="shared" si="0"/>
        <v>CJ</v>
      </c>
      <c r="AM3" s="151" t="str">
        <f t="shared" si="0"/>
        <v>CK</v>
      </c>
      <c r="AN3" s="151" t="str">
        <f t="shared" si="0"/>
        <v>CL</v>
      </c>
      <c r="AO3" s="151" t="str">
        <f t="shared" si="0"/>
        <v>CM</v>
      </c>
      <c r="AP3" s="151" t="str">
        <f t="shared" si="0"/>
        <v>CN</v>
      </c>
      <c r="AQ3" s="151" t="str">
        <f t="shared" si="0"/>
        <v>CO</v>
      </c>
      <c r="AR3" s="151" t="str">
        <f t="shared" si="0"/>
        <v>CP</v>
      </c>
      <c r="AS3" s="151" t="str">
        <f t="shared" si="0"/>
        <v>CQ</v>
      </c>
      <c r="AT3" s="151" t="str">
        <f t="shared" si="0"/>
        <v>CR</v>
      </c>
      <c r="AU3" s="151" t="str">
        <f t="shared" si="0"/>
        <v>CS</v>
      </c>
      <c r="AV3" s="151" t="str">
        <f t="shared" si="0"/>
        <v>CT</v>
      </c>
      <c r="AW3" s="151" t="str">
        <f t="shared" si="0"/>
        <v>CU</v>
      </c>
      <c r="AX3" s="151" t="str">
        <f t="shared" si="0"/>
        <v>CV</v>
      </c>
      <c r="BC3" s="151" t="str">
        <f>CONCATENATE(IF((CEILING(COLUMN()/26,1)-1)=0,"",CHAR((CEILING(COLUMN()/26,1)-1)+64)),CHAR(COLUMN()-((CEILING(COLUMN()/26,1)-1)*26)+64))</f>
        <v>BC</v>
      </c>
      <c r="BD3" s="151" t="str">
        <f t="shared" ref="BD3:CV3" si="1">CONCATENATE(IF((CEILING(COLUMN()/26,1)-1)=0,"",CHAR((CEILING(COLUMN()/26,1)-1)+64)),CHAR(COLUMN()-((CEILING(COLUMN()/26,1)-1)*26)+64))</f>
        <v>BD</v>
      </c>
      <c r="BE3" s="151" t="str">
        <f t="shared" si="1"/>
        <v>BE</v>
      </c>
      <c r="BF3" s="151" t="str">
        <f t="shared" si="1"/>
        <v>BF</v>
      </c>
      <c r="BG3" s="151" t="str">
        <f t="shared" si="1"/>
        <v>BG</v>
      </c>
      <c r="BH3" s="151" t="str">
        <f t="shared" si="1"/>
        <v>BH</v>
      </c>
      <c r="BI3" s="151" t="str">
        <f t="shared" si="1"/>
        <v>BI</v>
      </c>
      <c r="BJ3" s="151" t="str">
        <f t="shared" si="1"/>
        <v>BJ</v>
      </c>
      <c r="BK3" s="151" t="str">
        <f t="shared" si="1"/>
        <v>BK</v>
      </c>
      <c r="BL3" s="151" t="str">
        <f t="shared" si="1"/>
        <v>BL</v>
      </c>
      <c r="BM3" s="151" t="str">
        <f t="shared" si="1"/>
        <v>BM</v>
      </c>
      <c r="BN3" s="151" t="str">
        <f t="shared" si="1"/>
        <v>BN</v>
      </c>
      <c r="BO3" s="151" t="str">
        <f t="shared" si="1"/>
        <v>BO</v>
      </c>
      <c r="BP3" s="151" t="str">
        <f t="shared" si="1"/>
        <v>BP</v>
      </c>
      <c r="BQ3" s="151" t="str">
        <f t="shared" si="1"/>
        <v>BQ</v>
      </c>
      <c r="BR3" s="151" t="str">
        <f t="shared" si="1"/>
        <v>BR</v>
      </c>
      <c r="BS3" s="151" t="str">
        <f t="shared" si="1"/>
        <v>BS</v>
      </c>
      <c r="BT3" s="151" t="str">
        <f t="shared" si="1"/>
        <v>BT</v>
      </c>
      <c r="BU3" s="151" t="str">
        <f t="shared" si="1"/>
        <v>BU</v>
      </c>
      <c r="BV3" s="151" t="str">
        <f t="shared" si="1"/>
        <v>BV</v>
      </c>
      <c r="BW3" s="151" t="str">
        <f t="shared" si="1"/>
        <v>BW</v>
      </c>
      <c r="BX3" s="151" t="str">
        <f t="shared" si="1"/>
        <v>BX</v>
      </c>
      <c r="BY3" s="151" t="str">
        <f t="shared" si="1"/>
        <v>BY</v>
      </c>
      <c r="BZ3" s="151" t="str">
        <f t="shared" si="1"/>
        <v>BZ</v>
      </c>
      <c r="CA3" s="151" t="str">
        <f t="shared" si="1"/>
        <v>CA</v>
      </c>
      <c r="CB3" s="151" t="str">
        <f t="shared" si="1"/>
        <v>CB</v>
      </c>
      <c r="CC3" s="151" t="str">
        <f t="shared" si="1"/>
        <v>CC</v>
      </c>
      <c r="CD3" s="151" t="str">
        <f t="shared" si="1"/>
        <v>CD</v>
      </c>
      <c r="CE3" s="151" t="str">
        <f t="shared" si="1"/>
        <v>CE</v>
      </c>
      <c r="CF3" s="151" t="str">
        <f t="shared" si="1"/>
        <v>CF</v>
      </c>
      <c r="CG3" s="151" t="str">
        <f t="shared" si="1"/>
        <v>CG</v>
      </c>
      <c r="CH3" s="151" t="str">
        <f t="shared" si="1"/>
        <v>CH</v>
      </c>
      <c r="CI3" s="151" t="str">
        <f t="shared" si="1"/>
        <v>CI</v>
      </c>
      <c r="CJ3" s="151" t="str">
        <f t="shared" si="1"/>
        <v>CJ</v>
      </c>
      <c r="CK3" s="151" t="str">
        <f t="shared" si="1"/>
        <v>CK</v>
      </c>
      <c r="CL3" s="151" t="str">
        <f t="shared" si="1"/>
        <v>CL</v>
      </c>
      <c r="CM3" s="151" t="str">
        <f t="shared" si="1"/>
        <v>CM</v>
      </c>
      <c r="CN3" s="151" t="str">
        <f t="shared" si="1"/>
        <v>CN</v>
      </c>
      <c r="CO3" s="151" t="str">
        <f t="shared" si="1"/>
        <v>CO</v>
      </c>
      <c r="CP3" s="151" t="str">
        <f t="shared" si="1"/>
        <v>CP</v>
      </c>
      <c r="CQ3" s="151" t="str">
        <f t="shared" si="1"/>
        <v>CQ</v>
      </c>
      <c r="CR3" s="151" t="str">
        <f t="shared" si="1"/>
        <v>CR</v>
      </c>
      <c r="CS3" s="151" t="str">
        <f t="shared" si="1"/>
        <v>CS</v>
      </c>
      <c r="CT3" s="151" t="str">
        <f t="shared" si="1"/>
        <v>CT</v>
      </c>
      <c r="CU3" s="151" t="str">
        <f t="shared" si="1"/>
        <v>CU</v>
      </c>
      <c r="CV3" s="151" t="str">
        <f t="shared" si="1"/>
        <v>CV</v>
      </c>
    </row>
    <row r="4" spans="1:100">
      <c r="E4" s="16">
        <v>1</v>
      </c>
      <c r="F4" s="16">
        <f t="shared" ref="F4:AR4" si="2">E4+1</f>
        <v>2</v>
      </c>
      <c r="G4" s="16">
        <f t="shared" si="2"/>
        <v>3</v>
      </c>
      <c r="H4" s="16">
        <f t="shared" si="2"/>
        <v>4</v>
      </c>
      <c r="I4" s="16">
        <f t="shared" si="2"/>
        <v>5</v>
      </c>
      <c r="J4" s="16">
        <f t="shared" si="2"/>
        <v>6</v>
      </c>
      <c r="K4" s="16">
        <f t="shared" si="2"/>
        <v>7</v>
      </c>
      <c r="L4" s="16">
        <f t="shared" si="2"/>
        <v>8</v>
      </c>
      <c r="M4" s="16">
        <f t="shared" si="2"/>
        <v>9</v>
      </c>
      <c r="N4" s="16">
        <f t="shared" si="2"/>
        <v>10</v>
      </c>
      <c r="O4" s="16">
        <f t="shared" si="2"/>
        <v>11</v>
      </c>
      <c r="P4" s="16">
        <f t="shared" si="2"/>
        <v>12</v>
      </c>
      <c r="Q4" s="16">
        <f t="shared" si="2"/>
        <v>13</v>
      </c>
      <c r="R4" s="16">
        <f t="shared" si="2"/>
        <v>14</v>
      </c>
      <c r="S4" s="16">
        <f t="shared" si="2"/>
        <v>15</v>
      </c>
      <c r="T4" s="16">
        <f t="shared" si="2"/>
        <v>16</v>
      </c>
      <c r="U4" s="16">
        <f t="shared" si="2"/>
        <v>17</v>
      </c>
      <c r="V4" s="16">
        <f t="shared" si="2"/>
        <v>18</v>
      </c>
      <c r="W4" s="16">
        <f t="shared" si="2"/>
        <v>19</v>
      </c>
      <c r="X4" s="16">
        <f t="shared" si="2"/>
        <v>20</v>
      </c>
      <c r="Y4" s="16">
        <f t="shared" si="2"/>
        <v>21</v>
      </c>
      <c r="Z4" s="16">
        <f t="shared" si="2"/>
        <v>22</v>
      </c>
      <c r="AA4" s="16">
        <f t="shared" si="2"/>
        <v>23</v>
      </c>
      <c r="AB4" s="16">
        <f t="shared" si="2"/>
        <v>24</v>
      </c>
      <c r="AC4" s="16">
        <f t="shared" si="2"/>
        <v>25</v>
      </c>
      <c r="AD4" s="16">
        <f t="shared" si="2"/>
        <v>26</v>
      </c>
      <c r="AE4" s="16">
        <f t="shared" si="2"/>
        <v>27</v>
      </c>
      <c r="AF4" s="16">
        <f t="shared" si="2"/>
        <v>28</v>
      </c>
      <c r="AG4" s="16">
        <f t="shared" si="2"/>
        <v>29</v>
      </c>
      <c r="AH4" s="16">
        <f t="shared" si="2"/>
        <v>30</v>
      </c>
      <c r="AI4" s="16">
        <f t="shared" si="2"/>
        <v>31</v>
      </c>
      <c r="AJ4" s="16">
        <f t="shared" si="2"/>
        <v>32</v>
      </c>
      <c r="AK4" s="16">
        <f t="shared" si="2"/>
        <v>33</v>
      </c>
      <c r="AL4" s="16">
        <f t="shared" si="2"/>
        <v>34</v>
      </c>
      <c r="AM4" s="16">
        <f t="shared" si="2"/>
        <v>35</v>
      </c>
      <c r="AN4" s="16">
        <f t="shared" si="2"/>
        <v>36</v>
      </c>
      <c r="AO4" s="16">
        <f t="shared" si="2"/>
        <v>37</v>
      </c>
      <c r="AP4" s="16">
        <f t="shared" si="2"/>
        <v>38</v>
      </c>
      <c r="AQ4" s="16">
        <f t="shared" si="2"/>
        <v>39</v>
      </c>
      <c r="AR4" s="16">
        <f t="shared" si="2"/>
        <v>40</v>
      </c>
    </row>
    <row r="5" spans="1:100">
      <c r="BC5" s="16">
        <v>11</v>
      </c>
      <c r="BD5" s="16">
        <f>BC5+1</f>
        <v>12</v>
      </c>
      <c r="BE5" s="16">
        <f t="shared" ref="BE5:CV5" si="3">BD5+1</f>
        <v>13</v>
      </c>
      <c r="BF5" s="16">
        <f t="shared" si="3"/>
        <v>14</v>
      </c>
      <c r="BG5" s="16">
        <f t="shared" si="3"/>
        <v>15</v>
      </c>
      <c r="BH5" s="16">
        <f t="shared" si="3"/>
        <v>16</v>
      </c>
      <c r="BI5" s="16">
        <f t="shared" si="3"/>
        <v>17</v>
      </c>
      <c r="BJ5" s="16">
        <f t="shared" si="3"/>
        <v>18</v>
      </c>
      <c r="BK5" s="16">
        <f t="shared" si="3"/>
        <v>19</v>
      </c>
      <c r="BL5" s="16">
        <f t="shared" si="3"/>
        <v>20</v>
      </c>
      <c r="BM5" s="16">
        <f t="shared" si="3"/>
        <v>21</v>
      </c>
      <c r="BN5" s="16">
        <f t="shared" si="3"/>
        <v>22</v>
      </c>
      <c r="BO5" s="16">
        <f t="shared" si="3"/>
        <v>23</v>
      </c>
      <c r="BP5" s="16">
        <f t="shared" si="3"/>
        <v>24</v>
      </c>
      <c r="BQ5" s="16">
        <f t="shared" si="3"/>
        <v>25</v>
      </c>
      <c r="BR5" s="16">
        <f t="shared" si="3"/>
        <v>26</v>
      </c>
      <c r="BS5" s="16">
        <f t="shared" si="3"/>
        <v>27</v>
      </c>
      <c r="BT5" s="16">
        <f t="shared" si="3"/>
        <v>28</v>
      </c>
      <c r="BU5" s="16">
        <f t="shared" si="3"/>
        <v>29</v>
      </c>
      <c r="BV5" s="16">
        <f t="shared" si="3"/>
        <v>30</v>
      </c>
      <c r="BW5" s="16">
        <f t="shared" si="3"/>
        <v>31</v>
      </c>
      <c r="BX5" s="16">
        <f t="shared" si="3"/>
        <v>32</v>
      </c>
      <c r="BY5" s="16">
        <f t="shared" si="3"/>
        <v>33</v>
      </c>
      <c r="BZ5" s="16">
        <f t="shared" si="3"/>
        <v>34</v>
      </c>
      <c r="CA5" s="16">
        <f t="shared" si="3"/>
        <v>35</v>
      </c>
      <c r="CB5" s="16">
        <f t="shared" si="3"/>
        <v>36</v>
      </c>
      <c r="CC5" s="16">
        <f t="shared" si="3"/>
        <v>37</v>
      </c>
      <c r="CD5" s="16">
        <f t="shared" si="3"/>
        <v>38</v>
      </c>
      <c r="CE5" s="16">
        <f t="shared" si="3"/>
        <v>39</v>
      </c>
      <c r="CF5" s="16">
        <f t="shared" si="3"/>
        <v>40</v>
      </c>
      <c r="CG5" s="16">
        <f t="shared" si="3"/>
        <v>41</v>
      </c>
      <c r="CH5" s="16">
        <f t="shared" si="3"/>
        <v>42</v>
      </c>
      <c r="CI5" s="16">
        <f t="shared" si="3"/>
        <v>43</v>
      </c>
      <c r="CJ5" s="16">
        <f t="shared" si="3"/>
        <v>44</v>
      </c>
      <c r="CK5" s="16">
        <f t="shared" si="3"/>
        <v>45</v>
      </c>
      <c r="CL5" s="16">
        <f t="shared" si="3"/>
        <v>46</v>
      </c>
      <c r="CM5" s="16">
        <f t="shared" si="3"/>
        <v>47</v>
      </c>
      <c r="CN5" s="16">
        <f t="shared" si="3"/>
        <v>48</v>
      </c>
      <c r="CO5" s="16">
        <f t="shared" si="3"/>
        <v>49</v>
      </c>
      <c r="CP5" s="16">
        <f t="shared" si="3"/>
        <v>50</v>
      </c>
      <c r="CQ5" s="16">
        <f t="shared" si="3"/>
        <v>51</v>
      </c>
      <c r="CR5" s="16">
        <f t="shared" si="3"/>
        <v>52</v>
      </c>
      <c r="CS5" s="16">
        <f t="shared" si="3"/>
        <v>53</v>
      </c>
      <c r="CT5" s="16">
        <f t="shared" si="3"/>
        <v>54</v>
      </c>
      <c r="CU5" s="16">
        <f t="shared" si="3"/>
        <v>55</v>
      </c>
      <c r="CV5" s="16">
        <f t="shared" si="3"/>
        <v>56</v>
      </c>
    </row>
    <row r="6" spans="1:100">
      <c r="E6" s="17" t="str">
        <f>CONCATENATE(IF(E4&lt;10,"0",""),E4)</f>
        <v>01</v>
      </c>
      <c r="F6" s="17" t="str">
        <f t="shared" ref="F6:AR6" si="4">CONCATENATE(IF(F4&lt;10,"0",""),F4)</f>
        <v>02</v>
      </c>
      <c r="G6" s="17" t="str">
        <f t="shared" si="4"/>
        <v>03</v>
      </c>
      <c r="H6" s="17" t="str">
        <f t="shared" si="4"/>
        <v>04</v>
      </c>
      <c r="I6" s="17" t="str">
        <f t="shared" si="4"/>
        <v>05</v>
      </c>
      <c r="J6" s="17" t="str">
        <f t="shared" si="4"/>
        <v>06</v>
      </c>
      <c r="K6" s="17" t="str">
        <f t="shared" si="4"/>
        <v>07</v>
      </c>
      <c r="L6" s="17" t="str">
        <f t="shared" si="4"/>
        <v>08</v>
      </c>
      <c r="M6" s="17" t="str">
        <f t="shared" si="4"/>
        <v>09</v>
      </c>
      <c r="N6" s="17" t="str">
        <f t="shared" si="4"/>
        <v>10</v>
      </c>
      <c r="O6" s="17" t="str">
        <f t="shared" si="4"/>
        <v>11</v>
      </c>
      <c r="P6" s="17" t="str">
        <f t="shared" si="4"/>
        <v>12</v>
      </c>
      <c r="Q6" s="17" t="str">
        <f t="shared" si="4"/>
        <v>13</v>
      </c>
      <c r="R6" s="17" t="str">
        <f t="shared" si="4"/>
        <v>14</v>
      </c>
      <c r="S6" s="17" t="str">
        <f t="shared" si="4"/>
        <v>15</v>
      </c>
      <c r="T6" s="17" t="str">
        <f t="shared" si="4"/>
        <v>16</v>
      </c>
      <c r="U6" s="17" t="str">
        <f t="shared" si="4"/>
        <v>17</v>
      </c>
      <c r="V6" s="17" t="str">
        <f t="shared" si="4"/>
        <v>18</v>
      </c>
      <c r="W6" s="17" t="str">
        <f t="shared" si="4"/>
        <v>19</v>
      </c>
      <c r="X6" s="17" t="str">
        <f t="shared" si="4"/>
        <v>20</v>
      </c>
      <c r="Y6" s="17" t="str">
        <f t="shared" si="4"/>
        <v>21</v>
      </c>
      <c r="Z6" s="17" t="str">
        <f t="shared" si="4"/>
        <v>22</v>
      </c>
      <c r="AA6" s="17" t="str">
        <f t="shared" si="4"/>
        <v>23</v>
      </c>
      <c r="AB6" s="17" t="str">
        <f t="shared" si="4"/>
        <v>24</v>
      </c>
      <c r="AC6" s="17" t="str">
        <f t="shared" si="4"/>
        <v>25</v>
      </c>
      <c r="AD6" s="17" t="str">
        <f t="shared" si="4"/>
        <v>26</v>
      </c>
      <c r="AE6" s="17" t="str">
        <f t="shared" si="4"/>
        <v>27</v>
      </c>
      <c r="AF6" s="17" t="str">
        <f t="shared" si="4"/>
        <v>28</v>
      </c>
      <c r="AG6" s="17" t="str">
        <f t="shared" si="4"/>
        <v>29</v>
      </c>
      <c r="AH6" s="17" t="str">
        <f t="shared" si="4"/>
        <v>30</v>
      </c>
      <c r="AI6" s="17" t="str">
        <f t="shared" si="4"/>
        <v>31</v>
      </c>
      <c r="AJ6" s="17" t="str">
        <f t="shared" si="4"/>
        <v>32</v>
      </c>
      <c r="AK6" s="17" t="str">
        <f t="shared" si="4"/>
        <v>33</v>
      </c>
      <c r="AL6" s="17" t="str">
        <f t="shared" si="4"/>
        <v>34</v>
      </c>
      <c r="AM6" s="17" t="str">
        <f t="shared" si="4"/>
        <v>35</v>
      </c>
      <c r="AN6" s="17" t="str">
        <f t="shared" si="4"/>
        <v>36</v>
      </c>
      <c r="AO6" s="17" t="str">
        <f t="shared" si="4"/>
        <v>37</v>
      </c>
      <c r="AP6" s="17" t="str">
        <f t="shared" si="4"/>
        <v>38</v>
      </c>
      <c r="AQ6" s="17" t="str">
        <f t="shared" si="4"/>
        <v>39</v>
      </c>
      <c r="AR6" s="17" t="str">
        <f t="shared" si="4"/>
        <v>40</v>
      </c>
    </row>
    <row r="8" spans="1:100" ht="87">
      <c r="E8" s="348" t="str">
        <f>IF(CS!C7="",CONCATENATE("Draw",IF(E4&lt;10,"0",""),E4),CS!C7)</f>
        <v>Day 01, 12:00 pm</v>
      </c>
      <c r="F8" s="348" t="str">
        <f>IF(CS!D7="",CONCATENATE("Draw",IF(F4&lt;10,"0",""),F4),CS!D7)</f>
        <v>Draw02</v>
      </c>
      <c r="G8" s="348" t="str">
        <f>IF(CS!E7="",CONCATENATE("Draw",IF(G4&lt;10,"0",""),G4),CS!E7)</f>
        <v>Draw03</v>
      </c>
      <c r="H8" s="348" t="str">
        <f>IF(CS!F7="",CONCATENATE("Draw",IF(H4&lt;10,"0",""),H4),CS!F7)</f>
        <v>Draw04</v>
      </c>
      <c r="I8" s="348" t="str">
        <f>IF(CS!G7="",CONCATENATE("Draw",IF(I4&lt;10,"0",""),I4),CS!G7)</f>
        <v>Draw05</v>
      </c>
      <c r="J8" s="348" t="str">
        <f>IF(CS!H7="",CONCATENATE("Draw",IF(J4&lt;10,"0",""),J4),CS!H7)</f>
        <v>Draw06</v>
      </c>
      <c r="K8" s="348" t="str">
        <f>IF(CS!I7="",CONCATENATE("Draw",IF(K4&lt;10,"0",""),K4),CS!I7)</f>
        <v>Draw07</v>
      </c>
      <c r="L8" s="348" t="str">
        <f>IF(CS!J7="",CONCATENATE("Draw",IF(L4&lt;10,"0",""),L4),CS!J7)</f>
        <v>Draw08</v>
      </c>
      <c r="M8" s="348" t="str">
        <f>IF(CS!K7="",CONCATENATE("Draw",IF(M4&lt;10,"0",""),M4),CS!K7)</f>
        <v>Draw09</v>
      </c>
      <c r="N8" s="348" t="str">
        <f>IF(CS!L7="",CONCATENATE("Draw",IF(N4&lt;10,"0",""),N4),CS!L7)</f>
        <v>Draw10</v>
      </c>
      <c r="O8" s="348" t="str">
        <f>IF(CS!M7="",CONCATENATE("Draw",IF(O4&lt;10,"0",""),O4),CS!M7)</f>
        <v>Draw11</v>
      </c>
      <c r="P8" s="348" t="str">
        <f>IF(CS!N7="",CONCATENATE("Draw",IF(P4&lt;10,"0",""),P4),CS!N7)</f>
        <v>Draw12</v>
      </c>
      <c r="Q8" s="348" t="str">
        <f>IF(CS!O7="",CONCATENATE("Draw",IF(Q4&lt;10,"0",""),Q4),CS!O7)</f>
        <v>Draw13</v>
      </c>
      <c r="R8" s="348" t="str">
        <f>IF(CS!P7="",CONCATENATE("Draw",IF(R4&lt;10,"0",""),R4),CS!P7)</f>
        <v>Draw14</v>
      </c>
      <c r="S8" s="348" t="str">
        <f>IF(CS!Q7="",CONCATENATE("Draw",IF(S4&lt;10,"0",""),S4),CS!Q7)</f>
        <v>Draw15</v>
      </c>
      <c r="T8" s="348" t="str">
        <f>IF(CS!R7="",CONCATENATE("Draw",IF(T4&lt;10,"0",""),T4),CS!R7)</f>
        <v>Draw16</v>
      </c>
      <c r="U8" s="348" t="str">
        <f>IF(CS!S7="",CONCATENATE("Draw",IF(U4&lt;10,"0",""),U4),CS!S7)</f>
        <v>Draw17</v>
      </c>
      <c r="V8" s="348" t="str">
        <f>IF(CS!T7="",CONCATENATE("Draw",IF(V4&lt;10,"0",""),V4),CS!T7)</f>
        <v>Draw18</v>
      </c>
      <c r="W8" s="348" t="str">
        <f>IF(CS!U7="",CONCATENATE("Draw",IF(W4&lt;10,"0",""),W4),CS!U7)</f>
        <v>Draw19</v>
      </c>
      <c r="X8" s="348" t="str">
        <f>IF(CS!V7="",CONCATENATE("Draw",IF(X4&lt;10,"0",""),X4),CS!V7)</f>
        <v>Draw20</v>
      </c>
      <c r="Y8" s="348" t="str">
        <f>IF(CS!W7="",CONCATENATE("Draw",IF(Y4&lt;10,"0",""),Y4),CS!W7)</f>
        <v>Draw21</v>
      </c>
      <c r="Z8" s="348" t="str">
        <f>IF(CS!X7="",CONCATENATE("Draw",IF(Z4&lt;10,"0",""),Z4),CS!X7)</f>
        <v>Draw22</v>
      </c>
      <c r="AA8" s="348" t="str">
        <f>IF(CS!Y7="",CONCATENATE("Draw",IF(AA4&lt;10,"0",""),AA4),CS!Y7)</f>
        <v>Draw23</v>
      </c>
      <c r="AB8" s="348" t="str">
        <f>IF(CS!Z7="",CONCATENATE("Draw",IF(AB4&lt;10,"0",""),AB4),CS!Z7)</f>
        <v>Draw24</v>
      </c>
      <c r="AC8" s="348" t="str">
        <f>IF(CS!AA7="",CONCATENATE("Draw",IF(AC4&lt;10,"0",""),AC4),CS!AA7)</f>
        <v>Draw25</v>
      </c>
      <c r="AD8" s="348" t="str">
        <f>IF(CS!AB7="",CONCATENATE("Draw",IF(AD4&lt;10,"0",""),AD4),CS!AB7)</f>
        <v>Draw26</v>
      </c>
      <c r="AE8" s="348" t="str">
        <f>IF(CS!AC7="",CONCATENATE("Draw",IF(AE4&lt;10,"0",""),AE4),CS!AC7)</f>
        <v>Draw27</v>
      </c>
      <c r="AF8" s="348" t="str">
        <f>IF(CS!AD7="",CONCATENATE("Draw",IF(AF4&lt;10,"0",""),AF4),CS!AD7)</f>
        <v>Draw28</v>
      </c>
      <c r="AG8" s="348" t="str">
        <f>IF(CS!AE7="",CONCATENATE("Draw",IF(AG4&lt;10,"0",""),AG4),CS!AE7)</f>
        <v>Draw29</v>
      </c>
      <c r="AH8" s="348" t="str">
        <f>IF(CS!AF7="",CONCATENATE("Draw",IF(AH4&lt;10,"0",""),AH4),CS!AF7)</f>
        <v>Draw30</v>
      </c>
      <c r="AI8" s="348" t="str">
        <f>IF(CS!AG7="",CONCATENATE("Draw",IF(AI4&lt;10,"0",""),AI4),CS!AG7)</f>
        <v>Draw31</v>
      </c>
      <c r="AJ8" s="348" t="str">
        <f>IF(CS!AH7="",CONCATENATE("Draw",IF(AJ4&lt;10,"0",""),AJ4),CS!AH7)</f>
        <v>Draw32</v>
      </c>
      <c r="AK8" s="348" t="str">
        <f>IF(CS!AI7="",CONCATENATE("Draw",IF(AK4&lt;10,"0",""),AK4),CS!AI7)</f>
        <v>Draw33</v>
      </c>
      <c r="AL8" s="348" t="str">
        <f>IF(CS!AJ7="",CONCATENATE("Draw",IF(AL4&lt;10,"0",""),AL4),CS!AJ7)</f>
        <v>Draw34</v>
      </c>
      <c r="AM8" s="348" t="str">
        <f>IF(CS!AK7="",CONCATENATE("Draw",IF(AM4&lt;10,"0",""),AM4),CS!AK7)</f>
        <v>Draw35</v>
      </c>
      <c r="AN8" s="348" t="str">
        <f>IF(CS!AL7="",CONCATENATE("Draw",IF(AN4&lt;10,"0",""),AN4),CS!AL7)</f>
        <v>Draw36</v>
      </c>
      <c r="AO8" s="348" t="str">
        <f>IF(CS!AM7="",CONCATENATE("Draw",IF(AO4&lt;10,"0",""),AO4),CS!AM7)</f>
        <v>Draw37</v>
      </c>
      <c r="AP8" s="348" t="str">
        <f>IF(CS!AN7="",CONCATENATE("Draw",IF(AP4&lt;10,"0",""),AP4),CS!AN7)</f>
        <v>Draw38</v>
      </c>
      <c r="AQ8" s="348" t="str">
        <f>IF(CS!AO7="",CONCATENATE("Draw",IF(AQ4&lt;10,"0",""),AQ4),CS!AO7)</f>
        <v>Draw39</v>
      </c>
      <c r="AR8" s="348" t="str">
        <f>IF(CS!AP7="",CONCATENATE("Draw",IF(AR4&lt;10,"0",""),AR4),CS!AP7)</f>
        <v>Draw40</v>
      </c>
    </row>
    <row r="10" spans="1:100">
      <c r="D10" s="341"/>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345"/>
      <c r="BB10" s="341"/>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345"/>
    </row>
    <row r="11" spans="1:100" ht="15">
      <c r="B11" s="63" t="str">
        <f t="array" ref="B11:B56">TRANSPOSE(E3:AX3)</f>
        <v>BC</v>
      </c>
      <c r="C11" s="16" t="str">
        <f>CONCATENATE(B11,"11:",B11,"56")</f>
        <v>BC11:BC56</v>
      </c>
      <c r="D11" s="342" t="str">
        <f ca="1">BB11</f>
        <v>Tm01</v>
      </c>
      <c r="E11" s="349" t="str">
        <f ca="1">IF(ISERROR(INDIRECT(CONCATENATE("D",MATCH(E$6,INDIRECT($C11),0)+10))),"ng",INDIRECT(CONCATENATE("D",MATCH(E$6,INDIRECT($C11),0)+10)))</f>
        <v>Tm08</v>
      </c>
      <c r="F11" s="349" t="str">
        <f t="shared" ref="F11:AK19" ca="1" si="5">IF(ISERROR(INDIRECT(CONCATENATE("D",MATCH(F$6,INDIRECT($C11),0)+10))),"ng",INDIRECT(CONCATENATE("D",MATCH(F$6,INDIRECT($C11),0)+10)))</f>
        <v>ng</v>
      </c>
      <c r="G11" s="349" t="str">
        <f t="shared" ca="1" si="5"/>
        <v>ng</v>
      </c>
      <c r="H11" s="349" t="str">
        <f t="shared" ca="1" si="5"/>
        <v>Tm05</v>
      </c>
      <c r="I11" s="349" t="str">
        <f t="shared" ca="1" si="5"/>
        <v>Tm06</v>
      </c>
      <c r="J11" s="349" t="str">
        <f t="shared" ca="1" si="5"/>
        <v>ng</v>
      </c>
      <c r="K11" s="349" t="str">
        <f t="shared" ca="1" si="5"/>
        <v>ng</v>
      </c>
      <c r="L11" s="349" t="str">
        <f t="shared" ca="1" si="5"/>
        <v>Tm07</v>
      </c>
      <c r="M11" s="349" t="str">
        <f t="shared" ca="1" si="5"/>
        <v>Tm04</v>
      </c>
      <c r="N11" s="349" t="str">
        <f t="shared" ca="1" si="5"/>
        <v>ng</v>
      </c>
      <c r="O11" s="349" t="str">
        <f t="shared" ca="1" si="5"/>
        <v>ng</v>
      </c>
      <c r="P11" s="349" t="str">
        <f t="shared" ca="1" si="5"/>
        <v>Tm03</v>
      </c>
      <c r="Q11" s="349" t="str">
        <f t="shared" ca="1" si="5"/>
        <v>Tm02</v>
      </c>
      <c r="R11" s="349" t="str">
        <f t="shared" ca="1" si="5"/>
        <v>ng</v>
      </c>
      <c r="S11" s="349" t="str">
        <f t="shared" ca="1" si="5"/>
        <v>ng</v>
      </c>
      <c r="T11" s="349" t="str">
        <f t="shared" ca="1" si="5"/>
        <v>ng</v>
      </c>
      <c r="U11" s="349" t="str">
        <f t="shared" ca="1" si="5"/>
        <v>ng</v>
      </c>
      <c r="V11" s="349" t="str">
        <f t="shared" ca="1" si="5"/>
        <v>ng</v>
      </c>
      <c r="W11" s="349" t="str">
        <f t="shared" ca="1" si="5"/>
        <v>ng</v>
      </c>
      <c r="X11" s="349" t="str">
        <f t="shared" ca="1" si="5"/>
        <v>ng</v>
      </c>
      <c r="Y11" s="349" t="str">
        <f t="shared" ca="1" si="5"/>
        <v>ng</v>
      </c>
      <c r="Z11" s="349" t="str">
        <f t="shared" ca="1" si="5"/>
        <v>ng</v>
      </c>
      <c r="AA11" s="349" t="str">
        <f t="shared" ca="1" si="5"/>
        <v>ng</v>
      </c>
      <c r="AB11" s="349" t="str">
        <f t="shared" ca="1" si="5"/>
        <v>ng</v>
      </c>
      <c r="AC11" s="349" t="str">
        <f t="shared" ca="1" si="5"/>
        <v>ng</v>
      </c>
      <c r="AD11" s="349" t="str">
        <f t="shared" ca="1" si="5"/>
        <v>ng</v>
      </c>
      <c r="AE11" s="349" t="str">
        <f t="shared" ca="1" si="5"/>
        <v>ng</v>
      </c>
      <c r="AF11" s="349" t="str">
        <f t="shared" ca="1" si="5"/>
        <v>ng</v>
      </c>
      <c r="AG11" s="349" t="str">
        <f t="shared" ca="1" si="5"/>
        <v>ng</v>
      </c>
      <c r="AH11" s="349" t="str">
        <f t="shared" ca="1" si="5"/>
        <v>ng</v>
      </c>
      <c r="AI11" s="349" t="str">
        <f t="shared" ca="1" si="5"/>
        <v>ng</v>
      </c>
      <c r="AJ11" s="349" t="str">
        <f t="shared" ca="1" si="5"/>
        <v>ng</v>
      </c>
      <c r="AK11" s="349" t="str">
        <f t="shared" ca="1" si="5"/>
        <v>ng</v>
      </c>
      <c r="AL11" s="349" t="str">
        <f t="shared" ref="AL11:AR26" ca="1" si="6">IF(ISERROR(INDIRECT(CONCATENATE("D",MATCH(AL$6,INDIRECT($C11),0)+10))),"ng",INDIRECT(CONCATENATE("D",MATCH(AL$6,INDIRECT($C11),0)+10)))</f>
        <v>ng</v>
      </c>
      <c r="AM11" s="349" t="str">
        <f t="shared" ca="1" si="6"/>
        <v>ng</v>
      </c>
      <c r="AN11" s="349" t="str">
        <f t="shared" ca="1" si="6"/>
        <v>ng</v>
      </c>
      <c r="AO11" s="349" t="str">
        <f t="shared" ca="1" si="6"/>
        <v>ng</v>
      </c>
      <c r="AP11" s="349" t="str">
        <f t="shared" ca="1" si="6"/>
        <v>ng</v>
      </c>
      <c r="AQ11" s="349" t="str">
        <f t="shared" ca="1" si="6"/>
        <v>ng</v>
      </c>
      <c r="AR11" s="350" t="str">
        <f t="shared" ca="1" si="6"/>
        <v>ng</v>
      </c>
      <c r="BA11" s="16" t="str">
        <f t="array" ref="BA11:BA56">TRANSPOSE(BC3:CV3)</f>
        <v>BC</v>
      </c>
      <c r="BB11" s="342" t="str">
        <f ca="1">DcI!C11</f>
        <v>Tm01</v>
      </c>
      <c r="BC11" s="347" t="str">
        <f ca="1">IF(DcI!D11="X","X",IF(LEN(DcI!D11)=3,CONCATENATE("0",LEFT(DcI!D11,1)),IF(LEN(DcI!D11)=5,LEFT(DcI!D11,2),IF(MID(DcI!D11,2,1)="•",CONCATENATE("0",LEFT(DcI!D11,1)),LEFT(DcI!D11,2)))))</f>
        <v>X</v>
      </c>
      <c r="BD11" s="28" t="str">
        <f ca="1">INDIRECT(CONCATENATE($BA11,BD$5))</f>
        <v>13</v>
      </c>
      <c r="BE11" s="28" t="str">
        <f t="shared" ref="BE11:CV28" ca="1" si="7">INDIRECT(CONCATENATE($BA11,BE$5))</f>
        <v>12</v>
      </c>
      <c r="BF11" s="28" t="str">
        <f t="shared" ca="1" si="7"/>
        <v>09</v>
      </c>
      <c r="BG11" s="28" t="str">
        <f t="shared" ca="1" si="7"/>
        <v>04</v>
      </c>
      <c r="BH11" s="28" t="str">
        <f t="shared" ca="1" si="7"/>
        <v>05</v>
      </c>
      <c r="BI11" s="28" t="str">
        <f t="shared" ca="1" si="7"/>
        <v>08</v>
      </c>
      <c r="BJ11" s="28" t="str">
        <f t="shared" ca="1" si="7"/>
        <v>01</v>
      </c>
      <c r="BK11" s="28" t="str">
        <f t="shared" ca="1" si="7"/>
        <v/>
      </c>
      <c r="BL11" s="28" t="str">
        <f t="shared" ca="1" si="7"/>
        <v/>
      </c>
      <c r="BM11" s="28" t="str">
        <f t="shared" ca="1" si="7"/>
        <v/>
      </c>
      <c r="BN11" s="28" t="str">
        <f t="shared" ca="1" si="7"/>
        <v/>
      </c>
      <c r="BO11" s="28" t="str">
        <f t="shared" ca="1" si="7"/>
        <v/>
      </c>
      <c r="BP11" s="28" t="str">
        <f t="shared" ca="1" si="7"/>
        <v/>
      </c>
      <c r="BQ11" s="28" t="str">
        <f t="shared" ca="1" si="7"/>
        <v/>
      </c>
      <c r="BR11" s="28" t="str">
        <f t="shared" ca="1" si="7"/>
        <v/>
      </c>
      <c r="BS11" s="28" t="str">
        <f t="shared" ca="1" si="7"/>
        <v/>
      </c>
      <c r="BT11" s="28" t="str">
        <f t="shared" ca="1" si="7"/>
        <v/>
      </c>
      <c r="BU11" s="28" t="str">
        <f t="shared" ca="1" si="7"/>
        <v/>
      </c>
      <c r="BV11" s="28" t="str">
        <f t="shared" ca="1" si="7"/>
        <v/>
      </c>
      <c r="BW11" s="28" t="str">
        <f t="shared" ca="1" si="7"/>
        <v/>
      </c>
      <c r="BX11" s="28" t="str">
        <f t="shared" ca="1" si="7"/>
        <v/>
      </c>
      <c r="BY11" s="28" t="str">
        <f t="shared" ca="1" si="7"/>
        <v/>
      </c>
      <c r="BZ11" s="28" t="str">
        <f t="shared" ca="1" si="7"/>
        <v/>
      </c>
      <c r="CA11" s="28" t="str">
        <f t="shared" ca="1" si="7"/>
        <v/>
      </c>
      <c r="CB11" s="28" t="str">
        <f t="shared" ca="1" si="7"/>
        <v/>
      </c>
      <c r="CC11" s="28" t="str">
        <f t="shared" ca="1" si="7"/>
        <v/>
      </c>
      <c r="CD11" s="28" t="str">
        <f t="shared" ca="1" si="7"/>
        <v/>
      </c>
      <c r="CE11" s="28" t="str">
        <f t="shared" ca="1" si="7"/>
        <v/>
      </c>
      <c r="CF11" s="28" t="str">
        <f t="shared" ca="1" si="7"/>
        <v/>
      </c>
      <c r="CG11" s="28" t="str">
        <f t="shared" ca="1" si="7"/>
        <v/>
      </c>
      <c r="CH11" s="28" t="str">
        <f t="shared" ca="1" si="7"/>
        <v/>
      </c>
      <c r="CI11" s="28" t="str">
        <f t="shared" ca="1" si="7"/>
        <v/>
      </c>
      <c r="CJ11" s="28" t="str">
        <f t="shared" ca="1" si="7"/>
        <v/>
      </c>
      <c r="CK11" s="28" t="str">
        <f t="shared" ca="1" si="7"/>
        <v/>
      </c>
      <c r="CL11" s="28" t="str">
        <f t="shared" ca="1" si="7"/>
        <v/>
      </c>
      <c r="CM11" s="28" t="str">
        <f t="shared" ca="1" si="7"/>
        <v/>
      </c>
      <c r="CN11" s="28" t="str">
        <f t="shared" ca="1" si="7"/>
        <v/>
      </c>
      <c r="CO11" s="28" t="str">
        <f t="shared" ca="1" si="7"/>
        <v/>
      </c>
      <c r="CP11" s="28" t="str">
        <f t="shared" ca="1" si="7"/>
        <v/>
      </c>
      <c r="CQ11" s="28" t="str">
        <f t="shared" ca="1" si="7"/>
        <v/>
      </c>
      <c r="CR11" s="28" t="str">
        <f t="shared" ca="1" si="7"/>
        <v/>
      </c>
      <c r="CS11" s="28" t="str">
        <f t="shared" ca="1" si="7"/>
        <v/>
      </c>
      <c r="CT11" s="28" t="str">
        <f t="shared" ca="1" si="7"/>
        <v/>
      </c>
      <c r="CU11" s="28" t="str">
        <f t="shared" ca="1" si="7"/>
        <v/>
      </c>
      <c r="CV11" s="346" t="str">
        <f t="shared" ca="1" si="7"/>
        <v/>
      </c>
    </row>
    <row r="12" spans="1:100" ht="15">
      <c r="B12" s="63" t="str">
        <v>BD</v>
      </c>
      <c r="C12" s="16" t="str">
        <f t="shared" ref="C12:C56" si="8">CONCATENATE(B12,"11:",B12,"56")</f>
        <v>BD11:BD56</v>
      </c>
      <c r="D12" s="342" t="str">
        <f t="shared" ref="D12:D56" ca="1" si="9">BB12</f>
        <v>Tm02</v>
      </c>
      <c r="E12" s="349" t="str">
        <f t="shared" ref="E12:T56" ca="1" si="10">IF(ISERROR(INDIRECT(CONCATENATE("D",MATCH(E$6,INDIRECT($C12),0)+10))),"ng",INDIRECT(CONCATENATE("D",MATCH(E$6,INDIRECT($C12),0)+10)))</f>
        <v>Tm07</v>
      </c>
      <c r="F12" s="349" t="str">
        <f t="shared" ca="1" si="10"/>
        <v>ng</v>
      </c>
      <c r="G12" s="349" t="str">
        <f t="shared" ca="1" si="10"/>
        <v>ng</v>
      </c>
      <c r="H12" s="349" t="str">
        <f t="shared" ca="1" si="10"/>
        <v>Tm06</v>
      </c>
      <c r="I12" s="349" t="str">
        <f t="shared" ca="1" si="10"/>
        <v>Tm05</v>
      </c>
      <c r="J12" s="349" t="str">
        <f t="shared" ca="1" si="10"/>
        <v>ng</v>
      </c>
      <c r="K12" s="349" t="str">
        <f t="shared" ca="1" si="10"/>
        <v>ng</v>
      </c>
      <c r="L12" s="349" t="str">
        <f t="shared" ca="1" si="10"/>
        <v>Tm08</v>
      </c>
      <c r="M12" s="349" t="str">
        <f t="shared" ca="1" si="10"/>
        <v>Tm03</v>
      </c>
      <c r="N12" s="349" t="str">
        <f t="shared" ca="1" si="10"/>
        <v>ng</v>
      </c>
      <c r="O12" s="349" t="str">
        <f t="shared" ca="1" si="10"/>
        <v>ng</v>
      </c>
      <c r="P12" s="349" t="str">
        <f t="shared" ca="1" si="10"/>
        <v>Tm04</v>
      </c>
      <c r="Q12" s="349" t="str">
        <f t="shared" ca="1" si="10"/>
        <v>Tm01</v>
      </c>
      <c r="R12" s="349" t="str">
        <f t="shared" ca="1" si="10"/>
        <v>ng</v>
      </c>
      <c r="S12" s="349" t="str">
        <f t="shared" ca="1" si="10"/>
        <v>ng</v>
      </c>
      <c r="T12" s="349" t="str">
        <f t="shared" ca="1" si="10"/>
        <v>ng</v>
      </c>
      <c r="U12" s="349" t="str">
        <f t="shared" ca="1" si="5"/>
        <v>ng</v>
      </c>
      <c r="V12" s="349" t="str">
        <f t="shared" ca="1" si="5"/>
        <v>ng</v>
      </c>
      <c r="W12" s="349" t="str">
        <f t="shared" ca="1" si="5"/>
        <v>ng</v>
      </c>
      <c r="X12" s="349" t="str">
        <f t="shared" ca="1" si="5"/>
        <v>ng</v>
      </c>
      <c r="Y12" s="349" t="str">
        <f t="shared" ca="1" si="5"/>
        <v>ng</v>
      </c>
      <c r="Z12" s="349" t="str">
        <f t="shared" ca="1" si="5"/>
        <v>ng</v>
      </c>
      <c r="AA12" s="349" t="str">
        <f t="shared" ca="1" si="5"/>
        <v>ng</v>
      </c>
      <c r="AB12" s="349" t="str">
        <f t="shared" ca="1" si="5"/>
        <v>ng</v>
      </c>
      <c r="AC12" s="349" t="str">
        <f t="shared" ca="1" si="5"/>
        <v>ng</v>
      </c>
      <c r="AD12" s="349" t="str">
        <f t="shared" ca="1" si="5"/>
        <v>ng</v>
      </c>
      <c r="AE12" s="349" t="str">
        <f t="shared" ca="1" si="5"/>
        <v>ng</v>
      </c>
      <c r="AF12" s="349" t="str">
        <f t="shared" ca="1" si="5"/>
        <v>ng</v>
      </c>
      <c r="AG12" s="349" t="str">
        <f t="shared" ca="1" si="5"/>
        <v>ng</v>
      </c>
      <c r="AH12" s="349" t="str">
        <f t="shared" ca="1" si="5"/>
        <v>ng</v>
      </c>
      <c r="AI12" s="349" t="str">
        <f t="shared" ca="1" si="5"/>
        <v>ng</v>
      </c>
      <c r="AJ12" s="349" t="str">
        <f t="shared" ca="1" si="5"/>
        <v>ng</v>
      </c>
      <c r="AK12" s="349" t="str">
        <f t="shared" ca="1" si="5"/>
        <v>ng</v>
      </c>
      <c r="AL12" s="349" t="str">
        <f t="shared" ca="1" si="6"/>
        <v>ng</v>
      </c>
      <c r="AM12" s="349" t="str">
        <f t="shared" ca="1" si="6"/>
        <v>ng</v>
      </c>
      <c r="AN12" s="349" t="str">
        <f t="shared" ca="1" si="6"/>
        <v>ng</v>
      </c>
      <c r="AO12" s="349" t="str">
        <f t="shared" ca="1" si="6"/>
        <v>ng</v>
      </c>
      <c r="AP12" s="349" t="str">
        <f t="shared" ca="1" si="6"/>
        <v>ng</v>
      </c>
      <c r="AQ12" s="349" t="str">
        <f t="shared" ca="1" si="6"/>
        <v>ng</v>
      </c>
      <c r="AR12" s="350" t="str">
        <f t="shared" ca="1" si="6"/>
        <v>ng</v>
      </c>
      <c r="BA12" s="16" t="str">
        <v>BD</v>
      </c>
      <c r="BB12" s="342" t="str">
        <f ca="1">DcI!C12</f>
        <v>Tm02</v>
      </c>
      <c r="BC12" s="28" t="str">
        <f ca="1">IF(DcI!D12="X","X",IF(LEN(DcI!D12)=3,CONCATENATE("0",LEFT(DcI!D12,1)),IF(LEN(DcI!D12)=5,LEFT(DcI!D12,2),IF(MID(DcI!D12,2,1)="•",CONCATENATE("0",LEFT(DcI!D12,1)),LEFT(DcI!D12,2)))))</f>
        <v>13</v>
      </c>
      <c r="BD12" s="347" t="str">
        <f ca="1">IF(DcI!E12="X","X",IF(LEN(DcI!E12)=3,CONCATENATE("0",LEFT(DcI!E12,1)),IF(LEN(DcI!E12)=5,LEFT(DcI!E12,2),IF(MID(DcI!E12,2,1)="•",CONCATENATE("0",LEFT(DcI!E12,1)),LEFT(DcI!E12,2)))))</f>
        <v>X</v>
      </c>
      <c r="BE12" s="28" t="str">
        <f t="shared" ca="1" si="7"/>
        <v>09</v>
      </c>
      <c r="BF12" s="28" t="str">
        <f t="shared" ca="1" si="7"/>
        <v>12</v>
      </c>
      <c r="BG12" s="28" t="str">
        <f t="shared" ca="1" si="7"/>
        <v>05</v>
      </c>
      <c r="BH12" s="28" t="str">
        <f t="shared" ca="1" si="7"/>
        <v>04</v>
      </c>
      <c r="BI12" s="28" t="str">
        <f t="shared" ca="1" si="7"/>
        <v>01</v>
      </c>
      <c r="BJ12" s="28" t="str">
        <f t="shared" ca="1" si="7"/>
        <v>08</v>
      </c>
      <c r="BK12" s="28" t="str">
        <f t="shared" ca="1" si="7"/>
        <v/>
      </c>
      <c r="BL12" s="28" t="str">
        <f t="shared" ca="1" si="7"/>
        <v/>
      </c>
      <c r="BM12" s="28" t="str">
        <f t="shared" ca="1" si="7"/>
        <v/>
      </c>
      <c r="BN12" s="28" t="str">
        <f t="shared" ca="1" si="7"/>
        <v/>
      </c>
      <c r="BO12" s="28" t="str">
        <f t="shared" ca="1" si="7"/>
        <v/>
      </c>
      <c r="BP12" s="28" t="str">
        <f t="shared" ca="1" si="7"/>
        <v/>
      </c>
      <c r="BQ12" s="28" t="str">
        <f t="shared" ca="1" si="7"/>
        <v/>
      </c>
      <c r="BR12" s="28" t="str">
        <f t="shared" ca="1" si="7"/>
        <v/>
      </c>
      <c r="BS12" s="28" t="str">
        <f t="shared" ca="1" si="7"/>
        <v/>
      </c>
      <c r="BT12" s="28" t="str">
        <f t="shared" ca="1" si="7"/>
        <v/>
      </c>
      <c r="BU12" s="28" t="str">
        <f t="shared" ca="1" si="7"/>
        <v/>
      </c>
      <c r="BV12" s="28" t="str">
        <f t="shared" ca="1" si="7"/>
        <v/>
      </c>
      <c r="BW12" s="28" t="str">
        <f t="shared" ca="1" si="7"/>
        <v/>
      </c>
      <c r="BX12" s="28" t="str">
        <f t="shared" ca="1" si="7"/>
        <v/>
      </c>
      <c r="BY12" s="28" t="str">
        <f t="shared" ca="1" si="7"/>
        <v/>
      </c>
      <c r="BZ12" s="28" t="str">
        <f t="shared" ref="BZ12:CO27" ca="1" si="11">INDIRECT(CONCATENATE($BA12,BZ$5))</f>
        <v/>
      </c>
      <c r="CA12" s="28" t="str">
        <f t="shared" ca="1" si="11"/>
        <v/>
      </c>
      <c r="CB12" s="28" t="str">
        <f t="shared" ca="1" si="11"/>
        <v/>
      </c>
      <c r="CC12" s="28" t="str">
        <f t="shared" ca="1" si="11"/>
        <v/>
      </c>
      <c r="CD12" s="28" t="str">
        <f t="shared" ca="1" si="11"/>
        <v/>
      </c>
      <c r="CE12" s="28" t="str">
        <f t="shared" ca="1" si="11"/>
        <v/>
      </c>
      <c r="CF12" s="28" t="str">
        <f t="shared" ca="1" si="11"/>
        <v/>
      </c>
      <c r="CG12" s="28" t="str">
        <f t="shared" ca="1" si="11"/>
        <v/>
      </c>
      <c r="CH12" s="28" t="str">
        <f t="shared" ca="1" si="11"/>
        <v/>
      </c>
      <c r="CI12" s="28" t="str">
        <f t="shared" ca="1" si="11"/>
        <v/>
      </c>
      <c r="CJ12" s="28" t="str">
        <f t="shared" ca="1" si="11"/>
        <v/>
      </c>
      <c r="CK12" s="28" t="str">
        <f t="shared" ca="1" si="11"/>
        <v/>
      </c>
      <c r="CL12" s="28" t="str">
        <f t="shared" ca="1" si="11"/>
        <v/>
      </c>
      <c r="CM12" s="28" t="str">
        <f t="shared" ca="1" si="11"/>
        <v/>
      </c>
      <c r="CN12" s="28" t="str">
        <f t="shared" ca="1" si="11"/>
        <v/>
      </c>
      <c r="CO12" s="28" t="str">
        <f t="shared" ca="1" si="11"/>
        <v/>
      </c>
      <c r="CP12" s="28" t="str">
        <f t="shared" ref="CO12:CV43" ca="1" si="12">INDIRECT(CONCATENATE($BA12,CP$5))</f>
        <v/>
      </c>
      <c r="CQ12" s="28" t="str">
        <f t="shared" ca="1" si="12"/>
        <v/>
      </c>
      <c r="CR12" s="28" t="str">
        <f t="shared" ca="1" si="12"/>
        <v/>
      </c>
      <c r="CS12" s="28" t="str">
        <f t="shared" ca="1" si="12"/>
        <v/>
      </c>
      <c r="CT12" s="28" t="str">
        <f t="shared" ca="1" si="12"/>
        <v/>
      </c>
      <c r="CU12" s="28" t="str">
        <f t="shared" ca="1" si="12"/>
        <v/>
      </c>
      <c r="CV12" s="346" t="str">
        <f t="shared" ca="1" si="12"/>
        <v/>
      </c>
    </row>
    <row r="13" spans="1:100" ht="15">
      <c r="B13" s="63" t="str">
        <v>BE</v>
      </c>
      <c r="C13" s="16" t="str">
        <f t="shared" si="8"/>
        <v>BE11:BE56</v>
      </c>
      <c r="D13" s="342" t="str">
        <f t="shared" ca="1" si="9"/>
        <v>Tm03</v>
      </c>
      <c r="E13" s="349" t="str">
        <f t="shared" ca="1" si="10"/>
        <v>Tm05</v>
      </c>
      <c r="F13" s="349" t="str">
        <f t="shared" ca="1" si="5"/>
        <v>ng</v>
      </c>
      <c r="G13" s="349" t="str">
        <f t="shared" ca="1" si="5"/>
        <v>ng</v>
      </c>
      <c r="H13" s="349" t="str">
        <f t="shared" ca="1" si="5"/>
        <v>Tm07</v>
      </c>
      <c r="I13" s="349" t="str">
        <f t="shared" ca="1" si="5"/>
        <v>Tm08</v>
      </c>
      <c r="J13" s="349" t="str">
        <f t="shared" ca="1" si="5"/>
        <v>ng</v>
      </c>
      <c r="K13" s="349" t="str">
        <f t="shared" ca="1" si="5"/>
        <v>ng</v>
      </c>
      <c r="L13" s="349" t="str">
        <f t="shared" ca="1" si="5"/>
        <v>Tm06</v>
      </c>
      <c r="M13" s="349" t="str">
        <f t="shared" ca="1" si="5"/>
        <v>Tm02</v>
      </c>
      <c r="N13" s="349" t="str">
        <f t="shared" ca="1" si="5"/>
        <v>ng</v>
      </c>
      <c r="O13" s="349" t="str">
        <f t="shared" ca="1" si="5"/>
        <v>ng</v>
      </c>
      <c r="P13" s="349" t="str">
        <f t="shared" ca="1" si="5"/>
        <v>Tm01</v>
      </c>
      <c r="Q13" s="349" t="str">
        <f t="shared" ca="1" si="5"/>
        <v>Tm04</v>
      </c>
      <c r="R13" s="349" t="str">
        <f t="shared" ca="1" si="5"/>
        <v>ng</v>
      </c>
      <c r="S13" s="349" t="str">
        <f t="shared" ca="1" si="5"/>
        <v>ng</v>
      </c>
      <c r="T13" s="349" t="str">
        <f t="shared" ca="1" si="5"/>
        <v>ng</v>
      </c>
      <c r="U13" s="349" t="str">
        <f t="shared" ca="1" si="5"/>
        <v>ng</v>
      </c>
      <c r="V13" s="349" t="str">
        <f t="shared" ca="1" si="5"/>
        <v>ng</v>
      </c>
      <c r="W13" s="349" t="str">
        <f t="shared" ca="1" si="5"/>
        <v>ng</v>
      </c>
      <c r="X13" s="349" t="str">
        <f t="shared" ca="1" si="5"/>
        <v>ng</v>
      </c>
      <c r="Y13" s="349" t="str">
        <f t="shared" ca="1" si="5"/>
        <v>ng</v>
      </c>
      <c r="Z13" s="349" t="str">
        <f t="shared" ca="1" si="5"/>
        <v>ng</v>
      </c>
      <c r="AA13" s="349" t="str">
        <f t="shared" ca="1" si="5"/>
        <v>ng</v>
      </c>
      <c r="AB13" s="349" t="str">
        <f t="shared" ca="1" si="5"/>
        <v>ng</v>
      </c>
      <c r="AC13" s="349" t="str">
        <f t="shared" ca="1" si="5"/>
        <v>ng</v>
      </c>
      <c r="AD13" s="349" t="str">
        <f t="shared" ca="1" si="5"/>
        <v>ng</v>
      </c>
      <c r="AE13" s="349" t="str">
        <f t="shared" ca="1" si="5"/>
        <v>ng</v>
      </c>
      <c r="AF13" s="349" t="str">
        <f t="shared" ca="1" si="5"/>
        <v>ng</v>
      </c>
      <c r="AG13" s="349" t="str">
        <f t="shared" ca="1" si="5"/>
        <v>ng</v>
      </c>
      <c r="AH13" s="349" t="str">
        <f t="shared" ca="1" si="5"/>
        <v>ng</v>
      </c>
      <c r="AI13" s="349" t="str">
        <f t="shared" ca="1" si="5"/>
        <v>ng</v>
      </c>
      <c r="AJ13" s="349" t="str">
        <f t="shared" ca="1" si="5"/>
        <v>ng</v>
      </c>
      <c r="AK13" s="349" t="str">
        <f t="shared" ca="1" si="5"/>
        <v>ng</v>
      </c>
      <c r="AL13" s="349" t="str">
        <f t="shared" ca="1" si="6"/>
        <v>ng</v>
      </c>
      <c r="AM13" s="349" t="str">
        <f t="shared" ca="1" si="6"/>
        <v>ng</v>
      </c>
      <c r="AN13" s="349" t="str">
        <f t="shared" ca="1" si="6"/>
        <v>ng</v>
      </c>
      <c r="AO13" s="349" t="str">
        <f t="shared" ca="1" si="6"/>
        <v>ng</v>
      </c>
      <c r="AP13" s="349" t="str">
        <f t="shared" ca="1" si="6"/>
        <v>ng</v>
      </c>
      <c r="AQ13" s="349" t="str">
        <f t="shared" ca="1" si="6"/>
        <v>ng</v>
      </c>
      <c r="AR13" s="350" t="str">
        <f t="shared" ca="1" si="6"/>
        <v>ng</v>
      </c>
      <c r="BA13" s="16" t="str">
        <v>BE</v>
      </c>
      <c r="BB13" s="342" t="str">
        <f ca="1">DcI!C13</f>
        <v>Tm03</v>
      </c>
      <c r="BC13" s="28" t="str">
        <f ca="1">IF(DcI!D13="X","X",IF(LEN(DcI!D13)=3,CONCATENATE("0",LEFT(DcI!D13,1)),IF(LEN(DcI!D13)=5,LEFT(DcI!D13,2),IF(MID(DcI!D13,2,1)="•",CONCATENATE("0",LEFT(DcI!D13,1)),LEFT(DcI!D13,2)))))</f>
        <v>12</v>
      </c>
      <c r="BD13" s="28" t="str">
        <f ca="1">IF(DcI!E13="X","X",IF(LEN(DcI!E13)=3,CONCATENATE("0",LEFT(DcI!E13,1)),IF(LEN(DcI!E13)=5,LEFT(DcI!E13,2),IF(MID(DcI!E13,2,1)="•",CONCATENATE("0",LEFT(DcI!E13,1)),LEFT(DcI!E13,2)))))</f>
        <v>09</v>
      </c>
      <c r="BE13" s="347" t="str">
        <f ca="1">IF(DcI!F13="X","X",IF(LEN(DcI!F13)=3,CONCATENATE("0",LEFT(DcI!F13,1)),IF(LEN(DcI!F13)=5,LEFT(DcI!F13,2),IF(MID(DcI!F13,2,1)="•",CONCATENATE("0",LEFT(DcI!F13,1)),LEFT(DcI!F13,2)))))</f>
        <v>X</v>
      </c>
      <c r="BF13" s="28" t="str">
        <f t="shared" ca="1" si="7"/>
        <v>13</v>
      </c>
      <c r="BG13" s="28" t="str">
        <f t="shared" ca="1" si="7"/>
        <v>01</v>
      </c>
      <c r="BH13" s="28" t="str">
        <f t="shared" ca="1" si="7"/>
        <v>08</v>
      </c>
      <c r="BI13" s="28" t="str">
        <f t="shared" ca="1" si="7"/>
        <v>04</v>
      </c>
      <c r="BJ13" s="28" t="str">
        <f t="shared" ca="1" si="7"/>
        <v>05</v>
      </c>
      <c r="BK13" s="28" t="str">
        <f t="shared" ca="1" si="7"/>
        <v/>
      </c>
      <c r="BL13" s="28" t="str">
        <f t="shared" ca="1" si="7"/>
        <v/>
      </c>
      <c r="BM13" s="28" t="str">
        <f t="shared" ca="1" si="7"/>
        <v/>
      </c>
      <c r="BN13" s="28" t="str">
        <f t="shared" ca="1" si="7"/>
        <v/>
      </c>
      <c r="BO13" s="28" t="str">
        <f t="shared" ca="1" si="7"/>
        <v/>
      </c>
      <c r="BP13" s="28" t="str">
        <f t="shared" ca="1" si="7"/>
        <v/>
      </c>
      <c r="BQ13" s="28" t="str">
        <f t="shared" ca="1" si="7"/>
        <v/>
      </c>
      <c r="BR13" s="28" t="str">
        <f t="shared" ca="1" si="7"/>
        <v/>
      </c>
      <c r="BS13" s="28" t="str">
        <f t="shared" ca="1" si="7"/>
        <v/>
      </c>
      <c r="BT13" s="28" t="str">
        <f t="shared" ca="1" si="7"/>
        <v/>
      </c>
      <c r="BU13" s="28" t="str">
        <f t="shared" ca="1" si="7"/>
        <v/>
      </c>
      <c r="BV13" s="28" t="str">
        <f t="shared" ref="BV13:CK28" ca="1" si="13">INDIRECT(CONCATENATE($BA13,BV$5))</f>
        <v/>
      </c>
      <c r="BW13" s="28" t="str">
        <f t="shared" ca="1" si="13"/>
        <v/>
      </c>
      <c r="BX13" s="28" t="str">
        <f t="shared" ca="1" si="13"/>
        <v/>
      </c>
      <c r="BY13" s="28" t="str">
        <f t="shared" ca="1" si="13"/>
        <v/>
      </c>
      <c r="BZ13" s="28" t="str">
        <f t="shared" ca="1" si="13"/>
        <v/>
      </c>
      <c r="CA13" s="28" t="str">
        <f t="shared" ca="1" si="13"/>
        <v/>
      </c>
      <c r="CB13" s="28" t="str">
        <f t="shared" ca="1" si="13"/>
        <v/>
      </c>
      <c r="CC13" s="28" t="str">
        <f t="shared" ca="1" si="13"/>
        <v/>
      </c>
      <c r="CD13" s="28" t="str">
        <f t="shared" ca="1" si="13"/>
        <v/>
      </c>
      <c r="CE13" s="28" t="str">
        <f t="shared" ca="1" si="13"/>
        <v/>
      </c>
      <c r="CF13" s="28" t="str">
        <f t="shared" ca="1" si="13"/>
        <v/>
      </c>
      <c r="CG13" s="28" t="str">
        <f t="shared" ca="1" si="13"/>
        <v/>
      </c>
      <c r="CH13" s="28" t="str">
        <f t="shared" ca="1" si="13"/>
        <v/>
      </c>
      <c r="CI13" s="28" t="str">
        <f t="shared" ca="1" si="13"/>
        <v/>
      </c>
      <c r="CJ13" s="28" t="str">
        <f t="shared" ca="1" si="13"/>
        <v/>
      </c>
      <c r="CK13" s="28" t="str">
        <f t="shared" ca="1" si="13"/>
        <v/>
      </c>
      <c r="CL13" s="28" t="str">
        <f t="shared" ca="1" si="11"/>
        <v/>
      </c>
      <c r="CM13" s="28" t="str">
        <f t="shared" ca="1" si="11"/>
        <v/>
      </c>
      <c r="CN13" s="28" t="str">
        <f t="shared" ca="1" si="11"/>
        <v/>
      </c>
      <c r="CO13" s="28" t="str">
        <f t="shared" ca="1" si="12"/>
        <v/>
      </c>
      <c r="CP13" s="28" t="str">
        <f t="shared" ca="1" si="12"/>
        <v/>
      </c>
      <c r="CQ13" s="28" t="str">
        <f t="shared" ca="1" si="12"/>
        <v/>
      </c>
      <c r="CR13" s="28" t="str">
        <f t="shared" ca="1" si="12"/>
        <v/>
      </c>
      <c r="CS13" s="28" t="str">
        <f t="shared" ca="1" si="12"/>
        <v/>
      </c>
      <c r="CT13" s="28" t="str">
        <f t="shared" ca="1" si="12"/>
        <v/>
      </c>
      <c r="CU13" s="28" t="str">
        <f t="shared" ca="1" si="12"/>
        <v/>
      </c>
      <c r="CV13" s="346" t="str">
        <f t="shared" ca="1" si="12"/>
        <v/>
      </c>
    </row>
    <row r="14" spans="1:100" ht="15">
      <c r="B14" s="63" t="str">
        <v>BF</v>
      </c>
      <c r="C14" s="16" t="str">
        <f t="shared" si="8"/>
        <v>BF11:BF56</v>
      </c>
      <c r="D14" s="342" t="str">
        <f t="shared" ca="1" si="9"/>
        <v>Tm04</v>
      </c>
      <c r="E14" s="349" t="str">
        <f t="shared" ca="1" si="10"/>
        <v>Tm06</v>
      </c>
      <c r="F14" s="349" t="str">
        <f t="shared" ca="1" si="5"/>
        <v>ng</v>
      </c>
      <c r="G14" s="349" t="str">
        <f t="shared" ca="1" si="5"/>
        <v>ng</v>
      </c>
      <c r="H14" s="349" t="str">
        <f t="shared" ca="1" si="5"/>
        <v>Tm08</v>
      </c>
      <c r="I14" s="349" t="str">
        <f t="shared" ca="1" si="5"/>
        <v>Tm07</v>
      </c>
      <c r="J14" s="349" t="str">
        <f t="shared" ca="1" si="5"/>
        <v>ng</v>
      </c>
      <c r="K14" s="349" t="str">
        <f t="shared" ca="1" si="5"/>
        <v>ng</v>
      </c>
      <c r="L14" s="349" t="str">
        <f t="shared" ca="1" si="5"/>
        <v>Tm05</v>
      </c>
      <c r="M14" s="349" t="str">
        <f t="shared" ca="1" si="5"/>
        <v>Tm01</v>
      </c>
      <c r="N14" s="349" t="str">
        <f t="shared" ca="1" si="5"/>
        <v>ng</v>
      </c>
      <c r="O14" s="349" t="str">
        <f t="shared" ca="1" si="5"/>
        <v>ng</v>
      </c>
      <c r="P14" s="349" t="str">
        <f t="shared" ca="1" si="5"/>
        <v>Tm02</v>
      </c>
      <c r="Q14" s="349" t="str">
        <f t="shared" ca="1" si="5"/>
        <v>Tm03</v>
      </c>
      <c r="R14" s="349" t="str">
        <f t="shared" ca="1" si="5"/>
        <v>ng</v>
      </c>
      <c r="S14" s="349" t="str">
        <f t="shared" ca="1" si="5"/>
        <v>ng</v>
      </c>
      <c r="T14" s="349" t="str">
        <f t="shared" ca="1" si="5"/>
        <v>ng</v>
      </c>
      <c r="U14" s="349" t="str">
        <f t="shared" ca="1" si="5"/>
        <v>ng</v>
      </c>
      <c r="V14" s="349" t="str">
        <f t="shared" ca="1" si="5"/>
        <v>ng</v>
      </c>
      <c r="W14" s="349" t="str">
        <f t="shared" ca="1" si="5"/>
        <v>ng</v>
      </c>
      <c r="X14" s="349" t="str">
        <f t="shared" ca="1" si="5"/>
        <v>ng</v>
      </c>
      <c r="Y14" s="349" t="str">
        <f t="shared" ca="1" si="5"/>
        <v>ng</v>
      </c>
      <c r="Z14" s="349" t="str">
        <f t="shared" ca="1" si="5"/>
        <v>ng</v>
      </c>
      <c r="AA14" s="349" t="str">
        <f t="shared" ca="1" si="5"/>
        <v>ng</v>
      </c>
      <c r="AB14" s="349" t="str">
        <f t="shared" ca="1" si="5"/>
        <v>ng</v>
      </c>
      <c r="AC14" s="349" t="str">
        <f t="shared" ca="1" si="5"/>
        <v>ng</v>
      </c>
      <c r="AD14" s="349" t="str">
        <f t="shared" ca="1" si="5"/>
        <v>ng</v>
      </c>
      <c r="AE14" s="349" t="str">
        <f t="shared" ca="1" si="5"/>
        <v>ng</v>
      </c>
      <c r="AF14" s="349" t="str">
        <f t="shared" ca="1" si="5"/>
        <v>ng</v>
      </c>
      <c r="AG14" s="349" t="str">
        <f t="shared" ca="1" si="5"/>
        <v>ng</v>
      </c>
      <c r="AH14" s="349" t="str">
        <f t="shared" ca="1" si="5"/>
        <v>ng</v>
      </c>
      <c r="AI14" s="349" t="str">
        <f t="shared" ca="1" si="5"/>
        <v>ng</v>
      </c>
      <c r="AJ14" s="349" t="str">
        <f t="shared" ca="1" si="5"/>
        <v>ng</v>
      </c>
      <c r="AK14" s="349" t="str">
        <f t="shared" ca="1" si="5"/>
        <v>ng</v>
      </c>
      <c r="AL14" s="349" t="str">
        <f t="shared" ca="1" si="6"/>
        <v>ng</v>
      </c>
      <c r="AM14" s="349" t="str">
        <f t="shared" ca="1" si="6"/>
        <v>ng</v>
      </c>
      <c r="AN14" s="349" t="str">
        <f t="shared" ca="1" si="6"/>
        <v>ng</v>
      </c>
      <c r="AO14" s="349" t="str">
        <f t="shared" ca="1" si="6"/>
        <v>ng</v>
      </c>
      <c r="AP14" s="349" t="str">
        <f t="shared" ca="1" si="6"/>
        <v>ng</v>
      </c>
      <c r="AQ14" s="349" t="str">
        <f t="shared" ca="1" si="6"/>
        <v>ng</v>
      </c>
      <c r="AR14" s="350" t="str">
        <f t="shared" ca="1" si="6"/>
        <v>ng</v>
      </c>
      <c r="BA14" s="16" t="str">
        <v>BF</v>
      </c>
      <c r="BB14" s="342" t="str">
        <f ca="1">DcI!C14</f>
        <v>Tm04</v>
      </c>
      <c r="BC14" s="28" t="str">
        <f ca="1">IF(DcI!D14="X","X",IF(LEN(DcI!D14)=3,CONCATENATE("0",LEFT(DcI!D14,1)),IF(LEN(DcI!D14)=5,LEFT(DcI!D14,2),IF(MID(DcI!D14,2,1)="•",CONCATENATE("0",LEFT(DcI!D14,1)),LEFT(DcI!D14,2)))))</f>
        <v>09</v>
      </c>
      <c r="BD14" s="28" t="str">
        <f ca="1">IF(DcI!E14="X","X",IF(LEN(DcI!E14)=3,CONCATENATE("0",LEFT(DcI!E14,1)),IF(LEN(DcI!E14)=5,LEFT(DcI!E14,2),IF(MID(DcI!E14,2,1)="•",CONCATENATE("0",LEFT(DcI!E14,1)),LEFT(DcI!E14,2)))))</f>
        <v>12</v>
      </c>
      <c r="BE14" s="28" t="str">
        <f ca="1">IF(DcI!F14="X","X",IF(LEN(DcI!F14)=3,CONCATENATE("0",LEFT(DcI!F14,1)),IF(LEN(DcI!F14)=5,LEFT(DcI!F14,2),IF(MID(DcI!F14,2,1)="•",CONCATENATE("0",LEFT(DcI!F14,1)),LEFT(DcI!F14,2)))))</f>
        <v>13</v>
      </c>
      <c r="BF14" s="347" t="str">
        <f ca="1">IF(DcI!G14="X","X",IF(LEN(DcI!G14)=3,CONCATENATE("0",LEFT(DcI!G14,1)),IF(LEN(DcI!G14)=5,LEFT(DcI!G14,2),IF(MID(DcI!G14,2,1)="•",CONCATENATE("0",LEFT(DcI!G14,1)),LEFT(DcI!G14,2)))))</f>
        <v>X</v>
      </c>
      <c r="BG14" s="28" t="str">
        <f t="shared" ca="1" si="7"/>
        <v>08</v>
      </c>
      <c r="BH14" s="28" t="str">
        <f t="shared" ca="1" si="7"/>
        <v>01</v>
      </c>
      <c r="BI14" s="28" t="str">
        <f t="shared" ca="1" si="7"/>
        <v>05</v>
      </c>
      <c r="BJ14" s="28" t="str">
        <f t="shared" ca="1" si="7"/>
        <v>04</v>
      </c>
      <c r="BK14" s="28" t="str">
        <f t="shared" ca="1" si="7"/>
        <v/>
      </c>
      <c r="BL14" s="28" t="str">
        <f t="shared" ca="1" si="7"/>
        <v/>
      </c>
      <c r="BM14" s="28" t="str">
        <f t="shared" ca="1" si="7"/>
        <v/>
      </c>
      <c r="BN14" s="28" t="str">
        <f t="shared" ca="1" si="7"/>
        <v/>
      </c>
      <c r="BO14" s="28" t="str">
        <f t="shared" ca="1" si="7"/>
        <v/>
      </c>
      <c r="BP14" s="28" t="str">
        <f t="shared" ca="1" si="7"/>
        <v/>
      </c>
      <c r="BQ14" s="28" t="str">
        <f t="shared" ca="1" si="7"/>
        <v/>
      </c>
      <c r="BR14" s="28" t="str">
        <f t="shared" ca="1" si="7"/>
        <v/>
      </c>
      <c r="BS14" s="28" t="str">
        <f t="shared" ca="1" si="7"/>
        <v/>
      </c>
      <c r="BT14" s="28" t="str">
        <f t="shared" ca="1" si="7"/>
        <v/>
      </c>
      <c r="BU14" s="28" t="str">
        <f t="shared" ca="1" si="7"/>
        <v/>
      </c>
      <c r="BV14" s="28" t="str">
        <f t="shared" ca="1" si="13"/>
        <v/>
      </c>
      <c r="BW14" s="28" t="str">
        <f t="shared" ca="1" si="13"/>
        <v/>
      </c>
      <c r="BX14" s="28" t="str">
        <f t="shared" ca="1" si="13"/>
        <v/>
      </c>
      <c r="BY14" s="28" t="str">
        <f t="shared" ca="1" si="13"/>
        <v/>
      </c>
      <c r="BZ14" s="28" t="str">
        <f t="shared" ca="1" si="13"/>
        <v/>
      </c>
      <c r="CA14" s="28" t="str">
        <f t="shared" ca="1" si="13"/>
        <v/>
      </c>
      <c r="CB14" s="28" t="str">
        <f t="shared" ca="1" si="13"/>
        <v/>
      </c>
      <c r="CC14" s="28" t="str">
        <f t="shared" ca="1" si="13"/>
        <v/>
      </c>
      <c r="CD14" s="28" t="str">
        <f t="shared" ca="1" si="13"/>
        <v/>
      </c>
      <c r="CE14" s="28" t="str">
        <f t="shared" ca="1" si="13"/>
        <v/>
      </c>
      <c r="CF14" s="28" t="str">
        <f t="shared" ca="1" si="13"/>
        <v/>
      </c>
      <c r="CG14" s="28" t="str">
        <f t="shared" ca="1" si="13"/>
        <v/>
      </c>
      <c r="CH14" s="28" t="str">
        <f t="shared" ca="1" si="13"/>
        <v/>
      </c>
      <c r="CI14" s="28" t="str">
        <f t="shared" ca="1" si="13"/>
        <v/>
      </c>
      <c r="CJ14" s="28" t="str">
        <f t="shared" ca="1" si="13"/>
        <v/>
      </c>
      <c r="CK14" s="28" t="str">
        <f t="shared" ca="1" si="13"/>
        <v/>
      </c>
      <c r="CL14" s="28" t="str">
        <f t="shared" ca="1" si="11"/>
        <v/>
      </c>
      <c r="CM14" s="28" t="str">
        <f t="shared" ca="1" si="11"/>
        <v/>
      </c>
      <c r="CN14" s="28" t="str">
        <f t="shared" ca="1" si="11"/>
        <v/>
      </c>
      <c r="CO14" s="28" t="str">
        <f t="shared" ca="1" si="12"/>
        <v/>
      </c>
      <c r="CP14" s="28" t="str">
        <f t="shared" ca="1" si="12"/>
        <v/>
      </c>
      <c r="CQ14" s="28" t="str">
        <f t="shared" ca="1" si="12"/>
        <v/>
      </c>
      <c r="CR14" s="28" t="str">
        <f t="shared" ca="1" si="12"/>
        <v/>
      </c>
      <c r="CS14" s="28" t="str">
        <f t="shared" ca="1" si="12"/>
        <v/>
      </c>
      <c r="CT14" s="28" t="str">
        <f t="shared" ca="1" si="12"/>
        <v/>
      </c>
      <c r="CU14" s="28" t="str">
        <f t="shared" ca="1" si="12"/>
        <v/>
      </c>
      <c r="CV14" s="346" t="str">
        <f t="shared" ca="1" si="12"/>
        <v/>
      </c>
    </row>
    <row r="15" spans="1:100" ht="15">
      <c r="B15" s="63" t="str">
        <v>BG</v>
      </c>
      <c r="C15" s="16" t="str">
        <f t="shared" si="8"/>
        <v>BG11:BG56</v>
      </c>
      <c r="D15" s="342" t="str">
        <f t="shared" ca="1" si="9"/>
        <v>Tm05</v>
      </c>
      <c r="E15" s="349" t="str">
        <f t="shared" ca="1" si="10"/>
        <v>Tm03</v>
      </c>
      <c r="F15" s="349" t="str">
        <f t="shared" ca="1" si="5"/>
        <v>ng</v>
      </c>
      <c r="G15" s="349" t="str">
        <f t="shared" ca="1" si="5"/>
        <v>ng</v>
      </c>
      <c r="H15" s="349" t="str">
        <f t="shared" ca="1" si="5"/>
        <v>Tm01</v>
      </c>
      <c r="I15" s="349" t="str">
        <f t="shared" ca="1" si="5"/>
        <v>Tm02</v>
      </c>
      <c r="J15" s="349" t="str">
        <f t="shared" ca="1" si="5"/>
        <v>ng</v>
      </c>
      <c r="K15" s="349" t="str">
        <f t="shared" ca="1" si="5"/>
        <v>ng</v>
      </c>
      <c r="L15" s="349" t="str">
        <f t="shared" ca="1" si="5"/>
        <v>Tm04</v>
      </c>
      <c r="M15" s="349" t="str">
        <f t="shared" ca="1" si="5"/>
        <v>Tm08</v>
      </c>
      <c r="N15" s="349" t="str">
        <f t="shared" ca="1" si="5"/>
        <v>ng</v>
      </c>
      <c r="O15" s="349" t="str">
        <f t="shared" ca="1" si="5"/>
        <v>ng</v>
      </c>
      <c r="P15" s="349" t="str">
        <f t="shared" ca="1" si="5"/>
        <v>Tm07</v>
      </c>
      <c r="Q15" s="349" t="str">
        <f t="shared" ca="1" si="5"/>
        <v>Tm06</v>
      </c>
      <c r="R15" s="349" t="str">
        <f t="shared" ca="1" si="5"/>
        <v>ng</v>
      </c>
      <c r="S15" s="349" t="str">
        <f t="shared" ca="1" si="5"/>
        <v>ng</v>
      </c>
      <c r="T15" s="349" t="str">
        <f t="shared" ca="1" si="5"/>
        <v>ng</v>
      </c>
      <c r="U15" s="349" t="str">
        <f t="shared" ca="1" si="5"/>
        <v>ng</v>
      </c>
      <c r="V15" s="349" t="str">
        <f t="shared" ca="1" si="5"/>
        <v>ng</v>
      </c>
      <c r="W15" s="349" t="str">
        <f t="shared" ca="1" si="5"/>
        <v>ng</v>
      </c>
      <c r="X15" s="349" t="str">
        <f t="shared" ca="1" si="5"/>
        <v>ng</v>
      </c>
      <c r="Y15" s="349" t="str">
        <f t="shared" ca="1" si="5"/>
        <v>ng</v>
      </c>
      <c r="Z15" s="349" t="str">
        <f t="shared" ca="1" si="5"/>
        <v>ng</v>
      </c>
      <c r="AA15" s="349" t="str">
        <f t="shared" ca="1" si="5"/>
        <v>ng</v>
      </c>
      <c r="AB15" s="349" t="str">
        <f t="shared" ca="1" si="5"/>
        <v>ng</v>
      </c>
      <c r="AC15" s="349" t="str">
        <f t="shared" ca="1" si="5"/>
        <v>ng</v>
      </c>
      <c r="AD15" s="349" t="str">
        <f t="shared" ca="1" si="5"/>
        <v>ng</v>
      </c>
      <c r="AE15" s="349" t="str">
        <f t="shared" ca="1" si="5"/>
        <v>ng</v>
      </c>
      <c r="AF15" s="349" t="str">
        <f t="shared" ca="1" si="5"/>
        <v>ng</v>
      </c>
      <c r="AG15" s="349" t="str">
        <f t="shared" ca="1" si="5"/>
        <v>ng</v>
      </c>
      <c r="AH15" s="349" t="str">
        <f t="shared" ca="1" si="5"/>
        <v>ng</v>
      </c>
      <c r="AI15" s="349" t="str">
        <f t="shared" ca="1" si="5"/>
        <v>ng</v>
      </c>
      <c r="AJ15" s="349" t="str">
        <f t="shared" ca="1" si="5"/>
        <v>ng</v>
      </c>
      <c r="AK15" s="349" t="str">
        <f t="shared" ca="1" si="5"/>
        <v>ng</v>
      </c>
      <c r="AL15" s="349" t="str">
        <f t="shared" ca="1" si="6"/>
        <v>ng</v>
      </c>
      <c r="AM15" s="349" t="str">
        <f t="shared" ca="1" si="6"/>
        <v>ng</v>
      </c>
      <c r="AN15" s="349" t="str">
        <f t="shared" ca="1" si="6"/>
        <v>ng</v>
      </c>
      <c r="AO15" s="349" t="str">
        <f t="shared" ca="1" si="6"/>
        <v>ng</v>
      </c>
      <c r="AP15" s="349" t="str">
        <f t="shared" ca="1" si="6"/>
        <v>ng</v>
      </c>
      <c r="AQ15" s="349" t="str">
        <f t="shared" ca="1" si="6"/>
        <v>ng</v>
      </c>
      <c r="AR15" s="350" t="str">
        <f t="shared" ca="1" si="6"/>
        <v>ng</v>
      </c>
      <c r="BA15" s="16" t="str">
        <v>BG</v>
      </c>
      <c r="BB15" s="342" t="str">
        <f ca="1">DcI!C15</f>
        <v>Tm05</v>
      </c>
      <c r="BC15" s="28" t="str">
        <f ca="1">IF(DcI!D15="X","X",IF(LEN(DcI!D15)=3,CONCATENATE("0",LEFT(DcI!D15,1)),IF(LEN(DcI!D15)=5,LEFT(DcI!D15,2),IF(MID(DcI!D15,2,1)="•",CONCATENATE("0",LEFT(DcI!D15,1)),LEFT(DcI!D15,2)))))</f>
        <v>04</v>
      </c>
      <c r="BD15" s="28" t="str">
        <f ca="1">IF(DcI!E15="X","X",IF(LEN(DcI!E15)=3,CONCATENATE("0",LEFT(DcI!E15,1)),IF(LEN(DcI!E15)=5,LEFT(DcI!E15,2),IF(MID(DcI!E15,2,1)="•",CONCATENATE("0",LEFT(DcI!E15,1)),LEFT(DcI!E15,2)))))</f>
        <v>05</v>
      </c>
      <c r="BE15" s="28" t="str">
        <f ca="1">IF(DcI!F15="X","X",IF(LEN(DcI!F15)=3,CONCATENATE("0",LEFT(DcI!F15,1)),IF(LEN(DcI!F15)=5,LEFT(DcI!F15,2),IF(MID(DcI!F15,2,1)="•",CONCATENATE("0",LEFT(DcI!F15,1)),LEFT(DcI!F15,2)))))</f>
        <v>01</v>
      </c>
      <c r="BF15" s="28" t="str">
        <f ca="1">IF(DcI!G15="X","X",IF(LEN(DcI!G15)=3,CONCATENATE("0",LEFT(DcI!G15,1)),IF(LEN(DcI!G15)=5,LEFT(DcI!G15,2),IF(MID(DcI!G15,2,1)="•",CONCATENATE("0",LEFT(DcI!G15,1)),LEFT(DcI!G15,2)))))</f>
        <v>08</v>
      </c>
      <c r="BG15" s="347" t="str">
        <f ca="1">IF(DcI!H15="X","X",IF(LEN(DcI!H15)=3,CONCATENATE("0",LEFT(DcI!H15,1)),IF(LEN(DcI!H15)=5,LEFT(DcI!H15,2),IF(MID(DcI!H15,2,1)="•",CONCATENATE("0",LEFT(DcI!H15,1)),LEFT(DcI!H15,2)))))</f>
        <v>X</v>
      </c>
      <c r="BH15" s="28" t="str">
        <f t="shared" ca="1" si="7"/>
        <v>13</v>
      </c>
      <c r="BI15" s="28" t="str">
        <f t="shared" ca="1" si="7"/>
        <v>12</v>
      </c>
      <c r="BJ15" s="28" t="str">
        <f t="shared" ca="1" si="7"/>
        <v>09</v>
      </c>
      <c r="BK15" s="28" t="str">
        <f t="shared" ca="1" si="7"/>
        <v/>
      </c>
      <c r="BL15" s="28" t="str">
        <f t="shared" ca="1" si="7"/>
        <v/>
      </c>
      <c r="BM15" s="28" t="str">
        <f t="shared" ca="1" si="7"/>
        <v/>
      </c>
      <c r="BN15" s="28" t="str">
        <f t="shared" ca="1" si="7"/>
        <v/>
      </c>
      <c r="BO15" s="28" t="str">
        <f t="shared" ca="1" si="7"/>
        <v/>
      </c>
      <c r="BP15" s="28" t="str">
        <f t="shared" ca="1" si="7"/>
        <v/>
      </c>
      <c r="BQ15" s="28" t="str">
        <f t="shared" ca="1" si="7"/>
        <v/>
      </c>
      <c r="BR15" s="28" t="str">
        <f t="shared" ca="1" si="7"/>
        <v/>
      </c>
      <c r="BS15" s="28" t="str">
        <f t="shared" ca="1" si="7"/>
        <v/>
      </c>
      <c r="BT15" s="28" t="str">
        <f t="shared" ca="1" si="7"/>
        <v/>
      </c>
      <c r="BU15" s="28" t="str">
        <f t="shared" ca="1" si="7"/>
        <v/>
      </c>
      <c r="BV15" s="28" t="str">
        <f t="shared" ca="1" si="13"/>
        <v/>
      </c>
      <c r="BW15" s="28" t="str">
        <f t="shared" ca="1" si="13"/>
        <v/>
      </c>
      <c r="BX15" s="28" t="str">
        <f t="shared" ca="1" si="13"/>
        <v/>
      </c>
      <c r="BY15" s="28" t="str">
        <f t="shared" ca="1" si="13"/>
        <v/>
      </c>
      <c r="BZ15" s="28" t="str">
        <f t="shared" ca="1" si="13"/>
        <v/>
      </c>
      <c r="CA15" s="28" t="str">
        <f t="shared" ca="1" si="13"/>
        <v/>
      </c>
      <c r="CB15" s="28" t="str">
        <f t="shared" ca="1" si="13"/>
        <v/>
      </c>
      <c r="CC15" s="28" t="str">
        <f t="shared" ca="1" si="13"/>
        <v/>
      </c>
      <c r="CD15" s="28" t="str">
        <f t="shared" ca="1" si="13"/>
        <v/>
      </c>
      <c r="CE15" s="28" t="str">
        <f t="shared" ca="1" si="13"/>
        <v/>
      </c>
      <c r="CF15" s="28" t="str">
        <f t="shared" ca="1" si="13"/>
        <v/>
      </c>
      <c r="CG15" s="28" t="str">
        <f t="shared" ca="1" si="13"/>
        <v/>
      </c>
      <c r="CH15" s="28" t="str">
        <f t="shared" ca="1" si="13"/>
        <v/>
      </c>
      <c r="CI15" s="28" t="str">
        <f t="shared" ca="1" si="13"/>
        <v/>
      </c>
      <c r="CJ15" s="28" t="str">
        <f t="shared" ca="1" si="13"/>
        <v/>
      </c>
      <c r="CK15" s="28" t="str">
        <f t="shared" ca="1" si="13"/>
        <v/>
      </c>
      <c r="CL15" s="28" t="str">
        <f t="shared" ca="1" si="11"/>
        <v/>
      </c>
      <c r="CM15" s="28" t="str">
        <f t="shared" ca="1" si="11"/>
        <v/>
      </c>
      <c r="CN15" s="28" t="str">
        <f t="shared" ca="1" si="11"/>
        <v/>
      </c>
      <c r="CO15" s="28" t="str">
        <f t="shared" ca="1" si="12"/>
        <v/>
      </c>
      <c r="CP15" s="28" t="str">
        <f t="shared" ca="1" si="12"/>
        <v/>
      </c>
      <c r="CQ15" s="28" t="str">
        <f t="shared" ca="1" si="12"/>
        <v/>
      </c>
      <c r="CR15" s="28" t="str">
        <f t="shared" ca="1" si="12"/>
        <v/>
      </c>
      <c r="CS15" s="28" t="str">
        <f t="shared" ca="1" si="12"/>
        <v/>
      </c>
      <c r="CT15" s="28" t="str">
        <f t="shared" ca="1" si="12"/>
        <v/>
      </c>
      <c r="CU15" s="28" t="str">
        <f t="shared" ca="1" si="12"/>
        <v/>
      </c>
      <c r="CV15" s="346" t="str">
        <f t="shared" ca="1" si="12"/>
        <v/>
      </c>
    </row>
    <row r="16" spans="1:100" ht="15">
      <c r="B16" s="63" t="str">
        <v>BH</v>
      </c>
      <c r="C16" s="16" t="str">
        <f t="shared" si="8"/>
        <v>BH11:BH56</v>
      </c>
      <c r="D16" s="342" t="str">
        <f t="shared" ca="1" si="9"/>
        <v>Tm06</v>
      </c>
      <c r="E16" s="349" t="str">
        <f t="shared" ca="1" si="10"/>
        <v>Tm04</v>
      </c>
      <c r="F16" s="349" t="str">
        <f t="shared" ca="1" si="5"/>
        <v>ng</v>
      </c>
      <c r="G16" s="349" t="str">
        <f t="shared" ca="1" si="5"/>
        <v>ng</v>
      </c>
      <c r="H16" s="349" t="str">
        <f t="shared" ca="1" si="5"/>
        <v>Tm02</v>
      </c>
      <c r="I16" s="349" t="str">
        <f t="shared" ca="1" si="5"/>
        <v>Tm01</v>
      </c>
      <c r="J16" s="349" t="str">
        <f t="shared" ca="1" si="5"/>
        <v>ng</v>
      </c>
      <c r="K16" s="349" t="str">
        <f t="shared" ca="1" si="5"/>
        <v>ng</v>
      </c>
      <c r="L16" s="349" t="str">
        <f t="shared" ca="1" si="5"/>
        <v>Tm03</v>
      </c>
      <c r="M16" s="349" t="str">
        <f t="shared" ca="1" si="5"/>
        <v>Tm07</v>
      </c>
      <c r="N16" s="349" t="str">
        <f t="shared" ca="1" si="5"/>
        <v>ng</v>
      </c>
      <c r="O16" s="349" t="str">
        <f t="shared" ca="1" si="5"/>
        <v>ng</v>
      </c>
      <c r="P16" s="349" t="str">
        <f t="shared" ca="1" si="5"/>
        <v>Tm08</v>
      </c>
      <c r="Q16" s="349" t="str">
        <f t="shared" ca="1" si="5"/>
        <v>Tm05</v>
      </c>
      <c r="R16" s="349" t="str">
        <f t="shared" ca="1" si="5"/>
        <v>ng</v>
      </c>
      <c r="S16" s="349" t="str">
        <f t="shared" ca="1" si="5"/>
        <v>ng</v>
      </c>
      <c r="T16" s="349" t="str">
        <f t="shared" ca="1" si="5"/>
        <v>ng</v>
      </c>
      <c r="U16" s="349" t="str">
        <f t="shared" ca="1" si="5"/>
        <v>ng</v>
      </c>
      <c r="V16" s="349" t="str">
        <f t="shared" ca="1" si="5"/>
        <v>ng</v>
      </c>
      <c r="W16" s="349" t="str">
        <f t="shared" ca="1" si="5"/>
        <v>ng</v>
      </c>
      <c r="X16" s="349" t="str">
        <f t="shared" ca="1" si="5"/>
        <v>ng</v>
      </c>
      <c r="Y16" s="349" t="str">
        <f t="shared" ca="1" si="5"/>
        <v>ng</v>
      </c>
      <c r="Z16" s="349" t="str">
        <f t="shared" ca="1" si="5"/>
        <v>ng</v>
      </c>
      <c r="AA16" s="349" t="str">
        <f t="shared" ca="1" si="5"/>
        <v>ng</v>
      </c>
      <c r="AB16" s="349" t="str">
        <f t="shared" ca="1" si="5"/>
        <v>ng</v>
      </c>
      <c r="AC16" s="349" t="str">
        <f t="shared" ca="1" si="5"/>
        <v>ng</v>
      </c>
      <c r="AD16" s="349" t="str">
        <f t="shared" ca="1" si="5"/>
        <v>ng</v>
      </c>
      <c r="AE16" s="349" t="str">
        <f t="shared" ca="1" si="5"/>
        <v>ng</v>
      </c>
      <c r="AF16" s="349" t="str">
        <f t="shared" ca="1" si="5"/>
        <v>ng</v>
      </c>
      <c r="AG16" s="349" t="str">
        <f t="shared" ca="1" si="5"/>
        <v>ng</v>
      </c>
      <c r="AH16" s="349" t="str">
        <f t="shared" ca="1" si="5"/>
        <v>ng</v>
      </c>
      <c r="AI16" s="349" t="str">
        <f t="shared" ca="1" si="5"/>
        <v>ng</v>
      </c>
      <c r="AJ16" s="349" t="str">
        <f t="shared" ca="1" si="5"/>
        <v>ng</v>
      </c>
      <c r="AK16" s="349" t="str">
        <f t="shared" ca="1" si="5"/>
        <v>ng</v>
      </c>
      <c r="AL16" s="349" t="str">
        <f t="shared" ca="1" si="6"/>
        <v>ng</v>
      </c>
      <c r="AM16" s="349" t="str">
        <f t="shared" ca="1" si="6"/>
        <v>ng</v>
      </c>
      <c r="AN16" s="349" t="str">
        <f t="shared" ca="1" si="6"/>
        <v>ng</v>
      </c>
      <c r="AO16" s="349" t="str">
        <f t="shared" ca="1" si="6"/>
        <v>ng</v>
      </c>
      <c r="AP16" s="349" t="str">
        <f t="shared" ca="1" si="6"/>
        <v>ng</v>
      </c>
      <c r="AQ16" s="349" t="str">
        <f t="shared" ca="1" si="6"/>
        <v>ng</v>
      </c>
      <c r="AR16" s="350" t="str">
        <f t="shared" ca="1" si="6"/>
        <v>ng</v>
      </c>
      <c r="BA16" s="16" t="str">
        <v>BH</v>
      </c>
      <c r="BB16" s="342" t="str">
        <f ca="1">DcI!C16</f>
        <v>Tm06</v>
      </c>
      <c r="BC16" s="28" t="str">
        <f ca="1">IF(DcI!D16="X","X",IF(LEN(DcI!D16)=3,CONCATENATE("0",LEFT(DcI!D16,1)),IF(LEN(DcI!D16)=5,LEFT(DcI!D16,2),IF(MID(DcI!D16,2,1)="•",CONCATENATE("0",LEFT(DcI!D16,1)),LEFT(DcI!D16,2)))))</f>
        <v>05</v>
      </c>
      <c r="BD16" s="28" t="str">
        <f ca="1">IF(DcI!E16="X","X",IF(LEN(DcI!E16)=3,CONCATENATE("0",LEFT(DcI!E16,1)),IF(LEN(DcI!E16)=5,LEFT(DcI!E16,2),IF(MID(DcI!E16,2,1)="•",CONCATENATE("0",LEFT(DcI!E16,1)),LEFT(DcI!E16,2)))))</f>
        <v>04</v>
      </c>
      <c r="BE16" s="28" t="str">
        <f ca="1">IF(DcI!F16="X","X",IF(LEN(DcI!F16)=3,CONCATENATE("0",LEFT(DcI!F16,1)),IF(LEN(DcI!F16)=5,LEFT(DcI!F16,2),IF(MID(DcI!F16,2,1)="•",CONCATENATE("0",LEFT(DcI!F16,1)),LEFT(DcI!F16,2)))))</f>
        <v>08</v>
      </c>
      <c r="BF16" s="28" t="str">
        <f ca="1">IF(DcI!G16="X","X",IF(LEN(DcI!G16)=3,CONCATENATE("0",LEFT(DcI!G16,1)),IF(LEN(DcI!G16)=5,LEFT(DcI!G16,2),IF(MID(DcI!G16,2,1)="•",CONCATENATE("0",LEFT(DcI!G16,1)),LEFT(DcI!G16,2)))))</f>
        <v>01</v>
      </c>
      <c r="BG16" s="28" t="str">
        <f ca="1">IF(DcI!H16="X","X",IF(LEN(DcI!H16)=3,CONCATENATE("0",LEFT(DcI!H16,1)),IF(LEN(DcI!H16)=5,LEFT(DcI!H16,2),IF(MID(DcI!H16,2,1)="•",CONCATENATE("0",LEFT(DcI!H16,1)),LEFT(DcI!H16,2)))))</f>
        <v>13</v>
      </c>
      <c r="BH16" s="347" t="str">
        <f ca="1">IF(DcI!I16="X","X",IF(LEN(DcI!I16)=3,CONCATENATE("0",LEFT(DcI!I16,1)),IF(LEN(DcI!I16)=5,LEFT(DcI!I16,2),IF(MID(DcI!I16,2,1)="•",CONCATENATE("0",LEFT(DcI!I16,1)),LEFT(DcI!I16,2)))))</f>
        <v>X</v>
      </c>
      <c r="BI16" s="28" t="str">
        <f t="shared" ca="1" si="7"/>
        <v>09</v>
      </c>
      <c r="BJ16" s="28" t="str">
        <f t="shared" ca="1" si="7"/>
        <v>12</v>
      </c>
      <c r="BK16" s="28" t="str">
        <f t="shared" ca="1" si="7"/>
        <v/>
      </c>
      <c r="BL16" s="28" t="str">
        <f t="shared" ca="1" si="7"/>
        <v/>
      </c>
      <c r="BM16" s="28" t="str">
        <f t="shared" ca="1" si="7"/>
        <v/>
      </c>
      <c r="BN16" s="28" t="str">
        <f t="shared" ca="1" si="7"/>
        <v/>
      </c>
      <c r="BO16" s="28" t="str">
        <f t="shared" ca="1" si="7"/>
        <v/>
      </c>
      <c r="BP16" s="28" t="str">
        <f t="shared" ca="1" si="7"/>
        <v/>
      </c>
      <c r="BQ16" s="28" t="str">
        <f t="shared" ca="1" si="7"/>
        <v/>
      </c>
      <c r="BR16" s="28" t="str">
        <f t="shared" ca="1" si="7"/>
        <v/>
      </c>
      <c r="BS16" s="28" t="str">
        <f t="shared" ca="1" si="7"/>
        <v/>
      </c>
      <c r="BT16" s="28" t="str">
        <f t="shared" ca="1" si="7"/>
        <v/>
      </c>
      <c r="BU16" s="28" t="str">
        <f t="shared" ca="1" si="7"/>
        <v/>
      </c>
      <c r="BV16" s="28" t="str">
        <f t="shared" ca="1" si="13"/>
        <v/>
      </c>
      <c r="BW16" s="28" t="str">
        <f t="shared" ca="1" si="13"/>
        <v/>
      </c>
      <c r="BX16" s="28" t="str">
        <f t="shared" ca="1" si="13"/>
        <v/>
      </c>
      <c r="BY16" s="28" t="str">
        <f t="shared" ca="1" si="13"/>
        <v/>
      </c>
      <c r="BZ16" s="28" t="str">
        <f t="shared" ca="1" si="13"/>
        <v/>
      </c>
      <c r="CA16" s="28" t="str">
        <f t="shared" ca="1" si="13"/>
        <v/>
      </c>
      <c r="CB16" s="28" t="str">
        <f t="shared" ca="1" si="13"/>
        <v/>
      </c>
      <c r="CC16" s="28" t="str">
        <f t="shared" ca="1" si="13"/>
        <v/>
      </c>
      <c r="CD16" s="28" t="str">
        <f t="shared" ca="1" si="13"/>
        <v/>
      </c>
      <c r="CE16" s="28" t="str">
        <f t="shared" ca="1" si="13"/>
        <v/>
      </c>
      <c r="CF16" s="28" t="str">
        <f t="shared" ca="1" si="13"/>
        <v/>
      </c>
      <c r="CG16" s="28" t="str">
        <f t="shared" ca="1" si="13"/>
        <v/>
      </c>
      <c r="CH16" s="28" t="str">
        <f t="shared" ca="1" si="13"/>
        <v/>
      </c>
      <c r="CI16" s="28" t="str">
        <f t="shared" ca="1" si="13"/>
        <v/>
      </c>
      <c r="CJ16" s="28" t="str">
        <f t="shared" ca="1" si="13"/>
        <v/>
      </c>
      <c r="CK16" s="28" t="str">
        <f t="shared" ca="1" si="13"/>
        <v/>
      </c>
      <c r="CL16" s="28" t="str">
        <f t="shared" ca="1" si="11"/>
        <v/>
      </c>
      <c r="CM16" s="28" t="str">
        <f t="shared" ca="1" si="11"/>
        <v/>
      </c>
      <c r="CN16" s="28" t="str">
        <f t="shared" ca="1" si="11"/>
        <v/>
      </c>
      <c r="CO16" s="28" t="str">
        <f t="shared" ca="1" si="12"/>
        <v/>
      </c>
      <c r="CP16" s="28" t="str">
        <f t="shared" ca="1" si="12"/>
        <v/>
      </c>
      <c r="CQ16" s="28" t="str">
        <f t="shared" ca="1" si="12"/>
        <v/>
      </c>
      <c r="CR16" s="28" t="str">
        <f t="shared" ca="1" si="12"/>
        <v/>
      </c>
      <c r="CS16" s="28" t="str">
        <f t="shared" ca="1" si="12"/>
        <v/>
      </c>
      <c r="CT16" s="28" t="str">
        <f t="shared" ca="1" si="12"/>
        <v/>
      </c>
      <c r="CU16" s="28" t="str">
        <f t="shared" ca="1" si="12"/>
        <v/>
      </c>
      <c r="CV16" s="346" t="str">
        <f t="shared" ca="1" si="12"/>
        <v/>
      </c>
    </row>
    <row r="17" spans="2:100" ht="15">
      <c r="B17" s="63" t="str">
        <v>BI</v>
      </c>
      <c r="C17" s="16" t="str">
        <f t="shared" si="8"/>
        <v>BI11:BI56</v>
      </c>
      <c r="D17" s="342" t="str">
        <f t="shared" ca="1" si="9"/>
        <v>Tm07</v>
      </c>
      <c r="E17" s="349" t="str">
        <f t="shared" ca="1" si="10"/>
        <v>Tm02</v>
      </c>
      <c r="F17" s="349" t="str">
        <f t="shared" ca="1" si="5"/>
        <v>ng</v>
      </c>
      <c r="G17" s="349" t="str">
        <f t="shared" ca="1" si="5"/>
        <v>ng</v>
      </c>
      <c r="H17" s="349" t="str">
        <f t="shared" ca="1" si="5"/>
        <v>Tm03</v>
      </c>
      <c r="I17" s="349" t="str">
        <f t="shared" ca="1" si="5"/>
        <v>Tm04</v>
      </c>
      <c r="J17" s="349" t="str">
        <f t="shared" ca="1" si="5"/>
        <v>ng</v>
      </c>
      <c r="K17" s="349" t="str">
        <f t="shared" ca="1" si="5"/>
        <v>ng</v>
      </c>
      <c r="L17" s="349" t="str">
        <f t="shared" ca="1" si="5"/>
        <v>Tm01</v>
      </c>
      <c r="M17" s="349" t="str">
        <f t="shared" ca="1" si="5"/>
        <v>Tm06</v>
      </c>
      <c r="N17" s="349" t="str">
        <f t="shared" ca="1" si="5"/>
        <v>ng</v>
      </c>
      <c r="O17" s="349" t="str">
        <f t="shared" ca="1" si="5"/>
        <v>ng</v>
      </c>
      <c r="P17" s="349" t="str">
        <f t="shared" ca="1" si="5"/>
        <v>Tm05</v>
      </c>
      <c r="Q17" s="349" t="str">
        <f t="shared" ca="1" si="5"/>
        <v>Tm08</v>
      </c>
      <c r="R17" s="349" t="str">
        <f t="shared" ca="1" si="5"/>
        <v>ng</v>
      </c>
      <c r="S17" s="349" t="str">
        <f t="shared" ca="1" si="5"/>
        <v>ng</v>
      </c>
      <c r="T17" s="349" t="str">
        <f t="shared" ca="1" si="5"/>
        <v>ng</v>
      </c>
      <c r="U17" s="349" t="str">
        <f t="shared" ca="1" si="5"/>
        <v>ng</v>
      </c>
      <c r="V17" s="349" t="str">
        <f t="shared" ca="1" si="5"/>
        <v>ng</v>
      </c>
      <c r="W17" s="349" t="str">
        <f t="shared" ca="1" si="5"/>
        <v>ng</v>
      </c>
      <c r="X17" s="349" t="str">
        <f t="shared" ca="1" si="5"/>
        <v>ng</v>
      </c>
      <c r="Y17" s="349" t="str">
        <f t="shared" ca="1" si="5"/>
        <v>ng</v>
      </c>
      <c r="Z17" s="349" t="str">
        <f t="shared" ca="1" si="5"/>
        <v>ng</v>
      </c>
      <c r="AA17" s="349" t="str">
        <f t="shared" ca="1" si="5"/>
        <v>ng</v>
      </c>
      <c r="AB17" s="349" t="str">
        <f t="shared" ca="1" si="5"/>
        <v>ng</v>
      </c>
      <c r="AC17" s="349" t="str">
        <f t="shared" ca="1" si="5"/>
        <v>ng</v>
      </c>
      <c r="AD17" s="349" t="str">
        <f t="shared" ca="1" si="5"/>
        <v>ng</v>
      </c>
      <c r="AE17" s="349" t="str">
        <f t="shared" ca="1" si="5"/>
        <v>ng</v>
      </c>
      <c r="AF17" s="349" t="str">
        <f t="shared" ca="1" si="5"/>
        <v>ng</v>
      </c>
      <c r="AG17" s="349" t="str">
        <f t="shared" ca="1" si="5"/>
        <v>ng</v>
      </c>
      <c r="AH17" s="349" t="str">
        <f t="shared" ca="1" si="5"/>
        <v>ng</v>
      </c>
      <c r="AI17" s="349" t="str">
        <f t="shared" ca="1" si="5"/>
        <v>ng</v>
      </c>
      <c r="AJ17" s="349" t="str">
        <f t="shared" ca="1" si="5"/>
        <v>ng</v>
      </c>
      <c r="AK17" s="349" t="str">
        <f t="shared" ca="1" si="5"/>
        <v>ng</v>
      </c>
      <c r="AL17" s="349" t="str">
        <f t="shared" ca="1" si="6"/>
        <v>ng</v>
      </c>
      <c r="AM17" s="349" t="str">
        <f t="shared" ca="1" si="6"/>
        <v>ng</v>
      </c>
      <c r="AN17" s="349" t="str">
        <f t="shared" ca="1" si="6"/>
        <v>ng</v>
      </c>
      <c r="AO17" s="349" t="str">
        <f t="shared" ca="1" si="6"/>
        <v>ng</v>
      </c>
      <c r="AP17" s="349" t="str">
        <f t="shared" ca="1" si="6"/>
        <v>ng</v>
      </c>
      <c r="AQ17" s="349" t="str">
        <f t="shared" ca="1" si="6"/>
        <v>ng</v>
      </c>
      <c r="AR17" s="350" t="str">
        <f t="shared" ca="1" si="6"/>
        <v>ng</v>
      </c>
      <c r="BA17" s="16" t="str">
        <v>BI</v>
      </c>
      <c r="BB17" s="342" t="str">
        <f ca="1">DcI!C17</f>
        <v>Tm07</v>
      </c>
      <c r="BC17" s="28" t="str">
        <f ca="1">IF(DcI!D17="X","X",IF(LEN(DcI!D17)=3,CONCATENATE("0",LEFT(DcI!D17,1)),IF(LEN(DcI!D17)=5,LEFT(DcI!D17,2),IF(MID(DcI!D17,2,1)="•",CONCATENATE("0",LEFT(DcI!D17,1)),LEFT(DcI!D17,2)))))</f>
        <v>08</v>
      </c>
      <c r="BD17" s="28" t="str">
        <f ca="1">IF(DcI!E17="X","X",IF(LEN(DcI!E17)=3,CONCATENATE("0",LEFT(DcI!E17,1)),IF(LEN(DcI!E17)=5,LEFT(DcI!E17,2),IF(MID(DcI!E17,2,1)="•",CONCATENATE("0",LEFT(DcI!E17,1)),LEFT(DcI!E17,2)))))</f>
        <v>01</v>
      </c>
      <c r="BE17" s="28" t="str">
        <f ca="1">IF(DcI!F17="X","X",IF(LEN(DcI!F17)=3,CONCATENATE("0",LEFT(DcI!F17,1)),IF(LEN(DcI!F17)=5,LEFT(DcI!F17,2),IF(MID(DcI!F17,2,1)="•",CONCATENATE("0",LEFT(DcI!F17,1)),LEFT(DcI!F17,2)))))</f>
        <v>04</v>
      </c>
      <c r="BF17" s="28" t="str">
        <f ca="1">IF(DcI!G17="X","X",IF(LEN(DcI!G17)=3,CONCATENATE("0",LEFT(DcI!G17,1)),IF(LEN(DcI!G17)=5,LEFT(DcI!G17,2),IF(MID(DcI!G17,2,1)="•",CONCATENATE("0",LEFT(DcI!G17,1)),LEFT(DcI!G17,2)))))</f>
        <v>05</v>
      </c>
      <c r="BG17" s="28" t="str">
        <f ca="1">IF(DcI!H17="X","X",IF(LEN(DcI!H17)=3,CONCATENATE("0",LEFT(DcI!H17,1)),IF(LEN(DcI!H17)=5,LEFT(DcI!H17,2),IF(MID(DcI!H17,2,1)="•",CONCATENATE("0",LEFT(DcI!H17,1)),LEFT(DcI!H17,2)))))</f>
        <v>12</v>
      </c>
      <c r="BH17" s="28" t="str">
        <f ca="1">IF(DcI!I17="X","X",IF(LEN(DcI!I17)=3,CONCATENATE("0",LEFT(DcI!I17,1)),IF(LEN(DcI!I17)=5,LEFT(DcI!I17,2),IF(MID(DcI!I17,2,1)="•",CONCATENATE("0",LEFT(DcI!I17,1)),LEFT(DcI!I17,2)))))</f>
        <v>09</v>
      </c>
      <c r="BI17" s="347" t="str">
        <f ca="1">IF(DcI!J17="X","X",IF(LEN(DcI!J17)=3,CONCATENATE("0",LEFT(DcI!J17,1)),IF(LEN(DcI!J17)=5,LEFT(DcI!J17,2),IF(MID(DcI!J17,2,1)="•",CONCATENATE("0",LEFT(DcI!J17,1)),LEFT(DcI!J17,2)))))</f>
        <v>X</v>
      </c>
      <c r="BJ17" s="28" t="str">
        <f t="shared" ca="1" si="7"/>
        <v>13</v>
      </c>
      <c r="BK17" s="28" t="str">
        <f t="shared" ca="1" si="7"/>
        <v/>
      </c>
      <c r="BL17" s="28" t="str">
        <f t="shared" ca="1" si="7"/>
        <v/>
      </c>
      <c r="BM17" s="28" t="str">
        <f t="shared" ca="1" si="7"/>
        <v/>
      </c>
      <c r="BN17" s="28" t="str">
        <f t="shared" ca="1" si="7"/>
        <v/>
      </c>
      <c r="BO17" s="28" t="str">
        <f t="shared" ca="1" si="7"/>
        <v/>
      </c>
      <c r="BP17" s="28" t="str">
        <f t="shared" ca="1" si="7"/>
        <v/>
      </c>
      <c r="BQ17" s="28" t="str">
        <f t="shared" ca="1" si="7"/>
        <v/>
      </c>
      <c r="BR17" s="28" t="str">
        <f t="shared" ca="1" si="7"/>
        <v/>
      </c>
      <c r="BS17" s="28" t="str">
        <f t="shared" ca="1" si="7"/>
        <v/>
      </c>
      <c r="BT17" s="28" t="str">
        <f t="shared" ca="1" si="7"/>
        <v/>
      </c>
      <c r="BU17" s="28" t="str">
        <f t="shared" ca="1" si="7"/>
        <v/>
      </c>
      <c r="BV17" s="28" t="str">
        <f t="shared" ca="1" si="13"/>
        <v/>
      </c>
      <c r="BW17" s="28" t="str">
        <f t="shared" ca="1" si="13"/>
        <v/>
      </c>
      <c r="BX17" s="28" t="str">
        <f t="shared" ca="1" si="13"/>
        <v/>
      </c>
      <c r="BY17" s="28" t="str">
        <f t="shared" ca="1" si="13"/>
        <v/>
      </c>
      <c r="BZ17" s="28" t="str">
        <f t="shared" ca="1" si="13"/>
        <v/>
      </c>
      <c r="CA17" s="28" t="str">
        <f t="shared" ca="1" si="13"/>
        <v/>
      </c>
      <c r="CB17" s="28" t="str">
        <f t="shared" ca="1" si="13"/>
        <v/>
      </c>
      <c r="CC17" s="28" t="str">
        <f t="shared" ca="1" si="13"/>
        <v/>
      </c>
      <c r="CD17" s="28" t="str">
        <f t="shared" ca="1" si="13"/>
        <v/>
      </c>
      <c r="CE17" s="28" t="str">
        <f t="shared" ca="1" si="13"/>
        <v/>
      </c>
      <c r="CF17" s="28" t="str">
        <f t="shared" ca="1" si="13"/>
        <v/>
      </c>
      <c r="CG17" s="28" t="str">
        <f t="shared" ca="1" si="13"/>
        <v/>
      </c>
      <c r="CH17" s="28" t="str">
        <f t="shared" ca="1" si="13"/>
        <v/>
      </c>
      <c r="CI17" s="28" t="str">
        <f t="shared" ca="1" si="13"/>
        <v/>
      </c>
      <c r="CJ17" s="28" t="str">
        <f t="shared" ca="1" si="13"/>
        <v/>
      </c>
      <c r="CK17" s="28" t="str">
        <f t="shared" ca="1" si="13"/>
        <v/>
      </c>
      <c r="CL17" s="28" t="str">
        <f t="shared" ca="1" si="11"/>
        <v/>
      </c>
      <c r="CM17" s="28" t="str">
        <f t="shared" ca="1" si="11"/>
        <v/>
      </c>
      <c r="CN17" s="28" t="str">
        <f t="shared" ca="1" si="11"/>
        <v/>
      </c>
      <c r="CO17" s="28" t="str">
        <f t="shared" ca="1" si="12"/>
        <v/>
      </c>
      <c r="CP17" s="28" t="str">
        <f t="shared" ca="1" si="12"/>
        <v/>
      </c>
      <c r="CQ17" s="28" t="str">
        <f t="shared" ca="1" si="12"/>
        <v/>
      </c>
      <c r="CR17" s="28" t="str">
        <f t="shared" ca="1" si="12"/>
        <v/>
      </c>
      <c r="CS17" s="28" t="str">
        <f t="shared" ca="1" si="12"/>
        <v/>
      </c>
      <c r="CT17" s="28" t="str">
        <f t="shared" ca="1" si="12"/>
        <v/>
      </c>
      <c r="CU17" s="28" t="str">
        <f t="shared" ca="1" si="12"/>
        <v/>
      </c>
      <c r="CV17" s="346" t="str">
        <f t="shared" ca="1" si="12"/>
        <v/>
      </c>
    </row>
    <row r="18" spans="2:100" ht="15">
      <c r="B18" s="63" t="str">
        <v>BJ</v>
      </c>
      <c r="C18" s="16" t="str">
        <f t="shared" si="8"/>
        <v>BJ11:BJ56</v>
      </c>
      <c r="D18" s="342" t="str">
        <f t="shared" ca="1" si="9"/>
        <v>Tm08</v>
      </c>
      <c r="E18" s="349" t="str">
        <f t="shared" ca="1" si="10"/>
        <v>Tm01</v>
      </c>
      <c r="F18" s="349" t="str">
        <f t="shared" ca="1" si="5"/>
        <v>ng</v>
      </c>
      <c r="G18" s="349" t="str">
        <f t="shared" ca="1" si="5"/>
        <v>ng</v>
      </c>
      <c r="H18" s="349" t="str">
        <f t="shared" ca="1" si="5"/>
        <v>Tm04</v>
      </c>
      <c r="I18" s="349" t="str">
        <f t="shared" ca="1" si="5"/>
        <v>Tm03</v>
      </c>
      <c r="J18" s="349" t="str">
        <f t="shared" ca="1" si="5"/>
        <v>ng</v>
      </c>
      <c r="K18" s="349" t="str">
        <f t="shared" ca="1" si="5"/>
        <v>ng</v>
      </c>
      <c r="L18" s="349" t="str">
        <f t="shared" ca="1" si="5"/>
        <v>Tm02</v>
      </c>
      <c r="M18" s="349" t="str">
        <f t="shared" ca="1" si="5"/>
        <v>Tm05</v>
      </c>
      <c r="N18" s="349" t="str">
        <f t="shared" ca="1" si="5"/>
        <v>ng</v>
      </c>
      <c r="O18" s="349" t="str">
        <f t="shared" ca="1" si="5"/>
        <v>ng</v>
      </c>
      <c r="P18" s="349" t="str">
        <f t="shared" ca="1" si="5"/>
        <v>Tm06</v>
      </c>
      <c r="Q18" s="349" t="str">
        <f t="shared" ca="1" si="5"/>
        <v>Tm07</v>
      </c>
      <c r="R18" s="349" t="str">
        <f t="shared" ca="1" si="5"/>
        <v>ng</v>
      </c>
      <c r="S18" s="349" t="str">
        <f t="shared" ca="1" si="5"/>
        <v>ng</v>
      </c>
      <c r="T18" s="349" t="str">
        <f t="shared" ca="1" si="5"/>
        <v>ng</v>
      </c>
      <c r="U18" s="349" t="str">
        <f t="shared" ca="1" si="5"/>
        <v>ng</v>
      </c>
      <c r="V18" s="349" t="str">
        <f t="shared" ca="1" si="5"/>
        <v>ng</v>
      </c>
      <c r="W18" s="349" t="str">
        <f t="shared" ca="1" si="5"/>
        <v>ng</v>
      </c>
      <c r="X18" s="349" t="str">
        <f t="shared" ca="1" si="5"/>
        <v>ng</v>
      </c>
      <c r="Y18" s="349" t="str">
        <f t="shared" ca="1" si="5"/>
        <v>ng</v>
      </c>
      <c r="Z18" s="349" t="str">
        <f t="shared" ca="1" si="5"/>
        <v>ng</v>
      </c>
      <c r="AA18" s="349" t="str">
        <f t="shared" ca="1" si="5"/>
        <v>ng</v>
      </c>
      <c r="AB18" s="349" t="str">
        <f t="shared" ca="1" si="5"/>
        <v>ng</v>
      </c>
      <c r="AC18" s="349" t="str">
        <f t="shared" ca="1" si="5"/>
        <v>ng</v>
      </c>
      <c r="AD18" s="349" t="str">
        <f t="shared" ca="1" si="5"/>
        <v>ng</v>
      </c>
      <c r="AE18" s="349" t="str">
        <f t="shared" ca="1" si="5"/>
        <v>ng</v>
      </c>
      <c r="AF18" s="349" t="str">
        <f t="shared" ca="1" si="5"/>
        <v>ng</v>
      </c>
      <c r="AG18" s="349" t="str">
        <f t="shared" ca="1" si="5"/>
        <v>ng</v>
      </c>
      <c r="AH18" s="349" t="str">
        <f t="shared" ca="1" si="5"/>
        <v>ng</v>
      </c>
      <c r="AI18" s="349" t="str">
        <f t="shared" ca="1" si="5"/>
        <v>ng</v>
      </c>
      <c r="AJ18" s="349" t="str">
        <f t="shared" ca="1" si="5"/>
        <v>ng</v>
      </c>
      <c r="AK18" s="349" t="str">
        <f t="shared" ca="1" si="5"/>
        <v>ng</v>
      </c>
      <c r="AL18" s="349" t="str">
        <f t="shared" ca="1" si="6"/>
        <v>ng</v>
      </c>
      <c r="AM18" s="349" t="str">
        <f t="shared" ca="1" si="6"/>
        <v>ng</v>
      </c>
      <c r="AN18" s="349" t="str">
        <f t="shared" ca="1" si="6"/>
        <v>ng</v>
      </c>
      <c r="AO18" s="349" t="str">
        <f t="shared" ca="1" si="6"/>
        <v>ng</v>
      </c>
      <c r="AP18" s="349" t="str">
        <f t="shared" ca="1" si="6"/>
        <v>ng</v>
      </c>
      <c r="AQ18" s="349" t="str">
        <f t="shared" ca="1" si="6"/>
        <v>ng</v>
      </c>
      <c r="AR18" s="350" t="str">
        <f t="shared" ca="1" si="6"/>
        <v>ng</v>
      </c>
      <c r="BA18" s="16" t="str">
        <v>BJ</v>
      </c>
      <c r="BB18" s="342" t="str">
        <f ca="1">DcI!C18</f>
        <v>Tm08</v>
      </c>
      <c r="BC18" s="28" t="str">
        <f ca="1">IF(DcI!D18="X","X",IF(LEN(DcI!D18)=3,CONCATENATE("0",LEFT(DcI!D18,1)),IF(LEN(DcI!D18)=5,LEFT(DcI!D18,2),IF(MID(DcI!D18,2,1)="•",CONCATENATE("0",LEFT(DcI!D18,1)),LEFT(DcI!D18,2)))))</f>
        <v>01</v>
      </c>
      <c r="BD18" s="28" t="str">
        <f ca="1">IF(DcI!E18="X","X",IF(LEN(DcI!E18)=3,CONCATENATE("0",LEFT(DcI!E18,1)),IF(LEN(DcI!E18)=5,LEFT(DcI!E18,2),IF(MID(DcI!E18,2,1)="•",CONCATENATE("0",LEFT(DcI!E18,1)),LEFT(DcI!E18,2)))))</f>
        <v>08</v>
      </c>
      <c r="BE18" s="28" t="str">
        <f ca="1">IF(DcI!F18="X","X",IF(LEN(DcI!F18)=3,CONCATENATE("0",LEFT(DcI!F18,1)),IF(LEN(DcI!F18)=5,LEFT(DcI!F18,2),IF(MID(DcI!F18,2,1)="•",CONCATENATE("0",LEFT(DcI!F18,1)),LEFT(DcI!F18,2)))))</f>
        <v>05</v>
      </c>
      <c r="BF18" s="28" t="str">
        <f ca="1">IF(DcI!G18="X","X",IF(LEN(DcI!G18)=3,CONCATENATE("0",LEFT(DcI!G18,1)),IF(LEN(DcI!G18)=5,LEFT(DcI!G18,2),IF(MID(DcI!G18,2,1)="•",CONCATENATE("0",LEFT(DcI!G18,1)),LEFT(DcI!G18,2)))))</f>
        <v>04</v>
      </c>
      <c r="BG18" s="28" t="str">
        <f ca="1">IF(DcI!H18="X","X",IF(LEN(DcI!H18)=3,CONCATENATE("0",LEFT(DcI!H18,1)),IF(LEN(DcI!H18)=5,LEFT(DcI!H18,2),IF(MID(DcI!H18,2,1)="•",CONCATENATE("0",LEFT(DcI!H18,1)),LEFT(DcI!H18,2)))))</f>
        <v>09</v>
      </c>
      <c r="BH18" s="28" t="str">
        <f ca="1">IF(DcI!I18="X","X",IF(LEN(DcI!I18)=3,CONCATENATE("0",LEFT(DcI!I18,1)),IF(LEN(DcI!I18)=5,LEFT(DcI!I18,2),IF(MID(DcI!I18,2,1)="•",CONCATENATE("0",LEFT(DcI!I18,1)),LEFT(DcI!I18,2)))))</f>
        <v>12</v>
      </c>
      <c r="BI18" s="28" t="str">
        <f ca="1">IF(DcI!J18="X","X",IF(LEN(DcI!J18)=3,CONCATENATE("0",LEFT(DcI!J18,1)),IF(LEN(DcI!J18)=5,LEFT(DcI!J18,2),IF(MID(DcI!J18,2,1)="•",CONCATENATE("0",LEFT(DcI!J18,1)),LEFT(DcI!J18,2)))))</f>
        <v>13</v>
      </c>
      <c r="BJ18" s="347" t="str">
        <f ca="1">IF(DcI!K18="X","X",IF(LEN(DcI!K18)=3,CONCATENATE("0",LEFT(DcI!K18,1)),IF(LEN(DcI!K18)=5,LEFT(DcI!K18,2),IF(MID(DcI!K18,2,1)="•",CONCATENATE("0",LEFT(DcI!K18,1)),LEFT(DcI!K18,2)))))</f>
        <v>X</v>
      </c>
      <c r="BK18" s="28" t="str">
        <f t="shared" ca="1" si="7"/>
        <v/>
      </c>
      <c r="BL18" s="28" t="str">
        <f t="shared" ca="1" si="7"/>
        <v/>
      </c>
      <c r="BM18" s="28" t="str">
        <f t="shared" ca="1" si="7"/>
        <v/>
      </c>
      <c r="BN18" s="28" t="str">
        <f t="shared" ca="1" si="7"/>
        <v/>
      </c>
      <c r="BO18" s="28" t="str">
        <f t="shared" ca="1" si="7"/>
        <v/>
      </c>
      <c r="BP18" s="28" t="str">
        <f t="shared" ca="1" si="7"/>
        <v/>
      </c>
      <c r="BQ18" s="28" t="str">
        <f t="shared" ca="1" si="7"/>
        <v/>
      </c>
      <c r="BR18" s="28" t="str">
        <f t="shared" ca="1" si="7"/>
        <v/>
      </c>
      <c r="BS18" s="28" t="str">
        <f t="shared" ca="1" si="7"/>
        <v/>
      </c>
      <c r="BT18" s="28" t="str">
        <f t="shared" ca="1" si="7"/>
        <v/>
      </c>
      <c r="BU18" s="28" t="str">
        <f t="shared" ca="1" si="7"/>
        <v/>
      </c>
      <c r="BV18" s="28" t="str">
        <f t="shared" ca="1" si="13"/>
        <v/>
      </c>
      <c r="BW18" s="28" t="str">
        <f t="shared" ca="1" si="13"/>
        <v/>
      </c>
      <c r="BX18" s="28" t="str">
        <f t="shared" ca="1" si="13"/>
        <v/>
      </c>
      <c r="BY18" s="28" t="str">
        <f t="shared" ca="1" si="13"/>
        <v/>
      </c>
      <c r="BZ18" s="28" t="str">
        <f t="shared" ca="1" si="13"/>
        <v/>
      </c>
      <c r="CA18" s="28" t="str">
        <f t="shared" ca="1" si="13"/>
        <v/>
      </c>
      <c r="CB18" s="28" t="str">
        <f t="shared" ca="1" si="13"/>
        <v/>
      </c>
      <c r="CC18" s="28" t="str">
        <f t="shared" ca="1" si="13"/>
        <v/>
      </c>
      <c r="CD18" s="28" t="str">
        <f t="shared" ca="1" si="13"/>
        <v/>
      </c>
      <c r="CE18" s="28" t="str">
        <f t="shared" ca="1" si="13"/>
        <v/>
      </c>
      <c r="CF18" s="28" t="str">
        <f t="shared" ca="1" si="13"/>
        <v/>
      </c>
      <c r="CG18" s="28" t="str">
        <f t="shared" ca="1" si="13"/>
        <v/>
      </c>
      <c r="CH18" s="28" t="str">
        <f t="shared" ca="1" si="13"/>
        <v/>
      </c>
      <c r="CI18" s="28" t="str">
        <f t="shared" ca="1" si="13"/>
        <v/>
      </c>
      <c r="CJ18" s="28" t="str">
        <f t="shared" ca="1" si="13"/>
        <v/>
      </c>
      <c r="CK18" s="28" t="str">
        <f t="shared" ca="1" si="13"/>
        <v/>
      </c>
      <c r="CL18" s="28" t="str">
        <f t="shared" ca="1" si="11"/>
        <v/>
      </c>
      <c r="CM18" s="28" t="str">
        <f t="shared" ca="1" si="11"/>
        <v/>
      </c>
      <c r="CN18" s="28" t="str">
        <f t="shared" ca="1" si="11"/>
        <v/>
      </c>
      <c r="CO18" s="28" t="str">
        <f t="shared" ca="1" si="12"/>
        <v/>
      </c>
      <c r="CP18" s="28" t="str">
        <f t="shared" ca="1" si="12"/>
        <v/>
      </c>
      <c r="CQ18" s="28" t="str">
        <f t="shared" ca="1" si="12"/>
        <v/>
      </c>
      <c r="CR18" s="28" t="str">
        <f t="shared" ca="1" si="12"/>
        <v/>
      </c>
      <c r="CS18" s="28" t="str">
        <f t="shared" ca="1" si="12"/>
        <v/>
      </c>
      <c r="CT18" s="28" t="str">
        <f t="shared" ca="1" si="12"/>
        <v/>
      </c>
      <c r="CU18" s="28" t="str">
        <f t="shared" ca="1" si="12"/>
        <v/>
      </c>
      <c r="CV18" s="346" t="str">
        <f t="shared" ca="1" si="12"/>
        <v/>
      </c>
    </row>
    <row r="19" spans="2:100" ht="15">
      <c r="B19" s="63" t="str">
        <v>BK</v>
      </c>
      <c r="C19" s="16" t="str">
        <f t="shared" si="8"/>
        <v>BK11:BK56</v>
      </c>
      <c r="D19" s="342" t="str">
        <f t="shared" ca="1" si="9"/>
        <v>Tm09</v>
      </c>
      <c r="E19" s="349" t="str">
        <f t="shared" ca="1" si="10"/>
        <v>ng</v>
      </c>
      <c r="F19" s="349" t="str">
        <f t="shared" ca="1" si="5"/>
        <v>Tm14</v>
      </c>
      <c r="G19" s="349" t="str">
        <f t="shared" ca="1" si="5"/>
        <v>Tm15</v>
      </c>
      <c r="H19" s="349" t="str">
        <f t="shared" ca="1" si="5"/>
        <v>ng</v>
      </c>
      <c r="I19" s="349" t="str">
        <f t="shared" ca="1" si="5"/>
        <v>ng</v>
      </c>
      <c r="J19" s="349" t="str">
        <f t="shared" ca="1" si="5"/>
        <v>Tm16</v>
      </c>
      <c r="K19" s="349" t="str">
        <f t="shared" ca="1" si="5"/>
        <v>Tm13</v>
      </c>
      <c r="L19" s="349" t="str">
        <f t="shared" ca="1" si="5"/>
        <v>ng</v>
      </c>
      <c r="M19" s="349" t="str">
        <f t="shared" ca="1" si="5"/>
        <v>ng</v>
      </c>
      <c r="N19" s="349" t="str">
        <f t="shared" ca="1" si="5"/>
        <v>Tm12</v>
      </c>
      <c r="O19" s="349" t="str">
        <f t="shared" ca="1" si="5"/>
        <v>Tm11</v>
      </c>
      <c r="P19" s="349" t="str">
        <f t="shared" ca="1" si="5"/>
        <v>ng</v>
      </c>
      <c r="Q19" s="349" t="str">
        <f t="shared" ca="1" si="5"/>
        <v>ng</v>
      </c>
      <c r="R19" s="349" t="str">
        <f t="shared" ca="1" si="5"/>
        <v>Tm10</v>
      </c>
      <c r="S19" s="349" t="str">
        <f t="shared" ca="1" si="5"/>
        <v>ng</v>
      </c>
      <c r="T19" s="349" t="str">
        <f t="shared" ref="F19:AK27" ca="1" si="14">IF(ISERROR(INDIRECT(CONCATENATE("D",MATCH(T$6,INDIRECT($C19),0)+10))),"ng",INDIRECT(CONCATENATE("D",MATCH(T$6,INDIRECT($C19),0)+10)))</f>
        <v>ng</v>
      </c>
      <c r="U19" s="349" t="str">
        <f t="shared" ca="1" si="14"/>
        <v>ng</v>
      </c>
      <c r="V19" s="349" t="str">
        <f t="shared" ca="1" si="14"/>
        <v>ng</v>
      </c>
      <c r="W19" s="349" t="str">
        <f t="shared" ca="1" si="14"/>
        <v>ng</v>
      </c>
      <c r="X19" s="349" t="str">
        <f t="shared" ca="1" si="14"/>
        <v>ng</v>
      </c>
      <c r="Y19" s="349" t="str">
        <f t="shared" ca="1" si="14"/>
        <v>ng</v>
      </c>
      <c r="Z19" s="349" t="str">
        <f t="shared" ca="1" si="14"/>
        <v>ng</v>
      </c>
      <c r="AA19" s="349" t="str">
        <f t="shared" ca="1" si="14"/>
        <v>ng</v>
      </c>
      <c r="AB19" s="349" t="str">
        <f t="shared" ca="1" si="14"/>
        <v>ng</v>
      </c>
      <c r="AC19" s="349" t="str">
        <f t="shared" ca="1" si="14"/>
        <v>ng</v>
      </c>
      <c r="AD19" s="349" t="str">
        <f t="shared" ca="1" si="14"/>
        <v>ng</v>
      </c>
      <c r="AE19" s="349" t="str">
        <f t="shared" ca="1" si="14"/>
        <v>ng</v>
      </c>
      <c r="AF19" s="349" t="str">
        <f t="shared" ca="1" si="14"/>
        <v>ng</v>
      </c>
      <c r="AG19" s="349" t="str">
        <f t="shared" ca="1" si="14"/>
        <v>ng</v>
      </c>
      <c r="AH19" s="349" t="str">
        <f t="shared" ca="1" si="14"/>
        <v>ng</v>
      </c>
      <c r="AI19" s="349" t="str">
        <f t="shared" ca="1" si="14"/>
        <v>ng</v>
      </c>
      <c r="AJ19" s="349" t="str">
        <f t="shared" ca="1" si="14"/>
        <v>ng</v>
      </c>
      <c r="AK19" s="349" t="str">
        <f t="shared" ca="1" si="14"/>
        <v>ng</v>
      </c>
      <c r="AL19" s="349" t="str">
        <f t="shared" ca="1" si="6"/>
        <v>ng</v>
      </c>
      <c r="AM19" s="349" t="str">
        <f t="shared" ca="1" si="6"/>
        <v>ng</v>
      </c>
      <c r="AN19" s="349" t="str">
        <f t="shared" ca="1" si="6"/>
        <v>ng</v>
      </c>
      <c r="AO19" s="349" t="str">
        <f t="shared" ca="1" si="6"/>
        <v>ng</v>
      </c>
      <c r="AP19" s="349" t="str">
        <f t="shared" ca="1" si="6"/>
        <v>ng</v>
      </c>
      <c r="AQ19" s="349" t="str">
        <f t="shared" ca="1" si="6"/>
        <v>ng</v>
      </c>
      <c r="AR19" s="350" t="str">
        <f t="shared" ca="1" si="6"/>
        <v>ng</v>
      </c>
      <c r="BA19" s="16" t="str">
        <v>BK</v>
      </c>
      <c r="BB19" s="342" t="str">
        <f ca="1">DcI!C19</f>
        <v>Tm09</v>
      </c>
      <c r="BC19" s="28" t="str">
        <f ca="1">IF(DcI!D19="X","X",IF(LEN(DcI!D19)=3,CONCATENATE("0",LEFT(DcI!D19,1)),IF(LEN(DcI!D19)=5,LEFT(DcI!D19,2),IF(MID(DcI!D19,2,1)="•",CONCATENATE("0",LEFT(DcI!D19,1)),LEFT(DcI!D19,2)))))</f>
        <v/>
      </c>
      <c r="BD19" s="28" t="str">
        <f ca="1">IF(DcI!E19="X","X",IF(LEN(DcI!E19)=3,CONCATENATE("0",LEFT(DcI!E19,1)),IF(LEN(DcI!E19)=5,LEFT(DcI!E19,2),IF(MID(DcI!E19,2,1)="•",CONCATENATE("0",LEFT(DcI!E19,1)),LEFT(DcI!E19,2)))))</f>
        <v/>
      </c>
      <c r="BE19" s="28" t="str">
        <f ca="1">IF(DcI!F19="X","X",IF(LEN(DcI!F19)=3,CONCATENATE("0",LEFT(DcI!F19,1)),IF(LEN(DcI!F19)=5,LEFT(DcI!F19,2),IF(MID(DcI!F19,2,1)="•",CONCATENATE("0",LEFT(DcI!F19,1)),LEFT(DcI!F19,2)))))</f>
        <v/>
      </c>
      <c r="BF19" s="28" t="str">
        <f ca="1">IF(DcI!G19="X","X",IF(LEN(DcI!G19)=3,CONCATENATE("0",LEFT(DcI!G19,1)),IF(LEN(DcI!G19)=5,LEFT(DcI!G19,2),IF(MID(DcI!G19,2,1)="•",CONCATENATE("0",LEFT(DcI!G19,1)),LEFT(DcI!G19,2)))))</f>
        <v/>
      </c>
      <c r="BG19" s="28" t="str">
        <f ca="1">IF(DcI!H19="X","X",IF(LEN(DcI!H19)=3,CONCATENATE("0",LEFT(DcI!H19,1)),IF(LEN(DcI!H19)=5,LEFT(DcI!H19,2),IF(MID(DcI!H19,2,1)="•",CONCATENATE("0",LEFT(DcI!H19,1)),LEFT(DcI!H19,2)))))</f>
        <v/>
      </c>
      <c r="BH19" s="28" t="str">
        <f ca="1">IF(DcI!I19="X","X",IF(LEN(DcI!I19)=3,CONCATENATE("0",LEFT(DcI!I19,1)),IF(LEN(DcI!I19)=5,LEFT(DcI!I19,2),IF(MID(DcI!I19,2,1)="•",CONCATENATE("0",LEFT(DcI!I19,1)),LEFT(DcI!I19,2)))))</f>
        <v/>
      </c>
      <c r="BI19" s="28" t="str">
        <f ca="1">IF(DcI!J19="X","X",IF(LEN(DcI!J19)=3,CONCATENATE("0",LEFT(DcI!J19,1)),IF(LEN(DcI!J19)=5,LEFT(DcI!J19,2),IF(MID(DcI!J19,2,1)="•",CONCATENATE("0",LEFT(DcI!J19,1)),LEFT(DcI!J19,2)))))</f>
        <v/>
      </c>
      <c r="BJ19" s="28" t="str">
        <f ca="1">IF(DcI!K19="X","X",IF(LEN(DcI!K19)=3,CONCATENATE("0",LEFT(DcI!K19,1)),IF(LEN(DcI!K19)=5,LEFT(DcI!K19,2),IF(MID(DcI!K19,2,1)="•",CONCATENATE("0",LEFT(DcI!K19,1)),LEFT(DcI!K19,2)))))</f>
        <v/>
      </c>
      <c r="BK19" s="347" t="str">
        <f ca="1">IF(DcI!L19="X","X",IF(LEN(DcI!L19)=3,CONCATENATE("0",LEFT(DcI!L19,1)),IF(LEN(DcI!L19)=5,LEFT(DcI!L19,2),IF(MID(DcI!L19,2,1)="•",CONCATENATE("0",LEFT(DcI!L19,1)),LEFT(DcI!L19,2)))))</f>
        <v>X</v>
      </c>
      <c r="BL19" s="28" t="str">
        <f t="shared" ca="1" si="7"/>
        <v>14</v>
      </c>
      <c r="BM19" s="28" t="str">
        <f t="shared" ca="1" si="7"/>
        <v>11</v>
      </c>
      <c r="BN19" s="28" t="str">
        <f t="shared" ca="1" si="7"/>
        <v>10</v>
      </c>
      <c r="BO19" s="28" t="str">
        <f t="shared" ca="1" si="7"/>
        <v>07</v>
      </c>
      <c r="BP19" s="28" t="str">
        <f t="shared" ca="1" si="7"/>
        <v>02</v>
      </c>
      <c r="BQ19" s="28" t="str">
        <f t="shared" ca="1" si="7"/>
        <v>03</v>
      </c>
      <c r="BR19" s="28" t="str">
        <f t="shared" ca="1" si="7"/>
        <v>06</v>
      </c>
      <c r="BS19" s="28" t="str">
        <f t="shared" ca="1" si="7"/>
        <v/>
      </c>
      <c r="BT19" s="28" t="str">
        <f t="shared" ca="1" si="7"/>
        <v/>
      </c>
      <c r="BU19" s="28" t="str">
        <f t="shared" ca="1" si="7"/>
        <v/>
      </c>
      <c r="BV19" s="28" t="str">
        <f t="shared" ca="1" si="13"/>
        <v/>
      </c>
      <c r="BW19" s="28" t="str">
        <f t="shared" ca="1" si="13"/>
        <v/>
      </c>
      <c r="BX19" s="28" t="str">
        <f t="shared" ca="1" si="13"/>
        <v/>
      </c>
      <c r="BY19" s="28" t="str">
        <f t="shared" ca="1" si="13"/>
        <v/>
      </c>
      <c r="BZ19" s="28" t="str">
        <f t="shared" ca="1" si="13"/>
        <v/>
      </c>
      <c r="CA19" s="28" t="str">
        <f t="shared" ca="1" si="13"/>
        <v/>
      </c>
      <c r="CB19" s="28" t="str">
        <f t="shared" ca="1" si="13"/>
        <v/>
      </c>
      <c r="CC19" s="28" t="str">
        <f t="shared" ca="1" si="13"/>
        <v/>
      </c>
      <c r="CD19" s="28" t="str">
        <f t="shared" ca="1" si="13"/>
        <v/>
      </c>
      <c r="CE19" s="28" t="str">
        <f t="shared" ca="1" si="13"/>
        <v/>
      </c>
      <c r="CF19" s="28" t="str">
        <f t="shared" ca="1" si="13"/>
        <v/>
      </c>
      <c r="CG19" s="28" t="str">
        <f t="shared" ca="1" si="13"/>
        <v/>
      </c>
      <c r="CH19" s="28" t="str">
        <f t="shared" ca="1" si="13"/>
        <v/>
      </c>
      <c r="CI19" s="28" t="str">
        <f t="shared" ca="1" si="13"/>
        <v/>
      </c>
      <c r="CJ19" s="28" t="str">
        <f t="shared" ca="1" si="13"/>
        <v/>
      </c>
      <c r="CK19" s="28" t="str">
        <f t="shared" ca="1" si="13"/>
        <v/>
      </c>
      <c r="CL19" s="28" t="str">
        <f t="shared" ca="1" si="11"/>
        <v/>
      </c>
      <c r="CM19" s="28" t="str">
        <f t="shared" ca="1" si="11"/>
        <v/>
      </c>
      <c r="CN19" s="28" t="str">
        <f t="shared" ca="1" si="11"/>
        <v/>
      </c>
      <c r="CO19" s="28" t="str">
        <f t="shared" ca="1" si="12"/>
        <v/>
      </c>
      <c r="CP19" s="28" t="str">
        <f t="shared" ca="1" si="12"/>
        <v/>
      </c>
      <c r="CQ19" s="28" t="str">
        <f t="shared" ca="1" si="12"/>
        <v/>
      </c>
      <c r="CR19" s="28" t="str">
        <f t="shared" ca="1" si="12"/>
        <v/>
      </c>
      <c r="CS19" s="28" t="str">
        <f t="shared" ca="1" si="12"/>
        <v/>
      </c>
      <c r="CT19" s="28" t="str">
        <f t="shared" ca="1" si="12"/>
        <v/>
      </c>
      <c r="CU19" s="28" t="str">
        <f t="shared" ca="1" si="12"/>
        <v/>
      </c>
      <c r="CV19" s="346" t="str">
        <f t="shared" ca="1" si="12"/>
        <v/>
      </c>
    </row>
    <row r="20" spans="2:100" ht="15">
      <c r="B20" s="63" t="str">
        <v>BL</v>
      </c>
      <c r="C20" s="16" t="str">
        <f t="shared" si="8"/>
        <v>BL11:BL56</v>
      </c>
      <c r="D20" s="342" t="str">
        <f t="shared" ca="1" si="9"/>
        <v>Tm10</v>
      </c>
      <c r="E20" s="349" t="str">
        <f t="shared" ca="1" si="10"/>
        <v>ng</v>
      </c>
      <c r="F20" s="349" t="str">
        <f t="shared" ca="1" si="14"/>
        <v>Tm13</v>
      </c>
      <c r="G20" s="349" t="str">
        <f t="shared" ca="1" si="14"/>
        <v>Tm16</v>
      </c>
      <c r="H20" s="349" t="str">
        <f t="shared" ca="1" si="14"/>
        <v>ng</v>
      </c>
      <c r="I20" s="349" t="str">
        <f t="shared" ca="1" si="14"/>
        <v>ng</v>
      </c>
      <c r="J20" s="349" t="str">
        <f t="shared" ca="1" si="14"/>
        <v>Tm15</v>
      </c>
      <c r="K20" s="349" t="str">
        <f t="shared" ca="1" si="14"/>
        <v>Tm14</v>
      </c>
      <c r="L20" s="349" t="str">
        <f t="shared" ca="1" si="14"/>
        <v>ng</v>
      </c>
      <c r="M20" s="349" t="str">
        <f t="shared" ca="1" si="14"/>
        <v>ng</v>
      </c>
      <c r="N20" s="349" t="str">
        <f t="shared" ca="1" si="14"/>
        <v>Tm11</v>
      </c>
      <c r="O20" s="349" t="str">
        <f t="shared" ca="1" si="14"/>
        <v>Tm12</v>
      </c>
      <c r="P20" s="349" t="str">
        <f t="shared" ca="1" si="14"/>
        <v>ng</v>
      </c>
      <c r="Q20" s="349" t="str">
        <f t="shared" ca="1" si="14"/>
        <v>ng</v>
      </c>
      <c r="R20" s="349" t="str">
        <f t="shared" ca="1" si="14"/>
        <v>Tm09</v>
      </c>
      <c r="S20" s="349" t="str">
        <f t="shared" ca="1" si="14"/>
        <v>ng</v>
      </c>
      <c r="T20" s="349" t="str">
        <f t="shared" ca="1" si="14"/>
        <v>ng</v>
      </c>
      <c r="U20" s="349" t="str">
        <f t="shared" ca="1" si="14"/>
        <v>ng</v>
      </c>
      <c r="V20" s="349" t="str">
        <f t="shared" ca="1" si="14"/>
        <v>ng</v>
      </c>
      <c r="W20" s="349" t="str">
        <f t="shared" ca="1" si="14"/>
        <v>ng</v>
      </c>
      <c r="X20" s="349" t="str">
        <f t="shared" ca="1" si="14"/>
        <v>ng</v>
      </c>
      <c r="Y20" s="349" t="str">
        <f t="shared" ca="1" si="14"/>
        <v>ng</v>
      </c>
      <c r="Z20" s="349" t="str">
        <f t="shared" ca="1" si="14"/>
        <v>ng</v>
      </c>
      <c r="AA20" s="349" t="str">
        <f t="shared" ca="1" si="14"/>
        <v>ng</v>
      </c>
      <c r="AB20" s="349" t="str">
        <f t="shared" ca="1" si="14"/>
        <v>ng</v>
      </c>
      <c r="AC20" s="349" t="str">
        <f t="shared" ca="1" si="14"/>
        <v>ng</v>
      </c>
      <c r="AD20" s="349" t="str">
        <f t="shared" ca="1" si="14"/>
        <v>ng</v>
      </c>
      <c r="AE20" s="349" t="str">
        <f t="shared" ca="1" si="14"/>
        <v>ng</v>
      </c>
      <c r="AF20" s="349" t="str">
        <f t="shared" ca="1" si="14"/>
        <v>ng</v>
      </c>
      <c r="AG20" s="349" t="str">
        <f t="shared" ca="1" si="14"/>
        <v>ng</v>
      </c>
      <c r="AH20" s="349" t="str">
        <f t="shared" ca="1" si="14"/>
        <v>ng</v>
      </c>
      <c r="AI20" s="349" t="str">
        <f t="shared" ca="1" si="14"/>
        <v>ng</v>
      </c>
      <c r="AJ20" s="349" t="str">
        <f t="shared" ca="1" si="14"/>
        <v>ng</v>
      </c>
      <c r="AK20" s="349" t="str">
        <f t="shared" ca="1" si="14"/>
        <v>ng</v>
      </c>
      <c r="AL20" s="349" t="str">
        <f t="shared" ca="1" si="6"/>
        <v>ng</v>
      </c>
      <c r="AM20" s="349" t="str">
        <f t="shared" ca="1" si="6"/>
        <v>ng</v>
      </c>
      <c r="AN20" s="349" t="str">
        <f t="shared" ca="1" si="6"/>
        <v>ng</v>
      </c>
      <c r="AO20" s="349" t="str">
        <f t="shared" ca="1" si="6"/>
        <v>ng</v>
      </c>
      <c r="AP20" s="349" t="str">
        <f t="shared" ca="1" si="6"/>
        <v>ng</v>
      </c>
      <c r="AQ20" s="349" t="str">
        <f t="shared" ca="1" si="6"/>
        <v>ng</v>
      </c>
      <c r="AR20" s="350" t="str">
        <f t="shared" ca="1" si="6"/>
        <v>ng</v>
      </c>
      <c r="BA20" s="16" t="str">
        <v>BL</v>
      </c>
      <c r="BB20" s="342" t="str">
        <f ca="1">DcI!C20</f>
        <v>Tm10</v>
      </c>
      <c r="BC20" s="28" t="str">
        <f ca="1">IF(DcI!D20="X","X",IF(LEN(DcI!D20)=3,CONCATENATE("0",LEFT(DcI!D20,1)),IF(LEN(DcI!D20)=5,LEFT(DcI!D20,2),IF(MID(DcI!D20,2,1)="•",CONCATENATE("0",LEFT(DcI!D20,1)),LEFT(DcI!D20,2)))))</f>
        <v/>
      </c>
      <c r="BD20" s="28" t="str">
        <f ca="1">IF(DcI!E20="X","X",IF(LEN(DcI!E20)=3,CONCATENATE("0",LEFT(DcI!E20,1)),IF(LEN(DcI!E20)=5,LEFT(DcI!E20,2),IF(MID(DcI!E20,2,1)="•",CONCATENATE("0",LEFT(DcI!E20,1)),LEFT(DcI!E20,2)))))</f>
        <v/>
      </c>
      <c r="BE20" s="28" t="str">
        <f ca="1">IF(DcI!F20="X","X",IF(LEN(DcI!F20)=3,CONCATENATE("0",LEFT(DcI!F20,1)),IF(LEN(DcI!F20)=5,LEFT(DcI!F20,2),IF(MID(DcI!F20,2,1)="•",CONCATENATE("0",LEFT(DcI!F20,1)),LEFT(DcI!F20,2)))))</f>
        <v/>
      </c>
      <c r="BF20" s="28" t="str">
        <f ca="1">IF(DcI!G20="X","X",IF(LEN(DcI!G20)=3,CONCATENATE("0",LEFT(DcI!G20,1)),IF(LEN(DcI!G20)=5,LEFT(DcI!G20,2),IF(MID(DcI!G20,2,1)="•",CONCATENATE("0",LEFT(DcI!G20,1)),LEFT(DcI!G20,2)))))</f>
        <v/>
      </c>
      <c r="BG20" s="28" t="str">
        <f ca="1">IF(DcI!H20="X","X",IF(LEN(DcI!H20)=3,CONCATENATE("0",LEFT(DcI!H20,1)),IF(LEN(DcI!H20)=5,LEFT(DcI!H20,2),IF(MID(DcI!H20,2,1)="•",CONCATENATE("0",LEFT(DcI!H20,1)),LEFT(DcI!H20,2)))))</f>
        <v/>
      </c>
      <c r="BH20" s="28" t="str">
        <f ca="1">IF(DcI!I20="X","X",IF(LEN(DcI!I20)=3,CONCATENATE("0",LEFT(DcI!I20,1)),IF(LEN(DcI!I20)=5,LEFT(DcI!I20,2),IF(MID(DcI!I20,2,1)="•",CONCATENATE("0",LEFT(DcI!I20,1)),LEFT(DcI!I20,2)))))</f>
        <v/>
      </c>
      <c r="BI20" s="28" t="str">
        <f ca="1">IF(DcI!J20="X","X",IF(LEN(DcI!J20)=3,CONCATENATE("0",LEFT(DcI!J20,1)),IF(LEN(DcI!J20)=5,LEFT(DcI!J20,2),IF(MID(DcI!J20,2,1)="•",CONCATENATE("0",LEFT(DcI!J20,1)),LEFT(DcI!J20,2)))))</f>
        <v/>
      </c>
      <c r="BJ20" s="28" t="str">
        <f ca="1">IF(DcI!K20="X","X",IF(LEN(DcI!K20)=3,CONCATENATE("0",LEFT(DcI!K20,1)),IF(LEN(DcI!K20)=5,LEFT(DcI!K20,2),IF(MID(DcI!K20,2,1)="•",CONCATENATE("0",LEFT(DcI!K20,1)),LEFT(DcI!K20,2)))))</f>
        <v/>
      </c>
      <c r="BK20" s="28" t="str">
        <f ca="1">IF(DcI!L20="X","X",IF(LEN(DcI!L20)=3,CONCATENATE("0",LEFT(DcI!L20,1)),IF(LEN(DcI!L20)=5,LEFT(DcI!L20,2),IF(MID(DcI!L20,2,1)="•",CONCATENATE("0",LEFT(DcI!L20,1)),LEFT(DcI!L20,2)))))</f>
        <v>14</v>
      </c>
      <c r="BL20" s="347" t="str">
        <f ca="1">IF(DcI!M20="X","X",IF(LEN(DcI!M20)=3,CONCATENATE("0",LEFT(DcI!M20,1)),IF(LEN(DcI!M20)=5,LEFT(DcI!M20,2),IF(MID(DcI!M20,2,1)="•",CONCATENATE("0",LEFT(DcI!M20,1)),LEFT(DcI!M20,2)))))</f>
        <v>X</v>
      </c>
      <c r="BM20" s="28" t="str">
        <f t="shared" ca="1" si="7"/>
        <v>10</v>
      </c>
      <c r="BN20" s="28" t="str">
        <f t="shared" ca="1" si="7"/>
        <v>11</v>
      </c>
      <c r="BO20" s="28" t="str">
        <f t="shared" ca="1" si="7"/>
        <v>02</v>
      </c>
      <c r="BP20" s="28" t="str">
        <f t="shared" ca="1" si="7"/>
        <v>07</v>
      </c>
      <c r="BQ20" s="28" t="str">
        <f t="shared" ca="1" si="7"/>
        <v>06</v>
      </c>
      <c r="BR20" s="28" t="str">
        <f t="shared" ca="1" si="7"/>
        <v>03</v>
      </c>
      <c r="BS20" s="28" t="str">
        <f t="shared" ca="1" si="7"/>
        <v/>
      </c>
      <c r="BT20" s="28" t="str">
        <f t="shared" ca="1" si="7"/>
        <v/>
      </c>
      <c r="BU20" s="28" t="str">
        <f t="shared" ca="1" si="7"/>
        <v/>
      </c>
      <c r="BV20" s="28" t="str">
        <f t="shared" ca="1" si="13"/>
        <v/>
      </c>
      <c r="BW20" s="28" t="str">
        <f t="shared" ca="1" si="13"/>
        <v/>
      </c>
      <c r="BX20" s="28" t="str">
        <f t="shared" ca="1" si="13"/>
        <v/>
      </c>
      <c r="BY20" s="28" t="str">
        <f t="shared" ca="1" si="13"/>
        <v/>
      </c>
      <c r="BZ20" s="28" t="str">
        <f t="shared" ca="1" si="13"/>
        <v/>
      </c>
      <c r="CA20" s="28" t="str">
        <f t="shared" ca="1" si="13"/>
        <v/>
      </c>
      <c r="CB20" s="28" t="str">
        <f t="shared" ca="1" si="13"/>
        <v/>
      </c>
      <c r="CC20" s="28" t="str">
        <f t="shared" ca="1" si="13"/>
        <v/>
      </c>
      <c r="CD20" s="28" t="str">
        <f t="shared" ca="1" si="13"/>
        <v/>
      </c>
      <c r="CE20" s="28" t="str">
        <f t="shared" ca="1" si="13"/>
        <v/>
      </c>
      <c r="CF20" s="28" t="str">
        <f t="shared" ca="1" si="13"/>
        <v/>
      </c>
      <c r="CG20" s="28" t="str">
        <f t="shared" ca="1" si="13"/>
        <v/>
      </c>
      <c r="CH20" s="28" t="str">
        <f t="shared" ca="1" si="13"/>
        <v/>
      </c>
      <c r="CI20" s="28" t="str">
        <f t="shared" ca="1" si="13"/>
        <v/>
      </c>
      <c r="CJ20" s="28" t="str">
        <f t="shared" ca="1" si="13"/>
        <v/>
      </c>
      <c r="CK20" s="28" t="str">
        <f t="shared" ca="1" si="13"/>
        <v/>
      </c>
      <c r="CL20" s="28" t="str">
        <f t="shared" ca="1" si="11"/>
        <v/>
      </c>
      <c r="CM20" s="28" t="str">
        <f t="shared" ca="1" si="11"/>
        <v/>
      </c>
      <c r="CN20" s="28" t="str">
        <f t="shared" ca="1" si="11"/>
        <v/>
      </c>
      <c r="CO20" s="28" t="str">
        <f t="shared" ca="1" si="12"/>
        <v/>
      </c>
      <c r="CP20" s="28" t="str">
        <f t="shared" ca="1" si="12"/>
        <v/>
      </c>
      <c r="CQ20" s="28" t="str">
        <f t="shared" ca="1" si="12"/>
        <v/>
      </c>
      <c r="CR20" s="28" t="str">
        <f t="shared" ca="1" si="12"/>
        <v/>
      </c>
      <c r="CS20" s="28" t="str">
        <f t="shared" ca="1" si="12"/>
        <v/>
      </c>
      <c r="CT20" s="28" t="str">
        <f t="shared" ca="1" si="12"/>
        <v/>
      </c>
      <c r="CU20" s="28" t="str">
        <f t="shared" ca="1" si="12"/>
        <v/>
      </c>
      <c r="CV20" s="346" t="str">
        <f t="shared" ca="1" si="12"/>
        <v/>
      </c>
    </row>
    <row r="21" spans="2:100" ht="15">
      <c r="B21" s="63" t="str">
        <v>BM</v>
      </c>
      <c r="C21" s="16" t="str">
        <f t="shared" si="8"/>
        <v>BM11:BM56</v>
      </c>
      <c r="D21" s="342" t="str">
        <f t="shared" ca="1" si="9"/>
        <v>Tm11</v>
      </c>
      <c r="E21" s="349" t="str">
        <f t="shared" ca="1" si="10"/>
        <v>ng</v>
      </c>
      <c r="F21" s="349" t="str">
        <f t="shared" ca="1" si="14"/>
        <v>Tm15</v>
      </c>
      <c r="G21" s="349" t="str">
        <f t="shared" ca="1" si="14"/>
        <v>Tm13</v>
      </c>
      <c r="H21" s="349" t="str">
        <f t="shared" ca="1" si="14"/>
        <v>ng</v>
      </c>
      <c r="I21" s="349" t="str">
        <f t="shared" ca="1" si="14"/>
        <v>ng</v>
      </c>
      <c r="J21" s="349" t="str">
        <f t="shared" ca="1" si="14"/>
        <v>Tm14</v>
      </c>
      <c r="K21" s="349" t="str">
        <f t="shared" ca="1" si="14"/>
        <v>Tm16</v>
      </c>
      <c r="L21" s="349" t="str">
        <f t="shared" ca="1" si="14"/>
        <v>ng</v>
      </c>
      <c r="M21" s="349" t="str">
        <f t="shared" ca="1" si="14"/>
        <v>ng</v>
      </c>
      <c r="N21" s="349" t="str">
        <f t="shared" ca="1" si="14"/>
        <v>Tm10</v>
      </c>
      <c r="O21" s="349" t="str">
        <f t="shared" ca="1" si="14"/>
        <v>Tm09</v>
      </c>
      <c r="P21" s="349" t="str">
        <f t="shared" ca="1" si="14"/>
        <v>ng</v>
      </c>
      <c r="Q21" s="349" t="str">
        <f t="shared" ca="1" si="14"/>
        <v>ng</v>
      </c>
      <c r="R21" s="349" t="str">
        <f t="shared" ca="1" si="14"/>
        <v>Tm12</v>
      </c>
      <c r="S21" s="349" t="str">
        <f t="shared" ca="1" si="14"/>
        <v>ng</v>
      </c>
      <c r="T21" s="349" t="str">
        <f t="shared" ca="1" si="14"/>
        <v>ng</v>
      </c>
      <c r="U21" s="349" t="str">
        <f t="shared" ca="1" si="14"/>
        <v>ng</v>
      </c>
      <c r="V21" s="349" t="str">
        <f t="shared" ca="1" si="14"/>
        <v>ng</v>
      </c>
      <c r="W21" s="349" t="str">
        <f t="shared" ca="1" si="14"/>
        <v>ng</v>
      </c>
      <c r="X21" s="349" t="str">
        <f t="shared" ca="1" si="14"/>
        <v>ng</v>
      </c>
      <c r="Y21" s="349" t="str">
        <f t="shared" ca="1" si="14"/>
        <v>ng</v>
      </c>
      <c r="Z21" s="349" t="str">
        <f t="shared" ca="1" si="14"/>
        <v>ng</v>
      </c>
      <c r="AA21" s="349" t="str">
        <f t="shared" ca="1" si="14"/>
        <v>ng</v>
      </c>
      <c r="AB21" s="349" t="str">
        <f t="shared" ca="1" si="14"/>
        <v>ng</v>
      </c>
      <c r="AC21" s="349" t="str">
        <f t="shared" ca="1" si="14"/>
        <v>ng</v>
      </c>
      <c r="AD21" s="349" t="str">
        <f t="shared" ca="1" si="14"/>
        <v>ng</v>
      </c>
      <c r="AE21" s="349" t="str">
        <f t="shared" ca="1" si="14"/>
        <v>ng</v>
      </c>
      <c r="AF21" s="349" t="str">
        <f t="shared" ca="1" si="14"/>
        <v>ng</v>
      </c>
      <c r="AG21" s="349" t="str">
        <f t="shared" ca="1" si="14"/>
        <v>ng</v>
      </c>
      <c r="AH21" s="349" t="str">
        <f t="shared" ca="1" si="14"/>
        <v>ng</v>
      </c>
      <c r="AI21" s="349" t="str">
        <f t="shared" ca="1" si="14"/>
        <v>ng</v>
      </c>
      <c r="AJ21" s="349" t="str">
        <f t="shared" ca="1" si="14"/>
        <v>ng</v>
      </c>
      <c r="AK21" s="349" t="str">
        <f t="shared" ca="1" si="14"/>
        <v>ng</v>
      </c>
      <c r="AL21" s="349" t="str">
        <f t="shared" ca="1" si="6"/>
        <v>ng</v>
      </c>
      <c r="AM21" s="349" t="str">
        <f t="shared" ca="1" si="6"/>
        <v>ng</v>
      </c>
      <c r="AN21" s="349" t="str">
        <f t="shared" ca="1" si="6"/>
        <v>ng</v>
      </c>
      <c r="AO21" s="349" t="str">
        <f t="shared" ca="1" si="6"/>
        <v>ng</v>
      </c>
      <c r="AP21" s="349" t="str">
        <f t="shared" ca="1" si="6"/>
        <v>ng</v>
      </c>
      <c r="AQ21" s="349" t="str">
        <f t="shared" ca="1" si="6"/>
        <v>ng</v>
      </c>
      <c r="AR21" s="350" t="str">
        <f t="shared" ca="1" si="6"/>
        <v>ng</v>
      </c>
      <c r="BA21" s="16" t="str">
        <v>BM</v>
      </c>
      <c r="BB21" s="342" t="str">
        <f ca="1">DcI!C21</f>
        <v>Tm11</v>
      </c>
      <c r="BC21" s="28" t="str">
        <f ca="1">IF(DcI!D21="X","X",IF(LEN(DcI!D21)=3,CONCATENATE("0",LEFT(DcI!D21,1)),IF(LEN(DcI!D21)=5,LEFT(DcI!D21,2),IF(MID(DcI!D21,2,1)="•",CONCATENATE("0",LEFT(DcI!D21,1)),LEFT(DcI!D21,2)))))</f>
        <v/>
      </c>
      <c r="BD21" s="28" t="str">
        <f ca="1">IF(DcI!E21="X","X",IF(LEN(DcI!E21)=3,CONCATENATE("0",LEFT(DcI!E21,1)),IF(LEN(DcI!E21)=5,LEFT(DcI!E21,2),IF(MID(DcI!E21,2,1)="•",CONCATENATE("0",LEFT(DcI!E21,1)),LEFT(DcI!E21,2)))))</f>
        <v/>
      </c>
      <c r="BE21" s="28" t="str">
        <f ca="1">IF(DcI!F21="X","X",IF(LEN(DcI!F21)=3,CONCATENATE("0",LEFT(DcI!F21,1)),IF(LEN(DcI!F21)=5,LEFT(DcI!F21,2),IF(MID(DcI!F21,2,1)="•",CONCATENATE("0",LEFT(DcI!F21,1)),LEFT(DcI!F21,2)))))</f>
        <v/>
      </c>
      <c r="BF21" s="28" t="str">
        <f ca="1">IF(DcI!G21="X","X",IF(LEN(DcI!G21)=3,CONCATENATE("0",LEFT(DcI!G21,1)),IF(LEN(DcI!G21)=5,LEFT(DcI!G21,2),IF(MID(DcI!G21,2,1)="•",CONCATENATE("0",LEFT(DcI!G21,1)),LEFT(DcI!G21,2)))))</f>
        <v/>
      </c>
      <c r="BG21" s="28" t="str">
        <f ca="1">IF(DcI!H21="X","X",IF(LEN(DcI!H21)=3,CONCATENATE("0",LEFT(DcI!H21,1)),IF(LEN(DcI!H21)=5,LEFT(DcI!H21,2),IF(MID(DcI!H21,2,1)="•",CONCATENATE("0",LEFT(DcI!H21,1)),LEFT(DcI!H21,2)))))</f>
        <v/>
      </c>
      <c r="BH21" s="28" t="str">
        <f ca="1">IF(DcI!I21="X","X",IF(LEN(DcI!I21)=3,CONCATENATE("0",LEFT(DcI!I21,1)),IF(LEN(DcI!I21)=5,LEFT(DcI!I21,2),IF(MID(DcI!I21,2,1)="•",CONCATENATE("0",LEFT(DcI!I21,1)),LEFT(DcI!I21,2)))))</f>
        <v/>
      </c>
      <c r="BI21" s="28" t="str">
        <f ca="1">IF(DcI!J21="X","X",IF(LEN(DcI!J21)=3,CONCATENATE("0",LEFT(DcI!J21,1)),IF(LEN(DcI!J21)=5,LEFT(DcI!J21,2),IF(MID(DcI!J21,2,1)="•",CONCATENATE("0",LEFT(DcI!J21,1)),LEFT(DcI!J21,2)))))</f>
        <v/>
      </c>
      <c r="BJ21" s="28" t="str">
        <f ca="1">IF(DcI!K21="X","X",IF(LEN(DcI!K21)=3,CONCATENATE("0",LEFT(DcI!K21,1)),IF(LEN(DcI!K21)=5,LEFT(DcI!K21,2),IF(MID(DcI!K21,2,1)="•",CONCATENATE("0",LEFT(DcI!K21,1)),LEFT(DcI!K21,2)))))</f>
        <v/>
      </c>
      <c r="BK21" s="28" t="str">
        <f ca="1">IF(DcI!L21="X","X",IF(LEN(DcI!L21)=3,CONCATENATE("0",LEFT(DcI!L21,1)),IF(LEN(DcI!L21)=5,LEFT(DcI!L21,2),IF(MID(DcI!L21,2,1)="•",CONCATENATE("0",LEFT(DcI!L21,1)),LEFT(DcI!L21,2)))))</f>
        <v>11</v>
      </c>
      <c r="BL21" s="28" t="str">
        <f ca="1">IF(DcI!M21="X","X",IF(LEN(DcI!M21)=3,CONCATENATE("0",LEFT(DcI!M21,1)),IF(LEN(DcI!M21)=5,LEFT(DcI!M21,2),IF(MID(DcI!M21,2,1)="•",CONCATENATE("0",LEFT(DcI!M21,1)),LEFT(DcI!M21,2)))))</f>
        <v>10</v>
      </c>
      <c r="BM21" s="347" t="str">
        <f ca="1">IF(DcI!N21="X","X",IF(LEN(DcI!N21)=3,CONCATENATE("0",LEFT(DcI!N21,1)),IF(LEN(DcI!N21)=5,LEFT(DcI!N21,2),IF(MID(DcI!N21,2,1)="•",CONCATENATE("0",LEFT(DcI!N21,1)),LEFT(DcI!N21,2)))))</f>
        <v>X</v>
      </c>
      <c r="BN21" s="28" t="str">
        <f t="shared" ca="1" si="7"/>
        <v>14</v>
      </c>
      <c r="BO21" s="28" t="str">
        <f t="shared" ca="1" si="7"/>
        <v>03</v>
      </c>
      <c r="BP21" s="28" t="str">
        <f t="shared" ca="1" si="7"/>
        <v>06</v>
      </c>
      <c r="BQ21" s="28" t="str">
        <f t="shared" ca="1" si="7"/>
        <v>02</v>
      </c>
      <c r="BR21" s="28" t="str">
        <f t="shared" ca="1" si="7"/>
        <v>07</v>
      </c>
      <c r="BS21" s="28" t="str">
        <f t="shared" ca="1" si="7"/>
        <v/>
      </c>
      <c r="BT21" s="28" t="str">
        <f t="shared" ca="1" si="7"/>
        <v/>
      </c>
      <c r="BU21" s="28" t="str">
        <f t="shared" ca="1" si="7"/>
        <v/>
      </c>
      <c r="BV21" s="28" t="str">
        <f t="shared" ca="1" si="13"/>
        <v/>
      </c>
      <c r="BW21" s="28" t="str">
        <f t="shared" ca="1" si="13"/>
        <v/>
      </c>
      <c r="BX21" s="28" t="str">
        <f t="shared" ca="1" si="13"/>
        <v/>
      </c>
      <c r="BY21" s="28" t="str">
        <f t="shared" ca="1" si="13"/>
        <v/>
      </c>
      <c r="BZ21" s="28" t="str">
        <f t="shared" ca="1" si="13"/>
        <v/>
      </c>
      <c r="CA21" s="28" t="str">
        <f t="shared" ca="1" si="13"/>
        <v/>
      </c>
      <c r="CB21" s="28" t="str">
        <f t="shared" ca="1" si="13"/>
        <v/>
      </c>
      <c r="CC21" s="28" t="str">
        <f t="shared" ca="1" si="13"/>
        <v/>
      </c>
      <c r="CD21" s="28" t="str">
        <f t="shared" ca="1" si="13"/>
        <v/>
      </c>
      <c r="CE21" s="28" t="str">
        <f t="shared" ca="1" si="13"/>
        <v/>
      </c>
      <c r="CF21" s="28" t="str">
        <f t="shared" ca="1" si="13"/>
        <v/>
      </c>
      <c r="CG21" s="28" t="str">
        <f t="shared" ca="1" si="13"/>
        <v/>
      </c>
      <c r="CH21" s="28" t="str">
        <f t="shared" ca="1" si="13"/>
        <v/>
      </c>
      <c r="CI21" s="28" t="str">
        <f t="shared" ca="1" si="13"/>
        <v/>
      </c>
      <c r="CJ21" s="28" t="str">
        <f t="shared" ca="1" si="13"/>
        <v/>
      </c>
      <c r="CK21" s="28" t="str">
        <f t="shared" ca="1" si="13"/>
        <v/>
      </c>
      <c r="CL21" s="28" t="str">
        <f t="shared" ca="1" si="11"/>
        <v/>
      </c>
      <c r="CM21" s="28" t="str">
        <f t="shared" ca="1" si="11"/>
        <v/>
      </c>
      <c r="CN21" s="28" t="str">
        <f t="shared" ca="1" si="11"/>
        <v/>
      </c>
      <c r="CO21" s="28" t="str">
        <f t="shared" ca="1" si="12"/>
        <v/>
      </c>
      <c r="CP21" s="28" t="str">
        <f t="shared" ca="1" si="12"/>
        <v/>
      </c>
      <c r="CQ21" s="28" t="str">
        <f t="shared" ca="1" si="12"/>
        <v/>
      </c>
      <c r="CR21" s="28" t="str">
        <f t="shared" ca="1" si="12"/>
        <v/>
      </c>
      <c r="CS21" s="28" t="str">
        <f t="shared" ca="1" si="12"/>
        <v/>
      </c>
      <c r="CT21" s="28" t="str">
        <f t="shared" ca="1" si="12"/>
        <v/>
      </c>
      <c r="CU21" s="28" t="str">
        <f t="shared" ca="1" si="12"/>
        <v/>
      </c>
      <c r="CV21" s="346" t="str">
        <f t="shared" ca="1" si="12"/>
        <v/>
      </c>
    </row>
    <row r="22" spans="2:100" ht="15">
      <c r="B22" s="63" t="str">
        <v>BN</v>
      </c>
      <c r="C22" s="16" t="str">
        <f t="shared" si="8"/>
        <v>BN11:BN56</v>
      </c>
      <c r="D22" s="342" t="str">
        <f t="shared" ca="1" si="9"/>
        <v>Tm12</v>
      </c>
      <c r="E22" s="349" t="str">
        <f t="shared" ca="1" si="10"/>
        <v>ng</v>
      </c>
      <c r="F22" s="349" t="str">
        <f t="shared" ca="1" si="14"/>
        <v>Tm16</v>
      </c>
      <c r="G22" s="349" t="str">
        <f t="shared" ca="1" si="14"/>
        <v>Tm14</v>
      </c>
      <c r="H22" s="349" t="str">
        <f t="shared" ca="1" si="14"/>
        <v>ng</v>
      </c>
      <c r="I22" s="349" t="str">
        <f t="shared" ca="1" si="14"/>
        <v>ng</v>
      </c>
      <c r="J22" s="349" t="str">
        <f t="shared" ca="1" si="14"/>
        <v>Tm13</v>
      </c>
      <c r="K22" s="349" t="str">
        <f t="shared" ca="1" si="14"/>
        <v>Tm15</v>
      </c>
      <c r="L22" s="349" t="str">
        <f t="shared" ca="1" si="14"/>
        <v>ng</v>
      </c>
      <c r="M22" s="349" t="str">
        <f t="shared" ca="1" si="14"/>
        <v>ng</v>
      </c>
      <c r="N22" s="349" t="str">
        <f t="shared" ca="1" si="14"/>
        <v>Tm09</v>
      </c>
      <c r="O22" s="349" t="str">
        <f t="shared" ca="1" si="14"/>
        <v>Tm10</v>
      </c>
      <c r="P22" s="349" t="str">
        <f t="shared" ca="1" si="14"/>
        <v>ng</v>
      </c>
      <c r="Q22" s="349" t="str">
        <f t="shared" ca="1" si="14"/>
        <v>ng</v>
      </c>
      <c r="R22" s="349" t="str">
        <f t="shared" ca="1" si="14"/>
        <v>Tm11</v>
      </c>
      <c r="S22" s="349" t="str">
        <f t="shared" ca="1" si="14"/>
        <v>ng</v>
      </c>
      <c r="T22" s="349" t="str">
        <f t="shared" ca="1" si="14"/>
        <v>ng</v>
      </c>
      <c r="U22" s="349" t="str">
        <f t="shared" ca="1" si="14"/>
        <v>ng</v>
      </c>
      <c r="V22" s="349" t="str">
        <f t="shared" ca="1" si="14"/>
        <v>ng</v>
      </c>
      <c r="W22" s="349" t="str">
        <f t="shared" ca="1" si="14"/>
        <v>ng</v>
      </c>
      <c r="X22" s="349" t="str">
        <f t="shared" ca="1" si="14"/>
        <v>ng</v>
      </c>
      <c r="Y22" s="349" t="str">
        <f t="shared" ca="1" si="14"/>
        <v>ng</v>
      </c>
      <c r="Z22" s="349" t="str">
        <f t="shared" ca="1" si="14"/>
        <v>ng</v>
      </c>
      <c r="AA22" s="349" t="str">
        <f t="shared" ca="1" si="14"/>
        <v>ng</v>
      </c>
      <c r="AB22" s="349" t="str">
        <f t="shared" ca="1" si="14"/>
        <v>ng</v>
      </c>
      <c r="AC22" s="349" t="str">
        <f t="shared" ca="1" si="14"/>
        <v>ng</v>
      </c>
      <c r="AD22" s="349" t="str">
        <f t="shared" ca="1" si="14"/>
        <v>ng</v>
      </c>
      <c r="AE22" s="349" t="str">
        <f t="shared" ca="1" si="14"/>
        <v>ng</v>
      </c>
      <c r="AF22" s="349" t="str">
        <f t="shared" ca="1" si="14"/>
        <v>ng</v>
      </c>
      <c r="AG22" s="349" t="str">
        <f t="shared" ca="1" si="14"/>
        <v>ng</v>
      </c>
      <c r="AH22" s="349" t="str">
        <f t="shared" ca="1" si="14"/>
        <v>ng</v>
      </c>
      <c r="AI22" s="349" t="str">
        <f t="shared" ca="1" si="14"/>
        <v>ng</v>
      </c>
      <c r="AJ22" s="349" t="str">
        <f t="shared" ca="1" si="14"/>
        <v>ng</v>
      </c>
      <c r="AK22" s="349" t="str">
        <f t="shared" ca="1" si="14"/>
        <v>ng</v>
      </c>
      <c r="AL22" s="349" t="str">
        <f t="shared" ca="1" si="6"/>
        <v>ng</v>
      </c>
      <c r="AM22" s="349" t="str">
        <f t="shared" ca="1" si="6"/>
        <v>ng</v>
      </c>
      <c r="AN22" s="349" t="str">
        <f t="shared" ca="1" si="6"/>
        <v>ng</v>
      </c>
      <c r="AO22" s="349" t="str">
        <f t="shared" ca="1" si="6"/>
        <v>ng</v>
      </c>
      <c r="AP22" s="349" t="str">
        <f t="shared" ca="1" si="6"/>
        <v>ng</v>
      </c>
      <c r="AQ22" s="349" t="str">
        <f t="shared" ca="1" si="6"/>
        <v>ng</v>
      </c>
      <c r="AR22" s="350" t="str">
        <f t="shared" ca="1" si="6"/>
        <v>ng</v>
      </c>
      <c r="BA22" s="16" t="str">
        <v>BN</v>
      </c>
      <c r="BB22" s="342" t="str">
        <f ca="1">DcI!C22</f>
        <v>Tm12</v>
      </c>
      <c r="BC22" s="28" t="str">
        <f ca="1">IF(DcI!D22="X","X",IF(LEN(DcI!D22)=3,CONCATENATE("0",LEFT(DcI!D22,1)),IF(LEN(DcI!D22)=5,LEFT(DcI!D22,2),IF(MID(DcI!D22,2,1)="•",CONCATENATE("0",LEFT(DcI!D22,1)),LEFT(DcI!D22,2)))))</f>
        <v/>
      </c>
      <c r="BD22" s="28" t="str">
        <f ca="1">IF(DcI!E22="X","X",IF(LEN(DcI!E22)=3,CONCATENATE("0",LEFT(DcI!E22,1)),IF(LEN(DcI!E22)=5,LEFT(DcI!E22,2),IF(MID(DcI!E22,2,1)="•",CONCATENATE("0",LEFT(DcI!E22,1)),LEFT(DcI!E22,2)))))</f>
        <v/>
      </c>
      <c r="BE22" s="28" t="str">
        <f ca="1">IF(DcI!F22="X","X",IF(LEN(DcI!F22)=3,CONCATENATE("0",LEFT(DcI!F22,1)),IF(LEN(DcI!F22)=5,LEFT(DcI!F22,2),IF(MID(DcI!F22,2,1)="•",CONCATENATE("0",LEFT(DcI!F22,1)),LEFT(DcI!F22,2)))))</f>
        <v/>
      </c>
      <c r="BF22" s="28" t="str">
        <f ca="1">IF(DcI!G22="X","X",IF(LEN(DcI!G22)=3,CONCATENATE("0",LEFT(DcI!G22,1)),IF(LEN(DcI!G22)=5,LEFT(DcI!G22,2),IF(MID(DcI!G22,2,1)="•",CONCATENATE("0",LEFT(DcI!G22,1)),LEFT(DcI!G22,2)))))</f>
        <v/>
      </c>
      <c r="BG22" s="28" t="str">
        <f ca="1">IF(DcI!H22="X","X",IF(LEN(DcI!H22)=3,CONCATENATE("0",LEFT(DcI!H22,1)),IF(LEN(DcI!H22)=5,LEFT(DcI!H22,2),IF(MID(DcI!H22,2,1)="•",CONCATENATE("0",LEFT(DcI!H22,1)),LEFT(DcI!H22,2)))))</f>
        <v/>
      </c>
      <c r="BH22" s="28" t="str">
        <f ca="1">IF(DcI!I22="X","X",IF(LEN(DcI!I22)=3,CONCATENATE("0",LEFT(DcI!I22,1)),IF(LEN(DcI!I22)=5,LEFT(DcI!I22,2),IF(MID(DcI!I22,2,1)="•",CONCATENATE("0",LEFT(DcI!I22,1)),LEFT(DcI!I22,2)))))</f>
        <v/>
      </c>
      <c r="BI22" s="28" t="str">
        <f ca="1">IF(DcI!J22="X","X",IF(LEN(DcI!J22)=3,CONCATENATE("0",LEFT(DcI!J22,1)),IF(LEN(DcI!J22)=5,LEFT(DcI!J22,2),IF(MID(DcI!J22,2,1)="•",CONCATENATE("0",LEFT(DcI!J22,1)),LEFT(DcI!J22,2)))))</f>
        <v/>
      </c>
      <c r="BJ22" s="28" t="str">
        <f ca="1">IF(DcI!K22="X","X",IF(LEN(DcI!K22)=3,CONCATENATE("0",LEFT(DcI!K22,1)),IF(LEN(DcI!K22)=5,LEFT(DcI!K22,2),IF(MID(DcI!K22,2,1)="•",CONCATENATE("0",LEFT(DcI!K22,1)),LEFT(DcI!K22,2)))))</f>
        <v/>
      </c>
      <c r="BK22" s="28" t="str">
        <f ca="1">IF(DcI!L22="X","X",IF(LEN(DcI!L22)=3,CONCATENATE("0",LEFT(DcI!L22,1)),IF(LEN(DcI!L22)=5,LEFT(DcI!L22,2),IF(MID(DcI!L22,2,1)="•",CONCATENATE("0",LEFT(DcI!L22,1)),LEFT(DcI!L22,2)))))</f>
        <v>10</v>
      </c>
      <c r="BL22" s="28" t="str">
        <f ca="1">IF(DcI!M22="X","X",IF(LEN(DcI!M22)=3,CONCATENATE("0",LEFT(DcI!M22,1)),IF(LEN(DcI!M22)=5,LEFT(DcI!M22,2),IF(MID(DcI!M22,2,1)="•",CONCATENATE("0",LEFT(DcI!M22,1)),LEFT(DcI!M22,2)))))</f>
        <v>11</v>
      </c>
      <c r="BM22" s="28" t="str">
        <f ca="1">IF(DcI!N22="X","X",IF(LEN(DcI!N22)=3,CONCATENATE("0",LEFT(DcI!N22,1)),IF(LEN(DcI!N22)=5,LEFT(DcI!N22,2),IF(MID(DcI!N22,2,1)="•",CONCATENATE("0",LEFT(DcI!N22,1)),LEFT(DcI!N22,2)))))</f>
        <v>14</v>
      </c>
      <c r="BN22" s="347" t="str">
        <f ca="1">IF(DcI!O22="X","X",IF(LEN(DcI!O22)=3,CONCATENATE("0",LEFT(DcI!O22,1)),IF(LEN(DcI!O22)=5,LEFT(DcI!O22,2),IF(MID(DcI!O22,2,1)="•",CONCATENATE("0",LEFT(DcI!O22,1)),LEFT(DcI!O22,2)))))</f>
        <v>X</v>
      </c>
      <c r="BO22" s="28" t="str">
        <f t="shared" ca="1" si="7"/>
        <v>06</v>
      </c>
      <c r="BP22" s="28" t="str">
        <f t="shared" ca="1" si="7"/>
        <v>03</v>
      </c>
      <c r="BQ22" s="28" t="str">
        <f t="shared" ca="1" si="7"/>
        <v>07</v>
      </c>
      <c r="BR22" s="28" t="str">
        <f t="shared" ca="1" si="7"/>
        <v>02</v>
      </c>
      <c r="BS22" s="28" t="str">
        <f t="shared" ca="1" si="7"/>
        <v/>
      </c>
      <c r="BT22" s="28" t="str">
        <f t="shared" ca="1" si="7"/>
        <v/>
      </c>
      <c r="BU22" s="28" t="str">
        <f t="shared" ca="1" si="7"/>
        <v/>
      </c>
      <c r="BV22" s="28" t="str">
        <f t="shared" ca="1" si="13"/>
        <v/>
      </c>
      <c r="BW22" s="28" t="str">
        <f t="shared" ca="1" si="13"/>
        <v/>
      </c>
      <c r="BX22" s="28" t="str">
        <f t="shared" ca="1" si="13"/>
        <v/>
      </c>
      <c r="BY22" s="28" t="str">
        <f t="shared" ca="1" si="13"/>
        <v/>
      </c>
      <c r="BZ22" s="28" t="str">
        <f t="shared" ca="1" si="13"/>
        <v/>
      </c>
      <c r="CA22" s="28" t="str">
        <f t="shared" ca="1" si="13"/>
        <v/>
      </c>
      <c r="CB22" s="28" t="str">
        <f t="shared" ca="1" si="13"/>
        <v/>
      </c>
      <c r="CC22" s="28" t="str">
        <f t="shared" ca="1" si="13"/>
        <v/>
      </c>
      <c r="CD22" s="28" t="str">
        <f t="shared" ca="1" si="13"/>
        <v/>
      </c>
      <c r="CE22" s="28" t="str">
        <f t="shared" ca="1" si="13"/>
        <v/>
      </c>
      <c r="CF22" s="28" t="str">
        <f t="shared" ca="1" si="13"/>
        <v/>
      </c>
      <c r="CG22" s="28" t="str">
        <f t="shared" ca="1" si="13"/>
        <v/>
      </c>
      <c r="CH22" s="28" t="str">
        <f t="shared" ca="1" si="13"/>
        <v/>
      </c>
      <c r="CI22" s="28" t="str">
        <f t="shared" ca="1" si="13"/>
        <v/>
      </c>
      <c r="CJ22" s="28" t="str">
        <f t="shared" ca="1" si="13"/>
        <v/>
      </c>
      <c r="CK22" s="28" t="str">
        <f t="shared" ca="1" si="13"/>
        <v/>
      </c>
      <c r="CL22" s="28" t="str">
        <f t="shared" ca="1" si="11"/>
        <v/>
      </c>
      <c r="CM22" s="28" t="str">
        <f t="shared" ca="1" si="11"/>
        <v/>
      </c>
      <c r="CN22" s="28" t="str">
        <f t="shared" ca="1" si="11"/>
        <v/>
      </c>
      <c r="CO22" s="28" t="str">
        <f t="shared" ca="1" si="12"/>
        <v/>
      </c>
      <c r="CP22" s="28" t="str">
        <f t="shared" ca="1" si="12"/>
        <v/>
      </c>
      <c r="CQ22" s="28" t="str">
        <f t="shared" ca="1" si="12"/>
        <v/>
      </c>
      <c r="CR22" s="28" t="str">
        <f t="shared" ca="1" si="12"/>
        <v/>
      </c>
      <c r="CS22" s="28" t="str">
        <f t="shared" ca="1" si="12"/>
        <v/>
      </c>
      <c r="CT22" s="28" t="str">
        <f t="shared" ca="1" si="12"/>
        <v/>
      </c>
      <c r="CU22" s="28" t="str">
        <f t="shared" ca="1" si="12"/>
        <v/>
      </c>
      <c r="CV22" s="346" t="str">
        <f t="shared" ca="1" si="12"/>
        <v/>
      </c>
    </row>
    <row r="23" spans="2:100" ht="15">
      <c r="B23" s="63" t="str">
        <v>BO</v>
      </c>
      <c r="C23" s="16" t="str">
        <f t="shared" si="8"/>
        <v>BO11:BO56</v>
      </c>
      <c r="D23" s="342" t="str">
        <f t="shared" ca="1" si="9"/>
        <v>Tm13</v>
      </c>
      <c r="E23" s="349" t="str">
        <f t="shared" ca="1" si="10"/>
        <v>ng</v>
      </c>
      <c r="F23" s="349" t="str">
        <f t="shared" ca="1" si="14"/>
        <v>Tm10</v>
      </c>
      <c r="G23" s="349" t="str">
        <f t="shared" ca="1" si="14"/>
        <v>Tm11</v>
      </c>
      <c r="H23" s="349" t="str">
        <f t="shared" ca="1" si="14"/>
        <v>ng</v>
      </c>
      <c r="I23" s="349" t="str">
        <f t="shared" ca="1" si="14"/>
        <v>ng</v>
      </c>
      <c r="J23" s="349" t="str">
        <f t="shared" ca="1" si="14"/>
        <v>Tm12</v>
      </c>
      <c r="K23" s="349" t="str">
        <f t="shared" ca="1" si="14"/>
        <v>Tm09</v>
      </c>
      <c r="L23" s="349" t="str">
        <f t="shared" ca="1" si="14"/>
        <v>ng</v>
      </c>
      <c r="M23" s="349" t="str">
        <f t="shared" ca="1" si="14"/>
        <v>ng</v>
      </c>
      <c r="N23" s="349" t="str">
        <f t="shared" ca="1" si="14"/>
        <v>Tm16</v>
      </c>
      <c r="O23" s="349" t="str">
        <f t="shared" ca="1" si="14"/>
        <v>Tm15</v>
      </c>
      <c r="P23" s="349" t="str">
        <f t="shared" ca="1" si="14"/>
        <v>ng</v>
      </c>
      <c r="Q23" s="349" t="str">
        <f t="shared" ca="1" si="14"/>
        <v>ng</v>
      </c>
      <c r="R23" s="349" t="str">
        <f t="shared" ca="1" si="14"/>
        <v>Tm14</v>
      </c>
      <c r="S23" s="349" t="str">
        <f t="shared" ca="1" si="14"/>
        <v>ng</v>
      </c>
      <c r="T23" s="349" t="str">
        <f t="shared" ca="1" si="14"/>
        <v>ng</v>
      </c>
      <c r="U23" s="349" t="str">
        <f t="shared" ca="1" si="14"/>
        <v>ng</v>
      </c>
      <c r="V23" s="349" t="str">
        <f t="shared" ca="1" si="14"/>
        <v>ng</v>
      </c>
      <c r="W23" s="349" t="str">
        <f t="shared" ca="1" si="14"/>
        <v>ng</v>
      </c>
      <c r="X23" s="349" t="str">
        <f t="shared" ca="1" si="14"/>
        <v>ng</v>
      </c>
      <c r="Y23" s="349" t="str">
        <f t="shared" ca="1" si="14"/>
        <v>ng</v>
      </c>
      <c r="Z23" s="349" t="str">
        <f t="shared" ca="1" si="14"/>
        <v>ng</v>
      </c>
      <c r="AA23" s="349" t="str">
        <f t="shared" ca="1" si="14"/>
        <v>ng</v>
      </c>
      <c r="AB23" s="349" t="str">
        <f t="shared" ca="1" si="14"/>
        <v>ng</v>
      </c>
      <c r="AC23" s="349" t="str">
        <f t="shared" ca="1" si="14"/>
        <v>ng</v>
      </c>
      <c r="AD23" s="349" t="str">
        <f t="shared" ca="1" si="14"/>
        <v>ng</v>
      </c>
      <c r="AE23" s="349" t="str">
        <f t="shared" ca="1" si="14"/>
        <v>ng</v>
      </c>
      <c r="AF23" s="349" t="str">
        <f t="shared" ca="1" si="14"/>
        <v>ng</v>
      </c>
      <c r="AG23" s="349" t="str">
        <f t="shared" ca="1" si="14"/>
        <v>ng</v>
      </c>
      <c r="AH23" s="349" t="str">
        <f t="shared" ca="1" si="14"/>
        <v>ng</v>
      </c>
      <c r="AI23" s="349" t="str">
        <f t="shared" ca="1" si="14"/>
        <v>ng</v>
      </c>
      <c r="AJ23" s="349" t="str">
        <f t="shared" ca="1" si="14"/>
        <v>ng</v>
      </c>
      <c r="AK23" s="349" t="str">
        <f t="shared" ca="1" si="14"/>
        <v>ng</v>
      </c>
      <c r="AL23" s="349" t="str">
        <f t="shared" ca="1" si="6"/>
        <v>ng</v>
      </c>
      <c r="AM23" s="349" t="str">
        <f t="shared" ca="1" si="6"/>
        <v>ng</v>
      </c>
      <c r="AN23" s="349" t="str">
        <f t="shared" ca="1" si="6"/>
        <v>ng</v>
      </c>
      <c r="AO23" s="349" t="str">
        <f t="shared" ca="1" si="6"/>
        <v>ng</v>
      </c>
      <c r="AP23" s="349" t="str">
        <f t="shared" ca="1" si="6"/>
        <v>ng</v>
      </c>
      <c r="AQ23" s="349" t="str">
        <f t="shared" ca="1" si="6"/>
        <v>ng</v>
      </c>
      <c r="AR23" s="350" t="str">
        <f t="shared" ca="1" si="6"/>
        <v>ng</v>
      </c>
      <c r="BA23" s="16" t="str">
        <v>BO</v>
      </c>
      <c r="BB23" s="342" t="str">
        <f ca="1">DcI!C23</f>
        <v>Tm13</v>
      </c>
      <c r="BC23" s="28" t="str">
        <f ca="1">IF(DcI!D23="X","X",IF(LEN(DcI!D23)=3,CONCATENATE("0",LEFT(DcI!D23,1)),IF(LEN(DcI!D23)=5,LEFT(DcI!D23,2),IF(MID(DcI!D23,2,1)="•",CONCATENATE("0",LEFT(DcI!D23,1)),LEFT(DcI!D23,2)))))</f>
        <v/>
      </c>
      <c r="BD23" s="28" t="str">
        <f ca="1">IF(DcI!E23="X","X",IF(LEN(DcI!E23)=3,CONCATENATE("0",LEFT(DcI!E23,1)),IF(LEN(DcI!E23)=5,LEFT(DcI!E23,2),IF(MID(DcI!E23,2,1)="•",CONCATENATE("0",LEFT(DcI!E23,1)),LEFT(DcI!E23,2)))))</f>
        <v/>
      </c>
      <c r="BE23" s="28" t="str">
        <f ca="1">IF(DcI!F23="X","X",IF(LEN(DcI!F23)=3,CONCATENATE("0",LEFT(DcI!F23,1)),IF(LEN(DcI!F23)=5,LEFT(DcI!F23,2),IF(MID(DcI!F23,2,1)="•",CONCATENATE("0",LEFT(DcI!F23,1)),LEFT(DcI!F23,2)))))</f>
        <v/>
      </c>
      <c r="BF23" s="28" t="str">
        <f ca="1">IF(DcI!G23="X","X",IF(LEN(DcI!G23)=3,CONCATENATE("0",LEFT(DcI!G23,1)),IF(LEN(DcI!G23)=5,LEFT(DcI!G23,2),IF(MID(DcI!G23,2,1)="•",CONCATENATE("0",LEFT(DcI!G23,1)),LEFT(DcI!G23,2)))))</f>
        <v/>
      </c>
      <c r="BG23" s="28" t="str">
        <f ca="1">IF(DcI!H23="X","X",IF(LEN(DcI!H23)=3,CONCATENATE("0",LEFT(DcI!H23,1)),IF(LEN(DcI!H23)=5,LEFT(DcI!H23,2),IF(MID(DcI!H23,2,1)="•",CONCATENATE("0",LEFT(DcI!H23,1)),LEFT(DcI!H23,2)))))</f>
        <v/>
      </c>
      <c r="BH23" s="28" t="str">
        <f ca="1">IF(DcI!I23="X","X",IF(LEN(DcI!I23)=3,CONCATENATE("0",LEFT(DcI!I23,1)),IF(LEN(DcI!I23)=5,LEFT(DcI!I23,2),IF(MID(DcI!I23,2,1)="•",CONCATENATE("0",LEFT(DcI!I23,1)),LEFT(DcI!I23,2)))))</f>
        <v/>
      </c>
      <c r="BI23" s="28" t="str">
        <f ca="1">IF(DcI!J23="X","X",IF(LEN(DcI!J23)=3,CONCATENATE("0",LEFT(DcI!J23,1)),IF(LEN(DcI!J23)=5,LEFT(DcI!J23,2),IF(MID(DcI!J23,2,1)="•",CONCATENATE("0",LEFT(DcI!J23,1)),LEFT(DcI!J23,2)))))</f>
        <v/>
      </c>
      <c r="BJ23" s="28" t="str">
        <f ca="1">IF(DcI!K23="X","X",IF(LEN(DcI!K23)=3,CONCATENATE("0",LEFT(DcI!K23,1)),IF(LEN(DcI!K23)=5,LEFT(DcI!K23,2),IF(MID(DcI!K23,2,1)="•",CONCATENATE("0",LEFT(DcI!K23,1)),LEFT(DcI!K23,2)))))</f>
        <v/>
      </c>
      <c r="BK23" s="28" t="str">
        <f ca="1">IF(DcI!L23="X","X",IF(LEN(DcI!L23)=3,CONCATENATE("0",LEFT(DcI!L23,1)),IF(LEN(DcI!L23)=5,LEFT(DcI!L23,2),IF(MID(DcI!L23,2,1)="•",CONCATENATE("0",LEFT(DcI!L23,1)),LEFT(DcI!L23,2)))))</f>
        <v>07</v>
      </c>
      <c r="BL23" s="28" t="str">
        <f ca="1">IF(DcI!M23="X","X",IF(LEN(DcI!M23)=3,CONCATENATE("0",LEFT(DcI!M23,1)),IF(LEN(DcI!M23)=5,LEFT(DcI!M23,2),IF(MID(DcI!M23,2,1)="•",CONCATENATE("0",LEFT(DcI!M23,1)),LEFT(DcI!M23,2)))))</f>
        <v>02</v>
      </c>
      <c r="BM23" s="28" t="str">
        <f ca="1">IF(DcI!N23="X","X",IF(LEN(DcI!N23)=3,CONCATENATE("0",LEFT(DcI!N23,1)),IF(LEN(DcI!N23)=5,LEFT(DcI!N23,2),IF(MID(DcI!N23,2,1)="•",CONCATENATE("0",LEFT(DcI!N23,1)),LEFT(DcI!N23,2)))))</f>
        <v>03</v>
      </c>
      <c r="BN23" s="28" t="str">
        <f ca="1">IF(DcI!O23="X","X",IF(LEN(DcI!O23)=3,CONCATENATE("0",LEFT(DcI!O23,1)),IF(LEN(DcI!O23)=5,LEFT(DcI!O23,2),IF(MID(DcI!O23,2,1)="•",CONCATENATE("0",LEFT(DcI!O23,1)),LEFT(DcI!O23,2)))))</f>
        <v>06</v>
      </c>
      <c r="BO23" s="347" t="str">
        <f ca="1">IF(DcI!P23="X","X",IF(LEN(DcI!P23)=3,CONCATENATE("0",LEFT(DcI!P23,1)),IF(LEN(DcI!P23)=5,LEFT(DcI!P23,2),IF(MID(DcI!P23,2,1)="•",CONCATENATE("0",LEFT(DcI!P23,1)),LEFT(DcI!P23,2)))))</f>
        <v>X</v>
      </c>
      <c r="BP23" s="28" t="str">
        <f t="shared" ca="1" si="7"/>
        <v>14</v>
      </c>
      <c r="BQ23" s="28" t="str">
        <f t="shared" ca="1" si="7"/>
        <v>11</v>
      </c>
      <c r="BR23" s="28" t="str">
        <f t="shared" ca="1" si="7"/>
        <v>10</v>
      </c>
      <c r="BS23" s="28" t="str">
        <f t="shared" ca="1" si="7"/>
        <v/>
      </c>
      <c r="BT23" s="28" t="str">
        <f t="shared" ca="1" si="7"/>
        <v/>
      </c>
      <c r="BU23" s="28" t="str">
        <f t="shared" ca="1" si="7"/>
        <v/>
      </c>
      <c r="BV23" s="28" t="str">
        <f t="shared" ca="1" si="13"/>
        <v/>
      </c>
      <c r="BW23" s="28" t="str">
        <f t="shared" ca="1" si="13"/>
        <v/>
      </c>
      <c r="BX23" s="28" t="str">
        <f t="shared" ca="1" si="13"/>
        <v/>
      </c>
      <c r="BY23" s="28" t="str">
        <f t="shared" ca="1" si="13"/>
        <v/>
      </c>
      <c r="BZ23" s="28" t="str">
        <f t="shared" ca="1" si="13"/>
        <v/>
      </c>
      <c r="CA23" s="28" t="str">
        <f t="shared" ca="1" si="13"/>
        <v/>
      </c>
      <c r="CB23" s="28" t="str">
        <f t="shared" ca="1" si="13"/>
        <v/>
      </c>
      <c r="CC23" s="28" t="str">
        <f t="shared" ca="1" si="13"/>
        <v/>
      </c>
      <c r="CD23" s="28" t="str">
        <f t="shared" ca="1" si="13"/>
        <v/>
      </c>
      <c r="CE23" s="28" t="str">
        <f t="shared" ca="1" si="13"/>
        <v/>
      </c>
      <c r="CF23" s="28" t="str">
        <f t="shared" ca="1" si="13"/>
        <v/>
      </c>
      <c r="CG23" s="28" t="str">
        <f t="shared" ca="1" si="13"/>
        <v/>
      </c>
      <c r="CH23" s="28" t="str">
        <f t="shared" ca="1" si="13"/>
        <v/>
      </c>
      <c r="CI23" s="28" t="str">
        <f t="shared" ca="1" si="13"/>
        <v/>
      </c>
      <c r="CJ23" s="28" t="str">
        <f t="shared" ca="1" si="13"/>
        <v/>
      </c>
      <c r="CK23" s="28" t="str">
        <f t="shared" ca="1" si="13"/>
        <v/>
      </c>
      <c r="CL23" s="28" t="str">
        <f t="shared" ca="1" si="11"/>
        <v/>
      </c>
      <c r="CM23" s="28" t="str">
        <f t="shared" ca="1" si="11"/>
        <v/>
      </c>
      <c r="CN23" s="28" t="str">
        <f t="shared" ca="1" si="11"/>
        <v/>
      </c>
      <c r="CO23" s="28" t="str">
        <f t="shared" ca="1" si="12"/>
        <v/>
      </c>
      <c r="CP23" s="28" t="str">
        <f t="shared" ca="1" si="12"/>
        <v/>
      </c>
      <c r="CQ23" s="28" t="str">
        <f t="shared" ca="1" si="12"/>
        <v/>
      </c>
      <c r="CR23" s="28" t="str">
        <f t="shared" ca="1" si="12"/>
        <v/>
      </c>
      <c r="CS23" s="28" t="str">
        <f t="shared" ca="1" si="12"/>
        <v/>
      </c>
      <c r="CT23" s="28" t="str">
        <f t="shared" ca="1" si="12"/>
        <v/>
      </c>
      <c r="CU23" s="28" t="str">
        <f t="shared" ca="1" si="12"/>
        <v/>
      </c>
      <c r="CV23" s="346" t="str">
        <f t="shared" ca="1" si="12"/>
        <v/>
      </c>
    </row>
    <row r="24" spans="2:100" ht="15">
      <c r="B24" s="63" t="str">
        <v>BP</v>
      </c>
      <c r="C24" s="16" t="str">
        <f t="shared" si="8"/>
        <v>BP11:BP56</v>
      </c>
      <c r="D24" s="342" t="str">
        <f t="shared" ca="1" si="9"/>
        <v>Tm14</v>
      </c>
      <c r="E24" s="349" t="str">
        <f t="shared" ca="1" si="10"/>
        <v>ng</v>
      </c>
      <c r="F24" s="349" t="str">
        <f t="shared" ca="1" si="14"/>
        <v>Tm09</v>
      </c>
      <c r="G24" s="349" t="str">
        <f t="shared" ca="1" si="14"/>
        <v>Tm12</v>
      </c>
      <c r="H24" s="349" t="str">
        <f t="shared" ca="1" si="14"/>
        <v>ng</v>
      </c>
      <c r="I24" s="349" t="str">
        <f t="shared" ca="1" si="14"/>
        <v>ng</v>
      </c>
      <c r="J24" s="349" t="str">
        <f t="shared" ca="1" si="14"/>
        <v>Tm11</v>
      </c>
      <c r="K24" s="349" t="str">
        <f t="shared" ca="1" si="14"/>
        <v>Tm10</v>
      </c>
      <c r="L24" s="349" t="str">
        <f t="shared" ca="1" si="14"/>
        <v>ng</v>
      </c>
      <c r="M24" s="349" t="str">
        <f t="shared" ca="1" si="14"/>
        <v>ng</v>
      </c>
      <c r="N24" s="349" t="str">
        <f t="shared" ca="1" si="14"/>
        <v>Tm15</v>
      </c>
      <c r="O24" s="349" t="str">
        <f t="shared" ca="1" si="14"/>
        <v>Tm16</v>
      </c>
      <c r="P24" s="349" t="str">
        <f t="shared" ca="1" si="14"/>
        <v>ng</v>
      </c>
      <c r="Q24" s="349" t="str">
        <f t="shared" ca="1" si="14"/>
        <v>ng</v>
      </c>
      <c r="R24" s="349" t="str">
        <f t="shared" ca="1" si="14"/>
        <v>Tm13</v>
      </c>
      <c r="S24" s="349" t="str">
        <f t="shared" ca="1" si="14"/>
        <v>ng</v>
      </c>
      <c r="T24" s="349" t="str">
        <f t="shared" ca="1" si="14"/>
        <v>ng</v>
      </c>
      <c r="U24" s="349" t="str">
        <f t="shared" ca="1" si="14"/>
        <v>ng</v>
      </c>
      <c r="V24" s="349" t="str">
        <f t="shared" ca="1" si="14"/>
        <v>ng</v>
      </c>
      <c r="W24" s="349" t="str">
        <f t="shared" ca="1" si="14"/>
        <v>ng</v>
      </c>
      <c r="X24" s="349" t="str">
        <f t="shared" ca="1" si="14"/>
        <v>ng</v>
      </c>
      <c r="Y24" s="349" t="str">
        <f t="shared" ca="1" si="14"/>
        <v>ng</v>
      </c>
      <c r="Z24" s="349" t="str">
        <f t="shared" ca="1" si="14"/>
        <v>ng</v>
      </c>
      <c r="AA24" s="349" t="str">
        <f t="shared" ca="1" si="14"/>
        <v>ng</v>
      </c>
      <c r="AB24" s="349" t="str">
        <f t="shared" ca="1" si="14"/>
        <v>ng</v>
      </c>
      <c r="AC24" s="349" t="str">
        <f t="shared" ca="1" si="14"/>
        <v>ng</v>
      </c>
      <c r="AD24" s="349" t="str">
        <f t="shared" ca="1" si="14"/>
        <v>ng</v>
      </c>
      <c r="AE24" s="349" t="str">
        <f t="shared" ca="1" si="14"/>
        <v>ng</v>
      </c>
      <c r="AF24" s="349" t="str">
        <f t="shared" ca="1" si="14"/>
        <v>ng</v>
      </c>
      <c r="AG24" s="349" t="str">
        <f t="shared" ca="1" si="14"/>
        <v>ng</v>
      </c>
      <c r="AH24" s="349" t="str">
        <f t="shared" ca="1" si="14"/>
        <v>ng</v>
      </c>
      <c r="AI24" s="349" t="str">
        <f t="shared" ca="1" si="14"/>
        <v>ng</v>
      </c>
      <c r="AJ24" s="349" t="str">
        <f t="shared" ca="1" si="14"/>
        <v>ng</v>
      </c>
      <c r="AK24" s="349" t="str">
        <f t="shared" ca="1" si="14"/>
        <v>ng</v>
      </c>
      <c r="AL24" s="349" t="str">
        <f t="shared" ca="1" si="6"/>
        <v>ng</v>
      </c>
      <c r="AM24" s="349" t="str">
        <f t="shared" ca="1" si="6"/>
        <v>ng</v>
      </c>
      <c r="AN24" s="349" t="str">
        <f t="shared" ca="1" si="6"/>
        <v>ng</v>
      </c>
      <c r="AO24" s="349" t="str">
        <f t="shared" ca="1" si="6"/>
        <v>ng</v>
      </c>
      <c r="AP24" s="349" t="str">
        <f t="shared" ca="1" si="6"/>
        <v>ng</v>
      </c>
      <c r="AQ24" s="349" t="str">
        <f t="shared" ca="1" si="6"/>
        <v>ng</v>
      </c>
      <c r="AR24" s="350" t="str">
        <f t="shared" ca="1" si="6"/>
        <v>ng</v>
      </c>
      <c r="BA24" s="16" t="str">
        <v>BP</v>
      </c>
      <c r="BB24" s="342" t="str">
        <f ca="1">DcI!C24</f>
        <v>Tm14</v>
      </c>
      <c r="BC24" s="28" t="str">
        <f ca="1">IF(DcI!D24="X","X",IF(LEN(DcI!D24)=3,CONCATENATE("0",LEFT(DcI!D24,1)),IF(LEN(DcI!D24)=5,LEFT(DcI!D24,2),IF(MID(DcI!D24,2,1)="•",CONCATENATE("0",LEFT(DcI!D24,1)),LEFT(DcI!D24,2)))))</f>
        <v/>
      </c>
      <c r="BD24" s="28" t="str">
        <f ca="1">IF(DcI!E24="X","X",IF(LEN(DcI!E24)=3,CONCATENATE("0",LEFT(DcI!E24,1)),IF(LEN(DcI!E24)=5,LEFT(DcI!E24,2),IF(MID(DcI!E24,2,1)="•",CONCATENATE("0",LEFT(DcI!E24,1)),LEFT(DcI!E24,2)))))</f>
        <v/>
      </c>
      <c r="BE24" s="28" t="str">
        <f ca="1">IF(DcI!F24="X","X",IF(LEN(DcI!F24)=3,CONCATENATE("0",LEFT(DcI!F24,1)),IF(LEN(DcI!F24)=5,LEFT(DcI!F24,2),IF(MID(DcI!F24,2,1)="•",CONCATENATE("0",LEFT(DcI!F24,1)),LEFT(DcI!F24,2)))))</f>
        <v/>
      </c>
      <c r="BF24" s="28" t="str">
        <f ca="1">IF(DcI!G24="X","X",IF(LEN(DcI!G24)=3,CONCATENATE("0",LEFT(DcI!G24,1)),IF(LEN(DcI!G24)=5,LEFT(DcI!G24,2),IF(MID(DcI!G24,2,1)="•",CONCATENATE("0",LEFT(DcI!G24,1)),LEFT(DcI!G24,2)))))</f>
        <v/>
      </c>
      <c r="BG24" s="28" t="str">
        <f ca="1">IF(DcI!H24="X","X",IF(LEN(DcI!H24)=3,CONCATENATE("0",LEFT(DcI!H24,1)),IF(LEN(DcI!H24)=5,LEFT(DcI!H24,2),IF(MID(DcI!H24,2,1)="•",CONCATENATE("0",LEFT(DcI!H24,1)),LEFT(DcI!H24,2)))))</f>
        <v/>
      </c>
      <c r="BH24" s="28" t="str">
        <f ca="1">IF(DcI!I24="X","X",IF(LEN(DcI!I24)=3,CONCATENATE("0",LEFT(DcI!I24,1)),IF(LEN(DcI!I24)=5,LEFT(DcI!I24,2),IF(MID(DcI!I24,2,1)="•",CONCATENATE("0",LEFT(DcI!I24,1)),LEFT(DcI!I24,2)))))</f>
        <v/>
      </c>
      <c r="BI24" s="28" t="str">
        <f ca="1">IF(DcI!J24="X","X",IF(LEN(DcI!J24)=3,CONCATENATE("0",LEFT(DcI!J24,1)),IF(LEN(DcI!J24)=5,LEFT(DcI!J24,2),IF(MID(DcI!J24,2,1)="•",CONCATENATE("0",LEFT(DcI!J24,1)),LEFT(DcI!J24,2)))))</f>
        <v/>
      </c>
      <c r="BJ24" s="28" t="str">
        <f ca="1">IF(DcI!K24="X","X",IF(LEN(DcI!K24)=3,CONCATENATE("0",LEFT(DcI!K24,1)),IF(LEN(DcI!K24)=5,LEFT(DcI!K24,2),IF(MID(DcI!K24,2,1)="•",CONCATENATE("0",LEFT(DcI!K24,1)),LEFT(DcI!K24,2)))))</f>
        <v/>
      </c>
      <c r="BK24" s="28" t="str">
        <f ca="1">IF(DcI!L24="X","X",IF(LEN(DcI!L24)=3,CONCATENATE("0",LEFT(DcI!L24,1)),IF(LEN(DcI!L24)=5,LEFT(DcI!L24,2),IF(MID(DcI!L24,2,1)="•",CONCATENATE("0",LEFT(DcI!L24,1)),LEFT(DcI!L24,2)))))</f>
        <v>02</v>
      </c>
      <c r="BL24" s="28" t="str">
        <f ca="1">IF(DcI!M24="X","X",IF(LEN(DcI!M24)=3,CONCATENATE("0",LEFT(DcI!M24,1)),IF(LEN(DcI!M24)=5,LEFT(DcI!M24,2),IF(MID(DcI!M24,2,1)="•",CONCATENATE("0",LEFT(DcI!M24,1)),LEFT(DcI!M24,2)))))</f>
        <v>07</v>
      </c>
      <c r="BM24" s="28" t="str">
        <f ca="1">IF(DcI!N24="X","X",IF(LEN(DcI!N24)=3,CONCATENATE("0",LEFT(DcI!N24,1)),IF(LEN(DcI!N24)=5,LEFT(DcI!N24,2),IF(MID(DcI!N24,2,1)="•",CONCATENATE("0",LEFT(DcI!N24,1)),LEFT(DcI!N24,2)))))</f>
        <v>06</v>
      </c>
      <c r="BN24" s="28" t="str">
        <f ca="1">IF(DcI!O24="X","X",IF(LEN(DcI!O24)=3,CONCATENATE("0",LEFT(DcI!O24,1)),IF(LEN(DcI!O24)=5,LEFT(DcI!O24,2),IF(MID(DcI!O24,2,1)="•",CONCATENATE("0",LEFT(DcI!O24,1)),LEFT(DcI!O24,2)))))</f>
        <v>03</v>
      </c>
      <c r="BO24" s="28" t="str">
        <f ca="1">IF(DcI!P24="X","X",IF(LEN(DcI!P24)=3,CONCATENATE("0",LEFT(DcI!P24,1)),IF(LEN(DcI!P24)=5,LEFT(DcI!P24,2),IF(MID(DcI!P24,2,1)="•",CONCATENATE("0",LEFT(DcI!P24,1)),LEFT(DcI!P24,2)))))</f>
        <v>14</v>
      </c>
      <c r="BP24" s="347" t="str">
        <f ca="1">IF(DcI!Q24="X","X",IF(LEN(DcI!Q24)=3,CONCATENATE("0",LEFT(DcI!Q24,1)),IF(LEN(DcI!Q24)=5,LEFT(DcI!Q24,2),IF(MID(DcI!Q24,2,1)="•",CONCATENATE("0",LEFT(DcI!Q24,1)),LEFT(DcI!Q24,2)))))</f>
        <v>X</v>
      </c>
      <c r="BQ24" s="28" t="str">
        <f t="shared" ca="1" si="7"/>
        <v>10</v>
      </c>
      <c r="BR24" s="28" t="str">
        <f t="shared" ca="1" si="7"/>
        <v>11</v>
      </c>
      <c r="BS24" s="28" t="str">
        <f t="shared" ca="1" si="7"/>
        <v/>
      </c>
      <c r="BT24" s="28" t="str">
        <f t="shared" ca="1" si="7"/>
        <v/>
      </c>
      <c r="BU24" s="28" t="str">
        <f t="shared" ca="1" si="7"/>
        <v/>
      </c>
      <c r="BV24" s="28" t="str">
        <f t="shared" ca="1" si="13"/>
        <v/>
      </c>
      <c r="BW24" s="28" t="str">
        <f t="shared" ca="1" si="13"/>
        <v/>
      </c>
      <c r="BX24" s="28" t="str">
        <f t="shared" ca="1" si="13"/>
        <v/>
      </c>
      <c r="BY24" s="28" t="str">
        <f t="shared" ca="1" si="13"/>
        <v/>
      </c>
      <c r="BZ24" s="28" t="str">
        <f t="shared" ca="1" si="13"/>
        <v/>
      </c>
      <c r="CA24" s="28" t="str">
        <f t="shared" ca="1" si="13"/>
        <v/>
      </c>
      <c r="CB24" s="28" t="str">
        <f t="shared" ca="1" si="13"/>
        <v/>
      </c>
      <c r="CC24" s="28" t="str">
        <f t="shared" ca="1" si="13"/>
        <v/>
      </c>
      <c r="CD24" s="28" t="str">
        <f t="shared" ca="1" si="13"/>
        <v/>
      </c>
      <c r="CE24" s="28" t="str">
        <f t="shared" ca="1" si="13"/>
        <v/>
      </c>
      <c r="CF24" s="28" t="str">
        <f t="shared" ca="1" si="13"/>
        <v/>
      </c>
      <c r="CG24" s="28" t="str">
        <f t="shared" ca="1" si="13"/>
        <v/>
      </c>
      <c r="CH24" s="28" t="str">
        <f t="shared" ca="1" si="13"/>
        <v/>
      </c>
      <c r="CI24" s="28" t="str">
        <f t="shared" ca="1" si="13"/>
        <v/>
      </c>
      <c r="CJ24" s="28" t="str">
        <f t="shared" ca="1" si="13"/>
        <v/>
      </c>
      <c r="CK24" s="28" t="str">
        <f t="shared" ca="1" si="13"/>
        <v/>
      </c>
      <c r="CL24" s="28" t="str">
        <f t="shared" ca="1" si="11"/>
        <v/>
      </c>
      <c r="CM24" s="28" t="str">
        <f t="shared" ca="1" si="11"/>
        <v/>
      </c>
      <c r="CN24" s="28" t="str">
        <f t="shared" ca="1" si="11"/>
        <v/>
      </c>
      <c r="CO24" s="28" t="str">
        <f t="shared" ca="1" si="12"/>
        <v/>
      </c>
      <c r="CP24" s="28" t="str">
        <f t="shared" ca="1" si="12"/>
        <v/>
      </c>
      <c r="CQ24" s="28" t="str">
        <f t="shared" ca="1" si="12"/>
        <v/>
      </c>
      <c r="CR24" s="28" t="str">
        <f t="shared" ca="1" si="12"/>
        <v/>
      </c>
      <c r="CS24" s="28" t="str">
        <f t="shared" ca="1" si="12"/>
        <v/>
      </c>
      <c r="CT24" s="28" t="str">
        <f t="shared" ca="1" si="12"/>
        <v/>
      </c>
      <c r="CU24" s="28" t="str">
        <f t="shared" ca="1" si="12"/>
        <v/>
      </c>
      <c r="CV24" s="346" t="str">
        <f t="shared" ca="1" si="12"/>
        <v/>
      </c>
    </row>
    <row r="25" spans="2:100" ht="15">
      <c r="B25" s="63" t="str">
        <v>BQ</v>
      </c>
      <c r="C25" s="16" t="str">
        <f t="shared" si="8"/>
        <v>BQ11:BQ56</v>
      </c>
      <c r="D25" s="342" t="str">
        <f t="shared" ca="1" si="9"/>
        <v>Tm15</v>
      </c>
      <c r="E25" s="349" t="str">
        <f t="shared" ca="1" si="10"/>
        <v>ng</v>
      </c>
      <c r="F25" s="349" t="str">
        <f t="shared" ca="1" si="14"/>
        <v>Tm11</v>
      </c>
      <c r="G25" s="349" t="str">
        <f t="shared" ca="1" si="14"/>
        <v>Tm09</v>
      </c>
      <c r="H25" s="349" t="str">
        <f t="shared" ca="1" si="14"/>
        <v>ng</v>
      </c>
      <c r="I25" s="349" t="str">
        <f t="shared" ca="1" si="14"/>
        <v>ng</v>
      </c>
      <c r="J25" s="349" t="str">
        <f t="shared" ca="1" si="14"/>
        <v>Tm10</v>
      </c>
      <c r="K25" s="349" t="str">
        <f t="shared" ca="1" si="14"/>
        <v>Tm12</v>
      </c>
      <c r="L25" s="349" t="str">
        <f t="shared" ca="1" si="14"/>
        <v>ng</v>
      </c>
      <c r="M25" s="349" t="str">
        <f t="shared" ca="1" si="14"/>
        <v>ng</v>
      </c>
      <c r="N25" s="349" t="str">
        <f t="shared" ca="1" si="14"/>
        <v>Tm14</v>
      </c>
      <c r="O25" s="349" t="str">
        <f t="shared" ca="1" si="14"/>
        <v>Tm13</v>
      </c>
      <c r="P25" s="349" t="str">
        <f t="shared" ca="1" si="14"/>
        <v>ng</v>
      </c>
      <c r="Q25" s="349" t="str">
        <f t="shared" ca="1" si="14"/>
        <v>ng</v>
      </c>
      <c r="R25" s="349" t="str">
        <f t="shared" ca="1" si="14"/>
        <v>Tm16</v>
      </c>
      <c r="S25" s="349" t="str">
        <f t="shared" ca="1" si="14"/>
        <v>ng</v>
      </c>
      <c r="T25" s="349" t="str">
        <f t="shared" ca="1" si="14"/>
        <v>ng</v>
      </c>
      <c r="U25" s="349" t="str">
        <f t="shared" ca="1" si="14"/>
        <v>ng</v>
      </c>
      <c r="V25" s="349" t="str">
        <f t="shared" ca="1" si="14"/>
        <v>ng</v>
      </c>
      <c r="W25" s="349" t="str">
        <f t="shared" ca="1" si="14"/>
        <v>ng</v>
      </c>
      <c r="X25" s="349" t="str">
        <f t="shared" ca="1" si="14"/>
        <v>ng</v>
      </c>
      <c r="Y25" s="349" t="str">
        <f t="shared" ca="1" si="14"/>
        <v>ng</v>
      </c>
      <c r="Z25" s="349" t="str">
        <f t="shared" ca="1" si="14"/>
        <v>ng</v>
      </c>
      <c r="AA25" s="349" t="str">
        <f t="shared" ca="1" si="14"/>
        <v>ng</v>
      </c>
      <c r="AB25" s="349" t="str">
        <f t="shared" ca="1" si="14"/>
        <v>ng</v>
      </c>
      <c r="AC25" s="349" t="str">
        <f t="shared" ca="1" si="14"/>
        <v>ng</v>
      </c>
      <c r="AD25" s="349" t="str">
        <f t="shared" ca="1" si="14"/>
        <v>ng</v>
      </c>
      <c r="AE25" s="349" t="str">
        <f t="shared" ca="1" si="14"/>
        <v>ng</v>
      </c>
      <c r="AF25" s="349" t="str">
        <f t="shared" ca="1" si="14"/>
        <v>ng</v>
      </c>
      <c r="AG25" s="349" t="str">
        <f t="shared" ca="1" si="14"/>
        <v>ng</v>
      </c>
      <c r="AH25" s="349" t="str">
        <f t="shared" ca="1" si="14"/>
        <v>ng</v>
      </c>
      <c r="AI25" s="349" t="str">
        <f t="shared" ca="1" si="14"/>
        <v>ng</v>
      </c>
      <c r="AJ25" s="349" t="str">
        <f t="shared" ca="1" si="14"/>
        <v>ng</v>
      </c>
      <c r="AK25" s="349" t="str">
        <f t="shared" ca="1" si="14"/>
        <v>ng</v>
      </c>
      <c r="AL25" s="349" t="str">
        <f t="shared" ca="1" si="6"/>
        <v>ng</v>
      </c>
      <c r="AM25" s="349" t="str">
        <f t="shared" ca="1" si="6"/>
        <v>ng</v>
      </c>
      <c r="AN25" s="349" t="str">
        <f t="shared" ca="1" si="6"/>
        <v>ng</v>
      </c>
      <c r="AO25" s="349" t="str">
        <f t="shared" ca="1" si="6"/>
        <v>ng</v>
      </c>
      <c r="AP25" s="349" t="str">
        <f t="shared" ca="1" si="6"/>
        <v>ng</v>
      </c>
      <c r="AQ25" s="349" t="str">
        <f t="shared" ca="1" si="6"/>
        <v>ng</v>
      </c>
      <c r="AR25" s="350" t="str">
        <f t="shared" ca="1" si="6"/>
        <v>ng</v>
      </c>
      <c r="BA25" s="16" t="str">
        <v>BQ</v>
      </c>
      <c r="BB25" s="342" t="str">
        <f ca="1">DcI!C25</f>
        <v>Tm15</v>
      </c>
      <c r="BC25" s="28" t="str">
        <f ca="1">IF(DcI!D25="X","X",IF(LEN(DcI!D25)=3,CONCATENATE("0",LEFT(DcI!D25,1)),IF(LEN(DcI!D25)=5,LEFT(DcI!D25,2),IF(MID(DcI!D25,2,1)="•",CONCATENATE("0",LEFT(DcI!D25,1)),LEFT(DcI!D25,2)))))</f>
        <v/>
      </c>
      <c r="BD25" s="28" t="str">
        <f ca="1">IF(DcI!E25="X","X",IF(LEN(DcI!E25)=3,CONCATENATE("0",LEFT(DcI!E25,1)),IF(LEN(DcI!E25)=5,LEFT(DcI!E25,2),IF(MID(DcI!E25,2,1)="•",CONCATENATE("0",LEFT(DcI!E25,1)),LEFT(DcI!E25,2)))))</f>
        <v/>
      </c>
      <c r="BE25" s="28" t="str">
        <f ca="1">IF(DcI!F25="X","X",IF(LEN(DcI!F25)=3,CONCATENATE("0",LEFT(DcI!F25,1)),IF(LEN(DcI!F25)=5,LEFT(DcI!F25,2),IF(MID(DcI!F25,2,1)="•",CONCATENATE("0",LEFT(DcI!F25,1)),LEFT(DcI!F25,2)))))</f>
        <v/>
      </c>
      <c r="BF25" s="28" t="str">
        <f ca="1">IF(DcI!G25="X","X",IF(LEN(DcI!G25)=3,CONCATENATE("0",LEFT(DcI!G25,1)),IF(LEN(DcI!G25)=5,LEFT(DcI!G25,2),IF(MID(DcI!G25,2,1)="•",CONCATENATE("0",LEFT(DcI!G25,1)),LEFT(DcI!G25,2)))))</f>
        <v/>
      </c>
      <c r="BG25" s="28" t="str">
        <f ca="1">IF(DcI!H25="X","X",IF(LEN(DcI!H25)=3,CONCATENATE("0",LEFT(DcI!H25,1)),IF(LEN(DcI!H25)=5,LEFT(DcI!H25,2),IF(MID(DcI!H25,2,1)="•",CONCATENATE("0",LEFT(DcI!H25,1)),LEFT(DcI!H25,2)))))</f>
        <v/>
      </c>
      <c r="BH25" s="28" t="str">
        <f ca="1">IF(DcI!I25="X","X",IF(LEN(DcI!I25)=3,CONCATENATE("0",LEFT(DcI!I25,1)),IF(LEN(DcI!I25)=5,LEFT(DcI!I25,2),IF(MID(DcI!I25,2,1)="•",CONCATENATE("0",LEFT(DcI!I25,1)),LEFT(DcI!I25,2)))))</f>
        <v/>
      </c>
      <c r="BI25" s="28" t="str">
        <f ca="1">IF(DcI!J25="X","X",IF(LEN(DcI!J25)=3,CONCATENATE("0",LEFT(DcI!J25,1)),IF(LEN(DcI!J25)=5,LEFT(DcI!J25,2),IF(MID(DcI!J25,2,1)="•",CONCATENATE("0",LEFT(DcI!J25,1)),LEFT(DcI!J25,2)))))</f>
        <v/>
      </c>
      <c r="BJ25" s="28" t="str">
        <f ca="1">IF(DcI!K25="X","X",IF(LEN(DcI!K25)=3,CONCATENATE("0",LEFT(DcI!K25,1)),IF(LEN(DcI!K25)=5,LEFT(DcI!K25,2),IF(MID(DcI!K25,2,1)="•",CONCATENATE("0",LEFT(DcI!K25,1)),LEFT(DcI!K25,2)))))</f>
        <v/>
      </c>
      <c r="BK25" s="28" t="str">
        <f ca="1">IF(DcI!L25="X","X",IF(LEN(DcI!L25)=3,CONCATENATE("0",LEFT(DcI!L25,1)),IF(LEN(DcI!L25)=5,LEFT(DcI!L25,2),IF(MID(DcI!L25,2,1)="•",CONCATENATE("0",LEFT(DcI!L25,1)),LEFT(DcI!L25,2)))))</f>
        <v>03</v>
      </c>
      <c r="BL25" s="28" t="str">
        <f ca="1">IF(DcI!M25="X","X",IF(LEN(DcI!M25)=3,CONCATENATE("0",LEFT(DcI!M25,1)),IF(LEN(DcI!M25)=5,LEFT(DcI!M25,2),IF(MID(DcI!M25,2,1)="•",CONCATENATE("0",LEFT(DcI!M25,1)),LEFT(DcI!M25,2)))))</f>
        <v>06</v>
      </c>
      <c r="BM25" s="28" t="str">
        <f ca="1">IF(DcI!N25="X","X",IF(LEN(DcI!N25)=3,CONCATENATE("0",LEFT(DcI!N25,1)),IF(LEN(DcI!N25)=5,LEFT(DcI!N25,2),IF(MID(DcI!N25,2,1)="•",CONCATENATE("0",LEFT(DcI!N25,1)),LEFT(DcI!N25,2)))))</f>
        <v>02</v>
      </c>
      <c r="BN25" s="28" t="str">
        <f ca="1">IF(DcI!O25="X","X",IF(LEN(DcI!O25)=3,CONCATENATE("0",LEFT(DcI!O25,1)),IF(LEN(DcI!O25)=5,LEFT(DcI!O25,2),IF(MID(DcI!O25,2,1)="•",CONCATENATE("0",LEFT(DcI!O25,1)),LEFT(DcI!O25,2)))))</f>
        <v>07</v>
      </c>
      <c r="BO25" s="28" t="str">
        <f ca="1">IF(DcI!P25="X","X",IF(LEN(DcI!P25)=3,CONCATENATE("0",LEFT(DcI!P25,1)),IF(LEN(DcI!P25)=5,LEFT(DcI!P25,2),IF(MID(DcI!P25,2,1)="•",CONCATENATE("0",LEFT(DcI!P25,1)),LEFT(DcI!P25,2)))))</f>
        <v>11</v>
      </c>
      <c r="BP25" s="28" t="str">
        <f ca="1">IF(DcI!Q25="X","X",IF(LEN(DcI!Q25)=3,CONCATENATE("0",LEFT(DcI!Q25,1)),IF(LEN(DcI!Q25)=5,LEFT(DcI!Q25,2),IF(MID(DcI!Q25,2,1)="•",CONCATENATE("0",LEFT(DcI!Q25,1)),LEFT(DcI!Q25,2)))))</f>
        <v>10</v>
      </c>
      <c r="BQ25" s="347" t="str">
        <f ca="1">IF(DcI!R25="X","X",IF(LEN(DcI!R25)=3,CONCATENATE("0",LEFT(DcI!R25,1)),IF(LEN(DcI!R25)=5,LEFT(DcI!R25,2),IF(MID(DcI!R25,2,1)="•",CONCATENATE("0",LEFT(DcI!R25,1)),LEFT(DcI!R25,2)))))</f>
        <v>X</v>
      </c>
      <c r="BR25" s="28" t="str">
        <f t="shared" ca="1" si="7"/>
        <v>14</v>
      </c>
      <c r="BS25" s="28" t="str">
        <f t="shared" ca="1" si="7"/>
        <v/>
      </c>
      <c r="BT25" s="28" t="str">
        <f t="shared" ca="1" si="7"/>
        <v/>
      </c>
      <c r="BU25" s="28" t="str">
        <f t="shared" ca="1" si="7"/>
        <v/>
      </c>
      <c r="BV25" s="28" t="str">
        <f t="shared" ca="1" si="13"/>
        <v/>
      </c>
      <c r="BW25" s="28" t="str">
        <f t="shared" ca="1" si="13"/>
        <v/>
      </c>
      <c r="BX25" s="28" t="str">
        <f t="shared" ca="1" si="13"/>
        <v/>
      </c>
      <c r="BY25" s="28" t="str">
        <f t="shared" ca="1" si="13"/>
        <v/>
      </c>
      <c r="BZ25" s="28" t="str">
        <f t="shared" ca="1" si="13"/>
        <v/>
      </c>
      <c r="CA25" s="28" t="str">
        <f t="shared" ca="1" si="13"/>
        <v/>
      </c>
      <c r="CB25" s="28" t="str">
        <f t="shared" ca="1" si="13"/>
        <v/>
      </c>
      <c r="CC25" s="28" t="str">
        <f t="shared" ca="1" si="13"/>
        <v/>
      </c>
      <c r="CD25" s="28" t="str">
        <f t="shared" ca="1" si="13"/>
        <v/>
      </c>
      <c r="CE25" s="28" t="str">
        <f t="shared" ca="1" si="13"/>
        <v/>
      </c>
      <c r="CF25" s="28" t="str">
        <f t="shared" ca="1" si="13"/>
        <v/>
      </c>
      <c r="CG25" s="28" t="str">
        <f t="shared" ca="1" si="13"/>
        <v/>
      </c>
      <c r="CH25" s="28" t="str">
        <f t="shared" ca="1" si="13"/>
        <v/>
      </c>
      <c r="CI25" s="28" t="str">
        <f t="shared" ca="1" si="13"/>
        <v/>
      </c>
      <c r="CJ25" s="28" t="str">
        <f t="shared" ca="1" si="13"/>
        <v/>
      </c>
      <c r="CK25" s="28" t="str">
        <f t="shared" ca="1" si="13"/>
        <v/>
      </c>
      <c r="CL25" s="28" t="str">
        <f t="shared" ca="1" si="11"/>
        <v/>
      </c>
      <c r="CM25" s="28" t="str">
        <f t="shared" ca="1" si="11"/>
        <v/>
      </c>
      <c r="CN25" s="28" t="str">
        <f t="shared" ca="1" si="11"/>
        <v/>
      </c>
      <c r="CO25" s="28" t="str">
        <f t="shared" ca="1" si="12"/>
        <v/>
      </c>
      <c r="CP25" s="28" t="str">
        <f t="shared" ca="1" si="12"/>
        <v/>
      </c>
      <c r="CQ25" s="28" t="str">
        <f t="shared" ca="1" si="12"/>
        <v/>
      </c>
      <c r="CR25" s="28" t="str">
        <f t="shared" ca="1" si="12"/>
        <v/>
      </c>
      <c r="CS25" s="28" t="str">
        <f t="shared" ca="1" si="12"/>
        <v/>
      </c>
      <c r="CT25" s="28" t="str">
        <f t="shared" ca="1" si="12"/>
        <v/>
      </c>
      <c r="CU25" s="28" t="str">
        <f t="shared" ca="1" si="12"/>
        <v/>
      </c>
      <c r="CV25" s="346" t="str">
        <f t="shared" ca="1" si="12"/>
        <v/>
      </c>
    </row>
    <row r="26" spans="2:100" ht="15">
      <c r="B26" s="63" t="str">
        <v>BR</v>
      </c>
      <c r="C26" s="16" t="str">
        <f t="shared" si="8"/>
        <v>BR11:BR56</v>
      </c>
      <c r="D26" s="342" t="str">
        <f t="shared" ca="1" si="9"/>
        <v>Tm16</v>
      </c>
      <c r="E26" s="349" t="str">
        <f t="shared" ca="1" si="10"/>
        <v>ng</v>
      </c>
      <c r="F26" s="349" t="str">
        <f t="shared" ca="1" si="14"/>
        <v>Tm12</v>
      </c>
      <c r="G26" s="349" t="str">
        <f t="shared" ca="1" si="14"/>
        <v>Tm10</v>
      </c>
      <c r="H26" s="349" t="str">
        <f t="shared" ca="1" si="14"/>
        <v>ng</v>
      </c>
      <c r="I26" s="349" t="str">
        <f t="shared" ca="1" si="14"/>
        <v>ng</v>
      </c>
      <c r="J26" s="349" t="str">
        <f t="shared" ca="1" si="14"/>
        <v>Tm09</v>
      </c>
      <c r="K26" s="349" t="str">
        <f t="shared" ca="1" si="14"/>
        <v>Tm11</v>
      </c>
      <c r="L26" s="349" t="str">
        <f t="shared" ca="1" si="14"/>
        <v>ng</v>
      </c>
      <c r="M26" s="349" t="str">
        <f t="shared" ca="1" si="14"/>
        <v>ng</v>
      </c>
      <c r="N26" s="349" t="str">
        <f t="shared" ca="1" si="14"/>
        <v>Tm13</v>
      </c>
      <c r="O26" s="349" t="str">
        <f t="shared" ca="1" si="14"/>
        <v>Tm14</v>
      </c>
      <c r="P26" s="349" t="str">
        <f t="shared" ca="1" si="14"/>
        <v>ng</v>
      </c>
      <c r="Q26" s="349" t="str">
        <f t="shared" ca="1" si="14"/>
        <v>ng</v>
      </c>
      <c r="R26" s="349" t="str">
        <f t="shared" ca="1" si="14"/>
        <v>Tm15</v>
      </c>
      <c r="S26" s="349" t="str">
        <f t="shared" ca="1" si="14"/>
        <v>ng</v>
      </c>
      <c r="T26" s="349" t="str">
        <f t="shared" ca="1" si="14"/>
        <v>ng</v>
      </c>
      <c r="U26" s="349" t="str">
        <f t="shared" ca="1" si="14"/>
        <v>ng</v>
      </c>
      <c r="V26" s="349" t="str">
        <f t="shared" ca="1" si="14"/>
        <v>ng</v>
      </c>
      <c r="W26" s="349" t="str">
        <f t="shared" ca="1" si="14"/>
        <v>ng</v>
      </c>
      <c r="X26" s="349" t="str">
        <f t="shared" ca="1" si="14"/>
        <v>ng</v>
      </c>
      <c r="Y26" s="349" t="str">
        <f t="shared" ca="1" si="14"/>
        <v>ng</v>
      </c>
      <c r="Z26" s="349" t="str">
        <f t="shared" ca="1" si="14"/>
        <v>ng</v>
      </c>
      <c r="AA26" s="349" t="str">
        <f t="shared" ca="1" si="14"/>
        <v>ng</v>
      </c>
      <c r="AB26" s="349" t="str">
        <f t="shared" ca="1" si="14"/>
        <v>ng</v>
      </c>
      <c r="AC26" s="349" t="str">
        <f t="shared" ca="1" si="14"/>
        <v>ng</v>
      </c>
      <c r="AD26" s="349" t="str">
        <f t="shared" ca="1" si="14"/>
        <v>ng</v>
      </c>
      <c r="AE26" s="349" t="str">
        <f t="shared" ca="1" si="14"/>
        <v>ng</v>
      </c>
      <c r="AF26" s="349" t="str">
        <f t="shared" ca="1" si="14"/>
        <v>ng</v>
      </c>
      <c r="AG26" s="349" t="str">
        <f t="shared" ca="1" si="14"/>
        <v>ng</v>
      </c>
      <c r="AH26" s="349" t="str">
        <f t="shared" ca="1" si="14"/>
        <v>ng</v>
      </c>
      <c r="AI26" s="349" t="str">
        <f t="shared" ca="1" si="14"/>
        <v>ng</v>
      </c>
      <c r="AJ26" s="349" t="str">
        <f t="shared" ca="1" si="14"/>
        <v>ng</v>
      </c>
      <c r="AK26" s="349" t="str">
        <f t="shared" ca="1" si="14"/>
        <v>ng</v>
      </c>
      <c r="AL26" s="349" t="str">
        <f t="shared" ca="1" si="6"/>
        <v>ng</v>
      </c>
      <c r="AM26" s="349" t="str">
        <f t="shared" ca="1" si="6"/>
        <v>ng</v>
      </c>
      <c r="AN26" s="349" t="str">
        <f t="shared" ca="1" si="6"/>
        <v>ng</v>
      </c>
      <c r="AO26" s="349" t="str">
        <f t="shared" ca="1" si="6"/>
        <v>ng</v>
      </c>
      <c r="AP26" s="349" t="str">
        <f t="shared" ca="1" si="6"/>
        <v>ng</v>
      </c>
      <c r="AQ26" s="349" t="str">
        <f t="shared" ca="1" si="6"/>
        <v>ng</v>
      </c>
      <c r="AR26" s="350" t="str">
        <f t="shared" ca="1" si="6"/>
        <v>ng</v>
      </c>
      <c r="BA26" s="16" t="str">
        <v>BR</v>
      </c>
      <c r="BB26" s="342" t="str">
        <f ca="1">DcI!C26</f>
        <v>Tm16</v>
      </c>
      <c r="BC26" s="28" t="str">
        <f ca="1">IF(DcI!D26="X","X",IF(LEN(DcI!D26)=3,CONCATENATE("0",LEFT(DcI!D26,1)),IF(LEN(DcI!D26)=5,LEFT(DcI!D26,2),IF(MID(DcI!D26,2,1)="•",CONCATENATE("0",LEFT(DcI!D26,1)),LEFT(DcI!D26,2)))))</f>
        <v/>
      </c>
      <c r="BD26" s="28" t="str">
        <f ca="1">IF(DcI!E26="X","X",IF(LEN(DcI!E26)=3,CONCATENATE("0",LEFT(DcI!E26,1)),IF(LEN(DcI!E26)=5,LEFT(DcI!E26,2),IF(MID(DcI!E26,2,1)="•",CONCATENATE("0",LEFT(DcI!E26,1)),LEFT(DcI!E26,2)))))</f>
        <v/>
      </c>
      <c r="BE26" s="28" t="str">
        <f ca="1">IF(DcI!F26="X","X",IF(LEN(DcI!F26)=3,CONCATENATE("0",LEFT(DcI!F26,1)),IF(LEN(DcI!F26)=5,LEFT(DcI!F26,2),IF(MID(DcI!F26,2,1)="•",CONCATENATE("0",LEFT(DcI!F26,1)),LEFT(DcI!F26,2)))))</f>
        <v/>
      </c>
      <c r="BF26" s="28" t="str">
        <f ca="1">IF(DcI!G26="X","X",IF(LEN(DcI!G26)=3,CONCATENATE("0",LEFT(DcI!G26,1)),IF(LEN(DcI!G26)=5,LEFT(DcI!G26,2),IF(MID(DcI!G26,2,1)="•",CONCATENATE("0",LEFT(DcI!G26,1)),LEFT(DcI!G26,2)))))</f>
        <v/>
      </c>
      <c r="BG26" s="28" t="str">
        <f ca="1">IF(DcI!H26="X","X",IF(LEN(DcI!H26)=3,CONCATENATE("0",LEFT(DcI!H26,1)),IF(LEN(DcI!H26)=5,LEFT(DcI!H26,2),IF(MID(DcI!H26,2,1)="•",CONCATENATE("0",LEFT(DcI!H26,1)),LEFT(DcI!H26,2)))))</f>
        <v/>
      </c>
      <c r="BH26" s="28" t="str">
        <f ca="1">IF(DcI!I26="X","X",IF(LEN(DcI!I26)=3,CONCATENATE("0",LEFT(DcI!I26,1)),IF(LEN(DcI!I26)=5,LEFT(DcI!I26,2),IF(MID(DcI!I26,2,1)="•",CONCATENATE("0",LEFT(DcI!I26,1)),LEFT(DcI!I26,2)))))</f>
        <v/>
      </c>
      <c r="BI26" s="28" t="str">
        <f ca="1">IF(DcI!J26="X","X",IF(LEN(DcI!J26)=3,CONCATENATE("0",LEFT(DcI!J26,1)),IF(LEN(DcI!J26)=5,LEFT(DcI!J26,2),IF(MID(DcI!J26,2,1)="•",CONCATENATE("0",LEFT(DcI!J26,1)),LEFT(DcI!J26,2)))))</f>
        <v/>
      </c>
      <c r="BJ26" s="28" t="str">
        <f ca="1">IF(DcI!K26="X","X",IF(LEN(DcI!K26)=3,CONCATENATE("0",LEFT(DcI!K26,1)),IF(LEN(DcI!K26)=5,LEFT(DcI!K26,2),IF(MID(DcI!K26,2,1)="•",CONCATENATE("0",LEFT(DcI!K26,1)),LEFT(DcI!K26,2)))))</f>
        <v/>
      </c>
      <c r="BK26" s="28" t="str">
        <f ca="1">IF(DcI!L26="X","X",IF(LEN(DcI!L26)=3,CONCATENATE("0",LEFT(DcI!L26,1)),IF(LEN(DcI!L26)=5,LEFT(DcI!L26,2),IF(MID(DcI!L26,2,1)="•",CONCATENATE("0",LEFT(DcI!L26,1)),LEFT(DcI!L26,2)))))</f>
        <v>06</v>
      </c>
      <c r="BL26" s="28" t="str">
        <f ca="1">IF(DcI!M26="X","X",IF(LEN(DcI!M26)=3,CONCATENATE("0",LEFT(DcI!M26,1)),IF(LEN(DcI!M26)=5,LEFT(DcI!M26,2),IF(MID(DcI!M26,2,1)="•",CONCATENATE("0",LEFT(DcI!M26,1)),LEFT(DcI!M26,2)))))</f>
        <v>03</v>
      </c>
      <c r="BM26" s="28" t="str">
        <f ca="1">IF(DcI!N26="X","X",IF(LEN(DcI!N26)=3,CONCATENATE("0",LEFT(DcI!N26,1)),IF(LEN(DcI!N26)=5,LEFT(DcI!N26,2),IF(MID(DcI!N26,2,1)="•",CONCATENATE("0",LEFT(DcI!N26,1)),LEFT(DcI!N26,2)))))</f>
        <v>07</v>
      </c>
      <c r="BN26" s="28" t="str">
        <f ca="1">IF(DcI!O26="X","X",IF(LEN(DcI!O26)=3,CONCATENATE("0",LEFT(DcI!O26,1)),IF(LEN(DcI!O26)=5,LEFT(DcI!O26,2),IF(MID(DcI!O26,2,1)="•",CONCATENATE("0",LEFT(DcI!O26,1)),LEFT(DcI!O26,2)))))</f>
        <v>02</v>
      </c>
      <c r="BO26" s="28" t="str">
        <f ca="1">IF(DcI!P26="X","X",IF(LEN(DcI!P26)=3,CONCATENATE("0",LEFT(DcI!P26,1)),IF(LEN(DcI!P26)=5,LEFT(DcI!P26,2),IF(MID(DcI!P26,2,1)="•",CONCATENATE("0",LEFT(DcI!P26,1)),LEFT(DcI!P26,2)))))</f>
        <v>10</v>
      </c>
      <c r="BP26" s="28" t="str">
        <f ca="1">IF(DcI!Q26="X","X",IF(LEN(DcI!Q26)=3,CONCATENATE("0",LEFT(DcI!Q26,1)),IF(LEN(DcI!Q26)=5,LEFT(DcI!Q26,2),IF(MID(DcI!Q26,2,1)="•",CONCATENATE("0",LEFT(DcI!Q26,1)),LEFT(DcI!Q26,2)))))</f>
        <v>11</v>
      </c>
      <c r="BQ26" s="28" t="str">
        <f ca="1">IF(DcI!R26="X","X",IF(LEN(DcI!R26)=3,CONCATENATE("0",LEFT(DcI!R26,1)),IF(LEN(DcI!R26)=5,LEFT(DcI!R26,2),IF(MID(DcI!R26,2,1)="•",CONCATENATE("0",LEFT(DcI!R26,1)),LEFT(DcI!R26,2)))))</f>
        <v>14</v>
      </c>
      <c r="BR26" s="347" t="str">
        <f ca="1">IF(DcI!S26="X","X",IF(LEN(DcI!S26)=3,CONCATENATE("0",LEFT(DcI!S26,1)),IF(LEN(DcI!S26)=5,LEFT(DcI!S26,2),IF(MID(DcI!S26,2,1)="•",CONCATENATE("0",LEFT(DcI!S26,1)),LEFT(DcI!S26,2)))))</f>
        <v>X</v>
      </c>
      <c r="BS26" s="28" t="str">
        <f t="shared" ca="1" si="7"/>
        <v/>
      </c>
      <c r="BT26" s="28" t="str">
        <f t="shared" ca="1" si="7"/>
        <v/>
      </c>
      <c r="BU26" s="28" t="str">
        <f t="shared" ca="1" si="7"/>
        <v/>
      </c>
      <c r="BV26" s="28" t="str">
        <f t="shared" ca="1" si="13"/>
        <v/>
      </c>
      <c r="BW26" s="28" t="str">
        <f t="shared" ca="1" si="13"/>
        <v/>
      </c>
      <c r="BX26" s="28" t="str">
        <f t="shared" ca="1" si="13"/>
        <v/>
      </c>
      <c r="BY26" s="28" t="str">
        <f t="shared" ca="1" si="13"/>
        <v/>
      </c>
      <c r="BZ26" s="28" t="str">
        <f t="shared" ca="1" si="13"/>
        <v/>
      </c>
      <c r="CA26" s="28" t="str">
        <f t="shared" ca="1" si="13"/>
        <v/>
      </c>
      <c r="CB26" s="28" t="str">
        <f t="shared" ca="1" si="13"/>
        <v/>
      </c>
      <c r="CC26" s="28" t="str">
        <f t="shared" ca="1" si="13"/>
        <v/>
      </c>
      <c r="CD26" s="28" t="str">
        <f t="shared" ca="1" si="13"/>
        <v/>
      </c>
      <c r="CE26" s="28" t="str">
        <f t="shared" ca="1" si="13"/>
        <v/>
      </c>
      <c r="CF26" s="28" t="str">
        <f t="shared" ca="1" si="13"/>
        <v/>
      </c>
      <c r="CG26" s="28" t="str">
        <f t="shared" ca="1" si="13"/>
        <v/>
      </c>
      <c r="CH26" s="28" t="str">
        <f t="shared" ca="1" si="13"/>
        <v/>
      </c>
      <c r="CI26" s="28" t="str">
        <f t="shared" ca="1" si="13"/>
        <v/>
      </c>
      <c r="CJ26" s="28" t="str">
        <f t="shared" ca="1" si="13"/>
        <v/>
      </c>
      <c r="CK26" s="28" t="str">
        <f t="shared" ca="1" si="13"/>
        <v/>
      </c>
      <c r="CL26" s="28" t="str">
        <f t="shared" ca="1" si="11"/>
        <v/>
      </c>
      <c r="CM26" s="28" t="str">
        <f t="shared" ca="1" si="11"/>
        <v/>
      </c>
      <c r="CN26" s="28" t="str">
        <f t="shared" ca="1" si="11"/>
        <v/>
      </c>
      <c r="CO26" s="28" t="str">
        <f t="shared" ca="1" si="12"/>
        <v/>
      </c>
      <c r="CP26" s="28" t="str">
        <f t="shared" ca="1" si="12"/>
        <v/>
      </c>
      <c r="CQ26" s="28" t="str">
        <f t="shared" ca="1" si="12"/>
        <v/>
      </c>
      <c r="CR26" s="28" t="str">
        <f t="shared" ca="1" si="12"/>
        <v/>
      </c>
      <c r="CS26" s="28" t="str">
        <f t="shared" ca="1" si="12"/>
        <v/>
      </c>
      <c r="CT26" s="28" t="str">
        <f t="shared" ca="1" si="12"/>
        <v/>
      </c>
      <c r="CU26" s="28" t="str">
        <f t="shared" ca="1" si="12"/>
        <v/>
      </c>
      <c r="CV26" s="346" t="str">
        <f t="shared" ca="1" si="12"/>
        <v/>
      </c>
    </row>
    <row r="27" spans="2:100" ht="15">
      <c r="B27" s="63" t="str">
        <v>BS</v>
      </c>
      <c r="C27" s="16" t="str">
        <f t="shared" si="8"/>
        <v>BS11:BS56</v>
      </c>
      <c r="D27" s="342" t="str">
        <f t="shared" ca="1" si="9"/>
        <v>Tm17</v>
      </c>
      <c r="E27" s="349" t="str">
        <f t="shared" ca="1" si="10"/>
        <v>ng</v>
      </c>
      <c r="F27" s="349" t="str">
        <f t="shared" ca="1" si="14"/>
        <v>Tm24</v>
      </c>
      <c r="G27" s="349" t="str">
        <f t="shared" ca="1" si="14"/>
        <v>ng</v>
      </c>
      <c r="H27" s="349" t="str">
        <f t="shared" ca="1" si="14"/>
        <v>Tm23</v>
      </c>
      <c r="I27" s="349" t="str">
        <f t="shared" ca="1" si="14"/>
        <v>Tm21</v>
      </c>
      <c r="J27" s="349" t="str">
        <f t="shared" ca="1" si="14"/>
        <v>ng</v>
      </c>
      <c r="K27" s="349" t="str">
        <f t="shared" ca="1" si="14"/>
        <v>Tm22</v>
      </c>
      <c r="L27" s="349" t="str">
        <f t="shared" ca="1" si="14"/>
        <v>ng</v>
      </c>
      <c r="M27" s="349" t="str">
        <f t="shared" ca="1" si="14"/>
        <v>Tm20</v>
      </c>
      <c r="N27" s="349" t="str">
        <f t="shared" ca="1" si="14"/>
        <v>ng</v>
      </c>
      <c r="O27" s="349" t="str">
        <f t="shared" ca="1" si="14"/>
        <v>ng</v>
      </c>
      <c r="P27" s="349" t="str">
        <f t="shared" ca="1" si="14"/>
        <v>Tm19</v>
      </c>
      <c r="Q27" s="349" t="str">
        <f t="shared" ca="1" si="14"/>
        <v>Tm18</v>
      </c>
      <c r="R27" s="349" t="str">
        <f t="shared" ca="1" si="14"/>
        <v>ng</v>
      </c>
      <c r="S27" s="349" t="str">
        <f t="shared" ref="F27:AK35" ca="1" si="15">IF(ISERROR(INDIRECT(CONCATENATE("D",MATCH(S$6,INDIRECT($C27),0)+10))),"ng",INDIRECT(CONCATENATE("D",MATCH(S$6,INDIRECT($C27),0)+10)))</f>
        <v>ng</v>
      </c>
      <c r="T27" s="349" t="str">
        <f t="shared" ca="1" si="15"/>
        <v>ng</v>
      </c>
      <c r="U27" s="349" t="str">
        <f t="shared" ca="1" si="15"/>
        <v>ng</v>
      </c>
      <c r="V27" s="349" t="str">
        <f t="shared" ca="1" si="15"/>
        <v>ng</v>
      </c>
      <c r="W27" s="349" t="str">
        <f t="shared" ca="1" si="15"/>
        <v>ng</v>
      </c>
      <c r="X27" s="349" t="str">
        <f t="shared" ca="1" si="15"/>
        <v>ng</v>
      </c>
      <c r="Y27" s="349" t="str">
        <f t="shared" ca="1" si="15"/>
        <v>ng</v>
      </c>
      <c r="Z27" s="349" t="str">
        <f t="shared" ca="1" si="15"/>
        <v>ng</v>
      </c>
      <c r="AA27" s="349" t="str">
        <f t="shared" ca="1" si="15"/>
        <v>ng</v>
      </c>
      <c r="AB27" s="349" t="str">
        <f t="shared" ca="1" si="15"/>
        <v>ng</v>
      </c>
      <c r="AC27" s="349" t="str">
        <f t="shared" ca="1" si="15"/>
        <v>ng</v>
      </c>
      <c r="AD27" s="349" t="str">
        <f t="shared" ca="1" si="15"/>
        <v>ng</v>
      </c>
      <c r="AE27" s="349" t="str">
        <f t="shared" ca="1" si="15"/>
        <v>ng</v>
      </c>
      <c r="AF27" s="349" t="str">
        <f t="shared" ca="1" si="15"/>
        <v>ng</v>
      </c>
      <c r="AG27" s="349" t="str">
        <f t="shared" ca="1" si="15"/>
        <v>ng</v>
      </c>
      <c r="AH27" s="349" t="str">
        <f t="shared" ca="1" si="15"/>
        <v>ng</v>
      </c>
      <c r="AI27" s="349" t="str">
        <f t="shared" ca="1" si="15"/>
        <v>ng</v>
      </c>
      <c r="AJ27" s="349" t="str">
        <f t="shared" ca="1" si="15"/>
        <v>ng</v>
      </c>
      <c r="AK27" s="349" t="str">
        <f t="shared" ca="1" si="15"/>
        <v>ng</v>
      </c>
      <c r="AL27" s="349" t="str">
        <f t="shared" ref="AL27:AR42" ca="1" si="16">IF(ISERROR(INDIRECT(CONCATENATE("D",MATCH(AL$6,INDIRECT($C27),0)+10))),"ng",INDIRECT(CONCATENATE("D",MATCH(AL$6,INDIRECT($C27),0)+10)))</f>
        <v>ng</v>
      </c>
      <c r="AM27" s="349" t="str">
        <f t="shared" ca="1" si="16"/>
        <v>ng</v>
      </c>
      <c r="AN27" s="349" t="str">
        <f t="shared" ca="1" si="16"/>
        <v>ng</v>
      </c>
      <c r="AO27" s="349" t="str">
        <f t="shared" ca="1" si="16"/>
        <v>ng</v>
      </c>
      <c r="AP27" s="349" t="str">
        <f t="shared" ca="1" si="16"/>
        <v>ng</v>
      </c>
      <c r="AQ27" s="349" t="str">
        <f t="shared" ca="1" si="16"/>
        <v>ng</v>
      </c>
      <c r="AR27" s="350" t="str">
        <f t="shared" ca="1" si="16"/>
        <v>ng</v>
      </c>
      <c r="BA27" s="16" t="str">
        <v>BS</v>
      </c>
      <c r="BB27" s="342" t="str">
        <f ca="1">DcI!C27</f>
        <v>Tm17</v>
      </c>
      <c r="BC27" s="28" t="str">
        <f ca="1">IF(DcI!D27="X","X",IF(LEN(DcI!D27)=3,CONCATENATE("0",LEFT(DcI!D27,1)),IF(LEN(DcI!D27)=5,LEFT(DcI!D27,2),IF(MID(DcI!D27,2,1)="•",CONCATENATE("0",LEFT(DcI!D27,1)),LEFT(DcI!D27,2)))))</f>
        <v/>
      </c>
      <c r="BD27" s="28" t="str">
        <f ca="1">IF(DcI!E27="X","X",IF(LEN(DcI!E27)=3,CONCATENATE("0",LEFT(DcI!E27,1)),IF(LEN(DcI!E27)=5,LEFT(DcI!E27,2),IF(MID(DcI!E27,2,1)="•",CONCATENATE("0",LEFT(DcI!E27,1)),LEFT(DcI!E27,2)))))</f>
        <v/>
      </c>
      <c r="BE27" s="28" t="str">
        <f ca="1">IF(DcI!F27="X","X",IF(LEN(DcI!F27)=3,CONCATENATE("0",LEFT(DcI!F27,1)),IF(LEN(DcI!F27)=5,LEFT(DcI!F27,2),IF(MID(DcI!F27,2,1)="•",CONCATENATE("0",LEFT(DcI!F27,1)),LEFT(DcI!F27,2)))))</f>
        <v/>
      </c>
      <c r="BF27" s="28" t="str">
        <f ca="1">IF(DcI!G27="X","X",IF(LEN(DcI!G27)=3,CONCATENATE("0",LEFT(DcI!G27,1)),IF(LEN(DcI!G27)=5,LEFT(DcI!G27,2),IF(MID(DcI!G27,2,1)="•",CONCATENATE("0",LEFT(DcI!G27,1)),LEFT(DcI!G27,2)))))</f>
        <v/>
      </c>
      <c r="BG27" s="28" t="str">
        <f ca="1">IF(DcI!H27="X","X",IF(LEN(DcI!H27)=3,CONCATENATE("0",LEFT(DcI!H27,1)),IF(LEN(DcI!H27)=5,LEFT(DcI!H27,2),IF(MID(DcI!H27,2,1)="•",CONCATENATE("0",LEFT(DcI!H27,1)),LEFT(DcI!H27,2)))))</f>
        <v/>
      </c>
      <c r="BH27" s="28" t="str">
        <f ca="1">IF(DcI!I27="X","X",IF(LEN(DcI!I27)=3,CONCATENATE("0",LEFT(DcI!I27,1)),IF(LEN(DcI!I27)=5,LEFT(DcI!I27,2),IF(MID(DcI!I27,2,1)="•",CONCATENATE("0",LEFT(DcI!I27,1)),LEFT(DcI!I27,2)))))</f>
        <v/>
      </c>
      <c r="BI27" s="28" t="str">
        <f ca="1">IF(DcI!J27="X","X",IF(LEN(DcI!J27)=3,CONCATENATE("0",LEFT(DcI!J27,1)),IF(LEN(DcI!J27)=5,LEFT(DcI!J27,2),IF(MID(DcI!J27,2,1)="•",CONCATENATE("0",LEFT(DcI!J27,1)),LEFT(DcI!J27,2)))))</f>
        <v/>
      </c>
      <c r="BJ27" s="28" t="str">
        <f ca="1">IF(DcI!K27="X","X",IF(LEN(DcI!K27)=3,CONCATENATE("0",LEFT(DcI!K27,1)),IF(LEN(DcI!K27)=5,LEFT(DcI!K27,2),IF(MID(DcI!K27,2,1)="•",CONCATENATE("0",LEFT(DcI!K27,1)),LEFT(DcI!K27,2)))))</f>
        <v/>
      </c>
      <c r="BK27" s="28" t="str">
        <f ca="1">IF(DcI!L27="X","X",IF(LEN(DcI!L27)=3,CONCATENATE("0",LEFT(DcI!L27,1)),IF(LEN(DcI!L27)=5,LEFT(DcI!L27,2),IF(MID(DcI!L27,2,1)="•",CONCATENATE("0",LEFT(DcI!L27,1)),LEFT(DcI!L27,2)))))</f>
        <v/>
      </c>
      <c r="BL27" s="28" t="str">
        <f ca="1">IF(DcI!M27="X","X",IF(LEN(DcI!M27)=3,CONCATENATE("0",LEFT(DcI!M27,1)),IF(LEN(DcI!M27)=5,LEFT(DcI!M27,2),IF(MID(DcI!M27,2,1)="•",CONCATENATE("0",LEFT(DcI!M27,1)),LEFT(DcI!M27,2)))))</f>
        <v/>
      </c>
      <c r="BM27" s="28" t="str">
        <f ca="1">IF(DcI!N27="X","X",IF(LEN(DcI!N27)=3,CONCATENATE("0",LEFT(DcI!N27,1)),IF(LEN(DcI!N27)=5,LEFT(DcI!N27,2),IF(MID(DcI!N27,2,1)="•",CONCATENATE("0",LEFT(DcI!N27,1)),LEFT(DcI!N27,2)))))</f>
        <v/>
      </c>
      <c r="BN27" s="28" t="str">
        <f ca="1">IF(DcI!O27="X","X",IF(LEN(DcI!O27)=3,CONCATENATE("0",LEFT(DcI!O27,1)),IF(LEN(DcI!O27)=5,LEFT(DcI!O27,2),IF(MID(DcI!O27,2,1)="•",CONCATENATE("0",LEFT(DcI!O27,1)),LEFT(DcI!O27,2)))))</f>
        <v/>
      </c>
      <c r="BO27" s="28" t="str">
        <f ca="1">IF(DcI!P27="X","X",IF(LEN(DcI!P27)=3,CONCATENATE("0",LEFT(DcI!P27,1)),IF(LEN(DcI!P27)=5,LEFT(DcI!P27,2),IF(MID(DcI!P27,2,1)="•",CONCATENATE("0",LEFT(DcI!P27,1)),LEFT(DcI!P27,2)))))</f>
        <v/>
      </c>
      <c r="BP27" s="28" t="str">
        <f ca="1">IF(DcI!Q27="X","X",IF(LEN(DcI!Q27)=3,CONCATENATE("0",LEFT(DcI!Q27,1)),IF(LEN(DcI!Q27)=5,LEFT(DcI!Q27,2),IF(MID(DcI!Q27,2,1)="•",CONCATENATE("0",LEFT(DcI!Q27,1)),LEFT(DcI!Q27,2)))))</f>
        <v/>
      </c>
      <c r="BQ27" s="28" t="str">
        <f ca="1">IF(DcI!R27="X","X",IF(LEN(DcI!R27)=3,CONCATENATE("0",LEFT(DcI!R27,1)),IF(LEN(DcI!R27)=5,LEFT(DcI!R27,2),IF(MID(DcI!R27,2,1)="•",CONCATENATE("0",LEFT(DcI!R27,1)),LEFT(DcI!R27,2)))))</f>
        <v/>
      </c>
      <c r="BR27" s="28" t="str">
        <f ca="1">IF(DcI!S27="X","X",IF(LEN(DcI!S27)=3,CONCATENATE("0",LEFT(DcI!S27,1)),IF(LEN(DcI!S27)=5,LEFT(DcI!S27,2),IF(MID(DcI!S27,2,1)="•",CONCATENATE("0",LEFT(DcI!S27,1)),LEFT(DcI!S27,2)))))</f>
        <v/>
      </c>
      <c r="BS27" s="347" t="str">
        <f ca="1">IF(DcI!T27="X","X",IF(LEN(DcI!T27)=3,CONCATENATE("0",LEFT(DcI!T27,1)),IF(LEN(DcI!T27)=5,LEFT(DcI!T27,2),IF(MID(DcI!T27,2,1)="•",CONCATENATE("0",LEFT(DcI!T27,1)),LEFT(DcI!T27,2)))))</f>
        <v>X</v>
      </c>
      <c r="BT27" s="28" t="str">
        <f t="shared" ca="1" si="7"/>
        <v>13</v>
      </c>
      <c r="BU27" s="28" t="str">
        <f t="shared" ca="1" si="7"/>
        <v>12</v>
      </c>
      <c r="BV27" s="28" t="str">
        <f t="shared" ca="1" si="13"/>
        <v>09</v>
      </c>
      <c r="BW27" s="28" t="str">
        <f t="shared" ca="1" si="13"/>
        <v>05</v>
      </c>
      <c r="BX27" s="28" t="str">
        <f t="shared" ca="1" si="13"/>
        <v>07</v>
      </c>
      <c r="BY27" s="28" t="str">
        <f t="shared" ca="1" si="13"/>
        <v>04</v>
      </c>
      <c r="BZ27" s="28" t="str">
        <f t="shared" ca="1" si="13"/>
        <v>02</v>
      </c>
      <c r="CA27" s="28" t="str">
        <f t="shared" ca="1" si="13"/>
        <v/>
      </c>
      <c r="CB27" s="28" t="str">
        <f t="shared" ca="1" si="13"/>
        <v/>
      </c>
      <c r="CC27" s="28" t="str">
        <f t="shared" ca="1" si="13"/>
        <v/>
      </c>
      <c r="CD27" s="28" t="str">
        <f t="shared" ca="1" si="13"/>
        <v/>
      </c>
      <c r="CE27" s="28" t="str">
        <f t="shared" ca="1" si="13"/>
        <v/>
      </c>
      <c r="CF27" s="28" t="str">
        <f t="shared" ca="1" si="13"/>
        <v/>
      </c>
      <c r="CG27" s="28" t="str">
        <f t="shared" ca="1" si="13"/>
        <v/>
      </c>
      <c r="CH27" s="28" t="str">
        <f t="shared" ca="1" si="13"/>
        <v/>
      </c>
      <c r="CI27" s="28" t="str">
        <f t="shared" ca="1" si="13"/>
        <v/>
      </c>
      <c r="CJ27" s="28" t="str">
        <f t="shared" ca="1" si="13"/>
        <v/>
      </c>
      <c r="CK27" s="28" t="str">
        <f t="shared" ca="1" si="13"/>
        <v/>
      </c>
      <c r="CL27" s="28" t="str">
        <f t="shared" ca="1" si="11"/>
        <v/>
      </c>
      <c r="CM27" s="28" t="str">
        <f t="shared" ca="1" si="11"/>
        <v/>
      </c>
      <c r="CN27" s="28" t="str">
        <f t="shared" ca="1" si="11"/>
        <v/>
      </c>
      <c r="CO27" s="28" t="str">
        <f t="shared" ca="1" si="12"/>
        <v/>
      </c>
      <c r="CP27" s="28" t="str">
        <f t="shared" ca="1" si="12"/>
        <v/>
      </c>
      <c r="CQ27" s="28" t="str">
        <f t="shared" ca="1" si="12"/>
        <v/>
      </c>
      <c r="CR27" s="28" t="str">
        <f t="shared" ca="1" si="12"/>
        <v/>
      </c>
      <c r="CS27" s="28" t="str">
        <f t="shared" ca="1" si="12"/>
        <v/>
      </c>
      <c r="CT27" s="28" t="str">
        <f t="shared" ca="1" si="12"/>
        <v/>
      </c>
      <c r="CU27" s="28" t="str">
        <f t="shared" ca="1" si="12"/>
        <v/>
      </c>
      <c r="CV27" s="346" t="str">
        <f t="shared" ca="1" si="12"/>
        <v/>
      </c>
    </row>
    <row r="28" spans="2:100" ht="15">
      <c r="B28" s="63" t="str">
        <v>BT</v>
      </c>
      <c r="C28" s="16" t="str">
        <f t="shared" si="8"/>
        <v>BT11:BT56</v>
      </c>
      <c r="D28" s="342" t="str">
        <f t="shared" ca="1" si="9"/>
        <v>Tm18</v>
      </c>
      <c r="E28" s="349" t="str">
        <f t="shared" ca="1" si="10"/>
        <v>Tm23</v>
      </c>
      <c r="F28" s="349" t="str">
        <f t="shared" ca="1" si="15"/>
        <v>ng</v>
      </c>
      <c r="G28" s="349" t="str">
        <f t="shared" ca="1" si="15"/>
        <v>ng</v>
      </c>
      <c r="H28" s="349" t="str">
        <f t="shared" ca="1" si="15"/>
        <v>Tm22</v>
      </c>
      <c r="I28" s="349" t="str">
        <f t="shared" ca="1" si="15"/>
        <v>Tm24</v>
      </c>
      <c r="J28" s="349" t="str">
        <f t="shared" ca="1" si="15"/>
        <v>ng</v>
      </c>
      <c r="K28" s="349" t="str">
        <f t="shared" ca="1" si="15"/>
        <v>ng</v>
      </c>
      <c r="L28" s="349" t="str">
        <f t="shared" ca="1" si="15"/>
        <v>Tm21</v>
      </c>
      <c r="M28" s="349" t="str">
        <f t="shared" ca="1" si="15"/>
        <v>Tm19</v>
      </c>
      <c r="N28" s="349" t="str">
        <f t="shared" ca="1" si="15"/>
        <v>ng</v>
      </c>
      <c r="O28" s="349" t="str">
        <f t="shared" ca="1" si="15"/>
        <v>ng</v>
      </c>
      <c r="P28" s="349" t="str">
        <f t="shared" ca="1" si="15"/>
        <v>Tm20</v>
      </c>
      <c r="Q28" s="349" t="str">
        <f t="shared" ca="1" si="15"/>
        <v>Tm17</v>
      </c>
      <c r="R28" s="349" t="str">
        <f t="shared" ca="1" si="15"/>
        <v>ng</v>
      </c>
      <c r="S28" s="349" t="str">
        <f t="shared" ca="1" si="15"/>
        <v>ng</v>
      </c>
      <c r="T28" s="349" t="str">
        <f t="shared" ca="1" si="15"/>
        <v>ng</v>
      </c>
      <c r="U28" s="349" t="str">
        <f t="shared" ca="1" si="15"/>
        <v>ng</v>
      </c>
      <c r="V28" s="349" t="str">
        <f t="shared" ca="1" si="15"/>
        <v>ng</v>
      </c>
      <c r="W28" s="349" t="str">
        <f t="shared" ca="1" si="15"/>
        <v>ng</v>
      </c>
      <c r="X28" s="349" t="str">
        <f t="shared" ca="1" si="15"/>
        <v>ng</v>
      </c>
      <c r="Y28" s="349" t="str">
        <f t="shared" ca="1" si="15"/>
        <v>ng</v>
      </c>
      <c r="Z28" s="349" t="str">
        <f t="shared" ca="1" si="15"/>
        <v>ng</v>
      </c>
      <c r="AA28" s="349" t="str">
        <f t="shared" ca="1" si="15"/>
        <v>ng</v>
      </c>
      <c r="AB28" s="349" t="str">
        <f t="shared" ca="1" si="15"/>
        <v>ng</v>
      </c>
      <c r="AC28" s="349" t="str">
        <f t="shared" ca="1" si="15"/>
        <v>ng</v>
      </c>
      <c r="AD28" s="349" t="str">
        <f t="shared" ca="1" si="15"/>
        <v>ng</v>
      </c>
      <c r="AE28" s="349" t="str">
        <f t="shared" ca="1" si="15"/>
        <v>ng</v>
      </c>
      <c r="AF28" s="349" t="str">
        <f t="shared" ca="1" si="15"/>
        <v>ng</v>
      </c>
      <c r="AG28" s="349" t="str">
        <f t="shared" ca="1" si="15"/>
        <v>ng</v>
      </c>
      <c r="AH28" s="349" t="str">
        <f t="shared" ca="1" si="15"/>
        <v>ng</v>
      </c>
      <c r="AI28" s="349" t="str">
        <f t="shared" ca="1" si="15"/>
        <v>ng</v>
      </c>
      <c r="AJ28" s="349" t="str">
        <f t="shared" ca="1" si="15"/>
        <v>ng</v>
      </c>
      <c r="AK28" s="349" t="str">
        <f t="shared" ca="1" si="15"/>
        <v>ng</v>
      </c>
      <c r="AL28" s="349" t="str">
        <f t="shared" ca="1" si="16"/>
        <v>ng</v>
      </c>
      <c r="AM28" s="349" t="str">
        <f t="shared" ca="1" si="16"/>
        <v>ng</v>
      </c>
      <c r="AN28" s="349" t="str">
        <f t="shared" ca="1" si="16"/>
        <v>ng</v>
      </c>
      <c r="AO28" s="349" t="str">
        <f t="shared" ca="1" si="16"/>
        <v>ng</v>
      </c>
      <c r="AP28" s="349" t="str">
        <f t="shared" ca="1" si="16"/>
        <v>ng</v>
      </c>
      <c r="AQ28" s="349" t="str">
        <f t="shared" ca="1" si="16"/>
        <v>ng</v>
      </c>
      <c r="AR28" s="350" t="str">
        <f t="shared" ca="1" si="16"/>
        <v>ng</v>
      </c>
      <c r="BA28" s="16" t="str">
        <v>BT</v>
      </c>
      <c r="BB28" s="342" t="str">
        <f ca="1">DcI!C28</f>
        <v>Tm18</v>
      </c>
      <c r="BC28" s="28" t="str">
        <f ca="1">IF(DcI!D28="X","X",IF(LEN(DcI!D28)=3,CONCATENATE("0",LEFT(DcI!D28,1)),IF(LEN(DcI!D28)=5,LEFT(DcI!D28,2),IF(MID(DcI!D28,2,1)="•",CONCATENATE("0",LEFT(DcI!D28,1)),LEFT(DcI!D28,2)))))</f>
        <v/>
      </c>
      <c r="BD28" s="28" t="str">
        <f ca="1">IF(DcI!E28="X","X",IF(LEN(DcI!E28)=3,CONCATENATE("0",LEFT(DcI!E28,1)),IF(LEN(DcI!E28)=5,LEFT(DcI!E28,2),IF(MID(DcI!E28,2,1)="•",CONCATENATE("0",LEFT(DcI!E28,1)),LEFT(DcI!E28,2)))))</f>
        <v/>
      </c>
      <c r="BE28" s="28" t="str">
        <f ca="1">IF(DcI!F28="X","X",IF(LEN(DcI!F28)=3,CONCATENATE("0",LEFT(DcI!F28,1)),IF(LEN(DcI!F28)=5,LEFT(DcI!F28,2),IF(MID(DcI!F28,2,1)="•",CONCATENATE("0",LEFT(DcI!F28,1)),LEFT(DcI!F28,2)))))</f>
        <v/>
      </c>
      <c r="BF28" s="28" t="str">
        <f ca="1">IF(DcI!G28="X","X",IF(LEN(DcI!G28)=3,CONCATENATE("0",LEFT(DcI!G28,1)),IF(LEN(DcI!G28)=5,LEFT(DcI!G28,2),IF(MID(DcI!G28,2,1)="•",CONCATENATE("0",LEFT(DcI!G28,1)),LEFT(DcI!G28,2)))))</f>
        <v/>
      </c>
      <c r="BG28" s="28" t="str">
        <f ca="1">IF(DcI!H28="X","X",IF(LEN(DcI!H28)=3,CONCATENATE("0",LEFT(DcI!H28,1)),IF(LEN(DcI!H28)=5,LEFT(DcI!H28,2),IF(MID(DcI!H28,2,1)="•",CONCATENATE("0",LEFT(DcI!H28,1)),LEFT(DcI!H28,2)))))</f>
        <v/>
      </c>
      <c r="BH28" s="28" t="str">
        <f ca="1">IF(DcI!I28="X","X",IF(LEN(DcI!I28)=3,CONCATENATE("0",LEFT(DcI!I28,1)),IF(LEN(DcI!I28)=5,LEFT(DcI!I28,2),IF(MID(DcI!I28,2,1)="•",CONCATENATE("0",LEFT(DcI!I28,1)),LEFT(DcI!I28,2)))))</f>
        <v/>
      </c>
      <c r="BI28" s="28" t="str">
        <f ca="1">IF(DcI!J28="X","X",IF(LEN(DcI!J28)=3,CONCATENATE("0",LEFT(DcI!J28,1)),IF(LEN(DcI!J28)=5,LEFT(DcI!J28,2),IF(MID(DcI!J28,2,1)="•",CONCATENATE("0",LEFT(DcI!J28,1)),LEFT(DcI!J28,2)))))</f>
        <v/>
      </c>
      <c r="BJ28" s="28" t="str">
        <f ca="1">IF(DcI!K28="X","X",IF(LEN(DcI!K28)=3,CONCATENATE("0",LEFT(DcI!K28,1)),IF(LEN(DcI!K28)=5,LEFT(DcI!K28,2),IF(MID(DcI!K28,2,1)="•",CONCATENATE("0",LEFT(DcI!K28,1)),LEFT(DcI!K28,2)))))</f>
        <v/>
      </c>
      <c r="BK28" s="28" t="str">
        <f ca="1">IF(DcI!L28="X","X",IF(LEN(DcI!L28)=3,CONCATENATE("0",LEFT(DcI!L28,1)),IF(LEN(DcI!L28)=5,LEFT(DcI!L28,2),IF(MID(DcI!L28,2,1)="•",CONCATENATE("0",LEFT(DcI!L28,1)),LEFT(DcI!L28,2)))))</f>
        <v/>
      </c>
      <c r="BL28" s="28" t="str">
        <f ca="1">IF(DcI!M28="X","X",IF(LEN(DcI!M28)=3,CONCATENATE("0",LEFT(DcI!M28,1)),IF(LEN(DcI!M28)=5,LEFT(DcI!M28,2),IF(MID(DcI!M28,2,1)="•",CONCATENATE("0",LEFT(DcI!M28,1)),LEFT(DcI!M28,2)))))</f>
        <v/>
      </c>
      <c r="BM28" s="28" t="str">
        <f ca="1">IF(DcI!N28="X","X",IF(LEN(DcI!N28)=3,CONCATENATE("0",LEFT(DcI!N28,1)),IF(LEN(DcI!N28)=5,LEFT(DcI!N28,2),IF(MID(DcI!N28,2,1)="•",CONCATENATE("0",LEFT(DcI!N28,1)),LEFT(DcI!N28,2)))))</f>
        <v/>
      </c>
      <c r="BN28" s="28" t="str">
        <f ca="1">IF(DcI!O28="X","X",IF(LEN(DcI!O28)=3,CONCATENATE("0",LEFT(DcI!O28,1)),IF(LEN(DcI!O28)=5,LEFT(DcI!O28,2),IF(MID(DcI!O28,2,1)="•",CONCATENATE("0",LEFT(DcI!O28,1)),LEFT(DcI!O28,2)))))</f>
        <v/>
      </c>
      <c r="BO28" s="28" t="str">
        <f ca="1">IF(DcI!P28="X","X",IF(LEN(DcI!P28)=3,CONCATENATE("0",LEFT(DcI!P28,1)),IF(LEN(DcI!P28)=5,LEFT(DcI!P28,2),IF(MID(DcI!P28,2,1)="•",CONCATENATE("0",LEFT(DcI!P28,1)),LEFT(DcI!P28,2)))))</f>
        <v/>
      </c>
      <c r="BP28" s="28" t="str">
        <f ca="1">IF(DcI!Q28="X","X",IF(LEN(DcI!Q28)=3,CONCATENATE("0",LEFT(DcI!Q28,1)),IF(LEN(DcI!Q28)=5,LEFT(DcI!Q28,2),IF(MID(DcI!Q28,2,1)="•",CONCATENATE("0",LEFT(DcI!Q28,1)),LEFT(DcI!Q28,2)))))</f>
        <v/>
      </c>
      <c r="BQ28" s="28" t="str">
        <f ca="1">IF(DcI!R28="X","X",IF(LEN(DcI!R28)=3,CONCATENATE("0",LEFT(DcI!R28,1)),IF(LEN(DcI!R28)=5,LEFT(DcI!R28,2),IF(MID(DcI!R28,2,1)="•",CONCATENATE("0",LEFT(DcI!R28,1)),LEFT(DcI!R28,2)))))</f>
        <v/>
      </c>
      <c r="BR28" s="28" t="str">
        <f ca="1">IF(DcI!S28="X","X",IF(LEN(DcI!S28)=3,CONCATENATE("0",LEFT(DcI!S28,1)),IF(LEN(DcI!S28)=5,LEFT(DcI!S28,2),IF(MID(DcI!S28,2,1)="•",CONCATENATE("0",LEFT(DcI!S28,1)),LEFT(DcI!S28,2)))))</f>
        <v/>
      </c>
      <c r="BS28" s="28" t="str">
        <f ca="1">IF(DcI!T28="X","X",IF(LEN(DcI!T28)=3,CONCATENATE("0",LEFT(DcI!T28,1)),IF(LEN(DcI!T28)=5,LEFT(DcI!T28,2),IF(MID(DcI!T28,2,1)="•",CONCATENATE("0",LEFT(DcI!T28,1)),LEFT(DcI!T28,2)))))</f>
        <v>13</v>
      </c>
      <c r="BT28" s="347" t="str">
        <f ca="1">IF(DcI!U28="X","X",IF(LEN(DcI!U28)=3,CONCATENATE("0",LEFT(DcI!U28,1)),IF(LEN(DcI!U28)=5,LEFT(DcI!U28,2),IF(MID(DcI!U28,2,1)="•",CONCATENATE("0",LEFT(DcI!U28,1)),LEFT(DcI!U28,2)))))</f>
        <v>X</v>
      </c>
      <c r="BU28" s="28" t="str">
        <f t="shared" ca="1" si="7"/>
        <v>09</v>
      </c>
      <c r="BV28" s="28" t="str">
        <f t="shared" ca="1" si="13"/>
        <v>12</v>
      </c>
      <c r="BW28" s="28" t="str">
        <f t="shared" ca="1" si="13"/>
        <v>08</v>
      </c>
      <c r="BX28" s="28" t="str">
        <f t="shared" ca="1" si="13"/>
        <v>04</v>
      </c>
      <c r="BY28" s="28" t="str">
        <f t="shared" ca="1" si="13"/>
        <v>01</v>
      </c>
      <c r="BZ28" s="28" t="str">
        <f t="shared" ca="1" si="13"/>
        <v>05</v>
      </c>
      <c r="CA28" s="28" t="str">
        <f t="shared" ca="1" si="13"/>
        <v/>
      </c>
      <c r="CB28" s="28" t="str">
        <f t="shared" ca="1" si="13"/>
        <v/>
      </c>
      <c r="CC28" s="28" t="str">
        <f t="shared" ca="1" si="13"/>
        <v/>
      </c>
      <c r="CD28" s="28" t="str">
        <f t="shared" ca="1" si="13"/>
        <v/>
      </c>
      <c r="CE28" s="28" t="str">
        <f t="shared" ca="1" si="13"/>
        <v/>
      </c>
      <c r="CF28" s="28" t="str">
        <f t="shared" ca="1" si="13"/>
        <v/>
      </c>
      <c r="CG28" s="28" t="str">
        <f t="shared" ca="1" si="13"/>
        <v/>
      </c>
      <c r="CH28" s="28" t="str">
        <f t="shared" ca="1" si="13"/>
        <v/>
      </c>
      <c r="CI28" s="28" t="str">
        <f t="shared" ca="1" si="13"/>
        <v/>
      </c>
      <c r="CJ28" s="28" t="str">
        <f t="shared" ca="1" si="13"/>
        <v/>
      </c>
      <c r="CK28" s="28" t="str">
        <f t="shared" ref="CK28:CN28" ca="1" si="17">INDIRECT(CONCATENATE($BA28,CK$5))</f>
        <v/>
      </c>
      <c r="CL28" s="28" t="str">
        <f t="shared" ca="1" si="17"/>
        <v/>
      </c>
      <c r="CM28" s="28" t="str">
        <f t="shared" ca="1" si="17"/>
        <v/>
      </c>
      <c r="CN28" s="28" t="str">
        <f t="shared" ca="1" si="17"/>
        <v/>
      </c>
      <c r="CO28" s="28" t="str">
        <f t="shared" ca="1" si="12"/>
        <v/>
      </c>
      <c r="CP28" s="28" t="str">
        <f t="shared" ca="1" si="12"/>
        <v/>
      </c>
      <c r="CQ28" s="28" t="str">
        <f t="shared" ca="1" si="12"/>
        <v/>
      </c>
      <c r="CR28" s="28" t="str">
        <f t="shared" ca="1" si="12"/>
        <v/>
      </c>
      <c r="CS28" s="28" t="str">
        <f t="shared" ca="1" si="12"/>
        <v/>
      </c>
      <c r="CT28" s="28" t="str">
        <f t="shared" ca="1" si="12"/>
        <v/>
      </c>
      <c r="CU28" s="28" t="str">
        <f t="shared" ca="1" si="12"/>
        <v/>
      </c>
      <c r="CV28" s="346" t="str">
        <f t="shared" ca="1" si="12"/>
        <v/>
      </c>
    </row>
    <row r="29" spans="2:100" ht="15">
      <c r="B29" s="63" t="str">
        <v>BU</v>
      </c>
      <c r="C29" s="16" t="str">
        <f t="shared" si="8"/>
        <v>BU11:BU56</v>
      </c>
      <c r="D29" s="342" t="str">
        <f t="shared" ca="1" si="9"/>
        <v>Tm19</v>
      </c>
      <c r="E29" s="349" t="str">
        <f t="shared" ca="1" si="10"/>
        <v>Tm22</v>
      </c>
      <c r="F29" s="349" t="str">
        <f t="shared" ca="1" si="15"/>
        <v>ng</v>
      </c>
      <c r="G29" s="349" t="str">
        <f t="shared" ca="1" si="15"/>
        <v>Tm21</v>
      </c>
      <c r="H29" s="349" t="str">
        <f t="shared" ca="1" si="15"/>
        <v>ng</v>
      </c>
      <c r="I29" s="349" t="str">
        <f t="shared" ca="1" si="15"/>
        <v>ng</v>
      </c>
      <c r="J29" s="349" t="str">
        <f t="shared" ca="1" si="15"/>
        <v>Tm23</v>
      </c>
      <c r="K29" s="349" t="str">
        <f t="shared" ca="1" si="15"/>
        <v>ng</v>
      </c>
      <c r="L29" s="349" t="str">
        <f t="shared" ca="1" si="15"/>
        <v>Tm24</v>
      </c>
      <c r="M29" s="349" t="str">
        <f t="shared" ca="1" si="15"/>
        <v>Tm18</v>
      </c>
      <c r="N29" s="349" t="str">
        <f t="shared" ca="1" si="15"/>
        <v>ng</v>
      </c>
      <c r="O29" s="349" t="str">
        <f t="shared" ca="1" si="15"/>
        <v>ng</v>
      </c>
      <c r="P29" s="349" t="str">
        <f t="shared" ca="1" si="15"/>
        <v>Tm17</v>
      </c>
      <c r="Q29" s="349" t="str">
        <f t="shared" ca="1" si="15"/>
        <v>Tm20</v>
      </c>
      <c r="R29" s="349" t="str">
        <f t="shared" ca="1" si="15"/>
        <v>ng</v>
      </c>
      <c r="S29" s="349" t="str">
        <f t="shared" ca="1" si="15"/>
        <v>ng</v>
      </c>
      <c r="T29" s="349" t="str">
        <f t="shared" ca="1" si="15"/>
        <v>ng</v>
      </c>
      <c r="U29" s="349" t="str">
        <f t="shared" ca="1" si="15"/>
        <v>ng</v>
      </c>
      <c r="V29" s="349" t="str">
        <f t="shared" ca="1" si="15"/>
        <v>ng</v>
      </c>
      <c r="W29" s="349" t="str">
        <f t="shared" ca="1" si="15"/>
        <v>ng</v>
      </c>
      <c r="X29" s="349" t="str">
        <f t="shared" ca="1" si="15"/>
        <v>ng</v>
      </c>
      <c r="Y29" s="349" t="str">
        <f t="shared" ca="1" si="15"/>
        <v>ng</v>
      </c>
      <c r="Z29" s="349" t="str">
        <f t="shared" ca="1" si="15"/>
        <v>ng</v>
      </c>
      <c r="AA29" s="349" t="str">
        <f t="shared" ca="1" si="15"/>
        <v>ng</v>
      </c>
      <c r="AB29" s="349" t="str">
        <f t="shared" ca="1" si="15"/>
        <v>ng</v>
      </c>
      <c r="AC29" s="349" t="str">
        <f t="shared" ca="1" si="15"/>
        <v>ng</v>
      </c>
      <c r="AD29" s="349" t="str">
        <f t="shared" ca="1" si="15"/>
        <v>ng</v>
      </c>
      <c r="AE29" s="349" t="str">
        <f t="shared" ca="1" si="15"/>
        <v>ng</v>
      </c>
      <c r="AF29" s="349" t="str">
        <f t="shared" ca="1" si="15"/>
        <v>ng</v>
      </c>
      <c r="AG29" s="349" t="str">
        <f t="shared" ca="1" si="15"/>
        <v>ng</v>
      </c>
      <c r="AH29" s="349" t="str">
        <f t="shared" ca="1" si="15"/>
        <v>ng</v>
      </c>
      <c r="AI29" s="349" t="str">
        <f t="shared" ca="1" si="15"/>
        <v>ng</v>
      </c>
      <c r="AJ29" s="349" t="str">
        <f t="shared" ca="1" si="15"/>
        <v>ng</v>
      </c>
      <c r="AK29" s="349" t="str">
        <f t="shared" ca="1" si="15"/>
        <v>ng</v>
      </c>
      <c r="AL29" s="349" t="str">
        <f t="shared" ca="1" si="16"/>
        <v>ng</v>
      </c>
      <c r="AM29" s="349" t="str">
        <f t="shared" ca="1" si="16"/>
        <v>ng</v>
      </c>
      <c r="AN29" s="349" t="str">
        <f t="shared" ca="1" si="16"/>
        <v>ng</v>
      </c>
      <c r="AO29" s="349" t="str">
        <f t="shared" ca="1" si="16"/>
        <v>ng</v>
      </c>
      <c r="AP29" s="349" t="str">
        <f t="shared" ca="1" si="16"/>
        <v>ng</v>
      </c>
      <c r="AQ29" s="349" t="str">
        <f t="shared" ca="1" si="16"/>
        <v>ng</v>
      </c>
      <c r="AR29" s="350" t="str">
        <f t="shared" ca="1" si="16"/>
        <v>ng</v>
      </c>
      <c r="BA29" s="16" t="str">
        <v>BU</v>
      </c>
      <c r="BB29" s="342" t="str">
        <f ca="1">DcI!C29</f>
        <v>Tm19</v>
      </c>
      <c r="BC29" s="28" t="str">
        <f ca="1">IF(DcI!D29="X","X",IF(LEN(DcI!D29)=3,CONCATENATE("0",LEFT(DcI!D29,1)),IF(LEN(DcI!D29)=5,LEFT(DcI!D29,2),IF(MID(DcI!D29,2,1)="•",CONCATENATE("0",LEFT(DcI!D29,1)),LEFT(DcI!D29,2)))))</f>
        <v/>
      </c>
      <c r="BD29" s="28" t="str">
        <f ca="1">IF(DcI!E29="X","X",IF(LEN(DcI!E29)=3,CONCATENATE("0",LEFT(DcI!E29,1)),IF(LEN(DcI!E29)=5,LEFT(DcI!E29,2),IF(MID(DcI!E29,2,1)="•",CONCATENATE("0",LEFT(DcI!E29,1)),LEFT(DcI!E29,2)))))</f>
        <v/>
      </c>
      <c r="BE29" s="28" t="str">
        <f ca="1">IF(DcI!F29="X","X",IF(LEN(DcI!F29)=3,CONCATENATE("0",LEFT(DcI!F29,1)),IF(LEN(DcI!F29)=5,LEFT(DcI!F29,2),IF(MID(DcI!F29,2,1)="•",CONCATENATE("0",LEFT(DcI!F29,1)),LEFT(DcI!F29,2)))))</f>
        <v/>
      </c>
      <c r="BF29" s="28" t="str">
        <f ca="1">IF(DcI!G29="X","X",IF(LEN(DcI!G29)=3,CONCATENATE("0",LEFT(DcI!G29,1)),IF(LEN(DcI!G29)=5,LEFT(DcI!G29,2),IF(MID(DcI!G29,2,1)="•",CONCATENATE("0",LEFT(DcI!G29,1)),LEFT(DcI!G29,2)))))</f>
        <v/>
      </c>
      <c r="BG29" s="28" t="str">
        <f ca="1">IF(DcI!H29="X","X",IF(LEN(DcI!H29)=3,CONCATENATE("0",LEFT(DcI!H29,1)),IF(LEN(DcI!H29)=5,LEFT(DcI!H29,2),IF(MID(DcI!H29,2,1)="•",CONCATENATE("0",LEFT(DcI!H29,1)),LEFT(DcI!H29,2)))))</f>
        <v/>
      </c>
      <c r="BH29" s="28" t="str">
        <f ca="1">IF(DcI!I29="X","X",IF(LEN(DcI!I29)=3,CONCATENATE("0",LEFT(DcI!I29,1)),IF(LEN(DcI!I29)=5,LEFT(DcI!I29,2),IF(MID(DcI!I29,2,1)="•",CONCATENATE("0",LEFT(DcI!I29,1)),LEFT(DcI!I29,2)))))</f>
        <v/>
      </c>
      <c r="BI29" s="28" t="str">
        <f ca="1">IF(DcI!J29="X","X",IF(LEN(DcI!J29)=3,CONCATENATE("0",LEFT(DcI!J29,1)),IF(LEN(DcI!J29)=5,LEFT(DcI!J29,2),IF(MID(DcI!J29,2,1)="•",CONCATENATE("0",LEFT(DcI!J29,1)),LEFT(DcI!J29,2)))))</f>
        <v/>
      </c>
      <c r="BJ29" s="28" t="str">
        <f ca="1">IF(DcI!K29="X","X",IF(LEN(DcI!K29)=3,CONCATENATE("0",LEFT(DcI!K29,1)),IF(LEN(DcI!K29)=5,LEFT(DcI!K29,2),IF(MID(DcI!K29,2,1)="•",CONCATENATE("0",LEFT(DcI!K29,1)),LEFT(DcI!K29,2)))))</f>
        <v/>
      </c>
      <c r="BK29" s="28" t="str">
        <f ca="1">IF(DcI!L29="X","X",IF(LEN(DcI!L29)=3,CONCATENATE("0",LEFT(DcI!L29,1)),IF(LEN(DcI!L29)=5,LEFT(DcI!L29,2),IF(MID(DcI!L29,2,1)="•",CONCATENATE("0",LEFT(DcI!L29,1)),LEFT(DcI!L29,2)))))</f>
        <v/>
      </c>
      <c r="BL29" s="28" t="str">
        <f ca="1">IF(DcI!M29="X","X",IF(LEN(DcI!M29)=3,CONCATENATE("0",LEFT(DcI!M29,1)),IF(LEN(DcI!M29)=5,LEFT(DcI!M29,2),IF(MID(DcI!M29,2,1)="•",CONCATENATE("0",LEFT(DcI!M29,1)),LEFT(DcI!M29,2)))))</f>
        <v/>
      </c>
      <c r="BM29" s="28" t="str">
        <f ca="1">IF(DcI!N29="X","X",IF(LEN(DcI!N29)=3,CONCATENATE("0",LEFT(DcI!N29,1)),IF(LEN(DcI!N29)=5,LEFT(DcI!N29,2),IF(MID(DcI!N29,2,1)="•",CONCATENATE("0",LEFT(DcI!N29,1)),LEFT(DcI!N29,2)))))</f>
        <v/>
      </c>
      <c r="BN29" s="28" t="str">
        <f ca="1">IF(DcI!O29="X","X",IF(LEN(DcI!O29)=3,CONCATENATE("0",LEFT(DcI!O29,1)),IF(LEN(DcI!O29)=5,LEFT(DcI!O29,2),IF(MID(DcI!O29,2,1)="•",CONCATENATE("0",LEFT(DcI!O29,1)),LEFT(DcI!O29,2)))))</f>
        <v/>
      </c>
      <c r="BO29" s="28" t="str">
        <f ca="1">IF(DcI!P29="X","X",IF(LEN(DcI!P29)=3,CONCATENATE("0",LEFT(DcI!P29,1)),IF(LEN(DcI!P29)=5,LEFT(DcI!P29,2),IF(MID(DcI!P29,2,1)="•",CONCATENATE("0",LEFT(DcI!P29,1)),LEFT(DcI!P29,2)))))</f>
        <v/>
      </c>
      <c r="BP29" s="28" t="str">
        <f ca="1">IF(DcI!Q29="X","X",IF(LEN(DcI!Q29)=3,CONCATENATE("0",LEFT(DcI!Q29,1)),IF(LEN(DcI!Q29)=5,LEFT(DcI!Q29,2),IF(MID(DcI!Q29,2,1)="•",CONCATENATE("0",LEFT(DcI!Q29,1)),LEFT(DcI!Q29,2)))))</f>
        <v/>
      </c>
      <c r="BQ29" s="28" t="str">
        <f ca="1">IF(DcI!R29="X","X",IF(LEN(DcI!R29)=3,CONCATENATE("0",LEFT(DcI!R29,1)),IF(LEN(DcI!R29)=5,LEFT(DcI!R29,2),IF(MID(DcI!R29,2,1)="•",CONCATENATE("0",LEFT(DcI!R29,1)),LEFT(DcI!R29,2)))))</f>
        <v/>
      </c>
      <c r="BR29" s="28" t="str">
        <f ca="1">IF(DcI!S29="X","X",IF(LEN(DcI!S29)=3,CONCATENATE("0",LEFT(DcI!S29,1)),IF(LEN(DcI!S29)=5,LEFT(DcI!S29,2),IF(MID(DcI!S29,2,1)="•",CONCATENATE("0",LEFT(DcI!S29,1)),LEFT(DcI!S29,2)))))</f>
        <v/>
      </c>
      <c r="BS29" s="28" t="str">
        <f ca="1">IF(DcI!T29="X","X",IF(LEN(DcI!T29)=3,CONCATENATE("0",LEFT(DcI!T29,1)),IF(LEN(DcI!T29)=5,LEFT(DcI!T29,2),IF(MID(DcI!T29,2,1)="•",CONCATENATE("0",LEFT(DcI!T29,1)),LEFT(DcI!T29,2)))))</f>
        <v>12</v>
      </c>
      <c r="BT29" s="28" t="str">
        <f ca="1">IF(DcI!U29="X","X",IF(LEN(DcI!U29)=3,CONCATENATE("0",LEFT(DcI!U29,1)),IF(LEN(DcI!U29)=5,LEFT(DcI!U29,2),IF(MID(DcI!U29,2,1)="•",CONCATENATE("0",LEFT(DcI!U29,1)),LEFT(DcI!U29,2)))))</f>
        <v>09</v>
      </c>
      <c r="BU29" s="347" t="str">
        <f ca="1">IF(DcI!V29="X","X",IF(LEN(DcI!V29)=3,CONCATENATE("0",LEFT(DcI!V29,1)),IF(LEN(DcI!V29)=5,LEFT(DcI!V29,2),IF(MID(DcI!V29,2,1)="•",CONCATENATE("0",LEFT(DcI!V29,1)),LEFT(DcI!V29,2)))))</f>
        <v>X</v>
      </c>
      <c r="BV29" s="28" t="str">
        <f t="shared" ref="BV29" ca="1" si="18">INDIRECT(CONCATENATE($BA29,BV$5))</f>
        <v>13</v>
      </c>
      <c r="BW29" s="28" t="str">
        <f t="shared" ref="BW29:CV45" ca="1" si="19">INDIRECT(CONCATENATE($BA29,BW$5))</f>
        <v>03</v>
      </c>
      <c r="BX29" s="28" t="str">
        <f t="shared" ca="1" si="19"/>
        <v>01</v>
      </c>
      <c r="BY29" s="28" t="str">
        <f t="shared" ca="1" si="19"/>
        <v>06</v>
      </c>
      <c r="BZ29" s="28" t="str">
        <f t="shared" ca="1" si="19"/>
        <v>08</v>
      </c>
      <c r="CA29" s="28" t="str">
        <f t="shared" ca="1" si="19"/>
        <v/>
      </c>
      <c r="CB29" s="28" t="str">
        <f t="shared" ca="1" si="19"/>
        <v/>
      </c>
      <c r="CC29" s="28" t="str">
        <f t="shared" ca="1" si="19"/>
        <v/>
      </c>
      <c r="CD29" s="28" t="str">
        <f t="shared" ca="1" si="19"/>
        <v/>
      </c>
      <c r="CE29" s="28" t="str">
        <f t="shared" ca="1" si="19"/>
        <v/>
      </c>
      <c r="CF29" s="28" t="str">
        <f t="shared" ca="1" si="19"/>
        <v/>
      </c>
      <c r="CG29" s="28" t="str">
        <f t="shared" ca="1" si="19"/>
        <v/>
      </c>
      <c r="CH29" s="28" t="str">
        <f t="shared" ca="1" si="19"/>
        <v/>
      </c>
      <c r="CI29" s="28" t="str">
        <f t="shared" ca="1" si="19"/>
        <v/>
      </c>
      <c r="CJ29" s="28" t="str">
        <f t="shared" ca="1" si="19"/>
        <v/>
      </c>
      <c r="CK29" s="28" t="str">
        <f t="shared" ca="1" si="19"/>
        <v/>
      </c>
      <c r="CL29" s="28" t="str">
        <f t="shared" ca="1" si="19"/>
        <v/>
      </c>
      <c r="CM29" s="28" t="str">
        <f t="shared" ca="1" si="19"/>
        <v/>
      </c>
      <c r="CN29" s="28" t="str">
        <f t="shared" ca="1" si="19"/>
        <v/>
      </c>
      <c r="CO29" s="28" t="str">
        <f t="shared" ca="1" si="12"/>
        <v/>
      </c>
      <c r="CP29" s="28" t="str">
        <f t="shared" ca="1" si="12"/>
        <v/>
      </c>
      <c r="CQ29" s="28" t="str">
        <f t="shared" ca="1" si="12"/>
        <v/>
      </c>
      <c r="CR29" s="28" t="str">
        <f t="shared" ca="1" si="12"/>
        <v/>
      </c>
      <c r="CS29" s="28" t="str">
        <f t="shared" ca="1" si="12"/>
        <v/>
      </c>
      <c r="CT29" s="28" t="str">
        <f t="shared" ca="1" si="12"/>
        <v/>
      </c>
      <c r="CU29" s="28" t="str">
        <f t="shared" ca="1" si="12"/>
        <v/>
      </c>
      <c r="CV29" s="346" t="str">
        <f t="shared" ca="1" si="12"/>
        <v/>
      </c>
    </row>
    <row r="30" spans="2:100" ht="15">
      <c r="B30" s="63" t="str">
        <v>BV</v>
      </c>
      <c r="C30" s="16" t="str">
        <f t="shared" si="8"/>
        <v>BV11:BV56</v>
      </c>
      <c r="D30" s="342" t="str">
        <f t="shared" ca="1" si="9"/>
        <v>Tm20</v>
      </c>
      <c r="E30" s="349" t="str">
        <f t="shared" ca="1" si="10"/>
        <v>ng</v>
      </c>
      <c r="F30" s="349" t="str">
        <f t="shared" ca="1" si="15"/>
        <v>Tm21</v>
      </c>
      <c r="G30" s="349" t="str">
        <f t="shared" ca="1" si="15"/>
        <v>Tm24</v>
      </c>
      <c r="H30" s="349" t="str">
        <f t="shared" ca="1" si="15"/>
        <v>ng</v>
      </c>
      <c r="I30" s="349" t="str">
        <f t="shared" ca="1" si="15"/>
        <v>ng</v>
      </c>
      <c r="J30" s="349" t="str">
        <f t="shared" ca="1" si="15"/>
        <v>Tm22</v>
      </c>
      <c r="K30" s="349" t="str">
        <f t="shared" ca="1" si="15"/>
        <v>Tm23</v>
      </c>
      <c r="L30" s="349" t="str">
        <f t="shared" ca="1" si="15"/>
        <v>ng</v>
      </c>
      <c r="M30" s="349" t="str">
        <f t="shared" ca="1" si="15"/>
        <v>Tm17</v>
      </c>
      <c r="N30" s="349" t="str">
        <f t="shared" ca="1" si="15"/>
        <v>ng</v>
      </c>
      <c r="O30" s="349" t="str">
        <f t="shared" ca="1" si="15"/>
        <v>ng</v>
      </c>
      <c r="P30" s="349" t="str">
        <f t="shared" ca="1" si="15"/>
        <v>Tm18</v>
      </c>
      <c r="Q30" s="349" t="str">
        <f t="shared" ca="1" si="15"/>
        <v>Tm19</v>
      </c>
      <c r="R30" s="349" t="str">
        <f t="shared" ca="1" si="15"/>
        <v>ng</v>
      </c>
      <c r="S30" s="349" t="str">
        <f t="shared" ca="1" si="15"/>
        <v>ng</v>
      </c>
      <c r="T30" s="349" t="str">
        <f t="shared" ca="1" si="15"/>
        <v>ng</v>
      </c>
      <c r="U30" s="349" t="str">
        <f t="shared" ca="1" si="15"/>
        <v>ng</v>
      </c>
      <c r="V30" s="349" t="str">
        <f t="shared" ca="1" si="15"/>
        <v>ng</v>
      </c>
      <c r="W30" s="349" t="str">
        <f t="shared" ca="1" si="15"/>
        <v>ng</v>
      </c>
      <c r="X30" s="349" t="str">
        <f t="shared" ca="1" si="15"/>
        <v>ng</v>
      </c>
      <c r="Y30" s="349" t="str">
        <f t="shared" ca="1" si="15"/>
        <v>ng</v>
      </c>
      <c r="Z30" s="349" t="str">
        <f t="shared" ca="1" si="15"/>
        <v>ng</v>
      </c>
      <c r="AA30" s="349" t="str">
        <f t="shared" ca="1" si="15"/>
        <v>ng</v>
      </c>
      <c r="AB30" s="349" t="str">
        <f t="shared" ca="1" si="15"/>
        <v>ng</v>
      </c>
      <c r="AC30" s="349" t="str">
        <f t="shared" ca="1" si="15"/>
        <v>ng</v>
      </c>
      <c r="AD30" s="349" t="str">
        <f t="shared" ca="1" si="15"/>
        <v>ng</v>
      </c>
      <c r="AE30" s="349" t="str">
        <f t="shared" ca="1" si="15"/>
        <v>ng</v>
      </c>
      <c r="AF30" s="349" t="str">
        <f t="shared" ca="1" si="15"/>
        <v>ng</v>
      </c>
      <c r="AG30" s="349" t="str">
        <f t="shared" ca="1" si="15"/>
        <v>ng</v>
      </c>
      <c r="AH30" s="349" t="str">
        <f t="shared" ca="1" si="15"/>
        <v>ng</v>
      </c>
      <c r="AI30" s="349" t="str">
        <f t="shared" ca="1" si="15"/>
        <v>ng</v>
      </c>
      <c r="AJ30" s="349" t="str">
        <f t="shared" ca="1" si="15"/>
        <v>ng</v>
      </c>
      <c r="AK30" s="349" t="str">
        <f t="shared" ca="1" si="15"/>
        <v>ng</v>
      </c>
      <c r="AL30" s="349" t="str">
        <f t="shared" ca="1" si="16"/>
        <v>ng</v>
      </c>
      <c r="AM30" s="349" t="str">
        <f t="shared" ca="1" si="16"/>
        <v>ng</v>
      </c>
      <c r="AN30" s="349" t="str">
        <f t="shared" ca="1" si="16"/>
        <v>ng</v>
      </c>
      <c r="AO30" s="349" t="str">
        <f t="shared" ca="1" si="16"/>
        <v>ng</v>
      </c>
      <c r="AP30" s="349" t="str">
        <f t="shared" ca="1" si="16"/>
        <v>ng</v>
      </c>
      <c r="AQ30" s="349" t="str">
        <f t="shared" ca="1" si="16"/>
        <v>ng</v>
      </c>
      <c r="AR30" s="350" t="str">
        <f t="shared" ca="1" si="16"/>
        <v>ng</v>
      </c>
      <c r="BA30" s="16" t="str">
        <v>BV</v>
      </c>
      <c r="BB30" s="342" t="str">
        <f ca="1">DcI!C30</f>
        <v>Tm20</v>
      </c>
      <c r="BC30" s="28" t="str">
        <f ca="1">IF(DcI!D30="X","X",IF(LEN(DcI!D30)=3,CONCATENATE("0",LEFT(DcI!D30,1)),IF(LEN(DcI!D30)=5,LEFT(DcI!D30,2),IF(MID(DcI!D30,2,1)="•",CONCATENATE("0",LEFT(DcI!D30,1)),LEFT(DcI!D30,2)))))</f>
        <v/>
      </c>
      <c r="BD30" s="28" t="str">
        <f ca="1">IF(DcI!E30="X","X",IF(LEN(DcI!E30)=3,CONCATENATE("0",LEFT(DcI!E30,1)),IF(LEN(DcI!E30)=5,LEFT(DcI!E30,2),IF(MID(DcI!E30,2,1)="•",CONCATENATE("0",LEFT(DcI!E30,1)),LEFT(DcI!E30,2)))))</f>
        <v/>
      </c>
      <c r="BE30" s="28" t="str">
        <f ca="1">IF(DcI!F30="X","X",IF(LEN(DcI!F30)=3,CONCATENATE("0",LEFT(DcI!F30,1)),IF(LEN(DcI!F30)=5,LEFT(DcI!F30,2),IF(MID(DcI!F30,2,1)="•",CONCATENATE("0",LEFT(DcI!F30,1)),LEFT(DcI!F30,2)))))</f>
        <v/>
      </c>
      <c r="BF30" s="28" t="str">
        <f ca="1">IF(DcI!G30="X","X",IF(LEN(DcI!G30)=3,CONCATENATE("0",LEFT(DcI!G30,1)),IF(LEN(DcI!G30)=5,LEFT(DcI!G30,2),IF(MID(DcI!G30,2,1)="•",CONCATENATE("0",LEFT(DcI!G30,1)),LEFT(DcI!G30,2)))))</f>
        <v/>
      </c>
      <c r="BG30" s="28" t="str">
        <f ca="1">IF(DcI!H30="X","X",IF(LEN(DcI!H30)=3,CONCATENATE("0",LEFT(DcI!H30,1)),IF(LEN(DcI!H30)=5,LEFT(DcI!H30,2),IF(MID(DcI!H30,2,1)="•",CONCATENATE("0",LEFT(DcI!H30,1)),LEFT(DcI!H30,2)))))</f>
        <v/>
      </c>
      <c r="BH30" s="28" t="str">
        <f ca="1">IF(DcI!I30="X","X",IF(LEN(DcI!I30)=3,CONCATENATE("0",LEFT(DcI!I30,1)),IF(LEN(DcI!I30)=5,LEFT(DcI!I30,2),IF(MID(DcI!I30,2,1)="•",CONCATENATE("0",LEFT(DcI!I30,1)),LEFT(DcI!I30,2)))))</f>
        <v/>
      </c>
      <c r="BI30" s="28" t="str">
        <f ca="1">IF(DcI!J30="X","X",IF(LEN(DcI!J30)=3,CONCATENATE("0",LEFT(DcI!J30,1)),IF(LEN(DcI!J30)=5,LEFT(DcI!J30,2),IF(MID(DcI!J30,2,1)="•",CONCATENATE("0",LEFT(DcI!J30,1)),LEFT(DcI!J30,2)))))</f>
        <v/>
      </c>
      <c r="BJ30" s="28" t="str">
        <f ca="1">IF(DcI!K30="X","X",IF(LEN(DcI!K30)=3,CONCATENATE("0",LEFT(DcI!K30,1)),IF(LEN(DcI!K30)=5,LEFT(DcI!K30,2),IF(MID(DcI!K30,2,1)="•",CONCATENATE("0",LEFT(DcI!K30,1)),LEFT(DcI!K30,2)))))</f>
        <v/>
      </c>
      <c r="BK30" s="28" t="str">
        <f ca="1">IF(DcI!L30="X","X",IF(LEN(DcI!L30)=3,CONCATENATE("0",LEFT(DcI!L30,1)),IF(LEN(DcI!L30)=5,LEFT(DcI!L30,2),IF(MID(DcI!L30,2,1)="•",CONCATENATE("0",LEFT(DcI!L30,1)),LEFT(DcI!L30,2)))))</f>
        <v/>
      </c>
      <c r="BL30" s="28" t="str">
        <f ca="1">IF(DcI!M30="X","X",IF(LEN(DcI!M30)=3,CONCATENATE("0",LEFT(DcI!M30,1)),IF(LEN(DcI!M30)=5,LEFT(DcI!M30,2),IF(MID(DcI!M30,2,1)="•",CONCATENATE("0",LEFT(DcI!M30,1)),LEFT(DcI!M30,2)))))</f>
        <v/>
      </c>
      <c r="BM30" s="28" t="str">
        <f ca="1">IF(DcI!N30="X","X",IF(LEN(DcI!N30)=3,CONCATENATE("0",LEFT(DcI!N30,1)),IF(LEN(DcI!N30)=5,LEFT(DcI!N30,2),IF(MID(DcI!N30,2,1)="•",CONCATENATE("0",LEFT(DcI!N30,1)),LEFT(DcI!N30,2)))))</f>
        <v/>
      </c>
      <c r="BN30" s="28" t="str">
        <f ca="1">IF(DcI!O30="X","X",IF(LEN(DcI!O30)=3,CONCATENATE("0",LEFT(DcI!O30,1)),IF(LEN(DcI!O30)=5,LEFT(DcI!O30,2),IF(MID(DcI!O30,2,1)="•",CONCATENATE("0",LEFT(DcI!O30,1)),LEFT(DcI!O30,2)))))</f>
        <v/>
      </c>
      <c r="BO30" s="28" t="str">
        <f ca="1">IF(DcI!P30="X","X",IF(LEN(DcI!P30)=3,CONCATENATE("0",LEFT(DcI!P30,1)),IF(LEN(DcI!P30)=5,LEFT(DcI!P30,2),IF(MID(DcI!P30,2,1)="•",CONCATENATE("0",LEFT(DcI!P30,1)),LEFT(DcI!P30,2)))))</f>
        <v/>
      </c>
      <c r="BP30" s="28" t="str">
        <f ca="1">IF(DcI!Q30="X","X",IF(LEN(DcI!Q30)=3,CONCATENATE("0",LEFT(DcI!Q30,1)),IF(LEN(DcI!Q30)=5,LEFT(DcI!Q30,2),IF(MID(DcI!Q30,2,1)="•",CONCATENATE("0",LEFT(DcI!Q30,1)),LEFT(DcI!Q30,2)))))</f>
        <v/>
      </c>
      <c r="BQ30" s="28" t="str">
        <f ca="1">IF(DcI!R30="X","X",IF(LEN(DcI!R30)=3,CONCATENATE("0",LEFT(DcI!R30,1)),IF(LEN(DcI!R30)=5,LEFT(DcI!R30,2),IF(MID(DcI!R30,2,1)="•",CONCATENATE("0",LEFT(DcI!R30,1)),LEFT(DcI!R30,2)))))</f>
        <v/>
      </c>
      <c r="BR30" s="28" t="str">
        <f ca="1">IF(DcI!S30="X","X",IF(LEN(DcI!S30)=3,CONCATENATE("0",LEFT(DcI!S30,1)),IF(LEN(DcI!S30)=5,LEFT(DcI!S30,2),IF(MID(DcI!S30,2,1)="•",CONCATENATE("0",LEFT(DcI!S30,1)),LEFT(DcI!S30,2)))))</f>
        <v/>
      </c>
      <c r="BS30" s="28" t="str">
        <f ca="1">IF(DcI!T30="X","X",IF(LEN(DcI!T30)=3,CONCATENATE("0",LEFT(DcI!T30,1)),IF(LEN(DcI!T30)=5,LEFT(DcI!T30,2),IF(MID(DcI!T30,2,1)="•",CONCATENATE("0",LEFT(DcI!T30,1)),LEFT(DcI!T30,2)))))</f>
        <v>09</v>
      </c>
      <c r="BT30" s="28" t="str">
        <f ca="1">IF(DcI!U30="X","X",IF(LEN(DcI!U30)=3,CONCATENATE("0",LEFT(DcI!U30,1)),IF(LEN(DcI!U30)=5,LEFT(DcI!U30,2),IF(MID(DcI!U30,2,1)="•",CONCATENATE("0",LEFT(DcI!U30,1)),LEFT(DcI!U30,2)))))</f>
        <v>12</v>
      </c>
      <c r="BU30" s="28" t="str">
        <f ca="1">IF(DcI!V30="X","X",IF(LEN(DcI!V30)=3,CONCATENATE("0",LEFT(DcI!V30,1)),IF(LEN(DcI!V30)=5,LEFT(DcI!V30,2),IF(MID(DcI!V30,2,1)="•",CONCATENATE("0",LEFT(DcI!V30,1)),LEFT(DcI!V30,2)))))</f>
        <v>13</v>
      </c>
      <c r="BV30" s="347" t="str">
        <f ca="1">IF(DcI!W30="X","X",IF(LEN(DcI!W30)=3,CONCATENATE("0",LEFT(DcI!W30,1)),IF(LEN(DcI!W30)=5,LEFT(DcI!W30,2),IF(MID(DcI!W30,2,1)="•",CONCATENATE("0",LEFT(DcI!W30,1)),LEFT(DcI!W30,2)))))</f>
        <v>X</v>
      </c>
      <c r="BW30" s="28" t="str">
        <f t="shared" ca="1" si="19"/>
        <v>02</v>
      </c>
      <c r="BX30" s="28" t="str">
        <f t="shared" ca="1" si="19"/>
        <v>06</v>
      </c>
      <c r="BY30" s="28" t="str">
        <f t="shared" ca="1" si="19"/>
        <v>07</v>
      </c>
      <c r="BZ30" s="28" t="str">
        <f t="shared" ca="1" si="19"/>
        <v>03</v>
      </c>
      <c r="CA30" s="28" t="str">
        <f t="shared" ca="1" si="19"/>
        <v/>
      </c>
      <c r="CB30" s="28" t="str">
        <f t="shared" ca="1" si="19"/>
        <v/>
      </c>
      <c r="CC30" s="28" t="str">
        <f t="shared" ca="1" si="19"/>
        <v/>
      </c>
      <c r="CD30" s="28" t="str">
        <f t="shared" ca="1" si="19"/>
        <v/>
      </c>
      <c r="CE30" s="28" t="str">
        <f t="shared" ca="1" si="19"/>
        <v/>
      </c>
      <c r="CF30" s="28" t="str">
        <f t="shared" ca="1" si="19"/>
        <v/>
      </c>
      <c r="CG30" s="28" t="str">
        <f t="shared" ca="1" si="19"/>
        <v/>
      </c>
      <c r="CH30" s="28" t="str">
        <f t="shared" ca="1" si="19"/>
        <v/>
      </c>
      <c r="CI30" s="28" t="str">
        <f t="shared" ca="1" si="19"/>
        <v/>
      </c>
      <c r="CJ30" s="28" t="str">
        <f t="shared" ca="1" si="19"/>
        <v/>
      </c>
      <c r="CK30" s="28" t="str">
        <f t="shared" ca="1" si="19"/>
        <v/>
      </c>
      <c r="CL30" s="28" t="str">
        <f t="shared" ca="1" si="19"/>
        <v/>
      </c>
      <c r="CM30" s="28" t="str">
        <f t="shared" ca="1" si="19"/>
        <v/>
      </c>
      <c r="CN30" s="28" t="str">
        <f t="shared" ca="1" si="19"/>
        <v/>
      </c>
      <c r="CO30" s="28" t="str">
        <f t="shared" ca="1" si="12"/>
        <v/>
      </c>
      <c r="CP30" s="28" t="str">
        <f t="shared" ca="1" si="12"/>
        <v/>
      </c>
      <c r="CQ30" s="28" t="str">
        <f t="shared" ca="1" si="12"/>
        <v/>
      </c>
      <c r="CR30" s="28" t="str">
        <f t="shared" ca="1" si="12"/>
        <v/>
      </c>
      <c r="CS30" s="28" t="str">
        <f t="shared" ca="1" si="12"/>
        <v/>
      </c>
      <c r="CT30" s="28" t="str">
        <f t="shared" ca="1" si="12"/>
        <v/>
      </c>
      <c r="CU30" s="28" t="str">
        <f t="shared" ca="1" si="12"/>
        <v/>
      </c>
      <c r="CV30" s="346" t="str">
        <f t="shared" ca="1" si="12"/>
        <v/>
      </c>
    </row>
    <row r="31" spans="2:100" ht="15">
      <c r="B31" s="63" t="str">
        <v>BW</v>
      </c>
      <c r="C31" s="16" t="str">
        <f t="shared" si="8"/>
        <v>BW11:BW56</v>
      </c>
      <c r="D31" s="342" t="str">
        <f t="shared" ca="1" si="9"/>
        <v>Tm21</v>
      </c>
      <c r="E31" s="349" t="str">
        <f t="shared" ca="1" si="10"/>
        <v>ng</v>
      </c>
      <c r="F31" s="349" t="str">
        <f t="shared" ca="1" si="15"/>
        <v>Tm20</v>
      </c>
      <c r="G31" s="349" t="str">
        <f t="shared" ca="1" si="15"/>
        <v>Tm19</v>
      </c>
      <c r="H31" s="349" t="str">
        <f t="shared" ca="1" si="15"/>
        <v>ng</v>
      </c>
      <c r="I31" s="349" t="str">
        <f t="shared" ca="1" si="15"/>
        <v>Tm17</v>
      </c>
      <c r="J31" s="349" t="str">
        <f t="shared" ca="1" si="15"/>
        <v>ng</v>
      </c>
      <c r="K31" s="349" t="str">
        <f t="shared" ca="1" si="15"/>
        <v>ng</v>
      </c>
      <c r="L31" s="349" t="str">
        <f t="shared" ca="1" si="15"/>
        <v>Tm18</v>
      </c>
      <c r="M31" s="349" t="str">
        <f t="shared" ca="1" si="15"/>
        <v>ng</v>
      </c>
      <c r="N31" s="349" t="str">
        <f t="shared" ca="1" si="15"/>
        <v>Tm24</v>
      </c>
      <c r="O31" s="349" t="str">
        <f t="shared" ca="1" si="15"/>
        <v>Tm23</v>
      </c>
      <c r="P31" s="349" t="str">
        <f t="shared" ca="1" si="15"/>
        <v>ng</v>
      </c>
      <c r="Q31" s="349" t="str">
        <f t="shared" ca="1" si="15"/>
        <v>ng</v>
      </c>
      <c r="R31" s="349" t="str">
        <f t="shared" ca="1" si="15"/>
        <v>Tm22</v>
      </c>
      <c r="S31" s="349" t="str">
        <f t="shared" ca="1" si="15"/>
        <v>ng</v>
      </c>
      <c r="T31" s="349" t="str">
        <f t="shared" ca="1" si="15"/>
        <v>ng</v>
      </c>
      <c r="U31" s="349" t="str">
        <f t="shared" ca="1" si="15"/>
        <v>ng</v>
      </c>
      <c r="V31" s="349" t="str">
        <f t="shared" ca="1" si="15"/>
        <v>ng</v>
      </c>
      <c r="W31" s="349" t="str">
        <f t="shared" ca="1" si="15"/>
        <v>ng</v>
      </c>
      <c r="X31" s="349" t="str">
        <f t="shared" ca="1" si="15"/>
        <v>ng</v>
      </c>
      <c r="Y31" s="349" t="str">
        <f t="shared" ca="1" si="15"/>
        <v>ng</v>
      </c>
      <c r="Z31" s="349" t="str">
        <f t="shared" ca="1" si="15"/>
        <v>ng</v>
      </c>
      <c r="AA31" s="349" t="str">
        <f t="shared" ca="1" si="15"/>
        <v>ng</v>
      </c>
      <c r="AB31" s="349" t="str">
        <f t="shared" ca="1" si="15"/>
        <v>ng</v>
      </c>
      <c r="AC31" s="349" t="str">
        <f t="shared" ca="1" si="15"/>
        <v>ng</v>
      </c>
      <c r="AD31" s="349" t="str">
        <f t="shared" ca="1" si="15"/>
        <v>ng</v>
      </c>
      <c r="AE31" s="349" t="str">
        <f t="shared" ca="1" si="15"/>
        <v>ng</v>
      </c>
      <c r="AF31" s="349" t="str">
        <f t="shared" ca="1" si="15"/>
        <v>ng</v>
      </c>
      <c r="AG31" s="349" t="str">
        <f t="shared" ca="1" si="15"/>
        <v>ng</v>
      </c>
      <c r="AH31" s="349" t="str">
        <f t="shared" ca="1" si="15"/>
        <v>ng</v>
      </c>
      <c r="AI31" s="349" t="str">
        <f t="shared" ca="1" si="15"/>
        <v>ng</v>
      </c>
      <c r="AJ31" s="349" t="str">
        <f t="shared" ca="1" si="15"/>
        <v>ng</v>
      </c>
      <c r="AK31" s="349" t="str">
        <f t="shared" ca="1" si="15"/>
        <v>ng</v>
      </c>
      <c r="AL31" s="349" t="str">
        <f t="shared" ca="1" si="16"/>
        <v>ng</v>
      </c>
      <c r="AM31" s="349" t="str">
        <f t="shared" ca="1" si="16"/>
        <v>ng</v>
      </c>
      <c r="AN31" s="349" t="str">
        <f t="shared" ca="1" si="16"/>
        <v>ng</v>
      </c>
      <c r="AO31" s="349" t="str">
        <f t="shared" ca="1" si="16"/>
        <v>ng</v>
      </c>
      <c r="AP31" s="349" t="str">
        <f t="shared" ca="1" si="16"/>
        <v>ng</v>
      </c>
      <c r="AQ31" s="349" t="str">
        <f t="shared" ca="1" si="16"/>
        <v>ng</v>
      </c>
      <c r="AR31" s="350" t="str">
        <f t="shared" ca="1" si="16"/>
        <v>ng</v>
      </c>
      <c r="BA31" s="16" t="str">
        <v>BW</v>
      </c>
      <c r="BB31" s="342" t="str">
        <f ca="1">DcI!C31</f>
        <v>Tm21</v>
      </c>
      <c r="BC31" s="28" t="str">
        <f ca="1">IF(DcI!D31="X","X",IF(LEN(DcI!D31)=3,CONCATENATE("0",LEFT(DcI!D31,1)),IF(LEN(DcI!D31)=5,LEFT(DcI!D31,2),IF(MID(DcI!D31,2,1)="•",CONCATENATE("0",LEFT(DcI!D31,1)),LEFT(DcI!D31,2)))))</f>
        <v/>
      </c>
      <c r="BD31" s="28" t="str">
        <f ca="1">IF(DcI!E31="X","X",IF(LEN(DcI!E31)=3,CONCATENATE("0",LEFT(DcI!E31,1)),IF(LEN(DcI!E31)=5,LEFT(DcI!E31,2),IF(MID(DcI!E31,2,1)="•",CONCATENATE("0",LEFT(DcI!E31,1)),LEFT(DcI!E31,2)))))</f>
        <v/>
      </c>
      <c r="BE31" s="28" t="str">
        <f ca="1">IF(DcI!F31="X","X",IF(LEN(DcI!F31)=3,CONCATENATE("0",LEFT(DcI!F31,1)),IF(LEN(DcI!F31)=5,LEFT(DcI!F31,2),IF(MID(DcI!F31,2,1)="•",CONCATENATE("0",LEFT(DcI!F31,1)),LEFT(DcI!F31,2)))))</f>
        <v/>
      </c>
      <c r="BF31" s="28" t="str">
        <f ca="1">IF(DcI!G31="X","X",IF(LEN(DcI!G31)=3,CONCATENATE("0",LEFT(DcI!G31,1)),IF(LEN(DcI!G31)=5,LEFT(DcI!G31,2),IF(MID(DcI!G31,2,1)="•",CONCATENATE("0",LEFT(DcI!G31,1)),LEFT(DcI!G31,2)))))</f>
        <v/>
      </c>
      <c r="BG31" s="28" t="str">
        <f ca="1">IF(DcI!H31="X","X",IF(LEN(DcI!H31)=3,CONCATENATE("0",LEFT(DcI!H31,1)),IF(LEN(DcI!H31)=5,LEFT(DcI!H31,2),IF(MID(DcI!H31,2,1)="•",CONCATENATE("0",LEFT(DcI!H31,1)),LEFT(DcI!H31,2)))))</f>
        <v/>
      </c>
      <c r="BH31" s="28" t="str">
        <f ca="1">IF(DcI!I31="X","X",IF(LEN(DcI!I31)=3,CONCATENATE("0",LEFT(DcI!I31,1)),IF(LEN(DcI!I31)=5,LEFT(DcI!I31,2),IF(MID(DcI!I31,2,1)="•",CONCATENATE("0",LEFT(DcI!I31,1)),LEFT(DcI!I31,2)))))</f>
        <v/>
      </c>
      <c r="BI31" s="28" t="str">
        <f ca="1">IF(DcI!J31="X","X",IF(LEN(DcI!J31)=3,CONCATENATE("0",LEFT(DcI!J31,1)),IF(LEN(DcI!J31)=5,LEFT(DcI!J31,2),IF(MID(DcI!J31,2,1)="•",CONCATENATE("0",LEFT(DcI!J31,1)),LEFT(DcI!J31,2)))))</f>
        <v/>
      </c>
      <c r="BJ31" s="28" t="str">
        <f ca="1">IF(DcI!K31="X","X",IF(LEN(DcI!K31)=3,CONCATENATE("0",LEFT(DcI!K31,1)),IF(LEN(DcI!K31)=5,LEFT(DcI!K31,2),IF(MID(DcI!K31,2,1)="•",CONCATENATE("0",LEFT(DcI!K31,1)),LEFT(DcI!K31,2)))))</f>
        <v/>
      </c>
      <c r="BK31" s="28" t="str">
        <f ca="1">IF(DcI!L31="X","X",IF(LEN(DcI!L31)=3,CONCATENATE("0",LEFT(DcI!L31,1)),IF(LEN(DcI!L31)=5,LEFT(DcI!L31,2),IF(MID(DcI!L31,2,1)="•",CONCATENATE("0",LEFT(DcI!L31,1)),LEFT(DcI!L31,2)))))</f>
        <v/>
      </c>
      <c r="BL31" s="28" t="str">
        <f ca="1">IF(DcI!M31="X","X",IF(LEN(DcI!M31)=3,CONCATENATE("0",LEFT(DcI!M31,1)),IF(LEN(DcI!M31)=5,LEFT(DcI!M31,2),IF(MID(DcI!M31,2,1)="•",CONCATENATE("0",LEFT(DcI!M31,1)),LEFT(DcI!M31,2)))))</f>
        <v/>
      </c>
      <c r="BM31" s="28" t="str">
        <f ca="1">IF(DcI!N31="X","X",IF(LEN(DcI!N31)=3,CONCATENATE("0",LEFT(DcI!N31,1)),IF(LEN(DcI!N31)=5,LEFT(DcI!N31,2),IF(MID(DcI!N31,2,1)="•",CONCATENATE("0",LEFT(DcI!N31,1)),LEFT(DcI!N31,2)))))</f>
        <v/>
      </c>
      <c r="BN31" s="28" t="str">
        <f ca="1">IF(DcI!O31="X","X",IF(LEN(DcI!O31)=3,CONCATENATE("0",LEFT(DcI!O31,1)),IF(LEN(DcI!O31)=5,LEFT(DcI!O31,2),IF(MID(DcI!O31,2,1)="•",CONCATENATE("0",LEFT(DcI!O31,1)),LEFT(DcI!O31,2)))))</f>
        <v/>
      </c>
      <c r="BO31" s="28" t="str">
        <f ca="1">IF(DcI!P31="X","X",IF(LEN(DcI!P31)=3,CONCATENATE("0",LEFT(DcI!P31,1)),IF(LEN(DcI!P31)=5,LEFT(DcI!P31,2),IF(MID(DcI!P31,2,1)="•",CONCATENATE("0",LEFT(DcI!P31,1)),LEFT(DcI!P31,2)))))</f>
        <v/>
      </c>
      <c r="BP31" s="28" t="str">
        <f ca="1">IF(DcI!Q31="X","X",IF(LEN(DcI!Q31)=3,CONCATENATE("0",LEFT(DcI!Q31,1)),IF(LEN(DcI!Q31)=5,LEFT(DcI!Q31,2),IF(MID(DcI!Q31,2,1)="•",CONCATENATE("0",LEFT(DcI!Q31,1)),LEFT(DcI!Q31,2)))))</f>
        <v/>
      </c>
      <c r="BQ31" s="28" t="str">
        <f ca="1">IF(DcI!R31="X","X",IF(LEN(DcI!R31)=3,CONCATENATE("0",LEFT(DcI!R31,1)),IF(LEN(DcI!R31)=5,LEFT(DcI!R31,2),IF(MID(DcI!R31,2,1)="•",CONCATENATE("0",LEFT(DcI!R31,1)),LEFT(DcI!R31,2)))))</f>
        <v/>
      </c>
      <c r="BR31" s="28" t="str">
        <f ca="1">IF(DcI!S31="X","X",IF(LEN(DcI!S31)=3,CONCATENATE("0",LEFT(DcI!S31,1)),IF(LEN(DcI!S31)=5,LEFT(DcI!S31,2),IF(MID(DcI!S31,2,1)="•",CONCATENATE("0",LEFT(DcI!S31,1)),LEFT(DcI!S31,2)))))</f>
        <v/>
      </c>
      <c r="BS31" s="28" t="str">
        <f ca="1">IF(DcI!T31="X","X",IF(LEN(DcI!T31)=3,CONCATENATE("0",LEFT(DcI!T31,1)),IF(LEN(DcI!T31)=5,LEFT(DcI!T31,2),IF(MID(DcI!T31,2,1)="•",CONCATENATE("0",LEFT(DcI!T31,1)),LEFT(DcI!T31,2)))))</f>
        <v>05</v>
      </c>
      <c r="BT31" s="28" t="str">
        <f ca="1">IF(DcI!U31="X","X",IF(LEN(DcI!U31)=3,CONCATENATE("0",LEFT(DcI!U31,1)),IF(LEN(DcI!U31)=5,LEFT(DcI!U31,2),IF(MID(DcI!U31,2,1)="•",CONCATENATE("0",LEFT(DcI!U31,1)),LEFT(DcI!U31,2)))))</f>
        <v>08</v>
      </c>
      <c r="BU31" s="28" t="str">
        <f ca="1">IF(DcI!V31="X","X",IF(LEN(DcI!V31)=3,CONCATENATE("0",LEFT(DcI!V31,1)),IF(LEN(DcI!V31)=5,LEFT(DcI!V31,2),IF(MID(DcI!V31,2,1)="•",CONCATENATE("0",LEFT(DcI!V31,1)),LEFT(DcI!V31,2)))))</f>
        <v>03</v>
      </c>
      <c r="BV31" s="28" t="str">
        <f ca="1">IF(DcI!W31="X","X",IF(LEN(DcI!W31)=3,CONCATENATE("0",LEFT(DcI!W31,1)),IF(LEN(DcI!W31)=5,LEFT(DcI!W31,2),IF(MID(DcI!W31,2,1)="•",CONCATENATE("0",LEFT(DcI!W31,1)),LEFT(DcI!W31,2)))))</f>
        <v>02</v>
      </c>
      <c r="BW31" s="347" t="str">
        <f ca="1">IF(DcI!X31="X","X",IF(LEN(DcI!X31)=3,CONCATENATE("0",LEFT(DcI!X31,1)),IF(LEN(DcI!X31)=5,LEFT(DcI!X31,2),IF(MID(DcI!X31,2,1)="•",CONCATENATE("0",LEFT(DcI!X31,1)),LEFT(DcI!X31,2)))))</f>
        <v>X</v>
      </c>
      <c r="BX31" s="28"/>
      <c r="BY31" s="28" t="str">
        <f t="shared" ca="1" si="19"/>
        <v>11</v>
      </c>
      <c r="BZ31" s="28" t="str">
        <f t="shared" ca="1" si="19"/>
        <v>10</v>
      </c>
      <c r="CA31" s="28" t="str">
        <f t="shared" ca="1" si="19"/>
        <v/>
      </c>
      <c r="CB31" s="28" t="str">
        <f t="shared" ca="1" si="19"/>
        <v/>
      </c>
      <c r="CC31" s="28" t="str">
        <f t="shared" ca="1" si="19"/>
        <v/>
      </c>
      <c r="CD31" s="28" t="str">
        <f t="shared" ca="1" si="19"/>
        <v/>
      </c>
      <c r="CE31" s="28" t="str">
        <f t="shared" ca="1" si="19"/>
        <v/>
      </c>
      <c r="CF31" s="28" t="str">
        <f t="shared" ca="1" si="19"/>
        <v/>
      </c>
      <c r="CG31" s="28" t="str">
        <f t="shared" ca="1" si="19"/>
        <v/>
      </c>
      <c r="CH31" s="28" t="str">
        <f t="shared" ca="1" si="19"/>
        <v/>
      </c>
      <c r="CI31" s="28" t="str">
        <f t="shared" ca="1" si="19"/>
        <v/>
      </c>
      <c r="CJ31" s="28" t="str">
        <f t="shared" ca="1" si="19"/>
        <v/>
      </c>
      <c r="CK31" s="28" t="str">
        <f t="shared" ca="1" si="19"/>
        <v/>
      </c>
      <c r="CL31" s="28" t="str">
        <f t="shared" ca="1" si="19"/>
        <v/>
      </c>
      <c r="CM31" s="28" t="str">
        <f t="shared" ca="1" si="19"/>
        <v/>
      </c>
      <c r="CN31" s="28" t="str">
        <f t="shared" ca="1" si="19"/>
        <v/>
      </c>
      <c r="CO31" s="28" t="str">
        <f t="shared" ca="1" si="12"/>
        <v/>
      </c>
      <c r="CP31" s="28" t="str">
        <f t="shared" ca="1" si="12"/>
        <v/>
      </c>
      <c r="CQ31" s="28" t="str">
        <f t="shared" ca="1" si="12"/>
        <v/>
      </c>
      <c r="CR31" s="28" t="str">
        <f t="shared" ca="1" si="12"/>
        <v/>
      </c>
      <c r="CS31" s="28" t="str">
        <f t="shared" ca="1" si="12"/>
        <v/>
      </c>
      <c r="CT31" s="28" t="str">
        <f t="shared" ca="1" si="12"/>
        <v/>
      </c>
      <c r="CU31" s="28" t="str">
        <f t="shared" ca="1" si="12"/>
        <v/>
      </c>
      <c r="CV31" s="346" t="str">
        <f t="shared" ca="1" si="12"/>
        <v/>
      </c>
    </row>
    <row r="32" spans="2:100" ht="15">
      <c r="B32" s="63" t="str">
        <v>BX</v>
      </c>
      <c r="C32" s="16" t="str">
        <f t="shared" si="8"/>
        <v>BX11:BX56</v>
      </c>
      <c r="D32" s="342" t="str">
        <f t="shared" ca="1" si="9"/>
        <v>Tm22</v>
      </c>
      <c r="E32" s="349" t="str">
        <f t="shared" ca="1" si="10"/>
        <v>Tm19</v>
      </c>
      <c r="F32" s="349" t="str">
        <f t="shared" ca="1" si="15"/>
        <v>ng</v>
      </c>
      <c r="G32" s="349" t="str">
        <f t="shared" ca="1" si="15"/>
        <v>ng</v>
      </c>
      <c r="H32" s="349" t="str">
        <f t="shared" ca="1" si="15"/>
        <v>Tm18</v>
      </c>
      <c r="I32" s="349" t="str">
        <f t="shared" ca="1" si="15"/>
        <v>ng</v>
      </c>
      <c r="J32" s="349" t="str">
        <f t="shared" ca="1" si="15"/>
        <v>Tm20</v>
      </c>
      <c r="K32" s="349" t="str">
        <f t="shared" ca="1" si="15"/>
        <v>Tm17</v>
      </c>
      <c r="L32" s="349" t="str">
        <f t="shared" ca="1" si="15"/>
        <v>ng</v>
      </c>
      <c r="M32" s="349" t="str">
        <f t="shared" ca="1" si="15"/>
        <v>ng</v>
      </c>
      <c r="N32" s="349" t="str">
        <f t="shared" ca="1" si="15"/>
        <v>Tm23</v>
      </c>
      <c r="O32" s="349" t="str">
        <f t="shared" ca="1" si="15"/>
        <v>Tm24</v>
      </c>
      <c r="P32" s="349" t="str">
        <f t="shared" ca="1" si="15"/>
        <v>ng</v>
      </c>
      <c r="Q32" s="349" t="str">
        <f t="shared" ca="1" si="15"/>
        <v>ng</v>
      </c>
      <c r="R32" s="349" t="str">
        <f t="shared" ca="1" si="15"/>
        <v>ng</v>
      </c>
      <c r="S32" s="349" t="str">
        <f t="shared" ca="1" si="15"/>
        <v>ng</v>
      </c>
      <c r="T32" s="349" t="str">
        <f t="shared" ca="1" si="15"/>
        <v>ng</v>
      </c>
      <c r="U32" s="349" t="str">
        <f t="shared" ca="1" si="15"/>
        <v>ng</v>
      </c>
      <c r="V32" s="349" t="str">
        <f t="shared" ca="1" si="15"/>
        <v>ng</v>
      </c>
      <c r="W32" s="349" t="str">
        <f t="shared" ca="1" si="15"/>
        <v>ng</v>
      </c>
      <c r="X32" s="349" t="str">
        <f t="shared" ca="1" si="15"/>
        <v>ng</v>
      </c>
      <c r="Y32" s="349" t="str">
        <f t="shared" ca="1" si="15"/>
        <v>ng</v>
      </c>
      <c r="Z32" s="349" t="str">
        <f t="shared" ca="1" si="15"/>
        <v>ng</v>
      </c>
      <c r="AA32" s="349" t="str">
        <f t="shared" ca="1" si="15"/>
        <v>ng</v>
      </c>
      <c r="AB32" s="349" t="str">
        <f t="shared" ca="1" si="15"/>
        <v>ng</v>
      </c>
      <c r="AC32" s="349" t="str">
        <f t="shared" ca="1" si="15"/>
        <v>ng</v>
      </c>
      <c r="AD32" s="349" t="str">
        <f t="shared" ca="1" si="15"/>
        <v>ng</v>
      </c>
      <c r="AE32" s="349" t="str">
        <f t="shared" ca="1" si="15"/>
        <v>ng</v>
      </c>
      <c r="AF32" s="349" t="str">
        <f t="shared" ca="1" si="15"/>
        <v>ng</v>
      </c>
      <c r="AG32" s="349" t="str">
        <f t="shared" ca="1" si="15"/>
        <v>ng</v>
      </c>
      <c r="AH32" s="349" t="str">
        <f t="shared" ca="1" si="15"/>
        <v>ng</v>
      </c>
      <c r="AI32" s="349" t="str">
        <f t="shared" ca="1" si="15"/>
        <v>ng</v>
      </c>
      <c r="AJ32" s="349" t="str">
        <f t="shared" ca="1" si="15"/>
        <v>ng</v>
      </c>
      <c r="AK32" s="349" t="str">
        <f t="shared" ca="1" si="15"/>
        <v>ng</v>
      </c>
      <c r="AL32" s="349" t="str">
        <f t="shared" ca="1" si="16"/>
        <v>ng</v>
      </c>
      <c r="AM32" s="349" t="str">
        <f t="shared" ca="1" si="16"/>
        <v>ng</v>
      </c>
      <c r="AN32" s="349" t="str">
        <f t="shared" ca="1" si="16"/>
        <v>ng</v>
      </c>
      <c r="AO32" s="349" t="str">
        <f t="shared" ca="1" si="16"/>
        <v>ng</v>
      </c>
      <c r="AP32" s="349" t="str">
        <f t="shared" ca="1" si="16"/>
        <v>ng</v>
      </c>
      <c r="AQ32" s="349" t="str">
        <f t="shared" ca="1" si="16"/>
        <v>ng</v>
      </c>
      <c r="AR32" s="350" t="str">
        <f t="shared" ca="1" si="16"/>
        <v>ng</v>
      </c>
      <c r="BA32" s="16" t="str">
        <v>BX</v>
      </c>
      <c r="BB32" s="342" t="str">
        <f ca="1">DcI!C32</f>
        <v>Tm22</v>
      </c>
      <c r="BC32" s="28" t="str">
        <f ca="1">IF(DcI!D32="X","X",IF(LEN(DcI!D32)=3,CONCATENATE("0",LEFT(DcI!D32,1)),IF(LEN(DcI!D32)=5,LEFT(DcI!D32,2),IF(MID(DcI!D32,2,1)="•",CONCATENATE("0",LEFT(DcI!D32,1)),LEFT(DcI!D32,2)))))</f>
        <v/>
      </c>
      <c r="BD32" s="28" t="str">
        <f ca="1">IF(DcI!E32="X","X",IF(LEN(DcI!E32)=3,CONCATENATE("0",LEFT(DcI!E32,1)),IF(LEN(DcI!E32)=5,LEFT(DcI!E32,2),IF(MID(DcI!E32,2,1)="•",CONCATENATE("0",LEFT(DcI!E32,1)),LEFT(DcI!E32,2)))))</f>
        <v/>
      </c>
      <c r="BE32" s="28" t="str">
        <f ca="1">IF(DcI!F32="X","X",IF(LEN(DcI!F32)=3,CONCATENATE("0",LEFT(DcI!F32,1)),IF(LEN(DcI!F32)=5,LEFT(DcI!F32,2),IF(MID(DcI!F32,2,1)="•",CONCATENATE("0",LEFT(DcI!F32,1)),LEFT(DcI!F32,2)))))</f>
        <v/>
      </c>
      <c r="BF32" s="28" t="str">
        <f ca="1">IF(DcI!G32="X","X",IF(LEN(DcI!G32)=3,CONCATENATE("0",LEFT(DcI!G32,1)),IF(LEN(DcI!G32)=5,LEFT(DcI!G32,2),IF(MID(DcI!G32,2,1)="•",CONCATENATE("0",LEFT(DcI!G32,1)),LEFT(DcI!G32,2)))))</f>
        <v/>
      </c>
      <c r="BG32" s="28" t="str">
        <f ca="1">IF(DcI!H32="X","X",IF(LEN(DcI!H32)=3,CONCATENATE("0",LEFT(DcI!H32,1)),IF(LEN(DcI!H32)=5,LEFT(DcI!H32,2),IF(MID(DcI!H32,2,1)="•",CONCATENATE("0",LEFT(DcI!H32,1)),LEFT(DcI!H32,2)))))</f>
        <v/>
      </c>
      <c r="BH32" s="28" t="str">
        <f ca="1">IF(DcI!I32="X","X",IF(LEN(DcI!I32)=3,CONCATENATE("0",LEFT(DcI!I32,1)),IF(LEN(DcI!I32)=5,LEFT(DcI!I32,2),IF(MID(DcI!I32,2,1)="•",CONCATENATE("0",LEFT(DcI!I32,1)),LEFT(DcI!I32,2)))))</f>
        <v/>
      </c>
      <c r="BI32" s="28" t="str">
        <f ca="1">IF(DcI!J32="X","X",IF(LEN(DcI!J32)=3,CONCATENATE("0",LEFT(DcI!J32,1)),IF(LEN(DcI!J32)=5,LEFT(DcI!J32,2),IF(MID(DcI!J32,2,1)="•",CONCATENATE("0",LEFT(DcI!J32,1)),LEFT(DcI!J32,2)))))</f>
        <v/>
      </c>
      <c r="BJ32" s="28" t="str">
        <f ca="1">IF(DcI!K32="X","X",IF(LEN(DcI!K32)=3,CONCATENATE("0",LEFT(DcI!K32,1)),IF(LEN(DcI!K32)=5,LEFT(DcI!K32,2),IF(MID(DcI!K32,2,1)="•",CONCATENATE("0",LEFT(DcI!K32,1)),LEFT(DcI!K32,2)))))</f>
        <v/>
      </c>
      <c r="BK32" s="28" t="str">
        <f ca="1">IF(DcI!L32="X","X",IF(LEN(DcI!L32)=3,CONCATENATE("0",LEFT(DcI!L32,1)),IF(LEN(DcI!L32)=5,LEFT(DcI!L32,2),IF(MID(DcI!L32,2,1)="•",CONCATENATE("0",LEFT(DcI!L32,1)),LEFT(DcI!L32,2)))))</f>
        <v/>
      </c>
      <c r="BL32" s="28" t="str">
        <f ca="1">IF(DcI!M32="X","X",IF(LEN(DcI!M32)=3,CONCATENATE("0",LEFT(DcI!M32,1)),IF(LEN(DcI!M32)=5,LEFT(DcI!M32,2),IF(MID(DcI!M32,2,1)="•",CONCATENATE("0",LEFT(DcI!M32,1)),LEFT(DcI!M32,2)))))</f>
        <v/>
      </c>
      <c r="BM32" s="28" t="str">
        <f ca="1">IF(DcI!N32="X","X",IF(LEN(DcI!N32)=3,CONCATENATE("0",LEFT(DcI!N32,1)),IF(LEN(DcI!N32)=5,LEFT(DcI!N32,2),IF(MID(DcI!N32,2,1)="•",CONCATENATE("0",LEFT(DcI!N32,1)),LEFT(DcI!N32,2)))))</f>
        <v/>
      </c>
      <c r="BN32" s="28" t="str">
        <f ca="1">IF(DcI!O32="X","X",IF(LEN(DcI!O32)=3,CONCATENATE("0",LEFT(DcI!O32,1)),IF(LEN(DcI!O32)=5,LEFT(DcI!O32,2),IF(MID(DcI!O32,2,1)="•",CONCATENATE("0",LEFT(DcI!O32,1)),LEFT(DcI!O32,2)))))</f>
        <v/>
      </c>
      <c r="BO32" s="28" t="str">
        <f ca="1">IF(DcI!P32="X","X",IF(LEN(DcI!P32)=3,CONCATENATE("0",LEFT(DcI!P32,1)),IF(LEN(DcI!P32)=5,LEFT(DcI!P32,2),IF(MID(DcI!P32,2,1)="•",CONCATENATE("0",LEFT(DcI!P32,1)),LEFT(DcI!P32,2)))))</f>
        <v/>
      </c>
      <c r="BP32" s="28" t="str">
        <f ca="1">IF(DcI!Q32="X","X",IF(LEN(DcI!Q32)=3,CONCATENATE("0",LEFT(DcI!Q32,1)),IF(LEN(DcI!Q32)=5,LEFT(DcI!Q32,2),IF(MID(DcI!Q32,2,1)="•",CONCATENATE("0",LEFT(DcI!Q32,1)),LEFT(DcI!Q32,2)))))</f>
        <v/>
      </c>
      <c r="BQ32" s="28" t="str">
        <f ca="1">IF(DcI!R32="X","X",IF(LEN(DcI!R32)=3,CONCATENATE("0",LEFT(DcI!R32,1)),IF(LEN(DcI!R32)=5,LEFT(DcI!R32,2),IF(MID(DcI!R32,2,1)="•",CONCATENATE("0",LEFT(DcI!R32,1)),LEFT(DcI!R32,2)))))</f>
        <v/>
      </c>
      <c r="BR32" s="28" t="str">
        <f ca="1">IF(DcI!S32="X","X",IF(LEN(DcI!S32)=3,CONCATENATE("0",LEFT(DcI!S32,1)),IF(LEN(DcI!S32)=5,LEFT(DcI!S32,2),IF(MID(DcI!S32,2,1)="•",CONCATENATE("0",LEFT(DcI!S32,1)),LEFT(DcI!S32,2)))))</f>
        <v/>
      </c>
      <c r="BS32" s="28" t="str">
        <f ca="1">IF(DcI!T32="X","X",IF(LEN(DcI!T32)=3,CONCATENATE("0",LEFT(DcI!T32,1)),IF(LEN(DcI!T32)=5,LEFT(DcI!T32,2),IF(MID(DcI!T32,2,1)="•",CONCATENATE("0",LEFT(DcI!T32,1)),LEFT(DcI!T32,2)))))</f>
        <v>07</v>
      </c>
      <c r="BT32" s="28" t="str">
        <f ca="1">IF(DcI!U32="X","X",IF(LEN(DcI!U32)=3,CONCATENATE("0",LEFT(DcI!U32,1)),IF(LEN(DcI!U32)=5,LEFT(DcI!U32,2),IF(MID(DcI!U32,2,1)="•",CONCATENATE("0",LEFT(DcI!U32,1)),LEFT(DcI!U32,2)))))</f>
        <v>04</v>
      </c>
      <c r="BU32" s="28" t="str">
        <f ca="1">IF(DcI!V32="X","X",IF(LEN(DcI!V32)=3,CONCATENATE("0",LEFT(DcI!V32,1)),IF(LEN(DcI!V32)=5,LEFT(DcI!V32,2),IF(MID(DcI!V32,2,1)="•",CONCATENATE("0",LEFT(DcI!V32,1)),LEFT(DcI!V32,2)))))</f>
        <v>01</v>
      </c>
      <c r="BV32" s="28" t="str">
        <f ca="1">IF(DcI!W32="X","X",IF(LEN(DcI!W32)=3,CONCATENATE("0",LEFT(DcI!W32,1)),IF(LEN(DcI!W32)=5,LEFT(DcI!W32,2),IF(MID(DcI!W32,2,1)="•",CONCATENATE("0",LEFT(DcI!W32,1)),LEFT(DcI!W32,2)))))</f>
        <v>06</v>
      </c>
      <c r="BW32" s="28" t="str">
        <f ca="1">IF(DcI!X32="X","X",IF(LEN(DcI!X32)=3,CONCATENATE("0",LEFT(DcI!X32,1)),IF(LEN(DcI!X32)=5,LEFT(DcI!X32,2),IF(MID(DcI!X32,2,1)="•",CONCATENATE("0",LEFT(DcI!X32,1)),LEFT(DcI!X32,2)))))</f>
        <v>14</v>
      </c>
      <c r="BX32" s="347" t="str">
        <f ca="1">IF(DcI!Y32="X","X",IF(LEN(DcI!Y32)=3,CONCATENATE("0",LEFT(DcI!Y32,1)),IF(LEN(DcI!Y32)=5,LEFT(DcI!Y32,2),IF(MID(DcI!Y32,2,1)="•",CONCATENATE("0",LEFT(DcI!Y32,1)),LEFT(DcI!Y32,2)))))</f>
        <v>X</v>
      </c>
      <c r="BY32" s="28" t="str">
        <f t="shared" ca="1" si="19"/>
        <v>10</v>
      </c>
      <c r="BZ32" s="28" t="str">
        <f t="shared" ca="1" si="19"/>
        <v>11</v>
      </c>
      <c r="CA32" s="28" t="str">
        <f t="shared" ca="1" si="19"/>
        <v/>
      </c>
      <c r="CB32" s="28" t="str">
        <f t="shared" ca="1" si="19"/>
        <v/>
      </c>
      <c r="CC32" s="28" t="str">
        <f t="shared" ca="1" si="19"/>
        <v/>
      </c>
      <c r="CD32" s="28" t="str">
        <f t="shared" ca="1" si="19"/>
        <v/>
      </c>
      <c r="CE32" s="28" t="str">
        <f t="shared" ca="1" si="19"/>
        <v/>
      </c>
      <c r="CF32" s="28" t="str">
        <f t="shared" ca="1" si="19"/>
        <v/>
      </c>
      <c r="CG32" s="28" t="str">
        <f t="shared" ca="1" si="19"/>
        <v/>
      </c>
      <c r="CH32" s="28" t="str">
        <f t="shared" ca="1" si="19"/>
        <v/>
      </c>
      <c r="CI32" s="28" t="str">
        <f t="shared" ca="1" si="19"/>
        <v/>
      </c>
      <c r="CJ32" s="28" t="str">
        <f t="shared" ca="1" si="19"/>
        <v/>
      </c>
      <c r="CK32" s="28" t="str">
        <f t="shared" ca="1" si="19"/>
        <v/>
      </c>
      <c r="CL32" s="28" t="str">
        <f t="shared" ca="1" si="19"/>
        <v/>
      </c>
      <c r="CM32" s="28" t="str">
        <f t="shared" ca="1" si="19"/>
        <v/>
      </c>
      <c r="CN32" s="28" t="str">
        <f t="shared" ca="1" si="19"/>
        <v/>
      </c>
      <c r="CO32" s="28" t="str">
        <f t="shared" ca="1" si="12"/>
        <v/>
      </c>
      <c r="CP32" s="28" t="str">
        <f t="shared" ca="1" si="12"/>
        <v/>
      </c>
      <c r="CQ32" s="28" t="str">
        <f t="shared" ca="1" si="12"/>
        <v/>
      </c>
      <c r="CR32" s="28" t="str">
        <f t="shared" ca="1" si="12"/>
        <v/>
      </c>
      <c r="CS32" s="28" t="str">
        <f t="shared" ca="1" si="12"/>
        <v/>
      </c>
      <c r="CT32" s="28" t="str">
        <f t="shared" ca="1" si="12"/>
        <v/>
      </c>
      <c r="CU32" s="28" t="str">
        <f t="shared" ca="1" si="12"/>
        <v/>
      </c>
      <c r="CV32" s="346" t="str">
        <f t="shared" ca="1" si="12"/>
        <v/>
      </c>
    </row>
    <row r="33" spans="2:100" ht="15">
      <c r="B33" s="63" t="str">
        <v>BY</v>
      </c>
      <c r="C33" s="16" t="str">
        <f t="shared" si="8"/>
        <v>BY11:BY56</v>
      </c>
      <c r="D33" s="342" t="str">
        <f t="shared" ca="1" si="9"/>
        <v>Tm23</v>
      </c>
      <c r="E33" s="349" t="str">
        <f t="shared" ca="1" si="10"/>
        <v>Tm18</v>
      </c>
      <c r="F33" s="349" t="str">
        <f t="shared" ca="1" si="15"/>
        <v>ng</v>
      </c>
      <c r="G33" s="349" t="str">
        <f t="shared" ca="1" si="15"/>
        <v>ng</v>
      </c>
      <c r="H33" s="349" t="str">
        <f t="shared" ca="1" si="15"/>
        <v>Tm17</v>
      </c>
      <c r="I33" s="349" t="str">
        <f t="shared" ca="1" si="15"/>
        <v>ng</v>
      </c>
      <c r="J33" s="349" t="str">
        <f t="shared" ca="1" si="15"/>
        <v>Tm19</v>
      </c>
      <c r="K33" s="349" t="str">
        <f t="shared" ca="1" si="15"/>
        <v>Tm20</v>
      </c>
      <c r="L33" s="349" t="str">
        <f t="shared" ca="1" si="15"/>
        <v>ng</v>
      </c>
      <c r="M33" s="349" t="str">
        <f t="shared" ca="1" si="15"/>
        <v>ng</v>
      </c>
      <c r="N33" s="349" t="str">
        <f t="shared" ca="1" si="15"/>
        <v>Tm22</v>
      </c>
      <c r="O33" s="349" t="str">
        <f t="shared" ca="1" si="15"/>
        <v>Tm21</v>
      </c>
      <c r="P33" s="349" t="str">
        <f t="shared" ca="1" si="15"/>
        <v>ng</v>
      </c>
      <c r="Q33" s="349" t="str">
        <f t="shared" ca="1" si="15"/>
        <v>ng</v>
      </c>
      <c r="R33" s="349" t="str">
        <f t="shared" ca="1" si="15"/>
        <v>Tm24</v>
      </c>
      <c r="S33" s="349" t="str">
        <f t="shared" ca="1" si="15"/>
        <v>ng</v>
      </c>
      <c r="T33" s="349" t="str">
        <f t="shared" ca="1" si="15"/>
        <v>ng</v>
      </c>
      <c r="U33" s="349" t="str">
        <f t="shared" ca="1" si="15"/>
        <v>ng</v>
      </c>
      <c r="V33" s="349" t="str">
        <f t="shared" ca="1" si="15"/>
        <v>ng</v>
      </c>
      <c r="W33" s="349" t="str">
        <f t="shared" ca="1" si="15"/>
        <v>ng</v>
      </c>
      <c r="X33" s="349" t="str">
        <f t="shared" ca="1" si="15"/>
        <v>ng</v>
      </c>
      <c r="Y33" s="349" t="str">
        <f t="shared" ca="1" si="15"/>
        <v>ng</v>
      </c>
      <c r="Z33" s="349" t="str">
        <f t="shared" ca="1" si="15"/>
        <v>ng</v>
      </c>
      <c r="AA33" s="349" t="str">
        <f t="shared" ca="1" si="15"/>
        <v>ng</v>
      </c>
      <c r="AB33" s="349" t="str">
        <f t="shared" ca="1" si="15"/>
        <v>ng</v>
      </c>
      <c r="AC33" s="349" t="str">
        <f t="shared" ca="1" si="15"/>
        <v>ng</v>
      </c>
      <c r="AD33" s="349" t="str">
        <f t="shared" ca="1" si="15"/>
        <v>ng</v>
      </c>
      <c r="AE33" s="349" t="str">
        <f t="shared" ca="1" si="15"/>
        <v>ng</v>
      </c>
      <c r="AF33" s="349" t="str">
        <f t="shared" ca="1" si="15"/>
        <v>ng</v>
      </c>
      <c r="AG33" s="349" t="str">
        <f t="shared" ca="1" si="15"/>
        <v>ng</v>
      </c>
      <c r="AH33" s="349" t="str">
        <f t="shared" ca="1" si="15"/>
        <v>ng</v>
      </c>
      <c r="AI33" s="349" t="str">
        <f t="shared" ca="1" si="15"/>
        <v>ng</v>
      </c>
      <c r="AJ33" s="349" t="str">
        <f t="shared" ca="1" si="15"/>
        <v>ng</v>
      </c>
      <c r="AK33" s="349" t="str">
        <f t="shared" ca="1" si="15"/>
        <v>ng</v>
      </c>
      <c r="AL33" s="349" t="str">
        <f t="shared" ca="1" si="16"/>
        <v>ng</v>
      </c>
      <c r="AM33" s="349" t="str">
        <f t="shared" ca="1" si="16"/>
        <v>ng</v>
      </c>
      <c r="AN33" s="349" t="str">
        <f t="shared" ca="1" si="16"/>
        <v>ng</v>
      </c>
      <c r="AO33" s="349" t="str">
        <f t="shared" ca="1" si="16"/>
        <v>ng</v>
      </c>
      <c r="AP33" s="349" t="str">
        <f t="shared" ca="1" si="16"/>
        <v>ng</v>
      </c>
      <c r="AQ33" s="349" t="str">
        <f t="shared" ca="1" si="16"/>
        <v>ng</v>
      </c>
      <c r="AR33" s="350" t="str">
        <f t="shared" ca="1" si="16"/>
        <v>ng</v>
      </c>
      <c r="BA33" s="16" t="str">
        <v>BY</v>
      </c>
      <c r="BB33" s="342" t="str">
        <f ca="1">DcI!C33</f>
        <v>Tm23</v>
      </c>
      <c r="BC33" s="28" t="str">
        <f ca="1">IF(DcI!D33="X","X",IF(LEN(DcI!D33)=3,CONCATENATE("0",LEFT(DcI!D33,1)),IF(LEN(DcI!D33)=5,LEFT(DcI!D33,2),IF(MID(DcI!D33,2,1)="•",CONCATENATE("0",LEFT(DcI!D33,1)),LEFT(DcI!D33,2)))))</f>
        <v/>
      </c>
      <c r="BD33" s="28" t="str">
        <f ca="1">IF(DcI!E33="X","X",IF(LEN(DcI!E33)=3,CONCATENATE("0",LEFT(DcI!E33,1)),IF(LEN(DcI!E33)=5,LEFT(DcI!E33,2),IF(MID(DcI!E33,2,1)="•",CONCATENATE("0",LEFT(DcI!E33,1)),LEFT(DcI!E33,2)))))</f>
        <v/>
      </c>
      <c r="BE33" s="28" t="str">
        <f ca="1">IF(DcI!F33="X","X",IF(LEN(DcI!F33)=3,CONCATENATE("0",LEFT(DcI!F33,1)),IF(LEN(DcI!F33)=5,LEFT(DcI!F33,2),IF(MID(DcI!F33,2,1)="•",CONCATENATE("0",LEFT(DcI!F33,1)),LEFT(DcI!F33,2)))))</f>
        <v/>
      </c>
      <c r="BF33" s="28" t="str">
        <f ca="1">IF(DcI!G33="X","X",IF(LEN(DcI!G33)=3,CONCATENATE("0",LEFT(DcI!G33,1)),IF(LEN(DcI!G33)=5,LEFT(DcI!G33,2),IF(MID(DcI!G33,2,1)="•",CONCATENATE("0",LEFT(DcI!G33,1)),LEFT(DcI!G33,2)))))</f>
        <v/>
      </c>
      <c r="BG33" s="28" t="str">
        <f ca="1">IF(DcI!H33="X","X",IF(LEN(DcI!H33)=3,CONCATENATE("0",LEFT(DcI!H33,1)),IF(LEN(DcI!H33)=5,LEFT(DcI!H33,2),IF(MID(DcI!H33,2,1)="•",CONCATENATE("0",LEFT(DcI!H33,1)),LEFT(DcI!H33,2)))))</f>
        <v/>
      </c>
      <c r="BH33" s="28" t="str">
        <f ca="1">IF(DcI!I33="X","X",IF(LEN(DcI!I33)=3,CONCATENATE("0",LEFT(DcI!I33,1)),IF(LEN(DcI!I33)=5,LEFT(DcI!I33,2),IF(MID(DcI!I33,2,1)="•",CONCATENATE("0",LEFT(DcI!I33,1)),LEFT(DcI!I33,2)))))</f>
        <v/>
      </c>
      <c r="BI33" s="28" t="str">
        <f ca="1">IF(DcI!J33="X","X",IF(LEN(DcI!J33)=3,CONCATENATE("0",LEFT(DcI!J33,1)),IF(LEN(DcI!J33)=5,LEFT(DcI!J33,2),IF(MID(DcI!J33,2,1)="•",CONCATENATE("0",LEFT(DcI!J33,1)),LEFT(DcI!J33,2)))))</f>
        <v/>
      </c>
      <c r="BJ33" s="28" t="str">
        <f ca="1">IF(DcI!K33="X","X",IF(LEN(DcI!K33)=3,CONCATENATE("0",LEFT(DcI!K33,1)),IF(LEN(DcI!K33)=5,LEFT(DcI!K33,2),IF(MID(DcI!K33,2,1)="•",CONCATENATE("0",LEFT(DcI!K33,1)),LEFT(DcI!K33,2)))))</f>
        <v/>
      </c>
      <c r="BK33" s="28" t="str">
        <f ca="1">IF(DcI!L33="X","X",IF(LEN(DcI!L33)=3,CONCATENATE("0",LEFT(DcI!L33,1)),IF(LEN(DcI!L33)=5,LEFT(DcI!L33,2),IF(MID(DcI!L33,2,1)="•",CONCATENATE("0",LEFT(DcI!L33,1)),LEFT(DcI!L33,2)))))</f>
        <v/>
      </c>
      <c r="BL33" s="28" t="str">
        <f ca="1">IF(DcI!M33="X","X",IF(LEN(DcI!M33)=3,CONCATENATE("0",LEFT(DcI!M33,1)),IF(LEN(DcI!M33)=5,LEFT(DcI!M33,2),IF(MID(DcI!M33,2,1)="•",CONCATENATE("0",LEFT(DcI!M33,1)),LEFT(DcI!M33,2)))))</f>
        <v/>
      </c>
      <c r="BM33" s="28" t="str">
        <f ca="1">IF(DcI!N33="X","X",IF(LEN(DcI!N33)=3,CONCATENATE("0",LEFT(DcI!N33,1)),IF(LEN(DcI!N33)=5,LEFT(DcI!N33,2),IF(MID(DcI!N33,2,1)="•",CONCATENATE("0",LEFT(DcI!N33,1)),LEFT(DcI!N33,2)))))</f>
        <v/>
      </c>
      <c r="BN33" s="28" t="str">
        <f ca="1">IF(DcI!O33="X","X",IF(LEN(DcI!O33)=3,CONCATENATE("0",LEFT(DcI!O33,1)),IF(LEN(DcI!O33)=5,LEFT(DcI!O33,2),IF(MID(DcI!O33,2,1)="•",CONCATENATE("0",LEFT(DcI!O33,1)),LEFT(DcI!O33,2)))))</f>
        <v/>
      </c>
      <c r="BO33" s="28" t="str">
        <f ca="1">IF(DcI!P33="X","X",IF(LEN(DcI!P33)=3,CONCATENATE("0",LEFT(DcI!P33,1)),IF(LEN(DcI!P33)=5,LEFT(DcI!P33,2),IF(MID(DcI!P33,2,1)="•",CONCATENATE("0",LEFT(DcI!P33,1)),LEFT(DcI!P33,2)))))</f>
        <v/>
      </c>
      <c r="BP33" s="28" t="str">
        <f ca="1">IF(DcI!Q33="X","X",IF(LEN(DcI!Q33)=3,CONCATENATE("0",LEFT(DcI!Q33,1)),IF(LEN(DcI!Q33)=5,LEFT(DcI!Q33,2),IF(MID(DcI!Q33,2,1)="•",CONCATENATE("0",LEFT(DcI!Q33,1)),LEFT(DcI!Q33,2)))))</f>
        <v/>
      </c>
      <c r="BQ33" s="28" t="str">
        <f ca="1">IF(DcI!R33="X","X",IF(LEN(DcI!R33)=3,CONCATENATE("0",LEFT(DcI!R33,1)),IF(LEN(DcI!R33)=5,LEFT(DcI!R33,2),IF(MID(DcI!R33,2,1)="•",CONCATENATE("0",LEFT(DcI!R33,1)),LEFT(DcI!R33,2)))))</f>
        <v/>
      </c>
      <c r="BR33" s="28" t="str">
        <f ca="1">IF(DcI!S33="X","X",IF(LEN(DcI!S33)=3,CONCATENATE("0",LEFT(DcI!S33,1)),IF(LEN(DcI!S33)=5,LEFT(DcI!S33,2),IF(MID(DcI!S33,2,1)="•",CONCATENATE("0",LEFT(DcI!S33,1)),LEFT(DcI!S33,2)))))</f>
        <v/>
      </c>
      <c r="BS33" s="28" t="str">
        <f ca="1">IF(DcI!T33="X","X",IF(LEN(DcI!T33)=3,CONCATENATE("0",LEFT(DcI!T33,1)),IF(LEN(DcI!T33)=5,LEFT(DcI!T33,2),IF(MID(DcI!T33,2,1)="•",CONCATENATE("0",LEFT(DcI!T33,1)),LEFT(DcI!T33,2)))))</f>
        <v>04</v>
      </c>
      <c r="BT33" s="28" t="str">
        <f ca="1">IF(DcI!U33="X","X",IF(LEN(DcI!U33)=3,CONCATENATE("0",LEFT(DcI!U33,1)),IF(LEN(DcI!U33)=5,LEFT(DcI!U33,2),IF(MID(DcI!U33,2,1)="•",CONCATENATE("0",LEFT(DcI!U33,1)),LEFT(DcI!U33,2)))))</f>
        <v>01</v>
      </c>
      <c r="BU33" s="28" t="str">
        <f ca="1">IF(DcI!V33="X","X",IF(LEN(DcI!V33)=3,CONCATENATE("0",LEFT(DcI!V33,1)),IF(LEN(DcI!V33)=5,LEFT(DcI!V33,2),IF(MID(DcI!V33,2,1)="•",CONCATENATE("0",LEFT(DcI!V33,1)),LEFT(DcI!V33,2)))))</f>
        <v>06</v>
      </c>
      <c r="BV33" s="28" t="str">
        <f ca="1">IF(DcI!W33="X","X",IF(LEN(DcI!W33)=3,CONCATENATE("0",LEFT(DcI!W33,1)),IF(LEN(DcI!W33)=5,LEFT(DcI!W33,2),IF(MID(DcI!W33,2,1)="•",CONCATENATE("0",LEFT(DcI!W33,1)),LEFT(DcI!W33,2)))))</f>
        <v>07</v>
      </c>
      <c r="BW33" s="28" t="str">
        <f ca="1">IF(DcI!X33="X","X",IF(LEN(DcI!X33)=3,CONCATENATE("0",LEFT(DcI!X33,1)),IF(LEN(DcI!X33)=5,LEFT(DcI!X33,2),IF(MID(DcI!X33,2,1)="•",CONCATENATE("0",LEFT(DcI!X33,1)),LEFT(DcI!X33,2)))))</f>
        <v>11</v>
      </c>
      <c r="BX33" s="28" t="str">
        <f ca="1">IF(DcI!Y33="X","X",IF(LEN(DcI!Y33)=3,CONCATENATE("0",LEFT(DcI!Y33,1)),IF(LEN(DcI!Y33)=5,LEFT(DcI!Y33,2),IF(MID(DcI!Y33,2,1)="•",CONCATENATE("0",LEFT(DcI!Y33,1)),LEFT(DcI!Y33,2)))))</f>
        <v>10</v>
      </c>
      <c r="BY33" s="347" t="str">
        <f ca="1">IF(DcI!Z33="X","X",IF(LEN(DcI!Z33)=3,CONCATENATE("0",LEFT(DcI!Z33,1)),IF(LEN(DcI!Z33)=5,LEFT(DcI!Z33,2),IF(MID(DcI!Z33,2,1)="•",CONCATENATE("0",LEFT(DcI!Z33,1)),LEFT(DcI!Z33,2)))))</f>
        <v>X</v>
      </c>
      <c r="BZ33" s="28" t="str">
        <f t="shared" ca="1" si="19"/>
        <v>14</v>
      </c>
      <c r="CA33" s="28" t="str">
        <f t="shared" ca="1" si="19"/>
        <v/>
      </c>
      <c r="CB33" s="28" t="str">
        <f t="shared" ca="1" si="19"/>
        <v/>
      </c>
      <c r="CC33" s="28" t="str">
        <f t="shared" ca="1" si="19"/>
        <v/>
      </c>
      <c r="CD33" s="28" t="str">
        <f t="shared" ca="1" si="19"/>
        <v/>
      </c>
      <c r="CE33" s="28" t="str">
        <f t="shared" ca="1" si="19"/>
        <v/>
      </c>
      <c r="CF33" s="28" t="str">
        <f t="shared" ca="1" si="19"/>
        <v/>
      </c>
      <c r="CG33" s="28" t="str">
        <f t="shared" ca="1" si="19"/>
        <v/>
      </c>
      <c r="CH33" s="28" t="str">
        <f t="shared" ca="1" si="19"/>
        <v/>
      </c>
      <c r="CI33" s="28" t="str">
        <f t="shared" ca="1" si="19"/>
        <v/>
      </c>
      <c r="CJ33" s="28" t="str">
        <f t="shared" ca="1" si="19"/>
        <v/>
      </c>
      <c r="CK33" s="28" t="str">
        <f t="shared" ca="1" si="19"/>
        <v/>
      </c>
      <c r="CL33" s="28" t="str">
        <f t="shared" ca="1" si="19"/>
        <v/>
      </c>
      <c r="CM33" s="28" t="str">
        <f t="shared" ca="1" si="19"/>
        <v/>
      </c>
      <c r="CN33" s="28" t="str">
        <f t="shared" ca="1" si="19"/>
        <v/>
      </c>
      <c r="CO33" s="28" t="str">
        <f t="shared" ca="1" si="12"/>
        <v/>
      </c>
      <c r="CP33" s="28" t="str">
        <f t="shared" ca="1" si="12"/>
        <v/>
      </c>
      <c r="CQ33" s="28" t="str">
        <f t="shared" ca="1" si="12"/>
        <v/>
      </c>
      <c r="CR33" s="28" t="str">
        <f t="shared" ca="1" si="12"/>
        <v/>
      </c>
      <c r="CS33" s="28" t="str">
        <f t="shared" ca="1" si="12"/>
        <v/>
      </c>
      <c r="CT33" s="28" t="str">
        <f t="shared" ca="1" si="12"/>
        <v/>
      </c>
      <c r="CU33" s="28" t="str">
        <f t="shared" ca="1" si="12"/>
        <v/>
      </c>
      <c r="CV33" s="346" t="str">
        <f t="shared" ca="1" si="12"/>
        <v/>
      </c>
    </row>
    <row r="34" spans="2:100" ht="15">
      <c r="B34" s="63" t="str">
        <v>BZ</v>
      </c>
      <c r="C34" s="16" t="str">
        <f t="shared" si="8"/>
        <v>BZ11:BZ56</v>
      </c>
      <c r="D34" s="342" t="str">
        <f t="shared" ca="1" si="9"/>
        <v>Tm24</v>
      </c>
      <c r="E34" s="349" t="str">
        <f t="shared" ca="1" si="10"/>
        <v>ng</v>
      </c>
      <c r="F34" s="349" t="str">
        <f t="shared" ca="1" si="15"/>
        <v>Tm17</v>
      </c>
      <c r="G34" s="349" t="str">
        <f t="shared" ca="1" si="15"/>
        <v>Tm20</v>
      </c>
      <c r="H34" s="349" t="str">
        <f t="shared" ca="1" si="15"/>
        <v>ng</v>
      </c>
      <c r="I34" s="349" t="str">
        <f t="shared" ca="1" si="15"/>
        <v>Tm18</v>
      </c>
      <c r="J34" s="349" t="str">
        <f t="shared" ca="1" si="15"/>
        <v>ng</v>
      </c>
      <c r="K34" s="349" t="str">
        <f t="shared" ca="1" si="15"/>
        <v>ng</v>
      </c>
      <c r="L34" s="349" t="str">
        <f t="shared" ca="1" si="15"/>
        <v>Tm19</v>
      </c>
      <c r="M34" s="349" t="str">
        <f t="shared" ca="1" si="15"/>
        <v>ng</v>
      </c>
      <c r="N34" s="349" t="str">
        <f t="shared" ca="1" si="15"/>
        <v>Tm21</v>
      </c>
      <c r="O34" s="349" t="str">
        <f t="shared" ca="1" si="15"/>
        <v>Tm22</v>
      </c>
      <c r="P34" s="349" t="str">
        <f t="shared" ca="1" si="15"/>
        <v>ng</v>
      </c>
      <c r="Q34" s="349" t="str">
        <f t="shared" ca="1" si="15"/>
        <v>ng</v>
      </c>
      <c r="R34" s="349" t="str">
        <f t="shared" ca="1" si="15"/>
        <v>Tm23</v>
      </c>
      <c r="S34" s="349" t="str">
        <f t="shared" ca="1" si="15"/>
        <v>ng</v>
      </c>
      <c r="T34" s="349" t="str">
        <f t="shared" ca="1" si="15"/>
        <v>ng</v>
      </c>
      <c r="U34" s="349" t="str">
        <f t="shared" ca="1" si="15"/>
        <v>ng</v>
      </c>
      <c r="V34" s="349" t="str">
        <f t="shared" ca="1" si="15"/>
        <v>ng</v>
      </c>
      <c r="W34" s="349" t="str">
        <f t="shared" ca="1" si="15"/>
        <v>ng</v>
      </c>
      <c r="X34" s="349" t="str">
        <f t="shared" ca="1" si="15"/>
        <v>ng</v>
      </c>
      <c r="Y34" s="349" t="str">
        <f t="shared" ca="1" si="15"/>
        <v>ng</v>
      </c>
      <c r="Z34" s="349" t="str">
        <f t="shared" ca="1" si="15"/>
        <v>ng</v>
      </c>
      <c r="AA34" s="349" t="str">
        <f t="shared" ca="1" si="15"/>
        <v>ng</v>
      </c>
      <c r="AB34" s="349" t="str">
        <f t="shared" ca="1" si="15"/>
        <v>ng</v>
      </c>
      <c r="AC34" s="349" t="str">
        <f t="shared" ca="1" si="15"/>
        <v>ng</v>
      </c>
      <c r="AD34" s="349" t="str">
        <f t="shared" ca="1" si="15"/>
        <v>ng</v>
      </c>
      <c r="AE34" s="349" t="str">
        <f t="shared" ca="1" si="15"/>
        <v>ng</v>
      </c>
      <c r="AF34" s="349" t="str">
        <f t="shared" ca="1" si="15"/>
        <v>ng</v>
      </c>
      <c r="AG34" s="349" t="str">
        <f t="shared" ca="1" si="15"/>
        <v>ng</v>
      </c>
      <c r="AH34" s="349" t="str">
        <f t="shared" ca="1" si="15"/>
        <v>ng</v>
      </c>
      <c r="AI34" s="349" t="str">
        <f t="shared" ca="1" si="15"/>
        <v>ng</v>
      </c>
      <c r="AJ34" s="349" t="str">
        <f t="shared" ca="1" si="15"/>
        <v>ng</v>
      </c>
      <c r="AK34" s="349" t="str">
        <f t="shared" ca="1" si="15"/>
        <v>ng</v>
      </c>
      <c r="AL34" s="349" t="str">
        <f t="shared" ca="1" si="16"/>
        <v>ng</v>
      </c>
      <c r="AM34" s="349" t="str">
        <f t="shared" ca="1" si="16"/>
        <v>ng</v>
      </c>
      <c r="AN34" s="349" t="str">
        <f t="shared" ca="1" si="16"/>
        <v>ng</v>
      </c>
      <c r="AO34" s="349" t="str">
        <f t="shared" ca="1" si="16"/>
        <v>ng</v>
      </c>
      <c r="AP34" s="349" t="str">
        <f t="shared" ca="1" si="16"/>
        <v>ng</v>
      </c>
      <c r="AQ34" s="349" t="str">
        <f t="shared" ca="1" si="16"/>
        <v>ng</v>
      </c>
      <c r="AR34" s="350" t="str">
        <f t="shared" ca="1" si="16"/>
        <v>ng</v>
      </c>
      <c r="BA34" s="16" t="str">
        <v>BZ</v>
      </c>
      <c r="BB34" s="342" t="str">
        <f ca="1">DcI!C34</f>
        <v>Tm24</v>
      </c>
      <c r="BC34" s="28" t="str">
        <f ca="1">IF(DcI!D34="X","X",IF(LEN(DcI!D34)=3,CONCATENATE("0",LEFT(DcI!D34,1)),IF(LEN(DcI!D34)=5,LEFT(DcI!D34,2),IF(MID(DcI!D34,2,1)="•",CONCATENATE("0",LEFT(DcI!D34,1)),LEFT(DcI!D34,2)))))</f>
        <v/>
      </c>
      <c r="BD34" s="28" t="str">
        <f ca="1">IF(DcI!E34="X","X",IF(LEN(DcI!E34)=3,CONCATENATE("0",LEFT(DcI!E34,1)),IF(LEN(DcI!E34)=5,LEFT(DcI!E34,2),IF(MID(DcI!E34,2,1)="•",CONCATENATE("0",LEFT(DcI!E34,1)),LEFT(DcI!E34,2)))))</f>
        <v/>
      </c>
      <c r="BE34" s="28" t="str">
        <f ca="1">IF(DcI!F34="X","X",IF(LEN(DcI!F34)=3,CONCATENATE("0",LEFT(DcI!F34,1)),IF(LEN(DcI!F34)=5,LEFT(DcI!F34,2),IF(MID(DcI!F34,2,1)="•",CONCATENATE("0",LEFT(DcI!F34,1)),LEFT(DcI!F34,2)))))</f>
        <v/>
      </c>
      <c r="BF34" s="28" t="str">
        <f ca="1">IF(DcI!G34="X","X",IF(LEN(DcI!G34)=3,CONCATENATE("0",LEFT(DcI!G34,1)),IF(LEN(DcI!G34)=5,LEFT(DcI!G34,2),IF(MID(DcI!G34,2,1)="•",CONCATENATE("0",LEFT(DcI!G34,1)),LEFT(DcI!G34,2)))))</f>
        <v/>
      </c>
      <c r="BG34" s="28" t="str">
        <f ca="1">IF(DcI!H34="X","X",IF(LEN(DcI!H34)=3,CONCATENATE("0",LEFT(DcI!H34,1)),IF(LEN(DcI!H34)=5,LEFT(DcI!H34,2),IF(MID(DcI!H34,2,1)="•",CONCATENATE("0",LEFT(DcI!H34,1)),LEFT(DcI!H34,2)))))</f>
        <v/>
      </c>
      <c r="BH34" s="28" t="str">
        <f ca="1">IF(DcI!I34="X","X",IF(LEN(DcI!I34)=3,CONCATENATE("0",LEFT(DcI!I34,1)),IF(LEN(DcI!I34)=5,LEFT(DcI!I34,2),IF(MID(DcI!I34,2,1)="•",CONCATENATE("0",LEFT(DcI!I34,1)),LEFT(DcI!I34,2)))))</f>
        <v/>
      </c>
      <c r="BI34" s="28" t="str">
        <f ca="1">IF(DcI!J34="X","X",IF(LEN(DcI!J34)=3,CONCATENATE("0",LEFT(DcI!J34,1)),IF(LEN(DcI!J34)=5,LEFT(DcI!J34,2),IF(MID(DcI!J34,2,1)="•",CONCATENATE("0",LEFT(DcI!J34,1)),LEFT(DcI!J34,2)))))</f>
        <v/>
      </c>
      <c r="BJ34" s="28" t="str">
        <f ca="1">IF(DcI!K34="X","X",IF(LEN(DcI!K34)=3,CONCATENATE("0",LEFT(DcI!K34,1)),IF(LEN(DcI!K34)=5,LEFT(DcI!K34,2),IF(MID(DcI!K34,2,1)="•",CONCATENATE("0",LEFT(DcI!K34,1)),LEFT(DcI!K34,2)))))</f>
        <v/>
      </c>
      <c r="BK34" s="28" t="str">
        <f ca="1">IF(DcI!L34="X","X",IF(LEN(DcI!L34)=3,CONCATENATE("0",LEFT(DcI!L34,1)),IF(LEN(DcI!L34)=5,LEFT(DcI!L34,2),IF(MID(DcI!L34,2,1)="•",CONCATENATE("0",LEFT(DcI!L34,1)),LEFT(DcI!L34,2)))))</f>
        <v/>
      </c>
      <c r="BL34" s="28" t="str">
        <f ca="1">IF(DcI!M34="X","X",IF(LEN(DcI!M34)=3,CONCATENATE("0",LEFT(DcI!M34,1)),IF(LEN(DcI!M34)=5,LEFT(DcI!M34,2),IF(MID(DcI!M34,2,1)="•",CONCATENATE("0",LEFT(DcI!M34,1)),LEFT(DcI!M34,2)))))</f>
        <v/>
      </c>
      <c r="BM34" s="28" t="str">
        <f ca="1">IF(DcI!N34="X","X",IF(LEN(DcI!N34)=3,CONCATENATE("0",LEFT(DcI!N34,1)),IF(LEN(DcI!N34)=5,LEFT(DcI!N34,2),IF(MID(DcI!N34,2,1)="•",CONCATENATE("0",LEFT(DcI!N34,1)),LEFT(DcI!N34,2)))))</f>
        <v/>
      </c>
      <c r="BN34" s="28" t="str">
        <f ca="1">IF(DcI!O34="X","X",IF(LEN(DcI!O34)=3,CONCATENATE("0",LEFT(DcI!O34,1)),IF(LEN(DcI!O34)=5,LEFT(DcI!O34,2),IF(MID(DcI!O34,2,1)="•",CONCATENATE("0",LEFT(DcI!O34,1)),LEFT(DcI!O34,2)))))</f>
        <v/>
      </c>
      <c r="BO34" s="28" t="str">
        <f ca="1">IF(DcI!P34="X","X",IF(LEN(DcI!P34)=3,CONCATENATE("0",LEFT(DcI!P34,1)),IF(LEN(DcI!P34)=5,LEFT(DcI!P34,2),IF(MID(DcI!P34,2,1)="•",CONCATENATE("0",LEFT(DcI!P34,1)),LEFT(DcI!P34,2)))))</f>
        <v/>
      </c>
      <c r="BP34" s="28" t="str">
        <f ca="1">IF(DcI!Q34="X","X",IF(LEN(DcI!Q34)=3,CONCATENATE("0",LEFT(DcI!Q34,1)),IF(LEN(DcI!Q34)=5,LEFT(DcI!Q34,2),IF(MID(DcI!Q34,2,1)="•",CONCATENATE("0",LEFT(DcI!Q34,1)),LEFT(DcI!Q34,2)))))</f>
        <v/>
      </c>
      <c r="BQ34" s="28" t="str">
        <f ca="1">IF(DcI!R34="X","X",IF(LEN(DcI!R34)=3,CONCATENATE("0",LEFT(DcI!R34,1)),IF(LEN(DcI!R34)=5,LEFT(DcI!R34,2),IF(MID(DcI!R34,2,1)="•",CONCATENATE("0",LEFT(DcI!R34,1)),LEFT(DcI!R34,2)))))</f>
        <v/>
      </c>
      <c r="BR34" s="28" t="str">
        <f ca="1">IF(DcI!S34="X","X",IF(LEN(DcI!S34)=3,CONCATENATE("0",LEFT(DcI!S34,1)),IF(LEN(DcI!S34)=5,LEFT(DcI!S34,2),IF(MID(DcI!S34,2,1)="•",CONCATENATE("0",LEFT(DcI!S34,1)),LEFT(DcI!S34,2)))))</f>
        <v/>
      </c>
      <c r="BS34" s="28" t="str">
        <f ca="1">IF(DcI!T34="X","X",IF(LEN(DcI!T34)=3,CONCATENATE("0",LEFT(DcI!T34,1)),IF(LEN(DcI!T34)=5,LEFT(DcI!T34,2),IF(MID(DcI!T34,2,1)="•",CONCATENATE("0",LEFT(DcI!T34,1)),LEFT(DcI!T34,2)))))</f>
        <v>02</v>
      </c>
      <c r="BT34" s="28" t="str">
        <f ca="1">IF(DcI!U34="X","X",IF(LEN(DcI!U34)=3,CONCATENATE("0",LEFT(DcI!U34,1)),IF(LEN(DcI!U34)=5,LEFT(DcI!U34,2),IF(MID(DcI!U34,2,1)="•",CONCATENATE("0",LEFT(DcI!U34,1)),LEFT(DcI!U34,2)))))</f>
        <v>05</v>
      </c>
      <c r="BU34" s="28" t="str">
        <f ca="1">IF(DcI!V34="X","X",IF(LEN(DcI!V34)=3,CONCATENATE("0",LEFT(DcI!V34,1)),IF(LEN(DcI!V34)=5,LEFT(DcI!V34,2),IF(MID(DcI!V34,2,1)="•",CONCATENATE("0",LEFT(DcI!V34,1)),LEFT(DcI!V34,2)))))</f>
        <v>08</v>
      </c>
      <c r="BV34" s="28" t="str">
        <f ca="1">IF(DcI!W34="X","X",IF(LEN(DcI!W34)=3,CONCATENATE("0",LEFT(DcI!W34,1)),IF(LEN(DcI!W34)=5,LEFT(DcI!W34,2),IF(MID(DcI!W34,2,1)="•",CONCATENATE("0",LEFT(DcI!W34,1)),LEFT(DcI!W34,2)))))</f>
        <v>03</v>
      </c>
      <c r="BW34" s="28" t="str">
        <f ca="1">IF(DcI!X34="X","X",IF(LEN(DcI!X34)=3,CONCATENATE("0",LEFT(DcI!X34,1)),IF(LEN(DcI!X34)=5,LEFT(DcI!X34,2),IF(MID(DcI!X34,2,1)="•",CONCATENATE("0",LEFT(DcI!X34,1)),LEFT(DcI!X34,2)))))</f>
        <v>10</v>
      </c>
      <c r="BX34" s="28" t="str">
        <f ca="1">IF(DcI!Y34="X","X",IF(LEN(DcI!Y34)=3,CONCATENATE("0",LEFT(DcI!Y34,1)),IF(LEN(DcI!Y34)=5,LEFT(DcI!Y34,2),IF(MID(DcI!Y34,2,1)="•",CONCATENATE("0",LEFT(DcI!Y34,1)),LEFT(DcI!Y34,2)))))</f>
        <v>11</v>
      </c>
      <c r="BY34" s="28" t="str">
        <f ca="1">IF(DcI!Z34="X","X",IF(LEN(DcI!Z34)=3,CONCATENATE("0",LEFT(DcI!Z34,1)),IF(LEN(DcI!Z34)=5,LEFT(DcI!Z34,2),IF(MID(DcI!Z34,2,1)="•",CONCATENATE("0",LEFT(DcI!Z34,1)),LEFT(DcI!Z34,2)))))</f>
        <v>14</v>
      </c>
      <c r="BZ34" s="347" t="str">
        <f ca="1">IF(DcI!AA34="X","X",IF(LEN(DcI!AA34)=3,CONCATENATE("0",LEFT(DcI!AA34,1)),IF(LEN(DcI!AA34)=5,LEFT(DcI!AA34,2),IF(MID(DcI!AA34,2,1)="•",CONCATENATE("0",LEFT(DcI!AA34,1)),LEFT(DcI!AA34,2)))))</f>
        <v>X</v>
      </c>
      <c r="CA34" s="28" t="str">
        <f t="shared" ca="1" si="19"/>
        <v/>
      </c>
      <c r="CB34" s="28" t="str">
        <f t="shared" ca="1" si="19"/>
        <v/>
      </c>
      <c r="CC34" s="28" t="str">
        <f t="shared" ca="1" si="19"/>
        <v/>
      </c>
      <c r="CD34" s="28" t="str">
        <f t="shared" ca="1" si="19"/>
        <v/>
      </c>
      <c r="CE34" s="28" t="str">
        <f t="shared" ca="1" si="19"/>
        <v/>
      </c>
      <c r="CF34" s="28" t="str">
        <f t="shared" ca="1" si="19"/>
        <v/>
      </c>
      <c r="CG34" s="28" t="str">
        <f t="shared" ca="1" si="19"/>
        <v/>
      </c>
      <c r="CH34" s="28" t="str">
        <f t="shared" ca="1" si="19"/>
        <v/>
      </c>
      <c r="CI34" s="28" t="str">
        <f t="shared" ca="1" si="19"/>
        <v/>
      </c>
      <c r="CJ34" s="28" t="str">
        <f t="shared" ca="1" si="19"/>
        <v/>
      </c>
      <c r="CK34" s="28" t="str">
        <f t="shared" ca="1" si="19"/>
        <v/>
      </c>
      <c r="CL34" s="28" t="str">
        <f t="shared" ca="1" si="19"/>
        <v/>
      </c>
      <c r="CM34" s="28" t="str">
        <f t="shared" ca="1" si="19"/>
        <v/>
      </c>
      <c r="CN34" s="28" t="str">
        <f t="shared" ca="1" si="19"/>
        <v/>
      </c>
      <c r="CO34" s="28" t="str">
        <f t="shared" ca="1" si="12"/>
        <v/>
      </c>
      <c r="CP34" s="28" t="str">
        <f t="shared" ca="1" si="12"/>
        <v/>
      </c>
      <c r="CQ34" s="28" t="str">
        <f t="shared" ca="1" si="12"/>
        <v/>
      </c>
      <c r="CR34" s="28" t="str">
        <f t="shared" ca="1" si="12"/>
        <v/>
      </c>
      <c r="CS34" s="28" t="str">
        <f t="shared" ca="1" si="12"/>
        <v/>
      </c>
      <c r="CT34" s="28" t="str">
        <f t="shared" ca="1" si="12"/>
        <v/>
      </c>
      <c r="CU34" s="28" t="str">
        <f t="shared" ca="1" si="12"/>
        <v/>
      </c>
      <c r="CV34" s="346" t="str">
        <f t="shared" ca="1" si="12"/>
        <v/>
      </c>
    </row>
    <row r="35" spans="2:100" ht="15">
      <c r="B35" s="63" t="str">
        <v>CA</v>
      </c>
      <c r="C35" s="16" t="str">
        <f t="shared" si="8"/>
        <v>CA11:CA56</v>
      </c>
      <c r="D35" s="342" t="str">
        <f t="shared" ca="1" si="9"/>
        <v/>
      </c>
      <c r="E35" s="349" t="str">
        <f t="shared" ca="1" si="10"/>
        <v>ng</v>
      </c>
      <c r="F35" s="349" t="str">
        <f t="shared" ca="1" si="15"/>
        <v>ng</v>
      </c>
      <c r="G35" s="349" t="str">
        <f t="shared" ca="1" si="15"/>
        <v>ng</v>
      </c>
      <c r="H35" s="349" t="str">
        <f t="shared" ca="1" si="15"/>
        <v>ng</v>
      </c>
      <c r="I35" s="349" t="str">
        <f t="shared" ca="1" si="15"/>
        <v>ng</v>
      </c>
      <c r="J35" s="349" t="str">
        <f t="shared" ca="1" si="15"/>
        <v>ng</v>
      </c>
      <c r="K35" s="349" t="str">
        <f t="shared" ca="1" si="15"/>
        <v>ng</v>
      </c>
      <c r="L35" s="349" t="str">
        <f t="shared" ca="1" si="15"/>
        <v>ng</v>
      </c>
      <c r="M35" s="349" t="str">
        <f t="shared" ca="1" si="15"/>
        <v>ng</v>
      </c>
      <c r="N35" s="349" t="str">
        <f t="shared" ca="1" si="15"/>
        <v>ng</v>
      </c>
      <c r="O35" s="349" t="str">
        <f t="shared" ca="1" si="15"/>
        <v>ng</v>
      </c>
      <c r="P35" s="349" t="str">
        <f t="shared" ca="1" si="15"/>
        <v>ng</v>
      </c>
      <c r="Q35" s="349" t="str">
        <f t="shared" ca="1" si="15"/>
        <v>ng</v>
      </c>
      <c r="R35" s="349" t="str">
        <f t="shared" ref="F35:AK43" ca="1" si="20">IF(ISERROR(INDIRECT(CONCATENATE("D",MATCH(R$6,INDIRECT($C35),0)+10))),"ng",INDIRECT(CONCATENATE("D",MATCH(R$6,INDIRECT($C35),0)+10)))</f>
        <v>ng</v>
      </c>
      <c r="S35" s="349" t="str">
        <f t="shared" ca="1" si="20"/>
        <v>ng</v>
      </c>
      <c r="T35" s="349" t="str">
        <f t="shared" ca="1" si="20"/>
        <v>ng</v>
      </c>
      <c r="U35" s="349" t="str">
        <f t="shared" ca="1" si="20"/>
        <v>ng</v>
      </c>
      <c r="V35" s="349" t="str">
        <f t="shared" ca="1" si="20"/>
        <v>ng</v>
      </c>
      <c r="W35" s="349" t="str">
        <f t="shared" ca="1" si="20"/>
        <v>ng</v>
      </c>
      <c r="X35" s="349" t="str">
        <f t="shared" ca="1" si="20"/>
        <v>ng</v>
      </c>
      <c r="Y35" s="349" t="str">
        <f t="shared" ca="1" si="20"/>
        <v>ng</v>
      </c>
      <c r="Z35" s="349" t="str">
        <f t="shared" ca="1" si="20"/>
        <v>ng</v>
      </c>
      <c r="AA35" s="349" t="str">
        <f t="shared" ca="1" si="20"/>
        <v>ng</v>
      </c>
      <c r="AB35" s="349" t="str">
        <f t="shared" ca="1" si="20"/>
        <v>ng</v>
      </c>
      <c r="AC35" s="349" t="str">
        <f t="shared" ca="1" si="20"/>
        <v>ng</v>
      </c>
      <c r="AD35" s="349" t="str">
        <f t="shared" ca="1" si="20"/>
        <v>ng</v>
      </c>
      <c r="AE35" s="349" t="str">
        <f t="shared" ca="1" si="20"/>
        <v>ng</v>
      </c>
      <c r="AF35" s="349" t="str">
        <f t="shared" ca="1" si="20"/>
        <v>ng</v>
      </c>
      <c r="AG35" s="349" t="str">
        <f t="shared" ca="1" si="20"/>
        <v>ng</v>
      </c>
      <c r="AH35" s="349" t="str">
        <f t="shared" ca="1" si="20"/>
        <v>ng</v>
      </c>
      <c r="AI35" s="349" t="str">
        <f t="shared" ca="1" si="20"/>
        <v>ng</v>
      </c>
      <c r="AJ35" s="349" t="str">
        <f t="shared" ca="1" si="20"/>
        <v>ng</v>
      </c>
      <c r="AK35" s="349" t="str">
        <f t="shared" ca="1" si="20"/>
        <v>ng</v>
      </c>
      <c r="AL35" s="349" t="str">
        <f t="shared" ca="1" si="16"/>
        <v>ng</v>
      </c>
      <c r="AM35" s="349" t="str">
        <f t="shared" ca="1" si="16"/>
        <v>ng</v>
      </c>
      <c r="AN35" s="349" t="str">
        <f t="shared" ca="1" si="16"/>
        <v>ng</v>
      </c>
      <c r="AO35" s="349" t="str">
        <f t="shared" ca="1" si="16"/>
        <v>ng</v>
      </c>
      <c r="AP35" s="349" t="str">
        <f t="shared" ca="1" si="16"/>
        <v>ng</v>
      </c>
      <c r="AQ35" s="349" t="str">
        <f t="shared" ca="1" si="16"/>
        <v>ng</v>
      </c>
      <c r="AR35" s="350" t="str">
        <f t="shared" ca="1" si="16"/>
        <v>ng</v>
      </c>
      <c r="BA35" s="16" t="str">
        <v>CA</v>
      </c>
      <c r="BB35" s="342" t="str">
        <f ca="1">DcI!C35</f>
        <v/>
      </c>
      <c r="BC35" s="28" t="str">
        <f ca="1">IF(DcI!D35="X","X",IF(LEN(DcI!D35)=3,CONCATENATE("0",LEFT(DcI!D35,1)),IF(LEN(DcI!D35)=5,LEFT(DcI!D35,2),IF(MID(DcI!D35,2,1)="•",CONCATENATE("0",LEFT(DcI!D35,1)),LEFT(DcI!D35,2)))))</f>
        <v/>
      </c>
      <c r="BD35" s="28" t="str">
        <f ca="1">IF(DcI!E35="X","X",IF(LEN(DcI!E35)=3,CONCATENATE("0",LEFT(DcI!E35,1)),IF(LEN(DcI!E35)=5,LEFT(DcI!E35,2),IF(MID(DcI!E35,2,1)="•",CONCATENATE("0",LEFT(DcI!E35,1)),LEFT(DcI!E35,2)))))</f>
        <v/>
      </c>
      <c r="BE35" s="28" t="str">
        <f ca="1">IF(DcI!F35="X","X",IF(LEN(DcI!F35)=3,CONCATENATE("0",LEFT(DcI!F35,1)),IF(LEN(DcI!F35)=5,LEFT(DcI!F35,2),IF(MID(DcI!F35,2,1)="•",CONCATENATE("0",LEFT(DcI!F35,1)),LEFT(DcI!F35,2)))))</f>
        <v/>
      </c>
      <c r="BF35" s="28" t="str">
        <f ca="1">IF(DcI!G35="X","X",IF(LEN(DcI!G35)=3,CONCATENATE("0",LEFT(DcI!G35,1)),IF(LEN(DcI!G35)=5,LEFT(DcI!G35,2),IF(MID(DcI!G35,2,1)="•",CONCATENATE("0",LEFT(DcI!G35,1)),LEFT(DcI!G35,2)))))</f>
        <v/>
      </c>
      <c r="BG35" s="28" t="str">
        <f ca="1">IF(DcI!H35="X","X",IF(LEN(DcI!H35)=3,CONCATENATE("0",LEFT(DcI!H35,1)),IF(LEN(DcI!H35)=5,LEFT(DcI!H35,2),IF(MID(DcI!H35,2,1)="•",CONCATENATE("0",LEFT(DcI!H35,1)),LEFT(DcI!H35,2)))))</f>
        <v/>
      </c>
      <c r="BH35" s="28" t="str">
        <f ca="1">IF(DcI!I35="X","X",IF(LEN(DcI!I35)=3,CONCATENATE("0",LEFT(DcI!I35,1)),IF(LEN(DcI!I35)=5,LEFT(DcI!I35,2),IF(MID(DcI!I35,2,1)="•",CONCATENATE("0",LEFT(DcI!I35,1)),LEFT(DcI!I35,2)))))</f>
        <v/>
      </c>
      <c r="BI35" s="28" t="str">
        <f ca="1">IF(DcI!J35="X","X",IF(LEN(DcI!J35)=3,CONCATENATE("0",LEFT(DcI!J35,1)),IF(LEN(DcI!J35)=5,LEFT(DcI!J35,2),IF(MID(DcI!J35,2,1)="•",CONCATENATE("0",LEFT(DcI!J35,1)),LEFT(DcI!J35,2)))))</f>
        <v/>
      </c>
      <c r="BJ35" s="28" t="str">
        <f ca="1">IF(DcI!K35="X","X",IF(LEN(DcI!K35)=3,CONCATENATE("0",LEFT(DcI!K35,1)),IF(LEN(DcI!K35)=5,LEFT(DcI!K35,2),IF(MID(DcI!K35,2,1)="•",CONCATENATE("0",LEFT(DcI!K35,1)),LEFT(DcI!K35,2)))))</f>
        <v/>
      </c>
      <c r="BK35" s="28" t="str">
        <f ca="1">IF(DcI!L35="X","X",IF(LEN(DcI!L35)=3,CONCATENATE("0",LEFT(DcI!L35,1)),IF(LEN(DcI!L35)=5,LEFT(DcI!L35,2),IF(MID(DcI!L35,2,1)="•",CONCATENATE("0",LEFT(DcI!L35,1)),LEFT(DcI!L35,2)))))</f>
        <v/>
      </c>
      <c r="BL35" s="28" t="str">
        <f ca="1">IF(DcI!M35="X","X",IF(LEN(DcI!M35)=3,CONCATENATE("0",LEFT(DcI!M35,1)),IF(LEN(DcI!M35)=5,LEFT(DcI!M35,2),IF(MID(DcI!M35,2,1)="•",CONCATENATE("0",LEFT(DcI!M35,1)),LEFT(DcI!M35,2)))))</f>
        <v/>
      </c>
      <c r="BM35" s="28" t="str">
        <f ca="1">IF(DcI!N35="X","X",IF(LEN(DcI!N35)=3,CONCATENATE("0",LEFT(DcI!N35,1)),IF(LEN(DcI!N35)=5,LEFT(DcI!N35,2),IF(MID(DcI!N35,2,1)="•",CONCATENATE("0",LEFT(DcI!N35,1)),LEFT(DcI!N35,2)))))</f>
        <v/>
      </c>
      <c r="BN35" s="28" t="str">
        <f ca="1">IF(DcI!O35="X","X",IF(LEN(DcI!O35)=3,CONCATENATE("0",LEFT(DcI!O35,1)),IF(LEN(DcI!O35)=5,LEFT(DcI!O35,2),IF(MID(DcI!O35,2,1)="•",CONCATENATE("0",LEFT(DcI!O35,1)),LEFT(DcI!O35,2)))))</f>
        <v/>
      </c>
      <c r="BO35" s="28" t="str">
        <f ca="1">IF(DcI!P35="X","X",IF(LEN(DcI!P35)=3,CONCATENATE("0",LEFT(DcI!P35,1)),IF(LEN(DcI!P35)=5,LEFT(DcI!P35,2),IF(MID(DcI!P35,2,1)="•",CONCATENATE("0",LEFT(DcI!P35,1)),LEFT(DcI!P35,2)))))</f>
        <v/>
      </c>
      <c r="BP35" s="28" t="str">
        <f ca="1">IF(DcI!Q35="X","X",IF(LEN(DcI!Q35)=3,CONCATENATE("0",LEFT(DcI!Q35,1)),IF(LEN(DcI!Q35)=5,LEFT(DcI!Q35,2),IF(MID(DcI!Q35,2,1)="•",CONCATENATE("0",LEFT(DcI!Q35,1)),LEFT(DcI!Q35,2)))))</f>
        <v/>
      </c>
      <c r="BQ35" s="28" t="str">
        <f ca="1">IF(DcI!R35="X","X",IF(LEN(DcI!R35)=3,CONCATENATE("0",LEFT(DcI!R35,1)),IF(LEN(DcI!R35)=5,LEFT(DcI!R35,2),IF(MID(DcI!R35,2,1)="•",CONCATENATE("0",LEFT(DcI!R35,1)),LEFT(DcI!R35,2)))))</f>
        <v/>
      </c>
      <c r="BR35" s="28" t="str">
        <f ca="1">IF(DcI!S35="X","X",IF(LEN(DcI!S35)=3,CONCATENATE("0",LEFT(DcI!S35,1)),IF(LEN(DcI!S35)=5,LEFT(DcI!S35,2),IF(MID(DcI!S35,2,1)="•",CONCATENATE("0",LEFT(DcI!S35,1)),LEFT(DcI!S35,2)))))</f>
        <v/>
      </c>
      <c r="BS35" s="28" t="str">
        <f ca="1">IF(DcI!T35="X","X",IF(LEN(DcI!T35)=3,CONCATENATE("0",LEFT(DcI!T35,1)),IF(LEN(DcI!T35)=5,LEFT(DcI!T35,2),IF(MID(DcI!T35,2,1)="•",CONCATENATE("0",LEFT(DcI!T35,1)),LEFT(DcI!T35,2)))))</f>
        <v/>
      </c>
      <c r="BT35" s="28" t="str">
        <f ca="1">IF(DcI!U35="X","X",IF(LEN(DcI!U35)=3,CONCATENATE("0",LEFT(DcI!U35,1)),IF(LEN(DcI!U35)=5,LEFT(DcI!U35,2),IF(MID(DcI!U35,2,1)="•",CONCATENATE("0",LEFT(DcI!U35,1)),LEFT(DcI!U35,2)))))</f>
        <v/>
      </c>
      <c r="BU35" s="28" t="str">
        <f ca="1">IF(DcI!V35="X","X",IF(LEN(DcI!V35)=3,CONCATENATE("0",LEFT(DcI!V35,1)),IF(LEN(DcI!V35)=5,LEFT(DcI!V35,2),IF(MID(DcI!V35,2,1)="•",CONCATENATE("0",LEFT(DcI!V35,1)),LEFT(DcI!V35,2)))))</f>
        <v/>
      </c>
      <c r="BV35" s="28" t="str">
        <f ca="1">IF(DcI!W35="X","X",IF(LEN(DcI!W35)=3,CONCATENATE("0",LEFT(DcI!W35,1)),IF(LEN(DcI!W35)=5,LEFT(DcI!W35,2),IF(MID(DcI!W35,2,1)="•",CONCATENATE("0",LEFT(DcI!W35,1)),LEFT(DcI!W35,2)))))</f>
        <v/>
      </c>
      <c r="BW35" s="28" t="str">
        <f ca="1">IF(DcI!X35="X","X",IF(LEN(DcI!X35)=3,CONCATENATE("0",LEFT(DcI!X35,1)),IF(LEN(DcI!X35)=5,LEFT(DcI!X35,2),IF(MID(DcI!X35,2,1)="•",CONCATENATE("0",LEFT(DcI!X35,1)),LEFT(DcI!X35,2)))))</f>
        <v/>
      </c>
      <c r="BX35" s="28" t="str">
        <f ca="1">IF(DcI!Y35="X","X",IF(LEN(DcI!Y35)=3,CONCATENATE("0",LEFT(DcI!Y35,1)),IF(LEN(DcI!Y35)=5,LEFT(DcI!Y35,2),IF(MID(DcI!Y35,2,1)="•",CONCATENATE("0",LEFT(DcI!Y35,1)),LEFT(DcI!Y35,2)))))</f>
        <v/>
      </c>
      <c r="BY35" s="28" t="str">
        <f ca="1">IF(DcI!Z35="X","X",IF(LEN(DcI!Z35)=3,CONCATENATE("0",LEFT(DcI!Z35,1)),IF(LEN(DcI!Z35)=5,LEFT(DcI!Z35,2),IF(MID(DcI!Z35,2,1)="•",CONCATENATE("0",LEFT(DcI!Z35,1)),LEFT(DcI!Z35,2)))))</f>
        <v/>
      </c>
      <c r="BZ35" s="28" t="str">
        <f ca="1">IF(DcI!AA35="X","X",IF(LEN(DcI!AA35)=3,CONCATENATE("0",LEFT(DcI!AA35,1)),IF(LEN(DcI!AA35)=5,LEFT(DcI!AA35,2),IF(MID(DcI!AA35,2,1)="•",CONCATENATE("0",LEFT(DcI!AA35,1)),LEFT(DcI!AA35,2)))))</f>
        <v/>
      </c>
      <c r="CA35" s="347" t="str">
        <f ca="1">IF(DcI!AB35="X","X",IF(LEN(DcI!AB35)=3,CONCATENATE("0",LEFT(DcI!AB35,1)),IF(LEN(DcI!AB35)=5,LEFT(DcI!AB35,2),IF(MID(DcI!AB35,2,1)="•",CONCATENATE("0",LEFT(DcI!AB35,1)),LEFT(DcI!AB35,2)))))</f>
        <v/>
      </c>
      <c r="CB35" s="28" t="str">
        <f t="shared" ca="1" si="19"/>
        <v/>
      </c>
      <c r="CC35" s="28" t="str">
        <f t="shared" ca="1" si="19"/>
        <v/>
      </c>
      <c r="CD35" s="28" t="str">
        <f t="shared" ca="1" si="19"/>
        <v/>
      </c>
      <c r="CE35" s="28" t="str">
        <f t="shared" ca="1" si="19"/>
        <v/>
      </c>
      <c r="CF35" s="28" t="str">
        <f t="shared" ca="1" si="19"/>
        <v/>
      </c>
      <c r="CG35" s="28" t="str">
        <f t="shared" ca="1" si="19"/>
        <v/>
      </c>
      <c r="CH35" s="28" t="str">
        <f t="shared" ca="1" si="19"/>
        <v/>
      </c>
      <c r="CI35" s="28" t="str">
        <f t="shared" ca="1" si="19"/>
        <v/>
      </c>
      <c r="CJ35" s="28" t="str">
        <f t="shared" ca="1" si="19"/>
        <v/>
      </c>
      <c r="CK35" s="28" t="str">
        <f t="shared" ca="1" si="19"/>
        <v/>
      </c>
      <c r="CL35" s="28" t="str">
        <f t="shared" ca="1" si="19"/>
        <v/>
      </c>
      <c r="CM35" s="28" t="str">
        <f t="shared" ca="1" si="19"/>
        <v/>
      </c>
      <c r="CN35" s="28" t="str">
        <f t="shared" ca="1" si="19"/>
        <v/>
      </c>
      <c r="CO35" s="28" t="str">
        <f t="shared" ca="1" si="12"/>
        <v/>
      </c>
      <c r="CP35" s="28" t="str">
        <f t="shared" ca="1" si="12"/>
        <v/>
      </c>
      <c r="CQ35" s="28" t="str">
        <f t="shared" ca="1" si="12"/>
        <v/>
      </c>
      <c r="CR35" s="28" t="str">
        <f t="shared" ca="1" si="12"/>
        <v/>
      </c>
      <c r="CS35" s="28" t="str">
        <f t="shared" ca="1" si="12"/>
        <v/>
      </c>
      <c r="CT35" s="28" t="str">
        <f t="shared" ca="1" si="12"/>
        <v/>
      </c>
      <c r="CU35" s="28" t="str">
        <f t="shared" ca="1" si="12"/>
        <v/>
      </c>
      <c r="CV35" s="346" t="str">
        <f t="shared" ca="1" si="12"/>
        <v/>
      </c>
    </row>
    <row r="36" spans="2:100" ht="15">
      <c r="B36" s="63" t="str">
        <v>CB</v>
      </c>
      <c r="C36" s="16" t="str">
        <f t="shared" si="8"/>
        <v>CB11:CB56</v>
      </c>
      <c r="D36" s="342" t="str">
        <f t="shared" ca="1" si="9"/>
        <v/>
      </c>
      <c r="E36" s="349" t="str">
        <f t="shared" ca="1" si="10"/>
        <v>ng</v>
      </c>
      <c r="F36" s="349" t="str">
        <f t="shared" ca="1" si="20"/>
        <v>ng</v>
      </c>
      <c r="G36" s="349" t="str">
        <f t="shared" ca="1" si="20"/>
        <v>ng</v>
      </c>
      <c r="H36" s="349" t="str">
        <f t="shared" ca="1" si="20"/>
        <v>ng</v>
      </c>
      <c r="I36" s="349" t="str">
        <f t="shared" ca="1" si="20"/>
        <v>ng</v>
      </c>
      <c r="J36" s="349" t="str">
        <f t="shared" ca="1" si="20"/>
        <v>ng</v>
      </c>
      <c r="K36" s="349" t="str">
        <f t="shared" ca="1" si="20"/>
        <v>ng</v>
      </c>
      <c r="L36" s="349" t="str">
        <f t="shared" ca="1" si="20"/>
        <v>ng</v>
      </c>
      <c r="M36" s="349" t="str">
        <f t="shared" ca="1" si="20"/>
        <v>ng</v>
      </c>
      <c r="N36" s="349" t="str">
        <f t="shared" ca="1" si="20"/>
        <v>ng</v>
      </c>
      <c r="O36" s="349" t="str">
        <f t="shared" ca="1" si="20"/>
        <v>ng</v>
      </c>
      <c r="P36" s="349" t="str">
        <f t="shared" ca="1" si="20"/>
        <v>ng</v>
      </c>
      <c r="Q36" s="349" t="str">
        <f t="shared" ca="1" si="20"/>
        <v>ng</v>
      </c>
      <c r="R36" s="349" t="str">
        <f t="shared" ca="1" si="20"/>
        <v>ng</v>
      </c>
      <c r="S36" s="349" t="str">
        <f t="shared" ca="1" si="20"/>
        <v>ng</v>
      </c>
      <c r="T36" s="349" t="str">
        <f t="shared" ca="1" si="20"/>
        <v>ng</v>
      </c>
      <c r="U36" s="349" t="str">
        <f t="shared" ca="1" si="20"/>
        <v>ng</v>
      </c>
      <c r="V36" s="349" t="str">
        <f t="shared" ca="1" si="20"/>
        <v>ng</v>
      </c>
      <c r="W36" s="349" t="str">
        <f t="shared" ca="1" si="20"/>
        <v>ng</v>
      </c>
      <c r="X36" s="349" t="str">
        <f t="shared" ca="1" si="20"/>
        <v>ng</v>
      </c>
      <c r="Y36" s="349" t="str">
        <f t="shared" ca="1" si="20"/>
        <v>ng</v>
      </c>
      <c r="Z36" s="349" t="str">
        <f t="shared" ca="1" si="20"/>
        <v>ng</v>
      </c>
      <c r="AA36" s="349" t="str">
        <f t="shared" ca="1" si="20"/>
        <v>ng</v>
      </c>
      <c r="AB36" s="349" t="str">
        <f t="shared" ca="1" si="20"/>
        <v>ng</v>
      </c>
      <c r="AC36" s="349" t="str">
        <f t="shared" ca="1" si="20"/>
        <v>ng</v>
      </c>
      <c r="AD36" s="349" t="str">
        <f t="shared" ca="1" si="20"/>
        <v>ng</v>
      </c>
      <c r="AE36" s="349" t="str">
        <f t="shared" ca="1" si="20"/>
        <v>ng</v>
      </c>
      <c r="AF36" s="349" t="str">
        <f t="shared" ca="1" si="20"/>
        <v>ng</v>
      </c>
      <c r="AG36" s="349" t="str">
        <f t="shared" ca="1" si="20"/>
        <v>ng</v>
      </c>
      <c r="AH36" s="349" t="str">
        <f t="shared" ca="1" si="20"/>
        <v>ng</v>
      </c>
      <c r="AI36" s="349" t="str">
        <f t="shared" ca="1" si="20"/>
        <v>ng</v>
      </c>
      <c r="AJ36" s="349" t="str">
        <f t="shared" ca="1" si="20"/>
        <v>ng</v>
      </c>
      <c r="AK36" s="349" t="str">
        <f t="shared" ca="1" si="20"/>
        <v>ng</v>
      </c>
      <c r="AL36" s="349" t="str">
        <f t="shared" ca="1" si="16"/>
        <v>ng</v>
      </c>
      <c r="AM36" s="349" t="str">
        <f t="shared" ca="1" si="16"/>
        <v>ng</v>
      </c>
      <c r="AN36" s="349" t="str">
        <f t="shared" ca="1" si="16"/>
        <v>ng</v>
      </c>
      <c r="AO36" s="349" t="str">
        <f t="shared" ca="1" si="16"/>
        <v>ng</v>
      </c>
      <c r="AP36" s="349" t="str">
        <f t="shared" ca="1" si="16"/>
        <v>ng</v>
      </c>
      <c r="AQ36" s="349" t="str">
        <f t="shared" ca="1" si="16"/>
        <v>ng</v>
      </c>
      <c r="AR36" s="350" t="str">
        <f t="shared" ca="1" si="16"/>
        <v>ng</v>
      </c>
      <c r="BA36" s="16" t="str">
        <v>CB</v>
      </c>
      <c r="BB36" s="342" t="str">
        <f ca="1">DcI!C36</f>
        <v/>
      </c>
      <c r="BC36" s="28" t="str">
        <f ca="1">IF(DcI!D36="X","X",IF(LEN(DcI!D36)=3,CONCATENATE("0",LEFT(DcI!D36,1)),IF(LEN(DcI!D36)=5,LEFT(DcI!D36,2),IF(MID(DcI!D36,2,1)="•",CONCATENATE("0",LEFT(DcI!D36,1)),LEFT(DcI!D36,2)))))</f>
        <v/>
      </c>
      <c r="BD36" s="28" t="str">
        <f ca="1">IF(DcI!E36="X","X",IF(LEN(DcI!E36)=3,CONCATENATE("0",LEFT(DcI!E36,1)),IF(LEN(DcI!E36)=5,LEFT(DcI!E36,2),IF(MID(DcI!E36,2,1)="•",CONCATENATE("0",LEFT(DcI!E36,1)),LEFT(DcI!E36,2)))))</f>
        <v/>
      </c>
      <c r="BE36" s="28" t="str">
        <f ca="1">IF(DcI!F36="X","X",IF(LEN(DcI!F36)=3,CONCATENATE("0",LEFT(DcI!F36,1)),IF(LEN(DcI!F36)=5,LEFT(DcI!F36,2),IF(MID(DcI!F36,2,1)="•",CONCATENATE("0",LEFT(DcI!F36,1)),LEFT(DcI!F36,2)))))</f>
        <v/>
      </c>
      <c r="BF36" s="28" t="str">
        <f ca="1">IF(DcI!G36="X","X",IF(LEN(DcI!G36)=3,CONCATENATE("0",LEFT(DcI!G36,1)),IF(LEN(DcI!G36)=5,LEFT(DcI!G36,2),IF(MID(DcI!G36,2,1)="•",CONCATENATE("0",LEFT(DcI!G36,1)),LEFT(DcI!G36,2)))))</f>
        <v/>
      </c>
      <c r="BG36" s="28" t="str">
        <f ca="1">IF(DcI!H36="X","X",IF(LEN(DcI!H36)=3,CONCATENATE("0",LEFT(DcI!H36,1)),IF(LEN(DcI!H36)=5,LEFT(DcI!H36,2),IF(MID(DcI!H36,2,1)="•",CONCATENATE("0",LEFT(DcI!H36,1)),LEFT(DcI!H36,2)))))</f>
        <v/>
      </c>
      <c r="BH36" s="28" t="str">
        <f ca="1">IF(DcI!I36="X","X",IF(LEN(DcI!I36)=3,CONCATENATE("0",LEFT(DcI!I36,1)),IF(LEN(DcI!I36)=5,LEFT(DcI!I36,2),IF(MID(DcI!I36,2,1)="•",CONCATENATE("0",LEFT(DcI!I36,1)),LEFT(DcI!I36,2)))))</f>
        <v/>
      </c>
      <c r="BI36" s="28" t="str">
        <f ca="1">IF(DcI!J36="X","X",IF(LEN(DcI!J36)=3,CONCATENATE("0",LEFT(DcI!J36,1)),IF(LEN(DcI!J36)=5,LEFT(DcI!J36,2),IF(MID(DcI!J36,2,1)="•",CONCATENATE("0",LEFT(DcI!J36,1)),LEFT(DcI!J36,2)))))</f>
        <v/>
      </c>
      <c r="BJ36" s="28" t="str">
        <f ca="1">IF(DcI!K36="X","X",IF(LEN(DcI!K36)=3,CONCATENATE("0",LEFT(DcI!K36,1)),IF(LEN(DcI!K36)=5,LEFT(DcI!K36,2),IF(MID(DcI!K36,2,1)="•",CONCATENATE("0",LEFT(DcI!K36,1)),LEFT(DcI!K36,2)))))</f>
        <v/>
      </c>
      <c r="BK36" s="28" t="str">
        <f ca="1">IF(DcI!L36="X","X",IF(LEN(DcI!L36)=3,CONCATENATE("0",LEFT(DcI!L36,1)),IF(LEN(DcI!L36)=5,LEFT(DcI!L36,2),IF(MID(DcI!L36,2,1)="•",CONCATENATE("0",LEFT(DcI!L36,1)),LEFT(DcI!L36,2)))))</f>
        <v/>
      </c>
      <c r="BL36" s="28" t="str">
        <f ca="1">IF(DcI!M36="X","X",IF(LEN(DcI!M36)=3,CONCATENATE("0",LEFT(DcI!M36,1)),IF(LEN(DcI!M36)=5,LEFT(DcI!M36,2),IF(MID(DcI!M36,2,1)="•",CONCATENATE("0",LEFT(DcI!M36,1)),LEFT(DcI!M36,2)))))</f>
        <v/>
      </c>
      <c r="BM36" s="28" t="str">
        <f ca="1">IF(DcI!N36="X","X",IF(LEN(DcI!N36)=3,CONCATENATE("0",LEFT(DcI!N36,1)),IF(LEN(DcI!N36)=5,LEFT(DcI!N36,2),IF(MID(DcI!N36,2,1)="•",CONCATENATE("0",LEFT(DcI!N36,1)),LEFT(DcI!N36,2)))))</f>
        <v/>
      </c>
      <c r="BN36" s="28" t="str">
        <f ca="1">IF(DcI!O36="X","X",IF(LEN(DcI!O36)=3,CONCATENATE("0",LEFT(DcI!O36,1)),IF(LEN(DcI!O36)=5,LEFT(DcI!O36,2),IF(MID(DcI!O36,2,1)="•",CONCATENATE("0",LEFT(DcI!O36,1)),LEFT(DcI!O36,2)))))</f>
        <v/>
      </c>
      <c r="BO36" s="28" t="str">
        <f ca="1">IF(DcI!P36="X","X",IF(LEN(DcI!P36)=3,CONCATENATE("0",LEFT(DcI!P36,1)),IF(LEN(DcI!P36)=5,LEFT(DcI!P36,2),IF(MID(DcI!P36,2,1)="•",CONCATENATE("0",LEFT(DcI!P36,1)),LEFT(DcI!P36,2)))))</f>
        <v/>
      </c>
      <c r="BP36" s="28" t="str">
        <f ca="1">IF(DcI!Q36="X","X",IF(LEN(DcI!Q36)=3,CONCATENATE("0",LEFT(DcI!Q36,1)),IF(LEN(DcI!Q36)=5,LEFT(DcI!Q36,2),IF(MID(DcI!Q36,2,1)="•",CONCATENATE("0",LEFT(DcI!Q36,1)),LEFT(DcI!Q36,2)))))</f>
        <v/>
      </c>
      <c r="BQ36" s="28" t="str">
        <f ca="1">IF(DcI!R36="X","X",IF(LEN(DcI!R36)=3,CONCATENATE("0",LEFT(DcI!R36,1)),IF(LEN(DcI!R36)=5,LEFT(DcI!R36,2),IF(MID(DcI!R36,2,1)="•",CONCATENATE("0",LEFT(DcI!R36,1)),LEFT(DcI!R36,2)))))</f>
        <v/>
      </c>
      <c r="BR36" s="28" t="str">
        <f ca="1">IF(DcI!S36="X","X",IF(LEN(DcI!S36)=3,CONCATENATE("0",LEFT(DcI!S36,1)),IF(LEN(DcI!S36)=5,LEFT(DcI!S36,2),IF(MID(DcI!S36,2,1)="•",CONCATENATE("0",LEFT(DcI!S36,1)),LEFT(DcI!S36,2)))))</f>
        <v/>
      </c>
      <c r="BS36" s="28" t="str">
        <f ca="1">IF(DcI!T36="X","X",IF(LEN(DcI!T36)=3,CONCATENATE("0",LEFT(DcI!T36,1)),IF(LEN(DcI!T36)=5,LEFT(DcI!T36,2),IF(MID(DcI!T36,2,1)="•",CONCATENATE("0",LEFT(DcI!T36,1)),LEFT(DcI!T36,2)))))</f>
        <v/>
      </c>
      <c r="BT36" s="28" t="str">
        <f ca="1">IF(DcI!U36="X","X",IF(LEN(DcI!U36)=3,CONCATENATE("0",LEFT(DcI!U36,1)),IF(LEN(DcI!U36)=5,LEFT(DcI!U36,2),IF(MID(DcI!U36,2,1)="•",CONCATENATE("0",LEFT(DcI!U36,1)),LEFT(DcI!U36,2)))))</f>
        <v/>
      </c>
      <c r="BU36" s="28" t="str">
        <f ca="1">IF(DcI!V36="X","X",IF(LEN(DcI!V36)=3,CONCATENATE("0",LEFT(DcI!V36,1)),IF(LEN(DcI!V36)=5,LEFT(DcI!V36,2),IF(MID(DcI!V36,2,1)="•",CONCATENATE("0",LEFT(DcI!V36,1)),LEFT(DcI!V36,2)))))</f>
        <v/>
      </c>
      <c r="BV36" s="28" t="str">
        <f ca="1">IF(DcI!W36="X","X",IF(LEN(DcI!W36)=3,CONCATENATE("0",LEFT(DcI!W36,1)),IF(LEN(DcI!W36)=5,LEFT(DcI!W36,2),IF(MID(DcI!W36,2,1)="•",CONCATENATE("0",LEFT(DcI!W36,1)),LEFT(DcI!W36,2)))))</f>
        <v/>
      </c>
      <c r="BW36" s="28" t="str">
        <f ca="1">IF(DcI!X36="X","X",IF(LEN(DcI!X36)=3,CONCATENATE("0",LEFT(DcI!X36,1)),IF(LEN(DcI!X36)=5,LEFT(DcI!X36,2),IF(MID(DcI!X36,2,1)="•",CONCATENATE("0",LEFT(DcI!X36,1)),LEFT(DcI!X36,2)))))</f>
        <v/>
      </c>
      <c r="BX36" s="28" t="str">
        <f ca="1">IF(DcI!Y36="X","X",IF(LEN(DcI!Y36)=3,CONCATENATE("0",LEFT(DcI!Y36,1)),IF(LEN(DcI!Y36)=5,LEFT(DcI!Y36,2),IF(MID(DcI!Y36,2,1)="•",CONCATENATE("0",LEFT(DcI!Y36,1)),LEFT(DcI!Y36,2)))))</f>
        <v/>
      </c>
      <c r="BY36" s="28" t="str">
        <f ca="1">IF(DcI!Z36="X","X",IF(LEN(DcI!Z36)=3,CONCATENATE("0",LEFT(DcI!Z36,1)),IF(LEN(DcI!Z36)=5,LEFT(DcI!Z36,2),IF(MID(DcI!Z36,2,1)="•",CONCATENATE("0",LEFT(DcI!Z36,1)),LEFT(DcI!Z36,2)))))</f>
        <v/>
      </c>
      <c r="BZ36" s="28" t="str">
        <f ca="1">IF(DcI!AA36="X","X",IF(LEN(DcI!AA36)=3,CONCATENATE("0",LEFT(DcI!AA36,1)),IF(LEN(DcI!AA36)=5,LEFT(DcI!AA36,2),IF(MID(DcI!AA36,2,1)="•",CONCATENATE("0",LEFT(DcI!AA36,1)),LEFT(DcI!AA36,2)))))</f>
        <v/>
      </c>
      <c r="CA36" s="28" t="str">
        <f ca="1">IF(DcI!AB36="X","X",IF(LEN(DcI!AB36)=3,CONCATENATE("0",LEFT(DcI!AB36,1)),IF(LEN(DcI!AB36)=5,LEFT(DcI!AB36,2),IF(MID(DcI!AB36,2,1)="•",CONCATENATE("0",LEFT(DcI!AB36,1)),LEFT(DcI!AB36,2)))))</f>
        <v/>
      </c>
      <c r="CB36" s="347" t="str">
        <f ca="1">IF(DcI!AC36="X","X",IF(LEN(DcI!AC36)=3,CONCATENATE("0",LEFT(DcI!AC36,1)),IF(LEN(DcI!AC36)=5,LEFT(DcI!AC36,2),IF(MID(DcI!AC36,2,1)="•",CONCATENATE("0",LEFT(DcI!AC36,1)),LEFT(DcI!AC36,2)))))</f>
        <v/>
      </c>
      <c r="CC36" s="28" t="str">
        <f t="shared" ca="1" si="19"/>
        <v/>
      </c>
      <c r="CD36" s="28" t="str">
        <f t="shared" ca="1" si="19"/>
        <v/>
      </c>
      <c r="CE36" s="28" t="str">
        <f t="shared" ca="1" si="19"/>
        <v/>
      </c>
      <c r="CF36" s="28" t="str">
        <f t="shared" ca="1" si="19"/>
        <v/>
      </c>
      <c r="CG36" s="28" t="str">
        <f t="shared" ca="1" si="19"/>
        <v/>
      </c>
      <c r="CH36" s="28" t="str">
        <f t="shared" ca="1" si="19"/>
        <v/>
      </c>
      <c r="CI36" s="28" t="str">
        <f t="shared" ca="1" si="19"/>
        <v/>
      </c>
      <c r="CJ36" s="28" t="str">
        <f t="shared" ca="1" si="19"/>
        <v/>
      </c>
      <c r="CK36" s="28" t="str">
        <f t="shared" ca="1" si="19"/>
        <v/>
      </c>
      <c r="CL36" s="28" t="str">
        <f t="shared" ca="1" si="19"/>
        <v/>
      </c>
      <c r="CM36" s="28" t="str">
        <f t="shared" ca="1" si="19"/>
        <v/>
      </c>
      <c r="CN36" s="28" t="str">
        <f t="shared" ca="1" si="19"/>
        <v/>
      </c>
      <c r="CO36" s="28" t="str">
        <f t="shared" ca="1" si="12"/>
        <v/>
      </c>
      <c r="CP36" s="28" t="str">
        <f t="shared" ca="1" si="12"/>
        <v/>
      </c>
      <c r="CQ36" s="28" t="str">
        <f t="shared" ca="1" si="12"/>
        <v/>
      </c>
      <c r="CR36" s="28" t="str">
        <f t="shared" ca="1" si="12"/>
        <v/>
      </c>
      <c r="CS36" s="28" t="str">
        <f t="shared" ca="1" si="12"/>
        <v/>
      </c>
      <c r="CT36" s="28" t="str">
        <f t="shared" ca="1" si="12"/>
        <v/>
      </c>
      <c r="CU36" s="28" t="str">
        <f t="shared" ca="1" si="12"/>
        <v/>
      </c>
      <c r="CV36" s="346" t="str">
        <f t="shared" ca="1" si="12"/>
        <v/>
      </c>
    </row>
    <row r="37" spans="2:100" ht="15">
      <c r="B37" s="63" t="str">
        <v>CC</v>
      </c>
      <c r="C37" s="16" t="str">
        <f t="shared" si="8"/>
        <v>CC11:CC56</v>
      </c>
      <c r="D37" s="342" t="str">
        <f t="shared" ca="1" si="9"/>
        <v/>
      </c>
      <c r="E37" s="349" t="str">
        <f t="shared" ca="1" si="10"/>
        <v>ng</v>
      </c>
      <c r="F37" s="349" t="str">
        <f t="shared" ca="1" si="20"/>
        <v>ng</v>
      </c>
      <c r="G37" s="349" t="str">
        <f t="shared" ca="1" si="20"/>
        <v>ng</v>
      </c>
      <c r="H37" s="349" t="str">
        <f t="shared" ca="1" si="20"/>
        <v>ng</v>
      </c>
      <c r="I37" s="349" t="str">
        <f t="shared" ca="1" si="20"/>
        <v>ng</v>
      </c>
      <c r="J37" s="349" t="str">
        <f t="shared" ca="1" si="20"/>
        <v>ng</v>
      </c>
      <c r="K37" s="349" t="str">
        <f t="shared" ca="1" si="20"/>
        <v>ng</v>
      </c>
      <c r="L37" s="349" t="str">
        <f t="shared" ca="1" si="20"/>
        <v>ng</v>
      </c>
      <c r="M37" s="349" t="str">
        <f t="shared" ca="1" si="20"/>
        <v>ng</v>
      </c>
      <c r="N37" s="349" t="str">
        <f t="shared" ca="1" si="20"/>
        <v>ng</v>
      </c>
      <c r="O37" s="349" t="str">
        <f t="shared" ca="1" si="20"/>
        <v>ng</v>
      </c>
      <c r="P37" s="349" t="str">
        <f t="shared" ca="1" si="20"/>
        <v>ng</v>
      </c>
      <c r="Q37" s="349" t="str">
        <f t="shared" ca="1" si="20"/>
        <v>ng</v>
      </c>
      <c r="R37" s="349" t="str">
        <f t="shared" ca="1" si="20"/>
        <v>ng</v>
      </c>
      <c r="S37" s="349" t="str">
        <f t="shared" ca="1" si="20"/>
        <v>ng</v>
      </c>
      <c r="T37" s="349" t="str">
        <f t="shared" ca="1" si="20"/>
        <v>ng</v>
      </c>
      <c r="U37" s="349" t="str">
        <f t="shared" ca="1" si="20"/>
        <v>ng</v>
      </c>
      <c r="V37" s="349" t="str">
        <f t="shared" ca="1" si="20"/>
        <v>ng</v>
      </c>
      <c r="W37" s="349" t="str">
        <f t="shared" ca="1" si="20"/>
        <v>ng</v>
      </c>
      <c r="X37" s="349" t="str">
        <f t="shared" ca="1" si="20"/>
        <v>ng</v>
      </c>
      <c r="Y37" s="349" t="str">
        <f t="shared" ca="1" si="20"/>
        <v>ng</v>
      </c>
      <c r="Z37" s="349" t="str">
        <f t="shared" ca="1" si="20"/>
        <v>ng</v>
      </c>
      <c r="AA37" s="349" t="str">
        <f t="shared" ca="1" si="20"/>
        <v>ng</v>
      </c>
      <c r="AB37" s="349" t="str">
        <f t="shared" ca="1" si="20"/>
        <v>ng</v>
      </c>
      <c r="AC37" s="349" t="str">
        <f t="shared" ca="1" si="20"/>
        <v>ng</v>
      </c>
      <c r="AD37" s="349" t="str">
        <f t="shared" ca="1" si="20"/>
        <v>ng</v>
      </c>
      <c r="AE37" s="349" t="str">
        <f t="shared" ca="1" si="20"/>
        <v>ng</v>
      </c>
      <c r="AF37" s="349" t="str">
        <f t="shared" ca="1" si="20"/>
        <v>ng</v>
      </c>
      <c r="AG37" s="349" t="str">
        <f t="shared" ca="1" si="20"/>
        <v>ng</v>
      </c>
      <c r="AH37" s="349" t="str">
        <f t="shared" ca="1" si="20"/>
        <v>ng</v>
      </c>
      <c r="AI37" s="349" t="str">
        <f t="shared" ca="1" si="20"/>
        <v>ng</v>
      </c>
      <c r="AJ37" s="349" t="str">
        <f t="shared" ca="1" si="20"/>
        <v>ng</v>
      </c>
      <c r="AK37" s="349" t="str">
        <f t="shared" ca="1" si="20"/>
        <v>ng</v>
      </c>
      <c r="AL37" s="349" t="str">
        <f t="shared" ca="1" si="16"/>
        <v>ng</v>
      </c>
      <c r="AM37" s="349" t="str">
        <f t="shared" ca="1" si="16"/>
        <v>ng</v>
      </c>
      <c r="AN37" s="349" t="str">
        <f t="shared" ca="1" si="16"/>
        <v>ng</v>
      </c>
      <c r="AO37" s="349" t="str">
        <f t="shared" ca="1" si="16"/>
        <v>ng</v>
      </c>
      <c r="AP37" s="349" t="str">
        <f t="shared" ca="1" si="16"/>
        <v>ng</v>
      </c>
      <c r="AQ37" s="349" t="str">
        <f t="shared" ca="1" si="16"/>
        <v>ng</v>
      </c>
      <c r="AR37" s="350" t="str">
        <f t="shared" ca="1" si="16"/>
        <v>ng</v>
      </c>
      <c r="BA37" s="16" t="str">
        <v>CC</v>
      </c>
      <c r="BB37" s="342" t="str">
        <f ca="1">DcI!C37</f>
        <v/>
      </c>
      <c r="BC37" s="28" t="str">
        <f ca="1">IF(DcI!D37="X","X",IF(LEN(DcI!D37)=3,CONCATENATE("0",LEFT(DcI!D37,1)),IF(LEN(DcI!D37)=5,LEFT(DcI!D37,2),IF(MID(DcI!D37,2,1)="•",CONCATENATE("0",LEFT(DcI!D37,1)),LEFT(DcI!D37,2)))))</f>
        <v/>
      </c>
      <c r="BD37" s="28" t="str">
        <f ca="1">IF(DcI!E37="X","X",IF(LEN(DcI!E37)=3,CONCATENATE("0",LEFT(DcI!E37,1)),IF(LEN(DcI!E37)=5,LEFT(DcI!E37,2),IF(MID(DcI!E37,2,1)="•",CONCATENATE("0",LEFT(DcI!E37,1)),LEFT(DcI!E37,2)))))</f>
        <v/>
      </c>
      <c r="BE37" s="28" t="str">
        <f ca="1">IF(DcI!F37="X","X",IF(LEN(DcI!F37)=3,CONCATENATE("0",LEFT(DcI!F37,1)),IF(LEN(DcI!F37)=5,LEFT(DcI!F37,2),IF(MID(DcI!F37,2,1)="•",CONCATENATE("0",LEFT(DcI!F37,1)),LEFT(DcI!F37,2)))))</f>
        <v/>
      </c>
      <c r="BF37" s="28" t="str">
        <f ca="1">IF(DcI!G37="X","X",IF(LEN(DcI!G37)=3,CONCATENATE("0",LEFT(DcI!G37,1)),IF(LEN(DcI!G37)=5,LEFT(DcI!G37,2),IF(MID(DcI!G37,2,1)="•",CONCATENATE("0",LEFT(DcI!G37,1)),LEFT(DcI!G37,2)))))</f>
        <v/>
      </c>
      <c r="BG37" s="28" t="str">
        <f ca="1">IF(DcI!H37="X","X",IF(LEN(DcI!H37)=3,CONCATENATE("0",LEFT(DcI!H37,1)),IF(LEN(DcI!H37)=5,LEFT(DcI!H37,2),IF(MID(DcI!H37,2,1)="•",CONCATENATE("0",LEFT(DcI!H37,1)),LEFT(DcI!H37,2)))))</f>
        <v/>
      </c>
      <c r="BH37" s="28" t="str">
        <f ca="1">IF(DcI!I37="X","X",IF(LEN(DcI!I37)=3,CONCATENATE("0",LEFT(DcI!I37,1)),IF(LEN(DcI!I37)=5,LEFT(DcI!I37,2),IF(MID(DcI!I37,2,1)="•",CONCATENATE("0",LEFT(DcI!I37,1)),LEFT(DcI!I37,2)))))</f>
        <v/>
      </c>
      <c r="BI37" s="28" t="str">
        <f ca="1">IF(DcI!J37="X","X",IF(LEN(DcI!J37)=3,CONCATENATE("0",LEFT(DcI!J37,1)),IF(LEN(DcI!J37)=5,LEFT(DcI!J37,2),IF(MID(DcI!J37,2,1)="•",CONCATENATE("0",LEFT(DcI!J37,1)),LEFT(DcI!J37,2)))))</f>
        <v/>
      </c>
      <c r="BJ37" s="28" t="str">
        <f ca="1">IF(DcI!K37="X","X",IF(LEN(DcI!K37)=3,CONCATENATE("0",LEFT(DcI!K37,1)),IF(LEN(DcI!K37)=5,LEFT(DcI!K37,2),IF(MID(DcI!K37,2,1)="•",CONCATENATE("0",LEFT(DcI!K37,1)),LEFT(DcI!K37,2)))))</f>
        <v/>
      </c>
      <c r="BK37" s="28" t="str">
        <f ca="1">IF(DcI!L37="X","X",IF(LEN(DcI!L37)=3,CONCATENATE("0",LEFT(DcI!L37,1)),IF(LEN(DcI!L37)=5,LEFT(DcI!L37,2),IF(MID(DcI!L37,2,1)="•",CONCATENATE("0",LEFT(DcI!L37,1)),LEFT(DcI!L37,2)))))</f>
        <v/>
      </c>
      <c r="BL37" s="28" t="str">
        <f ca="1">IF(DcI!M37="X","X",IF(LEN(DcI!M37)=3,CONCATENATE("0",LEFT(DcI!M37,1)),IF(LEN(DcI!M37)=5,LEFT(DcI!M37,2),IF(MID(DcI!M37,2,1)="•",CONCATENATE("0",LEFT(DcI!M37,1)),LEFT(DcI!M37,2)))))</f>
        <v/>
      </c>
      <c r="BM37" s="28" t="str">
        <f ca="1">IF(DcI!N37="X","X",IF(LEN(DcI!N37)=3,CONCATENATE("0",LEFT(DcI!N37,1)),IF(LEN(DcI!N37)=5,LEFT(DcI!N37,2),IF(MID(DcI!N37,2,1)="•",CONCATENATE("0",LEFT(DcI!N37,1)),LEFT(DcI!N37,2)))))</f>
        <v/>
      </c>
      <c r="BN37" s="28" t="str">
        <f ca="1">IF(DcI!O37="X","X",IF(LEN(DcI!O37)=3,CONCATENATE("0",LEFT(DcI!O37,1)),IF(LEN(DcI!O37)=5,LEFT(DcI!O37,2),IF(MID(DcI!O37,2,1)="•",CONCATENATE("0",LEFT(DcI!O37,1)),LEFT(DcI!O37,2)))))</f>
        <v/>
      </c>
      <c r="BO37" s="28" t="str">
        <f ca="1">IF(DcI!P37="X","X",IF(LEN(DcI!P37)=3,CONCATENATE("0",LEFT(DcI!P37,1)),IF(LEN(DcI!P37)=5,LEFT(DcI!P37,2),IF(MID(DcI!P37,2,1)="•",CONCATENATE("0",LEFT(DcI!P37,1)),LEFT(DcI!P37,2)))))</f>
        <v/>
      </c>
      <c r="BP37" s="28" t="str">
        <f ca="1">IF(DcI!Q37="X","X",IF(LEN(DcI!Q37)=3,CONCATENATE("0",LEFT(DcI!Q37,1)),IF(LEN(DcI!Q37)=5,LEFT(DcI!Q37,2),IF(MID(DcI!Q37,2,1)="•",CONCATENATE("0",LEFT(DcI!Q37,1)),LEFT(DcI!Q37,2)))))</f>
        <v/>
      </c>
      <c r="BQ37" s="28" t="str">
        <f ca="1">IF(DcI!R37="X","X",IF(LEN(DcI!R37)=3,CONCATENATE("0",LEFT(DcI!R37,1)),IF(LEN(DcI!R37)=5,LEFT(DcI!R37,2),IF(MID(DcI!R37,2,1)="•",CONCATENATE("0",LEFT(DcI!R37,1)),LEFT(DcI!R37,2)))))</f>
        <v/>
      </c>
      <c r="BR37" s="28" t="str">
        <f ca="1">IF(DcI!S37="X","X",IF(LEN(DcI!S37)=3,CONCATENATE("0",LEFT(DcI!S37,1)),IF(LEN(DcI!S37)=5,LEFT(DcI!S37,2),IF(MID(DcI!S37,2,1)="•",CONCATENATE("0",LEFT(DcI!S37,1)),LEFT(DcI!S37,2)))))</f>
        <v/>
      </c>
      <c r="BS37" s="28" t="str">
        <f ca="1">IF(DcI!T37="X","X",IF(LEN(DcI!T37)=3,CONCATENATE("0",LEFT(DcI!T37,1)),IF(LEN(DcI!T37)=5,LEFT(DcI!T37,2),IF(MID(DcI!T37,2,1)="•",CONCATENATE("0",LEFT(DcI!T37,1)),LEFT(DcI!T37,2)))))</f>
        <v/>
      </c>
      <c r="BT37" s="28" t="str">
        <f ca="1">IF(DcI!U37="X","X",IF(LEN(DcI!U37)=3,CONCATENATE("0",LEFT(DcI!U37,1)),IF(LEN(DcI!U37)=5,LEFT(DcI!U37,2),IF(MID(DcI!U37,2,1)="•",CONCATENATE("0",LEFT(DcI!U37,1)),LEFT(DcI!U37,2)))))</f>
        <v/>
      </c>
      <c r="BU37" s="28" t="str">
        <f ca="1">IF(DcI!V37="X","X",IF(LEN(DcI!V37)=3,CONCATENATE("0",LEFT(DcI!V37,1)),IF(LEN(DcI!V37)=5,LEFT(DcI!V37,2),IF(MID(DcI!V37,2,1)="•",CONCATENATE("0",LEFT(DcI!V37,1)),LEFT(DcI!V37,2)))))</f>
        <v/>
      </c>
      <c r="BV37" s="28" t="str">
        <f ca="1">IF(DcI!W37="X","X",IF(LEN(DcI!W37)=3,CONCATENATE("0",LEFT(DcI!W37,1)),IF(LEN(DcI!W37)=5,LEFT(DcI!W37,2),IF(MID(DcI!W37,2,1)="•",CONCATENATE("0",LEFT(DcI!W37,1)),LEFT(DcI!W37,2)))))</f>
        <v/>
      </c>
      <c r="BW37" s="28" t="str">
        <f ca="1">IF(DcI!X37="X","X",IF(LEN(DcI!X37)=3,CONCATENATE("0",LEFT(DcI!X37,1)),IF(LEN(DcI!X37)=5,LEFT(DcI!X37,2),IF(MID(DcI!X37,2,1)="•",CONCATENATE("0",LEFT(DcI!X37,1)),LEFT(DcI!X37,2)))))</f>
        <v/>
      </c>
      <c r="BX37" s="28" t="str">
        <f ca="1">IF(DcI!Y37="X","X",IF(LEN(DcI!Y37)=3,CONCATENATE("0",LEFT(DcI!Y37,1)),IF(LEN(DcI!Y37)=5,LEFT(DcI!Y37,2),IF(MID(DcI!Y37,2,1)="•",CONCATENATE("0",LEFT(DcI!Y37,1)),LEFT(DcI!Y37,2)))))</f>
        <v/>
      </c>
      <c r="BY37" s="28" t="str">
        <f ca="1">IF(DcI!Z37="X","X",IF(LEN(DcI!Z37)=3,CONCATENATE("0",LEFT(DcI!Z37,1)),IF(LEN(DcI!Z37)=5,LEFT(DcI!Z37,2),IF(MID(DcI!Z37,2,1)="•",CONCATENATE("0",LEFT(DcI!Z37,1)),LEFT(DcI!Z37,2)))))</f>
        <v/>
      </c>
      <c r="BZ37" s="28" t="str">
        <f ca="1">IF(DcI!AA37="X","X",IF(LEN(DcI!AA37)=3,CONCATENATE("0",LEFT(DcI!AA37,1)),IF(LEN(DcI!AA37)=5,LEFT(DcI!AA37,2),IF(MID(DcI!AA37,2,1)="•",CONCATENATE("0",LEFT(DcI!AA37,1)),LEFT(DcI!AA37,2)))))</f>
        <v/>
      </c>
      <c r="CA37" s="28" t="str">
        <f ca="1">IF(DcI!AB37="X","X",IF(LEN(DcI!AB37)=3,CONCATENATE("0",LEFT(DcI!AB37,1)),IF(LEN(DcI!AB37)=5,LEFT(DcI!AB37,2),IF(MID(DcI!AB37,2,1)="•",CONCATENATE("0",LEFT(DcI!AB37,1)),LEFT(DcI!AB37,2)))))</f>
        <v/>
      </c>
      <c r="CB37" s="28" t="str">
        <f ca="1">IF(DcI!AC37="X","X",IF(LEN(DcI!AC37)=3,CONCATENATE("0",LEFT(DcI!AC37,1)),IF(LEN(DcI!AC37)=5,LEFT(DcI!AC37,2),IF(MID(DcI!AC37,2,1)="•",CONCATENATE("0",LEFT(DcI!AC37,1)),LEFT(DcI!AC37,2)))))</f>
        <v/>
      </c>
      <c r="CC37" s="347" t="str">
        <f ca="1">IF(DcI!AD37="X","X",IF(LEN(DcI!AD37)=3,CONCATENATE("0",LEFT(DcI!AD37,1)),IF(LEN(DcI!AD37)=5,LEFT(DcI!AD37,2),IF(MID(DcI!AD37,2,1)="•",CONCATENATE("0",LEFT(DcI!AD37,1)),LEFT(DcI!AD37,2)))))</f>
        <v/>
      </c>
      <c r="CD37" s="28" t="str">
        <f t="shared" ca="1" si="19"/>
        <v/>
      </c>
      <c r="CE37" s="28" t="str">
        <f t="shared" ca="1" si="19"/>
        <v/>
      </c>
      <c r="CF37" s="28" t="str">
        <f t="shared" ca="1" si="19"/>
        <v/>
      </c>
      <c r="CG37" s="28" t="str">
        <f t="shared" ca="1" si="19"/>
        <v/>
      </c>
      <c r="CH37" s="28" t="str">
        <f t="shared" ca="1" si="19"/>
        <v/>
      </c>
      <c r="CI37" s="28" t="str">
        <f t="shared" ca="1" si="19"/>
        <v/>
      </c>
      <c r="CJ37" s="28" t="str">
        <f t="shared" ca="1" si="19"/>
        <v/>
      </c>
      <c r="CK37" s="28" t="str">
        <f t="shared" ca="1" si="19"/>
        <v/>
      </c>
      <c r="CL37" s="28" t="str">
        <f t="shared" ca="1" si="19"/>
        <v/>
      </c>
      <c r="CM37" s="28" t="str">
        <f t="shared" ca="1" si="19"/>
        <v/>
      </c>
      <c r="CN37" s="28" t="str">
        <f t="shared" ca="1" si="19"/>
        <v/>
      </c>
      <c r="CO37" s="28" t="str">
        <f t="shared" ca="1" si="12"/>
        <v/>
      </c>
      <c r="CP37" s="28" t="str">
        <f t="shared" ca="1" si="12"/>
        <v/>
      </c>
      <c r="CQ37" s="28" t="str">
        <f t="shared" ca="1" si="12"/>
        <v/>
      </c>
      <c r="CR37" s="28" t="str">
        <f t="shared" ca="1" si="12"/>
        <v/>
      </c>
      <c r="CS37" s="28" t="str">
        <f t="shared" ca="1" si="12"/>
        <v/>
      </c>
      <c r="CT37" s="28" t="str">
        <f t="shared" ca="1" si="12"/>
        <v/>
      </c>
      <c r="CU37" s="28" t="str">
        <f t="shared" ca="1" si="12"/>
        <v/>
      </c>
      <c r="CV37" s="346" t="str">
        <f t="shared" ca="1" si="12"/>
        <v/>
      </c>
    </row>
    <row r="38" spans="2:100" ht="15">
      <c r="B38" s="63" t="str">
        <v>CD</v>
      </c>
      <c r="C38" s="16" t="str">
        <f t="shared" si="8"/>
        <v>CD11:CD56</v>
      </c>
      <c r="D38" s="342" t="str">
        <f t="shared" ca="1" si="9"/>
        <v/>
      </c>
      <c r="E38" s="349" t="str">
        <f t="shared" ca="1" si="10"/>
        <v>ng</v>
      </c>
      <c r="F38" s="349" t="str">
        <f t="shared" ca="1" si="20"/>
        <v>ng</v>
      </c>
      <c r="G38" s="349" t="str">
        <f t="shared" ca="1" si="20"/>
        <v>ng</v>
      </c>
      <c r="H38" s="349" t="str">
        <f t="shared" ca="1" si="20"/>
        <v>ng</v>
      </c>
      <c r="I38" s="349" t="str">
        <f t="shared" ca="1" si="20"/>
        <v>ng</v>
      </c>
      <c r="J38" s="349" t="str">
        <f t="shared" ca="1" si="20"/>
        <v>ng</v>
      </c>
      <c r="K38" s="349" t="str">
        <f t="shared" ca="1" si="20"/>
        <v>ng</v>
      </c>
      <c r="L38" s="349" t="str">
        <f t="shared" ca="1" si="20"/>
        <v>ng</v>
      </c>
      <c r="M38" s="349" t="str">
        <f t="shared" ca="1" si="20"/>
        <v>ng</v>
      </c>
      <c r="N38" s="349" t="str">
        <f t="shared" ca="1" si="20"/>
        <v>ng</v>
      </c>
      <c r="O38" s="349" t="str">
        <f t="shared" ca="1" si="20"/>
        <v>ng</v>
      </c>
      <c r="P38" s="349" t="str">
        <f t="shared" ca="1" si="20"/>
        <v>ng</v>
      </c>
      <c r="Q38" s="349" t="str">
        <f t="shared" ca="1" si="20"/>
        <v>ng</v>
      </c>
      <c r="R38" s="349" t="str">
        <f t="shared" ca="1" si="20"/>
        <v>ng</v>
      </c>
      <c r="S38" s="349" t="str">
        <f t="shared" ca="1" si="20"/>
        <v>ng</v>
      </c>
      <c r="T38" s="349" t="str">
        <f t="shared" ca="1" si="20"/>
        <v>ng</v>
      </c>
      <c r="U38" s="349" t="str">
        <f t="shared" ca="1" si="20"/>
        <v>ng</v>
      </c>
      <c r="V38" s="349" t="str">
        <f t="shared" ca="1" si="20"/>
        <v>ng</v>
      </c>
      <c r="W38" s="349" t="str">
        <f t="shared" ca="1" si="20"/>
        <v>ng</v>
      </c>
      <c r="X38" s="349" t="str">
        <f t="shared" ca="1" si="20"/>
        <v>ng</v>
      </c>
      <c r="Y38" s="349" t="str">
        <f t="shared" ca="1" si="20"/>
        <v>ng</v>
      </c>
      <c r="Z38" s="349" t="str">
        <f t="shared" ca="1" si="20"/>
        <v>ng</v>
      </c>
      <c r="AA38" s="349" t="str">
        <f t="shared" ca="1" si="20"/>
        <v>ng</v>
      </c>
      <c r="AB38" s="349" t="str">
        <f t="shared" ca="1" si="20"/>
        <v>ng</v>
      </c>
      <c r="AC38" s="349" t="str">
        <f t="shared" ca="1" si="20"/>
        <v>ng</v>
      </c>
      <c r="AD38" s="349" t="str">
        <f t="shared" ca="1" si="20"/>
        <v>ng</v>
      </c>
      <c r="AE38" s="349" t="str">
        <f t="shared" ca="1" si="20"/>
        <v>ng</v>
      </c>
      <c r="AF38" s="349" t="str">
        <f t="shared" ca="1" si="20"/>
        <v>ng</v>
      </c>
      <c r="AG38" s="349" t="str">
        <f t="shared" ca="1" si="20"/>
        <v>ng</v>
      </c>
      <c r="AH38" s="349" t="str">
        <f t="shared" ca="1" si="20"/>
        <v>ng</v>
      </c>
      <c r="AI38" s="349" t="str">
        <f t="shared" ca="1" si="20"/>
        <v>ng</v>
      </c>
      <c r="AJ38" s="349" t="str">
        <f t="shared" ca="1" si="20"/>
        <v>ng</v>
      </c>
      <c r="AK38" s="349" t="str">
        <f t="shared" ca="1" si="20"/>
        <v>ng</v>
      </c>
      <c r="AL38" s="349" t="str">
        <f t="shared" ca="1" si="16"/>
        <v>ng</v>
      </c>
      <c r="AM38" s="349" t="str">
        <f t="shared" ca="1" si="16"/>
        <v>ng</v>
      </c>
      <c r="AN38" s="349" t="str">
        <f t="shared" ca="1" si="16"/>
        <v>ng</v>
      </c>
      <c r="AO38" s="349" t="str">
        <f t="shared" ca="1" si="16"/>
        <v>ng</v>
      </c>
      <c r="AP38" s="349" t="str">
        <f t="shared" ca="1" si="16"/>
        <v>ng</v>
      </c>
      <c r="AQ38" s="349" t="str">
        <f t="shared" ca="1" si="16"/>
        <v>ng</v>
      </c>
      <c r="AR38" s="350" t="str">
        <f t="shared" ca="1" si="16"/>
        <v>ng</v>
      </c>
      <c r="BA38" s="16" t="str">
        <v>CD</v>
      </c>
      <c r="BB38" s="342" t="str">
        <f ca="1">DcI!C38</f>
        <v/>
      </c>
      <c r="BC38" s="28" t="str">
        <f ca="1">IF(DcI!D38="X","X",IF(LEN(DcI!D38)=3,CONCATENATE("0",LEFT(DcI!D38,1)),IF(LEN(DcI!D38)=5,LEFT(DcI!D38,2),IF(MID(DcI!D38,2,1)="•",CONCATENATE("0",LEFT(DcI!D38,1)),LEFT(DcI!D38,2)))))</f>
        <v/>
      </c>
      <c r="BD38" s="28" t="str">
        <f ca="1">IF(DcI!E38="X","X",IF(LEN(DcI!E38)=3,CONCATENATE("0",LEFT(DcI!E38,1)),IF(LEN(DcI!E38)=5,LEFT(DcI!E38,2),IF(MID(DcI!E38,2,1)="•",CONCATENATE("0",LEFT(DcI!E38,1)),LEFT(DcI!E38,2)))))</f>
        <v/>
      </c>
      <c r="BE38" s="28" t="str">
        <f ca="1">IF(DcI!F38="X","X",IF(LEN(DcI!F38)=3,CONCATENATE("0",LEFT(DcI!F38,1)),IF(LEN(DcI!F38)=5,LEFT(DcI!F38,2),IF(MID(DcI!F38,2,1)="•",CONCATENATE("0",LEFT(DcI!F38,1)),LEFT(DcI!F38,2)))))</f>
        <v/>
      </c>
      <c r="BF38" s="28" t="str">
        <f ca="1">IF(DcI!G38="X","X",IF(LEN(DcI!G38)=3,CONCATENATE("0",LEFT(DcI!G38,1)),IF(LEN(DcI!G38)=5,LEFT(DcI!G38,2),IF(MID(DcI!G38,2,1)="•",CONCATENATE("0",LEFT(DcI!G38,1)),LEFT(DcI!G38,2)))))</f>
        <v/>
      </c>
      <c r="BG38" s="28" t="str">
        <f ca="1">IF(DcI!H38="X","X",IF(LEN(DcI!H38)=3,CONCATENATE("0",LEFT(DcI!H38,1)),IF(LEN(DcI!H38)=5,LEFT(DcI!H38,2),IF(MID(DcI!H38,2,1)="•",CONCATENATE("0",LEFT(DcI!H38,1)),LEFT(DcI!H38,2)))))</f>
        <v/>
      </c>
      <c r="BH38" s="28" t="str">
        <f ca="1">IF(DcI!I38="X","X",IF(LEN(DcI!I38)=3,CONCATENATE("0",LEFT(DcI!I38,1)),IF(LEN(DcI!I38)=5,LEFT(DcI!I38,2),IF(MID(DcI!I38,2,1)="•",CONCATENATE("0",LEFT(DcI!I38,1)),LEFT(DcI!I38,2)))))</f>
        <v/>
      </c>
      <c r="BI38" s="28" t="str">
        <f ca="1">IF(DcI!J38="X","X",IF(LEN(DcI!J38)=3,CONCATENATE("0",LEFT(DcI!J38,1)),IF(LEN(DcI!J38)=5,LEFT(DcI!J38,2),IF(MID(DcI!J38,2,1)="•",CONCATENATE("0",LEFT(DcI!J38,1)),LEFT(DcI!J38,2)))))</f>
        <v/>
      </c>
      <c r="BJ38" s="28" t="str">
        <f ca="1">IF(DcI!K38="X","X",IF(LEN(DcI!K38)=3,CONCATENATE("0",LEFT(DcI!K38,1)),IF(LEN(DcI!K38)=5,LEFT(DcI!K38,2),IF(MID(DcI!K38,2,1)="•",CONCATENATE("0",LEFT(DcI!K38,1)),LEFT(DcI!K38,2)))))</f>
        <v/>
      </c>
      <c r="BK38" s="28" t="str">
        <f ca="1">IF(DcI!L38="X","X",IF(LEN(DcI!L38)=3,CONCATENATE("0",LEFT(DcI!L38,1)),IF(LEN(DcI!L38)=5,LEFT(DcI!L38,2),IF(MID(DcI!L38,2,1)="•",CONCATENATE("0",LEFT(DcI!L38,1)),LEFT(DcI!L38,2)))))</f>
        <v/>
      </c>
      <c r="BL38" s="28" t="str">
        <f ca="1">IF(DcI!M38="X","X",IF(LEN(DcI!M38)=3,CONCATENATE("0",LEFT(DcI!M38,1)),IF(LEN(DcI!M38)=5,LEFT(DcI!M38,2),IF(MID(DcI!M38,2,1)="•",CONCATENATE("0",LEFT(DcI!M38,1)),LEFT(DcI!M38,2)))))</f>
        <v/>
      </c>
      <c r="BM38" s="28" t="str">
        <f ca="1">IF(DcI!N38="X","X",IF(LEN(DcI!N38)=3,CONCATENATE("0",LEFT(DcI!N38,1)),IF(LEN(DcI!N38)=5,LEFT(DcI!N38,2),IF(MID(DcI!N38,2,1)="•",CONCATENATE("0",LEFT(DcI!N38,1)),LEFT(DcI!N38,2)))))</f>
        <v/>
      </c>
      <c r="BN38" s="28" t="str">
        <f ca="1">IF(DcI!O38="X","X",IF(LEN(DcI!O38)=3,CONCATENATE("0",LEFT(DcI!O38,1)),IF(LEN(DcI!O38)=5,LEFT(DcI!O38,2),IF(MID(DcI!O38,2,1)="•",CONCATENATE("0",LEFT(DcI!O38,1)),LEFT(DcI!O38,2)))))</f>
        <v/>
      </c>
      <c r="BO38" s="28" t="str">
        <f ca="1">IF(DcI!P38="X","X",IF(LEN(DcI!P38)=3,CONCATENATE("0",LEFT(DcI!P38,1)),IF(LEN(DcI!P38)=5,LEFT(DcI!P38,2),IF(MID(DcI!P38,2,1)="•",CONCATENATE("0",LEFT(DcI!P38,1)),LEFT(DcI!P38,2)))))</f>
        <v/>
      </c>
      <c r="BP38" s="28" t="str">
        <f ca="1">IF(DcI!Q38="X","X",IF(LEN(DcI!Q38)=3,CONCATENATE("0",LEFT(DcI!Q38,1)),IF(LEN(DcI!Q38)=5,LEFT(DcI!Q38,2),IF(MID(DcI!Q38,2,1)="•",CONCATENATE("0",LEFT(DcI!Q38,1)),LEFT(DcI!Q38,2)))))</f>
        <v/>
      </c>
      <c r="BQ38" s="28" t="str">
        <f ca="1">IF(DcI!R38="X","X",IF(LEN(DcI!R38)=3,CONCATENATE("0",LEFT(DcI!R38,1)),IF(LEN(DcI!R38)=5,LEFT(DcI!R38,2),IF(MID(DcI!R38,2,1)="•",CONCATENATE("0",LEFT(DcI!R38,1)),LEFT(DcI!R38,2)))))</f>
        <v/>
      </c>
      <c r="BR38" s="28" t="str">
        <f ca="1">IF(DcI!S38="X","X",IF(LEN(DcI!S38)=3,CONCATENATE("0",LEFT(DcI!S38,1)),IF(LEN(DcI!S38)=5,LEFT(DcI!S38,2),IF(MID(DcI!S38,2,1)="•",CONCATENATE("0",LEFT(DcI!S38,1)),LEFT(DcI!S38,2)))))</f>
        <v/>
      </c>
      <c r="BS38" s="28" t="str">
        <f ca="1">IF(DcI!T38="X","X",IF(LEN(DcI!T38)=3,CONCATENATE("0",LEFT(DcI!T38,1)),IF(LEN(DcI!T38)=5,LEFT(DcI!T38,2),IF(MID(DcI!T38,2,1)="•",CONCATENATE("0",LEFT(DcI!T38,1)),LEFT(DcI!T38,2)))))</f>
        <v/>
      </c>
      <c r="BT38" s="28" t="str">
        <f ca="1">IF(DcI!U38="X","X",IF(LEN(DcI!U38)=3,CONCATENATE("0",LEFT(DcI!U38,1)),IF(LEN(DcI!U38)=5,LEFT(DcI!U38,2),IF(MID(DcI!U38,2,1)="•",CONCATENATE("0",LEFT(DcI!U38,1)),LEFT(DcI!U38,2)))))</f>
        <v/>
      </c>
      <c r="BU38" s="28" t="str">
        <f ca="1">IF(DcI!V38="X","X",IF(LEN(DcI!V38)=3,CONCATENATE("0",LEFT(DcI!V38,1)),IF(LEN(DcI!V38)=5,LEFT(DcI!V38,2),IF(MID(DcI!V38,2,1)="•",CONCATENATE("0",LEFT(DcI!V38,1)),LEFT(DcI!V38,2)))))</f>
        <v/>
      </c>
      <c r="BV38" s="28" t="str">
        <f ca="1">IF(DcI!W38="X","X",IF(LEN(DcI!W38)=3,CONCATENATE("0",LEFT(DcI!W38,1)),IF(LEN(DcI!W38)=5,LEFT(DcI!W38,2),IF(MID(DcI!W38,2,1)="•",CONCATENATE("0",LEFT(DcI!W38,1)),LEFT(DcI!W38,2)))))</f>
        <v/>
      </c>
      <c r="BW38" s="28" t="str">
        <f ca="1">IF(DcI!X38="X","X",IF(LEN(DcI!X38)=3,CONCATENATE("0",LEFT(DcI!X38,1)),IF(LEN(DcI!X38)=5,LEFT(DcI!X38,2),IF(MID(DcI!X38,2,1)="•",CONCATENATE("0",LEFT(DcI!X38,1)),LEFT(DcI!X38,2)))))</f>
        <v/>
      </c>
      <c r="BX38" s="28" t="str">
        <f ca="1">IF(DcI!Y38="X","X",IF(LEN(DcI!Y38)=3,CONCATENATE("0",LEFT(DcI!Y38,1)),IF(LEN(DcI!Y38)=5,LEFT(DcI!Y38,2),IF(MID(DcI!Y38,2,1)="•",CONCATENATE("0",LEFT(DcI!Y38,1)),LEFT(DcI!Y38,2)))))</f>
        <v/>
      </c>
      <c r="BY38" s="28" t="str">
        <f ca="1">IF(DcI!Z38="X","X",IF(LEN(DcI!Z38)=3,CONCATENATE("0",LEFT(DcI!Z38,1)),IF(LEN(DcI!Z38)=5,LEFT(DcI!Z38,2),IF(MID(DcI!Z38,2,1)="•",CONCATENATE("0",LEFT(DcI!Z38,1)),LEFT(DcI!Z38,2)))))</f>
        <v/>
      </c>
      <c r="BZ38" s="28" t="str">
        <f ca="1">IF(DcI!AA38="X","X",IF(LEN(DcI!AA38)=3,CONCATENATE("0",LEFT(DcI!AA38,1)),IF(LEN(DcI!AA38)=5,LEFT(DcI!AA38,2),IF(MID(DcI!AA38,2,1)="•",CONCATENATE("0",LEFT(DcI!AA38,1)),LEFT(DcI!AA38,2)))))</f>
        <v/>
      </c>
      <c r="CA38" s="28" t="str">
        <f ca="1">IF(DcI!AB38="X","X",IF(LEN(DcI!AB38)=3,CONCATENATE("0",LEFT(DcI!AB38,1)),IF(LEN(DcI!AB38)=5,LEFT(DcI!AB38,2),IF(MID(DcI!AB38,2,1)="•",CONCATENATE("0",LEFT(DcI!AB38,1)),LEFT(DcI!AB38,2)))))</f>
        <v/>
      </c>
      <c r="CB38" s="28" t="str">
        <f ca="1">IF(DcI!AC38="X","X",IF(LEN(DcI!AC38)=3,CONCATENATE("0",LEFT(DcI!AC38,1)),IF(LEN(DcI!AC38)=5,LEFT(DcI!AC38,2),IF(MID(DcI!AC38,2,1)="•",CONCATENATE("0",LEFT(DcI!AC38,1)),LEFT(DcI!AC38,2)))))</f>
        <v/>
      </c>
      <c r="CC38" s="28" t="str">
        <f ca="1">IF(DcI!AD38="X","X",IF(LEN(DcI!AD38)=3,CONCATENATE("0",LEFT(DcI!AD38,1)),IF(LEN(DcI!AD38)=5,LEFT(DcI!AD38,2),IF(MID(DcI!AD38,2,1)="•",CONCATENATE("0",LEFT(DcI!AD38,1)),LEFT(DcI!AD38,2)))))</f>
        <v/>
      </c>
      <c r="CD38" s="347" t="str">
        <f ca="1">IF(DcI!AE38="X","X",IF(LEN(DcI!AE38)=3,CONCATENATE("0",LEFT(DcI!AE38,1)),IF(LEN(DcI!AE38)=5,LEFT(DcI!AE38,2),IF(MID(DcI!AE38,2,1)="•",CONCATENATE("0",LEFT(DcI!AE38,1)),LEFT(DcI!AE38,2)))))</f>
        <v/>
      </c>
      <c r="CE38" s="28" t="str">
        <f t="shared" ca="1" si="19"/>
        <v/>
      </c>
      <c r="CF38" s="28" t="str">
        <f t="shared" ca="1" si="19"/>
        <v/>
      </c>
      <c r="CG38" s="28" t="str">
        <f t="shared" ca="1" si="19"/>
        <v/>
      </c>
      <c r="CH38" s="28" t="str">
        <f t="shared" ca="1" si="19"/>
        <v/>
      </c>
      <c r="CI38" s="28" t="str">
        <f t="shared" ca="1" si="19"/>
        <v/>
      </c>
      <c r="CJ38" s="28" t="str">
        <f t="shared" ca="1" si="19"/>
        <v/>
      </c>
      <c r="CK38" s="28" t="str">
        <f t="shared" ca="1" si="19"/>
        <v/>
      </c>
      <c r="CL38" s="28" t="str">
        <f t="shared" ca="1" si="19"/>
        <v/>
      </c>
      <c r="CM38" s="28" t="str">
        <f t="shared" ca="1" si="19"/>
        <v/>
      </c>
      <c r="CN38" s="28" t="str">
        <f t="shared" ca="1" si="19"/>
        <v/>
      </c>
      <c r="CO38" s="28" t="str">
        <f t="shared" ca="1" si="12"/>
        <v/>
      </c>
      <c r="CP38" s="28" t="str">
        <f t="shared" ca="1" si="12"/>
        <v/>
      </c>
      <c r="CQ38" s="28" t="str">
        <f t="shared" ca="1" si="12"/>
        <v/>
      </c>
      <c r="CR38" s="28" t="str">
        <f t="shared" ca="1" si="12"/>
        <v/>
      </c>
      <c r="CS38" s="28" t="str">
        <f t="shared" ca="1" si="12"/>
        <v/>
      </c>
      <c r="CT38" s="28" t="str">
        <f t="shared" ca="1" si="12"/>
        <v/>
      </c>
      <c r="CU38" s="28" t="str">
        <f t="shared" ca="1" si="12"/>
        <v/>
      </c>
      <c r="CV38" s="346" t="str">
        <f t="shared" ca="1" si="12"/>
        <v/>
      </c>
    </row>
    <row r="39" spans="2:100" ht="15">
      <c r="B39" s="63" t="str">
        <v>CE</v>
      </c>
      <c r="C39" s="16" t="str">
        <f t="shared" si="8"/>
        <v>CE11:CE56</v>
      </c>
      <c r="D39" s="342" t="str">
        <f t="shared" ca="1" si="9"/>
        <v/>
      </c>
      <c r="E39" s="349" t="str">
        <f t="shared" ca="1" si="10"/>
        <v>ng</v>
      </c>
      <c r="F39" s="349" t="str">
        <f t="shared" ca="1" si="20"/>
        <v>ng</v>
      </c>
      <c r="G39" s="349" t="str">
        <f t="shared" ca="1" si="20"/>
        <v>ng</v>
      </c>
      <c r="H39" s="349" t="str">
        <f t="shared" ca="1" si="20"/>
        <v>ng</v>
      </c>
      <c r="I39" s="349" t="str">
        <f t="shared" ca="1" si="20"/>
        <v>ng</v>
      </c>
      <c r="J39" s="349" t="str">
        <f t="shared" ca="1" si="20"/>
        <v>ng</v>
      </c>
      <c r="K39" s="349" t="str">
        <f t="shared" ca="1" si="20"/>
        <v>ng</v>
      </c>
      <c r="L39" s="349" t="str">
        <f t="shared" ca="1" si="20"/>
        <v>ng</v>
      </c>
      <c r="M39" s="349" t="str">
        <f t="shared" ca="1" si="20"/>
        <v>ng</v>
      </c>
      <c r="N39" s="349" t="str">
        <f t="shared" ca="1" si="20"/>
        <v>ng</v>
      </c>
      <c r="O39" s="349" t="str">
        <f t="shared" ca="1" si="20"/>
        <v>ng</v>
      </c>
      <c r="P39" s="349" t="str">
        <f t="shared" ca="1" si="20"/>
        <v>ng</v>
      </c>
      <c r="Q39" s="349" t="str">
        <f t="shared" ca="1" si="20"/>
        <v>ng</v>
      </c>
      <c r="R39" s="349" t="str">
        <f t="shared" ca="1" si="20"/>
        <v>ng</v>
      </c>
      <c r="S39" s="349" t="str">
        <f t="shared" ca="1" si="20"/>
        <v>ng</v>
      </c>
      <c r="T39" s="349" t="str">
        <f t="shared" ca="1" si="20"/>
        <v>ng</v>
      </c>
      <c r="U39" s="349" t="str">
        <f t="shared" ca="1" si="20"/>
        <v>ng</v>
      </c>
      <c r="V39" s="349" t="str">
        <f t="shared" ca="1" si="20"/>
        <v>ng</v>
      </c>
      <c r="W39" s="349" t="str">
        <f t="shared" ca="1" si="20"/>
        <v>ng</v>
      </c>
      <c r="X39" s="349" t="str">
        <f t="shared" ca="1" si="20"/>
        <v>ng</v>
      </c>
      <c r="Y39" s="349" t="str">
        <f t="shared" ca="1" si="20"/>
        <v>ng</v>
      </c>
      <c r="Z39" s="349" t="str">
        <f t="shared" ca="1" si="20"/>
        <v>ng</v>
      </c>
      <c r="AA39" s="349" t="str">
        <f t="shared" ca="1" si="20"/>
        <v>ng</v>
      </c>
      <c r="AB39" s="349" t="str">
        <f t="shared" ca="1" si="20"/>
        <v>ng</v>
      </c>
      <c r="AC39" s="349" t="str">
        <f t="shared" ca="1" si="20"/>
        <v>ng</v>
      </c>
      <c r="AD39" s="349" t="str">
        <f t="shared" ca="1" si="20"/>
        <v>ng</v>
      </c>
      <c r="AE39" s="349" t="str">
        <f t="shared" ca="1" si="20"/>
        <v>ng</v>
      </c>
      <c r="AF39" s="349" t="str">
        <f t="shared" ca="1" si="20"/>
        <v>ng</v>
      </c>
      <c r="AG39" s="349" t="str">
        <f t="shared" ca="1" si="20"/>
        <v>ng</v>
      </c>
      <c r="AH39" s="349" t="str">
        <f t="shared" ca="1" si="20"/>
        <v>ng</v>
      </c>
      <c r="AI39" s="349" t="str">
        <f t="shared" ca="1" si="20"/>
        <v>ng</v>
      </c>
      <c r="AJ39" s="349" t="str">
        <f t="shared" ca="1" si="20"/>
        <v>ng</v>
      </c>
      <c r="AK39" s="349" t="str">
        <f t="shared" ca="1" si="20"/>
        <v>ng</v>
      </c>
      <c r="AL39" s="349" t="str">
        <f t="shared" ca="1" si="16"/>
        <v>ng</v>
      </c>
      <c r="AM39" s="349" t="str">
        <f t="shared" ca="1" si="16"/>
        <v>ng</v>
      </c>
      <c r="AN39" s="349" t="str">
        <f t="shared" ca="1" si="16"/>
        <v>ng</v>
      </c>
      <c r="AO39" s="349" t="str">
        <f t="shared" ca="1" si="16"/>
        <v>ng</v>
      </c>
      <c r="AP39" s="349" t="str">
        <f t="shared" ca="1" si="16"/>
        <v>ng</v>
      </c>
      <c r="AQ39" s="349" t="str">
        <f t="shared" ca="1" si="16"/>
        <v>ng</v>
      </c>
      <c r="AR39" s="350" t="str">
        <f t="shared" ca="1" si="16"/>
        <v>ng</v>
      </c>
      <c r="BA39" s="16" t="str">
        <v>CE</v>
      </c>
      <c r="BB39" s="342" t="str">
        <f ca="1">DcI!C39</f>
        <v/>
      </c>
      <c r="BC39" s="28" t="str">
        <f ca="1">IF(DcI!D39="X","X",IF(LEN(DcI!D39)=3,CONCATENATE("0",LEFT(DcI!D39,1)),IF(LEN(DcI!D39)=5,LEFT(DcI!D39,2),IF(MID(DcI!D39,2,1)="•",CONCATENATE("0",LEFT(DcI!D39,1)),LEFT(DcI!D39,2)))))</f>
        <v/>
      </c>
      <c r="BD39" s="28" t="str">
        <f ca="1">IF(DcI!E39="X","X",IF(LEN(DcI!E39)=3,CONCATENATE("0",LEFT(DcI!E39,1)),IF(LEN(DcI!E39)=5,LEFT(DcI!E39,2),IF(MID(DcI!E39,2,1)="•",CONCATENATE("0",LEFT(DcI!E39,1)),LEFT(DcI!E39,2)))))</f>
        <v/>
      </c>
      <c r="BE39" s="28" t="str">
        <f ca="1">IF(DcI!F39="X","X",IF(LEN(DcI!F39)=3,CONCATENATE("0",LEFT(DcI!F39,1)),IF(LEN(DcI!F39)=5,LEFT(DcI!F39,2),IF(MID(DcI!F39,2,1)="•",CONCATENATE("0",LEFT(DcI!F39,1)),LEFT(DcI!F39,2)))))</f>
        <v/>
      </c>
      <c r="BF39" s="28" t="str">
        <f ca="1">IF(DcI!G39="X","X",IF(LEN(DcI!G39)=3,CONCATENATE("0",LEFT(DcI!G39,1)),IF(LEN(DcI!G39)=5,LEFT(DcI!G39,2),IF(MID(DcI!G39,2,1)="•",CONCATENATE("0",LEFT(DcI!G39,1)),LEFT(DcI!G39,2)))))</f>
        <v/>
      </c>
      <c r="BG39" s="28" t="str">
        <f ca="1">IF(DcI!H39="X","X",IF(LEN(DcI!H39)=3,CONCATENATE("0",LEFT(DcI!H39,1)),IF(LEN(DcI!H39)=5,LEFT(DcI!H39,2),IF(MID(DcI!H39,2,1)="•",CONCATENATE("0",LEFT(DcI!H39,1)),LEFT(DcI!H39,2)))))</f>
        <v/>
      </c>
      <c r="BH39" s="28" t="str">
        <f ca="1">IF(DcI!I39="X","X",IF(LEN(DcI!I39)=3,CONCATENATE("0",LEFT(DcI!I39,1)),IF(LEN(DcI!I39)=5,LEFT(DcI!I39,2),IF(MID(DcI!I39,2,1)="•",CONCATENATE("0",LEFT(DcI!I39,1)),LEFT(DcI!I39,2)))))</f>
        <v/>
      </c>
      <c r="BI39" s="28" t="str">
        <f ca="1">IF(DcI!J39="X","X",IF(LEN(DcI!J39)=3,CONCATENATE("0",LEFT(DcI!J39,1)),IF(LEN(DcI!J39)=5,LEFT(DcI!J39,2),IF(MID(DcI!J39,2,1)="•",CONCATENATE("0",LEFT(DcI!J39,1)),LEFT(DcI!J39,2)))))</f>
        <v/>
      </c>
      <c r="BJ39" s="28" t="str">
        <f ca="1">IF(DcI!K39="X","X",IF(LEN(DcI!K39)=3,CONCATENATE("0",LEFT(DcI!K39,1)),IF(LEN(DcI!K39)=5,LEFT(DcI!K39,2),IF(MID(DcI!K39,2,1)="•",CONCATENATE("0",LEFT(DcI!K39,1)),LEFT(DcI!K39,2)))))</f>
        <v/>
      </c>
      <c r="BK39" s="28" t="str">
        <f ca="1">IF(DcI!L39="X","X",IF(LEN(DcI!L39)=3,CONCATENATE("0",LEFT(DcI!L39,1)),IF(LEN(DcI!L39)=5,LEFT(DcI!L39,2),IF(MID(DcI!L39,2,1)="•",CONCATENATE("0",LEFT(DcI!L39,1)),LEFT(DcI!L39,2)))))</f>
        <v/>
      </c>
      <c r="BL39" s="28" t="str">
        <f ca="1">IF(DcI!M39="X","X",IF(LEN(DcI!M39)=3,CONCATENATE("0",LEFT(DcI!M39,1)),IF(LEN(DcI!M39)=5,LEFT(DcI!M39,2),IF(MID(DcI!M39,2,1)="•",CONCATENATE("0",LEFT(DcI!M39,1)),LEFT(DcI!M39,2)))))</f>
        <v/>
      </c>
      <c r="BM39" s="28" t="str">
        <f ca="1">IF(DcI!N39="X","X",IF(LEN(DcI!N39)=3,CONCATENATE("0",LEFT(DcI!N39,1)),IF(LEN(DcI!N39)=5,LEFT(DcI!N39,2),IF(MID(DcI!N39,2,1)="•",CONCATENATE("0",LEFT(DcI!N39,1)),LEFT(DcI!N39,2)))))</f>
        <v/>
      </c>
      <c r="BN39" s="28" t="str">
        <f ca="1">IF(DcI!O39="X","X",IF(LEN(DcI!O39)=3,CONCATENATE("0",LEFT(DcI!O39,1)),IF(LEN(DcI!O39)=5,LEFT(DcI!O39,2),IF(MID(DcI!O39,2,1)="•",CONCATENATE("0",LEFT(DcI!O39,1)),LEFT(DcI!O39,2)))))</f>
        <v/>
      </c>
      <c r="BO39" s="28" t="str">
        <f ca="1">IF(DcI!P39="X","X",IF(LEN(DcI!P39)=3,CONCATENATE("0",LEFT(DcI!P39,1)),IF(LEN(DcI!P39)=5,LEFT(DcI!P39,2),IF(MID(DcI!P39,2,1)="•",CONCATENATE("0",LEFT(DcI!P39,1)),LEFT(DcI!P39,2)))))</f>
        <v/>
      </c>
      <c r="BP39" s="28" t="str">
        <f ca="1">IF(DcI!Q39="X","X",IF(LEN(DcI!Q39)=3,CONCATENATE("0",LEFT(DcI!Q39,1)),IF(LEN(DcI!Q39)=5,LEFT(DcI!Q39,2),IF(MID(DcI!Q39,2,1)="•",CONCATENATE("0",LEFT(DcI!Q39,1)),LEFT(DcI!Q39,2)))))</f>
        <v/>
      </c>
      <c r="BQ39" s="28" t="str">
        <f ca="1">IF(DcI!R39="X","X",IF(LEN(DcI!R39)=3,CONCATENATE("0",LEFT(DcI!R39,1)),IF(LEN(DcI!R39)=5,LEFT(DcI!R39,2),IF(MID(DcI!R39,2,1)="•",CONCATENATE("0",LEFT(DcI!R39,1)),LEFT(DcI!R39,2)))))</f>
        <v/>
      </c>
      <c r="BR39" s="28" t="str">
        <f ca="1">IF(DcI!S39="X","X",IF(LEN(DcI!S39)=3,CONCATENATE("0",LEFT(DcI!S39,1)),IF(LEN(DcI!S39)=5,LEFT(DcI!S39,2),IF(MID(DcI!S39,2,1)="•",CONCATENATE("0",LEFT(DcI!S39,1)),LEFT(DcI!S39,2)))))</f>
        <v/>
      </c>
      <c r="BS39" s="28" t="str">
        <f ca="1">IF(DcI!T39="X","X",IF(LEN(DcI!T39)=3,CONCATENATE("0",LEFT(DcI!T39,1)),IF(LEN(DcI!T39)=5,LEFT(DcI!T39,2),IF(MID(DcI!T39,2,1)="•",CONCATENATE("0",LEFT(DcI!T39,1)),LEFT(DcI!T39,2)))))</f>
        <v/>
      </c>
      <c r="BT39" s="28" t="str">
        <f ca="1">IF(DcI!U39="X","X",IF(LEN(DcI!U39)=3,CONCATENATE("0",LEFT(DcI!U39,1)),IF(LEN(DcI!U39)=5,LEFT(DcI!U39,2),IF(MID(DcI!U39,2,1)="•",CONCATENATE("0",LEFT(DcI!U39,1)),LEFT(DcI!U39,2)))))</f>
        <v/>
      </c>
      <c r="BU39" s="28" t="str">
        <f ca="1">IF(DcI!V39="X","X",IF(LEN(DcI!V39)=3,CONCATENATE("0",LEFT(DcI!V39,1)),IF(LEN(DcI!V39)=5,LEFT(DcI!V39,2),IF(MID(DcI!V39,2,1)="•",CONCATENATE("0",LEFT(DcI!V39,1)),LEFT(DcI!V39,2)))))</f>
        <v/>
      </c>
      <c r="BV39" s="28" t="str">
        <f ca="1">IF(DcI!W39="X","X",IF(LEN(DcI!W39)=3,CONCATENATE("0",LEFT(DcI!W39,1)),IF(LEN(DcI!W39)=5,LEFT(DcI!W39,2),IF(MID(DcI!W39,2,1)="•",CONCATENATE("0",LEFT(DcI!W39,1)),LEFT(DcI!W39,2)))))</f>
        <v/>
      </c>
      <c r="BW39" s="28" t="str">
        <f ca="1">IF(DcI!X39="X","X",IF(LEN(DcI!X39)=3,CONCATENATE("0",LEFT(DcI!X39,1)),IF(LEN(DcI!X39)=5,LEFT(DcI!X39,2),IF(MID(DcI!X39,2,1)="•",CONCATENATE("0",LEFT(DcI!X39,1)),LEFT(DcI!X39,2)))))</f>
        <v/>
      </c>
      <c r="BX39" s="28" t="str">
        <f ca="1">IF(DcI!Y39="X","X",IF(LEN(DcI!Y39)=3,CONCATENATE("0",LEFT(DcI!Y39,1)),IF(LEN(DcI!Y39)=5,LEFT(DcI!Y39,2),IF(MID(DcI!Y39,2,1)="•",CONCATENATE("0",LEFT(DcI!Y39,1)),LEFT(DcI!Y39,2)))))</f>
        <v/>
      </c>
      <c r="BY39" s="28" t="str">
        <f ca="1">IF(DcI!Z39="X","X",IF(LEN(DcI!Z39)=3,CONCATENATE("0",LEFT(DcI!Z39,1)),IF(LEN(DcI!Z39)=5,LEFT(DcI!Z39,2),IF(MID(DcI!Z39,2,1)="•",CONCATENATE("0",LEFT(DcI!Z39,1)),LEFT(DcI!Z39,2)))))</f>
        <v/>
      </c>
      <c r="BZ39" s="28" t="str">
        <f ca="1">IF(DcI!AA39="X","X",IF(LEN(DcI!AA39)=3,CONCATENATE("0",LEFT(DcI!AA39,1)),IF(LEN(DcI!AA39)=5,LEFT(DcI!AA39,2),IF(MID(DcI!AA39,2,1)="•",CONCATENATE("0",LEFT(DcI!AA39,1)),LEFT(DcI!AA39,2)))))</f>
        <v/>
      </c>
      <c r="CA39" s="28" t="str">
        <f ca="1">IF(DcI!AB39="X","X",IF(LEN(DcI!AB39)=3,CONCATENATE("0",LEFT(DcI!AB39,1)),IF(LEN(DcI!AB39)=5,LEFT(DcI!AB39,2),IF(MID(DcI!AB39,2,1)="•",CONCATENATE("0",LEFT(DcI!AB39,1)),LEFT(DcI!AB39,2)))))</f>
        <v/>
      </c>
      <c r="CB39" s="28" t="str">
        <f ca="1">IF(DcI!AC39="X","X",IF(LEN(DcI!AC39)=3,CONCATENATE("0",LEFT(DcI!AC39,1)),IF(LEN(DcI!AC39)=5,LEFT(DcI!AC39,2),IF(MID(DcI!AC39,2,1)="•",CONCATENATE("0",LEFT(DcI!AC39,1)),LEFT(DcI!AC39,2)))))</f>
        <v/>
      </c>
      <c r="CC39" s="28" t="str">
        <f ca="1">IF(DcI!AD39="X","X",IF(LEN(DcI!AD39)=3,CONCATENATE("0",LEFT(DcI!AD39,1)),IF(LEN(DcI!AD39)=5,LEFT(DcI!AD39,2),IF(MID(DcI!AD39,2,1)="•",CONCATENATE("0",LEFT(DcI!AD39,1)),LEFT(DcI!AD39,2)))))</f>
        <v/>
      </c>
      <c r="CD39" s="28" t="str">
        <f ca="1">IF(DcI!AE39="X","X",IF(LEN(DcI!AE39)=3,CONCATENATE("0",LEFT(DcI!AE39,1)),IF(LEN(DcI!AE39)=5,LEFT(DcI!AE39,2),IF(MID(DcI!AE39,2,1)="•",CONCATENATE("0",LEFT(DcI!AE39,1)),LEFT(DcI!AE39,2)))))</f>
        <v/>
      </c>
      <c r="CE39" s="347" t="str">
        <f ca="1">IF(DcI!AF39="X","X",IF(LEN(DcI!AF39)=3,CONCATENATE("0",LEFT(DcI!AF39,1)),IF(LEN(DcI!AF39)=5,LEFT(DcI!AF39,2),IF(MID(DcI!AF39,2,1)="•",CONCATENATE("0",LEFT(DcI!AF39,1)),LEFT(DcI!AF39,2)))))</f>
        <v/>
      </c>
      <c r="CF39" s="28" t="str">
        <f t="shared" ca="1" si="19"/>
        <v/>
      </c>
      <c r="CG39" s="28" t="str">
        <f t="shared" ca="1" si="19"/>
        <v/>
      </c>
      <c r="CH39" s="28" t="str">
        <f t="shared" ca="1" si="19"/>
        <v/>
      </c>
      <c r="CI39" s="28" t="str">
        <f t="shared" ca="1" si="19"/>
        <v/>
      </c>
      <c r="CJ39" s="28" t="str">
        <f t="shared" ca="1" si="19"/>
        <v/>
      </c>
      <c r="CK39" s="28" t="str">
        <f t="shared" ca="1" si="19"/>
        <v/>
      </c>
      <c r="CL39" s="28" t="str">
        <f t="shared" ca="1" si="19"/>
        <v/>
      </c>
      <c r="CM39" s="28" t="str">
        <f t="shared" ca="1" si="19"/>
        <v/>
      </c>
      <c r="CN39" s="28" t="str">
        <f t="shared" ca="1" si="19"/>
        <v/>
      </c>
      <c r="CO39" s="28" t="str">
        <f t="shared" ca="1" si="12"/>
        <v/>
      </c>
      <c r="CP39" s="28" t="str">
        <f t="shared" ca="1" si="12"/>
        <v/>
      </c>
      <c r="CQ39" s="28" t="str">
        <f t="shared" ca="1" si="12"/>
        <v/>
      </c>
      <c r="CR39" s="28" t="str">
        <f t="shared" ca="1" si="12"/>
        <v/>
      </c>
      <c r="CS39" s="28" t="str">
        <f t="shared" ca="1" si="12"/>
        <v/>
      </c>
      <c r="CT39" s="28" t="str">
        <f t="shared" ca="1" si="12"/>
        <v/>
      </c>
      <c r="CU39" s="28" t="str">
        <f t="shared" ca="1" si="12"/>
        <v/>
      </c>
      <c r="CV39" s="346" t="str">
        <f t="shared" ca="1" si="12"/>
        <v/>
      </c>
    </row>
    <row r="40" spans="2:100" ht="15">
      <c r="B40" s="63" t="str">
        <v>CF</v>
      </c>
      <c r="C40" s="16" t="str">
        <f t="shared" si="8"/>
        <v>CF11:CF56</v>
      </c>
      <c r="D40" s="342" t="str">
        <f t="shared" ca="1" si="9"/>
        <v/>
      </c>
      <c r="E40" s="349" t="str">
        <f t="shared" ca="1" si="10"/>
        <v>ng</v>
      </c>
      <c r="F40" s="349" t="str">
        <f t="shared" ca="1" si="20"/>
        <v>ng</v>
      </c>
      <c r="G40" s="349" t="str">
        <f t="shared" ca="1" si="20"/>
        <v>ng</v>
      </c>
      <c r="H40" s="349" t="str">
        <f t="shared" ca="1" si="20"/>
        <v>ng</v>
      </c>
      <c r="I40" s="349" t="str">
        <f t="shared" ca="1" si="20"/>
        <v>ng</v>
      </c>
      <c r="J40" s="349" t="str">
        <f t="shared" ca="1" si="20"/>
        <v>ng</v>
      </c>
      <c r="K40" s="349" t="str">
        <f t="shared" ca="1" si="20"/>
        <v>ng</v>
      </c>
      <c r="L40" s="349" t="str">
        <f t="shared" ca="1" si="20"/>
        <v>ng</v>
      </c>
      <c r="M40" s="349" t="str">
        <f t="shared" ca="1" si="20"/>
        <v>ng</v>
      </c>
      <c r="N40" s="349" t="str">
        <f t="shared" ca="1" si="20"/>
        <v>ng</v>
      </c>
      <c r="O40" s="349" t="str">
        <f t="shared" ca="1" si="20"/>
        <v>ng</v>
      </c>
      <c r="P40" s="349" t="str">
        <f t="shared" ca="1" si="20"/>
        <v>ng</v>
      </c>
      <c r="Q40" s="349" t="str">
        <f t="shared" ca="1" si="20"/>
        <v>ng</v>
      </c>
      <c r="R40" s="349" t="str">
        <f t="shared" ca="1" si="20"/>
        <v>ng</v>
      </c>
      <c r="S40" s="349" t="str">
        <f t="shared" ca="1" si="20"/>
        <v>ng</v>
      </c>
      <c r="T40" s="349" t="str">
        <f t="shared" ca="1" si="20"/>
        <v>ng</v>
      </c>
      <c r="U40" s="349" t="str">
        <f t="shared" ca="1" si="20"/>
        <v>ng</v>
      </c>
      <c r="V40" s="349" t="str">
        <f t="shared" ca="1" si="20"/>
        <v>ng</v>
      </c>
      <c r="W40" s="349" t="str">
        <f t="shared" ca="1" si="20"/>
        <v>ng</v>
      </c>
      <c r="X40" s="349" t="str">
        <f t="shared" ca="1" si="20"/>
        <v>ng</v>
      </c>
      <c r="Y40" s="349" t="str">
        <f t="shared" ca="1" si="20"/>
        <v>ng</v>
      </c>
      <c r="Z40" s="349" t="str">
        <f t="shared" ca="1" si="20"/>
        <v>ng</v>
      </c>
      <c r="AA40" s="349" t="str">
        <f t="shared" ca="1" si="20"/>
        <v>ng</v>
      </c>
      <c r="AB40" s="349" t="str">
        <f t="shared" ca="1" si="20"/>
        <v>ng</v>
      </c>
      <c r="AC40" s="349" t="str">
        <f t="shared" ca="1" si="20"/>
        <v>ng</v>
      </c>
      <c r="AD40" s="349" t="str">
        <f t="shared" ca="1" si="20"/>
        <v>ng</v>
      </c>
      <c r="AE40" s="349" t="str">
        <f t="shared" ca="1" si="20"/>
        <v>ng</v>
      </c>
      <c r="AF40" s="349" t="str">
        <f t="shared" ca="1" si="20"/>
        <v>ng</v>
      </c>
      <c r="AG40" s="349" t="str">
        <f t="shared" ca="1" si="20"/>
        <v>ng</v>
      </c>
      <c r="AH40" s="349" t="str">
        <f t="shared" ca="1" si="20"/>
        <v>ng</v>
      </c>
      <c r="AI40" s="349" t="str">
        <f t="shared" ca="1" si="20"/>
        <v>ng</v>
      </c>
      <c r="AJ40" s="349" t="str">
        <f t="shared" ca="1" si="20"/>
        <v>ng</v>
      </c>
      <c r="AK40" s="349" t="str">
        <f t="shared" ca="1" si="20"/>
        <v>ng</v>
      </c>
      <c r="AL40" s="349" t="str">
        <f t="shared" ca="1" si="16"/>
        <v>ng</v>
      </c>
      <c r="AM40" s="349" t="str">
        <f t="shared" ca="1" si="16"/>
        <v>ng</v>
      </c>
      <c r="AN40" s="349" t="str">
        <f t="shared" ca="1" si="16"/>
        <v>ng</v>
      </c>
      <c r="AO40" s="349" t="str">
        <f t="shared" ca="1" si="16"/>
        <v>ng</v>
      </c>
      <c r="AP40" s="349" t="str">
        <f t="shared" ca="1" si="16"/>
        <v>ng</v>
      </c>
      <c r="AQ40" s="349" t="str">
        <f t="shared" ca="1" si="16"/>
        <v>ng</v>
      </c>
      <c r="AR40" s="350" t="str">
        <f t="shared" ca="1" si="16"/>
        <v>ng</v>
      </c>
      <c r="BA40" s="16" t="str">
        <v>CF</v>
      </c>
      <c r="BB40" s="342" t="str">
        <f ca="1">DcI!C40</f>
        <v/>
      </c>
      <c r="BC40" s="28" t="str">
        <f ca="1">IF(DcI!D40="X","X",IF(LEN(DcI!D40)=3,CONCATENATE("0",LEFT(DcI!D40,1)),IF(LEN(DcI!D40)=5,LEFT(DcI!D40,2),IF(MID(DcI!D40,2,1)="•",CONCATENATE("0",LEFT(DcI!D40,1)),LEFT(DcI!D40,2)))))</f>
        <v/>
      </c>
      <c r="BD40" s="28" t="str">
        <f ca="1">IF(DcI!E40="X","X",IF(LEN(DcI!E40)=3,CONCATENATE("0",LEFT(DcI!E40,1)),IF(LEN(DcI!E40)=5,LEFT(DcI!E40,2),IF(MID(DcI!E40,2,1)="•",CONCATENATE("0",LEFT(DcI!E40,1)),LEFT(DcI!E40,2)))))</f>
        <v/>
      </c>
      <c r="BE40" s="28" t="str">
        <f ca="1">IF(DcI!F40="X","X",IF(LEN(DcI!F40)=3,CONCATENATE("0",LEFT(DcI!F40,1)),IF(LEN(DcI!F40)=5,LEFT(DcI!F40,2),IF(MID(DcI!F40,2,1)="•",CONCATENATE("0",LEFT(DcI!F40,1)),LEFT(DcI!F40,2)))))</f>
        <v/>
      </c>
      <c r="BF40" s="28" t="str">
        <f ca="1">IF(DcI!G40="X","X",IF(LEN(DcI!G40)=3,CONCATENATE("0",LEFT(DcI!G40,1)),IF(LEN(DcI!G40)=5,LEFT(DcI!G40,2),IF(MID(DcI!G40,2,1)="•",CONCATENATE("0",LEFT(DcI!G40,1)),LEFT(DcI!G40,2)))))</f>
        <v/>
      </c>
      <c r="BG40" s="28" t="str">
        <f ca="1">IF(DcI!H40="X","X",IF(LEN(DcI!H40)=3,CONCATENATE("0",LEFT(DcI!H40,1)),IF(LEN(DcI!H40)=5,LEFT(DcI!H40,2),IF(MID(DcI!H40,2,1)="•",CONCATENATE("0",LEFT(DcI!H40,1)),LEFT(DcI!H40,2)))))</f>
        <v/>
      </c>
      <c r="BH40" s="28" t="str">
        <f ca="1">IF(DcI!I40="X","X",IF(LEN(DcI!I40)=3,CONCATENATE("0",LEFT(DcI!I40,1)),IF(LEN(DcI!I40)=5,LEFT(DcI!I40,2),IF(MID(DcI!I40,2,1)="•",CONCATENATE("0",LEFT(DcI!I40,1)),LEFT(DcI!I40,2)))))</f>
        <v/>
      </c>
      <c r="BI40" s="28" t="str">
        <f ca="1">IF(DcI!J40="X","X",IF(LEN(DcI!J40)=3,CONCATENATE("0",LEFT(DcI!J40,1)),IF(LEN(DcI!J40)=5,LEFT(DcI!J40,2),IF(MID(DcI!J40,2,1)="•",CONCATENATE("0",LEFT(DcI!J40,1)),LEFT(DcI!J40,2)))))</f>
        <v/>
      </c>
      <c r="BJ40" s="28" t="str">
        <f ca="1">IF(DcI!K40="X","X",IF(LEN(DcI!K40)=3,CONCATENATE("0",LEFT(DcI!K40,1)),IF(LEN(DcI!K40)=5,LEFT(DcI!K40,2),IF(MID(DcI!K40,2,1)="•",CONCATENATE("0",LEFT(DcI!K40,1)),LEFT(DcI!K40,2)))))</f>
        <v/>
      </c>
      <c r="BK40" s="28" t="str">
        <f ca="1">IF(DcI!L40="X","X",IF(LEN(DcI!L40)=3,CONCATENATE("0",LEFT(DcI!L40,1)),IF(LEN(DcI!L40)=5,LEFT(DcI!L40,2),IF(MID(DcI!L40,2,1)="•",CONCATENATE("0",LEFT(DcI!L40,1)),LEFT(DcI!L40,2)))))</f>
        <v/>
      </c>
      <c r="BL40" s="28" t="str">
        <f ca="1">IF(DcI!M40="X","X",IF(LEN(DcI!M40)=3,CONCATENATE("0",LEFT(DcI!M40,1)),IF(LEN(DcI!M40)=5,LEFT(DcI!M40,2),IF(MID(DcI!M40,2,1)="•",CONCATENATE("0",LEFT(DcI!M40,1)),LEFT(DcI!M40,2)))))</f>
        <v/>
      </c>
      <c r="BM40" s="28" t="str">
        <f ca="1">IF(DcI!N40="X","X",IF(LEN(DcI!N40)=3,CONCATENATE("0",LEFT(DcI!N40,1)),IF(LEN(DcI!N40)=5,LEFT(DcI!N40,2),IF(MID(DcI!N40,2,1)="•",CONCATENATE("0",LEFT(DcI!N40,1)),LEFT(DcI!N40,2)))))</f>
        <v/>
      </c>
      <c r="BN40" s="28" t="str">
        <f ca="1">IF(DcI!O40="X","X",IF(LEN(DcI!O40)=3,CONCATENATE("0",LEFT(DcI!O40,1)),IF(LEN(DcI!O40)=5,LEFT(DcI!O40,2),IF(MID(DcI!O40,2,1)="•",CONCATENATE("0",LEFT(DcI!O40,1)),LEFT(DcI!O40,2)))))</f>
        <v/>
      </c>
      <c r="BO40" s="28" t="str">
        <f ca="1">IF(DcI!P40="X","X",IF(LEN(DcI!P40)=3,CONCATENATE("0",LEFT(DcI!P40,1)),IF(LEN(DcI!P40)=5,LEFT(DcI!P40,2),IF(MID(DcI!P40,2,1)="•",CONCATENATE("0",LEFT(DcI!P40,1)),LEFT(DcI!P40,2)))))</f>
        <v/>
      </c>
      <c r="BP40" s="28" t="str">
        <f ca="1">IF(DcI!Q40="X","X",IF(LEN(DcI!Q40)=3,CONCATENATE("0",LEFT(DcI!Q40,1)),IF(LEN(DcI!Q40)=5,LEFT(DcI!Q40,2),IF(MID(DcI!Q40,2,1)="•",CONCATENATE("0",LEFT(DcI!Q40,1)),LEFT(DcI!Q40,2)))))</f>
        <v/>
      </c>
      <c r="BQ40" s="28" t="str">
        <f ca="1">IF(DcI!R40="X","X",IF(LEN(DcI!R40)=3,CONCATENATE("0",LEFT(DcI!R40,1)),IF(LEN(DcI!R40)=5,LEFT(DcI!R40,2),IF(MID(DcI!R40,2,1)="•",CONCATENATE("0",LEFT(DcI!R40,1)),LEFT(DcI!R40,2)))))</f>
        <v/>
      </c>
      <c r="BR40" s="28" t="str">
        <f ca="1">IF(DcI!S40="X","X",IF(LEN(DcI!S40)=3,CONCATENATE("0",LEFT(DcI!S40,1)),IF(LEN(DcI!S40)=5,LEFT(DcI!S40,2),IF(MID(DcI!S40,2,1)="•",CONCATENATE("0",LEFT(DcI!S40,1)),LEFT(DcI!S40,2)))))</f>
        <v/>
      </c>
      <c r="BS40" s="28" t="str">
        <f ca="1">IF(DcI!T40="X","X",IF(LEN(DcI!T40)=3,CONCATENATE("0",LEFT(DcI!T40,1)),IF(LEN(DcI!T40)=5,LEFT(DcI!T40,2),IF(MID(DcI!T40,2,1)="•",CONCATENATE("0",LEFT(DcI!T40,1)),LEFT(DcI!T40,2)))))</f>
        <v/>
      </c>
      <c r="BT40" s="28" t="str">
        <f ca="1">IF(DcI!U40="X","X",IF(LEN(DcI!U40)=3,CONCATENATE("0",LEFT(DcI!U40,1)),IF(LEN(DcI!U40)=5,LEFT(DcI!U40,2),IF(MID(DcI!U40,2,1)="•",CONCATENATE("0",LEFT(DcI!U40,1)),LEFT(DcI!U40,2)))))</f>
        <v/>
      </c>
      <c r="BU40" s="28" t="str">
        <f ca="1">IF(DcI!V40="X","X",IF(LEN(DcI!V40)=3,CONCATENATE("0",LEFT(DcI!V40,1)),IF(LEN(DcI!V40)=5,LEFT(DcI!V40,2),IF(MID(DcI!V40,2,1)="•",CONCATENATE("0",LEFT(DcI!V40,1)),LEFT(DcI!V40,2)))))</f>
        <v/>
      </c>
      <c r="BV40" s="28" t="str">
        <f ca="1">IF(DcI!W40="X","X",IF(LEN(DcI!W40)=3,CONCATENATE("0",LEFT(DcI!W40,1)),IF(LEN(DcI!W40)=5,LEFT(DcI!W40,2),IF(MID(DcI!W40,2,1)="•",CONCATENATE("0",LEFT(DcI!W40,1)),LEFT(DcI!W40,2)))))</f>
        <v/>
      </c>
      <c r="BW40" s="28" t="str">
        <f ca="1">IF(DcI!X40="X","X",IF(LEN(DcI!X40)=3,CONCATENATE("0",LEFT(DcI!X40,1)),IF(LEN(DcI!X40)=5,LEFT(DcI!X40,2),IF(MID(DcI!X40,2,1)="•",CONCATENATE("0",LEFT(DcI!X40,1)),LEFT(DcI!X40,2)))))</f>
        <v/>
      </c>
      <c r="BX40" s="28" t="str">
        <f ca="1">IF(DcI!Y40="X","X",IF(LEN(DcI!Y40)=3,CONCATENATE("0",LEFT(DcI!Y40,1)),IF(LEN(DcI!Y40)=5,LEFT(DcI!Y40,2),IF(MID(DcI!Y40,2,1)="•",CONCATENATE("0",LEFT(DcI!Y40,1)),LEFT(DcI!Y40,2)))))</f>
        <v/>
      </c>
      <c r="BY40" s="28" t="str">
        <f ca="1">IF(DcI!Z40="X","X",IF(LEN(DcI!Z40)=3,CONCATENATE("0",LEFT(DcI!Z40,1)),IF(LEN(DcI!Z40)=5,LEFT(DcI!Z40,2),IF(MID(DcI!Z40,2,1)="•",CONCATENATE("0",LEFT(DcI!Z40,1)),LEFT(DcI!Z40,2)))))</f>
        <v/>
      </c>
      <c r="BZ40" s="28" t="str">
        <f ca="1">IF(DcI!AA40="X","X",IF(LEN(DcI!AA40)=3,CONCATENATE("0",LEFT(DcI!AA40,1)),IF(LEN(DcI!AA40)=5,LEFT(DcI!AA40,2),IF(MID(DcI!AA40,2,1)="•",CONCATENATE("0",LEFT(DcI!AA40,1)),LEFT(DcI!AA40,2)))))</f>
        <v/>
      </c>
      <c r="CA40" s="28" t="str">
        <f ca="1">IF(DcI!AB40="X","X",IF(LEN(DcI!AB40)=3,CONCATENATE("0",LEFT(DcI!AB40,1)),IF(LEN(DcI!AB40)=5,LEFT(DcI!AB40,2),IF(MID(DcI!AB40,2,1)="•",CONCATENATE("0",LEFT(DcI!AB40,1)),LEFT(DcI!AB40,2)))))</f>
        <v/>
      </c>
      <c r="CB40" s="28" t="str">
        <f ca="1">IF(DcI!AC40="X","X",IF(LEN(DcI!AC40)=3,CONCATENATE("0",LEFT(DcI!AC40,1)),IF(LEN(DcI!AC40)=5,LEFT(DcI!AC40,2),IF(MID(DcI!AC40,2,1)="•",CONCATENATE("0",LEFT(DcI!AC40,1)),LEFT(DcI!AC40,2)))))</f>
        <v/>
      </c>
      <c r="CC40" s="28" t="str">
        <f ca="1">IF(DcI!AD40="X","X",IF(LEN(DcI!AD40)=3,CONCATENATE("0",LEFT(DcI!AD40,1)),IF(LEN(DcI!AD40)=5,LEFT(DcI!AD40,2),IF(MID(DcI!AD40,2,1)="•",CONCATENATE("0",LEFT(DcI!AD40,1)),LEFT(DcI!AD40,2)))))</f>
        <v/>
      </c>
      <c r="CD40" s="28" t="str">
        <f ca="1">IF(DcI!AE40="X","X",IF(LEN(DcI!AE40)=3,CONCATENATE("0",LEFT(DcI!AE40,1)),IF(LEN(DcI!AE40)=5,LEFT(DcI!AE40,2),IF(MID(DcI!AE40,2,1)="•",CONCATENATE("0",LEFT(DcI!AE40,1)),LEFT(DcI!AE40,2)))))</f>
        <v/>
      </c>
      <c r="CE40" s="28" t="str">
        <f ca="1">IF(DcI!AF40="X","X",IF(LEN(DcI!AF40)=3,CONCATENATE("0",LEFT(DcI!AF40,1)),IF(LEN(DcI!AF40)=5,LEFT(DcI!AF40,2),IF(MID(DcI!AF40,2,1)="•",CONCATENATE("0",LEFT(DcI!AF40,1)),LEFT(DcI!AF40,2)))))</f>
        <v/>
      </c>
      <c r="CF40" s="347" t="str">
        <f ca="1">IF(DcI!AG40="X","X",IF(LEN(DcI!AG40)=3,CONCATENATE("0",LEFT(DcI!AG40,1)),IF(LEN(DcI!AG40)=5,LEFT(DcI!AG40,2),IF(MID(DcI!AG40,2,1)="•",CONCATENATE("0",LEFT(DcI!AG40,1)),LEFT(DcI!AG40,2)))))</f>
        <v/>
      </c>
      <c r="CG40" s="28" t="str">
        <f t="shared" ca="1" si="19"/>
        <v/>
      </c>
      <c r="CH40" s="28" t="str">
        <f t="shared" ca="1" si="19"/>
        <v/>
      </c>
      <c r="CI40" s="28" t="str">
        <f t="shared" ca="1" si="19"/>
        <v/>
      </c>
      <c r="CJ40" s="28" t="str">
        <f t="shared" ca="1" si="19"/>
        <v/>
      </c>
      <c r="CK40" s="28" t="str">
        <f t="shared" ca="1" si="19"/>
        <v/>
      </c>
      <c r="CL40" s="28" t="str">
        <f t="shared" ca="1" si="19"/>
        <v/>
      </c>
      <c r="CM40" s="28" t="str">
        <f t="shared" ca="1" si="19"/>
        <v/>
      </c>
      <c r="CN40" s="28" t="str">
        <f t="shared" ca="1" si="19"/>
        <v/>
      </c>
      <c r="CO40" s="28" t="str">
        <f t="shared" ca="1" si="12"/>
        <v/>
      </c>
      <c r="CP40" s="28" t="str">
        <f t="shared" ca="1" si="12"/>
        <v/>
      </c>
      <c r="CQ40" s="28" t="str">
        <f t="shared" ca="1" si="12"/>
        <v/>
      </c>
      <c r="CR40" s="28" t="str">
        <f t="shared" ca="1" si="12"/>
        <v/>
      </c>
      <c r="CS40" s="28" t="str">
        <f t="shared" ca="1" si="12"/>
        <v/>
      </c>
      <c r="CT40" s="28" t="str">
        <f t="shared" ca="1" si="12"/>
        <v/>
      </c>
      <c r="CU40" s="28" t="str">
        <f t="shared" ca="1" si="12"/>
        <v/>
      </c>
      <c r="CV40" s="346" t="str">
        <f t="shared" ca="1" si="12"/>
        <v/>
      </c>
    </row>
    <row r="41" spans="2:100" ht="15">
      <c r="B41" s="63" t="str">
        <v>CG</v>
      </c>
      <c r="C41" s="16" t="str">
        <f t="shared" si="8"/>
        <v>CG11:CG56</v>
      </c>
      <c r="D41" s="342" t="str">
        <f t="shared" ca="1" si="9"/>
        <v/>
      </c>
      <c r="E41" s="349" t="str">
        <f t="shared" ca="1" si="10"/>
        <v>ng</v>
      </c>
      <c r="F41" s="349" t="str">
        <f t="shared" ca="1" si="20"/>
        <v>ng</v>
      </c>
      <c r="G41" s="349" t="str">
        <f t="shared" ca="1" si="20"/>
        <v>ng</v>
      </c>
      <c r="H41" s="349" t="str">
        <f t="shared" ca="1" si="20"/>
        <v>ng</v>
      </c>
      <c r="I41" s="349" t="str">
        <f t="shared" ca="1" si="20"/>
        <v>ng</v>
      </c>
      <c r="J41" s="349" t="str">
        <f t="shared" ca="1" si="20"/>
        <v>ng</v>
      </c>
      <c r="K41" s="349" t="str">
        <f t="shared" ca="1" si="20"/>
        <v>ng</v>
      </c>
      <c r="L41" s="349" t="str">
        <f t="shared" ca="1" si="20"/>
        <v>ng</v>
      </c>
      <c r="M41" s="349" t="str">
        <f t="shared" ca="1" si="20"/>
        <v>ng</v>
      </c>
      <c r="N41" s="349" t="str">
        <f t="shared" ca="1" si="20"/>
        <v>ng</v>
      </c>
      <c r="O41" s="349" t="str">
        <f t="shared" ca="1" si="20"/>
        <v>ng</v>
      </c>
      <c r="P41" s="349" t="str">
        <f t="shared" ca="1" si="20"/>
        <v>ng</v>
      </c>
      <c r="Q41" s="349" t="str">
        <f t="shared" ca="1" si="20"/>
        <v>ng</v>
      </c>
      <c r="R41" s="349" t="str">
        <f t="shared" ca="1" si="20"/>
        <v>ng</v>
      </c>
      <c r="S41" s="349" t="str">
        <f t="shared" ca="1" si="20"/>
        <v>ng</v>
      </c>
      <c r="T41" s="349" t="str">
        <f t="shared" ca="1" si="20"/>
        <v>ng</v>
      </c>
      <c r="U41" s="349" t="str">
        <f t="shared" ca="1" si="20"/>
        <v>ng</v>
      </c>
      <c r="V41" s="349" t="str">
        <f t="shared" ca="1" si="20"/>
        <v>ng</v>
      </c>
      <c r="W41" s="349" t="str">
        <f t="shared" ca="1" si="20"/>
        <v>ng</v>
      </c>
      <c r="X41" s="349" t="str">
        <f t="shared" ca="1" si="20"/>
        <v>ng</v>
      </c>
      <c r="Y41" s="349" t="str">
        <f t="shared" ca="1" si="20"/>
        <v>ng</v>
      </c>
      <c r="Z41" s="349" t="str">
        <f t="shared" ca="1" si="20"/>
        <v>ng</v>
      </c>
      <c r="AA41" s="349" t="str">
        <f t="shared" ca="1" si="20"/>
        <v>ng</v>
      </c>
      <c r="AB41" s="349" t="str">
        <f t="shared" ca="1" si="20"/>
        <v>ng</v>
      </c>
      <c r="AC41" s="349" t="str">
        <f t="shared" ca="1" si="20"/>
        <v>ng</v>
      </c>
      <c r="AD41" s="349" t="str">
        <f t="shared" ca="1" si="20"/>
        <v>ng</v>
      </c>
      <c r="AE41" s="349" t="str">
        <f t="shared" ca="1" si="20"/>
        <v>ng</v>
      </c>
      <c r="AF41" s="349" t="str">
        <f t="shared" ca="1" si="20"/>
        <v>ng</v>
      </c>
      <c r="AG41" s="349" t="str">
        <f t="shared" ca="1" si="20"/>
        <v>ng</v>
      </c>
      <c r="AH41" s="349" t="str">
        <f t="shared" ca="1" si="20"/>
        <v>ng</v>
      </c>
      <c r="AI41" s="349" t="str">
        <f t="shared" ca="1" si="20"/>
        <v>ng</v>
      </c>
      <c r="AJ41" s="349" t="str">
        <f t="shared" ca="1" si="20"/>
        <v>ng</v>
      </c>
      <c r="AK41" s="349" t="str">
        <f t="shared" ca="1" si="20"/>
        <v>ng</v>
      </c>
      <c r="AL41" s="349" t="str">
        <f t="shared" ca="1" si="16"/>
        <v>ng</v>
      </c>
      <c r="AM41" s="349" t="str">
        <f t="shared" ca="1" si="16"/>
        <v>ng</v>
      </c>
      <c r="AN41" s="349" t="str">
        <f t="shared" ca="1" si="16"/>
        <v>ng</v>
      </c>
      <c r="AO41" s="349" t="str">
        <f t="shared" ca="1" si="16"/>
        <v>ng</v>
      </c>
      <c r="AP41" s="349" t="str">
        <f t="shared" ca="1" si="16"/>
        <v>ng</v>
      </c>
      <c r="AQ41" s="349" t="str">
        <f t="shared" ca="1" si="16"/>
        <v>ng</v>
      </c>
      <c r="AR41" s="350" t="str">
        <f t="shared" ca="1" si="16"/>
        <v>ng</v>
      </c>
      <c r="BA41" s="16" t="str">
        <v>CG</v>
      </c>
      <c r="BB41" s="342" t="str">
        <f ca="1">DcI!C41</f>
        <v/>
      </c>
      <c r="BC41" s="28" t="str">
        <f ca="1">IF(DcI!D41="X","X",IF(LEN(DcI!D41)=3,CONCATENATE("0",LEFT(DcI!D41,1)),IF(LEN(DcI!D41)=5,LEFT(DcI!D41,2),IF(MID(DcI!D41,2,1)="•",CONCATENATE("0",LEFT(DcI!D41,1)),LEFT(DcI!D41,2)))))</f>
        <v/>
      </c>
      <c r="BD41" s="28" t="str">
        <f ca="1">IF(DcI!E41="X","X",IF(LEN(DcI!E41)=3,CONCATENATE("0",LEFT(DcI!E41,1)),IF(LEN(DcI!E41)=5,LEFT(DcI!E41,2),IF(MID(DcI!E41,2,1)="•",CONCATENATE("0",LEFT(DcI!E41,1)),LEFT(DcI!E41,2)))))</f>
        <v/>
      </c>
      <c r="BE41" s="28" t="str">
        <f ca="1">IF(DcI!F41="X","X",IF(LEN(DcI!F41)=3,CONCATENATE("0",LEFT(DcI!F41,1)),IF(LEN(DcI!F41)=5,LEFT(DcI!F41,2),IF(MID(DcI!F41,2,1)="•",CONCATENATE("0",LEFT(DcI!F41,1)),LEFT(DcI!F41,2)))))</f>
        <v/>
      </c>
      <c r="BF41" s="28" t="str">
        <f ca="1">IF(DcI!G41="X","X",IF(LEN(DcI!G41)=3,CONCATENATE("0",LEFT(DcI!G41,1)),IF(LEN(DcI!G41)=5,LEFT(DcI!G41,2),IF(MID(DcI!G41,2,1)="•",CONCATENATE("0",LEFT(DcI!G41,1)),LEFT(DcI!G41,2)))))</f>
        <v/>
      </c>
      <c r="BG41" s="28" t="str">
        <f ca="1">IF(DcI!H41="X","X",IF(LEN(DcI!H41)=3,CONCATENATE("0",LEFT(DcI!H41,1)),IF(LEN(DcI!H41)=5,LEFT(DcI!H41,2),IF(MID(DcI!H41,2,1)="•",CONCATENATE("0",LEFT(DcI!H41,1)),LEFT(DcI!H41,2)))))</f>
        <v/>
      </c>
      <c r="BH41" s="28" t="str">
        <f ca="1">IF(DcI!I41="X","X",IF(LEN(DcI!I41)=3,CONCATENATE("0",LEFT(DcI!I41,1)),IF(LEN(DcI!I41)=5,LEFT(DcI!I41,2),IF(MID(DcI!I41,2,1)="•",CONCATENATE("0",LEFT(DcI!I41,1)),LEFT(DcI!I41,2)))))</f>
        <v/>
      </c>
      <c r="BI41" s="28" t="str">
        <f ca="1">IF(DcI!J41="X","X",IF(LEN(DcI!J41)=3,CONCATENATE("0",LEFT(DcI!J41,1)),IF(LEN(DcI!J41)=5,LEFT(DcI!J41,2),IF(MID(DcI!J41,2,1)="•",CONCATENATE("0",LEFT(DcI!J41,1)),LEFT(DcI!J41,2)))))</f>
        <v/>
      </c>
      <c r="BJ41" s="28" t="str">
        <f ca="1">IF(DcI!K41="X","X",IF(LEN(DcI!K41)=3,CONCATENATE("0",LEFT(DcI!K41,1)),IF(LEN(DcI!K41)=5,LEFT(DcI!K41,2),IF(MID(DcI!K41,2,1)="•",CONCATENATE("0",LEFT(DcI!K41,1)),LEFT(DcI!K41,2)))))</f>
        <v/>
      </c>
      <c r="BK41" s="28" t="str">
        <f ca="1">IF(DcI!L41="X","X",IF(LEN(DcI!L41)=3,CONCATENATE("0",LEFT(DcI!L41,1)),IF(LEN(DcI!L41)=5,LEFT(DcI!L41,2),IF(MID(DcI!L41,2,1)="•",CONCATENATE("0",LEFT(DcI!L41,1)),LEFT(DcI!L41,2)))))</f>
        <v/>
      </c>
      <c r="BL41" s="28" t="str">
        <f ca="1">IF(DcI!M41="X","X",IF(LEN(DcI!M41)=3,CONCATENATE("0",LEFT(DcI!M41,1)),IF(LEN(DcI!M41)=5,LEFT(DcI!M41,2),IF(MID(DcI!M41,2,1)="•",CONCATENATE("0",LEFT(DcI!M41,1)),LEFT(DcI!M41,2)))))</f>
        <v/>
      </c>
      <c r="BM41" s="28" t="str">
        <f ca="1">IF(DcI!N41="X","X",IF(LEN(DcI!N41)=3,CONCATENATE("0",LEFT(DcI!N41,1)),IF(LEN(DcI!N41)=5,LEFT(DcI!N41,2),IF(MID(DcI!N41,2,1)="•",CONCATENATE("0",LEFT(DcI!N41,1)),LEFT(DcI!N41,2)))))</f>
        <v/>
      </c>
      <c r="BN41" s="28" t="str">
        <f ca="1">IF(DcI!O41="X","X",IF(LEN(DcI!O41)=3,CONCATENATE("0",LEFT(DcI!O41,1)),IF(LEN(DcI!O41)=5,LEFT(DcI!O41,2),IF(MID(DcI!O41,2,1)="•",CONCATENATE("0",LEFT(DcI!O41,1)),LEFT(DcI!O41,2)))))</f>
        <v/>
      </c>
      <c r="BO41" s="28" t="str">
        <f ca="1">IF(DcI!P41="X","X",IF(LEN(DcI!P41)=3,CONCATENATE("0",LEFT(DcI!P41,1)),IF(LEN(DcI!P41)=5,LEFT(DcI!P41,2),IF(MID(DcI!P41,2,1)="•",CONCATENATE("0",LEFT(DcI!P41,1)),LEFT(DcI!P41,2)))))</f>
        <v/>
      </c>
      <c r="BP41" s="28" t="str">
        <f ca="1">IF(DcI!Q41="X","X",IF(LEN(DcI!Q41)=3,CONCATENATE("0",LEFT(DcI!Q41,1)),IF(LEN(DcI!Q41)=5,LEFT(DcI!Q41,2),IF(MID(DcI!Q41,2,1)="•",CONCATENATE("0",LEFT(DcI!Q41,1)),LEFT(DcI!Q41,2)))))</f>
        <v/>
      </c>
      <c r="BQ41" s="28" t="str">
        <f ca="1">IF(DcI!R41="X","X",IF(LEN(DcI!R41)=3,CONCATENATE("0",LEFT(DcI!R41,1)),IF(LEN(DcI!R41)=5,LEFT(DcI!R41,2),IF(MID(DcI!R41,2,1)="•",CONCATENATE("0",LEFT(DcI!R41,1)),LEFT(DcI!R41,2)))))</f>
        <v/>
      </c>
      <c r="BR41" s="28" t="str">
        <f ca="1">IF(DcI!S41="X","X",IF(LEN(DcI!S41)=3,CONCATENATE("0",LEFT(DcI!S41,1)),IF(LEN(DcI!S41)=5,LEFT(DcI!S41,2),IF(MID(DcI!S41,2,1)="•",CONCATENATE("0",LEFT(DcI!S41,1)),LEFT(DcI!S41,2)))))</f>
        <v/>
      </c>
      <c r="BS41" s="28" t="str">
        <f ca="1">IF(DcI!T41="X","X",IF(LEN(DcI!T41)=3,CONCATENATE("0",LEFT(DcI!T41,1)),IF(LEN(DcI!T41)=5,LEFT(DcI!T41,2),IF(MID(DcI!T41,2,1)="•",CONCATENATE("0",LEFT(DcI!T41,1)),LEFT(DcI!T41,2)))))</f>
        <v/>
      </c>
      <c r="BT41" s="28" t="str">
        <f ca="1">IF(DcI!U41="X","X",IF(LEN(DcI!U41)=3,CONCATENATE("0",LEFT(DcI!U41,1)),IF(LEN(DcI!U41)=5,LEFT(DcI!U41,2),IF(MID(DcI!U41,2,1)="•",CONCATENATE("0",LEFT(DcI!U41,1)),LEFT(DcI!U41,2)))))</f>
        <v/>
      </c>
      <c r="BU41" s="28" t="str">
        <f ca="1">IF(DcI!V41="X","X",IF(LEN(DcI!V41)=3,CONCATENATE("0",LEFT(DcI!V41,1)),IF(LEN(DcI!V41)=5,LEFT(DcI!V41,2),IF(MID(DcI!V41,2,1)="•",CONCATENATE("0",LEFT(DcI!V41,1)),LEFT(DcI!V41,2)))))</f>
        <v/>
      </c>
      <c r="BV41" s="28" t="str">
        <f ca="1">IF(DcI!W41="X","X",IF(LEN(DcI!W41)=3,CONCATENATE("0",LEFT(DcI!W41,1)),IF(LEN(DcI!W41)=5,LEFT(DcI!W41,2),IF(MID(DcI!W41,2,1)="•",CONCATENATE("0",LEFT(DcI!W41,1)),LEFT(DcI!W41,2)))))</f>
        <v/>
      </c>
      <c r="BW41" s="28" t="str">
        <f ca="1">IF(DcI!X41="X","X",IF(LEN(DcI!X41)=3,CONCATENATE("0",LEFT(DcI!X41,1)),IF(LEN(DcI!X41)=5,LEFT(DcI!X41,2),IF(MID(DcI!X41,2,1)="•",CONCATENATE("0",LEFT(DcI!X41,1)),LEFT(DcI!X41,2)))))</f>
        <v/>
      </c>
      <c r="BX41" s="28" t="str">
        <f ca="1">IF(DcI!Y41="X","X",IF(LEN(DcI!Y41)=3,CONCATENATE("0",LEFT(DcI!Y41,1)),IF(LEN(DcI!Y41)=5,LEFT(DcI!Y41,2),IF(MID(DcI!Y41,2,1)="•",CONCATENATE("0",LEFT(DcI!Y41,1)),LEFT(DcI!Y41,2)))))</f>
        <v/>
      </c>
      <c r="BY41" s="28" t="str">
        <f ca="1">IF(DcI!Z41="X","X",IF(LEN(DcI!Z41)=3,CONCATENATE("0",LEFT(DcI!Z41,1)),IF(LEN(DcI!Z41)=5,LEFT(DcI!Z41,2),IF(MID(DcI!Z41,2,1)="•",CONCATENATE("0",LEFT(DcI!Z41,1)),LEFT(DcI!Z41,2)))))</f>
        <v/>
      </c>
      <c r="BZ41" s="28" t="str">
        <f ca="1">IF(DcI!AA41="X","X",IF(LEN(DcI!AA41)=3,CONCATENATE("0",LEFT(DcI!AA41,1)),IF(LEN(DcI!AA41)=5,LEFT(DcI!AA41,2),IF(MID(DcI!AA41,2,1)="•",CONCATENATE("0",LEFT(DcI!AA41,1)),LEFT(DcI!AA41,2)))))</f>
        <v/>
      </c>
      <c r="CA41" s="28" t="str">
        <f ca="1">IF(DcI!AB41="X","X",IF(LEN(DcI!AB41)=3,CONCATENATE("0",LEFT(DcI!AB41,1)),IF(LEN(DcI!AB41)=5,LEFT(DcI!AB41,2),IF(MID(DcI!AB41,2,1)="•",CONCATENATE("0",LEFT(DcI!AB41,1)),LEFT(DcI!AB41,2)))))</f>
        <v/>
      </c>
      <c r="CB41" s="28" t="str">
        <f ca="1">IF(DcI!AC41="X","X",IF(LEN(DcI!AC41)=3,CONCATENATE("0",LEFT(DcI!AC41,1)),IF(LEN(DcI!AC41)=5,LEFT(DcI!AC41,2),IF(MID(DcI!AC41,2,1)="•",CONCATENATE("0",LEFT(DcI!AC41,1)),LEFT(DcI!AC41,2)))))</f>
        <v/>
      </c>
      <c r="CC41" s="28" t="str">
        <f ca="1">IF(DcI!AD41="X","X",IF(LEN(DcI!AD41)=3,CONCATENATE("0",LEFT(DcI!AD41,1)),IF(LEN(DcI!AD41)=5,LEFT(DcI!AD41,2),IF(MID(DcI!AD41,2,1)="•",CONCATENATE("0",LEFT(DcI!AD41,1)),LEFT(DcI!AD41,2)))))</f>
        <v/>
      </c>
      <c r="CD41" s="28" t="str">
        <f ca="1">IF(DcI!AE41="X","X",IF(LEN(DcI!AE41)=3,CONCATENATE("0",LEFT(DcI!AE41,1)),IF(LEN(DcI!AE41)=5,LEFT(DcI!AE41,2),IF(MID(DcI!AE41,2,1)="•",CONCATENATE("0",LEFT(DcI!AE41,1)),LEFT(DcI!AE41,2)))))</f>
        <v/>
      </c>
      <c r="CE41" s="28" t="str">
        <f ca="1">IF(DcI!AF41="X","X",IF(LEN(DcI!AF41)=3,CONCATENATE("0",LEFT(DcI!AF41,1)),IF(LEN(DcI!AF41)=5,LEFT(DcI!AF41,2),IF(MID(DcI!AF41,2,1)="•",CONCATENATE("0",LEFT(DcI!AF41,1)),LEFT(DcI!AF41,2)))))</f>
        <v/>
      </c>
      <c r="CF41" s="28" t="str">
        <f ca="1">IF(DcI!AG41="X","X",IF(LEN(DcI!AG41)=3,CONCATENATE("0",LEFT(DcI!AG41,1)),IF(LEN(DcI!AG41)=5,LEFT(DcI!AG41,2),IF(MID(DcI!AG41,2,1)="•",CONCATENATE("0",LEFT(DcI!AG41,1)),LEFT(DcI!AG41,2)))))</f>
        <v/>
      </c>
      <c r="CG41" s="347" t="str">
        <f ca="1">IF(DcI!AH41="X","X",IF(LEN(DcI!AH41)=3,CONCATENATE("0",LEFT(DcI!AH41,1)),IF(LEN(DcI!AH41)=5,LEFT(DcI!AH41,2),IF(MID(DcI!AH41,2,1)="•",CONCATENATE("0",LEFT(DcI!AH41,1)),LEFT(DcI!AH41,2)))))</f>
        <v/>
      </c>
      <c r="CH41" s="28" t="str">
        <f t="shared" ca="1" si="19"/>
        <v/>
      </c>
      <c r="CI41" s="28" t="str">
        <f t="shared" ca="1" si="19"/>
        <v/>
      </c>
      <c r="CJ41" s="28" t="str">
        <f t="shared" ca="1" si="19"/>
        <v/>
      </c>
      <c r="CK41" s="28" t="str">
        <f t="shared" ca="1" si="19"/>
        <v/>
      </c>
      <c r="CL41" s="28" t="str">
        <f t="shared" ca="1" si="19"/>
        <v/>
      </c>
      <c r="CM41" s="28" t="str">
        <f t="shared" ca="1" si="19"/>
        <v/>
      </c>
      <c r="CN41" s="28" t="str">
        <f t="shared" ca="1" si="19"/>
        <v/>
      </c>
      <c r="CO41" s="28" t="str">
        <f t="shared" ca="1" si="12"/>
        <v/>
      </c>
      <c r="CP41" s="28" t="str">
        <f t="shared" ca="1" si="12"/>
        <v/>
      </c>
      <c r="CQ41" s="28" t="str">
        <f t="shared" ca="1" si="12"/>
        <v/>
      </c>
      <c r="CR41" s="28" t="str">
        <f t="shared" ca="1" si="12"/>
        <v/>
      </c>
      <c r="CS41" s="28" t="str">
        <f t="shared" ca="1" si="12"/>
        <v/>
      </c>
      <c r="CT41" s="28" t="str">
        <f t="shared" ca="1" si="12"/>
        <v/>
      </c>
      <c r="CU41" s="28" t="str">
        <f t="shared" ca="1" si="12"/>
        <v/>
      </c>
      <c r="CV41" s="346" t="str">
        <f t="shared" ca="1" si="12"/>
        <v/>
      </c>
    </row>
    <row r="42" spans="2:100" ht="15">
      <c r="B42" s="63" t="str">
        <v>CH</v>
      </c>
      <c r="C42" s="16" t="str">
        <f t="shared" si="8"/>
        <v>CH11:CH56</v>
      </c>
      <c r="D42" s="342" t="str">
        <f t="shared" ca="1" si="9"/>
        <v/>
      </c>
      <c r="E42" s="349" t="str">
        <f t="shared" ca="1" si="10"/>
        <v>ng</v>
      </c>
      <c r="F42" s="349" t="str">
        <f t="shared" ca="1" si="20"/>
        <v>ng</v>
      </c>
      <c r="G42" s="349" t="str">
        <f t="shared" ca="1" si="20"/>
        <v>ng</v>
      </c>
      <c r="H42" s="349" t="str">
        <f t="shared" ca="1" si="20"/>
        <v>ng</v>
      </c>
      <c r="I42" s="349" t="str">
        <f t="shared" ca="1" si="20"/>
        <v>ng</v>
      </c>
      <c r="J42" s="349" t="str">
        <f t="shared" ca="1" si="20"/>
        <v>ng</v>
      </c>
      <c r="K42" s="349" t="str">
        <f t="shared" ca="1" si="20"/>
        <v>ng</v>
      </c>
      <c r="L42" s="349" t="str">
        <f t="shared" ca="1" si="20"/>
        <v>ng</v>
      </c>
      <c r="M42" s="349" t="str">
        <f t="shared" ca="1" si="20"/>
        <v>ng</v>
      </c>
      <c r="N42" s="349" t="str">
        <f t="shared" ca="1" si="20"/>
        <v>ng</v>
      </c>
      <c r="O42" s="349" t="str">
        <f t="shared" ca="1" si="20"/>
        <v>ng</v>
      </c>
      <c r="P42" s="349" t="str">
        <f t="shared" ca="1" si="20"/>
        <v>ng</v>
      </c>
      <c r="Q42" s="349" t="str">
        <f t="shared" ca="1" si="20"/>
        <v>ng</v>
      </c>
      <c r="R42" s="349" t="str">
        <f t="shared" ca="1" si="20"/>
        <v>ng</v>
      </c>
      <c r="S42" s="349" t="str">
        <f t="shared" ca="1" si="20"/>
        <v>ng</v>
      </c>
      <c r="T42" s="349" t="str">
        <f t="shared" ca="1" si="20"/>
        <v>ng</v>
      </c>
      <c r="U42" s="349" t="str">
        <f t="shared" ca="1" si="20"/>
        <v>ng</v>
      </c>
      <c r="V42" s="349" t="str">
        <f t="shared" ca="1" si="20"/>
        <v>ng</v>
      </c>
      <c r="W42" s="349" t="str">
        <f t="shared" ca="1" si="20"/>
        <v>ng</v>
      </c>
      <c r="X42" s="349" t="str">
        <f t="shared" ca="1" si="20"/>
        <v>ng</v>
      </c>
      <c r="Y42" s="349" t="str">
        <f t="shared" ca="1" si="20"/>
        <v>ng</v>
      </c>
      <c r="Z42" s="349" t="str">
        <f t="shared" ca="1" si="20"/>
        <v>ng</v>
      </c>
      <c r="AA42" s="349" t="str">
        <f t="shared" ca="1" si="20"/>
        <v>ng</v>
      </c>
      <c r="AB42" s="349" t="str">
        <f t="shared" ca="1" si="20"/>
        <v>ng</v>
      </c>
      <c r="AC42" s="349" t="str">
        <f t="shared" ca="1" si="20"/>
        <v>ng</v>
      </c>
      <c r="AD42" s="349" t="str">
        <f t="shared" ca="1" si="20"/>
        <v>ng</v>
      </c>
      <c r="AE42" s="349" t="str">
        <f t="shared" ca="1" si="20"/>
        <v>ng</v>
      </c>
      <c r="AF42" s="349" t="str">
        <f t="shared" ca="1" si="20"/>
        <v>ng</v>
      </c>
      <c r="AG42" s="349" t="str">
        <f t="shared" ca="1" si="20"/>
        <v>ng</v>
      </c>
      <c r="AH42" s="349" t="str">
        <f t="shared" ca="1" si="20"/>
        <v>ng</v>
      </c>
      <c r="AI42" s="349" t="str">
        <f t="shared" ca="1" si="20"/>
        <v>ng</v>
      </c>
      <c r="AJ42" s="349" t="str">
        <f t="shared" ca="1" si="20"/>
        <v>ng</v>
      </c>
      <c r="AK42" s="349" t="str">
        <f t="shared" ca="1" si="20"/>
        <v>ng</v>
      </c>
      <c r="AL42" s="349" t="str">
        <f t="shared" ca="1" si="16"/>
        <v>ng</v>
      </c>
      <c r="AM42" s="349" t="str">
        <f t="shared" ca="1" si="16"/>
        <v>ng</v>
      </c>
      <c r="AN42" s="349" t="str">
        <f t="shared" ca="1" si="16"/>
        <v>ng</v>
      </c>
      <c r="AO42" s="349" t="str">
        <f t="shared" ca="1" si="16"/>
        <v>ng</v>
      </c>
      <c r="AP42" s="349" t="str">
        <f t="shared" ca="1" si="16"/>
        <v>ng</v>
      </c>
      <c r="AQ42" s="349" t="str">
        <f t="shared" ca="1" si="16"/>
        <v>ng</v>
      </c>
      <c r="AR42" s="350" t="str">
        <f t="shared" ca="1" si="16"/>
        <v>ng</v>
      </c>
      <c r="BA42" s="16" t="str">
        <v>CH</v>
      </c>
      <c r="BB42" s="342" t="str">
        <f ca="1">DcI!C42</f>
        <v/>
      </c>
      <c r="BC42" s="28" t="str">
        <f ca="1">IF(DcI!D42="X","X",IF(LEN(DcI!D42)=3,CONCATENATE("0",LEFT(DcI!D42,1)),IF(LEN(DcI!D42)=5,LEFT(DcI!D42,2),IF(MID(DcI!D42,2,1)="•",CONCATENATE("0",LEFT(DcI!D42,1)),LEFT(DcI!D42,2)))))</f>
        <v/>
      </c>
      <c r="BD42" s="28" t="str">
        <f ca="1">IF(DcI!E42="X","X",IF(LEN(DcI!E42)=3,CONCATENATE("0",LEFT(DcI!E42,1)),IF(LEN(DcI!E42)=5,LEFT(DcI!E42,2),IF(MID(DcI!E42,2,1)="•",CONCATENATE("0",LEFT(DcI!E42,1)),LEFT(DcI!E42,2)))))</f>
        <v/>
      </c>
      <c r="BE42" s="28" t="str">
        <f ca="1">IF(DcI!F42="X","X",IF(LEN(DcI!F42)=3,CONCATENATE("0",LEFT(DcI!F42,1)),IF(LEN(DcI!F42)=5,LEFT(DcI!F42,2),IF(MID(DcI!F42,2,1)="•",CONCATENATE("0",LEFT(DcI!F42,1)),LEFT(DcI!F42,2)))))</f>
        <v/>
      </c>
      <c r="BF42" s="28" t="str">
        <f ca="1">IF(DcI!G42="X","X",IF(LEN(DcI!G42)=3,CONCATENATE("0",LEFT(DcI!G42,1)),IF(LEN(DcI!G42)=5,LEFT(DcI!G42,2),IF(MID(DcI!G42,2,1)="•",CONCATENATE("0",LEFT(DcI!G42,1)),LEFT(DcI!G42,2)))))</f>
        <v/>
      </c>
      <c r="BG42" s="28" t="str">
        <f ca="1">IF(DcI!H42="X","X",IF(LEN(DcI!H42)=3,CONCATENATE("0",LEFT(DcI!H42,1)),IF(LEN(DcI!H42)=5,LEFT(DcI!H42,2),IF(MID(DcI!H42,2,1)="•",CONCATENATE("0",LEFT(DcI!H42,1)),LEFT(DcI!H42,2)))))</f>
        <v/>
      </c>
      <c r="BH42" s="28" t="str">
        <f ca="1">IF(DcI!I42="X","X",IF(LEN(DcI!I42)=3,CONCATENATE("0",LEFT(DcI!I42,1)),IF(LEN(DcI!I42)=5,LEFT(DcI!I42,2),IF(MID(DcI!I42,2,1)="•",CONCATENATE("0",LEFT(DcI!I42,1)),LEFT(DcI!I42,2)))))</f>
        <v/>
      </c>
      <c r="BI42" s="28" t="str">
        <f ca="1">IF(DcI!J42="X","X",IF(LEN(DcI!J42)=3,CONCATENATE("0",LEFT(DcI!J42,1)),IF(LEN(DcI!J42)=5,LEFT(DcI!J42,2),IF(MID(DcI!J42,2,1)="•",CONCATENATE("0",LEFT(DcI!J42,1)),LEFT(DcI!J42,2)))))</f>
        <v/>
      </c>
      <c r="BJ42" s="28" t="str">
        <f ca="1">IF(DcI!K42="X","X",IF(LEN(DcI!K42)=3,CONCATENATE("0",LEFT(DcI!K42,1)),IF(LEN(DcI!K42)=5,LEFT(DcI!K42,2),IF(MID(DcI!K42,2,1)="•",CONCATENATE("0",LEFT(DcI!K42,1)),LEFT(DcI!K42,2)))))</f>
        <v/>
      </c>
      <c r="BK42" s="28" t="str">
        <f ca="1">IF(DcI!L42="X","X",IF(LEN(DcI!L42)=3,CONCATENATE("0",LEFT(DcI!L42,1)),IF(LEN(DcI!L42)=5,LEFT(DcI!L42,2),IF(MID(DcI!L42,2,1)="•",CONCATENATE("0",LEFT(DcI!L42,1)),LEFT(DcI!L42,2)))))</f>
        <v/>
      </c>
      <c r="BL42" s="28" t="str">
        <f ca="1">IF(DcI!M42="X","X",IF(LEN(DcI!M42)=3,CONCATENATE("0",LEFT(DcI!M42,1)),IF(LEN(DcI!M42)=5,LEFT(DcI!M42,2),IF(MID(DcI!M42,2,1)="•",CONCATENATE("0",LEFT(DcI!M42,1)),LEFT(DcI!M42,2)))))</f>
        <v/>
      </c>
      <c r="BM42" s="28" t="str">
        <f ca="1">IF(DcI!N42="X","X",IF(LEN(DcI!N42)=3,CONCATENATE("0",LEFT(DcI!N42,1)),IF(LEN(DcI!N42)=5,LEFT(DcI!N42,2),IF(MID(DcI!N42,2,1)="•",CONCATENATE("0",LEFT(DcI!N42,1)),LEFT(DcI!N42,2)))))</f>
        <v/>
      </c>
      <c r="BN42" s="28" t="str">
        <f ca="1">IF(DcI!O42="X","X",IF(LEN(DcI!O42)=3,CONCATENATE("0",LEFT(DcI!O42,1)),IF(LEN(DcI!O42)=5,LEFT(DcI!O42,2),IF(MID(DcI!O42,2,1)="•",CONCATENATE("0",LEFT(DcI!O42,1)),LEFT(DcI!O42,2)))))</f>
        <v/>
      </c>
      <c r="BO42" s="28" t="str">
        <f ca="1">IF(DcI!P42="X","X",IF(LEN(DcI!P42)=3,CONCATENATE("0",LEFT(DcI!P42,1)),IF(LEN(DcI!P42)=5,LEFT(DcI!P42,2),IF(MID(DcI!P42,2,1)="•",CONCATENATE("0",LEFT(DcI!P42,1)),LEFT(DcI!P42,2)))))</f>
        <v/>
      </c>
      <c r="BP42" s="28" t="str">
        <f ca="1">IF(DcI!Q42="X","X",IF(LEN(DcI!Q42)=3,CONCATENATE("0",LEFT(DcI!Q42,1)),IF(LEN(DcI!Q42)=5,LEFT(DcI!Q42,2),IF(MID(DcI!Q42,2,1)="•",CONCATENATE("0",LEFT(DcI!Q42,1)),LEFT(DcI!Q42,2)))))</f>
        <v/>
      </c>
      <c r="BQ42" s="28" t="str">
        <f ca="1">IF(DcI!R42="X","X",IF(LEN(DcI!R42)=3,CONCATENATE("0",LEFT(DcI!R42,1)),IF(LEN(DcI!R42)=5,LEFT(DcI!R42,2),IF(MID(DcI!R42,2,1)="•",CONCATENATE("0",LEFT(DcI!R42,1)),LEFT(DcI!R42,2)))))</f>
        <v/>
      </c>
      <c r="BR42" s="28" t="str">
        <f ca="1">IF(DcI!S42="X","X",IF(LEN(DcI!S42)=3,CONCATENATE("0",LEFT(DcI!S42,1)),IF(LEN(DcI!S42)=5,LEFT(DcI!S42,2),IF(MID(DcI!S42,2,1)="•",CONCATENATE("0",LEFT(DcI!S42,1)),LEFT(DcI!S42,2)))))</f>
        <v/>
      </c>
      <c r="BS42" s="28" t="str">
        <f ca="1">IF(DcI!T42="X","X",IF(LEN(DcI!T42)=3,CONCATENATE("0",LEFT(DcI!T42,1)),IF(LEN(DcI!T42)=5,LEFT(DcI!T42,2),IF(MID(DcI!T42,2,1)="•",CONCATENATE("0",LEFT(DcI!T42,1)),LEFT(DcI!T42,2)))))</f>
        <v/>
      </c>
      <c r="BT42" s="28" t="str">
        <f ca="1">IF(DcI!U42="X","X",IF(LEN(DcI!U42)=3,CONCATENATE("0",LEFT(DcI!U42,1)),IF(LEN(DcI!U42)=5,LEFT(DcI!U42,2),IF(MID(DcI!U42,2,1)="•",CONCATENATE("0",LEFT(DcI!U42,1)),LEFT(DcI!U42,2)))))</f>
        <v/>
      </c>
      <c r="BU42" s="28" t="str">
        <f ca="1">IF(DcI!V42="X","X",IF(LEN(DcI!V42)=3,CONCATENATE("0",LEFT(DcI!V42,1)),IF(LEN(DcI!V42)=5,LEFT(DcI!V42,2),IF(MID(DcI!V42,2,1)="•",CONCATENATE("0",LEFT(DcI!V42,1)),LEFT(DcI!V42,2)))))</f>
        <v/>
      </c>
      <c r="BV42" s="28" t="str">
        <f ca="1">IF(DcI!W42="X","X",IF(LEN(DcI!W42)=3,CONCATENATE("0",LEFT(DcI!W42,1)),IF(LEN(DcI!W42)=5,LEFT(DcI!W42,2),IF(MID(DcI!W42,2,1)="•",CONCATENATE("0",LEFT(DcI!W42,1)),LEFT(DcI!W42,2)))))</f>
        <v/>
      </c>
      <c r="BW42" s="28" t="str">
        <f ca="1">IF(DcI!X42="X","X",IF(LEN(DcI!X42)=3,CONCATENATE("0",LEFT(DcI!X42,1)),IF(LEN(DcI!X42)=5,LEFT(DcI!X42,2),IF(MID(DcI!X42,2,1)="•",CONCATENATE("0",LEFT(DcI!X42,1)),LEFT(DcI!X42,2)))))</f>
        <v/>
      </c>
      <c r="BX42" s="28" t="str">
        <f ca="1">IF(DcI!Y42="X","X",IF(LEN(DcI!Y42)=3,CONCATENATE("0",LEFT(DcI!Y42,1)),IF(LEN(DcI!Y42)=5,LEFT(DcI!Y42,2),IF(MID(DcI!Y42,2,1)="•",CONCATENATE("0",LEFT(DcI!Y42,1)),LEFT(DcI!Y42,2)))))</f>
        <v/>
      </c>
      <c r="BY42" s="28" t="str">
        <f ca="1">IF(DcI!Z42="X","X",IF(LEN(DcI!Z42)=3,CONCATENATE("0",LEFT(DcI!Z42,1)),IF(LEN(DcI!Z42)=5,LEFT(DcI!Z42,2),IF(MID(DcI!Z42,2,1)="•",CONCATENATE("0",LEFT(DcI!Z42,1)),LEFT(DcI!Z42,2)))))</f>
        <v/>
      </c>
      <c r="BZ42" s="28" t="str">
        <f ca="1">IF(DcI!AA42="X","X",IF(LEN(DcI!AA42)=3,CONCATENATE("0",LEFT(DcI!AA42,1)),IF(LEN(DcI!AA42)=5,LEFT(DcI!AA42,2),IF(MID(DcI!AA42,2,1)="•",CONCATENATE("0",LEFT(DcI!AA42,1)),LEFT(DcI!AA42,2)))))</f>
        <v/>
      </c>
      <c r="CA42" s="28" t="str">
        <f ca="1">IF(DcI!AB42="X","X",IF(LEN(DcI!AB42)=3,CONCATENATE("0",LEFT(DcI!AB42,1)),IF(LEN(DcI!AB42)=5,LEFT(DcI!AB42,2),IF(MID(DcI!AB42,2,1)="•",CONCATENATE("0",LEFT(DcI!AB42,1)),LEFT(DcI!AB42,2)))))</f>
        <v/>
      </c>
      <c r="CB42" s="28" t="str">
        <f ca="1">IF(DcI!AC42="X","X",IF(LEN(DcI!AC42)=3,CONCATENATE("0",LEFT(DcI!AC42,1)),IF(LEN(DcI!AC42)=5,LEFT(DcI!AC42,2),IF(MID(DcI!AC42,2,1)="•",CONCATENATE("0",LEFT(DcI!AC42,1)),LEFT(DcI!AC42,2)))))</f>
        <v/>
      </c>
      <c r="CC42" s="28" t="str">
        <f ca="1">IF(DcI!AD42="X","X",IF(LEN(DcI!AD42)=3,CONCATENATE("0",LEFT(DcI!AD42,1)),IF(LEN(DcI!AD42)=5,LEFT(DcI!AD42,2),IF(MID(DcI!AD42,2,1)="•",CONCATENATE("0",LEFT(DcI!AD42,1)),LEFT(DcI!AD42,2)))))</f>
        <v/>
      </c>
      <c r="CD42" s="28" t="str">
        <f ca="1">IF(DcI!AE42="X","X",IF(LEN(DcI!AE42)=3,CONCATENATE("0",LEFT(DcI!AE42,1)),IF(LEN(DcI!AE42)=5,LEFT(DcI!AE42,2),IF(MID(DcI!AE42,2,1)="•",CONCATENATE("0",LEFT(DcI!AE42,1)),LEFT(DcI!AE42,2)))))</f>
        <v/>
      </c>
      <c r="CE42" s="28" t="str">
        <f ca="1">IF(DcI!AF42="X","X",IF(LEN(DcI!AF42)=3,CONCATENATE("0",LEFT(DcI!AF42,1)),IF(LEN(DcI!AF42)=5,LEFT(DcI!AF42,2),IF(MID(DcI!AF42,2,1)="•",CONCATENATE("0",LEFT(DcI!AF42,1)),LEFT(DcI!AF42,2)))))</f>
        <v/>
      </c>
      <c r="CF42" s="28" t="str">
        <f ca="1">IF(DcI!AG42="X","X",IF(LEN(DcI!AG42)=3,CONCATENATE("0",LEFT(DcI!AG42,1)),IF(LEN(DcI!AG42)=5,LEFT(DcI!AG42,2),IF(MID(DcI!AG42,2,1)="•",CONCATENATE("0",LEFT(DcI!AG42,1)),LEFT(DcI!AG42,2)))))</f>
        <v/>
      </c>
      <c r="CG42" s="28" t="str">
        <f ca="1">IF(DcI!AH42="X","X",IF(LEN(DcI!AH42)=3,CONCATENATE("0",LEFT(DcI!AH42,1)),IF(LEN(DcI!AH42)=5,LEFT(DcI!AH42,2),IF(MID(DcI!AH42,2,1)="•",CONCATENATE("0",LEFT(DcI!AH42,1)),LEFT(DcI!AH42,2)))))</f>
        <v/>
      </c>
      <c r="CH42" s="347" t="str">
        <f ca="1">IF(DcI!AI42="X","X",IF(LEN(DcI!AI42)=3,CONCATENATE("0",LEFT(DcI!AI42,1)),IF(LEN(DcI!AI42)=5,LEFT(DcI!AI42,2),IF(MID(DcI!AI42,2,1)="•",CONCATENATE("0",LEFT(DcI!AI42,1)),LEFT(DcI!AI42,2)))))</f>
        <v/>
      </c>
      <c r="CI42" s="28" t="str">
        <f t="shared" ca="1" si="19"/>
        <v/>
      </c>
      <c r="CJ42" s="28" t="str">
        <f t="shared" ca="1" si="19"/>
        <v/>
      </c>
      <c r="CK42" s="28" t="str">
        <f t="shared" ca="1" si="19"/>
        <v/>
      </c>
      <c r="CL42" s="28" t="str">
        <f t="shared" ca="1" si="19"/>
        <v/>
      </c>
      <c r="CM42" s="28" t="str">
        <f t="shared" ca="1" si="19"/>
        <v/>
      </c>
      <c r="CN42" s="28" t="str">
        <f t="shared" ca="1" si="19"/>
        <v/>
      </c>
      <c r="CO42" s="28" t="str">
        <f t="shared" ca="1" si="12"/>
        <v/>
      </c>
      <c r="CP42" s="28" t="str">
        <f t="shared" ca="1" si="12"/>
        <v/>
      </c>
      <c r="CQ42" s="28" t="str">
        <f t="shared" ca="1" si="12"/>
        <v/>
      </c>
      <c r="CR42" s="28" t="str">
        <f t="shared" ca="1" si="12"/>
        <v/>
      </c>
      <c r="CS42" s="28" t="str">
        <f t="shared" ca="1" si="12"/>
        <v/>
      </c>
      <c r="CT42" s="28" t="str">
        <f t="shared" ca="1" si="12"/>
        <v/>
      </c>
      <c r="CU42" s="28" t="str">
        <f t="shared" ca="1" si="12"/>
        <v/>
      </c>
      <c r="CV42" s="346" t="str">
        <f t="shared" ca="1" si="12"/>
        <v/>
      </c>
    </row>
    <row r="43" spans="2:100" ht="15">
      <c r="B43" s="63" t="str">
        <v>CI</v>
      </c>
      <c r="C43" s="16" t="str">
        <f t="shared" si="8"/>
        <v>CI11:CI56</v>
      </c>
      <c r="D43" s="342" t="str">
        <f t="shared" ca="1" si="9"/>
        <v/>
      </c>
      <c r="E43" s="349" t="str">
        <f t="shared" ca="1" si="10"/>
        <v>ng</v>
      </c>
      <c r="F43" s="349" t="str">
        <f t="shared" ca="1" si="20"/>
        <v>ng</v>
      </c>
      <c r="G43" s="349" t="str">
        <f t="shared" ca="1" si="20"/>
        <v>ng</v>
      </c>
      <c r="H43" s="349" t="str">
        <f t="shared" ca="1" si="20"/>
        <v>ng</v>
      </c>
      <c r="I43" s="349" t="str">
        <f t="shared" ca="1" si="20"/>
        <v>ng</v>
      </c>
      <c r="J43" s="349" t="str">
        <f t="shared" ca="1" si="20"/>
        <v>ng</v>
      </c>
      <c r="K43" s="349" t="str">
        <f t="shared" ca="1" si="20"/>
        <v>ng</v>
      </c>
      <c r="L43" s="349" t="str">
        <f t="shared" ca="1" si="20"/>
        <v>ng</v>
      </c>
      <c r="M43" s="349" t="str">
        <f t="shared" ca="1" si="20"/>
        <v>ng</v>
      </c>
      <c r="N43" s="349" t="str">
        <f t="shared" ca="1" si="20"/>
        <v>ng</v>
      </c>
      <c r="O43" s="349" t="str">
        <f t="shared" ca="1" si="20"/>
        <v>ng</v>
      </c>
      <c r="P43" s="349" t="str">
        <f t="shared" ca="1" si="20"/>
        <v>ng</v>
      </c>
      <c r="Q43" s="349" t="str">
        <f t="shared" ref="F43:AK51" ca="1" si="21">IF(ISERROR(INDIRECT(CONCATENATE("D",MATCH(Q$6,INDIRECT($C43),0)+10))),"ng",INDIRECT(CONCATENATE("D",MATCH(Q$6,INDIRECT($C43),0)+10)))</f>
        <v>ng</v>
      </c>
      <c r="R43" s="349" t="str">
        <f t="shared" ca="1" si="21"/>
        <v>ng</v>
      </c>
      <c r="S43" s="349" t="str">
        <f t="shared" ca="1" si="21"/>
        <v>ng</v>
      </c>
      <c r="T43" s="349" t="str">
        <f t="shared" ca="1" si="21"/>
        <v>ng</v>
      </c>
      <c r="U43" s="349" t="str">
        <f t="shared" ca="1" si="21"/>
        <v>ng</v>
      </c>
      <c r="V43" s="349" t="str">
        <f t="shared" ca="1" si="21"/>
        <v>ng</v>
      </c>
      <c r="W43" s="349" t="str">
        <f t="shared" ca="1" si="21"/>
        <v>ng</v>
      </c>
      <c r="X43" s="349" t="str">
        <f t="shared" ca="1" si="21"/>
        <v>ng</v>
      </c>
      <c r="Y43" s="349" t="str">
        <f t="shared" ca="1" si="21"/>
        <v>ng</v>
      </c>
      <c r="Z43" s="349" t="str">
        <f t="shared" ca="1" si="21"/>
        <v>ng</v>
      </c>
      <c r="AA43" s="349" t="str">
        <f t="shared" ca="1" si="21"/>
        <v>ng</v>
      </c>
      <c r="AB43" s="349" t="str">
        <f t="shared" ca="1" si="21"/>
        <v>ng</v>
      </c>
      <c r="AC43" s="349" t="str">
        <f t="shared" ca="1" si="21"/>
        <v>ng</v>
      </c>
      <c r="AD43" s="349" t="str">
        <f t="shared" ca="1" si="21"/>
        <v>ng</v>
      </c>
      <c r="AE43" s="349" t="str">
        <f t="shared" ca="1" si="21"/>
        <v>ng</v>
      </c>
      <c r="AF43" s="349" t="str">
        <f t="shared" ca="1" si="21"/>
        <v>ng</v>
      </c>
      <c r="AG43" s="349" t="str">
        <f t="shared" ca="1" si="21"/>
        <v>ng</v>
      </c>
      <c r="AH43" s="349" t="str">
        <f t="shared" ca="1" si="21"/>
        <v>ng</v>
      </c>
      <c r="AI43" s="349" t="str">
        <f t="shared" ca="1" si="21"/>
        <v>ng</v>
      </c>
      <c r="AJ43" s="349" t="str">
        <f t="shared" ca="1" si="21"/>
        <v>ng</v>
      </c>
      <c r="AK43" s="349" t="str">
        <f t="shared" ca="1" si="21"/>
        <v>ng</v>
      </c>
      <c r="AL43" s="349" t="str">
        <f t="shared" ref="AL43:AR56" ca="1" si="22">IF(ISERROR(INDIRECT(CONCATENATE("D",MATCH(AL$6,INDIRECT($C43),0)+10))),"ng",INDIRECT(CONCATENATE("D",MATCH(AL$6,INDIRECT($C43),0)+10)))</f>
        <v>ng</v>
      </c>
      <c r="AM43" s="349" t="str">
        <f t="shared" ca="1" si="22"/>
        <v>ng</v>
      </c>
      <c r="AN43" s="349" t="str">
        <f t="shared" ca="1" si="22"/>
        <v>ng</v>
      </c>
      <c r="AO43" s="349" t="str">
        <f t="shared" ca="1" si="22"/>
        <v>ng</v>
      </c>
      <c r="AP43" s="349" t="str">
        <f t="shared" ca="1" si="22"/>
        <v>ng</v>
      </c>
      <c r="AQ43" s="349" t="str">
        <f t="shared" ca="1" si="22"/>
        <v>ng</v>
      </c>
      <c r="AR43" s="350" t="str">
        <f t="shared" ca="1" si="22"/>
        <v>ng</v>
      </c>
      <c r="BA43" s="16" t="str">
        <v>CI</v>
      </c>
      <c r="BB43" s="342" t="str">
        <f ca="1">DcI!C43</f>
        <v/>
      </c>
      <c r="BC43" s="28" t="str">
        <f ca="1">IF(DcI!D43="X","X",IF(LEN(DcI!D43)=3,CONCATENATE("0",LEFT(DcI!D43,1)),IF(LEN(DcI!D43)=5,LEFT(DcI!D43,2),IF(MID(DcI!D43,2,1)="•",CONCATENATE("0",LEFT(DcI!D43,1)),LEFT(DcI!D43,2)))))</f>
        <v/>
      </c>
      <c r="BD43" s="28" t="str">
        <f ca="1">IF(DcI!E43="X","X",IF(LEN(DcI!E43)=3,CONCATENATE("0",LEFT(DcI!E43,1)),IF(LEN(DcI!E43)=5,LEFT(DcI!E43,2),IF(MID(DcI!E43,2,1)="•",CONCATENATE("0",LEFT(DcI!E43,1)),LEFT(DcI!E43,2)))))</f>
        <v/>
      </c>
      <c r="BE43" s="28" t="str">
        <f ca="1">IF(DcI!F43="X","X",IF(LEN(DcI!F43)=3,CONCATENATE("0",LEFT(DcI!F43,1)),IF(LEN(DcI!F43)=5,LEFT(DcI!F43,2),IF(MID(DcI!F43,2,1)="•",CONCATENATE("0",LEFT(DcI!F43,1)),LEFT(DcI!F43,2)))))</f>
        <v/>
      </c>
      <c r="BF43" s="28" t="str">
        <f ca="1">IF(DcI!G43="X","X",IF(LEN(DcI!G43)=3,CONCATENATE("0",LEFT(DcI!G43,1)),IF(LEN(DcI!G43)=5,LEFT(DcI!G43,2),IF(MID(DcI!G43,2,1)="•",CONCATENATE("0",LEFT(DcI!G43,1)),LEFT(DcI!G43,2)))))</f>
        <v/>
      </c>
      <c r="BG43" s="28" t="str">
        <f ca="1">IF(DcI!H43="X","X",IF(LEN(DcI!H43)=3,CONCATENATE("0",LEFT(DcI!H43,1)),IF(LEN(DcI!H43)=5,LEFT(DcI!H43,2),IF(MID(DcI!H43,2,1)="•",CONCATENATE("0",LEFT(DcI!H43,1)),LEFT(DcI!H43,2)))))</f>
        <v/>
      </c>
      <c r="BH43" s="28" t="str">
        <f ca="1">IF(DcI!I43="X","X",IF(LEN(DcI!I43)=3,CONCATENATE("0",LEFT(DcI!I43,1)),IF(LEN(DcI!I43)=5,LEFT(DcI!I43,2),IF(MID(DcI!I43,2,1)="•",CONCATENATE("0",LEFT(DcI!I43,1)),LEFT(DcI!I43,2)))))</f>
        <v/>
      </c>
      <c r="BI43" s="28" t="str">
        <f ca="1">IF(DcI!J43="X","X",IF(LEN(DcI!J43)=3,CONCATENATE("0",LEFT(DcI!J43,1)),IF(LEN(DcI!J43)=5,LEFT(DcI!J43,2),IF(MID(DcI!J43,2,1)="•",CONCATENATE("0",LEFT(DcI!J43,1)),LEFT(DcI!J43,2)))))</f>
        <v/>
      </c>
      <c r="BJ43" s="28" t="str">
        <f ca="1">IF(DcI!K43="X","X",IF(LEN(DcI!K43)=3,CONCATENATE("0",LEFT(DcI!K43,1)),IF(LEN(DcI!K43)=5,LEFT(DcI!K43,2),IF(MID(DcI!K43,2,1)="•",CONCATENATE("0",LEFT(DcI!K43,1)),LEFT(DcI!K43,2)))))</f>
        <v/>
      </c>
      <c r="BK43" s="28" t="str">
        <f ca="1">IF(DcI!L43="X","X",IF(LEN(DcI!L43)=3,CONCATENATE("0",LEFT(DcI!L43,1)),IF(LEN(DcI!L43)=5,LEFT(DcI!L43,2),IF(MID(DcI!L43,2,1)="•",CONCATENATE("0",LEFT(DcI!L43,1)),LEFT(DcI!L43,2)))))</f>
        <v/>
      </c>
      <c r="BL43" s="28" t="str">
        <f ca="1">IF(DcI!M43="X","X",IF(LEN(DcI!M43)=3,CONCATENATE("0",LEFT(DcI!M43,1)),IF(LEN(DcI!M43)=5,LEFT(DcI!M43,2),IF(MID(DcI!M43,2,1)="•",CONCATENATE("0",LEFT(DcI!M43,1)),LEFT(DcI!M43,2)))))</f>
        <v/>
      </c>
      <c r="BM43" s="28" t="str">
        <f ca="1">IF(DcI!N43="X","X",IF(LEN(DcI!N43)=3,CONCATENATE("0",LEFT(DcI!N43,1)),IF(LEN(DcI!N43)=5,LEFT(DcI!N43,2),IF(MID(DcI!N43,2,1)="•",CONCATENATE("0",LEFT(DcI!N43,1)),LEFT(DcI!N43,2)))))</f>
        <v/>
      </c>
      <c r="BN43" s="28" t="str">
        <f ca="1">IF(DcI!O43="X","X",IF(LEN(DcI!O43)=3,CONCATENATE("0",LEFT(DcI!O43,1)),IF(LEN(DcI!O43)=5,LEFT(DcI!O43,2),IF(MID(DcI!O43,2,1)="•",CONCATENATE("0",LEFT(DcI!O43,1)),LEFT(DcI!O43,2)))))</f>
        <v/>
      </c>
      <c r="BO43" s="28" t="str">
        <f ca="1">IF(DcI!P43="X","X",IF(LEN(DcI!P43)=3,CONCATENATE("0",LEFT(DcI!P43,1)),IF(LEN(DcI!P43)=5,LEFT(DcI!P43,2),IF(MID(DcI!P43,2,1)="•",CONCATENATE("0",LEFT(DcI!P43,1)),LEFT(DcI!P43,2)))))</f>
        <v/>
      </c>
      <c r="BP43" s="28" t="str">
        <f ca="1">IF(DcI!Q43="X","X",IF(LEN(DcI!Q43)=3,CONCATENATE("0",LEFT(DcI!Q43,1)),IF(LEN(DcI!Q43)=5,LEFT(DcI!Q43,2),IF(MID(DcI!Q43,2,1)="•",CONCATENATE("0",LEFT(DcI!Q43,1)),LEFT(DcI!Q43,2)))))</f>
        <v/>
      </c>
      <c r="BQ43" s="28" t="str">
        <f ca="1">IF(DcI!R43="X","X",IF(LEN(DcI!R43)=3,CONCATENATE("0",LEFT(DcI!R43,1)),IF(LEN(DcI!R43)=5,LEFT(DcI!R43,2),IF(MID(DcI!R43,2,1)="•",CONCATENATE("0",LEFT(DcI!R43,1)),LEFT(DcI!R43,2)))))</f>
        <v/>
      </c>
      <c r="BR43" s="28" t="str">
        <f ca="1">IF(DcI!S43="X","X",IF(LEN(DcI!S43)=3,CONCATENATE("0",LEFT(DcI!S43,1)),IF(LEN(DcI!S43)=5,LEFT(DcI!S43,2),IF(MID(DcI!S43,2,1)="•",CONCATENATE("0",LEFT(DcI!S43,1)),LEFT(DcI!S43,2)))))</f>
        <v/>
      </c>
      <c r="BS43" s="28" t="str">
        <f ca="1">IF(DcI!T43="X","X",IF(LEN(DcI!T43)=3,CONCATENATE("0",LEFT(DcI!T43,1)),IF(LEN(DcI!T43)=5,LEFT(DcI!T43,2),IF(MID(DcI!T43,2,1)="•",CONCATENATE("0",LEFT(DcI!T43,1)),LEFT(DcI!T43,2)))))</f>
        <v/>
      </c>
      <c r="BT43" s="28" t="str">
        <f ca="1">IF(DcI!U43="X","X",IF(LEN(DcI!U43)=3,CONCATENATE("0",LEFT(DcI!U43,1)),IF(LEN(DcI!U43)=5,LEFT(DcI!U43,2),IF(MID(DcI!U43,2,1)="•",CONCATENATE("0",LEFT(DcI!U43,1)),LEFT(DcI!U43,2)))))</f>
        <v/>
      </c>
      <c r="BU43" s="28" t="str">
        <f ca="1">IF(DcI!V43="X","X",IF(LEN(DcI!V43)=3,CONCATENATE("0",LEFT(DcI!V43,1)),IF(LEN(DcI!V43)=5,LEFT(DcI!V43,2),IF(MID(DcI!V43,2,1)="•",CONCATENATE("0",LEFT(DcI!V43,1)),LEFT(DcI!V43,2)))))</f>
        <v/>
      </c>
      <c r="BV43" s="28" t="str">
        <f ca="1">IF(DcI!W43="X","X",IF(LEN(DcI!W43)=3,CONCATENATE("0",LEFT(DcI!W43,1)),IF(LEN(DcI!W43)=5,LEFT(DcI!W43,2),IF(MID(DcI!W43,2,1)="•",CONCATENATE("0",LEFT(DcI!W43,1)),LEFT(DcI!W43,2)))))</f>
        <v/>
      </c>
      <c r="BW43" s="28" t="str">
        <f ca="1">IF(DcI!X43="X","X",IF(LEN(DcI!X43)=3,CONCATENATE("0",LEFT(DcI!X43,1)),IF(LEN(DcI!X43)=5,LEFT(DcI!X43,2),IF(MID(DcI!X43,2,1)="•",CONCATENATE("0",LEFT(DcI!X43,1)),LEFT(DcI!X43,2)))))</f>
        <v/>
      </c>
      <c r="BX43" s="28" t="str">
        <f ca="1">IF(DcI!Y43="X","X",IF(LEN(DcI!Y43)=3,CONCATENATE("0",LEFT(DcI!Y43,1)),IF(LEN(DcI!Y43)=5,LEFT(DcI!Y43,2),IF(MID(DcI!Y43,2,1)="•",CONCATENATE("0",LEFT(DcI!Y43,1)),LEFT(DcI!Y43,2)))))</f>
        <v/>
      </c>
      <c r="BY43" s="28" t="str">
        <f ca="1">IF(DcI!Z43="X","X",IF(LEN(DcI!Z43)=3,CONCATENATE("0",LEFT(DcI!Z43,1)),IF(LEN(DcI!Z43)=5,LEFT(DcI!Z43,2),IF(MID(DcI!Z43,2,1)="•",CONCATENATE("0",LEFT(DcI!Z43,1)),LEFT(DcI!Z43,2)))))</f>
        <v/>
      </c>
      <c r="BZ43" s="28" t="str">
        <f ca="1">IF(DcI!AA43="X","X",IF(LEN(DcI!AA43)=3,CONCATENATE("0",LEFT(DcI!AA43,1)),IF(LEN(DcI!AA43)=5,LEFT(DcI!AA43,2),IF(MID(DcI!AA43,2,1)="•",CONCATENATE("0",LEFT(DcI!AA43,1)),LEFT(DcI!AA43,2)))))</f>
        <v/>
      </c>
      <c r="CA43" s="28" t="str">
        <f ca="1">IF(DcI!AB43="X","X",IF(LEN(DcI!AB43)=3,CONCATENATE("0",LEFT(DcI!AB43,1)),IF(LEN(DcI!AB43)=5,LEFT(DcI!AB43,2),IF(MID(DcI!AB43,2,1)="•",CONCATENATE("0",LEFT(DcI!AB43,1)),LEFT(DcI!AB43,2)))))</f>
        <v/>
      </c>
      <c r="CB43" s="28" t="str">
        <f ca="1">IF(DcI!AC43="X","X",IF(LEN(DcI!AC43)=3,CONCATENATE("0",LEFT(DcI!AC43,1)),IF(LEN(DcI!AC43)=5,LEFT(DcI!AC43,2),IF(MID(DcI!AC43,2,1)="•",CONCATENATE("0",LEFT(DcI!AC43,1)),LEFT(DcI!AC43,2)))))</f>
        <v/>
      </c>
      <c r="CC43" s="28" t="str">
        <f ca="1">IF(DcI!AD43="X","X",IF(LEN(DcI!AD43)=3,CONCATENATE("0",LEFT(DcI!AD43,1)),IF(LEN(DcI!AD43)=5,LEFT(DcI!AD43,2),IF(MID(DcI!AD43,2,1)="•",CONCATENATE("0",LEFT(DcI!AD43,1)),LEFT(DcI!AD43,2)))))</f>
        <v/>
      </c>
      <c r="CD43" s="28" t="str">
        <f ca="1">IF(DcI!AE43="X","X",IF(LEN(DcI!AE43)=3,CONCATENATE("0",LEFT(DcI!AE43,1)),IF(LEN(DcI!AE43)=5,LEFT(DcI!AE43,2),IF(MID(DcI!AE43,2,1)="•",CONCATENATE("0",LEFT(DcI!AE43,1)),LEFT(DcI!AE43,2)))))</f>
        <v/>
      </c>
      <c r="CE43" s="28" t="str">
        <f ca="1">IF(DcI!AF43="X","X",IF(LEN(DcI!AF43)=3,CONCATENATE("0",LEFT(DcI!AF43,1)),IF(LEN(DcI!AF43)=5,LEFT(DcI!AF43,2),IF(MID(DcI!AF43,2,1)="•",CONCATENATE("0",LEFT(DcI!AF43,1)),LEFT(DcI!AF43,2)))))</f>
        <v/>
      </c>
      <c r="CF43" s="28" t="str">
        <f ca="1">IF(DcI!AG43="X","X",IF(LEN(DcI!AG43)=3,CONCATENATE("0",LEFT(DcI!AG43,1)),IF(LEN(DcI!AG43)=5,LEFT(DcI!AG43,2),IF(MID(DcI!AG43,2,1)="•",CONCATENATE("0",LEFT(DcI!AG43,1)),LEFT(DcI!AG43,2)))))</f>
        <v/>
      </c>
      <c r="CG43" s="28" t="str">
        <f ca="1">IF(DcI!AH43="X","X",IF(LEN(DcI!AH43)=3,CONCATENATE("0",LEFT(DcI!AH43,1)),IF(LEN(DcI!AH43)=5,LEFT(DcI!AH43,2),IF(MID(DcI!AH43,2,1)="•",CONCATENATE("0",LEFT(DcI!AH43,1)),LEFT(DcI!AH43,2)))))</f>
        <v/>
      </c>
      <c r="CH43" s="28" t="str">
        <f ca="1">IF(DcI!AI43="X","X",IF(LEN(DcI!AI43)=3,CONCATENATE("0",LEFT(DcI!AI43,1)),IF(LEN(DcI!AI43)=5,LEFT(DcI!AI43,2),IF(MID(DcI!AI43,2,1)="•",CONCATENATE("0",LEFT(DcI!AI43,1)),LEFT(DcI!AI43,2)))))</f>
        <v/>
      </c>
      <c r="CI43" s="347" t="str">
        <f ca="1">IF(DcI!AJ43="X","X",IF(LEN(DcI!AJ43)=3,CONCATENATE("0",LEFT(DcI!AJ43,1)),IF(LEN(DcI!AJ43)=5,LEFT(DcI!AJ43,2),IF(MID(DcI!AJ43,2,1)="•",CONCATENATE("0",LEFT(DcI!AJ43,1)),LEFT(DcI!AJ43,2)))))</f>
        <v/>
      </c>
      <c r="CJ43" s="28" t="str">
        <f t="shared" ca="1" si="19"/>
        <v/>
      </c>
      <c r="CK43" s="28" t="str">
        <f t="shared" ca="1" si="19"/>
        <v/>
      </c>
      <c r="CL43" s="28" t="str">
        <f t="shared" ca="1" si="19"/>
        <v/>
      </c>
      <c r="CM43" s="28" t="str">
        <f t="shared" ca="1" si="19"/>
        <v/>
      </c>
      <c r="CN43" s="28" t="str">
        <f t="shared" ca="1" si="19"/>
        <v/>
      </c>
      <c r="CO43" s="28" t="str">
        <f t="shared" ca="1" si="12"/>
        <v/>
      </c>
      <c r="CP43" s="28" t="str">
        <f t="shared" ca="1" si="12"/>
        <v/>
      </c>
      <c r="CQ43" s="28" t="str">
        <f t="shared" ca="1" si="12"/>
        <v/>
      </c>
      <c r="CR43" s="28" t="str">
        <f t="shared" ca="1" si="12"/>
        <v/>
      </c>
      <c r="CS43" s="28" t="str">
        <f t="shared" ca="1" si="12"/>
        <v/>
      </c>
      <c r="CT43" s="28" t="str">
        <f t="shared" ca="1" si="12"/>
        <v/>
      </c>
      <c r="CU43" s="28" t="str">
        <f t="shared" ca="1" si="12"/>
        <v/>
      </c>
      <c r="CV43" s="346" t="str">
        <f t="shared" ca="1" si="12"/>
        <v/>
      </c>
    </row>
    <row r="44" spans="2:100" ht="15">
      <c r="B44" s="63" t="str">
        <v>CJ</v>
      </c>
      <c r="C44" s="16" t="str">
        <f t="shared" si="8"/>
        <v>CJ11:CJ56</v>
      </c>
      <c r="D44" s="342" t="str">
        <f t="shared" ca="1" si="9"/>
        <v/>
      </c>
      <c r="E44" s="349" t="str">
        <f t="shared" ca="1" si="10"/>
        <v>ng</v>
      </c>
      <c r="F44" s="349" t="str">
        <f t="shared" ca="1" si="21"/>
        <v>ng</v>
      </c>
      <c r="G44" s="349" t="str">
        <f t="shared" ca="1" si="21"/>
        <v>ng</v>
      </c>
      <c r="H44" s="349" t="str">
        <f t="shared" ca="1" si="21"/>
        <v>ng</v>
      </c>
      <c r="I44" s="349" t="str">
        <f t="shared" ca="1" si="21"/>
        <v>ng</v>
      </c>
      <c r="J44" s="349" t="str">
        <f t="shared" ca="1" si="21"/>
        <v>ng</v>
      </c>
      <c r="K44" s="349" t="str">
        <f t="shared" ca="1" si="21"/>
        <v>ng</v>
      </c>
      <c r="L44" s="349" t="str">
        <f t="shared" ca="1" si="21"/>
        <v>ng</v>
      </c>
      <c r="M44" s="349" t="str">
        <f t="shared" ca="1" si="21"/>
        <v>ng</v>
      </c>
      <c r="N44" s="349" t="str">
        <f t="shared" ca="1" si="21"/>
        <v>ng</v>
      </c>
      <c r="O44" s="349" t="str">
        <f t="shared" ca="1" si="21"/>
        <v>ng</v>
      </c>
      <c r="P44" s="349" t="str">
        <f t="shared" ca="1" si="21"/>
        <v>ng</v>
      </c>
      <c r="Q44" s="349" t="str">
        <f t="shared" ca="1" si="21"/>
        <v>ng</v>
      </c>
      <c r="R44" s="349" t="str">
        <f t="shared" ca="1" si="21"/>
        <v>ng</v>
      </c>
      <c r="S44" s="349" t="str">
        <f t="shared" ca="1" si="21"/>
        <v>ng</v>
      </c>
      <c r="T44" s="349" t="str">
        <f t="shared" ca="1" si="21"/>
        <v>ng</v>
      </c>
      <c r="U44" s="349" t="str">
        <f t="shared" ca="1" si="21"/>
        <v>ng</v>
      </c>
      <c r="V44" s="349" t="str">
        <f t="shared" ca="1" si="21"/>
        <v>ng</v>
      </c>
      <c r="W44" s="349" t="str">
        <f t="shared" ca="1" si="21"/>
        <v>ng</v>
      </c>
      <c r="X44" s="349" t="str">
        <f t="shared" ca="1" si="21"/>
        <v>ng</v>
      </c>
      <c r="Y44" s="349" t="str">
        <f t="shared" ca="1" si="21"/>
        <v>ng</v>
      </c>
      <c r="Z44" s="349" t="str">
        <f t="shared" ca="1" si="21"/>
        <v>ng</v>
      </c>
      <c r="AA44" s="349" t="str">
        <f t="shared" ca="1" si="21"/>
        <v>ng</v>
      </c>
      <c r="AB44" s="349" t="str">
        <f t="shared" ca="1" si="21"/>
        <v>ng</v>
      </c>
      <c r="AC44" s="349" t="str">
        <f t="shared" ca="1" si="21"/>
        <v>ng</v>
      </c>
      <c r="AD44" s="349" t="str">
        <f t="shared" ca="1" si="21"/>
        <v>ng</v>
      </c>
      <c r="AE44" s="349" t="str">
        <f t="shared" ca="1" si="21"/>
        <v>ng</v>
      </c>
      <c r="AF44" s="349" t="str">
        <f t="shared" ca="1" si="21"/>
        <v>ng</v>
      </c>
      <c r="AG44" s="349" t="str">
        <f t="shared" ca="1" si="21"/>
        <v>ng</v>
      </c>
      <c r="AH44" s="349" t="str">
        <f t="shared" ca="1" si="21"/>
        <v>ng</v>
      </c>
      <c r="AI44" s="349" t="str">
        <f t="shared" ca="1" si="21"/>
        <v>ng</v>
      </c>
      <c r="AJ44" s="349" t="str">
        <f t="shared" ca="1" si="21"/>
        <v>ng</v>
      </c>
      <c r="AK44" s="349" t="str">
        <f t="shared" ca="1" si="21"/>
        <v>ng</v>
      </c>
      <c r="AL44" s="349" t="str">
        <f t="shared" ca="1" si="22"/>
        <v>ng</v>
      </c>
      <c r="AM44" s="349" t="str">
        <f t="shared" ca="1" si="22"/>
        <v>ng</v>
      </c>
      <c r="AN44" s="349" t="str">
        <f t="shared" ca="1" si="22"/>
        <v>ng</v>
      </c>
      <c r="AO44" s="349" t="str">
        <f t="shared" ca="1" si="22"/>
        <v>ng</v>
      </c>
      <c r="AP44" s="349" t="str">
        <f t="shared" ca="1" si="22"/>
        <v>ng</v>
      </c>
      <c r="AQ44" s="349" t="str">
        <f t="shared" ca="1" si="22"/>
        <v>ng</v>
      </c>
      <c r="AR44" s="350" t="str">
        <f t="shared" ca="1" si="22"/>
        <v>ng</v>
      </c>
      <c r="BA44" s="16" t="str">
        <v>CJ</v>
      </c>
      <c r="BB44" s="342" t="str">
        <f ca="1">DcI!C44</f>
        <v/>
      </c>
      <c r="BC44" s="28" t="str">
        <f ca="1">IF(DcI!D44="X","X",IF(LEN(DcI!D44)=3,CONCATENATE("0",LEFT(DcI!D44,1)),IF(LEN(DcI!D44)=5,LEFT(DcI!D44,2),IF(MID(DcI!D44,2,1)="•",CONCATENATE("0",LEFT(DcI!D44,1)),LEFT(DcI!D44,2)))))</f>
        <v/>
      </c>
      <c r="BD44" s="28" t="str">
        <f ca="1">IF(DcI!E44="X","X",IF(LEN(DcI!E44)=3,CONCATENATE("0",LEFT(DcI!E44,1)),IF(LEN(DcI!E44)=5,LEFT(DcI!E44,2),IF(MID(DcI!E44,2,1)="•",CONCATENATE("0",LEFT(DcI!E44,1)),LEFT(DcI!E44,2)))))</f>
        <v/>
      </c>
      <c r="BE44" s="28" t="str">
        <f ca="1">IF(DcI!F44="X","X",IF(LEN(DcI!F44)=3,CONCATENATE("0",LEFT(DcI!F44,1)),IF(LEN(DcI!F44)=5,LEFT(DcI!F44,2),IF(MID(DcI!F44,2,1)="•",CONCATENATE("0",LEFT(DcI!F44,1)),LEFT(DcI!F44,2)))))</f>
        <v/>
      </c>
      <c r="BF44" s="28" t="str">
        <f ca="1">IF(DcI!G44="X","X",IF(LEN(DcI!G44)=3,CONCATENATE("0",LEFT(DcI!G44,1)),IF(LEN(DcI!G44)=5,LEFT(DcI!G44,2),IF(MID(DcI!G44,2,1)="•",CONCATENATE("0",LEFT(DcI!G44,1)),LEFT(DcI!G44,2)))))</f>
        <v/>
      </c>
      <c r="BG44" s="28" t="str">
        <f ca="1">IF(DcI!H44="X","X",IF(LEN(DcI!H44)=3,CONCATENATE("0",LEFT(DcI!H44,1)),IF(LEN(DcI!H44)=5,LEFT(DcI!H44,2),IF(MID(DcI!H44,2,1)="•",CONCATENATE("0",LEFT(DcI!H44,1)),LEFT(DcI!H44,2)))))</f>
        <v/>
      </c>
      <c r="BH44" s="28" t="str">
        <f ca="1">IF(DcI!I44="X","X",IF(LEN(DcI!I44)=3,CONCATENATE("0",LEFT(DcI!I44,1)),IF(LEN(DcI!I44)=5,LEFT(DcI!I44,2),IF(MID(DcI!I44,2,1)="•",CONCATENATE("0",LEFT(DcI!I44,1)),LEFT(DcI!I44,2)))))</f>
        <v/>
      </c>
      <c r="BI44" s="28" t="str">
        <f ca="1">IF(DcI!J44="X","X",IF(LEN(DcI!J44)=3,CONCATENATE("0",LEFT(DcI!J44,1)),IF(LEN(DcI!J44)=5,LEFT(DcI!J44,2),IF(MID(DcI!J44,2,1)="•",CONCATENATE("0",LEFT(DcI!J44,1)),LEFT(DcI!J44,2)))))</f>
        <v/>
      </c>
      <c r="BJ44" s="28" t="str">
        <f ca="1">IF(DcI!K44="X","X",IF(LEN(DcI!K44)=3,CONCATENATE("0",LEFT(DcI!K44,1)),IF(LEN(DcI!K44)=5,LEFT(DcI!K44,2),IF(MID(DcI!K44,2,1)="•",CONCATENATE("0",LEFT(DcI!K44,1)),LEFT(DcI!K44,2)))))</f>
        <v/>
      </c>
      <c r="BK44" s="28" t="str">
        <f ca="1">IF(DcI!L44="X","X",IF(LEN(DcI!L44)=3,CONCATENATE("0",LEFT(DcI!L44,1)),IF(LEN(DcI!L44)=5,LEFT(DcI!L44,2),IF(MID(DcI!L44,2,1)="•",CONCATENATE("0",LEFT(DcI!L44,1)),LEFT(DcI!L44,2)))))</f>
        <v/>
      </c>
      <c r="BL44" s="28" t="str">
        <f ca="1">IF(DcI!M44="X","X",IF(LEN(DcI!M44)=3,CONCATENATE("0",LEFT(DcI!M44,1)),IF(LEN(DcI!M44)=5,LEFT(DcI!M44,2),IF(MID(DcI!M44,2,1)="•",CONCATENATE("0",LEFT(DcI!M44,1)),LEFT(DcI!M44,2)))))</f>
        <v/>
      </c>
      <c r="BM44" s="28" t="str">
        <f ca="1">IF(DcI!N44="X","X",IF(LEN(DcI!N44)=3,CONCATENATE("0",LEFT(DcI!N44,1)),IF(LEN(DcI!N44)=5,LEFT(DcI!N44,2),IF(MID(DcI!N44,2,1)="•",CONCATENATE("0",LEFT(DcI!N44,1)),LEFT(DcI!N44,2)))))</f>
        <v/>
      </c>
      <c r="BN44" s="28" t="str">
        <f ca="1">IF(DcI!O44="X","X",IF(LEN(DcI!O44)=3,CONCATENATE("0",LEFT(DcI!O44,1)),IF(LEN(DcI!O44)=5,LEFT(DcI!O44,2),IF(MID(DcI!O44,2,1)="•",CONCATENATE("0",LEFT(DcI!O44,1)),LEFT(DcI!O44,2)))))</f>
        <v/>
      </c>
      <c r="BO44" s="28" t="str">
        <f ca="1">IF(DcI!P44="X","X",IF(LEN(DcI!P44)=3,CONCATENATE("0",LEFT(DcI!P44,1)),IF(LEN(DcI!P44)=5,LEFT(DcI!P44,2),IF(MID(DcI!P44,2,1)="•",CONCATENATE("0",LEFT(DcI!P44,1)),LEFT(DcI!P44,2)))))</f>
        <v/>
      </c>
      <c r="BP44" s="28" t="str">
        <f ca="1">IF(DcI!Q44="X","X",IF(LEN(DcI!Q44)=3,CONCATENATE("0",LEFT(DcI!Q44,1)),IF(LEN(DcI!Q44)=5,LEFT(DcI!Q44,2),IF(MID(DcI!Q44,2,1)="•",CONCATENATE("0",LEFT(DcI!Q44,1)),LEFT(DcI!Q44,2)))))</f>
        <v/>
      </c>
      <c r="BQ44" s="28" t="str">
        <f ca="1">IF(DcI!R44="X","X",IF(LEN(DcI!R44)=3,CONCATENATE("0",LEFT(DcI!R44,1)),IF(LEN(DcI!R44)=5,LEFT(DcI!R44,2),IF(MID(DcI!R44,2,1)="•",CONCATENATE("0",LEFT(DcI!R44,1)),LEFT(DcI!R44,2)))))</f>
        <v/>
      </c>
      <c r="BR44" s="28" t="str">
        <f ca="1">IF(DcI!S44="X","X",IF(LEN(DcI!S44)=3,CONCATENATE("0",LEFT(DcI!S44,1)),IF(LEN(DcI!S44)=5,LEFT(DcI!S44,2),IF(MID(DcI!S44,2,1)="•",CONCATENATE("0",LEFT(DcI!S44,1)),LEFT(DcI!S44,2)))))</f>
        <v/>
      </c>
      <c r="BS44" s="28" t="str">
        <f ca="1">IF(DcI!T44="X","X",IF(LEN(DcI!T44)=3,CONCATENATE("0",LEFT(DcI!T44,1)),IF(LEN(DcI!T44)=5,LEFT(DcI!T44,2),IF(MID(DcI!T44,2,1)="•",CONCATENATE("0",LEFT(DcI!T44,1)),LEFT(DcI!T44,2)))))</f>
        <v/>
      </c>
      <c r="BT44" s="28" t="str">
        <f ca="1">IF(DcI!U44="X","X",IF(LEN(DcI!U44)=3,CONCATENATE("0",LEFT(DcI!U44,1)),IF(LEN(DcI!U44)=5,LEFT(DcI!U44,2),IF(MID(DcI!U44,2,1)="•",CONCATENATE("0",LEFT(DcI!U44,1)),LEFT(DcI!U44,2)))))</f>
        <v/>
      </c>
      <c r="BU44" s="28" t="str">
        <f ca="1">IF(DcI!V44="X","X",IF(LEN(DcI!V44)=3,CONCATENATE("0",LEFT(DcI!V44,1)),IF(LEN(DcI!V44)=5,LEFT(DcI!V44,2),IF(MID(DcI!V44,2,1)="•",CONCATENATE("0",LEFT(DcI!V44,1)),LEFT(DcI!V44,2)))))</f>
        <v/>
      </c>
      <c r="BV44" s="28" t="str">
        <f ca="1">IF(DcI!W44="X","X",IF(LEN(DcI!W44)=3,CONCATENATE("0",LEFT(DcI!W44,1)),IF(LEN(DcI!W44)=5,LEFT(DcI!W44,2),IF(MID(DcI!W44,2,1)="•",CONCATENATE("0",LEFT(DcI!W44,1)),LEFT(DcI!W44,2)))))</f>
        <v/>
      </c>
      <c r="BW44" s="28" t="str">
        <f ca="1">IF(DcI!X44="X","X",IF(LEN(DcI!X44)=3,CONCATENATE("0",LEFT(DcI!X44,1)),IF(LEN(DcI!X44)=5,LEFT(DcI!X44,2),IF(MID(DcI!X44,2,1)="•",CONCATENATE("0",LEFT(DcI!X44,1)),LEFT(DcI!X44,2)))))</f>
        <v/>
      </c>
      <c r="BX44" s="28" t="str">
        <f ca="1">IF(DcI!Y44="X","X",IF(LEN(DcI!Y44)=3,CONCATENATE("0",LEFT(DcI!Y44,1)),IF(LEN(DcI!Y44)=5,LEFT(DcI!Y44,2),IF(MID(DcI!Y44,2,1)="•",CONCATENATE("0",LEFT(DcI!Y44,1)),LEFT(DcI!Y44,2)))))</f>
        <v/>
      </c>
      <c r="BY44" s="28" t="str">
        <f ca="1">IF(DcI!Z44="X","X",IF(LEN(DcI!Z44)=3,CONCATENATE("0",LEFT(DcI!Z44,1)),IF(LEN(DcI!Z44)=5,LEFT(DcI!Z44,2),IF(MID(DcI!Z44,2,1)="•",CONCATENATE("0",LEFT(DcI!Z44,1)),LEFT(DcI!Z44,2)))))</f>
        <v/>
      </c>
      <c r="BZ44" s="28" t="str">
        <f ca="1">IF(DcI!AA44="X","X",IF(LEN(DcI!AA44)=3,CONCATENATE("0",LEFT(DcI!AA44,1)),IF(LEN(DcI!AA44)=5,LEFT(DcI!AA44,2),IF(MID(DcI!AA44,2,1)="•",CONCATENATE("0",LEFT(DcI!AA44,1)),LEFT(DcI!AA44,2)))))</f>
        <v/>
      </c>
      <c r="CA44" s="28" t="str">
        <f ca="1">IF(DcI!AB44="X","X",IF(LEN(DcI!AB44)=3,CONCATENATE("0",LEFT(DcI!AB44,1)),IF(LEN(DcI!AB44)=5,LEFT(DcI!AB44,2),IF(MID(DcI!AB44,2,1)="•",CONCATENATE("0",LEFT(DcI!AB44,1)),LEFT(DcI!AB44,2)))))</f>
        <v/>
      </c>
      <c r="CB44" s="28" t="str">
        <f ca="1">IF(DcI!AC44="X","X",IF(LEN(DcI!AC44)=3,CONCATENATE("0",LEFT(DcI!AC44,1)),IF(LEN(DcI!AC44)=5,LEFT(DcI!AC44,2),IF(MID(DcI!AC44,2,1)="•",CONCATENATE("0",LEFT(DcI!AC44,1)),LEFT(DcI!AC44,2)))))</f>
        <v/>
      </c>
      <c r="CC44" s="28" t="str">
        <f ca="1">IF(DcI!AD44="X","X",IF(LEN(DcI!AD44)=3,CONCATENATE("0",LEFT(DcI!AD44,1)),IF(LEN(DcI!AD44)=5,LEFT(DcI!AD44,2),IF(MID(DcI!AD44,2,1)="•",CONCATENATE("0",LEFT(DcI!AD44,1)),LEFT(DcI!AD44,2)))))</f>
        <v/>
      </c>
      <c r="CD44" s="28" t="str">
        <f ca="1">IF(DcI!AE44="X","X",IF(LEN(DcI!AE44)=3,CONCATENATE("0",LEFT(DcI!AE44,1)),IF(LEN(DcI!AE44)=5,LEFT(DcI!AE44,2),IF(MID(DcI!AE44,2,1)="•",CONCATENATE("0",LEFT(DcI!AE44,1)),LEFT(DcI!AE44,2)))))</f>
        <v/>
      </c>
      <c r="CE44" s="28" t="str">
        <f ca="1">IF(DcI!AF44="X","X",IF(LEN(DcI!AF44)=3,CONCATENATE("0",LEFT(DcI!AF44,1)),IF(LEN(DcI!AF44)=5,LEFT(DcI!AF44,2),IF(MID(DcI!AF44,2,1)="•",CONCATENATE("0",LEFT(DcI!AF44,1)),LEFT(DcI!AF44,2)))))</f>
        <v/>
      </c>
      <c r="CF44" s="28" t="str">
        <f ca="1">IF(DcI!AG44="X","X",IF(LEN(DcI!AG44)=3,CONCATENATE("0",LEFT(DcI!AG44,1)),IF(LEN(DcI!AG44)=5,LEFT(DcI!AG44,2),IF(MID(DcI!AG44,2,1)="•",CONCATENATE("0",LEFT(DcI!AG44,1)),LEFT(DcI!AG44,2)))))</f>
        <v/>
      </c>
      <c r="CG44" s="28" t="str">
        <f ca="1">IF(DcI!AH44="X","X",IF(LEN(DcI!AH44)=3,CONCATENATE("0",LEFT(DcI!AH44,1)),IF(LEN(DcI!AH44)=5,LEFT(DcI!AH44,2),IF(MID(DcI!AH44,2,1)="•",CONCATENATE("0",LEFT(DcI!AH44,1)),LEFT(DcI!AH44,2)))))</f>
        <v/>
      </c>
      <c r="CH44" s="28" t="str">
        <f ca="1">IF(DcI!AI44="X","X",IF(LEN(DcI!AI44)=3,CONCATENATE("0",LEFT(DcI!AI44,1)),IF(LEN(DcI!AI44)=5,LEFT(DcI!AI44,2),IF(MID(DcI!AI44,2,1)="•",CONCATENATE("0",LEFT(DcI!AI44,1)),LEFT(DcI!AI44,2)))))</f>
        <v/>
      </c>
      <c r="CI44" s="28" t="str">
        <f ca="1">IF(DcI!AJ44="X","X",IF(LEN(DcI!AJ44)=3,CONCATENATE("0",LEFT(DcI!AJ44,1)),IF(LEN(DcI!AJ44)=5,LEFT(DcI!AJ44,2),IF(MID(DcI!AJ44,2,1)="•",CONCATENATE("0",LEFT(DcI!AJ44,1)),LEFT(DcI!AJ44,2)))))</f>
        <v/>
      </c>
      <c r="CJ44" s="347" t="str">
        <f ca="1">IF(DcI!AK44="X","X",IF(LEN(DcI!AK44)=3,CONCATENATE("0",LEFT(DcI!AK44,1)),IF(LEN(DcI!AK44)=5,LEFT(DcI!AK44,2),IF(MID(DcI!AK44,2,1)="•",CONCATENATE("0",LEFT(DcI!AK44,1)),LEFT(DcI!AK44,2)))))</f>
        <v/>
      </c>
      <c r="CK44" s="28" t="str">
        <f t="shared" ca="1" si="19"/>
        <v/>
      </c>
      <c r="CL44" s="28" t="str">
        <f t="shared" ca="1" si="19"/>
        <v/>
      </c>
      <c r="CM44" s="28" t="str">
        <f t="shared" ca="1" si="19"/>
        <v/>
      </c>
      <c r="CN44" s="28" t="str">
        <f t="shared" ca="1" si="19"/>
        <v/>
      </c>
      <c r="CO44" s="28" t="str">
        <f t="shared" ca="1" si="19"/>
        <v/>
      </c>
      <c r="CP44" s="28" t="str">
        <f t="shared" ca="1" si="19"/>
        <v/>
      </c>
      <c r="CQ44" s="28" t="str">
        <f t="shared" ca="1" si="19"/>
        <v/>
      </c>
      <c r="CR44" s="28" t="str">
        <f t="shared" ca="1" si="19"/>
        <v/>
      </c>
      <c r="CS44" s="28" t="str">
        <f t="shared" ca="1" si="19"/>
        <v/>
      </c>
      <c r="CT44" s="28" t="str">
        <f t="shared" ca="1" si="19"/>
        <v/>
      </c>
      <c r="CU44" s="28" t="str">
        <f t="shared" ca="1" si="19"/>
        <v/>
      </c>
      <c r="CV44" s="346" t="str">
        <f t="shared" ca="1" si="19"/>
        <v/>
      </c>
    </row>
    <row r="45" spans="2:100" ht="15">
      <c r="B45" s="63" t="str">
        <v>CK</v>
      </c>
      <c r="C45" s="16" t="str">
        <f t="shared" si="8"/>
        <v>CK11:CK56</v>
      </c>
      <c r="D45" s="342" t="str">
        <f t="shared" ca="1" si="9"/>
        <v/>
      </c>
      <c r="E45" s="349" t="str">
        <f t="shared" ca="1" si="10"/>
        <v>ng</v>
      </c>
      <c r="F45" s="349" t="str">
        <f t="shared" ca="1" si="21"/>
        <v>ng</v>
      </c>
      <c r="G45" s="349" t="str">
        <f t="shared" ca="1" si="21"/>
        <v>ng</v>
      </c>
      <c r="H45" s="349" t="str">
        <f t="shared" ca="1" si="21"/>
        <v>ng</v>
      </c>
      <c r="I45" s="349" t="str">
        <f t="shared" ca="1" si="21"/>
        <v>ng</v>
      </c>
      <c r="J45" s="349" t="str">
        <f t="shared" ca="1" si="21"/>
        <v>ng</v>
      </c>
      <c r="K45" s="349" t="str">
        <f t="shared" ca="1" si="21"/>
        <v>ng</v>
      </c>
      <c r="L45" s="349" t="str">
        <f t="shared" ca="1" si="21"/>
        <v>ng</v>
      </c>
      <c r="M45" s="349" t="str">
        <f t="shared" ca="1" si="21"/>
        <v>ng</v>
      </c>
      <c r="N45" s="349" t="str">
        <f t="shared" ca="1" si="21"/>
        <v>ng</v>
      </c>
      <c r="O45" s="349" t="str">
        <f t="shared" ca="1" si="21"/>
        <v>ng</v>
      </c>
      <c r="P45" s="349" t="str">
        <f t="shared" ca="1" si="21"/>
        <v>ng</v>
      </c>
      <c r="Q45" s="349" t="str">
        <f t="shared" ca="1" si="21"/>
        <v>ng</v>
      </c>
      <c r="R45" s="349" t="str">
        <f t="shared" ca="1" si="21"/>
        <v>ng</v>
      </c>
      <c r="S45" s="349" t="str">
        <f t="shared" ca="1" si="21"/>
        <v>ng</v>
      </c>
      <c r="T45" s="349" t="str">
        <f t="shared" ca="1" si="21"/>
        <v>ng</v>
      </c>
      <c r="U45" s="349" t="str">
        <f t="shared" ca="1" si="21"/>
        <v>ng</v>
      </c>
      <c r="V45" s="349" t="str">
        <f t="shared" ca="1" si="21"/>
        <v>ng</v>
      </c>
      <c r="W45" s="349" t="str">
        <f t="shared" ca="1" si="21"/>
        <v>ng</v>
      </c>
      <c r="X45" s="349" t="str">
        <f t="shared" ca="1" si="21"/>
        <v>ng</v>
      </c>
      <c r="Y45" s="349" t="str">
        <f t="shared" ca="1" si="21"/>
        <v>ng</v>
      </c>
      <c r="Z45" s="349" t="str">
        <f t="shared" ca="1" si="21"/>
        <v>ng</v>
      </c>
      <c r="AA45" s="349" t="str">
        <f t="shared" ca="1" si="21"/>
        <v>ng</v>
      </c>
      <c r="AB45" s="349" t="str">
        <f t="shared" ca="1" si="21"/>
        <v>ng</v>
      </c>
      <c r="AC45" s="349" t="str">
        <f t="shared" ca="1" si="21"/>
        <v>ng</v>
      </c>
      <c r="AD45" s="349" t="str">
        <f t="shared" ca="1" si="21"/>
        <v>ng</v>
      </c>
      <c r="AE45" s="349" t="str">
        <f t="shared" ca="1" si="21"/>
        <v>ng</v>
      </c>
      <c r="AF45" s="349" t="str">
        <f t="shared" ca="1" si="21"/>
        <v>ng</v>
      </c>
      <c r="AG45" s="349" t="str">
        <f t="shared" ca="1" si="21"/>
        <v>ng</v>
      </c>
      <c r="AH45" s="349" t="str">
        <f t="shared" ca="1" si="21"/>
        <v>ng</v>
      </c>
      <c r="AI45" s="349" t="str">
        <f t="shared" ca="1" si="21"/>
        <v>ng</v>
      </c>
      <c r="AJ45" s="349" t="str">
        <f t="shared" ca="1" si="21"/>
        <v>ng</v>
      </c>
      <c r="AK45" s="349" t="str">
        <f t="shared" ca="1" si="21"/>
        <v>ng</v>
      </c>
      <c r="AL45" s="349" t="str">
        <f t="shared" ca="1" si="22"/>
        <v>ng</v>
      </c>
      <c r="AM45" s="349" t="str">
        <f t="shared" ca="1" si="22"/>
        <v>ng</v>
      </c>
      <c r="AN45" s="349" t="str">
        <f t="shared" ca="1" si="22"/>
        <v>ng</v>
      </c>
      <c r="AO45" s="349" t="str">
        <f t="shared" ca="1" si="22"/>
        <v>ng</v>
      </c>
      <c r="AP45" s="349" t="str">
        <f t="shared" ca="1" si="22"/>
        <v>ng</v>
      </c>
      <c r="AQ45" s="349" t="str">
        <f t="shared" ca="1" si="22"/>
        <v>ng</v>
      </c>
      <c r="AR45" s="350" t="str">
        <f t="shared" ca="1" si="22"/>
        <v>ng</v>
      </c>
      <c r="BA45" s="16" t="str">
        <v>CK</v>
      </c>
      <c r="BB45" s="342" t="str">
        <f ca="1">DcI!C45</f>
        <v/>
      </c>
      <c r="BC45" s="28" t="str">
        <f ca="1">IF(DcI!D45="X","X",IF(LEN(DcI!D45)=3,CONCATENATE("0",LEFT(DcI!D45,1)),IF(LEN(DcI!D45)=5,LEFT(DcI!D45,2),IF(MID(DcI!D45,2,1)="•",CONCATENATE("0",LEFT(DcI!D45,1)),LEFT(DcI!D45,2)))))</f>
        <v/>
      </c>
      <c r="BD45" s="28" t="str">
        <f ca="1">IF(DcI!E45="X","X",IF(LEN(DcI!E45)=3,CONCATENATE("0",LEFT(DcI!E45,1)),IF(LEN(DcI!E45)=5,LEFT(DcI!E45,2),IF(MID(DcI!E45,2,1)="•",CONCATENATE("0",LEFT(DcI!E45,1)),LEFT(DcI!E45,2)))))</f>
        <v/>
      </c>
      <c r="BE45" s="28" t="str">
        <f ca="1">IF(DcI!F45="X","X",IF(LEN(DcI!F45)=3,CONCATENATE("0",LEFT(DcI!F45,1)),IF(LEN(DcI!F45)=5,LEFT(DcI!F45,2),IF(MID(DcI!F45,2,1)="•",CONCATENATE("0",LEFT(DcI!F45,1)),LEFT(DcI!F45,2)))))</f>
        <v/>
      </c>
      <c r="BF45" s="28" t="str">
        <f ca="1">IF(DcI!G45="X","X",IF(LEN(DcI!G45)=3,CONCATENATE("0",LEFT(DcI!G45,1)),IF(LEN(DcI!G45)=5,LEFT(DcI!G45,2),IF(MID(DcI!G45,2,1)="•",CONCATENATE("0",LEFT(DcI!G45,1)),LEFT(DcI!G45,2)))))</f>
        <v/>
      </c>
      <c r="BG45" s="28" t="str">
        <f ca="1">IF(DcI!H45="X","X",IF(LEN(DcI!H45)=3,CONCATENATE("0",LEFT(DcI!H45,1)),IF(LEN(DcI!H45)=5,LEFT(DcI!H45,2),IF(MID(DcI!H45,2,1)="•",CONCATENATE("0",LEFT(DcI!H45,1)),LEFT(DcI!H45,2)))))</f>
        <v/>
      </c>
      <c r="BH45" s="28" t="str">
        <f ca="1">IF(DcI!I45="X","X",IF(LEN(DcI!I45)=3,CONCATENATE("0",LEFT(DcI!I45,1)),IF(LEN(DcI!I45)=5,LEFT(DcI!I45,2),IF(MID(DcI!I45,2,1)="•",CONCATENATE("0",LEFT(DcI!I45,1)),LEFT(DcI!I45,2)))))</f>
        <v/>
      </c>
      <c r="BI45" s="28" t="str">
        <f ca="1">IF(DcI!J45="X","X",IF(LEN(DcI!J45)=3,CONCATENATE("0",LEFT(DcI!J45,1)),IF(LEN(DcI!J45)=5,LEFT(DcI!J45,2),IF(MID(DcI!J45,2,1)="•",CONCATENATE("0",LEFT(DcI!J45,1)),LEFT(DcI!J45,2)))))</f>
        <v/>
      </c>
      <c r="BJ45" s="28" t="str">
        <f ca="1">IF(DcI!K45="X","X",IF(LEN(DcI!K45)=3,CONCATENATE("0",LEFT(DcI!K45,1)),IF(LEN(DcI!K45)=5,LEFT(DcI!K45,2),IF(MID(DcI!K45,2,1)="•",CONCATENATE("0",LEFT(DcI!K45,1)),LEFT(DcI!K45,2)))))</f>
        <v/>
      </c>
      <c r="BK45" s="28" t="str">
        <f ca="1">IF(DcI!L45="X","X",IF(LEN(DcI!L45)=3,CONCATENATE("0",LEFT(DcI!L45,1)),IF(LEN(DcI!L45)=5,LEFT(DcI!L45,2),IF(MID(DcI!L45,2,1)="•",CONCATENATE("0",LEFT(DcI!L45,1)),LEFT(DcI!L45,2)))))</f>
        <v/>
      </c>
      <c r="BL45" s="28" t="str">
        <f ca="1">IF(DcI!M45="X","X",IF(LEN(DcI!M45)=3,CONCATENATE("0",LEFT(DcI!M45,1)),IF(LEN(DcI!M45)=5,LEFT(DcI!M45,2),IF(MID(DcI!M45,2,1)="•",CONCATENATE("0",LEFT(DcI!M45,1)),LEFT(DcI!M45,2)))))</f>
        <v/>
      </c>
      <c r="BM45" s="28" t="str">
        <f ca="1">IF(DcI!N45="X","X",IF(LEN(DcI!N45)=3,CONCATENATE("0",LEFT(DcI!N45,1)),IF(LEN(DcI!N45)=5,LEFT(DcI!N45,2),IF(MID(DcI!N45,2,1)="•",CONCATENATE("0",LEFT(DcI!N45,1)),LEFT(DcI!N45,2)))))</f>
        <v/>
      </c>
      <c r="BN45" s="28" t="str">
        <f ca="1">IF(DcI!O45="X","X",IF(LEN(DcI!O45)=3,CONCATENATE("0",LEFT(DcI!O45,1)),IF(LEN(DcI!O45)=5,LEFT(DcI!O45,2),IF(MID(DcI!O45,2,1)="•",CONCATENATE("0",LEFT(DcI!O45,1)),LEFT(DcI!O45,2)))))</f>
        <v/>
      </c>
      <c r="BO45" s="28" t="str">
        <f ca="1">IF(DcI!P45="X","X",IF(LEN(DcI!P45)=3,CONCATENATE("0",LEFT(DcI!P45,1)),IF(LEN(DcI!P45)=5,LEFT(DcI!P45,2),IF(MID(DcI!P45,2,1)="•",CONCATENATE("0",LEFT(DcI!P45,1)),LEFT(DcI!P45,2)))))</f>
        <v/>
      </c>
      <c r="BP45" s="28" t="str">
        <f ca="1">IF(DcI!Q45="X","X",IF(LEN(DcI!Q45)=3,CONCATENATE("0",LEFT(DcI!Q45,1)),IF(LEN(DcI!Q45)=5,LEFT(DcI!Q45,2),IF(MID(DcI!Q45,2,1)="•",CONCATENATE("0",LEFT(DcI!Q45,1)),LEFT(DcI!Q45,2)))))</f>
        <v/>
      </c>
      <c r="BQ45" s="28" t="str">
        <f ca="1">IF(DcI!R45="X","X",IF(LEN(DcI!R45)=3,CONCATENATE("0",LEFT(DcI!R45,1)),IF(LEN(DcI!R45)=5,LEFT(DcI!R45,2),IF(MID(DcI!R45,2,1)="•",CONCATENATE("0",LEFT(DcI!R45,1)),LEFT(DcI!R45,2)))))</f>
        <v/>
      </c>
      <c r="BR45" s="28" t="str">
        <f ca="1">IF(DcI!S45="X","X",IF(LEN(DcI!S45)=3,CONCATENATE("0",LEFT(DcI!S45,1)),IF(LEN(DcI!S45)=5,LEFT(DcI!S45,2),IF(MID(DcI!S45,2,1)="•",CONCATENATE("0",LEFT(DcI!S45,1)),LEFT(DcI!S45,2)))))</f>
        <v/>
      </c>
      <c r="BS45" s="28" t="str">
        <f ca="1">IF(DcI!T45="X","X",IF(LEN(DcI!T45)=3,CONCATENATE("0",LEFT(DcI!T45,1)),IF(LEN(DcI!T45)=5,LEFT(DcI!T45,2),IF(MID(DcI!T45,2,1)="•",CONCATENATE("0",LEFT(DcI!T45,1)),LEFT(DcI!T45,2)))))</f>
        <v/>
      </c>
      <c r="BT45" s="28" t="str">
        <f ca="1">IF(DcI!U45="X","X",IF(LEN(DcI!U45)=3,CONCATENATE("0",LEFT(DcI!U45,1)),IF(LEN(DcI!U45)=5,LEFT(DcI!U45,2),IF(MID(DcI!U45,2,1)="•",CONCATENATE("0",LEFT(DcI!U45,1)),LEFT(DcI!U45,2)))))</f>
        <v/>
      </c>
      <c r="BU45" s="28" t="str">
        <f ca="1">IF(DcI!V45="X","X",IF(LEN(DcI!V45)=3,CONCATENATE("0",LEFT(DcI!V45,1)),IF(LEN(DcI!V45)=5,LEFT(DcI!V45,2),IF(MID(DcI!V45,2,1)="•",CONCATENATE("0",LEFT(DcI!V45,1)),LEFT(DcI!V45,2)))))</f>
        <v/>
      </c>
      <c r="BV45" s="28" t="str">
        <f ca="1">IF(DcI!W45="X","X",IF(LEN(DcI!W45)=3,CONCATENATE("0",LEFT(DcI!W45,1)),IF(LEN(DcI!W45)=5,LEFT(DcI!W45,2),IF(MID(DcI!W45,2,1)="•",CONCATENATE("0",LEFT(DcI!W45,1)),LEFT(DcI!W45,2)))))</f>
        <v/>
      </c>
      <c r="BW45" s="28" t="str">
        <f ca="1">IF(DcI!X45="X","X",IF(LEN(DcI!X45)=3,CONCATENATE("0",LEFT(DcI!X45,1)),IF(LEN(DcI!X45)=5,LEFT(DcI!X45,2),IF(MID(DcI!X45,2,1)="•",CONCATENATE("0",LEFT(DcI!X45,1)),LEFT(DcI!X45,2)))))</f>
        <v/>
      </c>
      <c r="BX45" s="28" t="str">
        <f ca="1">IF(DcI!Y45="X","X",IF(LEN(DcI!Y45)=3,CONCATENATE("0",LEFT(DcI!Y45,1)),IF(LEN(DcI!Y45)=5,LEFT(DcI!Y45,2),IF(MID(DcI!Y45,2,1)="•",CONCATENATE("0",LEFT(DcI!Y45,1)),LEFT(DcI!Y45,2)))))</f>
        <v/>
      </c>
      <c r="BY45" s="28" t="str">
        <f ca="1">IF(DcI!Z45="X","X",IF(LEN(DcI!Z45)=3,CONCATENATE("0",LEFT(DcI!Z45,1)),IF(LEN(DcI!Z45)=5,LEFT(DcI!Z45,2),IF(MID(DcI!Z45,2,1)="•",CONCATENATE("0",LEFT(DcI!Z45,1)),LEFT(DcI!Z45,2)))))</f>
        <v/>
      </c>
      <c r="BZ45" s="28" t="str">
        <f ca="1">IF(DcI!AA45="X","X",IF(LEN(DcI!AA45)=3,CONCATENATE("0",LEFT(DcI!AA45,1)),IF(LEN(DcI!AA45)=5,LEFT(DcI!AA45,2),IF(MID(DcI!AA45,2,1)="•",CONCATENATE("0",LEFT(DcI!AA45,1)),LEFT(DcI!AA45,2)))))</f>
        <v/>
      </c>
      <c r="CA45" s="28" t="str">
        <f ca="1">IF(DcI!AB45="X","X",IF(LEN(DcI!AB45)=3,CONCATENATE("0",LEFT(DcI!AB45,1)),IF(LEN(DcI!AB45)=5,LEFT(DcI!AB45,2),IF(MID(DcI!AB45,2,1)="•",CONCATENATE("0",LEFT(DcI!AB45,1)),LEFT(DcI!AB45,2)))))</f>
        <v/>
      </c>
      <c r="CB45" s="28" t="str">
        <f ca="1">IF(DcI!AC45="X","X",IF(LEN(DcI!AC45)=3,CONCATENATE("0",LEFT(DcI!AC45,1)),IF(LEN(DcI!AC45)=5,LEFT(DcI!AC45,2),IF(MID(DcI!AC45,2,1)="•",CONCATENATE("0",LEFT(DcI!AC45,1)),LEFT(DcI!AC45,2)))))</f>
        <v/>
      </c>
      <c r="CC45" s="28" t="str">
        <f ca="1">IF(DcI!AD45="X","X",IF(LEN(DcI!AD45)=3,CONCATENATE("0",LEFT(DcI!AD45,1)),IF(LEN(DcI!AD45)=5,LEFT(DcI!AD45,2),IF(MID(DcI!AD45,2,1)="•",CONCATENATE("0",LEFT(DcI!AD45,1)),LEFT(DcI!AD45,2)))))</f>
        <v/>
      </c>
      <c r="CD45" s="28" t="str">
        <f ca="1">IF(DcI!AE45="X","X",IF(LEN(DcI!AE45)=3,CONCATENATE("0",LEFT(DcI!AE45,1)),IF(LEN(DcI!AE45)=5,LEFT(DcI!AE45,2),IF(MID(DcI!AE45,2,1)="•",CONCATENATE("0",LEFT(DcI!AE45,1)),LEFT(DcI!AE45,2)))))</f>
        <v/>
      </c>
      <c r="CE45" s="28" t="str">
        <f ca="1">IF(DcI!AF45="X","X",IF(LEN(DcI!AF45)=3,CONCATENATE("0",LEFT(DcI!AF45,1)),IF(LEN(DcI!AF45)=5,LEFT(DcI!AF45,2),IF(MID(DcI!AF45,2,1)="•",CONCATENATE("0",LEFT(DcI!AF45,1)),LEFT(DcI!AF45,2)))))</f>
        <v/>
      </c>
      <c r="CF45" s="28" t="str">
        <f ca="1">IF(DcI!AG45="X","X",IF(LEN(DcI!AG45)=3,CONCATENATE("0",LEFT(DcI!AG45,1)),IF(LEN(DcI!AG45)=5,LEFT(DcI!AG45,2),IF(MID(DcI!AG45,2,1)="•",CONCATENATE("0",LEFT(DcI!AG45,1)),LEFT(DcI!AG45,2)))))</f>
        <v/>
      </c>
      <c r="CG45" s="28" t="str">
        <f ca="1">IF(DcI!AH45="X","X",IF(LEN(DcI!AH45)=3,CONCATENATE("0",LEFT(DcI!AH45,1)),IF(LEN(DcI!AH45)=5,LEFT(DcI!AH45,2),IF(MID(DcI!AH45,2,1)="•",CONCATENATE("0",LEFT(DcI!AH45,1)),LEFT(DcI!AH45,2)))))</f>
        <v/>
      </c>
      <c r="CH45" s="28" t="str">
        <f ca="1">IF(DcI!AI45="X","X",IF(LEN(DcI!AI45)=3,CONCATENATE("0",LEFT(DcI!AI45,1)),IF(LEN(DcI!AI45)=5,LEFT(DcI!AI45,2),IF(MID(DcI!AI45,2,1)="•",CONCATENATE("0",LEFT(DcI!AI45,1)),LEFT(DcI!AI45,2)))))</f>
        <v/>
      </c>
      <c r="CI45" s="28" t="str">
        <f ca="1">IF(DcI!AJ45="X","X",IF(LEN(DcI!AJ45)=3,CONCATENATE("0",LEFT(DcI!AJ45,1)),IF(LEN(DcI!AJ45)=5,LEFT(DcI!AJ45,2),IF(MID(DcI!AJ45,2,1)="•",CONCATENATE("0",LEFT(DcI!AJ45,1)),LEFT(DcI!AJ45,2)))))</f>
        <v/>
      </c>
      <c r="CJ45" s="28" t="str">
        <f ca="1">IF(DcI!AK45="X","X",IF(LEN(DcI!AK45)=3,CONCATENATE("0",LEFT(DcI!AK45,1)),IF(LEN(DcI!AK45)=5,LEFT(DcI!AK45,2),IF(MID(DcI!AK45,2,1)="•",CONCATENATE("0",LEFT(DcI!AK45,1)),LEFT(DcI!AK45,2)))))</f>
        <v/>
      </c>
      <c r="CK45" s="347" t="str">
        <f ca="1">IF(DcI!AL45="X","X",IF(LEN(DcI!AL45)=3,CONCATENATE("0",LEFT(DcI!AL45,1)),IF(LEN(DcI!AL45)=5,LEFT(DcI!AL45,2),IF(MID(DcI!AL45,2,1)="•",CONCATENATE("0",LEFT(DcI!AL45,1)),LEFT(DcI!AL45,2)))))</f>
        <v/>
      </c>
      <c r="CL45" s="28" t="str">
        <f t="shared" ca="1" si="19"/>
        <v/>
      </c>
      <c r="CM45" s="28" t="str">
        <f t="shared" ca="1" si="19"/>
        <v/>
      </c>
      <c r="CN45" s="28" t="str">
        <f t="shared" ca="1" si="19"/>
        <v/>
      </c>
      <c r="CO45" s="28" t="str">
        <f t="shared" ca="1" si="19"/>
        <v/>
      </c>
      <c r="CP45" s="28" t="str">
        <f t="shared" ca="1" si="19"/>
        <v/>
      </c>
      <c r="CQ45" s="28" t="str">
        <f t="shared" ca="1" si="19"/>
        <v/>
      </c>
      <c r="CR45" s="28" t="str">
        <f t="shared" ca="1" si="19"/>
        <v/>
      </c>
      <c r="CS45" s="28" t="str">
        <f t="shared" ca="1" si="19"/>
        <v/>
      </c>
      <c r="CT45" s="28" t="str">
        <f t="shared" ca="1" si="19"/>
        <v/>
      </c>
      <c r="CU45" s="28" t="str">
        <f t="shared" ca="1" si="19"/>
        <v/>
      </c>
      <c r="CV45" s="346" t="str">
        <f t="shared" ca="1" si="19"/>
        <v/>
      </c>
    </row>
    <row r="46" spans="2:100" ht="15">
      <c r="B46" s="63" t="str">
        <v>CL</v>
      </c>
      <c r="C46" s="16" t="str">
        <f t="shared" si="8"/>
        <v>CL11:CL56</v>
      </c>
      <c r="D46" s="342" t="str">
        <f t="shared" ca="1" si="9"/>
        <v/>
      </c>
      <c r="E46" s="349" t="str">
        <f t="shared" ca="1" si="10"/>
        <v>ng</v>
      </c>
      <c r="F46" s="349" t="str">
        <f t="shared" ca="1" si="21"/>
        <v>ng</v>
      </c>
      <c r="G46" s="349" t="str">
        <f t="shared" ca="1" si="21"/>
        <v>ng</v>
      </c>
      <c r="H46" s="349" t="str">
        <f t="shared" ca="1" si="21"/>
        <v>ng</v>
      </c>
      <c r="I46" s="349" t="str">
        <f t="shared" ca="1" si="21"/>
        <v>ng</v>
      </c>
      <c r="J46" s="349" t="str">
        <f t="shared" ca="1" si="21"/>
        <v>ng</v>
      </c>
      <c r="K46" s="349" t="str">
        <f t="shared" ca="1" si="21"/>
        <v>ng</v>
      </c>
      <c r="L46" s="349" t="str">
        <f t="shared" ca="1" si="21"/>
        <v>ng</v>
      </c>
      <c r="M46" s="349" t="str">
        <f t="shared" ca="1" si="21"/>
        <v>ng</v>
      </c>
      <c r="N46" s="349" t="str">
        <f t="shared" ca="1" si="21"/>
        <v>ng</v>
      </c>
      <c r="O46" s="349" t="str">
        <f t="shared" ca="1" si="21"/>
        <v>ng</v>
      </c>
      <c r="P46" s="349" t="str">
        <f t="shared" ca="1" si="21"/>
        <v>ng</v>
      </c>
      <c r="Q46" s="349" t="str">
        <f t="shared" ca="1" si="21"/>
        <v>ng</v>
      </c>
      <c r="R46" s="349" t="str">
        <f t="shared" ca="1" si="21"/>
        <v>ng</v>
      </c>
      <c r="S46" s="349" t="str">
        <f t="shared" ca="1" si="21"/>
        <v>ng</v>
      </c>
      <c r="T46" s="349" t="str">
        <f t="shared" ca="1" si="21"/>
        <v>ng</v>
      </c>
      <c r="U46" s="349" t="str">
        <f t="shared" ca="1" si="21"/>
        <v>ng</v>
      </c>
      <c r="V46" s="349" t="str">
        <f t="shared" ca="1" si="21"/>
        <v>ng</v>
      </c>
      <c r="W46" s="349" t="str">
        <f t="shared" ca="1" si="21"/>
        <v>ng</v>
      </c>
      <c r="X46" s="349" t="str">
        <f t="shared" ca="1" si="21"/>
        <v>ng</v>
      </c>
      <c r="Y46" s="349" t="str">
        <f t="shared" ca="1" si="21"/>
        <v>ng</v>
      </c>
      <c r="Z46" s="349" t="str">
        <f t="shared" ca="1" si="21"/>
        <v>ng</v>
      </c>
      <c r="AA46" s="349" t="str">
        <f t="shared" ca="1" si="21"/>
        <v>ng</v>
      </c>
      <c r="AB46" s="349" t="str">
        <f t="shared" ca="1" si="21"/>
        <v>ng</v>
      </c>
      <c r="AC46" s="349" t="str">
        <f t="shared" ca="1" si="21"/>
        <v>ng</v>
      </c>
      <c r="AD46" s="349" t="str">
        <f t="shared" ca="1" si="21"/>
        <v>ng</v>
      </c>
      <c r="AE46" s="349" t="str">
        <f t="shared" ca="1" si="21"/>
        <v>ng</v>
      </c>
      <c r="AF46" s="349" t="str">
        <f t="shared" ca="1" si="21"/>
        <v>ng</v>
      </c>
      <c r="AG46" s="349" t="str">
        <f t="shared" ca="1" si="21"/>
        <v>ng</v>
      </c>
      <c r="AH46" s="349" t="str">
        <f t="shared" ca="1" si="21"/>
        <v>ng</v>
      </c>
      <c r="AI46" s="349" t="str">
        <f t="shared" ca="1" si="21"/>
        <v>ng</v>
      </c>
      <c r="AJ46" s="349" t="str">
        <f t="shared" ca="1" si="21"/>
        <v>ng</v>
      </c>
      <c r="AK46" s="349" t="str">
        <f t="shared" ca="1" si="21"/>
        <v>ng</v>
      </c>
      <c r="AL46" s="349" t="str">
        <f t="shared" ca="1" si="22"/>
        <v>ng</v>
      </c>
      <c r="AM46" s="349" t="str">
        <f t="shared" ca="1" si="22"/>
        <v>ng</v>
      </c>
      <c r="AN46" s="349" t="str">
        <f t="shared" ca="1" si="22"/>
        <v>ng</v>
      </c>
      <c r="AO46" s="349" t="str">
        <f t="shared" ca="1" si="22"/>
        <v>ng</v>
      </c>
      <c r="AP46" s="349" t="str">
        <f t="shared" ca="1" si="22"/>
        <v>ng</v>
      </c>
      <c r="AQ46" s="349" t="str">
        <f t="shared" ca="1" si="22"/>
        <v>ng</v>
      </c>
      <c r="AR46" s="350" t="str">
        <f t="shared" ca="1" si="22"/>
        <v>ng</v>
      </c>
      <c r="BA46" s="16" t="str">
        <v>CL</v>
      </c>
      <c r="BB46" s="342" t="str">
        <f ca="1">DcI!C46</f>
        <v/>
      </c>
      <c r="BC46" s="28" t="str">
        <f ca="1">IF(DcI!D46="X","X",IF(LEN(DcI!D46)=3,CONCATENATE("0",LEFT(DcI!D46,1)),IF(LEN(DcI!D46)=5,LEFT(DcI!D46,2),IF(MID(DcI!D46,2,1)="•",CONCATENATE("0",LEFT(DcI!D46,1)),LEFT(DcI!D46,2)))))</f>
        <v/>
      </c>
      <c r="BD46" s="28" t="str">
        <f ca="1">IF(DcI!E46="X","X",IF(LEN(DcI!E46)=3,CONCATENATE("0",LEFT(DcI!E46,1)),IF(LEN(DcI!E46)=5,LEFT(DcI!E46,2),IF(MID(DcI!E46,2,1)="•",CONCATENATE("0",LEFT(DcI!E46,1)),LEFT(DcI!E46,2)))))</f>
        <v/>
      </c>
      <c r="BE46" s="28" t="str">
        <f ca="1">IF(DcI!F46="X","X",IF(LEN(DcI!F46)=3,CONCATENATE("0",LEFT(DcI!F46,1)),IF(LEN(DcI!F46)=5,LEFT(DcI!F46,2),IF(MID(DcI!F46,2,1)="•",CONCATENATE("0",LEFT(DcI!F46,1)),LEFT(DcI!F46,2)))))</f>
        <v/>
      </c>
      <c r="BF46" s="28" t="str">
        <f ca="1">IF(DcI!G46="X","X",IF(LEN(DcI!G46)=3,CONCATENATE("0",LEFT(DcI!G46,1)),IF(LEN(DcI!G46)=5,LEFT(DcI!G46,2),IF(MID(DcI!G46,2,1)="•",CONCATENATE("0",LEFT(DcI!G46,1)),LEFT(DcI!G46,2)))))</f>
        <v/>
      </c>
      <c r="BG46" s="28" t="str">
        <f ca="1">IF(DcI!H46="X","X",IF(LEN(DcI!H46)=3,CONCATENATE("0",LEFT(DcI!H46,1)),IF(LEN(DcI!H46)=5,LEFT(DcI!H46,2),IF(MID(DcI!H46,2,1)="•",CONCATENATE("0",LEFT(DcI!H46,1)),LEFT(DcI!H46,2)))))</f>
        <v/>
      </c>
      <c r="BH46" s="28" t="str">
        <f ca="1">IF(DcI!I46="X","X",IF(LEN(DcI!I46)=3,CONCATENATE("0",LEFT(DcI!I46,1)),IF(LEN(DcI!I46)=5,LEFT(DcI!I46,2),IF(MID(DcI!I46,2,1)="•",CONCATENATE("0",LEFT(DcI!I46,1)),LEFT(DcI!I46,2)))))</f>
        <v/>
      </c>
      <c r="BI46" s="28" t="str">
        <f ca="1">IF(DcI!J46="X","X",IF(LEN(DcI!J46)=3,CONCATENATE("0",LEFT(DcI!J46,1)),IF(LEN(DcI!J46)=5,LEFT(DcI!J46,2),IF(MID(DcI!J46,2,1)="•",CONCATENATE("0",LEFT(DcI!J46,1)),LEFT(DcI!J46,2)))))</f>
        <v/>
      </c>
      <c r="BJ46" s="28" t="str">
        <f ca="1">IF(DcI!K46="X","X",IF(LEN(DcI!K46)=3,CONCATENATE("0",LEFT(DcI!K46,1)),IF(LEN(DcI!K46)=5,LEFT(DcI!K46,2),IF(MID(DcI!K46,2,1)="•",CONCATENATE("0",LEFT(DcI!K46,1)),LEFT(DcI!K46,2)))))</f>
        <v/>
      </c>
      <c r="BK46" s="28" t="str">
        <f ca="1">IF(DcI!L46="X","X",IF(LEN(DcI!L46)=3,CONCATENATE("0",LEFT(DcI!L46,1)),IF(LEN(DcI!L46)=5,LEFT(DcI!L46,2),IF(MID(DcI!L46,2,1)="•",CONCATENATE("0",LEFT(DcI!L46,1)),LEFT(DcI!L46,2)))))</f>
        <v/>
      </c>
      <c r="BL46" s="28" t="str">
        <f ca="1">IF(DcI!M46="X","X",IF(LEN(DcI!M46)=3,CONCATENATE("0",LEFT(DcI!M46,1)),IF(LEN(DcI!M46)=5,LEFT(DcI!M46,2),IF(MID(DcI!M46,2,1)="•",CONCATENATE("0",LEFT(DcI!M46,1)),LEFT(DcI!M46,2)))))</f>
        <v/>
      </c>
      <c r="BM46" s="28" t="str">
        <f ca="1">IF(DcI!N46="X","X",IF(LEN(DcI!N46)=3,CONCATENATE("0",LEFT(DcI!N46,1)),IF(LEN(DcI!N46)=5,LEFT(DcI!N46,2),IF(MID(DcI!N46,2,1)="•",CONCATENATE("0",LEFT(DcI!N46,1)),LEFT(DcI!N46,2)))))</f>
        <v/>
      </c>
      <c r="BN46" s="28" t="str">
        <f ca="1">IF(DcI!O46="X","X",IF(LEN(DcI!O46)=3,CONCATENATE("0",LEFT(DcI!O46,1)),IF(LEN(DcI!O46)=5,LEFT(DcI!O46,2),IF(MID(DcI!O46,2,1)="•",CONCATENATE("0",LEFT(DcI!O46,1)),LEFT(DcI!O46,2)))))</f>
        <v/>
      </c>
      <c r="BO46" s="28" t="str">
        <f ca="1">IF(DcI!P46="X","X",IF(LEN(DcI!P46)=3,CONCATENATE("0",LEFT(DcI!P46,1)),IF(LEN(DcI!P46)=5,LEFT(DcI!P46,2),IF(MID(DcI!P46,2,1)="•",CONCATENATE("0",LEFT(DcI!P46,1)),LEFT(DcI!P46,2)))))</f>
        <v/>
      </c>
      <c r="BP46" s="28" t="str">
        <f ca="1">IF(DcI!Q46="X","X",IF(LEN(DcI!Q46)=3,CONCATENATE("0",LEFT(DcI!Q46,1)),IF(LEN(DcI!Q46)=5,LEFT(DcI!Q46,2),IF(MID(DcI!Q46,2,1)="•",CONCATENATE("0",LEFT(DcI!Q46,1)),LEFT(DcI!Q46,2)))))</f>
        <v/>
      </c>
      <c r="BQ46" s="28" t="str">
        <f ca="1">IF(DcI!R46="X","X",IF(LEN(DcI!R46)=3,CONCATENATE("0",LEFT(DcI!R46,1)),IF(LEN(DcI!R46)=5,LEFT(DcI!R46,2),IF(MID(DcI!R46,2,1)="•",CONCATENATE("0",LEFT(DcI!R46,1)),LEFT(DcI!R46,2)))))</f>
        <v/>
      </c>
      <c r="BR46" s="28" t="str">
        <f ca="1">IF(DcI!S46="X","X",IF(LEN(DcI!S46)=3,CONCATENATE("0",LEFT(DcI!S46,1)),IF(LEN(DcI!S46)=5,LEFT(DcI!S46,2),IF(MID(DcI!S46,2,1)="•",CONCATENATE("0",LEFT(DcI!S46,1)),LEFT(DcI!S46,2)))))</f>
        <v/>
      </c>
      <c r="BS46" s="28" t="str">
        <f ca="1">IF(DcI!T46="X","X",IF(LEN(DcI!T46)=3,CONCATENATE("0",LEFT(DcI!T46,1)),IF(LEN(DcI!T46)=5,LEFT(DcI!T46,2),IF(MID(DcI!T46,2,1)="•",CONCATENATE("0",LEFT(DcI!T46,1)),LEFT(DcI!T46,2)))))</f>
        <v/>
      </c>
      <c r="BT46" s="28" t="str">
        <f ca="1">IF(DcI!U46="X","X",IF(LEN(DcI!U46)=3,CONCATENATE("0",LEFT(DcI!U46,1)),IF(LEN(DcI!U46)=5,LEFT(DcI!U46,2),IF(MID(DcI!U46,2,1)="•",CONCATENATE("0",LEFT(DcI!U46,1)),LEFT(DcI!U46,2)))))</f>
        <v/>
      </c>
      <c r="BU46" s="28" t="str">
        <f ca="1">IF(DcI!V46="X","X",IF(LEN(DcI!V46)=3,CONCATENATE("0",LEFT(DcI!V46,1)),IF(LEN(DcI!V46)=5,LEFT(DcI!V46,2),IF(MID(DcI!V46,2,1)="•",CONCATENATE("0",LEFT(DcI!V46,1)),LEFT(DcI!V46,2)))))</f>
        <v/>
      </c>
      <c r="BV46" s="28" t="str">
        <f ca="1">IF(DcI!W46="X","X",IF(LEN(DcI!W46)=3,CONCATENATE("0",LEFT(DcI!W46,1)),IF(LEN(DcI!W46)=5,LEFT(DcI!W46,2),IF(MID(DcI!W46,2,1)="•",CONCATENATE("0",LEFT(DcI!W46,1)),LEFT(DcI!W46,2)))))</f>
        <v/>
      </c>
      <c r="BW46" s="28" t="str">
        <f ca="1">IF(DcI!X46="X","X",IF(LEN(DcI!X46)=3,CONCATENATE("0",LEFT(DcI!X46,1)),IF(LEN(DcI!X46)=5,LEFT(DcI!X46,2),IF(MID(DcI!X46,2,1)="•",CONCATENATE("0",LEFT(DcI!X46,1)),LEFT(DcI!X46,2)))))</f>
        <v/>
      </c>
      <c r="BX46" s="28" t="str">
        <f ca="1">IF(DcI!Y46="X","X",IF(LEN(DcI!Y46)=3,CONCATENATE("0",LEFT(DcI!Y46,1)),IF(LEN(DcI!Y46)=5,LEFT(DcI!Y46,2),IF(MID(DcI!Y46,2,1)="•",CONCATENATE("0",LEFT(DcI!Y46,1)),LEFT(DcI!Y46,2)))))</f>
        <v/>
      </c>
      <c r="BY46" s="28" t="str">
        <f ca="1">IF(DcI!Z46="X","X",IF(LEN(DcI!Z46)=3,CONCATENATE("0",LEFT(DcI!Z46,1)),IF(LEN(DcI!Z46)=5,LEFT(DcI!Z46,2),IF(MID(DcI!Z46,2,1)="•",CONCATENATE("0",LEFT(DcI!Z46,1)),LEFT(DcI!Z46,2)))))</f>
        <v/>
      </c>
      <c r="BZ46" s="28" t="str">
        <f ca="1">IF(DcI!AA46="X","X",IF(LEN(DcI!AA46)=3,CONCATENATE("0",LEFT(DcI!AA46,1)),IF(LEN(DcI!AA46)=5,LEFT(DcI!AA46,2),IF(MID(DcI!AA46,2,1)="•",CONCATENATE("0",LEFT(DcI!AA46,1)),LEFT(DcI!AA46,2)))))</f>
        <v/>
      </c>
      <c r="CA46" s="28" t="str">
        <f ca="1">IF(DcI!AB46="X","X",IF(LEN(DcI!AB46)=3,CONCATENATE("0",LEFT(DcI!AB46,1)),IF(LEN(DcI!AB46)=5,LEFT(DcI!AB46,2),IF(MID(DcI!AB46,2,1)="•",CONCATENATE("0",LEFT(DcI!AB46,1)),LEFT(DcI!AB46,2)))))</f>
        <v/>
      </c>
      <c r="CB46" s="28" t="str">
        <f ca="1">IF(DcI!AC46="X","X",IF(LEN(DcI!AC46)=3,CONCATENATE("0",LEFT(DcI!AC46,1)),IF(LEN(DcI!AC46)=5,LEFT(DcI!AC46,2),IF(MID(DcI!AC46,2,1)="•",CONCATENATE("0",LEFT(DcI!AC46,1)),LEFT(DcI!AC46,2)))))</f>
        <v/>
      </c>
      <c r="CC46" s="28" t="str">
        <f ca="1">IF(DcI!AD46="X","X",IF(LEN(DcI!AD46)=3,CONCATENATE("0",LEFT(DcI!AD46,1)),IF(LEN(DcI!AD46)=5,LEFT(DcI!AD46,2),IF(MID(DcI!AD46,2,1)="•",CONCATENATE("0",LEFT(DcI!AD46,1)),LEFT(DcI!AD46,2)))))</f>
        <v/>
      </c>
      <c r="CD46" s="28" t="str">
        <f ca="1">IF(DcI!AE46="X","X",IF(LEN(DcI!AE46)=3,CONCATENATE("0",LEFT(DcI!AE46,1)),IF(LEN(DcI!AE46)=5,LEFT(DcI!AE46,2),IF(MID(DcI!AE46,2,1)="•",CONCATENATE("0",LEFT(DcI!AE46,1)),LEFT(DcI!AE46,2)))))</f>
        <v/>
      </c>
      <c r="CE46" s="28" t="str">
        <f ca="1">IF(DcI!AF46="X","X",IF(LEN(DcI!AF46)=3,CONCATENATE("0",LEFT(DcI!AF46,1)),IF(LEN(DcI!AF46)=5,LEFT(DcI!AF46,2),IF(MID(DcI!AF46,2,1)="•",CONCATENATE("0",LEFT(DcI!AF46,1)),LEFT(DcI!AF46,2)))))</f>
        <v/>
      </c>
      <c r="CF46" s="28" t="str">
        <f ca="1">IF(DcI!AG46="X","X",IF(LEN(DcI!AG46)=3,CONCATENATE("0",LEFT(DcI!AG46,1)),IF(LEN(DcI!AG46)=5,LEFT(DcI!AG46,2),IF(MID(DcI!AG46,2,1)="•",CONCATENATE("0",LEFT(DcI!AG46,1)),LEFT(DcI!AG46,2)))))</f>
        <v/>
      </c>
      <c r="CG46" s="28" t="str">
        <f ca="1">IF(DcI!AH46="X","X",IF(LEN(DcI!AH46)=3,CONCATENATE("0",LEFT(DcI!AH46,1)),IF(LEN(DcI!AH46)=5,LEFT(DcI!AH46,2),IF(MID(DcI!AH46,2,1)="•",CONCATENATE("0",LEFT(DcI!AH46,1)),LEFT(DcI!AH46,2)))))</f>
        <v/>
      </c>
      <c r="CH46" s="28" t="str">
        <f ca="1">IF(DcI!AI46="X","X",IF(LEN(DcI!AI46)=3,CONCATENATE("0",LEFT(DcI!AI46,1)),IF(LEN(DcI!AI46)=5,LEFT(DcI!AI46,2),IF(MID(DcI!AI46,2,1)="•",CONCATENATE("0",LEFT(DcI!AI46,1)),LEFT(DcI!AI46,2)))))</f>
        <v/>
      </c>
      <c r="CI46" s="28" t="str">
        <f ca="1">IF(DcI!AJ46="X","X",IF(LEN(DcI!AJ46)=3,CONCATENATE("0",LEFT(DcI!AJ46,1)),IF(LEN(DcI!AJ46)=5,LEFT(DcI!AJ46,2),IF(MID(DcI!AJ46,2,1)="•",CONCATENATE("0",LEFT(DcI!AJ46,1)),LEFT(DcI!AJ46,2)))))</f>
        <v/>
      </c>
      <c r="CJ46" s="28" t="str">
        <f ca="1">IF(DcI!AK46="X","X",IF(LEN(DcI!AK46)=3,CONCATENATE("0",LEFT(DcI!AK46,1)),IF(LEN(DcI!AK46)=5,LEFT(DcI!AK46,2),IF(MID(DcI!AK46,2,1)="•",CONCATENATE("0",LEFT(DcI!AK46,1)),LEFT(DcI!AK46,2)))))</f>
        <v/>
      </c>
      <c r="CK46" s="28" t="str">
        <f ca="1">IF(DcI!AL46="X","X",IF(LEN(DcI!AL46)=3,CONCATENATE("0",LEFT(DcI!AL46,1)),IF(LEN(DcI!AL46)=5,LEFT(DcI!AL46,2),IF(MID(DcI!AL46,2,1)="•",CONCATENATE("0",LEFT(DcI!AL46,1)),LEFT(DcI!AL46,2)))))</f>
        <v/>
      </c>
      <c r="CL46" s="347" t="str">
        <f ca="1">IF(DcI!AM46="X","X",IF(LEN(DcI!AM46)=3,CONCATENATE("0",LEFT(DcI!AM46,1)),IF(LEN(DcI!AM46)=5,LEFT(DcI!AM46,2),IF(MID(DcI!AM46,2,1)="•",CONCATENATE("0",LEFT(DcI!AM46,1)),LEFT(DcI!AM46,2)))))</f>
        <v/>
      </c>
      <c r="CM46" s="28" t="str">
        <f t="shared" ref="CM46:CV55" ca="1" si="23">INDIRECT(CONCATENATE($BA46,CM$5))</f>
        <v/>
      </c>
      <c r="CN46" s="28" t="str">
        <f t="shared" ca="1" si="23"/>
        <v/>
      </c>
      <c r="CO46" s="28" t="str">
        <f t="shared" ca="1" si="23"/>
        <v/>
      </c>
      <c r="CP46" s="28" t="str">
        <f t="shared" ca="1" si="23"/>
        <v/>
      </c>
      <c r="CQ46" s="28" t="str">
        <f t="shared" ca="1" si="23"/>
        <v/>
      </c>
      <c r="CR46" s="28" t="str">
        <f t="shared" ca="1" si="23"/>
        <v/>
      </c>
      <c r="CS46" s="28" t="str">
        <f t="shared" ca="1" si="23"/>
        <v/>
      </c>
      <c r="CT46" s="28" t="str">
        <f t="shared" ca="1" si="23"/>
        <v/>
      </c>
      <c r="CU46" s="28" t="str">
        <f t="shared" ca="1" si="23"/>
        <v/>
      </c>
      <c r="CV46" s="346" t="str">
        <f t="shared" ca="1" si="23"/>
        <v/>
      </c>
    </row>
    <row r="47" spans="2:100" ht="15">
      <c r="B47" s="63" t="str">
        <v>CM</v>
      </c>
      <c r="C47" s="16" t="str">
        <f t="shared" si="8"/>
        <v>CM11:CM56</v>
      </c>
      <c r="D47" s="342" t="str">
        <f t="shared" ca="1" si="9"/>
        <v/>
      </c>
      <c r="E47" s="349" t="str">
        <f t="shared" ca="1" si="10"/>
        <v>ng</v>
      </c>
      <c r="F47" s="349" t="str">
        <f t="shared" ca="1" si="21"/>
        <v>ng</v>
      </c>
      <c r="G47" s="349" t="str">
        <f t="shared" ca="1" si="21"/>
        <v>ng</v>
      </c>
      <c r="H47" s="349" t="str">
        <f t="shared" ca="1" si="21"/>
        <v>ng</v>
      </c>
      <c r="I47" s="349" t="str">
        <f t="shared" ca="1" si="21"/>
        <v>ng</v>
      </c>
      <c r="J47" s="349" t="str">
        <f t="shared" ca="1" si="21"/>
        <v>ng</v>
      </c>
      <c r="K47" s="349" t="str">
        <f t="shared" ca="1" si="21"/>
        <v>ng</v>
      </c>
      <c r="L47" s="349" t="str">
        <f t="shared" ca="1" si="21"/>
        <v>ng</v>
      </c>
      <c r="M47" s="349" t="str">
        <f t="shared" ca="1" si="21"/>
        <v>ng</v>
      </c>
      <c r="N47" s="349" t="str">
        <f t="shared" ca="1" si="21"/>
        <v>ng</v>
      </c>
      <c r="O47" s="349" t="str">
        <f t="shared" ca="1" si="21"/>
        <v>ng</v>
      </c>
      <c r="P47" s="349" t="str">
        <f t="shared" ca="1" si="21"/>
        <v>ng</v>
      </c>
      <c r="Q47" s="349" t="str">
        <f t="shared" ca="1" si="21"/>
        <v>ng</v>
      </c>
      <c r="R47" s="349" t="str">
        <f t="shared" ca="1" si="21"/>
        <v>ng</v>
      </c>
      <c r="S47" s="349" t="str">
        <f t="shared" ca="1" si="21"/>
        <v>ng</v>
      </c>
      <c r="T47" s="349" t="str">
        <f t="shared" ca="1" si="21"/>
        <v>ng</v>
      </c>
      <c r="U47" s="349" t="str">
        <f t="shared" ca="1" si="21"/>
        <v>ng</v>
      </c>
      <c r="V47" s="349" t="str">
        <f t="shared" ca="1" si="21"/>
        <v>ng</v>
      </c>
      <c r="W47" s="349" t="str">
        <f t="shared" ca="1" si="21"/>
        <v>ng</v>
      </c>
      <c r="X47" s="349" t="str">
        <f t="shared" ca="1" si="21"/>
        <v>ng</v>
      </c>
      <c r="Y47" s="349" t="str">
        <f t="shared" ca="1" si="21"/>
        <v>ng</v>
      </c>
      <c r="Z47" s="349" t="str">
        <f t="shared" ca="1" si="21"/>
        <v>ng</v>
      </c>
      <c r="AA47" s="349" t="str">
        <f t="shared" ca="1" si="21"/>
        <v>ng</v>
      </c>
      <c r="AB47" s="349" t="str">
        <f t="shared" ca="1" si="21"/>
        <v>ng</v>
      </c>
      <c r="AC47" s="349" t="str">
        <f t="shared" ca="1" si="21"/>
        <v>ng</v>
      </c>
      <c r="AD47" s="349" t="str">
        <f t="shared" ca="1" si="21"/>
        <v>ng</v>
      </c>
      <c r="AE47" s="349" t="str">
        <f t="shared" ca="1" si="21"/>
        <v>ng</v>
      </c>
      <c r="AF47" s="349" t="str">
        <f t="shared" ca="1" si="21"/>
        <v>ng</v>
      </c>
      <c r="AG47" s="349" t="str">
        <f t="shared" ca="1" si="21"/>
        <v>ng</v>
      </c>
      <c r="AH47" s="349" t="str">
        <f t="shared" ca="1" si="21"/>
        <v>ng</v>
      </c>
      <c r="AI47" s="349" t="str">
        <f t="shared" ca="1" si="21"/>
        <v>ng</v>
      </c>
      <c r="AJ47" s="349" t="str">
        <f t="shared" ca="1" si="21"/>
        <v>ng</v>
      </c>
      <c r="AK47" s="349" t="str">
        <f t="shared" ca="1" si="21"/>
        <v>ng</v>
      </c>
      <c r="AL47" s="349" t="str">
        <f t="shared" ca="1" si="22"/>
        <v>ng</v>
      </c>
      <c r="AM47" s="349" t="str">
        <f t="shared" ca="1" si="22"/>
        <v>ng</v>
      </c>
      <c r="AN47" s="349" t="str">
        <f t="shared" ca="1" si="22"/>
        <v>ng</v>
      </c>
      <c r="AO47" s="349" t="str">
        <f t="shared" ca="1" si="22"/>
        <v>ng</v>
      </c>
      <c r="AP47" s="349" t="str">
        <f t="shared" ca="1" si="22"/>
        <v>ng</v>
      </c>
      <c r="AQ47" s="349" t="str">
        <f t="shared" ca="1" si="22"/>
        <v>ng</v>
      </c>
      <c r="AR47" s="350" t="str">
        <f t="shared" ca="1" si="22"/>
        <v>ng</v>
      </c>
      <c r="BA47" s="16" t="str">
        <v>CM</v>
      </c>
      <c r="BB47" s="342" t="str">
        <f ca="1">DcI!C47</f>
        <v/>
      </c>
      <c r="BC47" s="28" t="str">
        <f ca="1">IF(DcI!D47="X","X",IF(LEN(DcI!D47)=3,CONCATENATE("0",LEFT(DcI!D47,1)),IF(LEN(DcI!D47)=5,LEFT(DcI!D47,2),IF(MID(DcI!D47,2,1)="•",CONCATENATE("0",LEFT(DcI!D47,1)),LEFT(DcI!D47,2)))))</f>
        <v/>
      </c>
      <c r="BD47" s="28" t="str">
        <f ca="1">IF(DcI!E47="X","X",IF(LEN(DcI!E47)=3,CONCATENATE("0",LEFT(DcI!E47,1)),IF(LEN(DcI!E47)=5,LEFT(DcI!E47,2),IF(MID(DcI!E47,2,1)="•",CONCATENATE("0",LEFT(DcI!E47,1)),LEFT(DcI!E47,2)))))</f>
        <v/>
      </c>
      <c r="BE47" s="28" t="str">
        <f ca="1">IF(DcI!F47="X","X",IF(LEN(DcI!F47)=3,CONCATENATE("0",LEFT(DcI!F47,1)),IF(LEN(DcI!F47)=5,LEFT(DcI!F47,2),IF(MID(DcI!F47,2,1)="•",CONCATENATE("0",LEFT(DcI!F47,1)),LEFT(DcI!F47,2)))))</f>
        <v/>
      </c>
      <c r="BF47" s="28" t="str">
        <f ca="1">IF(DcI!G47="X","X",IF(LEN(DcI!G47)=3,CONCATENATE("0",LEFT(DcI!G47,1)),IF(LEN(DcI!G47)=5,LEFT(DcI!G47,2),IF(MID(DcI!G47,2,1)="•",CONCATENATE("0",LEFT(DcI!G47,1)),LEFT(DcI!G47,2)))))</f>
        <v/>
      </c>
      <c r="BG47" s="28" t="str">
        <f ca="1">IF(DcI!H47="X","X",IF(LEN(DcI!H47)=3,CONCATENATE("0",LEFT(DcI!H47,1)),IF(LEN(DcI!H47)=5,LEFT(DcI!H47,2),IF(MID(DcI!H47,2,1)="•",CONCATENATE("0",LEFT(DcI!H47,1)),LEFT(DcI!H47,2)))))</f>
        <v/>
      </c>
      <c r="BH47" s="28" t="str">
        <f ca="1">IF(DcI!I47="X","X",IF(LEN(DcI!I47)=3,CONCATENATE("0",LEFT(DcI!I47,1)),IF(LEN(DcI!I47)=5,LEFT(DcI!I47,2),IF(MID(DcI!I47,2,1)="•",CONCATENATE("0",LEFT(DcI!I47,1)),LEFT(DcI!I47,2)))))</f>
        <v/>
      </c>
      <c r="BI47" s="28" t="str">
        <f ca="1">IF(DcI!J47="X","X",IF(LEN(DcI!J47)=3,CONCATENATE("0",LEFT(DcI!J47,1)),IF(LEN(DcI!J47)=5,LEFT(DcI!J47,2),IF(MID(DcI!J47,2,1)="•",CONCATENATE("0",LEFT(DcI!J47,1)),LEFT(DcI!J47,2)))))</f>
        <v/>
      </c>
      <c r="BJ47" s="28" t="str">
        <f ca="1">IF(DcI!K47="X","X",IF(LEN(DcI!K47)=3,CONCATENATE("0",LEFT(DcI!K47,1)),IF(LEN(DcI!K47)=5,LEFT(DcI!K47,2),IF(MID(DcI!K47,2,1)="•",CONCATENATE("0",LEFT(DcI!K47,1)),LEFT(DcI!K47,2)))))</f>
        <v/>
      </c>
      <c r="BK47" s="28" t="str">
        <f ca="1">IF(DcI!L47="X","X",IF(LEN(DcI!L47)=3,CONCATENATE("0",LEFT(DcI!L47,1)),IF(LEN(DcI!L47)=5,LEFT(DcI!L47,2),IF(MID(DcI!L47,2,1)="•",CONCATENATE("0",LEFT(DcI!L47,1)),LEFT(DcI!L47,2)))))</f>
        <v/>
      </c>
      <c r="BL47" s="28" t="str">
        <f ca="1">IF(DcI!M47="X","X",IF(LEN(DcI!M47)=3,CONCATENATE("0",LEFT(DcI!M47,1)),IF(LEN(DcI!M47)=5,LEFT(DcI!M47,2),IF(MID(DcI!M47,2,1)="•",CONCATENATE("0",LEFT(DcI!M47,1)),LEFT(DcI!M47,2)))))</f>
        <v/>
      </c>
      <c r="BM47" s="28" t="str">
        <f ca="1">IF(DcI!N47="X","X",IF(LEN(DcI!N47)=3,CONCATENATE("0",LEFT(DcI!N47,1)),IF(LEN(DcI!N47)=5,LEFT(DcI!N47,2),IF(MID(DcI!N47,2,1)="•",CONCATENATE("0",LEFT(DcI!N47,1)),LEFT(DcI!N47,2)))))</f>
        <v/>
      </c>
      <c r="BN47" s="28" t="str">
        <f ca="1">IF(DcI!O47="X","X",IF(LEN(DcI!O47)=3,CONCATENATE("0",LEFT(DcI!O47,1)),IF(LEN(DcI!O47)=5,LEFT(DcI!O47,2),IF(MID(DcI!O47,2,1)="•",CONCATENATE("0",LEFT(DcI!O47,1)),LEFT(DcI!O47,2)))))</f>
        <v/>
      </c>
      <c r="BO47" s="28" t="str">
        <f ca="1">IF(DcI!P47="X","X",IF(LEN(DcI!P47)=3,CONCATENATE("0",LEFT(DcI!P47,1)),IF(LEN(DcI!P47)=5,LEFT(DcI!P47,2),IF(MID(DcI!P47,2,1)="•",CONCATENATE("0",LEFT(DcI!P47,1)),LEFT(DcI!P47,2)))))</f>
        <v/>
      </c>
      <c r="BP47" s="28" t="str">
        <f ca="1">IF(DcI!Q47="X","X",IF(LEN(DcI!Q47)=3,CONCATENATE("0",LEFT(DcI!Q47,1)),IF(LEN(DcI!Q47)=5,LEFT(DcI!Q47,2),IF(MID(DcI!Q47,2,1)="•",CONCATENATE("0",LEFT(DcI!Q47,1)),LEFT(DcI!Q47,2)))))</f>
        <v/>
      </c>
      <c r="BQ47" s="28" t="str">
        <f ca="1">IF(DcI!R47="X","X",IF(LEN(DcI!R47)=3,CONCATENATE("0",LEFT(DcI!R47,1)),IF(LEN(DcI!R47)=5,LEFT(DcI!R47,2),IF(MID(DcI!R47,2,1)="•",CONCATENATE("0",LEFT(DcI!R47,1)),LEFT(DcI!R47,2)))))</f>
        <v/>
      </c>
      <c r="BR47" s="28" t="str">
        <f ca="1">IF(DcI!S47="X","X",IF(LEN(DcI!S47)=3,CONCATENATE("0",LEFT(DcI!S47,1)),IF(LEN(DcI!S47)=5,LEFT(DcI!S47,2),IF(MID(DcI!S47,2,1)="•",CONCATENATE("0",LEFT(DcI!S47,1)),LEFT(DcI!S47,2)))))</f>
        <v/>
      </c>
      <c r="BS47" s="28" t="str">
        <f ca="1">IF(DcI!T47="X","X",IF(LEN(DcI!T47)=3,CONCATENATE("0",LEFT(DcI!T47,1)),IF(LEN(DcI!T47)=5,LEFT(DcI!T47,2),IF(MID(DcI!T47,2,1)="•",CONCATENATE("0",LEFT(DcI!T47,1)),LEFT(DcI!T47,2)))))</f>
        <v/>
      </c>
      <c r="BT47" s="28" t="str">
        <f ca="1">IF(DcI!U47="X","X",IF(LEN(DcI!U47)=3,CONCATENATE("0",LEFT(DcI!U47,1)),IF(LEN(DcI!U47)=5,LEFT(DcI!U47,2),IF(MID(DcI!U47,2,1)="•",CONCATENATE("0",LEFT(DcI!U47,1)),LEFT(DcI!U47,2)))))</f>
        <v/>
      </c>
      <c r="BU47" s="28" t="str">
        <f ca="1">IF(DcI!V47="X","X",IF(LEN(DcI!V47)=3,CONCATENATE("0",LEFT(DcI!V47,1)),IF(LEN(DcI!V47)=5,LEFT(DcI!V47,2),IF(MID(DcI!V47,2,1)="•",CONCATENATE("0",LEFT(DcI!V47,1)),LEFT(DcI!V47,2)))))</f>
        <v/>
      </c>
      <c r="BV47" s="28" t="str">
        <f ca="1">IF(DcI!W47="X","X",IF(LEN(DcI!W47)=3,CONCATENATE("0",LEFT(DcI!W47,1)),IF(LEN(DcI!W47)=5,LEFT(DcI!W47,2),IF(MID(DcI!W47,2,1)="•",CONCATENATE("0",LEFT(DcI!W47,1)),LEFT(DcI!W47,2)))))</f>
        <v/>
      </c>
      <c r="BW47" s="28" t="str">
        <f ca="1">IF(DcI!X47="X","X",IF(LEN(DcI!X47)=3,CONCATENATE("0",LEFT(DcI!X47,1)),IF(LEN(DcI!X47)=5,LEFT(DcI!X47,2),IF(MID(DcI!X47,2,1)="•",CONCATENATE("0",LEFT(DcI!X47,1)),LEFT(DcI!X47,2)))))</f>
        <v/>
      </c>
      <c r="BX47" s="28" t="str">
        <f ca="1">IF(DcI!Y47="X","X",IF(LEN(DcI!Y47)=3,CONCATENATE("0",LEFT(DcI!Y47,1)),IF(LEN(DcI!Y47)=5,LEFT(DcI!Y47,2),IF(MID(DcI!Y47,2,1)="•",CONCATENATE("0",LEFT(DcI!Y47,1)),LEFT(DcI!Y47,2)))))</f>
        <v/>
      </c>
      <c r="BY47" s="28" t="str">
        <f ca="1">IF(DcI!Z47="X","X",IF(LEN(DcI!Z47)=3,CONCATENATE("0",LEFT(DcI!Z47,1)),IF(LEN(DcI!Z47)=5,LEFT(DcI!Z47,2),IF(MID(DcI!Z47,2,1)="•",CONCATENATE("0",LEFT(DcI!Z47,1)),LEFT(DcI!Z47,2)))))</f>
        <v/>
      </c>
      <c r="BZ47" s="28" t="str">
        <f ca="1">IF(DcI!AA47="X","X",IF(LEN(DcI!AA47)=3,CONCATENATE("0",LEFT(DcI!AA47,1)),IF(LEN(DcI!AA47)=5,LEFT(DcI!AA47,2),IF(MID(DcI!AA47,2,1)="•",CONCATENATE("0",LEFT(DcI!AA47,1)),LEFT(DcI!AA47,2)))))</f>
        <v/>
      </c>
      <c r="CA47" s="28" t="str">
        <f ca="1">IF(DcI!AB47="X","X",IF(LEN(DcI!AB47)=3,CONCATENATE("0",LEFT(DcI!AB47,1)),IF(LEN(DcI!AB47)=5,LEFT(DcI!AB47,2),IF(MID(DcI!AB47,2,1)="•",CONCATENATE("0",LEFT(DcI!AB47,1)),LEFT(DcI!AB47,2)))))</f>
        <v/>
      </c>
      <c r="CB47" s="28" t="str">
        <f ca="1">IF(DcI!AC47="X","X",IF(LEN(DcI!AC47)=3,CONCATENATE("0",LEFT(DcI!AC47,1)),IF(LEN(DcI!AC47)=5,LEFT(DcI!AC47,2),IF(MID(DcI!AC47,2,1)="•",CONCATENATE("0",LEFT(DcI!AC47,1)),LEFT(DcI!AC47,2)))))</f>
        <v/>
      </c>
      <c r="CC47" s="28" t="str">
        <f ca="1">IF(DcI!AD47="X","X",IF(LEN(DcI!AD47)=3,CONCATENATE("0",LEFT(DcI!AD47,1)),IF(LEN(DcI!AD47)=5,LEFT(DcI!AD47,2),IF(MID(DcI!AD47,2,1)="•",CONCATENATE("0",LEFT(DcI!AD47,1)),LEFT(DcI!AD47,2)))))</f>
        <v/>
      </c>
      <c r="CD47" s="28" t="str">
        <f ca="1">IF(DcI!AE47="X","X",IF(LEN(DcI!AE47)=3,CONCATENATE("0",LEFT(DcI!AE47,1)),IF(LEN(DcI!AE47)=5,LEFT(DcI!AE47,2),IF(MID(DcI!AE47,2,1)="•",CONCATENATE("0",LEFT(DcI!AE47,1)),LEFT(DcI!AE47,2)))))</f>
        <v/>
      </c>
      <c r="CE47" s="28" t="str">
        <f ca="1">IF(DcI!AF47="X","X",IF(LEN(DcI!AF47)=3,CONCATENATE("0",LEFT(DcI!AF47,1)),IF(LEN(DcI!AF47)=5,LEFT(DcI!AF47,2),IF(MID(DcI!AF47,2,1)="•",CONCATENATE("0",LEFT(DcI!AF47,1)),LEFT(DcI!AF47,2)))))</f>
        <v/>
      </c>
      <c r="CF47" s="28" t="str">
        <f ca="1">IF(DcI!AG47="X","X",IF(LEN(DcI!AG47)=3,CONCATENATE("0",LEFT(DcI!AG47,1)),IF(LEN(DcI!AG47)=5,LEFT(DcI!AG47,2),IF(MID(DcI!AG47,2,1)="•",CONCATENATE("0",LEFT(DcI!AG47,1)),LEFT(DcI!AG47,2)))))</f>
        <v/>
      </c>
      <c r="CG47" s="28" t="str">
        <f ca="1">IF(DcI!AH47="X","X",IF(LEN(DcI!AH47)=3,CONCATENATE("0",LEFT(DcI!AH47,1)),IF(LEN(DcI!AH47)=5,LEFT(DcI!AH47,2),IF(MID(DcI!AH47,2,1)="•",CONCATENATE("0",LEFT(DcI!AH47,1)),LEFT(DcI!AH47,2)))))</f>
        <v/>
      </c>
      <c r="CH47" s="28" t="str">
        <f ca="1">IF(DcI!AI47="X","X",IF(LEN(DcI!AI47)=3,CONCATENATE("0",LEFT(DcI!AI47,1)),IF(LEN(DcI!AI47)=5,LEFT(DcI!AI47,2),IF(MID(DcI!AI47,2,1)="•",CONCATENATE("0",LEFT(DcI!AI47,1)),LEFT(DcI!AI47,2)))))</f>
        <v/>
      </c>
      <c r="CI47" s="28" t="str">
        <f ca="1">IF(DcI!AJ47="X","X",IF(LEN(DcI!AJ47)=3,CONCATENATE("0",LEFT(DcI!AJ47,1)),IF(LEN(DcI!AJ47)=5,LEFT(DcI!AJ47,2),IF(MID(DcI!AJ47,2,1)="•",CONCATENATE("0",LEFT(DcI!AJ47,1)),LEFT(DcI!AJ47,2)))))</f>
        <v/>
      </c>
      <c r="CJ47" s="28" t="str">
        <f ca="1">IF(DcI!AK47="X","X",IF(LEN(DcI!AK47)=3,CONCATENATE("0",LEFT(DcI!AK47,1)),IF(LEN(DcI!AK47)=5,LEFT(DcI!AK47,2),IF(MID(DcI!AK47,2,1)="•",CONCATENATE("0",LEFT(DcI!AK47,1)),LEFT(DcI!AK47,2)))))</f>
        <v/>
      </c>
      <c r="CK47" s="28" t="str">
        <f ca="1">IF(DcI!AL47="X","X",IF(LEN(DcI!AL47)=3,CONCATENATE("0",LEFT(DcI!AL47,1)),IF(LEN(DcI!AL47)=5,LEFT(DcI!AL47,2),IF(MID(DcI!AL47,2,1)="•",CONCATENATE("0",LEFT(DcI!AL47,1)),LEFT(DcI!AL47,2)))))</f>
        <v/>
      </c>
      <c r="CL47" s="28" t="str">
        <f ca="1">IF(DcI!AM47="X","X",IF(LEN(DcI!AM47)=3,CONCATENATE("0",LEFT(DcI!AM47,1)),IF(LEN(DcI!AM47)=5,LEFT(DcI!AM47,2),IF(MID(DcI!AM47,2,1)="•",CONCATENATE("0",LEFT(DcI!AM47,1)),LEFT(DcI!AM47,2)))))</f>
        <v/>
      </c>
      <c r="CM47" s="347" t="str">
        <f ca="1">IF(DcI!AN47="X","X",IF(LEN(DcI!AN47)=3,CONCATENATE("0",LEFT(DcI!AN47,1)),IF(LEN(DcI!AN47)=5,LEFT(DcI!AN47,2),IF(MID(DcI!AN47,2,1)="•",CONCATENATE("0",LEFT(DcI!AN47,1)),LEFT(DcI!AN47,2)))))</f>
        <v/>
      </c>
      <c r="CN47" s="28" t="str">
        <f t="shared" ca="1" si="23"/>
        <v/>
      </c>
      <c r="CO47" s="28" t="str">
        <f t="shared" ca="1" si="23"/>
        <v/>
      </c>
      <c r="CP47" s="28" t="str">
        <f t="shared" ca="1" si="23"/>
        <v/>
      </c>
      <c r="CQ47" s="28" t="str">
        <f t="shared" ca="1" si="23"/>
        <v/>
      </c>
      <c r="CR47" s="28" t="str">
        <f t="shared" ca="1" si="23"/>
        <v/>
      </c>
      <c r="CS47" s="28" t="str">
        <f t="shared" ca="1" si="23"/>
        <v/>
      </c>
      <c r="CT47" s="28" t="str">
        <f t="shared" ca="1" si="23"/>
        <v/>
      </c>
      <c r="CU47" s="28" t="str">
        <f t="shared" ca="1" si="23"/>
        <v/>
      </c>
      <c r="CV47" s="346" t="str">
        <f t="shared" ca="1" si="23"/>
        <v/>
      </c>
    </row>
    <row r="48" spans="2:100" ht="15">
      <c r="B48" s="63" t="str">
        <v>CN</v>
      </c>
      <c r="C48" s="16" t="str">
        <f t="shared" si="8"/>
        <v>CN11:CN56</v>
      </c>
      <c r="D48" s="342" t="str">
        <f t="shared" ca="1" si="9"/>
        <v/>
      </c>
      <c r="E48" s="349" t="str">
        <f t="shared" ca="1" si="10"/>
        <v>ng</v>
      </c>
      <c r="F48" s="349" t="str">
        <f t="shared" ca="1" si="21"/>
        <v>ng</v>
      </c>
      <c r="G48" s="349" t="str">
        <f t="shared" ca="1" si="21"/>
        <v>ng</v>
      </c>
      <c r="H48" s="349" t="str">
        <f t="shared" ca="1" si="21"/>
        <v>ng</v>
      </c>
      <c r="I48" s="349" t="str">
        <f t="shared" ca="1" si="21"/>
        <v>ng</v>
      </c>
      <c r="J48" s="349" t="str">
        <f t="shared" ca="1" si="21"/>
        <v>ng</v>
      </c>
      <c r="K48" s="349" t="str">
        <f t="shared" ca="1" si="21"/>
        <v>ng</v>
      </c>
      <c r="L48" s="349" t="str">
        <f t="shared" ca="1" si="21"/>
        <v>ng</v>
      </c>
      <c r="M48" s="349" t="str">
        <f t="shared" ca="1" si="21"/>
        <v>ng</v>
      </c>
      <c r="N48" s="349" t="str">
        <f t="shared" ca="1" si="21"/>
        <v>ng</v>
      </c>
      <c r="O48" s="349" t="str">
        <f t="shared" ca="1" si="21"/>
        <v>ng</v>
      </c>
      <c r="P48" s="349" t="str">
        <f t="shared" ca="1" si="21"/>
        <v>ng</v>
      </c>
      <c r="Q48" s="349" t="str">
        <f t="shared" ca="1" si="21"/>
        <v>ng</v>
      </c>
      <c r="R48" s="349" t="str">
        <f t="shared" ca="1" si="21"/>
        <v>ng</v>
      </c>
      <c r="S48" s="349" t="str">
        <f t="shared" ca="1" si="21"/>
        <v>ng</v>
      </c>
      <c r="T48" s="349" t="str">
        <f t="shared" ca="1" si="21"/>
        <v>ng</v>
      </c>
      <c r="U48" s="349" t="str">
        <f t="shared" ca="1" si="21"/>
        <v>ng</v>
      </c>
      <c r="V48" s="349" t="str">
        <f t="shared" ca="1" si="21"/>
        <v>ng</v>
      </c>
      <c r="W48" s="349" t="str">
        <f t="shared" ca="1" si="21"/>
        <v>ng</v>
      </c>
      <c r="X48" s="349" t="str">
        <f t="shared" ca="1" si="21"/>
        <v>ng</v>
      </c>
      <c r="Y48" s="349" t="str">
        <f t="shared" ca="1" si="21"/>
        <v>ng</v>
      </c>
      <c r="Z48" s="349" t="str">
        <f t="shared" ca="1" si="21"/>
        <v>ng</v>
      </c>
      <c r="AA48" s="349" t="str">
        <f t="shared" ca="1" si="21"/>
        <v>ng</v>
      </c>
      <c r="AB48" s="349" t="str">
        <f t="shared" ca="1" si="21"/>
        <v>ng</v>
      </c>
      <c r="AC48" s="349" t="str">
        <f t="shared" ca="1" si="21"/>
        <v>ng</v>
      </c>
      <c r="AD48" s="349" t="str">
        <f t="shared" ca="1" si="21"/>
        <v>ng</v>
      </c>
      <c r="AE48" s="349" t="str">
        <f t="shared" ca="1" si="21"/>
        <v>ng</v>
      </c>
      <c r="AF48" s="349" t="str">
        <f t="shared" ca="1" si="21"/>
        <v>ng</v>
      </c>
      <c r="AG48" s="349" t="str">
        <f t="shared" ca="1" si="21"/>
        <v>ng</v>
      </c>
      <c r="AH48" s="349" t="str">
        <f t="shared" ca="1" si="21"/>
        <v>ng</v>
      </c>
      <c r="AI48" s="349" t="str">
        <f t="shared" ca="1" si="21"/>
        <v>ng</v>
      </c>
      <c r="AJ48" s="349" t="str">
        <f t="shared" ca="1" si="21"/>
        <v>ng</v>
      </c>
      <c r="AK48" s="349" t="str">
        <f t="shared" ca="1" si="21"/>
        <v>ng</v>
      </c>
      <c r="AL48" s="349" t="str">
        <f t="shared" ca="1" si="22"/>
        <v>ng</v>
      </c>
      <c r="AM48" s="349" t="str">
        <f t="shared" ca="1" si="22"/>
        <v>ng</v>
      </c>
      <c r="AN48" s="349" t="str">
        <f t="shared" ca="1" si="22"/>
        <v>ng</v>
      </c>
      <c r="AO48" s="349" t="str">
        <f t="shared" ca="1" si="22"/>
        <v>ng</v>
      </c>
      <c r="AP48" s="349" t="str">
        <f t="shared" ca="1" si="22"/>
        <v>ng</v>
      </c>
      <c r="AQ48" s="349" t="str">
        <f t="shared" ca="1" si="22"/>
        <v>ng</v>
      </c>
      <c r="AR48" s="350" t="str">
        <f t="shared" ca="1" si="22"/>
        <v>ng</v>
      </c>
      <c r="BA48" s="16" t="str">
        <v>CN</v>
      </c>
      <c r="BB48" s="342" t="str">
        <f ca="1">DcI!C48</f>
        <v/>
      </c>
      <c r="BC48" s="28" t="str">
        <f ca="1">IF(DcI!D48="X","X",IF(LEN(DcI!D48)=3,CONCATENATE("0",LEFT(DcI!D48,1)),IF(LEN(DcI!D48)=5,LEFT(DcI!D48,2),IF(MID(DcI!D48,2,1)="•",CONCATENATE("0",LEFT(DcI!D48,1)),LEFT(DcI!D48,2)))))</f>
        <v/>
      </c>
      <c r="BD48" s="28" t="str">
        <f ca="1">IF(DcI!E48="X","X",IF(LEN(DcI!E48)=3,CONCATENATE("0",LEFT(DcI!E48,1)),IF(LEN(DcI!E48)=5,LEFT(DcI!E48,2),IF(MID(DcI!E48,2,1)="•",CONCATENATE("0",LEFT(DcI!E48,1)),LEFT(DcI!E48,2)))))</f>
        <v/>
      </c>
      <c r="BE48" s="28" t="str">
        <f ca="1">IF(DcI!F48="X","X",IF(LEN(DcI!F48)=3,CONCATENATE("0",LEFT(DcI!F48,1)),IF(LEN(DcI!F48)=5,LEFT(DcI!F48,2),IF(MID(DcI!F48,2,1)="•",CONCATENATE("0",LEFT(DcI!F48,1)),LEFT(DcI!F48,2)))))</f>
        <v/>
      </c>
      <c r="BF48" s="28" t="str">
        <f ca="1">IF(DcI!G48="X","X",IF(LEN(DcI!G48)=3,CONCATENATE("0",LEFT(DcI!G48,1)),IF(LEN(DcI!G48)=5,LEFT(DcI!G48,2),IF(MID(DcI!G48,2,1)="•",CONCATENATE("0",LEFT(DcI!G48,1)),LEFT(DcI!G48,2)))))</f>
        <v/>
      </c>
      <c r="BG48" s="28" t="str">
        <f ca="1">IF(DcI!H48="X","X",IF(LEN(DcI!H48)=3,CONCATENATE("0",LEFT(DcI!H48,1)),IF(LEN(DcI!H48)=5,LEFT(DcI!H48,2),IF(MID(DcI!H48,2,1)="•",CONCATENATE("0",LEFT(DcI!H48,1)),LEFT(DcI!H48,2)))))</f>
        <v/>
      </c>
      <c r="BH48" s="28" t="str">
        <f ca="1">IF(DcI!I48="X","X",IF(LEN(DcI!I48)=3,CONCATENATE("0",LEFT(DcI!I48,1)),IF(LEN(DcI!I48)=5,LEFT(DcI!I48,2),IF(MID(DcI!I48,2,1)="•",CONCATENATE("0",LEFT(DcI!I48,1)),LEFT(DcI!I48,2)))))</f>
        <v/>
      </c>
      <c r="BI48" s="28" t="str">
        <f ca="1">IF(DcI!J48="X","X",IF(LEN(DcI!J48)=3,CONCATENATE("0",LEFT(DcI!J48,1)),IF(LEN(DcI!J48)=5,LEFT(DcI!J48,2),IF(MID(DcI!J48,2,1)="•",CONCATENATE("0",LEFT(DcI!J48,1)),LEFT(DcI!J48,2)))))</f>
        <v/>
      </c>
      <c r="BJ48" s="28" t="str">
        <f ca="1">IF(DcI!K48="X","X",IF(LEN(DcI!K48)=3,CONCATENATE("0",LEFT(DcI!K48,1)),IF(LEN(DcI!K48)=5,LEFT(DcI!K48,2),IF(MID(DcI!K48,2,1)="•",CONCATENATE("0",LEFT(DcI!K48,1)),LEFT(DcI!K48,2)))))</f>
        <v/>
      </c>
      <c r="BK48" s="28" t="str">
        <f ca="1">IF(DcI!L48="X","X",IF(LEN(DcI!L48)=3,CONCATENATE("0",LEFT(DcI!L48,1)),IF(LEN(DcI!L48)=5,LEFT(DcI!L48,2),IF(MID(DcI!L48,2,1)="•",CONCATENATE("0",LEFT(DcI!L48,1)),LEFT(DcI!L48,2)))))</f>
        <v/>
      </c>
      <c r="BL48" s="28" t="str">
        <f ca="1">IF(DcI!M48="X","X",IF(LEN(DcI!M48)=3,CONCATENATE("0",LEFT(DcI!M48,1)),IF(LEN(DcI!M48)=5,LEFT(DcI!M48,2),IF(MID(DcI!M48,2,1)="•",CONCATENATE("0",LEFT(DcI!M48,1)),LEFT(DcI!M48,2)))))</f>
        <v/>
      </c>
      <c r="BM48" s="28" t="str">
        <f ca="1">IF(DcI!N48="X","X",IF(LEN(DcI!N48)=3,CONCATENATE("0",LEFT(DcI!N48,1)),IF(LEN(DcI!N48)=5,LEFT(DcI!N48,2),IF(MID(DcI!N48,2,1)="•",CONCATENATE("0",LEFT(DcI!N48,1)),LEFT(DcI!N48,2)))))</f>
        <v/>
      </c>
      <c r="BN48" s="28" t="str">
        <f ca="1">IF(DcI!O48="X","X",IF(LEN(DcI!O48)=3,CONCATENATE("0",LEFT(DcI!O48,1)),IF(LEN(DcI!O48)=5,LEFT(DcI!O48,2),IF(MID(DcI!O48,2,1)="•",CONCATENATE("0",LEFT(DcI!O48,1)),LEFT(DcI!O48,2)))))</f>
        <v/>
      </c>
      <c r="BO48" s="28" t="str">
        <f ca="1">IF(DcI!P48="X","X",IF(LEN(DcI!P48)=3,CONCATENATE("0",LEFT(DcI!P48,1)),IF(LEN(DcI!P48)=5,LEFT(DcI!P48,2),IF(MID(DcI!P48,2,1)="•",CONCATENATE("0",LEFT(DcI!P48,1)),LEFT(DcI!P48,2)))))</f>
        <v/>
      </c>
      <c r="BP48" s="28" t="str">
        <f ca="1">IF(DcI!Q48="X","X",IF(LEN(DcI!Q48)=3,CONCATENATE("0",LEFT(DcI!Q48,1)),IF(LEN(DcI!Q48)=5,LEFT(DcI!Q48,2),IF(MID(DcI!Q48,2,1)="•",CONCATENATE("0",LEFT(DcI!Q48,1)),LEFT(DcI!Q48,2)))))</f>
        <v/>
      </c>
      <c r="BQ48" s="28" t="str">
        <f ca="1">IF(DcI!R48="X","X",IF(LEN(DcI!R48)=3,CONCATENATE("0",LEFT(DcI!R48,1)),IF(LEN(DcI!R48)=5,LEFT(DcI!R48,2),IF(MID(DcI!R48,2,1)="•",CONCATENATE("0",LEFT(DcI!R48,1)),LEFT(DcI!R48,2)))))</f>
        <v/>
      </c>
      <c r="BR48" s="28" t="str">
        <f ca="1">IF(DcI!S48="X","X",IF(LEN(DcI!S48)=3,CONCATENATE("0",LEFT(DcI!S48,1)),IF(LEN(DcI!S48)=5,LEFT(DcI!S48,2),IF(MID(DcI!S48,2,1)="•",CONCATENATE("0",LEFT(DcI!S48,1)),LEFT(DcI!S48,2)))))</f>
        <v/>
      </c>
      <c r="BS48" s="28" t="str">
        <f ca="1">IF(DcI!T48="X","X",IF(LEN(DcI!T48)=3,CONCATENATE("0",LEFT(DcI!T48,1)),IF(LEN(DcI!T48)=5,LEFT(DcI!T48,2),IF(MID(DcI!T48,2,1)="•",CONCATENATE("0",LEFT(DcI!T48,1)),LEFT(DcI!T48,2)))))</f>
        <v/>
      </c>
      <c r="BT48" s="28" t="str">
        <f ca="1">IF(DcI!U48="X","X",IF(LEN(DcI!U48)=3,CONCATENATE("0",LEFT(DcI!U48,1)),IF(LEN(DcI!U48)=5,LEFT(DcI!U48,2),IF(MID(DcI!U48,2,1)="•",CONCATENATE("0",LEFT(DcI!U48,1)),LEFT(DcI!U48,2)))))</f>
        <v/>
      </c>
      <c r="BU48" s="28" t="str">
        <f ca="1">IF(DcI!V48="X","X",IF(LEN(DcI!V48)=3,CONCATENATE("0",LEFT(DcI!V48,1)),IF(LEN(DcI!V48)=5,LEFT(DcI!V48,2),IF(MID(DcI!V48,2,1)="•",CONCATENATE("0",LEFT(DcI!V48,1)),LEFT(DcI!V48,2)))))</f>
        <v/>
      </c>
      <c r="BV48" s="28" t="str">
        <f ca="1">IF(DcI!W48="X","X",IF(LEN(DcI!W48)=3,CONCATENATE("0",LEFT(DcI!W48,1)),IF(LEN(DcI!W48)=5,LEFT(DcI!W48,2),IF(MID(DcI!W48,2,1)="•",CONCATENATE("0",LEFT(DcI!W48,1)),LEFT(DcI!W48,2)))))</f>
        <v/>
      </c>
      <c r="BW48" s="28" t="str">
        <f ca="1">IF(DcI!X48="X","X",IF(LEN(DcI!X48)=3,CONCATENATE("0",LEFT(DcI!X48,1)),IF(LEN(DcI!X48)=5,LEFT(DcI!X48,2),IF(MID(DcI!X48,2,1)="•",CONCATENATE("0",LEFT(DcI!X48,1)),LEFT(DcI!X48,2)))))</f>
        <v/>
      </c>
      <c r="BX48" s="28" t="str">
        <f ca="1">IF(DcI!Y48="X","X",IF(LEN(DcI!Y48)=3,CONCATENATE("0",LEFT(DcI!Y48,1)),IF(LEN(DcI!Y48)=5,LEFT(DcI!Y48,2),IF(MID(DcI!Y48,2,1)="•",CONCATENATE("0",LEFT(DcI!Y48,1)),LEFT(DcI!Y48,2)))))</f>
        <v/>
      </c>
      <c r="BY48" s="28" t="str">
        <f ca="1">IF(DcI!Z48="X","X",IF(LEN(DcI!Z48)=3,CONCATENATE("0",LEFT(DcI!Z48,1)),IF(LEN(DcI!Z48)=5,LEFT(DcI!Z48,2),IF(MID(DcI!Z48,2,1)="•",CONCATENATE("0",LEFT(DcI!Z48,1)),LEFT(DcI!Z48,2)))))</f>
        <v/>
      </c>
      <c r="BZ48" s="28" t="str">
        <f ca="1">IF(DcI!AA48="X","X",IF(LEN(DcI!AA48)=3,CONCATENATE("0",LEFT(DcI!AA48,1)),IF(LEN(DcI!AA48)=5,LEFT(DcI!AA48,2),IF(MID(DcI!AA48,2,1)="•",CONCATENATE("0",LEFT(DcI!AA48,1)),LEFT(DcI!AA48,2)))))</f>
        <v/>
      </c>
      <c r="CA48" s="28" t="str">
        <f ca="1">IF(DcI!AB48="X","X",IF(LEN(DcI!AB48)=3,CONCATENATE("0",LEFT(DcI!AB48,1)),IF(LEN(DcI!AB48)=5,LEFT(DcI!AB48,2),IF(MID(DcI!AB48,2,1)="•",CONCATENATE("0",LEFT(DcI!AB48,1)),LEFT(DcI!AB48,2)))))</f>
        <v/>
      </c>
      <c r="CB48" s="28" t="str">
        <f ca="1">IF(DcI!AC48="X","X",IF(LEN(DcI!AC48)=3,CONCATENATE("0",LEFT(DcI!AC48,1)),IF(LEN(DcI!AC48)=5,LEFT(DcI!AC48,2),IF(MID(DcI!AC48,2,1)="•",CONCATENATE("0",LEFT(DcI!AC48,1)),LEFT(DcI!AC48,2)))))</f>
        <v/>
      </c>
      <c r="CC48" s="28" t="str">
        <f ca="1">IF(DcI!AD48="X","X",IF(LEN(DcI!AD48)=3,CONCATENATE("0",LEFT(DcI!AD48,1)),IF(LEN(DcI!AD48)=5,LEFT(DcI!AD48,2),IF(MID(DcI!AD48,2,1)="•",CONCATENATE("0",LEFT(DcI!AD48,1)),LEFT(DcI!AD48,2)))))</f>
        <v/>
      </c>
      <c r="CD48" s="28" t="str">
        <f ca="1">IF(DcI!AE48="X","X",IF(LEN(DcI!AE48)=3,CONCATENATE("0",LEFT(DcI!AE48,1)),IF(LEN(DcI!AE48)=5,LEFT(DcI!AE48,2),IF(MID(DcI!AE48,2,1)="•",CONCATENATE("0",LEFT(DcI!AE48,1)),LEFT(DcI!AE48,2)))))</f>
        <v/>
      </c>
      <c r="CE48" s="28" t="str">
        <f ca="1">IF(DcI!AF48="X","X",IF(LEN(DcI!AF48)=3,CONCATENATE("0",LEFT(DcI!AF48,1)),IF(LEN(DcI!AF48)=5,LEFT(DcI!AF48,2),IF(MID(DcI!AF48,2,1)="•",CONCATENATE("0",LEFT(DcI!AF48,1)),LEFT(DcI!AF48,2)))))</f>
        <v/>
      </c>
      <c r="CF48" s="28" t="str">
        <f ca="1">IF(DcI!AG48="X","X",IF(LEN(DcI!AG48)=3,CONCATENATE("0",LEFT(DcI!AG48,1)),IF(LEN(DcI!AG48)=5,LEFT(DcI!AG48,2),IF(MID(DcI!AG48,2,1)="•",CONCATENATE("0",LEFT(DcI!AG48,1)),LEFT(DcI!AG48,2)))))</f>
        <v/>
      </c>
      <c r="CG48" s="28" t="str">
        <f ca="1">IF(DcI!AH48="X","X",IF(LEN(DcI!AH48)=3,CONCATENATE("0",LEFT(DcI!AH48,1)),IF(LEN(DcI!AH48)=5,LEFT(DcI!AH48,2),IF(MID(DcI!AH48,2,1)="•",CONCATENATE("0",LEFT(DcI!AH48,1)),LEFT(DcI!AH48,2)))))</f>
        <v/>
      </c>
      <c r="CH48" s="28" t="str">
        <f ca="1">IF(DcI!AI48="X","X",IF(LEN(DcI!AI48)=3,CONCATENATE("0",LEFT(DcI!AI48,1)),IF(LEN(DcI!AI48)=5,LEFT(DcI!AI48,2),IF(MID(DcI!AI48,2,1)="•",CONCATENATE("0",LEFT(DcI!AI48,1)),LEFT(DcI!AI48,2)))))</f>
        <v/>
      </c>
      <c r="CI48" s="28" t="str">
        <f ca="1">IF(DcI!AJ48="X","X",IF(LEN(DcI!AJ48)=3,CONCATENATE("0",LEFT(DcI!AJ48,1)),IF(LEN(DcI!AJ48)=5,LEFT(DcI!AJ48,2),IF(MID(DcI!AJ48,2,1)="•",CONCATENATE("0",LEFT(DcI!AJ48,1)),LEFT(DcI!AJ48,2)))))</f>
        <v/>
      </c>
      <c r="CJ48" s="28" t="str">
        <f ca="1">IF(DcI!AK48="X","X",IF(LEN(DcI!AK48)=3,CONCATENATE("0",LEFT(DcI!AK48,1)),IF(LEN(DcI!AK48)=5,LEFT(DcI!AK48,2),IF(MID(DcI!AK48,2,1)="•",CONCATENATE("0",LEFT(DcI!AK48,1)),LEFT(DcI!AK48,2)))))</f>
        <v/>
      </c>
      <c r="CK48" s="28" t="str">
        <f ca="1">IF(DcI!AL48="X","X",IF(LEN(DcI!AL48)=3,CONCATENATE("0",LEFT(DcI!AL48,1)),IF(LEN(DcI!AL48)=5,LEFT(DcI!AL48,2),IF(MID(DcI!AL48,2,1)="•",CONCATENATE("0",LEFT(DcI!AL48,1)),LEFT(DcI!AL48,2)))))</f>
        <v/>
      </c>
      <c r="CL48" s="28" t="str">
        <f ca="1">IF(DcI!AM48="X","X",IF(LEN(DcI!AM48)=3,CONCATENATE("0",LEFT(DcI!AM48,1)),IF(LEN(DcI!AM48)=5,LEFT(DcI!AM48,2),IF(MID(DcI!AM48,2,1)="•",CONCATENATE("0",LEFT(DcI!AM48,1)),LEFT(DcI!AM48,2)))))</f>
        <v/>
      </c>
      <c r="CM48" s="28" t="str">
        <f ca="1">IF(DcI!AN48="X","X",IF(LEN(DcI!AN48)=3,CONCATENATE("0",LEFT(DcI!AN48,1)),IF(LEN(DcI!AN48)=5,LEFT(DcI!AN48,2),IF(MID(DcI!AN48,2,1)="•",CONCATENATE("0",LEFT(DcI!AN48,1)),LEFT(DcI!AN48,2)))))</f>
        <v/>
      </c>
      <c r="CN48" s="347" t="str">
        <f ca="1">IF(DcI!AO48="X","X",IF(LEN(DcI!AO48)=3,CONCATENATE("0",LEFT(DcI!AO48,1)),IF(LEN(DcI!AO48)=5,LEFT(DcI!AO48,2),IF(MID(DcI!AO48,2,1)="•",CONCATENATE("0",LEFT(DcI!AO48,1)),LEFT(DcI!AO48,2)))))</f>
        <v/>
      </c>
      <c r="CO48" s="28" t="str">
        <f t="shared" ca="1" si="23"/>
        <v/>
      </c>
      <c r="CP48" s="28" t="str">
        <f t="shared" ca="1" si="23"/>
        <v/>
      </c>
      <c r="CQ48" s="28" t="str">
        <f t="shared" ca="1" si="23"/>
        <v/>
      </c>
      <c r="CR48" s="28" t="str">
        <f t="shared" ca="1" si="23"/>
        <v/>
      </c>
      <c r="CS48" s="28" t="str">
        <f t="shared" ca="1" si="23"/>
        <v/>
      </c>
      <c r="CT48" s="28" t="str">
        <f t="shared" ca="1" si="23"/>
        <v/>
      </c>
      <c r="CU48" s="28" t="str">
        <f t="shared" ca="1" si="23"/>
        <v/>
      </c>
      <c r="CV48" s="346" t="str">
        <f t="shared" ca="1" si="23"/>
        <v/>
      </c>
    </row>
    <row r="49" spans="2:100" ht="15">
      <c r="B49" s="63" t="str">
        <v>CO</v>
      </c>
      <c r="C49" s="16" t="str">
        <f t="shared" si="8"/>
        <v>CO11:CO56</v>
      </c>
      <c r="D49" s="342" t="str">
        <f t="shared" ca="1" si="9"/>
        <v/>
      </c>
      <c r="E49" s="349" t="str">
        <f t="shared" ca="1" si="10"/>
        <v>ng</v>
      </c>
      <c r="F49" s="349" t="str">
        <f t="shared" ca="1" si="21"/>
        <v>ng</v>
      </c>
      <c r="G49" s="349" t="str">
        <f t="shared" ca="1" si="21"/>
        <v>ng</v>
      </c>
      <c r="H49" s="349" t="str">
        <f t="shared" ca="1" si="21"/>
        <v>ng</v>
      </c>
      <c r="I49" s="349" t="str">
        <f t="shared" ca="1" si="21"/>
        <v>ng</v>
      </c>
      <c r="J49" s="349" t="str">
        <f t="shared" ca="1" si="21"/>
        <v>ng</v>
      </c>
      <c r="K49" s="349" t="str">
        <f t="shared" ca="1" si="21"/>
        <v>ng</v>
      </c>
      <c r="L49" s="349" t="str">
        <f t="shared" ca="1" si="21"/>
        <v>ng</v>
      </c>
      <c r="M49" s="349" t="str">
        <f t="shared" ca="1" si="21"/>
        <v>ng</v>
      </c>
      <c r="N49" s="349" t="str">
        <f t="shared" ca="1" si="21"/>
        <v>ng</v>
      </c>
      <c r="O49" s="349" t="str">
        <f t="shared" ca="1" si="21"/>
        <v>ng</v>
      </c>
      <c r="P49" s="349" t="str">
        <f t="shared" ca="1" si="21"/>
        <v>ng</v>
      </c>
      <c r="Q49" s="349" t="str">
        <f t="shared" ca="1" si="21"/>
        <v>ng</v>
      </c>
      <c r="R49" s="349" t="str">
        <f t="shared" ca="1" si="21"/>
        <v>ng</v>
      </c>
      <c r="S49" s="349" t="str">
        <f t="shared" ca="1" si="21"/>
        <v>ng</v>
      </c>
      <c r="T49" s="349" t="str">
        <f t="shared" ca="1" si="21"/>
        <v>ng</v>
      </c>
      <c r="U49" s="349" t="str">
        <f t="shared" ca="1" si="21"/>
        <v>ng</v>
      </c>
      <c r="V49" s="349" t="str">
        <f t="shared" ca="1" si="21"/>
        <v>ng</v>
      </c>
      <c r="W49" s="349" t="str">
        <f t="shared" ca="1" si="21"/>
        <v>ng</v>
      </c>
      <c r="X49" s="349" t="str">
        <f t="shared" ca="1" si="21"/>
        <v>ng</v>
      </c>
      <c r="Y49" s="349" t="str">
        <f t="shared" ca="1" si="21"/>
        <v>ng</v>
      </c>
      <c r="Z49" s="349" t="str">
        <f t="shared" ca="1" si="21"/>
        <v>ng</v>
      </c>
      <c r="AA49" s="349" t="str">
        <f t="shared" ca="1" si="21"/>
        <v>ng</v>
      </c>
      <c r="AB49" s="349" t="str">
        <f t="shared" ca="1" si="21"/>
        <v>ng</v>
      </c>
      <c r="AC49" s="349" t="str">
        <f t="shared" ca="1" si="21"/>
        <v>ng</v>
      </c>
      <c r="AD49" s="349" t="str">
        <f t="shared" ca="1" si="21"/>
        <v>ng</v>
      </c>
      <c r="AE49" s="349" t="str">
        <f t="shared" ca="1" si="21"/>
        <v>ng</v>
      </c>
      <c r="AF49" s="349" t="str">
        <f t="shared" ca="1" si="21"/>
        <v>ng</v>
      </c>
      <c r="AG49" s="349" t="str">
        <f t="shared" ca="1" si="21"/>
        <v>ng</v>
      </c>
      <c r="AH49" s="349" t="str">
        <f t="shared" ca="1" si="21"/>
        <v>ng</v>
      </c>
      <c r="AI49" s="349" t="str">
        <f t="shared" ca="1" si="21"/>
        <v>ng</v>
      </c>
      <c r="AJ49" s="349" t="str">
        <f t="shared" ca="1" si="21"/>
        <v>ng</v>
      </c>
      <c r="AK49" s="349" t="str">
        <f t="shared" ca="1" si="21"/>
        <v>ng</v>
      </c>
      <c r="AL49" s="349" t="str">
        <f t="shared" ca="1" si="22"/>
        <v>ng</v>
      </c>
      <c r="AM49" s="349" t="str">
        <f t="shared" ca="1" si="22"/>
        <v>ng</v>
      </c>
      <c r="AN49" s="349" t="str">
        <f t="shared" ca="1" si="22"/>
        <v>ng</v>
      </c>
      <c r="AO49" s="349" t="str">
        <f t="shared" ca="1" si="22"/>
        <v>ng</v>
      </c>
      <c r="AP49" s="349" t="str">
        <f t="shared" ca="1" si="22"/>
        <v>ng</v>
      </c>
      <c r="AQ49" s="349" t="str">
        <f t="shared" ca="1" si="22"/>
        <v>ng</v>
      </c>
      <c r="AR49" s="350" t="str">
        <f t="shared" ca="1" si="22"/>
        <v>ng</v>
      </c>
      <c r="BA49" s="16" t="str">
        <v>CO</v>
      </c>
      <c r="BB49" s="342" t="str">
        <f ca="1">DcI!C49</f>
        <v/>
      </c>
      <c r="BC49" s="28" t="str">
        <f ca="1">IF(DcI!D49="X","X",IF(LEN(DcI!D49)=3,CONCATENATE("0",LEFT(DcI!D49,1)),IF(LEN(DcI!D49)=5,LEFT(DcI!D49,2),IF(MID(DcI!D49,2,1)="•",CONCATENATE("0",LEFT(DcI!D49,1)),LEFT(DcI!D49,2)))))</f>
        <v/>
      </c>
      <c r="BD49" s="28" t="str">
        <f ca="1">IF(DcI!E49="X","X",IF(LEN(DcI!E49)=3,CONCATENATE("0",LEFT(DcI!E49,1)),IF(LEN(DcI!E49)=5,LEFT(DcI!E49,2),IF(MID(DcI!E49,2,1)="•",CONCATENATE("0",LEFT(DcI!E49,1)),LEFT(DcI!E49,2)))))</f>
        <v/>
      </c>
      <c r="BE49" s="28" t="str">
        <f ca="1">IF(DcI!F49="X","X",IF(LEN(DcI!F49)=3,CONCATENATE("0",LEFT(DcI!F49,1)),IF(LEN(DcI!F49)=5,LEFT(DcI!F49,2),IF(MID(DcI!F49,2,1)="•",CONCATENATE("0",LEFT(DcI!F49,1)),LEFT(DcI!F49,2)))))</f>
        <v/>
      </c>
      <c r="BF49" s="28" t="str">
        <f ca="1">IF(DcI!G49="X","X",IF(LEN(DcI!G49)=3,CONCATENATE("0",LEFT(DcI!G49,1)),IF(LEN(DcI!G49)=5,LEFT(DcI!G49,2),IF(MID(DcI!G49,2,1)="•",CONCATENATE("0",LEFT(DcI!G49,1)),LEFT(DcI!G49,2)))))</f>
        <v/>
      </c>
      <c r="BG49" s="28" t="str">
        <f ca="1">IF(DcI!H49="X","X",IF(LEN(DcI!H49)=3,CONCATENATE("0",LEFT(DcI!H49,1)),IF(LEN(DcI!H49)=5,LEFT(DcI!H49,2),IF(MID(DcI!H49,2,1)="•",CONCATENATE("0",LEFT(DcI!H49,1)),LEFT(DcI!H49,2)))))</f>
        <v/>
      </c>
      <c r="BH49" s="28" t="str">
        <f ca="1">IF(DcI!I49="X","X",IF(LEN(DcI!I49)=3,CONCATENATE("0",LEFT(DcI!I49,1)),IF(LEN(DcI!I49)=5,LEFT(DcI!I49,2),IF(MID(DcI!I49,2,1)="•",CONCATENATE("0",LEFT(DcI!I49,1)),LEFT(DcI!I49,2)))))</f>
        <v/>
      </c>
      <c r="BI49" s="28" t="str">
        <f ca="1">IF(DcI!J49="X","X",IF(LEN(DcI!J49)=3,CONCATENATE("0",LEFT(DcI!J49,1)),IF(LEN(DcI!J49)=5,LEFT(DcI!J49,2),IF(MID(DcI!J49,2,1)="•",CONCATENATE("0",LEFT(DcI!J49,1)),LEFT(DcI!J49,2)))))</f>
        <v/>
      </c>
      <c r="BJ49" s="28" t="str">
        <f ca="1">IF(DcI!K49="X","X",IF(LEN(DcI!K49)=3,CONCATENATE("0",LEFT(DcI!K49,1)),IF(LEN(DcI!K49)=5,LEFT(DcI!K49,2),IF(MID(DcI!K49,2,1)="•",CONCATENATE("0",LEFT(DcI!K49,1)),LEFT(DcI!K49,2)))))</f>
        <v/>
      </c>
      <c r="BK49" s="28" t="str">
        <f ca="1">IF(DcI!L49="X","X",IF(LEN(DcI!L49)=3,CONCATENATE("0",LEFT(DcI!L49,1)),IF(LEN(DcI!L49)=5,LEFT(DcI!L49,2),IF(MID(DcI!L49,2,1)="•",CONCATENATE("0",LEFT(DcI!L49,1)),LEFT(DcI!L49,2)))))</f>
        <v/>
      </c>
      <c r="BL49" s="28" t="str">
        <f ca="1">IF(DcI!M49="X","X",IF(LEN(DcI!M49)=3,CONCATENATE("0",LEFT(DcI!M49,1)),IF(LEN(DcI!M49)=5,LEFT(DcI!M49,2),IF(MID(DcI!M49,2,1)="•",CONCATENATE("0",LEFT(DcI!M49,1)),LEFT(DcI!M49,2)))))</f>
        <v/>
      </c>
      <c r="BM49" s="28" t="str">
        <f ca="1">IF(DcI!N49="X","X",IF(LEN(DcI!N49)=3,CONCATENATE("0",LEFT(DcI!N49,1)),IF(LEN(DcI!N49)=5,LEFT(DcI!N49,2),IF(MID(DcI!N49,2,1)="•",CONCATENATE("0",LEFT(DcI!N49,1)),LEFT(DcI!N49,2)))))</f>
        <v/>
      </c>
      <c r="BN49" s="28" t="str">
        <f ca="1">IF(DcI!O49="X","X",IF(LEN(DcI!O49)=3,CONCATENATE("0",LEFT(DcI!O49,1)),IF(LEN(DcI!O49)=5,LEFT(DcI!O49,2),IF(MID(DcI!O49,2,1)="•",CONCATENATE("0",LEFT(DcI!O49,1)),LEFT(DcI!O49,2)))))</f>
        <v/>
      </c>
      <c r="BO49" s="28" t="str">
        <f ca="1">IF(DcI!P49="X","X",IF(LEN(DcI!P49)=3,CONCATENATE("0",LEFT(DcI!P49,1)),IF(LEN(DcI!P49)=5,LEFT(DcI!P49,2),IF(MID(DcI!P49,2,1)="•",CONCATENATE("0",LEFT(DcI!P49,1)),LEFT(DcI!P49,2)))))</f>
        <v/>
      </c>
      <c r="BP49" s="28" t="str">
        <f ca="1">IF(DcI!Q49="X","X",IF(LEN(DcI!Q49)=3,CONCATENATE("0",LEFT(DcI!Q49,1)),IF(LEN(DcI!Q49)=5,LEFT(DcI!Q49,2),IF(MID(DcI!Q49,2,1)="•",CONCATENATE("0",LEFT(DcI!Q49,1)),LEFT(DcI!Q49,2)))))</f>
        <v/>
      </c>
      <c r="BQ49" s="28" t="str">
        <f ca="1">IF(DcI!R49="X","X",IF(LEN(DcI!R49)=3,CONCATENATE("0",LEFT(DcI!R49,1)),IF(LEN(DcI!R49)=5,LEFT(DcI!R49,2),IF(MID(DcI!R49,2,1)="•",CONCATENATE("0",LEFT(DcI!R49,1)),LEFT(DcI!R49,2)))))</f>
        <v/>
      </c>
      <c r="BR49" s="28" t="str">
        <f ca="1">IF(DcI!S49="X","X",IF(LEN(DcI!S49)=3,CONCATENATE("0",LEFT(DcI!S49,1)),IF(LEN(DcI!S49)=5,LEFT(DcI!S49,2),IF(MID(DcI!S49,2,1)="•",CONCATENATE("0",LEFT(DcI!S49,1)),LEFT(DcI!S49,2)))))</f>
        <v/>
      </c>
      <c r="BS49" s="28" t="str">
        <f ca="1">IF(DcI!T49="X","X",IF(LEN(DcI!T49)=3,CONCATENATE("0",LEFT(DcI!T49,1)),IF(LEN(DcI!T49)=5,LEFT(DcI!T49,2),IF(MID(DcI!T49,2,1)="•",CONCATENATE("0",LEFT(DcI!T49,1)),LEFT(DcI!T49,2)))))</f>
        <v/>
      </c>
      <c r="BT49" s="28" t="str">
        <f ca="1">IF(DcI!U49="X","X",IF(LEN(DcI!U49)=3,CONCATENATE("0",LEFT(DcI!U49,1)),IF(LEN(DcI!U49)=5,LEFT(DcI!U49,2),IF(MID(DcI!U49,2,1)="•",CONCATENATE("0",LEFT(DcI!U49,1)),LEFT(DcI!U49,2)))))</f>
        <v/>
      </c>
      <c r="BU49" s="28" t="str">
        <f ca="1">IF(DcI!V49="X","X",IF(LEN(DcI!V49)=3,CONCATENATE("0",LEFT(DcI!V49,1)),IF(LEN(DcI!V49)=5,LEFT(DcI!V49,2),IF(MID(DcI!V49,2,1)="•",CONCATENATE("0",LEFT(DcI!V49,1)),LEFT(DcI!V49,2)))))</f>
        <v/>
      </c>
      <c r="BV49" s="28" t="str">
        <f ca="1">IF(DcI!W49="X","X",IF(LEN(DcI!W49)=3,CONCATENATE("0",LEFT(DcI!W49,1)),IF(LEN(DcI!W49)=5,LEFT(DcI!W49,2),IF(MID(DcI!W49,2,1)="•",CONCATENATE("0",LEFT(DcI!W49,1)),LEFT(DcI!W49,2)))))</f>
        <v/>
      </c>
      <c r="BW49" s="28" t="str">
        <f ca="1">IF(DcI!X49="X","X",IF(LEN(DcI!X49)=3,CONCATENATE("0",LEFT(DcI!X49,1)),IF(LEN(DcI!X49)=5,LEFT(DcI!X49,2),IF(MID(DcI!X49,2,1)="•",CONCATENATE("0",LEFT(DcI!X49,1)),LEFT(DcI!X49,2)))))</f>
        <v/>
      </c>
      <c r="BX49" s="28" t="str">
        <f ca="1">IF(DcI!Y49="X","X",IF(LEN(DcI!Y49)=3,CONCATENATE("0",LEFT(DcI!Y49,1)),IF(LEN(DcI!Y49)=5,LEFT(DcI!Y49,2),IF(MID(DcI!Y49,2,1)="•",CONCATENATE("0",LEFT(DcI!Y49,1)),LEFT(DcI!Y49,2)))))</f>
        <v/>
      </c>
      <c r="BY49" s="28" t="str">
        <f ca="1">IF(DcI!Z49="X","X",IF(LEN(DcI!Z49)=3,CONCATENATE("0",LEFT(DcI!Z49,1)),IF(LEN(DcI!Z49)=5,LEFT(DcI!Z49,2),IF(MID(DcI!Z49,2,1)="•",CONCATENATE("0",LEFT(DcI!Z49,1)),LEFT(DcI!Z49,2)))))</f>
        <v/>
      </c>
      <c r="BZ49" s="28" t="str">
        <f ca="1">IF(DcI!AA49="X","X",IF(LEN(DcI!AA49)=3,CONCATENATE("0",LEFT(DcI!AA49,1)),IF(LEN(DcI!AA49)=5,LEFT(DcI!AA49,2),IF(MID(DcI!AA49,2,1)="•",CONCATENATE("0",LEFT(DcI!AA49,1)),LEFT(DcI!AA49,2)))))</f>
        <v/>
      </c>
      <c r="CA49" s="28" t="str">
        <f ca="1">IF(DcI!AB49="X","X",IF(LEN(DcI!AB49)=3,CONCATENATE("0",LEFT(DcI!AB49,1)),IF(LEN(DcI!AB49)=5,LEFT(DcI!AB49,2),IF(MID(DcI!AB49,2,1)="•",CONCATENATE("0",LEFT(DcI!AB49,1)),LEFT(DcI!AB49,2)))))</f>
        <v/>
      </c>
      <c r="CB49" s="28" t="str">
        <f ca="1">IF(DcI!AC49="X","X",IF(LEN(DcI!AC49)=3,CONCATENATE("0",LEFT(DcI!AC49,1)),IF(LEN(DcI!AC49)=5,LEFT(DcI!AC49,2),IF(MID(DcI!AC49,2,1)="•",CONCATENATE("0",LEFT(DcI!AC49,1)),LEFT(DcI!AC49,2)))))</f>
        <v/>
      </c>
      <c r="CC49" s="28" t="str">
        <f ca="1">IF(DcI!AD49="X","X",IF(LEN(DcI!AD49)=3,CONCATENATE("0",LEFT(DcI!AD49,1)),IF(LEN(DcI!AD49)=5,LEFT(DcI!AD49,2),IF(MID(DcI!AD49,2,1)="•",CONCATENATE("0",LEFT(DcI!AD49,1)),LEFT(DcI!AD49,2)))))</f>
        <v/>
      </c>
      <c r="CD49" s="28" t="str">
        <f ca="1">IF(DcI!AE49="X","X",IF(LEN(DcI!AE49)=3,CONCATENATE("0",LEFT(DcI!AE49,1)),IF(LEN(DcI!AE49)=5,LEFT(DcI!AE49,2),IF(MID(DcI!AE49,2,1)="•",CONCATENATE("0",LEFT(DcI!AE49,1)),LEFT(DcI!AE49,2)))))</f>
        <v/>
      </c>
      <c r="CE49" s="28" t="str">
        <f ca="1">IF(DcI!AF49="X","X",IF(LEN(DcI!AF49)=3,CONCATENATE("0",LEFT(DcI!AF49,1)),IF(LEN(DcI!AF49)=5,LEFT(DcI!AF49,2),IF(MID(DcI!AF49,2,1)="•",CONCATENATE("0",LEFT(DcI!AF49,1)),LEFT(DcI!AF49,2)))))</f>
        <v/>
      </c>
      <c r="CF49" s="28" t="str">
        <f ca="1">IF(DcI!AG49="X","X",IF(LEN(DcI!AG49)=3,CONCATENATE("0",LEFT(DcI!AG49,1)),IF(LEN(DcI!AG49)=5,LEFT(DcI!AG49,2),IF(MID(DcI!AG49,2,1)="•",CONCATENATE("0",LEFT(DcI!AG49,1)),LEFT(DcI!AG49,2)))))</f>
        <v/>
      </c>
      <c r="CG49" s="28" t="str">
        <f ca="1">IF(DcI!AH49="X","X",IF(LEN(DcI!AH49)=3,CONCATENATE("0",LEFT(DcI!AH49,1)),IF(LEN(DcI!AH49)=5,LEFT(DcI!AH49,2),IF(MID(DcI!AH49,2,1)="•",CONCATENATE("0",LEFT(DcI!AH49,1)),LEFT(DcI!AH49,2)))))</f>
        <v/>
      </c>
      <c r="CH49" s="28" t="str">
        <f ca="1">IF(DcI!AI49="X","X",IF(LEN(DcI!AI49)=3,CONCATENATE("0",LEFT(DcI!AI49,1)),IF(LEN(DcI!AI49)=5,LEFT(DcI!AI49,2),IF(MID(DcI!AI49,2,1)="•",CONCATENATE("0",LEFT(DcI!AI49,1)),LEFT(DcI!AI49,2)))))</f>
        <v/>
      </c>
      <c r="CI49" s="28" t="str">
        <f ca="1">IF(DcI!AJ49="X","X",IF(LEN(DcI!AJ49)=3,CONCATENATE("0",LEFT(DcI!AJ49,1)),IF(LEN(DcI!AJ49)=5,LEFT(DcI!AJ49,2),IF(MID(DcI!AJ49,2,1)="•",CONCATENATE("0",LEFT(DcI!AJ49,1)),LEFT(DcI!AJ49,2)))))</f>
        <v/>
      </c>
      <c r="CJ49" s="28" t="str">
        <f ca="1">IF(DcI!AK49="X","X",IF(LEN(DcI!AK49)=3,CONCATENATE("0",LEFT(DcI!AK49,1)),IF(LEN(DcI!AK49)=5,LEFT(DcI!AK49,2),IF(MID(DcI!AK49,2,1)="•",CONCATENATE("0",LEFT(DcI!AK49,1)),LEFT(DcI!AK49,2)))))</f>
        <v/>
      </c>
      <c r="CK49" s="28" t="str">
        <f ca="1">IF(DcI!AL49="X","X",IF(LEN(DcI!AL49)=3,CONCATENATE("0",LEFT(DcI!AL49,1)),IF(LEN(DcI!AL49)=5,LEFT(DcI!AL49,2),IF(MID(DcI!AL49,2,1)="•",CONCATENATE("0",LEFT(DcI!AL49,1)),LEFT(DcI!AL49,2)))))</f>
        <v/>
      </c>
      <c r="CL49" s="28" t="str">
        <f ca="1">IF(DcI!AM49="X","X",IF(LEN(DcI!AM49)=3,CONCATENATE("0",LEFT(DcI!AM49,1)),IF(LEN(DcI!AM49)=5,LEFT(DcI!AM49,2),IF(MID(DcI!AM49,2,1)="•",CONCATENATE("0",LEFT(DcI!AM49,1)),LEFT(DcI!AM49,2)))))</f>
        <v/>
      </c>
      <c r="CM49" s="28" t="str">
        <f ca="1">IF(DcI!AN49="X","X",IF(LEN(DcI!AN49)=3,CONCATENATE("0",LEFT(DcI!AN49,1)),IF(LEN(DcI!AN49)=5,LEFT(DcI!AN49,2),IF(MID(DcI!AN49,2,1)="•",CONCATENATE("0",LEFT(DcI!AN49,1)),LEFT(DcI!AN49,2)))))</f>
        <v/>
      </c>
      <c r="CN49" s="28" t="str">
        <f ca="1">IF(DcI!AO49="X","X",IF(LEN(DcI!AO49)=3,CONCATENATE("0",LEFT(DcI!AO49,1)),IF(LEN(DcI!AO49)=5,LEFT(DcI!AO49,2),IF(MID(DcI!AO49,2,1)="•",CONCATENATE("0",LEFT(DcI!AO49,1)),LEFT(DcI!AO49,2)))))</f>
        <v/>
      </c>
      <c r="CO49" s="347" t="str">
        <f ca="1">IF(DcI!AP49="X","X",IF(LEN(DcI!AP49)=3,CONCATENATE("0",LEFT(DcI!AP49,1)),IF(LEN(DcI!AP49)=5,LEFT(DcI!AP49,2),IF(MID(DcI!AP49,2,1)="•",CONCATENATE("0",LEFT(DcI!AP49,1)),LEFT(DcI!AP49,2)))))</f>
        <v/>
      </c>
      <c r="CP49" s="28" t="str">
        <f t="shared" ca="1" si="23"/>
        <v/>
      </c>
      <c r="CQ49" s="28" t="str">
        <f t="shared" ca="1" si="23"/>
        <v/>
      </c>
      <c r="CR49" s="28" t="str">
        <f t="shared" ca="1" si="23"/>
        <v/>
      </c>
      <c r="CS49" s="28" t="str">
        <f t="shared" ca="1" si="23"/>
        <v/>
      </c>
      <c r="CT49" s="28" t="str">
        <f t="shared" ca="1" si="23"/>
        <v/>
      </c>
      <c r="CU49" s="28" t="str">
        <f t="shared" ca="1" si="23"/>
        <v/>
      </c>
      <c r="CV49" s="346" t="str">
        <f t="shared" ca="1" si="23"/>
        <v/>
      </c>
    </row>
    <row r="50" spans="2:100" ht="15">
      <c r="B50" s="63" t="str">
        <v>CP</v>
      </c>
      <c r="C50" s="16" t="str">
        <f t="shared" si="8"/>
        <v>CP11:CP56</v>
      </c>
      <c r="D50" s="342" t="str">
        <f t="shared" ca="1" si="9"/>
        <v/>
      </c>
      <c r="E50" s="349" t="str">
        <f t="shared" ca="1" si="10"/>
        <v>ng</v>
      </c>
      <c r="F50" s="349" t="str">
        <f t="shared" ca="1" si="21"/>
        <v>ng</v>
      </c>
      <c r="G50" s="349" t="str">
        <f t="shared" ca="1" si="21"/>
        <v>ng</v>
      </c>
      <c r="H50" s="349" t="str">
        <f t="shared" ca="1" si="21"/>
        <v>ng</v>
      </c>
      <c r="I50" s="349" t="str">
        <f t="shared" ca="1" si="21"/>
        <v>ng</v>
      </c>
      <c r="J50" s="349" t="str">
        <f t="shared" ca="1" si="21"/>
        <v>ng</v>
      </c>
      <c r="K50" s="349" t="str">
        <f t="shared" ca="1" si="21"/>
        <v>ng</v>
      </c>
      <c r="L50" s="349" t="str">
        <f t="shared" ca="1" si="21"/>
        <v>ng</v>
      </c>
      <c r="M50" s="349" t="str">
        <f t="shared" ca="1" si="21"/>
        <v>ng</v>
      </c>
      <c r="N50" s="349" t="str">
        <f t="shared" ca="1" si="21"/>
        <v>ng</v>
      </c>
      <c r="O50" s="349" t="str">
        <f t="shared" ca="1" si="21"/>
        <v>ng</v>
      </c>
      <c r="P50" s="349" t="str">
        <f t="shared" ca="1" si="21"/>
        <v>ng</v>
      </c>
      <c r="Q50" s="349" t="str">
        <f t="shared" ca="1" si="21"/>
        <v>ng</v>
      </c>
      <c r="R50" s="349" t="str">
        <f t="shared" ca="1" si="21"/>
        <v>ng</v>
      </c>
      <c r="S50" s="349" t="str">
        <f t="shared" ca="1" si="21"/>
        <v>ng</v>
      </c>
      <c r="T50" s="349" t="str">
        <f t="shared" ca="1" si="21"/>
        <v>ng</v>
      </c>
      <c r="U50" s="349" t="str">
        <f t="shared" ca="1" si="21"/>
        <v>ng</v>
      </c>
      <c r="V50" s="349" t="str">
        <f t="shared" ca="1" si="21"/>
        <v>ng</v>
      </c>
      <c r="W50" s="349" t="str">
        <f t="shared" ca="1" si="21"/>
        <v>ng</v>
      </c>
      <c r="X50" s="349" t="str">
        <f t="shared" ca="1" si="21"/>
        <v>ng</v>
      </c>
      <c r="Y50" s="349" t="str">
        <f t="shared" ca="1" si="21"/>
        <v>ng</v>
      </c>
      <c r="Z50" s="349" t="str">
        <f t="shared" ca="1" si="21"/>
        <v>ng</v>
      </c>
      <c r="AA50" s="349" t="str">
        <f t="shared" ca="1" si="21"/>
        <v>ng</v>
      </c>
      <c r="AB50" s="349" t="str">
        <f t="shared" ca="1" si="21"/>
        <v>ng</v>
      </c>
      <c r="AC50" s="349" t="str">
        <f t="shared" ca="1" si="21"/>
        <v>ng</v>
      </c>
      <c r="AD50" s="349" t="str">
        <f t="shared" ca="1" si="21"/>
        <v>ng</v>
      </c>
      <c r="AE50" s="349" t="str">
        <f t="shared" ca="1" si="21"/>
        <v>ng</v>
      </c>
      <c r="AF50" s="349" t="str">
        <f t="shared" ca="1" si="21"/>
        <v>ng</v>
      </c>
      <c r="AG50" s="349" t="str">
        <f t="shared" ca="1" si="21"/>
        <v>ng</v>
      </c>
      <c r="AH50" s="349" t="str">
        <f t="shared" ca="1" si="21"/>
        <v>ng</v>
      </c>
      <c r="AI50" s="349" t="str">
        <f t="shared" ca="1" si="21"/>
        <v>ng</v>
      </c>
      <c r="AJ50" s="349" t="str">
        <f t="shared" ca="1" si="21"/>
        <v>ng</v>
      </c>
      <c r="AK50" s="349" t="str">
        <f t="shared" ca="1" si="21"/>
        <v>ng</v>
      </c>
      <c r="AL50" s="349" t="str">
        <f t="shared" ca="1" si="22"/>
        <v>ng</v>
      </c>
      <c r="AM50" s="349" t="str">
        <f t="shared" ca="1" si="22"/>
        <v>ng</v>
      </c>
      <c r="AN50" s="349" t="str">
        <f t="shared" ca="1" si="22"/>
        <v>ng</v>
      </c>
      <c r="AO50" s="349" t="str">
        <f t="shared" ca="1" si="22"/>
        <v>ng</v>
      </c>
      <c r="AP50" s="349" t="str">
        <f t="shared" ca="1" si="22"/>
        <v>ng</v>
      </c>
      <c r="AQ50" s="349" t="str">
        <f t="shared" ca="1" si="22"/>
        <v>ng</v>
      </c>
      <c r="AR50" s="350" t="str">
        <f t="shared" ca="1" si="22"/>
        <v>ng</v>
      </c>
      <c r="BA50" s="16" t="str">
        <v>CP</v>
      </c>
      <c r="BB50" s="342" t="str">
        <f ca="1">DcI!C50</f>
        <v/>
      </c>
      <c r="BC50" s="28" t="str">
        <f ca="1">IF(DcI!D50="X","X",IF(LEN(DcI!D50)=3,CONCATENATE("0",LEFT(DcI!D50,1)),IF(LEN(DcI!D50)=5,LEFT(DcI!D50,2),IF(MID(DcI!D50,2,1)="•",CONCATENATE("0",LEFT(DcI!D50,1)),LEFT(DcI!D50,2)))))</f>
        <v/>
      </c>
      <c r="BD50" s="28" t="str">
        <f ca="1">IF(DcI!E50="X","X",IF(LEN(DcI!E50)=3,CONCATENATE("0",LEFT(DcI!E50,1)),IF(LEN(DcI!E50)=5,LEFT(DcI!E50,2),IF(MID(DcI!E50,2,1)="•",CONCATENATE("0",LEFT(DcI!E50,1)),LEFT(DcI!E50,2)))))</f>
        <v/>
      </c>
      <c r="BE50" s="28" t="str">
        <f ca="1">IF(DcI!F50="X","X",IF(LEN(DcI!F50)=3,CONCATENATE("0",LEFT(DcI!F50,1)),IF(LEN(DcI!F50)=5,LEFT(DcI!F50,2),IF(MID(DcI!F50,2,1)="•",CONCATENATE("0",LEFT(DcI!F50,1)),LEFT(DcI!F50,2)))))</f>
        <v/>
      </c>
      <c r="BF50" s="28" t="str">
        <f ca="1">IF(DcI!G50="X","X",IF(LEN(DcI!G50)=3,CONCATENATE("0",LEFT(DcI!G50,1)),IF(LEN(DcI!G50)=5,LEFT(DcI!G50,2),IF(MID(DcI!G50,2,1)="•",CONCATENATE("0",LEFT(DcI!G50,1)),LEFT(DcI!G50,2)))))</f>
        <v/>
      </c>
      <c r="BG50" s="28" t="str">
        <f ca="1">IF(DcI!H50="X","X",IF(LEN(DcI!H50)=3,CONCATENATE("0",LEFT(DcI!H50,1)),IF(LEN(DcI!H50)=5,LEFT(DcI!H50,2),IF(MID(DcI!H50,2,1)="•",CONCATENATE("0",LEFT(DcI!H50,1)),LEFT(DcI!H50,2)))))</f>
        <v/>
      </c>
      <c r="BH50" s="28" t="str">
        <f ca="1">IF(DcI!I50="X","X",IF(LEN(DcI!I50)=3,CONCATENATE("0",LEFT(DcI!I50,1)),IF(LEN(DcI!I50)=5,LEFT(DcI!I50,2),IF(MID(DcI!I50,2,1)="•",CONCATENATE("0",LEFT(DcI!I50,1)),LEFT(DcI!I50,2)))))</f>
        <v/>
      </c>
      <c r="BI50" s="28" t="str">
        <f ca="1">IF(DcI!J50="X","X",IF(LEN(DcI!J50)=3,CONCATENATE("0",LEFT(DcI!J50,1)),IF(LEN(DcI!J50)=5,LEFT(DcI!J50,2),IF(MID(DcI!J50,2,1)="•",CONCATENATE("0",LEFT(DcI!J50,1)),LEFT(DcI!J50,2)))))</f>
        <v/>
      </c>
      <c r="BJ50" s="28" t="str">
        <f ca="1">IF(DcI!K50="X","X",IF(LEN(DcI!K50)=3,CONCATENATE("0",LEFT(DcI!K50,1)),IF(LEN(DcI!K50)=5,LEFT(DcI!K50,2),IF(MID(DcI!K50,2,1)="•",CONCATENATE("0",LEFT(DcI!K50,1)),LEFT(DcI!K50,2)))))</f>
        <v/>
      </c>
      <c r="BK50" s="28" t="str">
        <f ca="1">IF(DcI!L50="X","X",IF(LEN(DcI!L50)=3,CONCATENATE("0",LEFT(DcI!L50,1)),IF(LEN(DcI!L50)=5,LEFT(DcI!L50,2),IF(MID(DcI!L50,2,1)="•",CONCATENATE("0",LEFT(DcI!L50,1)),LEFT(DcI!L50,2)))))</f>
        <v/>
      </c>
      <c r="BL50" s="28" t="str">
        <f ca="1">IF(DcI!M50="X","X",IF(LEN(DcI!M50)=3,CONCATENATE("0",LEFT(DcI!M50,1)),IF(LEN(DcI!M50)=5,LEFT(DcI!M50,2),IF(MID(DcI!M50,2,1)="•",CONCATENATE("0",LEFT(DcI!M50,1)),LEFT(DcI!M50,2)))))</f>
        <v/>
      </c>
      <c r="BM50" s="28" t="str">
        <f ca="1">IF(DcI!N50="X","X",IF(LEN(DcI!N50)=3,CONCATENATE("0",LEFT(DcI!N50,1)),IF(LEN(DcI!N50)=5,LEFT(DcI!N50,2),IF(MID(DcI!N50,2,1)="•",CONCATENATE("0",LEFT(DcI!N50,1)),LEFT(DcI!N50,2)))))</f>
        <v/>
      </c>
      <c r="BN50" s="28" t="str">
        <f ca="1">IF(DcI!O50="X","X",IF(LEN(DcI!O50)=3,CONCATENATE("0",LEFT(DcI!O50,1)),IF(LEN(DcI!O50)=5,LEFT(DcI!O50,2),IF(MID(DcI!O50,2,1)="•",CONCATENATE("0",LEFT(DcI!O50,1)),LEFT(DcI!O50,2)))))</f>
        <v/>
      </c>
      <c r="BO50" s="28" t="str">
        <f ca="1">IF(DcI!P50="X","X",IF(LEN(DcI!P50)=3,CONCATENATE("0",LEFT(DcI!P50,1)),IF(LEN(DcI!P50)=5,LEFT(DcI!P50,2),IF(MID(DcI!P50,2,1)="•",CONCATENATE("0",LEFT(DcI!P50,1)),LEFT(DcI!P50,2)))))</f>
        <v/>
      </c>
      <c r="BP50" s="28" t="str">
        <f ca="1">IF(DcI!Q50="X","X",IF(LEN(DcI!Q50)=3,CONCATENATE("0",LEFT(DcI!Q50,1)),IF(LEN(DcI!Q50)=5,LEFT(DcI!Q50,2),IF(MID(DcI!Q50,2,1)="•",CONCATENATE("0",LEFT(DcI!Q50,1)),LEFT(DcI!Q50,2)))))</f>
        <v/>
      </c>
      <c r="BQ50" s="28" t="str">
        <f ca="1">IF(DcI!R50="X","X",IF(LEN(DcI!R50)=3,CONCATENATE("0",LEFT(DcI!R50,1)),IF(LEN(DcI!R50)=5,LEFT(DcI!R50,2),IF(MID(DcI!R50,2,1)="•",CONCATENATE("0",LEFT(DcI!R50,1)),LEFT(DcI!R50,2)))))</f>
        <v/>
      </c>
      <c r="BR50" s="28" t="str">
        <f ca="1">IF(DcI!S50="X","X",IF(LEN(DcI!S50)=3,CONCATENATE("0",LEFT(DcI!S50,1)),IF(LEN(DcI!S50)=5,LEFT(DcI!S50,2),IF(MID(DcI!S50,2,1)="•",CONCATENATE("0",LEFT(DcI!S50,1)),LEFT(DcI!S50,2)))))</f>
        <v/>
      </c>
      <c r="BS50" s="28" t="str">
        <f ca="1">IF(DcI!T50="X","X",IF(LEN(DcI!T50)=3,CONCATENATE("0",LEFT(DcI!T50,1)),IF(LEN(DcI!T50)=5,LEFT(DcI!T50,2),IF(MID(DcI!T50,2,1)="•",CONCATENATE("0",LEFT(DcI!T50,1)),LEFT(DcI!T50,2)))))</f>
        <v/>
      </c>
      <c r="BT50" s="28" t="str">
        <f ca="1">IF(DcI!U50="X","X",IF(LEN(DcI!U50)=3,CONCATENATE("0",LEFT(DcI!U50,1)),IF(LEN(DcI!U50)=5,LEFT(DcI!U50,2),IF(MID(DcI!U50,2,1)="•",CONCATENATE("0",LEFT(DcI!U50,1)),LEFT(DcI!U50,2)))))</f>
        <v/>
      </c>
      <c r="BU50" s="28" t="str">
        <f ca="1">IF(DcI!V50="X","X",IF(LEN(DcI!V50)=3,CONCATENATE("0",LEFT(DcI!V50,1)),IF(LEN(DcI!V50)=5,LEFT(DcI!V50,2),IF(MID(DcI!V50,2,1)="•",CONCATENATE("0",LEFT(DcI!V50,1)),LEFT(DcI!V50,2)))))</f>
        <v/>
      </c>
      <c r="BV50" s="28" t="str">
        <f ca="1">IF(DcI!W50="X","X",IF(LEN(DcI!W50)=3,CONCATENATE("0",LEFT(DcI!W50,1)),IF(LEN(DcI!W50)=5,LEFT(DcI!W50,2),IF(MID(DcI!W50,2,1)="•",CONCATENATE("0",LEFT(DcI!W50,1)),LEFT(DcI!W50,2)))))</f>
        <v/>
      </c>
      <c r="BW50" s="28" t="str">
        <f ca="1">IF(DcI!X50="X","X",IF(LEN(DcI!X50)=3,CONCATENATE("0",LEFT(DcI!X50,1)),IF(LEN(DcI!X50)=5,LEFT(DcI!X50,2),IF(MID(DcI!X50,2,1)="•",CONCATENATE("0",LEFT(DcI!X50,1)),LEFT(DcI!X50,2)))))</f>
        <v/>
      </c>
      <c r="BX50" s="28" t="str">
        <f ca="1">IF(DcI!Y50="X","X",IF(LEN(DcI!Y50)=3,CONCATENATE("0",LEFT(DcI!Y50,1)),IF(LEN(DcI!Y50)=5,LEFT(DcI!Y50,2),IF(MID(DcI!Y50,2,1)="•",CONCATENATE("0",LEFT(DcI!Y50,1)),LEFT(DcI!Y50,2)))))</f>
        <v/>
      </c>
      <c r="BY50" s="28" t="str">
        <f ca="1">IF(DcI!Z50="X","X",IF(LEN(DcI!Z50)=3,CONCATENATE("0",LEFT(DcI!Z50,1)),IF(LEN(DcI!Z50)=5,LEFT(DcI!Z50,2),IF(MID(DcI!Z50,2,1)="•",CONCATENATE("0",LEFT(DcI!Z50,1)),LEFT(DcI!Z50,2)))))</f>
        <v/>
      </c>
      <c r="BZ50" s="28" t="str">
        <f ca="1">IF(DcI!AA50="X","X",IF(LEN(DcI!AA50)=3,CONCATENATE("0",LEFT(DcI!AA50,1)),IF(LEN(DcI!AA50)=5,LEFT(DcI!AA50,2),IF(MID(DcI!AA50,2,1)="•",CONCATENATE("0",LEFT(DcI!AA50,1)),LEFT(DcI!AA50,2)))))</f>
        <v/>
      </c>
      <c r="CA50" s="28" t="str">
        <f ca="1">IF(DcI!AB50="X","X",IF(LEN(DcI!AB50)=3,CONCATENATE("0",LEFT(DcI!AB50,1)),IF(LEN(DcI!AB50)=5,LEFT(DcI!AB50,2),IF(MID(DcI!AB50,2,1)="•",CONCATENATE("0",LEFT(DcI!AB50,1)),LEFT(DcI!AB50,2)))))</f>
        <v/>
      </c>
      <c r="CB50" s="28" t="str">
        <f ca="1">IF(DcI!AC50="X","X",IF(LEN(DcI!AC50)=3,CONCATENATE("0",LEFT(DcI!AC50,1)),IF(LEN(DcI!AC50)=5,LEFT(DcI!AC50,2),IF(MID(DcI!AC50,2,1)="•",CONCATENATE("0",LEFT(DcI!AC50,1)),LEFT(DcI!AC50,2)))))</f>
        <v/>
      </c>
      <c r="CC50" s="28" t="str">
        <f ca="1">IF(DcI!AD50="X","X",IF(LEN(DcI!AD50)=3,CONCATENATE("0",LEFT(DcI!AD50,1)),IF(LEN(DcI!AD50)=5,LEFT(DcI!AD50,2),IF(MID(DcI!AD50,2,1)="•",CONCATENATE("0",LEFT(DcI!AD50,1)),LEFT(DcI!AD50,2)))))</f>
        <v/>
      </c>
      <c r="CD50" s="28" t="str">
        <f ca="1">IF(DcI!AE50="X","X",IF(LEN(DcI!AE50)=3,CONCATENATE("0",LEFT(DcI!AE50,1)),IF(LEN(DcI!AE50)=5,LEFT(DcI!AE50,2),IF(MID(DcI!AE50,2,1)="•",CONCATENATE("0",LEFT(DcI!AE50,1)),LEFT(DcI!AE50,2)))))</f>
        <v/>
      </c>
      <c r="CE50" s="28" t="str">
        <f ca="1">IF(DcI!AF50="X","X",IF(LEN(DcI!AF50)=3,CONCATENATE("0",LEFT(DcI!AF50,1)),IF(LEN(DcI!AF50)=5,LEFT(DcI!AF50,2),IF(MID(DcI!AF50,2,1)="•",CONCATENATE("0",LEFT(DcI!AF50,1)),LEFT(DcI!AF50,2)))))</f>
        <v/>
      </c>
      <c r="CF50" s="28" t="str">
        <f ca="1">IF(DcI!AG50="X","X",IF(LEN(DcI!AG50)=3,CONCATENATE("0",LEFT(DcI!AG50,1)),IF(LEN(DcI!AG50)=5,LEFT(DcI!AG50,2),IF(MID(DcI!AG50,2,1)="•",CONCATENATE("0",LEFT(DcI!AG50,1)),LEFT(DcI!AG50,2)))))</f>
        <v/>
      </c>
      <c r="CG50" s="28" t="str">
        <f ca="1">IF(DcI!AH50="X","X",IF(LEN(DcI!AH50)=3,CONCATENATE("0",LEFT(DcI!AH50,1)),IF(LEN(DcI!AH50)=5,LEFT(DcI!AH50,2),IF(MID(DcI!AH50,2,1)="•",CONCATENATE("0",LEFT(DcI!AH50,1)),LEFT(DcI!AH50,2)))))</f>
        <v/>
      </c>
      <c r="CH50" s="28" t="str">
        <f ca="1">IF(DcI!AI50="X","X",IF(LEN(DcI!AI50)=3,CONCATENATE("0",LEFT(DcI!AI50,1)),IF(LEN(DcI!AI50)=5,LEFT(DcI!AI50,2),IF(MID(DcI!AI50,2,1)="•",CONCATENATE("0",LEFT(DcI!AI50,1)),LEFT(DcI!AI50,2)))))</f>
        <v/>
      </c>
      <c r="CI50" s="28" t="str">
        <f ca="1">IF(DcI!AJ50="X","X",IF(LEN(DcI!AJ50)=3,CONCATENATE("0",LEFT(DcI!AJ50,1)),IF(LEN(DcI!AJ50)=5,LEFT(DcI!AJ50,2),IF(MID(DcI!AJ50,2,1)="•",CONCATENATE("0",LEFT(DcI!AJ50,1)),LEFT(DcI!AJ50,2)))))</f>
        <v/>
      </c>
      <c r="CJ50" s="28" t="str">
        <f ca="1">IF(DcI!AK50="X","X",IF(LEN(DcI!AK50)=3,CONCATENATE("0",LEFT(DcI!AK50,1)),IF(LEN(DcI!AK50)=5,LEFT(DcI!AK50,2),IF(MID(DcI!AK50,2,1)="•",CONCATENATE("0",LEFT(DcI!AK50,1)),LEFT(DcI!AK50,2)))))</f>
        <v/>
      </c>
      <c r="CK50" s="28" t="str">
        <f ca="1">IF(DcI!AL50="X","X",IF(LEN(DcI!AL50)=3,CONCATENATE("0",LEFT(DcI!AL50,1)),IF(LEN(DcI!AL50)=5,LEFT(DcI!AL50,2),IF(MID(DcI!AL50,2,1)="•",CONCATENATE("0",LEFT(DcI!AL50,1)),LEFT(DcI!AL50,2)))))</f>
        <v/>
      </c>
      <c r="CL50" s="28" t="str">
        <f ca="1">IF(DcI!AM50="X","X",IF(LEN(DcI!AM50)=3,CONCATENATE("0",LEFT(DcI!AM50,1)),IF(LEN(DcI!AM50)=5,LEFT(DcI!AM50,2),IF(MID(DcI!AM50,2,1)="•",CONCATENATE("0",LEFT(DcI!AM50,1)),LEFT(DcI!AM50,2)))))</f>
        <v/>
      </c>
      <c r="CM50" s="28" t="str">
        <f ca="1">IF(DcI!AN50="X","X",IF(LEN(DcI!AN50)=3,CONCATENATE("0",LEFT(DcI!AN50,1)),IF(LEN(DcI!AN50)=5,LEFT(DcI!AN50,2),IF(MID(DcI!AN50,2,1)="•",CONCATENATE("0",LEFT(DcI!AN50,1)),LEFT(DcI!AN50,2)))))</f>
        <v/>
      </c>
      <c r="CN50" s="28" t="str">
        <f ca="1">IF(DcI!AO50="X","X",IF(LEN(DcI!AO50)=3,CONCATENATE("0",LEFT(DcI!AO50,1)),IF(LEN(DcI!AO50)=5,LEFT(DcI!AO50,2),IF(MID(DcI!AO50,2,1)="•",CONCATENATE("0",LEFT(DcI!AO50,1)),LEFT(DcI!AO50,2)))))</f>
        <v/>
      </c>
      <c r="CO50" s="28" t="str">
        <f ca="1">IF(DcI!AP50="X","X",IF(LEN(DcI!AP50)=3,CONCATENATE("0",LEFT(DcI!AP50,1)),IF(LEN(DcI!AP50)=5,LEFT(DcI!AP50,2),IF(MID(DcI!AP50,2,1)="•",CONCATENATE("0",LEFT(DcI!AP50,1)),LEFT(DcI!AP50,2)))))</f>
        <v/>
      </c>
      <c r="CP50" s="347" t="str">
        <f ca="1">IF(DcI!AQ50="X","X",IF(LEN(DcI!AQ50)=3,CONCATENATE("0",LEFT(DcI!AQ50,1)),IF(LEN(DcI!AQ50)=5,LEFT(DcI!AQ50,2),IF(MID(DcI!AQ50,2,1)="•",CONCATENATE("0",LEFT(DcI!AQ50,1)),LEFT(DcI!AQ50,2)))))</f>
        <v/>
      </c>
      <c r="CQ50" s="28" t="str">
        <f t="shared" ca="1" si="23"/>
        <v/>
      </c>
      <c r="CR50" s="28" t="str">
        <f t="shared" ca="1" si="23"/>
        <v/>
      </c>
      <c r="CS50" s="28" t="str">
        <f t="shared" ca="1" si="23"/>
        <v/>
      </c>
      <c r="CT50" s="28" t="str">
        <f t="shared" ca="1" si="23"/>
        <v/>
      </c>
      <c r="CU50" s="28" t="str">
        <f t="shared" ca="1" si="23"/>
        <v/>
      </c>
      <c r="CV50" s="346" t="str">
        <f t="shared" ca="1" si="23"/>
        <v/>
      </c>
    </row>
    <row r="51" spans="2:100">
      <c r="B51" s="17" t="str">
        <v>CQ</v>
      </c>
      <c r="C51" s="16" t="str">
        <f t="shared" si="8"/>
        <v>CQ11:CQ56</v>
      </c>
      <c r="D51" s="342" t="str">
        <f t="shared" ca="1" si="9"/>
        <v/>
      </c>
      <c r="E51" s="349" t="str">
        <f t="shared" ca="1" si="10"/>
        <v>ng</v>
      </c>
      <c r="F51" s="349" t="str">
        <f t="shared" ca="1" si="21"/>
        <v>ng</v>
      </c>
      <c r="G51" s="349" t="str">
        <f t="shared" ca="1" si="21"/>
        <v>ng</v>
      </c>
      <c r="H51" s="349" t="str">
        <f t="shared" ca="1" si="21"/>
        <v>ng</v>
      </c>
      <c r="I51" s="349" t="str">
        <f t="shared" ca="1" si="21"/>
        <v>ng</v>
      </c>
      <c r="J51" s="349" t="str">
        <f t="shared" ca="1" si="21"/>
        <v>ng</v>
      </c>
      <c r="K51" s="349" t="str">
        <f t="shared" ca="1" si="21"/>
        <v>ng</v>
      </c>
      <c r="L51" s="349" t="str">
        <f t="shared" ca="1" si="21"/>
        <v>ng</v>
      </c>
      <c r="M51" s="349" t="str">
        <f t="shared" ca="1" si="21"/>
        <v>ng</v>
      </c>
      <c r="N51" s="349" t="str">
        <f t="shared" ca="1" si="21"/>
        <v>ng</v>
      </c>
      <c r="O51" s="349" t="str">
        <f t="shared" ca="1" si="21"/>
        <v>ng</v>
      </c>
      <c r="P51" s="349" t="str">
        <f t="shared" ref="F51:AL56" ca="1" si="24">IF(ISERROR(INDIRECT(CONCATENATE("D",MATCH(P$6,INDIRECT($C51),0)+10))),"ng",INDIRECT(CONCATENATE("D",MATCH(P$6,INDIRECT($C51),0)+10)))</f>
        <v>ng</v>
      </c>
      <c r="Q51" s="349" t="str">
        <f t="shared" ca="1" si="24"/>
        <v>ng</v>
      </c>
      <c r="R51" s="349" t="str">
        <f t="shared" ca="1" si="24"/>
        <v>ng</v>
      </c>
      <c r="S51" s="349" t="str">
        <f t="shared" ca="1" si="24"/>
        <v>ng</v>
      </c>
      <c r="T51" s="349" t="str">
        <f t="shared" ca="1" si="24"/>
        <v>ng</v>
      </c>
      <c r="U51" s="349" t="str">
        <f t="shared" ca="1" si="24"/>
        <v>ng</v>
      </c>
      <c r="V51" s="349" t="str">
        <f t="shared" ca="1" si="24"/>
        <v>ng</v>
      </c>
      <c r="W51" s="349" t="str">
        <f t="shared" ca="1" si="24"/>
        <v>ng</v>
      </c>
      <c r="X51" s="349" t="str">
        <f t="shared" ca="1" si="24"/>
        <v>ng</v>
      </c>
      <c r="Y51" s="349" t="str">
        <f t="shared" ca="1" si="24"/>
        <v>ng</v>
      </c>
      <c r="Z51" s="349" t="str">
        <f t="shared" ca="1" si="24"/>
        <v>ng</v>
      </c>
      <c r="AA51" s="349" t="str">
        <f t="shared" ca="1" si="24"/>
        <v>ng</v>
      </c>
      <c r="AB51" s="349" t="str">
        <f t="shared" ca="1" si="24"/>
        <v>ng</v>
      </c>
      <c r="AC51" s="349" t="str">
        <f t="shared" ca="1" si="24"/>
        <v>ng</v>
      </c>
      <c r="AD51" s="349" t="str">
        <f t="shared" ca="1" si="24"/>
        <v>ng</v>
      </c>
      <c r="AE51" s="349" t="str">
        <f t="shared" ca="1" si="24"/>
        <v>ng</v>
      </c>
      <c r="AF51" s="349" t="str">
        <f t="shared" ca="1" si="24"/>
        <v>ng</v>
      </c>
      <c r="AG51" s="349" t="str">
        <f t="shared" ca="1" si="24"/>
        <v>ng</v>
      </c>
      <c r="AH51" s="349" t="str">
        <f t="shared" ca="1" si="24"/>
        <v>ng</v>
      </c>
      <c r="AI51" s="349" t="str">
        <f t="shared" ca="1" si="24"/>
        <v>ng</v>
      </c>
      <c r="AJ51" s="349" t="str">
        <f t="shared" ca="1" si="24"/>
        <v>ng</v>
      </c>
      <c r="AK51" s="349" t="str">
        <f t="shared" ca="1" si="24"/>
        <v>ng</v>
      </c>
      <c r="AL51" s="349" t="str">
        <f t="shared" ca="1" si="24"/>
        <v>ng</v>
      </c>
      <c r="AM51" s="349" t="str">
        <f t="shared" ca="1" si="22"/>
        <v>ng</v>
      </c>
      <c r="AN51" s="349" t="str">
        <f t="shared" ca="1" si="22"/>
        <v>ng</v>
      </c>
      <c r="AO51" s="349" t="str">
        <f t="shared" ca="1" si="22"/>
        <v>ng</v>
      </c>
      <c r="AP51" s="349" t="str">
        <f t="shared" ca="1" si="22"/>
        <v>ng</v>
      </c>
      <c r="AQ51" s="349" t="str">
        <f t="shared" ca="1" si="22"/>
        <v>ng</v>
      </c>
      <c r="AR51" s="350" t="str">
        <f t="shared" ca="1" si="22"/>
        <v>ng</v>
      </c>
      <c r="BA51" s="16" t="str">
        <v>CQ</v>
      </c>
      <c r="BB51" s="342" t="str">
        <f ca="1">DcI!C51</f>
        <v/>
      </c>
      <c r="BC51" s="28" t="str">
        <f ca="1">IF(DcI!D51="X","X",IF(LEN(DcI!D51)=3,CONCATENATE("0",LEFT(DcI!D51,1)),IF(LEN(DcI!D51)=5,LEFT(DcI!D51,2),IF(MID(DcI!D51,2,1)="•",CONCATENATE("0",LEFT(DcI!D51,1)),LEFT(DcI!D51,2)))))</f>
        <v/>
      </c>
      <c r="BD51" s="28" t="str">
        <f ca="1">IF(DcI!E51="X","X",IF(LEN(DcI!E51)=3,CONCATENATE("0",LEFT(DcI!E51,1)),IF(LEN(DcI!E51)=5,LEFT(DcI!E51,2),IF(MID(DcI!E51,2,1)="•",CONCATENATE("0",LEFT(DcI!E51,1)),LEFT(DcI!E51,2)))))</f>
        <v/>
      </c>
      <c r="BE51" s="28" t="str">
        <f ca="1">IF(DcI!F51="X","X",IF(LEN(DcI!F51)=3,CONCATENATE("0",LEFT(DcI!F51,1)),IF(LEN(DcI!F51)=5,LEFT(DcI!F51,2),IF(MID(DcI!F51,2,1)="•",CONCATENATE("0",LEFT(DcI!F51,1)),LEFT(DcI!F51,2)))))</f>
        <v/>
      </c>
      <c r="BF51" s="28" t="str">
        <f ca="1">IF(DcI!G51="X","X",IF(LEN(DcI!G51)=3,CONCATENATE("0",LEFT(DcI!G51,1)),IF(LEN(DcI!G51)=5,LEFT(DcI!G51,2),IF(MID(DcI!G51,2,1)="•",CONCATENATE("0",LEFT(DcI!G51,1)),LEFT(DcI!G51,2)))))</f>
        <v/>
      </c>
      <c r="BG51" s="28" t="str">
        <f ca="1">IF(DcI!H51="X","X",IF(LEN(DcI!H51)=3,CONCATENATE("0",LEFT(DcI!H51,1)),IF(LEN(DcI!H51)=5,LEFT(DcI!H51,2),IF(MID(DcI!H51,2,1)="•",CONCATENATE("0",LEFT(DcI!H51,1)),LEFT(DcI!H51,2)))))</f>
        <v/>
      </c>
      <c r="BH51" s="28" t="str">
        <f ca="1">IF(DcI!I51="X","X",IF(LEN(DcI!I51)=3,CONCATENATE("0",LEFT(DcI!I51,1)),IF(LEN(DcI!I51)=5,LEFT(DcI!I51,2),IF(MID(DcI!I51,2,1)="•",CONCATENATE("0",LEFT(DcI!I51,1)),LEFT(DcI!I51,2)))))</f>
        <v/>
      </c>
      <c r="BI51" s="28" t="str">
        <f ca="1">IF(DcI!J51="X","X",IF(LEN(DcI!J51)=3,CONCATENATE("0",LEFT(DcI!J51,1)),IF(LEN(DcI!J51)=5,LEFT(DcI!J51,2),IF(MID(DcI!J51,2,1)="•",CONCATENATE("0",LEFT(DcI!J51,1)),LEFT(DcI!J51,2)))))</f>
        <v/>
      </c>
      <c r="BJ51" s="28" t="str">
        <f ca="1">IF(DcI!K51="X","X",IF(LEN(DcI!K51)=3,CONCATENATE("0",LEFT(DcI!K51,1)),IF(LEN(DcI!K51)=5,LEFT(DcI!K51,2),IF(MID(DcI!K51,2,1)="•",CONCATENATE("0",LEFT(DcI!K51,1)),LEFT(DcI!K51,2)))))</f>
        <v/>
      </c>
      <c r="BK51" s="28" t="str">
        <f ca="1">IF(DcI!L51="X","X",IF(LEN(DcI!L51)=3,CONCATENATE("0",LEFT(DcI!L51,1)),IF(LEN(DcI!L51)=5,LEFT(DcI!L51,2),IF(MID(DcI!L51,2,1)="•",CONCATENATE("0",LEFT(DcI!L51,1)),LEFT(DcI!L51,2)))))</f>
        <v/>
      </c>
      <c r="BL51" s="28" t="str">
        <f ca="1">IF(DcI!M51="X","X",IF(LEN(DcI!M51)=3,CONCATENATE("0",LEFT(DcI!M51,1)),IF(LEN(DcI!M51)=5,LEFT(DcI!M51,2),IF(MID(DcI!M51,2,1)="•",CONCATENATE("0",LEFT(DcI!M51,1)),LEFT(DcI!M51,2)))))</f>
        <v/>
      </c>
      <c r="BM51" s="28" t="str">
        <f ca="1">IF(DcI!N51="X","X",IF(LEN(DcI!N51)=3,CONCATENATE("0",LEFT(DcI!N51,1)),IF(LEN(DcI!N51)=5,LEFT(DcI!N51,2),IF(MID(DcI!N51,2,1)="•",CONCATENATE("0",LEFT(DcI!N51,1)),LEFT(DcI!N51,2)))))</f>
        <v/>
      </c>
      <c r="BN51" s="28" t="str">
        <f ca="1">IF(DcI!O51="X","X",IF(LEN(DcI!O51)=3,CONCATENATE("0",LEFT(DcI!O51,1)),IF(LEN(DcI!O51)=5,LEFT(DcI!O51,2),IF(MID(DcI!O51,2,1)="•",CONCATENATE("0",LEFT(DcI!O51,1)),LEFT(DcI!O51,2)))))</f>
        <v/>
      </c>
      <c r="BO51" s="28" t="str">
        <f ca="1">IF(DcI!P51="X","X",IF(LEN(DcI!P51)=3,CONCATENATE("0",LEFT(DcI!P51,1)),IF(LEN(DcI!P51)=5,LEFT(DcI!P51,2),IF(MID(DcI!P51,2,1)="•",CONCATENATE("0",LEFT(DcI!P51,1)),LEFT(DcI!P51,2)))))</f>
        <v/>
      </c>
      <c r="BP51" s="28" t="str">
        <f ca="1">IF(DcI!Q51="X","X",IF(LEN(DcI!Q51)=3,CONCATENATE("0",LEFT(DcI!Q51,1)),IF(LEN(DcI!Q51)=5,LEFT(DcI!Q51,2),IF(MID(DcI!Q51,2,1)="•",CONCATENATE("0",LEFT(DcI!Q51,1)),LEFT(DcI!Q51,2)))))</f>
        <v/>
      </c>
      <c r="BQ51" s="28" t="str">
        <f ca="1">IF(DcI!R51="X","X",IF(LEN(DcI!R51)=3,CONCATENATE("0",LEFT(DcI!R51,1)),IF(LEN(DcI!R51)=5,LEFT(DcI!R51,2),IF(MID(DcI!R51,2,1)="•",CONCATENATE("0",LEFT(DcI!R51,1)),LEFT(DcI!R51,2)))))</f>
        <v/>
      </c>
      <c r="BR51" s="28" t="str">
        <f ca="1">IF(DcI!S51="X","X",IF(LEN(DcI!S51)=3,CONCATENATE("0",LEFT(DcI!S51,1)),IF(LEN(DcI!S51)=5,LEFT(DcI!S51,2),IF(MID(DcI!S51,2,1)="•",CONCATENATE("0",LEFT(DcI!S51,1)),LEFT(DcI!S51,2)))))</f>
        <v/>
      </c>
      <c r="BS51" s="28" t="str">
        <f ca="1">IF(DcI!T51="X","X",IF(LEN(DcI!T51)=3,CONCATENATE("0",LEFT(DcI!T51,1)),IF(LEN(DcI!T51)=5,LEFT(DcI!T51,2),IF(MID(DcI!T51,2,1)="•",CONCATENATE("0",LEFT(DcI!T51,1)),LEFT(DcI!T51,2)))))</f>
        <v/>
      </c>
      <c r="BT51" s="28" t="str">
        <f ca="1">IF(DcI!U51="X","X",IF(LEN(DcI!U51)=3,CONCATENATE("0",LEFT(DcI!U51,1)),IF(LEN(DcI!U51)=5,LEFT(DcI!U51,2),IF(MID(DcI!U51,2,1)="•",CONCATENATE("0",LEFT(DcI!U51,1)),LEFT(DcI!U51,2)))))</f>
        <v/>
      </c>
      <c r="BU51" s="28" t="str">
        <f ca="1">IF(DcI!V51="X","X",IF(LEN(DcI!V51)=3,CONCATENATE("0",LEFT(DcI!V51,1)),IF(LEN(DcI!V51)=5,LEFT(DcI!V51,2),IF(MID(DcI!V51,2,1)="•",CONCATENATE("0",LEFT(DcI!V51,1)),LEFT(DcI!V51,2)))))</f>
        <v/>
      </c>
      <c r="BV51" s="28" t="str">
        <f ca="1">IF(DcI!W51="X","X",IF(LEN(DcI!W51)=3,CONCATENATE("0",LEFT(DcI!W51,1)),IF(LEN(DcI!W51)=5,LEFT(DcI!W51,2),IF(MID(DcI!W51,2,1)="•",CONCATENATE("0",LEFT(DcI!W51,1)),LEFT(DcI!W51,2)))))</f>
        <v/>
      </c>
      <c r="BW51" s="28" t="str">
        <f ca="1">IF(DcI!X51="X","X",IF(LEN(DcI!X51)=3,CONCATENATE("0",LEFT(DcI!X51,1)),IF(LEN(DcI!X51)=5,LEFT(DcI!X51,2),IF(MID(DcI!X51,2,1)="•",CONCATENATE("0",LEFT(DcI!X51,1)),LEFT(DcI!X51,2)))))</f>
        <v/>
      </c>
      <c r="BX51" s="28" t="str">
        <f ca="1">IF(DcI!Y51="X","X",IF(LEN(DcI!Y51)=3,CONCATENATE("0",LEFT(DcI!Y51,1)),IF(LEN(DcI!Y51)=5,LEFT(DcI!Y51,2),IF(MID(DcI!Y51,2,1)="•",CONCATENATE("0",LEFT(DcI!Y51,1)),LEFT(DcI!Y51,2)))))</f>
        <v/>
      </c>
      <c r="BY51" s="28" t="str">
        <f ca="1">IF(DcI!Z51="X","X",IF(LEN(DcI!Z51)=3,CONCATENATE("0",LEFT(DcI!Z51,1)),IF(LEN(DcI!Z51)=5,LEFT(DcI!Z51,2),IF(MID(DcI!Z51,2,1)="•",CONCATENATE("0",LEFT(DcI!Z51,1)),LEFT(DcI!Z51,2)))))</f>
        <v/>
      </c>
      <c r="BZ51" s="28" t="str">
        <f ca="1">IF(DcI!AA51="X","X",IF(LEN(DcI!AA51)=3,CONCATENATE("0",LEFT(DcI!AA51,1)),IF(LEN(DcI!AA51)=5,LEFT(DcI!AA51,2),IF(MID(DcI!AA51,2,1)="•",CONCATENATE("0",LEFT(DcI!AA51,1)),LEFT(DcI!AA51,2)))))</f>
        <v/>
      </c>
      <c r="CA51" s="28" t="str">
        <f ca="1">IF(DcI!AB51="X","X",IF(LEN(DcI!AB51)=3,CONCATENATE("0",LEFT(DcI!AB51,1)),IF(LEN(DcI!AB51)=5,LEFT(DcI!AB51,2),IF(MID(DcI!AB51,2,1)="•",CONCATENATE("0",LEFT(DcI!AB51,1)),LEFT(DcI!AB51,2)))))</f>
        <v/>
      </c>
      <c r="CB51" s="28" t="str">
        <f ca="1">IF(DcI!AC51="X","X",IF(LEN(DcI!AC51)=3,CONCATENATE("0",LEFT(DcI!AC51,1)),IF(LEN(DcI!AC51)=5,LEFT(DcI!AC51,2),IF(MID(DcI!AC51,2,1)="•",CONCATENATE("0",LEFT(DcI!AC51,1)),LEFT(DcI!AC51,2)))))</f>
        <v/>
      </c>
      <c r="CC51" s="28" t="str">
        <f ca="1">IF(DcI!AD51="X","X",IF(LEN(DcI!AD51)=3,CONCATENATE("0",LEFT(DcI!AD51,1)),IF(LEN(DcI!AD51)=5,LEFT(DcI!AD51,2),IF(MID(DcI!AD51,2,1)="•",CONCATENATE("0",LEFT(DcI!AD51,1)),LEFT(DcI!AD51,2)))))</f>
        <v/>
      </c>
      <c r="CD51" s="28" t="str">
        <f ca="1">IF(DcI!AE51="X","X",IF(LEN(DcI!AE51)=3,CONCATENATE("0",LEFT(DcI!AE51,1)),IF(LEN(DcI!AE51)=5,LEFT(DcI!AE51,2),IF(MID(DcI!AE51,2,1)="•",CONCATENATE("0",LEFT(DcI!AE51,1)),LEFT(DcI!AE51,2)))))</f>
        <v/>
      </c>
      <c r="CE51" s="28" t="str">
        <f ca="1">IF(DcI!AF51="X","X",IF(LEN(DcI!AF51)=3,CONCATENATE("0",LEFT(DcI!AF51,1)),IF(LEN(DcI!AF51)=5,LEFT(DcI!AF51,2),IF(MID(DcI!AF51,2,1)="•",CONCATENATE("0",LEFT(DcI!AF51,1)),LEFT(DcI!AF51,2)))))</f>
        <v/>
      </c>
      <c r="CF51" s="28" t="str">
        <f ca="1">IF(DcI!AG51="X","X",IF(LEN(DcI!AG51)=3,CONCATENATE("0",LEFT(DcI!AG51,1)),IF(LEN(DcI!AG51)=5,LEFT(DcI!AG51,2),IF(MID(DcI!AG51,2,1)="•",CONCATENATE("0",LEFT(DcI!AG51,1)),LEFT(DcI!AG51,2)))))</f>
        <v/>
      </c>
      <c r="CG51" s="28" t="str">
        <f ca="1">IF(DcI!AH51="X","X",IF(LEN(DcI!AH51)=3,CONCATENATE("0",LEFT(DcI!AH51,1)),IF(LEN(DcI!AH51)=5,LEFT(DcI!AH51,2),IF(MID(DcI!AH51,2,1)="•",CONCATENATE("0",LEFT(DcI!AH51,1)),LEFT(DcI!AH51,2)))))</f>
        <v/>
      </c>
      <c r="CH51" s="28" t="str">
        <f ca="1">IF(DcI!AI51="X","X",IF(LEN(DcI!AI51)=3,CONCATENATE("0",LEFT(DcI!AI51,1)),IF(LEN(DcI!AI51)=5,LEFT(DcI!AI51,2),IF(MID(DcI!AI51,2,1)="•",CONCATENATE("0",LEFT(DcI!AI51,1)),LEFT(DcI!AI51,2)))))</f>
        <v/>
      </c>
      <c r="CI51" s="28" t="str">
        <f ca="1">IF(DcI!AJ51="X","X",IF(LEN(DcI!AJ51)=3,CONCATENATE("0",LEFT(DcI!AJ51,1)),IF(LEN(DcI!AJ51)=5,LEFT(DcI!AJ51,2),IF(MID(DcI!AJ51,2,1)="•",CONCATENATE("0",LEFT(DcI!AJ51,1)),LEFT(DcI!AJ51,2)))))</f>
        <v/>
      </c>
      <c r="CJ51" s="28" t="str">
        <f ca="1">IF(DcI!AK51="X","X",IF(LEN(DcI!AK51)=3,CONCATENATE("0",LEFT(DcI!AK51,1)),IF(LEN(DcI!AK51)=5,LEFT(DcI!AK51,2),IF(MID(DcI!AK51,2,1)="•",CONCATENATE("0",LEFT(DcI!AK51,1)),LEFT(DcI!AK51,2)))))</f>
        <v/>
      </c>
      <c r="CK51" s="28" t="str">
        <f ca="1">IF(DcI!AL51="X","X",IF(LEN(DcI!AL51)=3,CONCATENATE("0",LEFT(DcI!AL51,1)),IF(LEN(DcI!AL51)=5,LEFT(DcI!AL51,2),IF(MID(DcI!AL51,2,1)="•",CONCATENATE("0",LEFT(DcI!AL51,1)),LEFT(DcI!AL51,2)))))</f>
        <v/>
      </c>
      <c r="CL51" s="28" t="str">
        <f ca="1">IF(DcI!AM51="X","X",IF(LEN(DcI!AM51)=3,CONCATENATE("0",LEFT(DcI!AM51,1)),IF(LEN(DcI!AM51)=5,LEFT(DcI!AM51,2),IF(MID(DcI!AM51,2,1)="•",CONCATENATE("0",LEFT(DcI!AM51,1)),LEFT(DcI!AM51,2)))))</f>
        <v/>
      </c>
      <c r="CM51" s="28" t="str">
        <f ca="1">IF(DcI!AN51="X","X",IF(LEN(DcI!AN51)=3,CONCATENATE("0",LEFT(DcI!AN51,1)),IF(LEN(DcI!AN51)=5,LEFT(DcI!AN51,2),IF(MID(DcI!AN51,2,1)="•",CONCATENATE("0",LEFT(DcI!AN51,1)),LEFT(DcI!AN51,2)))))</f>
        <v/>
      </c>
      <c r="CN51" s="28" t="str">
        <f ca="1">IF(DcI!AO51="X","X",IF(LEN(DcI!AO51)=3,CONCATENATE("0",LEFT(DcI!AO51,1)),IF(LEN(DcI!AO51)=5,LEFT(DcI!AO51,2),IF(MID(DcI!AO51,2,1)="•",CONCATENATE("0",LEFT(DcI!AO51,1)),LEFT(DcI!AO51,2)))))</f>
        <v/>
      </c>
      <c r="CO51" s="28" t="str">
        <f ca="1">IF(DcI!AP51="X","X",IF(LEN(DcI!AP51)=3,CONCATENATE("0",LEFT(DcI!AP51,1)),IF(LEN(DcI!AP51)=5,LEFT(DcI!AP51,2),IF(MID(DcI!AP51,2,1)="•",CONCATENATE("0",LEFT(DcI!AP51,1)),LEFT(DcI!AP51,2)))))</f>
        <v/>
      </c>
      <c r="CP51" s="28" t="str">
        <f ca="1">IF(DcI!AQ51="X","X",IF(LEN(DcI!AQ51)=3,CONCATENATE("0",LEFT(DcI!AQ51,1)),IF(LEN(DcI!AQ51)=5,LEFT(DcI!AQ51,2),IF(MID(DcI!AQ51,2,1)="•",CONCATENATE("0",LEFT(DcI!AQ51,1)),LEFT(DcI!AQ51,2)))))</f>
        <v/>
      </c>
      <c r="CQ51" s="347" t="str">
        <f ca="1">IF(DcI!AR51="X","X",IF(LEN(DcI!AR51)=3,CONCATENATE("0",LEFT(DcI!AR51,1)),IF(LEN(DcI!AR51)=5,LEFT(DcI!AR51,2),IF(MID(DcI!AR51,2,1)="•",CONCATENATE("0",LEFT(DcI!AR51,1)),LEFT(DcI!AR51,2)))))</f>
        <v/>
      </c>
      <c r="CR51" s="28" t="str">
        <f t="shared" ca="1" si="23"/>
        <v/>
      </c>
      <c r="CS51" s="28" t="str">
        <f t="shared" ca="1" si="23"/>
        <v/>
      </c>
      <c r="CT51" s="28" t="str">
        <f t="shared" ca="1" si="23"/>
        <v/>
      </c>
      <c r="CU51" s="28" t="str">
        <f t="shared" ca="1" si="23"/>
        <v/>
      </c>
      <c r="CV51" s="346" t="str">
        <f t="shared" ca="1" si="23"/>
        <v/>
      </c>
    </row>
    <row r="52" spans="2:100">
      <c r="B52" s="17" t="str">
        <v>CR</v>
      </c>
      <c r="C52" s="16" t="str">
        <f t="shared" si="8"/>
        <v>CR11:CR56</v>
      </c>
      <c r="D52" s="342" t="str">
        <f t="shared" ca="1" si="9"/>
        <v/>
      </c>
      <c r="E52" s="349" t="str">
        <f t="shared" ca="1" si="10"/>
        <v>ng</v>
      </c>
      <c r="F52" s="349" t="str">
        <f t="shared" ca="1" si="24"/>
        <v>ng</v>
      </c>
      <c r="G52" s="349" t="str">
        <f t="shared" ca="1" si="24"/>
        <v>ng</v>
      </c>
      <c r="H52" s="349" t="str">
        <f t="shared" ca="1" si="24"/>
        <v>ng</v>
      </c>
      <c r="I52" s="349" t="str">
        <f t="shared" ca="1" si="24"/>
        <v>ng</v>
      </c>
      <c r="J52" s="349" t="str">
        <f t="shared" ca="1" si="24"/>
        <v>ng</v>
      </c>
      <c r="K52" s="349" t="str">
        <f t="shared" ca="1" si="24"/>
        <v>ng</v>
      </c>
      <c r="L52" s="349" t="str">
        <f t="shared" ca="1" si="24"/>
        <v>ng</v>
      </c>
      <c r="M52" s="349" t="str">
        <f t="shared" ca="1" si="24"/>
        <v>ng</v>
      </c>
      <c r="N52" s="349" t="str">
        <f t="shared" ca="1" si="24"/>
        <v>ng</v>
      </c>
      <c r="O52" s="349" t="str">
        <f t="shared" ca="1" si="24"/>
        <v>ng</v>
      </c>
      <c r="P52" s="349" t="str">
        <f t="shared" ca="1" si="24"/>
        <v>ng</v>
      </c>
      <c r="Q52" s="349" t="str">
        <f t="shared" ca="1" si="24"/>
        <v>ng</v>
      </c>
      <c r="R52" s="349" t="str">
        <f t="shared" ca="1" si="24"/>
        <v>ng</v>
      </c>
      <c r="S52" s="349" t="str">
        <f t="shared" ca="1" si="24"/>
        <v>ng</v>
      </c>
      <c r="T52" s="349" t="str">
        <f t="shared" ca="1" si="24"/>
        <v>ng</v>
      </c>
      <c r="U52" s="349" t="str">
        <f t="shared" ca="1" si="24"/>
        <v>ng</v>
      </c>
      <c r="V52" s="349" t="str">
        <f t="shared" ca="1" si="24"/>
        <v>ng</v>
      </c>
      <c r="W52" s="349" t="str">
        <f t="shared" ca="1" si="24"/>
        <v>ng</v>
      </c>
      <c r="X52" s="349" t="str">
        <f t="shared" ca="1" si="24"/>
        <v>ng</v>
      </c>
      <c r="Y52" s="349" t="str">
        <f t="shared" ca="1" si="24"/>
        <v>ng</v>
      </c>
      <c r="Z52" s="349" t="str">
        <f t="shared" ca="1" si="24"/>
        <v>ng</v>
      </c>
      <c r="AA52" s="349" t="str">
        <f t="shared" ca="1" si="24"/>
        <v>ng</v>
      </c>
      <c r="AB52" s="349" t="str">
        <f t="shared" ca="1" si="24"/>
        <v>ng</v>
      </c>
      <c r="AC52" s="349" t="str">
        <f t="shared" ca="1" si="24"/>
        <v>ng</v>
      </c>
      <c r="AD52" s="349" t="str">
        <f t="shared" ca="1" si="24"/>
        <v>ng</v>
      </c>
      <c r="AE52" s="349" t="str">
        <f t="shared" ca="1" si="24"/>
        <v>ng</v>
      </c>
      <c r="AF52" s="349" t="str">
        <f t="shared" ca="1" si="24"/>
        <v>ng</v>
      </c>
      <c r="AG52" s="349" t="str">
        <f t="shared" ca="1" si="24"/>
        <v>ng</v>
      </c>
      <c r="AH52" s="349" t="str">
        <f t="shared" ca="1" si="24"/>
        <v>ng</v>
      </c>
      <c r="AI52" s="349" t="str">
        <f t="shared" ca="1" si="24"/>
        <v>ng</v>
      </c>
      <c r="AJ52" s="349" t="str">
        <f t="shared" ca="1" si="24"/>
        <v>ng</v>
      </c>
      <c r="AK52" s="349" t="str">
        <f t="shared" ca="1" si="24"/>
        <v>ng</v>
      </c>
      <c r="AL52" s="349" t="str">
        <f t="shared" ca="1" si="22"/>
        <v>ng</v>
      </c>
      <c r="AM52" s="349" t="str">
        <f t="shared" ca="1" si="22"/>
        <v>ng</v>
      </c>
      <c r="AN52" s="349" t="str">
        <f t="shared" ca="1" si="22"/>
        <v>ng</v>
      </c>
      <c r="AO52" s="349" t="str">
        <f t="shared" ca="1" si="22"/>
        <v>ng</v>
      </c>
      <c r="AP52" s="349" t="str">
        <f t="shared" ca="1" si="22"/>
        <v>ng</v>
      </c>
      <c r="AQ52" s="349" t="str">
        <f t="shared" ca="1" si="22"/>
        <v>ng</v>
      </c>
      <c r="AR52" s="350" t="str">
        <f t="shared" ca="1" si="22"/>
        <v>ng</v>
      </c>
      <c r="BA52" s="16" t="str">
        <v>CR</v>
      </c>
      <c r="BB52" s="342" t="str">
        <f ca="1">DcI!C52</f>
        <v/>
      </c>
      <c r="BC52" s="28" t="str">
        <f ca="1">IF(DcI!D52="X","X",IF(LEN(DcI!D52)=3,CONCATENATE("0",LEFT(DcI!D52,1)),IF(LEN(DcI!D52)=5,LEFT(DcI!D52,2),IF(MID(DcI!D52,2,1)="•",CONCATENATE("0",LEFT(DcI!D52,1)),LEFT(DcI!D52,2)))))</f>
        <v/>
      </c>
      <c r="BD52" s="28" t="str">
        <f ca="1">IF(DcI!E52="X","X",IF(LEN(DcI!E52)=3,CONCATENATE("0",LEFT(DcI!E52,1)),IF(LEN(DcI!E52)=5,LEFT(DcI!E52,2),IF(MID(DcI!E52,2,1)="•",CONCATENATE("0",LEFT(DcI!E52,1)),LEFT(DcI!E52,2)))))</f>
        <v/>
      </c>
      <c r="BE52" s="28" t="str">
        <f ca="1">IF(DcI!F52="X","X",IF(LEN(DcI!F52)=3,CONCATENATE("0",LEFT(DcI!F52,1)),IF(LEN(DcI!F52)=5,LEFT(DcI!F52,2),IF(MID(DcI!F52,2,1)="•",CONCATENATE("0",LEFT(DcI!F52,1)),LEFT(DcI!F52,2)))))</f>
        <v/>
      </c>
      <c r="BF52" s="28" t="str">
        <f ca="1">IF(DcI!G52="X","X",IF(LEN(DcI!G52)=3,CONCATENATE("0",LEFT(DcI!G52,1)),IF(LEN(DcI!G52)=5,LEFT(DcI!G52,2),IF(MID(DcI!G52,2,1)="•",CONCATENATE("0",LEFT(DcI!G52,1)),LEFT(DcI!G52,2)))))</f>
        <v/>
      </c>
      <c r="BG52" s="28" t="str">
        <f ca="1">IF(DcI!H52="X","X",IF(LEN(DcI!H52)=3,CONCATENATE("0",LEFT(DcI!H52,1)),IF(LEN(DcI!H52)=5,LEFT(DcI!H52,2),IF(MID(DcI!H52,2,1)="•",CONCATENATE("0",LEFT(DcI!H52,1)),LEFT(DcI!H52,2)))))</f>
        <v/>
      </c>
      <c r="BH52" s="28" t="str">
        <f ca="1">IF(DcI!I52="X","X",IF(LEN(DcI!I52)=3,CONCATENATE("0",LEFT(DcI!I52,1)),IF(LEN(DcI!I52)=5,LEFT(DcI!I52,2),IF(MID(DcI!I52,2,1)="•",CONCATENATE("0",LEFT(DcI!I52,1)),LEFT(DcI!I52,2)))))</f>
        <v/>
      </c>
      <c r="BI52" s="28" t="str">
        <f ca="1">IF(DcI!J52="X","X",IF(LEN(DcI!J52)=3,CONCATENATE("0",LEFT(DcI!J52,1)),IF(LEN(DcI!J52)=5,LEFT(DcI!J52,2),IF(MID(DcI!J52,2,1)="•",CONCATENATE("0",LEFT(DcI!J52,1)),LEFT(DcI!J52,2)))))</f>
        <v/>
      </c>
      <c r="BJ52" s="28" t="str">
        <f ca="1">IF(DcI!K52="X","X",IF(LEN(DcI!K52)=3,CONCATENATE("0",LEFT(DcI!K52,1)),IF(LEN(DcI!K52)=5,LEFT(DcI!K52,2),IF(MID(DcI!K52,2,1)="•",CONCATENATE("0",LEFT(DcI!K52,1)),LEFT(DcI!K52,2)))))</f>
        <v/>
      </c>
      <c r="BK52" s="28" t="str">
        <f ca="1">IF(DcI!L52="X","X",IF(LEN(DcI!L52)=3,CONCATENATE("0",LEFT(DcI!L52,1)),IF(LEN(DcI!L52)=5,LEFT(DcI!L52,2),IF(MID(DcI!L52,2,1)="•",CONCATENATE("0",LEFT(DcI!L52,1)),LEFT(DcI!L52,2)))))</f>
        <v/>
      </c>
      <c r="BL52" s="28" t="str">
        <f ca="1">IF(DcI!M52="X","X",IF(LEN(DcI!M52)=3,CONCATENATE("0",LEFT(DcI!M52,1)),IF(LEN(DcI!M52)=5,LEFT(DcI!M52,2),IF(MID(DcI!M52,2,1)="•",CONCATENATE("0",LEFT(DcI!M52,1)),LEFT(DcI!M52,2)))))</f>
        <v/>
      </c>
      <c r="BM52" s="28" t="str">
        <f ca="1">IF(DcI!N52="X","X",IF(LEN(DcI!N52)=3,CONCATENATE("0",LEFT(DcI!N52,1)),IF(LEN(DcI!N52)=5,LEFT(DcI!N52,2),IF(MID(DcI!N52,2,1)="•",CONCATENATE("0",LEFT(DcI!N52,1)),LEFT(DcI!N52,2)))))</f>
        <v/>
      </c>
      <c r="BN52" s="28" t="str">
        <f ca="1">IF(DcI!O52="X","X",IF(LEN(DcI!O52)=3,CONCATENATE("0",LEFT(DcI!O52,1)),IF(LEN(DcI!O52)=5,LEFT(DcI!O52,2),IF(MID(DcI!O52,2,1)="•",CONCATENATE("0",LEFT(DcI!O52,1)),LEFT(DcI!O52,2)))))</f>
        <v/>
      </c>
      <c r="BO52" s="28" t="str">
        <f ca="1">IF(DcI!P52="X","X",IF(LEN(DcI!P52)=3,CONCATENATE("0",LEFT(DcI!P52,1)),IF(LEN(DcI!P52)=5,LEFT(DcI!P52,2),IF(MID(DcI!P52,2,1)="•",CONCATENATE("0",LEFT(DcI!P52,1)),LEFT(DcI!P52,2)))))</f>
        <v/>
      </c>
      <c r="BP52" s="28" t="str">
        <f ca="1">IF(DcI!Q52="X","X",IF(LEN(DcI!Q52)=3,CONCATENATE("0",LEFT(DcI!Q52,1)),IF(LEN(DcI!Q52)=5,LEFT(DcI!Q52,2),IF(MID(DcI!Q52,2,1)="•",CONCATENATE("0",LEFT(DcI!Q52,1)),LEFT(DcI!Q52,2)))))</f>
        <v/>
      </c>
      <c r="BQ52" s="28" t="str">
        <f ca="1">IF(DcI!R52="X","X",IF(LEN(DcI!R52)=3,CONCATENATE("0",LEFT(DcI!R52,1)),IF(LEN(DcI!R52)=5,LEFT(DcI!R52,2),IF(MID(DcI!R52,2,1)="•",CONCATENATE("0",LEFT(DcI!R52,1)),LEFT(DcI!R52,2)))))</f>
        <v/>
      </c>
      <c r="BR52" s="28" t="str">
        <f ca="1">IF(DcI!S52="X","X",IF(LEN(DcI!S52)=3,CONCATENATE("0",LEFT(DcI!S52,1)),IF(LEN(DcI!S52)=5,LEFT(DcI!S52,2),IF(MID(DcI!S52,2,1)="•",CONCATENATE("0",LEFT(DcI!S52,1)),LEFT(DcI!S52,2)))))</f>
        <v/>
      </c>
      <c r="BS52" s="28" t="str">
        <f ca="1">IF(DcI!T52="X","X",IF(LEN(DcI!T52)=3,CONCATENATE("0",LEFT(DcI!T52,1)),IF(LEN(DcI!T52)=5,LEFT(DcI!T52,2),IF(MID(DcI!T52,2,1)="•",CONCATENATE("0",LEFT(DcI!T52,1)),LEFT(DcI!T52,2)))))</f>
        <v/>
      </c>
      <c r="BT52" s="28" t="str">
        <f ca="1">IF(DcI!U52="X","X",IF(LEN(DcI!U52)=3,CONCATENATE("0",LEFT(DcI!U52,1)),IF(LEN(DcI!U52)=5,LEFT(DcI!U52,2),IF(MID(DcI!U52,2,1)="•",CONCATENATE("0",LEFT(DcI!U52,1)),LEFT(DcI!U52,2)))))</f>
        <v/>
      </c>
      <c r="BU52" s="28" t="str">
        <f ca="1">IF(DcI!V52="X","X",IF(LEN(DcI!V52)=3,CONCATENATE("0",LEFT(DcI!V52,1)),IF(LEN(DcI!V52)=5,LEFT(DcI!V52,2),IF(MID(DcI!V52,2,1)="•",CONCATENATE("0",LEFT(DcI!V52,1)),LEFT(DcI!V52,2)))))</f>
        <v/>
      </c>
      <c r="BV52" s="28" t="str">
        <f ca="1">IF(DcI!W52="X","X",IF(LEN(DcI!W52)=3,CONCATENATE("0",LEFT(DcI!W52,1)),IF(LEN(DcI!W52)=5,LEFT(DcI!W52,2),IF(MID(DcI!W52,2,1)="•",CONCATENATE("0",LEFT(DcI!W52,1)),LEFT(DcI!W52,2)))))</f>
        <v/>
      </c>
      <c r="BW52" s="28" t="str">
        <f ca="1">IF(DcI!X52="X","X",IF(LEN(DcI!X52)=3,CONCATENATE("0",LEFT(DcI!X52,1)),IF(LEN(DcI!X52)=5,LEFT(DcI!X52,2),IF(MID(DcI!X52,2,1)="•",CONCATENATE("0",LEFT(DcI!X52,1)),LEFT(DcI!X52,2)))))</f>
        <v/>
      </c>
      <c r="BX52" s="28" t="str">
        <f ca="1">IF(DcI!Y52="X","X",IF(LEN(DcI!Y52)=3,CONCATENATE("0",LEFT(DcI!Y52,1)),IF(LEN(DcI!Y52)=5,LEFT(DcI!Y52,2),IF(MID(DcI!Y52,2,1)="•",CONCATENATE("0",LEFT(DcI!Y52,1)),LEFT(DcI!Y52,2)))))</f>
        <v/>
      </c>
      <c r="BY52" s="28" t="str">
        <f ca="1">IF(DcI!Z52="X","X",IF(LEN(DcI!Z52)=3,CONCATENATE("0",LEFT(DcI!Z52,1)),IF(LEN(DcI!Z52)=5,LEFT(DcI!Z52,2),IF(MID(DcI!Z52,2,1)="•",CONCATENATE("0",LEFT(DcI!Z52,1)),LEFT(DcI!Z52,2)))))</f>
        <v/>
      </c>
      <c r="BZ52" s="28" t="str">
        <f ca="1">IF(DcI!AA52="X","X",IF(LEN(DcI!AA52)=3,CONCATENATE("0",LEFT(DcI!AA52,1)),IF(LEN(DcI!AA52)=5,LEFT(DcI!AA52,2),IF(MID(DcI!AA52,2,1)="•",CONCATENATE("0",LEFT(DcI!AA52,1)),LEFT(DcI!AA52,2)))))</f>
        <v/>
      </c>
      <c r="CA52" s="28" t="str">
        <f ca="1">IF(DcI!AB52="X","X",IF(LEN(DcI!AB52)=3,CONCATENATE("0",LEFT(DcI!AB52,1)),IF(LEN(DcI!AB52)=5,LEFT(DcI!AB52,2),IF(MID(DcI!AB52,2,1)="•",CONCATENATE("0",LEFT(DcI!AB52,1)),LEFT(DcI!AB52,2)))))</f>
        <v/>
      </c>
      <c r="CB52" s="28" t="str">
        <f ca="1">IF(DcI!AC52="X","X",IF(LEN(DcI!AC52)=3,CONCATENATE("0",LEFT(DcI!AC52,1)),IF(LEN(DcI!AC52)=5,LEFT(DcI!AC52,2),IF(MID(DcI!AC52,2,1)="•",CONCATENATE("0",LEFT(DcI!AC52,1)),LEFT(DcI!AC52,2)))))</f>
        <v/>
      </c>
      <c r="CC52" s="28" t="str">
        <f ca="1">IF(DcI!AD52="X","X",IF(LEN(DcI!AD52)=3,CONCATENATE("0",LEFT(DcI!AD52,1)),IF(LEN(DcI!AD52)=5,LEFT(DcI!AD52,2),IF(MID(DcI!AD52,2,1)="•",CONCATENATE("0",LEFT(DcI!AD52,1)),LEFT(DcI!AD52,2)))))</f>
        <v/>
      </c>
      <c r="CD52" s="28" t="str">
        <f ca="1">IF(DcI!AE52="X","X",IF(LEN(DcI!AE52)=3,CONCATENATE("0",LEFT(DcI!AE52,1)),IF(LEN(DcI!AE52)=5,LEFT(DcI!AE52,2),IF(MID(DcI!AE52,2,1)="•",CONCATENATE("0",LEFT(DcI!AE52,1)),LEFT(DcI!AE52,2)))))</f>
        <v/>
      </c>
      <c r="CE52" s="28" t="str">
        <f ca="1">IF(DcI!AF52="X","X",IF(LEN(DcI!AF52)=3,CONCATENATE("0",LEFT(DcI!AF52,1)),IF(LEN(DcI!AF52)=5,LEFT(DcI!AF52,2),IF(MID(DcI!AF52,2,1)="•",CONCATENATE("0",LEFT(DcI!AF52,1)),LEFT(DcI!AF52,2)))))</f>
        <v/>
      </c>
      <c r="CF52" s="28" t="str">
        <f ca="1">IF(DcI!AG52="X","X",IF(LEN(DcI!AG52)=3,CONCATENATE("0",LEFT(DcI!AG52,1)),IF(LEN(DcI!AG52)=5,LEFT(DcI!AG52,2),IF(MID(DcI!AG52,2,1)="•",CONCATENATE("0",LEFT(DcI!AG52,1)),LEFT(DcI!AG52,2)))))</f>
        <v/>
      </c>
      <c r="CG52" s="28" t="str">
        <f ca="1">IF(DcI!AH52="X","X",IF(LEN(DcI!AH52)=3,CONCATENATE("0",LEFT(DcI!AH52,1)),IF(LEN(DcI!AH52)=5,LEFT(DcI!AH52,2),IF(MID(DcI!AH52,2,1)="•",CONCATENATE("0",LEFT(DcI!AH52,1)),LEFT(DcI!AH52,2)))))</f>
        <v/>
      </c>
      <c r="CH52" s="28" t="str">
        <f ca="1">IF(DcI!AI52="X","X",IF(LEN(DcI!AI52)=3,CONCATENATE("0",LEFT(DcI!AI52,1)),IF(LEN(DcI!AI52)=5,LEFT(DcI!AI52,2),IF(MID(DcI!AI52,2,1)="•",CONCATENATE("0",LEFT(DcI!AI52,1)),LEFT(DcI!AI52,2)))))</f>
        <v/>
      </c>
      <c r="CI52" s="28" t="str">
        <f ca="1">IF(DcI!AJ52="X","X",IF(LEN(DcI!AJ52)=3,CONCATENATE("0",LEFT(DcI!AJ52,1)),IF(LEN(DcI!AJ52)=5,LEFT(DcI!AJ52,2),IF(MID(DcI!AJ52,2,1)="•",CONCATENATE("0",LEFT(DcI!AJ52,1)),LEFT(DcI!AJ52,2)))))</f>
        <v/>
      </c>
      <c r="CJ52" s="28" t="str">
        <f ca="1">IF(DcI!AK52="X","X",IF(LEN(DcI!AK52)=3,CONCATENATE("0",LEFT(DcI!AK52,1)),IF(LEN(DcI!AK52)=5,LEFT(DcI!AK52,2),IF(MID(DcI!AK52,2,1)="•",CONCATENATE("0",LEFT(DcI!AK52,1)),LEFT(DcI!AK52,2)))))</f>
        <v/>
      </c>
      <c r="CK52" s="28" t="str">
        <f ca="1">IF(DcI!AL52="X","X",IF(LEN(DcI!AL52)=3,CONCATENATE("0",LEFT(DcI!AL52,1)),IF(LEN(DcI!AL52)=5,LEFT(DcI!AL52,2),IF(MID(DcI!AL52,2,1)="•",CONCATENATE("0",LEFT(DcI!AL52,1)),LEFT(DcI!AL52,2)))))</f>
        <v/>
      </c>
      <c r="CL52" s="28" t="str">
        <f ca="1">IF(DcI!AM52="X","X",IF(LEN(DcI!AM52)=3,CONCATENATE("0",LEFT(DcI!AM52,1)),IF(LEN(DcI!AM52)=5,LEFT(DcI!AM52,2),IF(MID(DcI!AM52,2,1)="•",CONCATENATE("0",LEFT(DcI!AM52,1)),LEFT(DcI!AM52,2)))))</f>
        <v/>
      </c>
      <c r="CM52" s="28" t="str">
        <f ca="1">IF(DcI!AN52="X","X",IF(LEN(DcI!AN52)=3,CONCATENATE("0",LEFT(DcI!AN52,1)),IF(LEN(DcI!AN52)=5,LEFT(DcI!AN52,2),IF(MID(DcI!AN52,2,1)="•",CONCATENATE("0",LEFT(DcI!AN52,1)),LEFT(DcI!AN52,2)))))</f>
        <v/>
      </c>
      <c r="CN52" s="28" t="str">
        <f ca="1">IF(DcI!AO52="X","X",IF(LEN(DcI!AO52)=3,CONCATENATE("0",LEFT(DcI!AO52,1)),IF(LEN(DcI!AO52)=5,LEFT(DcI!AO52,2),IF(MID(DcI!AO52,2,1)="•",CONCATENATE("0",LEFT(DcI!AO52,1)),LEFT(DcI!AO52,2)))))</f>
        <v/>
      </c>
      <c r="CO52" s="28" t="str">
        <f ca="1">IF(DcI!AP52="X","X",IF(LEN(DcI!AP52)=3,CONCATENATE("0",LEFT(DcI!AP52,1)),IF(LEN(DcI!AP52)=5,LEFT(DcI!AP52,2),IF(MID(DcI!AP52,2,1)="•",CONCATENATE("0",LEFT(DcI!AP52,1)),LEFT(DcI!AP52,2)))))</f>
        <v/>
      </c>
      <c r="CP52" s="28" t="str">
        <f ca="1">IF(DcI!AQ52="X","X",IF(LEN(DcI!AQ52)=3,CONCATENATE("0",LEFT(DcI!AQ52,1)),IF(LEN(DcI!AQ52)=5,LEFT(DcI!AQ52,2),IF(MID(DcI!AQ52,2,1)="•",CONCATENATE("0",LEFT(DcI!AQ52,1)),LEFT(DcI!AQ52,2)))))</f>
        <v/>
      </c>
      <c r="CQ52" s="28" t="str">
        <f ca="1">IF(DcI!AR52="X","X",IF(LEN(DcI!AR52)=3,CONCATENATE("0",LEFT(DcI!AR52,1)),IF(LEN(DcI!AR52)=5,LEFT(DcI!AR52,2),IF(MID(DcI!AR52,2,1)="•",CONCATENATE("0",LEFT(DcI!AR52,1)),LEFT(DcI!AR52,2)))))</f>
        <v/>
      </c>
      <c r="CR52" s="347" t="str">
        <f ca="1">IF(DcI!AS52="X","X",IF(LEN(DcI!AS52)=3,CONCATENATE("0",LEFT(DcI!AS52,1)),IF(LEN(DcI!AS52)=5,LEFT(DcI!AS52,2),IF(MID(DcI!AS52,2,1)="•",CONCATENATE("0",LEFT(DcI!AS52,1)),LEFT(DcI!AS52,2)))))</f>
        <v/>
      </c>
      <c r="CS52" s="28" t="str">
        <f t="shared" ca="1" si="23"/>
        <v/>
      </c>
      <c r="CT52" s="28" t="str">
        <f t="shared" ca="1" si="23"/>
        <v/>
      </c>
      <c r="CU52" s="28" t="str">
        <f t="shared" ca="1" si="23"/>
        <v/>
      </c>
      <c r="CV52" s="346" t="str">
        <f t="shared" ca="1" si="23"/>
        <v/>
      </c>
    </row>
    <row r="53" spans="2:100">
      <c r="B53" s="17" t="str">
        <v>CS</v>
      </c>
      <c r="C53" s="16" t="str">
        <f t="shared" si="8"/>
        <v>CS11:CS56</v>
      </c>
      <c r="D53" s="342" t="str">
        <f t="shared" ca="1" si="9"/>
        <v/>
      </c>
      <c r="E53" s="349" t="str">
        <f t="shared" ca="1" si="10"/>
        <v>ng</v>
      </c>
      <c r="F53" s="349" t="str">
        <f t="shared" ca="1" si="24"/>
        <v>ng</v>
      </c>
      <c r="G53" s="349" t="str">
        <f t="shared" ca="1" si="24"/>
        <v>ng</v>
      </c>
      <c r="H53" s="349" t="str">
        <f t="shared" ca="1" si="24"/>
        <v>ng</v>
      </c>
      <c r="I53" s="349" t="str">
        <f t="shared" ca="1" si="24"/>
        <v>ng</v>
      </c>
      <c r="J53" s="349" t="str">
        <f t="shared" ca="1" si="24"/>
        <v>ng</v>
      </c>
      <c r="K53" s="349" t="str">
        <f t="shared" ca="1" si="24"/>
        <v>ng</v>
      </c>
      <c r="L53" s="349" t="str">
        <f t="shared" ca="1" si="24"/>
        <v>ng</v>
      </c>
      <c r="M53" s="349" t="str">
        <f t="shared" ca="1" si="24"/>
        <v>ng</v>
      </c>
      <c r="N53" s="349" t="str">
        <f t="shared" ca="1" si="24"/>
        <v>ng</v>
      </c>
      <c r="O53" s="349" t="str">
        <f t="shared" ca="1" si="24"/>
        <v>ng</v>
      </c>
      <c r="P53" s="349" t="str">
        <f t="shared" ca="1" si="24"/>
        <v>ng</v>
      </c>
      <c r="Q53" s="349" t="str">
        <f t="shared" ca="1" si="24"/>
        <v>ng</v>
      </c>
      <c r="R53" s="349" t="str">
        <f t="shared" ca="1" si="24"/>
        <v>ng</v>
      </c>
      <c r="S53" s="349" t="str">
        <f t="shared" ca="1" si="24"/>
        <v>ng</v>
      </c>
      <c r="T53" s="349" t="str">
        <f t="shared" ca="1" si="24"/>
        <v>ng</v>
      </c>
      <c r="U53" s="349" t="str">
        <f t="shared" ca="1" si="24"/>
        <v>ng</v>
      </c>
      <c r="V53" s="349" t="str">
        <f t="shared" ca="1" si="24"/>
        <v>ng</v>
      </c>
      <c r="W53" s="349" t="str">
        <f t="shared" ca="1" si="24"/>
        <v>ng</v>
      </c>
      <c r="X53" s="349" t="str">
        <f t="shared" ca="1" si="24"/>
        <v>ng</v>
      </c>
      <c r="Y53" s="349" t="str">
        <f t="shared" ca="1" si="24"/>
        <v>ng</v>
      </c>
      <c r="Z53" s="349" t="str">
        <f t="shared" ca="1" si="24"/>
        <v>ng</v>
      </c>
      <c r="AA53" s="349" t="str">
        <f t="shared" ca="1" si="24"/>
        <v>ng</v>
      </c>
      <c r="AB53" s="349" t="str">
        <f t="shared" ca="1" si="24"/>
        <v>ng</v>
      </c>
      <c r="AC53" s="349" t="str">
        <f t="shared" ca="1" si="24"/>
        <v>ng</v>
      </c>
      <c r="AD53" s="349" t="str">
        <f t="shared" ca="1" si="24"/>
        <v>ng</v>
      </c>
      <c r="AE53" s="349" t="str">
        <f t="shared" ca="1" si="24"/>
        <v>ng</v>
      </c>
      <c r="AF53" s="349" t="str">
        <f t="shared" ca="1" si="24"/>
        <v>ng</v>
      </c>
      <c r="AG53" s="349" t="str">
        <f t="shared" ca="1" si="24"/>
        <v>ng</v>
      </c>
      <c r="AH53" s="349" t="str">
        <f t="shared" ca="1" si="24"/>
        <v>ng</v>
      </c>
      <c r="AI53" s="349" t="str">
        <f t="shared" ca="1" si="24"/>
        <v>ng</v>
      </c>
      <c r="AJ53" s="349" t="str">
        <f t="shared" ca="1" si="24"/>
        <v>ng</v>
      </c>
      <c r="AK53" s="349" t="str">
        <f t="shared" ca="1" si="24"/>
        <v>ng</v>
      </c>
      <c r="AL53" s="349" t="str">
        <f t="shared" ca="1" si="22"/>
        <v>ng</v>
      </c>
      <c r="AM53" s="349" t="str">
        <f t="shared" ca="1" si="22"/>
        <v>ng</v>
      </c>
      <c r="AN53" s="349" t="str">
        <f t="shared" ca="1" si="22"/>
        <v>ng</v>
      </c>
      <c r="AO53" s="349" t="str">
        <f t="shared" ca="1" si="22"/>
        <v>ng</v>
      </c>
      <c r="AP53" s="349" t="str">
        <f t="shared" ca="1" si="22"/>
        <v>ng</v>
      </c>
      <c r="AQ53" s="349" t="str">
        <f t="shared" ca="1" si="22"/>
        <v>ng</v>
      </c>
      <c r="AR53" s="350" t="str">
        <f t="shared" ca="1" si="22"/>
        <v>ng</v>
      </c>
      <c r="BA53" s="16" t="str">
        <v>CS</v>
      </c>
      <c r="BB53" s="342" t="str">
        <f ca="1">DcI!C53</f>
        <v/>
      </c>
      <c r="BC53" s="28" t="str">
        <f ca="1">IF(DcI!D53="X","X",IF(LEN(DcI!D53)=3,CONCATENATE("0",LEFT(DcI!D53,1)),IF(LEN(DcI!D53)=5,LEFT(DcI!D53,2),IF(MID(DcI!D53,2,1)="•",CONCATENATE("0",LEFT(DcI!D53,1)),LEFT(DcI!D53,2)))))</f>
        <v/>
      </c>
      <c r="BD53" s="28" t="str">
        <f ca="1">IF(DcI!E53="X","X",IF(LEN(DcI!E53)=3,CONCATENATE("0",LEFT(DcI!E53,1)),IF(LEN(DcI!E53)=5,LEFT(DcI!E53,2),IF(MID(DcI!E53,2,1)="•",CONCATENATE("0",LEFT(DcI!E53,1)),LEFT(DcI!E53,2)))))</f>
        <v/>
      </c>
      <c r="BE53" s="28" t="str">
        <f ca="1">IF(DcI!F53="X","X",IF(LEN(DcI!F53)=3,CONCATENATE("0",LEFT(DcI!F53,1)),IF(LEN(DcI!F53)=5,LEFT(DcI!F53,2),IF(MID(DcI!F53,2,1)="•",CONCATENATE("0",LEFT(DcI!F53,1)),LEFT(DcI!F53,2)))))</f>
        <v/>
      </c>
      <c r="BF53" s="28" t="str">
        <f ca="1">IF(DcI!G53="X","X",IF(LEN(DcI!G53)=3,CONCATENATE("0",LEFT(DcI!G53,1)),IF(LEN(DcI!G53)=5,LEFT(DcI!G53,2),IF(MID(DcI!G53,2,1)="•",CONCATENATE("0",LEFT(DcI!G53,1)),LEFT(DcI!G53,2)))))</f>
        <v/>
      </c>
      <c r="BG53" s="28" t="str">
        <f ca="1">IF(DcI!H53="X","X",IF(LEN(DcI!H53)=3,CONCATENATE("0",LEFT(DcI!H53,1)),IF(LEN(DcI!H53)=5,LEFT(DcI!H53,2),IF(MID(DcI!H53,2,1)="•",CONCATENATE("0",LEFT(DcI!H53,1)),LEFT(DcI!H53,2)))))</f>
        <v/>
      </c>
      <c r="BH53" s="28" t="str">
        <f ca="1">IF(DcI!I53="X","X",IF(LEN(DcI!I53)=3,CONCATENATE("0",LEFT(DcI!I53,1)),IF(LEN(DcI!I53)=5,LEFT(DcI!I53,2),IF(MID(DcI!I53,2,1)="•",CONCATENATE("0",LEFT(DcI!I53,1)),LEFT(DcI!I53,2)))))</f>
        <v/>
      </c>
      <c r="BI53" s="28" t="str">
        <f ca="1">IF(DcI!J53="X","X",IF(LEN(DcI!J53)=3,CONCATENATE("0",LEFT(DcI!J53,1)),IF(LEN(DcI!J53)=5,LEFT(DcI!J53,2),IF(MID(DcI!J53,2,1)="•",CONCATENATE("0",LEFT(DcI!J53,1)),LEFT(DcI!J53,2)))))</f>
        <v/>
      </c>
      <c r="BJ53" s="28" t="str">
        <f ca="1">IF(DcI!K53="X","X",IF(LEN(DcI!K53)=3,CONCATENATE("0",LEFT(DcI!K53,1)),IF(LEN(DcI!K53)=5,LEFT(DcI!K53,2),IF(MID(DcI!K53,2,1)="•",CONCATENATE("0",LEFT(DcI!K53,1)),LEFT(DcI!K53,2)))))</f>
        <v/>
      </c>
      <c r="BK53" s="28" t="str">
        <f ca="1">IF(DcI!L53="X","X",IF(LEN(DcI!L53)=3,CONCATENATE("0",LEFT(DcI!L53,1)),IF(LEN(DcI!L53)=5,LEFT(DcI!L53,2),IF(MID(DcI!L53,2,1)="•",CONCATENATE("0",LEFT(DcI!L53,1)),LEFT(DcI!L53,2)))))</f>
        <v/>
      </c>
      <c r="BL53" s="28" t="str">
        <f ca="1">IF(DcI!M53="X","X",IF(LEN(DcI!M53)=3,CONCATENATE("0",LEFT(DcI!M53,1)),IF(LEN(DcI!M53)=5,LEFT(DcI!M53,2),IF(MID(DcI!M53,2,1)="•",CONCATENATE("0",LEFT(DcI!M53,1)),LEFT(DcI!M53,2)))))</f>
        <v/>
      </c>
      <c r="BM53" s="28" t="str">
        <f ca="1">IF(DcI!N53="X","X",IF(LEN(DcI!N53)=3,CONCATENATE("0",LEFT(DcI!N53,1)),IF(LEN(DcI!N53)=5,LEFT(DcI!N53,2),IF(MID(DcI!N53,2,1)="•",CONCATENATE("0",LEFT(DcI!N53,1)),LEFT(DcI!N53,2)))))</f>
        <v/>
      </c>
      <c r="BN53" s="28" t="str">
        <f ca="1">IF(DcI!O53="X","X",IF(LEN(DcI!O53)=3,CONCATENATE("0",LEFT(DcI!O53,1)),IF(LEN(DcI!O53)=5,LEFT(DcI!O53,2),IF(MID(DcI!O53,2,1)="•",CONCATENATE("0",LEFT(DcI!O53,1)),LEFT(DcI!O53,2)))))</f>
        <v/>
      </c>
      <c r="BO53" s="28" t="str">
        <f ca="1">IF(DcI!P53="X","X",IF(LEN(DcI!P53)=3,CONCATENATE("0",LEFT(DcI!P53,1)),IF(LEN(DcI!P53)=5,LEFT(DcI!P53,2),IF(MID(DcI!P53,2,1)="•",CONCATENATE("0",LEFT(DcI!P53,1)),LEFT(DcI!P53,2)))))</f>
        <v/>
      </c>
      <c r="BP53" s="28" t="str">
        <f ca="1">IF(DcI!Q53="X","X",IF(LEN(DcI!Q53)=3,CONCATENATE("0",LEFT(DcI!Q53,1)),IF(LEN(DcI!Q53)=5,LEFT(DcI!Q53,2),IF(MID(DcI!Q53,2,1)="•",CONCATENATE("0",LEFT(DcI!Q53,1)),LEFT(DcI!Q53,2)))))</f>
        <v/>
      </c>
      <c r="BQ53" s="28" t="str">
        <f ca="1">IF(DcI!R53="X","X",IF(LEN(DcI!R53)=3,CONCATENATE("0",LEFT(DcI!R53,1)),IF(LEN(DcI!R53)=5,LEFT(DcI!R53,2),IF(MID(DcI!R53,2,1)="•",CONCATENATE("0",LEFT(DcI!R53,1)),LEFT(DcI!R53,2)))))</f>
        <v/>
      </c>
      <c r="BR53" s="28" t="str">
        <f ca="1">IF(DcI!S53="X","X",IF(LEN(DcI!S53)=3,CONCATENATE("0",LEFT(DcI!S53,1)),IF(LEN(DcI!S53)=5,LEFT(DcI!S53,2),IF(MID(DcI!S53,2,1)="•",CONCATENATE("0",LEFT(DcI!S53,1)),LEFT(DcI!S53,2)))))</f>
        <v/>
      </c>
      <c r="BS53" s="28" t="str">
        <f ca="1">IF(DcI!T53="X","X",IF(LEN(DcI!T53)=3,CONCATENATE("0",LEFT(DcI!T53,1)),IF(LEN(DcI!T53)=5,LEFT(DcI!T53,2),IF(MID(DcI!T53,2,1)="•",CONCATENATE("0",LEFT(DcI!T53,1)),LEFT(DcI!T53,2)))))</f>
        <v/>
      </c>
      <c r="BT53" s="28" t="str">
        <f ca="1">IF(DcI!U53="X","X",IF(LEN(DcI!U53)=3,CONCATENATE("0",LEFT(DcI!U53,1)),IF(LEN(DcI!U53)=5,LEFT(DcI!U53,2),IF(MID(DcI!U53,2,1)="•",CONCATENATE("0",LEFT(DcI!U53,1)),LEFT(DcI!U53,2)))))</f>
        <v/>
      </c>
      <c r="BU53" s="28" t="str">
        <f ca="1">IF(DcI!V53="X","X",IF(LEN(DcI!V53)=3,CONCATENATE("0",LEFT(DcI!V53,1)),IF(LEN(DcI!V53)=5,LEFT(DcI!V53,2),IF(MID(DcI!V53,2,1)="•",CONCATENATE("0",LEFT(DcI!V53,1)),LEFT(DcI!V53,2)))))</f>
        <v/>
      </c>
      <c r="BV53" s="28" t="str">
        <f ca="1">IF(DcI!W53="X","X",IF(LEN(DcI!W53)=3,CONCATENATE("0",LEFT(DcI!W53,1)),IF(LEN(DcI!W53)=5,LEFT(DcI!W53,2),IF(MID(DcI!W53,2,1)="•",CONCATENATE("0",LEFT(DcI!W53,1)),LEFT(DcI!W53,2)))))</f>
        <v/>
      </c>
      <c r="BW53" s="28" t="str">
        <f ca="1">IF(DcI!X53="X","X",IF(LEN(DcI!X53)=3,CONCATENATE("0",LEFT(DcI!X53,1)),IF(LEN(DcI!X53)=5,LEFT(DcI!X53,2),IF(MID(DcI!X53,2,1)="•",CONCATENATE("0",LEFT(DcI!X53,1)),LEFT(DcI!X53,2)))))</f>
        <v/>
      </c>
      <c r="BX53" s="28" t="str">
        <f ca="1">IF(DcI!Y53="X","X",IF(LEN(DcI!Y53)=3,CONCATENATE("0",LEFT(DcI!Y53,1)),IF(LEN(DcI!Y53)=5,LEFT(DcI!Y53,2),IF(MID(DcI!Y53,2,1)="•",CONCATENATE("0",LEFT(DcI!Y53,1)),LEFT(DcI!Y53,2)))))</f>
        <v/>
      </c>
      <c r="BY53" s="28" t="str">
        <f ca="1">IF(DcI!Z53="X","X",IF(LEN(DcI!Z53)=3,CONCATENATE("0",LEFT(DcI!Z53,1)),IF(LEN(DcI!Z53)=5,LEFT(DcI!Z53,2),IF(MID(DcI!Z53,2,1)="•",CONCATENATE("0",LEFT(DcI!Z53,1)),LEFT(DcI!Z53,2)))))</f>
        <v/>
      </c>
      <c r="BZ53" s="28" t="str">
        <f ca="1">IF(DcI!AA53="X","X",IF(LEN(DcI!AA53)=3,CONCATENATE("0",LEFT(DcI!AA53,1)),IF(LEN(DcI!AA53)=5,LEFT(DcI!AA53,2),IF(MID(DcI!AA53,2,1)="•",CONCATENATE("0",LEFT(DcI!AA53,1)),LEFT(DcI!AA53,2)))))</f>
        <v/>
      </c>
      <c r="CA53" s="28" t="str">
        <f ca="1">IF(DcI!AB53="X","X",IF(LEN(DcI!AB53)=3,CONCATENATE("0",LEFT(DcI!AB53,1)),IF(LEN(DcI!AB53)=5,LEFT(DcI!AB53,2),IF(MID(DcI!AB53,2,1)="•",CONCATENATE("0",LEFT(DcI!AB53,1)),LEFT(DcI!AB53,2)))))</f>
        <v/>
      </c>
      <c r="CB53" s="28" t="str">
        <f ca="1">IF(DcI!AC53="X","X",IF(LEN(DcI!AC53)=3,CONCATENATE("0",LEFT(DcI!AC53,1)),IF(LEN(DcI!AC53)=5,LEFT(DcI!AC53,2),IF(MID(DcI!AC53,2,1)="•",CONCATENATE("0",LEFT(DcI!AC53,1)),LEFT(DcI!AC53,2)))))</f>
        <v/>
      </c>
      <c r="CC53" s="28" t="str">
        <f ca="1">IF(DcI!AD53="X","X",IF(LEN(DcI!AD53)=3,CONCATENATE("0",LEFT(DcI!AD53,1)),IF(LEN(DcI!AD53)=5,LEFT(DcI!AD53,2),IF(MID(DcI!AD53,2,1)="•",CONCATENATE("0",LEFT(DcI!AD53,1)),LEFT(DcI!AD53,2)))))</f>
        <v/>
      </c>
      <c r="CD53" s="28" t="str">
        <f ca="1">IF(DcI!AE53="X","X",IF(LEN(DcI!AE53)=3,CONCATENATE("0",LEFT(DcI!AE53,1)),IF(LEN(DcI!AE53)=5,LEFT(DcI!AE53,2),IF(MID(DcI!AE53,2,1)="•",CONCATENATE("0",LEFT(DcI!AE53,1)),LEFT(DcI!AE53,2)))))</f>
        <v/>
      </c>
      <c r="CE53" s="28" t="str">
        <f ca="1">IF(DcI!AF53="X","X",IF(LEN(DcI!AF53)=3,CONCATENATE("0",LEFT(DcI!AF53,1)),IF(LEN(DcI!AF53)=5,LEFT(DcI!AF53,2),IF(MID(DcI!AF53,2,1)="•",CONCATENATE("0",LEFT(DcI!AF53,1)),LEFT(DcI!AF53,2)))))</f>
        <v/>
      </c>
      <c r="CF53" s="28" t="str">
        <f ca="1">IF(DcI!AG53="X","X",IF(LEN(DcI!AG53)=3,CONCATENATE("0",LEFT(DcI!AG53,1)),IF(LEN(DcI!AG53)=5,LEFT(DcI!AG53,2),IF(MID(DcI!AG53,2,1)="•",CONCATENATE("0",LEFT(DcI!AG53,1)),LEFT(DcI!AG53,2)))))</f>
        <v/>
      </c>
      <c r="CG53" s="28" t="str">
        <f ca="1">IF(DcI!AH53="X","X",IF(LEN(DcI!AH53)=3,CONCATENATE("0",LEFT(DcI!AH53,1)),IF(LEN(DcI!AH53)=5,LEFT(DcI!AH53,2),IF(MID(DcI!AH53,2,1)="•",CONCATENATE("0",LEFT(DcI!AH53,1)),LEFT(DcI!AH53,2)))))</f>
        <v/>
      </c>
      <c r="CH53" s="28" t="str">
        <f ca="1">IF(DcI!AI53="X","X",IF(LEN(DcI!AI53)=3,CONCATENATE("0",LEFT(DcI!AI53,1)),IF(LEN(DcI!AI53)=5,LEFT(DcI!AI53,2),IF(MID(DcI!AI53,2,1)="•",CONCATENATE("0",LEFT(DcI!AI53,1)),LEFT(DcI!AI53,2)))))</f>
        <v/>
      </c>
      <c r="CI53" s="28" t="str">
        <f ca="1">IF(DcI!AJ53="X","X",IF(LEN(DcI!AJ53)=3,CONCATENATE("0",LEFT(DcI!AJ53,1)),IF(LEN(DcI!AJ53)=5,LEFT(DcI!AJ53,2),IF(MID(DcI!AJ53,2,1)="•",CONCATENATE("0",LEFT(DcI!AJ53,1)),LEFT(DcI!AJ53,2)))))</f>
        <v/>
      </c>
      <c r="CJ53" s="28" t="str">
        <f ca="1">IF(DcI!AK53="X","X",IF(LEN(DcI!AK53)=3,CONCATENATE("0",LEFT(DcI!AK53,1)),IF(LEN(DcI!AK53)=5,LEFT(DcI!AK53,2),IF(MID(DcI!AK53,2,1)="•",CONCATENATE("0",LEFT(DcI!AK53,1)),LEFT(DcI!AK53,2)))))</f>
        <v/>
      </c>
      <c r="CK53" s="28" t="str">
        <f ca="1">IF(DcI!AL53="X","X",IF(LEN(DcI!AL53)=3,CONCATENATE("0",LEFT(DcI!AL53,1)),IF(LEN(DcI!AL53)=5,LEFT(DcI!AL53,2),IF(MID(DcI!AL53,2,1)="•",CONCATENATE("0",LEFT(DcI!AL53,1)),LEFT(DcI!AL53,2)))))</f>
        <v/>
      </c>
      <c r="CL53" s="28" t="str">
        <f ca="1">IF(DcI!AM53="X","X",IF(LEN(DcI!AM53)=3,CONCATENATE("0",LEFT(DcI!AM53,1)),IF(LEN(DcI!AM53)=5,LEFT(DcI!AM53,2),IF(MID(DcI!AM53,2,1)="•",CONCATENATE("0",LEFT(DcI!AM53,1)),LEFT(DcI!AM53,2)))))</f>
        <v/>
      </c>
      <c r="CM53" s="28" t="str">
        <f ca="1">IF(DcI!AN53="X","X",IF(LEN(DcI!AN53)=3,CONCATENATE("0",LEFT(DcI!AN53,1)),IF(LEN(DcI!AN53)=5,LEFT(DcI!AN53,2),IF(MID(DcI!AN53,2,1)="•",CONCATENATE("0",LEFT(DcI!AN53,1)),LEFT(DcI!AN53,2)))))</f>
        <v/>
      </c>
      <c r="CN53" s="28" t="str">
        <f ca="1">IF(DcI!AO53="X","X",IF(LEN(DcI!AO53)=3,CONCATENATE("0",LEFT(DcI!AO53,1)),IF(LEN(DcI!AO53)=5,LEFT(DcI!AO53,2),IF(MID(DcI!AO53,2,1)="•",CONCATENATE("0",LEFT(DcI!AO53,1)),LEFT(DcI!AO53,2)))))</f>
        <v/>
      </c>
      <c r="CO53" s="28" t="str">
        <f ca="1">IF(DcI!AP53="X","X",IF(LEN(DcI!AP53)=3,CONCATENATE("0",LEFT(DcI!AP53,1)),IF(LEN(DcI!AP53)=5,LEFT(DcI!AP53,2),IF(MID(DcI!AP53,2,1)="•",CONCATENATE("0",LEFT(DcI!AP53,1)),LEFT(DcI!AP53,2)))))</f>
        <v/>
      </c>
      <c r="CP53" s="28" t="str">
        <f ca="1">IF(DcI!AQ53="X","X",IF(LEN(DcI!AQ53)=3,CONCATENATE("0",LEFT(DcI!AQ53,1)),IF(LEN(DcI!AQ53)=5,LEFT(DcI!AQ53,2),IF(MID(DcI!AQ53,2,1)="•",CONCATENATE("0",LEFT(DcI!AQ53,1)),LEFT(DcI!AQ53,2)))))</f>
        <v/>
      </c>
      <c r="CQ53" s="28" t="str">
        <f ca="1">IF(DcI!AR53="X","X",IF(LEN(DcI!AR53)=3,CONCATENATE("0",LEFT(DcI!AR53,1)),IF(LEN(DcI!AR53)=5,LEFT(DcI!AR53,2),IF(MID(DcI!AR53,2,1)="•",CONCATENATE("0",LEFT(DcI!AR53,1)),LEFT(DcI!AR53,2)))))</f>
        <v/>
      </c>
      <c r="CR53" s="28" t="str">
        <f ca="1">IF(DcI!AS53="X","X",IF(LEN(DcI!AS53)=3,CONCATENATE("0",LEFT(DcI!AS53,1)),IF(LEN(DcI!AS53)=5,LEFT(DcI!AS53,2),IF(MID(DcI!AS53,2,1)="•",CONCATENATE("0",LEFT(DcI!AS53,1)),LEFT(DcI!AS53,2)))))</f>
        <v/>
      </c>
      <c r="CS53" s="347" t="str">
        <f ca="1">IF(DcI!AT53="X","X",IF(LEN(DcI!AT53)=3,CONCATENATE("0",LEFT(DcI!AT53,1)),IF(LEN(DcI!AT53)=5,LEFT(DcI!AT53,2),IF(MID(DcI!AT53,2,1)="•",CONCATENATE("0",LEFT(DcI!AT53,1)),LEFT(DcI!AT53,2)))))</f>
        <v/>
      </c>
      <c r="CT53" s="28" t="str">
        <f t="shared" ca="1" si="23"/>
        <v/>
      </c>
      <c r="CU53" s="28" t="str">
        <f t="shared" ca="1" si="23"/>
        <v/>
      </c>
      <c r="CV53" s="346" t="str">
        <f t="shared" ca="1" si="23"/>
        <v/>
      </c>
    </row>
    <row r="54" spans="2:100">
      <c r="B54" s="17" t="str">
        <v>CT</v>
      </c>
      <c r="C54" s="16" t="str">
        <f t="shared" si="8"/>
        <v>CT11:CT56</v>
      </c>
      <c r="D54" s="342" t="str">
        <f t="shared" ca="1" si="9"/>
        <v/>
      </c>
      <c r="E54" s="349" t="str">
        <f t="shared" ca="1" si="10"/>
        <v>ng</v>
      </c>
      <c r="F54" s="349" t="str">
        <f t="shared" ca="1" si="24"/>
        <v>ng</v>
      </c>
      <c r="G54" s="349" t="str">
        <f t="shared" ca="1" si="24"/>
        <v>ng</v>
      </c>
      <c r="H54" s="349" t="str">
        <f t="shared" ca="1" si="24"/>
        <v>ng</v>
      </c>
      <c r="I54" s="349" t="str">
        <f t="shared" ca="1" si="24"/>
        <v>ng</v>
      </c>
      <c r="J54" s="349" t="str">
        <f t="shared" ca="1" si="24"/>
        <v>ng</v>
      </c>
      <c r="K54" s="349" t="str">
        <f t="shared" ca="1" si="24"/>
        <v>ng</v>
      </c>
      <c r="L54" s="349" t="str">
        <f t="shared" ca="1" si="24"/>
        <v>ng</v>
      </c>
      <c r="M54" s="349" t="str">
        <f t="shared" ca="1" si="24"/>
        <v>ng</v>
      </c>
      <c r="N54" s="349" t="str">
        <f t="shared" ca="1" si="24"/>
        <v>ng</v>
      </c>
      <c r="O54" s="349" t="str">
        <f t="shared" ca="1" si="24"/>
        <v>ng</v>
      </c>
      <c r="P54" s="349" t="str">
        <f t="shared" ca="1" si="24"/>
        <v>ng</v>
      </c>
      <c r="Q54" s="349" t="str">
        <f t="shared" ca="1" si="24"/>
        <v>ng</v>
      </c>
      <c r="R54" s="349" t="str">
        <f t="shared" ca="1" si="24"/>
        <v>ng</v>
      </c>
      <c r="S54" s="349" t="str">
        <f t="shared" ca="1" si="24"/>
        <v>ng</v>
      </c>
      <c r="T54" s="349" t="str">
        <f t="shared" ca="1" si="24"/>
        <v>ng</v>
      </c>
      <c r="U54" s="349" t="str">
        <f t="shared" ca="1" si="24"/>
        <v>ng</v>
      </c>
      <c r="V54" s="349" t="str">
        <f t="shared" ca="1" si="24"/>
        <v>ng</v>
      </c>
      <c r="W54" s="349" t="str">
        <f t="shared" ca="1" si="24"/>
        <v>ng</v>
      </c>
      <c r="X54" s="349" t="str">
        <f t="shared" ca="1" si="24"/>
        <v>ng</v>
      </c>
      <c r="Y54" s="349" t="str">
        <f t="shared" ca="1" si="24"/>
        <v>ng</v>
      </c>
      <c r="Z54" s="349" t="str">
        <f t="shared" ca="1" si="24"/>
        <v>ng</v>
      </c>
      <c r="AA54" s="349" t="str">
        <f t="shared" ca="1" si="24"/>
        <v>ng</v>
      </c>
      <c r="AB54" s="349" t="str">
        <f t="shared" ca="1" si="24"/>
        <v>ng</v>
      </c>
      <c r="AC54" s="349" t="str">
        <f t="shared" ca="1" si="24"/>
        <v>ng</v>
      </c>
      <c r="AD54" s="349" t="str">
        <f t="shared" ca="1" si="24"/>
        <v>ng</v>
      </c>
      <c r="AE54" s="349" t="str">
        <f t="shared" ca="1" si="24"/>
        <v>ng</v>
      </c>
      <c r="AF54" s="349" t="str">
        <f t="shared" ca="1" si="24"/>
        <v>ng</v>
      </c>
      <c r="AG54" s="349" t="str">
        <f t="shared" ca="1" si="24"/>
        <v>ng</v>
      </c>
      <c r="AH54" s="349" t="str">
        <f t="shared" ca="1" si="24"/>
        <v>ng</v>
      </c>
      <c r="AI54" s="349" t="str">
        <f t="shared" ca="1" si="24"/>
        <v>ng</v>
      </c>
      <c r="AJ54" s="349" t="str">
        <f t="shared" ca="1" si="24"/>
        <v>ng</v>
      </c>
      <c r="AK54" s="349" t="str">
        <f t="shared" ca="1" si="24"/>
        <v>ng</v>
      </c>
      <c r="AL54" s="349" t="str">
        <f t="shared" ca="1" si="22"/>
        <v>ng</v>
      </c>
      <c r="AM54" s="349" t="str">
        <f t="shared" ca="1" si="22"/>
        <v>ng</v>
      </c>
      <c r="AN54" s="349" t="str">
        <f t="shared" ca="1" si="22"/>
        <v>ng</v>
      </c>
      <c r="AO54" s="349" t="str">
        <f t="shared" ca="1" si="22"/>
        <v>ng</v>
      </c>
      <c r="AP54" s="349" t="str">
        <f t="shared" ca="1" si="22"/>
        <v>ng</v>
      </c>
      <c r="AQ54" s="349" t="str">
        <f t="shared" ca="1" si="22"/>
        <v>ng</v>
      </c>
      <c r="AR54" s="350" t="str">
        <f t="shared" ca="1" si="22"/>
        <v>ng</v>
      </c>
      <c r="BA54" s="16" t="str">
        <v>CT</v>
      </c>
      <c r="BB54" s="342" t="str">
        <f ca="1">DcI!C54</f>
        <v/>
      </c>
      <c r="BC54" s="28" t="str">
        <f ca="1">IF(DcI!D54="X","X",IF(LEN(DcI!D54)=3,CONCATENATE("0",LEFT(DcI!D54,1)),IF(LEN(DcI!D54)=5,LEFT(DcI!D54,2),IF(MID(DcI!D54,2,1)="•",CONCATENATE("0",LEFT(DcI!D54,1)),LEFT(DcI!D54,2)))))</f>
        <v/>
      </c>
      <c r="BD54" s="28" t="str">
        <f ca="1">IF(DcI!E54="X","X",IF(LEN(DcI!E54)=3,CONCATENATE("0",LEFT(DcI!E54,1)),IF(LEN(DcI!E54)=5,LEFT(DcI!E54,2),IF(MID(DcI!E54,2,1)="•",CONCATENATE("0",LEFT(DcI!E54,1)),LEFT(DcI!E54,2)))))</f>
        <v/>
      </c>
      <c r="BE54" s="28" t="str">
        <f ca="1">IF(DcI!F54="X","X",IF(LEN(DcI!F54)=3,CONCATENATE("0",LEFT(DcI!F54,1)),IF(LEN(DcI!F54)=5,LEFT(DcI!F54,2),IF(MID(DcI!F54,2,1)="•",CONCATENATE("0",LEFT(DcI!F54,1)),LEFT(DcI!F54,2)))))</f>
        <v/>
      </c>
      <c r="BF54" s="28" t="str">
        <f ca="1">IF(DcI!G54="X","X",IF(LEN(DcI!G54)=3,CONCATENATE("0",LEFT(DcI!G54,1)),IF(LEN(DcI!G54)=5,LEFT(DcI!G54,2),IF(MID(DcI!G54,2,1)="•",CONCATENATE("0",LEFT(DcI!G54,1)),LEFT(DcI!G54,2)))))</f>
        <v/>
      </c>
      <c r="BG54" s="28" t="str">
        <f ca="1">IF(DcI!H54="X","X",IF(LEN(DcI!H54)=3,CONCATENATE("0",LEFT(DcI!H54,1)),IF(LEN(DcI!H54)=5,LEFT(DcI!H54,2),IF(MID(DcI!H54,2,1)="•",CONCATENATE("0",LEFT(DcI!H54,1)),LEFT(DcI!H54,2)))))</f>
        <v/>
      </c>
      <c r="BH54" s="28" t="str">
        <f ca="1">IF(DcI!I54="X","X",IF(LEN(DcI!I54)=3,CONCATENATE("0",LEFT(DcI!I54,1)),IF(LEN(DcI!I54)=5,LEFT(DcI!I54,2),IF(MID(DcI!I54,2,1)="•",CONCATENATE("0",LEFT(DcI!I54,1)),LEFT(DcI!I54,2)))))</f>
        <v/>
      </c>
      <c r="BI54" s="28" t="str">
        <f ca="1">IF(DcI!J54="X","X",IF(LEN(DcI!J54)=3,CONCATENATE("0",LEFT(DcI!J54,1)),IF(LEN(DcI!J54)=5,LEFT(DcI!J54,2),IF(MID(DcI!J54,2,1)="•",CONCATENATE("0",LEFT(DcI!J54,1)),LEFT(DcI!J54,2)))))</f>
        <v/>
      </c>
      <c r="BJ54" s="28" t="str">
        <f ca="1">IF(DcI!K54="X","X",IF(LEN(DcI!K54)=3,CONCATENATE("0",LEFT(DcI!K54,1)),IF(LEN(DcI!K54)=5,LEFT(DcI!K54,2),IF(MID(DcI!K54,2,1)="•",CONCATENATE("0",LEFT(DcI!K54,1)),LEFT(DcI!K54,2)))))</f>
        <v/>
      </c>
      <c r="BK54" s="28" t="str">
        <f ca="1">IF(DcI!L54="X","X",IF(LEN(DcI!L54)=3,CONCATENATE("0",LEFT(DcI!L54,1)),IF(LEN(DcI!L54)=5,LEFT(DcI!L54,2),IF(MID(DcI!L54,2,1)="•",CONCATENATE("0",LEFT(DcI!L54,1)),LEFT(DcI!L54,2)))))</f>
        <v/>
      </c>
      <c r="BL54" s="28" t="str">
        <f ca="1">IF(DcI!M54="X","X",IF(LEN(DcI!M54)=3,CONCATENATE("0",LEFT(DcI!M54,1)),IF(LEN(DcI!M54)=5,LEFT(DcI!M54,2),IF(MID(DcI!M54,2,1)="•",CONCATENATE("0",LEFT(DcI!M54,1)),LEFT(DcI!M54,2)))))</f>
        <v/>
      </c>
      <c r="BM54" s="28" t="str">
        <f ca="1">IF(DcI!N54="X","X",IF(LEN(DcI!N54)=3,CONCATENATE("0",LEFT(DcI!N54,1)),IF(LEN(DcI!N54)=5,LEFT(DcI!N54,2),IF(MID(DcI!N54,2,1)="•",CONCATENATE("0",LEFT(DcI!N54,1)),LEFT(DcI!N54,2)))))</f>
        <v/>
      </c>
      <c r="BN54" s="28" t="str">
        <f ca="1">IF(DcI!O54="X","X",IF(LEN(DcI!O54)=3,CONCATENATE("0",LEFT(DcI!O54,1)),IF(LEN(DcI!O54)=5,LEFT(DcI!O54,2),IF(MID(DcI!O54,2,1)="•",CONCATENATE("0",LEFT(DcI!O54,1)),LEFT(DcI!O54,2)))))</f>
        <v/>
      </c>
      <c r="BO54" s="28" t="str">
        <f ca="1">IF(DcI!P54="X","X",IF(LEN(DcI!P54)=3,CONCATENATE("0",LEFT(DcI!P54,1)),IF(LEN(DcI!P54)=5,LEFT(DcI!P54,2),IF(MID(DcI!P54,2,1)="•",CONCATENATE("0",LEFT(DcI!P54,1)),LEFT(DcI!P54,2)))))</f>
        <v/>
      </c>
      <c r="BP54" s="28" t="str">
        <f ca="1">IF(DcI!Q54="X","X",IF(LEN(DcI!Q54)=3,CONCATENATE("0",LEFT(DcI!Q54,1)),IF(LEN(DcI!Q54)=5,LEFT(DcI!Q54,2),IF(MID(DcI!Q54,2,1)="•",CONCATENATE("0",LEFT(DcI!Q54,1)),LEFT(DcI!Q54,2)))))</f>
        <v/>
      </c>
      <c r="BQ54" s="28" t="str">
        <f ca="1">IF(DcI!R54="X","X",IF(LEN(DcI!R54)=3,CONCATENATE("0",LEFT(DcI!R54,1)),IF(LEN(DcI!R54)=5,LEFT(DcI!R54,2),IF(MID(DcI!R54,2,1)="•",CONCATENATE("0",LEFT(DcI!R54,1)),LEFT(DcI!R54,2)))))</f>
        <v/>
      </c>
      <c r="BR54" s="28" t="str">
        <f ca="1">IF(DcI!S54="X","X",IF(LEN(DcI!S54)=3,CONCATENATE("0",LEFT(DcI!S54,1)),IF(LEN(DcI!S54)=5,LEFT(DcI!S54,2),IF(MID(DcI!S54,2,1)="•",CONCATENATE("0",LEFT(DcI!S54,1)),LEFT(DcI!S54,2)))))</f>
        <v/>
      </c>
      <c r="BS54" s="28" t="str">
        <f ca="1">IF(DcI!T54="X","X",IF(LEN(DcI!T54)=3,CONCATENATE("0",LEFT(DcI!T54,1)),IF(LEN(DcI!T54)=5,LEFT(DcI!T54,2),IF(MID(DcI!T54,2,1)="•",CONCATENATE("0",LEFT(DcI!T54,1)),LEFT(DcI!T54,2)))))</f>
        <v/>
      </c>
      <c r="BT54" s="28" t="str">
        <f ca="1">IF(DcI!U54="X","X",IF(LEN(DcI!U54)=3,CONCATENATE("0",LEFT(DcI!U54,1)),IF(LEN(DcI!U54)=5,LEFT(DcI!U54,2),IF(MID(DcI!U54,2,1)="•",CONCATENATE("0",LEFT(DcI!U54,1)),LEFT(DcI!U54,2)))))</f>
        <v/>
      </c>
      <c r="BU54" s="28" t="str">
        <f ca="1">IF(DcI!V54="X","X",IF(LEN(DcI!V54)=3,CONCATENATE("0",LEFT(DcI!V54,1)),IF(LEN(DcI!V54)=5,LEFT(DcI!V54,2),IF(MID(DcI!V54,2,1)="•",CONCATENATE("0",LEFT(DcI!V54,1)),LEFT(DcI!V54,2)))))</f>
        <v/>
      </c>
      <c r="BV54" s="28" t="str">
        <f ca="1">IF(DcI!W54="X","X",IF(LEN(DcI!W54)=3,CONCATENATE("0",LEFT(DcI!W54,1)),IF(LEN(DcI!W54)=5,LEFT(DcI!W54,2),IF(MID(DcI!W54,2,1)="•",CONCATENATE("0",LEFT(DcI!W54,1)),LEFT(DcI!W54,2)))))</f>
        <v/>
      </c>
      <c r="BW54" s="28" t="str">
        <f ca="1">IF(DcI!X54="X","X",IF(LEN(DcI!X54)=3,CONCATENATE("0",LEFT(DcI!X54,1)),IF(LEN(DcI!X54)=5,LEFT(DcI!X54,2),IF(MID(DcI!X54,2,1)="•",CONCATENATE("0",LEFT(DcI!X54,1)),LEFT(DcI!X54,2)))))</f>
        <v/>
      </c>
      <c r="BX54" s="28" t="str">
        <f ca="1">IF(DcI!Y54="X","X",IF(LEN(DcI!Y54)=3,CONCATENATE("0",LEFT(DcI!Y54,1)),IF(LEN(DcI!Y54)=5,LEFT(DcI!Y54,2),IF(MID(DcI!Y54,2,1)="•",CONCATENATE("0",LEFT(DcI!Y54,1)),LEFT(DcI!Y54,2)))))</f>
        <v/>
      </c>
      <c r="BY54" s="28" t="str">
        <f ca="1">IF(DcI!Z54="X","X",IF(LEN(DcI!Z54)=3,CONCATENATE("0",LEFT(DcI!Z54,1)),IF(LEN(DcI!Z54)=5,LEFT(DcI!Z54,2),IF(MID(DcI!Z54,2,1)="•",CONCATENATE("0",LEFT(DcI!Z54,1)),LEFT(DcI!Z54,2)))))</f>
        <v/>
      </c>
      <c r="BZ54" s="28" t="str">
        <f ca="1">IF(DcI!AA54="X","X",IF(LEN(DcI!AA54)=3,CONCATENATE("0",LEFT(DcI!AA54,1)),IF(LEN(DcI!AA54)=5,LEFT(DcI!AA54,2),IF(MID(DcI!AA54,2,1)="•",CONCATENATE("0",LEFT(DcI!AA54,1)),LEFT(DcI!AA54,2)))))</f>
        <v/>
      </c>
      <c r="CA54" s="28" t="str">
        <f ca="1">IF(DcI!AB54="X","X",IF(LEN(DcI!AB54)=3,CONCATENATE("0",LEFT(DcI!AB54,1)),IF(LEN(DcI!AB54)=5,LEFT(DcI!AB54,2),IF(MID(DcI!AB54,2,1)="•",CONCATENATE("0",LEFT(DcI!AB54,1)),LEFT(DcI!AB54,2)))))</f>
        <v/>
      </c>
      <c r="CB54" s="28" t="str">
        <f ca="1">IF(DcI!AC54="X","X",IF(LEN(DcI!AC54)=3,CONCATENATE("0",LEFT(DcI!AC54,1)),IF(LEN(DcI!AC54)=5,LEFT(DcI!AC54,2),IF(MID(DcI!AC54,2,1)="•",CONCATENATE("0",LEFT(DcI!AC54,1)),LEFT(DcI!AC54,2)))))</f>
        <v/>
      </c>
      <c r="CC54" s="28" t="str">
        <f ca="1">IF(DcI!AD54="X","X",IF(LEN(DcI!AD54)=3,CONCATENATE("0",LEFT(DcI!AD54,1)),IF(LEN(DcI!AD54)=5,LEFT(DcI!AD54,2),IF(MID(DcI!AD54,2,1)="•",CONCATENATE("0",LEFT(DcI!AD54,1)),LEFT(DcI!AD54,2)))))</f>
        <v/>
      </c>
      <c r="CD54" s="28" t="str">
        <f ca="1">IF(DcI!AE54="X","X",IF(LEN(DcI!AE54)=3,CONCATENATE("0",LEFT(DcI!AE54,1)),IF(LEN(DcI!AE54)=5,LEFT(DcI!AE54,2),IF(MID(DcI!AE54,2,1)="•",CONCATENATE("0",LEFT(DcI!AE54,1)),LEFT(DcI!AE54,2)))))</f>
        <v/>
      </c>
      <c r="CE54" s="28" t="str">
        <f ca="1">IF(DcI!AF54="X","X",IF(LEN(DcI!AF54)=3,CONCATENATE("0",LEFT(DcI!AF54,1)),IF(LEN(DcI!AF54)=5,LEFT(DcI!AF54,2),IF(MID(DcI!AF54,2,1)="•",CONCATENATE("0",LEFT(DcI!AF54,1)),LEFT(DcI!AF54,2)))))</f>
        <v/>
      </c>
      <c r="CF54" s="28" t="str">
        <f ca="1">IF(DcI!AG54="X","X",IF(LEN(DcI!AG54)=3,CONCATENATE("0",LEFT(DcI!AG54,1)),IF(LEN(DcI!AG54)=5,LEFT(DcI!AG54,2),IF(MID(DcI!AG54,2,1)="•",CONCATENATE("0",LEFT(DcI!AG54,1)),LEFT(DcI!AG54,2)))))</f>
        <v/>
      </c>
      <c r="CG54" s="28" t="str">
        <f ca="1">IF(DcI!AH54="X","X",IF(LEN(DcI!AH54)=3,CONCATENATE("0",LEFT(DcI!AH54,1)),IF(LEN(DcI!AH54)=5,LEFT(DcI!AH54,2),IF(MID(DcI!AH54,2,1)="•",CONCATENATE("0",LEFT(DcI!AH54,1)),LEFT(DcI!AH54,2)))))</f>
        <v/>
      </c>
      <c r="CH54" s="28" t="str">
        <f ca="1">IF(DcI!AI54="X","X",IF(LEN(DcI!AI54)=3,CONCATENATE("0",LEFT(DcI!AI54,1)),IF(LEN(DcI!AI54)=5,LEFT(DcI!AI54,2),IF(MID(DcI!AI54,2,1)="•",CONCATENATE("0",LEFT(DcI!AI54,1)),LEFT(DcI!AI54,2)))))</f>
        <v/>
      </c>
      <c r="CI54" s="28" t="str">
        <f ca="1">IF(DcI!AJ54="X","X",IF(LEN(DcI!AJ54)=3,CONCATENATE("0",LEFT(DcI!AJ54,1)),IF(LEN(DcI!AJ54)=5,LEFT(DcI!AJ54,2),IF(MID(DcI!AJ54,2,1)="•",CONCATENATE("0",LEFT(DcI!AJ54,1)),LEFT(DcI!AJ54,2)))))</f>
        <v/>
      </c>
      <c r="CJ54" s="28" t="str">
        <f ca="1">IF(DcI!AK54="X","X",IF(LEN(DcI!AK54)=3,CONCATENATE("0",LEFT(DcI!AK54,1)),IF(LEN(DcI!AK54)=5,LEFT(DcI!AK54,2),IF(MID(DcI!AK54,2,1)="•",CONCATENATE("0",LEFT(DcI!AK54,1)),LEFT(DcI!AK54,2)))))</f>
        <v/>
      </c>
      <c r="CK54" s="28" t="str">
        <f ca="1">IF(DcI!AL54="X","X",IF(LEN(DcI!AL54)=3,CONCATENATE("0",LEFT(DcI!AL54,1)),IF(LEN(DcI!AL54)=5,LEFT(DcI!AL54,2),IF(MID(DcI!AL54,2,1)="•",CONCATENATE("0",LEFT(DcI!AL54,1)),LEFT(DcI!AL54,2)))))</f>
        <v/>
      </c>
      <c r="CL54" s="28" t="str">
        <f ca="1">IF(DcI!AM54="X","X",IF(LEN(DcI!AM54)=3,CONCATENATE("0",LEFT(DcI!AM54,1)),IF(LEN(DcI!AM54)=5,LEFT(DcI!AM54,2),IF(MID(DcI!AM54,2,1)="•",CONCATENATE("0",LEFT(DcI!AM54,1)),LEFT(DcI!AM54,2)))))</f>
        <v/>
      </c>
      <c r="CM54" s="28" t="str">
        <f ca="1">IF(DcI!AN54="X","X",IF(LEN(DcI!AN54)=3,CONCATENATE("0",LEFT(DcI!AN54,1)),IF(LEN(DcI!AN54)=5,LEFT(DcI!AN54,2),IF(MID(DcI!AN54,2,1)="•",CONCATENATE("0",LEFT(DcI!AN54,1)),LEFT(DcI!AN54,2)))))</f>
        <v/>
      </c>
      <c r="CN54" s="28" t="str">
        <f ca="1">IF(DcI!AO54="X","X",IF(LEN(DcI!AO54)=3,CONCATENATE("0",LEFT(DcI!AO54,1)),IF(LEN(DcI!AO54)=5,LEFT(DcI!AO54,2),IF(MID(DcI!AO54,2,1)="•",CONCATENATE("0",LEFT(DcI!AO54,1)),LEFT(DcI!AO54,2)))))</f>
        <v/>
      </c>
      <c r="CO54" s="28" t="str">
        <f ca="1">IF(DcI!AP54="X","X",IF(LEN(DcI!AP54)=3,CONCATENATE("0",LEFT(DcI!AP54,1)),IF(LEN(DcI!AP54)=5,LEFT(DcI!AP54,2),IF(MID(DcI!AP54,2,1)="•",CONCATENATE("0",LEFT(DcI!AP54,1)),LEFT(DcI!AP54,2)))))</f>
        <v/>
      </c>
      <c r="CP54" s="28" t="str">
        <f ca="1">IF(DcI!AQ54="X","X",IF(LEN(DcI!AQ54)=3,CONCATENATE("0",LEFT(DcI!AQ54,1)),IF(LEN(DcI!AQ54)=5,LEFT(DcI!AQ54,2),IF(MID(DcI!AQ54,2,1)="•",CONCATENATE("0",LEFT(DcI!AQ54,1)),LEFT(DcI!AQ54,2)))))</f>
        <v/>
      </c>
      <c r="CQ54" s="28" t="str">
        <f ca="1">IF(DcI!AR54="X","X",IF(LEN(DcI!AR54)=3,CONCATENATE("0",LEFT(DcI!AR54,1)),IF(LEN(DcI!AR54)=5,LEFT(DcI!AR54,2),IF(MID(DcI!AR54,2,1)="•",CONCATENATE("0",LEFT(DcI!AR54,1)),LEFT(DcI!AR54,2)))))</f>
        <v/>
      </c>
      <c r="CR54" s="28" t="str">
        <f ca="1">IF(DcI!AS54="X","X",IF(LEN(DcI!AS54)=3,CONCATENATE("0",LEFT(DcI!AS54,1)),IF(LEN(DcI!AS54)=5,LEFT(DcI!AS54,2),IF(MID(DcI!AS54,2,1)="•",CONCATENATE("0",LEFT(DcI!AS54,1)),LEFT(DcI!AS54,2)))))</f>
        <v/>
      </c>
      <c r="CS54" s="28" t="str">
        <f ca="1">IF(DcI!AT54="X","X",IF(LEN(DcI!AT54)=3,CONCATENATE("0",LEFT(DcI!AT54,1)),IF(LEN(DcI!AT54)=5,LEFT(DcI!AT54,2),IF(MID(DcI!AT54,2,1)="•",CONCATENATE("0",LEFT(DcI!AT54,1)),LEFT(DcI!AT54,2)))))</f>
        <v/>
      </c>
      <c r="CT54" s="347" t="str">
        <f ca="1">IF(DcI!AU54="X","X",IF(LEN(DcI!AU54)=3,CONCATENATE("0",LEFT(DcI!AU54,1)),IF(LEN(DcI!AU54)=5,LEFT(DcI!AU54,2),IF(MID(DcI!AU54,2,1)="•",CONCATENATE("0",LEFT(DcI!AU54,1)),LEFT(DcI!AU54,2)))))</f>
        <v/>
      </c>
      <c r="CU54" s="28" t="str">
        <f t="shared" ca="1" si="23"/>
        <v/>
      </c>
      <c r="CV54" s="346" t="str">
        <f t="shared" ca="1" si="23"/>
        <v/>
      </c>
    </row>
    <row r="55" spans="2:100">
      <c r="B55" s="17" t="str">
        <v>CU</v>
      </c>
      <c r="C55" s="16" t="str">
        <f t="shared" si="8"/>
        <v>CU11:CU56</v>
      </c>
      <c r="D55" s="342" t="str">
        <f t="shared" ca="1" si="9"/>
        <v/>
      </c>
      <c r="E55" s="349" t="str">
        <f t="shared" ca="1" si="10"/>
        <v>ng</v>
      </c>
      <c r="F55" s="349" t="str">
        <f t="shared" ca="1" si="24"/>
        <v>ng</v>
      </c>
      <c r="G55" s="349" t="str">
        <f t="shared" ca="1" si="24"/>
        <v>ng</v>
      </c>
      <c r="H55" s="349" t="str">
        <f t="shared" ca="1" si="24"/>
        <v>ng</v>
      </c>
      <c r="I55" s="349" t="str">
        <f t="shared" ca="1" si="24"/>
        <v>ng</v>
      </c>
      <c r="J55" s="349" t="str">
        <f t="shared" ca="1" si="24"/>
        <v>ng</v>
      </c>
      <c r="K55" s="349" t="str">
        <f t="shared" ca="1" si="24"/>
        <v>ng</v>
      </c>
      <c r="L55" s="349" t="str">
        <f t="shared" ca="1" si="24"/>
        <v>ng</v>
      </c>
      <c r="M55" s="349" t="str">
        <f t="shared" ca="1" si="24"/>
        <v>ng</v>
      </c>
      <c r="N55" s="349" t="str">
        <f t="shared" ca="1" si="24"/>
        <v>ng</v>
      </c>
      <c r="O55" s="349" t="str">
        <f t="shared" ca="1" si="24"/>
        <v>ng</v>
      </c>
      <c r="P55" s="349" t="str">
        <f t="shared" ca="1" si="24"/>
        <v>ng</v>
      </c>
      <c r="Q55" s="349" t="str">
        <f t="shared" ca="1" si="24"/>
        <v>ng</v>
      </c>
      <c r="R55" s="349" t="str">
        <f t="shared" ca="1" si="24"/>
        <v>ng</v>
      </c>
      <c r="S55" s="349" t="str">
        <f t="shared" ca="1" si="24"/>
        <v>ng</v>
      </c>
      <c r="T55" s="349" t="str">
        <f t="shared" ca="1" si="24"/>
        <v>ng</v>
      </c>
      <c r="U55" s="349" t="str">
        <f t="shared" ca="1" si="24"/>
        <v>ng</v>
      </c>
      <c r="V55" s="349" t="str">
        <f t="shared" ca="1" si="24"/>
        <v>ng</v>
      </c>
      <c r="W55" s="349" t="str">
        <f t="shared" ca="1" si="24"/>
        <v>ng</v>
      </c>
      <c r="X55" s="349" t="str">
        <f t="shared" ca="1" si="24"/>
        <v>ng</v>
      </c>
      <c r="Y55" s="349" t="str">
        <f t="shared" ca="1" si="24"/>
        <v>ng</v>
      </c>
      <c r="Z55" s="349" t="str">
        <f t="shared" ca="1" si="24"/>
        <v>ng</v>
      </c>
      <c r="AA55" s="349" t="str">
        <f t="shared" ca="1" si="24"/>
        <v>ng</v>
      </c>
      <c r="AB55" s="349" t="str">
        <f t="shared" ca="1" si="24"/>
        <v>ng</v>
      </c>
      <c r="AC55" s="349" t="str">
        <f t="shared" ca="1" si="24"/>
        <v>ng</v>
      </c>
      <c r="AD55" s="349" t="str">
        <f t="shared" ca="1" si="24"/>
        <v>ng</v>
      </c>
      <c r="AE55" s="349" t="str">
        <f t="shared" ca="1" si="24"/>
        <v>ng</v>
      </c>
      <c r="AF55" s="349" t="str">
        <f t="shared" ca="1" si="24"/>
        <v>ng</v>
      </c>
      <c r="AG55" s="349" t="str">
        <f t="shared" ca="1" si="24"/>
        <v>ng</v>
      </c>
      <c r="AH55" s="349" t="str">
        <f t="shared" ca="1" si="24"/>
        <v>ng</v>
      </c>
      <c r="AI55" s="349" t="str">
        <f t="shared" ca="1" si="24"/>
        <v>ng</v>
      </c>
      <c r="AJ55" s="349" t="str">
        <f t="shared" ca="1" si="24"/>
        <v>ng</v>
      </c>
      <c r="AK55" s="349" t="str">
        <f t="shared" ca="1" si="24"/>
        <v>ng</v>
      </c>
      <c r="AL55" s="349" t="str">
        <f t="shared" ca="1" si="22"/>
        <v>ng</v>
      </c>
      <c r="AM55" s="349" t="str">
        <f t="shared" ca="1" si="22"/>
        <v>ng</v>
      </c>
      <c r="AN55" s="349" t="str">
        <f t="shared" ca="1" si="22"/>
        <v>ng</v>
      </c>
      <c r="AO55" s="349" t="str">
        <f t="shared" ca="1" si="22"/>
        <v>ng</v>
      </c>
      <c r="AP55" s="349" t="str">
        <f t="shared" ca="1" si="22"/>
        <v>ng</v>
      </c>
      <c r="AQ55" s="349" t="str">
        <f t="shared" ca="1" si="22"/>
        <v>ng</v>
      </c>
      <c r="AR55" s="350" t="str">
        <f t="shared" ca="1" si="22"/>
        <v>ng</v>
      </c>
      <c r="BA55" s="16" t="str">
        <v>CU</v>
      </c>
      <c r="BB55" s="342" t="str">
        <f ca="1">DcI!C55</f>
        <v/>
      </c>
      <c r="BC55" s="28" t="str">
        <f ca="1">IF(DcI!D55="X","X",IF(LEN(DcI!D55)=3,CONCATENATE("0",LEFT(DcI!D55,1)),IF(LEN(DcI!D55)=5,LEFT(DcI!D55,2),IF(MID(DcI!D55,2,1)="•",CONCATENATE("0",LEFT(DcI!D55,1)),LEFT(DcI!D55,2)))))</f>
        <v/>
      </c>
      <c r="BD55" s="28" t="str">
        <f ca="1">IF(DcI!E55="X","X",IF(LEN(DcI!E55)=3,CONCATENATE("0",LEFT(DcI!E55,1)),IF(LEN(DcI!E55)=5,LEFT(DcI!E55,2),IF(MID(DcI!E55,2,1)="•",CONCATENATE("0",LEFT(DcI!E55,1)),LEFT(DcI!E55,2)))))</f>
        <v/>
      </c>
      <c r="BE55" s="28" t="str">
        <f ca="1">IF(DcI!F55="X","X",IF(LEN(DcI!F55)=3,CONCATENATE("0",LEFT(DcI!F55,1)),IF(LEN(DcI!F55)=5,LEFT(DcI!F55,2),IF(MID(DcI!F55,2,1)="•",CONCATENATE("0",LEFT(DcI!F55,1)),LEFT(DcI!F55,2)))))</f>
        <v/>
      </c>
      <c r="BF55" s="28" t="str">
        <f ca="1">IF(DcI!G55="X","X",IF(LEN(DcI!G55)=3,CONCATENATE("0",LEFT(DcI!G55,1)),IF(LEN(DcI!G55)=5,LEFT(DcI!G55,2),IF(MID(DcI!G55,2,1)="•",CONCATENATE("0",LEFT(DcI!G55,1)),LEFT(DcI!G55,2)))))</f>
        <v/>
      </c>
      <c r="BG55" s="28" t="str">
        <f ca="1">IF(DcI!H55="X","X",IF(LEN(DcI!H55)=3,CONCATENATE("0",LEFT(DcI!H55,1)),IF(LEN(DcI!H55)=5,LEFT(DcI!H55,2),IF(MID(DcI!H55,2,1)="•",CONCATENATE("0",LEFT(DcI!H55,1)),LEFT(DcI!H55,2)))))</f>
        <v/>
      </c>
      <c r="BH55" s="28" t="str">
        <f ca="1">IF(DcI!I55="X","X",IF(LEN(DcI!I55)=3,CONCATENATE("0",LEFT(DcI!I55,1)),IF(LEN(DcI!I55)=5,LEFT(DcI!I55,2),IF(MID(DcI!I55,2,1)="•",CONCATENATE("0",LEFT(DcI!I55,1)),LEFT(DcI!I55,2)))))</f>
        <v/>
      </c>
      <c r="BI55" s="28" t="str">
        <f ca="1">IF(DcI!J55="X","X",IF(LEN(DcI!J55)=3,CONCATENATE("0",LEFT(DcI!J55,1)),IF(LEN(DcI!J55)=5,LEFT(DcI!J55,2),IF(MID(DcI!J55,2,1)="•",CONCATENATE("0",LEFT(DcI!J55,1)),LEFT(DcI!J55,2)))))</f>
        <v/>
      </c>
      <c r="BJ55" s="28" t="str">
        <f ca="1">IF(DcI!K55="X","X",IF(LEN(DcI!K55)=3,CONCATENATE("0",LEFT(DcI!K55,1)),IF(LEN(DcI!K55)=5,LEFT(DcI!K55,2),IF(MID(DcI!K55,2,1)="•",CONCATENATE("0",LEFT(DcI!K55,1)),LEFT(DcI!K55,2)))))</f>
        <v/>
      </c>
      <c r="BK55" s="28" t="str">
        <f ca="1">IF(DcI!L55="X","X",IF(LEN(DcI!L55)=3,CONCATENATE("0",LEFT(DcI!L55,1)),IF(LEN(DcI!L55)=5,LEFT(DcI!L55,2),IF(MID(DcI!L55,2,1)="•",CONCATENATE("0",LEFT(DcI!L55,1)),LEFT(DcI!L55,2)))))</f>
        <v/>
      </c>
      <c r="BL55" s="28" t="str">
        <f ca="1">IF(DcI!M55="X","X",IF(LEN(DcI!M55)=3,CONCATENATE("0",LEFT(DcI!M55,1)),IF(LEN(DcI!M55)=5,LEFT(DcI!M55,2),IF(MID(DcI!M55,2,1)="•",CONCATENATE("0",LEFT(DcI!M55,1)),LEFT(DcI!M55,2)))))</f>
        <v/>
      </c>
      <c r="BM55" s="28" t="str">
        <f ca="1">IF(DcI!N55="X","X",IF(LEN(DcI!N55)=3,CONCATENATE("0",LEFT(DcI!N55,1)),IF(LEN(DcI!N55)=5,LEFT(DcI!N55,2),IF(MID(DcI!N55,2,1)="•",CONCATENATE("0",LEFT(DcI!N55,1)),LEFT(DcI!N55,2)))))</f>
        <v/>
      </c>
      <c r="BN55" s="28" t="str">
        <f ca="1">IF(DcI!O55="X","X",IF(LEN(DcI!O55)=3,CONCATENATE("0",LEFT(DcI!O55,1)),IF(LEN(DcI!O55)=5,LEFT(DcI!O55,2),IF(MID(DcI!O55,2,1)="•",CONCATENATE("0",LEFT(DcI!O55,1)),LEFT(DcI!O55,2)))))</f>
        <v/>
      </c>
      <c r="BO55" s="28" t="str">
        <f ca="1">IF(DcI!P55="X","X",IF(LEN(DcI!P55)=3,CONCATENATE("0",LEFT(DcI!P55,1)),IF(LEN(DcI!P55)=5,LEFT(DcI!P55,2),IF(MID(DcI!P55,2,1)="•",CONCATENATE("0",LEFT(DcI!P55,1)),LEFT(DcI!P55,2)))))</f>
        <v/>
      </c>
      <c r="BP55" s="28" t="str">
        <f ca="1">IF(DcI!Q55="X","X",IF(LEN(DcI!Q55)=3,CONCATENATE("0",LEFT(DcI!Q55,1)),IF(LEN(DcI!Q55)=5,LEFT(DcI!Q55,2),IF(MID(DcI!Q55,2,1)="•",CONCATENATE("0",LEFT(DcI!Q55,1)),LEFT(DcI!Q55,2)))))</f>
        <v/>
      </c>
      <c r="BQ55" s="28" t="str">
        <f ca="1">IF(DcI!R55="X","X",IF(LEN(DcI!R55)=3,CONCATENATE("0",LEFT(DcI!R55,1)),IF(LEN(DcI!R55)=5,LEFT(DcI!R55,2),IF(MID(DcI!R55,2,1)="•",CONCATENATE("0",LEFT(DcI!R55,1)),LEFT(DcI!R55,2)))))</f>
        <v/>
      </c>
      <c r="BR55" s="28" t="str">
        <f ca="1">IF(DcI!S55="X","X",IF(LEN(DcI!S55)=3,CONCATENATE("0",LEFT(DcI!S55,1)),IF(LEN(DcI!S55)=5,LEFT(DcI!S55,2),IF(MID(DcI!S55,2,1)="•",CONCATENATE("0",LEFT(DcI!S55,1)),LEFT(DcI!S55,2)))))</f>
        <v/>
      </c>
      <c r="BS55" s="28" t="str">
        <f ca="1">IF(DcI!T55="X","X",IF(LEN(DcI!T55)=3,CONCATENATE("0",LEFT(DcI!T55,1)),IF(LEN(DcI!T55)=5,LEFT(DcI!T55,2),IF(MID(DcI!T55,2,1)="•",CONCATENATE("0",LEFT(DcI!T55,1)),LEFT(DcI!T55,2)))))</f>
        <v/>
      </c>
      <c r="BT55" s="28" t="str">
        <f ca="1">IF(DcI!U55="X","X",IF(LEN(DcI!U55)=3,CONCATENATE("0",LEFT(DcI!U55,1)),IF(LEN(DcI!U55)=5,LEFT(DcI!U55,2),IF(MID(DcI!U55,2,1)="•",CONCATENATE("0",LEFT(DcI!U55,1)),LEFT(DcI!U55,2)))))</f>
        <v/>
      </c>
      <c r="BU55" s="28" t="str">
        <f ca="1">IF(DcI!V55="X","X",IF(LEN(DcI!V55)=3,CONCATENATE("0",LEFT(DcI!V55,1)),IF(LEN(DcI!V55)=5,LEFT(DcI!V55,2),IF(MID(DcI!V55,2,1)="•",CONCATENATE("0",LEFT(DcI!V55,1)),LEFT(DcI!V55,2)))))</f>
        <v/>
      </c>
      <c r="BV55" s="28" t="str">
        <f ca="1">IF(DcI!W55="X","X",IF(LEN(DcI!W55)=3,CONCATENATE("0",LEFT(DcI!W55,1)),IF(LEN(DcI!W55)=5,LEFT(DcI!W55,2),IF(MID(DcI!W55,2,1)="•",CONCATENATE("0",LEFT(DcI!W55,1)),LEFT(DcI!W55,2)))))</f>
        <v/>
      </c>
      <c r="BW55" s="28" t="str">
        <f ca="1">IF(DcI!X55="X","X",IF(LEN(DcI!X55)=3,CONCATENATE("0",LEFT(DcI!X55,1)),IF(LEN(DcI!X55)=5,LEFT(DcI!X55,2),IF(MID(DcI!X55,2,1)="•",CONCATENATE("0",LEFT(DcI!X55,1)),LEFT(DcI!X55,2)))))</f>
        <v/>
      </c>
      <c r="BX55" s="28" t="str">
        <f ca="1">IF(DcI!Y55="X","X",IF(LEN(DcI!Y55)=3,CONCATENATE("0",LEFT(DcI!Y55,1)),IF(LEN(DcI!Y55)=5,LEFT(DcI!Y55,2),IF(MID(DcI!Y55,2,1)="•",CONCATENATE("0",LEFT(DcI!Y55,1)),LEFT(DcI!Y55,2)))))</f>
        <v/>
      </c>
      <c r="BY55" s="28" t="str">
        <f ca="1">IF(DcI!Z55="X","X",IF(LEN(DcI!Z55)=3,CONCATENATE("0",LEFT(DcI!Z55,1)),IF(LEN(DcI!Z55)=5,LEFT(DcI!Z55,2),IF(MID(DcI!Z55,2,1)="•",CONCATENATE("0",LEFT(DcI!Z55,1)),LEFT(DcI!Z55,2)))))</f>
        <v/>
      </c>
      <c r="BZ55" s="28" t="str">
        <f ca="1">IF(DcI!AA55="X","X",IF(LEN(DcI!AA55)=3,CONCATENATE("0",LEFT(DcI!AA55,1)),IF(LEN(DcI!AA55)=5,LEFT(DcI!AA55,2),IF(MID(DcI!AA55,2,1)="•",CONCATENATE("0",LEFT(DcI!AA55,1)),LEFT(DcI!AA55,2)))))</f>
        <v/>
      </c>
      <c r="CA55" s="28" t="str">
        <f ca="1">IF(DcI!AB55="X","X",IF(LEN(DcI!AB55)=3,CONCATENATE("0",LEFT(DcI!AB55,1)),IF(LEN(DcI!AB55)=5,LEFT(DcI!AB55,2),IF(MID(DcI!AB55,2,1)="•",CONCATENATE("0",LEFT(DcI!AB55,1)),LEFT(DcI!AB55,2)))))</f>
        <v/>
      </c>
      <c r="CB55" s="28" t="str">
        <f ca="1">IF(DcI!AC55="X","X",IF(LEN(DcI!AC55)=3,CONCATENATE("0",LEFT(DcI!AC55,1)),IF(LEN(DcI!AC55)=5,LEFT(DcI!AC55,2),IF(MID(DcI!AC55,2,1)="•",CONCATENATE("0",LEFT(DcI!AC55,1)),LEFT(DcI!AC55,2)))))</f>
        <v/>
      </c>
      <c r="CC55" s="28" t="str">
        <f ca="1">IF(DcI!AD55="X","X",IF(LEN(DcI!AD55)=3,CONCATENATE("0",LEFT(DcI!AD55,1)),IF(LEN(DcI!AD55)=5,LEFT(DcI!AD55,2),IF(MID(DcI!AD55,2,1)="•",CONCATENATE("0",LEFT(DcI!AD55,1)),LEFT(DcI!AD55,2)))))</f>
        <v/>
      </c>
      <c r="CD55" s="28" t="str">
        <f ca="1">IF(DcI!AE55="X","X",IF(LEN(DcI!AE55)=3,CONCATENATE("0",LEFT(DcI!AE55,1)),IF(LEN(DcI!AE55)=5,LEFT(DcI!AE55,2),IF(MID(DcI!AE55,2,1)="•",CONCATENATE("0",LEFT(DcI!AE55,1)),LEFT(DcI!AE55,2)))))</f>
        <v/>
      </c>
      <c r="CE55" s="28" t="str">
        <f ca="1">IF(DcI!AF55="X","X",IF(LEN(DcI!AF55)=3,CONCATENATE("0",LEFT(DcI!AF55,1)),IF(LEN(DcI!AF55)=5,LEFT(DcI!AF55,2),IF(MID(DcI!AF55,2,1)="•",CONCATENATE("0",LEFT(DcI!AF55,1)),LEFT(DcI!AF55,2)))))</f>
        <v/>
      </c>
      <c r="CF55" s="28" t="str">
        <f ca="1">IF(DcI!AG55="X","X",IF(LEN(DcI!AG55)=3,CONCATENATE("0",LEFT(DcI!AG55,1)),IF(LEN(DcI!AG55)=5,LEFT(DcI!AG55,2),IF(MID(DcI!AG55,2,1)="•",CONCATENATE("0",LEFT(DcI!AG55,1)),LEFT(DcI!AG55,2)))))</f>
        <v/>
      </c>
      <c r="CG55" s="28" t="str">
        <f ca="1">IF(DcI!AH55="X","X",IF(LEN(DcI!AH55)=3,CONCATENATE("0",LEFT(DcI!AH55,1)),IF(LEN(DcI!AH55)=5,LEFT(DcI!AH55,2),IF(MID(DcI!AH55,2,1)="•",CONCATENATE("0",LEFT(DcI!AH55,1)),LEFT(DcI!AH55,2)))))</f>
        <v/>
      </c>
      <c r="CH55" s="28" t="str">
        <f ca="1">IF(DcI!AI55="X","X",IF(LEN(DcI!AI55)=3,CONCATENATE("0",LEFT(DcI!AI55,1)),IF(LEN(DcI!AI55)=5,LEFT(DcI!AI55,2),IF(MID(DcI!AI55,2,1)="•",CONCATENATE("0",LEFT(DcI!AI55,1)),LEFT(DcI!AI55,2)))))</f>
        <v/>
      </c>
      <c r="CI55" s="28" t="str">
        <f ca="1">IF(DcI!AJ55="X","X",IF(LEN(DcI!AJ55)=3,CONCATENATE("0",LEFT(DcI!AJ55,1)),IF(LEN(DcI!AJ55)=5,LEFT(DcI!AJ55,2),IF(MID(DcI!AJ55,2,1)="•",CONCATENATE("0",LEFT(DcI!AJ55,1)),LEFT(DcI!AJ55,2)))))</f>
        <v/>
      </c>
      <c r="CJ55" s="28" t="str">
        <f ca="1">IF(DcI!AK55="X","X",IF(LEN(DcI!AK55)=3,CONCATENATE("0",LEFT(DcI!AK55,1)),IF(LEN(DcI!AK55)=5,LEFT(DcI!AK55,2),IF(MID(DcI!AK55,2,1)="•",CONCATENATE("0",LEFT(DcI!AK55,1)),LEFT(DcI!AK55,2)))))</f>
        <v/>
      </c>
      <c r="CK55" s="28" t="str">
        <f ca="1">IF(DcI!AL55="X","X",IF(LEN(DcI!AL55)=3,CONCATENATE("0",LEFT(DcI!AL55,1)),IF(LEN(DcI!AL55)=5,LEFT(DcI!AL55,2),IF(MID(DcI!AL55,2,1)="•",CONCATENATE("0",LEFT(DcI!AL55,1)),LEFT(DcI!AL55,2)))))</f>
        <v/>
      </c>
      <c r="CL55" s="28" t="str">
        <f ca="1">IF(DcI!AM55="X","X",IF(LEN(DcI!AM55)=3,CONCATENATE("0",LEFT(DcI!AM55,1)),IF(LEN(DcI!AM55)=5,LEFT(DcI!AM55,2),IF(MID(DcI!AM55,2,1)="•",CONCATENATE("0",LEFT(DcI!AM55,1)),LEFT(DcI!AM55,2)))))</f>
        <v/>
      </c>
      <c r="CM55" s="28" t="str">
        <f ca="1">IF(DcI!AN55="X","X",IF(LEN(DcI!AN55)=3,CONCATENATE("0",LEFT(DcI!AN55,1)),IF(LEN(DcI!AN55)=5,LEFT(DcI!AN55,2),IF(MID(DcI!AN55,2,1)="•",CONCATENATE("0",LEFT(DcI!AN55,1)),LEFT(DcI!AN55,2)))))</f>
        <v/>
      </c>
      <c r="CN55" s="28" t="str">
        <f ca="1">IF(DcI!AO55="X","X",IF(LEN(DcI!AO55)=3,CONCATENATE("0",LEFT(DcI!AO55,1)),IF(LEN(DcI!AO55)=5,LEFT(DcI!AO55,2),IF(MID(DcI!AO55,2,1)="•",CONCATENATE("0",LEFT(DcI!AO55,1)),LEFT(DcI!AO55,2)))))</f>
        <v/>
      </c>
      <c r="CO55" s="28" t="str">
        <f ca="1">IF(DcI!AP55="X","X",IF(LEN(DcI!AP55)=3,CONCATENATE("0",LEFT(DcI!AP55,1)),IF(LEN(DcI!AP55)=5,LEFT(DcI!AP55,2),IF(MID(DcI!AP55,2,1)="•",CONCATENATE("0",LEFT(DcI!AP55,1)),LEFT(DcI!AP55,2)))))</f>
        <v/>
      </c>
      <c r="CP55" s="28" t="str">
        <f ca="1">IF(DcI!AQ55="X","X",IF(LEN(DcI!AQ55)=3,CONCATENATE("0",LEFT(DcI!AQ55,1)),IF(LEN(DcI!AQ55)=5,LEFT(DcI!AQ55,2),IF(MID(DcI!AQ55,2,1)="•",CONCATENATE("0",LEFT(DcI!AQ55,1)),LEFT(DcI!AQ55,2)))))</f>
        <v/>
      </c>
      <c r="CQ55" s="28" t="str">
        <f ca="1">IF(DcI!AR55="X","X",IF(LEN(DcI!AR55)=3,CONCATENATE("0",LEFT(DcI!AR55,1)),IF(LEN(DcI!AR55)=5,LEFT(DcI!AR55,2),IF(MID(DcI!AR55,2,1)="•",CONCATENATE("0",LEFT(DcI!AR55,1)),LEFT(DcI!AR55,2)))))</f>
        <v/>
      </c>
      <c r="CR55" s="28" t="str">
        <f ca="1">IF(DcI!AS55="X","X",IF(LEN(DcI!AS55)=3,CONCATENATE("0",LEFT(DcI!AS55,1)),IF(LEN(DcI!AS55)=5,LEFT(DcI!AS55,2),IF(MID(DcI!AS55,2,1)="•",CONCATENATE("0",LEFT(DcI!AS55,1)),LEFT(DcI!AS55,2)))))</f>
        <v/>
      </c>
      <c r="CS55" s="28" t="str">
        <f ca="1">IF(DcI!AT55="X","X",IF(LEN(DcI!AT55)=3,CONCATENATE("0",LEFT(DcI!AT55,1)),IF(LEN(DcI!AT55)=5,LEFT(DcI!AT55,2),IF(MID(DcI!AT55,2,1)="•",CONCATENATE("0",LEFT(DcI!AT55,1)),LEFT(DcI!AT55,2)))))</f>
        <v/>
      </c>
      <c r="CT55" s="28" t="str">
        <f ca="1">IF(DcI!AU55="X","X",IF(LEN(DcI!AU55)=3,CONCATENATE("0",LEFT(DcI!AU55,1)),IF(LEN(DcI!AU55)=5,LEFT(DcI!AU55,2),IF(MID(DcI!AU55,2,1)="•",CONCATENATE("0",LEFT(DcI!AU55,1)),LEFT(DcI!AU55,2)))))</f>
        <v/>
      </c>
      <c r="CU55" s="347" t="str">
        <f ca="1">IF(DcI!AV55="X","X",IF(LEN(DcI!AV55)=3,CONCATENATE("0",LEFT(DcI!AV55,1)),IF(LEN(DcI!AV55)=5,LEFT(DcI!AV55,2),IF(MID(DcI!AV55,2,1)="•",CONCATENATE("0",LEFT(DcI!AV55,1)),LEFT(DcI!AV55,2)))))</f>
        <v/>
      </c>
      <c r="CV55" s="346" t="str">
        <f t="shared" ca="1" si="23"/>
        <v/>
      </c>
    </row>
    <row r="56" spans="2:100">
      <c r="B56" s="17" t="str">
        <v>CV</v>
      </c>
      <c r="C56" s="16" t="str">
        <f t="shared" si="8"/>
        <v>CV11:CV56</v>
      </c>
      <c r="D56" s="343" t="str">
        <f t="shared" ca="1" si="9"/>
        <v/>
      </c>
      <c r="E56" s="351" t="str">
        <f t="shared" ca="1" si="10"/>
        <v>ng</v>
      </c>
      <c r="F56" s="351" t="str">
        <f t="shared" ca="1" si="24"/>
        <v>ng</v>
      </c>
      <c r="G56" s="351" t="str">
        <f t="shared" ca="1" si="24"/>
        <v>ng</v>
      </c>
      <c r="H56" s="351" t="str">
        <f t="shared" ca="1" si="24"/>
        <v>ng</v>
      </c>
      <c r="I56" s="351" t="str">
        <f t="shared" ca="1" si="24"/>
        <v>ng</v>
      </c>
      <c r="J56" s="351" t="str">
        <f t="shared" ca="1" si="24"/>
        <v>ng</v>
      </c>
      <c r="K56" s="351" t="str">
        <f t="shared" ca="1" si="24"/>
        <v>ng</v>
      </c>
      <c r="L56" s="351" t="str">
        <f t="shared" ca="1" si="24"/>
        <v>ng</v>
      </c>
      <c r="M56" s="351" t="str">
        <f t="shared" ca="1" si="24"/>
        <v>ng</v>
      </c>
      <c r="N56" s="351" t="str">
        <f t="shared" ca="1" si="24"/>
        <v>ng</v>
      </c>
      <c r="O56" s="351" t="str">
        <f t="shared" ca="1" si="24"/>
        <v>ng</v>
      </c>
      <c r="P56" s="351" t="str">
        <f t="shared" ca="1" si="24"/>
        <v>ng</v>
      </c>
      <c r="Q56" s="351" t="str">
        <f t="shared" ca="1" si="24"/>
        <v>ng</v>
      </c>
      <c r="R56" s="351" t="str">
        <f t="shared" ca="1" si="24"/>
        <v>ng</v>
      </c>
      <c r="S56" s="351" t="str">
        <f t="shared" ca="1" si="24"/>
        <v>ng</v>
      </c>
      <c r="T56" s="351" t="str">
        <f t="shared" ca="1" si="24"/>
        <v>ng</v>
      </c>
      <c r="U56" s="351" t="str">
        <f t="shared" ca="1" si="24"/>
        <v>ng</v>
      </c>
      <c r="V56" s="351" t="str">
        <f t="shared" ca="1" si="24"/>
        <v>ng</v>
      </c>
      <c r="W56" s="351" t="str">
        <f t="shared" ca="1" si="24"/>
        <v>ng</v>
      </c>
      <c r="X56" s="351" t="str">
        <f t="shared" ca="1" si="24"/>
        <v>ng</v>
      </c>
      <c r="Y56" s="351" t="str">
        <f t="shared" ca="1" si="24"/>
        <v>ng</v>
      </c>
      <c r="Z56" s="351" t="str">
        <f t="shared" ca="1" si="24"/>
        <v>ng</v>
      </c>
      <c r="AA56" s="351" t="str">
        <f t="shared" ca="1" si="24"/>
        <v>ng</v>
      </c>
      <c r="AB56" s="351" t="str">
        <f t="shared" ca="1" si="24"/>
        <v>ng</v>
      </c>
      <c r="AC56" s="351" t="str">
        <f t="shared" ca="1" si="24"/>
        <v>ng</v>
      </c>
      <c r="AD56" s="351" t="str">
        <f t="shared" ca="1" si="24"/>
        <v>ng</v>
      </c>
      <c r="AE56" s="351" t="str">
        <f t="shared" ca="1" si="24"/>
        <v>ng</v>
      </c>
      <c r="AF56" s="351" t="str">
        <f t="shared" ca="1" si="24"/>
        <v>ng</v>
      </c>
      <c r="AG56" s="351" t="str">
        <f t="shared" ca="1" si="24"/>
        <v>ng</v>
      </c>
      <c r="AH56" s="351" t="str">
        <f t="shared" ca="1" si="24"/>
        <v>ng</v>
      </c>
      <c r="AI56" s="351" t="str">
        <f t="shared" ca="1" si="24"/>
        <v>ng</v>
      </c>
      <c r="AJ56" s="351" t="str">
        <f t="shared" ca="1" si="24"/>
        <v>ng</v>
      </c>
      <c r="AK56" s="351" t="str">
        <f t="shared" ca="1" si="24"/>
        <v>ng</v>
      </c>
      <c r="AL56" s="351" t="str">
        <f t="shared" ca="1" si="22"/>
        <v>ng</v>
      </c>
      <c r="AM56" s="351" t="str">
        <f t="shared" ca="1" si="22"/>
        <v>ng</v>
      </c>
      <c r="AN56" s="351" t="str">
        <f t="shared" ca="1" si="22"/>
        <v>ng</v>
      </c>
      <c r="AO56" s="351" t="str">
        <f t="shared" ca="1" si="22"/>
        <v>ng</v>
      </c>
      <c r="AP56" s="351" t="str">
        <f t="shared" ca="1" si="22"/>
        <v>ng</v>
      </c>
      <c r="AQ56" s="351" t="str">
        <f t="shared" ca="1" si="22"/>
        <v>ng</v>
      </c>
      <c r="AR56" s="352" t="str">
        <f t="shared" ca="1" si="22"/>
        <v>ng</v>
      </c>
      <c r="BA56" s="16" t="str">
        <v>CV</v>
      </c>
      <c r="BB56" s="343" t="str">
        <f ca="1">DcI!C56</f>
        <v/>
      </c>
      <c r="BC56" s="344" t="str">
        <f ca="1">IF(DcI!D56="X","X",IF(LEN(DcI!D56)=3,CONCATENATE("0",LEFT(DcI!D56,1)),IF(LEN(DcI!D56)=5,LEFT(DcI!D56,2),IF(MID(DcI!D56,2,1)="•",CONCATENATE("0",LEFT(DcI!D56,1)),LEFT(DcI!D56,2)))))</f>
        <v/>
      </c>
      <c r="BD56" s="344" t="str">
        <f ca="1">IF(DcI!E56="X","X",IF(LEN(DcI!E56)=3,CONCATENATE("0",LEFT(DcI!E56,1)),IF(LEN(DcI!E56)=5,LEFT(DcI!E56,2),IF(MID(DcI!E56,2,1)="•",CONCATENATE("0",LEFT(DcI!E56,1)),LEFT(DcI!E56,2)))))</f>
        <v/>
      </c>
      <c r="BE56" s="344" t="str">
        <f ca="1">IF(DcI!F56="X","X",IF(LEN(DcI!F56)=3,CONCATENATE("0",LEFT(DcI!F56,1)),IF(LEN(DcI!F56)=5,LEFT(DcI!F56,2),IF(MID(DcI!F56,2,1)="•",CONCATENATE("0",LEFT(DcI!F56,1)),LEFT(DcI!F56,2)))))</f>
        <v/>
      </c>
      <c r="BF56" s="344" t="str">
        <f ca="1">IF(DcI!G56="X","X",IF(LEN(DcI!G56)=3,CONCATENATE("0",LEFT(DcI!G56,1)),IF(LEN(DcI!G56)=5,LEFT(DcI!G56,2),IF(MID(DcI!G56,2,1)="•",CONCATENATE("0",LEFT(DcI!G56,1)),LEFT(DcI!G56,2)))))</f>
        <v/>
      </c>
      <c r="BG56" s="344" t="str">
        <f ca="1">IF(DcI!H56="X","X",IF(LEN(DcI!H56)=3,CONCATENATE("0",LEFT(DcI!H56,1)),IF(LEN(DcI!H56)=5,LEFT(DcI!H56,2),IF(MID(DcI!H56,2,1)="•",CONCATENATE("0",LEFT(DcI!H56,1)),LEFT(DcI!H56,2)))))</f>
        <v/>
      </c>
      <c r="BH56" s="344" t="str">
        <f ca="1">IF(DcI!I56="X","X",IF(LEN(DcI!I56)=3,CONCATENATE("0",LEFT(DcI!I56,1)),IF(LEN(DcI!I56)=5,LEFT(DcI!I56,2),IF(MID(DcI!I56,2,1)="•",CONCATENATE("0",LEFT(DcI!I56,1)),LEFT(DcI!I56,2)))))</f>
        <v/>
      </c>
      <c r="BI56" s="344" t="str">
        <f ca="1">IF(DcI!J56="X","X",IF(LEN(DcI!J56)=3,CONCATENATE("0",LEFT(DcI!J56,1)),IF(LEN(DcI!J56)=5,LEFT(DcI!J56,2),IF(MID(DcI!J56,2,1)="•",CONCATENATE("0",LEFT(DcI!J56,1)),LEFT(DcI!J56,2)))))</f>
        <v/>
      </c>
      <c r="BJ56" s="344" t="str">
        <f ca="1">IF(DcI!K56="X","X",IF(LEN(DcI!K56)=3,CONCATENATE("0",LEFT(DcI!K56,1)),IF(LEN(DcI!K56)=5,LEFT(DcI!K56,2),IF(MID(DcI!K56,2,1)="•",CONCATENATE("0",LEFT(DcI!K56,1)),LEFT(DcI!K56,2)))))</f>
        <v/>
      </c>
      <c r="BK56" s="344" t="str">
        <f ca="1">IF(DcI!L56="X","X",IF(LEN(DcI!L56)=3,CONCATENATE("0",LEFT(DcI!L56,1)),IF(LEN(DcI!L56)=5,LEFT(DcI!L56,2),IF(MID(DcI!L56,2,1)="•",CONCATENATE("0",LEFT(DcI!L56,1)),LEFT(DcI!L56,2)))))</f>
        <v/>
      </c>
      <c r="BL56" s="344" t="str">
        <f ca="1">IF(DcI!M56="X","X",IF(LEN(DcI!M56)=3,CONCATENATE("0",LEFT(DcI!M56,1)),IF(LEN(DcI!M56)=5,LEFT(DcI!M56,2),IF(MID(DcI!M56,2,1)="•",CONCATENATE("0",LEFT(DcI!M56,1)),LEFT(DcI!M56,2)))))</f>
        <v/>
      </c>
      <c r="BM56" s="344" t="str">
        <f ca="1">IF(DcI!N56="X","X",IF(LEN(DcI!N56)=3,CONCATENATE("0",LEFT(DcI!N56,1)),IF(LEN(DcI!N56)=5,LEFT(DcI!N56,2),IF(MID(DcI!N56,2,1)="•",CONCATENATE("0",LEFT(DcI!N56,1)),LEFT(DcI!N56,2)))))</f>
        <v/>
      </c>
      <c r="BN56" s="344" t="str">
        <f ca="1">IF(DcI!O56="X","X",IF(LEN(DcI!O56)=3,CONCATENATE("0",LEFT(DcI!O56,1)),IF(LEN(DcI!O56)=5,LEFT(DcI!O56,2),IF(MID(DcI!O56,2,1)="•",CONCATENATE("0",LEFT(DcI!O56,1)),LEFT(DcI!O56,2)))))</f>
        <v/>
      </c>
      <c r="BO56" s="344" t="str">
        <f ca="1">IF(DcI!P56="X","X",IF(LEN(DcI!P56)=3,CONCATENATE("0",LEFT(DcI!P56,1)),IF(LEN(DcI!P56)=5,LEFT(DcI!P56,2),IF(MID(DcI!P56,2,1)="•",CONCATENATE("0",LEFT(DcI!P56,1)),LEFT(DcI!P56,2)))))</f>
        <v/>
      </c>
      <c r="BP56" s="344" t="str">
        <f ca="1">IF(DcI!Q56="X","X",IF(LEN(DcI!Q56)=3,CONCATENATE("0",LEFT(DcI!Q56,1)),IF(LEN(DcI!Q56)=5,LEFT(DcI!Q56,2),IF(MID(DcI!Q56,2,1)="•",CONCATENATE("0",LEFT(DcI!Q56,1)),LEFT(DcI!Q56,2)))))</f>
        <v/>
      </c>
      <c r="BQ56" s="344" t="str">
        <f ca="1">IF(DcI!R56="X","X",IF(LEN(DcI!R56)=3,CONCATENATE("0",LEFT(DcI!R56,1)),IF(LEN(DcI!R56)=5,LEFT(DcI!R56,2),IF(MID(DcI!R56,2,1)="•",CONCATENATE("0",LEFT(DcI!R56,1)),LEFT(DcI!R56,2)))))</f>
        <v/>
      </c>
      <c r="BR56" s="344" t="str">
        <f ca="1">IF(DcI!S56="X","X",IF(LEN(DcI!S56)=3,CONCATENATE("0",LEFT(DcI!S56,1)),IF(LEN(DcI!S56)=5,LEFT(DcI!S56,2),IF(MID(DcI!S56,2,1)="•",CONCATENATE("0",LEFT(DcI!S56,1)),LEFT(DcI!S56,2)))))</f>
        <v/>
      </c>
      <c r="BS56" s="344" t="str">
        <f ca="1">IF(DcI!T56="X","X",IF(LEN(DcI!T56)=3,CONCATENATE("0",LEFT(DcI!T56,1)),IF(LEN(DcI!T56)=5,LEFT(DcI!T56,2),IF(MID(DcI!T56,2,1)="•",CONCATENATE("0",LEFT(DcI!T56,1)),LEFT(DcI!T56,2)))))</f>
        <v/>
      </c>
      <c r="BT56" s="344" t="str">
        <f ca="1">IF(DcI!U56="X","X",IF(LEN(DcI!U56)=3,CONCATENATE("0",LEFT(DcI!U56,1)),IF(LEN(DcI!U56)=5,LEFT(DcI!U56,2),IF(MID(DcI!U56,2,1)="•",CONCATENATE("0",LEFT(DcI!U56,1)),LEFT(DcI!U56,2)))))</f>
        <v/>
      </c>
      <c r="BU56" s="344" t="str">
        <f ca="1">IF(DcI!V56="X","X",IF(LEN(DcI!V56)=3,CONCATENATE("0",LEFT(DcI!V56,1)),IF(LEN(DcI!V56)=5,LEFT(DcI!V56,2),IF(MID(DcI!V56,2,1)="•",CONCATENATE("0",LEFT(DcI!V56,1)),LEFT(DcI!V56,2)))))</f>
        <v/>
      </c>
      <c r="BV56" s="344" t="str">
        <f ca="1">IF(DcI!W56="X","X",IF(LEN(DcI!W56)=3,CONCATENATE("0",LEFT(DcI!W56,1)),IF(LEN(DcI!W56)=5,LEFT(DcI!W56,2),IF(MID(DcI!W56,2,1)="•",CONCATENATE("0",LEFT(DcI!W56,1)),LEFT(DcI!W56,2)))))</f>
        <v/>
      </c>
      <c r="BW56" s="344" t="str">
        <f ca="1">IF(DcI!X56="X","X",IF(LEN(DcI!X56)=3,CONCATENATE("0",LEFT(DcI!X56,1)),IF(LEN(DcI!X56)=5,LEFT(DcI!X56,2),IF(MID(DcI!X56,2,1)="•",CONCATENATE("0",LEFT(DcI!X56,1)),LEFT(DcI!X56,2)))))</f>
        <v/>
      </c>
      <c r="BX56" s="344" t="str">
        <f ca="1">IF(DcI!Y56="X","X",IF(LEN(DcI!Y56)=3,CONCATENATE("0",LEFT(DcI!Y56,1)),IF(LEN(DcI!Y56)=5,LEFT(DcI!Y56,2),IF(MID(DcI!Y56,2,1)="•",CONCATENATE("0",LEFT(DcI!Y56,1)),LEFT(DcI!Y56,2)))))</f>
        <v/>
      </c>
      <c r="BY56" s="344" t="str">
        <f ca="1">IF(DcI!Z56="X","X",IF(LEN(DcI!Z56)=3,CONCATENATE("0",LEFT(DcI!Z56,1)),IF(LEN(DcI!Z56)=5,LEFT(DcI!Z56,2),IF(MID(DcI!Z56,2,1)="•",CONCATENATE("0",LEFT(DcI!Z56,1)),LEFT(DcI!Z56,2)))))</f>
        <v/>
      </c>
      <c r="BZ56" s="344" t="str">
        <f ca="1">IF(DcI!AA56="X","X",IF(LEN(DcI!AA56)=3,CONCATENATE("0",LEFT(DcI!AA56,1)),IF(LEN(DcI!AA56)=5,LEFT(DcI!AA56,2),IF(MID(DcI!AA56,2,1)="•",CONCATENATE("0",LEFT(DcI!AA56,1)),LEFT(DcI!AA56,2)))))</f>
        <v/>
      </c>
      <c r="CA56" s="344" t="str">
        <f ca="1">IF(DcI!AB56="X","X",IF(LEN(DcI!AB56)=3,CONCATENATE("0",LEFT(DcI!AB56,1)),IF(LEN(DcI!AB56)=5,LEFT(DcI!AB56,2),IF(MID(DcI!AB56,2,1)="•",CONCATENATE("0",LEFT(DcI!AB56,1)),LEFT(DcI!AB56,2)))))</f>
        <v/>
      </c>
      <c r="CB56" s="344" t="str">
        <f ca="1">IF(DcI!AC56="X","X",IF(LEN(DcI!AC56)=3,CONCATENATE("0",LEFT(DcI!AC56,1)),IF(LEN(DcI!AC56)=5,LEFT(DcI!AC56,2),IF(MID(DcI!AC56,2,1)="•",CONCATENATE("0",LEFT(DcI!AC56,1)),LEFT(DcI!AC56,2)))))</f>
        <v/>
      </c>
      <c r="CC56" s="344" t="str">
        <f ca="1">IF(DcI!AD56="X","X",IF(LEN(DcI!AD56)=3,CONCATENATE("0",LEFT(DcI!AD56,1)),IF(LEN(DcI!AD56)=5,LEFT(DcI!AD56,2),IF(MID(DcI!AD56,2,1)="•",CONCATENATE("0",LEFT(DcI!AD56,1)),LEFT(DcI!AD56,2)))))</f>
        <v/>
      </c>
      <c r="CD56" s="344" t="str">
        <f ca="1">IF(DcI!AE56="X","X",IF(LEN(DcI!AE56)=3,CONCATENATE("0",LEFT(DcI!AE56,1)),IF(LEN(DcI!AE56)=5,LEFT(DcI!AE56,2),IF(MID(DcI!AE56,2,1)="•",CONCATENATE("0",LEFT(DcI!AE56,1)),LEFT(DcI!AE56,2)))))</f>
        <v/>
      </c>
      <c r="CE56" s="344" t="str">
        <f ca="1">IF(DcI!AF56="X","X",IF(LEN(DcI!AF56)=3,CONCATENATE("0",LEFT(DcI!AF56,1)),IF(LEN(DcI!AF56)=5,LEFT(DcI!AF56,2),IF(MID(DcI!AF56,2,1)="•",CONCATENATE("0",LEFT(DcI!AF56,1)),LEFT(DcI!AF56,2)))))</f>
        <v/>
      </c>
      <c r="CF56" s="344" t="str">
        <f ca="1">IF(DcI!AG56="X","X",IF(LEN(DcI!AG56)=3,CONCATENATE("0",LEFT(DcI!AG56,1)),IF(LEN(DcI!AG56)=5,LEFT(DcI!AG56,2),IF(MID(DcI!AG56,2,1)="•",CONCATENATE("0",LEFT(DcI!AG56,1)),LEFT(DcI!AG56,2)))))</f>
        <v/>
      </c>
      <c r="CG56" s="344" t="str">
        <f ca="1">IF(DcI!AH56="X","X",IF(LEN(DcI!AH56)=3,CONCATENATE("0",LEFT(DcI!AH56,1)),IF(LEN(DcI!AH56)=5,LEFT(DcI!AH56,2),IF(MID(DcI!AH56,2,1)="•",CONCATENATE("0",LEFT(DcI!AH56,1)),LEFT(DcI!AH56,2)))))</f>
        <v/>
      </c>
      <c r="CH56" s="344" t="str">
        <f ca="1">IF(DcI!AI56="X","X",IF(LEN(DcI!AI56)=3,CONCATENATE("0",LEFT(DcI!AI56,1)),IF(LEN(DcI!AI56)=5,LEFT(DcI!AI56,2),IF(MID(DcI!AI56,2,1)="•",CONCATENATE("0",LEFT(DcI!AI56,1)),LEFT(DcI!AI56,2)))))</f>
        <v/>
      </c>
      <c r="CI56" s="344" t="str">
        <f ca="1">IF(DcI!AJ56="X","X",IF(LEN(DcI!AJ56)=3,CONCATENATE("0",LEFT(DcI!AJ56,1)),IF(LEN(DcI!AJ56)=5,LEFT(DcI!AJ56,2),IF(MID(DcI!AJ56,2,1)="•",CONCATENATE("0",LEFT(DcI!AJ56,1)),LEFT(DcI!AJ56,2)))))</f>
        <v/>
      </c>
      <c r="CJ56" s="344" t="str">
        <f ca="1">IF(DcI!AK56="X","X",IF(LEN(DcI!AK56)=3,CONCATENATE("0",LEFT(DcI!AK56,1)),IF(LEN(DcI!AK56)=5,LEFT(DcI!AK56,2),IF(MID(DcI!AK56,2,1)="•",CONCATENATE("0",LEFT(DcI!AK56,1)),LEFT(DcI!AK56,2)))))</f>
        <v/>
      </c>
      <c r="CK56" s="344" t="str">
        <f ca="1">IF(DcI!AL56="X","X",IF(LEN(DcI!AL56)=3,CONCATENATE("0",LEFT(DcI!AL56,1)),IF(LEN(DcI!AL56)=5,LEFT(DcI!AL56,2),IF(MID(DcI!AL56,2,1)="•",CONCATENATE("0",LEFT(DcI!AL56,1)),LEFT(DcI!AL56,2)))))</f>
        <v/>
      </c>
      <c r="CL56" s="344" t="str">
        <f ca="1">IF(DcI!AM56="X","X",IF(LEN(DcI!AM56)=3,CONCATENATE("0",LEFT(DcI!AM56,1)),IF(LEN(DcI!AM56)=5,LEFT(DcI!AM56,2),IF(MID(DcI!AM56,2,1)="•",CONCATENATE("0",LEFT(DcI!AM56,1)),LEFT(DcI!AM56,2)))))</f>
        <v/>
      </c>
      <c r="CM56" s="344" t="str">
        <f ca="1">IF(DcI!AN56="X","X",IF(LEN(DcI!AN56)=3,CONCATENATE("0",LEFT(DcI!AN56,1)),IF(LEN(DcI!AN56)=5,LEFT(DcI!AN56,2),IF(MID(DcI!AN56,2,1)="•",CONCATENATE("0",LEFT(DcI!AN56,1)),LEFT(DcI!AN56,2)))))</f>
        <v/>
      </c>
      <c r="CN56" s="344" t="str">
        <f ca="1">IF(DcI!AO56="X","X",IF(LEN(DcI!AO56)=3,CONCATENATE("0",LEFT(DcI!AO56,1)),IF(LEN(DcI!AO56)=5,LEFT(DcI!AO56,2),IF(MID(DcI!AO56,2,1)="•",CONCATENATE("0",LEFT(DcI!AO56,1)),LEFT(DcI!AO56,2)))))</f>
        <v/>
      </c>
      <c r="CO56" s="344" t="str">
        <f ca="1">IF(DcI!AP56="X","X",IF(LEN(DcI!AP56)=3,CONCATENATE("0",LEFT(DcI!AP56,1)),IF(LEN(DcI!AP56)=5,LEFT(DcI!AP56,2),IF(MID(DcI!AP56,2,1)="•",CONCATENATE("0",LEFT(DcI!AP56,1)),LEFT(DcI!AP56,2)))))</f>
        <v/>
      </c>
      <c r="CP56" s="344" t="str">
        <f ca="1">IF(DcI!AQ56="X","X",IF(LEN(DcI!AQ56)=3,CONCATENATE("0",LEFT(DcI!AQ56,1)),IF(LEN(DcI!AQ56)=5,LEFT(DcI!AQ56,2),IF(MID(DcI!AQ56,2,1)="•",CONCATENATE("0",LEFT(DcI!AQ56,1)),LEFT(DcI!AQ56,2)))))</f>
        <v/>
      </c>
      <c r="CQ56" s="344" t="str">
        <f ca="1">IF(DcI!AR56="X","X",IF(LEN(DcI!AR56)=3,CONCATENATE("0",LEFT(DcI!AR56,1)),IF(LEN(DcI!AR56)=5,LEFT(DcI!AR56,2),IF(MID(DcI!AR56,2,1)="•",CONCATENATE("0",LEFT(DcI!AR56,1)),LEFT(DcI!AR56,2)))))</f>
        <v/>
      </c>
      <c r="CR56" s="344" t="str">
        <f ca="1">IF(DcI!AS56="X","X",IF(LEN(DcI!AS56)=3,CONCATENATE("0",LEFT(DcI!AS56,1)),IF(LEN(DcI!AS56)=5,LEFT(DcI!AS56,2),IF(MID(DcI!AS56,2,1)="•",CONCATENATE("0",LEFT(DcI!AS56,1)),LEFT(DcI!AS56,2)))))</f>
        <v/>
      </c>
      <c r="CS56" s="344" t="str">
        <f ca="1">IF(DcI!AT56="X","X",IF(LEN(DcI!AT56)=3,CONCATENATE("0",LEFT(DcI!AT56,1)),IF(LEN(DcI!AT56)=5,LEFT(DcI!AT56,2),IF(MID(DcI!AT56,2,1)="•",CONCATENATE("0",LEFT(DcI!AT56,1)),LEFT(DcI!AT56,2)))))</f>
        <v/>
      </c>
      <c r="CT56" s="344" t="str">
        <f ca="1">IF(DcI!AU56="X","X",IF(LEN(DcI!AU56)=3,CONCATENATE("0",LEFT(DcI!AU56,1)),IF(LEN(DcI!AU56)=5,LEFT(DcI!AU56,2),IF(MID(DcI!AU56,2,1)="•",CONCATENATE("0",LEFT(DcI!AU56,1)),LEFT(DcI!AU56,2)))))</f>
        <v/>
      </c>
      <c r="CU56" s="344" t="str">
        <f ca="1">IF(DcI!AV56="X","X",IF(LEN(DcI!AV56)=3,CONCATENATE("0",LEFT(DcI!AV56,1)),IF(LEN(DcI!AV56)=5,LEFT(DcI!AV56,2),IF(MID(DcI!AV56,2,1)="•",CONCATENATE("0",LEFT(DcI!AV56,1)),LEFT(DcI!AV56,2)))))</f>
        <v/>
      </c>
      <c r="CV56" s="347" t="str">
        <f ca="1">IF(DcI!AW56="X","X",IF(LEN(DcI!AW56)=3,CONCATENATE("0",LEFT(DcI!AW56,1)),IF(LEN(DcI!AW56)=5,LEFT(DcI!AW56,2),IF(MID(DcI!AW56,2,1)="•",CONCATENATE("0",LEFT(DcI!AW56,1)),LEFT(DcI!AW56,2)))))</f>
        <v/>
      </c>
    </row>
  </sheetData>
  <sheetProtection password="FFF0" sheet="1" objects="1" scenarios="1"/>
  <conditionalFormatting sqref="BC11:BC56">
    <cfRule type="containsText" dxfId="46" priority="92" operator="containsText" text="X">
      <formula>NOT(ISERROR(SEARCH("X",BC11)))</formula>
    </cfRule>
  </conditionalFormatting>
  <conditionalFormatting sqref="BE13:BE56">
    <cfRule type="containsText" dxfId="45" priority="45" operator="containsText" text="X">
      <formula>NOT(ISERROR(SEARCH("X",BE13)))</formula>
    </cfRule>
  </conditionalFormatting>
  <conditionalFormatting sqref="BD12:BD56">
    <cfRule type="containsText" dxfId="44" priority="46" operator="containsText" text="X">
      <formula>NOT(ISERROR(SEARCH("X",BD12)))</formula>
    </cfRule>
  </conditionalFormatting>
  <conditionalFormatting sqref="BF14:BF56">
    <cfRule type="containsText" dxfId="43" priority="44" operator="containsText" text="X">
      <formula>NOT(ISERROR(SEARCH("X",BF14)))</formula>
    </cfRule>
  </conditionalFormatting>
  <conditionalFormatting sqref="BG15:BG56">
    <cfRule type="containsText" dxfId="42" priority="43" operator="containsText" text="X">
      <formula>NOT(ISERROR(SEARCH("X",BG15)))</formula>
    </cfRule>
  </conditionalFormatting>
  <conditionalFormatting sqref="BH16:BH56">
    <cfRule type="containsText" dxfId="41" priority="42" operator="containsText" text="X">
      <formula>NOT(ISERROR(SEARCH("X",BH16)))</formula>
    </cfRule>
  </conditionalFormatting>
  <conditionalFormatting sqref="BI17:BI56">
    <cfRule type="containsText" dxfId="40" priority="41" operator="containsText" text="X">
      <formula>NOT(ISERROR(SEARCH("X",BI17)))</formula>
    </cfRule>
  </conditionalFormatting>
  <conditionalFormatting sqref="BJ18:BJ56">
    <cfRule type="containsText" dxfId="39" priority="40" operator="containsText" text="X">
      <formula>NOT(ISERROR(SEARCH("X",BJ18)))</formula>
    </cfRule>
  </conditionalFormatting>
  <conditionalFormatting sqref="BK19:BK56">
    <cfRule type="containsText" dxfId="38" priority="39" operator="containsText" text="X">
      <formula>NOT(ISERROR(SEARCH("X",BK19)))</formula>
    </cfRule>
  </conditionalFormatting>
  <conditionalFormatting sqref="BL20:BL56">
    <cfRule type="containsText" dxfId="37" priority="38" operator="containsText" text="X">
      <formula>NOT(ISERROR(SEARCH("X",BL20)))</formula>
    </cfRule>
  </conditionalFormatting>
  <conditionalFormatting sqref="BM21:BM56">
    <cfRule type="containsText" dxfId="36" priority="37" operator="containsText" text="X">
      <formula>NOT(ISERROR(SEARCH("X",BM21)))</formula>
    </cfRule>
  </conditionalFormatting>
  <conditionalFormatting sqref="BN22:BN56">
    <cfRule type="containsText" dxfId="35" priority="36" operator="containsText" text="X">
      <formula>NOT(ISERROR(SEARCH("X",BN22)))</formula>
    </cfRule>
  </conditionalFormatting>
  <conditionalFormatting sqref="BO23:BO56">
    <cfRule type="containsText" dxfId="34" priority="35" operator="containsText" text="X">
      <formula>NOT(ISERROR(SEARCH("X",BO23)))</formula>
    </cfRule>
  </conditionalFormatting>
  <conditionalFormatting sqref="BP24:BP56">
    <cfRule type="containsText" dxfId="33" priority="34" operator="containsText" text="X">
      <formula>NOT(ISERROR(SEARCH("X",BP24)))</formula>
    </cfRule>
  </conditionalFormatting>
  <conditionalFormatting sqref="BQ25:BQ56">
    <cfRule type="containsText" dxfId="32" priority="33" operator="containsText" text="X">
      <formula>NOT(ISERROR(SEARCH("X",BQ25)))</formula>
    </cfRule>
  </conditionalFormatting>
  <conditionalFormatting sqref="BR26:BR56">
    <cfRule type="containsText" dxfId="31" priority="32" operator="containsText" text="X">
      <formula>NOT(ISERROR(SEARCH("X",BR26)))</formula>
    </cfRule>
  </conditionalFormatting>
  <conditionalFormatting sqref="BS27:BS56">
    <cfRule type="containsText" dxfId="30" priority="31" operator="containsText" text="X">
      <formula>NOT(ISERROR(SEARCH("X",BS27)))</formula>
    </cfRule>
  </conditionalFormatting>
  <conditionalFormatting sqref="BT28:BT56">
    <cfRule type="containsText" dxfId="29" priority="30" operator="containsText" text="X">
      <formula>NOT(ISERROR(SEARCH("X",BT28)))</formula>
    </cfRule>
  </conditionalFormatting>
  <conditionalFormatting sqref="BU29:BU56">
    <cfRule type="containsText" dxfId="28" priority="29" operator="containsText" text="X">
      <formula>NOT(ISERROR(SEARCH("X",BU29)))</formula>
    </cfRule>
  </conditionalFormatting>
  <conditionalFormatting sqref="BV30:BV56">
    <cfRule type="containsText" dxfId="27" priority="28" operator="containsText" text="X">
      <formula>NOT(ISERROR(SEARCH("X",BV30)))</formula>
    </cfRule>
  </conditionalFormatting>
  <conditionalFormatting sqref="BW31:BW56">
    <cfRule type="containsText" dxfId="26" priority="27" operator="containsText" text="X">
      <formula>NOT(ISERROR(SEARCH("X",BW31)))</formula>
    </cfRule>
  </conditionalFormatting>
  <conditionalFormatting sqref="BX32:BX56">
    <cfRule type="containsText" dxfId="25" priority="26" operator="containsText" text="X">
      <formula>NOT(ISERROR(SEARCH("X",BX32)))</formula>
    </cfRule>
  </conditionalFormatting>
  <conditionalFormatting sqref="BY33:BY56">
    <cfRule type="containsText" dxfId="24" priority="25" operator="containsText" text="X">
      <formula>NOT(ISERROR(SEARCH("X",BY33)))</formula>
    </cfRule>
  </conditionalFormatting>
  <conditionalFormatting sqref="BZ34:BZ56">
    <cfRule type="containsText" dxfId="23" priority="24" operator="containsText" text="X">
      <formula>NOT(ISERROR(SEARCH("X",BZ34)))</formula>
    </cfRule>
  </conditionalFormatting>
  <conditionalFormatting sqref="CA35:CA56">
    <cfRule type="containsText" dxfId="22" priority="23" operator="containsText" text="X">
      <formula>NOT(ISERROR(SEARCH("X",CA35)))</formula>
    </cfRule>
  </conditionalFormatting>
  <conditionalFormatting sqref="CB36:CB56">
    <cfRule type="containsText" dxfId="21" priority="22" operator="containsText" text="X">
      <formula>NOT(ISERROR(SEARCH("X",CB36)))</formula>
    </cfRule>
  </conditionalFormatting>
  <conditionalFormatting sqref="CC37:CC56">
    <cfRule type="containsText" dxfId="20" priority="21" operator="containsText" text="X">
      <formula>NOT(ISERROR(SEARCH("X",CC37)))</formula>
    </cfRule>
  </conditionalFormatting>
  <conditionalFormatting sqref="CD38:CD56">
    <cfRule type="containsText" dxfId="19" priority="20" operator="containsText" text="X">
      <formula>NOT(ISERROR(SEARCH("X",CD38)))</formula>
    </cfRule>
  </conditionalFormatting>
  <conditionalFormatting sqref="CE39:CE56">
    <cfRule type="containsText" dxfId="18" priority="19" operator="containsText" text="X">
      <formula>NOT(ISERROR(SEARCH("X",CE39)))</formula>
    </cfRule>
  </conditionalFormatting>
  <conditionalFormatting sqref="CF40:CF56">
    <cfRule type="containsText" dxfId="17" priority="18" operator="containsText" text="X">
      <formula>NOT(ISERROR(SEARCH("X",CF40)))</formula>
    </cfRule>
  </conditionalFormatting>
  <conditionalFormatting sqref="CG41:CG56">
    <cfRule type="containsText" dxfId="16" priority="17" operator="containsText" text="X">
      <formula>NOT(ISERROR(SEARCH("X",CG41)))</formula>
    </cfRule>
  </conditionalFormatting>
  <conditionalFormatting sqref="CH42:CH56">
    <cfRule type="containsText" dxfId="15" priority="16" operator="containsText" text="X">
      <formula>NOT(ISERROR(SEARCH("X",CH42)))</formula>
    </cfRule>
  </conditionalFormatting>
  <conditionalFormatting sqref="CI43:CI56">
    <cfRule type="containsText" dxfId="14" priority="15" operator="containsText" text="X">
      <formula>NOT(ISERROR(SEARCH("X",CI43)))</formula>
    </cfRule>
  </conditionalFormatting>
  <conditionalFormatting sqref="CJ44:CJ56">
    <cfRule type="containsText" dxfId="13" priority="14" operator="containsText" text="X">
      <formula>NOT(ISERROR(SEARCH("X",CJ44)))</formula>
    </cfRule>
  </conditionalFormatting>
  <conditionalFormatting sqref="CK45:CK56">
    <cfRule type="containsText" dxfId="12" priority="13" operator="containsText" text="X">
      <formula>NOT(ISERROR(SEARCH("X",CK45)))</formula>
    </cfRule>
  </conditionalFormatting>
  <conditionalFormatting sqref="CL46:CL56">
    <cfRule type="containsText" dxfId="11" priority="12" operator="containsText" text="X">
      <formula>NOT(ISERROR(SEARCH("X",CL46)))</formula>
    </cfRule>
  </conditionalFormatting>
  <conditionalFormatting sqref="CM47:CM56">
    <cfRule type="containsText" dxfId="10" priority="11" operator="containsText" text="X">
      <formula>NOT(ISERROR(SEARCH("X",CM47)))</formula>
    </cfRule>
  </conditionalFormatting>
  <conditionalFormatting sqref="CN48:CN56">
    <cfRule type="containsText" dxfId="9" priority="10" operator="containsText" text="X">
      <formula>NOT(ISERROR(SEARCH("X",CN48)))</formula>
    </cfRule>
  </conditionalFormatting>
  <conditionalFormatting sqref="CO49:CO56">
    <cfRule type="containsText" dxfId="8" priority="9" operator="containsText" text="X">
      <formula>NOT(ISERROR(SEARCH("X",CO49)))</formula>
    </cfRule>
  </conditionalFormatting>
  <conditionalFormatting sqref="CP50:CP56">
    <cfRule type="containsText" dxfId="7" priority="8" operator="containsText" text="X">
      <formula>NOT(ISERROR(SEARCH("X",CP50)))</formula>
    </cfRule>
  </conditionalFormatting>
  <conditionalFormatting sqref="CQ51:CQ56">
    <cfRule type="containsText" dxfId="6" priority="7" operator="containsText" text="X">
      <formula>NOT(ISERROR(SEARCH("X",CQ51)))</formula>
    </cfRule>
  </conditionalFormatting>
  <conditionalFormatting sqref="CR52:CR56">
    <cfRule type="containsText" dxfId="5" priority="6" operator="containsText" text="X">
      <formula>NOT(ISERROR(SEARCH("X",CR52)))</formula>
    </cfRule>
  </conditionalFormatting>
  <conditionalFormatting sqref="CS53:CS56">
    <cfRule type="containsText" dxfId="4" priority="5" operator="containsText" text="X">
      <formula>NOT(ISERROR(SEARCH("X",CS53)))</formula>
    </cfRule>
  </conditionalFormatting>
  <conditionalFormatting sqref="CT54:CT56">
    <cfRule type="containsText" dxfId="3" priority="4" operator="containsText" text="X">
      <formula>NOT(ISERROR(SEARCH("X",CT54)))</formula>
    </cfRule>
  </conditionalFormatting>
  <conditionalFormatting sqref="CU55:CU56">
    <cfRule type="containsText" dxfId="2" priority="3" operator="containsText" text="X">
      <formula>NOT(ISERROR(SEARCH("X",CU55)))</formula>
    </cfRule>
  </conditionalFormatting>
  <conditionalFormatting sqref="CV56">
    <cfRule type="containsText" dxfId="1" priority="2" operator="containsText" text="X">
      <formula>NOT(ISERROR(SEARCH("X",CV56)))</formula>
    </cfRule>
  </conditionalFormatting>
  <conditionalFormatting sqref="E11:AR56">
    <cfRule type="containsText" dxfId="0" priority="1" operator="containsText" text="ng">
      <formula>NOT(ISERROR(SEARCH("ng",E11)))</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80"/>
  <sheetViews>
    <sheetView workbookViewId="0">
      <selection activeCell="F4" sqref="F4"/>
    </sheetView>
  </sheetViews>
  <sheetFormatPr baseColWidth="10" defaultRowHeight="12" x14ac:dyDescent="0"/>
  <cols>
    <col min="1" max="1" width="5.140625" style="16" customWidth="1"/>
    <col min="2" max="2" width="8.28515625" style="16" customWidth="1"/>
    <col min="3" max="8" width="7.140625" style="16" customWidth="1"/>
    <col min="9" max="12" width="5.140625" style="16" customWidth="1"/>
    <col min="13" max="13" width="3.140625" style="16" customWidth="1"/>
    <col min="14" max="15" width="5.140625" style="16" customWidth="1"/>
    <col min="16" max="24" width="4.140625" style="16" customWidth="1"/>
    <col min="25" max="26" width="3.140625" style="16" hidden="1" customWidth="1"/>
    <col min="27" max="27" width="10.7109375" style="16" hidden="1" customWidth="1"/>
    <col min="28" max="76" width="3.140625" style="16" hidden="1" customWidth="1"/>
    <col min="77" max="77" width="3.140625" style="16" customWidth="1"/>
    <col min="78" max="16384" width="10.7109375" style="16"/>
  </cols>
  <sheetData>
    <row r="1" spans="1:76" ht="18" customHeight="1">
      <c r="A1" s="100" t="s">
        <v>787</v>
      </c>
      <c r="F1" s="154" t="str">
        <f>Intro!D46</f>
        <v/>
      </c>
      <c r="AA1" s="157"/>
    </row>
    <row r="2" spans="1:76" ht="28" customHeight="1">
      <c r="A2" s="101" t="s">
        <v>557</v>
      </c>
      <c r="AA2" s="16" t="s">
        <v>872</v>
      </c>
    </row>
    <row r="3" spans="1:76" ht="13">
      <c r="J3" s="102"/>
      <c r="N3" s="154">
        <f ca="1">IF($H$10=0,"",IF(O3&gt;0,O3,VLOOKUP($H$10,INDIRECT($B$10),21,FALSE)))</f>
        <v>0</v>
      </c>
      <c r="O3" s="474"/>
    </row>
    <row r="4" spans="1:76" ht="15">
      <c r="E4" s="103" t="s">
        <v>558</v>
      </c>
      <c r="F4" s="104">
        <v>6</v>
      </c>
      <c r="H4" s="105" t="str">
        <f ca="1">IF(ISERROR(VLOOKUP(F10,INDIRECT(E10),1,FALSE)),0,"Draw")</f>
        <v>Draw</v>
      </c>
      <c r="I4" s="378" t="str">
        <f ca="1">IF(ISERROR(VLOOKUP(F10,INDIRECT(E10),1,FALSE)),"No draw available.","")</f>
        <v/>
      </c>
      <c r="J4" s="102"/>
      <c r="M4" s="366" t="s">
        <v>46</v>
      </c>
      <c r="N4" s="106" t="str">
        <f ca="1">IF($H$10=0,"",IF(VLOOKUP($H$10,INDIRECT($B$10),19,FALSE)="c","c",VLOOKUP($H$10,INDIRECT($B$10),12,FALSE)))</f>
        <v>e</v>
      </c>
      <c r="O4" s="107" t="str">
        <f ca="1">IF(N4="s","standard draw",IF(N4="e","early-late draw",IF(N4="L","long draw",IF(N4="c","competition draw",""))))</f>
        <v>early-late draw</v>
      </c>
      <c r="S4" s="4" t="str">
        <f ca="1">IF(N4&lt;&gt;"c","",CONCATENATE(RIGHT(N3,1)," draws per day"))</f>
        <v/>
      </c>
      <c r="AA4" s="58" t="s">
        <v>1168</v>
      </c>
      <c r="AB4" s="16" t="s">
        <v>844</v>
      </c>
      <c r="AC4" s="16" t="s">
        <v>845</v>
      </c>
      <c r="AE4" s="401">
        <f ca="1">COUNTA(AB11:BO11)-COUNTIF(AB11:BO11,0)</f>
        <v>14</v>
      </c>
      <c r="AF4" s="377" t="s">
        <v>564</v>
      </c>
      <c r="AH4" s="17">
        <f>F8</f>
        <v>3</v>
      </c>
      <c r="AI4" s="16" t="s">
        <v>1185</v>
      </c>
    </row>
    <row r="5" spans="1:76" ht="15">
      <c r="J5" s="102"/>
      <c r="M5" s="366" t="s">
        <v>90</v>
      </c>
      <c r="N5" s="106" t="str">
        <f ca="1">IF($H$10=0,"",VLOOKUP($H$10,INDIRECT($B$10),17,FALSE))</f>
        <v/>
      </c>
      <c r="O5" s="107" t="str">
        <f ca="1">IF(N5="E","equalized draw","")</f>
        <v/>
      </c>
      <c r="S5" s="4" t="str">
        <f ca="1">IF(N4&lt;&gt;"c","",CONCATENATE(LEFT(N3,1),IF(VALUE(LEFT(N3,1))=1," draw "," draws "),"1st day"))</f>
        <v/>
      </c>
      <c r="AA5" s="16">
        <f ca="1">IF(N4="c",VLOOKUP(H10,INDIRECT(B10),21,FALSE),0)</f>
        <v>0</v>
      </c>
      <c r="AB5" s="17">
        <f ca="1">IF(AA5=0,0,LEFT(AA5,1))</f>
        <v>0</v>
      </c>
      <c r="AC5" s="17">
        <f ca="1">IF(AA5=0,0,RIGHT(AA5,1))</f>
        <v>0</v>
      </c>
      <c r="AE5" s="17">
        <f>F4</f>
        <v>6</v>
      </c>
      <c r="AF5" s="16" t="s">
        <v>1171</v>
      </c>
    </row>
    <row r="6" spans="1:76" ht="15">
      <c r="E6" s="103" t="s">
        <v>559</v>
      </c>
      <c r="F6" s="104">
        <v>24</v>
      </c>
      <c r="G6" s="103"/>
      <c r="H6" s="103" t="str">
        <f ca="1">IF(C13=" ","",CONCATENATE(C13," – ",LARGE(C13:C70,1)))</f>
        <v>12 – 28</v>
      </c>
      <c r="I6" s="480" t="str">
        <f ca="1">IF(H6="","","teams allowed")</f>
        <v>teams allowed</v>
      </c>
      <c r="J6" s="481"/>
      <c r="K6" s="481"/>
      <c r="M6" s="366" t="s">
        <v>201</v>
      </c>
      <c r="N6" s="106" t="str">
        <f ca="1">IF($H$10=0,"",VLOOKUP($H$10,INDIRECT($B$10),13,FALSE))</f>
        <v/>
      </c>
      <c r="O6" s="107" t="str">
        <f ca="1">IF(N6="b","byes required in draw",IF(N6="w","automatic win for byes",""))</f>
        <v/>
      </c>
    </row>
    <row r="7" spans="1:76" ht="15">
      <c r="G7" s="107"/>
      <c r="H7" s="103"/>
      <c r="I7" s="107"/>
      <c r="J7" s="102"/>
      <c r="M7" s="366" t="s">
        <v>202</v>
      </c>
      <c r="N7" s="106" t="str">
        <f ca="1">IF($H$10=0,"",VLOOKUP($H$10,INDIRECT($B$10),15,FALSE))</f>
        <v/>
      </c>
      <c r="O7" s="107" t="str">
        <f ca="1">IF(N7="x","cross group games","")</f>
        <v/>
      </c>
      <c r="AA7" s="238" t="str">
        <f ca="1">IF($H$10=0,"",VLOOKUP($H$10,INDIRECT($B$10),11,FALSE))</f>
        <v>S6!B518:P541</v>
      </c>
      <c r="AB7" s="17">
        <f ca="1">IF(AB9&gt;$AE$4,"",AB9)</f>
        <v>1</v>
      </c>
      <c r="AC7" s="17">
        <f t="shared" ref="AC7:BO7" ca="1" si="0">IF(AC9&gt;$AE$4,"",AC9)</f>
        <v>2</v>
      </c>
      <c r="AD7" s="17">
        <f t="shared" ca="1" si="0"/>
        <v>3</v>
      </c>
      <c r="AE7" s="17">
        <f t="shared" ca="1" si="0"/>
        <v>4</v>
      </c>
      <c r="AF7" s="17">
        <f t="shared" ca="1" si="0"/>
        <v>5</v>
      </c>
      <c r="AG7" s="17">
        <f t="shared" ca="1" si="0"/>
        <v>6</v>
      </c>
      <c r="AH7" s="17">
        <f t="shared" ca="1" si="0"/>
        <v>7</v>
      </c>
      <c r="AI7" s="17">
        <f t="shared" ca="1" si="0"/>
        <v>8</v>
      </c>
      <c r="AJ7" s="17">
        <f t="shared" ca="1" si="0"/>
        <v>9</v>
      </c>
      <c r="AK7" s="17">
        <f t="shared" ca="1" si="0"/>
        <v>10</v>
      </c>
      <c r="AL7" s="17">
        <f t="shared" ca="1" si="0"/>
        <v>11</v>
      </c>
      <c r="AM7" s="17">
        <f t="shared" ca="1" si="0"/>
        <v>12</v>
      </c>
      <c r="AN7" s="17">
        <f t="shared" ca="1" si="0"/>
        <v>13</v>
      </c>
      <c r="AO7" s="17">
        <f t="shared" ca="1" si="0"/>
        <v>14</v>
      </c>
      <c r="AP7" s="17" t="str">
        <f t="shared" ca="1" si="0"/>
        <v/>
      </c>
      <c r="AQ7" s="17" t="str">
        <f t="shared" ca="1" si="0"/>
        <v/>
      </c>
      <c r="AR7" s="17" t="str">
        <f t="shared" ca="1" si="0"/>
        <v/>
      </c>
      <c r="AS7" s="17" t="str">
        <f t="shared" ca="1" si="0"/>
        <v/>
      </c>
      <c r="AT7" s="17" t="str">
        <f t="shared" ca="1" si="0"/>
        <v/>
      </c>
      <c r="AU7" s="17" t="str">
        <f t="shared" ca="1" si="0"/>
        <v/>
      </c>
      <c r="AV7" s="17" t="str">
        <f t="shared" ca="1" si="0"/>
        <v/>
      </c>
      <c r="AW7" s="17" t="str">
        <f t="shared" ca="1" si="0"/>
        <v/>
      </c>
      <c r="AX7" s="17" t="str">
        <f t="shared" ca="1" si="0"/>
        <v/>
      </c>
      <c r="AY7" s="17" t="str">
        <f t="shared" ca="1" si="0"/>
        <v/>
      </c>
      <c r="AZ7" s="17" t="str">
        <f t="shared" ca="1" si="0"/>
        <v/>
      </c>
      <c r="BA7" s="17" t="str">
        <f t="shared" ca="1" si="0"/>
        <v/>
      </c>
      <c r="BB7" s="17" t="str">
        <f t="shared" ca="1" si="0"/>
        <v/>
      </c>
      <c r="BC7" s="17" t="str">
        <f t="shared" ca="1" si="0"/>
        <v/>
      </c>
      <c r="BD7" s="17" t="str">
        <f t="shared" ca="1" si="0"/>
        <v/>
      </c>
      <c r="BE7" s="17" t="str">
        <f t="shared" ca="1" si="0"/>
        <v/>
      </c>
      <c r="BF7" s="17" t="str">
        <f t="shared" ca="1" si="0"/>
        <v/>
      </c>
      <c r="BG7" s="17" t="str">
        <f t="shared" ca="1" si="0"/>
        <v/>
      </c>
      <c r="BH7" s="17" t="str">
        <f t="shared" ca="1" si="0"/>
        <v/>
      </c>
      <c r="BI7" s="17" t="str">
        <f t="shared" ca="1" si="0"/>
        <v/>
      </c>
      <c r="BJ7" s="17" t="str">
        <f t="shared" ca="1" si="0"/>
        <v/>
      </c>
      <c r="BK7" s="17" t="str">
        <f t="shared" ca="1" si="0"/>
        <v/>
      </c>
      <c r="BL7" s="17" t="str">
        <f t="shared" ca="1" si="0"/>
        <v/>
      </c>
      <c r="BM7" s="17" t="str">
        <f t="shared" ca="1" si="0"/>
        <v/>
      </c>
      <c r="BN7" s="17" t="str">
        <f t="shared" ca="1" si="0"/>
        <v/>
      </c>
      <c r="BO7" s="17" t="str">
        <f t="shared" ca="1" si="0"/>
        <v/>
      </c>
      <c r="BT7" s="17"/>
    </row>
    <row r="8" spans="1:76" ht="15">
      <c r="E8" s="103" t="s">
        <v>560</v>
      </c>
      <c r="F8" s="104">
        <v>3</v>
      </c>
      <c r="H8" s="108"/>
      <c r="I8" s="482" t="str">
        <f ca="1">IF(COUNTIF(B13:B70,F10)&gt;1,"&lt; enter the dw#",IF(H8&gt;0,"&lt; remove this value",""))</f>
        <v/>
      </c>
      <c r="J8" s="481"/>
      <c r="K8" s="481"/>
      <c r="L8" s="481"/>
      <c r="M8" s="366" t="s">
        <v>203</v>
      </c>
      <c r="N8" s="106" t="str">
        <f ca="1">IF($H$10=0,"",VLOOKUP($H$10,INDIRECT($B$10),16,FALSE))</f>
        <v/>
      </c>
      <c r="O8" s="107" t="str">
        <f ca="1">IF(N8="a","added games in groups","")</f>
        <v/>
      </c>
      <c r="AA8" s="373" t="s">
        <v>1125</v>
      </c>
      <c r="AB8" s="17" t="str">
        <f>"e"</f>
        <v>e</v>
      </c>
      <c r="AC8" s="17" t="s">
        <v>1005</v>
      </c>
      <c r="AD8" s="17" t="s">
        <v>46</v>
      </c>
      <c r="AE8" s="17" t="s">
        <v>1005</v>
      </c>
      <c r="AF8" s="17" t="s">
        <v>46</v>
      </c>
      <c r="AG8" s="17" t="s">
        <v>1005</v>
      </c>
      <c r="AH8" s="17" t="s">
        <v>46</v>
      </c>
      <c r="AI8" s="17" t="s">
        <v>1005</v>
      </c>
      <c r="AJ8" s="17" t="s">
        <v>46</v>
      </c>
      <c r="AK8" s="17" t="s">
        <v>1005</v>
      </c>
      <c r="AL8" s="17" t="s">
        <v>46</v>
      </c>
      <c r="AM8" s="17" t="s">
        <v>1005</v>
      </c>
      <c r="AN8" s="17" t="s">
        <v>46</v>
      </c>
      <c r="AO8" s="17" t="s">
        <v>1005</v>
      </c>
      <c r="AP8" s="17" t="s">
        <v>46</v>
      </c>
      <c r="AQ8" s="17" t="s">
        <v>1005</v>
      </c>
      <c r="AR8" s="17" t="s">
        <v>46</v>
      </c>
      <c r="AS8" s="17" t="s">
        <v>1005</v>
      </c>
      <c r="AT8" s="17" t="s">
        <v>46</v>
      </c>
      <c r="AU8" s="17" t="s">
        <v>1005</v>
      </c>
      <c r="AV8" s="17" t="s">
        <v>46</v>
      </c>
      <c r="AW8" s="17" t="s">
        <v>1005</v>
      </c>
      <c r="AX8" s="17" t="s">
        <v>46</v>
      </c>
      <c r="AY8" s="17" t="s">
        <v>1005</v>
      </c>
      <c r="AZ8" s="17" t="s">
        <v>46</v>
      </c>
      <c r="BA8" s="17" t="s">
        <v>1005</v>
      </c>
      <c r="BB8" s="17" t="s">
        <v>46</v>
      </c>
      <c r="BC8" s="17" t="s">
        <v>1005</v>
      </c>
      <c r="BD8" s="17" t="s">
        <v>46</v>
      </c>
      <c r="BE8" s="17" t="s">
        <v>1005</v>
      </c>
      <c r="BF8" s="17" t="s">
        <v>46</v>
      </c>
      <c r="BG8" s="17" t="s">
        <v>1005</v>
      </c>
      <c r="BH8" s="17" t="s">
        <v>46</v>
      </c>
      <c r="BI8" s="17" t="s">
        <v>1005</v>
      </c>
      <c r="BJ8" s="17" t="s">
        <v>46</v>
      </c>
      <c r="BK8" s="17" t="s">
        <v>1005</v>
      </c>
      <c r="BL8" s="17" t="s">
        <v>46</v>
      </c>
      <c r="BM8" s="17" t="s">
        <v>1005</v>
      </c>
      <c r="BN8" s="17" t="s">
        <v>46</v>
      </c>
      <c r="BO8" s="17" t="s">
        <v>1005</v>
      </c>
    </row>
    <row r="9" spans="1:76" ht="15">
      <c r="B9" s="312" t="str">
        <f>CONCATENATE(IF(F6&lt;10,"0",""),F6,IF(F4&lt;10,"0",""),F4,IF(F8&lt;10,"0",""),F8)</f>
        <v>240603</v>
      </c>
      <c r="J9" s="102"/>
      <c r="M9" s="366" t="s">
        <v>14</v>
      </c>
      <c r="N9" s="16" t="str">
        <f ca="1">IF($H$10=0,"",VLOOKUP($H$10,INDIRECT($B$10),18,FALSE))</f>
        <v/>
      </c>
      <c r="O9" s="16" t="str">
        <f ca="1">IF(N9="X","first half of full team draw","")</f>
        <v/>
      </c>
      <c r="AB9" s="17">
        <v>1</v>
      </c>
      <c r="AC9" s="17">
        <f>AB9+1</f>
        <v>2</v>
      </c>
      <c r="AD9" s="17">
        <f t="shared" ref="AD9:BO9" si="1">AC9+1</f>
        <v>3</v>
      </c>
      <c r="AE9" s="17">
        <f t="shared" si="1"/>
        <v>4</v>
      </c>
      <c r="AF9" s="17">
        <f t="shared" si="1"/>
        <v>5</v>
      </c>
      <c r="AG9" s="17">
        <f t="shared" si="1"/>
        <v>6</v>
      </c>
      <c r="AH9" s="17">
        <f t="shared" si="1"/>
        <v>7</v>
      </c>
      <c r="AI9" s="17">
        <f t="shared" si="1"/>
        <v>8</v>
      </c>
      <c r="AJ9" s="17">
        <f t="shared" si="1"/>
        <v>9</v>
      </c>
      <c r="AK9" s="17">
        <f t="shared" si="1"/>
        <v>10</v>
      </c>
      <c r="AL9" s="17">
        <f t="shared" si="1"/>
        <v>11</v>
      </c>
      <c r="AM9" s="17">
        <f t="shared" si="1"/>
        <v>12</v>
      </c>
      <c r="AN9" s="17">
        <f t="shared" si="1"/>
        <v>13</v>
      </c>
      <c r="AO9" s="17">
        <f t="shared" si="1"/>
        <v>14</v>
      </c>
      <c r="AP9" s="17">
        <f t="shared" si="1"/>
        <v>15</v>
      </c>
      <c r="AQ9" s="17">
        <f t="shared" si="1"/>
        <v>16</v>
      </c>
      <c r="AR9" s="17">
        <f t="shared" si="1"/>
        <v>17</v>
      </c>
      <c r="AS9" s="17">
        <f t="shared" si="1"/>
        <v>18</v>
      </c>
      <c r="AT9" s="17">
        <f>AS9+1</f>
        <v>19</v>
      </c>
      <c r="AU9" s="17">
        <f t="shared" si="1"/>
        <v>20</v>
      </c>
      <c r="AV9" s="17">
        <f t="shared" si="1"/>
        <v>21</v>
      </c>
      <c r="AW9" s="17">
        <f t="shared" si="1"/>
        <v>22</v>
      </c>
      <c r="AX9" s="17">
        <f t="shared" si="1"/>
        <v>23</v>
      </c>
      <c r="AY9" s="17">
        <f t="shared" si="1"/>
        <v>24</v>
      </c>
      <c r="AZ9" s="17">
        <f t="shared" si="1"/>
        <v>25</v>
      </c>
      <c r="BA9" s="17">
        <f t="shared" si="1"/>
        <v>26</v>
      </c>
      <c r="BB9" s="17">
        <f t="shared" si="1"/>
        <v>27</v>
      </c>
      <c r="BC9" s="17">
        <f t="shared" si="1"/>
        <v>28</v>
      </c>
      <c r="BD9" s="17">
        <f t="shared" si="1"/>
        <v>29</v>
      </c>
      <c r="BE9" s="17">
        <f t="shared" si="1"/>
        <v>30</v>
      </c>
      <c r="BF9" s="17">
        <f t="shared" si="1"/>
        <v>31</v>
      </c>
      <c r="BG9" s="17">
        <f t="shared" si="1"/>
        <v>32</v>
      </c>
      <c r="BH9" s="17">
        <f t="shared" si="1"/>
        <v>33</v>
      </c>
      <c r="BI9" s="17">
        <f t="shared" si="1"/>
        <v>34</v>
      </c>
      <c r="BJ9" s="17">
        <f t="shared" si="1"/>
        <v>35</v>
      </c>
      <c r="BK9" s="17">
        <f t="shared" si="1"/>
        <v>36</v>
      </c>
      <c r="BL9" s="17">
        <f t="shared" si="1"/>
        <v>37</v>
      </c>
      <c r="BM9" s="17">
        <f t="shared" si="1"/>
        <v>38</v>
      </c>
      <c r="BN9" s="17">
        <f t="shared" si="1"/>
        <v>39</v>
      </c>
      <c r="BO9" s="17">
        <f t="shared" si="1"/>
        <v>40</v>
      </c>
      <c r="BQ9" s="4"/>
      <c r="BS9" s="17" t="s">
        <v>575</v>
      </c>
      <c r="BT9" s="17" t="s">
        <v>189</v>
      </c>
      <c r="BW9" s="77"/>
      <c r="BX9" s="4"/>
    </row>
    <row r="10" spans="1:76" ht="16" thickBot="1">
      <c r="A10" s="375" t="str">
        <f>IF(F4="",0,CONCATENATE("S",F4,"!BD9"))</f>
        <v>S6!BD9</v>
      </c>
      <c r="B10" s="375" t="str">
        <f>CONCATENATE("S",F4,"!BD11:BX100")</f>
        <v>S6!BD11:BX100</v>
      </c>
      <c r="C10" s="312"/>
      <c r="D10" s="312"/>
      <c r="E10" s="376" t="str">
        <f>CONCATENATE("S",F4,"!BE11:BX100")</f>
        <v>S6!BE11:BX100</v>
      </c>
      <c r="F10" s="375" t="str">
        <f>CONCATENATE(IF(F6&lt;10,"0",""),F6,IF(F4&lt;10,"0",""),F4,IF(F8&lt;10,"0",""),F8)</f>
        <v>240603</v>
      </c>
      <c r="G10" s="312"/>
      <c r="H10" s="375">
        <f ca="1">IF(H8&gt;0,H8,IF(ISERROR(VLOOKUP(F10,B13:H80,7,FALSE)),0,VLOOKUP(F10,B13:H80,7,FALSE)))</f>
        <v>25</v>
      </c>
      <c r="I10" s="318"/>
      <c r="P10" s="109" t="s">
        <v>561</v>
      </c>
      <c r="Q10" s="109" t="s">
        <v>193</v>
      </c>
      <c r="R10" s="109" t="s">
        <v>195</v>
      </c>
      <c r="S10" s="109" t="s">
        <v>194</v>
      </c>
      <c r="T10" s="109" t="s">
        <v>196</v>
      </c>
      <c r="AA10" s="16" t="str">
        <f ca="1">IF($H$10=0,"",CONCATENATE(VLOOKUP($H$10,INDIRECT(AA8),2,FALSE),VLOOKUP($H$10,INDIRECT(AA8),6,FALSE)))</f>
        <v>240603e</v>
      </c>
      <c r="BQ10" s="77"/>
      <c r="BR10" s="17"/>
      <c r="BS10" s="445">
        <f>F8</f>
        <v>3</v>
      </c>
      <c r="BT10" s="445">
        <f>F6</f>
        <v>24</v>
      </c>
      <c r="BU10" s="445" t="str">
        <f>IF(ISERROR(FIND("E",N4:N9,1)),"-","E")</f>
        <v>-</v>
      </c>
      <c r="BV10" s="17"/>
      <c r="BW10" s="77"/>
      <c r="BX10" s="77"/>
    </row>
    <row r="11" spans="1:76" ht="13">
      <c r="B11" s="110" t="str">
        <f>CONCATENATE("draws available on ",F4," sheets:")</f>
        <v>draws available on 6 sheets:</v>
      </c>
      <c r="N11" s="111"/>
      <c r="P11" s="121">
        <f ca="1">IF($H$10=0," ",VLOOKUP($H$10,INDIRECT($B$10),4,FALSE))</f>
        <v>24</v>
      </c>
      <c r="Q11" s="121">
        <f ca="1">IF($H$10=0," ",VLOOKUP($H$10,INDIRECT($B$10),5,FALSE))</f>
        <v>3</v>
      </c>
      <c r="R11" s="121">
        <f ca="1">IF($H$10=0," ",VLOOKUP($H$10,INDIRECT($B$10),8,FALSE))</f>
        <v>14</v>
      </c>
      <c r="S11" s="121">
        <f ca="1">IF($H$10=0," ",VLOOKUP($H$10,INDIRECT($B$10),7,FALSE))</f>
        <v>7</v>
      </c>
      <c r="T11" s="121">
        <f ca="1">IF($H$10=0," ",VLOOKUP($H$10,INDIRECT($B$10),9,FALSE))</f>
        <v>84</v>
      </c>
      <c r="Y11" s="238">
        <f>BX11</f>
        <v>1</v>
      </c>
      <c r="Z11" s="16">
        <v>1</v>
      </c>
      <c r="AB11" s="112">
        <f t="shared" ref="AB11:AK20" ca="1" si="2">IF($H$10=0,0,IF(ISERROR(VLOOKUP($Z11,INDIRECT($AA$7),AB$9+1,FALSE)),0,VLOOKUP($Z11,INDIRECT($AA$7),AB$9+1,FALSE)))</f>
        <v>3</v>
      </c>
      <c r="AC11" s="112" t="str">
        <f t="shared" ca="1" si="2"/>
        <v>-</v>
      </c>
      <c r="AD11" s="112" t="str">
        <f t="shared" ca="1" si="2"/>
        <v>-</v>
      </c>
      <c r="AE11" s="112">
        <f t="shared" ca="1" si="2"/>
        <v>4</v>
      </c>
      <c r="AF11" s="112">
        <f t="shared" ca="1" si="2"/>
        <v>-6</v>
      </c>
      <c r="AG11" s="112" t="str">
        <f t="shared" ca="1" si="2"/>
        <v>-</v>
      </c>
      <c r="AH11" s="112" t="str">
        <f t="shared" ca="1" si="2"/>
        <v>-</v>
      </c>
      <c r="AI11" s="112">
        <f t="shared" ca="1" si="2"/>
        <v>-2</v>
      </c>
      <c r="AJ11" s="112">
        <f t="shared" ca="1" si="2"/>
        <v>1</v>
      </c>
      <c r="AK11" s="112" t="str">
        <f t="shared" ca="1" si="2"/>
        <v>-</v>
      </c>
      <c r="AL11" s="112" t="str">
        <f t="shared" ref="AL11:AU20" ca="1" si="3">IF($H$10=0,0,IF(ISERROR(VLOOKUP($Z11,INDIRECT($AA$7),AL$9+1,FALSE)),0,VLOOKUP($Z11,INDIRECT($AA$7),AL$9+1,FALSE)))</f>
        <v>-</v>
      </c>
      <c r="AM11" s="112">
        <f t="shared" ca="1" si="3"/>
        <v>5</v>
      </c>
      <c r="AN11" s="112">
        <f t="shared" ca="1" si="3"/>
        <v>-3</v>
      </c>
      <c r="AO11" s="112" t="str">
        <f t="shared" ca="1" si="3"/>
        <v>-</v>
      </c>
      <c r="AP11" s="112">
        <f t="shared" ca="1" si="3"/>
        <v>0</v>
      </c>
      <c r="AQ11" s="112">
        <f t="shared" ca="1" si="3"/>
        <v>0</v>
      </c>
      <c r="AR11" s="112">
        <f t="shared" ca="1" si="3"/>
        <v>0</v>
      </c>
      <c r="AS11" s="112">
        <f t="shared" ca="1" si="3"/>
        <v>0</v>
      </c>
      <c r="AT11" s="112">
        <f t="shared" ca="1" si="3"/>
        <v>0</v>
      </c>
      <c r="AU11" s="112">
        <f t="shared" ca="1" si="3"/>
        <v>0</v>
      </c>
      <c r="AV11" s="112">
        <f t="shared" ref="AV11:BE20" ca="1" si="4">IF($H$10=0,0,IF(ISERROR(VLOOKUP($Z11,INDIRECT($AA$7),AV$9+1,FALSE)),0,VLOOKUP($Z11,INDIRECT($AA$7),AV$9+1,FALSE)))</f>
        <v>0</v>
      </c>
      <c r="AW11" s="112">
        <f t="shared" ca="1" si="4"/>
        <v>0</v>
      </c>
      <c r="AX11" s="112">
        <f t="shared" ca="1" si="4"/>
        <v>0</v>
      </c>
      <c r="AY11" s="112">
        <f t="shared" ca="1" si="4"/>
        <v>0</v>
      </c>
      <c r="AZ11" s="112">
        <f t="shared" ca="1" si="4"/>
        <v>0</v>
      </c>
      <c r="BA11" s="112">
        <f t="shared" ca="1" si="4"/>
        <v>0</v>
      </c>
      <c r="BB11" s="112">
        <f t="shared" ca="1" si="4"/>
        <v>0</v>
      </c>
      <c r="BC11" s="112">
        <f t="shared" ca="1" si="4"/>
        <v>0</v>
      </c>
      <c r="BD11" s="112">
        <f t="shared" ca="1" si="4"/>
        <v>0</v>
      </c>
      <c r="BE11" s="112">
        <f t="shared" ca="1" si="4"/>
        <v>0</v>
      </c>
      <c r="BF11" s="112">
        <f t="shared" ref="BF11:BO20" ca="1" si="5">IF($H$10=0,0,IF(ISERROR(VLOOKUP($Z11,INDIRECT($AA$7),BF$9+1,FALSE)),0,VLOOKUP($Z11,INDIRECT($AA$7),BF$9+1,FALSE)))</f>
        <v>0</v>
      </c>
      <c r="BG11" s="112">
        <f t="shared" ca="1" si="5"/>
        <v>0</v>
      </c>
      <c r="BH11" s="112">
        <f t="shared" ca="1" si="5"/>
        <v>0</v>
      </c>
      <c r="BI11" s="112">
        <f t="shared" ca="1" si="5"/>
        <v>0</v>
      </c>
      <c r="BJ11" s="112">
        <f t="shared" ca="1" si="5"/>
        <v>0</v>
      </c>
      <c r="BK11" s="112">
        <f t="shared" ca="1" si="5"/>
        <v>0</v>
      </c>
      <c r="BL11" s="112">
        <f t="shared" ca="1" si="5"/>
        <v>0</v>
      </c>
      <c r="BM11" s="112">
        <f t="shared" ca="1" si="5"/>
        <v>0</v>
      </c>
      <c r="BN11" s="112">
        <f t="shared" ca="1" si="5"/>
        <v>0</v>
      </c>
      <c r="BO11" s="112">
        <f t="shared" ca="1" si="5"/>
        <v>0</v>
      </c>
      <c r="BQ11" s="446">
        <f>BQ10+1</f>
        <v>1</v>
      </c>
      <c r="BR11" s="447">
        <f>IF(BQ11&gt;BT$10,0,BQ11)</f>
        <v>1</v>
      </c>
      <c r="BS11" s="428">
        <f>BS10</f>
        <v>3</v>
      </c>
      <c r="BT11" s="428">
        <f>BT10</f>
        <v>24</v>
      </c>
      <c r="BU11" s="428">
        <f>IF(BS11=0,0,IF(OR(BU10&lt;&gt;"E",ISODD(BT10)),CEILING(BT11/BS11,1),IF(ISODD(CEILING(BT11/BS11,1)),CEILING(BT11/BS11,1)+1,CEILING(BT11/BS11,1))))</f>
        <v>8</v>
      </c>
      <c r="BV11" s="445">
        <f t="shared" ref="BV11:BV16" si="6">IF(BS11=0,0,BV10+BU11)</f>
        <v>8</v>
      </c>
      <c r="BW11" s="428">
        <v>1</v>
      </c>
      <c r="BX11" s="448">
        <f>IF(BR11=0,0,IF(BR11&lt;=BV$11,BW$11,IF(BR11&lt;=BV$12,BW$12,IF(BR11&lt;=BV$13,BW$13,IF(BR11&lt;=BV$14,BW$14,IF(BR11&lt;=BV$15,BW$15,IF(BR11&lt;=BV$16,BW$16,0)))))))</f>
        <v>1</v>
      </c>
    </row>
    <row r="12" spans="1:76" ht="14" thickBot="1">
      <c r="A12" s="113" t="s">
        <v>562</v>
      </c>
      <c r="B12" s="114"/>
      <c r="C12" s="113" t="s">
        <v>563</v>
      </c>
      <c r="D12" s="113" t="s">
        <v>564</v>
      </c>
      <c r="E12" s="113" t="s">
        <v>565</v>
      </c>
      <c r="F12" s="113" t="s">
        <v>566</v>
      </c>
      <c r="G12" s="113" t="s">
        <v>567</v>
      </c>
      <c r="H12" s="115"/>
      <c r="K12" s="116" t="s">
        <v>193</v>
      </c>
      <c r="L12" s="117" t="s">
        <v>568</v>
      </c>
      <c r="N12" s="118" t="str">
        <f>CONCATENATE("for ",F6," teams:")</f>
        <v>for 24 teams:</v>
      </c>
      <c r="O12" s="118"/>
      <c r="P12" s="114"/>
      <c r="Q12" s="119"/>
      <c r="R12" s="119"/>
      <c r="S12" s="119"/>
      <c r="T12" s="119"/>
      <c r="U12" s="119"/>
      <c r="Y12" s="238">
        <f t="shared" ref="Y12:Y58" si="7">BX12</f>
        <v>1</v>
      </c>
      <c r="Z12" s="16">
        <f>Z11+1</f>
        <v>2</v>
      </c>
      <c r="AB12" s="112">
        <f t="shared" ca="1" si="2"/>
        <v>-4</v>
      </c>
      <c r="AC12" s="112" t="str">
        <f t="shared" ca="1" si="2"/>
        <v>-</v>
      </c>
      <c r="AD12" s="112" t="str">
        <f t="shared" ca="1" si="2"/>
        <v>-</v>
      </c>
      <c r="AE12" s="112">
        <f t="shared" ca="1" si="2"/>
        <v>5</v>
      </c>
      <c r="AF12" s="112">
        <f t="shared" ca="1" si="2"/>
        <v>-1</v>
      </c>
      <c r="AG12" s="112" t="str">
        <f t="shared" ca="1" si="2"/>
        <v>-</v>
      </c>
      <c r="AH12" s="112" t="str">
        <f t="shared" ca="1" si="2"/>
        <v>-</v>
      </c>
      <c r="AI12" s="112">
        <f t="shared" ca="1" si="2"/>
        <v>4</v>
      </c>
      <c r="AJ12" s="112">
        <f t="shared" ca="1" si="2"/>
        <v>-6</v>
      </c>
      <c r="AK12" s="112" t="str">
        <f t="shared" ca="1" si="2"/>
        <v>-</v>
      </c>
      <c r="AL12" s="112" t="str">
        <f t="shared" ca="1" si="3"/>
        <v>-</v>
      </c>
      <c r="AM12" s="112">
        <f t="shared" ca="1" si="3"/>
        <v>-2</v>
      </c>
      <c r="AN12" s="112">
        <f t="shared" ca="1" si="3"/>
        <v>3</v>
      </c>
      <c r="AO12" s="112" t="str">
        <f t="shared" ca="1" si="3"/>
        <v>-</v>
      </c>
      <c r="AP12" s="112">
        <f t="shared" ca="1" si="3"/>
        <v>0</v>
      </c>
      <c r="AQ12" s="112">
        <f t="shared" ca="1" si="3"/>
        <v>0</v>
      </c>
      <c r="AR12" s="112">
        <f t="shared" ca="1" si="3"/>
        <v>0</v>
      </c>
      <c r="AS12" s="112">
        <f t="shared" ca="1" si="3"/>
        <v>0</v>
      </c>
      <c r="AT12" s="112">
        <f t="shared" ca="1" si="3"/>
        <v>0</v>
      </c>
      <c r="AU12" s="112">
        <f t="shared" ca="1" si="3"/>
        <v>0</v>
      </c>
      <c r="AV12" s="112">
        <f t="shared" ca="1" si="4"/>
        <v>0</v>
      </c>
      <c r="AW12" s="112">
        <f t="shared" ca="1" si="4"/>
        <v>0</v>
      </c>
      <c r="AX12" s="112">
        <f t="shared" ca="1" si="4"/>
        <v>0</v>
      </c>
      <c r="AY12" s="112">
        <f t="shared" ca="1" si="4"/>
        <v>0</v>
      </c>
      <c r="AZ12" s="112">
        <f t="shared" ca="1" si="4"/>
        <v>0</v>
      </c>
      <c r="BA12" s="112">
        <f t="shared" ca="1" si="4"/>
        <v>0</v>
      </c>
      <c r="BB12" s="112">
        <f t="shared" ca="1" si="4"/>
        <v>0</v>
      </c>
      <c r="BC12" s="112">
        <f t="shared" ca="1" si="4"/>
        <v>0</v>
      </c>
      <c r="BD12" s="112">
        <f t="shared" ca="1" si="4"/>
        <v>0</v>
      </c>
      <c r="BE12" s="112">
        <f t="shared" ca="1" si="4"/>
        <v>0</v>
      </c>
      <c r="BF12" s="112">
        <f t="shared" ca="1" si="5"/>
        <v>0</v>
      </c>
      <c r="BG12" s="112">
        <f t="shared" ca="1" si="5"/>
        <v>0</v>
      </c>
      <c r="BH12" s="112">
        <f t="shared" ca="1" si="5"/>
        <v>0</v>
      </c>
      <c r="BI12" s="112">
        <f t="shared" ca="1" si="5"/>
        <v>0</v>
      </c>
      <c r="BJ12" s="112">
        <f t="shared" ca="1" si="5"/>
        <v>0</v>
      </c>
      <c r="BK12" s="112">
        <f t="shared" ca="1" si="5"/>
        <v>0</v>
      </c>
      <c r="BL12" s="112">
        <f t="shared" ca="1" si="5"/>
        <v>0</v>
      </c>
      <c r="BM12" s="112">
        <f t="shared" ca="1" si="5"/>
        <v>0</v>
      </c>
      <c r="BN12" s="112">
        <f t="shared" ca="1" si="5"/>
        <v>0</v>
      </c>
      <c r="BO12" s="112">
        <f t="shared" ca="1" si="5"/>
        <v>0</v>
      </c>
      <c r="BQ12" s="449">
        <f t="shared" ref="BQ12:BQ56" si="8">BQ11+1</f>
        <v>2</v>
      </c>
      <c r="BR12" s="450">
        <f t="shared" ref="BR12:BR56" si="9">IF(BQ12&gt;BT$10,0,BQ12)</f>
        <v>2</v>
      </c>
      <c r="BS12" s="28">
        <f>IF(BS11-1&lt;=0,0,BS11-1)</f>
        <v>2</v>
      </c>
      <c r="BT12" s="28">
        <f>BT11-BU11</f>
        <v>16</v>
      </c>
      <c r="BU12" s="28">
        <f>IF(BS12=0,0,IF(OR(BU10&lt;&gt;"E",ISODD(BT10)),CEILING(BT12/BS12,1),IF(ISODD(CEILING(BT12/BS12,1)),CEILING(BT12/BS12,1)+1,CEILING(BT12/BS12,1))))</f>
        <v>8</v>
      </c>
      <c r="BV12" s="451">
        <f t="shared" si="6"/>
        <v>16</v>
      </c>
      <c r="BW12" s="28">
        <v>2</v>
      </c>
      <c r="BX12" s="452">
        <f t="shared" ref="BX12:BX56" si="10">IF(BR12=0,0,IF(BR12&lt;=BV$11,BW$11,IF(BR12&lt;=BV$12,BW$12,IF(BR12&lt;=BV$13,BW$13,IF(BR12&lt;=BV$14,BW$14,IF(BR12&lt;=BV$15,BW$15,IF(BR12&lt;=BV$16,BW$16,0)))))))</f>
        <v>1</v>
      </c>
    </row>
    <row r="13" spans="1:76" ht="14" thickBot="1">
      <c r="A13" s="120">
        <f ca="1">IF(A10=0,0,INDIRECT(A10))</f>
        <v>61</v>
      </c>
      <c r="B13" s="121" t="str">
        <f t="shared" ref="B13:B70" ca="1" si="11">IF(A13=0," ",VLOOKUP(A13,INDIRECT($B$10),2,FALSE))</f>
        <v>120601</v>
      </c>
      <c r="C13" s="121">
        <f ca="1">IF(A13=0," ",VLOOKUP(A13,INDIRECT($B$10),4,FALSE))</f>
        <v>12</v>
      </c>
      <c r="D13" s="121">
        <f t="shared" ref="D13:D70" ca="1" si="12">IF(A13=0," ",VLOOKUP(A13,INDIRECT($B$10),8,FALSE))</f>
        <v>11</v>
      </c>
      <c r="E13" s="121">
        <f ca="1">IF(A13=0," ",VLOOKUP(A13,INDIRECT($B$10),7,FALSE))</f>
        <v>11</v>
      </c>
      <c r="F13" s="121" t="str">
        <f t="shared" ref="F13:F70" ca="1" si="13">IF(A13=0," ",VLOOKUP(A13,INDIRECT($B$10),12,FALSE))</f>
        <v>s</v>
      </c>
      <c r="G13" s="121" t="str">
        <f t="shared" ref="G13:G70" ca="1" si="14">IF(A13=0," ",VLOOKUP(A13,INDIRECT($B$10),13,FALSE))</f>
        <v/>
      </c>
      <c r="H13" s="159">
        <f ca="1">A13</f>
        <v>61</v>
      </c>
      <c r="K13" s="122">
        <v>1</v>
      </c>
      <c r="L13" s="123">
        <f ca="1">IF(K13="","",IF($N$7="E",HLOOKUP($F$8,$P$13:$U$32,15,FALSE),HLOOKUP($F$8,$P$13:$U$32,2,FALSE)))</f>
        <v>8</v>
      </c>
      <c r="M13" s="157">
        <f ca="1">L13</f>
        <v>8</v>
      </c>
      <c r="O13" s="125" t="s">
        <v>569</v>
      </c>
      <c r="P13" s="113">
        <f>IF(P14&gt;0,1," ")</f>
        <v>1</v>
      </c>
      <c r="Q13" s="113">
        <f>IF(Q14&gt;0,2," ")</f>
        <v>2</v>
      </c>
      <c r="R13" s="113">
        <f>IF(R14&gt;0,3," ")</f>
        <v>3</v>
      </c>
      <c r="S13" s="113">
        <f>IF(S14&gt;0,4," ")</f>
        <v>4</v>
      </c>
      <c r="T13" s="113">
        <f>IF(T14&gt;0,5," ")</f>
        <v>5</v>
      </c>
      <c r="U13" s="113">
        <f>IF(U14&gt;0,6," ")</f>
        <v>6</v>
      </c>
      <c r="Y13" s="238">
        <f t="shared" si="7"/>
        <v>1</v>
      </c>
      <c r="Z13" s="16">
        <f t="shared" ref="Z13:Z58" si="15">Z12+1</f>
        <v>3</v>
      </c>
      <c r="AB13" s="112">
        <f t="shared" ca="1" si="2"/>
        <v>5</v>
      </c>
      <c r="AC13" s="112" t="str">
        <f t="shared" ca="1" si="2"/>
        <v>-</v>
      </c>
      <c r="AD13" s="112" t="str">
        <f t="shared" ca="1" si="2"/>
        <v>-</v>
      </c>
      <c r="AE13" s="112">
        <f t="shared" ca="1" si="2"/>
        <v>-1</v>
      </c>
      <c r="AF13" s="112">
        <f t="shared" ca="1" si="2"/>
        <v>-2</v>
      </c>
      <c r="AG13" s="112" t="str">
        <f t="shared" ca="1" si="2"/>
        <v>-</v>
      </c>
      <c r="AH13" s="112" t="str">
        <f t="shared" ca="1" si="2"/>
        <v>-</v>
      </c>
      <c r="AI13" s="112">
        <f t="shared" ca="1" si="2"/>
        <v>3</v>
      </c>
      <c r="AJ13" s="112">
        <f t="shared" ca="1" si="2"/>
        <v>6</v>
      </c>
      <c r="AK13" s="112" t="str">
        <f t="shared" ca="1" si="2"/>
        <v>-</v>
      </c>
      <c r="AL13" s="112" t="str">
        <f t="shared" ca="1" si="3"/>
        <v>-</v>
      </c>
      <c r="AM13" s="112">
        <f t="shared" ca="1" si="3"/>
        <v>-5</v>
      </c>
      <c r="AN13" s="112">
        <f t="shared" ca="1" si="3"/>
        <v>4</v>
      </c>
      <c r="AO13" s="112" t="str">
        <f t="shared" ca="1" si="3"/>
        <v>-</v>
      </c>
      <c r="AP13" s="112">
        <f t="shared" ca="1" si="3"/>
        <v>0</v>
      </c>
      <c r="AQ13" s="112">
        <f t="shared" ca="1" si="3"/>
        <v>0</v>
      </c>
      <c r="AR13" s="112">
        <f t="shared" ca="1" si="3"/>
        <v>0</v>
      </c>
      <c r="AS13" s="112">
        <f t="shared" ca="1" si="3"/>
        <v>0</v>
      </c>
      <c r="AT13" s="112">
        <f t="shared" ca="1" si="3"/>
        <v>0</v>
      </c>
      <c r="AU13" s="112">
        <f t="shared" ca="1" si="3"/>
        <v>0</v>
      </c>
      <c r="AV13" s="112">
        <f t="shared" ca="1" si="4"/>
        <v>0</v>
      </c>
      <c r="AW13" s="112">
        <f t="shared" ca="1" si="4"/>
        <v>0</v>
      </c>
      <c r="AX13" s="112">
        <f t="shared" ca="1" si="4"/>
        <v>0</v>
      </c>
      <c r="AY13" s="112">
        <f t="shared" ca="1" si="4"/>
        <v>0</v>
      </c>
      <c r="AZ13" s="112">
        <f t="shared" ca="1" si="4"/>
        <v>0</v>
      </c>
      <c r="BA13" s="112">
        <f t="shared" ca="1" si="4"/>
        <v>0</v>
      </c>
      <c r="BB13" s="112">
        <f t="shared" ca="1" si="4"/>
        <v>0</v>
      </c>
      <c r="BC13" s="112">
        <f t="shared" ca="1" si="4"/>
        <v>0</v>
      </c>
      <c r="BD13" s="112">
        <f t="shared" ca="1" si="4"/>
        <v>0</v>
      </c>
      <c r="BE13" s="112">
        <f t="shared" ca="1" si="4"/>
        <v>0</v>
      </c>
      <c r="BF13" s="112">
        <f t="shared" ca="1" si="5"/>
        <v>0</v>
      </c>
      <c r="BG13" s="112">
        <f t="shared" ca="1" si="5"/>
        <v>0</v>
      </c>
      <c r="BH13" s="112">
        <f t="shared" ca="1" si="5"/>
        <v>0</v>
      </c>
      <c r="BI13" s="112">
        <f t="shared" ca="1" si="5"/>
        <v>0</v>
      </c>
      <c r="BJ13" s="112">
        <f t="shared" ca="1" si="5"/>
        <v>0</v>
      </c>
      <c r="BK13" s="112">
        <f t="shared" ca="1" si="5"/>
        <v>0</v>
      </c>
      <c r="BL13" s="112">
        <f t="shared" ca="1" si="5"/>
        <v>0</v>
      </c>
      <c r="BM13" s="112">
        <f t="shared" ca="1" si="5"/>
        <v>0</v>
      </c>
      <c r="BN13" s="112">
        <f t="shared" ca="1" si="5"/>
        <v>0</v>
      </c>
      <c r="BO13" s="112">
        <f t="shared" ca="1" si="5"/>
        <v>0</v>
      </c>
      <c r="BQ13" s="449">
        <f t="shared" si="8"/>
        <v>3</v>
      </c>
      <c r="BR13" s="450">
        <f t="shared" si="9"/>
        <v>3</v>
      </c>
      <c r="BS13" s="28">
        <f>IF(BS12-1&lt;=0,0,BS12-1)</f>
        <v>1</v>
      </c>
      <c r="BT13" s="28">
        <f>BT12-BU12</f>
        <v>8</v>
      </c>
      <c r="BU13" s="28">
        <f>IF(BS13=0,0,IF(OR(BU10&lt;&gt;"E",ISODD(BT10)),CEILING(BT13/BS13,1),IF(ISODD(CEILING(BT13/BS13,1)),CEILING(BT13/BS13,1)+1,CEILING(BT13/BS13,1))))</f>
        <v>8</v>
      </c>
      <c r="BV13" s="451">
        <f t="shared" si="6"/>
        <v>24</v>
      </c>
      <c r="BW13" s="28">
        <v>3</v>
      </c>
      <c r="BX13" s="452">
        <f t="shared" si="10"/>
        <v>1</v>
      </c>
    </row>
    <row r="14" spans="1:76" ht="13">
      <c r="A14" s="126">
        <f ca="1">IF(A13-1&lt;=0,0,A13-1)</f>
        <v>60</v>
      </c>
      <c r="B14" s="121" t="str">
        <f t="shared" ca="1" si="11"/>
        <v>120602</v>
      </c>
      <c r="C14" s="121">
        <f t="shared" ref="C14:C70" ca="1" si="16">IF(A14=0," ",VLOOKUP(A14,INDIRECT($B$10),4,FALSE))</f>
        <v>12</v>
      </c>
      <c r="D14" s="121">
        <f t="shared" ca="1" si="12"/>
        <v>5</v>
      </c>
      <c r="E14" s="121">
        <f t="shared" ref="E14:E70" ca="1" si="17">IF(A14=0," ",VLOOKUP(A14,INDIRECT($B$10),7,FALSE))</f>
        <v>5</v>
      </c>
      <c r="F14" s="121" t="str">
        <f t="shared" ca="1" si="13"/>
        <v>s</v>
      </c>
      <c r="G14" s="121" t="str">
        <f t="shared" ca="1" si="14"/>
        <v/>
      </c>
      <c r="H14" s="159">
        <f t="shared" ref="H14:H70" ca="1" si="18">A14</f>
        <v>60</v>
      </c>
      <c r="K14" s="122">
        <f>IF(2&gt;$F$8,"",2)</f>
        <v>2</v>
      </c>
      <c r="L14" s="127">
        <f ca="1">IF(K14="","",IF($N$7="E",HLOOKUP($F$8,$P$13:$U$32,16,FALSE),HLOOKUP($F$8,$P$13:$U$32,3,FALSE)))</f>
        <v>8</v>
      </c>
      <c r="M14" s="157">
        <f ca="1">IF(L14="",M13,M13+L14)</f>
        <v>16</v>
      </c>
      <c r="P14" s="128">
        <f>$F$6</f>
        <v>24</v>
      </c>
      <c r="Q14" s="121">
        <f>IF($F$6/2&lt;3,0,CEILING($F$6/2,1))</f>
        <v>12</v>
      </c>
      <c r="R14" s="121">
        <f>IF($F$6/3&lt;3,0,CEILING($F$6/3,1))</f>
        <v>8</v>
      </c>
      <c r="S14" s="121">
        <f>IF($F$6/4&lt;3,0,CEILING($F$6/4,1))</f>
        <v>6</v>
      </c>
      <c r="T14" s="121">
        <f>IF($F$6/5&lt;3,0,CEILING($F$6/5,1))</f>
        <v>5</v>
      </c>
      <c r="U14" s="121">
        <f>IF($F$6/6&lt;3,0,CEILING($F$6/6,1))</f>
        <v>4</v>
      </c>
      <c r="Y14" s="238">
        <f t="shared" si="7"/>
        <v>1</v>
      </c>
      <c r="Z14" s="16">
        <f t="shared" si="15"/>
        <v>4</v>
      </c>
      <c r="AB14" s="112">
        <f t="shared" ca="1" si="2"/>
        <v>-2</v>
      </c>
      <c r="AC14" s="112" t="str">
        <f t="shared" ca="1" si="2"/>
        <v>-</v>
      </c>
      <c r="AD14" s="112" t="str">
        <f t="shared" ca="1" si="2"/>
        <v>-</v>
      </c>
      <c r="AE14" s="112">
        <f t="shared" ca="1" si="2"/>
        <v>6</v>
      </c>
      <c r="AF14" s="112">
        <f t="shared" ca="1" si="2"/>
        <v>3</v>
      </c>
      <c r="AG14" s="112" t="str">
        <f t="shared" ca="1" si="2"/>
        <v>-</v>
      </c>
      <c r="AH14" s="112" t="str">
        <f t="shared" ca="1" si="2"/>
        <v>-</v>
      </c>
      <c r="AI14" s="112">
        <f t="shared" ca="1" si="2"/>
        <v>-5</v>
      </c>
      <c r="AJ14" s="112">
        <f t="shared" ca="1" si="2"/>
        <v>-1</v>
      </c>
      <c r="AK14" s="112" t="str">
        <f t="shared" ca="1" si="2"/>
        <v>-</v>
      </c>
      <c r="AL14" s="112" t="str">
        <f t="shared" ca="1" si="3"/>
        <v>-</v>
      </c>
      <c r="AM14" s="112">
        <f t="shared" ca="1" si="3"/>
        <v>2</v>
      </c>
      <c r="AN14" s="112">
        <f t="shared" ca="1" si="3"/>
        <v>-4</v>
      </c>
      <c r="AO14" s="112" t="str">
        <f t="shared" ca="1" si="3"/>
        <v>-</v>
      </c>
      <c r="AP14" s="112">
        <f t="shared" ca="1" si="3"/>
        <v>0</v>
      </c>
      <c r="AQ14" s="112">
        <f t="shared" ca="1" si="3"/>
        <v>0</v>
      </c>
      <c r="AR14" s="112">
        <f t="shared" ca="1" si="3"/>
        <v>0</v>
      </c>
      <c r="AS14" s="112">
        <f t="shared" ca="1" si="3"/>
        <v>0</v>
      </c>
      <c r="AT14" s="112">
        <f t="shared" ca="1" si="3"/>
        <v>0</v>
      </c>
      <c r="AU14" s="112">
        <f t="shared" ca="1" si="3"/>
        <v>0</v>
      </c>
      <c r="AV14" s="112">
        <f t="shared" ca="1" si="4"/>
        <v>0</v>
      </c>
      <c r="AW14" s="112">
        <f t="shared" ca="1" si="4"/>
        <v>0</v>
      </c>
      <c r="AX14" s="112">
        <f t="shared" ca="1" si="4"/>
        <v>0</v>
      </c>
      <c r="AY14" s="112">
        <f t="shared" ca="1" si="4"/>
        <v>0</v>
      </c>
      <c r="AZ14" s="112">
        <f t="shared" ca="1" si="4"/>
        <v>0</v>
      </c>
      <c r="BA14" s="112">
        <f t="shared" ca="1" si="4"/>
        <v>0</v>
      </c>
      <c r="BB14" s="112">
        <f t="shared" ca="1" si="4"/>
        <v>0</v>
      </c>
      <c r="BC14" s="112">
        <f t="shared" ca="1" si="4"/>
        <v>0</v>
      </c>
      <c r="BD14" s="112">
        <f t="shared" ca="1" si="4"/>
        <v>0</v>
      </c>
      <c r="BE14" s="112">
        <f t="shared" ca="1" si="4"/>
        <v>0</v>
      </c>
      <c r="BF14" s="112">
        <f t="shared" ca="1" si="5"/>
        <v>0</v>
      </c>
      <c r="BG14" s="112">
        <f t="shared" ca="1" si="5"/>
        <v>0</v>
      </c>
      <c r="BH14" s="112">
        <f t="shared" ca="1" si="5"/>
        <v>0</v>
      </c>
      <c r="BI14" s="112">
        <f t="shared" ca="1" si="5"/>
        <v>0</v>
      </c>
      <c r="BJ14" s="112">
        <f t="shared" ca="1" si="5"/>
        <v>0</v>
      </c>
      <c r="BK14" s="112">
        <f t="shared" ca="1" si="5"/>
        <v>0</v>
      </c>
      <c r="BL14" s="112">
        <f t="shared" ca="1" si="5"/>
        <v>0</v>
      </c>
      <c r="BM14" s="112">
        <f t="shared" ca="1" si="5"/>
        <v>0</v>
      </c>
      <c r="BN14" s="112">
        <f t="shared" ca="1" si="5"/>
        <v>0</v>
      </c>
      <c r="BO14" s="112">
        <f t="shared" ca="1" si="5"/>
        <v>0</v>
      </c>
      <c r="BQ14" s="449">
        <f t="shared" si="8"/>
        <v>4</v>
      </c>
      <c r="BR14" s="450">
        <f t="shared" si="9"/>
        <v>4</v>
      </c>
      <c r="BS14" s="28">
        <f>IF(BS13-1&lt;=0,0,BS13-1)</f>
        <v>0</v>
      </c>
      <c r="BT14" s="28">
        <f>BT13-BU13</f>
        <v>0</v>
      </c>
      <c r="BU14" s="28">
        <f>IF(BS14=0,0,IF(OR(BU10&lt;&gt;"E",ISODD(BT10)),CEILING(BT14/BS14,1),IF(ISODD(CEILING(BT14/BS14,1)),CEILING(BT14/BS14,1)+1,CEILING(BT14/BS14,1))))</f>
        <v>0</v>
      </c>
      <c r="BV14" s="451">
        <f t="shared" si="6"/>
        <v>0</v>
      </c>
      <c r="BW14" s="28">
        <v>4</v>
      </c>
      <c r="BX14" s="452">
        <f t="shared" si="10"/>
        <v>1</v>
      </c>
    </row>
    <row r="15" spans="1:76" ht="13">
      <c r="A15" s="126">
        <f t="shared" ref="A15:A78" ca="1" si="19">IF(A14-1&lt;=0,0,A14-1)</f>
        <v>59</v>
      </c>
      <c r="B15" s="121" t="str">
        <f t="shared" ca="1" si="11"/>
        <v>120603</v>
      </c>
      <c r="C15" s="121">
        <f t="shared" ca="1" si="16"/>
        <v>12</v>
      </c>
      <c r="D15" s="121">
        <f t="shared" ca="1" si="12"/>
        <v>3</v>
      </c>
      <c r="E15" s="121">
        <f t="shared" ca="1" si="17"/>
        <v>3</v>
      </c>
      <c r="F15" s="121" t="str">
        <f t="shared" ca="1" si="13"/>
        <v>s</v>
      </c>
      <c r="G15" s="121" t="str">
        <f t="shared" ca="1" si="14"/>
        <v/>
      </c>
      <c r="H15" s="159">
        <f t="shared" ca="1" si="18"/>
        <v>59</v>
      </c>
      <c r="K15" s="122">
        <f>IF(3&gt;$F$8,"",3)</f>
        <v>3</v>
      </c>
      <c r="L15" s="127">
        <f ca="1">IF(K15="","",IF($N$7="E",HLOOKUP($F$8,$P$13:$U$32,17,FALSE),HLOOKUP($F$8,$P$13:$U$32,4,FALSE)))</f>
        <v>8</v>
      </c>
      <c r="M15" s="157">
        <f t="shared" ref="M15:M18" ca="1" si="20">IF(L15="",M14,M14+L15)</f>
        <v>24</v>
      </c>
      <c r="P15" s="129"/>
      <c r="Q15" s="121">
        <f>IF(Q14=0,0,$F$6-Q14)</f>
        <v>12</v>
      </c>
      <c r="R15" s="121">
        <f>IF(R14=0,0,CEILING(($F$6-R14)/2,1))</f>
        <v>8</v>
      </c>
      <c r="S15" s="121">
        <f>IF(S14=0,0,CEILING(($F$6-S14)/3,1))</f>
        <v>6</v>
      </c>
      <c r="T15" s="121">
        <f>IF(T14=0,0,CEILING(($F$6-T14)/4,1))</f>
        <v>5</v>
      </c>
      <c r="U15" s="121">
        <f>IF(U14=0,0,CEILING(($F$6-U14)/5,1))</f>
        <v>4</v>
      </c>
      <c r="Y15" s="238">
        <f t="shared" si="7"/>
        <v>1</v>
      </c>
      <c r="Z15" s="16">
        <f t="shared" si="15"/>
        <v>5</v>
      </c>
      <c r="AB15" s="112">
        <f t="shared" ca="1" si="2"/>
        <v>-5</v>
      </c>
      <c r="AC15" s="112" t="str">
        <f t="shared" ca="1" si="2"/>
        <v>-</v>
      </c>
      <c r="AD15" s="112" t="str">
        <f t="shared" ca="1" si="2"/>
        <v>-</v>
      </c>
      <c r="AE15" s="112">
        <f t="shared" ca="1" si="2"/>
        <v>-4</v>
      </c>
      <c r="AF15" s="112">
        <f t="shared" ca="1" si="2"/>
        <v>1</v>
      </c>
      <c r="AG15" s="112" t="str">
        <f t="shared" ca="1" si="2"/>
        <v>-</v>
      </c>
      <c r="AH15" s="112" t="str">
        <f t="shared" ca="1" si="2"/>
        <v>-</v>
      </c>
      <c r="AI15" s="112">
        <f t="shared" ca="1" si="2"/>
        <v>5</v>
      </c>
      <c r="AJ15" s="112">
        <f t="shared" ca="1" si="2"/>
        <v>-3</v>
      </c>
      <c r="AK15" s="112" t="str">
        <f t="shared" ca="1" si="2"/>
        <v>-</v>
      </c>
      <c r="AL15" s="112" t="str">
        <f t="shared" ca="1" si="3"/>
        <v>-</v>
      </c>
      <c r="AM15" s="112">
        <f t="shared" ca="1" si="3"/>
        <v>6</v>
      </c>
      <c r="AN15" s="112">
        <f t="shared" ca="1" si="3"/>
        <v>2</v>
      </c>
      <c r="AO15" s="112" t="str">
        <f t="shared" ca="1" si="3"/>
        <v>-</v>
      </c>
      <c r="AP15" s="112">
        <f t="shared" ca="1" si="3"/>
        <v>0</v>
      </c>
      <c r="AQ15" s="112">
        <f t="shared" ca="1" si="3"/>
        <v>0</v>
      </c>
      <c r="AR15" s="112">
        <f t="shared" ca="1" si="3"/>
        <v>0</v>
      </c>
      <c r="AS15" s="112">
        <f t="shared" ca="1" si="3"/>
        <v>0</v>
      </c>
      <c r="AT15" s="112">
        <f t="shared" ca="1" si="3"/>
        <v>0</v>
      </c>
      <c r="AU15" s="112">
        <f t="shared" ca="1" si="3"/>
        <v>0</v>
      </c>
      <c r="AV15" s="112">
        <f t="shared" ca="1" si="4"/>
        <v>0</v>
      </c>
      <c r="AW15" s="112">
        <f t="shared" ca="1" si="4"/>
        <v>0</v>
      </c>
      <c r="AX15" s="112">
        <f t="shared" ca="1" si="4"/>
        <v>0</v>
      </c>
      <c r="AY15" s="112">
        <f t="shared" ca="1" si="4"/>
        <v>0</v>
      </c>
      <c r="AZ15" s="112">
        <f t="shared" ca="1" si="4"/>
        <v>0</v>
      </c>
      <c r="BA15" s="112">
        <f t="shared" ca="1" si="4"/>
        <v>0</v>
      </c>
      <c r="BB15" s="112">
        <f t="shared" ca="1" si="4"/>
        <v>0</v>
      </c>
      <c r="BC15" s="112">
        <f t="shared" ca="1" si="4"/>
        <v>0</v>
      </c>
      <c r="BD15" s="112">
        <f t="shared" ca="1" si="4"/>
        <v>0</v>
      </c>
      <c r="BE15" s="112">
        <f t="shared" ca="1" si="4"/>
        <v>0</v>
      </c>
      <c r="BF15" s="112">
        <f t="shared" ca="1" si="5"/>
        <v>0</v>
      </c>
      <c r="BG15" s="112">
        <f t="shared" ca="1" si="5"/>
        <v>0</v>
      </c>
      <c r="BH15" s="112">
        <f t="shared" ca="1" si="5"/>
        <v>0</v>
      </c>
      <c r="BI15" s="112">
        <f t="shared" ca="1" si="5"/>
        <v>0</v>
      </c>
      <c r="BJ15" s="112">
        <f t="shared" ca="1" si="5"/>
        <v>0</v>
      </c>
      <c r="BK15" s="112">
        <f t="shared" ca="1" si="5"/>
        <v>0</v>
      </c>
      <c r="BL15" s="112">
        <f t="shared" ca="1" si="5"/>
        <v>0</v>
      </c>
      <c r="BM15" s="112">
        <f t="shared" ca="1" si="5"/>
        <v>0</v>
      </c>
      <c r="BN15" s="112">
        <f t="shared" ca="1" si="5"/>
        <v>0</v>
      </c>
      <c r="BO15" s="112">
        <f t="shared" ca="1" si="5"/>
        <v>0</v>
      </c>
      <c r="BQ15" s="449">
        <f t="shared" si="8"/>
        <v>5</v>
      </c>
      <c r="BR15" s="450">
        <f t="shared" si="9"/>
        <v>5</v>
      </c>
      <c r="BS15" s="28">
        <f>IF(BS14-1&lt;=0,0,BS14-1)</f>
        <v>0</v>
      </c>
      <c r="BT15" s="28">
        <f>BT14-BU14</f>
        <v>0</v>
      </c>
      <c r="BU15" s="28">
        <f>IF(BS15=0,0,IF(OR(BU10&lt;&gt;"E",ISODD(BT10)),CEILING(BT15/BS15,1),IF(ISODD(CEILING(BT15/BS15,1)),CEILING(BT15/BS15,1)+1,CEILING(BT15/BS15,1))))</f>
        <v>0</v>
      </c>
      <c r="BV15" s="451">
        <f t="shared" si="6"/>
        <v>0</v>
      </c>
      <c r="BW15" s="28">
        <v>5</v>
      </c>
      <c r="BX15" s="452">
        <f t="shared" si="10"/>
        <v>1</v>
      </c>
    </row>
    <row r="16" spans="1:76" ht="13">
      <c r="A16" s="126">
        <f t="shared" ca="1" si="19"/>
        <v>58</v>
      </c>
      <c r="B16" s="121" t="str">
        <f t="shared" ca="1" si="11"/>
        <v>130601</v>
      </c>
      <c r="C16" s="121">
        <f t="shared" ca="1" si="16"/>
        <v>13</v>
      </c>
      <c r="D16" s="121">
        <f t="shared" ca="1" si="12"/>
        <v>13</v>
      </c>
      <c r="E16" s="121">
        <f t="shared" ca="1" si="17"/>
        <v>12</v>
      </c>
      <c r="F16" s="121" t="str">
        <f t="shared" ca="1" si="13"/>
        <v>s</v>
      </c>
      <c r="G16" s="121" t="str">
        <f t="shared" ca="1" si="14"/>
        <v>b</v>
      </c>
      <c r="H16" s="159">
        <f t="shared" ca="1" si="18"/>
        <v>58</v>
      </c>
      <c r="K16" s="122" t="str">
        <f>IF(4&gt;$F$8,"",4)</f>
        <v/>
      </c>
      <c r="L16" s="127" t="str">
        <f>IF(K16="","",IF($N$7="E",HLOOKUP($F$8,$P$13:$U$32,18,FALSE),HLOOKUP($F$8,$P$13:$U$32,5,FALSE)))</f>
        <v/>
      </c>
      <c r="M16" s="157">
        <f t="shared" ca="1" si="20"/>
        <v>24</v>
      </c>
      <c r="P16" s="129"/>
      <c r="Q16" s="102"/>
      <c r="R16" s="121">
        <f>IF(R14=0,0,$F$6-SUM(R14:R15))</f>
        <v>8</v>
      </c>
      <c r="S16" s="121">
        <f>IF(S14=0,0,CEILING(($F$6-SUM(S14:S15))/2,1))</f>
        <v>6</v>
      </c>
      <c r="T16" s="121">
        <f>IF(T14=0,0,CEILING(($F$6-SUM(T14:T15))/3,1))</f>
        <v>5</v>
      </c>
      <c r="U16" s="121">
        <f>IF(U14=0,0,CEILING(($F$6-SUM(U14:U15))/4,1))</f>
        <v>4</v>
      </c>
      <c r="Y16" s="238">
        <f t="shared" si="7"/>
        <v>1</v>
      </c>
      <c r="Z16" s="16">
        <f t="shared" si="15"/>
        <v>6</v>
      </c>
      <c r="AB16" s="112">
        <f t="shared" ca="1" si="2"/>
        <v>2</v>
      </c>
      <c r="AC16" s="112" t="str">
        <f t="shared" ca="1" si="2"/>
        <v>-</v>
      </c>
      <c r="AD16" s="112" t="str">
        <f t="shared" ca="1" si="2"/>
        <v>-</v>
      </c>
      <c r="AE16" s="112">
        <f t="shared" ca="1" si="2"/>
        <v>-5</v>
      </c>
      <c r="AF16" s="112">
        <f t="shared" ca="1" si="2"/>
        <v>6</v>
      </c>
      <c r="AG16" s="112" t="str">
        <f t="shared" ca="1" si="2"/>
        <v>-</v>
      </c>
      <c r="AH16" s="112" t="str">
        <f t="shared" ca="1" si="2"/>
        <v>-</v>
      </c>
      <c r="AI16" s="112">
        <f t="shared" ca="1" si="2"/>
        <v>-3</v>
      </c>
      <c r="AJ16" s="112">
        <f t="shared" ca="1" si="2"/>
        <v>4</v>
      </c>
      <c r="AK16" s="112" t="str">
        <f t="shared" ca="1" si="2"/>
        <v>-</v>
      </c>
      <c r="AL16" s="112" t="str">
        <f t="shared" ca="1" si="3"/>
        <v>-</v>
      </c>
      <c r="AM16" s="112">
        <f t="shared" ca="1" si="3"/>
        <v>-1</v>
      </c>
      <c r="AN16" s="112">
        <f t="shared" ca="1" si="3"/>
        <v>-2</v>
      </c>
      <c r="AO16" s="112" t="str">
        <f t="shared" ca="1" si="3"/>
        <v>-</v>
      </c>
      <c r="AP16" s="112">
        <f t="shared" ca="1" si="3"/>
        <v>0</v>
      </c>
      <c r="AQ16" s="112">
        <f t="shared" ca="1" si="3"/>
        <v>0</v>
      </c>
      <c r="AR16" s="112">
        <f t="shared" ca="1" si="3"/>
        <v>0</v>
      </c>
      <c r="AS16" s="112">
        <f t="shared" ca="1" si="3"/>
        <v>0</v>
      </c>
      <c r="AT16" s="112">
        <f t="shared" ca="1" si="3"/>
        <v>0</v>
      </c>
      <c r="AU16" s="112">
        <f t="shared" ca="1" si="3"/>
        <v>0</v>
      </c>
      <c r="AV16" s="112">
        <f t="shared" ca="1" si="4"/>
        <v>0</v>
      </c>
      <c r="AW16" s="112">
        <f t="shared" ca="1" si="4"/>
        <v>0</v>
      </c>
      <c r="AX16" s="112">
        <f t="shared" ca="1" si="4"/>
        <v>0</v>
      </c>
      <c r="AY16" s="112">
        <f t="shared" ca="1" si="4"/>
        <v>0</v>
      </c>
      <c r="AZ16" s="112">
        <f t="shared" ca="1" si="4"/>
        <v>0</v>
      </c>
      <c r="BA16" s="112">
        <f t="shared" ca="1" si="4"/>
        <v>0</v>
      </c>
      <c r="BB16" s="112">
        <f t="shared" ca="1" si="4"/>
        <v>0</v>
      </c>
      <c r="BC16" s="112">
        <f t="shared" ca="1" si="4"/>
        <v>0</v>
      </c>
      <c r="BD16" s="112">
        <f t="shared" ca="1" si="4"/>
        <v>0</v>
      </c>
      <c r="BE16" s="112">
        <f t="shared" ca="1" si="4"/>
        <v>0</v>
      </c>
      <c r="BF16" s="112">
        <f t="shared" ca="1" si="5"/>
        <v>0</v>
      </c>
      <c r="BG16" s="112">
        <f t="shared" ca="1" si="5"/>
        <v>0</v>
      </c>
      <c r="BH16" s="112">
        <f t="shared" ca="1" si="5"/>
        <v>0</v>
      </c>
      <c r="BI16" s="112">
        <f t="shared" ca="1" si="5"/>
        <v>0</v>
      </c>
      <c r="BJ16" s="112">
        <f t="shared" ca="1" si="5"/>
        <v>0</v>
      </c>
      <c r="BK16" s="112">
        <f t="shared" ca="1" si="5"/>
        <v>0</v>
      </c>
      <c r="BL16" s="112">
        <f t="shared" ca="1" si="5"/>
        <v>0</v>
      </c>
      <c r="BM16" s="112">
        <f t="shared" ca="1" si="5"/>
        <v>0</v>
      </c>
      <c r="BN16" s="112">
        <f t="shared" ca="1" si="5"/>
        <v>0</v>
      </c>
      <c r="BO16" s="112">
        <f t="shared" ca="1" si="5"/>
        <v>0</v>
      </c>
      <c r="BQ16" s="449">
        <f t="shared" si="8"/>
        <v>6</v>
      </c>
      <c r="BR16" s="450">
        <f t="shared" si="9"/>
        <v>6</v>
      </c>
      <c r="BS16" s="28">
        <f>IF(BS15-1&lt;=0,0,BS15-1)</f>
        <v>0</v>
      </c>
      <c r="BT16" s="28">
        <f>BT15-BU15</f>
        <v>0</v>
      </c>
      <c r="BU16" s="28">
        <f>IF(BS16=0,0,IF(OR(BU10&lt;&gt;"E",ISODD(BT10)),CEILING(BT16/BS16,1),IF(ISODD(CEILING(BT16/BS16,1)),CEILING(BT16/BS16,1)+1,CEILING(BT16/BS16,1))))</f>
        <v>0</v>
      </c>
      <c r="BV16" s="453">
        <f t="shared" si="6"/>
        <v>0</v>
      </c>
      <c r="BW16" s="28">
        <v>6</v>
      </c>
      <c r="BX16" s="452">
        <f t="shared" si="10"/>
        <v>1</v>
      </c>
    </row>
    <row r="17" spans="1:76" ht="15">
      <c r="A17" s="126">
        <f t="shared" ca="1" si="19"/>
        <v>57</v>
      </c>
      <c r="B17" s="121" t="str">
        <f t="shared" ca="1" si="11"/>
        <v>130602</v>
      </c>
      <c r="C17" s="121">
        <f t="shared" ca="1" si="16"/>
        <v>13</v>
      </c>
      <c r="D17" s="121">
        <f t="shared" ca="1" si="12"/>
        <v>7</v>
      </c>
      <c r="E17" s="121">
        <f t="shared" ca="1" si="17"/>
        <v>6</v>
      </c>
      <c r="F17" s="121" t="str">
        <f t="shared" ca="1" si="13"/>
        <v>s</v>
      </c>
      <c r="G17" s="121" t="str">
        <f t="shared" ca="1" si="14"/>
        <v>b</v>
      </c>
      <c r="H17" s="159">
        <f t="shared" ca="1" si="18"/>
        <v>57</v>
      </c>
      <c r="K17" s="122" t="str">
        <f>IF(5&gt;$F$8,"",5)</f>
        <v/>
      </c>
      <c r="L17" s="127" t="str">
        <f>IF(K17="","",IF($N$7="E",HLOOKUP($F$8,$P$13:$U$32,19,FALSE),HLOOKUP($F$8,$P$13:$U$32,6,FALSE)))</f>
        <v/>
      </c>
      <c r="M17" s="157">
        <f t="shared" ca="1" si="20"/>
        <v>24</v>
      </c>
      <c r="P17" s="129"/>
      <c r="Q17" s="102"/>
      <c r="R17" s="102"/>
      <c r="S17" s="121">
        <f>IF(S14=0,0,($F$6-SUM(S14:S16)))</f>
        <v>6</v>
      </c>
      <c r="T17" s="121">
        <f>IF(T14=0,0,CEILING(($F$6-SUM(T14:T16))/2,1))</f>
        <v>5</v>
      </c>
      <c r="U17" s="121">
        <f>IF(U14=0,0,CEILING(($F$6-SUM(U14:U16))/3,1))</f>
        <v>4</v>
      </c>
      <c r="Y17" s="238">
        <f t="shared" si="7"/>
        <v>1</v>
      </c>
      <c r="Z17" s="16">
        <f t="shared" si="15"/>
        <v>7</v>
      </c>
      <c r="AB17" s="112">
        <f t="shared" ca="1" si="2"/>
        <v>4</v>
      </c>
      <c r="AC17" s="112" t="str">
        <f t="shared" ca="1" si="2"/>
        <v>-</v>
      </c>
      <c r="AD17" s="112" t="str">
        <f t="shared" ca="1" si="2"/>
        <v>-</v>
      </c>
      <c r="AE17" s="112">
        <f t="shared" ca="1" si="2"/>
        <v>1</v>
      </c>
      <c r="AF17" s="112">
        <f t="shared" ca="1" si="2"/>
        <v>-3</v>
      </c>
      <c r="AG17" s="112" t="str">
        <f t="shared" ca="1" si="2"/>
        <v>-</v>
      </c>
      <c r="AH17" s="112" t="str">
        <f t="shared" ca="1" si="2"/>
        <v>-</v>
      </c>
      <c r="AI17" s="112">
        <f t="shared" ca="1" si="2"/>
        <v>2</v>
      </c>
      <c r="AJ17" s="112">
        <f t="shared" ca="1" si="2"/>
        <v>-4</v>
      </c>
      <c r="AK17" s="112" t="str">
        <f t="shared" ca="1" si="2"/>
        <v>-</v>
      </c>
      <c r="AL17" s="112" t="str">
        <f t="shared" ca="1" si="3"/>
        <v>-</v>
      </c>
      <c r="AM17" s="112">
        <f t="shared" ca="1" si="3"/>
        <v>-6</v>
      </c>
      <c r="AN17" s="112">
        <f t="shared" ca="1" si="3"/>
        <v>5</v>
      </c>
      <c r="AO17" s="112" t="str">
        <f t="shared" ca="1" si="3"/>
        <v>-</v>
      </c>
      <c r="AP17" s="112">
        <f t="shared" ca="1" si="3"/>
        <v>0</v>
      </c>
      <c r="AQ17" s="112">
        <f t="shared" ca="1" si="3"/>
        <v>0</v>
      </c>
      <c r="AR17" s="112">
        <f t="shared" ca="1" si="3"/>
        <v>0</v>
      </c>
      <c r="AS17" s="112">
        <f t="shared" ca="1" si="3"/>
        <v>0</v>
      </c>
      <c r="AT17" s="112">
        <f t="shared" ca="1" si="3"/>
        <v>0</v>
      </c>
      <c r="AU17" s="112">
        <f t="shared" ca="1" si="3"/>
        <v>0</v>
      </c>
      <c r="AV17" s="112">
        <f t="shared" ca="1" si="4"/>
        <v>0</v>
      </c>
      <c r="AW17" s="112">
        <f t="shared" ca="1" si="4"/>
        <v>0</v>
      </c>
      <c r="AX17" s="112">
        <f t="shared" ca="1" si="4"/>
        <v>0</v>
      </c>
      <c r="AY17" s="112">
        <f t="shared" ca="1" si="4"/>
        <v>0</v>
      </c>
      <c r="AZ17" s="112">
        <f t="shared" ca="1" si="4"/>
        <v>0</v>
      </c>
      <c r="BA17" s="112">
        <f t="shared" ca="1" si="4"/>
        <v>0</v>
      </c>
      <c r="BB17" s="112">
        <f t="shared" ca="1" si="4"/>
        <v>0</v>
      </c>
      <c r="BC17" s="112">
        <f t="shared" ca="1" si="4"/>
        <v>0</v>
      </c>
      <c r="BD17" s="112">
        <f t="shared" ca="1" si="4"/>
        <v>0</v>
      </c>
      <c r="BE17" s="112">
        <f t="shared" ca="1" si="4"/>
        <v>0</v>
      </c>
      <c r="BF17" s="112">
        <f t="shared" ca="1" si="5"/>
        <v>0</v>
      </c>
      <c r="BG17" s="112">
        <f t="shared" ca="1" si="5"/>
        <v>0</v>
      </c>
      <c r="BH17" s="112">
        <f t="shared" ca="1" si="5"/>
        <v>0</v>
      </c>
      <c r="BI17" s="112">
        <f t="shared" ca="1" si="5"/>
        <v>0</v>
      </c>
      <c r="BJ17" s="112">
        <f t="shared" ca="1" si="5"/>
        <v>0</v>
      </c>
      <c r="BK17" s="112">
        <f t="shared" ca="1" si="5"/>
        <v>0</v>
      </c>
      <c r="BL17" s="112">
        <f t="shared" ca="1" si="5"/>
        <v>0</v>
      </c>
      <c r="BM17" s="112">
        <f t="shared" ca="1" si="5"/>
        <v>0</v>
      </c>
      <c r="BN17" s="112">
        <f t="shared" ca="1" si="5"/>
        <v>0</v>
      </c>
      <c r="BO17" s="112">
        <f t="shared" ca="1" si="5"/>
        <v>0</v>
      </c>
      <c r="BQ17" s="449">
        <f t="shared" si="8"/>
        <v>7</v>
      </c>
      <c r="BR17" s="450">
        <f t="shared" si="9"/>
        <v>7</v>
      </c>
      <c r="BS17" s="335"/>
      <c r="BT17" s="335"/>
      <c r="BU17" s="335"/>
      <c r="BV17" s="335"/>
      <c r="BW17" s="335"/>
      <c r="BX17" s="452">
        <f t="shared" si="10"/>
        <v>1</v>
      </c>
    </row>
    <row r="18" spans="1:76" ht="15">
      <c r="A18" s="126">
        <f t="shared" ca="1" si="19"/>
        <v>56</v>
      </c>
      <c r="B18" s="121" t="str">
        <f t="shared" ca="1" si="11"/>
        <v>130603</v>
      </c>
      <c r="C18" s="121">
        <f t="shared" ca="1" si="16"/>
        <v>13</v>
      </c>
      <c r="D18" s="121">
        <f t="shared" ca="1" si="12"/>
        <v>5</v>
      </c>
      <c r="E18" s="121">
        <f t="shared" ca="1" si="17"/>
        <v>4</v>
      </c>
      <c r="F18" s="121" t="str">
        <f t="shared" ca="1" si="13"/>
        <v>s</v>
      </c>
      <c r="G18" s="121" t="str">
        <f t="shared" ca="1" si="14"/>
        <v>b</v>
      </c>
      <c r="H18" s="159">
        <f t="shared" ca="1" si="18"/>
        <v>56</v>
      </c>
      <c r="K18" s="122" t="str">
        <f>IF(6&gt;$F$8,"",6)</f>
        <v/>
      </c>
      <c r="L18" s="127" t="str">
        <f>IF(K18="","",IF($N$7="E",HLOOKUP($F$8,$P$13:$U$32,20,FALSE),HLOOKUP($F$8,$P$13:$U$32,7,FALSE)))</f>
        <v/>
      </c>
      <c r="M18" s="157">
        <f t="shared" ca="1" si="20"/>
        <v>24</v>
      </c>
      <c r="P18" s="129"/>
      <c r="Q18" s="102"/>
      <c r="R18" s="102"/>
      <c r="S18" s="102"/>
      <c r="T18" s="121">
        <f>IF(T14=0,0,($F$6-SUM(T14:T17)))</f>
        <v>4</v>
      </c>
      <c r="U18" s="121">
        <f>IF(U14=0,0,CEILING(($F$6-SUM(U14:U17))/2,1))</f>
        <v>4</v>
      </c>
      <c r="Y18" s="238">
        <f t="shared" si="7"/>
        <v>1</v>
      </c>
      <c r="Z18" s="16">
        <f t="shared" si="15"/>
        <v>8</v>
      </c>
      <c r="AB18" s="112">
        <f t="shared" ca="1" si="2"/>
        <v>-3</v>
      </c>
      <c r="AC18" s="112" t="str">
        <f t="shared" ca="1" si="2"/>
        <v>-</v>
      </c>
      <c r="AD18" s="112" t="str">
        <f t="shared" ca="1" si="2"/>
        <v>-</v>
      </c>
      <c r="AE18" s="112">
        <f t="shared" ca="1" si="2"/>
        <v>-6</v>
      </c>
      <c r="AF18" s="112">
        <f t="shared" ca="1" si="2"/>
        <v>2</v>
      </c>
      <c r="AG18" s="112" t="str">
        <f t="shared" ca="1" si="2"/>
        <v>-</v>
      </c>
      <c r="AH18" s="112" t="str">
        <f t="shared" ca="1" si="2"/>
        <v>-</v>
      </c>
      <c r="AI18" s="112">
        <f t="shared" ca="1" si="2"/>
        <v>-4</v>
      </c>
      <c r="AJ18" s="112">
        <f t="shared" ca="1" si="2"/>
        <v>3</v>
      </c>
      <c r="AK18" s="112" t="str">
        <f t="shared" ca="1" si="2"/>
        <v>-</v>
      </c>
      <c r="AL18" s="112" t="str">
        <f t="shared" ca="1" si="3"/>
        <v>-</v>
      </c>
      <c r="AM18" s="112">
        <f t="shared" ca="1" si="3"/>
        <v>1</v>
      </c>
      <c r="AN18" s="112">
        <f t="shared" ca="1" si="3"/>
        <v>-5</v>
      </c>
      <c r="AO18" s="112" t="str">
        <f t="shared" ca="1" si="3"/>
        <v>-</v>
      </c>
      <c r="AP18" s="112">
        <f t="shared" ca="1" si="3"/>
        <v>0</v>
      </c>
      <c r="AQ18" s="112">
        <f t="shared" ca="1" si="3"/>
        <v>0</v>
      </c>
      <c r="AR18" s="112">
        <f t="shared" ca="1" si="3"/>
        <v>0</v>
      </c>
      <c r="AS18" s="112">
        <f t="shared" ca="1" si="3"/>
        <v>0</v>
      </c>
      <c r="AT18" s="112">
        <f t="shared" ca="1" si="3"/>
        <v>0</v>
      </c>
      <c r="AU18" s="112">
        <f t="shared" ca="1" si="3"/>
        <v>0</v>
      </c>
      <c r="AV18" s="112">
        <f t="shared" ca="1" si="4"/>
        <v>0</v>
      </c>
      <c r="AW18" s="112">
        <f t="shared" ca="1" si="4"/>
        <v>0</v>
      </c>
      <c r="AX18" s="112">
        <f t="shared" ca="1" si="4"/>
        <v>0</v>
      </c>
      <c r="AY18" s="112">
        <f t="shared" ca="1" si="4"/>
        <v>0</v>
      </c>
      <c r="AZ18" s="112">
        <f t="shared" ca="1" si="4"/>
        <v>0</v>
      </c>
      <c r="BA18" s="112">
        <f t="shared" ca="1" si="4"/>
        <v>0</v>
      </c>
      <c r="BB18" s="112">
        <f t="shared" ca="1" si="4"/>
        <v>0</v>
      </c>
      <c r="BC18" s="112">
        <f t="shared" ca="1" si="4"/>
        <v>0</v>
      </c>
      <c r="BD18" s="112">
        <f t="shared" ca="1" si="4"/>
        <v>0</v>
      </c>
      <c r="BE18" s="112">
        <f t="shared" ca="1" si="4"/>
        <v>0</v>
      </c>
      <c r="BF18" s="112">
        <f t="shared" ca="1" si="5"/>
        <v>0</v>
      </c>
      <c r="BG18" s="112">
        <f t="shared" ca="1" si="5"/>
        <v>0</v>
      </c>
      <c r="BH18" s="112">
        <f t="shared" ca="1" si="5"/>
        <v>0</v>
      </c>
      <c r="BI18" s="112">
        <f t="shared" ca="1" si="5"/>
        <v>0</v>
      </c>
      <c r="BJ18" s="112">
        <f t="shared" ca="1" si="5"/>
        <v>0</v>
      </c>
      <c r="BK18" s="112">
        <f t="shared" ca="1" si="5"/>
        <v>0</v>
      </c>
      <c r="BL18" s="112">
        <f t="shared" ca="1" si="5"/>
        <v>0</v>
      </c>
      <c r="BM18" s="112">
        <f t="shared" ca="1" si="5"/>
        <v>0</v>
      </c>
      <c r="BN18" s="112">
        <f t="shared" ca="1" si="5"/>
        <v>0</v>
      </c>
      <c r="BO18" s="112">
        <f t="shared" ca="1" si="5"/>
        <v>0</v>
      </c>
      <c r="BQ18" s="449">
        <f t="shared" si="8"/>
        <v>8</v>
      </c>
      <c r="BR18" s="450">
        <f t="shared" si="9"/>
        <v>8</v>
      </c>
      <c r="BS18" s="335"/>
      <c r="BT18" s="335"/>
      <c r="BU18" s="335"/>
      <c r="BV18" s="335"/>
      <c r="BW18" s="335"/>
      <c r="BX18" s="452">
        <f t="shared" si="10"/>
        <v>1</v>
      </c>
    </row>
    <row r="19" spans="1:76" ht="16" thickBot="1">
      <c r="A19" s="126">
        <f t="shared" ca="1" si="19"/>
        <v>55</v>
      </c>
      <c r="B19" s="121" t="str">
        <f t="shared" ca="1" si="11"/>
        <v>130604</v>
      </c>
      <c r="C19" s="121">
        <f t="shared" ca="1" si="16"/>
        <v>13</v>
      </c>
      <c r="D19" s="121">
        <f t="shared" ca="1" si="12"/>
        <v>3</v>
      </c>
      <c r="E19" s="121">
        <f t="shared" ca="1" si="17"/>
        <v>3</v>
      </c>
      <c r="F19" s="121" t="str">
        <f t="shared" ca="1" si="13"/>
        <v>s</v>
      </c>
      <c r="G19" s="121" t="str">
        <f t="shared" ca="1" si="14"/>
        <v>w</v>
      </c>
      <c r="H19" s="159">
        <f t="shared" ca="1" si="18"/>
        <v>55</v>
      </c>
      <c r="N19" s="118" t="s">
        <v>570</v>
      </c>
      <c r="P19" s="102"/>
      <c r="Q19" s="102"/>
      <c r="R19" s="102"/>
      <c r="S19" s="102"/>
      <c r="T19" s="102"/>
      <c r="U19" s="121">
        <f>IF(U14=0,0,($F$6-SUM(U14:U18)))</f>
        <v>4</v>
      </c>
      <c r="Y19" s="238">
        <f t="shared" si="7"/>
        <v>2</v>
      </c>
      <c r="Z19" s="16">
        <f t="shared" si="15"/>
        <v>9</v>
      </c>
      <c r="AB19" s="112" t="str">
        <f t="shared" ca="1" si="2"/>
        <v>-</v>
      </c>
      <c r="AC19" s="112">
        <f t="shared" ca="1" si="2"/>
        <v>4</v>
      </c>
      <c r="AD19" s="112">
        <f t="shared" ca="1" si="2"/>
        <v>-2</v>
      </c>
      <c r="AE19" s="112" t="str">
        <f t="shared" ca="1" si="2"/>
        <v>-</v>
      </c>
      <c r="AF19" s="112" t="str">
        <f t="shared" ca="1" si="2"/>
        <v>-</v>
      </c>
      <c r="AG19" s="112">
        <f t="shared" ca="1" si="2"/>
        <v>6</v>
      </c>
      <c r="AH19" s="112">
        <f t="shared" ca="1" si="2"/>
        <v>-4</v>
      </c>
      <c r="AI19" s="112" t="str">
        <f t="shared" ca="1" si="2"/>
        <v>-</v>
      </c>
      <c r="AJ19" s="112" t="str">
        <f t="shared" ca="1" si="2"/>
        <v>-</v>
      </c>
      <c r="AK19" s="112">
        <f t="shared" ca="1" si="2"/>
        <v>-1</v>
      </c>
      <c r="AL19" s="112">
        <f t="shared" ca="1" si="3"/>
        <v>5</v>
      </c>
      <c r="AM19" s="112" t="str">
        <f t="shared" ca="1" si="3"/>
        <v>-</v>
      </c>
      <c r="AN19" s="112" t="str">
        <f t="shared" ca="1" si="3"/>
        <v>-</v>
      </c>
      <c r="AO19" s="112">
        <f t="shared" ca="1" si="3"/>
        <v>3</v>
      </c>
      <c r="AP19" s="112">
        <f t="shared" ca="1" si="3"/>
        <v>0</v>
      </c>
      <c r="AQ19" s="112">
        <f t="shared" ca="1" si="3"/>
        <v>0</v>
      </c>
      <c r="AR19" s="112">
        <f t="shared" ca="1" si="3"/>
        <v>0</v>
      </c>
      <c r="AS19" s="112">
        <f t="shared" ca="1" si="3"/>
        <v>0</v>
      </c>
      <c r="AT19" s="112">
        <f t="shared" ca="1" si="3"/>
        <v>0</v>
      </c>
      <c r="AU19" s="112">
        <f t="shared" ca="1" si="3"/>
        <v>0</v>
      </c>
      <c r="AV19" s="112">
        <f t="shared" ca="1" si="4"/>
        <v>0</v>
      </c>
      <c r="AW19" s="112">
        <f t="shared" ca="1" si="4"/>
        <v>0</v>
      </c>
      <c r="AX19" s="112">
        <f t="shared" ca="1" si="4"/>
        <v>0</v>
      </c>
      <c r="AY19" s="112">
        <f t="shared" ca="1" si="4"/>
        <v>0</v>
      </c>
      <c r="AZ19" s="112">
        <f t="shared" ca="1" si="4"/>
        <v>0</v>
      </c>
      <c r="BA19" s="112">
        <f t="shared" ca="1" si="4"/>
        <v>0</v>
      </c>
      <c r="BB19" s="112">
        <f t="shared" ca="1" si="4"/>
        <v>0</v>
      </c>
      <c r="BC19" s="112">
        <f t="shared" ca="1" si="4"/>
        <v>0</v>
      </c>
      <c r="BD19" s="112">
        <f t="shared" ca="1" si="4"/>
        <v>0</v>
      </c>
      <c r="BE19" s="112">
        <f t="shared" ca="1" si="4"/>
        <v>0</v>
      </c>
      <c r="BF19" s="112">
        <f t="shared" ca="1" si="5"/>
        <v>0</v>
      </c>
      <c r="BG19" s="112">
        <f t="shared" ca="1" si="5"/>
        <v>0</v>
      </c>
      <c r="BH19" s="112">
        <f t="shared" ca="1" si="5"/>
        <v>0</v>
      </c>
      <c r="BI19" s="112">
        <f t="shared" ca="1" si="5"/>
        <v>0</v>
      </c>
      <c r="BJ19" s="112">
        <f t="shared" ca="1" si="5"/>
        <v>0</v>
      </c>
      <c r="BK19" s="112">
        <f t="shared" ca="1" si="5"/>
        <v>0</v>
      </c>
      <c r="BL19" s="112">
        <f t="shared" ca="1" si="5"/>
        <v>0</v>
      </c>
      <c r="BM19" s="112">
        <f t="shared" ca="1" si="5"/>
        <v>0</v>
      </c>
      <c r="BN19" s="112">
        <f t="shared" ca="1" si="5"/>
        <v>0</v>
      </c>
      <c r="BO19" s="112">
        <f t="shared" ca="1" si="5"/>
        <v>0</v>
      </c>
      <c r="BQ19" s="449">
        <f t="shared" si="8"/>
        <v>9</v>
      </c>
      <c r="BR19" s="450">
        <f t="shared" si="9"/>
        <v>9</v>
      </c>
      <c r="BS19" s="335"/>
      <c r="BT19" s="335"/>
      <c r="BU19" s="335"/>
      <c r="BV19" s="335"/>
      <c r="BW19" s="335"/>
      <c r="BX19" s="452">
        <f t="shared" si="10"/>
        <v>2</v>
      </c>
    </row>
    <row r="20" spans="1:76" ht="16" thickTop="1">
      <c r="A20" s="126">
        <f t="shared" ca="1" si="19"/>
        <v>54</v>
      </c>
      <c r="B20" s="121" t="str">
        <f t="shared" ca="1" si="11"/>
        <v>140602</v>
      </c>
      <c r="C20" s="121">
        <f t="shared" ca="1" si="16"/>
        <v>14</v>
      </c>
      <c r="D20" s="121">
        <f t="shared" ca="1" si="12"/>
        <v>7</v>
      </c>
      <c r="E20" s="121">
        <f t="shared" ca="1" si="17"/>
        <v>6</v>
      </c>
      <c r="F20" s="121" t="str">
        <f t="shared" ca="1" si="13"/>
        <v>s</v>
      </c>
      <c r="G20" s="121" t="str">
        <f t="shared" ca="1" si="14"/>
        <v>b</v>
      </c>
      <c r="H20" s="159">
        <f t="shared" ca="1" si="18"/>
        <v>54</v>
      </c>
      <c r="N20" s="130"/>
      <c r="O20" s="131" t="s">
        <v>571</v>
      </c>
      <c r="P20" s="132">
        <f t="shared" ref="P20:U20" si="21">IF(OR(P14=0,P14=" "),0,FLOOR(P14/2,1)+FLOOR(P15/2,1)+FLOOR(P16/2,1)+FLOOR(P17/2,1)+FLOOR(P18/2,1)+FLOOR(P19/2,1))</f>
        <v>12</v>
      </c>
      <c r="Q20" s="133">
        <f t="shared" si="21"/>
        <v>12</v>
      </c>
      <c r="R20" s="133">
        <f t="shared" si="21"/>
        <v>12</v>
      </c>
      <c r="S20" s="133">
        <f t="shared" si="21"/>
        <v>12</v>
      </c>
      <c r="T20" s="133">
        <f t="shared" si="21"/>
        <v>10</v>
      </c>
      <c r="U20" s="133">
        <f t="shared" si="21"/>
        <v>12</v>
      </c>
      <c r="Y20" s="238">
        <f t="shared" si="7"/>
        <v>2</v>
      </c>
      <c r="Z20" s="16">
        <f t="shared" si="15"/>
        <v>10</v>
      </c>
      <c r="AB20" s="112" t="str">
        <f t="shared" ca="1" si="2"/>
        <v>-</v>
      </c>
      <c r="AC20" s="112">
        <f t="shared" ca="1" si="2"/>
        <v>3</v>
      </c>
      <c r="AD20" s="112">
        <f t="shared" ca="1" si="2"/>
        <v>-4</v>
      </c>
      <c r="AE20" s="112" t="str">
        <f t="shared" ca="1" si="2"/>
        <v>-</v>
      </c>
      <c r="AF20" s="112" t="str">
        <f t="shared" ca="1" si="2"/>
        <v>-</v>
      </c>
      <c r="AG20" s="112">
        <f t="shared" ca="1" si="2"/>
        <v>1</v>
      </c>
      <c r="AH20" s="112">
        <f t="shared" ca="1" si="2"/>
        <v>-5</v>
      </c>
      <c r="AI20" s="112" t="str">
        <f t="shared" ca="1" si="2"/>
        <v>-</v>
      </c>
      <c r="AJ20" s="112" t="str">
        <f t="shared" ca="1" si="2"/>
        <v>-</v>
      </c>
      <c r="AK20" s="112">
        <f t="shared" ca="1" si="2"/>
        <v>-6</v>
      </c>
      <c r="AL20" s="112">
        <f t="shared" ca="1" si="3"/>
        <v>2</v>
      </c>
      <c r="AM20" s="112" t="str">
        <f t="shared" ca="1" si="3"/>
        <v>-</v>
      </c>
      <c r="AN20" s="112" t="str">
        <f t="shared" ca="1" si="3"/>
        <v>-</v>
      </c>
      <c r="AO20" s="112">
        <f t="shared" ca="1" si="3"/>
        <v>-3</v>
      </c>
      <c r="AP20" s="112">
        <f t="shared" ca="1" si="3"/>
        <v>0</v>
      </c>
      <c r="AQ20" s="112">
        <f t="shared" ca="1" si="3"/>
        <v>0</v>
      </c>
      <c r="AR20" s="112">
        <f t="shared" ca="1" si="3"/>
        <v>0</v>
      </c>
      <c r="AS20" s="112">
        <f t="shared" ca="1" si="3"/>
        <v>0</v>
      </c>
      <c r="AT20" s="112">
        <f t="shared" ca="1" si="3"/>
        <v>0</v>
      </c>
      <c r="AU20" s="112">
        <f t="shared" ca="1" si="3"/>
        <v>0</v>
      </c>
      <c r="AV20" s="112">
        <f t="shared" ca="1" si="4"/>
        <v>0</v>
      </c>
      <c r="AW20" s="112">
        <f t="shared" ca="1" si="4"/>
        <v>0</v>
      </c>
      <c r="AX20" s="112">
        <f t="shared" ca="1" si="4"/>
        <v>0</v>
      </c>
      <c r="AY20" s="112">
        <f t="shared" ca="1" si="4"/>
        <v>0</v>
      </c>
      <c r="AZ20" s="112">
        <f t="shared" ca="1" si="4"/>
        <v>0</v>
      </c>
      <c r="BA20" s="112">
        <f t="shared" ca="1" si="4"/>
        <v>0</v>
      </c>
      <c r="BB20" s="112">
        <f t="shared" ca="1" si="4"/>
        <v>0</v>
      </c>
      <c r="BC20" s="112">
        <f t="shared" ca="1" si="4"/>
        <v>0</v>
      </c>
      <c r="BD20" s="112">
        <f t="shared" ca="1" si="4"/>
        <v>0</v>
      </c>
      <c r="BE20" s="112">
        <f t="shared" ca="1" si="4"/>
        <v>0</v>
      </c>
      <c r="BF20" s="112">
        <f t="shared" ca="1" si="5"/>
        <v>0</v>
      </c>
      <c r="BG20" s="112">
        <f t="shared" ca="1" si="5"/>
        <v>0</v>
      </c>
      <c r="BH20" s="112">
        <f t="shared" ca="1" si="5"/>
        <v>0</v>
      </c>
      <c r="BI20" s="112">
        <f t="shared" ca="1" si="5"/>
        <v>0</v>
      </c>
      <c r="BJ20" s="112">
        <f t="shared" ca="1" si="5"/>
        <v>0</v>
      </c>
      <c r="BK20" s="112">
        <f t="shared" ca="1" si="5"/>
        <v>0</v>
      </c>
      <c r="BL20" s="112">
        <f t="shared" ca="1" si="5"/>
        <v>0</v>
      </c>
      <c r="BM20" s="112">
        <f t="shared" ca="1" si="5"/>
        <v>0</v>
      </c>
      <c r="BN20" s="112">
        <f t="shared" ca="1" si="5"/>
        <v>0</v>
      </c>
      <c r="BO20" s="112">
        <f t="shared" ca="1" si="5"/>
        <v>0</v>
      </c>
      <c r="BQ20" s="449">
        <f t="shared" si="8"/>
        <v>10</v>
      </c>
      <c r="BR20" s="450">
        <f t="shared" si="9"/>
        <v>10</v>
      </c>
      <c r="BS20" s="335"/>
      <c r="BT20" s="335"/>
      <c r="BU20" s="335"/>
      <c r="BV20" s="335"/>
      <c r="BW20" s="335"/>
      <c r="BX20" s="452">
        <f t="shared" si="10"/>
        <v>2</v>
      </c>
    </row>
    <row r="21" spans="1:76" ht="16" thickBot="1">
      <c r="A21" s="126">
        <f t="shared" ca="1" si="19"/>
        <v>53</v>
      </c>
      <c r="B21" s="121" t="str">
        <f t="shared" ca="1" si="11"/>
        <v>140603</v>
      </c>
      <c r="C21" s="121">
        <f t="shared" ca="1" si="16"/>
        <v>14</v>
      </c>
      <c r="D21" s="121">
        <f t="shared" ca="1" si="12"/>
        <v>6</v>
      </c>
      <c r="E21" s="121">
        <f t="shared" ca="1" si="17"/>
        <v>5</v>
      </c>
      <c r="F21" s="121" t="str">
        <f t="shared" ca="1" si="13"/>
        <v>s</v>
      </c>
      <c r="G21" s="121" t="str">
        <f t="shared" ca="1" si="14"/>
        <v/>
      </c>
      <c r="H21" s="159">
        <f t="shared" ca="1" si="18"/>
        <v>53</v>
      </c>
      <c r="N21" s="134"/>
      <c r="O21" s="135" t="s">
        <v>572</v>
      </c>
      <c r="P21" s="136">
        <f t="shared" ref="P21:U21" si="22">IF(P20=0,0,CEILING(P20/2,1))</f>
        <v>6</v>
      </c>
      <c r="Q21" s="137">
        <f t="shared" si="22"/>
        <v>6</v>
      </c>
      <c r="R21" s="137">
        <f t="shared" si="22"/>
        <v>6</v>
      </c>
      <c r="S21" s="137">
        <f t="shared" si="22"/>
        <v>6</v>
      </c>
      <c r="T21" s="137">
        <f t="shared" si="22"/>
        <v>5</v>
      </c>
      <c r="U21" s="137">
        <f t="shared" si="22"/>
        <v>6</v>
      </c>
      <c r="Y21" s="238">
        <f t="shared" si="7"/>
        <v>2</v>
      </c>
      <c r="Z21" s="16">
        <f t="shared" si="15"/>
        <v>11</v>
      </c>
      <c r="AB21" s="112" t="str">
        <f t="shared" ref="AB21:AK30" ca="1" si="23">IF($H$10=0,0,IF(ISERROR(VLOOKUP($Z21,INDIRECT($AA$7),AB$9+1,FALSE)),0,VLOOKUP($Z21,INDIRECT($AA$7),AB$9+1,FALSE)))</f>
        <v>-</v>
      </c>
      <c r="AC21" s="112">
        <f t="shared" ca="1" si="23"/>
        <v>5</v>
      </c>
      <c r="AD21" s="112">
        <f t="shared" ca="1" si="23"/>
        <v>-1</v>
      </c>
      <c r="AE21" s="112" t="str">
        <f t="shared" ca="1" si="23"/>
        <v>-</v>
      </c>
      <c r="AF21" s="112" t="str">
        <f t="shared" ca="1" si="23"/>
        <v>-</v>
      </c>
      <c r="AG21" s="112">
        <f t="shared" ca="1" si="23"/>
        <v>3</v>
      </c>
      <c r="AH21" s="112">
        <f t="shared" ca="1" si="23"/>
        <v>-2</v>
      </c>
      <c r="AI21" s="112" t="str">
        <f t="shared" ca="1" si="23"/>
        <v>-</v>
      </c>
      <c r="AJ21" s="112" t="str">
        <f t="shared" ca="1" si="23"/>
        <v>-</v>
      </c>
      <c r="AK21" s="112">
        <f t="shared" ca="1" si="23"/>
        <v>6</v>
      </c>
      <c r="AL21" s="112">
        <f t="shared" ref="AL21:AU30" ca="1" si="24">IF($H$10=0,0,IF(ISERROR(VLOOKUP($Z21,INDIRECT($AA$7),AL$9+1,FALSE)),0,VLOOKUP($Z21,INDIRECT($AA$7),AL$9+1,FALSE)))</f>
        <v>-5</v>
      </c>
      <c r="AM21" s="112" t="str">
        <f t="shared" ca="1" si="24"/>
        <v>-</v>
      </c>
      <c r="AN21" s="112" t="str">
        <f t="shared" ca="1" si="24"/>
        <v>-</v>
      </c>
      <c r="AO21" s="112">
        <f t="shared" ca="1" si="24"/>
        <v>-4</v>
      </c>
      <c r="AP21" s="112">
        <f t="shared" ca="1" si="24"/>
        <v>0</v>
      </c>
      <c r="AQ21" s="112">
        <f t="shared" ca="1" si="24"/>
        <v>0</v>
      </c>
      <c r="AR21" s="112">
        <f t="shared" ca="1" si="24"/>
        <v>0</v>
      </c>
      <c r="AS21" s="112">
        <f t="shared" ca="1" si="24"/>
        <v>0</v>
      </c>
      <c r="AT21" s="112">
        <f t="shared" ca="1" si="24"/>
        <v>0</v>
      </c>
      <c r="AU21" s="112">
        <f t="shared" ca="1" si="24"/>
        <v>0</v>
      </c>
      <c r="AV21" s="112">
        <f t="shared" ref="AV21:BE30" ca="1" si="25">IF($H$10=0,0,IF(ISERROR(VLOOKUP($Z21,INDIRECT($AA$7),AV$9+1,FALSE)),0,VLOOKUP($Z21,INDIRECT($AA$7),AV$9+1,FALSE)))</f>
        <v>0</v>
      </c>
      <c r="AW21" s="112">
        <f t="shared" ca="1" si="25"/>
        <v>0</v>
      </c>
      <c r="AX21" s="112">
        <f t="shared" ca="1" si="25"/>
        <v>0</v>
      </c>
      <c r="AY21" s="112">
        <f t="shared" ca="1" si="25"/>
        <v>0</v>
      </c>
      <c r="AZ21" s="112">
        <f t="shared" ca="1" si="25"/>
        <v>0</v>
      </c>
      <c r="BA21" s="112">
        <f t="shared" ca="1" si="25"/>
        <v>0</v>
      </c>
      <c r="BB21" s="112">
        <f t="shared" ca="1" si="25"/>
        <v>0</v>
      </c>
      <c r="BC21" s="112">
        <f t="shared" ca="1" si="25"/>
        <v>0</v>
      </c>
      <c r="BD21" s="112">
        <f t="shared" ca="1" si="25"/>
        <v>0</v>
      </c>
      <c r="BE21" s="112">
        <f t="shared" ca="1" si="25"/>
        <v>0</v>
      </c>
      <c r="BF21" s="112">
        <f t="shared" ref="BF21:BO30" ca="1" si="26">IF($H$10=0,0,IF(ISERROR(VLOOKUP($Z21,INDIRECT($AA$7),BF$9+1,FALSE)),0,VLOOKUP($Z21,INDIRECT($AA$7),BF$9+1,FALSE)))</f>
        <v>0</v>
      </c>
      <c r="BG21" s="112">
        <f t="shared" ca="1" si="26"/>
        <v>0</v>
      </c>
      <c r="BH21" s="112">
        <f t="shared" ca="1" si="26"/>
        <v>0</v>
      </c>
      <c r="BI21" s="112">
        <f t="shared" ca="1" si="26"/>
        <v>0</v>
      </c>
      <c r="BJ21" s="112">
        <f t="shared" ca="1" si="26"/>
        <v>0</v>
      </c>
      <c r="BK21" s="112">
        <f t="shared" ca="1" si="26"/>
        <v>0</v>
      </c>
      <c r="BL21" s="112">
        <f t="shared" ca="1" si="26"/>
        <v>0</v>
      </c>
      <c r="BM21" s="112">
        <f t="shared" ca="1" si="26"/>
        <v>0</v>
      </c>
      <c r="BN21" s="112">
        <f t="shared" ca="1" si="26"/>
        <v>0</v>
      </c>
      <c r="BO21" s="112">
        <f t="shared" ca="1" si="26"/>
        <v>0</v>
      </c>
      <c r="BQ21" s="449">
        <f t="shared" si="8"/>
        <v>11</v>
      </c>
      <c r="BR21" s="450">
        <f t="shared" si="9"/>
        <v>11</v>
      </c>
      <c r="BS21" s="335"/>
      <c r="BT21" s="335"/>
      <c r="BU21" s="335"/>
      <c r="BV21" s="335"/>
      <c r="BW21" s="335"/>
      <c r="BX21" s="452">
        <f t="shared" si="10"/>
        <v>2</v>
      </c>
    </row>
    <row r="22" spans="1:76" ht="17" thickTop="1" thickBot="1">
      <c r="A22" s="126">
        <f t="shared" ca="1" si="19"/>
        <v>52</v>
      </c>
      <c r="B22" s="121" t="str">
        <f t="shared" ca="1" si="11"/>
        <v>150603</v>
      </c>
      <c r="C22" s="121">
        <f t="shared" ca="1" si="16"/>
        <v>15</v>
      </c>
      <c r="D22" s="121">
        <f t="shared" ca="1" si="12"/>
        <v>5</v>
      </c>
      <c r="E22" s="121">
        <f t="shared" ca="1" si="17"/>
        <v>4</v>
      </c>
      <c r="F22" s="121" t="str">
        <f t="shared" ca="1" si="13"/>
        <v>s</v>
      </c>
      <c r="G22" s="121" t="str">
        <f t="shared" ca="1" si="14"/>
        <v>b</v>
      </c>
      <c r="H22" s="159">
        <f t="shared" ca="1" si="18"/>
        <v>52</v>
      </c>
      <c r="N22" s="111" t="s">
        <v>573</v>
      </c>
      <c r="Y22" s="238">
        <f t="shared" si="7"/>
        <v>2</v>
      </c>
      <c r="Z22" s="16">
        <f t="shared" si="15"/>
        <v>12</v>
      </c>
      <c r="AB22" s="112" t="str">
        <f t="shared" ca="1" si="23"/>
        <v>-</v>
      </c>
      <c r="AC22" s="112">
        <f t="shared" ca="1" si="23"/>
        <v>2</v>
      </c>
      <c r="AD22" s="112">
        <f t="shared" ca="1" si="23"/>
        <v>-6</v>
      </c>
      <c r="AE22" s="112" t="str">
        <f t="shared" ca="1" si="23"/>
        <v>-</v>
      </c>
      <c r="AF22" s="112" t="str">
        <f t="shared" ca="1" si="23"/>
        <v>-</v>
      </c>
      <c r="AG22" s="112">
        <f t="shared" ca="1" si="23"/>
        <v>5</v>
      </c>
      <c r="AH22" s="112">
        <f t="shared" ca="1" si="23"/>
        <v>-3</v>
      </c>
      <c r="AI22" s="112" t="str">
        <f t="shared" ca="1" si="23"/>
        <v>-</v>
      </c>
      <c r="AJ22" s="112" t="str">
        <f t="shared" ca="1" si="23"/>
        <v>-</v>
      </c>
      <c r="AK22" s="112">
        <f t="shared" ca="1" si="23"/>
        <v>1</v>
      </c>
      <c r="AL22" s="112">
        <f t="shared" ca="1" si="24"/>
        <v>-2</v>
      </c>
      <c r="AM22" s="112" t="str">
        <f t="shared" ca="1" si="24"/>
        <v>-</v>
      </c>
      <c r="AN22" s="112" t="str">
        <f t="shared" ca="1" si="24"/>
        <v>-</v>
      </c>
      <c r="AO22" s="112">
        <f t="shared" ca="1" si="24"/>
        <v>4</v>
      </c>
      <c r="AP22" s="112">
        <f t="shared" ca="1" si="24"/>
        <v>0</v>
      </c>
      <c r="AQ22" s="112">
        <f t="shared" ca="1" si="24"/>
        <v>0</v>
      </c>
      <c r="AR22" s="112">
        <f t="shared" ca="1" si="24"/>
        <v>0</v>
      </c>
      <c r="AS22" s="112">
        <f t="shared" ca="1" si="24"/>
        <v>0</v>
      </c>
      <c r="AT22" s="112">
        <f t="shared" ca="1" si="24"/>
        <v>0</v>
      </c>
      <c r="AU22" s="112">
        <f t="shared" ca="1" si="24"/>
        <v>0</v>
      </c>
      <c r="AV22" s="112">
        <f t="shared" ca="1" si="25"/>
        <v>0</v>
      </c>
      <c r="AW22" s="112">
        <f t="shared" ca="1" si="25"/>
        <v>0</v>
      </c>
      <c r="AX22" s="112">
        <f t="shared" ca="1" si="25"/>
        <v>0</v>
      </c>
      <c r="AY22" s="112">
        <f t="shared" ca="1" si="25"/>
        <v>0</v>
      </c>
      <c r="AZ22" s="112">
        <f t="shared" ca="1" si="25"/>
        <v>0</v>
      </c>
      <c r="BA22" s="112">
        <f t="shared" ca="1" si="25"/>
        <v>0</v>
      </c>
      <c r="BB22" s="112">
        <f t="shared" ca="1" si="25"/>
        <v>0</v>
      </c>
      <c r="BC22" s="112">
        <f t="shared" ca="1" si="25"/>
        <v>0</v>
      </c>
      <c r="BD22" s="112">
        <f t="shared" ca="1" si="25"/>
        <v>0</v>
      </c>
      <c r="BE22" s="112">
        <f t="shared" ca="1" si="25"/>
        <v>0</v>
      </c>
      <c r="BF22" s="112">
        <f t="shared" ca="1" si="26"/>
        <v>0</v>
      </c>
      <c r="BG22" s="112">
        <f t="shared" ca="1" si="26"/>
        <v>0</v>
      </c>
      <c r="BH22" s="112">
        <f t="shared" ca="1" si="26"/>
        <v>0</v>
      </c>
      <c r="BI22" s="112">
        <f t="shared" ca="1" si="26"/>
        <v>0</v>
      </c>
      <c r="BJ22" s="112">
        <f t="shared" ca="1" si="26"/>
        <v>0</v>
      </c>
      <c r="BK22" s="112">
        <f t="shared" ca="1" si="26"/>
        <v>0</v>
      </c>
      <c r="BL22" s="112">
        <f t="shared" ca="1" si="26"/>
        <v>0</v>
      </c>
      <c r="BM22" s="112">
        <f t="shared" ca="1" si="26"/>
        <v>0</v>
      </c>
      <c r="BN22" s="112">
        <f t="shared" ca="1" si="26"/>
        <v>0</v>
      </c>
      <c r="BO22" s="112">
        <f t="shared" ca="1" si="26"/>
        <v>0</v>
      </c>
      <c r="BQ22" s="449">
        <f t="shared" si="8"/>
        <v>12</v>
      </c>
      <c r="BR22" s="450">
        <f t="shared" si="9"/>
        <v>12</v>
      </c>
      <c r="BS22" s="335"/>
      <c r="BT22" s="335"/>
      <c r="BU22" s="335"/>
      <c r="BV22" s="335"/>
      <c r="BW22" s="335"/>
      <c r="BX22" s="452">
        <f t="shared" si="10"/>
        <v>2</v>
      </c>
    </row>
    <row r="23" spans="1:76" ht="16" thickTop="1">
      <c r="A23" s="126">
        <f t="shared" ca="1" si="19"/>
        <v>51</v>
      </c>
      <c r="B23" s="121" t="str">
        <f t="shared" ca="1" si="11"/>
        <v>160601</v>
      </c>
      <c r="C23" s="121">
        <f t="shared" ca="1" si="16"/>
        <v>16</v>
      </c>
      <c r="D23" s="121">
        <f t="shared" ca="1" si="12"/>
        <v>20</v>
      </c>
      <c r="E23" s="121">
        <f t="shared" ca="1" si="17"/>
        <v>15</v>
      </c>
      <c r="F23" s="121" t="str">
        <f t="shared" ca="1" si="13"/>
        <v>s</v>
      </c>
      <c r="G23" s="121" t="str">
        <f t="shared" ca="1" si="14"/>
        <v/>
      </c>
      <c r="H23" s="159">
        <f t="shared" ca="1" si="18"/>
        <v>51</v>
      </c>
      <c r="N23" s="130"/>
      <c r="O23" s="138" t="s">
        <v>571</v>
      </c>
      <c r="P23" s="132">
        <f t="shared" ref="P23:U23" si="27">IF(P36=0,0,IF(ISODD(P36),0,P20+(P36/2)))</f>
        <v>0</v>
      </c>
      <c r="Q23" s="133">
        <f t="shared" si="27"/>
        <v>0</v>
      </c>
      <c r="R23" s="133">
        <f t="shared" si="27"/>
        <v>0</v>
      </c>
      <c r="S23" s="133">
        <f t="shared" si="27"/>
        <v>0</v>
      </c>
      <c r="T23" s="133">
        <f t="shared" si="27"/>
        <v>12</v>
      </c>
      <c r="U23" s="133">
        <f t="shared" si="27"/>
        <v>0</v>
      </c>
      <c r="Y23" s="238">
        <f t="shared" si="7"/>
        <v>2</v>
      </c>
      <c r="Z23" s="16">
        <f t="shared" si="15"/>
        <v>13</v>
      </c>
      <c r="AB23" s="112" t="str">
        <f t="shared" ca="1" si="23"/>
        <v>-</v>
      </c>
      <c r="AC23" s="112">
        <f t="shared" ca="1" si="23"/>
        <v>-3</v>
      </c>
      <c r="AD23" s="112">
        <f t="shared" ca="1" si="23"/>
        <v>1</v>
      </c>
      <c r="AE23" s="112" t="str">
        <f t="shared" ca="1" si="23"/>
        <v>-</v>
      </c>
      <c r="AF23" s="112" t="str">
        <f t="shared" ca="1" si="23"/>
        <v>-</v>
      </c>
      <c r="AG23" s="112">
        <f t="shared" ca="1" si="23"/>
        <v>-5</v>
      </c>
      <c r="AH23" s="112">
        <f t="shared" ca="1" si="23"/>
        <v>4</v>
      </c>
      <c r="AI23" s="112" t="str">
        <f t="shared" ca="1" si="23"/>
        <v>-</v>
      </c>
      <c r="AJ23" s="112" t="str">
        <f t="shared" ca="1" si="23"/>
        <v>-</v>
      </c>
      <c r="AK23" s="112">
        <f t="shared" ca="1" si="23"/>
        <v>3</v>
      </c>
      <c r="AL23" s="112">
        <f t="shared" ca="1" si="24"/>
        <v>-6</v>
      </c>
      <c r="AM23" s="112" t="str">
        <f t="shared" ca="1" si="24"/>
        <v>-</v>
      </c>
      <c r="AN23" s="112" t="str">
        <f t="shared" ca="1" si="24"/>
        <v>-</v>
      </c>
      <c r="AO23" s="112">
        <f t="shared" ca="1" si="24"/>
        <v>-2</v>
      </c>
      <c r="AP23" s="112">
        <f t="shared" ca="1" si="24"/>
        <v>0</v>
      </c>
      <c r="AQ23" s="112">
        <f t="shared" ca="1" si="24"/>
        <v>0</v>
      </c>
      <c r="AR23" s="112">
        <f t="shared" ca="1" si="24"/>
        <v>0</v>
      </c>
      <c r="AS23" s="112">
        <f t="shared" ca="1" si="24"/>
        <v>0</v>
      </c>
      <c r="AT23" s="112">
        <f t="shared" ca="1" si="24"/>
        <v>0</v>
      </c>
      <c r="AU23" s="112">
        <f t="shared" ca="1" si="24"/>
        <v>0</v>
      </c>
      <c r="AV23" s="112">
        <f t="shared" ca="1" si="25"/>
        <v>0</v>
      </c>
      <c r="AW23" s="112">
        <f t="shared" ca="1" si="25"/>
        <v>0</v>
      </c>
      <c r="AX23" s="112">
        <f t="shared" ca="1" si="25"/>
        <v>0</v>
      </c>
      <c r="AY23" s="112">
        <f t="shared" ca="1" si="25"/>
        <v>0</v>
      </c>
      <c r="AZ23" s="112">
        <f t="shared" ca="1" si="25"/>
        <v>0</v>
      </c>
      <c r="BA23" s="112">
        <f t="shared" ca="1" si="25"/>
        <v>0</v>
      </c>
      <c r="BB23" s="112">
        <f t="shared" ca="1" si="25"/>
        <v>0</v>
      </c>
      <c r="BC23" s="112">
        <f t="shared" ca="1" si="25"/>
        <v>0</v>
      </c>
      <c r="BD23" s="112">
        <f t="shared" ca="1" si="25"/>
        <v>0</v>
      </c>
      <c r="BE23" s="112">
        <f t="shared" ca="1" si="25"/>
        <v>0</v>
      </c>
      <c r="BF23" s="112">
        <f t="shared" ca="1" si="26"/>
        <v>0</v>
      </c>
      <c r="BG23" s="112">
        <f t="shared" ca="1" si="26"/>
        <v>0</v>
      </c>
      <c r="BH23" s="112">
        <f t="shared" ca="1" si="26"/>
        <v>0</v>
      </c>
      <c r="BI23" s="112">
        <f t="shared" ca="1" si="26"/>
        <v>0</v>
      </c>
      <c r="BJ23" s="112">
        <f t="shared" ca="1" si="26"/>
        <v>0</v>
      </c>
      <c r="BK23" s="112">
        <f t="shared" ca="1" si="26"/>
        <v>0</v>
      </c>
      <c r="BL23" s="112">
        <f t="shared" ca="1" si="26"/>
        <v>0</v>
      </c>
      <c r="BM23" s="112">
        <f t="shared" ca="1" si="26"/>
        <v>0</v>
      </c>
      <c r="BN23" s="112">
        <f t="shared" ca="1" si="26"/>
        <v>0</v>
      </c>
      <c r="BO23" s="112">
        <f t="shared" ca="1" si="26"/>
        <v>0</v>
      </c>
      <c r="BQ23" s="449">
        <f t="shared" si="8"/>
        <v>13</v>
      </c>
      <c r="BR23" s="450">
        <f t="shared" si="9"/>
        <v>13</v>
      </c>
      <c r="BS23" s="335"/>
      <c r="BT23" s="335"/>
      <c r="BU23" s="335"/>
      <c r="BV23" s="335"/>
      <c r="BW23" s="335"/>
      <c r="BX23" s="452">
        <f t="shared" si="10"/>
        <v>2</v>
      </c>
    </row>
    <row r="24" spans="1:76" ht="16" thickBot="1">
      <c r="A24" s="126">
        <f t="shared" ca="1" si="19"/>
        <v>50</v>
      </c>
      <c r="B24" s="121" t="str">
        <f t="shared" ca="1" si="11"/>
        <v>160602</v>
      </c>
      <c r="C24" s="121">
        <f t="shared" ca="1" si="16"/>
        <v>16</v>
      </c>
      <c r="D24" s="121">
        <f t="shared" ca="1" si="12"/>
        <v>11</v>
      </c>
      <c r="E24" s="121">
        <f t="shared" ca="1" si="17"/>
        <v>7</v>
      </c>
      <c r="F24" s="121" t="str">
        <f t="shared" ca="1" si="13"/>
        <v>c</v>
      </c>
      <c r="G24" s="121" t="str">
        <f t="shared" ca="1" si="14"/>
        <v/>
      </c>
      <c r="H24" s="159">
        <f t="shared" ca="1" si="18"/>
        <v>50</v>
      </c>
      <c r="N24" s="134"/>
      <c r="O24" s="139" t="s">
        <v>572</v>
      </c>
      <c r="P24" s="136">
        <f t="shared" ref="P24:U24" si="28">IF(P23=0,0,CEILING(P23/2,1))</f>
        <v>0</v>
      </c>
      <c r="Q24" s="137">
        <f t="shared" si="28"/>
        <v>0</v>
      </c>
      <c r="R24" s="137">
        <f t="shared" si="28"/>
        <v>0</v>
      </c>
      <c r="S24" s="137">
        <f t="shared" si="28"/>
        <v>0</v>
      </c>
      <c r="T24" s="137">
        <f t="shared" si="28"/>
        <v>6</v>
      </c>
      <c r="U24" s="137">
        <f t="shared" si="28"/>
        <v>0</v>
      </c>
      <c r="Y24" s="238">
        <f t="shared" si="7"/>
        <v>2</v>
      </c>
      <c r="Z24" s="16">
        <f t="shared" si="15"/>
        <v>14</v>
      </c>
      <c r="AB24" s="112" t="str">
        <f t="shared" ca="1" si="23"/>
        <v>-</v>
      </c>
      <c r="AC24" s="112">
        <f t="shared" ca="1" si="23"/>
        <v>-4</v>
      </c>
      <c r="AD24" s="112">
        <f t="shared" ca="1" si="23"/>
        <v>6</v>
      </c>
      <c r="AE24" s="112" t="str">
        <f t="shared" ca="1" si="23"/>
        <v>-</v>
      </c>
      <c r="AF24" s="112" t="str">
        <f t="shared" ca="1" si="23"/>
        <v>-</v>
      </c>
      <c r="AG24" s="112">
        <f t="shared" ca="1" si="23"/>
        <v>-3</v>
      </c>
      <c r="AH24" s="112">
        <f t="shared" ca="1" si="23"/>
        <v>5</v>
      </c>
      <c r="AI24" s="112" t="str">
        <f t="shared" ca="1" si="23"/>
        <v>-</v>
      </c>
      <c r="AJ24" s="112" t="str">
        <f t="shared" ca="1" si="23"/>
        <v>-</v>
      </c>
      <c r="AK24" s="112">
        <f t="shared" ca="1" si="23"/>
        <v>4</v>
      </c>
      <c r="AL24" s="112">
        <f t="shared" ca="1" si="24"/>
        <v>-1</v>
      </c>
      <c r="AM24" s="112" t="str">
        <f t="shared" ca="1" si="24"/>
        <v>-</v>
      </c>
      <c r="AN24" s="112" t="str">
        <f t="shared" ca="1" si="24"/>
        <v>-</v>
      </c>
      <c r="AO24" s="112">
        <f t="shared" ca="1" si="24"/>
        <v>2</v>
      </c>
      <c r="AP24" s="112">
        <f t="shared" ca="1" si="24"/>
        <v>0</v>
      </c>
      <c r="AQ24" s="112">
        <f t="shared" ca="1" si="24"/>
        <v>0</v>
      </c>
      <c r="AR24" s="112">
        <f t="shared" ca="1" si="24"/>
        <v>0</v>
      </c>
      <c r="AS24" s="112">
        <f t="shared" ca="1" si="24"/>
        <v>0</v>
      </c>
      <c r="AT24" s="112">
        <f t="shared" ca="1" si="24"/>
        <v>0</v>
      </c>
      <c r="AU24" s="112">
        <f t="shared" ca="1" si="24"/>
        <v>0</v>
      </c>
      <c r="AV24" s="112">
        <f t="shared" ca="1" si="25"/>
        <v>0</v>
      </c>
      <c r="AW24" s="112">
        <f t="shared" ca="1" si="25"/>
        <v>0</v>
      </c>
      <c r="AX24" s="112">
        <f t="shared" ca="1" si="25"/>
        <v>0</v>
      </c>
      <c r="AY24" s="112">
        <f t="shared" ca="1" si="25"/>
        <v>0</v>
      </c>
      <c r="AZ24" s="112">
        <f t="shared" ca="1" si="25"/>
        <v>0</v>
      </c>
      <c r="BA24" s="112">
        <f t="shared" ca="1" si="25"/>
        <v>0</v>
      </c>
      <c r="BB24" s="112">
        <f t="shared" ca="1" si="25"/>
        <v>0</v>
      </c>
      <c r="BC24" s="112">
        <f t="shared" ca="1" si="25"/>
        <v>0</v>
      </c>
      <c r="BD24" s="112">
        <f t="shared" ca="1" si="25"/>
        <v>0</v>
      </c>
      <c r="BE24" s="112">
        <f t="shared" ca="1" si="25"/>
        <v>0</v>
      </c>
      <c r="BF24" s="112">
        <f t="shared" ca="1" si="26"/>
        <v>0</v>
      </c>
      <c r="BG24" s="112">
        <f t="shared" ca="1" si="26"/>
        <v>0</v>
      </c>
      <c r="BH24" s="112">
        <f t="shared" ca="1" si="26"/>
        <v>0</v>
      </c>
      <c r="BI24" s="112">
        <f t="shared" ca="1" si="26"/>
        <v>0</v>
      </c>
      <c r="BJ24" s="112">
        <f t="shared" ca="1" si="26"/>
        <v>0</v>
      </c>
      <c r="BK24" s="112">
        <f t="shared" ca="1" si="26"/>
        <v>0</v>
      </c>
      <c r="BL24" s="112">
        <f t="shared" ca="1" si="26"/>
        <v>0</v>
      </c>
      <c r="BM24" s="112">
        <f t="shared" ca="1" si="26"/>
        <v>0</v>
      </c>
      <c r="BN24" s="112">
        <f t="shared" ca="1" si="26"/>
        <v>0</v>
      </c>
      <c r="BO24" s="112">
        <f t="shared" ca="1" si="26"/>
        <v>0</v>
      </c>
      <c r="BQ24" s="449">
        <f t="shared" si="8"/>
        <v>14</v>
      </c>
      <c r="BR24" s="450">
        <f t="shared" si="9"/>
        <v>14</v>
      </c>
      <c r="BS24" s="335"/>
      <c r="BT24" s="335"/>
      <c r="BU24" s="335"/>
      <c r="BV24" s="335"/>
      <c r="BW24" s="335"/>
      <c r="BX24" s="452">
        <f t="shared" si="10"/>
        <v>2</v>
      </c>
    </row>
    <row r="25" spans="1:76" ht="17" thickTop="1" thickBot="1">
      <c r="A25" s="126">
        <f t="shared" ca="1" si="19"/>
        <v>49</v>
      </c>
      <c r="B25" s="121" t="str">
        <f t="shared" ca="1" si="11"/>
        <v>160603</v>
      </c>
      <c r="C25" s="121">
        <f t="shared" ca="1" si="16"/>
        <v>16</v>
      </c>
      <c r="D25" s="121">
        <f t="shared" ca="1" si="12"/>
        <v>7</v>
      </c>
      <c r="E25" s="121">
        <f t="shared" ca="1" si="17"/>
        <v>5</v>
      </c>
      <c r="F25" s="121" t="str">
        <f t="shared" ca="1" si="13"/>
        <v>s</v>
      </c>
      <c r="G25" s="121" t="str">
        <f t="shared" ca="1" si="14"/>
        <v/>
      </c>
      <c r="H25" s="159">
        <f t="shared" ca="1" si="18"/>
        <v>49</v>
      </c>
      <c r="Y25" s="238">
        <f t="shared" si="7"/>
        <v>2</v>
      </c>
      <c r="Z25" s="16">
        <f t="shared" si="15"/>
        <v>15</v>
      </c>
      <c r="AB25" s="112" t="str">
        <f t="shared" ca="1" si="23"/>
        <v>-</v>
      </c>
      <c r="AC25" s="112">
        <f t="shared" ca="1" si="23"/>
        <v>-5</v>
      </c>
      <c r="AD25" s="112">
        <f t="shared" ca="1" si="23"/>
        <v>2</v>
      </c>
      <c r="AE25" s="112" t="str">
        <f t="shared" ca="1" si="23"/>
        <v>-</v>
      </c>
      <c r="AF25" s="112" t="str">
        <f t="shared" ca="1" si="23"/>
        <v>-</v>
      </c>
      <c r="AG25" s="112">
        <f t="shared" ca="1" si="23"/>
        <v>-1</v>
      </c>
      <c r="AH25" s="112">
        <f t="shared" ca="1" si="23"/>
        <v>3</v>
      </c>
      <c r="AI25" s="112" t="str">
        <f t="shared" ca="1" si="23"/>
        <v>-</v>
      </c>
      <c r="AJ25" s="112" t="str">
        <f t="shared" ca="1" si="23"/>
        <v>-</v>
      </c>
      <c r="AK25" s="112">
        <f t="shared" ca="1" si="23"/>
        <v>-4</v>
      </c>
      <c r="AL25" s="112">
        <f t="shared" ca="1" si="24"/>
        <v>6</v>
      </c>
      <c r="AM25" s="112" t="str">
        <f t="shared" ca="1" si="24"/>
        <v>-</v>
      </c>
      <c r="AN25" s="112" t="str">
        <f t="shared" ca="1" si="24"/>
        <v>-</v>
      </c>
      <c r="AO25" s="112">
        <f t="shared" ca="1" si="24"/>
        <v>5</v>
      </c>
      <c r="AP25" s="112">
        <f t="shared" ca="1" si="24"/>
        <v>0</v>
      </c>
      <c r="AQ25" s="112">
        <f t="shared" ca="1" si="24"/>
        <v>0</v>
      </c>
      <c r="AR25" s="112">
        <f t="shared" ca="1" si="24"/>
        <v>0</v>
      </c>
      <c r="AS25" s="112">
        <f t="shared" ca="1" si="24"/>
        <v>0</v>
      </c>
      <c r="AT25" s="112">
        <f t="shared" ca="1" si="24"/>
        <v>0</v>
      </c>
      <c r="AU25" s="112">
        <f t="shared" ca="1" si="24"/>
        <v>0</v>
      </c>
      <c r="AV25" s="112">
        <f t="shared" ca="1" si="25"/>
        <v>0</v>
      </c>
      <c r="AW25" s="112">
        <f t="shared" ca="1" si="25"/>
        <v>0</v>
      </c>
      <c r="AX25" s="112">
        <f t="shared" ca="1" si="25"/>
        <v>0</v>
      </c>
      <c r="AY25" s="112">
        <f t="shared" ca="1" si="25"/>
        <v>0</v>
      </c>
      <c r="AZ25" s="112">
        <f t="shared" ca="1" si="25"/>
        <v>0</v>
      </c>
      <c r="BA25" s="112">
        <f t="shared" ca="1" si="25"/>
        <v>0</v>
      </c>
      <c r="BB25" s="112">
        <f t="shared" ca="1" si="25"/>
        <v>0</v>
      </c>
      <c r="BC25" s="112">
        <f t="shared" ca="1" si="25"/>
        <v>0</v>
      </c>
      <c r="BD25" s="112">
        <f t="shared" ca="1" si="25"/>
        <v>0</v>
      </c>
      <c r="BE25" s="112">
        <f t="shared" ca="1" si="25"/>
        <v>0</v>
      </c>
      <c r="BF25" s="112">
        <f t="shared" ca="1" si="26"/>
        <v>0</v>
      </c>
      <c r="BG25" s="112">
        <f t="shared" ca="1" si="26"/>
        <v>0</v>
      </c>
      <c r="BH25" s="112">
        <f t="shared" ca="1" si="26"/>
        <v>0</v>
      </c>
      <c r="BI25" s="112">
        <f t="shared" ca="1" si="26"/>
        <v>0</v>
      </c>
      <c r="BJ25" s="112">
        <f t="shared" ca="1" si="26"/>
        <v>0</v>
      </c>
      <c r="BK25" s="112">
        <f t="shared" ca="1" si="26"/>
        <v>0</v>
      </c>
      <c r="BL25" s="112">
        <f t="shared" ca="1" si="26"/>
        <v>0</v>
      </c>
      <c r="BM25" s="112">
        <f t="shared" ca="1" si="26"/>
        <v>0</v>
      </c>
      <c r="BN25" s="112">
        <f t="shared" ca="1" si="26"/>
        <v>0</v>
      </c>
      <c r="BO25" s="112">
        <f t="shared" ca="1" si="26"/>
        <v>0</v>
      </c>
      <c r="BQ25" s="449">
        <f t="shared" si="8"/>
        <v>15</v>
      </c>
      <c r="BR25" s="450">
        <f t="shared" si="9"/>
        <v>15</v>
      </c>
      <c r="BS25" s="335"/>
      <c r="BT25" s="335"/>
      <c r="BU25" s="335"/>
      <c r="BV25" s="335"/>
      <c r="BW25" s="335"/>
      <c r="BX25" s="452">
        <f t="shared" si="10"/>
        <v>2</v>
      </c>
    </row>
    <row r="26" spans="1:76" ht="16" thickBot="1">
      <c r="A26" s="126">
        <f t="shared" ca="1" si="19"/>
        <v>48</v>
      </c>
      <c r="B26" s="121" t="str">
        <f t="shared" ca="1" si="11"/>
        <v>160603</v>
      </c>
      <c r="C26" s="121">
        <f t="shared" ca="1" si="16"/>
        <v>16</v>
      </c>
      <c r="D26" s="121">
        <f t="shared" ca="1" si="12"/>
        <v>10</v>
      </c>
      <c r="E26" s="121">
        <f t="shared" ca="1" si="17"/>
        <v>5</v>
      </c>
      <c r="F26" s="121" t="str">
        <f t="shared" ca="1" si="13"/>
        <v>e</v>
      </c>
      <c r="G26" s="121" t="str">
        <f t="shared" ca="1" si="14"/>
        <v/>
      </c>
      <c r="H26" s="159">
        <f t="shared" ca="1" si="18"/>
        <v>48</v>
      </c>
      <c r="P26" s="265"/>
      <c r="Q26" s="265"/>
      <c r="R26" s="265" t="str">
        <f>IF(R27&gt;0,R13,"")</f>
        <v/>
      </c>
      <c r="S26" s="265" t="str">
        <f>IF(S27&gt;0,S13,"")</f>
        <v/>
      </c>
      <c r="T26" s="265">
        <f>IF(T27&gt;0,T13,"")</f>
        <v>5</v>
      </c>
      <c r="U26" s="265" t="str">
        <f>IF(U27&gt;0,U13,"")</f>
        <v/>
      </c>
      <c r="Y26" s="238">
        <f t="shared" si="7"/>
        <v>2</v>
      </c>
      <c r="Z26" s="16">
        <f t="shared" si="15"/>
        <v>16</v>
      </c>
      <c r="AB26" s="112" t="str">
        <f t="shared" ca="1" si="23"/>
        <v>-</v>
      </c>
      <c r="AC26" s="112">
        <f t="shared" ca="1" si="23"/>
        <v>-2</v>
      </c>
      <c r="AD26" s="112">
        <f t="shared" ca="1" si="23"/>
        <v>4</v>
      </c>
      <c r="AE26" s="112" t="str">
        <f t="shared" ca="1" si="23"/>
        <v>-</v>
      </c>
      <c r="AF26" s="112" t="str">
        <f t="shared" ca="1" si="23"/>
        <v>-</v>
      </c>
      <c r="AG26" s="112">
        <f t="shared" ca="1" si="23"/>
        <v>-6</v>
      </c>
      <c r="AH26" s="112">
        <f t="shared" ca="1" si="23"/>
        <v>2</v>
      </c>
      <c r="AI26" s="112" t="str">
        <f t="shared" ca="1" si="23"/>
        <v>-</v>
      </c>
      <c r="AJ26" s="112" t="str">
        <f t="shared" ca="1" si="23"/>
        <v>-</v>
      </c>
      <c r="AK26" s="112">
        <f t="shared" ca="1" si="23"/>
        <v>-3</v>
      </c>
      <c r="AL26" s="112">
        <f t="shared" ca="1" si="24"/>
        <v>1</v>
      </c>
      <c r="AM26" s="112" t="str">
        <f t="shared" ca="1" si="24"/>
        <v>-</v>
      </c>
      <c r="AN26" s="112" t="str">
        <f t="shared" ca="1" si="24"/>
        <v>-</v>
      </c>
      <c r="AO26" s="112">
        <f t="shared" ca="1" si="24"/>
        <v>-5</v>
      </c>
      <c r="AP26" s="112">
        <f t="shared" ca="1" si="24"/>
        <v>0</v>
      </c>
      <c r="AQ26" s="112">
        <f t="shared" ca="1" si="24"/>
        <v>0</v>
      </c>
      <c r="AR26" s="112">
        <f t="shared" ca="1" si="24"/>
        <v>0</v>
      </c>
      <c r="AS26" s="112">
        <f t="shared" ca="1" si="24"/>
        <v>0</v>
      </c>
      <c r="AT26" s="112">
        <f t="shared" ca="1" si="24"/>
        <v>0</v>
      </c>
      <c r="AU26" s="112">
        <f t="shared" ca="1" si="24"/>
        <v>0</v>
      </c>
      <c r="AV26" s="112">
        <f t="shared" ca="1" si="25"/>
        <v>0</v>
      </c>
      <c r="AW26" s="112">
        <f t="shared" ca="1" si="25"/>
        <v>0</v>
      </c>
      <c r="AX26" s="112">
        <f t="shared" ca="1" si="25"/>
        <v>0</v>
      </c>
      <c r="AY26" s="112">
        <f t="shared" ca="1" si="25"/>
        <v>0</v>
      </c>
      <c r="AZ26" s="112">
        <f t="shared" ca="1" si="25"/>
        <v>0</v>
      </c>
      <c r="BA26" s="112">
        <f t="shared" ca="1" si="25"/>
        <v>0</v>
      </c>
      <c r="BB26" s="112">
        <f t="shared" ca="1" si="25"/>
        <v>0</v>
      </c>
      <c r="BC26" s="112">
        <f t="shared" ca="1" si="25"/>
        <v>0</v>
      </c>
      <c r="BD26" s="112">
        <f t="shared" ca="1" si="25"/>
        <v>0</v>
      </c>
      <c r="BE26" s="112">
        <f t="shared" ca="1" si="25"/>
        <v>0</v>
      </c>
      <c r="BF26" s="112">
        <f t="shared" ca="1" si="26"/>
        <v>0</v>
      </c>
      <c r="BG26" s="112">
        <f t="shared" ca="1" si="26"/>
        <v>0</v>
      </c>
      <c r="BH26" s="112">
        <f t="shared" ca="1" si="26"/>
        <v>0</v>
      </c>
      <c r="BI26" s="112">
        <f t="shared" ca="1" si="26"/>
        <v>0</v>
      </c>
      <c r="BJ26" s="112">
        <f t="shared" ca="1" si="26"/>
        <v>0</v>
      </c>
      <c r="BK26" s="112">
        <f t="shared" ca="1" si="26"/>
        <v>0</v>
      </c>
      <c r="BL26" s="112">
        <f t="shared" ca="1" si="26"/>
        <v>0</v>
      </c>
      <c r="BM26" s="112">
        <f t="shared" ca="1" si="26"/>
        <v>0</v>
      </c>
      <c r="BN26" s="112">
        <f t="shared" ca="1" si="26"/>
        <v>0</v>
      </c>
      <c r="BO26" s="112">
        <f t="shared" ca="1" si="26"/>
        <v>0</v>
      </c>
      <c r="BQ26" s="449">
        <f t="shared" si="8"/>
        <v>16</v>
      </c>
      <c r="BR26" s="450">
        <f t="shared" si="9"/>
        <v>16</v>
      </c>
      <c r="BS26" s="335"/>
      <c r="BT26" s="335"/>
      <c r="BU26" s="335"/>
      <c r="BV26" s="335"/>
      <c r="BW26" s="335"/>
      <c r="BX26" s="452">
        <f t="shared" si="10"/>
        <v>2</v>
      </c>
    </row>
    <row r="27" spans="1:76" ht="15">
      <c r="A27" s="126">
        <f t="shared" ca="1" si="19"/>
        <v>47</v>
      </c>
      <c r="B27" s="121" t="str">
        <f t="shared" ca="1" si="11"/>
        <v>160604</v>
      </c>
      <c r="C27" s="121">
        <f t="shared" ca="1" si="16"/>
        <v>16</v>
      </c>
      <c r="D27" s="121">
        <f t="shared" ca="1" si="12"/>
        <v>4</v>
      </c>
      <c r="E27" s="121">
        <f t="shared" ca="1" si="17"/>
        <v>3</v>
      </c>
      <c r="F27" s="121" t="str">
        <f t="shared" ca="1" si="13"/>
        <v>s</v>
      </c>
      <c r="G27" s="121" t="str">
        <f t="shared" ca="1" si="14"/>
        <v/>
      </c>
      <c r="H27" s="159">
        <f t="shared" ca="1" si="18"/>
        <v>47</v>
      </c>
      <c r="N27" s="140" t="str">
        <f>IF(SUM(P27:U27)&gt;0,"equalized:","")</f>
        <v>equalized:</v>
      </c>
      <c r="O27" s="141"/>
      <c r="P27" s="121"/>
      <c r="Q27" s="121"/>
      <c r="R27" s="121">
        <f>IF(AND(ISODD(R14),R36=2),R14+1,0)</f>
        <v>0</v>
      </c>
      <c r="S27" s="121">
        <f>IF(AND(ISODD(S14),ISEVEN(S17),OR(S36=2,S36=4)),S14+1,0)</f>
        <v>0</v>
      </c>
      <c r="T27" s="121">
        <f>IF(AND(ISODD(T14),OR(T36=2,T36=4)),T14+1,0)</f>
        <v>6</v>
      </c>
      <c r="U27" s="121">
        <f>IF(AND(ISODD(U14),ISEVEN(U19),OR(U36=2,U36=4)),U14+1,0)</f>
        <v>0</v>
      </c>
      <c r="Y27" s="238">
        <f t="shared" si="7"/>
        <v>3</v>
      </c>
      <c r="Z27" s="16">
        <f t="shared" si="15"/>
        <v>17</v>
      </c>
      <c r="AB27" s="112" t="str">
        <f t="shared" ca="1" si="23"/>
        <v>-</v>
      </c>
      <c r="AC27" s="112">
        <f t="shared" ca="1" si="23"/>
        <v>-6</v>
      </c>
      <c r="AD27" s="112" t="str">
        <f t="shared" ca="1" si="23"/>
        <v>-</v>
      </c>
      <c r="AE27" s="112">
        <f t="shared" ca="1" si="23"/>
        <v>3</v>
      </c>
      <c r="AF27" s="112">
        <f t="shared" ca="1" si="23"/>
        <v>-5</v>
      </c>
      <c r="AG27" s="112" t="str">
        <f t="shared" ca="1" si="23"/>
        <v>-</v>
      </c>
      <c r="AH27" s="112">
        <f t="shared" ca="1" si="23"/>
        <v>6</v>
      </c>
      <c r="AI27" s="112" t="str">
        <f t="shared" ca="1" si="23"/>
        <v>-</v>
      </c>
      <c r="AJ27" s="112">
        <f t="shared" ca="1" si="23"/>
        <v>-2</v>
      </c>
      <c r="AK27" s="112" t="str">
        <f t="shared" ca="1" si="23"/>
        <v>-</v>
      </c>
      <c r="AL27" s="112" t="str">
        <f t="shared" ca="1" si="24"/>
        <v>-</v>
      </c>
      <c r="AM27" s="112">
        <f t="shared" ca="1" si="24"/>
        <v>4</v>
      </c>
      <c r="AN27" s="112">
        <f t="shared" ca="1" si="24"/>
        <v>-1</v>
      </c>
      <c r="AO27" s="112" t="str">
        <f t="shared" ca="1" si="24"/>
        <v>-</v>
      </c>
      <c r="AP27" s="112">
        <f t="shared" ca="1" si="24"/>
        <v>0</v>
      </c>
      <c r="AQ27" s="112">
        <f t="shared" ca="1" si="24"/>
        <v>0</v>
      </c>
      <c r="AR27" s="112">
        <f t="shared" ca="1" si="24"/>
        <v>0</v>
      </c>
      <c r="AS27" s="112">
        <f t="shared" ca="1" si="24"/>
        <v>0</v>
      </c>
      <c r="AT27" s="112">
        <f t="shared" ca="1" si="24"/>
        <v>0</v>
      </c>
      <c r="AU27" s="112">
        <f t="shared" ca="1" si="24"/>
        <v>0</v>
      </c>
      <c r="AV27" s="112">
        <f t="shared" ca="1" si="25"/>
        <v>0</v>
      </c>
      <c r="AW27" s="112">
        <f t="shared" ca="1" si="25"/>
        <v>0</v>
      </c>
      <c r="AX27" s="112">
        <f t="shared" ca="1" si="25"/>
        <v>0</v>
      </c>
      <c r="AY27" s="112">
        <f t="shared" ca="1" si="25"/>
        <v>0</v>
      </c>
      <c r="AZ27" s="112">
        <f t="shared" ca="1" si="25"/>
        <v>0</v>
      </c>
      <c r="BA27" s="112">
        <f t="shared" ca="1" si="25"/>
        <v>0</v>
      </c>
      <c r="BB27" s="112">
        <f t="shared" ca="1" si="25"/>
        <v>0</v>
      </c>
      <c r="BC27" s="112">
        <f t="shared" ca="1" si="25"/>
        <v>0</v>
      </c>
      <c r="BD27" s="112">
        <f t="shared" ca="1" si="25"/>
        <v>0</v>
      </c>
      <c r="BE27" s="112">
        <f t="shared" ca="1" si="25"/>
        <v>0</v>
      </c>
      <c r="BF27" s="112">
        <f t="shared" ca="1" si="26"/>
        <v>0</v>
      </c>
      <c r="BG27" s="112">
        <f t="shared" ca="1" si="26"/>
        <v>0</v>
      </c>
      <c r="BH27" s="112">
        <f t="shared" ca="1" si="26"/>
        <v>0</v>
      </c>
      <c r="BI27" s="112">
        <f t="shared" ca="1" si="26"/>
        <v>0</v>
      </c>
      <c r="BJ27" s="112">
        <f t="shared" ca="1" si="26"/>
        <v>0</v>
      </c>
      <c r="BK27" s="112">
        <f t="shared" ca="1" si="26"/>
        <v>0</v>
      </c>
      <c r="BL27" s="112">
        <f t="shared" ca="1" si="26"/>
        <v>0</v>
      </c>
      <c r="BM27" s="112">
        <f t="shared" ca="1" si="26"/>
        <v>0</v>
      </c>
      <c r="BN27" s="112">
        <f t="shared" ca="1" si="26"/>
        <v>0</v>
      </c>
      <c r="BO27" s="112">
        <f t="shared" ca="1" si="26"/>
        <v>0</v>
      </c>
      <c r="BQ27" s="449">
        <f t="shared" si="8"/>
        <v>17</v>
      </c>
      <c r="BR27" s="450">
        <f t="shared" si="9"/>
        <v>17</v>
      </c>
      <c r="BS27" s="335"/>
      <c r="BT27" s="335"/>
      <c r="BU27" s="335"/>
      <c r="BV27" s="335"/>
      <c r="BW27" s="335"/>
      <c r="BX27" s="452">
        <f t="shared" si="10"/>
        <v>3</v>
      </c>
    </row>
    <row r="28" spans="1:76" ht="15">
      <c r="A28" s="126">
        <f t="shared" ca="1" si="19"/>
        <v>46</v>
      </c>
      <c r="B28" s="121" t="str">
        <f t="shared" ca="1" si="11"/>
        <v>170603</v>
      </c>
      <c r="C28" s="121">
        <f t="shared" ca="1" si="16"/>
        <v>17</v>
      </c>
      <c r="D28" s="121">
        <f t="shared" ca="1" si="12"/>
        <v>10</v>
      </c>
      <c r="E28" s="121">
        <f t="shared" ca="1" si="17"/>
        <v>5</v>
      </c>
      <c r="F28" s="121" t="str">
        <f t="shared" ca="1" si="13"/>
        <v>e</v>
      </c>
      <c r="G28" s="121" t="str">
        <f t="shared" ca="1" si="14"/>
        <v>w</v>
      </c>
      <c r="H28" s="159">
        <f t="shared" ca="1" si="18"/>
        <v>46</v>
      </c>
      <c r="P28" s="102"/>
      <c r="Q28" s="121"/>
      <c r="R28" s="121">
        <f>IF(AND(ISODD(R14),R36=2),R15-1,0)</f>
        <v>0</v>
      </c>
      <c r="S28" s="121">
        <f>IF(AND(ISODD(S15),ISEVEN(S17),S36&gt;0),IF(S36=4,S15+1,S15-1),0)</f>
        <v>0</v>
      </c>
      <c r="T28" s="121">
        <f>IF(AND(ISODD(T15),T36&gt;0),IF(T36=4,T15+1,T15-1),0)</f>
        <v>6</v>
      </c>
      <c r="U28" s="121">
        <f>IF(AND(ISODD(U15),ISEVEN(U19),U36&gt;0),IF(U36=4,U15+1,U15-1),0)</f>
        <v>0</v>
      </c>
      <c r="Y28" s="238">
        <f t="shared" si="7"/>
        <v>3</v>
      </c>
      <c r="Z28" s="16">
        <f t="shared" si="15"/>
        <v>18</v>
      </c>
      <c r="AB28" s="112">
        <f t="shared" ca="1" si="23"/>
        <v>6</v>
      </c>
      <c r="AC28" s="112" t="str">
        <f t="shared" ca="1" si="23"/>
        <v>-</v>
      </c>
      <c r="AD28" s="112" t="str">
        <f t="shared" ca="1" si="23"/>
        <v>-</v>
      </c>
      <c r="AE28" s="112">
        <f t="shared" ca="1" si="23"/>
        <v>2</v>
      </c>
      <c r="AF28" s="112">
        <f t="shared" ca="1" si="23"/>
        <v>-4</v>
      </c>
      <c r="AG28" s="112" t="str">
        <f t="shared" ca="1" si="23"/>
        <v>-</v>
      </c>
      <c r="AH28" s="112" t="str">
        <f t="shared" ca="1" si="23"/>
        <v>-</v>
      </c>
      <c r="AI28" s="112">
        <f t="shared" ca="1" si="23"/>
        <v>-6</v>
      </c>
      <c r="AJ28" s="112">
        <f t="shared" ca="1" si="23"/>
        <v>5</v>
      </c>
      <c r="AK28" s="112" t="str">
        <f t="shared" ca="1" si="23"/>
        <v>-</v>
      </c>
      <c r="AL28" s="112" t="str">
        <f t="shared" ca="1" si="24"/>
        <v>-</v>
      </c>
      <c r="AM28" s="112">
        <f t="shared" ca="1" si="24"/>
        <v>-3</v>
      </c>
      <c r="AN28" s="112">
        <f t="shared" ca="1" si="24"/>
        <v>1</v>
      </c>
      <c r="AO28" s="112" t="str">
        <f t="shared" ca="1" si="24"/>
        <v>-</v>
      </c>
      <c r="AP28" s="112">
        <f t="shared" ca="1" si="24"/>
        <v>0</v>
      </c>
      <c r="AQ28" s="112">
        <f t="shared" ca="1" si="24"/>
        <v>0</v>
      </c>
      <c r="AR28" s="112">
        <f t="shared" ca="1" si="24"/>
        <v>0</v>
      </c>
      <c r="AS28" s="112">
        <f t="shared" ca="1" si="24"/>
        <v>0</v>
      </c>
      <c r="AT28" s="112">
        <f t="shared" ca="1" si="24"/>
        <v>0</v>
      </c>
      <c r="AU28" s="112">
        <f t="shared" ca="1" si="24"/>
        <v>0</v>
      </c>
      <c r="AV28" s="112">
        <f t="shared" ca="1" si="25"/>
        <v>0</v>
      </c>
      <c r="AW28" s="112">
        <f t="shared" ca="1" si="25"/>
        <v>0</v>
      </c>
      <c r="AX28" s="112">
        <f t="shared" ca="1" si="25"/>
        <v>0</v>
      </c>
      <c r="AY28" s="112">
        <f t="shared" ca="1" si="25"/>
        <v>0</v>
      </c>
      <c r="AZ28" s="112">
        <f t="shared" ca="1" si="25"/>
        <v>0</v>
      </c>
      <c r="BA28" s="112">
        <f t="shared" ca="1" si="25"/>
        <v>0</v>
      </c>
      <c r="BB28" s="112">
        <f t="shared" ca="1" si="25"/>
        <v>0</v>
      </c>
      <c r="BC28" s="112">
        <f t="shared" ca="1" si="25"/>
        <v>0</v>
      </c>
      <c r="BD28" s="112">
        <f t="shared" ca="1" si="25"/>
        <v>0</v>
      </c>
      <c r="BE28" s="112">
        <f t="shared" ca="1" si="25"/>
        <v>0</v>
      </c>
      <c r="BF28" s="112">
        <f t="shared" ca="1" si="26"/>
        <v>0</v>
      </c>
      <c r="BG28" s="112">
        <f t="shared" ca="1" si="26"/>
        <v>0</v>
      </c>
      <c r="BH28" s="112">
        <f t="shared" ca="1" si="26"/>
        <v>0</v>
      </c>
      <c r="BI28" s="112">
        <f t="shared" ca="1" si="26"/>
        <v>0</v>
      </c>
      <c r="BJ28" s="112">
        <f t="shared" ca="1" si="26"/>
        <v>0</v>
      </c>
      <c r="BK28" s="112">
        <f t="shared" ca="1" si="26"/>
        <v>0</v>
      </c>
      <c r="BL28" s="112">
        <f t="shared" ca="1" si="26"/>
        <v>0</v>
      </c>
      <c r="BM28" s="112">
        <f t="shared" ca="1" si="26"/>
        <v>0</v>
      </c>
      <c r="BN28" s="112">
        <f t="shared" ca="1" si="26"/>
        <v>0</v>
      </c>
      <c r="BO28" s="112">
        <f t="shared" ca="1" si="26"/>
        <v>0</v>
      </c>
      <c r="BQ28" s="449">
        <f t="shared" si="8"/>
        <v>18</v>
      </c>
      <c r="BR28" s="450">
        <f t="shared" si="9"/>
        <v>18</v>
      </c>
      <c r="BS28" s="335"/>
      <c r="BT28" s="335"/>
      <c r="BU28" s="335"/>
      <c r="BV28" s="335"/>
      <c r="BW28" s="335"/>
      <c r="BX28" s="452">
        <f t="shared" si="10"/>
        <v>3</v>
      </c>
    </row>
    <row r="29" spans="1:76" ht="15">
      <c r="A29" s="126">
        <f t="shared" ca="1" si="19"/>
        <v>45</v>
      </c>
      <c r="B29" s="121" t="str">
        <f t="shared" ca="1" si="11"/>
        <v>180603</v>
      </c>
      <c r="C29" s="121">
        <f t="shared" ca="1" si="16"/>
        <v>18</v>
      </c>
      <c r="D29" s="121">
        <f t="shared" ca="1" si="12"/>
        <v>10</v>
      </c>
      <c r="E29" s="121">
        <f t="shared" ca="1" si="17"/>
        <v>5</v>
      </c>
      <c r="F29" s="121" t="str">
        <f t="shared" ca="1" si="13"/>
        <v>e</v>
      </c>
      <c r="G29" s="121" t="str">
        <f t="shared" ca="1" si="14"/>
        <v/>
      </c>
      <c r="H29" s="159">
        <f t="shared" ca="1" si="18"/>
        <v>45</v>
      </c>
      <c r="P29" s="102"/>
      <c r="Q29" s="102"/>
      <c r="R29" s="121">
        <f>IF(AND(ISODD(R14),R36=2),R16,0)</f>
        <v>0</v>
      </c>
      <c r="S29" s="121">
        <f>IF(AND(ISODD(S14),ISEVEN(S17),S36&gt;0),S16,0)</f>
        <v>0</v>
      </c>
      <c r="T29" s="121">
        <f>IF(AND(ISODD(T14),T36&gt;0),T18,0)</f>
        <v>4</v>
      </c>
      <c r="U29" s="121">
        <f>IF(AND(ISODD(U14),ISEVEN(U19),U36&gt;0),U18,0)</f>
        <v>0</v>
      </c>
      <c r="Y29" s="238">
        <f t="shared" si="7"/>
        <v>3</v>
      </c>
      <c r="Z29" s="16">
        <f t="shared" si="15"/>
        <v>19</v>
      </c>
      <c r="AB29" s="112">
        <f t="shared" ca="1" si="23"/>
        <v>-1</v>
      </c>
      <c r="AC29" s="112" t="str">
        <f t="shared" ca="1" si="23"/>
        <v>-</v>
      </c>
      <c r="AD29" s="112">
        <f t="shared" ca="1" si="23"/>
        <v>3</v>
      </c>
      <c r="AE29" s="112" t="str">
        <f t="shared" ca="1" si="23"/>
        <v>-</v>
      </c>
      <c r="AF29" s="112" t="str">
        <f t="shared" ca="1" si="23"/>
        <v>-</v>
      </c>
      <c r="AG29" s="112">
        <f t="shared" ca="1" si="23"/>
        <v>-2</v>
      </c>
      <c r="AH29" s="112" t="str">
        <f t="shared" ca="1" si="23"/>
        <v>-</v>
      </c>
      <c r="AI29" s="112">
        <f t="shared" ca="1" si="23"/>
        <v>1</v>
      </c>
      <c r="AJ29" s="112">
        <f t="shared" ca="1" si="23"/>
        <v>-5</v>
      </c>
      <c r="AK29" s="112" t="str">
        <f t="shared" ca="1" si="23"/>
        <v>-</v>
      </c>
      <c r="AL29" s="112" t="str">
        <f t="shared" ca="1" si="24"/>
        <v>-</v>
      </c>
      <c r="AM29" s="112">
        <f t="shared" ca="1" si="24"/>
        <v>-4</v>
      </c>
      <c r="AN29" s="112">
        <f t="shared" ca="1" si="24"/>
        <v>6</v>
      </c>
      <c r="AO29" s="112" t="str">
        <f t="shared" ca="1" si="24"/>
        <v>-</v>
      </c>
      <c r="AP29" s="112">
        <f t="shared" ca="1" si="24"/>
        <v>0</v>
      </c>
      <c r="AQ29" s="112">
        <f t="shared" ca="1" si="24"/>
        <v>0</v>
      </c>
      <c r="AR29" s="112">
        <f t="shared" ca="1" si="24"/>
        <v>0</v>
      </c>
      <c r="AS29" s="112">
        <f t="shared" ca="1" si="24"/>
        <v>0</v>
      </c>
      <c r="AT29" s="112">
        <f t="shared" ca="1" si="24"/>
        <v>0</v>
      </c>
      <c r="AU29" s="112">
        <f t="shared" ca="1" si="24"/>
        <v>0</v>
      </c>
      <c r="AV29" s="112">
        <f t="shared" ca="1" si="25"/>
        <v>0</v>
      </c>
      <c r="AW29" s="112">
        <f t="shared" ca="1" si="25"/>
        <v>0</v>
      </c>
      <c r="AX29" s="112">
        <f t="shared" ca="1" si="25"/>
        <v>0</v>
      </c>
      <c r="AY29" s="112">
        <f t="shared" ca="1" si="25"/>
        <v>0</v>
      </c>
      <c r="AZ29" s="112">
        <f t="shared" ca="1" si="25"/>
        <v>0</v>
      </c>
      <c r="BA29" s="112">
        <f t="shared" ca="1" si="25"/>
        <v>0</v>
      </c>
      <c r="BB29" s="112">
        <f t="shared" ca="1" si="25"/>
        <v>0</v>
      </c>
      <c r="BC29" s="112">
        <f t="shared" ca="1" si="25"/>
        <v>0</v>
      </c>
      <c r="BD29" s="112">
        <f t="shared" ca="1" si="25"/>
        <v>0</v>
      </c>
      <c r="BE29" s="112">
        <f t="shared" ca="1" si="25"/>
        <v>0</v>
      </c>
      <c r="BF29" s="112">
        <f t="shared" ca="1" si="26"/>
        <v>0</v>
      </c>
      <c r="BG29" s="112">
        <f t="shared" ca="1" si="26"/>
        <v>0</v>
      </c>
      <c r="BH29" s="112">
        <f t="shared" ca="1" si="26"/>
        <v>0</v>
      </c>
      <c r="BI29" s="112">
        <f t="shared" ca="1" si="26"/>
        <v>0</v>
      </c>
      <c r="BJ29" s="112">
        <f t="shared" ca="1" si="26"/>
        <v>0</v>
      </c>
      <c r="BK29" s="112">
        <f t="shared" ca="1" si="26"/>
        <v>0</v>
      </c>
      <c r="BL29" s="112">
        <f t="shared" ca="1" si="26"/>
        <v>0</v>
      </c>
      <c r="BM29" s="112">
        <f t="shared" ca="1" si="26"/>
        <v>0</v>
      </c>
      <c r="BN29" s="112">
        <f t="shared" ca="1" si="26"/>
        <v>0</v>
      </c>
      <c r="BO29" s="112">
        <f t="shared" ca="1" si="26"/>
        <v>0</v>
      </c>
      <c r="BQ29" s="449">
        <f t="shared" si="8"/>
        <v>19</v>
      </c>
      <c r="BR29" s="450">
        <f t="shared" si="9"/>
        <v>19</v>
      </c>
      <c r="BS29" s="335"/>
      <c r="BT29" s="335"/>
      <c r="BU29" s="335"/>
      <c r="BV29" s="335"/>
      <c r="BW29" s="335"/>
      <c r="BX29" s="452">
        <f t="shared" si="10"/>
        <v>3</v>
      </c>
    </row>
    <row r="30" spans="1:76" ht="15">
      <c r="A30" s="126">
        <f t="shared" ca="1" si="19"/>
        <v>44</v>
      </c>
      <c r="B30" s="121" t="str">
        <f t="shared" ca="1" si="11"/>
        <v>190604</v>
      </c>
      <c r="C30" s="121">
        <f t="shared" ca="1" si="16"/>
        <v>19</v>
      </c>
      <c r="D30" s="121">
        <f t="shared" ca="1" si="12"/>
        <v>10</v>
      </c>
      <c r="E30" s="121">
        <f t="shared" ca="1" si="17"/>
        <v>6</v>
      </c>
      <c r="F30" s="121" t="str">
        <f t="shared" ca="1" si="13"/>
        <v>e</v>
      </c>
      <c r="G30" s="121" t="str">
        <f t="shared" ca="1" si="14"/>
        <v>w</v>
      </c>
      <c r="H30" s="159">
        <f t="shared" ca="1" si="18"/>
        <v>44</v>
      </c>
      <c r="P30" s="102"/>
      <c r="Q30" s="102"/>
      <c r="R30" s="102"/>
      <c r="S30" s="121">
        <f>IF(AND(ISODD(S14),ISEVEN(S17),S36&gt;0),S17,0)</f>
        <v>0</v>
      </c>
      <c r="T30" s="121">
        <f>IF(AND(ISODD(T14),T36&gt;0),T18,0)</f>
        <v>4</v>
      </c>
      <c r="U30" s="121">
        <f>IF(AND(ISODD(U14),ISEVEN(U19),U36&gt;0),U18,0)</f>
        <v>0</v>
      </c>
      <c r="Y30" s="238">
        <f t="shared" si="7"/>
        <v>3</v>
      </c>
      <c r="Z30" s="16">
        <f t="shared" si="15"/>
        <v>20</v>
      </c>
      <c r="AB30" s="112" t="str">
        <f t="shared" ca="1" si="23"/>
        <v>-</v>
      </c>
      <c r="AC30" s="112">
        <f t="shared" ca="1" si="23"/>
        <v>1</v>
      </c>
      <c r="AD30" s="112">
        <f t="shared" ca="1" si="23"/>
        <v>5</v>
      </c>
      <c r="AE30" s="112" t="str">
        <f t="shared" ca="1" si="23"/>
        <v>-</v>
      </c>
      <c r="AF30" s="112" t="str">
        <f t="shared" ca="1" si="23"/>
        <v>-</v>
      </c>
      <c r="AG30" s="112">
        <f t="shared" ca="1" si="23"/>
        <v>-4</v>
      </c>
      <c r="AH30" s="112">
        <f t="shared" ca="1" si="23"/>
        <v>-1</v>
      </c>
      <c r="AI30" s="112" t="str">
        <f t="shared" ca="1" si="23"/>
        <v>-</v>
      </c>
      <c r="AJ30" s="112">
        <f t="shared" ca="1" si="23"/>
        <v>2</v>
      </c>
      <c r="AK30" s="112" t="str">
        <f t="shared" ca="1" si="23"/>
        <v>-</v>
      </c>
      <c r="AL30" s="112" t="str">
        <f t="shared" ca="1" si="24"/>
        <v>-</v>
      </c>
      <c r="AM30" s="112">
        <f t="shared" ca="1" si="24"/>
        <v>3</v>
      </c>
      <c r="AN30" s="112">
        <f t="shared" ca="1" si="24"/>
        <v>-6</v>
      </c>
      <c r="AO30" s="112" t="str">
        <f t="shared" ca="1" si="24"/>
        <v>-</v>
      </c>
      <c r="AP30" s="112">
        <f t="shared" ca="1" si="24"/>
        <v>0</v>
      </c>
      <c r="AQ30" s="112">
        <f t="shared" ca="1" si="24"/>
        <v>0</v>
      </c>
      <c r="AR30" s="112">
        <f t="shared" ca="1" si="24"/>
        <v>0</v>
      </c>
      <c r="AS30" s="112">
        <f t="shared" ca="1" si="24"/>
        <v>0</v>
      </c>
      <c r="AT30" s="112">
        <f t="shared" ca="1" si="24"/>
        <v>0</v>
      </c>
      <c r="AU30" s="112">
        <f t="shared" ca="1" si="24"/>
        <v>0</v>
      </c>
      <c r="AV30" s="112">
        <f t="shared" ca="1" si="25"/>
        <v>0</v>
      </c>
      <c r="AW30" s="112">
        <f t="shared" ca="1" si="25"/>
        <v>0</v>
      </c>
      <c r="AX30" s="112">
        <f t="shared" ca="1" si="25"/>
        <v>0</v>
      </c>
      <c r="AY30" s="112">
        <f t="shared" ca="1" si="25"/>
        <v>0</v>
      </c>
      <c r="AZ30" s="112">
        <f t="shared" ca="1" si="25"/>
        <v>0</v>
      </c>
      <c r="BA30" s="112">
        <f t="shared" ca="1" si="25"/>
        <v>0</v>
      </c>
      <c r="BB30" s="112">
        <f t="shared" ca="1" si="25"/>
        <v>0</v>
      </c>
      <c r="BC30" s="112">
        <f t="shared" ca="1" si="25"/>
        <v>0</v>
      </c>
      <c r="BD30" s="112">
        <f t="shared" ca="1" si="25"/>
        <v>0</v>
      </c>
      <c r="BE30" s="112">
        <f t="shared" ca="1" si="25"/>
        <v>0</v>
      </c>
      <c r="BF30" s="112">
        <f t="shared" ca="1" si="26"/>
        <v>0</v>
      </c>
      <c r="BG30" s="112">
        <f t="shared" ca="1" si="26"/>
        <v>0</v>
      </c>
      <c r="BH30" s="112">
        <f t="shared" ca="1" si="26"/>
        <v>0</v>
      </c>
      <c r="BI30" s="112">
        <f t="shared" ca="1" si="26"/>
        <v>0</v>
      </c>
      <c r="BJ30" s="112">
        <f t="shared" ca="1" si="26"/>
        <v>0</v>
      </c>
      <c r="BK30" s="112">
        <f t="shared" ca="1" si="26"/>
        <v>0</v>
      </c>
      <c r="BL30" s="112">
        <f t="shared" ca="1" si="26"/>
        <v>0</v>
      </c>
      <c r="BM30" s="112">
        <f t="shared" ca="1" si="26"/>
        <v>0</v>
      </c>
      <c r="BN30" s="112">
        <f t="shared" ca="1" si="26"/>
        <v>0</v>
      </c>
      <c r="BO30" s="112">
        <f t="shared" ca="1" si="26"/>
        <v>0</v>
      </c>
      <c r="BQ30" s="449">
        <f t="shared" si="8"/>
        <v>20</v>
      </c>
      <c r="BR30" s="450">
        <f t="shared" si="9"/>
        <v>20</v>
      </c>
      <c r="BS30" s="335"/>
      <c r="BT30" s="335"/>
      <c r="BU30" s="335"/>
      <c r="BV30" s="335"/>
      <c r="BW30" s="335"/>
      <c r="BX30" s="452">
        <f t="shared" si="10"/>
        <v>3</v>
      </c>
    </row>
    <row r="31" spans="1:76" ht="15">
      <c r="A31" s="126">
        <f t="shared" ca="1" si="19"/>
        <v>43</v>
      </c>
      <c r="B31" s="121" t="str">
        <f t="shared" ca="1" si="11"/>
        <v>200604</v>
      </c>
      <c r="C31" s="121">
        <f t="shared" ca="1" si="16"/>
        <v>20</v>
      </c>
      <c r="D31" s="121">
        <f t="shared" ca="1" si="12"/>
        <v>7</v>
      </c>
      <c r="E31" s="121">
        <f t="shared" ca="1" si="17"/>
        <v>4</v>
      </c>
      <c r="F31" s="121" t="str">
        <f t="shared" ca="1" si="13"/>
        <v>c</v>
      </c>
      <c r="G31" s="121" t="str">
        <f t="shared" ca="1" si="14"/>
        <v/>
      </c>
      <c r="H31" s="159">
        <f t="shared" ca="1" si="18"/>
        <v>43</v>
      </c>
      <c r="P31" s="102"/>
      <c r="Q31" s="102"/>
      <c r="R31" s="102"/>
      <c r="S31" s="102"/>
      <c r="T31" s="121">
        <f>IF(AND(ISODD(T14),T36&gt;0),T18,0)</f>
        <v>4</v>
      </c>
      <c r="U31" s="121">
        <f>IF(AND(ISODD(U14),ISEVEN(U19),U36&gt;0),U18,0)</f>
        <v>0</v>
      </c>
      <c r="Y31" s="238">
        <f t="shared" si="7"/>
        <v>3</v>
      </c>
      <c r="Z31" s="16">
        <f t="shared" si="15"/>
        <v>21</v>
      </c>
      <c r="AB31" s="112" t="str">
        <f t="shared" ref="AB31:AK40" ca="1" si="29">IF($H$10=0,0,IF(ISERROR(VLOOKUP($Z31,INDIRECT($AA$7),AB$9+1,FALSE)),0,VLOOKUP($Z31,INDIRECT($AA$7),AB$9+1,FALSE)))</f>
        <v>-</v>
      </c>
      <c r="AC31" s="112">
        <f t="shared" ca="1" si="29"/>
        <v>-1</v>
      </c>
      <c r="AD31" s="112">
        <f t="shared" ca="1" si="29"/>
        <v>-3</v>
      </c>
      <c r="AE31" s="112" t="str">
        <f t="shared" ca="1" si="29"/>
        <v>-</v>
      </c>
      <c r="AF31" s="112">
        <f t="shared" ca="1" si="29"/>
        <v>5</v>
      </c>
      <c r="AG31" s="112" t="str">
        <f t="shared" ca="1" si="29"/>
        <v>-</v>
      </c>
      <c r="AH31" s="112" t="str">
        <f t="shared" ca="1" si="29"/>
        <v>-</v>
      </c>
      <c r="AI31" s="112">
        <f t="shared" ca="1" si="29"/>
        <v>6</v>
      </c>
      <c r="AJ31" s="112" t="str">
        <f t="shared" ca="1" si="29"/>
        <v>-</v>
      </c>
      <c r="AK31" s="112">
        <f t="shared" ca="1" si="29"/>
        <v>-2</v>
      </c>
      <c r="AL31" s="112">
        <f t="shared" ref="AL31:AU40" ca="1" si="30">IF($H$10=0,0,IF(ISERROR(VLOOKUP($Z31,INDIRECT($AA$7),AL$9+1,FALSE)),0,VLOOKUP($Z31,INDIRECT($AA$7),AL$9+1,FALSE)))</f>
        <v>-4</v>
      </c>
      <c r="AM31" s="112" t="str">
        <f t="shared" ca="1" si="30"/>
        <v>-</v>
      </c>
      <c r="AN31" s="112" t="str">
        <f t="shared" ca="1" si="30"/>
        <v>-</v>
      </c>
      <c r="AO31" s="112">
        <f t="shared" ca="1" si="30"/>
        <v>1</v>
      </c>
      <c r="AP31" s="112">
        <f t="shared" ca="1" si="30"/>
        <v>0</v>
      </c>
      <c r="AQ31" s="112">
        <f t="shared" ca="1" si="30"/>
        <v>0</v>
      </c>
      <c r="AR31" s="112">
        <f t="shared" ca="1" si="30"/>
        <v>0</v>
      </c>
      <c r="AS31" s="112">
        <f t="shared" ca="1" si="30"/>
        <v>0</v>
      </c>
      <c r="AT31" s="112">
        <f t="shared" ca="1" si="30"/>
        <v>0</v>
      </c>
      <c r="AU31" s="112">
        <f t="shared" ca="1" si="30"/>
        <v>0</v>
      </c>
      <c r="AV31" s="112">
        <f t="shared" ref="AV31:BE40" ca="1" si="31">IF($H$10=0,0,IF(ISERROR(VLOOKUP($Z31,INDIRECT($AA$7),AV$9+1,FALSE)),0,VLOOKUP($Z31,INDIRECT($AA$7),AV$9+1,FALSE)))</f>
        <v>0</v>
      </c>
      <c r="AW31" s="112">
        <f t="shared" ca="1" si="31"/>
        <v>0</v>
      </c>
      <c r="AX31" s="112">
        <f t="shared" ca="1" si="31"/>
        <v>0</v>
      </c>
      <c r="AY31" s="112">
        <f t="shared" ca="1" si="31"/>
        <v>0</v>
      </c>
      <c r="AZ31" s="112">
        <f t="shared" ca="1" si="31"/>
        <v>0</v>
      </c>
      <c r="BA31" s="112">
        <f t="shared" ca="1" si="31"/>
        <v>0</v>
      </c>
      <c r="BB31" s="112">
        <f t="shared" ca="1" si="31"/>
        <v>0</v>
      </c>
      <c r="BC31" s="112">
        <f t="shared" ca="1" si="31"/>
        <v>0</v>
      </c>
      <c r="BD31" s="112">
        <f t="shared" ca="1" si="31"/>
        <v>0</v>
      </c>
      <c r="BE31" s="112">
        <f t="shared" ca="1" si="31"/>
        <v>0</v>
      </c>
      <c r="BF31" s="112">
        <f t="shared" ref="BF31:BO40" ca="1" si="32">IF($H$10=0,0,IF(ISERROR(VLOOKUP($Z31,INDIRECT($AA$7),BF$9+1,FALSE)),0,VLOOKUP($Z31,INDIRECT($AA$7),BF$9+1,FALSE)))</f>
        <v>0</v>
      </c>
      <c r="BG31" s="112">
        <f t="shared" ca="1" si="32"/>
        <v>0</v>
      </c>
      <c r="BH31" s="112">
        <f t="shared" ca="1" si="32"/>
        <v>0</v>
      </c>
      <c r="BI31" s="112">
        <f t="shared" ca="1" si="32"/>
        <v>0</v>
      </c>
      <c r="BJ31" s="112">
        <f t="shared" ca="1" si="32"/>
        <v>0</v>
      </c>
      <c r="BK31" s="112">
        <f t="shared" ca="1" si="32"/>
        <v>0</v>
      </c>
      <c r="BL31" s="112">
        <f t="shared" ca="1" si="32"/>
        <v>0</v>
      </c>
      <c r="BM31" s="112">
        <f t="shared" ca="1" si="32"/>
        <v>0</v>
      </c>
      <c r="BN31" s="112">
        <f t="shared" ca="1" si="32"/>
        <v>0</v>
      </c>
      <c r="BO31" s="112">
        <f t="shared" ca="1" si="32"/>
        <v>0</v>
      </c>
      <c r="BQ31" s="449">
        <f t="shared" si="8"/>
        <v>21</v>
      </c>
      <c r="BR31" s="450">
        <f t="shared" si="9"/>
        <v>21</v>
      </c>
      <c r="BS31" s="335"/>
      <c r="BT31" s="335"/>
      <c r="BU31" s="335"/>
      <c r="BV31" s="335"/>
      <c r="BW31" s="335"/>
      <c r="BX31" s="452">
        <f t="shared" si="10"/>
        <v>3</v>
      </c>
    </row>
    <row r="32" spans="1:76" ht="16" thickBot="1">
      <c r="A32" s="126">
        <f t="shared" ca="1" si="19"/>
        <v>42</v>
      </c>
      <c r="B32" s="121" t="str">
        <f t="shared" ca="1" si="11"/>
        <v>200604</v>
      </c>
      <c r="C32" s="121">
        <f t="shared" ca="1" si="16"/>
        <v>20</v>
      </c>
      <c r="D32" s="121">
        <f t="shared" ca="1" si="12"/>
        <v>9</v>
      </c>
      <c r="E32" s="121">
        <f t="shared" ca="1" si="17"/>
        <v>5</v>
      </c>
      <c r="F32" s="121" t="str">
        <f t="shared" ca="1" si="13"/>
        <v>c</v>
      </c>
      <c r="G32" s="121" t="str">
        <f t="shared" ca="1" si="14"/>
        <v/>
      </c>
      <c r="H32" s="159">
        <f t="shared" ca="1" si="18"/>
        <v>42</v>
      </c>
      <c r="N32" s="118" t="str">
        <f>IF(SUM(P27:U27)&gt;0,"sheets required:","")</f>
        <v>sheets required:</v>
      </c>
      <c r="P32" s="102"/>
      <c r="Q32" s="102"/>
      <c r="R32" s="102"/>
      <c r="S32" s="102"/>
      <c r="T32" s="102"/>
      <c r="U32" s="121">
        <f>IF(AND(ISODD(U14),ISEVEN(U19),U36&gt;0),U18,0)</f>
        <v>0</v>
      </c>
      <c r="Y32" s="238">
        <f t="shared" si="7"/>
        <v>3</v>
      </c>
      <c r="Z32" s="16">
        <f t="shared" si="15"/>
        <v>22</v>
      </c>
      <c r="AB32" s="112">
        <f t="shared" ca="1" si="29"/>
        <v>1</v>
      </c>
      <c r="AC32" s="112" t="str">
        <f t="shared" ca="1" si="29"/>
        <v>-</v>
      </c>
      <c r="AD32" s="112" t="str">
        <f t="shared" ca="1" si="29"/>
        <v>-</v>
      </c>
      <c r="AE32" s="112">
        <f t="shared" ca="1" si="29"/>
        <v>-2</v>
      </c>
      <c r="AF32" s="112" t="str">
        <f t="shared" ca="1" si="29"/>
        <v>-</v>
      </c>
      <c r="AG32" s="112">
        <f t="shared" ca="1" si="29"/>
        <v>4</v>
      </c>
      <c r="AH32" s="112">
        <f t="shared" ca="1" si="29"/>
        <v>-6</v>
      </c>
      <c r="AI32" s="112" t="str">
        <f t="shared" ca="1" si="29"/>
        <v>-</v>
      </c>
      <c r="AJ32" s="112" t="str">
        <f t="shared" ca="1" si="29"/>
        <v>-</v>
      </c>
      <c r="AK32" s="112">
        <f t="shared" ca="1" si="29"/>
        <v>5</v>
      </c>
      <c r="AL32" s="112">
        <f t="shared" ca="1" si="30"/>
        <v>-3</v>
      </c>
      <c r="AM32" s="112" t="str">
        <f t="shared" ca="1" si="30"/>
        <v>-</v>
      </c>
      <c r="AN32" s="112" t="str">
        <f t="shared" ca="1" si="30"/>
        <v>-</v>
      </c>
      <c r="AO32" s="112">
        <f t="shared" ca="1" si="30"/>
        <v>-1</v>
      </c>
      <c r="AP32" s="112">
        <f t="shared" ca="1" si="30"/>
        <v>0</v>
      </c>
      <c r="AQ32" s="112">
        <f t="shared" ca="1" si="30"/>
        <v>0</v>
      </c>
      <c r="AR32" s="112">
        <f t="shared" ca="1" si="30"/>
        <v>0</v>
      </c>
      <c r="AS32" s="112">
        <f t="shared" ca="1" si="30"/>
        <v>0</v>
      </c>
      <c r="AT32" s="112">
        <f t="shared" ca="1" si="30"/>
        <v>0</v>
      </c>
      <c r="AU32" s="112">
        <f t="shared" ca="1" si="30"/>
        <v>0</v>
      </c>
      <c r="AV32" s="112">
        <f t="shared" ca="1" si="31"/>
        <v>0</v>
      </c>
      <c r="AW32" s="112">
        <f t="shared" ca="1" si="31"/>
        <v>0</v>
      </c>
      <c r="AX32" s="112">
        <f t="shared" ca="1" si="31"/>
        <v>0</v>
      </c>
      <c r="AY32" s="112">
        <f t="shared" ca="1" si="31"/>
        <v>0</v>
      </c>
      <c r="AZ32" s="112">
        <f t="shared" ca="1" si="31"/>
        <v>0</v>
      </c>
      <c r="BA32" s="112">
        <f t="shared" ca="1" si="31"/>
        <v>0</v>
      </c>
      <c r="BB32" s="112">
        <f t="shared" ca="1" si="31"/>
        <v>0</v>
      </c>
      <c r="BC32" s="112">
        <f t="shared" ca="1" si="31"/>
        <v>0</v>
      </c>
      <c r="BD32" s="112">
        <f t="shared" ca="1" si="31"/>
        <v>0</v>
      </c>
      <c r="BE32" s="112">
        <f t="shared" ca="1" si="31"/>
        <v>0</v>
      </c>
      <c r="BF32" s="112">
        <f t="shared" ca="1" si="32"/>
        <v>0</v>
      </c>
      <c r="BG32" s="112">
        <f t="shared" ca="1" si="32"/>
        <v>0</v>
      </c>
      <c r="BH32" s="112">
        <f t="shared" ca="1" si="32"/>
        <v>0</v>
      </c>
      <c r="BI32" s="112">
        <f t="shared" ca="1" si="32"/>
        <v>0</v>
      </c>
      <c r="BJ32" s="112">
        <f t="shared" ca="1" si="32"/>
        <v>0</v>
      </c>
      <c r="BK32" s="112">
        <f t="shared" ca="1" si="32"/>
        <v>0</v>
      </c>
      <c r="BL32" s="112">
        <f t="shared" ca="1" si="32"/>
        <v>0</v>
      </c>
      <c r="BM32" s="112">
        <f t="shared" ca="1" si="32"/>
        <v>0</v>
      </c>
      <c r="BN32" s="112">
        <f t="shared" ca="1" si="32"/>
        <v>0</v>
      </c>
      <c r="BO32" s="112">
        <f t="shared" ca="1" si="32"/>
        <v>0</v>
      </c>
      <c r="BQ32" s="449">
        <f t="shared" si="8"/>
        <v>22</v>
      </c>
      <c r="BR32" s="450">
        <f t="shared" si="9"/>
        <v>22</v>
      </c>
      <c r="BS32" s="335"/>
      <c r="BT32" s="335"/>
      <c r="BU32" s="335"/>
      <c r="BV32" s="335"/>
      <c r="BW32" s="335"/>
      <c r="BX32" s="452">
        <f t="shared" si="10"/>
        <v>3</v>
      </c>
    </row>
    <row r="33" spans="1:76" ht="16" thickTop="1">
      <c r="A33" s="126">
        <f t="shared" ca="1" si="19"/>
        <v>41</v>
      </c>
      <c r="B33" s="121" t="str">
        <f t="shared" ca="1" si="11"/>
        <v>200604</v>
      </c>
      <c r="C33" s="121">
        <f t="shared" ca="1" si="16"/>
        <v>20</v>
      </c>
      <c r="D33" s="121">
        <f t="shared" ca="1" si="12"/>
        <v>10</v>
      </c>
      <c r="E33" s="121">
        <f t="shared" ca="1" si="17"/>
        <v>5</v>
      </c>
      <c r="F33" s="121" t="str">
        <f t="shared" ca="1" si="13"/>
        <v>e</v>
      </c>
      <c r="G33" s="121" t="str">
        <f t="shared" ca="1" si="14"/>
        <v/>
      </c>
      <c r="H33" s="159">
        <f t="shared" ca="1" si="18"/>
        <v>41</v>
      </c>
      <c r="N33" s="130"/>
      <c r="O33" s="138" t="str">
        <f>IF(SUM(P27:U27)&gt;0,"standard:","")</f>
        <v>standard:</v>
      </c>
      <c r="P33" s="132">
        <f t="shared" ref="P33:U33" si="33">IF(OR(P27=0,P27=" "),0,FLOOR(P27/2,1)+FLOOR(P28/2,1)+FLOOR(P29/2,1)+FLOOR(P30/2,1)+FLOOR(P31/2,1)+FLOOR(P32/2,1))</f>
        <v>0</v>
      </c>
      <c r="Q33" s="133">
        <f t="shared" si="33"/>
        <v>0</v>
      </c>
      <c r="R33" s="133">
        <f t="shared" si="33"/>
        <v>0</v>
      </c>
      <c r="S33" s="133">
        <f t="shared" si="33"/>
        <v>0</v>
      </c>
      <c r="T33" s="133">
        <f t="shared" si="33"/>
        <v>12</v>
      </c>
      <c r="U33" s="133">
        <f t="shared" si="33"/>
        <v>0</v>
      </c>
      <c r="Y33" s="238">
        <f t="shared" si="7"/>
        <v>3</v>
      </c>
      <c r="Z33" s="16">
        <f t="shared" si="15"/>
        <v>23</v>
      </c>
      <c r="AB33" s="112">
        <f t="shared" ca="1" si="29"/>
        <v>-6</v>
      </c>
      <c r="AC33" s="112" t="str">
        <f t="shared" ca="1" si="29"/>
        <v>-</v>
      </c>
      <c r="AD33" s="112" t="str">
        <f t="shared" ca="1" si="29"/>
        <v>-</v>
      </c>
      <c r="AE33" s="112">
        <f t="shared" ca="1" si="29"/>
        <v>-3</v>
      </c>
      <c r="AF33" s="112" t="str">
        <f t="shared" ca="1" si="29"/>
        <v>-</v>
      </c>
      <c r="AG33" s="112">
        <f t="shared" ca="1" si="29"/>
        <v>2</v>
      </c>
      <c r="AH33" s="112">
        <f t="shared" ca="1" si="29"/>
        <v>1</v>
      </c>
      <c r="AI33" s="112" t="str">
        <f t="shared" ca="1" si="29"/>
        <v>-</v>
      </c>
      <c r="AJ33" s="112" t="str">
        <f t="shared" ca="1" si="29"/>
        <v>-</v>
      </c>
      <c r="AK33" s="112">
        <f t="shared" ca="1" si="29"/>
        <v>-5</v>
      </c>
      <c r="AL33" s="112">
        <f t="shared" ca="1" si="30"/>
        <v>4</v>
      </c>
      <c r="AM33" s="112" t="str">
        <f t="shared" ca="1" si="30"/>
        <v>-</v>
      </c>
      <c r="AN33" s="112" t="str">
        <f t="shared" ca="1" si="30"/>
        <v>-</v>
      </c>
      <c r="AO33" s="112">
        <f t="shared" ca="1" si="30"/>
        <v>6</v>
      </c>
      <c r="AP33" s="112">
        <f t="shared" ca="1" si="30"/>
        <v>0</v>
      </c>
      <c r="AQ33" s="112">
        <f t="shared" ca="1" si="30"/>
        <v>0</v>
      </c>
      <c r="AR33" s="112">
        <f t="shared" ca="1" si="30"/>
        <v>0</v>
      </c>
      <c r="AS33" s="112">
        <f t="shared" ca="1" si="30"/>
        <v>0</v>
      </c>
      <c r="AT33" s="112">
        <f t="shared" ca="1" si="30"/>
        <v>0</v>
      </c>
      <c r="AU33" s="112">
        <f t="shared" ca="1" si="30"/>
        <v>0</v>
      </c>
      <c r="AV33" s="112">
        <f t="shared" ca="1" si="31"/>
        <v>0</v>
      </c>
      <c r="AW33" s="112">
        <f t="shared" ca="1" si="31"/>
        <v>0</v>
      </c>
      <c r="AX33" s="112">
        <f t="shared" ca="1" si="31"/>
        <v>0</v>
      </c>
      <c r="AY33" s="112">
        <f t="shared" ca="1" si="31"/>
        <v>0</v>
      </c>
      <c r="AZ33" s="112">
        <f t="shared" ca="1" si="31"/>
        <v>0</v>
      </c>
      <c r="BA33" s="112">
        <f t="shared" ca="1" si="31"/>
        <v>0</v>
      </c>
      <c r="BB33" s="112">
        <f t="shared" ca="1" si="31"/>
        <v>0</v>
      </c>
      <c r="BC33" s="112">
        <f t="shared" ca="1" si="31"/>
        <v>0</v>
      </c>
      <c r="BD33" s="112">
        <f t="shared" ca="1" si="31"/>
        <v>0</v>
      </c>
      <c r="BE33" s="112">
        <f t="shared" ca="1" si="31"/>
        <v>0</v>
      </c>
      <c r="BF33" s="112">
        <f t="shared" ca="1" si="32"/>
        <v>0</v>
      </c>
      <c r="BG33" s="112">
        <f t="shared" ca="1" si="32"/>
        <v>0</v>
      </c>
      <c r="BH33" s="112">
        <f t="shared" ca="1" si="32"/>
        <v>0</v>
      </c>
      <c r="BI33" s="112">
        <f t="shared" ca="1" si="32"/>
        <v>0</v>
      </c>
      <c r="BJ33" s="112">
        <f t="shared" ca="1" si="32"/>
        <v>0</v>
      </c>
      <c r="BK33" s="112">
        <f t="shared" ca="1" si="32"/>
        <v>0</v>
      </c>
      <c r="BL33" s="112">
        <f t="shared" ca="1" si="32"/>
        <v>0</v>
      </c>
      <c r="BM33" s="112">
        <f t="shared" ca="1" si="32"/>
        <v>0</v>
      </c>
      <c r="BN33" s="112">
        <f t="shared" ca="1" si="32"/>
        <v>0</v>
      </c>
      <c r="BO33" s="112">
        <f t="shared" ca="1" si="32"/>
        <v>0</v>
      </c>
      <c r="BQ33" s="449">
        <f t="shared" si="8"/>
        <v>23</v>
      </c>
      <c r="BR33" s="450">
        <f t="shared" si="9"/>
        <v>23</v>
      </c>
      <c r="BS33" s="335"/>
      <c r="BT33" s="335"/>
      <c r="BU33" s="335"/>
      <c r="BV33" s="335"/>
      <c r="BW33" s="335"/>
      <c r="BX33" s="452">
        <f t="shared" si="10"/>
        <v>3</v>
      </c>
    </row>
    <row r="34" spans="1:76" ht="16" thickBot="1">
      <c r="A34" s="126">
        <f t="shared" ca="1" si="19"/>
        <v>40</v>
      </c>
      <c r="B34" s="121" t="str">
        <f t="shared" ca="1" si="11"/>
        <v>210603</v>
      </c>
      <c r="C34" s="121">
        <f t="shared" ca="1" si="16"/>
        <v>21</v>
      </c>
      <c r="D34" s="121">
        <f t="shared" ca="1" si="12"/>
        <v>14</v>
      </c>
      <c r="E34" s="121">
        <f t="shared" ca="1" si="17"/>
        <v>7</v>
      </c>
      <c r="F34" s="121" t="str">
        <f t="shared" ca="1" si="13"/>
        <v>e</v>
      </c>
      <c r="G34" s="121" t="str">
        <f t="shared" ca="1" si="14"/>
        <v>w</v>
      </c>
      <c r="H34" s="159">
        <f t="shared" ca="1" si="18"/>
        <v>40</v>
      </c>
      <c r="N34" s="135"/>
      <c r="O34" s="139" t="str">
        <f>IF(SUM(P27:U27)&gt;0,"early/late:","")</f>
        <v>early/late:</v>
      </c>
      <c r="P34" s="136">
        <f t="shared" ref="P34:U34" si="34">IF(P33=0,0,CEILING(P33/2,1))</f>
        <v>0</v>
      </c>
      <c r="Q34" s="137">
        <f t="shared" si="34"/>
        <v>0</v>
      </c>
      <c r="R34" s="137">
        <f t="shared" si="34"/>
        <v>0</v>
      </c>
      <c r="S34" s="137">
        <f t="shared" si="34"/>
        <v>0</v>
      </c>
      <c r="T34" s="137">
        <f t="shared" si="34"/>
        <v>6</v>
      </c>
      <c r="U34" s="137">
        <f t="shared" si="34"/>
        <v>0</v>
      </c>
      <c r="Y34" s="238">
        <f t="shared" si="7"/>
        <v>3</v>
      </c>
      <c r="Z34" s="16">
        <f t="shared" si="15"/>
        <v>24</v>
      </c>
      <c r="AB34" s="112" t="str">
        <f t="shared" ca="1" si="29"/>
        <v>-</v>
      </c>
      <c r="AC34" s="112">
        <f t="shared" ca="1" si="29"/>
        <v>6</v>
      </c>
      <c r="AD34" s="112">
        <f t="shared" ca="1" si="29"/>
        <v>-5</v>
      </c>
      <c r="AE34" s="112" t="str">
        <f t="shared" ca="1" si="29"/>
        <v>-</v>
      </c>
      <c r="AF34" s="112">
        <f t="shared" ca="1" si="29"/>
        <v>4</v>
      </c>
      <c r="AG34" s="112" t="str">
        <f t="shared" ca="1" si="29"/>
        <v>-</v>
      </c>
      <c r="AH34" s="112" t="str">
        <f t="shared" ca="1" si="29"/>
        <v>-</v>
      </c>
      <c r="AI34" s="112">
        <f t="shared" ca="1" si="29"/>
        <v>-1</v>
      </c>
      <c r="AJ34" s="112" t="str">
        <f t="shared" ca="1" si="29"/>
        <v>-</v>
      </c>
      <c r="AK34" s="112">
        <f t="shared" ca="1" si="29"/>
        <v>2</v>
      </c>
      <c r="AL34" s="112">
        <f t="shared" ca="1" si="30"/>
        <v>3</v>
      </c>
      <c r="AM34" s="112" t="str">
        <f t="shared" ca="1" si="30"/>
        <v>-</v>
      </c>
      <c r="AN34" s="112" t="str">
        <f t="shared" ca="1" si="30"/>
        <v>-</v>
      </c>
      <c r="AO34" s="112">
        <f t="shared" ca="1" si="30"/>
        <v>-6</v>
      </c>
      <c r="AP34" s="112">
        <f t="shared" ca="1" si="30"/>
        <v>0</v>
      </c>
      <c r="AQ34" s="112">
        <f t="shared" ca="1" si="30"/>
        <v>0</v>
      </c>
      <c r="AR34" s="112">
        <f t="shared" ca="1" si="30"/>
        <v>0</v>
      </c>
      <c r="AS34" s="112">
        <f t="shared" ca="1" si="30"/>
        <v>0</v>
      </c>
      <c r="AT34" s="112">
        <f t="shared" ca="1" si="30"/>
        <v>0</v>
      </c>
      <c r="AU34" s="112">
        <f t="shared" ca="1" si="30"/>
        <v>0</v>
      </c>
      <c r="AV34" s="112">
        <f t="shared" ca="1" si="31"/>
        <v>0</v>
      </c>
      <c r="AW34" s="112">
        <f t="shared" ca="1" si="31"/>
        <v>0</v>
      </c>
      <c r="AX34" s="112">
        <f t="shared" ca="1" si="31"/>
        <v>0</v>
      </c>
      <c r="AY34" s="112">
        <f t="shared" ca="1" si="31"/>
        <v>0</v>
      </c>
      <c r="AZ34" s="112">
        <f t="shared" ca="1" si="31"/>
        <v>0</v>
      </c>
      <c r="BA34" s="112">
        <f t="shared" ca="1" si="31"/>
        <v>0</v>
      </c>
      <c r="BB34" s="112">
        <f t="shared" ca="1" si="31"/>
        <v>0</v>
      </c>
      <c r="BC34" s="112">
        <f t="shared" ca="1" si="31"/>
        <v>0</v>
      </c>
      <c r="BD34" s="112">
        <f t="shared" ca="1" si="31"/>
        <v>0</v>
      </c>
      <c r="BE34" s="112">
        <f t="shared" ca="1" si="31"/>
        <v>0</v>
      </c>
      <c r="BF34" s="112">
        <f t="shared" ca="1" si="32"/>
        <v>0</v>
      </c>
      <c r="BG34" s="112">
        <f t="shared" ca="1" si="32"/>
        <v>0</v>
      </c>
      <c r="BH34" s="112">
        <f t="shared" ca="1" si="32"/>
        <v>0</v>
      </c>
      <c r="BI34" s="112">
        <f t="shared" ca="1" si="32"/>
        <v>0</v>
      </c>
      <c r="BJ34" s="112">
        <f t="shared" ca="1" si="32"/>
        <v>0</v>
      </c>
      <c r="BK34" s="112">
        <f t="shared" ca="1" si="32"/>
        <v>0</v>
      </c>
      <c r="BL34" s="112">
        <f t="shared" ca="1" si="32"/>
        <v>0</v>
      </c>
      <c r="BM34" s="112">
        <f t="shared" ca="1" si="32"/>
        <v>0</v>
      </c>
      <c r="BN34" s="112">
        <f t="shared" ca="1" si="32"/>
        <v>0</v>
      </c>
      <c r="BO34" s="112">
        <f t="shared" ca="1" si="32"/>
        <v>0</v>
      </c>
      <c r="BQ34" s="449">
        <f t="shared" si="8"/>
        <v>24</v>
      </c>
      <c r="BR34" s="450">
        <f t="shared" si="9"/>
        <v>24</v>
      </c>
      <c r="BS34" s="335"/>
      <c r="BT34" s="335"/>
      <c r="BU34" s="335"/>
      <c r="BV34" s="335"/>
      <c r="BW34" s="335"/>
      <c r="BX34" s="452">
        <f t="shared" si="10"/>
        <v>3</v>
      </c>
    </row>
    <row r="35" spans="1:76" ht="16" thickTop="1">
      <c r="A35" s="126">
        <f t="shared" ca="1" si="19"/>
        <v>39</v>
      </c>
      <c r="B35" s="121" t="str">
        <f t="shared" ca="1" si="11"/>
        <v>220601</v>
      </c>
      <c r="C35" s="121">
        <f t="shared" ca="1" si="16"/>
        <v>22</v>
      </c>
      <c r="D35" s="121">
        <f t="shared" ca="1" si="12"/>
        <v>20</v>
      </c>
      <c r="E35" s="121">
        <f t="shared" ca="1" si="17"/>
        <v>10</v>
      </c>
      <c r="F35" s="121" t="str">
        <f t="shared" ca="1" si="13"/>
        <v>e</v>
      </c>
      <c r="G35" s="121" t="str">
        <f t="shared" ca="1" si="14"/>
        <v/>
      </c>
      <c r="H35" s="159">
        <f t="shared" ca="1" si="18"/>
        <v>39</v>
      </c>
      <c r="P35" s="160">
        <f>IF(OR(P14=0,P14=" "),0,IF(ISODD(P14),P14,IF(ISODD(P14),P14,0)))</f>
        <v>0</v>
      </c>
      <c r="Q35" s="160">
        <f>IF(OR(Q14=0,Q14=" "),0,IF(ISODD(Q14),Q14,IF(ISODD(Q15),Q15,0)))</f>
        <v>0</v>
      </c>
      <c r="R35" s="160">
        <f>IF(OR(R14=0,R14=" "),0,IF(ISODD(R14),R14,IF(ISODD(R16),R16,0)))</f>
        <v>0</v>
      </c>
      <c r="S35" s="160">
        <f>IF(OR(S14=0,S14=" "),0,IF(ISODD(S14),S14,IF(ISODD(S14),S14,0)))</f>
        <v>0</v>
      </c>
      <c r="T35" s="160">
        <f>IF(OR(T14=0,T14=" "),0,IF(ISODD(T14),T14,IF(ISODD(T14),T14,0)))</f>
        <v>5</v>
      </c>
      <c r="U35" s="160">
        <f>IF(OR(U14=0,U14=" "),0,IF(ISODD(U14),U14,IF(ISODD(U14),U14,0)))</f>
        <v>0</v>
      </c>
      <c r="Y35" s="238">
        <f t="shared" si="7"/>
        <v>0</v>
      </c>
      <c r="Z35" s="16">
        <f t="shared" si="15"/>
        <v>25</v>
      </c>
      <c r="AB35" s="112">
        <f t="shared" ca="1" si="29"/>
        <v>0</v>
      </c>
      <c r="AC35" s="112">
        <f t="shared" ca="1" si="29"/>
        <v>0</v>
      </c>
      <c r="AD35" s="112">
        <f t="shared" ca="1" si="29"/>
        <v>0</v>
      </c>
      <c r="AE35" s="112">
        <f t="shared" ca="1" si="29"/>
        <v>0</v>
      </c>
      <c r="AF35" s="112">
        <f t="shared" ca="1" si="29"/>
        <v>0</v>
      </c>
      <c r="AG35" s="112">
        <f t="shared" ca="1" si="29"/>
        <v>0</v>
      </c>
      <c r="AH35" s="112">
        <f t="shared" ca="1" si="29"/>
        <v>0</v>
      </c>
      <c r="AI35" s="112">
        <f t="shared" ca="1" si="29"/>
        <v>0</v>
      </c>
      <c r="AJ35" s="112">
        <f t="shared" ca="1" si="29"/>
        <v>0</v>
      </c>
      <c r="AK35" s="112">
        <f t="shared" ca="1" si="29"/>
        <v>0</v>
      </c>
      <c r="AL35" s="112">
        <f t="shared" ca="1" si="30"/>
        <v>0</v>
      </c>
      <c r="AM35" s="112">
        <f t="shared" ca="1" si="30"/>
        <v>0</v>
      </c>
      <c r="AN35" s="112">
        <f t="shared" ca="1" si="30"/>
        <v>0</v>
      </c>
      <c r="AO35" s="112">
        <f t="shared" ca="1" si="30"/>
        <v>0</v>
      </c>
      <c r="AP35" s="112">
        <f t="shared" ca="1" si="30"/>
        <v>0</v>
      </c>
      <c r="AQ35" s="112">
        <f t="shared" ca="1" si="30"/>
        <v>0</v>
      </c>
      <c r="AR35" s="112">
        <f t="shared" ca="1" si="30"/>
        <v>0</v>
      </c>
      <c r="AS35" s="112">
        <f t="shared" ca="1" si="30"/>
        <v>0</v>
      </c>
      <c r="AT35" s="112">
        <f t="shared" ca="1" si="30"/>
        <v>0</v>
      </c>
      <c r="AU35" s="112">
        <f t="shared" ca="1" si="30"/>
        <v>0</v>
      </c>
      <c r="AV35" s="112">
        <f t="shared" ca="1" si="31"/>
        <v>0</v>
      </c>
      <c r="AW35" s="112">
        <f t="shared" ca="1" si="31"/>
        <v>0</v>
      </c>
      <c r="AX35" s="112">
        <f t="shared" ca="1" si="31"/>
        <v>0</v>
      </c>
      <c r="AY35" s="112">
        <f t="shared" ca="1" si="31"/>
        <v>0</v>
      </c>
      <c r="AZ35" s="112">
        <f t="shared" ca="1" si="31"/>
        <v>0</v>
      </c>
      <c r="BA35" s="112">
        <f t="shared" ca="1" si="31"/>
        <v>0</v>
      </c>
      <c r="BB35" s="112">
        <f t="shared" ca="1" si="31"/>
        <v>0</v>
      </c>
      <c r="BC35" s="112">
        <f t="shared" ca="1" si="31"/>
        <v>0</v>
      </c>
      <c r="BD35" s="112">
        <f t="shared" ca="1" si="31"/>
        <v>0</v>
      </c>
      <c r="BE35" s="112">
        <f t="shared" ca="1" si="31"/>
        <v>0</v>
      </c>
      <c r="BF35" s="112">
        <f t="shared" ca="1" si="32"/>
        <v>0</v>
      </c>
      <c r="BG35" s="112">
        <f t="shared" ca="1" si="32"/>
        <v>0</v>
      </c>
      <c r="BH35" s="112">
        <f t="shared" ca="1" si="32"/>
        <v>0</v>
      </c>
      <c r="BI35" s="112">
        <f t="shared" ca="1" si="32"/>
        <v>0</v>
      </c>
      <c r="BJ35" s="112">
        <f t="shared" ca="1" si="32"/>
        <v>0</v>
      </c>
      <c r="BK35" s="112">
        <f t="shared" ca="1" si="32"/>
        <v>0</v>
      </c>
      <c r="BL35" s="112">
        <f t="shared" ca="1" si="32"/>
        <v>0</v>
      </c>
      <c r="BM35" s="112">
        <f t="shared" ca="1" si="32"/>
        <v>0</v>
      </c>
      <c r="BN35" s="112">
        <f t="shared" ca="1" si="32"/>
        <v>0</v>
      </c>
      <c r="BO35" s="112">
        <f t="shared" ca="1" si="32"/>
        <v>0</v>
      </c>
      <c r="BQ35" s="449">
        <f t="shared" si="8"/>
        <v>25</v>
      </c>
      <c r="BR35" s="450">
        <f t="shared" si="9"/>
        <v>0</v>
      </c>
      <c r="BS35" s="335"/>
      <c r="BT35" s="335"/>
      <c r="BU35" s="335"/>
      <c r="BV35" s="335"/>
      <c r="BW35" s="335"/>
      <c r="BX35" s="452">
        <f t="shared" si="10"/>
        <v>0</v>
      </c>
    </row>
    <row r="36" spans="1:76" ht="15">
      <c r="A36" s="126">
        <f t="shared" ca="1" si="19"/>
        <v>38</v>
      </c>
      <c r="B36" s="121" t="str">
        <f t="shared" ca="1" si="11"/>
        <v>220602</v>
      </c>
      <c r="C36" s="121">
        <f t="shared" ca="1" si="16"/>
        <v>22</v>
      </c>
      <c r="D36" s="121">
        <f t="shared" ca="1" si="12"/>
        <v>22</v>
      </c>
      <c r="E36" s="121">
        <f t="shared" ca="1" si="17"/>
        <v>11</v>
      </c>
      <c r="F36" s="121" t="str">
        <f t="shared" ca="1" si="13"/>
        <v>e</v>
      </c>
      <c r="G36" s="121" t="str">
        <f t="shared" ca="1" si="14"/>
        <v/>
      </c>
      <c r="H36" s="159">
        <f t="shared" ca="1" si="18"/>
        <v>38</v>
      </c>
      <c r="P36" s="160">
        <f t="shared" ref="P36:U36" si="35">IF(P14=0,0,COUNTIF(P14:P19,P35))</f>
        <v>0</v>
      </c>
      <c r="Q36" s="160">
        <f>IF(Q14=0,0,COUNTIF(Q14:Q19,Q35))</f>
        <v>0</v>
      </c>
      <c r="R36" s="160">
        <f t="shared" si="35"/>
        <v>0</v>
      </c>
      <c r="S36" s="160">
        <f t="shared" si="35"/>
        <v>0</v>
      </c>
      <c r="T36" s="160">
        <f>IF(T14=0,0,COUNTIF(T14:T19,T35))</f>
        <v>4</v>
      </c>
      <c r="U36" s="160">
        <f t="shared" si="35"/>
        <v>0</v>
      </c>
      <c r="Y36" s="238">
        <f t="shared" si="7"/>
        <v>0</v>
      </c>
      <c r="Z36" s="16">
        <f t="shared" si="15"/>
        <v>26</v>
      </c>
      <c r="AB36" s="112">
        <f t="shared" ca="1" si="29"/>
        <v>0</v>
      </c>
      <c r="AC36" s="112">
        <f t="shared" ca="1" si="29"/>
        <v>0</v>
      </c>
      <c r="AD36" s="112">
        <f t="shared" ca="1" si="29"/>
        <v>0</v>
      </c>
      <c r="AE36" s="112">
        <f t="shared" ca="1" si="29"/>
        <v>0</v>
      </c>
      <c r="AF36" s="112">
        <f t="shared" ca="1" si="29"/>
        <v>0</v>
      </c>
      <c r="AG36" s="112">
        <f t="shared" ca="1" si="29"/>
        <v>0</v>
      </c>
      <c r="AH36" s="112">
        <f t="shared" ca="1" si="29"/>
        <v>0</v>
      </c>
      <c r="AI36" s="112">
        <f t="shared" ca="1" si="29"/>
        <v>0</v>
      </c>
      <c r="AJ36" s="112">
        <f t="shared" ca="1" si="29"/>
        <v>0</v>
      </c>
      <c r="AK36" s="112">
        <f t="shared" ca="1" si="29"/>
        <v>0</v>
      </c>
      <c r="AL36" s="112">
        <f t="shared" ca="1" si="30"/>
        <v>0</v>
      </c>
      <c r="AM36" s="112">
        <f t="shared" ca="1" si="30"/>
        <v>0</v>
      </c>
      <c r="AN36" s="112">
        <f t="shared" ca="1" si="30"/>
        <v>0</v>
      </c>
      <c r="AO36" s="112">
        <f t="shared" ca="1" si="30"/>
        <v>0</v>
      </c>
      <c r="AP36" s="112">
        <f t="shared" ca="1" si="30"/>
        <v>0</v>
      </c>
      <c r="AQ36" s="112">
        <f t="shared" ca="1" si="30"/>
        <v>0</v>
      </c>
      <c r="AR36" s="112">
        <f t="shared" ca="1" si="30"/>
        <v>0</v>
      </c>
      <c r="AS36" s="112">
        <f t="shared" ca="1" si="30"/>
        <v>0</v>
      </c>
      <c r="AT36" s="112">
        <f t="shared" ca="1" si="30"/>
        <v>0</v>
      </c>
      <c r="AU36" s="112">
        <f t="shared" ca="1" si="30"/>
        <v>0</v>
      </c>
      <c r="AV36" s="112">
        <f t="shared" ca="1" si="31"/>
        <v>0</v>
      </c>
      <c r="AW36" s="112">
        <f t="shared" ca="1" si="31"/>
        <v>0</v>
      </c>
      <c r="AX36" s="112">
        <f t="shared" ca="1" si="31"/>
        <v>0</v>
      </c>
      <c r="AY36" s="112">
        <f t="shared" ca="1" si="31"/>
        <v>0</v>
      </c>
      <c r="AZ36" s="112">
        <f t="shared" ca="1" si="31"/>
        <v>0</v>
      </c>
      <c r="BA36" s="112">
        <f t="shared" ca="1" si="31"/>
        <v>0</v>
      </c>
      <c r="BB36" s="112">
        <f t="shared" ca="1" si="31"/>
        <v>0</v>
      </c>
      <c r="BC36" s="112">
        <f t="shared" ca="1" si="31"/>
        <v>0</v>
      </c>
      <c r="BD36" s="112">
        <f t="shared" ca="1" si="31"/>
        <v>0</v>
      </c>
      <c r="BE36" s="112">
        <f t="shared" ca="1" si="31"/>
        <v>0</v>
      </c>
      <c r="BF36" s="112">
        <f t="shared" ca="1" si="32"/>
        <v>0</v>
      </c>
      <c r="BG36" s="112">
        <f t="shared" ca="1" si="32"/>
        <v>0</v>
      </c>
      <c r="BH36" s="112">
        <f t="shared" ca="1" si="32"/>
        <v>0</v>
      </c>
      <c r="BI36" s="112">
        <f t="shared" ca="1" si="32"/>
        <v>0</v>
      </c>
      <c r="BJ36" s="112">
        <f t="shared" ca="1" si="32"/>
        <v>0</v>
      </c>
      <c r="BK36" s="112">
        <f t="shared" ca="1" si="32"/>
        <v>0</v>
      </c>
      <c r="BL36" s="112">
        <f t="shared" ca="1" si="32"/>
        <v>0</v>
      </c>
      <c r="BM36" s="112">
        <f t="shared" ca="1" si="32"/>
        <v>0</v>
      </c>
      <c r="BN36" s="112">
        <f t="shared" ca="1" si="32"/>
        <v>0</v>
      </c>
      <c r="BO36" s="112">
        <f t="shared" ca="1" si="32"/>
        <v>0</v>
      </c>
      <c r="BQ36" s="449">
        <f t="shared" si="8"/>
        <v>26</v>
      </c>
      <c r="BR36" s="450">
        <f t="shared" si="9"/>
        <v>0</v>
      </c>
      <c r="BS36" s="335"/>
      <c r="BT36" s="335"/>
      <c r="BU36" s="335"/>
      <c r="BV36" s="335"/>
      <c r="BW36" s="335"/>
      <c r="BX36" s="452">
        <f t="shared" si="10"/>
        <v>0</v>
      </c>
    </row>
    <row r="37" spans="1:76" ht="15">
      <c r="A37" s="126">
        <f t="shared" ca="1" si="19"/>
        <v>37</v>
      </c>
      <c r="B37" s="121" t="str">
        <f t="shared" ca="1" si="11"/>
        <v>220603</v>
      </c>
      <c r="C37" s="121">
        <f t="shared" ca="1" si="16"/>
        <v>22</v>
      </c>
      <c r="D37" s="121">
        <f t="shared" ca="1" si="12"/>
        <v>14</v>
      </c>
      <c r="E37" s="121">
        <f t="shared" ca="1" si="17"/>
        <v>7</v>
      </c>
      <c r="F37" s="121" t="str">
        <f t="shared" ca="1" si="13"/>
        <v>e</v>
      </c>
      <c r="G37" s="121" t="str">
        <f t="shared" ca="1" si="14"/>
        <v/>
      </c>
      <c r="H37" s="159">
        <f t="shared" ca="1" si="18"/>
        <v>37</v>
      </c>
      <c r="Y37" s="238">
        <f t="shared" si="7"/>
        <v>0</v>
      </c>
      <c r="Z37" s="16">
        <f t="shared" si="15"/>
        <v>27</v>
      </c>
      <c r="AB37" s="112">
        <f t="shared" ca="1" si="29"/>
        <v>0</v>
      </c>
      <c r="AC37" s="112">
        <f t="shared" ca="1" si="29"/>
        <v>0</v>
      </c>
      <c r="AD37" s="112">
        <f t="shared" ca="1" si="29"/>
        <v>0</v>
      </c>
      <c r="AE37" s="112">
        <f t="shared" ca="1" si="29"/>
        <v>0</v>
      </c>
      <c r="AF37" s="112">
        <f t="shared" ca="1" si="29"/>
        <v>0</v>
      </c>
      <c r="AG37" s="112">
        <f t="shared" ca="1" si="29"/>
        <v>0</v>
      </c>
      <c r="AH37" s="112">
        <f t="shared" ca="1" si="29"/>
        <v>0</v>
      </c>
      <c r="AI37" s="112">
        <f t="shared" ca="1" si="29"/>
        <v>0</v>
      </c>
      <c r="AJ37" s="112">
        <f t="shared" ca="1" si="29"/>
        <v>0</v>
      </c>
      <c r="AK37" s="112">
        <f t="shared" ca="1" si="29"/>
        <v>0</v>
      </c>
      <c r="AL37" s="112">
        <f t="shared" ca="1" si="30"/>
        <v>0</v>
      </c>
      <c r="AM37" s="112">
        <f t="shared" ca="1" si="30"/>
        <v>0</v>
      </c>
      <c r="AN37" s="112">
        <f t="shared" ca="1" si="30"/>
        <v>0</v>
      </c>
      <c r="AO37" s="112">
        <f t="shared" ca="1" si="30"/>
        <v>0</v>
      </c>
      <c r="AP37" s="112">
        <f t="shared" ca="1" si="30"/>
        <v>0</v>
      </c>
      <c r="AQ37" s="112">
        <f t="shared" ca="1" si="30"/>
        <v>0</v>
      </c>
      <c r="AR37" s="112">
        <f t="shared" ca="1" si="30"/>
        <v>0</v>
      </c>
      <c r="AS37" s="112">
        <f t="shared" ca="1" si="30"/>
        <v>0</v>
      </c>
      <c r="AT37" s="112">
        <f t="shared" ca="1" si="30"/>
        <v>0</v>
      </c>
      <c r="AU37" s="112">
        <f t="shared" ca="1" si="30"/>
        <v>0</v>
      </c>
      <c r="AV37" s="112">
        <f t="shared" ca="1" si="31"/>
        <v>0</v>
      </c>
      <c r="AW37" s="112">
        <f t="shared" ca="1" si="31"/>
        <v>0</v>
      </c>
      <c r="AX37" s="112">
        <f t="shared" ca="1" si="31"/>
        <v>0</v>
      </c>
      <c r="AY37" s="112">
        <f t="shared" ca="1" si="31"/>
        <v>0</v>
      </c>
      <c r="AZ37" s="112">
        <f t="shared" ca="1" si="31"/>
        <v>0</v>
      </c>
      <c r="BA37" s="112">
        <f t="shared" ca="1" si="31"/>
        <v>0</v>
      </c>
      <c r="BB37" s="112">
        <f t="shared" ca="1" si="31"/>
        <v>0</v>
      </c>
      <c r="BC37" s="112">
        <f t="shared" ca="1" si="31"/>
        <v>0</v>
      </c>
      <c r="BD37" s="112">
        <f t="shared" ca="1" si="31"/>
        <v>0</v>
      </c>
      <c r="BE37" s="112">
        <f t="shared" ca="1" si="31"/>
        <v>0</v>
      </c>
      <c r="BF37" s="112">
        <f t="shared" ca="1" si="32"/>
        <v>0</v>
      </c>
      <c r="BG37" s="112">
        <f t="shared" ca="1" si="32"/>
        <v>0</v>
      </c>
      <c r="BH37" s="112">
        <f t="shared" ca="1" si="32"/>
        <v>0</v>
      </c>
      <c r="BI37" s="112">
        <f t="shared" ca="1" si="32"/>
        <v>0</v>
      </c>
      <c r="BJ37" s="112">
        <f t="shared" ca="1" si="32"/>
        <v>0</v>
      </c>
      <c r="BK37" s="112">
        <f t="shared" ca="1" si="32"/>
        <v>0</v>
      </c>
      <c r="BL37" s="112">
        <f t="shared" ca="1" si="32"/>
        <v>0</v>
      </c>
      <c r="BM37" s="112">
        <f t="shared" ca="1" si="32"/>
        <v>0</v>
      </c>
      <c r="BN37" s="112">
        <f t="shared" ca="1" si="32"/>
        <v>0</v>
      </c>
      <c r="BO37" s="112">
        <f t="shared" ca="1" si="32"/>
        <v>0</v>
      </c>
      <c r="BQ37" s="449">
        <f t="shared" si="8"/>
        <v>27</v>
      </c>
      <c r="BR37" s="450">
        <f t="shared" si="9"/>
        <v>0</v>
      </c>
      <c r="BS37" s="335"/>
      <c r="BT37" s="335"/>
      <c r="BU37" s="335"/>
      <c r="BV37" s="335"/>
      <c r="BW37" s="335"/>
      <c r="BX37" s="452">
        <f t="shared" si="10"/>
        <v>0</v>
      </c>
    </row>
    <row r="38" spans="1:76" ht="15">
      <c r="A38" s="126">
        <f t="shared" ca="1" si="19"/>
        <v>36</v>
      </c>
      <c r="B38" s="121" t="str">
        <f t="shared" ca="1" si="11"/>
        <v>220604</v>
      </c>
      <c r="C38" s="121">
        <f t="shared" ca="1" si="16"/>
        <v>22</v>
      </c>
      <c r="D38" s="121">
        <f t="shared" ca="1" si="12"/>
        <v>10</v>
      </c>
      <c r="E38" s="121">
        <f t="shared" ca="1" si="17"/>
        <v>5</v>
      </c>
      <c r="F38" s="121" t="str">
        <f t="shared" ca="1" si="13"/>
        <v>e</v>
      </c>
      <c r="G38" s="121" t="str">
        <f t="shared" ca="1" si="14"/>
        <v/>
      </c>
      <c r="H38" s="159">
        <f t="shared" ca="1" si="18"/>
        <v>36</v>
      </c>
      <c r="Y38" s="238">
        <f t="shared" si="7"/>
        <v>0</v>
      </c>
      <c r="Z38" s="16">
        <f t="shared" si="15"/>
        <v>28</v>
      </c>
      <c r="AB38" s="112">
        <f t="shared" ca="1" si="29"/>
        <v>0</v>
      </c>
      <c r="AC38" s="112">
        <f t="shared" ca="1" si="29"/>
        <v>0</v>
      </c>
      <c r="AD38" s="112">
        <f t="shared" ca="1" si="29"/>
        <v>0</v>
      </c>
      <c r="AE38" s="112">
        <f t="shared" ca="1" si="29"/>
        <v>0</v>
      </c>
      <c r="AF38" s="112">
        <f t="shared" ca="1" si="29"/>
        <v>0</v>
      </c>
      <c r="AG38" s="112">
        <f t="shared" ca="1" si="29"/>
        <v>0</v>
      </c>
      <c r="AH38" s="112">
        <f t="shared" ca="1" si="29"/>
        <v>0</v>
      </c>
      <c r="AI38" s="112">
        <f t="shared" ca="1" si="29"/>
        <v>0</v>
      </c>
      <c r="AJ38" s="112">
        <f t="shared" ca="1" si="29"/>
        <v>0</v>
      </c>
      <c r="AK38" s="112">
        <f t="shared" ca="1" si="29"/>
        <v>0</v>
      </c>
      <c r="AL38" s="112">
        <f t="shared" ca="1" si="30"/>
        <v>0</v>
      </c>
      <c r="AM38" s="112">
        <f t="shared" ca="1" si="30"/>
        <v>0</v>
      </c>
      <c r="AN38" s="112">
        <f t="shared" ca="1" si="30"/>
        <v>0</v>
      </c>
      <c r="AO38" s="112">
        <f t="shared" ca="1" si="30"/>
        <v>0</v>
      </c>
      <c r="AP38" s="112">
        <f t="shared" ca="1" si="30"/>
        <v>0</v>
      </c>
      <c r="AQ38" s="112">
        <f t="shared" ca="1" si="30"/>
        <v>0</v>
      </c>
      <c r="AR38" s="112">
        <f t="shared" ca="1" si="30"/>
        <v>0</v>
      </c>
      <c r="AS38" s="112">
        <f t="shared" ca="1" si="30"/>
        <v>0</v>
      </c>
      <c r="AT38" s="112">
        <f t="shared" ca="1" si="30"/>
        <v>0</v>
      </c>
      <c r="AU38" s="112">
        <f t="shared" ca="1" si="30"/>
        <v>0</v>
      </c>
      <c r="AV38" s="112">
        <f t="shared" ca="1" si="31"/>
        <v>0</v>
      </c>
      <c r="AW38" s="112">
        <f t="shared" ca="1" si="31"/>
        <v>0</v>
      </c>
      <c r="AX38" s="112">
        <f t="shared" ca="1" si="31"/>
        <v>0</v>
      </c>
      <c r="AY38" s="112">
        <f t="shared" ca="1" si="31"/>
        <v>0</v>
      </c>
      <c r="AZ38" s="112">
        <f t="shared" ca="1" si="31"/>
        <v>0</v>
      </c>
      <c r="BA38" s="112">
        <f t="shared" ca="1" si="31"/>
        <v>0</v>
      </c>
      <c r="BB38" s="112">
        <f t="shared" ca="1" si="31"/>
        <v>0</v>
      </c>
      <c r="BC38" s="112">
        <f t="shared" ca="1" si="31"/>
        <v>0</v>
      </c>
      <c r="BD38" s="112">
        <f t="shared" ca="1" si="31"/>
        <v>0</v>
      </c>
      <c r="BE38" s="112">
        <f t="shared" ca="1" si="31"/>
        <v>0</v>
      </c>
      <c r="BF38" s="112">
        <f t="shared" ca="1" si="32"/>
        <v>0</v>
      </c>
      <c r="BG38" s="112">
        <f t="shared" ca="1" si="32"/>
        <v>0</v>
      </c>
      <c r="BH38" s="112">
        <f t="shared" ca="1" si="32"/>
        <v>0</v>
      </c>
      <c r="BI38" s="112">
        <f t="shared" ca="1" si="32"/>
        <v>0</v>
      </c>
      <c r="BJ38" s="112">
        <f t="shared" ca="1" si="32"/>
        <v>0</v>
      </c>
      <c r="BK38" s="112">
        <f t="shared" ca="1" si="32"/>
        <v>0</v>
      </c>
      <c r="BL38" s="112">
        <f t="shared" ca="1" si="32"/>
        <v>0</v>
      </c>
      <c r="BM38" s="112">
        <f t="shared" ca="1" si="32"/>
        <v>0</v>
      </c>
      <c r="BN38" s="112">
        <f t="shared" ca="1" si="32"/>
        <v>0</v>
      </c>
      <c r="BO38" s="112">
        <f t="shared" ca="1" si="32"/>
        <v>0</v>
      </c>
      <c r="BQ38" s="449">
        <f t="shared" si="8"/>
        <v>28</v>
      </c>
      <c r="BR38" s="450">
        <f t="shared" si="9"/>
        <v>0</v>
      </c>
      <c r="BS38" s="335"/>
      <c r="BT38" s="335"/>
      <c r="BU38" s="335"/>
      <c r="BV38" s="335"/>
      <c r="BW38" s="335"/>
      <c r="BX38" s="452">
        <f t="shared" si="10"/>
        <v>0</v>
      </c>
    </row>
    <row r="39" spans="1:76" ht="15">
      <c r="A39" s="126">
        <f t="shared" ca="1" si="19"/>
        <v>35</v>
      </c>
      <c r="B39" s="121" t="str">
        <f t="shared" ca="1" si="11"/>
        <v>220605</v>
      </c>
      <c r="C39" s="121">
        <f t="shared" ca="1" si="16"/>
        <v>22</v>
      </c>
      <c r="D39" s="121">
        <f t="shared" ca="1" si="12"/>
        <v>10</v>
      </c>
      <c r="E39" s="121">
        <f t="shared" ca="1" si="17"/>
        <v>5</v>
      </c>
      <c r="F39" s="121" t="str">
        <f t="shared" ca="1" si="13"/>
        <v>e</v>
      </c>
      <c r="G39" s="121" t="str">
        <f t="shared" ca="1" si="14"/>
        <v/>
      </c>
      <c r="H39" s="159">
        <f t="shared" ca="1" si="18"/>
        <v>35</v>
      </c>
      <c r="N39" s="102" t="str">
        <f>CONCATENATE("games involving ",F6," teams:")</f>
        <v>games involving 24 teams:</v>
      </c>
      <c r="Y39" s="238">
        <f t="shared" si="7"/>
        <v>0</v>
      </c>
      <c r="Z39" s="16">
        <f t="shared" si="15"/>
        <v>29</v>
      </c>
      <c r="AB39" s="112">
        <f t="shared" ca="1" si="29"/>
        <v>0</v>
      </c>
      <c r="AC39" s="112">
        <f t="shared" ca="1" si="29"/>
        <v>0</v>
      </c>
      <c r="AD39" s="112">
        <f t="shared" ca="1" si="29"/>
        <v>0</v>
      </c>
      <c r="AE39" s="112">
        <f t="shared" ca="1" si="29"/>
        <v>0</v>
      </c>
      <c r="AF39" s="112">
        <f t="shared" ca="1" si="29"/>
        <v>0</v>
      </c>
      <c r="AG39" s="112">
        <f t="shared" ca="1" si="29"/>
        <v>0</v>
      </c>
      <c r="AH39" s="112">
        <f t="shared" ca="1" si="29"/>
        <v>0</v>
      </c>
      <c r="AI39" s="112">
        <f t="shared" ca="1" si="29"/>
        <v>0</v>
      </c>
      <c r="AJ39" s="112">
        <f t="shared" ca="1" si="29"/>
        <v>0</v>
      </c>
      <c r="AK39" s="112">
        <f t="shared" ca="1" si="29"/>
        <v>0</v>
      </c>
      <c r="AL39" s="112">
        <f t="shared" ca="1" si="30"/>
        <v>0</v>
      </c>
      <c r="AM39" s="112">
        <f t="shared" ca="1" si="30"/>
        <v>0</v>
      </c>
      <c r="AN39" s="112">
        <f t="shared" ca="1" si="30"/>
        <v>0</v>
      </c>
      <c r="AO39" s="112">
        <f t="shared" ca="1" si="30"/>
        <v>0</v>
      </c>
      <c r="AP39" s="112">
        <f t="shared" ca="1" si="30"/>
        <v>0</v>
      </c>
      <c r="AQ39" s="112">
        <f t="shared" ca="1" si="30"/>
        <v>0</v>
      </c>
      <c r="AR39" s="112">
        <f t="shared" ca="1" si="30"/>
        <v>0</v>
      </c>
      <c r="AS39" s="112">
        <f t="shared" ca="1" si="30"/>
        <v>0</v>
      </c>
      <c r="AT39" s="112">
        <f t="shared" ca="1" si="30"/>
        <v>0</v>
      </c>
      <c r="AU39" s="112">
        <f t="shared" ca="1" si="30"/>
        <v>0</v>
      </c>
      <c r="AV39" s="112">
        <f t="shared" ca="1" si="31"/>
        <v>0</v>
      </c>
      <c r="AW39" s="112">
        <f t="shared" ca="1" si="31"/>
        <v>0</v>
      </c>
      <c r="AX39" s="112">
        <f t="shared" ca="1" si="31"/>
        <v>0</v>
      </c>
      <c r="AY39" s="112">
        <f t="shared" ca="1" si="31"/>
        <v>0</v>
      </c>
      <c r="AZ39" s="112">
        <f t="shared" ca="1" si="31"/>
        <v>0</v>
      </c>
      <c r="BA39" s="112">
        <f t="shared" ca="1" si="31"/>
        <v>0</v>
      </c>
      <c r="BB39" s="112">
        <f t="shared" ca="1" si="31"/>
        <v>0</v>
      </c>
      <c r="BC39" s="112">
        <f t="shared" ca="1" si="31"/>
        <v>0</v>
      </c>
      <c r="BD39" s="112">
        <f t="shared" ca="1" si="31"/>
        <v>0</v>
      </c>
      <c r="BE39" s="112">
        <f t="shared" ca="1" si="31"/>
        <v>0</v>
      </c>
      <c r="BF39" s="112">
        <f t="shared" ca="1" si="32"/>
        <v>0</v>
      </c>
      <c r="BG39" s="112">
        <f t="shared" ca="1" si="32"/>
        <v>0</v>
      </c>
      <c r="BH39" s="112">
        <f t="shared" ca="1" si="32"/>
        <v>0</v>
      </c>
      <c r="BI39" s="112">
        <f t="shared" ca="1" si="32"/>
        <v>0</v>
      </c>
      <c r="BJ39" s="112">
        <f t="shared" ca="1" si="32"/>
        <v>0</v>
      </c>
      <c r="BK39" s="112">
        <f t="shared" ca="1" si="32"/>
        <v>0</v>
      </c>
      <c r="BL39" s="112">
        <f t="shared" ca="1" si="32"/>
        <v>0</v>
      </c>
      <c r="BM39" s="112">
        <f t="shared" ca="1" si="32"/>
        <v>0</v>
      </c>
      <c r="BN39" s="112">
        <f t="shared" ca="1" si="32"/>
        <v>0</v>
      </c>
      <c r="BO39" s="112">
        <f t="shared" ca="1" si="32"/>
        <v>0</v>
      </c>
      <c r="BQ39" s="449">
        <f t="shared" si="8"/>
        <v>29</v>
      </c>
      <c r="BR39" s="450">
        <f t="shared" si="9"/>
        <v>0</v>
      </c>
      <c r="BS39" s="335"/>
      <c r="BT39" s="335"/>
      <c r="BU39" s="335"/>
      <c r="BV39" s="335"/>
      <c r="BW39" s="335"/>
      <c r="BX39" s="452">
        <f t="shared" si="10"/>
        <v>0</v>
      </c>
    </row>
    <row r="40" spans="1:76" ht="16" thickBot="1">
      <c r="A40" s="126">
        <f t="shared" ca="1" si="19"/>
        <v>34</v>
      </c>
      <c r="B40" s="121" t="str">
        <f t="shared" ca="1" si="11"/>
        <v>220605</v>
      </c>
      <c r="C40" s="121">
        <f t="shared" ca="1" si="16"/>
        <v>22</v>
      </c>
      <c r="D40" s="121">
        <f t="shared" ca="1" si="12"/>
        <v>10</v>
      </c>
      <c r="E40" s="121">
        <f t="shared" ca="1" si="17"/>
        <v>5</v>
      </c>
      <c r="F40" s="121" t="str">
        <f t="shared" ca="1" si="13"/>
        <v>e</v>
      </c>
      <c r="G40" s="121" t="str">
        <f t="shared" ca="1" si="14"/>
        <v/>
      </c>
      <c r="H40" s="159">
        <f t="shared" ca="1" si="18"/>
        <v>34</v>
      </c>
      <c r="N40" s="114"/>
      <c r="O40" s="118" t="s">
        <v>574</v>
      </c>
      <c r="P40" s="118"/>
      <c r="Q40" s="118"/>
      <c r="R40" s="114"/>
      <c r="S40" s="114"/>
      <c r="T40" s="114"/>
      <c r="U40" s="114"/>
      <c r="V40" s="114"/>
      <c r="W40" s="114"/>
      <c r="X40" s="114"/>
      <c r="Y40" s="238">
        <f t="shared" si="7"/>
        <v>0</v>
      </c>
      <c r="Z40" s="16">
        <f t="shared" si="15"/>
        <v>30</v>
      </c>
      <c r="AB40" s="112">
        <f t="shared" ca="1" si="29"/>
        <v>0</v>
      </c>
      <c r="AC40" s="112">
        <f t="shared" ca="1" si="29"/>
        <v>0</v>
      </c>
      <c r="AD40" s="112">
        <f t="shared" ca="1" si="29"/>
        <v>0</v>
      </c>
      <c r="AE40" s="112">
        <f t="shared" ca="1" si="29"/>
        <v>0</v>
      </c>
      <c r="AF40" s="112">
        <f t="shared" ca="1" si="29"/>
        <v>0</v>
      </c>
      <c r="AG40" s="112">
        <f t="shared" ca="1" si="29"/>
        <v>0</v>
      </c>
      <c r="AH40" s="112">
        <f t="shared" ca="1" si="29"/>
        <v>0</v>
      </c>
      <c r="AI40" s="112">
        <f t="shared" ca="1" si="29"/>
        <v>0</v>
      </c>
      <c r="AJ40" s="112">
        <f t="shared" ca="1" si="29"/>
        <v>0</v>
      </c>
      <c r="AK40" s="112">
        <f t="shared" ca="1" si="29"/>
        <v>0</v>
      </c>
      <c r="AL40" s="112">
        <f t="shared" ca="1" si="30"/>
        <v>0</v>
      </c>
      <c r="AM40" s="112">
        <f t="shared" ca="1" si="30"/>
        <v>0</v>
      </c>
      <c r="AN40" s="112">
        <f t="shared" ca="1" si="30"/>
        <v>0</v>
      </c>
      <c r="AO40" s="112">
        <f t="shared" ca="1" si="30"/>
        <v>0</v>
      </c>
      <c r="AP40" s="112">
        <f t="shared" ca="1" si="30"/>
        <v>0</v>
      </c>
      <c r="AQ40" s="112">
        <f t="shared" ca="1" si="30"/>
        <v>0</v>
      </c>
      <c r="AR40" s="112">
        <f t="shared" ca="1" si="30"/>
        <v>0</v>
      </c>
      <c r="AS40" s="112">
        <f t="shared" ca="1" si="30"/>
        <v>0</v>
      </c>
      <c r="AT40" s="112">
        <f t="shared" ca="1" si="30"/>
        <v>0</v>
      </c>
      <c r="AU40" s="112">
        <f t="shared" ca="1" si="30"/>
        <v>0</v>
      </c>
      <c r="AV40" s="112">
        <f t="shared" ca="1" si="31"/>
        <v>0</v>
      </c>
      <c r="AW40" s="112">
        <f t="shared" ca="1" si="31"/>
        <v>0</v>
      </c>
      <c r="AX40" s="112">
        <f t="shared" ca="1" si="31"/>
        <v>0</v>
      </c>
      <c r="AY40" s="112">
        <f t="shared" ca="1" si="31"/>
        <v>0</v>
      </c>
      <c r="AZ40" s="112">
        <f t="shared" ca="1" si="31"/>
        <v>0</v>
      </c>
      <c r="BA40" s="112">
        <f t="shared" ca="1" si="31"/>
        <v>0</v>
      </c>
      <c r="BB40" s="112">
        <f t="shared" ca="1" si="31"/>
        <v>0</v>
      </c>
      <c r="BC40" s="112">
        <f t="shared" ca="1" si="31"/>
        <v>0</v>
      </c>
      <c r="BD40" s="112">
        <f t="shared" ca="1" si="31"/>
        <v>0</v>
      </c>
      <c r="BE40" s="112">
        <f t="shared" ca="1" si="31"/>
        <v>0</v>
      </c>
      <c r="BF40" s="112">
        <f t="shared" ca="1" si="32"/>
        <v>0</v>
      </c>
      <c r="BG40" s="112">
        <f t="shared" ca="1" si="32"/>
        <v>0</v>
      </c>
      <c r="BH40" s="112">
        <f t="shared" ca="1" si="32"/>
        <v>0</v>
      </c>
      <c r="BI40" s="112">
        <f t="shared" ca="1" si="32"/>
        <v>0</v>
      </c>
      <c r="BJ40" s="112">
        <f t="shared" ca="1" si="32"/>
        <v>0</v>
      </c>
      <c r="BK40" s="112">
        <f t="shared" ca="1" si="32"/>
        <v>0</v>
      </c>
      <c r="BL40" s="112">
        <f t="shared" ca="1" si="32"/>
        <v>0</v>
      </c>
      <c r="BM40" s="112">
        <f t="shared" ca="1" si="32"/>
        <v>0</v>
      </c>
      <c r="BN40" s="112">
        <f t="shared" ca="1" si="32"/>
        <v>0</v>
      </c>
      <c r="BO40" s="112">
        <f t="shared" ca="1" si="32"/>
        <v>0</v>
      </c>
      <c r="BQ40" s="449">
        <f t="shared" si="8"/>
        <v>30</v>
      </c>
      <c r="BR40" s="450">
        <f t="shared" si="9"/>
        <v>0</v>
      </c>
      <c r="BS40" s="335"/>
      <c r="BT40" s="335"/>
      <c r="BU40" s="335"/>
      <c r="BV40" s="335"/>
      <c r="BW40" s="335"/>
      <c r="BX40" s="452">
        <f t="shared" si="10"/>
        <v>0</v>
      </c>
    </row>
    <row r="41" spans="1:76" ht="16" thickBot="1">
      <c r="A41" s="126">
        <f t="shared" ca="1" si="19"/>
        <v>33</v>
      </c>
      <c r="B41" s="121" t="str">
        <f t="shared" ca="1" si="11"/>
        <v>230601</v>
      </c>
      <c r="C41" s="121">
        <f t="shared" ca="1" si="16"/>
        <v>23</v>
      </c>
      <c r="D41" s="121">
        <f t="shared" ca="1" si="12"/>
        <v>24</v>
      </c>
      <c r="E41" s="121">
        <f t="shared" ca="1" si="17"/>
        <v>22</v>
      </c>
      <c r="F41" s="121" t="str">
        <f t="shared" ca="1" si="13"/>
        <v>e</v>
      </c>
      <c r="G41" s="121" t="str">
        <f t="shared" ca="1" si="14"/>
        <v>b</v>
      </c>
      <c r="H41" s="159">
        <f t="shared" ca="1" si="18"/>
        <v>33</v>
      </c>
      <c r="P41" s="142">
        <v>2</v>
      </c>
      <c r="Q41" s="142">
        <f>P41+1</f>
        <v>3</v>
      </c>
      <c r="R41" s="142">
        <f t="shared" ref="R41:X41" si="36">Q41+1</f>
        <v>4</v>
      </c>
      <c r="S41" s="142">
        <f t="shared" si="36"/>
        <v>5</v>
      </c>
      <c r="T41" s="142">
        <f t="shared" si="36"/>
        <v>6</v>
      </c>
      <c r="U41" s="142">
        <f t="shared" si="36"/>
        <v>7</v>
      </c>
      <c r="V41" s="142">
        <f t="shared" si="36"/>
        <v>8</v>
      </c>
      <c r="W41" s="142">
        <f t="shared" si="36"/>
        <v>9</v>
      </c>
      <c r="X41" s="142">
        <f t="shared" si="36"/>
        <v>10</v>
      </c>
      <c r="Y41" s="238">
        <f t="shared" si="7"/>
        <v>0</v>
      </c>
      <c r="Z41" s="16">
        <f t="shared" si="15"/>
        <v>31</v>
      </c>
      <c r="AB41" s="112">
        <f t="shared" ref="AB41:AK50" ca="1" si="37">IF($H$10=0,0,IF(ISERROR(VLOOKUP($Z41,INDIRECT($AA$7),AB$9+1,FALSE)),0,VLOOKUP($Z41,INDIRECT($AA$7),AB$9+1,FALSE)))</f>
        <v>0</v>
      </c>
      <c r="AC41" s="112">
        <f t="shared" ca="1" si="37"/>
        <v>0</v>
      </c>
      <c r="AD41" s="112">
        <f t="shared" ca="1" si="37"/>
        <v>0</v>
      </c>
      <c r="AE41" s="112">
        <f t="shared" ca="1" si="37"/>
        <v>0</v>
      </c>
      <c r="AF41" s="112">
        <f t="shared" ca="1" si="37"/>
        <v>0</v>
      </c>
      <c r="AG41" s="112">
        <f t="shared" ca="1" si="37"/>
        <v>0</v>
      </c>
      <c r="AH41" s="112">
        <f t="shared" ca="1" si="37"/>
        <v>0</v>
      </c>
      <c r="AI41" s="112">
        <f t="shared" ca="1" si="37"/>
        <v>0</v>
      </c>
      <c r="AJ41" s="112">
        <f t="shared" ca="1" si="37"/>
        <v>0</v>
      </c>
      <c r="AK41" s="112">
        <f t="shared" ca="1" si="37"/>
        <v>0</v>
      </c>
      <c r="AL41" s="112">
        <f t="shared" ref="AL41:AU50" ca="1" si="38">IF($H$10=0,0,IF(ISERROR(VLOOKUP($Z41,INDIRECT($AA$7),AL$9+1,FALSE)),0,VLOOKUP($Z41,INDIRECT($AA$7),AL$9+1,FALSE)))</f>
        <v>0</v>
      </c>
      <c r="AM41" s="112">
        <f t="shared" ca="1" si="38"/>
        <v>0</v>
      </c>
      <c r="AN41" s="112">
        <f t="shared" ca="1" si="38"/>
        <v>0</v>
      </c>
      <c r="AO41" s="112">
        <f t="shared" ca="1" si="38"/>
        <v>0</v>
      </c>
      <c r="AP41" s="112">
        <f t="shared" ca="1" si="38"/>
        <v>0</v>
      </c>
      <c r="AQ41" s="112">
        <f t="shared" ca="1" si="38"/>
        <v>0</v>
      </c>
      <c r="AR41" s="112">
        <f t="shared" ca="1" si="38"/>
        <v>0</v>
      </c>
      <c r="AS41" s="112">
        <f t="shared" ca="1" si="38"/>
        <v>0</v>
      </c>
      <c r="AT41" s="112">
        <f t="shared" ca="1" si="38"/>
        <v>0</v>
      </c>
      <c r="AU41" s="112">
        <f t="shared" ca="1" si="38"/>
        <v>0</v>
      </c>
      <c r="AV41" s="112">
        <f t="shared" ref="AV41:BE50" ca="1" si="39">IF($H$10=0,0,IF(ISERROR(VLOOKUP($Z41,INDIRECT($AA$7),AV$9+1,FALSE)),0,VLOOKUP($Z41,INDIRECT($AA$7),AV$9+1,FALSE)))</f>
        <v>0</v>
      </c>
      <c r="AW41" s="112">
        <f t="shared" ca="1" si="39"/>
        <v>0</v>
      </c>
      <c r="AX41" s="112">
        <f t="shared" ca="1" si="39"/>
        <v>0</v>
      </c>
      <c r="AY41" s="112">
        <f t="shared" ca="1" si="39"/>
        <v>0</v>
      </c>
      <c r="AZ41" s="112">
        <f t="shared" ca="1" si="39"/>
        <v>0</v>
      </c>
      <c r="BA41" s="112">
        <f t="shared" ca="1" si="39"/>
        <v>0</v>
      </c>
      <c r="BB41" s="112">
        <f t="shared" ca="1" si="39"/>
        <v>0</v>
      </c>
      <c r="BC41" s="112">
        <f t="shared" ca="1" si="39"/>
        <v>0</v>
      </c>
      <c r="BD41" s="112">
        <f t="shared" ca="1" si="39"/>
        <v>0</v>
      </c>
      <c r="BE41" s="112">
        <f t="shared" ca="1" si="39"/>
        <v>0</v>
      </c>
      <c r="BF41" s="112">
        <f t="shared" ref="BF41:BO50" ca="1" si="40">IF($H$10=0,0,IF(ISERROR(VLOOKUP($Z41,INDIRECT($AA$7),BF$9+1,FALSE)),0,VLOOKUP($Z41,INDIRECT($AA$7),BF$9+1,FALSE)))</f>
        <v>0</v>
      </c>
      <c r="BG41" s="112">
        <f t="shared" ca="1" si="40"/>
        <v>0</v>
      </c>
      <c r="BH41" s="112">
        <f t="shared" ca="1" si="40"/>
        <v>0</v>
      </c>
      <c r="BI41" s="112">
        <f t="shared" ca="1" si="40"/>
        <v>0</v>
      </c>
      <c r="BJ41" s="112">
        <f t="shared" ca="1" si="40"/>
        <v>0</v>
      </c>
      <c r="BK41" s="112">
        <f t="shared" ca="1" si="40"/>
        <v>0</v>
      </c>
      <c r="BL41" s="112">
        <f t="shared" ca="1" si="40"/>
        <v>0</v>
      </c>
      <c r="BM41" s="112">
        <f t="shared" ca="1" si="40"/>
        <v>0</v>
      </c>
      <c r="BN41" s="112">
        <f t="shared" ca="1" si="40"/>
        <v>0</v>
      </c>
      <c r="BO41" s="112">
        <f t="shared" ca="1" si="40"/>
        <v>0</v>
      </c>
      <c r="BQ41" s="449">
        <f t="shared" si="8"/>
        <v>31</v>
      </c>
      <c r="BR41" s="450">
        <f t="shared" si="9"/>
        <v>0</v>
      </c>
      <c r="BS41" s="335"/>
      <c r="BT41" s="335"/>
      <c r="BU41" s="335"/>
      <c r="BV41" s="335"/>
      <c r="BW41" s="335"/>
      <c r="BX41" s="452">
        <f t="shared" si="10"/>
        <v>0</v>
      </c>
    </row>
    <row r="42" spans="1:76" ht="16" thickTop="1">
      <c r="A42" s="126">
        <f t="shared" ca="1" si="19"/>
        <v>32</v>
      </c>
      <c r="B42" s="121" t="str">
        <f t="shared" ca="1" si="11"/>
        <v>230602</v>
      </c>
      <c r="C42" s="121">
        <f t="shared" ca="1" si="16"/>
        <v>23</v>
      </c>
      <c r="D42" s="121">
        <f t="shared" ca="1" si="12"/>
        <v>22</v>
      </c>
      <c r="E42" s="121">
        <f t="shared" ca="1" si="17"/>
        <v>11</v>
      </c>
      <c r="F42" s="121" t="str">
        <f t="shared" ca="1" si="13"/>
        <v>e</v>
      </c>
      <c r="G42" s="121" t="str">
        <f t="shared" ca="1" si="14"/>
        <v>w</v>
      </c>
      <c r="H42" s="159">
        <f t="shared" ca="1" si="18"/>
        <v>32</v>
      </c>
      <c r="P42" s="121">
        <f ca="1">IF($F$6="","",COUNTIF('S2'!$BG$11:$BG$70,$F$6))</f>
        <v>0</v>
      </c>
      <c r="Q42" s="121">
        <f ca="1">IF($F$6="","",COUNTIF('S3'!$BG$11:$BG$70,$F$6))</f>
        <v>0</v>
      </c>
      <c r="R42" s="121">
        <f ca="1">IF($F$6="","",COUNTIF('S4'!$BG$11:$BG$70,$F$6))</f>
        <v>0</v>
      </c>
      <c r="S42" s="121">
        <f ca="1">IF($F$6="","",COUNTIF('S5'!$BG$11:$BG$70,$F$6))</f>
        <v>5</v>
      </c>
      <c r="T42" s="121">
        <f ca="1">IF($F$6="","",COUNTIF('S6'!$BG$11:$BG$70,$F$6))</f>
        <v>6</v>
      </c>
      <c r="U42" s="121">
        <f ca="1">IF($F$6="","",COUNTIF('S7'!$BG$11:$BG$70,$F$6))</f>
        <v>0</v>
      </c>
      <c r="V42" s="121">
        <f ca="1">IF($F$6="","",COUNTIF('S8'!$BG$11:$BG$70,$F$6))</f>
        <v>1</v>
      </c>
      <c r="W42" s="121">
        <f ca="1">IF($F$6="","",COUNTIF('S9'!$BG$11:$BG$70,$F$6))</f>
        <v>0</v>
      </c>
      <c r="X42" s="121">
        <f ca="1">IF($F$6="","",COUNTIF('S10'!$BG$11:$BG$70,$F$6))</f>
        <v>1</v>
      </c>
      <c r="Y42" s="238">
        <f t="shared" si="7"/>
        <v>0</v>
      </c>
      <c r="Z42" s="16">
        <f t="shared" si="15"/>
        <v>32</v>
      </c>
      <c r="AB42" s="112">
        <f t="shared" ca="1" si="37"/>
        <v>0</v>
      </c>
      <c r="AC42" s="112">
        <f t="shared" ca="1" si="37"/>
        <v>0</v>
      </c>
      <c r="AD42" s="112">
        <f t="shared" ca="1" si="37"/>
        <v>0</v>
      </c>
      <c r="AE42" s="112">
        <f t="shared" ca="1" si="37"/>
        <v>0</v>
      </c>
      <c r="AF42" s="112">
        <f t="shared" ca="1" si="37"/>
        <v>0</v>
      </c>
      <c r="AG42" s="112">
        <f t="shared" ca="1" si="37"/>
        <v>0</v>
      </c>
      <c r="AH42" s="112">
        <f t="shared" ca="1" si="37"/>
        <v>0</v>
      </c>
      <c r="AI42" s="112">
        <f t="shared" ca="1" si="37"/>
        <v>0</v>
      </c>
      <c r="AJ42" s="112">
        <f t="shared" ca="1" si="37"/>
        <v>0</v>
      </c>
      <c r="AK42" s="112">
        <f t="shared" ca="1" si="37"/>
        <v>0</v>
      </c>
      <c r="AL42" s="112">
        <f t="shared" ca="1" si="38"/>
        <v>0</v>
      </c>
      <c r="AM42" s="112">
        <f t="shared" ca="1" si="38"/>
        <v>0</v>
      </c>
      <c r="AN42" s="112">
        <f t="shared" ca="1" si="38"/>
        <v>0</v>
      </c>
      <c r="AO42" s="112">
        <f t="shared" ca="1" si="38"/>
        <v>0</v>
      </c>
      <c r="AP42" s="112">
        <f t="shared" ca="1" si="38"/>
        <v>0</v>
      </c>
      <c r="AQ42" s="112">
        <f t="shared" ca="1" si="38"/>
        <v>0</v>
      </c>
      <c r="AR42" s="112">
        <f t="shared" ca="1" si="38"/>
        <v>0</v>
      </c>
      <c r="AS42" s="112">
        <f t="shared" ca="1" si="38"/>
        <v>0</v>
      </c>
      <c r="AT42" s="112">
        <f t="shared" ca="1" si="38"/>
        <v>0</v>
      </c>
      <c r="AU42" s="112">
        <f t="shared" ca="1" si="38"/>
        <v>0</v>
      </c>
      <c r="AV42" s="112">
        <f t="shared" ca="1" si="39"/>
        <v>0</v>
      </c>
      <c r="AW42" s="112">
        <f t="shared" ca="1" si="39"/>
        <v>0</v>
      </c>
      <c r="AX42" s="112">
        <f t="shared" ca="1" si="39"/>
        <v>0</v>
      </c>
      <c r="AY42" s="112">
        <f t="shared" ca="1" si="39"/>
        <v>0</v>
      </c>
      <c r="AZ42" s="112">
        <f t="shared" ca="1" si="39"/>
        <v>0</v>
      </c>
      <c r="BA42" s="112">
        <f t="shared" ca="1" si="39"/>
        <v>0</v>
      </c>
      <c r="BB42" s="112">
        <f t="shared" ca="1" si="39"/>
        <v>0</v>
      </c>
      <c r="BC42" s="112">
        <f t="shared" ca="1" si="39"/>
        <v>0</v>
      </c>
      <c r="BD42" s="112">
        <f t="shared" ca="1" si="39"/>
        <v>0</v>
      </c>
      <c r="BE42" s="112">
        <f t="shared" ca="1" si="39"/>
        <v>0</v>
      </c>
      <c r="BF42" s="112">
        <f t="shared" ca="1" si="40"/>
        <v>0</v>
      </c>
      <c r="BG42" s="112">
        <f t="shared" ca="1" si="40"/>
        <v>0</v>
      </c>
      <c r="BH42" s="112">
        <f t="shared" ca="1" si="40"/>
        <v>0</v>
      </c>
      <c r="BI42" s="112">
        <f t="shared" ca="1" si="40"/>
        <v>0</v>
      </c>
      <c r="BJ42" s="112">
        <f t="shared" ca="1" si="40"/>
        <v>0</v>
      </c>
      <c r="BK42" s="112">
        <f t="shared" ca="1" si="40"/>
        <v>0</v>
      </c>
      <c r="BL42" s="112">
        <f t="shared" ca="1" si="40"/>
        <v>0</v>
      </c>
      <c r="BM42" s="112">
        <f t="shared" ca="1" si="40"/>
        <v>0</v>
      </c>
      <c r="BN42" s="112">
        <f t="shared" ca="1" si="40"/>
        <v>0</v>
      </c>
      <c r="BO42" s="112">
        <f t="shared" ca="1" si="40"/>
        <v>0</v>
      </c>
      <c r="BQ42" s="449">
        <f t="shared" si="8"/>
        <v>32</v>
      </c>
      <c r="BR42" s="450">
        <f t="shared" si="9"/>
        <v>0</v>
      </c>
      <c r="BS42" s="335"/>
      <c r="BT42" s="335"/>
      <c r="BU42" s="335"/>
      <c r="BV42" s="335"/>
      <c r="BW42" s="335"/>
      <c r="BX42" s="452">
        <f t="shared" si="10"/>
        <v>0</v>
      </c>
    </row>
    <row r="43" spans="1:76" ht="15">
      <c r="A43" s="126">
        <f t="shared" ca="1" si="19"/>
        <v>31</v>
      </c>
      <c r="B43" s="121" t="str">
        <f t="shared" ca="1" si="11"/>
        <v>230603</v>
      </c>
      <c r="C43" s="121">
        <f t="shared" ca="1" si="16"/>
        <v>23</v>
      </c>
      <c r="D43" s="121">
        <f t="shared" ca="1" si="12"/>
        <v>14</v>
      </c>
      <c r="E43" s="121">
        <f t="shared" ca="1" si="17"/>
        <v>7</v>
      </c>
      <c r="F43" s="121" t="str">
        <f t="shared" ca="1" si="13"/>
        <v>e</v>
      </c>
      <c r="G43" s="121" t="str">
        <f t="shared" ca="1" si="14"/>
        <v>w</v>
      </c>
      <c r="H43" s="159">
        <f t="shared" ca="1" si="18"/>
        <v>31</v>
      </c>
      <c r="P43" s="121"/>
      <c r="Q43" s="121"/>
      <c r="R43" s="121"/>
      <c r="S43" s="121"/>
      <c r="T43" s="121"/>
      <c r="U43" s="121"/>
      <c r="V43" s="121"/>
      <c r="W43" s="121"/>
      <c r="X43" s="121"/>
      <c r="Y43" s="238">
        <f t="shared" si="7"/>
        <v>0</v>
      </c>
      <c r="Z43" s="16">
        <f t="shared" si="15"/>
        <v>33</v>
      </c>
      <c r="AB43" s="112">
        <f t="shared" ca="1" si="37"/>
        <v>0</v>
      </c>
      <c r="AC43" s="112">
        <f t="shared" ca="1" si="37"/>
        <v>0</v>
      </c>
      <c r="AD43" s="112">
        <f t="shared" ca="1" si="37"/>
        <v>0</v>
      </c>
      <c r="AE43" s="112">
        <f t="shared" ca="1" si="37"/>
        <v>0</v>
      </c>
      <c r="AF43" s="112">
        <f t="shared" ca="1" si="37"/>
        <v>0</v>
      </c>
      <c r="AG43" s="112">
        <f t="shared" ca="1" si="37"/>
        <v>0</v>
      </c>
      <c r="AH43" s="112">
        <f t="shared" ca="1" si="37"/>
        <v>0</v>
      </c>
      <c r="AI43" s="112">
        <f t="shared" ca="1" si="37"/>
        <v>0</v>
      </c>
      <c r="AJ43" s="112">
        <f t="shared" ca="1" si="37"/>
        <v>0</v>
      </c>
      <c r="AK43" s="112">
        <f t="shared" ca="1" si="37"/>
        <v>0</v>
      </c>
      <c r="AL43" s="112">
        <f t="shared" ca="1" si="38"/>
        <v>0</v>
      </c>
      <c r="AM43" s="112">
        <f t="shared" ca="1" si="38"/>
        <v>0</v>
      </c>
      <c r="AN43" s="112">
        <f t="shared" ca="1" si="38"/>
        <v>0</v>
      </c>
      <c r="AO43" s="112">
        <f t="shared" ca="1" si="38"/>
        <v>0</v>
      </c>
      <c r="AP43" s="112">
        <f t="shared" ca="1" si="38"/>
        <v>0</v>
      </c>
      <c r="AQ43" s="112">
        <f t="shared" ca="1" si="38"/>
        <v>0</v>
      </c>
      <c r="AR43" s="112">
        <f t="shared" ca="1" si="38"/>
        <v>0</v>
      </c>
      <c r="AS43" s="112">
        <f t="shared" ca="1" si="38"/>
        <v>0</v>
      </c>
      <c r="AT43" s="112">
        <f t="shared" ca="1" si="38"/>
        <v>0</v>
      </c>
      <c r="AU43" s="112">
        <f t="shared" ca="1" si="38"/>
        <v>0</v>
      </c>
      <c r="AV43" s="112">
        <f t="shared" ca="1" si="39"/>
        <v>0</v>
      </c>
      <c r="AW43" s="112">
        <f t="shared" ca="1" si="39"/>
        <v>0</v>
      </c>
      <c r="AX43" s="112">
        <f t="shared" ca="1" si="39"/>
        <v>0</v>
      </c>
      <c r="AY43" s="112">
        <f t="shared" ca="1" si="39"/>
        <v>0</v>
      </c>
      <c r="AZ43" s="112">
        <f t="shared" ca="1" si="39"/>
        <v>0</v>
      </c>
      <c r="BA43" s="112">
        <f t="shared" ca="1" si="39"/>
        <v>0</v>
      </c>
      <c r="BB43" s="112">
        <f t="shared" ca="1" si="39"/>
        <v>0</v>
      </c>
      <c r="BC43" s="112">
        <f t="shared" ca="1" si="39"/>
        <v>0</v>
      </c>
      <c r="BD43" s="112">
        <f t="shared" ca="1" si="39"/>
        <v>0</v>
      </c>
      <c r="BE43" s="112">
        <f t="shared" ca="1" si="39"/>
        <v>0</v>
      </c>
      <c r="BF43" s="112">
        <f t="shared" ca="1" si="40"/>
        <v>0</v>
      </c>
      <c r="BG43" s="112">
        <f t="shared" ca="1" si="40"/>
        <v>0</v>
      </c>
      <c r="BH43" s="112">
        <f t="shared" ca="1" si="40"/>
        <v>0</v>
      </c>
      <c r="BI43" s="112">
        <f t="shared" ca="1" si="40"/>
        <v>0</v>
      </c>
      <c r="BJ43" s="112">
        <f t="shared" ca="1" si="40"/>
        <v>0</v>
      </c>
      <c r="BK43" s="112">
        <f t="shared" ca="1" si="40"/>
        <v>0</v>
      </c>
      <c r="BL43" s="112">
        <f t="shared" ca="1" si="40"/>
        <v>0</v>
      </c>
      <c r="BM43" s="112">
        <f t="shared" ca="1" si="40"/>
        <v>0</v>
      </c>
      <c r="BN43" s="112">
        <f t="shared" ca="1" si="40"/>
        <v>0</v>
      </c>
      <c r="BO43" s="112">
        <f t="shared" ca="1" si="40"/>
        <v>0</v>
      </c>
      <c r="BQ43" s="449">
        <f t="shared" si="8"/>
        <v>33</v>
      </c>
      <c r="BR43" s="450">
        <f t="shared" si="9"/>
        <v>0</v>
      </c>
      <c r="BS43" s="335"/>
      <c r="BT43" s="335"/>
      <c r="BU43" s="335"/>
      <c r="BV43" s="335"/>
      <c r="BW43" s="335"/>
      <c r="BX43" s="452">
        <f t="shared" si="10"/>
        <v>0</v>
      </c>
    </row>
    <row r="44" spans="1:76" ht="15">
      <c r="A44" s="126">
        <f t="shared" ca="1" si="19"/>
        <v>30</v>
      </c>
      <c r="B44" s="121" t="str">
        <f t="shared" ca="1" si="11"/>
        <v>230604</v>
      </c>
      <c r="C44" s="121">
        <f t="shared" ca="1" si="16"/>
        <v>23</v>
      </c>
      <c r="D44" s="121">
        <f t="shared" ca="1" si="12"/>
        <v>10</v>
      </c>
      <c r="E44" s="121">
        <f t="shared" ca="1" si="17"/>
        <v>5</v>
      </c>
      <c r="F44" s="121" t="str">
        <f t="shared" ca="1" si="13"/>
        <v>e</v>
      </c>
      <c r="G44" s="121" t="str">
        <f t="shared" ca="1" si="14"/>
        <v>w</v>
      </c>
      <c r="H44" s="159">
        <f t="shared" ca="1" si="18"/>
        <v>30</v>
      </c>
      <c r="Y44" s="238">
        <f t="shared" si="7"/>
        <v>0</v>
      </c>
      <c r="Z44" s="16">
        <f t="shared" si="15"/>
        <v>34</v>
      </c>
      <c r="AB44" s="112">
        <f t="shared" ca="1" si="37"/>
        <v>0</v>
      </c>
      <c r="AC44" s="112">
        <f t="shared" ca="1" si="37"/>
        <v>0</v>
      </c>
      <c r="AD44" s="112">
        <f t="shared" ca="1" si="37"/>
        <v>0</v>
      </c>
      <c r="AE44" s="112">
        <f t="shared" ca="1" si="37"/>
        <v>0</v>
      </c>
      <c r="AF44" s="112">
        <f t="shared" ca="1" si="37"/>
        <v>0</v>
      </c>
      <c r="AG44" s="112">
        <f t="shared" ca="1" si="37"/>
        <v>0</v>
      </c>
      <c r="AH44" s="112">
        <f t="shared" ca="1" si="37"/>
        <v>0</v>
      </c>
      <c r="AI44" s="112">
        <f t="shared" ca="1" si="37"/>
        <v>0</v>
      </c>
      <c r="AJ44" s="112">
        <f t="shared" ca="1" si="37"/>
        <v>0</v>
      </c>
      <c r="AK44" s="112">
        <f t="shared" ca="1" si="37"/>
        <v>0</v>
      </c>
      <c r="AL44" s="112">
        <f t="shared" ca="1" si="38"/>
        <v>0</v>
      </c>
      <c r="AM44" s="112">
        <f t="shared" ca="1" si="38"/>
        <v>0</v>
      </c>
      <c r="AN44" s="112">
        <f t="shared" ca="1" si="38"/>
        <v>0</v>
      </c>
      <c r="AO44" s="112">
        <f t="shared" ca="1" si="38"/>
        <v>0</v>
      </c>
      <c r="AP44" s="112">
        <f t="shared" ca="1" si="38"/>
        <v>0</v>
      </c>
      <c r="AQ44" s="112">
        <f t="shared" ca="1" si="38"/>
        <v>0</v>
      </c>
      <c r="AR44" s="112">
        <f t="shared" ca="1" si="38"/>
        <v>0</v>
      </c>
      <c r="AS44" s="112">
        <f t="shared" ca="1" si="38"/>
        <v>0</v>
      </c>
      <c r="AT44" s="112">
        <f t="shared" ca="1" si="38"/>
        <v>0</v>
      </c>
      <c r="AU44" s="112">
        <f t="shared" ca="1" si="38"/>
        <v>0</v>
      </c>
      <c r="AV44" s="112">
        <f t="shared" ca="1" si="39"/>
        <v>0</v>
      </c>
      <c r="AW44" s="112">
        <f t="shared" ca="1" si="39"/>
        <v>0</v>
      </c>
      <c r="AX44" s="112">
        <f t="shared" ca="1" si="39"/>
        <v>0</v>
      </c>
      <c r="AY44" s="112">
        <f t="shared" ca="1" si="39"/>
        <v>0</v>
      </c>
      <c r="AZ44" s="112">
        <f t="shared" ca="1" si="39"/>
        <v>0</v>
      </c>
      <c r="BA44" s="112">
        <f t="shared" ca="1" si="39"/>
        <v>0</v>
      </c>
      <c r="BB44" s="112">
        <f t="shared" ca="1" si="39"/>
        <v>0</v>
      </c>
      <c r="BC44" s="112">
        <f t="shared" ca="1" si="39"/>
        <v>0</v>
      </c>
      <c r="BD44" s="112">
        <f t="shared" ca="1" si="39"/>
        <v>0</v>
      </c>
      <c r="BE44" s="112">
        <f t="shared" ca="1" si="39"/>
        <v>0</v>
      </c>
      <c r="BF44" s="112">
        <f t="shared" ca="1" si="40"/>
        <v>0</v>
      </c>
      <c r="BG44" s="112">
        <f t="shared" ca="1" si="40"/>
        <v>0</v>
      </c>
      <c r="BH44" s="112">
        <f t="shared" ca="1" si="40"/>
        <v>0</v>
      </c>
      <c r="BI44" s="112">
        <f t="shared" ca="1" si="40"/>
        <v>0</v>
      </c>
      <c r="BJ44" s="112">
        <f t="shared" ca="1" si="40"/>
        <v>0</v>
      </c>
      <c r="BK44" s="112">
        <f t="shared" ca="1" si="40"/>
        <v>0</v>
      </c>
      <c r="BL44" s="112">
        <f t="shared" ca="1" si="40"/>
        <v>0</v>
      </c>
      <c r="BM44" s="112">
        <f t="shared" ca="1" si="40"/>
        <v>0</v>
      </c>
      <c r="BN44" s="112">
        <f t="shared" ca="1" si="40"/>
        <v>0</v>
      </c>
      <c r="BO44" s="112">
        <f t="shared" ca="1" si="40"/>
        <v>0</v>
      </c>
      <c r="BQ44" s="449">
        <f t="shared" si="8"/>
        <v>34</v>
      </c>
      <c r="BR44" s="450">
        <f t="shared" si="9"/>
        <v>0</v>
      </c>
      <c r="BS44" s="335"/>
      <c r="BT44" s="335"/>
      <c r="BU44" s="335"/>
      <c r="BV44" s="335"/>
      <c r="BW44" s="335"/>
      <c r="BX44" s="452">
        <f t="shared" si="10"/>
        <v>0</v>
      </c>
    </row>
    <row r="45" spans="1:76" ht="15">
      <c r="A45" s="126">
        <f t="shared" ca="1" si="19"/>
        <v>29</v>
      </c>
      <c r="B45" s="121" t="str">
        <f t="shared" ca="1" si="11"/>
        <v>230604</v>
      </c>
      <c r="C45" s="121">
        <f t="shared" ca="1" si="16"/>
        <v>23</v>
      </c>
      <c r="D45" s="121">
        <f t="shared" ca="1" si="12"/>
        <v>10</v>
      </c>
      <c r="E45" s="121">
        <f t="shared" ca="1" si="17"/>
        <v>5</v>
      </c>
      <c r="F45" s="121" t="str">
        <f t="shared" ca="1" si="13"/>
        <v>e</v>
      </c>
      <c r="G45" s="121" t="str">
        <f t="shared" ca="1" si="14"/>
        <v>w</v>
      </c>
      <c r="H45" s="159">
        <f t="shared" ca="1" si="18"/>
        <v>29</v>
      </c>
      <c r="Y45" s="238">
        <f t="shared" si="7"/>
        <v>0</v>
      </c>
      <c r="Z45" s="16">
        <f t="shared" si="15"/>
        <v>35</v>
      </c>
      <c r="AB45" s="112">
        <f t="shared" ca="1" si="37"/>
        <v>0</v>
      </c>
      <c r="AC45" s="112">
        <f t="shared" ca="1" si="37"/>
        <v>0</v>
      </c>
      <c r="AD45" s="112">
        <f t="shared" ca="1" si="37"/>
        <v>0</v>
      </c>
      <c r="AE45" s="112">
        <f t="shared" ca="1" si="37"/>
        <v>0</v>
      </c>
      <c r="AF45" s="112">
        <f t="shared" ca="1" si="37"/>
        <v>0</v>
      </c>
      <c r="AG45" s="112">
        <f t="shared" ca="1" si="37"/>
        <v>0</v>
      </c>
      <c r="AH45" s="112">
        <f t="shared" ca="1" si="37"/>
        <v>0</v>
      </c>
      <c r="AI45" s="112">
        <f t="shared" ca="1" si="37"/>
        <v>0</v>
      </c>
      <c r="AJ45" s="112">
        <f t="shared" ca="1" si="37"/>
        <v>0</v>
      </c>
      <c r="AK45" s="112">
        <f t="shared" ca="1" si="37"/>
        <v>0</v>
      </c>
      <c r="AL45" s="112">
        <f t="shared" ca="1" si="38"/>
        <v>0</v>
      </c>
      <c r="AM45" s="112">
        <f t="shared" ca="1" si="38"/>
        <v>0</v>
      </c>
      <c r="AN45" s="112">
        <f t="shared" ca="1" si="38"/>
        <v>0</v>
      </c>
      <c r="AO45" s="112">
        <f t="shared" ca="1" si="38"/>
        <v>0</v>
      </c>
      <c r="AP45" s="112">
        <f t="shared" ca="1" si="38"/>
        <v>0</v>
      </c>
      <c r="AQ45" s="112">
        <f t="shared" ca="1" si="38"/>
        <v>0</v>
      </c>
      <c r="AR45" s="112">
        <f t="shared" ca="1" si="38"/>
        <v>0</v>
      </c>
      <c r="AS45" s="112">
        <f t="shared" ca="1" si="38"/>
        <v>0</v>
      </c>
      <c r="AT45" s="112">
        <f t="shared" ca="1" si="38"/>
        <v>0</v>
      </c>
      <c r="AU45" s="112">
        <f t="shared" ca="1" si="38"/>
        <v>0</v>
      </c>
      <c r="AV45" s="112">
        <f t="shared" ca="1" si="39"/>
        <v>0</v>
      </c>
      <c r="AW45" s="112">
        <f t="shared" ca="1" si="39"/>
        <v>0</v>
      </c>
      <c r="AX45" s="112">
        <f t="shared" ca="1" si="39"/>
        <v>0</v>
      </c>
      <c r="AY45" s="112">
        <f t="shared" ca="1" si="39"/>
        <v>0</v>
      </c>
      <c r="AZ45" s="112">
        <f t="shared" ca="1" si="39"/>
        <v>0</v>
      </c>
      <c r="BA45" s="112">
        <f t="shared" ca="1" si="39"/>
        <v>0</v>
      </c>
      <c r="BB45" s="112">
        <f t="shared" ca="1" si="39"/>
        <v>0</v>
      </c>
      <c r="BC45" s="112">
        <f t="shared" ca="1" si="39"/>
        <v>0</v>
      </c>
      <c r="BD45" s="112">
        <f t="shared" ca="1" si="39"/>
        <v>0</v>
      </c>
      <c r="BE45" s="112">
        <f t="shared" ca="1" si="39"/>
        <v>0</v>
      </c>
      <c r="BF45" s="112">
        <f t="shared" ca="1" si="40"/>
        <v>0</v>
      </c>
      <c r="BG45" s="112">
        <f t="shared" ca="1" si="40"/>
        <v>0</v>
      </c>
      <c r="BH45" s="112">
        <f t="shared" ca="1" si="40"/>
        <v>0</v>
      </c>
      <c r="BI45" s="112">
        <f t="shared" ca="1" si="40"/>
        <v>0</v>
      </c>
      <c r="BJ45" s="112">
        <f t="shared" ca="1" si="40"/>
        <v>0</v>
      </c>
      <c r="BK45" s="112">
        <f t="shared" ca="1" si="40"/>
        <v>0</v>
      </c>
      <c r="BL45" s="112">
        <f t="shared" ca="1" si="40"/>
        <v>0</v>
      </c>
      <c r="BM45" s="112">
        <f t="shared" ca="1" si="40"/>
        <v>0</v>
      </c>
      <c r="BN45" s="112">
        <f t="shared" ca="1" si="40"/>
        <v>0</v>
      </c>
      <c r="BO45" s="112">
        <f t="shared" ca="1" si="40"/>
        <v>0</v>
      </c>
      <c r="BQ45" s="449">
        <f t="shared" si="8"/>
        <v>35</v>
      </c>
      <c r="BR45" s="450">
        <f t="shared" si="9"/>
        <v>0</v>
      </c>
      <c r="BS45" s="335"/>
      <c r="BT45" s="335"/>
      <c r="BU45" s="335"/>
      <c r="BV45" s="335"/>
      <c r="BW45" s="335"/>
      <c r="BX45" s="452">
        <f t="shared" si="10"/>
        <v>0</v>
      </c>
    </row>
    <row r="46" spans="1:76" ht="15">
      <c r="A46" s="126">
        <f t="shared" ca="1" si="19"/>
        <v>28</v>
      </c>
      <c r="B46" s="121" t="str">
        <f t="shared" ca="1" si="11"/>
        <v>230606</v>
      </c>
      <c r="C46" s="121">
        <f t="shared" ca="1" si="16"/>
        <v>23</v>
      </c>
      <c r="D46" s="121">
        <f t="shared" ca="1" si="12"/>
        <v>6</v>
      </c>
      <c r="E46" s="121">
        <f t="shared" ca="1" si="17"/>
        <v>3</v>
      </c>
      <c r="F46" s="121" t="str">
        <f t="shared" ca="1" si="13"/>
        <v>e</v>
      </c>
      <c r="G46" s="121" t="str">
        <f t="shared" ca="1" si="14"/>
        <v>w</v>
      </c>
      <c r="H46" s="159">
        <f t="shared" ca="1" si="18"/>
        <v>28</v>
      </c>
      <c r="Y46" s="238">
        <f t="shared" si="7"/>
        <v>0</v>
      </c>
      <c r="Z46" s="16">
        <f t="shared" si="15"/>
        <v>36</v>
      </c>
      <c r="AB46" s="112">
        <f t="shared" ca="1" si="37"/>
        <v>0</v>
      </c>
      <c r="AC46" s="112">
        <f t="shared" ca="1" si="37"/>
        <v>0</v>
      </c>
      <c r="AD46" s="112">
        <f t="shared" ca="1" si="37"/>
        <v>0</v>
      </c>
      <c r="AE46" s="112">
        <f t="shared" ca="1" si="37"/>
        <v>0</v>
      </c>
      <c r="AF46" s="112">
        <f t="shared" ca="1" si="37"/>
        <v>0</v>
      </c>
      <c r="AG46" s="112">
        <f t="shared" ca="1" si="37"/>
        <v>0</v>
      </c>
      <c r="AH46" s="112">
        <f t="shared" ca="1" si="37"/>
        <v>0</v>
      </c>
      <c r="AI46" s="112">
        <f t="shared" ca="1" si="37"/>
        <v>0</v>
      </c>
      <c r="AJ46" s="112">
        <f t="shared" ca="1" si="37"/>
        <v>0</v>
      </c>
      <c r="AK46" s="112">
        <f t="shared" ca="1" si="37"/>
        <v>0</v>
      </c>
      <c r="AL46" s="112">
        <f t="shared" ca="1" si="38"/>
        <v>0</v>
      </c>
      <c r="AM46" s="112">
        <f t="shared" ca="1" si="38"/>
        <v>0</v>
      </c>
      <c r="AN46" s="112">
        <f t="shared" ca="1" si="38"/>
        <v>0</v>
      </c>
      <c r="AO46" s="112">
        <f t="shared" ca="1" si="38"/>
        <v>0</v>
      </c>
      <c r="AP46" s="112">
        <f t="shared" ca="1" si="38"/>
        <v>0</v>
      </c>
      <c r="AQ46" s="112">
        <f t="shared" ca="1" si="38"/>
        <v>0</v>
      </c>
      <c r="AR46" s="112">
        <f t="shared" ca="1" si="38"/>
        <v>0</v>
      </c>
      <c r="AS46" s="112">
        <f t="shared" ca="1" si="38"/>
        <v>0</v>
      </c>
      <c r="AT46" s="112">
        <f t="shared" ca="1" si="38"/>
        <v>0</v>
      </c>
      <c r="AU46" s="112">
        <f t="shared" ca="1" si="38"/>
        <v>0</v>
      </c>
      <c r="AV46" s="112">
        <f t="shared" ca="1" si="39"/>
        <v>0</v>
      </c>
      <c r="AW46" s="112">
        <f t="shared" ca="1" si="39"/>
        <v>0</v>
      </c>
      <c r="AX46" s="112">
        <f t="shared" ca="1" si="39"/>
        <v>0</v>
      </c>
      <c r="AY46" s="112">
        <f t="shared" ca="1" si="39"/>
        <v>0</v>
      </c>
      <c r="AZ46" s="112">
        <f t="shared" ca="1" si="39"/>
        <v>0</v>
      </c>
      <c r="BA46" s="112">
        <f t="shared" ca="1" si="39"/>
        <v>0</v>
      </c>
      <c r="BB46" s="112">
        <f t="shared" ca="1" si="39"/>
        <v>0</v>
      </c>
      <c r="BC46" s="112">
        <f t="shared" ca="1" si="39"/>
        <v>0</v>
      </c>
      <c r="BD46" s="112">
        <f t="shared" ca="1" si="39"/>
        <v>0</v>
      </c>
      <c r="BE46" s="112">
        <f t="shared" ca="1" si="39"/>
        <v>0</v>
      </c>
      <c r="BF46" s="112">
        <f t="shared" ca="1" si="40"/>
        <v>0</v>
      </c>
      <c r="BG46" s="112">
        <f t="shared" ca="1" si="40"/>
        <v>0</v>
      </c>
      <c r="BH46" s="112">
        <f t="shared" ca="1" si="40"/>
        <v>0</v>
      </c>
      <c r="BI46" s="112">
        <f t="shared" ca="1" si="40"/>
        <v>0</v>
      </c>
      <c r="BJ46" s="112">
        <f t="shared" ca="1" si="40"/>
        <v>0</v>
      </c>
      <c r="BK46" s="112">
        <f t="shared" ca="1" si="40"/>
        <v>0</v>
      </c>
      <c r="BL46" s="112">
        <f t="shared" ca="1" si="40"/>
        <v>0</v>
      </c>
      <c r="BM46" s="112">
        <f t="shared" ca="1" si="40"/>
        <v>0</v>
      </c>
      <c r="BN46" s="112">
        <f t="shared" ca="1" si="40"/>
        <v>0</v>
      </c>
      <c r="BO46" s="112">
        <f t="shared" ca="1" si="40"/>
        <v>0</v>
      </c>
      <c r="BQ46" s="449">
        <f t="shared" si="8"/>
        <v>36</v>
      </c>
      <c r="BR46" s="450">
        <f t="shared" si="9"/>
        <v>0</v>
      </c>
      <c r="BS46" s="335"/>
      <c r="BT46" s="335"/>
      <c r="BU46" s="335"/>
      <c r="BV46" s="335"/>
      <c r="BW46" s="335"/>
      <c r="BX46" s="452">
        <f t="shared" si="10"/>
        <v>0</v>
      </c>
    </row>
    <row r="47" spans="1:76" ht="15">
      <c r="A47" s="126">
        <f t="shared" ca="1" si="19"/>
        <v>27</v>
      </c>
      <c r="B47" s="121" t="str">
        <f t="shared" ca="1" si="11"/>
        <v>240601</v>
      </c>
      <c r="C47" s="121">
        <f t="shared" ca="1" si="16"/>
        <v>24</v>
      </c>
      <c r="D47" s="121">
        <f t="shared" ca="1" si="12"/>
        <v>24</v>
      </c>
      <c r="E47" s="121">
        <f t="shared" ca="1" si="17"/>
        <v>23</v>
      </c>
      <c r="F47" s="121" t="str">
        <f t="shared" ca="1" si="13"/>
        <v>e</v>
      </c>
      <c r="G47" s="121" t="str">
        <f t="shared" ca="1" si="14"/>
        <v/>
      </c>
      <c r="H47" s="159">
        <f t="shared" ca="1" si="18"/>
        <v>27</v>
      </c>
      <c r="Y47" s="238">
        <f t="shared" si="7"/>
        <v>0</v>
      </c>
      <c r="Z47" s="16">
        <f t="shared" si="15"/>
        <v>37</v>
      </c>
      <c r="AB47" s="112">
        <f t="shared" ca="1" si="37"/>
        <v>0</v>
      </c>
      <c r="AC47" s="112">
        <f t="shared" ca="1" si="37"/>
        <v>0</v>
      </c>
      <c r="AD47" s="112">
        <f t="shared" ca="1" si="37"/>
        <v>0</v>
      </c>
      <c r="AE47" s="112">
        <f t="shared" ca="1" si="37"/>
        <v>0</v>
      </c>
      <c r="AF47" s="112">
        <f t="shared" ca="1" si="37"/>
        <v>0</v>
      </c>
      <c r="AG47" s="112">
        <f t="shared" ca="1" si="37"/>
        <v>0</v>
      </c>
      <c r="AH47" s="112">
        <f t="shared" ca="1" si="37"/>
        <v>0</v>
      </c>
      <c r="AI47" s="112">
        <f t="shared" ca="1" si="37"/>
        <v>0</v>
      </c>
      <c r="AJ47" s="112">
        <f t="shared" ca="1" si="37"/>
        <v>0</v>
      </c>
      <c r="AK47" s="112">
        <f t="shared" ca="1" si="37"/>
        <v>0</v>
      </c>
      <c r="AL47" s="112">
        <f t="shared" ca="1" si="38"/>
        <v>0</v>
      </c>
      <c r="AM47" s="112">
        <f t="shared" ca="1" si="38"/>
        <v>0</v>
      </c>
      <c r="AN47" s="112">
        <f t="shared" ca="1" si="38"/>
        <v>0</v>
      </c>
      <c r="AO47" s="112">
        <f t="shared" ca="1" si="38"/>
        <v>0</v>
      </c>
      <c r="AP47" s="112">
        <f t="shared" ca="1" si="38"/>
        <v>0</v>
      </c>
      <c r="AQ47" s="112">
        <f t="shared" ca="1" si="38"/>
        <v>0</v>
      </c>
      <c r="AR47" s="112">
        <f t="shared" ca="1" si="38"/>
        <v>0</v>
      </c>
      <c r="AS47" s="112">
        <f t="shared" ca="1" si="38"/>
        <v>0</v>
      </c>
      <c r="AT47" s="112">
        <f t="shared" ca="1" si="38"/>
        <v>0</v>
      </c>
      <c r="AU47" s="112">
        <f t="shared" ca="1" si="38"/>
        <v>0</v>
      </c>
      <c r="AV47" s="112">
        <f t="shared" ca="1" si="39"/>
        <v>0</v>
      </c>
      <c r="AW47" s="112">
        <f t="shared" ca="1" si="39"/>
        <v>0</v>
      </c>
      <c r="AX47" s="112">
        <f t="shared" ca="1" si="39"/>
        <v>0</v>
      </c>
      <c r="AY47" s="112">
        <f t="shared" ca="1" si="39"/>
        <v>0</v>
      </c>
      <c r="AZ47" s="112">
        <f t="shared" ca="1" si="39"/>
        <v>0</v>
      </c>
      <c r="BA47" s="112">
        <f t="shared" ca="1" si="39"/>
        <v>0</v>
      </c>
      <c r="BB47" s="112">
        <f t="shared" ca="1" si="39"/>
        <v>0</v>
      </c>
      <c r="BC47" s="112">
        <f t="shared" ca="1" si="39"/>
        <v>0</v>
      </c>
      <c r="BD47" s="112">
        <f t="shared" ca="1" si="39"/>
        <v>0</v>
      </c>
      <c r="BE47" s="112">
        <f t="shared" ca="1" si="39"/>
        <v>0</v>
      </c>
      <c r="BF47" s="112">
        <f t="shared" ca="1" si="40"/>
        <v>0</v>
      </c>
      <c r="BG47" s="112">
        <f t="shared" ca="1" si="40"/>
        <v>0</v>
      </c>
      <c r="BH47" s="112">
        <f t="shared" ca="1" si="40"/>
        <v>0</v>
      </c>
      <c r="BI47" s="112">
        <f t="shared" ca="1" si="40"/>
        <v>0</v>
      </c>
      <c r="BJ47" s="112">
        <f t="shared" ca="1" si="40"/>
        <v>0</v>
      </c>
      <c r="BK47" s="112">
        <f t="shared" ca="1" si="40"/>
        <v>0</v>
      </c>
      <c r="BL47" s="112">
        <f t="shared" ca="1" si="40"/>
        <v>0</v>
      </c>
      <c r="BM47" s="112">
        <f t="shared" ca="1" si="40"/>
        <v>0</v>
      </c>
      <c r="BN47" s="112">
        <f t="shared" ca="1" si="40"/>
        <v>0</v>
      </c>
      <c r="BO47" s="112">
        <f t="shared" ca="1" si="40"/>
        <v>0</v>
      </c>
      <c r="BQ47" s="449">
        <f t="shared" si="8"/>
        <v>37</v>
      </c>
      <c r="BR47" s="450">
        <f t="shared" si="9"/>
        <v>0</v>
      </c>
      <c r="BS47" s="335"/>
      <c r="BT47" s="335"/>
      <c r="BU47" s="335"/>
      <c r="BV47" s="335"/>
      <c r="BW47" s="335"/>
      <c r="BX47" s="452">
        <f t="shared" si="10"/>
        <v>0</v>
      </c>
    </row>
    <row r="48" spans="1:76" ht="15">
      <c r="A48" s="126">
        <f t="shared" ca="1" si="19"/>
        <v>26</v>
      </c>
      <c r="B48" s="121" t="str">
        <f t="shared" ca="1" si="11"/>
        <v>240602</v>
      </c>
      <c r="C48" s="121">
        <f t="shared" ca="1" si="16"/>
        <v>24</v>
      </c>
      <c r="D48" s="121">
        <f t="shared" ca="1" si="12"/>
        <v>22</v>
      </c>
      <c r="E48" s="121">
        <f t="shared" ca="1" si="17"/>
        <v>11</v>
      </c>
      <c r="F48" s="121" t="str">
        <f t="shared" ca="1" si="13"/>
        <v>e</v>
      </c>
      <c r="G48" s="121" t="str">
        <f t="shared" ca="1" si="14"/>
        <v/>
      </c>
      <c r="H48" s="159">
        <f t="shared" ca="1" si="18"/>
        <v>26</v>
      </c>
      <c r="Y48" s="238">
        <f t="shared" si="7"/>
        <v>0</v>
      </c>
      <c r="Z48" s="16">
        <f t="shared" si="15"/>
        <v>38</v>
      </c>
      <c r="AB48" s="112">
        <f t="shared" ca="1" si="37"/>
        <v>0</v>
      </c>
      <c r="AC48" s="112">
        <f t="shared" ca="1" si="37"/>
        <v>0</v>
      </c>
      <c r="AD48" s="112">
        <f t="shared" ca="1" si="37"/>
        <v>0</v>
      </c>
      <c r="AE48" s="112">
        <f t="shared" ca="1" si="37"/>
        <v>0</v>
      </c>
      <c r="AF48" s="112">
        <f t="shared" ca="1" si="37"/>
        <v>0</v>
      </c>
      <c r="AG48" s="112">
        <f t="shared" ca="1" si="37"/>
        <v>0</v>
      </c>
      <c r="AH48" s="112">
        <f t="shared" ca="1" si="37"/>
        <v>0</v>
      </c>
      <c r="AI48" s="112">
        <f t="shared" ca="1" si="37"/>
        <v>0</v>
      </c>
      <c r="AJ48" s="112">
        <f t="shared" ca="1" si="37"/>
        <v>0</v>
      </c>
      <c r="AK48" s="112">
        <f t="shared" ca="1" si="37"/>
        <v>0</v>
      </c>
      <c r="AL48" s="112">
        <f t="shared" ca="1" si="38"/>
        <v>0</v>
      </c>
      <c r="AM48" s="112">
        <f t="shared" ca="1" si="38"/>
        <v>0</v>
      </c>
      <c r="AN48" s="112">
        <f t="shared" ca="1" si="38"/>
        <v>0</v>
      </c>
      <c r="AO48" s="112">
        <f t="shared" ca="1" si="38"/>
        <v>0</v>
      </c>
      <c r="AP48" s="112">
        <f t="shared" ca="1" si="38"/>
        <v>0</v>
      </c>
      <c r="AQ48" s="112">
        <f t="shared" ca="1" si="38"/>
        <v>0</v>
      </c>
      <c r="AR48" s="112">
        <f t="shared" ca="1" si="38"/>
        <v>0</v>
      </c>
      <c r="AS48" s="112">
        <f t="shared" ca="1" si="38"/>
        <v>0</v>
      </c>
      <c r="AT48" s="112">
        <f t="shared" ca="1" si="38"/>
        <v>0</v>
      </c>
      <c r="AU48" s="112">
        <f t="shared" ca="1" si="38"/>
        <v>0</v>
      </c>
      <c r="AV48" s="112">
        <f t="shared" ca="1" si="39"/>
        <v>0</v>
      </c>
      <c r="AW48" s="112">
        <f t="shared" ca="1" si="39"/>
        <v>0</v>
      </c>
      <c r="AX48" s="112">
        <f t="shared" ca="1" si="39"/>
        <v>0</v>
      </c>
      <c r="AY48" s="112">
        <f t="shared" ca="1" si="39"/>
        <v>0</v>
      </c>
      <c r="AZ48" s="112">
        <f t="shared" ca="1" si="39"/>
        <v>0</v>
      </c>
      <c r="BA48" s="112">
        <f t="shared" ca="1" si="39"/>
        <v>0</v>
      </c>
      <c r="BB48" s="112">
        <f t="shared" ca="1" si="39"/>
        <v>0</v>
      </c>
      <c r="BC48" s="112">
        <f t="shared" ca="1" si="39"/>
        <v>0</v>
      </c>
      <c r="BD48" s="112">
        <f t="shared" ca="1" si="39"/>
        <v>0</v>
      </c>
      <c r="BE48" s="112">
        <f t="shared" ca="1" si="39"/>
        <v>0</v>
      </c>
      <c r="BF48" s="112">
        <f t="shared" ca="1" si="40"/>
        <v>0</v>
      </c>
      <c r="BG48" s="112">
        <f t="shared" ca="1" si="40"/>
        <v>0</v>
      </c>
      <c r="BH48" s="112">
        <f t="shared" ca="1" si="40"/>
        <v>0</v>
      </c>
      <c r="BI48" s="112">
        <f t="shared" ca="1" si="40"/>
        <v>0</v>
      </c>
      <c r="BJ48" s="112">
        <f t="shared" ca="1" si="40"/>
        <v>0</v>
      </c>
      <c r="BK48" s="112">
        <f t="shared" ca="1" si="40"/>
        <v>0</v>
      </c>
      <c r="BL48" s="112">
        <f t="shared" ca="1" si="40"/>
        <v>0</v>
      </c>
      <c r="BM48" s="112">
        <f t="shared" ca="1" si="40"/>
        <v>0</v>
      </c>
      <c r="BN48" s="112">
        <f t="shared" ca="1" si="40"/>
        <v>0</v>
      </c>
      <c r="BO48" s="112">
        <f t="shared" ca="1" si="40"/>
        <v>0</v>
      </c>
      <c r="BQ48" s="449">
        <f t="shared" si="8"/>
        <v>38</v>
      </c>
      <c r="BR48" s="450">
        <f t="shared" si="9"/>
        <v>0</v>
      </c>
      <c r="BS48" s="335"/>
      <c r="BT48" s="335"/>
      <c r="BU48" s="335"/>
      <c r="BV48" s="335"/>
      <c r="BW48" s="335"/>
      <c r="BX48" s="452">
        <f t="shared" si="10"/>
        <v>0</v>
      </c>
    </row>
    <row r="49" spans="1:76" ht="15">
      <c r="A49" s="126">
        <f t="shared" ca="1" si="19"/>
        <v>25</v>
      </c>
      <c r="B49" s="121" t="str">
        <f t="shared" ca="1" si="11"/>
        <v>240603</v>
      </c>
      <c r="C49" s="121">
        <f t="shared" ca="1" si="16"/>
        <v>24</v>
      </c>
      <c r="D49" s="121">
        <f t="shared" ca="1" si="12"/>
        <v>14</v>
      </c>
      <c r="E49" s="121">
        <f t="shared" ca="1" si="17"/>
        <v>7</v>
      </c>
      <c r="F49" s="121" t="str">
        <f t="shared" ca="1" si="13"/>
        <v>e</v>
      </c>
      <c r="G49" s="121" t="str">
        <f t="shared" ca="1" si="14"/>
        <v/>
      </c>
      <c r="H49" s="159">
        <f t="shared" ca="1" si="18"/>
        <v>25</v>
      </c>
      <c r="Y49" s="238">
        <f t="shared" si="7"/>
        <v>0</v>
      </c>
      <c r="Z49" s="16">
        <f t="shared" si="15"/>
        <v>39</v>
      </c>
      <c r="AB49" s="112">
        <f t="shared" ca="1" si="37"/>
        <v>0</v>
      </c>
      <c r="AC49" s="112">
        <f t="shared" ca="1" si="37"/>
        <v>0</v>
      </c>
      <c r="AD49" s="112">
        <f t="shared" ca="1" si="37"/>
        <v>0</v>
      </c>
      <c r="AE49" s="112">
        <f t="shared" ca="1" si="37"/>
        <v>0</v>
      </c>
      <c r="AF49" s="112">
        <f t="shared" ca="1" si="37"/>
        <v>0</v>
      </c>
      <c r="AG49" s="112">
        <f t="shared" ca="1" si="37"/>
        <v>0</v>
      </c>
      <c r="AH49" s="112">
        <f t="shared" ca="1" si="37"/>
        <v>0</v>
      </c>
      <c r="AI49" s="112">
        <f t="shared" ca="1" si="37"/>
        <v>0</v>
      </c>
      <c r="AJ49" s="112">
        <f t="shared" ca="1" si="37"/>
        <v>0</v>
      </c>
      <c r="AK49" s="112">
        <f t="shared" ca="1" si="37"/>
        <v>0</v>
      </c>
      <c r="AL49" s="112">
        <f t="shared" ca="1" si="38"/>
        <v>0</v>
      </c>
      <c r="AM49" s="112">
        <f t="shared" ca="1" si="38"/>
        <v>0</v>
      </c>
      <c r="AN49" s="112">
        <f t="shared" ca="1" si="38"/>
        <v>0</v>
      </c>
      <c r="AO49" s="112">
        <f t="shared" ca="1" si="38"/>
        <v>0</v>
      </c>
      <c r="AP49" s="112">
        <f t="shared" ca="1" si="38"/>
        <v>0</v>
      </c>
      <c r="AQ49" s="112">
        <f t="shared" ca="1" si="38"/>
        <v>0</v>
      </c>
      <c r="AR49" s="112">
        <f t="shared" ca="1" si="38"/>
        <v>0</v>
      </c>
      <c r="AS49" s="112">
        <f t="shared" ca="1" si="38"/>
        <v>0</v>
      </c>
      <c r="AT49" s="112">
        <f t="shared" ca="1" si="38"/>
        <v>0</v>
      </c>
      <c r="AU49" s="112">
        <f t="shared" ca="1" si="38"/>
        <v>0</v>
      </c>
      <c r="AV49" s="112">
        <f t="shared" ca="1" si="39"/>
        <v>0</v>
      </c>
      <c r="AW49" s="112">
        <f t="shared" ca="1" si="39"/>
        <v>0</v>
      </c>
      <c r="AX49" s="112">
        <f t="shared" ca="1" si="39"/>
        <v>0</v>
      </c>
      <c r="AY49" s="112">
        <f t="shared" ca="1" si="39"/>
        <v>0</v>
      </c>
      <c r="AZ49" s="112">
        <f t="shared" ca="1" si="39"/>
        <v>0</v>
      </c>
      <c r="BA49" s="112">
        <f t="shared" ca="1" si="39"/>
        <v>0</v>
      </c>
      <c r="BB49" s="112">
        <f t="shared" ca="1" si="39"/>
        <v>0</v>
      </c>
      <c r="BC49" s="112">
        <f t="shared" ca="1" si="39"/>
        <v>0</v>
      </c>
      <c r="BD49" s="112">
        <f t="shared" ca="1" si="39"/>
        <v>0</v>
      </c>
      <c r="BE49" s="112">
        <f t="shared" ca="1" si="39"/>
        <v>0</v>
      </c>
      <c r="BF49" s="112">
        <f t="shared" ca="1" si="40"/>
        <v>0</v>
      </c>
      <c r="BG49" s="112">
        <f t="shared" ca="1" si="40"/>
        <v>0</v>
      </c>
      <c r="BH49" s="112">
        <f t="shared" ca="1" si="40"/>
        <v>0</v>
      </c>
      <c r="BI49" s="112">
        <f t="shared" ca="1" si="40"/>
        <v>0</v>
      </c>
      <c r="BJ49" s="112">
        <f t="shared" ca="1" si="40"/>
        <v>0</v>
      </c>
      <c r="BK49" s="112">
        <f t="shared" ca="1" si="40"/>
        <v>0</v>
      </c>
      <c r="BL49" s="112">
        <f t="shared" ca="1" si="40"/>
        <v>0</v>
      </c>
      <c r="BM49" s="112">
        <f t="shared" ca="1" si="40"/>
        <v>0</v>
      </c>
      <c r="BN49" s="112">
        <f t="shared" ca="1" si="40"/>
        <v>0</v>
      </c>
      <c r="BO49" s="112">
        <f t="shared" ca="1" si="40"/>
        <v>0</v>
      </c>
      <c r="BQ49" s="449">
        <f t="shared" si="8"/>
        <v>39</v>
      </c>
      <c r="BR49" s="450">
        <f t="shared" si="9"/>
        <v>0</v>
      </c>
      <c r="BS49" s="335"/>
      <c r="BT49" s="335"/>
      <c r="BU49" s="335"/>
      <c r="BV49" s="335"/>
      <c r="BW49" s="335"/>
      <c r="BX49" s="452">
        <f t="shared" si="10"/>
        <v>0</v>
      </c>
    </row>
    <row r="50" spans="1:76" ht="15">
      <c r="A50" s="126">
        <f t="shared" ca="1" si="19"/>
        <v>24</v>
      </c>
      <c r="B50" s="121" t="str">
        <f t="shared" ca="1" si="11"/>
        <v>240604</v>
      </c>
      <c r="C50" s="121">
        <f t="shared" ca="1" si="16"/>
        <v>24</v>
      </c>
      <c r="D50" s="121">
        <f t="shared" ca="1" si="12"/>
        <v>10</v>
      </c>
      <c r="E50" s="121">
        <f t="shared" ca="1" si="17"/>
        <v>5</v>
      </c>
      <c r="F50" s="121" t="str">
        <f t="shared" ca="1" si="13"/>
        <v>e</v>
      </c>
      <c r="G50" s="121" t="str">
        <f t="shared" ca="1" si="14"/>
        <v/>
      </c>
      <c r="H50" s="159">
        <f t="shared" ca="1" si="18"/>
        <v>24</v>
      </c>
      <c r="Y50" s="238">
        <f t="shared" si="7"/>
        <v>0</v>
      </c>
      <c r="Z50" s="16">
        <f t="shared" si="15"/>
        <v>40</v>
      </c>
      <c r="AB50" s="112">
        <f t="shared" ca="1" si="37"/>
        <v>0</v>
      </c>
      <c r="AC50" s="112">
        <f t="shared" ca="1" si="37"/>
        <v>0</v>
      </c>
      <c r="AD50" s="112">
        <f t="shared" ca="1" si="37"/>
        <v>0</v>
      </c>
      <c r="AE50" s="112">
        <f t="shared" ca="1" si="37"/>
        <v>0</v>
      </c>
      <c r="AF50" s="112">
        <f t="shared" ca="1" si="37"/>
        <v>0</v>
      </c>
      <c r="AG50" s="112">
        <f t="shared" ca="1" si="37"/>
        <v>0</v>
      </c>
      <c r="AH50" s="112">
        <f t="shared" ca="1" si="37"/>
        <v>0</v>
      </c>
      <c r="AI50" s="112">
        <f t="shared" ca="1" si="37"/>
        <v>0</v>
      </c>
      <c r="AJ50" s="112">
        <f t="shared" ca="1" si="37"/>
        <v>0</v>
      </c>
      <c r="AK50" s="112">
        <f t="shared" ca="1" si="37"/>
        <v>0</v>
      </c>
      <c r="AL50" s="112">
        <f t="shared" ca="1" si="38"/>
        <v>0</v>
      </c>
      <c r="AM50" s="112">
        <f t="shared" ca="1" si="38"/>
        <v>0</v>
      </c>
      <c r="AN50" s="112">
        <f t="shared" ca="1" si="38"/>
        <v>0</v>
      </c>
      <c r="AO50" s="112">
        <f t="shared" ca="1" si="38"/>
        <v>0</v>
      </c>
      <c r="AP50" s="112">
        <f t="shared" ca="1" si="38"/>
        <v>0</v>
      </c>
      <c r="AQ50" s="112">
        <f t="shared" ca="1" si="38"/>
        <v>0</v>
      </c>
      <c r="AR50" s="112">
        <f t="shared" ca="1" si="38"/>
        <v>0</v>
      </c>
      <c r="AS50" s="112">
        <f t="shared" ca="1" si="38"/>
        <v>0</v>
      </c>
      <c r="AT50" s="112">
        <f t="shared" ca="1" si="38"/>
        <v>0</v>
      </c>
      <c r="AU50" s="112">
        <f t="shared" ca="1" si="38"/>
        <v>0</v>
      </c>
      <c r="AV50" s="112">
        <f t="shared" ca="1" si="39"/>
        <v>0</v>
      </c>
      <c r="AW50" s="112">
        <f t="shared" ca="1" si="39"/>
        <v>0</v>
      </c>
      <c r="AX50" s="112">
        <f t="shared" ca="1" si="39"/>
        <v>0</v>
      </c>
      <c r="AY50" s="112">
        <f t="shared" ca="1" si="39"/>
        <v>0</v>
      </c>
      <c r="AZ50" s="112">
        <f t="shared" ca="1" si="39"/>
        <v>0</v>
      </c>
      <c r="BA50" s="112">
        <f t="shared" ca="1" si="39"/>
        <v>0</v>
      </c>
      <c r="BB50" s="112">
        <f t="shared" ca="1" si="39"/>
        <v>0</v>
      </c>
      <c r="BC50" s="112">
        <f t="shared" ca="1" si="39"/>
        <v>0</v>
      </c>
      <c r="BD50" s="112">
        <f t="shared" ca="1" si="39"/>
        <v>0</v>
      </c>
      <c r="BE50" s="112">
        <f t="shared" ca="1" si="39"/>
        <v>0</v>
      </c>
      <c r="BF50" s="112">
        <f t="shared" ca="1" si="40"/>
        <v>0</v>
      </c>
      <c r="BG50" s="112">
        <f t="shared" ca="1" si="40"/>
        <v>0</v>
      </c>
      <c r="BH50" s="112">
        <f t="shared" ca="1" si="40"/>
        <v>0</v>
      </c>
      <c r="BI50" s="112">
        <f t="shared" ca="1" si="40"/>
        <v>0</v>
      </c>
      <c r="BJ50" s="112">
        <f t="shared" ca="1" si="40"/>
        <v>0</v>
      </c>
      <c r="BK50" s="112">
        <f t="shared" ca="1" si="40"/>
        <v>0</v>
      </c>
      <c r="BL50" s="112">
        <f t="shared" ca="1" si="40"/>
        <v>0</v>
      </c>
      <c r="BM50" s="112">
        <f t="shared" ca="1" si="40"/>
        <v>0</v>
      </c>
      <c r="BN50" s="112">
        <f t="shared" ca="1" si="40"/>
        <v>0</v>
      </c>
      <c r="BO50" s="112">
        <f t="shared" ca="1" si="40"/>
        <v>0</v>
      </c>
      <c r="BQ50" s="449">
        <f t="shared" si="8"/>
        <v>40</v>
      </c>
      <c r="BR50" s="450">
        <f t="shared" si="9"/>
        <v>0</v>
      </c>
      <c r="BS50" s="335"/>
      <c r="BT50" s="335"/>
      <c r="BU50" s="335"/>
      <c r="BV50" s="335"/>
      <c r="BW50" s="335"/>
      <c r="BX50" s="452">
        <f t="shared" si="10"/>
        <v>0</v>
      </c>
    </row>
    <row r="51" spans="1:76" ht="15">
      <c r="A51" s="126">
        <f t="shared" ca="1" si="19"/>
        <v>23</v>
      </c>
      <c r="B51" s="121" t="str">
        <f t="shared" ca="1" si="11"/>
        <v>240605</v>
      </c>
      <c r="C51" s="121">
        <f t="shared" ca="1" si="16"/>
        <v>24</v>
      </c>
      <c r="D51" s="121">
        <f t="shared" ca="1" si="12"/>
        <v>10</v>
      </c>
      <c r="E51" s="121">
        <f t="shared" ca="1" si="17"/>
        <v>5</v>
      </c>
      <c r="F51" s="121" t="str">
        <f t="shared" ca="1" si="13"/>
        <v>e</v>
      </c>
      <c r="G51" s="121" t="str">
        <f t="shared" ca="1" si="14"/>
        <v/>
      </c>
      <c r="H51" s="159">
        <f t="shared" ca="1" si="18"/>
        <v>23</v>
      </c>
      <c r="Y51" s="238">
        <f t="shared" si="7"/>
        <v>0</v>
      </c>
      <c r="Z51" s="16">
        <f>Z50+1</f>
        <v>41</v>
      </c>
      <c r="AB51" s="112">
        <f t="shared" ref="AB51:AK58" ca="1" si="41">IF($H$10=0,0,IF(ISERROR(VLOOKUP($Z51,INDIRECT($AA$7),AB$9+1,FALSE)),0,VLOOKUP($Z51,INDIRECT($AA$7),AB$9+1,FALSE)))</f>
        <v>0</v>
      </c>
      <c r="AC51" s="112">
        <f t="shared" ca="1" si="41"/>
        <v>0</v>
      </c>
      <c r="AD51" s="112">
        <f t="shared" ca="1" si="41"/>
        <v>0</v>
      </c>
      <c r="AE51" s="112">
        <f t="shared" ca="1" si="41"/>
        <v>0</v>
      </c>
      <c r="AF51" s="112">
        <f t="shared" ca="1" si="41"/>
        <v>0</v>
      </c>
      <c r="AG51" s="112">
        <f t="shared" ca="1" si="41"/>
        <v>0</v>
      </c>
      <c r="AH51" s="112">
        <f t="shared" ca="1" si="41"/>
        <v>0</v>
      </c>
      <c r="AI51" s="112">
        <f t="shared" ca="1" si="41"/>
        <v>0</v>
      </c>
      <c r="AJ51" s="112">
        <f t="shared" ca="1" si="41"/>
        <v>0</v>
      </c>
      <c r="AK51" s="112">
        <f t="shared" ca="1" si="41"/>
        <v>0</v>
      </c>
      <c r="AL51" s="112">
        <f t="shared" ref="AL51:AU58" ca="1" si="42">IF($H$10=0,0,IF(ISERROR(VLOOKUP($Z51,INDIRECT($AA$7),AL$9+1,FALSE)),0,VLOOKUP($Z51,INDIRECT($AA$7),AL$9+1,FALSE)))</f>
        <v>0</v>
      </c>
      <c r="AM51" s="112">
        <f t="shared" ca="1" si="42"/>
        <v>0</v>
      </c>
      <c r="AN51" s="112">
        <f t="shared" ca="1" si="42"/>
        <v>0</v>
      </c>
      <c r="AO51" s="112">
        <f t="shared" ca="1" si="42"/>
        <v>0</v>
      </c>
      <c r="AP51" s="112">
        <f t="shared" ca="1" si="42"/>
        <v>0</v>
      </c>
      <c r="AQ51" s="112">
        <f t="shared" ca="1" si="42"/>
        <v>0</v>
      </c>
      <c r="AR51" s="112">
        <f t="shared" ca="1" si="42"/>
        <v>0</v>
      </c>
      <c r="AS51" s="112">
        <f t="shared" ca="1" si="42"/>
        <v>0</v>
      </c>
      <c r="AT51" s="112">
        <f t="shared" ca="1" si="42"/>
        <v>0</v>
      </c>
      <c r="AU51" s="112">
        <f t="shared" ca="1" si="42"/>
        <v>0</v>
      </c>
      <c r="AV51" s="112">
        <f t="shared" ref="AV51:BE58" ca="1" si="43">IF($H$10=0,0,IF(ISERROR(VLOOKUP($Z51,INDIRECT($AA$7),AV$9+1,FALSE)),0,VLOOKUP($Z51,INDIRECT($AA$7),AV$9+1,FALSE)))</f>
        <v>0</v>
      </c>
      <c r="AW51" s="112">
        <f t="shared" ca="1" si="43"/>
        <v>0</v>
      </c>
      <c r="AX51" s="112">
        <f t="shared" ca="1" si="43"/>
        <v>0</v>
      </c>
      <c r="AY51" s="112">
        <f t="shared" ca="1" si="43"/>
        <v>0</v>
      </c>
      <c r="AZ51" s="112">
        <f t="shared" ca="1" si="43"/>
        <v>0</v>
      </c>
      <c r="BA51" s="112">
        <f t="shared" ca="1" si="43"/>
        <v>0</v>
      </c>
      <c r="BB51" s="112">
        <f t="shared" ca="1" si="43"/>
        <v>0</v>
      </c>
      <c r="BC51" s="112">
        <f t="shared" ca="1" si="43"/>
        <v>0</v>
      </c>
      <c r="BD51" s="112">
        <f t="shared" ca="1" si="43"/>
        <v>0</v>
      </c>
      <c r="BE51" s="112">
        <f t="shared" ca="1" si="43"/>
        <v>0</v>
      </c>
      <c r="BF51" s="112">
        <f t="shared" ref="BF51:BO58" ca="1" si="44">IF($H$10=0,0,IF(ISERROR(VLOOKUP($Z51,INDIRECT($AA$7),BF$9+1,FALSE)),0,VLOOKUP($Z51,INDIRECT($AA$7),BF$9+1,FALSE)))</f>
        <v>0</v>
      </c>
      <c r="BG51" s="112">
        <f t="shared" ca="1" si="44"/>
        <v>0</v>
      </c>
      <c r="BH51" s="112">
        <f t="shared" ca="1" si="44"/>
        <v>0</v>
      </c>
      <c r="BI51" s="112">
        <f t="shared" ca="1" si="44"/>
        <v>0</v>
      </c>
      <c r="BJ51" s="112">
        <f t="shared" ca="1" si="44"/>
        <v>0</v>
      </c>
      <c r="BK51" s="112">
        <f t="shared" ca="1" si="44"/>
        <v>0</v>
      </c>
      <c r="BL51" s="112">
        <f t="shared" ca="1" si="44"/>
        <v>0</v>
      </c>
      <c r="BM51" s="112">
        <f t="shared" ca="1" si="44"/>
        <v>0</v>
      </c>
      <c r="BN51" s="112">
        <f t="shared" ca="1" si="44"/>
        <v>0</v>
      </c>
      <c r="BO51" s="112">
        <f t="shared" ca="1" si="44"/>
        <v>0</v>
      </c>
      <c r="BQ51" s="449">
        <f t="shared" si="8"/>
        <v>41</v>
      </c>
      <c r="BR51" s="450">
        <f t="shared" si="9"/>
        <v>0</v>
      </c>
      <c r="BS51" s="335"/>
      <c r="BT51" s="335"/>
      <c r="BU51" s="335"/>
      <c r="BV51" s="335"/>
      <c r="BW51" s="335"/>
      <c r="BX51" s="452">
        <f t="shared" si="10"/>
        <v>0</v>
      </c>
    </row>
    <row r="52" spans="1:76" ht="15">
      <c r="A52" s="126">
        <f t="shared" ca="1" si="19"/>
        <v>22</v>
      </c>
      <c r="B52" s="121" t="str">
        <f t="shared" ca="1" si="11"/>
        <v>240606</v>
      </c>
      <c r="C52" s="121">
        <f t="shared" ca="1" si="16"/>
        <v>24</v>
      </c>
      <c r="D52" s="121">
        <f t="shared" ca="1" si="12"/>
        <v>6</v>
      </c>
      <c r="E52" s="121">
        <f t="shared" ca="1" si="17"/>
        <v>3</v>
      </c>
      <c r="F52" s="121" t="str">
        <f t="shared" ca="1" si="13"/>
        <v>e</v>
      </c>
      <c r="G52" s="121" t="str">
        <f t="shared" ca="1" si="14"/>
        <v/>
      </c>
      <c r="H52" s="159">
        <f t="shared" ca="1" si="18"/>
        <v>22</v>
      </c>
      <c r="Y52" s="238">
        <f t="shared" si="7"/>
        <v>0</v>
      </c>
      <c r="Z52" s="16">
        <f t="shared" si="15"/>
        <v>42</v>
      </c>
      <c r="AB52" s="112">
        <f t="shared" ca="1" si="41"/>
        <v>0</v>
      </c>
      <c r="AC52" s="112">
        <f t="shared" ca="1" si="41"/>
        <v>0</v>
      </c>
      <c r="AD52" s="112">
        <f t="shared" ca="1" si="41"/>
        <v>0</v>
      </c>
      <c r="AE52" s="112">
        <f t="shared" ca="1" si="41"/>
        <v>0</v>
      </c>
      <c r="AF52" s="112">
        <f t="shared" ca="1" si="41"/>
        <v>0</v>
      </c>
      <c r="AG52" s="112">
        <f t="shared" ca="1" si="41"/>
        <v>0</v>
      </c>
      <c r="AH52" s="112">
        <f t="shared" ca="1" si="41"/>
        <v>0</v>
      </c>
      <c r="AI52" s="112">
        <f t="shared" ca="1" si="41"/>
        <v>0</v>
      </c>
      <c r="AJ52" s="112">
        <f t="shared" ca="1" si="41"/>
        <v>0</v>
      </c>
      <c r="AK52" s="112">
        <f t="shared" ca="1" si="41"/>
        <v>0</v>
      </c>
      <c r="AL52" s="112">
        <f t="shared" ca="1" si="42"/>
        <v>0</v>
      </c>
      <c r="AM52" s="112">
        <f t="shared" ca="1" si="42"/>
        <v>0</v>
      </c>
      <c r="AN52" s="112">
        <f t="shared" ca="1" si="42"/>
        <v>0</v>
      </c>
      <c r="AO52" s="112">
        <f t="shared" ca="1" si="42"/>
        <v>0</v>
      </c>
      <c r="AP52" s="112">
        <f t="shared" ca="1" si="42"/>
        <v>0</v>
      </c>
      <c r="AQ52" s="112">
        <f t="shared" ca="1" si="42"/>
        <v>0</v>
      </c>
      <c r="AR52" s="112">
        <f t="shared" ca="1" si="42"/>
        <v>0</v>
      </c>
      <c r="AS52" s="112">
        <f t="shared" ca="1" si="42"/>
        <v>0</v>
      </c>
      <c r="AT52" s="112">
        <f t="shared" ca="1" si="42"/>
        <v>0</v>
      </c>
      <c r="AU52" s="112">
        <f t="shared" ca="1" si="42"/>
        <v>0</v>
      </c>
      <c r="AV52" s="112">
        <f t="shared" ca="1" si="43"/>
        <v>0</v>
      </c>
      <c r="AW52" s="112">
        <f t="shared" ca="1" si="43"/>
        <v>0</v>
      </c>
      <c r="AX52" s="112">
        <f t="shared" ca="1" si="43"/>
        <v>0</v>
      </c>
      <c r="AY52" s="112">
        <f t="shared" ca="1" si="43"/>
        <v>0</v>
      </c>
      <c r="AZ52" s="112">
        <f t="shared" ca="1" si="43"/>
        <v>0</v>
      </c>
      <c r="BA52" s="112">
        <f t="shared" ca="1" si="43"/>
        <v>0</v>
      </c>
      <c r="BB52" s="112">
        <f t="shared" ca="1" si="43"/>
        <v>0</v>
      </c>
      <c r="BC52" s="112">
        <f t="shared" ca="1" si="43"/>
        <v>0</v>
      </c>
      <c r="BD52" s="112">
        <f t="shared" ca="1" si="43"/>
        <v>0</v>
      </c>
      <c r="BE52" s="112">
        <f t="shared" ca="1" si="43"/>
        <v>0</v>
      </c>
      <c r="BF52" s="112">
        <f t="shared" ca="1" si="44"/>
        <v>0</v>
      </c>
      <c r="BG52" s="112">
        <f t="shared" ca="1" si="44"/>
        <v>0</v>
      </c>
      <c r="BH52" s="112">
        <f t="shared" ca="1" si="44"/>
        <v>0</v>
      </c>
      <c r="BI52" s="112">
        <f t="shared" ca="1" si="44"/>
        <v>0</v>
      </c>
      <c r="BJ52" s="112">
        <f t="shared" ca="1" si="44"/>
        <v>0</v>
      </c>
      <c r="BK52" s="112">
        <f t="shared" ca="1" si="44"/>
        <v>0</v>
      </c>
      <c r="BL52" s="112">
        <f t="shared" ca="1" si="44"/>
        <v>0</v>
      </c>
      <c r="BM52" s="112">
        <f t="shared" ca="1" si="44"/>
        <v>0</v>
      </c>
      <c r="BN52" s="112">
        <f t="shared" ca="1" si="44"/>
        <v>0</v>
      </c>
      <c r="BO52" s="112">
        <f t="shared" ca="1" si="44"/>
        <v>0</v>
      </c>
      <c r="BQ52" s="449">
        <f t="shared" si="8"/>
        <v>42</v>
      </c>
      <c r="BR52" s="450">
        <f t="shared" si="9"/>
        <v>0</v>
      </c>
      <c r="BS52" s="335"/>
      <c r="BT52" s="335"/>
      <c r="BU52" s="335"/>
      <c r="BV52" s="335"/>
      <c r="BW52" s="335"/>
      <c r="BX52" s="452">
        <f t="shared" si="10"/>
        <v>0</v>
      </c>
    </row>
    <row r="53" spans="1:76" ht="15">
      <c r="A53" s="126">
        <f t="shared" ca="1" si="19"/>
        <v>21</v>
      </c>
      <c r="B53" s="121" t="str">
        <f t="shared" ca="1" si="11"/>
        <v>250601</v>
      </c>
      <c r="C53" s="121">
        <f t="shared" ca="1" si="16"/>
        <v>25</v>
      </c>
      <c r="D53" s="121">
        <f t="shared" ca="1" si="12"/>
        <v>24</v>
      </c>
      <c r="E53" s="121">
        <f t="shared" ca="1" si="17"/>
        <v>24</v>
      </c>
      <c r="F53" s="121" t="str">
        <f t="shared" ca="1" si="13"/>
        <v>e</v>
      </c>
      <c r="G53" s="121" t="str">
        <f t="shared" ca="1" si="14"/>
        <v>b</v>
      </c>
      <c r="H53" s="159">
        <f t="shared" ca="1" si="18"/>
        <v>21</v>
      </c>
      <c r="Y53" s="238">
        <f t="shared" si="7"/>
        <v>0</v>
      </c>
      <c r="Z53" s="16">
        <f t="shared" si="15"/>
        <v>43</v>
      </c>
      <c r="AB53" s="112">
        <f t="shared" ca="1" si="41"/>
        <v>0</v>
      </c>
      <c r="AC53" s="112">
        <f t="shared" ca="1" si="41"/>
        <v>0</v>
      </c>
      <c r="AD53" s="112">
        <f t="shared" ca="1" si="41"/>
        <v>0</v>
      </c>
      <c r="AE53" s="112">
        <f t="shared" ca="1" si="41"/>
        <v>0</v>
      </c>
      <c r="AF53" s="112">
        <f t="shared" ca="1" si="41"/>
        <v>0</v>
      </c>
      <c r="AG53" s="112">
        <f t="shared" ca="1" si="41"/>
        <v>0</v>
      </c>
      <c r="AH53" s="112">
        <f t="shared" ca="1" si="41"/>
        <v>0</v>
      </c>
      <c r="AI53" s="112">
        <f t="shared" ca="1" si="41"/>
        <v>0</v>
      </c>
      <c r="AJ53" s="112">
        <f t="shared" ca="1" si="41"/>
        <v>0</v>
      </c>
      <c r="AK53" s="112">
        <f t="shared" ca="1" si="41"/>
        <v>0</v>
      </c>
      <c r="AL53" s="112">
        <f t="shared" ca="1" si="42"/>
        <v>0</v>
      </c>
      <c r="AM53" s="112">
        <f t="shared" ca="1" si="42"/>
        <v>0</v>
      </c>
      <c r="AN53" s="112">
        <f t="shared" ca="1" si="42"/>
        <v>0</v>
      </c>
      <c r="AO53" s="112">
        <f t="shared" ca="1" si="42"/>
        <v>0</v>
      </c>
      <c r="AP53" s="112">
        <f t="shared" ca="1" si="42"/>
        <v>0</v>
      </c>
      <c r="AQ53" s="112">
        <f t="shared" ca="1" si="42"/>
        <v>0</v>
      </c>
      <c r="AR53" s="112">
        <f t="shared" ca="1" si="42"/>
        <v>0</v>
      </c>
      <c r="AS53" s="112">
        <f t="shared" ca="1" si="42"/>
        <v>0</v>
      </c>
      <c r="AT53" s="112">
        <f t="shared" ca="1" si="42"/>
        <v>0</v>
      </c>
      <c r="AU53" s="112">
        <f t="shared" ca="1" si="42"/>
        <v>0</v>
      </c>
      <c r="AV53" s="112">
        <f t="shared" ca="1" si="43"/>
        <v>0</v>
      </c>
      <c r="AW53" s="112">
        <f t="shared" ca="1" si="43"/>
        <v>0</v>
      </c>
      <c r="AX53" s="112">
        <f t="shared" ca="1" si="43"/>
        <v>0</v>
      </c>
      <c r="AY53" s="112">
        <f t="shared" ca="1" si="43"/>
        <v>0</v>
      </c>
      <c r="AZ53" s="112">
        <f t="shared" ca="1" si="43"/>
        <v>0</v>
      </c>
      <c r="BA53" s="112">
        <f t="shared" ca="1" si="43"/>
        <v>0</v>
      </c>
      <c r="BB53" s="112">
        <f t="shared" ca="1" si="43"/>
        <v>0</v>
      </c>
      <c r="BC53" s="112">
        <f t="shared" ca="1" si="43"/>
        <v>0</v>
      </c>
      <c r="BD53" s="112">
        <f t="shared" ca="1" si="43"/>
        <v>0</v>
      </c>
      <c r="BE53" s="112">
        <f t="shared" ca="1" si="43"/>
        <v>0</v>
      </c>
      <c r="BF53" s="112">
        <f t="shared" ca="1" si="44"/>
        <v>0</v>
      </c>
      <c r="BG53" s="112">
        <f t="shared" ca="1" si="44"/>
        <v>0</v>
      </c>
      <c r="BH53" s="112">
        <f t="shared" ca="1" si="44"/>
        <v>0</v>
      </c>
      <c r="BI53" s="112">
        <f t="shared" ca="1" si="44"/>
        <v>0</v>
      </c>
      <c r="BJ53" s="112">
        <f t="shared" ca="1" si="44"/>
        <v>0</v>
      </c>
      <c r="BK53" s="112">
        <f t="shared" ca="1" si="44"/>
        <v>0</v>
      </c>
      <c r="BL53" s="112">
        <f t="shared" ca="1" si="44"/>
        <v>0</v>
      </c>
      <c r="BM53" s="112">
        <f t="shared" ca="1" si="44"/>
        <v>0</v>
      </c>
      <c r="BN53" s="112">
        <f t="shared" ca="1" si="44"/>
        <v>0</v>
      </c>
      <c r="BO53" s="112">
        <f t="shared" ca="1" si="44"/>
        <v>0</v>
      </c>
      <c r="BQ53" s="449">
        <f t="shared" si="8"/>
        <v>43</v>
      </c>
      <c r="BR53" s="450">
        <f t="shared" si="9"/>
        <v>0</v>
      </c>
      <c r="BS53" s="335"/>
      <c r="BT53" s="335"/>
      <c r="BU53" s="335"/>
      <c r="BV53" s="335"/>
      <c r="BW53" s="335"/>
      <c r="BX53" s="452">
        <f t="shared" si="10"/>
        <v>0</v>
      </c>
    </row>
    <row r="54" spans="1:76" ht="15">
      <c r="A54" s="126">
        <f t="shared" ca="1" si="19"/>
        <v>20</v>
      </c>
      <c r="B54" s="121" t="str">
        <f t="shared" ca="1" si="11"/>
        <v>250601</v>
      </c>
      <c r="C54" s="121">
        <f t="shared" ca="1" si="16"/>
        <v>25</v>
      </c>
      <c r="D54" s="121">
        <f t="shared" ca="1" si="12"/>
        <v>26</v>
      </c>
      <c r="E54" s="121">
        <f t="shared" ca="1" si="17"/>
        <v>24</v>
      </c>
      <c r="F54" s="121" t="str">
        <f t="shared" ca="1" si="13"/>
        <v>e</v>
      </c>
      <c r="G54" s="121" t="str">
        <f t="shared" ca="1" si="14"/>
        <v>b</v>
      </c>
      <c r="H54" s="159">
        <f t="shared" ca="1" si="18"/>
        <v>20</v>
      </c>
      <c r="Y54" s="238">
        <f t="shared" si="7"/>
        <v>0</v>
      </c>
      <c r="Z54" s="16">
        <f t="shared" si="15"/>
        <v>44</v>
      </c>
      <c r="AB54" s="112">
        <f t="shared" ca="1" si="41"/>
        <v>0</v>
      </c>
      <c r="AC54" s="112">
        <f t="shared" ca="1" si="41"/>
        <v>0</v>
      </c>
      <c r="AD54" s="112">
        <f t="shared" ca="1" si="41"/>
        <v>0</v>
      </c>
      <c r="AE54" s="112">
        <f t="shared" ca="1" si="41"/>
        <v>0</v>
      </c>
      <c r="AF54" s="112">
        <f t="shared" ca="1" si="41"/>
        <v>0</v>
      </c>
      <c r="AG54" s="112">
        <f t="shared" ca="1" si="41"/>
        <v>0</v>
      </c>
      <c r="AH54" s="112">
        <f t="shared" ca="1" si="41"/>
        <v>0</v>
      </c>
      <c r="AI54" s="112">
        <f t="shared" ca="1" si="41"/>
        <v>0</v>
      </c>
      <c r="AJ54" s="112">
        <f t="shared" ca="1" si="41"/>
        <v>0</v>
      </c>
      <c r="AK54" s="112">
        <f t="shared" ca="1" si="41"/>
        <v>0</v>
      </c>
      <c r="AL54" s="112">
        <f t="shared" ca="1" si="42"/>
        <v>0</v>
      </c>
      <c r="AM54" s="112">
        <f t="shared" ca="1" si="42"/>
        <v>0</v>
      </c>
      <c r="AN54" s="112">
        <f t="shared" ca="1" si="42"/>
        <v>0</v>
      </c>
      <c r="AO54" s="112">
        <f t="shared" ca="1" si="42"/>
        <v>0</v>
      </c>
      <c r="AP54" s="112">
        <f t="shared" ca="1" si="42"/>
        <v>0</v>
      </c>
      <c r="AQ54" s="112">
        <f t="shared" ca="1" si="42"/>
        <v>0</v>
      </c>
      <c r="AR54" s="112">
        <f t="shared" ca="1" si="42"/>
        <v>0</v>
      </c>
      <c r="AS54" s="112">
        <f t="shared" ca="1" si="42"/>
        <v>0</v>
      </c>
      <c r="AT54" s="112">
        <f t="shared" ca="1" si="42"/>
        <v>0</v>
      </c>
      <c r="AU54" s="112">
        <f t="shared" ca="1" si="42"/>
        <v>0</v>
      </c>
      <c r="AV54" s="112">
        <f t="shared" ca="1" si="43"/>
        <v>0</v>
      </c>
      <c r="AW54" s="112">
        <f t="shared" ca="1" si="43"/>
        <v>0</v>
      </c>
      <c r="AX54" s="112">
        <f t="shared" ca="1" si="43"/>
        <v>0</v>
      </c>
      <c r="AY54" s="112">
        <f t="shared" ca="1" si="43"/>
        <v>0</v>
      </c>
      <c r="AZ54" s="112">
        <f t="shared" ca="1" si="43"/>
        <v>0</v>
      </c>
      <c r="BA54" s="112">
        <f t="shared" ca="1" si="43"/>
        <v>0</v>
      </c>
      <c r="BB54" s="112">
        <f t="shared" ca="1" si="43"/>
        <v>0</v>
      </c>
      <c r="BC54" s="112">
        <f t="shared" ca="1" si="43"/>
        <v>0</v>
      </c>
      <c r="BD54" s="112">
        <f t="shared" ca="1" si="43"/>
        <v>0</v>
      </c>
      <c r="BE54" s="112">
        <f t="shared" ca="1" si="43"/>
        <v>0</v>
      </c>
      <c r="BF54" s="112">
        <f t="shared" ca="1" si="44"/>
        <v>0</v>
      </c>
      <c r="BG54" s="112">
        <f t="shared" ca="1" si="44"/>
        <v>0</v>
      </c>
      <c r="BH54" s="112">
        <f t="shared" ca="1" si="44"/>
        <v>0</v>
      </c>
      <c r="BI54" s="112">
        <f t="shared" ca="1" si="44"/>
        <v>0</v>
      </c>
      <c r="BJ54" s="112">
        <f t="shared" ca="1" si="44"/>
        <v>0</v>
      </c>
      <c r="BK54" s="112">
        <f t="shared" ca="1" si="44"/>
        <v>0</v>
      </c>
      <c r="BL54" s="112">
        <f t="shared" ca="1" si="44"/>
        <v>0</v>
      </c>
      <c r="BM54" s="112">
        <f t="shared" ca="1" si="44"/>
        <v>0</v>
      </c>
      <c r="BN54" s="112">
        <f t="shared" ca="1" si="44"/>
        <v>0</v>
      </c>
      <c r="BO54" s="112">
        <f t="shared" ca="1" si="44"/>
        <v>0</v>
      </c>
      <c r="BQ54" s="449">
        <f t="shared" si="8"/>
        <v>44</v>
      </c>
      <c r="BR54" s="450">
        <f t="shared" si="9"/>
        <v>0</v>
      </c>
      <c r="BS54" s="335"/>
      <c r="BT54" s="335"/>
      <c r="BU54" s="335"/>
      <c r="BV54" s="335"/>
      <c r="BW54" s="335"/>
      <c r="BX54" s="452">
        <f t="shared" si="10"/>
        <v>0</v>
      </c>
    </row>
    <row r="55" spans="1:76" ht="15">
      <c r="A55" s="126">
        <f t="shared" ca="1" si="19"/>
        <v>19</v>
      </c>
      <c r="B55" s="121" t="str">
        <f t="shared" ca="1" si="11"/>
        <v>250602</v>
      </c>
      <c r="C55" s="121">
        <f t="shared" ca="1" si="16"/>
        <v>25</v>
      </c>
      <c r="D55" s="121">
        <f t="shared" ca="1" si="12"/>
        <v>25</v>
      </c>
      <c r="E55" s="121">
        <f t="shared" ca="1" si="17"/>
        <v>7</v>
      </c>
      <c r="F55" s="121" t="str">
        <f t="shared" ca="1" si="13"/>
        <v>e</v>
      </c>
      <c r="G55" s="121" t="str">
        <f t="shared" ca="1" si="14"/>
        <v>b</v>
      </c>
      <c r="H55" s="159">
        <f t="shared" ca="1" si="18"/>
        <v>19</v>
      </c>
      <c r="Y55" s="238">
        <f t="shared" si="7"/>
        <v>0</v>
      </c>
      <c r="Z55" s="16">
        <f t="shared" si="15"/>
        <v>45</v>
      </c>
      <c r="AB55" s="112">
        <f t="shared" ca="1" si="41"/>
        <v>0</v>
      </c>
      <c r="AC55" s="112">
        <f t="shared" ca="1" si="41"/>
        <v>0</v>
      </c>
      <c r="AD55" s="112">
        <f t="shared" ca="1" si="41"/>
        <v>0</v>
      </c>
      <c r="AE55" s="112">
        <f t="shared" ca="1" si="41"/>
        <v>0</v>
      </c>
      <c r="AF55" s="112">
        <f t="shared" ca="1" si="41"/>
        <v>0</v>
      </c>
      <c r="AG55" s="112">
        <f t="shared" ca="1" si="41"/>
        <v>0</v>
      </c>
      <c r="AH55" s="112">
        <f t="shared" ca="1" si="41"/>
        <v>0</v>
      </c>
      <c r="AI55" s="112">
        <f t="shared" ca="1" si="41"/>
        <v>0</v>
      </c>
      <c r="AJ55" s="112">
        <f t="shared" ca="1" si="41"/>
        <v>0</v>
      </c>
      <c r="AK55" s="112">
        <f t="shared" ca="1" si="41"/>
        <v>0</v>
      </c>
      <c r="AL55" s="112">
        <f t="shared" ca="1" si="42"/>
        <v>0</v>
      </c>
      <c r="AM55" s="112">
        <f t="shared" ca="1" si="42"/>
        <v>0</v>
      </c>
      <c r="AN55" s="112">
        <f t="shared" ca="1" si="42"/>
        <v>0</v>
      </c>
      <c r="AO55" s="112">
        <f t="shared" ca="1" si="42"/>
        <v>0</v>
      </c>
      <c r="AP55" s="112">
        <f t="shared" ca="1" si="42"/>
        <v>0</v>
      </c>
      <c r="AQ55" s="112">
        <f t="shared" ca="1" si="42"/>
        <v>0</v>
      </c>
      <c r="AR55" s="112">
        <f t="shared" ca="1" si="42"/>
        <v>0</v>
      </c>
      <c r="AS55" s="112">
        <f t="shared" ca="1" si="42"/>
        <v>0</v>
      </c>
      <c r="AT55" s="112">
        <f t="shared" ca="1" si="42"/>
        <v>0</v>
      </c>
      <c r="AU55" s="112">
        <f t="shared" ca="1" si="42"/>
        <v>0</v>
      </c>
      <c r="AV55" s="112">
        <f t="shared" ca="1" si="43"/>
        <v>0</v>
      </c>
      <c r="AW55" s="112">
        <f t="shared" ca="1" si="43"/>
        <v>0</v>
      </c>
      <c r="AX55" s="112">
        <f t="shared" ca="1" si="43"/>
        <v>0</v>
      </c>
      <c r="AY55" s="112">
        <f t="shared" ca="1" si="43"/>
        <v>0</v>
      </c>
      <c r="AZ55" s="112">
        <f t="shared" ca="1" si="43"/>
        <v>0</v>
      </c>
      <c r="BA55" s="112">
        <f t="shared" ca="1" si="43"/>
        <v>0</v>
      </c>
      <c r="BB55" s="112">
        <f t="shared" ca="1" si="43"/>
        <v>0</v>
      </c>
      <c r="BC55" s="112">
        <f t="shared" ca="1" si="43"/>
        <v>0</v>
      </c>
      <c r="BD55" s="112">
        <f t="shared" ca="1" si="43"/>
        <v>0</v>
      </c>
      <c r="BE55" s="112">
        <f t="shared" ca="1" si="43"/>
        <v>0</v>
      </c>
      <c r="BF55" s="112">
        <f t="shared" ca="1" si="44"/>
        <v>0</v>
      </c>
      <c r="BG55" s="112">
        <f t="shared" ca="1" si="44"/>
        <v>0</v>
      </c>
      <c r="BH55" s="112">
        <f t="shared" ca="1" si="44"/>
        <v>0</v>
      </c>
      <c r="BI55" s="112">
        <f t="shared" ca="1" si="44"/>
        <v>0</v>
      </c>
      <c r="BJ55" s="112">
        <f t="shared" ca="1" si="44"/>
        <v>0</v>
      </c>
      <c r="BK55" s="112">
        <f t="shared" ca="1" si="44"/>
        <v>0</v>
      </c>
      <c r="BL55" s="112">
        <f t="shared" ca="1" si="44"/>
        <v>0</v>
      </c>
      <c r="BM55" s="112">
        <f t="shared" ca="1" si="44"/>
        <v>0</v>
      </c>
      <c r="BN55" s="112">
        <f t="shared" ca="1" si="44"/>
        <v>0</v>
      </c>
      <c r="BO55" s="112">
        <f t="shared" ca="1" si="44"/>
        <v>0</v>
      </c>
      <c r="BQ55" s="449">
        <f t="shared" si="8"/>
        <v>45</v>
      </c>
      <c r="BR55" s="450">
        <f t="shared" si="9"/>
        <v>0</v>
      </c>
      <c r="BS55" s="335"/>
      <c r="BT55" s="335"/>
      <c r="BU55" s="335"/>
      <c r="BV55" s="335"/>
      <c r="BW55" s="335"/>
      <c r="BX55" s="452">
        <f t="shared" si="10"/>
        <v>0</v>
      </c>
    </row>
    <row r="56" spans="1:76" ht="15">
      <c r="A56" s="126">
        <f t="shared" ca="1" si="19"/>
        <v>18</v>
      </c>
      <c r="B56" s="121" t="str">
        <f t="shared" ca="1" si="11"/>
        <v>250603</v>
      </c>
      <c r="C56" s="121">
        <f t="shared" ca="1" si="16"/>
        <v>25</v>
      </c>
      <c r="D56" s="121">
        <f t="shared" ca="1" si="12"/>
        <v>17</v>
      </c>
      <c r="E56" s="121">
        <f t="shared" ca="1" si="17"/>
        <v>8</v>
      </c>
      <c r="F56" s="121" t="str">
        <f t="shared" ca="1" si="13"/>
        <v>e</v>
      </c>
      <c r="G56" s="121" t="str">
        <f t="shared" ca="1" si="14"/>
        <v>b</v>
      </c>
      <c r="H56" s="159">
        <f t="shared" ca="1" si="18"/>
        <v>18</v>
      </c>
      <c r="Y56" s="238">
        <f t="shared" si="7"/>
        <v>0</v>
      </c>
      <c r="Z56" s="16">
        <f t="shared" si="15"/>
        <v>46</v>
      </c>
      <c r="AB56" s="112">
        <f t="shared" ca="1" si="41"/>
        <v>0</v>
      </c>
      <c r="AC56" s="112">
        <f t="shared" ca="1" si="41"/>
        <v>0</v>
      </c>
      <c r="AD56" s="112">
        <f t="shared" ca="1" si="41"/>
        <v>0</v>
      </c>
      <c r="AE56" s="112">
        <f t="shared" ca="1" si="41"/>
        <v>0</v>
      </c>
      <c r="AF56" s="112">
        <f t="shared" ca="1" si="41"/>
        <v>0</v>
      </c>
      <c r="AG56" s="112">
        <f t="shared" ca="1" si="41"/>
        <v>0</v>
      </c>
      <c r="AH56" s="112">
        <f t="shared" ca="1" si="41"/>
        <v>0</v>
      </c>
      <c r="AI56" s="112">
        <f t="shared" ca="1" si="41"/>
        <v>0</v>
      </c>
      <c r="AJ56" s="112">
        <f t="shared" ca="1" si="41"/>
        <v>0</v>
      </c>
      <c r="AK56" s="112">
        <f t="shared" ca="1" si="41"/>
        <v>0</v>
      </c>
      <c r="AL56" s="112">
        <f t="shared" ca="1" si="42"/>
        <v>0</v>
      </c>
      <c r="AM56" s="112">
        <f t="shared" ca="1" si="42"/>
        <v>0</v>
      </c>
      <c r="AN56" s="112">
        <f t="shared" ca="1" si="42"/>
        <v>0</v>
      </c>
      <c r="AO56" s="112">
        <f t="shared" ca="1" si="42"/>
        <v>0</v>
      </c>
      <c r="AP56" s="112">
        <f t="shared" ca="1" si="42"/>
        <v>0</v>
      </c>
      <c r="AQ56" s="112">
        <f t="shared" ca="1" si="42"/>
        <v>0</v>
      </c>
      <c r="AR56" s="112">
        <f t="shared" ca="1" si="42"/>
        <v>0</v>
      </c>
      <c r="AS56" s="112">
        <f t="shared" ca="1" si="42"/>
        <v>0</v>
      </c>
      <c r="AT56" s="112">
        <f t="shared" ca="1" si="42"/>
        <v>0</v>
      </c>
      <c r="AU56" s="112">
        <f t="shared" ca="1" si="42"/>
        <v>0</v>
      </c>
      <c r="AV56" s="112">
        <f t="shared" ca="1" si="43"/>
        <v>0</v>
      </c>
      <c r="AW56" s="112">
        <f t="shared" ca="1" si="43"/>
        <v>0</v>
      </c>
      <c r="AX56" s="112">
        <f t="shared" ca="1" si="43"/>
        <v>0</v>
      </c>
      <c r="AY56" s="112">
        <f t="shared" ca="1" si="43"/>
        <v>0</v>
      </c>
      <c r="AZ56" s="112">
        <f t="shared" ca="1" si="43"/>
        <v>0</v>
      </c>
      <c r="BA56" s="112">
        <f t="shared" ca="1" si="43"/>
        <v>0</v>
      </c>
      <c r="BB56" s="112">
        <f t="shared" ca="1" si="43"/>
        <v>0</v>
      </c>
      <c r="BC56" s="112">
        <f t="shared" ca="1" si="43"/>
        <v>0</v>
      </c>
      <c r="BD56" s="112">
        <f t="shared" ca="1" si="43"/>
        <v>0</v>
      </c>
      <c r="BE56" s="112">
        <f t="shared" ca="1" si="43"/>
        <v>0</v>
      </c>
      <c r="BF56" s="112">
        <f t="shared" ca="1" si="44"/>
        <v>0</v>
      </c>
      <c r="BG56" s="112">
        <f t="shared" ca="1" si="44"/>
        <v>0</v>
      </c>
      <c r="BH56" s="112">
        <f t="shared" ca="1" si="44"/>
        <v>0</v>
      </c>
      <c r="BI56" s="112">
        <f t="shared" ca="1" si="44"/>
        <v>0</v>
      </c>
      <c r="BJ56" s="112">
        <f t="shared" ca="1" si="44"/>
        <v>0</v>
      </c>
      <c r="BK56" s="112">
        <f t="shared" ca="1" si="44"/>
        <v>0</v>
      </c>
      <c r="BL56" s="112">
        <f t="shared" ca="1" si="44"/>
        <v>0</v>
      </c>
      <c r="BM56" s="112">
        <f t="shared" ca="1" si="44"/>
        <v>0</v>
      </c>
      <c r="BN56" s="112">
        <f t="shared" ca="1" si="44"/>
        <v>0</v>
      </c>
      <c r="BO56" s="112">
        <f t="shared" ca="1" si="44"/>
        <v>0</v>
      </c>
      <c r="BQ56" s="454">
        <f t="shared" si="8"/>
        <v>46</v>
      </c>
      <c r="BR56" s="455">
        <f t="shared" si="9"/>
        <v>0</v>
      </c>
      <c r="BS56" s="426"/>
      <c r="BT56" s="426"/>
      <c r="BU56" s="426"/>
      <c r="BV56" s="426"/>
      <c r="BW56" s="426"/>
      <c r="BX56" s="456">
        <f t="shared" si="10"/>
        <v>0</v>
      </c>
    </row>
    <row r="57" spans="1:76" ht="13">
      <c r="A57" s="126">
        <f t="shared" ca="1" si="19"/>
        <v>17</v>
      </c>
      <c r="B57" s="121" t="str">
        <f t="shared" ca="1" si="11"/>
        <v>250604</v>
      </c>
      <c r="C57" s="121">
        <f t="shared" ca="1" si="16"/>
        <v>25</v>
      </c>
      <c r="D57" s="121">
        <f t="shared" ca="1" si="12"/>
        <v>13</v>
      </c>
      <c r="E57" s="121">
        <f t="shared" ca="1" si="17"/>
        <v>6</v>
      </c>
      <c r="F57" s="121" t="str">
        <f t="shared" ca="1" si="13"/>
        <v>e</v>
      </c>
      <c r="G57" s="121" t="str">
        <f t="shared" ca="1" si="14"/>
        <v>b</v>
      </c>
      <c r="H57" s="159">
        <f t="shared" ca="1" si="18"/>
        <v>17</v>
      </c>
      <c r="Y57" s="238">
        <f t="shared" si="7"/>
        <v>0</v>
      </c>
      <c r="Z57" s="16">
        <f t="shared" si="15"/>
        <v>47</v>
      </c>
      <c r="AB57" s="112">
        <f t="shared" ca="1" si="41"/>
        <v>0</v>
      </c>
      <c r="AC57" s="112">
        <f t="shared" ca="1" si="41"/>
        <v>0</v>
      </c>
      <c r="AD57" s="112">
        <f t="shared" ca="1" si="41"/>
        <v>0</v>
      </c>
      <c r="AE57" s="112">
        <f t="shared" ca="1" si="41"/>
        <v>0</v>
      </c>
      <c r="AF57" s="112">
        <f t="shared" ca="1" si="41"/>
        <v>0</v>
      </c>
      <c r="AG57" s="112">
        <f t="shared" ca="1" si="41"/>
        <v>0</v>
      </c>
      <c r="AH57" s="112">
        <f t="shared" ca="1" si="41"/>
        <v>0</v>
      </c>
      <c r="AI57" s="112">
        <f t="shared" ca="1" si="41"/>
        <v>0</v>
      </c>
      <c r="AJ57" s="112">
        <f t="shared" ca="1" si="41"/>
        <v>0</v>
      </c>
      <c r="AK57" s="112">
        <f t="shared" ca="1" si="41"/>
        <v>0</v>
      </c>
      <c r="AL57" s="112">
        <f t="shared" ca="1" si="42"/>
        <v>0</v>
      </c>
      <c r="AM57" s="112">
        <f t="shared" ca="1" si="42"/>
        <v>0</v>
      </c>
      <c r="AN57" s="112">
        <f t="shared" ca="1" si="42"/>
        <v>0</v>
      </c>
      <c r="AO57" s="112">
        <f t="shared" ca="1" si="42"/>
        <v>0</v>
      </c>
      <c r="AP57" s="112">
        <f t="shared" ca="1" si="42"/>
        <v>0</v>
      </c>
      <c r="AQ57" s="112">
        <f t="shared" ca="1" si="42"/>
        <v>0</v>
      </c>
      <c r="AR57" s="112">
        <f t="shared" ca="1" si="42"/>
        <v>0</v>
      </c>
      <c r="AS57" s="112">
        <f t="shared" ca="1" si="42"/>
        <v>0</v>
      </c>
      <c r="AT57" s="112">
        <f t="shared" ca="1" si="42"/>
        <v>0</v>
      </c>
      <c r="AU57" s="112">
        <f t="shared" ca="1" si="42"/>
        <v>0</v>
      </c>
      <c r="AV57" s="112">
        <f t="shared" ca="1" si="43"/>
        <v>0</v>
      </c>
      <c r="AW57" s="112">
        <f t="shared" ca="1" si="43"/>
        <v>0</v>
      </c>
      <c r="AX57" s="112">
        <f t="shared" ca="1" si="43"/>
        <v>0</v>
      </c>
      <c r="AY57" s="112">
        <f t="shared" ca="1" si="43"/>
        <v>0</v>
      </c>
      <c r="AZ57" s="112">
        <f t="shared" ca="1" si="43"/>
        <v>0</v>
      </c>
      <c r="BA57" s="112">
        <f t="shared" ca="1" si="43"/>
        <v>0</v>
      </c>
      <c r="BB57" s="112">
        <f t="shared" ca="1" si="43"/>
        <v>0</v>
      </c>
      <c r="BC57" s="112">
        <f t="shared" ca="1" si="43"/>
        <v>0</v>
      </c>
      <c r="BD57" s="112">
        <f t="shared" ca="1" si="43"/>
        <v>0</v>
      </c>
      <c r="BE57" s="112">
        <f t="shared" ca="1" si="43"/>
        <v>0</v>
      </c>
      <c r="BF57" s="112">
        <f t="shared" ca="1" si="44"/>
        <v>0</v>
      </c>
      <c r="BG57" s="112">
        <f t="shared" ca="1" si="44"/>
        <v>0</v>
      </c>
      <c r="BH57" s="112">
        <f t="shared" ca="1" si="44"/>
        <v>0</v>
      </c>
      <c r="BI57" s="112">
        <f t="shared" ca="1" si="44"/>
        <v>0</v>
      </c>
      <c r="BJ57" s="112">
        <f t="shared" ca="1" si="44"/>
        <v>0</v>
      </c>
      <c r="BK57" s="112">
        <f t="shared" ca="1" si="44"/>
        <v>0</v>
      </c>
      <c r="BL57" s="112">
        <f t="shared" ca="1" si="44"/>
        <v>0</v>
      </c>
      <c r="BM57" s="112">
        <f t="shared" ca="1" si="44"/>
        <v>0</v>
      </c>
      <c r="BN57" s="112">
        <f t="shared" ca="1" si="44"/>
        <v>0</v>
      </c>
      <c r="BO57" s="112">
        <f t="shared" ca="1" si="44"/>
        <v>0</v>
      </c>
    </row>
    <row r="58" spans="1:76" ht="13">
      <c r="A58" s="126">
        <f t="shared" ca="1" si="19"/>
        <v>16</v>
      </c>
      <c r="B58" s="121" t="str">
        <f t="shared" ca="1" si="11"/>
        <v>250606</v>
      </c>
      <c r="C58" s="121">
        <f t="shared" ca="1" si="16"/>
        <v>25</v>
      </c>
      <c r="D58" s="121">
        <f t="shared" ca="1" si="12"/>
        <v>9</v>
      </c>
      <c r="E58" s="121">
        <f t="shared" ca="1" si="17"/>
        <v>4</v>
      </c>
      <c r="F58" s="121" t="str">
        <f t="shared" ca="1" si="13"/>
        <v>e</v>
      </c>
      <c r="G58" s="121" t="str">
        <f t="shared" ca="1" si="14"/>
        <v>b</v>
      </c>
      <c r="H58" s="159">
        <f t="shared" ca="1" si="18"/>
        <v>16</v>
      </c>
      <c r="Y58" s="238">
        <f t="shared" si="7"/>
        <v>0</v>
      </c>
      <c r="Z58" s="16">
        <f t="shared" si="15"/>
        <v>48</v>
      </c>
      <c r="AB58" s="112">
        <f t="shared" ca="1" si="41"/>
        <v>0</v>
      </c>
      <c r="AC58" s="112">
        <f t="shared" ca="1" si="41"/>
        <v>0</v>
      </c>
      <c r="AD58" s="112">
        <f t="shared" ca="1" si="41"/>
        <v>0</v>
      </c>
      <c r="AE58" s="112">
        <f t="shared" ca="1" si="41"/>
        <v>0</v>
      </c>
      <c r="AF58" s="112">
        <f t="shared" ca="1" si="41"/>
        <v>0</v>
      </c>
      <c r="AG58" s="112">
        <f t="shared" ca="1" si="41"/>
        <v>0</v>
      </c>
      <c r="AH58" s="112">
        <f t="shared" ca="1" si="41"/>
        <v>0</v>
      </c>
      <c r="AI58" s="112">
        <f t="shared" ca="1" si="41"/>
        <v>0</v>
      </c>
      <c r="AJ58" s="112">
        <f t="shared" ca="1" si="41"/>
        <v>0</v>
      </c>
      <c r="AK58" s="112">
        <f t="shared" ca="1" si="41"/>
        <v>0</v>
      </c>
      <c r="AL58" s="112">
        <f t="shared" ca="1" si="42"/>
        <v>0</v>
      </c>
      <c r="AM58" s="112">
        <f t="shared" ca="1" si="42"/>
        <v>0</v>
      </c>
      <c r="AN58" s="112">
        <f t="shared" ca="1" si="42"/>
        <v>0</v>
      </c>
      <c r="AO58" s="112">
        <f t="shared" ca="1" si="42"/>
        <v>0</v>
      </c>
      <c r="AP58" s="112">
        <f t="shared" ca="1" si="42"/>
        <v>0</v>
      </c>
      <c r="AQ58" s="112">
        <f t="shared" ca="1" si="42"/>
        <v>0</v>
      </c>
      <c r="AR58" s="112">
        <f t="shared" ca="1" si="42"/>
        <v>0</v>
      </c>
      <c r="AS58" s="112">
        <f t="shared" ca="1" si="42"/>
        <v>0</v>
      </c>
      <c r="AT58" s="112">
        <f t="shared" ca="1" si="42"/>
        <v>0</v>
      </c>
      <c r="AU58" s="112">
        <f t="shared" ca="1" si="42"/>
        <v>0</v>
      </c>
      <c r="AV58" s="112">
        <f t="shared" ca="1" si="43"/>
        <v>0</v>
      </c>
      <c r="AW58" s="112">
        <f t="shared" ca="1" si="43"/>
        <v>0</v>
      </c>
      <c r="AX58" s="112">
        <f t="shared" ca="1" si="43"/>
        <v>0</v>
      </c>
      <c r="AY58" s="112">
        <f t="shared" ca="1" si="43"/>
        <v>0</v>
      </c>
      <c r="AZ58" s="112">
        <f t="shared" ca="1" si="43"/>
        <v>0</v>
      </c>
      <c r="BA58" s="112">
        <f t="shared" ca="1" si="43"/>
        <v>0</v>
      </c>
      <c r="BB58" s="112">
        <f t="shared" ca="1" si="43"/>
        <v>0</v>
      </c>
      <c r="BC58" s="112">
        <f t="shared" ca="1" si="43"/>
        <v>0</v>
      </c>
      <c r="BD58" s="112">
        <f t="shared" ca="1" si="43"/>
        <v>0</v>
      </c>
      <c r="BE58" s="112">
        <f t="shared" ca="1" si="43"/>
        <v>0</v>
      </c>
      <c r="BF58" s="112">
        <f t="shared" ca="1" si="44"/>
        <v>0</v>
      </c>
      <c r="BG58" s="112">
        <f t="shared" ca="1" si="44"/>
        <v>0</v>
      </c>
      <c r="BH58" s="112">
        <f t="shared" ca="1" si="44"/>
        <v>0</v>
      </c>
      <c r="BI58" s="112">
        <f t="shared" ca="1" si="44"/>
        <v>0</v>
      </c>
      <c r="BJ58" s="112">
        <f t="shared" ca="1" si="44"/>
        <v>0</v>
      </c>
      <c r="BK58" s="112">
        <f t="shared" ca="1" si="44"/>
        <v>0</v>
      </c>
      <c r="BL58" s="112">
        <f t="shared" ca="1" si="44"/>
        <v>0</v>
      </c>
      <c r="BM58" s="112">
        <f t="shared" ca="1" si="44"/>
        <v>0</v>
      </c>
      <c r="BN58" s="112">
        <f t="shared" ca="1" si="44"/>
        <v>0</v>
      </c>
      <c r="BO58" s="112">
        <f t="shared" ca="1" si="44"/>
        <v>0</v>
      </c>
    </row>
    <row r="59" spans="1:76" ht="13">
      <c r="A59" s="126">
        <f t="shared" ca="1" si="19"/>
        <v>15</v>
      </c>
      <c r="B59" s="121" t="str">
        <f t="shared" ca="1" si="11"/>
        <v>260602</v>
      </c>
      <c r="C59" s="121">
        <f t="shared" ca="1" si="16"/>
        <v>26</v>
      </c>
      <c r="D59" s="121">
        <f t="shared" ca="1" si="12"/>
        <v>26</v>
      </c>
      <c r="E59" s="121">
        <f t="shared" ca="1" si="17"/>
        <v>12</v>
      </c>
      <c r="F59" s="121" t="str">
        <f t="shared" ca="1" si="13"/>
        <v>e</v>
      </c>
      <c r="G59" s="121" t="str">
        <f t="shared" ca="1" si="14"/>
        <v>b</v>
      </c>
      <c r="H59" s="159">
        <f t="shared" ca="1" si="18"/>
        <v>15</v>
      </c>
    </row>
    <row r="60" spans="1:76" ht="13">
      <c r="A60" s="126">
        <f t="shared" ca="1" si="19"/>
        <v>14</v>
      </c>
      <c r="B60" s="121" t="str">
        <f t="shared" ca="1" si="11"/>
        <v>260603</v>
      </c>
      <c r="C60" s="121">
        <f t="shared" ca="1" si="16"/>
        <v>26</v>
      </c>
      <c r="D60" s="121">
        <f t="shared" ca="1" si="12"/>
        <v>18</v>
      </c>
      <c r="E60" s="121">
        <f t="shared" ca="1" si="17"/>
        <v>8</v>
      </c>
      <c r="F60" s="121" t="str">
        <f t="shared" ca="1" si="13"/>
        <v>e</v>
      </c>
      <c r="G60" s="121" t="str">
        <f t="shared" ca="1" si="14"/>
        <v>b</v>
      </c>
      <c r="H60" s="159">
        <f t="shared" ca="1" si="18"/>
        <v>14</v>
      </c>
    </row>
    <row r="61" spans="1:76" ht="13">
      <c r="A61" s="126">
        <f t="shared" ca="1" si="19"/>
        <v>13</v>
      </c>
      <c r="B61" s="121" t="str">
        <f t="shared" ca="1" si="11"/>
        <v>260604</v>
      </c>
      <c r="C61" s="121">
        <f t="shared" ca="1" si="16"/>
        <v>26</v>
      </c>
      <c r="D61" s="121">
        <f t="shared" ca="1" si="12"/>
        <v>13</v>
      </c>
      <c r="E61" s="121">
        <f t="shared" ca="1" si="17"/>
        <v>6</v>
      </c>
      <c r="F61" s="121" t="str">
        <f t="shared" ca="1" si="13"/>
        <v>e</v>
      </c>
      <c r="G61" s="121" t="str">
        <f t="shared" ca="1" si="14"/>
        <v>b</v>
      </c>
      <c r="H61" s="159">
        <f t="shared" ca="1" si="18"/>
        <v>13</v>
      </c>
    </row>
    <row r="62" spans="1:76" ht="13">
      <c r="A62" s="126">
        <f t="shared" ca="1" si="19"/>
        <v>12</v>
      </c>
      <c r="B62" s="121" t="str">
        <f t="shared" ca="1" si="11"/>
        <v>260605</v>
      </c>
      <c r="C62" s="121">
        <f t="shared" ca="1" si="16"/>
        <v>26</v>
      </c>
      <c r="D62" s="121">
        <f t="shared" ca="1" si="12"/>
        <v>10</v>
      </c>
      <c r="E62" s="121">
        <f t="shared" ca="1" si="17"/>
        <v>5</v>
      </c>
      <c r="F62" s="121" t="str">
        <f t="shared" ca="1" si="13"/>
        <v>e</v>
      </c>
      <c r="G62" s="121" t="str">
        <f t="shared" ca="1" si="14"/>
        <v>w</v>
      </c>
      <c r="H62" s="159">
        <f t="shared" ca="1" si="18"/>
        <v>12</v>
      </c>
    </row>
    <row r="63" spans="1:76" ht="13">
      <c r="A63" s="126">
        <f t="shared" ca="1" si="19"/>
        <v>11</v>
      </c>
      <c r="B63" s="121" t="str">
        <f t="shared" ca="1" si="11"/>
        <v>260605</v>
      </c>
      <c r="C63" s="121">
        <f t="shared" ca="1" si="16"/>
        <v>26</v>
      </c>
      <c r="D63" s="121">
        <f t="shared" ca="1" si="12"/>
        <v>11</v>
      </c>
      <c r="E63" s="121">
        <f t="shared" ca="1" si="17"/>
        <v>5</v>
      </c>
      <c r="F63" s="121" t="str">
        <f t="shared" ca="1" si="13"/>
        <v>e</v>
      </c>
      <c r="G63" s="121" t="str">
        <f t="shared" ca="1" si="14"/>
        <v/>
      </c>
      <c r="H63" s="159">
        <f t="shared" ca="1" si="18"/>
        <v>11</v>
      </c>
    </row>
    <row r="64" spans="1:76" ht="13">
      <c r="A64" s="126">
        <f t="shared" ca="1" si="19"/>
        <v>10</v>
      </c>
      <c r="B64" s="121" t="str">
        <f t="shared" ca="1" si="11"/>
        <v>260606</v>
      </c>
      <c r="C64" s="121">
        <f t="shared" ca="1" si="16"/>
        <v>26</v>
      </c>
      <c r="D64" s="121">
        <f t="shared" ca="1" si="12"/>
        <v>9</v>
      </c>
      <c r="E64" s="121">
        <f t="shared" ca="1" si="17"/>
        <v>4</v>
      </c>
      <c r="F64" s="121" t="str">
        <f t="shared" ca="1" si="13"/>
        <v>e</v>
      </c>
      <c r="G64" s="121" t="str">
        <f t="shared" ca="1" si="14"/>
        <v>b</v>
      </c>
      <c r="H64" s="159">
        <f t="shared" ca="1" si="18"/>
        <v>10</v>
      </c>
    </row>
    <row r="65" spans="1:8" ht="13">
      <c r="A65" s="126">
        <f t="shared" ca="1" si="19"/>
        <v>9</v>
      </c>
      <c r="B65" s="121" t="str">
        <f t="shared" ca="1" si="11"/>
        <v>270603</v>
      </c>
      <c r="C65" s="121">
        <f t="shared" ca="1" si="16"/>
        <v>27</v>
      </c>
      <c r="D65" s="121">
        <f t="shared" ca="1" si="12"/>
        <v>18</v>
      </c>
      <c r="E65" s="121">
        <f t="shared" ca="1" si="17"/>
        <v>8</v>
      </c>
      <c r="F65" s="121" t="str">
        <f t="shared" ca="1" si="13"/>
        <v>e</v>
      </c>
      <c r="G65" s="121" t="str">
        <f t="shared" ca="1" si="14"/>
        <v>b</v>
      </c>
      <c r="H65" s="159">
        <f t="shared" ca="1" si="18"/>
        <v>9</v>
      </c>
    </row>
    <row r="66" spans="1:8" ht="13">
      <c r="A66" s="126">
        <f t="shared" ca="1" si="19"/>
        <v>8</v>
      </c>
      <c r="B66" s="121" t="str">
        <f t="shared" ca="1" si="11"/>
        <v>270604</v>
      </c>
      <c r="C66" s="121">
        <f t="shared" ca="1" si="16"/>
        <v>27</v>
      </c>
      <c r="D66" s="121">
        <f t="shared" ca="1" si="12"/>
        <v>14</v>
      </c>
      <c r="E66" s="121">
        <f t="shared" ca="1" si="17"/>
        <v>6</v>
      </c>
      <c r="F66" s="121" t="str">
        <f t="shared" ca="1" si="13"/>
        <v>e</v>
      </c>
      <c r="G66" s="121" t="str">
        <f t="shared" ca="1" si="14"/>
        <v>b</v>
      </c>
      <c r="H66" s="159">
        <f t="shared" ca="1" si="18"/>
        <v>8</v>
      </c>
    </row>
    <row r="67" spans="1:8" ht="13">
      <c r="A67" s="126">
        <f t="shared" ca="1" si="19"/>
        <v>7</v>
      </c>
      <c r="B67" s="121" t="str">
        <f t="shared" ca="1" si="11"/>
        <v>270605</v>
      </c>
      <c r="C67" s="121">
        <f t="shared" ca="1" si="16"/>
        <v>27</v>
      </c>
      <c r="D67" s="121">
        <f t="shared" ca="1" si="12"/>
        <v>10</v>
      </c>
      <c r="E67" s="121">
        <f t="shared" ca="1" si="17"/>
        <v>5</v>
      </c>
      <c r="F67" s="121" t="str">
        <f t="shared" ca="1" si="13"/>
        <v>e</v>
      </c>
      <c r="G67" s="121" t="str">
        <f t="shared" ca="1" si="14"/>
        <v>w</v>
      </c>
      <c r="H67" s="159">
        <f t="shared" ca="1" si="18"/>
        <v>7</v>
      </c>
    </row>
    <row r="68" spans="1:8" ht="13">
      <c r="A68" s="126">
        <f t="shared" ca="1" si="19"/>
        <v>6</v>
      </c>
      <c r="B68" s="121" t="str">
        <f t="shared" ca="1" si="11"/>
        <v>270606</v>
      </c>
      <c r="C68" s="121">
        <f t="shared" ca="1" si="16"/>
        <v>27</v>
      </c>
      <c r="D68" s="121">
        <f t="shared" ca="1" si="12"/>
        <v>9</v>
      </c>
      <c r="E68" s="121">
        <f t="shared" ca="1" si="17"/>
        <v>4</v>
      </c>
      <c r="F68" s="121" t="str">
        <f t="shared" ca="1" si="13"/>
        <v>e</v>
      </c>
      <c r="G68" s="121" t="str">
        <f t="shared" ca="1" si="14"/>
        <v>b</v>
      </c>
      <c r="H68" s="159">
        <f t="shared" ca="1" si="18"/>
        <v>6</v>
      </c>
    </row>
    <row r="69" spans="1:8" ht="13">
      <c r="A69" s="126">
        <f t="shared" ca="1" si="19"/>
        <v>5</v>
      </c>
      <c r="B69" s="121" t="str">
        <f t="shared" ca="1" si="11"/>
        <v>280604</v>
      </c>
      <c r="C69" s="121">
        <f t="shared" ca="1" si="16"/>
        <v>28</v>
      </c>
      <c r="D69" s="121">
        <f t="shared" ca="1" si="12"/>
        <v>14</v>
      </c>
      <c r="E69" s="121">
        <f t="shared" ca="1" si="17"/>
        <v>6</v>
      </c>
      <c r="F69" s="121" t="str">
        <f t="shared" ca="1" si="13"/>
        <v>e</v>
      </c>
      <c r="G69" s="121" t="str">
        <f t="shared" ca="1" si="14"/>
        <v>b</v>
      </c>
      <c r="H69" s="159">
        <f t="shared" ca="1" si="18"/>
        <v>5</v>
      </c>
    </row>
    <row r="70" spans="1:8" ht="13">
      <c r="A70" s="126">
        <f t="shared" ca="1" si="19"/>
        <v>4</v>
      </c>
      <c r="B70" s="121" t="str">
        <f t="shared" ca="1" si="11"/>
        <v>280606</v>
      </c>
      <c r="C70" s="121">
        <f t="shared" ca="1" si="16"/>
        <v>28</v>
      </c>
      <c r="D70" s="121">
        <f t="shared" ca="1" si="12"/>
        <v>10</v>
      </c>
      <c r="E70" s="121">
        <f t="shared" ca="1" si="17"/>
        <v>4</v>
      </c>
      <c r="F70" s="121" t="str">
        <f t="shared" ca="1" si="13"/>
        <v>e</v>
      </c>
      <c r="G70" s="121" t="str">
        <f t="shared" ca="1" si="14"/>
        <v>b</v>
      </c>
      <c r="H70" s="159">
        <f t="shared" ca="1" si="18"/>
        <v>4</v>
      </c>
    </row>
    <row r="71" spans="1:8" ht="13">
      <c r="A71" s="126">
        <f t="shared" ca="1" si="19"/>
        <v>3</v>
      </c>
      <c r="B71" s="121" t="str">
        <f t="shared" ref="B71:B80" ca="1" si="45">IF(A71=0," ",VLOOKUP(A71,INDIRECT($B$10),2,FALSE))</f>
        <v>290606</v>
      </c>
      <c r="C71" s="121">
        <f t="shared" ref="C71:C80" ca="1" si="46">IF(A71=0," ",VLOOKUP(A71,INDIRECT($B$10),4,FALSE))</f>
        <v>29</v>
      </c>
      <c r="D71" s="121">
        <f t="shared" ref="D71:D80" ca="1" si="47">IF(A71=0," ",VLOOKUP(A71,INDIRECT($B$10),8,FALSE))</f>
        <v>10</v>
      </c>
      <c r="E71" s="121">
        <f t="shared" ref="E71:E80" ca="1" si="48">IF(A71=0," ",VLOOKUP(A71,INDIRECT($B$10),7,FALSE))</f>
        <v>4</v>
      </c>
      <c r="F71" s="121" t="str">
        <f t="shared" ref="F71:F80" ca="1" si="49">IF(A71=0," ",VLOOKUP(A71,INDIRECT($B$10),12,FALSE))</f>
        <v>e</v>
      </c>
      <c r="G71" s="121" t="str">
        <f t="shared" ref="G71:G80" ca="1" si="50">IF(A71=0," ",VLOOKUP(A71,INDIRECT($B$10),13,FALSE))</f>
        <v>b</v>
      </c>
      <c r="H71" s="159">
        <f t="shared" ref="H71:H80" ca="1" si="51">A71</f>
        <v>3</v>
      </c>
    </row>
    <row r="72" spans="1:8" ht="13">
      <c r="A72" s="126">
        <f t="shared" ca="1" si="19"/>
        <v>2</v>
      </c>
      <c r="B72" s="121" t="str">
        <f t="shared" ca="1" si="45"/>
        <v>300606</v>
      </c>
      <c r="C72" s="121">
        <f t="shared" ca="1" si="46"/>
        <v>30</v>
      </c>
      <c r="D72" s="121">
        <f t="shared" ca="1" si="47"/>
        <v>10</v>
      </c>
      <c r="E72" s="121">
        <f t="shared" ca="1" si="48"/>
        <v>4</v>
      </c>
      <c r="F72" s="121" t="str">
        <f t="shared" ca="1" si="49"/>
        <v>e</v>
      </c>
      <c r="G72" s="121" t="str">
        <f t="shared" ca="1" si="50"/>
        <v>b</v>
      </c>
      <c r="H72" s="159">
        <f t="shared" ca="1" si="51"/>
        <v>2</v>
      </c>
    </row>
    <row r="73" spans="1:8" ht="13">
      <c r="A73" s="126">
        <f t="shared" ca="1" si="19"/>
        <v>1</v>
      </c>
      <c r="B73" s="121" t="str">
        <f t="shared" ca="1" si="45"/>
        <v>320604</v>
      </c>
      <c r="C73" s="121">
        <f t="shared" ca="1" si="46"/>
        <v>32</v>
      </c>
      <c r="D73" s="121">
        <f t="shared" ca="1" si="47"/>
        <v>19</v>
      </c>
      <c r="E73" s="121">
        <f t="shared" ca="1" si="48"/>
        <v>7</v>
      </c>
      <c r="F73" s="121" t="str">
        <f t="shared" ca="1" si="49"/>
        <v>c</v>
      </c>
      <c r="G73" s="121" t="str">
        <f t="shared" ca="1" si="50"/>
        <v/>
      </c>
      <c r="H73" s="159">
        <f t="shared" ca="1" si="51"/>
        <v>1</v>
      </c>
    </row>
    <row r="74" spans="1:8" ht="13">
      <c r="A74" s="126">
        <f t="shared" ca="1" si="19"/>
        <v>0</v>
      </c>
      <c r="B74" s="121" t="str">
        <f t="shared" ca="1" si="45"/>
        <v xml:space="preserve"> </v>
      </c>
      <c r="C74" s="121" t="str">
        <f t="shared" ca="1" si="46"/>
        <v xml:space="preserve"> </v>
      </c>
      <c r="D74" s="121" t="str">
        <f t="shared" ca="1" si="47"/>
        <v xml:space="preserve"> </v>
      </c>
      <c r="E74" s="121" t="str">
        <f t="shared" ca="1" si="48"/>
        <v xml:space="preserve"> </v>
      </c>
      <c r="F74" s="121" t="str">
        <f t="shared" ca="1" si="49"/>
        <v xml:space="preserve"> </v>
      </c>
      <c r="G74" s="121" t="str">
        <f t="shared" ca="1" si="50"/>
        <v xml:space="preserve"> </v>
      </c>
      <c r="H74" s="159">
        <f t="shared" ca="1" si="51"/>
        <v>0</v>
      </c>
    </row>
    <row r="75" spans="1:8" ht="13">
      <c r="A75" s="126">
        <f t="shared" ca="1" si="19"/>
        <v>0</v>
      </c>
      <c r="B75" s="121" t="str">
        <f t="shared" ca="1" si="45"/>
        <v xml:space="preserve"> </v>
      </c>
      <c r="C75" s="121" t="str">
        <f t="shared" ca="1" si="46"/>
        <v xml:space="preserve"> </v>
      </c>
      <c r="D75" s="121" t="str">
        <f t="shared" ca="1" si="47"/>
        <v xml:space="preserve"> </v>
      </c>
      <c r="E75" s="121" t="str">
        <f t="shared" ca="1" si="48"/>
        <v xml:space="preserve"> </v>
      </c>
      <c r="F75" s="121" t="str">
        <f t="shared" ca="1" si="49"/>
        <v xml:space="preserve"> </v>
      </c>
      <c r="G75" s="121" t="str">
        <f t="shared" ca="1" si="50"/>
        <v xml:space="preserve"> </v>
      </c>
      <c r="H75" s="159">
        <f t="shared" ca="1" si="51"/>
        <v>0</v>
      </c>
    </row>
    <row r="76" spans="1:8" ht="13">
      <c r="A76" s="126">
        <f t="shared" ca="1" si="19"/>
        <v>0</v>
      </c>
      <c r="B76" s="121" t="str">
        <f t="shared" ca="1" si="45"/>
        <v xml:space="preserve"> </v>
      </c>
      <c r="C76" s="121" t="str">
        <f t="shared" ca="1" si="46"/>
        <v xml:space="preserve"> </v>
      </c>
      <c r="D76" s="121" t="str">
        <f t="shared" ca="1" si="47"/>
        <v xml:space="preserve"> </v>
      </c>
      <c r="E76" s="121" t="str">
        <f t="shared" ca="1" si="48"/>
        <v xml:space="preserve"> </v>
      </c>
      <c r="F76" s="121" t="str">
        <f t="shared" ca="1" si="49"/>
        <v xml:space="preserve"> </v>
      </c>
      <c r="G76" s="121" t="str">
        <f t="shared" ca="1" si="50"/>
        <v xml:space="preserve"> </v>
      </c>
      <c r="H76" s="159">
        <f t="shared" ca="1" si="51"/>
        <v>0</v>
      </c>
    </row>
    <row r="77" spans="1:8" ht="13">
      <c r="A77" s="126">
        <f t="shared" ca="1" si="19"/>
        <v>0</v>
      </c>
      <c r="B77" s="121" t="str">
        <f t="shared" ca="1" si="45"/>
        <v xml:space="preserve"> </v>
      </c>
      <c r="C77" s="121" t="str">
        <f t="shared" ca="1" si="46"/>
        <v xml:space="preserve"> </v>
      </c>
      <c r="D77" s="121" t="str">
        <f t="shared" ca="1" si="47"/>
        <v xml:space="preserve"> </v>
      </c>
      <c r="E77" s="121" t="str">
        <f t="shared" ca="1" si="48"/>
        <v xml:space="preserve"> </v>
      </c>
      <c r="F77" s="121" t="str">
        <f t="shared" ca="1" si="49"/>
        <v xml:space="preserve"> </v>
      </c>
      <c r="G77" s="121" t="str">
        <f t="shared" ca="1" si="50"/>
        <v xml:space="preserve"> </v>
      </c>
      <c r="H77" s="159">
        <f t="shared" ca="1" si="51"/>
        <v>0</v>
      </c>
    </row>
    <row r="78" spans="1:8" ht="13">
      <c r="A78" s="126">
        <f t="shared" ca="1" si="19"/>
        <v>0</v>
      </c>
      <c r="B78" s="121" t="str">
        <f t="shared" ca="1" si="45"/>
        <v xml:space="preserve"> </v>
      </c>
      <c r="C78" s="121" t="str">
        <f t="shared" ca="1" si="46"/>
        <v xml:space="preserve"> </v>
      </c>
      <c r="D78" s="121" t="str">
        <f t="shared" ca="1" si="47"/>
        <v xml:space="preserve"> </v>
      </c>
      <c r="E78" s="121" t="str">
        <f t="shared" ca="1" si="48"/>
        <v xml:space="preserve"> </v>
      </c>
      <c r="F78" s="121" t="str">
        <f t="shared" ca="1" si="49"/>
        <v xml:space="preserve"> </v>
      </c>
      <c r="G78" s="121" t="str">
        <f t="shared" ca="1" si="50"/>
        <v xml:space="preserve"> </v>
      </c>
      <c r="H78" s="159">
        <f t="shared" ca="1" si="51"/>
        <v>0</v>
      </c>
    </row>
    <row r="79" spans="1:8" ht="13">
      <c r="A79" s="126">
        <f t="shared" ref="A79:A80" ca="1" si="52">IF(A78-1&lt;=0,0,A78-1)</f>
        <v>0</v>
      </c>
      <c r="B79" s="121" t="str">
        <f t="shared" ca="1" si="45"/>
        <v xml:space="preserve"> </v>
      </c>
      <c r="C79" s="121" t="str">
        <f t="shared" ca="1" si="46"/>
        <v xml:space="preserve"> </v>
      </c>
      <c r="D79" s="121" t="str">
        <f t="shared" ca="1" si="47"/>
        <v xml:space="preserve"> </v>
      </c>
      <c r="E79" s="121" t="str">
        <f t="shared" ca="1" si="48"/>
        <v xml:space="preserve"> </v>
      </c>
      <c r="F79" s="121" t="str">
        <f t="shared" ca="1" si="49"/>
        <v xml:space="preserve"> </v>
      </c>
      <c r="G79" s="121" t="str">
        <f t="shared" ca="1" si="50"/>
        <v xml:space="preserve"> </v>
      </c>
      <c r="H79" s="159">
        <f t="shared" ca="1" si="51"/>
        <v>0</v>
      </c>
    </row>
    <row r="80" spans="1:8" ht="13">
      <c r="A80" s="126">
        <f t="shared" ca="1" si="52"/>
        <v>0</v>
      </c>
      <c r="B80" s="370" t="str">
        <f t="shared" ca="1" si="45"/>
        <v xml:space="preserve"> </v>
      </c>
      <c r="C80" s="371" t="str">
        <f t="shared" ca="1" si="46"/>
        <v xml:space="preserve"> </v>
      </c>
      <c r="D80" s="371" t="str">
        <f t="shared" ca="1" si="47"/>
        <v xml:space="preserve"> </v>
      </c>
      <c r="E80" s="371" t="str">
        <f t="shared" ca="1" si="48"/>
        <v xml:space="preserve"> </v>
      </c>
      <c r="F80" s="371" t="str">
        <f t="shared" ca="1" si="49"/>
        <v xml:space="preserve"> </v>
      </c>
      <c r="G80" s="371" t="str">
        <f t="shared" ca="1" si="50"/>
        <v xml:space="preserve"> </v>
      </c>
      <c r="H80" s="372">
        <f t="shared" ca="1" si="51"/>
        <v>0</v>
      </c>
    </row>
  </sheetData>
  <sheetProtection password="FFF0" sheet="1" objects="1" scenarios="1"/>
  <mergeCells count="2">
    <mergeCell ref="I6:K6"/>
    <mergeCell ref="I8:L8"/>
  </mergeCells>
  <conditionalFormatting sqref="P20:U20">
    <cfRule type="cellIs" dxfId="306" priority="21" operator="greaterThan">
      <formula>10</formula>
    </cfRule>
  </conditionalFormatting>
  <conditionalFormatting sqref="P23:U23">
    <cfRule type="cellIs" dxfId="305" priority="20" operator="greaterThan">
      <formula>10</formula>
    </cfRule>
  </conditionalFormatting>
  <conditionalFormatting sqref="P20:U21">
    <cfRule type="cellIs" dxfId="304" priority="19" operator="equal">
      <formula>0</formula>
    </cfRule>
  </conditionalFormatting>
  <conditionalFormatting sqref="P23:U23">
    <cfRule type="cellIs" dxfId="303" priority="18" operator="equal">
      <formula>0</formula>
    </cfRule>
  </conditionalFormatting>
  <conditionalFormatting sqref="P24:U24">
    <cfRule type="cellIs" dxfId="302" priority="17" operator="equal">
      <formula>0</formula>
    </cfRule>
  </conditionalFormatting>
  <conditionalFormatting sqref="P33:U34">
    <cfRule type="cellIs" dxfId="301" priority="15" operator="equal">
      <formula>0</formula>
    </cfRule>
  </conditionalFormatting>
  <conditionalFormatting sqref="P33:U33">
    <cfRule type="cellIs" dxfId="300" priority="16" operator="greaterThan">
      <formula>10</formula>
    </cfRule>
  </conditionalFormatting>
  <conditionalFormatting sqref="P27:T32">
    <cfRule type="cellIs" dxfId="299" priority="14" operator="equal">
      <formula>0</formula>
    </cfRule>
  </conditionalFormatting>
  <conditionalFormatting sqref="P14:U19">
    <cfRule type="cellIs" dxfId="298" priority="13" operator="equal">
      <formula>0</formula>
    </cfRule>
  </conditionalFormatting>
  <conditionalFormatting sqref="C13:C80">
    <cfRule type="expression" dxfId="297" priority="12">
      <formula>B13=$B$9</formula>
    </cfRule>
  </conditionalFormatting>
  <conditionalFormatting sqref="A13">
    <cfRule type="cellIs" dxfId="296" priority="11" operator="equal">
      <formula>0</formula>
    </cfRule>
  </conditionalFormatting>
  <conditionalFormatting sqref="A14:A80">
    <cfRule type="cellIs" dxfId="295" priority="10" operator="equal">
      <formula>0</formula>
    </cfRule>
  </conditionalFormatting>
  <conditionalFormatting sqref="P42:X42">
    <cfRule type="cellIs" dxfId="294" priority="9" operator="equal">
      <formula>0</formula>
    </cfRule>
  </conditionalFormatting>
  <conditionalFormatting sqref="H4">
    <cfRule type="cellIs" dxfId="293" priority="8" operator="equal">
      <formula>0</formula>
    </cfRule>
  </conditionalFormatting>
  <conditionalFormatting sqref="U27:U32">
    <cfRule type="cellIs" dxfId="292" priority="7" operator="equal">
      <formula>0</formula>
    </cfRule>
  </conditionalFormatting>
  <conditionalFormatting sqref="I8:L8">
    <cfRule type="containsText" dxfId="291" priority="5" operator="containsText" text="&lt; enter the dw#">
      <formula>NOT(ISERROR(SEARCH("&lt; enter the dw#",I8)))</formula>
    </cfRule>
    <cfRule type="containsText" dxfId="290" priority="6" operator="containsText" text="&lt; remove this value">
      <formula>NOT(ISERROR(SEARCH("&lt; remove this value",I8)))</formula>
    </cfRule>
  </conditionalFormatting>
  <conditionalFormatting sqref="AA11:AA58">
    <cfRule type="expression" dxfId="289" priority="4">
      <formula>$Y11&lt;&gt;$Y10</formula>
    </cfRule>
  </conditionalFormatting>
  <conditionalFormatting sqref="AB11:BO58">
    <cfRule type="cellIs" dxfId="288" priority="3" operator="equal">
      <formula>0</formula>
    </cfRule>
  </conditionalFormatting>
  <conditionalFormatting sqref="BX11:BX56">
    <cfRule type="cellIs" dxfId="287" priority="2" operator="equal">
      <formula>0</formula>
    </cfRule>
  </conditionalFormatting>
  <conditionalFormatting sqref="BR11:BR56">
    <cfRule type="cellIs" dxfId="286" priority="1" operator="equal">
      <formula>0</formula>
    </cfRule>
  </conditionalFormatting>
  <dataValidations count="2">
    <dataValidation type="list" allowBlank="1" showInputMessage="1" showErrorMessage="1" sqref="F4">
      <formula1>"2,3,4,5,6,7,8,9,10"</formula1>
    </dataValidation>
    <dataValidation type="list" allowBlank="1" showInputMessage="1" showErrorMessage="1" sqref="F8">
      <formula1>$P$13:$U$13</formula1>
    </dataValidation>
  </dataValidation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97"/>
  <sheetViews>
    <sheetView topLeftCell="A6" workbookViewId="0">
      <selection activeCell="L27" sqref="L27"/>
    </sheetView>
  </sheetViews>
  <sheetFormatPr baseColWidth="10" defaultRowHeight="15" x14ac:dyDescent="0"/>
  <cols>
    <col min="1" max="1" width="18.5703125" style="4" customWidth="1"/>
    <col min="2" max="2" width="18.7109375" style="4" customWidth="1"/>
    <col min="3" max="40" width="3.7109375" style="4" customWidth="1"/>
    <col min="41" max="42" width="3.7109375" style="86" customWidth="1"/>
    <col min="43" max="43" width="4.7109375" style="4" customWidth="1"/>
    <col min="44" max="44" width="18.7109375" style="4" customWidth="1"/>
    <col min="45" max="45" width="4.7109375" style="4" customWidth="1"/>
    <col min="46" max="46" width="6.7109375" style="4" customWidth="1"/>
    <col min="47" max="55" width="3.7109375" style="4" customWidth="1"/>
    <col min="56" max="56" width="3.7109375" style="5" customWidth="1"/>
    <col min="57" max="58" width="4.7109375" style="4" customWidth="1"/>
    <col min="59" max="59" width="2.7109375" style="4" customWidth="1"/>
    <col min="60" max="61" width="5.140625" style="4" customWidth="1"/>
    <col min="62" max="62" width="2.7109375" style="4" customWidth="1"/>
    <col min="63" max="98" width="2.7109375" style="4" hidden="1" customWidth="1"/>
    <col min="99" max="99" width="2.5703125" style="4" hidden="1" customWidth="1"/>
    <col min="100" max="102" width="3.140625" style="4" hidden="1" customWidth="1"/>
    <col min="103" max="121" width="3.140625" style="4" customWidth="1"/>
    <col min="122" max="16384" width="10.7109375" style="4"/>
  </cols>
  <sheetData>
    <row r="1" spans="1:112" ht="18" customHeight="1">
      <c r="A1" s="147" t="s">
        <v>577</v>
      </c>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U1" s="16"/>
      <c r="AV1" s="16"/>
      <c r="AW1" s="16"/>
      <c r="AX1" s="16"/>
      <c r="AY1" s="16"/>
      <c r="AZ1" s="16"/>
      <c r="BA1" s="16"/>
      <c r="BB1" s="16"/>
      <c r="BC1" s="16"/>
      <c r="BD1" s="16"/>
      <c r="CY1" s="16"/>
      <c r="CZ1" s="16"/>
      <c r="DA1" s="16"/>
      <c r="DB1" s="16"/>
      <c r="DC1" s="16"/>
    </row>
    <row r="2" spans="1:112" ht="15" customHeight="1">
      <c r="A2" s="315" t="str">
        <f>Intro!D46</f>
        <v/>
      </c>
      <c r="CY2" s="16"/>
      <c r="CZ2" s="16"/>
      <c r="DA2" s="16"/>
      <c r="DB2" s="16"/>
      <c r="DC2" s="16"/>
    </row>
    <row r="3" spans="1:112" ht="3" customHeight="1">
      <c r="CY3" s="16"/>
      <c r="CZ3" s="16"/>
      <c r="DA3" s="16"/>
      <c r="DB3" s="16"/>
      <c r="DC3" s="16"/>
    </row>
    <row r="4" spans="1:112">
      <c r="A4" s="1" t="s">
        <v>2</v>
      </c>
      <c r="B4" s="1" t="s">
        <v>1</v>
      </c>
      <c r="C4" s="50"/>
      <c r="D4" s="4" t="s">
        <v>894</v>
      </c>
      <c r="AP4" s="5"/>
      <c r="AQ4" s="460"/>
      <c r="AR4" s="334"/>
      <c r="BL4" s="4" t="str">
        <f ca="1">CONCATENATE(CS!B10,DrawFinder!N3)</f>
        <v>240603e0</v>
      </c>
      <c r="BP4" s="4" t="s">
        <v>1167</v>
      </c>
      <c r="BU4" s="4">
        <f ca="1">DrawFinder!AE4</f>
        <v>14</v>
      </c>
      <c r="BV4" s="4" t="s">
        <v>1169</v>
      </c>
      <c r="BW4" s="30"/>
    </row>
    <row r="5" spans="1:112">
      <c r="C5" s="71" t="str">
        <f ca="1">IF($AT$8="c",IF(C60="m","m",""),IF(OR($AT$8="s",$AT$8="L"),"e",DrawFinder!AB8))</f>
        <v>e</v>
      </c>
      <c r="D5" s="71" t="str">
        <f ca="1">IF($AT$8="c",IF(D60="m","m",""),IF(OR($AT$8="s",$AT$8="L"),"e",DrawFinder!AC8))</f>
        <v>l</v>
      </c>
      <c r="E5" s="71" t="str">
        <f ca="1">IF($AT$8="c",IF(E60="m","m",""),IF(OR($AT$8="s",$AT$8="L"),"e",DrawFinder!AD8))</f>
        <v>e</v>
      </c>
      <c r="F5" s="71" t="str">
        <f ca="1">IF($AT$8="c",IF(F60="m","m",""),IF(OR($AT$8="s",$AT$8="L"),"e",DrawFinder!AE8))</f>
        <v>l</v>
      </c>
      <c r="G5" s="71" t="str">
        <f ca="1">IF($AT$8="c",IF(G60="m","m",""),IF(OR($AT$8="s",$AT$8="L"),"e",DrawFinder!AF8))</f>
        <v>e</v>
      </c>
      <c r="H5" s="71" t="str">
        <f ca="1">IF($AT$8="c",IF(H60="m","m",""),IF(OR($AT$8="s",$AT$8="L"),"e",DrawFinder!AG8))</f>
        <v>l</v>
      </c>
      <c r="I5" s="71" t="str">
        <f ca="1">IF($AT$8="c",IF(I60="m","m",""),IF(OR($AT$8="s",$AT$8="L"),"e",DrawFinder!AH8))</f>
        <v>e</v>
      </c>
      <c r="J5" s="71" t="str">
        <f ca="1">IF($AT$8="c",IF(J60="m","m",""),IF(OR($AT$8="s",$AT$8="L"),"e",DrawFinder!AI8))</f>
        <v>l</v>
      </c>
      <c r="K5" s="71" t="str">
        <f ca="1">IF($AT$8="c",IF(K60="m","m",""),IF(OR($AT$8="s",$AT$8="L"),"e",DrawFinder!AJ8))</f>
        <v>e</v>
      </c>
      <c r="L5" s="71" t="str">
        <f ca="1">IF($AT$8="c",IF(L60="m","m",""),IF(OR($AT$8="s",$AT$8="L"),"e",DrawFinder!AK8))</f>
        <v>l</v>
      </c>
      <c r="M5" s="71" t="str">
        <f ca="1">IF($AT$8="c",IF(M60="m","m",""),IF(OR($AT$8="s",$AT$8="L"),"e",DrawFinder!AL8))</f>
        <v>e</v>
      </c>
      <c r="N5" s="71" t="str">
        <f ca="1">IF($AT$8="c",IF(N60="m","m",""),IF(OR($AT$8="s",$AT$8="L"),"e",DrawFinder!AM8))</f>
        <v>l</v>
      </c>
      <c r="O5" s="71" t="str">
        <f ca="1">IF($AT$8="c",IF(O60="m","m",""),IF(OR($AT$8="s",$AT$8="L"),"e",DrawFinder!AN8))</f>
        <v>e</v>
      </c>
      <c r="P5" s="71" t="str">
        <f ca="1">IF($AT$8="c",IF(P60="m","m",""),IF(OR($AT$8="s",$AT$8="L"),"e",DrawFinder!AO8))</f>
        <v>l</v>
      </c>
      <c r="Q5" s="71" t="str">
        <f ca="1">IF($AT$8="c",IF(Q60="m","m",""),IF(OR($AT$8="s",$AT$8="L"),"e",DrawFinder!AP8))</f>
        <v>e</v>
      </c>
      <c r="R5" s="71" t="str">
        <f ca="1">IF($AT$8="c",IF(R60="m","m",""),IF(OR($AT$8="s",$AT$8="L"),"e",DrawFinder!AQ8))</f>
        <v>l</v>
      </c>
      <c r="S5" s="71" t="str">
        <f ca="1">IF($AT$8="c",IF(S60="m","m",""),IF(OR($AT$8="s",$AT$8="L"),"e",DrawFinder!AR8))</f>
        <v>e</v>
      </c>
      <c r="T5" s="71" t="str">
        <f ca="1">IF($AT$8="c",IF(T60="m","m",""),IF(OR($AT$8="s",$AT$8="L"),"e",DrawFinder!AS8))</f>
        <v>l</v>
      </c>
      <c r="U5" s="71" t="str">
        <f ca="1">IF($AT$8="c",IF(U60="m","m",""),IF(OR($AT$8="s",$AT$8="L"),"e",DrawFinder!AT8))</f>
        <v>e</v>
      </c>
      <c r="V5" s="71" t="str">
        <f ca="1">IF($AT$8="c",IF(V60="m","m",""),IF(OR($AT$8="s",$AT$8="L"),"e",DrawFinder!AU8))</f>
        <v>l</v>
      </c>
      <c r="W5" s="71" t="str">
        <f ca="1">IF($AT$8="c",IF(W60="m","m",""),IF(OR($AT$8="s",$AT$8="L"),"e",DrawFinder!AV8))</f>
        <v>e</v>
      </c>
      <c r="X5" s="71" t="str">
        <f ca="1">IF($AT$8="c",IF(X60="m","m",""),IF(OR($AT$8="s",$AT$8="L"),"e",DrawFinder!AW8))</f>
        <v>l</v>
      </c>
      <c r="Y5" s="71" t="str">
        <f ca="1">IF($AT$8="c",IF(Y60="m","m",""),IF(OR($AT$8="s",$AT$8="L"),"e",DrawFinder!AX8))</f>
        <v>e</v>
      </c>
      <c r="Z5" s="71" t="str">
        <f ca="1">IF($AT$8="c",IF(Z60="m","m",""),IF(OR($AT$8="s",$AT$8="L"),"e",DrawFinder!AY8))</f>
        <v>l</v>
      </c>
      <c r="AA5" s="71" t="str">
        <f ca="1">IF($AT$8="c",IF(AA60="m","m",""),IF(OR($AT$8="s",$AT$8="L"),"e",DrawFinder!AZ8))</f>
        <v>e</v>
      </c>
      <c r="AB5" s="71" t="str">
        <f ca="1">IF($AT$8="c",IF(AB60="m","m",""),IF(OR($AT$8="s",$AT$8="L"),"e",DrawFinder!BA8))</f>
        <v>l</v>
      </c>
      <c r="AC5" s="71" t="str">
        <f ca="1">IF($AT$8="c",IF(AC60="m","m",""),IF(OR($AT$8="s",$AT$8="L"),"e",DrawFinder!BB8))</f>
        <v>e</v>
      </c>
      <c r="AD5" s="71" t="str">
        <f ca="1">IF($AT$8="c",IF(AD60="m","m",""),IF(OR($AT$8="s",$AT$8="L"),"e",DrawFinder!BC8))</f>
        <v>l</v>
      </c>
      <c r="AE5" s="71" t="str">
        <f ca="1">IF($AT$8="c",IF(AE60="m","m",""),IF(OR($AT$8="s",$AT$8="L"),"e",DrawFinder!BD8))</f>
        <v>e</v>
      </c>
      <c r="AF5" s="71" t="str">
        <f ca="1">IF($AT$8="c",IF(AF60="m","m",""),IF(OR($AT$8="s",$AT$8="L"),"e",DrawFinder!BE8))</f>
        <v>l</v>
      </c>
      <c r="AG5" s="71" t="str">
        <f ca="1">IF($AT$8="c",IF(AG60="m","m",""),IF(OR($AT$8="s",$AT$8="L"),"e",DrawFinder!BF8))</f>
        <v>e</v>
      </c>
      <c r="AH5" s="71" t="str">
        <f ca="1">IF($AT$8="c",IF(AH60="m","m",""),IF(OR($AT$8="s",$AT$8="L"),"e",DrawFinder!BG8))</f>
        <v>l</v>
      </c>
      <c r="AI5" s="71" t="str">
        <f ca="1">IF($AT$8="c",IF(AI60="m","m",""),IF(OR($AT$8="s",$AT$8="L"),"e",DrawFinder!BH8))</f>
        <v>e</v>
      </c>
      <c r="AJ5" s="71" t="str">
        <f ca="1">IF($AT$8="c",IF(AJ60="m","m",""),IF(OR($AT$8="s",$AT$8="L"),"e",DrawFinder!BI8))</f>
        <v>l</v>
      </c>
      <c r="AK5" s="71" t="str">
        <f ca="1">IF($AT$8="c",IF(AK60="m","m",""),IF(OR($AT$8="s",$AT$8="L"),"e",DrawFinder!BJ8))</f>
        <v>e</v>
      </c>
      <c r="AL5" s="71" t="str">
        <f ca="1">IF($AT$8="c",IF(AL60="m","m",""),IF(OR($AT$8="s",$AT$8="L"),"e",DrawFinder!BK8))</f>
        <v>l</v>
      </c>
      <c r="AM5" s="71" t="str">
        <f ca="1">IF($AT$8="c",IF(AM60="m","m",""),IF(OR($AT$8="s",$AT$8="L"),"e",DrawFinder!BL8))</f>
        <v>e</v>
      </c>
      <c r="AN5" s="71" t="str">
        <f ca="1">IF($AT$8="c",IF(AN60="m","m",""),IF(OR($AT$8="s",$AT$8="L"),"e",DrawFinder!BM8))</f>
        <v>l</v>
      </c>
      <c r="AO5" s="71" t="str">
        <f ca="1">IF($AT$8="c",IF(AO60="m","m",""),IF(OR($AT$8="s",$AT$8="L"),"e",DrawFinder!BN8))</f>
        <v>e</v>
      </c>
      <c r="AP5" s="71" t="str">
        <f ca="1">IF($AT$8="c",IF(AP60="m","m",""),IF(OR($AT$8="s",$AT$8="L"),"e",DrawFinder!BO8))</f>
        <v>l</v>
      </c>
      <c r="AQ5" s="461" t="str">
        <f>IF(AR4=AR5,"y","n")</f>
        <v>y</v>
      </c>
      <c r="AR5" s="334"/>
      <c r="BM5" s="4" t="s">
        <v>1164</v>
      </c>
      <c r="BN5" s="4" t="s">
        <v>1165</v>
      </c>
      <c r="BO5" s="4" t="s">
        <v>1166</v>
      </c>
      <c r="BU5" s="5">
        <f>DrawFinder!AE5</f>
        <v>6</v>
      </c>
      <c r="BV5" s="4" t="s">
        <v>1172</v>
      </c>
    </row>
    <row r="6" spans="1:112" ht="18" customHeight="1">
      <c r="A6" s="316" t="s">
        <v>1170</v>
      </c>
      <c r="B6" s="74" t="str">
        <f>Intro!H2</f>
        <v>Curling Club Name League</v>
      </c>
      <c r="BL6" s="5">
        <f ca="1">IF(AT8="c",1,0)</f>
        <v>0</v>
      </c>
      <c r="BM6" s="5">
        <f ca="1">IF(BL6=1,VALUE(RIGHT(BL4,1)),0)</f>
        <v>0</v>
      </c>
      <c r="BN6" s="5">
        <f ca="1">IF(BL6=0,0,(BM6-BO6)+1)</f>
        <v>0</v>
      </c>
      <c r="BO6" s="5">
        <f ca="1">IF(BM6=0,0,MID(BL4,8,1))</f>
        <v>0</v>
      </c>
    </row>
    <row r="7" spans="1:112" ht="120" customHeight="1">
      <c r="A7" s="230" t="str">
        <f ca="1">CONCATENATE(DrawFinder!F6," teams; ",DrawFinder!F4, " sheets;    ",DrawFinder!F8," groups; ",DrawFinder!O4)</f>
        <v>24 teams; 6 sheets;    3 groups; early-late draw</v>
      </c>
      <c r="B7" s="4" t="s">
        <v>66</v>
      </c>
      <c r="C7" s="15" t="s">
        <v>1048</v>
      </c>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4" t="str">
        <f ca="1">DrawFinder!N5</f>
        <v/>
      </c>
      <c r="AR7" s="4" t="s">
        <v>122</v>
      </c>
      <c r="AS7" s="4" t="s">
        <v>123</v>
      </c>
      <c r="AT7" s="5" t="s">
        <v>739</v>
      </c>
      <c r="BE7" s="399" t="str">
        <f ca="1">IF(AT8="e","Early",IF(AT8="c","Morning",""))</f>
        <v>Early</v>
      </c>
      <c r="BF7" s="399" t="str">
        <f ca="1">IF(AT8="e","Late","")</f>
        <v>Late</v>
      </c>
      <c r="BH7" s="399" t="s">
        <v>842</v>
      </c>
    </row>
    <row r="8" spans="1:112" ht="15" customHeight="1">
      <c r="A8" s="86"/>
      <c r="B8" s="13" t="s">
        <v>163</v>
      </c>
      <c r="AR8" s="86">
        <f ca="1">DrawFinder!R11</f>
        <v>14</v>
      </c>
      <c r="AS8" s="5">
        <f ca="1">IF(AQ5="n","",DrawFinder!P11)</f>
        <v>24</v>
      </c>
      <c r="AT8" s="5" t="str">
        <f ca="1">IF(AQ5="n","",DrawFinder!N4)</f>
        <v>e</v>
      </c>
      <c r="AU8" s="4" t="s">
        <v>83</v>
      </c>
      <c r="BC8" s="328">
        <f>BU5</f>
        <v>6</v>
      </c>
      <c r="BD8" s="328">
        <f ca="1">CEILING(AVERAGEIF(AU11:BD56,"&gt;0"),1)</f>
        <v>2</v>
      </c>
      <c r="BH8" s="4" t="s">
        <v>788</v>
      </c>
    </row>
    <row r="9" spans="1:112">
      <c r="A9" s="86"/>
      <c r="B9" s="4" t="s">
        <v>161</v>
      </c>
      <c r="C9" s="5">
        <v>1</v>
      </c>
      <c r="D9" s="5">
        <v>2</v>
      </c>
      <c r="E9" s="5">
        <v>3</v>
      </c>
      <c r="F9" s="5">
        <v>4</v>
      </c>
      <c r="G9" s="5">
        <v>5</v>
      </c>
      <c r="H9" s="5">
        <v>6</v>
      </c>
      <c r="I9" s="5">
        <v>7</v>
      </c>
      <c r="J9" s="5">
        <v>8</v>
      </c>
      <c r="K9" s="5">
        <v>9</v>
      </c>
      <c r="L9" s="5">
        <v>10</v>
      </c>
      <c r="M9" s="5">
        <v>11</v>
      </c>
      <c r="N9" s="5">
        <v>12</v>
      </c>
      <c r="O9" s="5">
        <v>13</v>
      </c>
      <c r="P9" s="5">
        <v>14</v>
      </c>
      <c r="Q9" s="5">
        <v>15</v>
      </c>
      <c r="R9" s="5">
        <v>16</v>
      </c>
      <c r="S9" s="5">
        <v>17</v>
      </c>
      <c r="T9" s="5">
        <v>18</v>
      </c>
      <c r="U9" s="5">
        <v>19</v>
      </c>
      <c r="V9" s="5">
        <v>20</v>
      </c>
      <c r="W9" s="5">
        <v>21</v>
      </c>
      <c r="X9" s="5">
        <v>22</v>
      </c>
      <c r="Y9" s="5">
        <v>23</v>
      </c>
      <c r="Z9" s="5">
        <v>24</v>
      </c>
      <c r="AA9" s="5">
        <v>25</v>
      </c>
      <c r="AB9" s="5">
        <v>26</v>
      </c>
      <c r="AC9" s="5">
        <v>27</v>
      </c>
      <c r="AD9" s="5">
        <v>28</v>
      </c>
      <c r="AE9" s="5">
        <v>29</v>
      </c>
      <c r="AF9" s="5">
        <v>30</v>
      </c>
      <c r="AG9" s="5">
        <v>31</v>
      </c>
      <c r="AH9" s="5">
        <v>32</v>
      </c>
      <c r="AI9" s="5">
        <v>33</v>
      </c>
      <c r="AJ9" s="5">
        <v>34</v>
      </c>
      <c r="AK9" s="5">
        <v>35</v>
      </c>
      <c r="AL9" s="5">
        <v>36</v>
      </c>
      <c r="AM9" s="5">
        <v>37</v>
      </c>
      <c r="AN9" s="5">
        <v>38</v>
      </c>
      <c r="AO9" s="5">
        <v>39</v>
      </c>
      <c r="AP9" s="337">
        <v>40</v>
      </c>
      <c r="AQ9" s="5" t="s">
        <v>575</v>
      </c>
      <c r="AR9" s="86" t="s">
        <v>81</v>
      </c>
      <c r="AS9" s="86" t="s">
        <v>82</v>
      </c>
      <c r="AT9" s="337" t="s">
        <v>84</v>
      </c>
      <c r="AU9" s="334">
        <v>1</v>
      </c>
      <c r="AV9" s="334">
        <v>2</v>
      </c>
      <c r="AW9" s="334">
        <v>3</v>
      </c>
      <c r="AX9" s="334">
        <v>4</v>
      </c>
      <c r="AY9" s="334">
        <v>5</v>
      </c>
      <c r="AZ9" s="334">
        <v>6</v>
      </c>
      <c r="BA9" s="334">
        <v>7</v>
      </c>
      <c r="BB9" s="334">
        <v>8</v>
      </c>
      <c r="BC9" s="334">
        <v>9</v>
      </c>
      <c r="BD9" s="334">
        <v>10</v>
      </c>
      <c r="BE9" s="47"/>
      <c r="BF9" s="337"/>
      <c r="BH9" s="406" t="s">
        <v>789</v>
      </c>
      <c r="BI9" s="357" t="s">
        <v>790</v>
      </c>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Z9" s="16"/>
      <c r="DA9" s="16"/>
      <c r="DB9" s="16"/>
      <c r="DC9" s="16"/>
      <c r="DD9" s="16"/>
      <c r="DE9" s="16"/>
      <c r="DF9" s="16"/>
      <c r="DG9" s="16"/>
      <c r="DH9" s="16"/>
    </row>
    <row r="10" spans="1:112" s="77" customFormat="1" ht="14" customHeight="1">
      <c r="A10" s="150"/>
      <c r="B10" s="77" t="str">
        <f ca="1">DrawFinder!AA10</f>
        <v>240603e</v>
      </c>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O10" s="79"/>
      <c r="AP10" s="143"/>
      <c r="AQ10" s="467">
        <v>1</v>
      </c>
      <c r="AR10" s="79"/>
      <c r="AS10" s="79"/>
      <c r="AT10" s="338"/>
      <c r="AU10" s="335"/>
      <c r="BD10" s="81"/>
      <c r="BE10" s="80"/>
      <c r="BF10" s="338"/>
      <c r="BH10" s="80"/>
      <c r="BI10" s="338"/>
      <c r="BK10" s="82"/>
      <c r="BL10" s="82"/>
      <c r="BM10" s="82"/>
      <c r="BN10" s="82"/>
      <c r="BO10" s="82"/>
      <c r="BP10" s="82"/>
      <c r="BQ10" s="82"/>
      <c r="BR10" s="82"/>
      <c r="BS10" s="82"/>
      <c r="BT10" s="82"/>
      <c r="BU10" s="82"/>
      <c r="BV10" s="82"/>
      <c r="BW10" s="82"/>
      <c r="BX10" s="82"/>
      <c r="BY10" s="82"/>
      <c r="BZ10" s="82"/>
      <c r="CA10" s="82"/>
      <c r="CB10" s="82"/>
      <c r="CC10" s="82"/>
      <c r="CD10" s="82"/>
      <c r="CX10" s="335"/>
      <c r="CY10" s="335"/>
      <c r="CZ10" s="16"/>
      <c r="DA10" s="16"/>
      <c r="DB10" s="16"/>
      <c r="DC10" s="16"/>
      <c r="DD10" s="16"/>
      <c r="DE10" s="16"/>
      <c r="DF10" s="16"/>
      <c r="DG10" s="16"/>
      <c r="DH10" s="16"/>
    </row>
    <row r="11" spans="1:112" s="77" customFormat="1" ht="15" customHeight="1">
      <c r="A11" s="266" t="str">
        <f ca="1">IF(B11="",AR11,B11)</f>
        <v>Tm01</v>
      </c>
      <c r="B11" s="468"/>
      <c r="C11" s="464">
        <f ca="1">IF(DrawFinder!AB11=0,"",DrawFinder!AB11)</f>
        <v>3</v>
      </c>
      <c r="D11" s="465" t="str">
        <f ca="1">IF(DrawFinder!AC11=0,"",DrawFinder!AC11)</f>
        <v>-</v>
      </c>
      <c r="E11" s="465" t="str">
        <f ca="1">IF(DrawFinder!AD11=0,"",DrawFinder!AD11)</f>
        <v>-</v>
      </c>
      <c r="F11" s="465">
        <f ca="1">IF(DrawFinder!AE11=0,"",DrawFinder!AE11)</f>
        <v>4</v>
      </c>
      <c r="G11" s="465">
        <f ca="1">IF(DrawFinder!AF11=0,"",DrawFinder!AF11)</f>
        <v>-6</v>
      </c>
      <c r="H11" s="465" t="str">
        <f ca="1">IF(DrawFinder!AG11=0,"",DrawFinder!AG11)</f>
        <v>-</v>
      </c>
      <c r="I11" s="465" t="str">
        <f ca="1">IF(DrawFinder!AH11=0,"",DrawFinder!AH11)</f>
        <v>-</v>
      </c>
      <c r="J11" s="465">
        <f ca="1">IF(DrawFinder!AI11=0,"",DrawFinder!AI11)</f>
        <v>-2</v>
      </c>
      <c r="K11" s="465">
        <f ca="1">IF(DrawFinder!AJ11=0,"",DrawFinder!AJ11)</f>
        <v>1</v>
      </c>
      <c r="L11" s="465" t="str">
        <f ca="1">IF(DrawFinder!AK11=0,"",DrawFinder!AK11)</f>
        <v>-</v>
      </c>
      <c r="M11" s="465" t="str">
        <f ca="1">IF(DrawFinder!AL11=0,"",DrawFinder!AL11)</f>
        <v>-</v>
      </c>
      <c r="N11" s="465">
        <f ca="1">IF(DrawFinder!AM11=0,"",DrawFinder!AM11)</f>
        <v>5</v>
      </c>
      <c r="O11" s="465">
        <f ca="1">IF(DrawFinder!AN11=0,"",DrawFinder!AN11)</f>
        <v>-3</v>
      </c>
      <c r="P11" s="465" t="str">
        <f ca="1">IF(DrawFinder!AO11=0,"",DrawFinder!AO11)</f>
        <v>-</v>
      </c>
      <c r="Q11" s="465" t="str">
        <f ca="1">IF(DrawFinder!AP11=0,"",DrawFinder!AP11)</f>
        <v/>
      </c>
      <c r="R11" s="465" t="str">
        <f ca="1">IF(DrawFinder!AQ11=0,"",DrawFinder!AQ11)</f>
        <v/>
      </c>
      <c r="S11" s="465" t="str">
        <f ca="1">IF(DrawFinder!AR11=0,"",DrawFinder!AR11)</f>
        <v/>
      </c>
      <c r="T11" s="465" t="str">
        <f ca="1">IF(DrawFinder!AS11=0,"",DrawFinder!AS11)</f>
        <v/>
      </c>
      <c r="U11" s="465" t="str">
        <f ca="1">IF(DrawFinder!AT11=0,"",DrawFinder!AT11)</f>
        <v/>
      </c>
      <c r="V11" s="465" t="str">
        <f ca="1">IF(DrawFinder!AU11=0,"",DrawFinder!AU11)</f>
        <v/>
      </c>
      <c r="W11" s="465" t="str">
        <f ca="1">IF(DrawFinder!AV11=0,"",DrawFinder!AV11)</f>
        <v/>
      </c>
      <c r="X11" s="465" t="str">
        <f ca="1">IF(DrawFinder!AW11=0,"",DrawFinder!AW11)</f>
        <v/>
      </c>
      <c r="Y11" s="465" t="str">
        <f ca="1">IF(DrawFinder!AX11=0,"",DrawFinder!AX11)</f>
        <v/>
      </c>
      <c r="Z11" s="465" t="str">
        <f ca="1">IF(DrawFinder!AY11=0,"",DrawFinder!AY11)</f>
        <v/>
      </c>
      <c r="AA11" s="465" t="str">
        <f ca="1">IF(DrawFinder!AZ11=0,"",DrawFinder!AZ11)</f>
        <v/>
      </c>
      <c r="AB11" s="465" t="str">
        <f ca="1">IF(DrawFinder!BA11=0,"",DrawFinder!BA11)</f>
        <v/>
      </c>
      <c r="AC11" s="465" t="str">
        <f ca="1">IF(DrawFinder!BB11=0,"",DrawFinder!BB11)</f>
        <v/>
      </c>
      <c r="AD11" s="465" t="str">
        <f ca="1">IF(DrawFinder!BC11=0,"",DrawFinder!BC11)</f>
        <v/>
      </c>
      <c r="AE11" s="465" t="str">
        <f ca="1">IF(DrawFinder!BD11=0,"",DrawFinder!BD11)</f>
        <v/>
      </c>
      <c r="AF11" s="465" t="str">
        <f ca="1">IF(DrawFinder!BE11=0,"",DrawFinder!BE11)</f>
        <v/>
      </c>
      <c r="AG11" s="465" t="str">
        <f ca="1">IF(DrawFinder!BF11=0,"",DrawFinder!BF11)</f>
        <v/>
      </c>
      <c r="AH11" s="465" t="str">
        <f ca="1">IF(DrawFinder!BG11=0,"",DrawFinder!BG11)</f>
        <v/>
      </c>
      <c r="AI11" s="465" t="str">
        <f ca="1">IF(DrawFinder!BH11=0,"",DrawFinder!BH11)</f>
        <v/>
      </c>
      <c r="AJ11" s="465" t="str">
        <f ca="1">IF(DrawFinder!BI11=0,"",DrawFinder!BI11)</f>
        <v/>
      </c>
      <c r="AK11" s="465" t="str">
        <f ca="1">IF(DrawFinder!BJ11=0,"",DrawFinder!BJ11)</f>
        <v/>
      </c>
      <c r="AL11" s="465" t="str">
        <f ca="1">IF(DrawFinder!BK11=0,"",DrawFinder!BK11)</f>
        <v/>
      </c>
      <c r="AM11" s="465" t="str">
        <f ca="1">IF(DrawFinder!BL11=0,"",DrawFinder!BL11)</f>
        <v/>
      </c>
      <c r="AN11" s="465" t="str">
        <f ca="1">IF(DrawFinder!BM11=0,"",DrawFinder!BM11)</f>
        <v/>
      </c>
      <c r="AO11" s="465" t="str">
        <f ca="1">IF(DrawFinder!BN11=0,"",DrawFinder!BN11)</f>
        <v/>
      </c>
      <c r="AP11" s="466" t="str">
        <f ca="1">IF(DrawFinder!BO11=0,"",DrawFinder!BO11)</f>
        <v/>
      </c>
      <c r="AQ11" s="81">
        <f>IF(DrawFinder!Y11=0,"",DrawFinder!Y11)</f>
        <v>1</v>
      </c>
      <c r="AR11" s="79" t="str">
        <f ca="1">IF(AS11="","",IF(B11="",CONCATENATE("Tm",IF(AS11&lt;10,"0",""),AS11),B11))</f>
        <v>Tm01</v>
      </c>
      <c r="AS11" s="81">
        <f ca="1">IF(ROW()-10&gt;$AS$8,"",ROW()-10)</f>
        <v>1</v>
      </c>
      <c r="AT11" s="333">
        <f ca="1">IF(AQ11=0,"",COUNTIF(C11:AP11,"&gt;0")+COUNTIF(C11:AP11,"&lt;0"))</f>
        <v>7</v>
      </c>
      <c r="AU11" s="336">
        <f ca="1">COUNTIF($C11:$AP11,AU$9)+COUNTIF($C11:$AP11,(AU$9*-1))</f>
        <v>1</v>
      </c>
      <c r="AV11" s="336">
        <f t="shared" ref="AV11:BD26" ca="1" si="0">COUNTIF($C11:$AP11,AV$9)+COUNTIF($C11:$AP11,(AV$9*-1))</f>
        <v>1</v>
      </c>
      <c r="AW11" s="336">
        <f t="shared" ca="1" si="0"/>
        <v>2</v>
      </c>
      <c r="AX11" s="336">
        <f t="shared" ca="1" si="0"/>
        <v>1</v>
      </c>
      <c r="AY11" s="336">
        <f t="shared" ca="1" si="0"/>
        <v>1</v>
      </c>
      <c r="AZ11" s="336">
        <f t="shared" ca="1" si="0"/>
        <v>1</v>
      </c>
      <c r="BA11" s="336">
        <f t="shared" ca="1" si="0"/>
        <v>0</v>
      </c>
      <c r="BB11" s="336">
        <f t="shared" ca="1" si="0"/>
        <v>0</v>
      </c>
      <c r="BC11" s="336">
        <f t="shared" ca="1" si="0"/>
        <v>0</v>
      </c>
      <c r="BD11" s="336">
        <f t="shared" ca="1" si="0"/>
        <v>0</v>
      </c>
      <c r="BE11" s="83">
        <f t="shared" ref="BE11:BE58" ca="1" si="1">IF(OR($AT$8="e",$AT$8="c"),SUM(BK11:CX11),"")</f>
        <v>4</v>
      </c>
      <c r="BF11" s="84">
        <f ca="1">IF($AT$8="e",AT11-BE11,"")</f>
        <v>3</v>
      </c>
      <c r="BH11" s="407">
        <f t="shared" ref="BH11:BH56" ca="1" si="2">IF(COUNTIF(C11:AP11,"&lt;0")=0,"",COUNTIF(C11:AP11,"&lt;0"))</f>
        <v>3</v>
      </c>
      <c r="BI11" s="408">
        <f t="shared" ref="BI11:BI56" ca="1" si="3">IF(COUNTIF(C11:AP11,"&gt;0")=0,"",COUNTIF(C11:AP11,"&gt;0"))</f>
        <v>4</v>
      </c>
      <c r="BK11" s="437">
        <f t="shared" ref="BK11:BK56" ca="1" si="4">IF(AND(ISNUMBER(C11),C$5="e"),1,IF(AND(ISNUMBER(C11),C$5="m"),1,0))</f>
        <v>1</v>
      </c>
      <c r="BL11" s="425">
        <f t="shared" ref="BL11:BL56" ca="1" si="5">IF(AND(ISNUMBER(D11),D$5="e"),1,IF(AND(ISNUMBER(D11),D$5="m"),1,0))</f>
        <v>0</v>
      </c>
      <c r="BM11" s="425">
        <f t="shared" ref="BM11:BM56" ca="1" si="6">IF(AND(ISNUMBER(E11),E$5="e"),1,IF(AND(ISNUMBER(E11),E$5="m"),1,0))</f>
        <v>0</v>
      </c>
      <c r="BN11" s="425">
        <f t="shared" ref="BN11:BN56" ca="1" si="7">IF(AND(ISNUMBER(F11),F$5="e"),1,IF(AND(ISNUMBER(F11),F$5="m"),1,0))</f>
        <v>0</v>
      </c>
      <c r="BO11" s="425">
        <f t="shared" ref="BO11:BO56" ca="1" si="8">IF(AND(ISNUMBER(G11),G$5="e"),1,IF(AND(ISNUMBER(G11),G$5="m"),1,0))</f>
        <v>1</v>
      </c>
      <c r="BP11" s="425">
        <f t="shared" ref="BP11:BP56" ca="1" si="9">IF(AND(ISNUMBER(H11),H$5="e"),1,IF(AND(ISNUMBER(H11),H$5="m"),1,0))</f>
        <v>0</v>
      </c>
      <c r="BQ11" s="425">
        <f t="shared" ref="BQ11:BQ56" ca="1" si="10">IF(AND(ISNUMBER(I11),I$5="e"),1,IF(AND(ISNUMBER(I11),I$5="m"),1,0))</f>
        <v>0</v>
      </c>
      <c r="BR11" s="425">
        <f t="shared" ref="BR11:BR56" ca="1" si="11">IF(AND(ISNUMBER(J11),J$5="e"),1,IF(AND(ISNUMBER(J11),J$5="m"),1,0))</f>
        <v>0</v>
      </c>
      <c r="BS11" s="425">
        <f t="shared" ref="BS11:BS56" ca="1" si="12">IF(AND(ISNUMBER(K11),K$5="e"),1,IF(AND(ISNUMBER(K11),K$5="m"),1,0))</f>
        <v>1</v>
      </c>
      <c r="BT11" s="425">
        <f t="shared" ref="BT11:BT56" ca="1" si="13">IF(AND(ISNUMBER(L11),L$5="e"),1,IF(AND(ISNUMBER(L11),L$5="m"),1,0))</f>
        <v>0</v>
      </c>
      <c r="BU11" s="425">
        <f t="shared" ref="BU11:BU56" ca="1" si="14">IF(AND(ISNUMBER(M11),M$5="e"),1,IF(AND(ISNUMBER(M11),M$5="m"),1,0))</f>
        <v>0</v>
      </c>
      <c r="BV11" s="425">
        <f t="shared" ref="BV11:BV56" ca="1" si="15">IF(AND(ISNUMBER(N11),N$5="e"),1,IF(AND(ISNUMBER(N11),N$5="m"),1,0))</f>
        <v>0</v>
      </c>
      <c r="BW11" s="425">
        <f t="shared" ref="BW11:BW56" ca="1" si="16">IF(AND(ISNUMBER(O11),O$5="e"),1,IF(AND(ISNUMBER(O11),O$5="m"),1,0))</f>
        <v>1</v>
      </c>
      <c r="BX11" s="425">
        <f t="shared" ref="BX11:BX56" ca="1" si="17">IF(AND(ISNUMBER(P11),P$5="e"),1,IF(AND(ISNUMBER(P11),P$5="m"),1,0))</f>
        <v>0</v>
      </c>
      <c r="BY11" s="425">
        <f t="shared" ref="BY11:BY56" ca="1" si="18">IF(AND(ISNUMBER(Q11),Q$5="e"),1,IF(AND(ISNUMBER(Q11),Q$5="m"),1,0))</f>
        <v>0</v>
      </c>
      <c r="BZ11" s="425">
        <f t="shared" ref="BZ11:BZ56" ca="1" si="19">IF(AND(ISNUMBER(R11),R$5="e"),1,IF(AND(ISNUMBER(R11),R$5="m"),1,0))</f>
        <v>0</v>
      </c>
      <c r="CA11" s="425">
        <f t="shared" ref="CA11:CA56" ca="1" si="20">IF(AND(ISNUMBER(S11),S$5="e"),1,IF(AND(ISNUMBER(S11),S$5="m"),1,0))</f>
        <v>0</v>
      </c>
      <c r="CB11" s="425">
        <f t="shared" ref="CB11:CB56" ca="1" si="21">IF(AND(ISNUMBER(T11),T$5="e"),1,IF(AND(ISNUMBER(T11),T$5="m"),1,0))</f>
        <v>0</v>
      </c>
      <c r="CC11" s="425">
        <f t="shared" ref="CC11:CC56" ca="1" si="22">IF(AND(ISNUMBER(U11),U$5="e"),1,IF(AND(ISNUMBER(U11),U$5="m"),1,0))</f>
        <v>0</v>
      </c>
      <c r="CD11" s="425">
        <f t="shared" ref="CD11:CD56" ca="1" si="23">IF(AND(ISNUMBER(V11),V$5="e"),1,IF(AND(ISNUMBER(V11),V$5="m"),1,0))</f>
        <v>0</v>
      </c>
      <c r="CE11" s="425">
        <f t="shared" ref="CE11:CE56" ca="1" si="24">IF(AND(ISNUMBER(W11),W$5="e"),1,IF(AND(ISNUMBER(W11),W$5="m"),1,0))</f>
        <v>0</v>
      </c>
      <c r="CF11" s="425">
        <f t="shared" ref="CF11:CF56" ca="1" si="25">IF(AND(ISNUMBER(X11),X$5="e"),1,IF(AND(ISNUMBER(X11),X$5="m"),1,0))</f>
        <v>0</v>
      </c>
      <c r="CG11" s="425">
        <f t="shared" ref="CG11:CG56" ca="1" si="26">IF(AND(ISNUMBER(Y11),Y$5="e"),1,IF(AND(ISNUMBER(Y11),Y$5="m"),1,0))</f>
        <v>0</v>
      </c>
      <c r="CH11" s="425">
        <f t="shared" ref="CH11:CH56" ca="1" si="27">IF(AND(ISNUMBER(Z11),Z$5="e"),1,IF(AND(ISNUMBER(Z11),Z$5="m"),1,0))</f>
        <v>0</v>
      </c>
      <c r="CI11" s="425">
        <f t="shared" ref="CI11:CI56" ca="1" si="28">IF(AND(ISNUMBER(AA11),AA$5="e"),1,IF(AND(ISNUMBER(AA11),AA$5="m"),1,0))</f>
        <v>0</v>
      </c>
      <c r="CJ11" s="425">
        <f t="shared" ref="CJ11:CJ56" ca="1" si="29">IF(AND(ISNUMBER(AB11),AB$5="e"),1,IF(AND(ISNUMBER(AB11),AB$5="m"),1,0))</f>
        <v>0</v>
      </c>
      <c r="CK11" s="425">
        <f t="shared" ref="CK11:CK56" ca="1" si="30">IF(AND(ISNUMBER(AC11),AC$5="e"),1,IF(AND(ISNUMBER(AC11),AC$5="m"),1,0))</f>
        <v>0</v>
      </c>
      <c r="CL11" s="425">
        <f t="shared" ref="CL11:CL56" ca="1" si="31">IF(AND(ISNUMBER(AD11),AD$5="e"),1,IF(AND(ISNUMBER(AD11),AD$5="m"),1,0))</f>
        <v>0</v>
      </c>
      <c r="CM11" s="425">
        <f t="shared" ref="CM11:CM56" ca="1" si="32">IF(AND(ISNUMBER(AE11),AE$5="e"),1,IF(AND(ISNUMBER(AE11),AE$5="m"),1,0))</f>
        <v>0</v>
      </c>
      <c r="CN11" s="425">
        <f t="shared" ref="CN11:CN56" ca="1" si="33">IF(AND(ISNUMBER(AF11),AF$5="e"),1,IF(AND(ISNUMBER(AF11),AF$5="m"),1,0))</f>
        <v>0</v>
      </c>
      <c r="CO11" s="425">
        <f t="shared" ref="CO11:CO56" ca="1" si="34">IF(AND(ISNUMBER(AG11),AG$5="e"),1,IF(AND(ISNUMBER(AG11),AG$5="m"),1,0))</f>
        <v>0</v>
      </c>
      <c r="CP11" s="425">
        <f t="shared" ref="CP11:CP56" ca="1" si="35">IF(AND(ISNUMBER(AH11),AH$5="e"),1,IF(AND(ISNUMBER(AH11),AH$5="m"),1,0))</f>
        <v>0</v>
      </c>
      <c r="CQ11" s="425">
        <f t="shared" ref="CQ11:CQ56" ca="1" si="36">IF(AND(ISNUMBER(AI11),AI$5="e"),1,IF(AND(ISNUMBER(AI11),AI$5="m"),1,0))</f>
        <v>0</v>
      </c>
      <c r="CR11" s="425">
        <f t="shared" ref="CR11:CR56" ca="1" si="37">IF(AND(ISNUMBER(AJ11),AJ$5="e"),1,IF(AND(ISNUMBER(AJ11),AJ$5="m"),1,0))</f>
        <v>0</v>
      </c>
      <c r="CS11" s="425">
        <f t="shared" ref="CS11:CS56" ca="1" si="38">IF(AND(ISNUMBER(AK11),AK$5="e"),1,IF(AND(ISNUMBER(AK11),AK$5="m"),1,0))</f>
        <v>0</v>
      </c>
      <c r="CT11" s="425">
        <f t="shared" ref="CT11:CT56" ca="1" si="39">IF(AND(ISNUMBER(AL11),AL$5="e"),1,IF(AND(ISNUMBER(AL11),AL$5="m"),1,0))</f>
        <v>0</v>
      </c>
      <c r="CU11" s="425">
        <f t="shared" ref="CU11:CU56" ca="1" si="40">IF(AND(ISNUMBER(AM11),AM$5="e"),1,IF(AND(ISNUMBER(AM11),AM$5="m"),1,0))</f>
        <v>0</v>
      </c>
      <c r="CV11" s="425">
        <f t="shared" ref="CV11:CV56" ca="1" si="41">IF(AND(ISNUMBER(AN11),AN$5="e"),1,IF(AND(ISNUMBER(AN11),AN$5="m"),1,0))</f>
        <v>0</v>
      </c>
      <c r="CW11" s="425">
        <f t="shared" ref="CW11:CW56" ca="1" si="42">IF(AND(ISNUMBER(AO11),AO$5="e"),1,IF(AND(ISNUMBER(AO11),AO$5="m"),1,0))</f>
        <v>0</v>
      </c>
      <c r="CX11" s="438">
        <f t="shared" ref="CX11:CX56" ca="1" si="43">IF(AND(ISNUMBER(AP11),AP$5="e"),1,IF(AND(ISNUMBER(AP11),AP$5="m"),1,0))</f>
        <v>0</v>
      </c>
      <c r="CY11" s="335">
        <f t="shared" ref="CY11:CY57" si="44">IF(AND(ISNUMBER(AQ11),AQ$5="e"),1,0)</f>
        <v>0</v>
      </c>
      <c r="CZ11" s="16"/>
      <c r="DA11" s="16"/>
      <c r="DB11" s="16"/>
      <c r="DC11" s="16"/>
      <c r="DD11" s="16"/>
      <c r="DE11" s="16"/>
      <c r="DF11" s="16"/>
      <c r="DG11" s="16"/>
      <c r="DH11" s="16"/>
    </row>
    <row r="12" spans="1:112" s="77" customFormat="1" ht="15" customHeight="1">
      <c r="A12" s="266" t="str">
        <f t="shared" ref="A12:A56" ca="1" si="45">IF(B12="",AR12,B12)</f>
        <v>Tm02</v>
      </c>
      <c r="B12" s="462"/>
      <c r="C12" s="402">
        <f ca="1">IF(DrawFinder!AB12=0,"",DrawFinder!AB12)</f>
        <v>-4</v>
      </c>
      <c r="D12" s="402" t="str">
        <f ca="1">IF(DrawFinder!AC12=0,"",DrawFinder!AC12)</f>
        <v>-</v>
      </c>
      <c r="E12" s="402" t="str">
        <f ca="1">IF(DrawFinder!AD12=0,"",DrawFinder!AD12)</f>
        <v>-</v>
      </c>
      <c r="F12" s="402">
        <f ca="1">IF(DrawFinder!AE12=0,"",DrawFinder!AE12)</f>
        <v>5</v>
      </c>
      <c r="G12" s="402">
        <f ca="1">IF(DrawFinder!AF12=0,"",DrawFinder!AF12)</f>
        <v>-1</v>
      </c>
      <c r="H12" s="402" t="str">
        <f ca="1">IF(DrawFinder!AG12=0,"",DrawFinder!AG12)</f>
        <v>-</v>
      </c>
      <c r="I12" s="402" t="str">
        <f ca="1">IF(DrawFinder!AH12=0,"",DrawFinder!AH12)</f>
        <v>-</v>
      </c>
      <c r="J12" s="402">
        <f ca="1">IF(DrawFinder!AI12=0,"",DrawFinder!AI12)</f>
        <v>4</v>
      </c>
      <c r="K12" s="402">
        <f ca="1">IF(DrawFinder!AJ12=0,"",DrawFinder!AJ12)</f>
        <v>-6</v>
      </c>
      <c r="L12" s="402" t="str">
        <f ca="1">IF(DrawFinder!AK12=0,"",DrawFinder!AK12)</f>
        <v>-</v>
      </c>
      <c r="M12" s="402" t="str">
        <f ca="1">IF(DrawFinder!AL12=0,"",DrawFinder!AL12)</f>
        <v>-</v>
      </c>
      <c r="N12" s="402">
        <f ca="1">IF(DrawFinder!AM12=0,"",DrawFinder!AM12)</f>
        <v>-2</v>
      </c>
      <c r="O12" s="402">
        <f ca="1">IF(DrawFinder!AN12=0,"",DrawFinder!AN12)</f>
        <v>3</v>
      </c>
      <c r="P12" s="402" t="str">
        <f ca="1">IF(DrawFinder!AO12=0,"",DrawFinder!AO12)</f>
        <v>-</v>
      </c>
      <c r="Q12" s="402" t="str">
        <f ca="1">IF(DrawFinder!AP12=0,"",DrawFinder!AP12)</f>
        <v/>
      </c>
      <c r="R12" s="402" t="str">
        <f ca="1">IF(DrawFinder!AQ12=0,"",DrawFinder!AQ12)</f>
        <v/>
      </c>
      <c r="S12" s="402" t="str">
        <f ca="1">IF(DrawFinder!AR12=0,"",DrawFinder!AR12)</f>
        <v/>
      </c>
      <c r="T12" s="402" t="str">
        <f ca="1">IF(DrawFinder!AS12=0,"",DrawFinder!AS12)</f>
        <v/>
      </c>
      <c r="U12" s="402" t="str">
        <f ca="1">IF(DrawFinder!AT12=0,"",DrawFinder!AT12)</f>
        <v/>
      </c>
      <c r="V12" s="402" t="str">
        <f ca="1">IF(DrawFinder!AU12=0,"",DrawFinder!AU12)</f>
        <v/>
      </c>
      <c r="W12" s="402" t="str">
        <f ca="1">IF(DrawFinder!AV12=0,"",DrawFinder!AV12)</f>
        <v/>
      </c>
      <c r="X12" s="402" t="str">
        <f ca="1">IF(DrawFinder!AW12=0,"",DrawFinder!AW12)</f>
        <v/>
      </c>
      <c r="Y12" s="402" t="str">
        <f ca="1">IF(DrawFinder!AX12=0,"",DrawFinder!AX12)</f>
        <v/>
      </c>
      <c r="Z12" s="402" t="str">
        <f ca="1">IF(DrawFinder!AY12=0,"",DrawFinder!AY12)</f>
        <v/>
      </c>
      <c r="AA12" s="402" t="str">
        <f ca="1">IF(DrawFinder!AZ12=0,"",DrawFinder!AZ12)</f>
        <v/>
      </c>
      <c r="AB12" s="402" t="str">
        <f ca="1">IF(DrawFinder!BA12=0,"",DrawFinder!BA12)</f>
        <v/>
      </c>
      <c r="AC12" s="402" t="str">
        <f ca="1">IF(DrawFinder!BB12=0,"",DrawFinder!BB12)</f>
        <v/>
      </c>
      <c r="AD12" s="402" t="str">
        <f ca="1">IF(DrawFinder!BC12=0,"",DrawFinder!BC12)</f>
        <v/>
      </c>
      <c r="AE12" s="402" t="str">
        <f ca="1">IF(DrawFinder!BD12=0,"",DrawFinder!BD12)</f>
        <v/>
      </c>
      <c r="AF12" s="402" t="str">
        <f ca="1">IF(DrawFinder!BE12=0,"",DrawFinder!BE12)</f>
        <v/>
      </c>
      <c r="AG12" s="402" t="str">
        <f ca="1">IF(DrawFinder!BF12=0,"",DrawFinder!BF12)</f>
        <v/>
      </c>
      <c r="AH12" s="402" t="str">
        <f ca="1">IF(DrawFinder!BG12=0,"",DrawFinder!BG12)</f>
        <v/>
      </c>
      <c r="AI12" s="402" t="str">
        <f ca="1">IF(DrawFinder!BH12=0,"",DrawFinder!BH12)</f>
        <v/>
      </c>
      <c r="AJ12" s="402" t="str">
        <f ca="1">IF(DrawFinder!BI12=0,"",DrawFinder!BI12)</f>
        <v/>
      </c>
      <c r="AK12" s="402" t="str">
        <f ca="1">IF(DrawFinder!BJ12=0,"",DrawFinder!BJ12)</f>
        <v/>
      </c>
      <c r="AL12" s="402" t="str">
        <f ca="1">IF(DrawFinder!BK12=0,"",DrawFinder!BK12)</f>
        <v/>
      </c>
      <c r="AM12" s="402" t="str">
        <f ca="1">IF(DrawFinder!BL12=0,"",DrawFinder!BL12)</f>
        <v/>
      </c>
      <c r="AN12" s="402" t="str">
        <f ca="1">IF(DrawFinder!BM12=0,"",DrawFinder!BM12)</f>
        <v/>
      </c>
      <c r="AO12" s="402" t="str">
        <f ca="1">IF(DrawFinder!BN12=0,"",DrawFinder!BN12)</f>
        <v/>
      </c>
      <c r="AP12" s="400" t="str">
        <f ca="1">IF(DrawFinder!BO12=0,"",DrawFinder!BO12)</f>
        <v/>
      </c>
      <c r="AQ12" s="81">
        <f>IF(DrawFinder!Y12=0,"",DrawFinder!Y12)</f>
        <v>1</v>
      </c>
      <c r="AR12" s="79" t="str">
        <f t="shared" ref="AR12:AR56" ca="1" si="46">IF(AS12="","",IF(B12="",CONCATENATE("Tm",IF(AS12&lt;10,"0",""),AS12),B12))</f>
        <v>Tm02</v>
      </c>
      <c r="AS12" s="81">
        <f t="shared" ref="AS12:AS56" ca="1" si="47">IF(ROW()-10&gt;$AS$8,"",ROW()-10)</f>
        <v>2</v>
      </c>
      <c r="AT12" s="84">
        <f t="shared" ref="AT12:AT56" ca="1" si="48">IF(AQ12=0,"",COUNTIF(C12:AP12,"&gt;0")+COUNTIF(C12:AP12,"&lt;0"))</f>
        <v>7</v>
      </c>
      <c r="AU12" s="336">
        <f t="shared" ref="AU12:BD50" ca="1" si="49">COUNTIF($C12:$AP12,AU$9)+COUNTIF($C12:$AP12,(AU$9*-1))</f>
        <v>1</v>
      </c>
      <c r="AV12" s="336">
        <f t="shared" ca="1" si="0"/>
        <v>1</v>
      </c>
      <c r="AW12" s="336">
        <f t="shared" ca="1" si="0"/>
        <v>1</v>
      </c>
      <c r="AX12" s="336">
        <f t="shared" ca="1" si="0"/>
        <v>2</v>
      </c>
      <c r="AY12" s="336">
        <f t="shared" ca="1" si="0"/>
        <v>1</v>
      </c>
      <c r="AZ12" s="336">
        <f t="shared" ca="1" si="0"/>
        <v>1</v>
      </c>
      <c r="BA12" s="336">
        <f t="shared" ca="1" si="0"/>
        <v>0</v>
      </c>
      <c r="BB12" s="336">
        <f t="shared" ca="1" si="0"/>
        <v>0</v>
      </c>
      <c r="BC12" s="336">
        <f t="shared" ca="1" si="0"/>
        <v>0</v>
      </c>
      <c r="BD12" s="336">
        <f t="shared" ca="1" si="0"/>
        <v>0</v>
      </c>
      <c r="BE12" s="83">
        <f t="shared" ca="1" si="1"/>
        <v>4</v>
      </c>
      <c r="BF12" s="84">
        <f t="shared" ref="BF12:BF58" ca="1" si="50">IF($AT$8="e",AT12-BE12,"")</f>
        <v>3</v>
      </c>
      <c r="BH12" s="407">
        <f t="shared" ca="1" si="2"/>
        <v>4</v>
      </c>
      <c r="BI12" s="408">
        <f t="shared" ca="1" si="3"/>
        <v>3</v>
      </c>
      <c r="BK12" s="439">
        <f t="shared" ca="1" si="4"/>
        <v>1</v>
      </c>
      <c r="BL12" s="397">
        <f t="shared" ca="1" si="5"/>
        <v>0</v>
      </c>
      <c r="BM12" s="397">
        <f t="shared" ca="1" si="6"/>
        <v>0</v>
      </c>
      <c r="BN12" s="397">
        <f t="shared" ca="1" si="7"/>
        <v>0</v>
      </c>
      <c r="BO12" s="397">
        <f t="shared" ca="1" si="8"/>
        <v>1</v>
      </c>
      <c r="BP12" s="397">
        <f t="shared" ca="1" si="9"/>
        <v>0</v>
      </c>
      <c r="BQ12" s="397">
        <f t="shared" ca="1" si="10"/>
        <v>0</v>
      </c>
      <c r="BR12" s="397">
        <f t="shared" ca="1" si="11"/>
        <v>0</v>
      </c>
      <c r="BS12" s="397">
        <f t="shared" ca="1" si="12"/>
        <v>1</v>
      </c>
      <c r="BT12" s="397">
        <f t="shared" ca="1" si="13"/>
        <v>0</v>
      </c>
      <c r="BU12" s="397">
        <f t="shared" ca="1" si="14"/>
        <v>0</v>
      </c>
      <c r="BV12" s="397">
        <f t="shared" ca="1" si="15"/>
        <v>0</v>
      </c>
      <c r="BW12" s="397">
        <f t="shared" ca="1" si="16"/>
        <v>1</v>
      </c>
      <c r="BX12" s="397">
        <f t="shared" ca="1" si="17"/>
        <v>0</v>
      </c>
      <c r="BY12" s="397">
        <f t="shared" ca="1" si="18"/>
        <v>0</v>
      </c>
      <c r="BZ12" s="397">
        <f t="shared" ca="1" si="19"/>
        <v>0</v>
      </c>
      <c r="CA12" s="397">
        <f t="shared" ca="1" si="20"/>
        <v>0</v>
      </c>
      <c r="CB12" s="397">
        <f t="shared" ca="1" si="21"/>
        <v>0</v>
      </c>
      <c r="CC12" s="397">
        <f t="shared" ca="1" si="22"/>
        <v>0</v>
      </c>
      <c r="CD12" s="397">
        <f t="shared" ca="1" si="23"/>
        <v>0</v>
      </c>
      <c r="CE12" s="397">
        <f t="shared" ca="1" si="24"/>
        <v>0</v>
      </c>
      <c r="CF12" s="397">
        <f t="shared" ca="1" si="25"/>
        <v>0</v>
      </c>
      <c r="CG12" s="397">
        <f t="shared" ca="1" si="26"/>
        <v>0</v>
      </c>
      <c r="CH12" s="397">
        <f t="shared" ca="1" si="27"/>
        <v>0</v>
      </c>
      <c r="CI12" s="397">
        <f t="shared" ca="1" si="28"/>
        <v>0</v>
      </c>
      <c r="CJ12" s="397">
        <f t="shared" ca="1" si="29"/>
        <v>0</v>
      </c>
      <c r="CK12" s="397">
        <f t="shared" ca="1" si="30"/>
        <v>0</v>
      </c>
      <c r="CL12" s="397">
        <f t="shared" ca="1" si="31"/>
        <v>0</v>
      </c>
      <c r="CM12" s="397">
        <f t="shared" ca="1" si="32"/>
        <v>0</v>
      </c>
      <c r="CN12" s="397">
        <f t="shared" ca="1" si="33"/>
        <v>0</v>
      </c>
      <c r="CO12" s="397">
        <f t="shared" ca="1" si="34"/>
        <v>0</v>
      </c>
      <c r="CP12" s="397">
        <f t="shared" ca="1" si="35"/>
        <v>0</v>
      </c>
      <c r="CQ12" s="397">
        <f t="shared" ca="1" si="36"/>
        <v>0</v>
      </c>
      <c r="CR12" s="397">
        <f t="shared" ca="1" si="37"/>
        <v>0</v>
      </c>
      <c r="CS12" s="397">
        <f t="shared" ca="1" si="38"/>
        <v>0</v>
      </c>
      <c r="CT12" s="397">
        <f t="shared" ca="1" si="39"/>
        <v>0</v>
      </c>
      <c r="CU12" s="397">
        <f t="shared" ca="1" si="40"/>
        <v>0</v>
      </c>
      <c r="CV12" s="397">
        <f t="shared" ca="1" si="41"/>
        <v>0</v>
      </c>
      <c r="CW12" s="397">
        <f t="shared" ca="1" si="42"/>
        <v>0</v>
      </c>
      <c r="CX12" s="440">
        <f t="shared" ca="1" si="43"/>
        <v>0</v>
      </c>
      <c r="CY12" s="335">
        <f t="shared" si="44"/>
        <v>0</v>
      </c>
      <c r="CZ12" s="16"/>
      <c r="DA12" s="16"/>
      <c r="DB12" s="16"/>
      <c r="DC12" s="16"/>
      <c r="DD12" s="16"/>
      <c r="DE12" s="16"/>
      <c r="DF12" s="16"/>
      <c r="DG12" s="16"/>
      <c r="DH12" s="16"/>
    </row>
    <row r="13" spans="1:112" s="77" customFormat="1" ht="15" customHeight="1">
      <c r="A13" s="266" t="str">
        <f t="shared" ca="1" si="45"/>
        <v>Tm03</v>
      </c>
      <c r="B13" s="462"/>
      <c r="C13" s="402">
        <f ca="1">IF(DrawFinder!AB13=0,"",DrawFinder!AB13)</f>
        <v>5</v>
      </c>
      <c r="D13" s="402" t="str">
        <f ca="1">IF(DrawFinder!AC13=0,"",DrawFinder!AC13)</f>
        <v>-</v>
      </c>
      <c r="E13" s="402" t="str">
        <f ca="1">IF(DrawFinder!AD13=0,"",DrawFinder!AD13)</f>
        <v>-</v>
      </c>
      <c r="F13" s="402">
        <f ca="1">IF(DrawFinder!AE13=0,"",DrawFinder!AE13)</f>
        <v>-1</v>
      </c>
      <c r="G13" s="402">
        <f ca="1">IF(DrawFinder!AF13=0,"",DrawFinder!AF13)</f>
        <v>-2</v>
      </c>
      <c r="H13" s="402" t="str">
        <f ca="1">IF(DrawFinder!AG13=0,"",DrawFinder!AG13)</f>
        <v>-</v>
      </c>
      <c r="I13" s="402" t="str">
        <f ca="1">IF(DrawFinder!AH13=0,"",DrawFinder!AH13)</f>
        <v>-</v>
      </c>
      <c r="J13" s="402">
        <f ca="1">IF(DrawFinder!AI13=0,"",DrawFinder!AI13)</f>
        <v>3</v>
      </c>
      <c r="K13" s="402">
        <f ca="1">IF(DrawFinder!AJ13=0,"",DrawFinder!AJ13)</f>
        <v>6</v>
      </c>
      <c r="L13" s="402" t="str">
        <f ca="1">IF(DrawFinder!AK13=0,"",DrawFinder!AK13)</f>
        <v>-</v>
      </c>
      <c r="M13" s="402" t="str">
        <f ca="1">IF(DrawFinder!AL13=0,"",DrawFinder!AL13)</f>
        <v>-</v>
      </c>
      <c r="N13" s="402">
        <f ca="1">IF(DrawFinder!AM13=0,"",DrawFinder!AM13)</f>
        <v>-5</v>
      </c>
      <c r="O13" s="402">
        <f ca="1">IF(DrawFinder!AN13=0,"",DrawFinder!AN13)</f>
        <v>4</v>
      </c>
      <c r="P13" s="402" t="str">
        <f ca="1">IF(DrawFinder!AO13=0,"",DrawFinder!AO13)</f>
        <v>-</v>
      </c>
      <c r="Q13" s="402" t="str">
        <f ca="1">IF(DrawFinder!AP13=0,"",DrawFinder!AP13)</f>
        <v/>
      </c>
      <c r="R13" s="402" t="str">
        <f ca="1">IF(DrawFinder!AQ13=0,"",DrawFinder!AQ13)</f>
        <v/>
      </c>
      <c r="S13" s="402" t="str">
        <f ca="1">IF(DrawFinder!AR13=0,"",DrawFinder!AR13)</f>
        <v/>
      </c>
      <c r="T13" s="402" t="str">
        <f ca="1">IF(DrawFinder!AS13=0,"",DrawFinder!AS13)</f>
        <v/>
      </c>
      <c r="U13" s="402" t="str">
        <f ca="1">IF(DrawFinder!AT13=0,"",DrawFinder!AT13)</f>
        <v/>
      </c>
      <c r="V13" s="402" t="str">
        <f ca="1">IF(DrawFinder!AU13=0,"",DrawFinder!AU13)</f>
        <v/>
      </c>
      <c r="W13" s="402" t="str">
        <f ca="1">IF(DrawFinder!AV13=0,"",DrawFinder!AV13)</f>
        <v/>
      </c>
      <c r="X13" s="402" t="str">
        <f ca="1">IF(DrawFinder!AW13=0,"",DrawFinder!AW13)</f>
        <v/>
      </c>
      <c r="Y13" s="402" t="str">
        <f ca="1">IF(DrawFinder!AX13=0,"",DrawFinder!AX13)</f>
        <v/>
      </c>
      <c r="Z13" s="402" t="str">
        <f ca="1">IF(DrawFinder!AY13=0,"",DrawFinder!AY13)</f>
        <v/>
      </c>
      <c r="AA13" s="402" t="str">
        <f ca="1">IF(DrawFinder!AZ13=0,"",DrawFinder!AZ13)</f>
        <v/>
      </c>
      <c r="AB13" s="402" t="str">
        <f ca="1">IF(DrawFinder!BA13=0,"",DrawFinder!BA13)</f>
        <v/>
      </c>
      <c r="AC13" s="402" t="str">
        <f ca="1">IF(DrawFinder!BB13=0,"",DrawFinder!BB13)</f>
        <v/>
      </c>
      <c r="AD13" s="402" t="str">
        <f ca="1">IF(DrawFinder!BC13=0,"",DrawFinder!BC13)</f>
        <v/>
      </c>
      <c r="AE13" s="402" t="str">
        <f ca="1">IF(DrawFinder!BD13=0,"",DrawFinder!BD13)</f>
        <v/>
      </c>
      <c r="AF13" s="402" t="str">
        <f ca="1">IF(DrawFinder!BE13=0,"",DrawFinder!BE13)</f>
        <v/>
      </c>
      <c r="AG13" s="402" t="str">
        <f ca="1">IF(DrawFinder!BF13=0,"",DrawFinder!BF13)</f>
        <v/>
      </c>
      <c r="AH13" s="402" t="str">
        <f ca="1">IF(DrawFinder!BG13=0,"",DrawFinder!BG13)</f>
        <v/>
      </c>
      <c r="AI13" s="402" t="str">
        <f ca="1">IF(DrawFinder!BH13=0,"",DrawFinder!BH13)</f>
        <v/>
      </c>
      <c r="AJ13" s="402" t="str">
        <f ca="1">IF(DrawFinder!BI13=0,"",DrawFinder!BI13)</f>
        <v/>
      </c>
      <c r="AK13" s="402" t="str">
        <f ca="1">IF(DrawFinder!BJ13=0,"",DrawFinder!BJ13)</f>
        <v/>
      </c>
      <c r="AL13" s="402" t="str">
        <f ca="1">IF(DrawFinder!BK13=0,"",DrawFinder!BK13)</f>
        <v/>
      </c>
      <c r="AM13" s="402" t="str">
        <f ca="1">IF(DrawFinder!BL13=0,"",DrawFinder!BL13)</f>
        <v/>
      </c>
      <c r="AN13" s="402" t="str">
        <f ca="1">IF(DrawFinder!BM13=0,"",DrawFinder!BM13)</f>
        <v/>
      </c>
      <c r="AO13" s="402" t="str">
        <f ca="1">IF(DrawFinder!BN13=0,"",DrawFinder!BN13)</f>
        <v/>
      </c>
      <c r="AP13" s="400" t="str">
        <f ca="1">IF(DrawFinder!BO13=0,"",DrawFinder!BO13)</f>
        <v/>
      </c>
      <c r="AQ13" s="81">
        <f>IF(DrawFinder!Y13=0,"",DrawFinder!Y13)</f>
        <v>1</v>
      </c>
      <c r="AR13" s="79" t="str">
        <f t="shared" ca="1" si="46"/>
        <v>Tm03</v>
      </c>
      <c r="AS13" s="81">
        <f t="shared" ca="1" si="47"/>
        <v>3</v>
      </c>
      <c r="AT13" s="84">
        <f t="shared" ca="1" si="48"/>
        <v>7</v>
      </c>
      <c r="AU13" s="336">
        <f t="shared" ca="1" si="49"/>
        <v>1</v>
      </c>
      <c r="AV13" s="336">
        <f t="shared" ca="1" si="0"/>
        <v>1</v>
      </c>
      <c r="AW13" s="336">
        <f t="shared" ca="1" si="0"/>
        <v>1</v>
      </c>
      <c r="AX13" s="336">
        <f t="shared" ca="1" si="0"/>
        <v>1</v>
      </c>
      <c r="AY13" s="336">
        <f t="shared" ca="1" si="0"/>
        <v>2</v>
      </c>
      <c r="AZ13" s="336">
        <f t="shared" ca="1" si="0"/>
        <v>1</v>
      </c>
      <c r="BA13" s="336">
        <f t="shared" ca="1" si="0"/>
        <v>0</v>
      </c>
      <c r="BB13" s="336">
        <f t="shared" ca="1" si="0"/>
        <v>0</v>
      </c>
      <c r="BC13" s="336">
        <f t="shared" ca="1" si="0"/>
        <v>0</v>
      </c>
      <c r="BD13" s="336">
        <f t="shared" ca="1" si="0"/>
        <v>0</v>
      </c>
      <c r="BE13" s="83">
        <f t="shared" ca="1" si="1"/>
        <v>4</v>
      </c>
      <c r="BF13" s="84">
        <f t="shared" ca="1" si="50"/>
        <v>3</v>
      </c>
      <c r="BH13" s="407">
        <f t="shared" ca="1" si="2"/>
        <v>3</v>
      </c>
      <c r="BI13" s="408">
        <f t="shared" ca="1" si="3"/>
        <v>4</v>
      </c>
      <c r="BK13" s="439">
        <f t="shared" ca="1" si="4"/>
        <v>1</v>
      </c>
      <c r="BL13" s="397">
        <f t="shared" ca="1" si="5"/>
        <v>0</v>
      </c>
      <c r="BM13" s="397">
        <f t="shared" ca="1" si="6"/>
        <v>0</v>
      </c>
      <c r="BN13" s="397">
        <f t="shared" ca="1" si="7"/>
        <v>0</v>
      </c>
      <c r="BO13" s="397">
        <f t="shared" ca="1" si="8"/>
        <v>1</v>
      </c>
      <c r="BP13" s="397">
        <f t="shared" ca="1" si="9"/>
        <v>0</v>
      </c>
      <c r="BQ13" s="397">
        <f t="shared" ca="1" si="10"/>
        <v>0</v>
      </c>
      <c r="BR13" s="397">
        <f t="shared" ca="1" si="11"/>
        <v>0</v>
      </c>
      <c r="BS13" s="397">
        <f t="shared" ca="1" si="12"/>
        <v>1</v>
      </c>
      <c r="BT13" s="397">
        <f t="shared" ca="1" si="13"/>
        <v>0</v>
      </c>
      <c r="BU13" s="397">
        <f t="shared" ca="1" si="14"/>
        <v>0</v>
      </c>
      <c r="BV13" s="397">
        <f t="shared" ca="1" si="15"/>
        <v>0</v>
      </c>
      <c r="BW13" s="397">
        <f t="shared" ca="1" si="16"/>
        <v>1</v>
      </c>
      <c r="BX13" s="397">
        <f t="shared" ca="1" si="17"/>
        <v>0</v>
      </c>
      <c r="BY13" s="397">
        <f t="shared" ca="1" si="18"/>
        <v>0</v>
      </c>
      <c r="BZ13" s="397">
        <f t="shared" ca="1" si="19"/>
        <v>0</v>
      </c>
      <c r="CA13" s="397">
        <f t="shared" ca="1" si="20"/>
        <v>0</v>
      </c>
      <c r="CB13" s="397">
        <f t="shared" ca="1" si="21"/>
        <v>0</v>
      </c>
      <c r="CC13" s="397">
        <f t="shared" ca="1" si="22"/>
        <v>0</v>
      </c>
      <c r="CD13" s="397">
        <f t="shared" ca="1" si="23"/>
        <v>0</v>
      </c>
      <c r="CE13" s="397">
        <f t="shared" ca="1" si="24"/>
        <v>0</v>
      </c>
      <c r="CF13" s="397">
        <f t="shared" ca="1" si="25"/>
        <v>0</v>
      </c>
      <c r="CG13" s="397">
        <f t="shared" ca="1" si="26"/>
        <v>0</v>
      </c>
      <c r="CH13" s="397">
        <f t="shared" ca="1" si="27"/>
        <v>0</v>
      </c>
      <c r="CI13" s="397">
        <f t="shared" ca="1" si="28"/>
        <v>0</v>
      </c>
      <c r="CJ13" s="397">
        <f t="shared" ca="1" si="29"/>
        <v>0</v>
      </c>
      <c r="CK13" s="397">
        <f t="shared" ca="1" si="30"/>
        <v>0</v>
      </c>
      <c r="CL13" s="397">
        <f t="shared" ca="1" si="31"/>
        <v>0</v>
      </c>
      <c r="CM13" s="397">
        <f t="shared" ca="1" si="32"/>
        <v>0</v>
      </c>
      <c r="CN13" s="397">
        <f t="shared" ca="1" si="33"/>
        <v>0</v>
      </c>
      <c r="CO13" s="397">
        <f t="shared" ca="1" si="34"/>
        <v>0</v>
      </c>
      <c r="CP13" s="397">
        <f t="shared" ca="1" si="35"/>
        <v>0</v>
      </c>
      <c r="CQ13" s="397">
        <f t="shared" ca="1" si="36"/>
        <v>0</v>
      </c>
      <c r="CR13" s="397">
        <f t="shared" ca="1" si="37"/>
        <v>0</v>
      </c>
      <c r="CS13" s="397">
        <f t="shared" ca="1" si="38"/>
        <v>0</v>
      </c>
      <c r="CT13" s="397">
        <f t="shared" ca="1" si="39"/>
        <v>0</v>
      </c>
      <c r="CU13" s="397">
        <f t="shared" ca="1" si="40"/>
        <v>0</v>
      </c>
      <c r="CV13" s="397">
        <f t="shared" ca="1" si="41"/>
        <v>0</v>
      </c>
      <c r="CW13" s="397">
        <f t="shared" ca="1" si="42"/>
        <v>0</v>
      </c>
      <c r="CX13" s="440">
        <f t="shared" ca="1" si="43"/>
        <v>0</v>
      </c>
      <c r="CY13" s="335">
        <f t="shared" si="44"/>
        <v>0</v>
      </c>
      <c r="CZ13" s="16"/>
      <c r="DA13" s="16"/>
      <c r="DB13" s="16"/>
      <c r="DC13" s="16"/>
      <c r="DD13" s="16"/>
      <c r="DE13" s="16"/>
      <c r="DF13" s="16"/>
      <c r="DG13" s="16"/>
      <c r="DH13" s="16"/>
    </row>
    <row r="14" spans="1:112" s="77" customFormat="1" ht="15" customHeight="1">
      <c r="A14" s="266" t="str">
        <f t="shared" ca="1" si="45"/>
        <v>Tm04</v>
      </c>
      <c r="B14" s="462"/>
      <c r="C14" s="402">
        <f ca="1">IF(DrawFinder!AB14=0,"",DrawFinder!AB14)</f>
        <v>-2</v>
      </c>
      <c r="D14" s="402" t="str">
        <f ca="1">IF(DrawFinder!AC14=0,"",DrawFinder!AC14)</f>
        <v>-</v>
      </c>
      <c r="E14" s="402" t="str">
        <f ca="1">IF(DrawFinder!AD14=0,"",DrawFinder!AD14)</f>
        <v>-</v>
      </c>
      <c r="F14" s="402">
        <f ca="1">IF(DrawFinder!AE14=0,"",DrawFinder!AE14)</f>
        <v>6</v>
      </c>
      <c r="G14" s="402">
        <f ca="1">IF(DrawFinder!AF14=0,"",DrawFinder!AF14)</f>
        <v>3</v>
      </c>
      <c r="H14" s="402" t="str">
        <f ca="1">IF(DrawFinder!AG14=0,"",DrawFinder!AG14)</f>
        <v>-</v>
      </c>
      <c r="I14" s="402" t="str">
        <f ca="1">IF(DrawFinder!AH14=0,"",DrawFinder!AH14)</f>
        <v>-</v>
      </c>
      <c r="J14" s="402">
        <f ca="1">IF(DrawFinder!AI14=0,"",DrawFinder!AI14)</f>
        <v>-5</v>
      </c>
      <c r="K14" s="402">
        <f ca="1">IF(DrawFinder!AJ14=0,"",DrawFinder!AJ14)</f>
        <v>-1</v>
      </c>
      <c r="L14" s="402" t="str">
        <f ca="1">IF(DrawFinder!AK14=0,"",DrawFinder!AK14)</f>
        <v>-</v>
      </c>
      <c r="M14" s="402" t="str">
        <f ca="1">IF(DrawFinder!AL14=0,"",DrawFinder!AL14)</f>
        <v>-</v>
      </c>
      <c r="N14" s="402">
        <f ca="1">IF(DrawFinder!AM14=0,"",DrawFinder!AM14)</f>
        <v>2</v>
      </c>
      <c r="O14" s="402">
        <f ca="1">IF(DrawFinder!AN14=0,"",DrawFinder!AN14)</f>
        <v>-4</v>
      </c>
      <c r="P14" s="402" t="str">
        <f ca="1">IF(DrawFinder!AO14=0,"",DrawFinder!AO14)</f>
        <v>-</v>
      </c>
      <c r="Q14" s="402" t="str">
        <f ca="1">IF(DrawFinder!AP14=0,"",DrawFinder!AP14)</f>
        <v/>
      </c>
      <c r="R14" s="402" t="str">
        <f ca="1">IF(DrawFinder!AQ14=0,"",DrawFinder!AQ14)</f>
        <v/>
      </c>
      <c r="S14" s="402" t="str">
        <f ca="1">IF(DrawFinder!AR14=0,"",DrawFinder!AR14)</f>
        <v/>
      </c>
      <c r="T14" s="402" t="str">
        <f ca="1">IF(DrawFinder!AS14=0,"",DrawFinder!AS14)</f>
        <v/>
      </c>
      <c r="U14" s="402" t="str">
        <f ca="1">IF(DrawFinder!AT14=0,"",DrawFinder!AT14)</f>
        <v/>
      </c>
      <c r="V14" s="402" t="str">
        <f ca="1">IF(DrawFinder!AU14=0,"",DrawFinder!AU14)</f>
        <v/>
      </c>
      <c r="W14" s="402" t="str">
        <f ca="1">IF(DrawFinder!AV14=0,"",DrawFinder!AV14)</f>
        <v/>
      </c>
      <c r="X14" s="402" t="str">
        <f ca="1">IF(DrawFinder!AW14=0,"",DrawFinder!AW14)</f>
        <v/>
      </c>
      <c r="Y14" s="402" t="str">
        <f ca="1">IF(DrawFinder!AX14=0,"",DrawFinder!AX14)</f>
        <v/>
      </c>
      <c r="Z14" s="402" t="str">
        <f ca="1">IF(DrawFinder!AY14=0,"",DrawFinder!AY14)</f>
        <v/>
      </c>
      <c r="AA14" s="402" t="str">
        <f ca="1">IF(DrawFinder!AZ14=0,"",DrawFinder!AZ14)</f>
        <v/>
      </c>
      <c r="AB14" s="402" t="str">
        <f ca="1">IF(DrawFinder!BA14=0,"",DrawFinder!BA14)</f>
        <v/>
      </c>
      <c r="AC14" s="402" t="str">
        <f ca="1">IF(DrawFinder!BB14=0,"",DrawFinder!BB14)</f>
        <v/>
      </c>
      <c r="AD14" s="402" t="str">
        <f ca="1">IF(DrawFinder!BC14=0,"",DrawFinder!BC14)</f>
        <v/>
      </c>
      <c r="AE14" s="402" t="str">
        <f ca="1">IF(DrawFinder!BD14=0,"",DrawFinder!BD14)</f>
        <v/>
      </c>
      <c r="AF14" s="402" t="str">
        <f ca="1">IF(DrawFinder!BE14=0,"",DrawFinder!BE14)</f>
        <v/>
      </c>
      <c r="AG14" s="402" t="str">
        <f ca="1">IF(DrawFinder!BF14=0,"",DrawFinder!BF14)</f>
        <v/>
      </c>
      <c r="AH14" s="402" t="str">
        <f ca="1">IF(DrawFinder!BG14=0,"",DrawFinder!BG14)</f>
        <v/>
      </c>
      <c r="AI14" s="402" t="str">
        <f ca="1">IF(DrawFinder!BH14=0,"",DrawFinder!BH14)</f>
        <v/>
      </c>
      <c r="AJ14" s="402" t="str">
        <f ca="1">IF(DrawFinder!BI14=0,"",DrawFinder!BI14)</f>
        <v/>
      </c>
      <c r="AK14" s="402" t="str">
        <f ca="1">IF(DrawFinder!BJ14=0,"",DrawFinder!BJ14)</f>
        <v/>
      </c>
      <c r="AL14" s="402" t="str">
        <f ca="1">IF(DrawFinder!BK14=0,"",DrawFinder!BK14)</f>
        <v/>
      </c>
      <c r="AM14" s="402" t="str">
        <f ca="1">IF(DrawFinder!BL14=0,"",DrawFinder!BL14)</f>
        <v/>
      </c>
      <c r="AN14" s="402" t="str">
        <f ca="1">IF(DrawFinder!BM14=0,"",DrawFinder!BM14)</f>
        <v/>
      </c>
      <c r="AO14" s="402" t="str">
        <f ca="1">IF(DrawFinder!BN14=0,"",DrawFinder!BN14)</f>
        <v/>
      </c>
      <c r="AP14" s="400" t="str">
        <f ca="1">IF(DrawFinder!BO14=0,"",DrawFinder!BO14)</f>
        <v/>
      </c>
      <c r="AQ14" s="81">
        <f>IF(DrawFinder!Y14=0,"",DrawFinder!Y14)</f>
        <v>1</v>
      </c>
      <c r="AR14" s="79" t="str">
        <f t="shared" ca="1" si="46"/>
        <v>Tm04</v>
      </c>
      <c r="AS14" s="81">
        <f t="shared" ca="1" si="47"/>
        <v>4</v>
      </c>
      <c r="AT14" s="84">
        <f t="shared" ca="1" si="48"/>
        <v>7</v>
      </c>
      <c r="AU14" s="336">
        <f t="shared" ca="1" si="49"/>
        <v>1</v>
      </c>
      <c r="AV14" s="336">
        <f t="shared" ca="1" si="0"/>
        <v>2</v>
      </c>
      <c r="AW14" s="336">
        <f t="shared" ca="1" si="0"/>
        <v>1</v>
      </c>
      <c r="AX14" s="336">
        <f t="shared" ca="1" si="0"/>
        <v>1</v>
      </c>
      <c r="AY14" s="336">
        <f t="shared" ca="1" si="0"/>
        <v>1</v>
      </c>
      <c r="AZ14" s="336">
        <f t="shared" ca="1" si="0"/>
        <v>1</v>
      </c>
      <c r="BA14" s="336">
        <f t="shared" ca="1" si="0"/>
        <v>0</v>
      </c>
      <c r="BB14" s="336">
        <f t="shared" ca="1" si="0"/>
        <v>0</v>
      </c>
      <c r="BC14" s="336">
        <f t="shared" ca="1" si="0"/>
        <v>0</v>
      </c>
      <c r="BD14" s="336">
        <f t="shared" ca="1" si="0"/>
        <v>0</v>
      </c>
      <c r="BE14" s="83">
        <f t="shared" ca="1" si="1"/>
        <v>4</v>
      </c>
      <c r="BF14" s="84">
        <f t="shared" ca="1" si="50"/>
        <v>3</v>
      </c>
      <c r="BH14" s="407">
        <f t="shared" ca="1" si="2"/>
        <v>4</v>
      </c>
      <c r="BI14" s="408">
        <f t="shared" ca="1" si="3"/>
        <v>3</v>
      </c>
      <c r="BK14" s="439">
        <f t="shared" ca="1" si="4"/>
        <v>1</v>
      </c>
      <c r="BL14" s="397">
        <f t="shared" ca="1" si="5"/>
        <v>0</v>
      </c>
      <c r="BM14" s="397">
        <f t="shared" ca="1" si="6"/>
        <v>0</v>
      </c>
      <c r="BN14" s="397">
        <f t="shared" ca="1" si="7"/>
        <v>0</v>
      </c>
      <c r="BO14" s="397">
        <f t="shared" ca="1" si="8"/>
        <v>1</v>
      </c>
      <c r="BP14" s="397">
        <f t="shared" ca="1" si="9"/>
        <v>0</v>
      </c>
      <c r="BQ14" s="397">
        <f t="shared" ca="1" si="10"/>
        <v>0</v>
      </c>
      <c r="BR14" s="397">
        <f t="shared" ca="1" si="11"/>
        <v>0</v>
      </c>
      <c r="BS14" s="397">
        <f t="shared" ca="1" si="12"/>
        <v>1</v>
      </c>
      <c r="BT14" s="397">
        <f t="shared" ca="1" si="13"/>
        <v>0</v>
      </c>
      <c r="BU14" s="397">
        <f t="shared" ca="1" si="14"/>
        <v>0</v>
      </c>
      <c r="BV14" s="397">
        <f t="shared" ca="1" si="15"/>
        <v>0</v>
      </c>
      <c r="BW14" s="397">
        <f t="shared" ca="1" si="16"/>
        <v>1</v>
      </c>
      <c r="BX14" s="397">
        <f t="shared" ca="1" si="17"/>
        <v>0</v>
      </c>
      <c r="BY14" s="397">
        <f t="shared" ca="1" si="18"/>
        <v>0</v>
      </c>
      <c r="BZ14" s="397">
        <f t="shared" ca="1" si="19"/>
        <v>0</v>
      </c>
      <c r="CA14" s="397">
        <f t="shared" ca="1" si="20"/>
        <v>0</v>
      </c>
      <c r="CB14" s="397">
        <f t="shared" ca="1" si="21"/>
        <v>0</v>
      </c>
      <c r="CC14" s="397">
        <f t="shared" ca="1" si="22"/>
        <v>0</v>
      </c>
      <c r="CD14" s="397">
        <f t="shared" ca="1" si="23"/>
        <v>0</v>
      </c>
      <c r="CE14" s="397">
        <f t="shared" ca="1" si="24"/>
        <v>0</v>
      </c>
      <c r="CF14" s="397">
        <f t="shared" ca="1" si="25"/>
        <v>0</v>
      </c>
      <c r="CG14" s="397">
        <f t="shared" ca="1" si="26"/>
        <v>0</v>
      </c>
      <c r="CH14" s="397">
        <f t="shared" ca="1" si="27"/>
        <v>0</v>
      </c>
      <c r="CI14" s="397">
        <f t="shared" ca="1" si="28"/>
        <v>0</v>
      </c>
      <c r="CJ14" s="397">
        <f t="shared" ca="1" si="29"/>
        <v>0</v>
      </c>
      <c r="CK14" s="397">
        <f t="shared" ca="1" si="30"/>
        <v>0</v>
      </c>
      <c r="CL14" s="397">
        <f t="shared" ca="1" si="31"/>
        <v>0</v>
      </c>
      <c r="CM14" s="397">
        <f t="shared" ca="1" si="32"/>
        <v>0</v>
      </c>
      <c r="CN14" s="397">
        <f t="shared" ca="1" si="33"/>
        <v>0</v>
      </c>
      <c r="CO14" s="397">
        <f t="shared" ca="1" si="34"/>
        <v>0</v>
      </c>
      <c r="CP14" s="397">
        <f t="shared" ca="1" si="35"/>
        <v>0</v>
      </c>
      <c r="CQ14" s="397">
        <f t="shared" ca="1" si="36"/>
        <v>0</v>
      </c>
      <c r="CR14" s="397">
        <f t="shared" ca="1" si="37"/>
        <v>0</v>
      </c>
      <c r="CS14" s="397">
        <f t="shared" ca="1" si="38"/>
        <v>0</v>
      </c>
      <c r="CT14" s="397">
        <f t="shared" ca="1" si="39"/>
        <v>0</v>
      </c>
      <c r="CU14" s="397">
        <f t="shared" ca="1" si="40"/>
        <v>0</v>
      </c>
      <c r="CV14" s="397">
        <f t="shared" ca="1" si="41"/>
        <v>0</v>
      </c>
      <c r="CW14" s="397">
        <f t="shared" ca="1" si="42"/>
        <v>0</v>
      </c>
      <c r="CX14" s="440">
        <f t="shared" ca="1" si="43"/>
        <v>0</v>
      </c>
      <c r="CY14" s="335">
        <f t="shared" si="44"/>
        <v>0</v>
      </c>
      <c r="CZ14" s="16"/>
      <c r="DA14" s="16"/>
      <c r="DB14" s="16"/>
      <c r="DC14" s="16"/>
      <c r="DD14" s="16"/>
      <c r="DE14" s="16"/>
      <c r="DF14" s="16"/>
      <c r="DG14" s="16"/>
      <c r="DH14" s="16"/>
    </row>
    <row r="15" spans="1:112" s="77" customFormat="1" ht="15" customHeight="1">
      <c r="A15" s="266" t="str">
        <f t="shared" ca="1" si="45"/>
        <v>Tm05</v>
      </c>
      <c r="B15" s="462"/>
      <c r="C15" s="402">
        <f ca="1">IF(DrawFinder!AB15=0,"",DrawFinder!AB15)</f>
        <v>-5</v>
      </c>
      <c r="D15" s="402" t="str">
        <f ca="1">IF(DrawFinder!AC15=0,"",DrawFinder!AC15)</f>
        <v>-</v>
      </c>
      <c r="E15" s="402" t="str">
        <f ca="1">IF(DrawFinder!AD15=0,"",DrawFinder!AD15)</f>
        <v>-</v>
      </c>
      <c r="F15" s="402">
        <f ca="1">IF(DrawFinder!AE15=0,"",DrawFinder!AE15)</f>
        <v>-4</v>
      </c>
      <c r="G15" s="402">
        <f ca="1">IF(DrawFinder!AF15=0,"",DrawFinder!AF15)</f>
        <v>1</v>
      </c>
      <c r="H15" s="402" t="str">
        <f ca="1">IF(DrawFinder!AG15=0,"",DrawFinder!AG15)</f>
        <v>-</v>
      </c>
      <c r="I15" s="402" t="str">
        <f ca="1">IF(DrawFinder!AH15=0,"",DrawFinder!AH15)</f>
        <v>-</v>
      </c>
      <c r="J15" s="402">
        <f ca="1">IF(DrawFinder!AI15=0,"",DrawFinder!AI15)</f>
        <v>5</v>
      </c>
      <c r="K15" s="402">
        <f ca="1">IF(DrawFinder!AJ15=0,"",DrawFinder!AJ15)</f>
        <v>-3</v>
      </c>
      <c r="L15" s="402" t="str">
        <f ca="1">IF(DrawFinder!AK15=0,"",DrawFinder!AK15)</f>
        <v>-</v>
      </c>
      <c r="M15" s="402" t="str">
        <f ca="1">IF(DrawFinder!AL15=0,"",DrawFinder!AL15)</f>
        <v>-</v>
      </c>
      <c r="N15" s="402">
        <f ca="1">IF(DrawFinder!AM15=0,"",DrawFinder!AM15)</f>
        <v>6</v>
      </c>
      <c r="O15" s="402">
        <f ca="1">IF(DrawFinder!AN15=0,"",DrawFinder!AN15)</f>
        <v>2</v>
      </c>
      <c r="P15" s="402" t="str">
        <f ca="1">IF(DrawFinder!AO15=0,"",DrawFinder!AO15)</f>
        <v>-</v>
      </c>
      <c r="Q15" s="402" t="str">
        <f ca="1">IF(DrawFinder!AP15=0,"",DrawFinder!AP15)</f>
        <v/>
      </c>
      <c r="R15" s="402" t="str">
        <f ca="1">IF(DrawFinder!AQ15=0,"",DrawFinder!AQ15)</f>
        <v/>
      </c>
      <c r="S15" s="402" t="str">
        <f ca="1">IF(DrawFinder!AR15=0,"",DrawFinder!AR15)</f>
        <v/>
      </c>
      <c r="T15" s="402" t="str">
        <f ca="1">IF(DrawFinder!AS15=0,"",DrawFinder!AS15)</f>
        <v/>
      </c>
      <c r="U15" s="402" t="str">
        <f ca="1">IF(DrawFinder!AT15=0,"",DrawFinder!AT15)</f>
        <v/>
      </c>
      <c r="V15" s="402" t="str">
        <f ca="1">IF(DrawFinder!AU15=0,"",DrawFinder!AU15)</f>
        <v/>
      </c>
      <c r="W15" s="402" t="str">
        <f ca="1">IF(DrawFinder!AV15=0,"",DrawFinder!AV15)</f>
        <v/>
      </c>
      <c r="X15" s="402" t="str">
        <f ca="1">IF(DrawFinder!AW15=0,"",DrawFinder!AW15)</f>
        <v/>
      </c>
      <c r="Y15" s="402" t="str">
        <f ca="1">IF(DrawFinder!AX15=0,"",DrawFinder!AX15)</f>
        <v/>
      </c>
      <c r="Z15" s="402" t="str">
        <f ca="1">IF(DrawFinder!AY15=0,"",DrawFinder!AY15)</f>
        <v/>
      </c>
      <c r="AA15" s="402" t="str">
        <f ca="1">IF(DrawFinder!AZ15=0,"",DrawFinder!AZ15)</f>
        <v/>
      </c>
      <c r="AB15" s="402" t="str">
        <f ca="1">IF(DrawFinder!BA15=0,"",DrawFinder!BA15)</f>
        <v/>
      </c>
      <c r="AC15" s="402" t="str">
        <f ca="1">IF(DrawFinder!BB15=0,"",DrawFinder!BB15)</f>
        <v/>
      </c>
      <c r="AD15" s="402" t="str">
        <f ca="1">IF(DrawFinder!BC15=0,"",DrawFinder!BC15)</f>
        <v/>
      </c>
      <c r="AE15" s="402" t="str">
        <f ca="1">IF(DrawFinder!BD15=0,"",DrawFinder!BD15)</f>
        <v/>
      </c>
      <c r="AF15" s="402" t="str">
        <f ca="1">IF(DrawFinder!BE15=0,"",DrawFinder!BE15)</f>
        <v/>
      </c>
      <c r="AG15" s="402" t="str">
        <f ca="1">IF(DrawFinder!BF15=0,"",DrawFinder!BF15)</f>
        <v/>
      </c>
      <c r="AH15" s="402" t="str">
        <f ca="1">IF(DrawFinder!BG15=0,"",DrawFinder!BG15)</f>
        <v/>
      </c>
      <c r="AI15" s="402" t="str">
        <f ca="1">IF(DrawFinder!BH15=0,"",DrawFinder!BH15)</f>
        <v/>
      </c>
      <c r="AJ15" s="402" t="str">
        <f ca="1">IF(DrawFinder!BI15=0,"",DrawFinder!BI15)</f>
        <v/>
      </c>
      <c r="AK15" s="402" t="str">
        <f ca="1">IF(DrawFinder!BJ15=0,"",DrawFinder!BJ15)</f>
        <v/>
      </c>
      <c r="AL15" s="402" t="str">
        <f ca="1">IF(DrawFinder!BK15=0,"",DrawFinder!BK15)</f>
        <v/>
      </c>
      <c r="AM15" s="402" t="str">
        <f ca="1">IF(DrawFinder!BL15=0,"",DrawFinder!BL15)</f>
        <v/>
      </c>
      <c r="AN15" s="402" t="str">
        <f ca="1">IF(DrawFinder!BM15=0,"",DrawFinder!BM15)</f>
        <v/>
      </c>
      <c r="AO15" s="402" t="str">
        <f ca="1">IF(DrawFinder!BN15=0,"",DrawFinder!BN15)</f>
        <v/>
      </c>
      <c r="AP15" s="400" t="str">
        <f ca="1">IF(DrawFinder!BO15=0,"",DrawFinder!BO15)</f>
        <v/>
      </c>
      <c r="AQ15" s="81">
        <f>IF(DrawFinder!Y15=0,"",DrawFinder!Y15)</f>
        <v>1</v>
      </c>
      <c r="AR15" s="79" t="str">
        <f t="shared" ca="1" si="46"/>
        <v>Tm05</v>
      </c>
      <c r="AS15" s="81">
        <f t="shared" ca="1" si="47"/>
        <v>5</v>
      </c>
      <c r="AT15" s="84">
        <f t="shared" ca="1" si="48"/>
        <v>7</v>
      </c>
      <c r="AU15" s="336">
        <f t="shared" ca="1" si="49"/>
        <v>1</v>
      </c>
      <c r="AV15" s="336">
        <f t="shared" ca="1" si="0"/>
        <v>1</v>
      </c>
      <c r="AW15" s="336">
        <f t="shared" ca="1" si="0"/>
        <v>1</v>
      </c>
      <c r="AX15" s="336">
        <f t="shared" ca="1" si="0"/>
        <v>1</v>
      </c>
      <c r="AY15" s="336">
        <f t="shared" ca="1" si="0"/>
        <v>2</v>
      </c>
      <c r="AZ15" s="336">
        <f t="shared" ca="1" si="0"/>
        <v>1</v>
      </c>
      <c r="BA15" s="336">
        <f t="shared" ca="1" si="0"/>
        <v>0</v>
      </c>
      <c r="BB15" s="336">
        <f t="shared" ca="1" si="0"/>
        <v>0</v>
      </c>
      <c r="BC15" s="336">
        <f t="shared" ca="1" si="0"/>
        <v>0</v>
      </c>
      <c r="BD15" s="336">
        <f t="shared" ca="1" si="0"/>
        <v>0</v>
      </c>
      <c r="BE15" s="83">
        <f t="shared" ca="1" si="1"/>
        <v>4</v>
      </c>
      <c r="BF15" s="84">
        <f t="shared" ca="1" si="50"/>
        <v>3</v>
      </c>
      <c r="BH15" s="407">
        <f t="shared" ca="1" si="2"/>
        <v>3</v>
      </c>
      <c r="BI15" s="408">
        <f t="shared" ca="1" si="3"/>
        <v>4</v>
      </c>
      <c r="BK15" s="439">
        <f t="shared" ca="1" si="4"/>
        <v>1</v>
      </c>
      <c r="BL15" s="397">
        <f t="shared" ca="1" si="5"/>
        <v>0</v>
      </c>
      <c r="BM15" s="397">
        <f t="shared" ca="1" si="6"/>
        <v>0</v>
      </c>
      <c r="BN15" s="397">
        <f t="shared" ca="1" si="7"/>
        <v>0</v>
      </c>
      <c r="BO15" s="397">
        <f t="shared" ca="1" si="8"/>
        <v>1</v>
      </c>
      <c r="BP15" s="397">
        <f t="shared" ca="1" si="9"/>
        <v>0</v>
      </c>
      <c r="BQ15" s="397">
        <f t="shared" ca="1" si="10"/>
        <v>0</v>
      </c>
      <c r="BR15" s="397">
        <f t="shared" ca="1" si="11"/>
        <v>0</v>
      </c>
      <c r="BS15" s="397">
        <f t="shared" ca="1" si="12"/>
        <v>1</v>
      </c>
      <c r="BT15" s="397">
        <f t="shared" ca="1" si="13"/>
        <v>0</v>
      </c>
      <c r="BU15" s="397">
        <f t="shared" ca="1" si="14"/>
        <v>0</v>
      </c>
      <c r="BV15" s="397">
        <f t="shared" ca="1" si="15"/>
        <v>0</v>
      </c>
      <c r="BW15" s="397">
        <f t="shared" ca="1" si="16"/>
        <v>1</v>
      </c>
      <c r="BX15" s="397">
        <f t="shared" ca="1" si="17"/>
        <v>0</v>
      </c>
      <c r="BY15" s="397">
        <f t="shared" ca="1" si="18"/>
        <v>0</v>
      </c>
      <c r="BZ15" s="397">
        <f t="shared" ca="1" si="19"/>
        <v>0</v>
      </c>
      <c r="CA15" s="397">
        <f t="shared" ca="1" si="20"/>
        <v>0</v>
      </c>
      <c r="CB15" s="397">
        <f t="shared" ca="1" si="21"/>
        <v>0</v>
      </c>
      <c r="CC15" s="397">
        <f t="shared" ca="1" si="22"/>
        <v>0</v>
      </c>
      <c r="CD15" s="397">
        <f t="shared" ca="1" si="23"/>
        <v>0</v>
      </c>
      <c r="CE15" s="397">
        <f t="shared" ca="1" si="24"/>
        <v>0</v>
      </c>
      <c r="CF15" s="397">
        <f t="shared" ca="1" si="25"/>
        <v>0</v>
      </c>
      <c r="CG15" s="397">
        <f t="shared" ca="1" si="26"/>
        <v>0</v>
      </c>
      <c r="CH15" s="397">
        <f t="shared" ca="1" si="27"/>
        <v>0</v>
      </c>
      <c r="CI15" s="397">
        <f t="shared" ca="1" si="28"/>
        <v>0</v>
      </c>
      <c r="CJ15" s="397">
        <f t="shared" ca="1" si="29"/>
        <v>0</v>
      </c>
      <c r="CK15" s="397">
        <f t="shared" ca="1" si="30"/>
        <v>0</v>
      </c>
      <c r="CL15" s="397">
        <f t="shared" ca="1" si="31"/>
        <v>0</v>
      </c>
      <c r="CM15" s="397">
        <f t="shared" ca="1" si="32"/>
        <v>0</v>
      </c>
      <c r="CN15" s="397">
        <f t="shared" ca="1" si="33"/>
        <v>0</v>
      </c>
      <c r="CO15" s="397">
        <f t="shared" ca="1" si="34"/>
        <v>0</v>
      </c>
      <c r="CP15" s="397">
        <f t="shared" ca="1" si="35"/>
        <v>0</v>
      </c>
      <c r="CQ15" s="397">
        <f t="shared" ca="1" si="36"/>
        <v>0</v>
      </c>
      <c r="CR15" s="397">
        <f t="shared" ca="1" si="37"/>
        <v>0</v>
      </c>
      <c r="CS15" s="397">
        <f t="shared" ca="1" si="38"/>
        <v>0</v>
      </c>
      <c r="CT15" s="397">
        <f t="shared" ca="1" si="39"/>
        <v>0</v>
      </c>
      <c r="CU15" s="397">
        <f t="shared" ca="1" si="40"/>
        <v>0</v>
      </c>
      <c r="CV15" s="397">
        <f t="shared" ca="1" si="41"/>
        <v>0</v>
      </c>
      <c r="CW15" s="397">
        <f t="shared" ca="1" si="42"/>
        <v>0</v>
      </c>
      <c r="CX15" s="440">
        <f t="shared" ca="1" si="43"/>
        <v>0</v>
      </c>
      <c r="CY15" s="335">
        <f t="shared" si="44"/>
        <v>0</v>
      </c>
      <c r="CZ15" s="16"/>
      <c r="DA15" s="16"/>
      <c r="DB15" s="16"/>
      <c r="DC15" s="16"/>
      <c r="DD15" s="16"/>
      <c r="DE15" s="16"/>
      <c r="DF15" s="16"/>
      <c r="DG15" s="16"/>
      <c r="DH15" s="16"/>
    </row>
    <row r="16" spans="1:112" s="77" customFormat="1" ht="15" customHeight="1">
      <c r="A16" s="266" t="str">
        <f t="shared" ca="1" si="45"/>
        <v>Tm06</v>
      </c>
      <c r="B16" s="462"/>
      <c r="C16" s="402">
        <f ca="1">IF(DrawFinder!AB16=0,"",DrawFinder!AB16)</f>
        <v>2</v>
      </c>
      <c r="D16" s="402" t="str">
        <f ca="1">IF(DrawFinder!AC16=0,"",DrawFinder!AC16)</f>
        <v>-</v>
      </c>
      <c r="E16" s="402" t="str">
        <f ca="1">IF(DrawFinder!AD16=0,"",DrawFinder!AD16)</f>
        <v>-</v>
      </c>
      <c r="F16" s="402">
        <f ca="1">IF(DrawFinder!AE16=0,"",DrawFinder!AE16)</f>
        <v>-5</v>
      </c>
      <c r="G16" s="402">
        <f ca="1">IF(DrawFinder!AF16=0,"",DrawFinder!AF16)</f>
        <v>6</v>
      </c>
      <c r="H16" s="402" t="str">
        <f ca="1">IF(DrawFinder!AG16=0,"",DrawFinder!AG16)</f>
        <v>-</v>
      </c>
      <c r="I16" s="402" t="str">
        <f ca="1">IF(DrawFinder!AH16=0,"",DrawFinder!AH16)</f>
        <v>-</v>
      </c>
      <c r="J16" s="402">
        <f ca="1">IF(DrawFinder!AI16=0,"",DrawFinder!AI16)</f>
        <v>-3</v>
      </c>
      <c r="K16" s="402">
        <f ca="1">IF(DrawFinder!AJ16=0,"",DrawFinder!AJ16)</f>
        <v>4</v>
      </c>
      <c r="L16" s="402" t="str">
        <f ca="1">IF(DrawFinder!AK16=0,"",DrawFinder!AK16)</f>
        <v>-</v>
      </c>
      <c r="M16" s="402" t="str">
        <f ca="1">IF(DrawFinder!AL16=0,"",DrawFinder!AL16)</f>
        <v>-</v>
      </c>
      <c r="N16" s="402">
        <f ca="1">IF(DrawFinder!AM16=0,"",DrawFinder!AM16)</f>
        <v>-1</v>
      </c>
      <c r="O16" s="402">
        <f ca="1">IF(DrawFinder!AN16=0,"",DrawFinder!AN16)</f>
        <v>-2</v>
      </c>
      <c r="P16" s="402" t="str">
        <f ca="1">IF(DrawFinder!AO16=0,"",DrawFinder!AO16)</f>
        <v>-</v>
      </c>
      <c r="Q16" s="402" t="str">
        <f ca="1">IF(DrawFinder!AP16=0,"",DrawFinder!AP16)</f>
        <v/>
      </c>
      <c r="R16" s="402" t="str">
        <f ca="1">IF(DrawFinder!AQ16=0,"",DrawFinder!AQ16)</f>
        <v/>
      </c>
      <c r="S16" s="402" t="str">
        <f ca="1">IF(DrawFinder!AR16=0,"",DrawFinder!AR16)</f>
        <v/>
      </c>
      <c r="T16" s="402" t="str">
        <f ca="1">IF(DrawFinder!AS16=0,"",DrawFinder!AS16)</f>
        <v/>
      </c>
      <c r="U16" s="402" t="str">
        <f ca="1">IF(DrawFinder!AT16=0,"",DrawFinder!AT16)</f>
        <v/>
      </c>
      <c r="V16" s="402" t="str">
        <f ca="1">IF(DrawFinder!AU16=0,"",DrawFinder!AU16)</f>
        <v/>
      </c>
      <c r="W16" s="402" t="str">
        <f ca="1">IF(DrawFinder!AV16=0,"",DrawFinder!AV16)</f>
        <v/>
      </c>
      <c r="X16" s="402" t="str">
        <f ca="1">IF(DrawFinder!AW16=0,"",DrawFinder!AW16)</f>
        <v/>
      </c>
      <c r="Y16" s="402" t="str">
        <f ca="1">IF(DrawFinder!AX16=0,"",DrawFinder!AX16)</f>
        <v/>
      </c>
      <c r="Z16" s="402" t="str">
        <f ca="1">IF(DrawFinder!AY16=0,"",DrawFinder!AY16)</f>
        <v/>
      </c>
      <c r="AA16" s="402" t="str">
        <f ca="1">IF(DrawFinder!AZ16=0,"",DrawFinder!AZ16)</f>
        <v/>
      </c>
      <c r="AB16" s="402" t="str">
        <f ca="1">IF(DrawFinder!BA16=0,"",DrawFinder!BA16)</f>
        <v/>
      </c>
      <c r="AC16" s="402" t="str">
        <f ca="1">IF(DrawFinder!BB16=0,"",DrawFinder!BB16)</f>
        <v/>
      </c>
      <c r="AD16" s="402" t="str">
        <f ca="1">IF(DrawFinder!BC16=0,"",DrawFinder!BC16)</f>
        <v/>
      </c>
      <c r="AE16" s="402" t="str">
        <f ca="1">IF(DrawFinder!BD16=0,"",DrawFinder!BD16)</f>
        <v/>
      </c>
      <c r="AF16" s="402" t="str">
        <f ca="1">IF(DrawFinder!BE16=0,"",DrawFinder!BE16)</f>
        <v/>
      </c>
      <c r="AG16" s="402" t="str">
        <f ca="1">IF(DrawFinder!BF16=0,"",DrawFinder!BF16)</f>
        <v/>
      </c>
      <c r="AH16" s="402" t="str">
        <f ca="1">IF(DrawFinder!BG16=0,"",DrawFinder!BG16)</f>
        <v/>
      </c>
      <c r="AI16" s="402" t="str">
        <f ca="1">IF(DrawFinder!BH16=0,"",DrawFinder!BH16)</f>
        <v/>
      </c>
      <c r="AJ16" s="402" t="str">
        <f ca="1">IF(DrawFinder!BI16=0,"",DrawFinder!BI16)</f>
        <v/>
      </c>
      <c r="AK16" s="402" t="str">
        <f ca="1">IF(DrawFinder!BJ16=0,"",DrawFinder!BJ16)</f>
        <v/>
      </c>
      <c r="AL16" s="402" t="str">
        <f ca="1">IF(DrawFinder!BK16=0,"",DrawFinder!BK16)</f>
        <v/>
      </c>
      <c r="AM16" s="402" t="str">
        <f ca="1">IF(DrawFinder!BL16=0,"",DrawFinder!BL16)</f>
        <v/>
      </c>
      <c r="AN16" s="402" t="str">
        <f ca="1">IF(DrawFinder!BM16=0,"",DrawFinder!BM16)</f>
        <v/>
      </c>
      <c r="AO16" s="402" t="str">
        <f ca="1">IF(DrawFinder!BN16=0,"",DrawFinder!BN16)</f>
        <v/>
      </c>
      <c r="AP16" s="400" t="str">
        <f ca="1">IF(DrawFinder!BO16=0,"",DrawFinder!BO16)</f>
        <v/>
      </c>
      <c r="AQ16" s="81">
        <f>IF(DrawFinder!Y16=0,"",DrawFinder!Y16)</f>
        <v>1</v>
      </c>
      <c r="AR16" s="79" t="str">
        <f t="shared" ca="1" si="46"/>
        <v>Tm06</v>
      </c>
      <c r="AS16" s="81">
        <f t="shared" ca="1" si="47"/>
        <v>6</v>
      </c>
      <c r="AT16" s="84">
        <f t="shared" ca="1" si="48"/>
        <v>7</v>
      </c>
      <c r="AU16" s="336">
        <f t="shared" ca="1" si="49"/>
        <v>1</v>
      </c>
      <c r="AV16" s="336">
        <f t="shared" ca="1" si="0"/>
        <v>2</v>
      </c>
      <c r="AW16" s="336">
        <f t="shared" ca="1" si="0"/>
        <v>1</v>
      </c>
      <c r="AX16" s="336">
        <f t="shared" ca="1" si="0"/>
        <v>1</v>
      </c>
      <c r="AY16" s="336">
        <f t="shared" ca="1" si="0"/>
        <v>1</v>
      </c>
      <c r="AZ16" s="336">
        <f t="shared" ca="1" si="0"/>
        <v>1</v>
      </c>
      <c r="BA16" s="336">
        <f t="shared" ca="1" si="0"/>
        <v>0</v>
      </c>
      <c r="BB16" s="336">
        <f t="shared" ca="1" si="0"/>
        <v>0</v>
      </c>
      <c r="BC16" s="336">
        <f t="shared" ca="1" si="0"/>
        <v>0</v>
      </c>
      <c r="BD16" s="336">
        <f t="shared" ca="1" si="0"/>
        <v>0</v>
      </c>
      <c r="BE16" s="83">
        <f t="shared" ca="1" si="1"/>
        <v>4</v>
      </c>
      <c r="BF16" s="84">
        <f t="shared" ca="1" si="50"/>
        <v>3</v>
      </c>
      <c r="BH16" s="407">
        <f t="shared" ca="1" si="2"/>
        <v>4</v>
      </c>
      <c r="BI16" s="408">
        <f t="shared" ca="1" si="3"/>
        <v>3</v>
      </c>
      <c r="BK16" s="439">
        <f t="shared" ca="1" si="4"/>
        <v>1</v>
      </c>
      <c r="BL16" s="397">
        <f t="shared" ca="1" si="5"/>
        <v>0</v>
      </c>
      <c r="BM16" s="397">
        <f t="shared" ca="1" si="6"/>
        <v>0</v>
      </c>
      <c r="BN16" s="397">
        <f t="shared" ca="1" si="7"/>
        <v>0</v>
      </c>
      <c r="BO16" s="397">
        <f t="shared" ca="1" si="8"/>
        <v>1</v>
      </c>
      <c r="BP16" s="397">
        <f t="shared" ca="1" si="9"/>
        <v>0</v>
      </c>
      <c r="BQ16" s="397">
        <f t="shared" ca="1" si="10"/>
        <v>0</v>
      </c>
      <c r="BR16" s="397">
        <f t="shared" ca="1" si="11"/>
        <v>0</v>
      </c>
      <c r="BS16" s="397">
        <f t="shared" ca="1" si="12"/>
        <v>1</v>
      </c>
      <c r="BT16" s="397">
        <f t="shared" ca="1" si="13"/>
        <v>0</v>
      </c>
      <c r="BU16" s="397">
        <f t="shared" ca="1" si="14"/>
        <v>0</v>
      </c>
      <c r="BV16" s="397">
        <f t="shared" ca="1" si="15"/>
        <v>0</v>
      </c>
      <c r="BW16" s="397">
        <f t="shared" ca="1" si="16"/>
        <v>1</v>
      </c>
      <c r="BX16" s="397">
        <f t="shared" ca="1" si="17"/>
        <v>0</v>
      </c>
      <c r="BY16" s="397">
        <f t="shared" ca="1" si="18"/>
        <v>0</v>
      </c>
      <c r="BZ16" s="397">
        <f t="shared" ca="1" si="19"/>
        <v>0</v>
      </c>
      <c r="CA16" s="397">
        <f t="shared" ca="1" si="20"/>
        <v>0</v>
      </c>
      <c r="CB16" s="397">
        <f t="shared" ca="1" si="21"/>
        <v>0</v>
      </c>
      <c r="CC16" s="397">
        <f t="shared" ca="1" si="22"/>
        <v>0</v>
      </c>
      <c r="CD16" s="397">
        <f t="shared" ca="1" si="23"/>
        <v>0</v>
      </c>
      <c r="CE16" s="397">
        <f t="shared" ca="1" si="24"/>
        <v>0</v>
      </c>
      <c r="CF16" s="397">
        <f t="shared" ca="1" si="25"/>
        <v>0</v>
      </c>
      <c r="CG16" s="397">
        <f t="shared" ca="1" si="26"/>
        <v>0</v>
      </c>
      <c r="CH16" s="397">
        <f t="shared" ca="1" si="27"/>
        <v>0</v>
      </c>
      <c r="CI16" s="397">
        <f t="shared" ca="1" si="28"/>
        <v>0</v>
      </c>
      <c r="CJ16" s="397">
        <f t="shared" ca="1" si="29"/>
        <v>0</v>
      </c>
      <c r="CK16" s="397">
        <f t="shared" ca="1" si="30"/>
        <v>0</v>
      </c>
      <c r="CL16" s="397">
        <f t="shared" ca="1" si="31"/>
        <v>0</v>
      </c>
      <c r="CM16" s="397">
        <f t="shared" ca="1" si="32"/>
        <v>0</v>
      </c>
      <c r="CN16" s="397">
        <f t="shared" ca="1" si="33"/>
        <v>0</v>
      </c>
      <c r="CO16" s="397">
        <f t="shared" ca="1" si="34"/>
        <v>0</v>
      </c>
      <c r="CP16" s="397">
        <f t="shared" ca="1" si="35"/>
        <v>0</v>
      </c>
      <c r="CQ16" s="397">
        <f t="shared" ca="1" si="36"/>
        <v>0</v>
      </c>
      <c r="CR16" s="397">
        <f t="shared" ca="1" si="37"/>
        <v>0</v>
      </c>
      <c r="CS16" s="397">
        <f t="shared" ca="1" si="38"/>
        <v>0</v>
      </c>
      <c r="CT16" s="397">
        <f t="shared" ca="1" si="39"/>
        <v>0</v>
      </c>
      <c r="CU16" s="397">
        <f t="shared" ca="1" si="40"/>
        <v>0</v>
      </c>
      <c r="CV16" s="397">
        <f t="shared" ca="1" si="41"/>
        <v>0</v>
      </c>
      <c r="CW16" s="397">
        <f t="shared" ca="1" si="42"/>
        <v>0</v>
      </c>
      <c r="CX16" s="440">
        <f t="shared" ca="1" si="43"/>
        <v>0</v>
      </c>
      <c r="CY16" s="335">
        <f t="shared" si="44"/>
        <v>0</v>
      </c>
      <c r="CZ16" s="16"/>
      <c r="DA16" s="16"/>
      <c r="DB16" s="16"/>
      <c r="DC16" s="16"/>
      <c r="DD16" s="16"/>
      <c r="DE16" s="16"/>
      <c r="DF16" s="16"/>
      <c r="DG16" s="16"/>
      <c r="DH16" s="16"/>
    </row>
    <row r="17" spans="1:112" s="77" customFormat="1" ht="15" customHeight="1">
      <c r="A17" s="266" t="str">
        <f t="shared" ca="1" si="45"/>
        <v>Tm07</v>
      </c>
      <c r="B17" s="462"/>
      <c r="C17" s="402">
        <f ca="1">IF(DrawFinder!AB17=0,"",DrawFinder!AB17)</f>
        <v>4</v>
      </c>
      <c r="D17" s="402" t="str">
        <f ca="1">IF(DrawFinder!AC17=0,"",DrawFinder!AC17)</f>
        <v>-</v>
      </c>
      <c r="E17" s="402" t="str">
        <f ca="1">IF(DrawFinder!AD17=0,"",DrawFinder!AD17)</f>
        <v>-</v>
      </c>
      <c r="F17" s="402">
        <f ca="1">IF(DrawFinder!AE17=0,"",DrawFinder!AE17)</f>
        <v>1</v>
      </c>
      <c r="G17" s="402">
        <f ca="1">IF(DrawFinder!AF17=0,"",DrawFinder!AF17)</f>
        <v>-3</v>
      </c>
      <c r="H17" s="402" t="str">
        <f ca="1">IF(DrawFinder!AG17=0,"",DrawFinder!AG17)</f>
        <v>-</v>
      </c>
      <c r="I17" s="402" t="str">
        <f ca="1">IF(DrawFinder!AH17=0,"",DrawFinder!AH17)</f>
        <v>-</v>
      </c>
      <c r="J17" s="402">
        <f ca="1">IF(DrawFinder!AI17=0,"",DrawFinder!AI17)</f>
        <v>2</v>
      </c>
      <c r="K17" s="402">
        <f ca="1">IF(DrawFinder!AJ17=0,"",DrawFinder!AJ17)</f>
        <v>-4</v>
      </c>
      <c r="L17" s="402" t="str">
        <f ca="1">IF(DrawFinder!AK17=0,"",DrawFinder!AK17)</f>
        <v>-</v>
      </c>
      <c r="M17" s="402" t="str">
        <f ca="1">IF(DrawFinder!AL17=0,"",DrawFinder!AL17)</f>
        <v>-</v>
      </c>
      <c r="N17" s="402">
        <f ca="1">IF(DrawFinder!AM17=0,"",DrawFinder!AM17)</f>
        <v>-6</v>
      </c>
      <c r="O17" s="402">
        <f ca="1">IF(DrawFinder!AN17=0,"",DrawFinder!AN17)</f>
        <v>5</v>
      </c>
      <c r="P17" s="402" t="str">
        <f ca="1">IF(DrawFinder!AO17=0,"",DrawFinder!AO17)</f>
        <v>-</v>
      </c>
      <c r="Q17" s="402" t="str">
        <f ca="1">IF(DrawFinder!AP17=0,"",DrawFinder!AP17)</f>
        <v/>
      </c>
      <c r="R17" s="402" t="str">
        <f ca="1">IF(DrawFinder!AQ17=0,"",DrawFinder!AQ17)</f>
        <v/>
      </c>
      <c r="S17" s="402" t="str">
        <f ca="1">IF(DrawFinder!AR17=0,"",DrawFinder!AR17)</f>
        <v/>
      </c>
      <c r="T17" s="402" t="str">
        <f ca="1">IF(DrawFinder!AS17=0,"",DrawFinder!AS17)</f>
        <v/>
      </c>
      <c r="U17" s="402" t="str">
        <f ca="1">IF(DrawFinder!AT17=0,"",DrawFinder!AT17)</f>
        <v/>
      </c>
      <c r="V17" s="402" t="str">
        <f ca="1">IF(DrawFinder!AU17=0,"",DrawFinder!AU17)</f>
        <v/>
      </c>
      <c r="W17" s="402" t="str">
        <f ca="1">IF(DrawFinder!AV17=0,"",DrawFinder!AV17)</f>
        <v/>
      </c>
      <c r="X17" s="402" t="str">
        <f ca="1">IF(DrawFinder!AW17=0,"",DrawFinder!AW17)</f>
        <v/>
      </c>
      <c r="Y17" s="402" t="str">
        <f ca="1">IF(DrawFinder!AX17=0,"",DrawFinder!AX17)</f>
        <v/>
      </c>
      <c r="Z17" s="402" t="str">
        <f ca="1">IF(DrawFinder!AY17=0,"",DrawFinder!AY17)</f>
        <v/>
      </c>
      <c r="AA17" s="402" t="str">
        <f ca="1">IF(DrawFinder!AZ17=0,"",DrawFinder!AZ17)</f>
        <v/>
      </c>
      <c r="AB17" s="402" t="str">
        <f ca="1">IF(DrawFinder!BA17=0,"",DrawFinder!BA17)</f>
        <v/>
      </c>
      <c r="AC17" s="402" t="str">
        <f ca="1">IF(DrawFinder!BB17=0,"",DrawFinder!BB17)</f>
        <v/>
      </c>
      <c r="AD17" s="402" t="str">
        <f ca="1">IF(DrawFinder!BC17=0,"",DrawFinder!BC17)</f>
        <v/>
      </c>
      <c r="AE17" s="402" t="str">
        <f ca="1">IF(DrawFinder!BD17=0,"",DrawFinder!BD17)</f>
        <v/>
      </c>
      <c r="AF17" s="402" t="str">
        <f ca="1">IF(DrawFinder!BE17=0,"",DrawFinder!BE17)</f>
        <v/>
      </c>
      <c r="AG17" s="402" t="str">
        <f ca="1">IF(DrawFinder!BF17=0,"",DrawFinder!BF17)</f>
        <v/>
      </c>
      <c r="AH17" s="402" t="str">
        <f ca="1">IF(DrawFinder!BG17=0,"",DrawFinder!BG17)</f>
        <v/>
      </c>
      <c r="AI17" s="402" t="str">
        <f ca="1">IF(DrawFinder!BH17=0,"",DrawFinder!BH17)</f>
        <v/>
      </c>
      <c r="AJ17" s="402" t="str">
        <f ca="1">IF(DrawFinder!BI17=0,"",DrawFinder!BI17)</f>
        <v/>
      </c>
      <c r="AK17" s="402" t="str">
        <f ca="1">IF(DrawFinder!BJ17=0,"",DrawFinder!BJ17)</f>
        <v/>
      </c>
      <c r="AL17" s="402" t="str">
        <f ca="1">IF(DrawFinder!BK17=0,"",DrawFinder!BK17)</f>
        <v/>
      </c>
      <c r="AM17" s="402" t="str">
        <f ca="1">IF(DrawFinder!BL17=0,"",DrawFinder!BL17)</f>
        <v/>
      </c>
      <c r="AN17" s="402" t="str">
        <f ca="1">IF(DrawFinder!BM17=0,"",DrawFinder!BM17)</f>
        <v/>
      </c>
      <c r="AO17" s="402" t="str">
        <f ca="1">IF(DrawFinder!BN17=0,"",DrawFinder!BN17)</f>
        <v/>
      </c>
      <c r="AP17" s="400" t="str">
        <f ca="1">IF(DrawFinder!BO17=0,"",DrawFinder!BO17)</f>
        <v/>
      </c>
      <c r="AQ17" s="81">
        <f>IF(DrawFinder!Y17=0,"",DrawFinder!Y17)</f>
        <v>1</v>
      </c>
      <c r="AR17" s="79" t="str">
        <f t="shared" ca="1" si="46"/>
        <v>Tm07</v>
      </c>
      <c r="AS17" s="81">
        <f t="shared" ca="1" si="47"/>
        <v>7</v>
      </c>
      <c r="AT17" s="84">
        <f t="shared" ca="1" si="48"/>
        <v>7</v>
      </c>
      <c r="AU17" s="336">
        <f t="shared" ca="1" si="49"/>
        <v>1</v>
      </c>
      <c r="AV17" s="336">
        <f t="shared" ca="1" si="0"/>
        <v>1</v>
      </c>
      <c r="AW17" s="336">
        <f t="shared" ca="1" si="0"/>
        <v>1</v>
      </c>
      <c r="AX17" s="336">
        <f t="shared" ca="1" si="0"/>
        <v>2</v>
      </c>
      <c r="AY17" s="336">
        <f t="shared" ca="1" si="0"/>
        <v>1</v>
      </c>
      <c r="AZ17" s="336">
        <f t="shared" ca="1" si="0"/>
        <v>1</v>
      </c>
      <c r="BA17" s="336">
        <f t="shared" ca="1" si="0"/>
        <v>0</v>
      </c>
      <c r="BB17" s="336">
        <f t="shared" ca="1" si="0"/>
        <v>0</v>
      </c>
      <c r="BC17" s="336">
        <f t="shared" ca="1" si="0"/>
        <v>0</v>
      </c>
      <c r="BD17" s="336">
        <f t="shared" ca="1" si="0"/>
        <v>0</v>
      </c>
      <c r="BE17" s="83">
        <f t="shared" ca="1" si="1"/>
        <v>4</v>
      </c>
      <c r="BF17" s="84">
        <f t="shared" ca="1" si="50"/>
        <v>3</v>
      </c>
      <c r="BH17" s="407">
        <f t="shared" ca="1" si="2"/>
        <v>3</v>
      </c>
      <c r="BI17" s="408">
        <f t="shared" ca="1" si="3"/>
        <v>4</v>
      </c>
      <c r="BK17" s="439">
        <f t="shared" ca="1" si="4"/>
        <v>1</v>
      </c>
      <c r="BL17" s="397">
        <f t="shared" ca="1" si="5"/>
        <v>0</v>
      </c>
      <c r="BM17" s="397">
        <f t="shared" ca="1" si="6"/>
        <v>0</v>
      </c>
      <c r="BN17" s="397">
        <f t="shared" ca="1" si="7"/>
        <v>0</v>
      </c>
      <c r="BO17" s="397">
        <f t="shared" ca="1" si="8"/>
        <v>1</v>
      </c>
      <c r="BP17" s="397">
        <f t="shared" ca="1" si="9"/>
        <v>0</v>
      </c>
      <c r="BQ17" s="397">
        <f t="shared" ca="1" si="10"/>
        <v>0</v>
      </c>
      <c r="BR17" s="397">
        <f t="shared" ca="1" si="11"/>
        <v>0</v>
      </c>
      <c r="BS17" s="397">
        <f t="shared" ca="1" si="12"/>
        <v>1</v>
      </c>
      <c r="BT17" s="397">
        <f t="shared" ca="1" si="13"/>
        <v>0</v>
      </c>
      <c r="BU17" s="397">
        <f t="shared" ca="1" si="14"/>
        <v>0</v>
      </c>
      <c r="BV17" s="397">
        <f t="shared" ca="1" si="15"/>
        <v>0</v>
      </c>
      <c r="BW17" s="397">
        <f t="shared" ca="1" si="16"/>
        <v>1</v>
      </c>
      <c r="BX17" s="397">
        <f t="shared" ca="1" si="17"/>
        <v>0</v>
      </c>
      <c r="BY17" s="397">
        <f t="shared" ca="1" si="18"/>
        <v>0</v>
      </c>
      <c r="BZ17" s="397">
        <f t="shared" ca="1" si="19"/>
        <v>0</v>
      </c>
      <c r="CA17" s="397">
        <f t="shared" ca="1" si="20"/>
        <v>0</v>
      </c>
      <c r="CB17" s="397">
        <f t="shared" ca="1" si="21"/>
        <v>0</v>
      </c>
      <c r="CC17" s="397">
        <f t="shared" ca="1" si="22"/>
        <v>0</v>
      </c>
      <c r="CD17" s="397">
        <f t="shared" ca="1" si="23"/>
        <v>0</v>
      </c>
      <c r="CE17" s="397">
        <f t="shared" ca="1" si="24"/>
        <v>0</v>
      </c>
      <c r="CF17" s="397">
        <f t="shared" ca="1" si="25"/>
        <v>0</v>
      </c>
      <c r="CG17" s="397">
        <f t="shared" ca="1" si="26"/>
        <v>0</v>
      </c>
      <c r="CH17" s="397">
        <f t="shared" ca="1" si="27"/>
        <v>0</v>
      </c>
      <c r="CI17" s="397">
        <f t="shared" ca="1" si="28"/>
        <v>0</v>
      </c>
      <c r="CJ17" s="397">
        <f t="shared" ca="1" si="29"/>
        <v>0</v>
      </c>
      <c r="CK17" s="397">
        <f t="shared" ca="1" si="30"/>
        <v>0</v>
      </c>
      <c r="CL17" s="397">
        <f t="shared" ca="1" si="31"/>
        <v>0</v>
      </c>
      <c r="CM17" s="397">
        <f t="shared" ca="1" si="32"/>
        <v>0</v>
      </c>
      <c r="CN17" s="397">
        <f t="shared" ca="1" si="33"/>
        <v>0</v>
      </c>
      <c r="CO17" s="397">
        <f t="shared" ca="1" si="34"/>
        <v>0</v>
      </c>
      <c r="CP17" s="397">
        <f t="shared" ca="1" si="35"/>
        <v>0</v>
      </c>
      <c r="CQ17" s="397">
        <f t="shared" ca="1" si="36"/>
        <v>0</v>
      </c>
      <c r="CR17" s="397">
        <f t="shared" ca="1" si="37"/>
        <v>0</v>
      </c>
      <c r="CS17" s="397">
        <f t="shared" ca="1" si="38"/>
        <v>0</v>
      </c>
      <c r="CT17" s="397">
        <f t="shared" ca="1" si="39"/>
        <v>0</v>
      </c>
      <c r="CU17" s="397">
        <f t="shared" ca="1" si="40"/>
        <v>0</v>
      </c>
      <c r="CV17" s="397">
        <f t="shared" ca="1" si="41"/>
        <v>0</v>
      </c>
      <c r="CW17" s="397">
        <f t="shared" ca="1" si="42"/>
        <v>0</v>
      </c>
      <c r="CX17" s="440">
        <f t="shared" ca="1" si="43"/>
        <v>0</v>
      </c>
      <c r="CY17" s="335">
        <f t="shared" si="44"/>
        <v>0</v>
      </c>
      <c r="CZ17" s="16"/>
      <c r="DA17" s="16"/>
      <c r="DB17" s="16"/>
      <c r="DC17" s="16"/>
      <c r="DD17" s="16"/>
      <c r="DE17" s="16"/>
      <c r="DF17" s="16"/>
      <c r="DG17" s="16"/>
      <c r="DH17" s="16"/>
    </row>
    <row r="18" spans="1:112" s="77" customFormat="1" ht="15" customHeight="1">
      <c r="A18" s="266" t="str">
        <f t="shared" ca="1" si="45"/>
        <v>Tm08</v>
      </c>
      <c r="B18" s="462"/>
      <c r="C18" s="402">
        <f ca="1">IF(DrawFinder!AB18=0,"",DrawFinder!AB18)</f>
        <v>-3</v>
      </c>
      <c r="D18" s="402" t="str">
        <f ca="1">IF(DrawFinder!AC18=0,"",DrawFinder!AC18)</f>
        <v>-</v>
      </c>
      <c r="E18" s="402" t="str">
        <f ca="1">IF(DrawFinder!AD18=0,"",DrawFinder!AD18)</f>
        <v>-</v>
      </c>
      <c r="F18" s="402">
        <f ca="1">IF(DrawFinder!AE18=0,"",DrawFinder!AE18)</f>
        <v>-6</v>
      </c>
      <c r="G18" s="402">
        <f ca="1">IF(DrawFinder!AF18=0,"",DrawFinder!AF18)</f>
        <v>2</v>
      </c>
      <c r="H18" s="402" t="str">
        <f ca="1">IF(DrawFinder!AG18=0,"",DrawFinder!AG18)</f>
        <v>-</v>
      </c>
      <c r="I18" s="402" t="str">
        <f ca="1">IF(DrawFinder!AH18=0,"",DrawFinder!AH18)</f>
        <v>-</v>
      </c>
      <c r="J18" s="402">
        <f ca="1">IF(DrawFinder!AI18=0,"",DrawFinder!AI18)</f>
        <v>-4</v>
      </c>
      <c r="K18" s="402">
        <f ca="1">IF(DrawFinder!AJ18=0,"",DrawFinder!AJ18)</f>
        <v>3</v>
      </c>
      <c r="L18" s="402" t="str">
        <f ca="1">IF(DrawFinder!AK18=0,"",DrawFinder!AK18)</f>
        <v>-</v>
      </c>
      <c r="M18" s="402" t="str">
        <f ca="1">IF(DrawFinder!AL18=0,"",DrawFinder!AL18)</f>
        <v>-</v>
      </c>
      <c r="N18" s="402">
        <f ca="1">IF(DrawFinder!AM18=0,"",DrawFinder!AM18)</f>
        <v>1</v>
      </c>
      <c r="O18" s="402">
        <f ca="1">IF(DrawFinder!AN18=0,"",DrawFinder!AN18)</f>
        <v>-5</v>
      </c>
      <c r="P18" s="402" t="str">
        <f ca="1">IF(DrawFinder!AO18=0,"",DrawFinder!AO18)</f>
        <v>-</v>
      </c>
      <c r="Q18" s="402" t="str">
        <f ca="1">IF(DrawFinder!AP18=0,"",DrawFinder!AP18)</f>
        <v/>
      </c>
      <c r="R18" s="402" t="str">
        <f ca="1">IF(DrawFinder!AQ18=0,"",DrawFinder!AQ18)</f>
        <v/>
      </c>
      <c r="S18" s="402" t="str">
        <f ca="1">IF(DrawFinder!AR18=0,"",DrawFinder!AR18)</f>
        <v/>
      </c>
      <c r="T18" s="402" t="str">
        <f ca="1">IF(DrawFinder!AS18=0,"",DrawFinder!AS18)</f>
        <v/>
      </c>
      <c r="U18" s="402" t="str">
        <f ca="1">IF(DrawFinder!AT18=0,"",DrawFinder!AT18)</f>
        <v/>
      </c>
      <c r="V18" s="402" t="str">
        <f ca="1">IF(DrawFinder!AU18=0,"",DrawFinder!AU18)</f>
        <v/>
      </c>
      <c r="W18" s="402" t="str">
        <f ca="1">IF(DrawFinder!AV18=0,"",DrawFinder!AV18)</f>
        <v/>
      </c>
      <c r="X18" s="402" t="str">
        <f ca="1">IF(DrawFinder!AW18=0,"",DrawFinder!AW18)</f>
        <v/>
      </c>
      <c r="Y18" s="402" t="str">
        <f ca="1">IF(DrawFinder!AX18=0,"",DrawFinder!AX18)</f>
        <v/>
      </c>
      <c r="Z18" s="402" t="str">
        <f ca="1">IF(DrawFinder!AY18=0,"",DrawFinder!AY18)</f>
        <v/>
      </c>
      <c r="AA18" s="402" t="str">
        <f ca="1">IF(DrawFinder!AZ18=0,"",DrawFinder!AZ18)</f>
        <v/>
      </c>
      <c r="AB18" s="402" t="str">
        <f ca="1">IF(DrawFinder!BA18=0,"",DrawFinder!BA18)</f>
        <v/>
      </c>
      <c r="AC18" s="402" t="str">
        <f ca="1">IF(DrawFinder!BB18=0,"",DrawFinder!BB18)</f>
        <v/>
      </c>
      <c r="AD18" s="402" t="str">
        <f ca="1">IF(DrawFinder!BC18=0,"",DrawFinder!BC18)</f>
        <v/>
      </c>
      <c r="AE18" s="402" t="str">
        <f ca="1">IF(DrawFinder!BD18=0,"",DrawFinder!BD18)</f>
        <v/>
      </c>
      <c r="AF18" s="402" t="str">
        <f ca="1">IF(DrawFinder!BE18=0,"",DrawFinder!BE18)</f>
        <v/>
      </c>
      <c r="AG18" s="402" t="str">
        <f ca="1">IF(DrawFinder!BF18=0,"",DrawFinder!BF18)</f>
        <v/>
      </c>
      <c r="AH18" s="402" t="str">
        <f ca="1">IF(DrawFinder!BG18=0,"",DrawFinder!BG18)</f>
        <v/>
      </c>
      <c r="AI18" s="402" t="str">
        <f ca="1">IF(DrawFinder!BH18=0,"",DrawFinder!BH18)</f>
        <v/>
      </c>
      <c r="AJ18" s="402" t="str">
        <f ca="1">IF(DrawFinder!BI18=0,"",DrawFinder!BI18)</f>
        <v/>
      </c>
      <c r="AK18" s="402" t="str">
        <f ca="1">IF(DrawFinder!BJ18=0,"",DrawFinder!BJ18)</f>
        <v/>
      </c>
      <c r="AL18" s="402" t="str">
        <f ca="1">IF(DrawFinder!BK18=0,"",DrawFinder!BK18)</f>
        <v/>
      </c>
      <c r="AM18" s="402" t="str">
        <f ca="1">IF(DrawFinder!BL18=0,"",DrawFinder!BL18)</f>
        <v/>
      </c>
      <c r="AN18" s="402" t="str">
        <f ca="1">IF(DrawFinder!BM18=0,"",DrawFinder!BM18)</f>
        <v/>
      </c>
      <c r="AO18" s="402" t="str">
        <f ca="1">IF(DrawFinder!BN18=0,"",DrawFinder!BN18)</f>
        <v/>
      </c>
      <c r="AP18" s="400" t="str">
        <f ca="1">IF(DrawFinder!BO18=0,"",DrawFinder!BO18)</f>
        <v/>
      </c>
      <c r="AQ18" s="81">
        <f>IF(DrawFinder!Y18=0,"",DrawFinder!Y18)</f>
        <v>1</v>
      </c>
      <c r="AR18" s="79" t="str">
        <f t="shared" ca="1" si="46"/>
        <v>Tm08</v>
      </c>
      <c r="AS18" s="81">
        <f t="shared" ca="1" si="47"/>
        <v>8</v>
      </c>
      <c r="AT18" s="84">
        <f t="shared" ca="1" si="48"/>
        <v>7</v>
      </c>
      <c r="AU18" s="336">
        <f t="shared" ca="1" si="49"/>
        <v>1</v>
      </c>
      <c r="AV18" s="336">
        <f t="shared" ca="1" si="0"/>
        <v>1</v>
      </c>
      <c r="AW18" s="336">
        <f t="shared" ca="1" si="0"/>
        <v>2</v>
      </c>
      <c r="AX18" s="336">
        <f t="shared" ca="1" si="0"/>
        <v>1</v>
      </c>
      <c r="AY18" s="336">
        <f t="shared" ca="1" si="0"/>
        <v>1</v>
      </c>
      <c r="AZ18" s="336">
        <f t="shared" ca="1" si="0"/>
        <v>1</v>
      </c>
      <c r="BA18" s="336">
        <f t="shared" ca="1" si="0"/>
        <v>0</v>
      </c>
      <c r="BB18" s="336">
        <f t="shared" ca="1" si="0"/>
        <v>0</v>
      </c>
      <c r="BC18" s="336">
        <f t="shared" ca="1" si="0"/>
        <v>0</v>
      </c>
      <c r="BD18" s="336">
        <f t="shared" ca="1" si="0"/>
        <v>0</v>
      </c>
      <c r="BE18" s="83">
        <f t="shared" ca="1" si="1"/>
        <v>4</v>
      </c>
      <c r="BF18" s="84">
        <f t="shared" ca="1" si="50"/>
        <v>3</v>
      </c>
      <c r="BH18" s="407">
        <f t="shared" ca="1" si="2"/>
        <v>4</v>
      </c>
      <c r="BI18" s="408">
        <f t="shared" ca="1" si="3"/>
        <v>3</v>
      </c>
      <c r="BK18" s="439">
        <f t="shared" ca="1" si="4"/>
        <v>1</v>
      </c>
      <c r="BL18" s="397">
        <f t="shared" ca="1" si="5"/>
        <v>0</v>
      </c>
      <c r="BM18" s="397">
        <f t="shared" ca="1" si="6"/>
        <v>0</v>
      </c>
      <c r="BN18" s="397">
        <f t="shared" ca="1" si="7"/>
        <v>0</v>
      </c>
      <c r="BO18" s="397">
        <f t="shared" ca="1" si="8"/>
        <v>1</v>
      </c>
      <c r="BP18" s="397">
        <f t="shared" ca="1" si="9"/>
        <v>0</v>
      </c>
      <c r="BQ18" s="397">
        <f t="shared" ca="1" si="10"/>
        <v>0</v>
      </c>
      <c r="BR18" s="397">
        <f t="shared" ca="1" si="11"/>
        <v>0</v>
      </c>
      <c r="BS18" s="397">
        <f t="shared" ca="1" si="12"/>
        <v>1</v>
      </c>
      <c r="BT18" s="397">
        <f t="shared" ca="1" si="13"/>
        <v>0</v>
      </c>
      <c r="BU18" s="397">
        <f t="shared" ca="1" si="14"/>
        <v>0</v>
      </c>
      <c r="BV18" s="397">
        <f t="shared" ca="1" si="15"/>
        <v>0</v>
      </c>
      <c r="BW18" s="397">
        <f t="shared" ca="1" si="16"/>
        <v>1</v>
      </c>
      <c r="BX18" s="397">
        <f t="shared" ca="1" si="17"/>
        <v>0</v>
      </c>
      <c r="BY18" s="397">
        <f t="shared" ca="1" si="18"/>
        <v>0</v>
      </c>
      <c r="BZ18" s="397">
        <f t="shared" ca="1" si="19"/>
        <v>0</v>
      </c>
      <c r="CA18" s="397">
        <f t="shared" ca="1" si="20"/>
        <v>0</v>
      </c>
      <c r="CB18" s="397">
        <f t="shared" ca="1" si="21"/>
        <v>0</v>
      </c>
      <c r="CC18" s="397">
        <f t="shared" ca="1" si="22"/>
        <v>0</v>
      </c>
      <c r="CD18" s="397">
        <f t="shared" ca="1" si="23"/>
        <v>0</v>
      </c>
      <c r="CE18" s="397">
        <f t="shared" ca="1" si="24"/>
        <v>0</v>
      </c>
      <c r="CF18" s="397">
        <f t="shared" ca="1" si="25"/>
        <v>0</v>
      </c>
      <c r="CG18" s="397">
        <f t="shared" ca="1" si="26"/>
        <v>0</v>
      </c>
      <c r="CH18" s="397">
        <f t="shared" ca="1" si="27"/>
        <v>0</v>
      </c>
      <c r="CI18" s="397">
        <f t="shared" ca="1" si="28"/>
        <v>0</v>
      </c>
      <c r="CJ18" s="397">
        <f t="shared" ca="1" si="29"/>
        <v>0</v>
      </c>
      <c r="CK18" s="397">
        <f t="shared" ca="1" si="30"/>
        <v>0</v>
      </c>
      <c r="CL18" s="397">
        <f t="shared" ca="1" si="31"/>
        <v>0</v>
      </c>
      <c r="CM18" s="397">
        <f t="shared" ca="1" si="32"/>
        <v>0</v>
      </c>
      <c r="CN18" s="397">
        <f t="shared" ca="1" si="33"/>
        <v>0</v>
      </c>
      <c r="CO18" s="397">
        <f t="shared" ca="1" si="34"/>
        <v>0</v>
      </c>
      <c r="CP18" s="397">
        <f t="shared" ca="1" si="35"/>
        <v>0</v>
      </c>
      <c r="CQ18" s="397">
        <f t="shared" ca="1" si="36"/>
        <v>0</v>
      </c>
      <c r="CR18" s="397">
        <f t="shared" ca="1" si="37"/>
        <v>0</v>
      </c>
      <c r="CS18" s="397">
        <f t="shared" ca="1" si="38"/>
        <v>0</v>
      </c>
      <c r="CT18" s="397">
        <f t="shared" ca="1" si="39"/>
        <v>0</v>
      </c>
      <c r="CU18" s="397">
        <f t="shared" ca="1" si="40"/>
        <v>0</v>
      </c>
      <c r="CV18" s="397">
        <f t="shared" ca="1" si="41"/>
        <v>0</v>
      </c>
      <c r="CW18" s="397">
        <f t="shared" ca="1" si="42"/>
        <v>0</v>
      </c>
      <c r="CX18" s="440">
        <f t="shared" ca="1" si="43"/>
        <v>0</v>
      </c>
      <c r="CY18" s="335">
        <f t="shared" si="44"/>
        <v>0</v>
      </c>
      <c r="CZ18" s="16"/>
      <c r="DA18" s="16"/>
      <c r="DB18" s="16"/>
      <c r="DC18" s="16"/>
      <c r="DD18" s="16"/>
      <c r="DE18" s="16"/>
      <c r="DF18" s="16"/>
      <c r="DG18" s="16"/>
      <c r="DH18" s="16"/>
    </row>
    <row r="19" spans="1:112" s="77" customFormat="1" ht="15" customHeight="1">
      <c r="A19" s="266" t="str">
        <f t="shared" ca="1" si="45"/>
        <v>Tm09</v>
      </c>
      <c r="B19" s="462"/>
      <c r="C19" s="402" t="str">
        <f ca="1">IF(DrawFinder!AB19=0,"",DrawFinder!AB19)</f>
        <v>-</v>
      </c>
      <c r="D19" s="402">
        <f ca="1">IF(DrawFinder!AC19=0,"",DrawFinder!AC19)</f>
        <v>4</v>
      </c>
      <c r="E19" s="402">
        <f ca="1">IF(DrawFinder!AD19=0,"",DrawFinder!AD19)</f>
        <v>-2</v>
      </c>
      <c r="F19" s="402" t="str">
        <f ca="1">IF(DrawFinder!AE19=0,"",DrawFinder!AE19)</f>
        <v>-</v>
      </c>
      <c r="G19" s="402" t="str">
        <f ca="1">IF(DrawFinder!AF19=0,"",DrawFinder!AF19)</f>
        <v>-</v>
      </c>
      <c r="H19" s="402">
        <f ca="1">IF(DrawFinder!AG19=0,"",DrawFinder!AG19)</f>
        <v>6</v>
      </c>
      <c r="I19" s="402">
        <f ca="1">IF(DrawFinder!AH19=0,"",DrawFinder!AH19)</f>
        <v>-4</v>
      </c>
      <c r="J19" s="402" t="str">
        <f ca="1">IF(DrawFinder!AI19=0,"",DrawFinder!AI19)</f>
        <v>-</v>
      </c>
      <c r="K19" s="402" t="str">
        <f ca="1">IF(DrawFinder!AJ19=0,"",DrawFinder!AJ19)</f>
        <v>-</v>
      </c>
      <c r="L19" s="402">
        <f ca="1">IF(DrawFinder!AK19=0,"",DrawFinder!AK19)</f>
        <v>-1</v>
      </c>
      <c r="M19" s="402">
        <f ca="1">IF(DrawFinder!AL19=0,"",DrawFinder!AL19)</f>
        <v>5</v>
      </c>
      <c r="N19" s="402" t="str">
        <f ca="1">IF(DrawFinder!AM19=0,"",DrawFinder!AM19)</f>
        <v>-</v>
      </c>
      <c r="O19" s="402" t="str">
        <f ca="1">IF(DrawFinder!AN19=0,"",DrawFinder!AN19)</f>
        <v>-</v>
      </c>
      <c r="P19" s="402">
        <f ca="1">IF(DrawFinder!AO19=0,"",DrawFinder!AO19)</f>
        <v>3</v>
      </c>
      <c r="Q19" s="402" t="str">
        <f ca="1">IF(DrawFinder!AP19=0,"",DrawFinder!AP19)</f>
        <v/>
      </c>
      <c r="R19" s="402" t="str">
        <f ca="1">IF(DrawFinder!AQ19=0,"",DrawFinder!AQ19)</f>
        <v/>
      </c>
      <c r="S19" s="402" t="str">
        <f ca="1">IF(DrawFinder!AR19=0,"",DrawFinder!AR19)</f>
        <v/>
      </c>
      <c r="T19" s="402" t="str">
        <f ca="1">IF(DrawFinder!AS19=0,"",DrawFinder!AS19)</f>
        <v/>
      </c>
      <c r="U19" s="402" t="str">
        <f ca="1">IF(DrawFinder!AT19=0,"",DrawFinder!AT19)</f>
        <v/>
      </c>
      <c r="V19" s="402" t="str">
        <f ca="1">IF(DrawFinder!AU19=0,"",DrawFinder!AU19)</f>
        <v/>
      </c>
      <c r="W19" s="402" t="str">
        <f ca="1">IF(DrawFinder!AV19=0,"",DrawFinder!AV19)</f>
        <v/>
      </c>
      <c r="X19" s="402" t="str">
        <f ca="1">IF(DrawFinder!AW19=0,"",DrawFinder!AW19)</f>
        <v/>
      </c>
      <c r="Y19" s="402" t="str">
        <f ca="1">IF(DrawFinder!AX19=0,"",DrawFinder!AX19)</f>
        <v/>
      </c>
      <c r="Z19" s="402" t="str">
        <f ca="1">IF(DrawFinder!AY19=0,"",DrawFinder!AY19)</f>
        <v/>
      </c>
      <c r="AA19" s="402" t="str">
        <f ca="1">IF(DrawFinder!AZ19=0,"",DrawFinder!AZ19)</f>
        <v/>
      </c>
      <c r="AB19" s="402" t="str">
        <f ca="1">IF(DrawFinder!BA19=0,"",DrawFinder!BA19)</f>
        <v/>
      </c>
      <c r="AC19" s="402" t="str">
        <f ca="1">IF(DrawFinder!BB19=0,"",DrawFinder!BB19)</f>
        <v/>
      </c>
      <c r="AD19" s="402" t="str">
        <f ca="1">IF(DrawFinder!BC19=0,"",DrawFinder!BC19)</f>
        <v/>
      </c>
      <c r="AE19" s="402" t="str">
        <f ca="1">IF(DrawFinder!BD19=0,"",DrawFinder!BD19)</f>
        <v/>
      </c>
      <c r="AF19" s="402" t="str">
        <f ca="1">IF(DrawFinder!BE19=0,"",DrawFinder!BE19)</f>
        <v/>
      </c>
      <c r="AG19" s="402" t="str">
        <f ca="1">IF(DrawFinder!BF19=0,"",DrawFinder!BF19)</f>
        <v/>
      </c>
      <c r="AH19" s="402" t="str">
        <f ca="1">IF(DrawFinder!BG19=0,"",DrawFinder!BG19)</f>
        <v/>
      </c>
      <c r="AI19" s="402" t="str">
        <f ca="1">IF(DrawFinder!BH19=0,"",DrawFinder!BH19)</f>
        <v/>
      </c>
      <c r="AJ19" s="402" t="str">
        <f ca="1">IF(DrawFinder!BI19=0,"",DrawFinder!BI19)</f>
        <v/>
      </c>
      <c r="AK19" s="402" t="str">
        <f ca="1">IF(DrawFinder!BJ19=0,"",DrawFinder!BJ19)</f>
        <v/>
      </c>
      <c r="AL19" s="402" t="str">
        <f ca="1">IF(DrawFinder!BK19=0,"",DrawFinder!BK19)</f>
        <v/>
      </c>
      <c r="AM19" s="402" t="str">
        <f ca="1">IF(DrawFinder!BL19=0,"",DrawFinder!BL19)</f>
        <v/>
      </c>
      <c r="AN19" s="402" t="str">
        <f ca="1">IF(DrawFinder!BM19=0,"",DrawFinder!BM19)</f>
        <v/>
      </c>
      <c r="AO19" s="402" t="str">
        <f ca="1">IF(DrawFinder!BN19=0,"",DrawFinder!BN19)</f>
        <v/>
      </c>
      <c r="AP19" s="400" t="str">
        <f ca="1">IF(DrawFinder!BO19=0,"",DrawFinder!BO19)</f>
        <v/>
      </c>
      <c r="AQ19" s="81">
        <f>IF(DrawFinder!Y19=0,"",DrawFinder!Y19)</f>
        <v>2</v>
      </c>
      <c r="AR19" s="79" t="str">
        <f t="shared" ca="1" si="46"/>
        <v>Tm09</v>
      </c>
      <c r="AS19" s="81">
        <f t="shared" ca="1" si="47"/>
        <v>9</v>
      </c>
      <c r="AT19" s="84">
        <f t="shared" ca="1" si="48"/>
        <v>7</v>
      </c>
      <c r="AU19" s="336">
        <f t="shared" ca="1" si="49"/>
        <v>1</v>
      </c>
      <c r="AV19" s="336">
        <f t="shared" ca="1" si="0"/>
        <v>1</v>
      </c>
      <c r="AW19" s="336">
        <f t="shared" ca="1" si="0"/>
        <v>1</v>
      </c>
      <c r="AX19" s="336">
        <f t="shared" ca="1" si="0"/>
        <v>2</v>
      </c>
      <c r="AY19" s="336">
        <f t="shared" ca="1" si="0"/>
        <v>1</v>
      </c>
      <c r="AZ19" s="336">
        <f t="shared" ca="1" si="0"/>
        <v>1</v>
      </c>
      <c r="BA19" s="336">
        <f t="shared" ca="1" si="0"/>
        <v>0</v>
      </c>
      <c r="BB19" s="336">
        <f t="shared" ca="1" si="0"/>
        <v>0</v>
      </c>
      <c r="BC19" s="336">
        <f t="shared" ca="1" si="0"/>
        <v>0</v>
      </c>
      <c r="BD19" s="336">
        <f t="shared" ca="1" si="0"/>
        <v>0</v>
      </c>
      <c r="BE19" s="83">
        <f t="shared" ca="1" si="1"/>
        <v>3</v>
      </c>
      <c r="BF19" s="84">
        <f t="shared" ca="1" si="50"/>
        <v>4</v>
      </c>
      <c r="BH19" s="407">
        <f t="shared" ca="1" si="2"/>
        <v>3</v>
      </c>
      <c r="BI19" s="408">
        <f t="shared" ca="1" si="3"/>
        <v>4</v>
      </c>
      <c r="BK19" s="439">
        <f t="shared" ca="1" si="4"/>
        <v>0</v>
      </c>
      <c r="BL19" s="397">
        <f t="shared" ca="1" si="5"/>
        <v>0</v>
      </c>
      <c r="BM19" s="397">
        <f t="shared" ca="1" si="6"/>
        <v>1</v>
      </c>
      <c r="BN19" s="397">
        <f t="shared" ca="1" si="7"/>
        <v>0</v>
      </c>
      <c r="BO19" s="397">
        <f t="shared" ca="1" si="8"/>
        <v>0</v>
      </c>
      <c r="BP19" s="397">
        <f t="shared" ca="1" si="9"/>
        <v>0</v>
      </c>
      <c r="BQ19" s="397">
        <f t="shared" ca="1" si="10"/>
        <v>1</v>
      </c>
      <c r="BR19" s="397">
        <f t="shared" ca="1" si="11"/>
        <v>0</v>
      </c>
      <c r="BS19" s="397">
        <f t="shared" ca="1" si="12"/>
        <v>0</v>
      </c>
      <c r="BT19" s="397">
        <f t="shared" ca="1" si="13"/>
        <v>0</v>
      </c>
      <c r="BU19" s="397">
        <f t="shared" ca="1" si="14"/>
        <v>1</v>
      </c>
      <c r="BV19" s="397">
        <f t="shared" ca="1" si="15"/>
        <v>0</v>
      </c>
      <c r="BW19" s="397">
        <f t="shared" ca="1" si="16"/>
        <v>0</v>
      </c>
      <c r="BX19" s="397">
        <f t="shared" ca="1" si="17"/>
        <v>0</v>
      </c>
      <c r="BY19" s="397">
        <f t="shared" ca="1" si="18"/>
        <v>0</v>
      </c>
      <c r="BZ19" s="397">
        <f t="shared" ca="1" si="19"/>
        <v>0</v>
      </c>
      <c r="CA19" s="397">
        <f t="shared" ca="1" si="20"/>
        <v>0</v>
      </c>
      <c r="CB19" s="397">
        <f t="shared" ca="1" si="21"/>
        <v>0</v>
      </c>
      <c r="CC19" s="397">
        <f t="shared" ca="1" si="22"/>
        <v>0</v>
      </c>
      <c r="CD19" s="397">
        <f t="shared" ca="1" si="23"/>
        <v>0</v>
      </c>
      <c r="CE19" s="397">
        <f t="shared" ca="1" si="24"/>
        <v>0</v>
      </c>
      <c r="CF19" s="397">
        <f t="shared" ca="1" si="25"/>
        <v>0</v>
      </c>
      <c r="CG19" s="397">
        <f t="shared" ca="1" si="26"/>
        <v>0</v>
      </c>
      <c r="CH19" s="397">
        <f t="shared" ca="1" si="27"/>
        <v>0</v>
      </c>
      <c r="CI19" s="397">
        <f t="shared" ca="1" si="28"/>
        <v>0</v>
      </c>
      <c r="CJ19" s="397">
        <f t="shared" ca="1" si="29"/>
        <v>0</v>
      </c>
      <c r="CK19" s="397">
        <f t="shared" ca="1" si="30"/>
        <v>0</v>
      </c>
      <c r="CL19" s="397">
        <f t="shared" ca="1" si="31"/>
        <v>0</v>
      </c>
      <c r="CM19" s="397">
        <f t="shared" ca="1" si="32"/>
        <v>0</v>
      </c>
      <c r="CN19" s="397">
        <f t="shared" ca="1" si="33"/>
        <v>0</v>
      </c>
      <c r="CO19" s="397">
        <f t="shared" ca="1" si="34"/>
        <v>0</v>
      </c>
      <c r="CP19" s="397">
        <f t="shared" ca="1" si="35"/>
        <v>0</v>
      </c>
      <c r="CQ19" s="397">
        <f t="shared" ca="1" si="36"/>
        <v>0</v>
      </c>
      <c r="CR19" s="397">
        <f t="shared" ca="1" si="37"/>
        <v>0</v>
      </c>
      <c r="CS19" s="397">
        <f t="shared" ca="1" si="38"/>
        <v>0</v>
      </c>
      <c r="CT19" s="397">
        <f t="shared" ca="1" si="39"/>
        <v>0</v>
      </c>
      <c r="CU19" s="397">
        <f t="shared" ca="1" si="40"/>
        <v>0</v>
      </c>
      <c r="CV19" s="397">
        <f t="shared" ca="1" si="41"/>
        <v>0</v>
      </c>
      <c r="CW19" s="397">
        <f t="shared" ca="1" si="42"/>
        <v>0</v>
      </c>
      <c r="CX19" s="440">
        <f t="shared" ca="1" si="43"/>
        <v>0</v>
      </c>
      <c r="CY19" s="335">
        <f t="shared" si="44"/>
        <v>0</v>
      </c>
      <c r="CZ19" s="16"/>
      <c r="DA19" s="16"/>
      <c r="DB19" s="16"/>
      <c r="DC19" s="16"/>
      <c r="DD19" s="16"/>
      <c r="DE19" s="16"/>
      <c r="DF19" s="16"/>
      <c r="DG19" s="16"/>
      <c r="DH19" s="16"/>
    </row>
    <row r="20" spans="1:112" s="77" customFormat="1" ht="15" customHeight="1">
      <c r="A20" s="266" t="str">
        <f t="shared" ca="1" si="45"/>
        <v>Tm10</v>
      </c>
      <c r="B20" s="462"/>
      <c r="C20" s="402" t="str">
        <f ca="1">IF(DrawFinder!AB20=0,"",DrawFinder!AB20)</f>
        <v>-</v>
      </c>
      <c r="D20" s="402">
        <f ca="1">IF(DrawFinder!AC20=0,"",DrawFinder!AC20)</f>
        <v>3</v>
      </c>
      <c r="E20" s="402">
        <f ca="1">IF(DrawFinder!AD20=0,"",DrawFinder!AD20)</f>
        <v>-4</v>
      </c>
      <c r="F20" s="402" t="str">
        <f ca="1">IF(DrawFinder!AE20=0,"",DrawFinder!AE20)</f>
        <v>-</v>
      </c>
      <c r="G20" s="402" t="str">
        <f ca="1">IF(DrawFinder!AF20=0,"",DrawFinder!AF20)</f>
        <v>-</v>
      </c>
      <c r="H20" s="402">
        <f ca="1">IF(DrawFinder!AG20=0,"",DrawFinder!AG20)</f>
        <v>1</v>
      </c>
      <c r="I20" s="402">
        <f ca="1">IF(DrawFinder!AH20=0,"",DrawFinder!AH20)</f>
        <v>-5</v>
      </c>
      <c r="J20" s="402" t="str">
        <f ca="1">IF(DrawFinder!AI20=0,"",DrawFinder!AI20)</f>
        <v>-</v>
      </c>
      <c r="K20" s="402" t="str">
        <f ca="1">IF(DrawFinder!AJ20=0,"",DrawFinder!AJ20)</f>
        <v>-</v>
      </c>
      <c r="L20" s="402">
        <f ca="1">IF(DrawFinder!AK20=0,"",DrawFinder!AK20)</f>
        <v>-6</v>
      </c>
      <c r="M20" s="402">
        <f ca="1">IF(DrawFinder!AL20=0,"",DrawFinder!AL20)</f>
        <v>2</v>
      </c>
      <c r="N20" s="402" t="str">
        <f ca="1">IF(DrawFinder!AM20=0,"",DrawFinder!AM20)</f>
        <v>-</v>
      </c>
      <c r="O20" s="402" t="str">
        <f ca="1">IF(DrawFinder!AN20=0,"",DrawFinder!AN20)</f>
        <v>-</v>
      </c>
      <c r="P20" s="402">
        <f ca="1">IF(DrawFinder!AO20=0,"",DrawFinder!AO20)</f>
        <v>-3</v>
      </c>
      <c r="Q20" s="402" t="str">
        <f ca="1">IF(DrawFinder!AP20=0,"",DrawFinder!AP20)</f>
        <v/>
      </c>
      <c r="R20" s="402" t="str">
        <f ca="1">IF(DrawFinder!AQ20=0,"",DrawFinder!AQ20)</f>
        <v/>
      </c>
      <c r="S20" s="402" t="str">
        <f ca="1">IF(DrawFinder!AR20=0,"",DrawFinder!AR20)</f>
        <v/>
      </c>
      <c r="T20" s="402" t="str">
        <f ca="1">IF(DrawFinder!AS20=0,"",DrawFinder!AS20)</f>
        <v/>
      </c>
      <c r="U20" s="402" t="str">
        <f ca="1">IF(DrawFinder!AT20=0,"",DrawFinder!AT20)</f>
        <v/>
      </c>
      <c r="V20" s="402" t="str">
        <f ca="1">IF(DrawFinder!AU20=0,"",DrawFinder!AU20)</f>
        <v/>
      </c>
      <c r="W20" s="402" t="str">
        <f ca="1">IF(DrawFinder!AV20=0,"",DrawFinder!AV20)</f>
        <v/>
      </c>
      <c r="X20" s="402" t="str">
        <f ca="1">IF(DrawFinder!AW20=0,"",DrawFinder!AW20)</f>
        <v/>
      </c>
      <c r="Y20" s="402" t="str">
        <f ca="1">IF(DrawFinder!AX20=0,"",DrawFinder!AX20)</f>
        <v/>
      </c>
      <c r="Z20" s="402" t="str">
        <f ca="1">IF(DrawFinder!AY20=0,"",DrawFinder!AY20)</f>
        <v/>
      </c>
      <c r="AA20" s="402" t="str">
        <f ca="1">IF(DrawFinder!AZ20=0,"",DrawFinder!AZ20)</f>
        <v/>
      </c>
      <c r="AB20" s="402" t="str">
        <f ca="1">IF(DrawFinder!BA20=0,"",DrawFinder!BA20)</f>
        <v/>
      </c>
      <c r="AC20" s="402" t="str">
        <f ca="1">IF(DrawFinder!BB20=0,"",DrawFinder!BB20)</f>
        <v/>
      </c>
      <c r="AD20" s="402" t="str">
        <f ca="1">IF(DrawFinder!BC20=0,"",DrawFinder!BC20)</f>
        <v/>
      </c>
      <c r="AE20" s="402" t="str">
        <f ca="1">IF(DrawFinder!BD20=0,"",DrawFinder!BD20)</f>
        <v/>
      </c>
      <c r="AF20" s="402" t="str">
        <f ca="1">IF(DrawFinder!BE20=0,"",DrawFinder!BE20)</f>
        <v/>
      </c>
      <c r="AG20" s="402" t="str">
        <f ca="1">IF(DrawFinder!BF20=0,"",DrawFinder!BF20)</f>
        <v/>
      </c>
      <c r="AH20" s="402" t="str">
        <f ca="1">IF(DrawFinder!BG20=0,"",DrawFinder!BG20)</f>
        <v/>
      </c>
      <c r="AI20" s="402" t="str">
        <f ca="1">IF(DrawFinder!BH20=0,"",DrawFinder!BH20)</f>
        <v/>
      </c>
      <c r="AJ20" s="402" t="str">
        <f ca="1">IF(DrawFinder!BI20=0,"",DrawFinder!BI20)</f>
        <v/>
      </c>
      <c r="AK20" s="402" t="str">
        <f ca="1">IF(DrawFinder!BJ20=0,"",DrawFinder!BJ20)</f>
        <v/>
      </c>
      <c r="AL20" s="402" t="str">
        <f ca="1">IF(DrawFinder!BK20=0,"",DrawFinder!BK20)</f>
        <v/>
      </c>
      <c r="AM20" s="402" t="str">
        <f ca="1">IF(DrawFinder!BL20=0,"",DrawFinder!BL20)</f>
        <v/>
      </c>
      <c r="AN20" s="402" t="str">
        <f ca="1">IF(DrawFinder!BM20=0,"",DrawFinder!BM20)</f>
        <v/>
      </c>
      <c r="AO20" s="402" t="str">
        <f ca="1">IF(DrawFinder!BN20=0,"",DrawFinder!BN20)</f>
        <v/>
      </c>
      <c r="AP20" s="400" t="str">
        <f ca="1">IF(DrawFinder!BO20=0,"",DrawFinder!BO20)</f>
        <v/>
      </c>
      <c r="AQ20" s="81">
        <f>IF(DrawFinder!Y20=0,"",DrawFinder!Y20)</f>
        <v>2</v>
      </c>
      <c r="AR20" s="79" t="str">
        <f t="shared" ca="1" si="46"/>
        <v>Tm10</v>
      </c>
      <c r="AS20" s="81">
        <f t="shared" ca="1" si="47"/>
        <v>10</v>
      </c>
      <c r="AT20" s="84">
        <f t="shared" ca="1" si="48"/>
        <v>7</v>
      </c>
      <c r="AU20" s="336">
        <f t="shared" ca="1" si="49"/>
        <v>1</v>
      </c>
      <c r="AV20" s="336">
        <f t="shared" ca="1" si="0"/>
        <v>1</v>
      </c>
      <c r="AW20" s="336">
        <f t="shared" ca="1" si="0"/>
        <v>2</v>
      </c>
      <c r="AX20" s="336">
        <f t="shared" ca="1" si="0"/>
        <v>1</v>
      </c>
      <c r="AY20" s="336">
        <f t="shared" ca="1" si="0"/>
        <v>1</v>
      </c>
      <c r="AZ20" s="336">
        <f t="shared" ca="1" si="0"/>
        <v>1</v>
      </c>
      <c r="BA20" s="336">
        <f t="shared" ca="1" si="0"/>
        <v>0</v>
      </c>
      <c r="BB20" s="336">
        <f t="shared" ca="1" si="0"/>
        <v>0</v>
      </c>
      <c r="BC20" s="336">
        <f t="shared" ca="1" si="0"/>
        <v>0</v>
      </c>
      <c r="BD20" s="336">
        <f t="shared" ca="1" si="0"/>
        <v>0</v>
      </c>
      <c r="BE20" s="83">
        <f t="shared" ca="1" si="1"/>
        <v>3</v>
      </c>
      <c r="BF20" s="84">
        <f t="shared" ca="1" si="50"/>
        <v>4</v>
      </c>
      <c r="BH20" s="407">
        <f t="shared" ca="1" si="2"/>
        <v>4</v>
      </c>
      <c r="BI20" s="408">
        <f t="shared" ca="1" si="3"/>
        <v>3</v>
      </c>
      <c r="BK20" s="439">
        <f t="shared" ca="1" si="4"/>
        <v>0</v>
      </c>
      <c r="BL20" s="397">
        <f t="shared" ca="1" si="5"/>
        <v>0</v>
      </c>
      <c r="BM20" s="397">
        <f t="shared" ca="1" si="6"/>
        <v>1</v>
      </c>
      <c r="BN20" s="397">
        <f t="shared" ca="1" si="7"/>
        <v>0</v>
      </c>
      <c r="BO20" s="397">
        <f t="shared" ca="1" si="8"/>
        <v>0</v>
      </c>
      <c r="BP20" s="397">
        <f t="shared" ca="1" si="9"/>
        <v>0</v>
      </c>
      <c r="BQ20" s="397">
        <f t="shared" ca="1" si="10"/>
        <v>1</v>
      </c>
      <c r="BR20" s="397">
        <f t="shared" ca="1" si="11"/>
        <v>0</v>
      </c>
      <c r="BS20" s="397">
        <f t="shared" ca="1" si="12"/>
        <v>0</v>
      </c>
      <c r="BT20" s="397">
        <f t="shared" ca="1" si="13"/>
        <v>0</v>
      </c>
      <c r="BU20" s="397">
        <f t="shared" ca="1" si="14"/>
        <v>1</v>
      </c>
      <c r="BV20" s="397">
        <f t="shared" ca="1" si="15"/>
        <v>0</v>
      </c>
      <c r="BW20" s="397">
        <f t="shared" ca="1" si="16"/>
        <v>0</v>
      </c>
      <c r="BX20" s="397">
        <f t="shared" ca="1" si="17"/>
        <v>0</v>
      </c>
      <c r="BY20" s="397">
        <f t="shared" ca="1" si="18"/>
        <v>0</v>
      </c>
      <c r="BZ20" s="397">
        <f t="shared" ca="1" si="19"/>
        <v>0</v>
      </c>
      <c r="CA20" s="397">
        <f t="shared" ca="1" si="20"/>
        <v>0</v>
      </c>
      <c r="CB20" s="397">
        <f t="shared" ca="1" si="21"/>
        <v>0</v>
      </c>
      <c r="CC20" s="397">
        <f t="shared" ca="1" si="22"/>
        <v>0</v>
      </c>
      <c r="CD20" s="397">
        <f t="shared" ca="1" si="23"/>
        <v>0</v>
      </c>
      <c r="CE20" s="397">
        <f t="shared" ca="1" si="24"/>
        <v>0</v>
      </c>
      <c r="CF20" s="397">
        <f t="shared" ca="1" si="25"/>
        <v>0</v>
      </c>
      <c r="CG20" s="397">
        <f t="shared" ca="1" si="26"/>
        <v>0</v>
      </c>
      <c r="CH20" s="397">
        <f t="shared" ca="1" si="27"/>
        <v>0</v>
      </c>
      <c r="CI20" s="397">
        <f t="shared" ca="1" si="28"/>
        <v>0</v>
      </c>
      <c r="CJ20" s="397">
        <f t="shared" ca="1" si="29"/>
        <v>0</v>
      </c>
      <c r="CK20" s="397">
        <f t="shared" ca="1" si="30"/>
        <v>0</v>
      </c>
      <c r="CL20" s="397">
        <f t="shared" ca="1" si="31"/>
        <v>0</v>
      </c>
      <c r="CM20" s="397">
        <f t="shared" ca="1" si="32"/>
        <v>0</v>
      </c>
      <c r="CN20" s="397">
        <f t="shared" ca="1" si="33"/>
        <v>0</v>
      </c>
      <c r="CO20" s="397">
        <f t="shared" ca="1" si="34"/>
        <v>0</v>
      </c>
      <c r="CP20" s="397">
        <f t="shared" ca="1" si="35"/>
        <v>0</v>
      </c>
      <c r="CQ20" s="397">
        <f t="shared" ca="1" si="36"/>
        <v>0</v>
      </c>
      <c r="CR20" s="397">
        <f t="shared" ca="1" si="37"/>
        <v>0</v>
      </c>
      <c r="CS20" s="397">
        <f t="shared" ca="1" si="38"/>
        <v>0</v>
      </c>
      <c r="CT20" s="397">
        <f t="shared" ca="1" si="39"/>
        <v>0</v>
      </c>
      <c r="CU20" s="397">
        <f t="shared" ca="1" si="40"/>
        <v>0</v>
      </c>
      <c r="CV20" s="397">
        <f t="shared" ca="1" si="41"/>
        <v>0</v>
      </c>
      <c r="CW20" s="397">
        <f t="shared" ca="1" si="42"/>
        <v>0</v>
      </c>
      <c r="CX20" s="440">
        <f t="shared" ca="1" si="43"/>
        <v>0</v>
      </c>
      <c r="CY20" s="335">
        <f t="shared" si="44"/>
        <v>0</v>
      </c>
      <c r="CZ20" s="16"/>
      <c r="DA20" s="16"/>
      <c r="DB20" s="16"/>
      <c r="DC20" s="16"/>
      <c r="DD20" s="16"/>
      <c r="DE20" s="16"/>
      <c r="DF20" s="16"/>
      <c r="DG20" s="16"/>
      <c r="DH20" s="16"/>
    </row>
    <row r="21" spans="1:112" s="77" customFormat="1" ht="15" customHeight="1">
      <c r="A21" s="266" t="str">
        <f t="shared" ca="1" si="45"/>
        <v>Tm11</v>
      </c>
      <c r="B21" s="462"/>
      <c r="C21" s="402" t="str">
        <f ca="1">IF(DrawFinder!AB21=0,"",DrawFinder!AB21)</f>
        <v>-</v>
      </c>
      <c r="D21" s="402">
        <f ca="1">IF(DrawFinder!AC21=0,"",DrawFinder!AC21)</f>
        <v>5</v>
      </c>
      <c r="E21" s="402">
        <f ca="1">IF(DrawFinder!AD21=0,"",DrawFinder!AD21)</f>
        <v>-1</v>
      </c>
      <c r="F21" s="402" t="str">
        <f ca="1">IF(DrawFinder!AE21=0,"",DrawFinder!AE21)</f>
        <v>-</v>
      </c>
      <c r="G21" s="402" t="str">
        <f ca="1">IF(DrawFinder!AF21=0,"",DrawFinder!AF21)</f>
        <v>-</v>
      </c>
      <c r="H21" s="402">
        <f ca="1">IF(DrawFinder!AG21=0,"",DrawFinder!AG21)</f>
        <v>3</v>
      </c>
      <c r="I21" s="402">
        <f ca="1">IF(DrawFinder!AH21=0,"",DrawFinder!AH21)</f>
        <v>-2</v>
      </c>
      <c r="J21" s="402" t="str">
        <f ca="1">IF(DrawFinder!AI21=0,"",DrawFinder!AI21)</f>
        <v>-</v>
      </c>
      <c r="K21" s="402" t="str">
        <f ca="1">IF(DrawFinder!AJ21=0,"",DrawFinder!AJ21)</f>
        <v>-</v>
      </c>
      <c r="L21" s="402">
        <f ca="1">IF(DrawFinder!AK21=0,"",DrawFinder!AK21)</f>
        <v>6</v>
      </c>
      <c r="M21" s="402">
        <f ca="1">IF(DrawFinder!AL21=0,"",DrawFinder!AL21)</f>
        <v>-5</v>
      </c>
      <c r="N21" s="402" t="str">
        <f ca="1">IF(DrawFinder!AM21=0,"",DrawFinder!AM21)</f>
        <v>-</v>
      </c>
      <c r="O21" s="402" t="str">
        <f ca="1">IF(DrawFinder!AN21=0,"",DrawFinder!AN21)</f>
        <v>-</v>
      </c>
      <c r="P21" s="402">
        <f ca="1">IF(DrawFinder!AO21=0,"",DrawFinder!AO21)</f>
        <v>-4</v>
      </c>
      <c r="Q21" s="402" t="str">
        <f ca="1">IF(DrawFinder!AP21=0,"",DrawFinder!AP21)</f>
        <v/>
      </c>
      <c r="R21" s="402" t="str">
        <f ca="1">IF(DrawFinder!AQ21=0,"",DrawFinder!AQ21)</f>
        <v/>
      </c>
      <c r="S21" s="402" t="str">
        <f ca="1">IF(DrawFinder!AR21=0,"",DrawFinder!AR21)</f>
        <v/>
      </c>
      <c r="T21" s="402" t="str">
        <f ca="1">IF(DrawFinder!AS21=0,"",DrawFinder!AS21)</f>
        <v/>
      </c>
      <c r="U21" s="402" t="str">
        <f ca="1">IF(DrawFinder!AT21=0,"",DrawFinder!AT21)</f>
        <v/>
      </c>
      <c r="V21" s="402" t="str">
        <f ca="1">IF(DrawFinder!AU21=0,"",DrawFinder!AU21)</f>
        <v/>
      </c>
      <c r="W21" s="402" t="str">
        <f ca="1">IF(DrawFinder!AV21=0,"",DrawFinder!AV21)</f>
        <v/>
      </c>
      <c r="X21" s="402" t="str">
        <f ca="1">IF(DrawFinder!AW21=0,"",DrawFinder!AW21)</f>
        <v/>
      </c>
      <c r="Y21" s="402" t="str">
        <f ca="1">IF(DrawFinder!AX21=0,"",DrawFinder!AX21)</f>
        <v/>
      </c>
      <c r="Z21" s="402" t="str">
        <f ca="1">IF(DrawFinder!AY21=0,"",DrawFinder!AY21)</f>
        <v/>
      </c>
      <c r="AA21" s="402" t="str">
        <f ca="1">IF(DrawFinder!AZ21=0,"",DrawFinder!AZ21)</f>
        <v/>
      </c>
      <c r="AB21" s="402" t="str">
        <f ca="1">IF(DrawFinder!BA21=0,"",DrawFinder!BA21)</f>
        <v/>
      </c>
      <c r="AC21" s="402" t="str">
        <f ca="1">IF(DrawFinder!BB21=0,"",DrawFinder!BB21)</f>
        <v/>
      </c>
      <c r="AD21" s="402" t="str">
        <f ca="1">IF(DrawFinder!BC21=0,"",DrawFinder!BC21)</f>
        <v/>
      </c>
      <c r="AE21" s="402" t="str">
        <f ca="1">IF(DrawFinder!BD21=0,"",DrawFinder!BD21)</f>
        <v/>
      </c>
      <c r="AF21" s="402" t="str">
        <f ca="1">IF(DrawFinder!BE21=0,"",DrawFinder!BE21)</f>
        <v/>
      </c>
      <c r="AG21" s="402" t="str">
        <f ca="1">IF(DrawFinder!BF21=0,"",DrawFinder!BF21)</f>
        <v/>
      </c>
      <c r="AH21" s="402" t="str">
        <f ca="1">IF(DrawFinder!BG21=0,"",DrawFinder!BG21)</f>
        <v/>
      </c>
      <c r="AI21" s="402" t="str">
        <f ca="1">IF(DrawFinder!BH21=0,"",DrawFinder!BH21)</f>
        <v/>
      </c>
      <c r="AJ21" s="402" t="str">
        <f ca="1">IF(DrawFinder!BI21=0,"",DrawFinder!BI21)</f>
        <v/>
      </c>
      <c r="AK21" s="402" t="str">
        <f ca="1">IF(DrawFinder!BJ21=0,"",DrawFinder!BJ21)</f>
        <v/>
      </c>
      <c r="AL21" s="402" t="str">
        <f ca="1">IF(DrawFinder!BK21=0,"",DrawFinder!BK21)</f>
        <v/>
      </c>
      <c r="AM21" s="402" t="str">
        <f ca="1">IF(DrawFinder!BL21=0,"",DrawFinder!BL21)</f>
        <v/>
      </c>
      <c r="AN21" s="402" t="str">
        <f ca="1">IF(DrawFinder!BM21=0,"",DrawFinder!BM21)</f>
        <v/>
      </c>
      <c r="AO21" s="402" t="str">
        <f ca="1">IF(DrawFinder!BN21=0,"",DrawFinder!BN21)</f>
        <v/>
      </c>
      <c r="AP21" s="400" t="str">
        <f ca="1">IF(DrawFinder!BO21=0,"",DrawFinder!BO21)</f>
        <v/>
      </c>
      <c r="AQ21" s="81">
        <f>IF(DrawFinder!Y21=0,"",DrawFinder!Y21)</f>
        <v>2</v>
      </c>
      <c r="AR21" s="79" t="str">
        <f t="shared" ca="1" si="46"/>
        <v>Tm11</v>
      </c>
      <c r="AS21" s="81">
        <f t="shared" ca="1" si="47"/>
        <v>11</v>
      </c>
      <c r="AT21" s="84">
        <f t="shared" ca="1" si="48"/>
        <v>7</v>
      </c>
      <c r="AU21" s="336">
        <f t="shared" ca="1" si="49"/>
        <v>1</v>
      </c>
      <c r="AV21" s="336">
        <f t="shared" ca="1" si="0"/>
        <v>1</v>
      </c>
      <c r="AW21" s="336">
        <f t="shared" ca="1" si="0"/>
        <v>1</v>
      </c>
      <c r="AX21" s="336">
        <f t="shared" ca="1" si="0"/>
        <v>1</v>
      </c>
      <c r="AY21" s="336">
        <f t="shared" ca="1" si="0"/>
        <v>2</v>
      </c>
      <c r="AZ21" s="336">
        <f t="shared" ca="1" si="0"/>
        <v>1</v>
      </c>
      <c r="BA21" s="336">
        <f t="shared" ca="1" si="0"/>
        <v>0</v>
      </c>
      <c r="BB21" s="336">
        <f t="shared" ca="1" si="0"/>
        <v>0</v>
      </c>
      <c r="BC21" s="336">
        <f t="shared" ca="1" si="0"/>
        <v>0</v>
      </c>
      <c r="BD21" s="336">
        <f t="shared" ca="1" si="0"/>
        <v>0</v>
      </c>
      <c r="BE21" s="83">
        <f t="shared" ca="1" si="1"/>
        <v>3</v>
      </c>
      <c r="BF21" s="84">
        <f t="shared" ca="1" si="50"/>
        <v>4</v>
      </c>
      <c r="BH21" s="407">
        <f t="shared" ca="1" si="2"/>
        <v>4</v>
      </c>
      <c r="BI21" s="408">
        <f t="shared" ca="1" si="3"/>
        <v>3</v>
      </c>
      <c r="BK21" s="439">
        <f t="shared" ca="1" si="4"/>
        <v>0</v>
      </c>
      <c r="BL21" s="397">
        <f t="shared" ca="1" si="5"/>
        <v>0</v>
      </c>
      <c r="BM21" s="397">
        <f t="shared" ca="1" si="6"/>
        <v>1</v>
      </c>
      <c r="BN21" s="397">
        <f t="shared" ca="1" si="7"/>
        <v>0</v>
      </c>
      <c r="BO21" s="397">
        <f t="shared" ca="1" si="8"/>
        <v>0</v>
      </c>
      <c r="BP21" s="397">
        <f t="shared" ca="1" si="9"/>
        <v>0</v>
      </c>
      <c r="BQ21" s="397">
        <f t="shared" ca="1" si="10"/>
        <v>1</v>
      </c>
      <c r="BR21" s="397">
        <f t="shared" ca="1" si="11"/>
        <v>0</v>
      </c>
      <c r="BS21" s="397">
        <f t="shared" ca="1" si="12"/>
        <v>0</v>
      </c>
      <c r="BT21" s="397">
        <f t="shared" ca="1" si="13"/>
        <v>0</v>
      </c>
      <c r="BU21" s="397">
        <f t="shared" ca="1" si="14"/>
        <v>1</v>
      </c>
      <c r="BV21" s="397">
        <f t="shared" ca="1" si="15"/>
        <v>0</v>
      </c>
      <c r="BW21" s="397">
        <f t="shared" ca="1" si="16"/>
        <v>0</v>
      </c>
      <c r="BX21" s="397">
        <f t="shared" ca="1" si="17"/>
        <v>0</v>
      </c>
      <c r="BY21" s="397">
        <f t="shared" ca="1" si="18"/>
        <v>0</v>
      </c>
      <c r="BZ21" s="397">
        <f t="shared" ca="1" si="19"/>
        <v>0</v>
      </c>
      <c r="CA21" s="397">
        <f t="shared" ca="1" si="20"/>
        <v>0</v>
      </c>
      <c r="CB21" s="397">
        <f t="shared" ca="1" si="21"/>
        <v>0</v>
      </c>
      <c r="CC21" s="397">
        <f t="shared" ca="1" si="22"/>
        <v>0</v>
      </c>
      <c r="CD21" s="397">
        <f t="shared" ca="1" si="23"/>
        <v>0</v>
      </c>
      <c r="CE21" s="397">
        <f t="shared" ca="1" si="24"/>
        <v>0</v>
      </c>
      <c r="CF21" s="397">
        <f t="shared" ca="1" si="25"/>
        <v>0</v>
      </c>
      <c r="CG21" s="397">
        <f t="shared" ca="1" si="26"/>
        <v>0</v>
      </c>
      <c r="CH21" s="397">
        <f t="shared" ca="1" si="27"/>
        <v>0</v>
      </c>
      <c r="CI21" s="397">
        <f t="shared" ca="1" si="28"/>
        <v>0</v>
      </c>
      <c r="CJ21" s="397">
        <f t="shared" ca="1" si="29"/>
        <v>0</v>
      </c>
      <c r="CK21" s="397">
        <f t="shared" ca="1" si="30"/>
        <v>0</v>
      </c>
      <c r="CL21" s="397">
        <f t="shared" ca="1" si="31"/>
        <v>0</v>
      </c>
      <c r="CM21" s="397">
        <f t="shared" ca="1" si="32"/>
        <v>0</v>
      </c>
      <c r="CN21" s="397">
        <f t="shared" ca="1" si="33"/>
        <v>0</v>
      </c>
      <c r="CO21" s="397">
        <f t="shared" ca="1" si="34"/>
        <v>0</v>
      </c>
      <c r="CP21" s="397">
        <f t="shared" ca="1" si="35"/>
        <v>0</v>
      </c>
      <c r="CQ21" s="397">
        <f t="shared" ca="1" si="36"/>
        <v>0</v>
      </c>
      <c r="CR21" s="397">
        <f t="shared" ca="1" si="37"/>
        <v>0</v>
      </c>
      <c r="CS21" s="397">
        <f t="shared" ca="1" si="38"/>
        <v>0</v>
      </c>
      <c r="CT21" s="397">
        <f t="shared" ca="1" si="39"/>
        <v>0</v>
      </c>
      <c r="CU21" s="397">
        <f t="shared" ca="1" si="40"/>
        <v>0</v>
      </c>
      <c r="CV21" s="397">
        <f t="shared" ca="1" si="41"/>
        <v>0</v>
      </c>
      <c r="CW21" s="397">
        <f t="shared" ca="1" si="42"/>
        <v>0</v>
      </c>
      <c r="CX21" s="440">
        <f t="shared" ca="1" si="43"/>
        <v>0</v>
      </c>
      <c r="CY21" s="335">
        <f t="shared" si="44"/>
        <v>0</v>
      </c>
      <c r="CZ21" s="16"/>
      <c r="DA21" s="16"/>
      <c r="DB21" s="16"/>
      <c r="DC21" s="16"/>
      <c r="DD21" s="16"/>
      <c r="DE21" s="16"/>
      <c r="DF21" s="16"/>
      <c r="DG21" s="16"/>
      <c r="DH21" s="16"/>
    </row>
    <row r="22" spans="1:112" s="77" customFormat="1" ht="15" customHeight="1">
      <c r="A22" s="266" t="str">
        <f t="shared" ca="1" si="45"/>
        <v>Tm12</v>
      </c>
      <c r="B22" s="462"/>
      <c r="C22" s="402" t="str">
        <f ca="1">IF(DrawFinder!AB22=0,"",DrawFinder!AB22)</f>
        <v>-</v>
      </c>
      <c r="D22" s="402">
        <f ca="1">IF(DrawFinder!AC22=0,"",DrawFinder!AC22)</f>
        <v>2</v>
      </c>
      <c r="E22" s="402">
        <f ca="1">IF(DrawFinder!AD22=0,"",DrawFinder!AD22)</f>
        <v>-6</v>
      </c>
      <c r="F22" s="402" t="str">
        <f ca="1">IF(DrawFinder!AE22=0,"",DrawFinder!AE22)</f>
        <v>-</v>
      </c>
      <c r="G22" s="402" t="str">
        <f ca="1">IF(DrawFinder!AF22=0,"",DrawFinder!AF22)</f>
        <v>-</v>
      </c>
      <c r="H22" s="402">
        <f ca="1">IF(DrawFinder!AG22=0,"",DrawFinder!AG22)</f>
        <v>5</v>
      </c>
      <c r="I22" s="402">
        <f ca="1">IF(DrawFinder!AH22=0,"",DrawFinder!AH22)</f>
        <v>-3</v>
      </c>
      <c r="J22" s="402" t="str">
        <f ca="1">IF(DrawFinder!AI22=0,"",DrawFinder!AI22)</f>
        <v>-</v>
      </c>
      <c r="K22" s="402" t="str">
        <f ca="1">IF(DrawFinder!AJ22=0,"",DrawFinder!AJ22)</f>
        <v>-</v>
      </c>
      <c r="L22" s="402">
        <f ca="1">IF(DrawFinder!AK22=0,"",DrawFinder!AK22)</f>
        <v>1</v>
      </c>
      <c r="M22" s="402">
        <f ca="1">IF(DrawFinder!AL22=0,"",DrawFinder!AL22)</f>
        <v>-2</v>
      </c>
      <c r="N22" s="402" t="str">
        <f ca="1">IF(DrawFinder!AM22=0,"",DrawFinder!AM22)</f>
        <v>-</v>
      </c>
      <c r="O22" s="402" t="str">
        <f ca="1">IF(DrawFinder!AN22=0,"",DrawFinder!AN22)</f>
        <v>-</v>
      </c>
      <c r="P22" s="402">
        <f ca="1">IF(DrawFinder!AO22=0,"",DrawFinder!AO22)</f>
        <v>4</v>
      </c>
      <c r="Q22" s="402" t="str">
        <f ca="1">IF(DrawFinder!AP22=0,"",DrawFinder!AP22)</f>
        <v/>
      </c>
      <c r="R22" s="402" t="str">
        <f ca="1">IF(DrawFinder!AQ22=0,"",DrawFinder!AQ22)</f>
        <v/>
      </c>
      <c r="S22" s="402" t="str">
        <f ca="1">IF(DrawFinder!AR22=0,"",DrawFinder!AR22)</f>
        <v/>
      </c>
      <c r="T22" s="402" t="str">
        <f ca="1">IF(DrawFinder!AS22=0,"",DrawFinder!AS22)</f>
        <v/>
      </c>
      <c r="U22" s="402" t="str">
        <f ca="1">IF(DrawFinder!AT22=0,"",DrawFinder!AT22)</f>
        <v/>
      </c>
      <c r="V22" s="402" t="str">
        <f ca="1">IF(DrawFinder!AU22=0,"",DrawFinder!AU22)</f>
        <v/>
      </c>
      <c r="W22" s="402" t="str">
        <f ca="1">IF(DrawFinder!AV22=0,"",DrawFinder!AV22)</f>
        <v/>
      </c>
      <c r="X22" s="402" t="str">
        <f ca="1">IF(DrawFinder!AW22=0,"",DrawFinder!AW22)</f>
        <v/>
      </c>
      <c r="Y22" s="402" t="str">
        <f ca="1">IF(DrawFinder!AX22=0,"",DrawFinder!AX22)</f>
        <v/>
      </c>
      <c r="Z22" s="402" t="str">
        <f ca="1">IF(DrawFinder!AY22=0,"",DrawFinder!AY22)</f>
        <v/>
      </c>
      <c r="AA22" s="402" t="str">
        <f ca="1">IF(DrawFinder!AZ22=0,"",DrawFinder!AZ22)</f>
        <v/>
      </c>
      <c r="AB22" s="402" t="str">
        <f ca="1">IF(DrawFinder!BA22=0,"",DrawFinder!BA22)</f>
        <v/>
      </c>
      <c r="AC22" s="402" t="str">
        <f ca="1">IF(DrawFinder!BB22=0,"",DrawFinder!BB22)</f>
        <v/>
      </c>
      <c r="AD22" s="402" t="str">
        <f ca="1">IF(DrawFinder!BC22=0,"",DrawFinder!BC22)</f>
        <v/>
      </c>
      <c r="AE22" s="402" t="str">
        <f ca="1">IF(DrawFinder!BD22=0,"",DrawFinder!BD22)</f>
        <v/>
      </c>
      <c r="AF22" s="402" t="str">
        <f ca="1">IF(DrawFinder!BE22=0,"",DrawFinder!BE22)</f>
        <v/>
      </c>
      <c r="AG22" s="402" t="str">
        <f ca="1">IF(DrawFinder!BF22=0,"",DrawFinder!BF22)</f>
        <v/>
      </c>
      <c r="AH22" s="402" t="str">
        <f ca="1">IF(DrawFinder!BG22=0,"",DrawFinder!BG22)</f>
        <v/>
      </c>
      <c r="AI22" s="402" t="str">
        <f ca="1">IF(DrawFinder!BH22=0,"",DrawFinder!BH22)</f>
        <v/>
      </c>
      <c r="AJ22" s="402" t="str">
        <f ca="1">IF(DrawFinder!BI22=0,"",DrawFinder!BI22)</f>
        <v/>
      </c>
      <c r="AK22" s="402" t="str">
        <f ca="1">IF(DrawFinder!BJ22=0,"",DrawFinder!BJ22)</f>
        <v/>
      </c>
      <c r="AL22" s="402" t="str">
        <f ca="1">IF(DrawFinder!BK22=0,"",DrawFinder!BK22)</f>
        <v/>
      </c>
      <c r="AM22" s="402" t="str">
        <f ca="1">IF(DrawFinder!BL22=0,"",DrawFinder!BL22)</f>
        <v/>
      </c>
      <c r="AN22" s="402" t="str">
        <f ca="1">IF(DrawFinder!BM22=0,"",DrawFinder!BM22)</f>
        <v/>
      </c>
      <c r="AO22" s="402" t="str">
        <f ca="1">IF(DrawFinder!BN22=0,"",DrawFinder!BN22)</f>
        <v/>
      </c>
      <c r="AP22" s="400" t="str">
        <f ca="1">IF(DrawFinder!BO22=0,"",DrawFinder!BO22)</f>
        <v/>
      </c>
      <c r="AQ22" s="81">
        <f>IF(DrawFinder!Y22=0,"",DrawFinder!Y22)</f>
        <v>2</v>
      </c>
      <c r="AR22" s="79" t="str">
        <f t="shared" ca="1" si="46"/>
        <v>Tm12</v>
      </c>
      <c r="AS22" s="81">
        <f t="shared" ca="1" si="47"/>
        <v>12</v>
      </c>
      <c r="AT22" s="84">
        <f t="shared" ca="1" si="48"/>
        <v>7</v>
      </c>
      <c r="AU22" s="336">
        <f t="shared" ca="1" si="49"/>
        <v>1</v>
      </c>
      <c r="AV22" s="336">
        <f t="shared" ca="1" si="0"/>
        <v>2</v>
      </c>
      <c r="AW22" s="336">
        <f t="shared" ca="1" si="0"/>
        <v>1</v>
      </c>
      <c r="AX22" s="336">
        <f t="shared" ca="1" si="0"/>
        <v>1</v>
      </c>
      <c r="AY22" s="336">
        <f t="shared" ca="1" si="0"/>
        <v>1</v>
      </c>
      <c r="AZ22" s="336">
        <f t="shared" ca="1" si="0"/>
        <v>1</v>
      </c>
      <c r="BA22" s="336">
        <f t="shared" ca="1" si="0"/>
        <v>0</v>
      </c>
      <c r="BB22" s="336">
        <f t="shared" ca="1" si="0"/>
        <v>0</v>
      </c>
      <c r="BC22" s="336">
        <f t="shared" ca="1" si="0"/>
        <v>0</v>
      </c>
      <c r="BD22" s="336">
        <f t="shared" ca="1" si="0"/>
        <v>0</v>
      </c>
      <c r="BE22" s="83">
        <f t="shared" ca="1" si="1"/>
        <v>3</v>
      </c>
      <c r="BF22" s="84">
        <f t="shared" ca="1" si="50"/>
        <v>4</v>
      </c>
      <c r="BH22" s="407">
        <f t="shared" ca="1" si="2"/>
        <v>3</v>
      </c>
      <c r="BI22" s="408">
        <f t="shared" ca="1" si="3"/>
        <v>4</v>
      </c>
      <c r="BK22" s="439">
        <f t="shared" ca="1" si="4"/>
        <v>0</v>
      </c>
      <c r="BL22" s="397">
        <f t="shared" ca="1" si="5"/>
        <v>0</v>
      </c>
      <c r="BM22" s="397">
        <f t="shared" ca="1" si="6"/>
        <v>1</v>
      </c>
      <c r="BN22" s="397">
        <f t="shared" ca="1" si="7"/>
        <v>0</v>
      </c>
      <c r="BO22" s="397">
        <f t="shared" ca="1" si="8"/>
        <v>0</v>
      </c>
      <c r="BP22" s="397">
        <f t="shared" ca="1" si="9"/>
        <v>0</v>
      </c>
      <c r="BQ22" s="397">
        <f t="shared" ca="1" si="10"/>
        <v>1</v>
      </c>
      <c r="BR22" s="397">
        <f t="shared" ca="1" si="11"/>
        <v>0</v>
      </c>
      <c r="BS22" s="397">
        <f t="shared" ca="1" si="12"/>
        <v>0</v>
      </c>
      <c r="BT22" s="397">
        <f t="shared" ca="1" si="13"/>
        <v>0</v>
      </c>
      <c r="BU22" s="397">
        <f t="shared" ca="1" si="14"/>
        <v>1</v>
      </c>
      <c r="BV22" s="397">
        <f t="shared" ca="1" si="15"/>
        <v>0</v>
      </c>
      <c r="BW22" s="397">
        <f t="shared" ca="1" si="16"/>
        <v>0</v>
      </c>
      <c r="BX22" s="397">
        <f t="shared" ca="1" si="17"/>
        <v>0</v>
      </c>
      <c r="BY22" s="397">
        <f t="shared" ca="1" si="18"/>
        <v>0</v>
      </c>
      <c r="BZ22" s="397">
        <f t="shared" ca="1" si="19"/>
        <v>0</v>
      </c>
      <c r="CA22" s="397">
        <f t="shared" ca="1" si="20"/>
        <v>0</v>
      </c>
      <c r="CB22" s="397">
        <f t="shared" ca="1" si="21"/>
        <v>0</v>
      </c>
      <c r="CC22" s="397">
        <f t="shared" ca="1" si="22"/>
        <v>0</v>
      </c>
      <c r="CD22" s="397">
        <f t="shared" ca="1" si="23"/>
        <v>0</v>
      </c>
      <c r="CE22" s="397">
        <f t="shared" ca="1" si="24"/>
        <v>0</v>
      </c>
      <c r="CF22" s="397">
        <f t="shared" ca="1" si="25"/>
        <v>0</v>
      </c>
      <c r="CG22" s="397">
        <f t="shared" ca="1" si="26"/>
        <v>0</v>
      </c>
      <c r="CH22" s="397">
        <f t="shared" ca="1" si="27"/>
        <v>0</v>
      </c>
      <c r="CI22" s="397">
        <f t="shared" ca="1" si="28"/>
        <v>0</v>
      </c>
      <c r="CJ22" s="397">
        <f t="shared" ca="1" si="29"/>
        <v>0</v>
      </c>
      <c r="CK22" s="397">
        <f t="shared" ca="1" si="30"/>
        <v>0</v>
      </c>
      <c r="CL22" s="397">
        <f t="shared" ca="1" si="31"/>
        <v>0</v>
      </c>
      <c r="CM22" s="397">
        <f t="shared" ca="1" si="32"/>
        <v>0</v>
      </c>
      <c r="CN22" s="397">
        <f t="shared" ca="1" si="33"/>
        <v>0</v>
      </c>
      <c r="CO22" s="397">
        <f t="shared" ca="1" si="34"/>
        <v>0</v>
      </c>
      <c r="CP22" s="397">
        <f t="shared" ca="1" si="35"/>
        <v>0</v>
      </c>
      <c r="CQ22" s="397">
        <f t="shared" ca="1" si="36"/>
        <v>0</v>
      </c>
      <c r="CR22" s="397">
        <f t="shared" ca="1" si="37"/>
        <v>0</v>
      </c>
      <c r="CS22" s="397">
        <f t="shared" ca="1" si="38"/>
        <v>0</v>
      </c>
      <c r="CT22" s="397">
        <f t="shared" ca="1" si="39"/>
        <v>0</v>
      </c>
      <c r="CU22" s="397">
        <f t="shared" ca="1" si="40"/>
        <v>0</v>
      </c>
      <c r="CV22" s="397">
        <f t="shared" ca="1" si="41"/>
        <v>0</v>
      </c>
      <c r="CW22" s="397">
        <f t="shared" ca="1" si="42"/>
        <v>0</v>
      </c>
      <c r="CX22" s="440">
        <f t="shared" ca="1" si="43"/>
        <v>0</v>
      </c>
      <c r="CY22" s="335">
        <f t="shared" si="44"/>
        <v>0</v>
      </c>
      <c r="CZ22" s="16"/>
      <c r="DA22" s="16"/>
      <c r="DB22" s="16"/>
      <c r="DC22" s="16"/>
      <c r="DD22" s="16"/>
      <c r="DE22" s="16"/>
      <c r="DF22" s="16"/>
      <c r="DG22" s="16"/>
      <c r="DH22" s="16"/>
    </row>
    <row r="23" spans="1:112" s="77" customFormat="1" ht="15" customHeight="1">
      <c r="A23" s="266" t="str">
        <f t="shared" ca="1" si="45"/>
        <v>Tm13</v>
      </c>
      <c r="B23" s="462"/>
      <c r="C23" s="402" t="str">
        <f ca="1">IF(DrawFinder!AB23=0,"",DrawFinder!AB23)</f>
        <v>-</v>
      </c>
      <c r="D23" s="402">
        <f ca="1">IF(DrawFinder!AC23=0,"",DrawFinder!AC23)</f>
        <v>-3</v>
      </c>
      <c r="E23" s="402">
        <f ca="1">IF(DrawFinder!AD23=0,"",DrawFinder!AD23)</f>
        <v>1</v>
      </c>
      <c r="F23" s="402" t="str">
        <f ca="1">IF(DrawFinder!AE23=0,"",DrawFinder!AE23)</f>
        <v>-</v>
      </c>
      <c r="G23" s="402" t="str">
        <f ca="1">IF(DrawFinder!AF23=0,"",DrawFinder!AF23)</f>
        <v>-</v>
      </c>
      <c r="H23" s="402">
        <f ca="1">IF(DrawFinder!AG23=0,"",DrawFinder!AG23)</f>
        <v>-5</v>
      </c>
      <c r="I23" s="402">
        <f ca="1">IF(DrawFinder!AH23=0,"",DrawFinder!AH23)</f>
        <v>4</v>
      </c>
      <c r="J23" s="402" t="str">
        <f ca="1">IF(DrawFinder!AI23=0,"",DrawFinder!AI23)</f>
        <v>-</v>
      </c>
      <c r="K23" s="402" t="str">
        <f ca="1">IF(DrawFinder!AJ23=0,"",DrawFinder!AJ23)</f>
        <v>-</v>
      </c>
      <c r="L23" s="402">
        <f ca="1">IF(DrawFinder!AK23=0,"",DrawFinder!AK23)</f>
        <v>3</v>
      </c>
      <c r="M23" s="402">
        <f ca="1">IF(DrawFinder!AL23=0,"",DrawFinder!AL23)</f>
        <v>-6</v>
      </c>
      <c r="N23" s="402" t="str">
        <f ca="1">IF(DrawFinder!AM23=0,"",DrawFinder!AM23)</f>
        <v>-</v>
      </c>
      <c r="O23" s="402" t="str">
        <f ca="1">IF(DrawFinder!AN23=0,"",DrawFinder!AN23)</f>
        <v>-</v>
      </c>
      <c r="P23" s="402">
        <f ca="1">IF(DrawFinder!AO23=0,"",DrawFinder!AO23)</f>
        <v>-2</v>
      </c>
      <c r="Q23" s="402" t="str">
        <f ca="1">IF(DrawFinder!AP23=0,"",DrawFinder!AP23)</f>
        <v/>
      </c>
      <c r="R23" s="402" t="str">
        <f ca="1">IF(DrawFinder!AQ23=0,"",DrawFinder!AQ23)</f>
        <v/>
      </c>
      <c r="S23" s="402" t="str">
        <f ca="1">IF(DrawFinder!AR23=0,"",DrawFinder!AR23)</f>
        <v/>
      </c>
      <c r="T23" s="402" t="str">
        <f ca="1">IF(DrawFinder!AS23=0,"",DrawFinder!AS23)</f>
        <v/>
      </c>
      <c r="U23" s="402" t="str">
        <f ca="1">IF(DrawFinder!AT23=0,"",DrawFinder!AT23)</f>
        <v/>
      </c>
      <c r="V23" s="402" t="str">
        <f ca="1">IF(DrawFinder!AU23=0,"",DrawFinder!AU23)</f>
        <v/>
      </c>
      <c r="W23" s="402" t="str">
        <f ca="1">IF(DrawFinder!AV23=0,"",DrawFinder!AV23)</f>
        <v/>
      </c>
      <c r="X23" s="402" t="str">
        <f ca="1">IF(DrawFinder!AW23=0,"",DrawFinder!AW23)</f>
        <v/>
      </c>
      <c r="Y23" s="402" t="str">
        <f ca="1">IF(DrawFinder!AX23=0,"",DrawFinder!AX23)</f>
        <v/>
      </c>
      <c r="Z23" s="402" t="str">
        <f ca="1">IF(DrawFinder!AY23=0,"",DrawFinder!AY23)</f>
        <v/>
      </c>
      <c r="AA23" s="402" t="str">
        <f ca="1">IF(DrawFinder!AZ23=0,"",DrawFinder!AZ23)</f>
        <v/>
      </c>
      <c r="AB23" s="402" t="str">
        <f ca="1">IF(DrawFinder!BA23=0,"",DrawFinder!BA23)</f>
        <v/>
      </c>
      <c r="AC23" s="402" t="str">
        <f ca="1">IF(DrawFinder!BB23=0,"",DrawFinder!BB23)</f>
        <v/>
      </c>
      <c r="AD23" s="402" t="str">
        <f ca="1">IF(DrawFinder!BC23=0,"",DrawFinder!BC23)</f>
        <v/>
      </c>
      <c r="AE23" s="402" t="str">
        <f ca="1">IF(DrawFinder!BD23=0,"",DrawFinder!BD23)</f>
        <v/>
      </c>
      <c r="AF23" s="402" t="str">
        <f ca="1">IF(DrawFinder!BE23=0,"",DrawFinder!BE23)</f>
        <v/>
      </c>
      <c r="AG23" s="402" t="str">
        <f ca="1">IF(DrawFinder!BF23=0,"",DrawFinder!BF23)</f>
        <v/>
      </c>
      <c r="AH23" s="402" t="str">
        <f ca="1">IF(DrawFinder!BG23=0,"",DrawFinder!BG23)</f>
        <v/>
      </c>
      <c r="AI23" s="402" t="str">
        <f ca="1">IF(DrawFinder!BH23=0,"",DrawFinder!BH23)</f>
        <v/>
      </c>
      <c r="AJ23" s="402" t="str">
        <f ca="1">IF(DrawFinder!BI23=0,"",DrawFinder!BI23)</f>
        <v/>
      </c>
      <c r="AK23" s="402" t="str">
        <f ca="1">IF(DrawFinder!BJ23=0,"",DrawFinder!BJ23)</f>
        <v/>
      </c>
      <c r="AL23" s="402" t="str">
        <f ca="1">IF(DrawFinder!BK23=0,"",DrawFinder!BK23)</f>
        <v/>
      </c>
      <c r="AM23" s="402" t="str">
        <f ca="1">IF(DrawFinder!BL23=0,"",DrawFinder!BL23)</f>
        <v/>
      </c>
      <c r="AN23" s="402" t="str">
        <f ca="1">IF(DrawFinder!BM23=0,"",DrawFinder!BM23)</f>
        <v/>
      </c>
      <c r="AO23" s="402" t="str">
        <f ca="1">IF(DrawFinder!BN23=0,"",DrawFinder!BN23)</f>
        <v/>
      </c>
      <c r="AP23" s="400" t="str">
        <f ca="1">IF(DrawFinder!BO23=0,"",DrawFinder!BO23)</f>
        <v/>
      </c>
      <c r="AQ23" s="81">
        <f>IF(DrawFinder!Y23=0,"",DrawFinder!Y23)</f>
        <v>2</v>
      </c>
      <c r="AR23" s="79" t="str">
        <f t="shared" ca="1" si="46"/>
        <v>Tm13</v>
      </c>
      <c r="AS23" s="81">
        <f t="shared" ca="1" si="47"/>
        <v>13</v>
      </c>
      <c r="AT23" s="84">
        <f t="shared" ca="1" si="48"/>
        <v>7</v>
      </c>
      <c r="AU23" s="336">
        <f t="shared" ca="1" si="49"/>
        <v>1</v>
      </c>
      <c r="AV23" s="336">
        <f t="shared" ca="1" si="0"/>
        <v>1</v>
      </c>
      <c r="AW23" s="336">
        <f t="shared" ca="1" si="0"/>
        <v>2</v>
      </c>
      <c r="AX23" s="336">
        <f t="shared" ca="1" si="0"/>
        <v>1</v>
      </c>
      <c r="AY23" s="336">
        <f t="shared" ca="1" si="0"/>
        <v>1</v>
      </c>
      <c r="AZ23" s="336">
        <f t="shared" ca="1" si="0"/>
        <v>1</v>
      </c>
      <c r="BA23" s="336">
        <f t="shared" ca="1" si="0"/>
        <v>0</v>
      </c>
      <c r="BB23" s="336">
        <f t="shared" ca="1" si="0"/>
        <v>0</v>
      </c>
      <c r="BC23" s="336">
        <f t="shared" ca="1" si="0"/>
        <v>0</v>
      </c>
      <c r="BD23" s="336">
        <f t="shared" ca="1" si="0"/>
        <v>0</v>
      </c>
      <c r="BE23" s="83">
        <f t="shared" ca="1" si="1"/>
        <v>3</v>
      </c>
      <c r="BF23" s="84">
        <f t="shared" ca="1" si="50"/>
        <v>4</v>
      </c>
      <c r="BH23" s="407">
        <f t="shared" ca="1" si="2"/>
        <v>4</v>
      </c>
      <c r="BI23" s="408">
        <f t="shared" ca="1" si="3"/>
        <v>3</v>
      </c>
      <c r="BK23" s="439">
        <f t="shared" ca="1" si="4"/>
        <v>0</v>
      </c>
      <c r="BL23" s="397">
        <f t="shared" ca="1" si="5"/>
        <v>0</v>
      </c>
      <c r="BM23" s="397">
        <f t="shared" ca="1" si="6"/>
        <v>1</v>
      </c>
      <c r="BN23" s="397">
        <f t="shared" ca="1" si="7"/>
        <v>0</v>
      </c>
      <c r="BO23" s="397">
        <f t="shared" ca="1" si="8"/>
        <v>0</v>
      </c>
      <c r="BP23" s="397">
        <f t="shared" ca="1" si="9"/>
        <v>0</v>
      </c>
      <c r="BQ23" s="397">
        <f t="shared" ca="1" si="10"/>
        <v>1</v>
      </c>
      <c r="BR23" s="397">
        <f t="shared" ca="1" si="11"/>
        <v>0</v>
      </c>
      <c r="BS23" s="397">
        <f t="shared" ca="1" si="12"/>
        <v>0</v>
      </c>
      <c r="BT23" s="397">
        <f t="shared" ca="1" si="13"/>
        <v>0</v>
      </c>
      <c r="BU23" s="397">
        <f t="shared" ca="1" si="14"/>
        <v>1</v>
      </c>
      <c r="BV23" s="397">
        <f t="shared" ca="1" si="15"/>
        <v>0</v>
      </c>
      <c r="BW23" s="397">
        <f t="shared" ca="1" si="16"/>
        <v>0</v>
      </c>
      <c r="BX23" s="397">
        <f t="shared" ca="1" si="17"/>
        <v>0</v>
      </c>
      <c r="BY23" s="397">
        <f t="shared" ca="1" si="18"/>
        <v>0</v>
      </c>
      <c r="BZ23" s="397">
        <f t="shared" ca="1" si="19"/>
        <v>0</v>
      </c>
      <c r="CA23" s="397">
        <f t="shared" ca="1" si="20"/>
        <v>0</v>
      </c>
      <c r="CB23" s="397">
        <f t="shared" ca="1" si="21"/>
        <v>0</v>
      </c>
      <c r="CC23" s="397">
        <f t="shared" ca="1" si="22"/>
        <v>0</v>
      </c>
      <c r="CD23" s="397">
        <f t="shared" ca="1" si="23"/>
        <v>0</v>
      </c>
      <c r="CE23" s="397">
        <f t="shared" ca="1" si="24"/>
        <v>0</v>
      </c>
      <c r="CF23" s="397">
        <f t="shared" ca="1" si="25"/>
        <v>0</v>
      </c>
      <c r="CG23" s="397">
        <f t="shared" ca="1" si="26"/>
        <v>0</v>
      </c>
      <c r="CH23" s="397">
        <f t="shared" ca="1" si="27"/>
        <v>0</v>
      </c>
      <c r="CI23" s="397">
        <f t="shared" ca="1" si="28"/>
        <v>0</v>
      </c>
      <c r="CJ23" s="397">
        <f t="shared" ca="1" si="29"/>
        <v>0</v>
      </c>
      <c r="CK23" s="397">
        <f t="shared" ca="1" si="30"/>
        <v>0</v>
      </c>
      <c r="CL23" s="397">
        <f t="shared" ca="1" si="31"/>
        <v>0</v>
      </c>
      <c r="CM23" s="397">
        <f t="shared" ca="1" si="32"/>
        <v>0</v>
      </c>
      <c r="CN23" s="397">
        <f t="shared" ca="1" si="33"/>
        <v>0</v>
      </c>
      <c r="CO23" s="397">
        <f t="shared" ca="1" si="34"/>
        <v>0</v>
      </c>
      <c r="CP23" s="397">
        <f t="shared" ca="1" si="35"/>
        <v>0</v>
      </c>
      <c r="CQ23" s="397">
        <f t="shared" ca="1" si="36"/>
        <v>0</v>
      </c>
      <c r="CR23" s="397">
        <f t="shared" ca="1" si="37"/>
        <v>0</v>
      </c>
      <c r="CS23" s="397">
        <f t="shared" ca="1" si="38"/>
        <v>0</v>
      </c>
      <c r="CT23" s="397">
        <f t="shared" ca="1" si="39"/>
        <v>0</v>
      </c>
      <c r="CU23" s="397">
        <f t="shared" ca="1" si="40"/>
        <v>0</v>
      </c>
      <c r="CV23" s="397">
        <f t="shared" ca="1" si="41"/>
        <v>0</v>
      </c>
      <c r="CW23" s="397">
        <f t="shared" ca="1" si="42"/>
        <v>0</v>
      </c>
      <c r="CX23" s="440">
        <f t="shared" ca="1" si="43"/>
        <v>0</v>
      </c>
      <c r="CY23" s="335">
        <f t="shared" si="44"/>
        <v>0</v>
      </c>
      <c r="CZ23" s="16"/>
      <c r="DA23" s="16"/>
      <c r="DB23" s="16"/>
      <c r="DC23" s="16"/>
      <c r="DD23" s="16"/>
      <c r="DE23" s="16"/>
      <c r="DF23" s="16"/>
      <c r="DG23" s="16"/>
      <c r="DH23" s="16"/>
    </row>
    <row r="24" spans="1:112" s="77" customFormat="1" ht="15" customHeight="1">
      <c r="A24" s="266" t="str">
        <f t="shared" ca="1" si="45"/>
        <v>Tm14</v>
      </c>
      <c r="B24" s="462"/>
      <c r="C24" s="402" t="str">
        <f ca="1">IF(DrawFinder!AB24=0,"",DrawFinder!AB24)</f>
        <v>-</v>
      </c>
      <c r="D24" s="402">
        <f ca="1">IF(DrawFinder!AC24=0,"",DrawFinder!AC24)</f>
        <v>-4</v>
      </c>
      <c r="E24" s="402">
        <f ca="1">IF(DrawFinder!AD24=0,"",DrawFinder!AD24)</f>
        <v>6</v>
      </c>
      <c r="F24" s="402" t="str">
        <f ca="1">IF(DrawFinder!AE24=0,"",DrawFinder!AE24)</f>
        <v>-</v>
      </c>
      <c r="G24" s="402" t="str">
        <f ca="1">IF(DrawFinder!AF24=0,"",DrawFinder!AF24)</f>
        <v>-</v>
      </c>
      <c r="H24" s="402">
        <f ca="1">IF(DrawFinder!AG24=0,"",DrawFinder!AG24)</f>
        <v>-3</v>
      </c>
      <c r="I24" s="402">
        <f ca="1">IF(DrawFinder!AH24=0,"",DrawFinder!AH24)</f>
        <v>5</v>
      </c>
      <c r="J24" s="402" t="str">
        <f ca="1">IF(DrawFinder!AI24=0,"",DrawFinder!AI24)</f>
        <v>-</v>
      </c>
      <c r="K24" s="402" t="str">
        <f ca="1">IF(DrawFinder!AJ24=0,"",DrawFinder!AJ24)</f>
        <v>-</v>
      </c>
      <c r="L24" s="402">
        <f ca="1">IF(DrawFinder!AK24=0,"",DrawFinder!AK24)</f>
        <v>4</v>
      </c>
      <c r="M24" s="402">
        <f ca="1">IF(DrawFinder!AL24=0,"",DrawFinder!AL24)</f>
        <v>-1</v>
      </c>
      <c r="N24" s="402" t="str">
        <f ca="1">IF(DrawFinder!AM24=0,"",DrawFinder!AM24)</f>
        <v>-</v>
      </c>
      <c r="O24" s="402" t="str">
        <f ca="1">IF(DrawFinder!AN24=0,"",DrawFinder!AN24)</f>
        <v>-</v>
      </c>
      <c r="P24" s="402">
        <f ca="1">IF(DrawFinder!AO24=0,"",DrawFinder!AO24)</f>
        <v>2</v>
      </c>
      <c r="Q24" s="402" t="str">
        <f ca="1">IF(DrawFinder!AP24=0,"",DrawFinder!AP24)</f>
        <v/>
      </c>
      <c r="R24" s="402" t="str">
        <f ca="1">IF(DrawFinder!AQ24=0,"",DrawFinder!AQ24)</f>
        <v/>
      </c>
      <c r="S24" s="402" t="str">
        <f ca="1">IF(DrawFinder!AR24=0,"",DrawFinder!AR24)</f>
        <v/>
      </c>
      <c r="T24" s="402" t="str">
        <f ca="1">IF(DrawFinder!AS24=0,"",DrawFinder!AS24)</f>
        <v/>
      </c>
      <c r="U24" s="402" t="str">
        <f ca="1">IF(DrawFinder!AT24=0,"",DrawFinder!AT24)</f>
        <v/>
      </c>
      <c r="V24" s="402" t="str">
        <f ca="1">IF(DrawFinder!AU24=0,"",DrawFinder!AU24)</f>
        <v/>
      </c>
      <c r="W24" s="402" t="str">
        <f ca="1">IF(DrawFinder!AV24=0,"",DrawFinder!AV24)</f>
        <v/>
      </c>
      <c r="X24" s="402" t="str">
        <f ca="1">IF(DrawFinder!AW24=0,"",DrawFinder!AW24)</f>
        <v/>
      </c>
      <c r="Y24" s="402" t="str">
        <f ca="1">IF(DrawFinder!AX24=0,"",DrawFinder!AX24)</f>
        <v/>
      </c>
      <c r="Z24" s="402" t="str">
        <f ca="1">IF(DrawFinder!AY24=0,"",DrawFinder!AY24)</f>
        <v/>
      </c>
      <c r="AA24" s="402" t="str">
        <f ca="1">IF(DrawFinder!AZ24=0,"",DrawFinder!AZ24)</f>
        <v/>
      </c>
      <c r="AB24" s="402" t="str">
        <f ca="1">IF(DrawFinder!BA24=0,"",DrawFinder!BA24)</f>
        <v/>
      </c>
      <c r="AC24" s="402" t="str">
        <f ca="1">IF(DrawFinder!BB24=0,"",DrawFinder!BB24)</f>
        <v/>
      </c>
      <c r="AD24" s="402" t="str">
        <f ca="1">IF(DrawFinder!BC24=0,"",DrawFinder!BC24)</f>
        <v/>
      </c>
      <c r="AE24" s="402" t="str">
        <f ca="1">IF(DrawFinder!BD24=0,"",DrawFinder!BD24)</f>
        <v/>
      </c>
      <c r="AF24" s="402" t="str">
        <f ca="1">IF(DrawFinder!BE24=0,"",DrawFinder!BE24)</f>
        <v/>
      </c>
      <c r="AG24" s="402" t="str">
        <f ca="1">IF(DrawFinder!BF24=0,"",DrawFinder!BF24)</f>
        <v/>
      </c>
      <c r="AH24" s="402" t="str">
        <f ca="1">IF(DrawFinder!BG24=0,"",DrawFinder!BG24)</f>
        <v/>
      </c>
      <c r="AI24" s="402" t="str">
        <f ca="1">IF(DrawFinder!BH24=0,"",DrawFinder!BH24)</f>
        <v/>
      </c>
      <c r="AJ24" s="402" t="str">
        <f ca="1">IF(DrawFinder!BI24=0,"",DrawFinder!BI24)</f>
        <v/>
      </c>
      <c r="AK24" s="402" t="str">
        <f ca="1">IF(DrawFinder!BJ24=0,"",DrawFinder!BJ24)</f>
        <v/>
      </c>
      <c r="AL24" s="402" t="str">
        <f ca="1">IF(DrawFinder!BK24=0,"",DrawFinder!BK24)</f>
        <v/>
      </c>
      <c r="AM24" s="402" t="str">
        <f ca="1">IF(DrawFinder!BL24=0,"",DrawFinder!BL24)</f>
        <v/>
      </c>
      <c r="AN24" s="402" t="str">
        <f ca="1">IF(DrawFinder!BM24=0,"",DrawFinder!BM24)</f>
        <v/>
      </c>
      <c r="AO24" s="402" t="str">
        <f ca="1">IF(DrawFinder!BN24=0,"",DrawFinder!BN24)</f>
        <v/>
      </c>
      <c r="AP24" s="400" t="str">
        <f ca="1">IF(DrawFinder!BO24=0,"",DrawFinder!BO24)</f>
        <v/>
      </c>
      <c r="AQ24" s="81">
        <f>IF(DrawFinder!Y24=0,"",DrawFinder!Y24)</f>
        <v>2</v>
      </c>
      <c r="AR24" s="79" t="str">
        <f t="shared" ca="1" si="46"/>
        <v>Tm14</v>
      </c>
      <c r="AS24" s="81">
        <f t="shared" ca="1" si="47"/>
        <v>14</v>
      </c>
      <c r="AT24" s="84">
        <f t="shared" ca="1" si="48"/>
        <v>7</v>
      </c>
      <c r="AU24" s="336">
        <f t="shared" ca="1" si="49"/>
        <v>1</v>
      </c>
      <c r="AV24" s="336">
        <f t="shared" ca="1" si="0"/>
        <v>1</v>
      </c>
      <c r="AW24" s="336">
        <f t="shared" ca="1" si="0"/>
        <v>1</v>
      </c>
      <c r="AX24" s="336">
        <f t="shared" ca="1" si="0"/>
        <v>2</v>
      </c>
      <c r="AY24" s="336">
        <f t="shared" ca="1" si="0"/>
        <v>1</v>
      </c>
      <c r="AZ24" s="336">
        <f t="shared" ca="1" si="0"/>
        <v>1</v>
      </c>
      <c r="BA24" s="336">
        <f t="shared" ca="1" si="0"/>
        <v>0</v>
      </c>
      <c r="BB24" s="336">
        <f t="shared" ca="1" si="0"/>
        <v>0</v>
      </c>
      <c r="BC24" s="336">
        <f t="shared" ca="1" si="0"/>
        <v>0</v>
      </c>
      <c r="BD24" s="336">
        <f t="shared" ca="1" si="0"/>
        <v>0</v>
      </c>
      <c r="BE24" s="83">
        <f t="shared" ca="1" si="1"/>
        <v>3</v>
      </c>
      <c r="BF24" s="84">
        <f t="shared" ca="1" si="50"/>
        <v>4</v>
      </c>
      <c r="BH24" s="407">
        <f t="shared" ca="1" si="2"/>
        <v>3</v>
      </c>
      <c r="BI24" s="408">
        <f t="shared" ca="1" si="3"/>
        <v>4</v>
      </c>
      <c r="BK24" s="439">
        <f t="shared" ca="1" si="4"/>
        <v>0</v>
      </c>
      <c r="BL24" s="397">
        <f t="shared" ca="1" si="5"/>
        <v>0</v>
      </c>
      <c r="BM24" s="397">
        <f t="shared" ca="1" si="6"/>
        <v>1</v>
      </c>
      <c r="BN24" s="397">
        <f t="shared" ca="1" si="7"/>
        <v>0</v>
      </c>
      <c r="BO24" s="397">
        <f t="shared" ca="1" si="8"/>
        <v>0</v>
      </c>
      <c r="BP24" s="397">
        <f t="shared" ca="1" si="9"/>
        <v>0</v>
      </c>
      <c r="BQ24" s="397">
        <f t="shared" ca="1" si="10"/>
        <v>1</v>
      </c>
      <c r="BR24" s="397">
        <f t="shared" ca="1" si="11"/>
        <v>0</v>
      </c>
      <c r="BS24" s="397">
        <f t="shared" ca="1" si="12"/>
        <v>0</v>
      </c>
      <c r="BT24" s="397">
        <f t="shared" ca="1" si="13"/>
        <v>0</v>
      </c>
      <c r="BU24" s="397">
        <f t="shared" ca="1" si="14"/>
        <v>1</v>
      </c>
      <c r="BV24" s="397">
        <f t="shared" ca="1" si="15"/>
        <v>0</v>
      </c>
      <c r="BW24" s="397">
        <f t="shared" ca="1" si="16"/>
        <v>0</v>
      </c>
      <c r="BX24" s="397">
        <f t="shared" ca="1" si="17"/>
        <v>0</v>
      </c>
      <c r="BY24" s="397">
        <f t="shared" ca="1" si="18"/>
        <v>0</v>
      </c>
      <c r="BZ24" s="397">
        <f t="shared" ca="1" si="19"/>
        <v>0</v>
      </c>
      <c r="CA24" s="397">
        <f t="shared" ca="1" si="20"/>
        <v>0</v>
      </c>
      <c r="CB24" s="397">
        <f t="shared" ca="1" si="21"/>
        <v>0</v>
      </c>
      <c r="CC24" s="397">
        <f t="shared" ca="1" si="22"/>
        <v>0</v>
      </c>
      <c r="CD24" s="397">
        <f t="shared" ca="1" si="23"/>
        <v>0</v>
      </c>
      <c r="CE24" s="397">
        <f t="shared" ca="1" si="24"/>
        <v>0</v>
      </c>
      <c r="CF24" s="397">
        <f t="shared" ca="1" si="25"/>
        <v>0</v>
      </c>
      <c r="CG24" s="397">
        <f t="shared" ca="1" si="26"/>
        <v>0</v>
      </c>
      <c r="CH24" s="397">
        <f t="shared" ca="1" si="27"/>
        <v>0</v>
      </c>
      <c r="CI24" s="397">
        <f t="shared" ca="1" si="28"/>
        <v>0</v>
      </c>
      <c r="CJ24" s="397">
        <f t="shared" ca="1" si="29"/>
        <v>0</v>
      </c>
      <c r="CK24" s="397">
        <f t="shared" ca="1" si="30"/>
        <v>0</v>
      </c>
      <c r="CL24" s="397">
        <f t="shared" ca="1" si="31"/>
        <v>0</v>
      </c>
      <c r="CM24" s="397">
        <f t="shared" ca="1" si="32"/>
        <v>0</v>
      </c>
      <c r="CN24" s="397">
        <f t="shared" ca="1" si="33"/>
        <v>0</v>
      </c>
      <c r="CO24" s="397">
        <f t="shared" ca="1" si="34"/>
        <v>0</v>
      </c>
      <c r="CP24" s="397">
        <f t="shared" ca="1" si="35"/>
        <v>0</v>
      </c>
      <c r="CQ24" s="397">
        <f t="shared" ca="1" si="36"/>
        <v>0</v>
      </c>
      <c r="CR24" s="397">
        <f t="shared" ca="1" si="37"/>
        <v>0</v>
      </c>
      <c r="CS24" s="397">
        <f t="shared" ca="1" si="38"/>
        <v>0</v>
      </c>
      <c r="CT24" s="397">
        <f t="shared" ca="1" si="39"/>
        <v>0</v>
      </c>
      <c r="CU24" s="397">
        <f t="shared" ca="1" si="40"/>
        <v>0</v>
      </c>
      <c r="CV24" s="397">
        <f t="shared" ca="1" si="41"/>
        <v>0</v>
      </c>
      <c r="CW24" s="397">
        <f t="shared" ca="1" si="42"/>
        <v>0</v>
      </c>
      <c r="CX24" s="440">
        <f t="shared" ca="1" si="43"/>
        <v>0</v>
      </c>
      <c r="CY24" s="335">
        <f t="shared" si="44"/>
        <v>0</v>
      </c>
      <c r="CZ24" s="16"/>
      <c r="DA24" s="16"/>
      <c r="DB24" s="16"/>
      <c r="DC24" s="16"/>
      <c r="DD24" s="16"/>
      <c r="DE24" s="16"/>
      <c r="DF24" s="16"/>
      <c r="DG24" s="16"/>
      <c r="DH24" s="16"/>
    </row>
    <row r="25" spans="1:112" s="77" customFormat="1" ht="15" customHeight="1">
      <c r="A25" s="266" t="str">
        <f t="shared" ca="1" si="45"/>
        <v>Tm15</v>
      </c>
      <c r="B25" s="462"/>
      <c r="C25" s="402" t="str">
        <f ca="1">IF(DrawFinder!AB25=0,"",DrawFinder!AB25)</f>
        <v>-</v>
      </c>
      <c r="D25" s="402">
        <f ca="1">IF(DrawFinder!AC25=0,"",DrawFinder!AC25)</f>
        <v>-5</v>
      </c>
      <c r="E25" s="402">
        <f ca="1">IF(DrawFinder!AD25=0,"",DrawFinder!AD25)</f>
        <v>2</v>
      </c>
      <c r="F25" s="402" t="str">
        <f ca="1">IF(DrawFinder!AE25=0,"",DrawFinder!AE25)</f>
        <v>-</v>
      </c>
      <c r="G25" s="402" t="str">
        <f ca="1">IF(DrawFinder!AF25=0,"",DrawFinder!AF25)</f>
        <v>-</v>
      </c>
      <c r="H25" s="402">
        <f ca="1">IF(DrawFinder!AG25=0,"",DrawFinder!AG25)</f>
        <v>-1</v>
      </c>
      <c r="I25" s="402">
        <f ca="1">IF(DrawFinder!AH25=0,"",DrawFinder!AH25)</f>
        <v>3</v>
      </c>
      <c r="J25" s="402" t="str">
        <f ca="1">IF(DrawFinder!AI25=0,"",DrawFinder!AI25)</f>
        <v>-</v>
      </c>
      <c r="K25" s="402" t="str">
        <f ca="1">IF(DrawFinder!AJ25=0,"",DrawFinder!AJ25)</f>
        <v>-</v>
      </c>
      <c r="L25" s="402">
        <f ca="1">IF(DrawFinder!AK25=0,"",DrawFinder!AK25)</f>
        <v>-4</v>
      </c>
      <c r="M25" s="402">
        <f ca="1">IF(DrawFinder!AL25=0,"",DrawFinder!AL25)</f>
        <v>6</v>
      </c>
      <c r="N25" s="402" t="str">
        <f ca="1">IF(DrawFinder!AM25=0,"",DrawFinder!AM25)</f>
        <v>-</v>
      </c>
      <c r="O25" s="402" t="str">
        <f ca="1">IF(DrawFinder!AN25=0,"",DrawFinder!AN25)</f>
        <v>-</v>
      </c>
      <c r="P25" s="402">
        <f ca="1">IF(DrawFinder!AO25=0,"",DrawFinder!AO25)</f>
        <v>5</v>
      </c>
      <c r="Q25" s="402" t="str">
        <f ca="1">IF(DrawFinder!AP25=0,"",DrawFinder!AP25)</f>
        <v/>
      </c>
      <c r="R25" s="402" t="str">
        <f ca="1">IF(DrawFinder!AQ25=0,"",DrawFinder!AQ25)</f>
        <v/>
      </c>
      <c r="S25" s="402" t="str">
        <f ca="1">IF(DrawFinder!AR25=0,"",DrawFinder!AR25)</f>
        <v/>
      </c>
      <c r="T25" s="402" t="str">
        <f ca="1">IF(DrawFinder!AS25=0,"",DrawFinder!AS25)</f>
        <v/>
      </c>
      <c r="U25" s="402" t="str">
        <f ca="1">IF(DrawFinder!AT25=0,"",DrawFinder!AT25)</f>
        <v/>
      </c>
      <c r="V25" s="402" t="str">
        <f ca="1">IF(DrawFinder!AU25=0,"",DrawFinder!AU25)</f>
        <v/>
      </c>
      <c r="W25" s="402" t="str">
        <f ca="1">IF(DrawFinder!AV25=0,"",DrawFinder!AV25)</f>
        <v/>
      </c>
      <c r="X25" s="402" t="str">
        <f ca="1">IF(DrawFinder!AW25=0,"",DrawFinder!AW25)</f>
        <v/>
      </c>
      <c r="Y25" s="402" t="str">
        <f ca="1">IF(DrawFinder!AX25=0,"",DrawFinder!AX25)</f>
        <v/>
      </c>
      <c r="Z25" s="402" t="str">
        <f ca="1">IF(DrawFinder!AY25=0,"",DrawFinder!AY25)</f>
        <v/>
      </c>
      <c r="AA25" s="402" t="str">
        <f ca="1">IF(DrawFinder!AZ25=0,"",DrawFinder!AZ25)</f>
        <v/>
      </c>
      <c r="AB25" s="402" t="str">
        <f ca="1">IF(DrawFinder!BA25=0,"",DrawFinder!BA25)</f>
        <v/>
      </c>
      <c r="AC25" s="402" t="str">
        <f ca="1">IF(DrawFinder!BB25=0,"",DrawFinder!BB25)</f>
        <v/>
      </c>
      <c r="AD25" s="402" t="str">
        <f ca="1">IF(DrawFinder!BC25=0,"",DrawFinder!BC25)</f>
        <v/>
      </c>
      <c r="AE25" s="402" t="str">
        <f ca="1">IF(DrawFinder!BD25=0,"",DrawFinder!BD25)</f>
        <v/>
      </c>
      <c r="AF25" s="402" t="str">
        <f ca="1">IF(DrawFinder!BE25=0,"",DrawFinder!BE25)</f>
        <v/>
      </c>
      <c r="AG25" s="402" t="str">
        <f ca="1">IF(DrawFinder!BF25=0,"",DrawFinder!BF25)</f>
        <v/>
      </c>
      <c r="AH25" s="402" t="str">
        <f ca="1">IF(DrawFinder!BG25=0,"",DrawFinder!BG25)</f>
        <v/>
      </c>
      <c r="AI25" s="402" t="str">
        <f ca="1">IF(DrawFinder!BH25=0,"",DrawFinder!BH25)</f>
        <v/>
      </c>
      <c r="AJ25" s="402" t="str">
        <f ca="1">IF(DrawFinder!BI25=0,"",DrawFinder!BI25)</f>
        <v/>
      </c>
      <c r="AK25" s="402" t="str">
        <f ca="1">IF(DrawFinder!BJ25=0,"",DrawFinder!BJ25)</f>
        <v/>
      </c>
      <c r="AL25" s="402" t="str">
        <f ca="1">IF(DrawFinder!BK25=0,"",DrawFinder!BK25)</f>
        <v/>
      </c>
      <c r="AM25" s="402" t="str">
        <f ca="1">IF(DrawFinder!BL25=0,"",DrawFinder!BL25)</f>
        <v/>
      </c>
      <c r="AN25" s="402" t="str">
        <f ca="1">IF(DrawFinder!BM25=0,"",DrawFinder!BM25)</f>
        <v/>
      </c>
      <c r="AO25" s="402" t="str">
        <f ca="1">IF(DrawFinder!BN25=0,"",DrawFinder!BN25)</f>
        <v/>
      </c>
      <c r="AP25" s="400" t="str">
        <f ca="1">IF(DrawFinder!BO25=0,"",DrawFinder!BO25)</f>
        <v/>
      </c>
      <c r="AQ25" s="81">
        <f>IF(DrawFinder!Y25=0,"",DrawFinder!Y25)</f>
        <v>2</v>
      </c>
      <c r="AR25" s="79" t="str">
        <f t="shared" ca="1" si="46"/>
        <v>Tm15</v>
      </c>
      <c r="AS25" s="81">
        <f t="shared" ca="1" si="47"/>
        <v>15</v>
      </c>
      <c r="AT25" s="84">
        <f t="shared" ca="1" si="48"/>
        <v>7</v>
      </c>
      <c r="AU25" s="336">
        <f t="shared" ca="1" si="49"/>
        <v>1</v>
      </c>
      <c r="AV25" s="336">
        <f t="shared" ca="1" si="0"/>
        <v>1</v>
      </c>
      <c r="AW25" s="336">
        <f t="shared" ca="1" si="0"/>
        <v>1</v>
      </c>
      <c r="AX25" s="336">
        <f t="shared" ca="1" si="0"/>
        <v>1</v>
      </c>
      <c r="AY25" s="336">
        <f t="shared" ca="1" si="0"/>
        <v>2</v>
      </c>
      <c r="AZ25" s="336">
        <f t="shared" ca="1" si="0"/>
        <v>1</v>
      </c>
      <c r="BA25" s="336">
        <f t="shared" ca="1" si="0"/>
        <v>0</v>
      </c>
      <c r="BB25" s="336">
        <f t="shared" ca="1" si="0"/>
        <v>0</v>
      </c>
      <c r="BC25" s="336">
        <f t="shared" ca="1" si="0"/>
        <v>0</v>
      </c>
      <c r="BD25" s="336">
        <f t="shared" ca="1" si="0"/>
        <v>0</v>
      </c>
      <c r="BE25" s="83">
        <f t="shared" ca="1" si="1"/>
        <v>3</v>
      </c>
      <c r="BF25" s="84">
        <f t="shared" ca="1" si="50"/>
        <v>4</v>
      </c>
      <c r="BH25" s="407">
        <f t="shared" ca="1" si="2"/>
        <v>3</v>
      </c>
      <c r="BI25" s="408">
        <f t="shared" ca="1" si="3"/>
        <v>4</v>
      </c>
      <c r="BK25" s="439">
        <f t="shared" ca="1" si="4"/>
        <v>0</v>
      </c>
      <c r="BL25" s="397">
        <f t="shared" ca="1" si="5"/>
        <v>0</v>
      </c>
      <c r="BM25" s="397">
        <f t="shared" ca="1" si="6"/>
        <v>1</v>
      </c>
      <c r="BN25" s="397">
        <f t="shared" ca="1" si="7"/>
        <v>0</v>
      </c>
      <c r="BO25" s="397">
        <f t="shared" ca="1" si="8"/>
        <v>0</v>
      </c>
      <c r="BP25" s="397">
        <f t="shared" ca="1" si="9"/>
        <v>0</v>
      </c>
      <c r="BQ25" s="397">
        <f t="shared" ca="1" si="10"/>
        <v>1</v>
      </c>
      <c r="BR25" s="397">
        <f t="shared" ca="1" si="11"/>
        <v>0</v>
      </c>
      <c r="BS25" s="397">
        <f t="shared" ca="1" si="12"/>
        <v>0</v>
      </c>
      <c r="BT25" s="397">
        <f t="shared" ca="1" si="13"/>
        <v>0</v>
      </c>
      <c r="BU25" s="397">
        <f t="shared" ca="1" si="14"/>
        <v>1</v>
      </c>
      <c r="BV25" s="397">
        <f t="shared" ca="1" si="15"/>
        <v>0</v>
      </c>
      <c r="BW25" s="397">
        <f t="shared" ca="1" si="16"/>
        <v>0</v>
      </c>
      <c r="BX25" s="397">
        <f t="shared" ca="1" si="17"/>
        <v>0</v>
      </c>
      <c r="BY25" s="397">
        <f t="shared" ca="1" si="18"/>
        <v>0</v>
      </c>
      <c r="BZ25" s="397">
        <f t="shared" ca="1" si="19"/>
        <v>0</v>
      </c>
      <c r="CA25" s="397">
        <f t="shared" ca="1" si="20"/>
        <v>0</v>
      </c>
      <c r="CB25" s="397">
        <f t="shared" ca="1" si="21"/>
        <v>0</v>
      </c>
      <c r="CC25" s="397">
        <f t="shared" ca="1" si="22"/>
        <v>0</v>
      </c>
      <c r="CD25" s="397">
        <f t="shared" ca="1" si="23"/>
        <v>0</v>
      </c>
      <c r="CE25" s="397">
        <f t="shared" ca="1" si="24"/>
        <v>0</v>
      </c>
      <c r="CF25" s="397">
        <f t="shared" ca="1" si="25"/>
        <v>0</v>
      </c>
      <c r="CG25" s="397">
        <f t="shared" ca="1" si="26"/>
        <v>0</v>
      </c>
      <c r="CH25" s="397">
        <f t="shared" ca="1" si="27"/>
        <v>0</v>
      </c>
      <c r="CI25" s="397">
        <f t="shared" ca="1" si="28"/>
        <v>0</v>
      </c>
      <c r="CJ25" s="397">
        <f t="shared" ca="1" si="29"/>
        <v>0</v>
      </c>
      <c r="CK25" s="397">
        <f t="shared" ca="1" si="30"/>
        <v>0</v>
      </c>
      <c r="CL25" s="397">
        <f t="shared" ca="1" si="31"/>
        <v>0</v>
      </c>
      <c r="CM25" s="397">
        <f t="shared" ca="1" si="32"/>
        <v>0</v>
      </c>
      <c r="CN25" s="397">
        <f t="shared" ca="1" si="33"/>
        <v>0</v>
      </c>
      <c r="CO25" s="397">
        <f t="shared" ca="1" si="34"/>
        <v>0</v>
      </c>
      <c r="CP25" s="397">
        <f t="shared" ca="1" si="35"/>
        <v>0</v>
      </c>
      <c r="CQ25" s="397">
        <f t="shared" ca="1" si="36"/>
        <v>0</v>
      </c>
      <c r="CR25" s="397">
        <f t="shared" ca="1" si="37"/>
        <v>0</v>
      </c>
      <c r="CS25" s="397">
        <f t="shared" ca="1" si="38"/>
        <v>0</v>
      </c>
      <c r="CT25" s="397">
        <f t="shared" ca="1" si="39"/>
        <v>0</v>
      </c>
      <c r="CU25" s="397">
        <f t="shared" ca="1" si="40"/>
        <v>0</v>
      </c>
      <c r="CV25" s="397">
        <f t="shared" ca="1" si="41"/>
        <v>0</v>
      </c>
      <c r="CW25" s="397">
        <f t="shared" ca="1" si="42"/>
        <v>0</v>
      </c>
      <c r="CX25" s="440">
        <f t="shared" ca="1" si="43"/>
        <v>0</v>
      </c>
      <c r="CY25" s="335">
        <f t="shared" si="44"/>
        <v>0</v>
      </c>
      <c r="CZ25" s="16"/>
      <c r="DA25" s="16"/>
      <c r="DB25" s="16"/>
      <c r="DC25" s="16"/>
      <c r="DD25" s="16"/>
      <c r="DE25" s="16"/>
      <c r="DF25" s="16"/>
      <c r="DG25" s="16"/>
      <c r="DH25" s="16"/>
    </row>
    <row r="26" spans="1:112" s="77" customFormat="1" ht="15" customHeight="1">
      <c r="A26" s="266" t="str">
        <f t="shared" ca="1" si="45"/>
        <v>Tm16</v>
      </c>
      <c r="B26" s="462"/>
      <c r="C26" s="402" t="str">
        <f ca="1">IF(DrawFinder!AB26=0,"",DrawFinder!AB26)</f>
        <v>-</v>
      </c>
      <c r="D26" s="402">
        <f ca="1">IF(DrawFinder!AC26=0,"",DrawFinder!AC26)</f>
        <v>-2</v>
      </c>
      <c r="E26" s="402">
        <f ca="1">IF(DrawFinder!AD26=0,"",DrawFinder!AD26)</f>
        <v>4</v>
      </c>
      <c r="F26" s="402" t="str">
        <f ca="1">IF(DrawFinder!AE26=0,"",DrawFinder!AE26)</f>
        <v>-</v>
      </c>
      <c r="G26" s="402" t="str">
        <f ca="1">IF(DrawFinder!AF26=0,"",DrawFinder!AF26)</f>
        <v>-</v>
      </c>
      <c r="H26" s="402">
        <f ca="1">IF(DrawFinder!AG26=0,"",DrawFinder!AG26)</f>
        <v>-6</v>
      </c>
      <c r="I26" s="402">
        <f ca="1">IF(DrawFinder!AH26=0,"",DrawFinder!AH26)</f>
        <v>2</v>
      </c>
      <c r="J26" s="402" t="str">
        <f ca="1">IF(DrawFinder!AI26=0,"",DrawFinder!AI26)</f>
        <v>-</v>
      </c>
      <c r="K26" s="402" t="str">
        <f ca="1">IF(DrawFinder!AJ26=0,"",DrawFinder!AJ26)</f>
        <v>-</v>
      </c>
      <c r="L26" s="402">
        <f ca="1">IF(DrawFinder!AK26=0,"",DrawFinder!AK26)</f>
        <v>-3</v>
      </c>
      <c r="M26" s="402">
        <f ca="1">IF(DrawFinder!AL26=0,"",DrawFinder!AL26)</f>
        <v>1</v>
      </c>
      <c r="N26" s="402" t="str">
        <f ca="1">IF(DrawFinder!AM26=0,"",DrawFinder!AM26)</f>
        <v>-</v>
      </c>
      <c r="O26" s="402" t="str">
        <f ca="1">IF(DrawFinder!AN26=0,"",DrawFinder!AN26)</f>
        <v>-</v>
      </c>
      <c r="P26" s="402">
        <f ca="1">IF(DrawFinder!AO26=0,"",DrawFinder!AO26)</f>
        <v>-5</v>
      </c>
      <c r="Q26" s="402" t="str">
        <f ca="1">IF(DrawFinder!AP26=0,"",DrawFinder!AP26)</f>
        <v/>
      </c>
      <c r="R26" s="402" t="str">
        <f ca="1">IF(DrawFinder!AQ26=0,"",DrawFinder!AQ26)</f>
        <v/>
      </c>
      <c r="S26" s="402" t="str">
        <f ca="1">IF(DrawFinder!AR26=0,"",DrawFinder!AR26)</f>
        <v/>
      </c>
      <c r="T26" s="402" t="str">
        <f ca="1">IF(DrawFinder!AS26=0,"",DrawFinder!AS26)</f>
        <v/>
      </c>
      <c r="U26" s="402" t="str">
        <f ca="1">IF(DrawFinder!AT26=0,"",DrawFinder!AT26)</f>
        <v/>
      </c>
      <c r="V26" s="402" t="str">
        <f ca="1">IF(DrawFinder!AU26=0,"",DrawFinder!AU26)</f>
        <v/>
      </c>
      <c r="W26" s="402" t="str">
        <f ca="1">IF(DrawFinder!AV26=0,"",DrawFinder!AV26)</f>
        <v/>
      </c>
      <c r="X26" s="402" t="str">
        <f ca="1">IF(DrawFinder!AW26=0,"",DrawFinder!AW26)</f>
        <v/>
      </c>
      <c r="Y26" s="402" t="str">
        <f ca="1">IF(DrawFinder!AX26=0,"",DrawFinder!AX26)</f>
        <v/>
      </c>
      <c r="Z26" s="402" t="str">
        <f ca="1">IF(DrawFinder!AY26=0,"",DrawFinder!AY26)</f>
        <v/>
      </c>
      <c r="AA26" s="402" t="str">
        <f ca="1">IF(DrawFinder!AZ26=0,"",DrawFinder!AZ26)</f>
        <v/>
      </c>
      <c r="AB26" s="402" t="str">
        <f ca="1">IF(DrawFinder!BA26=0,"",DrawFinder!BA26)</f>
        <v/>
      </c>
      <c r="AC26" s="402" t="str">
        <f ca="1">IF(DrawFinder!BB26=0,"",DrawFinder!BB26)</f>
        <v/>
      </c>
      <c r="AD26" s="402" t="str">
        <f ca="1">IF(DrawFinder!BC26=0,"",DrawFinder!BC26)</f>
        <v/>
      </c>
      <c r="AE26" s="402" t="str">
        <f ca="1">IF(DrawFinder!BD26=0,"",DrawFinder!BD26)</f>
        <v/>
      </c>
      <c r="AF26" s="402" t="str">
        <f ca="1">IF(DrawFinder!BE26=0,"",DrawFinder!BE26)</f>
        <v/>
      </c>
      <c r="AG26" s="402" t="str">
        <f ca="1">IF(DrawFinder!BF26=0,"",DrawFinder!BF26)</f>
        <v/>
      </c>
      <c r="AH26" s="402" t="str">
        <f ca="1">IF(DrawFinder!BG26=0,"",DrawFinder!BG26)</f>
        <v/>
      </c>
      <c r="AI26" s="402" t="str">
        <f ca="1">IF(DrawFinder!BH26=0,"",DrawFinder!BH26)</f>
        <v/>
      </c>
      <c r="AJ26" s="402" t="str">
        <f ca="1">IF(DrawFinder!BI26=0,"",DrawFinder!BI26)</f>
        <v/>
      </c>
      <c r="AK26" s="402" t="str">
        <f ca="1">IF(DrawFinder!BJ26=0,"",DrawFinder!BJ26)</f>
        <v/>
      </c>
      <c r="AL26" s="402" t="str">
        <f ca="1">IF(DrawFinder!BK26=0,"",DrawFinder!BK26)</f>
        <v/>
      </c>
      <c r="AM26" s="402" t="str">
        <f ca="1">IF(DrawFinder!BL26=0,"",DrawFinder!BL26)</f>
        <v/>
      </c>
      <c r="AN26" s="402" t="str">
        <f ca="1">IF(DrawFinder!BM26=0,"",DrawFinder!BM26)</f>
        <v/>
      </c>
      <c r="AO26" s="402" t="str">
        <f ca="1">IF(DrawFinder!BN26=0,"",DrawFinder!BN26)</f>
        <v/>
      </c>
      <c r="AP26" s="400" t="str">
        <f ca="1">IF(DrawFinder!BO26=0,"",DrawFinder!BO26)</f>
        <v/>
      </c>
      <c r="AQ26" s="81">
        <f>IF(DrawFinder!Y26=0,"",DrawFinder!Y26)</f>
        <v>2</v>
      </c>
      <c r="AR26" s="79" t="str">
        <f t="shared" ca="1" si="46"/>
        <v>Tm16</v>
      </c>
      <c r="AS26" s="81">
        <f t="shared" ca="1" si="47"/>
        <v>16</v>
      </c>
      <c r="AT26" s="84">
        <f t="shared" ca="1" si="48"/>
        <v>7</v>
      </c>
      <c r="AU26" s="336">
        <f t="shared" ca="1" si="49"/>
        <v>1</v>
      </c>
      <c r="AV26" s="336">
        <f t="shared" ca="1" si="0"/>
        <v>2</v>
      </c>
      <c r="AW26" s="336">
        <f t="shared" ca="1" si="0"/>
        <v>1</v>
      </c>
      <c r="AX26" s="336">
        <f t="shared" ca="1" si="0"/>
        <v>1</v>
      </c>
      <c r="AY26" s="336">
        <f t="shared" ca="1" si="0"/>
        <v>1</v>
      </c>
      <c r="AZ26" s="336">
        <f t="shared" ca="1" si="0"/>
        <v>1</v>
      </c>
      <c r="BA26" s="336">
        <f t="shared" ca="1" si="0"/>
        <v>0</v>
      </c>
      <c r="BB26" s="336">
        <f t="shared" ca="1" si="0"/>
        <v>0</v>
      </c>
      <c r="BC26" s="336">
        <f t="shared" ca="1" si="0"/>
        <v>0</v>
      </c>
      <c r="BD26" s="336">
        <f t="shared" ca="1" si="0"/>
        <v>0</v>
      </c>
      <c r="BE26" s="83">
        <f t="shared" ca="1" si="1"/>
        <v>3</v>
      </c>
      <c r="BF26" s="84">
        <f t="shared" ca="1" si="50"/>
        <v>4</v>
      </c>
      <c r="BH26" s="407">
        <f t="shared" ca="1" si="2"/>
        <v>4</v>
      </c>
      <c r="BI26" s="408">
        <f t="shared" ca="1" si="3"/>
        <v>3</v>
      </c>
      <c r="BK26" s="439">
        <f t="shared" ca="1" si="4"/>
        <v>0</v>
      </c>
      <c r="BL26" s="397">
        <f t="shared" ca="1" si="5"/>
        <v>0</v>
      </c>
      <c r="BM26" s="397">
        <f t="shared" ca="1" si="6"/>
        <v>1</v>
      </c>
      <c r="BN26" s="397">
        <f t="shared" ca="1" si="7"/>
        <v>0</v>
      </c>
      <c r="BO26" s="397">
        <f t="shared" ca="1" si="8"/>
        <v>0</v>
      </c>
      <c r="BP26" s="397">
        <f t="shared" ca="1" si="9"/>
        <v>0</v>
      </c>
      <c r="BQ26" s="397">
        <f t="shared" ca="1" si="10"/>
        <v>1</v>
      </c>
      <c r="BR26" s="397">
        <f t="shared" ca="1" si="11"/>
        <v>0</v>
      </c>
      <c r="BS26" s="397">
        <f t="shared" ca="1" si="12"/>
        <v>0</v>
      </c>
      <c r="BT26" s="397">
        <f t="shared" ca="1" si="13"/>
        <v>0</v>
      </c>
      <c r="BU26" s="397">
        <f t="shared" ca="1" si="14"/>
        <v>1</v>
      </c>
      <c r="BV26" s="397">
        <f t="shared" ca="1" si="15"/>
        <v>0</v>
      </c>
      <c r="BW26" s="397">
        <f t="shared" ca="1" si="16"/>
        <v>0</v>
      </c>
      <c r="BX26" s="397">
        <f t="shared" ca="1" si="17"/>
        <v>0</v>
      </c>
      <c r="BY26" s="397">
        <f t="shared" ca="1" si="18"/>
        <v>0</v>
      </c>
      <c r="BZ26" s="397">
        <f t="shared" ca="1" si="19"/>
        <v>0</v>
      </c>
      <c r="CA26" s="397">
        <f t="shared" ca="1" si="20"/>
        <v>0</v>
      </c>
      <c r="CB26" s="397">
        <f t="shared" ca="1" si="21"/>
        <v>0</v>
      </c>
      <c r="CC26" s="397">
        <f t="shared" ca="1" si="22"/>
        <v>0</v>
      </c>
      <c r="CD26" s="397">
        <f t="shared" ca="1" si="23"/>
        <v>0</v>
      </c>
      <c r="CE26" s="397">
        <f t="shared" ca="1" si="24"/>
        <v>0</v>
      </c>
      <c r="CF26" s="397">
        <f t="shared" ca="1" si="25"/>
        <v>0</v>
      </c>
      <c r="CG26" s="397">
        <f t="shared" ca="1" si="26"/>
        <v>0</v>
      </c>
      <c r="CH26" s="397">
        <f t="shared" ca="1" si="27"/>
        <v>0</v>
      </c>
      <c r="CI26" s="397">
        <f t="shared" ca="1" si="28"/>
        <v>0</v>
      </c>
      <c r="CJ26" s="397">
        <f t="shared" ca="1" si="29"/>
        <v>0</v>
      </c>
      <c r="CK26" s="397">
        <f t="shared" ca="1" si="30"/>
        <v>0</v>
      </c>
      <c r="CL26" s="397">
        <f t="shared" ca="1" si="31"/>
        <v>0</v>
      </c>
      <c r="CM26" s="397">
        <f t="shared" ca="1" si="32"/>
        <v>0</v>
      </c>
      <c r="CN26" s="397">
        <f t="shared" ca="1" si="33"/>
        <v>0</v>
      </c>
      <c r="CO26" s="397">
        <f t="shared" ca="1" si="34"/>
        <v>0</v>
      </c>
      <c r="CP26" s="397">
        <f t="shared" ca="1" si="35"/>
        <v>0</v>
      </c>
      <c r="CQ26" s="397">
        <f t="shared" ca="1" si="36"/>
        <v>0</v>
      </c>
      <c r="CR26" s="397">
        <f t="shared" ca="1" si="37"/>
        <v>0</v>
      </c>
      <c r="CS26" s="397">
        <f t="shared" ca="1" si="38"/>
        <v>0</v>
      </c>
      <c r="CT26" s="397">
        <f t="shared" ca="1" si="39"/>
        <v>0</v>
      </c>
      <c r="CU26" s="397">
        <f t="shared" ca="1" si="40"/>
        <v>0</v>
      </c>
      <c r="CV26" s="397">
        <f t="shared" ca="1" si="41"/>
        <v>0</v>
      </c>
      <c r="CW26" s="397">
        <f t="shared" ca="1" si="42"/>
        <v>0</v>
      </c>
      <c r="CX26" s="440">
        <f t="shared" ca="1" si="43"/>
        <v>0</v>
      </c>
      <c r="CY26" s="335">
        <f t="shared" si="44"/>
        <v>0</v>
      </c>
      <c r="CZ26" s="16"/>
      <c r="DA26" s="16"/>
      <c r="DB26" s="16"/>
      <c r="DC26" s="16"/>
      <c r="DD26" s="16"/>
      <c r="DE26" s="16"/>
      <c r="DF26" s="16"/>
      <c r="DG26" s="16"/>
      <c r="DH26" s="16"/>
    </row>
    <row r="27" spans="1:112" s="77" customFormat="1" ht="15" customHeight="1">
      <c r="A27" s="266" t="str">
        <f t="shared" ca="1" si="45"/>
        <v>Tm17</v>
      </c>
      <c r="B27" s="462"/>
      <c r="C27" s="402" t="str">
        <f ca="1">IF(DrawFinder!AB27=0,"",DrawFinder!AB27)</f>
        <v>-</v>
      </c>
      <c r="D27" s="402">
        <f ca="1">IF(DrawFinder!AC27=0,"",DrawFinder!AC27)</f>
        <v>-6</v>
      </c>
      <c r="E27" s="402" t="str">
        <f ca="1">IF(DrawFinder!AD27=0,"",DrawFinder!AD27)</f>
        <v>-</v>
      </c>
      <c r="F27" s="402">
        <f ca="1">IF(DrawFinder!AE27=0,"",DrawFinder!AE27)</f>
        <v>3</v>
      </c>
      <c r="G27" s="402">
        <f ca="1">IF(DrawFinder!AF27=0,"",DrawFinder!AF27)</f>
        <v>-5</v>
      </c>
      <c r="H27" s="402" t="str">
        <f ca="1">IF(DrawFinder!AG27=0,"",DrawFinder!AG27)</f>
        <v>-</v>
      </c>
      <c r="I27" s="402">
        <f ca="1">IF(DrawFinder!AH27=0,"",DrawFinder!AH27)</f>
        <v>6</v>
      </c>
      <c r="J27" s="402" t="str">
        <f ca="1">IF(DrawFinder!AI27=0,"",DrawFinder!AI27)</f>
        <v>-</v>
      </c>
      <c r="K27" s="402">
        <f ca="1">IF(DrawFinder!AJ27=0,"",DrawFinder!AJ27)</f>
        <v>-2</v>
      </c>
      <c r="L27" s="402" t="str">
        <f ca="1">IF(DrawFinder!AK27=0,"",DrawFinder!AK27)</f>
        <v>-</v>
      </c>
      <c r="M27" s="402" t="str">
        <f ca="1">IF(DrawFinder!AL27=0,"",DrawFinder!AL27)</f>
        <v>-</v>
      </c>
      <c r="N27" s="402">
        <f ca="1">IF(DrawFinder!AM27=0,"",DrawFinder!AM27)</f>
        <v>4</v>
      </c>
      <c r="O27" s="402">
        <f ca="1">IF(DrawFinder!AN27=0,"",DrawFinder!AN27)</f>
        <v>-1</v>
      </c>
      <c r="P27" s="402" t="str">
        <f ca="1">IF(DrawFinder!AO27=0,"",DrawFinder!AO27)</f>
        <v>-</v>
      </c>
      <c r="Q27" s="402" t="str">
        <f ca="1">IF(DrawFinder!AP27=0,"",DrawFinder!AP27)</f>
        <v/>
      </c>
      <c r="R27" s="402" t="str">
        <f ca="1">IF(DrawFinder!AQ27=0,"",DrawFinder!AQ27)</f>
        <v/>
      </c>
      <c r="S27" s="402" t="str">
        <f ca="1">IF(DrawFinder!AR27=0,"",DrawFinder!AR27)</f>
        <v/>
      </c>
      <c r="T27" s="402" t="str">
        <f ca="1">IF(DrawFinder!AS27=0,"",DrawFinder!AS27)</f>
        <v/>
      </c>
      <c r="U27" s="402" t="str">
        <f ca="1">IF(DrawFinder!AT27=0,"",DrawFinder!AT27)</f>
        <v/>
      </c>
      <c r="V27" s="402" t="str">
        <f ca="1">IF(DrawFinder!AU27=0,"",DrawFinder!AU27)</f>
        <v/>
      </c>
      <c r="W27" s="402" t="str">
        <f ca="1">IF(DrawFinder!AV27=0,"",DrawFinder!AV27)</f>
        <v/>
      </c>
      <c r="X27" s="402" t="str">
        <f ca="1">IF(DrawFinder!AW27=0,"",DrawFinder!AW27)</f>
        <v/>
      </c>
      <c r="Y27" s="402" t="str">
        <f ca="1">IF(DrawFinder!AX27=0,"",DrawFinder!AX27)</f>
        <v/>
      </c>
      <c r="Z27" s="402" t="str">
        <f ca="1">IF(DrawFinder!AY27=0,"",DrawFinder!AY27)</f>
        <v/>
      </c>
      <c r="AA27" s="402" t="str">
        <f ca="1">IF(DrawFinder!AZ27=0,"",DrawFinder!AZ27)</f>
        <v/>
      </c>
      <c r="AB27" s="402" t="str">
        <f ca="1">IF(DrawFinder!BA27=0,"",DrawFinder!BA27)</f>
        <v/>
      </c>
      <c r="AC27" s="402" t="str">
        <f ca="1">IF(DrawFinder!BB27=0,"",DrawFinder!BB27)</f>
        <v/>
      </c>
      <c r="AD27" s="402" t="str">
        <f ca="1">IF(DrawFinder!BC27=0,"",DrawFinder!BC27)</f>
        <v/>
      </c>
      <c r="AE27" s="402" t="str">
        <f ca="1">IF(DrawFinder!BD27=0,"",DrawFinder!BD27)</f>
        <v/>
      </c>
      <c r="AF27" s="402" t="str">
        <f ca="1">IF(DrawFinder!BE27=0,"",DrawFinder!BE27)</f>
        <v/>
      </c>
      <c r="AG27" s="402" t="str">
        <f ca="1">IF(DrawFinder!BF27=0,"",DrawFinder!BF27)</f>
        <v/>
      </c>
      <c r="AH27" s="402" t="str">
        <f ca="1">IF(DrawFinder!BG27=0,"",DrawFinder!BG27)</f>
        <v/>
      </c>
      <c r="AI27" s="402" t="str">
        <f ca="1">IF(DrawFinder!BH27=0,"",DrawFinder!BH27)</f>
        <v/>
      </c>
      <c r="AJ27" s="402" t="str">
        <f ca="1">IF(DrawFinder!BI27=0,"",DrawFinder!BI27)</f>
        <v/>
      </c>
      <c r="AK27" s="402" t="str">
        <f ca="1">IF(DrawFinder!BJ27=0,"",DrawFinder!BJ27)</f>
        <v/>
      </c>
      <c r="AL27" s="402" t="str">
        <f ca="1">IF(DrawFinder!BK27=0,"",DrawFinder!BK27)</f>
        <v/>
      </c>
      <c r="AM27" s="402" t="str">
        <f ca="1">IF(DrawFinder!BL27=0,"",DrawFinder!BL27)</f>
        <v/>
      </c>
      <c r="AN27" s="402" t="str">
        <f ca="1">IF(DrawFinder!BM27=0,"",DrawFinder!BM27)</f>
        <v/>
      </c>
      <c r="AO27" s="402" t="str">
        <f ca="1">IF(DrawFinder!BN27=0,"",DrawFinder!BN27)</f>
        <v/>
      </c>
      <c r="AP27" s="400" t="str">
        <f ca="1">IF(DrawFinder!BO27=0,"",DrawFinder!BO27)</f>
        <v/>
      </c>
      <c r="AQ27" s="81">
        <f>IF(DrawFinder!Y27=0,"",DrawFinder!Y27)</f>
        <v>3</v>
      </c>
      <c r="AR27" s="79" t="str">
        <f t="shared" ca="1" si="46"/>
        <v>Tm17</v>
      </c>
      <c r="AS27" s="81">
        <f t="shared" ca="1" si="47"/>
        <v>17</v>
      </c>
      <c r="AT27" s="84">
        <f t="shared" ca="1" si="48"/>
        <v>7</v>
      </c>
      <c r="AU27" s="336">
        <f t="shared" ca="1" si="49"/>
        <v>1</v>
      </c>
      <c r="AV27" s="336">
        <f t="shared" ca="1" si="49"/>
        <v>1</v>
      </c>
      <c r="AW27" s="336">
        <f t="shared" ca="1" si="49"/>
        <v>1</v>
      </c>
      <c r="AX27" s="336">
        <f t="shared" ca="1" si="49"/>
        <v>1</v>
      </c>
      <c r="AY27" s="336">
        <f t="shared" ca="1" si="49"/>
        <v>1</v>
      </c>
      <c r="AZ27" s="336">
        <f t="shared" ca="1" si="49"/>
        <v>2</v>
      </c>
      <c r="BA27" s="336">
        <f t="shared" ca="1" si="49"/>
        <v>0</v>
      </c>
      <c r="BB27" s="336">
        <f t="shared" ca="1" si="49"/>
        <v>0</v>
      </c>
      <c r="BC27" s="336">
        <f t="shared" ca="1" si="49"/>
        <v>0</v>
      </c>
      <c r="BD27" s="336">
        <f t="shared" ca="1" si="49"/>
        <v>0</v>
      </c>
      <c r="BE27" s="83">
        <f t="shared" ca="1" si="1"/>
        <v>4</v>
      </c>
      <c r="BF27" s="84">
        <f t="shared" ca="1" si="50"/>
        <v>3</v>
      </c>
      <c r="BH27" s="407">
        <f t="shared" ca="1" si="2"/>
        <v>4</v>
      </c>
      <c r="BI27" s="408">
        <f t="shared" ca="1" si="3"/>
        <v>3</v>
      </c>
      <c r="BK27" s="439">
        <f t="shared" ca="1" si="4"/>
        <v>0</v>
      </c>
      <c r="BL27" s="397">
        <f t="shared" ca="1" si="5"/>
        <v>0</v>
      </c>
      <c r="BM27" s="397">
        <f t="shared" ca="1" si="6"/>
        <v>0</v>
      </c>
      <c r="BN27" s="397">
        <f t="shared" ca="1" si="7"/>
        <v>0</v>
      </c>
      <c r="BO27" s="397">
        <f t="shared" ca="1" si="8"/>
        <v>1</v>
      </c>
      <c r="BP27" s="397">
        <f t="shared" ca="1" si="9"/>
        <v>0</v>
      </c>
      <c r="BQ27" s="397">
        <f t="shared" ca="1" si="10"/>
        <v>1</v>
      </c>
      <c r="BR27" s="397">
        <f t="shared" ca="1" si="11"/>
        <v>0</v>
      </c>
      <c r="BS27" s="397">
        <f t="shared" ca="1" si="12"/>
        <v>1</v>
      </c>
      <c r="BT27" s="397">
        <f t="shared" ca="1" si="13"/>
        <v>0</v>
      </c>
      <c r="BU27" s="397">
        <f t="shared" ca="1" si="14"/>
        <v>0</v>
      </c>
      <c r="BV27" s="397">
        <f t="shared" ca="1" si="15"/>
        <v>0</v>
      </c>
      <c r="BW27" s="397">
        <f t="shared" ca="1" si="16"/>
        <v>1</v>
      </c>
      <c r="BX27" s="397">
        <f t="shared" ca="1" si="17"/>
        <v>0</v>
      </c>
      <c r="BY27" s="397">
        <f t="shared" ca="1" si="18"/>
        <v>0</v>
      </c>
      <c r="BZ27" s="397">
        <f t="shared" ca="1" si="19"/>
        <v>0</v>
      </c>
      <c r="CA27" s="397">
        <f t="shared" ca="1" si="20"/>
        <v>0</v>
      </c>
      <c r="CB27" s="397">
        <f t="shared" ca="1" si="21"/>
        <v>0</v>
      </c>
      <c r="CC27" s="397">
        <f t="shared" ca="1" si="22"/>
        <v>0</v>
      </c>
      <c r="CD27" s="397">
        <f t="shared" ca="1" si="23"/>
        <v>0</v>
      </c>
      <c r="CE27" s="397">
        <f t="shared" ca="1" si="24"/>
        <v>0</v>
      </c>
      <c r="CF27" s="397">
        <f t="shared" ca="1" si="25"/>
        <v>0</v>
      </c>
      <c r="CG27" s="397">
        <f t="shared" ca="1" si="26"/>
        <v>0</v>
      </c>
      <c r="CH27" s="397">
        <f t="shared" ca="1" si="27"/>
        <v>0</v>
      </c>
      <c r="CI27" s="397">
        <f t="shared" ca="1" si="28"/>
        <v>0</v>
      </c>
      <c r="CJ27" s="397">
        <f t="shared" ca="1" si="29"/>
        <v>0</v>
      </c>
      <c r="CK27" s="397">
        <f t="shared" ca="1" si="30"/>
        <v>0</v>
      </c>
      <c r="CL27" s="397">
        <f t="shared" ca="1" si="31"/>
        <v>0</v>
      </c>
      <c r="CM27" s="397">
        <f t="shared" ca="1" si="32"/>
        <v>0</v>
      </c>
      <c r="CN27" s="397">
        <f t="shared" ca="1" si="33"/>
        <v>0</v>
      </c>
      <c r="CO27" s="397">
        <f t="shared" ca="1" si="34"/>
        <v>0</v>
      </c>
      <c r="CP27" s="397">
        <f t="shared" ca="1" si="35"/>
        <v>0</v>
      </c>
      <c r="CQ27" s="397">
        <f t="shared" ca="1" si="36"/>
        <v>0</v>
      </c>
      <c r="CR27" s="397">
        <f t="shared" ca="1" si="37"/>
        <v>0</v>
      </c>
      <c r="CS27" s="397">
        <f t="shared" ca="1" si="38"/>
        <v>0</v>
      </c>
      <c r="CT27" s="397">
        <f t="shared" ca="1" si="39"/>
        <v>0</v>
      </c>
      <c r="CU27" s="397">
        <f t="shared" ca="1" si="40"/>
        <v>0</v>
      </c>
      <c r="CV27" s="397">
        <f t="shared" ca="1" si="41"/>
        <v>0</v>
      </c>
      <c r="CW27" s="397">
        <f t="shared" ca="1" si="42"/>
        <v>0</v>
      </c>
      <c r="CX27" s="440">
        <f t="shared" ca="1" si="43"/>
        <v>0</v>
      </c>
      <c r="CY27" s="335">
        <f t="shared" si="44"/>
        <v>0</v>
      </c>
      <c r="CZ27" s="16"/>
      <c r="DA27" s="16"/>
      <c r="DB27" s="16"/>
      <c r="DC27" s="16"/>
      <c r="DD27" s="16"/>
      <c r="DE27" s="16"/>
      <c r="DF27" s="16"/>
      <c r="DG27" s="16"/>
      <c r="DH27" s="16"/>
    </row>
    <row r="28" spans="1:112" s="77" customFormat="1" ht="15" customHeight="1">
      <c r="A28" s="266" t="str">
        <f t="shared" ca="1" si="45"/>
        <v>Tm18</v>
      </c>
      <c r="B28" s="462"/>
      <c r="C28" s="402">
        <f ca="1">IF(DrawFinder!AB28=0,"",DrawFinder!AB28)</f>
        <v>6</v>
      </c>
      <c r="D28" s="402" t="str">
        <f ca="1">IF(DrawFinder!AC28=0,"",DrawFinder!AC28)</f>
        <v>-</v>
      </c>
      <c r="E28" s="402" t="str">
        <f ca="1">IF(DrawFinder!AD28=0,"",DrawFinder!AD28)</f>
        <v>-</v>
      </c>
      <c r="F28" s="402">
        <f ca="1">IF(DrawFinder!AE28=0,"",DrawFinder!AE28)</f>
        <v>2</v>
      </c>
      <c r="G28" s="402">
        <f ca="1">IF(DrawFinder!AF28=0,"",DrawFinder!AF28)</f>
        <v>-4</v>
      </c>
      <c r="H28" s="402" t="str">
        <f ca="1">IF(DrawFinder!AG28=0,"",DrawFinder!AG28)</f>
        <v>-</v>
      </c>
      <c r="I28" s="402" t="str">
        <f ca="1">IF(DrawFinder!AH28=0,"",DrawFinder!AH28)</f>
        <v>-</v>
      </c>
      <c r="J28" s="402">
        <f ca="1">IF(DrawFinder!AI28=0,"",DrawFinder!AI28)</f>
        <v>-6</v>
      </c>
      <c r="K28" s="402">
        <f ca="1">IF(DrawFinder!AJ28=0,"",DrawFinder!AJ28)</f>
        <v>5</v>
      </c>
      <c r="L28" s="402" t="str">
        <f ca="1">IF(DrawFinder!AK28=0,"",DrawFinder!AK28)</f>
        <v>-</v>
      </c>
      <c r="M28" s="402" t="str">
        <f ca="1">IF(DrawFinder!AL28=0,"",DrawFinder!AL28)</f>
        <v>-</v>
      </c>
      <c r="N28" s="402">
        <f ca="1">IF(DrawFinder!AM28=0,"",DrawFinder!AM28)</f>
        <v>-3</v>
      </c>
      <c r="O28" s="402">
        <f ca="1">IF(DrawFinder!AN28=0,"",DrawFinder!AN28)</f>
        <v>1</v>
      </c>
      <c r="P28" s="402" t="str">
        <f ca="1">IF(DrawFinder!AO28=0,"",DrawFinder!AO28)</f>
        <v>-</v>
      </c>
      <c r="Q28" s="402" t="str">
        <f ca="1">IF(DrawFinder!AP28=0,"",DrawFinder!AP28)</f>
        <v/>
      </c>
      <c r="R28" s="402" t="str">
        <f ca="1">IF(DrawFinder!AQ28=0,"",DrawFinder!AQ28)</f>
        <v/>
      </c>
      <c r="S28" s="402" t="str">
        <f ca="1">IF(DrawFinder!AR28=0,"",DrawFinder!AR28)</f>
        <v/>
      </c>
      <c r="T28" s="402" t="str">
        <f ca="1">IF(DrawFinder!AS28=0,"",DrawFinder!AS28)</f>
        <v/>
      </c>
      <c r="U28" s="402" t="str">
        <f ca="1">IF(DrawFinder!AT28=0,"",DrawFinder!AT28)</f>
        <v/>
      </c>
      <c r="V28" s="402" t="str">
        <f ca="1">IF(DrawFinder!AU28=0,"",DrawFinder!AU28)</f>
        <v/>
      </c>
      <c r="W28" s="402" t="str">
        <f ca="1">IF(DrawFinder!AV28=0,"",DrawFinder!AV28)</f>
        <v/>
      </c>
      <c r="X28" s="402" t="str">
        <f ca="1">IF(DrawFinder!AW28=0,"",DrawFinder!AW28)</f>
        <v/>
      </c>
      <c r="Y28" s="402" t="str">
        <f ca="1">IF(DrawFinder!AX28=0,"",DrawFinder!AX28)</f>
        <v/>
      </c>
      <c r="Z28" s="402" t="str">
        <f ca="1">IF(DrawFinder!AY28=0,"",DrawFinder!AY28)</f>
        <v/>
      </c>
      <c r="AA28" s="402" t="str">
        <f ca="1">IF(DrawFinder!AZ28=0,"",DrawFinder!AZ28)</f>
        <v/>
      </c>
      <c r="AB28" s="402" t="str">
        <f ca="1">IF(DrawFinder!BA28=0,"",DrawFinder!BA28)</f>
        <v/>
      </c>
      <c r="AC28" s="402" t="str">
        <f ca="1">IF(DrawFinder!BB28=0,"",DrawFinder!BB28)</f>
        <v/>
      </c>
      <c r="AD28" s="402" t="str">
        <f ca="1">IF(DrawFinder!BC28=0,"",DrawFinder!BC28)</f>
        <v/>
      </c>
      <c r="AE28" s="402" t="str">
        <f ca="1">IF(DrawFinder!BD28=0,"",DrawFinder!BD28)</f>
        <v/>
      </c>
      <c r="AF28" s="402" t="str">
        <f ca="1">IF(DrawFinder!BE28=0,"",DrawFinder!BE28)</f>
        <v/>
      </c>
      <c r="AG28" s="402" t="str">
        <f ca="1">IF(DrawFinder!BF28=0,"",DrawFinder!BF28)</f>
        <v/>
      </c>
      <c r="AH28" s="402" t="str">
        <f ca="1">IF(DrawFinder!BG28=0,"",DrawFinder!BG28)</f>
        <v/>
      </c>
      <c r="AI28" s="402" t="str">
        <f ca="1">IF(DrawFinder!BH28=0,"",DrawFinder!BH28)</f>
        <v/>
      </c>
      <c r="AJ28" s="402" t="str">
        <f ca="1">IF(DrawFinder!BI28=0,"",DrawFinder!BI28)</f>
        <v/>
      </c>
      <c r="AK28" s="402" t="str">
        <f ca="1">IF(DrawFinder!BJ28=0,"",DrawFinder!BJ28)</f>
        <v/>
      </c>
      <c r="AL28" s="402" t="str">
        <f ca="1">IF(DrawFinder!BK28=0,"",DrawFinder!BK28)</f>
        <v/>
      </c>
      <c r="AM28" s="402" t="str">
        <f ca="1">IF(DrawFinder!BL28=0,"",DrawFinder!BL28)</f>
        <v/>
      </c>
      <c r="AN28" s="402" t="str">
        <f ca="1">IF(DrawFinder!BM28=0,"",DrawFinder!BM28)</f>
        <v/>
      </c>
      <c r="AO28" s="402" t="str">
        <f ca="1">IF(DrawFinder!BN28=0,"",DrawFinder!BN28)</f>
        <v/>
      </c>
      <c r="AP28" s="400" t="str">
        <f ca="1">IF(DrawFinder!BO28=0,"",DrawFinder!BO28)</f>
        <v/>
      </c>
      <c r="AQ28" s="81">
        <f>IF(DrawFinder!Y28=0,"",DrawFinder!Y28)</f>
        <v>3</v>
      </c>
      <c r="AR28" s="79" t="str">
        <f t="shared" ca="1" si="46"/>
        <v>Tm18</v>
      </c>
      <c r="AS28" s="81">
        <f t="shared" ca="1" si="47"/>
        <v>18</v>
      </c>
      <c r="AT28" s="84">
        <f t="shared" ca="1" si="48"/>
        <v>7</v>
      </c>
      <c r="AU28" s="336">
        <f t="shared" ca="1" si="49"/>
        <v>1</v>
      </c>
      <c r="AV28" s="336">
        <f t="shared" ca="1" si="49"/>
        <v>1</v>
      </c>
      <c r="AW28" s="336">
        <f t="shared" ca="1" si="49"/>
        <v>1</v>
      </c>
      <c r="AX28" s="336">
        <f t="shared" ca="1" si="49"/>
        <v>1</v>
      </c>
      <c r="AY28" s="336">
        <f t="shared" ca="1" si="49"/>
        <v>1</v>
      </c>
      <c r="AZ28" s="336">
        <f t="shared" ca="1" si="49"/>
        <v>2</v>
      </c>
      <c r="BA28" s="336">
        <f t="shared" ca="1" si="49"/>
        <v>0</v>
      </c>
      <c r="BB28" s="336">
        <f t="shared" ca="1" si="49"/>
        <v>0</v>
      </c>
      <c r="BC28" s="336">
        <f t="shared" ca="1" si="49"/>
        <v>0</v>
      </c>
      <c r="BD28" s="336">
        <f t="shared" ca="1" si="49"/>
        <v>0</v>
      </c>
      <c r="BE28" s="83">
        <f t="shared" ca="1" si="1"/>
        <v>4</v>
      </c>
      <c r="BF28" s="84">
        <f t="shared" ca="1" si="50"/>
        <v>3</v>
      </c>
      <c r="BH28" s="407">
        <f t="shared" ca="1" si="2"/>
        <v>3</v>
      </c>
      <c r="BI28" s="408">
        <f t="shared" ca="1" si="3"/>
        <v>4</v>
      </c>
      <c r="BK28" s="439">
        <f t="shared" ca="1" si="4"/>
        <v>1</v>
      </c>
      <c r="BL28" s="397">
        <f t="shared" ca="1" si="5"/>
        <v>0</v>
      </c>
      <c r="BM28" s="397">
        <f t="shared" ca="1" si="6"/>
        <v>0</v>
      </c>
      <c r="BN28" s="397">
        <f t="shared" ca="1" si="7"/>
        <v>0</v>
      </c>
      <c r="BO28" s="397">
        <f t="shared" ca="1" si="8"/>
        <v>1</v>
      </c>
      <c r="BP28" s="397">
        <f t="shared" ca="1" si="9"/>
        <v>0</v>
      </c>
      <c r="BQ28" s="397">
        <f t="shared" ca="1" si="10"/>
        <v>0</v>
      </c>
      <c r="BR28" s="397">
        <f t="shared" ca="1" si="11"/>
        <v>0</v>
      </c>
      <c r="BS28" s="397">
        <f t="shared" ca="1" si="12"/>
        <v>1</v>
      </c>
      <c r="BT28" s="397">
        <f t="shared" ca="1" si="13"/>
        <v>0</v>
      </c>
      <c r="BU28" s="397">
        <f t="shared" ca="1" si="14"/>
        <v>0</v>
      </c>
      <c r="BV28" s="397">
        <f t="shared" ca="1" si="15"/>
        <v>0</v>
      </c>
      <c r="BW28" s="397">
        <f t="shared" ca="1" si="16"/>
        <v>1</v>
      </c>
      <c r="BX28" s="397">
        <f t="shared" ca="1" si="17"/>
        <v>0</v>
      </c>
      <c r="BY28" s="397">
        <f t="shared" ca="1" si="18"/>
        <v>0</v>
      </c>
      <c r="BZ28" s="397">
        <f t="shared" ca="1" si="19"/>
        <v>0</v>
      </c>
      <c r="CA28" s="397">
        <f t="shared" ca="1" si="20"/>
        <v>0</v>
      </c>
      <c r="CB28" s="397">
        <f t="shared" ca="1" si="21"/>
        <v>0</v>
      </c>
      <c r="CC28" s="397">
        <f t="shared" ca="1" si="22"/>
        <v>0</v>
      </c>
      <c r="CD28" s="397">
        <f t="shared" ca="1" si="23"/>
        <v>0</v>
      </c>
      <c r="CE28" s="397">
        <f t="shared" ca="1" si="24"/>
        <v>0</v>
      </c>
      <c r="CF28" s="397">
        <f t="shared" ca="1" si="25"/>
        <v>0</v>
      </c>
      <c r="CG28" s="397">
        <f t="shared" ca="1" si="26"/>
        <v>0</v>
      </c>
      <c r="CH28" s="397">
        <f t="shared" ca="1" si="27"/>
        <v>0</v>
      </c>
      <c r="CI28" s="397">
        <f t="shared" ca="1" si="28"/>
        <v>0</v>
      </c>
      <c r="CJ28" s="397">
        <f t="shared" ca="1" si="29"/>
        <v>0</v>
      </c>
      <c r="CK28" s="397">
        <f t="shared" ca="1" si="30"/>
        <v>0</v>
      </c>
      <c r="CL28" s="397">
        <f t="shared" ca="1" si="31"/>
        <v>0</v>
      </c>
      <c r="CM28" s="397">
        <f t="shared" ca="1" si="32"/>
        <v>0</v>
      </c>
      <c r="CN28" s="397">
        <f t="shared" ca="1" si="33"/>
        <v>0</v>
      </c>
      <c r="CO28" s="397">
        <f t="shared" ca="1" si="34"/>
        <v>0</v>
      </c>
      <c r="CP28" s="397">
        <f t="shared" ca="1" si="35"/>
        <v>0</v>
      </c>
      <c r="CQ28" s="397">
        <f t="shared" ca="1" si="36"/>
        <v>0</v>
      </c>
      <c r="CR28" s="397">
        <f t="shared" ca="1" si="37"/>
        <v>0</v>
      </c>
      <c r="CS28" s="397">
        <f t="shared" ca="1" si="38"/>
        <v>0</v>
      </c>
      <c r="CT28" s="397">
        <f t="shared" ca="1" si="39"/>
        <v>0</v>
      </c>
      <c r="CU28" s="397">
        <f t="shared" ca="1" si="40"/>
        <v>0</v>
      </c>
      <c r="CV28" s="397">
        <f t="shared" ca="1" si="41"/>
        <v>0</v>
      </c>
      <c r="CW28" s="397">
        <f t="shared" ca="1" si="42"/>
        <v>0</v>
      </c>
      <c r="CX28" s="440">
        <f t="shared" ca="1" si="43"/>
        <v>0</v>
      </c>
      <c r="CY28" s="335">
        <f t="shared" si="44"/>
        <v>0</v>
      </c>
      <c r="CZ28" s="16"/>
      <c r="DA28" s="16"/>
      <c r="DB28" s="16"/>
      <c r="DC28" s="16"/>
      <c r="DD28" s="16"/>
      <c r="DE28" s="16"/>
      <c r="DF28" s="16"/>
      <c r="DG28" s="16"/>
      <c r="DH28" s="16"/>
    </row>
    <row r="29" spans="1:112" s="77" customFormat="1" ht="15" customHeight="1">
      <c r="A29" s="266" t="str">
        <f t="shared" ca="1" si="45"/>
        <v>Tm19</v>
      </c>
      <c r="B29" s="462"/>
      <c r="C29" s="402">
        <f ca="1">IF(DrawFinder!AB29=0,"",DrawFinder!AB29)</f>
        <v>-1</v>
      </c>
      <c r="D29" s="402" t="str">
        <f ca="1">IF(DrawFinder!AC29=0,"",DrawFinder!AC29)</f>
        <v>-</v>
      </c>
      <c r="E29" s="402">
        <f ca="1">IF(DrawFinder!AD29=0,"",DrawFinder!AD29)</f>
        <v>3</v>
      </c>
      <c r="F29" s="402" t="str">
        <f ca="1">IF(DrawFinder!AE29=0,"",DrawFinder!AE29)</f>
        <v>-</v>
      </c>
      <c r="G29" s="402" t="str">
        <f ca="1">IF(DrawFinder!AF29=0,"",DrawFinder!AF29)</f>
        <v>-</v>
      </c>
      <c r="H29" s="402">
        <f ca="1">IF(DrawFinder!AG29=0,"",DrawFinder!AG29)</f>
        <v>-2</v>
      </c>
      <c r="I29" s="402" t="str">
        <f ca="1">IF(DrawFinder!AH29=0,"",DrawFinder!AH29)</f>
        <v>-</v>
      </c>
      <c r="J29" s="402">
        <f ca="1">IF(DrawFinder!AI29=0,"",DrawFinder!AI29)</f>
        <v>1</v>
      </c>
      <c r="K29" s="402">
        <f ca="1">IF(DrawFinder!AJ29=0,"",DrawFinder!AJ29)</f>
        <v>-5</v>
      </c>
      <c r="L29" s="402" t="str">
        <f ca="1">IF(DrawFinder!AK29=0,"",DrawFinder!AK29)</f>
        <v>-</v>
      </c>
      <c r="M29" s="402" t="str">
        <f ca="1">IF(DrawFinder!AL29=0,"",DrawFinder!AL29)</f>
        <v>-</v>
      </c>
      <c r="N29" s="402">
        <f ca="1">IF(DrawFinder!AM29=0,"",DrawFinder!AM29)</f>
        <v>-4</v>
      </c>
      <c r="O29" s="402">
        <f ca="1">IF(DrawFinder!AN29=0,"",DrawFinder!AN29)</f>
        <v>6</v>
      </c>
      <c r="P29" s="402" t="str">
        <f ca="1">IF(DrawFinder!AO29=0,"",DrawFinder!AO29)</f>
        <v>-</v>
      </c>
      <c r="Q29" s="402" t="str">
        <f ca="1">IF(DrawFinder!AP29=0,"",DrawFinder!AP29)</f>
        <v/>
      </c>
      <c r="R29" s="402" t="str">
        <f ca="1">IF(DrawFinder!AQ29=0,"",DrawFinder!AQ29)</f>
        <v/>
      </c>
      <c r="S29" s="402" t="str">
        <f ca="1">IF(DrawFinder!AR29=0,"",DrawFinder!AR29)</f>
        <v/>
      </c>
      <c r="T29" s="402" t="str">
        <f ca="1">IF(DrawFinder!AS29=0,"",DrawFinder!AS29)</f>
        <v/>
      </c>
      <c r="U29" s="402" t="str">
        <f ca="1">IF(DrawFinder!AT29=0,"",DrawFinder!AT29)</f>
        <v/>
      </c>
      <c r="V29" s="402" t="str">
        <f ca="1">IF(DrawFinder!AU29=0,"",DrawFinder!AU29)</f>
        <v/>
      </c>
      <c r="W29" s="402" t="str">
        <f ca="1">IF(DrawFinder!AV29=0,"",DrawFinder!AV29)</f>
        <v/>
      </c>
      <c r="X29" s="402" t="str">
        <f ca="1">IF(DrawFinder!AW29=0,"",DrawFinder!AW29)</f>
        <v/>
      </c>
      <c r="Y29" s="402" t="str">
        <f ca="1">IF(DrawFinder!AX29=0,"",DrawFinder!AX29)</f>
        <v/>
      </c>
      <c r="Z29" s="402" t="str">
        <f ca="1">IF(DrawFinder!AY29=0,"",DrawFinder!AY29)</f>
        <v/>
      </c>
      <c r="AA29" s="402" t="str">
        <f ca="1">IF(DrawFinder!AZ29=0,"",DrawFinder!AZ29)</f>
        <v/>
      </c>
      <c r="AB29" s="402" t="str">
        <f ca="1">IF(DrawFinder!BA29=0,"",DrawFinder!BA29)</f>
        <v/>
      </c>
      <c r="AC29" s="402" t="str">
        <f ca="1">IF(DrawFinder!BB29=0,"",DrawFinder!BB29)</f>
        <v/>
      </c>
      <c r="AD29" s="402" t="str">
        <f ca="1">IF(DrawFinder!BC29=0,"",DrawFinder!BC29)</f>
        <v/>
      </c>
      <c r="AE29" s="402" t="str">
        <f ca="1">IF(DrawFinder!BD29=0,"",DrawFinder!BD29)</f>
        <v/>
      </c>
      <c r="AF29" s="402" t="str">
        <f ca="1">IF(DrawFinder!BE29=0,"",DrawFinder!BE29)</f>
        <v/>
      </c>
      <c r="AG29" s="402" t="str">
        <f ca="1">IF(DrawFinder!BF29=0,"",DrawFinder!BF29)</f>
        <v/>
      </c>
      <c r="AH29" s="402" t="str">
        <f ca="1">IF(DrawFinder!BG29=0,"",DrawFinder!BG29)</f>
        <v/>
      </c>
      <c r="AI29" s="402" t="str">
        <f ca="1">IF(DrawFinder!BH29=0,"",DrawFinder!BH29)</f>
        <v/>
      </c>
      <c r="AJ29" s="402" t="str">
        <f ca="1">IF(DrawFinder!BI29=0,"",DrawFinder!BI29)</f>
        <v/>
      </c>
      <c r="AK29" s="402" t="str">
        <f ca="1">IF(DrawFinder!BJ29=0,"",DrawFinder!BJ29)</f>
        <v/>
      </c>
      <c r="AL29" s="402" t="str">
        <f ca="1">IF(DrawFinder!BK29=0,"",DrawFinder!BK29)</f>
        <v/>
      </c>
      <c r="AM29" s="402" t="str">
        <f ca="1">IF(DrawFinder!BL29=0,"",DrawFinder!BL29)</f>
        <v/>
      </c>
      <c r="AN29" s="402" t="str">
        <f ca="1">IF(DrawFinder!BM29=0,"",DrawFinder!BM29)</f>
        <v/>
      </c>
      <c r="AO29" s="402" t="str">
        <f ca="1">IF(DrawFinder!BN29=0,"",DrawFinder!BN29)</f>
        <v/>
      </c>
      <c r="AP29" s="400" t="str">
        <f ca="1">IF(DrawFinder!BO29=0,"",DrawFinder!BO29)</f>
        <v/>
      </c>
      <c r="AQ29" s="81">
        <f>IF(DrawFinder!Y29=0,"",DrawFinder!Y29)</f>
        <v>3</v>
      </c>
      <c r="AR29" s="79" t="str">
        <f t="shared" ca="1" si="46"/>
        <v>Tm19</v>
      </c>
      <c r="AS29" s="81">
        <f t="shared" ca="1" si="47"/>
        <v>19</v>
      </c>
      <c r="AT29" s="84">
        <f t="shared" ca="1" si="48"/>
        <v>7</v>
      </c>
      <c r="AU29" s="336">
        <f t="shared" ca="1" si="49"/>
        <v>2</v>
      </c>
      <c r="AV29" s="336">
        <f t="shared" ca="1" si="49"/>
        <v>1</v>
      </c>
      <c r="AW29" s="336">
        <f t="shared" ca="1" si="49"/>
        <v>1</v>
      </c>
      <c r="AX29" s="336">
        <f t="shared" ca="1" si="49"/>
        <v>1</v>
      </c>
      <c r="AY29" s="336">
        <f t="shared" ca="1" si="49"/>
        <v>1</v>
      </c>
      <c r="AZ29" s="336">
        <f t="shared" ca="1" si="49"/>
        <v>1</v>
      </c>
      <c r="BA29" s="336">
        <f t="shared" ca="1" si="49"/>
        <v>0</v>
      </c>
      <c r="BB29" s="336">
        <f t="shared" ca="1" si="49"/>
        <v>0</v>
      </c>
      <c r="BC29" s="336">
        <f t="shared" ca="1" si="49"/>
        <v>0</v>
      </c>
      <c r="BD29" s="336">
        <f t="shared" ca="1" si="49"/>
        <v>0</v>
      </c>
      <c r="BE29" s="83">
        <f t="shared" ca="1" si="1"/>
        <v>4</v>
      </c>
      <c r="BF29" s="84">
        <f t="shared" ca="1" si="50"/>
        <v>3</v>
      </c>
      <c r="BH29" s="407">
        <f t="shared" ca="1" si="2"/>
        <v>4</v>
      </c>
      <c r="BI29" s="408">
        <f t="shared" ca="1" si="3"/>
        <v>3</v>
      </c>
      <c r="BK29" s="439">
        <f t="shared" ca="1" si="4"/>
        <v>1</v>
      </c>
      <c r="BL29" s="397">
        <f t="shared" ca="1" si="5"/>
        <v>0</v>
      </c>
      <c r="BM29" s="397">
        <f t="shared" ca="1" si="6"/>
        <v>1</v>
      </c>
      <c r="BN29" s="397">
        <f t="shared" ca="1" si="7"/>
        <v>0</v>
      </c>
      <c r="BO29" s="397">
        <f t="shared" ca="1" si="8"/>
        <v>0</v>
      </c>
      <c r="BP29" s="397">
        <f t="shared" ca="1" si="9"/>
        <v>0</v>
      </c>
      <c r="BQ29" s="397">
        <f t="shared" ca="1" si="10"/>
        <v>0</v>
      </c>
      <c r="BR29" s="397">
        <f t="shared" ca="1" si="11"/>
        <v>0</v>
      </c>
      <c r="BS29" s="397">
        <f t="shared" ca="1" si="12"/>
        <v>1</v>
      </c>
      <c r="BT29" s="397">
        <f t="shared" ca="1" si="13"/>
        <v>0</v>
      </c>
      <c r="BU29" s="397">
        <f t="shared" ca="1" si="14"/>
        <v>0</v>
      </c>
      <c r="BV29" s="397">
        <f t="shared" ca="1" si="15"/>
        <v>0</v>
      </c>
      <c r="BW29" s="397">
        <f t="shared" ca="1" si="16"/>
        <v>1</v>
      </c>
      <c r="BX29" s="397">
        <f t="shared" ca="1" si="17"/>
        <v>0</v>
      </c>
      <c r="BY29" s="397">
        <f t="shared" ca="1" si="18"/>
        <v>0</v>
      </c>
      <c r="BZ29" s="397">
        <f t="shared" ca="1" si="19"/>
        <v>0</v>
      </c>
      <c r="CA29" s="397">
        <f t="shared" ca="1" si="20"/>
        <v>0</v>
      </c>
      <c r="CB29" s="397">
        <f t="shared" ca="1" si="21"/>
        <v>0</v>
      </c>
      <c r="CC29" s="397">
        <f t="shared" ca="1" si="22"/>
        <v>0</v>
      </c>
      <c r="CD29" s="397">
        <f t="shared" ca="1" si="23"/>
        <v>0</v>
      </c>
      <c r="CE29" s="397">
        <f t="shared" ca="1" si="24"/>
        <v>0</v>
      </c>
      <c r="CF29" s="397">
        <f t="shared" ca="1" si="25"/>
        <v>0</v>
      </c>
      <c r="CG29" s="397">
        <f t="shared" ca="1" si="26"/>
        <v>0</v>
      </c>
      <c r="CH29" s="397">
        <f t="shared" ca="1" si="27"/>
        <v>0</v>
      </c>
      <c r="CI29" s="397">
        <f t="shared" ca="1" si="28"/>
        <v>0</v>
      </c>
      <c r="CJ29" s="397">
        <f t="shared" ca="1" si="29"/>
        <v>0</v>
      </c>
      <c r="CK29" s="397">
        <f t="shared" ca="1" si="30"/>
        <v>0</v>
      </c>
      <c r="CL29" s="397">
        <f t="shared" ca="1" si="31"/>
        <v>0</v>
      </c>
      <c r="CM29" s="397">
        <f t="shared" ca="1" si="32"/>
        <v>0</v>
      </c>
      <c r="CN29" s="397">
        <f t="shared" ca="1" si="33"/>
        <v>0</v>
      </c>
      <c r="CO29" s="397">
        <f t="shared" ca="1" si="34"/>
        <v>0</v>
      </c>
      <c r="CP29" s="397">
        <f t="shared" ca="1" si="35"/>
        <v>0</v>
      </c>
      <c r="CQ29" s="397">
        <f t="shared" ca="1" si="36"/>
        <v>0</v>
      </c>
      <c r="CR29" s="397">
        <f t="shared" ca="1" si="37"/>
        <v>0</v>
      </c>
      <c r="CS29" s="397">
        <f t="shared" ca="1" si="38"/>
        <v>0</v>
      </c>
      <c r="CT29" s="397">
        <f t="shared" ca="1" si="39"/>
        <v>0</v>
      </c>
      <c r="CU29" s="397">
        <f t="shared" ca="1" si="40"/>
        <v>0</v>
      </c>
      <c r="CV29" s="397">
        <f t="shared" ca="1" si="41"/>
        <v>0</v>
      </c>
      <c r="CW29" s="397">
        <f t="shared" ca="1" si="42"/>
        <v>0</v>
      </c>
      <c r="CX29" s="440">
        <f t="shared" ca="1" si="43"/>
        <v>0</v>
      </c>
      <c r="CY29" s="335">
        <f t="shared" si="44"/>
        <v>0</v>
      </c>
      <c r="CZ29" s="16"/>
      <c r="DA29" s="16"/>
      <c r="DB29" s="16"/>
      <c r="DC29" s="16"/>
      <c r="DD29" s="16"/>
      <c r="DE29" s="16"/>
      <c r="DF29" s="16"/>
      <c r="DG29" s="16"/>
      <c r="DH29" s="16"/>
    </row>
    <row r="30" spans="1:112" s="77" customFormat="1" ht="15" customHeight="1">
      <c r="A30" s="266" t="str">
        <f t="shared" ca="1" si="45"/>
        <v>Tm20</v>
      </c>
      <c r="B30" s="462"/>
      <c r="C30" s="402" t="str">
        <f ca="1">IF(DrawFinder!AB30=0,"",DrawFinder!AB30)</f>
        <v>-</v>
      </c>
      <c r="D30" s="402">
        <f ca="1">IF(DrawFinder!AC30=0,"",DrawFinder!AC30)</f>
        <v>1</v>
      </c>
      <c r="E30" s="402">
        <f ca="1">IF(DrawFinder!AD30=0,"",DrawFinder!AD30)</f>
        <v>5</v>
      </c>
      <c r="F30" s="402" t="str">
        <f ca="1">IF(DrawFinder!AE30=0,"",DrawFinder!AE30)</f>
        <v>-</v>
      </c>
      <c r="G30" s="402" t="str">
        <f ca="1">IF(DrawFinder!AF30=0,"",DrawFinder!AF30)</f>
        <v>-</v>
      </c>
      <c r="H30" s="402">
        <f ca="1">IF(DrawFinder!AG30=0,"",DrawFinder!AG30)</f>
        <v>-4</v>
      </c>
      <c r="I30" s="402">
        <f ca="1">IF(DrawFinder!AH30=0,"",DrawFinder!AH30)</f>
        <v>-1</v>
      </c>
      <c r="J30" s="402" t="str">
        <f ca="1">IF(DrawFinder!AI30=0,"",DrawFinder!AI30)</f>
        <v>-</v>
      </c>
      <c r="K30" s="402">
        <f ca="1">IF(DrawFinder!AJ30=0,"",DrawFinder!AJ30)</f>
        <v>2</v>
      </c>
      <c r="L30" s="402" t="str">
        <f ca="1">IF(DrawFinder!AK30=0,"",DrawFinder!AK30)</f>
        <v>-</v>
      </c>
      <c r="M30" s="402" t="str">
        <f ca="1">IF(DrawFinder!AL30=0,"",DrawFinder!AL30)</f>
        <v>-</v>
      </c>
      <c r="N30" s="402">
        <f ca="1">IF(DrawFinder!AM30=0,"",DrawFinder!AM30)</f>
        <v>3</v>
      </c>
      <c r="O30" s="402">
        <f ca="1">IF(DrawFinder!AN30=0,"",DrawFinder!AN30)</f>
        <v>-6</v>
      </c>
      <c r="P30" s="402" t="str">
        <f ca="1">IF(DrawFinder!AO30=0,"",DrawFinder!AO30)</f>
        <v>-</v>
      </c>
      <c r="Q30" s="402" t="str">
        <f ca="1">IF(DrawFinder!AP30=0,"",DrawFinder!AP30)</f>
        <v/>
      </c>
      <c r="R30" s="402" t="str">
        <f ca="1">IF(DrawFinder!AQ30=0,"",DrawFinder!AQ30)</f>
        <v/>
      </c>
      <c r="S30" s="402" t="str">
        <f ca="1">IF(DrawFinder!AR30=0,"",DrawFinder!AR30)</f>
        <v/>
      </c>
      <c r="T30" s="402" t="str">
        <f ca="1">IF(DrawFinder!AS30=0,"",DrawFinder!AS30)</f>
        <v/>
      </c>
      <c r="U30" s="402" t="str">
        <f ca="1">IF(DrawFinder!AT30=0,"",DrawFinder!AT30)</f>
        <v/>
      </c>
      <c r="V30" s="402" t="str">
        <f ca="1">IF(DrawFinder!AU30=0,"",DrawFinder!AU30)</f>
        <v/>
      </c>
      <c r="W30" s="402" t="str">
        <f ca="1">IF(DrawFinder!AV30=0,"",DrawFinder!AV30)</f>
        <v/>
      </c>
      <c r="X30" s="402" t="str">
        <f ca="1">IF(DrawFinder!AW30=0,"",DrawFinder!AW30)</f>
        <v/>
      </c>
      <c r="Y30" s="402" t="str">
        <f ca="1">IF(DrawFinder!AX30=0,"",DrawFinder!AX30)</f>
        <v/>
      </c>
      <c r="Z30" s="402" t="str">
        <f ca="1">IF(DrawFinder!AY30=0,"",DrawFinder!AY30)</f>
        <v/>
      </c>
      <c r="AA30" s="402" t="str">
        <f ca="1">IF(DrawFinder!AZ30=0,"",DrawFinder!AZ30)</f>
        <v/>
      </c>
      <c r="AB30" s="402" t="str">
        <f ca="1">IF(DrawFinder!BA30=0,"",DrawFinder!BA30)</f>
        <v/>
      </c>
      <c r="AC30" s="402" t="str">
        <f ca="1">IF(DrawFinder!BB30=0,"",DrawFinder!BB30)</f>
        <v/>
      </c>
      <c r="AD30" s="402" t="str">
        <f ca="1">IF(DrawFinder!BC30=0,"",DrawFinder!BC30)</f>
        <v/>
      </c>
      <c r="AE30" s="402" t="str">
        <f ca="1">IF(DrawFinder!BD30=0,"",DrawFinder!BD30)</f>
        <v/>
      </c>
      <c r="AF30" s="402" t="str">
        <f ca="1">IF(DrawFinder!BE30=0,"",DrawFinder!BE30)</f>
        <v/>
      </c>
      <c r="AG30" s="402" t="str">
        <f ca="1">IF(DrawFinder!BF30=0,"",DrawFinder!BF30)</f>
        <v/>
      </c>
      <c r="AH30" s="402" t="str">
        <f ca="1">IF(DrawFinder!BG30=0,"",DrawFinder!BG30)</f>
        <v/>
      </c>
      <c r="AI30" s="402" t="str">
        <f ca="1">IF(DrawFinder!BH30=0,"",DrawFinder!BH30)</f>
        <v/>
      </c>
      <c r="AJ30" s="402" t="str">
        <f ca="1">IF(DrawFinder!BI30=0,"",DrawFinder!BI30)</f>
        <v/>
      </c>
      <c r="AK30" s="402" t="str">
        <f ca="1">IF(DrawFinder!BJ30=0,"",DrawFinder!BJ30)</f>
        <v/>
      </c>
      <c r="AL30" s="402" t="str">
        <f ca="1">IF(DrawFinder!BK30=0,"",DrawFinder!BK30)</f>
        <v/>
      </c>
      <c r="AM30" s="402" t="str">
        <f ca="1">IF(DrawFinder!BL30=0,"",DrawFinder!BL30)</f>
        <v/>
      </c>
      <c r="AN30" s="402" t="str">
        <f ca="1">IF(DrawFinder!BM30=0,"",DrawFinder!BM30)</f>
        <v/>
      </c>
      <c r="AO30" s="402" t="str">
        <f ca="1">IF(DrawFinder!BN30=0,"",DrawFinder!BN30)</f>
        <v/>
      </c>
      <c r="AP30" s="400" t="str">
        <f ca="1">IF(DrawFinder!BO30=0,"",DrawFinder!BO30)</f>
        <v/>
      </c>
      <c r="AQ30" s="81">
        <f>IF(DrawFinder!Y30=0,"",DrawFinder!Y30)</f>
        <v>3</v>
      </c>
      <c r="AR30" s="79" t="str">
        <f t="shared" ca="1" si="46"/>
        <v>Tm20</v>
      </c>
      <c r="AS30" s="81">
        <f t="shared" ca="1" si="47"/>
        <v>20</v>
      </c>
      <c r="AT30" s="84">
        <f t="shared" ca="1" si="48"/>
        <v>7</v>
      </c>
      <c r="AU30" s="336">
        <f t="shared" ca="1" si="49"/>
        <v>2</v>
      </c>
      <c r="AV30" s="336">
        <f t="shared" ca="1" si="49"/>
        <v>1</v>
      </c>
      <c r="AW30" s="336">
        <f t="shared" ca="1" si="49"/>
        <v>1</v>
      </c>
      <c r="AX30" s="336">
        <f t="shared" ca="1" si="49"/>
        <v>1</v>
      </c>
      <c r="AY30" s="336">
        <f t="shared" ca="1" si="49"/>
        <v>1</v>
      </c>
      <c r="AZ30" s="336">
        <f t="shared" ca="1" si="49"/>
        <v>1</v>
      </c>
      <c r="BA30" s="336">
        <f t="shared" ca="1" si="49"/>
        <v>0</v>
      </c>
      <c r="BB30" s="336">
        <f t="shared" ca="1" si="49"/>
        <v>0</v>
      </c>
      <c r="BC30" s="336">
        <f t="shared" ca="1" si="49"/>
        <v>0</v>
      </c>
      <c r="BD30" s="336">
        <f t="shared" ca="1" si="49"/>
        <v>0</v>
      </c>
      <c r="BE30" s="83">
        <f t="shared" ca="1" si="1"/>
        <v>4</v>
      </c>
      <c r="BF30" s="84">
        <f t="shared" ca="1" si="50"/>
        <v>3</v>
      </c>
      <c r="BH30" s="407">
        <f t="shared" ca="1" si="2"/>
        <v>3</v>
      </c>
      <c r="BI30" s="408">
        <f t="shared" ca="1" si="3"/>
        <v>4</v>
      </c>
      <c r="BK30" s="439">
        <f t="shared" ca="1" si="4"/>
        <v>0</v>
      </c>
      <c r="BL30" s="397">
        <f t="shared" ca="1" si="5"/>
        <v>0</v>
      </c>
      <c r="BM30" s="397">
        <f t="shared" ca="1" si="6"/>
        <v>1</v>
      </c>
      <c r="BN30" s="397">
        <f t="shared" ca="1" si="7"/>
        <v>0</v>
      </c>
      <c r="BO30" s="397">
        <f t="shared" ca="1" si="8"/>
        <v>0</v>
      </c>
      <c r="BP30" s="397">
        <f t="shared" ca="1" si="9"/>
        <v>0</v>
      </c>
      <c r="BQ30" s="397">
        <f t="shared" ca="1" si="10"/>
        <v>1</v>
      </c>
      <c r="BR30" s="397">
        <f t="shared" ca="1" si="11"/>
        <v>0</v>
      </c>
      <c r="BS30" s="397">
        <f t="shared" ca="1" si="12"/>
        <v>1</v>
      </c>
      <c r="BT30" s="397">
        <f t="shared" ca="1" si="13"/>
        <v>0</v>
      </c>
      <c r="BU30" s="397">
        <f t="shared" ca="1" si="14"/>
        <v>0</v>
      </c>
      <c r="BV30" s="397">
        <f t="shared" ca="1" si="15"/>
        <v>0</v>
      </c>
      <c r="BW30" s="397">
        <f t="shared" ca="1" si="16"/>
        <v>1</v>
      </c>
      <c r="BX30" s="397">
        <f t="shared" ca="1" si="17"/>
        <v>0</v>
      </c>
      <c r="BY30" s="397">
        <f t="shared" ca="1" si="18"/>
        <v>0</v>
      </c>
      <c r="BZ30" s="397">
        <f t="shared" ca="1" si="19"/>
        <v>0</v>
      </c>
      <c r="CA30" s="397">
        <f t="shared" ca="1" si="20"/>
        <v>0</v>
      </c>
      <c r="CB30" s="397">
        <f t="shared" ca="1" si="21"/>
        <v>0</v>
      </c>
      <c r="CC30" s="397">
        <f t="shared" ca="1" si="22"/>
        <v>0</v>
      </c>
      <c r="CD30" s="397">
        <f t="shared" ca="1" si="23"/>
        <v>0</v>
      </c>
      <c r="CE30" s="397">
        <f t="shared" ca="1" si="24"/>
        <v>0</v>
      </c>
      <c r="CF30" s="397">
        <f t="shared" ca="1" si="25"/>
        <v>0</v>
      </c>
      <c r="CG30" s="397">
        <f t="shared" ca="1" si="26"/>
        <v>0</v>
      </c>
      <c r="CH30" s="397">
        <f t="shared" ca="1" si="27"/>
        <v>0</v>
      </c>
      <c r="CI30" s="397">
        <f t="shared" ca="1" si="28"/>
        <v>0</v>
      </c>
      <c r="CJ30" s="397">
        <f t="shared" ca="1" si="29"/>
        <v>0</v>
      </c>
      <c r="CK30" s="397">
        <f t="shared" ca="1" si="30"/>
        <v>0</v>
      </c>
      <c r="CL30" s="397">
        <f t="shared" ca="1" si="31"/>
        <v>0</v>
      </c>
      <c r="CM30" s="397">
        <f t="shared" ca="1" si="32"/>
        <v>0</v>
      </c>
      <c r="CN30" s="397">
        <f t="shared" ca="1" si="33"/>
        <v>0</v>
      </c>
      <c r="CO30" s="397">
        <f t="shared" ca="1" si="34"/>
        <v>0</v>
      </c>
      <c r="CP30" s="397">
        <f t="shared" ca="1" si="35"/>
        <v>0</v>
      </c>
      <c r="CQ30" s="397">
        <f t="shared" ca="1" si="36"/>
        <v>0</v>
      </c>
      <c r="CR30" s="397">
        <f t="shared" ca="1" si="37"/>
        <v>0</v>
      </c>
      <c r="CS30" s="397">
        <f t="shared" ca="1" si="38"/>
        <v>0</v>
      </c>
      <c r="CT30" s="397">
        <f t="shared" ca="1" si="39"/>
        <v>0</v>
      </c>
      <c r="CU30" s="397">
        <f t="shared" ca="1" si="40"/>
        <v>0</v>
      </c>
      <c r="CV30" s="397">
        <f t="shared" ca="1" si="41"/>
        <v>0</v>
      </c>
      <c r="CW30" s="397">
        <f t="shared" ca="1" si="42"/>
        <v>0</v>
      </c>
      <c r="CX30" s="440">
        <f t="shared" ca="1" si="43"/>
        <v>0</v>
      </c>
      <c r="CY30" s="335">
        <f t="shared" si="44"/>
        <v>0</v>
      </c>
      <c r="CZ30" s="16"/>
      <c r="DA30" s="16"/>
      <c r="DB30" s="16"/>
      <c r="DC30" s="16"/>
      <c r="DD30" s="16"/>
      <c r="DE30" s="16"/>
      <c r="DF30" s="16"/>
      <c r="DG30" s="16"/>
      <c r="DH30" s="16"/>
    </row>
    <row r="31" spans="1:112" s="77" customFormat="1" ht="15" customHeight="1">
      <c r="A31" s="266" t="str">
        <f t="shared" ca="1" si="45"/>
        <v>Tm21</v>
      </c>
      <c r="B31" s="462"/>
      <c r="C31" s="402" t="str">
        <f ca="1">IF(DrawFinder!AB31=0,"",DrawFinder!AB31)</f>
        <v>-</v>
      </c>
      <c r="D31" s="402">
        <f ca="1">IF(DrawFinder!AC31=0,"",DrawFinder!AC31)</f>
        <v>-1</v>
      </c>
      <c r="E31" s="402">
        <f ca="1">IF(DrawFinder!AD31=0,"",DrawFinder!AD31)</f>
        <v>-3</v>
      </c>
      <c r="F31" s="402" t="str">
        <f ca="1">IF(DrawFinder!AE31=0,"",DrawFinder!AE31)</f>
        <v>-</v>
      </c>
      <c r="G31" s="402">
        <f ca="1">IF(DrawFinder!AF31=0,"",DrawFinder!AF31)</f>
        <v>5</v>
      </c>
      <c r="H31" s="402" t="str">
        <f ca="1">IF(DrawFinder!AG31=0,"",DrawFinder!AG31)</f>
        <v>-</v>
      </c>
      <c r="I31" s="402" t="str">
        <f ca="1">IF(DrawFinder!AH31=0,"",DrawFinder!AH31)</f>
        <v>-</v>
      </c>
      <c r="J31" s="402">
        <f ca="1">IF(DrawFinder!AI31=0,"",DrawFinder!AI31)</f>
        <v>6</v>
      </c>
      <c r="K31" s="402" t="str">
        <f ca="1">IF(DrawFinder!AJ31=0,"",DrawFinder!AJ31)</f>
        <v>-</v>
      </c>
      <c r="L31" s="402">
        <f ca="1">IF(DrawFinder!AK31=0,"",DrawFinder!AK31)</f>
        <v>-2</v>
      </c>
      <c r="M31" s="402">
        <f ca="1">IF(DrawFinder!AL31=0,"",DrawFinder!AL31)</f>
        <v>-4</v>
      </c>
      <c r="N31" s="402" t="str">
        <f ca="1">IF(DrawFinder!AM31=0,"",DrawFinder!AM31)</f>
        <v>-</v>
      </c>
      <c r="O31" s="402" t="str">
        <f ca="1">IF(DrawFinder!AN31=0,"",DrawFinder!AN31)</f>
        <v>-</v>
      </c>
      <c r="P31" s="402">
        <f ca="1">IF(DrawFinder!AO31=0,"",DrawFinder!AO31)</f>
        <v>1</v>
      </c>
      <c r="Q31" s="402" t="str">
        <f ca="1">IF(DrawFinder!AP31=0,"",DrawFinder!AP31)</f>
        <v/>
      </c>
      <c r="R31" s="402" t="str">
        <f ca="1">IF(DrawFinder!AQ31=0,"",DrawFinder!AQ31)</f>
        <v/>
      </c>
      <c r="S31" s="402" t="str">
        <f ca="1">IF(DrawFinder!AR31=0,"",DrawFinder!AR31)</f>
        <v/>
      </c>
      <c r="T31" s="402" t="str">
        <f ca="1">IF(DrawFinder!AS31=0,"",DrawFinder!AS31)</f>
        <v/>
      </c>
      <c r="U31" s="402" t="str">
        <f ca="1">IF(DrawFinder!AT31=0,"",DrawFinder!AT31)</f>
        <v/>
      </c>
      <c r="V31" s="402" t="str">
        <f ca="1">IF(DrawFinder!AU31=0,"",DrawFinder!AU31)</f>
        <v/>
      </c>
      <c r="W31" s="402" t="str">
        <f ca="1">IF(DrawFinder!AV31=0,"",DrawFinder!AV31)</f>
        <v/>
      </c>
      <c r="X31" s="402" t="str">
        <f ca="1">IF(DrawFinder!AW31=0,"",DrawFinder!AW31)</f>
        <v/>
      </c>
      <c r="Y31" s="402" t="str">
        <f ca="1">IF(DrawFinder!AX31=0,"",DrawFinder!AX31)</f>
        <v/>
      </c>
      <c r="Z31" s="402" t="str">
        <f ca="1">IF(DrawFinder!AY31=0,"",DrawFinder!AY31)</f>
        <v/>
      </c>
      <c r="AA31" s="402" t="str">
        <f ca="1">IF(DrawFinder!AZ31=0,"",DrawFinder!AZ31)</f>
        <v/>
      </c>
      <c r="AB31" s="402" t="str">
        <f ca="1">IF(DrawFinder!BA31=0,"",DrawFinder!BA31)</f>
        <v/>
      </c>
      <c r="AC31" s="402" t="str">
        <f ca="1">IF(DrawFinder!BB31=0,"",DrawFinder!BB31)</f>
        <v/>
      </c>
      <c r="AD31" s="402" t="str">
        <f ca="1">IF(DrawFinder!BC31=0,"",DrawFinder!BC31)</f>
        <v/>
      </c>
      <c r="AE31" s="402" t="str">
        <f ca="1">IF(DrawFinder!BD31=0,"",DrawFinder!BD31)</f>
        <v/>
      </c>
      <c r="AF31" s="402" t="str">
        <f ca="1">IF(DrawFinder!BE31=0,"",DrawFinder!BE31)</f>
        <v/>
      </c>
      <c r="AG31" s="402" t="str">
        <f ca="1">IF(DrawFinder!BF31=0,"",DrawFinder!BF31)</f>
        <v/>
      </c>
      <c r="AH31" s="402" t="str">
        <f ca="1">IF(DrawFinder!BG31=0,"",DrawFinder!BG31)</f>
        <v/>
      </c>
      <c r="AI31" s="402" t="str">
        <f ca="1">IF(DrawFinder!BH31=0,"",DrawFinder!BH31)</f>
        <v/>
      </c>
      <c r="AJ31" s="402" t="str">
        <f ca="1">IF(DrawFinder!BI31=0,"",DrawFinder!BI31)</f>
        <v/>
      </c>
      <c r="AK31" s="402" t="str">
        <f ca="1">IF(DrawFinder!BJ31=0,"",DrawFinder!BJ31)</f>
        <v/>
      </c>
      <c r="AL31" s="402" t="str">
        <f ca="1">IF(DrawFinder!BK31=0,"",DrawFinder!BK31)</f>
        <v/>
      </c>
      <c r="AM31" s="402" t="str">
        <f ca="1">IF(DrawFinder!BL31=0,"",DrawFinder!BL31)</f>
        <v/>
      </c>
      <c r="AN31" s="402" t="str">
        <f ca="1">IF(DrawFinder!BM31=0,"",DrawFinder!BM31)</f>
        <v/>
      </c>
      <c r="AO31" s="402" t="str">
        <f ca="1">IF(DrawFinder!BN31=0,"",DrawFinder!BN31)</f>
        <v/>
      </c>
      <c r="AP31" s="400" t="str">
        <f ca="1">IF(DrawFinder!BO31=0,"",DrawFinder!BO31)</f>
        <v/>
      </c>
      <c r="AQ31" s="81">
        <f>IF(DrawFinder!Y31=0,"",DrawFinder!Y31)</f>
        <v>3</v>
      </c>
      <c r="AR31" s="79" t="str">
        <f t="shared" ca="1" si="46"/>
        <v>Tm21</v>
      </c>
      <c r="AS31" s="81">
        <f t="shared" ca="1" si="47"/>
        <v>21</v>
      </c>
      <c r="AT31" s="84">
        <f t="shared" ca="1" si="48"/>
        <v>7</v>
      </c>
      <c r="AU31" s="336">
        <f t="shared" ca="1" si="49"/>
        <v>2</v>
      </c>
      <c r="AV31" s="336">
        <f t="shared" ca="1" si="49"/>
        <v>1</v>
      </c>
      <c r="AW31" s="336">
        <f t="shared" ca="1" si="49"/>
        <v>1</v>
      </c>
      <c r="AX31" s="336">
        <f t="shared" ca="1" si="49"/>
        <v>1</v>
      </c>
      <c r="AY31" s="336">
        <f t="shared" ca="1" si="49"/>
        <v>1</v>
      </c>
      <c r="AZ31" s="336">
        <f t="shared" ca="1" si="49"/>
        <v>1</v>
      </c>
      <c r="BA31" s="336">
        <f t="shared" ca="1" si="49"/>
        <v>0</v>
      </c>
      <c r="BB31" s="336">
        <f t="shared" ca="1" si="49"/>
        <v>0</v>
      </c>
      <c r="BC31" s="336">
        <f t="shared" ca="1" si="49"/>
        <v>0</v>
      </c>
      <c r="BD31" s="336">
        <f t="shared" ca="1" si="49"/>
        <v>0</v>
      </c>
      <c r="BE31" s="83">
        <f t="shared" ca="1" si="1"/>
        <v>3</v>
      </c>
      <c r="BF31" s="84">
        <f t="shared" ca="1" si="50"/>
        <v>4</v>
      </c>
      <c r="BH31" s="407">
        <f t="shared" ca="1" si="2"/>
        <v>4</v>
      </c>
      <c r="BI31" s="408">
        <f t="shared" ca="1" si="3"/>
        <v>3</v>
      </c>
      <c r="BK31" s="439">
        <f t="shared" ca="1" si="4"/>
        <v>0</v>
      </c>
      <c r="BL31" s="397">
        <f t="shared" ca="1" si="5"/>
        <v>0</v>
      </c>
      <c r="BM31" s="397">
        <f t="shared" ca="1" si="6"/>
        <v>1</v>
      </c>
      <c r="BN31" s="397">
        <f t="shared" ca="1" si="7"/>
        <v>0</v>
      </c>
      <c r="BO31" s="397">
        <f t="shared" ca="1" si="8"/>
        <v>1</v>
      </c>
      <c r="BP31" s="397">
        <f t="shared" ca="1" si="9"/>
        <v>0</v>
      </c>
      <c r="BQ31" s="397">
        <f t="shared" ca="1" si="10"/>
        <v>0</v>
      </c>
      <c r="BR31" s="397">
        <f t="shared" ca="1" si="11"/>
        <v>0</v>
      </c>
      <c r="BS31" s="397">
        <f t="shared" ca="1" si="12"/>
        <v>0</v>
      </c>
      <c r="BT31" s="397">
        <f t="shared" ca="1" si="13"/>
        <v>0</v>
      </c>
      <c r="BU31" s="397">
        <f t="shared" ca="1" si="14"/>
        <v>1</v>
      </c>
      <c r="BV31" s="397">
        <f t="shared" ca="1" si="15"/>
        <v>0</v>
      </c>
      <c r="BW31" s="397">
        <f t="shared" ca="1" si="16"/>
        <v>0</v>
      </c>
      <c r="BX31" s="397">
        <f t="shared" ca="1" si="17"/>
        <v>0</v>
      </c>
      <c r="BY31" s="397">
        <f t="shared" ca="1" si="18"/>
        <v>0</v>
      </c>
      <c r="BZ31" s="397">
        <f t="shared" ca="1" si="19"/>
        <v>0</v>
      </c>
      <c r="CA31" s="397">
        <f t="shared" ca="1" si="20"/>
        <v>0</v>
      </c>
      <c r="CB31" s="397">
        <f t="shared" ca="1" si="21"/>
        <v>0</v>
      </c>
      <c r="CC31" s="397">
        <f t="shared" ca="1" si="22"/>
        <v>0</v>
      </c>
      <c r="CD31" s="397">
        <f t="shared" ca="1" si="23"/>
        <v>0</v>
      </c>
      <c r="CE31" s="397">
        <f t="shared" ca="1" si="24"/>
        <v>0</v>
      </c>
      <c r="CF31" s="397">
        <f t="shared" ca="1" si="25"/>
        <v>0</v>
      </c>
      <c r="CG31" s="397">
        <f t="shared" ca="1" si="26"/>
        <v>0</v>
      </c>
      <c r="CH31" s="397">
        <f t="shared" ca="1" si="27"/>
        <v>0</v>
      </c>
      <c r="CI31" s="397">
        <f t="shared" ca="1" si="28"/>
        <v>0</v>
      </c>
      <c r="CJ31" s="397">
        <f t="shared" ca="1" si="29"/>
        <v>0</v>
      </c>
      <c r="CK31" s="397">
        <f t="shared" ca="1" si="30"/>
        <v>0</v>
      </c>
      <c r="CL31" s="397">
        <f t="shared" ca="1" si="31"/>
        <v>0</v>
      </c>
      <c r="CM31" s="397">
        <f t="shared" ca="1" si="32"/>
        <v>0</v>
      </c>
      <c r="CN31" s="397">
        <f t="shared" ca="1" si="33"/>
        <v>0</v>
      </c>
      <c r="CO31" s="397">
        <f t="shared" ca="1" si="34"/>
        <v>0</v>
      </c>
      <c r="CP31" s="397">
        <f t="shared" ca="1" si="35"/>
        <v>0</v>
      </c>
      <c r="CQ31" s="397">
        <f t="shared" ca="1" si="36"/>
        <v>0</v>
      </c>
      <c r="CR31" s="397">
        <f t="shared" ca="1" si="37"/>
        <v>0</v>
      </c>
      <c r="CS31" s="397">
        <f t="shared" ca="1" si="38"/>
        <v>0</v>
      </c>
      <c r="CT31" s="397">
        <f t="shared" ca="1" si="39"/>
        <v>0</v>
      </c>
      <c r="CU31" s="397">
        <f t="shared" ca="1" si="40"/>
        <v>0</v>
      </c>
      <c r="CV31" s="397">
        <f t="shared" ca="1" si="41"/>
        <v>0</v>
      </c>
      <c r="CW31" s="397">
        <f t="shared" ca="1" si="42"/>
        <v>0</v>
      </c>
      <c r="CX31" s="440">
        <f t="shared" ca="1" si="43"/>
        <v>0</v>
      </c>
      <c r="CY31" s="335">
        <f t="shared" si="44"/>
        <v>0</v>
      </c>
      <c r="CZ31" s="16"/>
      <c r="DA31" s="16"/>
      <c r="DB31" s="16"/>
      <c r="DC31" s="16"/>
      <c r="DD31" s="16"/>
      <c r="DE31" s="16"/>
      <c r="DF31" s="16"/>
      <c r="DG31" s="16"/>
      <c r="DH31" s="16"/>
    </row>
    <row r="32" spans="1:112" s="77" customFormat="1" ht="15" customHeight="1">
      <c r="A32" s="266" t="str">
        <f t="shared" ca="1" si="45"/>
        <v>Tm22</v>
      </c>
      <c r="B32" s="462"/>
      <c r="C32" s="402">
        <f ca="1">IF(DrawFinder!AB32=0,"",DrawFinder!AB32)</f>
        <v>1</v>
      </c>
      <c r="D32" s="402" t="str">
        <f ca="1">IF(DrawFinder!AC32=0,"",DrawFinder!AC32)</f>
        <v>-</v>
      </c>
      <c r="E32" s="402" t="str">
        <f ca="1">IF(DrawFinder!AD32=0,"",DrawFinder!AD32)</f>
        <v>-</v>
      </c>
      <c r="F32" s="402">
        <f ca="1">IF(DrawFinder!AE32=0,"",DrawFinder!AE32)</f>
        <v>-2</v>
      </c>
      <c r="G32" s="402" t="str">
        <f ca="1">IF(DrawFinder!AF32=0,"",DrawFinder!AF32)</f>
        <v>-</v>
      </c>
      <c r="H32" s="402">
        <f ca="1">IF(DrawFinder!AG32=0,"",DrawFinder!AG32)</f>
        <v>4</v>
      </c>
      <c r="I32" s="402">
        <f ca="1">IF(DrawFinder!AH32=0,"",DrawFinder!AH32)</f>
        <v>-6</v>
      </c>
      <c r="J32" s="402" t="str">
        <f ca="1">IF(DrawFinder!AI32=0,"",DrawFinder!AI32)</f>
        <v>-</v>
      </c>
      <c r="K32" s="402" t="str">
        <f ca="1">IF(DrawFinder!AJ32=0,"",DrawFinder!AJ32)</f>
        <v>-</v>
      </c>
      <c r="L32" s="402">
        <f ca="1">IF(DrawFinder!AK32=0,"",DrawFinder!AK32)</f>
        <v>5</v>
      </c>
      <c r="M32" s="402">
        <f ca="1">IF(DrawFinder!AL32=0,"",DrawFinder!AL32)</f>
        <v>-3</v>
      </c>
      <c r="N32" s="402" t="str">
        <f ca="1">IF(DrawFinder!AM32=0,"",DrawFinder!AM32)</f>
        <v>-</v>
      </c>
      <c r="O32" s="402" t="str">
        <f ca="1">IF(DrawFinder!AN32=0,"",DrawFinder!AN32)</f>
        <v>-</v>
      </c>
      <c r="P32" s="402">
        <f ca="1">IF(DrawFinder!AO32=0,"",DrawFinder!AO32)</f>
        <v>-1</v>
      </c>
      <c r="Q32" s="402" t="str">
        <f ca="1">IF(DrawFinder!AP32=0,"",DrawFinder!AP32)</f>
        <v/>
      </c>
      <c r="R32" s="402" t="str">
        <f ca="1">IF(DrawFinder!AQ32=0,"",DrawFinder!AQ32)</f>
        <v/>
      </c>
      <c r="S32" s="402" t="str">
        <f ca="1">IF(DrawFinder!AR32=0,"",DrawFinder!AR32)</f>
        <v/>
      </c>
      <c r="T32" s="402" t="str">
        <f ca="1">IF(DrawFinder!AS32=0,"",DrawFinder!AS32)</f>
        <v/>
      </c>
      <c r="U32" s="402" t="str">
        <f ca="1">IF(DrawFinder!AT32=0,"",DrawFinder!AT32)</f>
        <v/>
      </c>
      <c r="V32" s="402" t="str">
        <f ca="1">IF(DrawFinder!AU32=0,"",DrawFinder!AU32)</f>
        <v/>
      </c>
      <c r="W32" s="402" t="str">
        <f ca="1">IF(DrawFinder!AV32=0,"",DrawFinder!AV32)</f>
        <v/>
      </c>
      <c r="X32" s="402" t="str">
        <f ca="1">IF(DrawFinder!AW32=0,"",DrawFinder!AW32)</f>
        <v/>
      </c>
      <c r="Y32" s="402" t="str">
        <f ca="1">IF(DrawFinder!AX32=0,"",DrawFinder!AX32)</f>
        <v/>
      </c>
      <c r="Z32" s="402" t="str">
        <f ca="1">IF(DrawFinder!AY32=0,"",DrawFinder!AY32)</f>
        <v/>
      </c>
      <c r="AA32" s="402" t="str">
        <f ca="1">IF(DrawFinder!AZ32=0,"",DrawFinder!AZ32)</f>
        <v/>
      </c>
      <c r="AB32" s="402" t="str">
        <f ca="1">IF(DrawFinder!BA32=0,"",DrawFinder!BA32)</f>
        <v/>
      </c>
      <c r="AC32" s="402" t="str">
        <f ca="1">IF(DrawFinder!BB32=0,"",DrawFinder!BB32)</f>
        <v/>
      </c>
      <c r="AD32" s="402" t="str">
        <f ca="1">IF(DrawFinder!BC32=0,"",DrawFinder!BC32)</f>
        <v/>
      </c>
      <c r="AE32" s="402" t="str">
        <f ca="1">IF(DrawFinder!BD32=0,"",DrawFinder!BD32)</f>
        <v/>
      </c>
      <c r="AF32" s="402" t="str">
        <f ca="1">IF(DrawFinder!BE32=0,"",DrawFinder!BE32)</f>
        <v/>
      </c>
      <c r="AG32" s="402" t="str">
        <f ca="1">IF(DrawFinder!BF32=0,"",DrawFinder!BF32)</f>
        <v/>
      </c>
      <c r="AH32" s="402" t="str">
        <f ca="1">IF(DrawFinder!BG32=0,"",DrawFinder!BG32)</f>
        <v/>
      </c>
      <c r="AI32" s="402" t="str">
        <f ca="1">IF(DrawFinder!BH32=0,"",DrawFinder!BH32)</f>
        <v/>
      </c>
      <c r="AJ32" s="402" t="str">
        <f ca="1">IF(DrawFinder!BI32=0,"",DrawFinder!BI32)</f>
        <v/>
      </c>
      <c r="AK32" s="402" t="str">
        <f ca="1">IF(DrawFinder!BJ32=0,"",DrawFinder!BJ32)</f>
        <v/>
      </c>
      <c r="AL32" s="402" t="str">
        <f ca="1">IF(DrawFinder!BK32=0,"",DrawFinder!BK32)</f>
        <v/>
      </c>
      <c r="AM32" s="402" t="str">
        <f ca="1">IF(DrawFinder!BL32=0,"",DrawFinder!BL32)</f>
        <v/>
      </c>
      <c r="AN32" s="402" t="str">
        <f ca="1">IF(DrawFinder!BM32=0,"",DrawFinder!BM32)</f>
        <v/>
      </c>
      <c r="AO32" s="402" t="str">
        <f ca="1">IF(DrawFinder!BN32=0,"",DrawFinder!BN32)</f>
        <v/>
      </c>
      <c r="AP32" s="400" t="str">
        <f ca="1">IF(DrawFinder!BO32=0,"",DrawFinder!BO32)</f>
        <v/>
      </c>
      <c r="AQ32" s="81">
        <f>IF(DrawFinder!Y32=0,"",DrawFinder!Y32)</f>
        <v>3</v>
      </c>
      <c r="AR32" s="79" t="str">
        <f t="shared" ca="1" si="46"/>
        <v>Tm22</v>
      </c>
      <c r="AS32" s="81">
        <f t="shared" ca="1" si="47"/>
        <v>22</v>
      </c>
      <c r="AT32" s="84">
        <f t="shared" ca="1" si="48"/>
        <v>7</v>
      </c>
      <c r="AU32" s="336">
        <f t="shared" ca="1" si="49"/>
        <v>2</v>
      </c>
      <c r="AV32" s="336">
        <f t="shared" ca="1" si="49"/>
        <v>1</v>
      </c>
      <c r="AW32" s="336">
        <f t="shared" ca="1" si="49"/>
        <v>1</v>
      </c>
      <c r="AX32" s="336">
        <f t="shared" ca="1" si="49"/>
        <v>1</v>
      </c>
      <c r="AY32" s="336">
        <f t="shared" ca="1" si="49"/>
        <v>1</v>
      </c>
      <c r="AZ32" s="336">
        <f t="shared" ca="1" si="49"/>
        <v>1</v>
      </c>
      <c r="BA32" s="336">
        <f t="shared" ca="1" si="49"/>
        <v>0</v>
      </c>
      <c r="BB32" s="336">
        <f t="shared" ca="1" si="49"/>
        <v>0</v>
      </c>
      <c r="BC32" s="336">
        <f t="shared" ca="1" si="49"/>
        <v>0</v>
      </c>
      <c r="BD32" s="336">
        <f t="shared" ca="1" si="49"/>
        <v>0</v>
      </c>
      <c r="BE32" s="83">
        <f t="shared" ca="1" si="1"/>
        <v>3</v>
      </c>
      <c r="BF32" s="84">
        <f t="shared" ca="1" si="50"/>
        <v>4</v>
      </c>
      <c r="BH32" s="407">
        <f t="shared" ca="1" si="2"/>
        <v>4</v>
      </c>
      <c r="BI32" s="408">
        <f t="shared" ca="1" si="3"/>
        <v>3</v>
      </c>
      <c r="BK32" s="439">
        <f t="shared" ca="1" si="4"/>
        <v>1</v>
      </c>
      <c r="BL32" s="397">
        <f t="shared" ca="1" si="5"/>
        <v>0</v>
      </c>
      <c r="BM32" s="397">
        <f t="shared" ca="1" si="6"/>
        <v>0</v>
      </c>
      <c r="BN32" s="397">
        <f t="shared" ca="1" si="7"/>
        <v>0</v>
      </c>
      <c r="BO32" s="397">
        <f t="shared" ca="1" si="8"/>
        <v>0</v>
      </c>
      <c r="BP32" s="397">
        <f t="shared" ca="1" si="9"/>
        <v>0</v>
      </c>
      <c r="BQ32" s="397">
        <f t="shared" ca="1" si="10"/>
        <v>1</v>
      </c>
      <c r="BR32" s="397">
        <f t="shared" ca="1" si="11"/>
        <v>0</v>
      </c>
      <c r="BS32" s="397">
        <f t="shared" ca="1" si="12"/>
        <v>0</v>
      </c>
      <c r="BT32" s="397">
        <f t="shared" ca="1" si="13"/>
        <v>0</v>
      </c>
      <c r="BU32" s="397">
        <f t="shared" ca="1" si="14"/>
        <v>1</v>
      </c>
      <c r="BV32" s="397">
        <f t="shared" ca="1" si="15"/>
        <v>0</v>
      </c>
      <c r="BW32" s="397">
        <f t="shared" ca="1" si="16"/>
        <v>0</v>
      </c>
      <c r="BX32" s="397">
        <f t="shared" ca="1" si="17"/>
        <v>0</v>
      </c>
      <c r="BY32" s="397">
        <f t="shared" ca="1" si="18"/>
        <v>0</v>
      </c>
      <c r="BZ32" s="397">
        <f t="shared" ca="1" si="19"/>
        <v>0</v>
      </c>
      <c r="CA32" s="397">
        <f t="shared" ca="1" si="20"/>
        <v>0</v>
      </c>
      <c r="CB32" s="397">
        <f t="shared" ca="1" si="21"/>
        <v>0</v>
      </c>
      <c r="CC32" s="397">
        <f t="shared" ca="1" si="22"/>
        <v>0</v>
      </c>
      <c r="CD32" s="397">
        <f t="shared" ca="1" si="23"/>
        <v>0</v>
      </c>
      <c r="CE32" s="397">
        <f t="shared" ca="1" si="24"/>
        <v>0</v>
      </c>
      <c r="CF32" s="397">
        <f t="shared" ca="1" si="25"/>
        <v>0</v>
      </c>
      <c r="CG32" s="397">
        <f t="shared" ca="1" si="26"/>
        <v>0</v>
      </c>
      <c r="CH32" s="397">
        <f t="shared" ca="1" si="27"/>
        <v>0</v>
      </c>
      <c r="CI32" s="397">
        <f t="shared" ca="1" si="28"/>
        <v>0</v>
      </c>
      <c r="CJ32" s="397">
        <f t="shared" ca="1" si="29"/>
        <v>0</v>
      </c>
      <c r="CK32" s="397">
        <f t="shared" ca="1" si="30"/>
        <v>0</v>
      </c>
      <c r="CL32" s="397">
        <f t="shared" ca="1" si="31"/>
        <v>0</v>
      </c>
      <c r="CM32" s="397">
        <f t="shared" ca="1" si="32"/>
        <v>0</v>
      </c>
      <c r="CN32" s="397">
        <f t="shared" ca="1" si="33"/>
        <v>0</v>
      </c>
      <c r="CO32" s="397">
        <f t="shared" ca="1" si="34"/>
        <v>0</v>
      </c>
      <c r="CP32" s="397">
        <f t="shared" ca="1" si="35"/>
        <v>0</v>
      </c>
      <c r="CQ32" s="397">
        <f t="shared" ca="1" si="36"/>
        <v>0</v>
      </c>
      <c r="CR32" s="397">
        <f t="shared" ca="1" si="37"/>
        <v>0</v>
      </c>
      <c r="CS32" s="397">
        <f t="shared" ca="1" si="38"/>
        <v>0</v>
      </c>
      <c r="CT32" s="397">
        <f t="shared" ca="1" si="39"/>
        <v>0</v>
      </c>
      <c r="CU32" s="397">
        <f t="shared" ca="1" si="40"/>
        <v>0</v>
      </c>
      <c r="CV32" s="397">
        <f t="shared" ca="1" si="41"/>
        <v>0</v>
      </c>
      <c r="CW32" s="397">
        <f t="shared" ca="1" si="42"/>
        <v>0</v>
      </c>
      <c r="CX32" s="440">
        <f t="shared" ca="1" si="43"/>
        <v>0</v>
      </c>
      <c r="CY32" s="335">
        <f t="shared" si="44"/>
        <v>0</v>
      </c>
      <c r="CZ32" s="16"/>
      <c r="DA32" s="16"/>
      <c r="DB32" s="16"/>
      <c r="DC32" s="16"/>
      <c r="DD32" s="16"/>
      <c r="DE32" s="16"/>
      <c r="DF32" s="16"/>
      <c r="DG32" s="16"/>
      <c r="DH32" s="16"/>
    </row>
    <row r="33" spans="1:112" s="77" customFormat="1" ht="15" customHeight="1">
      <c r="A33" s="266" t="str">
        <f t="shared" ca="1" si="45"/>
        <v>Tm23</v>
      </c>
      <c r="B33" s="462"/>
      <c r="C33" s="402">
        <f ca="1">IF(DrawFinder!AB33=0,"",DrawFinder!AB33)</f>
        <v>-6</v>
      </c>
      <c r="D33" s="402" t="str">
        <f ca="1">IF(DrawFinder!AC33=0,"",DrawFinder!AC33)</f>
        <v>-</v>
      </c>
      <c r="E33" s="402" t="str">
        <f ca="1">IF(DrawFinder!AD33=0,"",DrawFinder!AD33)</f>
        <v>-</v>
      </c>
      <c r="F33" s="402">
        <f ca="1">IF(DrawFinder!AE33=0,"",DrawFinder!AE33)</f>
        <v>-3</v>
      </c>
      <c r="G33" s="402" t="str">
        <f ca="1">IF(DrawFinder!AF33=0,"",DrawFinder!AF33)</f>
        <v>-</v>
      </c>
      <c r="H33" s="402">
        <f ca="1">IF(DrawFinder!AG33=0,"",DrawFinder!AG33)</f>
        <v>2</v>
      </c>
      <c r="I33" s="402">
        <f ca="1">IF(DrawFinder!AH33=0,"",DrawFinder!AH33)</f>
        <v>1</v>
      </c>
      <c r="J33" s="402" t="str">
        <f ca="1">IF(DrawFinder!AI33=0,"",DrawFinder!AI33)</f>
        <v>-</v>
      </c>
      <c r="K33" s="402" t="str">
        <f ca="1">IF(DrawFinder!AJ33=0,"",DrawFinder!AJ33)</f>
        <v>-</v>
      </c>
      <c r="L33" s="402">
        <f ca="1">IF(DrawFinder!AK33=0,"",DrawFinder!AK33)</f>
        <v>-5</v>
      </c>
      <c r="M33" s="402">
        <f ca="1">IF(DrawFinder!AL33=0,"",DrawFinder!AL33)</f>
        <v>4</v>
      </c>
      <c r="N33" s="402" t="str">
        <f ca="1">IF(DrawFinder!AM33=0,"",DrawFinder!AM33)</f>
        <v>-</v>
      </c>
      <c r="O33" s="402" t="str">
        <f ca="1">IF(DrawFinder!AN33=0,"",DrawFinder!AN33)</f>
        <v>-</v>
      </c>
      <c r="P33" s="402">
        <f ca="1">IF(DrawFinder!AO33=0,"",DrawFinder!AO33)</f>
        <v>6</v>
      </c>
      <c r="Q33" s="402" t="str">
        <f ca="1">IF(DrawFinder!AP33=0,"",DrawFinder!AP33)</f>
        <v/>
      </c>
      <c r="R33" s="402" t="str">
        <f ca="1">IF(DrawFinder!AQ33=0,"",DrawFinder!AQ33)</f>
        <v/>
      </c>
      <c r="S33" s="402" t="str">
        <f ca="1">IF(DrawFinder!AR33=0,"",DrawFinder!AR33)</f>
        <v/>
      </c>
      <c r="T33" s="402" t="str">
        <f ca="1">IF(DrawFinder!AS33=0,"",DrawFinder!AS33)</f>
        <v/>
      </c>
      <c r="U33" s="402" t="str">
        <f ca="1">IF(DrawFinder!AT33=0,"",DrawFinder!AT33)</f>
        <v/>
      </c>
      <c r="V33" s="402" t="str">
        <f ca="1">IF(DrawFinder!AU33=0,"",DrawFinder!AU33)</f>
        <v/>
      </c>
      <c r="W33" s="402" t="str">
        <f ca="1">IF(DrawFinder!AV33=0,"",DrawFinder!AV33)</f>
        <v/>
      </c>
      <c r="X33" s="402" t="str">
        <f ca="1">IF(DrawFinder!AW33=0,"",DrawFinder!AW33)</f>
        <v/>
      </c>
      <c r="Y33" s="402" t="str">
        <f ca="1">IF(DrawFinder!AX33=0,"",DrawFinder!AX33)</f>
        <v/>
      </c>
      <c r="Z33" s="402" t="str">
        <f ca="1">IF(DrawFinder!AY33=0,"",DrawFinder!AY33)</f>
        <v/>
      </c>
      <c r="AA33" s="402" t="str">
        <f ca="1">IF(DrawFinder!AZ33=0,"",DrawFinder!AZ33)</f>
        <v/>
      </c>
      <c r="AB33" s="402" t="str">
        <f ca="1">IF(DrawFinder!BA33=0,"",DrawFinder!BA33)</f>
        <v/>
      </c>
      <c r="AC33" s="402" t="str">
        <f ca="1">IF(DrawFinder!BB33=0,"",DrawFinder!BB33)</f>
        <v/>
      </c>
      <c r="AD33" s="402" t="str">
        <f ca="1">IF(DrawFinder!BC33=0,"",DrawFinder!BC33)</f>
        <v/>
      </c>
      <c r="AE33" s="402" t="str">
        <f ca="1">IF(DrawFinder!BD33=0,"",DrawFinder!BD33)</f>
        <v/>
      </c>
      <c r="AF33" s="402" t="str">
        <f ca="1">IF(DrawFinder!BE33=0,"",DrawFinder!BE33)</f>
        <v/>
      </c>
      <c r="AG33" s="402" t="str">
        <f ca="1">IF(DrawFinder!BF33=0,"",DrawFinder!BF33)</f>
        <v/>
      </c>
      <c r="AH33" s="402" t="str">
        <f ca="1">IF(DrawFinder!BG33=0,"",DrawFinder!BG33)</f>
        <v/>
      </c>
      <c r="AI33" s="402" t="str">
        <f ca="1">IF(DrawFinder!BH33=0,"",DrawFinder!BH33)</f>
        <v/>
      </c>
      <c r="AJ33" s="402" t="str">
        <f ca="1">IF(DrawFinder!BI33=0,"",DrawFinder!BI33)</f>
        <v/>
      </c>
      <c r="AK33" s="402" t="str">
        <f ca="1">IF(DrawFinder!BJ33=0,"",DrawFinder!BJ33)</f>
        <v/>
      </c>
      <c r="AL33" s="402" t="str">
        <f ca="1">IF(DrawFinder!BK33=0,"",DrawFinder!BK33)</f>
        <v/>
      </c>
      <c r="AM33" s="402" t="str">
        <f ca="1">IF(DrawFinder!BL33=0,"",DrawFinder!BL33)</f>
        <v/>
      </c>
      <c r="AN33" s="402" t="str">
        <f ca="1">IF(DrawFinder!BM33=0,"",DrawFinder!BM33)</f>
        <v/>
      </c>
      <c r="AO33" s="402" t="str">
        <f ca="1">IF(DrawFinder!BN33=0,"",DrawFinder!BN33)</f>
        <v/>
      </c>
      <c r="AP33" s="400" t="str">
        <f ca="1">IF(DrawFinder!BO33=0,"",DrawFinder!BO33)</f>
        <v/>
      </c>
      <c r="AQ33" s="81">
        <f>IF(DrawFinder!Y33=0,"",DrawFinder!Y33)</f>
        <v>3</v>
      </c>
      <c r="AR33" s="79" t="str">
        <f t="shared" ca="1" si="46"/>
        <v>Tm23</v>
      </c>
      <c r="AS33" s="81">
        <f t="shared" ca="1" si="47"/>
        <v>23</v>
      </c>
      <c r="AT33" s="84">
        <f t="shared" ca="1" si="48"/>
        <v>7</v>
      </c>
      <c r="AU33" s="336">
        <f t="shared" ca="1" si="49"/>
        <v>1</v>
      </c>
      <c r="AV33" s="336">
        <f t="shared" ca="1" si="49"/>
        <v>1</v>
      </c>
      <c r="AW33" s="336">
        <f t="shared" ca="1" si="49"/>
        <v>1</v>
      </c>
      <c r="AX33" s="336">
        <f t="shared" ca="1" si="49"/>
        <v>1</v>
      </c>
      <c r="AY33" s="336">
        <f t="shared" ca="1" si="49"/>
        <v>1</v>
      </c>
      <c r="AZ33" s="336">
        <f t="shared" ca="1" si="49"/>
        <v>2</v>
      </c>
      <c r="BA33" s="336">
        <f t="shared" ca="1" si="49"/>
        <v>0</v>
      </c>
      <c r="BB33" s="336">
        <f t="shared" ca="1" si="49"/>
        <v>0</v>
      </c>
      <c r="BC33" s="336">
        <f t="shared" ca="1" si="49"/>
        <v>0</v>
      </c>
      <c r="BD33" s="336">
        <f t="shared" ca="1" si="49"/>
        <v>0</v>
      </c>
      <c r="BE33" s="83">
        <f t="shared" ca="1" si="1"/>
        <v>3</v>
      </c>
      <c r="BF33" s="84">
        <f t="shared" ca="1" si="50"/>
        <v>4</v>
      </c>
      <c r="BH33" s="407">
        <f t="shared" ca="1" si="2"/>
        <v>3</v>
      </c>
      <c r="BI33" s="408">
        <f t="shared" ca="1" si="3"/>
        <v>4</v>
      </c>
      <c r="BK33" s="439">
        <f t="shared" ca="1" si="4"/>
        <v>1</v>
      </c>
      <c r="BL33" s="397">
        <f t="shared" ca="1" si="5"/>
        <v>0</v>
      </c>
      <c r="BM33" s="397">
        <f t="shared" ca="1" si="6"/>
        <v>0</v>
      </c>
      <c r="BN33" s="397">
        <f t="shared" ca="1" si="7"/>
        <v>0</v>
      </c>
      <c r="BO33" s="397">
        <f t="shared" ca="1" si="8"/>
        <v>0</v>
      </c>
      <c r="BP33" s="397">
        <f t="shared" ca="1" si="9"/>
        <v>0</v>
      </c>
      <c r="BQ33" s="397">
        <f t="shared" ca="1" si="10"/>
        <v>1</v>
      </c>
      <c r="BR33" s="397">
        <f t="shared" ca="1" si="11"/>
        <v>0</v>
      </c>
      <c r="BS33" s="397">
        <f t="shared" ca="1" si="12"/>
        <v>0</v>
      </c>
      <c r="BT33" s="397">
        <f t="shared" ca="1" si="13"/>
        <v>0</v>
      </c>
      <c r="BU33" s="397">
        <f t="shared" ca="1" si="14"/>
        <v>1</v>
      </c>
      <c r="BV33" s="397">
        <f t="shared" ca="1" si="15"/>
        <v>0</v>
      </c>
      <c r="BW33" s="397">
        <f t="shared" ca="1" si="16"/>
        <v>0</v>
      </c>
      <c r="BX33" s="397">
        <f t="shared" ca="1" si="17"/>
        <v>0</v>
      </c>
      <c r="BY33" s="397">
        <f t="shared" ca="1" si="18"/>
        <v>0</v>
      </c>
      <c r="BZ33" s="397">
        <f t="shared" ca="1" si="19"/>
        <v>0</v>
      </c>
      <c r="CA33" s="397">
        <f t="shared" ca="1" si="20"/>
        <v>0</v>
      </c>
      <c r="CB33" s="397">
        <f t="shared" ca="1" si="21"/>
        <v>0</v>
      </c>
      <c r="CC33" s="397">
        <f t="shared" ca="1" si="22"/>
        <v>0</v>
      </c>
      <c r="CD33" s="397">
        <f t="shared" ca="1" si="23"/>
        <v>0</v>
      </c>
      <c r="CE33" s="397">
        <f t="shared" ca="1" si="24"/>
        <v>0</v>
      </c>
      <c r="CF33" s="397">
        <f t="shared" ca="1" si="25"/>
        <v>0</v>
      </c>
      <c r="CG33" s="397">
        <f t="shared" ca="1" si="26"/>
        <v>0</v>
      </c>
      <c r="CH33" s="397">
        <f t="shared" ca="1" si="27"/>
        <v>0</v>
      </c>
      <c r="CI33" s="397">
        <f t="shared" ca="1" si="28"/>
        <v>0</v>
      </c>
      <c r="CJ33" s="397">
        <f t="shared" ca="1" si="29"/>
        <v>0</v>
      </c>
      <c r="CK33" s="397">
        <f t="shared" ca="1" si="30"/>
        <v>0</v>
      </c>
      <c r="CL33" s="397">
        <f t="shared" ca="1" si="31"/>
        <v>0</v>
      </c>
      <c r="CM33" s="397">
        <f t="shared" ca="1" si="32"/>
        <v>0</v>
      </c>
      <c r="CN33" s="397">
        <f t="shared" ca="1" si="33"/>
        <v>0</v>
      </c>
      <c r="CO33" s="397">
        <f t="shared" ca="1" si="34"/>
        <v>0</v>
      </c>
      <c r="CP33" s="397">
        <f t="shared" ca="1" si="35"/>
        <v>0</v>
      </c>
      <c r="CQ33" s="397">
        <f t="shared" ca="1" si="36"/>
        <v>0</v>
      </c>
      <c r="CR33" s="397">
        <f t="shared" ca="1" si="37"/>
        <v>0</v>
      </c>
      <c r="CS33" s="397">
        <f t="shared" ca="1" si="38"/>
        <v>0</v>
      </c>
      <c r="CT33" s="397">
        <f t="shared" ca="1" si="39"/>
        <v>0</v>
      </c>
      <c r="CU33" s="397">
        <f t="shared" ca="1" si="40"/>
        <v>0</v>
      </c>
      <c r="CV33" s="397">
        <f t="shared" ca="1" si="41"/>
        <v>0</v>
      </c>
      <c r="CW33" s="397">
        <f t="shared" ca="1" si="42"/>
        <v>0</v>
      </c>
      <c r="CX33" s="440">
        <f t="shared" ca="1" si="43"/>
        <v>0</v>
      </c>
      <c r="CY33" s="335">
        <f t="shared" si="44"/>
        <v>0</v>
      </c>
      <c r="CZ33" s="16"/>
      <c r="DA33" s="16"/>
      <c r="DB33" s="16"/>
      <c r="DC33" s="16"/>
      <c r="DD33" s="16"/>
      <c r="DE33" s="16"/>
      <c r="DF33" s="16"/>
      <c r="DG33" s="16"/>
      <c r="DH33" s="16"/>
    </row>
    <row r="34" spans="1:112" s="77" customFormat="1" ht="15" customHeight="1">
      <c r="A34" s="266" t="str">
        <f t="shared" ca="1" si="45"/>
        <v>Tm24</v>
      </c>
      <c r="B34" s="462"/>
      <c r="C34" s="402" t="str">
        <f ca="1">IF(DrawFinder!AB34=0,"",DrawFinder!AB34)</f>
        <v>-</v>
      </c>
      <c r="D34" s="402">
        <f ca="1">IF(DrawFinder!AC34=0,"",DrawFinder!AC34)</f>
        <v>6</v>
      </c>
      <c r="E34" s="402">
        <f ca="1">IF(DrawFinder!AD34=0,"",DrawFinder!AD34)</f>
        <v>-5</v>
      </c>
      <c r="F34" s="402" t="str">
        <f ca="1">IF(DrawFinder!AE34=0,"",DrawFinder!AE34)</f>
        <v>-</v>
      </c>
      <c r="G34" s="402">
        <f ca="1">IF(DrawFinder!AF34=0,"",DrawFinder!AF34)</f>
        <v>4</v>
      </c>
      <c r="H34" s="402" t="str">
        <f ca="1">IF(DrawFinder!AG34=0,"",DrawFinder!AG34)</f>
        <v>-</v>
      </c>
      <c r="I34" s="402" t="str">
        <f ca="1">IF(DrawFinder!AH34=0,"",DrawFinder!AH34)</f>
        <v>-</v>
      </c>
      <c r="J34" s="402">
        <f ca="1">IF(DrawFinder!AI34=0,"",DrawFinder!AI34)</f>
        <v>-1</v>
      </c>
      <c r="K34" s="402" t="str">
        <f ca="1">IF(DrawFinder!AJ34=0,"",DrawFinder!AJ34)</f>
        <v>-</v>
      </c>
      <c r="L34" s="402">
        <f ca="1">IF(DrawFinder!AK34=0,"",DrawFinder!AK34)</f>
        <v>2</v>
      </c>
      <c r="M34" s="402">
        <f ca="1">IF(DrawFinder!AL34=0,"",DrawFinder!AL34)</f>
        <v>3</v>
      </c>
      <c r="N34" s="402" t="str">
        <f ca="1">IF(DrawFinder!AM34=0,"",DrawFinder!AM34)</f>
        <v>-</v>
      </c>
      <c r="O34" s="402" t="str">
        <f ca="1">IF(DrawFinder!AN34=0,"",DrawFinder!AN34)</f>
        <v>-</v>
      </c>
      <c r="P34" s="402">
        <f ca="1">IF(DrawFinder!AO34=0,"",DrawFinder!AO34)</f>
        <v>-6</v>
      </c>
      <c r="Q34" s="402" t="str">
        <f ca="1">IF(DrawFinder!AP34=0,"",DrawFinder!AP34)</f>
        <v/>
      </c>
      <c r="R34" s="402" t="str">
        <f ca="1">IF(DrawFinder!AQ34=0,"",DrawFinder!AQ34)</f>
        <v/>
      </c>
      <c r="S34" s="402" t="str">
        <f ca="1">IF(DrawFinder!AR34=0,"",DrawFinder!AR34)</f>
        <v/>
      </c>
      <c r="T34" s="402" t="str">
        <f ca="1">IF(DrawFinder!AS34=0,"",DrawFinder!AS34)</f>
        <v/>
      </c>
      <c r="U34" s="402" t="str">
        <f ca="1">IF(DrawFinder!AT34=0,"",DrawFinder!AT34)</f>
        <v/>
      </c>
      <c r="V34" s="402" t="str">
        <f ca="1">IF(DrawFinder!AU34=0,"",DrawFinder!AU34)</f>
        <v/>
      </c>
      <c r="W34" s="402" t="str">
        <f ca="1">IF(DrawFinder!AV34=0,"",DrawFinder!AV34)</f>
        <v/>
      </c>
      <c r="X34" s="402" t="str">
        <f ca="1">IF(DrawFinder!AW34=0,"",DrawFinder!AW34)</f>
        <v/>
      </c>
      <c r="Y34" s="402" t="str">
        <f ca="1">IF(DrawFinder!AX34=0,"",DrawFinder!AX34)</f>
        <v/>
      </c>
      <c r="Z34" s="402" t="str">
        <f ca="1">IF(DrawFinder!AY34=0,"",DrawFinder!AY34)</f>
        <v/>
      </c>
      <c r="AA34" s="402" t="str">
        <f ca="1">IF(DrawFinder!AZ34=0,"",DrawFinder!AZ34)</f>
        <v/>
      </c>
      <c r="AB34" s="402" t="str">
        <f ca="1">IF(DrawFinder!BA34=0,"",DrawFinder!BA34)</f>
        <v/>
      </c>
      <c r="AC34" s="402" t="str">
        <f ca="1">IF(DrawFinder!BB34=0,"",DrawFinder!BB34)</f>
        <v/>
      </c>
      <c r="AD34" s="402" t="str">
        <f ca="1">IF(DrawFinder!BC34=0,"",DrawFinder!BC34)</f>
        <v/>
      </c>
      <c r="AE34" s="402" t="str">
        <f ca="1">IF(DrawFinder!BD34=0,"",DrawFinder!BD34)</f>
        <v/>
      </c>
      <c r="AF34" s="402" t="str">
        <f ca="1">IF(DrawFinder!BE34=0,"",DrawFinder!BE34)</f>
        <v/>
      </c>
      <c r="AG34" s="402" t="str">
        <f ca="1">IF(DrawFinder!BF34=0,"",DrawFinder!BF34)</f>
        <v/>
      </c>
      <c r="AH34" s="402" t="str">
        <f ca="1">IF(DrawFinder!BG34=0,"",DrawFinder!BG34)</f>
        <v/>
      </c>
      <c r="AI34" s="402" t="str">
        <f ca="1">IF(DrawFinder!BH34=0,"",DrawFinder!BH34)</f>
        <v/>
      </c>
      <c r="AJ34" s="402" t="str">
        <f ca="1">IF(DrawFinder!BI34=0,"",DrawFinder!BI34)</f>
        <v/>
      </c>
      <c r="AK34" s="402" t="str">
        <f ca="1">IF(DrawFinder!BJ34=0,"",DrawFinder!BJ34)</f>
        <v/>
      </c>
      <c r="AL34" s="402" t="str">
        <f ca="1">IF(DrawFinder!BK34=0,"",DrawFinder!BK34)</f>
        <v/>
      </c>
      <c r="AM34" s="402" t="str">
        <f ca="1">IF(DrawFinder!BL34=0,"",DrawFinder!BL34)</f>
        <v/>
      </c>
      <c r="AN34" s="402" t="str">
        <f ca="1">IF(DrawFinder!BM34=0,"",DrawFinder!BM34)</f>
        <v/>
      </c>
      <c r="AO34" s="402" t="str">
        <f ca="1">IF(DrawFinder!BN34=0,"",DrawFinder!BN34)</f>
        <v/>
      </c>
      <c r="AP34" s="400" t="str">
        <f ca="1">IF(DrawFinder!BO34=0,"",DrawFinder!BO34)</f>
        <v/>
      </c>
      <c r="AQ34" s="81">
        <f>IF(DrawFinder!Y34=0,"",DrawFinder!Y34)</f>
        <v>3</v>
      </c>
      <c r="AR34" s="79" t="str">
        <f t="shared" ca="1" si="46"/>
        <v>Tm24</v>
      </c>
      <c r="AS34" s="81">
        <f t="shared" ca="1" si="47"/>
        <v>24</v>
      </c>
      <c r="AT34" s="84">
        <f t="shared" ca="1" si="48"/>
        <v>7</v>
      </c>
      <c r="AU34" s="336">
        <f t="shared" ca="1" si="49"/>
        <v>1</v>
      </c>
      <c r="AV34" s="336">
        <f t="shared" ca="1" si="49"/>
        <v>1</v>
      </c>
      <c r="AW34" s="336">
        <f t="shared" ca="1" si="49"/>
        <v>1</v>
      </c>
      <c r="AX34" s="336">
        <f t="shared" ca="1" si="49"/>
        <v>1</v>
      </c>
      <c r="AY34" s="336">
        <f t="shared" ca="1" si="49"/>
        <v>1</v>
      </c>
      <c r="AZ34" s="336">
        <f t="shared" ca="1" si="49"/>
        <v>2</v>
      </c>
      <c r="BA34" s="336">
        <f t="shared" ca="1" si="49"/>
        <v>0</v>
      </c>
      <c r="BB34" s="336">
        <f t="shared" ca="1" si="49"/>
        <v>0</v>
      </c>
      <c r="BC34" s="336">
        <f t="shared" ca="1" si="49"/>
        <v>0</v>
      </c>
      <c r="BD34" s="336">
        <f t="shared" ca="1" si="49"/>
        <v>0</v>
      </c>
      <c r="BE34" s="83">
        <f t="shared" ca="1" si="1"/>
        <v>3</v>
      </c>
      <c r="BF34" s="84">
        <f t="shared" ca="1" si="50"/>
        <v>4</v>
      </c>
      <c r="BH34" s="407">
        <f t="shared" ca="1" si="2"/>
        <v>3</v>
      </c>
      <c r="BI34" s="408">
        <f t="shared" ca="1" si="3"/>
        <v>4</v>
      </c>
      <c r="BK34" s="439">
        <f t="shared" ca="1" si="4"/>
        <v>0</v>
      </c>
      <c r="BL34" s="397">
        <f t="shared" ca="1" si="5"/>
        <v>0</v>
      </c>
      <c r="BM34" s="397">
        <f t="shared" ca="1" si="6"/>
        <v>1</v>
      </c>
      <c r="BN34" s="397">
        <f t="shared" ca="1" si="7"/>
        <v>0</v>
      </c>
      <c r="BO34" s="397">
        <f t="shared" ca="1" si="8"/>
        <v>1</v>
      </c>
      <c r="BP34" s="397">
        <f t="shared" ca="1" si="9"/>
        <v>0</v>
      </c>
      <c r="BQ34" s="397">
        <f t="shared" ca="1" si="10"/>
        <v>0</v>
      </c>
      <c r="BR34" s="397">
        <f t="shared" ca="1" si="11"/>
        <v>0</v>
      </c>
      <c r="BS34" s="397">
        <f t="shared" ca="1" si="12"/>
        <v>0</v>
      </c>
      <c r="BT34" s="397">
        <f t="shared" ca="1" si="13"/>
        <v>0</v>
      </c>
      <c r="BU34" s="397">
        <f t="shared" ca="1" si="14"/>
        <v>1</v>
      </c>
      <c r="BV34" s="397">
        <f t="shared" ca="1" si="15"/>
        <v>0</v>
      </c>
      <c r="BW34" s="397">
        <f t="shared" ca="1" si="16"/>
        <v>0</v>
      </c>
      <c r="BX34" s="397">
        <f t="shared" ca="1" si="17"/>
        <v>0</v>
      </c>
      <c r="BY34" s="397">
        <f t="shared" ca="1" si="18"/>
        <v>0</v>
      </c>
      <c r="BZ34" s="397">
        <f t="shared" ca="1" si="19"/>
        <v>0</v>
      </c>
      <c r="CA34" s="397">
        <f t="shared" ca="1" si="20"/>
        <v>0</v>
      </c>
      <c r="CB34" s="397">
        <f t="shared" ca="1" si="21"/>
        <v>0</v>
      </c>
      <c r="CC34" s="397">
        <f t="shared" ca="1" si="22"/>
        <v>0</v>
      </c>
      <c r="CD34" s="397">
        <f t="shared" ca="1" si="23"/>
        <v>0</v>
      </c>
      <c r="CE34" s="397">
        <f t="shared" ca="1" si="24"/>
        <v>0</v>
      </c>
      <c r="CF34" s="397">
        <f t="shared" ca="1" si="25"/>
        <v>0</v>
      </c>
      <c r="CG34" s="397">
        <f t="shared" ca="1" si="26"/>
        <v>0</v>
      </c>
      <c r="CH34" s="397">
        <f t="shared" ca="1" si="27"/>
        <v>0</v>
      </c>
      <c r="CI34" s="397">
        <f t="shared" ca="1" si="28"/>
        <v>0</v>
      </c>
      <c r="CJ34" s="397">
        <f t="shared" ca="1" si="29"/>
        <v>0</v>
      </c>
      <c r="CK34" s="397">
        <f t="shared" ca="1" si="30"/>
        <v>0</v>
      </c>
      <c r="CL34" s="397">
        <f t="shared" ca="1" si="31"/>
        <v>0</v>
      </c>
      <c r="CM34" s="397">
        <f t="shared" ca="1" si="32"/>
        <v>0</v>
      </c>
      <c r="CN34" s="397">
        <f t="shared" ca="1" si="33"/>
        <v>0</v>
      </c>
      <c r="CO34" s="397">
        <f t="shared" ca="1" si="34"/>
        <v>0</v>
      </c>
      <c r="CP34" s="397">
        <f t="shared" ca="1" si="35"/>
        <v>0</v>
      </c>
      <c r="CQ34" s="397">
        <f t="shared" ca="1" si="36"/>
        <v>0</v>
      </c>
      <c r="CR34" s="397">
        <f t="shared" ca="1" si="37"/>
        <v>0</v>
      </c>
      <c r="CS34" s="397">
        <f t="shared" ca="1" si="38"/>
        <v>0</v>
      </c>
      <c r="CT34" s="397">
        <f t="shared" ca="1" si="39"/>
        <v>0</v>
      </c>
      <c r="CU34" s="397">
        <f t="shared" ca="1" si="40"/>
        <v>0</v>
      </c>
      <c r="CV34" s="397">
        <f t="shared" ca="1" si="41"/>
        <v>0</v>
      </c>
      <c r="CW34" s="397">
        <f t="shared" ca="1" si="42"/>
        <v>0</v>
      </c>
      <c r="CX34" s="440">
        <f t="shared" ca="1" si="43"/>
        <v>0</v>
      </c>
      <c r="CY34" s="335">
        <f t="shared" si="44"/>
        <v>0</v>
      </c>
      <c r="CZ34" s="16"/>
      <c r="DA34" s="16"/>
      <c r="DB34" s="16"/>
      <c r="DC34" s="16"/>
      <c r="DD34" s="16"/>
      <c r="DE34" s="16"/>
      <c r="DF34" s="16"/>
      <c r="DG34" s="16"/>
      <c r="DH34" s="16"/>
    </row>
    <row r="35" spans="1:112" s="77" customFormat="1" ht="15" customHeight="1">
      <c r="A35" s="266" t="str">
        <f t="shared" ca="1" si="45"/>
        <v/>
      </c>
      <c r="B35" s="462"/>
      <c r="C35" s="402" t="str">
        <f ca="1">IF(DrawFinder!AB35=0,"",DrawFinder!AB35)</f>
        <v/>
      </c>
      <c r="D35" s="402" t="str">
        <f ca="1">IF(DrawFinder!AC35=0,"",DrawFinder!AC35)</f>
        <v/>
      </c>
      <c r="E35" s="402" t="str">
        <f ca="1">IF(DrawFinder!AD35=0,"",DrawFinder!AD35)</f>
        <v/>
      </c>
      <c r="F35" s="402" t="str">
        <f ca="1">IF(DrawFinder!AE35=0,"",DrawFinder!AE35)</f>
        <v/>
      </c>
      <c r="G35" s="402" t="str">
        <f ca="1">IF(DrawFinder!AF35=0,"",DrawFinder!AF35)</f>
        <v/>
      </c>
      <c r="H35" s="402" t="str">
        <f ca="1">IF(DrawFinder!AG35=0,"",DrawFinder!AG35)</f>
        <v/>
      </c>
      <c r="I35" s="402" t="str">
        <f ca="1">IF(DrawFinder!AH35=0,"",DrawFinder!AH35)</f>
        <v/>
      </c>
      <c r="J35" s="402" t="str">
        <f ca="1">IF(DrawFinder!AI35=0,"",DrawFinder!AI35)</f>
        <v/>
      </c>
      <c r="K35" s="402" t="str">
        <f ca="1">IF(DrawFinder!AJ35=0,"",DrawFinder!AJ35)</f>
        <v/>
      </c>
      <c r="L35" s="402" t="str">
        <f ca="1">IF(DrawFinder!AK35=0,"",DrawFinder!AK35)</f>
        <v/>
      </c>
      <c r="M35" s="402" t="str">
        <f ca="1">IF(DrawFinder!AL35=0,"",DrawFinder!AL35)</f>
        <v/>
      </c>
      <c r="N35" s="402" t="str">
        <f ca="1">IF(DrawFinder!AM35=0,"",DrawFinder!AM35)</f>
        <v/>
      </c>
      <c r="O35" s="402" t="str">
        <f ca="1">IF(DrawFinder!AN35=0,"",DrawFinder!AN35)</f>
        <v/>
      </c>
      <c r="P35" s="402" t="str">
        <f ca="1">IF(DrawFinder!AO35=0,"",DrawFinder!AO35)</f>
        <v/>
      </c>
      <c r="Q35" s="402" t="str">
        <f ca="1">IF(DrawFinder!AP35=0,"",DrawFinder!AP35)</f>
        <v/>
      </c>
      <c r="R35" s="402" t="str">
        <f ca="1">IF(DrawFinder!AQ35=0,"",DrawFinder!AQ35)</f>
        <v/>
      </c>
      <c r="S35" s="402" t="str">
        <f ca="1">IF(DrawFinder!AR35=0,"",DrawFinder!AR35)</f>
        <v/>
      </c>
      <c r="T35" s="402" t="str">
        <f ca="1">IF(DrawFinder!AS35=0,"",DrawFinder!AS35)</f>
        <v/>
      </c>
      <c r="U35" s="402" t="str">
        <f ca="1">IF(DrawFinder!AT35=0,"",DrawFinder!AT35)</f>
        <v/>
      </c>
      <c r="V35" s="402" t="str">
        <f ca="1">IF(DrawFinder!AU35=0,"",DrawFinder!AU35)</f>
        <v/>
      </c>
      <c r="W35" s="402" t="str">
        <f ca="1">IF(DrawFinder!AV35=0,"",DrawFinder!AV35)</f>
        <v/>
      </c>
      <c r="X35" s="402" t="str">
        <f ca="1">IF(DrawFinder!AW35=0,"",DrawFinder!AW35)</f>
        <v/>
      </c>
      <c r="Y35" s="402" t="str">
        <f ca="1">IF(DrawFinder!AX35=0,"",DrawFinder!AX35)</f>
        <v/>
      </c>
      <c r="Z35" s="402" t="str">
        <f ca="1">IF(DrawFinder!AY35=0,"",DrawFinder!AY35)</f>
        <v/>
      </c>
      <c r="AA35" s="402" t="str">
        <f ca="1">IF(DrawFinder!AZ35=0,"",DrawFinder!AZ35)</f>
        <v/>
      </c>
      <c r="AB35" s="402" t="str">
        <f ca="1">IF(DrawFinder!BA35=0,"",DrawFinder!BA35)</f>
        <v/>
      </c>
      <c r="AC35" s="402" t="str">
        <f ca="1">IF(DrawFinder!BB35=0,"",DrawFinder!BB35)</f>
        <v/>
      </c>
      <c r="AD35" s="402" t="str">
        <f ca="1">IF(DrawFinder!BC35=0,"",DrawFinder!BC35)</f>
        <v/>
      </c>
      <c r="AE35" s="402" t="str">
        <f ca="1">IF(DrawFinder!BD35=0,"",DrawFinder!BD35)</f>
        <v/>
      </c>
      <c r="AF35" s="402" t="str">
        <f ca="1">IF(DrawFinder!BE35=0,"",DrawFinder!BE35)</f>
        <v/>
      </c>
      <c r="AG35" s="402" t="str">
        <f ca="1">IF(DrawFinder!BF35=0,"",DrawFinder!BF35)</f>
        <v/>
      </c>
      <c r="AH35" s="402" t="str">
        <f ca="1">IF(DrawFinder!BG35=0,"",DrawFinder!BG35)</f>
        <v/>
      </c>
      <c r="AI35" s="402" t="str">
        <f ca="1">IF(DrawFinder!BH35=0,"",DrawFinder!BH35)</f>
        <v/>
      </c>
      <c r="AJ35" s="402" t="str">
        <f ca="1">IF(DrawFinder!BI35=0,"",DrawFinder!BI35)</f>
        <v/>
      </c>
      <c r="AK35" s="402" t="str">
        <f ca="1">IF(DrawFinder!BJ35=0,"",DrawFinder!BJ35)</f>
        <v/>
      </c>
      <c r="AL35" s="402" t="str">
        <f ca="1">IF(DrawFinder!BK35=0,"",DrawFinder!BK35)</f>
        <v/>
      </c>
      <c r="AM35" s="402" t="str">
        <f ca="1">IF(DrawFinder!BL35=0,"",DrawFinder!BL35)</f>
        <v/>
      </c>
      <c r="AN35" s="402" t="str">
        <f ca="1">IF(DrawFinder!BM35=0,"",DrawFinder!BM35)</f>
        <v/>
      </c>
      <c r="AO35" s="402" t="str">
        <f ca="1">IF(DrawFinder!BN35=0,"",DrawFinder!BN35)</f>
        <v/>
      </c>
      <c r="AP35" s="400" t="str">
        <f ca="1">IF(DrawFinder!BO35=0,"",DrawFinder!BO35)</f>
        <v/>
      </c>
      <c r="AQ35" s="81" t="str">
        <f>IF(DrawFinder!Y35=0,"",DrawFinder!Y35)</f>
        <v/>
      </c>
      <c r="AR35" s="79" t="str">
        <f t="shared" ca="1" si="46"/>
        <v/>
      </c>
      <c r="AS35" s="81" t="str">
        <f t="shared" ca="1" si="47"/>
        <v/>
      </c>
      <c r="AT35" s="84">
        <f t="shared" ca="1" si="48"/>
        <v>0</v>
      </c>
      <c r="AU35" s="336">
        <f t="shared" ca="1" si="49"/>
        <v>0</v>
      </c>
      <c r="AV35" s="336">
        <f t="shared" ca="1" si="49"/>
        <v>0</v>
      </c>
      <c r="AW35" s="336">
        <f t="shared" ca="1" si="49"/>
        <v>0</v>
      </c>
      <c r="AX35" s="336">
        <f t="shared" ca="1" si="49"/>
        <v>0</v>
      </c>
      <c r="AY35" s="336">
        <f t="shared" ca="1" si="49"/>
        <v>0</v>
      </c>
      <c r="AZ35" s="336">
        <f t="shared" ca="1" si="49"/>
        <v>0</v>
      </c>
      <c r="BA35" s="336">
        <f t="shared" ca="1" si="49"/>
        <v>0</v>
      </c>
      <c r="BB35" s="336">
        <f t="shared" ca="1" si="49"/>
        <v>0</v>
      </c>
      <c r="BC35" s="336">
        <f t="shared" ca="1" si="49"/>
        <v>0</v>
      </c>
      <c r="BD35" s="336">
        <f t="shared" ca="1" si="49"/>
        <v>0</v>
      </c>
      <c r="BE35" s="83">
        <f t="shared" ca="1" si="1"/>
        <v>0</v>
      </c>
      <c r="BF35" s="84">
        <f t="shared" ca="1" si="50"/>
        <v>0</v>
      </c>
      <c r="BH35" s="407" t="str">
        <f t="shared" ca="1" si="2"/>
        <v/>
      </c>
      <c r="BI35" s="408" t="str">
        <f t="shared" ca="1" si="3"/>
        <v/>
      </c>
      <c r="BK35" s="439">
        <f t="shared" ca="1" si="4"/>
        <v>0</v>
      </c>
      <c r="BL35" s="397">
        <f t="shared" ca="1" si="5"/>
        <v>0</v>
      </c>
      <c r="BM35" s="397">
        <f t="shared" ca="1" si="6"/>
        <v>0</v>
      </c>
      <c r="BN35" s="397">
        <f t="shared" ca="1" si="7"/>
        <v>0</v>
      </c>
      <c r="BO35" s="397">
        <f t="shared" ca="1" si="8"/>
        <v>0</v>
      </c>
      <c r="BP35" s="397">
        <f t="shared" ca="1" si="9"/>
        <v>0</v>
      </c>
      <c r="BQ35" s="397">
        <f t="shared" ca="1" si="10"/>
        <v>0</v>
      </c>
      <c r="BR35" s="397">
        <f t="shared" ca="1" si="11"/>
        <v>0</v>
      </c>
      <c r="BS35" s="397">
        <f t="shared" ca="1" si="12"/>
        <v>0</v>
      </c>
      <c r="BT35" s="397">
        <f t="shared" ca="1" si="13"/>
        <v>0</v>
      </c>
      <c r="BU35" s="397">
        <f t="shared" ca="1" si="14"/>
        <v>0</v>
      </c>
      <c r="BV35" s="397">
        <f t="shared" ca="1" si="15"/>
        <v>0</v>
      </c>
      <c r="BW35" s="397">
        <f t="shared" ca="1" si="16"/>
        <v>0</v>
      </c>
      <c r="BX35" s="397">
        <f t="shared" ca="1" si="17"/>
        <v>0</v>
      </c>
      <c r="BY35" s="397">
        <f t="shared" ca="1" si="18"/>
        <v>0</v>
      </c>
      <c r="BZ35" s="397">
        <f t="shared" ca="1" si="19"/>
        <v>0</v>
      </c>
      <c r="CA35" s="397">
        <f t="shared" ca="1" si="20"/>
        <v>0</v>
      </c>
      <c r="CB35" s="397">
        <f t="shared" ca="1" si="21"/>
        <v>0</v>
      </c>
      <c r="CC35" s="397">
        <f t="shared" ca="1" si="22"/>
        <v>0</v>
      </c>
      <c r="CD35" s="397">
        <f t="shared" ca="1" si="23"/>
        <v>0</v>
      </c>
      <c r="CE35" s="397">
        <f t="shared" ca="1" si="24"/>
        <v>0</v>
      </c>
      <c r="CF35" s="397">
        <f t="shared" ca="1" si="25"/>
        <v>0</v>
      </c>
      <c r="CG35" s="397">
        <f t="shared" ca="1" si="26"/>
        <v>0</v>
      </c>
      <c r="CH35" s="397">
        <f t="shared" ca="1" si="27"/>
        <v>0</v>
      </c>
      <c r="CI35" s="397">
        <f t="shared" ca="1" si="28"/>
        <v>0</v>
      </c>
      <c r="CJ35" s="397">
        <f t="shared" ca="1" si="29"/>
        <v>0</v>
      </c>
      <c r="CK35" s="397">
        <f t="shared" ca="1" si="30"/>
        <v>0</v>
      </c>
      <c r="CL35" s="397">
        <f t="shared" ca="1" si="31"/>
        <v>0</v>
      </c>
      <c r="CM35" s="397">
        <f t="shared" ca="1" si="32"/>
        <v>0</v>
      </c>
      <c r="CN35" s="397">
        <f t="shared" ca="1" si="33"/>
        <v>0</v>
      </c>
      <c r="CO35" s="397">
        <f t="shared" ca="1" si="34"/>
        <v>0</v>
      </c>
      <c r="CP35" s="397">
        <f t="shared" ca="1" si="35"/>
        <v>0</v>
      </c>
      <c r="CQ35" s="397">
        <f t="shared" ca="1" si="36"/>
        <v>0</v>
      </c>
      <c r="CR35" s="397">
        <f t="shared" ca="1" si="37"/>
        <v>0</v>
      </c>
      <c r="CS35" s="397">
        <f t="shared" ca="1" si="38"/>
        <v>0</v>
      </c>
      <c r="CT35" s="397">
        <f t="shared" ca="1" si="39"/>
        <v>0</v>
      </c>
      <c r="CU35" s="397">
        <f t="shared" ca="1" si="40"/>
        <v>0</v>
      </c>
      <c r="CV35" s="397">
        <f t="shared" ca="1" si="41"/>
        <v>0</v>
      </c>
      <c r="CW35" s="397">
        <f t="shared" ca="1" si="42"/>
        <v>0</v>
      </c>
      <c r="CX35" s="440">
        <f t="shared" ca="1" si="43"/>
        <v>0</v>
      </c>
      <c r="CY35" s="335">
        <f t="shared" si="44"/>
        <v>0</v>
      </c>
      <c r="CZ35" s="16"/>
      <c r="DA35" s="16"/>
      <c r="DB35" s="16"/>
      <c r="DC35" s="16"/>
      <c r="DD35" s="16"/>
      <c r="DE35" s="16"/>
      <c r="DF35" s="16"/>
      <c r="DG35" s="16"/>
      <c r="DH35" s="16"/>
    </row>
    <row r="36" spans="1:112" s="77" customFormat="1" ht="15" customHeight="1">
      <c r="A36" s="266" t="str">
        <f t="shared" ca="1" si="45"/>
        <v/>
      </c>
      <c r="B36" s="462"/>
      <c r="C36" s="402" t="str">
        <f ca="1">IF(DrawFinder!AB36=0,"",DrawFinder!AB36)</f>
        <v/>
      </c>
      <c r="D36" s="402" t="str">
        <f ca="1">IF(DrawFinder!AC36=0,"",DrawFinder!AC36)</f>
        <v/>
      </c>
      <c r="E36" s="402" t="str">
        <f ca="1">IF(DrawFinder!AD36=0,"",DrawFinder!AD36)</f>
        <v/>
      </c>
      <c r="F36" s="402" t="str">
        <f ca="1">IF(DrawFinder!AE36=0,"",DrawFinder!AE36)</f>
        <v/>
      </c>
      <c r="G36" s="402" t="str">
        <f ca="1">IF(DrawFinder!AF36=0,"",DrawFinder!AF36)</f>
        <v/>
      </c>
      <c r="H36" s="402" t="str">
        <f ca="1">IF(DrawFinder!AG36=0,"",DrawFinder!AG36)</f>
        <v/>
      </c>
      <c r="I36" s="402" t="str">
        <f ca="1">IF(DrawFinder!AH36=0,"",DrawFinder!AH36)</f>
        <v/>
      </c>
      <c r="J36" s="402" t="str">
        <f ca="1">IF(DrawFinder!AI36=0,"",DrawFinder!AI36)</f>
        <v/>
      </c>
      <c r="K36" s="402" t="str">
        <f ca="1">IF(DrawFinder!AJ36=0,"",DrawFinder!AJ36)</f>
        <v/>
      </c>
      <c r="L36" s="402" t="str">
        <f ca="1">IF(DrawFinder!AK36=0,"",DrawFinder!AK36)</f>
        <v/>
      </c>
      <c r="M36" s="402" t="str">
        <f ca="1">IF(DrawFinder!AL36=0,"",DrawFinder!AL36)</f>
        <v/>
      </c>
      <c r="N36" s="402" t="str">
        <f ca="1">IF(DrawFinder!AM36=0,"",DrawFinder!AM36)</f>
        <v/>
      </c>
      <c r="O36" s="402" t="str">
        <f ca="1">IF(DrawFinder!AN36=0,"",DrawFinder!AN36)</f>
        <v/>
      </c>
      <c r="P36" s="402" t="str">
        <f ca="1">IF(DrawFinder!AO36=0,"",DrawFinder!AO36)</f>
        <v/>
      </c>
      <c r="Q36" s="402" t="str">
        <f ca="1">IF(DrawFinder!AP36=0,"",DrawFinder!AP36)</f>
        <v/>
      </c>
      <c r="R36" s="402" t="str">
        <f ca="1">IF(DrawFinder!AQ36=0,"",DrawFinder!AQ36)</f>
        <v/>
      </c>
      <c r="S36" s="402" t="str">
        <f ca="1">IF(DrawFinder!AR36=0,"",DrawFinder!AR36)</f>
        <v/>
      </c>
      <c r="T36" s="402" t="str">
        <f ca="1">IF(DrawFinder!AS36=0,"",DrawFinder!AS36)</f>
        <v/>
      </c>
      <c r="U36" s="402" t="str">
        <f ca="1">IF(DrawFinder!AT36=0,"",DrawFinder!AT36)</f>
        <v/>
      </c>
      <c r="V36" s="402" t="str">
        <f ca="1">IF(DrawFinder!AU36=0,"",DrawFinder!AU36)</f>
        <v/>
      </c>
      <c r="W36" s="402" t="str">
        <f ca="1">IF(DrawFinder!AV36=0,"",DrawFinder!AV36)</f>
        <v/>
      </c>
      <c r="X36" s="402" t="str">
        <f ca="1">IF(DrawFinder!AW36=0,"",DrawFinder!AW36)</f>
        <v/>
      </c>
      <c r="Y36" s="402" t="str">
        <f ca="1">IF(DrawFinder!AX36=0,"",DrawFinder!AX36)</f>
        <v/>
      </c>
      <c r="Z36" s="402" t="str">
        <f ca="1">IF(DrawFinder!AY36=0,"",DrawFinder!AY36)</f>
        <v/>
      </c>
      <c r="AA36" s="402" t="str">
        <f ca="1">IF(DrawFinder!AZ36=0,"",DrawFinder!AZ36)</f>
        <v/>
      </c>
      <c r="AB36" s="402" t="str">
        <f ca="1">IF(DrawFinder!BA36=0,"",DrawFinder!BA36)</f>
        <v/>
      </c>
      <c r="AC36" s="402" t="str">
        <f ca="1">IF(DrawFinder!BB36=0,"",DrawFinder!BB36)</f>
        <v/>
      </c>
      <c r="AD36" s="402" t="str">
        <f ca="1">IF(DrawFinder!BC36=0,"",DrawFinder!BC36)</f>
        <v/>
      </c>
      <c r="AE36" s="402" t="str">
        <f ca="1">IF(DrawFinder!BD36=0,"",DrawFinder!BD36)</f>
        <v/>
      </c>
      <c r="AF36" s="402" t="str">
        <f ca="1">IF(DrawFinder!BE36=0,"",DrawFinder!BE36)</f>
        <v/>
      </c>
      <c r="AG36" s="402" t="str">
        <f ca="1">IF(DrawFinder!BF36=0,"",DrawFinder!BF36)</f>
        <v/>
      </c>
      <c r="AH36" s="402" t="str">
        <f ca="1">IF(DrawFinder!BG36=0,"",DrawFinder!BG36)</f>
        <v/>
      </c>
      <c r="AI36" s="402" t="str">
        <f ca="1">IF(DrawFinder!BH36=0,"",DrawFinder!BH36)</f>
        <v/>
      </c>
      <c r="AJ36" s="402" t="str">
        <f ca="1">IF(DrawFinder!BI36=0,"",DrawFinder!BI36)</f>
        <v/>
      </c>
      <c r="AK36" s="402" t="str">
        <f ca="1">IF(DrawFinder!BJ36=0,"",DrawFinder!BJ36)</f>
        <v/>
      </c>
      <c r="AL36" s="402" t="str">
        <f ca="1">IF(DrawFinder!BK36=0,"",DrawFinder!BK36)</f>
        <v/>
      </c>
      <c r="AM36" s="402" t="str">
        <f ca="1">IF(DrawFinder!BL36=0,"",DrawFinder!BL36)</f>
        <v/>
      </c>
      <c r="AN36" s="402" t="str">
        <f ca="1">IF(DrawFinder!BM36=0,"",DrawFinder!BM36)</f>
        <v/>
      </c>
      <c r="AO36" s="402" t="str">
        <f ca="1">IF(DrawFinder!BN36=0,"",DrawFinder!BN36)</f>
        <v/>
      </c>
      <c r="AP36" s="400" t="str">
        <f ca="1">IF(DrawFinder!BO36=0,"",DrawFinder!BO36)</f>
        <v/>
      </c>
      <c r="AQ36" s="81" t="str">
        <f>IF(DrawFinder!Y36=0,"",DrawFinder!Y36)</f>
        <v/>
      </c>
      <c r="AR36" s="79" t="str">
        <f t="shared" ca="1" si="46"/>
        <v/>
      </c>
      <c r="AS36" s="81" t="str">
        <f t="shared" ca="1" si="47"/>
        <v/>
      </c>
      <c r="AT36" s="84">
        <f t="shared" ca="1" si="48"/>
        <v>0</v>
      </c>
      <c r="AU36" s="336">
        <f t="shared" ca="1" si="49"/>
        <v>0</v>
      </c>
      <c r="AV36" s="336">
        <f t="shared" ca="1" si="49"/>
        <v>0</v>
      </c>
      <c r="AW36" s="336">
        <f t="shared" ca="1" si="49"/>
        <v>0</v>
      </c>
      <c r="AX36" s="336">
        <f t="shared" ca="1" si="49"/>
        <v>0</v>
      </c>
      <c r="AY36" s="336">
        <f t="shared" ca="1" si="49"/>
        <v>0</v>
      </c>
      <c r="AZ36" s="336">
        <f t="shared" ca="1" si="49"/>
        <v>0</v>
      </c>
      <c r="BA36" s="336">
        <f t="shared" ca="1" si="49"/>
        <v>0</v>
      </c>
      <c r="BB36" s="336">
        <f t="shared" ca="1" si="49"/>
        <v>0</v>
      </c>
      <c r="BC36" s="336">
        <f t="shared" ca="1" si="49"/>
        <v>0</v>
      </c>
      <c r="BD36" s="336">
        <f t="shared" ca="1" si="49"/>
        <v>0</v>
      </c>
      <c r="BE36" s="83">
        <f t="shared" ca="1" si="1"/>
        <v>0</v>
      </c>
      <c r="BF36" s="84">
        <f t="shared" ca="1" si="50"/>
        <v>0</v>
      </c>
      <c r="BH36" s="407" t="str">
        <f t="shared" ca="1" si="2"/>
        <v/>
      </c>
      <c r="BI36" s="408" t="str">
        <f t="shared" ca="1" si="3"/>
        <v/>
      </c>
      <c r="BK36" s="439">
        <f t="shared" ca="1" si="4"/>
        <v>0</v>
      </c>
      <c r="BL36" s="397">
        <f t="shared" ca="1" si="5"/>
        <v>0</v>
      </c>
      <c r="BM36" s="397">
        <f t="shared" ca="1" si="6"/>
        <v>0</v>
      </c>
      <c r="BN36" s="397">
        <f t="shared" ca="1" si="7"/>
        <v>0</v>
      </c>
      <c r="BO36" s="397">
        <f t="shared" ca="1" si="8"/>
        <v>0</v>
      </c>
      <c r="BP36" s="397">
        <f t="shared" ca="1" si="9"/>
        <v>0</v>
      </c>
      <c r="BQ36" s="397">
        <f t="shared" ca="1" si="10"/>
        <v>0</v>
      </c>
      <c r="BR36" s="397">
        <f t="shared" ca="1" si="11"/>
        <v>0</v>
      </c>
      <c r="BS36" s="397">
        <f t="shared" ca="1" si="12"/>
        <v>0</v>
      </c>
      <c r="BT36" s="397">
        <f t="shared" ca="1" si="13"/>
        <v>0</v>
      </c>
      <c r="BU36" s="397">
        <f t="shared" ca="1" si="14"/>
        <v>0</v>
      </c>
      <c r="BV36" s="397">
        <f t="shared" ca="1" si="15"/>
        <v>0</v>
      </c>
      <c r="BW36" s="397">
        <f t="shared" ca="1" si="16"/>
        <v>0</v>
      </c>
      <c r="BX36" s="397">
        <f t="shared" ca="1" si="17"/>
        <v>0</v>
      </c>
      <c r="BY36" s="397">
        <f t="shared" ca="1" si="18"/>
        <v>0</v>
      </c>
      <c r="BZ36" s="397">
        <f t="shared" ca="1" si="19"/>
        <v>0</v>
      </c>
      <c r="CA36" s="397">
        <f t="shared" ca="1" si="20"/>
        <v>0</v>
      </c>
      <c r="CB36" s="397">
        <f t="shared" ca="1" si="21"/>
        <v>0</v>
      </c>
      <c r="CC36" s="397">
        <f t="shared" ca="1" si="22"/>
        <v>0</v>
      </c>
      <c r="CD36" s="397">
        <f t="shared" ca="1" si="23"/>
        <v>0</v>
      </c>
      <c r="CE36" s="397">
        <f t="shared" ca="1" si="24"/>
        <v>0</v>
      </c>
      <c r="CF36" s="397">
        <f t="shared" ca="1" si="25"/>
        <v>0</v>
      </c>
      <c r="CG36" s="397">
        <f t="shared" ca="1" si="26"/>
        <v>0</v>
      </c>
      <c r="CH36" s="397">
        <f t="shared" ca="1" si="27"/>
        <v>0</v>
      </c>
      <c r="CI36" s="397">
        <f t="shared" ca="1" si="28"/>
        <v>0</v>
      </c>
      <c r="CJ36" s="397">
        <f t="shared" ca="1" si="29"/>
        <v>0</v>
      </c>
      <c r="CK36" s="397">
        <f t="shared" ca="1" si="30"/>
        <v>0</v>
      </c>
      <c r="CL36" s="397">
        <f t="shared" ca="1" si="31"/>
        <v>0</v>
      </c>
      <c r="CM36" s="397">
        <f t="shared" ca="1" si="32"/>
        <v>0</v>
      </c>
      <c r="CN36" s="397">
        <f t="shared" ca="1" si="33"/>
        <v>0</v>
      </c>
      <c r="CO36" s="397">
        <f t="shared" ca="1" si="34"/>
        <v>0</v>
      </c>
      <c r="CP36" s="397">
        <f t="shared" ca="1" si="35"/>
        <v>0</v>
      </c>
      <c r="CQ36" s="397">
        <f t="shared" ca="1" si="36"/>
        <v>0</v>
      </c>
      <c r="CR36" s="397">
        <f t="shared" ca="1" si="37"/>
        <v>0</v>
      </c>
      <c r="CS36" s="397">
        <f t="shared" ca="1" si="38"/>
        <v>0</v>
      </c>
      <c r="CT36" s="397">
        <f t="shared" ca="1" si="39"/>
        <v>0</v>
      </c>
      <c r="CU36" s="397">
        <f t="shared" ca="1" si="40"/>
        <v>0</v>
      </c>
      <c r="CV36" s="397">
        <f t="shared" ca="1" si="41"/>
        <v>0</v>
      </c>
      <c r="CW36" s="397">
        <f t="shared" ca="1" si="42"/>
        <v>0</v>
      </c>
      <c r="CX36" s="440">
        <f t="shared" ca="1" si="43"/>
        <v>0</v>
      </c>
      <c r="CY36" s="335">
        <f t="shared" si="44"/>
        <v>0</v>
      </c>
      <c r="CZ36" s="16"/>
      <c r="DA36" s="16"/>
      <c r="DB36" s="16"/>
      <c r="DC36" s="16"/>
      <c r="DD36" s="16"/>
      <c r="DE36" s="16"/>
      <c r="DF36" s="16"/>
      <c r="DG36" s="16"/>
      <c r="DH36" s="16"/>
    </row>
    <row r="37" spans="1:112" s="77" customFormat="1" ht="15" customHeight="1">
      <c r="A37" s="266" t="str">
        <f t="shared" ca="1" si="45"/>
        <v/>
      </c>
      <c r="B37" s="462"/>
      <c r="C37" s="402" t="str">
        <f ca="1">IF(DrawFinder!AB37=0,"",DrawFinder!AB37)</f>
        <v/>
      </c>
      <c r="D37" s="402" t="str">
        <f ca="1">IF(DrawFinder!AC37=0,"",DrawFinder!AC37)</f>
        <v/>
      </c>
      <c r="E37" s="402" t="str">
        <f ca="1">IF(DrawFinder!AD37=0,"",DrawFinder!AD37)</f>
        <v/>
      </c>
      <c r="F37" s="402" t="str">
        <f ca="1">IF(DrawFinder!AE37=0,"",DrawFinder!AE37)</f>
        <v/>
      </c>
      <c r="G37" s="402" t="str">
        <f ca="1">IF(DrawFinder!AF37=0,"",DrawFinder!AF37)</f>
        <v/>
      </c>
      <c r="H37" s="402" t="str">
        <f ca="1">IF(DrawFinder!AG37=0,"",DrawFinder!AG37)</f>
        <v/>
      </c>
      <c r="I37" s="402" t="str">
        <f ca="1">IF(DrawFinder!AH37=0,"",DrawFinder!AH37)</f>
        <v/>
      </c>
      <c r="J37" s="402" t="str">
        <f ca="1">IF(DrawFinder!AI37=0,"",DrawFinder!AI37)</f>
        <v/>
      </c>
      <c r="K37" s="402" t="str">
        <f ca="1">IF(DrawFinder!AJ37=0,"",DrawFinder!AJ37)</f>
        <v/>
      </c>
      <c r="L37" s="402" t="str">
        <f ca="1">IF(DrawFinder!AK37=0,"",DrawFinder!AK37)</f>
        <v/>
      </c>
      <c r="M37" s="402" t="str">
        <f ca="1">IF(DrawFinder!AL37=0,"",DrawFinder!AL37)</f>
        <v/>
      </c>
      <c r="N37" s="402" t="str">
        <f ca="1">IF(DrawFinder!AM37=0,"",DrawFinder!AM37)</f>
        <v/>
      </c>
      <c r="O37" s="402" t="str">
        <f ca="1">IF(DrawFinder!AN37=0,"",DrawFinder!AN37)</f>
        <v/>
      </c>
      <c r="P37" s="402" t="str">
        <f ca="1">IF(DrawFinder!AO37=0,"",DrawFinder!AO37)</f>
        <v/>
      </c>
      <c r="Q37" s="402" t="str">
        <f ca="1">IF(DrawFinder!AP37=0,"",DrawFinder!AP37)</f>
        <v/>
      </c>
      <c r="R37" s="402" t="str">
        <f ca="1">IF(DrawFinder!AQ37=0,"",DrawFinder!AQ37)</f>
        <v/>
      </c>
      <c r="S37" s="402" t="str">
        <f ca="1">IF(DrawFinder!AR37=0,"",DrawFinder!AR37)</f>
        <v/>
      </c>
      <c r="T37" s="402" t="str">
        <f ca="1">IF(DrawFinder!AS37=0,"",DrawFinder!AS37)</f>
        <v/>
      </c>
      <c r="U37" s="402" t="str">
        <f ca="1">IF(DrawFinder!AT37=0,"",DrawFinder!AT37)</f>
        <v/>
      </c>
      <c r="V37" s="402" t="str">
        <f ca="1">IF(DrawFinder!AU37=0,"",DrawFinder!AU37)</f>
        <v/>
      </c>
      <c r="W37" s="402" t="str">
        <f ca="1">IF(DrawFinder!AV37=0,"",DrawFinder!AV37)</f>
        <v/>
      </c>
      <c r="X37" s="402" t="str">
        <f ca="1">IF(DrawFinder!AW37=0,"",DrawFinder!AW37)</f>
        <v/>
      </c>
      <c r="Y37" s="402" t="str">
        <f ca="1">IF(DrawFinder!AX37=0,"",DrawFinder!AX37)</f>
        <v/>
      </c>
      <c r="Z37" s="402" t="str">
        <f ca="1">IF(DrawFinder!AY37=0,"",DrawFinder!AY37)</f>
        <v/>
      </c>
      <c r="AA37" s="402" t="str">
        <f ca="1">IF(DrawFinder!AZ37=0,"",DrawFinder!AZ37)</f>
        <v/>
      </c>
      <c r="AB37" s="402" t="str">
        <f ca="1">IF(DrawFinder!BA37=0,"",DrawFinder!BA37)</f>
        <v/>
      </c>
      <c r="AC37" s="402" t="str">
        <f ca="1">IF(DrawFinder!BB37=0,"",DrawFinder!BB37)</f>
        <v/>
      </c>
      <c r="AD37" s="402" t="str">
        <f ca="1">IF(DrawFinder!BC37=0,"",DrawFinder!BC37)</f>
        <v/>
      </c>
      <c r="AE37" s="402" t="str">
        <f ca="1">IF(DrawFinder!BD37=0,"",DrawFinder!BD37)</f>
        <v/>
      </c>
      <c r="AF37" s="402" t="str">
        <f ca="1">IF(DrawFinder!BE37=0,"",DrawFinder!BE37)</f>
        <v/>
      </c>
      <c r="AG37" s="402" t="str">
        <f ca="1">IF(DrawFinder!BF37=0,"",DrawFinder!BF37)</f>
        <v/>
      </c>
      <c r="AH37" s="402" t="str">
        <f ca="1">IF(DrawFinder!BG37=0,"",DrawFinder!BG37)</f>
        <v/>
      </c>
      <c r="AI37" s="402" t="str">
        <f ca="1">IF(DrawFinder!BH37=0,"",DrawFinder!BH37)</f>
        <v/>
      </c>
      <c r="AJ37" s="402" t="str">
        <f ca="1">IF(DrawFinder!BI37=0,"",DrawFinder!BI37)</f>
        <v/>
      </c>
      <c r="AK37" s="402" t="str">
        <f ca="1">IF(DrawFinder!BJ37=0,"",DrawFinder!BJ37)</f>
        <v/>
      </c>
      <c r="AL37" s="402" t="str">
        <f ca="1">IF(DrawFinder!BK37=0,"",DrawFinder!BK37)</f>
        <v/>
      </c>
      <c r="AM37" s="402" t="str">
        <f ca="1">IF(DrawFinder!BL37=0,"",DrawFinder!BL37)</f>
        <v/>
      </c>
      <c r="AN37" s="402" t="str">
        <f ca="1">IF(DrawFinder!BM37=0,"",DrawFinder!BM37)</f>
        <v/>
      </c>
      <c r="AO37" s="402" t="str">
        <f ca="1">IF(DrawFinder!BN37=0,"",DrawFinder!BN37)</f>
        <v/>
      </c>
      <c r="AP37" s="400" t="str">
        <f ca="1">IF(DrawFinder!BO37=0,"",DrawFinder!BO37)</f>
        <v/>
      </c>
      <c r="AQ37" s="81" t="str">
        <f>IF(DrawFinder!Y37=0,"",DrawFinder!Y37)</f>
        <v/>
      </c>
      <c r="AR37" s="79" t="str">
        <f t="shared" ca="1" si="46"/>
        <v/>
      </c>
      <c r="AS37" s="81" t="str">
        <f t="shared" ca="1" si="47"/>
        <v/>
      </c>
      <c r="AT37" s="84">
        <f t="shared" ca="1" si="48"/>
        <v>0</v>
      </c>
      <c r="AU37" s="336">
        <f t="shared" ca="1" si="49"/>
        <v>0</v>
      </c>
      <c r="AV37" s="336">
        <f t="shared" ca="1" si="49"/>
        <v>0</v>
      </c>
      <c r="AW37" s="336">
        <f t="shared" ca="1" si="49"/>
        <v>0</v>
      </c>
      <c r="AX37" s="336">
        <f t="shared" ca="1" si="49"/>
        <v>0</v>
      </c>
      <c r="AY37" s="336">
        <f t="shared" ca="1" si="49"/>
        <v>0</v>
      </c>
      <c r="AZ37" s="336">
        <f t="shared" ca="1" si="49"/>
        <v>0</v>
      </c>
      <c r="BA37" s="336">
        <f t="shared" ca="1" si="49"/>
        <v>0</v>
      </c>
      <c r="BB37" s="336">
        <f t="shared" ca="1" si="49"/>
        <v>0</v>
      </c>
      <c r="BC37" s="336">
        <f t="shared" ca="1" si="49"/>
        <v>0</v>
      </c>
      <c r="BD37" s="336">
        <f t="shared" ca="1" si="49"/>
        <v>0</v>
      </c>
      <c r="BE37" s="83">
        <f t="shared" ca="1" si="1"/>
        <v>0</v>
      </c>
      <c r="BF37" s="84">
        <f t="shared" ca="1" si="50"/>
        <v>0</v>
      </c>
      <c r="BH37" s="407" t="str">
        <f t="shared" ca="1" si="2"/>
        <v/>
      </c>
      <c r="BI37" s="408" t="str">
        <f t="shared" ca="1" si="3"/>
        <v/>
      </c>
      <c r="BK37" s="439">
        <f t="shared" ca="1" si="4"/>
        <v>0</v>
      </c>
      <c r="BL37" s="397">
        <f t="shared" ca="1" si="5"/>
        <v>0</v>
      </c>
      <c r="BM37" s="397">
        <f t="shared" ca="1" si="6"/>
        <v>0</v>
      </c>
      <c r="BN37" s="397">
        <f t="shared" ca="1" si="7"/>
        <v>0</v>
      </c>
      <c r="BO37" s="397">
        <f t="shared" ca="1" si="8"/>
        <v>0</v>
      </c>
      <c r="BP37" s="397">
        <f t="shared" ca="1" si="9"/>
        <v>0</v>
      </c>
      <c r="BQ37" s="397">
        <f t="shared" ca="1" si="10"/>
        <v>0</v>
      </c>
      <c r="BR37" s="397">
        <f t="shared" ca="1" si="11"/>
        <v>0</v>
      </c>
      <c r="BS37" s="397">
        <f t="shared" ca="1" si="12"/>
        <v>0</v>
      </c>
      <c r="BT37" s="397">
        <f t="shared" ca="1" si="13"/>
        <v>0</v>
      </c>
      <c r="BU37" s="397">
        <f t="shared" ca="1" si="14"/>
        <v>0</v>
      </c>
      <c r="BV37" s="397">
        <f t="shared" ca="1" si="15"/>
        <v>0</v>
      </c>
      <c r="BW37" s="397">
        <f t="shared" ca="1" si="16"/>
        <v>0</v>
      </c>
      <c r="BX37" s="397">
        <f t="shared" ca="1" si="17"/>
        <v>0</v>
      </c>
      <c r="BY37" s="397">
        <f t="shared" ca="1" si="18"/>
        <v>0</v>
      </c>
      <c r="BZ37" s="397">
        <f t="shared" ca="1" si="19"/>
        <v>0</v>
      </c>
      <c r="CA37" s="397">
        <f t="shared" ca="1" si="20"/>
        <v>0</v>
      </c>
      <c r="CB37" s="397">
        <f t="shared" ca="1" si="21"/>
        <v>0</v>
      </c>
      <c r="CC37" s="397">
        <f t="shared" ca="1" si="22"/>
        <v>0</v>
      </c>
      <c r="CD37" s="397">
        <f t="shared" ca="1" si="23"/>
        <v>0</v>
      </c>
      <c r="CE37" s="397">
        <f t="shared" ca="1" si="24"/>
        <v>0</v>
      </c>
      <c r="CF37" s="397">
        <f t="shared" ca="1" si="25"/>
        <v>0</v>
      </c>
      <c r="CG37" s="397">
        <f t="shared" ca="1" si="26"/>
        <v>0</v>
      </c>
      <c r="CH37" s="397">
        <f t="shared" ca="1" si="27"/>
        <v>0</v>
      </c>
      <c r="CI37" s="397">
        <f t="shared" ca="1" si="28"/>
        <v>0</v>
      </c>
      <c r="CJ37" s="397">
        <f t="shared" ca="1" si="29"/>
        <v>0</v>
      </c>
      <c r="CK37" s="397">
        <f t="shared" ca="1" si="30"/>
        <v>0</v>
      </c>
      <c r="CL37" s="397">
        <f t="shared" ca="1" si="31"/>
        <v>0</v>
      </c>
      <c r="CM37" s="397">
        <f t="shared" ca="1" si="32"/>
        <v>0</v>
      </c>
      <c r="CN37" s="397">
        <f t="shared" ca="1" si="33"/>
        <v>0</v>
      </c>
      <c r="CO37" s="397">
        <f t="shared" ca="1" si="34"/>
        <v>0</v>
      </c>
      <c r="CP37" s="397">
        <f t="shared" ca="1" si="35"/>
        <v>0</v>
      </c>
      <c r="CQ37" s="397">
        <f t="shared" ca="1" si="36"/>
        <v>0</v>
      </c>
      <c r="CR37" s="397">
        <f t="shared" ca="1" si="37"/>
        <v>0</v>
      </c>
      <c r="CS37" s="397">
        <f t="shared" ca="1" si="38"/>
        <v>0</v>
      </c>
      <c r="CT37" s="397">
        <f t="shared" ca="1" si="39"/>
        <v>0</v>
      </c>
      <c r="CU37" s="397">
        <f t="shared" ca="1" si="40"/>
        <v>0</v>
      </c>
      <c r="CV37" s="397">
        <f t="shared" ca="1" si="41"/>
        <v>0</v>
      </c>
      <c r="CW37" s="397">
        <f t="shared" ca="1" si="42"/>
        <v>0</v>
      </c>
      <c r="CX37" s="440">
        <f t="shared" ca="1" si="43"/>
        <v>0</v>
      </c>
      <c r="CY37" s="335">
        <f t="shared" si="44"/>
        <v>0</v>
      </c>
      <c r="CZ37" s="16"/>
      <c r="DA37" s="16"/>
      <c r="DB37" s="16"/>
      <c r="DC37" s="16"/>
      <c r="DD37" s="16"/>
      <c r="DE37" s="16"/>
      <c r="DF37" s="16"/>
      <c r="DG37" s="16"/>
      <c r="DH37" s="16"/>
    </row>
    <row r="38" spans="1:112" s="77" customFormat="1" ht="15" customHeight="1">
      <c r="A38" s="266" t="str">
        <f t="shared" ca="1" si="45"/>
        <v/>
      </c>
      <c r="B38" s="462"/>
      <c r="C38" s="402" t="str">
        <f ca="1">IF(DrawFinder!AB38=0,"",DrawFinder!AB38)</f>
        <v/>
      </c>
      <c r="D38" s="402" t="str">
        <f ca="1">IF(DrawFinder!AC38=0,"",DrawFinder!AC38)</f>
        <v/>
      </c>
      <c r="E38" s="402" t="str">
        <f ca="1">IF(DrawFinder!AD38=0,"",DrawFinder!AD38)</f>
        <v/>
      </c>
      <c r="F38" s="402" t="str">
        <f ca="1">IF(DrawFinder!AE38=0,"",DrawFinder!AE38)</f>
        <v/>
      </c>
      <c r="G38" s="402" t="str">
        <f ca="1">IF(DrawFinder!AF38=0,"",DrawFinder!AF38)</f>
        <v/>
      </c>
      <c r="H38" s="402" t="str">
        <f ca="1">IF(DrawFinder!AG38=0,"",DrawFinder!AG38)</f>
        <v/>
      </c>
      <c r="I38" s="402" t="str">
        <f ca="1">IF(DrawFinder!AH38=0,"",DrawFinder!AH38)</f>
        <v/>
      </c>
      <c r="J38" s="402" t="str">
        <f ca="1">IF(DrawFinder!AI38=0,"",DrawFinder!AI38)</f>
        <v/>
      </c>
      <c r="K38" s="402" t="str">
        <f ca="1">IF(DrawFinder!AJ38=0,"",DrawFinder!AJ38)</f>
        <v/>
      </c>
      <c r="L38" s="402" t="str">
        <f ca="1">IF(DrawFinder!AK38=0,"",DrawFinder!AK38)</f>
        <v/>
      </c>
      <c r="M38" s="402" t="str">
        <f ca="1">IF(DrawFinder!AL38=0,"",DrawFinder!AL38)</f>
        <v/>
      </c>
      <c r="N38" s="402" t="str">
        <f ca="1">IF(DrawFinder!AM38=0,"",DrawFinder!AM38)</f>
        <v/>
      </c>
      <c r="O38" s="402" t="str">
        <f ca="1">IF(DrawFinder!AN38=0,"",DrawFinder!AN38)</f>
        <v/>
      </c>
      <c r="P38" s="402" t="str">
        <f ca="1">IF(DrawFinder!AO38=0,"",DrawFinder!AO38)</f>
        <v/>
      </c>
      <c r="Q38" s="402" t="str">
        <f ca="1">IF(DrawFinder!AP38=0,"",DrawFinder!AP38)</f>
        <v/>
      </c>
      <c r="R38" s="402" t="str">
        <f ca="1">IF(DrawFinder!AQ38=0,"",DrawFinder!AQ38)</f>
        <v/>
      </c>
      <c r="S38" s="402" t="str">
        <f ca="1">IF(DrawFinder!AR38=0,"",DrawFinder!AR38)</f>
        <v/>
      </c>
      <c r="T38" s="402" t="str">
        <f ca="1">IF(DrawFinder!AS38=0,"",DrawFinder!AS38)</f>
        <v/>
      </c>
      <c r="U38" s="402" t="str">
        <f ca="1">IF(DrawFinder!AT38=0,"",DrawFinder!AT38)</f>
        <v/>
      </c>
      <c r="V38" s="402" t="str">
        <f ca="1">IF(DrawFinder!AU38=0,"",DrawFinder!AU38)</f>
        <v/>
      </c>
      <c r="W38" s="402" t="str">
        <f ca="1">IF(DrawFinder!AV38=0,"",DrawFinder!AV38)</f>
        <v/>
      </c>
      <c r="X38" s="402" t="str">
        <f ca="1">IF(DrawFinder!AW38=0,"",DrawFinder!AW38)</f>
        <v/>
      </c>
      <c r="Y38" s="402" t="str">
        <f ca="1">IF(DrawFinder!AX38=0,"",DrawFinder!AX38)</f>
        <v/>
      </c>
      <c r="Z38" s="402" t="str">
        <f ca="1">IF(DrawFinder!AY38=0,"",DrawFinder!AY38)</f>
        <v/>
      </c>
      <c r="AA38" s="402" t="str">
        <f ca="1">IF(DrawFinder!AZ38=0,"",DrawFinder!AZ38)</f>
        <v/>
      </c>
      <c r="AB38" s="402" t="str">
        <f ca="1">IF(DrawFinder!BA38=0,"",DrawFinder!BA38)</f>
        <v/>
      </c>
      <c r="AC38" s="402" t="str">
        <f ca="1">IF(DrawFinder!BB38=0,"",DrawFinder!BB38)</f>
        <v/>
      </c>
      <c r="AD38" s="402" t="str">
        <f ca="1">IF(DrawFinder!BC38=0,"",DrawFinder!BC38)</f>
        <v/>
      </c>
      <c r="AE38" s="402" t="str">
        <f ca="1">IF(DrawFinder!BD38=0,"",DrawFinder!BD38)</f>
        <v/>
      </c>
      <c r="AF38" s="402" t="str">
        <f ca="1">IF(DrawFinder!BE38=0,"",DrawFinder!BE38)</f>
        <v/>
      </c>
      <c r="AG38" s="402" t="str">
        <f ca="1">IF(DrawFinder!BF38=0,"",DrawFinder!BF38)</f>
        <v/>
      </c>
      <c r="AH38" s="402" t="str">
        <f ca="1">IF(DrawFinder!BG38=0,"",DrawFinder!BG38)</f>
        <v/>
      </c>
      <c r="AI38" s="402" t="str">
        <f ca="1">IF(DrawFinder!BH38=0,"",DrawFinder!BH38)</f>
        <v/>
      </c>
      <c r="AJ38" s="402" t="str">
        <f ca="1">IF(DrawFinder!BI38=0,"",DrawFinder!BI38)</f>
        <v/>
      </c>
      <c r="AK38" s="402" t="str">
        <f ca="1">IF(DrawFinder!BJ38=0,"",DrawFinder!BJ38)</f>
        <v/>
      </c>
      <c r="AL38" s="402" t="str">
        <f ca="1">IF(DrawFinder!BK38=0,"",DrawFinder!BK38)</f>
        <v/>
      </c>
      <c r="AM38" s="402" t="str">
        <f ca="1">IF(DrawFinder!BL38=0,"",DrawFinder!BL38)</f>
        <v/>
      </c>
      <c r="AN38" s="402" t="str">
        <f ca="1">IF(DrawFinder!BM38=0,"",DrawFinder!BM38)</f>
        <v/>
      </c>
      <c r="AO38" s="402" t="str">
        <f ca="1">IF(DrawFinder!BN38=0,"",DrawFinder!BN38)</f>
        <v/>
      </c>
      <c r="AP38" s="400" t="str">
        <f ca="1">IF(DrawFinder!BO38=0,"",DrawFinder!BO38)</f>
        <v/>
      </c>
      <c r="AQ38" s="81" t="str">
        <f>IF(DrawFinder!Y38=0,"",DrawFinder!Y38)</f>
        <v/>
      </c>
      <c r="AR38" s="79" t="str">
        <f t="shared" ca="1" si="46"/>
        <v/>
      </c>
      <c r="AS38" s="81" t="str">
        <f t="shared" ca="1" si="47"/>
        <v/>
      </c>
      <c r="AT38" s="84">
        <f t="shared" ca="1" si="48"/>
        <v>0</v>
      </c>
      <c r="AU38" s="336">
        <f t="shared" ca="1" si="49"/>
        <v>0</v>
      </c>
      <c r="AV38" s="336">
        <f t="shared" ca="1" si="49"/>
        <v>0</v>
      </c>
      <c r="AW38" s="336">
        <f t="shared" ca="1" si="49"/>
        <v>0</v>
      </c>
      <c r="AX38" s="336">
        <f t="shared" ca="1" si="49"/>
        <v>0</v>
      </c>
      <c r="AY38" s="336">
        <f t="shared" ca="1" si="49"/>
        <v>0</v>
      </c>
      <c r="AZ38" s="336">
        <f t="shared" ca="1" si="49"/>
        <v>0</v>
      </c>
      <c r="BA38" s="336">
        <f t="shared" ca="1" si="49"/>
        <v>0</v>
      </c>
      <c r="BB38" s="336">
        <f t="shared" ca="1" si="49"/>
        <v>0</v>
      </c>
      <c r="BC38" s="336">
        <f t="shared" ca="1" si="49"/>
        <v>0</v>
      </c>
      <c r="BD38" s="336">
        <f t="shared" ca="1" si="49"/>
        <v>0</v>
      </c>
      <c r="BE38" s="83">
        <f t="shared" ca="1" si="1"/>
        <v>0</v>
      </c>
      <c r="BF38" s="84">
        <f t="shared" ca="1" si="50"/>
        <v>0</v>
      </c>
      <c r="BH38" s="407" t="str">
        <f t="shared" ca="1" si="2"/>
        <v/>
      </c>
      <c r="BI38" s="408" t="str">
        <f t="shared" ca="1" si="3"/>
        <v/>
      </c>
      <c r="BK38" s="439">
        <f t="shared" ca="1" si="4"/>
        <v>0</v>
      </c>
      <c r="BL38" s="397">
        <f t="shared" ca="1" si="5"/>
        <v>0</v>
      </c>
      <c r="BM38" s="397">
        <f t="shared" ca="1" si="6"/>
        <v>0</v>
      </c>
      <c r="BN38" s="397">
        <f t="shared" ca="1" si="7"/>
        <v>0</v>
      </c>
      <c r="BO38" s="397">
        <f t="shared" ca="1" si="8"/>
        <v>0</v>
      </c>
      <c r="BP38" s="397">
        <f t="shared" ca="1" si="9"/>
        <v>0</v>
      </c>
      <c r="BQ38" s="397">
        <f t="shared" ca="1" si="10"/>
        <v>0</v>
      </c>
      <c r="BR38" s="397">
        <f t="shared" ca="1" si="11"/>
        <v>0</v>
      </c>
      <c r="BS38" s="397">
        <f t="shared" ca="1" si="12"/>
        <v>0</v>
      </c>
      <c r="BT38" s="397">
        <f t="shared" ca="1" si="13"/>
        <v>0</v>
      </c>
      <c r="BU38" s="397">
        <f t="shared" ca="1" si="14"/>
        <v>0</v>
      </c>
      <c r="BV38" s="397">
        <f t="shared" ca="1" si="15"/>
        <v>0</v>
      </c>
      <c r="BW38" s="397">
        <f t="shared" ca="1" si="16"/>
        <v>0</v>
      </c>
      <c r="BX38" s="397">
        <f t="shared" ca="1" si="17"/>
        <v>0</v>
      </c>
      <c r="BY38" s="397">
        <f t="shared" ca="1" si="18"/>
        <v>0</v>
      </c>
      <c r="BZ38" s="397">
        <f t="shared" ca="1" si="19"/>
        <v>0</v>
      </c>
      <c r="CA38" s="397">
        <f t="shared" ca="1" si="20"/>
        <v>0</v>
      </c>
      <c r="CB38" s="397">
        <f t="shared" ca="1" si="21"/>
        <v>0</v>
      </c>
      <c r="CC38" s="397">
        <f t="shared" ca="1" si="22"/>
        <v>0</v>
      </c>
      <c r="CD38" s="397">
        <f t="shared" ca="1" si="23"/>
        <v>0</v>
      </c>
      <c r="CE38" s="397">
        <f t="shared" ca="1" si="24"/>
        <v>0</v>
      </c>
      <c r="CF38" s="397">
        <f t="shared" ca="1" si="25"/>
        <v>0</v>
      </c>
      <c r="CG38" s="397">
        <f t="shared" ca="1" si="26"/>
        <v>0</v>
      </c>
      <c r="CH38" s="397">
        <f t="shared" ca="1" si="27"/>
        <v>0</v>
      </c>
      <c r="CI38" s="397">
        <f t="shared" ca="1" si="28"/>
        <v>0</v>
      </c>
      <c r="CJ38" s="397">
        <f t="shared" ca="1" si="29"/>
        <v>0</v>
      </c>
      <c r="CK38" s="397">
        <f t="shared" ca="1" si="30"/>
        <v>0</v>
      </c>
      <c r="CL38" s="397">
        <f t="shared" ca="1" si="31"/>
        <v>0</v>
      </c>
      <c r="CM38" s="397">
        <f t="shared" ca="1" si="32"/>
        <v>0</v>
      </c>
      <c r="CN38" s="397">
        <f t="shared" ca="1" si="33"/>
        <v>0</v>
      </c>
      <c r="CO38" s="397">
        <f t="shared" ca="1" si="34"/>
        <v>0</v>
      </c>
      <c r="CP38" s="397">
        <f t="shared" ca="1" si="35"/>
        <v>0</v>
      </c>
      <c r="CQ38" s="397">
        <f t="shared" ca="1" si="36"/>
        <v>0</v>
      </c>
      <c r="CR38" s="397">
        <f t="shared" ca="1" si="37"/>
        <v>0</v>
      </c>
      <c r="CS38" s="397">
        <f t="shared" ca="1" si="38"/>
        <v>0</v>
      </c>
      <c r="CT38" s="397">
        <f t="shared" ca="1" si="39"/>
        <v>0</v>
      </c>
      <c r="CU38" s="397">
        <f t="shared" ca="1" si="40"/>
        <v>0</v>
      </c>
      <c r="CV38" s="397">
        <f t="shared" ca="1" si="41"/>
        <v>0</v>
      </c>
      <c r="CW38" s="397">
        <f t="shared" ca="1" si="42"/>
        <v>0</v>
      </c>
      <c r="CX38" s="440">
        <f t="shared" ca="1" si="43"/>
        <v>0</v>
      </c>
      <c r="CY38" s="335">
        <f t="shared" si="44"/>
        <v>0</v>
      </c>
      <c r="CZ38" s="16"/>
      <c r="DA38" s="16"/>
      <c r="DB38" s="16"/>
      <c r="DC38" s="16"/>
      <c r="DD38" s="16"/>
      <c r="DE38" s="16"/>
      <c r="DF38" s="16"/>
      <c r="DG38" s="16"/>
      <c r="DH38" s="16"/>
    </row>
    <row r="39" spans="1:112" s="77" customFormat="1" ht="15" customHeight="1">
      <c r="A39" s="266" t="str">
        <f t="shared" ca="1" si="45"/>
        <v/>
      </c>
      <c r="B39" s="462"/>
      <c r="C39" s="402" t="str">
        <f ca="1">IF(DrawFinder!AB39=0,"",DrawFinder!AB39)</f>
        <v/>
      </c>
      <c r="D39" s="402" t="str">
        <f ca="1">IF(DrawFinder!AC39=0,"",DrawFinder!AC39)</f>
        <v/>
      </c>
      <c r="E39" s="402" t="str">
        <f ca="1">IF(DrawFinder!AD39=0,"",DrawFinder!AD39)</f>
        <v/>
      </c>
      <c r="F39" s="402" t="str">
        <f ca="1">IF(DrawFinder!AE39=0,"",DrawFinder!AE39)</f>
        <v/>
      </c>
      <c r="G39" s="402" t="str">
        <f ca="1">IF(DrawFinder!AF39=0,"",DrawFinder!AF39)</f>
        <v/>
      </c>
      <c r="H39" s="402" t="str">
        <f ca="1">IF(DrawFinder!AG39=0,"",DrawFinder!AG39)</f>
        <v/>
      </c>
      <c r="I39" s="402" t="str">
        <f ca="1">IF(DrawFinder!AH39=0,"",DrawFinder!AH39)</f>
        <v/>
      </c>
      <c r="J39" s="402" t="str">
        <f ca="1">IF(DrawFinder!AI39=0,"",DrawFinder!AI39)</f>
        <v/>
      </c>
      <c r="K39" s="402" t="str">
        <f ca="1">IF(DrawFinder!AJ39=0,"",DrawFinder!AJ39)</f>
        <v/>
      </c>
      <c r="L39" s="402" t="str">
        <f ca="1">IF(DrawFinder!AK39=0,"",DrawFinder!AK39)</f>
        <v/>
      </c>
      <c r="M39" s="402" t="str">
        <f ca="1">IF(DrawFinder!AL39=0,"",DrawFinder!AL39)</f>
        <v/>
      </c>
      <c r="N39" s="402" t="str">
        <f ca="1">IF(DrawFinder!AM39=0,"",DrawFinder!AM39)</f>
        <v/>
      </c>
      <c r="O39" s="402" t="str">
        <f ca="1">IF(DrawFinder!AN39=0,"",DrawFinder!AN39)</f>
        <v/>
      </c>
      <c r="P39" s="402" t="str">
        <f ca="1">IF(DrawFinder!AO39=0,"",DrawFinder!AO39)</f>
        <v/>
      </c>
      <c r="Q39" s="402" t="str">
        <f ca="1">IF(DrawFinder!AP39=0,"",DrawFinder!AP39)</f>
        <v/>
      </c>
      <c r="R39" s="402" t="str">
        <f ca="1">IF(DrawFinder!AQ39=0,"",DrawFinder!AQ39)</f>
        <v/>
      </c>
      <c r="S39" s="402" t="str">
        <f ca="1">IF(DrawFinder!AR39=0,"",DrawFinder!AR39)</f>
        <v/>
      </c>
      <c r="T39" s="402" t="str">
        <f ca="1">IF(DrawFinder!AS39=0,"",DrawFinder!AS39)</f>
        <v/>
      </c>
      <c r="U39" s="402" t="str">
        <f ca="1">IF(DrawFinder!AT39=0,"",DrawFinder!AT39)</f>
        <v/>
      </c>
      <c r="V39" s="402" t="str">
        <f ca="1">IF(DrawFinder!AU39=0,"",DrawFinder!AU39)</f>
        <v/>
      </c>
      <c r="W39" s="402" t="str">
        <f ca="1">IF(DrawFinder!AV39=0,"",DrawFinder!AV39)</f>
        <v/>
      </c>
      <c r="X39" s="402" t="str">
        <f ca="1">IF(DrawFinder!AW39=0,"",DrawFinder!AW39)</f>
        <v/>
      </c>
      <c r="Y39" s="402" t="str">
        <f ca="1">IF(DrawFinder!AX39=0,"",DrawFinder!AX39)</f>
        <v/>
      </c>
      <c r="Z39" s="402" t="str">
        <f ca="1">IF(DrawFinder!AY39=0,"",DrawFinder!AY39)</f>
        <v/>
      </c>
      <c r="AA39" s="402" t="str">
        <f ca="1">IF(DrawFinder!AZ39=0,"",DrawFinder!AZ39)</f>
        <v/>
      </c>
      <c r="AB39" s="402" t="str">
        <f ca="1">IF(DrawFinder!BA39=0,"",DrawFinder!BA39)</f>
        <v/>
      </c>
      <c r="AC39" s="402" t="str">
        <f ca="1">IF(DrawFinder!BB39=0,"",DrawFinder!BB39)</f>
        <v/>
      </c>
      <c r="AD39" s="402" t="str">
        <f ca="1">IF(DrawFinder!BC39=0,"",DrawFinder!BC39)</f>
        <v/>
      </c>
      <c r="AE39" s="402" t="str">
        <f ca="1">IF(DrawFinder!BD39=0,"",DrawFinder!BD39)</f>
        <v/>
      </c>
      <c r="AF39" s="402" t="str">
        <f ca="1">IF(DrawFinder!BE39=0,"",DrawFinder!BE39)</f>
        <v/>
      </c>
      <c r="AG39" s="402" t="str">
        <f ca="1">IF(DrawFinder!BF39=0,"",DrawFinder!BF39)</f>
        <v/>
      </c>
      <c r="AH39" s="402" t="str">
        <f ca="1">IF(DrawFinder!BG39=0,"",DrawFinder!BG39)</f>
        <v/>
      </c>
      <c r="AI39" s="402" t="str">
        <f ca="1">IF(DrawFinder!BH39=0,"",DrawFinder!BH39)</f>
        <v/>
      </c>
      <c r="AJ39" s="402" t="str">
        <f ca="1">IF(DrawFinder!BI39=0,"",DrawFinder!BI39)</f>
        <v/>
      </c>
      <c r="AK39" s="402" t="str">
        <f ca="1">IF(DrawFinder!BJ39=0,"",DrawFinder!BJ39)</f>
        <v/>
      </c>
      <c r="AL39" s="402" t="str">
        <f ca="1">IF(DrawFinder!BK39=0,"",DrawFinder!BK39)</f>
        <v/>
      </c>
      <c r="AM39" s="402" t="str">
        <f ca="1">IF(DrawFinder!BL39=0,"",DrawFinder!BL39)</f>
        <v/>
      </c>
      <c r="AN39" s="402" t="str">
        <f ca="1">IF(DrawFinder!BM39=0,"",DrawFinder!BM39)</f>
        <v/>
      </c>
      <c r="AO39" s="402" t="str">
        <f ca="1">IF(DrawFinder!BN39=0,"",DrawFinder!BN39)</f>
        <v/>
      </c>
      <c r="AP39" s="400" t="str">
        <f ca="1">IF(DrawFinder!BO39=0,"",DrawFinder!BO39)</f>
        <v/>
      </c>
      <c r="AQ39" s="81" t="str">
        <f>IF(DrawFinder!Y39=0,"",DrawFinder!Y39)</f>
        <v/>
      </c>
      <c r="AR39" s="79" t="str">
        <f t="shared" ca="1" si="46"/>
        <v/>
      </c>
      <c r="AS39" s="81" t="str">
        <f t="shared" ca="1" si="47"/>
        <v/>
      </c>
      <c r="AT39" s="84">
        <f t="shared" ca="1" si="48"/>
        <v>0</v>
      </c>
      <c r="AU39" s="336">
        <f t="shared" ca="1" si="49"/>
        <v>0</v>
      </c>
      <c r="AV39" s="336">
        <f t="shared" ca="1" si="49"/>
        <v>0</v>
      </c>
      <c r="AW39" s="336">
        <f t="shared" ca="1" si="49"/>
        <v>0</v>
      </c>
      <c r="AX39" s="336">
        <f t="shared" ca="1" si="49"/>
        <v>0</v>
      </c>
      <c r="AY39" s="336">
        <f t="shared" ca="1" si="49"/>
        <v>0</v>
      </c>
      <c r="AZ39" s="336">
        <f t="shared" ca="1" si="49"/>
        <v>0</v>
      </c>
      <c r="BA39" s="336">
        <f t="shared" ca="1" si="49"/>
        <v>0</v>
      </c>
      <c r="BB39" s="336">
        <f t="shared" ca="1" si="49"/>
        <v>0</v>
      </c>
      <c r="BC39" s="336">
        <f t="shared" ca="1" si="49"/>
        <v>0</v>
      </c>
      <c r="BD39" s="336">
        <f t="shared" ca="1" si="49"/>
        <v>0</v>
      </c>
      <c r="BE39" s="83">
        <f t="shared" ca="1" si="1"/>
        <v>0</v>
      </c>
      <c r="BF39" s="84">
        <f t="shared" ca="1" si="50"/>
        <v>0</v>
      </c>
      <c r="BH39" s="407" t="str">
        <f t="shared" ca="1" si="2"/>
        <v/>
      </c>
      <c r="BI39" s="408" t="str">
        <f t="shared" ca="1" si="3"/>
        <v/>
      </c>
      <c r="BK39" s="439">
        <f t="shared" ca="1" si="4"/>
        <v>0</v>
      </c>
      <c r="BL39" s="397">
        <f t="shared" ca="1" si="5"/>
        <v>0</v>
      </c>
      <c r="BM39" s="397">
        <f t="shared" ca="1" si="6"/>
        <v>0</v>
      </c>
      <c r="BN39" s="397">
        <f t="shared" ca="1" si="7"/>
        <v>0</v>
      </c>
      <c r="BO39" s="397">
        <f t="shared" ca="1" si="8"/>
        <v>0</v>
      </c>
      <c r="BP39" s="397">
        <f t="shared" ca="1" si="9"/>
        <v>0</v>
      </c>
      <c r="BQ39" s="397">
        <f t="shared" ca="1" si="10"/>
        <v>0</v>
      </c>
      <c r="BR39" s="397">
        <f t="shared" ca="1" si="11"/>
        <v>0</v>
      </c>
      <c r="BS39" s="397">
        <f t="shared" ca="1" si="12"/>
        <v>0</v>
      </c>
      <c r="BT39" s="397">
        <f t="shared" ca="1" si="13"/>
        <v>0</v>
      </c>
      <c r="BU39" s="397">
        <f t="shared" ca="1" si="14"/>
        <v>0</v>
      </c>
      <c r="BV39" s="397">
        <f t="shared" ca="1" si="15"/>
        <v>0</v>
      </c>
      <c r="BW39" s="397">
        <f t="shared" ca="1" si="16"/>
        <v>0</v>
      </c>
      <c r="BX39" s="397">
        <f t="shared" ca="1" si="17"/>
        <v>0</v>
      </c>
      <c r="BY39" s="397">
        <f t="shared" ca="1" si="18"/>
        <v>0</v>
      </c>
      <c r="BZ39" s="397">
        <f t="shared" ca="1" si="19"/>
        <v>0</v>
      </c>
      <c r="CA39" s="397">
        <f t="shared" ca="1" si="20"/>
        <v>0</v>
      </c>
      <c r="CB39" s="397">
        <f t="shared" ca="1" si="21"/>
        <v>0</v>
      </c>
      <c r="CC39" s="397">
        <f t="shared" ca="1" si="22"/>
        <v>0</v>
      </c>
      <c r="CD39" s="397">
        <f t="shared" ca="1" si="23"/>
        <v>0</v>
      </c>
      <c r="CE39" s="397">
        <f t="shared" ca="1" si="24"/>
        <v>0</v>
      </c>
      <c r="CF39" s="397">
        <f t="shared" ca="1" si="25"/>
        <v>0</v>
      </c>
      <c r="CG39" s="397">
        <f t="shared" ca="1" si="26"/>
        <v>0</v>
      </c>
      <c r="CH39" s="397">
        <f t="shared" ca="1" si="27"/>
        <v>0</v>
      </c>
      <c r="CI39" s="397">
        <f t="shared" ca="1" si="28"/>
        <v>0</v>
      </c>
      <c r="CJ39" s="397">
        <f t="shared" ca="1" si="29"/>
        <v>0</v>
      </c>
      <c r="CK39" s="397">
        <f t="shared" ca="1" si="30"/>
        <v>0</v>
      </c>
      <c r="CL39" s="397">
        <f t="shared" ca="1" si="31"/>
        <v>0</v>
      </c>
      <c r="CM39" s="397">
        <f t="shared" ca="1" si="32"/>
        <v>0</v>
      </c>
      <c r="CN39" s="397">
        <f t="shared" ca="1" si="33"/>
        <v>0</v>
      </c>
      <c r="CO39" s="397">
        <f t="shared" ca="1" si="34"/>
        <v>0</v>
      </c>
      <c r="CP39" s="397">
        <f t="shared" ca="1" si="35"/>
        <v>0</v>
      </c>
      <c r="CQ39" s="397">
        <f t="shared" ca="1" si="36"/>
        <v>0</v>
      </c>
      <c r="CR39" s="397">
        <f t="shared" ca="1" si="37"/>
        <v>0</v>
      </c>
      <c r="CS39" s="397">
        <f t="shared" ca="1" si="38"/>
        <v>0</v>
      </c>
      <c r="CT39" s="397">
        <f t="shared" ca="1" si="39"/>
        <v>0</v>
      </c>
      <c r="CU39" s="397">
        <f t="shared" ca="1" si="40"/>
        <v>0</v>
      </c>
      <c r="CV39" s="397">
        <f t="shared" ca="1" si="41"/>
        <v>0</v>
      </c>
      <c r="CW39" s="397">
        <f t="shared" ca="1" si="42"/>
        <v>0</v>
      </c>
      <c r="CX39" s="440">
        <f t="shared" ca="1" si="43"/>
        <v>0</v>
      </c>
      <c r="CY39" s="335">
        <f t="shared" si="44"/>
        <v>0</v>
      </c>
      <c r="CZ39" s="16"/>
      <c r="DA39" s="16"/>
      <c r="DB39" s="16"/>
      <c r="DC39" s="16"/>
      <c r="DD39" s="16"/>
      <c r="DE39" s="16"/>
      <c r="DF39" s="16"/>
      <c r="DG39" s="16"/>
      <c r="DH39" s="16"/>
    </row>
    <row r="40" spans="1:112" s="77" customFormat="1" ht="15" customHeight="1">
      <c r="A40" s="266" t="str">
        <f t="shared" ca="1" si="45"/>
        <v/>
      </c>
      <c r="B40" s="462"/>
      <c r="C40" s="402" t="str">
        <f ca="1">IF(DrawFinder!AB40=0,"",DrawFinder!AB40)</f>
        <v/>
      </c>
      <c r="D40" s="402" t="str">
        <f ca="1">IF(DrawFinder!AC40=0,"",DrawFinder!AC40)</f>
        <v/>
      </c>
      <c r="E40" s="402" t="str">
        <f ca="1">IF(DrawFinder!AD40=0,"",DrawFinder!AD40)</f>
        <v/>
      </c>
      <c r="F40" s="402" t="str">
        <f ca="1">IF(DrawFinder!AE40=0,"",DrawFinder!AE40)</f>
        <v/>
      </c>
      <c r="G40" s="402" t="str">
        <f ca="1">IF(DrawFinder!AF40=0,"",DrawFinder!AF40)</f>
        <v/>
      </c>
      <c r="H40" s="402" t="str">
        <f ca="1">IF(DrawFinder!AG40=0,"",DrawFinder!AG40)</f>
        <v/>
      </c>
      <c r="I40" s="402" t="str">
        <f ca="1">IF(DrawFinder!AH40=0,"",DrawFinder!AH40)</f>
        <v/>
      </c>
      <c r="J40" s="402" t="str">
        <f ca="1">IF(DrawFinder!AI40=0,"",DrawFinder!AI40)</f>
        <v/>
      </c>
      <c r="K40" s="402" t="str">
        <f ca="1">IF(DrawFinder!AJ40=0,"",DrawFinder!AJ40)</f>
        <v/>
      </c>
      <c r="L40" s="402" t="str">
        <f ca="1">IF(DrawFinder!AK40=0,"",DrawFinder!AK40)</f>
        <v/>
      </c>
      <c r="M40" s="402" t="str">
        <f ca="1">IF(DrawFinder!AL40=0,"",DrawFinder!AL40)</f>
        <v/>
      </c>
      <c r="N40" s="402" t="str">
        <f ca="1">IF(DrawFinder!AM40=0,"",DrawFinder!AM40)</f>
        <v/>
      </c>
      <c r="O40" s="402" t="str">
        <f ca="1">IF(DrawFinder!AN40=0,"",DrawFinder!AN40)</f>
        <v/>
      </c>
      <c r="P40" s="402" t="str">
        <f ca="1">IF(DrawFinder!AO40=0,"",DrawFinder!AO40)</f>
        <v/>
      </c>
      <c r="Q40" s="402" t="str">
        <f ca="1">IF(DrawFinder!AP40=0,"",DrawFinder!AP40)</f>
        <v/>
      </c>
      <c r="R40" s="402" t="str">
        <f ca="1">IF(DrawFinder!AQ40=0,"",DrawFinder!AQ40)</f>
        <v/>
      </c>
      <c r="S40" s="402" t="str">
        <f ca="1">IF(DrawFinder!AR40=0,"",DrawFinder!AR40)</f>
        <v/>
      </c>
      <c r="T40" s="402" t="str">
        <f ca="1">IF(DrawFinder!AS40=0,"",DrawFinder!AS40)</f>
        <v/>
      </c>
      <c r="U40" s="402" t="str">
        <f ca="1">IF(DrawFinder!AT40=0,"",DrawFinder!AT40)</f>
        <v/>
      </c>
      <c r="V40" s="402" t="str">
        <f ca="1">IF(DrawFinder!AU40=0,"",DrawFinder!AU40)</f>
        <v/>
      </c>
      <c r="W40" s="402" t="str">
        <f ca="1">IF(DrawFinder!AV40=0,"",DrawFinder!AV40)</f>
        <v/>
      </c>
      <c r="X40" s="402" t="str">
        <f ca="1">IF(DrawFinder!AW40=0,"",DrawFinder!AW40)</f>
        <v/>
      </c>
      <c r="Y40" s="402" t="str">
        <f ca="1">IF(DrawFinder!AX40=0,"",DrawFinder!AX40)</f>
        <v/>
      </c>
      <c r="Z40" s="402" t="str">
        <f ca="1">IF(DrawFinder!AY40=0,"",DrawFinder!AY40)</f>
        <v/>
      </c>
      <c r="AA40" s="402" t="str">
        <f ca="1">IF(DrawFinder!AZ40=0,"",DrawFinder!AZ40)</f>
        <v/>
      </c>
      <c r="AB40" s="402" t="str">
        <f ca="1">IF(DrawFinder!BA40=0,"",DrawFinder!BA40)</f>
        <v/>
      </c>
      <c r="AC40" s="402" t="str">
        <f ca="1">IF(DrawFinder!BB40=0,"",DrawFinder!BB40)</f>
        <v/>
      </c>
      <c r="AD40" s="402" t="str">
        <f ca="1">IF(DrawFinder!BC40=0,"",DrawFinder!BC40)</f>
        <v/>
      </c>
      <c r="AE40" s="402" t="str">
        <f ca="1">IF(DrawFinder!BD40=0,"",DrawFinder!BD40)</f>
        <v/>
      </c>
      <c r="AF40" s="402" t="str">
        <f ca="1">IF(DrawFinder!BE40=0,"",DrawFinder!BE40)</f>
        <v/>
      </c>
      <c r="AG40" s="402" t="str">
        <f ca="1">IF(DrawFinder!BF40=0,"",DrawFinder!BF40)</f>
        <v/>
      </c>
      <c r="AH40" s="402" t="str">
        <f ca="1">IF(DrawFinder!BG40=0,"",DrawFinder!BG40)</f>
        <v/>
      </c>
      <c r="AI40" s="402" t="str">
        <f ca="1">IF(DrawFinder!BH40=0,"",DrawFinder!BH40)</f>
        <v/>
      </c>
      <c r="AJ40" s="402" t="str">
        <f ca="1">IF(DrawFinder!BI40=0,"",DrawFinder!BI40)</f>
        <v/>
      </c>
      <c r="AK40" s="402" t="str">
        <f ca="1">IF(DrawFinder!BJ40=0,"",DrawFinder!BJ40)</f>
        <v/>
      </c>
      <c r="AL40" s="402" t="str">
        <f ca="1">IF(DrawFinder!BK40=0,"",DrawFinder!BK40)</f>
        <v/>
      </c>
      <c r="AM40" s="402" t="str">
        <f ca="1">IF(DrawFinder!BL40=0,"",DrawFinder!BL40)</f>
        <v/>
      </c>
      <c r="AN40" s="402" t="str">
        <f ca="1">IF(DrawFinder!BM40=0,"",DrawFinder!BM40)</f>
        <v/>
      </c>
      <c r="AO40" s="402" t="str">
        <f ca="1">IF(DrawFinder!BN40=0,"",DrawFinder!BN40)</f>
        <v/>
      </c>
      <c r="AP40" s="400" t="str">
        <f ca="1">IF(DrawFinder!BO40=0,"",DrawFinder!BO40)</f>
        <v/>
      </c>
      <c r="AQ40" s="81" t="str">
        <f>IF(DrawFinder!Y40=0,"",DrawFinder!Y40)</f>
        <v/>
      </c>
      <c r="AR40" s="79" t="str">
        <f t="shared" ca="1" si="46"/>
        <v/>
      </c>
      <c r="AS40" s="81" t="str">
        <f t="shared" ca="1" si="47"/>
        <v/>
      </c>
      <c r="AT40" s="84">
        <f t="shared" ca="1" si="48"/>
        <v>0</v>
      </c>
      <c r="AU40" s="336">
        <f t="shared" ca="1" si="49"/>
        <v>0</v>
      </c>
      <c r="AV40" s="336">
        <f t="shared" ca="1" si="49"/>
        <v>0</v>
      </c>
      <c r="AW40" s="336">
        <f t="shared" ca="1" si="49"/>
        <v>0</v>
      </c>
      <c r="AX40" s="336">
        <f t="shared" ca="1" si="49"/>
        <v>0</v>
      </c>
      <c r="AY40" s="336">
        <f t="shared" ca="1" si="49"/>
        <v>0</v>
      </c>
      <c r="AZ40" s="336">
        <f t="shared" ca="1" si="49"/>
        <v>0</v>
      </c>
      <c r="BA40" s="336">
        <f t="shared" ca="1" si="49"/>
        <v>0</v>
      </c>
      <c r="BB40" s="336">
        <f t="shared" ca="1" si="49"/>
        <v>0</v>
      </c>
      <c r="BC40" s="336">
        <f t="shared" ca="1" si="49"/>
        <v>0</v>
      </c>
      <c r="BD40" s="336">
        <f t="shared" ca="1" si="49"/>
        <v>0</v>
      </c>
      <c r="BE40" s="83">
        <f t="shared" ca="1" si="1"/>
        <v>0</v>
      </c>
      <c r="BF40" s="84">
        <f t="shared" ca="1" si="50"/>
        <v>0</v>
      </c>
      <c r="BH40" s="407" t="str">
        <f t="shared" ca="1" si="2"/>
        <v/>
      </c>
      <c r="BI40" s="408" t="str">
        <f t="shared" ca="1" si="3"/>
        <v/>
      </c>
      <c r="BK40" s="439">
        <f t="shared" ca="1" si="4"/>
        <v>0</v>
      </c>
      <c r="BL40" s="397">
        <f t="shared" ca="1" si="5"/>
        <v>0</v>
      </c>
      <c r="BM40" s="397">
        <f t="shared" ca="1" si="6"/>
        <v>0</v>
      </c>
      <c r="BN40" s="397">
        <f t="shared" ca="1" si="7"/>
        <v>0</v>
      </c>
      <c r="BO40" s="397">
        <f t="shared" ca="1" si="8"/>
        <v>0</v>
      </c>
      <c r="BP40" s="397">
        <f t="shared" ca="1" si="9"/>
        <v>0</v>
      </c>
      <c r="BQ40" s="397">
        <f t="shared" ca="1" si="10"/>
        <v>0</v>
      </c>
      <c r="BR40" s="397">
        <f t="shared" ca="1" si="11"/>
        <v>0</v>
      </c>
      <c r="BS40" s="397">
        <f t="shared" ca="1" si="12"/>
        <v>0</v>
      </c>
      <c r="BT40" s="397">
        <f t="shared" ca="1" si="13"/>
        <v>0</v>
      </c>
      <c r="BU40" s="397">
        <f t="shared" ca="1" si="14"/>
        <v>0</v>
      </c>
      <c r="BV40" s="397">
        <f t="shared" ca="1" si="15"/>
        <v>0</v>
      </c>
      <c r="BW40" s="397">
        <f t="shared" ca="1" si="16"/>
        <v>0</v>
      </c>
      <c r="BX40" s="397">
        <f t="shared" ca="1" si="17"/>
        <v>0</v>
      </c>
      <c r="BY40" s="397">
        <f t="shared" ca="1" si="18"/>
        <v>0</v>
      </c>
      <c r="BZ40" s="397">
        <f t="shared" ca="1" si="19"/>
        <v>0</v>
      </c>
      <c r="CA40" s="397">
        <f t="shared" ca="1" si="20"/>
        <v>0</v>
      </c>
      <c r="CB40" s="397">
        <f t="shared" ca="1" si="21"/>
        <v>0</v>
      </c>
      <c r="CC40" s="397">
        <f t="shared" ca="1" si="22"/>
        <v>0</v>
      </c>
      <c r="CD40" s="397">
        <f t="shared" ca="1" si="23"/>
        <v>0</v>
      </c>
      <c r="CE40" s="397">
        <f t="shared" ca="1" si="24"/>
        <v>0</v>
      </c>
      <c r="CF40" s="397">
        <f t="shared" ca="1" si="25"/>
        <v>0</v>
      </c>
      <c r="CG40" s="397">
        <f t="shared" ca="1" si="26"/>
        <v>0</v>
      </c>
      <c r="CH40" s="397">
        <f t="shared" ca="1" si="27"/>
        <v>0</v>
      </c>
      <c r="CI40" s="397">
        <f t="shared" ca="1" si="28"/>
        <v>0</v>
      </c>
      <c r="CJ40" s="397">
        <f t="shared" ca="1" si="29"/>
        <v>0</v>
      </c>
      <c r="CK40" s="397">
        <f t="shared" ca="1" si="30"/>
        <v>0</v>
      </c>
      <c r="CL40" s="397">
        <f t="shared" ca="1" si="31"/>
        <v>0</v>
      </c>
      <c r="CM40" s="397">
        <f t="shared" ca="1" si="32"/>
        <v>0</v>
      </c>
      <c r="CN40" s="397">
        <f t="shared" ca="1" si="33"/>
        <v>0</v>
      </c>
      <c r="CO40" s="397">
        <f t="shared" ca="1" si="34"/>
        <v>0</v>
      </c>
      <c r="CP40" s="397">
        <f t="shared" ca="1" si="35"/>
        <v>0</v>
      </c>
      <c r="CQ40" s="397">
        <f t="shared" ca="1" si="36"/>
        <v>0</v>
      </c>
      <c r="CR40" s="397">
        <f t="shared" ca="1" si="37"/>
        <v>0</v>
      </c>
      <c r="CS40" s="397">
        <f t="shared" ca="1" si="38"/>
        <v>0</v>
      </c>
      <c r="CT40" s="397">
        <f t="shared" ca="1" si="39"/>
        <v>0</v>
      </c>
      <c r="CU40" s="397">
        <f t="shared" ca="1" si="40"/>
        <v>0</v>
      </c>
      <c r="CV40" s="397">
        <f t="shared" ca="1" si="41"/>
        <v>0</v>
      </c>
      <c r="CW40" s="397">
        <f t="shared" ca="1" si="42"/>
        <v>0</v>
      </c>
      <c r="CX40" s="440">
        <f t="shared" ca="1" si="43"/>
        <v>0</v>
      </c>
      <c r="CY40" s="335">
        <f t="shared" si="44"/>
        <v>0</v>
      </c>
      <c r="CZ40" s="16"/>
      <c r="DA40" s="16"/>
      <c r="DB40" s="16"/>
      <c r="DC40" s="16"/>
      <c r="DD40" s="16"/>
      <c r="DE40" s="16"/>
      <c r="DF40" s="16"/>
      <c r="DG40" s="16"/>
      <c r="DH40" s="16"/>
    </row>
    <row r="41" spans="1:112" s="77" customFormat="1" ht="15" customHeight="1">
      <c r="A41" s="266" t="str">
        <f t="shared" ca="1" si="45"/>
        <v/>
      </c>
      <c r="B41" s="462"/>
      <c r="C41" s="402" t="str">
        <f ca="1">IF(DrawFinder!AB41=0,"",DrawFinder!AB41)</f>
        <v/>
      </c>
      <c r="D41" s="402" t="str">
        <f ca="1">IF(DrawFinder!AC41=0,"",DrawFinder!AC41)</f>
        <v/>
      </c>
      <c r="E41" s="402" t="str">
        <f ca="1">IF(DrawFinder!AD41=0,"",DrawFinder!AD41)</f>
        <v/>
      </c>
      <c r="F41" s="402" t="str">
        <f ca="1">IF(DrawFinder!AE41=0,"",DrawFinder!AE41)</f>
        <v/>
      </c>
      <c r="G41" s="402" t="str">
        <f ca="1">IF(DrawFinder!AF41=0,"",DrawFinder!AF41)</f>
        <v/>
      </c>
      <c r="H41" s="402" t="str">
        <f ca="1">IF(DrawFinder!AG41=0,"",DrawFinder!AG41)</f>
        <v/>
      </c>
      <c r="I41" s="402" t="str">
        <f ca="1">IF(DrawFinder!AH41=0,"",DrawFinder!AH41)</f>
        <v/>
      </c>
      <c r="J41" s="402" t="str">
        <f ca="1">IF(DrawFinder!AI41=0,"",DrawFinder!AI41)</f>
        <v/>
      </c>
      <c r="K41" s="402" t="str">
        <f ca="1">IF(DrawFinder!AJ41=0,"",DrawFinder!AJ41)</f>
        <v/>
      </c>
      <c r="L41" s="402" t="str">
        <f ca="1">IF(DrawFinder!AK41=0,"",DrawFinder!AK41)</f>
        <v/>
      </c>
      <c r="M41" s="402" t="str">
        <f ca="1">IF(DrawFinder!AL41=0,"",DrawFinder!AL41)</f>
        <v/>
      </c>
      <c r="N41" s="402" t="str">
        <f ca="1">IF(DrawFinder!AM41=0,"",DrawFinder!AM41)</f>
        <v/>
      </c>
      <c r="O41" s="402" t="str">
        <f ca="1">IF(DrawFinder!AN41=0,"",DrawFinder!AN41)</f>
        <v/>
      </c>
      <c r="P41" s="402" t="str">
        <f ca="1">IF(DrawFinder!AO41=0,"",DrawFinder!AO41)</f>
        <v/>
      </c>
      <c r="Q41" s="402" t="str">
        <f ca="1">IF(DrawFinder!AP41=0,"",DrawFinder!AP41)</f>
        <v/>
      </c>
      <c r="R41" s="402" t="str">
        <f ca="1">IF(DrawFinder!AQ41=0,"",DrawFinder!AQ41)</f>
        <v/>
      </c>
      <c r="S41" s="402" t="str">
        <f ca="1">IF(DrawFinder!AR41=0,"",DrawFinder!AR41)</f>
        <v/>
      </c>
      <c r="T41" s="402" t="str">
        <f ca="1">IF(DrawFinder!AS41=0,"",DrawFinder!AS41)</f>
        <v/>
      </c>
      <c r="U41" s="402" t="str">
        <f ca="1">IF(DrawFinder!AT41=0,"",DrawFinder!AT41)</f>
        <v/>
      </c>
      <c r="V41" s="402" t="str">
        <f ca="1">IF(DrawFinder!AU41=0,"",DrawFinder!AU41)</f>
        <v/>
      </c>
      <c r="W41" s="402" t="str">
        <f ca="1">IF(DrawFinder!AV41=0,"",DrawFinder!AV41)</f>
        <v/>
      </c>
      <c r="X41" s="402" t="str">
        <f ca="1">IF(DrawFinder!AW41=0,"",DrawFinder!AW41)</f>
        <v/>
      </c>
      <c r="Y41" s="402" t="str">
        <f ca="1">IF(DrawFinder!AX41=0,"",DrawFinder!AX41)</f>
        <v/>
      </c>
      <c r="Z41" s="402" t="str">
        <f ca="1">IF(DrawFinder!AY41=0,"",DrawFinder!AY41)</f>
        <v/>
      </c>
      <c r="AA41" s="402" t="str">
        <f ca="1">IF(DrawFinder!AZ41=0,"",DrawFinder!AZ41)</f>
        <v/>
      </c>
      <c r="AB41" s="402" t="str">
        <f ca="1">IF(DrawFinder!BA41=0,"",DrawFinder!BA41)</f>
        <v/>
      </c>
      <c r="AC41" s="402" t="str">
        <f ca="1">IF(DrawFinder!BB41=0,"",DrawFinder!BB41)</f>
        <v/>
      </c>
      <c r="AD41" s="402" t="str">
        <f ca="1">IF(DrawFinder!BC41=0,"",DrawFinder!BC41)</f>
        <v/>
      </c>
      <c r="AE41" s="402" t="str">
        <f ca="1">IF(DrawFinder!BD41=0,"",DrawFinder!BD41)</f>
        <v/>
      </c>
      <c r="AF41" s="402" t="str">
        <f ca="1">IF(DrawFinder!BE41=0,"",DrawFinder!BE41)</f>
        <v/>
      </c>
      <c r="AG41" s="402" t="str">
        <f ca="1">IF(DrawFinder!BF41=0,"",DrawFinder!BF41)</f>
        <v/>
      </c>
      <c r="AH41" s="402" t="str">
        <f ca="1">IF(DrawFinder!BG41=0,"",DrawFinder!BG41)</f>
        <v/>
      </c>
      <c r="AI41" s="402" t="str">
        <f ca="1">IF(DrawFinder!BH41=0,"",DrawFinder!BH41)</f>
        <v/>
      </c>
      <c r="AJ41" s="402" t="str">
        <f ca="1">IF(DrawFinder!BI41=0,"",DrawFinder!BI41)</f>
        <v/>
      </c>
      <c r="AK41" s="402" t="str">
        <f ca="1">IF(DrawFinder!BJ41=0,"",DrawFinder!BJ41)</f>
        <v/>
      </c>
      <c r="AL41" s="402" t="str">
        <f ca="1">IF(DrawFinder!BK41=0,"",DrawFinder!BK41)</f>
        <v/>
      </c>
      <c r="AM41" s="402" t="str">
        <f ca="1">IF(DrawFinder!BL41=0,"",DrawFinder!BL41)</f>
        <v/>
      </c>
      <c r="AN41" s="402" t="str">
        <f ca="1">IF(DrawFinder!BM41=0,"",DrawFinder!BM41)</f>
        <v/>
      </c>
      <c r="AO41" s="402" t="str">
        <f ca="1">IF(DrawFinder!BN41=0,"",DrawFinder!BN41)</f>
        <v/>
      </c>
      <c r="AP41" s="400" t="str">
        <f ca="1">IF(DrawFinder!BO41=0,"",DrawFinder!BO41)</f>
        <v/>
      </c>
      <c r="AQ41" s="81" t="str">
        <f>IF(DrawFinder!Y41=0,"",DrawFinder!Y41)</f>
        <v/>
      </c>
      <c r="AR41" s="79" t="str">
        <f t="shared" ca="1" si="46"/>
        <v/>
      </c>
      <c r="AS41" s="81" t="str">
        <f t="shared" ca="1" si="47"/>
        <v/>
      </c>
      <c r="AT41" s="84">
        <f t="shared" ca="1" si="48"/>
        <v>0</v>
      </c>
      <c r="AU41" s="336">
        <f t="shared" ca="1" si="49"/>
        <v>0</v>
      </c>
      <c r="AV41" s="336">
        <f t="shared" ca="1" si="49"/>
        <v>0</v>
      </c>
      <c r="AW41" s="336">
        <f t="shared" ca="1" si="49"/>
        <v>0</v>
      </c>
      <c r="AX41" s="336">
        <f t="shared" ca="1" si="49"/>
        <v>0</v>
      </c>
      <c r="AY41" s="336">
        <f t="shared" ca="1" si="49"/>
        <v>0</v>
      </c>
      <c r="AZ41" s="336">
        <f t="shared" ca="1" si="49"/>
        <v>0</v>
      </c>
      <c r="BA41" s="336">
        <f t="shared" ca="1" si="49"/>
        <v>0</v>
      </c>
      <c r="BB41" s="336">
        <f t="shared" ca="1" si="49"/>
        <v>0</v>
      </c>
      <c r="BC41" s="336">
        <f t="shared" ca="1" si="49"/>
        <v>0</v>
      </c>
      <c r="BD41" s="336">
        <f t="shared" ca="1" si="49"/>
        <v>0</v>
      </c>
      <c r="BE41" s="83">
        <f t="shared" ca="1" si="1"/>
        <v>0</v>
      </c>
      <c r="BF41" s="84">
        <f t="shared" ca="1" si="50"/>
        <v>0</v>
      </c>
      <c r="BH41" s="407" t="str">
        <f t="shared" ca="1" si="2"/>
        <v/>
      </c>
      <c r="BI41" s="408" t="str">
        <f t="shared" ca="1" si="3"/>
        <v/>
      </c>
      <c r="BK41" s="439">
        <f t="shared" ca="1" si="4"/>
        <v>0</v>
      </c>
      <c r="BL41" s="397">
        <f t="shared" ca="1" si="5"/>
        <v>0</v>
      </c>
      <c r="BM41" s="397">
        <f t="shared" ca="1" si="6"/>
        <v>0</v>
      </c>
      <c r="BN41" s="397">
        <f t="shared" ca="1" si="7"/>
        <v>0</v>
      </c>
      <c r="BO41" s="397">
        <f t="shared" ca="1" si="8"/>
        <v>0</v>
      </c>
      <c r="BP41" s="397">
        <f t="shared" ca="1" si="9"/>
        <v>0</v>
      </c>
      <c r="BQ41" s="397">
        <f t="shared" ca="1" si="10"/>
        <v>0</v>
      </c>
      <c r="BR41" s="397">
        <f t="shared" ca="1" si="11"/>
        <v>0</v>
      </c>
      <c r="BS41" s="397">
        <f t="shared" ca="1" si="12"/>
        <v>0</v>
      </c>
      <c r="BT41" s="397">
        <f t="shared" ca="1" si="13"/>
        <v>0</v>
      </c>
      <c r="BU41" s="397">
        <f t="shared" ca="1" si="14"/>
        <v>0</v>
      </c>
      <c r="BV41" s="397">
        <f t="shared" ca="1" si="15"/>
        <v>0</v>
      </c>
      <c r="BW41" s="397">
        <f t="shared" ca="1" si="16"/>
        <v>0</v>
      </c>
      <c r="BX41" s="397">
        <f t="shared" ca="1" si="17"/>
        <v>0</v>
      </c>
      <c r="BY41" s="397">
        <f t="shared" ca="1" si="18"/>
        <v>0</v>
      </c>
      <c r="BZ41" s="397">
        <f t="shared" ca="1" si="19"/>
        <v>0</v>
      </c>
      <c r="CA41" s="397">
        <f t="shared" ca="1" si="20"/>
        <v>0</v>
      </c>
      <c r="CB41" s="397">
        <f t="shared" ca="1" si="21"/>
        <v>0</v>
      </c>
      <c r="CC41" s="397">
        <f t="shared" ca="1" si="22"/>
        <v>0</v>
      </c>
      <c r="CD41" s="397">
        <f t="shared" ca="1" si="23"/>
        <v>0</v>
      </c>
      <c r="CE41" s="397">
        <f t="shared" ca="1" si="24"/>
        <v>0</v>
      </c>
      <c r="CF41" s="397">
        <f t="shared" ca="1" si="25"/>
        <v>0</v>
      </c>
      <c r="CG41" s="397">
        <f t="shared" ca="1" si="26"/>
        <v>0</v>
      </c>
      <c r="CH41" s="397">
        <f t="shared" ca="1" si="27"/>
        <v>0</v>
      </c>
      <c r="CI41" s="397">
        <f t="shared" ca="1" si="28"/>
        <v>0</v>
      </c>
      <c r="CJ41" s="397">
        <f t="shared" ca="1" si="29"/>
        <v>0</v>
      </c>
      <c r="CK41" s="397">
        <f t="shared" ca="1" si="30"/>
        <v>0</v>
      </c>
      <c r="CL41" s="397">
        <f t="shared" ca="1" si="31"/>
        <v>0</v>
      </c>
      <c r="CM41" s="397">
        <f t="shared" ca="1" si="32"/>
        <v>0</v>
      </c>
      <c r="CN41" s="397">
        <f t="shared" ca="1" si="33"/>
        <v>0</v>
      </c>
      <c r="CO41" s="397">
        <f t="shared" ca="1" si="34"/>
        <v>0</v>
      </c>
      <c r="CP41" s="397">
        <f t="shared" ca="1" si="35"/>
        <v>0</v>
      </c>
      <c r="CQ41" s="397">
        <f t="shared" ca="1" si="36"/>
        <v>0</v>
      </c>
      <c r="CR41" s="397">
        <f t="shared" ca="1" si="37"/>
        <v>0</v>
      </c>
      <c r="CS41" s="397">
        <f t="shared" ca="1" si="38"/>
        <v>0</v>
      </c>
      <c r="CT41" s="397">
        <f t="shared" ca="1" si="39"/>
        <v>0</v>
      </c>
      <c r="CU41" s="397">
        <f t="shared" ca="1" si="40"/>
        <v>0</v>
      </c>
      <c r="CV41" s="397">
        <f t="shared" ca="1" si="41"/>
        <v>0</v>
      </c>
      <c r="CW41" s="397">
        <f t="shared" ca="1" si="42"/>
        <v>0</v>
      </c>
      <c r="CX41" s="440">
        <f t="shared" ca="1" si="43"/>
        <v>0</v>
      </c>
      <c r="CY41" s="335">
        <f t="shared" si="44"/>
        <v>0</v>
      </c>
      <c r="CZ41" s="16"/>
      <c r="DA41" s="16"/>
      <c r="DB41" s="16"/>
      <c r="DC41" s="16"/>
      <c r="DD41" s="16"/>
      <c r="DE41" s="16"/>
      <c r="DF41" s="16"/>
      <c r="DG41" s="16"/>
      <c r="DH41" s="16"/>
    </row>
    <row r="42" spans="1:112" s="77" customFormat="1" ht="15" customHeight="1">
      <c r="A42" s="266" t="str">
        <f t="shared" ca="1" si="45"/>
        <v/>
      </c>
      <c r="B42" s="462"/>
      <c r="C42" s="402" t="str">
        <f ca="1">IF(DrawFinder!AB42=0,"",DrawFinder!AB42)</f>
        <v/>
      </c>
      <c r="D42" s="402" t="str">
        <f ca="1">IF(DrawFinder!AC42=0,"",DrawFinder!AC42)</f>
        <v/>
      </c>
      <c r="E42" s="402" t="str">
        <f ca="1">IF(DrawFinder!AD42=0,"",DrawFinder!AD42)</f>
        <v/>
      </c>
      <c r="F42" s="402" t="str">
        <f ca="1">IF(DrawFinder!AE42=0,"",DrawFinder!AE42)</f>
        <v/>
      </c>
      <c r="G42" s="402" t="str">
        <f ca="1">IF(DrawFinder!AF42=0,"",DrawFinder!AF42)</f>
        <v/>
      </c>
      <c r="H42" s="402" t="str">
        <f ca="1">IF(DrawFinder!AG42=0,"",DrawFinder!AG42)</f>
        <v/>
      </c>
      <c r="I42" s="402" t="str">
        <f ca="1">IF(DrawFinder!AH42=0,"",DrawFinder!AH42)</f>
        <v/>
      </c>
      <c r="J42" s="402" t="str">
        <f ca="1">IF(DrawFinder!AI42=0,"",DrawFinder!AI42)</f>
        <v/>
      </c>
      <c r="K42" s="402" t="str">
        <f ca="1">IF(DrawFinder!AJ42=0,"",DrawFinder!AJ42)</f>
        <v/>
      </c>
      <c r="L42" s="402" t="str">
        <f ca="1">IF(DrawFinder!AK42=0,"",DrawFinder!AK42)</f>
        <v/>
      </c>
      <c r="M42" s="402" t="str">
        <f ca="1">IF(DrawFinder!AL42=0,"",DrawFinder!AL42)</f>
        <v/>
      </c>
      <c r="N42" s="402" t="str">
        <f ca="1">IF(DrawFinder!AM42=0,"",DrawFinder!AM42)</f>
        <v/>
      </c>
      <c r="O42" s="402" t="str">
        <f ca="1">IF(DrawFinder!AN42=0,"",DrawFinder!AN42)</f>
        <v/>
      </c>
      <c r="P42" s="402" t="str">
        <f ca="1">IF(DrawFinder!AO42=0,"",DrawFinder!AO42)</f>
        <v/>
      </c>
      <c r="Q42" s="402" t="str">
        <f ca="1">IF(DrawFinder!AP42=0,"",DrawFinder!AP42)</f>
        <v/>
      </c>
      <c r="R42" s="402" t="str">
        <f ca="1">IF(DrawFinder!AQ42=0,"",DrawFinder!AQ42)</f>
        <v/>
      </c>
      <c r="S42" s="402" t="str">
        <f ca="1">IF(DrawFinder!AR42=0,"",DrawFinder!AR42)</f>
        <v/>
      </c>
      <c r="T42" s="402" t="str">
        <f ca="1">IF(DrawFinder!AS42=0,"",DrawFinder!AS42)</f>
        <v/>
      </c>
      <c r="U42" s="402" t="str">
        <f ca="1">IF(DrawFinder!AT42=0,"",DrawFinder!AT42)</f>
        <v/>
      </c>
      <c r="V42" s="402" t="str">
        <f ca="1">IF(DrawFinder!AU42=0,"",DrawFinder!AU42)</f>
        <v/>
      </c>
      <c r="W42" s="402" t="str">
        <f ca="1">IF(DrawFinder!AV42=0,"",DrawFinder!AV42)</f>
        <v/>
      </c>
      <c r="X42" s="402" t="str">
        <f ca="1">IF(DrawFinder!AW42=0,"",DrawFinder!AW42)</f>
        <v/>
      </c>
      <c r="Y42" s="402" t="str">
        <f ca="1">IF(DrawFinder!AX42=0,"",DrawFinder!AX42)</f>
        <v/>
      </c>
      <c r="Z42" s="402" t="str">
        <f ca="1">IF(DrawFinder!AY42=0,"",DrawFinder!AY42)</f>
        <v/>
      </c>
      <c r="AA42" s="402" t="str">
        <f ca="1">IF(DrawFinder!AZ42=0,"",DrawFinder!AZ42)</f>
        <v/>
      </c>
      <c r="AB42" s="402" t="str">
        <f ca="1">IF(DrawFinder!BA42=0,"",DrawFinder!BA42)</f>
        <v/>
      </c>
      <c r="AC42" s="402" t="str">
        <f ca="1">IF(DrawFinder!BB42=0,"",DrawFinder!BB42)</f>
        <v/>
      </c>
      <c r="AD42" s="402" t="str">
        <f ca="1">IF(DrawFinder!BC42=0,"",DrawFinder!BC42)</f>
        <v/>
      </c>
      <c r="AE42" s="402" t="str">
        <f ca="1">IF(DrawFinder!BD42=0,"",DrawFinder!BD42)</f>
        <v/>
      </c>
      <c r="AF42" s="402" t="str">
        <f ca="1">IF(DrawFinder!BE42=0,"",DrawFinder!BE42)</f>
        <v/>
      </c>
      <c r="AG42" s="402" t="str">
        <f ca="1">IF(DrawFinder!BF42=0,"",DrawFinder!BF42)</f>
        <v/>
      </c>
      <c r="AH42" s="402" t="str">
        <f ca="1">IF(DrawFinder!BG42=0,"",DrawFinder!BG42)</f>
        <v/>
      </c>
      <c r="AI42" s="402" t="str">
        <f ca="1">IF(DrawFinder!BH42=0,"",DrawFinder!BH42)</f>
        <v/>
      </c>
      <c r="AJ42" s="402" t="str">
        <f ca="1">IF(DrawFinder!BI42=0,"",DrawFinder!BI42)</f>
        <v/>
      </c>
      <c r="AK42" s="402" t="str">
        <f ca="1">IF(DrawFinder!BJ42=0,"",DrawFinder!BJ42)</f>
        <v/>
      </c>
      <c r="AL42" s="402" t="str">
        <f ca="1">IF(DrawFinder!BK42=0,"",DrawFinder!BK42)</f>
        <v/>
      </c>
      <c r="AM42" s="402" t="str">
        <f ca="1">IF(DrawFinder!BL42=0,"",DrawFinder!BL42)</f>
        <v/>
      </c>
      <c r="AN42" s="402" t="str">
        <f ca="1">IF(DrawFinder!BM42=0,"",DrawFinder!BM42)</f>
        <v/>
      </c>
      <c r="AO42" s="402" t="str">
        <f ca="1">IF(DrawFinder!BN42=0,"",DrawFinder!BN42)</f>
        <v/>
      </c>
      <c r="AP42" s="400" t="str">
        <f ca="1">IF(DrawFinder!BO42=0,"",DrawFinder!BO42)</f>
        <v/>
      </c>
      <c r="AQ42" s="81" t="str">
        <f>IF(DrawFinder!Y42=0,"",DrawFinder!Y42)</f>
        <v/>
      </c>
      <c r="AR42" s="79" t="str">
        <f t="shared" ca="1" si="46"/>
        <v/>
      </c>
      <c r="AS42" s="81" t="str">
        <f t="shared" ca="1" si="47"/>
        <v/>
      </c>
      <c r="AT42" s="84">
        <f t="shared" ca="1" si="48"/>
        <v>0</v>
      </c>
      <c r="AU42" s="336">
        <f t="shared" ca="1" si="49"/>
        <v>0</v>
      </c>
      <c r="AV42" s="336">
        <f t="shared" ca="1" si="49"/>
        <v>0</v>
      </c>
      <c r="AW42" s="336">
        <f t="shared" ca="1" si="49"/>
        <v>0</v>
      </c>
      <c r="AX42" s="336">
        <f t="shared" ca="1" si="49"/>
        <v>0</v>
      </c>
      <c r="AY42" s="336">
        <f t="shared" ca="1" si="49"/>
        <v>0</v>
      </c>
      <c r="AZ42" s="336">
        <f t="shared" ca="1" si="49"/>
        <v>0</v>
      </c>
      <c r="BA42" s="336">
        <f t="shared" ca="1" si="49"/>
        <v>0</v>
      </c>
      <c r="BB42" s="336">
        <f t="shared" ca="1" si="49"/>
        <v>0</v>
      </c>
      <c r="BC42" s="336">
        <f t="shared" ca="1" si="49"/>
        <v>0</v>
      </c>
      <c r="BD42" s="336">
        <f t="shared" ca="1" si="49"/>
        <v>0</v>
      </c>
      <c r="BE42" s="83">
        <f t="shared" ca="1" si="1"/>
        <v>0</v>
      </c>
      <c r="BF42" s="84">
        <f t="shared" ca="1" si="50"/>
        <v>0</v>
      </c>
      <c r="BH42" s="407" t="str">
        <f t="shared" ca="1" si="2"/>
        <v/>
      </c>
      <c r="BI42" s="408" t="str">
        <f t="shared" ca="1" si="3"/>
        <v/>
      </c>
      <c r="BK42" s="439">
        <f t="shared" ca="1" si="4"/>
        <v>0</v>
      </c>
      <c r="BL42" s="397">
        <f t="shared" ca="1" si="5"/>
        <v>0</v>
      </c>
      <c r="BM42" s="397">
        <f t="shared" ca="1" si="6"/>
        <v>0</v>
      </c>
      <c r="BN42" s="397">
        <f t="shared" ca="1" si="7"/>
        <v>0</v>
      </c>
      <c r="BO42" s="397">
        <f t="shared" ca="1" si="8"/>
        <v>0</v>
      </c>
      <c r="BP42" s="397">
        <f t="shared" ca="1" si="9"/>
        <v>0</v>
      </c>
      <c r="BQ42" s="397">
        <f t="shared" ca="1" si="10"/>
        <v>0</v>
      </c>
      <c r="BR42" s="397">
        <f t="shared" ca="1" si="11"/>
        <v>0</v>
      </c>
      <c r="BS42" s="397">
        <f t="shared" ca="1" si="12"/>
        <v>0</v>
      </c>
      <c r="BT42" s="397">
        <f t="shared" ca="1" si="13"/>
        <v>0</v>
      </c>
      <c r="BU42" s="397">
        <f t="shared" ca="1" si="14"/>
        <v>0</v>
      </c>
      <c r="BV42" s="397">
        <f t="shared" ca="1" si="15"/>
        <v>0</v>
      </c>
      <c r="BW42" s="397">
        <f t="shared" ca="1" si="16"/>
        <v>0</v>
      </c>
      <c r="BX42" s="397">
        <f t="shared" ca="1" si="17"/>
        <v>0</v>
      </c>
      <c r="BY42" s="397">
        <f t="shared" ca="1" si="18"/>
        <v>0</v>
      </c>
      <c r="BZ42" s="397">
        <f t="shared" ca="1" si="19"/>
        <v>0</v>
      </c>
      <c r="CA42" s="397">
        <f t="shared" ca="1" si="20"/>
        <v>0</v>
      </c>
      <c r="CB42" s="397">
        <f t="shared" ca="1" si="21"/>
        <v>0</v>
      </c>
      <c r="CC42" s="397">
        <f t="shared" ca="1" si="22"/>
        <v>0</v>
      </c>
      <c r="CD42" s="397">
        <f t="shared" ca="1" si="23"/>
        <v>0</v>
      </c>
      <c r="CE42" s="397">
        <f t="shared" ca="1" si="24"/>
        <v>0</v>
      </c>
      <c r="CF42" s="397">
        <f t="shared" ca="1" si="25"/>
        <v>0</v>
      </c>
      <c r="CG42" s="397">
        <f t="shared" ca="1" si="26"/>
        <v>0</v>
      </c>
      <c r="CH42" s="397">
        <f t="shared" ca="1" si="27"/>
        <v>0</v>
      </c>
      <c r="CI42" s="397">
        <f t="shared" ca="1" si="28"/>
        <v>0</v>
      </c>
      <c r="CJ42" s="397">
        <f t="shared" ca="1" si="29"/>
        <v>0</v>
      </c>
      <c r="CK42" s="397">
        <f t="shared" ca="1" si="30"/>
        <v>0</v>
      </c>
      <c r="CL42" s="397">
        <f t="shared" ca="1" si="31"/>
        <v>0</v>
      </c>
      <c r="CM42" s="397">
        <f t="shared" ca="1" si="32"/>
        <v>0</v>
      </c>
      <c r="CN42" s="397">
        <f t="shared" ca="1" si="33"/>
        <v>0</v>
      </c>
      <c r="CO42" s="397">
        <f t="shared" ca="1" si="34"/>
        <v>0</v>
      </c>
      <c r="CP42" s="397">
        <f t="shared" ca="1" si="35"/>
        <v>0</v>
      </c>
      <c r="CQ42" s="397">
        <f t="shared" ca="1" si="36"/>
        <v>0</v>
      </c>
      <c r="CR42" s="397">
        <f t="shared" ca="1" si="37"/>
        <v>0</v>
      </c>
      <c r="CS42" s="397">
        <f t="shared" ca="1" si="38"/>
        <v>0</v>
      </c>
      <c r="CT42" s="397">
        <f t="shared" ca="1" si="39"/>
        <v>0</v>
      </c>
      <c r="CU42" s="397">
        <f t="shared" ca="1" si="40"/>
        <v>0</v>
      </c>
      <c r="CV42" s="397">
        <f t="shared" ca="1" si="41"/>
        <v>0</v>
      </c>
      <c r="CW42" s="397">
        <f t="shared" ca="1" si="42"/>
        <v>0</v>
      </c>
      <c r="CX42" s="440">
        <f t="shared" ca="1" si="43"/>
        <v>0</v>
      </c>
      <c r="CY42" s="335">
        <f t="shared" si="44"/>
        <v>0</v>
      </c>
      <c r="CZ42" s="16"/>
      <c r="DA42" s="16"/>
      <c r="DB42" s="16"/>
      <c r="DC42" s="16"/>
      <c r="DD42" s="16"/>
      <c r="DE42" s="16"/>
      <c r="DF42" s="16"/>
      <c r="DG42" s="16"/>
      <c r="DH42" s="16"/>
    </row>
    <row r="43" spans="1:112" s="77" customFormat="1" ht="15" customHeight="1">
      <c r="A43" s="266" t="str">
        <f t="shared" ca="1" si="45"/>
        <v/>
      </c>
      <c r="B43" s="462"/>
      <c r="C43" s="402" t="str">
        <f ca="1">IF(DrawFinder!AB43=0,"",DrawFinder!AB43)</f>
        <v/>
      </c>
      <c r="D43" s="402" t="str">
        <f ca="1">IF(DrawFinder!AC43=0,"",DrawFinder!AC43)</f>
        <v/>
      </c>
      <c r="E43" s="402" t="str">
        <f ca="1">IF(DrawFinder!AD43=0,"",DrawFinder!AD43)</f>
        <v/>
      </c>
      <c r="F43" s="402" t="str">
        <f ca="1">IF(DrawFinder!AE43=0,"",DrawFinder!AE43)</f>
        <v/>
      </c>
      <c r="G43" s="402" t="str">
        <f ca="1">IF(DrawFinder!AF43=0,"",DrawFinder!AF43)</f>
        <v/>
      </c>
      <c r="H43" s="402" t="str">
        <f ca="1">IF(DrawFinder!AG43=0,"",DrawFinder!AG43)</f>
        <v/>
      </c>
      <c r="I43" s="402" t="str">
        <f ca="1">IF(DrawFinder!AH43=0,"",DrawFinder!AH43)</f>
        <v/>
      </c>
      <c r="J43" s="402" t="str">
        <f ca="1">IF(DrawFinder!AI43=0,"",DrawFinder!AI43)</f>
        <v/>
      </c>
      <c r="K43" s="402" t="str">
        <f ca="1">IF(DrawFinder!AJ43=0,"",DrawFinder!AJ43)</f>
        <v/>
      </c>
      <c r="L43" s="402" t="str">
        <f ca="1">IF(DrawFinder!AK43=0,"",DrawFinder!AK43)</f>
        <v/>
      </c>
      <c r="M43" s="402" t="str">
        <f ca="1">IF(DrawFinder!AL43=0,"",DrawFinder!AL43)</f>
        <v/>
      </c>
      <c r="N43" s="402" t="str">
        <f ca="1">IF(DrawFinder!AM43=0,"",DrawFinder!AM43)</f>
        <v/>
      </c>
      <c r="O43" s="402" t="str">
        <f ca="1">IF(DrawFinder!AN43=0,"",DrawFinder!AN43)</f>
        <v/>
      </c>
      <c r="P43" s="402" t="str">
        <f ca="1">IF(DrawFinder!AO43=0,"",DrawFinder!AO43)</f>
        <v/>
      </c>
      <c r="Q43" s="402" t="str">
        <f ca="1">IF(DrawFinder!AP43=0,"",DrawFinder!AP43)</f>
        <v/>
      </c>
      <c r="R43" s="402" t="str">
        <f ca="1">IF(DrawFinder!AQ43=0,"",DrawFinder!AQ43)</f>
        <v/>
      </c>
      <c r="S43" s="402" t="str">
        <f ca="1">IF(DrawFinder!AR43=0,"",DrawFinder!AR43)</f>
        <v/>
      </c>
      <c r="T43" s="402" t="str">
        <f ca="1">IF(DrawFinder!AS43=0,"",DrawFinder!AS43)</f>
        <v/>
      </c>
      <c r="U43" s="402" t="str">
        <f ca="1">IF(DrawFinder!AT43=0,"",DrawFinder!AT43)</f>
        <v/>
      </c>
      <c r="V43" s="402" t="str">
        <f ca="1">IF(DrawFinder!AU43=0,"",DrawFinder!AU43)</f>
        <v/>
      </c>
      <c r="W43" s="402" t="str">
        <f ca="1">IF(DrawFinder!AV43=0,"",DrawFinder!AV43)</f>
        <v/>
      </c>
      <c r="X43" s="402" t="str">
        <f ca="1">IF(DrawFinder!AW43=0,"",DrawFinder!AW43)</f>
        <v/>
      </c>
      <c r="Y43" s="402" t="str">
        <f ca="1">IF(DrawFinder!AX43=0,"",DrawFinder!AX43)</f>
        <v/>
      </c>
      <c r="Z43" s="402" t="str">
        <f ca="1">IF(DrawFinder!AY43=0,"",DrawFinder!AY43)</f>
        <v/>
      </c>
      <c r="AA43" s="402" t="str">
        <f ca="1">IF(DrawFinder!AZ43=0,"",DrawFinder!AZ43)</f>
        <v/>
      </c>
      <c r="AB43" s="402" t="str">
        <f ca="1">IF(DrawFinder!BA43=0,"",DrawFinder!BA43)</f>
        <v/>
      </c>
      <c r="AC43" s="402" t="str">
        <f ca="1">IF(DrawFinder!BB43=0,"",DrawFinder!BB43)</f>
        <v/>
      </c>
      <c r="AD43" s="402" t="str">
        <f ca="1">IF(DrawFinder!BC43=0,"",DrawFinder!BC43)</f>
        <v/>
      </c>
      <c r="AE43" s="402" t="str">
        <f ca="1">IF(DrawFinder!BD43=0,"",DrawFinder!BD43)</f>
        <v/>
      </c>
      <c r="AF43" s="402" t="str">
        <f ca="1">IF(DrawFinder!BE43=0,"",DrawFinder!BE43)</f>
        <v/>
      </c>
      <c r="AG43" s="402" t="str">
        <f ca="1">IF(DrawFinder!BF43=0,"",DrawFinder!BF43)</f>
        <v/>
      </c>
      <c r="AH43" s="402" t="str">
        <f ca="1">IF(DrawFinder!BG43=0,"",DrawFinder!BG43)</f>
        <v/>
      </c>
      <c r="AI43" s="402" t="str">
        <f ca="1">IF(DrawFinder!BH43=0,"",DrawFinder!BH43)</f>
        <v/>
      </c>
      <c r="AJ43" s="402" t="str">
        <f ca="1">IF(DrawFinder!BI43=0,"",DrawFinder!BI43)</f>
        <v/>
      </c>
      <c r="AK43" s="402" t="str">
        <f ca="1">IF(DrawFinder!BJ43=0,"",DrawFinder!BJ43)</f>
        <v/>
      </c>
      <c r="AL43" s="402" t="str">
        <f ca="1">IF(DrawFinder!BK43=0,"",DrawFinder!BK43)</f>
        <v/>
      </c>
      <c r="AM43" s="402" t="str">
        <f ca="1">IF(DrawFinder!BL43=0,"",DrawFinder!BL43)</f>
        <v/>
      </c>
      <c r="AN43" s="402" t="str">
        <f ca="1">IF(DrawFinder!BM43=0,"",DrawFinder!BM43)</f>
        <v/>
      </c>
      <c r="AO43" s="402" t="str">
        <f ca="1">IF(DrawFinder!BN43=0,"",DrawFinder!BN43)</f>
        <v/>
      </c>
      <c r="AP43" s="400" t="str">
        <f ca="1">IF(DrawFinder!BO43=0,"",DrawFinder!BO43)</f>
        <v/>
      </c>
      <c r="AQ43" s="81" t="str">
        <f>IF(DrawFinder!Y43=0,"",DrawFinder!Y43)</f>
        <v/>
      </c>
      <c r="AR43" s="79" t="str">
        <f t="shared" ca="1" si="46"/>
        <v/>
      </c>
      <c r="AS43" s="81" t="str">
        <f t="shared" ca="1" si="47"/>
        <v/>
      </c>
      <c r="AT43" s="84">
        <f t="shared" ca="1" si="48"/>
        <v>0</v>
      </c>
      <c r="AU43" s="336">
        <f t="shared" ca="1" si="49"/>
        <v>0</v>
      </c>
      <c r="AV43" s="336">
        <f t="shared" ca="1" si="49"/>
        <v>0</v>
      </c>
      <c r="AW43" s="336">
        <f t="shared" ca="1" si="49"/>
        <v>0</v>
      </c>
      <c r="AX43" s="336">
        <f t="shared" ca="1" si="49"/>
        <v>0</v>
      </c>
      <c r="AY43" s="336">
        <f t="shared" ca="1" si="49"/>
        <v>0</v>
      </c>
      <c r="AZ43" s="336">
        <f t="shared" ca="1" si="49"/>
        <v>0</v>
      </c>
      <c r="BA43" s="336">
        <f t="shared" ca="1" si="49"/>
        <v>0</v>
      </c>
      <c r="BB43" s="336">
        <f t="shared" ca="1" si="49"/>
        <v>0</v>
      </c>
      <c r="BC43" s="336">
        <f t="shared" ca="1" si="49"/>
        <v>0</v>
      </c>
      <c r="BD43" s="336">
        <f t="shared" ca="1" si="49"/>
        <v>0</v>
      </c>
      <c r="BE43" s="83">
        <f t="shared" ca="1" si="1"/>
        <v>0</v>
      </c>
      <c r="BF43" s="84">
        <f t="shared" ca="1" si="50"/>
        <v>0</v>
      </c>
      <c r="BH43" s="407" t="str">
        <f t="shared" ca="1" si="2"/>
        <v/>
      </c>
      <c r="BI43" s="408" t="str">
        <f t="shared" ca="1" si="3"/>
        <v/>
      </c>
      <c r="BK43" s="439">
        <f t="shared" ca="1" si="4"/>
        <v>0</v>
      </c>
      <c r="BL43" s="397">
        <f t="shared" ca="1" si="5"/>
        <v>0</v>
      </c>
      <c r="BM43" s="397">
        <f t="shared" ca="1" si="6"/>
        <v>0</v>
      </c>
      <c r="BN43" s="397">
        <f t="shared" ca="1" si="7"/>
        <v>0</v>
      </c>
      <c r="BO43" s="397">
        <f t="shared" ca="1" si="8"/>
        <v>0</v>
      </c>
      <c r="BP43" s="397">
        <f t="shared" ca="1" si="9"/>
        <v>0</v>
      </c>
      <c r="BQ43" s="397">
        <f t="shared" ca="1" si="10"/>
        <v>0</v>
      </c>
      <c r="BR43" s="397">
        <f t="shared" ca="1" si="11"/>
        <v>0</v>
      </c>
      <c r="BS43" s="397">
        <f t="shared" ca="1" si="12"/>
        <v>0</v>
      </c>
      <c r="BT43" s="397">
        <f t="shared" ca="1" si="13"/>
        <v>0</v>
      </c>
      <c r="BU43" s="397">
        <f t="shared" ca="1" si="14"/>
        <v>0</v>
      </c>
      <c r="BV43" s="397">
        <f t="shared" ca="1" si="15"/>
        <v>0</v>
      </c>
      <c r="BW43" s="397">
        <f t="shared" ca="1" si="16"/>
        <v>0</v>
      </c>
      <c r="BX43" s="397">
        <f t="shared" ca="1" si="17"/>
        <v>0</v>
      </c>
      <c r="BY43" s="397">
        <f t="shared" ca="1" si="18"/>
        <v>0</v>
      </c>
      <c r="BZ43" s="397">
        <f t="shared" ca="1" si="19"/>
        <v>0</v>
      </c>
      <c r="CA43" s="397">
        <f t="shared" ca="1" si="20"/>
        <v>0</v>
      </c>
      <c r="CB43" s="397">
        <f t="shared" ca="1" si="21"/>
        <v>0</v>
      </c>
      <c r="CC43" s="397">
        <f t="shared" ca="1" si="22"/>
        <v>0</v>
      </c>
      <c r="CD43" s="397">
        <f t="shared" ca="1" si="23"/>
        <v>0</v>
      </c>
      <c r="CE43" s="397">
        <f t="shared" ca="1" si="24"/>
        <v>0</v>
      </c>
      <c r="CF43" s="397">
        <f t="shared" ca="1" si="25"/>
        <v>0</v>
      </c>
      <c r="CG43" s="397">
        <f t="shared" ca="1" si="26"/>
        <v>0</v>
      </c>
      <c r="CH43" s="397">
        <f t="shared" ca="1" si="27"/>
        <v>0</v>
      </c>
      <c r="CI43" s="397">
        <f t="shared" ca="1" si="28"/>
        <v>0</v>
      </c>
      <c r="CJ43" s="397">
        <f t="shared" ca="1" si="29"/>
        <v>0</v>
      </c>
      <c r="CK43" s="397">
        <f t="shared" ca="1" si="30"/>
        <v>0</v>
      </c>
      <c r="CL43" s="397">
        <f t="shared" ca="1" si="31"/>
        <v>0</v>
      </c>
      <c r="CM43" s="397">
        <f t="shared" ca="1" si="32"/>
        <v>0</v>
      </c>
      <c r="CN43" s="397">
        <f t="shared" ca="1" si="33"/>
        <v>0</v>
      </c>
      <c r="CO43" s="397">
        <f t="shared" ca="1" si="34"/>
        <v>0</v>
      </c>
      <c r="CP43" s="397">
        <f t="shared" ca="1" si="35"/>
        <v>0</v>
      </c>
      <c r="CQ43" s="397">
        <f t="shared" ca="1" si="36"/>
        <v>0</v>
      </c>
      <c r="CR43" s="397">
        <f t="shared" ca="1" si="37"/>
        <v>0</v>
      </c>
      <c r="CS43" s="397">
        <f t="shared" ca="1" si="38"/>
        <v>0</v>
      </c>
      <c r="CT43" s="397">
        <f t="shared" ca="1" si="39"/>
        <v>0</v>
      </c>
      <c r="CU43" s="397">
        <f t="shared" ca="1" si="40"/>
        <v>0</v>
      </c>
      <c r="CV43" s="397">
        <f t="shared" ca="1" si="41"/>
        <v>0</v>
      </c>
      <c r="CW43" s="397">
        <f t="shared" ca="1" si="42"/>
        <v>0</v>
      </c>
      <c r="CX43" s="440">
        <f t="shared" ca="1" si="43"/>
        <v>0</v>
      </c>
      <c r="CY43" s="335">
        <f t="shared" si="44"/>
        <v>0</v>
      </c>
      <c r="CZ43" s="16"/>
      <c r="DA43" s="16"/>
      <c r="DB43" s="16"/>
      <c r="DC43" s="16"/>
      <c r="DD43" s="16"/>
      <c r="DE43" s="16"/>
      <c r="DF43" s="16"/>
      <c r="DG43" s="16"/>
      <c r="DH43" s="16"/>
    </row>
    <row r="44" spans="1:112" s="77" customFormat="1" ht="15" customHeight="1">
      <c r="A44" s="266" t="str">
        <f t="shared" ca="1" si="45"/>
        <v/>
      </c>
      <c r="B44" s="462"/>
      <c r="C44" s="402" t="str">
        <f ca="1">IF(DrawFinder!AB44=0,"",DrawFinder!AB44)</f>
        <v/>
      </c>
      <c r="D44" s="402" t="str">
        <f ca="1">IF(DrawFinder!AC44=0,"",DrawFinder!AC44)</f>
        <v/>
      </c>
      <c r="E44" s="402" t="str">
        <f ca="1">IF(DrawFinder!AD44=0,"",DrawFinder!AD44)</f>
        <v/>
      </c>
      <c r="F44" s="402" t="str">
        <f ca="1">IF(DrawFinder!AE44=0,"",DrawFinder!AE44)</f>
        <v/>
      </c>
      <c r="G44" s="402" t="str">
        <f ca="1">IF(DrawFinder!AF44=0,"",DrawFinder!AF44)</f>
        <v/>
      </c>
      <c r="H44" s="402" t="str">
        <f ca="1">IF(DrawFinder!AG44=0,"",DrawFinder!AG44)</f>
        <v/>
      </c>
      <c r="I44" s="402" t="str">
        <f ca="1">IF(DrawFinder!AH44=0,"",DrawFinder!AH44)</f>
        <v/>
      </c>
      <c r="J44" s="402" t="str">
        <f ca="1">IF(DrawFinder!AI44=0,"",DrawFinder!AI44)</f>
        <v/>
      </c>
      <c r="K44" s="402" t="str">
        <f ca="1">IF(DrawFinder!AJ44=0,"",DrawFinder!AJ44)</f>
        <v/>
      </c>
      <c r="L44" s="402" t="str">
        <f ca="1">IF(DrawFinder!AK44=0,"",DrawFinder!AK44)</f>
        <v/>
      </c>
      <c r="M44" s="402" t="str">
        <f ca="1">IF(DrawFinder!AL44=0,"",DrawFinder!AL44)</f>
        <v/>
      </c>
      <c r="N44" s="402" t="str">
        <f ca="1">IF(DrawFinder!AM44=0,"",DrawFinder!AM44)</f>
        <v/>
      </c>
      <c r="O44" s="402" t="str">
        <f ca="1">IF(DrawFinder!AN44=0,"",DrawFinder!AN44)</f>
        <v/>
      </c>
      <c r="P44" s="402" t="str">
        <f ca="1">IF(DrawFinder!AO44=0,"",DrawFinder!AO44)</f>
        <v/>
      </c>
      <c r="Q44" s="402" t="str">
        <f ca="1">IF(DrawFinder!AP44=0,"",DrawFinder!AP44)</f>
        <v/>
      </c>
      <c r="R44" s="402" t="str">
        <f ca="1">IF(DrawFinder!AQ44=0,"",DrawFinder!AQ44)</f>
        <v/>
      </c>
      <c r="S44" s="402" t="str">
        <f ca="1">IF(DrawFinder!AR44=0,"",DrawFinder!AR44)</f>
        <v/>
      </c>
      <c r="T44" s="402" t="str">
        <f ca="1">IF(DrawFinder!AS44=0,"",DrawFinder!AS44)</f>
        <v/>
      </c>
      <c r="U44" s="402" t="str">
        <f ca="1">IF(DrawFinder!AT44=0,"",DrawFinder!AT44)</f>
        <v/>
      </c>
      <c r="V44" s="402" t="str">
        <f ca="1">IF(DrawFinder!AU44=0,"",DrawFinder!AU44)</f>
        <v/>
      </c>
      <c r="W44" s="402" t="str">
        <f ca="1">IF(DrawFinder!AV44=0,"",DrawFinder!AV44)</f>
        <v/>
      </c>
      <c r="X44" s="402" t="str">
        <f ca="1">IF(DrawFinder!AW44=0,"",DrawFinder!AW44)</f>
        <v/>
      </c>
      <c r="Y44" s="402" t="str">
        <f ca="1">IF(DrawFinder!AX44=0,"",DrawFinder!AX44)</f>
        <v/>
      </c>
      <c r="Z44" s="402" t="str">
        <f ca="1">IF(DrawFinder!AY44=0,"",DrawFinder!AY44)</f>
        <v/>
      </c>
      <c r="AA44" s="402" t="str">
        <f ca="1">IF(DrawFinder!AZ44=0,"",DrawFinder!AZ44)</f>
        <v/>
      </c>
      <c r="AB44" s="402" t="str">
        <f ca="1">IF(DrawFinder!BA44=0,"",DrawFinder!BA44)</f>
        <v/>
      </c>
      <c r="AC44" s="402" t="str">
        <f ca="1">IF(DrawFinder!BB44=0,"",DrawFinder!BB44)</f>
        <v/>
      </c>
      <c r="AD44" s="402" t="str">
        <f ca="1">IF(DrawFinder!BC44=0,"",DrawFinder!BC44)</f>
        <v/>
      </c>
      <c r="AE44" s="402" t="str">
        <f ca="1">IF(DrawFinder!BD44=0,"",DrawFinder!BD44)</f>
        <v/>
      </c>
      <c r="AF44" s="402" t="str">
        <f ca="1">IF(DrawFinder!BE44=0,"",DrawFinder!BE44)</f>
        <v/>
      </c>
      <c r="AG44" s="402" t="str">
        <f ca="1">IF(DrawFinder!BF44=0,"",DrawFinder!BF44)</f>
        <v/>
      </c>
      <c r="AH44" s="402" t="str">
        <f ca="1">IF(DrawFinder!BG44=0,"",DrawFinder!BG44)</f>
        <v/>
      </c>
      <c r="AI44" s="402" t="str">
        <f ca="1">IF(DrawFinder!BH44=0,"",DrawFinder!BH44)</f>
        <v/>
      </c>
      <c r="AJ44" s="402" t="str">
        <f ca="1">IF(DrawFinder!BI44=0,"",DrawFinder!BI44)</f>
        <v/>
      </c>
      <c r="AK44" s="402" t="str">
        <f ca="1">IF(DrawFinder!BJ44=0,"",DrawFinder!BJ44)</f>
        <v/>
      </c>
      <c r="AL44" s="402" t="str">
        <f ca="1">IF(DrawFinder!BK44=0,"",DrawFinder!BK44)</f>
        <v/>
      </c>
      <c r="AM44" s="402" t="str">
        <f ca="1">IF(DrawFinder!BL44=0,"",DrawFinder!BL44)</f>
        <v/>
      </c>
      <c r="AN44" s="402" t="str">
        <f ca="1">IF(DrawFinder!BM44=0,"",DrawFinder!BM44)</f>
        <v/>
      </c>
      <c r="AO44" s="402" t="str">
        <f ca="1">IF(DrawFinder!BN44=0,"",DrawFinder!BN44)</f>
        <v/>
      </c>
      <c r="AP44" s="400" t="str">
        <f ca="1">IF(DrawFinder!BO44=0,"",DrawFinder!BO44)</f>
        <v/>
      </c>
      <c r="AQ44" s="81" t="str">
        <f>IF(DrawFinder!Y44=0,"",DrawFinder!Y44)</f>
        <v/>
      </c>
      <c r="AR44" s="79" t="str">
        <f t="shared" ca="1" si="46"/>
        <v/>
      </c>
      <c r="AS44" s="81" t="str">
        <f t="shared" ca="1" si="47"/>
        <v/>
      </c>
      <c r="AT44" s="84">
        <f t="shared" ca="1" si="48"/>
        <v>0</v>
      </c>
      <c r="AU44" s="336">
        <f t="shared" ca="1" si="49"/>
        <v>0</v>
      </c>
      <c r="AV44" s="336">
        <f t="shared" ca="1" si="49"/>
        <v>0</v>
      </c>
      <c r="AW44" s="336">
        <f t="shared" ca="1" si="49"/>
        <v>0</v>
      </c>
      <c r="AX44" s="336">
        <f t="shared" ca="1" si="49"/>
        <v>0</v>
      </c>
      <c r="AY44" s="336">
        <f t="shared" ca="1" si="49"/>
        <v>0</v>
      </c>
      <c r="AZ44" s="336">
        <f t="shared" ca="1" si="49"/>
        <v>0</v>
      </c>
      <c r="BA44" s="336">
        <f t="shared" ca="1" si="49"/>
        <v>0</v>
      </c>
      <c r="BB44" s="336">
        <f t="shared" ca="1" si="49"/>
        <v>0</v>
      </c>
      <c r="BC44" s="336">
        <f t="shared" ca="1" si="49"/>
        <v>0</v>
      </c>
      <c r="BD44" s="336">
        <f t="shared" ca="1" si="49"/>
        <v>0</v>
      </c>
      <c r="BE44" s="83">
        <f t="shared" ca="1" si="1"/>
        <v>0</v>
      </c>
      <c r="BF44" s="84">
        <f t="shared" ca="1" si="50"/>
        <v>0</v>
      </c>
      <c r="BH44" s="407" t="str">
        <f t="shared" ca="1" si="2"/>
        <v/>
      </c>
      <c r="BI44" s="408" t="str">
        <f t="shared" ca="1" si="3"/>
        <v/>
      </c>
      <c r="BK44" s="439">
        <f t="shared" ca="1" si="4"/>
        <v>0</v>
      </c>
      <c r="BL44" s="397">
        <f t="shared" ca="1" si="5"/>
        <v>0</v>
      </c>
      <c r="BM44" s="397">
        <f t="shared" ca="1" si="6"/>
        <v>0</v>
      </c>
      <c r="BN44" s="397">
        <f t="shared" ca="1" si="7"/>
        <v>0</v>
      </c>
      <c r="BO44" s="397">
        <f t="shared" ca="1" si="8"/>
        <v>0</v>
      </c>
      <c r="BP44" s="397">
        <f t="shared" ca="1" si="9"/>
        <v>0</v>
      </c>
      <c r="BQ44" s="397">
        <f t="shared" ca="1" si="10"/>
        <v>0</v>
      </c>
      <c r="BR44" s="397">
        <f t="shared" ca="1" si="11"/>
        <v>0</v>
      </c>
      <c r="BS44" s="397">
        <f t="shared" ca="1" si="12"/>
        <v>0</v>
      </c>
      <c r="BT44" s="397">
        <f t="shared" ca="1" si="13"/>
        <v>0</v>
      </c>
      <c r="BU44" s="397">
        <f t="shared" ca="1" si="14"/>
        <v>0</v>
      </c>
      <c r="BV44" s="397">
        <f t="shared" ca="1" si="15"/>
        <v>0</v>
      </c>
      <c r="BW44" s="397">
        <f t="shared" ca="1" si="16"/>
        <v>0</v>
      </c>
      <c r="BX44" s="397">
        <f t="shared" ca="1" si="17"/>
        <v>0</v>
      </c>
      <c r="BY44" s="397">
        <f t="shared" ca="1" si="18"/>
        <v>0</v>
      </c>
      <c r="BZ44" s="397">
        <f t="shared" ca="1" si="19"/>
        <v>0</v>
      </c>
      <c r="CA44" s="397">
        <f t="shared" ca="1" si="20"/>
        <v>0</v>
      </c>
      <c r="CB44" s="397">
        <f t="shared" ca="1" si="21"/>
        <v>0</v>
      </c>
      <c r="CC44" s="397">
        <f t="shared" ca="1" si="22"/>
        <v>0</v>
      </c>
      <c r="CD44" s="397">
        <f t="shared" ca="1" si="23"/>
        <v>0</v>
      </c>
      <c r="CE44" s="397">
        <f t="shared" ca="1" si="24"/>
        <v>0</v>
      </c>
      <c r="CF44" s="397">
        <f t="shared" ca="1" si="25"/>
        <v>0</v>
      </c>
      <c r="CG44" s="397">
        <f t="shared" ca="1" si="26"/>
        <v>0</v>
      </c>
      <c r="CH44" s="397">
        <f t="shared" ca="1" si="27"/>
        <v>0</v>
      </c>
      <c r="CI44" s="397">
        <f t="shared" ca="1" si="28"/>
        <v>0</v>
      </c>
      <c r="CJ44" s="397">
        <f t="shared" ca="1" si="29"/>
        <v>0</v>
      </c>
      <c r="CK44" s="397">
        <f t="shared" ca="1" si="30"/>
        <v>0</v>
      </c>
      <c r="CL44" s="397">
        <f t="shared" ca="1" si="31"/>
        <v>0</v>
      </c>
      <c r="CM44" s="397">
        <f t="shared" ca="1" si="32"/>
        <v>0</v>
      </c>
      <c r="CN44" s="397">
        <f t="shared" ca="1" si="33"/>
        <v>0</v>
      </c>
      <c r="CO44" s="397">
        <f t="shared" ca="1" si="34"/>
        <v>0</v>
      </c>
      <c r="CP44" s="397">
        <f t="shared" ca="1" si="35"/>
        <v>0</v>
      </c>
      <c r="CQ44" s="397">
        <f t="shared" ca="1" si="36"/>
        <v>0</v>
      </c>
      <c r="CR44" s="397">
        <f t="shared" ca="1" si="37"/>
        <v>0</v>
      </c>
      <c r="CS44" s="397">
        <f t="shared" ca="1" si="38"/>
        <v>0</v>
      </c>
      <c r="CT44" s="397">
        <f t="shared" ca="1" si="39"/>
        <v>0</v>
      </c>
      <c r="CU44" s="397">
        <f t="shared" ca="1" si="40"/>
        <v>0</v>
      </c>
      <c r="CV44" s="397">
        <f t="shared" ca="1" si="41"/>
        <v>0</v>
      </c>
      <c r="CW44" s="397">
        <f t="shared" ca="1" si="42"/>
        <v>0</v>
      </c>
      <c r="CX44" s="440">
        <f t="shared" ca="1" si="43"/>
        <v>0</v>
      </c>
      <c r="CY44" s="335">
        <f t="shared" si="44"/>
        <v>0</v>
      </c>
      <c r="CZ44" s="16"/>
      <c r="DA44" s="16"/>
      <c r="DB44" s="16"/>
      <c r="DC44" s="16"/>
      <c r="DD44" s="16"/>
      <c r="DE44" s="16"/>
      <c r="DF44" s="16"/>
      <c r="DG44" s="16"/>
      <c r="DH44" s="16"/>
    </row>
    <row r="45" spans="1:112" s="77" customFormat="1" ht="15" customHeight="1">
      <c r="A45" s="266" t="str">
        <f t="shared" ca="1" si="45"/>
        <v/>
      </c>
      <c r="B45" s="462"/>
      <c r="C45" s="402" t="str">
        <f ca="1">IF(DrawFinder!AB45=0,"",DrawFinder!AB45)</f>
        <v/>
      </c>
      <c r="D45" s="402" t="str">
        <f ca="1">IF(DrawFinder!AC45=0,"",DrawFinder!AC45)</f>
        <v/>
      </c>
      <c r="E45" s="402" t="str">
        <f ca="1">IF(DrawFinder!AD45=0,"",DrawFinder!AD45)</f>
        <v/>
      </c>
      <c r="F45" s="402" t="str">
        <f ca="1">IF(DrawFinder!AE45=0,"",DrawFinder!AE45)</f>
        <v/>
      </c>
      <c r="G45" s="402" t="str">
        <f ca="1">IF(DrawFinder!AF45=0,"",DrawFinder!AF45)</f>
        <v/>
      </c>
      <c r="H45" s="402" t="str">
        <f ca="1">IF(DrawFinder!AG45=0,"",DrawFinder!AG45)</f>
        <v/>
      </c>
      <c r="I45" s="402" t="str">
        <f ca="1">IF(DrawFinder!AH45=0,"",DrawFinder!AH45)</f>
        <v/>
      </c>
      <c r="J45" s="402" t="str">
        <f ca="1">IF(DrawFinder!AI45=0,"",DrawFinder!AI45)</f>
        <v/>
      </c>
      <c r="K45" s="402" t="str">
        <f ca="1">IF(DrawFinder!AJ45=0,"",DrawFinder!AJ45)</f>
        <v/>
      </c>
      <c r="L45" s="402" t="str">
        <f ca="1">IF(DrawFinder!AK45=0,"",DrawFinder!AK45)</f>
        <v/>
      </c>
      <c r="M45" s="402" t="str">
        <f ca="1">IF(DrawFinder!AL45=0,"",DrawFinder!AL45)</f>
        <v/>
      </c>
      <c r="N45" s="402" t="str">
        <f ca="1">IF(DrawFinder!AM45=0,"",DrawFinder!AM45)</f>
        <v/>
      </c>
      <c r="O45" s="402" t="str">
        <f ca="1">IF(DrawFinder!AN45=0,"",DrawFinder!AN45)</f>
        <v/>
      </c>
      <c r="P45" s="402" t="str">
        <f ca="1">IF(DrawFinder!AO45=0,"",DrawFinder!AO45)</f>
        <v/>
      </c>
      <c r="Q45" s="402" t="str">
        <f ca="1">IF(DrawFinder!AP45=0,"",DrawFinder!AP45)</f>
        <v/>
      </c>
      <c r="R45" s="402" t="str">
        <f ca="1">IF(DrawFinder!AQ45=0,"",DrawFinder!AQ45)</f>
        <v/>
      </c>
      <c r="S45" s="402" t="str">
        <f ca="1">IF(DrawFinder!AR45=0,"",DrawFinder!AR45)</f>
        <v/>
      </c>
      <c r="T45" s="402" t="str">
        <f ca="1">IF(DrawFinder!AS45=0,"",DrawFinder!AS45)</f>
        <v/>
      </c>
      <c r="U45" s="402" t="str">
        <f ca="1">IF(DrawFinder!AT45=0,"",DrawFinder!AT45)</f>
        <v/>
      </c>
      <c r="V45" s="402" t="str">
        <f ca="1">IF(DrawFinder!AU45=0,"",DrawFinder!AU45)</f>
        <v/>
      </c>
      <c r="W45" s="402" t="str">
        <f ca="1">IF(DrawFinder!AV45=0,"",DrawFinder!AV45)</f>
        <v/>
      </c>
      <c r="X45" s="402" t="str">
        <f ca="1">IF(DrawFinder!AW45=0,"",DrawFinder!AW45)</f>
        <v/>
      </c>
      <c r="Y45" s="402" t="str">
        <f ca="1">IF(DrawFinder!AX45=0,"",DrawFinder!AX45)</f>
        <v/>
      </c>
      <c r="Z45" s="402" t="str">
        <f ca="1">IF(DrawFinder!AY45=0,"",DrawFinder!AY45)</f>
        <v/>
      </c>
      <c r="AA45" s="402" t="str">
        <f ca="1">IF(DrawFinder!AZ45=0,"",DrawFinder!AZ45)</f>
        <v/>
      </c>
      <c r="AB45" s="402" t="str">
        <f ca="1">IF(DrawFinder!BA45=0,"",DrawFinder!BA45)</f>
        <v/>
      </c>
      <c r="AC45" s="402" t="str">
        <f ca="1">IF(DrawFinder!BB45=0,"",DrawFinder!BB45)</f>
        <v/>
      </c>
      <c r="AD45" s="402" t="str">
        <f ca="1">IF(DrawFinder!BC45=0,"",DrawFinder!BC45)</f>
        <v/>
      </c>
      <c r="AE45" s="402" t="str">
        <f ca="1">IF(DrawFinder!BD45=0,"",DrawFinder!BD45)</f>
        <v/>
      </c>
      <c r="AF45" s="402" t="str">
        <f ca="1">IF(DrawFinder!BE45=0,"",DrawFinder!BE45)</f>
        <v/>
      </c>
      <c r="AG45" s="402" t="str">
        <f ca="1">IF(DrawFinder!BF45=0,"",DrawFinder!BF45)</f>
        <v/>
      </c>
      <c r="AH45" s="402" t="str">
        <f ca="1">IF(DrawFinder!BG45=0,"",DrawFinder!BG45)</f>
        <v/>
      </c>
      <c r="AI45" s="402" t="str">
        <f ca="1">IF(DrawFinder!BH45=0,"",DrawFinder!BH45)</f>
        <v/>
      </c>
      <c r="AJ45" s="402" t="str">
        <f ca="1">IF(DrawFinder!BI45=0,"",DrawFinder!BI45)</f>
        <v/>
      </c>
      <c r="AK45" s="402" t="str">
        <f ca="1">IF(DrawFinder!BJ45=0,"",DrawFinder!BJ45)</f>
        <v/>
      </c>
      <c r="AL45" s="402" t="str">
        <f ca="1">IF(DrawFinder!BK45=0,"",DrawFinder!BK45)</f>
        <v/>
      </c>
      <c r="AM45" s="402" t="str">
        <f ca="1">IF(DrawFinder!BL45=0,"",DrawFinder!BL45)</f>
        <v/>
      </c>
      <c r="AN45" s="402" t="str">
        <f ca="1">IF(DrawFinder!BM45=0,"",DrawFinder!BM45)</f>
        <v/>
      </c>
      <c r="AO45" s="402" t="str">
        <f ca="1">IF(DrawFinder!BN45=0,"",DrawFinder!BN45)</f>
        <v/>
      </c>
      <c r="AP45" s="400" t="str">
        <f ca="1">IF(DrawFinder!BO45=0,"",DrawFinder!BO45)</f>
        <v/>
      </c>
      <c r="AQ45" s="81" t="str">
        <f>IF(DrawFinder!Y45=0,"",DrawFinder!Y45)</f>
        <v/>
      </c>
      <c r="AR45" s="79" t="str">
        <f t="shared" ca="1" si="46"/>
        <v/>
      </c>
      <c r="AS45" s="81" t="str">
        <f t="shared" ca="1" si="47"/>
        <v/>
      </c>
      <c r="AT45" s="84">
        <f t="shared" ca="1" si="48"/>
        <v>0</v>
      </c>
      <c r="AU45" s="336">
        <f t="shared" ca="1" si="49"/>
        <v>0</v>
      </c>
      <c r="AV45" s="336">
        <f t="shared" ca="1" si="49"/>
        <v>0</v>
      </c>
      <c r="AW45" s="336">
        <f t="shared" ca="1" si="49"/>
        <v>0</v>
      </c>
      <c r="AX45" s="336">
        <f t="shared" ca="1" si="49"/>
        <v>0</v>
      </c>
      <c r="AY45" s="336">
        <f t="shared" ca="1" si="49"/>
        <v>0</v>
      </c>
      <c r="AZ45" s="336">
        <f t="shared" ca="1" si="49"/>
        <v>0</v>
      </c>
      <c r="BA45" s="336">
        <f t="shared" ca="1" si="49"/>
        <v>0</v>
      </c>
      <c r="BB45" s="336">
        <f t="shared" ca="1" si="49"/>
        <v>0</v>
      </c>
      <c r="BC45" s="336">
        <f t="shared" ca="1" si="49"/>
        <v>0</v>
      </c>
      <c r="BD45" s="336">
        <f t="shared" ca="1" si="49"/>
        <v>0</v>
      </c>
      <c r="BE45" s="83">
        <f t="shared" ca="1" si="1"/>
        <v>0</v>
      </c>
      <c r="BF45" s="84">
        <f t="shared" ca="1" si="50"/>
        <v>0</v>
      </c>
      <c r="BH45" s="407" t="str">
        <f t="shared" ca="1" si="2"/>
        <v/>
      </c>
      <c r="BI45" s="408" t="str">
        <f t="shared" ca="1" si="3"/>
        <v/>
      </c>
      <c r="BK45" s="439">
        <f t="shared" ca="1" si="4"/>
        <v>0</v>
      </c>
      <c r="BL45" s="397">
        <f t="shared" ca="1" si="5"/>
        <v>0</v>
      </c>
      <c r="BM45" s="397">
        <f t="shared" ca="1" si="6"/>
        <v>0</v>
      </c>
      <c r="BN45" s="397">
        <f t="shared" ca="1" si="7"/>
        <v>0</v>
      </c>
      <c r="BO45" s="397">
        <f t="shared" ca="1" si="8"/>
        <v>0</v>
      </c>
      <c r="BP45" s="397">
        <f t="shared" ca="1" si="9"/>
        <v>0</v>
      </c>
      <c r="BQ45" s="397">
        <f t="shared" ca="1" si="10"/>
        <v>0</v>
      </c>
      <c r="BR45" s="397">
        <f t="shared" ca="1" si="11"/>
        <v>0</v>
      </c>
      <c r="BS45" s="397">
        <f t="shared" ca="1" si="12"/>
        <v>0</v>
      </c>
      <c r="BT45" s="397">
        <f t="shared" ca="1" si="13"/>
        <v>0</v>
      </c>
      <c r="BU45" s="397">
        <f t="shared" ca="1" si="14"/>
        <v>0</v>
      </c>
      <c r="BV45" s="397">
        <f t="shared" ca="1" si="15"/>
        <v>0</v>
      </c>
      <c r="BW45" s="397">
        <f t="shared" ca="1" si="16"/>
        <v>0</v>
      </c>
      <c r="BX45" s="397">
        <f t="shared" ca="1" si="17"/>
        <v>0</v>
      </c>
      <c r="BY45" s="397">
        <f t="shared" ca="1" si="18"/>
        <v>0</v>
      </c>
      <c r="BZ45" s="397">
        <f t="shared" ca="1" si="19"/>
        <v>0</v>
      </c>
      <c r="CA45" s="397">
        <f t="shared" ca="1" si="20"/>
        <v>0</v>
      </c>
      <c r="CB45" s="397">
        <f t="shared" ca="1" si="21"/>
        <v>0</v>
      </c>
      <c r="CC45" s="397">
        <f t="shared" ca="1" si="22"/>
        <v>0</v>
      </c>
      <c r="CD45" s="397">
        <f t="shared" ca="1" si="23"/>
        <v>0</v>
      </c>
      <c r="CE45" s="397">
        <f t="shared" ca="1" si="24"/>
        <v>0</v>
      </c>
      <c r="CF45" s="397">
        <f t="shared" ca="1" si="25"/>
        <v>0</v>
      </c>
      <c r="CG45" s="397">
        <f t="shared" ca="1" si="26"/>
        <v>0</v>
      </c>
      <c r="CH45" s="397">
        <f t="shared" ca="1" si="27"/>
        <v>0</v>
      </c>
      <c r="CI45" s="397">
        <f t="shared" ca="1" si="28"/>
        <v>0</v>
      </c>
      <c r="CJ45" s="397">
        <f t="shared" ca="1" si="29"/>
        <v>0</v>
      </c>
      <c r="CK45" s="397">
        <f t="shared" ca="1" si="30"/>
        <v>0</v>
      </c>
      <c r="CL45" s="397">
        <f t="shared" ca="1" si="31"/>
        <v>0</v>
      </c>
      <c r="CM45" s="397">
        <f t="shared" ca="1" si="32"/>
        <v>0</v>
      </c>
      <c r="CN45" s="397">
        <f t="shared" ca="1" si="33"/>
        <v>0</v>
      </c>
      <c r="CO45" s="397">
        <f t="shared" ca="1" si="34"/>
        <v>0</v>
      </c>
      <c r="CP45" s="397">
        <f t="shared" ca="1" si="35"/>
        <v>0</v>
      </c>
      <c r="CQ45" s="397">
        <f t="shared" ca="1" si="36"/>
        <v>0</v>
      </c>
      <c r="CR45" s="397">
        <f t="shared" ca="1" si="37"/>
        <v>0</v>
      </c>
      <c r="CS45" s="397">
        <f t="shared" ca="1" si="38"/>
        <v>0</v>
      </c>
      <c r="CT45" s="397">
        <f t="shared" ca="1" si="39"/>
        <v>0</v>
      </c>
      <c r="CU45" s="397">
        <f t="shared" ca="1" si="40"/>
        <v>0</v>
      </c>
      <c r="CV45" s="397">
        <f t="shared" ca="1" si="41"/>
        <v>0</v>
      </c>
      <c r="CW45" s="397">
        <f t="shared" ca="1" si="42"/>
        <v>0</v>
      </c>
      <c r="CX45" s="440">
        <f t="shared" ca="1" si="43"/>
        <v>0</v>
      </c>
      <c r="CY45" s="335">
        <f t="shared" si="44"/>
        <v>0</v>
      </c>
      <c r="CZ45" s="16"/>
      <c r="DA45" s="16"/>
      <c r="DB45" s="16"/>
      <c r="DC45" s="16"/>
      <c r="DD45" s="16"/>
      <c r="DE45" s="16"/>
      <c r="DF45" s="16"/>
      <c r="DG45" s="16"/>
      <c r="DH45" s="16"/>
    </row>
    <row r="46" spans="1:112" s="77" customFormat="1" ht="15" customHeight="1">
      <c r="A46" s="266" t="str">
        <f t="shared" ca="1" si="45"/>
        <v/>
      </c>
      <c r="B46" s="462"/>
      <c r="C46" s="402" t="str">
        <f ca="1">IF(DrawFinder!AB46=0,"",DrawFinder!AB46)</f>
        <v/>
      </c>
      <c r="D46" s="402" t="str">
        <f ca="1">IF(DrawFinder!AC46=0,"",DrawFinder!AC46)</f>
        <v/>
      </c>
      <c r="E46" s="402" t="str">
        <f ca="1">IF(DrawFinder!AD46=0,"",DrawFinder!AD46)</f>
        <v/>
      </c>
      <c r="F46" s="402" t="str">
        <f ca="1">IF(DrawFinder!AE46=0,"",DrawFinder!AE46)</f>
        <v/>
      </c>
      <c r="G46" s="402" t="str">
        <f ca="1">IF(DrawFinder!AF46=0,"",DrawFinder!AF46)</f>
        <v/>
      </c>
      <c r="H46" s="402" t="str">
        <f ca="1">IF(DrawFinder!AG46=0,"",DrawFinder!AG46)</f>
        <v/>
      </c>
      <c r="I46" s="402" t="str">
        <f ca="1">IF(DrawFinder!AH46=0,"",DrawFinder!AH46)</f>
        <v/>
      </c>
      <c r="J46" s="402" t="str">
        <f ca="1">IF(DrawFinder!AI46=0,"",DrawFinder!AI46)</f>
        <v/>
      </c>
      <c r="K46" s="402" t="str">
        <f ca="1">IF(DrawFinder!AJ46=0,"",DrawFinder!AJ46)</f>
        <v/>
      </c>
      <c r="L46" s="402" t="str">
        <f ca="1">IF(DrawFinder!AK46=0,"",DrawFinder!AK46)</f>
        <v/>
      </c>
      <c r="M46" s="402" t="str">
        <f ca="1">IF(DrawFinder!AL46=0,"",DrawFinder!AL46)</f>
        <v/>
      </c>
      <c r="N46" s="402" t="str">
        <f ca="1">IF(DrawFinder!AM46=0,"",DrawFinder!AM46)</f>
        <v/>
      </c>
      <c r="O46" s="402" t="str">
        <f ca="1">IF(DrawFinder!AN46=0,"",DrawFinder!AN46)</f>
        <v/>
      </c>
      <c r="P46" s="402" t="str">
        <f ca="1">IF(DrawFinder!AO46=0,"",DrawFinder!AO46)</f>
        <v/>
      </c>
      <c r="Q46" s="402" t="str">
        <f ca="1">IF(DrawFinder!AP46=0,"",DrawFinder!AP46)</f>
        <v/>
      </c>
      <c r="R46" s="402" t="str">
        <f ca="1">IF(DrawFinder!AQ46=0,"",DrawFinder!AQ46)</f>
        <v/>
      </c>
      <c r="S46" s="402" t="str">
        <f ca="1">IF(DrawFinder!AR46=0,"",DrawFinder!AR46)</f>
        <v/>
      </c>
      <c r="T46" s="402" t="str">
        <f ca="1">IF(DrawFinder!AS46=0,"",DrawFinder!AS46)</f>
        <v/>
      </c>
      <c r="U46" s="402" t="str">
        <f ca="1">IF(DrawFinder!AT46=0,"",DrawFinder!AT46)</f>
        <v/>
      </c>
      <c r="V46" s="402" t="str">
        <f ca="1">IF(DrawFinder!AU46=0,"",DrawFinder!AU46)</f>
        <v/>
      </c>
      <c r="W46" s="402" t="str">
        <f ca="1">IF(DrawFinder!AV46=0,"",DrawFinder!AV46)</f>
        <v/>
      </c>
      <c r="X46" s="402" t="str">
        <f ca="1">IF(DrawFinder!AW46=0,"",DrawFinder!AW46)</f>
        <v/>
      </c>
      <c r="Y46" s="402" t="str">
        <f ca="1">IF(DrawFinder!AX46=0,"",DrawFinder!AX46)</f>
        <v/>
      </c>
      <c r="Z46" s="402" t="str">
        <f ca="1">IF(DrawFinder!AY46=0,"",DrawFinder!AY46)</f>
        <v/>
      </c>
      <c r="AA46" s="402" t="str">
        <f ca="1">IF(DrawFinder!AZ46=0,"",DrawFinder!AZ46)</f>
        <v/>
      </c>
      <c r="AB46" s="402" t="str">
        <f ca="1">IF(DrawFinder!BA46=0,"",DrawFinder!BA46)</f>
        <v/>
      </c>
      <c r="AC46" s="402" t="str">
        <f ca="1">IF(DrawFinder!BB46=0,"",DrawFinder!BB46)</f>
        <v/>
      </c>
      <c r="AD46" s="402" t="str">
        <f ca="1">IF(DrawFinder!BC46=0,"",DrawFinder!BC46)</f>
        <v/>
      </c>
      <c r="AE46" s="402" t="str">
        <f ca="1">IF(DrawFinder!BD46=0,"",DrawFinder!BD46)</f>
        <v/>
      </c>
      <c r="AF46" s="402" t="str">
        <f ca="1">IF(DrawFinder!BE46=0,"",DrawFinder!BE46)</f>
        <v/>
      </c>
      <c r="AG46" s="402" t="str">
        <f ca="1">IF(DrawFinder!BF46=0,"",DrawFinder!BF46)</f>
        <v/>
      </c>
      <c r="AH46" s="402" t="str">
        <f ca="1">IF(DrawFinder!BG46=0,"",DrawFinder!BG46)</f>
        <v/>
      </c>
      <c r="AI46" s="402" t="str">
        <f ca="1">IF(DrawFinder!BH46=0,"",DrawFinder!BH46)</f>
        <v/>
      </c>
      <c r="AJ46" s="402" t="str">
        <f ca="1">IF(DrawFinder!BI46=0,"",DrawFinder!BI46)</f>
        <v/>
      </c>
      <c r="AK46" s="402" t="str">
        <f ca="1">IF(DrawFinder!BJ46=0,"",DrawFinder!BJ46)</f>
        <v/>
      </c>
      <c r="AL46" s="402" t="str">
        <f ca="1">IF(DrawFinder!BK46=0,"",DrawFinder!BK46)</f>
        <v/>
      </c>
      <c r="AM46" s="402" t="str">
        <f ca="1">IF(DrawFinder!BL46=0,"",DrawFinder!BL46)</f>
        <v/>
      </c>
      <c r="AN46" s="402" t="str">
        <f ca="1">IF(DrawFinder!BM46=0,"",DrawFinder!BM46)</f>
        <v/>
      </c>
      <c r="AO46" s="402" t="str">
        <f ca="1">IF(DrawFinder!BN46=0,"",DrawFinder!BN46)</f>
        <v/>
      </c>
      <c r="AP46" s="400" t="str">
        <f ca="1">IF(DrawFinder!BO46=0,"",DrawFinder!BO46)</f>
        <v/>
      </c>
      <c r="AQ46" s="81" t="str">
        <f>IF(DrawFinder!Y46=0,"",DrawFinder!Y46)</f>
        <v/>
      </c>
      <c r="AR46" s="79" t="str">
        <f t="shared" ca="1" si="46"/>
        <v/>
      </c>
      <c r="AS46" s="81" t="str">
        <f t="shared" ca="1" si="47"/>
        <v/>
      </c>
      <c r="AT46" s="84">
        <f t="shared" ca="1" si="48"/>
        <v>0</v>
      </c>
      <c r="AU46" s="336">
        <f t="shared" ca="1" si="49"/>
        <v>0</v>
      </c>
      <c r="AV46" s="336">
        <f t="shared" ca="1" si="49"/>
        <v>0</v>
      </c>
      <c r="AW46" s="336">
        <f t="shared" ca="1" si="49"/>
        <v>0</v>
      </c>
      <c r="AX46" s="336">
        <f t="shared" ca="1" si="49"/>
        <v>0</v>
      </c>
      <c r="AY46" s="336">
        <f t="shared" ca="1" si="49"/>
        <v>0</v>
      </c>
      <c r="AZ46" s="336">
        <f t="shared" ca="1" si="49"/>
        <v>0</v>
      </c>
      <c r="BA46" s="336">
        <f t="shared" ca="1" si="49"/>
        <v>0</v>
      </c>
      <c r="BB46" s="336">
        <f t="shared" ca="1" si="49"/>
        <v>0</v>
      </c>
      <c r="BC46" s="336">
        <f t="shared" ca="1" si="49"/>
        <v>0</v>
      </c>
      <c r="BD46" s="336">
        <f t="shared" ca="1" si="49"/>
        <v>0</v>
      </c>
      <c r="BE46" s="83">
        <f t="shared" ca="1" si="1"/>
        <v>0</v>
      </c>
      <c r="BF46" s="84">
        <f t="shared" ca="1" si="50"/>
        <v>0</v>
      </c>
      <c r="BH46" s="407" t="str">
        <f t="shared" ca="1" si="2"/>
        <v/>
      </c>
      <c r="BI46" s="408" t="str">
        <f t="shared" ca="1" si="3"/>
        <v/>
      </c>
      <c r="BK46" s="439">
        <f t="shared" ca="1" si="4"/>
        <v>0</v>
      </c>
      <c r="BL46" s="397">
        <f t="shared" ca="1" si="5"/>
        <v>0</v>
      </c>
      <c r="BM46" s="397">
        <f t="shared" ca="1" si="6"/>
        <v>0</v>
      </c>
      <c r="BN46" s="397">
        <f t="shared" ca="1" si="7"/>
        <v>0</v>
      </c>
      <c r="BO46" s="397">
        <f t="shared" ca="1" si="8"/>
        <v>0</v>
      </c>
      <c r="BP46" s="397">
        <f t="shared" ca="1" si="9"/>
        <v>0</v>
      </c>
      <c r="BQ46" s="397">
        <f t="shared" ca="1" si="10"/>
        <v>0</v>
      </c>
      <c r="BR46" s="397">
        <f t="shared" ca="1" si="11"/>
        <v>0</v>
      </c>
      <c r="BS46" s="397">
        <f t="shared" ca="1" si="12"/>
        <v>0</v>
      </c>
      <c r="BT46" s="397">
        <f t="shared" ca="1" si="13"/>
        <v>0</v>
      </c>
      <c r="BU46" s="397">
        <f t="shared" ca="1" si="14"/>
        <v>0</v>
      </c>
      <c r="BV46" s="397">
        <f t="shared" ca="1" si="15"/>
        <v>0</v>
      </c>
      <c r="BW46" s="397">
        <f t="shared" ca="1" si="16"/>
        <v>0</v>
      </c>
      <c r="BX46" s="397">
        <f t="shared" ca="1" si="17"/>
        <v>0</v>
      </c>
      <c r="BY46" s="397">
        <f t="shared" ca="1" si="18"/>
        <v>0</v>
      </c>
      <c r="BZ46" s="397">
        <f t="shared" ca="1" si="19"/>
        <v>0</v>
      </c>
      <c r="CA46" s="397">
        <f t="shared" ca="1" si="20"/>
        <v>0</v>
      </c>
      <c r="CB46" s="397">
        <f t="shared" ca="1" si="21"/>
        <v>0</v>
      </c>
      <c r="CC46" s="397">
        <f t="shared" ca="1" si="22"/>
        <v>0</v>
      </c>
      <c r="CD46" s="397">
        <f t="shared" ca="1" si="23"/>
        <v>0</v>
      </c>
      <c r="CE46" s="397">
        <f t="shared" ca="1" si="24"/>
        <v>0</v>
      </c>
      <c r="CF46" s="397">
        <f t="shared" ca="1" si="25"/>
        <v>0</v>
      </c>
      <c r="CG46" s="397">
        <f t="shared" ca="1" si="26"/>
        <v>0</v>
      </c>
      <c r="CH46" s="397">
        <f t="shared" ca="1" si="27"/>
        <v>0</v>
      </c>
      <c r="CI46" s="397">
        <f t="shared" ca="1" si="28"/>
        <v>0</v>
      </c>
      <c r="CJ46" s="397">
        <f t="shared" ca="1" si="29"/>
        <v>0</v>
      </c>
      <c r="CK46" s="397">
        <f t="shared" ca="1" si="30"/>
        <v>0</v>
      </c>
      <c r="CL46" s="397">
        <f t="shared" ca="1" si="31"/>
        <v>0</v>
      </c>
      <c r="CM46" s="397">
        <f t="shared" ca="1" si="32"/>
        <v>0</v>
      </c>
      <c r="CN46" s="397">
        <f t="shared" ca="1" si="33"/>
        <v>0</v>
      </c>
      <c r="CO46" s="397">
        <f t="shared" ca="1" si="34"/>
        <v>0</v>
      </c>
      <c r="CP46" s="397">
        <f t="shared" ca="1" si="35"/>
        <v>0</v>
      </c>
      <c r="CQ46" s="397">
        <f t="shared" ca="1" si="36"/>
        <v>0</v>
      </c>
      <c r="CR46" s="397">
        <f t="shared" ca="1" si="37"/>
        <v>0</v>
      </c>
      <c r="CS46" s="397">
        <f t="shared" ca="1" si="38"/>
        <v>0</v>
      </c>
      <c r="CT46" s="397">
        <f t="shared" ca="1" si="39"/>
        <v>0</v>
      </c>
      <c r="CU46" s="397">
        <f t="shared" ca="1" si="40"/>
        <v>0</v>
      </c>
      <c r="CV46" s="397">
        <f t="shared" ca="1" si="41"/>
        <v>0</v>
      </c>
      <c r="CW46" s="397">
        <f t="shared" ca="1" si="42"/>
        <v>0</v>
      </c>
      <c r="CX46" s="440">
        <f t="shared" ca="1" si="43"/>
        <v>0</v>
      </c>
      <c r="CY46" s="335">
        <f t="shared" si="44"/>
        <v>0</v>
      </c>
      <c r="CZ46" s="16"/>
      <c r="DA46" s="16"/>
      <c r="DB46" s="16"/>
      <c r="DC46" s="16"/>
      <c r="DD46" s="16"/>
      <c r="DE46" s="16"/>
      <c r="DF46" s="16"/>
      <c r="DG46" s="16"/>
      <c r="DH46" s="16"/>
    </row>
    <row r="47" spans="1:112" s="77" customFormat="1" ht="15" customHeight="1">
      <c r="A47" s="266" t="str">
        <f t="shared" ca="1" si="45"/>
        <v/>
      </c>
      <c r="B47" s="462"/>
      <c r="C47" s="402" t="str">
        <f ca="1">IF(DrawFinder!AB47=0,"",DrawFinder!AB47)</f>
        <v/>
      </c>
      <c r="D47" s="402" t="str">
        <f ca="1">IF(DrawFinder!AC47=0,"",DrawFinder!AC47)</f>
        <v/>
      </c>
      <c r="E47" s="402" t="str">
        <f ca="1">IF(DrawFinder!AD47=0,"",DrawFinder!AD47)</f>
        <v/>
      </c>
      <c r="F47" s="402" t="str">
        <f ca="1">IF(DrawFinder!AE47=0,"",DrawFinder!AE47)</f>
        <v/>
      </c>
      <c r="G47" s="402" t="str">
        <f ca="1">IF(DrawFinder!AF47=0,"",DrawFinder!AF47)</f>
        <v/>
      </c>
      <c r="H47" s="402" t="str">
        <f ca="1">IF(DrawFinder!AG47=0,"",DrawFinder!AG47)</f>
        <v/>
      </c>
      <c r="I47" s="402" t="str">
        <f ca="1">IF(DrawFinder!AH47=0,"",DrawFinder!AH47)</f>
        <v/>
      </c>
      <c r="J47" s="402" t="str">
        <f ca="1">IF(DrawFinder!AI47=0,"",DrawFinder!AI47)</f>
        <v/>
      </c>
      <c r="K47" s="402" t="str">
        <f ca="1">IF(DrawFinder!AJ47=0,"",DrawFinder!AJ47)</f>
        <v/>
      </c>
      <c r="L47" s="402" t="str">
        <f ca="1">IF(DrawFinder!AK47=0,"",DrawFinder!AK47)</f>
        <v/>
      </c>
      <c r="M47" s="402" t="str">
        <f ca="1">IF(DrawFinder!AL47=0,"",DrawFinder!AL47)</f>
        <v/>
      </c>
      <c r="N47" s="402" t="str">
        <f ca="1">IF(DrawFinder!AM47=0,"",DrawFinder!AM47)</f>
        <v/>
      </c>
      <c r="O47" s="402" t="str">
        <f ca="1">IF(DrawFinder!AN47=0,"",DrawFinder!AN47)</f>
        <v/>
      </c>
      <c r="P47" s="402" t="str">
        <f ca="1">IF(DrawFinder!AO47=0,"",DrawFinder!AO47)</f>
        <v/>
      </c>
      <c r="Q47" s="402" t="str">
        <f ca="1">IF(DrawFinder!AP47=0,"",DrawFinder!AP47)</f>
        <v/>
      </c>
      <c r="R47" s="402" t="str">
        <f ca="1">IF(DrawFinder!AQ47=0,"",DrawFinder!AQ47)</f>
        <v/>
      </c>
      <c r="S47" s="402" t="str">
        <f ca="1">IF(DrawFinder!AR47=0,"",DrawFinder!AR47)</f>
        <v/>
      </c>
      <c r="T47" s="402" t="str">
        <f ca="1">IF(DrawFinder!AS47=0,"",DrawFinder!AS47)</f>
        <v/>
      </c>
      <c r="U47" s="402" t="str">
        <f ca="1">IF(DrawFinder!AT47=0,"",DrawFinder!AT47)</f>
        <v/>
      </c>
      <c r="V47" s="402" t="str">
        <f ca="1">IF(DrawFinder!AU47=0,"",DrawFinder!AU47)</f>
        <v/>
      </c>
      <c r="W47" s="402" t="str">
        <f ca="1">IF(DrawFinder!AV47=0,"",DrawFinder!AV47)</f>
        <v/>
      </c>
      <c r="X47" s="402" t="str">
        <f ca="1">IF(DrawFinder!AW47=0,"",DrawFinder!AW47)</f>
        <v/>
      </c>
      <c r="Y47" s="402" t="str">
        <f ca="1">IF(DrawFinder!AX47=0,"",DrawFinder!AX47)</f>
        <v/>
      </c>
      <c r="Z47" s="402" t="str">
        <f ca="1">IF(DrawFinder!AY47=0,"",DrawFinder!AY47)</f>
        <v/>
      </c>
      <c r="AA47" s="402" t="str">
        <f ca="1">IF(DrawFinder!AZ47=0,"",DrawFinder!AZ47)</f>
        <v/>
      </c>
      <c r="AB47" s="402" t="str">
        <f ca="1">IF(DrawFinder!BA47=0,"",DrawFinder!BA47)</f>
        <v/>
      </c>
      <c r="AC47" s="402" t="str">
        <f ca="1">IF(DrawFinder!BB47=0,"",DrawFinder!BB47)</f>
        <v/>
      </c>
      <c r="AD47" s="402" t="str">
        <f ca="1">IF(DrawFinder!BC47=0,"",DrawFinder!BC47)</f>
        <v/>
      </c>
      <c r="AE47" s="402" t="str">
        <f ca="1">IF(DrawFinder!BD47=0,"",DrawFinder!BD47)</f>
        <v/>
      </c>
      <c r="AF47" s="402" t="str">
        <f ca="1">IF(DrawFinder!BE47=0,"",DrawFinder!BE47)</f>
        <v/>
      </c>
      <c r="AG47" s="402" t="str">
        <f ca="1">IF(DrawFinder!BF47=0,"",DrawFinder!BF47)</f>
        <v/>
      </c>
      <c r="AH47" s="402" t="str">
        <f ca="1">IF(DrawFinder!BG47=0,"",DrawFinder!BG47)</f>
        <v/>
      </c>
      <c r="AI47" s="402" t="str">
        <f ca="1">IF(DrawFinder!BH47=0,"",DrawFinder!BH47)</f>
        <v/>
      </c>
      <c r="AJ47" s="402" t="str">
        <f ca="1">IF(DrawFinder!BI47=0,"",DrawFinder!BI47)</f>
        <v/>
      </c>
      <c r="AK47" s="402" t="str">
        <f ca="1">IF(DrawFinder!BJ47=0,"",DrawFinder!BJ47)</f>
        <v/>
      </c>
      <c r="AL47" s="402" t="str">
        <f ca="1">IF(DrawFinder!BK47=0,"",DrawFinder!BK47)</f>
        <v/>
      </c>
      <c r="AM47" s="402" t="str">
        <f ca="1">IF(DrawFinder!BL47=0,"",DrawFinder!BL47)</f>
        <v/>
      </c>
      <c r="AN47" s="402" t="str">
        <f ca="1">IF(DrawFinder!BM47=0,"",DrawFinder!BM47)</f>
        <v/>
      </c>
      <c r="AO47" s="402" t="str">
        <f ca="1">IF(DrawFinder!BN47=0,"",DrawFinder!BN47)</f>
        <v/>
      </c>
      <c r="AP47" s="400" t="str">
        <f ca="1">IF(DrawFinder!BO47=0,"",DrawFinder!BO47)</f>
        <v/>
      </c>
      <c r="AQ47" s="81" t="str">
        <f>IF(DrawFinder!Y47=0,"",DrawFinder!Y47)</f>
        <v/>
      </c>
      <c r="AR47" s="79" t="str">
        <f t="shared" ca="1" si="46"/>
        <v/>
      </c>
      <c r="AS47" s="81" t="str">
        <f t="shared" ca="1" si="47"/>
        <v/>
      </c>
      <c r="AT47" s="84">
        <f t="shared" ca="1" si="48"/>
        <v>0</v>
      </c>
      <c r="AU47" s="336">
        <f t="shared" ca="1" si="49"/>
        <v>0</v>
      </c>
      <c r="AV47" s="336">
        <f t="shared" ca="1" si="49"/>
        <v>0</v>
      </c>
      <c r="AW47" s="336">
        <f t="shared" ca="1" si="49"/>
        <v>0</v>
      </c>
      <c r="AX47" s="336">
        <f t="shared" ca="1" si="49"/>
        <v>0</v>
      </c>
      <c r="AY47" s="336">
        <f t="shared" ca="1" si="49"/>
        <v>0</v>
      </c>
      <c r="AZ47" s="336">
        <f t="shared" ca="1" si="49"/>
        <v>0</v>
      </c>
      <c r="BA47" s="336">
        <f t="shared" ca="1" si="49"/>
        <v>0</v>
      </c>
      <c r="BB47" s="336">
        <f t="shared" ca="1" si="49"/>
        <v>0</v>
      </c>
      <c r="BC47" s="336">
        <f t="shared" ca="1" si="49"/>
        <v>0</v>
      </c>
      <c r="BD47" s="336">
        <f t="shared" ca="1" si="49"/>
        <v>0</v>
      </c>
      <c r="BE47" s="83">
        <f t="shared" ca="1" si="1"/>
        <v>0</v>
      </c>
      <c r="BF47" s="84">
        <f t="shared" ca="1" si="50"/>
        <v>0</v>
      </c>
      <c r="BH47" s="407" t="str">
        <f t="shared" ca="1" si="2"/>
        <v/>
      </c>
      <c r="BI47" s="408" t="str">
        <f t="shared" ca="1" si="3"/>
        <v/>
      </c>
      <c r="BK47" s="439">
        <f t="shared" ca="1" si="4"/>
        <v>0</v>
      </c>
      <c r="BL47" s="397">
        <f t="shared" ca="1" si="5"/>
        <v>0</v>
      </c>
      <c r="BM47" s="397">
        <f t="shared" ca="1" si="6"/>
        <v>0</v>
      </c>
      <c r="BN47" s="397">
        <f t="shared" ca="1" si="7"/>
        <v>0</v>
      </c>
      <c r="BO47" s="397">
        <f t="shared" ca="1" si="8"/>
        <v>0</v>
      </c>
      <c r="BP47" s="397">
        <f t="shared" ca="1" si="9"/>
        <v>0</v>
      </c>
      <c r="BQ47" s="397">
        <f t="shared" ca="1" si="10"/>
        <v>0</v>
      </c>
      <c r="BR47" s="397">
        <f t="shared" ca="1" si="11"/>
        <v>0</v>
      </c>
      <c r="BS47" s="397">
        <f t="shared" ca="1" si="12"/>
        <v>0</v>
      </c>
      <c r="BT47" s="397">
        <f t="shared" ca="1" si="13"/>
        <v>0</v>
      </c>
      <c r="BU47" s="397">
        <f t="shared" ca="1" si="14"/>
        <v>0</v>
      </c>
      <c r="BV47" s="397">
        <f t="shared" ca="1" si="15"/>
        <v>0</v>
      </c>
      <c r="BW47" s="397">
        <f t="shared" ca="1" si="16"/>
        <v>0</v>
      </c>
      <c r="BX47" s="397">
        <f t="shared" ca="1" si="17"/>
        <v>0</v>
      </c>
      <c r="BY47" s="397">
        <f t="shared" ca="1" si="18"/>
        <v>0</v>
      </c>
      <c r="BZ47" s="397">
        <f t="shared" ca="1" si="19"/>
        <v>0</v>
      </c>
      <c r="CA47" s="397">
        <f t="shared" ca="1" si="20"/>
        <v>0</v>
      </c>
      <c r="CB47" s="397">
        <f t="shared" ca="1" si="21"/>
        <v>0</v>
      </c>
      <c r="CC47" s="397">
        <f t="shared" ca="1" si="22"/>
        <v>0</v>
      </c>
      <c r="CD47" s="397">
        <f t="shared" ca="1" si="23"/>
        <v>0</v>
      </c>
      <c r="CE47" s="397">
        <f t="shared" ca="1" si="24"/>
        <v>0</v>
      </c>
      <c r="CF47" s="397">
        <f t="shared" ca="1" si="25"/>
        <v>0</v>
      </c>
      <c r="CG47" s="397">
        <f t="shared" ca="1" si="26"/>
        <v>0</v>
      </c>
      <c r="CH47" s="397">
        <f t="shared" ca="1" si="27"/>
        <v>0</v>
      </c>
      <c r="CI47" s="397">
        <f t="shared" ca="1" si="28"/>
        <v>0</v>
      </c>
      <c r="CJ47" s="397">
        <f t="shared" ca="1" si="29"/>
        <v>0</v>
      </c>
      <c r="CK47" s="397">
        <f t="shared" ca="1" si="30"/>
        <v>0</v>
      </c>
      <c r="CL47" s="397">
        <f t="shared" ca="1" si="31"/>
        <v>0</v>
      </c>
      <c r="CM47" s="397">
        <f t="shared" ca="1" si="32"/>
        <v>0</v>
      </c>
      <c r="CN47" s="397">
        <f t="shared" ca="1" si="33"/>
        <v>0</v>
      </c>
      <c r="CO47" s="397">
        <f t="shared" ca="1" si="34"/>
        <v>0</v>
      </c>
      <c r="CP47" s="397">
        <f t="shared" ca="1" si="35"/>
        <v>0</v>
      </c>
      <c r="CQ47" s="397">
        <f t="shared" ca="1" si="36"/>
        <v>0</v>
      </c>
      <c r="CR47" s="397">
        <f t="shared" ca="1" si="37"/>
        <v>0</v>
      </c>
      <c r="CS47" s="397">
        <f t="shared" ca="1" si="38"/>
        <v>0</v>
      </c>
      <c r="CT47" s="397">
        <f t="shared" ca="1" si="39"/>
        <v>0</v>
      </c>
      <c r="CU47" s="397">
        <f t="shared" ca="1" si="40"/>
        <v>0</v>
      </c>
      <c r="CV47" s="397">
        <f t="shared" ca="1" si="41"/>
        <v>0</v>
      </c>
      <c r="CW47" s="397">
        <f t="shared" ca="1" si="42"/>
        <v>0</v>
      </c>
      <c r="CX47" s="440">
        <f t="shared" ca="1" si="43"/>
        <v>0</v>
      </c>
      <c r="CY47" s="335">
        <f t="shared" si="44"/>
        <v>0</v>
      </c>
      <c r="CZ47" s="16"/>
      <c r="DA47" s="16"/>
      <c r="DB47" s="16"/>
      <c r="DC47" s="16"/>
      <c r="DD47" s="16"/>
      <c r="DE47" s="16"/>
      <c r="DF47" s="16"/>
      <c r="DG47" s="16"/>
      <c r="DH47" s="16"/>
    </row>
    <row r="48" spans="1:112" s="77" customFormat="1">
      <c r="A48" s="266" t="str">
        <f t="shared" ca="1" si="45"/>
        <v/>
      </c>
      <c r="B48" s="462"/>
      <c r="C48" s="402" t="str">
        <f ca="1">IF(DrawFinder!AB48=0,"",DrawFinder!AB48)</f>
        <v/>
      </c>
      <c r="D48" s="402" t="str">
        <f ca="1">IF(DrawFinder!AC48=0,"",DrawFinder!AC48)</f>
        <v/>
      </c>
      <c r="E48" s="402" t="str">
        <f ca="1">IF(DrawFinder!AD48=0,"",DrawFinder!AD48)</f>
        <v/>
      </c>
      <c r="F48" s="402" t="str">
        <f ca="1">IF(DrawFinder!AE48=0,"",DrawFinder!AE48)</f>
        <v/>
      </c>
      <c r="G48" s="402" t="str">
        <f ca="1">IF(DrawFinder!AF48=0,"",DrawFinder!AF48)</f>
        <v/>
      </c>
      <c r="H48" s="402" t="str">
        <f ca="1">IF(DrawFinder!AG48=0,"",DrawFinder!AG48)</f>
        <v/>
      </c>
      <c r="I48" s="402" t="str">
        <f ca="1">IF(DrawFinder!AH48=0,"",DrawFinder!AH48)</f>
        <v/>
      </c>
      <c r="J48" s="402" t="str">
        <f ca="1">IF(DrawFinder!AI48=0,"",DrawFinder!AI48)</f>
        <v/>
      </c>
      <c r="K48" s="402" t="str">
        <f ca="1">IF(DrawFinder!AJ48=0,"",DrawFinder!AJ48)</f>
        <v/>
      </c>
      <c r="L48" s="402" t="str">
        <f ca="1">IF(DrawFinder!AK48=0,"",DrawFinder!AK48)</f>
        <v/>
      </c>
      <c r="M48" s="402" t="str">
        <f ca="1">IF(DrawFinder!AL48=0,"",DrawFinder!AL48)</f>
        <v/>
      </c>
      <c r="N48" s="402" t="str">
        <f ca="1">IF(DrawFinder!AM48=0,"",DrawFinder!AM48)</f>
        <v/>
      </c>
      <c r="O48" s="402" t="str">
        <f ca="1">IF(DrawFinder!AN48=0,"",DrawFinder!AN48)</f>
        <v/>
      </c>
      <c r="P48" s="402" t="str">
        <f ca="1">IF(DrawFinder!AO48=0,"",DrawFinder!AO48)</f>
        <v/>
      </c>
      <c r="Q48" s="402" t="str">
        <f ca="1">IF(DrawFinder!AP48=0,"",DrawFinder!AP48)</f>
        <v/>
      </c>
      <c r="R48" s="402" t="str">
        <f ca="1">IF(DrawFinder!AQ48=0,"",DrawFinder!AQ48)</f>
        <v/>
      </c>
      <c r="S48" s="402" t="str">
        <f ca="1">IF(DrawFinder!AR48=0,"",DrawFinder!AR48)</f>
        <v/>
      </c>
      <c r="T48" s="402" t="str">
        <f ca="1">IF(DrawFinder!AS48=0,"",DrawFinder!AS48)</f>
        <v/>
      </c>
      <c r="U48" s="402" t="str">
        <f ca="1">IF(DrawFinder!AT48=0,"",DrawFinder!AT48)</f>
        <v/>
      </c>
      <c r="V48" s="402" t="str">
        <f ca="1">IF(DrawFinder!AU48=0,"",DrawFinder!AU48)</f>
        <v/>
      </c>
      <c r="W48" s="402" t="str">
        <f ca="1">IF(DrawFinder!AV48=0,"",DrawFinder!AV48)</f>
        <v/>
      </c>
      <c r="X48" s="402" t="str">
        <f ca="1">IF(DrawFinder!AW48=0,"",DrawFinder!AW48)</f>
        <v/>
      </c>
      <c r="Y48" s="402" t="str">
        <f ca="1">IF(DrawFinder!AX48=0,"",DrawFinder!AX48)</f>
        <v/>
      </c>
      <c r="Z48" s="402" t="str">
        <f ca="1">IF(DrawFinder!AY48=0,"",DrawFinder!AY48)</f>
        <v/>
      </c>
      <c r="AA48" s="402" t="str">
        <f ca="1">IF(DrawFinder!AZ48=0,"",DrawFinder!AZ48)</f>
        <v/>
      </c>
      <c r="AB48" s="402" t="str">
        <f ca="1">IF(DrawFinder!BA48=0,"",DrawFinder!BA48)</f>
        <v/>
      </c>
      <c r="AC48" s="402" t="str">
        <f ca="1">IF(DrawFinder!BB48=0,"",DrawFinder!BB48)</f>
        <v/>
      </c>
      <c r="AD48" s="402" t="str">
        <f ca="1">IF(DrawFinder!BC48=0,"",DrawFinder!BC48)</f>
        <v/>
      </c>
      <c r="AE48" s="402" t="str">
        <f ca="1">IF(DrawFinder!BD48=0,"",DrawFinder!BD48)</f>
        <v/>
      </c>
      <c r="AF48" s="402" t="str">
        <f ca="1">IF(DrawFinder!BE48=0,"",DrawFinder!BE48)</f>
        <v/>
      </c>
      <c r="AG48" s="402" t="str">
        <f ca="1">IF(DrawFinder!BF48=0,"",DrawFinder!BF48)</f>
        <v/>
      </c>
      <c r="AH48" s="402" t="str">
        <f ca="1">IF(DrawFinder!BG48=0,"",DrawFinder!BG48)</f>
        <v/>
      </c>
      <c r="AI48" s="402" t="str">
        <f ca="1">IF(DrawFinder!BH48=0,"",DrawFinder!BH48)</f>
        <v/>
      </c>
      <c r="AJ48" s="402" t="str">
        <f ca="1">IF(DrawFinder!BI48=0,"",DrawFinder!BI48)</f>
        <v/>
      </c>
      <c r="AK48" s="402" t="str">
        <f ca="1">IF(DrawFinder!BJ48=0,"",DrawFinder!BJ48)</f>
        <v/>
      </c>
      <c r="AL48" s="402" t="str">
        <f ca="1">IF(DrawFinder!BK48=0,"",DrawFinder!BK48)</f>
        <v/>
      </c>
      <c r="AM48" s="402" t="str">
        <f ca="1">IF(DrawFinder!BL48=0,"",DrawFinder!BL48)</f>
        <v/>
      </c>
      <c r="AN48" s="402" t="str">
        <f ca="1">IF(DrawFinder!BM48=0,"",DrawFinder!BM48)</f>
        <v/>
      </c>
      <c r="AO48" s="402" t="str">
        <f ca="1">IF(DrawFinder!BN48=0,"",DrawFinder!BN48)</f>
        <v/>
      </c>
      <c r="AP48" s="400" t="str">
        <f ca="1">IF(DrawFinder!BO48=0,"",DrawFinder!BO48)</f>
        <v/>
      </c>
      <c r="AQ48" s="81" t="str">
        <f>IF(DrawFinder!Y48=0,"",DrawFinder!Y48)</f>
        <v/>
      </c>
      <c r="AR48" s="79" t="str">
        <f t="shared" ca="1" si="46"/>
        <v/>
      </c>
      <c r="AS48" s="81" t="str">
        <f t="shared" ca="1" si="47"/>
        <v/>
      </c>
      <c r="AT48" s="84">
        <f t="shared" ca="1" si="48"/>
        <v>0</v>
      </c>
      <c r="AU48" s="336">
        <f t="shared" ca="1" si="49"/>
        <v>0</v>
      </c>
      <c r="AV48" s="336">
        <f t="shared" ca="1" si="49"/>
        <v>0</v>
      </c>
      <c r="AW48" s="336">
        <f t="shared" ca="1" si="49"/>
        <v>0</v>
      </c>
      <c r="AX48" s="336">
        <f t="shared" ca="1" si="49"/>
        <v>0</v>
      </c>
      <c r="AY48" s="336">
        <f t="shared" ca="1" si="49"/>
        <v>0</v>
      </c>
      <c r="AZ48" s="336">
        <f t="shared" ca="1" si="49"/>
        <v>0</v>
      </c>
      <c r="BA48" s="336">
        <f t="shared" ca="1" si="49"/>
        <v>0</v>
      </c>
      <c r="BB48" s="336">
        <f t="shared" ca="1" si="49"/>
        <v>0</v>
      </c>
      <c r="BC48" s="336">
        <f t="shared" ca="1" si="49"/>
        <v>0</v>
      </c>
      <c r="BD48" s="336">
        <f t="shared" ca="1" si="49"/>
        <v>0</v>
      </c>
      <c r="BE48" s="83">
        <f t="shared" ca="1" si="1"/>
        <v>0</v>
      </c>
      <c r="BF48" s="84">
        <f t="shared" ca="1" si="50"/>
        <v>0</v>
      </c>
      <c r="BH48" s="407" t="str">
        <f t="shared" ca="1" si="2"/>
        <v/>
      </c>
      <c r="BI48" s="408" t="str">
        <f t="shared" ca="1" si="3"/>
        <v/>
      </c>
      <c r="BK48" s="439">
        <f t="shared" ca="1" si="4"/>
        <v>0</v>
      </c>
      <c r="BL48" s="397">
        <f t="shared" ca="1" si="5"/>
        <v>0</v>
      </c>
      <c r="BM48" s="397">
        <f t="shared" ca="1" si="6"/>
        <v>0</v>
      </c>
      <c r="BN48" s="397">
        <f t="shared" ca="1" si="7"/>
        <v>0</v>
      </c>
      <c r="BO48" s="397">
        <f t="shared" ca="1" si="8"/>
        <v>0</v>
      </c>
      <c r="BP48" s="397">
        <f t="shared" ca="1" si="9"/>
        <v>0</v>
      </c>
      <c r="BQ48" s="397">
        <f t="shared" ca="1" si="10"/>
        <v>0</v>
      </c>
      <c r="BR48" s="397">
        <f t="shared" ca="1" si="11"/>
        <v>0</v>
      </c>
      <c r="BS48" s="397">
        <f t="shared" ca="1" si="12"/>
        <v>0</v>
      </c>
      <c r="BT48" s="397">
        <f t="shared" ca="1" si="13"/>
        <v>0</v>
      </c>
      <c r="BU48" s="397">
        <f t="shared" ca="1" si="14"/>
        <v>0</v>
      </c>
      <c r="BV48" s="397">
        <f t="shared" ca="1" si="15"/>
        <v>0</v>
      </c>
      <c r="BW48" s="397">
        <f t="shared" ca="1" si="16"/>
        <v>0</v>
      </c>
      <c r="BX48" s="397">
        <f t="shared" ca="1" si="17"/>
        <v>0</v>
      </c>
      <c r="BY48" s="397">
        <f t="shared" ca="1" si="18"/>
        <v>0</v>
      </c>
      <c r="BZ48" s="397">
        <f t="shared" ca="1" si="19"/>
        <v>0</v>
      </c>
      <c r="CA48" s="397">
        <f t="shared" ca="1" si="20"/>
        <v>0</v>
      </c>
      <c r="CB48" s="397">
        <f t="shared" ca="1" si="21"/>
        <v>0</v>
      </c>
      <c r="CC48" s="397">
        <f t="shared" ca="1" si="22"/>
        <v>0</v>
      </c>
      <c r="CD48" s="397">
        <f t="shared" ca="1" si="23"/>
        <v>0</v>
      </c>
      <c r="CE48" s="397">
        <f t="shared" ca="1" si="24"/>
        <v>0</v>
      </c>
      <c r="CF48" s="397">
        <f t="shared" ca="1" si="25"/>
        <v>0</v>
      </c>
      <c r="CG48" s="397">
        <f t="shared" ca="1" si="26"/>
        <v>0</v>
      </c>
      <c r="CH48" s="397">
        <f t="shared" ca="1" si="27"/>
        <v>0</v>
      </c>
      <c r="CI48" s="397">
        <f t="shared" ca="1" si="28"/>
        <v>0</v>
      </c>
      <c r="CJ48" s="397">
        <f t="shared" ca="1" si="29"/>
        <v>0</v>
      </c>
      <c r="CK48" s="397">
        <f t="shared" ca="1" si="30"/>
        <v>0</v>
      </c>
      <c r="CL48" s="397">
        <f t="shared" ca="1" si="31"/>
        <v>0</v>
      </c>
      <c r="CM48" s="397">
        <f t="shared" ca="1" si="32"/>
        <v>0</v>
      </c>
      <c r="CN48" s="397">
        <f t="shared" ca="1" si="33"/>
        <v>0</v>
      </c>
      <c r="CO48" s="397">
        <f t="shared" ca="1" si="34"/>
        <v>0</v>
      </c>
      <c r="CP48" s="397">
        <f t="shared" ca="1" si="35"/>
        <v>0</v>
      </c>
      <c r="CQ48" s="397">
        <f t="shared" ca="1" si="36"/>
        <v>0</v>
      </c>
      <c r="CR48" s="397">
        <f t="shared" ca="1" si="37"/>
        <v>0</v>
      </c>
      <c r="CS48" s="397">
        <f t="shared" ca="1" si="38"/>
        <v>0</v>
      </c>
      <c r="CT48" s="397">
        <f t="shared" ca="1" si="39"/>
        <v>0</v>
      </c>
      <c r="CU48" s="397">
        <f t="shared" ca="1" si="40"/>
        <v>0</v>
      </c>
      <c r="CV48" s="397">
        <f t="shared" ca="1" si="41"/>
        <v>0</v>
      </c>
      <c r="CW48" s="397">
        <f t="shared" ca="1" si="42"/>
        <v>0</v>
      </c>
      <c r="CX48" s="440">
        <f t="shared" ca="1" si="43"/>
        <v>0</v>
      </c>
      <c r="CY48" s="335">
        <f t="shared" si="44"/>
        <v>0</v>
      </c>
      <c r="CZ48" s="16"/>
      <c r="DA48" s="16"/>
      <c r="DB48" s="16"/>
      <c r="DC48" s="16"/>
      <c r="DD48" s="16"/>
      <c r="DE48" s="16"/>
      <c r="DF48" s="16"/>
      <c r="DG48" s="16"/>
      <c r="DH48" s="16"/>
    </row>
    <row r="49" spans="1:112" s="77" customFormat="1">
      <c r="A49" s="266" t="str">
        <f t="shared" ca="1" si="45"/>
        <v/>
      </c>
      <c r="B49" s="462"/>
      <c r="C49" s="402" t="str">
        <f ca="1">IF(DrawFinder!AB49=0,"",DrawFinder!AB49)</f>
        <v/>
      </c>
      <c r="D49" s="402" t="str">
        <f ca="1">IF(DrawFinder!AC49=0,"",DrawFinder!AC49)</f>
        <v/>
      </c>
      <c r="E49" s="402" t="str">
        <f ca="1">IF(DrawFinder!AD49=0,"",DrawFinder!AD49)</f>
        <v/>
      </c>
      <c r="F49" s="402" t="str">
        <f ca="1">IF(DrawFinder!AE49=0,"",DrawFinder!AE49)</f>
        <v/>
      </c>
      <c r="G49" s="402" t="str">
        <f ca="1">IF(DrawFinder!AF49=0,"",DrawFinder!AF49)</f>
        <v/>
      </c>
      <c r="H49" s="402" t="str">
        <f ca="1">IF(DrawFinder!AG49=0,"",DrawFinder!AG49)</f>
        <v/>
      </c>
      <c r="I49" s="402" t="str">
        <f ca="1">IF(DrawFinder!AH49=0,"",DrawFinder!AH49)</f>
        <v/>
      </c>
      <c r="J49" s="402" t="str">
        <f ca="1">IF(DrawFinder!AI49=0,"",DrawFinder!AI49)</f>
        <v/>
      </c>
      <c r="K49" s="402" t="str">
        <f ca="1">IF(DrawFinder!AJ49=0,"",DrawFinder!AJ49)</f>
        <v/>
      </c>
      <c r="L49" s="402" t="str">
        <f ca="1">IF(DrawFinder!AK49=0,"",DrawFinder!AK49)</f>
        <v/>
      </c>
      <c r="M49" s="402" t="str">
        <f ca="1">IF(DrawFinder!AL49=0,"",DrawFinder!AL49)</f>
        <v/>
      </c>
      <c r="N49" s="402" t="str">
        <f ca="1">IF(DrawFinder!AM49=0,"",DrawFinder!AM49)</f>
        <v/>
      </c>
      <c r="O49" s="402" t="str">
        <f ca="1">IF(DrawFinder!AN49=0,"",DrawFinder!AN49)</f>
        <v/>
      </c>
      <c r="P49" s="402" t="str">
        <f ca="1">IF(DrawFinder!AO49=0,"",DrawFinder!AO49)</f>
        <v/>
      </c>
      <c r="Q49" s="402" t="str">
        <f ca="1">IF(DrawFinder!AP49=0,"",DrawFinder!AP49)</f>
        <v/>
      </c>
      <c r="R49" s="402" t="str">
        <f ca="1">IF(DrawFinder!AQ49=0,"",DrawFinder!AQ49)</f>
        <v/>
      </c>
      <c r="S49" s="402" t="str">
        <f ca="1">IF(DrawFinder!AR49=0,"",DrawFinder!AR49)</f>
        <v/>
      </c>
      <c r="T49" s="402" t="str">
        <f ca="1">IF(DrawFinder!AS49=0,"",DrawFinder!AS49)</f>
        <v/>
      </c>
      <c r="U49" s="402" t="str">
        <f ca="1">IF(DrawFinder!AT49=0,"",DrawFinder!AT49)</f>
        <v/>
      </c>
      <c r="V49" s="402" t="str">
        <f ca="1">IF(DrawFinder!AU49=0,"",DrawFinder!AU49)</f>
        <v/>
      </c>
      <c r="W49" s="402" t="str">
        <f ca="1">IF(DrawFinder!AV49=0,"",DrawFinder!AV49)</f>
        <v/>
      </c>
      <c r="X49" s="402" t="str">
        <f ca="1">IF(DrawFinder!AW49=0,"",DrawFinder!AW49)</f>
        <v/>
      </c>
      <c r="Y49" s="402" t="str">
        <f ca="1">IF(DrawFinder!AX49=0,"",DrawFinder!AX49)</f>
        <v/>
      </c>
      <c r="Z49" s="402" t="str">
        <f ca="1">IF(DrawFinder!AY49=0,"",DrawFinder!AY49)</f>
        <v/>
      </c>
      <c r="AA49" s="402" t="str">
        <f ca="1">IF(DrawFinder!AZ49=0,"",DrawFinder!AZ49)</f>
        <v/>
      </c>
      <c r="AB49" s="402" t="str">
        <f ca="1">IF(DrawFinder!BA49=0,"",DrawFinder!BA49)</f>
        <v/>
      </c>
      <c r="AC49" s="402" t="str">
        <f ca="1">IF(DrawFinder!BB49=0,"",DrawFinder!BB49)</f>
        <v/>
      </c>
      <c r="AD49" s="402" t="str">
        <f ca="1">IF(DrawFinder!BC49=0,"",DrawFinder!BC49)</f>
        <v/>
      </c>
      <c r="AE49" s="402" t="str">
        <f ca="1">IF(DrawFinder!BD49=0,"",DrawFinder!BD49)</f>
        <v/>
      </c>
      <c r="AF49" s="402" t="str">
        <f ca="1">IF(DrawFinder!BE49=0,"",DrawFinder!BE49)</f>
        <v/>
      </c>
      <c r="AG49" s="402" t="str">
        <f ca="1">IF(DrawFinder!BF49=0,"",DrawFinder!BF49)</f>
        <v/>
      </c>
      <c r="AH49" s="402" t="str">
        <f ca="1">IF(DrawFinder!BG49=0,"",DrawFinder!BG49)</f>
        <v/>
      </c>
      <c r="AI49" s="402" t="str">
        <f ca="1">IF(DrawFinder!BH49=0,"",DrawFinder!BH49)</f>
        <v/>
      </c>
      <c r="AJ49" s="402" t="str">
        <f ca="1">IF(DrawFinder!BI49=0,"",DrawFinder!BI49)</f>
        <v/>
      </c>
      <c r="AK49" s="402" t="str">
        <f ca="1">IF(DrawFinder!BJ49=0,"",DrawFinder!BJ49)</f>
        <v/>
      </c>
      <c r="AL49" s="402" t="str">
        <f ca="1">IF(DrawFinder!BK49=0,"",DrawFinder!BK49)</f>
        <v/>
      </c>
      <c r="AM49" s="402" t="str">
        <f ca="1">IF(DrawFinder!BL49=0,"",DrawFinder!BL49)</f>
        <v/>
      </c>
      <c r="AN49" s="402" t="str">
        <f ca="1">IF(DrawFinder!BM49=0,"",DrawFinder!BM49)</f>
        <v/>
      </c>
      <c r="AO49" s="402" t="str">
        <f ca="1">IF(DrawFinder!BN49=0,"",DrawFinder!BN49)</f>
        <v/>
      </c>
      <c r="AP49" s="400" t="str">
        <f ca="1">IF(DrawFinder!BO49=0,"",DrawFinder!BO49)</f>
        <v/>
      </c>
      <c r="AQ49" s="81" t="str">
        <f>IF(DrawFinder!Y49=0,"",DrawFinder!Y49)</f>
        <v/>
      </c>
      <c r="AR49" s="79" t="str">
        <f t="shared" ca="1" si="46"/>
        <v/>
      </c>
      <c r="AS49" s="81" t="str">
        <f t="shared" ca="1" si="47"/>
        <v/>
      </c>
      <c r="AT49" s="84">
        <f t="shared" ca="1" si="48"/>
        <v>0</v>
      </c>
      <c r="AU49" s="336">
        <f t="shared" ca="1" si="49"/>
        <v>0</v>
      </c>
      <c r="AV49" s="336">
        <f t="shared" ca="1" si="49"/>
        <v>0</v>
      </c>
      <c r="AW49" s="336">
        <f t="shared" ca="1" si="49"/>
        <v>0</v>
      </c>
      <c r="AX49" s="336">
        <f t="shared" ca="1" si="49"/>
        <v>0</v>
      </c>
      <c r="AY49" s="336">
        <f t="shared" ca="1" si="49"/>
        <v>0</v>
      </c>
      <c r="AZ49" s="336">
        <f t="shared" ca="1" si="49"/>
        <v>0</v>
      </c>
      <c r="BA49" s="336">
        <f t="shared" ca="1" si="49"/>
        <v>0</v>
      </c>
      <c r="BB49" s="336">
        <f t="shared" ca="1" si="49"/>
        <v>0</v>
      </c>
      <c r="BC49" s="336">
        <f t="shared" ca="1" si="49"/>
        <v>0</v>
      </c>
      <c r="BD49" s="336">
        <f t="shared" ca="1" si="49"/>
        <v>0</v>
      </c>
      <c r="BE49" s="83">
        <f t="shared" ca="1" si="1"/>
        <v>0</v>
      </c>
      <c r="BF49" s="84">
        <f t="shared" ca="1" si="50"/>
        <v>0</v>
      </c>
      <c r="BH49" s="407" t="str">
        <f t="shared" ca="1" si="2"/>
        <v/>
      </c>
      <c r="BI49" s="408" t="str">
        <f t="shared" ca="1" si="3"/>
        <v/>
      </c>
      <c r="BK49" s="439">
        <f t="shared" ca="1" si="4"/>
        <v>0</v>
      </c>
      <c r="BL49" s="397">
        <f t="shared" ca="1" si="5"/>
        <v>0</v>
      </c>
      <c r="BM49" s="397">
        <f t="shared" ca="1" si="6"/>
        <v>0</v>
      </c>
      <c r="BN49" s="397">
        <f t="shared" ca="1" si="7"/>
        <v>0</v>
      </c>
      <c r="BO49" s="397">
        <f t="shared" ca="1" si="8"/>
        <v>0</v>
      </c>
      <c r="BP49" s="397">
        <f t="shared" ca="1" si="9"/>
        <v>0</v>
      </c>
      <c r="BQ49" s="397">
        <f t="shared" ca="1" si="10"/>
        <v>0</v>
      </c>
      <c r="BR49" s="397">
        <f t="shared" ca="1" si="11"/>
        <v>0</v>
      </c>
      <c r="BS49" s="397">
        <f t="shared" ca="1" si="12"/>
        <v>0</v>
      </c>
      <c r="BT49" s="397">
        <f t="shared" ca="1" si="13"/>
        <v>0</v>
      </c>
      <c r="BU49" s="397">
        <f t="shared" ca="1" si="14"/>
        <v>0</v>
      </c>
      <c r="BV49" s="397">
        <f t="shared" ca="1" si="15"/>
        <v>0</v>
      </c>
      <c r="BW49" s="397">
        <f t="shared" ca="1" si="16"/>
        <v>0</v>
      </c>
      <c r="BX49" s="397">
        <f t="shared" ca="1" si="17"/>
        <v>0</v>
      </c>
      <c r="BY49" s="397">
        <f t="shared" ca="1" si="18"/>
        <v>0</v>
      </c>
      <c r="BZ49" s="397">
        <f t="shared" ca="1" si="19"/>
        <v>0</v>
      </c>
      <c r="CA49" s="397">
        <f t="shared" ca="1" si="20"/>
        <v>0</v>
      </c>
      <c r="CB49" s="397">
        <f t="shared" ca="1" si="21"/>
        <v>0</v>
      </c>
      <c r="CC49" s="397">
        <f t="shared" ca="1" si="22"/>
        <v>0</v>
      </c>
      <c r="CD49" s="397">
        <f t="shared" ca="1" si="23"/>
        <v>0</v>
      </c>
      <c r="CE49" s="397">
        <f t="shared" ca="1" si="24"/>
        <v>0</v>
      </c>
      <c r="CF49" s="397">
        <f t="shared" ca="1" si="25"/>
        <v>0</v>
      </c>
      <c r="CG49" s="397">
        <f t="shared" ca="1" si="26"/>
        <v>0</v>
      </c>
      <c r="CH49" s="397">
        <f t="shared" ca="1" si="27"/>
        <v>0</v>
      </c>
      <c r="CI49" s="397">
        <f t="shared" ca="1" si="28"/>
        <v>0</v>
      </c>
      <c r="CJ49" s="397">
        <f t="shared" ca="1" si="29"/>
        <v>0</v>
      </c>
      <c r="CK49" s="397">
        <f t="shared" ca="1" si="30"/>
        <v>0</v>
      </c>
      <c r="CL49" s="397">
        <f t="shared" ca="1" si="31"/>
        <v>0</v>
      </c>
      <c r="CM49" s="397">
        <f t="shared" ca="1" si="32"/>
        <v>0</v>
      </c>
      <c r="CN49" s="397">
        <f t="shared" ca="1" si="33"/>
        <v>0</v>
      </c>
      <c r="CO49" s="397">
        <f t="shared" ca="1" si="34"/>
        <v>0</v>
      </c>
      <c r="CP49" s="397">
        <f t="shared" ca="1" si="35"/>
        <v>0</v>
      </c>
      <c r="CQ49" s="397">
        <f t="shared" ca="1" si="36"/>
        <v>0</v>
      </c>
      <c r="CR49" s="397">
        <f t="shared" ca="1" si="37"/>
        <v>0</v>
      </c>
      <c r="CS49" s="397">
        <f t="shared" ca="1" si="38"/>
        <v>0</v>
      </c>
      <c r="CT49" s="397">
        <f t="shared" ca="1" si="39"/>
        <v>0</v>
      </c>
      <c r="CU49" s="397">
        <f t="shared" ca="1" si="40"/>
        <v>0</v>
      </c>
      <c r="CV49" s="397">
        <f t="shared" ca="1" si="41"/>
        <v>0</v>
      </c>
      <c r="CW49" s="397">
        <f t="shared" ca="1" si="42"/>
        <v>0</v>
      </c>
      <c r="CX49" s="440">
        <f t="shared" ca="1" si="43"/>
        <v>0</v>
      </c>
      <c r="CY49" s="335">
        <f t="shared" si="44"/>
        <v>0</v>
      </c>
      <c r="CZ49" s="16"/>
      <c r="DA49" s="16"/>
      <c r="DB49" s="16"/>
      <c r="DC49" s="16"/>
      <c r="DD49" s="16"/>
      <c r="DE49" s="16"/>
      <c r="DF49" s="16"/>
      <c r="DG49" s="16"/>
      <c r="DH49" s="16"/>
    </row>
    <row r="50" spans="1:112" s="77" customFormat="1">
      <c r="A50" s="266" t="str">
        <f t="shared" ca="1" si="45"/>
        <v/>
      </c>
      <c r="B50" s="462"/>
      <c r="C50" s="402" t="str">
        <f ca="1">IF(DrawFinder!AB50=0,"",DrawFinder!AB50)</f>
        <v/>
      </c>
      <c r="D50" s="402" t="str">
        <f ca="1">IF(DrawFinder!AC50=0,"",DrawFinder!AC50)</f>
        <v/>
      </c>
      <c r="E50" s="402" t="str">
        <f ca="1">IF(DrawFinder!AD50=0,"",DrawFinder!AD50)</f>
        <v/>
      </c>
      <c r="F50" s="402" t="str">
        <f ca="1">IF(DrawFinder!AE50=0,"",DrawFinder!AE50)</f>
        <v/>
      </c>
      <c r="G50" s="402" t="str">
        <f ca="1">IF(DrawFinder!AF50=0,"",DrawFinder!AF50)</f>
        <v/>
      </c>
      <c r="H50" s="402" t="str">
        <f ca="1">IF(DrawFinder!AG50=0,"",DrawFinder!AG50)</f>
        <v/>
      </c>
      <c r="I50" s="402" t="str">
        <f ca="1">IF(DrawFinder!AH50=0,"",DrawFinder!AH50)</f>
        <v/>
      </c>
      <c r="J50" s="402" t="str">
        <f ca="1">IF(DrawFinder!AI50=0,"",DrawFinder!AI50)</f>
        <v/>
      </c>
      <c r="K50" s="402" t="str">
        <f ca="1">IF(DrawFinder!AJ50=0,"",DrawFinder!AJ50)</f>
        <v/>
      </c>
      <c r="L50" s="402" t="str">
        <f ca="1">IF(DrawFinder!AK50=0,"",DrawFinder!AK50)</f>
        <v/>
      </c>
      <c r="M50" s="402" t="str">
        <f ca="1">IF(DrawFinder!AL50=0,"",DrawFinder!AL50)</f>
        <v/>
      </c>
      <c r="N50" s="402" t="str">
        <f ca="1">IF(DrawFinder!AM50=0,"",DrawFinder!AM50)</f>
        <v/>
      </c>
      <c r="O50" s="402" t="str">
        <f ca="1">IF(DrawFinder!AN50=0,"",DrawFinder!AN50)</f>
        <v/>
      </c>
      <c r="P50" s="402" t="str">
        <f ca="1">IF(DrawFinder!AO50=0,"",DrawFinder!AO50)</f>
        <v/>
      </c>
      <c r="Q50" s="402" t="str">
        <f ca="1">IF(DrawFinder!AP50=0,"",DrawFinder!AP50)</f>
        <v/>
      </c>
      <c r="R50" s="402" t="str">
        <f ca="1">IF(DrawFinder!AQ50=0,"",DrawFinder!AQ50)</f>
        <v/>
      </c>
      <c r="S50" s="402" t="str">
        <f ca="1">IF(DrawFinder!AR50=0,"",DrawFinder!AR50)</f>
        <v/>
      </c>
      <c r="T50" s="402" t="str">
        <f ca="1">IF(DrawFinder!AS50=0,"",DrawFinder!AS50)</f>
        <v/>
      </c>
      <c r="U50" s="402" t="str">
        <f ca="1">IF(DrawFinder!AT50=0,"",DrawFinder!AT50)</f>
        <v/>
      </c>
      <c r="V50" s="402" t="str">
        <f ca="1">IF(DrawFinder!AU50=0,"",DrawFinder!AU50)</f>
        <v/>
      </c>
      <c r="W50" s="402" t="str">
        <f ca="1">IF(DrawFinder!AV50=0,"",DrawFinder!AV50)</f>
        <v/>
      </c>
      <c r="X50" s="402" t="str">
        <f ca="1">IF(DrawFinder!AW50=0,"",DrawFinder!AW50)</f>
        <v/>
      </c>
      <c r="Y50" s="402" t="str">
        <f ca="1">IF(DrawFinder!AX50=0,"",DrawFinder!AX50)</f>
        <v/>
      </c>
      <c r="Z50" s="402" t="str">
        <f ca="1">IF(DrawFinder!AY50=0,"",DrawFinder!AY50)</f>
        <v/>
      </c>
      <c r="AA50" s="402" t="str">
        <f ca="1">IF(DrawFinder!AZ50=0,"",DrawFinder!AZ50)</f>
        <v/>
      </c>
      <c r="AB50" s="402" t="str">
        <f ca="1">IF(DrawFinder!BA50=0,"",DrawFinder!BA50)</f>
        <v/>
      </c>
      <c r="AC50" s="402" t="str">
        <f ca="1">IF(DrawFinder!BB50=0,"",DrawFinder!BB50)</f>
        <v/>
      </c>
      <c r="AD50" s="402" t="str">
        <f ca="1">IF(DrawFinder!BC50=0,"",DrawFinder!BC50)</f>
        <v/>
      </c>
      <c r="AE50" s="402" t="str">
        <f ca="1">IF(DrawFinder!BD50=0,"",DrawFinder!BD50)</f>
        <v/>
      </c>
      <c r="AF50" s="402" t="str">
        <f ca="1">IF(DrawFinder!BE50=0,"",DrawFinder!BE50)</f>
        <v/>
      </c>
      <c r="AG50" s="402" t="str">
        <f ca="1">IF(DrawFinder!BF50=0,"",DrawFinder!BF50)</f>
        <v/>
      </c>
      <c r="AH50" s="402" t="str">
        <f ca="1">IF(DrawFinder!BG50=0,"",DrawFinder!BG50)</f>
        <v/>
      </c>
      <c r="AI50" s="402" t="str">
        <f ca="1">IF(DrawFinder!BH50=0,"",DrawFinder!BH50)</f>
        <v/>
      </c>
      <c r="AJ50" s="402" t="str">
        <f ca="1">IF(DrawFinder!BI50=0,"",DrawFinder!BI50)</f>
        <v/>
      </c>
      <c r="AK50" s="402" t="str">
        <f ca="1">IF(DrawFinder!BJ50=0,"",DrawFinder!BJ50)</f>
        <v/>
      </c>
      <c r="AL50" s="402" t="str">
        <f ca="1">IF(DrawFinder!BK50=0,"",DrawFinder!BK50)</f>
        <v/>
      </c>
      <c r="AM50" s="402" t="str">
        <f ca="1">IF(DrawFinder!BL50=0,"",DrawFinder!BL50)</f>
        <v/>
      </c>
      <c r="AN50" s="402" t="str">
        <f ca="1">IF(DrawFinder!BM50=0,"",DrawFinder!BM50)</f>
        <v/>
      </c>
      <c r="AO50" s="402" t="str">
        <f ca="1">IF(DrawFinder!BN50=0,"",DrawFinder!BN50)</f>
        <v/>
      </c>
      <c r="AP50" s="400" t="str">
        <f ca="1">IF(DrawFinder!BO50=0,"",DrawFinder!BO50)</f>
        <v/>
      </c>
      <c r="AQ50" s="81" t="str">
        <f>IF(DrawFinder!Y50=0,"",DrawFinder!Y50)</f>
        <v/>
      </c>
      <c r="AR50" s="79" t="str">
        <f t="shared" ca="1" si="46"/>
        <v/>
      </c>
      <c r="AS50" s="81" t="str">
        <f t="shared" ca="1" si="47"/>
        <v/>
      </c>
      <c r="AT50" s="84">
        <f t="shared" ca="1" si="48"/>
        <v>0</v>
      </c>
      <c r="AU50" s="336">
        <f t="shared" ca="1" si="49"/>
        <v>0</v>
      </c>
      <c r="AV50" s="336">
        <f t="shared" ca="1" si="49"/>
        <v>0</v>
      </c>
      <c r="AW50" s="336">
        <f t="shared" ca="1" si="49"/>
        <v>0</v>
      </c>
      <c r="AX50" s="336">
        <f t="shared" ca="1" si="49"/>
        <v>0</v>
      </c>
      <c r="AY50" s="336">
        <f t="shared" ca="1" si="49"/>
        <v>0</v>
      </c>
      <c r="AZ50" s="336">
        <f t="shared" ca="1" si="49"/>
        <v>0</v>
      </c>
      <c r="BA50" s="336">
        <f t="shared" ca="1" si="49"/>
        <v>0</v>
      </c>
      <c r="BB50" s="336">
        <f t="shared" ca="1" si="49"/>
        <v>0</v>
      </c>
      <c r="BC50" s="336">
        <f t="shared" ca="1" si="49"/>
        <v>0</v>
      </c>
      <c r="BD50" s="336">
        <f t="shared" ca="1" si="49"/>
        <v>0</v>
      </c>
      <c r="BE50" s="83">
        <f t="shared" ca="1" si="1"/>
        <v>0</v>
      </c>
      <c r="BF50" s="84">
        <f t="shared" ca="1" si="50"/>
        <v>0</v>
      </c>
      <c r="BH50" s="407" t="str">
        <f t="shared" ca="1" si="2"/>
        <v/>
      </c>
      <c r="BI50" s="408" t="str">
        <f t="shared" ca="1" si="3"/>
        <v/>
      </c>
      <c r="BK50" s="439">
        <f t="shared" ca="1" si="4"/>
        <v>0</v>
      </c>
      <c r="BL50" s="397">
        <f t="shared" ca="1" si="5"/>
        <v>0</v>
      </c>
      <c r="BM50" s="397">
        <f t="shared" ca="1" si="6"/>
        <v>0</v>
      </c>
      <c r="BN50" s="397">
        <f t="shared" ca="1" si="7"/>
        <v>0</v>
      </c>
      <c r="BO50" s="397">
        <f t="shared" ca="1" si="8"/>
        <v>0</v>
      </c>
      <c r="BP50" s="397">
        <f t="shared" ca="1" si="9"/>
        <v>0</v>
      </c>
      <c r="BQ50" s="397">
        <f t="shared" ca="1" si="10"/>
        <v>0</v>
      </c>
      <c r="BR50" s="397">
        <f t="shared" ca="1" si="11"/>
        <v>0</v>
      </c>
      <c r="BS50" s="397">
        <f t="shared" ca="1" si="12"/>
        <v>0</v>
      </c>
      <c r="BT50" s="397">
        <f t="shared" ca="1" si="13"/>
        <v>0</v>
      </c>
      <c r="BU50" s="397">
        <f t="shared" ca="1" si="14"/>
        <v>0</v>
      </c>
      <c r="BV50" s="397">
        <f t="shared" ca="1" si="15"/>
        <v>0</v>
      </c>
      <c r="BW50" s="397">
        <f t="shared" ca="1" si="16"/>
        <v>0</v>
      </c>
      <c r="BX50" s="397">
        <f t="shared" ca="1" si="17"/>
        <v>0</v>
      </c>
      <c r="BY50" s="397">
        <f t="shared" ca="1" si="18"/>
        <v>0</v>
      </c>
      <c r="BZ50" s="397">
        <f t="shared" ca="1" si="19"/>
        <v>0</v>
      </c>
      <c r="CA50" s="397">
        <f t="shared" ca="1" si="20"/>
        <v>0</v>
      </c>
      <c r="CB50" s="397">
        <f t="shared" ca="1" si="21"/>
        <v>0</v>
      </c>
      <c r="CC50" s="397">
        <f t="shared" ca="1" si="22"/>
        <v>0</v>
      </c>
      <c r="CD50" s="397">
        <f t="shared" ca="1" si="23"/>
        <v>0</v>
      </c>
      <c r="CE50" s="397">
        <f t="shared" ca="1" si="24"/>
        <v>0</v>
      </c>
      <c r="CF50" s="397">
        <f t="shared" ca="1" si="25"/>
        <v>0</v>
      </c>
      <c r="CG50" s="397">
        <f t="shared" ca="1" si="26"/>
        <v>0</v>
      </c>
      <c r="CH50" s="397">
        <f t="shared" ca="1" si="27"/>
        <v>0</v>
      </c>
      <c r="CI50" s="397">
        <f t="shared" ca="1" si="28"/>
        <v>0</v>
      </c>
      <c r="CJ50" s="397">
        <f t="shared" ca="1" si="29"/>
        <v>0</v>
      </c>
      <c r="CK50" s="397">
        <f t="shared" ca="1" si="30"/>
        <v>0</v>
      </c>
      <c r="CL50" s="397">
        <f t="shared" ca="1" si="31"/>
        <v>0</v>
      </c>
      <c r="CM50" s="397">
        <f t="shared" ca="1" si="32"/>
        <v>0</v>
      </c>
      <c r="CN50" s="397">
        <f t="shared" ca="1" si="33"/>
        <v>0</v>
      </c>
      <c r="CO50" s="397">
        <f t="shared" ca="1" si="34"/>
        <v>0</v>
      </c>
      <c r="CP50" s="397">
        <f t="shared" ca="1" si="35"/>
        <v>0</v>
      </c>
      <c r="CQ50" s="397">
        <f t="shared" ca="1" si="36"/>
        <v>0</v>
      </c>
      <c r="CR50" s="397">
        <f t="shared" ca="1" si="37"/>
        <v>0</v>
      </c>
      <c r="CS50" s="397">
        <f t="shared" ca="1" si="38"/>
        <v>0</v>
      </c>
      <c r="CT50" s="397">
        <f t="shared" ca="1" si="39"/>
        <v>0</v>
      </c>
      <c r="CU50" s="397">
        <f t="shared" ca="1" si="40"/>
        <v>0</v>
      </c>
      <c r="CV50" s="397">
        <f t="shared" ca="1" si="41"/>
        <v>0</v>
      </c>
      <c r="CW50" s="397">
        <f t="shared" ca="1" si="42"/>
        <v>0</v>
      </c>
      <c r="CX50" s="440">
        <f t="shared" ca="1" si="43"/>
        <v>0</v>
      </c>
      <c r="CY50" s="335">
        <f t="shared" si="44"/>
        <v>0</v>
      </c>
      <c r="CZ50" s="16"/>
      <c r="DA50" s="16"/>
      <c r="DB50" s="16"/>
      <c r="DC50" s="16"/>
      <c r="DD50" s="16"/>
      <c r="DE50" s="16"/>
      <c r="DF50" s="16"/>
      <c r="DG50" s="16"/>
      <c r="DH50" s="16"/>
    </row>
    <row r="51" spans="1:112" s="77" customFormat="1">
      <c r="A51" s="266" t="str">
        <f t="shared" ca="1" si="45"/>
        <v/>
      </c>
      <c r="B51" s="462"/>
      <c r="C51" s="402" t="str">
        <f ca="1">IF(DrawFinder!AB51=0,"",DrawFinder!AB51)</f>
        <v/>
      </c>
      <c r="D51" s="402" t="str">
        <f ca="1">IF(DrawFinder!AC51=0,"",DrawFinder!AC51)</f>
        <v/>
      </c>
      <c r="E51" s="402" t="str">
        <f ca="1">IF(DrawFinder!AD51=0,"",DrawFinder!AD51)</f>
        <v/>
      </c>
      <c r="F51" s="402" t="str">
        <f ca="1">IF(DrawFinder!AE51=0,"",DrawFinder!AE51)</f>
        <v/>
      </c>
      <c r="G51" s="402" t="str">
        <f ca="1">IF(DrawFinder!AF51=0,"",DrawFinder!AF51)</f>
        <v/>
      </c>
      <c r="H51" s="402" t="str">
        <f ca="1">IF(DrawFinder!AG51=0,"",DrawFinder!AG51)</f>
        <v/>
      </c>
      <c r="I51" s="402" t="str">
        <f ca="1">IF(DrawFinder!AH51=0,"",DrawFinder!AH51)</f>
        <v/>
      </c>
      <c r="J51" s="402" t="str">
        <f ca="1">IF(DrawFinder!AI51=0,"",DrawFinder!AI51)</f>
        <v/>
      </c>
      <c r="K51" s="402" t="str">
        <f ca="1">IF(DrawFinder!AJ51=0,"",DrawFinder!AJ51)</f>
        <v/>
      </c>
      <c r="L51" s="402" t="str">
        <f ca="1">IF(DrawFinder!AK51=0,"",DrawFinder!AK51)</f>
        <v/>
      </c>
      <c r="M51" s="402" t="str">
        <f ca="1">IF(DrawFinder!AL51=0,"",DrawFinder!AL51)</f>
        <v/>
      </c>
      <c r="N51" s="402" t="str">
        <f ca="1">IF(DrawFinder!AM51=0,"",DrawFinder!AM51)</f>
        <v/>
      </c>
      <c r="O51" s="402" t="str">
        <f ca="1">IF(DrawFinder!AN51=0,"",DrawFinder!AN51)</f>
        <v/>
      </c>
      <c r="P51" s="402" t="str">
        <f ca="1">IF(DrawFinder!AO51=0,"",DrawFinder!AO51)</f>
        <v/>
      </c>
      <c r="Q51" s="402" t="str">
        <f ca="1">IF(DrawFinder!AP51=0,"",DrawFinder!AP51)</f>
        <v/>
      </c>
      <c r="R51" s="402" t="str">
        <f ca="1">IF(DrawFinder!AQ51=0,"",DrawFinder!AQ51)</f>
        <v/>
      </c>
      <c r="S51" s="402" t="str">
        <f ca="1">IF(DrawFinder!AR51=0,"",DrawFinder!AR51)</f>
        <v/>
      </c>
      <c r="T51" s="402" t="str">
        <f ca="1">IF(DrawFinder!AS51=0,"",DrawFinder!AS51)</f>
        <v/>
      </c>
      <c r="U51" s="402" t="str">
        <f ca="1">IF(DrawFinder!AT51=0,"",DrawFinder!AT51)</f>
        <v/>
      </c>
      <c r="V51" s="402" t="str">
        <f ca="1">IF(DrawFinder!AU51=0,"",DrawFinder!AU51)</f>
        <v/>
      </c>
      <c r="W51" s="402" t="str">
        <f ca="1">IF(DrawFinder!AV51=0,"",DrawFinder!AV51)</f>
        <v/>
      </c>
      <c r="X51" s="402" t="str">
        <f ca="1">IF(DrawFinder!AW51=0,"",DrawFinder!AW51)</f>
        <v/>
      </c>
      <c r="Y51" s="402" t="str">
        <f ca="1">IF(DrawFinder!AX51=0,"",DrawFinder!AX51)</f>
        <v/>
      </c>
      <c r="Z51" s="402" t="str">
        <f ca="1">IF(DrawFinder!AY51=0,"",DrawFinder!AY51)</f>
        <v/>
      </c>
      <c r="AA51" s="402" t="str">
        <f ca="1">IF(DrawFinder!AZ51=0,"",DrawFinder!AZ51)</f>
        <v/>
      </c>
      <c r="AB51" s="402" t="str">
        <f ca="1">IF(DrawFinder!BA51=0,"",DrawFinder!BA51)</f>
        <v/>
      </c>
      <c r="AC51" s="402" t="str">
        <f ca="1">IF(DrawFinder!BB51=0,"",DrawFinder!BB51)</f>
        <v/>
      </c>
      <c r="AD51" s="402" t="str">
        <f ca="1">IF(DrawFinder!BC51=0,"",DrawFinder!BC51)</f>
        <v/>
      </c>
      <c r="AE51" s="402" t="str">
        <f ca="1">IF(DrawFinder!BD51=0,"",DrawFinder!BD51)</f>
        <v/>
      </c>
      <c r="AF51" s="402" t="str">
        <f ca="1">IF(DrawFinder!BE51=0,"",DrawFinder!BE51)</f>
        <v/>
      </c>
      <c r="AG51" s="402" t="str">
        <f ca="1">IF(DrawFinder!BF51=0,"",DrawFinder!BF51)</f>
        <v/>
      </c>
      <c r="AH51" s="402" t="str">
        <f ca="1">IF(DrawFinder!BG51=0,"",DrawFinder!BG51)</f>
        <v/>
      </c>
      <c r="AI51" s="402" t="str">
        <f ca="1">IF(DrawFinder!BH51=0,"",DrawFinder!BH51)</f>
        <v/>
      </c>
      <c r="AJ51" s="402" t="str">
        <f ca="1">IF(DrawFinder!BI51=0,"",DrawFinder!BI51)</f>
        <v/>
      </c>
      <c r="AK51" s="402" t="str">
        <f ca="1">IF(DrawFinder!BJ51=0,"",DrawFinder!BJ51)</f>
        <v/>
      </c>
      <c r="AL51" s="402" t="str">
        <f ca="1">IF(DrawFinder!BK51=0,"",DrawFinder!BK51)</f>
        <v/>
      </c>
      <c r="AM51" s="402" t="str">
        <f ca="1">IF(DrawFinder!BL51=0,"",DrawFinder!BL51)</f>
        <v/>
      </c>
      <c r="AN51" s="402" t="str">
        <f ca="1">IF(DrawFinder!BM51=0,"",DrawFinder!BM51)</f>
        <v/>
      </c>
      <c r="AO51" s="402" t="str">
        <f ca="1">IF(DrawFinder!BN51=0,"",DrawFinder!BN51)</f>
        <v/>
      </c>
      <c r="AP51" s="400" t="str">
        <f ca="1">IF(DrawFinder!BO51=0,"",DrawFinder!BO51)</f>
        <v/>
      </c>
      <c r="AQ51" s="81" t="str">
        <f>IF(DrawFinder!Y51=0,"",DrawFinder!Y51)</f>
        <v/>
      </c>
      <c r="AR51" s="79" t="str">
        <f t="shared" ca="1" si="46"/>
        <v/>
      </c>
      <c r="AS51" s="81" t="str">
        <f t="shared" ca="1" si="47"/>
        <v/>
      </c>
      <c r="AT51" s="84">
        <f t="shared" ca="1" si="48"/>
        <v>0</v>
      </c>
      <c r="AU51" s="336">
        <f t="shared" ref="AU51:BD58" ca="1" si="51">COUNTIF($C51:$AP51,AU$9)+COUNTIF($C51:$AP51,(AU$9*-1))</f>
        <v>0</v>
      </c>
      <c r="AV51" s="336">
        <f t="shared" ca="1" si="51"/>
        <v>0</v>
      </c>
      <c r="AW51" s="336">
        <f t="shared" ca="1" si="51"/>
        <v>0</v>
      </c>
      <c r="AX51" s="336">
        <f t="shared" ca="1" si="51"/>
        <v>0</v>
      </c>
      <c r="AY51" s="336">
        <f t="shared" ca="1" si="51"/>
        <v>0</v>
      </c>
      <c r="AZ51" s="336">
        <f t="shared" ca="1" si="51"/>
        <v>0</v>
      </c>
      <c r="BA51" s="336">
        <f t="shared" ca="1" si="51"/>
        <v>0</v>
      </c>
      <c r="BB51" s="336">
        <f t="shared" ca="1" si="51"/>
        <v>0</v>
      </c>
      <c r="BC51" s="336">
        <f t="shared" ca="1" si="51"/>
        <v>0</v>
      </c>
      <c r="BD51" s="336">
        <f t="shared" ca="1" si="51"/>
        <v>0</v>
      </c>
      <c r="BE51" s="83">
        <f t="shared" ca="1" si="1"/>
        <v>0</v>
      </c>
      <c r="BF51" s="84">
        <f t="shared" ca="1" si="50"/>
        <v>0</v>
      </c>
      <c r="BH51" s="407" t="str">
        <f t="shared" ca="1" si="2"/>
        <v/>
      </c>
      <c r="BI51" s="408" t="str">
        <f t="shared" ca="1" si="3"/>
        <v/>
      </c>
      <c r="BK51" s="439">
        <f t="shared" ca="1" si="4"/>
        <v>0</v>
      </c>
      <c r="BL51" s="397">
        <f t="shared" ca="1" si="5"/>
        <v>0</v>
      </c>
      <c r="BM51" s="397">
        <f t="shared" ca="1" si="6"/>
        <v>0</v>
      </c>
      <c r="BN51" s="397">
        <f t="shared" ca="1" si="7"/>
        <v>0</v>
      </c>
      <c r="BO51" s="397">
        <f t="shared" ca="1" si="8"/>
        <v>0</v>
      </c>
      <c r="BP51" s="397">
        <f t="shared" ca="1" si="9"/>
        <v>0</v>
      </c>
      <c r="BQ51" s="397">
        <f t="shared" ca="1" si="10"/>
        <v>0</v>
      </c>
      <c r="BR51" s="397">
        <f t="shared" ca="1" si="11"/>
        <v>0</v>
      </c>
      <c r="BS51" s="397">
        <f t="shared" ca="1" si="12"/>
        <v>0</v>
      </c>
      <c r="BT51" s="397">
        <f t="shared" ca="1" si="13"/>
        <v>0</v>
      </c>
      <c r="BU51" s="397">
        <f t="shared" ca="1" si="14"/>
        <v>0</v>
      </c>
      <c r="BV51" s="397">
        <f t="shared" ca="1" si="15"/>
        <v>0</v>
      </c>
      <c r="BW51" s="397">
        <f t="shared" ca="1" si="16"/>
        <v>0</v>
      </c>
      <c r="BX51" s="397">
        <f t="shared" ca="1" si="17"/>
        <v>0</v>
      </c>
      <c r="BY51" s="397">
        <f t="shared" ca="1" si="18"/>
        <v>0</v>
      </c>
      <c r="BZ51" s="397">
        <f t="shared" ca="1" si="19"/>
        <v>0</v>
      </c>
      <c r="CA51" s="397">
        <f t="shared" ca="1" si="20"/>
        <v>0</v>
      </c>
      <c r="CB51" s="397">
        <f t="shared" ca="1" si="21"/>
        <v>0</v>
      </c>
      <c r="CC51" s="397">
        <f t="shared" ca="1" si="22"/>
        <v>0</v>
      </c>
      <c r="CD51" s="397">
        <f t="shared" ca="1" si="23"/>
        <v>0</v>
      </c>
      <c r="CE51" s="397">
        <f t="shared" ca="1" si="24"/>
        <v>0</v>
      </c>
      <c r="CF51" s="397">
        <f t="shared" ca="1" si="25"/>
        <v>0</v>
      </c>
      <c r="CG51" s="397">
        <f t="shared" ca="1" si="26"/>
        <v>0</v>
      </c>
      <c r="CH51" s="397">
        <f t="shared" ca="1" si="27"/>
        <v>0</v>
      </c>
      <c r="CI51" s="397">
        <f t="shared" ca="1" si="28"/>
        <v>0</v>
      </c>
      <c r="CJ51" s="397">
        <f t="shared" ca="1" si="29"/>
        <v>0</v>
      </c>
      <c r="CK51" s="397">
        <f t="shared" ca="1" si="30"/>
        <v>0</v>
      </c>
      <c r="CL51" s="397">
        <f t="shared" ca="1" si="31"/>
        <v>0</v>
      </c>
      <c r="CM51" s="397">
        <f t="shared" ca="1" si="32"/>
        <v>0</v>
      </c>
      <c r="CN51" s="397">
        <f t="shared" ca="1" si="33"/>
        <v>0</v>
      </c>
      <c r="CO51" s="397">
        <f t="shared" ca="1" si="34"/>
        <v>0</v>
      </c>
      <c r="CP51" s="397">
        <f t="shared" ca="1" si="35"/>
        <v>0</v>
      </c>
      <c r="CQ51" s="397">
        <f t="shared" ca="1" si="36"/>
        <v>0</v>
      </c>
      <c r="CR51" s="397">
        <f t="shared" ca="1" si="37"/>
        <v>0</v>
      </c>
      <c r="CS51" s="397">
        <f t="shared" ca="1" si="38"/>
        <v>0</v>
      </c>
      <c r="CT51" s="397">
        <f t="shared" ca="1" si="39"/>
        <v>0</v>
      </c>
      <c r="CU51" s="397">
        <f t="shared" ca="1" si="40"/>
        <v>0</v>
      </c>
      <c r="CV51" s="397">
        <f t="shared" ca="1" si="41"/>
        <v>0</v>
      </c>
      <c r="CW51" s="397">
        <f t="shared" ca="1" si="42"/>
        <v>0</v>
      </c>
      <c r="CX51" s="440">
        <f t="shared" ca="1" si="43"/>
        <v>0</v>
      </c>
      <c r="CY51" s="335">
        <f t="shared" si="44"/>
        <v>0</v>
      </c>
      <c r="CZ51" s="16"/>
      <c r="DA51" s="16"/>
      <c r="DB51" s="16"/>
      <c r="DC51" s="16"/>
      <c r="DD51" s="16"/>
      <c r="DE51" s="16"/>
      <c r="DF51" s="16"/>
      <c r="DG51" s="16"/>
      <c r="DH51" s="16"/>
    </row>
    <row r="52" spans="1:112" s="77" customFormat="1">
      <c r="A52" s="266" t="str">
        <f t="shared" ca="1" si="45"/>
        <v/>
      </c>
      <c r="B52" s="462"/>
      <c r="C52" s="402" t="str">
        <f ca="1">IF(DrawFinder!AB52=0,"",DrawFinder!AB52)</f>
        <v/>
      </c>
      <c r="D52" s="402" t="str">
        <f ca="1">IF(DrawFinder!AC52=0,"",DrawFinder!AC52)</f>
        <v/>
      </c>
      <c r="E52" s="402" t="str">
        <f ca="1">IF(DrawFinder!AD52=0,"",DrawFinder!AD52)</f>
        <v/>
      </c>
      <c r="F52" s="402" t="str">
        <f ca="1">IF(DrawFinder!AE52=0,"",DrawFinder!AE52)</f>
        <v/>
      </c>
      <c r="G52" s="402" t="str">
        <f ca="1">IF(DrawFinder!AF52=0,"",DrawFinder!AF52)</f>
        <v/>
      </c>
      <c r="H52" s="402" t="str">
        <f ca="1">IF(DrawFinder!AG52=0,"",DrawFinder!AG52)</f>
        <v/>
      </c>
      <c r="I52" s="402" t="str">
        <f ca="1">IF(DrawFinder!AH52=0,"",DrawFinder!AH52)</f>
        <v/>
      </c>
      <c r="J52" s="402" t="str">
        <f ca="1">IF(DrawFinder!AI52=0,"",DrawFinder!AI52)</f>
        <v/>
      </c>
      <c r="K52" s="402" t="str">
        <f ca="1">IF(DrawFinder!AJ52=0,"",DrawFinder!AJ52)</f>
        <v/>
      </c>
      <c r="L52" s="402" t="str">
        <f ca="1">IF(DrawFinder!AK52=0,"",DrawFinder!AK52)</f>
        <v/>
      </c>
      <c r="M52" s="402" t="str">
        <f ca="1">IF(DrawFinder!AL52=0,"",DrawFinder!AL52)</f>
        <v/>
      </c>
      <c r="N52" s="402" t="str">
        <f ca="1">IF(DrawFinder!AM52=0,"",DrawFinder!AM52)</f>
        <v/>
      </c>
      <c r="O52" s="402" t="str">
        <f ca="1">IF(DrawFinder!AN52=0,"",DrawFinder!AN52)</f>
        <v/>
      </c>
      <c r="P52" s="402" t="str">
        <f ca="1">IF(DrawFinder!AO52=0,"",DrawFinder!AO52)</f>
        <v/>
      </c>
      <c r="Q52" s="402" t="str">
        <f ca="1">IF(DrawFinder!AP52=0,"",DrawFinder!AP52)</f>
        <v/>
      </c>
      <c r="R52" s="402" t="str">
        <f ca="1">IF(DrawFinder!AQ52=0,"",DrawFinder!AQ52)</f>
        <v/>
      </c>
      <c r="S52" s="402" t="str">
        <f ca="1">IF(DrawFinder!AR52=0,"",DrawFinder!AR52)</f>
        <v/>
      </c>
      <c r="T52" s="402" t="str">
        <f ca="1">IF(DrawFinder!AS52=0,"",DrawFinder!AS52)</f>
        <v/>
      </c>
      <c r="U52" s="402" t="str">
        <f ca="1">IF(DrawFinder!AT52=0,"",DrawFinder!AT52)</f>
        <v/>
      </c>
      <c r="V52" s="402" t="str">
        <f ca="1">IF(DrawFinder!AU52=0,"",DrawFinder!AU52)</f>
        <v/>
      </c>
      <c r="W52" s="402" t="str">
        <f ca="1">IF(DrawFinder!AV52=0,"",DrawFinder!AV52)</f>
        <v/>
      </c>
      <c r="X52" s="402" t="str">
        <f ca="1">IF(DrawFinder!AW52=0,"",DrawFinder!AW52)</f>
        <v/>
      </c>
      <c r="Y52" s="402" t="str">
        <f ca="1">IF(DrawFinder!AX52=0,"",DrawFinder!AX52)</f>
        <v/>
      </c>
      <c r="Z52" s="402" t="str">
        <f ca="1">IF(DrawFinder!AY52=0,"",DrawFinder!AY52)</f>
        <v/>
      </c>
      <c r="AA52" s="402" t="str">
        <f ca="1">IF(DrawFinder!AZ52=0,"",DrawFinder!AZ52)</f>
        <v/>
      </c>
      <c r="AB52" s="402" t="str">
        <f ca="1">IF(DrawFinder!BA52=0,"",DrawFinder!BA52)</f>
        <v/>
      </c>
      <c r="AC52" s="402" t="str">
        <f ca="1">IF(DrawFinder!BB52=0,"",DrawFinder!BB52)</f>
        <v/>
      </c>
      <c r="AD52" s="402" t="str">
        <f ca="1">IF(DrawFinder!BC52=0,"",DrawFinder!BC52)</f>
        <v/>
      </c>
      <c r="AE52" s="402" t="str">
        <f ca="1">IF(DrawFinder!BD52=0,"",DrawFinder!BD52)</f>
        <v/>
      </c>
      <c r="AF52" s="402" t="str">
        <f ca="1">IF(DrawFinder!BE52=0,"",DrawFinder!BE52)</f>
        <v/>
      </c>
      <c r="AG52" s="402" t="str">
        <f ca="1">IF(DrawFinder!BF52=0,"",DrawFinder!BF52)</f>
        <v/>
      </c>
      <c r="AH52" s="402" t="str">
        <f ca="1">IF(DrawFinder!BG52=0,"",DrawFinder!BG52)</f>
        <v/>
      </c>
      <c r="AI52" s="402" t="str">
        <f ca="1">IF(DrawFinder!BH52=0,"",DrawFinder!BH52)</f>
        <v/>
      </c>
      <c r="AJ52" s="402" t="str">
        <f ca="1">IF(DrawFinder!BI52=0,"",DrawFinder!BI52)</f>
        <v/>
      </c>
      <c r="AK52" s="402" t="str">
        <f ca="1">IF(DrawFinder!BJ52=0,"",DrawFinder!BJ52)</f>
        <v/>
      </c>
      <c r="AL52" s="402" t="str">
        <f ca="1">IF(DrawFinder!BK52=0,"",DrawFinder!BK52)</f>
        <v/>
      </c>
      <c r="AM52" s="402" t="str">
        <f ca="1">IF(DrawFinder!BL52=0,"",DrawFinder!BL52)</f>
        <v/>
      </c>
      <c r="AN52" s="402" t="str">
        <f ca="1">IF(DrawFinder!BM52=0,"",DrawFinder!BM52)</f>
        <v/>
      </c>
      <c r="AO52" s="402" t="str">
        <f ca="1">IF(DrawFinder!BN52=0,"",DrawFinder!BN52)</f>
        <v/>
      </c>
      <c r="AP52" s="400" t="str">
        <f ca="1">IF(DrawFinder!BO52=0,"",DrawFinder!BO52)</f>
        <v/>
      </c>
      <c r="AQ52" s="81" t="str">
        <f>IF(DrawFinder!Y52=0,"",DrawFinder!Y52)</f>
        <v/>
      </c>
      <c r="AR52" s="79" t="str">
        <f t="shared" ca="1" si="46"/>
        <v/>
      </c>
      <c r="AS52" s="81" t="str">
        <f t="shared" ca="1" si="47"/>
        <v/>
      </c>
      <c r="AT52" s="84">
        <f t="shared" ca="1" si="48"/>
        <v>0</v>
      </c>
      <c r="AU52" s="336">
        <f t="shared" ca="1" si="51"/>
        <v>0</v>
      </c>
      <c r="AV52" s="336">
        <f t="shared" ca="1" si="51"/>
        <v>0</v>
      </c>
      <c r="AW52" s="336">
        <f t="shared" ca="1" si="51"/>
        <v>0</v>
      </c>
      <c r="AX52" s="336">
        <f t="shared" ca="1" si="51"/>
        <v>0</v>
      </c>
      <c r="AY52" s="336">
        <f t="shared" ca="1" si="51"/>
        <v>0</v>
      </c>
      <c r="AZ52" s="336">
        <f t="shared" ca="1" si="51"/>
        <v>0</v>
      </c>
      <c r="BA52" s="336">
        <f t="shared" ca="1" si="51"/>
        <v>0</v>
      </c>
      <c r="BB52" s="336">
        <f t="shared" ca="1" si="51"/>
        <v>0</v>
      </c>
      <c r="BC52" s="336">
        <f t="shared" ca="1" si="51"/>
        <v>0</v>
      </c>
      <c r="BD52" s="336">
        <f t="shared" ca="1" si="51"/>
        <v>0</v>
      </c>
      <c r="BE52" s="83">
        <f t="shared" ca="1" si="1"/>
        <v>0</v>
      </c>
      <c r="BF52" s="84">
        <f t="shared" ca="1" si="50"/>
        <v>0</v>
      </c>
      <c r="BH52" s="407" t="str">
        <f t="shared" ca="1" si="2"/>
        <v/>
      </c>
      <c r="BI52" s="408" t="str">
        <f t="shared" ca="1" si="3"/>
        <v/>
      </c>
      <c r="BK52" s="439">
        <f t="shared" ca="1" si="4"/>
        <v>0</v>
      </c>
      <c r="BL52" s="397">
        <f t="shared" ca="1" si="5"/>
        <v>0</v>
      </c>
      <c r="BM52" s="397">
        <f t="shared" ca="1" si="6"/>
        <v>0</v>
      </c>
      <c r="BN52" s="397">
        <f t="shared" ca="1" si="7"/>
        <v>0</v>
      </c>
      <c r="BO52" s="397">
        <f t="shared" ca="1" si="8"/>
        <v>0</v>
      </c>
      <c r="BP52" s="397">
        <f t="shared" ca="1" si="9"/>
        <v>0</v>
      </c>
      <c r="BQ52" s="397">
        <f t="shared" ca="1" si="10"/>
        <v>0</v>
      </c>
      <c r="BR52" s="397">
        <f t="shared" ca="1" si="11"/>
        <v>0</v>
      </c>
      <c r="BS52" s="397">
        <f t="shared" ca="1" si="12"/>
        <v>0</v>
      </c>
      <c r="BT52" s="397">
        <f t="shared" ca="1" si="13"/>
        <v>0</v>
      </c>
      <c r="BU52" s="397">
        <f t="shared" ca="1" si="14"/>
        <v>0</v>
      </c>
      <c r="BV52" s="397">
        <f t="shared" ca="1" si="15"/>
        <v>0</v>
      </c>
      <c r="BW52" s="397">
        <f t="shared" ca="1" si="16"/>
        <v>0</v>
      </c>
      <c r="BX52" s="397">
        <f t="shared" ca="1" si="17"/>
        <v>0</v>
      </c>
      <c r="BY52" s="397">
        <f t="shared" ca="1" si="18"/>
        <v>0</v>
      </c>
      <c r="BZ52" s="397">
        <f t="shared" ca="1" si="19"/>
        <v>0</v>
      </c>
      <c r="CA52" s="397">
        <f t="shared" ca="1" si="20"/>
        <v>0</v>
      </c>
      <c r="CB52" s="397">
        <f t="shared" ca="1" si="21"/>
        <v>0</v>
      </c>
      <c r="CC52" s="397">
        <f t="shared" ca="1" si="22"/>
        <v>0</v>
      </c>
      <c r="CD52" s="397">
        <f t="shared" ca="1" si="23"/>
        <v>0</v>
      </c>
      <c r="CE52" s="397">
        <f t="shared" ca="1" si="24"/>
        <v>0</v>
      </c>
      <c r="CF52" s="397">
        <f t="shared" ca="1" si="25"/>
        <v>0</v>
      </c>
      <c r="CG52" s="397">
        <f t="shared" ca="1" si="26"/>
        <v>0</v>
      </c>
      <c r="CH52" s="397">
        <f t="shared" ca="1" si="27"/>
        <v>0</v>
      </c>
      <c r="CI52" s="397">
        <f t="shared" ca="1" si="28"/>
        <v>0</v>
      </c>
      <c r="CJ52" s="397">
        <f t="shared" ca="1" si="29"/>
        <v>0</v>
      </c>
      <c r="CK52" s="397">
        <f t="shared" ca="1" si="30"/>
        <v>0</v>
      </c>
      <c r="CL52" s="397">
        <f t="shared" ca="1" si="31"/>
        <v>0</v>
      </c>
      <c r="CM52" s="397">
        <f t="shared" ca="1" si="32"/>
        <v>0</v>
      </c>
      <c r="CN52" s="397">
        <f t="shared" ca="1" si="33"/>
        <v>0</v>
      </c>
      <c r="CO52" s="397">
        <f t="shared" ca="1" si="34"/>
        <v>0</v>
      </c>
      <c r="CP52" s="397">
        <f t="shared" ca="1" si="35"/>
        <v>0</v>
      </c>
      <c r="CQ52" s="397">
        <f t="shared" ca="1" si="36"/>
        <v>0</v>
      </c>
      <c r="CR52" s="397">
        <f t="shared" ca="1" si="37"/>
        <v>0</v>
      </c>
      <c r="CS52" s="397">
        <f t="shared" ca="1" si="38"/>
        <v>0</v>
      </c>
      <c r="CT52" s="397">
        <f t="shared" ca="1" si="39"/>
        <v>0</v>
      </c>
      <c r="CU52" s="397">
        <f t="shared" ca="1" si="40"/>
        <v>0</v>
      </c>
      <c r="CV52" s="397">
        <f t="shared" ca="1" si="41"/>
        <v>0</v>
      </c>
      <c r="CW52" s="397">
        <f t="shared" ca="1" si="42"/>
        <v>0</v>
      </c>
      <c r="CX52" s="440">
        <f t="shared" ca="1" si="43"/>
        <v>0</v>
      </c>
      <c r="CY52" s="335">
        <f t="shared" si="44"/>
        <v>0</v>
      </c>
      <c r="CZ52" s="16"/>
      <c r="DA52" s="16"/>
      <c r="DB52" s="16"/>
      <c r="DC52" s="16"/>
      <c r="DD52" s="16"/>
      <c r="DE52" s="16"/>
      <c r="DF52" s="16"/>
      <c r="DG52" s="16"/>
      <c r="DH52" s="16"/>
    </row>
    <row r="53" spans="1:112" s="77" customFormat="1">
      <c r="A53" s="266" t="str">
        <f t="shared" ca="1" si="45"/>
        <v/>
      </c>
      <c r="B53" s="462"/>
      <c r="C53" s="402" t="str">
        <f ca="1">IF(DrawFinder!AB53=0,"",DrawFinder!AB53)</f>
        <v/>
      </c>
      <c r="D53" s="402" t="str">
        <f ca="1">IF(DrawFinder!AC53=0,"",DrawFinder!AC53)</f>
        <v/>
      </c>
      <c r="E53" s="402" t="str">
        <f ca="1">IF(DrawFinder!AD53=0,"",DrawFinder!AD53)</f>
        <v/>
      </c>
      <c r="F53" s="402" t="str">
        <f ca="1">IF(DrawFinder!AE53=0,"",DrawFinder!AE53)</f>
        <v/>
      </c>
      <c r="G53" s="402" t="str">
        <f ca="1">IF(DrawFinder!AF53=0,"",DrawFinder!AF53)</f>
        <v/>
      </c>
      <c r="H53" s="402" t="str">
        <f ca="1">IF(DrawFinder!AG53=0,"",DrawFinder!AG53)</f>
        <v/>
      </c>
      <c r="I53" s="402" t="str">
        <f ca="1">IF(DrawFinder!AH53=0,"",DrawFinder!AH53)</f>
        <v/>
      </c>
      <c r="J53" s="402" t="str">
        <f ca="1">IF(DrawFinder!AI53=0,"",DrawFinder!AI53)</f>
        <v/>
      </c>
      <c r="K53" s="402" t="str">
        <f ca="1">IF(DrawFinder!AJ53=0,"",DrawFinder!AJ53)</f>
        <v/>
      </c>
      <c r="L53" s="402" t="str">
        <f ca="1">IF(DrawFinder!AK53=0,"",DrawFinder!AK53)</f>
        <v/>
      </c>
      <c r="M53" s="402" t="str">
        <f ca="1">IF(DrawFinder!AL53=0,"",DrawFinder!AL53)</f>
        <v/>
      </c>
      <c r="N53" s="402" t="str">
        <f ca="1">IF(DrawFinder!AM53=0,"",DrawFinder!AM53)</f>
        <v/>
      </c>
      <c r="O53" s="402" t="str">
        <f ca="1">IF(DrawFinder!AN53=0,"",DrawFinder!AN53)</f>
        <v/>
      </c>
      <c r="P53" s="402" t="str">
        <f ca="1">IF(DrawFinder!AO53=0,"",DrawFinder!AO53)</f>
        <v/>
      </c>
      <c r="Q53" s="402" t="str">
        <f ca="1">IF(DrawFinder!AP53=0,"",DrawFinder!AP53)</f>
        <v/>
      </c>
      <c r="R53" s="402" t="str">
        <f ca="1">IF(DrawFinder!AQ53=0,"",DrawFinder!AQ53)</f>
        <v/>
      </c>
      <c r="S53" s="402" t="str">
        <f ca="1">IF(DrawFinder!AR53=0,"",DrawFinder!AR53)</f>
        <v/>
      </c>
      <c r="T53" s="402" t="str">
        <f ca="1">IF(DrawFinder!AS53=0,"",DrawFinder!AS53)</f>
        <v/>
      </c>
      <c r="U53" s="402" t="str">
        <f ca="1">IF(DrawFinder!AT53=0,"",DrawFinder!AT53)</f>
        <v/>
      </c>
      <c r="V53" s="402" t="str">
        <f ca="1">IF(DrawFinder!AU53=0,"",DrawFinder!AU53)</f>
        <v/>
      </c>
      <c r="W53" s="402" t="str">
        <f ca="1">IF(DrawFinder!AV53=0,"",DrawFinder!AV53)</f>
        <v/>
      </c>
      <c r="X53" s="402" t="str">
        <f ca="1">IF(DrawFinder!AW53=0,"",DrawFinder!AW53)</f>
        <v/>
      </c>
      <c r="Y53" s="402" t="str">
        <f ca="1">IF(DrawFinder!AX53=0,"",DrawFinder!AX53)</f>
        <v/>
      </c>
      <c r="Z53" s="402" t="str">
        <f ca="1">IF(DrawFinder!AY53=0,"",DrawFinder!AY53)</f>
        <v/>
      </c>
      <c r="AA53" s="402" t="str">
        <f ca="1">IF(DrawFinder!AZ53=0,"",DrawFinder!AZ53)</f>
        <v/>
      </c>
      <c r="AB53" s="402" t="str">
        <f ca="1">IF(DrawFinder!BA53=0,"",DrawFinder!BA53)</f>
        <v/>
      </c>
      <c r="AC53" s="402" t="str">
        <f ca="1">IF(DrawFinder!BB53=0,"",DrawFinder!BB53)</f>
        <v/>
      </c>
      <c r="AD53" s="402" t="str">
        <f ca="1">IF(DrawFinder!BC53=0,"",DrawFinder!BC53)</f>
        <v/>
      </c>
      <c r="AE53" s="402" t="str">
        <f ca="1">IF(DrawFinder!BD53=0,"",DrawFinder!BD53)</f>
        <v/>
      </c>
      <c r="AF53" s="402" t="str">
        <f ca="1">IF(DrawFinder!BE53=0,"",DrawFinder!BE53)</f>
        <v/>
      </c>
      <c r="AG53" s="402" t="str">
        <f ca="1">IF(DrawFinder!BF53=0,"",DrawFinder!BF53)</f>
        <v/>
      </c>
      <c r="AH53" s="402" t="str">
        <f ca="1">IF(DrawFinder!BG53=0,"",DrawFinder!BG53)</f>
        <v/>
      </c>
      <c r="AI53" s="402" t="str">
        <f ca="1">IF(DrawFinder!BH53=0,"",DrawFinder!BH53)</f>
        <v/>
      </c>
      <c r="AJ53" s="402" t="str">
        <f ca="1">IF(DrawFinder!BI53=0,"",DrawFinder!BI53)</f>
        <v/>
      </c>
      <c r="AK53" s="402" t="str">
        <f ca="1">IF(DrawFinder!BJ53=0,"",DrawFinder!BJ53)</f>
        <v/>
      </c>
      <c r="AL53" s="402" t="str">
        <f ca="1">IF(DrawFinder!BK53=0,"",DrawFinder!BK53)</f>
        <v/>
      </c>
      <c r="AM53" s="402" t="str">
        <f ca="1">IF(DrawFinder!BL53=0,"",DrawFinder!BL53)</f>
        <v/>
      </c>
      <c r="AN53" s="402" t="str">
        <f ca="1">IF(DrawFinder!BM53=0,"",DrawFinder!BM53)</f>
        <v/>
      </c>
      <c r="AO53" s="402" t="str">
        <f ca="1">IF(DrawFinder!BN53=0,"",DrawFinder!BN53)</f>
        <v/>
      </c>
      <c r="AP53" s="400" t="str">
        <f ca="1">IF(DrawFinder!BO53=0,"",DrawFinder!BO53)</f>
        <v/>
      </c>
      <c r="AQ53" s="81" t="str">
        <f>IF(DrawFinder!Y53=0,"",DrawFinder!Y53)</f>
        <v/>
      </c>
      <c r="AR53" s="79" t="str">
        <f t="shared" ca="1" si="46"/>
        <v/>
      </c>
      <c r="AS53" s="81" t="str">
        <f t="shared" ca="1" si="47"/>
        <v/>
      </c>
      <c r="AT53" s="84">
        <f t="shared" ca="1" si="48"/>
        <v>0</v>
      </c>
      <c r="AU53" s="336">
        <f t="shared" ca="1" si="51"/>
        <v>0</v>
      </c>
      <c r="AV53" s="336">
        <f t="shared" ca="1" si="51"/>
        <v>0</v>
      </c>
      <c r="AW53" s="336">
        <f t="shared" ca="1" si="51"/>
        <v>0</v>
      </c>
      <c r="AX53" s="336">
        <f t="shared" ca="1" si="51"/>
        <v>0</v>
      </c>
      <c r="AY53" s="336">
        <f t="shared" ca="1" si="51"/>
        <v>0</v>
      </c>
      <c r="AZ53" s="336">
        <f t="shared" ca="1" si="51"/>
        <v>0</v>
      </c>
      <c r="BA53" s="336">
        <f t="shared" ca="1" si="51"/>
        <v>0</v>
      </c>
      <c r="BB53" s="336">
        <f t="shared" ca="1" si="51"/>
        <v>0</v>
      </c>
      <c r="BC53" s="336">
        <f t="shared" ca="1" si="51"/>
        <v>0</v>
      </c>
      <c r="BD53" s="336">
        <f t="shared" ca="1" si="51"/>
        <v>0</v>
      </c>
      <c r="BE53" s="83">
        <f t="shared" ca="1" si="1"/>
        <v>0</v>
      </c>
      <c r="BF53" s="84">
        <f t="shared" ca="1" si="50"/>
        <v>0</v>
      </c>
      <c r="BH53" s="407" t="str">
        <f t="shared" ca="1" si="2"/>
        <v/>
      </c>
      <c r="BI53" s="408" t="str">
        <f t="shared" ca="1" si="3"/>
        <v/>
      </c>
      <c r="BK53" s="439">
        <f t="shared" ca="1" si="4"/>
        <v>0</v>
      </c>
      <c r="BL53" s="397">
        <f t="shared" ca="1" si="5"/>
        <v>0</v>
      </c>
      <c r="BM53" s="397">
        <f t="shared" ca="1" si="6"/>
        <v>0</v>
      </c>
      <c r="BN53" s="397">
        <f t="shared" ca="1" si="7"/>
        <v>0</v>
      </c>
      <c r="BO53" s="397">
        <f t="shared" ca="1" si="8"/>
        <v>0</v>
      </c>
      <c r="BP53" s="397">
        <f t="shared" ca="1" si="9"/>
        <v>0</v>
      </c>
      <c r="BQ53" s="397">
        <f t="shared" ca="1" si="10"/>
        <v>0</v>
      </c>
      <c r="BR53" s="397">
        <f t="shared" ca="1" si="11"/>
        <v>0</v>
      </c>
      <c r="BS53" s="397">
        <f t="shared" ca="1" si="12"/>
        <v>0</v>
      </c>
      <c r="BT53" s="397">
        <f t="shared" ca="1" si="13"/>
        <v>0</v>
      </c>
      <c r="BU53" s="397">
        <f t="shared" ca="1" si="14"/>
        <v>0</v>
      </c>
      <c r="BV53" s="397">
        <f t="shared" ca="1" si="15"/>
        <v>0</v>
      </c>
      <c r="BW53" s="397">
        <f t="shared" ca="1" si="16"/>
        <v>0</v>
      </c>
      <c r="BX53" s="397">
        <f t="shared" ca="1" si="17"/>
        <v>0</v>
      </c>
      <c r="BY53" s="397">
        <f t="shared" ca="1" si="18"/>
        <v>0</v>
      </c>
      <c r="BZ53" s="397">
        <f t="shared" ca="1" si="19"/>
        <v>0</v>
      </c>
      <c r="CA53" s="397">
        <f t="shared" ca="1" si="20"/>
        <v>0</v>
      </c>
      <c r="CB53" s="397">
        <f t="shared" ca="1" si="21"/>
        <v>0</v>
      </c>
      <c r="CC53" s="397">
        <f t="shared" ca="1" si="22"/>
        <v>0</v>
      </c>
      <c r="CD53" s="397">
        <f t="shared" ca="1" si="23"/>
        <v>0</v>
      </c>
      <c r="CE53" s="397">
        <f t="shared" ca="1" si="24"/>
        <v>0</v>
      </c>
      <c r="CF53" s="397">
        <f t="shared" ca="1" si="25"/>
        <v>0</v>
      </c>
      <c r="CG53" s="397">
        <f t="shared" ca="1" si="26"/>
        <v>0</v>
      </c>
      <c r="CH53" s="397">
        <f t="shared" ca="1" si="27"/>
        <v>0</v>
      </c>
      <c r="CI53" s="397">
        <f t="shared" ca="1" si="28"/>
        <v>0</v>
      </c>
      <c r="CJ53" s="397">
        <f t="shared" ca="1" si="29"/>
        <v>0</v>
      </c>
      <c r="CK53" s="397">
        <f t="shared" ca="1" si="30"/>
        <v>0</v>
      </c>
      <c r="CL53" s="397">
        <f t="shared" ca="1" si="31"/>
        <v>0</v>
      </c>
      <c r="CM53" s="397">
        <f t="shared" ca="1" si="32"/>
        <v>0</v>
      </c>
      <c r="CN53" s="397">
        <f t="shared" ca="1" si="33"/>
        <v>0</v>
      </c>
      <c r="CO53" s="397">
        <f t="shared" ca="1" si="34"/>
        <v>0</v>
      </c>
      <c r="CP53" s="397">
        <f t="shared" ca="1" si="35"/>
        <v>0</v>
      </c>
      <c r="CQ53" s="397">
        <f t="shared" ca="1" si="36"/>
        <v>0</v>
      </c>
      <c r="CR53" s="397">
        <f t="shared" ca="1" si="37"/>
        <v>0</v>
      </c>
      <c r="CS53" s="397">
        <f t="shared" ca="1" si="38"/>
        <v>0</v>
      </c>
      <c r="CT53" s="397">
        <f t="shared" ca="1" si="39"/>
        <v>0</v>
      </c>
      <c r="CU53" s="397">
        <f t="shared" ca="1" si="40"/>
        <v>0</v>
      </c>
      <c r="CV53" s="397">
        <f t="shared" ca="1" si="41"/>
        <v>0</v>
      </c>
      <c r="CW53" s="397">
        <f t="shared" ca="1" si="42"/>
        <v>0</v>
      </c>
      <c r="CX53" s="440">
        <f t="shared" ca="1" si="43"/>
        <v>0</v>
      </c>
      <c r="CY53" s="335">
        <f t="shared" si="44"/>
        <v>0</v>
      </c>
      <c r="CZ53" s="16"/>
      <c r="DA53" s="16"/>
      <c r="DB53" s="16"/>
      <c r="DC53" s="16"/>
      <c r="DD53" s="16"/>
      <c r="DE53" s="16"/>
      <c r="DF53" s="16"/>
      <c r="DG53" s="16"/>
      <c r="DH53" s="16"/>
    </row>
    <row r="54" spans="1:112" s="77" customFormat="1">
      <c r="A54" s="266" t="str">
        <f t="shared" ca="1" si="45"/>
        <v/>
      </c>
      <c r="B54" s="462"/>
      <c r="C54" s="402" t="str">
        <f ca="1">IF(DrawFinder!AB54=0,"",DrawFinder!AB54)</f>
        <v/>
      </c>
      <c r="D54" s="402" t="str">
        <f ca="1">IF(DrawFinder!AC54=0,"",DrawFinder!AC54)</f>
        <v/>
      </c>
      <c r="E54" s="402" t="str">
        <f ca="1">IF(DrawFinder!AD54=0,"",DrawFinder!AD54)</f>
        <v/>
      </c>
      <c r="F54" s="402" t="str">
        <f ca="1">IF(DrawFinder!AE54=0,"",DrawFinder!AE54)</f>
        <v/>
      </c>
      <c r="G54" s="402" t="str">
        <f ca="1">IF(DrawFinder!AF54=0,"",DrawFinder!AF54)</f>
        <v/>
      </c>
      <c r="H54" s="402" t="str">
        <f ca="1">IF(DrawFinder!AG54=0,"",DrawFinder!AG54)</f>
        <v/>
      </c>
      <c r="I54" s="402" t="str">
        <f ca="1">IF(DrawFinder!AH54=0,"",DrawFinder!AH54)</f>
        <v/>
      </c>
      <c r="J54" s="402" t="str">
        <f ca="1">IF(DrawFinder!AI54=0,"",DrawFinder!AI54)</f>
        <v/>
      </c>
      <c r="K54" s="402" t="str">
        <f ca="1">IF(DrawFinder!AJ54=0,"",DrawFinder!AJ54)</f>
        <v/>
      </c>
      <c r="L54" s="402" t="str">
        <f ca="1">IF(DrawFinder!AK54=0,"",DrawFinder!AK54)</f>
        <v/>
      </c>
      <c r="M54" s="402" t="str">
        <f ca="1">IF(DrawFinder!AL54=0,"",DrawFinder!AL54)</f>
        <v/>
      </c>
      <c r="N54" s="402" t="str">
        <f ca="1">IF(DrawFinder!AM54=0,"",DrawFinder!AM54)</f>
        <v/>
      </c>
      <c r="O54" s="402" t="str">
        <f ca="1">IF(DrawFinder!AN54=0,"",DrawFinder!AN54)</f>
        <v/>
      </c>
      <c r="P54" s="402" t="str">
        <f ca="1">IF(DrawFinder!AO54=0,"",DrawFinder!AO54)</f>
        <v/>
      </c>
      <c r="Q54" s="402" t="str">
        <f ca="1">IF(DrawFinder!AP54=0,"",DrawFinder!AP54)</f>
        <v/>
      </c>
      <c r="R54" s="402" t="str">
        <f ca="1">IF(DrawFinder!AQ54=0,"",DrawFinder!AQ54)</f>
        <v/>
      </c>
      <c r="S54" s="402" t="str">
        <f ca="1">IF(DrawFinder!AR54=0,"",DrawFinder!AR54)</f>
        <v/>
      </c>
      <c r="T54" s="402" t="str">
        <f ca="1">IF(DrawFinder!AS54=0,"",DrawFinder!AS54)</f>
        <v/>
      </c>
      <c r="U54" s="402" t="str">
        <f ca="1">IF(DrawFinder!AT54=0,"",DrawFinder!AT54)</f>
        <v/>
      </c>
      <c r="V54" s="402" t="str">
        <f ca="1">IF(DrawFinder!AU54=0,"",DrawFinder!AU54)</f>
        <v/>
      </c>
      <c r="W54" s="402" t="str">
        <f ca="1">IF(DrawFinder!AV54=0,"",DrawFinder!AV54)</f>
        <v/>
      </c>
      <c r="X54" s="402" t="str">
        <f ca="1">IF(DrawFinder!AW54=0,"",DrawFinder!AW54)</f>
        <v/>
      </c>
      <c r="Y54" s="402" t="str">
        <f ca="1">IF(DrawFinder!AX54=0,"",DrawFinder!AX54)</f>
        <v/>
      </c>
      <c r="Z54" s="402" t="str">
        <f ca="1">IF(DrawFinder!AY54=0,"",DrawFinder!AY54)</f>
        <v/>
      </c>
      <c r="AA54" s="402" t="str">
        <f ca="1">IF(DrawFinder!AZ54=0,"",DrawFinder!AZ54)</f>
        <v/>
      </c>
      <c r="AB54" s="402" t="str">
        <f ca="1">IF(DrawFinder!BA54=0,"",DrawFinder!BA54)</f>
        <v/>
      </c>
      <c r="AC54" s="402" t="str">
        <f ca="1">IF(DrawFinder!BB54=0,"",DrawFinder!BB54)</f>
        <v/>
      </c>
      <c r="AD54" s="402" t="str">
        <f ca="1">IF(DrawFinder!BC54=0,"",DrawFinder!BC54)</f>
        <v/>
      </c>
      <c r="AE54" s="402" t="str">
        <f ca="1">IF(DrawFinder!BD54=0,"",DrawFinder!BD54)</f>
        <v/>
      </c>
      <c r="AF54" s="402" t="str">
        <f ca="1">IF(DrawFinder!BE54=0,"",DrawFinder!BE54)</f>
        <v/>
      </c>
      <c r="AG54" s="402" t="str">
        <f ca="1">IF(DrawFinder!BF54=0,"",DrawFinder!BF54)</f>
        <v/>
      </c>
      <c r="AH54" s="402" t="str">
        <f ca="1">IF(DrawFinder!BG54=0,"",DrawFinder!BG54)</f>
        <v/>
      </c>
      <c r="AI54" s="402" t="str">
        <f ca="1">IF(DrawFinder!BH54=0,"",DrawFinder!BH54)</f>
        <v/>
      </c>
      <c r="AJ54" s="402" t="str">
        <f ca="1">IF(DrawFinder!BI54=0,"",DrawFinder!BI54)</f>
        <v/>
      </c>
      <c r="AK54" s="402" t="str">
        <f ca="1">IF(DrawFinder!BJ54=0,"",DrawFinder!BJ54)</f>
        <v/>
      </c>
      <c r="AL54" s="402" t="str">
        <f ca="1">IF(DrawFinder!BK54=0,"",DrawFinder!BK54)</f>
        <v/>
      </c>
      <c r="AM54" s="402" t="str">
        <f ca="1">IF(DrawFinder!BL54=0,"",DrawFinder!BL54)</f>
        <v/>
      </c>
      <c r="AN54" s="402" t="str">
        <f ca="1">IF(DrawFinder!BM54=0,"",DrawFinder!BM54)</f>
        <v/>
      </c>
      <c r="AO54" s="402" t="str">
        <f ca="1">IF(DrawFinder!BN54=0,"",DrawFinder!BN54)</f>
        <v/>
      </c>
      <c r="AP54" s="400" t="str">
        <f ca="1">IF(DrawFinder!BO54=0,"",DrawFinder!BO54)</f>
        <v/>
      </c>
      <c r="AQ54" s="81" t="str">
        <f>IF(DrawFinder!Y54=0,"",DrawFinder!Y54)</f>
        <v/>
      </c>
      <c r="AR54" s="79" t="str">
        <f t="shared" ca="1" si="46"/>
        <v/>
      </c>
      <c r="AS54" s="81" t="str">
        <f t="shared" ca="1" si="47"/>
        <v/>
      </c>
      <c r="AT54" s="84">
        <f t="shared" ca="1" si="48"/>
        <v>0</v>
      </c>
      <c r="AU54" s="336">
        <f t="shared" ca="1" si="51"/>
        <v>0</v>
      </c>
      <c r="AV54" s="336">
        <f t="shared" ca="1" si="51"/>
        <v>0</v>
      </c>
      <c r="AW54" s="336">
        <f t="shared" ca="1" si="51"/>
        <v>0</v>
      </c>
      <c r="AX54" s="336">
        <f t="shared" ca="1" si="51"/>
        <v>0</v>
      </c>
      <c r="AY54" s="336">
        <f t="shared" ca="1" si="51"/>
        <v>0</v>
      </c>
      <c r="AZ54" s="336">
        <f t="shared" ca="1" si="51"/>
        <v>0</v>
      </c>
      <c r="BA54" s="336">
        <f t="shared" ca="1" si="51"/>
        <v>0</v>
      </c>
      <c r="BB54" s="336">
        <f t="shared" ca="1" si="51"/>
        <v>0</v>
      </c>
      <c r="BC54" s="336">
        <f t="shared" ca="1" si="51"/>
        <v>0</v>
      </c>
      <c r="BD54" s="336">
        <f t="shared" ca="1" si="51"/>
        <v>0</v>
      </c>
      <c r="BE54" s="83">
        <f t="shared" ca="1" si="1"/>
        <v>0</v>
      </c>
      <c r="BF54" s="84">
        <f t="shared" ca="1" si="50"/>
        <v>0</v>
      </c>
      <c r="BH54" s="407" t="str">
        <f t="shared" ca="1" si="2"/>
        <v/>
      </c>
      <c r="BI54" s="408" t="str">
        <f t="shared" ca="1" si="3"/>
        <v/>
      </c>
      <c r="BK54" s="439">
        <f t="shared" ca="1" si="4"/>
        <v>0</v>
      </c>
      <c r="BL54" s="397">
        <f t="shared" ca="1" si="5"/>
        <v>0</v>
      </c>
      <c r="BM54" s="397">
        <f t="shared" ca="1" si="6"/>
        <v>0</v>
      </c>
      <c r="BN54" s="397">
        <f t="shared" ca="1" si="7"/>
        <v>0</v>
      </c>
      <c r="BO54" s="397">
        <f t="shared" ca="1" si="8"/>
        <v>0</v>
      </c>
      <c r="BP54" s="397">
        <f t="shared" ca="1" si="9"/>
        <v>0</v>
      </c>
      <c r="BQ54" s="397">
        <f t="shared" ca="1" si="10"/>
        <v>0</v>
      </c>
      <c r="BR54" s="397">
        <f t="shared" ca="1" si="11"/>
        <v>0</v>
      </c>
      <c r="BS54" s="397">
        <f t="shared" ca="1" si="12"/>
        <v>0</v>
      </c>
      <c r="BT54" s="397">
        <f t="shared" ca="1" si="13"/>
        <v>0</v>
      </c>
      <c r="BU54" s="397">
        <f t="shared" ca="1" si="14"/>
        <v>0</v>
      </c>
      <c r="BV54" s="397">
        <f t="shared" ca="1" si="15"/>
        <v>0</v>
      </c>
      <c r="BW54" s="397">
        <f t="shared" ca="1" si="16"/>
        <v>0</v>
      </c>
      <c r="BX54" s="397">
        <f t="shared" ca="1" si="17"/>
        <v>0</v>
      </c>
      <c r="BY54" s="397">
        <f t="shared" ca="1" si="18"/>
        <v>0</v>
      </c>
      <c r="BZ54" s="397">
        <f t="shared" ca="1" si="19"/>
        <v>0</v>
      </c>
      <c r="CA54" s="397">
        <f t="shared" ca="1" si="20"/>
        <v>0</v>
      </c>
      <c r="CB54" s="397">
        <f t="shared" ca="1" si="21"/>
        <v>0</v>
      </c>
      <c r="CC54" s="397">
        <f t="shared" ca="1" si="22"/>
        <v>0</v>
      </c>
      <c r="CD54" s="397">
        <f t="shared" ca="1" si="23"/>
        <v>0</v>
      </c>
      <c r="CE54" s="397">
        <f t="shared" ca="1" si="24"/>
        <v>0</v>
      </c>
      <c r="CF54" s="397">
        <f t="shared" ca="1" si="25"/>
        <v>0</v>
      </c>
      <c r="CG54" s="397">
        <f t="shared" ca="1" si="26"/>
        <v>0</v>
      </c>
      <c r="CH54" s="397">
        <f t="shared" ca="1" si="27"/>
        <v>0</v>
      </c>
      <c r="CI54" s="397">
        <f t="shared" ca="1" si="28"/>
        <v>0</v>
      </c>
      <c r="CJ54" s="397">
        <f t="shared" ca="1" si="29"/>
        <v>0</v>
      </c>
      <c r="CK54" s="397">
        <f t="shared" ca="1" si="30"/>
        <v>0</v>
      </c>
      <c r="CL54" s="397">
        <f t="shared" ca="1" si="31"/>
        <v>0</v>
      </c>
      <c r="CM54" s="397">
        <f t="shared" ca="1" si="32"/>
        <v>0</v>
      </c>
      <c r="CN54" s="397">
        <f t="shared" ca="1" si="33"/>
        <v>0</v>
      </c>
      <c r="CO54" s="397">
        <f t="shared" ca="1" si="34"/>
        <v>0</v>
      </c>
      <c r="CP54" s="397">
        <f t="shared" ca="1" si="35"/>
        <v>0</v>
      </c>
      <c r="CQ54" s="397">
        <f t="shared" ca="1" si="36"/>
        <v>0</v>
      </c>
      <c r="CR54" s="397">
        <f t="shared" ca="1" si="37"/>
        <v>0</v>
      </c>
      <c r="CS54" s="397">
        <f t="shared" ca="1" si="38"/>
        <v>0</v>
      </c>
      <c r="CT54" s="397">
        <f t="shared" ca="1" si="39"/>
        <v>0</v>
      </c>
      <c r="CU54" s="397">
        <f t="shared" ca="1" si="40"/>
        <v>0</v>
      </c>
      <c r="CV54" s="397">
        <f t="shared" ca="1" si="41"/>
        <v>0</v>
      </c>
      <c r="CW54" s="397">
        <f t="shared" ca="1" si="42"/>
        <v>0</v>
      </c>
      <c r="CX54" s="440">
        <f t="shared" ca="1" si="43"/>
        <v>0</v>
      </c>
      <c r="CY54" s="335">
        <f t="shared" si="44"/>
        <v>0</v>
      </c>
      <c r="CZ54" s="16"/>
      <c r="DA54" s="16"/>
      <c r="DB54" s="16"/>
      <c r="DC54" s="16"/>
      <c r="DD54" s="16"/>
      <c r="DE54" s="16"/>
      <c r="DF54" s="16"/>
      <c r="DG54" s="16"/>
      <c r="DH54" s="16"/>
    </row>
    <row r="55" spans="1:112" s="77" customFormat="1">
      <c r="A55" s="266" t="str">
        <f t="shared" ca="1" si="45"/>
        <v/>
      </c>
      <c r="B55" s="462"/>
      <c r="C55" s="402" t="str">
        <f ca="1">IF(DrawFinder!AB55=0,"",DrawFinder!AB55)</f>
        <v/>
      </c>
      <c r="D55" s="402" t="str">
        <f ca="1">IF(DrawFinder!AC55=0,"",DrawFinder!AC55)</f>
        <v/>
      </c>
      <c r="E55" s="402" t="str">
        <f ca="1">IF(DrawFinder!AD55=0,"",DrawFinder!AD55)</f>
        <v/>
      </c>
      <c r="F55" s="402" t="str">
        <f ca="1">IF(DrawFinder!AE55=0,"",DrawFinder!AE55)</f>
        <v/>
      </c>
      <c r="G55" s="402" t="str">
        <f ca="1">IF(DrawFinder!AF55=0,"",DrawFinder!AF55)</f>
        <v/>
      </c>
      <c r="H55" s="402" t="str">
        <f ca="1">IF(DrawFinder!AG55=0,"",DrawFinder!AG55)</f>
        <v/>
      </c>
      <c r="I55" s="402" t="str">
        <f ca="1">IF(DrawFinder!AH55=0,"",DrawFinder!AH55)</f>
        <v/>
      </c>
      <c r="J55" s="402" t="str">
        <f ca="1">IF(DrawFinder!AI55=0,"",DrawFinder!AI55)</f>
        <v/>
      </c>
      <c r="K55" s="402" t="str">
        <f ca="1">IF(DrawFinder!AJ55=0,"",DrawFinder!AJ55)</f>
        <v/>
      </c>
      <c r="L55" s="402" t="str">
        <f ca="1">IF(DrawFinder!AK55=0,"",DrawFinder!AK55)</f>
        <v/>
      </c>
      <c r="M55" s="402" t="str">
        <f ca="1">IF(DrawFinder!AL55=0,"",DrawFinder!AL55)</f>
        <v/>
      </c>
      <c r="N55" s="402" t="str">
        <f ca="1">IF(DrawFinder!AM55=0,"",DrawFinder!AM55)</f>
        <v/>
      </c>
      <c r="O55" s="402" t="str">
        <f ca="1">IF(DrawFinder!AN55=0,"",DrawFinder!AN55)</f>
        <v/>
      </c>
      <c r="P55" s="402" t="str">
        <f ca="1">IF(DrawFinder!AO55=0,"",DrawFinder!AO55)</f>
        <v/>
      </c>
      <c r="Q55" s="402" t="str">
        <f ca="1">IF(DrawFinder!AP55=0,"",DrawFinder!AP55)</f>
        <v/>
      </c>
      <c r="R55" s="402" t="str">
        <f ca="1">IF(DrawFinder!AQ55=0,"",DrawFinder!AQ55)</f>
        <v/>
      </c>
      <c r="S55" s="402" t="str">
        <f ca="1">IF(DrawFinder!AR55=0,"",DrawFinder!AR55)</f>
        <v/>
      </c>
      <c r="T55" s="402" t="str">
        <f ca="1">IF(DrawFinder!AS55=0,"",DrawFinder!AS55)</f>
        <v/>
      </c>
      <c r="U55" s="402" t="str">
        <f ca="1">IF(DrawFinder!AT55=0,"",DrawFinder!AT55)</f>
        <v/>
      </c>
      <c r="V55" s="402" t="str">
        <f ca="1">IF(DrawFinder!AU55=0,"",DrawFinder!AU55)</f>
        <v/>
      </c>
      <c r="W55" s="402" t="str">
        <f ca="1">IF(DrawFinder!AV55=0,"",DrawFinder!AV55)</f>
        <v/>
      </c>
      <c r="X55" s="402" t="str">
        <f ca="1">IF(DrawFinder!AW55=0,"",DrawFinder!AW55)</f>
        <v/>
      </c>
      <c r="Y55" s="402" t="str">
        <f ca="1">IF(DrawFinder!AX55=0,"",DrawFinder!AX55)</f>
        <v/>
      </c>
      <c r="Z55" s="402" t="str">
        <f ca="1">IF(DrawFinder!AY55=0,"",DrawFinder!AY55)</f>
        <v/>
      </c>
      <c r="AA55" s="402" t="str">
        <f ca="1">IF(DrawFinder!AZ55=0,"",DrawFinder!AZ55)</f>
        <v/>
      </c>
      <c r="AB55" s="402" t="str">
        <f ca="1">IF(DrawFinder!BA55=0,"",DrawFinder!BA55)</f>
        <v/>
      </c>
      <c r="AC55" s="402" t="str">
        <f ca="1">IF(DrawFinder!BB55=0,"",DrawFinder!BB55)</f>
        <v/>
      </c>
      <c r="AD55" s="402" t="str">
        <f ca="1">IF(DrawFinder!BC55=0,"",DrawFinder!BC55)</f>
        <v/>
      </c>
      <c r="AE55" s="402" t="str">
        <f ca="1">IF(DrawFinder!BD55=0,"",DrawFinder!BD55)</f>
        <v/>
      </c>
      <c r="AF55" s="402" t="str">
        <f ca="1">IF(DrawFinder!BE55=0,"",DrawFinder!BE55)</f>
        <v/>
      </c>
      <c r="AG55" s="402" t="str">
        <f ca="1">IF(DrawFinder!BF55=0,"",DrawFinder!BF55)</f>
        <v/>
      </c>
      <c r="AH55" s="402" t="str">
        <f ca="1">IF(DrawFinder!BG55=0,"",DrawFinder!BG55)</f>
        <v/>
      </c>
      <c r="AI55" s="402" t="str">
        <f ca="1">IF(DrawFinder!BH55=0,"",DrawFinder!BH55)</f>
        <v/>
      </c>
      <c r="AJ55" s="402" t="str">
        <f ca="1">IF(DrawFinder!BI55=0,"",DrawFinder!BI55)</f>
        <v/>
      </c>
      <c r="AK55" s="402" t="str">
        <f ca="1">IF(DrawFinder!BJ55=0,"",DrawFinder!BJ55)</f>
        <v/>
      </c>
      <c r="AL55" s="402" t="str">
        <f ca="1">IF(DrawFinder!BK55=0,"",DrawFinder!BK55)</f>
        <v/>
      </c>
      <c r="AM55" s="402" t="str">
        <f ca="1">IF(DrawFinder!BL55=0,"",DrawFinder!BL55)</f>
        <v/>
      </c>
      <c r="AN55" s="402" t="str">
        <f ca="1">IF(DrawFinder!BM55=0,"",DrawFinder!BM55)</f>
        <v/>
      </c>
      <c r="AO55" s="402" t="str">
        <f ca="1">IF(DrawFinder!BN55=0,"",DrawFinder!BN55)</f>
        <v/>
      </c>
      <c r="AP55" s="400" t="str">
        <f ca="1">IF(DrawFinder!BO55=0,"",DrawFinder!BO55)</f>
        <v/>
      </c>
      <c r="AQ55" s="81" t="str">
        <f>IF(DrawFinder!Y55=0,"",DrawFinder!Y55)</f>
        <v/>
      </c>
      <c r="AR55" s="79" t="str">
        <f t="shared" ca="1" si="46"/>
        <v/>
      </c>
      <c r="AS55" s="81" t="str">
        <f t="shared" ca="1" si="47"/>
        <v/>
      </c>
      <c r="AT55" s="84">
        <f t="shared" ca="1" si="48"/>
        <v>0</v>
      </c>
      <c r="AU55" s="336">
        <f t="shared" ca="1" si="51"/>
        <v>0</v>
      </c>
      <c r="AV55" s="336">
        <f t="shared" ca="1" si="51"/>
        <v>0</v>
      </c>
      <c r="AW55" s="336">
        <f t="shared" ca="1" si="51"/>
        <v>0</v>
      </c>
      <c r="AX55" s="336">
        <f t="shared" ca="1" si="51"/>
        <v>0</v>
      </c>
      <c r="AY55" s="336">
        <f t="shared" ca="1" si="51"/>
        <v>0</v>
      </c>
      <c r="AZ55" s="336">
        <f t="shared" ca="1" si="51"/>
        <v>0</v>
      </c>
      <c r="BA55" s="336">
        <f t="shared" ca="1" si="51"/>
        <v>0</v>
      </c>
      <c r="BB55" s="336">
        <f t="shared" ca="1" si="51"/>
        <v>0</v>
      </c>
      <c r="BC55" s="336">
        <f t="shared" ca="1" si="51"/>
        <v>0</v>
      </c>
      <c r="BD55" s="336">
        <f t="shared" ca="1" si="51"/>
        <v>0</v>
      </c>
      <c r="BE55" s="83">
        <f t="shared" ca="1" si="1"/>
        <v>0</v>
      </c>
      <c r="BF55" s="84">
        <f t="shared" ca="1" si="50"/>
        <v>0</v>
      </c>
      <c r="BH55" s="407" t="str">
        <f t="shared" ca="1" si="2"/>
        <v/>
      </c>
      <c r="BI55" s="408" t="str">
        <f t="shared" ca="1" si="3"/>
        <v/>
      </c>
      <c r="BK55" s="439">
        <f t="shared" ca="1" si="4"/>
        <v>0</v>
      </c>
      <c r="BL55" s="397">
        <f t="shared" ca="1" si="5"/>
        <v>0</v>
      </c>
      <c r="BM55" s="397">
        <f t="shared" ca="1" si="6"/>
        <v>0</v>
      </c>
      <c r="BN55" s="397">
        <f t="shared" ca="1" si="7"/>
        <v>0</v>
      </c>
      <c r="BO55" s="397">
        <f t="shared" ca="1" si="8"/>
        <v>0</v>
      </c>
      <c r="BP55" s="397">
        <f t="shared" ca="1" si="9"/>
        <v>0</v>
      </c>
      <c r="BQ55" s="397">
        <f t="shared" ca="1" si="10"/>
        <v>0</v>
      </c>
      <c r="BR55" s="397">
        <f t="shared" ca="1" si="11"/>
        <v>0</v>
      </c>
      <c r="BS55" s="397">
        <f t="shared" ca="1" si="12"/>
        <v>0</v>
      </c>
      <c r="BT55" s="397">
        <f t="shared" ca="1" si="13"/>
        <v>0</v>
      </c>
      <c r="BU55" s="397">
        <f t="shared" ca="1" si="14"/>
        <v>0</v>
      </c>
      <c r="BV55" s="397">
        <f t="shared" ca="1" si="15"/>
        <v>0</v>
      </c>
      <c r="BW55" s="397">
        <f t="shared" ca="1" si="16"/>
        <v>0</v>
      </c>
      <c r="BX55" s="397">
        <f t="shared" ca="1" si="17"/>
        <v>0</v>
      </c>
      <c r="BY55" s="397">
        <f t="shared" ca="1" si="18"/>
        <v>0</v>
      </c>
      <c r="BZ55" s="397">
        <f t="shared" ca="1" si="19"/>
        <v>0</v>
      </c>
      <c r="CA55" s="397">
        <f t="shared" ca="1" si="20"/>
        <v>0</v>
      </c>
      <c r="CB55" s="397">
        <f t="shared" ca="1" si="21"/>
        <v>0</v>
      </c>
      <c r="CC55" s="397">
        <f t="shared" ca="1" si="22"/>
        <v>0</v>
      </c>
      <c r="CD55" s="397">
        <f t="shared" ca="1" si="23"/>
        <v>0</v>
      </c>
      <c r="CE55" s="397">
        <f t="shared" ca="1" si="24"/>
        <v>0</v>
      </c>
      <c r="CF55" s="397">
        <f t="shared" ca="1" si="25"/>
        <v>0</v>
      </c>
      <c r="CG55" s="397">
        <f t="shared" ca="1" si="26"/>
        <v>0</v>
      </c>
      <c r="CH55" s="397">
        <f t="shared" ca="1" si="27"/>
        <v>0</v>
      </c>
      <c r="CI55" s="397">
        <f t="shared" ca="1" si="28"/>
        <v>0</v>
      </c>
      <c r="CJ55" s="397">
        <f t="shared" ca="1" si="29"/>
        <v>0</v>
      </c>
      <c r="CK55" s="397">
        <f t="shared" ca="1" si="30"/>
        <v>0</v>
      </c>
      <c r="CL55" s="397">
        <f t="shared" ca="1" si="31"/>
        <v>0</v>
      </c>
      <c r="CM55" s="397">
        <f t="shared" ca="1" si="32"/>
        <v>0</v>
      </c>
      <c r="CN55" s="397">
        <f t="shared" ca="1" si="33"/>
        <v>0</v>
      </c>
      <c r="CO55" s="397">
        <f t="shared" ca="1" si="34"/>
        <v>0</v>
      </c>
      <c r="CP55" s="397">
        <f t="shared" ca="1" si="35"/>
        <v>0</v>
      </c>
      <c r="CQ55" s="397">
        <f t="shared" ca="1" si="36"/>
        <v>0</v>
      </c>
      <c r="CR55" s="397">
        <f t="shared" ca="1" si="37"/>
        <v>0</v>
      </c>
      <c r="CS55" s="397">
        <f t="shared" ca="1" si="38"/>
        <v>0</v>
      </c>
      <c r="CT55" s="397">
        <f t="shared" ca="1" si="39"/>
        <v>0</v>
      </c>
      <c r="CU55" s="397">
        <f t="shared" ca="1" si="40"/>
        <v>0</v>
      </c>
      <c r="CV55" s="397">
        <f t="shared" ca="1" si="41"/>
        <v>0</v>
      </c>
      <c r="CW55" s="397">
        <f t="shared" ca="1" si="42"/>
        <v>0</v>
      </c>
      <c r="CX55" s="440">
        <f t="shared" ca="1" si="43"/>
        <v>0</v>
      </c>
      <c r="CY55" s="335">
        <f t="shared" si="44"/>
        <v>0</v>
      </c>
      <c r="CZ55" s="16"/>
      <c r="DA55" s="16"/>
      <c r="DB55" s="16"/>
      <c r="DC55" s="16"/>
      <c r="DD55" s="16"/>
      <c r="DE55" s="16"/>
      <c r="DF55" s="16"/>
      <c r="DG55" s="16"/>
      <c r="DH55" s="16"/>
    </row>
    <row r="56" spans="1:112" s="77" customFormat="1" ht="14" customHeight="1">
      <c r="A56" s="266" t="str">
        <f t="shared" ca="1" si="45"/>
        <v/>
      </c>
      <c r="B56" s="462"/>
      <c r="C56" s="402" t="str">
        <f ca="1">IF(DrawFinder!AB56=0,"",DrawFinder!AB56)</f>
        <v/>
      </c>
      <c r="D56" s="402" t="str">
        <f ca="1">IF(DrawFinder!AC56=0,"",DrawFinder!AC56)</f>
        <v/>
      </c>
      <c r="E56" s="402" t="str">
        <f ca="1">IF(DrawFinder!AD56=0,"",DrawFinder!AD56)</f>
        <v/>
      </c>
      <c r="F56" s="402" t="str">
        <f ca="1">IF(DrawFinder!AE56=0,"",DrawFinder!AE56)</f>
        <v/>
      </c>
      <c r="G56" s="402" t="str">
        <f ca="1">IF(DrawFinder!AF56=0,"",DrawFinder!AF56)</f>
        <v/>
      </c>
      <c r="H56" s="402" t="str">
        <f ca="1">IF(DrawFinder!AG56=0,"",DrawFinder!AG56)</f>
        <v/>
      </c>
      <c r="I56" s="402" t="str">
        <f ca="1">IF(DrawFinder!AH56=0,"",DrawFinder!AH56)</f>
        <v/>
      </c>
      <c r="J56" s="402" t="str">
        <f ca="1">IF(DrawFinder!AI56=0,"",DrawFinder!AI56)</f>
        <v/>
      </c>
      <c r="K56" s="402" t="str">
        <f ca="1">IF(DrawFinder!AJ56=0,"",DrawFinder!AJ56)</f>
        <v/>
      </c>
      <c r="L56" s="402" t="str">
        <f ca="1">IF(DrawFinder!AK56=0,"",DrawFinder!AK56)</f>
        <v/>
      </c>
      <c r="M56" s="402" t="str">
        <f ca="1">IF(DrawFinder!AL56=0,"",DrawFinder!AL56)</f>
        <v/>
      </c>
      <c r="N56" s="402" t="str">
        <f ca="1">IF(DrawFinder!AM56=0,"",DrawFinder!AM56)</f>
        <v/>
      </c>
      <c r="O56" s="402" t="str">
        <f ca="1">IF(DrawFinder!AN56=0,"",DrawFinder!AN56)</f>
        <v/>
      </c>
      <c r="P56" s="402" t="str">
        <f ca="1">IF(DrawFinder!AO56=0,"",DrawFinder!AO56)</f>
        <v/>
      </c>
      <c r="Q56" s="402" t="str">
        <f ca="1">IF(DrawFinder!AP56=0,"",DrawFinder!AP56)</f>
        <v/>
      </c>
      <c r="R56" s="402" t="str">
        <f ca="1">IF(DrawFinder!AQ56=0,"",DrawFinder!AQ56)</f>
        <v/>
      </c>
      <c r="S56" s="402" t="str">
        <f ca="1">IF(DrawFinder!AR56=0,"",DrawFinder!AR56)</f>
        <v/>
      </c>
      <c r="T56" s="402" t="str">
        <f ca="1">IF(DrawFinder!AS56=0,"",DrawFinder!AS56)</f>
        <v/>
      </c>
      <c r="U56" s="402" t="str">
        <f ca="1">IF(DrawFinder!AT56=0,"",DrawFinder!AT56)</f>
        <v/>
      </c>
      <c r="V56" s="402" t="str">
        <f ca="1">IF(DrawFinder!AU56=0,"",DrawFinder!AU56)</f>
        <v/>
      </c>
      <c r="W56" s="402" t="str">
        <f ca="1">IF(DrawFinder!AV56=0,"",DrawFinder!AV56)</f>
        <v/>
      </c>
      <c r="X56" s="402" t="str">
        <f ca="1">IF(DrawFinder!AW56=0,"",DrawFinder!AW56)</f>
        <v/>
      </c>
      <c r="Y56" s="402" t="str">
        <f ca="1">IF(DrawFinder!AX56=0,"",DrawFinder!AX56)</f>
        <v/>
      </c>
      <c r="Z56" s="402" t="str">
        <f ca="1">IF(DrawFinder!AY56=0,"",DrawFinder!AY56)</f>
        <v/>
      </c>
      <c r="AA56" s="402" t="str">
        <f ca="1">IF(DrawFinder!AZ56=0,"",DrawFinder!AZ56)</f>
        <v/>
      </c>
      <c r="AB56" s="402" t="str">
        <f ca="1">IF(DrawFinder!BA56=0,"",DrawFinder!BA56)</f>
        <v/>
      </c>
      <c r="AC56" s="402" t="str">
        <f ca="1">IF(DrawFinder!BB56=0,"",DrawFinder!BB56)</f>
        <v/>
      </c>
      <c r="AD56" s="402" t="str">
        <f ca="1">IF(DrawFinder!BC56=0,"",DrawFinder!BC56)</f>
        <v/>
      </c>
      <c r="AE56" s="402" t="str">
        <f ca="1">IF(DrawFinder!BD56=0,"",DrawFinder!BD56)</f>
        <v/>
      </c>
      <c r="AF56" s="402" t="str">
        <f ca="1">IF(DrawFinder!BE56=0,"",DrawFinder!BE56)</f>
        <v/>
      </c>
      <c r="AG56" s="402" t="str">
        <f ca="1">IF(DrawFinder!BF56=0,"",DrawFinder!BF56)</f>
        <v/>
      </c>
      <c r="AH56" s="402" t="str">
        <f ca="1">IF(DrawFinder!BG56=0,"",DrawFinder!BG56)</f>
        <v/>
      </c>
      <c r="AI56" s="402" t="str">
        <f ca="1">IF(DrawFinder!BH56=0,"",DrawFinder!BH56)</f>
        <v/>
      </c>
      <c r="AJ56" s="402" t="str">
        <f ca="1">IF(DrawFinder!BI56=0,"",DrawFinder!BI56)</f>
        <v/>
      </c>
      <c r="AK56" s="402" t="str">
        <f ca="1">IF(DrawFinder!BJ56=0,"",DrawFinder!BJ56)</f>
        <v/>
      </c>
      <c r="AL56" s="402" t="str">
        <f ca="1">IF(DrawFinder!BK56=0,"",DrawFinder!BK56)</f>
        <v/>
      </c>
      <c r="AM56" s="402" t="str">
        <f ca="1">IF(DrawFinder!BL56=0,"",DrawFinder!BL56)</f>
        <v/>
      </c>
      <c r="AN56" s="402" t="str">
        <f ca="1">IF(DrawFinder!BM56=0,"",DrawFinder!BM56)</f>
        <v/>
      </c>
      <c r="AO56" s="402" t="str">
        <f ca="1">IF(DrawFinder!BN56=0,"",DrawFinder!BN56)</f>
        <v/>
      </c>
      <c r="AP56" s="400" t="str">
        <f ca="1">IF(DrawFinder!BO56=0,"",DrawFinder!BO56)</f>
        <v/>
      </c>
      <c r="AQ56" s="81" t="str">
        <f>IF(DrawFinder!Y56=0,"",DrawFinder!Y56)</f>
        <v/>
      </c>
      <c r="AR56" s="79" t="str">
        <f t="shared" ca="1" si="46"/>
        <v/>
      </c>
      <c r="AS56" s="81" t="str">
        <f t="shared" ca="1" si="47"/>
        <v/>
      </c>
      <c r="AT56" s="84">
        <f t="shared" ca="1" si="48"/>
        <v>0</v>
      </c>
      <c r="AU56" s="336">
        <f t="shared" ca="1" si="51"/>
        <v>0</v>
      </c>
      <c r="AV56" s="336">
        <f t="shared" ca="1" si="51"/>
        <v>0</v>
      </c>
      <c r="AW56" s="336">
        <f t="shared" ca="1" si="51"/>
        <v>0</v>
      </c>
      <c r="AX56" s="336">
        <f t="shared" ca="1" si="51"/>
        <v>0</v>
      </c>
      <c r="AY56" s="336">
        <f t="shared" ca="1" si="51"/>
        <v>0</v>
      </c>
      <c r="AZ56" s="336">
        <f t="shared" ca="1" si="51"/>
        <v>0</v>
      </c>
      <c r="BA56" s="336">
        <f t="shared" ca="1" si="51"/>
        <v>0</v>
      </c>
      <c r="BB56" s="336">
        <f t="shared" ca="1" si="51"/>
        <v>0</v>
      </c>
      <c r="BC56" s="336">
        <f t="shared" ca="1" si="51"/>
        <v>0</v>
      </c>
      <c r="BD56" s="336">
        <f t="shared" ca="1" si="51"/>
        <v>0</v>
      </c>
      <c r="BE56" s="83">
        <f t="shared" ca="1" si="1"/>
        <v>0</v>
      </c>
      <c r="BF56" s="84">
        <f t="shared" ca="1" si="50"/>
        <v>0</v>
      </c>
      <c r="BH56" s="407" t="str">
        <f t="shared" ca="1" si="2"/>
        <v/>
      </c>
      <c r="BI56" s="408" t="str">
        <f t="shared" ca="1" si="3"/>
        <v/>
      </c>
      <c r="BK56" s="439">
        <f t="shared" ca="1" si="4"/>
        <v>0</v>
      </c>
      <c r="BL56" s="397">
        <f t="shared" ca="1" si="5"/>
        <v>0</v>
      </c>
      <c r="BM56" s="397">
        <f t="shared" ca="1" si="6"/>
        <v>0</v>
      </c>
      <c r="BN56" s="397">
        <f t="shared" ca="1" si="7"/>
        <v>0</v>
      </c>
      <c r="BO56" s="397">
        <f t="shared" ca="1" si="8"/>
        <v>0</v>
      </c>
      <c r="BP56" s="397">
        <f t="shared" ca="1" si="9"/>
        <v>0</v>
      </c>
      <c r="BQ56" s="397">
        <f t="shared" ca="1" si="10"/>
        <v>0</v>
      </c>
      <c r="BR56" s="397">
        <f t="shared" ca="1" si="11"/>
        <v>0</v>
      </c>
      <c r="BS56" s="397">
        <f t="shared" ca="1" si="12"/>
        <v>0</v>
      </c>
      <c r="BT56" s="397">
        <f t="shared" ca="1" si="13"/>
        <v>0</v>
      </c>
      <c r="BU56" s="397">
        <f t="shared" ca="1" si="14"/>
        <v>0</v>
      </c>
      <c r="BV56" s="397">
        <f t="shared" ca="1" si="15"/>
        <v>0</v>
      </c>
      <c r="BW56" s="397">
        <f t="shared" ca="1" si="16"/>
        <v>0</v>
      </c>
      <c r="BX56" s="397">
        <f t="shared" ca="1" si="17"/>
        <v>0</v>
      </c>
      <c r="BY56" s="397">
        <f t="shared" ca="1" si="18"/>
        <v>0</v>
      </c>
      <c r="BZ56" s="397">
        <f t="shared" ca="1" si="19"/>
        <v>0</v>
      </c>
      <c r="CA56" s="397">
        <f t="shared" ca="1" si="20"/>
        <v>0</v>
      </c>
      <c r="CB56" s="397">
        <f t="shared" ca="1" si="21"/>
        <v>0</v>
      </c>
      <c r="CC56" s="397">
        <f t="shared" ca="1" si="22"/>
        <v>0</v>
      </c>
      <c r="CD56" s="397">
        <f t="shared" ca="1" si="23"/>
        <v>0</v>
      </c>
      <c r="CE56" s="397">
        <f t="shared" ca="1" si="24"/>
        <v>0</v>
      </c>
      <c r="CF56" s="397">
        <f t="shared" ca="1" si="25"/>
        <v>0</v>
      </c>
      <c r="CG56" s="397">
        <f t="shared" ca="1" si="26"/>
        <v>0</v>
      </c>
      <c r="CH56" s="397">
        <f t="shared" ca="1" si="27"/>
        <v>0</v>
      </c>
      <c r="CI56" s="397">
        <f t="shared" ca="1" si="28"/>
        <v>0</v>
      </c>
      <c r="CJ56" s="397">
        <f t="shared" ca="1" si="29"/>
        <v>0</v>
      </c>
      <c r="CK56" s="397">
        <f t="shared" ca="1" si="30"/>
        <v>0</v>
      </c>
      <c r="CL56" s="397">
        <f t="shared" ca="1" si="31"/>
        <v>0</v>
      </c>
      <c r="CM56" s="397">
        <f t="shared" ca="1" si="32"/>
        <v>0</v>
      </c>
      <c r="CN56" s="397">
        <f t="shared" ca="1" si="33"/>
        <v>0</v>
      </c>
      <c r="CO56" s="397">
        <f t="shared" ca="1" si="34"/>
        <v>0</v>
      </c>
      <c r="CP56" s="397">
        <f t="shared" ca="1" si="35"/>
        <v>0</v>
      </c>
      <c r="CQ56" s="397">
        <f t="shared" ca="1" si="36"/>
        <v>0</v>
      </c>
      <c r="CR56" s="397">
        <f t="shared" ca="1" si="37"/>
        <v>0</v>
      </c>
      <c r="CS56" s="397">
        <f t="shared" ca="1" si="38"/>
        <v>0</v>
      </c>
      <c r="CT56" s="397">
        <f t="shared" ca="1" si="39"/>
        <v>0</v>
      </c>
      <c r="CU56" s="397">
        <f t="shared" ca="1" si="40"/>
        <v>0</v>
      </c>
      <c r="CV56" s="397">
        <f t="shared" ca="1" si="41"/>
        <v>0</v>
      </c>
      <c r="CW56" s="397">
        <f t="shared" ca="1" si="42"/>
        <v>0</v>
      </c>
      <c r="CX56" s="440">
        <f t="shared" ca="1" si="43"/>
        <v>0</v>
      </c>
      <c r="CY56" s="335">
        <f t="shared" si="44"/>
        <v>0</v>
      </c>
      <c r="CZ56" s="16"/>
      <c r="DA56" s="16"/>
      <c r="DB56" s="16"/>
      <c r="DC56" s="16"/>
      <c r="DD56" s="16"/>
      <c r="DE56" s="16"/>
      <c r="DF56" s="16"/>
      <c r="DG56" s="16"/>
      <c r="DH56" s="16"/>
    </row>
    <row r="57" spans="1:112" ht="14" customHeight="1">
      <c r="B57" s="463"/>
      <c r="C57" s="402" t="str">
        <f ca="1">IF(DrawFinder!AB57=0,"",DrawFinder!AB57)</f>
        <v/>
      </c>
      <c r="D57" s="402" t="str">
        <f ca="1">IF(DrawFinder!AC57=0,"",DrawFinder!AC57)</f>
        <v/>
      </c>
      <c r="E57" s="402" t="str">
        <f ca="1">IF(DrawFinder!AD57=0,"",DrawFinder!AD57)</f>
        <v/>
      </c>
      <c r="F57" s="402" t="str">
        <f ca="1">IF(DrawFinder!AE57=0,"",DrawFinder!AE57)</f>
        <v/>
      </c>
      <c r="G57" s="402" t="str">
        <f ca="1">IF(DrawFinder!AF57=0,"",DrawFinder!AF57)</f>
        <v/>
      </c>
      <c r="H57" s="402" t="str">
        <f ca="1">IF(DrawFinder!AG57=0,"",DrawFinder!AG57)</f>
        <v/>
      </c>
      <c r="I57" s="402" t="str">
        <f ca="1">IF(DrawFinder!AH57=0,"",DrawFinder!AH57)</f>
        <v/>
      </c>
      <c r="J57" s="402" t="str">
        <f ca="1">IF(DrawFinder!AI57=0,"",DrawFinder!AI57)</f>
        <v/>
      </c>
      <c r="K57" s="402" t="str">
        <f ca="1">IF(DrawFinder!AJ57=0,"",DrawFinder!AJ57)</f>
        <v/>
      </c>
      <c r="L57" s="402" t="str">
        <f ca="1">IF(DrawFinder!AK57=0,"",DrawFinder!AK57)</f>
        <v/>
      </c>
      <c r="M57" s="402" t="str">
        <f ca="1">IF(DrawFinder!AL57=0,"",DrawFinder!AL57)</f>
        <v/>
      </c>
      <c r="N57" s="402" t="str">
        <f ca="1">IF(DrawFinder!AM57=0,"",DrawFinder!AM57)</f>
        <v/>
      </c>
      <c r="O57" s="402" t="str">
        <f ca="1">IF(DrawFinder!AN57=0,"",DrawFinder!AN57)</f>
        <v/>
      </c>
      <c r="P57" s="402" t="str">
        <f ca="1">IF(DrawFinder!AO57=0,"",DrawFinder!AO57)</f>
        <v/>
      </c>
      <c r="Q57" s="402" t="str">
        <f ca="1">IF(DrawFinder!AP57=0,"",DrawFinder!AP57)</f>
        <v/>
      </c>
      <c r="R57" s="402" t="str">
        <f ca="1">IF(DrawFinder!AQ57=0,"",DrawFinder!AQ57)</f>
        <v/>
      </c>
      <c r="S57" s="402" t="str">
        <f ca="1">IF(DrawFinder!AR57=0,"",DrawFinder!AR57)</f>
        <v/>
      </c>
      <c r="T57" s="402" t="str">
        <f ca="1">IF(DrawFinder!AS57=0,"",DrawFinder!AS57)</f>
        <v/>
      </c>
      <c r="U57" s="402" t="str">
        <f ca="1">IF(DrawFinder!AT57=0,"",DrawFinder!AT57)</f>
        <v/>
      </c>
      <c r="V57" s="402" t="str">
        <f ca="1">IF(DrawFinder!AU57=0,"",DrawFinder!AU57)</f>
        <v/>
      </c>
      <c r="W57" s="402" t="str">
        <f ca="1">IF(DrawFinder!AV57=0,"",DrawFinder!AV57)</f>
        <v/>
      </c>
      <c r="X57" s="402" t="str">
        <f ca="1">IF(DrawFinder!AW57=0,"",DrawFinder!AW57)</f>
        <v/>
      </c>
      <c r="Y57" s="402" t="str">
        <f ca="1">IF(DrawFinder!AX57=0,"",DrawFinder!AX57)</f>
        <v/>
      </c>
      <c r="Z57" s="402" t="str">
        <f ca="1">IF(DrawFinder!AY57=0,"",DrawFinder!AY57)</f>
        <v/>
      </c>
      <c r="AA57" s="402" t="str">
        <f ca="1">IF(DrawFinder!AZ57=0,"",DrawFinder!AZ57)</f>
        <v/>
      </c>
      <c r="AB57" s="402" t="str">
        <f ca="1">IF(DrawFinder!BA57=0,"",DrawFinder!BA57)</f>
        <v/>
      </c>
      <c r="AC57" s="402" t="str">
        <f ca="1">IF(DrawFinder!BB57=0,"",DrawFinder!BB57)</f>
        <v/>
      </c>
      <c r="AD57" s="402" t="str">
        <f ca="1">IF(DrawFinder!BC57=0,"",DrawFinder!BC57)</f>
        <v/>
      </c>
      <c r="AE57" s="402" t="str">
        <f ca="1">IF(DrawFinder!BD57=0,"",DrawFinder!BD57)</f>
        <v/>
      </c>
      <c r="AF57" s="402" t="str">
        <f ca="1">IF(DrawFinder!BE57=0,"",DrawFinder!BE57)</f>
        <v/>
      </c>
      <c r="AG57" s="402" t="str">
        <f ca="1">IF(DrawFinder!BF57=0,"",DrawFinder!BF57)</f>
        <v/>
      </c>
      <c r="AH57" s="402" t="str">
        <f ca="1">IF(DrawFinder!BG57=0,"",DrawFinder!BG57)</f>
        <v/>
      </c>
      <c r="AI57" s="402" t="str">
        <f ca="1">IF(DrawFinder!BH57=0,"",DrawFinder!BH57)</f>
        <v/>
      </c>
      <c r="AJ57" s="402" t="str">
        <f ca="1">IF(DrawFinder!BI57=0,"",DrawFinder!BI57)</f>
        <v/>
      </c>
      <c r="AK57" s="402" t="str">
        <f ca="1">IF(DrawFinder!BJ57=0,"",DrawFinder!BJ57)</f>
        <v/>
      </c>
      <c r="AL57" s="402" t="str">
        <f ca="1">IF(DrawFinder!BK57=0,"",DrawFinder!BK57)</f>
        <v/>
      </c>
      <c r="AM57" s="402" t="str">
        <f ca="1">IF(DrawFinder!BL57=0,"",DrawFinder!BL57)</f>
        <v/>
      </c>
      <c r="AN57" s="402" t="str">
        <f ca="1">IF(DrawFinder!BM57=0,"",DrawFinder!BM57)</f>
        <v/>
      </c>
      <c r="AO57" s="402" t="str">
        <f ca="1">IF(DrawFinder!BN57=0,"",DrawFinder!BN57)</f>
        <v/>
      </c>
      <c r="AP57" s="400" t="str">
        <f ca="1">IF(DrawFinder!BO57=0,"",DrawFinder!BO57)</f>
        <v/>
      </c>
      <c r="AQ57" s="81" t="str">
        <f>IF(DrawFinder!Y57=0,"",DrawFinder!Y57)</f>
        <v/>
      </c>
      <c r="AT57" s="357"/>
      <c r="AU57" s="336">
        <f t="shared" ca="1" si="51"/>
        <v>0</v>
      </c>
      <c r="AV57" s="336">
        <f t="shared" ca="1" si="51"/>
        <v>0</v>
      </c>
      <c r="AW57" s="336">
        <f t="shared" ca="1" si="51"/>
        <v>0</v>
      </c>
      <c r="AX57" s="336">
        <f t="shared" ca="1" si="51"/>
        <v>0</v>
      </c>
      <c r="AY57" s="336">
        <f t="shared" ca="1" si="51"/>
        <v>0</v>
      </c>
      <c r="AZ57" s="336">
        <f t="shared" ca="1" si="51"/>
        <v>0</v>
      </c>
      <c r="BA57" s="336">
        <f t="shared" ca="1" si="51"/>
        <v>0</v>
      </c>
      <c r="BB57" s="336">
        <f t="shared" ca="1" si="51"/>
        <v>0</v>
      </c>
      <c r="BC57" s="336">
        <f t="shared" ca="1" si="51"/>
        <v>0</v>
      </c>
      <c r="BD57" s="336">
        <f t="shared" ca="1" si="51"/>
        <v>0</v>
      </c>
      <c r="BE57" s="83">
        <f t="shared" ca="1" si="1"/>
        <v>0</v>
      </c>
      <c r="BF57" s="84">
        <f t="shared" ca="1" si="50"/>
        <v>0</v>
      </c>
      <c r="BH57" s="406"/>
      <c r="BI57" s="357"/>
      <c r="BK57" s="441">
        <f t="shared" ref="BK57:CX57" ca="1" si="52">IF(AND(ISNUMBER(C57),C$5="e"),1,0)</f>
        <v>0</v>
      </c>
      <c r="BL57" s="335">
        <f t="shared" ca="1" si="52"/>
        <v>0</v>
      </c>
      <c r="BM57" s="335">
        <f t="shared" ca="1" si="52"/>
        <v>0</v>
      </c>
      <c r="BN57" s="335">
        <f t="shared" ca="1" si="52"/>
        <v>0</v>
      </c>
      <c r="BO57" s="335">
        <f t="shared" ca="1" si="52"/>
        <v>0</v>
      </c>
      <c r="BP57" s="335">
        <f t="shared" ca="1" si="52"/>
        <v>0</v>
      </c>
      <c r="BQ57" s="335">
        <f t="shared" ca="1" si="52"/>
        <v>0</v>
      </c>
      <c r="BR57" s="335">
        <f t="shared" ca="1" si="52"/>
        <v>0</v>
      </c>
      <c r="BS57" s="335">
        <f t="shared" ca="1" si="52"/>
        <v>0</v>
      </c>
      <c r="BT57" s="335">
        <f t="shared" ca="1" si="52"/>
        <v>0</v>
      </c>
      <c r="BU57" s="335">
        <f t="shared" ca="1" si="52"/>
        <v>0</v>
      </c>
      <c r="BV57" s="335">
        <f t="shared" ca="1" si="52"/>
        <v>0</v>
      </c>
      <c r="BW57" s="335">
        <f t="shared" ca="1" si="52"/>
        <v>0</v>
      </c>
      <c r="BX57" s="335">
        <f t="shared" ca="1" si="52"/>
        <v>0</v>
      </c>
      <c r="BY57" s="335">
        <f t="shared" ca="1" si="52"/>
        <v>0</v>
      </c>
      <c r="BZ57" s="335">
        <f t="shared" ca="1" si="52"/>
        <v>0</v>
      </c>
      <c r="CA57" s="335">
        <f t="shared" ca="1" si="52"/>
        <v>0</v>
      </c>
      <c r="CB57" s="335">
        <f t="shared" ca="1" si="52"/>
        <v>0</v>
      </c>
      <c r="CC57" s="335">
        <f t="shared" ca="1" si="52"/>
        <v>0</v>
      </c>
      <c r="CD57" s="335">
        <f t="shared" ca="1" si="52"/>
        <v>0</v>
      </c>
      <c r="CE57" s="335">
        <f t="shared" ca="1" si="52"/>
        <v>0</v>
      </c>
      <c r="CF57" s="335">
        <f t="shared" ca="1" si="52"/>
        <v>0</v>
      </c>
      <c r="CG57" s="335">
        <f t="shared" ca="1" si="52"/>
        <v>0</v>
      </c>
      <c r="CH57" s="335">
        <f t="shared" ca="1" si="52"/>
        <v>0</v>
      </c>
      <c r="CI57" s="335">
        <f t="shared" ca="1" si="52"/>
        <v>0</v>
      </c>
      <c r="CJ57" s="335">
        <f t="shared" ca="1" si="52"/>
        <v>0</v>
      </c>
      <c r="CK57" s="335">
        <f t="shared" ca="1" si="52"/>
        <v>0</v>
      </c>
      <c r="CL57" s="335">
        <f t="shared" ca="1" si="52"/>
        <v>0</v>
      </c>
      <c r="CM57" s="335">
        <f t="shared" ca="1" si="52"/>
        <v>0</v>
      </c>
      <c r="CN57" s="335">
        <f t="shared" ca="1" si="52"/>
        <v>0</v>
      </c>
      <c r="CO57" s="335">
        <f t="shared" ca="1" si="52"/>
        <v>0</v>
      </c>
      <c r="CP57" s="335">
        <f t="shared" ca="1" si="52"/>
        <v>0</v>
      </c>
      <c r="CQ57" s="335">
        <f t="shared" ca="1" si="52"/>
        <v>0</v>
      </c>
      <c r="CR57" s="335">
        <f t="shared" ca="1" si="52"/>
        <v>0</v>
      </c>
      <c r="CS57" s="335">
        <f t="shared" ca="1" si="52"/>
        <v>0</v>
      </c>
      <c r="CT57" s="335">
        <f t="shared" ca="1" si="52"/>
        <v>0</v>
      </c>
      <c r="CU57" s="335">
        <f t="shared" ca="1" si="52"/>
        <v>0</v>
      </c>
      <c r="CV57" s="335">
        <f t="shared" ca="1" si="52"/>
        <v>0</v>
      </c>
      <c r="CW57" s="335">
        <f t="shared" ca="1" si="52"/>
        <v>0</v>
      </c>
      <c r="CX57" s="442">
        <f t="shared" ca="1" si="52"/>
        <v>0</v>
      </c>
      <c r="CY57" s="335">
        <f t="shared" si="44"/>
        <v>0</v>
      </c>
      <c r="CZ57" s="16"/>
      <c r="DA57" s="16"/>
      <c r="DB57" s="16"/>
      <c r="DC57" s="16"/>
      <c r="DD57" s="16"/>
      <c r="DE57" s="16"/>
      <c r="DF57" s="16"/>
      <c r="DG57" s="16"/>
      <c r="DH57" s="16"/>
    </row>
    <row r="58" spans="1:112" ht="14" customHeight="1">
      <c r="B58" s="20"/>
      <c r="C58" s="402" t="str">
        <f ca="1">IF(DrawFinder!AB58=0,"",DrawFinder!AB58)</f>
        <v/>
      </c>
      <c r="D58" s="402" t="str">
        <f ca="1">IF(DrawFinder!AC58=0,"",DrawFinder!AC58)</f>
        <v/>
      </c>
      <c r="E58" s="402" t="str">
        <f ca="1">IF(DrawFinder!AD58=0,"",DrawFinder!AD58)</f>
        <v/>
      </c>
      <c r="F58" s="402" t="str">
        <f ca="1">IF(DrawFinder!AE58=0,"",DrawFinder!AE58)</f>
        <v/>
      </c>
      <c r="G58" s="402" t="str">
        <f ca="1">IF(DrawFinder!AF58=0,"",DrawFinder!AF58)</f>
        <v/>
      </c>
      <c r="H58" s="402" t="str">
        <f ca="1">IF(DrawFinder!AG58=0,"",DrawFinder!AG58)</f>
        <v/>
      </c>
      <c r="I58" s="402" t="str">
        <f ca="1">IF(DrawFinder!AH58=0,"",DrawFinder!AH58)</f>
        <v/>
      </c>
      <c r="J58" s="402" t="str">
        <f ca="1">IF(DrawFinder!AI58=0,"",DrawFinder!AI58)</f>
        <v/>
      </c>
      <c r="K58" s="402" t="str">
        <f ca="1">IF(DrawFinder!AJ58=0,"",DrawFinder!AJ58)</f>
        <v/>
      </c>
      <c r="L58" s="402" t="str">
        <f ca="1">IF(DrawFinder!AK58=0,"",DrawFinder!AK58)</f>
        <v/>
      </c>
      <c r="M58" s="402" t="str">
        <f ca="1">IF(DrawFinder!AL58=0,"",DrawFinder!AL58)</f>
        <v/>
      </c>
      <c r="N58" s="402" t="str">
        <f ca="1">IF(DrawFinder!AM58=0,"",DrawFinder!AM58)</f>
        <v/>
      </c>
      <c r="O58" s="402" t="str">
        <f ca="1">IF(DrawFinder!AN58=0,"",DrawFinder!AN58)</f>
        <v/>
      </c>
      <c r="P58" s="402" t="str">
        <f ca="1">IF(DrawFinder!AO58=0,"",DrawFinder!AO58)</f>
        <v/>
      </c>
      <c r="Q58" s="402" t="str">
        <f ca="1">IF(DrawFinder!AP58=0,"",DrawFinder!AP58)</f>
        <v/>
      </c>
      <c r="R58" s="402" t="str">
        <f ca="1">IF(DrawFinder!AQ58=0,"",DrawFinder!AQ58)</f>
        <v/>
      </c>
      <c r="S58" s="402" t="str">
        <f ca="1">IF(DrawFinder!AR58=0,"",DrawFinder!AR58)</f>
        <v/>
      </c>
      <c r="T58" s="402" t="str">
        <f ca="1">IF(DrawFinder!AS58=0,"",DrawFinder!AS58)</f>
        <v/>
      </c>
      <c r="U58" s="402" t="str">
        <f ca="1">IF(DrawFinder!AT58=0,"",DrawFinder!AT58)</f>
        <v/>
      </c>
      <c r="V58" s="402" t="str">
        <f ca="1">IF(DrawFinder!AU58=0,"",DrawFinder!AU58)</f>
        <v/>
      </c>
      <c r="W58" s="402" t="str">
        <f ca="1">IF(DrawFinder!AV58=0,"",DrawFinder!AV58)</f>
        <v/>
      </c>
      <c r="X58" s="402" t="str">
        <f ca="1">IF(DrawFinder!AW58=0,"",DrawFinder!AW58)</f>
        <v/>
      </c>
      <c r="Y58" s="402" t="str">
        <f ca="1">IF(DrawFinder!AX58=0,"",DrawFinder!AX58)</f>
        <v/>
      </c>
      <c r="Z58" s="402" t="str">
        <f ca="1">IF(DrawFinder!AY58=0,"",DrawFinder!AY58)</f>
        <v/>
      </c>
      <c r="AA58" s="402" t="str">
        <f ca="1">IF(DrawFinder!AZ58=0,"",DrawFinder!AZ58)</f>
        <v/>
      </c>
      <c r="AB58" s="402" t="str">
        <f ca="1">IF(DrawFinder!BA58=0,"",DrawFinder!BA58)</f>
        <v/>
      </c>
      <c r="AC58" s="402" t="str">
        <f ca="1">IF(DrawFinder!BB58=0,"",DrawFinder!BB58)</f>
        <v/>
      </c>
      <c r="AD58" s="402" t="str">
        <f ca="1">IF(DrawFinder!BC58=0,"",DrawFinder!BC58)</f>
        <v/>
      </c>
      <c r="AE58" s="402" t="str">
        <f ca="1">IF(DrawFinder!BD58=0,"",DrawFinder!BD58)</f>
        <v/>
      </c>
      <c r="AF58" s="402" t="str">
        <f ca="1">IF(DrawFinder!BE58=0,"",DrawFinder!BE58)</f>
        <v/>
      </c>
      <c r="AG58" s="402" t="str">
        <f ca="1">IF(DrawFinder!BF58=0,"",DrawFinder!BF58)</f>
        <v/>
      </c>
      <c r="AH58" s="402" t="str">
        <f ca="1">IF(DrawFinder!BG58=0,"",DrawFinder!BG58)</f>
        <v/>
      </c>
      <c r="AI58" s="402" t="str">
        <f ca="1">IF(DrawFinder!BH58=0,"",DrawFinder!BH58)</f>
        <v/>
      </c>
      <c r="AJ58" s="402" t="str">
        <f ca="1">IF(DrawFinder!BI58=0,"",DrawFinder!BI58)</f>
        <v/>
      </c>
      <c r="AK58" s="402" t="str">
        <f ca="1">IF(DrawFinder!BJ58=0,"",DrawFinder!BJ58)</f>
        <v/>
      </c>
      <c r="AL58" s="402" t="str">
        <f ca="1">IF(DrawFinder!BK58=0,"",DrawFinder!BK58)</f>
        <v/>
      </c>
      <c r="AM58" s="402" t="str">
        <f ca="1">IF(DrawFinder!BL58=0,"",DrawFinder!BL58)</f>
        <v/>
      </c>
      <c r="AN58" s="402" t="str">
        <f ca="1">IF(DrawFinder!BM58=0,"",DrawFinder!BM58)</f>
        <v/>
      </c>
      <c r="AO58" s="402" t="str">
        <f ca="1">IF(DrawFinder!BN58=0,"",DrawFinder!BN58)</f>
        <v/>
      </c>
      <c r="AP58" s="400" t="str">
        <f ca="1">IF(DrawFinder!BO58=0,"",DrawFinder!BO58)</f>
        <v/>
      </c>
      <c r="AQ58" s="81" t="str">
        <f>IF(DrawFinder!Y58=0,"",DrawFinder!Y58)</f>
        <v/>
      </c>
      <c r="AT58" s="357"/>
      <c r="AU58" s="336">
        <f t="shared" ca="1" si="51"/>
        <v>0</v>
      </c>
      <c r="AV58" s="336">
        <f t="shared" ca="1" si="51"/>
        <v>0</v>
      </c>
      <c r="AW58" s="336">
        <f t="shared" ca="1" si="51"/>
        <v>0</v>
      </c>
      <c r="AX58" s="336">
        <f t="shared" ca="1" si="51"/>
        <v>0</v>
      </c>
      <c r="AY58" s="336">
        <f t="shared" ca="1" si="51"/>
        <v>0</v>
      </c>
      <c r="AZ58" s="336">
        <f t="shared" ca="1" si="51"/>
        <v>0</v>
      </c>
      <c r="BA58" s="336">
        <f t="shared" ca="1" si="51"/>
        <v>0</v>
      </c>
      <c r="BB58" s="336">
        <f t="shared" ca="1" si="51"/>
        <v>0</v>
      </c>
      <c r="BC58" s="336">
        <f t="shared" ca="1" si="51"/>
        <v>0</v>
      </c>
      <c r="BD58" s="336">
        <f t="shared" ca="1" si="51"/>
        <v>0</v>
      </c>
      <c r="BE58" s="83">
        <f t="shared" ca="1" si="1"/>
        <v>0</v>
      </c>
      <c r="BF58" s="84">
        <f t="shared" ca="1" si="50"/>
        <v>0</v>
      </c>
      <c r="BH58" s="406"/>
      <c r="BI58" s="357"/>
      <c r="BK58" s="443"/>
      <c r="BL58" s="436"/>
      <c r="BM58" s="436"/>
      <c r="BN58" s="436"/>
      <c r="BO58" s="436"/>
      <c r="BP58" s="436"/>
      <c r="BQ58" s="436"/>
      <c r="BR58" s="436"/>
      <c r="BS58" s="436"/>
      <c r="BT58" s="436"/>
      <c r="BU58" s="436"/>
      <c r="BV58" s="436"/>
      <c r="BW58" s="436"/>
      <c r="BX58" s="436"/>
      <c r="BY58" s="436"/>
      <c r="BZ58" s="436"/>
      <c r="CA58" s="436"/>
      <c r="CB58" s="436"/>
      <c r="CC58" s="436"/>
      <c r="CD58" s="436"/>
      <c r="CE58" s="436"/>
      <c r="CF58" s="436"/>
      <c r="CG58" s="436"/>
      <c r="CH58" s="436"/>
      <c r="CI58" s="436"/>
      <c r="CJ58" s="436"/>
      <c r="CK58" s="436"/>
      <c r="CL58" s="436"/>
      <c r="CM58" s="436"/>
      <c r="CN58" s="436"/>
      <c r="CO58" s="436"/>
      <c r="CP58" s="436"/>
      <c r="CQ58" s="436"/>
      <c r="CR58" s="436"/>
      <c r="CS58" s="436"/>
      <c r="CT58" s="436"/>
      <c r="CU58" s="436"/>
      <c r="CV58" s="436"/>
      <c r="CW58" s="436"/>
      <c r="CX58" s="444"/>
      <c r="CY58" s="340"/>
      <c r="CZ58" s="16"/>
      <c r="DA58" s="16"/>
      <c r="DB58" s="16"/>
      <c r="DC58" s="16"/>
      <c r="DD58" s="16"/>
      <c r="DE58" s="16"/>
      <c r="DF58" s="16"/>
      <c r="DG58" s="16"/>
      <c r="DH58" s="16"/>
    </row>
    <row r="59" spans="1:112" ht="7" customHeight="1">
      <c r="B59" s="403"/>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404"/>
      <c r="AP59" s="404"/>
      <c r="AQ59" s="289"/>
      <c r="AR59" s="289"/>
      <c r="AS59" s="289"/>
      <c r="AT59" s="289"/>
      <c r="AU59" s="289"/>
      <c r="AV59" s="289"/>
      <c r="AW59" s="289"/>
      <c r="AX59" s="289"/>
      <c r="AY59" s="289"/>
      <c r="AZ59" s="289"/>
      <c r="BA59" s="289"/>
      <c r="BB59" s="289"/>
      <c r="BC59" s="289"/>
      <c r="BD59" s="405"/>
      <c r="BE59" s="289"/>
      <c r="BF59" s="289"/>
      <c r="BG59" s="289"/>
      <c r="BH59" s="289"/>
      <c r="BI59" s="289"/>
      <c r="BJ59" s="289"/>
      <c r="BK59" s="289"/>
      <c r="BL59" s="289"/>
      <c r="BM59" s="289"/>
      <c r="BN59" s="289"/>
      <c r="BO59" s="289"/>
      <c r="BP59" s="289"/>
      <c r="BQ59" s="289"/>
      <c r="BR59" s="289"/>
      <c r="BS59" s="289"/>
      <c r="BT59" s="289"/>
      <c r="BU59" s="289"/>
      <c r="BV59" s="289"/>
      <c r="BW59" s="289"/>
      <c r="BX59" s="289"/>
      <c r="BY59" s="289"/>
      <c r="BZ59" s="289"/>
      <c r="CA59" s="289"/>
      <c r="CB59" s="289"/>
      <c r="CC59" s="289"/>
      <c r="CD59" s="289"/>
      <c r="CE59" s="289"/>
      <c r="CF59" s="289"/>
      <c r="CG59" s="289"/>
      <c r="CH59" s="289"/>
      <c r="CI59" s="289"/>
      <c r="CJ59" s="289"/>
      <c r="CK59" s="289"/>
      <c r="CL59" s="289"/>
      <c r="CM59" s="289"/>
      <c r="CN59" s="289"/>
      <c r="CO59" s="289"/>
      <c r="CP59" s="289"/>
      <c r="CQ59" s="289"/>
      <c r="CR59" s="289"/>
      <c r="CS59" s="289"/>
      <c r="CT59" s="289"/>
      <c r="CU59" s="289"/>
      <c r="CV59" s="289"/>
      <c r="CW59" s="289"/>
      <c r="CX59" s="289"/>
      <c r="CY59" s="16"/>
      <c r="CZ59" s="16"/>
      <c r="DA59" s="16"/>
      <c r="DB59" s="16"/>
      <c r="DC59" s="16"/>
      <c r="DD59" s="16"/>
      <c r="DE59" s="16"/>
      <c r="DF59" s="16"/>
      <c r="DG59" s="16"/>
      <c r="DH59" s="16"/>
    </row>
    <row r="60" spans="1:112">
      <c r="B60" s="1"/>
      <c r="C60" s="398">
        <f t="shared" ref="C60:AP60" ca="1" si="53">IF(AND($BL$6=1,C61=1,COUNTIF(C11:C56,"&gt;0")),"m",0)</f>
        <v>0</v>
      </c>
      <c r="D60" s="398">
        <f t="shared" ca="1" si="53"/>
        <v>0</v>
      </c>
      <c r="E60" s="398">
        <f t="shared" ca="1" si="53"/>
        <v>0</v>
      </c>
      <c r="F60" s="398">
        <f t="shared" ca="1" si="53"/>
        <v>0</v>
      </c>
      <c r="G60" s="398">
        <f t="shared" ca="1" si="53"/>
        <v>0</v>
      </c>
      <c r="H60" s="398">
        <f t="shared" ca="1" si="53"/>
        <v>0</v>
      </c>
      <c r="I60" s="398">
        <f t="shared" ca="1" si="53"/>
        <v>0</v>
      </c>
      <c r="J60" s="398">
        <f t="shared" ca="1" si="53"/>
        <v>0</v>
      </c>
      <c r="K60" s="398">
        <f t="shared" ca="1" si="53"/>
        <v>0</v>
      </c>
      <c r="L60" s="398">
        <f t="shared" ca="1" si="53"/>
        <v>0</v>
      </c>
      <c r="M60" s="398">
        <f t="shared" ca="1" si="53"/>
        <v>0</v>
      </c>
      <c r="N60" s="398">
        <f t="shared" ca="1" si="53"/>
        <v>0</v>
      </c>
      <c r="O60" s="398">
        <f t="shared" ca="1" si="53"/>
        <v>0</v>
      </c>
      <c r="P60" s="398">
        <f t="shared" ca="1" si="53"/>
        <v>0</v>
      </c>
      <c r="Q60" s="398">
        <f t="shared" ca="1" si="53"/>
        <v>0</v>
      </c>
      <c r="R60" s="398">
        <f t="shared" ca="1" si="53"/>
        <v>0</v>
      </c>
      <c r="S60" s="398">
        <f t="shared" ca="1" si="53"/>
        <v>0</v>
      </c>
      <c r="T60" s="398">
        <f t="shared" ca="1" si="53"/>
        <v>0</v>
      </c>
      <c r="U60" s="398">
        <f t="shared" ca="1" si="53"/>
        <v>0</v>
      </c>
      <c r="V60" s="398">
        <f t="shared" ca="1" si="53"/>
        <v>0</v>
      </c>
      <c r="W60" s="398">
        <f t="shared" ca="1" si="53"/>
        <v>0</v>
      </c>
      <c r="X60" s="398">
        <f t="shared" ca="1" si="53"/>
        <v>0</v>
      </c>
      <c r="Y60" s="398">
        <f t="shared" ca="1" si="53"/>
        <v>0</v>
      </c>
      <c r="Z60" s="398">
        <f t="shared" ca="1" si="53"/>
        <v>0</v>
      </c>
      <c r="AA60" s="398">
        <f t="shared" ca="1" si="53"/>
        <v>0</v>
      </c>
      <c r="AB60" s="398">
        <f t="shared" ca="1" si="53"/>
        <v>0</v>
      </c>
      <c r="AC60" s="398">
        <f t="shared" ca="1" si="53"/>
        <v>0</v>
      </c>
      <c r="AD60" s="398">
        <f t="shared" ca="1" si="53"/>
        <v>0</v>
      </c>
      <c r="AE60" s="398">
        <f t="shared" ca="1" si="53"/>
        <v>0</v>
      </c>
      <c r="AF60" s="398">
        <f t="shared" ca="1" si="53"/>
        <v>0</v>
      </c>
      <c r="AG60" s="398">
        <f t="shared" ca="1" si="53"/>
        <v>0</v>
      </c>
      <c r="AH60" s="398">
        <f t="shared" ca="1" si="53"/>
        <v>0</v>
      </c>
      <c r="AI60" s="398">
        <f t="shared" ca="1" si="53"/>
        <v>0</v>
      </c>
      <c r="AJ60" s="398">
        <f t="shared" ca="1" si="53"/>
        <v>0</v>
      </c>
      <c r="AK60" s="398">
        <f t="shared" ca="1" si="53"/>
        <v>0</v>
      </c>
      <c r="AL60" s="398">
        <f t="shared" ca="1" si="53"/>
        <v>0</v>
      </c>
      <c r="AM60" s="398">
        <f t="shared" ca="1" si="53"/>
        <v>0</v>
      </c>
      <c r="AN60" s="398">
        <f t="shared" ca="1" si="53"/>
        <v>0</v>
      </c>
      <c r="AO60" s="398">
        <f t="shared" ca="1" si="53"/>
        <v>0</v>
      </c>
      <c r="AP60" s="398">
        <f t="shared" ca="1" si="53"/>
        <v>0</v>
      </c>
      <c r="CY60" s="16"/>
      <c r="CZ60" s="16"/>
      <c r="DA60" s="16"/>
      <c r="DB60" s="16"/>
      <c r="DC60" s="16"/>
      <c r="DD60" s="16"/>
      <c r="DE60" s="16"/>
      <c r="DF60" s="16"/>
      <c r="DG60" s="16"/>
      <c r="DH60" s="16"/>
    </row>
    <row r="61" spans="1:112">
      <c r="C61" s="398">
        <f ca="1">IF(BL6=1,BN6,0)</f>
        <v>0</v>
      </c>
      <c r="D61" s="398">
        <f t="shared" ref="D61:AP61" ca="1" si="54">IF(C61+1&gt;$BM$6,1,C61+1)</f>
        <v>1</v>
      </c>
      <c r="E61" s="398">
        <f t="shared" ca="1" si="54"/>
        <v>1</v>
      </c>
      <c r="F61" s="398">
        <f t="shared" ca="1" si="54"/>
        <v>1</v>
      </c>
      <c r="G61" s="398">
        <f t="shared" ca="1" si="54"/>
        <v>1</v>
      </c>
      <c r="H61" s="398">
        <f t="shared" ca="1" si="54"/>
        <v>1</v>
      </c>
      <c r="I61" s="398">
        <f t="shared" ca="1" si="54"/>
        <v>1</v>
      </c>
      <c r="J61" s="398">
        <f t="shared" ca="1" si="54"/>
        <v>1</v>
      </c>
      <c r="K61" s="398">
        <f t="shared" ca="1" si="54"/>
        <v>1</v>
      </c>
      <c r="L61" s="398">
        <f t="shared" ca="1" si="54"/>
        <v>1</v>
      </c>
      <c r="M61" s="398">
        <f t="shared" ca="1" si="54"/>
        <v>1</v>
      </c>
      <c r="N61" s="398">
        <f t="shared" ca="1" si="54"/>
        <v>1</v>
      </c>
      <c r="O61" s="398">
        <f t="shared" ca="1" si="54"/>
        <v>1</v>
      </c>
      <c r="P61" s="398">
        <f t="shared" ca="1" si="54"/>
        <v>1</v>
      </c>
      <c r="Q61" s="398">
        <f t="shared" ca="1" si="54"/>
        <v>1</v>
      </c>
      <c r="R61" s="398">
        <f t="shared" ca="1" si="54"/>
        <v>1</v>
      </c>
      <c r="S61" s="398">
        <f t="shared" ca="1" si="54"/>
        <v>1</v>
      </c>
      <c r="T61" s="398">
        <f t="shared" ca="1" si="54"/>
        <v>1</v>
      </c>
      <c r="U61" s="398">
        <f t="shared" ca="1" si="54"/>
        <v>1</v>
      </c>
      <c r="V61" s="398">
        <f t="shared" ca="1" si="54"/>
        <v>1</v>
      </c>
      <c r="W61" s="398">
        <f t="shared" ca="1" si="54"/>
        <v>1</v>
      </c>
      <c r="X61" s="398">
        <f t="shared" ca="1" si="54"/>
        <v>1</v>
      </c>
      <c r="Y61" s="398">
        <f t="shared" ca="1" si="54"/>
        <v>1</v>
      </c>
      <c r="Z61" s="398">
        <f t="shared" ca="1" si="54"/>
        <v>1</v>
      </c>
      <c r="AA61" s="398">
        <f t="shared" ca="1" si="54"/>
        <v>1</v>
      </c>
      <c r="AB61" s="398">
        <f t="shared" ca="1" si="54"/>
        <v>1</v>
      </c>
      <c r="AC61" s="398">
        <f t="shared" ca="1" si="54"/>
        <v>1</v>
      </c>
      <c r="AD61" s="398">
        <f t="shared" ca="1" si="54"/>
        <v>1</v>
      </c>
      <c r="AE61" s="398">
        <f t="shared" ca="1" si="54"/>
        <v>1</v>
      </c>
      <c r="AF61" s="398">
        <f t="shared" ca="1" si="54"/>
        <v>1</v>
      </c>
      <c r="AG61" s="398">
        <f t="shared" ca="1" si="54"/>
        <v>1</v>
      </c>
      <c r="AH61" s="398">
        <f t="shared" ca="1" si="54"/>
        <v>1</v>
      </c>
      <c r="AI61" s="398">
        <f t="shared" ca="1" si="54"/>
        <v>1</v>
      </c>
      <c r="AJ61" s="398">
        <f t="shared" ca="1" si="54"/>
        <v>1</v>
      </c>
      <c r="AK61" s="398">
        <f t="shared" ca="1" si="54"/>
        <v>1</v>
      </c>
      <c r="AL61" s="398">
        <f t="shared" ca="1" si="54"/>
        <v>1</v>
      </c>
      <c r="AM61" s="398">
        <f t="shared" ca="1" si="54"/>
        <v>1</v>
      </c>
      <c r="AN61" s="398">
        <f t="shared" ca="1" si="54"/>
        <v>1</v>
      </c>
      <c r="AO61" s="398">
        <f t="shared" ca="1" si="54"/>
        <v>1</v>
      </c>
      <c r="AP61" s="398">
        <f t="shared" ca="1" si="54"/>
        <v>1</v>
      </c>
      <c r="CY61" s="16"/>
      <c r="CZ61" s="16"/>
      <c r="DA61" s="16"/>
      <c r="DB61" s="16"/>
      <c r="DC61" s="16"/>
    </row>
    <row r="62" spans="1:112">
      <c r="B62" s="469" t="s">
        <v>1190</v>
      </c>
      <c r="C62" s="5">
        <f ca="1">COUNTIF(C11:C58,"&gt;0")</f>
        <v>6</v>
      </c>
      <c r="D62" s="5">
        <f t="shared" ref="D62:AP62" ca="1" si="55">COUNTIF(D11:D58,"&gt;0")</f>
        <v>6</v>
      </c>
      <c r="E62" s="5">
        <f t="shared" ca="1" si="55"/>
        <v>6</v>
      </c>
      <c r="F62" s="5">
        <f t="shared" ca="1" si="55"/>
        <v>6</v>
      </c>
      <c r="G62" s="5">
        <f t="shared" ca="1" si="55"/>
        <v>6</v>
      </c>
      <c r="H62" s="5">
        <f t="shared" ca="1" si="55"/>
        <v>6</v>
      </c>
      <c r="I62" s="5">
        <f t="shared" ca="1" si="55"/>
        <v>6</v>
      </c>
      <c r="J62" s="5">
        <f t="shared" ca="1" si="55"/>
        <v>6</v>
      </c>
      <c r="K62" s="5">
        <f t="shared" ca="1" si="55"/>
        <v>6</v>
      </c>
      <c r="L62" s="5">
        <f t="shared" ca="1" si="55"/>
        <v>6</v>
      </c>
      <c r="M62" s="5">
        <f t="shared" ca="1" si="55"/>
        <v>6</v>
      </c>
      <c r="N62" s="5">
        <f t="shared" ca="1" si="55"/>
        <v>6</v>
      </c>
      <c r="O62" s="5">
        <f t="shared" ca="1" si="55"/>
        <v>6</v>
      </c>
      <c r="P62" s="5">
        <f t="shared" ca="1" si="55"/>
        <v>6</v>
      </c>
      <c r="Q62" s="5">
        <f t="shared" ca="1" si="55"/>
        <v>0</v>
      </c>
      <c r="R62" s="5">
        <f t="shared" ca="1" si="55"/>
        <v>0</v>
      </c>
      <c r="S62" s="5">
        <f t="shared" ca="1" si="55"/>
        <v>0</v>
      </c>
      <c r="T62" s="5">
        <f t="shared" ca="1" si="55"/>
        <v>0</v>
      </c>
      <c r="U62" s="5">
        <f t="shared" ca="1" si="55"/>
        <v>0</v>
      </c>
      <c r="V62" s="5">
        <f t="shared" ca="1" si="55"/>
        <v>0</v>
      </c>
      <c r="W62" s="5">
        <f t="shared" ca="1" si="55"/>
        <v>0</v>
      </c>
      <c r="X62" s="5">
        <f t="shared" ca="1" si="55"/>
        <v>0</v>
      </c>
      <c r="Y62" s="5">
        <f t="shared" ca="1" si="55"/>
        <v>0</v>
      </c>
      <c r="Z62" s="5">
        <f t="shared" ca="1" si="55"/>
        <v>0</v>
      </c>
      <c r="AA62" s="5">
        <f t="shared" ca="1" si="55"/>
        <v>0</v>
      </c>
      <c r="AB62" s="5">
        <f t="shared" ca="1" si="55"/>
        <v>0</v>
      </c>
      <c r="AC62" s="5">
        <f t="shared" ca="1" si="55"/>
        <v>0</v>
      </c>
      <c r="AD62" s="5">
        <f t="shared" ca="1" si="55"/>
        <v>0</v>
      </c>
      <c r="AE62" s="5">
        <f t="shared" ca="1" si="55"/>
        <v>0</v>
      </c>
      <c r="AF62" s="5">
        <f t="shared" ca="1" si="55"/>
        <v>0</v>
      </c>
      <c r="AG62" s="5">
        <f t="shared" ca="1" si="55"/>
        <v>0</v>
      </c>
      <c r="AH62" s="5">
        <f t="shared" ca="1" si="55"/>
        <v>0</v>
      </c>
      <c r="AI62" s="5">
        <f t="shared" ca="1" si="55"/>
        <v>0</v>
      </c>
      <c r="AJ62" s="5">
        <f t="shared" ca="1" si="55"/>
        <v>0</v>
      </c>
      <c r="AK62" s="5">
        <f t="shared" ca="1" si="55"/>
        <v>0</v>
      </c>
      <c r="AL62" s="5">
        <f t="shared" ca="1" si="55"/>
        <v>0</v>
      </c>
      <c r="AM62" s="5">
        <f t="shared" ca="1" si="55"/>
        <v>0</v>
      </c>
      <c r="AN62" s="5">
        <f t="shared" ca="1" si="55"/>
        <v>0</v>
      </c>
      <c r="AO62" s="5">
        <f t="shared" ca="1" si="55"/>
        <v>0</v>
      </c>
      <c r="AP62" s="5">
        <f t="shared" ca="1" si="55"/>
        <v>0</v>
      </c>
      <c r="CY62" s="16"/>
      <c r="CZ62" s="16"/>
      <c r="DA62" s="16"/>
      <c r="DB62" s="16"/>
      <c r="DC62" s="16"/>
    </row>
    <row r="63" spans="1:112">
      <c r="B63" s="1"/>
      <c r="AO63" s="86" t="s">
        <v>80</v>
      </c>
    </row>
    <row r="64" spans="1:112">
      <c r="C64" s="1" t="s">
        <v>626</v>
      </c>
      <c r="E64" s="2"/>
      <c r="F64" s="2"/>
      <c r="G64" s="1"/>
      <c r="H64" s="1"/>
      <c r="I64" s="2"/>
      <c r="J64" s="3"/>
      <c r="K64" s="1"/>
      <c r="L64" s="1"/>
      <c r="M64" s="2"/>
      <c r="N64" s="3"/>
      <c r="O64" s="1"/>
      <c r="U64" s="1" t="s">
        <v>47</v>
      </c>
    </row>
    <row r="65" spans="2:30">
      <c r="B65" s="1"/>
      <c r="C65" s="1" t="s">
        <v>162</v>
      </c>
      <c r="E65" s="3"/>
      <c r="F65" s="2"/>
      <c r="G65" s="1"/>
      <c r="H65" s="1"/>
      <c r="I65" s="3"/>
      <c r="J65" s="3"/>
      <c r="K65" s="1"/>
      <c r="L65" s="1"/>
      <c r="M65" s="2"/>
      <c r="N65" s="2"/>
      <c r="O65" s="1"/>
      <c r="U65" s="1" t="s">
        <v>166</v>
      </c>
    </row>
    <row r="66" spans="2:30">
      <c r="B66" s="1"/>
      <c r="E66" s="3"/>
      <c r="F66" s="1"/>
      <c r="G66" s="2"/>
      <c r="H66" s="3"/>
      <c r="I66" s="1"/>
      <c r="J66" s="1"/>
      <c r="K66" s="2"/>
      <c r="L66" s="2"/>
      <c r="M66" s="1"/>
      <c r="N66" s="1"/>
      <c r="O66" s="3"/>
      <c r="U66" s="1" t="s">
        <v>48</v>
      </c>
      <c r="V66" s="1"/>
    </row>
    <row r="67" spans="2:30">
      <c r="B67" s="1"/>
      <c r="C67" s="50" t="s">
        <v>853</v>
      </c>
      <c r="E67" s="2"/>
      <c r="F67" s="1"/>
      <c r="G67" s="2"/>
      <c r="H67" s="3"/>
      <c r="I67" s="1"/>
      <c r="J67" s="1"/>
      <c r="K67" s="3"/>
      <c r="L67" s="2"/>
      <c r="M67" s="1"/>
      <c r="N67" s="1"/>
      <c r="O67" s="2"/>
      <c r="V67" s="2"/>
    </row>
    <row r="68" spans="2:30">
      <c r="B68" s="1"/>
      <c r="E68" s="3"/>
      <c r="F68" s="1"/>
      <c r="G68" s="3"/>
      <c r="H68" s="2"/>
      <c r="I68" s="1"/>
      <c r="J68" s="1"/>
      <c r="K68" s="2"/>
      <c r="L68" s="3"/>
      <c r="M68" s="1"/>
      <c r="N68" s="1"/>
      <c r="O68" s="3"/>
      <c r="V68" s="4" t="s">
        <v>0</v>
      </c>
    </row>
    <row r="69" spans="2:30">
      <c r="B69" s="1"/>
      <c r="C69" s="1"/>
      <c r="D69" s="1"/>
      <c r="E69" s="2"/>
      <c r="F69" s="1"/>
      <c r="G69" s="3"/>
      <c r="H69" s="3"/>
      <c r="I69" s="1"/>
      <c r="J69" s="1"/>
      <c r="K69" s="2"/>
      <c r="L69" s="3"/>
      <c r="M69" s="1"/>
      <c r="N69" s="1"/>
      <c r="O69" s="2"/>
    </row>
    <row r="70" spans="2:30">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row>
    <row r="71" spans="2:30">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row>
    <row r="72" spans="2:30">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row>
    <row r="73" spans="2:30">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row>
    <row r="74" spans="2:30">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row>
    <row r="75" spans="2:30">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row>
    <row r="76" spans="2:30">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row>
    <row r="77" spans="2:30">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row>
    <row r="78" spans="2:30">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row>
    <row r="79" spans="2:30">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row>
    <row r="80" spans="2:30">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row>
    <row r="81" spans="2:30">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row>
    <row r="82" spans="2:30">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row>
    <row r="83" spans="2:30">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row>
    <row r="84" spans="2:30">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row>
    <row r="85" spans="2:30">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row>
    <row r="86" spans="2:30">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row>
    <row r="87" spans="2:30">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row>
    <row r="88" spans="2:30">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row>
    <row r="89" spans="2:30">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2:30">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row>
    <row r="91" spans="2:30">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row>
    <row r="92" spans="2:30">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row>
    <row r="93" spans="2:30">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row>
    <row r="94" spans="2:30">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row>
    <row r="95" spans="2:30">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row>
    <row r="96" spans="2:30">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row>
    <row r="97" spans="2:30">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row>
  </sheetData>
  <sheetProtection password="FFF0" sheet="1" objects="1" scenarios="1"/>
  <conditionalFormatting sqref="AT12:AT56 AU12:BF58 AT11:BF11 BK11:CY57">
    <cfRule type="cellIs" dxfId="285" priority="7" operator="equal">
      <formula>0</formula>
    </cfRule>
  </conditionalFormatting>
  <conditionalFormatting sqref="C11:AP58">
    <cfRule type="expression" dxfId="284" priority="2" stopIfTrue="1">
      <formula>$AQ$5="n"</formula>
    </cfRule>
    <cfRule type="cellIs" dxfId="283" priority="3" stopIfTrue="1" operator="equal">
      <formula>"x"</formula>
    </cfRule>
    <cfRule type="expression" dxfId="282" priority="25" stopIfTrue="1">
      <formula>AND(C$5="l",C11&lt;&gt;"")</formula>
    </cfRule>
  </conditionalFormatting>
  <conditionalFormatting sqref="B11:B56">
    <cfRule type="expression" dxfId="281" priority="24">
      <formula>AQ11&lt;&gt;AQ10</formula>
    </cfRule>
  </conditionalFormatting>
  <conditionalFormatting sqref="C7:AP7">
    <cfRule type="expression" dxfId="280" priority="21">
      <formula>C$5="m"</formula>
    </cfRule>
  </conditionalFormatting>
  <conditionalFormatting sqref="AU11:BD58">
    <cfRule type="cellIs" dxfId="279" priority="10" operator="lessThan">
      <formula>$BD$8</formula>
    </cfRule>
  </conditionalFormatting>
  <conditionalFormatting sqref="AU11:BD58">
    <cfRule type="cellIs" dxfId="278" priority="15" operator="equal">
      <formula>$BD$8</formula>
    </cfRule>
  </conditionalFormatting>
  <conditionalFormatting sqref="C9:AP9">
    <cfRule type="cellIs" dxfId="277" priority="419" operator="greaterThan">
      <formula>$BU$4</formula>
    </cfRule>
  </conditionalFormatting>
  <conditionalFormatting sqref="AU9:BD9">
    <cfRule type="cellIs" dxfId="276" priority="420" operator="greaterThan">
      <formula>$BU$5</formula>
    </cfRule>
  </conditionalFormatting>
  <conditionalFormatting sqref="AU11:BD58">
    <cfRule type="expression" dxfId="275" priority="421">
      <formula>AND(AU$9&lt;=$BU$5,$A11&lt;&gt;"",AU11=0)</formula>
    </cfRule>
    <cfRule type="cellIs" dxfId="274" priority="422" operator="greaterThan">
      <formula>$BD$8</formula>
    </cfRule>
  </conditionalFormatting>
  <conditionalFormatting sqref="C11:AP58">
    <cfRule type="expression" dxfId="273" priority="26">
      <formula>AND($AT$8="c",C$5="m",ISNUMBER(C11),C11&gt;0)</formula>
    </cfRule>
    <cfRule type="expression" dxfId="272" priority="27">
      <formula>AND($AT$8="c",C$5="m",ISNUMBER(C11),C11&lt;0)</formula>
    </cfRule>
  </conditionalFormatting>
  <conditionalFormatting sqref="C62:AP62">
    <cfRule type="cellIs" dxfId="271" priority="1" operator="equal">
      <formula>0</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9"/>
  <sheetViews>
    <sheetView workbookViewId="0">
      <selection activeCell="B4" sqref="B4"/>
    </sheetView>
  </sheetViews>
  <sheetFormatPr baseColWidth="10" defaultRowHeight="15" x14ac:dyDescent="0"/>
  <cols>
    <col min="1" max="1" width="6.7109375" style="4" customWidth="1"/>
    <col min="2" max="2" width="16.7109375" style="4" customWidth="1"/>
    <col min="3" max="3" width="1.7109375" style="4" customWidth="1"/>
    <col min="4" max="4" width="0.85546875" style="5" customWidth="1"/>
    <col min="5" max="5" width="12.7109375" style="4" customWidth="1"/>
    <col min="6" max="6" width="3.7109375" style="4" customWidth="1"/>
    <col min="7" max="7" width="12.7109375" style="4" customWidth="1"/>
    <col min="8" max="8" width="0.85546875" style="5" customWidth="1"/>
    <col min="9" max="9" width="12.7109375" style="4" customWidth="1"/>
    <col min="10" max="10" width="3.7109375" style="4" customWidth="1"/>
    <col min="11" max="11" width="12.7109375" style="4" customWidth="1"/>
    <col min="12" max="12" width="0.85546875" style="5" customWidth="1"/>
    <col min="13" max="13" width="12.7109375" style="4" customWidth="1"/>
    <col min="14" max="14" width="3.7109375" style="4" customWidth="1"/>
    <col min="15" max="15" width="12.7109375" style="4" customWidth="1"/>
    <col min="16" max="16" width="0.85546875" style="5" customWidth="1"/>
    <col min="17" max="17" width="12.7109375" style="4" customWidth="1"/>
    <col min="18" max="18" width="3.7109375" style="4" customWidth="1"/>
    <col min="19" max="19" width="12.7109375" style="4" customWidth="1"/>
    <col min="20" max="20" width="0.85546875" style="5" customWidth="1"/>
    <col min="21" max="21" width="12.7109375" style="4" customWidth="1"/>
    <col min="22" max="22" width="3.7109375" style="4" customWidth="1"/>
    <col min="23" max="23" width="12.7109375" style="4" customWidth="1"/>
    <col min="24" max="24" width="0.85546875" style="5" customWidth="1"/>
    <col min="25" max="25" width="12.7109375" style="4" customWidth="1"/>
    <col min="26" max="26" width="3.7109375" style="4" customWidth="1"/>
    <col min="27" max="27" width="12.7109375" style="4" customWidth="1"/>
    <col min="28" max="28" width="0.85546875" style="5" customWidth="1"/>
    <col min="29" max="29" width="12.7109375" style="4" customWidth="1"/>
    <col min="30" max="30" width="3.7109375" style="4" customWidth="1"/>
    <col min="31" max="31" width="12.7109375" style="4" customWidth="1"/>
    <col min="32" max="32" width="0.85546875" style="5" customWidth="1"/>
    <col min="33" max="33" width="12.7109375" style="4" customWidth="1"/>
    <col min="34" max="34" width="3.7109375" style="4" customWidth="1"/>
    <col min="35" max="35" width="12.7109375" style="4" customWidth="1"/>
    <col min="36" max="36" width="0.85546875" style="5" customWidth="1"/>
    <col min="37" max="37" width="12.7109375" style="4" customWidth="1"/>
    <col min="38" max="38" width="3.7109375" style="4" customWidth="1"/>
    <col min="39" max="39" width="12.7109375" style="4" customWidth="1"/>
    <col min="40" max="40" width="0.85546875" style="5" customWidth="1"/>
    <col min="41" max="41" width="12.7109375" style="4" customWidth="1"/>
    <col min="42" max="42" width="3.7109375" style="4" customWidth="1"/>
    <col min="43" max="43" width="12.7109375" style="4" customWidth="1"/>
    <col min="44" max="44" width="0.85546875" style="5" customWidth="1"/>
    <col min="45" max="45" width="12.7109375" style="4" customWidth="1"/>
    <col min="46" max="46" width="2.7109375" style="4" customWidth="1"/>
    <col min="47" max="47" width="12.7109375" style="4" customWidth="1"/>
    <col min="48" max="48" width="0.85546875" style="5" customWidth="1"/>
    <col min="49" max="49" width="12.7109375" style="4" customWidth="1"/>
    <col min="50" max="50" width="2.7109375" style="4" customWidth="1"/>
    <col min="51" max="51" width="12.7109375" style="4" customWidth="1"/>
    <col min="52" max="52" width="0.85546875" style="4" customWidth="1"/>
    <col min="53" max="124" width="4.7109375" style="4" customWidth="1"/>
    <col min="125" max="16384" width="10.7109375" style="4"/>
  </cols>
  <sheetData>
    <row r="1" spans="1:53" ht="18" customHeight="1">
      <c r="A1" s="147" t="s">
        <v>576</v>
      </c>
    </row>
    <row r="2" spans="1:53" ht="3" customHeight="1"/>
    <row r="3" spans="1:53" ht="3" customHeight="1"/>
    <row r="4" spans="1:53">
      <c r="A4" s="4" t="s">
        <v>164</v>
      </c>
      <c r="B4" s="71" t="str">
        <f>Intro!D46</f>
        <v/>
      </c>
      <c r="E4" s="85" t="str">
        <f>Intro!H1</f>
        <v>Curling Club Name League</v>
      </c>
      <c r="F4" s="85" t="str">
        <f>IF(E4=G4,"y","n")</f>
        <v>y</v>
      </c>
      <c r="G4" s="85" t="str">
        <f>Intro!H2</f>
        <v>Curling Club Name League</v>
      </c>
    </row>
    <row r="5" spans="1:53">
      <c r="F5" s="10" t="s">
        <v>862</v>
      </c>
      <c r="G5" s="301" t="s">
        <v>1053</v>
      </c>
      <c r="I5" s="4" t="s">
        <v>863</v>
      </c>
    </row>
    <row r="6" spans="1:53" ht="18">
      <c r="B6" s="14" t="str">
        <f>CS!$B$6</f>
        <v>Curling Club Name League</v>
      </c>
      <c r="AS6" s="38"/>
      <c r="AT6" s="38"/>
      <c r="AU6" s="38"/>
      <c r="AV6" s="39"/>
      <c r="AW6" s="38"/>
      <c r="AX6" s="38"/>
      <c r="AY6" s="38"/>
      <c r="AZ6" s="39"/>
    </row>
    <row r="7" spans="1:53" ht="1" customHeight="1">
      <c r="A7" s="7"/>
      <c r="B7" s="7"/>
      <c r="C7" s="7"/>
      <c r="D7" s="12"/>
      <c r="E7" s="7"/>
      <c r="F7" s="7"/>
      <c r="G7" s="7"/>
      <c r="H7" s="12"/>
      <c r="I7" s="7"/>
      <c r="J7" s="7"/>
      <c r="K7" s="7"/>
      <c r="L7" s="12"/>
      <c r="M7" s="7"/>
      <c r="N7" s="7"/>
      <c r="O7" s="7"/>
      <c r="P7" s="12"/>
      <c r="Q7" s="7"/>
      <c r="R7" s="7"/>
      <c r="S7" s="7"/>
      <c r="T7" s="12"/>
      <c r="U7" s="7"/>
      <c r="V7" s="7"/>
      <c r="W7" s="7"/>
      <c r="X7" s="12"/>
      <c r="Y7" s="7"/>
      <c r="Z7" s="7"/>
      <c r="AA7" s="7"/>
      <c r="AB7" s="12"/>
      <c r="AC7" s="7"/>
      <c r="AD7" s="7"/>
      <c r="AE7" s="7"/>
      <c r="AF7" s="12"/>
      <c r="AG7" s="7"/>
      <c r="AH7" s="7"/>
      <c r="AI7" s="7"/>
      <c r="AJ7" s="12"/>
      <c r="AK7" s="7"/>
      <c r="AL7" s="7"/>
      <c r="AM7" s="7"/>
      <c r="AN7" s="12"/>
      <c r="AO7" s="7"/>
      <c r="AP7" s="7"/>
      <c r="AQ7" s="7"/>
      <c r="AR7" s="12"/>
      <c r="AS7" s="38"/>
      <c r="AT7" s="38"/>
      <c r="AU7" s="38"/>
      <c r="AV7" s="39"/>
      <c r="AW7" s="38"/>
      <c r="AX7" s="38"/>
      <c r="AY7" s="38"/>
      <c r="AZ7" s="39"/>
    </row>
    <row r="8" spans="1:53" s="5" customFormat="1" ht="15" customHeight="1">
      <c r="F8" s="5" t="s">
        <v>65</v>
      </c>
      <c r="J8" s="5" t="s">
        <v>65</v>
      </c>
      <c r="N8" s="5" t="s">
        <v>65</v>
      </c>
      <c r="R8" s="5" t="s">
        <v>65</v>
      </c>
      <c r="V8" s="5" t="s">
        <v>65</v>
      </c>
      <c r="Z8" s="5" t="s">
        <v>65</v>
      </c>
      <c r="AD8" s="5" t="s">
        <v>65</v>
      </c>
      <c r="AH8" s="5" t="s">
        <v>65</v>
      </c>
      <c r="AL8" s="5" t="s">
        <v>65</v>
      </c>
      <c r="AP8" s="5" t="s">
        <v>65</v>
      </c>
      <c r="AR8"/>
      <c r="AS8" s="39"/>
      <c r="AT8" s="39"/>
      <c r="AU8" s="39"/>
      <c r="AV8" s="40"/>
      <c r="AW8" s="39"/>
      <c r="AX8" s="39"/>
      <c r="AY8" s="39"/>
      <c r="AZ8" s="40"/>
    </row>
    <row r="9" spans="1:53">
      <c r="B9" s="4" t="s">
        <v>66</v>
      </c>
      <c r="E9" s="6"/>
      <c r="F9" s="5">
        <f>IF($F$4="y",1,"")</f>
        <v>1</v>
      </c>
      <c r="G9" s="7"/>
      <c r="H9" s="4"/>
      <c r="I9" s="6"/>
      <c r="J9" s="5">
        <f>IF($F$4="y",2,"")</f>
        <v>2</v>
      </c>
      <c r="K9" s="7"/>
      <c r="L9" s="4"/>
      <c r="M9" s="6"/>
      <c r="N9" s="5">
        <f>IF($F$4="y",3,"")</f>
        <v>3</v>
      </c>
      <c r="O9" s="7"/>
      <c r="P9" s="4"/>
      <c r="Q9" s="6"/>
      <c r="R9" s="5">
        <f>IF($F$4="y",4,"")</f>
        <v>4</v>
      </c>
      <c r="S9" s="7"/>
      <c r="T9" s="4"/>
      <c r="U9" s="6"/>
      <c r="V9" s="5">
        <f>IF($F$4="y",5,"")</f>
        <v>5</v>
      </c>
      <c r="W9" s="7"/>
      <c r="X9" s="4"/>
      <c r="Y9" s="6"/>
      <c r="Z9" s="5">
        <f>IF($F$4="y",6,"")</f>
        <v>6</v>
      </c>
      <c r="AA9" s="7"/>
      <c r="AB9" s="4"/>
      <c r="AC9" s="6"/>
      <c r="AD9" s="5">
        <f>IF($F$4="y",7,"")</f>
        <v>7</v>
      </c>
      <c r="AE9" s="7"/>
      <c r="AF9" s="4"/>
      <c r="AG9" s="6"/>
      <c r="AH9" s="5">
        <f>IF($F$4="y",8,"")</f>
        <v>8</v>
      </c>
      <c r="AI9" s="7"/>
      <c r="AJ9" s="4"/>
      <c r="AK9" s="6"/>
      <c r="AL9" s="5">
        <f>IF($F$4="y",9,"")</f>
        <v>9</v>
      </c>
      <c r="AM9" s="7"/>
      <c r="AN9" s="4"/>
      <c r="AO9" s="6"/>
      <c r="AP9" s="5">
        <f>IF($F$4="y",10,"")</f>
        <v>10</v>
      </c>
      <c r="AQ9" s="7"/>
      <c r="AR9"/>
      <c r="AS9" s="38"/>
      <c r="AT9" s="39"/>
      <c r="AU9" s="38"/>
      <c r="AV9" s="40"/>
      <c r="AW9" s="38"/>
      <c r="AX9" s="39"/>
      <c r="AY9" s="38"/>
      <c r="AZ9" s="40"/>
    </row>
    <row r="10" spans="1:53" ht="16">
      <c r="A10" s="48">
        <f ca="1">CS!AR8</f>
        <v>14</v>
      </c>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c r="AS10" s="41"/>
      <c r="AT10" s="41"/>
      <c r="AU10" s="41"/>
      <c r="AV10" s="40"/>
      <c r="AW10" s="41"/>
      <c r="AX10" s="41"/>
      <c r="AY10" s="41"/>
      <c r="AZ10" s="40"/>
      <c r="BA10" s="8"/>
    </row>
    <row r="11" spans="1:53">
      <c r="A11" s="4" t="s">
        <v>141</v>
      </c>
      <c r="B11" s="4" t="str">
        <f>IF(CS!$C$7&lt;&gt;"",CS!$C$7,"")</f>
        <v>Day 01, 12:00 pm</v>
      </c>
      <c r="C11" s="45" t="str">
        <f>CONCATENATE("CS!C11:AR56")</f>
        <v>CS!C11:AR56</v>
      </c>
      <c r="D11" s="44">
        <v>42</v>
      </c>
      <c r="E11" s="10" t="str">
        <f ca="1">IF(ISERROR(VLOOKUP((F$9*(-1)),INDIRECT($C11),$D11,FALSE)),"",VLOOKUP((F$9*(-1)),INDIRECT($C11),$D11,FALSE))</f>
        <v>Tm19</v>
      </c>
      <c r="F11" s="5" t="str">
        <f ca="1">IF(E11&gt;"","vs","")</f>
        <v>vs</v>
      </c>
      <c r="G11" s="11" t="str">
        <f ca="1">IF(ISERROR(VLOOKUP(F$9,INDIRECT($C11),$D11,FALSE)),"",VLOOKUP(F$9,INDIRECT($C11),$D11,FALSE))</f>
        <v>Tm22</v>
      </c>
      <c r="H11" s="9"/>
      <c r="I11" s="10" t="str">
        <f ca="1">IF(ISERROR(VLOOKUP((J$9*(-1)),INDIRECT($C11),$D11,FALSE)),"",VLOOKUP((J$9*(-1)),INDIRECT($C11),$D11,FALSE))</f>
        <v>Tm04</v>
      </c>
      <c r="J11" s="5" t="str">
        <f t="shared" ref="J11:J50" ca="1" si="0">IF(I11&gt;"","vs","")</f>
        <v>vs</v>
      </c>
      <c r="K11" s="11" t="str">
        <f ca="1">IF(ISERROR(VLOOKUP(J$9,INDIRECT($C11),$D11,FALSE)),"",VLOOKUP(J$9,INDIRECT($C11),$D11,FALSE))</f>
        <v>Tm06</v>
      </c>
      <c r="L11" s="9"/>
      <c r="M11" s="10" t="str">
        <f ca="1">IF(ISERROR(VLOOKUP((N$9*(-1)),INDIRECT($C11),$D11,FALSE)),"",VLOOKUP((N$9*(-1)),INDIRECT($C11),$D11,FALSE))</f>
        <v>Tm08</v>
      </c>
      <c r="N11" s="5" t="str">
        <f t="shared" ref="N11:N50" ca="1" si="1">IF(M11&gt;"","vs","")</f>
        <v>vs</v>
      </c>
      <c r="O11" s="11" t="str">
        <f ca="1">IF(ISERROR(VLOOKUP(N$9,INDIRECT($C11),$D11,FALSE)),"",VLOOKUP(N$9,INDIRECT($C11),$D11,FALSE))</f>
        <v>Tm01</v>
      </c>
      <c r="P11" s="9"/>
      <c r="Q11" s="10" t="str">
        <f ca="1">IF(ISERROR(VLOOKUP((R$9*(-1)),INDIRECT($C11),$D11,FALSE)),"",VLOOKUP((R$9*(-1)),INDIRECT($C11),$D11,FALSE))</f>
        <v>Tm02</v>
      </c>
      <c r="R11" s="5" t="str">
        <f t="shared" ref="R11:R50" ca="1" si="2">IF(Q11&gt;"","vs","")</f>
        <v>vs</v>
      </c>
      <c r="S11" s="11" t="str">
        <f ca="1">IF(ISERROR(VLOOKUP(R$9,INDIRECT($C11),$D11,FALSE)),"",VLOOKUP(R$9,INDIRECT($C11),$D11,FALSE))</f>
        <v>Tm07</v>
      </c>
      <c r="T11" s="9"/>
      <c r="U11" s="10" t="str">
        <f ca="1">IF(ISERROR(VLOOKUP((V$9*(-1)),INDIRECT($C11),$D11,FALSE)),"",VLOOKUP((V$9*(-1)),INDIRECT($C11),$D11,FALSE))</f>
        <v>Tm05</v>
      </c>
      <c r="V11" s="5" t="str">
        <f t="shared" ref="V11:V50" ca="1" si="3">IF(U11&gt;"","vs","")</f>
        <v>vs</v>
      </c>
      <c r="W11" s="11" t="str">
        <f ca="1">IF(ISERROR(VLOOKUP(V$9,INDIRECT($C11),$D11,FALSE)),"",VLOOKUP(V$9,INDIRECT($C11),$D11,FALSE))</f>
        <v>Tm03</v>
      </c>
      <c r="X11" s="9"/>
      <c r="Y11" s="10" t="str">
        <f ca="1">IF(ISERROR(VLOOKUP((Z$9*(-1)),INDIRECT($C11),$D11,FALSE)),"",VLOOKUP((Z$9*(-1)),INDIRECT($C11),$D11,FALSE))</f>
        <v>Tm23</v>
      </c>
      <c r="Z11" s="5" t="str">
        <f t="shared" ref="Z11:Z50" ca="1" si="4">IF(Y11&gt;"","vs","")</f>
        <v>vs</v>
      </c>
      <c r="AA11" s="11" t="str">
        <f ca="1">IF(ISERROR(VLOOKUP(Z$9,INDIRECT($C11),$D11,FALSE)),"",VLOOKUP(Z$9,INDIRECT($C11),$D11,FALSE))</f>
        <v>Tm18</v>
      </c>
      <c r="AB11" s="9"/>
      <c r="AC11" s="10" t="str">
        <f ca="1">IF(ISERROR(VLOOKUP((AD$9*(-1)),INDIRECT($C11),$D11,FALSE)),"",VLOOKUP((AD$9*(-1)),INDIRECT($C11),$D11,FALSE))</f>
        <v/>
      </c>
      <c r="AD11" s="5" t="str">
        <f t="shared" ref="AD11:AD50" ca="1" si="5">IF(AC11&gt;"","vs","")</f>
        <v/>
      </c>
      <c r="AE11" s="11" t="str">
        <f ca="1">IF(ISERROR(VLOOKUP(AD$9,INDIRECT($C11),$D11,FALSE)),"",VLOOKUP(AD$9,INDIRECT($C11),$D11,FALSE))</f>
        <v/>
      </c>
      <c r="AF11" s="9"/>
      <c r="AG11" s="10" t="str">
        <f ca="1">IF(ISERROR(VLOOKUP((AH$9*(-1)),INDIRECT($C11),$D11,FALSE)),"",VLOOKUP((AH$9*(-1)),INDIRECT($C11),$D11,FALSE))</f>
        <v/>
      </c>
      <c r="AH11" s="5" t="str">
        <f t="shared" ref="AH11:AH50" ca="1" si="6">IF(AG11&gt;"","vs","")</f>
        <v/>
      </c>
      <c r="AI11" s="11" t="str">
        <f ca="1">IF(ISERROR(VLOOKUP(AH$9,INDIRECT($C11),$D11,FALSE)),"",VLOOKUP(AH$9,INDIRECT($C11),$D11,FALSE))</f>
        <v/>
      </c>
      <c r="AJ11" s="9"/>
      <c r="AK11" s="10" t="str">
        <f ca="1">IF(ISERROR(VLOOKUP((AL$9*(-1)),INDIRECT($C11),$D11,FALSE)),"",VLOOKUP((AL$9*(-1)),INDIRECT($C11),$D11,FALSE))</f>
        <v/>
      </c>
      <c r="AL11" s="5" t="str">
        <f t="shared" ref="AL11:AL50" ca="1" si="7">IF(AK11&gt;"","vs","")</f>
        <v/>
      </c>
      <c r="AM11" s="11" t="str">
        <f ca="1">IF(ISERROR(VLOOKUP(AL$9,INDIRECT($C11),$D11,FALSE)),"",VLOOKUP(AL$9,INDIRECT($C11),$D11,FALSE))</f>
        <v/>
      </c>
      <c r="AN11" s="9"/>
      <c r="AO11" s="10" t="str">
        <f ca="1">IF(ISERROR(VLOOKUP((AP$9*(-1)),INDIRECT($C11),$D11,FALSE)),"",VLOOKUP((AP$9*(-1)),INDIRECT($C11),$D11,FALSE))</f>
        <v/>
      </c>
      <c r="AP11" s="5" t="str">
        <f t="shared" ref="AP11:AP50" ca="1" si="8">IF(AO11&gt;"","vs","")</f>
        <v/>
      </c>
      <c r="AQ11" s="11" t="str">
        <f ca="1">IF(ISERROR(VLOOKUP(AP$9,INDIRECT($C11),$D11,FALSE)),"",VLOOKUP(AP$9,INDIRECT($C11),$D11,FALSE))</f>
        <v/>
      </c>
      <c r="AR11" s="9"/>
      <c r="AS11" s="42"/>
      <c r="AT11" s="39"/>
      <c r="AU11" s="43"/>
      <c r="AV11" s="38"/>
      <c r="AW11" s="42"/>
      <c r="AX11" s="39"/>
      <c r="AY11" s="43"/>
      <c r="AZ11" s="38"/>
    </row>
    <row r="12" spans="1:53">
      <c r="A12" s="4" t="s">
        <v>142</v>
      </c>
      <c r="B12" s="4" t="str">
        <f>IF(CS!$D$7&lt;&gt;"",CS!$D$7,"")</f>
        <v/>
      </c>
      <c r="C12" s="45" t="str">
        <f>CONCATENATE("CS!D11:AR56")</f>
        <v>CS!D11:AR56</v>
      </c>
      <c r="D12" s="44">
        <f>D11-1</f>
        <v>41</v>
      </c>
      <c r="E12" s="10" t="str">
        <f t="shared" ref="E12:E50" ca="1" si="9">IF(ISERROR(VLOOKUP((F$9*(-1)),INDIRECT($C12),$D12,FALSE)),"",VLOOKUP((F$9*(-1)),INDIRECT($C12),$D12,FALSE))</f>
        <v>Tm21</v>
      </c>
      <c r="F12" s="5" t="str">
        <f ca="1">IF(E12&gt;"","vs","")</f>
        <v>vs</v>
      </c>
      <c r="G12" s="11" t="str">
        <f t="shared" ref="G12:G50" ca="1" si="10">IF(ISERROR(VLOOKUP(F$9,INDIRECT($C12),$D12,FALSE)),"",VLOOKUP(F$9,INDIRECT($C12),$D12,FALSE))</f>
        <v>Tm20</v>
      </c>
      <c r="H12" s="9"/>
      <c r="I12" s="10" t="str">
        <f t="shared" ref="I12:I50" ca="1" si="11">IF(ISERROR(VLOOKUP((J$9*(-1)),INDIRECT($C12),$D12,FALSE)),"",VLOOKUP((J$9*(-1)),INDIRECT($C12),$D12,FALSE))</f>
        <v>Tm16</v>
      </c>
      <c r="J12" s="5" t="str">
        <f t="shared" ca="1" si="0"/>
        <v>vs</v>
      </c>
      <c r="K12" s="11" t="str">
        <f t="shared" ref="K12:K50" ca="1" si="12">IF(ISERROR(VLOOKUP(J$9,INDIRECT($C12),$D12,FALSE)),"",VLOOKUP(J$9,INDIRECT($C12),$D12,FALSE))</f>
        <v>Tm12</v>
      </c>
      <c r="L12" s="9"/>
      <c r="M12" s="10" t="str">
        <f t="shared" ref="M12:M50" ca="1" si="13">IF(ISERROR(VLOOKUP((N$9*(-1)),INDIRECT($C12),$D12,FALSE)),"",VLOOKUP((N$9*(-1)),INDIRECT($C12),$D12,FALSE))</f>
        <v>Tm13</v>
      </c>
      <c r="N12" s="5" t="str">
        <f t="shared" ca="1" si="1"/>
        <v>vs</v>
      </c>
      <c r="O12" s="11" t="str">
        <f t="shared" ref="O12:O50" ca="1" si="14">IF(ISERROR(VLOOKUP(N$9,INDIRECT($C12),$D12,FALSE)),"",VLOOKUP(N$9,INDIRECT($C12),$D12,FALSE))</f>
        <v>Tm10</v>
      </c>
      <c r="P12" s="9"/>
      <c r="Q12" s="10" t="str">
        <f t="shared" ref="Q12:Q50" ca="1" si="15">IF(ISERROR(VLOOKUP((R$9*(-1)),INDIRECT($C12),$D12,FALSE)),"",VLOOKUP((R$9*(-1)),INDIRECT($C12),$D12,FALSE))</f>
        <v>Tm14</v>
      </c>
      <c r="R12" s="5" t="str">
        <f t="shared" ca="1" si="2"/>
        <v>vs</v>
      </c>
      <c r="S12" s="11" t="str">
        <f t="shared" ref="S12:S50" ca="1" si="16">IF(ISERROR(VLOOKUP(R$9,INDIRECT($C12),$D12,FALSE)),"",VLOOKUP(R$9,INDIRECT($C12),$D12,FALSE))</f>
        <v>Tm09</v>
      </c>
      <c r="T12" s="9"/>
      <c r="U12" s="10" t="str">
        <f t="shared" ref="U12:U50" ca="1" si="17">IF(ISERROR(VLOOKUP((V$9*(-1)),INDIRECT($C12),$D12,FALSE)),"",VLOOKUP((V$9*(-1)),INDIRECT($C12),$D12,FALSE))</f>
        <v>Tm15</v>
      </c>
      <c r="V12" s="5" t="str">
        <f t="shared" ca="1" si="3"/>
        <v>vs</v>
      </c>
      <c r="W12" s="11" t="str">
        <f t="shared" ref="W12:W50" ca="1" si="18">IF(ISERROR(VLOOKUP(V$9,INDIRECT($C12),$D12,FALSE)),"",VLOOKUP(V$9,INDIRECT($C12),$D12,FALSE))</f>
        <v>Tm11</v>
      </c>
      <c r="X12" s="9"/>
      <c r="Y12" s="10" t="str">
        <f t="shared" ref="Y12:Y50" ca="1" si="19">IF(ISERROR(VLOOKUP((Z$9*(-1)),INDIRECT($C12),$D12,FALSE)),"",VLOOKUP((Z$9*(-1)),INDIRECT($C12),$D12,FALSE))</f>
        <v>Tm17</v>
      </c>
      <c r="Z12" s="5" t="str">
        <f t="shared" ca="1" si="4"/>
        <v>vs</v>
      </c>
      <c r="AA12" s="11" t="str">
        <f t="shared" ref="AA12:AA50" ca="1" si="20">IF(ISERROR(VLOOKUP(Z$9,INDIRECT($C12),$D12,FALSE)),"",VLOOKUP(Z$9,INDIRECT($C12),$D12,FALSE))</f>
        <v>Tm24</v>
      </c>
      <c r="AB12" s="9"/>
      <c r="AC12" s="10" t="str">
        <f t="shared" ref="AC12:AC50" ca="1" si="21">IF(ISERROR(VLOOKUP((AD$9*(-1)),INDIRECT($C12),$D12,FALSE)),"",VLOOKUP((AD$9*(-1)),INDIRECT($C12),$D12,FALSE))</f>
        <v/>
      </c>
      <c r="AD12" s="5" t="str">
        <f t="shared" ca="1" si="5"/>
        <v/>
      </c>
      <c r="AE12" s="11" t="str">
        <f t="shared" ref="AE12:AE50" ca="1" si="22">IF(ISERROR(VLOOKUP(AD$9,INDIRECT($C12),$D12,FALSE)),"",VLOOKUP(AD$9,INDIRECT($C12),$D12,FALSE))</f>
        <v/>
      </c>
      <c r="AF12" s="9"/>
      <c r="AG12" s="10" t="str">
        <f t="shared" ref="AG12:AG50" ca="1" si="23">IF(ISERROR(VLOOKUP((AH$9*(-1)),INDIRECT($C12),$D12,FALSE)),"",VLOOKUP((AH$9*(-1)),INDIRECT($C12),$D12,FALSE))</f>
        <v/>
      </c>
      <c r="AH12" s="5" t="str">
        <f t="shared" ca="1" si="6"/>
        <v/>
      </c>
      <c r="AI12" s="11" t="str">
        <f t="shared" ref="AI12:AI50" ca="1" si="24">IF(ISERROR(VLOOKUP(AH$9,INDIRECT($C12),$D12,FALSE)),"",VLOOKUP(AH$9,INDIRECT($C12),$D12,FALSE))</f>
        <v/>
      </c>
      <c r="AJ12" s="9"/>
      <c r="AK12" s="10" t="str">
        <f t="shared" ref="AK12:AK50" ca="1" si="25">IF(ISERROR(VLOOKUP((AL$9*(-1)),INDIRECT($C12),$D12,FALSE)),"",VLOOKUP((AL$9*(-1)),INDIRECT($C12),$D12,FALSE))</f>
        <v/>
      </c>
      <c r="AL12" s="5" t="str">
        <f t="shared" ca="1" si="7"/>
        <v/>
      </c>
      <c r="AM12" s="11" t="str">
        <f t="shared" ref="AM12:AM50" ca="1" si="26">IF(ISERROR(VLOOKUP(AL$9,INDIRECT($C12),$D12,FALSE)),"",VLOOKUP(AL$9,INDIRECT($C12),$D12,FALSE))</f>
        <v/>
      </c>
      <c r="AN12" s="9"/>
      <c r="AO12" s="10" t="str">
        <f t="shared" ref="AO12:AO50" ca="1" si="27">IF(ISERROR(VLOOKUP((AP$9*(-1)),INDIRECT($C12),$D12,FALSE)),"",VLOOKUP((AP$9*(-1)),INDIRECT($C12),$D12,FALSE))</f>
        <v/>
      </c>
      <c r="AP12" s="5" t="str">
        <f t="shared" ca="1" si="8"/>
        <v/>
      </c>
      <c r="AQ12" s="11" t="str">
        <f t="shared" ref="AQ12:AQ50" ca="1" si="28">IF(ISERROR(VLOOKUP(AP$9,INDIRECT($C12),$D12,FALSE)),"",VLOOKUP(AP$9,INDIRECT($C12),$D12,FALSE))</f>
        <v/>
      </c>
      <c r="AR12" s="9"/>
      <c r="AS12" s="42"/>
      <c r="AT12" s="39"/>
      <c r="AU12" s="43"/>
      <c r="AV12" s="38"/>
      <c r="AW12" s="42"/>
      <c r="AX12" s="39"/>
      <c r="AY12" s="43"/>
      <c r="AZ12" s="38"/>
    </row>
    <row r="13" spans="1:53">
      <c r="A13" s="4" t="s">
        <v>143</v>
      </c>
      <c r="B13" s="4" t="str">
        <f>IF(CS!$E$7&lt;&gt;"",CS!$E$7,"")</f>
        <v/>
      </c>
      <c r="C13" s="45" t="str">
        <f>CONCATENATE("CS!E11:AR56")</f>
        <v>CS!E11:AR56</v>
      </c>
      <c r="D13" s="44">
        <f t="shared" ref="D13:D50" si="29">D12-1</f>
        <v>40</v>
      </c>
      <c r="E13" s="10" t="str">
        <f t="shared" ca="1" si="9"/>
        <v>Tm11</v>
      </c>
      <c r="F13" s="5" t="str">
        <f t="shared" ref="F13:F50" ca="1" si="30">IF(E13&gt;"","vs","")</f>
        <v>vs</v>
      </c>
      <c r="G13" s="11" t="str">
        <f t="shared" ca="1" si="10"/>
        <v>Tm13</v>
      </c>
      <c r="H13" s="9"/>
      <c r="I13" s="10" t="str">
        <f t="shared" ca="1" si="11"/>
        <v>Tm09</v>
      </c>
      <c r="J13" s="5" t="str">
        <f t="shared" ca="1" si="0"/>
        <v>vs</v>
      </c>
      <c r="K13" s="11" t="str">
        <f t="shared" ca="1" si="12"/>
        <v>Tm15</v>
      </c>
      <c r="L13" s="9"/>
      <c r="M13" s="10" t="str">
        <f t="shared" ca="1" si="13"/>
        <v>Tm21</v>
      </c>
      <c r="N13" s="5" t="str">
        <f t="shared" ca="1" si="1"/>
        <v>vs</v>
      </c>
      <c r="O13" s="11" t="str">
        <f t="shared" ca="1" si="14"/>
        <v>Tm19</v>
      </c>
      <c r="P13" s="9"/>
      <c r="Q13" s="10" t="str">
        <f t="shared" ca="1" si="15"/>
        <v>Tm10</v>
      </c>
      <c r="R13" s="5" t="str">
        <f t="shared" ca="1" si="2"/>
        <v>vs</v>
      </c>
      <c r="S13" s="11" t="str">
        <f t="shared" ca="1" si="16"/>
        <v>Tm16</v>
      </c>
      <c r="T13" s="9"/>
      <c r="U13" s="10" t="str">
        <f t="shared" ca="1" si="17"/>
        <v>Tm24</v>
      </c>
      <c r="V13" s="5" t="str">
        <f t="shared" ca="1" si="3"/>
        <v>vs</v>
      </c>
      <c r="W13" s="11" t="str">
        <f t="shared" ca="1" si="18"/>
        <v>Tm20</v>
      </c>
      <c r="X13" s="9"/>
      <c r="Y13" s="10" t="str">
        <f t="shared" ca="1" si="19"/>
        <v>Tm12</v>
      </c>
      <c r="Z13" s="5" t="str">
        <f t="shared" ca="1" si="4"/>
        <v>vs</v>
      </c>
      <c r="AA13" s="11" t="str">
        <f t="shared" ca="1" si="20"/>
        <v>Tm14</v>
      </c>
      <c r="AB13" s="9"/>
      <c r="AC13" s="10" t="str">
        <f t="shared" ca="1" si="21"/>
        <v/>
      </c>
      <c r="AD13" s="5" t="str">
        <f t="shared" ca="1" si="5"/>
        <v/>
      </c>
      <c r="AE13" s="11" t="str">
        <f t="shared" ca="1" si="22"/>
        <v/>
      </c>
      <c r="AF13" s="9"/>
      <c r="AG13" s="10" t="str">
        <f t="shared" ca="1" si="23"/>
        <v/>
      </c>
      <c r="AH13" s="5" t="str">
        <f t="shared" ca="1" si="6"/>
        <v/>
      </c>
      <c r="AI13" s="11" t="str">
        <f t="shared" ca="1" si="24"/>
        <v/>
      </c>
      <c r="AJ13" s="9"/>
      <c r="AK13" s="10" t="str">
        <f t="shared" ca="1" si="25"/>
        <v/>
      </c>
      <c r="AL13" s="5" t="str">
        <f t="shared" ca="1" si="7"/>
        <v/>
      </c>
      <c r="AM13" s="11" t="str">
        <f t="shared" ca="1" si="26"/>
        <v/>
      </c>
      <c r="AN13" s="9"/>
      <c r="AO13" s="10" t="str">
        <f t="shared" ca="1" si="27"/>
        <v/>
      </c>
      <c r="AP13" s="5" t="str">
        <f t="shared" ca="1" si="8"/>
        <v/>
      </c>
      <c r="AQ13" s="11" t="str">
        <f t="shared" ca="1" si="28"/>
        <v/>
      </c>
      <c r="AR13" s="9"/>
      <c r="AS13" s="42"/>
      <c r="AT13" s="39"/>
      <c r="AU13" s="43"/>
      <c r="AV13" s="38"/>
      <c r="AW13" s="42"/>
      <c r="AX13" s="39"/>
      <c r="AY13" s="43"/>
      <c r="AZ13" s="38"/>
    </row>
    <row r="14" spans="1:53">
      <c r="A14" s="4" t="s">
        <v>144</v>
      </c>
      <c r="B14" s="4" t="str">
        <f>IF(CS!$F$7&lt;&gt;"",CS!$F$7,"")</f>
        <v/>
      </c>
      <c r="C14" s="45" t="str">
        <f>CONCATENATE("CS!F11:AR56")</f>
        <v>CS!F11:AR56</v>
      </c>
      <c r="D14" s="44">
        <f t="shared" si="29"/>
        <v>39</v>
      </c>
      <c r="E14" s="10" t="str">
        <f t="shared" ca="1" si="9"/>
        <v>Tm03</v>
      </c>
      <c r="F14" s="5" t="str">
        <f t="shared" ca="1" si="30"/>
        <v>vs</v>
      </c>
      <c r="G14" s="11" t="str">
        <f t="shared" ca="1" si="10"/>
        <v>Tm07</v>
      </c>
      <c r="H14" s="9"/>
      <c r="I14" s="10" t="str">
        <f t="shared" ca="1" si="11"/>
        <v>Tm22</v>
      </c>
      <c r="J14" s="5" t="str">
        <f t="shared" ca="1" si="0"/>
        <v>vs</v>
      </c>
      <c r="K14" s="11" t="str">
        <f t="shared" ca="1" si="12"/>
        <v>Tm18</v>
      </c>
      <c r="L14" s="9"/>
      <c r="M14" s="10" t="str">
        <f t="shared" ca="1" si="13"/>
        <v>Tm23</v>
      </c>
      <c r="N14" s="5" t="str">
        <f t="shared" ca="1" si="1"/>
        <v>vs</v>
      </c>
      <c r="O14" s="11" t="str">
        <f t="shared" ca="1" si="14"/>
        <v>Tm17</v>
      </c>
      <c r="P14" s="9"/>
      <c r="Q14" s="10" t="str">
        <f t="shared" ca="1" si="15"/>
        <v>Tm05</v>
      </c>
      <c r="R14" s="5" t="str">
        <f t="shared" ca="1" si="2"/>
        <v>vs</v>
      </c>
      <c r="S14" s="11" t="str">
        <f t="shared" ca="1" si="16"/>
        <v>Tm01</v>
      </c>
      <c r="T14" s="9"/>
      <c r="U14" s="10" t="str">
        <f t="shared" ca="1" si="17"/>
        <v>Tm06</v>
      </c>
      <c r="V14" s="5" t="str">
        <f t="shared" ca="1" si="3"/>
        <v>vs</v>
      </c>
      <c r="W14" s="11" t="str">
        <f t="shared" ca="1" si="18"/>
        <v>Tm02</v>
      </c>
      <c r="X14" s="9"/>
      <c r="Y14" s="10" t="str">
        <f t="shared" ca="1" si="19"/>
        <v>Tm08</v>
      </c>
      <c r="Z14" s="5" t="str">
        <f t="shared" ca="1" si="4"/>
        <v>vs</v>
      </c>
      <c r="AA14" s="11" t="str">
        <f t="shared" ca="1" si="20"/>
        <v>Tm04</v>
      </c>
      <c r="AB14" s="9"/>
      <c r="AC14" s="10" t="str">
        <f t="shared" ca="1" si="21"/>
        <v/>
      </c>
      <c r="AD14" s="5" t="str">
        <f t="shared" ca="1" si="5"/>
        <v/>
      </c>
      <c r="AE14" s="11" t="str">
        <f t="shared" ca="1" si="22"/>
        <v/>
      </c>
      <c r="AF14" s="9"/>
      <c r="AG14" s="10" t="str">
        <f t="shared" ca="1" si="23"/>
        <v/>
      </c>
      <c r="AH14" s="5" t="str">
        <f t="shared" ca="1" si="6"/>
        <v/>
      </c>
      <c r="AI14" s="11" t="str">
        <f t="shared" ca="1" si="24"/>
        <v/>
      </c>
      <c r="AJ14" s="9"/>
      <c r="AK14" s="10" t="str">
        <f t="shared" ca="1" si="25"/>
        <v/>
      </c>
      <c r="AL14" s="5" t="str">
        <f t="shared" ca="1" si="7"/>
        <v/>
      </c>
      <c r="AM14" s="11" t="str">
        <f t="shared" ca="1" si="26"/>
        <v/>
      </c>
      <c r="AN14" s="9"/>
      <c r="AO14" s="10" t="str">
        <f t="shared" ca="1" si="27"/>
        <v/>
      </c>
      <c r="AP14" s="5" t="str">
        <f t="shared" ca="1" si="8"/>
        <v/>
      </c>
      <c r="AQ14" s="11" t="str">
        <f t="shared" ca="1" si="28"/>
        <v/>
      </c>
      <c r="AR14" s="9"/>
      <c r="AS14" s="42"/>
      <c r="AT14" s="39"/>
      <c r="AU14" s="43"/>
      <c r="AV14" s="38"/>
      <c r="AW14" s="42"/>
      <c r="AX14" s="39"/>
      <c r="AY14" s="43"/>
      <c r="AZ14" s="38"/>
    </row>
    <row r="15" spans="1:53">
      <c r="A15" s="4" t="s">
        <v>145</v>
      </c>
      <c r="B15" s="4" t="str">
        <f>IF(CS!$G$7&lt;&gt;"",CS!$G$7,"")</f>
        <v/>
      </c>
      <c r="C15" s="45" t="str">
        <f>CONCATENATE("CS!G11:AR56")</f>
        <v>CS!G11:AR56</v>
      </c>
      <c r="D15" s="44">
        <f t="shared" si="29"/>
        <v>38</v>
      </c>
      <c r="E15" s="10" t="str">
        <f t="shared" ca="1" si="9"/>
        <v>Tm02</v>
      </c>
      <c r="F15" s="5" t="str">
        <f t="shared" ca="1" si="30"/>
        <v>vs</v>
      </c>
      <c r="G15" s="11" t="str">
        <f t="shared" ca="1" si="10"/>
        <v>Tm05</v>
      </c>
      <c r="H15" s="9"/>
      <c r="I15" s="10" t="str">
        <f t="shared" ca="1" si="11"/>
        <v>Tm03</v>
      </c>
      <c r="J15" s="5" t="str">
        <f t="shared" ca="1" si="0"/>
        <v>vs</v>
      </c>
      <c r="K15" s="11" t="str">
        <f t="shared" ca="1" si="12"/>
        <v>Tm08</v>
      </c>
      <c r="L15" s="9"/>
      <c r="M15" s="10" t="str">
        <f t="shared" ca="1" si="13"/>
        <v>Tm07</v>
      </c>
      <c r="N15" s="5" t="str">
        <f t="shared" ca="1" si="1"/>
        <v>vs</v>
      </c>
      <c r="O15" s="11" t="str">
        <f t="shared" ca="1" si="14"/>
        <v>Tm04</v>
      </c>
      <c r="P15" s="9"/>
      <c r="Q15" s="10" t="str">
        <f t="shared" ca="1" si="15"/>
        <v>Tm18</v>
      </c>
      <c r="R15" s="5" t="str">
        <f t="shared" ca="1" si="2"/>
        <v>vs</v>
      </c>
      <c r="S15" s="11" t="str">
        <f t="shared" ca="1" si="16"/>
        <v>Tm24</v>
      </c>
      <c r="T15" s="9"/>
      <c r="U15" s="10" t="str">
        <f t="shared" ca="1" si="17"/>
        <v>Tm17</v>
      </c>
      <c r="V15" s="5" t="str">
        <f t="shared" ca="1" si="3"/>
        <v>vs</v>
      </c>
      <c r="W15" s="11" t="str">
        <f t="shared" ca="1" si="18"/>
        <v>Tm21</v>
      </c>
      <c r="X15" s="9"/>
      <c r="Y15" s="10" t="str">
        <f t="shared" ca="1" si="19"/>
        <v>Tm01</v>
      </c>
      <c r="Z15" s="5" t="str">
        <f t="shared" ca="1" si="4"/>
        <v>vs</v>
      </c>
      <c r="AA15" s="11" t="str">
        <f t="shared" ca="1" si="20"/>
        <v>Tm06</v>
      </c>
      <c r="AB15" s="9"/>
      <c r="AC15" s="10" t="str">
        <f t="shared" ca="1" si="21"/>
        <v/>
      </c>
      <c r="AD15" s="5" t="str">
        <f t="shared" ca="1" si="5"/>
        <v/>
      </c>
      <c r="AE15" s="11" t="str">
        <f t="shared" ca="1" si="22"/>
        <v/>
      </c>
      <c r="AF15" s="9"/>
      <c r="AG15" s="10" t="str">
        <f t="shared" ca="1" si="23"/>
        <v/>
      </c>
      <c r="AH15" s="5" t="str">
        <f t="shared" ca="1" si="6"/>
        <v/>
      </c>
      <c r="AI15" s="11" t="str">
        <f t="shared" ca="1" si="24"/>
        <v/>
      </c>
      <c r="AJ15" s="9"/>
      <c r="AK15" s="10" t="str">
        <f t="shared" ca="1" si="25"/>
        <v/>
      </c>
      <c r="AL15" s="5" t="str">
        <f t="shared" ca="1" si="7"/>
        <v/>
      </c>
      <c r="AM15" s="11" t="str">
        <f t="shared" ca="1" si="26"/>
        <v/>
      </c>
      <c r="AN15" s="9"/>
      <c r="AO15" s="10" t="str">
        <f t="shared" ca="1" si="27"/>
        <v/>
      </c>
      <c r="AP15" s="5" t="str">
        <f t="shared" ca="1" si="8"/>
        <v/>
      </c>
      <c r="AQ15" s="11" t="str">
        <f t="shared" ca="1" si="28"/>
        <v/>
      </c>
      <c r="AR15" s="9"/>
      <c r="AS15" s="42"/>
      <c r="AT15" s="39"/>
      <c r="AU15" s="43"/>
      <c r="AV15" s="38"/>
      <c r="AW15" s="42"/>
      <c r="AX15" s="39"/>
      <c r="AY15" s="43"/>
      <c r="AZ15" s="38"/>
    </row>
    <row r="16" spans="1:53">
      <c r="A16" s="4" t="s">
        <v>146</v>
      </c>
      <c r="B16" s="4" t="str">
        <f>IF(CS!$H$7&lt;&gt;"",CS!$H$7,"")</f>
        <v/>
      </c>
      <c r="C16" s="45" t="str">
        <f>CONCATENATE("CS!H11:AR56")</f>
        <v>CS!H11:AR56</v>
      </c>
      <c r="D16" s="44">
        <f t="shared" si="29"/>
        <v>37</v>
      </c>
      <c r="E16" s="10" t="str">
        <f t="shared" ca="1" si="9"/>
        <v>Tm15</v>
      </c>
      <c r="F16" s="5" t="str">
        <f t="shared" ca="1" si="30"/>
        <v>vs</v>
      </c>
      <c r="G16" s="11" t="str">
        <f t="shared" ca="1" si="10"/>
        <v>Tm10</v>
      </c>
      <c r="H16" s="9"/>
      <c r="I16" s="10" t="str">
        <f t="shared" ca="1" si="11"/>
        <v>Tm19</v>
      </c>
      <c r="J16" s="5" t="str">
        <f t="shared" ca="1" si="0"/>
        <v>vs</v>
      </c>
      <c r="K16" s="11" t="str">
        <f t="shared" ca="1" si="12"/>
        <v>Tm23</v>
      </c>
      <c r="L16" s="9"/>
      <c r="M16" s="10" t="str">
        <f t="shared" ca="1" si="13"/>
        <v>Tm14</v>
      </c>
      <c r="N16" s="5" t="str">
        <f t="shared" ca="1" si="1"/>
        <v>vs</v>
      </c>
      <c r="O16" s="11" t="str">
        <f t="shared" ca="1" si="14"/>
        <v>Tm11</v>
      </c>
      <c r="P16" s="9"/>
      <c r="Q16" s="10" t="str">
        <f t="shared" ca="1" si="15"/>
        <v>Tm20</v>
      </c>
      <c r="R16" s="5" t="str">
        <f t="shared" ca="1" si="2"/>
        <v>vs</v>
      </c>
      <c r="S16" s="11" t="str">
        <f t="shared" ca="1" si="16"/>
        <v>Tm22</v>
      </c>
      <c r="T16" s="9"/>
      <c r="U16" s="10" t="str">
        <f t="shared" ca="1" si="17"/>
        <v>Tm13</v>
      </c>
      <c r="V16" s="5" t="str">
        <f t="shared" ca="1" si="3"/>
        <v>vs</v>
      </c>
      <c r="W16" s="11" t="str">
        <f t="shared" ca="1" si="18"/>
        <v>Tm12</v>
      </c>
      <c r="X16" s="9"/>
      <c r="Y16" s="10" t="str">
        <f t="shared" ca="1" si="19"/>
        <v>Tm16</v>
      </c>
      <c r="Z16" s="5" t="str">
        <f t="shared" ca="1" si="4"/>
        <v>vs</v>
      </c>
      <c r="AA16" s="11" t="str">
        <f t="shared" ca="1" si="20"/>
        <v>Tm09</v>
      </c>
      <c r="AB16" s="9"/>
      <c r="AC16" s="10" t="str">
        <f t="shared" ca="1" si="21"/>
        <v/>
      </c>
      <c r="AD16" s="5" t="str">
        <f t="shared" ca="1" si="5"/>
        <v/>
      </c>
      <c r="AE16" s="11" t="str">
        <f t="shared" ca="1" si="22"/>
        <v/>
      </c>
      <c r="AF16" s="9"/>
      <c r="AG16" s="10" t="str">
        <f t="shared" ca="1" si="23"/>
        <v/>
      </c>
      <c r="AH16" s="5" t="str">
        <f t="shared" ca="1" si="6"/>
        <v/>
      </c>
      <c r="AI16" s="11" t="str">
        <f t="shared" ca="1" si="24"/>
        <v/>
      </c>
      <c r="AJ16" s="9"/>
      <c r="AK16" s="10" t="str">
        <f t="shared" ca="1" si="25"/>
        <v/>
      </c>
      <c r="AL16" s="5" t="str">
        <f t="shared" ca="1" si="7"/>
        <v/>
      </c>
      <c r="AM16" s="11" t="str">
        <f t="shared" ca="1" si="26"/>
        <v/>
      </c>
      <c r="AN16" s="9"/>
      <c r="AO16" s="10" t="str">
        <f t="shared" ca="1" si="27"/>
        <v/>
      </c>
      <c r="AP16" s="5" t="str">
        <f t="shared" ca="1" si="8"/>
        <v/>
      </c>
      <c r="AQ16" s="11" t="str">
        <f t="shared" ca="1" si="28"/>
        <v/>
      </c>
      <c r="AR16" s="9"/>
      <c r="AS16" s="42"/>
      <c r="AT16" s="39"/>
      <c r="AU16" s="43"/>
      <c r="AV16" s="38"/>
      <c r="AW16" s="42"/>
      <c r="AX16" s="39"/>
      <c r="AY16" s="43"/>
      <c r="AZ16" s="38"/>
    </row>
    <row r="17" spans="1:52">
      <c r="A17" s="4" t="s">
        <v>147</v>
      </c>
      <c r="B17" s="4" t="str">
        <f>IF(CS!$I$7&lt;&gt;"",CS!$I$7,"")</f>
        <v/>
      </c>
      <c r="C17" s="45" t="str">
        <f>CONCATENATE("CS!I11:AR56")</f>
        <v>CS!I11:AR56</v>
      </c>
      <c r="D17" s="44">
        <f t="shared" si="29"/>
        <v>36</v>
      </c>
      <c r="E17" s="10" t="str">
        <f t="shared" ca="1" si="9"/>
        <v>Tm20</v>
      </c>
      <c r="F17" s="5" t="str">
        <f t="shared" ca="1" si="30"/>
        <v>vs</v>
      </c>
      <c r="G17" s="11" t="str">
        <f t="shared" ca="1" si="10"/>
        <v>Tm23</v>
      </c>
      <c r="H17" s="9"/>
      <c r="I17" s="10" t="str">
        <f t="shared" ca="1" si="11"/>
        <v>Tm11</v>
      </c>
      <c r="J17" s="5" t="str">
        <f t="shared" ca="1" si="0"/>
        <v>vs</v>
      </c>
      <c r="K17" s="11" t="str">
        <f t="shared" ca="1" si="12"/>
        <v>Tm16</v>
      </c>
      <c r="L17" s="9"/>
      <c r="M17" s="10" t="str">
        <f t="shared" ca="1" si="13"/>
        <v>Tm12</v>
      </c>
      <c r="N17" s="5" t="str">
        <f t="shared" ca="1" si="1"/>
        <v>vs</v>
      </c>
      <c r="O17" s="11" t="str">
        <f t="shared" ca="1" si="14"/>
        <v>Tm15</v>
      </c>
      <c r="P17" s="9"/>
      <c r="Q17" s="10" t="str">
        <f t="shared" ca="1" si="15"/>
        <v>Tm09</v>
      </c>
      <c r="R17" s="5" t="str">
        <f t="shared" ca="1" si="2"/>
        <v>vs</v>
      </c>
      <c r="S17" s="11" t="str">
        <f t="shared" ca="1" si="16"/>
        <v>Tm13</v>
      </c>
      <c r="T17" s="9"/>
      <c r="U17" s="10" t="str">
        <f t="shared" ca="1" si="17"/>
        <v>Tm10</v>
      </c>
      <c r="V17" s="5" t="str">
        <f t="shared" ca="1" si="3"/>
        <v>vs</v>
      </c>
      <c r="W17" s="11" t="str">
        <f t="shared" ca="1" si="18"/>
        <v>Tm14</v>
      </c>
      <c r="X17" s="9"/>
      <c r="Y17" s="10" t="str">
        <f t="shared" ca="1" si="19"/>
        <v>Tm22</v>
      </c>
      <c r="Z17" s="5" t="str">
        <f t="shared" ca="1" si="4"/>
        <v>vs</v>
      </c>
      <c r="AA17" s="11" t="str">
        <f t="shared" ca="1" si="20"/>
        <v>Tm17</v>
      </c>
      <c r="AB17" s="9"/>
      <c r="AC17" s="10" t="str">
        <f t="shared" ca="1" si="21"/>
        <v/>
      </c>
      <c r="AD17" s="5" t="str">
        <f t="shared" ca="1" si="5"/>
        <v/>
      </c>
      <c r="AE17" s="11" t="str">
        <f t="shared" ca="1" si="22"/>
        <v/>
      </c>
      <c r="AF17" s="9"/>
      <c r="AG17" s="10" t="str">
        <f t="shared" ca="1" si="23"/>
        <v/>
      </c>
      <c r="AH17" s="5" t="str">
        <f t="shared" ca="1" si="6"/>
        <v/>
      </c>
      <c r="AI17" s="11" t="str">
        <f t="shared" ca="1" si="24"/>
        <v/>
      </c>
      <c r="AJ17" s="9"/>
      <c r="AK17" s="10" t="str">
        <f t="shared" ca="1" si="25"/>
        <v/>
      </c>
      <c r="AL17" s="5" t="str">
        <f t="shared" ca="1" si="7"/>
        <v/>
      </c>
      <c r="AM17" s="11" t="str">
        <f t="shared" ca="1" si="26"/>
        <v/>
      </c>
      <c r="AN17" s="9"/>
      <c r="AO17" s="10" t="str">
        <f t="shared" ca="1" si="27"/>
        <v/>
      </c>
      <c r="AP17" s="5" t="str">
        <f t="shared" ca="1" si="8"/>
        <v/>
      </c>
      <c r="AQ17" s="11" t="str">
        <f t="shared" ca="1" si="28"/>
        <v/>
      </c>
      <c r="AR17" s="9"/>
      <c r="AS17" s="42"/>
      <c r="AT17" s="39"/>
      <c r="AU17" s="43"/>
      <c r="AV17" s="38"/>
      <c r="AW17" s="42"/>
      <c r="AX17" s="39"/>
      <c r="AY17" s="43"/>
      <c r="AZ17" s="38"/>
    </row>
    <row r="18" spans="1:52">
      <c r="A18" s="4" t="s">
        <v>148</v>
      </c>
      <c r="B18" s="4" t="str">
        <f>IF(CS!$J$7&lt;&gt;"",CS!$J$7,"")</f>
        <v/>
      </c>
      <c r="C18" s="45" t="str">
        <f>CONCATENATE("CS!J11:AR56")</f>
        <v>CS!J11:AR56</v>
      </c>
      <c r="D18" s="44">
        <f t="shared" si="29"/>
        <v>35</v>
      </c>
      <c r="E18" s="10" t="str">
        <f t="shared" ca="1" si="9"/>
        <v>Tm24</v>
      </c>
      <c r="F18" s="5" t="str">
        <f t="shared" ca="1" si="30"/>
        <v>vs</v>
      </c>
      <c r="G18" s="11" t="str">
        <f t="shared" ca="1" si="10"/>
        <v>Tm19</v>
      </c>
      <c r="H18" s="9"/>
      <c r="I18" s="10" t="str">
        <f t="shared" ca="1" si="11"/>
        <v>Tm01</v>
      </c>
      <c r="J18" s="5" t="str">
        <f t="shared" ca="1" si="0"/>
        <v>vs</v>
      </c>
      <c r="K18" s="11" t="str">
        <f t="shared" ca="1" si="12"/>
        <v>Tm07</v>
      </c>
      <c r="L18" s="9"/>
      <c r="M18" s="10" t="str">
        <f t="shared" ca="1" si="13"/>
        <v>Tm06</v>
      </c>
      <c r="N18" s="5" t="str">
        <f t="shared" ca="1" si="1"/>
        <v>vs</v>
      </c>
      <c r="O18" s="11" t="str">
        <f t="shared" ca="1" si="14"/>
        <v>Tm03</v>
      </c>
      <c r="P18" s="9"/>
      <c r="Q18" s="10" t="str">
        <f t="shared" ca="1" si="15"/>
        <v>Tm08</v>
      </c>
      <c r="R18" s="5" t="str">
        <f t="shared" ca="1" si="2"/>
        <v>vs</v>
      </c>
      <c r="S18" s="11" t="str">
        <f t="shared" ca="1" si="16"/>
        <v>Tm02</v>
      </c>
      <c r="T18" s="9"/>
      <c r="U18" s="10" t="str">
        <f t="shared" ca="1" si="17"/>
        <v>Tm04</v>
      </c>
      <c r="V18" s="5" t="str">
        <f t="shared" ca="1" si="3"/>
        <v>vs</v>
      </c>
      <c r="W18" s="11" t="str">
        <f t="shared" ca="1" si="18"/>
        <v>Tm05</v>
      </c>
      <c r="X18" s="9"/>
      <c r="Y18" s="10" t="str">
        <f t="shared" ca="1" si="19"/>
        <v>Tm18</v>
      </c>
      <c r="Z18" s="5" t="str">
        <f t="shared" ca="1" si="4"/>
        <v>vs</v>
      </c>
      <c r="AA18" s="11" t="str">
        <f t="shared" ca="1" si="20"/>
        <v>Tm21</v>
      </c>
      <c r="AB18" s="9"/>
      <c r="AC18" s="10" t="str">
        <f t="shared" ca="1" si="21"/>
        <v/>
      </c>
      <c r="AD18" s="5" t="str">
        <f t="shared" ca="1" si="5"/>
        <v/>
      </c>
      <c r="AE18" s="11" t="str">
        <f t="shared" ca="1" si="22"/>
        <v/>
      </c>
      <c r="AF18" s="9"/>
      <c r="AG18" s="10" t="str">
        <f t="shared" ca="1" si="23"/>
        <v/>
      </c>
      <c r="AH18" s="5" t="str">
        <f t="shared" ca="1" si="6"/>
        <v/>
      </c>
      <c r="AI18" s="11" t="str">
        <f t="shared" ca="1" si="24"/>
        <v/>
      </c>
      <c r="AJ18" s="9"/>
      <c r="AK18" s="10" t="str">
        <f t="shared" ca="1" si="25"/>
        <v/>
      </c>
      <c r="AL18" s="5" t="str">
        <f t="shared" ca="1" si="7"/>
        <v/>
      </c>
      <c r="AM18" s="11" t="str">
        <f t="shared" ca="1" si="26"/>
        <v/>
      </c>
      <c r="AN18" s="9"/>
      <c r="AO18" s="10" t="str">
        <f t="shared" ca="1" si="27"/>
        <v/>
      </c>
      <c r="AP18" s="5" t="str">
        <f t="shared" ca="1" si="8"/>
        <v/>
      </c>
      <c r="AQ18" s="11" t="str">
        <f t="shared" ca="1" si="28"/>
        <v/>
      </c>
      <c r="AR18" s="9"/>
      <c r="AS18" s="42"/>
      <c r="AT18" s="39"/>
      <c r="AU18" s="43"/>
      <c r="AV18" s="38"/>
      <c r="AW18" s="42"/>
      <c r="AX18" s="39"/>
      <c r="AY18" s="43"/>
      <c r="AZ18" s="38"/>
    </row>
    <row r="19" spans="1:52">
      <c r="A19" s="4" t="s">
        <v>149</v>
      </c>
      <c r="B19" s="4" t="str">
        <f>IF(CS!$K$7&lt;&gt;"",CS!$K$7,"")</f>
        <v/>
      </c>
      <c r="C19" s="45" t="str">
        <f>CONCATENATE("CS!K11:AR56")</f>
        <v>CS!K11:AR56</v>
      </c>
      <c r="D19" s="44">
        <f t="shared" si="29"/>
        <v>34</v>
      </c>
      <c r="E19" s="10" t="str">
        <f t="shared" ca="1" si="9"/>
        <v>Tm04</v>
      </c>
      <c r="F19" s="5" t="str">
        <f t="shared" ca="1" si="30"/>
        <v>vs</v>
      </c>
      <c r="G19" s="11" t="str">
        <f t="shared" ca="1" si="10"/>
        <v>Tm01</v>
      </c>
      <c r="H19" s="9"/>
      <c r="I19" s="10" t="str">
        <f t="shared" ca="1" si="11"/>
        <v>Tm17</v>
      </c>
      <c r="J19" s="5" t="str">
        <f t="shared" ca="1" si="0"/>
        <v>vs</v>
      </c>
      <c r="K19" s="11" t="str">
        <f t="shared" ca="1" si="12"/>
        <v>Tm20</v>
      </c>
      <c r="L19" s="9"/>
      <c r="M19" s="10" t="str">
        <f t="shared" ca="1" si="13"/>
        <v>Tm05</v>
      </c>
      <c r="N19" s="5" t="str">
        <f t="shared" ca="1" si="1"/>
        <v>vs</v>
      </c>
      <c r="O19" s="11" t="str">
        <f t="shared" ca="1" si="14"/>
        <v>Tm08</v>
      </c>
      <c r="P19" s="9"/>
      <c r="Q19" s="10" t="str">
        <f t="shared" ca="1" si="15"/>
        <v>Tm07</v>
      </c>
      <c r="R19" s="5" t="str">
        <f t="shared" ca="1" si="2"/>
        <v>vs</v>
      </c>
      <c r="S19" s="11" t="str">
        <f t="shared" ca="1" si="16"/>
        <v>Tm06</v>
      </c>
      <c r="T19" s="9"/>
      <c r="U19" s="10" t="str">
        <f t="shared" ca="1" si="17"/>
        <v>Tm19</v>
      </c>
      <c r="V19" s="5" t="str">
        <f t="shared" ca="1" si="3"/>
        <v>vs</v>
      </c>
      <c r="W19" s="11" t="str">
        <f t="shared" ca="1" si="18"/>
        <v>Tm18</v>
      </c>
      <c r="X19" s="9"/>
      <c r="Y19" s="10" t="str">
        <f t="shared" ca="1" si="19"/>
        <v>Tm02</v>
      </c>
      <c r="Z19" s="5" t="str">
        <f t="shared" ca="1" si="4"/>
        <v>vs</v>
      </c>
      <c r="AA19" s="11" t="str">
        <f t="shared" ca="1" si="20"/>
        <v>Tm03</v>
      </c>
      <c r="AB19" s="9"/>
      <c r="AC19" s="10" t="str">
        <f t="shared" ca="1" si="21"/>
        <v/>
      </c>
      <c r="AD19" s="5" t="str">
        <f t="shared" ca="1" si="5"/>
        <v/>
      </c>
      <c r="AE19" s="11" t="str">
        <f t="shared" ca="1" si="22"/>
        <v/>
      </c>
      <c r="AF19" s="9"/>
      <c r="AG19" s="10" t="str">
        <f t="shared" ca="1" si="23"/>
        <v/>
      </c>
      <c r="AH19" s="5" t="str">
        <f t="shared" ca="1" si="6"/>
        <v/>
      </c>
      <c r="AI19" s="11" t="str">
        <f t="shared" ca="1" si="24"/>
        <v/>
      </c>
      <c r="AJ19" s="9"/>
      <c r="AK19" s="10" t="str">
        <f t="shared" ca="1" si="25"/>
        <v/>
      </c>
      <c r="AL19" s="5" t="str">
        <f t="shared" ca="1" si="7"/>
        <v/>
      </c>
      <c r="AM19" s="11" t="str">
        <f t="shared" ca="1" si="26"/>
        <v/>
      </c>
      <c r="AN19" s="9"/>
      <c r="AO19" s="10" t="str">
        <f t="shared" ca="1" si="27"/>
        <v/>
      </c>
      <c r="AP19" s="5" t="str">
        <f t="shared" ca="1" si="8"/>
        <v/>
      </c>
      <c r="AQ19" s="11" t="str">
        <f t="shared" ca="1" si="28"/>
        <v/>
      </c>
      <c r="AR19" s="9"/>
      <c r="AS19" s="42"/>
      <c r="AT19" s="39"/>
      <c r="AU19" s="43"/>
      <c r="AV19" s="38"/>
      <c r="AW19" s="42"/>
      <c r="AX19" s="39"/>
      <c r="AY19" s="43"/>
      <c r="AZ19" s="38"/>
    </row>
    <row r="20" spans="1:52">
      <c r="A20" s="4" t="s">
        <v>150</v>
      </c>
      <c r="B20" s="4" t="str">
        <f>IF(CS!$L$7&lt;&gt;"",CS!$L$7,"")</f>
        <v/>
      </c>
      <c r="C20" s="45" t="str">
        <f>CONCATENATE("CS!L11:AR56")</f>
        <v>CS!L11:AR56</v>
      </c>
      <c r="D20" s="44">
        <f t="shared" si="29"/>
        <v>33</v>
      </c>
      <c r="E20" s="10" t="str">
        <f t="shared" ca="1" si="9"/>
        <v>Tm09</v>
      </c>
      <c r="F20" s="5" t="str">
        <f t="shared" ca="1" si="30"/>
        <v>vs</v>
      </c>
      <c r="G20" s="11" t="str">
        <f t="shared" ca="1" si="10"/>
        <v>Tm12</v>
      </c>
      <c r="H20" s="9"/>
      <c r="I20" s="10" t="str">
        <f t="shared" ca="1" si="11"/>
        <v>Tm21</v>
      </c>
      <c r="J20" s="5" t="str">
        <f t="shared" ca="1" si="0"/>
        <v>vs</v>
      </c>
      <c r="K20" s="11" t="str">
        <f t="shared" ca="1" si="12"/>
        <v>Tm24</v>
      </c>
      <c r="L20" s="9"/>
      <c r="M20" s="10" t="str">
        <f t="shared" ca="1" si="13"/>
        <v>Tm16</v>
      </c>
      <c r="N20" s="5" t="str">
        <f t="shared" ca="1" si="1"/>
        <v>vs</v>
      </c>
      <c r="O20" s="11" t="str">
        <f t="shared" ca="1" si="14"/>
        <v>Tm13</v>
      </c>
      <c r="P20" s="9"/>
      <c r="Q20" s="10" t="str">
        <f t="shared" ca="1" si="15"/>
        <v>Tm15</v>
      </c>
      <c r="R20" s="5" t="str">
        <f t="shared" ca="1" si="2"/>
        <v>vs</v>
      </c>
      <c r="S20" s="11" t="str">
        <f t="shared" ca="1" si="16"/>
        <v>Tm14</v>
      </c>
      <c r="T20" s="9"/>
      <c r="U20" s="10" t="str">
        <f t="shared" ca="1" si="17"/>
        <v>Tm23</v>
      </c>
      <c r="V20" s="5" t="str">
        <f t="shared" ca="1" si="3"/>
        <v>vs</v>
      </c>
      <c r="W20" s="11" t="str">
        <f t="shared" ca="1" si="18"/>
        <v>Tm22</v>
      </c>
      <c r="X20" s="9"/>
      <c r="Y20" s="10" t="str">
        <f t="shared" ca="1" si="19"/>
        <v>Tm10</v>
      </c>
      <c r="Z20" s="5" t="str">
        <f t="shared" ca="1" si="4"/>
        <v>vs</v>
      </c>
      <c r="AA20" s="11" t="str">
        <f t="shared" ca="1" si="20"/>
        <v>Tm11</v>
      </c>
      <c r="AB20" s="9"/>
      <c r="AC20" s="10" t="str">
        <f t="shared" ca="1" si="21"/>
        <v/>
      </c>
      <c r="AD20" s="5" t="str">
        <f t="shared" ca="1" si="5"/>
        <v/>
      </c>
      <c r="AE20" s="11" t="str">
        <f t="shared" ca="1" si="22"/>
        <v/>
      </c>
      <c r="AF20" s="9"/>
      <c r="AG20" s="10" t="str">
        <f t="shared" ca="1" si="23"/>
        <v/>
      </c>
      <c r="AH20" s="5" t="str">
        <f t="shared" ca="1" si="6"/>
        <v/>
      </c>
      <c r="AI20" s="11" t="str">
        <f t="shared" ca="1" si="24"/>
        <v/>
      </c>
      <c r="AJ20" s="9"/>
      <c r="AK20" s="10" t="str">
        <f t="shared" ca="1" si="25"/>
        <v/>
      </c>
      <c r="AL20" s="5" t="str">
        <f t="shared" ca="1" si="7"/>
        <v/>
      </c>
      <c r="AM20" s="11" t="str">
        <f t="shared" ca="1" si="26"/>
        <v/>
      </c>
      <c r="AN20" s="9"/>
      <c r="AO20" s="10" t="str">
        <f t="shared" ca="1" si="27"/>
        <v/>
      </c>
      <c r="AP20" s="5" t="str">
        <f t="shared" ca="1" si="8"/>
        <v/>
      </c>
      <c r="AQ20" s="11" t="str">
        <f t="shared" ca="1" si="28"/>
        <v/>
      </c>
      <c r="AR20" s="9"/>
      <c r="AS20" s="42"/>
      <c r="AT20" s="39"/>
      <c r="AU20" s="43"/>
      <c r="AV20" s="38"/>
      <c r="AW20" s="42"/>
      <c r="AX20" s="39"/>
      <c r="AY20" s="43"/>
      <c r="AZ20" s="38"/>
    </row>
    <row r="21" spans="1:52">
      <c r="A21" s="4" t="s">
        <v>151</v>
      </c>
      <c r="B21" s="4" t="str">
        <f>IF(CS!$M$7&lt;&gt;"",CS!$M$7,"")</f>
        <v/>
      </c>
      <c r="C21" s="45" t="str">
        <f>CONCATENATE("CS!M11:AR56")</f>
        <v>CS!M11:AR56</v>
      </c>
      <c r="D21" s="44">
        <f t="shared" si="29"/>
        <v>32</v>
      </c>
      <c r="E21" s="10" t="str">
        <f t="shared" ca="1" si="9"/>
        <v>Tm14</v>
      </c>
      <c r="F21" s="5" t="str">
        <f t="shared" ca="1" si="30"/>
        <v>vs</v>
      </c>
      <c r="G21" s="11" t="str">
        <f t="shared" ca="1" si="10"/>
        <v>Tm16</v>
      </c>
      <c r="H21" s="9"/>
      <c r="I21" s="10" t="str">
        <f t="shared" ca="1" si="11"/>
        <v>Tm12</v>
      </c>
      <c r="J21" s="5" t="str">
        <f t="shared" ca="1" si="0"/>
        <v>vs</v>
      </c>
      <c r="K21" s="11" t="str">
        <f t="shared" ca="1" si="12"/>
        <v>Tm10</v>
      </c>
      <c r="L21" s="9"/>
      <c r="M21" s="10" t="str">
        <f t="shared" ca="1" si="13"/>
        <v>Tm22</v>
      </c>
      <c r="N21" s="5" t="str">
        <f t="shared" ca="1" si="1"/>
        <v>vs</v>
      </c>
      <c r="O21" s="11" t="str">
        <f t="shared" ca="1" si="14"/>
        <v>Tm24</v>
      </c>
      <c r="P21" s="9"/>
      <c r="Q21" s="10" t="str">
        <f t="shared" ca="1" si="15"/>
        <v>Tm21</v>
      </c>
      <c r="R21" s="5" t="str">
        <f t="shared" ca="1" si="2"/>
        <v>vs</v>
      </c>
      <c r="S21" s="11" t="str">
        <f t="shared" ca="1" si="16"/>
        <v>Tm23</v>
      </c>
      <c r="T21" s="9"/>
      <c r="U21" s="10" t="str">
        <f t="shared" ca="1" si="17"/>
        <v>Tm11</v>
      </c>
      <c r="V21" s="5" t="str">
        <f t="shared" ca="1" si="3"/>
        <v>vs</v>
      </c>
      <c r="W21" s="11" t="str">
        <f t="shared" ca="1" si="18"/>
        <v>Tm09</v>
      </c>
      <c r="X21" s="9"/>
      <c r="Y21" s="10" t="str">
        <f t="shared" ca="1" si="19"/>
        <v>Tm13</v>
      </c>
      <c r="Z21" s="5" t="str">
        <f t="shared" ca="1" si="4"/>
        <v>vs</v>
      </c>
      <c r="AA21" s="11" t="str">
        <f t="shared" ca="1" si="20"/>
        <v>Tm15</v>
      </c>
      <c r="AB21" s="9"/>
      <c r="AC21" s="10" t="str">
        <f t="shared" ca="1" si="21"/>
        <v/>
      </c>
      <c r="AD21" s="5" t="str">
        <f t="shared" ca="1" si="5"/>
        <v/>
      </c>
      <c r="AE21" s="11" t="str">
        <f t="shared" ca="1" si="22"/>
        <v/>
      </c>
      <c r="AF21" s="9"/>
      <c r="AG21" s="10" t="str">
        <f t="shared" ca="1" si="23"/>
        <v/>
      </c>
      <c r="AH21" s="5" t="str">
        <f t="shared" ca="1" si="6"/>
        <v/>
      </c>
      <c r="AI21" s="11" t="str">
        <f t="shared" ca="1" si="24"/>
        <v/>
      </c>
      <c r="AJ21" s="9"/>
      <c r="AK21" s="10" t="str">
        <f t="shared" ca="1" si="25"/>
        <v/>
      </c>
      <c r="AL21" s="5" t="str">
        <f t="shared" ca="1" si="7"/>
        <v/>
      </c>
      <c r="AM21" s="11" t="str">
        <f t="shared" ca="1" si="26"/>
        <v/>
      </c>
      <c r="AN21" s="9"/>
      <c r="AO21" s="10" t="str">
        <f t="shared" ca="1" si="27"/>
        <v/>
      </c>
      <c r="AP21" s="5" t="str">
        <f t="shared" ca="1" si="8"/>
        <v/>
      </c>
      <c r="AQ21" s="11" t="str">
        <f t="shared" ca="1" si="28"/>
        <v/>
      </c>
      <c r="AR21" s="9"/>
      <c r="AS21" s="42"/>
      <c r="AT21" s="39"/>
      <c r="AU21" s="43"/>
      <c r="AV21" s="38"/>
      <c r="AW21" s="42"/>
      <c r="AX21" s="39"/>
      <c r="AY21" s="43"/>
      <c r="AZ21" s="38"/>
    </row>
    <row r="22" spans="1:52">
      <c r="A22" s="4" t="s">
        <v>152</v>
      </c>
      <c r="B22" s="4" t="str">
        <f>IF(CS!$N$7&lt;&gt;"",CS!$N$7,"")</f>
        <v/>
      </c>
      <c r="C22" s="45" t="str">
        <f>CONCATENATE("CS!N11:AR56")</f>
        <v>CS!N11:AR56</v>
      </c>
      <c r="D22" s="44">
        <f t="shared" si="29"/>
        <v>31</v>
      </c>
      <c r="E22" s="10" t="str">
        <f t="shared" ca="1" si="9"/>
        <v>Tm06</v>
      </c>
      <c r="F22" s="5" t="str">
        <f t="shared" ca="1" si="30"/>
        <v>vs</v>
      </c>
      <c r="G22" s="11" t="str">
        <f t="shared" ca="1" si="10"/>
        <v>Tm08</v>
      </c>
      <c r="H22" s="9"/>
      <c r="I22" s="10" t="str">
        <f t="shared" ca="1" si="11"/>
        <v>Tm02</v>
      </c>
      <c r="J22" s="5" t="str">
        <f t="shared" ca="1" si="0"/>
        <v>vs</v>
      </c>
      <c r="K22" s="11" t="str">
        <f t="shared" ca="1" si="12"/>
        <v>Tm04</v>
      </c>
      <c r="L22" s="9"/>
      <c r="M22" s="10" t="str">
        <f t="shared" ca="1" si="13"/>
        <v>Tm18</v>
      </c>
      <c r="N22" s="5" t="str">
        <f t="shared" ca="1" si="1"/>
        <v>vs</v>
      </c>
      <c r="O22" s="11" t="str">
        <f t="shared" ca="1" si="14"/>
        <v>Tm20</v>
      </c>
      <c r="P22" s="9"/>
      <c r="Q22" s="10" t="str">
        <f t="shared" ca="1" si="15"/>
        <v>Tm19</v>
      </c>
      <c r="R22" s="5" t="str">
        <f t="shared" ca="1" si="2"/>
        <v>vs</v>
      </c>
      <c r="S22" s="11" t="str">
        <f t="shared" ca="1" si="16"/>
        <v>Tm17</v>
      </c>
      <c r="T22" s="9"/>
      <c r="U22" s="10" t="str">
        <f t="shared" ca="1" si="17"/>
        <v>Tm03</v>
      </c>
      <c r="V22" s="5" t="str">
        <f t="shared" ca="1" si="3"/>
        <v>vs</v>
      </c>
      <c r="W22" s="11" t="str">
        <f t="shared" ca="1" si="18"/>
        <v>Tm01</v>
      </c>
      <c r="X22" s="9"/>
      <c r="Y22" s="10" t="str">
        <f t="shared" ca="1" si="19"/>
        <v>Tm07</v>
      </c>
      <c r="Z22" s="5" t="str">
        <f t="shared" ca="1" si="4"/>
        <v>vs</v>
      </c>
      <c r="AA22" s="11" t="str">
        <f t="shared" ca="1" si="20"/>
        <v>Tm05</v>
      </c>
      <c r="AB22" s="9"/>
      <c r="AC22" s="10" t="str">
        <f t="shared" ca="1" si="21"/>
        <v/>
      </c>
      <c r="AD22" s="5" t="str">
        <f t="shared" ca="1" si="5"/>
        <v/>
      </c>
      <c r="AE22" s="11" t="str">
        <f t="shared" ca="1" si="22"/>
        <v/>
      </c>
      <c r="AF22" s="9"/>
      <c r="AG22" s="10" t="str">
        <f t="shared" ca="1" si="23"/>
        <v/>
      </c>
      <c r="AH22" s="5" t="str">
        <f t="shared" ca="1" si="6"/>
        <v/>
      </c>
      <c r="AI22" s="11" t="str">
        <f t="shared" ca="1" si="24"/>
        <v/>
      </c>
      <c r="AJ22" s="9"/>
      <c r="AK22" s="10" t="str">
        <f t="shared" ca="1" si="25"/>
        <v/>
      </c>
      <c r="AL22" s="5" t="str">
        <f t="shared" ca="1" si="7"/>
        <v/>
      </c>
      <c r="AM22" s="11" t="str">
        <f t="shared" ca="1" si="26"/>
        <v/>
      </c>
      <c r="AN22" s="9"/>
      <c r="AO22" s="10" t="str">
        <f t="shared" ca="1" si="27"/>
        <v/>
      </c>
      <c r="AP22" s="5" t="str">
        <f t="shared" ca="1" si="8"/>
        <v/>
      </c>
      <c r="AQ22" s="11" t="str">
        <f t="shared" ca="1" si="28"/>
        <v/>
      </c>
      <c r="AR22" s="9"/>
      <c r="AS22" s="42"/>
      <c r="AT22" s="39"/>
      <c r="AU22" s="43"/>
      <c r="AV22" s="38"/>
      <c r="AW22" s="42"/>
      <c r="AX22" s="39"/>
      <c r="AY22" s="43"/>
      <c r="AZ22" s="38"/>
    </row>
    <row r="23" spans="1:52">
      <c r="A23" s="4" t="s">
        <v>153</v>
      </c>
      <c r="B23" s="4" t="str">
        <f>IF(CS!$O$7&lt;&gt;"",CS!$O$7,"")</f>
        <v/>
      </c>
      <c r="C23" s="45" t="str">
        <f>CONCATENATE("CS!O11:AR56")</f>
        <v>CS!O11:AR56</v>
      </c>
      <c r="D23" s="44">
        <f t="shared" si="29"/>
        <v>30</v>
      </c>
      <c r="E23" s="10" t="str">
        <f t="shared" ca="1" si="9"/>
        <v>Tm17</v>
      </c>
      <c r="F23" s="5" t="str">
        <f t="shared" ca="1" si="30"/>
        <v>vs</v>
      </c>
      <c r="G23" s="11" t="str">
        <f t="shared" ca="1" si="10"/>
        <v>Tm18</v>
      </c>
      <c r="H23" s="9"/>
      <c r="I23" s="10" t="str">
        <f t="shared" ca="1" si="11"/>
        <v>Tm06</v>
      </c>
      <c r="J23" s="5" t="str">
        <f t="shared" ca="1" si="0"/>
        <v>vs</v>
      </c>
      <c r="K23" s="11" t="str">
        <f t="shared" ca="1" si="12"/>
        <v>Tm05</v>
      </c>
      <c r="L23" s="9"/>
      <c r="M23" s="10" t="str">
        <f t="shared" ca="1" si="13"/>
        <v>Tm01</v>
      </c>
      <c r="N23" s="5" t="str">
        <f t="shared" ca="1" si="1"/>
        <v>vs</v>
      </c>
      <c r="O23" s="11" t="str">
        <f t="shared" ca="1" si="14"/>
        <v>Tm02</v>
      </c>
      <c r="P23" s="9"/>
      <c r="Q23" s="10" t="str">
        <f t="shared" ca="1" si="15"/>
        <v>Tm04</v>
      </c>
      <c r="R23" s="5" t="str">
        <f t="shared" ca="1" si="2"/>
        <v>vs</v>
      </c>
      <c r="S23" s="11" t="str">
        <f t="shared" ca="1" si="16"/>
        <v>Tm03</v>
      </c>
      <c r="T23" s="9"/>
      <c r="U23" s="10" t="str">
        <f t="shared" ca="1" si="17"/>
        <v>Tm08</v>
      </c>
      <c r="V23" s="5" t="str">
        <f t="shared" ca="1" si="3"/>
        <v>vs</v>
      </c>
      <c r="W23" s="11" t="str">
        <f t="shared" ca="1" si="18"/>
        <v>Tm07</v>
      </c>
      <c r="X23" s="9"/>
      <c r="Y23" s="10" t="str">
        <f t="shared" ca="1" si="19"/>
        <v>Tm20</v>
      </c>
      <c r="Z23" s="5" t="str">
        <f t="shared" ca="1" si="4"/>
        <v>vs</v>
      </c>
      <c r="AA23" s="11" t="str">
        <f t="shared" ca="1" si="20"/>
        <v>Tm19</v>
      </c>
      <c r="AB23" s="9"/>
      <c r="AC23" s="10" t="str">
        <f t="shared" ca="1" si="21"/>
        <v/>
      </c>
      <c r="AD23" s="5" t="str">
        <f t="shared" ca="1" si="5"/>
        <v/>
      </c>
      <c r="AE23" s="11" t="str">
        <f t="shared" ca="1" si="22"/>
        <v/>
      </c>
      <c r="AF23" s="9"/>
      <c r="AG23" s="10" t="str">
        <f t="shared" ca="1" si="23"/>
        <v/>
      </c>
      <c r="AH23" s="5" t="str">
        <f t="shared" ca="1" si="6"/>
        <v/>
      </c>
      <c r="AI23" s="11" t="str">
        <f t="shared" ca="1" si="24"/>
        <v/>
      </c>
      <c r="AJ23" s="9"/>
      <c r="AK23" s="10" t="str">
        <f t="shared" ca="1" si="25"/>
        <v/>
      </c>
      <c r="AL23" s="5" t="str">
        <f t="shared" ca="1" si="7"/>
        <v/>
      </c>
      <c r="AM23" s="11" t="str">
        <f t="shared" ca="1" si="26"/>
        <v/>
      </c>
      <c r="AN23" s="9"/>
      <c r="AO23" s="10" t="str">
        <f t="shared" ca="1" si="27"/>
        <v/>
      </c>
      <c r="AP23" s="5" t="str">
        <f t="shared" ca="1" si="8"/>
        <v/>
      </c>
      <c r="AQ23" s="11" t="str">
        <f t="shared" ca="1" si="28"/>
        <v/>
      </c>
      <c r="AR23" s="9"/>
      <c r="AS23" s="42"/>
      <c r="AT23" s="39"/>
      <c r="AU23" s="43"/>
      <c r="AV23" s="38"/>
      <c r="AW23" s="42"/>
      <c r="AX23" s="39"/>
      <c r="AY23" s="43"/>
      <c r="AZ23" s="38"/>
    </row>
    <row r="24" spans="1:52">
      <c r="A24" s="4" t="s">
        <v>154</v>
      </c>
      <c r="B24" s="4" t="str">
        <f>IF(CS!$P$7&lt;&gt;"",CS!$P$7,"")</f>
        <v/>
      </c>
      <c r="C24" s="45" t="str">
        <f>CONCATENATE("CS!P11:AR56")</f>
        <v>CS!P11:AR56</v>
      </c>
      <c r="D24" s="44">
        <f t="shared" si="29"/>
        <v>29</v>
      </c>
      <c r="E24" s="10" t="str">
        <f t="shared" ca="1" si="9"/>
        <v>Tm22</v>
      </c>
      <c r="F24" s="5" t="str">
        <f t="shared" ca="1" si="30"/>
        <v>vs</v>
      </c>
      <c r="G24" s="11" t="str">
        <f t="shared" ca="1" si="10"/>
        <v>Tm21</v>
      </c>
      <c r="H24" s="9"/>
      <c r="I24" s="10" t="str">
        <f t="shared" ca="1" si="11"/>
        <v>Tm13</v>
      </c>
      <c r="J24" s="5" t="str">
        <f t="shared" ca="1" si="0"/>
        <v>vs</v>
      </c>
      <c r="K24" s="11" t="str">
        <f t="shared" ca="1" si="12"/>
        <v>Tm14</v>
      </c>
      <c r="L24" s="9"/>
      <c r="M24" s="10" t="str">
        <f t="shared" ca="1" si="13"/>
        <v>Tm10</v>
      </c>
      <c r="N24" s="5" t="str">
        <f t="shared" ca="1" si="1"/>
        <v>vs</v>
      </c>
      <c r="O24" s="11" t="str">
        <f t="shared" ca="1" si="14"/>
        <v>Tm09</v>
      </c>
      <c r="P24" s="9"/>
      <c r="Q24" s="10" t="str">
        <f t="shared" ca="1" si="15"/>
        <v>Tm11</v>
      </c>
      <c r="R24" s="5" t="str">
        <f t="shared" ca="1" si="2"/>
        <v>vs</v>
      </c>
      <c r="S24" s="11" t="str">
        <f t="shared" ca="1" si="16"/>
        <v>Tm12</v>
      </c>
      <c r="T24" s="9"/>
      <c r="U24" s="10" t="str">
        <f t="shared" ca="1" si="17"/>
        <v>Tm16</v>
      </c>
      <c r="V24" s="5" t="str">
        <f t="shared" ca="1" si="3"/>
        <v>vs</v>
      </c>
      <c r="W24" s="11" t="str">
        <f t="shared" ca="1" si="18"/>
        <v>Tm15</v>
      </c>
      <c r="X24" s="9"/>
      <c r="Y24" s="10" t="str">
        <f t="shared" ca="1" si="19"/>
        <v>Tm24</v>
      </c>
      <c r="Z24" s="5" t="str">
        <f t="shared" ca="1" si="4"/>
        <v>vs</v>
      </c>
      <c r="AA24" s="11" t="str">
        <f t="shared" ca="1" si="20"/>
        <v>Tm23</v>
      </c>
      <c r="AB24" s="9"/>
      <c r="AC24" s="10" t="str">
        <f t="shared" ca="1" si="21"/>
        <v/>
      </c>
      <c r="AD24" s="5" t="str">
        <f t="shared" ca="1" si="5"/>
        <v/>
      </c>
      <c r="AE24" s="11" t="str">
        <f t="shared" ca="1" si="22"/>
        <v/>
      </c>
      <c r="AF24" s="9"/>
      <c r="AG24" s="10" t="str">
        <f t="shared" ca="1" si="23"/>
        <v/>
      </c>
      <c r="AH24" s="5" t="str">
        <f t="shared" ca="1" si="6"/>
        <v/>
      </c>
      <c r="AI24" s="11" t="str">
        <f t="shared" ca="1" si="24"/>
        <v/>
      </c>
      <c r="AJ24" s="9"/>
      <c r="AK24" s="10" t="str">
        <f t="shared" ca="1" si="25"/>
        <v/>
      </c>
      <c r="AL24" s="5" t="str">
        <f t="shared" ca="1" si="7"/>
        <v/>
      </c>
      <c r="AM24" s="11" t="str">
        <f t="shared" ca="1" si="26"/>
        <v/>
      </c>
      <c r="AN24" s="9"/>
      <c r="AO24" s="10" t="str">
        <f t="shared" ca="1" si="27"/>
        <v/>
      </c>
      <c r="AP24" s="5" t="str">
        <f t="shared" ca="1" si="8"/>
        <v/>
      </c>
      <c r="AQ24" s="11" t="str">
        <f t="shared" ca="1" si="28"/>
        <v/>
      </c>
      <c r="AR24" s="9"/>
      <c r="AS24" s="42"/>
      <c r="AT24" s="39"/>
      <c r="AU24" s="43"/>
      <c r="AV24" s="38"/>
      <c r="AW24" s="42"/>
      <c r="AX24" s="39"/>
      <c r="AY24" s="43"/>
      <c r="AZ24" s="38"/>
    </row>
    <row r="25" spans="1:52">
      <c r="A25" s="4" t="s">
        <v>155</v>
      </c>
      <c r="B25" s="4" t="str">
        <f>IF(CS!$Q$7&lt;&gt;"",CS!$Q$7,"")</f>
        <v/>
      </c>
      <c r="C25" s="45" t="str">
        <f>CONCATENATE("CS!Q11:AR56")</f>
        <v>CS!Q11:AR56</v>
      </c>
      <c r="D25" s="44">
        <f t="shared" si="29"/>
        <v>28</v>
      </c>
      <c r="E25" s="10" t="str">
        <f t="shared" ca="1" si="9"/>
        <v/>
      </c>
      <c r="F25" s="5" t="str">
        <f t="shared" ca="1" si="30"/>
        <v/>
      </c>
      <c r="G25" s="11" t="str">
        <f t="shared" ca="1" si="10"/>
        <v/>
      </c>
      <c r="H25" s="9"/>
      <c r="I25" s="10" t="str">
        <f t="shared" ca="1" si="11"/>
        <v/>
      </c>
      <c r="J25" s="5" t="str">
        <f t="shared" ca="1" si="0"/>
        <v/>
      </c>
      <c r="K25" s="11" t="str">
        <f t="shared" ca="1" si="12"/>
        <v/>
      </c>
      <c r="L25" s="9"/>
      <c r="M25" s="10" t="str">
        <f t="shared" ca="1" si="13"/>
        <v/>
      </c>
      <c r="N25" s="5" t="str">
        <f t="shared" ca="1" si="1"/>
        <v/>
      </c>
      <c r="O25" s="11" t="str">
        <f t="shared" ca="1" si="14"/>
        <v/>
      </c>
      <c r="P25" s="9"/>
      <c r="Q25" s="10" t="str">
        <f t="shared" ca="1" si="15"/>
        <v/>
      </c>
      <c r="R25" s="5" t="str">
        <f t="shared" ca="1" si="2"/>
        <v/>
      </c>
      <c r="S25" s="11" t="str">
        <f t="shared" ca="1" si="16"/>
        <v/>
      </c>
      <c r="T25" s="9"/>
      <c r="U25" s="10" t="str">
        <f t="shared" ca="1" si="17"/>
        <v/>
      </c>
      <c r="V25" s="5" t="str">
        <f t="shared" ca="1" si="3"/>
        <v/>
      </c>
      <c r="W25" s="11" t="str">
        <f t="shared" ca="1" si="18"/>
        <v/>
      </c>
      <c r="X25" s="9"/>
      <c r="Y25" s="10" t="str">
        <f t="shared" ca="1" si="19"/>
        <v/>
      </c>
      <c r="Z25" s="5" t="str">
        <f t="shared" ca="1" si="4"/>
        <v/>
      </c>
      <c r="AA25" s="11" t="str">
        <f t="shared" ca="1" si="20"/>
        <v/>
      </c>
      <c r="AB25" s="9"/>
      <c r="AC25" s="10" t="str">
        <f t="shared" ca="1" si="21"/>
        <v/>
      </c>
      <c r="AD25" s="5" t="str">
        <f t="shared" ca="1" si="5"/>
        <v/>
      </c>
      <c r="AE25" s="11" t="str">
        <f t="shared" ca="1" si="22"/>
        <v/>
      </c>
      <c r="AF25" s="9"/>
      <c r="AG25" s="10" t="str">
        <f t="shared" ca="1" si="23"/>
        <v/>
      </c>
      <c r="AH25" s="5" t="str">
        <f t="shared" ca="1" si="6"/>
        <v/>
      </c>
      <c r="AI25" s="11" t="str">
        <f t="shared" ca="1" si="24"/>
        <v/>
      </c>
      <c r="AJ25" s="9"/>
      <c r="AK25" s="10" t="str">
        <f t="shared" ca="1" si="25"/>
        <v/>
      </c>
      <c r="AL25" s="5" t="str">
        <f t="shared" ca="1" si="7"/>
        <v/>
      </c>
      <c r="AM25" s="11" t="str">
        <f t="shared" ca="1" si="26"/>
        <v/>
      </c>
      <c r="AN25" s="9"/>
      <c r="AO25" s="10" t="str">
        <f t="shared" ca="1" si="27"/>
        <v/>
      </c>
      <c r="AP25" s="5" t="str">
        <f t="shared" ca="1" si="8"/>
        <v/>
      </c>
      <c r="AQ25" s="11" t="str">
        <f t="shared" ca="1" si="28"/>
        <v/>
      </c>
      <c r="AR25" s="9"/>
      <c r="AS25" s="42"/>
      <c r="AT25" s="39"/>
      <c r="AU25" s="43"/>
      <c r="AV25" s="38"/>
      <c r="AW25" s="42"/>
      <c r="AX25" s="39"/>
      <c r="AY25" s="43"/>
      <c r="AZ25" s="38"/>
    </row>
    <row r="26" spans="1:52">
      <c r="A26" s="4" t="s">
        <v>156</v>
      </c>
      <c r="B26" s="4" t="str">
        <f>IF(CS!$R$7&lt;&gt;"",CS!$R$7,"")</f>
        <v/>
      </c>
      <c r="C26" s="45" t="str">
        <f>CONCATENATE("CS!R11:AR56")</f>
        <v>CS!R11:AR56</v>
      </c>
      <c r="D26" s="44">
        <f t="shared" si="29"/>
        <v>27</v>
      </c>
      <c r="E26" s="10" t="str">
        <f t="shared" ca="1" si="9"/>
        <v/>
      </c>
      <c r="F26" s="5" t="str">
        <f t="shared" ca="1" si="30"/>
        <v/>
      </c>
      <c r="G26" s="11" t="str">
        <f t="shared" ca="1" si="10"/>
        <v/>
      </c>
      <c r="H26" s="9"/>
      <c r="I26" s="10" t="str">
        <f t="shared" ca="1" si="11"/>
        <v/>
      </c>
      <c r="J26" s="5" t="str">
        <f t="shared" ca="1" si="0"/>
        <v/>
      </c>
      <c r="K26" s="11" t="str">
        <f t="shared" ca="1" si="12"/>
        <v/>
      </c>
      <c r="L26" s="9"/>
      <c r="M26" s="10" t="str">
        <f t="shared" ca="1" si="13"/>
        <v/>
      </c>
      <c r="N26" s="5" t="str">
        <f t="shared" ca="1" si="1"/>
        <v/>
      </c>
      <c r="O26" s="11" t="str">
        <f t="shared" ca="1" si="14"/>
        <v/>
      </c>
      <c r="P26" s="9"/>
      <c r="Q26" s="10" t="str">
        <f t="shared" ca="1" si="15"/>
        <v/>
      </c>
      <c r="R26" s="5" t="str">
        <f t="shared" ca="1" si="2"/>
        <v/>
      </c>
      <c r="S26" s="11" t="str">
        <f t="shared" ca="1" si="16"/>
        <v/>
      </c>
      <c r="T26" s="9"/>
      <c r="U26" s="10" t="str">
        <f t="shared" ca="1" si="17"/>
        <v/>
      </c>
      <c r="V26" s="5" t="str">
        <f t="shared" ca="1" si="3"/>
        <v/>
      </c>
      <c r="W26" s="11" t="str">
        <f t="shared" ca="1" si="18"/>
        <v/>
      </c>
      <c r="X26" s="9"/>
      <c r="Y26" s="10" t="str">
        <f t="shared" ca="1" si="19"/>
        <v/>
      </c>
      <c r="Z26" s="5" t="str">
        <f t="shared" ca="1" si="4"/>
        <v/>
      </c>
      <c r="AA26" s="11" t="str">
        <f t="shared" ca="1" si="20"/>
        <v/>
      </c>
      <c r="AB26" s="9"/>
      <c r="AC26" s="10" t="str">
        <f t="shared" ca="1" si="21"/>
        <v/>
      </c>
      <c r="AD26" s="5" t="str">
        <f t="shared" ca="1" si="5"/>
        <v/>
      </c>
      <c r="AE26" s="11" t="str">
        <f t="shared" ca="1" si="22"/>
        <v/>
      </c>
      <c r="AF26" s="9"/>
      <c r="AG26" s="10" t="str">
        <f t="shared" ca="1" si="23"/>
        <v/>
      </c>
      <c r="AH26" s="5" t="str">
        <f t="shared" ca="1" si="6"/>
        <v/>
      </c>
      <c r="AI26" s="11" t="str">
        <f t="shared" ca="1" si="24"/>
        <v/>
      </c>
      <c r="AJ26" s="9"/>
      <c r="AK26" s="10" t="str">
        <f t="shared" ca="1" si="25"/>
        <v/>
      </c>
      <c r="AL26" s="5" t="str">
        <f t="shared" ca="1" si="7"/>
        <v/>
      </c>
      <c r="AM26" s="11" t="str">
        <f t="shared" ca="1" si="26"/>
        <v/>
      </c>
      <c r="AN26" s="9"/>
      <c r="AO26" s="10" t="str">
        <f t="shared" ca="1" si="27"/>
        <v/>
      </c>
      <c r="AP26" s="5" t="str">
        <f t="shared" ca="1" si="8"/>
        <v/>
      </c>
      <c r="AQ26" s="11" t="str">
        <f t="shared" ca="1" si="28"/>
        <v/>
      </c>
      <c r="AR26" s="9"/>
      <c r="AS26" s="42"/>
      <c r="AT26" s="39"/>
      <c r="AU26" s="43"/>
      <c r="AV26" s="38"/>
      <c r="AW26" s="42"/>
      <c r="AX26" s="39"/>
      <c r="AY26" s="43"/>
      <c r="AZ26" s="38"/>
    </row>
    <row r="27" spans="1:52">
      <c r="A27" s="4" t="s">
        <v>157</v>
      </c>
      <c r="B27" s="4" t="str">
        <f>IF(CS!$S$7&lt;&gt;"",CS!$S$7,"")</f>
        <v/>
      </c>
      <c r="C27" s="45" t="str">
        <f>CONCATENATE("CS!S11:AR56")</f>
        <v>CS!S11:AR56</v>
      </c>
      <c r="D27" s="44">
        <f t="shared" si="29"/>
        <v>26</v>
      </c>
      <c r="E27" s="10" t="str">
        <f t="shared" ca="1" si="9"/>
        <v/>
      </c>
      <c r="F27" s="5" t="str">
        <f t="shared" ca="1" si="30"/>
        <v/>
      </c>
      <c r="G27" s="11" t="str">
        <f t="shared" ca="1" si="10"/>
        <v/>
      </c>
      <c r="H27" s="9"/>
      <c r="I27" s="10" t="str">
        <f t="shared" ca="1" si="11"/>
        <v/>
      </c>
      <c r="J27" s="5" t="str">
        <f t="shared" ca="1" si="0"/>
        <v/>
      </c>
      <c r="K27" s="11" t="str">
        <f t="shared" ca="1" si="12"/>
        <v/>
      </c>
      <c r="L27" s="9"/>
      <c r="M27" s="10" t="str">
        <f t="shared" ca="1" si="13"/>
        <v/>
      </c>
      <c r="N27" s="5" t="str">
        <f t="shared" ca="1" si="1"/>
        <v/>
      </c>
      <c r="O27" s="11" t="str">
        <f t="shared" ca="1" si="14"/>
        <v/>
      </c>
      <c r="P27" s="9"/>
      <c r="Q27" s="10" t="str">
        <f t="shared" ca="1" si="15"/>
        <v/>
      </c>
      <c r="R27" s="5" t="str">
        <f t="shared" ca="1" si="2"/>
        <v/>
      </c>
      <c r="S27" s="11" t="str">
        <f t="shared" ca="1" si="16"/>
        <v/>
      </c>
      <c r="T27" s="9"/>
      <c r="U27" s="10" t="str">
        <f t="shared" ca="1" si="17"/>
        <v/>
      </c>
      <c r="V27" s="5" t="str">
        <f t="shared" ca="1" si="3"/>
        <v/>
      </c>
      <c r="W27" s="11" t="str">
        <f t="shared" ca="1" si="18"/>
        <v/>
      </c>
      <c r="X27" s="9"/>
      <c r="Y27" s="10" t="str">
        <f t="shared" ca="1" si="19"/>
        <v/>
      </c>
      <c r="Z27" s="5" t="str">
        <f t="shared" ca="1" si="4"/>
        <v/>
      </c>
      <c r="AA27" s="11" t="str">
        <f t="shared" ca="1" si="20"/>
        <v/>
      </c>
      <c r="AB27" s="9"/>
      <c r="AC27" s="10" t="str">
        <f t="shared" ca="1" si="21"/>
        <v/>
      </c>
      <c r="AD27" s="5" t="str">
        <f t="shared" ca="1" si="5"/>
        <v/>
      </c>
      <c r="AE27" s="11" t="str">
        <f t="shared" ca="1" si="22"/>
        <v/>
      </c>
      <c r="AF27" s="9"/>
      <c r="AG27" s="10" t="str">
        <f t="shared" ca="1" si="23"/>
        <v/>
      </c>
      <c r="AH27" s="5" t="str">
        <f t="shared" ca="1" si="6"/>
        <v/>
      </c>
      <c r="AI27" s="11" t="str">
        <f t="shared" ca="1" si="24"/>
        <v/>
      </c>
      <c r="AJ27" s="9"/>
      <c r="AK27" s="10" t="str">
        <f t="shared" ca="1" si="25"/>
        <v/>
      </c>
      <c r="AL27" s="5" t="str">
        <f t="shared" ca="1" si="7"/>
        <v/>
      </c>
      <c r="AM27" s="11" t="str">
        <f t="shared" ca="1" si="26"/>
        <v/>
      </c>
      <c r="AN27" s="9"/>
      <c r="AO27" s="10" t="str">
        <f t="shared" ca="1" si="27"/>
        <v/>
      </c>
      <c r="AP27" s="5" t="str">
        <f t="shared" ca="1" si="8"/>
        <v/>
      </c>
      <c r="AQ27" s="11" t="str">
        <f t="shared" ca="1" si="28"/>
        <v/>
      </c>
      <c r="AR27" s="9"/>
      <c r="AS27" s="42"/>
      <c r="AT27" s="39"/>
      <c r="AU27" s="43"/>
      <c r="AV27" s="38"/>
      <c r="AW27" s="42"/>
      <c r="AX27" s="39"/>
      <c r="AY27" s="43"/>
      <c r="AZ27" s="38"/>
    </row>
    <row r="28" spans="1:52">
      <c r="A28" s="4" t="s">
        <v>158</v>
      </c>
      <c r="B28" s="4" t="str">
        <f>IF(CS!$T$7&lt;&gt;"",CS!$T$7,"")</f>
        <v/>
      </c>
      <c r="C28" s="45" t="str">
        <f>CONCATENATE("CS!T11:AR56")</f>
        <v>CS!T11:AR56</v>
      </c>
      <c r="D28" s="44">
        <f t="shared" si="29"/>
        <v>25</v>
      </c>
      <c r="E28" s="10" t="str">
        <f t="shared" ca="1" si="9"/>
        <v/>
      </c>
      <c r="F28" s="5" t="str">
        <f t="shared" ca="1" si="30"/>
        <v/>
      </c>
      <c r="G28" s="11" t="str">
        <f t="shared" ca="1" si="10"/>
        <v/>
      </c>
      <c r="H28" s="9"/>
      <c r="I28" s="10" t="str">
        <f t="shared" ca="1" si="11"/>
        <v/>
      </c>
      <c r="J28" s="5" t="str">
        <f t="shared" ca="1" si="0"/>
        <v/>
      </c>
      <c r="K28" s="11" t="str">
        <f t="shared" ca="1" si="12"/>
        <v/>
      </c>
      <c r="L28" s="9"/>
      <c r="M28" s="10" t="str">
        <f t="shared" ca="1" si="13"/>
        <v/>
      </c>
      <c r="N28" s="5" t="str">
        <f t="shared" ca="1" si="1"/>
        <v/>
      </c>
      <c r="O28" s="11" t="str">
        <f t="shared" ca="1" si="14"/>
        <v/>
      </c>
      <c r="P28" s="9"/>
      <c r="Q28" s="10" t="str">
        <f t="shared" ca="1" si="15"/>
        <v/>
      </c>
      <c r="R28" s="5" t="str">
        <f t="shared" ca="1" si="2"/>
        <v/>
      </c>
      <c r="S28" s="11" t="str">
        <f t="shared" ca="1" si="16"/>
        <v/>
      </c>
      <c r="T28" s="9"/>
      <c r="U28" s="10" t="str">
        <f t="shared" ca="1" si="17"/>
        <v/>
      </c>
      <c r="V28" s="5" t="str">
        <f t="shared" ca="1" si="3"/>
        <v/>
      </c>
      <c r="W28" s="11" t="str">
        <f t="shared" ca="1" si="18"/>
        <v/>
      </c>
      <c r="X28" s="9"/>
      <c r="Y28" s="10" t="str">
        <f t="shared" ca="1" si="19"/>
        <v/>
      </c>
      <c r="Z28" s="5" t="str">
        <f t="shared" ca="1" si="4"/>
        <v/>
      </c>
      <c r="AA28" s="11" t="str">
        <f t="shared" ca="1" si="20"/>
        <v/>
      </c>
      <c r="AB28" s="9"/>
      <c r="AC28" s="10" t="str">
        <f t="shared" ca="1" si="21"/>
        <v/>
      </c>
      <c r="AD28" s="5" t="str">
        <f t="shared" ca="1" si="5"/>
        <v/>
      </c>
      <c r="AE28" s="11" t="str">
        <f t="shared" ca="1" si="22"/>
        <v/>
      </c>
      <c r="AF28" s="9"/>
      <c r="AG28" s="10" t="str">
        <f t="shared" ca="1" si="23"/>
        <v/>
      </c>
      <c r="AH28" s="5" t="str">
        <f t="shared" ca="1" si="6"/>
        <v/>
      </c>
      <c r="AI28" s="11" t="str">
        <f t="shared" ca="1" si="24"/>
        <v/>
      </c>
      <c r="AJ28" s="9"/>
      <c r="AK28" s="10" t="str">
        <f t="shared" ca="1" si="25"/>
        <v/>
      </c>
      <c r="AL28" s="5" t="str">
        <f t="shared" ca="1" si="7"/>
        <v/>
      </c>
      <c r="AM28" s="11" t="str">
        <f t="shared" ca="1" si="26"/>
        <v/>
      </c>
      <c r="AN28" s="9"/>
      <c r="AO28" s="10" t="str">
        <f t="shared" ca="1" si="27"/>
        <v/>
      </c>
      <c r="AP28" s="5" t="str">
        <f t="shared" ca="1" si="8"/>
        <v/>
      </c>
      <c r="AQ28" s="11" t="str">
        <f t="shared" ca="1" si="28"/>
        <v/>
      </c>
      <c r="AR28" s="9"/>
      <c r="AS28" s="42"/>
      <c r="AT28" s="39"/>
      <c r="AU28" s="43"/>
      <c r="AV28" s="38"/>
      <c r="AW28" s="42"/>
      <c r="AX28" s="39"/>
      <c r="AY28" s="43"/>
      <c r="AZ28" s="38"/>
    </row>
    <row r="29" spans="1:52">
      <c r="A29" s="4" t="s">
        <v>159</v>
      </c>
      <c r="B29" s="4" t="str">
        <f>IF(CS!$U$7&lt;&gt;"",CS!$U$7,"")</f>
        <v/>
      </c>
      <c r="C29" s="45" t="str">
        <f>CONCATENATE("CS!U11:AR56")</f>
        <v>CS!U11:AR56</v>
      </c>
      <c r="D29" s="44">
        <f t="shared" si="29"/>
        <v>24</v>
      </c>
      <c r="E29" s="10" t="str">
        <f t="shared" ca="1" si="9"/>
        <v/>
      </c>
      <c r="F29" s="5" t="str">
        <f t="shared" ca="1" si="30"/>
        <v/>
      </c>
      <c r="G29" s="11" t="str">
        <f t="shared" ca="1" si="10"/>
        <v/>
      </c>
      <c r="H29" s="9"/>
      <c r="I29" s="10" t="str">
        <f t="shared" ca="1" si="11"/>
        <v/>
      </c>
      <c r="J29" s="5" t="str">
        <f t="shared" ca="1" si="0"/>
        <v/>
      </c>
      <c r="K29" s="11" t="str">
        <f t="shared" ca="1" si="12"/>
        <v/>
      </c>
      <c r="L29" s="9"/>
      <c r="M29" s="10" t="str">
        <f t="shared" ca="1" si="13"/>
        <v/>
      </c>
      <c r="N29" s="5" t="str">
        <f t="shared" ca="1" si="1"/>
        <v/>
      </c>
      <c r="O29" s="11" t="str">
        <f t="shared" ca="1" si="14"/>
        <v/>
      </c>
      <c r="P29" s="9"/>
      <c r="Q29" s="10" t="str">
        <f t="shared" ca="1" si="15"/>
        <v/>
      </c>
      <c r="R29" s="5" t="str">
        <f t="shared" ca="1" si="2"/>
        <v/>
      </c>
      <c r="S29" s="11" t="str">
        <f t="shared" ca="1" si="16"/>
        <v/>
      </c>
      <c r="T29" s="9"/>
      <c r="U29" s="10" t="str">
        <f t="shared" ca="1" si="17"/>
        <v/>
      </c>
      <c r="V29" s="5" t="str">
        <f t="shared" ca="1" si="3"/>
        <v/>
      </c>
      <c r="W29" s="11" t="str">
        <f t="shared" ca="1" si="18"/>
        <v/>
      </c>
      <c r="X29" s="9"/>
      <c r="Y29" s="10" t="str">
        <f t="shared" ca="1" si="19"/>
        <v/>
      </c>
      <c r="Z29" s="5" t="str">
        <f t="shared" ca="1" si="4"/>
        <v/>
      </c>
      <c r="AA29" s="11" t="str">
        <f t="shared" ca="1" si="20"/>
        <v/>
      </c>
      <c r="AB29" s="9"/>
      <c r="AC29" s="10" t="str">
        <f t="shared" ca="1" si="21"/>
        <v/>
      </c>
      <c r="AD29" s="5" t="str">
        <f t="shared" ca="1" si="5"/>
        <v/>
      </c>
      <c r="AE29" s="11" t="str">
        <f t="shared" ca="1" si="22"/>
        <v/>
      </c>
      <c r="AF29" s="9"/>
      <c r="AG29" s="10" t="str">
        <f t="shared" ca="1" si="23"/>
        <v/>
      </c>
      <c r="AH29" s="5" t="str">
        <f t="shared" ca="1" si="6"/>
        <v/>
      </c>
      <c r="AI29" s="11" t="str">
        <f t="shared" ca="1" si="24"/>
        <v/>
      </c>
      <c r="AJ29" s="9"/>
      <c r="AK29" s="10" t="str">
        <f t="shared" ca="1" si="25"/>
        <v/>
      </c>
      <c r="AL29" s="5" t="str">
        <f t="shared" ca="1" si="7"/>
        <v/>
      </c>
      <c r="AM29" s="11" t="str">
        <f t="shared" ca="1" si="26"/>
        <v/>
      </c>
      <c r="AN29" s="9"/>
      <c r="AO29" s="10" t="str">
        <f t="shared" ca="1" si="27"/>
        <v/>
      </c>
      <c r="AP29" s="5" t="str">
        <f t="shared" ca="1" si="8"/>
        <v/>
      </c>
      <c r="AQ29" s="11" t="str">
        <f t="shared" ca="1" si="28"/>
        <v/>
      </c>
      <c r="AR29" s="9"/>
      <c r="AS29" s="42"/>
      <c r="AT29" s="39"/>
      <c r="AU29" s="43"/>
      <c r="AV29" s="38"/>
      <c r="AW29" s="42"/>
      <c r="AX29" s="39"/>
      <c r="AY29" s="43"/>
      <c r="AZ29" s="38"/>
    </row>
    <row r="30" spans="1:52">
      <c r="A30" s="4" t="s">
        <v>160</v>
      </c>
      <c r="B30" s="4" t="str">
        <f>IF(CS!$V$7&lt;&gt;"",CS!$V$7,"")</f>
        <v/>
      </c>
      <c r="C30" s="45" t="str">
        <f>CONCATENATE("CS!V11:AR56")</f>
        <v>CS!V11:AR56</v>
      </c>
      <c r="D30" s="44">
        <f t="shared" si="29"/>
        <v>23</v>
      </c>
      <c r="E30" s="10" t="str">
        <f t="shared" ca="1" si="9"/>
        <v/>
      </c>
      <c r="F30" s="5" t="str">
        <f t="shared" ca="1" si="30"/>
        <v/>
      </c>
      <c r="G30" s="11" t="str">
        <f t="shared" ca="1" si="10"/>
        <v/>
      </c>
      <c r="H30" s="9"/>
      <c r="I30" s="10" t="str">
        <f t="shared" ca="1" si="11"/>
        <v/>
      </c>
      <c r="J30" s="5" t="str">
        <f t="shared" ca="1" si="0"/>
        <v/>
      </c>
      <c r="K30" s="11" t="str">
        <f t="shared" ca="1" si="12"/>
        <v/>
      </c>
      <c r="L30" s="9"/>
      <c r="M30" s="10" t="str">
        <f t="shared" ca="1" si="13"/>
        <v/>
      </c>
      <c r="N30" s="5" t="str">
        <f t="shared" ca="1" si="1"/>
        <v/>
      </c>
      <c r="O30" s="11" t="str">
        <f t="shared" ca="1" si="14"/>
        <v/>
      </c>
      <c r="P30" s="9"/>
      <c r="Q30" s="10" t="str">
        <f t="shared" ca="1" si="15"/>
        <v/>
      </c>
      <c r="R30" s="5" t="str">
        <f t="shared" ca="1" si="2"/>
        <v/>
      </c>
      <c r="S30" s="11" t="str">
        <f t="shared" ca="1" si="16"/>
        <v/>
      </c>
      <c r="T30" s="9"/>
      <c r="U30" s="10" t="str">
        <f t="shared" ca="1" si="17"/>
        <v/>
      </c>
      <c r="V30" s="5" t="str">
        <f t="shared" ca="1" si="3"/>
        <v/>
      </c>
      <c r="W30" s="11" t="str">
        <f t="shared" ca="1" si="18"/>
        <v/>
      </c>
      <c r="X30" s="9"/>
      <c r="Y30" s="10" t="str">
        <f t="shared" ca="1" si="19"/>
        <v/>
      </c>
      <c r="Z30" s="5" t="str">
        <f t="shared" ca="1" si="4"/>
        <v/>
      </c>
      <c r="AA30" s="11" t="str">
        <f t="shared" ca="1" si="20"/>
        <v/>
      </c>
      <c r="AB30" s="9"/>
      <c r="AC30" s="10" t="str">
        <f t="shared" ca="1" si="21"/>
        <v/>
      </c>
      <c r="AD30" s="5" t="str">
        <f t="shared" ca="1" si="5"/>
        <v/>
      </c>
      <c r="AE30" s="11" t="str">
        <f t="shared" ca="1" si="22"/>
        <v/>
      </c>
      <c r="AF30" s="9"/>
      <c r="AG30" s="10" t="str">
        <f t="shared" ca="1" si="23"/>
        <v/>
      </c>
      <c r="AH30" s="5" t="str">
        <f t="shared" ca="1" si="6"/>
        <v/>
      </c>
      <c r="AI30" s="11" t="str">
        <f t="shared" ca="1" si="24"/>
        <v/>
      </c>
      <c r="AJ30" s="9"/>
      <c r="AK30" s="10" t="str">
        <f t="shared" ca="1" si="25"/>
        <v/>
      </c>
      <c r="AL30" s="5" t="str">
        <f t="shared" ca="1" si="7"/>
        <v/>
      </c>
      <c r="AM30" s="11" t="str">
        <f t="shared" ca="1" si="26"/>
        <v/>
      </c>
      <c r="AN30" s="9"/>
      <c r="AO30" s="10" t="str">
        <f t="shared" ca="1" si="27"/>
        <v/>
      </c>
      <c r="AP30" s="5" t="str">
        <f t="shared" ca="1" si="8"/>
        <v/>
      </c>
      <c r="AQ30" s="11" t="str">
        <f t="shared" ca="1" si="28"/>
        <v/>
      </c>
      <c r="AR30" s="9"/>
      <c r="AS30" s="42"/>
      <c r="AT30" s="39"/>
      <c r="AU30" s="43"/>
      <c r="AV30" s="38"/>
      <c r="AW30" s="42"/>
      <c r="AX30" s="39"/>
      <c r="AY30" s="43"/>
      <c r="AZ30" s="38"/>
    </row>
    <row r="31" spans="1:52">
      <c r="A31" s="4" t="s">
        <v>51</v>
      </c>
      <c r="B31" s="4" t="str">
        <f>IF(CS!$W$7&lt;&gt;"",CS!$W$7,"")</f>
        <v/>
      </c>
      <c r="C31" s="45" t="str">
        <f>CONCATENATE("CS!W11:AR56")</f>
        <v>CS!W11:AR56</v>
      </c>
      <c r="D31" s="44">
        <f t="shared" si="29"/>
        <v>22</v>
      </c>
      <c r="E31" s="10" t="str">
        <f t="shared" ca="1" si="9"/>
        <v/>
      </c>
      <c r="F31" s="5" t="str">
        <f t="shared" ca="1" si="30"/>
        <v/>
      </c>
      <c r="G31" s="11" t="str">
        <f t="shared" ca="1" si="10"/>
        <v/>
      </c>
      <c r="H31" s="9"/>
      <c r="I31" s="10" t="str">
        <f t="shared" ca="1" si="11"/>
        <v/>
      </c>
      <c r="J31" s="5" t="str">
        <f t="shared" ca="1" si="0"/>
        <v/>
      </c>
      <c r="K31" s="11" t="str">
        <f t="shared" ca="1" si="12"/>
        <v/>
      </c>
      <c r="L31" s="9"/>
      <c r="M31" s="10" t="str">
        <f t="shared" ca="1" si="13"/>
        <v/>
      </c>
      <c r="N31" s="5" t="str">
        <f t="shared" ca="1" si="1"/>
        <v/>
      </c>
      <c r="O31" s="11" t="str">
        <f t="shared" ca="1" si="14"/>
        <v/>
      </c>
      <c r="P31" s="9"/>
      <c r="Q31" s="10" t="str">
        <f t="shared" ca="1" si="15"/>
        <v/>
      </c>
      <c r="R31" s="5" t="str">
        <f t="shared" ca="1" si="2"/>
        <v/>
      </c>
      <c r="S31" s="11" t="str">
        <f t="shared" ca="1" si="16"/>
        <v/>
      </c>
      <c r="T31" s="9"/>
      <c r="U31" s="10" t="str">
        <f t="shared" ca="1" si="17"/>
        <v/>
      </c>
      <c r="V31" s="5" t="str">
        <f t="shared" ca="1" si="3"/>
        <v/>
      </c>
      <c r="W31" s="11" t="str">
        <f t="shared" ca="1" si="18"/>
        <v/>
      </c>
      <c r="X31" s="9"/>
      <c r="Y31" s="10" t="str">
        <f t="shared" ca="1" si="19"/>
        <v/>
      </c>
      <c r="Z31" s="5" t="str">
        <f t="shared" ca="1" si="4"/>
        <v/>
      </c>
      <c r="AA31" s="11" t="str">
        <f t="shared" ca="1" si="20"/>
        <v/>
      </c>
      <c r="AB31" s="9"/>
      <c r="AC31" s="10" t="str">
        <f t="shared" ca="1" si="21"/>
        <v/>
      </c>
      <c r="AD31" s="5" t="str">
        <f t="shared" ca="1" si="5"/>
        <v/>
      </c>
      <c r="AE31" s="11" t="str">
        <f t="shared" ca="1" si="22"/>
        <v/>
      </c>
      <c r="AF31" s="9"/>
      <c r="AG31" s="10" t="str">
        <f t="shared" ca="1" si="23"/>
        <v/>
      </c>
      <c r="AH31" s="5" t="str">
        <f t="shared" ca="1" si="6"/>
        <v/>
      </c>
      <c r="AI31" s="11" t="str">
        <f t="shared" ca="1" si="24"/>
        <v/>
      </c>
      <c r="AJ31" s="9"/>
      <c r="AK31" s="10" t="str">
        <f t="shared" ca="1" si="25"/>
        <v/>
      </c>
      <c r="AL31" s="5" t="str">
        <f t="shared" ca="1" si="7"/>
        <v/>
      </c>
      <c r="AM31" s="11" t="str">
        <f t="shared" ca="1" si="26"/>
        <v/>
      </c>
      <c r="AN31" s="9"/>
      <c r="AO31" s="10" t="str">
        <f t="shared" ca="1" si="27"/>
        <v/>
      </c>
      <c r="AP31" s="5" t="str">
        <f t="shared" ca="1" si="8"/>
        <v/>
      </c>
      <c r="AQ31" s="11" t="str">
        <f t="shared" ca="1" si="28"/>
        <v/>
      </c>
      <c r="AR31" s="9"/>
      <c r="AS31" s="42"/>
      <c r="AT31" s="39"/>
      <c r="AU31" s="43"/>
      <c r="AV31" s="38"/>
      <c r="AW31" s="42"/>
      <c r="AX31" s="39"/>
      <c r="AY31" s="43"/>
      <c r="AZ31" s="38"/>
    </row>
    <row r="32" spans="1:52">
      <c r="A32" s="4" t="s">
        <v>52</v>
      </c>
      <c r="B32" s="4" t="str">
        <f>IF(CS!$X$7&lt;&gt;"",CS!$X$7,"")</f>
        <v/>
      </c>
      <c r="C32" s="45" t="str">
        <f>CONCATENATE("CS!X11:AR56")</f>
        <v>CS!X11:AR56</v>
      </c>
      <c r="D32" s="44">
        <f t="shared" si="29"/>
        <v>21</v>
      </c>
      <c r="E32" s="10" t="str">
        <f t="shared" ca="1" si="9"/>
        <v/>
      </c>
      <c r="F32" s="5" t="str">
        <f t="shared" ca="1" si="30"/>
        <v/>
      </c>
      <c r="G32" s="11" t="str">
        <f t="shared" ca="1" si="10"/>
        <v/>
      </c>
      <c r="H32" s="9"/>
      <c r="I32" s="10" t="str">
        <f t="shared" ca="1" si="11"/>
        <v/>
      </c>
      <c r="J32" s="5" t="str">
        <f t="shared" ca="1" si="0"/>
        <v/>
      </c>
      <c r="K32" s="11" t="str">
        <f t="shared" ca="1" si="12"/>
        <v/>
      </c>
      <c r="L32" s="9"/>
      <c r="M32" s="10" t="str">
        <f t="shared" ca="1" si="13"/>
        <v/>
      </c>
      <c r="N32" s="5" t="str">
        <f t="shared" ca="1" si="1"/>
        <v/>
      </c>
      <c r="O32" s="11" t="str">
        <f t="shared" ca="1" si="14"/>
        <v/>
      </c>
      <c r="P32" s="9"/>
      <c r="Q32" s="10" t="str">
        <f t="shared" ca="1" si="15"/>
        <v/>
      </c>
      <c r="R32" s="5" t="str">
        <f t="shared" ca="1" si="2"/>
        <v/>
      </c>
      <c r="S32" s="11" t="str">
        <f t="shared" ca="1" si="16"/>
        <v/>
      </c>
      <c r="T32" s="9"/>
      <c r="U32" s="10" t="str">
        <f t="shared" ca="1" si="17"/>
        <v/>
      </c>
      <c r="V32" s="5" t="str">
        <f t="shared" ca="1" si="3"/>
        <v/>
      </c>
      <c r="W32" s="11" t="str">
        <f t="shared" ca="1" si="18"/>
        <v/>
      </c>
      <c r="X32" s="9"/>
      <c r="Y32" s="10" t="str">
        <f t="shared" ca="1" si="19"/>
        <v/>
      </c>
      <c r="Z32" s="5" t="str">
        <f t="shared" ca="1" si="4"/>
        <v/>
      </c>
      <c r="AA32" s="11" t="str">
        <f t="shared" ca="1" si="20"/>
        <v/>
      </c>
      <c r="AB32" s="9"/>
      <c r="AC32" s="10" t="str">
        <f t="shared" ca="1" si="21"/>
        <v/>
      </c>
      <c r="AD32" s="5" t="str">
        <f t="shared" ca="1" si="5"/>
        <v/>
      </c>
      <c r="AE32" s="11" t="str">
        <f t="shared" ca="1" si="22"/>
        <v/>
      </c>
      <c r="AF32" s="9"/>
      <c r="AG32" s="10" t="str">
        <f t="shared" ca="1" si="23"/>
        <v/>
      </c>
      <c r="AH32" s="5" t="str">
        <f t="shared" ca="1" si="6"/>
        <v/>
      </c>
      <c r="AI32" s="11" t="str">
        <f t="shared" ca="1" si="24"/>
        <v/>
      </c>
      <c r="AJ32" s="9"/>
      <c r="AK32" s="10" t="str">
        <f t="shared" ca="1" si="25"/>
        <v/>
      </c>
      <c r="AL32" s="5" t="str">
        <f t="shared" ca="1" si="7"/>
        <v/>
      </c>
      <c r="AM32" s="11" t="str">
        <f t="shared" ca="1" si="26"/>
        <v/>
      </c>
      <c r="AN32" s="9"/>
      <c r="AO32" s="10" t="str">
        <f t="shared" ca="1" si="27"/>
        <v/>
      </c>
      <c r="AP32" s="5" t="str">
        <f t="shared" ca="1" si="8"/>
        <v/>
      </c>
      <c r="AQ32" s="11" t="str">
        <f t="shared" ca="1" si="28"/>
        <v/>
      </c>
      <c r="AR32" s="9"/>
      <c r="AS32" s="42"/>
      <c r="AT32" s="39"/>
      <c r="AU32" s="43"/>
      <c r="AV32" s="38"/>
      <c r="AW32" s="42"/>
      <c r="AX32" s="39"/>
      <c r="AY32" s="43"/>
      <c r="AZ32" s="38"/>
    </row>
    <row r="33" spans="1:52">
      <c r="A33" s="4" t="s">
        <v>53</v>
      </c>
      <c r="B33" s="4" t="str">
        <f>IF(CS!$Y$7&lt;&gt;"",CS!$Y$7,"")</f>
        <v/>
      </c>
      <c r="C33" s="45" t="str">
        <f>CONCATENATE("CS!Y11:AR56")</f>
        <v>CS!Y11:AR56</v>
      </c>
      <c r="D33" s="44">
        <f t="shared" si="29"/>
        <v>20</v>
      </c>
      <c r="E33" s="10" t="str">
        <f t="shared" ca="1" si="9"/>
        <v/>
      </c>
      <c r="F33" s="5" t="str">
        <f t="shared" ca="1" si="30"/>
        <v/>
      </c>
      <c r="G33" s="11" t="str">
        <f t="shared" ca="1" si="10"/>
        <v/>
      </c>
      <c r="H33" s="9"/>
      <c r="I33" s="10" t="str">
        <f t="shared" ca="1" si="11"/>
        <v/>
      </c>
      <c r="J33" s="5" t="str">
        <f t="shared" ca="1" si="0"/>
        <v/>
      </c>
      <c r="K33" s="11" t="str">
        <f t="shared" ca="1" si="12"/>
        <v/>
      </c>
      <c r="L33" s="9"/>
      <c r="M33" s="10" t="str">
        <f t="shared" ca="1" si="13"/>
        <v/>
      </c>
      <c r="N33" s="5" t="str">
        <f t="shared" ca="1" si="1"/>
        <v/>
      </c>
      <c r="O33" s="11" t="str">
        <f t="shared" ca="1" si="14"/>
        <v/>
      </c>
      <c r="P33" s="9"/>
      <c r="Q33" s="10" t="str">
        <f t="shared" ca="1" si="15"/>
        <v/>
      </c>
      <c r="R33" s="5" t="str">
        <f t="shared" ca="1" si="2"/>
        <v/>
      </c>
      <c r="S33" s="11" t="str">
        <f t="shared" ca="1" si="16"/>
        <v/>
      </c>
      <c r="T33" s="9"/>
      <c r="U33" s="10" t="str">
        <f t="shared" ca="1" si="17"/>
        <v/>
      </c>
      <c r="V33" s="5" t="str">
        <f t="shared" ca="1" si="3"/>
        <v/>
      </c>
      <c r="W33" s="11" t="str">
        <f t="shared" ca="1" si="18"/>
        <v/>
      </c>
      <c r="X33" s="9"/>
      <c r="Y33" s="10" t="str">
        <f t="shared" ca="1" si="19"/>
        <v/>
      </c>
      <c r="Z33" s="5" t="str">
        <f t="shared" ca="1" si="4"/>
        <v/>
      </c>
      <c r="AA33" s="11" t="str">
        <f t="shared" ca="1" si="20"/>
        <v/>
      </c>
      <c r="AB33" s="9"/>
      <c r="AC33" s="10" t="str">
        <f t="shared" ca="1" si="21"/>
        <v/>
      </c>
      <c r="AD33" s="5" t="str">
        <f t="shared" ca="1" si="5"/>
        <v/>
      </c>
      <c r="AE33" s="11" t="str">
        <f t="shared" ca="1" si="22"/>
        <v/>
      </c>
      <c r="AF33" s="9"/>
      <c r="AG33" s="10" t="str">
        <f t="shared" ca="1" si="23"/>
        <v/>
      </c>
      <c r="AH33" s="5" t="str">
        <f t="shared" ca="1" si="6"/>
        <v/>
      </c>
      <c r="AI33" s="11" t="str">
        <f t="shared" ca="1" si="24"/>
        <v/>
      </c>
      <c r="AJ33" s="9"/>
      <c r="AK33" s="10" t="str">
        <f t="shared" ca="1" si="25"/>
        <v/>
      </c>
      <c r="AL33" s="5" t="str">
        <f t="shared" ca="1" si="7"/>
        <v/>
      </c>
      <c r="AM33" s="11" t="str">
        <f t="shared" ca="1" si="26"/>
        <v/>
      </c>
      <c r="AN33" s="9"/>
      <c r="AO33" s="10" t="str">
        <f t="shared" ca="1" si="27"/>
        <v/>
      </c>
      <c r="AP33" s="5" t="str">
        <f t="shared" ca="1" si="8"/>
        <v/>
      </c>
      <c r="AQ33" s="11" t="str">
        <f t="shared" ca="1" si="28"/>
        <v/>
      </c>
      <c r="AR33" s="9"/>
      <c r="AS33" s="42"/>
      <c r="AT33" s="39"/>
      <c r="AU33" s="43"/>
      <c r="AV33" s="38"/>
      <c r="AW33" s="42"/>
      <c r="AX33" s="39"/>
      <c r="AY33" s="43"/>
      <c r="AZ33" s="38"/>
    </row>
    <row r="34" spans="1:52">
      <c r="A34" s="4" t="s">
        <v>54</v>
      </c>
      <c r="B34" s="4" t="str">
        <f>IF(CS!$Z$7&lt;&gt;"",CS!$Z$7,"")</f>
        <v/>
      </c>
      <c r="C34" s="45" t="str">
        <f>CONCATENATE("CS!Z11:AR56")</f>
        <v>CS!Z11:AR56</v>
      </c>
      <c r="D34" s="44">
        <f t="shared" si="29"/>
        <v>19</v>
      </c>
      <c r="E34" s="10" t="str">
        <f t="shared" ca="1" si="9"/>
        <v/>
      </c>
      <c r="F34" s="5" t="str">
        <f t="shared" ca="1" si="30"/>
        <v/>
      </c>
      <c r="G34" s="11" t="str">
        <f t="shared" ca="1" si="10"/>
        <v/>
      </c>
      <c r="H34" s="9"/>
      <c r="I34" s="10" t="str">
        <f t="shared" ca="1" si="11"/>
        <v/>
      </c>
      <c r="J34" s="5" t="str">
        <f t="shared" ca="1" si="0"/>
        <v/>
      </c>
      <c r="K34" s="11" t="str">
        <f t="shared" ca="1" si="12"/>
        <v/>
      </c>
      <c r="L34" s="9"/>
      <c r="M34" s="10" t="str">
        <f t="shared" ca="1" si="13"/>
        <v/>
      </c>
      <c r="N34" s="5" t="str">
        <f t="shared" ca="1" si="1"/>
        <v/>
      </c>
      <c r="O34" s="11" t="str">
        <f t="shared" ca="1" si="14"/>
        <v/>
      </c>
      <c r="P34" s="9"/>
      <c r="Q34" s="10" t="str">
        <f t="shared" ca="1" si="15"/>
        <v/>
      </c>
      <c r="R34" s="5" t="str">
        <f t="shared" ca="1" si="2"/>
        <v/>
      </c>
      <c r="S34" s="11" t="str">
        <f t="shared" ca="1" si="16"/>
        <v/>
      </c>
      <c r="T34" s="9"/>
      <c r="U34" s="10" t="str">
        <f t="shared" ca="1" si="17"/>
        <v/>
      </c>
      <c r="V34" s="5" t="str">
        <f t="shared" ca="1" si="3"/>
        <v/>
      </c>
      <c r="W34" s="11" t="str">
        <f t="shared" ca="1" si="18"/>
        <v/>
      </c>
      <c r="X34" s="9"/>
      <c r="Y34" s="10" t="str">
        <f t="shared" ca="1" si="19"/>
        <v/>
      </c>
      <c r="Z34" s="5" t="str">
        <f t="shared" ca="1" si="4"/>
        <v/>
      </c>
      <c r="AA34" s="11" t="str">
        <f t="shared" ca="1" si="20"/>
        <v/>
      </c>
      <c r="AB34" s="9"/>
      <c r="AC34" s="10" t="str">
        <f t="shared" ca="1" si="21"/>
        <v/>
      </c>
      <c r="AD34" s="5" t="str">
        <f t="shared" ca="1" si="5"/>
        <v/>
      </c>
      <c r="AE34" s="11" t="str">
        <f t="shared" ca="1" si="22"/>
        <v/>
      </c>
      <c r="AF34" s="9"/>
      <c r="AG34" s="10" t="str">
        <f t="shared" ca="1" si="23"/>
        <v/>
      </c>
      <c r="AH34" s="5" t="str">
        <f t="shared" ca="1" si="6"/>
        <v/>
      </c>
      <c r="AI34" s="11" t="str">
        <f t="shared" ca="1" si="24"/>
        <v/>
      </c>
      <c r="AJ34" s="9"/>
      <c r="AK34" s="10" t="str">
        <f t="shared" ca="1" si="25"/>
        <v/>
      </c>
      <c r="AL34" s="5" t="str">
        <f t="shared" ca="1" si="7"/>
        <v/>
      </c>
      <c r="AM34" s="11" t="str">
        <f t="shared" ca="1" si="26"/>
        <v/>
      </c>
      <c r="AN34" s="9"/>
      <c r="AO34" s="10" t="str">
        <f t="shared" ca="1" si="27"/>
        <v/>
      </c>
      <c r="AP34" s="5" t="str">
        <f t="shared" ca="1" si="8"/>
        <v/>
      </c>
      <c r="AQ34" s="11" t="str">
        <f t="shared" ca="1" si="28"/>
        <v/>
      </c>
      <c r="AR34" s="9"/>
      <c r="AS34" s="42"/>
      <c r="AT34" s="39"/>
      <c r="AU34" s="43"/>
      <c r="AV34" s="38"/>
      <c r="AW34" s="42"/>
      <c r="AX34" s="39"/>
      <c r="AY34" s="43"/>
      <c r="AZ34" s="38"/>
    </row>
    <row r="35" spans="1:52">
      <c r="A35" s="4" t="s">
        <v>55</v>
      </c>
      <c r="B35" s="4" t="str">
        <f>IF(CS!$AA$7&lt;&gt;"",CS!$AA$7,"")</f>
        <v/>
      </c>
      <c r="C35" s="45" t="str">
        <f>CONCATENATE("CS!AA11:AR56")</f>
        <v>CS!AA11:AR56</v>
      </c>
      <c r="D35" s="44">
        <f t="shared" si="29"/>
        <v>18</v>
      </c>
      <c r="E35" s="10" t="str">
        <f t="shared" ca="1" si="9"/>
        <v/>
      </c>
      <c r="F35" s="5" t="str">
        <f t="shared" ca="1" si="30"/>
        <v/>
      </c>
      <c r="G35" s="11" t="str">
        <f t="shared" ca="1" si="10"/>
        <v/>
      </c>
      <c r="H35" s="9"/>
      <c r="I35" s="10" t="str">
        <f t="shared" ca="1" si="11"/>
        <v/>
      </c>
      <c r="J35" s="5" t="str">
        <f t="shared" ca="1" si="0"/>
        <v/>
      </c>
      <c r="K35" s="11" t="str">
        <f t="shared" ca="1" si="12"/>
        <v/>
      </c>
      <c r="L35" s="9"/>
      <c r="M35" s="10" t="str">
        <f t="shared" ca="1" si="13"/>
        <v/>
      </c>
      <c r="N35" s="5" t="str">
        <f t="shared" ca="1" si="1"/>
        <v/>
      </c>
      <c r="O35" s="11" t="str">
        <f t="shared" ca="1" si="14"/>
        <v/>
      </c>
      <c r="P35" s="9"/>
      <c r="Q35" s="10" t="str">
        <f t="shared" ca="1" si="15"/>
        <v/>
      </c>
      <c r="R35" s="5" t="str">
        <f t="shared" ca="1" si="2"/>
        <v/>
      </c>
      <c r="S35" s="11" t="str">
        <f t="shared" ca="1" si="16"/>
        <v/>
      </c>
      <c r="T35" s="9"/>
      <c r="U35" s="10" t="str">
        <f t="shared" ca="1" si="17"/>
        <v/>
      </c>
      <c r="V35" s="5" t="str">
        <f t="shared" ca="1" si="3"/>
        <v/>
      </c>
      <c r="W35" s="11" t="str">
        <f t="shared" ca="1" si="18"/>
        <v/>
      </c>
      <c r="X35" s="9"/>
      <c r="Y35" s="10" t="str">
        <f t="shared" ca="1" si="19"/>
        <v/>
      </c>
      <c r="Z35" s="5" t="str">
        <f t="shared" ca="1" si="4"/>
        <v/>
      </c>
      <c r="AA35" s="11" t="str">
        <f t="shared" ca="1" si="20"/>
        <v/>
      </c>
      <c r="AB35" s="9"/>
      <c r="AC35" s="10" t="str">
        <f t="shared" ca="1" si="21"/>
        <v/>
      </c>
      <c r="AD35" s="5" t="str">
        <f t="shared" ca="1" si="5"/>
        <v/>
      </c>
      <c r="AE35" s="11" t="str">
        <f t="shared" ca="1" si="22"/>
        <v/>
      </c>
      <c r="AF35" s="9"/>
      <c r="AG35" s="10" t="str">
        <f t="shared" ca="1" si="23"/>
        <v/>
      </c>
      <c r="AH35" s="5" t="str">
        <f t="shared" ca="1" si="6"/>
        <v/>
      </c>
      <c r="AI35" s="11" t="str">
        <f t="shared" ca="1" si="24"/>
        <v/>
      </c>
      <c r="AJ35" s="9"/>
      <c r="AK35" s="10" t="str">
        <f t="shared" ca="1" si="25"/>
        <v/>
      </c>
      <c r="AL35" s="5" t="str">
        <f t="shared" ca="1" si="7"/>
        <v/>
      </c>
      <c r="AM35" s="11" t="str">
        <f t="shared" ca="1" si="26"/>
        <v/>
      </c>
      <c r="AN35" s="9"/>
      <c r="AO35" s="10" t="str">
        <f t="shared" ca="1" si="27"/>
        <v/>
      </c>
      <c r="AP35" s="5" t="str">
        <f t="shared" ca="1" si="8"/>
        <v/>
      </c>
      <c r="AQ35" s="11" t="str">
        <f t="shared" ca="1" si="28"/>
        <v/>
      </c>
      <c r="AR35" s="9"/>
      <c r="AS35" s="42"/>
      <c r="AT35" s="39"/>
      <c r="AU35" s="43"/>
      <c r="AV35" s="38"/>
      <c r="AW35" s="42"/>
      <c r="AX35" s="39"/>
      <c r="AY35" s="43"/>
      <c r="AZ35" s="38"/>
    </row>
    <row r="36" spans="1:52">
      <c r="A36" s="4" t="s">
        <v>56</v>
      </c>
      <c r="B36" s="4" t="str">
        <f>IF(CS!$AB$7&lt;&gt;"",CS!$AB$7,"")</f>
        <v/>
      </c>
      <c r="C36" s="45" t="str">
        <f>CONCATENATE("CS!AB11:AR56")</f>
        <v>CS!AB11:AR56</v>
      </c>
      <c r="D36" s="44">
        <f t="shared" si="29"/>
        <v>17</v>
      </c>
      <c r="E36" s="10" t="str">
        <f t="shared" ca="1" si="9"/>
        <v/>
      </c>
      <c r="F36" s="5" t="str">
        <f t="shared" ca="1" si="30"/>
        <v/>
      </c>
      <c r="G36" s="11" t="str">
        <f t="shared" ca="1" si="10"/>
        <v/>
      </c>
      <c r="H36" s="9"/>
      <c r="I36" s="10" t="str">
        <f t="shared" ca="1" si="11"/>
        <v/>
      </c>
      <c r="J36" s="5" t="str">
        <f t="shared" ca="1" si="0"/>
        <v/>
      </c>
      <c r="K36" s="11" t="str">
        <f t="shared" ca="1" si="12"/>
        <v/>
      </c>
      <c r="L36" s="9"/>
      <c r="M36" s="10" t="str">
        <f t="shared" ca="1" si="13"/>
        <v/>
      </c>
      <c r="N36" s="5" t="str">
        <f t="shared" ca="1" si="1"/>
        <v/>
      </c>
      <c r="O36" s="11" t="str">
        <f t="shared" ca="1" si="14"/>
        <v/>
      </c>
      <c r="P36" s="9"/>
      <c r="Q36" s="10" t="str">
        <f t="shared" ca="1" si="15"/>
        <v/>
      </c>
      <c r="R36" s="5" t="str">
        <f t="shared" ca="1" si="2"/>
        <v/>
      </c>
      <c r="S36" s="11" t="str">
        <f t="shared" ca="1" si="16"/>
        <v/>
      </c>
      <c r="T36" s="9"/>
      <c r="U36" s="10" t="str">
        <f t="shared" ca="1" si="17"/>
        <v/>
      </c>
      <c r="V36" s="5" t="str">
        <f t="shared" ca="1" si="3"/>
        <v/>
      </c>
      <c r="W36" s="11" t="str">
        <f t="shared" ca="1" si="18"/>
        <v/>
      </c>
      <c r="X36" s="9"/>
      <c r="Y36" s="10" t="str">
        <f t="shared" ca="1" si="19"/>
        <v/>
      </c>
      <c r="Z36" s="5" t="str">
        <f t="shared" ca="1" si="4"/>
        <v/>
      </c>
      <c r="AA36" s="11" t="str">
        <f t="shared" ca="1" si="20"/>
        <v/>
      </c>
      <c r="AB36" s="9"/>
      <c r="AC36" s="10" t="str">
        <f t="shared" ca="1" si="21"/>
        <v/>
      </c>
      <c r="AD36" s="5" t="str">
        <f t="shared" ca="1" si="5"/>
        <v/>
      </c>
      <c r="AE36" s="11" t="str">
        <f t="shared" ca="1" si="22"/>
        <v/>
      </c>
      <c r="AF36" s="9"/>
      <c r="AG36" s="10" t="str">
        <f t="shared" ca="1" si="23"/>
        <v/>
      </c>
      <c r="AH36" s="5" t="str">
        <f t="shared" ca="1" si="6"/>
        <v/>
      </c>
      <c r="AI36" s="11" t="str">
        <f t="shared" ca="1" si="24"/>
        <v/>
      </c>
      <c r="AJ36" s="9"/>
      <c r="AK36" s="10" t="str">
        <f t="shared" ca="1" si="25"/>
        <v/>
      </c>
      <c r="AL36" s="5" t="str">
        <f t="shared" ca="1" si="7"/>
        <v/>
      </c>
      <c r="AM36" s="11" t="str">
        <f t="shared" ca="1" si="26"/>
        <v/>
      </c>
      <c r="AN36" s="9"/>
      <c r="AO36" s="10" t="str">
        <f t="shared" ca="1" si="27"/>
        <v/>
      </c>
      <c r="AP36" s="5" t="str">
        <f t="shared" ca="1" si="8"/>
        <v/>
      </c>
      <c r="AQ36" s="11" t="str">
        <f t="shared" ca="1" si="28"/>
        <v/>
      </c>
      <c r="AR36" s="9"/>
      <c r="AS36" s="42"/>
      <c r="AT36" s="39"/>
      <c r="AU36" s="43"/>
      <c r="AV36" s="38"/>
      <c r="AW36" s="42"/>
      <c r="AX36" s="39"/>
      <c r="AY36" s="43"/>
      <c r="AZ36" s="38"/>
    </row>
    <row r="37" spans="1:52">
      <c r="A37" s="4" t="s">
        <v>57</v>
      </c>
      <c r="B37" s="4" t="str">
        <f>IF(CS!$AC$7&lt;&gt;"",CS!$AC$7,"")</f>
        <v/>
      </c>
      <c r="C37" s="45" t="str">
        <f>CONCATENATE("CS!AC11:AR56")</f>
        <v>CS!AC11:AR56</v>
      </c>
      <c r="D37" s="44">
        <f t="shared" si="29"/>
        <v>16</v>
      </c>
      <c r="E37" s="10" t="str">
        <f t="shared" ca="1" si="9"/>
        <v/>
      </c>
      <c r="F37" s="5" t="str">
        <f t="shared" ca="1" si="30"/>
        <v/>
      </c>
      <c r="G37" s="11" t="str">
        <f t="shared" ca="1" si="10"/>
        <v/>
      </c>
      <c r="H37" s="9"/>
      <c r="I37" s="10" t="str">
        <f t="shared" ca="1" si="11"/>
        <v/>
      </c>
      <c r="J37" s="5" t="str">
        <f t="shared" ca="1" si="0"/>
        <v/>
      </c>
      <c r="K37" s="11" t="str">
        <f t="shared" ca="1" si="12"/>
        <v/>
      </c>
      <c r="L37" s="9"/>
      <c r="M37" s="10" t="str">
        <f t="shared" ca="1" si="13"/>
        <v/>
      </c>
      <c r="N37" s="5" t="str">
        <f t="shared" ca="1" si="1"/>
        <v/>
      </c>
      <c r="O37" s="11" t="str">
        <f t="shared" ca="1" si="14"/>
        <v/>
      </c>
      <c r="P37" s="9"/>
      <c r="Q37" s="10" t="str">
        <f t="shared" ca="1" si="15"/>
        <v/>
      </c>
      <c r="R37" s="5" t="str">
        <f t="shared" ca="1" si="2"/>
        <v/>
      </c>
      <c r="S37" s="11" t="str">
        <f t="shared" ca="1" si="16"/>
        <v/>
      </c>
      <c r="T37" s="9"/>
      <c r="U37" s="10" t="str">
        <f t="shared" ca="1" si="17"/>
        <v/>
      </c>
      <c r="V37" s="5" t="str">
        <f t="shared" ca="1" si="3"/>
        <v/>
      </c>
      <c r="W37" s="11" t="str">
        <f t="shared" ca="1" si="18"/>
        <v/>
      </c>
      <c r="X37" s="9"/>
      <c r="Y37" s="10" t="str">
        <f t="shared" ca="1" si="19"/>
        <v/>
      </c>
      <c r="Z37" s="5" t="str">
        <f t="shared" ca="1" si="4"/>
        <v/>
      </c>
      <c r="AA37" s="11" t="str">
        <f t="shared" ca="1" si="20"/>
        <v/>
      </c>
      <c r="AB37" s="9"/>
      <c r="AC37" s="10" t="str">
        <f t="shared" ca="1" si="21"/>
        <v/>
      </c>
      <c r="AD37" s="5" t="str">
        <f t="shared" ca="1" si="5"/>
        <v/>
      </c>
      <c r="AE37" s="11" t="str">
        <f t="shared" ca="1" si="22"/>
        <v/>
      </c>
      <c r="AF37" s="9"/>
      <c r="AG37" s="10" t="str">
        <f t="shared" ca="1" si="23"/>
        <v/>
      </c>
      <c r="AH37" s="5" t="str">
        <f t="shared" ca="1" si="6"/>
        <v/>
      </c>
      <c r="AI37" s="11" t="str">
        <f t="shared" ca="1" si="24"/>
        <v/>
      </c>
      <c r="AJ37" s="9"/>
      <c r="AK37" s="10" t="str">
        <f t="shared" ca="1" si="25"/>
        <v/>
      </c>
      <c r="AL37" s="5" t="str">
        <f t="shared" ca="1" si="7"/>
        <v/>
      </c>
      <c r="AM37" s="11" t="str">
        <f t="shared" ca="1" si="26"/>
        <v/>
      </c>
      <c r="AN37" s="9"/>
      <c r="AO37" s="10" t="str">
        <f t="shared" ca="1" si="27"/>
        <v/>
      </c>
      <c r="AP37" s="5" t="str">
        <f t="shared" ca="1" si="8"/>
        <v/>
      </c>
      <c r="AQ37" s="11" t="str">
        <f t="shared" ca="1" si="28"/>
        <v/>
      </c>
      <c r="AR37" s="9"/>
      <c r="AS37" s="42"/>
      <c r="AT37" s="39"/>
      <c r="AU37" s="43"/>
      <c r="AV37" s="38"/>
      <c r="AW37" s="42"/>
      <c r="AX37" s="39"/>
      <c r="AY37" s="43"/>
      <c r="AZ37" s="38"/>
    </row>
    <row r="38" spans="1:52">
      <c r="A38" s="4" t="s">
        <v>68</v>
      </c>
      <c r="B38" s="4" t="str">
        <f>IF(CS!$AD$7&lt;&gt;"",CS!$AD$7,"")</f>
        <v/>
      </c>
      <c r="C38" s="45" t="str">
        <f>CONCATENATE("CS!AD11:AR56")</f>
        <v>CS!AD11:AR56</v>
      </c>
      <c r="D38" s="44">
        <f t="shared" si="29"/>
        <v>15</v>
      </c>
      <c r="E38" s="10" t="str">
        <f t="shared" ca="1" si="9"/>
        <v/>
      </c>
      <c r="F38" s="5" t="str">
        <f t="shared" ca="1" si="30"/>
        <v/>
      </c>
      <c r="G38" s="11" t="str">
        <f t="shared" ca="1" si="10"/>
        <v/>
      </c>
      <c r="H38" s="9"/>
      <c r="I38" s="10" t="str">
        <f t="shared" ca="1" si="11"/>
        <v/>
      </c>
      <c r="J38" s="5" t="str">
        <f t="shared" ca="1" si="0"/>
        <v/>
      </c>
      <c r="K38" s="11" t="str">
        <f t="shared" ca="1" si="12"/>
        <v/>
      </c>
      <c r="L38" s="9"/>
      <c r="M38" s="10" t="str">
        <f t="shared" ca="1" si="13"/>
        <v/>
      </c>
      <c r="N38" s="5" t="str">
        <f t="shared" ca="1" si="1"/>
        <v/>
      </c>
      <c r="O38" s="11" t="str">
        <f t="shared" ca="1" si="14"/>
        <v/>
      </c>
      <c r="P38" s="9"/>
      <c r="Q38" s="10" t="str">
        <f t="shared" ca="1" si="15"/>
        <v/>
      </c>
      <c r="R38" s="5" t="str">
        <f t="shared" ca="1" si="2"/>
        <v/>
      </c>
      <c r="S38" s="11" t="str">
        <f t="shared" ca="1" si="16"/>
        <v/>
      </c>
      <c r="T38" s="9"/>
      <c r="U38" s="10" t="str">
        <f t="shared" ca="1" si="17"/>
        <v/>
      </c>
      <c r="V38" s="5" t="str">
        <f t="shared" ca="1" si="3"/>
        <v/>
      </c>
      <c r="W38" s="11" t="str">
        <f t="shared" ca="1" si="18"/>
        <v/>
      </c>
      <c r="X38" s="9"/>
      <c r="Y38" s="10" t="str">
        <f t="shared" ca="1" si="19"/>
        <v/>
      </c>
      <c r="Z38" s="5" t="str">
        <f t="shared" ca="1" si="4"/>
        <v/>
      </c>
      <c r="AA38" s="11" t="str">
        <f t="shared" ca="1" si="20"/>
        <v/>
      </c>
      <c r="AB38" s="9"/>
      <c r="AC38" s="10" t="str">
        <f t="shared" ca="1" si="21"/>
        <v/>
      </c>
      <c r="AD38" s="5" t="str">
        <f t="shared" ca="1" si="5"/>
        <v/>
      </c>
      <c r="AE38" s="11" t="str">
        <f t="shared" ca="1" si="22"/>
        <v/>
      </c>
      <c r="AF38" s="9"/>
      <c r="AG38" s="10" t="str">
        <f t="shared" ca="1" si="23"/>
        <v/>
      </c>
      <c r="AH38" s="5" t="str">
        <f t="shared" ca="1" si="6"/>
        <v/>
      </c>
      <c r="AI38" s="11" t="str">
        <f t="shared" ca="1" si="24"/>
        <v/>
      </c>
      <c r="AJ38" s="9"/>
      <c r="AK38" s="10" t="str">
        <f t="shared" ca="1" si="25"/>
        <v/>
      </c>
      <c r="AL38" s="5" t="str">
        <f t="shared" ca="1" si="7"/>
        <v/>
      </c>
      <c r="AM38" s="11" t="str">
        <f t="shared" ca="1" si="26"/>
        <v/>
      </c>
      <c r="AN38" s="9"/>
      <c r="AO38" s="10" t="str">
        <f t="shared" ca="1" si="27"/>
        <v/>
      </c>
      <c r="AP38" s="5" t="str">
        <f t="shared" ca="1" si="8"/>
        <v/>
      </c>
      <c r="AQ38" s="11" t="str">
        <f t="shared" ca="1" si="28"/>
        <v/>
      </c>
      <c r="AR38" s="9"/>
      <c r="AS38" s="42"/>
      <c r="AT38" s="39"/>
      <c r="AU38" s="43"/>
      <c r="AV38" s="38"/>
      <c r="AW38" s="42"/>
      <c r="AX38" s="39"/>
      <c r="AY38" s="43"/>
      <c r="AZ38" s="38"/>
    </row>
    <row r="39" spans="1:52">
      <c r="A39" s="4" t="s">
        <v>69</v>
      </c>
      <c r="B39" s="4" t="str">
        <f>IF(CS!$AE$7&lt;&gt;"",CS!$AE$7,"")</f>
        <v/>
      </c>
      <c r="C39" s="45" t="str">
        <f>CONCATENATE("CS!AE11:AR56")</f>
        <v>CS!AE11:AR56</v>
      </c>
      <c r="D39" s="44">
        <f t="shared" si="29"/>
        <v>14</v>
      </c>
      <c r="E39" s="10" t="str">
        <f t="shared" ca="1" si="9"/>
        <v/>
      </c>
      <c r="F39" s="5" t="str">
        <f t="shared" ca="1" si="30"/>
        <v/>
      </c>
      <c r="G39" s="11" t="str">
        <f t="shared" ca="1" si="10"/>
        <v/>
      </c>
      <c r="H39" s="9"/>
      <c r="I39" s="10" t="str">
        <f t="shared" ca="1" si="11"/>
        <v/>
      </c>
      <c r="J39" s="5" t="str">
        <f t="shared" ca="1" si="0"/>
        <v/>
      </c>
      <c r="K39" s="11" t="str">
        <f t="shared" ca="1" si="12"/>
        <v/>
      </c>
      <c r="L39" s="9"/>
      <c r="M39" s="10" t="str">
        <f t="shared" ca="1" si="13"/>
        <v/>
      </c>
      <c r="N39" s="5" t="str">
        <f t="shared" ca="1" si="1"/>
        <v/>
      </c>
      <c r="O39" s="11" t="str">
        <f t="shared" ca="1" si="14"/>
        <v/>
      </c>
      <c r="P39" s="9"/>
      <c r="Q39" s="10" t="str">
        <f t="shared" ca="1" si="15"/>
        <v/>
      </c>
      <c r="R39" s="5" t="str">
        <f t="shared" ca="1" si="2"/>
        <v/>
      </c>
      <c r="S39" s="11" t="str">
        <f t="shared" ca="1" si="16"/>
        <v/>
      </c>
      <c r="T39" s="9"/>
      <c r="U39" s="10" t="str">
        <f t="shared" ca="1" si="17"/>
        <v/>
      </c>
      <c r="V39" s="5" t="str">
        <f t="shared" ca="1" si="3"/>
        <v/>
      </c>
      <c r="W39" s="11" t="str">
        <f t="shared" ca="1" si="18"/>
        <v/>
      </c>
      <c r="X39" s="9"/>
      <c r="Y39" s="10" t="str">
        <f t="shared" ca="1" si="19"/>
        <v/>
      </c>
      <c r="Z39" s="5" t="str">
        <f t="shared" ca="1" si="4"/>
        <v/>
      </c>
      <c r="AA39" s="11" t="str">
        <f t="shared" ca="1" si="20"/>
        <v/>
      </c>
      <c r="AB39" s="9"/>
      <c r="AC39" s="10" t="str">
        <f t="shared" ca="1" si="21"/>
        <v/>
      </c>
      <c r="AD39" s="5" t="str">
        <f t="shared" ca="1" si="5"/>
        <v/>
      </c>
      <c r="AE39" s="11" t="str">
        <f t="shared" ca="1" si="22"/>
        <v/>
      </c>
      <c r="AF39" s="9"/>
      <c r="AG39" s="10" t="str">
        <f t="shared" ca="1" si="23"/>
        <v/>
      </c>
      <c r="AH39" s="5" t="str">
        <f t="shared" ca="1" si="6"/>
        <v/>
      </c>
      <c r="AI39" s="11" t="str">
        <f t="shared" ca="1" si="24"/>
        <v/>
      </c>
      <c r="AJ39" s="9"/>
      <c r="AK39" s="10" t="str">
        <f t="shared" ca="1" si="25"/>
        <v/>
      </c>
      <c r="AL39" s="5" t="str">
        <f t="shared" ca="1" si="7"/>
        <v/>
      </c>
      <c r="AM39" s="11" t="str">
        <f t="shared" ca="1" si="26"/>
        <v/>
      </c>
      <c r="AN39" s="9"/>
      <c r="AO39" s="10" t="str">
        <f t="shared" ca="1" si="27"/>
        <v/>
      </c>
      <c r="AP39" s="5" t="str">
        <f t="shared" ca="1" si="8"/>
        <v/>
      </c>
      <c r="AQ39" s="11" t="str">
        <f t="shared" ca="1" si="28"/>
        <v/>
      </c>
      <c r="AR39" s="9"/>
      <c r="AS39" s="42"/>
      <c r="AT39" s="39"/>
      <c r="AU39" s="43"/>
      <c r="AV39" s="38"/>
      <c r="AW39" s="42"/>
      <c r="AX39" s="39"/>
      <c r="AY39" s="43"/>
      <c r="AZ39" s="38"/>
    </row>
    <row r="40" spans="1:52">
      <c r="A40" s="4" t="s">
        <v>58</v>
      </c>
      <c r="B40" s="4" t="str">
        <f>IF(CS!$AF$7&lt;&gt;"",CS!$AF$7,"")</f>
        <v/>
      </c>
      <c r="C40" s="45" t="str">
        <f>CONCATENATE("CS!AF11:AR56")</f>
        <v>CS!AF11:AR56</v>
      </c>
      <c r="D40" s="44">
        <f t="shared" si="29"/>
        <v>13</v>
      </c>
      <c r="E40" s="10" t="str">
        <f t="shared" ca="1" si="9"/>
        <v/>
      </c>
      <c r="F40" s="5" t="str">
        <f t="shared" ca="1" si="30"/>
        <v/>
      </c>
      <c r="G40" s="11" t="str">
        <f t="shared" ca="1" si="10"/>
        <v/>
      </c>
      <c r="H40" s="9"/>
      <c r="I40" s="10" t="str">
        <f t="shared" ca="1" si="11"/>
        <v/>
      </c>
      <c r="J40" s="5" t="str">
        <f t="shared" ca="1" si="0"/>
        <v/>
      </c>
      <c r="K40" s="11" t="str">
        <f t="shared" ca="1" si="12"/>
        <v/>
      </c>
      <c r="L40" s="9"/>
      <c r="M40" s="10" t="str">
        <f t="shared" ca="1" si="13"/>
        <v/>
      </c>
      <c r="N40" s="5" t="str">
        <f t="shared" ca="1" si="1"/>
        <v/>
      </c>
      <c r="O40" s="11" t="str">
        <f t="shared" ca="1" si="14"/>
        <v/>
      </c>
      <c r="P40" s="9"/>
      <c r="Q40" s="10" t="str">
        <f t="shared" ca="1" si="15"/>
        <v/>
      </c>
      <c r="R40" s="5" t="str">
        <f t="shared" ca="1" si="2"/>
        <v/>
      </c>
      <c r="S40" s="11" t="str">
        <f t="shared" ca="1" si="16"/>
        <v/>
      </c>
      <c r="T40" s="9"/>
      <c r="U40" s="10" t="str">
        <f t="shared" ca="1" si="17"/>
        <v/>
      </c>
      <c r="V40" s="5" t="str">
        <f t="shared" ca="1" si="3"/>
        <v/>
      </c>
      <c r="W40" s="11" t="str">
        <f t="shared" ca="1" si="18"/>
        <v/>
      </c>
      <c r="X40" s="9"/>
      <c r="Y40" s="10" t="str">
        <f t="shared" ca="1" si="19"/>
        <v/>
      </c>
      <c r="Z40" s="5" t="str">
        <f t="shared" ca="1" si="4"/>
        <v/>
      </c>
      <c r="AA40" s="11" t="str">
        <f t="shared" ca="1" si="20"/>
        <v/>
      </c>
      <c r="AB40" s="9"/>
      <c r="AC40" s="10" t="str">
        <f t="shared" ca="1" si="21"/>
        <v/>
      </c>
      <c r="AD40" s="5" t="str">
        <f t="shared" ca="1" si="5"/>
        <v/>
      </c>
      <c r="AE40" s="11" t="str">
        <f t="shared" ca="1" si="22"/>
        <v/>
      </c>
      <c r="AF40" s="9"/>
      <c r="AG40" s="10" t="str">
        <f t="shared" ca="1" si="23"/>
        <v/>
      </c>
      <c r="AH40" s="5" t="str">
        <f t="shared" ca="1" si="6"/>
        <v/>
      </c>
      <c r="AI40" s="11" t="str">
        <f t="shared" ca="1" si="24"/>
        <v/>
      </c>
      <c r="AJ40" s="9"/>
      <c r="AK40" s="10" t="str">
        <f t="shared" ca="1" si="25"/>
        <v/>
      </c>
      <c r="AL40" s="5" t="str">
        <f t="shared" ca="1" si="7"/>
        <v/>
      </c>
      <c r="AM40" s="11" t="str">
        <f t="shared" ca="1" si="26"/>
        <v/>
      </c>
      <c r="AN40" s="9"/>
      <c r="AO40" s="10" t="str">
        <f t="shared" ca="1" si="27"/>
        <v/>
      </c>
      <c r="AP40" s="5" t="str">
        <f t="shared" ca="1" si="8"/>
        <v/>
      </c>
      <c r="AQ40" s="11" t="str">
        <f t="shared" ca="1" si="28"/>
        <v/>
      </c>
      <c r="AR40" s="9"/>
      <c r="AS40" s="42"/>
      <c r="AT40" s="39"/>
      <c r="AU40" s="43"/>
      <c r="AV40" s="38"/>
      <c r="AW40" s="42"/>
      <c r="AX40" s="39"/>
      <c r="AY40" s="43"/>
      <c r="AZ40" s="38"/>
    </row>
    <row r="41" spans="1:52">
      <c r="A41" s="4" t="s">
        <v>59</v>
      </c>
      <c r="B41" s="4" t="str">
        <f>IF(CS!$AG$7&lt;&gt;"",CS!$AG$7,"")</f>
        <v/>
      </c>
      <c r="C41" s="45" t="str">
        <f>CONCATENATE("CS!AG11:AR56")</f>
        <v>CS!AG11:AR56</v>
      </c>
      <c r="D41" s="44">
        <f t="shared" si="29"/>
        <v>12</v>
      </c>
      <c r="E41" s="10" t="str">
        <f t="shared" ca="1" si="9"/>
        <v/>
      </c>
      <c r="F41" s="5" t="str">
        <f t="shared" ca="1" si="30"/>
        <v/>
      </c>
      <c r="G41" s="11" t="str">
        <f t="shared" ca="1" si="10"/>
        <v/>
      </c>
      <c r="H41" s="9"/>
      <c r="I41" s="10" t="str">
        <f t="shared" ca="1" si="11"/>
        <v/>
      </c>
      <c r="J41" s="5" t="str">
        <f t="shared" ca="1" si="0"/>
        <v/>
      </c>
      <c r="K41" s="11" t="str">
        <f t="shared" ca="1" si="12"/>
        <v/>
      </c>
      <c r="L41" s="9"/>
      <c r="M41" s="10" t="str">
        <f t="shared" ca="1" si="13"/>
        <v/>
      </c>
      <c r="N41" s="5" t="str">
        <f t="shared" ca="1" si="1"/>
        <v/>
      </c>
      <c r="O41" s="11" t="str">
        <f t="shared" ca="1" si="14"/>
        <v/>
      </c>
      <c r="P41" s="9"/>
      <c r="Q41" s="10" t="str">
        <f t="shared" ca="1" si="15"/>
        <v/>
      </c>
      <c r="R41" s="5" t="str">
        <f t="shared" ca="1" si="2"/>
        <v/>
      </c>
      <c r="S41" s="11" t="str">
        <f t="shared" ca="1" si="16"/>
        <v/>
      </c>
      <c r="T41" s="9"/>
      <c r="U41" s="10" t="str">
        <f t="shared" ca="1" si="17"/>
        <v/>
      </c>
      <c r="V41" s="5" t="str">
        <f t="shared" ca="1" si="3"/>
        <v/>
      </c>
      <c r="W41" s="11" t="str">
        <f t="shared" ca="1" si="18"/>
        <v/>
      </c>
      <c r="X41" s="9"/>
      <c r="Y41" s="10" t="str">
        <f t="shared" ca="1" si="19"/>
        <v/>
      </c>
      <c r="Z41" s="5" t="str">
        <f t="shared" ca="1" si="4"/>
        <v/>
      </c>
      <c r="AA41" s="11" t="str">
        <f t="shared" ca="1" si="20"/>
        <v/>
      </c>
      <c r="AB41" s="9"/>
      <c r="AC41" s="10" t="str">
        <f t="shared" ca="1" si="21"/>
        <v/>
      </c>
      <c r="AD41" s="5" t="str">
        <f t="shared" ca="1" si="5"/>
        <v/>
      </c>
      <c r="AE41" s="11" t="str">
        <f t="shared" ca="1" si="22"/>
        <v/>
      </c>
      <c r="AF41" s="9"/>
      <c r="AG41" s="10" t="str">
        <f t="shared" ca="1" si="23"/>
        <v/>
      </c>
      <c r="AH41" s="5" t="str">
        <f t="shared" ca="1" si="6"/>
        <v/>
      </c>
      <c r="AI41" s="11" t="str">
        <f t="shared" ca="1" si="24"/>
        <v/>
      </c>
      <c r="AJ41" s="9"/>
      <c r="AK41" s="10" t="str">
        <f t="shared" ca="1" si="25"/>
        <v/>
      </c>
      <c r="AL41" s="5" t="str">
        <f t="shared" ca="1" si="7"/>
        <v/>
      </c>
      <c r="AM41" s="11" t="str">
        <f t="shared" ca="1" si="26"/>
        <v/>
      </c>
      <c r="AN41" s="9"/>
      <c r="AO41" s="10" t="str">
        <f t="shared" ca="1" si="27"/>
        <v/>
      </c>
      <c r="AP41" s="5" t="str">
        <f t="shared" ca="1" si="8"/>
        <v/>
      </c>
      <c r="AQ41" s="11" t="str">
        <f t="shared" ca="1" si="28"/>
        <v/>
      </c>
      <c r="AR41" s="9"/>
      <c r="AS41" s="42"/>
      <c r="AT41" s="39"/>
      <c r="AU41" s="43"/>
      <c r="AV41" s="38"/>
      <c r="AW41" s="42"/>
      <c r="AX41" s="39"/>
      <c r="AY41" s="43"/>
      <c r="AZ41" s="38"/>
    </row>
    <row r="42" spans="1:52">
      <c r="A42" s="4" t="s">
        <v>60</v>
      </c>
      <c r="B42" s="4" t="str">
        <f>IF(CS!$AH$7&lt;&gt;"",CS!$AH$7,"")</f>
        <v/>
      </c>
      <c r="C42" s="45" t="str">
        <f>CONCATENATE("CS!AH11:AR56")</f>
        <v>CS!AH11:AR56</v>
      </c>
      <c r="D42" s="44">
        <f t="shared" si="29"/>
        <v>11</v>
      </c>
      <c r="E42" s="10" t="str">
        <f t="shared" ca="1" si="9"/>
        <v/>
      </c>
      <c r="F42" s="5" t="str">
        <f t="shared" ca="1" si="30"/>
        <v/>
      </c>
      <c r="G42" s="11" t="str">
        <f t="shared" ca="1" si="10"/>
        <v/>
      </c>
      <c r="H42" s="9"/>
      <c r="I42" s="10" t="str">
        <f t="shared" ca="1" si="11"/>
        <v/>
      </c>
      <c r="J42" s="5" t="str">
        <f t="shared" ca="1" si="0"/>
        <v/>
      </c>
      <c r="K42" s="11" t="str">
        <f t="shared" ca="1" si="12"/>
        <v/>
      </c>
      <c r="L42" s="9"/>
      <c r="M42" s="10" t="str">
        <f t="shared" ca="1" si="13"/>
        <v/>
      </c>
      <c r="N42" s="5" t="str">
        <f t="shared" ca="1" si="1"/>
        <v/>
      </c>
      <c r="O42" s="11" t="str">
        <f t="shared" ca="1" si="14"/>
        <v/>
      </c>
      <c r="P42" s="9"/>
      <c r="Q42" s="10" t="str">
        <f t="shared" ca="1" si="15"/>
        <v/>
      </c>
      <c r="R42" s="5" t="str">
        <f t="shared" ca="1" si="2"/>
        <v/>
      </c>
      <c r="S42" s="11" t="str">
        <f t="shared" ca="1" si="16"/>
        <v/>
      </c>
      <c r="T42" s="9"/>
      <c r="U42" s="10" t="str">
        <f t="shared" ca="1" si="17"/>
        <v/>
      </c>
      <c r="V42" s="5" t="str">
        <f t="shared" ca="1" si="3"/>
        <v/>
      </c>
      <c r="W42" s="11" t="str">
        <f t="shared" ca="1" si="18"/>
        <v/>
      </c>
      <c r="X42" s="9"/>
      <c r="Y42" s="10" t="str">
        <f t="shared" ca="1" si="19"/>
        <v/>
      </c>
      <c r="Z42" s="5" t="str">
        <f t="shared" ca="1" si="4"/>
        <v/>
      </c>
      <c r="AA42" s="11" t="str">
        <f t="shared" ca="1" si="20"/>
        <v/>
      </c>
      <c r="AB42" s="9"/>
      <c r="AC42" s="10" t="str">
        <f t="shared" ca="1" si="21"/>
        <v/>
      </c>
      <c r="AD42" s="5" t="str">
        <f t="shared" ca="1" si="5"/>
        <v/>
      </c>
      <c r="AE42" s="11" t="str">
        <f t="shared" ca="1" si="22"/>
        <v/>
      </c>
      <c r="AF42" s="9"/>
      <c r="AG42" s="10" t="str">
        <f t="shared" ca="1" si="23"/>
        <v/>
      </c>
      <c r="AH42" s="5" t="str">
        <f t="shared" ca="1" si="6"/>
        <v/>
      </c>
      <c r="AI42" s="11" t="str">
        <f t="shared" ca="1" si="24"/>
        <v/>
      </c>
      <c r="AJ42" s="9"/>
      <c r="AK42" s="10" t="str">
        <f t="shared" ca="1" si="25"/>
        <v/>
      </c>
      <c r="AL42" s="5" t="str">
        <f t="shared" ca="1" si="7"/>
        <v/>
      </c>
      <c r="AM42" s="11" t="str">
        <f t="shared" ca="1" si="26"/>
        <v/>
      </c>
      <c r="AN42" s="9"/>
      <c r="AO42" s="10" t="str">
        <f t="shared" ca="1" si="27"/>
        <v/>
      </c>
      <c r="AP42" s="5" t="str">
        <f t="shared" ca="1" si="8"/>
        <v/>
      </c>
      <c r="AQ42" s="11" t="str">
        <f t="shared" ca="1" si="28"/>
        <v/>
      </c>
      <c r="AR42" s="9"/>
      <c r="AS42" s="42"/>
      <c r="AT42" s="39"/>
      <c r="AU42" s="43"/>
      <c r="AV42" s="38"/>
      <c r="AW42" s="42"/>
      <c r="AX42" s="39"/>
      <c r="AY42" s="43"/>
      <c r="AZ42" s="38"/>
    </row>
    <row r="43" spans="1:52">
      <c r="A43" s="4" t="s">
        <v>61</v>
      </c>
      <c r="B43" s="4" t="str">
        <f>IF(CS!$AI$7&lt;&gt;"",CS!$AI$7,"")</f>
        <v/>
      </c>
      <c r="C43" s="45" t="str">
        <f>CONCATENATE("CS!AI11:AR56")</f>
        <v>CS!AI11:AR56</v>
      </c>
      <c r="D43" s="44">
        <f t="shared" si="29"/>
        <v>10</v>
      </c>
      <c r="E43" s="10" t="str">
        <f t="shared" ca="1" si="9"/>
        <v/>
      </c>
      <c r="F43" s="5" t="str">
        <f t="shared" ca="1" si="30"/>
        <v/>
      </c>
      <c r="G43" s="11" t="str">
        <f t="shared" ca="1" si="10"/>
        <v/>
      </c>
      <c r="H43" s="9"/>
      <c r="I43" s="10" t="str">
        <f t="shared" ca="1" si="11"/>
        <v/>
      </c>
      <c r="J43" s="5" t="str">
        <f t="shared" ca="1" si="0"/>
        <v/>
      </c>
      <c r="K43" s="11" t="str">
        <f t="shared" ca="1" si="12"/>
        <v/>
      </c>
      <c r="L43" s="9"/>
      <c r="M43" s="10" t="str">
        <f t="shared" ca="1" si="13"/>
        <v/>
      </c>
      <c r="N43" s="5" t="str">
        <f t="shared" ca="1" si="1"/>
        <v/>
      </c>
      <c r="O43" s="11" t="str">
        <f t="shared" ca="1" si="14"/>
        <v/>
      </c>
      <c r="P43" s="9"/>
      <c r="Q43" s="10" t="str">
        <f t="shared" ca="1" si="15"/>
        <v/>
      </c>
      <c r="R43" s="5" t="str">
        <f t="shared" ca="1" si="2"/>
        <v/>
      </c>
      <c r="S43" s="11" t="str">
        <f t="shared" ca="1" si="16"/>
        <v/>
      </c>
      <c r="T43" s="9"/>
      <c r="U43" s="10" t="str">
        <f t="shared" ca="1" si="17"/>
        <v/>
      </c>
      <c r="V43" s="5" t="str">
        <f t="shared" ca="1" si="3"/>
        <v/>
      </c>
      <c r="W43" s="11" t="str">
        <f t="shared" ca="1" si="18"/>
        <v/>
      </c>
      <c r="X43" s="9"/>
      <c r="Y43" s="10" t="str">
        <f t="shared" ca="1" si="19"/>
        <v/>
      </c>
      <c r="Z43" s="5" t="str">
        <f t="shared" ca="1" si="4"/>
        <v/>
      </c>
      <c r="AA43" s="11" t="str">
        <f t="shared" ca="1" si="20"/>
        <v/>
      </c>
      <c r="AB43" s="9"/>
      <c r="AC43" s="10" t="str">
        <f t="shared" ca="1" si="21"/>
        <v/>
      </c>
      <c r="AD43" s="5" t="str">
        <f t="shared" ca="1" si="5"/>
        <v/>
      </c>
      <c r="AE43" s="11" t="str">
        <f t="shared" ca="1" si="22"/>
        <v/>
      </c>
      <c r="AF43" s="9"/>
      <c r="AG43" s="10" t="str">
        <f t="shared" ca="1" si="23"/>
        <v/>
      </c>
      <c r="AH43" s="5" t="str">
        <f t="shared" ca="1" si="6"/>
        <v/>
      </c>
      <c r="AI43" s="11" t="str">
        <f t="shared" ca="1" si="24"/>
        <v/>
      </c>
      <c r="AJ43" s="9"/>
      <c r="AK43" s="10" t="str">
        <f t="shared" ca="1" si="25"/>
        <v/>
      </c>
      <c r="AL43" s="5" t="str">
        <f t="shared" ca="1" si="7"/>
        <v/>
      </c>
      <c r="AM43" s="11" t="str">
        <f t="shared" ca="1" si="26"/>
        <v/>
      </c>
      <c r="AN43" s="9"/>
      <c r="AO43" s="10" t="str">
        <f t="shared" ca="1" si="27"/>
        <v/>
      </c>
      <c r="AP43" s="5" t="str">
        <f t="shared" ca="1" si="8"/>
        <v/>
      </c>
      <c r="AQ43" s="11" t="str">
        <f t="shared" ca="1" si="28"/>
        <v/>
      </c>
      <c r="AR43" s="9"/>
      <c r="AS43" s="42"/>
      <c r="AT43" s="39"/>
      <c r="AU43" s="43"/>
      <c r="AV43" s="38"/>
      <c r="AW43" s="42"/>
      <c r="AX43" s="39"/>
      <c r="AY43" s="43"/>
      <c r="AZ43" s="38"/>
    </row>
    <row r="44" spans="1:52">
      <c r="A44" s="4" t="s">
        <v>62</v>
      </c>
      <c r="B44" s="4" t="str">
        <f>IF(CS!$AJ$7&lt;&gt;"",CS!$AJ$7,"")</f>
        <v/>
      </c>
      <c r="C44" s="45" t="str">
        <f>CONCATENATE("CS!AJ11:AR56")</f>
        <v>CS!AJ11:AR56</v>
      </c>
      <c r="D44" s="44">
        <f t="shared" si="29"/>
        <v>9</v>
      </c>
      <c r="E44" s="10" t="str">
        <f t="shared" ca="1" si="9"/>
        <v/>
      </c>
      <c r="F44" s="5" t="str">
        <f t="shared" ca="1" si="30"/>
        <v/>
      </c>
      <c r="G44" s="11" t="str">
        <f t="shared" ca="1" si="10"/>
        <v/>
      </c>
      <c r="H44" s="9"/>
      <c r="I44" s="10" t="str">
        <f t="shared" ca="1" si="11"/>
        <v/>
      </c>
      <c r="J44" s="5" t="str">
        <f t="shared" ca="1" si="0"/>
        <v/>
      </c>
      <c r="K44" s="11" t="str">
        <f t="shared" ca="1" si="12"/>
        <v/>
      </c>
      <c r="L44" s="9"/>
      <c r="M44" s="10" t="str">
        <f t="shared" ca="1" si="13"/>
        <v/>
      </c>
      <c r="N44" s="5" t="str">
        <f t="shared" ca="1" si="1"/>
        <v/>
      </c>
      <c r="O44" s="11" t="str">
        <f t="shared" ca="1" si="14"/>
        <v/>
      </c>
      <c r="P44" s="9"/>
      <c r="Q44" s="10" t="str">
        <f t="shared" ca="1" si="15"/>
        <v/>
      </c>
      <c r="R44" s="5" t="str">
        <f t="shared" ca="1" si="2"/>
        <v/>
      </c>
      <c r="S44" s="11" t="str">
        <f t="shared" ca="1" si="16"/>
        <v/>
      </c>
      <c r="T44" s="9"/>
      <c r="U44" s="10" t="str">
        <f t="shared" ca="1" si="17"/>
        <v/>
      </c>
      <c r="V44" s="5" t="str">
        <f t="shared" ca="1" si="3"/>
        <v/>
      </c>
      <c r="W44" s="11" t="str">
        <f t="shared" ca="1" si="18"/>
        <v/>
      </c>
      <c r="X44" s="9"/>
      <c r="Y44" s="10" t="str">
        <f t="shared" ca="1" si="19"/>
        <v/>
      </c>
      <c r="Z44" s="5" t="str">
        <f t="shared" ca="1" si="4"/>
        <v/>
      </c>
      <c r="AA44" s="11" t="str">
        <f t="shared" ca="1" si="20"/>
        <v/>
      </c>
      <c r="AB44" s="9"/>
      <c r="AC44" s="10" t="str">
        <f t="shared" ca="1" si="21"/>
        <v/>
      </c>
      <c r="AD44" s="5" t="str">
        <f t="shared" ca="1" si="5"/>
        <v/>
      </c>
      <c r="AE44" s="11" t="str">
        <f t="shared" ca="1" si="22"/>
        <v/>
      </c>
      <c r="AF44" s="9"/>
      <c r="AG44" s="10" t="str">
        <f t="shared" ca="1" si="23"/>
        <v/>
      </c>
      <c r="AH44" s="5" t="str">
        <f t="shared" ca="1" si="6"/>
        <v/>
      </c>
      <c r="AI44" s="11" t="str">
        <f t="shared" ca="1" si="24"/>
        <v/>
      </c>
      <c r="AJ44" s="9"/>
      <c r="AK44" s="10" t="str">
        <f t="shared" ca="1" si="25"/>
        <v/>
      </c>
      <c r="AL44" s="5" t="str">
        <f t="shared" ca="1" si="7"/>
        <v/>
      </c>
      <c r="AM44" s="11" t="str">
        <f t="shared" ca="1" si="26"/>
        <v/>
      </c>
      <c r="AN44" s="9"/>
      <c r="AO44" s="10" t="str">
        <f t="shared" ca="1" si="27"/>
        <v/>
      </c>
      <c r="AP44" s="5" t="str">
        <f t="shared" ca="1" si="8"/>
        <v/>
      </c>
      <c r="AQ44" s="11" t="str">
        <f t="shared" ca="1" si="28"/>
        <v/>
      </c>
      <c r="AR44" s="9"/>
      <c r="AS44" s="42"/>
      <c r="AT44" s="39"/>
      <c r="AU44" s="43"/>
      <c r="AV44" s="38"/>
      <c r="AW44" s="42"/>
      <c r="AX44" s="39"/>
      <c r="AY44" s="43"/>
      <c r="AZ44" s="38"/>
    </row>
    <row r="45" spans="1:52">
      <c r="A45" s="4" t="s">
        <v>63</v>
      </c>
      <c r="B45" s="4" t="str">
        <f>IF(CS!$AK$7&lt;&gt;"",CS!$AK$7,"")</f>
        <v/>
      </c>
      <c r="C45" s="45" t="str">
        <f>CONCATENATE("CS!AK11:AR56")</f>
        <v>CS!AK11:AR56</v>
      </c>
      <c r="D45" s="44">
        <f t="shared" si="29"/>
        <v>8</v>
      </c>
      <c r="E45" s="10" t="str">
        <f t="shared" ca="1" si="9"/>
        <v/>
      </c>
      <c r="F45" s="5" t="str">
        <f t="shared" ca="1" si="30"/>
        <v/>
      </c>
      <c r="G45" s="11" t="str">
        <f t="shared" ca="1" si="10"/>
        <v/>
      </c>
      <c r="H45" s="9"/>
      <c r="I45" s="10" t="str">
        <f t="shared" ca="1" si="11"/>
        <v/>
      </c>
      <c r="J45" s="5" t="str">
        <f t="shared" ca="1" si="0"/>
        <v/>
      </c>
      <c r="K45" s="11" t="str">
        <f t="shared" ca="1" si="12"/>
        <v/>
      </c>
      <c r="L45" s="9"/>
      <c r="M45" s="10" t="str">
        <f t="shared" ca="1" si="13"/>
        <v/>
      </c>
      <c r="N45" s="5" t="str">
        <f t="shared" ca="1" si="1"/>
        <v/>
      </c>
      <c r="O45" s="11" t="str">
        <f t="shared" ca="1" si="14"/>
        <v/>
      </c>
      <c r="P45" s="9"/>
      <c r="Q45" s="10" t="str">
        <f t="shared" ca="1" si="15"/>
        <v/>
      </c>
      <c r="R45" s="5" t="str">
        <f t="shared" ca="1" si="2"/>
        <v/>
      </c>
      <c r="S45" s="11" t="str">
        <f t="shared" ca="1" si="16"/>
        <v/>
      </c>
      <c r="T45" s="9"/>
      <c r="U45" s="10" t="str">
        <f t="shared" ca="1" si="17"/>
        <v/>
      </c>
      <c r="V45" s="5" t="str">
        <f t="shared" ca="1" si="3"/>
        <v/>
      </c>
      <c r="W45" s="11" t="str">
        <f t="shared" ca="1" si="18"/>
        <v/>
      </c>
      <c r="X45" s="9"/>
      <c r="Y45" s="10" t="str">
        <f t="shared" ca="1" si="19"/>
        <v/>
      </c>
      <c r="Z45" s="5" t="str">
        <f t="shared" ca="1" si="4"/>
        <v/>
      </c>
      <c r="AA45" s="11" t="str">
        <f t="shared" ca="1" si="20"/>
        <v/>
      </c>
      <c r="AB45" s="9"/>
      <c r="AC45" s="10" t="str">
        <f t="shared" ca="1" si="21"/>
        <v/>
      </c>
      <c r="AD45" s="5" t="str">
        <f t="shared" ca="1" si="5"/>
        <v/>
      </c>
      <c r="AE45" s="11" t="str">
        <f t="shared" ca="1" si="22"/>
        <v/>
      </c>
      <c r="AF45" s="9"/>
      <c r="AG45" s="10" t="str">
        <f t="shared" ca="1" si="23"/>
        <v/>
      </c>
      <c r="AH45" s="5" t="str">
        <f t="shared" ca="1" si="6"/>
        <v/>
      </c>
      <c r="AI45" s="11" t="str">
        <f t="shared" ca="1" si="24"/>
        <v/>
      </c>
      <c r="AJ45" s="9"/>
      <c r="AK45" s="10" t="str">
        <f t="shared" ca="1" si="25"/>
        <v/>
      </c>
      <c r="AL45" s="5" t="str">
        <f t="shared" ca="1" si="7"/>
        <v/>
      </c>
      <c r="AM45" s="11" t="str">
        <f t="shared" ca="1" si="26"/>
        <v/>
      </c>
      <c r="AN45" s="9"/>
      <c r="AO45" s="10" t="str">
        <f t="shared" ca="1" si="27"/>
        <v/>
      </c>
      <c r="AP45" s="5" t="str">
        <f t="shared" ca="1" si="8"/>
        <v/>
      </c>
      <c r="AQ45" s="11" t="str">
        <f t="shared" ca="1" si="28"/>
        <v/>
      </c>
      <c r="AR45" s="9"/>
      <c r="AS45" s="42"/>
      <c r="AT45" s="39"/>
      <c r="AU45" s="43"/>
      <c r="AV45" s="38"/>
      <c r="AW45" s="42"/>
      <c r="AX45" s="39"/>
      <c r="AY45" s="43"/>
      <c r="AZ45" s="38"/>
    </row>
    <row r="46" spans="1:52" ht="15" customHeight="1">
      <c r="A46" s="4" t="s">
        <v>64</v>
      </c>
      <c r="B46" s="4" t="str">
        <f>IF(CS!$AL$7&lt;&gt;"",CS!$AL$7,"")</f>
        <v/>
      </c>
      <c r="C46" s="45" t="str">
        <f>CONCATENATE("CS!AL11:AR56")</f>
        <v>CS!AL11:AR56</v>
      </c>
      <c r="D46" s="44">
        <f t="shared" si="29"/>
        <v>7</v>
      </c>
      <c r="E46" s="10" t="str">
        <f t="shared" ca="1" si="9"/>
        <v/>
      </c>
      <c r="F46" s="5" t="str">
        <f t="shared" ca="1" si="30"/>
        <v/>
      </c>
      <c r="G46" s="11" t="str">
        <f t="shared" ca="1" si="10"/>
        <v/>
      </c>
      <c r="H46" s="9"/>
      <c r="I46" s="10" t="str">
        <f t="shared" ca="1" si="11"/>
        <v/>
      </c>
      <c r="J46" s="5" t="str">
        <f t="shared" ca="1" si="0"/>
        <v/>
      </c>
      <c r="K46" s="11" t="str">
        <f t="shared" ca="1" si="12"/>
        <v/>
      </c>
      <c r="L46" s="9"/>
      <c r="M46" s="10" t="str">
        <f t="shared" ca="1" si="13"/>
        <v/>
      </c>
      <c r="N46" s="5" t="str">
        <f t="shared" ca="1" si="1"/>
        <v/>
      </c>
      <c r="O46" s="11" t="str">
        <f t="shared" ca="1" si="14"/>
        <v/>
      </c>
      <c r="P46" s="9"/>
      <c r="Q46" s="10" t="str">
        <f t="shared" ca="1" si="15"/>
        <v/>
      </c>
      <c r="R46" s="5" t="str">
        <f t="shared" ca="1" si="2"/>
        <v/>
      </c>
      <c r="S46" s="11" t="str">
        <f t="shared" ca="1" si="16"/>
        <v/>
      </c>
      <c r="T46" s="9"/>
      <c r="U46" s="10" t="str">
        <f t="shared" ca="1" si="17"/>
        <v/>
      </c>
      <c r="V46" s="5" t="str">
        <f t="shared" ca="1" si="3"/>
        <v/>
      </c>
      <c r="W46" s="11" t="str">
        <f t="shared" ca="1" si="18"/>
        <v/>
      </c>
      <c r="X46" s="9"/>
      <c r="Y46" s="10" t="str">
        <f t="shared" ca="1" si="19"/>
        <v/>
      </c>
      <c r="Z46" s="5" t="str">
        <f t="shared" ca="1" si="4"/>
        <v/>
      </c>
      <c r="AA46" s="11" t="str">
        <f t="shared" ca="1" si="20"/>
        <v/>
      </c>
      <c r="AB46" s="9"/>
      <c r="AC46" s="10" t="str">
        <f t="shared" ca="1" si="21"/>
        <v/>
      </c>
      <c r="AD46" s="5" t="str">
        <f t="shared" ca="1" si="5"/>
        <v/>
      </c>
      <c r="AE46" s="11" t="str">
        <f t="shared" ca="1" si="22"/>
        <v/>
      </c>
      <c r="AF46" s="9"/>
      <c r="AG46" s="10" t="str">
        <f t="shared" ca="1" si="23"/>
        <v/>
      </c>
      <c r="AH46" s="5" t="str">
        <f t="shared" ca="1" si="6"/>
        <v/>
      </c>
      <c r="AI46" s="11" t="str">
        <f t="shared" ca="1" si="24"/>
        <v/>
      </c>
      <c r="AJ46" s="9"/>
      <c r="AK46" s="10" t="str">
        <f t="shared" ca="1" si="25"/>
        <v/>
      </c>
      <c r="AL46" s="5" t="str">
        <f t="shared" ca="1" si="7"/>
        <v/>
      </c>
      <c r="AM46" s="11" t="str">
        <f t="shared" ca="1" si="26"/>
        <v/>
      </c>
      <c r="AN46" s="9"/>
      <c r="AO46" s="10" t="str">
        <f t="shared" ca="1" si="27"/>
        <v/>
      </c>
      <c r="AP46" s="5" t="str">
        <f t="shared" ca="1" si="8"/>
        <v/>
      </c>
      <c r="AQ46" s="11" t="str">
        <f t="shared" ca="1" si="28"/>
        <v/>
      </c>
      <c r="AR46" s="9"/>
      <c r="AS46" s="42"/>
      <c r="AT46" s="39"/>
      <c r="AU46" s="43"/>
      <c r="AV46" s="38"/>
      <c r="AW46" s="42"/>
      <c r="AX46" s="39"/>
      <c r="AY46" s="43"/>
      <c r="AZ46" s="38"/>
    </row>
    <row r="47" spans="1:52" ht="15" customHeight="1">
      <c r="A47" s="4" t="s">
        <v>85</v>
      </c>
      <c r="B47" s="37"/>
      <c r="C47" s="45" t="str">
        <f>CONCATENATE("CS!AM11:AR56")</f>
        <v>CS!AM11:AR56</v>
      </c>
      <c r="D47" s="44">
        <f t="shared" si="29"/>
        <v>6</v>
      </c>
      <c r="E47" s="10" t="str">
        <f t="shared" ca="1" si="9"/>
        <v/>
      </c>
      <c r="F47" s="5" t="str">
        <f t="shared" ca="1" si="30"/>
        <v/>
      </c>
      <c r="G47" s="11" t="str">
        <f t="shared" ca="1" si="10"/>
        <v/>
      </c>
      <c r="H47" s="9"/>
      <c r="I47" s="10" t="str">
        <f t="shared" ca="1" si="11"/>
        <v/>
      </c>
      <c r="J47" s="5" t="str">
        <f t="shared" ca="1" si="0"/>
        <v/>
      </c>
      <c r="K47" s="11" t="str">
        <f t="shared" ca="1" si="12"/>
        <v/>
      </c>
      <c r="L47" s="9"/>
      <c r="M47" s="10" t="str">
        <f t="shared" ca="1" si="13"/>
        <v/>
      </c>
      <c r="N47" s="5" t="str">
        <f t="shared" ca="1" si="1"/>
        <v/>
      </c>
      <c r="O47" s="11" t="str">
        <f t="shared" ca="1" si="14"/>
        <v/>
      </c>
      <c r="P47" s="9"/>
      <c r="Q47" s="10" t="str">
        <f t="shared" ca="1" si="15"/>
        <v/>
      </c>
      <c r="R47" s="5" t="str">
        <f t="shared" ca="1" si="2"/>
        <v/>
      </c>
      <c r="S47" s="11" t="str">
        <f t="shared" ca="1" si="16"/>
        <v/>
      </c>
      <c r="T47" s="9"/>
      <c r="U47" s="10" t="str">
        <f t="shared" ca="1" si="17"/>
        <v/>
      </c>
      <c r="V47" s="5" t="str">
        <f t="shared" ca="1" si="3"/>
        <v/>
      </c>
      <c r="W47" s="11" t="str">
        <f t="shared" ca="1" si="18"/>
        <v/>
      </c>
      <c r="X47" s="9"/>
      <c r="Y47" s="10" t="str">
        <f t="shared" ca="1" si="19"/>
        <v/>
      </c>
      <c r="Z47" s="5" t="str">
        <f t="shared" ca="1" si="4"/>
        <v/>
      </c>
      <c r="AA47" s="11" t="str">
        <f t="shared" ca="1" si="20"/>
        <v/>
      </c>
      <c r="AB47" s="9"/>
      <c r="AC47" s="10" t="str">
        <f t="shared" ca="1" si="21"/>
        <v/>
      </c>
      <c r="AD47" s="5" t="str">
        <f t="shared" ca="1" si="5"/>
        <v/>
      </c>
      <c r="AE47" s="11" t="str">
        <f t="shared" ca="1" si="22"/>
        <v/>
      </c>
      <c r="AF47" s="9"/>
      <c r="AG47" s="10" t="str">
        <f t="shared" ca="1" si="23"/>
        <v/>
      </c>
      <c r="AH47" s="5" t="str">
        <f t="shared" ca="1" si="6"/>
        <v/>
      </c>
      <c r="AI47" s="11" t="str">
        <f t="shared" ca="1" si="24"/>
        <v/>
      </c>
      <c r="AJ47" s="9"/>
      <c r="AK47" s="10" t="str">
        <f t="shared" ca="1" si="25"/>
        <v/>
      </c>
      <c r="AL47" s="5" t="str">
        <f t="shared" ca="1" si="7"/>
        <v/>
      </c>
      <c r="AM47" s="11" t="str">
        <f t="shared" ca="1" si="26"/>
        <v/>
      </c>
      <c r="AN47" s="9"/>
      <c r="AO47" s="10" t="str">
        <f t="shared" ca="1" si="27"/>
        <v/>
      </c>
      <c r="AP47" s="5" t="str">
        <f t="shared" ca="1" si="8"/>
        <v/>
      </c>
      <c r="AQ47" s="11" t="str">
        <f t="shared" ca="1" si="28"/>
        <v/>
      </c>
      <c r="AR47" s="9"/>
      <c r="AS47" s="40"/>
      <c r="AT47" s="40"/>
      <c r="AU47" s="40"/>
      <c r="AV47" s="40"/>
      <c r="AW47" s="40"/>
      <c r="AX47" s="40"/>
      <c r="AY47" s="40"/>
      <c r="AZ47" s="40"/>
    </row>
    <row r="48" spans="1:52" ht="15" customHeight="1">
      <c r="A48" s="4" t="s">
        <v>86</v>
      </c>
      <c r="C48" s="45" t="str">
        <f>CONCATENATE("CS!AN11:AR56")</f>
        <v>CS!AN11:AR56</v>
      </c>
      <c r="D48" s="44">
        <f t="shared" si="29"/>
        <v>5</v>
      </c>
      <c r="E48" s="10" t="str">
        <f t="shared" ca="1" si="9"/>
        <v/>
      </c>
      <c r="F48" s="5" t="str">
        <f t="shared" ca="1" si="30"/>
        <v/>
      </c>
      <c r="G48" s="11" t="str">
        <f t="shared" ca="1" si="10"/>
        <v/>
      </c>
      <c r="H48" s="9"/>
      <c r="I48" s="10" t="str">
        <f t="shared" ca="1" si="11"/>
        <v/>
      </c>
      <c r="J48" s="5" t="str">
        <f t="shared" ca="1" si="0"/>
        <v/>
      </c>
      <c r="K48" s="11" t="str">
        <f t="shared" ca="1" si="12"/>
        <v/>
      </c>
      <c r="L48" s="9"/>
      <c r="M48" s="10" t="str">
        <f t="shared" ca="1" si="13"/>
        <v/>
      </c>
      <c r="N48" s="5" t="str">
        <f t="shared" ca="1" si="1"/>
        <v/>
      </c>
      <c r="O48" s="11" t="str">
        <f t="shared" ca="1" si="14"/>
        <v/>
      </c>
      <c r="P48" s="9"/>
      <c r="Q48" s="10" t="str">
        <f t="shared" ca="1" si="15"/>
        <v/>
      </c>
      <c r="R48" s="5" t="str">
        <f t="shared" ca="1" si="2"/>
        <v/>
      </c>
      <c r="S48" s="11" t="str">
        <f t="shared" ca="1" si="16"/>
        <v/>
      </c>
      <c r="T48" s="9"/>
      <c r="U48" s="10" t="str">
        <f t="shared" ca="1" si="17"/>
        <v/>
      </c>
      <c r="V48" s="5" t="str">
        <f t="shared" ca="1" si="3"/>
        <v/>
      </c>
      <c r="W48" s="11" t="str">
        <f t="shared" ca="1" si="18"/>
        <v/>
      </c>
      <c r="X48" s="9"/>
      <c r="Y48" s="10" t="str">
        <f t="shared" ca="1" si="19"/>
        <v/>
      </c>
      <c r="Z48" s="5" t="str">
        <f t="shared" ca="1" si="4"/>
        <v/>
      </c>
      <c r="AA48" s="11" t="str">
        <f t="shared" ca="1" si="20"/>
        <v/>
      </c>
      <c r="AB48" s="9"/>
      <c r="AC48" s="10" t="str">
        <f t="shared" ca="1" si="21"/>
        <v/>
      </c>
      <c r="AD48" s="5" t="str">
        <f t="shared" ca="1" si="5"/>
        <v/>
      </c>
      <c r="AE48" s="11" t="str">
        <f t="shared" ca="1" si="22"/>
        <v/>
      </c>
      <c r="AF48" s="9"/>
      <c r="AG48" s="10" t="str">
        <f t="shared" ca="1" si="23"/>
        <v/>
      </c>
      <c r="AH48" s="5" t="str">
        <f t="shared" ca="1" si="6"/>
        <v/>
      </c>
      <c r="AI48" s="11" t="str">
        <f t="shared" ca="1" si="24"/>
        <v/>
      </c>
      <c r="AJ48" s="9"/>
      <c r="AK48" s="10" t="str">
        <f t="shared" ca="1" si="25"/>
        <v/>
      </c>
      <c r="AL48" s="5" t="str">
        <f t="shared" ca="1" si="7"/>
        <v/>
      </c>
      <c r="AM48" s="11" t="str">
        <f t="shared" ca="1" si="26"/>
        <v/>
      </c>
      <c r="AN48" s="9"/>
      <c r="AO48" s="10" t="str">
        <f t="shared" ca="1" si="27"/>
        <v/>
      </c>
      <c r="AP48" s="5" t="str">
        <f t="shared" ca="1" si="8"/>
        <v/>
      </c>
      <c r="AQ48" s="11" t="str">
        <f t="shared" ca="1" si="28"/>
        <v/>
      </c>
      <c r="AR48" s="9"/>
      <c r="AS48" s="38"/>
      <c r="AT48" s="38"/>
      <c r="AU48" s="38"/>
      <c r="AV48" s="39"/>
      <c r="AW48" s="38"/>
      <c r="AX48" s="38"/>
      <c r="AY48" s="38"/>
      <c r="AZ48" s="39"/>
    </row>
    <row r="49" spans="1:52" ht="15" customHeight="1">
      <c r="A49" s="4" t="s">
        <v>87</v>
      </c>
      <c r="C49" s="45" t="str">
        <f>CONCATENATE("CS!AO11:AR56")</f>
        <v>CS!AO11:AR56</v>
      </c>
      <c r="D49" s="44">
        <f t="shared" si="29"/>
        <v>4</v>
      </c>
      <c r="E49" s="10" t="str">
        <f t="shared" ca="1" si="9"/>
        <v/>
      </c>
      <c r="F49" s="5" t="str">
        <f t="shared" ca="1" si="30"/>
        <v/>
      </c>
      <c r="G49" s="11" t="str">
        <f t="shared" ca="1" si="10"/>
        <v/>
      </c>
      <c r="H49" s="9"/>
      <c r="I49" s="10" t="str">
        <f t="shared" ca="1" si="11"/>
        <v/>
      </c>
      <c r="J49" s="5" t="str">
        <f t="shared" ca="1" si="0"/>
        <v/>
      </c>
      <c r="K49" s="11" t="str">
        <f t="shared" ca="1" si="12"/>
        <v/>
      </c>
      <c r="L49" s="9"/>
      <c r="M49" s="10" t="str">
        <f t="shared" ca="1" si="13"/>
        <v/>
      </c>
      <c r="N49" s="5" t="str">
        <f t="shared" ca="1" si="1"/>
        <v/>
      </c>
      <c r="O49" s="11" t="str">
        <f t="shared" ca="1" si="14"/>
        <v/>
      </c>
      <c r="P49" s="9"/>
      <c r="Q49" s="10" t="str">
        <f t="shared" ca="1" si="15"/>
        <v/>
      </c>
      <c r="R49" s="5" t="str">
        <f t="shared" ca="1" si="2"/>
        <v/>
      </c>
      <c r="S49" s="11" t="str">
        <f t="shared" ca="1" si="16"/>
        <v/>
      </c>
      <c r="T49" s="9"/>
      <c r="U49" s="10" t="str">
        <f t="shared" ca="1" si="17"/>
        <v/>
      </c>
      <c r="V49" s="5" t="str">
        <f t="shared" ca="1" si="3"/>
        <v/>
      </c>
      <c r="W49" s="11" t="str">
        <f t="shared" ca="1" si="18"/>
        <v/>
      </c>
      <c r="X49" s="9"/>
      <c r="Y49" s="10" t="str">
        <f t="shared" ca="1" si="19"/>
        <v/>
      </c>
      <c r="Z49" s="5" t="str">
        <f t="shared" ca="1" si="4"/>
        <v/>
      </c>
      <c r="AA49" s="11" t="str">
        <f t="shared" ca="1" si="20"/>
        <v/>
      </c>
      <c r="AB49" s="9"/>
      <c r="AC49" s="10" t="str">
        <f t="shared" ca="1" si="21"/>
        <v/>
      </c>
      <c r="AD49" s="5" t="str">
        <f t="shared" ca="1" si="5"/>
        <v/>
      </c>
      <c r="AE49" s="11" t="str">
        <f t="shared" ca="1" si="22"/>
        <v/>
      </c>
      <c r="AF49" s="9"/>
      <c r="AG49" s="10" t="str">
        <f t="shared" ca="1" si="23"/>
        <v/>
      </c>
      <c r="AH49" s="5" t="str">
        <f t="shared" ca="1" si="6"/>
        <v/>
      </c>
      <c r="AI49" s="11" t="str">
        <f t="shared" ca="1" si="24"/>
        <v/>
      </c>
      <c r="AJ49" s="9"/>
      <c r="AK49" s="10" t="str">
        <f t="shared" ca="1" si="25"/>
        <v/>
      </c>
      <c r="AL49" s="5" t="str">
        <f t="shared" ca="1" si="7"/>
        <v/>
      </c>
      <c r="AM49" s="11" t="str">
        <f t="shared" ca="1" si="26"/>
        <v/>
      </c>
      <c r="AN49" s="9"/>
      <c r="AO49" s="10" t="str">
        <f t="shared" ca="1" si="27"/>
        <v/>
      </c>
      <c r="AP49" s="5" t="str">
        <f t="shared" ca="1" si="8"/>
        <v/>
      </c>
      <c r="AQ49" s="11" t="str">
        <f t="shared" ca="1" si="28"/>
        <v/>
      </c>
      <c r="AR49" s="9"/>
      <c r="AS49" s="38"/>
      <c r="AT49" s="38"/>
      <c r="AU49" s="38"/>
      <c r="AV49" s="39"/>
      <c r="AW49" s="38"/>
      <c r="AX49" s="38"/>
      <c r="AY49" s="38"/>
      <c r="AZ49" s="38"/>
    </row>
    <row r="50" spans="1:52" ht="15" customHeight="1">
      <c r="A50" s="4" t="s">
        <v>124</v>
      </c>
      <c r="C50" s="45" t="str">
        <f>CONCATENATE("CS!AP11:AR56")</f>
        <v>CS!AP11:AR56</v>
      </c>
      <c r="D50" s="44">
        <f t="shared" si="29"/>
        <v>3</v>
      </c>
      <c r="E50" s="10" t="str">
        <f t="shared" ca="1" si="9"/>
        <v/>
      </c>
      <c r="F50" s="5" t="str">
        <f t="shared" ca="1" si="30"/>
        <v/>
      </c>
      <c r="G50" s="11" t="str">
        <f t="shared" ca="1" si="10"/>
        <v/>
      </c>
      <c r="H50" s="9"/>
      <c r="I50" s="10" t="str">
        <f t="shared" ca="1" si="11"/>
        <v/>
      </c>
      <c r="J50" s="5" t="str">
        <f t="shared" ca="1" si="0"/>
        <v/>
      </c>
      <c r="K50" s="11" t="str">
        <f t="shared" ca="1" si="12"/>
        <v/>
      </c>
      <c r="L50" s="9"/>
      <c r="M50" s="10" t="str">
        <f t="shared" ca="1" si="13"/>
        <v/>
      </c>
      <c r="N50" s="5" t="str">
        <f t="shared" ca="1" si="1"/>
        <v/>
      </c>
      <c r="O50" s="11" t="str">
        <f t="shared" ca="1" si="14"/>
        <v/>
      </c>
      <c r="P50" s="9"/>
      <c r="Q50" s="10" t="str">
        <f t="shared" ca="1" si="15"/>
        <v/>
      </c>
      <c r="R50" s="5" t="str">
        <f t="shared" ca="1" si="2"/>
        <v/>
      </c>
      <c r="S50" s="11" t="str">
        <f t="shared" ca="1" si="16"/>
        <v/>
      </c>
      <c r="T50" s="9"/>
      <c r="U50" s="10" t="str">
        <f t="shared" ca="1" si="17"/>
        <v/>
      </c>
      <c r="V50" s="5" t="str">
        <f t="shared" ca="1" si="3"/>
        <v/>
      </c>
      <c r="W50" s="11" t="str">
        <f t="shared" ca="1" si="18"/>
        <v/>
      </c>
      <c r="X50" s="9"/>
      <c r="Y50" s="10" t="str">
        <f t="shared" ca="1" si="19"/>
        <v/>
      </c>
      <c r="Z50" s="5" t="str">
        <f t="shared" ca="1" si="4"/>
        <v/>
      </c>
      <c r="AA50" s="11" t="str">
        <f t="shared" ca="1" si="20"/>
        <v/>
      </c>
      <c r="AB50" s="9"/>
      <c r="AC50" s="10" t="str">
        <f t="shared" ca="1" si="21"/>
        <v/>
      </c>
      <c r="AD50" s="5" t="str">
        <f t="shared" ca="1" si="5"/>
        <v/>
      </c>
      <c r="AE50" s="11" t="str">
        <f t="shared" ca="1" si="22"/>
        <v/>
      </c>
      <c r="AF50" s="9"/>
      <c r="AG50" s="10" t="str">
        <f t="shared" ca="1" si="23"/>
        <v/>
      </c>
      <c r="AH50" s="5" t="str">
        <f t="shared" ca="1" si="6"/>
        <v/>
      </c>
      <c r="AI50" s="11" t="str">
        <f t="shared" ca="1" si="24"/>
        <v/>
      </c>
      <c r="AJ50" s="9"/>
      <c r="AK50" s="10" t="str">
        <f t="shared" ca="1" si="25"/>
        <v/>
      </c>
      <c r="AL50" s="5" t="str">
        <f t="shared" ca="1" si="7"/>
        <v/>
      </c>
      <c r="AM50" s="11" t="str">
        <f t="shared" ca="1" si="26"/>
        <v/>
      </c>
      <c r="AN50" s="9"/>
      <c r="AO50" s="10" t="str">
        <f t="shared" ca="1" si="27"/>
        <v/>
      </c>
      <c r="AP50" s="5" t="str">
        <f t="shared" ca="1" si="8"/>
        <v/>
      </c>
      <c r="AQ50" s="11" t="str">
        <f t="shared" ca="1" si="28"/>
        <v/>
      </c>
      <c r="AR50" s="9"/>
      <c r="AS50" s="38"/>
      <c r="AT50" s="38"/>
      <c r="AU50" s="38"/>
      <c r="AV50" s="39"/>
      <c r="AW50" s="38"/>
      <c r="AX50" s="38"/>
      <c r="AY50" s="38"/>
      <c r="AZ50" s="38"/>
    </row>
    <row r="51" spans="1:52" ht="6" customHeight="1">
      <c r="A51" s="7"/>
      <c r="B51" s="7"/>
      <c r="C51" s="7"/>
      <c r="D51" s="12"/>
      <c r="E51" s="36"/>
      <c r="F51" s="7"/>
      <c r="G51" s="7"/>
      <c r="H51" s="12"/>
      <c r="I51" s="7"/>
      <c r="J51" s="7"/>
      <c r="K51" s="7"/>
      <c r="L51" s="12"/>
      <c r="M51" s="7"/>
      <c r="N51" s="7"/>
      <c r="O51" s="7"/>
      <c r="P51" s="12"/>
      <c r="Q51" s="7"/>
      <c r="R51" s="7"/>
      <c r="S51" s="7"/>
      <c r="T51" s="12"/>
      <c r="U51" s="7"/>
      <c r="V51" s="7"/>
      <c r="W51" s="7"/>
      <c r="X51" s="12"/>
      <c r="Y51" s="7"/>
      <c r="Z51" s="7"/>
      <c r="AA51" s="7"/>
      <c r="AB51" s="12"/>
      <c r="AC51" s="7"/>
      <c r="AD51" s="7"/>
      <c r="AE51" s="7"/>
      <c r="AF51" s="7">
        <v>8</v>
      </c>
      <c r="AG51" s="7"/>
      <c r="AH51" s="7"/>
      <c r="AI51" s="7"/>
      <c r="AJ51" s="12"/>
      <c r="AK51" s="7"/>
      <c r="AL51" s="7"/>
      <c r="AM51" s="7"/>
      <c r="AN51" s="12"/>
      <c r="AO51" s="7"/>
      <c r="AP51" s="7"/>
      <c r="AQ51" s="7"/>
      <c r="AR51" s="12"/>
      <c r="AS51" s="38"/>
      <c r="AT51" s="38"/>
      <c r="AU51" s="38"/>
      <c r="AV51" s="39"/>
      <c r="AW51" s="38"/>
      <c r="AX51" s="38"/>
      <c r="AY51" s="38"/>
      <c r="AZ51" s="38"/>
    </row>
    <row r="52" spans="1:52" ht="16">
      <c r="D52" s="8"/>
      <c r="E52"/>
      <c r="F52" s="8"/>
      <c r="G52" s="8"/>
      <c r="H52" s="8"/>
      <c r="AS52" s="38"/>
      <c r="AT52" s="38"/>
      <c r="AU52" s="38"/>
      <c r="AV52" s="39"/>
      <c r="AW52" s="38"/>
      <c r="AX52" s="38"/>
      <c r="AY52" s="38"/>
      <c r="AZ52" s="38"/>
    </row>
    <row r="53" spans="1:52" ht="16">
      <c r="D53" s="8"/>
      <c r="E53"/>
      <c r="F53" s="8"/>
      <c r="G53" s="8"/>
      <c r="H53" s="8"/>
    </row>
    <row r="54" spans="1:52" ht="16">
      <c r="D54" s="8"/>
      <c r="E54"/>
      <c r="F54" s="8"/>
      <c r="G54" s="8"/>
      <c r="H54" s="8"/>
    </row>
    <row r="55" spans="1:52" ht="16">
      <c r="D55" s="8"/>
      <c r="E55"/>
      <c r="F55" s="8"/>
      <c r="G55" s="8"/>
      <c r="H55" s="8"/>
    </row>
    <row r="56" spans="1:52" ht="16">
      <c r="D56" s="8"/>
      <c r="E56"/>
      <c r="F56" s="8"/>
      <c r="G56" s="8"/>
      <c r="H56" s="8"/>
      <c r="W56" s="4" t="s">
        <v>165</v>
      </c>
    </row>
    <row r="57" spans="1:52" ht="16">
      <c r="D57" s="8"/>
      <c r="E57"/>
      <c r="F57" s="8"/>
      <c r="G57" s="8"/>
      <c r="H57" s="8"/>
    </row>
    <row r="58" spans="1:52" ht="16">
      <c r="D58" s="8"/>
      <c r="E58"/>
      <c r="F58" s="8"/>
      <c r="G58" s="8"/>
      <c r="H58" s="8"/>
    </row>
    <row r="59" spans="1:52" ht="16">
      <c r="D59" s="8"/>
      <c r="E59"/>
      <c r="F59" s="8"/>
      <c r="G59" s="8"/>
      <c r="H59" s="8"/>
    </row>
    <row r="60" spans="1:52" ht="16">
      <c r="D60" s="8"/>
      <c r="E60"/>
      <c r="F60" s="8"/>
      <c r="G60" s="8"/>
      <c r="H60" s="8"/>
    </row>
    <row r="61" spans="1:52" ht="16">
      <c r="D61" s="8"/>
      <c r="E61"/>
      <c r="F61" s="8"/>
      <c r="G61" s="8"/>
      <c r="H61" s="8"/>
    </row>
    <row r="62" spans="1:52" ht="16">
      <c r="D62" s="8"/>
      <c r="E62"/>
      <c r="F62" s="8"/>
      <c r="G62" s="8"/>
      <c r="H62" s="8"/>
    </row>
    <row r="63" spans="1:52" ht="16">
      <c r="D63" s="8"/>
      <c r="E63"/>
      <c r="F63" s="8"/>
      <c r="G63" s="8"/>
      <c r="H63" s="8"/>
    </row>
    <row r="64" spans="1:52" ht="16">
      <c r="D64" s="8"/>
      <c r="E64"/>
      <c r="F64" s="8"/>
      <c r="G64" s="8"/>
      <c r="H64" s="8"/>
    </row>
    <row r="65" spans="5:5">
      <c r="E65"/>
    </row>
    <row r="66" spans="5:5">
      <c r="E66"/>
    </row>
    <row r="67" spans="5:5">
      <c r="E67"/>
    </row>
    <row r="68" spans="5:5">
      <c r="E68"/>
    </row>
    <row r="69" spans="5:5">
      <c r="E69"/>
    </row>
    <row r="70" spans="5:5">
      <c r="E70"/>
    </row>
    <row r="71" spans="5:5">
      <c r="E71"/>
    </row>
    <row r="72" spans="5:5">
      <c r="E72"/>
    </row>
    <row r="73" spans="5:5">
      <c r="E73"/>
    </row>
    <row r="74" spans="5:5">
      <c r="E74"/>
    </row>
    <row r="75" spans="5:5">
      <c r="E75"/>
    </row>
    <row r="76" spans="5:5">
      <c r="E76"/>
    </row>
    <row r="77" spans="5:5">
      <c r="E77"/>
    </row>
    <row r="78" spans="5:5">
      <c r="E78"/>
    </row>
    <row r="79" spans="5:5">
      <c r="E79"/>
    </row>
    <row r="80" spans="5:5">
      <c r="E80"/>
    </row>
    <row r="81" spans="5:5">
      <c r="E81"/>
    </row>
    <row r="82" spans="5:5">
      <c r="E82"/>
    </row>
    <row r="87" spans="5:5" ht="16">
      <c r="E87" s="8"/>
    </row>
    <row r="88" spans="5:5" ht="16">
      <c r="E88" s="8"/>
    </row>
    <row r="89" spans="5:5" ht="16">
      <c r="E89" s="8"/>
    </row>
    <row r="90" spans="5:5" ht="16">
      <c r="E90" s="8"/>
    </row>
    <row r="91" spans="5:5" ht="16">
      <c r="E91" s="8"/>
    </row>
    <row r="92" spans="5:5" ht="16">
      <c r="E92" s="8"/>
    </row>
    <row r="93" spans="5:5" ht="16">
      <c r="E93" s="8"/>
    </row>
    <row r="94" spans="5:5" ht="16">
      <c r="E94" s="8"/>
    </row>
    <row r="95" spans="5:5" ht="16">
      <c r="E95" s="8"/>
    </row>
    <row r="96" spans="5:5" ht="16">
      <c r="E96" s="8"/>
    </row>
    <row r="97" spans="5:5" ht="5" customHeight="1">
      <c r="E97" s="8"/>
    </row>
    <row r="98" spans="5:5" ht="16">
      <c r="E98" s="8"/>
    </row>
    <row r="99" spans="5:5" ht="16">
      <c r="E99" s="8"/>
    </row>
  </sheetData>
  <sheetProtection password="FFF0" sheet="1" objects="1" scenarios="1"/>
  <conditionalFormatting sqref="A11:A50">
    <cfRule type="expression" dxfId="270" priority="4" stopIfTrue="1">
      <formula>(ROW()-10)&gt;A$10</formula>
    </cfRule>
  </conditionalFormatting>
  <conditionalFormatting sqref="E11:E50 G11:G50">
    <cfRule type="cellIs" dxfId="269" priority="3" operator="equal">
      <formula>$G$5</formula>
    </cfRule>
  </conditionalFormatting>
  <conditionalFormatting sqref="I11:I50 K11:K50 M11:M50 O11:O50 Q11:Q50 S11:S50 U11:U50 W11:W50 Y11:Y50 AA11:AA50 AC11:AC50 AE11:AE50 AG11:AG50 AI11:AI50 AK11:AK50">
    <cfRule type="cellIs" dxfId="268" priority="2" operator="equal">
      <formula>$G$5</formula>
    </cfRule>
  </conditionalFormatting>
  <conditionalFormatting sqref="AM11:AM50 AO11:AO50 AQ11:AQ50">
    <cfRule type="cellIs" dxfId="267" priority="1" operator="equal">
      <formula>$G$5</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430"/>
  <sheetViews>
    <sheetView workbookViewId="0">
      <selection activeCell="A4" sqref="A4"/>
    </sheetView>
  </sheetViews>
  <sheetFormatPr baseColWidth="10" defaultRowHeight="12" customHeight="1" x14ac:dyDescent="0"/>
  <cols>
    <col min="1" max="1" width="8.7109375" style="16" customWidth="1"/>
    <col min="2" max="2" width="1.7109375" style="16" customWidth="1"/>
    <col min="3" max="3" width="4.7109375" style="16" customWidth="1"/>
    <col min="4" max="47" width="3.7109375" style="16" customWidth="1"/>
    <col min="48" max="49" width="2.7109375" style="16" customWidth="1"/>
    <col min="50" max="50" width="3.7109375" style="16" customWidth="1"/>
    <col min="51" max="53" width="2.7109375" style="16" hidden="1" customWidth="1"/>
    <col min="54" max="54" width="6.7109375" style="16" hidden="1" customWidth="1"/>
    <col min="55" max="88" width="3.7109375" style="16" hidden="1" customWidth="1"/>
    <col min="89" max="93" width="2.7109375" style="16" hidden="1" customWidth="1"/>
    <col min="94" max="16384" width="10.7109375" style="16"/>
  </cols>
  <sheetData>
    <row r="1" spans="1:123" ht="18" customHeight="1">
      <c r="A1" s="147" t="s">
        <v>76</v>
      </c>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row>
    <row r="2" spans="1:123" ht="12" customHeight="1">
      <c r="C2" s="16" t="s">
        <v>77</v>
      </c>
      <c r="S2" s="30" t="s">
        <v>8</v>
      </c>
      <c r="T2" s="30"/>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row>
    <row r="3" spans="1:123" ht="12" customHeight="1">
      <c r="A3" s="124" t="str">
        <f>DrawFinder!F10</f>
        <v>240603</v>
      </c>
      <c r="D3" s="16" t="s">
        <v>78</v>
      </c>
      <c r="S3" s="30"/>
      <c r="T3" s="30" t="s">
        <v>622</v>
      </c>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row>
    <row r="4" spans="1:123" ht="12" customHeight="1">
      <c r="A4" s="73" t="str">
        <f>Intro!D46</f>
        <v/>
      </c>
      <c r="D4" s="16" t="s">
        <v>50</v>
      </c>
      <c r="S4" s="30"/>
      <c r="T4" s="30" t="s">
        <v>10</v>
      </c>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row>
    <row r="5" spans="1:123" ht="12" customHeight="1">
      <c r="S5" s="30"/>
      <c r="T5" s="30" t="s">
        <v>623</v>
      </c>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row>
    <row r="6" spans="1:123" ht="12" customHeight="1">
      <c r="C6" s="58" t="s">
        <v>79</v>
      </c>
      <c r="D6" s="18">
        <f ca="1">DrawFinder!P11</f>
        <v>24</v>
      </c>
      <c r="H6" s="58" t="s">
        <v>5</v>
      </c>
      <c r="I6" s="18" t="str">
        <f ca="1">DrawFinder!N4</f>
        <v>e</v>
      </c>
      <c r="S6" s="30"/>
      <c r="T6" s="30" t="s">
        <v>624</v>
      </c>
      <c r="AN6" s="59"/>
      <c r="AO6" s="59"/>
      <c r="AP6" s="59"/>
      <c r="AQ6" s="60" t="str">
        <f>MID(A3,7,1)</f>
        <v/>
      </c>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row>
    <row r="7" spans="1:123" ht="12" customHeight="1">
      <c r="C7" s="58" t="s">
        <v>3</v>
      </c>
      <c r="D7" s="18">
        <f>DrawFinder!F4</f>
        <v>6</v>
      </c>
      <c r="H7" s="58" t="s">
        <v>9</v>
      </c>
      <c r="I7" s="18">
        <f ca="1">DrawFinder!S11</f>
        <v>7</v>
      </c>
      <c r="S7" s="30"/>
      <c r="T7" s="30" t="s">
        <v>7</v>
      </c>
      <c r="AN7" s="59"/>
      <c r="AO7" s="59"/>
      <c r="AP7" s="59"/>
      <c r="AQ7" s="59"/>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row>
    <row r="8" spans="1:123" ht="12" customHeight="1">
      <c r="C8" s="58" t="s">
        <v>4</v>
      </c>
      <c r="D8" s="18">
        <f ca="1">DrawFinder!Q11</f>
        <v>3</v>
      </c>
      <c r="H8" s="58" t="s">
        <v>6</v>
      </c>
      <c r="I8" s="30" t="str">
        <f ca="1">CONCATENATE(" ",DrawFinder!N6," ",DrawFinder!N7," ",DrawFinder!N8," ",DrawFinder!N9," ",DrawFinder!N5)</f>
        <v xml:space="preserve">     </v>
      </c>
      <c r="T8" s="30" t="s">
        <v>49</v>
      </c>
      <c r="AN8" s="60" t="str">
        <f>IF(ISERROR(MID($A3,8,1)),"",MID($A3,8,1))</f>
        <v/>
      </c>
      <c r="AO8" s="60" t="str">
        <f>IF(ISERROR(MID($A3,9,1)),"",MID($A3,9,1))</f>
        <v/>
      </c>
      <c r="AP8" s="60" t="str">
        <f>IF(ISERROR(MID($A3,10,1)),"",MID($A3,10,1))</f>
        <v/>
      </c>
      <c r="AQ8" s="60" t="str">
        <f>IF(ISERROR(MID($A3,11,1)),"",MID($A3,11,1))</f>
        <v/>
      </c>
      <c r="BB8" s="16">
        <f>COLUMN(BB8)</f>
        <v>54</v>
      </c>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row>
    <row r="9" spans="1:123" ht="12" customHeight="1">
      <c r="BA9" t="s">
        <v>187</v>
      </c>
      <c r="BB9">
        <v>1</v>
      </c>
      <c r="BC9">
        <v>2</v>
      </c>
      <c r="BD9">
        <v>3</v>
      </c>
      <c r="BE9">
        <v>4</v>
      </c>
      <c r="BF9">
        <v>5</v>
      </c>
      <c r="BG9">
        <v>6</v>
      </c>
      <c r="BH9">
        <v>7</v>
      </c>
      <c r="BI9">
        <v>8</v>
      </c>
      <c r="BJ9">
        <v>9</v>
      </c>
      <c r="BK9">
        <v>10</v>
      </c>
      <c r="BL9">
        <v>11</v>
      </c>
      <c r="BM9">
        <v>12</v>
      </c>
      <c r="BN9">
        <v>13</v>
      </c>
      <c r="BO9">
        <v>14</v>
      </c>
      <c r="BP9">
        <v>15</v>
      </c>
      <c r="BQ9">
        <v>16</v>
      </c>
      <c r="BR9">
        <v>17</v>
      </c>
      <c r="BS9">
        <v>18</v>
      </c>
      <c r="BT9">
        <v>19</v>
      </c>
      <c r="BU9">
        <v>20</v>
      </c>
      <c r="BV9">
        <v>21</v>
      </c>
      <c r="BW9">
        <v>22</v>
      </c>
      <c r="BX9">
        <v>23</v>
      </c>
      <c r="BY9">
        <v>24</v>
      </c>
      <c r="BZ9">
        <v>25</v>
      </c>
      <c r="CA9">
        <v>26</v>
      </c>
      <c r="CB9">
        <v>27</v>
      </c>
      <c r="CC9">
        <v>28</v>
      </c>
      <c r="CD9">
        <v>29</v>
      </c>
      <c r="CE9">
        <v>30</v>
      </c>
      <c r="CF9">
        <v>31</v>
      </c>
      <c r="CG9">
        <v>32</v>
      </c>
      <c r="CH9">
        <v>33</v>
      </c>
      <c r="CI9">
        <v>34</v>
      </c>
      <c r="CJ9">
        <v>35</v>
      </c>
      <c r="CK9">
        <v>36</v>
      </c>
      <c r="CL9">
        <v>37</v>
      </c>
      <c r="CM9">
        <v>38</v>
      </c>
      <c r="CN9">
        <v>39</v>
      </c>
      <c r="CO9">
        <v>40</v>
      </c>
      <c r="CP9"/>
      <c r="CQ9"/>
      <c r="CR9"/>
      <c r="CS9"/>
      <c r="CT9"/>
      <c r="CU9"/>
      <c r="CV9"/>
      <c r="CW9"/>
      <c r="CX9"/>
      <c r="CY9"/>
      <c r="CZ9"/>
      <c r="DA9"/>
      <c r="DB9"/>
      <c r="DC9"/>
      <c r="DD9"/>
      <c r="DE9"/>
      <c r="DF9"/>
      <c r="DG9"/>
      <c r="DH9"/>
      <c r="DI9"/>
      <c r="DJ9"/>
      <c r="DK9"/>
      <c r="DL9"/>
      <c r="DM9"/>
      <c r="DN9"/>
      <c r="DO9"/>
      <c r="DP9"/>
      <c r="DQ9"/>
      <c r="DR9"/>
      <c r="DS9"/>
    </row>
    <row r="10" spans="1:123" ht="12" customHeight="1">
      <c r="C10" s="19" t="s">
        <v>189</v>
      </c>
      <c r="D10" s="17" t="str">
        <f ca="1">$C11</f>
        <v>Tm01</v>
      </c>
      <c r="E10" s="17" t="str">
        <f ca="1">$C12</f>
        <v>Tm02</v>
      </c>
      <c r="F10" s="17" t="str">
        <f ca="1">$C13</f>
        <v>Tm03</v>
      </c>
      <c r="G10" s="17" t="str">
        <f ca="1">$C14</f>
        <v>Tm04</v>
      </c>
      <c r="H10" s="17" t="str">
        <f ca="1">$C15</f>
        <v>Tm05</v>
      </c>
      <c r="I10" s="17" t="str">
        <f ca="1">$C16</f>
        <v>Tm06</v>
      </c>
      <c r="J10" s="17" t="str">
        <f ca="1">$C17</f>
        <v>Tm07</v>
      </c>
      <c r="K10" s="17" t="str">
        <f ca="1">$C18</f>
        <v>Tm08</v>
      </c>
      <c r="L10" s="17" t="str">
        <f ca="1">$C19</f>
        <v>Tm09</v>
      </c>
      <c r="M10" s="17" t="str">
        <f ca="1">$C20</f>
        <v>Tm10</v>
      </c>
      <c r="N10" s="17" t="str">
        <f ca="1">$C21</f>
        <v>Tm11</v>
      </c>
      <c r="O10" s="17" t="str">
        <f ca="1">$C22</f>
        <v>Tm12</v>
      </c>
      <c r="P10" s="17" t="str">
        <f ca="1">$C23</f>
        <v>Tm13</v>
      </c>
      <c r="Q10" s="17" t="str">
        <f ca="1">$C24</f>
        <v>Tm14</v>
      </c>
      <c r="R10" s="17" t="str">
        <f ca="1">$C25</f>
        <v>Tm15</v>
      </c>
      <c r="S10" s="17" t="str">
        <f ca="1">$C26</f>
        <v>Tm16</v>
      </c>
      <c r="T10" s="17" t="str">
        <f ca="1">$C27</f>
        <v>Tm17</v>
      </c>
      <c r="U10" s="17" t="str">
        <f ca="1">$C28</f>
        <v>Tm18</v>
      </c>
      <c r="V10" s="17" t="str">
        <f ca="1">$C29</f>
        <v>Tm19</v>
      </c>
      <c r="W10" s="17" t="str">
        <f ca="1">$C30</f>
        <v>Tm20</v>
      </c>
      <c r="X10" s="17" t="str">
        <f ca="1">$C31</f>
        <v>Tm21</v>
      </c>
      <c r="Y10" s="17" t="str">
        <f ca="1">$C32</f>
        <v>Tm22</v>
      </c>
      <c r="Z10" s="17" t="str">
        <f ca="1">$C33</f>
        <v>Tm23</v>
      </c>
      <c r="AA10" s="17" t="str">
        <f ca="1">$C34</f>
        <v>Tm24</v>
      </c>
      <c r="AB10" s="17" t="str">
        <f ca="1">$C35</f>
        <v/>
      </c>
      <c r="AC10" s="17" t="str">
        <f ca="1">$C36</f>
        <v/>
      </c>
      <c r="AD10" s="17" t="str">
        <f ca="1">$C37</f>
        <v/>
      </c>
      <c r="AE10" s="17" t="str">
        <f ca="1">$C38</f>
        <v/>
      </c>
      <c r="AF10" s="17" t="str">
        <f ca="1">$C39</f>
        <v/>
      </c>
      <c r="AG10" s="17" t="str">
        <f ca="1">$C40</f>
        <v/>
      </c>
      <c r="AH10" s="17" t="str">
        <f ca="1">$C41</f>
        <v/>
      </c>
      <c r="AI10" s="17" t="str">
        <f ca="1">$C42</f>
        <v/>
      </c>
      <c r="AJ10" s="17" t="str">
        <f ca="1">$C43</f>
        <v/>
      </c>
      <c r="AK10" s="17" t="str">
        <f ca="1">$C44</f>
        <v/>
      </c>
      <c r="AL10" s="17" t="str">
        <f ca="1">$C45</f>
        <v/>
      </c>
      <c r="AM10" s="17" t="str">
        <f ca="1">$C46</f>
        <v/>
      </c>
      <c r="AN10" s="17" t="str">
        <f ca="1">$C47</f>
        <v/>
      </c>
      <c r="AO10" s="17" t="str">
        <f ca="1">$C48</f>
        <v/>
      </c>
      <c r="AP10" s="17" t="str">
        <f ca="1">$C49</f>
        <v/>
      </c>
      <c r="AQ10" s="17" t="str">
        <f ca="1">$C50</f>
        <v/>
      </c>
      <c r="AR10" s="17" t="str">
        <f ca="1">$C51</f>
        <v/>
      </c>
      <c r="AS10" s="17" t="str">
        <f ca="1">$C52</f>
        <v/>
      </c>
      <c r="AT10" s="17" t="str">
        <f ca="1">$C53</f>
        <v/>
      </c>
      <c r="AU10" s="28" t="str">
        <f ca="1">$C54</f>
        <v/>
      </c>
      <c r="AW10" s="20"/>
      <c r="AY10" s="17" t="str">
        <f ca="1">$C55</f>
        <v/>
      </c>
      <c r="BA10" s="23" t="s">
        <v>188</v>
      </c>
      <c r="BB10"/>
      <c r="BC10"/>
      <c r="BD10"/>
      <c r="CL10"/>
      <c r="CM10"/>
      <c r="CN10"/>
      <c r="CO10"/>
      <c r="CP10"/>
      <c r="CQ10"/>
      <c r="CR10"/>
      <c r="CS10"/>
      <c r="CT10"/>
      <c r="CU10"/>
      <c r="CV10"/>
      <c r="CW10"/>
      <c r="CX10"/>
      <c r="CY10"/>
      <c r="CZ10"/>
      <c r="DA10"/>
      <c r="DB10"/>
      <c r="DC10"/>
      <c r="DD10"/>
      <c r="DE10"/>
      <c r="DF10"/>
      <c r="DG10"/>
      <c r="DH10"/>
      <c r="DI10"/>
      <c r="DJ10"/>
      <c r="DK10"/>
      <c r="DL10"/>
      <c r="DM10"/>
      <c r="DN10"/>
      <c r="DO10"/>
      <c r="DP10"/>
      <c r="DQ10"/>
      <c r="DR10"/>
      <c r="DS10"/>
    </row>
    <row r="11" spans="1:123" ht="12" customHeight="1">
      <c r="A11" s="16">
        <v>1</v>
      </c>
      <c r="B11" s="16">
        <f>DrawFinder!Y11</f>
        <v>1</v>
      </c>
      <c r="C11" s="16" t="str">
        <f ca="1">CS!AR11</f>
        <v>Tm01</v>
      </c>
      <c r="D11" s="18" t="str">
        <f ca="1">IF($C11&lt;&gt;"","X","")</f>
        <v>X</v>
      </c>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1"/>
      <c r="AV11" s="30"/>
      <c r="AW11" s="32"/>
      <c r="BA11" s="21">
        <f ca="1">IF(COUNTIF(TvT!$F$11:$F$46,"vs"),-1,"")</f>
        <v>-1</v>
      </c>
      <c r="BB11">
        <f t="shared" ref="BB11:CO11" ca="1" si="0">IF(D61&lt;D62,D61,D62)</f>
        <v>19</v>
      </c>
      <c r="BC11">
        <f t="shared" ca="1" si="0"/>
        <v>20</v>
      </c>
      <c r="BD11">
        <f t="shared" ca="1" si="0"/>
        <v>11</v>
      </c>
      <c r="BE11">
        <f t="shared" ca="1" si="0"/>
        <v>3</v>
      </c>
      <c r="BF11">
        <f t="shared" ca="1" si="0"/>
        <v>2</v>
      </c>
      <c r="BG11">
        <f t="shared" ca="1" si="0"/>
        <v>10</v>
      </c>
      <c r="BH11">
        <f t="shared" ca="1" si="0"/>
        <v>20</v>
      </c>
      <c r="BI11">
        <f t="shared" ca="1" si="0"/>
        <v>19</v>
      </c>
      <c r="BJ11">
        <f t="shared" ca="1" si="0"/>
        <v>1</v>
      </c>
      <c r="BK11">
        <f t="shared" ca="1" si="0"/>
        <v>9</v>
      </c>
      <c r="BL11">
        <f t="shared" ca="1" si="0"/>
        <v>14</v>
      </c>
      <c r="BM11">
        <f t="shared" ca="1" si="0"/>
        <v>6</v>
      </c>
      <c r="BN11">
        <f t="shared" ca="1" si="0"/>
        <v>17</v>
      </c>
      <c r="BO11">
        <f t="shared" ca="1" si="0"/>
        <v>21</v>
      </c>
      <c r="BP11" t="str">
        <f t="shared" ca="1" si="0"/>
        <v/>
      </c>
      <c r="BQ11" t="str">
        <f t="shared" ca="1" si="0"/>
        <v/>
      </c>
      <c r="BR11" t="str">
        <f t="shared" ca="1" si="0"/>
        <v/>
      </c>
      <c r="BS11" t="str">
        <f t="shared" ca="1" si="0"/>
        <v/>
      </c>
      <c r="BT11" t="str">
        <f t="shared" ca="1" si="0"/>
        <v/>
      </c>
      <c r="BU11" t="str">
        <f t="shared" ca="1" si="0"/>
        <v/>
      </c>
      <c r="BV11" t="str">
        <f t="shared" ca="1" si="0"/>
        <v/>
      </c>
      <c r="BW11" t="str">
        <f t="shared" ca="1" si="0"/>
        <v/>
      </c>
      <c r="BX11" t="str">
        <f t="shared" ca="1" si="0"/>
        <v/>
      </c>
      <c r="BY11" t="str">
        <f t="shared" ca="1" si="0"/>
        <v/>
      </c>
      <c r="BZ11" t="str">
        <f t="shared" ca="1" si="0"/>
        <v/>
      </c>
      <c r="CA11" t="str">
        <f t="shared" ca="1" si="0"/>
        <v/>
      </c>
      <c r="CB11" t="str">
        <f t="shared" ca="1" si="0"/>
        <v/>
      </c>
      <c r="CC11" t="str">
        <f t="shared" ca="1" si="0"/>
        <v/>
      </c>
      <c r="CD11" t="str">
        <f t="shared" ca="1" si="0"/>
        <v/>
      </c>
      <c r="CE11" t="str">
        <f t="shared" ca="1" si="0"/>
        <v/>
      </c>
      <c r="CF11" t="str">
        <f t="shared" ca="1" si="0"/>
        <v/>
      </c>
      <c r="CG11" t="str">
        <f t="shared" ca="1" si="0"/>
        <v/>
      </c>
      <c r="CH11" t="str">
        <f t="shared" ca="1" si="0"/>
        <v/>
      </c>
      <c r="CI11" t="str">
        <f t="shared" ca="1" si="0"/>
        <v/>
      </c>
      <c r="CJ11" t="str">
        <f t="shared" ca="1" si="0"/>
        <v/>
      </c>
      <c r="CK11" t="str">
        <f t="shared" ca="1" si="0"/>
        <v/>
      </c>
      <c r="CL11" t="str">
        <f t="shared" ca="1" si="0"/>
        <v/>
      </c>
      <c r="CM11" t="str">
        <f t="shared" ca="1" si="0"/>
        <v/>
      </c>
      <c r="CN11" t="str">
        <f t="shared" ca="1" si="0"/>
        <v/>
      </c>
      <c r="CO11" t="str">
        <f t="shared" ca="1" si="0"/>
        <v/>
      </c>
      <c r="CP11"/>
      <c r="CQ11"/>
      <c r="CR11"/>
      <c r="CS11"/>
      <c r="CT11"/>
      <c r="CU11"/>
      <c r="CV11"/>
      <c r="CW11"/>
      <c r="CX11"/>
      <c r="CY11"/>
      <c r="CZ11"/>
      <c r="DA11"/>
      <c r="DB11"/>
      <c r="DC11"/>
      <c r="DD11"/>
      <c r="DE11"/>
      <c r="DF11"/>
      <c r="DG11"/>
      <c r="DH11"/>
      <c r="DI11"/>
      <c r="DJ11"/>
      <c r="DK11"/>
      <c r="DL11"/>
      <c r="DM11"/>
      <c r="DN11"/>
      <c r="DO11"/>
      <c r="DP11"/>
      <c r="DQ11"/>
      <c r="DR11"/>
      <c r="DS11"/>
    </row>
    <row r="12" spans="1:123" ht="12" customHeight="1">
      <c r="A12" s="16">
        <v>2</v>
      </c>
      <c r="B12" s="16">
        <f>DrawFinder!Y12</f>
        <v>1</v>
      </c>
      <c r="C12" s="16" t="str">
        <f ca="1">CS!AR12</f>
        <v>Tm02</v>
      </c>
      <c r="D12" s="18" t="str">
        <f ca="1">IF(ISNONTEXT(VLOOKUP(ADDRESS(12,4),$BB$30:$BC$430,1,FALSE)),"",VLOOKUP(ADDRESS(12,4),$BB$30:$BC$430,2,FALSE))</f>
        <v>13•3</v>
      </c>
      <c r="E12" s="18" t="str">
        <f ca="1">IF($C12&lt;&gt;"","X","")</f>
        <v>X</v>
      </c>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4"/>
      <c r="AV12" s="30"/>
      <c r="AW12" s="32"/>
      <c r="AY12"/>
      <c r="AZ12"/>
      <c r="BA12" s="23">
        <f ca="1">IF(COUNTIF(TvT!$F$11:$F$46,"vs"),1,"")</f>
        <v>1</v>
      </c>
      <c r="BB12">
        <f t="shared" ref="BB12:CO12" ca="1" si="1">IF(D61&lt;D62,D62,D61)</f>
        <v>22</v>
      </c>
      <c r="BC12">
        <f t="shared" ca="1" si="1"/>
        <v>21</v>
      </c>
      <c r="BD12">
        <f t="shared" ca="1" si="1"/>
        <v>13</v>
      </c>
      <c r="BE12">
        <f t="shared" ca="1" si="1"/>
        <v>7</v>
      </c>
      <c r="BF12">
        <f t="shared" ca="1" si="1"/>
        <v>5</v>
      </c>
      <c r="BG12">
        <f t="shared" ca="1" si="1"/>
        <v>15</v>
      </c>
      <c r="BH12">
        <f t="shared" ca="1" si="1"/>
        <v>23</v>
      </c>
      <c r="BI12">
        <f t="shared" ca="1" si="1"/>
        <v>24</v>
      </c>
      <c r="BJ12">
        <f t="shared" ca="1" si="1"/>
        <v>4</v>
      </c>
      <c r="BK12">
        <f t="shared" ca="1" si="1"/>
        <v>12</v>
      </c>
      <c r="BL12">
        <f t="shared" ca="1" si="1"/>
        <v>16</v>
      </c>
      <c r="BM12">
        <f t="shared" ca="1" si="1"/>
        <v>8</v>
      </c>
      <c r="BN12">
        <f t="shared" ca="1" si="1"/>
        <v>18</v>
      </c>
      <c r="BO12">
        <f t="shared" ca="1" si="1"/>
        <v>22</v>
      </c>
      <c r="BP12" t="str">
        <f t="shared" ca="1" si="1"/>
        <v/>
      </c>
      <c r="BQ12" t="str">
        <f t="shared" ca="1" si="1"/>
        <v/>
      </c>
      <c r="BR12" t="str">
        <f t="shared" ca="1" si="1"/>
        <v/>
      </c>
      <c r="BS12" t="str">
        <f t="shared" ca="1" si="1"/>
        <v/>
      </c>
      <c r="BT12" t="str">
        <f t="shared" ca="1" si="1"/>
        <v/>
      </c>
      <c r="BU12" t="str">
        <f t="shared" ca="1" si="1"/>
        <v/>
      </c>
      <c r="BV12" t="str">
        <f t="shared" ca="1" si="1"/>
        <v/>
      </c>
      <c r="BW12" t="str">
        <f t="shared" ca="1" si="1"/>
        <v/>
      </c>
      <c r="BX12" t="str">
        <f t="shared" ca="1" si="1"/>
        <v/>
      </c>
      <c r="BY12" t="str">
        <f t="shared" ca="1" si="1"/>
        <v/>
      </c>
      <c r="BZ12" t="str">
        <f t="shared" ca="1" si="1"/>
        <v/>
      </c>
      <c r="CA12" t="str">
        <f t="shared" ca="1" si="1"/>
        <v/>
      </c>
      <c r="CB12" t="str">
        <f t="shared" ca="1" si="1"/>
        <v/>
      </c>
      <c r="CC12" t="str">
        <f t="shared" ca="1" si="1"/>
        <v/>
      </c>
      <c r="CD12" t="str">
        <f t="shared" ca="1" si="1"/>
        <v/>
      </c>
      <c r="CE12" t="str">
        <f t="shared" ca="1" si="1"/>
        <v/>
      </c>
      <c r="CF12" t="str">
        <f t="shared" ca="1" si="1"/>
        <v/>
      </c>
      <c r="CG12" t="str">
        <f t="shared" ca="1" si="1"/>
        <v/>
      </c>
      <c r="CH12" t="str">
        <f t="shared" ca="1" si="1"/>
        <v/>
      </c>
      <c r="CI12" t="str">
        <f t="shared" ca="1" si="1"/>
        <v/>
      </c>
      <c r="CJ12" t="str">
        <f t="shared" ca="1" si="1"/>
        <v/>
      </c>
      <c r="CK12" t="str">
        <f t="shared" ca="1" si="1"/>
        <v/>
      </c>
      <c r="CL12" t="str">
        <f t="shared" ca="1" si="1"/>
        <v/>
      </c>
      <c r="CM12" t="str">
        <f t="shared" ca="1" si="1"/>
        <v/>
      </c>
      <c r="CN12" t="str">
        <f t="shared" ca="1" si="1"/>
        <v/>
      </c>
      <c r="CO12" t="str">
        <f t="shared" ca="1" si="1"/>
        <v/>
      </c>
      <c r="CP12"/>
      <c r="CQ12"/>
      <c r="CR12"/>
      <c r="CS12"/>
      <c r="CT12"/>
      <c r="CU12"/>
      <c r="CV12"/>
      <c r="CW12"/>
      <c r="CX12"/>
      <c r="CY12"/>
      <c r="CZ12"/>
      <c r="DA12"/>
      <c r="DB12"/>
      <c r="DC12"/>
      <c r="DD12"/>
      <c r="DE12"/>
      <c r="DF12"/>
      <c r="DG12"/>
      <c r="DH12"/>
      <c r="DI12"/>
      <c r="DJ12"/>
      <c r="DK12"/>
      <c r="DL12"/>
      <c r="DM12"/>
      <c r="DN12"/>
      <c r="DO12"/>
      <c r="DP12"/>
      <c r="DQ12"/>
      <c r="DR12"/>
      <c r="DS12"/>
    </row>
    <row r="13" spans="1:123" ht="12" customHeight="1">
      <c r="A13" s="16">
        <v>3</v>
      </c>
      <c r="B13" s="16">
        <f>DrawFinder!Y13</f>
        <v>1</v>
      </c>
      <c r="C13" s="16" t="str">
        <f ca="1">CS!AR13</f>
        <v>Tm03</v>
      </c>
      <c r="D13" s="18" t="str">
        <f ca="1">IF(ISNONTEXT(VLOOKUP(ADDRESS(13,4),$BB$30:$BC$430,1,FALSE)),"",VLOOKUP(ADDRESS(13,4),$BB$30:$BC$430,2,FALSE))</f>
        <v>12•5</v>
      </c>
      <c r="E13" s="18" t="str">
        <f ca="1">IF(ISNONTEXT(VLOOKUP(ADDRESS(13,5),$BB$30:$BC$430,1,FALSE)),"",VLOOKUP(ADDRESS(13,5),$BB$30:$BC$430,2,FALSE))</f>
        <v>9•6</v>
      </c>
      <c r="F13" s="18" t="str">
        <f ca="1">IF($C13&lt;&gt;"","X","")</f>
        <v>X</v>
      </c>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4"/>
      <c r="AV13" s="30"/>
      <c r="AW13" s="32"/>
      <c r="AY13"/>
      <c r="AZ13"/>
      <c r="BA13" s="21">
        <f ca="1">IF(COUNTIF(TvT!$J$11:$J$46,"vs"),-2,"")</f>
        <v>-2</v>
      </c>
      <c r="BB13">
        <f t="shared" ref="BB13:CO13" ca="1" si="2">IF(D63&lt;D64,D63,D64)</f>
        <v>4</v>
      </c>
      <c r="BC13">
        <f t="shared" ca="1" si="2"/>
        <v>12</v>
      </c>
      <c r="BD13">
        <f t="shared" ca="1" si="2"/>
        <v>9</v>
      </c>
      <c r="BE13">
        <f t="shared" ca="1" si="2"/>
        <v>18</v>
      </c>
      <c r="BF13">
        <f t="shared" ca="1" si="2"/>
        <v>3</v>
      </c>
      <c r="BG13">
        <f t="shared" ca="1" si="2"/>
        <v>19</v>
      </c>
      <c r="BH13">
        <f t="shared" ca="1" si="2"/>
        <v>11</v>
      </c>
      <c r="BI13">
        <f t="shared" ca="1" si="2"/>
        <v>1</v>
      </c>
      <c r="BJ13">
        <f t="shared" ca="1" si="2"/>
        <v>17</v>
      </c>
      <c r="BK13">
        <f t="shared" ca="1" si="2"/>
        <v>21</v>
      </c>
      <c r="BL13">
        <f t="shared" ca="1" si="2"/>
        <v>10</v>
      </c>
      <c r="BM13">
        <f t="shared" ca="1" si="2"/>
        <v>2</v>
      </c>
      <c r="BN13">
        <f t="shared" ca="1" si="2"/>
        <v>5</v>
      </c>
      <c r="BO13">
        <f t="shared" ca="1" si="2"/>
        <v>13</v>
      </c>
      <c r="BP13" t="str">
        <f t="shared" ca="1" si="2"/>
        <v/>
      </c>
      <c r="BQ13" t="str">
        <f t="shared" ca="1" si="2"/>
        <v/>
      </c>
      <c r="BR13" t="str">
        <f t="shared" ca="1" si="2"/>
        <v/>
      </c>
      <c r="BS13" t="str">
        <f t="shared" ca="1" si="2"/>
        <v/>
      </c>
      <c r="BT13" t="str">
        <f t="shared" ca="1" si="2"/>
        <v/>
      </c>
      <c r="BU13" t="str">
        <f t="shared" ca="1" si="2"/>
        <v/>
      </c>
      <c r="BV13" t="str">
        <f t="shared" ca="1" si="2"/>
        <v/>
      </c>
      <c r="BW13" t="str">
        <f t="shared" ca="1" si="2"/>
        <v/>
      </c>
      <c r="BX13" t="str">
        <f t="shared" ca="1" si="2"/>
        <v/>
      </c>
      <c r="BY13" t="str">
        <f t="shared" ca="1" si="2"/>
        <v/>
      </c>
      <c r="BZ13" t="str">
        <f t="shared" ca="1" si="2"/>
        <v/>
      </c>
      <c r="CA13" t="str">
        <f t="shared" ca="1" si="2"/>
        <v/>
      </c>
      <c r="CB13" t="str">
        <f t="shared" ca="1" si="2"/>
        <v/>
      </c>
      <c r="CC13" t="str">
        <f t="shared" ca="1" si="2"/>
        <v/>
      </c>
      <c r="CD13" t="str">
        <f t="shared" ca="1" si="2"/>
        <v/>
      </c>
      <c r="CE13" t="str">
        <f t="shared" ca="1" si="2"/>
        <v/>
      </c>
      <c r="CF13" t="str">
        <f t="shared" ca="1" si="2"/>
        <v/>
      </c>
      <c r="CG13" t="str">
        <f t="shared" ca="1" si="2"/>
        <v/>
      </c>
      <c r="CH13" t="str">
        <f t="shared" ca="1" si="2"/>
        <v/>
      </c>
      <c r="CI13" t="str">
        <f t="shared" ca="1" si="2"/>
        <v/>
      </c>
      <c r="CJ13" t="str">
        <f t="shared" ca="1" si="2"/>
        <v/>
      </c>
      <c r="CK13" t="str">
        <f t="shared" ca="1" si="2"/>
        <v/>
      </c>
      <c r="CL13" t="str">
        <f t="shared" ca="1" si="2"/>
        <v/>
      </c>
      <c r="CM13" t="str">
        <f t="shared" ca="1" si="2"/>
        <v/>
      </c>
      <c r="CN13" t="str">
        <f t="shared" ca="1" si="2"/>
        <v/>
      </c>
      <c r="CO13" t="str">
        <f t="shared" ca="1" si="2"/>
        <v/>
      </c>
      <c r="CP13"/>
      <c r="CQ13"/>
      <c r="CR13"/>
      <c r="CS13"/>
      <c r="CT13"/>
      <c r="CU13"/>
      <c r="CV13"/>
      <c r="CW13"/>
      <c r="CX13"/>
      <c r="CY13"/>
      <c r="CZ13"/>
      <c r="DA13"/>
      <c r="DB13"/>
      <c r="DC13"/>
      <c r="DD13"/>
      <c r="DE13"/>
      <c r="DF13"/>
      <c r="DG13"/>
      <c r="DH13"/>
      <c r="DI13"/>
      <c r="DJ13"/>
      <c r="DK13"/>
      <c r="DL13"/>
      <c r="DM13"/>
      <c r="DN13"/>
      <c r="DO13"/>
      <c r="DP13"/>
      <c r="DQ13"/>
      <c r="DR13"/>
      <c r="DS13"/>
    </row>
    <row r="14" spans="1:123" ht="12" customHeight="1">
      <c r="A14" s="16">
        <v>4</v>
      </c>
      <c r="B14" s="16">
        <f>DrawFinder!Y14</f>
        <v>1</v>
      </c>
      <c r="C14" s="16" t="str">
        <f ca="1">CS!AR14</f>
        <v>Tm04</v>
      </c>
      <c r="D14" s="18" t="str">
        <f ca="1">IF(ISNONTEXT(VLOOKUP(ADDRESS(14,4),$BB$30:$BC$430,1,FALSE)),"",VLOOKUP(ADDRESS(14,4),$BB$30:$BC$430,2,FALSE))</f>
        <v>9•1</v>
      </c>
      <c r="E14" s="18" t="str">
        <f ca="1">IF(ISNONTEXT(VLOOKUP(ADDRESS(14,5),$BB$30:$BC$430,1,FALSE)),"",VLOOKUP(ADDRESS(14,5),$BB$30:$BC$430,2,FALSE))</f>
        <v>12•2</v>
      </c>
      <c r="F14" s="18" t="str">
        <f ca="1">IF(ISNONTEXT(VLOOKUP(ADDRESS(14,6),$BB$30:$BC$430,1,FALSE)),"",VLOOKUP(ADDRESS(14,6),$BB$30:$BC$430,2,FALSE))</f>
        <v>13•4</v>
      </c>
      <c r="G14" s="18" t="str">
        <f ca="1">IF($C14&lt;&gt;"","X","")</f>
        <v>X</v>
      </c>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4"/>
      <c r="AV14" s="30"/>
      <c r="AW14" s="32"/>
      <c r="AY14"/>
      <c r="AZ14"/>
      <c r="BA14" s="23">
        <f ca="1">IF(COUNTIF(TvT!$J$11:$J$46,"vs"),2,"")</f>
        <v>2</v>
      </c>
      <c r="BB14">
        <f t="shared" ref="BB14:CO14" ca="1" si="3">IF(D63&lt;D64,D64,D63)</f>
        <v>6</v>
      </c>
      <c r="BC14">
        <f t="shared" ca="1" si="3"/>
        <v>16</v>
      </c>
      <c r="BD14">
        <f t="shared" ca="1" si="3"/>
        <v>15</v>
      </c>
      <c r="BE14">
        <f t="shared" ca="1" si="3"/>
        <v>22</v>
      </c>
      <c r="BF14">
        <f t="shared" ca="1" si="3"/>
        <v>8</v>
      </c>
      <c r="BG14">
        <f t="shared" ca="1" si="3"/>
        <v>23</v>
      </c>
      <c r="BH14">
        <f t="shared" ca="1" si="3"/>
        <v>16</v>
      </c>
      <c r="BI14">
        <f t="shared" ca="1" si="3"/>
        <v>7</v>
      </c>
      <c r="BJ14">
        <f t="shared" ca="1" si="3"/>
        <v>20</v>
      </c>
      <c r="BK14">
        <f t="shared" ca="1" si="3"/>
        <v>24</v>
      </c>
      <c r="BL14">
        <f t="shared" ca="1" si="3"/>
        <v>12</v>
      </c>
      <c r="BM14">
        <f t="shared" ca="1" si="3"/>
        <v>4</v>
      </c>
      <c r="BN14">
        <f t="shared" ca="1" si="3"/>
        <v>6</v>
      </c>
      <c r="BO14">
        <f t="shared" ca="1" si="3"/>
        <v>14</v>
      </c>
      <c r="BP14" t="str">
        <f t="shared" ca="1" si="3"/>
        <v/>
      </c>
      <c r="BQ14" t="str">
        <f t="shared" ca="1" si="3"/>
        <v/>
      </c>
      <c r="BR14" t="str">
        <f t="shared" ca="1" si="3"/>
        <v/>
      </c>
      <c r="BS14" t="str">
        <f t="shared" ca="1" si="3"/>
        <v/>
      </c>
      <c r="BT14" t="str">
        <f t="shared" ca="1" si="3"/>
        <v/>
      </c>
      <c r="BU14" t="str">
        <f t="shared" ca="1" si="3"/>
        <v/>
      </c>
      <c r="BV14" t="str">
        <f t="shared" ca="1" si="3"/>
        <v/>
      </c>
      <c r="BW14" t="str">
        <f t="shared" ca="1" si="3"/>
        <v/>
      </c>
      <c r="BX14" t="str">
        <f t="shared" ca="1" si="3"/>
        <v/>
      </c>
      <c r="BY14" t="str">
        <f t="shared" ca="1" si="3"/>
        <v/>
      </c>
      <c r="BZ14" t="str">
        <f t="shared" ca="1" si="3"/>
        <v/>
      </c>
      <c r="CA14" t="str">
        <f t="shared" ca="1" si="3"/>
        <v/>
      </c>
      <c r="CB14" t="str">
        <f t="shared" ca="1" si="3"/>
        <v/>
      </c>
      <c r="CC14" t="str">
        <f t="shared" ca="1" si="3"/>
        <v/>
      </c>
      <c r="CD14" t="str">
        <f t="shared" ca="1" si="3"/>
        <v/>
      </c>
      <c r="CE14" t="str">
        <f t="shared" ca="1" si="3"/>
        <v/>
      </c>
      <c r="CF14" t="str">
        <f t="shared" ca="1" si="3"/>
        <v/>
      </c>
      <c r="CG14" t="str">
        <f t="shared" ca="1" si="3"/>
        <v/>
      </c>
      <c r="CH14" t="str">
        <f t="shared" ca="1" si="3"/>
        <v/>
      </c>
      <c r="CI14" t="str">
        <f t="shared" ca="1" si="3"/>
        <v/>
      </c>
      <c r="CJ14" t="str">
        <f t="shared" ca="1" si="3"/>
        <v/>
      </c>
      <c r="CK14" t="str">
        <f t="shared" ca="1" si="3"/>
        <v/>
      </c>
      <c r="CL14" t="str">
        <f t="shared" ca="1" si="3"/>
        <v/>
      </c>
      <c r="CM14" t="str">
        <f t="shared" ca="1" si="3"/>
        <v/>
      </c>
      <c r="CN14" t="str">
        <f t="shared" ca="1" si="3"/>
        <v/>
      </c>
      <c r="CO14" t="str">
        <f t="shared" ca="1" si="3"/>
        <v/>
      </c>
      <c r="CP14"/>
      <c r="CQ14"/>
      <c r="CR14"/>
      <c r="CS14"/>
      <c r="CT14"/>
      <c r="CU14"/>
      <c r="CV14"/>
      <c r="CW14"/>
      <c r="CX14"/>
      <c r="CY14"/>
      <c r="CZ14"/>
      <c r="DA14"/>
      <c r="DB14"/>
      <c r="DC14"/>
      <c r="DD14"/>
      <c r="DE14"/>
      <c r="DF14"/>
      <c r="DG14"/>
      <c r="DH14"/>
      <c r="DI14"/>
      <c r="DJ14"/>
      <c r="DK14"/>
      <c r="DL14"/>
      <c r="DM14"/>
      <c r="DN14"/>
      <c r="DO14"/>
      <c r="DP14"/>
      <c r="DQ14"/>
      <c r="DR14"/>
      <c r="DS14"/>
    </row>
    <row r="15" spans="1:123" ht="12" customHeight="1">
      <c r="A15" s="16">
        <v>5</v>
      </c>
      <c r="B15" s="16">
        <f>DrawFinder!Y15</f>
        <v>1</v>
      </c>
      <c r="C15" s="16" t="str">
        <f ca="1">CS!AR15</f>
        <v>Tm05</v>
      </c>
      <c r="D15" s="18" t="str">
        <f ca="1">IF(ISNONTEXT(VLOOKUP(ADDRESS(15,4),$BB$30:$BC$430,1,FALSE)),"",VLOOKUP(ADDRESS(15,4),$BB$30:$BC$430,2,FALSE))</f>
        <v>4•4</v>
      </c>
      <c r="E15" s="18" t="str">
        <f ca="1">IF(ISNONTEXT(VLOOKUP(ADDRESS(15,5),$BB$30:$BC$430,1,FALSE)),"",VLOOKUP(ADDRESS(15,5),$BB$30:$BC$430,2,FALSE))</f>
        <v>5•1</v>
      </c>
      <c r="F15" s="18" t="str">
        <f ca="1">IF(ISNONTEXT(VLOOKUP(ADDRESS(15,6),$BB$30:$BC$430,1,FALSE)),"",VLOOKUP(ADDRESS(15,6),$BB$30:$BC$430,2,FALSE))</f>
        <v>1•5</v>
      </c>
      <c r="G15" s="18" t="str">
        <f ca="1">IF(ISNONTEXT(VLOOKUP(ADDRESS(15,7),$BB$30:$BC$430,1,FALSE)),"",VLOOKUP(ADDRESS(15,7),$BB$30:$BC$430,2,FALSE))</f>
        <v>8•5</v>
      </c>
      <c r="H15" s="18" t="str">
        <f ca="1">IF($C15&lt;&gt;"","X","")</f>
        <v>X</v>
      </c>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4"/>
      <c r="AV15" s="30"/>
      <c r="AW15" s="32"/>
      <c r="AY15"/>
      <c r="AZ15"/>
      <c r="BA15" s="21">
        <f ca="1">IF(COUNTIF(TvT!$N$11:$N$46,"vs"),-3,"")</f>
        <v>-3</v>
      </c>
      <c r="BB15">
        <f t="shared" ref="BB15:CO15" ca="1" si="4">IF(D65&lt;D66,D65,D66)</f>
        <v>1</v>
      </c>
      <c r="BC15">
        <f t="shared" ca="1" si="4"/>
        <v>10</v>
      </c>
      <c r="BD15">
        <f t="shared" ca="1" si="4"/>
        <v>19</v>
      </c>
      <c r="BE15">
        <f t="shared" ca="1" si="4"/>
        <v>17</v>
      </c>
      <c r="BF15">
        <f t="shared" ca="1" si="4"/>
        <v>4</v>
      </c>
      <c r="BG15">
        <f t="shared" ca="1" si="4"/>
        <v>11</v>
      </c>
      <c r="BH15">
        <f t="shared" ca="1" si="4"/>
        <v>12</v>
      </c>
      <c r="BI15">
        <f t="shared" ca="1" si="4"/>
        <v>3</v>
      </c>
      <c r="BJ15">
        <f t="shared" ca="1" si="4"/>
        <v>5</v>
      </c>
      <c r="BK15">
        <f t="shared" ca="1" si="4"/>
        <v>13</v>
      </c>
      <c r="BL15">
        <f t="shared" ca="1" si="4"/>
        <v>22</v>
      </c>
      <c r="BM15">
        <f t="shared" ca="1" si="4"/>
        <v>18</v>
      </c>
      <c r="BN15">
        <f t="shared" ca="1" si="4"/>
        <v>1</v>
      </c>
      <c r="BO15">
        <f t="shared" ca="1" si="4"/>
        <v>9</v>
      </c>
      <c r="BP15" t="str">
        <f t="shared" ca="1" si="4"/>
        <v/>
      </c>
      <c r="BQ15" t="str">
        <f t="shared" ca="1" si="4"/>
        <v/>
      </c>
      <c r="BR15" t="str">
        <f t="shared" ca="1" si="4"/>
        <v/>
      </c>
      <c r="BS15" t="str">
        <f t="shared" ca="1" si="4"/>
        <v/>
      </c>
      <c r="BT15" t="str">
        <f t="shared" ca="1" si="4"/>
        <v/>
      </c>
      <c r="BU15" t="str">
        <f t="shared" ca="1" si="4"/>
        <v/>
      </c>
      <c r="BV15" t="str">
        <f t="shared" ca="1" si="4"/>
        <v/>
      </c>
      <c r="BW15" t="str">
        <f t="shared" ca="1" si="4"/>
        <v/>
      </c>
      <c r="BX15" t="str">
        <f t="shared" ca="1" si="4"/>
        <v/>
      </c>
      <c r="BY15" t="str">
        <f t="shared" ca="1" si="4"/>
        <v/>
      </c>
      <c r="BZ15" t="str">
        <f t="shared" ca="1" si="4"/>
        <v/>
      </c>
      <c r="CA15" t="str">
        <f t="shared" ca="1" si="4"/>
        <v/>
      </c>
      <c r="CB15" t="str">
        <f t="shared" ca="1" si="4"/>
        <v/>
      </c>
      <c r="CC15" t="str">
        <f t="shared" ca="1" si="4"/>
        <v/>
      </c>
      <c r="CD15" t="str">
        <f t="shared" ca="1" si="4"/>
        <v/>
      </c>
      <c r="CE15" t="str">
        <f t="shared" ca="1" si="4"/>
        <v/>
      </c>
      <c r="CF15" t="str">
        <f t="shared" ca="1" si="4"/>
        <v/>
      </c>
      <c r="CG15" t="str">
        <f t="shared" ca="1" si="4"/>
        <v/>
      </c>
      <c r="CH15" t="str">
        <f t="shared" ca="1" si="4"/>
        <v/>
      </c>
      <c r="CI15" t="str">
        <f t="shared" ca="1" si="4"/>
        <v/>
      </c>
      <c r="CJ15" t="str">
        <f t="shared" ca="1" si="4"/>
        <v/>
      </c>
      <c r="CK15" t="str">
        <f t="shared" ca="1" si="4"/>
        <v/>
      </c>
      <c r="CL15" t="str">
        <f t="shared" ca="1" si="4"/>
        <v/>
      </c>
      <c r="CM15" t="str">
        <f t="shared" ca="1" si="4"/>
        <v/>
      </c>
      <c r="CN15" t="str">
        <f t="shared" ca="1" si="4"/>
        <v/>
      </c>
      <c r="CO15" t="str">
        <f t="shared" ca="1" si="4"/>
        <v/>
      </c>
      <c r="CP15"/>
      <c r="CQ15"/>
      <c r="CR15"/>
      <c r="CS15"/>
      <c r="CT15"/>
      <c r="CU15"/>
      <c r="CV15"/>
      <c r="CW15"/>
      <c r="CX15"/>
      <c r="CY15"/>
      <c r="CZ15"/>
      <c r="DA15"/>
      <c r="DB15"/>
      <c r="DC15"/>
      <c r="DD15"/>
      <c r="DE15"/>
      <c r="DF15"/>
      <c r="DG15"/>
      <c r="DH15"/>
      <c r="DI15"/>
      <c r="DJ15"/>
      <c r="DK15"/>
      <c r="DL15"/>
      <c r="DM15"/>
      <c r="DN15"/>
      <c r="DO15"/>
      <c r="DP15"/>
      <c r="DQ15"/>
      <c r="DR15"/>
      <c r="DS15"/>
    </row>
    <row r="16" spans="1:123" ht="12" customHeight="1">
      <c r="A16" s="16">
        <v>6</v>
      </c>
      <c r="B16" s="16">
        <f>DrawFinder!Y16</f>
        <v>1</v>
      </c>
      <c r="C16" s="16" t="str">
        <f ca="1">CS!AR16</f>
        <v>Tm06</v>
      </c>
      <c r="D16" s="18" t="str">
        <f ca="1">IF(ISNONTEXT(VLOOKUP(ADDRESS(16,4),$BB$30:$BC$430,1,FALSE)),"",VLOOKUP(ADDRESS(16,4),$BB$30:$BC$430,2,FALSE))</f>
        <v>5•6</v>
      </c>
      <c r="E16" s="18" t="str">
        <f ca="1">IF(ISNONTEXT(VLOOKUP(ADDRESS(16,5),$BB$30:$BC$430,1,FALSE)),"",VLOOKUP(ADDRESS(16,5),$BB$30:$BC$430,2,FALSE))</f>
        <v>4•5</v>
      </c>
      <c r="F16" s="18" t="str">
        <f ca="1">IF(ISNONTEXT(VLOOKUP(ADDRESS(16,6),$BB$30:$BC$430,1,FALSE)),"",VLOOKUP(ADDRESS(16,6),$BB$30:$BC$430,2,FALSE))</f>
        <v>8•3</v>
      </c>
      <c r="G16" s="18" t="str">
        <f ca="1">IF(ISNONTEXT(VLOOKUP(ADDRESS(16,7),$BB$30:$BC$430,1,FALSE)),"",VLOOKUP(ADDRESS(16,7),$BB$30:$BC$430,2,FALSE))</f>
        <v>1•2</v>
      </c>
      <c r="H16" s="18" t="str">
        <f ca="1">IF(ISNONTEXT(VLOOKUP(ADDRESS(16,8),$BB$30:$BC$430,1,FALSE)),"",VLOOKUP(ADDRESS(16,8),$BB$30:$BC$430,2,FALSE))</f>
        <v>13•2</v>
      </c>
      <c r="I16" s="18" t="str">
        <f ca="1">IF($C16&lt;&gt;"","X","")</f>
        <v>X</v>
      </c>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4"/>
      <c r="AV16" s="30"/>
      <c r="AW16" s="32"/>
      <c r="AY16"/>
      <c r="AZ16"/>
      <c r="BA16" s="23">
        <f ca="1">IF(COUNTIF(TvT!$N$11:$N$46,"vs"),3,"")</f>
        <v>3</v>
      </c>
      <c r="BB16">
        <f t="shared" ref="BB16:CO16" ca="1" si="5">IF(D65&lt;D66,D66,D65)</f>
        <v>8</v>
      </c>
      <c r="BC16">
        <f t="shared" ca="1" si="5"/>
        <v>13</v>
      </c>
      <c r="BD16">
        <f t="shared" ca="1" si="5"/>
        <v>21</v>
      </c>
      <c r="BE16">
        <f t="shared" ca="1" si="5"/>
        <v>23</v>
      </c>
      <c r="BF16">
        <f t="shared" ca="1" si="5"/>
        <v>7</v>
      </c>
      <c r="BG16">
        <f t="shared" ca="1" si="5"/>
        <v>14</v>
      </c>
      <c r="BH16">
        <f t="shared" ca="1" si="5"/>
        <v>15</v>
      </c>
      <c r="BI16">
        <f t="shared" ca="1" si="5"/>
        <v>6</v>
      </c>
      <c r="BJ16">
        <f t="shared" ca="1" si="5"/>
        <v>8</v>
      </c>
      <c r="BK16">
        <f t="shared" ca="1" si="5"/>
        <v>16</v>
      </c>
      <c r="BL16">
        <f t="shared" ca="1" si="5"/>
        <v>24</v>
      </c>
      <c r="BM16">
        <f t="shared" ca="1" si="5"/>
        <v>20</v>
      </c>
      <c r="BN16">
        <f t="shared" ca="1" si="5"/>
        <v>2</v>
      </c>
      <c r="BO16">
        <f t="shared" ca="1" si="5"/>
        <v>10</v>
      </c>
      <c r="BP16" t="str">
        <f t="shared" ca="1" si="5"/>
        <v/>
      </c>
      <c r="BQ16" t="str">
        <f t="shared" ca="1" si="5"/>
        <v/>
      </c>
      <c r="BR16" t="str">
        <f t="shared" ca="1" si="5"/>
        <v/>
      </c>
      <c r="BS16" t="str">
        <f t="shared" ca="1" si="5"/>
        <v/>
      </c>
      <c r="BT16" t="str">
        <f t="shared" ca="1" si="5"/>
        <v/>
      </c>
      <c r="BU16" t="str">
        <f t="shared" ca="1" si="5"/>
        <v/>
      </c>
      <c r="BV16" t="str">
        <f t="shared" ca="1" si="5"/>
        <v/>
      </c>
      <c r="BW16" t="str">
        <f t="shared" ca="1" si="5"/>
        <v/>
      </c>
      <c r="BX16" t="str">
        <f t="shared" ca="1" si="5"/>
        <v/>
      </c>
      <c r="BY16" t="str">
        <f t="shared" ca="1" si="5"/>
        <v/>
      </c>
      <c r="BZ16" t="str">
        <f t="shared" ca="1" si="5"/>
        <v/>
      </c>
      <c r="CA16" t="str">
        <f t="shared" ca="1" si="5"/>
        <v/>
      </c>
      <c r="CB16" t="str">
        <f t="shared" ca="1" si="5"/>
        <v/>
      </c>
      <c r="CC16" t="str">
        <f t="shared" ca="1" si="5"/>
        <v/>
      </c>
      <c r="CD16" t="str">
        <f t="shared" ca="1" si="5"/>
        <v/>
      </c>
      <c r="CE16" t="str">
        <f t="shared" ca="1" si="5"/>
        <v/>
      </c>
      <c r="CF16" t="str">
        <f t="shared" ca="1" si="5"/>
        <v/>
      </c>
      <c r="CG16" t="str">
        <f t="shared" ca="1" si="5"/>
        <v/>
      </c>
      <c r="CH16" t="str">
        <f t="shared" ca="1" si="5"/>
        <v/>
      </c>
      <c r="CI16" t="str">
        <f t="shared" ca="1" si="5"/>
        <v/>
      </c>
      <c r="CJ16" t="str">
        <f t="shared" ca="1" si="5"/>
        <v/>
      </c>
      <c r="CK16" t="str">
        <f t="shared" ca="1" si="5"/>
        <v/>
      </c>
      <c r="CL16" t="str">
        <f t="shared" ca="1" si="5"/>
        <v/>
      </c>
      <c r="CM16" t="str">
        <f t="shared" ca="1" si="5"/>
        <v/>
      </c>
      <c r="CN16" t="str">
        <f t="shared" ca="1" si="5"/>
        <v/>
      </c>
      <c r="CO16" t="str">
        <f t="shared" ca="1" si="5"/>
        <v/>
      </c>
      <c r="CP16"/>
      <c r="CQ16"/>
      <c r="CR16"/>
      <c r="CS16"/>
      <c r="CT16"/>
      <c r="CU16"/>
      <c r="CV16"/>
      <c r="CW16"/>
      <c r="CX16"/>
      <c r="CY16"/>
      <c r="CZ16"/>
      <c r="DA16"/>
      <c r="DB16"/>
      <c r="DC16"/>
      <c r="DD16"/>
      <c r="DE16"/>
      <c r="DF16"/>
      <c r="DG16"/>
      <c r="DH16"/>
      <c r="DI16"/>
      <c r="DJ16"/>
      <c r="DK16"/>
      <c r="DL16"/>
      <c r="DM16"/>
      <c r="DN16"/>
      <c r="DO16"/>
      <c r="DP16"/>
      <c r="DQ16"/>
      <c r="DR16"/>
      <c r="DS16"/>
    </row>
    <row r="17" spans="1:123" ht="12" customHeight="1">
      <c r="A17" s="16">
        <v>7</v>
      </c>
      <c r="B17" s="16">
        <f>DrawFinder!Y17</f>
        <v>1</v>
      </c>
      <c r="C17" s="16" t="str">
        <f ca="1">CS!AR17</f>
        <v>Tm07</v>
      </c>
      <c r="D17" s="18" t="str">
        <f ca="1">IF(ISNONTEXT(VLOOKUP(ADDRESS(17,4),$BB$30:$BC$430,1,FALSE)),"",VLOOKUP(ADDRESS(17,4),$BB$30:$BC$430,2,FALSE))</f>
        <v>8•2</v>
      </c>
      <c r="E17" s="18" t="str">
        <f ca="1">IF(ISNONTEXT(VLOOKUP(ADDRESS(17,5),$BB$30:$BC$430,1,FALSE)),"",VLOOKUP(ADDRESS(17,5),$BB$30:$BC$430,2,FALSE))</f>
        <v>1•4</v>
      </c>
      <c r="F17" s="18" t="str">
        <f ca="1">IF(ISNONTEXT(VLOOKUP(ADDRESS(17,6),$BB$30:$BC$430,1,FALSE)),"",VLOOKUP(ADDRESS(17,6),$BB$30:$BC$430,2,FALSE))</f>
        <v>4•1</v>
      </c>
      <c r="G17" s="18" t="str">
        <f ca="1">IF(ISNONTEXT(VLOOKUP(ADDRESS(17,7),$BB$30:$BC$430,1,FALSE)),"",VLOOKUP(ADDRESS(17,7),$BB$30:$BC$430,2,FALSE))</f>
        <v>5•3</v>
      </c>
      <c r="H17" s="18" t="str">
        <f ca="1">IF(ISNONTEXT(VLOOKUP(ADDRESS(17,8),$BB$30:$BC$430,1,FALSE)),"",VLOOKUP(ADDRESS(17,8),$BB$30:$BC$430,2,FALSE))</f>
        <v>12•6</v>
      </c>
      <c r="I17" s="18" t="str">
        <f ca="1">IF(ISNONTEXT(VLOOKUP(ADDRESS(17,9),$BB$30:$BC$430,1,FALSE)),"",VLOOKUP(ADDRESS(17,9),$BB$30:$BC$430,2,FALSE))</f>
        <v>9•4</v>
      </c>
      <c r="J17" s="18" t="str">
        <f ca="1">IF($C17&lt;&gt;"","X","")</f>
        <v>X</v>
      </c>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4"/>
      <c r="AV17" s="30"/>
      <c r="AW17" s="32"/>
      <c r="AY17"/>
      <c r="AZ17"/>
      <c r="BA17" s="21">
        <f ca="1">IF(COUNTIF(TvT!$R$11:$R$46,"vs"),-4,"")</f>
        <v>-4</v>
      </c>
      <c r="BB17">
        <f t="shared" ref="BB17:CO17" ca="1" si="6">IF(D67&lt;D68,D67,D68)</f>
        <v>2</v>
      </c>
      <c r="BC17">
        <f t="shared" ca="1" si="6"/>
        <v>9</v>
      </c>
      <c r="BD17">
        <f t="shared" ca="1" si="6"/>
        <v>10</v>
      </c>
      <c r="BE17">
        <f t="shared" ca="1" si="6"/>
        <v>1</v>
      </c>
      <c r="BF17">
        <f t="shared" ca="1" si="6"/>
        <v>18</v>
      </c>
      <c r="BG17">
        <f t="shared" ca="1" si="6"/>
        <v>20</v>
      </c>
      <c r="BH17">
        <f t="shared" ca="1" si="6"/>
        <v>9</v>
      </c>
      <c r="BI17">
        <f t="shared" ca="1" si="6"/>
        <v>2</v>
      </c>
      <c r="BJ17">
        <f t="shared" ca="1" si="6"/>
        <v>6</v>
      </c>
      <c r="BK17">
        <f t="shared" ca="1" si="6"/>
        <v>14</v>
      </c>
      <c r="BL17">
        <f t="shared" ca="1" si="6"/>
        <v>21</v>
      </c>
      <c r="BM17">
        <f t="shared" ca="1" si="6"/>
        <v>17</v>
      </c>
      <c r="BN17">
        <f t="shared" ca="1" si="6"/>
        <v>3</v>
      </c>
      <c r="BO17">
        <f t="shared" ca="1" si="6"/>
        <v>11</v>
      </c>
      <c r="BP17" t="str">
        <f t="shared" ca="1" si="6"/>
        <v/>
      </c>
      <c r="BQ17" t="str">
        <f t="shared" ca="1" si="6"/>
        <v/>
      </c>
      <c r="BR17" t="str">
        <f t="shared" ca="1" si="6"/>
        <v/>
      </c>
      <c r="BS17" t="str">
        <f t="shared" ca="1" si="6"/>
        <v/>
      </c>
      <c r="BT17" t="str">
        <f t="shared" ca="1" si="6"/>
        <v/>
      </c>
      <c r="BU17" t="str">
        <f t="shared" ca="1" si="6"/>
        <v/>
      </c>
      <c r="BV17" t="str">
        <f t="shared" ca="1" si="6"/>
        <v/>
      </c>
      <c r="BW17" t="str">
        <f t="shared" ca="1" si="6"/>
        <v/>
      </c>
      <c r="BX17" t="str">
        <f t="shared" ca="1" si="6"/>
        <v/>
      </c>
      <c r="BY17" t="str">
        <f t="shared" ca="1" si="6"/>
        <v/>
      </c>
      <c r="BZ17" t="str">
        <f t="shared" ca="1" si="6"/>
        <v/>
      </c>
      <c r="CA17" t="str">
        <f t="shared" ca="1" si="6"/>
        <v/>
      </c>
      <c r="CB17" t="str">
        <f t="shared" ca="1" si="6"/>
        <v/>
      </c>
      <c r="CC17" t="str">
        <f t="shared" ca="1" si="6"/>
        <v/>
      </c>
      <c r="CD17" t="str">
        <f t="shared" ca="1" si="6"/>
        <v/>
      </c>
      <c r="CE17" t="str">
        <f t="shared" ca="1" si="6"/>
        <v/>
      </c>
      <c r="CF17" t="str">
        <f t="shared" ca="1" si="6"/>
        <v/>
      </c>
      <c r="CG17" t="str">
        <f t="shared" ca="1" si="6"/>
        <v/>
      </c>
      <c r="CH17" t="str">
        <f t="shared" ca="1" si="6"/>
        <v/>
      </c>
      <c r="CI17" t="str">
        <f t="shared" ca="1" si="6"/>
        <v/>
      </c>
      <c r="CJ17" t="str">
        <f t="shared" ca="1" si="6"/>
        <v/>
      </c>
      <c r="CK17" t="str">
        <f t="shared" ca="1" si="6"/>
        <v/>
      </c>
      <c r="CL17" t="str">
        <f t="shared" ca="1" si="6"/>
        <v/>
      </c>
      <c r="CM17" t="str">
        <f t="shared" ca="1" si="6"/>
        <v/>
      </c>
      <c r="CN17" t="str">
        <f t="shared" ca="1" si="6"/>
        <v/>
      </c>
      <c r="CO17" t="str">
        <f t="shared" ca="1" si="6"/>
        <v/>
      </c>
      <c r="CP17"/>
      <c r="CQ17"/>
      <c r="CR17"/>
      <c r="CS17"/>
      <c r="CT17"/>
      <c r="CU17"/>
      <c r="CV17"/>
      <c r="CW17"/>
      <c r="CX17"/>
      <c r="CY17"/>
      <c r="CZ17"/>
      <c r="DA17"/>
      <c r="DB17"/>
      <c r="DC17"/>
      <c r="DD17"/>
      <c r="DE17"/>
      <c r="DF17"/>
      <c r="DG17"/>
      <c r="DH17"/>
      <c r="DI17"/>
      <c r="DJ17"/>
      <c r="DK17"/>
      <c r="DL17"/>
      <c r="DM17"/>
      <c r="DN17"/>
      <c r="DO17"/>
      <c r="DP17"/>
      <c r="DQ17"/>
      <c r="DR17"/>
      <c r="DS17"/>
    </row>
    <row r="18" spans="1:123" ht="12" customHeight="1">
      <c r="A18" s="16">
        <v>8</v>
      </c>
      <c r="B18" s="16">
        <f>DrawFinder!Y18</f>
        <v>1</v>
      </c>
      <c r="C18" s="16" t="str">
        <f ca="1">CS!AR18</f>
        <v>Tm08</v>
      </c>
      <c r="D18" s="18" t="str">
        <f ca="1">IF(ISNONTEXT(VLOOKUP(ADDRESS(18,4),$BB$30:$BC$430,1,FALSE)),"",VLOOKUP(ADDRESS(18,4),$BB$30:$BC$430,2,FALSE))</f>
        <v>1•3</v>
      </c>
      <c r="E18" s="18" t="str">
        <f ca="1">IF(ISNONTEXT(VLOOKUP(ADDRESS(18,5),$BB$30:$BC$430,1,FALSE)),"",VLOOKUP(ADDRESS(18,5),$BB$30:$BC$430,2,FALSE))</f>
        <v>8•4</v>
      </c>
      <c r="F18" s="18" t="str">
        <f ca="1">IF(ISNONTEXT(VLOOKUP(ADDRESS(18,6),$BB$30:$BC$430,1,FALSE)),"",VLOOKUP(ADDRESS(18,6),$BB$30:$BC$430,2,FALSE))</f>
        <v>5•2</v>
      </c>
      <c r="G18" s="18" t="str">
        <f ca="1">IF(ISNONTEXT(VLOOKUP(ADDRESS(18,7),$BB$30:$BC$430,1,FALSE)),"",VLOOKUP(ADDRESS(18,7),$BB$30:$BC$430,2,FALSE))</f>
        <v>4•6</v>
      </c>
      <c r="H18" s="18" t="str">
        <f ca="1">IF(ISNONTEXT(VLOOKUP(ADDRESS(18,8),$BB$30:$BC$430,1,FALSE)),"",VLOOKUP(ADDRESS(18,8),$BB$30:$BC$430,2,FALSE))</f>
        <v>9•3</v>
      </c>
      <c r="I18" s="18" t="str">
        <f ca="1">IF(ISNONTEXT(VLOOKUP(ADDRESS(18,9),$BB$30:$BC$430,1,FALSE)),"",VLOOKUP(ADDRESS(18,9),$BB$30:$BC$430,2,FALSE))</f>
        <v>12•1</v>
      </c>
      <c r="J18" s="18" t="str">
        <f ca="1">IF(ISNONTEXT(VLOOKUP(ADDRESS(18,10),$BB$30:$BC$430,1,FALSE)),"",VLOOKUP(ADDRESS(18,10),$BB$30:$BC$430,2,FALSE))</f>
        <v>13•5</v>
      </c>
      <c r="K18" s="18" t="str">
        <f ca="1">IF($C18&lt;&gt;"","X","")</f>
        <v>X</v>
      </c>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4"/>
      <c r="AV18" s="30"/>
      <c r="AW18" s="32"/>
      <c r="AY18"/>
      <c r="AZ18"/>
      <c r="BA18" s="23">
        <f ca="1">IF(COUNTIF(TvT!$R$11:$R$46,"vs"),4,"")</f>
        <v>4</v>
      </c>
      <c r="BB18">
        <f t="shared" ref="BB18:CO18" ca="1" si="7">IF(D67&lt;D68,D68,D67)</f>
        <v>7</v>
      </c>
      <c r="BC18">
        <f t="shared" ca="1" si="7"/>
        <v>14</v>
      </c>
      <c r="BD18">
        <f t="shared" ca="1" si="7"/>
        <v>16</v>
      </c>
      <c r="BE18">
        <f t="shared" ca="1" si="7"/>
        <v>5</v>
      </c>
      <c r="BF18">
        <f t="shared" ca="1" si="7"/>
        <v>24</v>
      </c>
      <c r="BG18">
        <f t="shared" ca="1" si="7"/>
        <v>22</v>
      </c>
      <c r="BH18">
        <f t="shared" ca="1" si="7"/>
        <v>13</v>
      </c>
      <c r="BI18">
        <f t="shared" ca="1" si="7"/>
        <v>8</v>
      </c>
      <c r="BJ18">
        <f t="shared" ca="1" si="7"/>
        <v>7</v>
      </c>
      <c r="BK18">
        <f t="shared" ca="1" si="7"/>
        <v>15</v>
      </c>
      <c r="BL18">
        <f t="shared" ca="1" si="7"/>
        <v>23</v>
      </c>
      <c r="BM18">
        <f t="shared" ca="1" si="7"/>
        <v>19</v>
      </c>
      <c r="BN18">
        <f t="shared" ca="1" si="7"/>
        <v>4</v>
      </c>
      <c r="BO18">
        <f t="shared" ca="1" si="7"/>
        <v>12</v>
      </c>
      <c r="BP18" t="str">
        <f t="shared" ca="1" si="7"/>
        <v/>
      </c>
      <c r="BQ18" t="str">
        <f t="shared" ca="1" si="7"/>
        <v/>
      </c>
      <c r="BR18" t="str">
        <f t="shared" ca="1" si="7"/>
        <v/>
      </c>
      <c r="BS18" t="str">
        <f t="shared" ca="1" si="7"/>
        <v/>
      </c>
      <c r="BT18" t="str">
        <f t="shared" ca="1" si="7"/>
        <v/>
      </c>
      <c r="BU18" t="str">
        <f t="shared" ca="1" si="7"/>
        <v/>
      </c>
      <c r="BV18" t="str">
        <f t="shared" ca="1" si="7"/>
        <v/>
      </c>
      <c r="BW18" t="str">
        <f t="shared" ca="1" si="7"/>
        <v/>
      </c>
      <c r="BX18" t="str">
        <f t="shared" ca="1" si="7"/>
        <v/>
      </c>
      <c r="BY18" t="str">
        <f t="shared" ca="1" si="7"/>
        <v/>
      </c>
      <c r="BZ18" t="str">
        <f t="shared" ca="1" si="7"/>
        <v/>
      </c>
      <c r="CA18" t="str">
        <f t="shared" ca="1" si="7"/>
        <v/>
      </c>
      <c r="CB18" t="str">
        <f t="shared" ca="1" si="7"/>
        <v/>
      </c>
      <c r="CC18" t="str">
        <f t="shared" ca="1" si="7"/>
        <v/>
      </c>
      <c r="CD18" t="str">
        <f t="shared" ca="1" si="7"/>
        <v/>
      </c>
      <c r="CE18" t="str">
        <f t="shared" ca="1" si="7"/>
        <v/>
      </c>
      <c r="CF18" t="str">
        <f t="shared" ca="1" si="7"/>
        <v/>
      </c>
      <c r="CG18" t="str">
        <f t="shared" ca="1" si="7"/>
        <v/>
      </c>
      <c r="CH18" t="str">
        <f t="shared" ca="1" si="7"/>
        <v/>
      </c>
      <c r="CI18" t="str">
        <f t="shared" ca="1" si="7"/>
        <v/>
      </c>
      <c r="CJ18" t="str">
        <f t="shared" ca="1" si="7"/>
        <v/>
      </c>
      <c r="CK18" t="str">
        <f t="shared" ca="1" si="7"/>
        <v/>
      </c>
      <c r="CL18" t="str">
        <f t="shared" ca="1" si="7"/>
        <v/>
      </c>
      <c r="CM18" t="str">
        <f t="shared" ca="1" si="7"/>
        <v/>
      </c>
      <c r="CN18" t="str">
        <f t="shared" ca="1" si="7"/>
        <v/>
      </c>
      <c r="CO18" t="str">
        <f t="shared" ca="1" si="7"/>
        <v/>
      </c>
      <c r="CP18"/>
      <c r="CQ18"/>
      <c r="CR18"/>
      <c r="CS18"/>
      <c r="CT18"/>
      <c r="CU18"/>
      <c r="CV18"/>
      <c r="CW18"/>
      <c r="CX18"/>
      <c r="CY18"/>
      <c r="CZ18"/>
      <c r="DA18"/>
      <c r="DB18"/>
      <c r="DC18"/>
      <c r="DD18"/>
      <c r="DE18"/>
      <c r="DF18"/>
      <c r="DG18"/>
      <c r="DH18"/>
      <c r="DI18"/>
      <c r="DJ18"/>
      <c r="DK18"/>
      <c r="DL18"/>
      <c r="DM18"/>
      <c r="DN18"/>
      <c r="DO18"/>
      <c r="DP18"/>
      <c r="DQ18"/>
      <c r="DR18"/>
      <c r="DS18"/>
    </row>
    <row r="19" spans="1:123" ht="12" customHeight="1">
      <c r="A19" s="16">
        <v>9</v>
      </c>
      <c r="B19" s="16">
        <f>DrawFinder!Y19</f>
        <v>2</v>
      </c>
      <c r="C19" s="16" t="str">
        <f ca="1">CS!AR19</f>
        <v>Tm09</v>
      </c>
      <c r="D19" s="18" t="str">
        <f ca="1">IF(ISNONTEXT(VLOOKUP(ADDRESS(19,4),$BB$30:$BC$430,1,FALSE)),"",VLOOKUP(ADDRESS(19,4),$BB$30:$BC$430,2,FALSE))</f>
        <v/>
      </c>
      <c r="E19" s="18" t="str">
        <f ca="1">IF(ISNONTEXT(VLOOKUP(ADDRESS(19,5),$BB$30:$BC$430,1,FALSE)),"",VLOOKUP(ADDRESS(19,5),$BB$30:$BC$430,2,FALSE))</f>
        <v/>
      </c>
      <c r="F19" s="18" t="str">
        <f ca="1">IF(ISNONTEXT(VLOOKUP(ADDRESS(19,6),$BB$30:$BC$430,1,FALSE)),"",VLOOKUP(ADDRESS(19,6),$BB$30:$BC$430,2,FALSE))</f>
        <v/>
      </c>
      <c r="G19" s="18" t="str">
        <f ca="1">IF(ISNONTEXT(VLOOKUP(ADDRESS(19,7),$BB$30:$BC$430,1,FALSE)),"",VLOOKUP(ADDRESS(19,7),$BB$30:$BC$430,2,FALSE))</f>
        <v/>
      </c>
      <c r="H19" s="18" t="str">
        <f ca="1">IF(ISNONTEXT(VLOOKUP(ADDRESS(19,8),$BB$30:$BC$430,1,FALSE)),"",VLOOKUP(ADDRESS(19,8),$BB$30:$BC$430,2,FALSE))</f>
        <v/>
      </c>
      <c r="I19" s="18" t="str">
        <f ca="1">IF(ISNONTEXT(VLOOKUP(ADDRESS(19,9),$BB$30:$BC$430,1,FALSE)),"",VLOOKUP(ADDRESS(19,9),$BB$30:$BC$430,2,FALSE))</f>
        <v/>
      </c>
      <c r="J19" s="18" t="str">
        <f ca="1">IF(ISNONTEXT(VLOOKUP(ADDRESS(19,10),$BB$30:$BC$430,1,FALSE)),"",VLOOKUP(ADDRESS(19,10),$BB$30:$BC$430,2,FALSE))</f>
        <v/>
      </c>
      <c r="K19" s="18" t="str">
        <f ca="1">IF(ISNONTEXT(VLOOKUP(ADDRESS(19,11),$BB$30:$BC$430,1,FALSE)),"",VLOOKUP(ADDRESS(19,11),$BB$30:$BC$430,2,FALSE))</f>
        <v/>
      </c>
      <c r="L19" s="18" t="str">
        <f ca="1">IF($C19&lt;&gt;"","X","")</f>
        <v>X</v>
      </c>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4"/>
      <c r="AV19" s="30"/>
      <c r="AW19" s="32"/>
      <c r="AY19"/>
      <c r="AZ19"/>
      <c r="BA19" s="21">
        <f ca="1">IF(COUNTIF(TvT!$V$11:$V$46,"vs"),-5,"")</f>
        <v>-5</v>
      </c>
      <c r="BB19">
        <f t="shared" ref="BB19:CO19" ca="1" si="8">IF(D69&lt;D70,D69,D70)</f>
        <v>3</v>
      </c>
      <c r="BC19">
        <f t="shared" ca="1" si="8"/>
        <v>11</v>
      </c>
      <c r="BD19">
        <f t="shared" ca="1" si="8"/>
        <v>20</v>
      </c>
      <c r="BE19">
        <f t="shared" ca="1" si="8"/>
        <v>2</v>
      </c>
      <c r="BF19">
        <f t="shared" ca="1" si="8"/>
        <v>17</v>
      </c>
      <c r="BG19">
        <f t="shared" ca="1" si="8"/>
        <v>12</v>
      </c>
      <c r="BH19">
        <f t="shared" ca="1" si="8"/>
        <v>10</v>
      </c>
      <c r="BI19">
        <f t="shared" ca="1" si="8"/>
        <v>4</v>
      </c>
      <c r="BJ19">
        <f t="shared" ca="1" si="8"/>
        <v>18</v>
      </c>
      <c r="BK19">
        <f t="shared" ca="1" si="8"/>
        <v>22</v>
      </c>
      <c r="BL19">
        <f t="shared" ca="1" si="8"/>
        <v>9</v>
      </c>
      <c r="BM19">
        <f t="shared" ca="1" si="8"/>
        <v>1</v>
      </c>
      <c r="BN19">
        <f t="shared" ca="1" si="8"/>
        <v>7</v>
      </c>
      <c r="BO19">
        <f t="shared" ca="1" si="8"/>
        <v>15</v>
      </c>
      <c r="BP19" t="str">
        <f t="shared" ca="1" si="8"/>
        <v/>
      </c>
      <c r="BQ19" t="str">
        <f t="shared" ca="1" si="8"/>
        <v/>
      </c>
      <c r="BR19" t="str">
        <f t="shared" ca="1" si="8"/>
        <v/>
      </c>
      <c r="BS19" t="str">
        <f t="shared" ca="1" si="8"/>
        <v/>
      </c>
      <c r="BT19" t="str">
        <f t="shared" ca="1" si="8"/>
        <v/>
      </c>
      <c r="BU19" t="str">
        <f t="shared" ca="1" si="8"/>
        <v/>
      </c>
      <c r="BV19" t="str">
        <f t="shared" ca="1" si="8"/>
        <v/>
      </c>
      <c r="BW19" t="str">
        <f t="shared" ca="1" si="8"/>
        <v/>
      </c>
      <c r="BX19" t="str">
        <f t="shared" ca="1" si="8"/>
        <v/>
      </c>
      <c r="BY19" t="str">
        <f t="shared" ca="1" si="8"/>
        <v/>
      </c>
      <c r="BZ19" t="str">
        <f t="shared" ca="1" si="8"/>
        <v/>
      </c>
      <c r="CA19" t="str">
        <f t="shared" ca="1" si="8"/>
        <v/>
      </c>
      <c r="CB19" t="str">
        <f t="shared" ca="1" si="8"/>
        <v/>
      </c>
      <c r="CC19" t="str">
        <f t="shared" ca="1" si="8"/>
        <v/>
      </c>
      <c r="CD19" t="str">
        <f t="shared" ca="1" si="8"/>
        <v/>
      </c>
      <c r="CE19" t="str">
        <f t="shared" ca="1" si="8"/>
        <v/>
      </c>
      <c r="CF19" t="str">
        <f t="shared" ca="1" si="8"/>
        <v/>
      </c>
      <c r="CG19" t="str">
        <f t="shared" ca="1" si="8"/>
        <v/>
      </c>
      <c r="CH19" t="str">
        <f t="shared" ca="1" si="8"/>
        <v/>
      </c>
      <c r="CI19" t="str">
        <f t="shared" ca="1" si="8"/>
        <v/>
      </c>
      <c r="CJ19" t="str">
        <f t="shared" ca="1" si="8"/>
        <v/>
      </c>
      <c r="CK19" t="str">
        <f t="shared" ca="1" si="8"/>
        <v/>
      </c>
      <c r="CL19" t="str">
        <f t="shared" ca="1" si="8"/>
        <v/>
      </c>
      <c r="CM19" t="str">
        <f t="shared" ca="1" si="8"/>
        <v/>
      </c>
      <c r="CN19" t="str">
        <f t="shared" ca="1" si="8"/>
        <v/>
      </c>
      <c r="CO19" t="str">
        <f t="shared" ca="1" si="8"/>
        <v/>
      </c>
      <c r="CP19"/>
      <c r="CQ19"/>
      <c r="CR19"/>
      <c r="CS19"/>
      <c r="CT19"/>
      <c r="CU19"/>
      <c r="CV19"/>
      <c r="CW19"/>
      <c r="CX19"/>
      <c r="CY19"/>
      <c r="CZ19"/>
      <c r="DA19"/>
      <c r="DB19"/>
      <c r="DC19"/>
      <c r="DD19"/>
      <c r="DE19"/>
      <c r="DF19"/>
      <c r="DG19"/>
      <c r="DH19"/>
      <c r="DI19"/>
      <c r="DJ19"/>
      <c r="DK19"/>
      <c r="DL19"/>
      <c r="DM19"/>
      <c r="DN19"/>
      <c r="DO19"/>
      <c r="DP19"/>
      <c r="DQ19"/>
      <c r="DR19"/>
      <c r="DS19"/>
    </row>
    <row r="20" spans="1:123" ht="12" customHeight="1">
      <c r="A20" s="16">
        <v>10</v>
      </c>
      <c r="B20" s="16">
        <f>DrawFinder!Y20</f>
        <v>2</v>
      </c>
      <c r="C20" s="16" t="str">
        <f ca="1">CS!AR20</f>
        <v>Tm10</v>
      </c>
      <c r="D20" s="18" t="str">
        <f ca="1">IF(ISNONTEXT(VLOOKUP(ADDRESS(20,4),$BB$30:$BC$430,1,FALSE)),"",VLOOKUP(ADDRESS(20,4),$BB$30:$BC$430,2,FALSE))</f>
        <v/>
      </c>
      <c r="E20" s="18" t="str">
        <f ca="1">IF(ISNONTEXT(VLOOKUP(ADDRESS(20,5),$BB$30:$BC$430,1,FALSE)),"",VLOOKUP(ADDRESS(20,5),$BB$30:$BC$430,2,FALSE))</f>
        <v/>
      </c>
      <c r="F20" s="18" t="str">
        <f ca="1">IF(ISNONTEXT(VLOOKUP(ADDRESS(20,6),$BB$30:$BC$430,1,FALSE)),"",VLOOKUP(ADDRESS(20,6),$BB$30:$BC$430,2,FALSE))</f>
        <v/>
      </c>
      <c r="G20" s="18" t="str">
        <f ca="1">IF(ISNONTEXT(VLOOKUP(ADDRESS(20,7),$BB$30:$BC$430,1,FALSE)),"",VLOOKUP(ADDRESS(20,7),$BB$30:$BC$430,2,FALSE))</f>
        <v/>
      </c>
      <c r="H20" s="18" t="str">
        <f ca="1">IF(ISNONTEXT(VLOOKUP(ADDRESS(20,8),$BB$30:$BC$430,1,FALSE)),"",VLOOKUP(ADDRESS(20,8),$BB$30:$BC$430,2,FALSE))</f>
        <v/>
      </c>
      <c r="I20" s="18" t="str">
        <f ca="1">IF(ISNONTEXT(VLOOKUP(ADDRESS(20,9),$BB$30:$BC$430,1,FALSE)),"",VLOOKUP(ADDRESS(20,9),$BB$30:$BC$430,2,FALSE))</f>
        <v/>
      </c>
      <c r="J20" s="18" t="str">
        <f ca="1">IF(ISNONTEXT(VLOOKUP(ADDRESS(20,10),$BB$30:$BC$430,1,FALSE)),"",VLOOKUP(ADDRESS(20,10),$BB$30:$BC$430,2,FALSE))</f>
        <v/>
      </c>
      <c r="K20" s="18" t="str">
        <f ca="1">IF(ISNONTEXT(VLOOKUP(ADDRESS(20,11),$BB$30:$BC$430,1,FALSE)),"",VLOOKUP(ADDRESS(20,11),$BB$30:$BC$430,2,FALSE))</f>
        <v/>
      </c>
      <c r="L20" s="18" t="str">
        <f ca="1">IF(ISNONTEXT(VLOOKUP(ADDRESS(20,12),$BB$30:$BC$430,1,FALSE)),"",VLOOKUP(ADDRESS(20,12),$BB$30:$BC$430,2,FALSE))</f>
        <v>14•3</v>
      </c>
      <c r="M20" s="18" t="str">
        <f ca="1">IF($C20&lt;&gt;"","X","")</f>
        <v>X</v>
      </c>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4"/>
      <c r="AV20" s="30"/>
      <c r="AW20" s="32"/>
      <c r="AY20"/>
      <c r="AZ20"/>
      <c r="BA20" s="23">
        <f ca="1">IF(COUNTIF(TvT!$V$11:$V$46,"vs"),5,"")</f>
        <v>5</v>
      </c>
      <c r="BB20">
        <f t="shared" ref="BB20:CO20" ca="1" si="9">IF(D69&lt;D70,D70,D69)</f>
        <v>5</v>
      </c>
      <c r="BC20">
        <f t="shared" ca="1" si="9"/>
        <v>15</v>
      </c>
      <c r="BD20">
        <f t="shared" ca="1" si="9"/>
        <v>24</v>
      </c>
      <c r="BE20">
        <f t="shared" ca="1" si="9"/>
        <v>6</v>
      </c>
      <c r="BF20">
        <f t="shared" ca="1" si="9"/>
        <v>21</v>
      </c>
      <c r="BG20">
        <f t="shared" ca="1" si="9"/>
        <v>13</v>
      </c>
      <c r="BH20">
        <f t="shared" ca="1" si="9"/>
        <v>14</v>
      </c>
      <c r="BI20">
        <f t="shared" ca="1" si="9"/>
        <v>5</v>
      </c>
      <c r="BJ20">
        <f t="shared" ca="1" si="9"/>
        <v>19</v>
      </c>
      <c r="BK20">
        <f t="shared" ca="1" si="9"/>
        <v>23</v>
      </c>
      <c r="BL20">
        <f t="shared" ca="1" si="9"/>
        <v>11</v>
      </c>
      <c r="BM20">
        <f t="shared" ca="1" si="9"/>
        <v>3</v>
      </c>
      <c r="BN20">
        <f t="shared" ca="1" si="9"/>
        <v>8</v>
      </c>
      <c r="BO20">
        <f t="shared" ca="1" si="9"/>
        <v>16</v>
      </c>
      <c r="BP20" t="str">
        <f t="shared" ca="1" si="9"/>
        <v/>
      </c>
      <c r="BQ20" t="str">
        <f t="shared" ca="1" si="9"/>
        <v/>
      </c>
      <c r="BR20" t="str">
        <f t="shared" ca="1" si="9"/>
        <v/>
      </c>
      <c r="BS20" t="str">
        <f t="shared" ca="1" si="9"/>
        <v/>
      </c>
      <c r="BT20" t="str">
        <f t="shared" ca="1" si="9"/>
        <v/>
      </c>
      <c r="BU20" t="str">
        <f t="shared" ca="1" si="9"/>
        <v/>
      </c>
      <c r="BV20" t="str">
        <f t="shared" ca="1" si="9"/>
        <v/>
      </c>
      <c r="BW20" t="str">
        <f t="shared" ca="1" si="9"/>
        <v/>
      </c>
      <c r="BX20" t="str">
        <f t="shared" ca="1" si="9"/>
        <v/>
      </c>
      <c r="BY20" t="str">
        <f t="shared" ca="1" si="9"/>
        <v/>
      </c>
      <c r="BZ20" t="str">
        <f t="shared" ca="1" si="9"/>
        <v/>
      </c>
      <c r="CA20" t="str">
        <f t="shared" ca="1" si="9"/>
        <v/>
      </c>
      <c r="CB20" t="str">
        <f t="shared" ca="1" si="9"/>
        <v/>
      </c>
      <c r="CC20" t="str">
        <f t="shared" ca="1" si="9"/>
        <v/>
      </c>
      <c r="CD20" t="str">
        <f t="shared" ca="1" si="9"/>
        <v/>
      </c>
      <c r="CE20" t="str">
        <f t="shared" ca="1" si="9"/>
        <v/>
      </c>
      <c r="CF20" t="str">
        <f t="shared" ca="1" si="9"/>
        <v/>
      </c>
      <c r="CG20" t="str">
        <f t="shared" ca="1" si="9"/>
        <v/>
      </c>
      <c r="CH20" t="str">
        <f t="shared" ca="1" si="9"/>
        <v/>
      </c>
      <c r="CI20" t="str">
        <f t="shared" ca="1" si="9"/>
        <v/>
      </c>
      <c r="CJ20" t="str">
        <f t="shared" ca="1" si="9"/>
        <v/>
      </c>
      <c r="CK20" t="str">
        <f t="shared" ca="1" si="9"/>
        <v/>
      </c>
      <c r="CL20" t="str">
        <f t="shared" ca="1" si="9"/>
        <v/>
      </c>
      <c r="CM20" t="str">
        <f t="shared" ca="1" si="9"/>
        <v/>
      </c>
      <c r="CN20" t="str">
        <f t="shared" ca="1" si="9"/>
        <v/>
      </c>
      <c r="CO20" t="str">
        <f t="shared" ca="1" si="9"/>
        <v/>
      </c>
      <c r="CP20"/>
      <c r="CQ20"/>
      <c r="CR20"/>
      <c r="CS20"/>
      <c r="CT20"/>
      <c r="CU20"/>
      <c r="CV20"/>
      <c r="CW20"/>
      <c r="CX20"/>
      <c r="CY20"/>
      <c r="CZ20"/>
      <c r="DA20"/>
      <c r="DB20"/>
      <c r="DC20"/>
      <c r="DD20"/>
      <c r="DE20"/>
      <c r="DF20"/>
      <c r="DG20"/>
      <c r="DH20"/>
      <c r="DI20"/>
      <c r="DJ20"/>
      <c r="DK20"/>
      <c r="DL20"/>
      <c r="DM20"/>
      <c r="DN20"/>
      <c r="DO20"/>
      <c r="DP20"/>
      <c r="DQ20"/>
      <c r="DR20"/>
      <c r="DS20"/>
    </row>
    <row r="21" spans="1:123" ht="12" customHeight="1">
      <c r="A21" s="16">
        <v>11</v>
      </c>
      <c r="B21" s="16">
        <f>DrawFinder!Y21</f>
        <v>2</v>
      </c>
      <c r="C21" s="16" t="str">
        <f ca="1">CS!AR21</f>
        <v>Tm11</v>
      </c>
      <c r="D21" s="18" t="str">
        <f ca="1">IF(ISNONTEXT(VLOOKUP(ADDRESS(21,4),$BB$30:$BC$430,1,FALSE)),"",VLOOKUP(ADDRESS(21,4),$BB$30:$BC$430,2,FALSE))</f>
        <v/>
      </c>
      <c r="E21" s="18" t="str">
        <f ca="1">IF(ISNONTEXT(VLOOKUP(ADDRESS(21,5),$BB$30:$BC$430,1,FALSE)),"",VLOOKUP(ADDRESS(21,5),$BB$30:$BC$430,2,FALSE))</f>
        <v/>
      </c>
      <c r="F21" s="18" t="str">
        <f ca="1">IF(ISNONTEXT(VLOOKUP(ADDRESS(21,6),$BB$30:$BC$430,1,FALSE)),"",VLOOKUP(ADDRESS(21,6),$BB$30:$BC$430,2,FALSE))</f>
        <v/>
      </c>
      <c r="G21" s="18" t="str">
        <f ca="1">IF(ISNONTEXT(VLOOKUP(ADDRESS(21,7),$BB$30:$BC$430,1,FALSE)),"",VLOOKUP(ADDRESS(21,7),$BB$30:$BC$430,2,FALSE))</f>
        <v/>
      </c>
      <c r="H21" s="18" t="str">
        <f ca="1">IF(ISNONTEXT(VLOOKUP(ADDRESS(21,8),$BB$30:$BC$430,1,FALSE)),"",VLOOKUP(ADDRESS(21,8),$BB$30:$BC$430,2,FALSE))</f>
        <v/>
      </c>
      <c r="I21" s="18" t="str">
        <f ca="1">IF(ISNONTEXT(VLOOKUP(ADDRESS(21,9),$BB$30:$BC$430,1,FALSE)),"",VLOOKUP(ADDRESS(21,9),$BB$30:$BC$430,2,FALSE))</f>
        <v/>
      </c>
      <c r="J21" s="18" t="str">
        <f ca="1">IF(ISNONTEXT(VLOOKUP(ADDRESS(21,10),$BB$30:$BC$430,1,FALSE)),"",VLOOKUP(ADDRESS(21,10),$BB$30:$BC$430,2,FALSE))</f>
        <v/>
      </c>
      <c r="K21" s="18" t="str">
        <f ca="1">IF(ISNONTEXT(VLOOKUP(ADDRESS(21,11),$BB$30:$BC$430,1,FALSE)),"",VLOOKUP(ADDRESS(21,11),$BB$30:$BC$430,2,FALSE))</f>
        <v/>
      </c>
      <c r="L21" s="18" t="str">
        <f ca="1">IF(ISNONTEXT(VLOOKUP(ADDRESS(21,12),$BB$30:$BC$430,1,FALSE)),"",VLOOKUP(ADDRESS(21,12),$BB$30:$BC$430,2,FALSE))</f>
        <v>11•5</v>
      </c>
      <c r="M21" s="18" t="str">
        <f ca="1">IF(ISNONTEXT(VLOOKUP(ADDRESS(21,13),$BB$30:$BC$430,1,FALSE)),"",VLOOKUP(ADDRESS(21,13),$BB$30:$BC$430,2,FALSE))</f>
        <v>10•6</v>
      </c>
      <c r="N21" s="18" t="str">
        <f ca="1">IF($C21&lt;&gt;"","X","")</f>
        <v>X</v>
      </c>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4"/>
      <c r="AV21" s="30"/>
      <c r="AW21" s="32"/>
      <c r="AY21"/>
      <c r="AZ21"/>
      <c r="BA21" s="21">
        <f ca="1">IF(COUNTIF(TvT!$Z$11:$Z$46,"vs"),-6,"")</f>
        <v>-6</v>
      </c>
      <c r="BB21">
        <f t="shared" ref="BB21:CO21" ca="1" si="10">IF(D71&lt;D72,D71,D72)</f>
        <v>18</v>
      </c>
      <c r="BC21">
        <f t="shared" ca="1" si="10"/>
        <v>17</v>
      </c>
      <c r="BD21">
        <f t="shared" ca="1" si="10"/>
        <v>12</v>
      </c>
      <c r="BE21">
        <f t="shared" ca="1" si="10"/>
        <v>4</v>
      </c>
      <c r="BF21">
        <f t="shared" ca="1" si="10"/>
        <v>1</v>
      </c>
      <c r="BG21">
        <f t="shared" ca="1" si="10"/>
        <v>9</v>
      </c>
      <c r="BH21">
        <f t="shared" ca="1" si="10"/>
        <v>17</v>
      </c>
      <c r="BI21">
        <f t="shared" ca="1" si="10"/>
        <v>18</v>
      </c>
      <c r="BJ21">
        <f t="shared" ca="1" si="10"/>
        <v>2</v>
      </c>
      <c r="BK21">
        <f t="shared" ca="1" si="10"/>
        <v>10</v>
      </c>
      <c r="BL21">
        <f t="shared" ca="1" si="10"/>
        <v>13</v>
      </c>
      <c r="BM21">
        <f t="shared" ca="1" si="10"/>
        <v>5</v>
      </c>
      <c r="BN21">
        <f t="shared" ca="1" si="10"/>
        <v>19</v>
      </c>
      <c r="BO21">
        <f t="shared" ca="1" si="10"/>
        <v>23</v>
      </c>
      <c r="BP21" t="str">
        <f t="shared" ca="1" si="10"/>
        <v/>
      </c>
      <c r="BQ21" t="str">
        <f t="shared" ca="1" si="10"/>
        <v/>
      </c>
      <c r="BR21" t="str">
        <f t="shared" ca="1" si="10"/>
        <v/>
      </c>
      <c r="BS21" t="str">
        <f t="shared" ca="1" si="10"/>
        <v/>
      </c>
      <c r="BT21" t="str">
        <f t="shared" ca="1" si="10"/>
        <v/>
      </c>
      <c r="BU21" t="str">
        <f t="shared" ca="1" si="10"/>
        <v/>
      </c>
      <c r="BV21" t="str">
        <f t="shared" ca="1" si="10"/>
        <v/>
      </c>
      <c r="BW21" t="str">
        <f t="shared" ca="1" si="10"/>
        <v/>
      </c>
      <c r="BX21" t="str">
        <f t="shared" ca="1" si="10"/>
        <v/>
      </c>
      <c r="BY21" t="str">
        <f t="shared" ca="1" si="10"/>
        <v/>
      </c>
      <c r="BZ21" t="str">
        <f t="shared" ca="1" si="10"/>
        <v/>
      </c>
      <c r="CA21" t="str">
        <f t="shared" ca="1" si="10"/>
        <v/>
      </c>
      <c r="CB21" t="str">
        <f t="shared" ca="1" si="10"/>
        <v/>
      </c>
      <c r="CC21" t="str">
        <f t="shared" ca="1" si="10"/>
        <v/>
      </c>
      <c r="CD21" t="str">
        <f t="shared" ca="1" si="10"/>
        <v/>
      </c>
      <c r="CE21" t="str">
        <f t="shared" ca="1" si="10"/>
        <v/>
      </c>
      <c r="CF21" t="str">
        <f t="shared" ca="1" si="10"/>
        <v/>
      </c>
      <c r="CG21" t="str">
        <f t="shared" ca="1" si="10"/>
        <v/>
      </c>
      <c r="CH21" t="str">
        <f t="shared" ca="1" si="10"/>
        <v/>
      </c>
      <c r="CI21" t="str">
        <f t="shared" ca="1" si="10"/>
        <v/>
      </c>
      <c r="CJ21" t="str">
        <f t="shared" ca="1" si="10"/>
        <v/>
      </c>
      <c r="CK21" t="str">
        <f t="shared" ca="1" si="10"/>
        <v/>
      </c>
      <c r="CL21" t="str">
        <f t="shared" ca="1" si="10"/>
        <v/>
      </c>
      <c r="CM21" t="str">
        <f t="shared" ca="1" si="10"/>
        <v/>
      </c>
      <c r="CN21" t="str">
        <f t="shared" ca="1" si="10"/>
        <v/>
      </c>
      <c r="CO21" t="str">
        <f t="shared" ca="1" si="10"/>
        <v/>
      </c>
      <c r="CP21"/>
      <c r="CQ21"/>
      <c r="CR21"/>
      <c r="CS21"/>
      <c r="CT21"/>
      <c r="CU21"/>
      <c r="CV21"/>
      <c r="CW21"/>
      <c r="CX21"/>
      <c r="CY21"/>
      <c r="CZ21"/>
      <c r="DA21"/>
      <c r="DB21"/>
      <c r="DC21"/>
      <c r="DD21"/>
      <c r="DE21"/>
      <c r="DF21"/>
      <c r="DG21"/>
      <c r="DH21"/>
      <c r="DI21"/>
      <c r="DJ21"/>
      <c r="DK21"/>
      <c r="DL21"/>
      <c r="DM21"/>
      <c r="DN21"/>
      <c r="DO21"/>
      <c r="DP21"/>
      <c r="DQ21"/>
      <c r="DR21"/>
      <c r="DS21"/>
    </row>
    <row r="22" spans="1:123" ht="12" customHeight="1">
      <c r="A22" s="16">
        <v>12</v>
      </c>
      <c r="B22" s="16">
        <f>DrawFinder!Y22</f>
        <v>2</v>
      </c>
      <c r="C22" s="16" t="str">
        <f ca="1">CS!AR22</f>
        <v>Tm12</v>
      </c>
      <c r="D22" s="18" t="str">
        <f ca="1">IF(ISNONTEXT(VLOOKUP(ADDRESS(22,4),$BB$30:$BC$430,1,FALSE)),"",VLOOKUP(ADDRESS(22,4),$BB$30:$BC$430,2,FALSE))</f>
        <v/>
      </c>
      <c r="E22" s="18" t="str">
        <f ca="1">IF(ISNONTEXT(VLOOKUP(ADDRESS(22,5),$BB$30:$BC$430,1,FALSE)),"",VLOOKUP(ADDRESS(22,5),$BB$30:$BC$430,2,FALSE))</f>
        <v/>
      </c>
      <c r="F22" s="18" t="str">
        <f ca="1">IF(ISNONTEXT(VLOOKUP(ADDRESS(22,6),$BB$30:$BC$430,1,FALSE)),"",VLOOKUP(ADDRESS(22,6),$BB$30:$BC$430,2,FALSE))</f>
        <v/>
      </c>
      <c r="G22" s="18" t="str">
        <f ca="1">IF(ISNONTEXT(VLOOKUP(ADDRESS(22,7),$BB$30:$BC$430,1,FALSE)),"",VLOOKUP(ADDRESS(22,7),$BB$30:$BC$430,2,FALSE))</f>
        <v/>
      </c>
      <c r="H22" s="18" t="str">
        <f ca="1">IF(ISNONTEXT(VLOOKUP(ADDRESS(22,8),$BB$30:$BC$430,1,FALSE)),"",VLOOKUP(ADDRESS(22,8),$BB$30:$BC$430,2,FALSE))</f>
        <v/>
      </c>
      <c r="I22" s="18" t="str">
        <f ca="1">IF(ISNONTEXT(VLOOKUP(ADDRESS(22,9),$BB$30:$BC$430,1,FALSE)),"",VLOOKUP(ADDRESS(22,9),$BB$30:$BC$430,2,FALSE))</f>
        <v/>
      </c>
      <c r="J22" s="18" t="str">
        <f ca="1">IF(ISNONTEXT(VLOOKUP(ADDRESS(22,10),$BB$30:$BC$430,1,FALSE)),"",VLOOKUP(ADDRESS(22,10),$BB$30:$BC$430,2,FALSE))</f>
        <v/>
      </c>
      <c r="K22" s="18" t="str">
        <f ca="1">IF(ISNONTEXT(VLOOKUP(ADDRESS(22,11),$BB$30:$BC$430,1,FALSE)),"",VLOOKUP(ADDRESS(22,11),$BB$30:$BC$430,2,FALSE))</f>
        <v/>
      </c>
      <c r="L22" s="18" t="str">
        <f ca="1">IF(ISNONTEXT(VLOOKUP(ADDRESS(22,12),$BB$30:$BC$430,1,FALSE)),"",VLOOKUP(ADDRESS(22,12),$BB$30:$BC$430,2,FALSE))</f>
        <v>10•1</v>
      </c>
      <c r="M22" s="18" t="str">
        <f ca="1">IF(ISNONTEXT(VLOOKUP(ADDRESS(22,13),$BB$30:$BC$430,1,FALSE)),"",VLOOKUP(ADDRESS(22,13),$BB$30:$BC$430,2,FALSE))</f>
        <v>11•2</v>
      </c>
      <c r="N22" s="18" t="str">
        <f ca="1">IF(ISNONTEXT(VLOOKUP(ADDRESS(22,14),$BB$30:$BC$430,1,FALSE)),"",VLOOKUP(ADDRESS(22,14),$BB$30:$BC$430,2,FALSE))</f>
        <v>14•4</v>
      </c>
      <c r="O22" s="18" t="str">
        <f ca="1">IF($C22&lt;&gt;"","X","")</f>
        <v>X</v>
      </c>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4"/>
      <c r="AV22" s="30"/>
      <c r="AW22" s="32"/>
      <c r="AY22"/>
      <c r="AZ22"/>
      <c r="BA22" s="23">
        <f ca="1">IF(COUNTIF(TvT!$Z$11:$Z$46,"vs"),6,"")</f>
        <v>6</v>
      </c>
      <c r="BB22">
        <f t="shared" ref="BB22:CO22" ca="1" si="11">IF(D71&lt;D72,D72,D71)</f>
        <v>23</v>
      </c>
      <c r="BC22">
        <f t="shared" ca="1" si="11"/>
        <v>24</v>
      </c>
      <c r="BD22">
        <f t="shared" ca="1" si="11"/>
        <v>14</v>
      </c>
      <c r="BE22">
        <f t="shared" ca="1" si="11"/>
        <v>8</v>
      </c>
      <c r="BF22">
        <f t="shared" ca="1" si="11"/>
        <v>6</v>
      </c>
      <c r="BG22">
        <f t="shared" ca="1" si="11"/>
        <v>16</v>
      </c>
      <c r="BH22">
        <f t="shared" ca="1" si="11"/>
        <v>22</v>
      </c>
      <c r="BI22">
        <f t="shared" ca="1" si="11"/>
        <v>21</v>
      </c>
      <c r="BJ22">
        <f t="shared" ca="1" si="11"/>
        <v>3</v>
      </c>
      <c r="BK22">
        <f t="shared" ca="1" si="11"/>
        <v>11</v>
      </c>
      <c r="BL22">
        <f t="shared" ca="1" si="11"/>
        <v>15</v>
      </c>
      <c r="BM22">
        <f t="shared" ca="1" si="11"/>
        <v>7</v>
      </c>
      <c r="BN22">
        <f t="shared" ca="1" si="11"/>
        <v>20</v>
      </c>
      <c r="BO22">
        <f t="shared" ca="1" si="11"/>
        <v>24</v>
      </c>
      <c r="BP22" t="str">
        <f t="shared" ca="1" si="11"/>
        <v/>
      </c>
      <c r="BQ22" t="str">
        <f t="shared" ca="1" si="11"/>
        <v/>
      </c>
      <c r="BR22" t="str">
        <f t="shared" ca="1" si="11"/>
        <v/>
      </c>
      <c r="BS22" t="str">
        <f t="shared" ca="1" si="11"/>
        <v/>
      </c>
      <c r="BT22" t="str">
        <f t="shared" ca="1" si="11"/>
        <v/>
      </c>
      <c r="BU22" t="str">
        <f t="shared" ca="1" si="11"/>
        <v/>
      </c>
      <c r="BV22" t="str">
        <f t="shared" ca="1" si="11"/>
        <v/>
      </c>
      <c r="BW22" t="str">
        <f t="shared" ca="1" si="11"/>
        <v/>
      </c>
      <c r="BX22" t="str">
        <f t="shared" ca="1" si="11"/>
        <v/>
      </c>
      <c r="BY22" t="str">
        <f t="shared" ca="1" si="11"/>
        <v/>
      </c>
      <c r="BZ22" t="str">
        <f t="shared" ca="1" si="11"/>
        <v/>
      </c>
      <c r="CA22" t="str">
        <f t="shared" ca="1" si="11"/>
        <v/>
      </c>
      <c r="CB22" t="str">
        <f t="shared" ca="1" si="11"/>
        <v/>
      </c>
      <c r="CC22" t="str">
        <f t="shared" ca="1" si="11"/>
        <v/>
      </c>
      <c r="CD22" t="str">
        <f t="shared" ca="1" si="11"/>
        <v/>
      </c>
      <c r="CE22" t="str">
        <f t="shared" ca="1" si="11"/>
        <v/>
      </c>
      <c r="CF22" t="str">
        <f t="shared" ca="1" si="11"/>
        <v/>
      </c>
      <c r="CG22" t="str">
        <f t="shared" ca="1" si="11"/>
        <v/>
      </c>
      <c r="CH22" t="str">
        <f t="shared" ca="1" si="11"/>
        <v/>
      </c>
      <c r="CI22" t="str">
        <f t="shared" ca="1" si="11"/>
        <v/>
      </c>
      <c r="CJ22" t="str">
        <f t="shared" ca="1" si="11"/>
        <v/>
      </c>
      <c r="CK22" t="str">
        <f t="shared" ca="1" si="11"/>
        <v/>
      </c>
      <c r="CL22" t="str">
        <f t="shared" ca="1" si="11"/>
        <v/>
      </c>
      <c r="CM22" t="str">
        <f t="shared" ca="1" si="11"/>
        <v/>
      </c>
      <c r="CN22" t="str">
        <f t="shared" ca="1" si="11"/>
        <v/>
      </c>
      <c r="CO22" t="str">
        <f t="shared" ca="1" si="11"/>
        <v/>
      </c>
      <c r="CP22"/>
      <c r="CQ22"/>
      <c r="CR22"/>
      <c r="CS22"/>
      <c r="CT22"/>
      <c r="CU22"/>
      <c r="CV22"/>
      <c r="CW22"/>
      <c r="CX22"/>
      <c r="CY22"/>
      <c r="CZ22"/>
      <c r="DA22"/>
      <c r="DB22"/>
      <c r="DC22"/>
      <c r="DD22"/>
      <c r="DE22"/>
      <c r="DF22"/>
      <c r="DG22"/>
      <c r="DH22"/>
      <c r="DI22"/>
      <c r="DJ22"/>
      <c r="DK22"/>
      <c r="DL22"/>
      <c r="DM22"/>
      <c r="DN22"/>
      <c r="DO22"/>
      <c r="DP22"/>
      <c r="DQ22"/>
      <c r="DR22"/>
      <c r="DS22"/>
    </row>
    <row r="23" spans="1:123" ht="12" customHeight="1">
      <c r="A23" s="16">
        <v>13</v>
      </c>
      <c r="B23" s="16">
        <f>DrawFinder!Y23</f>
        <v>2</v>
      </c>
      <c r="C23" s="16" t="str">
        <f ca="1">CS!AR23</f>
        <v>Tm13</v>
      </c>
      <c r="D23" s="18" t="str">
        <f ca="1">IF(ISNONTEXT(VLOOKUP(ADDRESS(23,4),$BB$30:$BC$430,1,FALSE)),"",VLOOKUP(ADDRESS(23,4),$BB$30:$BC$430,2,FALSE))</f>
        <v/>
      </c>
      <c r="E23" s="18" t="str">
        <f ca="1">IF(ISNONTEXT(VLOOKUP(ADDRESS(23,5),$BB$30:$BC$430,1,FALSE)),"",VLOOKUP(ADDRESS(23,5),$BB$30:$BC$430,2,FALSE))</f>
        <v/>
      </c>
      <c r="F23" s="18" t="str">
        <f ca="1">IF(ISNONTEXT(VLOOKUP(ADDRESS(23,6),$BB$30:$BC$430,1,FALSE)),"",VLOOKUP(ADDRESS(23,6),$BB$30:$BC$430,2,FALSE))</f>
        <v/>
      </c>
      <c r="G23" s="18" t="str">
        <f ca="1">IF(ISNONTEXT(VLOOKUP(ADDRESS(23,7),$BB$30:$BC$430,1,FALSE)),"",VLOOKUP(ADDRESS(23,7),$BB$30:$BC$430,2,FALSE))</f>
        <v/>
      </c>
      <c r="H23" s="18" t="str">
        <f ca="1">IF(ISNONTEXT(VLOOKUP(ADDRESS(23,8),$BB$30:$BC$430,1,FALSE)),"",VLOOKUP(ADDRESS(23,8),$BB$30:$BC$430,2,FALSE))</f>
        <v/>
      </c>
      <c r="I23" s="18" t="str">
        <f ca="1">IF(ISNONTEXT(VLOOKUP(ADDRESS(23,9),$BB$30:$BC$430,1,FALSE)),"",VLOOKUP(ADDRESS(23,9),$BB$30:$BC$430,2,FALSE))</f>
        <v/>
      </c>
      <c r="J23" s="18" t="str">
        <f ca="1">IF(ISNONTEXT(VLOOKUP(ADDRESS(23,10),$BB$30:$BC$430,1,FALSE)),"",VLOOKUP(ADDRESS(23,10),$BB$30:$BC$430,2,FALSE))</f>
        <v/>
      </c>
      <c r="K23" s="18" t="str">
        <f ca="1">IF(ISNONTEXT(VLOOKUP(ADDRESS(23,11),$BB$30:$BC$430,1,FALSE)),"",VLOOKUP(ADDRESS(23,11),$BB$30:$BC$430,2,FALSE))</f>
        <v/>
      </c>
      <c r="L23" s="18" t="str">
        <f ca="1">IF(ISNONTEXT(VLOOKUP(ADDRESS(23,12),$BB$30:$BC$430,1,FALSE)),"",VLOOKUP(ADDRESS(23,12),$BB$30:$BC$430,2,FALSE))</f>
        <v>7•4</v>
      </c>
      <c r="M23" s="18" t="str">
        <f ca="1">IF(ISNONTEXT(VLOOKUP(ADDRESS(23,13),$BB$30:$BC$430,1,FALSE)),"",VLOOKUP(ADDRESS(23,13),$BB$30:$BC$430,2,FALSE))</f>
        <v>2•3</v>
      </c>
      <c r="N23" s="18" t="str">
        <f ca="1">IF(ISNONTEXT(VLOOKUP(ADDRESS(23,14),$BB$30:$BC$430,1,FALSE)),"",VLOOKUP(ADDRESS(23,14),$BB$30:$BC$430,2,FALSE))</f>
        <v>3•1</v>
      </c>
      <c r="O23" s="18" t="str">
        <f ca="1">IF(ISNONTEXT(VLOOKUP(ADDRESS(23,15),$BB$30:$BC$430,1,FALSE)),"",VLOOKUP(ADDRESS(23,15),$BB$30:$BC$430,2,FALSE))</f>
        <v>6•5</v>
      </c>
      <c r="P23" s="18" t="str">
        <f ca="1">IF($C23&lt;&gt;"","X","")</f>
        <v>X</v>
      </c>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4"/>
      <c r="AV23" s="30"/>
      <c r="AW23" s="32"/>
      <c r="AY23"/>
      <c r="AZ23"/>
      <c r="BA23" s="21" t="str">
        <f ca="1">IF(COUNTIF(TvT!$AD$11:$AD$46,"vs"),-7,"")</f>
        <v/>
      </c>
      <c r="BB23" t="str">
        <f t="shared" ref="BB23:CO23" ca="1" si="12">IF(D73&lt;D74,D73,D74)</f>
        <v/>
      </c>
      <c r="BC23" t="str">
        <f t="shared" ca="1" si="12"/>
        <v/>
      </c>
      <c r="BD23" t="str">
        <f t="shared" ca="1" si="12"/>
        <v/>
      </c>
      <c r="BE23" t="str">
        <f t="shared" ca="1" si="12"/>
        <v/>
      </c>
      <c r="BF23" t="str">
        <f t="shared" ca="1" si="12"/>
        <v/>
      </c>
      <c r="BG23" t="str">
        <f t="shared" ca="1" si="12"/>
        <v/>
      </c>
      <c r="BH23" t="str">
        <f t="shared" ca="1" si="12"/>
        <v/>
      </c>
      <c r="BI23" t="str">
        <f t="shared" ca="1" si="12"/>
        <v/>
      </c>
      <c r="BJ23" t="str">
        <f t="shared" ca="1" si="12"/>
        <v/>
      </c>
      <c r="BK23" t="str">
        <f t="shared" ca="1" si="12"/>
        <v/>
      </c>
      <c r="BL23" t="str">
        <f t="shared" ca="1" si="12"/>
        <v/>
      </c>
      <c r="BM23" t="str">
        <f t="shared" ca="1" si="12"/>
        <v/>
      </c>
      <c r="BN23" t="str">
        <f t="shared" ca="1" si="12"/>
        <v/>
      </c>
      <c r="BO23" t="str">
        <f t="shared" ca="1" si="12"/>
        <v/>
      </c>
      <c r="BP23" t="str">
        <f t="shared" ca="1" si="12"/>
        <v/>
      </c>
      <c r="BQ23" t="str">
        <f t="shared" ca="1" si="12"/>
        <v/>
      </c>
      <c r="BR23" t="str">
        <f t="shared" ca="1" si="12"/>
        <v/>
      </c>
      <c r="BS23" t="str">
        <f t="shared" ca="1" si="12"/>
        <v/>
      </c>
      <c r="BT23" t="str">
        <f t="shared" ca="1" si="12"/>
        <v/>
      </c>
      <c r="BU23" t="str">
        <f t="shared" ca="1" si="12"/>
        <v/>
      </c>
      <c r="BV23" t="str">
        <f t="shared" ca="1" si="12"/>
        <v/>
      </c>
      <c r="BW23" t="str">
        <f t="shared" ca="1" si="12"/>
        <v/>
      </c>
      <c r="BX23" t="str">
        <f t="shared" ca="1" si="12"/>
        <v/>
      </c>
      <c r="BY23" t="str">
        <f t="shared" ca="1" si="12"/>
        <v/>
      </c>
      <c r="BZ23" t="str">
        <f t="shared" ca="1" si="12"/>
        <v/>
      </c>
      <c r="CA23" t="str">
        <f t="shared" ca="1" si="12"/>
        <v/>
      </c>
      <c r="CB23" t="str">
        <f t="shared" ca="1" si="12"/>
        <v/>
      </c>
      <c r="CC23" t="str">
        <f t="shared" ca="1" si="12"/>
        <v/>
      </c>
      <c r="CD23" t="str">
        <f t="shared" ca="1" si="12"/>
        <v/>
      </c>
      <c r="CE23" t="str">
        <f t="shared" ca="1" si="12"/>
        <v/>
      </c>
      <c r="CF23" t="str">
        <f t="shared" ca="1" si="12"/>
        <v/>
      </c>
      <c r="CG23" t="str">
        <f t="shared" ca="1" si="12"/>
        <v/>
      </c>
      <c r="CH23" t="str">
        <f t="shared" ca="1" si="12"/>
        <v/>
      </c>
      <c r="CI23" t="str">
        <f t="shared" ca="1" si="12"/>
        <v/>
      </c>
      <c r="CJ23" t="str">
        <f t="shared" ca="1" si="12"/>
        <v/>
      </c>
      <c r="CK23" t="str">
        <f t="shared" ca="1" si="12"/>
        <v/>
      </c>
      <c r="CL23" t="str">
        <f t="shared" ca="1" si="12"/>
        <v/>
      </c>
      <c r="CM23" t="str">
        <f t="shared" ca="1" si="12"/>
        <v/>
      </c>
      <c r="CN23" t="str">
        <f t="shared" ca="1" si="12"/>
        <v/>
      </c>
      <c r="CO23" t="str">
        <f t="shared" ca="1" si="12"/>
        <v/>
      </c>
      <c r="CP23"/>
      <c r="CQ23"/>
      <c r="CR23"/>
      <c r="CS23"/>
      <c r="CT23"/>
      <c r="CU23"/>
      <c r="CV23"/>
      <c r="CW23"/>
      <c r="CX23"/>
      <c r="CY23"/>
      <c r="CZ23"/>
      <c r="DA23"/>
      <c r="DB23"/>
      <c r="DC23"/>
      <c r="DD23"/>
      <c r="DE23"/>
      <c r="DF23"/>
      <c r="DG23"/>
      <c r="DH23"/>
      <c r="DI23"/>
      <c r="DJ23"/>
      <c r="DK23"/>
      <c r="DL23"/>
      <c r="DM23"/>
      <c r="DN23"/>
      <c r="DO23"/>
      <c r="DP23"/>
      <c r="DQ23"/>
      <c r="DR23"/>
      <c r="DS23"/>
    </row>
    <row r="24" spans="1:123" ht="12" customHeight="1">
      <c r="A24" s="16">
        <v>14</v>
      </c>
      <c r="B24" s="16">
        <f>DrawFinder!Y24</f>
        <v>2</v>
      </c>
      <c r="C24" s="16" t="str">
        <f ca="1">CS!AR24</f>
        <v>Tm14</v>
      </c>
      <c r="D24" s="18" t="str">
        <f ca="1">IF(ISNONTEXT(VLOOKUP(ADDRESS(24,4),$BB$30:$BC$430,1,FALSE)),"",VLOOKUP(ADDRESS(24,4),$BB$30:$BC$430,2,FALSE))</f>
        <v/>
      </c>
      <c r="E24" s="18" t="str">
        <f ca="1">IF(ISNONTEXT(VLOOKUP(ADDRESS(24,5),$BB$30:$BC$430,1,FALSE)),"",VLOOKUP(ADDRESS(24,5),$BB$30:$BC$430,2,FALSE))</f>
        <v/>
      </c>
      <c r="F24" s="18" t="str">
        <f ca="1">IF(ISNONTEXT(VLOOKUP(ADDRESS(24,6),$BB$30:$BC$430,1,FALSE)),"",VLOOKUP(ADDRESS(24,6),$BB$30:$BC$430,2,FALSE))</f>
        <v/>
      </c>
      <c r="G24" s="18" t="str">
        <f ca="1">IF(ISNONTEXT(VLOOKUP(ADDRESS(24,7),$BB$30:$BC$430,1,FALSE)),"",VLOOKUP(ADDRESS(24,7),$BB$30:$BC$430,2,FALSE))</f>
        <v/>
      </c>
      <c r="H24" s="18" t="str">
        <f ca="1">IF(ISNONTEXT(VLOOKUP(ADDRESS(24,8),$BB$30:$BC$430,1,FALSE)),"",VLOOKUP(ADDRESS(24,8),$BB$30:$BC$430,2,FALSE))</f>
        <v/>
      </c>
      <c r="I24" s="18" t="str">
        <f ca="1">IF(ISNONTEXT(VLOOKUP(ADDRESS(24,9),$BB$30:$BC$430,1,FALSE)),"",VLOOKUP(ADDRESS(24,9),$BB$30:$BC$430,2,FALSE))</f>
        <v/>
      </c>
      <c r="J24" s="18" t="str">
        <f ca="1">IF(ISNONTEXT(VLOOKUP(ADDRESS(24,10),$BB$30:$BC$430,1,FALSE)),"",VLOOKUP(ADDRESS(24,10),$BB$30:$BC$430,2,FALSE))</f>
        <v/>
      </c>
      <c r="K24" s="18" t="str">
        <f ca="1">IF(ISNONTEXT(VLOOKUP(ADDRESS(24,11),$BB$30:$BC$430,1,FALSE)),"",VLOOKUP(ADDRESS(24,11),$BB$30:$BC$430,2,FALSE))</f>
        <v/>
      </c>
      <c r="L24" s="18" t="str">
        <f ca="1">IF(ISNONTEXT(VLOOKUP(ADDRESS(24,12),$BB$30:$BC$430,1,FALSE)),"",VLOOKUP(ADDRESS(24,12),$BB$30:$BC$430,2,FALSE))</f>
        <v>2•4</v>
      </c>
      <c r="M24" s="18" t="str">
        <f ca="1">IF(ISNONTEXT(VLOOKUP(ADDRESS(24,13),$BB$30:$BC$430,1,FALSE)),"",VLOOKUP(ADDRESS(24,13),$BB$30:$BC$430,2,FALSE))</f>
        <v>7•5</v>
      </c>
      <c r="N24" s="18" t="str">
        <f ca="1">IF(ISNONTEXT(VLOOKUP(ADDRESS(24,14),$BB$30:$BC$430,1,FALSE)),"",VLOOKUP(ADDRESS(24,14),$BB$30:$BC$430,2,FALSE))</f>
        <v>6•3</v>
      </c>
      <c r="O24" s="18" t="str">
        <f ca="1">IF(ISNONTEXT(VLOOKUP(ADDRESS(24,15),$BB$30:$BC$430,1,FALSE)),"",VLOOKUP(ADDRESS(24,15),$BB$30:$BC$430,2,FALSE))</f>
        <v>3•6</v>
      </c>
      <c r="P24" s="18" t="str">
        <f ca="1">IF(ISNONTEXT(VLOOKUP(ADDRESS(24,16),$BB$30:$BC$430,1,FALSE)),"",VLOOKUP(ADDRESS(24,16),$BB$30:$BC$430,2,FALSE))</f>
        <v>14•2</v>
      </c>
      <c r="Q24" s="18" t="str">
        <f ca="1">IF($C24&lt;&gt;"","X","")</f>
        <v>X</v>
      </c>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4"/>
      <c r="AV24" s="30"/>
      <c r="AW24" s="32"/>
      <c r="AY24"/>
      <c r="AZ24"/>
      <c r="BA24" s="23" t="str">
        <f ca="1">IF(COUNTIF(TvT!$AD$11:$AD$46,"vs"),7,"")</f>
        <v/>
      </c>
      <c r="BB24" t="str">
        <f t="shared" ref="BB24:CO24" ca="1" si="13">IF(D73&lt;D74,D74,D73)</f>
        <v/>
      </c>
      <c r="BC24" t="str">
        <f t="shared" ca="1" si="13"/>
        <v/>
      </c>
      <c r="BD24" t="str">
        <f t="shared" ca="1" si="13"/>
        <v/>
      </c>
      <c r="BE24" t="str">
        <f t="shared" ca="1" si="13"/>
        <v/>
      </c>
      <c r="BF24" t="str">
        <f t="shared" ca="1" si="13"/>
        <v/>
      </c>
      <c r="BG24" t="str">
        <f t="shared" ca="1" si="13"/>
        <v/>
      </c>
      <c r="BH24" t="str">
        <f t="shared" ca="1" si="13"/>
        <v/>
      </c>
      <c r="BI24" t="str">
        <f t="shared" ca="1" si="13"/>
        <v/>
      </c>
      <c r="BJ24" t="str">
        <f t="shared" ca="1" si="13"/>
        <v/>
      </c>
      <c r="BK24" t="str">
        <f t="shared" ca="1" si="13"/>
        <v/>
      </c>
      <c r="BL24" t="str">
        <f t="shared" ca="1" si="13"/>
        <v/>
      </c>
      <c r="BM24" t="str">
        <f t="shared" ca="1" si="13"/>
        <v/>
      </c>
      <c r="BN24" t="str">
        <f t="shared" ca="1" si="13"/>
        <v/>
      </c>
      <c r="BO24" t="str">
        <f t="shared" ca="1" si="13"/>
        <v/>
      </c>
      <c r="BP24" t="str">
        <f t="shared" ca="1" si="13"/>
        <v/>
      </c>
      <c r="BQ24" t="str">
        <f t="shared" ca="1" si="13"/>
        <v/>
      </c>
      <c r="BR24" t="str">
        <f t="shared" ca="1" si="13"/>
        <v/>
      </c>
      <c r="BS24" t="str">
        <f t="shared" ca="1" si="13"/>
        <v/>
      </c>
      <c r="BT24" t="str">
        <f t="shared" ca="1" si="13"/>
        <v/>
      </c>
      <c r="BU24" t="str">
        <f t="shared" ca="1" si="13"/>
        <v/>
      </c>
      <c r="BV24" t="str">
        <f t="shared" ca="1" si="13"/>
        <v/>
      </c>
      <c r="BW24" t="str">
        <f t="shared" ca="1" si="13"/>
        <v/>
      </c>
      <c r="BX24" t="str">
        <f t="shared" ca="1" si="13"/>
        <v/>
      </c>
      <c r="BY24" t="str">
        <f t="shared" ca="1" si="13"/>
        <v/>
      </c>
      <c r="BZ24" t="str">
        <f t="shared" ca="1" si="13"/>
        <v/>
      </c>
      <c r="CA24" t="str">
        <f t="shared" ca="1" si="13"/>
        <v/>
      </c>
      <c r="CB24" t="str">
        <f t="shared" ca="1" si="13"/>
        <v/>
      </c>
      <c r="CC24" t="str">
        <f t="shared" ca="1" si="13"/>
        <v/>
      </c>
      <c r="CD24" t="str">
        <f t="shared" ca="1" si="13"/>
        <v/>
      </c>
      <c r="CE24" t="str">
        <f t="shared" ca="1" si="13"/>
        <v/>
      </c>
      <c r="CF24" t="str">
        <f t="shared" ca="1" si="13"/>
        <v/>
      </c>
      <c r="CG24" t="str">
        <f t="shared" ca="1" si="13"/>
        <v/>
      </c>
      <c r="CH24" t="str">
        <f t="shared" ca="1" si="13"/>
        <v/>
      </c>
      <c r="CI24" t="str">
        <f t="shared" ca="1" si="13"/>
        <v/>
      </c>
      <c r="CJ24" t="str">
        <f t="shared" ca="1" si="13"/>
        <v/>
      </c>
      <c r="CK24" t="str">
        <f t="shared" ca="1" si="13"/>
        <v/>
      </c>
      <c r="CL24" t="str">
        <f t="shared" ca="1" si="13"/>
        <v/>
      </c>
      <c r="CM24" t="str">
        <f t="shared" ca="1" si="13"/>
        <v/>
      </c>
      <c r="CN24" t="str">
        <f t="shared" ca="1" si="13"/>
        <v/>
      </c>
      <c r="CO24" t="str">
        <f t="shared" ca="1" si="13"/>
        <v/>
      </c>
      <c r="CP24"/>
      <c r="CQ24"/>
      <c r="CR24"/>
      <c r="CS24"/>
      <c r="CT24"/>
      <c r="CU24"/>
      <c r="CV24"/>
      <c r="CW24"/>
      <c r="CX24"/>
      <c r="CY24"/>
      <c r="CZ24"/>
      <c r="DA24"/>
      <c r="DB24"/>
      <c r="DC24"/>
      <c r="DD24"/>
      <c r="DE24"/>
      <c r="DF24"/>
      <c r="DG24"/>
      <c r="DH24"/>
      <c r="DI24"/>
      <c r="DJ24"/>
      <c r="DK24"/>
      <c r="DL24"/>
      <c r="DM24"/>
      <c r="DN24"/>
      <c r="DO24"/>
      <c r="DP24"/>
      <c r="DQ24"/>
      <c r="DR24"/>
      <c r="DS24"/>
    </row>
    <row r="25" spans="1:123" ht="12" customHeight="1">
      <c r="A25" s="16">
        <v>15</v>
      </c>
      <c r="B25" s="16">
        <f>DrawFinder!Y25</f>
        <v>2</v>
      </c>
      <c r="C25" s="16" t="str">
        <f ca="1">CS!AR25</f>
        <v>Tm15</v>
      </c>
      <c r="D25" s="18" t="str">
        <f ca="1">IF(ISNONTEXT(VLOOKUP(ADDRESS(25,4),$BB$30:$BC$430,1,FALSE)),"",VLOOKUP(ADDRESS(25,4),$BB$30:$BC$430,2,FALSE))</f>
        <v/>
      </c>
      <c r="E25" s="18" t="str">
        <f ca="1">IF(ISNONTEXT(VLOOKUP(ADDRESS(25,5),$BB$30:$BC$430,1,FALSE)),"",VLOOKUP(ADDRESS(25,5),$BB$30:$BC$430,2,FALSE))</f>
        <v/>
      </c>
      <c r="F25" s="18" t="str">
        <f ca="1">IF(ISNONTEXT(VLOOKUP(ADDRESS(25,6),$BB$30:$BC$430,1,FALSE)),"",VLOOKUP(ADDRESS(25,6),$BB$30:$BC$430,2,FALSE))</f>
        <v/>
      </c>
      <c r="G25" s="18" t="str">
        <f ca="1">IF(ISNONTEXT(VLOOKUP(ADDRESS(25,7),$BB$30:$BC$430,1,FALSE)),"",VLOOKUP(ADDRESS(25,7),$BB$30:$BC$430,2,FALSE))</f>
        <v/>
      </c>
      <c r="H25" s="18" t="str">
        <f ca="1">IF(ISNONTEXT(VLOOKUP(ADDRESS(25,8),$BB$30:$BC$430,1,FALSE)),"",VLOOKUP(ADDRESS(25,8),$BB$30:$BC$430,2,FALSE))</f>
        <v/>
      </c>
      <c r="I25" s="18" t="str">
        <f ca="1">IF(ISNONTEXT(VLOOKUP(ADDRESS(25,9),$BB$30:$BC$430,1,FALSE)),"",VLOOKUP(ADDRESS(25,9),$BB$30:$BC$430,2,FALSE))</f>
        <v/>
      </c>
      <c r="J25" s="18" t="str">
        <f ca="1">IF(ISNONTEXT(VLOOKUP(ADDRESS(25,10),$BB$30:$BC$430,1,FALSE)),"",VLOOKUP(ADDRESS(25,10),$BB$30:$BC$430,2,FALSE))</f>
        <v/>
      </c>
      <c r="K25" s="18" t="str">
        <f ca="1">IF(ISNONTEXT(VLOOKUP(ADDRESS(25,11),$BB$30:$BC$430,1,FALSE)),"",VLOOKUP(ADDRESS(25,11),$BB$30:$BC$430,2,FALSE))</f>
        <v/>
      </c>
      <c r="L25" s="18" t="str">
        <f ca="1">IF(ISNONTEXT(VLOOKUP(ADDRESS(25,12),$BB$30:$BC$430,1,FALSE)),"",VLOOKUP(ADDRESS(25,12),$BB$30:$BC$430,2,FALSE))</f>
        <v>3•2</v>
      </c>
      <c r="M25" s="18" t="str">
        <f ca="1">IF(ISNONTEXT(VLOOKUP(ADDRESS(25,13),$BB$30:$BC$430,1,FALSE)),"",VLOOKUP(ADDRESS(25,13),$BB$30:$BC$430,2,FALSE))</f>
        <v>6•1</v>
      </c>
      <c r="N25" s="18" t="str">
        <f ca="1">IF(ISNONTEXT(VLOOKUP(ADDRESS(25,14),$BB$30:$BC$430,1,FALSE)),"",VLOOKUP(ADDRESS(25,14),$BB$30:$BC$430,2,FALSE))</f>
        <v>2•5</v>
      </c>
      <c r="O25" s="18" t="str">
        <f ca="1">IF(ISNONTEXT(VLOOKUP(ADDRESS(25,15),$BB$30:$BC$430,1,FALSE)),"",VLOOKUP(ADDRESS(25,15),$BB$30:$BC$430,2,FALSE))</f>
        <v>7•3</v>
      </c>
      <c r="P25" s="18" t="str">
        <f ca="1">IF(ISNONTEXT(VLOOKUP(ADDRESS(25,16),$BB$30:$BC$430,1,FALSE)),"",VLOOKUP(ADDRESS(25,16),$BB$30:$BC$430,2,FALSE))</f>
        <v>11•6</v>
      </c>
      <c r="Q25" s="18" t="str">
        <f ca="1">IF(ISNONTEXT(VLOOKUP(ADDRESS(25,17),$BB$30:$BC$430,1,FALSE)),"",VLOOKUP(ADDRESS(25,17),$BB$30:$BC$430,2,FALSE))</f>
        <v>10•4</v>
      </c>
      <c r="R25" s="18" t="str">
        <f ca="1">IF($C25&lt;&gt;"","X","")</f>
        <v>X</v>
      </c>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4"/>
      <c r="AV25" s="30"/>
      <c r="AW25" s="32"/>
      <c r="AY25"/>
      <c r="AZ25"/>
      <c r="BA25" s="21" t="str">
        <f ca="1">IF(COUNTIF(TvT!$AH$11:$AH$46,"vs"),-8,"")</f>
        <v/>
      </c>
      <c r="BB25" t="str">
        <f t="shared" ref="BB25:CO25" ca="1" si="14">IF(D75&lt;D76,D75,D76)</f>
        <v/>
      </c>
      <c r="BC25" t="str">
        <f t="shared" ca="1" si="14"/>
        <v/>
      </c>
      <c r="BD25" t="str">
        <f t="shared" ca="1" si="14"/>
        <v/>
      </c>
      <c r="BE25" t="str">
        <f t="shared" ca="1" si="14"/>
        <v/>
      </c>
      <c r="BF25" t="str">
        <f t="shared" ca="1" si="14"/>
        <v/>
      </c>
      <c r="BG25" t="str">
        <f t="shared" ca="1" si="14"/>
        <v/>
      </c>
      <c r="BH25" t="str">
        <f t="shared" ca="1" si="14"/>
        <v/>
      </c>
      <c r="BI25" t="str">
        <f t="shared" ca="1" si="14"/>
        <v/>
      </c>
      <c r="BJ25" t="str">
        <f t="shared" ca="1" si="14"/>
        <v/>
      </c>
      <c r="BK25" t="str">
        <f t="shared" ca="1" si="14"/>
        <v/>
      </c>
      <c r="BL25" t="str">
        <f t="shared" ca="1" si="14"/>
        <v/>
      </c>
      <c r="BM25" t="str">
        <f t="shared" ca="1" si="14"/>
        <v/>
      </c>
      <c r="BN25" t="str">
        <f t="shared" ca="1" si="14"/>
        <v/>
      </c>
      <c r="BO25" t="str">
        <f t="shared" ca="1" si="14"/>
        <v/>
      </c>
      <c r="BP25" t="str">
        <f t="shared" ca="1" si="14"/>
        <v/>
      </c>
      <c r="BQ25" t="str">
        <f t="shared" ca="1" si="14"/>
        <v/>
      </c>
      <c r="BR25" t="str">
        <f t="shared" ca="1" si="14"/>
        <v/>
      </c>
      <c r="BS25" t="str">
        <f t="shared" ca="1" si="14"/>
        <v/>
      </c>
      <c r="BT25" t="str">
        <f t="shared" ca="1" si="14"/>
        <v/>
      </c>
      <c r="BU25" t="str">
        <f t="shared" ca="1" si="14"/>
        <v/>
      </c>
      <c r="BV25" t="str">
        <f t="shared" ca="1" si="14"/>
        <v/>
      </c>
      <c r="BW25" t="str">
        <f t="shared" ca="1" si="14"/>
        <v/>
      </c>
      <c r="BX25" t="str">
        <f t="shared" ca="1" si="14"/>
        <v/>
      </c>
      <c r="BY25" t="str">
        <f t="shared" ca="1" si="14"/>
        <v/>
      </c>
      <c r="BZ25" t="str">
        <f t="shared" ca="1" si="14"/>
        <v/>
      </c>
      <c r="CA25" t="str">
        <f t="shared" ca="1" si="14"/>
        <v/>
      </c>
      <c r="CB25" t="str">
        <f t="shared" ca="1" si="14"/>
        <v/>
      </c>
      <c r="CC25" t="str">
        <f t="shared" ca="1" si="14"/>
        <v/>
      </c>
      <c r="CD25" t="str">
        <f t="shared" ca="1" si="14"/>
        <v/>
      </c>
      <c r="CE25" t="str">
        <f t="shared" ca="1" si="14"/>
        <v/>
      </c>
      <c r="CF25" t="str">
        <f t="shared" ca="1" si="14"/>
        <v/>
      </c>
      <c r="CG25" t="str">
        <f t="shared" ca="1" si="14"/>
        <v/>
      </c>
      <c r="CH25" t="str">
        <f t="shared" ca="1" si="14"/>
        <v/>
      </c>
      <c r="CI25" t="str">
        <f t="shared" ca="1" si="14"/>
        <v/>
      </c>
      <c r="CJ25" t="str">
        <f t="shared" ca="1" si="14"/>
        <v/>
      </c>
      <c r="CK25" t="str">
        <f t="shared" ca="1" si="14"/>
        <v/>
      </c>
      <c r="CL25" t="str">
        <f t="shared" ca="1" si="14"/>
        <v/>
      </c>
      <c r="CM25" t="str">
        <f t="shared" ca="1" si="14"/>
        <v/>
      </c>
      <c r="CN25" t="str">
        <f t="shared" ca="1" si="14"/>
        <v/>
      </c>
      <c r="CO25" t="str">
        <f t="shared" ca="1" si="14"/>
        <v/>
      </c>
      <c r="CP25"/>
      <c r="CQ25"/>
      <c r="CR25"/>
      <c r="CS25"/>
      <c r="CT25"/>
      <c r="CU25"/>
      <c r="CV25"/>
      <c r="CW25"/>
      <c r="CX25"/>
      <c r="CY25"/>
      <c r="CZ25"/>
      <c r="DA25"/>
      <c r="DB25"/>
      <c r="DC25"/>
      <c r="DD25"/>
      <c r="DE25"/>
      <c r="DF25"/>
      <c r="DG25"/>
      <c r="DH25"/>
      <c r="DI25"/>
      <c r="DJ25"/>
      <c r="DK25"/>
      <c r="DL25"/>
      <c r="DM25"/>
      <c r="DN25"/>
      <c r="DO25"/>
      <c r="DP25"/>
      <c r="DQ25"/>
      <c r="DR25"/>
      <c r="DS25"/>
    </row>
    <row r="26" spans="1:123" ht="12" customHeight="1">
      <c r="A26" s="16">
        <v>16</v>
      </c>
      <c r="B26" s="16">
        <f>DrawFinder!Y26</f>
        <v>2</v>
      </c>
      <c r="C26" s="16" t="str">
        <f ca="1">CS!AR26</f>
        <v>Tm16</v>
      </c>
      <c r="D26" s="18" t="str">
        <f ca="1">IF(ISNONTEXT(VLOOKUP(ADDRESS(26,4),$BB$30:$BC$430,1,FALSE)),"",VLOOKUP(ADDRESS(26,4),$BB$30:$BC$430,2,FALSE))</f>
        <v/>
      </c>
      <c r="E26" s="18" t="str">
        <f ca="1">IF(ISNONTEXT(VLOOKUP(ADDRESS(26,5),$BB$30:$BC$430,1,FALSE)),"",VLOOKUP(ADDRESS(26,5),$BB$30:$BC$430,2,FALSE))</f>
        <v/>
      </c>
      <c r="F26" s="18" t="str">
        <f ca="1">IF(ISNONTEXT(VLOOKUP(ADDRESS(26,6),$BB$30:$BC$430,1,FALSE)),"",VLOOKUP(ADDRESS(26,6),$BB$30:$BC$430,2,FALSE))</f>
        <v/>
      </c>
      <c r="G26" s="18" t="str">
        <f ca="1">IF(ISNONTEXT(VLOOKUP(ADDRESS(26,7),$BB$30:$BC$430,1,FALSE)),"",VLOOKUP(ADDRESS(26,7),$BB$30:$BC$430,2,FALSE))</f>
        <v/>
      </c>
      <c r="H26" s="18" t="str">
        <f ca="1">IF(ISNONTEXT(VLOOKUP(ADDRESS(26,8),$BB$30:$BC$430,1,FALSE)),"",VLOOKUP(ADDRESS(26,8),$BB$30:$BC$430,2,FALSE))</f>
        <v/>
      </c>
      <c r="I26" s="18" t="str">
        <f ca="1">IF(ISNONTEXT(VLOOKUP(ADDRESS(26,9),$BB$30:$BC$430,1,FALSE)),"",VLOOKUP(ADDRESS(26,9),$BB$30:$BC$430,2,FALSE))</f>
        <v/>
      </c>
      <c r="J26" s="18" t="str">
        <f ca="1">IF(ISNONTEXT(VLOOKUP(ADDRESS(26,10),$BB$30:$BC$430,1,FALSE)),"",VLOOKUP(ADDRESS(26,10),$BB$30:$BC$430,2,FALSE))</f>
        <v/>
      </c>
      <c r="K26" s="18" t="str">
        <f ca="1">IF(ISNONTEXT(VLOOKUP(ADDRESS(26,11),$BB$30:$BC$430,1,FALSE)),"",VLOOKUP(ADDRESS(26,11),$BB$30:$BC$430,2,FALSE))</f>
        <v/>
      </c>
      <c r="L26" s="18" t="str">
        <f ca="1">IF(ISNONTEXT(VLOOKUP(ADDRESS(26,12),$BB$30:$BC$430,1,FALSE)),"",VLOOKUP(ADDRESS(26,12),$BB$30:$BC$430,2,FALSE))</f>
        <v>6•6</v>
      </c>
      <c r="M26" s="18" t="str">
        <f ca="1">IF(ISNONTEXT(VLOOKUP(ADDRESS(26,13),$BB$30:$BC$430,1,FALSE)),"",VLOOKUP(ADDRESS(26,13),$BB$30:$BC$430,2,FALSE))</f>
        <v>3•4</v>
      </c>
      <c r="N26" s="18" t="str">
        <f ca="1">IF(ISNONTEXT(VLOOKUP(ADDRESS(26,14),$BB$30:$BC$430,1,FALSE)),"",VLOOKUP(ADDRESS(26,14),$BB$30:$BC$430,2,FALSE))</f>
        <v>7•2</v>
      </c>
      <c r="O26" s="18" t="str">
        <f ca="1">IF(ISNONTEXT(VLOOKUP(ADDRESS(26,15),$BB$30:$BC$430,1,FALSE)),"",VLOOKUP(ADDRESS(26,15),$BB$30:$BC$430,2,FALSE))</f>
        <v>2•2</v>
      </c>
      <c r="P26" s="18" t="str">
        <f ca="1">IF(ISNONTEXT(VLOOKUP(ADDRESS(26,16),$BB$30:$BC$430,1,FALSE)),"",VLOOKUP(ADDRESS(26,16),$BB$30:$BC$430,2,FALSE))</f>
        <v>10•3</v>
      </c>
      <c r="Q26" s="18" t="str">
        <f ca="1">IF(ISNONTEXT(VLOOKUP(ADDRESS(26,17),$BB$30:$BC$430,1,FALSE)),"",VLOOKUP(ADDRESS(26,17),$BB$30:$BC$430,2,FALSE))</f>
        <v>11•1</v>
      </c>
      <c r="R26" s="18" t="str">
        <f ca="1">IF(ISNONTEXT(VLOOKUP(ADDRESS(26,18),$BB$30:$BC$430,1,FALSE)),"",VLOOKUP(ADDRESS(26,18),$BB$30:$BC$430,2,FALSE))</f>
        <v>14•5</v>
      </c>
      <c r="S26" s="18" t="str">
        <f ca="1">IF($C26&lt;&gt;"","X","")</f>
        <v>X</v>
      </c>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4"/>
      <c r="AV26" s="30"/>
      <c r="AW26" s="32"/>
      <c r="AY26"/>
      <c r="AZ26"/>
      <c r="BA26" s="23" t="str">
        <f ca="1">IF(COUNTIF(TvT!$AH$11:$AH$46,"vs"),8,"")</f>
        <v/>
      </c>
      <c r="BB26" t="str">
        <f t="shared" ref="BB26:CO26" ca="1" si="15">IF(D75&lt;D76,D76,D75)</f>
        <v/>
      </c>
      <c r="BC26" t="str">
        <f t="shared" ca="1" si="15"/>
        <v/>
      </c>
      <c r="BD26" t="str">
        <f t="shared" ca="1" si="15"/>
        <v/>
      </c>
      <c r="BE26" t="str">
        <f t="shared" ca="1" si="15"/>
        <v/>
      </c>
      <c r="BF26" t="str">
        <f t="shared" ca="1" si="15"/>
        <v/>
      </c>
      <c r="BG26" t="str">
        <f t="shared" ca="1" si="15"/>
        <v/>
      </c>
      <c r="BH26" t="str">
        <f t="shared" ca="1" si="15"/>
        <v/>
      </c>
      <c r="BI26" t="str">
        <f t="shared" ca="1" si="15"/>
        <v/>
      </c>
      <c r="BJ26" t="str">
        <f t="shared" ca="1" si="15"/>
        <v/>
      </c>
      <c r="BK26" t="str">
        <f t="shared" ca="1" si="15"/>
        <v/>
      </c>
      <c r="BL26" t="str">
        <f t="shared" ca="1" si="15"/>
        <v/>
      </c>
      <c r="BM26" t="str">
        <f t="shared" ca="1" si="15"/>
        <v/>
      </c>
      <c r="BN26" t="str">
        <f t="shared" ca="1" si="15"/>
        <v/>
      </c>
      <c r="BO26" t="str">
        <f t="shared" ca="1" si="15"/>
        <v/>
      </c>
      <c r="BP26" t="str">
        <f t="shared" ca="1" si="15"/>
        <v/>
      </c>
      <c r="BQ26" t="str">
        <f t="shared" ca="1" si="15"/>
        <v/>
      </c>
      <c r="BR26" t="str">
        <f t="shared" ca="1" si="15"/>
        <v/>
      </c>
      <c r="BS26" t="str">
        <f t="shared" ca="1" si="15"/>
        <v/>
      </c>
      <c r="BT26" t="str">
        <f t="shared" ca="1" si="15"/>
        <v/>
      </c>
      <c r="BU26" t="str">
        <f t="shared" ca="1" si="15"/>
        <v/>
      </c>
      <c r="BV26" t="str">
        <f t="shared" ca="1" si="15"/>
        <v/>
      </c>
      <c r="BW26" t="str">
        <f t="shared" ca="1" si="15"/>
        <v/>
      </c>
      <c r="BX26" t="str">
        <f t="shared" ca="1" si="15"/>
        <v/>
      </c>
      <c r="BY26" t="str">
        <f t="shared" ca="1" si="15"/>
        <v/>
      </c>
      <c r="BZ26" t="str">
        <f t="shared" ca="1" si="15"/>
        <v/>
      </c>
      <c r="CA26" t="str">
        <f t="shared" ca="1" si="15"/>
        <v/>
      </c>
      <c r="CB26" t="str">
        <f t="shared" ca="1" si="15"/>
        <v/>
      </c>
      <c r="CC26" t="str">
        <f t="shared" ca="1" si="15"/>
        <v/>
      </c>
      <c r="CD26" t="str">
        <f t="shared" ca="1" si="15"/>
        <v/>
      </c>
      <c r="CE26" t="str">
        <f t="shared" ca="1" si="15"/>
        <v/>
      </c>
      <c r="CF26" t="str">
        <f t="shared" ca="1" si="15"/>
        <v/>
      </c>
      <c r="CG26" t="str">
        <f t="shared" ca="1" si="15"/>
        <v/>
      </c>
      <c r="CH26" t="str">
        <f t="shared" ca="1" si="15"/>
        <v/>
      </c>
      <c r="CI26" t="str">
        <f t="shared" ca="1" si="15"/>
        <v/>
      </c>
      <c r="CJ26" t="str">
        <f t="shared" ca="1" si="15"/>
        <v/>
      </c>
      <c r="CK26" t="str">
        <f t="shared" ca="1" si="15"/>
        <v/>
      </c>
      <c r="CL26" t="str">
        <f t="shared" ca="1" si="15"/>
        <v/>
      </c>
      <c r="CM26" t="str">
        <f t="shared" ca="1" si="15"/>
        <v/>
      </c>
      <c r="CN26" t="str">
        <f t="shared" ca="1" si="15"/>
        <v/>
      </c>
      <c r="CO26" t="str">
        <f t="shared" ca="1" si="15"/>
        <v/>
      </c>
      <c r="CP26"/>
      <c r="CQ26"/>
      <c r="CR26"/>
      <c r="CS26"/>
      <c r="CT26"/>
      <c r="CU26"/>
      <c r="CV26"/>
      <c r="CW26"/>
      <c r="CX26"/>
      <c r="CY26"/>
      <c r="CZ26"/>
      <c r="DA26"/>
      <c r="DB26"/>
      <c r="DC26"/>
      <c r="DD26"/>
      <c r="DE26"/>
      <c r="DF26"/>
      <c r="DG26"/>
      <c r="DH26"/>
      <c r="DI26"/>
      <c r="DJ26"/>
      <c r="DK26"/>
      <c r="DL26"/>
      <c r="DM26"/>
      <c r="DN26"/>
      <c r="DO26"/>
      <c r="DP26"/>
      <c r="DQ26"/>
      <c r="DR26"/>
      <c r="DS26"/>
    </row>
    <row r="27" spans="1:123" ht="12" customHeight="1">
      <c r="A27" s="16">
        <v>17</v>
      </c>
      <c r="B27" s="16">
        <f>DrawFinder!Y27</f>
        <v>3</v>
      </c>
      <c r="C27" s="16" t="str">
        <f ca="1">CS!AR27</f>
        <v>Tm17</v>
      </c>
      <c r="D27" s="18" t="str">
        <f ca="1">IF(ISNONTEXT(VLOOKUP(ADDRESS(27,4),$BB$30:$BC$430,1,FALSE)),"",VLOOKUP(ADDRESS(27,4),$BB$30:$BC$430,2,FALSE))</f>
        <v/>
      </c>
      <c r="E27" s="18" t="str">
        <f ca="1">IF(ISNONTEXT(VLOOKUP(ADDRESS(27,5),$BB$30:$BC$430,1,FALSE)),"",VLOOKUP(ADDRESS(27,5),$BB$30:$BC$430,2,FALSE))</f>
        <v/>
      </c>
      <c r="F27" s="18" t="str">
        <f ca="1">IF(ISNONTEXT(VLOOKUP(ADDRESS(27,6),$BB$30:$BC$430,1,FALSE)),"",VLOOKUP(ADDRESS(27,6),$BB$30:$BC$430,2,FALSE))</f>
        <v/>
      </c>
      <c r="G27" s="18" t="str">
        <f ca="1">IF(ISNONTEXT(VLOOKUP(ADDRESS(27,7),$BB$30:$BC$430,1,FALSE)),"",VLOOKUP(ADDRESS(27,7),$BB$30:$BC$430,2,FALSE))</f>
        <v/>
      </c>
      <c r="H27" s="18" t="str">
        <f ca="1">IF(ISNONTEXT(VLOOKUP(ADDRESS(27,8),$BB$30:$BC$430,1,FALSE)),"",VLOOKUP(ADDRESS(27,8),$BB$30:$BC$430,2,FALSE))</f>
        <v/>
      </c>
      <c r="I27" s="18" t="str">
        <f ca="1">IF(ISNONTEXT(VLOOKUP(ADDRESS(27,9),$BB$30:$BC$430,1,FALSE)),"",VLOOKUP(ADDRESS(27,9),$BB$30:$BC$430,2,FALSE))</f>
        <v/>
      </c>
      <c r="J27" s="18" t="str">
        <f ca="1">IF(ISNONTEXT(VLOOKUP(ADDRESS(27,10),$BB$30:$BC$430,1,FALSE)),"",VLOOKUP(ADDRESS(27,10),$BB$30:$BC$430,2,FALSE))</f>
        <v/>
      </c>
      <c r="K27" s="18" t="str">
        <f ca="1">IF(ISNONTEXT(VLOOKUP(ADDRESS(27,11),$BB$30:$BC$430,1,FALSE)),"",VLOOKUP(ADDRESS(27,11),$BB$30:$BC$430,2,FALSE))</f>
        <v/>
      </c>
      <c r="L27" s="18" t="str">
        <f ca="1">IF(ISNONTEXT(VLOOKUP(ADDRESS(27,12),$BB$30:$BC$430,1,FALSE)),"",VLOOKUP(ADDRESS(27,12),$BB$30:$BC$430,2,FALSE))</f>
        <v/>
      </c>
      <c r="M27" s="18" t="str">
        <f ca="1">IF(ISNONTEXT(VLOOKUP(ADDRESS(27,13),$BB$30:$BC$430,1,FALSE)),"",VLOOKUP(ADDRESS(27,13),$BB$30:$BC$430,2,FALSE))</f>
        <v/>
      </c>
      <c r="N27" s="18" t="str">
        <f ca="1">IF(ISNONTEXT(VLOOKUP(ADDRESS(27,14),$BB$30:$BC$430,1,FALSE)),"",VLOOKUP(ADDRESS(27,14),$BB$30:$BC$430,2,FALSE))</f>
        <v/>
      </c>
      <c r="O27" s="18" t="str">
        <f ca="1">IF(ISNONTEXT(VLOOKUP(ADDRESS(27,15),$BB$30:$BC$430,1,FALSE)),"",VLOOKUP(ADDRESS(27,15),$BB$30:$BC$430,2,FALSE))</f>
        <v/>
      </c>
      <c r="P27" s="18" t="str">
        <f ca="1">IF(ISNONTEXT(VLOOKUP(ADDRESS(27,16),$BB$30:$BC$430,1,FALSE)),"",VLOOKUP(ADDRESS(27,16),$BB$30:$BC$430,2,FALSE))</f>
        <v/>
      </c>
      <c r="Q27" s="18" t="str">
        <f ca="1">IF(ISNONTEXT(VLOOKUP(ADDRESS(27,17),$BB$30:$BC$430,1,FALSE)),"",VLOOKUP(ADDRESS(27,17),$BB$30:$BC$430,2,FALSE))</f>
        <v/>
      </c>
      <c r="R27" s="18" t="str">
        <f ca="1">IF(ISNONTEXT(VLOOKUP(ADDRESS(27,18),$BB$30:$BC$430,1,FALSE)),"",VLOOKUP(ADDRESS(27,18),$BB$30:$BC$430,2,FALSE))</f>
        <v/>
      </c>
      <c r="S27" s="18" t="str">
        <f ca="1">IF(ISNONTEXT(VLOOKUP(ADDRESS(27,19),$BB$30:$BC$430,1,FALSE)),"",VLOOKUP(ADDRESS(27,19),$BB$30:$BC$430,2,FALSE))</f>
        <v/>
      </c>
      <c r="T27" s="18" t="str">
        <f ca="1">IF($C27&lt;&gt;"","X","")</f>
        <v>X</v>
      </c>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4"/>
      <c r="AV27" s="30"/>
      <c r="AW27" s="32"/>
      <c r="AY27"/>
      <c r="AZ27"/>
      <c r="BA27" s="21" t="str">
        <f ca="1">IF(COUNTIF(TvT!$AL$11:$AL$46,"vs"),-9,"")</f>
        <v/>
      </c>
      <c r="BB27" t="str">
        <f t="shared" ref="BB27:CO27" ca="1" si="16">IF(D77&lt;D78,D77,D78)</f>
        <v/>
      </c>
      <c r="BC27" t="str">
        <f t="shared" ca="1" si="16"/>
        <v/>
      </c>
      <c r="BD27" t="str">
        <f t="shared" ca="1" si="16"/>
        <v/>
      </c>
      <c r="BE27" t="str">
        <f t="shared" ca="1" si="16"/>
        <v/>
      </c>
      <c r="BF27" t="str">
        <f t="shared" ca="1" si="16"/>
        <v/>
      </c>
      <c r="BG27" t="str">
        <f t="shared" ca="1" si="16"/>
        <v/>
      </c>
      <c r="BH27" t="str">
        <f t="shared" ca="1" si="16"/>
        <v/>
      </c>
      <c r="BI27" t="str">
        <f t="shared" ca="1" si="16"/>
        <v/>
      </c>
      <c r="BJ27" t="str">
        <f t="shared" ca="1" si="16"/>
        <v/>
      </c>
      <c r="BK27" t="str">
        <f t="shared" ca="1" si="16"/>
        <v/>
      </c>
      <c r="BL27" t="str">
        <f t="shared" ca="1" si="16"/>
        <v/>
      </c>
      <c r="BM27" t="str">
        <f t="shared" ca="1" si="16"/>
        <v/>
      </c>
      <c r="BN27" t="str">
        <f t="shared" ca="1" si="16"/>
        <v/>
      </c>
      <c r="BO27" t="str">
        <f t="shared" ca="1" si="16"/>
        <v/>
      </c>
      <c r="BP27" t="str">
        <f t="shared" ca="1" si="16"/>
        <v/>
      </c>
      <c r="BQ27" t="str">
        <f t="shared" ca="1" si="16"/>
        <v/>
      </c>
      <c r="BR27" t="str">
        <f t="shared" ca="1" si="16"/>
        <v/>
      </c>
      <c r="BS27" t="str">
        <f t="shared" ca="1" si="16"/>
        <v/>
      </c>
      <c r="BT27" t="str">
        <f t="shared" ca="1" si="16"/>
        <v/>
      </c>
      <c r="BU27" t="str">
        <f t="shared" ca="1" si="16"/>
        <v/>
      </c>
      <c r="BV27" t="str">
        <f t="shared" ca="1" si="16"/>
        <v/>
      </c>
      <c r="BW27" t="str">
        <f t="shared" ca="1" si="16"/>
        <v/>
      </c>
      <c r="BX27" t="str">
        <f t="shared" ca="1" si="16"/>
        <v/>
      </c>
      <c r="BY27" t="str">
        <f t="shared" ca="1" si="16"/>
        <v/>
      </c>
      <c r="BZ27" t="str">
        <f t="shared" ca="1" si="16"/>
        <v/>
      </c>
      <c r="CA27" t="str">
        <f t="shared" ca="1" si="16"/>
        <v/>
      </c>
      <c r="CB27" t="str">
        <f t="shared" ca="1" si="16"/>
        <v/>
      </c>
      <c r="CC27" t="str">
        <f t="shared" ca="1" si="16"/>
        <v/>
      </c>
      <c r="CD27" t="str">
        <f t="shared" ca="1" si="16"/>
        <v/>
      </c>
      <c r="CE27" t="str">
        <f t="shared" ca="1" si="16"/>
        <v/>
      </c>
      <c r="CF27" t="str">
        <f t="shared" ca="1" si="16"/>
        <v/>
      </c>
      <c r="CG27" t="str">
        <f t="shared" ca="1" si="16"/>
        <v/>
      </c>
      <c r="CH27" t="str">
        <f t="shared" ca="1" si="16"/>
        <v/>
      </c>
      <c r="CI27" t="str">
        <f t="shared" ca="1" si="16"/>
        <v/>
      </c>
      <c r="CJ27" t="str">
        <f t="shared" ca="1" si="16"/>
        <v/>
      </c>
      <c r="CK27" t="str">
        <f t="shared" ca="1" si="16"/>
        <v/>
      </c>
      <c r="CL27" t="str">
        <f t="shared" ca="1" si="16"/>
        <v/>
      </c>
      <c r="CM27" t="str">
        <f t="shared" ca="1" si="16"/>
        <v/>
      </c>
      <c r="CN27" t="str">
        <f t="shared" ca="1" si="16"/>
        <v/>
      </c>
      <c r="CO27" t="str">
        <f t="shared" ca="1" si="16"/>
        <v/>
      </c>
      <c r="CP27"/>
      <c r="CQ27"/>
      <c r="CR27"/>
      <c r="CS27"/>
      <c r="CT27"/>
      <c r="CU27"/>
      <c r="CV27"/>
      <c r="CW27"/>
      <c r="CX27"/>
      <c r="CY27"/>
      <c r="CZ27"/>
      <c r="DA27"/>
      <c r="DB27"/>
      <c r="DC27"/>
      <c r="DD27"/>
      <c r="DE27"/>
      <c r="DF27"/>
      <c r="DG27"/>
      <c r="DH27"/>
      <c r="DI27"/>
      <c r="DJ27"/>
      <c r="DK27"/>
      <c r="DL27"/>
      <c r="DM27"/>
      <c r="DN27"/>
      <c r="DO27"/>
      <c r="DP27"/>
      <c r="DQ27"/>
      <c r="DR27"/>
      <c r="DS27"/>
    </row>
    <row r="28" spans="1:123" ht="12" customHeight="1">
      <c r="A28" s="16">
        <v>18</v>
      </c>
      <c r="B28" s="16">
        <f>DrawFinder!Y28</f>
        <v>3</v>
      </c>
      <c r="C28" s="16" t="str">
        <f ca="1">CS!AR28</f>
        <v>Tm18</v>
      </c>
      <c r="D28" s="18" t="str">
        <f ca="1">IF(ISNONTEXT(VLOOKUP(ADDRESS(28,4),$BB$30:$BC$430,1,FALSE)),"",VLOOKUP(ADDRESS(28,4),$BB$30:$BC$430,2,FALSE))</f>
        <v/>
      </c>
      <c r="E28" s="18" t="str">
        <f ca="1">IF(ISNONTEXT(VLOOKUP(ADDRESS(28,5),$BB$30:$BC$430,1,FALSE)),"",VLOOKUP(ADDRESS(28,5),$BB$30:$BC$430,2,FALSE))</f>
        <v/>
      </c>
      <c r="F28" s="18" t="str">
        <f ca="1">IF(ISNONTEXT(VLOOKUP(ADDRESS(28,6),$BB$30:$BC$430,1,FALSE)),"",VLOOKUP(ADDRESS(28,6),$BB$30:$BC$430,2,FALSE))</f>
        <v/>
      </c>
      <c r="G28" s="18" t="str">
        <f ca="1">IF(ISNONTEXT(VLOOKUP(ADDRESS(28,7),$BB$30:$BC$430,1,FALSE)),"",VLOOKUP(ADDRESS(28,7),$BB$30:$BC$430,2,FALSE))</f>
        <v/>
      </c>
      <c r="H28" s="18" t="str">
        <f ca="1">IF(ISNONTEXT(VLOOKUP(ADDRESS(28,8),$BB$30:$BC$430,1,FALSE)),"",VLOOKUP(ADDRESS(28,8),$BB$30:$BC$430,2,FALSE))</f>
        <v/>
      </c>
      <c r="I28" s="18" t="str">
        <f ca="1">IF(ISNONTEXT(VLOOKUP(ADDRESS(28,9),$BB$30:$BC$430,1,FALSE)),"",VLOOKUP(ADDRESS(28,9),$BB$30:$BC$430,2,FALSE))</f>
        <v/>
      </c>
      <c r="J28" s="18" t="str">
        <f ca="1">IF(ISNONTEXT(VLOOKUP(ADDRESS(28,10),$BB$30:$BC$430,1,FALSE)),"",VLOOKUP(ADDRESS(28,10),$BB$30:$BC$430,2,FALSE))</f>
        <v/>
      </c>
      <c r="K28" s="18" t="str">
        <f ca="1">IF(ISNONTEXT(VLOOKUP(ADDRESS(28,11),$BB$30:$BC$430,1,FALSE)),"",VLOOKUP(ADDRESS(28,11),$BB$30:$BC$430,2,FALSE))</f>
        <v/>
      </c>
      <c r="L28" s="18" t="str">
        <f ca="1">IF(ISNONTEXT(VLOOKUP(ADDRESS(28,12),$BB$30:$BC$430,1,FALSE)),"",VLOOKUP(ADDRESS(28,12),$BB$30:$BC$430,2,FALSE))</f>
        <v/>
      </c>
      <c r="M28" s="18" t="str">
        <f ca="1">IF(ISNONTEXT(VLOOKUP(ADDRESS(28,13),$BB$30:$BC$430,1,FALSE)),"",VLOOKUP(ADDRESS(28,13),$BB$30:$BC$430,2,FALSE))</f>
        <v/>
      </c>
      <c r="N28" s="18" t="str">
        <f ca="1">IF(ISNONTEXT(VLOOKUP(ADDRESS(28,14),$BB$30:$BC$430,1,FALSE)),"",VLOOKUP(ADDRESS(28,14),$BB$30:$BC$430,2,FALSE))</f>
        <v/>
      </c>
      <c r="O28" s="18" t="str">
        <f ca="1">IF(ISNONTEXT(VLOOKUP(ADDRESS(28,15),$BB$30:$BC$430,1,FALSE)),"",VLOOKUP(ADDRESS(28,15),$BB$30:$BC$430,2,FALSE))</f>
        <v/>
      </c>
      <c r="P28" s="18" t="str">
        <f ca="1">IF(ISNONTEXT(VLOOKUP(ADDRESS(28,16),$BB$30:$BC$430,1,FALSE)),"",VLOOKUP(ADDRESS(28,16),$BB$30:$BC$430,2,FALSE))</f>
        <v/>
      </c>
      <c r="Q28" s="18" t="str">
        <f ca="1">IF(ISNONTEXT(VLOOKUP(ADDRESS(28,17),$BB$30:$BC$430,1,FALSE)),"",VLOOKUP(ADDRESS(28,17),$BB$30:$BC$430,2,FALSE))</f>
        <v/>
      </c>
      <c r="R28" s="18" t="str">
        <f ca="1">IF(ISNONTEXT(VLOOKUP(ADDRESS(28,18),$BB$30:$BC$430,1,FALSE)),"",VLOOKUP(ADDRESS(28,18),$BB$30:$BC$430,2,FALSE))</f>
        <v/>
      </c>
      <c r="S28" s="18" t="str">
        <f ca="1">IF(ISNONTEXT(VLOOKUP(ADDRESS(28,19),$BB$30:$BC$430,1,FALSE)),"",VLOOKUP(ADDRESS(28,19),$BB$30:$BC$430,2,FALSE))</f>
        <v/>
      </c>
      <c r="T28" s="18" t="str">
        <f ca="1">IF(ISNONTEXT(VLOOKUP(ADDRESS(28,20),$BB$30:$BC$430,1,FALSE)),"",VLOOKUP(ADDRESS(28,20),$BB$30:$BC$430,2,FALSE))</f>
        <v>13•1</v>
      </c>
      <c r="U28" s="18" t="str">
        <f ca="1">IF($C28&lt;&gt;"","X","")</f>
        <v>X</v>
      </c>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4"/>
      <c r="AV28" s="30"/>
      <c r="AW28" s="32"/>
      <c r="AY28"/>
      <c r="AZ28"/>
      <c r="BA28" s="23" t="str">
        <f ca="1">IF(COUNTIF(TvT!$AL$11:$AL$46,"vs"),9,"")</f>
        <v/>
      </c>
      <c r="BB28" t="str">
        <f t="shared" ref="BB28:CO28" ca="1" si="17">IF(D77&lt;D78,D78,D77)</f>
        <v/>
      </c>
      <c r="BC28" t="str">
        <f t="shared" ca="1" si="17"/>
        <v/>
      </c>
      <c r="BD28" t="str">
        <f t="shared" ca="1" si="17"/>
        <v/>
      </c>
      <c r="BE28" t="str">
        <f t="shared" ca="1" si="17"/>
        <v/>
      </c>
      <c r="BF28" t="str">
        <f t="shared" ca="1" si="17"/>
        <v/>
      </c>
      <c r="BG28" t="str">
        <f t="shared" ca="1" si="17"/>
        <v/>
      </c>
      <c r="BH28" t="str">
        <f t="shared" ca="1" si="17"/>
        <v/>
      </c>
      <c r="BI28" t="str">
        <f t="shared" ca="1" si="17"/>
        <v/>
      </c>
      <c r="BJ28" t="str">
        <f t="shared" ca="1" si="17"/>
        <v/>
      </c>
      <c r="BK28" t="str">
        <f t="shared" ca="1" si="17"/>
        <v/>
      </c>
      <c r="BL28" t="str">
        <f t="shared" ca="1" si="17"/>
        <v/>
      </c>
      <c r="BM28" t="str">
        <f t="shared" ca="1" si="17"/>
        <v/>
      </c>
      <c r="BN28" t="str">
        <f t="shared" ca="1" si="17"/>
        <v/>
      </c>
      <c r="BO28" t="str">
        <f t="shared" ca="1" si="17"/>
        <v/>
      </c>
      <c r="BP28" t="str">
        <f t="shared" ca="1" si="17"/>
        <v/>
      </c>
      <c r="BQ28" t="str">
        <f t="shared" ca="1" si="17"/>
        <v/>
      </c>
      <c r="BR28" t="str">
        <f t="shared" ca="1" si="17"/>
        <v/>
      </c>
      <c r="BS28" t="str">
        <f t="shared" ca="1" si="17"/>
        <v/>
      </c>
      <c r="BT28" t="str">
        <f t="shared" ca="1" si="17"/>
        <v/>
      </c>
      <c r="BU28" t="str">
        <f t="shared" ca="1" si="17"/>
        <v/>
      </c>
      <c r="BV28" t="str">
        <f t="shared" ca="1" si="17"/>
        <v/>
      </c>
      <c r="BW28" t="str">
        <f t="shared" ca="1" si="17"/>
        <v/>
      </c>
      <c r="BX28" t="str">
        <f t="shared" ca="1" si="17"/>
        <v/>
      </c>
      <c r="BY28" t="str">
        <f t="shared" ca="1" si="17"/>
        <v/>
      </c>
      <c r="BZ28" t="str">
        <f t="shared" ca="1" si="17"/>
        <v/>
      </c>
      <c r="CA28" t="str">
        <f t="shared" ca="1" si="17"/>
        <v/>
      </c>
      <c r="CB28" t="str">
        <f t="shared" ca="1" si="17"/>
        <v/>
      </c>
      <c r="CC28" t="str">
        <f t="shared" ca="1" si="17"/>
        <v/>
      </c>
      <c r="CD28" t="str">
        <f t="shared" ca="1" si="17"/>
        <v/>
      </c>
      <c r="CE28" t="str">
        <f t="shared" ca="1" si="17"/>
        <v/>
      </c>
      <c r="CF28" t="str">
        <f t="shared" ca="1" si="17"/>
        <v/>
      </c>
      <c r="CG28" t="str">
        <f t="shared" ca="1" si="17"/>
        <v/>
      </c>
      <c r="CH28" t="str">
        <f t="shared" ca="1" si="17"/>
        <v/>
      </c>
      <c r="CI28" t="str">
        <f t="shared" ca="1" si="17"/>
        <v/>
      </c>
      <c r="CJ28" t="str">
        <f t="shared" ca="1" si="17"/>
        <v/>
      </c>
      <c r="CK28" t="str">
        <f t="shared" ca="1" si="17"/>
        <v/>
      </c>
      <c r="CL28" t="str">
        <f t="shared" ca="1" si="17"/>
        <v/>
      </c>
      <c r="CM28" t="str">
        <f t="shared" ca="1" si="17"/>
        <v/>
      </c>
      <c r="CN28" t="str">
        <f t="shared" ca="1" si="17"/>
        <v/>
      </c>
      <c r="CO28" t="str">
        <f t="shared" ca="1" si="17"/>
        <v/>
      </c>
      <c r="CP28"/>
      <c r="CQ28"/>
      <c r="CR28"/>
      <c r="CS28"/>
      <c r="CT28"/>
      <c r="CU28"/>
      <c r="CV28"/>
      <c r="CW28"/>
      <c r="CX28"/>
      <c r="CY28"/>
      <c r="CZ28"/>
      <c r="DA28"/>
      <c r="DB28"/>
      <c r="DC28"/>
      <c r="DD28"/>
      <c r="DE28"/>
      <c r="DF28"/>
      <c r="DG28"/>
      <c r="DH28"/>
      <c r="DI28"/>
      <c r="DJ28"/>
      <c r="DK28"/>
      <c r="DL28"/>
      <c r="DM28"/>
      <c r="DN28"/>
      <c r="DO28"/>
      <c r="DP28"/>
      <c r="DQ28"/>
      <c r="DR28"/>
      <c r="DS28"/>
    </row>
    <row r="29" spans="1:123" ht="12" customHeight="1">
      <c r="A29" s="16">
        <v>19</v>
      </c>
      <c r="B29" s="16">
        <f>DrawFinder!Y29</f>
        <v>3</v>
      </c>
      <c r="C29" s="16" t="str">
        <f ca="1">CS!AR29</f>
        <v>Tm19</v>
      </c>
      <c r="D29" s="18" t="str">
        <f ca="1">IF(ISNONTEXT(VLOOKUP(ADDRESS(29,4),$BB$30:$BC$430,1,FALSE)),"",VLOOKUP(ADDRESS(29,4),$BB$30:$BC$430,2,FALSE))</f>
        <v/>
      </c>
      <c r="E29" s="18" t="str">
        <f ca="1">IF(ISNONTEXT(VLOOKUP(ADDRESS(29,5),$BB$30:$BC$430,1,FALSE)),"",VLOOKUP(ADDRESS(29,5),$BB$30:$BC$430,2,FALSE))</f>
        <v/>
      </c>
      <c r="F29" s="18" t="str">
        <f ca="1">IF(ISNONTEXT(VLOOKUP(ADDRESS(29,6),$BB$30:$BC$430,1,FALSE)),"",VLOOKUP(ADDRESS(29,6),$BB$30:$BC$430,2,FALSE))</f>
        <v/>
      </c>
      <c r="G29" s="18" t="str">
        <f ca="1">IF(ISNONTEXT(VLOOKUP(ADDRESS(29,7),$BB$30:$BC$430,1,FALSE)),"",VLOOKUP(ADDRESS(29,7),$BB$30:$BC$430,2,FALSE))</f>
        <v/>
      </c>
      <c r="H29" s="18" t="str">
        <f ca="1">IF(ISNONTEXT(VLOOKUP(ADDRESS(29,8),$BB$30:$BC$430,1,FALSE)),"",VLOOKUP(ADDRESS(29,8),$BB$30:$BC$430,2,FALSE))</f>
        <v/>
      </c>
      <c r="I29" s="18" t="str">
        <f ca="1">IF(ISNONTEXT(VLOOKUP(ADDRESS(29,9),$BB$30:$BC$430,1,FALSE)),"",VLOOKUP(ADDRESS(29,9),$BB$30:$BC$430,2,FALSE))</f>
        <v/>
      </c>
      <c r="J29" s="18" t="str">
        <f ca="1">IF(ISNONTEXT(VLOOKUP(ADDRESS(29,10),$BB$30:$BC$430,1,FALSE)),"",VLOOKUP(ADDRESS(29,10),$BB$30:$BC$430,2,FALSE))</f>
        <v/>
      </c>
      <c r="K29" s="18" t="str">
        <f ca="1">IF(ISNONTEXT(VLOOKUP(ADDRESS(29,11),$BB$30:$BC$430,1,FALSE)),"",VLOOKUP(ADDRESS(29,11),$BB$30:$BC$430,2,FALSE))</f>
        <v/>
      </c>
      <c r="L29" s="18" t="str">
        <f ca="1">IF(ISNONTEXT(VLOOKUP(ADDRESS(29,12),$BB$30:$BC$430,1,FALSE)),"",VLOOKUP(ADDRESS(29,12),$BB$30:$BC$430,2,FALSE))</f>
        <v/>
      </c>
      <c r="M29" s="18" t="str">
        <f ca="1">IF(ISNONTEXT(VLOOKUP(ADDRESS(29,13),$BB$30:$BC$430,1,FALSE)),"",VLOOKUP(ADDRESS(29,13),$BB$30:$BC$430,2,FALSE))</f>
        <v/>
      </c>
      <c r="N29" s="18" t="str">
        <f ca="1">IF(ISNONTEXT(VLOOKUP(ADDRESS(29,14),$BB$30:$BC$430,1,FALSE)),"",VLOOKUP(ADDRESS(29,14),$BB$30:$BC$430,2,FALSE))</f>
        <v/>
      </c>
      <c r="O29" s="18" t="str">
        <f ca="1">IF(ISNONTEXT(VLOOKUP(ADDRESS(29,15),$BB$30:$BC$430,1,FALSE)),"",VLOOKUP(ADDRESS(29,15),$BB$30:$BC$430,2,FALSE))</f>
        <v/>
      </c>
      <c r="P29" s="18" t="str">
        <f ca="1">IF(ISNONTEXT(VLOOKUP(ADDRESS(29,16),$BB$30:$BC$430,1,FALSE)),"",VLOOKUP(ADDRESS(29,16),$BB$30:$BC$430,2,FALSE))</f>
        <v/>
      </c>
      <c r="Q29" s="18" t="str">
        <f ca="1">IF(ISNONTEXT(VLOOKUP(ADDRESS(29,17),$BB$30:$BC$430,1,FALSE)),"",VLOOKUP(ADDRESS(29,17),$BB$30:$BC$430,2,FALSE))</f>
        <v/>
      </c>
      <c r="R29" s="18" t="str">
        <f ca="1">IF(ISNONTEXT(VLOOKUP(ADDRESS(29,18),$BB$30:$BC$430,1,FALSE)),"",VLOOKUP(ADDRESS(29,18),$BB$30:$BC$430,2,FALSE))</f>
        <v/>
      </c>
      <c r="S29" s="18" t="str">
        <f ca="1">IF(ISNONTEXT(VLOOKUP(ADDRESS(29,19),$BB$30:$BC$430,1,FALSE)),"",VLOOKUP(ADDRESS(29,19),$BB$30:$BC$430,2,FALSE))</f>
        <v/>
      </c>
      <c r="T29" s="18" t="str">
        <f ca="1">IF(ISNONTEXT(VLOOKUP(ADDRESS(29,20),$BB$30:$BC$430,1,FALSE)),"",VLOOKUP(ADDRESS(29,20),$BB$30:$BC$430,2,FALSE))</f>
        <v>12•4</v>
      </c>
      <c r="U29" s="18" t="str">
        <f ca="1">IF(ISNONTEXT(VLOOKUP(ADDRESS(29,21),$BB$30:$BC$430,1,FALSE)),"",VLOOKUP(ADDRESS(29,21),$BB$30:$BC$430,2,FALSE))</f>
        <v>9•5</v>
      </c>
      <c r="V29" s="18" t="str">
        <f ca="1">IF($C29&lt;&gt;"","X","")</f>
        <v>X</v>
      </c>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4"/>
      <c r="AV29" s="30"/>
      <c r="AW29" s="32"/>
      <c r="AY29"/>
      <c r="AZ29"/>
      <c r="BA29" s="21" t="str">
        <f ca="1">IF(COUNTIF(TvT!$AP$11:$AP$46,"vs"),-10,"")</f>
        <v/>
      </c>
      <c r="BB29" t="str">
        <f t="shared" ref="BB29:CO29" ca="1" si="18">IF(D79&lt;D80,D79,D80)</f>
        <v/>
      </c>
      <c r="BC29" t="str">
        <f t="shared" ca="1" si="18"/>
        <v/>
      </c>
      <c r="BD29" t="str">
        <f t="shared" ca="1" si="18"/>
        <v/>
      </c>
      <c r="BE29" t="str">
        <f t="shared" ca="1" si="18"/>
        <v/>
      </c>
      <c r="BF29" t="str">
        <f t="shared" ca="1" si="18"/>
        <v/>
      </c>
      <c r="BG29" t="str">
        <f t="shared" ca="1" si="18"/>
        <v/>
      </c>
      <c r="BH29" t="str">
        <f t="shared" ca="1" si="18"/>
        <v/>
      </c>
      <c r="BI29" t="str">
        <f t="shared" ca="1" si="18"/>
        <v/>
      </c>
      <c r="BJ29" t="str">
        <f t="shared" ca="1" si="18"/>
        <v/>
      </c>
      <c r="BK29" t="str">
        <f t="shared" ca="1" si="18"/>
        <v/>
      </c>
      <c r="BL29" t="str">
        <f t="shared" ca="1" si="18"/>
        <v/>
      </c>
      <c r="BM29" t="str">
        <f t="shared" ca="1" si="18"/>
        <v/>
      </c>
      <c r="BN29" t="str">
        <f t="shared" ca="1" si="18"/>
        <v/>
      </c>
      <c r="BO29" t="str">
        <f t="shared" ca="1" si="18"/>
        <v/>
      </c>
      <c r="BP29" t="str">
        <f t="shared" ca="1" si="18"/>
        <v/>
      </c>
      <c r="BQ29" t="str">
        <f t="shared" ca="1" si="18"/>
        <v/>
      </c>
      <c r="BR29" t="str">
        <f t="shared" ca="1" si="18"/>
        <v/>
      </c>
      <c r="BS29" t="str">
        <f t="shared" ca="1" si="18"/>
        <v/>
      </c>
      <c r="BT29" t="str">
        <f t="shared" ca="1" si="18"/>
        <v/>
      </c>
      <c r="BU29" t="str">
        <f t="shared" ca="1" si="18"/>
        <v/>
      </c>
      <c r="BV29" t="str">
        <f t="shared" ca="1" si="18"/>
        <v/>
      </c>
      <c r="BW29" t="str">
        <f t="shared" ca="1" si="18"/>
        <v/>
      </c>
      <c r="BX29" t="str">
        <f t="shared" ca="1" si="18"/>
        <v/>
      </c>
      <c r="BY29" t="str">
        <f t="shared" ca="1" si="18"/>
        <v/>
      </c>
      <c r="BZ29" t="str">
        <f t="shared" ca="1" si="18"/>
        <v/>
      </c>
      <c r="CA29" t="str">
        <f t="shared" ca="1" si="18"/>
        <v/>
      </c>
      <c r="CB29" t="str">
        <f t="shared" ca="1" si="18"/>
        <v/>
      </c>
      <c r="CC29" t="str">
        <f t="shared" ca="1" si="18"/>
        <v/>
      </c>
      <c r="CD29" t="str">
        <f t="shared" ca="1" si="18"/>
        <v/>
      </c>
      <c r="CE29" t="str">
        <f t="shared" ca="1" si="18"/>
        <v/>
      </c>
      <c r="CF29" t="str">
        <f t="shared" ca="1" si="18"/>
        <v/>
      </c>
      <c r="CG29" t="str">
        <f t="shared" ca="1" si="18"/>
        <v/>
      </c>
      <c r="CH29" t="str">
        <f t="shared" ca="1" si="18"/>
        <v/>
      </c>
      <c r="CI29" t="str">
        <f t="shared" ca="1" si="18"/>
        <v/>
      </c>
      <c r="CJ29" t="str">
        <f t="shared" ca="1" si="18"/>
        <v/>
      </c>
      <c r="CK29" t="str">
        <f t="shared" ca="1" si="18"/>
        <v/>
      </c>
      <c r="CL29" t="str">
        <f t="shared" ca="1" si="18"/>
        <v/>
      </c>
      <c r="CM29" t="str">
        <f t="shared" ca="1" si="18"/>
        <v/>
      </c>
      <c r="CN29" t="str">
        <f t="shared" ca="1" si="18"/>
        <v/>
      </c>
      <c r="CO29" t="str">
        <f t="shared" ca="1" si="18"/>
        <v/>
      </c>
      <c r="CP29"/>
      <c r="CQ29"/>
      <c r="CR29"/>
      <c r="CS29"/>
      <c r="CT29"/>
      <c r="CU29"/>
      <c r="CV29"/>
      <c r="CW29"/>
      <c r="CX29"/>
      <c r="CY29"/>
      <c r="CZ29"/>
      <c r="DA29"/>
      <c r="DB29"/>
      <c r="DC29"/>
      <c r="DD29"/>
      <c r="DE29"/>
      <c r="DF29"/>
      <c r="DG29"/>
      <c r="DH29"/>
      <c r="DI29"/>
      <c r="DJ29"/>
      <c r="DK29"/>
      <c r="DL29"/>
      <c r="DM29"/>
      <c r="DN29"/>
      <c r="DO29"/>
      <c r="DP29"/>
      <c r="DQ29"/>
      <c r="DR29"/>
      <c r="DS29"/>
    </row>
    <row r="30" spans="1:123" ht="12" customHeight="1">
      <c r="A30" s="16">
        <v>20</v>
      </c>
      <c r="B30" s="16">
        <f>DrawFinder!Y30</f>
        <v>3</v>
      </c>
      <c r="C30" s="16" t="str">
        <f ca="1">CS!AR30</f>
        <v>Tm20</v>
      </c>
      <c r="D30" s="18" t="str">
        <f ca="1">IF(ISNONTEXT(VLOOKUP(ADDRESS(30,4),$BB$30:$BC$430,1,FALSE)),"",VLOOKUP(ADDRESS(30,4),$BB$30:$BC$430,2,FALSE))</f>
        <v/>
      </c>
      <c r="E30" s="18" t="str">
        <f ca="1">IF(ISNONTEXT(VLOOKUP(ADDRESS(30,5),$BB$30:$BC$430,1,FALSE)),"",VLOOKUP(ADDRESS(30,5),$BB$30:$BC$430,2,FALSE))</f>
        <v/>
      </c>
      <c r="F30" s="18" t="str">
        <f ca="1">IF(ISNONTEXT(VLOOKUP(ADDRESS(30,6),$BB$30:$BC$430,1,FALSE)),"",VLOOKUP(ADDRESS(30,6),$BB$30:$BC$430,2,FALSE))</f>
        <v/>
      </c>
      <c r="G30" s="18" t="str">
        <f ca="1">IF(ISNONTEXT(VLOOKUP(ADDRESS(30,7),$BB$30:$BC$430,1,FALSE)),"",VLOOKUP(ADDRESS(30,7),$BB$30:$BC$430,2,FALSE))</f>
        <v/>
      </c>
      <c r="H30" s="18" t="str">
        <f ca="1">IF(ISNONTEXT(VLOOKUP(ADDRESS(30,8),$BB$30:$BC$430,1,FALSE)),"",VLOOKUP(ADDRESS(30,8),$BB$30:$BC$430,2,FALSE))</f>
        <v/>
      </c>
      <c r="I30" s="18" t="str">
        <f ca="1">IF(ISNONTEXT(VLOOKUP(ADDRESS(30,9),$BB$30:$BC$430,1,FALSE)),"",VLOOKUP(ADDRESS(30,9),$BB$30:$BC$430,2,FALSE))</f>
        <v/>
      </c>
      <c r="J30" s="18" t="str">
        <f ca="1">IF(ISNONTEXT(VLOOKUP(ADDRESS(30,10),$BB$30:$BC$430,1,FALSE)),"",VLOOKUP(ADDRESS(30,10),$BB$30:$BC$430,2,FALSE))</f>
        <v/>
      </c>
      <c r="K30" s="18" t="str">
        <f ca="1">IF(ISNONTEXT(VLOOKUP(ADDRESS(30,11),$BB$30:$BC$430,1,FALSE)),"",VLOOKUP(ADDRESS(30,11),$BB$30:$BC$430,2,FALSE))</f>
        <v/>
      </c>
      <c r="L30" s="18" t="str">
        <f ca="1">IF(ISNONTEXT(VLOOKUP(ADDRESS(30,12),$BB$30:$BC$430,1,FALSE)),"",VLOOKUP(ADDRESS(30,12),$BB$30:$BC$430,2,FALSE))</f>
        <v/>
      </c>
      <c r="M30" s="18" t="str">
        <f ca="1">IF(ISNONTEXT(VLOOKUP(ADDRESS(30,13),$BB$30:$BC$430,1,FALSE)),"",VLOOKUP(ADDRESS(30,13),$BB$30:$BC$430,2,FALSE))</f>
        <v/>
      </c>
      <c r="N30" s="18" t="str">
        <f ca="1">IF(ISNONTEXT(VLOOKUP(ADDRESS(30,14),$BB$30:$BC$430,1,FALSE)),"",VLOOKUP(ADDRESS(30,14),$BB$30:$BC$430,2,FALSE))</f>
        <v/>
      </c>
      <c r="O30" s="18" t="str">
        <f ca="1">IF(ISNONTEXT(VLOOKUP(ADDRESS(30,15),$BB$30:$BC$430,1,FALSE)),"",VLOOKUP(ADDRESS(30,15),$BB$30:$BC$430,2,FALSE))</f>
        <v/>
      </c>
      <c r="P30" s="18" t="str">
        <f ca="1">IF(ISNONTEXT(VLOOKUP(ADDRESS(30,16),$BB$30:$BC$430,1,FALSE)),"",VLOOKUP(ADDRESS(30,16),$BB$30:$BC$430,2,FALSE))</f>
        <v/>
      </c>
      <c r="Q30" s="18" t="str">
        <f ca="1">IF(ISNONTEXT(VLOOKUP(ADDRESS(30,17),$BB$30:$BC$430,1,FALSE)),"",VLOOKUP(ADDRESS(30,17),$BB$30:$BC$430,2,FALSE))</f>
        <v/>
      </c>
      <c r="R30" s="18" t="str">
        <f ca="1">IF(ISNONTEXT(VLOOKUP(ADDRESS(30,18),$BB$30:$BC$430,1,FALSE)),"",VLOOKUP(ADDRESS(30,18),$BB$30:$BC$430,2,FALSE))</f>
        <v/>
      </c>
      <c r="S30" s="18" t="str">
        <f ca="1">IF(ISNONTEXT(VLOOKUP(ADDRESS(30,19),$BB$30:$BC$430,1,FALSE)),"",VLOOKUP(ADDRESS(30,19),$BB$30:$BC$430,2,FALSE))</f>
        <v/>
      </c>
      <c r="T30" s="18" t="str">
        <f ca="1">IF(ISNONTEXT(VLOOKUP(ADDRESS(30,20),$BB$30:$BC$430,1,FALSE)),"",VLOOKUP(ADDRESS(30,20),$BB$30:$BC$430,2,FALSE))</f>
        <v>9•2</v>
      </c>
      <c r="U30" s="18" t="str">
        <f ca="1">IF(ISNONTEXT(VLOOKUP(ADDRESS(30,21),$BB$30:$BC$430,1,FALSE)),"",VLOOKUP(ADDRESS(30,21),$BB$30:$BC$430,2,FALSE))</f>
        <v>12•3</v>
      </c>
      <c r="V30" s="18" t="str">
        <f ca="1">IF(ISNONTEXT(VLOOKUP(ADDRESS(30,22),$BB$30:$BC$430,1,FALSE)),"",VLOOKUP(ADDRESS(30,22),$BB$30:$BC$430,2,FALSE))</f>
        <v>13•6</v>
      </c>
      <c r="W30" s="18" t="str">
        <f ca="1">IF($C30&lt;&gt;"","X","")</f>
        <v>X</v>
      </c>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4"/>
      <c r="AV30" s="30"/>
      <c r="AW30" s="32"/>
      <c r="AY30"/>
      <c r="AZ30"/>
      <c r="BA30" s="23" t="str">
        <f ca="1">IF(COUNTIF(TvT!$AP$11:$AP$46,"vs"),10,"")</f>
        <v/>
      </c>
      <c r="BB30" t="str">
        <f t="shared" ref="BB30:CO30" ca="1" si="19">IF(D79&lt;D80,D80,D79)</f>
        <v/>
      </c>
      <c r="BC30" t="str">
        <f t="shared" ca="1" si="19"/>
        <v/>
      </c>
      <c r="BD30" t="str">
        <f t="shared" ca="1" si="19"/>
        <v/>
      </c>
      <c r="BE30" t="str">
        <f t="shared" ca="1" si="19"/>
        <v/>
      </c>
      <c r="BF30" t="str">
        <f t="shared" ca="1" si="19"/>
        <v/>
      </c>
      <c r="BG30" t="str">
        <f t="shared" ca="1" si="19"/>
        <v/>
      </c>
      <c r="BH30" t="str">
        <f t="shared" ca="1" si="19"/>
        <v/>
      </c>
      <c r="BI30" t="str">
        <f t="shared" ca="1" si="19"/>
        <v/>
      </c>
      <c r="BJ30" t="str">
        <f t="shared" ca="1" si="19"/>
        <v/>
      </c>
      <c r="BK30" t="str">
        <f t="shared" ca="1" si="19"/>
        <v/>
      </c>
      <c r="BL30" t="str">
        <f t="shared" ca="1" si="19"/>
        <v/>
      </c>
      <c r="BM30" t="str">
        <f t="shared" ca="1" si="19"/>
        <v/>
      </c>
      <c r="BN30" t="str">
        <f t="shared" ca="1" si="19"/>
        <v/>
      </c>
      <c r="BO30" t="str">
        <f t="shared" ca="1" si="19"/>
        <v/>
      </c>
      <c r="BP30" t="str">
        <f t="shared" ca="1" si="19"/>
        <v/>
      </c>
      <c r="BQ30" t="str">
        <f t="shared" ca="1" si="19"/>
        <v/>
      </c>
      <c r="BR30" t="str">
        <f t="shared" ca="1" si="19"/>
        <v/>
      </c>
      <c r="BS30" t="str">
        <f t="shared" ca="1" si="19"/>
        <v/>
      </c>
      <c r="BT30" t="str">
        <f t="shared" ca="1" si="19"/>
        <v/>
      </c>
      <c r="BU30" t="str">
        <f t="shared" ca="1" si="19"/>
        <v/>
      </c>
      <c r="BV30" t="str">
        <f t="shared" ca="1" si="19"/>
        <v/>
      </c>
      <c r="BW30" t="str">
        <f t="shared" ca="1" si="19"/>
        <v/>
      </c>
      <c r="BX30" t="str">
        <f t="shared" ca="1" si="19"/>
        <v/>
      </c>
      <c r="BY30" t="str">
        <f t="shared" ca="1" si="19"/>
        <v/>
      </c>
      <c r="BZ30" t="str">
        <f t="shared" ca="1" si="19"/>
        <v/>
      </c>
      <c r="CA30" t="str">
        <f t="shared" ca="1" si="19"/>
        <v/>
      </c>
      <c r="CB30" t="str">
        <f t="shared" ca="1" si="19"/>
        <v/>
      </c>
      <c r="CC30" t="str">
        <f t="shared" ca="1" si="19"/>
        <v/>
      </c>
      <c r="CD30" t="str">
        <f t="shared" ca="1" si="19"/>
        <v/>
      </c>
      <c r="CE30" t="str">
        <f t="shared" ca="1" si="19"/>
        <v/>
      </c>
      <c r="CF30" t="str">
        <f t="shared" ca="1" si="19"/>
        <v/>
      </c>
      <c r="CG30" t="str">
        <f t="shared" ca="1" si="19"/>
        <v/>
      </c>
      <c r="CH30" t="str">
        <f t="shared" ca="1" si="19"/>
        <v/>
      </c>
      <c r="CI30" t="str">
        <f t="shared" ca="1" si="19"/>
        <v/>
      </c>
      <c r="CJ30" t="str">
        <f t="shared" ca="1" si="19"/>
        <v/>
      </c>
      <c r="CK30" t="str">
        <f t="shared" ca="1" si="19"/>
        <v/>
      </c>
      <c r="CL30" t="str">
        <f t="shared" ca="1" si="19"/>
        <v/>
      </c>
      <c r="CM30" t="str">
        <f t="shared" ca="1" si="19"/>
        <v/>
      </c>
      <c r="CN30" t="str">
        <f t="shared" ca="1" si="19"/>
        <v/>
      </c>
      <c r="CO30" t="str">
        <f t="shared" ca="1" si="19"/>
        <v/>
      </c>
      <c r="CP30"/>
      <c r="CQ30"/>
      <c r="CR30"/>
      <c r="CS30"/>
      <c r="CT30"/>
      <c r="CU30"/>
      <c r="CV30"/>
      <c r="CW30"/>
      <c r="CX30"/>
      <c r="CY30"/>
      <c r="CZ30"/>
      <c r="DA30"/>
      <c r="DB30"/>
      <c r="DC30"/>
      <c r="DD30"/>
      <c r="DE30"/>
      <c r="DF30"/>
      <c r="DG30"/>
      <c r="DH30"/>
      <c r="DI30"/>
      <c r="DJ30"/>
      <c r="DK30"/>
      <c r="DL30"/>
      <c r="DM30"/>
      <c r="DN30"/>
      <c r="DO30"/>
      <c r="DP30"/>
      <c r="DQ30"/>
      <c r="DR30"/>
      <c r="DS30"/>
    </row>
    <row r="31" spans="1:123" ht="12" customHeight="1">
      <c r="A31" s="16">
        <v>21</v>
      </c>
      <c r="B31" s="16">
        <f>DrawFinder!Y31</f>
        <v>3</v>
      </c>
      <c r="C31" s="16" t="str">
        <f ca="1">CS!AR31</f>
        <v>Tm21</v>
      </c>
      <c r="D31" s="18" t="str">
        <f ca="1">IF(ISNONTEXT(VLOOKUP(ADDRESS(31,4),$BB$30:$BC$430,1,FALSE)),"",VLOOKUP(ADDRESS(31,4),$BB$30:$BC$430,2,FALSE))</f>
        <v/>
      </c>
      <c r="E31" s="18" t="str">
        <f ca="1">IF(ISNONTEXT(VLOOKUP(ADDRESS(31,5),$BB$30:$BC$430,1,FALSE)),"",VLOOKUP(ADDRESS(31,5),$BB$30:$BC$430,2,FALSE))</f>
        <v/>
      </c>
      <c r="F31" s="18" t="str">
        <f ca="1">IF(ISNONTEXT(VLOOKUP(ADDRESS(31,6),$BB$30:$BC$430,1,FALSE)),"",VLOOKUP(ADDRESS(31,6),$BB$30:$BC$430,2,FALSE))</f>
        <v/>
      </c>
      <c r="G31" s="18" t="str">
        <f ca="1">IF(ISNONTEXT(VLOOKUP(ADDRESS(31,7),$BB$30:$BC$430,1,FALSE)),"",VLOOKUP(ADDRESS(31,7),$BB$30:$BC$430,2,FALSE))</f>
        <v/>
      </c>
      <c r="H31" s="18" t="str">
        <f ca="1">IF(ISNONTEXT(VLOOKUP(ADDRESS(31,8),$BB$30:$BC$430,1,FALSE)),"",VLOOKUP(ADDRESS(31,8),$BB$30:$BC$430,2,FALSE))</f>
        <v/>
      </c>
      <c r="I31" s="18" t="str">
        <f ca="1">IF(ISNONTEXT(VLOOKUP(ADDRESS(31,9),$BB$30:$BC$430,1,FALSE)),"",VLOOKUP(ADDRESS(31,9),$BB$30:$BC$430,2,FALSE))</f>
        <v/>
      </c>
      <c r="J31" s="18" t="str">
        <f ca="1">IF(ISNONTEXT(VLOOKUP(ADDRESS(31,10),$BB$30:$BC$430,1,FALSE)),"",VLOOKUP(ADDRESS(31,10),$BB$30:$BC$430,2,FALSE))</f>
        <v/>
      </c>
      <c r="K31" s="18" t="str">
        <f ca="1">IF(ISNONTEXT(VLOOKUP(ADDRESS(31,11),$BB$30:$BC$430,1,FALSE)),"",VLOOKUP(ADDRESS(31,11),$BB$30:$BC$430,2,FALSE))</f>
        <v/>
      </c>
      <c r="L31" s="18" t="str">
        <f ca="1">IF(ISNONTEXT(VLOOKUP(ADDRESS(31,12),$BB$30:$BC$430,1,FALSE)),"",VLOOKUP(ADDRESS(31,12),$BB$30:$BC$430,2,FALSE))</f>
        <v/>
      </c>
      <c r="M31" s="18" t="str">
        <f ca="1">IF(ISNONTEXT(VLOOKUP(ADDRESS(31,13),$BB$30:$BC$430,1,FALSE)),"",VLOOKUP(ADDRESS(31,13),$BB$30:$BC$430,2,FALSE))</f>
        <v/>
      </c>
      <c r="N31" s="18" t="str">
        <f ca="1">IF(ISNONTEXT(VLOOKUP(ADDRESS(31,14),$BB$30:$BC$430,1,FALSE)),"",VLOOKUP(ADDRESS(31,14),$BB$30:$BC$430,2,FALSE))</f>
        <v/>
      </c>
      <c r="O31" s="18" t="str">
        <f ca="1">IF(ISNONTEXT(VLOOKUP(ADDRESS(31,15),$BB$30:$BC$430,1,FALSE)),"",VLOOKUP(ADDRESS(31,15),$BB$30:$BC$430,2,FALSE))</f>
        <v/>
      </c>
      <c r="P31" s="18" t="str">
        <f ca="1">IF(ISNONTEXT(VLOOKUP(ADDRESS(31,16),$BB$30:$BC$430,1,FALSE)),"",VLOOKUP(ADDRESS(31,16),$BB$30:$BC$430,2,FALSE))</f>
        <v/>
      </c>
      <c r="Q31" s="18" t="str">
        <f ca="1">IF(ISNONTEXT(VLOOKUP(ADDRESS(31,17),$BB$30:$BC$430,1,FALSE)),"",VLOOKUP(ADDRESS(31,17),$BB$30:$BC$430,2,FALSE))</f>
        <v/>
      </c>
      <c r="R31" s="18" t="str">
        <f ca="1">IF(ISNONTEXT(VLOOKUP(ADDRESS(31,18),$BB$30:$BC$430,1,FALSE)),"",VLOOKUP(ADDRESS(31,18),$BB$30:$BC$430,2,FALSE))</f>
        <v/>
      </c>
      <c r="S31" s="18" t="str">
        <f ca="1">IF(ISNONTEXT(VLOOKUP(ADDRESS(31,19),$BB$30:$BC$430,1,FALSE)),"",VLOOKUP(ADDRESS(31,19),$BB$30:$BC$430,2,FALSE))</f>
        <v/>
      </c>
      <c r="T31" s="18" t="str">
        <f ca="1">IF(ISNONTEXT(VLOOKUP(ADDRESS(31,20),$BB$30:$BC$430,1,FALSE)),"",VLOOKUP(ADDRESS(31,20),$BB$30:$BC$430,2,FALSE))</f>
        <v>5•5</v>
      </c>
      <c r="U31" s="18" t="str">
        <f ca="1">IF(ISNONTEXT(VLOOKUP(ADDRESS(31,21),$BB$30:$BC$430,1,FALSE)),"",VLOOKUP(ADDRESS(31,21),$BB$30:$BC$430,2,FALSE))</f>
        <v>8•6</v>
      </c>
      <c r="V31" s="18" t="str">
        <f ca="1">IF(ISNONTEXT(VLOOKUP(ADDRESS(31,22),$BB$30:$BC$430,1,FALSE)),"",VLOOKUP(ADDRESS(31,22),$BB$30:$BC$430,2,FALSE))</f>
        <v>3•3</v>
      </c>
      <c r="W31" s="18" t="str">
        <f ca="1">IF(ISNONTEXT(VLOOKUP(ADDRESS(31,23),$BB$30:$BC$430,1,FALSE)),"",VLOOKUP(ADDRESS(31,23),$BB$30:$BC$430,2,FALSE))</f>
        <v>2•1</v>
      </c>
      <c r="X31" s="18" t="str">
        <f ca="1">IF($C31&lt;&gt;"","X","")</f>
        <v>X</v>
      </c>
      <c r="Y31" s="33"/>
      <c r="Z31" s="33"/>
      <c r="AA31" s="33"/>
      <c r="AB31" s="33"/>
      <c r="AC31" s="33"/>
      <c r="AD31" s="33"/>
      <c r="AE31" s="33"/>
      <c r="AF31" s="33"/>
      <c r="AG31" s="33"/>
      <c r="AH31" s="33"/>
      <c r="AI31" s="33"/>
      <c r="AJ31" s="33"/>
      <c r="AK31" s="33"/>
      <c r="AL31" s="33"/>
      <c r="AM31" s="33"/>
      <c r="AN31" s="33"/>
      <c r="AO31" s="33"/>
      <c r="AP31" s="33"/>
      <c r="AQ31" s="33"/>
      <c r="AR31" s="33"/>
      <c r="AS31" s="33"/>
      <c r="AT31" s="33"/>
      <c r="AU31" s="34"/>
      <c r="AV31" s="30"/>
      <c r="AW31" s="32"/>
      <c r="AY31" t="s">
        <v>135</v>
      </c>
      <c r="AZ31">
        <v>1</v>
      </c>
      <c r="BA31" s="16" t="s">
        <v>125</v>
      </c>
      <c r="BB31" t="str">
        <f ca="1">IF($BB$11&lt;&gt;"",ADDRESS($BB$12+10,$BB$11+3),"")</f>
        <v>$V$32</v>
      </c>
      <c r="BC31" t="str">
        <f ca="1">IF(BB31&lt;&gt;"","1•1","")</f>
        <v>1•1</v>
      </c>
      <c r="BD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row>
    <row r="32" spans="1:123" ht="12" customHeight="1">
      <c r="A32" s="16">
        <v>22</v>
      </c>
      <c r="B32" s="16">
        <f>DrawFinder!Y32</f>
        <v>3</v>
      </c>
      <c r="C32" s="16" t="str">
        <f ca="1">CS!AR32</f>
        <v>Tm22</v>
      </c>
      <c r="D32" s="18" t="str">
        <f ca="1">IF(ISNONTEXT(VLOOKUP(ADDRESS(32,4),$BB$30:$BC$430,1,FALSE)),"",VLOOKUP(ADDRESS(32,4),$BB$30:$BC$430,2,FALSE))</f>
        <v/>
      </c>
      <c r="E32" s="18" t="str">
        <f ca="1">IF(ISNONTEXT(VLOOKUP(ADDRESS(32,5),$BB$30:$BC$430,1,FALSE)),"",VLOOKUP(ADDRESS(32,5),$BB$30:$BC$430,2,FALSE))</f>
        <v/>
      </c>
      <c r="F32" s="18" t="str">
        <f ca="1">IF(ISNONTEXT(VLOOKUP(ADDRESS(32,6),$BB$30:$BC$430,1,FALSE)),"",VLOOKUP(ADDRESS(32,6),$BB$30:$BC$430,2,FALSE))</f>
        <v/>
      </c>
      <c r="G32" s="18" t="str">
        <f ca="1">IF(ISNONTEXT(VLOOKUP(ADDRESS(32,7),$BB$30:$BC$430,1,FALSE)),"",VLOOKUP(ADDRESS(32,7),$BB$30:$BC$430,2,FALSE))</f>
        <v/>
      </c>
      <c r="H32" s="18" t="str">
        <f ca="1">IF(ISNONTEXT(VLOOKUP(ADDRESS(32,8),$BB$30:$BC$430,1,FALSE)),"",VLOOKUP(ADDRESS(32,8),$BB$30:$BC$430,2,FALSE))</f>
        <v/>
      </c>
      <c r="I32" s="18" t="str">
        <f ca="1">IF(ISNONTEXT(VLOOKUP(ADDRESS(32,9),$BB$30:$BC$430,1,FALSE)),"",VLOOKUP(ADDRESS(32,9),$BB$30:$BC$430,2,FALSE))</f>
        <v/>
      </c>
      <c r="J32" s="18" t="str">
        <f ca="1">IF(ISNONTEXT(VLOOKUP(ADDRESS(32,10),$BB$30:$BC$430,1,FALSE)),"",VLOOKUP(ADDRESS(32,10),$BB$30:$BC$430,2,FALSE))</f>
        <v/>
      </c>
      <c r="K32" s="18" t="str">
        <f ca="1">IF(ISNONTEXT(VLOOKUP(ADDRESS(32,11),$BB$30:$BC$430,1,FALSE)),"",VLOOKUP(ADDRESS(32,11),$BB$30:$BC$430,2,FALSE))</f>
        <v/>
      </c>
      <c r="L32" s="18" t="str">
        <f ca="1">IF(ISNONTEXT(VLOOKUP(ADDRESS(32,12),$BB$30:$BC$430,1,FALSE)),"",VLOOKUP(ADDRESS(32,12),$BB$30:$BC$430,2,FALSE))</f>
        <v/>
      </c>
      <c r="M32" s="18" t="str">
        <f ca="1">IF(ISNONTEXT(VLOOKUP(ADDRESS(32,13),$BB$30:$BC$430,1,FALSE)),"",VLOOKUP(ADDRESS(32,13),$BB$30:$BC$430,2,FALSE))</f>
        <v/>
      </c>
      <c r="N32" s="18" t="str">
        <f ca="1">IF(ISNONTEXT(VLOOKUP(ADDRESS(32,14),$BB$30:$BC$430,1,FALSE)),"",VLOOKUP(ADDRESS(32,14),$BB$30:$BC$430,2,FALSE))</f>
        <v/>
      </c>
      <c r="O32" s="18" t="str">
        <f ca="1">IF(ISNONTEXT(VLOOKUP(ADDRESS(32,15),$BB$30:$BC$430,1,FALSE)),"",VLOOKUP(ADDRESS(32,15),$BB$30:$BC$430,2,FALSE))</f>
        <v/>
      </c>
      <c r="P32" s="18" t="str">
        <f ca="1">IF(ISNONTEXT(VLOOKUP(ADDRESS(32,16),$BB$30:$BC$430,1,FALSE)),"",VLOOKUP(ADDRESS(32,16),$BB$30:$BC$430,2,FALSE))</f>
        <v/>
      </c>
      <c r="Q32" s="18" t="str">
        <f ca="1">IF(ISNONTEXT(VLOOKUP(ADDRESS(32,17),$BB$30:$BC$430,1,FALSE)),"",VLOOKUP(ADDRESS(32,17),$BB$30:$BC$430,2,FALSE))</f>
        <v/>
      </c>
      <c r="R32" s="18" t="str">
        <f ca="1">IF(ISNONTEXT(VLOOKUP(ADDRESS(32,18),$BB$30:$BC$430,1,FALSE)),"",VLOOKUP(ADDRESS(32,18),$BB$30:$BC$430,2,FALSE))</f>
        <v/>
      </c>
      <c r="S32" s="18" t="str">
        <f ca="1">IF(ISNONTEXT(VLOOKUP(ADDRESS(32,19),$BB$30:$BC$430,1,FALSE)),"",VLOOKUP(ADDRESS(32,19),$BB$30:$BC$430,2,FALSE))</f>
        <v/>
      </c>
      <c r="T32" s="18" t="str">
        <f ca="1">IF(ISNONTEXT(VLOOKUP(ADDRESS(32,20),$BB$30:$BC$430,1,FALSE)),"",VLOOKUP(ADDRESS(32,20),$BB$30:$BC$430,2,FALSE))</f>
        <v>7•6</v>
      </c>
      <c r="U32" s="18" t="str">
        <f ca="1">IF(ISNONTEXT(VLOOKUP(ADDRESS(32,21),$BB$30:$BC$430,1,FALSE)),"",VLOOKUP(ADDRESS(32,21),$BB$30:$BC$430,2,FALSE))</f>
        <v>4•2</v>
      </c>
      <c r="V32" s="18" t="str">
        <f ca="1">IF(ISNONTEXT(VLOOKUP(ADDRESS(32,22),$BB$30:$BC$430,1,FALSE)),"",VLOOKUP(ADDRESS(32,22),$BB$30:$BC$430,2,FALSE))</f>
        <v>1•1</v>
      </c>
      <c r="W32" s="18" t="str">
        <f ca="1">IF(ISNONTEXT(VLOOKUP(ADDRESS(32,23),$BB$30:$BC$430,1,FALSE)),"",VLOOKUP(ADDRESS(32,23),$BB$30:$BC$430,2,FALSE))</f>
        <v>6•4</v>
      </c>
      <c r="X32" s="18" t="str">
        <f ca="1">IF(ISNONTEXT(VLOOKUP(ADDRESS(32,24),$BB$30:$BC$430,1,FALSE)),"",VLOOKUP(ADDRESS(32,24),$BB$30:$BC$430,2,FALSE))</f>
        <v>14•1</v>
      </c>
      <c r="Y32" s="18" t="str">
        <f ca="1">IF($C32&lt;&gt;"","X","")</f>
        <v>X</v>
      </c>
      <c r="Z32" s="33"/>
      <c r="AA32" s="33"/>
      <c r="AB32" s="33"/>
      <c r="AC32" s="33"/>
      <c r="AD32" s="33"/>
      <c r="AE32" s="33"/>
      <c r="AF32" s="33"/>
      <c r="AG32" s="33"/>
      <c r="AH32" s="33"/>
      <c r="AI32" s="33"/>
      <c r="AJ32" s="33"/>
      <c r="AK32" s="33"/>
      <c r="AL32" s="33"/>
      <c r="AM32" s="33"/>
      <c r="AN32" s="33"/>
      <c r="AO32" s="33"/>
      <c r="AP32" s="33"/>
      <c r="AQ32" s="33"/>
      <c r="AR32" s="33"/>
      <c r="AS32" s="33"/>
      <c r="AT32" s="33"/>
      <c r="AU32" s="34"/>
      <c r="AV32" s="30"/>
      <c r="AW32" s="32"/>
      <c r="AY32"/>
      <c r="AZ32">
        <v>1</v>
      </c>
      <c r="BA32" s="16" t="s">
        <v>126</v>
      </c>
      <c r="BB32" t="str">
        <f ca="1">IF($BB$13&lt;&gt;"",ADDRESS($BB$14+10,$BB$13+3),"")</f>
        <v>$G$16</v>
      </c>
      <c r="BC32" t="str">
        <f ca="1">IF(BB32&lt;&gt;"","1•2","")</f>
        <v>1•2</v>
      </c>
      <c r="BD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row>
    <row r="33" spans="1:123" ht="12" customHeight="1">
      <c r="A33" s="16">
        <v>23</v>
      </c>
      <c r="B33" s="16">
        <f>DrawFinder!Y33</f>
        <v>3</v>
      </c>
      <c r="C33" s="16" t="str">
        <f ca="1">CS!AR33</f>
        <v>Tm23</v>
      </c>
      <c r="D33" s="18" t="str">
        <f ca="1">IF(ISNONTEXT(VLOOKUP(ADDRESS(33,4),$BB$30:$BC$430,1,FALSE)),"",VLOOKUP(ADDRESS(33,4),$BB$30:$BC$430,2,FALSE))</f>
        <v/>
      </c>
      <c r="E33" s="18" t="str">
        <f ca="1">IF(ISNONTEXT(VLOOKUP(ADDRESS(33,5),$BB$30:$BC$430,1,FALSE)),"",VLOOKUP(ADDRESS(33,5),$BB$30:$BC$430,2,FALSE))</f>
        <v/>
      </c>
      <c r="F33" s="18" t="str">
        <f ca="1">IF(ISNONTEXT(VLOOKUP(ADDRESS(33,6),$BB$30:$BC$430,1,FALSE)),"",VLOOKUP(ADDRESS(33,6),$BB$30:$BC$430,2,FALSE))</f>
        <v/>
      </c>
      <c r="G33" s="18" t="str">
        <f ca="1">IF(ISNONTEXT(VLOOKUP(ADDRESS(33,7),$BB$30:$BC$430,1,FALSE)),"",VLOOKUP(ADDRESS(33,7),$BB$30:$BC$430,2,FALSE))</f>
        <v/>
      </c>
      <c r="H33" s="18" t="str">
        <f ca="1">IF(ISNONTEXT(VLOOKUP(ADDRESS(33,8),$BB$30:$BC$430,1,FALSE)),"",VLOOKUP(ADDRESS(33,8),$BB$30:$BC$430,2,FALSE))</f>
        <v/>
      </c>
      <c r="I33" s="18" t="str">
        <f ca="1">IF(ISNONTEXT(VLOOKUP(ADDRESS(33,9),$BB$30:$BC$430,1,FALSE)),"",VLOOKUP(ADDRESS(33,9),$BB$30:$BC$430,2,FALSE))</f>
        <v/>
      </c>
      <c r="J33" s="18" t="str">
        <f ca="1">IF(ISNONTEXT(VLOOKUP(ADDRESS(33,10),$BB$30:$BC$430,1,FALSE)),"",VLOOKUP(ADDRESS(33,10),$BB$30:$BC$430,2,FALSE))</f>
        <v/>
      </c>
      <c r="K33" s="18" t="str">
        <f ca="1">IF(ISNONTEXT(VLOOKUP(ADDRESS(33,11),$BB$30:$BC$430,1,FALSE)),"",VLOOKUP(ADDRESS(33,11),$BB$30:$BC$430,2,FALSE))</f>
        <v/>
      </c>
      <c r="L33" s="18" t="str">
        <f ca="1">IF(ISNONTEXT(VLOOKUP(ADDRESS(33,12),$BB$30:$BC$430,1,FALSE)),"",VLOOKUP(ADDRESS(33,12),$BB$30:$BC$430,2,FALSE))</f>
        <v/>
      </c>
      <c r="M33" s="18" t="str">
        <f ca="1">IF(ISNONTEXT(VLOOKUP(ADDRESS(33,13),$BB$30:$BC$430,1,FALSE)),"",VLOOKUP(ADDRESS(33,13),$BB$30:$BC$430,2,FALSE))</f>
        <v/>
      </c>
      <c r="N33" s="18" t="str">
        <f ca="1">IF(ISNONTEXT(VLOOKUP(ADDRESS(33,14),$BB$30:$BC$430,1,FALSE)),"",VLOOKUP(ADDRESS(33,14),$BB$30:$BC$430,2,FALSE))</f>
        <v/>
      </c>
      <c r="O33" s="18" t="str">
        <f ca="1">IF(ISNONTEXT(VLOOKUP(ADDRESS(33,15),$BB$30:$BC$430,1,FALSE)),"",VLOOKUP(ADDRESS(33,15),$BB$30:$BC$430,2,FALSE))</f>
        <v/>
      </c>
      <c r="P33" s="18" t="str">
        <f ca="1">IF(ISNONTEXT(VLOOKUP(ADDRESS(33,16),$BB$30:$BC$430,1,FALSE)),"",VLOOKUP(ADDRESS(33,16),$BB$30:$BC$430,2,FALSE))</f>
        <v/>
      </c>
      <c r="Q33" s="18" t="str">
        <f ca="1">IF(ISNONTEXT(VLOOKUP(ADDRESS(33,17),$BB$30:$BC$430,1,FALSE)),"",VLOOKUP(ADDRESS(33,17),$BB$30:$BC$430,2,FALSE))</f>
        <v/>
      </c>
      <c r="R33" s="18" t="str">
        <f ca="1">IF(ISNONTEXT(VLOOKUP(ADDRESS(33,18),$BB$30:$BC$430,1,FALSE)),"",VLOOKUP(ADDRESS(33,18),$BB$30:$BC$430,2,FALSE))</f>
        <v/>
      </c>
      <c r="S33" s="18" t="str">
        <f ca="1">IF(ISNONTEXT(VLOOKUP(ADDRESS(33,19),$BB$30:$BC$430,1,FALSE)),"",VLOOKUP(ADDRESS(33,19),$BB$30:$BC$430,2,FALSE))</f>
        <v/>
      </c>
      <c r="T33" s="18" t="str">
        <f ca="1">IF(ISNONTEXT(VLOOKUP(ADDRESS(33,20),$BB$30:$BC$430,1,FALSE)),"",VLOOKUP(ADDRESS(33,20),$BB$30:$BC$430,2,FALSE))</f>
        <v>4•3</v>
      </c>
      <c r="U33" s="18" t="str">
        <f ca="1">IF(ISNONTEXT(VLOOKUP(ADDRESS(33,21),$BB$30:$BC$430,1,FALSE)),"",VLOOKUP(ADDRESS(33,21),$BB$30:$BC$430,2,FALSE))</f>
        <v>1•6</v>
      </c>
      <c r="V33" s="18" t="str">
        <f ca="1">IF(ISNONTEXT(VLOOKUP(ADDRESS(33,22),$BB$30:$BC$430,1,FALSE)),"",VLOOKUP(ADDRESS(33,22),$BB$30:$BC$430,2,FALSE))</f>
        <v>6•2</v>
      </c>
      <c r="W33" s="18" t="str">
        <f ca="1">IF(ISNONTEXT(VLOOKUP(ADDRESS(33,23),$BB$30:$BC$430,1,FALSE)),"",VLOOKUP(ADDRESS(33,23),$BB$30:$BC$430,2,FALSE))</f>
        <v>7•1</v>
      </c>
      <c r="X33" s="18" t="str">
        <f ca="1">IF(ISNONTEXT(VLOOKUP(ADDRESS(33,24),$BB$30:$BC$430,1,FALSE)),"",VLOOKUP(ADDRESS(33,24),$BB$30:$BC$430,2,FALSE))</f>
        <v>11•4</v>
      </c>
      <c r="Y33" s="18" t="str">
        <f ca="1">IF(ISNONTEXT(VLOOKUP(ADDRESS(33,25),$BB$30:$BC$430,1,FALSE)),"",VLOOKUP(ADDRESS(33,25),$BB$30:$BC$430,2,FALSE))</f>
        <v>10•5</v>
      </c>
      <c r="Z33" s="18" t="str">
        <f ca="1">IF($C33&lt;&gt;"","X","")</f>
        <v>X</v>
      </c>
      <c r="AA33" s="33"/>
      <c r="AB33" s="33"/>
      <c r="AC33" s="33"/>
      <c r="AD33" s="33"/>
      <c r="AE33" s="33"/>
      <c r="AF33" s="33"/>
      <c r="AG33" s="33"/>
      <c r="AH33" s="33"/>
      <c r="AI33" s="33"/>
      <c r="AJ33" s="33"/>
      <c r="AK33" s="33"/>
      <c r="AL33" s="33"/>
      <c r="AM33" s="33"/>
      <c r="AN33" s="33"/>
      <c r="AO33" s="33"/>
      <c r="AP33" s="33"/>
      <c r="AQ33" s="33"/>
      <c r="AR33" s="33"/>
      <c r="AS33" s="33"/>
      <c r="AT33" s="33"/>
      <c r="AU33" s="34"/>
      <c r="AV33" s="30"/>
      <c r="AW33" s="32"/>
      <c r="AY33"/>
      <c r="AZ33">
        <v>1</v>
      </c>
      <c r="BA33" s="16" t="s">
        <v>127</v>
      </c>
      <c r="BB33" t="str">
        <f ca="1">IF($BB$15&lt;&gt;"",ADDRESS($BB$16+10,$BB$15+3),"")</f>
        <v>$D$18</v>
      </c>
      <c r="BC33" t="str">
        <f ca="1">IF(BB33&lt;&gt;"","1•3","")</f>
        <v>1•3</v>
      </c>
      <c r="BD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row>
    <row r="34" spans="1:123" ht="12" customHeight="1">
      <c r="A34" s="16">
        <v>24</v>
      </c>
      <c r="B34" s="16">
        <f>DrawFinder!Y34</f>
        <v>3</v>
      </c>
      <c r="C34" s="16" t="str">
        <f ca="1">CS!AR34</f>
        <v>Tm24</v>
      </c>
      <c r="D34" s="18" t="str">
        <f ca="1">IF(ISNONTEXT(VLOOKUP(ADDRESS(34,4),$BB$30:$BC$430,1,FALSE)),"",VLOOKUP(ADDRESS(34,4),$BB$30:$BC$430,2,FALSE))</f>
        <v/>
      </c>
      <c r="E34" s="18" t="str">
        <f ca="1">IF(ISNONTEXT(VLOOKUP(ADDRESS(34,5),$BB$30:$BC$430,1,FALSE)),"",VLOOKUP(ADDRESS(34,5),$BB$30:$BC$430,2,FALSE))</f>
        <v/>
      </c>
      <c r="F34" s="18" t="str">
        <f ca="1">IF(ISNONTEXT(VLOOKUP(ADDRESS(34,6),$BB$30:$BC$430,1,FALSE)),"",VLOOKUP(ADDRESS(34,6),$BB$30:$BC$430,2,FALSE))</f>
        <v/>
      </c>
      <c r="G34" s="18" t="str">
        <f ca="1">IF(ISNONTEXT(VLOOKUP(ADDRESS(34,7),$BB$30:$BC$430,1,FALSE)),"",VLOOKUP(ADDRESS(34,7),$BB$30:$BC$430,2,FALSE))</f>
        <v/>
      </c>
      <c r="H34" s="18" t="str">
        <f ca="1">IF(ISNONTEXT(VLOOKUP(ADDRESS(34,8),$BB$30:$BC$430,1,FALSE)),"",VLOOKUP(ADDRESS(34,8),$BB$30:$BC$430,2,FALSE))</f>
        <v/>
      </c>
      <c r="I34" s="18" t="str">
        <f ca="1">IF(ISNONTEXT(VLOOKUP(ADDRESS(34,9),$BB$30:$BC$430,1,FALSE)),"",VLOOKUP(ADDRESS(34,9),$BB$30:$BC$430,2,FALSE))</f>
        <v/>
      </c>
      <c r="J34" s="18" t="str">
        <f ca="1">IF(ISNONTEXT(VLOOKUP(ADDRESS(34,10),$BB$30:$BC$430,1,FALSE)),"",VLOOKUP(ADDRESS(34,10),$BB$30:$BC$430,2,FALSE))</f>
        <v/>
      </c>
      <c r="K34" s="18" t="str">
        <f ca="1">IF(ISNONTEXT(VLOOKUP(ADDRESS(34,11),$BB$30:$BC$430,1,FALSE)),"",VLOOKUP(ADDRESS(34,11),$BB$30:$BC$430,2,FALSE))</f>
        <v/>
      </c>
      <c r="L34" s="18" t="str">
        <f ca="1">IF(ISNONTEXT(VLOOKUP(ADDRESS(34,12),$BB$30:$BC$430,1,FALSE)),"",VLOOKUP(ADDRESS(34,12),$BB$30:$BC$430,2,FALSE))</f>
        <v/>
      </c>
      <c r="M34" s="18" t="str">
        <f ca="1">IF(ISNONTEXT(VLOOKUP(ADDRESS(34,13),$BB$30:$BC$430,1,FALSE)),"",VLOOKUP(ADDRESS(34,13),$BB$30:$BC$430,2,FALSE))</f>
        <v/>
      </c>
      <c r="N34" s="18" t="str">
        <f ca="1">IF(ISNONTEXT(VLOOKUP(ADDRESS(34,14),$BB$30:$BC$430,1,FALSE)),"",VLOOKUP(ADDRESS(34,14),$BB$30:$BC$430,2,FALSE))</f>
        <v/>
      </c>
      <c r="O34" s="18" t="str">
        <f ca="1">IF(ISNONTEXT(VLOOKUP(ADDRESS(34,15),$BB$30:$BC$430,1,FALSE)),"",VLOOKUP(ADDRESS(34,15),$BB$30:$BC$430,2,FALSE))</f>
        <v/>
      </c>
      <c r="P34" s="18" t="str">
        <f ca="1">IF(ISNONTEXT(VLOOKUP(ADDRESS(34,16),$BB$30:$BC$430,1,FALSE)),"",VLOOKUP(ADDRESS(34,16),$BB$30:$BC$430,2,FALSE))</f>
        <v/>
      </c>
      <c r="Q34" s="18" t="str">
        <f ca="1">IF(ISNONTEXT(VLOOKUP(ADDRESS(34,17),$BB$30:$BC$430,1,FALSE)),"",VLOOKUP(ADDRESS(34,17),$BB$30:$BC$430,2,FALSE))</f>
        <v/>
      </c>
      <c r="R34" s="18" t="str">
        <f ca="1">IF(ISNONTEXT(VLOOKUP(ADDRESS(34,18),$BB$30:$BC$430,1,FALSE)),"",VLOOKUP(ADDRESS(34,18),$BB$30:$BC$430,2,FALSE))</f>
        <v/>
      </c>
      <c r="S34" s="18" t="str">
        <f ca="1">IF(ISNONTEXT(VLOOKUP(ADDRESS(34,19),$BB$30:$BC$430,1,FALSE)),"",VLOOKUP(ADDRESS(34,19),$BB$30:$BC$430,2,FALSE))</f>
        <v/>
      </c>
      <c r="T34" s="18" t="str">
        <f ca="1">IF(ISNONTEXT(VLOOKUP(ADDRESS(34,20),$BB$30:$BC$430,1,FALSE)),"",VLOOKUP(ADDRESS(34,20),$BB$30:$BC$430,2,FALSE))</f>
        <v>2•6</v>
      </c>
      <c r="U34" s="18" t="str">
        <f ca="1">IF(ISNONTEXT(VLOOKUP(ADDRESS(34,21),$BB$30:$BC$430,1,FALSE)),"",VLOOKUP(ADDRESS(34,21),$BB$30:$BC$430,2,FALSE))</f>
        <v>5•4</v>
      </c>
      <c r="V34" s="18" t="str">
        <f ca="1">IF(ISNONTEXT(VLOOKUP(ADDRESS(34,22),$BB$30:$BC$430,1,FALSE)),"",VLOOKUP(ADDRESS(34,22),$BB$30:$BC$430,2,FALSE))</f>
        <v>8•1</v>
      </c>
      <c r="W34" s="18" t="str">
        <f ca="1">IF(ISNONTEXT(VLOOKUP(ADDRESS(34,23),$BB$30:$BC$430,1,FALSE)),"",VLOOKUP(ADDRESS(34,23),$BB$30:$BC$430,2,FALSE))</f>
        <v>3•5</v>
      </c>
      <c r="X34" s="18" t="str">
        <f ca="1">IF(ISNONTEXT(VLOOKUP(ADDRESS(34,24),$BB$30:$BC$430,1,FALSE)),"",VLOOKUP(ADDRESS(34,24),$BB$30:$BC$430,2,FALSE))</f>
        <v>10•2</v>
      </c>
      <c r="Y34" s="18" t="str">
        <f ca="1">IF(ISNONTEXT(VLOOKUP(ADDRESS(34,25),$BB$30:$BC$430,1,FALSE)),"",VLOOKUP(ADDRESS(34,25),$BB$30:$BC$430,2,FALSE))</f>
        <v>11•3</v>
      </c>
      <c r="Z34" s="18" t="str">
        <f ca="1">IF(ISNONTEXT(VLOOKUP(ADDRESS(34,26),$BB$30:$BC$430,1,FALSE)),"",VLOOKUP(ADDRESS(34,26),$BB$30:$BC$430,2,FALSE))</f>
        <v>14•6</v>
      </c>
      <c r="AA34" s="18" t="str">
        <f ca="1">IF($C34&lt;&gt;"","X","")</f>
        <v>X</v>
      </c>
      <c r="AB34" s="33"/>
      <c r="AC34" s="33"/>
      <c r="AD34" s="33"/>
      <c r="AE34" s="33"/>
      <c r="AF34" s="33"/>
      <c r="AG34" s="33"/>
      <c r="AH34" s="33"/>
      <c r="AI34" s="33"/>
      <c r="AJ34" s="33"/>
      <c r="AK34" s="33"/>
      <c r="AL34" s="33"/>
      <c r="AM34" s="33"/>
      <c r="AN34" s="33"/>
      <c r="AO34" s="33"/>
      <c r="AP34" s="33"/>
      <c r="AQ34" s="33"/>
      <c r="AR34" s="33"/>
      <c r="AS34" s="33"/>
      <c r="AT34" s="33"/>
      <c r="AU34" s="34"/>
      <c r="AV34" s="30"/>
      <c r="AW34" s="32"/>
      <c r="AY34"/>
      <c r="AZ34">
        <v>1</v>
      </c>
      <c r="BA34" s="16" t="s">
        <v>128</v>
      </c>
      <c r="BB34" t="str">
        <f ca="1">IF($BB$17&lt;&gt;"",ADDRESS($BB$18+10,$BB$17+3),"")</f>
        <v>$E$17</v>
      </c>
      <c r="BC34" t="str">
        <f ca="1">IF(BB34&lt;&gt;"","1•4","")</f>
        <v>1•4</v>
      </c>
      <c r="BD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row>
    <row r="35" spans="1:123" ht="12" customHeight="1">
      <c r="A35" s="16">
        <v>25</v>
      </c>
      <c r="B35" s="16">
        <f>DrawFinder!Y35</f>
        <v>0</v>
      </c>
      <c r="C35" s="16" t="str">
        <f ca="1">CS!AR35</f>
        <v/>
      </c>
      <c r="D35" s="18" t="str">
        <f ca="1">IF(ISNONTEXT(VLOOKUP(ADDRESS(35,4),$BB$30:$BC$430,1,FALSE)),"",VLOOKUP(ADDRESS(35,4),$BB$30:$BC$430,2,FALSE))</f>
        <v/>
      </c>
      <c r="E35" s="18" t="str">
        <f ca="1">IF(ISNONTEXT(VLOOKUP(ADDRESS(35,5),$BB$30:$BC$430,1,FALSE)),"",VLOOKUP(ADDRESS(35,5),$BB$30:$BC$430,2,FALSE))</f>
        <v/>
      </c>
      <c r="F35" s="18" t="str">
        <f ca="1">IF(ISNONTEXT(VLOOKUP(ADDRESS(35,6),$BB$30:$BC$430,1,FALSE)),"",VLOOKUP(ADDRESS(35,6),$BB$30:$BC$430,2,FALSE))</f>
        <v/>
      </c>
      <c r="G35" s="18" t="str">
        <f ca="1">IF(ISNONTEXT(VLOOKUP(ADDRESS(35,7),$BB$30:$BC$430,1,FALSE)),"",VLOOKUP(ADDRESS(35,7),$BB$30:$BC$430,2,FALSE))</f>
        <v/>
      </c>
      <c r="H35" s="18" t="str">
        <f ca="1">IF(ISNONTEXT(VLOOKUP(ADDRESS(35,8),$BB$30:$BC$430,1,FALSE)),"",VLOOKUP(ADDRESS(35,8),$BB$30:$BC$430,2,FALSE))</f>
        <v/>
      </c>
      <c r="I35" s="18" t="str">
        <f ca="1">IF(ISNONTEXT(VLOOKUP(ADDRESS(35,9),$BB$30:$BC$430,1,FALSE)),"",VLOOKUP(ADDRESS(35,9),$BB$30:$BC$430,2,FALSE))</f>
        <v/>
      </c>
      <c r="J35" s="18" t="str">
        <f ca="1">IF(ISNONTEXT(VLOOKUP(ADDRESS(35,10),$BB$30:$BC$430,1,FALSE)),"",VLOOKUP(ADDRESS(35,10),$BB$30:$BC$430,2,FALSE))</f>
        <v/>
      </c>
      <c r="K35" s="18" t="str">
        <f ca="1">IF(ISNONTEXT(VLOOKUP(ADDRESS(35,11),$BB$30:$BC$430,1,FALSE)),"",VLOOKUP(ADDRESS(35,11),$BB$30:$BC$430,2,FALSE))</f>
        <v/>
      </c>
      <c r="L35" s="18" t="str">
        <f ca="1">IF(ISNONTEXT(VLOOKUP(ADDRESS(35,12),$BB$30:$BC$430,1,FALSE)),"",VLOOKUP(ADDRESS(35,12),$BB$30:$BC$430,2,FALSE))</f>
        <v/>
      </c>
      <c r="M35" s="18" t="str">
        <f ca="1">IF(ISNONTEXT(VLOOKUP(ADDRESS(35,13),$BB$30:$BC$430,1,FALSE)),"",VLOOKUP(ADDRESS(35,13),$BB$30:$BC$430,2,FALSE))</f>
        <v/>
      </c>
      <c r="N35" s="18" t="str">
        <f ca="1">IF(ISNONTEXT(VLOOKUP(ADDRESS(35,14),$BB$30:$BC$430,1,FALSE)),"",VLOOKUP(ADDRESS(35,14),$BB$30:$BC$430,2,FALSE))</f>
        <v/>
      </c>
      <c r="O35" s="18" t="str">
        <f ca="1">IF(ISNONTEXT(VLOOKUP(ADDRESS(35,15),$BB$30:$BC$430,1,FALSE)),"",VLOOKUP(ADDRESS(35,15),$BB$30:$BC$430,2,FALSE))</f>
        <v/>
      </c>
      <c r="P35" s="18" t="str">
        <f ca="1">IF(ISNONTEXT(VLOOKUP(ADDRESS(35,16),$BB$30:$BC$430,1,FALSE)),"",VLOOKUP(ADDRESS(35,16),$BB$30:$BC$430,2,FALSE))</f>
        <v/>
      </c>
      <c r="Q35" s="18" t="str">
        <f ca="1">IF(ISNONTEXT(VLOOKUP(ADDRESS(35,17),$BB$30:$BC$430,1,FALSE)),"",VLOOKUP(ADDRESS(35,17),$BB$30:$BC$430,2,FALSE))</f>
        <v/>
      </c>
      <c r="R35" s="18" t="str">
        <f ca="1">IF(ISNONTEXT(VLOOKUP(ADDRESS(35,18),$BB$30:$BC$430,1,FALSE)),"",VLOOKUP(ADDRESS(35,18),$BB$30:$BC$430,2,FALSE))</f>
        <v/>
      </c>
      <c r="S35" s="18" t="str">
        <f ca="1">IF(ISNONTEXT(VLOOKUP(ADDRESS(35,19),$BB$30:$BC$430,1,FALSE)),"",VLOOKUP(ADDRESS(35,19),$BB$30:$BC$430,2,FALSE))</f>
        <v/>
      </c>
      <c r="T35" s="18" t="str">
        <f ca="1">IF(ISNONTEXT(VLOOKUP(ADDRESS(35,20),$BB$30:$BC$430,1,FALSE)),"",VLOOKUP(ADDRESS(35,20),$BB$30:$BC$430,2,FALSE))</f>
        <v/>
      </c>
      <c r="U35" s="18" t="str">
        <f ca="1">IF(ISNONTEXT(VLOOKUP(ADDRESS(35,21),$BB$30:$BC$430,1,FALSE)),"",VLOOKUP(ADDRESS(35,21),$BB$30:$BC$430,2,FALSE))</f>
        <v/>
      </c>
      <c r="V35" s="18" t="str">
        <f ca="1">IF(ISNONTEXT(VLOOKUP(ADDRESS(35,22),$BB$30:$BC$430,1,FALSE)),"",VLOOKUP(ADDRESS(35,22),$BB$30:$BC$430,2,FALSE))</f>
        <v/>
      </c>
      <c r="W35" s="18" t="str">
        <f ca="1">IF(ISNONTEXT(VLOOKUP(ADDRESS(35,23),$BB$30:$BC$430,1,FALSE)),"",VLOOKUP(ADDRESS(35,23),$BB$30:$BC$430,2,FALSE))</f>
        <v/>
      </c>
      <c r="X35" s="18" t="str">
        <f ca="1">IF(ISNONTEXT(VLOOKUP(ADDRESS(35,24),$BB$30:$BC$430,1,FALSE)),"",VLOOKUP(ADDRESS(35,24),$BB$30:$BC$430,2,FALSE))</f>
        <v/>
      </c>
      <c r="Y35" s="18" t="str">
        <f ca="1">IF(ISNONTEXT(VLOOKUP(ADDRESS(35,25),$BB$30:$BC$430,1,FALSE)),"",VLOOKUP(ADDRESS(35,25),$BB$30:$BC$430,2,FALSE))</f>
        <v/>
      </c>
      <c r="Z35" s="18" t="str">
        <f ca="1">IF(ISNONTEXT(VLOOKUP(ADDRESS(35,26),$BB$30:$BC$430,1,FALSE)),"",VLOOKUP(ADDRESS(35,26),$BB$30:$BC$430,2,FALSE))</f>
        <v/>
      </c>
      <c r="AA35" s="18" t="str">
        <f ca="1">IF(ISNONTEXT(VLOOKUP(ADDRESS(35,27),$BB$30:$BC$430,1,FALSE)),"",VLOOKUP(ADDRESS(35,27),$BB$30:$BC$430,2,FALSE))</f>
        <v/>
      </c>
      <c r="AB35" s="18" t="str">
        <f ca="1">IF($C35&lt;&gt;"","X","")</f>
        <v/>
      </c>
      <c r="AC35" s="33"/>
      <c r="AD35" s="33"/>
      <c r="AE35" s="33"/>
      <c r="AF35" s="33"/>
      <c r="AG35" s="33"/>
      <c r="AH35" s="33"/>
      <c r="AI35" s="33"/>
      <c r="AJ35" s="33"/>
      <c r="AK35" s="33"/>
      <c r="AL35" s="33"/>
      <c r="AM35" s="33"/>
      <c r="AN35" s="33"/>
      <c r="AO35" s="33"/>
      <c r="AP35" s="33"/>
      <c r="AQ35" s="33"/>
      <c r="AR35" s="33"/>
      <c r="AS35" s="33"/>
      <c r="AT35" s="33"/>
      <c r="AU35" s="34"/>
      <c r="AV35" s="30"/>
      <c r="AW35" s="32"/>
      <c r="AY35"/>
      <c r="AZ35">
        <v>1</v>
      </c>
      <c r="BA35" s="16" t="s">
        <v>129</v>
      </c>
      <c r="BB35" t="str">
        <f ca="1">IF($BB$19&lt;&gt;"",ADDRESS($BB$20+10,$BB$19+3),"")</f>
        <v>$F$15</v>
      </c>
      <c r="BC35" t="str">
        <f ca="1">IF(BB35&lt;&gt;"","1•5","")</f>
        <v>1•5</v>
      </c>
      <c r="BD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row>
    <row r="36" spans="1:123" ht="12" customHeight="1">
      <c r="A36" s="16">
        <v>26</v>
      </c>
      <c r="B36" s="16">
        <f>DrawFinder!Y36</f>
        <v>0</v>
      </c>
      <c r="C36" s="16" t="str">
        <f ca="1">CS!AR36</f>
        <v/>
      </c>
      <c r="D36" s="18" t="str">
        <f ca="1">IF(ISNONTEXT(VLOOKUP(ADDRESS(36,4),$BB$30:$BC$430,1,FALSE)),"",VLOOKUP(ADDRESS(36,4),$BB$30:$BC$430,2,FALSE))</f>
        <v/>
      </c>
      <c r="E36" s="18" t="str">
        <f ca="1">IF(ISNONTEXT(VLOOKUP(ADDRESS(36,5),$BB$30:$BC$430,1,FALSE)),"",VLOOKUP(ADDRESS(36,5),$BB$30:$BC$430,2,FALSE))</f>
        <v/>
      </c>
      <c r="F36" s="18" t="str">
        <f ca="1">IF(ISNONTEXT(VLOOKUP(ADDRESS(36,6),$BB$30:$BC$430,1,FALSE)),"",VLOOKUP(ADDRESS(36,6),$BB$30:$BC$430,2,FALSE))</f>
        <v/>
      </c>
      <c r="G36" s="18" t="str">
        <f ca="1">IF(ISNONTEXT(VLOOKUP(ADDRESS(36,7),$BB$30:$BC$430,1,FALSE)),"",VLOOKUP(ADDRESS(36,7),$BB$30:$BC$430,2,FALSE))</f>
        <v/>
      </c>
      <c r="H36" s="18" t="str">
        <f ca="1">IF(ISNONTEXT(VLOOKUP(ADDRESS(36,8),$BB$30:$BC$430,1,FALSE)),"",VLOOKUP(ADDRESS(36,8),$BB$30:$BC$430,2,FALSE))</f>
        <v/>
      </c>
      <c r="I36" s="18" t="str">
        <f ca="1">IF(ISNONTEXT(VLOOKUP(ADDRESS(36,9),$BB$30:$BC$430,1,FALSE)),"",VLOOKUP(ADDRESS(36,9),$BB$30:$BC$430,2,FALSE))</f>
        <v/>
      </c>
      <c r="J36" s="18" t="str">
        <f ca="1">IF(ISNONTEXT(VLOOKUP(ADDRESS(36,10),$BB$30:$BC$430,1,FALSE)),"",VLOOKUP(ADDRESS(36,10),$BB$30:$BC$430,2,FALSE))</f>
        <v/>
      </c>
      <c r="K36" s="18" t="str">
        <f ca="1">IF(ISNONTEXT(VLOOKUP(ADDRESS(36,11),$BB$30:$BC$430,1,FALSE)),"",VLOOKUP(ADDRESS(36,11),$BB$30:$BC$430,2,FALSE))</f>
        <v/>
      </c>
      <c r="L36" s="18" t="str">
        <f ca="1">IF(ISNONTEXT(VLOOKUP(ADDRESS(36,12),$BB$30:$BC$430,1,FALSE)),"",VLOOKUP(ADDRESS(36,12),$BB$30:$BC$430,2,FALSE))</f>
        <v/>
      </c>
      <c r="M36" s="18" t="str">
        <f ca="1">IF(ISNONTEXT(VLOOKUP(ADDRESS(36,13),$BB$30:$BC$430,1,FALSE)),"",VLOOKUP(ADDRESS(36,13),$BB$30:$BC$430,2,FALSE))</f>
        <v/>
      </c>
      <c r="N36" s="18" t="str">
        <f ca="1">IF(ISNONTEXT(VLOOKUP(ADDRESS(36,14),$BB$30:$BC$430,1,FALSE)),"",VLOOKUP(ADDRESS(36,14),$BB$30:$BC$430,2,FALSE))</f>
        <v/>
      </c>
      <c r="O36" s="18" t="str">
        <f ca="1">IF(ISNONTEXT(VLOOKUP(ADDRESS(36,15),$BB$30:$BC$430,1,FALSE)),"",VLOOKUP(ADDRESS(36,15),$BB$30:$BC$430,2,FALSE))</f>
        <v/>
      </c>
      <c r="P36" s="18" t="str">
        <f ca="1">IF(ISNONTEXT(VLOOKUP(ADDRESS(36,16),$BB$30:$BC$430,1,FALSE)),"",VLOOKUP(ADDRESS(36,16),$BB$30:$BC$430,2,FALSE))</f>
        <v/>
      </c>
      <c r="Q36" s="18" t="str">
        <f ca="1">IF(ISNONTEXT(VLOOKUP(ADDRESS(36,17),$BB$30:$BC$430,1,FALSE)),"",VLOOKUP(ADDRESS(36,17),$BB$30:$BC$430,2,FALSE))</f>
        <v/>
      </c>
      <c r="R36" s="18" t="str">
        <f ca="1">IF(ISNONTEXT(VLOOKUP(ADDRESS(36,18),$BB$30:$BC$430,1,FALSE)),"",VLOOKUP(ADDRESS(36,18),$BB$30:$BC$430,2,FALSE))</f>
        <v/>
      </c>
      <c r="S36" s="18" t="str">
        <f ca="1">IF(ISNONTEXT(VLOOKUP(ADDRESS(36,19),$BB$30:$BC$430,1,FALSE)),"",VLOOKUP(ADDRESS(36,19),$BB$30:$BC$430,2,FALSE))</f>
        <v/>
      </c>
      <c r="T36" s="18" t="str">
        <f ca="1">IF(ISNONTEXT(VLOOKUP(ADDRESS(36,20),$BB$30:$BC$430,1,FALSE)),"",VLOOKUP(ADDRESS(36,20),$BB$30:$BC$430,2,FALSE))</f>
        <v/>
      </c>
      <c r="U36" s="18" t="str">
        <f ca="1">IF(ISNONTEXT(VLOOKUP(ADDRESS(36,21),$BB$30:$BC$430,1,FALSE)),"",VLOOKUP(ADDRESS(36,21),$BB$30:$BC$430,2,FALSE))</f>
        <v/>
      </c>
      <c r="V36" s="18" t="str">
        <f ca="1">IF(ISNONTEXT(VLOOKUP(ADDRESS(36,22),$BB$30:$BC$430,1,FALSE)),"",VLOOKUP(ADDRESS(36,22),$BB$30:$BC$430,2,FALSE))</f>
        <v/>
      </c>
      <c r="W36" s="18" t="str">
        <f ca="1">IF(ISNONTEXT(VLOOKUP(ADDRESS(36,23),$BB$30:$BC$430,1,FALSE)),"",VLOOKUP(ADDRESS(36,23),$BB$30:$BC$430,2,FALSE))</f>
        <v/>
      </c>
      <c r="X36" s="18" t="str">
        <f ca="1">IF(ISNONTEXT(VLOOKUP(ADDRESS(36,24),$BB$30:$BC$430,1,FALSE)),"",VLOOKUP(ADDRESS(36,24),$BB$30:$BC$430,2,FALSE))</f>
        <v/>
      </c>
      <c r="Y36" s="18" t="str">
        <f ca="1">IF(ISNONTEXT(VLOOKUP(ADDRESS(36,25),$BB$30:$BC$430,1,FALSE)),"",VLOOKUP(ADDRESS(36,25),$BB$30:$BC$430,2,FALSE))</f>
        <v/>
      </c>
      <c r="Z36" s="18" t="str">
        <f ca="1">IF(ISNONTEXT(VLOOKUP(ADDRESS(36,26),$BB$30:$BC$430,1,FALSE)),"",VLOOKUP(ADDRESS(36,26),$BB$30:$BC$430,2,FALSE))</f>
        <v/>
      </c>
      <c r="AA36" s="18" t="str">
        <f ca="1">IF(ISNONTEXT(VLOOKUP(ADDRESS(36,27),$BB$30:$BC$430,1,FALSE)),"",VLOOKUP(ADDRESS(36,27),$BB$30:$BC$430,2,FALSE))</f>
        <v/>
      </c>
      <c r="AB36" s="18" t="str">
        <f ca="1">IF(ISNONTEXT(VLOOKUP(ADDRESS(36,28),$BB$30:$BC$430,1,FALSE)),"",VLOOKUP(ADDRESS(36,28),$BB$30:$BC$430,2,FALSE))</f>
        <v/>
      </c>
      <c r="AC36" s="18" t="str">
        <f ca="1">IF($C36&lt;&gt;"","X","")</f>
        <v/>
      </c>
      <c r="AD36" s="33"/>
      <c r="AE36" s="33"/>
      <c r="AF36" s="33"/>
      <c r="AG36" s="33"/>
      <c r="AH36" s="33"/>
      <c r="AI36" s="33"/>
      <c r="AJ36" s="33"/>
      <c r="AK36" s="33"/>
      <c r="AL36" s="33"/>
      <c r="AM36" s="33"/>
      <c r="AN36" s="33"/>
      <c r="AO36" s="33"/>
      <c r="AP36" s="33"/>
      <c r="AQ36" s="33"/>
      <c r="AR36" s="33"/>
      <c r="AS36" s="33"/>
      <c r="AT36" s="33"/>
      <c r="AU36" s="34"/>
      <c r="AV36" s="30"/>
      <c r="AW36" s="32"/>
      <c r="AY36"/>
      <c r="AZ36">
        <v>1</v>
      </c>
      <c r="BA36" s="16" t="s">
        <v>130</v>
      </c>
      <c r="BB36" t="str">
        <f ca="1">IF($BB$21&lt;&gt;"",ADDRESS($BB$22+10,$BB$21+3),"")</f>
        <v>$U$33</v>
      </c>
      <c r="BC36" t="str">
        <f ca="1">IF(BB36&lt;&gt;"","1•6","")</f>
        <v>1•6</v>
      </c>
      <c r="BD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row>
    <row r="37" spans="1:123" ht="12" customHeight="1">
      <c r="A37" s="16">
        <v>27</v>
      </c>
      <c r="B37" s="16">
        <f>DrawFinder!Y37</f>
        <v>0</v>
      </c>
      <c r="C37" s="16" t="str">
        <f ca="1">CS!AR37</f>
        <v/>
      </c>
      <c r="D37" s="18" t="str">
        <f ca="1">IF(ISNONTEXT(VLOOKUP(ADDRESS(37,4),$BB$30:$BC$430,1,FALSE)),"",VLOOKUP(ADDRESS(37,4),$BB$30:$BC$430,2,FALSE))</f>
        <v/>
      </c>
      <c r="E37" s="18" t="str">
        <f ca="1">IF(ISNONTEXT(VLOOKUP(ADDRESS(37,5),$BB$30:$BC$430,1,FALSE)),"",VLOOKUP(ADDRESS(37,5),$BB$30:$BC$430,2,FALSE))</f>
        <v/>
      </c>
      <c r="F37" s="18" t="str">
        <f ca="1">IF(ISNONTEXT(VLOOKUP(ADDRESS(37,6),$BB$30:$BC$430,1,FALSE)),"",VLOOKUP(ADDRESS(37,6),$BB$30:$BC$430,2,FALSE))</f>
        <v/>
      </c>
      <c r="G37" s="18" t="str">
        <f ca="1">IF(ISNONTEXT(VLOOKUP(ADDRESS(37,7),$BB$30:$BC$430,1,FALSE)),"",VLOOKUP(ADDRESS(37,7),$BB$30:$BC$430,2,FALSE))</f>
        <v/>
      </c>
      <c r="H37" s="18" t="str">
        <f ca="1">IF(ISNONTEXT(VLOOKUP(ADDRESS(37,8),$BB$30:$BC$430,1,FALSE)),"",VLOOKUP(ADDRESS(37,8),$BB$30:$BC$430,2,FALSE))</f>
        <v/>
      </c>
      <c r="I37" s="18" t="str">
        <f ca="1">IF(ISNONTEXT(VLOOKUP(ADDRESS(37,9),$BB$30:$BC$430,1,FALSE)),"",VLOOKUP(ADDRESS(37,9),$BB$30:$BC$430,2,FALSE))</f>
        <v/>
      </c>
      <c r="J37" s="18" t="str">
        <f ca="1">IF(ISNONTEXT(VLOOKUP(ADDRESS(37,10),$BB$30:$BC$430,1,FALSE)),"",VLOOKUP(ADDRESS(37,10),$BB$30:$BC$430,2,FALSE))</f>
        <v/>
      </c>
      <c r="K37" s="18" t="str">
        <f ca="1">IF(ISNONTEXT(VLOOKUP(ADDRESS(37,11),$BB$30:$BC$430,1,FALSE)),"",VLOOKUP(ADDRESS(37,11),$BB$30:$BC$430,2,FALSE))</f>
        <v/>
      </c>
      <c r="L37" s="18" t="str">
        <f ca="1">IF(ISNONTEXT(VLOOKUP(ADDRESS(37,12),$BB$30:$BC$430,1,FALSE)),"",VLOOKUP(ADDRESS(37,12),$BB$30:$BC$430,2,FALSE))</f>
        <v/>
      </c>
      <c r="M37" s="18" t="str">
        <f ca="1">IF(ISNONTEXT(VLOOKUP(ADDRESS(37,13),$BB$30:$BC$430,1,FALSE)),"",VLOOKUP(ADDRESS(37,13),$BB$30:$BC$430,2,FALSE))</f>
        <v/>
      </c>
      <c r="N37" s="18" t="str">
        <f ca="1">IF(ISNONTEXT(VLOOKUP(ADDRESS(37,14),$BB$30:$BC$430,1,FALSE)),"",VLOOKUP(ADDRESS(37,14),$BB$30:$BC$430,2,FALSE))</f>
        <v/>
      </c>
      <c r="O37" s="18" t="str">
        <f ca="1">IF(ISNONTEXT(VLOOKUP(ADDRESS(37,15),$BB$30:$BC$430,1,FALSE)),"",VLOOKUP(ADDRESS(37,15),$BB$30:$BC$430,2,FALSE))</f>
        <v/>
      </c>
      <c r="P37" s="18" t="str">
        <f ca="1">IF(ISNONTEXT(VLOOKUP(ADDRESS(37,16),$BB$30:$BC$430,1,FALSE)),"",VLOOKUP(ADDRESS(37,16),$BB$30:$BC$430,2,FALSE))</f>
        <v/>
      </c>
      <c r="Q37" s="18" t="str">
        <f ca="1">IF(ISNONTEXT(VLOOKUP(ADDRESS(37,17),$BB$30:$BC$430,1,FALSE)),"",VLOOKUP(ADDRESS(37,17),$BB$30:$BC$430,2,FALSE))</f>
        <v/>
      </c>
      <c r="R37" s="18" t="str">
        <f ca="1">IF(ISNONTEXT(VLOOKUP(ADDRESS(37,18),$BB$30:$BC$430,1,FALSE)),"",VLOOKUP(ADDRESS(37,18),$BB$30:$BC$430,2,FALSE))</f>
        <v/>
      </c>
      <c r="S37" s="18" t="str">
        <f ca="1">IF(ISNONTEXT(VLOOKUP(ADDRESS(37,19),$BB$30:$BC$430,1,FALSE)),"",VLOOKUP(ADDRESS(37,19),$BB$30:$BC$430,2,FALSE))</f>
        <v/>
      </c>
      <c r="T37" s="18" t="str">
        <f ca="1">IF(ISNONTEXT(VLOOKUP(ADDRESS(37,20),$BB$30:$BC$430,1,FALSE)),"",VLOOKUP(ADDRESS(37,20),$BB$30:$BC$430,2,FALSE))</f>
        <v/>
      </c>
      <c r="U37" s="18" t="str">
        <f ca="1">IF(ISNONTEXT(VLOOKUP(ADDRESS(37,21),$BB$30:$BC$430,1,FALSE)),"",VLOOKUP(ADDRESS(37,21),$BB$30:$BC$430,2,FALSE))</f>
        <v/>
      </c>
      <c r="V37" s="18" t="str">
        <f ca="1">IF(ISNONTEXT(VLOOKUP(ADDRESS(37,22),$BB$30:$BC$430,1,FALSE)),"",VLOOKUP(ADDRESS(37,22),$BB$30:$BC$430,2,FALSE))</f>
        <v/>
      </c>
      <c r="W37" s="18" t="str">
        <f ca="1">IF(ISNONTEXT(VLOOKUP(ADDRESS(37,23),$BB$30:$BC$430,1,FALSE)),"",VLOOKUP(ADDRESS(37,23),$BB$30:$BC$430,2,FALSE))</f>
        <v/>
      </c>
      <c r="X37" s="18" t="str">
        <f ca="1">IF(ISNONTEXT(VLOOKUP(ADDRESS(37,24),$BB$30:$BC$430,1,FALSE)),"",VLOOKUP(ADDRESS(37,24),$BB$30:$BC$430,2,FALSE))</f>
        <v/>
      </c>
      <c r="Y37" s="18" t="str">
        <f ca="1">IF(ISNONTEXT(VLOOKUP(ADDRESS(37,25),$BB$30:$BC$430,1,FALSE)),"",VLOOKUP(ADDRESS(37,25),$BB$30:$BC$430,2,FALSE))</f>
        <v/>
      </c>
      <c r="Z37" s="18" t="str">
        <f ca="1">IF(ISNONTEXT(VLOOKUP(ADDRESS(37,26),$BB$30:$BC$430,1,FALSE)),"",VLOOKUP(ADDRESS(37,26),$BB$30:$BC$430,2,FALSE))</f>
        <v/>
      </c>
      <c r="AA37" s="18" t="str">
        <f ca="1">IF(ISNONTEXT(VLOOKUP(ADDRESS(37,27),$BB$30:$BC$430,1,FALSE)),"",VLOOKUP(ADDRESS(37,27),$BB$30:$BC$430,2,FALSE))</f>
        <v/>
      </c>
      <c r="AB37" s="18" t="str">
        <f ca="1">IF(ISNONTEXT(VLOOKUP(ADDRESS(37,28),$BB$30:$BC$430,1,FALSE)),"",VLOOKUP(ADDRESS(37,28),$BB$30:$BC$430,2,FALSE))</f>
        <v/>
      </c>
      <c r="AC37" s="18" t="str">
        <f ca="1">IF(ISNONTEXT(VLOOKUP(ADDRESS(37,29),$BB$30:$BC$430,1,FALSE)),"",VLOOKUP(ADDRESS(37,29),$BB$30:$BC$430,2,FALSE))</f>
        <v/>
      </c>
      <c r="AD37" s="18" t="str">
        <f ca="1">IF($C37&lt;&gt;"","X","")</f>
        <v/>
      </c>
      <c r="AE37" s="33"/>
      <c r="AF37" s="33"/>
      <c r="AG37" s="33"/>
      <c r="AH37" s="33"/>
      <c r="AI37" s="33"/>
      <c r="AJ37" s="33"/>
      <c r="AK37" s="33"/>
      <c r="AL37" s="33"/>
      <c r="AM37" s="33"/>
      <c r="AN37" s="33"/>
      <c r="AO37" s="33"/>
      <c r="AP37" s="33"/>
      <c r="AQ37" s="33"/>
      <c r="AR37" s="33"/>
      <c r="AS37" s="33"/>
      <c r="AT37" s="33"/>
      <c r="AU37" s="34"/>
      <c r="AV37" s="30"/>
      <c r="AW37" s="32"/>
      <c r="AY37"/>
      <c r="AZ37">
        <v>1</v>
      </c>
      <c r="BA37" s="16" t="s">
        <v>131</v>
      </c>
      <c r="BB37" t="str">
        <f ca="1">IF($BB$23&lt;&gt;"",ADDRESS($BB$24+10,$BB$23+3),"")</f>
        <v/>
      </c>
      <c r="BC37" t="str">
        <f ca="1">IF(BB37&lt;&gt;"","1•7","")</f>
        <v/>
      </c>
      <c r="BD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row>
    <row r="38" spans="1:123" ht="12" customHeight="1">
      <c r="A38" s="16">
        <v>28</v>
      </c>
      <c r="B38" s="16">
        <f>DrawFinder!Y38</f>
        <v>0</v>
      </c>
      <c r="C38" s="16" t="str">
        <f ca="1">CS!AR38</f>
        <v/>
      </c>
      <c r="D38" s="18" t="str">
        <f ca="1">IF(ISNONTEXT(VLOOKUP(ADDRESS(38,4),$BB$30:$BC$430,1,FALSE)),"",VLOOKUP(ADDRESS(38,4),$BB$30:$BC$430,2,FALSE))</f>
        <v/>
      </c>
      <c r="E38" s="18" t="str">
        <f ca="1">IF(ISNONTEXT(VLOOKUP(ADDRESS(38,5),$BB$30:$BC$430,1,FALSE)),"",VLOOKUP(ADDRESS(38,5),$BB$30:$BC$430,2,FALSE))</f>
        <v/>
      </c>
      <c r="F38" s="18" t="str">
        <f ca="1">IF(ISNONTEXT(VLOOKUP(ADDRESS(38,6),$BB$30:$BC$430,1,FALSE)),"",VLOOKUP(ADDRESS(38,6),$BB$30:$BC$430,2,FALSE))</f>
        <v/>
      </c>
      <c r="G38" s="18" t="str">
        <f ca="1">IF(ISNONTEXT(VLOOKUP(ADDRESS(38,7),$BB$30:$BC$430,1,FALSE)),"",VLOOKUP(ADDRESS(38,7),$BB$30:$BC$430,2,FALSE))</f>
        <v/>
      </c>
      <c r="H38" s="18" t="str">
        <f ca="1">IF(ISNONTEXT(VLOOKUP(ADDRESS(38,8),$BB$30:$BC$430,1,FALSE)),"",VLOOKUP(ADDRESS(38,8),$BB$30:$BC$430,2,FALSE))</f>
        <v/>
      </c>
      <c r="I38" s="18" t="str">
        <f ca="1">IF(ISNONTEXT(VLOOKUP(ADDRESS(38,9),$BB$30:$BC$430,1,FALSE)),"",VLOOKUP(ADDRESS(38,9),$BB$30:$BC$430,2,FALSE))</f>
        <v/>
      </c>
      <c r="J38" s="18" t="str">
        <f ca="1">IF(ISNONTEXT(VLOOKUP(ADDRESS(38,10),$BB$30:$BC$430,1,FALSE)),"",VLOOKUP(ADDRESS(38,10),$BB$30:$BC$430,2,FALSE))</f>
        <v/>
      </c>
      <c r="K38" s="18" t="str">
        <f ca="1">IF(ISNONTEXT(VLOOKUP(ADDRESS(38,11),$BB$30:$BC$430,1,FALSE)),"",VLOOKUP(ADDRESS(38,11),$BB$30:$BC$430,2,FALSE))</f>
        <v/>
      </c>
      <c r="L38" s="18" t="str">
        <f ca="1">IF(ISNONTEXT(VLOOKUP(ADDRESS(38,12),$BB$30:$BC$430,1,FALSE)),"",VLOOKUP(ADDRESS(38,12),$BB$30:$BC$430,2,FALSE))</f>
        <v/>
      </c>
      <c r="M38" s="18" t="str">
        <f ca="1">IF(ISNONTEXT(VLOOKUP(ADDRESS(38,13),$BB$30:$BC$430,1,FALSE)),"",VLOOKUP(ADDRESS(38,13),$BB$30:$BC$430,2,FALSE))</f>
        <v/>
      </c>
      <c r="N38" s="18" t="str">
        <f ca="1">IF(ISNONTEXT(VLOOKUP(ADDRESS(38,14),$BB$30:$BC$430,1,FALSE)),"",VLOOKUP(ADDRESS(38,14),$BB$30:$BC$430,2,FALSE))</f>
        <v/>
      </c>
      <c r="O38" s="18" t="str">
        <f ca="1">IF(ISNONTEXT(VLOOKUP(ADDRESS(38,15),$BB$30:$BC$430,1,FALSE)),"",VLOOKUP(ADDRESS(38,15),$BB$30:$BC$430,2,FALSE))</f>
        <v/>
      </c>
      <c r="P38" s="18" t="str">
        <f ca="1">IF(ISNONTEXT(VLOOKUP(ADDRESS(38,16),$BB$30:$BC$430,1,FALSE)),"",VLOOKUP(ADDRESS(38,16),$BB$30:$BC$430,2,FALSE))</f>
        <v/>
      </c>
      <c r="Q38" s="18" t="str">
        <f ca="1">IF(ISNONTEXT(VLOOKUP(ADDRESS(38,17),$BB$30:$BC$430,1,FALSE)),"",VLOOKUP(ADDRESS(38,17),$BB$30:$BC$430,2,FALSE))</f>
        <v/>
      </c>
      <c r="R38" s="18" t="str">
        <f ca="1">IF(ISNONTEXT(VLOOKUP(ADDRESS(38,18),$BB$30:$BC$430,1,FALSE)),"",VLOOKUP(ADDRESS(38,18),$BB$30:$BC$430,2,FALSE))</f>
        <v/>
      </c>
      <c r="S38" s="18" t="str">
        <f ca="1">IF(ISNONTEXT(VLOOKUP(ADDRESS(38,19),$BB$30:$BC$430,1,FALSE)),"",VLOOKUP(ADDRESS(38,19),$BB$30:$BC$430,2,FALSE))</f>
        <v/>
      </c>
      <c r="T38" s="18" t="str">
        <f ca="1">IF(ISNONTEXT(VLOOKUP(ADDRESS(38,20),$BB$30:$BC$430,1,FALSE)),"",VLOOKUP(ADDRESS(38,20),$BB$30:$BC$430,2,FALSE))</f>
        <v/>
      </c>
      <c r="U38" s="18" t="str">
        <f ca="1">IF(ISNONTEXT(VLOOKUP(ADDRESS(38,21),$BB$30:$BC$430,1,FALSE)),"",VLOOKUP(ADDRESS(38,21),$BB$30:$BC$430,2,FALSE))</f>
        <v/>
      </c>
      <c r="V38" s="18" t="str">
        <f ca="1">IF(ISNONTEXT(VLOOKUP(ADDRESS(38,22),$BB$30:$BC$430,1,FALSE)),"",VLOOKUP(ADDRESS(38,22),$BB$30:$BC$430,2,FALSE))</f>
        <v/>
      </c>
      <c r="W38" s="18" t="str">
        <f ca="1">IF(ISNONTEXT(VLOOKUP(ADDRESS(38,23),$BB$30:$BC$430,1,FALSE)),"",VLOOKUP(ADDRESS(38,23),$BB$30:$BC$430,2,FALSE))</f>
        <v/>
      </c>
      <c r="X38" s="18" t="str">
        <f ca="1">IF(ISNONTEXT(VLOOKUP(ADDRESS(38,24),$BB$30:$BC$430,1,FALSE)),"",VLOOKUP(ADDRESS(38,24),$BB$30:$BC$430,2,FALSE))</f>
        <v/>
      </c>
      <c r="Y38" s="18" t="str">
        <f ca="1">IF(ISNONTEXT(VLOOKUP(ADDRESS(38,25),$BB$30:$BC$430,1,FALSE)),"",VLOOKUP(ADDRESS(38,25),$BB$30:$BC$430,2,FALSE))</f>
        <v/>
      </c>
      <c r="Z38" s="18" t="str">
        <f ca="1">IF(ISNONTEXT(VLOOKUP(ADDRESS(38,26),$BB$30:$BC$430,1,FALSE)),"",VLOOKUP(ADDRESS(38,26),$BB$30:$BC$430,2,FALSE))</f>
        <v/>
      </c>
      <c r="AA38" s="18" t="str">
        <f ca="1">IF(ISNONTEXT(VLOOKUP(ADDRESS(38,27),$BB$30:$BC$430,1,FALSE)),"",VLOOKUP(ADDRESS(38,27),$BB$30:$BC$430,2,FALSE))</f>
        <v/>
      </c>
      <c r="AB38" s="18" t="str">
        <f ca="1">IF(ISNONTEXT(VLOOKUP(ADDRESS(38,28),$BB$30:$BC$430,1,FALSE)),"",VLOOKUP(ADDRESS(38,28),$BB$30:$BC$430,2,FALSE))</f>
        <v/>
      </c>
      <c r="AC38" s="18" t="str">
        <f ca="1">IF(ISNONTEXT(VLOOKUP(ADDRESS(38,29),$BB$30:$BC$430,1,FALSE)),"",VLOOKUP(ADDRESS(38,29),$BB$30:$BC$430,2,FALSE))</f>
        <v/>
      </c>
      <c r="AD38" s="18" t="str">
        <f ca="1">IF(ISNONTEXT(VLOOKUP(ADDRESS(38,30),$BB$30:$BC$430,1,FALSE)),"",VLOOKUP(ADDRESS(38,30),$BB$30:$BC$430,2,FALSE))</f>
        <v/>
      </c>
      <c r="AE38" s="18" t="str">
        <f ca="1">IF($C38&lt;&gt;"","X","")</f>
        <v/>
      </c>
      <c r="AF38" s="33"/>
      <c r="AG38" s="33"/>
      <c r="AH38" s="33"/>
      <c r="AI38" s="33"/>
      <c r="AJ38" s="33"/>
      <c r="AK38" s="33"/>
      <c r="AL38" s="33"/>
      <c r="AM38" s="33"/>
      <c r="AN38" s="33"/>
      <c r="AO38" s="33"/>
      <c r="AP38" s="33"/>
      <c r="AQ38" s="33"/>
      <c r="AR38" s="33"/>
      <c r="AS38" s="33"/>
      <c r="AT38" s="33"/>
      <c r="AU38" s="34"/>
      <c r="AV38" s="30"/>
      <c r="AW38" s="32"/>
      <c r="AY38"/>
      <c r="AZ38">
        <v>1</v>
      </c>
      <c r="BA38" s="16" t="s">
        <v>132</v>
      </c>
      <c r="BB38" t="str">
        <f ca="1">IF($BB$25&lt;&gt;"",ADDRESS($BB$26+10,$BB$25+3),"")</f>
        <v/>
      </c>
      <c r="BC38" t="str">
        <f ca="1">IF(BB38&lt;&gt;"","1•8","")</f>
        <v/>
      </c>
      <c r="BD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row>
    <row r="39" spans="1:123" ht="12" customHeight="1">
      <c r="A39" s="16">
        <v>29</v>
      </c>
      <c r="B39" s="16">
        <f>DrawFinder!Y39</f>
        <v>0</v>
      </c>
      <c r="C39" s="16" t="str">
        <f ca="1">CS!AR39</f>
        <v/>
      </c>
      <c r="D39" s="18" t="str">
        <f ca="1">IF(ISNONTEXT(VLOOKUP(ADDRESS(39,4),$BB$30:$BC$430,1,FALSE)),"",VLOOKUP(ADDRESS(39,4),$BB$30:$BC$430,2,FALSE))</f>
        <v/>
      </c>
      <c r="E39" s="18" t="str">
        <f ca="1">IF(ISNONTEXT(VLOOKUP(ADDRESS(39,5),$BB$30:$BC$430,1,FALSE)),"",VLOOKUP(ADDRESS(39,5),$BB$30:$BC$430,2,FALSE))</f>
        <v/>
      </c>
      <c r="F39" s="18" t="str">
        <f ca="1">IF(ISNONTEXT(VLOOKUP(ADDRESS(39,6),$BB$30:$BC$430,1,FALSE)),"",VLOOKUP(ADDRESS(39,6),$BB$30:$BC$430,2,FALSE))</f>
        <v/>
      </c>
      <c r="G39" s="18" t="str">
        <f ca="1">IF(ISNONTEXT(VLOOKUP(ADDRESS(39,7),$BB$30:$BC$430,1,FALSE)),"",VLOOKUP(ADDRESS(39,7),$BB$30:$BC$430,2,FALSE))</f>
        <v/>
      </c>
      <c r="H39" s="18" t="str">
        <f ca="1">IF(ISNONTEXT(VLOOKUP(ADDRESS(39,8),$BB$30:$BC$430,1,FALSE)),"",VLOOKUP(ADDRESS(39,8),$BB$30:$BC$430,2,FALSE))</f>
        <v/>
      </c>
      <c r="I39" s="18" t="str">
        <f ca="1">IF(ISNONTEXT(VLOOKUP(ADDRESS(39,9),$BB$30:$BC$430,1,FALSE)),"",VLOOKUP(ADDRESS(39,9),$BB$30:$BC$430,2,FALSE))</f>
        <v/>
      </c>
      <c r="J39" s="18" t="str">
        <f ca="1">IF(ISNONTEXT(VLOOKUP(ADDRESS(39,10),$BB$30:$BC$430,1,FALSE)),"",VLOOKUP(ADDRESS(39,10),$BB$30:$BC$430,2,FALSE))</f>
        <v/>
      </c>
      <c r="K39" s="18" t="str">
        <f ca="1">IF(ISNONTEXT(VLOOKUP(ADDRESS(39,11),$BB$30:$BC$430,1,FALSE)),"",VLOOKUP(ADDRESS(39,11),$BB$30:$BC$430,2,FALSE))</f>
        <v/>
      </c>
      <c r="L39" s="18" t="str">
        <f ca="1">IF(ISNONTEXT(VLOOKUP(ADDRESS(39,12),$BB$30:$BC$430,1,FALSE)),"",VLOOKUP(ADDRESS(39,12),$BB$30:$BC$430,2,FALSE))</f>
        <v/>
      </c>
      <c r="M39" s="18" t="str">
        <f ca="1">IF(ISNONTEXT(VLOOKUP(ADDRESS(39,13),$BB$30:$BC$430,1,FALSE)),"",VLOOKUP(ADDRESS(39,13),$BB$30:$BC$430,2,FALSE))</f>
        <v/>
      </c>
      <c r="N39" s="18" t="str">
        <f ca="1">IF(ISNONTEXT(VLOOKUP(ADDRESS(39,14),$BB$30:$BC$430,1,FALSE)),"",VLOOKUP(ADDRESS(39,14),$BB$30:$BC$430,2,FALSE))</f>
        <v/>
      </c>
      <c r="O39" s="18" t="str">
        <f ca="1">IF(ISNONTEXT(VLOOKUP(ADDRESS(39,15),$BB$30:$BC$430,1,FALSE)),"",VLOOKUP(ADDRESS(39,15),$BB$30:$BC$430,2,FALSE))</f>
        <v/>
      </c>
      <c r="P39" s="18" t="str">
        <f ca="1">IF(ISNONTEXT(VLOOKUP(ADDRESS(39,16),$BB$30:$BC$430,1,FALSE)),"",VLOOKUP(ADDRESS(39,16),$BB$30:$BC$430,2,FALSE))</f>
        <v/>
      </c>
      <c r="Q39" s="18" t="str">
        <f ca="1">IF(ISNONTEXT(VLOOKUP(ADDRESS(39,17),$BB$30:$BC$430,1,FALSE)),"",VLOOKUP(ADDRESS(39,17),$BB$30:$BC$430,2,FALSE))</f>
        <v/>
      </c>
      <c r="R39" s="18" t="str">
        <f ca="1">IF(ISNONTEXT(VLOOKUP(ADDRESS(39,18),$BB$30:$BC$430,1,FALSE)),"",VLOOKUP(ADDRESS(39,18),$BB$30:$BC$430,2,FALSE))</f>
        <v/>
      </c>
      <c r="S39" s="18" t="str">
        <f ca="1">IF(ISNONTEXT(VLOOKUP(ADDRESS(39,19),$BB$30:$BC$430,1,FALSE)),"",VLOOKUP(ADDRESS(39,19),$BB$30:$BC$430,2,FALSE))</f>
        <v/>
      </c>
      <c r="T39" s="18" t="str">
        <f ca="1">IF(ISNONTEXT(VLOOKUP(ADDRESS(39,20),$BB$30:$BC$430,1,FALSE)),"",VLOOKUP(ADDRESS(39,20),$BB$30:$BC$430,2,FALSE))</f>
        <v/>
      </c>
      <c r="U39" s="18" t="str">
        <f ca="1">IF(ISNONTEXT(VLOOKUP(ADDRESS(39,21),$BB$30:$BC$430,1,FALSE)),"",VLOOKUP(ADDRESS(39,21),$BB$30:$BC$430,2,FALSE))</f>
        <v/>
      </c>
      <c r="V39" s="18" t="str">
        <f ca="1">IF(ISNONTEXT(VLOOKUP(ADDRESS(39,22),$BB$30:$BC$430,1,FALSE)),"",VLOOKUP(ADDRESS(39,22),$BB$30:$BC$430,2,FALSE))</f>
        <v/>
      </c>
      <c r="W39" s="18" t="str">
        <f ca="1">IF(ISNONTEXT(VLOOKUP(ADDRESS(39,23),$BB$30:$BC$430,1,FALSE)),"",VLOOKUP(ADDRESS(39,23),$BB$30:$BC$430,2,FALSE))</f>
        <v/>
      </c>
      <c r="X39" s="18" t="str">
        <f ca="1">IF(ISNONTEXT(VLOOKUP(ADDRESS(39,24),$BB$30:$BC$430,1,FALSE)),"",VLOOKUP(ADDRESS(39,24),$BB$30:$BC$430,2,FALSE))</f>
        <v/>
      </c>
      <c r="Y39" s="18" t="str">
        <f ca="1">IF(ISNONTEXT(VLOOKUP(ADDRESS(39,25),$BB$30:$BC$430,1,FALSE)),"",VLOOKUP(ADDRESS(39,25),$BB$30:$BC$430,2,FALSE))</f>
        <v/>
      </c>
      <c r="Z39" s="18" t="str">
        <f ca="1">IF(ISNONTEXT(VLOOKUP(ADDRESS(39,26),$BB$30:$BC$430,1,FALSE)),"",VLOOKUP(ADDRESS(39,26),$BB$30:$BC$430,2,FALSE))</f>
        <v/>
      </c>
      <c r="AA39" s="18" t="str">
        <f ca="1">IF(ISNONTEXT(VLOOKUP(ADDRESS(39,27),$BB$30:$BC$430,1,FALSE)),"",VLOOKUP(ADDRESS(39,27),$BB$30:$BC$430,2,FALSE))</f>
        <v/>
      </c>
      <c r="AB39" s="18" t="str">
        <f ca="1">IF(ISNONTEXT(VLOOKUP(ADDRESS(39,28),$BB$30:$BC$430,1,FALSE)),"",VLOOKUP(ADDRESS(39,28),$BB$30:$BC$430,2,FALSE))</f>
        <v/>
      </c>
      <c r="AC39" s="18" t="str">
        <f ca="1">IF(ISNONTEXT(VLOOKUP(ADDRESS(39,29),$BB$30:$BC$430,1,FALSE)),"",VLOOKUP(ADDRESS(39,29),$BB$30:$BC$430,2,FALSE))</f>
        <v/>
      </c>
      <c r="AD39" s="18" t="str">
        <f ca="1">IF(ISNONTEXT(VLOOKUP(ADDRESS(39,30),$BB$30:$BC$430,1,FALSE)),"",VLOOKUP(ADDRESS(39,30),$BB$30:$BC$430,2,FALSE))</f>
        <v/>
      </c>
      <c r="AE39" s="18" t="str">
        <f ca="1">IF(ISNONTEXT(VLOOKUP(ADDRESS(39,31),$BB$30:$BC$430,1,FALSE)),"",VLOOKUP(ADDRESS(39,31),$BB$30:$BC$430,2,FALSE))</f>
        <v/>
      </c>
      <c r="AF39" s="18" t="str">
        <f ca="1">IF($C39&lt;&gt;"","X","")</f>
        <v/>
      </c>
      <c r="AG39" s="33"/>
      <c r="AH39" s="33"/>
      <c r="AI39" s="33"/>
      <c r="AJ39" s="33"/>
      <c r="AK39" s="33"/>
      <c r="AL39" s="33"/>
      <c r="AM39" s="33"/>
      <c r="AN39" s="33"/>
      <c r="AO39" s="33"/>
      <c r="AP39" s="33"/>
      <c r="AQ39" s="33"/>
      <c r="AR39" s="33"/>
      <c r="AS39" s="33"/>
      <c r="AT39" s="33"/>
      <c r="AU39" s="34"/>
      <c r="AV39" s="30"/>
      <c r="AW39" s="32"/>
      <c r="AY39"/>
      <c r="AZ39">
        <v>1</v>
      </c>
      <c r="BA39" s="16" t="s">
        <v>133</v>
      </c>
      <c r="BB39" t="str">
        <f ca="1">IF($BB$27&lt;&gt;"",ADDRESS($BB$28+10,$BB$27+3),"")</f>
        <v/>
      </c>
      <c r="BC39" t="str">
        <f ca="1">IF(BB39&lt;&gt;"","1•9","")</f>
        <v/>
      </c>
      <c r="BD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row>
    <row r="40" spans="1:123" ht="12" customHeight="1">
      <c r="A40" s="16">
        <v>30</v>
      </c>
      <c r="B40" s="16">
        <f>DrawFinder!Y40</f>
        <v>0</v>
      </c>
      <c r="C40" s="16" t="str">
        <f ca="1">CS!AR40</f>
        <v/>
      </c>
      <c r="D40" s="18" t="str">
        <f ca="1">IF(ISNONTEXT(VLOOKUP(ADDRESS(40,4),$BB$30:$BC$430,1,FALSE)),"",VLOOKUP(ADDRESS(40,4),$BB$30:$BC$430,2,FALSE))</f>
        <v/>
      </c>
      <c r="E40" s="18" t="str">
        <f ca="1">IF(ISNONTEXT(VLOOKUP(ADDRESS(40,5),$BB$30:$BC$430,1,FALSE)),"",VLOOKUP(ADDRESS(40,5),$BB$30:$BC$430,2,FALSE))</f>
        <v/>
      </c>
      <c r="F40" s="18" t="str">
        <f ca="1">IF(ISNONTEXT(VLOOKUP(ADDRESS(40,6),$BB$30:$BC$430,1,FALSE)),"",VLOOKUP(ADDRESS(40,6),$BB$30:$BC$430,2,FALSE))</f>
        <v/>
      </c>
      <c r="G40" s="18" t="str">
        <f ca="1">IF(ISNONTEXT(VLOOKUP(ADDRESS(40,7),$BB$30:$BC$430,1,FALSE)),"",VLOOKUP(ADDRESS(40,7),$BB$30:$BC$430,2,FALSE))</f>
        <v/>
      </c>
      <c r="H40" s="18" t="str">
        <f ca="1">IF(ISNONTEXT(VLOOKUP(ADDRESS(40,8),$BB$30:$BC$430,1,FALSE)),"",VLOOKUP(ADDRESS(40,8),$BB$30:$BC$430,2,FALSE))</f>
        <v/>
      </c>
      <c r="I40" s="18" t="str">
        <f ca="1">IF(ISNONTEXT(VLOOKUP(ADDRESS(40,9),$BB$30:$BC$430,1,FALSE)),"",VLOOKUP(ADDRESS(40,9),$BB$30:$BC$430,2,FALSE))</f>
        <v/>
      </c>
      <c r="J40" s="18" t="str">
        <f ca="1">IF(ISNONTEXT(VLOOKUP(ADDRESS(40,10),$BB$30:$BC$430,1,FALSE)),"",VLOOKUP(ADDRESS(40,10),$BB$30:$BC$430,2,FALSE))</f>
        <v/>
      </c>
      <c r="K40" s="18" t="str">
        <f ca="1">IF(ISNONTEXT(VLOOKUP(ADDRESS(40,11),$BB$30:$BC$430,1,FALSE)),"",VLOOKUP(ADDRESS(40,11),$BB$30:$BC$430,2,FALSE))</f>
        <v/>
      </c>
      <c r="L40" s="18" t="str">
        <f ca="1">IF(ISNONTEXT(VLOOKUP(ADDRESS(40,12),$BB$30:$BC$430,1,FALSE)),"",VLOOKUP(ADDRESS(40,12),$BB$30:$BC$430,2,FALSE))</f>
        <v/>
      </c>
      <c r="M40" s="18" t="str">
        <f ca="1">IF(ISNONTEXT(VLOOKUP(ADDRESS(40,13),$BB$30:$BC$430,1,FALSE)),"",VLOOKUP(ADDRESS(40,13),$BB$30:$BC$430,2,FALSE))</f>
        <v/>
      </c>
      <c r="N40" s="18" t="str">
        <f ca="1">IF(ISNONTEXT(VLOOKUP(ADDRESS(40,14),$BB$30:$BC$430,1,FALSE)),"",VLOOKUP(ADDRESS(40,14),$BB$30:$BC$430,2,FALSE))</f>
        <v/>
      </c>
      <c r="O40" s="18" t="str">
        <f ca="1">IF(ISNONTEXT(VLOOKUP(ADDRESS(40,15),$BB$30:$BC$430,1,FALSE)),"",VLOOKUP(ADDRESS(40,15),$BB$30:$BC$430,2,FALSE))</f>
        <v/>
      </c>
      <c r="P40" s="18" t="str">
        <f ca="1">IF(ISNONTEXT(VLOOKUP(ADDRESS(40,16),$BB$30:$BC$430,1,FALSE)),"",VLOOKUP(ADDRESS(40,16),$BB$30:$BC$430,2,FALSE))</f>
        <v/>
      </c>
      <c r="Q40" s="18" t="str">
        <f ca="1">IF(ISNONTEXT(VLOOKUP(ADDRESS(40,17),$BB$30:$BC$430,1,FALSE)),"",VLOOKUP(ADDRESS(40,17),$BB$30:$BC$430,2,FALSE))</f>
        <v/>
      </c>
      <c r="R40" s="18" t="str">
        <f ca="1">IF(ISNONTEXT(VLOOKUP(ADDRESS(40,18),$BB$30:$BC$430,1,FALSE)),"",VLOOKUP(ADDRESS(40,18),$BB$30:$BC$430,2,FALSE))</f>
        <v/>
      </c>
      <c r="S40" s="18" t="str">
        <f ca="1">IF(ISNONTEXT(VLOOKUP(ADDRESS(40,19),$BB$30:$BC$430,1,FALSE)),"",VLOOKUP(ADDRESS(40,19),$BB$30:$BC$430,2,FALSE))</f>
        <v/>
      </c>
      <c r="T40" s="18" t="str">
        <f ca="1">IF(ISNONTEXT(VLOOKUP(ADDRESS(40,20),$BB$30:$BC$430,1,FALSE)),"",VLOOKUP(ADDRESS(40,20),$BB$30:$BC$430,2,FALSE))</f>
        <v/>
      </c>
      <c r="U40" s="18" t="str">
        <f ca="1">IF(ISNONTEXT(VLOOKUP(ADDRESS(40,21),$BB$30:$BC$430,1,FALSE)),"",VLOOKUP(ADDRESS(40,21),$BB$30:$BC$430,2,FALSE))</f>
        <v/>
      </c>
      <c r="V40" s="18" t="str">
        <f ca="1">IF(ISNONTEXT(VLOOKUP(ADDRESS(40,22),$BB$30:$BC$430,1,FALSE)),"",VLOOKUP(ADDRESS(40,22),$BB$30:$BC$430,2,FALSE))</f>
        <v/>
      </c>
      <c r="W40" s="18" t="str">
        <f ca="1">IF(ISNONTEXT(VLOOKUP(ADDRESS(40,23),$BB$30:$BC$430,1,FALSE)),"",VLOOKUP(ADDRESS(40,23),$BB$30:$BC$430,2,FALSE))</f>
        <v/>
      </c>
      <c r="X40" s="18" t="str">
        <f ca="1">IF(ISNONTEXT(VLOOKUP(ADDRESS(40,24),$BB$30:$BC$430,1,FALSE)),"",VLOOKUP(ADDRESS(40,24),$BB$30:$BC$430,2,FALSE))</f>
        <v/>
      </c>
      <c r="Y40" s="18" t="str">
        <f ca="1">IF(ISNONTEXT(VLOOKUP(ADDRESS(40,25),$BB$30:$BC$430,1,FALSE)),"",VLOOKUP(ADDRESS(40,25),$BB$30:$BC$430,2,FALSE))</f>
        <v/>
      </c>
      <c r="Z40" s="18" t="str">
        <f ca="1">IF(ISNONTEXT(VLOOKUP(ADDRESS(40,26),$BB$30:$BC$430,1,FALSE)),"",VLOOKUP(ADDRESS(40,26),$BB$30:$BC$430,2,FALSE))</f>
        <v/>
      </c>
      <c r="AA40" s="18" t="str">
        <f ca="1">IF(ISNONTEXT(VLOOKUP(ADDRESS(40,27),$BB$30:$BC$430,1,FALSE)),"",VLOOKUP(ADDRESS(40,27),$BB$30:$BC$430,2,FALSE))</f>
        <v/>
      </c>
      <c r="AB40" s="18" t="str">
        <f ca="1">IF(ISNONTEXT(VLOOKUP(ADDRESS(40,28),$BB$30:$BC$430,1,FALSE)),"",VLOOKUP(ADDRESS(40,28),$BB$30:$BC$430,2,FALSE))</f>
        <v/>
      </c>
      <c r="AC40" s="18" t="str">
        <f ca="1">IF(ISNONTEXT(VLOOKUP(ADDRESS(40,29),$BB$30:$BC$430,1,FALSE)),"",VLOOKUP(ADDRESS(40,29),$BB$30:$BC$430,2,FALSE))</f>
        <v/>
      </c>
      <c r="AD40" s="18" t="str">
        <f ca="1">IF(ISNONTEXT(VLOOKUP(ADDRESS(40,30),$BB$30:$BC$430,1,FALSE)),"",VLOOKUP(ADDRESS(40,30),$BB$30:$BC$430,2,FALSE))</f>
        <v/>
      </c>
      <c r="AE40" s="18" t="str">
        <f ca="1">IF(ISNONTEXT(VLOOKUP(ADDRESS(40,31),$BB$30:$BC$430,1,FALSE)),"",VLOOKUP(ADDRESS(40,31),$BB$30:$BC$430,2,FALSE))</f>
        <v/>
      </c>
      <c r="AF40" s="18" t="str">
        <f ca="1">IF(ISNONTEXT(VLOOKUP(ADDRESS(40,32),$BB$30:$BC$430,1,FALSE)),"",VLOOKUP(ADDRESS(40,32),$BB$30:$BC$430,2,FALSE))</f>
        <v/>
      </c>
      <c r="AG40" s="18" t="str">
        <f ca="1">IF($C40&lt;&gt;"","X","")</f>
        <v/>
      </c>
      <c r="AH40" s="33"/>
      <c r="AI40" s="33"/>
      <c r="AJ40" s="33"/>
      <c r="AK40" s="33"/>
      <c r="AL40" s="33"/>
      <c r="AM40" s="33"/>
      <c r="AN40" s="33"/>
      <c r="AO40" s="33"/>
      <c r="AP40" s="33"/>
      <c r="AQ40" s="33"/>
      <c r="AR40" s="33"/>
      <c r="AS40" s="33"/>
      <c r="AT40" s="33"/>
      <c r="AU40" s="34"/>
      <c r="AV40" s="30"/>
      <c r="AW40" s="32"/>
      <c r="AY40"/>
      <c r="AZ40">
        <v>1</v>
      </c>
      <c r="BA40" s="16" t="s">
        <v>134</v>
      </c>
      <c r="BB40" t="str">
        <f ca="1">IF($BB$29&lt;&gt;"",ADDRESS($BB$30+10,$BB$29+3),"")</f>
        <v/>
      </c>
      <c r="BC40" t="str">
        <f ca="1">IF(BB40&lt;&gt;"","1•10","")</f>
        <v/>
      </c>
      <c r="BD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row>
    <row r="41" spans="1:123" ht="12" customHeight="1">
      <c r="A41" s="16">
        <v>31</v>
      </c>
      <c r="B41" s="16">
        <f>DrawFinder!Y41</f>
        <v>0</v>
      </c>
      <c r="C41" s="16" t="str">
        <f ca="1">CS!AR41</f>
        <v/>
      </c>
      <c r="D41" s="18" t="str">
        <f ca="1">IF(ISNONTEXT(VLOOKUP(ADDRESS(41,4),$BB$30:$BC$430,1,FALSE)),"",VLOOKUP(ADDRESS(41,4),$BB$30:$BC$430,2,FALSE))</f>
        <v/>
      </c>
      <c r="E41" s="18" t="str">
        <f ca="1">IF(ISNONTEXT(VLOOKUP(ADDRESS(41,5),$BB$30:$BC$430,1,FALSE)),"",VLOOKUP(ADDRESS(41,5),$BB$30:$BC$430,2,FALSE))</f>
        <v/>
      </c>
      <c r="F41" s="18" t="str">
        <f ca="1">IF(ISNONTEXT(VLOOKUP(ADDRESS(41,6),$BB$30:$BC$430,1,FALSE)),"",VLOOKUP(ADDRESS(41,6),$BB$30:$BC$430,2,FALSE))</f>
        <v/>
      </c>
      <c r="G41" s="18" t="str">
        <f ca="1">IF(ISNONTEXT(VLOOKUP(ADDRESS(41,7),$BB$30:$BC$430,1,FALSE)),"",VLOOKUP(ADDRESS(41,7),$BB$30:$BC$430,2,FALSE))</f>
        <v/>
      </c>
      <c r="H41" s="18" t="str">
        <f ca="1">IF(ISNONTEXT(VLOOKUP(ADDRESS(41,8),$BB$30:$BC$430,1,FALSE)),"",VLOOKUP(ADDRESS(41,8),$BB$30:$BC$430,2,FALSE))</f>
        <v/>
      </c>
      <c r="I41" s="18" t="str">
        <f ca="1">IF(ISNONTEXT(VLOOKUP(ADDRESS(41,9),$BB$30:$BC$430,1,FALSE)),"",VLOOKUP(ADDRESS(41,9),$BB$30:$BC$430,2,FALSE))</f>
        <v/>
      </c>
      <c r="J41" s="18" t="str">
        <f ca="1">IF(ISNONTEXT(VLOOKUP(ADDRESS(41,10),$BB$30:$BC$430,1,FALSE)),"",VLOOKUP(ADDRESS(41,10),$BB$30:$BC$430,2,FALSE))</f>
        <v/>
      </c>
      <c r="K41" s="18" t="str">
        <f ca="1">IF(ISNONTEXT(VLOOKUP(ADDRESS(41,11),$BB$30:$BC$430,1,FALSE)),"",VLOOKUP(ADDRESS(41,11),$BB$30:$BC$430,2,FALSE))</f>
        <v/>
      </c>
      <c r="L41" s="18" t="str">
        <f ca="1">IF(ISNONTEXT(VLOOKUP(ADDRESS(41,12),$BB$30:$BC$430,1,FALSE)),"",VLOOKUP(ADDRESS(41,12),$BB$30:$BC$430,2,FALSE))</f>
        <v/>
      </c>
      <c r="M41" s="18" t="str">
        <f ca="1">IF(ISNONTEXT(VLOOKUP(ADDRESS(41,13),$BB$30:$BC$430,1,FALSE)),"",VLOOKUP(ADDRESS(41,13),$BB$30:$BC$430,2,FALSE))</f>
        <v/>
      </c>
      <c r="N41" s="18" t="str">
        <f ca="1">IF(ISNONTEXT(VLOOKUP(ADDRESS(41,14),$BB$30:$BC$430,1,FALSE)),"",VLOOKUP(ADDRESS(41,14),$BB$30:$BC$430,2,FALSE))</f>
        <v/>
      </c>
      <c r="O41" s="18" t="str">
        <f ca="1">IF(ISNONTEXT(VLOOKUP(ADDRESS(41,15),$BB$30:$BC$430,1,FALSE)),"",VLOOKUP(ADDRESS(41,15),$BB$30:$BC$430,2,FALSE))</f>
        <v/>
      </c>
      <c r="P41" s="18" t="str">
        <f ca="1">IF(ISNONTEXT(VLOOKUP(ADDRESS(41,16),$BB$30:$BC$430,1,FALSE)),"",VLOOKUP(ADDRESS(41,16),$BB$30:$BC$430,2,FALSE))</f>
        <v/>
      </c>
      <c r="Q41" s="18" t="str">
        <f ca="1">IF(ISNONTEXT(VLOOKUP(ADDRESS(41,17),$BB$30:$BC$430,1,FALSE)),"",VLOOKUP(ADDRESS(41,17),$BB$30:$BC$430,2,FALSE))</f>
        <v/>
      </c>
      <c r="R41" s="18" t="str">
        <f ca="1">IF(ISNONTEXT(VLOOKUP(ADDRESS(41,18),$BB$30:$BC$430,1,FALSE)),"",VLOOKUP(ADDRESS(41,18),$BB$30:$BC$430,2,FALSE))</f>
        <v/>
      </c>
      <c r="S41" s="18" t="str">
        <f ca="1">IF(ISNONTEXT(VLOOKUP(ADDRESS(41,19),$BB$30:$BC$430,1,FALSE)),"",VLOOKUP(ADDRESS(41,19),$BB$30:$BC$430,2,FALSE))</f>
        <v/>
      </c>
      <c r="T41" s="18" t="str">
        <f ca="1">IF(ISNONTEXT(VLOOKUP(ADDRESS(41,20),$BB$30:$BC$430,1,FALSE)),"",VLOOKUP(ADDRESS(41,20),$BB$30:$BC$430,2,FALSE))</f>
        <v/>
      </c>
      <c r="U41" s="18" t="str">
        <f ca="1">IF(ISNONTEXT(VLOOKUP(ADDRESS(41,21),$BB$30:$BC$430,1,FALSE)),"",VLOOKUP(ADDRESS(41,21),$BB$30:$BC$430,2,FALSE))</f>
        <v/>
      </c>
      <c r="V41" s="18" t="str">
        <f ca="1">IF(ISNONTEXT(VLOOKUP(ADDRESS(41,22),$BB$30:$BC$430,1,FALSE)),"",VLOOKUP(ADDRESS(41,22),$BB$30:$BC$430,2,FALSE))</f>
        <v/>
      </c>
      <c r="W41" s="18" t="str">
        <f ca="1">IF(ISNONTEXT(VLOOKUP(ADDRESS(41,23),$BB$30:$BC$430,1,FALSE)),"",VLOOKUP(ADDRESS(41,23),$BB$30:$BC$430,2,FALSE))</f>
        <v/>
      </c>
      <c r="X41" s="18" t="str">
        <f ca="1">IF(ISNONTEXT(VLOOKUP(ADDRESS(41,24),$BB$30:$BC$430,1,FALSE)),"",VLOOKUP(ADDRESS(41,24),$BB$30:$BC$430,2,FALSE))</f>
        <v/>
      </c>
      <c r="Y41" s="18" t="str">
        <f ca="1">IF(ISNONTEXT(VLOOKUP(ADDRESS(41,25),$BB$30:$BC$430,1,FALSE)),"",VLOOKUP(ADDRESS(41,25),$BB$30:$BC$430,2,FALSE))</f>
        <v/>
      </c>
      <c r="Z41" s="18" t="str">
        <f ca="1">IF(ISNONTEXT(VLOOKUP(ADDRESS(41,26),$BB$30:$BC$430,1,FALSE)),"",VLOOKUP(ADDRESS(41,26),$BB$30:$BC$430,2,FALSE))</f>
        <v/>
      </c>
      <c r="AA41" s="18" t="str">
        <f ca="1">IF(ISNONTEXT(VLOOKUP(ADDRESS(41,27),$BB$30:$BC$430,1,FALSE)),"",VLOOKUP(ADDRESS(41,27),$BB$30:$BC$430,2,FALSE))</f>
        <v/>
      </c>
      <c r="AB41" s="18" t="str">
        <f ca="1">IF(ISNONTEXT(VLOOKUP(ADDRESS(41,28),$BB$30:$BC$430,1,FALSE)),"",VLOOKUP(ADDRESS(41,28),$BB$30:$BC$430,2,FALSE))</f>
        <v/>
      </c>
      <c r="AC41" s="18" t="str">
        <f ca="1">IF(ISNONTEXT(VLOOKUP(ADDRESS(41,29),$BB$30:$BC$430,1,FALSE)),"",VLOOKUP(ADDRESS(41,29),$BB$30:$BC$430,2,FALSE))</f>
        <v/>
      </c>
      <c r="AD41" s="18" t="str">
        <f ca="1">IF(ISNONTEXT(VLOOKUP(ADDRESS(41,30),$BB$30:$BC$430,1,FALSE)),"",VLOOKUP(ADDRESS(41,30),$BB$30:$BC$430,2,FALSE))</f>
        <v/>
      </c>
      <c r="AE41" s="18" t="str">
        <f ca="1">IF(ISNONTEXT(VLOOKUP(ADDRESS(41,31),$BB$30:$BC$430,1,FALSE)),"",VLOOKUP(ADDRESS(41,31),$BB$30:$BC$430,2,FALSE))</f>
        <v/>
      </c>
      <c r="AF41" s="18" t="str">
        <f ca="1">IF(ISNONTEXT(VLOOKUP(ADDRESS(41,32),$BB$30:$BC$430,1,FALSE)),"",VLOOKUP(ADDRESS(41,32),$BB$30:$BC$430,2,FALSE))</f>
        <v/>
      </c>
      <c r="AG41" s="18" t="str">
        <f ca="1">IF(ISNONTEXT(VLOOKUP(ADDRESS(41,33),$BB$30:$BC$430,1,FALSE)),"",VLOOKUP(ADDRESS(41,33),$BB$30:$BC$430,2,FALSE))</f>
        <v/>
      </c>
      <c r="AH41" s="18" t="str">
        <f ca="1">IF($C41&lt;&gt;"","X","")</f>
        <v/>
      </c>
      <c r="AI41" s="33"/>
      <c r="AJ41" s="33"/>
      <c r="AK41" s="33"/>
      <c r="AL41" s="33"/>
      <c r="AM41" s="33"/>
      <c r="AN41" s="33"/>
      <c r="AO41" s="33"/>
      <c r="AP41" s="33"/>
      <c r="AQ41" s="33"/>
      <c r="AR41" s="33"/>
      <c r="AS41" s="33"/>
      <c r="AT41" s="33"/>
      <c r="AU41" s="34"/>
      <c r="AV41" s="30"/>
      <c r="AW41" s="32"/>
      <c r="AY41" t="s">
        <v>136</v>
      </c>
      <c r="AZ41">
        <v>2</v>
      </c>
      <c r="BA41" s="16" t="s">
        <v>125</v>
      </c>
      <c r="BB41" t="str">
        <f ca="1">IF($BC$11&lt;&gt;"",ADDRESS($BC$12+10,$BC$11+3),"")</f>
        <v>$W$31</v>
      </c>
      <c r="BC41" t="str">
        <f ca="1">IF(BB41&lt;&gt;"","2•1","")</f>
        <v>2•1</v>
      </c>
      <c r="BD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row>
    <row r="42" spans="1:123" ht="12" customHeight="1">
      <c r="A42" s="16">
        <v>32</v>
      </c>
      <c r="B42" s="16">
        <f>DrawFinder!Y42</f>
        <v>0</v>
      </c>
      <c r="C42" s="16" t="str">
        <f ca="1">CS!AR42</f>
        <v/>
      </c>
      <c r="D42" s="18" t="str">
        <f ca="1">IF(ISNONTEXT(VLOOKUP(ADDRESS(42,4),$BB$30:$BC$430,1,FALSE)),"",VLOOKUP(ADDRESS(42,4),$BB$30:$BC$430,2,FALSE))</f>
        <v/>
      </c>
      <c r="E42" s="18" t="str">
        <f ca="1">IF(ISNONTEXT(VLOOKUP(ADDRESS(42,5),$BB$30:$BC$430,1,FALSE)),"",VLOOKUP(ADDRESS(42,5),$BB$30:$BC$430,2,FALSE))</f>
        <v/>
      </c>
      <c r="F42" s="18" t="str">
        <f ca="1">IF(ISNONTEXT(VLOOKUP(ADDRESS(42,6),$BB$30:$BC$430,1,FALSE)),"",VLOOKUP(ADDRESS(42,6),$BB$30:$BC$430,2,FALSE))</f>
        <v/>
      </c>
      <c r="G42" s="18" t="str">
        <f ca="1">IF(ISNONTEXT(VLOOKUP(ADDRESS(42,7),$BB$30:$BC$430,1,FALSE)),"",VLOOKUP(ADDRESS(42,7),$BB$30:$BC$430,2,FALSE))</f>
        <v/>
      </c>
      <c r="H42" s="18" t="str">
        <f ca="1">IF(ISNONTEXT(VLOOKUP(ADDRESS(42,8),$BB$30:$BC$430,1,FALSE)),"",VLOOKUP(ADDRESS(42,8),$BB$30:$BC$430,2,FALSE))</f>
        <v/>
      </c>
      <c r="I42" s="18" t="str">
        <f ca="1">IF(ISNONTEXT(VLOOKUP(ADDRESS(42,9),$BB$30:$BC$430,1,FALSE)),"",VLOOKUP(ADDRESS(42,9),$BB$30:$BC$430,2,FALSE))</f>
        <v/>
      </c>
      <c r="J42" s="18" t="str">
        <f ca="1">IF(ISNONTEXT(VLOOKUP(ADDRESS(42,10),$BB$30:$BC$430,1,FALSE)),"",VLOOKUP(ADDRESS(42,10),$BB$30:$BC$430,2,FALSE))</f>
        <v/>
      </c>
      <c r="K42" s="18" t="str">
        <f ca="1">IF(ISNONTEXT(VLOOKUP(ADDRESS(42,11),$BB$30:$BC$430,1,FALSE)),"",VLOOKUP(ADDRESS(42,11),$BB$30:$BC$430,2,FALSE))</f>
        <v/>
      </c>
      <c r="L42" s="18" t="str">
        <f ca="1">IF(ISNONTEXT(VLOOKUP(ADDRESS(42,12),$BB$30:$BC$430,1,FALSE)),"",VLOOKUP(ADDRESS(42,12),$BB$30:$BC$430,2,FALSE))</f>
        <v/>
      </c>
      <c r="M42" s="18" t="str">
        <f ca="1">IF(ISNONTEXT(VLOOKUP(ADDRESS(42,13),$BB$30:$BC$430,1,FALSE)),"",VLOOKUP(ADDRESS(42,13),$BB$30:$BC$430,2,FALSE))</f>
        <v/>
      </c>
      <c r="N42" s="18" t="str">
        <f ca="1">IF(ISNONTEXT(VLOOKUP(ADDRESS(42,14),$BB$30:$BC$430,1,FALSE)),"",VLOOKUP(ADDRESS(42,14),$BB$30:$BC$430,2,FALSE))</f>
        <v/>
      </c>
      <c r="O42" s="18" t="str">
        <f ca="1">IF(ISNONTEXT(VLOOKUP(ADDRESS(42,15),$BB$30:$BC$430,1,FALSE)),"",VLOOKUP(ADDRESS(42,15),$BB$30:$BC$430,2,FALSE))</f>
        <v/>
      </c>
      <c r="P42" s="18" t="str">
        <f ca="1">IF(ISNONTEXT(VLOOKUP(ADDRESS(42,16),$BB$30:$BC$430,1,FALSE)),"",VLOOKUP(ADDRESS(42,16),$BB$30:$BC$430,2,FALSE))</f>
        <v/>
      </c>
      <c r="Q42" s="18" t="str">
        <f ca="1">IF(ISNONTEXT(VLOOKUP(ADDRESS(42,17),$BB$30:$BC$430,1,FALSE)),"",VLOOKUP(ADDRESS(42,17),$BB$30:$BC$430,2,FALSE))</f>
        <v/>
      </c>
      <c r="R42" s="18" t="str">
        <f ca="1">IF(ISNONTEXT(VLOOKUP(ADDRESS(42,18),$BB$30:$BC$430,1,FALSE)),"",VLOOKUP(ADDRESS(42,18),$BB$30:$BC$430,2,FALSE))</f>
        <v/>
      </c>
      <c r="S42" s="18" t="str">
        <f ca="1">IF(ISNONTEXT(VLOOKUP(ADDRESS(42,19),$BB$30:$BC$430,1,FALSE)),"",VLOOKUP(ADDRESS(42,19),$BB$30:$BC$430,2,FALSE))</f>
        <v/>
      </c>
      <c r="T42" s="18" t="str">
        <f ca="1">IF(ISNONTEXT(VLOOKUP(ADDRESS(42,20),$BB$30:$BC$430,1,FALSE)),"",VLOOKUP(ADDRESS(42,20),$BB$30:$BC$430,2,FALSE))</f>
        <v/>
      </c>
      <c r="U42" s="18" t="str">
        <f ca="1">IF(ISNONTEXT(VLOOKUP(ADDRESS(42,21),$BB$30:$BC$430,1,FALSE)),"",VLOOKUP(ADDRESS(42,21),$BB$30:$BC$430,2,FALSE))</f>
        <v/>
      </c>
      <c r="V42" s="18" t="str">
        <f ca="1">IF(ISNONTEXT(VLOOKUP(ADDRESS(42,22),$BB$30:$BC$430,1,FALSE)),"",VLOOKUP(ADDRESS(42,22),$BB$30:$BC$430,2,FALSE))</f>
        <v/>
      </c>
      <c r="W42" s="18" t="str">
        <f ca="1">IF(ISNONTEXT(VLOOKUP(ADDRESS(42,23),$BB$30:$BC$430,1,FALSE)),"",VLOOKUP(ADDRESS(42,23),$BB$30:$BC$430,2,FALSE))</f>
        <v/>
      </c>
      <c r="X42" s="18" t="str">
        <f ca="1">IF(ISNONTEXT(VLOOKUP(ADDRESS(42,24),$BB$30:$BC$430,1,FALSE)),"",VLOOKUP(ADDRESS(42,24),$BB$30:$BC$430,2,FALSE))</f>
        <v/>
      </c>
      <c r="Y42" s="18" t="str">
        <f ca="1">IF(ISNONTEXT(VLOOKUP(ADDRESS(42,25),$BB$30:$BC$430,1,FALSE)),"",VLOOKUP(ADDRESS(42,25),$BB$30:$BC$430,2,FALSE))</f>
        <v/>
      </c>
      <c r="Z42" s="18" t="str">
        <f ca="1">IF(ISNONTEXT(VLOOKUP(ADDRESS(42,26),$BB$30:$BC$430,1,FALSE)),"",VLOOKUP(ADDRESS(42,26),$BB$30:$BC$430,2,FALSE))</f>
        <v/>
      </c>
      <c r="AA42" s="18" t="str">
        <f ca="1">IF(ISNONTEXT(VLOOKUP(ADDRESS(42,27),$BB$30:$BC$430,1,FALSE)),"",VLOOKUP(ADDRESS(42,27),$BB$30:$BC$430,2,FALSE))</f>
        <v/>
      </c>
      <c r="AB42" s="18" t="str">
        <f ca="1">IF(ISNONTEXT(VLOOKUP(ADDRESS(42,28),$BB$30:$BC$430,1,FALSE)),"",VLOOKUP(ADDRESS(42,28),$BB$30:$BC$430,2,FALSE))</f>
        <v/>
      </c>
      <c r="AC42" s="18" t="str">
        <f ca="1">IF(ISNONTEXT(VLOOKUP(ADDRESS(42,29),$BB$30:$BC$430,1,FALSE)),"",VLOOKUP(ADDRESS(42,29),$BB$30:$BC$430,2,FALSE))</f>
        <v/>
      </c>
      <c r="AD42" s="18" t="str">
        <f ca="1">IF(ISNONTEXT(VLOOKUP(ADDRESS(42,30),$BB$30:$BC$430,1,FALSE)),"",VLOOKUP(ADDRESS(42,30),$BB$30:$BC$430,2,FALSE))</f>
        <v/>
      </c>
      <c r="AE42" s="18" t="str">
        <f ca="1">IF(ISNONTEXT(VLOOKUP(ADDRESS(42,31),$BB$30:$BC$430,1,FALSE)),"",VLOOKUP(ADDRESS(42,31),$BB$30:$BC$430,2,FALSE))</f>
        <v/>
      </c>
      <c r="AF42" s="18" t="str">
        <f ca="1">IF(ISNONTEXT(VLOOKUP(ADDRESS(42,32),$BB$30:$BC$430,1,FALSE)),"",VLOOKUP(ADDRESS(42,32),$BB$30:$BC$430,2,FALSE))</f>
        <v/>
      </c>
      <c r="AG42" s="18" t="str">
        <f ca="1">IF(ISNONTEXT(VLOOKUP(ADDRESS(42,33),$BB$30:$BC$430,1,FALSE)),"",VLOOKUP(ADDRESS(42,33),$BB$30:$BC$430,2,FALSE))</f>
        <v/>
      </c>
      <c r="AH42" s="18" t="str">
        <f ca="1">IF(ISNONTEXT(VLOOKUP(ADDRESS(42,34),$BB$30:$BC$430,1,FALSE)),"",VLOOKUP(ADDRESS(42,34),$BB$30:$BC$430,2,FALSE))</f>
        <v/>
      </c>
      <c r="AI42" s="18" t="str">
        <f ca="1">IF($C42&lt;&gt;"","X","")</f>
        <v/>
      </c>
      <c r="AJ42" s="33"/>
      <c r="AK42" s="33"/>
      <c r="AL42" s="33"/>
      <c r="AM42" s="33"/>
      <c r="AN42" s="33"/>
      <c r="AO42" s="33"/>
      <c r="AP42" s="33"/>
      <c r="AQ42" s="33"/>
      <c r="AR42" s="33"/>
      <c r="AS42" s="33"/>
      <c r="AT42" s="33"/>
      <c r="AU42" s="34"/>
      <c r="AV42" s="30"/>
      <c r="AW42" s="32"/>
      <c r="AY42"/>
      <c r="AZ42">
        <v>2</v>
      </c>
      <c r="BA42" s="16" t="s">
        <v>126</v>
      </c>
      <c r="BB42" t="str">
        <f ca="1">IF($BC$13&lt;&gt;"",ADDRESS($BC$14+10,$BC$13+3),"")</f>
        <v>$O$26</v>
      </c>
      <c r="BC42" t="str">
        <f ca="1">IF(BB42&lt;&gt;"","2•2","")</f>
        <v>2•2</v>
      </c>
      <c r="BD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row>
    <row r="43" spans="1:123" ht="12" customHeight="1">
      <c r="A43" s="16">
        <v>33</v>
      </c>
      <c r="B43" s="16">
        <f>DrawFinder!Y43</f>
        <v>0</v>
      </c>
      <c r="C43" s="16" t="str">
        <f ca="1">CS!AR43</f>
        <v/>
      </c>
      <c r="D43" s="18" t="str">
        <f ca="1">IF(ISNONTEXT(VLOOKUP(ADDRESS(43,4),$BB$30:$BC$430,1,FALSE)),"",VLOOKUP(ADDRESS(43,4),$BB$30:$BC$430,2,FALSE))</f>
        <v/>
      </c>
      <c r="E43" s="18" t="str">
        <f ca="1">IF(ISNONTEXT(VLOOKUP(ADDRESS(43,5),$BB$30:$BC$430,1,FALSE)),"",VLOOKUP(ADDRESS(43,5),$BB$30:$BC$430,2,FALSE))</f>
        <v/>
      </c>
      <c r="F43" s="18" t="str">
        <f ca="1">IF(ISNONTEXT(VLOOKUP(ADDRESS(43,6),$BB$30:$BC$430,1,FALSE)),"",VLOOKUP(ADDRESS(43,6),$BB$30:$BC$430,2,FALSE))</f>
        <v/>
      </c>
      <c r="G43" s="18" t="str">
        <f ca="1">IF(ISNONTEXT(VLOOKUP(ADDRESS(43,7),$BB$30:$BC$430,1,FALSE)),"",VLOOKUP(ADDRESS(43,7),$BB$30:$BC$430,2,FALSE))</f>
        <v/>
      </c>
      <c r="H43" s="18" t="str">
        <f ca="1">IF(ISNONTEXT(VLOOKUP(ADDRESS(43,8),$BB$30:$BC$430,1,FALSE)),"",VLOOKUP(ADDRESS(43,8),$BB$30:$BC$430,2,FALSE))</f>
        <v/>
      </c>
      <c r="I43" s="18" t="str">
        <f ca="1">IF(ISNONTEXT(VLOOKUP(ADDRESS(43,9),$BB$30:$BC$430,1,FALSE)),"",VLOOKUP(ADDRESS(43,9),$BB$30:$BC$430,2,FALSE))</f>
        <v/>
      </c>
      <c r="J43" s="18" t="str">
        <f ca="1">IF(ISNONTEXT(VLOOKUP(ADDRESS(43,10),$BB$30:$BC$430,1,FALSE)),"",VLOOKUP(ADDRESS(43,10),$BB$30:$BC$430,2,FALSE))</f>
        <v/>
      </c>
      <c r="K43" s="18" t="str">
        <f ca="1">IF(ISNONTEXT(VLOOKUP(ADDRESS(43,11),$BB$30:$BC$430,1,FALSE)),"",VLOOKUP(ADDRESS(43,11),$BB$30:$BC$430,2,FALSE))</f>
        <v/>
      </c>
      <c r="L43" s="18" t="str">
        <f ca="1">IF(ISNONTEXT(VLOOKUP(ADDRESS(43,12),$BB$30:$BC$430,1,FALSE)),"",VLOOKUP(ADDRESS(43,12),$BB$30:$BC$430,2,FALSE))</f>
        <v/>
      </c>
      <c r="M43" s="18" t="str">
        <f ca="1">IF(ISNONTEXT(VLOOKUP(ADDRESS(43,13),$BB$30:$BC$430,1,FALSE)),"",VLOOKUP(ADDRESS(43,13),$BB$30:$BC$430,2,FALSE))</f>
        <v/>
      </c>
      <c r="N43" s="18" t="str">
        <f ca="1">IF(ISNONTEXT(VLOOKUP(ADDRESS(43,14),$BB$30:$BC$430,1,FALSE)),"",VLOOKUP(ADDRESS(43,14),$BB$30:$BC$430,2,FALSE))</f>
        <v/>
      </c>
      <c r="O43" s="18" t="str">
        <f ca="1">IF(ISNONTEXT(VLOOKUP(ADDRESS(43,15),$BB$30:$BC$430,1,FALSE)),"",VLOOKUP(ADDRESS(43,15),$BB$30:$BC$430,2,FALSE))</f>
        <v/>
      </c>
      <c r="P43" s="18" t="str">
        <f ca="1">IF(ISNONTEXT(VLOOKUP(ADDRESS(43,16),$BB$30:$BC$430,1,FALSE)),"",VLOOKUP(ADDRESS(43,16),$BB$30:$BC$430,2,FALSE))</f>
        <v/>
      </c>
      <c r="Q43" s="18" t="str">
        <f ca="1">IF(ISNONTEXT(VLOOKUP(ADDRESS(43,17),$BB$30:$BC$430,1,FALSE)),"",VLOOKUP(ADDRESS(43,17),$BB$30:$BC$430,2,FALSE))</f>
        <v/>
      </c>
      <c r="R43" s="18" t="str">
        <f ca="1">IF(ISNONTEXT(VLOOKUP(ADDRESS(43,18),$BB$30:$BC$430,1,FALSE)),"",VLOOKUP(ADDRESS(43,18),$BB$30:$BC$430,2,FALSE))</f>
        <v/>
      </c>
      <c r="S43" s="18" t="str">
        <f ca="1">IF(ISNONTEXT(VLOOKUP(ADDRESS(43,19),$BB$30:$BC$430,1,FALSE)),"",VLOOKUP(ADDRESS(43,19),$BB$30:$BC$430,2,FALSE))</f>
        <v/>
      </c>
      <c r="T43" s="18" t="str">
        <f ca="1">IF(ISNONTEXT(VLOOKUP(ADDRESS(43,20),$BB$30:$BC$430,1,FALSE)),"",VLOOKUP(ADDRESS(43,20),$BB$30:$BC$430,2,FALSE))</f>
        <v/>
      </c>
      <c r="U43" s="18" t="str">
        <f ca="1">IF(ISNONTEXT(VLOOKUP(ADDRESS(43,21),$BB$30:$BC$430,1,FALSE)),"",VLOOKUP(ADDRESS(43,21),$BB$30:$BC$430,2,FALSE))</f>
        <v/>
      </c>
      <c r="V43" s="18" t="str">
        <f ca="1">IF(ISNONTEXT(VLOOKUP(ADDRESS(43,22),$BB$30:$BC$430,1,FALSE)),"",VLOOKUP(ADDRESS(43,22),$BB$30:$BC$430,2,FALSE))</f>
        <v/>
      </c>
      <c r="W43" s="18" t="str">
        <f ca="1">IF(ISNONTEXT(VLOOKUP(ADDRESS(43,23),$BB$30:$BC$430,1,FALSE)),"",VLOOKUP(ADDRESS(43,23),$BB$30:$BC$430,2,FALSE))</f>
        <v/>
      </c>
      <c r="X43" s="18" t="str">
        <f ca="1">IF(ISNONTEXT(VLOOKUP(ADDRESS(43,24),$BB$30:$BC$430,1,FALSE)),"",VLOOKUP(ADDRESS(43,24),$BB$30:$BC$430,2,FALSE))</f>
        <v/>
      </c>
      <c r="Y43" s="18" t="str">
        <f ca="1">IF(ISNONTEXT(VLOOKUP(ADDRESS(43,25),$BB$30:$BC$430,1,FALSE)),"",VLOOKUP(ADDRESS(43,25),$BB$30:$BC$430,2,FALSE))</f>
        <v/>
      </c>
      <c r="Z43" s="18" t="str">
        <f ca="1">IF(ISNONTEXT(VLOOKUP(ADDRESS(43,26),$BB$30:$BC$430,1,FALSE)),"",VLOOKUP(ADDRESS(43,26),$BB$30:$BC$430,2,FALSE))</f>
        <v/>
      </c>
      <c r="AA43" s="18" t="str">
        <f ca="1">IF(ISNONTEXT(VLOOKUP(ADDRESS(43,27),$BB$30:$BC$430,1,FALSE)),"",VLOOKUP(ADDRESS(43,27),$BB$30:$BC$430,2,FALSE))</f>
        <v/>
      </c>
      <c r="AB43" s="18" t="str">
        <f ca="1">IF(ISNONTEXT(VLOOKUP(ADDRESS(43,28),$BB$30:$BC$430,1,FALSE)),"",VLOOKUP(ADDRESS(43,28),$BB$30:$BC$430,2,FALSE))</f>
        <v/>
      </c>
      <c r="AC43" s="18" t="str">
        <f ca="1">IF(ISNONTEXT(VLOOKUP(ADDRESS(43,29),$BB$30:$BC$430,1,FALSE)),"",VLOOKUP(ADDRESS(43,29),$BB$30:$BC$430,2,FALSE))</f>
        <v/>
      </c>
      <c r="AD43" s="18" t="str">
        <f ca="1">IF(ISNONTEXT(VLOOKUP(ADDRESS(43,30),$BB$30:$BC$430,1,FALSE)),"",VLOOKUP(ADDRESS(43,30),$BB$30:$BC$430,2,FALSE))</f>
        <v/>
      </c>
      <c r="AE43" s="18" t="str">
        <f ca="1">IF(ISNONTEXT(VLOOKUP(ADDRESS(43,31),$BB$30:$BC$430,1,FALSE)),"",VLOOKUP(ADDRESS(43,31),$BB$30:$BC$430,2,FALSE))</f>
        <v/>
      </c>
      <c r="AF43" s="18" t="str">
        <f ca="1">IF(ISNONTEXT(VLOOKUP(ADDRESS(43,32),$BB$30:$BC$430,1,FALSE)),"",VLOOKUP(ADDRESS(43,32),$BB$30:$BC$430,2,FALSE))</f>
        <v/>
      </c>
      <c r="AG43" s="18" t="str">
        <f ca="1">IF(ISNONTEXT(VLOOKUP(ADDRESS(43,33),$BB$30:$BC$430,1,FALSE)),"",VLOOKUP(ADDRESS(43,33),$BB$30:$BC$430,2,FALSE))</f>
        <v/>
      </c>
      <c r="AH43" s="18" t="str">
        <f ca="1">IF(ISNONTEXT(VLOOKUP(ADDRESS(43,34),$BB$30:$BC$430,1,FALSE)),"",VLOOKUP(ADDRESS(43,34),$BB$30:$BC$430,2,FALSE))</f>
        <v/>
      </c>
      <c r="AI43" s="18" t="str">
        <f ca="1">IF(ISNONTEXT(VLOOKUP(ADDRESS(43,35),$BB$30:$BC$430,1,FALSE)),"",VLOOKUP(ADDRESS(43,35),$BB$30:$BC$430,2,FALSE))</f>
        <v/>
      </c>
      <c r="AJ43" s="18" t="str">
        <f ca="1">IF($C43&lt;&gt;"","X","")</f>
        <v/>
      </c>
      <c r="AK43" s="33"/>
      <c r="AL43" s="33"/>
      <c r="AM43" s="33"/>
      <c r="AN43" s="33"/>
      <c r="AO43" s="33"/>
      <c r="AP43" s="33"/>
      <c r="AQ43" s="33"/>
      <c r="AR43" s="33"/>
      <c r="AS43" s="33"/>
      <c r="AT43" s="33"/>
      <c r="AU43" s="34"/>
      <c r="AV43" s="30"/>
      <c r="AW43" s="32"/>
      <c r="AY43"/>
      <c r="AZ43">
        <v>2</v>
      </c>
      <c r="BA43" s="16" t="s">
        <v>127</v>
      </c>
      <c r="BB43" t="str">
        <f ca="1">IF($BC$15&lt;&gt;"",ADDRESS($BC$16+10,$BC$15+3),"")</f>
        <v>$M$23</v>
      </c>
      <c r="BC43" t="str">
        <f ca="1">IF(BB43&lt;&gt;"","2•3","")</f>
        <v>2•3</v>
      </c>
      <c r="BD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row>
    <row r="44" spans="1:123" ht="12" customHeight="1">
      <c r="A44" s="16">
        <v>34</v>
      </c>
      <c r="B44" s="16">
        <f>DrawFinder!Y44</f>
        <v>0</v>
      </c>
      <c r="C44" s="16" t="str">
        <f ca="1">CS!AR44</f>
        <v/>
      </c>
      <c r="D44" s="18" t="str">
        <f ca="1">IF(ISNONTEXT(VLOOKUP(ADDRESS(44,4),$BB$30:$BC$430,1,FALSE)),"",VLOOKUP(ADDRESS(44,4),$BB$30:$BC$430,2,FALSE))</f>
        <v/>
      </c>
      <c r="E44" s="18" t="str">
        <f ca="1">IF(ISNONTEXT(VLOOKUP(ADDRESS(44,5),$BB$30:$BC$430,1,FALSE)),"",VLOOKUP(ADDRESS(44,5),$BB$30:$BC$430,2,FALSE))</f>
        <v/>
      </c>
      <c r="F44" s="18" t="str">
        <f ca="1">IF(ISNONTEXT(VLOOKUP(ADDRESS(44,6),$BB$30:$BC$430,1,FALSE)),"",VLOOKUP(ADDRESS(44,6),$BB$30:$BC$430,2,FALSE))</f>
        <v/>
      </c>
      <c r="G44" s="18" t="str">
        <f ca="1">IF(ISNONTEXT(VLOOKUP(ADDRESS(44,7),$BB$30:$BC$430,1,FALSE)),"",VLOOKUP(ADDRESS(44,7),$BB$30:$BC$430,2,FALSE))</f>
        <v/>
      </c>
      <c r="H44" s="18" t="str">
        <f ca="1">IF(ISNONTEXT(VLOOKUP(ADDRESS(44,8),$BB$30:$BC$430,1,FALSE)),"",VLOOKUP(ADDRESS(44,8),$BB$30:$BC$430,2,FALSE))</f>
        <v/>
      </c>
      <c r="I44" s="18" t="str">
        <f ca="1">IF(ISNONTEXT(VLOOKUP(ADDRESS(44,9),$BB$30:$BC$430,1,FALSE)),"",VLOOKUP(ADDRESS(44,9),$BB$30:$BC$430,2,FALSE))</f>
        <v/>
      </c>
      <c r="J44" s="18" t="str">
        <f ca="1">IF(ISNONTEXT(VLOOKUP(ADDRESS(44,10),$BB$30:$BC$430,1,FALSE)),"",VLOOKUP(ADDRESS(44,10),$BB$30:$BC$430,2,FALSE))</f>
        <v/>
      </c>
      <c r="K44" s="18" t="str">
        <f ca="1">IF(ISNONTEXT(VLOOKUP(ADDRESS(44,11),$BB$30:$BC$430,1,FALSE)),"",VLOOKUP(ADDRESS(44,11),$BB$30:$BC$430,2,FALSE))</f>
        <v/>
      </c>
      <c r="L44" s="18" t="str">
        <f ca="1">IF(ISNONTEXT(VLOOKUP(ADDRESS(44,12),$BB$30:$BC$430,1,FALSE)),"",VLOOKUP(ADDRESS(44,12),$BB$30:$BC$430,2,FALSE))</f>
        <v/>
      </c>
      <c r="M44" s="18" t="str">
        <f ca="1">IF(ISNONTEXT(VLOOKUP(ADDRESS(44,13),$BB$30:$BC$430,1,FALSE)),"",VLOOKUP(ADDRESS(44,13),$BB$30:$BC$430,2,FALSE))</f>
        <v/>
      </c>
      <c r="N44" s="18" t="str">
        <f ca="1">IF(ISNONTEXT(VLOOKUP(ADDRESS(44,14),$BB$30:$BC$430,1,FALSE)),"",VLOOKUP(ADDRESS(44,14),$BB$30:$BC$430,2,FALSE))</f>
        <v/>
      </c>
      <c r="O44" s="18" t="str">
        <f ca="1">IF(ISNONTEXT(VLOOKUP(ADDRESS(44,15),$BB$30:$BC$430,1,FALSE)),"",VLOOKUP(ADDRESS(44,15),$BB$30:$BC$430,2,FALSE))</f>
        <v/>
      </c>
      <c r="P44" s="18" t="str">
        <f ca="1">IF(ISNONTEXT(VLOOKUP(ADDRESS(44,16),$BB$30:$BC$430,1,FALSE)),"",VLOOKUP(ADDRESS(44,16),$BB$30:$BC$430,2,FALSE))</f>
        <v/>
      </c>
      <c r="Q44" s="18" t="str">
        <f ca="1">IF(ISNONTEXT(VLOOKUP(ADDRESS(44,17),$BB$30:$BC$430,1,FALSE)),"",VLOOKUP(ADDRESS(44,17),$BB$30:$BC$430,2,FALSE))</f>
        <v/>
      </c>
      <c r="R44" s="18" t="str">
        <f ca="1">IF(ISNONTEXT(VLOOKUP(ADDRESS(44,18),$BB$30:$BC$430,1,FALSE)),"",VLOOKUP(ADDRESS(44,18),$BB$30:$BC$430,2,FALSE))</f>
        <v/>
      </c>
      <c r="S44" s="18" t="str">
        <f ca="1">IF(ISNONTEXT(VLOOKUP(ADDRESS(44,19),$BB$30:$BC$430,1,FALSE)),"",VLOOKUP(ADDRESS(44,19),$BB$30:$BC$430,2,FALSE))</f>
        <v/>
      </c>
      <c r="T44" s="18" t="str">
        <f ca="1">IF(ISNONTEXT(VLOOKUP(ADDRESS(44,20),$BB$30:$BC$430,1,FALSE)),"",VLOOKUP(ADDRESS(44,20),$BB$30:$BC$430,2,FALSE))</f>
        <v/>
      </c>
      <c r="U44" s="18" t="str">
        <f ca="1">IF(ISNONTEXT(VLOOKUP(ADDRESS(44,21),$BB$30:$BC$430,1,FALSE)),"",VLOOKUP(ADDRESS(44,21),$BB$30:$BC$430,2,FALSE))</f>
        <v/>
      </c>
      <c r="V44" s="18" t="str">
        <f ca="1">IF(ISNONTEXT(VLOOKUP(ADDRESS(44,22),$BB$30:$BC$430,1,FALSE)),"",VLOOKUP(ADDRESS(44,22),$BB$30:$BC$430,2,FALSE))</f>
        <v/>
      </c>
      <c r="W44" s="18" t="str">
        <f ca="1">IF(ISNONTEXT(VLOOKUP(ADDRESS(44,23),$BB$30:$BC$430,1,FALSE)),"",VLOOKUP(ADDRESS(44,23),$BB$30:$BC$430,2,FALSE))</f>
        <v/>
      </c>
      <c r="X44" s="18" t="str">
        <f ca="1">IF(ISNONTEXT(VLOOKUP(ADDRESS(44,24),$BB$30:$BC$430,1,FALSE)),"",VLOOKUP(ADDRESS(44,24),$BB$30:$BC$430,2,FALSE))</f>
        <v/>
      </c>
      <c r="Y44" s="18" t="str">
        <f ca="1">IF(ISNONTEXT(VLOOKUP(ADDRESS(44,25),$BB$30:$BC$430,1,FALSE)),"",VLOOKUP(ADDRESS(44,25),$BB$30:$BC$430,2,FALSE))</f>
        <v/>
      </c>
      <c r="Z44" s="18" t="str">
        <f ca="1">IF(ISNONTEXT(VLOOKUP(ADDRESS(44,26),$BB$30:$BC$430,1,FALSE)),"",VLOOKUP(ADDRESS(44,26),$BB$30:$BC$430,2,FALSE))</f>
        <v/>
      </c>
      <c r="AA44" s="18" t="str">
        <f ca="1">IF(ISNONTEXT(VLOOKUP(ADDRESS(44,27),$BB$30:$BC$430,1,FALSE)),"",VLOOKUP(ADDRESS(44,27),$BB$30:$BC$430,2,FALSE))</f>
        <v/>
      </c>
      <c r="AB44" s="18" t="str">
        <f ca="1">IF(ISNONTEXT(VLOOKUP(ADDRESS(44,28),$BB$30:$BC$430,1,FALSE)),"",VLOOKUP(ADDRESS(44,28),$BB$30:$BC$430,2,FALSE))</f>
        <v/>
      </c>
      <c r="AC44" s="18" t="str">
        <f ca="1">IF(ISNONTEXT(VLOOKUP(ADDRESS(44,29),$BB$30:$BC$430,1,FALSE)),"",VLOOKUP(ADDRESS(44,29),$BB$30:$BC$430,2,FALSE))</f>
        <v/>
      </c>
      <c r="AD44" s="18" t="str">
        <f ca="1">IF(ISNONTEXT(VLOOKUP(ADDRESS(44,30),$BB$30:$BC$430,1,FALSE)),"",VLOOKUP(ADDRESS(44,30),$BB$30:$BC$430,2,FALSE))</f>
        <v/>
      </c>
      <c r="AE44" s="18" t="str">
        <f ca="1">IF(ISNONTEXT(VLOOKUP(ADDRESS(44,31),$BB$30:$BC$430,1,FALSE)),"",VLOOKUP(ADDRESS(44,31),$BB$30:$BC$430,2,FALSE))</f>
        <v/>
      </c>
      <c r="AF44" s="18" t="str">
        <f ca="1">IF(ISNONTEXT(VLOOKUP(ADDRESS(44,32),$BB$30:$BC$430,1,FALSE)),"",VLOOKUP(ADDRESS(44,32),$BB$30:$BC$430,2,FALSE))</f>
        <v/>
      </c>
      <c r="AG44" s="18" t="str">
        <f ca="1">IF(ISNONTEXT(VLOOKUP(ADDRESS(44,33),$BB$30:$BC$430,1,FALSE)),"",VLOOKUP(ADDRESS(44,33),$BB$30:$BC$430,2,FALSE))</f>
        <v/>
      </c>
      <c r="AH44" s="18" t="str">
        <f ca="1">IF(ISNONTEXT(VLOOKUP(ADDRESS(44,34),$BB$30:$BC$430,1,FALSE)),"",VLOOKUP(ADDRESS(44,34),$BB$30:$BC$430,2,FALSE))</f>
        <v/>
      </c>
      <c r="AI44" s="18" t="str">
        <f ca="1">IF(ISNONTEXT(VLOOKUP(ADDRESS(44,35),$BB$30:$BC$430,1,FALSE)),"",VLOOKUP(ADDRESS(44,35),$BB$30:$BC$430,2,FALSE))</f>
        <v/>
      </c>
      <c r="AJ44" s="18" t="str">
        <f ca="1">IF(ISNONTEXT(VLOOKUP(ADDRESS(44,36),$BB$30:$BC$430,1,FALSE)),"",VLOOKUP(ADDRESS(44,36),$BB$30:$BC$430,2,FALSE))</f>
        <v/>
      </c>
      <c r="AK44" s="18" t="str">
        <f ca="1">IF($C44&lt;&gt;"","X","")</f>
        <v/>
      </c>
      <c r="AL44" s="33"/>
      <c r="AM44" s="33"/>
      <c r="AN44" s="33"/>
      <c r="AO44" s="33"/>
      <c r="AP44" s="33"/>
      <c r="AQ44" s="33"/>
      <c r="AR44" s="33"/>
      <c r="AS44" s="33"/>
      <c r="AT44" s="33"/>
      <c r="AU44" s="34"/>
      <c r="AV44" s="30"/>
      <c r="AW44" s="32"/>
      <c r="AY44"/>
      <c r="AZ44">
        <v>2</v>
      </c>
      <c r="BA44" s="16" t="s">
        <v>128</v>
      </c>
      <c r="BB44" t="str">
        <f ca="1">IF($BC$17&lt;&gt;"",ADDRESS($BC$18+10,$BC$17+3),"")</f>
        <v>$L$24</v>
      </c>
      <c r="BC44" t="str">
        <f ca="1">IF(BB44&lt;&gt;"","2•4","")</f>
        <v>2•4</v>
      </c>
      <c r="BD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row>
    <row r="45" spans="1:123" ht="12" customHeight="1">
      <c r="A45" s="16">
        <v>35</v>
      </c>
      <c r="B45" s="16">
        <f>DrawFinder!Y45</f>
        <v>0</v>
      </c>
      <c r="C45" s="16" t="str">
        <f ca="1">CS!AR45</f>
        <v/>
      </c>
      <c r="D45" s="18" t="str">
        <f ca="1">IF(ISNONTEXT(VLOOKUP(ADDRESS(45,4),$BB$30:$BC$430,1,FALSE)),"",VLOOKUP(ADDRESS(45,4),$BB$30:$BC$430,2,FALSE))</f>
        <v/>
      </c>
      <c r="E45" s="18" t="str">
        <f ca="1">IF(ISNONTEXT(VLOOKUP(ADDRESS(45,5),$BB$30:$BC$430,1,FALSE)),"",VLOOKUP(ADDRESS(45,5),$BB$30:$BC$430,2,FALSE))</f>
        <v/>
      </c>
      <c r="F45" s="18" t="str">
        <f ca="1">IF(ISNONTEXT(VLOOKUP(ADDRESS(45,6),$BB$30:$BC$430,1,FALSE)),"",VLOOKUP(ADDRESS(45,6),$BB$30:$BC$430,2,FALSE))</f>
        <v/>
      </c>
      <c r="G45" s="18" t="str">
        <f ca="1">IF(ISNONTEXT(VLOOKUP(ADDRESS(45,7),$BB$30:$BC$430,1,FALSE)),"",VLOOKUP(ADDRESS(45,7),$BB$30:$BC$430,2,FALSE))</f>
        <v/>
      </c>
      <c r="H45" s="18" t="str">
        <f ca="1">IF(ISNONTEXT(VLOOKUP(ADDRESS(45,8),$BB$30:$BC$430,1,FALSE)),"",VLOOKUP(ADDRESS(45,8),$BB$30:$BC$430,2,FALSE))</f>
        <v/>
      </c>
      <c r="I45" s="18" t="str">
        <f ca="1">IF(ISNONTEXT(VLOOKUP(ADDRESS(45,9),$BB$30:$BC$430,1,FALSE)),"",VLOOKUP(ADDRESS(45,9),$BB$30:$BC$430,2,FALSE))</f>
        <v/>
      </c>
      <c r="J45" s="18" t="str">
        <f ca="1">IF(ISNONTEXT(VLOOKUP(ADDRESS(45,10),$BB$30:$BC$430,1,FALSE)),"",VLOOKUP(ADDRESS(45,10),$BB$30:$BC$430,2,FALSE))</f>
        <v/>
      </c>
      <c r="K45" s="18" t="str">
        <f ca="1">IF(ISNONTEXT(VLOOKUP(ADDRESS(45,11),$BB$30:$BC$430,1,FALSE)),"",VLOOKUP(ADDRESS(45,11),$BB$30:$BC$430,2,FALSE))</f>
        <v/>
      </c>
      <c r="L45" s="18" t="str">
        <f ca="1">IF(ISNONTEXT(VLOOKUP(ADDRESS(45,12),$BB$30:$BC$430,1,FALSE)),"",VLOOKUP(ADDRESS(45,12),$BB$30:$BC$430,2,FALSE))</f>
        <v/>
      </c>
      <c r="M45" s="18" t="str">
        <f ca="1">IF(ISNONTEXT(VLOOKUP(ADDRESS(45,13),$BB$30:$BC$430,1,FALSE)),"",VLOOKUP(ADDRESS(45,13),$BB$30:$BC$430,2,FALSE))</f>
        <v/>
      </c>
      <c r="N45" s="18" t="str">
        <f ca="1">IF(ISNONTEXT(VLOOKUP(ADDRESS(45,14),$BB$30:$BC$430,1,FALSE)),"",VLOOKUP(ADDRESS(45,14),$BB$30:$BC$430,2,FALSE))</f>
        <v/>
      </c>
      <c r="O45" s="18" t="str">
        <f ca="1">IF(ISNONTEXT(VLOOKUP(ADDRESS(45,15),$BB$30:$BC$430,1,FALSE)),"",VLOOKUP(ADDRESS(45,15),$BB$30:$BC$430,2,FALSE))</f>
        <v/>
      </c>
      <c r="P45" s="18" t="str">
        <f ca="1">IF(ISNONTEXT(VLOOKUP(ADDRESS(45,16),$BB$30:$BC$430,1,FALSE)),"",VLOOKUP(ADDRESS(45,16),$BB$30:$BC$430,2,FALSE))</f>
        <v/>
      </c>
      <c r="Q45" s="18" t="str">
        <f ca="1">IF(ISNONTEXT(VLOOKUP(ADDRESS(45,17),$BB$30:$BC$430,1,FALSE)),"",VLOOKUP(ADDRESS(45,17),$BB$30:$BC$430,2,FALSE))</f>
        <v/>
      </c>
      <c r="R45" s="18" t="str">
        <f ca="1">IF(ISNONTEXT(VLOOKUP(ADDRESS(45,18),$BB$30:$BC$430,1,FALSE)),"",VLOOKUP(ADDRESS(45,18),$BB$30:$BC$430,2,FALSE))</f>
        <v/>
      </c>
      <c r="S45" s="18" t="str">
        <f ca="1">IF(ISNONTEXT(VLOOKUP(ADDRESS(45,19),$BB$30:$BC$430,1,FALSE)),"",VLOOKUP(ADDRESS(45,19),$BB$30:$BC$430,2,FALSE))</f>
        <v/>
      </c>
      <c r="T45" s="18" t="str">
        <f ca="1">IF(ISNONTEXT(VLOOKUP(ADDRESS(45,20),$BB$30:$BC$430,1,FALSE)),"",VLOOKUP(ADDRESS(45,20),$BB$30:$BC$430,2,FALSE))</f>
        <v/>
      </c>
      <c r="U45" s="18" t="str">
        <f ca="1">IF(ISNONTEXT(VLOOKUP(ADDRESS(45,21),$BB$30:$BC$430,1,FALSE)),"",VLOOKUP(ADDRESS(45,21),$BB$30:$BC$430,2,FALSE))</f>
        <v/>
      </c>
      <c r="V45" s="18" t="str">
        <f ca="1">IF(ISNONTEXT(VLOOKUP(ADDRESS(45,22),$BB$30:$BC$430,1,FALSE)),"",VLOOKUP(ADDRESS(45,22),$BB$30:$BC$430,2,FALSE))</f>
        <v/>
      </c>
      <c r="W45" s="18" t="str">
        <f ca="1">IF(ISNONTEXT(VLOOKUP(ADDRESS(45,23),$BB$30:$BC$430,1,FALSE)),"",VLOOKUP(ADDRESS(45,23),$BB$30:$BC$430,2,FALSE))</f>
        <v/>
      </c>
      <c r="X45" s="18" t="str">
        <f ca="1">IF(ISNONTEXT(VLOOKUP(ADDRESS(45,24),$BB$30:$BC$430,1,FALSE)),"",VLOOKUP(ADDRESS(45,24),$BB$30:$BC$430,2,FALSE))</f>
        <v/>
      </c>
      <c r="Y45" s="18" t="str">
        <f ca="1">IF(ISNONTEXT(VLOOKUP(ADDRESS(45,25),$BB$30:$BC$430,1,FALSE)),"",VLOOKUP(ADDRESS(45,25),$BB$30:$BC$430,2,FALSE))</f>
        <v/>
      </c>
      <c r="Z45" s="18" t="str">
        <f ca="1">IF(ISNONTEXT(VLOOKUP(ADDRESS(45,26),$BB$30:$BC$430,1,FALSE)),"",VLOOKUP(ADDRESS(45,26),$BB$30:$BC$430,2,FALSE))</f>
        <v/>
      </c>
      <c r="AA45" s="18" t="str">
        <f ca="1">IF(ISNONTEXT(VLOOKUP(ADDRESS(45,27),$BB$30:$BC$430,1,FALSE)),"",VLOOKUP(ADDRESS(45,27),$BB$30:$BC$430,2,FALSE))</f>
        <v/>
      </c>
      <c r="AB45" s="18" t="str">
        <f ca="1">IF(ISNONTEXT(VLOOKUP(ADDRESS(45,28),$BB$30:$BC$430,1,FALSE)),"",VLOOKUP(ADDRESS(45,28),$BB$30:$BC$430,2,FALSE))</f>
        <v/>
      </c>
      <c r="AC45" s="18" t="str">
        <f ca="1">IF(ISNONTEXT(VLOOKUP(ADDRESS(45,29),$BB$30:$BC$430,1,FALSE)),"",VLOOKUP(ADDRESS(45,29),$BB$30:$BC$430,2,FALSE))</f>
        <v/>
      </c>
      <c r="AD45" s="18" t="str">
        <f ca="1">IF(ISNONTEXT(VLOOKUP(ADDRESS(45,30),$BB$30:$BC$430,1,FALSE)),"",VLOOKUP(ADDRESS(45,30),$BB$30:$BC$430,2,FALSE))</f>
        <v/>
      </c>
      <c r="AE45" s="18" t="str">
        <f ca="1">IF(ISNONTEXT(VLOOKUP(ADDRESS(45,31),$BB$30:$BC$430,1,FALSE)),"",VLOOKUP(ADDRESS(45,31),$BB$30:$BC$430,2,FALSE))</f>
        <v/>
      </c>
      <c r="AF45" s="18" t="str">
        <f ca="1">IF(ISNONTEXT(VLOOKUP(ADDRESS(45,32),$BB$30:$BC$430,1,FALSE)),"",VLOOKUP(ADDRESS(45,32),$BB$30:$BC$430,2,FALSE))</f>
        <v/>
      </c>
      <c r="AG45" s="18" t="str">
        <f ca="1">IF(ISNONTEXT(VLOOKUP(ADDRESS(45,33),$BB$30:$BC$430,1,FALSE)),"",VLOOKUP(ADDRESS(45,33),$BB$30:$BC$430,2,FALSE))</f>
        <v/>
      </c>
      <c r="AH45" s="18" t="str">
        <f ca="1">IF(ISNONTEXT(VLOOKUP(ADDRESS(45,34),$BB$30:$BC$430,1,FALSE)),"",VLOOKUP(ADDRESS(45,34),$BB$30:$BC$430,2,FALSE))</f>
        <v/>
      </c>
      <c r="AI45" s="18" t="str">
        <f ca="1">IF(ISNONTEXT(VLOOKUP(ADDRESS(45,35),$BB$30:$BC$430,1,FALSE)),"",VLOOKUP(ADDRESS(45,35),$BB$30:$BC$430,2,FALSE))</f>
        <v/>
      </c>
      <c r="AJ45" s="18" t="str">
        <f ca="1">IF(ISNONTEXT(VLOOKUP(ADDRESS(45,36),$BB$30:$BC$430,1,FALSE)),"",VLOOKUP(ADDRESS(45,36),$BB$30:$BC$430,2,FALSE))</f>
        <v/>
      </c>
      <c r="AK45" s="18" t="str">
        <f ca="1">IF(ISNONTEXT(VLOOKUP(ADDRESS(45,37),$BB$30:$BC$430,1,FALSE)),"",VLOOKUP(ADDRESS(45,37),$BB$30:$BC$430,2,FALSE))</f>
        <v/>
      </c>
      <c r="AL45" s="18" t="str">
        <f ca="1">IF($C45&lt;&gt;"","X","")</f>
        <v/>
      </c>
      <c r="AM45" s="33"/>
      <c r="AN45" s="33"/>
      <c r="AO45" s="33"/>
      <c r="AP45" s="33"/>
      <c r="AQ45" s="33"/>
      <c r="AR45" s="33"/>
      <c r="AS45" s="33"/>
      <c r="AT45" s="33"/>
      <c r="AU45" s="34"/>
      <c r="AV45" s="30"/>
      <c r="AW45" s="32"/>
      <c r="AY45"/>
      <c r="AZ45">
        <v>2</v>
      </c>
      <c r="BA45" s="16" t="s">
        <v>129</v>
      </c>
      <c r="BB45" t="str">
        <f ca="1">IF($BC$19&lt;&gt;"",ADDRESS($BC$20+10,$BC$19+3),"")</f>
        <v>$N$25</v>
      </c>
      <c r="BC45" t="str">
        <f ca="1">IF(BB45&lt;&gt;"","2•5","")</f>
        <v>2•5</v>
      </c>
      <c r="BD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row>
    <row r="46" spans="1:123" ht="12" customHeight="1">
      <c r="A46" s="16">
        <v>36</v>
      </c>
      <c r="B46" s="16">
        <f>DrawFinder!Y46</f>
        <v>0</v>
      </c>
      <c r="C46" s="16" t="str">
        <f ca="1">CS!AR46</f>
        <v/>
      </c>
      <c r="D46" s="18" t="str">
        <f ca="1">IF(ISNONTEXT(VLOOKUP(ADDRESS(46,4),$BB$30:$BC$430,1,FALSE)),"",VLOOKUP(ADDRESS(46,4),$BB$30:$BC$430,2,FALSE))</f>
        <v/>
      </c>
      <c r="E46" s="18" t="str">
        <f ca="1">IF(ISNONTEXT(VLOOKUP(ADDRESS(46,5),$BB$30:$BC$430,1,FALSE)),"",VLOOKUP(ADDRESS(46,5),$BB$30:$BC$430,2,FALSE))</f>
        <v/>
      </c>
      <c r="F46" s="18" t="str">
        <f ca="1">IF(ISNONTEXT(VLOOKUP(ADDRESS(46,6),$BB$30:$BC$430,1,FALSE)),"",VLOOKUP(ADDRESS(46,6),$BB$30:$BC$430,2,FALSE))</f>
        <v/>
      </c>
      <c r="G46" s="18" t="str">
        <f ca="1">IF(ISNONTEXT(VLOOKUP(ADDRESS(46,7),$BB$30:$BC$430,1,FALSE)),"",VLOOKUP(ADDRESS(46,7),$BB$30:$BC$430,2,FALSE))</f>
        <v/>
      </c>
      <c r="H46" s="18" t="str">
        <f ca="1">IF(ISNONTEXT(VLOOKUP(ADDRESS(46,8),$BB$30:$BC$430,1,FALSE)),"",VLOOKUP(ADDRESS(46,8),$BB$30:$BC$430,2,FALSE))</f>
        <v/>
      </c>
      <c r="I46" s="18" t="str">
        <f ca="1">IF(ISNONTEXT(VLOOKUP(ADDRESS(46,9),$BB$30:$BC$430,1,FALSE)),"",VLOOKUP(ADDRESS(46,9),$BB$30:$BC$430,2,FALSE))</f>
        <v/>
      </c>
      <c r="J46" s="18" t="str">
        <f ca="1">IF(ISNONTEXT(VLOOKUP(ADDRESS(46,10),$BB$30:$BC$430,1,FALSE)),"",VLOOKUP(ADDRESS(46,10),$BB$30:$BC$430,2,FALSE))</f>
        <v/>
      </c>
      <c r="K46" s="18" t="str">
        <f ca="1">IF(ISNONTEXT(VLOOKUP(ADDRESS(46,11),$BB$30:$BC$430,1,FALSE)),"",VLOOKUP(ADDRESS(46,11),$BB$30:$BC$430,2,FALSE))</f>
        <v/>
      </c>
      <c r="L46" s="18" t="str">
        <f ca="1">IF(ISNONTEXT(VLOOKUP(ADDRESS(46,12),$BB$30:$BC$430,1,FALSE)),"",VLOOKUP(ADDRESS(46,12),$BB$30:$BC$430,2,FALSE))</f>
        <v/>
      </c>
      <c r="M46" s="18" t="str">
        <f ca="1">IF(ISNONTEXT(VLOOKUP(ADDRESS(46,13),$BB$30:$BC$430,1,FALSE)),"",VLOOKUP(ADDRESS(46,13),$BB$30:$BC$430,2,FALSE))</f>
        <v/>
      </c>
      <c r="N46" s="18" t="str">
        <f ca="1">IF(ISNONTEXT(VLOOKUP(ADDRESS(46,14),$BB$30:$BC$430,1,FALSE)),"",VLOOKUP(ADDRESS(46,14),$BB$30:$BC$430,2,FALSE))</f>
        <v/>
      </c>
      <c r="O46" s="18" t="str">
        <f ca="1">IF(ISNONTEXT(VLOOKUP(ADDRESS(46,15),$BB$30:$BC$430,1,FALSE)),"",VLOOKUP(ADDRESS(46,15),$BB$30:$BC$430,2,FALSE))</f>
        <v/>
      </c>
      <c r="P46" s="18" t="str">
        <f ca="1">IF(ISNONTEXT(VLOOKUP(ADDRESS(46,16),$BB$30:$BC$430,1,FALSE)),"",VLOOKUP(ADDRESS(46,16),$BB$30:$BC$430,2,FALSE))</f>
        <v/>
      </c>
      <c r="Q46" s="18" t="str">
        <f ca="1">IF(ISNONTEXT(VLOOKUP(ADDRESS(46,17),$BB$30:$BC$430,1,FALSE)),"",VLOOKUP(ADDRESS(46,17),$BB$30:$BC$430,2,FALSE))</f>
        <v/>
      </c>
      <c r="R46" s="18" t="str">
        <f ca="1">IF(ISNONTEXT(VLOOKUP(ADDRESS(46,18),$BB$30:$BC$430,1,FALSE)),"",VLOOKUP(ADDRESS(46,18),$BB$30:$BC$430,2,FALSE))</f>
        <v/>
      </c>
      <c r="S46" s="18" t="str">
        <f ca="1">IF(ISNONTEXT(VLOOKUP(ADDRESS(46,19),$BB$30:$BC$430,1,FALSE)),"",VLOOKUP(ADDRESS(46,19),$BB$30:$BC$430,2,FALSE))</f>
        <v/>
      </c>
      <c r="T46" s="18" t="str">
        <f ca="1">IF(ISNONTEXT(VLOOKUP(ADDRESS(46,20),$BB$30:$BC$430,1,FALSE)),"",VLOOKUP(ADDRESS(46,20),$BB$30:$BC$430,2,FALSE))</f>
        <v/>
      </c>
      <c r="U46" s="18" t="str">
        <f ca="1">IF(ISNONTEXT(VLOOKUP(ADDRESS(46,21),$BB$30:$BC$430,1,FALSE)),"",VLOOKUP(ADDRESS(46,21),$BB$30:$BC$430,2,FALSE))</f>
        <v/>
      </c>
      <c r="V46" s="18" t="str">
        <f ca="1">IF(ISNONTEXT(VLOOKUP(ADDRESS(46,22),$BB$30:$BC$430,1,FALSE)),"",VLOOKUP(ADDRESS(46,22),$BB$30:$BC$430,2,FALSE))</f>
        <v/>
      </c>
      <c r="W46" s="18" t="str">
        <f ca="1">IF(ISNONTEXT(VLOOKUP(ADDRESS(46,23),$BB$30:$BC$430,1,FALSE)),"",VLOOKUP(ADDRESS(46,23),$BB$30:$BC$430,2,FALSE))</f>
        <v/>
      </c>
      <c r="X46" s="18" t="str">
        <f ca="1">IF(ISNONTEXT(VLOOKUP(ADDRESS(46,24),$BB$30:$BC$430,1,FALSE)),"",VLOOKUP(ADDRESS(46,24),$BB$30:$BC$430,2,FALSE))</f>
        <v/>
      </c>
      <c r="Y46" s="18" t="str">
        <f ca="1">IF(ISNONTEXT(VLOOKUP(ADDRESS(46,25),$BB$30:$BC$430,1,FALSE)),"",VLOOKUP(ADDRESS(46,25),$BB$30:$BC$430,2,FALSE))</f>
        <v/>
      </c>
      <c r="Z46" s="18" t="str">
        <f ca="1">IF(ISNONTEXT(VLOOKUP(ADDRESS(46,26),$BB$30:$BC$430,1,FALSE)),"",VLOOKUP(ADDRESS(46,26),$BB$30:$BC$430,2,FALSE))</f>
        <v/>
      </c>
      <c r="AA46" s="18" t="str">
        <f ca="1">IF(ISNONTEXT(VLOOKUP(ADDRESS(46,27),$BB$30:$BC$430,1,FALSE)),"",VLOOKUP(ADDRESS(46,27),$BB$30:$BC$430,2,FALSE))</f>
        <v/>
      </c>
      <c r="AB46" s="18" t="str">
        <f ca="1">IF(ISNONTEXT(VLOOKUP(ADDRESS(46,28),$BB$30:$BC$430,1,FALSE)),"",VLOOKUP(ADDRESS(46,28),$BB$30:$BC$430,2,FALSE))</f>
        <v/>
      </c>
      <c r="AC46" s="18" t="str">
        <f ca="1">IF(ISNONTEXT(VLOOKUP(ADDRESS(46,29),$BB$30:$BC$430,1,FALSE)),"",VLOOKUP(ADDRESS(46,29),$BB$30:$BC$430,2,FALSE))</f>
        <v/>
      </c>
      <c r="AD46" s="18" t="str">
        <f ca="1">IF(ISNONTEXT(VLOOKUP(ADDRESS(46,30),$BB$30:$BC$430,1,FALSE)),"",VLOOKUP(ADDRESS(46,30),$BB$30:$BC$430,2,FALSE))</f>
        <v/>
      </c>
      <c r="AE46" s="18" t="str">
        <f ca="1">IF(ISNONTEXT(VLOOKUP(ADDRESS(46,31),$BB$30:$BC$430,1,FALSE)),"",VLOOKUP(ADDRESS(46,31),$BB$30:$BC$430,2,FALSE))</f>
        <v/>
      </c>
      <c r="AF46" s="18" t="str">
        <f ca="1">IF(ISNONTEXT(VLOOKUP(ADDRESS(46,32),$BB$30:$BC$430,1,FALSE)),"",VLOOKUP(ADDRESS(46,32),$BB$30:$BC$430,2,FALSE))</f>
        <v/>
      </c>
      <c r="AG46" s="18" t="str">
        <f ca="1">IF(ISNONTEXT(VLOOKUP(ADDRESS(46,33),$BB$30:$BC$430,1,FALSE)),"",VLOOKUP(ADDRESS(46,33),$BB$30:$BC$430,2,FALSE))</f>
        <v/>
      </c>
      <c r="AH46" s="18" t="str">
        <f ca="1">IF(ISNONTEXT(VLOOKUP(ADDRESS(46,34),$BB$30:$BC$430,1,FALSE)),"",VLOOKUP(ADDRESS(46,34),$BB$30:$BC$430,2,FALSE))</f>
        <v/>
      </c>
      <c r="AI46" s="18" t="str">
        <f ca="1">IF(ISNONTEXT(VLOOKUP(ADDRESS(46,35),$BB$30:$BC$430,1,FALSE)),"",VLOOKUP(ADDRESS(46,35),$BB$30:$BC$430,2,FALSE))</f>
        <v/>
      </c>
      <c r="AJ46" s="18" t="str">
        <f ca="1">IF(ISNONTEXT(VLOOKUP(ADDRESS(46,36),$BB$30:$BC$430,1,FALSE)),"",VLOOKUP(ADDRESS(46,36),$BB$30:$BC$430,2,FALSE))</f>
        <v/>
      </c>
      <c r="AK46" s="18" t="str">
        <f ca="1">IF(ISNONTEXT(VLOOKUP(ADDRESS(46,37),$BB$30:$BC$430,1,FALSE)),"",VLOOKUP(ADDRESS(46,37),$BB$30:$BC$430,2,FALSE))</f>
        <v/>
      </c>
      <c r="AL46" s="18" t="str">
        <f ca="1">IF(ISNONTEXT(VLOOKUP(ADDRESS(46,38),$BB$30:$BC$430,1,FALSE)),"",VLOOKUP(ADDRESS(46,38),$BB$30:$BC$430,2,FALSE))</f>
        <v/>
      </c>
      <c r="AM46" s="18" t="str">
        <f ca="1">IF($C46&lt;&gt;"","X","")</f>
        <v/>
      </c>
      <c r="AN46" s="33"/>
      <c r="AO46" s="33"/>
      <c r="AP46" s="33"/>
      <c r="AQ46" s="33"/>
      <c r="AR46" s="33"/>
      <c r="AS46" s="33"/>
      <c r="AT46" s="33"/>
      <c r="AU46" s="34"/>
      <c r="AV46" s="30"/>
      <c r="AW46" s="32"/>
      <c r="AY46"/>
      <c r="AZ46">
        <v>2</v>
      </c>
      <c r="BA46" s="16" t="s">
        <v>130</v>
      </c>
      <c r="BB46" t="str">
        <f ca="1">IF($BC$21&lt;&gt;"",ADDRESS($BC$22+10,$BC$21+3),"")</f>
        <v>$T$34</v>
      </c>
      <c r="BC46" t="str">
        <f ca="1">IF(BB46&lt;&gt;"","2•6","")</f>
        <v>2•6</v>
      </c>
      <c r="BD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row>
    <row r="47" spans="1:123" ht="12" customHeight="1">
      <c r="A47" s="16">
        <v>37</v>
      </c>
      <c r="B47" s="16">
        <f>DrawFinder!Y47</f>
        <v>0</v>
      </c>
      <c r="C47" s="16" t="str">
        <f ca="1">CS!AR47</f>
        <v/>
      </c>
      <c r="D47" s="18" t="str">
        <f ca="1">IF(ISNONTEXT(VLOOKUP(ADDRESS(47,4),$BB$30:$BC$430,1,FALSE)),"",VLOOKUP(ADDRESS(47,4),$BB$30:$BC$430,2,FALSE))</f>
        <v/>
      </c>
      <c r="E47" s="18" t="str">
        <f ca="1">IF(ISNONTEXT(VLOOKUP(ADDRESS(47,5),$BB$30:$BC$430,1,FALSE)),"",VLOOKUP(ADDRESS(47,5),$BB$30:$BC$430,2,FALSE))</f>
        <v/>
      </c>
      <c r="F47" s="18" t="str">
        <f ca="1">IF(ISNONTEXT(VLOOKUP(ADDRESS(47,6),$BB$30:$BC$430,1,FALSE)),"",VLOOKUP(ADDRESS(47,6),$BB$30:$BC$430,2,FALSE))</f>
        <v/>
      </c>
      <c r="G47" s="18" t="str">
        <f ca="1">IF(ISNONTEXT(VLOOKUP(ADDRESS(47,7),$BB$30:$BC$430,1,FALSE)),"",VLOOKUP(ADDRESS(47,7),$BB$30:$BC$430,2,FALSE))</f>
        <v/>
      </c>
      <c r="H47" s="18" t="str">
        <f ca="1">IF(ISNONTEXT(VLOOKUP(ADDRESS(47,8),$BB$30:$BC$430,1,FALSE)),"",VLOOKUP(ADDRESS(47,8),$BB$30:$BC$430,2,FALSE))</f>
        <v/>
      </c>
      <c r="I47" s="18" t="str">
        <f ca="1">IF(ISNONTEXT(VLOOKUP(ADDRESS(47,9),$BB$30:$BC$430,1,FALSE)),"",VLOOKUP(ADDRESS(47,9),$BB$30:$BC$430,2,FALSE))</f>
        <v/>
      </c>
      <c r="J47" s="18" t="str">
        <f ca="1">IF(ISNONTEXT(VLOOKUP(ADDRESS(47,10),$BB$30:$BC$430,1,FALSE)),"",VLOOKUP(ADDRESS(47,10),$BB$30:$BC$430,2,FALSE))</f>
        <v/>
      </c>
      <c r="K47" s="18" t="str">
        <f ca="1">IF(ISNONTEXT(VLOOKUP(ADDRESS(47,11),$BB$30:$BC$430,1,FALSE)),"",VLOOKUP(ADDRESS(47,11),$BB$30:$BC$430,2,FALSE))</f>
        <v/>
      </c>
      <c r="L47" s="18" t="str">
        <f ca="1">IF(ISNONTEXT(VLOOKUP(ADDRESS(47,12),$BB$30:$BC$430,1,FALSE)),"",VLOOKUP(ADDRESS(47,12),$BB$30:$BC$430,2,FALSE))</f>
        <v/>
      </c>
      <c r="M47" s="18" t="str">
        <f ca="1">IF(ISNONTEXT(VLOOKUP(ADDRESS(47,13),$BB$30:$BC$430,1,FALSE)),"",VLOOKUP(ADDRESS(47,13),$BB$30:$BC$430,2,FALSE))</f>
        <v/>
      </c>
      <c r="N47" s="18" t="str">
        <f ca="1">IF(ISNONTEXT(VLOOKUP(ADDRESS(47,14),$BB$30:$BC$430,1,FALSE)),"",VLOOKUP(ADDRESS(47,14),$BB$30:$BC$430,2,FALSE))</f>
        <v/>
      </c>
      <c r="O47" s="18" t="str">
        <f ca="1">IF(ISNONTEXT(VLOOKUP(ADDRESS(47,15),$BB$30:$BC$430,1,FALSE)),"",VLOOKUP(ADDRESS(47,15),$BB$30:$BC$430,2,FALSE))</f>
        <v/>
      </c>
      <c r="P47" s="18" t="str">
        <f ca="1">IF(ISNONTEXT(VLOOKUP(ADDRESS(47,16),$BB$30:$BC$430,1,FALSE)),"",VLOOKUP(ADDRESS(47,16),$BB$30:$BC$430,2,FALSE))</f>
        <v/>
      </c>
      <c r="Q47" s="18" t="str">
        <f ca="1">IF(ISNONTEXT(VLOOKUP(ADDRESS(47,17),$BB$30:$BC$430,1,FALSE)),"",VLOOKUP(ADDRESS(47,17),$BB$30:$BC$430,2,FALSE))</f>
        <v/>
      </c>
      <c r="R47" s="18" t="str">
        <f ca="1">IF(ISNONTEXT(VLOOKUP(ADDRESS(47,18),$BB$30:$BC$430,1,FALSE)),"",VLOOKUP(ADDRESS(47,18),$BB$30:$BC$430,2,FALSE))</f>
        <v/>
      </c>
      <c r="S47" s="18" t="str">
        <f ca="1">IF(ISNONTEXT(VLOOKUP(ADDRESS(47,19),$BB$30:$BC$430,1,FALSE)),"",VLOOKUP(ADDRESS(47,19),$BB$30:$BC$430,2,FALSE))</f>
        <v/>
      </c>
      <c r="T47" s="18" t="str">
        <f ca="1">IF(ISNONTEXT(VLOOKUP(ADDRESS(47,20),$BB$30:$BC$430,1,FALSE)),"",VLOOKUP(ADDRESS(47,20),$BB$30:$BC$430,2,FALSE))</f>
        <v/>
      </c>
      <c r="U47" s="18" t="str">
        <f ca="1">IF(ISNONTEXT(VLOOKUP(ADDRESS(47,21),$BB$30:$BC$430,1,FALSE)),"",VLOOKUP(ADDRESS(47,21),$BB$30:$BC$430,2,FALSE))</f>
        <v/>
      </c>
      <c r="V47" s="18" t="str">
        <f ca="1">IF(ISNONTEXT(VLOOKUP(ADDRESS(47,22),$BB$30:$BC$430,1,FALSE)),"",VLOOKUP(ADDRESS(47,22),$BB$30:$BC$430,2,FALSE))</f>
        <v/>
      </c>
      <c r="W47" s="18" t="str">
        <f ca="1">IF(ISNONTEXT(VLOOKUP(ADDRESS(47,23),$BB$30:$BC$430,1,FALSE)),"",VLOOKUP(ADDRESS(47,23),$BB$30:$BC$430,2,FALSE))</f>
        <v/>
      </c>
      <c r="X47" s="18" t="str">
        <f ca="1">IF(ISNONTEXT(VLOOKUP(ADDRESS(47,24),$BB$30:$BC$430,1,FALSE)),"",VLOOKUP(ADDRESS(47,24),$BB$30:$BC$430,2,FALSE))</f>
        <v/>
      </c>
      <c r="Y47" s="18" t="str">
        <f ca="1">IF(ISNONTEXT(VLOOKUP(ADDRESS(47,25),$BB$30:$BC$430,1,FALSE)),"",VLOOKUP(ADDRESS(47,25),$BB$30:$BC$430,2,FALSE))</f>
        <v/>
      </c>
      <c r="Z47" s="18" t="str">
        <f ca="1">IF(ISNONTEXT(VLOOKUP(ADDRESS(47,26),$BB$30:$BC$430,1,FALSE)),"",VLOOKUP(ADDRESS(47,26),$BB$30:$BC$430,2,FALSE))</f>
        <v/>
      </c>
      <c r="AA47" s="18" t="str">
        <f ca="1">IF(ISNONTEXT(VLOOKUP(ADDRESS(47,27),$BB$30:$BC$430,1,FALSE)),"",VLOOKUP(ADDRESS(47,27),$BB$30:$BC$430,2,FALSE))</f>
        <v/>
      </c>
      <c r="AB47" s="18" t="str">
        <f ca="1">IF(ISNONTEXT(VLOOKUP(ADDRESS(47,28),$BB$30:$BC$430,1,FALSE)),"",VLOOKUP(ADDRESS(47,28),$BB$30:$BC$430,2,FALSE))</f>
        <v/>
      </c>
      <c r="AC47" s="18" t="str">
        <f ca="1">IF(ISNONTEXT(VLOOKUP(ADDRESS(47,29),$BB$30:$BC$430,1,FALSE)),"",VLOOKUP(ADDRESS(47,29),$BB$30:$BC$430,2,FALSE))</f>
        <v/>
      </c>
      <c r="AD47" s="18" t="str">
        <f ca="1">IF(ISNONTEXT(VLOOKUP(ADDRESS(47,30),$BB$30:$BC$430,1,FALSE)),"",VLOOKUP(ADDRESS(47,30),$BB$30:$BC$430,2,FALSE))</f>
        <v/>
      </c>
      <c r="AE47" s="18" t="str">
        <f ca="1">IF(ISNONTEXT(VLOOKUP(ADDRESS(47,31),$BB$30:$BC$430,1,FALSE)),"",VLOOKUP(ADDRESS(47,31),$BB$30:$BC$430,2,FALSE))</f>
        <v/>
      </c>
      <c r="AF47" s="18" t="str">
        <f ca="1">IF(ISNONTEXT(VLOOKUP(ADDRESS(47,32),$BB$30:$BC$430,1,FALSE)),"",VLOOKUP(ADDRESS(47,32),$BB$30:$BC$430,2,FALSE))</f>
        <v/>
      </c>
      <c r="AG47" s="18" t="str">
        <f ca="1">IF(ISNONTEXT(VLOOKUP(ADDRESS(47,33),$BB$30:$BC$430,1,FALSE)),"",VLOOKUP(ADDRESS(47,33),$BB$30:$BC$430,2,FALSE))</f>
        <v/>
      </c>
      <c r="AH47" s="18" t="str">
        <f ca="1">IF(ISNONTEXT(VLOOKUP(ADDRESS(47,34),$BB$30:$BC$430,1,FALSE)),"",VLOOKUP(ADDRESS(47,34),$BB$30:$BC$430,2,FALSE))</f>
        <v/>
      </c>
      <c r="AI47" s="18" t="str">
        <f ca="1">IF(ISNONTEXT(VLOOKUP(ADDRESS(47,35),$BB$30:$BC$430,1,FALSE)),"",VLOOKUP(ADDRESS(47,35),$BB$30:$BC$430,2,FALSE))</f>
        <v/>
      </c>
      <c r="AJ47" s="18" t="str">
        <f ca="1">IF(ISNONTEXT(VLOOKUP(ADDRESS(47,36),$BB$30:$BC$430,1,FALSE)),"",VLOOKUP(ADDRESS(47,36),$BB$30:$BC$430,2,FALSE))</f>
        <v/>
      </c>
      <c r="AK47" s="18" t="str">
        <f ca="1">IF(ISNONTEXT(VLOOKUP(ADDRESS(47,37),$BB$30:$BC$430,1,FALSE)),"",VLOOKUP(ADDRESS(47,37),$BB$30:$BC$430,2,FALSE))</f>
        <v/>
      </c>
      <c r="AL47" s="18" t="str">
        <f ca="1">IF(ISNONTEXT(VLOOKUP(ADDRESS(47,38),$BB$30:$BC$430,1,FALSE)),"",VLOOKUP(ADDRESS(47,38),$BB$30:$BC$430,2,FALSE))</f>
        <v/>
      </c>
      <c r="AM47" s="18" t="str">
        <f ca="1">IF(ISNONTEXT(VLOOKUP(ADDRESS(47,39),$BB$30:$BC$430,1,FALSE)),"",VLOOKUP(ADDRESS(47,39),$BB$30:$BC$430,2,FALSE))</f>
        <v/>
      </c>
      <c r="AN47" s="18" t="str">
        <f ca="1">IF($C47&lt;&gt;"","X","")</f>
        <v/>
      </c>
      <c r="AO47" s="33"/>
      <c r="AP47" s="33"/>
      <c r="AQ47" s="33"/>
      <c r="AR47" s="33"/>
      <c r="AS47" s="33"/>
      <c r="AT47" s="33"/>
      <c r="AU47" s="34"/>
      <c r="AV47" s="30"/>
      <c r="AW47" s="32"/>
      <c r="AY47"/>
      <c r="AZ47">
        <v>2</v>
      </c>
      <c r="BA47" s="16" t="s">
        <v>131</v>
      </c>
      <c r="BB47" t="str">
        <f ca="1">IF($BC$23&lt;&gt;"",ADDRESS($BC$24+10,$BC$23+3),"")</f>
        <v/>
      </c>
      <c r="BC47" t="str">
        <f ca="1">IF(BB47&lt;&gt;"","2•7","")</f>
        <v/>
      </c>
      <c r="BD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row>
    <row r="48" spans="1:123" ht="12" customHeight="1">
      <c r="A48" s="16">
        <v>38</v>
      </c>
      <c r="B48" s="16">
        <f>DrawFinder!Y48</f>
        <v>0</v>
      </c>
      <c r="C48" s="16" t="str">
        <f ca="1">CS!AR48</f>
        <v/>
      </c>
      <c r="D48" s="18" t="str">
        <f ca="1">IF(ISNONTEXT(VLOOKUP(ADDRESS(48,4),$BB$30:$BC$430,1,FALSE)),"",VLOOKUP(ADDRESS(48,4),$BB$30:$BC$430,2,FALSE))</f>
        <v/>
      </c>
      <c r="E48" s="18" t="str">
        <f ca="1">IF(ISNONTEXT(VLOOKUP(ADDRESS(48,5),$BB$30:$BC$430,1,FALSE)),"",VLOOKUP(ADDRESS(48,5),$BB$30:$BC$430,2,FALSE))</f>
        <v/>
      </c>
      <c r="F48" s="18" t="str">
        <f ca="1">IF(ISNONTEXT(VLOOKUP(ADDRESS(48,6),$BB$30:$BC$430,1,FALSE)),"",VLOOKUP(ADDRESS(48,6),$BB$30:$BC$430,2,FALSE))</f>
        <v/>
      </c>
      <c r="G48" s="18" t="str">
        <f ca="1">IF(ISNONTEXT(VLOOKUP(ADDRESS(48,7),$BB$30:$BC$430,1,FALSE)),"",VLOOKUP(ADDRESS(48,7),$BB$30:$BC$430,2,FALSE))</f>
        <v/>
      </c>
      <c r="H48" s="18" t="str">
        <f ca="1">IF(ISNONTEXT(VLOOKUP(ADDRESS(48,8),$BB$30:$BC$430,1,FALSE)),"",VLOOKUP(ADDRESS(48,8),$BB$30:$BC$430,2,FALSE))</f>
        <v/>
      </c>
      <c r="I48" s="18" t="str">
        <f ca="1">IF(ISNONTEXT(VLOOKUP(ADDRESS(48,9),$BB$30:$BC$430,1,FALSE)),"",VLOOKUP(ADDRESS(48,9),$BB$30:$BC$430,2,FALSE))</f>
        <v/>
      </c>
      <c r="J48" s="18" t="str">
        <f ca="1">IF(ISNONTEXT(VLOOKUP(ADDRESS(48,10),$BB$30:$BC$430,1,FALSE)),"",VLOOKUP(ADDRESS(48,10),$BB$30:$BC$430,2,FALSE))</f>
        <v/>
      </c>
      <c r="K48" s="18" t="str">
        <f ca="1">IF(ISNONTEXT(VLOOKUP(ADDRESS(48,11),$BB$30:$BC$430,1,FALSE)),"",VLOOKUP(ADDRESS(48,11),$BB$30:$BC$430,2,FALSE))</f>
        <v/>
      </c>
      <c r="L48" s="18" t="str">
        <f ca="1">IF(ISNONTEXT(VLOOKUP(ADDRESS(48,12),$BB$30:$BC$430,1,FALSE)),"",VLOOKUP(ADDRESS(48,12),$BB$30:$BC$430,2,FALSE))</f>
        <v/>
      </c>
      <c r="M48" s="18" t="str">
        <f ca="1">IF(ISNONTEXT(VLOOKUP(ADDRESS(48,13),$BB$30:$BC$430,1,FALSE)),"",VLOOKUP(ADDRESS(48,13),$BB$30:$BC$430,2,FALSE))</f>
        <v/>
      </c>
      <c r="N48" s="18" t="str">
        <f ca="1">IF(ISNONTEXT(VLOOKUP(ADDRESS(48,14),$BB$30:$BC$430,1,FALSE)),"",VLOOKUP(ADDRESS(48,14),$BB$30:$BC$430,2,FALSE))</f>
        <v/>
      </c>
      <c r="O48" s="18" t="str">
        <f ca="1">IF(ISNONTEXT(VLOOKUP(ADDRESS(48,15),$BB$30:$BC$430,1,FALSE)),"",VLOOKUP(ADDRESS(48,15),$BB$30:$BC$430,2,FALSE))</f>
        <v/>
      </c>
      <c r="P48" s="18" t="str">
        <f ca="1">IF(ISNONTEXT(VLOOKUP(ADDRESS(48,16),$BB$30:$BC$430,1,FALSE)),"",VLOOKUP(ADDRESS(48,16),$BB$30:$BC$430,2,FALSE))</f>
        <v/>
      </c>
      <c r="Q48" s="18" t="str">
        <f ca="1">IF(ISNONTEXT(VLOOKUP(ADDRESS(48,17),$BB$30:$BC$430,1,FALSE)),"",VLOOKUP(ADDRESS(48,17),$BB$30:$BC$430,2,FALSE))</f>
        <v/>
      </c>
      <c r="R48" s="18" t="str">
        <f ca="1">IF(ISNONTEXT(VLOOKUP(ADDRESS(48,18),$BB$30:$BC$430,1,FALSE)),"",VLOOKUP(ADDRESS(48,18),$BB$30:$BC$430,2,FALSE))</f>
        <v/>
      </c>
      <c r="S48" s="18" t="str">
        <f ca="1">IF(ISNONTEXT(VLOOKUP(ADDRESS(48,19),$BB$30:$BC$430,1,FALSE)),"",VLOOKUP(ADDRESS(48,19),$BB$30:$BC$430,2,FALSE))</f>
        <v/>
      </c>
      <c r="T48" s="18" t="str">
        <f ca="1">IF(ISNONTEXT(VLOOKUP(ADDRESS(48,20),$BB$30:$BC$430,1,FALSE)),"",VLOOKUP(ADDRESS(48,20),$BB$30:$BC$430,2,FALSE))</f>
        <v/>
      </c>
      <c r="U48" s="18" t="str">
        <f ca="1">IF(ISNONTEXT(VLOOKUP(ADDRESS(48,21),$BB$30:$BC$430,1,FALSE)),"",VLOOKUP(ADDRESS(48,21),$BB$30:$BC$430,2,FALSE))</f>
        <v/>
      </c>
      <c r="V48" s="18" t="str">
        <f ca="1">IF(ISNONTEXT(VLOOKUP(ADDRESS(48,22),$BB$30:$BC$430,1,FALSE)),"",VLOOKUP(ADDRESS(48,22),$BB$30:$BC$430,2,FALSE))</f>
        <v/>
      </c>
      <c r="W48" s="18" t="str">
        <f ca="1">IF(ISNONTEXT(VLOOKUP(ADDRESS(48,23),$BB$30:$BC$430,1,FALSE)),"",VLOOKUP(ADDRESS(48,23),$BB$30:$BC$430,2,FALSE))</f>
        <v/>
      </c>
      <c r="X48" s="18" t="str">
        <f ca="1">IF(ISNONTEXT(VLOOKUP(ADDRESS(48,24),$BB$30:$BC$430,1,FALSE)),"",VLOOKUP(ADDRESS(48,24),$BB$30:$BC$430,2,FALSE))</f>
        <v/>
      </c>
      <c r="Y48" s="18" t="str">
        <f ca="1">IF(ISNONTEXT(VLOOKUP(ADDRESS(48,25),$BB$30:$BC$430,1,FALSE)),"",VLOOKUP(ADDRESS(48,25),$BB$30:$BC$430,2,FALSE))</f>
        <v/>
      </c>
      <c r="Z48" s="18" t="str">
        <f ca="1">IF(ISNONTEXT(VLOOKUP(ADDRESS(48,26),$BB$30:$BC$430,1,FALSE)),"",VLOOKUP(ADDRESS(48,26),$BB$30:$BC$430,2,FALSE))</f>
        <v/>
      </c>
      <c r="AA48" s="18" t="str">
        <f ca="1">IF(ISNONTEXT(VLOOKUP(ADDRESS(48,27),$BB$30:$BC$430,1,FALSE)),"",VLOOKUP(ADDRESS(48,27),$BB$30:$BC$430,2,FALSE))</f>
        <v/>
      </c>
      <c r="AB48" s="18" t="str">
        <f ca="1">IF(ISNONTEXT(VLOOKUP(ADDRESS(48,28),$BB$30:$BC$430,1,FALSE)),"",VLOOKUP(ADDRESS(48,28),$BB$30:$BC$430,2,FALSE))</f>
        <v/>
      </c>
      <c r="AC48" s="18" t="str">
        <f ca="1">IF(ISNONTEXT(VLOOKUP(ADDRESS(48,29),$BB$30:$BC$430,1,FALSE)),"",VLOOKUP(ADDRESS(48,29),$BB$30:$BC$430,2,FALSE))</f>
        <v/>
      </c>
      <c r="AD48" s="18" t="str">
        <f ca="1">IF(ISNONTEXT(VLOOKUP(ADDRESS(48,30),$BB$30:$BC$430,1,FALSE)),"",VLOOKUP(ADDRESS(48,30),$BB$30:$BC$430,2,FALSE))</f>
        <v/>
      </c>
      <c r="AE48" s="18" t="str">
        <f ca="1">IF(ISNONTEXT(VLOOKUP(ADDRESS(48,31),$BB$30:$BC$430,1,FALSE)),"",VLOOKUP(ADDRESS(48,31),$BB$30:$BC$430,2,FALSE))</f>
        <v/>
      </c>
      <c r="AF48" s="18" t="str">
        <f ca="1">IF(ISNONTEXT(VLOOKUP(ADDRESS(48,32),$BB$30:$BC$430,1,FALSE)),"",VLOOKUP(ADDRESS(48,32),$BB$30:$BC$430,2,FALSE))</f>
        <v/>
      </c>
      <c r="AG48" s="18" t="str">
        <f ca="1">IF(ISNONTEXT(VLOOKUP(ADDRESS(48,33),$BB$30:$BC$430,1,FALSE)),"",VLOOKUP(ADDRESS(48,33),$BB$30:$BC$430,2,FALSE))</f>
        <v/>
      </c>
      <c r="AH48" s="18" t="str">
        <f ca="1">IF(ISNONTEXT(VLOOKUP(ADDRESS(48,34),$BB$30:$BC$430,1,FALSE)),"",VLOOKUP(ADDRESS(48,34),$BB$30:$BC$430,2,FALSE))</f>
        <v/>
      </c>
      <c r="AI48" s="18" t="str">
        <f ca="1">IF(ISNONTEXT(VLOOKUP(ADDRESS(48,35),$BB$30:$BC$430,1,FALSE)),"",VLOOKUP(ADDRESS(48,35),$BB$30:$BC$430,2,FALSE))</f>
        <v/>
      </c>
      <c r="AJ48" s="18" t="str">
        <f ca="1">IF(ISNONTEXT(VLOOKUP(ADDRESS(48,36),$BB$30:$BC$430,1,FALSE)),"",VLOOKUP(ADDRESS(48,36),$BB$30:$BC$430,2,FALSE))</f>
        <v/>
      </c>
      <c r="AK48" s="18" t="str">
        <f ca="1">IF(ISNONTEXT(VLOOKUP(ADDRESS(48,37),$BB$30:$BC$430,1,FALSE)),"",VLOOKUP(ADDRESS(48,37),$BB$30:$BC$430,2,FALSE))</f>
        <v/>
      </c>
      <c r="AL48" s="18" t="str">
        <f ca="1">IF(ISNONTEXT(VLOOKUP(ADDRESS(48,38),$BB$30:$BC$430,1,FALSE)),"",VLOOKUP(ADDRESS(48,38),$BB$30:$BC$430,2,FALSE))</f>
        <v/>
      </c>
      <c r="AM48" s="18" t="str">
        <f ca="1">IF(ISNONTEXT(VLOOKUP(ADDRESS(48,39),$BB$30:$BC$430,1,FALSE)),"",VLOOKUP(ADDRESS(48,39),$BB$30:$BC$430,2,FALSE))</f>
        <v/>
      </c>
      <c r="AN48" s="18" t="str">
        <f ca="1">IF(ISNONTEXT(VLOOKUP(ADDRESS(48,40),$BB$30:$BC$430,1,FALSE)),"",VLOOKUP(ADDRESS(48,40),$BB$30:$BC$430,2,FALSE))</f>
        <v/>
      </c>
      <c r="AO48" s="18" t="str">
        <f ca="1">IF($C48&lt;&gt;"","X","")</f>
        <v/>
      </c>
      <c r="AP48" s="33"/>
      <c r="AQ48" s="33"/>
      <c r="AR48" s="33"/>
      <c r="AS48" s="33"/>
      <c r="AT48" s="33"/>
      <c r="AU48" s="34"/>
      <c r="AV48" s="30"/>
      <c r="AW48" s="32"/>
      <c r="AY48"/>
      <c r="AZ48">
        <v>2</v>
      </c>
      <c r="BA48" s="16" t="s">
        <v>132</v>
      </c>
      <c r="BB48" t="str">
        <f ca="1">IF($BC$25&lt;&gt;"",ADDRESS($BC$26+10,$BC$25+3),"")</f>
        <v/>
      </c>
      <c r="BC48" t="str">
        <f ca="1">IF(BB48&lt;&gt;"","2•8","")</f>
        <v/>
      </c>
      <c r="BD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row>
    <row r="49" spans="1:123" ht="12" customHeight="1">
      <c r="A49" s="16">
        <v>39</v>
      </c>
      <c r="B49" s="16">
        <f>DrawFinder!Y49</f>
        <v>0</v>
      </c>
      <c r="C49" s="16" t="str">
        <f ca="1">CS!AR49</f>
        <v/>
      </c>
      <c r="D49" s="18" t="str">
        <f ca="1">IF(ISNONTEXT(VLOOKUP(ADDRESS(49,4),$BB$30:$BC$430,1,FALSE)),"",VLOOKUP(ADDRESS(49,4),$BB$30:$BC$430,2,FALSE))</f>
        <v/>
      </c>
      <c r="E49" s="18" t="str">
        <f ca="1">IF(ISNONTEXT(VLOOKUP(ADDRESS(49,5),$BB$30:$BC$430,1,FALSE)),"",VLOOKUP(ADDRESS(49,5),$BB$30:$BC$430,2,FALSE))</f>
        <v/>
      </c>
      <c r="F49" s="18" t="str">
        <f ca="1">IF(ISNONTEXT(VLOOKUP(ADDRESS(49,6),$BB$30:$BC$430,1,FALSE)),"",VLOOKUP(ADDRESS(49,6),$BB$30:$BC$430,2,FALSE))</f>
        <v/>
      </c>
      <c r="G49" s="18" t="str">
        <f ca="1">IF(ISNONTEXT(VLOOKUP(ADDRESS(49,7),$BB$30:$BC$430,1,FALSE)),"",VLOOKUP(ADDRESS(49,7),$BB$30:$BC$430,2,FALSE))</f>
        <v/>
      </c>
      <c r="H49" s="18" t="str">
        <f ca="1">IF(ISNONTEXT(VLOOKUP(ADDRESS(49,8),$BB$30:$BC$430,1,FALSE)),"",VLOOKUP(ADDRESS(49,8),$BB$30:$BC$430,2,FALSE))</f>
        <v/>
      </c>
      <c r="I49" s="18" t="str">
        <f ca="1">IF(ISNONTEXT(VLOOKUP(ADDRESS(49,9),$BB$30:$BC$430,1,FALSE)),"",VLOOKUP(ADDRESS(49,9),$BB$30:$BC$430,2,FALSE))</f>
        <v/>
      </c>
      <c r="J49" s="18" t="str">
        <f ca="1">IF(ISNONTEXT(VLOOKUP(ADDRESS(49,10),$BB$30:$BC$430,1,FALSE)),"",VLOOKUP(ADDRESS(49,10),$BB$30:$BC$430,2,FALSE))</f>
        <v/>
      </c>
      <c r="K49" s="18" t="str">
        <f ca="1">IF(ISNONTEXT(VLOOKUP(ADDRESS(49,11),$BB$30:$BC$430,1,FALSE)),"",VLOOKUP(ADDRESS(49,11),$BB$30:$BC$430,2,FALSE))</f>
        <v/>
      </c>
      <c r="L49" s="18" t="str">
        <f ca="1">IF(ISNONTEXT(VLOOKUP(ADDRESS(49,12),$BB$30:$BC$430,1,FALSE)),"",VLOOKUP(ADDRESS(49,12),$BB$30:$BC$430,2,FALSE))</f>
        <v/>
      </c>
      <c r="M49" s="18" t="str">
        <f ca="1">IF(ISNONTEXT(VLOOKUP(ADDRESS(49,13),$BB$30:$BC$430,1,FALSE)),"",VLOOKUP(ADDRESS(49,13),$BB$30:$BC$430,2,FALSE))</f>
        <v/>
      </c>
      <c r="N49" s="18" t="str">
        <f ca="1">IF(ISNONTEXT(VLOOKUP(ADDRESS(49,14),$BB$30:$BC$430,1,FALSE)),"",VLOOKUP(ADDRESS(49,14),$BB$30:$BC$430,2,FALSE))</f>
        <v/>
      </c>
      <c r="O49" s="18" t="str">
        <f ca="1">IF(ISNONTEXT(VLOOKUP(ADDRESS(49,15),$BB$30:$BC$430,1,FALSE)),"",VLOOKUP(ADDRESS(49,15),$BB$30:$BC$430,2,FALSE))</f>
        <v/>
      </c>
      <c r="P49" s="18" t="str">
        <f ca="1">IF(ISNONTEXT(VLOOKUP(ADDRESS(49,16),$BB$30:$BC$430,1,FALSE)),"",VLOOKUP(ADDRESS(49,16),$BB$30:$BC$430,2,FALSE))</f>
        <v/>
      </c>
      <c r="Q49" s="18" t="str">
        <f ca="1">IF(ISNONTEXT(VLOOKUP(ADDRESS(49,17),$BB$30:$BC$430,1,FALSE)),"",VLOOKUP(ADDRESS(49,17),$BB$30:$BC$430,2,FALSE))</f>
        <v/>
      </c>
      <c r="R49" s="18" t="str">
        <f ca="1">IF(ISNONTEXT(VLOOKUP(ADDRESS(49,18),$BB$30:$BC$430,1,FALSE)),"",VLOOKUP(ADDRESS(49,18),$BB$30:$BC$430,2,FALSE))</f>
        <v/>
      </c>
      <c r="S49" s="18" t="str">
        <f ca="1">IF(ISNONTEXT(VLOOKUP(ADDRESS(49,19),$BB$30:$BC$430,1,FALSE)),"",VLOOKUP(ADDRESS(49,19),$BB$30:$BC$430,2,FALSE))</f>
        <v/>
      </c>
      <c r="T49" s="18" t="str">
        <f ca="1">IF(ISNONTEXT(VLOOKUP(ADDRESS(49,20),$BB$30:$BC$430,1,FALSE)),"",VLOOKUP(ADDRESS(49,20),$BB$30:$BC$430,2,FALSE))</f>
        <v/>
      </c>
      <c r="U49" s="18" t="str">
        <f ca="1">IF(ISNONTEXT(VLOOKUP(ADDRESS(49,21),$BB$30:$BC$430,1,FALSE)),"",VLOOKUP(ADDRESS(49,21),$BB$30:$BC$430,2,FALSE))</f>
        <v/>
      </c>
      <c r="V49" s="18" t="str">
        <f ca="1">IF(ISNONTEXT(VLOOKUP(ADDRESS(49,22),$BB$30:$BC$430,1,FALSE)),"",VLOOKUP(ADDRESS(49,22),$BB$30:$BC$430,2,FALSE))</f>
        <v/>
      </c>
      <c r="W49" s="18" t="str">
        <f ca="1">IF(ISNONTEXT(VLOOKUP(ADDRESS(49,23),$BB$30:$BC$430,1,FALSE)),"",VLOOKUP(ADDRESS(49,23),$BB$30:$BC$430,2,FALSE))</f>
        <v/>
      </c>
      <c r="X49" s="18" t="str">
        <f ca="1">IF(ISNONTEXT(VLOOKUP(ADDRESS(49,24),$BB$30:$BC$430,1,FALSE)),"",VLOOKUP(ADDRESS(49,24),$BB$30:$BC$430,2,FALSE))</f>
        <v/>
      </c>
      <c r="Y49" s="18" t="str">
        <f ca="1">IF(ISNONTEXT(VLOOKUP(ADDRESS(49,25),$BB$30:$BC$430,1,FALSE)),"",VLOOKUP(ADDRESS(49,25),$BB$30:$BC$430,2,FALSE))</f>
        <v/>
      </c>
      <c r="Z49" s="18" t="str">
        <f ca="1">IF(ISNONTEXT(VLOOKUP(ADDRESS(49,26),$BB$30:$BC$430,1,FALSE)),"",VLOOKUP(ADDRESS(49,26),$BB$30:$BC$430,2,FALSE))</f>
        <v/>
      </c>
      <c r="AA49" s="18" t="str">
        <f ca="1">IF(ISNONTEXT(VLOOKUP(ADDRESS(49,27),$BB$30:$BC$430,1,FALSE)),"",VLOOKUP(ADDRESS(49,27),$BB$30:$BC$430,2,FALSE))</f>
        <v/>
      </c>
      <c r="AB49" s="18" t="str">
        <f ca="1">IF(ISNONTEXT(VLOOKUP(ADDRESS(49,28),$BB$30:$BC$430,1,FALSE)),"",VLOOKUP(ADDRESS(49,28),$BB$30:$BC$430,2,FALSE))</f>
        <v/>
      </c>
      <c r="AC49" s="18" t="str">
        <f ca="1">IF(ISNONTEXT(VLOOKUP(ADDRESS(49,29),$BB$30:$BC$430,1,FALSE)),"",VLOOKUP(ADDRESS(49,29),$BB$30:$BC$430,2,FALSE))</f>
        <v/>
      </c>
      <c r="AD49" s="18" t="str">
        <f ca="1">IF(ISNONTEXT(VLOOKUP(ADDRESS(49,30),$BB$30:$BC$430,1,FALSE)),"",VLOOKUP(ADDRESS(49,30),$BB$30:$BC$430,2,FALSE))</f>
        <v/>
      </c>
      <c r="AE49" s="18" t="str">
        <f ca="1">IF(ISNONTEXT(VLOOKUP(ADDRESS(49,31),$BB$30:$BC$430,1,FALSE)),"",VLOOKUP(ADDRESS(49,31),$BB$30:$BC$430,2,FALSE))</f>
        <v/>
      </c>
      <c r="AF49" s="18" t="str">
        <f ca="1">IF(ISNONTEXT(VLOOKUP(ADDRESS(49,32),$BB$30:$BC$430,1,FALSE)),"",VLOOKUP(ADDRESS(49,32),$BB$30:$BC$430,2,FALSE))</f>
        <v/>
      </c>
      <c r="AG49" s="18" t="str">
        <f ca="1">IF(ISNONTEXT(VLOOKUP(ADDRESS(49,33),$BB$30:$BC$430,1,FALSE)),"",VLOOKUP(ADDRESS(49,33),$BB$30:$BC$430,2,FALSE))</f>
        <v/>
      </c>
      <c r="AH49" s="18" t="str">
        <f ca="1">IF(ISNONTEXT(VLOOKUP(ADDRESS(49,34),$BB$30:$BC$430,1,FALSE)),"",VLOOKUP(ADDRESS(49,34),$BB$30:$BC$430,2,FALSE))</f>
        <v/>
      </c>
      <c r="AI49" s="18" t="str">
        <f ca="1">IF(ISNONTEXT(VLOOKUP(ADDRESS(49,35),$BB$30:$BC$430,1,FALSE)),"",VLOOKUP(ADDRESS(49,35),$BB$30:$BC$430,2,FALSE))</f>
        <v/>
      </c>
      <c r="AJ49" s="18" t="str">
        <f ca="1">IF(ISNONTEXT(VLOOKUP(ADDRESS(49,36),$BB$30:$BC$430,1,FALSE)),"",VLOOKUP(ADDRESS(49,36),$BB$30:$BC$430,2,FALSE))</f>
        <v/>
      </c>
      <c r="AK49" s="18" t="str">
        <f ca="1">IF(ISNONTEXT(VLOOKUP(ADDRESS(49,37),$BB$30:$BC$430,1,FALSE)),"",VLOOKUP(ADDRESS(49,37),$BB$30:$BC$430,2,FALSE))</f>
        <v/>
      </c>
      <c r="AL49" s="18" t="str">
        <f ca="1">IF(ISNONTEXT(VLOOKUP(ADDRESS(49,38),$BB$30:$BC$430,1,FALSE)),"",VLOOKUP(ADDRESS(49,38),$BB$30:$BC$430,2,FALSE))</f>
        <v/>
      </c>
      <c r="AM49" s="18" t="str">
        <f ca="1">IF(ISNONTEXT(VLOOKUP(ADDRESS(49,39),$BB$30:$BC$430,1,FALSE)),"",VLOOKUP(ADDRESS(49,39),$BB$30:$BC$430,2,FALSE))</f>
        <v/>
      </c>
      <c r="AN49" s="18" t="str">
        <f ca="1">IF(ISNONTEXT(VLOOKUP(ADDRESS(49,40),$BB$30:$BC$430,1,FALSE)),"",VLOOKUP(ADDRESS(49,40),$BB$30:$BC$430,2,FALSE))</f>
        <v/>
      </c>
      <c r="AO49" s="18" t="str">
        <f ca="1">IF(ISNONTEXT(VLOOKUP(ADDRESS(49,41),$BB$30:$BC$430,1,FALSE)),"",VLOOKUP(ADDRESS(49,41),$BB$30:$BC$430,2,FALSE))</f>
        <v/>
      </c>
      <c r="AP49" s="18" t="str">
        <f ca="1">IF($C49&lt;&gt;"","X","")</f>
        <v/>
      </c>
      <c r="AQ49" s="33"/>
      <c r="AR49" s="33"/>
      <c r="AS49" s="33"/>
      <c r="AT49" s="33"/>
      <c r="AU49" s="34"/>
      <c r="AV49" s="30"/>
      <c r="AW49" s="32"/>
      <c r="AY49"/>
      <c r="AZ49">
        <v>2</v>
      </c>
      <c r="BA49" s="16" t="s">
        <v>133</v>
      </c>
      <c r="BB49" t="str">
        <f ca="1">IF($BC$27&lt;&gt;"",ADDRESS($BC$28+10,$BC$27+3),"")</f>
        <v/>
      </c>
      <c r="BC49" t="str">
        <f ca="1">IF(BB49&lt;&gt;"","2•9","")</f>
        <v/>
      </c>
      <c r="BD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row>
    <row r="50" spans="1:123" ht="12" customHeight="1">
      <c r="A50" s="16">
        <v>40</v>
      </c>
      <c r="B50" s="16">
        <f>DrawFinder!Y50</f>
        <v>0</v>
      </c>
      <c r="C50" s="16" t="str">
        <f ca="1">CS!AR50</f>
        <v/>
      </c>
      <c r="D50" s="18" t="str">
        <f ca="1">IF(ISNONTEXT(VLOOKUP(ADDRESS(50,4),$BB$30:$BC$430,1,FALSE)),"",VLOOKUP(ADDRESS(5,4),$BB$30:$BC$430,2,FALSE))</f>
        <v/>
      </c>
      <c r="E50" s="18" t="str">
        <f ca="1">IF(ISNONTEXT(VLOOKUP(ADDRESS(50,5),$BB$30:$BC$430,1,FALSE)),"",VLOOKUP(ADDRESS(5,5),$BB$30:$BC$430,2,FALSE))</f>
        <v/>
      </c>
      <c r="F50" s="18" t="str">
        <f ca="1">IF(ISNONTEXT(VLOOKUP(ADDRESS(50,6),$BB$30:$BC$430,1,FALSE)),"",VLOOKUP(ADDRESS(5,6),$BB$30:$BC$430,2,FALSE))</f>
        <v/>
      </c>
      <c r="G50" s="18" t="str">
        <f ca="1">IF(ISNONTEXT(VLOOKUP(ADDRESS(50,7),$BB$30:$BC$430,1,FALSE)),"",VLOOKUP(ADDRESS(5,7),$BB$30:$BC$430,2,FALSE))</f>
        <v/>
      </c>
      <c r="H50" s="18" t="str">
        <f ca="1">IF(ISNONTEXT(VLOOKUP(ADDRESS(50,8),$BB$30:$BC$430,1,FALSE)),"",VLOOKUP(ADDRESS(5,8),$BB$30:$BC$430,2,FALSE))</f>
        <v/>
      </c>
      <c r="I50" s="18" t="str">
        <f ca="1">IF(ISNONTEXT(VLOOKUP(ADDRESS(50,9),$BB$30:$BC$430,1,FALSE)),"",VLOOKUP(ADDRESS(5,9),$BB$30:$BC$430,2,FALSE))</f>
        <v/>
      </c>
      <c r="J50" s="18" t="str">
        <f ca="1">IF(ISNONTEXT(VLOOKUP(ADDRESS(50,10),$BB$30:$BC$430,1,FALSE)),"",VLOOKUP(ADDRESS(5,10),$BB$30:$BC$430,2,FALSE))</f>
        <v/>
      </c>
      <c r="K50" s="18" t="str">
        <f ca="1">IF(ISNONTEXT(VLOOKUP(ADDRESS(50,11),$BB$30:$BC$430,1,FALSE)),"",VLOOKUP(ADDRESS(5,11),$BB$30:$BC$430,2,FALSE))</f>
        <v/>
      </c>
      <c r="L50" s="18" t="str">
        <f ca="1">IF(ISNONTEXT(VLOOKUP(ADDRESS(50,12),$BB$30:$BC$430,1,FALSE)),"",VLOOKUP(ADDRESS(5,12),$BB$30:$BC$430,2,FALSE))</f>
        <v/>
      </c>
      <c r="M50" s="18" t="str">
        <f ca="1">IF(ISNONTEXT(VLOOKUP(ADDRESS(50,13),$BB$30:$BC$430,1,FALSE)),"",VLOOKUP(ADDRESS(5,13),$BB$30:$BC$430,2,FALSE))</f>
        <v/>
      </c>
      <c r="N50" s="18" t="str">
        <f ca="1">IF(ISNONTEXT(VLOOKUP(ADDRESS(50,14),$BB$30:$BC$430,1,FALSE)),"",VLOOKUP(ADDRESS(5,14),$BB$30:$BC$430,2,FALSE))</f>
        <v/>
      </c>
      <c r="O50" s="18" t="str">
        <f ca="1">IF(ISNONTEXT(VLOOKUP(ADDRESS(50,15),$BB$30:$BC$430,1,FALSE)),"",VLOOKUP(ADDRESS(5,15),$BB$30:$BC$430,2,FALSE))</f>
        <v/>
      </c>
      <c r="P50" s="18" t="str">
        <f ca="1">IF(ISNONTEXT(VLOOKUP(ADDRESS(50,16),$BB$30:$BC$430,1,FALSE)),"",VLOOKUP(ADDRESS(5,16),$BB$30:$BC$430,2,FALSE))</f>
        <v/>
      </c>
      <c r="Q50" s="18" t="str">
        <f ca="1">IF(ISNONTEXT(VLOOKUP(ADDRESS(50,17),$BB$30:$BC$430,1,FALSE)),"",VLOOKUP(ADDRESS(5,17),$BB$30:$BC$430,2,FALSE))</f>
        <v/>
      </c>
      <c r="R50" s="18" t="str">
        <f ca="1">IF(ISNONTEXT(VLOOKUP(ADDRESS(50,18),$BB$30:$BC$430,1,FALSE)),"",VLOOKUP(ADDRESS(5,18),$BB$30:$BC$430,2,FALSE))</f>
        <v/>
      </c>
      <c r="S50" s="18" t="str">
        <f ca="1">IF(ISNONTEXT(VLOOKUP(ADDRESS(50,19),$BB$30:$BC$430,1,FALSE)),"",VLOOKUP(ADDRESS(5,19),$BB$30:$BC$430,2,FALSE))</f>
        <v/>
      </c>
      <c r="T50" s="18" t="str">
        <f ca="1">IF(ISNONTEXT(VLOOKUP(ADDRESS(50,20),$BB$30:$BC$430,1,FALSE)),"",VLOOKUP(ADDRESS(5,20),$BB$30:$BC$430,2,FALSE))</f>
        <v/>
      </c>
      <c r="U50" s="18" t="str">
        <f ca="1">IF(ISNONTEXT(VLOOKUP(ADDRESS(50,21),$BB$30:$BC$430,1,FALSE)),"",VLOOKUP(ADDRESS(5,21),$BB$30:$BC$430,2,FALSE))</f>
        <v/>
      </c>
      <c r="V50" s="18" t="str">
        <f ca="1">IF(ISNONTEXT(VLOOKUP(ADDRESS(50,22),$BB$30:$BC$430,1,FALSE)),"",VLOOKUP(ADDRESS(5,22),$BB$30:$BC$430,2,FALSE))</f>
        <v/>
      </c>
      <c r="W50" s="18" t="str">
        <f ca="1">IF(ISNONTEXT(VLOOKUP(ADDRESS(50,23),$BB$30:$BC$430,1,FALSE)),"",VLOOKUP(ADDRESS(5,23),$BB$30:$BC$430,2,FALSE))</f>
        <v/>
      </c>
      <c r="X50" s="18" t="str">
        <f ca="1">IF(ISNONTEXT(VLOOKUP(ADDRESS(50,24),$BB$30:$BC$430,1,FALSE)),"",VLOOKUP(ADDRESS(5,24),$BB$30:$BC$430,2,FALSE))</f>
        <v/>
      </c>
      <c r="Y50" s="18" t="str">
        <f ca="1">IF(ISNONTEXT(VLOOKUP(ADDRESS(50,25),$BB$30:$BC$430,1,FALSE)),"",VLOOKUP(ADDRESS(5,25),$BB$30:$BC$430,2,FALSE))</f>
        <v/>
      </c>
      <c r="Z50" s="18" t="str">
        <f ca="1">IF(ISNONTEXT(VLOOKUP(ADDRESS(50,26),$BB$30:$BC$430,1,FALSE)),"",VLOOKUP(ADDRESS(5,26),$BB$30:$BC$430,2,FALSE))</f>
        <v/>
      </c>
      <c r="AA50" s="18" t="str">
        <f ca="1">IF(ISNONTEXT(VLOOKUP(ADDRESS(50,27),$BB$30:$BC$430,1,FALSE)),"",VLOOKUP(ADDRESS(5,27),$BB$30:$BC$430,2,FALSE))</f>
        <v/>
      </c>
      <c r="AB50" s="18" t="str">
        <f ca="1">IF(ISNONTEXT(VLOOKUP(ADDRESS(50,28),$BB$30:$BC$430,1,FALSE)),"",VLOOKUP(ADDRESS(5,28),$BB$30:$BC$430,2,FALSE))</f>
        <v/>
      </c>
      <c r="AC50" s="18" t="str">
        <f ca="1">IF(ISNONTEXT(VLOOKUP(ADDRESS(50,29),$BB$30:$BC$430,1,FALSE)),"",VLOOKUP(ADDRESS(5,29),$BB$30:$BC$430,2,FALSE))</f>
        <v/>
      </c>
      <c r="AD50" s="18" t="str">
        <f ca="1">IF(ISNONTEXT(VLOOKUP(ADDRESS(50,30),$BB$30:$BC$430,1,FALSE)),"",VLOOKUP(ADDRESS(5,30),$BB$30:$BC$430,2,FALSE))</f>
        <v/>
      </c>
      <c r="AE50" s="18" t="str">
        <f ca="1">IF(ISNONTEXT(VLOOKUP(ADDRESS(50,31),$BB$30:$BC$430,1,FALSE)),"",VLOOKUP(ADDRESS(5,31),$BB$30:$BC$430,2,FALSE))</f>
        <v/>
      </c>
      <c r="AF50" s="18" t="str">
        <f ca="1">IF(ISNONTEXT(VLOOKUP(ADDRESS(50,32),$BB$30:$BC$430,1,FALSE)),"",VLOOKUP(ADDRESS(5,32),$BB$30:$BC$430,2,FALSE))</f>
        <v/>
      </c>
      <c r="AG50" s="18" t="str">
        <f ca="1">IF(ISNONTEXT(VLOOKUP(ADDRESS(50,33),$BB$30:$BC$430,1,FALSE)),"",VLOOKUP(ADDRESS(5,33),$BB$30:$BC$430,2,FALSE))</f>
        <v/>
      </c>
      <c r="AH50" s="18" t="str">
        <f ca="1">IF(ISNONTEXT(VLOOKUP(ADDRESS(50,34),$BB$30:$BC$430,1,FALSE)),"",VLOOKUP(ADDRESS(5,34),$BB$30:$BC$430,2,FALSE))</f>
        <v/>
      </c>
      <c r="AI50" s="18" t="str">
        <f ca="1">IF(ISNONTEXT(VLOOKUP(ADDRESS(50,35),$BB$30:$BC$430,1,FALSE)),"",VLOOKUP(ADDRESS(5,35),$BB$30:$BC$430,2,FALSE))</f>
        <v/>
      </c>
      <c r="AJ50" s="18" t="str">
        <f ca="1">IF(ISNONTEXT(VLOOKUP(ADDRESS(50,36),$BB$30:$BC$430,1,FALSE)),"",VLOOKUP(ADDRESS(5,36),$BB$30:$BC$430,2,FALSE))</f>
        <v/>
      </c>
      <c r="AK50" s="18" t="str">
        <f ca="1">IF(ISNONTEXT(VLOOKUP(ADDRESS(50,37),$BB$30:$BC$430,1,FALSE)),"",VLOOKUP(ADDRESS(5,37),$BB$30:$BC$430,2,FALSE))</f>
        <v/>
      </c>
      <c r="AL50" s="18" t="str">
        <f ca="1">IF(ISNONTEXT(VLOOKUP(ADDRESS(50,38),$BB$30:$BC$430,1,FALSE)),"",VLOOKUP(ADDRESS(5,38),$BB$30:$BC$430,2,FALSE))</f>
        <v/>
      </c>
      <c r="AM50" s="18" t="str">
        <f ca="1">IF(ISNONTEXT(VLOOKUP(ADDRESS(50,39),$BB$30:$BC$430,1,FALSE)),"",VLOOKUP(ADDRESS(5,39),$BB$30:$BC$430,2,FALSE))</f>
        <v/>
      </c>
      <c r="AN50" s="18" t="str">
        <f ca="1">IF(ISNONTEXT(VLOOKUP(ADDRESS(50,40),$BB$30:$BC$430,1,FALSE)),"",VLOOKUP(ADDRESS(5,40),$BB$30:$BC$430,2,FALSE))</f>
        <v/>
      </c>
      <c r="AO50" s="18" t="str">
        <f ca="1">IF(ISNONTEXT(VLOOKUP(ADDRESS(50,41),$BB$30:$BC$430,1,FALSE)),"",VLOOKUP(ADDRESS(5,41),$BB$30:$BC$430,2,FALSE))</f>
        <v/>
      </c>
      <c r="AP50" s="18" t="str">
        <f ca="1">IF(ISNONTEXT(VLOOKUP(ADDRESS(50,42),$BB$30:$BC$430,1,FALSE)),"",VLOOKUP(ADDRESS(5,42),$BB$30:$BC$430,2,FALSE))</f>
        <v/>
      </c>
      <c r="AQ50" s="18" t="str">
        <f ca="1">IF($C50&lt;&gt;"","X","")</f>
        <v/>
      </c>
      <c r="AR50" s="33"/>
      <c r="AS50" s="33"/>
      <c r="AT50" s="33"/>
      <c r="AU50" s="34"/>
      <c r="AV50" s="30"/>
      <c r="AW50" s="32"/>
      <c r="AY50"/>
      <c r="AZ50">
        <v>2</v>
      </c>
      <c r="BA50" s="16" t="s">
        <v>134</v>
      </c>
      <c r="BB50" t="str">
        <f ca="1">IF($BC$29&lt;&gt;"",ADDRESS($BC$30+10,$BC$29+3),"")</f>
        <v/>
      </c>
      <c r="BC50" t="str">
        <f ca="1">IF(BB50&lt;&gt;"","2•10","")</f>
        <v/>
      </c>
      <c r="BD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row>
    <row r="51" spans="1:123" ht="12" customHeight="1">
      <c r="A51" s="16">
        <v>41</v>
      </c>
      <c r="B51" s="16">
        <f>DrawFinder!Y51</f>
        <v>0</v>
      </c>
      <c r="C51" s="16" t="str">
        <f ca="1">CS!AR51</f>
        <v/>
      </c>
      <c r="D51" s="18" t="str">
        <f ca="1">IF(ISNONTEXT(VLOOKUP(ADDRESS(51,4),$BB$30:$BC$430,1,FALSE)),"",VLOOKUP(ADDRESS(51,4),$BB$30:$BC$430,2,FALSE))</f>
        <v/>
      </c>
      <c r="E51" s="18" t="str">
        <f ca="1">IF(ISNONTEXT(VLOOKUP(ADDRESS(51,5),$BB$30:$BC$430,1,FALSE)),"",VLOOKUP(ADDRESS(51,5),$BB$30:$BC$430,2,FALSE))</f>
        <v/>
      </c>
      <c r="F51" s="18" t="str">
        <f ca="1">IF(ISNONTEXT(VLOOKUP(ADDRESS(51,6),$BB$30:$BC$430,1,FALSE)),"",VLOOKUP(ADDRESS(51,6),$BB$30:$BC$430,2,FALSE))</f>
        <v/>
      </c>
      <c r="G51" s="18" t="str">
        <f ca="1">IF(ISNONTEXT(VLOOKUP(ADDRESS(51,7),$BB$30:$BC$430,1,FALSE)),"",VLOOKUP(ADDRESS(51,7),$BB$30:$BC$430,2,FALSE))</f>
        <v/>
      </c>
      <c r="H51" s="18" t="str">
        <f ca="1">IF(ISNONTEXT(VLOOKUP(ADDRESS(51,8),$BB$30:$BC$430,1,FALSE)),"",VLOOKUP(ADDRESS(51,8),$BB$30:$BC$430,2,FALSE))</f>
        <v/>
      </c>
      <c r="I51" s="18" t="str">
        <f ca="1">IF(ISNONTEXT(VLOOKUP(ADDRESS(51,9),$BB$30:$BC$430,1,FALSE)),"",VLOOKUP(ADDRESS(51,9),$BB$30:$BC$430,2,FALSE))</f>
        <v/>
      </c>
      <c r="J51" s="18" t="str">
        <f ca="1">IF(ISNONTEXT(VLOOKUP(ADDRESS(51,10),$BB$30:$BC$430,1,FALSE)),"",VLOOKUP(ADDRESS(51,10),$BB$30:$BC$430,2,FALSE))</f>
        <v/>
      </c>
      <c r="K51" s="18" t="str">
        <f ca="1">IF(ISNONTEXT(VLOOKUP(ADDRESS(51,11),$BB$30:$BC$430,1,FALSE)),"",VLOOKUP(ADDRESS(51,11),$BB$30:$BC$430,2,FALSE))</f>
        <v/>
      </c>
      <c r="L51" s="18" t="str">
        <f ca="1">IF(ISNONTEXT(VLOOKUP(ADDRESS(51,12),$BB$30:$BC$430,1,FALSE)),"",VLOOKUP(ADDRESS(51,12),$BB$30:$BC$430,2,FALSE))</f>
        <v/>
      </c>
      <c r="M51" s="18" t="str">
        <f ca="1">IF(ISNONTEXT(VLOOKUP(ADDRESS(51,13),$BB$30:$BC$430,1,FALSE)),"",VLOOKUP(ADDRESS(51,13),$BB$30:$BC$430,2,FALSE))</f>
        <v/>
      </c>
      <c r="N51" s="18" t="str">
        <f ca="1">IF(ISNONTEXT(VLOOKUP(ADDRESS(51,14),$BB$30:$BC$430,1,FALSE)),"",VLOOKUP(ADDRESS(51,14),$BB$30:$BC$430,2,FALSE))</f>
        <v/>
      </c>
      <c r="O51" s="18" t="str">
        <f ca="1">IF(ISNONTEXT(VLOOKUP(ADDRESS(51,15),$BB$30:$BC$430,1,FALSE)),"",VLOOKUP(ADDRESS(51,15),$BB$30:$BC$430,2,FALSE))</f>
        <v/>
      </c>
      <c r="P51" s="18" t="str">
        <f ca="1">IF(ISNONTEXT(VLOOKUP(ADDRESS(51,16),$BB$30:$BC$430,1,FALSE)),"",VLOOKUP(ADDRESS(51,16),$BB$30:$BC$430,2,FALSE))</f>
        <v/>
      </c>
      <c r="Q51" s="18" t="str">
        <f ca="1">IF(ISNONTEXT(VLOOKUP(ADDRESS(51,17),$BB$30:$BC$430,1,FALSE)),"",VLOOKUP(ADDRESS(51,17),$BB$30:$BC$430,2,FALSE))</f>
        <v/>
      </c>
      <c r="R51" s="18" t="str">
        <f ca="1">IF(ISNONTEXT(VLOOKUP(ADDRESS(51,18),$BB$30:$BC$430,1,FALSE)),"",VLOOKUP(ADDRESS(51,18),$BB$30:$BC$430,2,FALSE))</f>
        <v/>
      </c>
      <c r="S51" s="18" t="str">
        <f ca="1">IF(ISNONTEXT(VLOOKUP(ADDRESS(51,19),$BB$30:$BC$430,1,FALSE)),"",VLOOKUP(ADDRESS(51,19),$BB$30:$BC$430,2,FALSE))</f>
        <v/>
      </c>
      <c r="T51" s="18" t="str">
        <f ca="1">IF(ISNONTEXT(VLOOKUP(ADDRESS(51,20),$BB$30:$BC$430,1,FALSE)),"",VLOOKUP(ADDRESS(51,20),$BB$30:$BC$430,2,FALSE))</f>
        <v/>
      </c>
      <c r="U51" s="18" t="str">
        <f ca="1">IF(ISNONTEXT(VLOOKUP(ADDRESS(51,21),$BB$30:$BC$430,1,FALSE)),"",VLOOKUP(ADDRESS(51,21),$BB$30:$BC$430,2,FALSE))</f>
        <v/>
      </c>
      <c r="V51" s="18" t="str">
        <f ca="1">IF(ISNONTEXT(VLOOKUP(ADDRESS(51,22),$BB$30:$BC$430,1,FALSE)),"",VLOOKUP(ADDRESS(51,22),$BB$30:$BC$430,2,FALSE))</f>
        <v/>
      </c>
      <c r="W51" s="18" t="str">
        <f ca="1">IF(ISNONTEXT(VLOOKUP(ADDRESS(51,23),$BB$30:$BC$430,1,FALSE)),"",VLOOKUP(ADDRESS(51,23),$BB$30:$BC$430,2,FALSE))</f>
        <v/>
      </c>
      <c r="X51" s="18" t="str">
        <f ca="1">IF(ISNONTEXT(VLOOKUP(ADDRESS(51,24),$BB$30:$BC$430,1,FALSE)),"",VLOOKUP(ADDRESS(51,24),$BB$30:$BC$430,2,FALSE))</f>
        <v/>
      </c>
      <c r="Y51" s="18" t="str">
        <f ca="1">IF(ISNONTEXT(VLOOKUP(ADDRESS(51,25),$BB$30:$BC$430,1,FALSE)),"",VLOOKUP(ADDRESS(51,25),$BB$30:$BC$430,2,FALSE))</f>
        <v/>
      </c>
      <c r="Z51" s="18" t="str">
        <f ca="1">IF(ISNONTEXT(VLOOKUP(ADDRESS(51,26),$BB$30:$BC$430,1,FALSE)),"",VLOOKUP(ADDRESS(51,26),$BB$30:$BC$430,2,FALSE))</f>
        <v/>
      </c>
      <c r="AA51" s="18" t="str">
        <f ca="1">IF(ISNONTEXT(VLOOKUP(ADDRESS(51,27),$BB$30:$BC$430,1,FALSE)),"",VLOOKUP(ADDRESS(51,27),$BB$30:$BC$430,2,FALSE))</f>
        <v/>
      </c>
      <c r="AB51" s="18" t="str">
        <f ca="1">IF(ISNONTEXT(VLOOKUP(ADDRESS(51,28),$BB$30:$BC$430,1,FALSE)),"",VLOOKUP(ADDRESS(51,28),$BB$30:$BC$430,2,FALSE))</f>
        <v/>
      </c>
      <c r="AC51" s="18" t="str">
        <f ca="1">IF(ISNONTEXT(VLOOKUP(ADDRESS(51,29),$BB$30:$BC$430,1,FALSE)),"",VLOOKUP(ADDRESS(51,29),$BB$30:$BC$430,2,FALSE))</f>
        <v/>
      </c>
      <c r="AD51" s="18" t="str">
        <f ca="1">IF(ISNONTEXT(VLOOKUP(ADDRESS(51,30),$BB$30:$BC$430,1,FALSE)),"",VLOOKUP(ADDRESS(51,30),$BB$30:$BC$430,2,FALSE))</f>
        <v/>
      </c>
      <c r="AE51" s="18" t="str">
        <f ca="1">IF(ISNONTEXT(VLOOKUP(ADDRESS(51,31),$BB$30:$BC$430,1,FALSE)),"",VLOOKUP(ADDRESS(51,31),$BB$30:$BC$430,2,FALSE))</f>
        <v/>
      </c>
      <c r="AF51" s="18" t="str">
        <f ca="1">IF(ISNONTEXT(VLOOKUP(ADDRESS(51,32),$BB$30:$BC$430,1,FALSE)),"",VLOOKUP(ADDRESS(51,32),$BB$30:$BC$430,2,FALSE))</f>
        <v/>
      </c>
      <c r="AG51" s="18" t="str">
        <f ca="1">IF(ISNONTEXT(VLOOKUP(ADDRESS(51,33),$BB$30:$BC$430,1,FALSE)),"",VLOOKUP(ADDRESS(51,33),$BB$30:$BC$430,2,FALSE))</f>
        <v/>
      </c>
      <c r="AH51" s="18" t="str">
        <f ca="1">IF(ISNONTEXT(VLOOKUP(ADDRESS(51,34),$BB$30:$BC$430,1,FALSE)),"",VLOOKUP(ADDRESS(51,34),$BB$30:$BC$430,2,FALSE))</f>
        <v/>
      </c>
      <c r="AI51" s="18" t="str">
        <f ca="1">IF(ISNONTEXT(VLOOKUP(ADDRESS(51,35),$BB$30:$BC$430,1,FALSE)),"",VLOOKUP(ADDRESS(51,35),$BB$30:$BC$430,2,FALSE))</f>
        <v/>
      </c>
      <c r="AJ51" s="18" t="str">
        <f ca="1">IF(ISNONTEXT(VLOOKUP(ADDRESS(51,36),$BB$30:$BC$430,1,FALSE)),"",VLOOKUP(ADDRESS(51,36),$BB$30:$BC$430,2,FALSE))</f>
        <v/>
      </c>
      <c r="AK51" s="18" t="str">
        <f ca="1">IF(ISNONTEXT(VLOOKUP(ADDRESS(51,37),$BB$30:$BC$430,1,FALSE)),"",VLOOKUP(ADDRESS(51,37),$BB$30:$BC$430,2,FALSE))</f>
        <v/>
      </c>
      <c r="AL51" s="18" t="str">
        <f ca="1">IF(ISNONTEXT(VLOOKUP(ADDRESS(51,38),$BB$30:$BC$430,1,FALSE)),"",VLOOKUP(ADDRESS(51,38),$BB$30:$BC$430,2,FALSE))</f>
        <v/>
      </c>
      <c r="AM51" s="18" t="str">
        <f ca="1">IF(ISNONTEXT(VLOOKUP(ADDRESS(51,39),$BB$30:$BC$430,1,FALSE)),"",VLOOKUP(ADDRESS(51,39),$BB$30:$BC$430,2,FALSE))</f>
        <v/>
      </c>
      <c r="AN51" s="18" t="str">
        <f ca="1">IF(ISNONTEXT(VLOOKUP(ADDRESS(51,40),$BB$30:$BC$430,1,FALSE)),"",VLOOKUP(ADDRESS(51,40),$BB$30:$BC$430,2,FALSE))</f>
        <v/>
      </c>
      <c r="AO51" s="18" t="str">
        <f ca="1">IF(ISNONTEXT(VLOOKUP(ADDRESS(51,41),$BB$30:$BC$430,1,FALSE)),"",VLOOKUP(ADDRESS(51,41),$BB$30:$BC$430,2,FALSE))</f>
        <v/>
      </c>
      <c r="AP51" s="18" t="str">
        <f ca="1">IF(ISNONTEXT(VLOOKUP(ADDRESS(51,42),$BB$30:$BC$430,1,FALSE)),"",VLOOKUP(ADDRESS(51,42),$BB$30:$BC$430,2,FALSE))</f>
        <v/>
      </c>
      <c r="AQ51" s="18" t="str">
        <f ca="1">IF(ISNONTEXT(VLOOKUP(ADDRESS(51,43),$BB$30:$BC$430,1,FALSE)),"",VLOOKUP(ADDRESS(51,43),$BB$30:$BC$430,2,FALSE))</f>
        <v/>
      </c>
      <c r="AR51" s="18" t="str">
        <f ca="1">IF($C51&lt;&gt;"","X","")</f>
        <v/>
      </c>
      <c r="AS51" s="33"/>
      <c r="AT51" s="33"/>
      <c r="AU51" s="34"/>
      <c r="AV51" s="30"/>
      <c r="AW51" s="32"/>
      <c r="AY51" t="s">
        <v>137</v>
      </c>
      <c r="AZ51">
        <v>3</v>
      </c>
      <c r="BA51" s="16" t="s">
        <v>125</v>
      </c>
      <c r="BB51" t="str">
        <f ca="1">IF($BD$11&lt;&gt;"",ADDRESS($BD$12+10,$BD$11+3),"")</f>
        <v>$N$23</v>
      </c>
      <c r="BC51" t="str">
        <f ca="1">IF(BB51&lt;&gt;"","3•1","")</f>
        <v>3•1</v>
      </c>
      <c r="BD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row>
    <row r="52" spans="1:123" ht="12" customHeight="1">
      <c r="A52" s="16">
        <v>42</v>
      </c>
      <c r="B52" s="16">
        <f>DrawFinder!Y52</f>
        <v>0</v>
      </c>
      <c r="C52" s="16" t="str">
        <f ca="1">CS!AR52</f>
        <v/>
      </c>
      <c r="D52" s="18" t="str">
        <f ca="1">IF(ISNONTEXT(VLOOKUP(ADDRESS(52,4),$BB$30:$BC$430,1,FALSE)),"",VLOOKUP(ADDRESS(52,4),$BB$30:$BC$430,2,FALSE))</f>
        <v/>
      </c>
      <c r="E52" s="18" t="str">
        <f ca="1">IF(ISNONTEXT(VLOOKUP(ADDRESS(52,5),$BB$30:$BC$430,1,FALSE)),"",VLOOKUP(ADDRESS(52,5),$BB$30:$BC$430,2,FALSE))</f>
        <v/>
      </c>
      <c r="F52" s="18" t="str">
        <f ca="1">IF(ISNONTEXT(VLOOKUP(ADDRESS(52,6),$BB$30:$BC$430,1,FALSE)),"",VLOOKUP(ADDRESS(52,6),$BB$30:$BC$430,2,FALSE))</f>
        <v/>
      </c>
      <c r="G52" s="18" t="str">
        <f ca="1">IF(ISNONTEXT(VLOOKUP(ADDRESS(52,7),$BB$30:$BC$430,1,FALSE)),"",VLOOKUP(ADDRESS(52,7),$BB$30:$BC$430,2,FALSE))</f>
        <v/>
      </c>
      <c r="H52" s="18" t="str">
        <f ca="1">IF(ISNONTEXT(VLOOKUP(ADDRESS(52,8),$BB$30:$BC$430,1,FALSE)),"",VLOOKUP(ADDRESS(52,8),$BB$30:$BC$430,2,FALSE))</f>
        <v/>
      </c>
      <c r="I52" s="18" t="str">
        <f ca="1">IF(ISNONTEXT(VLOOKUP(ADDRESS(52,9),$BB$30:$BC$430,1,FALSE)),"",VLOOKUP(ADDRESS(52,9),$BB$30:$BC$430,2,FALSE))</f>
        <v/>
      </c>
      <c r="J52" s="18" t="str">
        <f ca="1">IF(ISNONTEXT(VLOOKUP(ADDRESS(52,10),$BB$30:$BC$430,1,FALSE)),"",VLOOKUP(ADDRESS(52,10),$BB$30:$BC$430,2,FALSE))</f>
        <v/>
      </c>
      <c r="K52" s="18" t="str">
        <f ca="1">IF(ISNONTEXT(VLOOKUP(ADDRESS(52,11),$BB$30:$BC$430,1,FALSE)),"",VLOOKUP(ADDRESS(52,11),$BB$30:$BC$430,2,FALSE))</f>
        <v/>
      </c>
      <c r="L52" s="18" t="str">
        <f ca="1">IF(ISNONTEXT(VLOOKUP(ADDRESS(52,12),$BB$30:$BC$430,1,FALSE)),"",VLOOKUP(ADDRESS(52,12),$BB$30:$BC$430,2,FALSE))</f>
        <v/>
      </c>
      <c r="M52" s="18" t="str">
        <f ca="1">IF(ISNONTEXT(VLOOKUP(ADDRESS(52,13),$BB$30:$BC$430,1,FALSE)),"",VLOOKUP(ADDRESS(52,13),$BB$30:$BC$430,2,FALSE))</f>
        <v/>
      </c>
      <c r="N52" s="18" t="str">
        <f ca="1">IF(ISNONTEXT(VLOOKUP(ADDRESS(52,14),$BB$30:$BC$430,1,FALSE)),"",VLOOKUP(ADDRESS(52,14),$BB$30:$BC$430,2,FALSE))</f>
        <v/>
      </c>
      <c r="O52" s="18" t="str">
        <f ca="1">IF(ISNONTEXT(VLOOKUP(ADDRESS(52,15),$BB$30:$BC$430,1,FALSE)),"",VLOOKUP(ADDRESS(52,15),$BB$30:$BC$430,2,FALSE))</f>
        <v/>
      </c>
      <c r="P52" s="18" t="str">
        <f ca="1">IF(ISNONTEXT(VLOOKUP(ADDRESS(52,16),$BB$30:$BC$430,1,FALSE)),"",VLOOKUP(ADDRESS(52,16),$BB$30:$BC$430,2,FALSE))</f>
        <v/>
      </c>
      <c r="Q52" s="18" t="str">
        <f ca="1">IF(ISNONTEXT(VLOOKUP(ADDRESS(52,17),$BB$30:$BC$430,1,FALSE)),"",VLOOKUP(ADDRESS(52,17),$BB$30:$BC$430,2,FALSE))</f>
        <v/>
      </c>
      <c r="R52" s="18" t="str">
        <f ca="1">IF(ISNONTEXT(VLOOKUP(ADDRESS(52,18),$BB$30:$BC$430,1,FALSE)),"",VLOOKUP(ADDRESS(52,18),$BB$30:$BC$430,2,FALSE))</f>
        <v/>
      </c>
      <c r="S52" s="18" t="str">
        <f ca="1">IF(ISNONTEXT(VLOOKUP(ADDRESS(52,19),$BB$30:$BC$430,1,FALSE)),"",VLOOKUP(ADDRESS(52,19),$BB$30:$BC$430,2,FALSE))</f>
        <v/>
      </c>
      <c r="T52" s="18" t="str">
        <f ca="1">IF(ISNONTEXT(VLOOKUP(ADDRESS(52,20),$BB$30:$BC$430,1,FALSE)),"",VLOOKUP(ADDRESS(52,20),$BB$30:$BC$430,2,FALSE))</f>
        <v/>
      </c>
      <c r="U52" s="18" t="str">
        <f ca="1">IF(ISNONTEXT(VLOOKUP(ADDRESS(52,21),$BB$30:$BC$430,1,FALSE)),"",VLOOKUP(ADDRESS(52,21),$BB$30:$BC$430,2,FALSE))</f>
        <v/>
      </c>
      <c r="V52" s="18" t="str">
        <f ca="1">IF(ISNONTEXT(VLOOKUP(ADDRESS(52,22),$BB$30:$BC$430,1,FALSE)),"",VLOOKUP(ADDRESS(52,22),$BB$30:$BC$430,2,FALSE))</f>
        <v/>
      </c>
      <c r="W52" s="18" t="str">
        <f ca="1">IF(ISNONTEXT(VLOOKUP(ADDRESS(52,23),$BB$30:$BC$430,1,FALSE)),"",VLOOKUP(ADDRESS(52,23),$BB$30:$BC$430,2,FALSE))</f>
        <v/>
      </c>
      <c r="X52" s="18" t="str">
        <f ca="1">IF(ISNONTEXT(VLOOKUP(ADDRESS(52,24),$BB$30:$BC$430,1,FALSE)),"",VLOOKUP(ADDRESS(52,24),$BB$30:$BC$430,2,FALSE))</f>
        <v/>
      </c>
      <c r="Y52" s="18" t="str">
        <f ca="1">IF(ISNONTEXT(VLOOKUP(ADDRESS(52,25),$BB$30:$BC$430,1,FALSE)),"",VLOOKUP(ADDRESS(52,25),$BB$30:$BC$430,2,FALSE))</f>
        <v/>
      </c>
      <c r="Z52" s="18" t="str">
        <f ca="1">IF(ISNONTEXT(VLOOKUP(ADDRESS(52,26),$BB$30:$BC$430,1,FALSE)),"",VLOOKUP(ADDRESS(52,26),$BB$30:$BC$430,2,FALSE))</f>
        <v/>
      </c>
      <c r="AA52" s="18" t="str">
        <f ca="1">IF(ISNONTEXT(VLOOKUP(ADDRESS(52,27),$BB$30:$BC$430,1,FALSE)),"",VLOOKUP(ADDRESS(52,27),$BB$30:$BC$430,2,FALSE))</f>
        <v/>
      </c>
      <c r="AB52" s="18" t="str">
        <f ca="1">IF(ISNONTEXT(VLOOKUP(ADDRESS(52,28),$BB$30:$BC$430,1,FALSE)),"",VLOOKUP(ADDRESS(52,28),$BB$30:$BC$430,2,FALSE))</f>
        <v/>
      </c>
      <c r="AC52" s="18" t="str">
        <f ca="1">IF(ISNONTEXT(VLOOKUP(ADDRESS(52,29),$BB$30:$BC$430,1,FALSE)),"",VLOOKUP(ADDRESS(52,29),$BB$30:$BC$430,2,FALSE))</f>
        <v/>
      </c>
      <c r="AD52" s="18" t="str">
        <f ca="1">IF(ISNONTEXT(VLOOKUP(ADDRESS(52,30),$BB$30:$BC$430,1,FALSE)),"",VLOOKUP(ADDRESS(52,30),$BB$30:$BC$430,2,FALSE))</f>
        <v/>
      </c>
      <c r="AE52" s="18" t="str">
        <f ca="1">IF(ISNONTEXT(VLOOKUP(ADDRESS(52,31),$BB$30:$BC$430,1,FALSE)),"",VLOOKUP(ADDRESS(52,31),$BB$30:$BC$430,2,FALSE))</f>
        <v/>
      </c>
      <c r="AF52" s="18" t="str">
        <f ca="1">IF(ISNONTEXT(VLOOKUP(ADDRESS(52,32),$BB$30:$BC$430,1,FALSE)),"",VLOOKUP(ADDRESS(52,32),$BB$30:$BC$430,2,FALSE))</f>
        <v/>
      </c>
      <c r="AG52" s="18" t="str">
        <f ca="1">IF(ISNONTEXT(VLOOKUP(ADDRESS(52,33),$BB$30:$BC$430,1,FALSE)),"",VLOOKUP(ADDRESS(52,33),$BB$30:$BC$430,2,FALSE))</f>
        <v/>
      </c>
      <c r="AH52" s="18" t="str">
        <f ca="1">IF(ISNONTEXT(VLOOKUP(ADDRESS(52,34),$BB$30:$BC$430,1,FALSE)),"",VLOOKUP(ADDRESS(52,34),$BB$30:$BC$430,2,FALSE))</f>
        <v/>
      </c>
      <c r="AI52" s="18" t="str">
        <f ca="1">IF(ISNONTEXT(VLOOKUP(ADDRESS(52,35),$BB$30:$BC$430,1,FALSE)),"",VLOOKUP(ADDRESS(52,35),$BB$30:$BC$430,2,FALSE))</f>
        <v/>
      </c>
      <c r="AJ52" s="18" t="str">
        <f ca="1">IF(ISNONTEXT(VLOOKUP(ADDRESS(52,36),$BB$30:$BC$430,1,FALSE)),"",VLOOKUP(ADDRESS(52,36),$BB$30:$BC$430,2,FALSE))</f>
        <v/>
      </c>
      <c r="AK52" s="18" t="str">
        <f ca="1">IF(ISNONTEXT(VLOOKUP(ADDRESS(52,37),$BB$30:$BC$430,1,FALSE)),"",VLOOKUP(ADDRESS(52,37),$BB$30:$BC$430,2,FALSE))</f>
        <v/>
      </c>
      <c r="AL52" s="18" t="str">
        <f ca="1">IF(ISNONTEXT(VLOOKUP(ADDRESS(52,38),$BB$30:$BC$430,1,FALSE)),"",VLOOKUP(ADDRESS(52,38),$BB$30:$BC$430,2,FALSE))</f>
        <v/>
      </c>
      <c r="AM52" s="18" t="str">
        <f ca="1">IF(ISNONTEXT(VLOOKUP(ADDRESS(52,39),$BB$30:$BC$430,1,FALSE)),"",VLOOKUP(ADDRESS(52,39),$BB$30:$BC$430,2,FALSE))</f>
        <v/>
      </c>
      <c r="AN52" s="18" t="str">
        <f ca="1">IF(ISNONTEXT(VLOOKUP(ADDRESS(52,40),$BB$30:$BC$430,1,FALSE)),"",VLOOKUP(ADDRESS(52,40),$BB$30:$BC$430,2,FALSE))</f>
        <v/>
      </c>
      <c r="AO52" s="18" t="str">
        <f ca="1">IF(ISNONTEXT(VLOOKUP(ADDRESS(52,41),$BB$30:$BC$430,1,FALSE)),"",VLOOKUP(ADDRESS(52,41),$BB$30:$BC$430,2,FALSE))</f>
        <v/>
      </c>
      <c r="AP52" s="18" t="str">
        <f ca="1">IF(ISNONTEXT(VLOOKUP(ADDRESS(52,42),$BB$30:$BC$430,1,FALSE)),"",VLOOKUP(ADDRESS(52,42),$BB$30:$BC$430,2,FALSE))</f>
        <v/>
      </c>
      <c r="AQ52" s="18" t="str">
        <f ca="1">IF(ISNONTEXT(VLOOKUP(ADDRESS(52,43),$BB$30:$BC$430,1,FALSE)),"",VLOOKUP(ADDRESS(52,43),$BB$30:$BC$430,2,FALSE))</f>
        <v/>
      </c>
      <c r="AR52" s="18" t="str">
        <f ca="1">IF(ISNONTEXT(VLOOKUP(ADDRESS(52,44),$BB$30:$BC$430,1,FALSE)),"",VLOOKUP(ADDRESS(52,44),$BB$30:$BC$430,2,FALSE))</f>
        <v/>
      </c>
      <c r="AS52" s="18" t="str">
        <f ca="1">IF($C52&lt;&gt;"","X","")</f>
        <v/>
      </c>
      <c r="AT52" s="33"/>
      <c r="AU52" s="34"/>
      <c r="AV52" s="30"/>
      <c r="AW52" s="32"/>
      <c r="AY52"/>
      <c r="AZ52">
        <v>3</v>
      </c>
      <c r="BA52" s="16" t="s">
        <v>126</v>
      </c>
      <c r="BB52" t="str">
        <f ca="1">IF($BD$13&lt;&gt;"",ADDRESS($BD$14+10,$BD$13+3),"")</f>
        <v>$L$25</v>
      </c>
      <c r="BC52" t="str">
        <f ca="1">IF(BB52&lt;&gt;"","3•2","")</f>
        <v>3•2</v>
      </c>
      <c r="BD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row>
    <row r="53" spans="1:123" ht="12" customHeight="1">
      <c r="A53" s="16">
        <v>43</v>
      </c>
      <c r="B53" s="16">
        <f>DrawFinder!Y53</f>
        <v>0</v>
      </c>
      <c r="C53" s="16" t="str">
        <f ca="1">CS!AR53</f>
        <v/>
      </c>
      <c r="D53" s="18" t="str">
        <f ca="1">IF(ISNONTEXT(VLOOKUP(ADDRESS(53,4),$BB$30:$BC$430,1,FALSE)),"",VLOOKUP(ADDRESS(53,4),$BB$30:$BC$430,2,FALSE))</f>
        <v/>
      </c>
      <c r="E53" s="18" t="str">
        <f ca="1">IF(ISNONTEXT(VLOOKUP(ADDRESS(53,5),$BB$30:$BC$430,1,FALSE)),"",VLOOKUP(ADDRESS(53,5),$BB$30:$BC$430,2,FALSE))</f>
        <v/>
      </c>
      <c r="F53" s="18" t="str">
        <f ca="1">IF(ISNONTEXT(VLOOKUP(ADDRESS(53,6),$BB$30:$BC$430,1,FALSE)),"",VLOOKUP(ADDRESS(53,6),$BB$30:$BC$430,2,FALSE))</f>
        <v/>
      </c>
      <c r="G53" s="18" t="str">
        <f ca="1">IF(ISNONTEXT(VLOOKUP(ADDRESS(53,7),$BB$30:$BC$430,1,FALSE)),"",VLOOKUP(ADDRESS(53,7),$BB$30:$BC$430,2,FALSE))</f>
        <v/>
      </c>
      <c r="H53" s="18" t="str">
        <f ca="1">IF(ISNONTEXT(VLOOKUP(ADDRESS(53,8),$BB$30:$BC$430,1,FALSE)),"",VLOOKUP(ADDRESS(53,8),$BB$30:$BC$430,2,FALSE))</f>
        <v/>
      </c>
      <c r="I53" s="18" t="str">
        <f ca="1">IF(ISNONTEXT(VLOOKUP(ADDRESS(53,9),$BB$30:$BC$430,1,FALSE)),"",VLOOKUP(ADDRESS(53,9),$BB$30:$BC$430,2,FALSE))</f>
        <v/>
      </c>
      <c r="J53" s="18" t="str">
        <f ca="1">IF(ISNONTEXT(VLOOKUP(ADDRESS(53,10),$BB$30:$BC$430,1,FALSE)),"",VLOOKUP(ADDRESS(53,10),$BB$30:$BC$430,2,FALSE))</f>
        <v/>
      </c>
      <c r="K53" s="18" t="str">
        <f ca="1">IF(ISNONTEXT(VLOOKUP(ADDRESS(53,11),$BB$30:$BC$430,1,FALSE)),"",VLOOKUP(ADDRESS(53,11),$BB$30:$BC$430,2,FALSE))</f>
        <v/>
      </c>
      <c r="L53" s="18" t="str">
        <f ca="1">IF(ISNONTEXT(VLOOKUP(ADDRESS(53,12),$BB$30:$BC$430,1,FALSE)),"",VLOOKUP(ADDRESS(53,12),$BB$30:$BC$430,2,FALSE))</f>
        <v/>
      </c>
      <c r="M53" s="18" t="str">
        <f ca="1">IF(ISNONTEXT(VLOOKUP(ADDRESS(53,13),$BB$30:$BC$430,1,FALSE)),"",VLOOKUP(ADDRESS(53,13),$BB$30:$BC$430,2,FALSE))</f>
        <v/>
      </c>
      <c r="N53" s="18" t="str">
        <f ca="1">IF(ISNONTEXT(VLOOKUP(ADDRESS(53,14),$BB$30:$BC$430,1,FALSE)),"",VLOOKUP(ADDRESS(53,14),$BB$30:$BC$430,2,FALSE))</f>
        <v/>
      </c>
      <c r="O53" s="18" t="str">
        <f ca="1">IF(ISNONTEXT(VLOOKUP(ADDRESS(53,15),$BB$30:$BC$430,1,FALSE)),"",VLOOKUP(ADDRESS(53,15),$BB$30:$BC$430,2,FALSE))</f>
        <v/>
      </c>
      <c r="P53" s="18" t="str">
        <f ca="1">IF(ISNONTEXT(VLOOKUP(ADDRESS(53,16),$BB$30:$BC$430,1,FALSE)),"",VLOOKUP(ADDRESS(53,16),$BB$30:$BC$430,2,FALSE))</f>
        <v/>
      </c>
      <c r="Q53" s="18" t="str">
        <f ca="1">IF(ISNONTEXT(VLOOKUP(ADDRESS(53,17),$BB$30:$BC$430,1,FALSE)),"",VLOOKUP(ADDRESS(53,17),$BB$30:$BC$430,2,FALSE))</f>
        <v/>
      </c>
      <c r="R53" s="18" t="str">
        <f ca="1">IF(ISNONTEXT(VLOOKUP(ADDRESS(53,18),$BB$30:$BC$430,1,FALSE)),"",VLOOKUP(ADDRESS(53,18),$BB$30:$BC$430,2,FALSE))</f>
        <v/>
      </c>
      <c r="S53" s="18" t="str">
        <f ca="1">IF(ISNONTEXT(VLOOKUP(ADDRESS(53,19),$BB$30:$BC$430,1,FALSE)),"",VLOOKUP(ADDRESS(53,19),$BB$30:$BC$430,2,FALSE))</f>
        <v/>
      </c>
      <c r="T53" s="18" t="str">
        <f ca="1">IF(ISNONTEXT(VLOOKUP(ADDRESS(53,20),$BB$30:$BC$430,1,FALSE)),"",VLOOKUP(ADDRESS(53,20),$BB$30:$BC$430,2,FALSE))</f>
        <v/>
      </c>
      <c r="U53" s="18" t="str">
        <f ca="1">IF(ISNONTEXT(VLOOKUP(ADDRESS(53,21),$BB$30:$BC$430,1,FALSE)),"",VLOOKUP(ADDRESS(53,21),$BB$30:$BC$430,2,FALSE))</f>
        <v/>
      </c>
      <c r="V53" s="18" t="str">
        <f ca="1">IF(ISNONTEXT(VLOOKUP(ADDRESS(53,22),$BB$30:$BC$430,1,FALSE)),"",VLOOKUP(ADDRESS(53,22),$BB$30:$BC$430,2,FALSE))</f>
        <v/>
      </c>
      <c r="W53" s="18" t="str">
        <f ca="1">IF(ISNONTEXT(VLOOKUP(ADDRESS(53,23),$BB$30:$BC$430,1,FALSE)),"",VLOOKUP(ADDRESS(53,23),$BB$30:$BC$430,2,FALSE))</f>
        <v/>
      </c>
      <c r="X53" s="18" t="str">
        <f ca="1">IF(ISNONTEXT(VLOOKUP(ADDRESS(53,24),$BB$30:$BC$430,1,FALSE)),"",VLOOKUP(ADDRESS(53,24),$BB$30:$BC$430,2,FALSE))</f>
        <v/>
      </c>
      <c r="Y53" s="18" t="str">
        <f ca="1">IF(ISNONTEXT(VLOOKUP(ADDRESS(53,25),$BB$30:$BC$430,1,FALSE)),"",VLOOKUP(ADDRESS(53,25),$BB$30:$BC$430,2,FALSE))</f>
        <v/>
      </c>
      <c r="Z53" s="18" t="str">
        <f ca="1">IF(ISNONTEXT(VLOOKUP(ADDRESS(53,26),$BB$30:$BC$430,1,FALSE)),"",VLOOKUP(ADDRESS(53,26),$BB$30:$BC$430,2,FALSE))</f>
        <v/>
      </c>
      <c r="AA53" s="18" t="str">
        <f ca="1">IF(ISNONTEXT(VLOOKUP(ADDRESS(53,27),$BB$30:$BC$430,1,FALSE)),"",VLOOKUP(ADDRESS(53,27),$BB$30:$BC$430,2,FALSE))</f>
        <v/>
      </c>
      <c r="AB53" s="18" t="str">
        <f ca="1">IF(ISNONTEXT(VLOOKUP(ADDRESS(53,28),$BB$30:$BC$430,1,FALSE)),"",VLOOKUP(ADDRESS(53,28),$BB$30:$BC$430,2,FALSE))</f>
        <v/>
      </c>
      <c r="AC53" s="18" t="str">
        <f ca="1">IF(ISNONTEXT(VLOOKUP(ADDRESS(53,29),$BB$30:$BC$430,1,FALSE)),"",VLOOKUP(ADDRESS(53,29),$BB$30:$BC$430,2,FALSE))</f>
        <v/>
      </c>
      <c r="AD53" s="18" t="str">
        <f ca="1">IF(ISNONTEXT(VLOOKUP(ADDRESS(53,30),$BB$30:$BC$430,1,FALSE)),"",VLOOKUP(ADDRESS(53,30),$BB$30:$BC$430,2,FALSE))</f>
        <v/>
      </c>
      <c r="AE53" s="18" t="str">
        <f ca="1">IF(ISNONTEXT(VLOOKUP(ADDRESS(53,31),$BB$30:$BC$430,1,FALSE)),"",VLOOKUP(ADDRESS(53,31),$BB$30:$BC$430,2,FALSE))</f>
        <v/>
      </c>
      <c r="AF53" s="18" t="str">
        <f ca="1">IF(ISNONTEXT(VLOOKUP(ADDRESS(53,32),$BB$30:$BC$430,1,FALSE)),"",VLOOKUP(ADDRESS(53,32),$BB$30:$BC$430,2,FALSE))</f>
        <v/>
      </c>
      <c r="AG53" s="18" t="str">
        <f ca="1">IF(ISNONTEXT(VLOOKUP(ADDRESS(53,33),$BB$30:$BC$430,1,FALSE)),"",VLOOKUP(ADDRESS(53,33),$BB$30:$BC$430,2,FALSE))</f>
        <v/>
      </c>
      <c r="AH53" s="18" t="str">
        <f ca="1">IF(ISNONTEXT(VLOOKUP(ADDRESS(53,34),$BB$30:$BC$430,1,FALSE)),"",VLOOKUP(ADDRESS(53,34),$BB$30:$BC$430,2,FALSE))</f>
        <v/>
      </c>
      <c r="AI53" s="18" t="str">
        <f ca="1">IF(ISNONTEXT(VLOOKUP(ADDRESS(53,35),$BB$30:$BC$430,1,FALSE)),"",VLOOKUP(ADDRESS(53,35),$BB$30:$BC$430,2,FALSE))</f>
        <v/>
      </c>
      <c r="AJ53" s="18" t="str">
        <f ca="1">IF(ISNONTEXT(VLOOKUP(ADDRESS(53,36),$BB$30:$BC$430,1,FALSE)),"",VLOOKUP(ADDRESS(53,36),$BB$30:$BC$430,2,FALSE))</f>
        <v/>
      </c>
      <c r="AK53" s="18" t="str">
        <f ca="1">IF(ISNONTEXT(VLOOKUP(ADDRESS(53,37),$BB$30:$BC$430,1,FALSE)),"",VLOOKUP(ADDRESS(53,37),$BB$30:$BC$430,2,FALSE))</f>
        <v/>
      </c>
      <c r="AL53" s="18" t="str">
        <f ca="1">IF(ISNONTEXT(VLOOKUP(ADDRESS(53,38),$BB$30:$BC$430,1,FALSE)),"",VLOOKUP(ADDRESS(53,38),$BB$30:$BC$430,2,FALSE))</f>
        <v/>
      </c>
      <c r="AM53" s="18" t="str">
        <f ca="1">IF(ISNONTEXT(VLOOKUP(ADDRESS(53,39),$BB$30:$BC$430,1,FALSE)),"",VLOOKUP(ADDRESS(53,39),$BB$30:$BC$430,2,FALSE))</f>
        <v/>
      </c>
      <c r="AN53" s="18" t="str">
        <f ca="1">IF(ISNONTEXT(VLOOKUP(ADDRESS(53,40),$BB$30:$BC$430,1,FALSE)),"",VLOOKUP(ADDRESS(53,40),$BB$30:$BC$430,2,FALSE))</f>
        <v/>
      </c>
      <c r="AO53" s="18" t="str">
        <f ca="1">IF(ISNONTEXT(VLOOKUP(ADDRESS(53,41),$BB$30:$BC$430,1,FALSE)),"",VLOOKUP(ADDRESS(53,41),$BB$30:$BC$430,2,FALSE))</f>
        <v/>
      </c>
      <c r="AP53" s="18" t="str">
        <f ca="1">IF(ISNONTEXT(VLOOKUP(ADDRESS(53,42),$BB$30:$BC$430,1,FALSE)),"",VLOOKUP(ADDRESS(53,42),$BB$30:$BC$430,2,FALSE))</f>
        <v/>
      </c>
      <c r="AQ53" s="18" t="str">
        <f ca="1">IF(ISNONTEXT(VLOOKUP(ADDRESS(53,43),$BB$30:$BC$430,1,FALSE)),"",VLOOKUP(ADDRESS(53,43),$BB$30:$BC$430,2,FALSE))</f>
        <v/>
      </c>
      <c r="AR53" s="18" t="str">
        <f ca="1">IF(ISNONTEXT(VLOOKUP(ADDRESS(53,44),$BB$30:$BC$430,1,FALSE)),"",VLOOKUP(ADDRESS(53,44),$BB$30:$BC$430,2,FALSE))</f>
        <v/>
      </c>
      <c r="AS53" s="18" t="str">
        <f ca="1">IF(ISNONTEXT(VLOOKUP(ADDRESS(53,45),$BB$30:$BC$430,1,FALSE)),"",VLOOKUP(ADDRESS(53,45),$BB$30:$BC$430,2,FALSE))</f>
        <v/>
      </c>
      <c r="AT53" s="18" t="str">
        <f ca="1">IF($C53&lt;&gt;"","X","")</f>
        <v/>
      </c>
      <c r="AU53" s="34"/>
      <c r="AV53" s="30"/>
      <c r="AW53" s="32"/>
      <c r="AY53"/>
      <c r="AZ53">
        <v>3</v>
      </c>
      <c r="BA53" s="16" t="s">
        <v>127</v>
      </c>
      <c r="BB53" t="str">
        <f ca="1">IF($BD$15&lt;&gt;"",ADDRESS($BD$16+10,$BD$15+3),"")</f>
        <v>$V$31</v>
      </c>
      <c r="BC53" t="str">
        <f ca="1">IF(BB53&lt;&gt;"","3•3","")</f>
        <v>3•3</v>
      </c>
      <c r="BD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row>
    <row r="54" spans="1:123" ht="12" customHeight="1">
      <c r="A54" s="16">
        <v>44</v>
      </c>
      <c r="B54" s="16">
        <f>DrawFinder!Y54</f>
        <v>0</v>
      </c>
      <c r="C54" s="16" t="str">
        <f ca="1">CS!AR54</f>
        <v/>
      </c>
      <c r="D54" s="18" t="str">
        <f ca="1">IF(ISNONTEXT(VLOOKUP(ADDRESS(54,4),$BB$30:$BC$430,1,FALSE)),"",VLOOKUP(ADDRESS(54,4),$BB$30:$BC$430,2,FALSE))</f>
        <v/>
      </c>
      <c r="E54" s="18" t="str">
        <f ca="1">IF(ISNONTEXT(VLOOKUP(ADDRESS(54,5),$BB$30:$BC$430,1,FALSE)),"",VLOOKUP(ADDRESS(54,5),$BB$30:$BC$430,2,FALSE))</f>
        <v/>
      </c>
      <c r="F54" s="18" t="str">
        <f ca="1">IF(ISNONTEXT(VLOOKUP(ADDRESS(54,6),$BB$30:$BC$430,1,FALSE)),"",VLOOKUP(ADDRESS(54,6),$BB$30:$BC$430,2,FALSE))</f>
        <v/>
      </c>
      <c r="G54" s="18" t="str">
        <f ca="1">IF(ISNONTEXT(VLOOKUP(ADDRESS(54,7),$BB$30:$BC$430,1,FALSE)),"",VLOOKUP(ADDRESS(54,7),$BB$30:$BC$430,2,FALSE))</f>
        <v/>
      </c>
      <c r="H54" s="18" t="str">
        <f ca="1">IF(ISNONTEXT(VLOOKUP(ADDRESS(54,8),$BB$30:$BC$430,1,FALSE)),"",VLOOKUP(ADDRESS(54,8),$BB$30:$BC$430,2,FALSE))</f>
        <v/>
      </c>
      <c r="I54" s="18" t="str">
        <f ca="1">IF(ISNONTEXT(VLOOKUP(ADDRESS(54,9),$BB$30:$BC$430,1,FALSE)),"",VLOOKUP(ADDRESS(54,9),$BB$30:$BC$430,2,FALSE))</f>
        <v/>
      </c>
      <c r="J54" s="18" t="str">
        <f ca="1">IF(ISNONTEXT(VLOOKUP(ADDRESS(54,10),$BB$30:$BC$430,1,FALSE)),"",VLOOKUP(ADDRESS(54,10),$BB$30:$BC$430,2,FALSE))</f>
        <v/>
      </c>
      <c r="K54" s="18" t="str">
        <f ca="1">IF(ISNONTEXT(VLOOKUP(ADDRESS(54,11),$BB$30:$BC$430,1,FALSE)),"",VLOOKUP(ADDRESS(54,11),$BB$30:$BC$430,2,FALSE))</f>
        <v/>
      </c>
      <c r="L54" s="18" t="str">
        <f ca="1">IF(ISNONTEXT(VLOOKUP(ADDRESS(54,12),$BB$30:$BC$430,1,FALSE)),"",VLOOKUP(ADDRESS(54,12),$BB$30:$BC$430,2,FALSE))</f>
        <v/>
      </c>
      <c r="M54" s="18" t="str">
        <f ca="1">IF(ISNONTEXT(VLOOKUP(ADDRESS(54,13),$BB$30:$BC$430,1,FALSE)),"",VLOOKUP(ADDRESS(54,13),$BB$30:$BC$430,2,FALSE))</f>
        <v/>
      </c>
      <c r="N54" s="18" t="str">
        <f ca="1">IF(ISNONTEXT(VLOOKUP(ADDRESS(54,14),$BB$30:$BC$430,1,FALSE)),"",VLOOKUP(ADDRESS(54,14),$BB$30:$BC$430,2,FALSE))</f>
        <v/>
      </c>
      <c r="O54" s="18" t="str">
        <f ca="1">IF(ISNONTEXT(VLOOKUP(ADDRESS(54,15),$BB$30:$BC$430,1,FALSE)),"",VLOOKUP(ADDRESS(54,15),$BB$30:$BC$430,2,FALSE))</f>
        <v/>
      </c>
      <c r="P54" s="18" t="str">
        <f ca="1">IF(ISNONTEXT(VLOOKUP(ADDRESS(54,16),$BB$30:$BC$430,1,FALSE)),"",VLOOKUP(ADDRESS(54,16),$BB$30:$BC$430,2,FALSE))</f>
        <v/>
      </c>
      <c r="Q54" s="18" t="str">
        <f ca="1">IF(ISNONTEXT(VLOOKUP(ADDRESS(54,17),$BB$30:$BC$430,1,FALSE)),"",VLOOKUP(ADDRESS(54,17),$BB$30:$BC$430,2,FALSE))</f>
        <v/>
      </c>
      <c r="R54" s="18" t="str">
        <f ca="1">IF(ISNONTEXT(VLOOKUP(ADDRESS(54,18),$BB$30:$BC$430,1,FALSE)),"",VLOOKUP(ADDRESS(54,18),$BB$30:$BC$430,2,FALSE))</f>
        <v/>
      </c>
      <c r="S54" s="18" t="str">
        <f ca="1">IF(ISNONTEXT(VLOOKUP(ADDRESS(54,19),$BB$30:$BC$430,1,FALSE)),"",VLOOKUP(ADDRESS(54,19),$BB$30:$BC$430,2,FALSE))</f>
        <v/>
      </c>
      <c r="T54" s="18" t="str">
        <f ca="1">IF(ISNONTEXT(VLOOKUP(ADDRESS(54,20),$BB$30:$BC$430,1,FALSE)),"",VLOOKUP(ADDRESS(54,20),$BB$30:$BC$430,2,FALSE))</f>
        <v/>
      </c>
      <c r="U54" s="18" t="str">
        <f ca="1">IF(ISNONTEXT(VLOOKUP(ADDRESS(54,21),$BB$30:$BC$430,1,FALSE)),"",VLOOKUP(ADDRESS(54,21),$BB$30:$BC$430,2,FALSE))</f>
        <v/>
      </c>
      <c r="V54" s="18" t="str">
        <f ca="1">IF(ISNONTEXT(VLOOKUP(ADDRESS(54,22),$BB$30:$BC$430,1,FALSE)),"",VLOOKUP(ADDRESS(54,22),$BB$30:$BC$430,2,FALSE))</f>
        <v/>
      </c>
      <c r="W54" s="18" t="str">
        <f ca="1">IF(ISNONTEXT(VLOOKUP(ADDRESS(54,23),$BB$30:$BC$430,1,FALSE)),"",VLOOKUP(ADDRESS(54,23),$BB$30:$BC$430,2,FALSE))</f>
        <v/>
      </c>
      <c r="X54" s="18" t="str">
        <f ca="1">IF(ISNONTEXT(VLOOKUP(ADDRESS(54,24),$BB$30:$BC$430,1,FALSE)),"",VLOOKUP(ADDRESS(54,24),$BB$30:$BC$430,2,FALSE))</f>
        <v/>
      </c>
      <c r="Y54" s="18" t="str">
        <f ca="1">IF(ISNONTEXT(VLOOKUP(ADDRESS(54,25),$BB$30:$BC$430,1,FALSE)),"",VLOOKUP(ADDRESS(54,25),$BB$30:$BC$430,2,FALSE))</f>
        <v/>
      </c>
      <c r="Z54" s="18" t="str">
        <f ca="1">IF(ISNONTEXT(VLOOKUP(ADDRESS(54,26),$BB$30:$BC$430,1,FALSE)),"",VLOOKUP(ADDRESS(54,26),$BB$30:$BC$430,2,FALSE))</f>
        <v/>
      </c>
      <c r="AA54" s="18" t="str">
        <f ca="1">IF(ISNONTEXT(VLOOKUP(ADDRESS(54,27),$BB$30:$BC$430,1,FALSE)),"",VLOOKUP(ADDRESS(54,27),$BB$30:$BC$430,2,FALSE))</f>
        <v/>
      </c>
      <c r="AB54" s="18" t="str">
        <f ca="1">IF(ISNONTEXT(VLOOKUP(ADDRESS(54,28),$BB$30:$BC$430,1,FALSE)),"",VLOOKUP(ADDRESS(54,28),$BB$30:$BC$430,2,FALSE))</f>
        <v/>
      </c>
      <c r="AC54" s="18" t="str">
        <f ca="1">IF(ISNONTEXT(VLOOKUP(ADDRESS(54,29),$BB$30:$BC$430,1,FALSE)),"",VLOOKUP(ADDRESS(54,29),$BB$30:$BC$430,2,FALSE))</f>
        <v/>
      </c>
      <c r="AD54" s="18" t="str">
        <f ca="1">IF(ISNONTEXT(VLOOKUP(ADDRESS(54,30),$BB$30:$BC$430,1,FALSE)),"",VLOOKUP(ADDRESS(54,30),$BB$30:$BC$430,2,FALSE))</f>
        <v/>
      </c>
      <c r="AE54" s="18" t="str">
        <f ca="1">IF(ISNONTEXT(VLOOKUP(ADDRESS(54,31),$BB$30:$BC$430,1,FALSE)),"",VLOOKUP(ADDRESS(54,31),$BB$30:$BC$430,2,FALSE))</f>
        <v/>
      </c>
      <c r="AF54" s="18" t="str">
        <f ca="1">IF(ISNONTEXT(VLOOKUP(ADDRESS(54,32),$BB$30:$BC$430,1,FALSE)),"",VLOOKUP(ADDRESS(54,32),$BB$30:$BC$430,2,FALSE))</f>
        <v/>
      </c>
      <c r="AG54" s="18" t="str">
        <f ca="1">IF(ISNONTEXT(VLOOKUP(ADDRESS(54,33),$BB$30:$BC$430,1,FALSE)),"",VLOOKUP(ADDRESS(54,33),$BB$30:$BC$430,2,FALSE))</f>
        <v/>
      </c>
      <c r="AH54" s="18" t="str">
        <f ca="1">IF(ISNONTEXT(VLOOKUP(ADDRESS(54,34),$BB$30:$BC$430,1,FALSE)),"",VLOOKUP(ADDRESS(54,34),$BB$30:$BC$430,2,FALSE))</f>
        <v/>
      </c>
      <c r="AI54" s="18" t="str">
        <f ca="1">IF(ISNONTEXT(VLOOKUP(ADDRESS(54,35),$BB$30:$BC$430,1,FALSE)),"",VLOOKUP(ADDRESS(54,35),$BB$30:$BC$430,2,FALSE))</f>
        <v/>
      </c>
      <c r="AJ54" s="18" t="str">
        <f ca="1">IF(ISNONTEXT(VLOOKUP(ADDRESS(54,36),$BB$30:$BC$430,1,FALSE)),"",VLOOKUP(ADDRESS(54,36),$BB$30:$BC$430,2,FALSE))</f>
        <v/>
      </c>
      <c r="AK54" s="18" t="str">
        <f ca="1">IF(ISNONTEXT(VLOOKUP(ADDRESS(54,37),$BB$30:$BC$430,1,FALSE)),"",VLOOKUP(ADDRESS(54,37),$BB$30:$BC$430,2,FALSE))</f>
        <v/>
      </c>
      <c r="AL54" s="18" t="str">
        <f ca="1">IF(ISNONTEXT(VLOOKUP(ADDRESS(54,38),$BB$30:$BC$430,1,FALSE)),"",VLOOKUP(ADDRESS(54,38),$BB$30:$BC$430,2,FALSE))</f>
        <v/>
      </c>
      <c r="AM54" s="18" t="str">
        <f ca="1">IF(ISNONTEXT(VLOOKUP(ADDRESS(54,39),$BB$30:$BC$430,1,FALSE)),"",VLOOKUP(ADDRESS(54,39),$BB$30:$BC$430,2,FALSE))</f>
        <v/>
      </c>
      <c r="AN54" s="18" t="str">
        <f ca="1">IF(ISNONTEXT(VLOOKUP(ADDRESS(54,40),$BB$30:$BC$430,1,FALSE)),"",VLOOKUP(ADDRESS(54,40),$BB$30:$BC$430,2,FALSE))</f>
        <v/>
      </c>
      <c r="AO54" s="18" t="str">
        <f ca="1">IF(ISNONTEXT(VLOOKUP(ADDRESS(54,41),$BB$30:$BC$430,1,FALSE)),"",VLOOKUP(ADDRESS(54,41),$BB$30:$BC$430,2,FALSE))</f>
        <v/>
      </c>
      <c r="AP54" s="18" t="str">
        <f ca="1">IF(ISNONTEXT(VLOOKUP(ADDRESS(54,42),$BB$30:$BC$430,1,FALSE)),"",VLOOKUP(ADDRESS(54,42),$BB$30:$BC$430,2,FALSE))</f>
        <v/>
      </c>
      <c r="AQ54" s="18" t="str">
        <f ca="1">IF(ISNONTEXT(VLOOKUP(ADDRESS(54,43),$BB$30:$BC$430,1,FALSE)),"",VLOOKUP(ADDRESS(54,43),$BB$30:$BC$430,2,FALSE))</f>
        <v/>
      </c>
      <c r="AR54" s="18" t="str">
        <f ca="1">IF(ISNONTEXT(VLOOKUP(ADDRESS(54,44),$BB$30:$BC$430,1,FALSE)),"",VLOOKUP(ADDRESS(54,44),$BB$30:$BC$430,2,FALSE))</f>
        <v/>
      </c>
      <c r="AS54" s="18" t="str">
        <f ca="1">IF(ISNONTEXT(VLOOKUP(ADDRESS(54,45),$BB$30:$BC$430,1,FALSE)),"",VLOOKUP(ADDRESS(54,45),$BB$30:$BC$430,2,FALSE))</f>
        <v/>
      </c>
      <c r="AT54" s="18" t="str">
        <f ca="1">IF(ISNONTEXT(VLOOKUP(ADDRESS(54,46),$BB$30:$BC$430,1,FALSE)),"",VLOOKUP(ADDRESS(54,46),$BB$30:$BC$430,2,FALSE))</f>
        <v/>
      </c>
      <c r="AU54" s="26" t="str">
        <f ca="1">IF($C54&lt;&gt;"","X","")</f>
        <v/>
      </c>
      <c r="AV54" s="30"/>
      <c r="AW54" s="32"/>
      <c r="AY54"/>
      <c r="AZ54">
        <v>3</v>
      </c>
      <c r="BA54" s="16" t="s">
        <v>128</v>
      </c>
      <c r="BB54" t="str">
        <f ca="1">IF($BD$17&lt;&gt;"",ADDRESS($BD$18+10,$BD$17+3),"")</f>
        <v>$M$26</v>
      </c>
      <c r="BC54" t="str">
        <f ca="1">IF(BB54&lt;&gt;"","3•4","")</f>
        <v>3•4</v>
      </c>
      <c r="BD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row>
    <row r="55" spans="1:123" ht="12" customHeight="1">
      <c r="A55" s="16">
        <v>45</v>
      </c>
      <c r="B55" s="16">
        <f>DrawFinder!Y55</f>
        <v>0</v>
      </c>
      <c r="C55" s="16" t="str">
        <f ca="1">CS!AR55</f>
        <v/>
      </c>
      <c r="D55" s="18" t="str">
        <f ca="1">IF(ISNONTEXT(VLOOKUP(ADDRESS(55,4),$BB$30:$BC$430,1,FALSE)),"",VLOOKUP(ADDRESS(55,4),$BB$30:$BC$430,2,FALSE))</f>
        <v/>
      </c>
      <c r="E55" s="18" t="str">
        <f ca="1">IF(ISNONTEXT(VLOOKUP(ADDRESS(55,5),$BB$30:$BC$430,1,FALSE)),"",VLOOKUP(ADDRESS(55,5),$BB$30:$BC$430,2,FALSE))</f>
        <v/>
      </c>
      <c r="F55" s="18" t="str">
        <f ca="1">IF(ISNONTEXT(VLOOKUP(ADDRESS(55,6),$BB$30:$BC$430,1,FALSE)),"",VLOOKUP(ADDRESS(55,6),$BB$30:$BC$430,2,FALSE))</f>
        <v/>
      </c>
      <c r="G55" s="18" t="str">
        <f ca="1">IF(ISNONTEXT(VLOOKUP(ADDRESS(55,7),$BB$30:$BC$430,1,FALSE)),"",VLOOKUP(ADDRESS(55,7),$BB$30:$BC$430,2,FALSE))</f>
        <v/>
      </c>
      <c r="H55" s="18" t="str">
        <f ca="1">IF(ISNONTEXT(VLOOKUP(ADDRESS(55,8),$BB$30:$BC$430,1,FALSE)),"",VLOOKUP(ADDRESS(55,8),$BB$30:$BC$430,2,FALSE))</f>
        <v/>
      </c>
      <c r="I55" s="18" t="str">
        <f ca="1">IF(ISNONTEXT(VLOOKUP(ADDRESS(55,9),$BB$30:$BC$430,1,FALSE)),"",VLOOKUP(ADDRESS(55,9),$BB$30:$BC$430,2,FALSE))</f>
        <v/>
      </c>
      <c r="J55" s="18" t="str">
        <f ca="1">IF(ISNONTEXT(VLOOKUP(ADDRESS(55,10),$BB$30:$BC$430,1,FALSE)),"",VLOOKUP(ADDRESS(55,10),$BB$30:$BC$430,2,FALSE))</f>
        <v/>
      </c>
      <c r="K55" s="18" t="str">
        <f ca="1">IF(ISNONTEXT(VLOOKUP(ADDRESS(55,11),$BB$30:$BC$430,1,FALSE)),"",VLOOKUP(ADDRESS(55,11),$BB$30:$BC$430,2,FALSE))</f>
        <v/>
      </c>
      <c r="L55" s="18" t="str">
        <f ca="1">IF(ISNONTEXT(VLOOKUP(ADDRESS(55,12),$BB$30:$BC$430,1,FALSE)),"",VLOOKUP(ADDRESS(55,12),$BB$30:$BC$430,2,FALSE))</f>
        <v/>
      </c>
      <c r="M55" s="18" t="str">
        <f ca="1">IF(ISNONTEXT(VLOOKUP(ADDRESS(55,13),$BB$30:$BC$430,1,FALSE)),"",VLOOKUP(ADDRESS(55,13),$BB$30:$BC$430,2,FALSE))</f>
        <v/>
      </c>
      <c r="N55" s="18" t="str">
        <f ca="1">IF(ISNONTEXT(VLOOKUP(ADDRESS(55,14),$BB$30:$BC$430,1,FALSE)),"",VLOOKUP(ADDRESS(55,14),$BB$30:$BC$430,2,FALSE))</f>
        <v/>
      </c>
      <c r="O55" s="18" t="str">
        <f ca="1">IF(ISNONTEXT(VLOOKUP(ADDRESS(55,15),$BB$30:$BC$430,1,FALSE)),"",VLOOKUP(ADDRESS(55,15),$BB$30:$BC$430,2,FALSE))</f>
        <v/>
      </c>
      <c r="P55" s="18" t="str">
        <f ca="1">IF(ISNONTEXT(VLOOKUP(ADDRESS(55,16),$BB$30:$BC$430,1,FALSE)),"",VLOOKUP(ADDRESS(55,16),$BB$30:$BC$430,2,FALSE))</f>
        <v/>
      </c>
      <c r="Q55" s="18" t="str">
        <f ca="1">IF(ISNONTEXT(VLOOKUP(ADDRESS(55,17),$BB$30:$BC$430,1,FALSE)),"",VLOOKUP(ADDRESS(55,17),$BB$30:$BC$430,2,FALSE))</f>
        <v/>
      </c>
      <c r="R55" s="18" t="str">
        <f ca="1">IF(ISNONTEXT(VLOOKUP(ADDRESS(55,18),$BB$30:$BC$430,1,FALSE)),"",VLOOKUP(ADDRESS(55,18),$BB$30:$BC$430,2,FALSE))</f>
        <v/>
      </c>
      <c r="S55" s="18" t="str">
        <f ca="1">IF(ISNONTEXT(VLOOKUP(ADDRESS(55,19),$BB$30:$BC$430,1,FALSE)),"",VLOOKUP(ADDRESS(55,19),$BB$30:$BC$430,2,FALSE))</f>
        <v/>
      </c>
      <c r="T55" s="18" t="str">
        <f ca="1">IF(ISNONTEXT(VLOOKUP(ADDRESS(55,20),$BB$30:$BC$430,1,FALSE)),"",VLOOKUP(ADDRESS(55,20),$BB$30:$BC$430,2,FALSE))</f>
        <v/>
      </c>
      <c r="U55" s="18" t="str">
        <f ca="1">IF(ISNONTEXT(VLOOKUP(ADDRESS(55,21),$BB$30:$BC$430,1,FALSE)),"",VLOOKUP(ADDRESS(55,21),$BB$30:$BC$430,2,FALSE))</f>
        <v/>
      </c>
      <c r="V55" s="18" t="str">
        <f ca="1">IF(ISNONTEXT(VLOOKUP(ADDRESS(55,22),$BB$30:$BC$430,1,FALSE)),"",VLOOKUP(ADDRESS(55,22),$BB$30:$BC$430,2,FALSE))</f>
        <v/>
      </c>
      <c r="W55" s="18" t="str">
        <f ca="1">IF(ISNONTEXT(VLOOKUP(ADDRESS(55,23),$BB$30:$BC$430,1,FALSE)),"",VLOOKUP(ADDRESS(55,23),$BB$30:$BC$430,2,FALSE))</f>
        <v/>
      </c>
      <c r="X55" s="18" t="str">
        <f ca="1">IF(ISNONTEXT(VLOOKUP(ADDRESS(55,24),$BB$30:$BC$430,1,FALSE)),"",VLOOKUP(ADDRESS(55,24),$BB$30:$BC$430,2,FALSE))</f>
        <v/>
      </c>
      <c r="Y55" s="18" t="str">
        <f ca="1">IF(ISNONTEXT(VLOOKUP(ADDRESS(55,25),$BB$30:$BC$430,1,FALSE)),"",VLOOKUP(ADDRESS(55,25),$BB$30:$BC$430,2,FALSE))</f>
        <v/>
      </c>
      <c r="Z55" s="18" t="str">
        <f ca="1">IF(ISNONTEXT(VLOOKUP(ADDRESS(55,26),$BB$30:$BC$430,1,FALSE)),"",VLOOKUP(ADDRESS(55,26),$BB$30:$BC$430,2,FALSE))</f>
        <v/>
      </c>
      <c r="AA55" s="18" t="str">
        <f ca="1">IF(ISNONTEXT(VLOOKUP(ADDRESS(55,27),$BB$30:$BC$430,1,FALSE)),"",VLOOKUP(ADDRESS(55,27),$BB$30:$BC$430,2,FALSE))</f>
        <v/>
      </c>
      <c r="AB55" s="18" t="str">
        <f ca="1">IF(ISNONTEXT(VLOOKUP(ADDRESS(55,28),$BB$30:$BC$430,1,FALSE)),"",VLOOKUP(ADDRESS(55,28),$BB$30:$BC$430,2,FALSE))</f>
        <v/>
      </c>
      <c r="AC55" s="18" t="str">
        <f ca="1">IF(ISNONTEXT(VLOOKUP(ADDRESS(55,29),$BB$30:$BC$430,1,FALSE)),"",VLOOKUP(ADDRESS(55,29),$BB$30:$BC$430,2,FALSE))</f>
        <v/>
      </c>
      <c r="AD55" s="18" t="str">
        <f ca="1">IF(ISNONTEXT(VLOOKUP(ADDRESS(55,30),$BB$30:$BC$430,1,FALSE)),"",VLOOKUP(ADDRESS(55,30),$BB$30:$BC$430,2,FALSE))</f>
        <v/>
      </c>
      <c r="AE55" s="18" t="str">
        <f ca="1">IF(ISNONTEXT(VLOOKUP(ADDRESS(55,31),$BB$30:$BC$430,1,FALSE)),"",VLOOKUP(ADDRESS(55,31),$BB$30:$BC$430,2,FALSE))</f>
        <v/>
      </c>
      <c r="AF55" s="18" t="str">
        <f ca="1">IF(ISNONTEXT(VLOOKUP(ADDRESS(55,32),$BB$30:$BC$430,1,FALSE)),"",VLOOKUP(ADDRESS(55,32),$BB$30:$BC$430,2,FALSE))</f>
        <v/>
      </c>
      <c r="AG55" s="18" t="str">
        <f ca="1">IF(ISNONTEXT(VLOOKUP(ADDRESS(55,33),$BB$30:$BC$430,1,FALSE)),"",VLOOKUP(ADDRESS(55,33),$BB$30:$BC$430,2,FALSE))</f>
        <v/>
      </c>
      <c r="AH55" s="18" t="str">
        <f ca="1">IF(ISNONTEXT(VLOOKUP(ADDRESS(55,34),$BB$30:$BC$430,1,FALSE)),"",VLOOKUP(ADDRESS(55,34),$BB$30:$BC$430,2,FALSE))</f>
        <v/>
      </c>
      <c r="AI55" s="18" t="str">
        <f ca="1">IF(ISNONTEXT(VLOOKUP(ADDRESS(55,35),$BB$30:$BC$430,1,FALSE)),"",VLOOKUP(ADDRESS(55,35),$BB$30:$BC$430,2,FALSE))</f>
        <v/>
      </c>
      <c r="AJ55" s="18" t="str">
        <f ca="1">IF(ISNONTEXT(VLOOKUP(ADDRESS(55,36),$BB$30:$BC$430,1,FALSE)),"",VLOOKUP(ADDRESS(55,36),$BB$30:$BC$430,2,FALSE))</f>
        <v/>
      </c>
      <c r="AK55" s="18" t="str">
        <f ca="1">IF(ISNONTEXT(VLOOKUP(ADDRESS(55,37),$BB$30:$BC$430,1,FALSE)),"",VLOOKUP(ADDRESS(55,37),$BB$30:$BC$430,2,FALSE))</f>
        <v/>
      </c>
      <c r="AL55" s="18" t="str">
        <f ca="1">IF(ISNONTEXT(VLOOKUP(ADDRESS(55,38),$BB$30:$BC$430,1,FALSE)),"",VLOOKUP(ADDRESS(55,38),$BB$30:$BC$430,2,FALSE))</f>
        <v/>
      </c>
      <c r="AM55" s="18" t="str">
        <f ca="1">IF(ISNONTEXT(VLOOKUP(ADDRESS(55,39),$BB$30:$BC$430,1,FALSE)),"",VLOOKUP(ADDRESS(55,39),$BB$30:$BC$430,2,FALSE))</f>
        <v/>
      </c>
      <c r="AN55" s="18" t="str">
        <f ca="1">IF(ISNONTEXT(VLOOKUP(ADDRESS(55,40),$BB$30:$BC$430,1,FALSE)),"",VLOOKUP(ADDRESS(55,40),$BB$30:$BC$430,2,FALSE))</f>
        <v/>
      </c>
      <c r="AO55" s="18" t="str">
        <f ca="1">IF(ISNONTEXT(VLOOKUP(ADDRESS(55,41),$BB$30:$BC$430,1,FALSE)),"",VLOOKUP(ADDRESS(55,41),$BB$30:$BC$430,2,FALSE))</f>
        <v/>
      </c>
      <c r="AP55" s="18" t="str">
        <f ca="1">IF(ISNONTEXT(VLOOKUP(ADDRESS(55,42),$BB$30:$BC$430,1,FALSE)),"",VLOOKUP(ADDRESS(55,42),$BB$30:$BC$430,2,FALSE))</f>
        <v/>
      </c>
      <c r="AQ55" s="18" t="str">
        <f ca="1">IF(ISNONTEXT(VLOOKUP(ADDRESS(55,43),$BB$30:$BC$430,1,FALSE)),"",VLOOKUP(ADDRESS(55,43),$BB$30:$BC$430,2,FALSE))</f>
        <v/>
      </c>
      <c r="AR55" s="18" t="str">
        <f ca="1">IF(ISNONTEXT(VLOOKUP(ADDRESS(55,44),$BB$30:$BC$430,1,FALSE)),"",VLOOKUP(ADDRESS(55,44),$BB$30:$BC$430,2,FALSE))</f>
        <v/>
      </c>
      <c r="AS55" s="18" t="str">
        <f ca="1">IF(ISNONTEXT(VLOOKUP(ADDRESS(55,45),$BB$30:$BC$430,1,FALSE)),"",VLOOKUP(ADDRESS(55,45),$BB$30:$BC$430,2,FALSE))</f>
        <v/>
      </c>
      <c r="AT55" s="18" t="str">
        <f ca="1">IF(ISNONTEXT(VLOOKUP(ADDRESS(55,46),$BB$30:$BC$430,1,FALSE)),"",VLOOKUP(ADDRESS(55,46),$BB$30:$BC$430,2,FALSE))</f>
        <v/>
      </c>
      <c r="AU55" s="18" t="str">
        <f ca="1">IF(ISNONTEXT(VLOOKUP(ADDRESS(55,48),$BB$30:$BC$430,1,FALSE)),"",VLOOKUP(ADDRESS(55,48),$BB$30:$BC$430,2,FALSE))</f>
        <v/>
      </c>
      <c r="AV55" s="26" t="str">
        <f ca="1">IF($C55&lt;&gt;"","X","")</f>
        <v/>
      </c>
      <c r="AW55" s="32"/>
      <c r="AY55" s="18" t="str">
        <f ca="1">IF($C55&lt;&gt;"","X","")</f>
        <v/>
      </c>
      <c r="AZ55">
        <v>3</v>
      </c>
      <c r="BA55" s="16" t="s">
        <v>129</v>
      </c>
      <c r="BB55" t="str">
        <f ca="1">IF($BD$19&lt;&gt;"",ADDRESS($BD$20+10,$BD$19+3),"")</f>
        <v>$W$34</v>
      </c>
      <c r="BC55" t="str">
        <f ca="1">IF(BB55&lt;&gt;"","3•5","")</f>
        <v>3•5</v>
      </c>
      <c r="BD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row>
    <row r="56" spans="1:123" s="24" customFormat="1" ht="12" customHeight="1">
      <c r="A56" s="16">
        <v>46</v>
      </c>
      <c r="B56" s="16">
        <f>DrawFinder!Y56</f>
        <v>0</v>
      </c>
      <c r="C56" s="16" t="str">
        <f ca="1">CS!AR56</f>
        <v/>
      </c>
      <c r="D56" s="18" t="str">
        <f ca="1">IF(ISNONTEXT(VLOOKUP(ADDRESS(56,4),$BB$30:$BC$430,1,FALSE)),"",VLOOKUP(ADDRESS(56,4),$BB$30:$BC$430,2,FALSE))</f>
        <v/>
      </c>
      <c r="E56" s="18" t="str">
        <f ca="1">IF(ISNONTEXT(VLOOKUP(ADDRESS(56,5),$BB$30:$BC$430,1,FALSE)),"",VLOOKUP(ADDRESS(56,5),$BB$30:$BC$430,2,FALSE))</f>
        <v/>
      </c>
      <c r="F56" s="18" t="str">
        <f ca="1">IF(ISNONTEXT(VLOOKUP(ADDRESS(56,6),$BB$30:$BC$430,1,FALSE)),"",VLOOKUP(ADDRESS(56,6),$BB$30:$BC$430,2,FALSE))</f>
        <v/>
      </c>
      <c r="G56" s="18" t="str">
        <f ca="1">IF(ISNONTEXT(VLOOKUP(ADDRESS(56,7),$BB$30:$BC$430,1,FALSE)),"",VLOOKUP(ADDRESS(56,7),$BB$30:$BC$430,2,FALSE))</f>
        <v/>
      </c>
      <c r="H56" s="18" t="str">
        <f ca="1">IF(ISNONTEXT(VLOOKUP(ADDRESS(56,8),$BB$30:$BC$430,1,FALSE)),"",VLOOKUP(ADDRESS(56,8),$BB$30:$BC$430,2,FALSE))</f>
        <v/>
      </c>
      <c r="I56" s="18" t="str">
        <f ca="1">IF(ISNONTEXT(VLOOKUP(ADDRESS(56,9),$BB$30:$BC$430,1,FALSE)),"",VLOOKUP(ADDRESS(56,9),$BB$30:$BC$430,2,FALSE))</f>
        <v/>
      </c>
      <c r="J56" s="18" t="str">
        <f ca="1">IF(ISNONTEXT(VLOOKUP(ADDRESS(56,10),$BB$30:$BC$430,1,FALSE)),"",VLOOKUP(ADDRESS(56,10),$BB$30:$BC$430,2,FALSE))</f>
        <v/>
      </c>
      <c r="K56" s="18" t="str">
        <f ca="1">IF(ISNONTEXT(VLOOKUP(ADDRESS(56,11),$BB$30:$BC$430,1,FALSE)),"",VLOOKUP(ADDRESS(56,11),$BB$30:$BC$430,2,FALSE))</f>
        <v/>
      </c>
      <c r="L56" s="18" t="str">
        <f ca="1">IF(ISNONTEXT(VLOOKUP(ADDRESS(56,12),$BB$30:$BC$430,1,FALSE)),"",VLOOKUP(ADDRESS(56,12),$BB$30:$BC$430,2,FALSE))</f>
        <v/>
      </c>
      <c r="M56" s="18" t="str">
        <f ca="1">IF(ISNONTEXT(VLOOKUP(ADDRESS(56,13),$BB$30:$BC$430,1,FALSE)),"",VLOOKUP(ADDRESS(56,13),$BB$30:$BC$430,2,FALSE))</f>
        <v/>
      </c>
      <c r="N56" s="18" t="str">
        <f ca="1">IF(ISNONTEXT(VLOOKUP(ADDRESS(56,14),$BB$30:$BC$430,1,FALSE)),"",VLOOKUP(ADDRESS(56,14),$BB$30:$BC$430,2,FALSE))</f>
        <v/>
      </c>
      <c r="O56" s="18" t="str">
        <f ca="1">IF(ISNONTEXT(VLOOKUP(ADDRESS(56,15),$BB$30:$BC$430,1,FALSE)),"",VLOOKUP(ADDRESS(56,15),$BB$30:$BC$430,2,FALSE))</f>
        <v/>
      </c>
      <c r="P56" s="18" t="str">
        <f ca="1">IF(ISNONTEXT(VLOOKUP(ADDRESS(56,16),$BB$30:$BC$430,1,FALSE)),"",VLOOKUP(ADDRESS(56,16),$BB$30:$BC$430,2,FALSE))</f>
        <v/>
      </c>
      <c r="Q56" s="18" t="str">
        <f ca="1">IF(ISNONTEXT(VLOOKUP(ADDRESS(56,17),$BB$30:$BC$430,1,FALSE)),"",VLOOKUP(ADDRESS(56,17),$BB$30:$BC$430,2,FALSE))</f>
        <v/>
      </c>
      <c r="R56" s="18" t="str">
        <f ca="1">IF(ISNONTEXT(VLOOKUP(ADDRESS(56,18),$BB$30:$BC$430,1,FALSE)),"",VLOOKUP(ADDRESS(56,18),$BB$30:$BC$430,2,FALSE))</f>
        <v/>
      </c>
      <c r="S56" s="18" t="str">
        <f ca="1">IF(ISNONTEXT(VLOOKUP(ADDRESS(56,19),$BB$30:$BC$430,1,FALSE)),"",VLOOKUP(ADDRESS(56,19),$BB$30:$BC$430,2,FALSE))</f>
        <v/>
      </c>
      <c r="T56" s="18" t="str">
        <f ca="1">IF(ISNONTEXT(VLOOKUP(ADDRESS(56,20),$BB$30:$BC$430,1,FALSE)),"",VLOOKUP(ADDRESS(56,20),$BB$30:$BC$430,2,FALSE))</f>
        <v/>
      </c>
      <c r="U56" s="18" t="str">
        <f ca="1">IF(ISNONTEXT(VLOOKUP(ADDRESS(56,21),$BB$30:$BC$430,1,FALSE)),"",VLOOKUP(ADDRESS(56,21),$BB$30:$BC$430,2,FALSE))</f>
        <v/>
      </c>
      <c r="V56" s="18" t="str">
        <f ca="1">IF(ISNONTEXT(VLOOKUP(ADDRESS(56,22),$BB$30:$BC$430,1,FALSE)),"",VLOOKUP(ADDRESS(56,22),$BB$30:$BC$430,2,FALSE))</f>
        <v/>
      </c>
      <c r="W56" s="18" t="str">
        <f ca="1">IF(ISNONTEXT(VLOOKUP(ADDRESS(56,23),$BB$30:$BC$430,1,FALSE)),"",VLOOKUP(ADDRESS(56,23),$BB$30:$BC$430,2,FALSE))</f>
        <v/>
      </c>
      <c r="X56" s="18" t="str">
        <f ca="1">IF(ISNONTEXT(VLOOKUP(ADDRESS(56,24),$BB$30:$BC$430,1,FALSE)),"",VLOOKUP(ADDRESS(56,24),$BB$30:$BC$430,2,FALSE))</f>
        <v/>
      </c>
      <c r="Y56" s="18" t="str">
        <f ca="1">IF(ISNONTEXT(VLOOKUP(ADDRESS(56,25),$BB$30:$BC$430,1,FALSE)),"",VLOOKUP(ADDRESS(56,25),$BB$30:$BC$430,2,FALSE))</f>
        <v/>
      </c>
      <c r="Z56" s="18" t="str">
        <f ca="1">IF(ISNONTEXT(VLOOKUP(ADDRESS(56,26),$BB$30:$BC$430,1,FALSE)),"",VLOOKUP(ADDRESS(56,26),$BB$30:$BC$430,2,FALSE))</f>
        <v/>
      </c>
      <c r="AA56" s="18" t="str">
        <f ca="1">IF(ISNONTEXT(VLOOKUP(ADDRESS(56,27),$BB$30:$BC$430,1,FALSE)),"",VLOOKUP(ADDRESS(56,27),$BB$30:$BC$430,2,FALSE))</f>
        <v/>
      </c>
      <c r="AB56" s="18" t="str">
        <f ca="1">IF(ISNONTEXT(VLOOKUP(ADDRESS(56,28),$BB$30:$BC$430,1,FALSE)),"",VLOOKUP(ADDRESS(56,28),$BB$30:$BC$430,2,FALSE))</f>
        <v/>
      </c>
      <c r="AC56" s="18" t="str">
        <f ca="1">IF(ISNONTEXT(VLOOKUP(ADDRESS(56,29),$BB$30:$BC$430,1,FALSE)),"",VLOOKUP(ADDRESS(56,29),$BB$30:$BC$430,2,FALSE))</f>
        <v/>
      </c>
      <c r="AD56" s="18" t="str">
        <f ca="1">IF(ISNONTEXT(VLOOKUP(ADDRESS(56,30),$BB$30:$BC$430,1,FALSE)),"",VLOOKUP(ADDRESS(56,30),$BB$30:$BC$430,2,FALSE))</f>
        <v/>
      </c>
      <c r="AE56" s="18" t="str">
        <f ca="1">IF(ISNONTEXT(VLOOKUP(ADDRESS(56,31),$BB$30:$BC$430,1,FALSE)),"",VLOOKUP(ADDRESS(56,31),$BB$30:$BC$430,2,FALSE))</f>
        <v/>
      </c>
      <c r="AF56" s="18" t="str">
        <f ca="1">IF(ISNONTEXT(VLOOKUP(ADDRESS(56,32),$BB$30:$BC$430,1,FALSE)),"",VLOOKUP(ADDRESS(56,32),$BB$30:$BC$430,2,FALSE))</f>
        <v/>
      </c>
      <c r="AG56" s="18" t="str">
        <f ca="1">IF(ISNONTEXT(VLOOKUP(ADDRESS(56,33),$BB$30:$BC$430,1,FALSE)),"",VLOOKUP(ADDRESS(56,33),$BB$30:$BC$430,2,FALSE))</f>
        <v/>
      </c>
      <c r="AH56" s="18" t="str">
        <f ca="1">IF(ISNONTEXT(VLOOKUP(ADDRESS(56,34),$BB$30:$BC$430,1,FALSE)),"",VLOOKUP(ADDRESS(56,34),$BB$30:$BC$430,2,FALSE))</f>
        <v/>
      </c>
      <c r="AI56" s="18" t="str">
        <f ca="1">IF(ISNONTEXT(VLOOKUP(ADDRESS(56,35),$BB$30:$BC$430,1,FALSE)),"",VLOOKUP(ADDRESS(56,35),$BB$30:$BC$430,2,FALSE))</f>
        <v/>
      </c>
      <c r="AJ56" s="18" t="str">
        <f ca="1">IF(ISNONTEXT(VLOOKUP(ADDRESS(56,36),$BB$30:$BC$430,1,FALSE)),"",VLOOKUP(ADDRESS(56,36),$BB$30:$BC$430,2,FALSE))</f>
        <v/>
      </c>
      <c r="AK56" s="18" t="str">
        <f ca="1">IF(ISNONTEXT(VLOOKUP(ADDRESS(56,37),$BB$30:$BC$430,1,FALSE)),"",VLOOKUP(ADDRESS(56,37),$BB$30:$BC$430,2,FALSE))</f>
        <v/>
      </c>
      <c r="AL56" s="18" t="str">
        <f ca="1">IF(ISNONTEXT(VLOOKUP(ADDRESS(56,38),$BB$30:$BC$430,1,FALSE)),"",VLOOKUP(ADDRESS(56,38),$BB$30:$BC$430,2,FALSE))</f>
        <v/>
      </c>
      <c r="AM56" s="18" t="str">
        <f ca="1">IF(ISNONTEXT(VLOOKUP(ADDRESS(56,39),$BB$30:$BC$430,1,FALSE)),"",VLOOKUP(ADDRESS(56,39),$BB$30:$BC$430,2,FALSE))</f>
        <v/>
      </c>
      <c r="AN56" s="18" t="str">
        <f ca="1">IF(ISNONTEXT(VLOOKUP(ADDRESS(56,40),$BB$30:$BC$430,1,FALSE)),"",VLOOKUP(ADDRESS(56,40),$BB$30:$BC$430,2,FALSE))</f>
        <v/>
      </c>
      <c r="AO56" s="18" t="str">
        <f ca="1">IF(ISNONTEXT(VLOOKUP(ADDRESS(56,41),$BB$30:$BC$430,1,FALSE)),"",VLOOKUP(ADDRESS(56,41),$BB$30:$BC$430,2,FALSE))</f>
        <v/>
      </c>
      <c r="AP56" s="18" t="str">
        <f ca="1">IF(ISNONTEXT(VLOOKUP(ADDRESS(56,42),$BB$30:$BC$430,1,FALSE)),"",VLOOKUP(ADDRESS(56,42),$BB$30:$BC$430,2,FALSE))</f>
        <v/>
      </c>
      <c r="AQ56" s="18" t="str">
        <f ca="1">IF(ISNONTEXT(VLOOKUP(ADDRESS(56,43),$BB$30:$BC$430,1,FALSE)),"",VLOOKUP(ADDRESS(56,43),$BB$30:$BC$430,2,FALSE))</f>
        <v/>
      </c>
      <c r="AR56" s="18" t="str">
        <f ca="1">IF(ISNONTEXT(VLOOKUP(ADDRESS(56,44),$BB$30:$BC$430,1,FALSE)),"",VLOOKUP(ADDRESS(56,44),$BB$30:$BC$430,2,FALSE))</f>
        <v/>
      </c>
      <c r="AS56" s="18" t="str">
        <f ca="1">IF(ISNONTEXT(VLOOKUP(ADDRESS(56,45),$BB$30:$BC$430,1,FALSE)),"",VLOOKUP(ADDRESS(56,45),$BB$30:$BC$430,2,FALSE))</f>
        <v/>
      </c>
      <c r="AT56" s="18" t="str">
        <f ca="1">IF(ISNONTEXT(VLOOKUP(ADDRESS(56,46),$BB$30:$BC$430,1,FALSE)),"",VLOOKUP(ADDRESS(56,46),$BB$30:$BC$430,2,FALSE))</f>
        <v/>
      </c>
      <c r="AU56" s="18" t="str">
        <f ca="1">IF(ISNONTEXT(VLOOKUP(ADDRESS(56,48),$BB$30:$BC$430,1,FALSE)),"",VLOOKUP(ADDRESS(56,48),$BB$30:$BC$430,2,FALSE))</f>
        <v/>
      </c>
      <c r="AV56" s="35" t="str">
        <f ca="1">IF(ISNONTEXT(VLOOKUP(ADDRESS(56,48),$BB$30:$BC$390,1,FALSE)),"",VLOOKUP(ADDRESS(56,48),$BB$30:$BC$390,2,FALSE))</f>
        <v/>
      </c>
      <c r="AW56" s="29" t="str">
        <f ca="1">IF($C56&lt;&gt;"","X","")</f>
        <v/>
      </c>
      <c r="AY56" s="25"/>
      <c r="AZ56">
        <v>3</v>
      </c>
      <c r="BA56" s="16" t="s">
        <v>130</v>
      </c>
      <c r="BB56" t="str">
        <f ca="1">IF($BD$21&lt;&gt;"",ADDRESS($BD$22+10,$BD$21+3),"")</f>
        <v>$O$24</v>
      </c>
      <c r="BC56" t="str">
        <f ca="1">IF(BB56&lt;&gt;"","3•6","")</f>
        <v>3•6</v>
      </c>
      <c r="BD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row>
    <row r="57" spans="1:123" s="24" customFormat="1" ht="12" customHeight="1">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Z57">
        <v>3</v>
      </c>
      <c r="BA57" s="16" t="s">
        <v>131</v>
      </c>
      <c r="BB57" t="str">
        <f ca="1">IF($BD$23&lt;&gt;"",ADDRESS($BD$24+10,$BD$23+3),"")</f>
        <v/>
      </c>
      <c r="BC57" t="str">
        <f ca="1">IF(BB57&lt;&gt;"","3•7","")</f>
        <v/>
      </c>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row>
    <row r="58" spans="1:123" ht="12" hidden="1" customHeight="1">
      <c r="D58" s="19" t="s">
        <v>88</v>
      </c>
      <c r="E58" s="19" t="s">
        <v>89</v>
      </c>
      <c r="F58" s="19" t="s">
        <v>90</v>
      </c>
      <c r="G58" s="19" t="s">
        <v>91</v>
      </c>
      <c r="H58" s="19" t="s">
        <v>92</v>
      </c>
      <c r="I58" s="19" t="s">
        <v>93</v>
      </c>
      <c r="J58" s="19" t="s">
        <v>94</v>
      </c>
      <c r="K58" s="19" t="s">
        <v>95</v>
      </c>
      <c r="L58" s="19" t="s">
        <v>96</v>
      </c>
      <c r="M58" s="19" t="s">
        <v>97</v>
      </c>
      <c r="N58" s="19" t="s">
        <v>98</v>
      </c>
      <c r="O58" s="19" t="s">
        <v>99</v>
      </c>
      <c r="P58" s="19" t="s">
        <v>100</v>
      </c>
      <c r="Q58" s="19" t="s">
        <v>101</v>
      </c>
      <c r="R58" s="19" t="s">
        <v>102</v>
      </c>
      <c r="S58" s="19" t="s">
        <v>103</v>
      </c>
      <c r="T58" s="19" t="s">
        <v>104</v>
      </c>
      <c r="U58" s="19" t="s">
        <v>105</v>
      </c>
      <c r="V58" s="19" t="s">
        <v>106</v>
      </c>
      <c r="W58" s="19" t="s">
        <v>12</v>
      </c>
      <c r="X58" s="19" t="s">
        <v>13</v>
      </c>
      <c r="Y58" s="19" t="s">
        <v>14</v>
      </c>
      <c r="Z58" s="19" t="s">
        <v>15</v>
      </c>
      <c r="AA58" s="19" t="s">
        <v>16</v>
      </c>
      <c r="AB58" s="19" t="s">
        <v>17</v>
      </c>
      <c r="AC58" s="19" t="s">
        <v>18</v>
      </c>
      <c r="AD58" s="19" t="s">
        <v>19</v>
      </c>
      <c r="AE58" s="19" t="s">
        <v>20</v>
      </c>
      <c r="AF58" s="19" t="s">
        <v>21</v>
      </c>
      <c r="AG58" s="19" t="s">
        <v>22</v>
      </c>
      <c r="AH58" s="19" t="s">
        <v>23</v>
      </c>
      <c r="AI58" s="19" t="s">
        <v>24</v>
      </c>
      <c r="AJ58" s="19" t="s">
        <v>25</v>
      </c>
      <c r="AK58" s="19" t="s">
        <v>26</v>
      </c>
      <c r="AL58" s="19" t="s">
        <v>27</v>
      </c>
      <c r="AM58" s="19" t="s">
        <v>28</v>
      </c>
      <c r="AN58" s="19" t="s">
        <v>29</v>
      </c>
      <c r="AO58" s="19" t="s">
        <v>30</v>
      </c>
      <c r="AP58" s="19" t="s">
        <v>31</v>
      </c>
      <c r="AQ58" s="19" t="s">
        <v>32</v>
      </c>
      <c r="AR58" s="19" t="s">
        <v>33</v>
      </c>
      <c r="AZ58">
        <v>3</v>
      </c>
      <c r="BA58" s="16" t="s">
        <v>132</v>
      </c>
      <c r="BB58" t="str">
        <f ca="1">IF($BD$25&lt;&gt;"",ADDRESS($BD$26+10,$BD$25+3),"")</f>
        <v/>
      </c>
      <c r="BC58" t="str">
        <f ca="1">IF(BB58&lt;&gt;"","3•8","")</f>
        <v/>
      </c>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row>
    <row r="59" spans="1:123" ht="12" hidden="1" customHeight="1">
      <c r="A59"/>
      <c r="B59"/>
      <c r="C59" t="s">
        <v>187</v>
      </c>
      <c r="D59">
        <v>1</v>
      </c>
      <c r="E59">
        <v>2</v>
      </c>
      <c r="F59">
        <v>3</v>
      </c>
      <c r="G59">
        <v>4</v>
      </c>
      <c r="H59">
        <v>5</v>
      </c>
      <c r="I59">
        <v>6</v>
      </c>
      <c r="J59">
        <v>7</v>
      </c>
      <c r="K59">
        <v>8</v>
      </c>
      <c r="L59">
        <v>9</v>
      </c>
      <c r="M59">
        <v>10</v>
      </c>
      <c r="N59">
        <v>11</v>
      </c>
      <c r="O59">
        <v>12</v>
      </c>
      <c r="P59">
        <v>13</v>
      </c>
      <c r="Q59">
        <v>14</v>
      </c>
      <c r="R59">
        <v>15</v>
      </c>
      <c r="S59">
        <v>16</v>
      </c>
      <c r="T59">
        <v>17</v>
      </c>
      <c r="U59">
        <v>18</v>
      </c>
      <c r="V59">
        <v>19</v>
      </c>
      <c r="W59">
        <v>20</v>
      </c>
      <c r="X59">
        <v>21</v>
      </c>
      <c r="Y59">
        <v>22</v>
      </c>
      <c r="Z59">
        <v>23</v>
      </c>
      <c r="AA59">
        <v>24</v>
      </c>
      <c r="AB59">
        <v>25</v>
      </c>
      <c r="AC59">
        <v>26</v>
      </c>
      <c r="AD59">
        <v>27</v>
      </c>
      <c r="AE59">
        <v>28</v>
      </c>
      <c r="AF59">
        <v>29</v>
      </c>
      <c r="AG59">
        <v>30</v>
      </c>
      <c r="AH59">
        <v>31</v>
      </c>
      <c r="AI59">
        <v>32</v>
      </c>
      <c r="AJ59">
        <v>33</v>
      </c>
      <c r="AK59">
        <v>34</v>
      </c>
      <c r="AL59">
        <v>35</v>
      </c>
      <c r="AM59">
        <v>36</v>
      </c>
      <c r="AN59">
        <v>37</v>
      </c>
      <c r="AO59">
        <v>38</v>
      </c>
      <c r="AP59">
        <v>39</v>
      </c>
      <c r="AQ59">
        <v>40</v>
      </c>
      <c r="AR59">
        <v>41</v>
      </c>
      <c r="AS59">
        <v>42</v>
      </c>
      <c r="AT59">
        <v>43</v>
      </c>
      <c r="AU59">
        <v>44</v>
      </c>
      <c r="AV59" s="16">
        <v>45</v>
      </c>
      <c r="AW59" s="16">
        <v>46</v>
      </c>
      <c r="AY59"/>
      <c r="AZ59">
        <v>3</v>
      </c>
      <c r="BA59" s="16" t="s">
        <v>133</v>
      </c>
      <c r="BB59" t="str">
        <f ca="1">IF($BD$27&lt;&gt;"",ADDRESS($BD$28+10,$BD$27+3),"")</f>
        <v/>
      </c>
      <c r="BC59" t="str">
        <f ca="1">IF(BB59&lt;&gt;"","3•9","")</f>
        <v/>
      </c>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row>
    <row r="60" spans="1:123" ht="12" hidden="1" customHeight="1">
      <c r="A60"/>
      <c r="B60"/>
      <c r="C60" s="23" t="s">
        <v>188</v>
      </c>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c r="AO60"/>
      <c r="AP60"/>
      <c r="AQ60"/>
      <c r="AR60"/>
      <c r="AS60"/>
      <c r="AT60"/>
      <c r="AU60"/>
      <c r="AY60"/>
      <c r="AZ60">
        <v>3</v>
      </c>
      <c r="BA60" s="16" t="s">
        <v>134</v>
      </c>
      <c r="BB60" t="str">
        <f ca="1">IF($BD$29&lt;&gt;"",ADDRESS($BD$30+10,$BD$29+3),"")</f>
        <v/>
      </c>
      <c r="BC60" t="str">
        <f ca="1">IF(BB60&lt;&gt;"","3•10","")</f>
        <v/>
      </c>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row>
    <row r="61" spans="1:123" ht="12" hidden="1" customHeight="1">
      <c r="A61"/>
      <c r="B61"/>
      <c r="C61" s="21">
        <f ca="1">IF(COUNTIF(TvT!$F$11:$F$46,"vs"),-1,"")</f>
        <v>-1</v>
      </c>
      <c r="D61">
        <f ca="1">IF(ISNUMBER(VLOOKUP($C61,CS!$C$11:$C$56,1,FALSE)),VLOOKUP($C61,CS!$C$11:$AS$56,43,FALSE),"")</f>
        <v>19</v>
      </c>
      <c r="E61">
        <f ca="1">IF(ISNUMBER(VLOOKUP($C61,CS!$D$11:$D$56,1,FALSE)),VLOOKUP($C61,CS!$D$11:$AS$56,42,FALSE),"")</f>
        <v>21</v>
      </c>
      <c r="F61">
        <f ca="1">IF(ISNUMBER(VLOOKUP($C61,CS!$E$11:$E$56,1,FALSE)),VLOOKUP($C61,CS!$E$11:$AS$56,41,FALSE),"")</f>
        <v>11</v>
      </c>
      <c r="G61">
        <f ca="1">IF(ISNUMBER(VLOOKUP($C61,CS!$F$11:$F$56,1,FALSE)),VLOOKUP($C61,CS!$F$11:$AS$56,40,FALSE),"")</f>
        <v>3</v>
      </c>
      <c r="H61">
        <f ca="1">IF(ISNUMBER(VLOOKUP($C61,CS!$G$11:$G$56,1,FALSE)),VLOOKUP($C61,CS!$G$11:$AS$56,39,FALSE),"")</f>
        <v>2</v>
      </c>
      <c r="I61">
        <f ca="1">IF(ISNUMBER(VLOOKUP($C61,CS!$H$11:$H$56,1,FALSE)),VLOOKUP($C61,CS!$H$11:$AS$56,38,FALSE),"")</f>
        <v>15</v>
      </c>
      <c r="J61">
        <f ca="1">IF(ISNUMBER(VLOOKUP($C61,CS!$I$11:$I$56,1,FALSE)),VLOOKUP($C61,CS!$I$11:$AS$56,37,FALSE),"")</f>
        <v>20</v>
      </c>
      <c r="K61">
        <f ca="1">IF(ISNUMBER(VLOOKUP($C61,CS!$J$11:$J$56,1,FALSE)),VLOOKUP($C61,CS!$J$11:$AS$56,36,FALSE),"")</f>
        <v>24</v>
      </c>
      <c r="L61">
        <f ca="1">IF(ISNUMBER(VLOOKUP($C61,CS!$K$11:$K$56,1,FALSE)),VLOOKUP($C61,CS!$K$11:$AS$56,35,FALSE),"")</f>
        <v>4</v>
      </c>
      <c r="M61">
        <f ca="1">IF(ISNUMBER(VLOOKUP($C61,CS!$L$11:$L$56,1,FALSE)),VLOOKUP($C61,CS!$L$11:$AS$56,34,FALSE),"")</f>
        <v>9</v>
      </c>
      <c r="N61">
        <f ca="1">IF(ISNUMBER(VLOOKUP($C61,CS!$M$11:$M$56,1,FALSE)),VLOOKUP($C61,CS!$M$11:$AS$56,33,FALSE),"")</f>
        <v>14</v>
      </c>
      <c r="O61">
        <f ca="1">IF(ISNUMBER(VLOOKUP($C61,CS!$N$11:$N$56,1,FALSE)),VLOOKUP($C61,CS!$N$11:$AS$56,32,FALSE),"")</f>
        <v>6</v>
      </c>
      <c r="P61">
        <f ca="1">IF(ISNUMBER(VLOOKUP($C61,CS!$O$11:$O$56,1,FALSE)),VLOOKUP($C61,CS!$O$11:$AS$56,31,FALSE),"")</f>
        <v>17</v>
      </c>
      <c r="Q61">
        <f ca="1">IF(ISNUMBER(VLOOKUP($C61,CS!$P$11:$P$56,1,FALSE)),VLOOKUP($C61,CS!$P$11:$AS$56,30,FALSE),"")</f>
        <v>22</v>
      </c>
      <c r="R61" t="str">
        <f ca="1">IF(ISNUMBER(VLOOKUP($C61,CS!$Q$11:$Q$56,1,FALSE)),VLOOKUP($C61,CS!$Q$11:$AS$56,29,FALSE),"")</f>
        <v/>
      </c>
      <c r="S61" t="str">
        <f ca="1">IF(ISNUMBER(VLOOKUP($C61,CS!$R$11:$R$56,1,FALSE)),VLOOKUP($C61,CS!$R$11:$AS$56,28,FALSE),"")</f>
        <v/>
      </c>
      <c r="T61" t="str">
        <f ca="1">IF(ISNUMBER(VLOOKUP($C61,CS!$S$11:$S$56,1,FALSE)),VLOOKUP($C61,CS!$S$11:$AS$56,27,FALSE),"")</f>
        <v/>
      </c>
      <c r="U61" t="str">
        <f ca="1">IF(ISNUMBER(VLOOKUP($C61,CS!$T$11:$T$56,1,FALSE)),VLOOKUP($C61,CS!$T$11:$AS$56,26,FALSE),"")</f>
        <v/>
      </c>
      <c r="V61" t="str">
        <f ca="1">IF(ISNUMBER(VLOOKUP($C61,CS!$U$11:$U$56,1,FALSE)),VLOOKUP($C61,CS!$U$11:$AS$56,25,FALSE),"")</f>
        <v/>
      </c>
      <c r="W61" t="str">
        <f ca="1">IF(ISNUMBER(VLOOKUP($C61,CS!$V$11:$V$56,1,FALSE)),VLOOKUP($C61,CS!$V$11:$AS$56,24,FALSE),"")</f>
        <v/>
      </c>
      <c r="X61" t="str">
        <f ca="1">IF(ISNUMBER(VLOOKUP($C61,CS!$W$11:$W$56,1,FALSE)),VLOOKUP($C61,CS!$W$11:$AS$56,23,FALSE),"")</f>
        <v/>
      </c>
      <c r="Y61" t="str">
        <f ca="1">IF(ISNUMBER(VLOOKUP($C61,CS!$X$11:$X$56,1,FALSE)),VLOOKUP($C61,CS!$X$11:$AS$56,22,FALSE),"")</f>
        <v/>
      </c>
      <c r="Z61" t="str">
        <f ca="1">IF(ISNUMBER(VLOOKUP($C61,CS!$Y$11:$Y$56,1,FALSE)),VLOOKUP($C61,CS!$Y$11:$AS$56,21,FALSE),"")</f>
        <v/>
      </c>
      <c r="AA61" t="str">
        <f ca="1">IF(ISNUMBER(VLOOKUP($C61,CS!$Z$11:$Z$56,1,FALSE)),VLOOKUP($C61,CS!$Z$11:$AS$56,20,FALSE),"")</f>
        <v/>
      </c>
      <c r="AB61" t="str">
        <f ca="1">IF(ISNUMBER(VLOOKUP($C61,CS!$AA$11:$AA$56,1,FALSE)),VLOOKUP($C61,CS!$AA$11:$AS$56,19,FALSE),"")</f>
        <v/>
      </c>
      <c r="AC61" t="str">
        <f ca="1">IF(ISNUMBER(VLOOKUP($C61,CS!$AB$11:$AB$56,1,FALSE)),VLOOKUP($C61,CS!$AB$11:$AS$56,18,FALSE),"")</f>
        <v/>
      </c>
      <c r="AD61" t="str">
        <f ca="1">IF(ISNUMBER(VLOOKUP($C61,CS!$AC$11:$AC$56,1,FALSE)),VLOOKUP($C61,CS!$AC$11:$AS$56,17,FALSE),"")</f>
        <v/>
      </c>
      <c r="AE61" t="str">
        <f ca="1">IF(ISNUMBER(VLOOKUP($C61,CS!$AD$11:$AD$56,1,FALSE)),VLOOKUP($C61,CS!$AD$11:$AS$56,16,FALSE),"")</f>
        <v/>
      </c>
      <c r="AF61" t="str">
        <f ca="1">IF(ISNUMBER(VLOOKUP($C61,CS!$AE$11:$AE$56,1,FALSE)),VLOOKUP($C61,CS!$AE$11:$AS$56,15,FALSE),"")</f>
        <v/>
      </c>
      <c r="AG61" t="str">
        <f ca="1">IF(ISNUMBER(VLOOKUP($C61,CS!$AF$11:$AF$56,1,FALSE)),VLOOKUP($C61,CS!$AF$11:$AS$56,14,FALSE),"")</f>
        <v/>
      </c>
      <c r="AH61" t="str">
        <f ca="1">IF(ISNUMBER(VLOOKUP($C61,CS!$AG$11:$AG$56,1,FALSE)),VLOOKUP($C61,CS!$AG$11:$AS$56,13,FALSE),"")</f>
        <v/>
      </c>
      <c r="AI61" t="str">
        <f ca="1">IF(ISNUMBER(VLOOKUP($C61,CS!$AH$11:$AH$56,1,FALSE)),VLOOKUP($C61,CS!$AH$11:$AS$56,12,FALSE),"")</f>
        <v/>
      </c>
      <c r="AJ61" t="str">
        <f ca="1">IF(ISNUMBER(VLOOKUP($C61,CS!$AI$11:$AI$56,1,FALSE)),VLOOKUP($C61,CS!$AI$11:$AS$56,11,FALSE),"")</f>
        <v/>
      </c>
      <c r="AK61" t="str">
        <f ca="1">IF(ISNUMBER(VLOOKUP($C61,CS!$AJ$11:$AJ$56,1,FALSE)),VLOOKUP($C61,CS!$AJ$11:$AS$56,10,FALSE),"")</f>
        <v/>
      </c>
      <c r="AL61" t="str">
        <f ca="1">IF(ISNUMBER(VLOOKUP($C61,CS!$AK$11:$AK$56,1,FALSE)),VLOOKUP($C61,CS!$AK$11:$AS$56,9,FALSE),"")</f>
        <v/>
      </c>
      <c r="AM61" t="str">
        <f ca="1">IF(ISNUMBER(VLOOKUP($C61,CS!$AL$11:$AL$56,1,FALSE)),VLOOKUP($C61,CS!$AL$11:$AS$56,8,FALSE),"")</f>
        <v/>
      </c>
      <c r="AN61" s="46" t="str">
        <f ca="1">IF(ISNUMBER(VLOOKUP($C61,CS!$AM$11:$AM$56,1,FALSE)),VLOOKUP($C61,CS!$AM$11:$AS$56,7,FALSE),"")</f>
        <v/>
      </c>
      <c r="AO61" s="46" t="str">
        <f ca="1">IF(ISNUMBER(VLOOKUP($C61,CS!$AN$11:$AN$56,1,FALSE)),VLOOKUP($C61,CS!$AN$11:$AS$56,6,FALSE),"")</f>
        <v/>
      </c>
      <c r="AP61" s="46" t="str">
        <f ca="1">IF(ISNUMBER(VLOOKUP($C61,CS!$AO$11:$AO$56,1,FALSE)),VLOOKUP($C61,CS!$AO$11:$AS$56,5,FALSE),"")</f>
        <v/>
      </c>
      <c r="AQ61" s="46" t="str">
        <f ca="1">IF(ISNUMBER(VLOOKUP($C61,CS!$AP$11:$AP$56,1,FALSE)),VLOOKUP($C61,CS!$AP$11:$AS$56,4,FALSE),"")</f>
        <v/>
      </c>
      <c r="AR61" s="46" t="str">
        <f ca="1">IF(ISNUMBER(VLOOKUP($C61,CS!$AQ$11:$AQ$56,1,FALSE)),VLOOKUP($C61,CS!$AQ$11:$AS$56,3,FALSE),"")</f>
        <v/>
      </c>
      <c r="AS61"/>
      <c r="AT61"/>
      <c r="AU61"/>
      <c r="AY61" t="s">
        <v>138</v>
      </c>
      <c r="AZ61">
        <v>4</v>
      </c>
      <c r="BA61" s="16" t="s">
        <v>125</v>
      </c>
      <c r="BB61" t="str">
        <f ca="1">IF($BE$11&lt;&gt;"",ADDRESS($BE$12+10,$BE$11+3),"")</f>
        <v>$F$17</v>
      </c>
      <c r="BC61" t="str">
        <f ca="1">IF(BB61&lt;&gt;"","4•1","")</f>
        <v>4•1</v>
      </c>
      <c r="BD61"/>
      <c r="BE61"/>
      <c r="BF61"/>
      <c r="BG61"/>
      <c r="BH61"/>
      <c r="BI61"/>
      <c r="BJ61"/>
      <c r="BK61"/>
      <c r="BL61"/>
      <c r="BM61"/>
      <c r="BN61"/>
      <c r="BO61"/>
      <c r="BP61"/>
      <c r="BQ61"/>
      <c r="BR61"/>
      <c r="BS61"/>
      <c r="BT61"/>
      <c r="BU61"/>
      <c r="BV61"/>
      <c r="BW61"/>
      <c r="BX61"/>
      <c r="BY61"/>
    </row>
    <row r="62" spans="1:123" ht="12" hidden="1" customHeight="1">
      <c r="A62"/>
      <c r="B62"/>
      <c r="C62" s="23">
        <f ca="1">IF(COUNTIF(TvT!$F$11:$F$46,"vs"),1,"")</f>
        <v>1</v>
      </c>
      <c r="D62">
        <f ca="1">IF(ISNUMBER(VLOOKUP($C62,CS!$C$11:$C$56,1,FALSE)),VLOOKUP($C62,CS!$C$11:$AS$56,43,FALSE),"")</f>
        <v>22</v>
      </c>
      <c r="E62">
        <f ca="1">IF(ISNUMBER(VLOOKUP($C62,CS!$D$11:$D$56,1,FALSE)),VLOOKUP($C62,CS!$D$11:$AS$56,42,FALSE),"")</f>
        <v>20</v>
      </c>
      <c r="F62">
        <f ca="1">IF(ISNUMBER(VLOOKUP($C62,CS!$E$11:$E$56,1,FALSE)),VLOOKUP($C62,CS!$E$11:$AS$56,41,FALSE),"")</f>
        <v>13</v>
      </c>
      <c r="G62">
        <f ca="1">IF(ISNUMBER(VLOOKUP($C62,CS!$F$11:$F$56,1,FALSE)),VLOOKUP($C62,CS!$F$11:$AS$56,40,FALSE),"")</f>
        <v>7</v>
      </c>
      <c r="H62">
        <f ca="1">IF(ISNUMBER(VLOOKUP($C62,CS!$G$11:$G$56,1,FALSE)),VLOOKUP($C62,CS!$G$11:$AS$56,39,FALSE),"")</f>
        <v>5</v>
      </c>
      <c r="I62">
        <f ca="1">IF(ISNUMBER(VLOOKUP($C62,CS!$H$11:$H$56,1,FALSE)),VLOOKUP($C62,CS!$H$11:$AS$56,38,FALSE),"")</f>
        <v>10</v>
      </c>
      <c r="J62">
        <f ca="1">IF(ISNUMBER(VLOOKUP($C62,CS!$I$11:$I$56,1,FALSE)),VLOOKUP($C62,CS!$I$11:$AS$56,37,FALSE),"")</f>
        <v>23</v>
      </c>
      <c r="K62">
        <f ca="1">IF(ISNUMBER(VLOOKUP($C62,CS!$J$11:$J$56,1,FALSE)),VLOOKUP($C62,CS!$J$11:$AS$56,36,FALSE),"")</f>
        <v>19</v>
      </c>
      <c r="L62">
        <f ca="1">IF(ISNUMBER(VLOOKUP($C62,CS!$K$11:$K$56,1,FALSE)),VLOOKUP($C62,CS!$K$11:$AS$56,35,FALSE),"")</f>
        <v>1</v>
      </c>
      <c r="M62">
        <f ca="1">IF(ISNUMBER(VLOOKUP($C62,CS!$L$11:$L$56,1,FALSE)),VLOOKUP($C62,CS!$L$11:$AS$56,34,FALSE),"")</f>
        <v>12</v>
      </c>
      <c r="N62">
        <f ca="1">IF(ISNUMBER(VLOOKUP($C62,CS!$M$11:$M$56,1,FALSE)),VLOOKUP($C62,CS!$M$11:$AS$56,33,FALSE),"")</f>
        <v>16</v>
      </c>
      <c r="O62">
        <f ca="1">IF(ISNUMBER(VLOOKUP($C62,CS!$N$11:$N$56,1,FALSE)),VLOOKUP($C62,CS!$N$11:$AS$56,32,FALSE),"")</f>
        <v>8</v>
      </c>
      <c r="P62">
        <f ca="1">IF(ISNUMBER(VLOOKUP($C62,CS!$O$11:$O$56,1,FALSE)),VLOOKUP($C62,CS!$O$11:$AS$56,31,FALSE),"")</f>
        <v>18</v>
      </c>
      <c r="Q62">
        <f ca="1">IF(ISNUMBER(VLOOKUP($C62,CS!$P$11:$P$56,1,FALSE)),VLOOKUP($C62,CS!$P$11:$AS$56,30,FALSE),"")</f>
        <v>21</v>
      </c>
      <c r="R62" t="str">
        <f ca="1">IF(ISNUMBER(VLOOKUP($C62,CS!$Q$11:$Q$56,1,FALSE)),VLOOKUP($C62,CS!$Q$11:$AS$56,29,FALSE),"")</f>
        <v/>
      </c>
      <c r="S62" t="str">
        <f ca="1">IF(ISNUMBER(VLOOKUP($C62,CS!$R$11:$R$56,1,FALSE)),VLOOKUP($C62,CS!$R$11:$AS$56,28,FALSE),"")</f>
        <v/>
      </c>
      <c r="T62" t="str">
        <f ca="1">IF(ISNUMBER(VLOOKUP($C62,CS!$S$11:$S$56,1,FALSE)),VLOOKUP($C62,CS!$S$11:$AS$56,27,FALSE),"")</f>
        <v/>
      </c>
      <c r="U62" t="str">
        <f ca="1">IF(ISNUMBER(VLOOKUP($C62,CS!$T$11:$T$56,1,FALSE)),VLOOKUP($C62,CS!$T$11:$AS$56,26,FALSE),"")</f>
        <v/>
      </c>
      <c r="V62" t="str">
        <f ca="1">IF(ISNUMBER(VLOOKUP($C62,CS!$U$11:$U$56,1,FALSE)),VLOOKUP($C62,CS!$U$11:$AS$56,25,FALSE),"")</f>
        <v/>
      </c>
      <c r="W62" t="str">
        <f ca="1">IF(ISNUMBER(VLOOKUP($C62,CS!$V$11:$V$56,1,FALSE)),VLOOKUP($C62,CS!$V$11:$AS$56,24,FALSE),"")</f>
        <v/>
      </c>
      <c r="X62" t="str">
        <f ca="1">IF(ISNUMBER(VLOOKUP($C62,CS!$W$11:$W$56,1,FALSE)),VLOOKUP($C62,CS!$W$11:$AS$56,23,FALSE),"")</f>
        <v/>
      </c>
      <c r="Y62" t="str">
        <f ca="1">IF(ISNUMBER(VLOOKUP($C62,CS!$X$11:$X$56,1,FALSE)),VLOOKUP($C62,CS!$X$11:$AS$56,22,FALSE),"")</f>
        <v/>
      </c>
      <c r="Z62" t="str">
        <f ca="1">IF(ISNUMBER(VLOOKUP($C62,CS!$Y$11:$Y$56,1,FALSE)),VLOOKUP($C62,CS!$Y$11:$AS$56,21,FALSE),"")</f>
        <v/>
      </c>
      <c r="AA62" t="str">
        <f ca="1">IF(ISNUMBER(VLOOKUP($C62,CS!$Z$11:$Z$56,1,FALSE)),VLOOKUP($C62,CS!$Z$11:$AS$56,20,FALSE),"")</f>
        <v/>
      </c>
      <c r="AB62" t="str">
        <f ca="1">IF(ISNUMBER(VLOOKUP($C62,CS!$AA$11:$AA$56,1,FALSE)),VLOOKUP($C62,CS!$AA$11:$AS$56,19,FALSE),"")</f>
        <v/>
      </c>
      <c r="AC62" t="str">
        <f ca="1">IF(ISNUMBER(VLOOKUP($C62,CS!$AB$11:$AB$56,1,FALSE)),VLOOKUP($C62,CS!$AB$11:$AS$56,18,FALSE),"")</f>
        <v/>
      </c>
      <c r="AD62" t="str">
        <f ca="1">IF(ISNUMBER(VLOOKUP($C62,CS!$AC$11:$AC$56,1,FALSE)),VLOOKUP($C62,CS!$AC$11:$AS$56,17,FALSE),"")</f>
        <v/>
      </c>
      <c r="AE62" t="str">
        <f ca="1">IF(ISNUMBER(VLOOKUP($C62,CS!$AD$11:$AD$56,1,FALSE)),VLOOKUP($C62,CS!$AD$11:$AS$56,16,FALSE),"")</f>
        <v/>
      </c>
      <c r="AF62" t="str">
        <f ca="1">IF(ISNUMBER(VLOOKUP($C62,CS!$AE$11:$AE$56,1,FALSE)),VLOOKUP($C62,CS!$AE$11:$AS$56,15,FALSE),"")</f>
        <v/>
      </c>
      <c r="AG62" t="str">
        <f ca="1">IF(ISNUMBER(VLOOKUP($C62,CS!$AF$11:$AF$56,1,FALSE)),VLOOKUP($C62,CS!$AF$11:$AS$56,14,FALSE),"")</f>
        <v/>
      </c>
      <c r="AH62" t="str">
        <f ca="1">IF(ISNUMBER(VLOOKUP($C62,CS!$AG$11:$AG$56,1,FALSE)),VLOOKUP($C62,CS!$AG$11:$AS$56,13,FALSE),"")</f>
        <v/>
      </c>
      <c r="AI62" t="str">
        <f ca="1">IF(ISNUMBER(VLOOKUP($C62,CS!$AH$11:$AH$56,1,FALSE)),VLOOKUP($C62,CS!$AH$11:$AS$56,12,FALSE),"")</f>
        <v/>
      </c>
      <c r="AJ62" t="str">
        <f ca="1">IF(ISNUMBER(VLOOKUP($C62,CS!$AI$11:$AI$56,1,FALSE)),VLOOKUP($C62,CS!$AI$11:$AS$56,11,FALSE),"")</f>
        <v/>
      </c>
      <c r="AK62" t="str">
        <f ca="1">IF(ISNUMBER(VLOOKUP($C62,CS!$AJ$11:$AJ$56,1,FALSE)),VLOOKUP($C62,CS!$AJ$11:$AS$56,10,FALSE),"")</f>
        <v/>
      </c>
      <c r="AL62" t="str">
        <f ca="1">IF(ISNUMBER(VLOOKUP($C62,CS!$AK$11:$AK$56,1,FALSE)),VLOOKUP($C62,CS!$AK$11:$AS$56,9,FALSE),"")</f>
        <v/>
      </c>
      <c r="AM62" t="str">
        <f ca="1">IF(ISNUMBER(VLOOKUP($C62,CS!$AL$11:$AL$56,1,FALSE)),VLOOKUP($C62,CS!$AL$11:$AS$56,8,FALSE),"")</f>
        <v/>
      </c>
      <c r="AN62" t="str">
        <f ca="1">IF(ISNUMBER(VLOOKUP($C62,CS!$AM$11:$AM$56,1,FALSE)),VLOOKUP($C62,CS!$AM$11:$AS$56,7,FALSE),"")</f>
        <v/>
      </c>
      <c r="AO62" t="str">
        <f ca="1">IF(ISNUMBER(VLOOKUP($C62,CS!$AN$11:$AN$56,1,FALSE)),VLOOKUP($C62,CS!$AN$11:$AS$56,6,FALSE),"")</f>
        <v/>
      </c>
      <c r="AP62" t="str">
        <f ca="1">IF(ISNUMBER(VLOOKUP($C62,CS!$AO$11:$AO$56,1,FALSE)),VLOOKUP($C62,CS!$AO$11:$AS$56,5,FALSE),"")</f>
        <v/>
      </c>
      <c r="AQ62" t="str">
        <f ca="1">IF(ISNUMBER(VLOOKUP($C62,CS!$AP$11:$AP$56,1,FALSE)),VLOOKUP($C62,CS!$AP$11:$AS$56,4,FALSE),"")</f>
        <v/>
      </c>
      <c r="AR62">
        <f ca="1">IF(ISNUMBER(VLOOKUP($C62,CS!$AQ$11:$AQ$56,1,FALSE)),VLOOKUP($C62,CS!$AQ$11:$AS$56,3,FALSE),"")</f>
        <v>1</v>
      </c>
      <c r="AS62"/>
      <c r="AT62"/>
      <c r="AU62"/>
      <c r="AY62"/>
      <c r="AZ62">
        <v>4</v>
      </c>
      <c r="BA62" s="16" t="s">
        <v>126</v>
      </c>
      <c r="BB62" t="str">
        <f ca="1">IF($BE$13&lt;&gt;"",ADDRESS($BE$14+10,$BE$13+3),"")</f>
        <v>$U$32</v>
      </c>
      <c r="BC62" t="str">
        <f ca="1">IF(BB62&lt;&gt;"","4•2","")</f>
        <v>4•2</v>
      </c>
      <c r="BD62"/>
      <c r="BE62"/>
      <c r="BF62"/>
      <c r="BG62"/>
      <c r="BH62"/>
      <c r="BI62"/>
      <c r="BJ62"/>
      <c r="BK62"/>
      <c r="BL62"/>
      <c r="BM62"/>
      <c r="BN62"/>
      <c r="BO62"/>
      <c r="BP62"/>
      <c r="BQ62"/>
      <c r="BR62"/>
      <c r="BS62"/>
      <c r="BT62"/>
      <c r="BU62"/>
      <c r="BV62"/>
      <c r="BW62"/>
      <c r="BX62"/>
      <c r="BY62"/>
    </row>
    <row r="63" spans="1:123" ht="12" hidden="1" customHeight="1">
      <c r="A63"/>
      <c r="B63"/>
      <c r="C63" s="21">
        <f ca="1">IF(COUNTIF(TvT!$J$11:$J$46,"vs"),-2,"")</f>
        <v>-2</v>
      </c>
      <c r="D63">
        <f ca="1">IF(ISNUMBER(VLOOKUP($C63,CS!$C$11:$C$56,1,FALSE)),VLOOKUP($C63,CS!$C$11:$AS$56,43,FALSE),"")</f>
        <v>4</v>
      </c>
      <c r="E63">
        <f ca="1">IF(ISNUMBER(VLOOKUP($C63,CS!$D$11:$D$56,1,FALSE)),VLOOKUP($C63,CS!$D$11:$AS$56,42,FALSE),"")</f>
        <v>16</v>
      </c>
      <c r="F63">
        <f ca="1">IF(ISNUMBER(VLOOKUP($C63,CS!$E$11:$E$56,1,FALSE)),VLOOKUP($C63,CS!$E$11:$AS$56,41,FALSE),"")</f>
        <v>9</v>
      </c>
      <c r="G63">
        <f ca="1">IF(ISNUMBER(VLOOKUP($C63,CS!$F$11:$F$56,1,FALSE)),VLOOKUP($C63,CS!$F$11:$AS$56,40,FALSE),"")</f>
        <v>22</v>
      </c>
      <c r="H63">
        <f ca="1">IF(ISNUMBER(VLOOKUP($C63,CS!$G$11:$G$56,1,FALSE)),VLOOKUP($C63,CS!$G$11:$AS$56,39,FALSE),"")</f>
        <v>3</v>
      </c>
      <c r="I63">
        <f ca="1">IF(ISNUMBER(VLOOKUP($C63,CS!$H$11:$H$56,1,FALSE)),VLOOKUP($C63,CS!$H$11:$AS$56,38,FALSE),"")</f>
        <v>19</v>
      </c>
      <c r="J63">
        <f ca="1">IF(ISNUMBER(VLOOKUP($C63,CS!$I$11:$I$56,1,FALSE)),VLOOKUP($C63,CS!$I$11:$AS$56,37,FALSE),"")</f>
        <v>11</v>
      </c>
      <c r="K63">
        <f ca="1">IF(ISNUMBER(VLOOKUP($C63,CS!$J$11:$J$56,1,FALSE)),VLOOKUP($C63,CS!$J$11:$AS$56,36,FALSE),"")</f>
        <v>1</v>
      </c>
      <c r="L63">
        <f ca="1">IF(ISNUMBER(VLOOKUP($C63,CS!$K$11:$K$56,1,FALSE)),VLOOKUP($C63,CS!$K$11:$AS$56,35,FALSE),"")</f>
        <v>17</v>
      </c>
      <c r="M63">
        <f ca="1">IF(ISNUMBER(VLOOKUP($C63,CS!$L$11:$L$56,1,FALSE)),VLOOKUP($C63,CS!$L$11:$AS$56,34,FALSE),"")</f>
        <v>21</v>
      </c>
      <c r="N63">
        <f ca="1">IF(ISNUMBER(VLOOKUP($C63,CS!$M$11:$M$56,1,FALSE)),VLOOKUP($C63,CS!$M$11:$AS$56,33,FALSE),"")</f>
        <v>12</v>
      </c>
      <c r="O63">
        <f ca="1">IF(ISNUMBER(VLOOKUP($C63,CS!$N$11:$N$56,1,FALSE)),VLOOKUP($C63,CS!$N$11:$AS$56,32,FALSE),"")</f>
        <v>2</v>
      </c>
      <c r="P63">
        <f ca="1">IF(ISNUMBER(VLOOKUP($C63,CS!$O$11:$O$56,1,FALSE)),VLOOKUP($C63,CS!$O$11:$AS$56,31,FALSE),"")</f>
        <v>6</v>
      </c>
      <c r="Q63">
        <f ca="1">IF(ISNUMBER(VLOOKUP($C63,CS!$P$11:$P$56,1,FALSE)),VLOOKUP($C63,CS!$P$11:$AS$56,30,FALSE),"")</f>
        <v>13</v>
      </c>
      <c r="R63" t="str">
        <f ca="1">IF(ISNUMBER(VLOOKUP($C63,CS!$Q$11:$Q$56,1,FALSE)),VLOOKUP($C63,CS!$Q$11:$AS$56,29,FALSE),"")</f>
        <v/>
      </c>
      <c r="S63" t="str">
        <f ca="1">IF(ISNUMBER(VLOOKUP($C63,CS!$R$11:$R$56,1,FALSE)),VLOOKUP($C63,CS!$R$11:$AS$56,28,FALSE),"")</f>
        <v/>
      </c>
      <c r="T63" t="str">
        <f ca="1">IF(ISNUMBER(VLOOKUP($C63,CS!$S$11:$S$56,1,FALSE)),VLOOKUP($C63,CS!$S$11:$AS$56,27,FALSE),"")</f>
        <v/>
      </c>
      <c r="U63" t="str">
        <f ca="1">IF(ISNUMBER(VLOOKUP($C63,CS!$T$11:$T$56,1,FALSE)),VLOOKUP($C63,CS!$T$11:$AS$56,26,FALSE),"")</f>
        <v/>
      </c>
      <c r="V63" t="str">
        <f ca="1">IF(ISNUMBER(VLOOKUP($C63,CS!$U$11:$U$56,1,FALSE)),VLOOKUP($C63,CS!$U$11:$AS$56,25,FALSE),"")</f>
        <v/>
      </c>
      <c r="W63" t="str">
        <f ca="1">IF(ISNUMBER(VLOOKUP($C63,CS!$V$11:$V$56,1,FALSE)),VLOOKUP($C63,CS!$V$11:$AS$56,24,FALSE),"")</f>
        <v/>
      </c>
      <c r="X63" t="str">
        <f ca="1">IF(ISNUMBER(VLOOKUP($C63,CS!$W$11:$W$56,1,FALSE)),VLOOKUP($C63,CS!$W$11:$AS$56,23,FALSE),"")</f>
        <v/>
      </c>
      <c r="Y63" t="str">
        <f ca="1">IF(ISNUMBER(VLOOKUP($C63,CS!$X$11:$X$56,1,FALSE)),VLOOKUP($C63,CS!$X$11:$AS$56,22,FALSE),"")</f>
        <v/>
      </c>
      <c r="Z63" t="str">
        <f ca="1">IF(ISNUMBER(VLOOKUP($C63,CS!$Y$11:$Y$56,1,FALSE)),VLOOKUP($C63,CS!$Y$11:$AS$56,21,FALSE),"")</f>
        <v/>
      </c>
      <c r="AA63" t="str">
        <f ca="1">IF(ISNUMBER(VLOOKUP($C63,CS!$Z$11:$Z$56,1,FALSE)),VLOOKUP($C63,CS!$Z$11:$AS$56,20,FALSE),"")</f>
        <v/>
      </c>
      <c r="AB63" t="str">
        <f ca="1">IF(ISNUMBER(VLOOKUP($C63,CS!$AA$11:$AA$56,1,FALSE)),VLOOKUP($C63,CS!$AA$11:$AS$56,19,FALSE),"")</f>
        <v/>
      </c>
      <c r="AC63" t="str">
        <f ca="1">IF(ISNUMBER(VLOOKUP($C63,CS!$AB$11:$AB$56,1,FALSE)),VLOOKUP($C63,CS!$AB$11:$AS$56,18,FALSE),"")</f>
        <v/>
      </c>
      <c r="AD63" t="str">
        <f ca="1">IF(ISNUMBER(VLOOKUP($C63,CS!$AC$11:$AC$56,1,FALSE)),VLOOKUP($C63,CS!$AC$11:$AS$56,17,FALSE),"")</f>
        <v/>
      </c>
      <c r="AE63" t="str">
        <f ca="1">IF(ISNUMBER(VLOOKUP($C63,CS!$AD$11:$AD$56,1,FALSE)),VLOOKUP($C63,CS!$AD$11:$AS$56,16,FALSE),"")</f>
        <v/>
      </c>
      <c r="AF63" t="str">
        <f ca="1">IF(ISNUMBER(VLOOKUP($C63,CS!$AE$11:$AE$56,1,FALSE)),VLOOKUP($C63,CS!$AE$11:$AS$56,15,FALSE),"")</f>
        <v/>
      </c>
      <c r="AG63" t="str">
        <f ca="1">IF(ISNUMBER(VLOOKUP($C63,CS!$AF$11:$AF$56,1,FALSE)),VLOOKUP($C63,CS!$AF$11:$AS$56,14,FALSE),"")</f>
        <v/>
      </c>
      <c r="AH63" t="str">
        <f ca="1">IF(ISNUMBER(VLOOKUP($C63,CS!$AG$11:$AG$56,1,FALSE)),VLOOKUP($C63,CS!$AG$11:$AS$56,13,FALSE),"")</f>
        <v/>
      </c>
      <c r="AI63" t="str">
        <f ca="1">IF(ISNUMBER(VLOOKUP($C63,CS!$AH$11:$AH$56,1,FALSE)),VLOOKUP($C63,CS!$AH$11:$AS$56,12,FALSE),"")</f>
        <v/>
      </c>
      <c r="AJ63" t="str">
        <f ca="1">IF(ISNUMBER(VLOOKUP($C63,CS!$AI$11:$AI$56,1,FALSE)),VLOOKUP($C63,CS!$AI$11:$AS$56,11,FALSE),"")</f>
        <v/>
      </c>
      <c r="AK63" t="str">
        <f ca="1">IF(ISNUMBER(VLOOKUP($C63,CS!$AJ$11:$AJ$56,1,FALSE)),VLOOKUP($C63,CS!$AJ$11:$AS$56,10,FALSE),"")</f>
        <v/>
      </c>
      <c r="AL63" t="str">
        <f ca="1">IF(ISNUMBER(VLOOKUP($C63,CS!$AK$11:$AK$56,1,FALSE)),VLOOKUP($C63,CS!$AK$11:$AS$56,9,FALSE),"")</f>
        <v/>
      </c>
      <c r="AM63" t="str">
        <f ca="1">IF(ISNUMBER(VLOOKUP($C63,CS!$AL$11:$AL$56,1,FALSE)),VLOOKUP($C63,CS!$AL$11:$AS$56,8,FALSE),"")</f>
        <v/>
      </c>
      <c r="AN63" t="str">
        <f ca="1">IF(ISNUMBER(VLOOKUP($C63,CS!$AM$11:$AM$56,1,FALSE)),VLOOKUP($C63,CS!$AM$11:$AS$56,7,FALSE),"")</f>
        <v/>
      </c>
      <c r="AO63" t="str">
        <f ca="1">IF(ISNUMBER(VLOOKUP($C63,CS!$AN$11:$AN$56,1,FALSE)),VLOOKUP($C63,CS!$AN$11:$AS$56,6,FALSE),"")</f>
        <v/>
      </c>
      <c r="AP63" t="str">
        <f ca="1">IF(ISNUMBER(VLOOKUP($C63,CS!$AO$11:$AO$56,1,FALSE)),VLOOKUP($C63,CS!$AO$11:$AS$56,5,FALSE),"")</f>
        <v/>
      </c>
      <c r="AQ63" t="str">
        <f ca="1">IF(ISNUMBER(VLOOKUP($C63,CS!$AP$11:$AP$56,1,FALSE)),VLOOKUP($C63,CS!$AP$11:$AS$56,4,FALSE),"")</f>
        <v/>
      </c>
      <c r="AR63" t="str">
        <f ca="1">IF(ISNUMBER(VLOOKUP($C63,CS!$AQ$11:$AQ$56,1,FALSE)),VLOOKUP($C63,CS!$AQ$11:$AS$56,3,FALSE),"")</f>
        <v/>
      </c>
      <c r="AS63"/>
      <c r="AT63"/>
      <c r="AU63"/>
      <c r="AY63"/>
      <c r="AZ63">
        <v>4</v>
      </c>
      <c r="BA63" s="16" t="s">
        <v>127</v>
      </c>
      <c r="BB63" t="str">
        <f ca="1">IF($BE$15&lt;&gt;"",ADDRESS($BE$16+10,$BE$15+3),"")</f>
        <v>$T$33</v>
      </c>
      <c r="BC63" t="str">
        <f ca="1">IF(BB63&lt;&gt;"","4•3","")</f>
        <v>4•3</v>
      </c>
      <c r="BD63"/>
      <c r="BE63"/>
      <c r="BF63"/>
      <c r="BG63"/>
      <c r="BH63"/>
      <c r="BI63"/>
      <c r="BJ63"/>
      <c r="BK63"/>
      <c r="BL63"/>
      <c r="BM63"/>
      <c r="BN63"/>
      <c r="BO63"/>
      <c r="BP63"/>
      <c r="BQ63"/>
      <c r="BR63"/>
      <c r="BS63"/>
      <c r="BT63"/>
      <c r="BU63"/>
      <c r="BV63"/>
      <c r="BW63"/>
      <c r="BX63"/>
      <c r="BY63"/>
    </row>
    <row r="64" spans="1:123" ht="12" hidden="1" customHeight="1">
      <c r="A64"/>
      <c r="B64"/>
      <c r="C64" s="23">
        <f ca="1">IF(COUNTIF(TvT!$J$11:$J$46,"vs"),2,"")</f>
        <v>2</v>
      </c>
      <c r="D64">
        <f ca="1">IF(ISNUMBER(VLOOKUP($C64,CS!$C$11:$C$56,1,FALSE)),VLOOKUP($C64,CS!$C$11:$AS$56,43,FALSE),"")</f>
        <v>6</v>
      </c>
      <c r="E64">
        <f ca="1">IF(ISNUMBER(VLOOKUP($C64,CS!$D$11:$D$56,1,FALSE)),VLOOKUP($C64,CS!$D$11:$AS$56,42,FALSE),"")</f>
        <v>12</v>
      </c>
      <c r="F64">
        <f ca="1">IF(ISNUMBER(VLOOKUP($C64,CS!$E$11:$E$56,1,FALSE)),VLOOKUP($C64,CS!$E$11:$AS$56,41,FALSE),"")</f>
        <v>15</v>
      </c>
      <c r="G64">
        <f ca="1">IF(ISNUMBER(VLOOKUP($C64,CS!$F$11:$F$56,1,FALSE)),VLOOKUP($C64,CS!$F$11:$AS$56,40,FALSE),"")</f>
        <v>18</v>
      </c>
      <c r="H64">
        <f ca="1">IF(ISNUMBER(VLOOKUP($C64,CS!$G$11:$G$56,1,FALSE)),VLOOKUP($C64,CS!$G$11:$AS$56,39,FALSE),"")</f>
        <v>8</v>
      </c>
      <c r="I64">
        <f ca="1">IF(ISNUMBER(VLOOKUP($C64,CS!$H$11:$H$56,1,FALSE)),VLOOKUP($C64,CS!$H$11:$AS$56,38,FALSE),"")</f>
        <v>23</v>
      </c>
      <c r="J64">
        <f ca="1">IF(ISNUMBER(VLOOKUP($C64,CS!$I$11:$I$56,1,FALSE)),VLOOKUP($C64,CS!$I$11:$AS$56,37,FALSE),"")</f>
        <v>16</v>
      </c>
      <c r="K64">
        <f ca="1">IF(ISNUMBER(VLOOKUP($C64,CS!$J$11:$J$56,1,FALSE)),VLOOKUP($C64,CS!$J$11:$AS$56,36,FALSE),"")</f>
        <v>7</v>
      </c>
      <c r="L64">
        <f ca="1">IF(ISNUMBER(VLOOKUP($C64,CS!$K$11:$K$56,1,FALSE)),VLOOKUP($C64,CS!$K$11:$AS$56,35,FALSE),"")</f>
        <v>20</v>
      </c>
      <c r="M64">
        <f ca="1">IF(ISNUMBER(VLOOKUP($C64,CS!$L$11:$L$56,1,FALSE)),VLOOKUP($C64,CS!$L$11:$AS$56,34,FALSE),"")</f>
        <v>24</v>
      </c>
      <c r="N64">
        <f ca="1">IF(ISNUMBER(VLOOKUP($C64,CS!$M$11:$M$56,1,FALSE)),VLOOKUP($C64,CS!$M$11:$AS$56,33,FALSE),"")</f>
        <v>10</v>
      </c>
      <c r="O64">
        <f ca="1">IF(ISNUMBER(VLOOKUP($C64,CS!$N$11:$N$56,1,FALSE)),VLOOKUP($C64,CS!$N$11:$AS$56,32,FALSE),"")</f>
        <v>4</v>
      </c>
      <c r="P64">
        <f ca="1">IF(ISNUMBER(VLOOKUP($C64,CS!$O$11:$O$56,1,FALSE)),VLOOKUP($C64,CS!$O$11:$AS$56,31,FALSE),"")</f>
        <v>5</v>
      </c>
      <c r="Q64">
        <f ca="1">IF(ISNUMBER(VLOOKUP($C64,CS!$P$11:$P$56,1,FALSE)),VLOOKUP($C64,CS!$P$11:$AS$56,30,FALSE),"")</f>
        <v>14</v>
      </c>
      <c r="R64" t="str">
        <f ca="1">IF(ISNUMBER(VLOOKUP($C64,CS!$Q$11:$Q$56,1,FALSE)),VLOOKUP($C64,CS!$Q$11:$AS$56,29,FALSE),"")</f>
        <v/>
      </c>
      <c r="S64" t="str">
        <f ca="1">IF(ISNUMBER(VLOOKUP($C64,CS!$R$11:$R$56,1,FALSE)),VLOOKUP($C64,CS!$R$11:$AS$56,28,FALSE),"")</f>
        <v/>
      </c>
      <c r="T64" t="str">
        <f ca="1">IF(ISNUMBER(VLOOKUP($C64,CS!$S$11:$S$56,1,FALSE)),VLOOKUP($C64,CS!$S$11:$AS$56,27,FALSE),"")</f>
        <v/>
      </c>
      <c r="U64" t="str">
        <f ca="1">IF(ISNUMBER(VLOOKUP($C64,CS!$T$11:$T$56,1,FALSE)),VLOOKUP($C64,CS!$T$11:$AS$56,26,FALSE),"")</f>
        <v/>
      </c>
      <c r="V64" t="str">
        <f ca="1">IF(ISNUMBER(VLOOKUP($C64,CS!$U$11:$U$56,1,FALSE)),VLOOKUP($C64,CS!$U$11:$AS$56,25,FALSE),"")</f>
        <v/>
      </c>
      <c r="W64" t="str">
        <f ca="1">IF(ISNUMBER(VLOOKUP($C64,CS!$V$11:$V$56,1,FALSE)),VLOOKUP($C64,CS!$V$11:$AS$56,24,FALSE),"")</f>
        <v/>
      </c>
      <c r="X64" t="str">
        <f ca="1">IF(ISNUMBER(VLOOKUP($C64,CS!$W$11:$W$56,1,FALSE)),VLOOKUP($C64,CS!$W$11:$AS$56,23,FALSE),"")</f>
        <v/>
      </c>
      <c r="Y64" t="str">
        <f ca="1">IF(ISNUMBER(VLOOKUP($C64,CS!$X$11:$X$56,1,FALSE)),VLOOKUP($C64,CS!$X$11:$AS$56,22,FALSE),"")</f>
        <v/>
      </c>
      <c r="Z64" t="str">
        <f ca="1">IF(ISNUMBER(VLOOKUP($C64,CS!$Y$11:$Y$56,1,FALSE)),VLOOKUP($C64,CS!$Y$11:$AS$56,21,FALSE),"")</f>
        <v/>
      </c>
      <c r="AA64" t="str">
        <f ca="1">IF(ISNUMBER(VLOOKUP($C64,CS!$Z$11:$Z$56,1,FALSE)),VLOOKUP($C64,CS!$Z$11:$AS$56,20,FALSE),"")</f>
        <v/>
      </c>
      <c r="AB64" t="str">
        <f ca="1">IF(ISNUMBER(VLOOKUP($C64,CS!$AA$11:$AA$56,1,FALSE)),VLOOKUP($C64,CS!$AA$11:$AS$56,19,FALSE),"")</f>
        <v/>
      </c>
      <c r="AC64" t="str">
        <f ca="1">IF(ISNUMBER(VLOOKUP($C64,CS!$AB$11:$AB$56,1,FALSE)),VLOOKUP($C64,CS!$AB$11:$AS$56,18,FALSE),"")</f>
        <v/>
      </c>
      <c r="AD64" t="str">
        <f ca="1">IF(ISNUMBER(VLOOKUP($C64,CS!$AC$11:$AC$56,1,FALSE)),VLOOKUP($C64,CS!$AC$11:$AS$56,17,FALSE),"")</f>
        <v/>
      </c>
      <c r="AE64" t="str">
        <f ca="1">IF(ISNUMBER(VLOOKUP($C64,CS!$AD$11:$AD$56,1,FALSE)),VLOOKUP($C64,CS!$AD$11:$AS$56,16,FALSE),"")</f>
        <v/>
      </c>
      <c r="AF64" t="str">
        <f ca="1">IF(ISNUMBER(VLOOKUP($C64,CS!$AE$11:$AE$56,1,FALSE)),VLOOKUP($C64,CS!$AE$11:$AS$56,15,FALSE),"")</f>
        <v/>
      </c>
      <c r="AG64" t="str">
        <f ca="1">IF(ISNUMBER(VLOOKUP($C64,CS!$AF$11:$AF$56,1,FALSE)),VLOOKUP($C64,CS!$AF$11:$AS$56,14,FALSE),"")</f>
        <v/>
      </c>
      <c r="AH64" t="str">
        <f ca="1">IF(ISNUMBER(VLOOKUP($C64,CS!$AG$11:$AG$56,1,FALSE)),VLOOKUP($C64,CS!$AG$11:$AS$56,13,FALSE),"")</f>
        <v/>
      </c>
      <c r="AI64" t="str">
        <f ca="1">IF(ISNUMBER(VLOOKUP($C64,CS!$AH$11:$AH$56,1,FALSE)),VLOOKUP($C64,CS!$AH$11:$AS$56,12,FALSE),"")</f>
        <v/>
      </c>
      <c r="AJ64" t="str">
        <f ca="1">IF(ISNUMBER(VLOOKUP($C64,CS!$AI$11:$AI$56,1,FALSE)),VLOOKUP($C64,CS!$AI$11:$AS$56,11,FALSE),"")</f>
        <v/>
      </c>
      <c r="AK64" t="str">
        <f ca="1">IF(ISNUMBER(VLOOKUP($C64,CS!$AJ$11:$AJ$56,1,FALSE)),VLOOKUP($C64,CS!$AJ$11:$AS$56,10,FALSE),"")</f>
        <v/>
      </c>
      <c r="AL64" t="str">
        <f ca="1">IF(ISNUMBER(VLOOKUP($C64,CS!$AK$11:$AK$56,1,FALSE)),VLOOKUP($C64,CS!$AK$11:$AS$56,9,FALSE),"")</f>
        <v/>
      </c>
      <c r="AM64" t="str">
        <f ca="1">IF(ISNUMBER(VLOOKUP($C64,CS!$AL$11:$AL$56,1,FALSE)),VLOOKUP($C64,CS!$AL$11:$AS$56,8,FALSE),"")</f>
        <v/>
      </c>
      <c r="AN64" t="str">
        <f ca="1">IF(ISNUMBER(VLOOKUP($C64,CS!$AM$11:$AM$56,1,FALSE)),VLOOKUP($C64,CS!$AM$11:$AS$56,7,FALSE),"")</f>
        <v/>
      </c>
      <c r="AO64" t="str">
        <f ca="1">IF(ISNUMBER(VLOOKUP($C64,CS!$AN$11:$AN$56,1,FALSE)),VLOOKUP($C64,CS!$AN$11:$AS$56,6,FALSE),"")</f>
        <v/>
      </c>
      <c r="AP64" t="str">
        <f ca="1">IF(ISNUMBER(VLOOKUP($C64,CS!$AO$11:$AO$56,1,FALSE)),VLOOKUP($C64,CS!$AO$11:$AS$56,5,FALSE),"")</f>
        <v/>
      </c>
      <c r="AQ64" t="str">
        <f ca="1">IF(ISNUMBER(VLOOKUP($C64,CS!$AP$11:$AP$56,1,FALSE)),VLOOKUP($C64,CS!$AP$11:$AS$56,4,FALSE),"")</f>
        <v/>
      </c>
      <c r="AR64">
        <f ca="1">IF(ISNUMBER(VLOOKUP($C64,CS!$AQ$11:$AQ$56,1,FALSE)),VLOOKUP($C64,CS!$AQ$11:$AS$56,3,FALSE),"")</f>
        <v>9</v>
      </c>
      <c r="AS64"/>
      <c r="AT64"/>
      <c r="AU64"/>
      <c r="AY64"/>
      <c r="AZ64">
        <v>4</v>
      </c>
      <c r="BA64" s="16" t="s">
        <v>128</v>
      </c>
      <c r="BB64" t="str">
        <f ca="1">IF($BE$17&lt;&gt;"",ADDRESS($BE$18+10,$BE$17+3),"")</f>
        <v>$D$15</v>
      </c>
      <c r="BC64" t="str">
        <f ca="1">IF(BB64&lt;&gt;"","4•4","")</f>
        <v>4•4</v>
      </c>
      <c r="BD64"/>
      <c r="BE64"/>
      <c r="BF64"/>
      <c r="BG64"/>
      <c r="BH64"/>
      <c r="BI64"/>
      <c r="BJ64"/>
      <c r="BK64"/>
      <c r="BL64"/>
      <c r="BM64"/>
      <c r="BN64"/>
      <c r="BO64"/>
      <c r="BP64"/>
      <c r="BQ64"/>
      <c r="BR64"/>
      <c r="BS64"/>
      <c r="BT64"/>
      <c r="BU64"/>
      <c r="BV64"/>
      <c r="BW64"/>
      <c r="BX64"/>
      <c r="BY64"/>
    </row>
    <row r="65" spans="1:77" ht="12" hidden="1" customHeight="1">
      <c r="A65"/>
      <c r="B65"/>
      <c r="C65" s="21">
        <f ca="1">IF(COUNTIF(TvT!$N$11:$N$46,"vs"),-3,"")</f>
        <v>-3</v>
      </c>
      <c r="D65">
        <f ca="1">IF(ISNUMBER(VLOOKUP($C65,CS!$C$11:$C$56,1,FALSE)),VLOOKUP($C65,CS!$C$11:$AS$56,43,FALSE),"")</f>
        <v>8</v>
      </c>
      <c r="E65">
        <f ca="1">IF(ISNUMBER(VLOOKUP($C65,CS!$D$11:$D$56,1,FALSE)),VLOOKUP($C65,CS!$D$11:$AS$56,42,FALSE),"")</f>
        <v>13</v>
      </c>
      <c r="F65">
        <f ca="1">IF(ISNUMBER(VLOOKUP($C65,CS!$E$11:$E$56,1,FALSE)),VLOOKUP($C65,CS!$E$11:$AS$56,41,FALSE),"")</f>
        <v>21</v>
      </c>
      <c r="G65">
        <f ca="1">IF(ISNUMBER(VLOOKUP($C65,CS!$F$11:$F$56,1,FALSE)),VLOOKUP($C65,CS!$F$11:$AS$56,40,FALSE),"")</f>
        <v>23</v>
      </c>
      <c r="H65">
        <f ca="1">IF(ISNUMBER(VLOOKUP($C65,CS!$G$11:$G$56,1,FALSE)),VLOOKUP($C65,CS!$G$11:$AS$56,39,FALSE),"")</f>
        <v>7</v>
      </c>
      <c r="I65">
        <f ca="1">IF(ISNUMBER(VLOOKUP($C65,CS!$H$11:$H$56,1,FALSE)),VLOOKUP($C65,CS!$H$11:$AS$56,38,FALSE),"")</f>
        <v>14</v>
      </c>
      <c r="J65">
        <f ca="1">IF(ISNUMBER(VLOOKUP($C65,CS!$I$11:$I$56,1,FALSE)),VLOOKUP($C65,CS!$I$11:$AS$56,37,FALSE),"")</f>
        <v>12</v>
      </c>
      <c r="K65">
        <f ca="1">IF(ISNUMBER(VLOOKUP($C65,CS!$J$11:$J$56,1,FALSE)),VLOOKUP($C65,CS!$J$11:$AS$56,36,FALSE),"")</f>
        <v>6</v>
      </c>
      <c r="L65">
        <f ca="1">IF(ISNUMBER(VLOOKUP($C65,CS!$K$11:$K$56,1,FALSE)),VLOOKUP($C65,CS!$K$11:$AS$56,35,FALSE),"")</f>
        <v>5</v>
      </c>
      <c r="M65">
        <f ca="1">IF(ISNUMBER(VLOOKUP($C65,CS!$L$11:$L$56,1,FALSE)),VLOOKUP($C65,CS!$L$11:$AS$56,34,FALSE),"")</f>
        <v>16</v>
      </c>
      <c r="N65">
        <f ca="1">IF(ISNUMBER(VLOOKUP($C65,CS!$M$11:$M$56,1,FALSE)),VLOOKUP($C65,CS!$M$11:$AS$56,33,FALSE),"")</f>
        <v>22</v>
      </c>
      <c r="O65">
        <f ca="1">IF(ISNUMBER(VLOOKUP($C65,CS!$N$11:$N$56,1,FALSE)),VLOOKUP($C65,CS!$N$11:$AS$56,32,FALSE),"")</f>
        <v>18</v>
      </c>
      <c r="P65">
        <f ca="1">IF(ISNUMBER(VLOOKUP($C65,CS!$O$11:$O$56,1,FALSE)),VLOOKUP($C65,CS!$O$11:$AS$56,31,FALSE),"")</f>
        <v>1</v>
      </c>
      <c r="Q65">
        <f ca="1">IF(ISNUMBER(VLOOKUP($C65,CS!$P$11:$P$56,1,FALSE)),VLOOKUP($C65,CS!$P$11:$AS$56,30,FALSE),"")</f>
        <v>10</v>
      </c>
      <c r="R65" t="str">
        <f ca="1">IF(ISNUMBER(VLOOKUP($C65,CS!$Q$11:$Q$56,1,FALSE)),VLOOKUP($C65,CS!$Q$11:$AS$56,29,FALSE),"")</f>
        <v/>
      </c>
      <c r="S65" t="str">
        <f ca="1">IF(ISNUMBER(VLOOKUP($C65,CS!$R$11:$R$56,1,FALSE)),VLOOKUP($C65,CS!$R$11:$AS$56,28,FALSE),"")</f>
        <v/>
      </c>
      <c r="T65" t="str">
        <f ca="1">IF(ISNUMBER(VLOOKUP($C65,CS!$S$11:$S$56,1,FALSE)),VLOOKUP($C65,CS!$S$11:$AS$56,27,FALSE),"")</f>
        <v/>
      </c>
      <c r="U65" t="str">
        <f ca="1">IF(ISNUMBER(VLOOKUP($C65,CS!$T$11:$T$56,1,FALSE)),VLOOKUP($C65,CS!$T$11:$AS$56,26,FALSE),"")</f>
        <v/>
      </c>
      <c r="V65" t="str">
        <f ca="1">IF(ISNUMBER(VLOOKUP($C65,CS!$U$11:$U$56,1,FALSE)),VLOOKUP($C65,CS!$U$11:$AS$56,25,FALSE),"")</f>
        <v/>
      </c>
      <c r="W65" t="str">
        <f ca="1">IF(ISNUMBER(VLOOKUP($C65,CS!$V$11:$V$56,1,FALSE)),VLOOKUP($C65,CS!$V$11:$AS$56,24,FALSE),"")</f>
        <v/>
      </c>
      <c r="X65" t="str">
        <f ca="1">IF(ISNUMBER(VLOOKUP($C65,CS!$W$11:$W$56,1,FALSE)),VLOOKUP($C65,CS!$W$11:$AS$56,23,FALSE),"")</f>
        <v/>
      </c>
      <c r="Y65" t="str">
        <f ca="1">IF(ISNUMBER(VLOOKUP($C65,CS!$X$11:$X$56,1,FALSE)),VLOOKUP($C65,CS!$X$11:$AS$56,22,FALSE),"")</f>
        <v/>
      </c>
      <c r="Z65" t="str">
        <f ca="1">IF(ISNUMBER(VLOOKUP($C65,CS!$Y$11:$Y$56,1,FALSE)),VLOOKUP($C65,CS!$Y$11:$AS$56,21,FALSE),"")</f>
        <v/>
      </c>
      <c r="AA65" t="str">
        <f ca="1">IF(ISNUMBER(VLOOKUP($C65,CS!$Z$11:$Z$56,1,FALSE)),VLOOKUP($C65,CS!$Z$11:$AS$56,20,FALSE),"")</f>
        <v/>
      </c>
      <c r="AB65" t="str">
        <f ca="1">IF(ISNUMBER(VLOOKUP($C65,CS!$AA$11:$AA$56,1,FALSE)),VLOOKUP($C65,CS!$AA$11:$AS$56,19,FALSE),"")</f>
        <v/>
      </c>
      <c r="AC65" t="str">
        <f ca="1">IF(ISNUMBER(VLOOKUP($C65,CS!$AB$11:$AB$56,1,FALSE)),VLOOKUP($C65,CS!$AB$11:$AS$56,18,FALSE),"")</f>
        <v/>
      </c>
      <c r="AD65" t="str">
        <f ca="1">IF(ISNUMBER(VLOOKUP($C65,CS!$AC$11:$AC$56,1,FALSE)),VLOOKUP($C65,CS!$AC$11:$AS$56,17,FALSE),"")</f>
        <v/>
      </c>
      <c r="AE65" t="str">
        <f ca="1">IF(ISNUMBER(VLOOKUP($C65,CS!$AD$11:$AD$56,1,FALSE)),VLOOKUP($C65,CS!$AD$11:$AS$56,16,FALSE),"")</f>
        <v/>
      </c>
      <c r="AF65" t="str">
        <f ca="1">IF(ISNUMBER(VLOOKUP($C65,CS!$AE$11:$AE$56,1,FALSE)),VLOOKUP($C65,CS!$AE$11:$AS$56,15,FALSE),"")</f>
        <v/>
      </c>
      <c r="AG65" t="str">
        <f ca="1">IF(ISNUMBER(VLOOKUP($C65,CS!$AF$11:$AF$56,1,FALSE)),VLOOKUP($C65,CS!$AF$11:$AS$56,14,FALSE),"")</f>
        <v/>
      </c>
      <c r="AH65" t="str">
        <f ca="1">IF(ISNUMBER(VLOOKUP($C65,CS!$AG$11:$AG$56,1,FALSE)),VLOOKUP($C65,CS!$AG$11:$AS$56,13,FALSE),"")</f>
        <v/>
      </c>
      <c r="AI65" t="str">
        <f ca="1">IF(ISNUMBER(VLOOKUP($C65,CS!$AH$11:$AH$56,1,FALSE)),VLOOKUP($C65,CS!$AH$11:$AS$56,12,FALSE),"")</f>
        <v/>
      </c>
      <c r="AJ65" t="str">
        <f ca="1">IF(ISNUMBER(VLOOKUP($C65,CS!$AI$11:$AI$56,1,FALSE)),VLOOKUP($C65,CS!$AI$11:$AS$56,11,FALSE),"")</f>
        <v/>
      </c>
      <c r="AK65" t="str">
        <f ca="1">IF(ISNUMBER(VLOOKUP($C65,CS!$AJ$11:$AJ$56,1,FALSE)),VLOOKUP($C65,CS!$AJ$11:$AS$56,10,FALSE),"")</f>
        <v/>
      </c>
      <c r="AL65" t="str">
        <f ca="1">IF(ISNUMBER(VLOOKUP($C65,CS!$AK$11:$AK$56,1,FALSE)),VLOOKUP($C65,CS!$AK$11:$AS$56,9,FALSE),"")</f>
        <v/>
      </c>
      <c r="AM65" t="str">
        <f ca="1">IF(ISNUMBER(VLOOKUP($C65,CS!$AL$11:$AL$56,1,FALSE)),VLOOKUP($C65,CS!$AL$11:$AS$56,8,FALSE),"")</f>
        <v/>
      </c>
      <c r="AN65" t="str">
        <f ca="1">IF(ISNUMBER(VLOOKUP($C65,CS!$AM$11:$AM$56,1,FALSE)),VLOOKUP($C65,CS!$AM$11:$AS$56,7,FALSE),"")</f>
        <v/>
      </c>
      <c r="AO65" t="str">
        <f ca="1">IF(ISNUMBER(VLOOKUP($C65,CS!$AN$11:$AN$56,1,FALSE)),VLOOKUP($C65,CS!$AN$11:$AS$56,6,FALSE),"")</f>
        <v/>
      </c>
      <c r="AP65" t="str">
        <f ca="1">IF(ISNUMBER(VLOOKUP($C65,CS!$AO$11:$AO$56,1,FALSE)),VLOOKUP($C65,CS!$AO$11:$AS$56,5,FALSE),"")</f>
        <v/>
      </c>
      <c r="AQ65" t="str">
        <f ca="1">IF(ISNUMBER(VLOOKUP($C65,CS!$AP$11:$AP$56,1,FALSE)),VLOOKUP($C65,CS!$AP$11:$AS$56,4,FALSE),"")</f>
        <v/>
      </c>
      <c r="AR65" t="str">
        <f ca="1">IF(ISNUMBER(VLOOKUP($C65,CS!$AQ$11:$AQ$56,1,FALSE)),VLOOKUP($C65,CS!$AQ$11:$AS$56,3,FALSE),"")</f>
        <v/>
      </c>
      <c r="AS65"/>
      <c r="AT65"/>
      <c r="AU65"/>
      <c r="AY65"/>
      <c r="AZ65">
        <v>4</v>
      </c>
      <c r="BA65" s="16" t="s">
        <v>129</v>
      </c>
      <c r="BB65" t="str">
        <f ca="1">IF($BE$19&lt;&gt;"",ADDRESS($BE$20+10,$BE$19+3),"")</f>
        <v>$E$16</v>
      </c>
      <c r="BC65" t="str">
        <f ca="1">IF(BB65&lt;&gt;"","4•5","")</f>
        <v>4•5</v>
      </c>
      <c r="BD65"/>
      <c r="BE65"/>
      <c r="BF65"/>
      <c r="BG65"/>
      <c r="BH65"/>
      <c r="BI65"/>
      <c r="BJ65"/>
      <c r="BK65"/>
      <c r="BL65"/>
      <c r="BM65"/>
      <c r="BN65"/>
      <c r="BO65"/>
      <c r="BP65"/>
      <c r="BQ65"/>
      <c r="BR65"/>
      <c r="BS65"/>
      <c r="BT65"/>
      <c r="BU65"/>
      <c r="BV65"/>
      <c r="BW65"/>
      <c r="BX65"/>
      <c r="BY65"/>
    </row>
    <row r="66" spans="1:77" ht="12" hidden="1" customHeight="1">
      <c r="A66"/>
      <c r="B66"/>
      <c r="C66" s="23">
        <f ca="1">IF(COUNTIF(TvT!$N$11:$N$46,"vs"),3,"")</f>
        <v>3</v>
      </c>
      <c r="D66">
        <f ca="1">IF(ISNUMBER(VLOOKUP($C66,CS!$C$11:$C$56,1,FALSE)),VLOOKUP($C66,CS!$C$11:$AS$56,43,FALSE),"")</f>
        <v>1</v>
      </c>
      <c r="E66">
        <f ca="1">IF(ISNUMBER(VLOOKUP($C66,CS!$D$11:$D$56,1,FALSE)),VLOOKUP($C66,CS!$D$11:$AS$56,42,FALSE),"")</f>
        <v>10</v>
      </c>
      <c r="F66">
        <f ca="1">IF(ISNUMBER(VLOOKUP($C66,CS!$E$11:$E$56,1,FALSE)),VLOOKUP($C66,CS!$E$11:$AS$56,41,FALSE),"")</f>
        <v>19</v>
      </c>
      <c r="G66">
        <f ca="1">IF(ISNUMBER(VLOOKUP($C66,CS!$F$11:$F$56,1,FALSE)),VLOOKUP($C66,CS!$F$11:$AS$56,40,FALSE),"")</f>
        <v>17</v>
      </c>
      <c r="H66">
        <f ca="1">IF(ISNUMBER(VLOOKUP($C66,CS!$G$11:$G$56,1,FALSE)),VLOOKUP($C66,CS!$G$11:$AS$56,39,FALSE),"")</f>
        <v>4</v>
      </c>
      <c r="I66">
        <f ca="1">IF(ISNUMBER(VLOOKUP($C66,CS!$H$11:$H$56,1,FALSE)),VLOOKUP($C66,CS!$H$11:$AS$56,38,FALSE),"")</f>
        <v>11</v>
      </c>
      <c r="J66">
        <f ca="1">IF(ISNUMBER(VLOOKUP($C66,CS!$I$11:$I$56,1,FALSE)),VLOOKUP($C66,CS!$I$11:$AS$56,37,FALSE),"")</f>
        <v>15</v>
      </c>
      <c r="K66">
        <f ca="1">IF(ISNUMBER(VLOOKUP($C66,CS!$J$11:$J$56,1,FALSE)),VLOOKUP($C66,CS!$J$11:$AS$56,36,FALSE),"")</f>
        <v>3</v>
      </c>
      <c r="L66">
        <f ca="1">IF(ISNUMBER(VLOOKUP($C66,CS!$K$11:$K$56,1,FALSE)),VLOOKUP($C66,CS!$K$11:$AS$56,35,FALSE),"")</f>
        <v>8</v>
      </c>
      <c r="M66">
        <f ca="1">IF(ISNUMBER(VLOOKUP($C66,CS!$L$11:$L$56,1,FALSE)),VLOOKUP($C66,CS!$L$11:$AS$56,34,FALSE),"")</f>
        <v>13</v>
      </c>
      <c r="N66">
        <f ca="1">IF(ISNUMBER(VLOOKUP($C66,CS!$M$11:$M$56,1,FALSE)),VLOOKUP($C66,CS!$M$11:$AS$56,33,FALSE),"")</f>
        <v>24</v>
      </c>
      <c r="O66">
        <f ca="1">IF(ISNUMBER(VLOOKUP($C66,CS!$N$11:$N$56,1,FALSE)),VLOOKUP($C66,CS!$N$11:$AS$56,32,FALSE),"")</f>
        <v>20</v>
      </c>
      <c r="P66">
        <f ca="1">IF(ISNUMBER(VLOOKUP($C66,CS!$O$11:$O$56,1,FALSE)),VLOOKUP($C66,CS!$O$11:$AS$56,31,FALSE),"")</f>
        <v>2</v>
      </c>
      <c r="Q66">
        <f ca="1">IF(ISNUMBER(VLOOKUP($C66,CS!$P$11:$P$56,1,FALSE)),VLOOKUP($C66,CS!$P$11:$AS$56,30,FALSE),"")</f>
        <v>9</v>
      </c>
      <c r="R66" t="str">
        <f ca="1">IF(ISNUMBER(VLOOKUP($C66,CS!$Q$11:$Q$56,1,FALSE)),VLOOKUP($C66,CS!$Q$11:$AS$56,29,FALSE),"")</f>
        <v/>
      </c>
      <c r="S66" t="str">
        <f ca="1">IF(ISNUMBER(VLOOKUP($C66,CS!$R$11:$R$56,1,FALSE)),VLOOKUP($C66,CS!$R$11:$AS$56,28,FALSE),"")</f>
        <v/>
      </c>
      <c r="T66" t="str">
        <f ca="1">IF(ISNUMBER(VLOOKUP($C66,CS!$S$11:$S$56,1,FALSE)),VLOOKUP($C66,CS!$S$11:$AS$56,27,FALSE),"")</f>
        <v/>
      </c>
      <c r="U66" t="str">
        <f ca="1">IF(ISNUMBER(VLOOKUP($C66,CS!$T$11:$T$56,1,FALSE)),VLOOKUP($C66,CS!$T$11:$AS$56,26,FALSE),"")</f>
        <v/>
      </c>
      <c r="V66" t="str">
        <f ca="1">IF(ISNUMBER(VLOOKUP($C66,CS!$U$11:$U$56,1,FALSE)),VLOOKUP($C66,CS!$U$11:$AS$56,25,FALSE),"")</f>
        <v/>
      </c>
      <c r="W66" t="str">
        <f ca="1">IF(ISNUMBER(VLOOKUP($C66,CS!$V$11:$V$56,1,FALSE)),VLOOKUP($C66,CS!$V$11:$AS$56,24,FALSE),"")</f>
        <v/>
      </c>
      <c r="X66" t="str">
        <f ca="1">IF(ISNUMBER(VLOOKUP($C66,CS!$W$11:$W$56,1,FALSE)),VLOOKUP($C66,CS!$W$11:$AS$56,23,FALSE),"")</f>
        <v/>
      </c>
      <c r="Y66" t="str">
        <f ca="1">IF(ISNUMBER(VLOOKUP($C66,CS!$X$11:$X$56,1,FALSE)),VLOOKUP($C66,CS!$X$11:$AS$56,22,FALSE),"")</f>
        <v/>
      </c>
      <c r="Z66" t="str">
        <f ca="1">IF(ISNUMBER(VLOOKUP($C66,CS!$Y$11:$Y$56,1,FALSE)),VLOOKUP($C66,CS!$Y$11:$AS$56,21,FALSE),"")</f>
        <v/>
      </c>
      <c r="AA66" t="str">
        <f ca="1">IF(ISNUMBER(VLOOKUP($C66,CS!$Z$11:$Z$56,1,FALSE)),VLOOKUP($C66,CS!$Z$11:$AS$56,20,FALSE),"")</f>
        <v/>
      </c>
      <c r="AB66" t="str">
        <f ca="1">IF(ISNUMBER(VLOOKUP($C66,CS!$AA$11:$AA$56,1,FALSE)),VLOOKUP($C66,CS!$AA$11:$AS$56,19,FALSE),"")</f>
        <v/>
      </c>
      <c r="AC66" t="str">
        <f ca="1">IF(ISNUMBER(VLOOKUP($C66,CS!$AB$11:$AB$56,1,FALSE)),VLOOKUP($C66,CS!$AB$11:$AS$56,18,FALSE),"")</f>
        <v/>
      </c>
      <c r="AD66" t="str">
        <f ca="1">IF(ISNUMBER(VLOOKUP($C66,CS!$AC$11:$AC$56,1,FALSE)),VLOOKUP($C66,CS!$AC$11:$AS$56,17,FALSE),"")</f>
        <v/>
      </c>
      <c r="AE66" t="str">
        <f ca="1">IF(ISNUMBER(VLOOKUP($C66,CS!$AD$11:$AD$56,1,FALSE)),VLOOKUP($C66,CS!$AD$11:$AS$56,16,FALSE),"")</f>
        <v/>
      </c>
      <c r="AF66" t="str">
        <f ca="1">IF(ISNUMBER(VLOOKUP($C66,CS!$AE$11:$AE$56,1,FALSE)),VLOOKUP($C66,CS!$AE$11:$AS$56,15,FALSE),"")</f>
        <v/>
      </c>
      <c r="AG66" t="str">
        <f ca="1">IF(ISNUMBER(VLOOKUP($C66,CS!$AF$11:$AF$56,1,FALSE)),VLOOKUP($C66,CS!$AF$11:$AS$56,14,FALSE),"")</f>
        <v/>
      </c>
      <c r="AH66" t="str">
        <f ca="1">IF(ISNUMBER(VLOOKUP($C66,CS!$AG$11:$AG$56,1,FALSE)),VLOOKUP($C66,CS!$AG$11:$AS$56,13,FALSE),"")</f>
        <v/>
      </c>
      <c r="AI66" t="str">
        <f ca="1">IF(ISNUMBER(VLOOKUP($C66,CS!$AH$11:$AH$56,1,FALSE)),VLOOKUP($C66,CS!$AH$11:$AS$56,12,FALSE),"")</f>
        <v/>
      </c>
      <c r="AJ66" t="str">
        <f ca="1">IF(ISNUMBER(VLOOKUP($C66,CS!$AI$11:$AI$56,1,FALSE)),VLOOKUP($C66,CS!$AI$11:$AS$56,11,FALSE),"")</f>
        <v/>
      </c>
      <c r="AK66" t="str">
        <f ca="1">IF(ISNUMBER(VLOOKUP($C66,CS!$AJ$11:$AJ$56,1,FALSE)),VLOOKUP($C66,CS!$AJ$11:$AS$56,10,FALSE),"")</f>
        <v/>
      </c>
      <c r="AL66" t="str">
        <f ca="1">IF(ISNUMBER(VLOOKUP($C66,CS!$AK$11:$AK$56,1,FALSE)),VLOOKUP($C66,CS!$AK$11:$AS$56,9,FALSE),"")</f>
        <v/>
      </c>
      <c r="AM66" t="str">
        <f ca="1">IF(ISNUMBER(VLOOKUP($C66,CS!$AL$11:$AL$56,1,FALSE)),VLOOKUP($C66,CS!$AL$11:$AS$56,8,FALSE),"")</f>
        <v/>
      </c>
      <c r="AN66" t="str">
        <f ca="1">IF(ISNUMBER(VLOOKUP($C66,CS!$AM$11:$AM$56,1,FALSE)),VLOOKUP($C66,CS!$AM$11:$AS$56,7,FALSE),"")</f>
        <v/>
      </c>
      <c r="AO66" t="str">
        <f ca="1">IF(ISNUMBER(VLOOKUP($C66,CS!$AN$11:$AN$56,1,FALSE)),VLOOKUP($C66,CS!$AN$11:$AS$56,6,FALSE),"")</f>
        <v/>
      </c>
      <c r="AP66" t="str">
        <f ca="1">IF(ISNUMBER(VLOOKUP($C66,CS!$AO$11:$AO$56,1,FALSE)),VLOOKUP($C66,CS!$AO$11:$AS$56,5,FALSE),"")</f>
        <v/>
      </c>
      <c r="AQ66" t="str">
        <f ca="1">IF(ISNUMBER(VLOOKUP($C66,CS!$AP$11:$AP$56,1,FALSE)),VLOOKUP($C66,CS!$AP$11:$AS$56,4,FALSE),"")</f>
        <v/>
      </c>
      <c r="AR66">
        <f ca="1">IF(ISNUMBER(VLOOKUP($C66,CS!$AQ$11:$AQ$56,1,FALSE)),VLOOKUP($C66,CS!$AQ$11:$AS$56,3,FALSE),"")</f>
        <v>17</v>
      </c>
      <c r="AS66"/>
      <c r="AT66"/>
      <c r="AU66"/>
      <c r="AY66"/>
      <c r="AZ66">
        <v>4</v>
      </c>
      <c r="BA66" s="16" t="s">
        <v>130</v>
      </c>
      <c r="BB66" t="str">
        <f ca="1">IF($BE$21&lt;&gt;"",ADDRESS($BE$22+10,$BE$21+3),"")</f>
        <v>$G$18</v>
      </c>
      <c r="BC66" t="str">
        <f ca="1">IF(BB66&lt;&gt;"","4•6","")</f>
        <v>4•6</v>
      </c>
      <c r="BD66"/>
      <c r="BE66"/>
      <c r="BF66"/>
      <c r="BG66"/>
      <c r="BH66"/>
      <c r="BI66"/>
      <c r="BJ66"/>
      <c r="BK66"/>
      <c r="BL66"/>
      <c r="BM66"/>
      <c r="BN66"/>
      <c r="BO66"/>
      <c r="BP66"/>
      <c r="BQ66"/>
      <c r="BR66"/>
      <c r="BS66"/>
      <c r="BT66"/>
      <c r="BU66"/>
      <c r="BV66"/>
      <c r="BW66"/>
      <c r="BX66"/>
      <c r="BY66"/>
    </row>
    <row r="67" spans="1:77" ht="12" hidden="1" customHeight="1">
      <c r="A67"/>
      <c r="B67"/>
      <c r="C67" s="21">
        <f ca="1">IF(COUNTIF(TvT!$R$11:$R$46,"vs"),-4,"")</f>
        <v>-4</v>
      </c>
      <c r="D67">
        <f ca="1">IF(ISNUMBER(VLOOKUP($C67,CS!$C$11:$C$56,1,FALSE)),VLOOKUP($C67,CS!$C$11:$AS$56,43,FALSE),"")</f>
        <v>2</v>
      </c>
      <c r="E67">
        <f ca="1">IF(ISNUMBER(VLOOKUP($C67,CS!$D$11:$D$56,1,FALSE)),VLOOKUP($C67,CS!$D$11:$AS$56,42,FALSE),"")</f>
        <v>14</v>
      </c>
      <c r="F67">
        <f ca="1">IF(ISNUMBER(VLOOKUP($C67,CS!$E$11:$E$56,1,FALSE)),VLOOKUP($C67,CS!$E$11:$AS$56,41,FALSE),"")</f>
        <v>10</v>
      </c>
      <c r="G67">
        <f ca="1">IF(ISNUMBER(VLOOKUP($C67,CS!$F$11:$F$56,1,FALSE)),VLOOKUP($C67,CS!$F$11:$AS$56,40,FALSE),"")</f>
        <v>5</v>
      </c>
      <c r="H67">
        <f ca="1">IF(ISNUMBER(VLOOKUP($C67,CS!$G$11:$G$56,1,FALSE)),VLOOKUP($C67,CS!$G$11:$AS$56,39,FALSE),"")</f>
        <v>18</v>
      </c>
      <c r="I67">
        <f ca="1">IF(ISNUMBER(VLOOKUP($C67,CS!$H$11:$H$56,1,FALSE)),VLOOKUP($C67,CS!$H$11:$AS$56,38,FALSE),"")</f>
        <v>20</v>
      </c>
      <c r="J67">
        <f ca="1">IF(ISNUMBER(VLOOKUP($C67,CS!$I$11:$I$56,1,FALSE)),VLOOKUP($C67,CS!$I$11:$AS$56,37,FALSE),"")</f>
        <v>9</v>
      </c>
      <c r="K67">
        <f ca="1">IF(ISNUMBER(VLOOKUP($C67,CS!$J$11:$J$56,1,FALSE)),VLOOKUP($C67,CS!$J$11:$AS$56,36,FALSE),"")</f>
        <v>8</v>
      </c>
      <c r="L67">
        <f ca="1">IF(ISNUMBER(VLOOKUP($C67,CS!$K$11:$K$56,1,FALSE)),VLOOKUP($C67,CS!$K$11:$AS$56,35,FALSE),"")</f>
        <v>7</v>
      </c>
      <c r="M67">
        <f ca="1">IF(ISNUMBER(VLOOKUP($C67,CS!$L$11:$L$56,1,FALSE)),VLOOKUP($C67,CS!$L$11:$AS$56,34,FALSE),"")</f>
        <v>15</v>
      </c>
      <c r="N67">
        <f ca="1">IF(ISNUMBER(VLOOKUP($C67,CS!$M$11:$M$56,1,FALSE)),VLOOKUP($C67,CS!$M$11:$AS$56,33,FALSE),"")</f>
        <v>21</v>
      </c>
      <c r="O67">
        <f ca="1">IF(ISNUMBER(VLOOKUP($C67,CS!$N$11:$N$56,1,FALSE)),VLOOKUP($C67,CS!$N$11:$AS$56,32,FALSE),"")</f>
        <v>19</v>
      </c>
      <c r="P67">
        <f ca="1">IF(ISNUMBER(VLOOKUP($C67,CS!$O$11:$O$56,1,FALSE)),VLOOKUP($C67,CS!$O$11:$AS$56,31,FALSE),"")</f>
        <v>4</v>
      </c>
      <c r="Q67">
        <f ca="1">IF(ISNUMBER(VLOOKUP($C67,CS!$P$11:$P$56,1,FALSE)),VLOOKUP($C67,CS!$P$11:$AS$56,30,FALSE),"")</f>
        <v>11</v>
      </c>
      <c r="R67" t="str">
        <f ca="1">IF(ISNUMBER(VLOOKUP($C67,CS!$Q$11:$Q$56,1,FALSE)),VLOOKUP($C67,CS!$Q$11:$AS$56,29,FALSE),"")</f>
        <v/>
      </c>
      <c r="S67" t="str">
        <f ca="1">IF(ISNUMBER(VLOOKUP($C67,CS!$R$11:$R$56,1,FALSE)),VLOOKUP($C67,CS!$R$11:$AS$56,28,FALSE),"")</f>
        <v/>
      </c>
      <c r="T67" t="str">
        <f ca="1">IF(ISNUMBER(VLOOKUP($C67,CS!$S$11:$S$56,1,FALSE)),VLOOKUP($C67,CS!$S$11:$AS$56,27,FALSE),"")</f>
        <v/>
      </c>
      <c r="U67" t="str">
        <f ca="1">IF(ISNUMBER(VLOOKUP($C67,CS!$T$11:$T$56,1,FALSE)),VLOOKUP($C67,CS!$T$11:$AS$56,26,FALSE),"")</f>
        <v/>
      </c>
      <c r="V67" t="str">
        <f ca="1">IF(ISNUMBER(VLOOKUP($C67,CS!$U$11:$U$56,1,FALSE)),VLOOKUP($C67,CS!$U$11:$AS$56,25,FALSE),"")</f>
        <v/>
      </c>
      <c r="W67" t="str">
        <f ca="1">IF(ISNUMBER(VLOOKUP($C67,CS!$V$11:$V$56,1,FALSE)),VLOOKUP($C67,CS!$V$11:$AS$56,24,FALSE),"")</f>
        <v/>
      </c>
      <c r="X67" t="str">
        <f ca="1">IF(ISNUMBER(VLOOKUP($C67,CS!$W$11:$W$56,1,FALSE)),VLOOKUP($C67,CS!$W$11:$AS$56,23,FALSE),"")</f>
        <v/>
      </c>
      <c r="Y67" t="str">
        <f ca="1">IF(ISNUMBER(VLOOKUP($C67,CS!$X$11:$X$56,1,FALSE)),VLOOKUP($C67,CS!$X$11:$AS$56,22,FALSE),"")</f>
        <v/>
      </c>
      <c r="Z67" t="str">
        <f ca="1">IF(ISNUMBER(VLOOKUP($C67,CS!$Y$11:$Y$56,1,FALSE)),VLOOKUP($C67,CS!$Y$11:$AS$56,21,FALSE),"")</f>
        <v/>
      </c>
      <c r="AA67" t="str">
        <f ca="1">IF(ISNUMBER(VLOOKUP($C67,CS!$Z$11:$Z$56,1,FALSE)),VLOOKUP($C67,CS!$Z$11:$AS$56,20,FALSE),"")</f>
        <v/>
      </c>
      <c r="AB67" t="str">
        <f ca="1">IF(ISNUMBER(VLOOKUP($C67,CS!$AA$11:$AA$56,1,FALSE)),VLOOKUP($C67,CS!$AA$11:$AS$56,19,FALSE),"")</f>
        <v/>
      </c>
      <c r="AC67" t="str">
        <f ca="1">IF(ISNUMBER(VLOOKUP($C67,CS!$AB$11:$AB$56,1,FALSE)),VLOOKUP($C67,CS!$AB$11:$AS$56,18,FALSE),"")</f>
        <v/>
      </c>
      <c r="AD67" t="str">
        <f ca="1">IF(ISNUMBER(VLOOKUP($C67,CS!$AC$11:$AC$56,1,FALSE)),VLOOKUP($C67,CS!$AC$11:$AS$56,17,FALSE),"")</f>
        <v/>
      </c>
      <c r="AE67" t="str">
        <f ca="1">IF(ISNUMBER(VLOOKUP($C67,CS!$AD$11:$AD$56,1,FALSE)),VLOOKUP($C67,CS!$AD$11:$AS$56,16,FALSE),"")</f>
        <v/>
      </c>
      <c r="AF67" t="str">
        <f ca="1">IF(ISNUMBER(VLOOKUP($C67,CS!$AE$11:$AE$56,1,FALSE)),VLOOKUP($C67,CS!$AE$11:$AS$56,15,FALSE),"")</f>
        <v/>
      </c>
      <c r="AG67" t="str">
        <f ca="1">IF(ISNUMBER(VLOOKUP($C67,CS!$AF$11:$AF$56,1,FALSE)),VLOOKUP($C67,CS!$AF$11:$AS$56,14,FALSE),"")</f>
        <v/>
      </c>
      <c r="AH67" t="str">
        <f ca="1">IF(ISNUMBER(VLOOKUP($C67,CS!$AG$11:$AG$56,1,FALSE)),VLOOKUP($C67,CS!$AG$11:$AS$56,13,FALSE),"")</f>
        <v/>
      </c>
      <c r="AI67" t="str">
        <f ca="1">IF(ISNUMBER(VLOOKUP($C67,CS!$AH$11:$AH$56,1,FALSE)),VLOOKUP($C67,CS!$AH$11:$AS$56,12,FALSE),"")</f>
        <v/>
      </c>
      <c r="AJ67" t="str">
        <f ca="1">IF(ISNUMBER(VLOOKUP($C67,CS!$AI$11:$AI$56,1,FALSE)),VLOOKUP($C67,CS!$AI$11:$AS$56,11,FALSE),"")</f>
        <v/>
      </c>
      <c r="AK67" t="str">
        <f ca="1">IF(ISNUMBER(VLOOKUP($C67,CS!$AJ$11:$AJ$56,1,FALSE)),VLOOKUP($C67,CS!$AJ$11:$AS$56,10,FALSE),"")</f>
        <v/>
      </c>
      <c r="AL67" t="str">
        <f ca="1">IF(ISNUMBER(VLOOKUP($C67,CS!$AK$11:$AK$56,1,FALSE)),VLOOKUP($C67,CS!$AK$11:$AS$56,9,FALSE),"")</f>
        <v/>
      </c>
      <c r="AM67" t="str">
        <f ca="1">IF(ISNUMBER(VLOOKUP($C67,CS!$AL$11:$AL$56,1,FALSE)),VLOOKUP($C67,CS!$AL$11:$AS$56,8,FALSE),"")</f>
        <v/>
      </c>
      <c r="AN67" t="str">
        <f ca="1">IF(ISNUMBER(VLOOKUP($C67,CS!$AM$11:$AM$56,1,FALSE)),VLOOKUP($C67,CS!$AM$11:$AS$56,7,FALSE),"")</f>
        <v/>
      </c>
      <c r="AO67" t="str">
        <f ca="1">IF(ISNUMBER(VLOOKUP($C67,CS!$AN$11:$AN$56,1,FALSE)),VLOOKUP($C67,CS!$AN$11:$AS$56,6,FALSE),"")</f>
        <v/>
      </c>
      <c r="AP67" t="str">
        <f ca="1">IF(ISNUMBER(VLOOKUP($C67,CS!$AO$11:$AO$56,1,FALSE)),VLOOKUP($C67,CS!$AO$11:$AS$56,5,FALSE),"")</f>
        <v/>
      </c>
      <c r="AQ67" t="str">
        <f ca="1">IF(ISNUMBER(VLOOKUP($C67,CS!$AP$11:$AP$56,1,FALSE)),VLOOKUP($C67,CS!$AP$11:$AS$56,4,FALSE),"")</f>
        <v/>
      </c>
      <c r="AR67" t="str">
        <f ca="1">IF(ISNUMBER(VLOOKUP($C67,CS!$AQ$11:$AQ$56,1,FALSE)),VLOOKUP($C67,CS!$AQ$11:$AS$56,3,FALSE),"")</f>
        <v/>
      </c>
      <c r="AS67"/>
      <c r="AT67"/>
      <c r="AU67"/>
      <c r="AY67"/>
      <c r="AZ67">
        <v>4</v>
      </c>
      <c r="BA67" s="16" t="s">
        <v>131</v>
      </c>
      <c r="BB67" t="str">
        <f ca="1">IF($BE$23&lt;&gt;"",ADDRESS($BE$24+10,$BE$23+3),"")</f>
        <v/>
      </c>
      <c r="BC67" t="str">
        <f ca="1">IF(BB67&lt;&gt;"","4•7","")</f>
        <v/>
      </c>
      <c r="BD67"/>
      <c r="BE67"/>
      <c r="BF67"/>
      <c r="BG67"/>
      <c r="BH67"/>
      <c r="BI67"/>
      <c r="BJ67"/>
      <c r="BK67"/>
      <c r="BL67"/>
      <c r="BM67"/>
      <c r="BN67"/>
      <c r="BO67"/>
      <c r="BP67"/>
      <c r="BQ67"/>
      <c r="BR67"/>
      <c r="BS67"/>
      <c r="BT67"/>
      <c r="BU67"/>
      <c r="BV67"/>
      <c r="BW67"/>
      <c r="BX67"/>
      <c r="BY67"/>
    </row>
    <row r="68" spans="1:77" ht="12" hidden="1" customHeight="1">
      <c r="A68"/>
      <c r="B68"/>
      <c r="C68" s="23">
        <f ca="1">IF(COUNTIF(TvT!$R$11:$R$46,"vs"),4,"")</f>
        <v>4</v>
      </c>
      <c r="D68">
        <f ca="1">IF(ISNUMBER(VLOOKUP($C68,CS!$C$11:$C$56,1,FALSE)),VLOOKUP($C68,CS!$C$11:$AS$56,43,FALSE),"")</f>
        <v>7</v>
      </c>
      <c r="E68">
        <f ca="1">IF(ISNUMBER(VLOOKUP($C68,CS!$D$11:$D$56,1,FALSE)),VLOOKUP($C68,CS!$D$11:$AS$56,42,FALSE),"")</f>
        <v>9</v>
      </c>
      <c r="F68">
        <f ca="1">IF(ISNUMBER(VLOOKUP($C68,CS!$E$11:$E$56,1,FALSE)),VLOOKUP($C68,CS!$E$11:$AS$56,41,FALSE),"")</f>
        <v>16</v>
      </c>
      <c r="G68">
        <f ca="1">IF(ISNUMBER(VLOOKUP($C68,CS!$F$11:$F$56,1,FALSE)),VLOOKUP($C68,CS!$F$11:$AS$56,40,FALSE),"")</f>
        <v>1</v>
      </c>
      <c r="H68">
        <f ca="1">IF(ISNUMBER(VLOOKUP($C68,CS!$G$11:$G$56,1,FALSE)),VLOOKUP($C68,CS!$G$11:$AS$56,39,FALSE),"")</f>
        <v>24</v>
      </c>
      <c r="I68">
        <f ca="1">IF(ISNUMBER(VLOOKUP($C68,CS!$H$11:$H$56,1,FALSE)),VLOOKUP($C68,CS!$H$11:$AS$56,38,FALSE),"")</f>
        <v>22</v>
      </c>
      <c r="J68">
        <f ca="1">IF(ISNUMBER(VLOOKUP($C68,CS!$I$11:$I$56,1,FALSE)),VLOOKUP($C68,CS!$I$11:$AS$56,37,FALSE),"")</f>
        <v>13</v>
      </c>
      <c r="K68">
        <f ca="1">IF(ISNUMBER(VLOOKUP($C68,CS!$J$11:$J$56,1,FALSE)),VLOOKUP($C68,CS!$J$11:$AS$56,36,FALSE),"")</f>
        <v>2</v>
      </c>
      <c r="L68">
        <f ca="1">IF(ISNUMBER(VLOOKUP($C68,CS!$K$11:$K$56,1,FALSE)),VLOOKUP($C68,CS!$K$11:$AS$56,35,FALSE),"")</f>
        <v>6</v>
      </c>
      <c r="M68">
        <f ca="1">IF(ISNUMBER(VLOOKUP($C68,CS!$L$11:$L$56,1,FALSE)),VLOOKUP($C68,CS!$L$11:$AS$56,34,FALSE),"")</f>
        <v>14</v>
      </c>
      <c r="N68">
        <f ca="1">IF(ISNUMBER(VLOOKUP($C68,CS!$M$11:$M$56,1,FALSE)),VLOOKUP($C68,CS!$M$11:$AS$56,33,FALSE),"")</f>
        <v>23</v>
      </c>
      <c r="O68">
        <f ca="1">IF(ISNUMBER(VLOOKUP($C68,CS!$N$11:$N$56,1,FALSE)),VLOOKUP($C68,CS!$N$11:$AS$56,32,FALSE),"")</f>
        <v>17</v>
      </c>
      <c r="P68">
        <f ca="1">IF(ISNUMBER(VLOOKUP($C68,CS!$O$11:$O$56,1,FALSE)),VLOOKUP($C68,CS!$O$11:$AS$56,31,FALSE),"")</f>
        <v>3</v>
      </c>
      <c r="Q68">
        <f ca="1">IF(ISNUMBER(VLOOKUP($C68,CS!$P$11:$P$56,1,FALSE)),VLOOKUP($C68,CS!$P$11:$AS$56,30,FALSE),"")</f>
        <v>12</v>
      </c>
      <c r="R68" t="str">
        <f ca="1">IF(ISNUMBER(VLOOKUP($C68,CS!$Q$11:$Q$56,1,FALSE)),VLOOKUP($C68,CS!$Q$11:$AS$56,29,FALSE),"")</f>
        <v/>
      </c>
      <c r="S68" t="str">
        <f ca="1">IF(ISNUMBER(VLOOKUP($C68,CS!$R$11:$R$56,1,FALSE)),VLOOKUP($C68,CS!$R$11:$AS$56,28,FALSE),"")</f>
        <v/>
      </c>
      <c r="T68" t="str">
        <f ca="1">IF(ISNUMBER(VLOOKUP($C68,CS!$S$11:$S$56,1,FALSE)),VLOOKUP($C68,CS!$S$11:$AS$56,27,FALSE),"")</f>
        <v/>
      </c>
      <c r="U68" t="str">
        <f ca="1">IF(ISNUMBER(VLOOKUP($C68,CS!$T$11:$T$56,1,FALSE)),VLOOKUP($C68,CS!$T$11:$AS$56,26,FALSE),"")</f>
        <v/>
      </c>
      <c r="V68" t="str">
        <f ca="1">IF(ISNUMBER(VLOOKUP($C68,CS!$U$11:$U$56,1,FALSE)),VLOOKUP($C68,CS!$U$11:$AS$56,25,FALSE),"")</f>
        <v/>
      </c>
      <c r="W68" t="str">
        <f ca="1">IF(ISNUMBER(VLOOKUP($C68,CS!$V$11:$V$56,1,FALSE)),VLOOKUP($C68,CS!$V$11:$AS$56,24,FALSE),"")</f>
        <v/>
      </c>
      <c r="X68" t="str">
        <f ca="1">IF(ISNUMBER(VLOOKUP($C68,CS!$W$11:$W$56,1,FALSE)),VLOOKUP($C68,CS!$W$11:$AS$56,23,FALSE),"")</f>
        <v/>
      </c>
      <c r="Y68" t="str">
        <f ca="1">IF(ISNUMBER(VLOOKUP($C68,CS!$X$11:$X$56,1,FALSE)),VLOOKUP($C68,CS!$X$11:$AS$56,22,FALSE),"")</f>
        <v/>
      </c>
      <c r="Z68" t="str">
        <f ca="1">IF(ISNUMBER(VLOOKUP($C68,CS!$Y$11:$Y$56,1,FALSE)),VLOOKUP($C68,CS!$Y$11:$AS$56,21,FALSE),"")</f>
        <v/>
      </c>
      <c r="AA68" t="str">
        <f ca="1">IF(ISNUMBER(VLOOKUP($C68,CS!$Z$11:$Z$56,1,FALSE)),VLOOKUP($C68,CS!$Z$11:$AS$56,20,FALSE),"")</f>
        <v/>
      </c>
      <c r="AB68" t="str">
        <f ca="1">IF(ISNUMBER(VLOOKUP($C68,CS!$AA$11:$AA$56,1,FALSE)),VLOOKUP($C68,CS!$AA$11:$AS$56,19,FALSE),"")</f>
        <v/>
      </c>
      <c r="AC68" t="str">
        <f ca="1">IF(ISNUMBER(VLOOKUP($C68,CS!$AB$11:$AB$56,1,FALSE)),VLOOKUP($C68,CS!$AB$11:$AS$56,18,FALSE),"")</f>
        <v/>
      </c>
      <c r="AD68" t="str">
        <f ca="1">IF(ISNUMBER(VLOOKUP($C68,CS!$AC$11:$AC$56,1,FALSE)),VLOOKUP($C68,CS!$AC$11:$AS$56,17,FALSE),"")</f>
        <v/>
      </c>
      <c r="AE68" t="str">
        <f ca="1">IF(ISNUMBER(VLOOKUP($C68,CS!$AD$11:$AD$56,1,FALSE)),VLOOKUP($C68,CS!$AD$11:$AS$56,16,FALSE),"")</f>
        <v/>
      </c>
      <c r="AF68" t="str">
        <f ca="1">IF(ISNUMBER(VLOOKUP($C68,CS!$AE$11:$AE$56,1,FALSE)),VLOOKUP($C68,CS!$AE$11:$AS$56,15,FALSE),"")</f>
        <v/>
      </c>
      <c r="AG68" t="str">
        <f ca="1">IF(ISNUMBER(VLOOKUP($C68,CS!$AF$11:$AF$56,1,FALSE)),VLOOKUP($C68,CS!$AF$11:$AS$56,14,FALSE),"")</f>
        <v/>
      </c>
      <c r="AH68" t="str">
        <f ca="1">IF(ISNUMBER(VLOOKUP($C68,CS!$AG$11:$AG$56,1,FALSE)),VLOOKUP($C68,CS!$AG$11:$AS$56,13,FALSE),"")</f>
        <v/>
      </c>
      <c r="AI68" t="str">
        <f ca="1">IF(ISNUMBER(VLOOKUP($C68,CS!$AH$11:$AH$56,1,FALSE)),VLOOKUP($C68,CS!$AH$11:$AS$56,12,FALSE),"")</f>
        <v/>
      </c>
      <c r="AJ68" t="str">
        <f ca="1">IF(ISNUMBER(VLOOKUP($C68,CS!$AI$11:$AI$56,1,FALSE)),VLOOKUP($C68,CS!$AI$11:$AS$56,11,FALSE),"")</f>
        <v/>
      </c>
      <c r="AK68" t="str">
        <f ca="1">IF(ISNUMBER(VLOOKUP($C68,CS!$AJ$11:$AJ$56,1,FALSE)),VLOOKUP($C68,CS!$AJ$11:$AS$56,10,FALSE),"")</f>
        <v/>
      </c>
      <c r="AL68" t="str">
        <f ca="1">IF(ISNUMBER(VLOOKUP($C68,CS!$AK$11:$AK$56,1,FALSE)),VLOOKUP($C68,CS!$AK$11:$AS$56,9,FALSE),"")</f>
        <v/>
      </c>
      <c r="AM68" t="str">
        <f ca="1">IF(ISNUMBER(VLOOKUP($C68,CS!$AL$11:$AL$56,1,FALSE)),VLOOKUP($C68,CS!$AL$11:$AS$56,8,FALSE),"")</f>
        <v/>
      </c>
      <c r="AN68" t="str">
        <f ca="1">IF(ISNUMBER(VLOOKUP($C68,CS!$AM$11:$AM$56,1,FALSE)),VLOOKUP($C68,CS!$AM$11:$AS$56,7,FALSE),"")</f>
        <v/>
      </c>
      <c r="AO68" t="str">
        <f ca="1">IF(ISNUMBER(VLOOKUP($C68,CS!$AN$11:$AN$56,1,FALSE)),VLOOKUP($C68,CS!$AN$11:$AS$56,6,FALSE),"")</f>
        <v/>
      </c>
      <c r="AP68" t="str">
        <f ca="1">IF(ISNUMBER(VLOOKUP($C68,CS!$AO$11:$AO$56,1,FALSE)),VLOOKUP($C68,CS!$AO$11:$AS$56,5,FALSE),"")</f>
        <v/>
      </c>
      <c r="AQ68" t="str">
        <f ca="1">IF(ISNUMBER(VLOOKUP($C68,CS!$AP$11:$AP$56,1,FALSE)),VLOOKUP($C68,CS!$AP$11:$AS$56,4,FALSE),"")</f>
        <v/>
      </c>
      <c r="AR68" t="str">
        <f ca="1">IF(ISNUMBER(VLOOKUP($C68,CS!$AQ$11:$AQ$56,1,FALSE)),VLOOKUP($C68,CS!$AQ$11:$AS$56,3,FALSE),"")</f>
        <v/>
      </c>
      <c r="AS68"/>
      <c r="AT68"/>
      <c r="AU68"/>
      <c r="AY68"/>
      <c r="AZ68">
        <v>4</v>
      </c>
      <c r="BA68" s="16" t="s">
        <v>132</v>
      </c>
      <c r="BB68" t="str">
        <f ca="1">IF($BE$25&lt;&gt;"",ADDRESS($BE$26+10,$BE$25+3),"")</f>
        <v/>
      </c>
      <c r="BC68" t="str">
        <f ca="1">IF(BB68&lt;&gt;"","4•8","")</f>
        <v/>
      </c>
      <c r="BD68"/>
      <c r="BE68"/>
      <c r="BF68"/>
      <c r="BG68"/>
      <c r="BH68"/>
      <c r="BI68"/>
      <c r="BJ68"/>
      <c r="BK68"/>
      <c r="BL68"/>
      <c r="BM68"/>
      <c r="BN68"/>
      <c r="BO68"/>
      <c r="BP68"/>
      <c r="BQ68"/>
      <c r="BR68"/>
      <c r="BS68"/>
      <c r="BT68"/>
      <c r="BU68"/>
      <c r="BV68"/>
      <c r="BW68"/>
      <c r="BX68"/>
      <c r="BY68"/>
    </row>
    <row r="69" spans="1:77" ht="12" hidden="1" customHeight="1">
      <c r="A69"/>
      <c r="B69"/>
      <c r="C69" s="21">
        <f ca="1">IF(COUNTIF(TvT!$V$11:$V$46,"vs"),-5,"")</f>
        <v>-5</v>
      </c>
      <c r="D69">
        <f ca="1">IF(ISNUMBER(VLOOKUP($C69,CS!$C$11:$C$56,1,FALSE)),VLOOKUP($C69,CS!$C$11:$AS$56,43,FALSE),"")</f>
        <v>5</v>
      </c>
      <c r="E69">
        <f ca="1">IF(ISNUMBER(VLOOKUP($C69,CS!$D$11:$D$56,1,FALSE)),VLOOKUP($C69,CS!$D$11:$AS$56,42,FALSE),"")</f>
        <v>15</v>
      </c>
      <c r="F69">
        <f ca="1">IF(ISNUMBER(VLOOKUP($C69,CS!$E$11:$E$56,1,FALSE)),VLOOKUP($C69,CS!$E$11:$AS$56,41,FALSE),"")</f>
        <v>24</v>
      </c>
      <c r="G69">
        <f ca="1">IF(ISNUMBER(VLOOKUP($C69,CS!$F$11:$F$56,1,FALSE)),VLOOKUP($C69,CS!$F$11:$AS$56,40,FALSE),"")</f>
        <v>6</v>
      </c>
      <c r="H69">
        <f ca="1">IF(ISNUMBER(VLOOKUP($C69,CS!$G$11:$G$56,1,FALSE)),VLOOKUP($C69,CS!$G$11:$AS$56,39,FALSE),"")</f>
        <v>17</v>
      </c>
      <c r="I69">
        <f ca="1">IF(ISNUMBER(VLOOKUP($C69,CS!$H$11:$H$56,1,FALSE)),VLOOKUP($C69,CS!$H$11:$AS$56,38,FALSE),"")</f>
        <v>13</v>
      </c>
      <c r="J69">
        <f ca="1">IF(ISNUMBER(VLOOKUP($C69,CS!$I$11:$I$56,1,FALSE)),VLOOKUP($C69,CS!$I$11:$AS$56,37,FALSE),"")</f>
        <v>10</v>
      </c>
      <c r="K69">
        <f ca="1">IF(ISNUMBER(VLOOKUP($C69,CS!$J$11:$J$56,1,FALSE)),VLOOKUP($C69,CS!$J$11:$AS$56,36,FALSE),"")</f>
        <v>4</v>
      </c>
      <c r="L69">
        <f ca="1">IF(ISNUMBER(VLOOKUP($C69,CS!$K$11:$K$56,1,FALSE)),VLOOKUP($C69,CS!$K$11:$AS$56,35,FALSE),"")</f>
        <v>19</v>
      </c>
      <c r="M69">
        <f ca="1">IF(ISNUMBER(VLOOKUP($C69,CS!$L$11:$L$56,1,FALSE)),VLOOKUP($C69,CS!$L$11:$AS$56,34,FALSE),"")</f>
        <v>23</v>
      </c>
      <c r="N69">
        <f ca="1">IF(ISNUMBER(VLOOKUP($C69,CS!$M$11:$M$56,1,FALSE)),VLOOKUP($C69,CS!$M$11:$AS$56,33,FALSE),"")</f>
        <v>11</v>
      </c>
      <c r="O69">
        <f ca="1">IF(ISNUMBER(VLOOKUP($C69,CS!$N$11:$N$56,1,FALSE)),VLOOKUP($C69,CS!$N$11:$AS$56,32,FALSE),"")</f>
        <v>3</v>
      </c>
      <c r="P69">
        <f ca="1">IF(ISNUMBER(VLOOKUP($C69,CS!$O$11:$O$56,1,FALSE)),VLOOKUP($C69,CS!$O$11:$AS$56,31,FALSE),"")</f>
        <v>8</v>
      </c>
      <c r="Q69">
        <f ca="1">IF(ISNUMBER(VLOOKUP($C69,CS!$P$11:$P$56,1,FALSE)),VLOOKUP($C69,CS!$P$11:$AS$56,30,FALSE),"")</f>
        <v>16</v>
      </c>
      <c r="R69" t="str">
        <f ca="1">IF(ISNUMBER(VLOOKUP($C69,CS!$Q$11:$Q$56,1,FALSE)),VLOOKUP($C69,CS!$Q$11:$AS$56,29,FALSE),"")</f>
        <v/>
      </c>
      <c r="S69" t="str">
        <f ca="1">IF(ISNUMBER(VLOOKUP($C69,CS!$R$11:$R$56,1,FALSE)),VLOOKUP($C69,CS!$R$11:$AS$56,28,FALSE),"")</f>
        <v/>
      </c>
      <c r="T69" t="str">
        <f ca="1">IF(ISNUMBER(VLOOKUP($C69,CS!$S$11:$S$56,1,FALSE)),VLOOKUP($C69,CS!$S$11:$AS$56,27,FALSE),"")</f>
        <v/>
      </c>
      <c r="U69" t="str">
        <f ca="1">IF(ISNUMBER(VLOOKUP($C69,CS!$T$11:$T$56,1,FALSE)),VLOOKUP($C69,CS!$T$11:$AS$56,26,FALSE),"")</f>
        <v/>
      </c>
      <c r="V69" t="str">
        <f ca="1">IF(ISNUMBER(VLOOKUP($C69,CS!$U$11:$U$56,1,FALSE)),VLOOKUP($C69,CS!$U$11:$AS$56,25,FALSE),"")</f>
        <v/>
      </c>
      <c r="W69" t="str">
        <f ca="1">IF(ISNUMBER(VLOOKUP($C69,CS!$V$11:$V$56,1,FALSE)),VLOOKUP($C69,CS!$V$11:$AS$56,24,FALSE),"")</f>
        <v/>
      </c>
      <c r="X69" t="str">
        <f ca="1">IF(ISNUMBER(VLOOKUP($C69,CS!$W$11:$W$56,1,FALSE)),VLOOKUP($C69,CS!$W$11:$AS$56,23,FALSE),"")</f>
        <v/>
      </c>
      <c r="Y69" t="str">
        <f ca="1">IF(ISNUMBER(VLOOKUP($C69,CS!$X$11:$X$56,1,FALSE)),VLOOKUP($C69,CS!$X$11:$AS$56,22,FALSE),"")</f>
        <v/>
      </c>
      <c r="Z69" t="str">
        <f ca="1">IF(ISNUMBER(VLOOKUP($C69,CS!$Y$11:$Y$56,1,FALSE)),VLOOKUP($C69,CS!$Y$11:$AS$56,21,FALSE),"")</f>
        <v/>
      </c>
      <c r="AA69" t="str">
        <f ca="1">IF(ISNUMBER(VLOOKUP($C69,CS!$Z$11:$Z$56,1,FALSE)),VLOOKUP($C69,CS!$Z$11:$AS$56,20,FALSE),"")</f>
        <v/>
      </c>
      <c r="AB69" t="str">
        <f ca="1">IF(ISNUMBER(VLOOKUP($C69,CS!$AA$11:$AA$56,1,FALSE)),VLOOKUP($C69,CS!$AA$11:$AS$56,19,FALSE),"")</f>
        <v/>
      </c>
      <c r="AC69" t="str">
        <f ca="1">IF(ISNUMBER(VLOOKUP($C69,CS!$AB$11:$AB$56,1,FALSE)),VLOOKUP($C69,CS!$AB$11:$AS$56,18,FALSE),"")</f>
        <v/>
      </c>
      <c r="AD69" t="str">
        <f ca="1">IF(ISNUMBER(VLOOKUP($C69,CS!$AC$11:$AC$56,1,FALSE)),VLOOKUP($C69,CS!$AC$11:$AS$56,17,FALSE),"")</f>
        <v/>
      </c>
      <c r="AE69" t="str">
        <f ca="1">IF(ISNUMBER(VLOOKUP($C69,CS!$AD$11:$AD$56,1,FALSE)),VLOOKUP($C69,CS!$AD$11:$AS$56,16,FALSE),"")</f>
        <v/>
      </c>
      <c r="AF69" t="str">
        <f ca="1">IF(ISNUMBER(VLOOKUP($C69,CS!$AE$11:$AE$56,1,FALSE)),VLOOKUP($C69,CS!$AE$11:$AS$56,15,FALSE),"")</f>
        <v/>
      </c>
      <c r="AG69" t="str">
        <f ca="1">IF(ISNUMBER(VLOOKUP($C69,CS!$AF$11:$AF$56,1,FALSE)),VLOOKUP($C69,CS!$AF$11:$AS$56,14,FALSE),"")</f>
        <v/>
      </c>
      <c r="AH69" t="str">
        <f ca="1">IF(ISNUMBER(VLOOKUP($C69,CS!$AG$11:$AG$56,1,FALSE)),VLOOKUP($C69,CS!$AG$11:$AS$56,13,FALSE),"")</f>
        <v/>
      </c>
      <c r="AI69" t="str">
        <f ca="1">IF(ISNUMBER(VLOOKUP($C69,CS!$AH$11:$AH$56,1,FALSE)),VLOOKUP($C69,CS!$AH$11:$AS$56,12,FALSE),"")</f>
        <v/>
      </c>
      <c r="AJ69" t="str">
        <f ca="1">IF(ISNUMBER(VLOOKUP($C69,CS!$AI$11:$AI$56,1,FALSE)),VLOOKUP($C69,CS!$AI$11:$AS$56,11,FALSE),"")</f>
        <v/>
      </c>
      <c r="AK69" t="str">
        <f ca="1">IF(ISNUMBER(VLOOKUP($C69,CS!$AJ$11:$AJ$56,1,FALSE)),VLOOKUP($C69,CS!$AJ$11:$AS$56,10,FALSE),"")</f>
        <v/>
      </c>
      <c r="AL69" t="str">
        <f ca="1">IF(ISNUMBER(VLOOKUP($C69,CS!$AK$11:$AK$56,1,FALSE)),VLOOKUP($C69,CS!$AK$11:$AS$56,9,FALSE),"")</f>
        <v/>
      </c>
      <c r="AM69" t="str">
        <f ca="1">IF(ISNUMBER(VLOOKUP($C69,CS!$AL$11:$AL$56,1,FALSE)),VLOOKUP($C69,CS!$AL$11:$AS$56,8,FALSE),"")</f>
        <v/>
      </c>
      <c r="AN69" t="str">
        <f ca="1">IF(ISNUMBER(VLOOKUP($C69,CS!$AM$11:$AM$56,1,FALSE)),VLOOKUP($C69,CS!$AM$11:$AS$56,7,FALSE),"")</f>
        <v/>
      </c>
      <c r="AO69" t="str">
        <f ca="1">IF(ISNUMBER(VLOOKUP($C69,CS!$AN$11:$AN$56,1,FALSE)),VLOOKUP($C69,CS!$AN$11:$AS$56,6,FALSE),"")</f>
        <v/>
      </c>
      <c r="AP69" t="str">
        <f ca="1">IF(ISNUMBER(VLOOKUP($C69,CS!$AO$11:$AO$56,1,FALSE)),VLOOKUP($C69,CS!$AO$11:$AS$56,5,FALSE),"")</f>
        <v/>
      </c>
      <c r="AQ69" t="str">
        <f ca="1">IF(ISNUMBER(VLOOKUP($C69,CS!$AP$11:$AP$56,1,FALSE)),VLOOKUP($C69,CS!$AP$11:$AS$56,4,FALSE),"")</f>
        <v/>
      </c>
      <c r="AR69" t="str">
        <f ca="1">IF(ISNUMBER(VLOOKUP($C69,CS!$AQ$11:$AQ$56,1,FALSE)),VLOOKUP($C69,CS!$AQ$11:$AS$56,3,FALSE),"")</f>
        <v/>
      </c>
      <c r="AS69"/>
      <c r="AT69"/>
      <c r="AU69"/>
      <c r="AY69"/>
      <c r="AZ69">
        <v>4</v>
      </c>
      <c r="BA69" s="16" t="s">
        <v>133</v>
      </c>
      <c r="BB69" t="str">
        <f ca="1">IF($BE$27&lt;&gt;"",ADDRESS($BE$28+10,$BE$27+3),"")</f>
        <v/>
      </c>
      <c r="BC69" t="str">
        <f ca="1">IF(BB69&lt;&gt;"","4•9","")</f>
        <v/>
      </c>
      <c r="BD69"/>
      <c r="BE69"/>
      <c r="BF69"/>
      <c r="BG69"/>
      <c r="BH69"/>
      <c r="BI69"/>
      <c r="BJ69"/>
      <c r="BK69"/>
      <c r="BL69"/>
      <c r="BM69"/>
      <c r="BN69"/>
      <c r="BO69"/>
      <c r="BP69"/>
      <c r="BQ69"/>
      <c r="BR69"/>
      <c r="BS69"/>
      <c r="BT69"/>
      <c r="BU69"/>
      <c r="BV69"/>
      <c r="BW69"/>
      <c r="BX69"/>
      <c r="BY69"/>
    </row>
    <row r="70" spans="1:77" ht="12" hidden="1" customHeight="1">
      <c r="A70"/>
      <c r="B70"/>
      <c r="C70" s="23">
        <f ca="1">IF(COUNTIF(TvT!$V$11:$V$46,"vs"),5,"")</f>
        <v>5</v>
      </c>
      <c r="D70">
        <f ca="1">IF(ISNUMBER(VLOOKUP($C70,CS!$C$11:$C$56,1,FALSE)),VLOOKUP($C70,CS!$C$11:$AS$56,43,FALSE),"")</f>
        <v>3</v>
      </c>
      <c r="E70">
        <f ca="1">IF(ISNUMBER(VLOOKUP($C70,CS!$D$11:$D$56,1,FALSE)),VLOOKUP($C70,CS!$D$11:$AS$56,42,FALSE),"")</f>
        <v>11</v>
      </c>
      <c r="F70">
        <f ca="1">IF(ISNUMBER(VLOOKUP($C70,CS!$E$11:$E$56,1,FALSE)),VLOOKUP($C70,CS!$E$11:$AS$56,41,FALSE),"")</f>
        <v>20</v>
      </c>
      <c r="G70">
        <f ca="1">IF(ISNUMBER(VLOOKUP($C70,CS!$F$11:$F$56,1,FALSE)),VLOOKUP($C70,CS!$F$11:$AS$56,40,FALSE),"")</f>
        <v>2</v>
      </c>
      <c r="H70">
        <f ca="1">IF(ISNUMBER(VLOOKUP($C70,CS!$G$11:$G$56,1,FALSE)),VLOOKUP($C70,CS!$G$11:$AS$56,39,FALSE),"")</f>
        <v>21</v>
      </c>
      <c r="I70">
        <f ca="1">IF(ISNUMBER(VLOOKUP($C70,CS!$H$11:$H$56,1,FALSE)),VLOOKUP($C70,CS!$H$11:$AS$56,38,FALSE),"")</f>
        <v>12</v>
      </c>
      <c r="J70">
        <f ca="1">IF(ISNUMBER(VLOOKUP($C70,CS!$I$11:$I$56,1,FALSE)),VLOOKUP($C70,CS!$I$11:$AS$56,37,FALSE),"")</f>
        <v>14</v>
      </c>
      <c r="K70">
        <f ca="1">IF(ISNUMBER(VLOOKUP($C70,CS!$J$11:$J$56,1,FALSE)),VLOOKUP($C70,CS!$J$11:$AS$56,36,FALSE),"")</f>
        <v>5</v>
      </c>
      <c r="L70">
        <f ca="1">IF(ISNUMBER(VLOOKUP($C70,CS!$K$11:$K$56,1,FALSE)),VLOOKUP($C70,CS!$K$11:$AS$56,35,FALSE),"")</f>
        <v>18</v>
      </c>
      <c r="M70">
        <f ca="1">IF(ISNUMBER(VLOOKUP($C70,CS!$L$11:$L$56,1,FALSE)),VLOOKUP($C70,CS!$L$11:$AS$56,34,FALSE),"")</f>
        <v>22</v>
      </c>
      <c r="N70">
        <f ca="1">IF(ISNUMBER(VLOOKUP($C70,CS!$M$11:$M$56,1,FALSE)),VLOOKUP($C70,CS!$M$11:$AS$56,33,FALSE),"")</f>
        <v>9</v>
      </c>
      <c r="O70">
        <f ca="1">IF(ISNUMBER(VLOOKUP($C70,CS!$N$11:$N$56,1,FALSE)),VLOOKUP($C70,CS!$N$11:$AS$56,32,FALSE),"")</f>
        <v>1</v>
      </c>
      <c r="P70">
        <f ca="1">IF(ISNUMBER(VLOOKUP($C70,CS!$O$11:$O$56,1,FALSE)),VLOOKUP($C70,CS!$O$11:$AS$56,31,FALSE),"")</f>
        <v>7</v>
      </c>
      <c r="Q70">
        <f ca="1">IF(ISNUMBER(VLOOKUP($C70,CS!$P$11:$P$56,1,FALSE)),VLOOKUP($C70,CS!$P$11:$AS$56,30,FALSE),"")</f>
        <v>15</v>
      </c>
      <c r="R70" t="str">
        <f ca="1">IF(ISNUMBER(VLOOKUP($C70,CS!$Q$11:$Q$56,1,FALSE)),VLOOKUP($C70,CS!$Q$11:$AS$56,29,FALSE),"")</f>
        <v/>
      </c>
      <c r="S70" t="str">
        <f ca="1">IF(ISNUMBER(VLOOKUP($C70,CS!$R$11:$R$56,1,FALSE)),VLOOKUP($C70,CS!$R$11:$AS$56,28,FALSE),"")</f>
        <v/>
      </c>
      <c r="T70" t="str">
        <f ca="1">IF(ISNUMBER(VLOOKUP($C70,CS!$S$11:$S$56,1,FALSE)),VLOOKUP($C70,CS!$S$11:$AS$56,27,FALSE),"")</f>
        <v/>
      </c>
      <c r="U70" t="str">
        <f ca="1">IF(ISNUMBER(VLOOKUP($C70,CS!$T$11:$T$56,1,FALSE)),VLOOKUP($C70,CS!$T$11:$AS$56,26,FALSE),"")</f>
        <v/>
      </c>
      <c r="V70" t="str">
        <f ca="1">IF(ISNUMBER(VLOOKUP($C70,CS!$U$11:$U$56,1,FALSE)),VLOOKUP($C70,CS!$U$11:$AS$56,25,FALSE),"")</f>
        <v/>
      </c>
      <c r="W70" t="str">
        <f ca="1">IF(ISNUMBER(VLOOKUP($C70,CS!$V$11:$V$56,1,FALSE)),VLOOKUP($C70,CS!$V$11:$AS$56,24,FALSE),"")</f>
        <v/>
      </c>
      <c r="X70" t="str">
        <f ca="1">IF(ISNUMBER(VLOOKUP($C70,CS!$W$11:$W$56,1,FALSE)),VLOOKUP($C70,CS!$W$11:$AS$56,23,FALSE),"")</f>
        <v/>
      </c>
      <c r="Y70" t="str">
        <f ca="1">IF(ISNUMBER(VLOOKUP($C70,CS!$X$11:$X$56,1,FALSE)),VLOOKUP($C70,CS!$X$11:$AS$56,22,FALSE),"")</f>
        <v/>
      </c>
      <c r="Z70" t="str">
        <f ca="1">IF(ISNUMBER(VLOOKUP($C70,CS!$Y$11:$Y$56,1,FALSE)),VLOOKUP($C70,CS!$Y$11:$AS$56,21,FALSE),"")</f>
        <v/>
      </c>
      <c r="AA70" t="str">
        <f ca="1">IF(ISNUMBER(VLOOKUP($C70,CS!$Z$11:$Z$56,1,FALSE)),VLOOKUP($C70,CS!$Z$11:$AS$56,20,FALSE),"")</f>
        <v/>
      </c>
      <c r="AB70" t="str">
        <f ca="1">IF(ISNUMBER(VLOOKUP($C70,CS!$AA$11:$AA$56,1,FALSE)),VLOOKUP($C70,CS!$AA$11:$AS$56,19,FALSE),"")</f>
        <v/>
      </c>
      <c r="AC70" t="str">
        <f ca="1">IF(ISNUMBER(VLOOKUP($C70,CS!$AB$11:$AB$56,1,FALSE)),VLOOKUP($C70,CS!$AB$11:$AS$56,18,FALSE),"")</f>
        <v/>
      </c>
      <c r="AD70" t="str">
        <f ca="1">IF(ISNUMBER(VLOOKUP($C70,CS!$AC$11:$AC$56,1,FALSE)),VLOOKUP($C70,CS!$AC$11:$AS$56,17,FALSE),"")</f>
        <v/>
      </c>
      <c r="AE70" t="str">
        <f ca="1">IF(ISNUMBER(VLOOKUP($C70,CS!$AD$11:$AD$56,1,FALSE)),VLOOKUP($C70,CS!$AD$11:$AS$56,16,FALSE),"")</f>
        <v/>
      </c>
      <c r="AF70" t="str">
        <f ca="1">IF(ISNUMBER(VLOOKUP($C70,CS!$AE$11:$AE$56,1,FALSE)),VLOOKUP($C70,CS!$AE$11:$AS$56,15,FALSE),"")</f>
        <v/>
      </c>
      <c r="AG70" t="str">
        <f ca="1">IF(ISNUMBER(VLOOKUP($C70,CS!$AF$11:$AF$56,1,FALSE)),VLOOKUP($C70,CS!$AF$11:$AS$56,14,FALSE),"")</f>
        <v/>
      </c>
      <c r="AH70" t="str">
        <f ca="1">IF(ISNUMBER(VLOOKUP($C70,CS!$AG$11:$AG$56,1,FALSE)),VLOOKUP($C70,CS!$AG$11:$AS$56,13,FALSE),"")</f>
        <v/>
      </c>
      <c r="AI70" t="str">
        <f ca="1">IF(ISNUMBER(VLOOKUP($C70,CS!$AH$11:$AH$56,1,FALSE)),VLOOKUP($C70,CS!$AH$11:$AS$56,12,FALSE),"")</f>
        <v/>
      </c>
      <c r="AJ70" t="str">
        <f ca="1">IF(ISNUMBER(VLOOKUP($C70,CS!$AI$11:$AI$56,1,FALSE)),VLOOKUP($C70,CS!$AI$11:$AS$56,11,FALSE),"")</f>
        <v/>
      </c>
      <c r="AK70" t="str">
        <f ca="1">IF(ISNUMBER(VLOOKUP($C70,CS!$AJ$11:$AJ$56,1,FALSE)),VLOOKUP($C70,CS!$AJ$11:$AS$56,10,FALSE),"")</f>
        <v/>
      </c>
      <c r="AL70" t="str">
        <f ca="1">IF(ISNUMBER(VLOOKUP($C70,CS!$AK$11:$AK$56,1,FALSE)),VLOOKUP($C70,CS!$AK$11:$AS$56,9,FALSE),"")</f>
        <v/>
      </c>
      <c r="AM70" t="str">
        <f ca="1">IF(ISNUMBER(VLOOKUP($C70,CS!$AL$11:$AL$56,1,FALSE)),VLOOKUP($C70,CS!$AL$11:$AS$56,8,FALSE),"")</f>
        <v/>
      </c>
      <c r="AN70" t="str">
        <f ca="1">IF(ISNUMBER(VLOOKUP($C70,CS!$AM$11:$AM$56,1,FALSE)),VLOOKUP($C70,CS!$AM$11:$AS$56,7,FALSE),"")</f>
        <v/>
      </c>
      <c r="AO70" t="str">
        <f ca="1">IF(ISNUMBER(VLOOKUP($C70,CS!$AN$11:$AN$56,1,FALSE)),VLOOKUP($C70,CS!$AN$11:$AS$56,6,FALSE),"")</f>
        <v/>
      </c>
      <c r="AP70" t="str">
        <f ca="1">IF(ISNUMBER(VLOOKUP($C70,CS!$AO$11:$AO$56,1,FALSE)),VLOOKUP($C70,CS!$AO$11:$AS$56,5,FALSE),"")</f>
        <v/>
      </c>
      <c r="AQ70" t="str">
        <f ca="1">IF(ISNUMBER(VLOOKUP($C70,CS!$AP$11:$AP$56,1,FALSE)),VLOOKUP($C70,CS!$AP$11:$AS$56,4,FALSE),"")</f>
        <v/>
      </c>
      <c r="AR70" t="str">
        <f ca="1">IF(ISNUMBER(VLOOKUP($C70,CS!$AQ$11:$AQ$56,1,FALSE)),VLOOKUP($C70,CS!$AQ$11:$AS$56,3,FALSE),"")</f>
        <v/>
      </c>
      <c r="AS70"/>
      <c r="AT70"/>
      <c r="AU70"/>
      <c r="AY70"/>
      <c r="AZ70">
        <v>4</v>
      </c>
      <c r="BA70" s="16" t="s">
        <v>134</v>
      </c>
      <c r="BB70" t="str">
        <f ca="1">IF($BE$29&lt;&gt;"",ADDRESS($BE$30+10,$BE$29+3),"")</f>
        <v/>
      </c>
      <c r="BC70" t="str">
        <f ca="1">IF(BB70&lt;&gt;"","4•10","")</f>
        <v/>
      </c>
      <c r="BD70"/>
      <c r="BE70"/>
      <c r="BF70"/>
      <c r="BG70"/>
      <c r="BH70"/>
      <c r="BI70"/>
      <c r="BJ70"/>
      <c r="BK70"/>
      <c r="BL70"/>
      <c r="BM70"/>
      <c r="BN70"/>
      <c r="BO70"/>
      <c r="BP70"/>
      <c r="BQ70"/>
      <c r="BR70"/>
      <c r="BS70"/>
      <c r="BT70"/>
      <c r="BU70"/>
      <c r="BV70"/>
      <c r="BW70"/>
      <c r="BX70"/>
      <c r="BY70"/>
    </row>
    <row r="71" spans="1:77" ht="12" hidden="1" customHeight="1">
      <c r="A71"/>
      <c r="B71"/>
      <c r="C71" s="21">
        <f ca="1">IF(COUNTIF(TvT!$Z$11:$Z$46,"vs"),-6,"")</f>
        <v>-6</v>
      </c>
      <c r="D71">
        <f ca="1">IF(ISNUMBER(VLOOKUP($C71,CS!$C$11:$C$56,1,FALSE)),VLOOKUP($C71,CS!$C$11:$AS$56,43,FALSE),"")</f>
        <v>23</v>
      </c>
      <c r="E71">
        <f ca="1">IF(ISNUMBER(VLOOKUP($C71,CS!$D$11:$D$56,1,FALSE)),VLOOKUP($C71,CS!$D$11:$AS$56,42,FALSE),"")</f>
        <v>17</v>
      </c>
      <c r="F71">
        <f ca="1">IF(ISNUMBER(VLOOKUP($C71,CS!$E$11:$E$56,1,FALSE)),VLOOKUP($C71,CS!$E$11:$AS$56,41,FALSE),"")</f>
        <v>12</v>
      </c>
      <c r="G71">
        <f ca="1">IF(ISNUMBER(VLOOKUP($C71,CS!$F$11:$F$56,1,FALSE)),VLOOKUP($C71,CS!$F$11:$AS$56,40,FALSE),"")</f>
        <v>8</v>
      </c>
      <c r="H71">
        <f ca="1">IF(ISNUMBER(VLOOKUP($C71,CS!$G$11:$G$56,1,FALSE)),VLOOKUP($C71,CS!$G$11:$AS$56,39,FALSE),"")</f>
        <v>1</v>
      </c>
      <c r="I71">
        <f ca="1">IF(ISNUMBER(VLOOKUP($C71,CS!$H$11:$H$56,1,FALSE)),VLOOKUP($C71,CS!$H$11:$AS$56,38,FALSE),"")</f>
        <v>16</v>
      </c>
      <c r="J71">
        <f ca="1">IF(ISNUMBER(VLOOKUP($C71,CS!$I$11:$I$56,1,FALSE)),VLOOKUP($C71,CS!$I$11:$AS$56,37,FALSE),"")</f>
        <v>22</v>
      </c>
      <c r="K71">
        <f ca="1">IF(ISNUMBER(VLOOKUP($C71,CS!$J$11:$J$56,1,FALSE)),VLOOKUP($C71,CS!$J$11:$AS$56,36,FALSE),"")</f>
        <v>18</v>
      </c>
      <c r="L71">
        <f ca="1">IF(ISNUMBER(VLOOKUP($C71,CS!$K$11:$K$56,1,FALSE)),VLOOKUP($C71,CS!$K$11:$AS$56,35,FALSE),"")</f>
        <v>2</v>
      </c>
      <c r="M71">
        <f ca="1">IF(ISNUMBER(VLOOKUP($C71,CS!$L$11:$L$56,1,FALSE)),VLOOKUP($C71,CS!$L$11:$AS$56,34,FALSE),"")</f>
        <v>10</v>
      </c>
      <c r="N71">
        <f ca="1">IF(ISNUMBER(VLOOKUP($C71,CS!$M$11:$M$56,1,FALSE)),VLOOKUP($C71,CS!$M$11:$AS$56,33,FALSE),"")</f>
        <v>13</v>
      </c>
      <c r="O71">
        <f ca="1">IF(ISNUMBER(VLOOKUP($C71,CS!$N$11:$N$56,1,FALSE)),VLOOKUP($C71,CS!$N$11:$AS$56,32,FALSE),"")</f>
        <v>7</v>
      </c>
      <c r="P71">
        <f ca="1">IF(ISNUMBER(VLOOKUP($C71,CS!$O$11:$O$56,1,FALSE)),VLOOKUP($C71,CS!$O$11:$AS$56,31,FALSE),"")</f>
        <v>20</v>
      </c>
      <c r="Q71">
        <f ca="1">IF(ISNUMBER(VLOOKUP($C71,CS!$P$11:$P$56,1,FALSE)),VLOOKUP($C71,CS!$P$11:$AS$56,30,FALSE),"")</f>
        <v>24</v>
      </c>
      <c r="R71" t="str">
        <f ca="1">IF(ISNUMBER(VLOOKUP($C71,CS!$Q$11:$Q$56,1,FALSE)),VLOOKUP($C71,CS!$Q$11:$AS$56,29,FALSE),"")</f>
        <v/>
      </c>
      <c r="S71" t="str">
        <f ca="1">IF(ISNUMBER(VLOOKUP($C71,CS!$R$11:$R$56,1,FALSE)),VLOOKUP($C71,CS!$R$11:$AS$56,28,FALSE),"")</f>
        <v/>
      </c>
      <c r="T71" t="str">
        <f ca="1">IF(ISNUMBER(VLOOKUP($C71,CS!$S$11:$S$56,1,FALSE)),VLOOKUP($C71,CS!$S$11:$AS$56,27,FALSE),"")</f>
        <v/>
      </c>
      <c r="U71" t="str">
        <f ca="1">IF(ISNUMBER(VLOOKUP($C71,CS!$T$11:$T$56,1,FALSE)),VLOOKUP($C71,CS!$T$11:$AS$56,26,FALSE),"")</f>
        <v/>
      </c>
      <c r="V71" t="str">
        <f ca="1">IF(ISNUMBER(VLOOKUP($C71,CS!$U$11:$U$56,1,FALSE)),VLOOKUP($C71,CS!$U$11:$AS$56,25,FALSE),"")</f>
        <v/>
      </c>
      <c r="W71" t="str">
        <f ca="1">IF(ISNUMBER(VLOOKUP($C71,CS!$V$11:$V$56,1,FALSE)),VLOOKUP($C71,CS!$V$11:$AS$56,24,FALSE),"")</f>
        <v/>
      </c>
      <c r="X71" t="str">
        <f ca="1">IF(ISNUMBER(VLOOKUP($C71,CS!$W$11:$W$56,1,FALSE)),VLOOKUP($C71,CS!$W$11:$AS$56,23,FALSE),"")</f>
        <v/>
      </c>
      <c r="Y71" t="str">
        <f ca="1">IF(ISNUMBER(VLOOKUP($C71,CS!$X$11:$X$56,1,FALSE)),VLOOKUP($C71,CS!$X$11:$AS$56,22,FALSE),"")</f>
        <v/>
      </c>
      <c r="Z71" t="str">
        <f ca="1">IF(ISNUMBER(VLOOKUP($C71,CS!$Y$11:$Y$56,1,FALSE)),VLOOKUP($C71,CS!$Y$11:$AS$56,21,FALSE),"")</f>
        <v/>
      </c>
      <c r="AA71" t="str">
        <f ca="1">IF(ISNUMBER(VLOOKUP($C71,CS!$Z$11:$Z$56,1,FALSE)),VLOOKUP($C71,CS!$Z$11:$AS$56,20,FALSE),"")</f>
        <v/>
      </c>
      <c r="AB71" t="str">
        <f ca="1">IF(ISNUMBER(VLOOKUP($C71,CS!$AA$11:$AA$56,1,FALSE)),VLOOKUP($C71,CS!$AA$11:$AS$56,19,FALSE),"")</f>
        <v/>
      </c>
      <c r="AC71" t="str">
        <f ca="1">IF(ISNUMBER(VLOOKUP($C71,CS!$AB$11:$AB$56,1,FALSE)),VLOOKUP($C71,CS!$AB$11:$AS$56,18,FALSE),"")</f>
        <v/>
      </c>
      <c r="AD71" t="str">
        <f ca="1">IF(ISNUMBER(VLOOKUP($C71,CS!$AC$11:$AC$56,1,FALSE)),VLOOKUP($C71,CS!$AC$11:$AS$56,17,FALSE),"")</f>
        <v/>
      </c>
      <c r="AE71" t="str">
        <f ca="1">IF(ISNUMBER(VLOOKUP($C71,CS!$AD$11:$AD$56,1,FALSE)),VLOOKUP($C71,CS!$AD$11:$AS$56,16,FALSE),"")</f>
        <v/>
      </c>
      <c r="AF71" t="str">
        <f ca="1">IF(ISNUMBER(VLOOKUP($C71,CS!$AE$11:$AE$56,1,FALSE)),VLOOKUP($C71,CS!$AE$11:$AS$56,15,FALSE),"")</f>
        <v/>
      </c>
      <c r="AG71" t="str">
        <f ca="1">IF(ISNUMBER(VLOOKUP($C71,CS!$AF$11:$AF$56,1,FALSE)),VLOOKUP($C71,CS!$AF$11:$AS$56,14,FALSE),"")</f>
        <v/>
      </c>
      <c r="AH71" t="str">
        <f ca="1">IF(ISNUMBER(VLOOKUP($C71,CS!$AG$11:$AG$56,1,FALSE)),VLOOKUP($C71,CS!$AG$11:$AS$56,13,FALSE),"")</f>
        <v/>
      </c>
      <c r="AI71" t="str">
        <f ca="1">IF(ISNUMBER(VLOOKUP($C71,CS!$AH$11:$AH$56,1,FALSE)),VLOOKUP($C71,CS!$AH$11:$AS$56,12,FALSE),"")</f>
        <v/>
      </c>
      <c r="AJ71" t="str">
        <f ca="1">IF(ISNUMBER(VLOOKUP($C71,CS!$AI$11:$AI$56,1,FALSE)),VLOOKUP($C71,CS!$AI$11:$AS$56,11,FALSE),"")</f>
        <v/>
      </c>
      <c r="AK71" t="str">
        <f ca="1">IF(ISNUMBER(VLOOKUP($C71,CS!$AJ$11:$AJ$56,1,FALSE)),VLOOKUP($C71,CS!$AJ$11:$AS$56,10,FALSE),"")</f>
        <v/>
      </c>
      <c r="AL71" t="str">
        <f ca="1">IF(ISNUMBER(VLOOKUP($C71,CS!$AK$11:$AK$56,1,FALSE)),VLOOKUP($C71,CS!$AK$11:$AS$56,9,FALSE),"")</f>
        <v/>
      </c>
      <c r="AM71" t="str">
        <f ca="1">IF(ISNUMBER(VLOOKUP($C71,CS!$AL$11:$AL$56,1,FALSE)),VLOOKUP($C71,CS!$AL$11:$AS$56,8,FALSE),"")</f>
        <v/>
      </c>
      <c r="AN71" t="str">
        <f ca="1">IF(ISNUMBER(VLOOKUP($C71,CS!$AM$11:$AM$56,1,FALSE)),VLOOKUP($C71,CS!$AM$11:$AS$56,7,FALSE),"")</f>
        <v/>
      </c>
      <c r="AO71" t="str">
        <f ca="1">IF(ISNUMBER(VLOOKUP($C71,CS!$AN$11:$AN$56,1,FALSE)),VLOOKUP($C71,CS!$AN$11:$AS$56,6,FALSE),"")</f>
        <v/>
      </c>
      <c r="AP71" t="str">
        <f ca="1">IF(ISNUMBER(VLOOKUP($C71,CS!$AO$11:$AO$56,1,FALSE)),VLOOKUP($C71,CS!$AO$11:$AS$56,5,FALSE),"")</f>
        <v/>
      </c>
      <c r="AQ71" t="str">
        <f ca="1">IF(ISNUMBER(VLOOKUP($C71,CS!$AP$11:$AP$56,1,FALSE)),VLOOKUP($C71,CS!$AP$11:$AS$56,4,FALSE),"")</f>
        <v/>
      </c>
      <c r="AR71" t="str">
        <f ca="1">IF(ISNUMBER(VLOOKUP($C71,CS!$AQ$11:$AQ$56,1,FALSE)),VLOOKUP($C71,CS!$AQ$11:$AS$56,3,FALSE),"")</f>
        <v/>
      </c>
      <c r="AS71"/>
      <c r="AT71"/>
      <c r="AU71"/>
      <c r="AY71" t="s">
        <v>139</v>
      </c>
      <c r="AZ71">
        <v>5</v>
      </c>
      <c r="BA71" s="16" t="s">
        <v>125</v>
      </c>
      <c r="BB71" t="str">
        <f ca="1">IF($BF$11&lt;&gt;"",ADDRESS($BF$12+10,$BF$11+3),"")</f>
        <v>$E$15</v>
      </c>
      <c r="BC71" t="str">
        <f ca="1">IF(BB71&lt;&gt;"","5•1","")</f>
        <v>5•1</v>
      </c>
      <c r="BD71"/>
      <c r="BE71"/>
      <c r="BF71"/>
      <c r="BG71"/>
      <c r="BH71"/>
      <c r="BI71"/>
      <c r="BJ71"/>
      <c r="BK71"/>
      <c r="BL71"/>
      <c r="BM71"/>
      <c r="BN71"/>
      <c r="BO71"/>
      <c r="BP71"/>
      <c r="BQ71"/>
      <c r="BR71"/>
      <c r="BS71"/>
      <c r="BT71"/>
      <c r="BU71"/>
      <c r="BV71"/>
      <c r="BW71"/>
      <c r="BX71"/>
      <c r="BY71"/>
    </row>
    <row r="72" spans="1:77" ht="12" hidden="1" customHeight="1">
      <c r="A72"/>
      <c r="B72"/>
      <c r="C72" s="23">
        <f ca="1">IF(COUNTIF(TvT!$Z$11:$Z$46,"vs"),6,"")</f>
        <v>6</v>
      </c>
      <c r="D72">
        <f ca="1">IF(ISNUMBER(VLOOKUP($C72,CS!$C$11:$C$56,1,FALSE)),VLOOKUP($C72,CS!$C$11:$AS$56,43,FALSE),"")</f>
        <v>18</v>
      </c>
      <c r="E72">
        <f ca="1">IF(ISNUMBER(VLOOKUP($C72,CS!$D$11:$D$56,1,FALSE)),VLOOKUP($C72,CS!$D$11:$AS$56,42,FALSE),"")</f>
        <v>24</v>
      </c>
      <c r="F72">
        <f ca="1">IF(ISNUMBER(VLOOKUP($C72,CS!$E$11:$E$56,1,FALSE)),VLOOKUP($C72,CS!$E$11:$AS$56,41,FALSE),"")</f>
        <v>14</v>
      </c>
      <c r="G72">
        <f ca="1">IF(ISNUMBER(VLOOKUP($C72,CS!$F$11:$F$56,1,FALSE)),VLOOKUP($C72,CS!$F$11:$AS$56,40,FALSE),"")</f>
        <v>4</v>
      </c>
      <c r="H72">
        <f ca="1">IF(ISNUMBER(VLOOKUP($C72,CS!$G$11:$G$56,1,FALSE)),VLOOKUP($C72,CS!$G$11:$AS$56,39,FALSE),"")</f>
        <v>6</v>
      </c>
      <c r="I72">
        <f ca="1">IF(ISNUMBER(VLOOKUP($C72,CS!$H$11:$H$56,1,FALSE)),VLOOKUP($C72,CS!$H$11:$AS$56,38,FALSE),"")</f>
        <v>9</v>
      </c>
      <c r="J72">
        <f ca="1">IF(ISNUMBER(VLOOKUP($C72,CS!$I$11:$I$56,1,FALSE)),VLOOKUP($C72,CS!$I$11:$AS$56,37,FALSE),"")</f>
        <v>17</v>
      </c>
      <c r="K72">
        <f ca="1">IF(ISNUMBER(VLOOKUP($C72,CS!$J$11:$J$56,1,FALSE)),VLOOKUP($C72,CS!$J$11:$AS$56,36,FALSE),"")</f>
        <v>21</v>
      </c>
      <c r="L72">
        <f ca="1">IF(ISNUMBER(VLOOKUP($C72,CS!$K$11:$K$56,1,FALSE)),VLOOKUP($C72,CS!$K$11:$AS$56,35,FALSE),"")</f>
        <v>3</v>
      </c>
      <c r="M72">
        <f ca="1">IF(ISNUMBER(VLOOKUP($C72,CS!$L$11:$L$56,1,FALSE)),VLOOKUP($C72,CS!$L$11:$AS$56,34,FALSE),"")</f>
        <v>11</v>
      </c>
      <c r="N72">
        <f ca="1">IF(ISNUMBER(VLOOKUP($C72,CS!$M$11:$M$56,1,FALSE)),VLOOKUP($C72,CS!$M$11:$AS$56,33,FALSE),"")</f>
        <v>15</v>
      </c>
      <c r="O72">
        <f ca="1">IF(ISNUMBER(VLOOKUP($C72,CS!$N$11:$N$56,1,FALSE)),VLOOKUP($C72,CS!$N$11:$AS$56,32,FALSE),"")</f>
        <v>5</v>
      </c>
      <c r="P72">
        <f ca="1">IF(ISNUMBER(VLOOKUP($C72,CS!$O$11:$O$56,1,FALSE)),VLOOKUP($C72,CS!$O$11:$AS$56,31,FALSE),"")</f>
        <v>19</v>
      </c>
      <c r="Q72">
        <f ca="1">IF(ISNUMBER(VLOOKUP($C72,CS!$P$11:$P$56,1,FALSE)),VLOOKUP($C72,CS!$P$11:$AS$56,30,FALSE),"")</f>
        <v>23</v>
      </c>
      <c r="R72" t="str">
        <f ca="1">IF(ISNUMBER(VLOOKUP($C72,CS!$Q$11:$Q$56,1,FALSE)),VLOOKUP($C72,CS!$Q$11:$AS$56,29,FALSE),"")</f>
        <v/>
      </c>
      <c r="S72" t="str">
        <f ca="1">IF(ISNUMBER(VLOOKUP($C72,CS!$R$11:$R$56,1,FALSE)),VLOOKUP($C72,CS!$R$11:$AS$56,28,FALSE),"")</f>
        <v/>
      </c>
      <c r="T72" t="str">
        <f ca="1">IF(ISNUMBER(VLOOKUP($C72,CS!$S$11:$S$56,1,FALSE)),VLOOKUP($C72,CS!$S$11:$AS$56,27,FALSE),"")</f>
        <v/>
      </c>
      <c r="U72" t="str">
        <f ca="1">IF(ISNUMBER(VLOOKUP($C72,CS!$T$11:$T$56,1,FALSE)),VLOOKUP($C72,CS!$T$11:$AS$56,26,FALSE),"")</f>
        <v/>
      </c>
      <c r="V72" t="str">
        <f ca="1">IF(ISNUMBER(VLOOKUP($C72,CS!$U$11:$U$56,1,FALSE)),VLOOKUP($C72,CS!$U$11:$AS$56,25,FALSE),"")</f>
        <v/>
      </c>
      <c r="W72" t="str">
        <f ca="1">IF(ISNUMBER(VLOOKUP($C72,CS!$V$11:$V$56,1,FALSE)),VLOOKUP($C72,CS!$V$11:$AS$56,24,FALSE),"")</f>
        <v/>
      </c>
      <c r="X72" t="str">
        <f ca="1">IF(ISNUMBER(VLOOKUP($C72,CS!$W$11:$W$56,1,FALSE)),VLOOKUP($C72,CS!$W$11:$AS$56,23,FALSE),"")</f>
        <v/>
      </c>
      <c r="Y72" t="str">
        <f ca="1">IF(ISNUMBER(VLOOKUP($C72,CS!$X$11:$X$56,1,FALSE)),VLOOKUP($C72,CS!$X$11:$AS$56,22,FALSE),"")</f>
        <v/>
      </c>
      <c r="Z72" t="str">
        <f ca="1">IF(ISNUMBER(VLOOKUP($C72,CS!$Y$11:$Y$56,1,FALSE)),VLOOKUP($C72,CS!$Y$11:$AS$56,21,FALSE),"")</f>
        <v/>
      </c>
      <c r="AA72" t="str">
        <f ca="1">IF(ISNUMBER(VLOOKUP($C72,CS!$Z$11:$Z$56,1,FALSE)),VLOOKUP($C72,CS!$Z$11:$AS$56,20,FALSE),"")</f>
        <v/>
      </c>
      <c r="AB72" t="str">
        <f ca="1">IF(ISNUMBER(VLOOKUP($C72,CS!$AA$11:$AA$56,1,FALSE)),VLOOKUP($C72,CS!$AA$11:$AS$56,19,FALSE),"")</f>
        <v/>
      </c>
      <c r="AC72" t="str">
        <f ca="1">IF(ISNUMBER(VLOOKUP($C72,CS!$AB$11:$AB$56,1,FALSE)),VLOOKUP($C72,CS!$AB$11:$AS$56,18,FALSE),"")</f>
        <v/>
      </c>
      <c r="AD72" t="str">
        <f ca="1">IF(ISNUMBER(VLOOKUP($C72,CS!$AC$11:$AC$56,1,FALSE)),VLOOKUP($C72,CS!$AC$11:$AS$56,17,FALSE),"")</f>
        <v/>
      </c>
      <c r="AE72" t="str">
        <f ca="1">IF(ISNUMBER(VLOOKUP($C72,CS!$AD$11:$AD$56,1,FALSE)),VLOOKUP($C72,CS!$AD$11:$AS$56,16,FALSE),"")</f>
        <v/>
      </c>
      <c r="AF72" t="str">
        <f ca="1">IF(ISNUMBER(VLOOKUP($C72,CS!$AE$11:$AE$56,1,FALSE)),VLOOKUP($C72,CS!$AE$11:$AS$56,15,FALSE),"")</f>
        <v/>
      </c>
      <c r="AG72" t="str">
        <f ca="1">IF(ISNUMBER(VLOOKUP($C72,CS!$AF$11:$AF$56,1,FALSE)),VLOOKUP($C72,CS!$AF$11:$AS$56,14,FALSE),"")</f>
        <v/>
      </c>
      <c r="AH72" t="str">
        <f ca="1">IF(ISNUMBER(VLOOKUP($C72,CS!$AG$11:$AG$56,1,FALSE)),VLOOKUP($C72,CS!$AG$11:$AS$56,13,FALSE),"")</f>
        <v/>
      </c>
      <c r="AI72" t="str">
        <f ca="1">IF(ISNUMBER(VLOOKUP($C72,CS!$AH$11:$AH$56,1,FALSE)),VLOOKUP($C72,CS!$AH$11:$AS$56,12,FALSE),"")</f>
        <v/>
      </c>
      <c r="AJ72" t="str">
        <f ca="1">IF(ISNUMBER(VLOOKUP($C72,CS!$AI$11:$AI$56,1,FALSE)),VLOOKUP($C72,CS!$AI$11:$AS$56,11,FALSE),"")</f>
        <v/>
      </c>
      <c r="AK72" t="str">
        <f ca="1">IF(ISNUMBER(VLOOKUP($C72,CS!$AJ$11:$AJ$56,1,FALSE)),VLOOKUP($C72,CS!$AJ$11:$AS$56,10,FALSE),"")</f>
        <v/>
      </c>
      <c r="AL72" t="str">
        <f ca="1">IF(ISNUMBER(VLOOKUP($C72,CS!$AK$11:$AK$56,1,FALSE)),VLOOKUP($C72,CS!$AK$11:$AS$56,9,FALSE),"")</f>
        <v/>
      </c>
      <c r="AM72" t="str">
        <f ca="1">IF(ISNUMBER(VLOOKUP($C72,CS!$AL$11:$AL$56,1,FALSE)),VLOOKUP($C72,CS!$AL$11:$AS$56,8,FALSE),"")</f>
        <v/>
      </c>
      <c r="AN72" t="str">
        <f ca="1">IF(ISNUMBER(VLOOKUP($C72,CS!$AM$11:$AM$56,1,FALSE)),VLOOKUP($C72,CS!$AM$11:$AS$56,7,FALSE),"")</f>
        <v/>
      </c>
      <c r="AO72" t="str">
        <f ca="1">IF(ISNUMBER(VLOOKUP($C72,CS!$AN$11:$AN$56,1,FALSE)),VLOOKUP($C72,CS!$AN$11:$AS$56,6,FALSE),"")</f>
        <v/>
      </c>
      <c r="AP72" t="str">
        <f ca="1">IF(ISNUMBER(VLOOKUP($C72,CS!$AO$11:$AO$56,1,FALSE)),VLOOKUP($C72,CS!$AO$11:$AS$56,5,FALSE),"")</f>
        <v/>
      </c>
      <c r="AQ72" t="str">
        <f ca="1">IF(ISNUMBER(VLOOKUP($C72,CS!$AP$11:$AP$56,1,FALSE)),VLOOKUP($C72,CS!$AP$11:$AS$56,4,FALSE),"")</f>
        <v/>
      </c>
      <c r="AR72" t="str">
        <f ca="1">IF(ISNUMBER(VLOOKUP($C72,CS!$AQ$11:$AQ$56,1,FALSE)),VLOOKUP($C72,CS!$AQ$11:$AS$56,3,FALSE),"")</f>
        <v/>
      </c>
      <c r="AS72"/>
      <c r="AT72"/>
      <c r="AU72"/>
      <c r="AY72"/>
      <c r="AZ72">
        <v>5</v>
      </c>
      <c r="BA72" s="16" t="s">
        <v>126</v>
      </c>
      <c r="BB72" t="str">
        <f ca="1">IF($BF$13&lt;&gt;"",ADDRESS($BF$14+10,$BF$13+3),"")</f>
        <v>$F$18</v>
      </c>
      <c r="BC72" t="str">
        <f ca="1">IF(BB72&lt;&gt;"","5•2","")</f>
        <v>5•2</v>
      </c>
      <c r="BD72"/>
      <c r="BE72"/>
      <c r="BF72"/>
      <c r="BG72"/>
      <c r="BH72"/>
      <c r="BI72"/>
      <c r="BJ72"/>
      <c r="BK72"/>
      <c r="BL72"/>
      <c r="BM72"/>
      <c r="BN72"/>
      <c r="BO72"/>
      <c r="BP72"/>
      <c r="BQ72"/>
      <c r="BR72"/>
      <c r="BS72"/>
      <c r="BT72"/>
      <c r="BU72"/>
      <c r="BV72"/>
      <c r="BW72"/>
      <c r="BX72"/>
      <c r="BY72"/>
    </row>
    <row r="73" spans="1:77" ht="12" hidden="1" customHeight="1">
      <c r="A73"/>
      <c r="B73"/>
      <c r="C73" s="21" t="str">
        <f ca="1">IF(COUNTIF(TvT!$AD$11:$AD$46,"vs"),-7,"")</f>
        <v/>
      </c>
      <c r="D73" t="str">
        <f ca="1">IF(ISNUMBER(VLOOKUP($C73,CS!$C$11:$C$56,1,FALSE)),VLOOKUP($C73,CS!$C$11:$AS$56,43,FALSE),"")</f>
        <v/>
      </c>
      <c r="E73" t="str">
        <f ca="1">IF(ISNUMBER(VLOOKUP($C73,CS!$D$11:$D$56,1,FALSE)),VLOOKUP($C73,CS!$D$11:$AS$56,42,FALSE),"")</f>
        <v/>
      </c>
      <c r="F73" t="str">
        <f ca="1">IF(ISNUMBER(VLOOKUP($C73,CS!$E$11:$E$56,1,FALSE)),VLOOKUP($C73,CS!$E$11:$AS$56,41,FALSE),"")</f>
        <v/>
      </c>
      <c r="G73" t="str">
        <f ca="1">IF(ISNUMBER(VLOOKUP($C73,CS!$F$11:$F$56,1,FALSE)),VLOOKUP($C73,CS!$F$11:$AS$56,40,FALSE),"")</f>
        <v/>
      </c>
      <c r="H73" t="str">
        <f ca="1">IF(ISNUMBER(VLOOKUP($C73,CS!$G$11:$G$56,1,FALSE)),VLOOKUP($C73,CS!$G$11:$AS$56,39,FALSE),"")</f>
        <v/>
      </c>
      <c r="I73" t="str">
        <f ca="1">IF(ISNUMBER(VLOOKUP($C73,CS!$H$11:$H$56,1,FALSE)),VLOOKUP($C73,CS!$H$11:$AS$56,38,FALSE),"")</f>
        <v/>
      </c>
      <c r="J73" t="str">
        <f ca="1">IF(ISNUMBER(VLOOKUP($C73,CS!$I$11:$I$56,1,FALSE)),VLOOKUP($C73,CS!$I$11:$AS$56,37,FALSE),"")</f>
        <v/>
      </c>
      <c r="K73" t="str">
        <f ca="1">IF(ISNUMBER(VLOOKUP($C73,CS!$J$11:$J$56,1,FALSE)),VLOOKUP($C73,CS!$J$11:$AS$56,36,FALSE),"")</f>
        <v/>
      </c>
      <c r="L73" t="str">
        <f ca="1">IF(ISNUMBER(VLOOKUP($C73,CS!$K$11:$K$56,1,FALSE)),VLOOKUP($C73,CS!$K$11:$AS$56,35,FALSE),"")</f>
        <v/>
      </c>
      <c r="M73" t="str">
        <f ca="1">IF(ISNUMBER(VLOOKUP($C73,CS!$L$11:$L$56,1,FALSE)),VLOOKUP($C73,CS!$L$11:$AS$56,34,FALSE),"")</f>
        <v/>
      </c>
      <c r="N73" t="str">
        <f ca="1">IF(ISNUMBER(VLOOKUP($C73,CS!$M$11:$M$56,1,FALSE)),VLOOKUP($C73,CS!$M$11:$AS$56,33,FALSE),"")</f>
        <v/>
      </c>
      <c r="O73" t="str">
        <f ca="1">IF(ISNUMBER(VLOOKUP($C73,CS!$N$11:$N$56,1,FALSE)),VLOOKUP($C73,CS!$N$11:$AS$56,32,FALSE),"")</f>
        <v/>
      </c>
      <c r="P73" t="str">
        <f ca="1">IF(ISNUMBER(VLOOKUP($C73,CS!$O$11:$O$56,1,FALSE)),VLOOKUP($C73,CS!$O$11:$AS$56,31,FALSE),"")</f>
        <v/>
      </c>
      <c r="Q73" t="str">
        <f ca="1">IF(ISNUMBER(VLOOKUP($C73,CS!$P$11:$P$56,1,FALSE)),VLOOKUP($C73,CS!$P$11:$AS$56,30,FALSE),"")</f>
        <v/>
      </c>
      <c r="R73" t="str">
        <f ca="1">IF(ISNUMBER(VLOOKUP($C73,CS!$Q$11:$Q$56,1,FALSE)),VLOOKUP($C73,CS!$Q$11:$AS$56,29,FALSE),"")</f>
        <v/>
      </c>
      <c r="S73" t="str">
        <f ca="1">IF(ISNUMBER(VLOOKUP($C73,CS!$R$11:$R$56,1,FALSE)),VLOOKUP($C73,CS!$R$11:$AS$56,28,FALSE),"")</f>
        <v/>
      </c>
      <c r="T73" t="str">
        <f ca="1">IF(ISNUMBER(VLOOKUP($C73,CS!$S$11:$S$56,1,FALSE)),VLOOKUP($C73,CS!$S$11:$AS$56,27,FALSE),"")</f>
        <v/>
      </c>
      <c r="U73" t="str">
        <f ca="1">IF(ISNUMBER(VLOOKUP($C73,CS!$T$11:$T$56,1,FALSE)),VLOOKUP($C73,CS!$T$11:$AS$56,26,FALSE),"")</f>
        <v/>
      </c>
      <c r="V73" t="str">
        <f ca="1">IF(ISNUMBER(VLOOKUP($C73,CS!$U$11:$U$56,1,FALSE)),VLOOKUP($C73,CS!$U$11:$AS$56,25,FALSE),"")</f>
        <v/>
      </c>
      <c r="W73" t="str">
        <f ca="1">IF(ISNUMBER(VLOOKUP($C73,CS!$V$11:$V$56,1,FALSE)),VLOOKUP($C73,CS!$V$11:$AS$56,24,FALSE),"")</f>
        <v/>
      </c>
      <c r="X73" t="str">
        <f ca="1">IF(ISNUMBER(VLOOKUP($C73,CS!$W$11:$W$56,1,FALSE)),VLOOKUP($C73,CS!$W$11:$AS$56,23,FALSE),"")</f>
        <v/>
      </c>
      <c r="Y73" t="str">
        <f ca="1">IF(ISNUMBER(VLOOKUP($C73,CS!$X$11:$X$56,1,FALSE)),VLOOKUP($C73,CS!$X$11:$AS$56,22,FALSE),"")</f>
        <v/>
      </c>
      <c r="Z73" t="str">
        <f ca="1">IF(ISNUMBER(VLOOKUP($C73,CS!$Y$11:$Y$56,1,FALSE)),VLOOKUP($C73,CS!$Y$11:$AS$56,21,FALSE),"")</f>
        <v/>
      </c>
      <c r="AA73" t="str">
        <f ca="1">IF(ISNUMBER(VLOOKUP($C73,CS!$Z$11:$Z$56,1,FALSE)),VLOOKUP($C73,CS!$Z$11:$AS$56,20,FALSE),"")</f>
        <v/>
      </c>
      <c r="AB73" t="str">
        <f ca="1">IF(ISNUMBER(VLOOKUP($C73,CS!$AA$11:$AA$56,1,FALSE)),VLOOKUP($C73,CS!$AA$11:$AS$56,19,FALSE),"")</f>
        <v/>
      </c>
      <c r="AC73" t="str">
        <f ca="1">IF(ISNUMBER(VLOOKUP($C73,CS!$AB$11:$AB$56,1,FALSE)),VLOOKUP($C73,CS!$AB$11:$AS$56,18,FALSE),"")</f>
        <v/>
      </c>
      <c r="AD73" t="str">
        <f ca="1">IF(ISNUMBER(VLOOKUP($C73,CS!$AC$11:$AC$56,1,FALSE)),VLOOKUP($C73,CS!$AC$11:$AS$56,17,FALSE),"")</f>
        <v/>
      </c>
      <c r="AE73" t="str">
        <f ca="1">IF(ISNUMBER(VLOOKUP($C73,CS!$AD$11:$AD$56,1,FALSE)),VLOOKUP($C73,CS!$AD$11:$AS$56,16,FALSE),"")</f>
        <v/>
      </c>
      <c r="AF73" t="str">
        <f ca="1">IF(ISNUMBER(VLOOKUP($C73,CS!$AE$11:$AE$56,1,FALSE)),VLOOKUP($C73,CS!$AE$11:$AS$56,15,FALSE),"")</f>
        <v/>
      </c>
      <c r="AG73" t="str">
        <f ca="1">IF(ISNUMBER(VLOOKUP($C73,CS!$AF$11:$AF$56,1,FALSE)),VLOOKUP($C73,CS!$AF$11:$AS$56,14,FALSE),"")</f>
        <v/>
      </c>
      <c r="AH73" t="str">
        <f ca="1">IF(ISNUMBER(VLOOKUP($C73,CS!$AG$11:$AG$56,1,FALSE)),VLOOKUP($C73,CS!$AG$11:$AS$56,13,FALSE),"")</f>
        <v/>
      </c>
      <c r="AI73" t="str">
        <f ca="1">IF(ISNUMBER(VLOOKUP($C73,CS!$AH$11:$AH$56,1,FALSE)),VLOOKUP($C73,CS!$AH$11:$AS$56,12,FALSE),"")</f>
        <v/>
      </c>
      <c r="AJ73" t="str">
        <f ca="1">IF(ISNUMBER(VLOOKUP($C73,CS!$AI$11:$AI$56,1,FALSE)),VLOOKUP($C73,CS!$AI$11:$AS$56,11,FALSE),"")</f>
        <v/>
      </c>
      <c r="AK73" t="str">
        <f ca="1">IF(ISNUMBER(VLOOKUP($C73,CS!$AJ$11:$AJ$56,1,FALSE)),VLOOKUP($C73,CS!$AJ$11:$AS$56,10,FALSE),"")</f>
        <v/>
      </c>
      <c r="AL73" t="str">
        <f ca="1">IF(ISNUMBER(VLOOKUP($C73,CS!$AK$11:$AK$56,1,FALSE)),VLOOKUP($C73,CS!$AK$11:$AS$56,9,FALSE),"")</f>
        <v/>
      </c>
      <c r="AM73" t="str">
        <f ca="1">IF(ISNUMBER(VLOOKUP($C73,CS!$AL$11:$AL$56,1,FALSE)),VLOOKUP($C73,CS!$AL$11:$AS$56,8,FALSE),"")</f>
        <v/>
      </c>
      <c r="AN73" t="str">
        <f ca="1">IF(ISNUMBER(VLOOKUP($C73,CS!$AM$11:$AM$56,1,FALSE)),VLOOKUP($C73,CS!$AM$11:$AS$56,7,FALSE),"")</f>
        <v/>
      </c>
      <c r="AO73" t="str">
        <f ca="1">IF(ISNUMBER(VLOOKUP($C73,CS!$AN$11:$AN$56,1,FALSE)),VLOOKUP($C73,CS!$AN$11:$AS$56,6,FALSE),"")</f>
        <v/>
      </c>
      <c r="AP73" t="str">
        <f ca="1">IF(ISNUMBER(VLOOKUP($C73,CS!$AO$11:$AO$56,1,FALSE)),VLOOKUP($C73,CS!$AO$11:$AS$56,5,FALSE),"")</f>
        <v/>
      </c>
      <c r="AQ73" t="str">
        <f ca="1">IF(ISNUMBER(VLOOKUP($C73,CS!$AP$11:$AP$56,1,FALSE)),VLOOKUP($C73,CS!$AP$11:$AS$56,4,FALSE),"")</f>
        <v/>
      </c>
      <c r="AR73" t="str">
        <f ca="1">IF(ISNUMBER(VLOOKUP($C73,CS!$AQ$11:$AQ$56,1,FALSE)),VLOOKUP($C73,CS!$AQ$11:$AS$56,3,FALSE),"")</f>
        <v/>
      </c>
      <c r="AS73"/>
      <c r="AT73"/>
      <c r="AU73"/>
      <c r="AY73"/>
      <c r="AZ73">
        <v>5</v>
      </c>
      <c r="BA73" s="16" t="s">
        <v>127</v>
      </c>
      <c r="BB73" t="str">
        <f ca="1">IF($BF$15&lt;&gt;"",ADDRESS($BF$16+10,$BF$15+3),"")</f>
        <v>$G$17</v>
      </c>
      <c r="BC73" t="str">
        <f ca="1">IF(BB73&lt;&gt;"","5•3","")</f>
        <v>5•3</v>
      </c>
      <c r="BD73"/>
      <c r="BE73"/>
      <c r="BF73"/>
      <c r="BG73"/>
      <c r="BH73"/>
      <c r="BI73"/>
      <c r="BJ73"/>
      <c r="BK73"/>
      <c r="BL73"/>
      <c r="BM73"/>
      <c r="BN73"/>
      <c r="BO73"/>
      <c r="BP73"/>
      <c r="BQ73"/>
      <c r="BR73"/>
      <c r="BS73"/>
      <c r="BT73"/>
      <c r="BU73"/>
      <c r="BV73"/>
      <c r="BW73"/>
      <c r="BX73"/>
      <c r="BY73"/>
    </row>
    <row r="74" spans="1:77" ht="12" hidden="1" customHeight="1">
      <c r="A74"/>
      <c r="B74"/>
      <c r="C74" s="23" t="str">
        <f ca="1">IF(COUNTIF(TvT!$AD$11:$AD$46,"vs"),7,"")</f>
        <v/>
      </c>
      <c r="D74" t="str">
        <f ca="1">IF(ISNUMBER(VLOOKUP($C74,CS!$C$11:$C$56,1,FALSE)),VLOOKUP($C74,CS!$C$11:$AS$56,43,FALSE),"")</f>
        <v/>
      </c>
      <c r="E74" t="str">
        <f ca="1">IF(ISNUMBER(VLOOKUP($C74,CS!$D$11:$D$56,1,FALSE)),VLOOKUP($C74,CS!$D$11:$AS$56,42,FALSE),"")</f>
        <v/>
      </c>
      <c r="F74" t="str">
        <f ca="1">IF(ISNUMBER(VLOOKUP($C74,CS!$E$11:$E$56,1,FALSE)),VLOOKUP($C74,CS!$E$11:$AS$56,41,FALSE),"")</f>
        <v/>
      </c>
      <c r="G74" t="str">
        <f ca="1">IF(ISNUMBER(VLOOKUP($C74,CS!$F$11:$F$56,1,FALSE)),VLOOKUP($C74,CS!$F$11:$AS$56,40,FALSE),"")</f>
        <v/>
      </c>
      <c r="H74" t="str">
        <f ca="1">IF(ISNUMBER(VLOOKUP($C74,CS!$G$11:$G$56,1,FALSE)),VLOOKUP($C74,CS!$G$11:$AS$56,39,FALSE),"")</f>
        <v/>
      </c>
      <c r="I74" t="str">
        <f ca="1">IF(ISNUMBER(VLOOKUP($C74,CS!$H$11:$H$56,1,FALSE)),VLOOKUP($C74,CS!$H$11:$AS$56,38,FALSE),"")</f>
        <v/>
      </c>
      <c r="J74" t="str">
        <f ca="1">IF(ISNUMBER(VLOOKUP($C74,CS!$I$11:$I$56,1,FALSE)),VLOOKUP($C74,CS!$I$11:$AS$56,37,FALSE),"")</f>
        <v/>
      </c>
      <c r="K74" t="str">
        <f ca="1">IF(ISNUMBER(VLOOKUP($C74,CS!$J$11:$J$56,1,FALSE)),VLOOKUP($C74,CS!$J$11:$AS$56,36,FALSE),"")</f>
        <v/>
      </c>
      <c r="L74" t="str">
        <f ca="1">IF(ISNUMBER(VLOOKUP($C74,CS!$K$11:$K$56,1,FALSE)),VLOOKUP($C74,CS!$K$11:$AS$56,35,FALSE),"")</f>
        <v/>
      </c>
      <c r="M74" t="str">
        <f ca="1">IF(ISNUMBER(VLOOKUP($C74,CS!$L$11:$L$56,1,FALSE)),VLOOKUP($C74,CS!$L$11:$AS$56,34,FALSE),"")</f>
        <v/>
      </c>
      <c r="N74" t="str">
        <f ca="1">IF(ISNUMBER(VLOOKUP($C74,CS!$M$11:$M$56,1,FALSE)),VLOOKUP($C74,CS!$M$11:$AS$56,33,FALSE),"")</f>
        <v/>
      </c>
      <c r="O74" t="str">
        <f ca="1">IF(ISNUMBER(VLOOKUP($C74,CS!$N$11:$N$56,1,FALSE)),VLOOKUP($C74,CS!$N$11:$AS$56,32,FALSE),"")</f>
        <v/>
      </c>
      <c r="P74" t="str">
        <f ca="1">IF(ISNUMBER(VLOOKUP($C74,CS!$O$11:$O$56,1,FALSE)),VLOOKUP($C74,CS!$O$11:$AS$56,31,FALSE),"")</f>
        <v/>
      </c>
      <c r="Q74" t="str">
        <f ca="1">IF(ISNUMBER(VLOOKUP($C74,CS!$P$11:$P$56,1,FALSE)),VLOOKUP($C74,CS!$P$11:$AS$56,30,FALSE),"")</f>
        <v/>
      </c>
      <c r="R74" t="str">
        <f ca="1">IF(ISNUMBER(VLOOKUP($C74,CS!$Q$11:$Q$56,1,FALSE)),VLOOKUP($C74,CS!$Q$11:$AS$56,29,FALSE),"")</f>
        <v/>
      </c>
      <c r="S74" t="str">
        <f ca="1">IF(ISNUMBER(VLOOKUP($C74,CS!$R$11:$R$56,1,FALSE)),VLOOKUP($C74,CS!$R$11:$AS$56,28,FALSE),"")</f>
        <v/>
      </c>
      <c r="T74" t="str">
        <f ca="1">IF(ISNUMBER(VLOOKUP($C74,CS!$S$11:$S$56,1,FALSE)),VLOOKUP($C74,CS!$S$11:$AS$56,27,FALSE),"")</f>
        <v/>
      </c>
      <c r="U74" t="str">
        <f ca="1">IF(ISNUMBER(VLOOKUP($C74,CS!$T$11:$T$56,1,FALSE)),VLOOKUP($C74,CS!$T$11:$AS$56,26,FALSE),"")</f>
        <v/>
      </c>
      <c r="V74" t="str">
        <f ca="1">IF(ISNUMBER(VLOOKUP($C74,CS!$U$11:$U$56,1,FALSE)),VLOOKUP($C74,CS!$U$11:$AS$56,25,FALSE),"")</f>
        <v/>
      </c>
      <c r="W74" t="str">
        <f ca="1">IF(ISNUMBER(VLOOKUP($C74,CS!$V$11:$V$56,1,FALSE)),VLOOKUP($C74,CS!$V$11:$AS$56,24,FALSE),"")</f>
        <v/>
      </c>
      <c r="X74" t="str">
        <f ca="1">IF(ISNUMBER(VLOOKUP($C74,CS!$W$11:$W$56,1,FALSE)),VLOOKUP($C74,CS!$W$11:$AS$56,23,FALSE),"")</f>
        <v/>
      </c>
      <c r="Y74" t="str">
        <f ca="1">IF(ISNUMBER(VLOOKUP($C74,CS!$X$11:$X$56,1,FALSE)),VLOOKUP($C74,CS!$X$11:$AS$56,22,FALSE),"")</f>
        <v/>
      </c>
      <c r="Z74" t="str">
        <f ca="1">IF(ISNUMBER(VLOOKUP($C74,CS!$Y$11:$Y$56,1,FALSE)),VLOOKUP($C74,CS!$Y$11:$AS$56,21,FALSE),"")</f>
        <v/>
      </c>
      <c r="AA74" t="str">
        <f ca="1">IF(ISNUMBER(VLOOKUP($C74,CS!$Z$11:$Z$56,1,FALSE)),VLOOKUP($C74,CS!$Z$11:$AS$56,20,FALSE),"")</f>
        <v/>
      </c>
      <c r="AB74" t="str">
        <f ca="1">IF(ISNUMBER(VLOOKUP($C74,CS!$AA$11:$AA$56,1,FALSE)),VLOOKUP($C74,CS!$AA$11:$AS$56,19,FALSE),"")</f>
        <v/>
      </c>
      <c r="AC74" t="str">
        <f ca="1">IF(ISNUMBER(VLOOKUP($C74,CS!$AB$11:$AB$56,1,FALSE)),VLOOKUP($C74,CS!$AB$11:$AS$56,18,FALSE),"")</f>
        <v/>
      </c>
      <c r="AD74" t="str">
        <f ca="1">IF(ISNUMBER(VLOOKUP($C74,CS!$AC$11:$AC$56,1,FALSE)),VLOOKUP($C74,CS!$AC$11:$AS$56,17,FALSE),"")</f>
        <v/>
      </c>
      <c r="AE74" t="str">
        <f ca="1">IF(ISNUMBER(VLOOKUP($C74,CS!$AD$11:$AD$56,1,FALSE)),VLOOKUP($C74,CS!$AD$11:$AS$56,16,FALSE),"")</f>
        <v/>
      </c>
      <c r="AF74" t="str">
        <f ca="1">IF(ISNUMBER(VLOOKUP($C74,CS!$AE$11:$AE$56,1,FALSE)),VLOOKUP($C74,CS!$AE$11:$AS$56,15,FALSE),"")</f>
        <v/>
      </c>
      <c r="AG74" t="str">
        <f ca="1">IF(ISNUMBER(VLOOKUP($C74,CS!$AF$11:$AF$56,1,FALSE)),VLOOKUP($C74,CS!$AF$11:$AS$56,14,FALSE),"")</f>
        <v/>
      </c>
      <c r="AH74" t="str">
        <f ca="1">IF(ISNUMBER(VLOOKUP($C74,CS!$AG$11:$AG$56,1,FALSE)),VLOOKUP($C74,CS!$AG$11:$AS$56,13,FALSE),"")</f>
        <v/>
      </c>
      <c r="AI74" t="str">
        <f ca="1">IF(ISNUMBER(VLOOKUP($C74,CS!$AH$11:$AH$56,1,FALSE)),VLOOKUP($C74,CS!$AH$11:$AS$56,12,FALSE),"")</f>
        <v/>
      </c>
      <c r="AJ74" t="str">
        <f ca="1">IF(ISNUMBER(VLOOKUP($C74,CS!$AI$11:$AI$56,1,FALSE)),VLOOKUP($C74,CS!$AI$11:$AS$56,11,FALSE),"")</f>
        <v/>
      </c>
      <c r="AK74" t="str">
        <f ca="1">IF(ISNUMBER(VLOOKUP($C74,CS!$AJ$11:$AJ$56,1,FALSE)),VLOOKUP($C74,CS!$AJ$11:$AS$56,10,FALSE),"")</f>
        <v/>
      </c>
      <c r="AL74" t="str">
        <f ca="1">IF(ISNUMBER(VLOOKUP($C74,CS!$AK$11:$AK$56,1,FALSE)),VLOOKUP($C74,CS!$AK$11:$AS$56,9,FALSE),"")</f>
        <v/>
      </c>
      <c r="AM74" t="str">
        <f ca="1">IF(ISNUMBER(VLOOKUP($C74,CS!$AL$11:$AL$56,1,FALSE)),VLOOKUP($C74,CS!$AL$11:$AS$56,8,FALSE),"")</f>
        <v/>
      </c>
      <c r="AN74" t="str">
        <f ca="1">IF(ISNUMBER(VLOOKUP($C74,CS!$AM$11:$AM$56,1,FALSE)),VLOOKUP($C74,CS!$AM$11:$AS$56,7,FALSE),"")</f>
        <v/>
      </c>
      <c r="AO74" t="str">
        <f ca="1">IF(ISNUMBER(VLOOKUP($C74,CS!$AN$11:$AN$56,1,FALSE)),VLOOKUP($C74,CS!$AN$11:$AS$56,6,FALSE),"")</f>
        <v/>
      </c>
      <c r="AP74" t="str">
        <f ca="1">IF(ISNUMBER(VLOOKUP($C74,CS!$AO$11:$AO$56,1,FALSE)),VLOOKUP($C74,CS!$AO$11:$AS$56,5,FALSE),"")</f>
        <v/>
      </c>
      <c r="AQ74" t="str">
        <f ca="1">IF(ISNUMBER(VLOOKUP($C74,CS!$AP$11:$AP$56,1,FALSE)),VLOOKUP($C74,CS!$AP$11:$AS$56,4,FALSE),"")</f>
        <v/>
      </c>
      <c r="AR74" t="str">
        <f ca="1">IF(ISNUMBER(VLOOKUP($C74,CS!$AQ$11:$AQ$56,1,FALSE)),VLOOKUP($C74,CS!$AQ$11:$AS$56,3,FALSE),"")</f>
        <v/>
      </c>
      <c r="AS74"/>
      <c r="AT74"/>
      <c r="AU74"/>
      <c r="AY74"/>
      <c r="AZ74">
        <v>5</v>
      </c>
      <c r="BA74" s="16" t="s">
        <v>128</v>
      </c>
      <c r="BB74" t="str">
        <f ca="1">IF($BF$17&lt;&gt;"",ADDRESS($BF$18+10,$BF$17+3),"")</f>
        <v>$U$34</v>
      </c>
      <c r="BC74" t="str">
        <f ca="1">IF(BB74&lt;&gt;"","5•4","")</f>
        <v>5•4</v>
      </c>
      <c r="BD74"/>
      <c r="BE74"/>
      <c r="BF74"/>
      <c r="BG74"/>
      <c r="BH74"/>
      <c r="BI74"/>
      <c r="BJ74"/>
      <c r="BK74"/>
      <c r="BL74"/>
      <c r="BM74"/>
      <c r="BN74"/>
      <c r="BO74"/>
      <c r="BP74"/>
      <c r="BQ74"/>
      <c r="BR74"/>
      <c r="BS74"/>
      <c r="BT74"/>
      <c r="BU74"/>
      <c r="BV74"/>
      <c r="BW74"/>
      <c r="BX74"/>
      <c r="BY74"/>
    </row>
    <row r="75" spans="1:77" ht="12" hidden="1" customHeight="1">
      <c r="A75"/>
      <c r="B75"/>
      <c r="C75" s="21" t="str">
        <f ca="1">IF(COUNTIF(TvT!$AH$11:$AH$46,"vs"),-8,"")</f>
        <v/>
      </c>
      <c r="D75" t="str">
        <f ca="1">IF(ISNUMBER(VLOOKUP($C75,CS!$C$11:$C$56,1,FALSE)),VLOOKUP($C75,CS!$C$11:$AS$56,43,FALSE),"")</f>
        <v/>
      </c>
      <c r="E75" t="str">
        <f ca="1">IF(ISNUMBER(VLOOKUP($C75,CS!$D$11:$D$56,1,FALSE)),VLOOKUP($C75,CS!$D$11:$AS$56,42,FALSE),"")</f>
        <v/>
      </c>
      <c r="F75" t="str">
        <f ca="1">IF(ISNUMBER(VLOOKUP($C75,CS!$E$11:$E$56,1,FALSE)),VLOOKUP($C75,CS!$E$11:$AS$56,41,FALSE),"")</f>
        <v/>
      </c>
      <c r="G75" t="str">
        <f ca="1">IF(ISNUMBER(VLOOKUP($C75,CS!$F$11:$F$56,1,FALSE)),VLOOKUP($C75,CS!$F$11:$AS$56,40,FALSE),"")</f>
        <v/>
      </c>
      <c r="H75" t="str">
        <f ca="1">IF(ISNUMBER(VLOOKUP($C75,CS!$G$11:$G$56,1,FALSE)),VLOOKUP($C75,CS!$G$11:$AS$56,39,FALSE),"")</f>
        <v/>
      </c>
      <c r="I75" t="str">
        <f ca="1">IF(ISNUMBER(VLOOKUP($C75,CS!$H$11:$H$56,1,FALSE)),VLOOKUP($C75,CS!$H$11:$AS$56,38,FALSE),"")</f>
        <v/>
      </c>
      <c r="J75" t="str">
        <f ca="1">IF(ISNUMBER(VLOOKUP($C75,CS!$I$11:$I$56,1,FALSE)),VLOOKUP($C75,CS!$I$11:$AS$56,37,FALSE),"")</f>
        <v/>
      </c>
      <c r="K75" t="str">
        <f ca="1">IF(ISNUMBER(VLOOKUP($C75,CS!$J$11:$J$56,1,FALSE)),VLOOKUP($C75,CS!$J$11:$AS$56,36,FALSE),"")</f>
        <v/>
      </c>
      <c r="L75" t="str">
        <f ca="1">IF(ISNUMBER(VLOOKUP($C75,CS!$K$11:$K$56,1,FALSE)),VLOOKUP($C75,CS!$K$11:$AS$56,35,FALSE),"")</f>
        <v/>
      </c>
      <c r="M75" t="str">
        <f ca="1">IF(ISNUMBER(VLOOKUP($C75,CS!$L$11:$L$56,1,FALSE)),VLOOKUP($C75,CS!$L$11:$AS$56,34,FALSE),"")</f>
        <v/>
      </c>
      <c r="N75" t="str">
        <f ca="1">IF(ISNUMBER(VLOOKUP($C75,CS!$M$11:$M$56,1,FALSE)),VLOOKUP($C75,CS!$M$11:$AS$56,33,FALSE),"")</f>
        <v/>
      </c>
      <c r="O75" t="str">
        <f ca="1">IF(ISNUMBER(VLOOKUP($C75,CS!$N$11:$N$56,1,FALSE)),VLOOKUP($C75,CS!$N$11:$AS$56,32,FALSE),"")</f>
        <v/>
      </c>
      <c r="P75" t="str">
        <f ca="1">IF(ISNUMBER(VLOOKUP($C75,CS!$O$11:$O$56,1,FALSE)),VLOOKUP($C75,CS!$O$11:$AS$56,31,FALSE),"")</f>
        <v/>
      </c>
      <c r="Q75" t="str">
        <f ca="1">IF(ISNUMBER(VLOOKUP($C75,CS!$P$11:$P$56,1,FALSE)),VLOOKUP($C75,CS!$P$11:$AS$56,30,FALSE),"")</f>
        <v/>
      </c>
      <c r="R75" t="str">
        <f ca="1">IF(ISNUMBER(VLOOKUP($C75,CS!$Q$11:$Q$56,1,FALSE)),VLOOKUP($C75,CS!$Q$11:$AS$56,29,FALSE),"")</f>
        <v/>
      </c>
      <c r="S75" t="str">
        <f ca="1">IF(ISNUMBER(VLOOKUP($C75,CS!$R$11:$R$56,1,FALSE)),VLOOKUP($C75,CS!$R$11:$AS$56,28,FALSE),"")</f>
        <v/>
      </c>
      <c r="T75" t="str">
        <f ca="1">IF(ISNUMBER(VLOOKUP($C75,CS!$S$11:$S$56,1,FALSE)),VLOOKUP($C75,CS!$S$11:$AS$56,27,FALSE),"")</f>
        <v/>
      </c>
      <c r="U75" t="str">
        <f ca="1">IF(ISNUMBER(VLOOKUP($C75,CS!$T$11:$T$56,1,FALSE)),VLOOKUP($C75,CS!$T$11:$AS$56,26,FALSE),"")</f>
        <v/>
      </c>
      <c r="V75" t="str">
        <f ca="1">IF(ISNUMBER(VLOOKUP($C75,CS!$U$11:$U$56,1,FALSE)),VLOOKUP($C75,CS!$U$11:$AS$56,25,FALSE),"")</f>
        <v/>
      </c>
      <c r="W75" t="str">
        <f ca="1">IF(ISNUMBER(VLOOKUP($C75,CS!$V$11:$V$56,1,FALSE)),VLOOKUP($C75,CS!$V$11:$AS$56,24,FALSE),"")</f>
        <v/>
      </c>
      <c r="X75" t="str">
        <f ca="1">IF(ISNUMBER(VLOOKUP($C75,CS!$W$11:$W$56,1,FALSE)),VLOOKUP($C75,CS!$W$11:$AS$56,23,FALSE),"")</f>
        <v/>
      </c>
      <c r="Y75" t="str">
        <f ca="1">IF(ISNUMBER(VLOOKUP($C75,CS!$X$11:$X$56,1,FALSE)),VLOOKUP($C75,CS!$X$11:$AS$56,22,FALSE),"")</f>
        <v/>
      </c>
      <c r="Z75" t="str">
        <f ca="1">IF(ISNUMBER(VLOOKUP($C75,CS!$Y$11:$Y$56,1,FALSE)),VLOOKUP($C75,CS!$Y$11:$AS$56,21,FALSE),"")</f>
        <v/>
      </c>
      <c r="AA75" t="str">
        <f ca="1">IF(ISNUMBER(VLOOKUP($C75,CS!$Z$11:$Z$56,1,FALSE)),VLOOKUP($C75,CS!$Z$11:$AS$56,20,FALSE),"")</f>
        <v/>
      </c>
      <c r="AB75" t="str">
        <f ca="1">IF(ISNUMBER(VLOOKUP($C75,CS!$AA$11:$AA$56,1,FALSE)),VLOOKUP($C75,CS!$AA$11:$AS$56,19,FALSE),"")</f>
        <v/>
      </c>
      <c r="AC75" t="str">
        <f ca="1">IF(ISNUMBER(VLOOKUP($C75,CS!$AB$11:$AB$56,1,FALSE)),VLOOKUP($C75,CS!$AB$11:$AS$56,18,FALSE),"")</f>
        <v/>
      </c>
      <c r="AD75" t="str">
        <f ca="1">IF(ISNUMBER(VLOOKUP($C75,CS!$AC$11:$AC$56,1,FALSE)),VLOOKUP($C75,CS!$AC$11:$AS$56,17,FALSE),"")</f>
        <v/>
      </c>
      <c r="AE75" t="str">
        <f ca="1">IF(ISNUMBER(VLOOKUP($C75,CS!$AD$11:$AD$56,1,FALSE)),VLOOKUP($C75,CS!$AD$11:$AS$56,16,FALSE),"")</f>
        <v/>
      </c>
      <c r="AF75" t="str">
        <f ca="1">IF(ISNUMBER(VLOOKUP($C75,CS!$AE$11:$AE$56,1,FALSE)),VLOOKUP($C75,CS!$AE$11:$AS$56,15,FALSE),"")</f>
        <v/>
      </c>
      <c r="AG75" t="str">
        <f ca="1">IF(ISNUMBER(VLOOKUP($C75,CS!$AF$11:$AF$56,1,FALSE)),VLOOKUP($C75,CS!$AF$11:$AS$56,14,FALSE),"")</f>
        <v/>
      </c>
      <c r="AH75" t="str">
        <f ca="1">IF(ISNUMBER(VLOOKUP($C75,CS!$AG$11:$AG$56,1,FALSE)),VLOOKUP($C75,CS!$AG$11:$AS$56,13,FALSE),"")</f>
        <v/>
      </c>
      <c r="AI75" t="str">
        <f ca="1">IF(ISNUMBER(VLOOKUP($C75,CS!$AH$11:$AH$56,1,FALSE)),VLOOKUP($C75,CS!$AH$11:$AS$56,12,FALSE),"")</f>
        <v/>
      </c>
      <c r="AJ75" t="str">
        <f ca="1">IF(ISNUMBER(VLOOKUP($C75,CS!$AI$11:$AI$56,1,FALSE)),VLOOKUP($C75,CS!$AI$11:$AS$56,11,FALSE),"")</f>
        <v/>
      </c>
      <c r="AK75" t="str">
        <f ca="1">IF(ISNUMBER(VLOOKUP($C75,CS!$AJ$11:$AJ$56,1,FALSE)),VLOOKUP($C75,CS!$AJ$11:$AS$56,10,FALSE),"")</f>
        <v/>
      </c>
      <c r="AL75" t="str">
        <f ca="1">IF(ISNUMBER(VLOOKUP($C75,CS!$AK$11:$AK$56,1,FALSE)),VLOOKUP($C75,CS!$AK$11:$AS$56,9,FALSE),"")</f>
        <v/>
      </c>
      <c r="AM75" t="str">
        <f ca="1">IF(ISNUMBER(VLOOKUP($C75,CS!$AL$11:$AL$56,1,FALSE)),VLOOKUP($C75,CS!$AL$11:$AS$56,8,FALSE),"")</f>
        <v/>
      </c>
      <c r="AN75" t="str">
        <f ca="1">IF(ISNUMBER(VLOOKUP($C75,CS!$AM$11:$AM$56,1,FALSE)),VLOOKUP($C75,CS!$AM$11:$AS$56,7,FALSE),"")</f>
        <v/>
      </c>
      <c r="AO75" t="str">
        <f ca="1">IF(ISNUMBER(VLOOKUP($C75,CS!$AN$11:$AN$56,1,FALSE)),VLOOKUP($C75,CS!$AN$11:$AS$56,6,FALSE),"")</f>
        <v/>
      </c>
      <c r="AP75" t="str">
        <f ca="1">IF(ISNUMBER(VLOOKUP($C75,CS!$AO$11:$AO$56,1,FALSE)),VLOOKUP($C75,CS!$AO$11:$AS$56,5,FALSE),"")</f>
        <v/>
      </c>
      <c r="AQ75" t="str">
        <f ca="1">IF(ISNUMBER(VLOOKUP($C75,CS!$AP$11:$AP$56,1,FALSE)),VLOOKUP($C75,CS!$AP$11:$AS$56,4,FALSE),"")</f>
        <v/>
      </c>
      <c r="AR75" t="str">
        <f ca="1">IF(ISNUMBER(VLOOKUP($C75,CS!$AQ$11:$AQ$56,1,FALSE)),VLOOKUP($C75,CS!$AQ$11:$AS$56,3,FALSE),"")</f>
        <v/>
      </c>
      <c r="AS75"/>
      <c r="AT75"/>
      <c r="AU75"/>
      <c r="AY75"/>
      <c r="AZ75">
        <v>5</v>
      </c>
      <c r="BA75" s="16" t="s">
        <v>129</v>
      </c>
      <c r="BB75" t="str">
        <f ca="1">IF($BF$19&lt;&gt;"",ADDRESS($BF$20+10,$BF$19+3),"")</f>
        <v>$T$31</v>
      </c>
      <c r="BC75" t="str">
        <f ca="1">IF(BB75&lt;&gt;"","5•5","")</f>
        <v>5•5</v>
      </c>
      <c r="BD75"/>
      <c r="BE75"/>
      <c r="BF75"/>
      <c r="BG75"/>
      <c r="BH75"/>
      <c r="BI75"/>
      <c r="BJ75"/>
      <c r="BK75"/>
      <c r="BL75"/>
      <c r="BM75"/>
      <c r="BN75"/>
      <c r="BO75"/>
      <c r="BP75"/>
      <c r="BQ75"/>
      <c r="BR75"/>
      <c r="BS75"/>
      <c r="BT75"/>
      <c r="BU75"/>
      <c r="BV75"/>
      <c r="BW75"/>
      <c r="BX75"/>
      <c r="BY75"/>
    </row>
    <row r="76" spans="1:77" ht="12" hidden="1" customHeight="1">
      <c r="A76"/>
      <c r="B76"/>
      <c r="C76" s="23" t="str">
        <f ca="1">IF(COUNTIF(TvT!$AH$11:$AH$46,"vs"),8,"")</f>
        <v/>
      </c>
      <c r="D76" t="str">
        <f ca="1">IF(ISNUMBER(VLOOKUP($C76,CS!$C$11:$C$56,1,FALSE)),VLOOKUP($C76,CS!$C$11:$AS$56,43,FALSE),"")</f>
        <v/>
      </c>
      <c r="E76" t="str">
        <f ca="1">IF(ISNUMBER(VLOOKUP($C76,CS!$D$11:$D$56,1,FALSE)),VLOOKUP($C76,CS!$D$11:$AS$56,42,FALSE),"")</f>
        <v/>
      </c>
      <c r="F76" t="str">
        <f ca="1">IF(ISNUMBER(VLOOKUP($C76,CS!$E$11:$E$56,1,FALSE)),VLOOKUP($C76,CS!$E$11:$AS$56,41,FALSE),"")</f>
        <v/>
      </c>
      <c r="G76" t="str">
        <f ca="1">IF(ISNUMBER(VLOOKUP($C76,CS!$F$11:$F$56,1,FALSE)),VLOOKUP($C76,CS!$F$11:$AS$56,40,FALSE),"")</f>
        <v/>
      </c>
      <c r="H76" t="str">
        <f ca="1">IF(ISNUMBER(VLOOKUP($C76,CS!$G$11:$G$56,1,FALSE)),VLOOKUP($C76,CS!$G$11:$AS$56,39,FALSE),"")</f>
        <v/>
      </c>
      <c r="I76" t="str">
        <f ca="1">IF(ISNUMBER(VLOOKUP($C76,CS!$H$11:$H$56,1,FALSE)),VLOOKUP($C76,CS!$H$11:$AS$56,38,FALSE),"")</f>
        <v/>
      </c>
      <c r="J76" t="str">
        <f ca="1">IF(ISNUMBER(VLOOKUP($C76,CS!$I$11:$I$56,1,FALSE)),VLOOKUP($C76,CS!$I$11:$AS$56,37,FALSE),"")</f>
        <v/>
      </c>
      <c r="K76" t="str">
        <f ca="1">IF(ISNUMBER(VLOOKUP($C76,CS!$J$11:$J$56,1,FALSE)),VLOOKUP($C76,CS!$J$11:$AS$56,36,FALSE),"")</f>
        <v/>
      </c>
      <c r="L76" t="str">
        <f ca="1">IF(ISNUMBER(VLOOKUP($C76,CS!$K$11:$K$56,1,FALSE)),VLOOKUP($C76,CS!$K$11:$AS$56,35,FALSE),"")</f>
        <v/>
      </c>
      <c r="M76" t="str">
        <f ca="1">IF(ISNUMBER(VLOOKUP($C76,CS!$L$11:$L$56,1,FALSE)),VLOOKUP($C76,CS!$L$11:$AS$56,34,FALSE),"")</f>
        <v/>
      </c>
      <c r="N76" t="str">
        <f ca="1">IF(ISNUMBER(VLOOKUP($C76,CS!$M$11:$M$56,1,FALSE)),VLOOKUP($C76,CS!$M$11:$AS$56,33,FALSE),"")</f>
        <v/>
      </c>
      <c r="O76" t="str">
        <f ca="1">IF(ISNUMBER(VLOOKUP($C76,CS!$N$11:$N$56,1,FALSE)),VLOOKUP($C76,CS!$N$11:$AS$56,32,FALSE),"")</f>
        <v/>
      </c>
      <c r="P76" t="str">
        <f ca="1">IF(ISNUMBER(VLOOKUP($C76,CS!$O$11:$O$56,1,FALSE)),VLOOKUP($C76,CS!$O$11:$AS$56,31,FALSE),"")</f>
        <v/>
      </c>
      <c r="Q76" t="str">
        <f ca="1">IF(ISNUMBER(VLOOKUP($C76,CS!$P$11:$P$56,1,FALSE)),VLOOKUP($C76,CS!$P$11:$AS$56,30,FALSE),"")</f>
        <v/>
      </c>
      <c r="R76" t="str">
        <f ca="1">IF(ISNUMBER(VLOOKUP($C76,CS!$Q$11:$Q$56,1,FALSE)),VLOOKUP($C76,CS!$Q$11:$AS$56,29,FALSE),"")</f>
        <v/>
      </c>
      <c r="S76" t="str">
        <f ca="1">IF(ISNUMBER(VLOOKUP($C76,CS!$R$11:$R$56,1,FALSE)),VLOOKUP($C76,CS!$R$11:$AS$56,28,FALSE),"")</f>
        <v/>
      </c>
      <c r="T76" t="str">
        <f ca="1">IF(ISNUMBER(VLOOKUP($C76,CS!$S$11:$S$56,1,FALSE)),VLOOKUP($C76,CS!$S$11:$AS$56,27,FALSE),"")</f>
        <v/>
      </c>
      <c r="U76" t="str">
        <f ca="1">IF(ISNUMBER(VLOOKUP($C76,CS!$T$11:$T$56,1,FALSE)),VLOOKUP($C76,CS!$T$11:$AS$56,26,FALSE),"")</f>
        <v/>
      </c>
      <c r="V76" t="str">
        <f ca="1">IF(ISNUMBER(VLOOKUP($C76,CS!$U$11:$U$56,1,FALSE)),VLOOKUP($C76,CS!$U$11:$AS$56,25,FALSE),"")</f>
        <v/>
      </c>
      <c r="W76" t="str">
        <f ca="1">IF(ISNUMBER(VLOOKUP($C76,CS!$V$11:$V$56,1,FALSE)),VLOOKUP($C76,CS!$V$11:$AS$56,24,FALSE),"")</f>
        <v/>
      </c>
      <c r="X76" t="str">
        <f ca="1">IF(ISNUMBER(VLOOKUP($C76,CS!$W$11:$W$56,1,FALSE)),VLOOKUP($C76,CS!$W$11:$AS$56,23,FALSE),"")</f>
        <v/>
      </c>
      <c r="Y76" t="str">
        <f ca="1">IF(ISNUMBER(VLOOKUP($C76,CS!$X$11:$X$56,1,FALSE)),VLOOKUP($C76,CS!$X$11:$AS$56,22,FALSE),"")</f>
        <v/>
      </c>
      <c r="Z76" t="str">
        <f ca="1">IF(ISNUMBER(VLOOKUP($C76,CS!$Y$11:$Y$56,1,FALSE)),VLOOKUP($C76,CS!$Y$11:$AS$56,21,FALSE),"")</f>
        <v/>
      </c>
      <c r="AA76" t="str">
        <f ca="1">IF(ISNUMBER(VLOOKUP($C76,CS!$Z$11:$Z$56,1,FALSE)),VLOOKUP($C76,CS!$Z$11:$AS$56,20,FALSE),"")</f>
        <v/>
      </c>
      <c r="AB76" t="str">
        <f ca="1">IF(ISNUMBER(VLOOKUP($C76,CS!$AA$11:$AA$56,1,FALSE)),VLOOKUP($C76,CS!$AA$11:$AS$56,19,FALSE),"")</f>
        <v/>
      </c>
      <c r="AC76" t="str">
        <f ca="1">IF(ISNUMBER(VLOOKUP($C76,CS!$AB$11:$AB$56,1,FALSE)),VLOOKUP($C76,CS!$AB$11:$AS$56,18,FALSE),"")</f>
        <v/>
      </c>
      <c r="AD76" t="str">
        <f ca="1">IF(ISNUMBER(VLOOKUP($C76,CS!$AC$11:$AC$56,1,FALSE)),VLOOKUP($C76,CS!$AC$11:$AS$56,17,FALSE),"")</f>
        <v/>
      </c>
      <c r="AE76" t="str">
        <f ca="1">IF(ISNUMBER(VLOOKUP($C76,CS!$AD$11:$AD$56,1,FALSE)),VLOOKUP($C76,CS!$AD$11:$AS$56,16,FALSE),"")</f>
        <v/>
      </c>
      <c r="AF76" t="str">
        <f ca="1">IF(ISNUMBER(VLOOKUP($C76,CS!$AE$11:$AE$56,1,FALSE)),VLOOKUP($C76,CS!$AE$11:$AS$56,15,FALSE),"")</f>
        <v/>
      </c>
      <c r="AG76" t="str">
        <f ca="1">IF(ISNUMBER(VLOOKUP($C76,CS!$AF$11:$AF$56,1,FALSE)),VLOOKUP($C76,CS!$AF$11:$AS$56,14,FALSE),"")</f>
        <v/>
      </c>
      <c r="AH76" t="str">
        <f ca="1">IF(ISNUMBER(VLOOKUP($C76,CS!$AG$11:$AG$56,1,FALSE)),VLOOKUP($C76,CS!$AG$11:$AS$56,13,FALSE),"")</f>
        <v/>
      </c>
      <c r="AI76" t="str">
        <f ca="1">IF(ISNUMBER(VLOOKUP($C76,CS!$AH$11:$AH$56,1,FALSE)),VLOOKUP($C76,CS!$AH$11:$AS$56,12,FALSE),"")</f>
        <v/>
      </c>
      <c r="AJ76" t="str">
        <f ca="1">IF(ISNUMBER(VLOOKUP($C76,CS!$AI$11:$AI$56,1,FALSE)),VLOOKUP($C76,CS!$AI$11:$AS$56,11,FALSE),"")</f>
        <v/>
      </c>
      <c r="AK76" t="str">
        <f ca="1">IF(ISNUMBER(VLOOKUP($C76,CS!$AJ$11:$AJ$56,1,FALSE)),VLOOKUP($C76,CS!$AJ$11:$AS$56,10,FALSE),"")</f>
        <v/>
      </c>
      <c r="AL76" t="str">
        <f ca="1">IF(ISNUMBER(VLOOKUP($C76,CS!$AK$11:$AK$56,1,FALSE)),VLOOKUP($C76,CS!$AK$11:$AS$56,9,FALSE),"")</f>
        <v/>
      </c>
      <c r="AM76" t="str">
        <f ca="1">IF(ISNUMBER(VLOOKUP($C76,CS!$AL$11:$AL$56,1,FALSE)),VLOOKUP($C76,CS!$AL$11:$AS$56,8,FALSE),"")</f>
        <v/>
      </c>
      <c r="AN76" t="str">
        <f ca="1">IF(ISNUMBER(VLOOKUP($C76,CS!$AM$11:$AM$56,1,FALSE)),VLOOKUP($C76,CS!$AM$11:$AS$56,7,FALSE),"")</f>
        <v/>
      </c>
      <c r="AO76" t="str">
        <f ca="1">IF(ISNUMBER(VLOOKUP($C76,CS!$AN$11:$AN$56,1,FALSE)),VLOOKUP($C76,CS!$AN$11:$AS$56,6,FALSE),"")</f>
        <v/>
      </c>
      <c r="AP76" t="str">
        <f ca="1">IF(ISNUMBER(VLOOKUP($C76,CS!$AO$11:$AO$56,1,FALSE)),VLOOKUP($C76,CS!$AO$11:$AS$56,5,FALSE),"")</f>
        <v/>
      </c>
      <c r="AQ76" t="str">
        <f ca="1">IF(ISNUMBER(VLOOKUP($C76,CS!$AP$11:$AP$56,1,FALSE)),VLOOKUP($C76,CS!$AP$11:$AS$56,4,FALSE),"")</f>
        <v/>
      </c>
      <c r="AR76" t="str">
        <f ca="1">IF(ISNUMBER(VLOOKUP($C76,CS!$AQ$11:$AQ$56,1,FALSE)),VLOOKUP($C76,CS!$AQ$11:$AS$56,3,FALSE),"")</f>
        <v/>
      </c>
      <c r="AS76"/>
      <c r="AT76"/>
      <c r="AU76"/>
      <c r="AY76"/>
      <c r="AZ76">
        <v>5</v>
      </c>
      <c r="BA76" s="16" t="s">
        <v>130</v>
      </c>
      <c r="BB76" t="str">
        <f ca="1">IF($BF$21&lt;&gt;"",ADDRESS($BF$22+10,$BF$21+3),"")</f>
        <v>$D$16</v>
      </c>
      <c r="BC76" t="str">
        <f ca="1">IF(BB76&lt;&gt;"","5•6","")</f>
        <v>5•6</v>
      </c>
      <c r="BD76"/>
      <c r="BE76"/>
      <c r="BF76"/>
      <c r="BG76"/>
      <c r="BH76"/>
      <c r="BI76"/>
      <c r="BJ76"/>
      <c r="BK76"/>
      <c r="BL76"/>
      <c r="BM76"/>
      <c r="BN76"/>
      <c r="BO76"/>
      <c r="BP76"/>
      <c r="BQ76"/>
      <c r="BR76"/>
      <c r="BS76"/>
      <c r="BT76"/>
      <c r="BU76"/>
      <c r="BV76"/>
      <c r="BW76"/>
      <c r="BX76"/>
      <c r="BY76"/>
    </row>
    <row r="77" spans="1:77" ht="12" hidden="1" customHeight="1">
      <c r="A77"/>
      <c r="B77"/>
      <c r="C77" s="21" t="str">
        <f ca="1">IF(COUNTIF(TvT!$AL$11:$AL$46,"vs"),-9,"")</f>
        <v/>
      </c>
      <c r="D77" t="str">
        <f ca="1">IF(ISNUMBER(VLOOKUP($C77,CS!$C$11:$C$56,1,FALSE)),VLOOKUP($C77,CS!$C$11:$AS$56,43,FALSE),"")</f>
        <v/>
      </c>
      <c r="E77" t="str">
        <f ca="1">IF(ISNUMBER(VLOOKUP($C77,CS!$D$11:$D$56,1,FALSE)),VLOOKUP($C77,CS!$D$11:$AS$56,42,FALSE),"")</f>
        <v/>
      </c>
      <c r="F77" t="str">
        <f ca="1">IF(ISNUMBER(VLOOKUP($C77,CS!$E$11:$E$56,1,FALSE)),VLOOKUP($C77,CS!$E$11:$AS$56,41,FALSE),"")</f>
        <v/>
      </c>
      <c r="G77" t="str">
        <f ca="1">IF(ISNUMBER(VLOOKUP($C77,CS!$F$11:$F$56,1,FALSE)),VLOOKUP($C77,CS!$F$11:$AS$56,40,FALSE),"")</f>
        <v/>
      </c>
      <c r="H77" t="str">
        <f ca="1">IF(ISNUMBER(VLOOKUP($C77,CS!$G$11:$G$56,1,FALSE)),VLOOKUP($C77,CS!$G$11:$AS$56,39,FALSE),"")</f>
        <v/>
      </c>
      <c r="I77" t="str">
        <f ca="1">IF(ISNUMBER(VLOOKUP($C77,CS!$H$11:$H$56,1,FALSE)),VLOOKUP($C77,CS!$H$11:$AS$56,38,FALSE),"")</f>
        <v/>
      </c>
      <c r="J77" t="str">
        <f ca="1">IF(ISNUMBER(VLOOKUP($C77,CS!$I$11:$I$56,1,FALSE)),VLOOKUP($C77,CS!$I$11:$AS$56,37,FALSE),"")</f>
        <v/>
      </c>
      <c r="K77" t="str">
        <f ca="1">IF(ISNUMBER(VLOOKUP($C77,CS!$J$11:$J$56,1,FALSE)),VLOOKUP($C77,CS!$J$11:$AS$56,36,FALSE),"")</f>
        <v/>
      </c>
      <c r="L77" t="str">
        <f ca="1">IF(ISNUMBER(VLOOKUP($C77,CS!$K$11:$K$56,1,FALSE)),VLOOKUP($C77,CS!$K$11:$AS$56,35,FALSE),"")</f>
        <v/>
      </c>
      <c r="M77" t="str">
        <f ca="1">IF(ISNUMBER(VLOOKUP($C77,CS!$L$11:$L$56,1,FALSE)),VLOOKUP($C77,CS!$L$11:$AS$56,34,FALSE),"")</f>
        <v/>
      </c>
      <c r="N77" t="str">
        <f ca="1">IF(ISNUMBER(VLOOKUP($C77,CS!$M$11:$M$56,1,FALSE)),VLOOKUP($C77,CS!$M$11:$AS$56,33,FALSE),"")</f>
        <v/>
      </c>
      <c r="O77" t="str">
        <f ca="1">IF(ISNUMBER(VLOOKUP($C77,CS!$N$11:$N$56,1,FALSE)),VLOOKUP($C77,CS!$N$11:$AS$56,32,FALSE),"")</f>
        <v/>
      </c>
      <c r="P77" t="str">
        <f ca="1">IF(ISNUMBER(VLOOKUP($C77,CS!$O$11:$O$56,1,FALSE)),VLOOKUP($C77,CS!$O$11:$AS$56,31,FALSE),"")</f>
        <v/>
      </c>
      <c r="Q77" t="str">
        <f ca="1">IF(ISNUMBER(VLOOKUP($C77,CS!$P$11:$P$56,1,FALSE)),VLOOKUP($C77,CS!$P$11:$AS$56,30,FALSE),"")</f>
        <v/>
      </c>
      <c r="R77" t="str">
        <f ca="1">IF(ISNUMBER(VLOOKUP($C77,CS!$Q$11:$Q$56,1,FALSE)),VLOOKUP($C77,CS!$Q$11:$AS$56,29,FALSE),"")</f>
        <v/>
      </c>
      <c r="S77" t="str">
        <f ca="1">IF(ISNUMBER(VLOOKUP($C77,CS!$R$11:$R$56,1,FALSE)),VLOOKUP($C77,CS!$R$11:$AS$56,28,FALSE),"")</f>
        <v/>
      </c>
      <c r="T77" t="str">
        <f ca="1">IF(ISNUMBER(VLOOKUP($C77,CS!$S$11:$S$56,1,FALSE)),VLOOKUP($C77,CS!$S$11:$AS$56,27,FALSE),"")</f>
        <v/>
      </c>
      <c r="U77" t="str">
        <f ca="1">IF(ISNUMBER(VLOOKUP($C77,CS!$T$11:$T$56,1,FALSE)),VLOOKUP($C77,CS!$T$11:$AS$56,26,FALSE),"")</f>
        <v/>
      </c>
      <c r="V77" t="str">
        <f ca="1">IF(ISNUMBER(VLOOKUP($C77,CS!$U$11:$U$56,1,FALSE)),VLOOKUP($C77,CS!$U$11:$AS$56,25,FALSE),"")</f>
        <v/>
      </c>
      <c r="W77" t="str">
        <f ca="1">IF(ISNUMBER(VLOOKUP($C77,CS!$V$11:$V$56,1,FALSE)),VLOOKUP($C77,CS!$V$11:$AS$56,24,FALSE),"")</f>
        <v/>
      </c>
      <c r="X77" t="str">
        <f ca="1">IF(ISNUMBER(VLOOKUP($C77,CS!$W$11:$W$56,1,FALSE)),VLOOKUP($C77,CS!$W$11:$AS$56,23,FALSE),"")</f>
        <v/>
      </c>
      <c r="Y77" t="str">
        <f ca="1">IF(ISNUMBER(VLOOKUP($C77,CS!$X$11:$X$56,1,FALSE)),VLOOKUP($C77,CS!$X$11:$AS$56,22,FALSE),"")</f>
        <v/>
      </c>
      <c r="Z77" t="str">
        <f ca="1">IF(ISNUMBER(VLOOKUP($C77,CS!$Y$11:$Y$56,1,FALSE)),VLOOKUP($C77,CS!$Y$11:$AS$56,21,FALSE),"")</f>
        <v/>
      </c>
      <c r="AA77" t="str">
        <f ca="1">IF(ISNUMBER(VLOOKUP($C77,CS!$Z$11:$Z$56,1,FALSE)),VLOOKUP($C77,CS!$Z$11:$AS$56,20,FALSE),"")</f>
        <v/>
      </c>
      <c r="AB77" t="str">
        <f ca="1">IF(ISNUMBER(VLOOKUP($C77,CS!$AA$11:$AA$56,1,FALSE)),VLOOKUP($C77,CS!$AA$11:$AS$56,19,FALSE),"")</f>
        <v/>
      </c>
      <c r="AC77" t="str">
        <f ca="1">IF(ISNUMBER(VLOOKUP($C77,CS!$AB$11:$AB$56,1,FALSE)),VLOOKUP($C77,CS!$AB$11:$AS$56,18,FALSE),"")</f>
        <v/>
      </c>
      <c r="AD77" t="str">
        <f ca="1">IF(ISNUMBER(VLOOKUP($C77,CS!$AC$11:$AC$56,1,FALSE)),VLOOKUP($C77,CS!$AC$11:$AS$56,17,FALSE),"")</f>
        <v/>
      </c>
      <c r="AE77" t="str">
        <f ca="1">IF(ISNUMBER(VLOOKUP($C77,CS!$AD$11:$AD$56,1,FALSE)),VLOOKUP($C77,CS!$AD$11:$AS$56,16,FALSE),"")</f>
        <v/>
      </c>
      <c r="AF77" t="str">
        <f ca="1">IF(ISNUMBER(VLOOKUP($C77,CS!$AE$11:$AE$56,1,FALSE)),VLOOKUP($C77,CS!$AE$11:$AS$56,15,FALSE),"")</f>
        <v/>
      </c>
      <c r="AG77" t="str">
        <f ca="1">IF(ISNUMBER(VLOOKUP($C77,CS!$AF$11:$AF$56,1,FALSE)),VLOOKUP($C77,CS!$AF$11:$AS$56,14,FALSE),"")</f>
        <v/>
      </c>
      <c r="AH77" t="str">
        <f ca="1">IF(ISNUMBER(VLOOKUP($C77,CS!$AG$11:$AG$56,1,FALSE)),VLOOKUP($C77,CS!$AG$11:$AS$56,13,FALSE),"")</f>
        <v/>
      </c>
      <c r="AI77" t="str">
        <f ca="1">IF(ISNUMBER(VLOOKUP($C77,CS!$AH$11:$AH$56,1,FALSE)),VLOOKUP($C77,CS!$AH$11:$AS$56,12,FALSE),"")</f>
        <v/>
      </c>
      <c r="AJ77" t="str">
        <f ca="1">IF(ISNUMBER(VLOOKUP($C77,CS!$AI$11:$AI$56,1,FALSE)),VLOOKUP($C77,CS!$AI$11:$AS$56,11,FALSE),"")</f>
        <v/>
      </c>
      <c r="AK77" t="str">
        <f ca="1">IF(ISNUMBER(VLOOKUP($C77,CS!$AJ$11:$AJ$56,1,FALSE)),VLOOKUP($C77,CS!$AJ$11:$AS$56,10,FALSE),"")</f>
        <v/>
      </c>
      <c r="AL77" t="str">
        <f ca="1">IF(ISNUMBER(VLOOKUP($C77,CS!$AK$11:$AK$56,1,FALSE)),VLOOKUP($C77,CS!$AK$11:$AS$56,9,FALSE),"")</f>
        <v/>
      </c>
      <c r="AM77" t="str">
        <f ca="1">IF(ISNUMBER(VLOOKUP($C77,CS!$AL$11:$AL$56,1,FALSE)),VLOOKUP($C77,CS!$AL$11:$AS$56,8,FALSE),"")</f>
        <v/>
      </c>
      <c r="AN77" t="str">
        <f ca="1">IF(ISNUMBER(VLOOKUP($C77,CS!$AM$11:$AM$56,1,FALSE)),VLOOKUP($C77,CS!$AM$11:$AS$56,7,FALSE),"")</f>
        <v/>
      </c>
      <c r="AO77" t="str">
        <f ca="1">IF(ISNUMBER(VLOOKUP($C77,CS!$AN$11:$AN$56,1,FALSE)),VLOOKUP($C77,CS!$AN$11:$AS$56,6,FALSE),"")</f>
        <v/>
      </c>
      <c r="AP77" t="str">
        <f ca="1">IF(ISNUMBER(VLOOKUP($C77,CS!$AO$11:$AO$56,1,FALSE)),VLOOKUP($C77,CS!$AO$11:$AS$56,5,FALSE),"")</f>
        <v/>
      </c>
      <c r="AQ77" t="str">
        <f ca="1">IF(ISNUMBER(VLOOKUP($C77,CS!$AP$11:$AP$56,1,FALSE)),VLOOKUP($C77,CS!$AP$11:$AS$56,4,FALSE),"")</f>
        <v/>
      </c>
      <c r="AR77" t="str">
        <f ca="1">IF(ISNUMBER(VLOOKUP($C77,CS!$AQ$11:$AQ$56,1,FALSE)),VLOOKUP($C77,CS!$AQ$11:$AS$56,3,FALSE),"")</f>
        <v/>
      </c>
      <c r="AS77"/>
      <c r="AT77"/>
      <c r="AU77"/>
      <c r="AY77"/>
      <c r="AZ77">
        <v>5</v>
      </c>
      <c r="BA77" s="16" t="s">
        <v>131</v>
      </c>
      <c r="BB77" t="str">
        <f ca="1">IF($BF$23&lt;&gt;"",ADDRESS($BF$24+10,$BF$23+3),"")</f>
        <v/>
      </c>
      <c r="BC77" t="str">
        <f ca="1">IF(BB77&lt;&gt;"","5•7","")</f>
        <v/>
      </c>
      <c r="BD77"/>
      <c r="BE77"/>
      <c r="BF77"/>
      <c r="BG77"/>
      <c r="BH77"/>
      <c r="BI77"/>
      <c r="BJ77"/>
      <c r="BK77"/>
      <c r="BL77"/>
      <c r="BM77"/>
      <c r="BN77"/>
      <c r="BO77"/>
      <c r="BP77"/>
      <c r="BQ77"/>
      <c r="BR77"/>
      <c r="BS77"/>
      <c r="BT77"/>
      <c r="BU77"/>
      <c r="BV77"/>
      <c r="BW77"/>
      <c r="BX77"/>
      <c r="BY77"/>
    </row>
    <row r="78" spans="1:77" ht="12" hidden="1" customHeight="1">
      <c r="A78"/>
      <c r="B78"/>
      <c r="C78" s="23" t="str">
        <f ca="1">IF(COUNTIF(TvT!$AL$11:$AL$46,"vs"),9,"")</f>
        <v/>
      </c>
      <c r="D78" t="str">
        <f ca="1">IF(ISNUMBER(VLOOKUP($C78,CS!$C$11:$C$56,1,FALSE)),VLOOKUP($C78,CS!$C$11:$AS$56,43,FALSE),"")</f>
        <v/>
      </c>
      <c r="E78" t="str">
        <f ca="1">IF(ISNUMBER(VLOOKUP($C78,CS!$D$11:$D$56,1,FALSE)),VLOOKUP($C78,CS!$D$11:$AS$56,42,FALSE),"")</f>
        <v/>
      </c>
      <c r="F78" t="str">
        <f ca="1">IF(ISNUMBER(VLOOKUP($C78,CS!$E$11:$E$56,1,FALSE)),VLOOKUP($C78,CS!$E$11:$AS$56,41,FALSE),"")</f>
        <v/>
      </c>
      <c r="G78" t="str">
        <f ca="1">IF(ISNUMBER(VLOOKUP($C78,CS!$F$11:$F$56,1,FALSE)),VLOOKUP($C78,CS!$F$11:$AS$56,40,FALSE),"")</f>
        <v/>
      </c>
      <c r="H78" t="str">
        <f ca="1">IF(ISNUMBER(VLOOKUP($C78,CS!$G$11:$G$56,1,FALSE)),VLOOKUP($C78,CS!$G$11:$AS$56,39,FALSE),"")</f>
        <v/>
      </c>
      <c r="I78" t="str">
        <f ca="1">IF(ISNUMBER(VLOOKUP($C78,CS!$H$11:$H$56,1,FALSE)),VLOOKUP($C78,CS!$H$11:$AS$56,38,FALSE),"")</f>
        <v/>
      </c>
      <c r="J78" t="str">
        <f ca="1">IF(ISNUMBER(VLOOKUP($C78,CS!$I$11:$I$56,1,FALSE)),VLOOKUP($C78,CS!$I$11:$AS$56,37,FALSE),"")</f>
        <v/>
      </c>
      <c r="K78" t="str">
        <f ca="1">IF(ISNUMBER(VLOOKUP($C78,CS!$J$11:$J$56,1,FALSE)),VLOOKUP($C78,CS!$J$11:$AS$56,36,FALSE),"")</f>
        <v/>
      </c>
      <c r="L78" t="str">
        <f ca="1">IF(ISNUMBER(VLOOKUP($C78,CS!$K$11:$K$56,1,FALSE)),VLOOKUP($C78,CS!$K$11:$AS$56,35,FALSE),"")</f>
        <v/>
      </c>
      <c r="M78" t="str">
        <f ca="1">IF(ISNUMBER(VLOOKUP($C78,CS!$L$11:$L$56,1,FALSE)),VLOOKUP($C78,CS!$L$11:$AS$56,34,FALSE),"")</f>
        <v/>
      </c>
      <c r="N78" t="str">
        <f ca="1">IF(ISNUMBER(VLOOKUP($C78,CS!$M$11:$M$56,1,FALSE)),VLOOKUP($C78,CS!$M$11:$AS$56,33,FALSE),"")</f>
        <v/>
      </c>
      <c r="O78" t="str">
        <f ca="1">IF(ISNUMBER(VLOOKUP($C78,CS!$N$11:$N$56,1,FALSE)),VLOOKUP($C78,CS!$N$11:$AS$56,32,FALSE),"")</f>
        <v/>
      </c>
      <c r="P78" t="str">
        <f ca="1">IF(ISNUMBER(VLOOKUP($C78,CS!$O$11:$O$56,1,FALSE)),VLOOKUP($C78,CS!$O$11:$AS$56,31,FALSE),"")</f>
        <v/>
      </c>
      <c r="Q78" t="str">
        <f ca="1">IF(ISNUMBER(VLOOKUP($C78,CS!$P$11:$P$56,1,FALSE)),VLOOKUP($C78,CS!$P$11:$AS$56,30,FALSE),"")</f>
        <v/>
      </c>
      <c r="R78" t="str">
        <f ca="1">IF(ISNUMBER(VLOOKUP($C78,CS!$Q$11:$Q$56,1,FALSE)),VLOOKUP($C78,CS!$Q$11:$AS$56,29,FALSE),"")</f>
        <v/>
      </c>
      <c r="S78" t="str">
        <f ca="1">IF(ISNUMBER(VLOOKUP($C78,CS!$R$11:$R$56,1,FALSE)),VLOOKUP($C78,CS!$R$11:$AS$56,28,FALSE),"")</f>
        <v/>
      </c>
      <c r="T78" t="str">
        <f ca="1">IF(ISNUMBER(VLOOKUP($C78,CS!$S$11:$S$56,1,FALSE)),VLOOKUP($C78,CS!$S$11:$AS$56,27,FALSE),"")</f>
        <v/>
      </c>
      <c r="U78" t="str">
        <f ca="1">IF(ISNUMBER(VLOOKUP($C78,CS!$T$11:$T$56,1,FALSE)),VLOOKUP($C78,CS!$T$11:$AS$56,26,FALSE),"")</f>
        <v/>
      </c>
      <c r="V78" t="str">
        <f ca="1">IF(ISNUMBER(VLOOKUP($C78,CS!$U$11:$U$56,1,FALSE)),VLOOKUP($C78,CS!$U$11:$AS$56,25,FALSE),"")</f>
        <v/>
      </c>
      <c r="W78" t="str">
        <f ca="1">IF(ISNUMBER(VLOOKUP($C78,CS!$V$11:$V$56,1,FALSE)),VLOOKUP($C78,CS!$V$11:$AS$56,24,FALSE),"")</f>
        <v/>
      </c>
      <c r="X78" t="str">
        <f ca="1">IF(ISNUMBER(VLOOKUP($C78,CS!$W$11:$W$56,1,FALSE)),VLOOKUP($C78,CS!$W$11:$AS$56,23,FALSE),"")</f>
        <v/>
      </c>
      <c r="Y78" t="str">
        <f ca="1">IF(ISNUMBER(VLOOKUP($C78,CS!$X$11:$X$56,1,FALSE)),VLOOKUP($C78,CS!$X$11:$AS$56,22,FALSE),"")</f>
        <v/>
      </c>
      <c r="Z78" t="str">
        <f ca="1">IF(ISNUMBER(VLOOKUP($C78,CS!$Y$11:$Y$56,1,FALSE)),VLOOKUP($C78,CS!$Y$11:$AS$56,21,FALSE),"")</f>
        <v/>
      </c>
      <c r="AA78" t="str">
        <f ca="1">IF(ISNUMBER(VLOOKUP($C78,CS!$Z$11:$Z$56,1,FALSE)),VLOOKUP($C78,CS!$Z$11:$AS$56,20,FALSE),"")</f>
        <v/>
      </c>
      <c r="AB78" t="str">
        <f ca="1">IF(ISNUMBER(VLOOKUP($C78,CS!$AA$11:$AA$56,1,FALSE)),VLOOKUP($C78,CS!$AA$11:$AS$56,19,FALSE),"")</f>
        <v/>
      </c>
      <c r="AC78" t="str">
        <f ca="1">IF(ISNUMBER(VLOOKUP($C78,CS!$AB$11:$AB$56,1,FALSE)),VLOOKUP($C78,CS!$AB$11:$AS$56,18,FALSE),"")</f>
        <v/>
      </c>
      <c r="AD78" t="str">
        <f ca="1">IF(ISNUMBER(VLOOKUP($C78,CS!$AC$11:$AC$56,1,FALSE)),VLOOKUP($C78,CS!$AC$11:$AS$56,17,FALSE),"")</f>
        <v/>
      </c>
      <c r="AE78" t="str">
        <f ca="1">IF(ISNUMBER(VLOOKUP($C78,CS!$AD$11:$AD$56,1,FALSE)),VLOOKUP($C78,CS!$AD$11:$AS$56,16,FALSE),"")</f>
        <v/>
      </c>
      <c r="AF78" t="str">
        <f ca="1">IF(ISNUMBER(VLOOKUP($C78,CS!$AE$11:$AE$56,1,FALSE)),VLOOKUP($C78,CS!$AE$11:$AS$56,15,FALSE),"")</f>
        <v/>
      </c>
      <c r="AG78" t="str">
        <f ca="1">IF(ISNUMBER(VLOOKUP($C78,CS!$AF$11:$AF$56,1,FALSE)),VLOOKUP($C78,CS!$AF$11:$AS$56,14,FALSE),"")</f>
        <v/>
      </c>
      <c r="AH78" t="str">
        <f ca="1">IF(ISNUMBER(VLOOKUP($C78,CS!$AG$11:$AG$56,1,FALSE)),VLOOKUP($C78,CS!$AG$11:$AS$56,13,FALSE),"")</f>
        <v/>
      </c>
      <c r="AI78" t="str">
        <f ca="1">IF(ISNUMBER(VLOOKUP($C78,CS!$AH$11:$AH$56,1,FALSE)),VLOOKUP($C78,CS!$AH$11:$AS$56,12,FALSE),"")</f>
        <v/>
      </c>
      <c r="AJ78" t="str">
        <f ca="1">IF(ISNUMBER(VLOOKUP($C78,CS!$AI$11:$AI$56,1,FALSE)),VLOOKUP($C78,CS!$AI$11:$AS$56,11,FALSE),"")</f>
        <v/>
      </c>
      <c r="AK78" t="str">
        <f ca="1">IF(ISNUMBER(VLOOKUP($C78,CS!$AJ$11:$AJ$56,1,FALSE)),VLOOKUP($C78,CS!$AJ$11:$AS$56,10,FALSE),"")</f>
        <v/>
      </c>
      <c r="AL78" t="str">
        <f ca="1">IF(ISNUMBER(VLOOKUP($C78,CS!$AK$11:$AK$56,1,FALSE)),VLOOKUP($C78,CS!$AK$11:$AS$56,9,FALSE),"")</f>
        <v/>
      </c>
      <c r="AM78" t="str">
        <f ca="1">IF(ISNUMBER(VLOOKUP($C78,CS!$AL$11:$AL$56,1,FALSE)),VLOOKUP($C78,CS!$AL$11:$AS$56,8,FALSE),"")</f>
        <v/>
      </c>
      <c r="AN78" t="str">
        <f ca="1">IF(ISNUMBER(VLOOKUP($C78,CS!$AM$11:$AM$56,1,FALSE)),VLOOKUP($C78,CS!$AM$11:$AS$56,7,FALSE),"")</f>
        <v/>
      </c>
      <c r="AO78" t="str">
        <f ca="1">IF(ISNUMBER(VLOOKUP($C78,CS!$AN$11:$AN$56,1,FALSE)),VLOOKUP($C78,CS!$AN$11:$AS$56,6,FALSE),"")</f>
        <v/>
      </c>
      <c r="AP78" t="str">
        <f ca="1">IF(ISNUMBER(VLOOKUP($C78,CS!$AO$11:$AO$56,1,FALSE)),VLOOKUP($C78,CS!$AO$11:$AS$56,5,FALSE),"")</f>
        <v/>
      </c>
      <c r="AQ78" t="str">
        <f ca="1">IF(ISNUMBER(VLOOKUP($C78,CS!$AP$11:$AP$56,1,FALSE)),VLOOKUP($C78,CS!$AP$11:$AS$56,4,FALSE),"")</f>
        <v/>
      </c>
      <c r="AR78" t="str">
        <f ca="1">IF(ISNUMBER(VLOOKUP($C78,CS!$AQ$11:$AQ$56,1,FALSE)),VLOOKUP($C78,CS!$AQ$11:$AS$56,3,FALSE),"")</f>
        <v/>
      </c>
      <c r="AS78"/>
      <c r="AT78"/>
      <c r="AU78"/>
      <c r="AY78"/>
      <c r="AZ78">
        <v>5</v>
      </c>
      <c r="BA78" s="16" t="s">
        <v>132</v>
      </c>
      <c r="BB78" t="str">
        <f ca="1">IF($BF$25&lt;&gt;"",ADDRESS($BF$26+10,$BF$25+3),"")</f>
        <v/>
      </c>
      <c r="BC78" t="str">
        <f ca="1">IF(BB78&lt;&gt;"","5•8","")</f>
        <v/>
      </c>
      <c r="BD78"/>
      <c r="BE78"/>
      <c r="BF78"/>
      <c r="BG78"/>
      <c r="BH78"/>
      <c r="BI78"/>
      <c r="BJ78"/>
      <c r="BK78"/>
      <c r="BL78"/>
      <c r="BM78"/>
      <c r="BN78"/>
      <c r="BO78"/>
      <c r="BP78"/>
      <c r="BQ78"/>
      <c r="BR78"/>
      <c r="BS78"/>
      <c r="BT78"/>
      <c r="BU78"/>
      <c r="BV78"/>
      <c r="BW78"/>
      <c r="BX78"/>
      <c r="BY78"/>
    </row>
    <row r="79" spans="1:77" ht="12" hidden="1" customHeight="1">
      <c r="A79"/>
      <c r="B79"/>
      <c r="C79" s="21" t="str">
        <f ca="1">IF(COUNTIF(TvT!$AP$11:$AP$46,"vs"),-10,"")</f>
        <v/>
      </c>
      <c r="D79" t="str">
        <f ca="1">IF(ISNUMBER(VLOOKUP($C79,CS!$C$11:$C$56,1,FALSE)),VLOOKUP($C79,CS!$C$11:$AS$56,43,FALSE),"")</f>
        <v/>
      </c>
      <c r="E79" t="str">
        <f ca="1">IF(ISNUMBER(VLOOKUP($C79,CS!$D$11:$D$56,1,FALSE)),VLOOKUP($C79,CS!$D$11:$AS$56,42,FALSE),"")</f>
        <v/>
      </c>
      <c r="F79" t="str">
        <f ca="1">IF(ISNUMBER(VLOOKUP($C79,CS!$E$11:$E$56,1,FALSE)),VLOOKUP($C79,CS!$E$11:$AS$56,41,FALSE),"")</f>
        <v/>
      </c>
      <c r="G79" t="str">
        <f ca="1">IF(ISNUMBER(VLOOKUP($C79,CS!$F$11:$F$56,1,FALSE)),VLOOKUP($C79,CS!$F$11:$AS$56,40,FALSE),"")</f>
        <v/>
      </c>
      <c r="H79" t="str">
        <f ca="1">IF(ISNUMBER(VLOOKUP($C79,CS!$G$11:$G$56,1,FALSE)),VLOOKUP($C79,CS!$G$11:$AS$56,39,FALSE),"")</f>
        <v/>
      </c>
      <c r="I79" t="str">
        <f ca="1">IF(ISNUMBER(VLOOKUP($C79,CS!$H$11:$H$56,1,FALSE)),VLOOKUP($C79,CS!$H$11:$AS$56,38,FALSE),"")</f>
        <v/>
      </c>
      <c r="J79" t="str">
        <f ca="1">IF(ISNUMBER(VLOOKUP($C79,CS!$I$11:$I$56,1,FALSE)),VLOOKUP($C79,CS!$I$11:$AS$56,37,FALSE),"")</f>
        <v/>
      </c>
      <c r="K79" t="str">
        <f ca="1">IF(ISNUMBER(VLOOKUP($C79,CS!$J$11:$J$56,1,FALSE)),VLOOKUP($C79,CS!$J$11:$AS$56,36,FALSE),"")</f>
        <v/>
      </c>
      <c r="L79" t="str">
        <f ca="1">IF(ISNUMBER(VLOOKUP($C79,CS!$K$11:$K$56,1,FALSE)),VLOOKUP($C79,CS!$K$11:$AS$56,35,FALSE),"")</f>
        <v/>
      </c>
      <c r="M79" t="str">
        <f ca="1">IF(ISNUMBER(VLOOKUP($C79,CS!$L$11:$L$56,1,FALSE)),VLOOKUP($C79,CS!$L$11:$AS$56,34,FALSE),"")</f>
        <v/>
      </c>
      <c r="N79" t="str">
        <f ca="1">IF(ISNUMBER(VLOOKUP($C79,CS!$M$11:$M$56,1,FALSE)),VLOOKUP($C79,CS!$M$11:$AS$56,33,FALSE),"")</f>
        <v/>
      </c>
      <c r="O79" t="str">
        <f ca="1">IF(ISNUMBER(VLOOKUP($C79,CS!$N$11:$N$56,1,FALSE)),VLOOKUP($C79,CS!$N$11:$AS$56,32,FALSE),"")</f>
        <v/>
      </c>
      <c r="P79" t="str">
        <f ca="1">IF(ISNUMBER(VLOOKUP($C79,CS!$O$11:$O$56,1,FALSE)),VLOOKUP($C79,CS!$O$11:$AS$56,31,FALSE),"")</f>
        <v/>
      </c>
      <c r="Q79" t="str">
        <f ca="1">IF(ISNUMBER(VLOOKUP($C79,CS!$P$11:$P$56,1,FALSE)),VLOOKUP($C79,CS!$P$11:$AS$56,30,FALSE),"")</f>
        <v/>
      </c>
      <c r="R79" t="str">
        <f ca="1">IF(ISNUMBER(VLOOKUP($C79,CS!$Q$11:$Q$56,1,FALSE)),VLOOKUP($C79,CS!$Q$11:$AS$56,29,FALSE),"")</f>
        <v/>
      </c>
      <c r="S79" t="str">
        <f ca="1">IF(ISNUMBER(VLOOKUP($C79,CS!$R$11:$R$56,1,FALSE)),VLOOKUP($C79,CS!$R$11:$AS$56,28,FALSE),"")</f>
        <v/>
      </c>
      <c r="T79" t="str">
        <f ca="1">IF(ISNUMBER(VLOOKUP($C79,CS!$S$11:$S$56,1,FALSE)),VLOOKUP($C79,CS!$S$11:$AS$56,27,FALSE),"")</f>
        <v/>
      </c>
      <c r="U79" t="str">
        <f ca="1">IF(ISNUMBER(VLOOKUP($C79,CS!$T$11:$T$56,1,FALSE)),VLOOKUP($C79,CS!$T$11:$AS$56,26,FALSE),"")</f>
        <v/>
      </c>
      <c r="V79" t="str">
        <f ca="1">IF(ISNUMBER(VLOOKUP($C79,CS!$U$11:$U$56,1,FALSE)),VLOOKUP($C79,CS!$U$11:$AS$56,25,FALSE),"")</f>
        <v/>
      </c>
      <c r="W79" t="str">
        <f ca="1">IF(ISNUMBER(VLOOKUP($C79,CS!$V$11:$V$56,1,FALSE)),VLOOKUP($C79,CS!$V$11:$AS$56,24,FALSE),"")</f>
        <v/>
      </c>
      <c r="X79" t="str">
        <f ca="1">IF(ISNUMBER(VLOOKUP($C79,CS!$W$11:$W$56,1,FALSE)),VLOOKUP($C79,CS!$W$11:$AS$56,23,FALSE),"")</f>
        <v/>
      </c>
      <c r="Y79" t="str">
        <f ca="1">IF(ISNUMBER(VLOOKUP($C79,CS!$X$11:$X$56,1,FALSE)),VLOOKUP($C79,CS!$X$11:$AS$56,22,FALSE),"")</f>
        <v/>
      </c>
      <c r="Z79" t="str">
        <f ca="1">IF(ISNUMBER(VLOOKUP($C79,CS!$Y$11:$Y$56,1,FALSE)),VLOOKUP($C79,CS!$Y$11:$AS$56,21,FALSE),"")</f>
        <v/>
      </c>
      <c r="AA79" t="str">
        <f ca="1">IF(ISNUMBER(VLOOKUP($C79,CS!$Z$11:$Z$56,1,FALSE)),VLOOKUP($C79,CS!$Z$11:$AS$56,20,FALSE),"")</f>
        <v/>
      </c>
      <c r="AB79" t="str">
        <f ca="1">IF(ISNUMBER(VLOOKUP($C79,CS!$AA$11:$AA$56,1,FALSE)),VLOOKUP($C79,CS!$AA$11:$AS$56,19,FALSE),"")</f>
        <v/>
      </c>
      <c r="AC79" t="str">
        <f ca="1">IF(ISNUMBER(VLOOKUP($C79,CS!$AB$11:$AB$56,1,FALSE)),VLOOKUP($C79,CS!$AB$11:$AS$56,18,FALSE),"")</f>
        <v/>
      </c>
      <c r="AD79" t="str">
        <f ca="1">IF(ISNUMBER(VLOOKUP($C79,CS!$AC$11:$AC$56,1,FALSE)),VLOOKUP($C79,CS!$AC$11:$AS$56,17,FALSE),"")</f>
        <v/>
      </c>
      <c r="AE79" t="str">
        <f ca="1">IF(ISNUMBER(VLOOKUP($C79,CS!$AD$11:$AD$56,1,FALSE)),VLOOKUP($C79,CS!$AD$11:$AS$56,16,FALSE),"")</f>
        <v/>
      </c>
      <c r="AF79" t="str">
        <f ca="1">IF(ISNUMBER(VLOOKUP($C79,CS!$AE$11:$AE$56,1,FALSE)),VLOOKUP($C79,CS!$AE$11:$AS$56,15,FALSE),"")</f>
        <v/>
      </c>
      <c r="AG79" t="str">
        <f ca="1">IF(ISNUMBER(VLOOKUP($C79,CS!$AF$11:$AF$56,1,FALSE)),VLOOKUP($C79,CS!$AF$11:$AS$56,14,FALSE),"")</f>
        <v/>
      </c>
      <c r="AH79" t="str">
        <f ca="1">IF(ISNUMBER(VLOOKUP($C79,CS!$AG$11:$AG$56,1,FALSE)),VLOOKUP($C79,CS!$AG$11:$AS$56,13,FALSE),"")</f>
        <v/>
      </c>
      <c r="AI79" t="str">
        <f ca="1">IF(ISNUMBER(VLOOKUP($C79,CS!$AH$11:$AH$56,1,FALSE)),VLOOKUP($C79,CS!$AH$11:$AS$56,12,FALSE),"")</f>
        <v/>
      </c>
      <c r="AJ79" t="str">
        <f ca="1">IF(ISNUMBER(VLOOKUP($C79,CS!$AI$11:$AI$56,1,FALSE)),VLOOKUP($C79,CS!$AI$11:$AS$56,11,FALSE),"")</f>
        <v/>
      </c>
      <c r="AK79" t="str">
        <f ca="1">IF(ISNUMBER(VLOOKUP($C79,CS!$AJ$11:$AJ$56,1,FALSE)),VLOOKUP($C79,CS!$AJ$11:$AS$56,10,FALSE),"")</f>
        <v/>
      </c>
      <c r="AL79" t="str">
        <f ca="1">IF(ISNUMBER(VLOOKUP($C79,CS!$AK$11:$AK$56,1,FALSE)),VLOOKUP($C79,CS!$AK$11:$AS$56,9,FALSE),"")</f>
        <v/>
      </c>
      <c r="AM79" t="str">
        <f ca="1">IF(ISNUMBER(VLOOKUP($C79,CS!$AL$11:$AL$56,1,FALSE)),VLOOKUP($C79,CS!$AL$11:$AS$56,8,FALSE),"")</f>
        <v/>
      </c>
      <c r="AN79" t="str">
        <f ca="1">IF(ISNUMBER(VLOOKUP($C79,CS!$AM$11:$AM$56,1,FALSE)),VLOOKUP($C79,CS!$AM$11:$AS$56,7,FALSE),"")</f>
        <v/>
      </c>
      <c r="AO79" t="str">
        <f ca="1">IF(ISNUMBER(VLOOKUP($C79,CS!$AN$11:$AN$56,1,FALSE)),VLOOKUP($C79,CS!$AN$11:$AS$56,6,FALSE),"")</f>
        <v/>
      </c>
      <c r="AP79" t="str">
        <f ca="1">IF(ISNUMBER(VLOOKUP($C79,CS!$AO$11:$AO$56,1,FALSE)),VLOOKUP($C79,CS!$AO$11:$AS$56,5,FALSE),"")</f>
        <v/>
      </c>
      <c r="AQ79" t="str">
        <f ca="1">IF(ISNUMBER(VLOOKUP($C79,CS!$AP$11:$AP$56,1,FALSE)),VLOOKUP($C79,CS!$AP$11:$AS$56,4,FALSE),"")</f>
        <v/>
      </c>
      <c r="AR79" t="str">
        <f ca="1">IF(ISNUMBER(VLOOKUP($C79,CS!$AQ$11:$AQ$56,1,FALSE)),VLOOKUP($C79,CS!$AQ$11:$AS$56,3,FALSE),"")</f>
        <v/>
      </c>
      <c r="AS79"/>
      <c r="AT79"/>
      <c r="AU79"/>
      <c r="AY79"/>
      <c r="AZ79">
        <v>5</v>
      </c>
      <c r="BA79" s="16" t="s">
        <v>133</v>
      </c>
      <c r="BB79" t="str">
        <f ca="1">IF($BF$27&lt;&gt;"",ADDRESS($BF$28+10,$BF$27+3),"")</f>
        <v/>
      </c>
      <c r="BC79" t="str">
        <f ca="1">IF(BB79&lt;&gt;"","5•9","")</f>
        <v/>
      </c>
      <c r="BD79"/>
      <c r="BE79"/>
      <c r="BF79"/>
      <c r="BG79"/>
      <c r="BH79"/>
      <c r="BI79"/>
      <c r="BJ79"/>
      <c r="BK79"/>
      <c r="BL79"/>
      <c r="BM79"/>
      <c r="BN79"/>
      <c r="BO79"/>
      <c r="BP79"/>
      <c r="BQ79"/>
      <c r="BR79"/>
      <c r="BS79"/>
      <c r="BT79"/>
      <c r="BU79"/>
      <c r="BV79"/>
      <c r="BW79"/>
      <c r="BX79"/>
      <c r="BY79"/>
    </row>
    <row r="80" spans="1:77" ht="12" hidden="1" customHeight="1">
      <c r="A80"/>
      <c r="B80"/>
      <c r="C80" s="23" t="str">
        <f ca="1">IF(COUNTIF(TvT!$AP$11:$AP$46,"vs"),10,"")</f>
        <v/>
      </c>
      <c r="D80" s="27" t="str">
        <f ca="1">IF(ISNUMBER(VLOOKUP($C80,CS!$C$11:$C$56,1,FALSE)),VLOOKUP($C80,CS!$C$11:$AS$56,43,FALSE),"")</f>
        <v/>
      </c>
      <c r="E80" s="27" t="str">
        <f ca="1">IF(ISNUMBER(VLOOKUP($C80,CS!$D$11:$D$56,1,FALSE)),VLOOKUP($C80,CS!$D$11:$AS$56,42,FALSE),"")</f>
        <v/>
      </c>
      <c r="F80" s="27" t="str">
        <f ca="1">IF(ISNUMBER(VLOOKUP($C80,CS!$E$11:$E$56,1,FALSE)),VLOOKUP($C80,CS!$E$11:$AS$56,41,FALSE),"")</f>
        <v/>
      </c>
      <c r="G80" s="27" t="str">
        <f ca="1">IF(ISNUMBER(VLOOKUP($C80,CS!$F$11:$F$56,1,FALSE)),VLOOKUP($C80,CS!$F$11:$AS$56,40,FALSE),"")</f>
        <v/>
      </c>
      <c r="H80" s="27" t="str">
        <f ca="1">IF(ISNUMBER(VLOOKUP($C80,CS!$G$11:$G$56,1,FALSE)),VLOOKUP($C80,CS!$G$11:$AS$56,39,FALSE),"")</f>
        <v/>
      </c>
      <c r="I80" s="27" t="str">
        <f ca="1">IF(ISNUMBER(VLOOKUP($C80,CS!$H$11:$H$56,1,FALSE)),VLOOKUP($C80,CS!$H$11:$AS$56,38,FALSE),"")</f>
        <v/>
      </c>
      <c r="J80" s="27" t="str">
        <f ca="1">IF(ISNUMBER(VLOOKUP($C80,CS!$I$11:$I$56,1,FALSE)),VLOOKUP($C80,CS!$I$11:$AS$56,37,FALSE),"")</f>
        <v/>
      </c>
      <c r="K80" s="27" t="str">
        <f ca="1">IF(ISNUMBER(VLOOKUP($C80,CS!$J$11:$J$56,1,FALSE)),VLOOKUP($C80,CS!$J$11:$AS$56,36,FALSE),"")</f>
        <v/>
      </c>
      <c r="L80" s="27" t="str">
        <f ca="1">IF(ISNUMBER(VLOOKUP($C80,CS!$K$11:$K$56,1,FALSE)),VLOOKUP($C80,CS!$K$11:$AS$56,35,FALSE),"")</f>
        <v/>
      </c>
      <c r="M80" s="27" t="str">
        <f ca="1">IF(ISNUMBER(VLOOKUP($C80,CS!$L$11:$L$56,1,FALSE)),VLOOKUP($C80,CS!$L$11:$AS$56,34,FALSE),"")</f>
        <v/>
      </c>
      <c r="N80" s="27" t="str">
        <f ca="1">IF(ISNUMBER(VLOOKUP($C80,CS!$M$11:$M$56,1,FALSE)),VLOOKUP($C80,CS!$M$11:$AS$56,33,FALSE),"")</f>
        <v/>
      </c>
      <c r="O80" s="27" t="str">
        <f ca="1">IF(ISNUMBER(VLOOKUP($C80,CS!$N$11:$N$56,1,FALSE)),VLOOKUP($C80,CS!$N$11:$AS$56,32,FALSE),"")</f>
        <v/>
      </c>
      <c r="P80" s="27" t="str">
        <f ca="1">IF(ISNUMBER(VLOOKUP($C80,CS!$O$11:$O$56,1,FALSE)),VLOOKUP($C80,CS!$O$11:$AS$56,31,FALSE),"")</f>
        <v/>
      </c>
      <c r="Q80" s="27" t="str">
        <f ca="1">IF(ISNUMBER(VLOOKUP($C80,CS!$P$11:$P$56,1,FALSE)),VLOOKUP($C80,CS!$P$11:$AS$56,30,FALSE),"")</f>
        <v/>
      </c>
      <c r="R80" s="27" t="str">
        <f ca="1">IF(ISNUMBER(VLOOKUP($C80,CS!$Q$11:$Q$56,1,FALSE)),VLOOKUP($C80,CS!$Q$11:$AS$56,29,FALSE),"")</f>
        <v/>
      </c>
      <c r="S80" s="27" t="str">
        <f ca="1">IF(ISNUMBER(VLOOKUP($C80,CS!$R$11:$R$56,1,FALSE)),VLOOKUP($C80,CS!$R$11:$AS$56,28,FALSE),"")</f>
        <v/>
      </c>
      <c r="T80" s="27" t="str">
        <f ca="1">IF(ISNUMBER(VLOOKUP($C80,CS!$S$11:$S$56,1,FALSE)),VLOOKUP($C80,CS!$S$11:$AS$56,27,FALSE),"")</f>
        <v/>
      </c>
      <c r="U80" s="27" t="str">
        <f ca="1">IF(ISNUMBER(VLOOKUP($C80,CS!$T$11:$T$56,1,FALSE)),VLOOKUP($C80,CS!$T$11:$AS$56,26,FALSE),"")</f>
        <v/>
      </c>
      <c r="V80" s="27" t="str">
        <f ca="1">IF(ISNUMBER(VLOOKUP($C80,CS!$U$11:$U$56,1,FALSE)),VLOOKUP($C80,CS!$U$11:$AS$56,25,FALSE),"")</f>
        <v/>
      </c>
      <c r="W80" s="27" t="str">
        <f ca="1">IF(ISNUMBER(VLOOKUP($C80,CS!$V$11:$V$56,1,FALSE)),VLOOKUP($C80,CS!$V$11:$AS$56,24,FALSE),"")</f>
        <v/>
      </c>
      <c r="X80" s="27" t="str">
        <f ca="1">IF(ISNUMBER(VLOOKUP($C80,CS!$W$11:$W$56,1,FALSE)),VLOOKUP($C80,CS!$W$11:$AS$56,23,FALSE),"")</f>
        <v/>
      </c>
      <c r="Y80" s="27" t="str">
        <f ca="1">IF(ISNUMBER(VLOOKUP($C80,CS!$X$11:$X$56,1,FALSE)),VLOOKUP($C80,CS!$X$11:$AS$56,22,FALSE),"")</f>
        <v/>
      </c>
      <c r="Z80" s="27" t="str">
        <f ca="1">IF(ISNUMBER(VLOOKUP($C80,CS!$Y$11:$Y$56,1,FALSE)),VLOOKUP($C80,CS!$Y$11:$AS$56,21,FALSE),"")</f>
        <v/>
      </c>
      <c r="AA80" s="27" t="str">
        <f ca="1">IF(ISNUMBER(VLOOKUP($C80,CS!$Z$11:$Z$56,1,FALSE)),VLOOKUP($C80,CS!$Z$11:$AS$56,20,FALSE),"")</f>
        <v/>
      </c>
      <c r="AB80" s="27" t="str">
        <f ca="1">IF(ISNUMBER(VLOOKUP($C80,CS!$AA$11:$AA$56,1,FALSE)),VLOOKUP($C80,CS!$AA$11:$AS$56,19,FALSE),"")</f>
        <v/>
      </c>
      <c r="AC80" s="27" t="str">
        <f ca="1">IF(ISNUMBER(VLOOKUP($C80,CS!$AB$11:$AB$56,1,FALSE)),VLOOKUP($C80,CS!$AB$11:$AS$56,18,FALSE),"")</f>
        <v/>
      </c>
      <c r="AD80" s="27" t="str">
        <f ca="1">IF(ISNUMBER(VLOOKUP($C80,CS!$AC$11:$AC$56,1,FALSE)),VLOOKUP($C80,CS!$AC$11:$AS$56,17,FALSE),"")</f>
        <v/>
      </c>
      <c r="AE80" s="27" t="str">
        <f ca="1">IF(ISNUMBER(VLOOKUP($C80,CS!$AD$11:$AD$56,1,FALSE)),VLOOKUP($C80,CS!$AD$11:$AS$56,16,FALSE),"")</f>
        <v/>
      </c>
      <c r="AF80" s="27" t="str">
        <f ca="1">IF(ISNUMBER(VLOOKUP($C80,CS!$AE$11:$AE$56,1,FALSE)),VLOOKUP($C80,CS!$AE$11:$AS$56,15,FALSE),"")</f>
        <v/>
      </c>
      <c r="AG80" s="27" t="str">
        <f ca="1">IF(ISNUMBER(VLOOKUP($C80,CS!$AF$11:$AF$56,1,FALSE)),VLOOKUP($C80,CS!$AF$11:$AS$56,14,FALSE),"")</f>
        <v/>
      </c>
      <c r="AH80" s="27" t="str">
        <f ca="1">IF(ISNUMBER(VLOOKUP($C80,CS!$AG$11:$AG$56,1,FALSE)),VLOOKUP($C80,CS!$AG$11:$AS$56,13,FALSE),"")</f>
        <v/>
      </c>
      <c r="AI80" s="27" t="str">
        <f ca="1">IF(ISNUMBER(VLOOKUP($C80,CS!$AH$11:$AH$56,1,FALSE)),VLOOKUP($C80,CS!$AH$11:$AS$56,12,FALSE),"")</f>
        <v/>
      </c>
      <c r="AJ80" s="27" t="str">
        <f ca="1">IF(ISNUMBER(VLOOKUP($C80,CS!$AI$11:$AI$56,1,FALSE)),VLOOKUP($C80,CS!$AI$11:$AS$56,11,FALSE),"")</f>
        <v/>
      </c>
      <c r="AK80" s="27" t="str">
        <f ca="1">IF(ISNUMBER(VLOOKUP($C80,CS!$AJ$11:$AJ$56,1,FALSE)),VLOOKUP($C80,CS!$AJ$11:$AS$56,10,FALSE),"")</f>
        <v/>
      </c>
      <c r="AL80" s="27" t="str">
        <f ca="1">IF(ISNUMBER(VLOOKUP($C80,CS!$AK$11:$AK$56,1,FALSE)),VLOOKUP($C80,CS!$AK$11:$AS$56,9,FALSE),"")</f>
        <v/>
      </c>
      <c r="AM80" s="27" t="str">
        <f ca="1">IF(ISNUMBER(VLOOKUP($C80,CS!$AL$11:$AL$56,1,FALSE)),VLOOKUP($C80,CS!$AL$11:$AS$56,8,FALSE),"")</f>
        <v/>
      </c>
      <c r="AN80" s="27" t="str">
        <f ca="1">IF(ISNUMBER(VLOOKUP($C80,CS!$AM$11:$AM$56,1,FALSE)),VLOOKUP($C80,CS!$AM$11:$AS$56,7,FALSE),"")</f>
        <v/>
      </c>
      <c r="AO80" s="27" t="str">
        <f ca="1">IF(ISNUMBER(VLOOKUP($C80,CS!$AN$11:$AN$56,1,FALSE)),VLOOKUP($C80,CS!$AN$11:$AS$56,6,FALSE),"")</f>
        <v/>
      </c>
      <c r="AP80" s="27" t="str">
        <f ca="1">IF(ISNUMBER(VLOOKUP($C80,CS!$AO$11:$AO$56,1,FALSE)),VLOOKUP($C80,CS!$AO$11:$AS$56,5,FALSE),"")</f>
        <v/>
      </c>
      <c r="AQ80" s="27" t="str">
        <f ca="1">IF(ISNUMBER(VLOOKUP($C80,CS!$AP$11:$AP$56,1,FALSE)),VLOOKUP($C80,CS!$AP$11:$AS$56,4,FALSE),"")</f>
        <v/>
      </c>
      <c r="AR80" s="27" t="str">
        <f ca="1">IF(ISNUMBER(VLOOKUP($C80,CS!$AQ$11:$AQ$56,1,FALSE)),VLOOKUP($C80,CS!$AQ$11:$AS$56,3,FALSE),"")</f>
        <v/>
      </c>
      <c r="AS80"/>
      <c r="AT80"/>
      <c r="AU80"/>
      <c r="AY80"/>
      <c r="AZ80">
        <v>5</v>
      </c>
      <c r="BA80" s="16" t="s">
        <v>134</v>
      </c>
      <c r="BB80" t="str">
        <f ca="1">IF($BF$29&lt;&gt;"",ADDRESS($BF$30+10,$BF$29+3),"")</f>
        <v/>
      </c>
      <c r="BC80" t="str">
        <f ca="1">IF(BB80&lt;&gt;"","5•10","")</f>
        <v/>
      </c>
      <c r="BD80"/>
      <c r="BE80"/>
      <c r="BF80"/>
      <c r="BG80"/>
      <c r="BH80"/>
      <c r="BI80"/>
      <c r="BJ80"/>
      <c r="BK80"/>
      <c r="BL80"/>
      <c r="BM80"/>
      <c r="BN80"/>
      <c r="BO80"/>
      <c r="BP80"/>
      <c r="BQ80"/>
      <c r="BR80"/>
      <c r="BS80"/>
      <c r="BT80"/>
      <c r="BU80"/>
      <c r="BV80"/>
      <c r="BW80"/>
      <c r="BX80"/>
      <c r="BY80"/>
    </row>
    <row r="81" spans="1:77" ht="12" customHeight="1">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Y81" t="s">
        <v>140</v>
      </c>
      <c r="AZ81">
        <v>6</v>
      </c>
      <c r="BA81" s="16" t="s">
        <v>125</v>
      </c>
      <c r="BB81" t="str">
        <f ca="1">IF($BG$11&lt;&gt;"",ADDRESS($BG$12+10,$BG$11+3),"")</f>
        <v>$M$25</v>
      </c>
      <c r="BC81" t="str">
        <f ca="1">IF(BB81&lt;&gt;"","6•1","")</f>
        <v>6•1</v>
      </c>
      <c r="BD81"/>
      <c r="BE81"/>
      <c r="BF81"/>
      <c r="BG81"/>
      <c r="BH81"/>
      <c r="BI81"/>
      <c r="BJ81"/>
      <c r="BK81"/>
      <c r="BL81"/>
      <c r="BM81"/>
      <c r="BN81"/>
      <c r="BO81"/>
      <c r="BP81"/>
      <c r="BQ81"/>
      <c r="BR81"/>
      <c r="BS81"/>
      <c r="BT81"/>
      <c r="BU81"/>
      <c r="BV81"/>
      <c r="BW81"/>
      <c r="BX81"/>
      <c r="BY81"/>
    </row>
    <row r="82" spans="1:77" ht="12" customHeight="1">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Y82"/>
      <c r="AZ82">
        <v>6</v>
      </c>
      <c r="BA82" s="16" t="s">
        <v>126</v>
      </c>
      <c r="BB82" t="str">
        <f ca="1">IF($BG$13&lt;&gt;"",ADDRESS($BG$14+10,$BG$13+3),"")</f>
        <v>$V$33</v>
      </c>
      <c r="BC82" t="str">
        <f ca="1">IF(BB82&lt;&gt;"","6•2","")</f>
        <v>6•2</v>
      </c>
      <c r="BD82"/>
      <c r="BE82"/>
      <c r="BF82"/>
      <c r="BG82"/>
      <c r="BH82"/>
      <c r="BI82"/>
      <c r="BJ82"/>
      <c r="BK82"/>
      <c r="BL82"/>
      <c r="BM82"/>
      <c r="BN82"/>
      <c r="BO82"/>
      <c r="BP82"/>
      <c r="BQ82"/>
      <c r="BR82"/>
      <c r="BS82"/>
      <c r="BT82"/>
      <c r="BU82"/>
      <c r="BV82"/>
      <c r="BW82"/>
      <c r="BX82"/>
      <c r="BY82"/>
    </row>
    <row r="83" spans="1:77" ht="12" customHeight="1">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Y83"/>
      <c r="AZ83">
        <v>6</v>
      </c>
      <c r="BA83" s="16" t="s">
        <v>127</v>
      </c>
      <c r="BB83" t="str">
        <f ca="1">IF($BG$15&lt;&gt;"",ADDRESS($BG$16+10,$BG$15+3),"")</f>
        <v>$N$24</v>
      </c>
      <c r="BC83" t="str">
        <f ca="1">IF(BB83&lt;&gt;"","6•3","")</f>
        <v>6•3</v>
      </c>
      <c r="BD83"/>
      <c r="BE83"/>
      <c r="BF83"/>
      <c r="BG83"/>
      <c r="BH83"/>
      <c r="BI83"/>
      <c r="BJ83"/>
      <c r="BK83"/>
      <c r="BL83"/>
      <c r="BM83"/>
      <c r="BN83"/>
      <c r="BO83"/>
      <c r="BP83"/>
      <c r="BQ83"/>
      <c r="BR83"/>
      <c r="BS83"/>
      <c r="BT83"/>
      <c r="BU83"/>
      <c r="BV83"/>
      <c r="BW83"/>
      <c r="BX83"/>
      <c r="BY83"/>
    </row>
    <row r="84" spans="1:77" ht="12" customHeight="1">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Y84"/>
      <c r="AZ84">
        <v>6</v>
      </c>
      <c r="BA84" s="16" t="s">
        <v>128</v>
      </c>
      <c r="BB84" t="str">
        <f ca="1">IF($BG$17&lt;&gt;"",ADDRESS($BG$18+10,$BG$17+3),"")</f>
        <v>$W$32</v>
      </c>
      <c r="BC84" t="str">
        <f ca="1">IF(BB84&lt;&gt;"","6•4","")</f>
        <v>6•4</v>
      </c>
      <c r="BD84"/>
      <c r="BE84"/>
      <c r="BF84"/>
      <c r="BG84"/>
      <c r="BH84"/>
      <c r="BI84"/>
      <c r="BJ84"/>
      <c r="BK84"/>
      <c r="BL84"/>
      <c r="BM84"/>
      <c r="BN84"/>
      <c r="BO84"/>
      <c r="BP84"/>
      <c r="BQ84"/>
      <c r="BR84"/>
      <c r="BS84"/>
      <c r="BT84"/>
      <c r="BU84"/>
      <c r="BV84"/>
      <c r="BW84"/>
      <c r="BX84"/>
      <c r="BY84"/>
    </row>
    <row r="85" spans="1:77" ht="12" customHeight="1">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Y85"/>
      <c r="AZ85">
        <v>6</v>
      </c>
      <c r="BA85" s="16" t="s">
        <v>129</v>
      </c>
      <c r="BB85" t="str">
        <f ca="1">IF($BG$19&lt;&gt;"",ADDRESS($BG$20+10,$BG$19+3),"")</f>
        <v>$O$23</v>
      </c>
      <c r="BC85" t="str">
        <f ca="1">IF(BB85&lt;&gt;"","6•5","")</f>
        <v>6•5</v>
      </c>
      <c r="BD85"/>
      <c r="BE85"/>
      <c r="BF85"/>
      <c r="BG85"/>
      <c r="BH85"/>
      <c r="BI85"/>
      <c r="BJ85"/>
      <c r="BK85"/>
      <c r="BL85"/>
      <c r="BM85"/>
      <c r="BN85"/>
      <c r="BO85"/>
      <c r="BP85"/>
      <c r="BQ85"/>
      <c r="BR85"/>
      <c r="BS85"/>
      <c r="BT85"/>
      <c r="BU85"/>
      <c r="BV85"/>
      <c r="BW85"/>
      <c r="BX85"/>
      <c r="BY85"/>
    </row>
    <row r="86" spans="1:77" ht="12" customHeight="1">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Y86"/>
      <c r="AZ86">
        <v>6</v>
      </c>
      <c r="BA86" s="16" t="s">
        <v>130</v>
      </c>
      <c r="BB86" t="str">
        <f ca="1">IF($BG$21&lt;&gt;"",ADDRESS($BG$22+10,$BG$21+3),"")</f>
        <v>$L$26</v>
      </c>
      <c r="BC86" t="str">
        <f ca="1">IF(BB86&lt;&gt;"","6•6","")</f>
        <v>6•6</v>
      </c>
      <c r="BD86"/>
      <c r="BE86"/>
      <c r="BF86"/>
      <c r="BG86"/>
      <c r="BH86"/>
      <c r="BI86"/>
      <c r="BJ86"/>
      <c r="BK86"/>
      <c r="BL86"/>
      <c r="BM86"/>
      <c r="BN86"/>
      <c r="BO86"/>
      <c r="BP86"/>
      <c r="BQ86"/>
      <c r="BR86"/>
      <c r="BS86"/>
      <c r="BT86"/>
      <c r="BU86"/>
      <c r="BV86"/>
      <c r="BW86"/>
      <c r="BX86"/>
      <c r="BY86"/>
    </row>
    <row r="87" spans="1:77" ht="12" customHeigh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Y87"/>
      <c r="AZ87">
        <v>6</v>
      </c>
      <c r="BA87" s="16" t="s">
        <v>131</v>
      </c>
      <c r="BB87" t="str">
        <f ca="1">IF($BG$23&lt;&gt;"",ADDRESS($BG$24+10,$BG$23+3),"")</f>
        <v/>
      </c>
      <c r="BC87" t="str">
        <f ca="1">IF(BB87&lt;&gt;"","6•7","")</f>
        <v/>
      </c>
      <c r="BD87"/>
      <c r="BE87"/>
      <c r="BF87"/>
      <c r="BG87"/>
      <c r="BH87"/>
      <c r="BI87"/>
      <c r="BJ87"/>
      <c r="BK87"/>
      <c r="BL87"/>
      <c r="BM87"/>
      <c r="BN87"/>
      <c r="BO87"/>
      <c r="BP87"/>
      <c r="BQ87"/>
      <c r="BR87"/>
      <c r="BS87"/>
      <c r="BT87"/>
      <c r="BU87"/>
      <c r="BV87"/>
      <c r="BW87"/>
      <c r="BX87"/>
      <c r="BY87"/>
    </row>
    <row r="88" spans="1:77" ht="12" customHeigh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Y88"/>
      <c r="AZ88">
        <v>6</v>
      </c>
      <c r="BA88" s="16" t="s">
        <v>132</v>
      </c>
      <c r="BB88" t="str">
        <f ca="1">IF($BG$25&lt;&gt;"",ADDRESS($BG$26+10,$BG$25+3),"")</f>
        <v/>
      </c>
      <c r="BC88" t="str">
        <f ca="1">IF(BB88&lt;&gt;"","6•8","")</f>
        <v/>
      </c>
      <c r="BD88"/>
      <c r="BE88"/>
      <c r="BF88"/>
      <c r="BG88"/>
      <c r="BH88"/>
      <c r="BI88"/>
      <c r="BJ88"/>
      <c r="BK88"/>
      <c r="BL88"/>
      <c r="BM88"/>
      <c r="BN88"/>
      <c r="BO88"/>
      <c r="BP88"/>
      <c r="BQ88"/>
      <c r="BR88"/>
      <c r="BS88"/>
      <c r="BT88"/>
      <c r="BU88"/>
      <c r="BV88"/>
      <c r="BW88"/>
      <c r="BX88"/>
      <c r="BY88"/>
    </row>
    <row r="89" spans="1:77" ht="12" customHeigh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Y89"/>
      <c r="AZ89">
        <v>6</v>
      </c>
      <c r="BA89" s="16" t="s">
        <v>133</v>
      </c>
      <c r="BB89" t="str">
        <f ca="1">IF($BG$27&lt;&gt;"",ADDRESS($BG$28+10,$BG$27+3),"")</f>
        <v/>
      </c>
      <c r="BC89" t="str">
        <f ca="1">IF(BB89&lt;&gt;"","6•9","")</f>
        <v/>
      </c>
      <c r="BD89"/>
      <c r="BE89"/>
      <c r="BF89"/>
      <c r="BG89"/>
      <c r="BH89"/>
      <c r="BI89"/>
      <c r="BJ89"/>
      <c r="BK89"/>
      <c r="BL89"/>
      <c r="BM89"/>
      <c r="BN89"/>
      <c r="BO89"/>
      <c r="BP89"/>
      <c r="BQ89"/>
      <c r="BR89"/>
      <c r="BS89"/>
      <c r="BT89"/>
      <c r="BU89"/>
      <c r="BV89"/>
      <c r="BW89"/>
      <c r="BX89"/>
      <c r="BY89"/>
    </row>
    <row r="90" spans="1:77" ht="12" customHeight="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Y90"/>
      <c r="AZ90">
        <v>6</v>
      </c>
      <c r="BA90" s="16" t="s">
        <v>134</v>
      </c>
      <c r="BB90" t="str">
        <f ca="1">IF($BG$29&lt;&gt;"",ADDRESS($BG$30+10,$BG$29+3),"")</f>
        <v/>
      </c>
      <c r="BC90" t="str">
        <f ca="1">IF(BB90&lt;&gt;"","6•10","")</f>
        <v/>
      </c>
      <c r="BD90"/>
      <c r="BE90"/>
      <c r="BF90"/>
      <c r="BG90"/>
      <c r="BH90"/>
      <c r="BI90"/>
      <c r="BJ90"/>
      <c r="BK90"/>
      <c r="BL90"/>
      <c r="BM90"/>
      <c r="BN90"/>
      <c r="BO90"/>
      <c r="BP90"/>
      <c r="BQ90"/>
      <c r="BR90"/>
      <c r="BS90"/>
      <c r="BT90"/>
      <c r="BU90"/>
      <c r="BV90"/>
      <c r="BW90"/>
      <c r="BX90"/>
      <c r="BY90"/>
    </row>
    <row r="91" spans="1:77" ht="12" customHeight="1">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Y91" t="s">
        <v>107</v>
      </c>
      <c r="AZ91">
        <v>7</v>
      </c>
      <c r="BA91" s="16" t="s">
        <v>125</v>
      </c>
      <c r="BB91" t="str">
        <f ca="1">IF($BH$11&lt;&gt;"",ADDRESS($BH$12+10,$BH$11+3),"")</f>
        <v>$W$33</v>
      </c>
      <c r="BC91" t="str">
        <f ca="1">IF(BB91&lt;&gt;"","7•1","")</f>
        <v>7•1</v>
      </c>
      <c r="BD91"/>
      <c r="BE91"/>
      <c r="BF91"/>
      <c r="BG91"/>
      <c r="BH91"/>
      <c r="BI91"/>
      <c r="BJ91"/>
      <c r="BK91"/>
      <c r="BL91"/>
      <c r="BM91"/>
      <c r="BN91"/>
      <c r="BO91"/>
      <c r="BP91"/>
      <c r="BQ91"/>
      <c r="BR91"/>
      <c r="BS91"/>
      <c r="BT91"/>
      <c r="BU91"/>
      <c r="BV91"/>
      <c r="BW91"/>
      <c r="BX91"/>
      <c r="BY91"/>
    </row>
    <row r="92" spans="1:77" ht="12" customHeight="1">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Y92"/>
      <c r="AZ92">
        <v>7</v>
      </c>
      <c r="BA92" s="16" t="s">
        <v>126</v>
      </c>
      <c r="BB92" t="str">
        <f ca="1">IF($BH$13&lt;&gt;"",ADDRESS($BH$14+10,$BH$13+3),"")</f>
        <v>$N$26</v>
      </c>
      <c r="BC92" t="str">
        <f ca="1">IF(BB92&lt;&gt;"","7•2","")</f>
        <v>7•2</v>
      </c>
      <c r="BD92"/>
      <c r="BE92"/>
      <c r="BF92"/>
      <c r="BG92"/>
      <c r="BH92"/>
      <c r="BI92"/>
      <c r="BJ92"/>
      <c r="BK92"/>
      <c r="BL92"/>
      <c r="BM92"/>
      <c r="BN92"/>
      <c r="BO92"/>
      <c r="BP92"/>
      <c r="BQ92"/>
      <c r="BR92"/>
      <c r="BS92"/>
      <c r="BT92"/>
      <c r="BU92"/>
      <c r="BV92"/>
      <c r="BW92"/>
      <c r="BX92"/>
      <c r="BY92"/>
    </row>
    <row r="93" spans="1:77" ht="12" customHeight="1">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Y93"/>
      <c r="AZ93">
        <v>7</v>
      </c>
      <c r="BA93" s="16" t="s">
        <v>127</v>
      </c>
      <c r="BB93" t="str">
        <f ca="1">IF($BH$15&lt;&gt;"",ADDRESS($BH$16+10,$BH$15+3),"")</f>
        <v>$O$25</v>
      </c>
      <c r="BC93" t="str">
        <f ca="1">IF(BB93&lt;&gt;"","7•3","")</f>
        <v>7•3</v>
      </c>
      <c r="BD93"/>
      <c r="BE93"/>
      <c r="BF93"/>
      <c r="BG93"/>
      <c r="BH93"/>
      <c r="BI93"/>
      <c r="BJ93"/>
      <c r="BK93"/>
      <c r="BL93"/>
      <c r="BM93"/>
      <c r="BN93"/>
      <c r="BO93"/>
      <c r="BP93"/>
      <c r="BQ93"/>
      <c r="BR93"/>
      <c r="BS93"/>
      <c r="BT93"/>
      <c r="BU93"/>
      <c r="BV93"/>
      <c r="BW93"/>
      <c r="BX93"/>
      <c r="BY93"/>
    </row>
    <row r="94" spans="1:77" ht="12"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Y94"/>
      <c r="AZ94">
        <v>7</v>
      </c>
      <c r="BA94" s="16" t="s">
        <v>128</v>
      </c>
      <c r="BB94" t="str">
        <f ca="1">IF($BH$17&lt;&gt;"",ADDRESS($BH$18+10,$BH$17+3),"")</f>
        <v>$L$23</v>
      </c>
      <c r="BC94" t="str">
        <f ca="1">IF(BB94&lt;&gt;"","7•4","")</f>
        <v>7•4</v>
      </c>
      <c r="BD94"/>
      <c r="BE94"/>
      <c r="BF94"/>
      <c r="BG94"/>
      <c r="BH94"/>
      <c r="BI94"/>
      <c r="BJ94"/>
      <c r="BK94"/>
      <c r="BL94"/>
      <c r="BM94"/>
      <c r="BN94"/>
      <c r="BO94"/>
      <c r="BP94"/>
      <c r="BQ94"/>
      <c r="BR94"/>
      <c r="BS94"/>
      <c r="BT94"/>
      <c r="BU94"/>
      <c r="BV94"/>
      <c r="BW94"/>
      <c r="BX94"/>
      <c r="BY94"/>
    </row>
    <row r="95" spans="1:77" ht="12"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Y95"/>
      <c r="AZ95">
        <v>7</v>
      </c>
      <c r="BA95" s="16" t="s">
        <v>129</v>
      </c>
      <c r="BB95" t="str">
        <f ca="1">IF($BH$19&lt;&gt;"",ADDRESS($BH$20+10,$BH$19+3),"")</f>
        <v>$M$24</v>
      </c>
      <c r="BC95" t="str">
        <f ca="1">IF(BB95&lt;&gt;"","7•5","")</f>
        <v>7•5</v>
      </c>
      <c r="BD95"/>
      <c r="BE95"/>
      <c r="BF95"/>
      <c r="BG95"/>
      <c r="BH95"/>
      <c r="BI95"/>
      <c r="BJ95"/>
      <c r="BK95"/>
      <c r="BL95"/>
      <c r="BM95"/>
      <c r="BN95"/>
      <c r="BO95"/>
      <c r="BP95"/>
      <c r="BQ95"/>
      <c r="BR95"/>
      <c r="BS95"/>
      <c r="BT95"/>
      <c r="BU95"/>
      <c r="BV95"/>
      <c r="BW95"/>
      <c r="BX95"/>
      <c r="BY95"/>
    </row>
    <row r="96" spans="1:77" ht="12"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Y96"/>
      <c r="AZ96">
        <v>7</v>
      </c>
      <c r="BA96" s="16" t="s">
        <v>130</v>
      </c>
      <c r="BB96" t="str">
        <f ca="1">IF($BH$21&lt;&gt;"",ADDRESS($BH$22+10,$BH$21+3),"")</f>
        <v>$T$32</v>
      </c>
      <c r="BC96" t="str">
        <f ca="1">IF(BB96&lt;&gt;"","7•6","")</f>
        <v>7•6</v>
      </c>
      <c r="BD96"/>
      <c r="BE96"/>
      <c r="BF96"/>
      <c r="BG96"/>
      <c r="BH96"/>
      <c r="BI96"/>
      <c r="BJ96"/>
      <c r="BK96"/>
      <c r="BL96"/>
      <c r="BM96"/>
      <c r="BN96"/>
      <c r="BO96"/>
      <c r="BP96"/>
      <c r="BQ96"/>
      <c r="BR96"/>
      <c r="BS96"/>
      <c r="BT96"/>
      <c r="BU96"/>
      <c r="BV96"/>
      <c r="BW96"/>
      <c r="BX96"/>
      <c r="BY96"/>
    </row>
    <row r="97" spans="1:77" ht="12"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Y97"/>
      <c r="AZ97">
        <v>7</v>
      </c>
      <c r="BA97" s="16" t="s">
        <v>131</v>
      </c>
      <c r="BB97" t="str">
        <f ca="1">IF($BH$23&lt;&gt;"",ADDRESS($BH$24+10,$BH$23+3),"")</f>
        <v/>
      </c>
      <c r="BC97" t="str">
        <f ca="1">IF(BB97&lt;&gt;"","7•7","")</f>
        <v/>
      </c>
      <c r="BD97"/>
      <c r="BE97"/>
      <c r="BF97"/>
      <c r="BG97"/>
      <c r="BH97"/>
      <c r="BI97"/>
      <c r="BJ97"/>
      <c r="BK97"/>
      <c r="BL97"/>
      <c r="BM97"/>
      <c r="BN97"/>
      <c r="BO97"/>
      <c r="BP97"/>
      <c r="BQ97"/>
      <c r="BR97"/>
      <c r="BS97"/>
      <c r="BT97"/>
      <c r="BU97"/>
      <c r="BV97"/>
      <c r="BW97"/>
      <c r="BX97"/>
      <c r="BY97"/>
    </row>
    <row r="98" spans="1:77" ht="12"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Y98"/>
      <c r="AZ98">
        <v>7</v>
      </c>
      <c r="BA98" s="16" t="s">
        <v>132</v>
      </c>
      <c r="BB98" t="str">
        <f ca="1">IF($BH$25&lt;&gt;"",ADDRESS($BH$26+10,$BH$25+3),"")</f>
        <v/>
      </c>
      <c r="BC98" t="str">
        <f ca="1">IF(BB98&lt;&gt;"","7•8","")</f>
        <v/>
      </c>
      <c r="BD98"/>
      <c r="BE98"/>
      <c r="BF98"/>
      <c r="BG98"/>
      <c r="BH98"/>
      <c r="BI98"/>
      <c r="BJ98"/>
      <c r="BK98"/>
      <c r="BL98"/>
      <c r="BM98"/>
      <c r="BN98"/>
      <c r="BO98"/>
      <c r="BP98"/>
      <c r="BQ98"/>
      <c r="BR98"/>
      <c r="BS98"/>
      <c r="BT98"/>
      <c r="BU98"/>
      <c r="BV98"/>
      <c r="BW98"/>
      <c r="BX98"/>
      <c r="BY98"/>
    </row>
    <row r="99" spans="1:77" ht="12"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Y99"/>
      <c r="AZ99">
        <v>7</v>
      </c>
      <c r="BA99" s="16" t="s">
        <v>133</v>
      </c>
      <c r="BB99" t="str">
        <f ca="1">IF($BH$27&lt;&gt;"",ADDRESS($BH$28+10,$BH$27+3),"")</f>
        <v/>
      </c>
      <c r="BC99" t="str">
        <f ca="1">IF(BB99&lt;&gt;"","7•9","")</f>
        <v/>
      </c>
      <c r="BD99"/>
      <c r="BE99"/>
      <c r="BF99"/>
      <c r="BG99"/>
      <c r="BH99"/>
      <c r="BI99"/>
      <c r="BJ99"/>
      <c r="BK99"/>
      <c r="BL99"/>
      <c r="BM99"/>
      <c r="BN99"/>
      <c r="BO99"/>
      <c r="BP99"/>
      <c r="BQ99"/>
      <c r="BR99"/>
      <c r="BS99"/>
      <c r="BT99"/>
      <c r="BU99"/>
      <c r="BV99"/>
      <c r="BW99"/>
      <c r="BX99"/>
      <c r="BY99"/>
    </row>
    <row r="100" spans="1:77" ht="12"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Y100"/>
      <c r="AZ100">
        <v>7</v>
      </c>
      <c r="BA100" s="16" t="s">
        <v>134</v>
      </c>
      <c r="BB100" t="str">
        <f ca="1">IF($BH$29&lt;&gt;"",ADDRESS($BH$30+10,$BH$29+3),"")</f>
        <v/>
      </c>
      <c r="BC100" t="str">
        <f ca="1">IF(BB100&lt;&gt;"","7•10","")</f>
        <v/>
      </c>
      <c r="BD100"/>
      <c r="BE100"/>
      <c r="BF100"/>
      <c r="BG100"/>
      <c r="BH100"/>
      <c r="BI100"/>
      <c r="BJ100"/>
      <c r="BK100"/>
      <c r="BL100"/>
      <c r="BM100"/>
      <c r="BN100"/>
      <c r="BO100"/>
      <c r="BP100"/>
      <c r="BQ100"/>
      <c r="BR100"/>
      <c r="BS100"/>
      <c r="BT100"/>
      <c r="BU100"/>
      <c r="BV100"/>
      <c r="BW100"/>
      <c r="BX100"/>
      <c r="BY100"/>
    </row>
    <row r="101" spans="1:77" ht="12"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Y101" t="s">
        <v>108</v>
      </c>
      <c r="AZ101">
        <v>8</v>
      </c>
      <c r="BA101" s="16" t="s">
        <v>125</v>
      </c>
      <c r="BB101" t="str">
        <f ca="1">IF($BI$11&lt;&gt;"",ADDRESS($BI$12+10,$BI$11+3),"")</f>
        <v>$V$34</v>
      </c>
      <c r="BC101" t="str">
        <f ca="1">IF(BB101&lt;&gt;"","8•1","")</f>
        <v>8•1</v>
      </c>
      <c r="BD101"/>
      <c r="BE101"/>
      <c r="BF101"/>
      <c r="BG101"/>
      <c r="BH101"/>
      <c r="BI101"/>
      <c r="BJ101"/>
      <c r="BK101"/>
      <c r="BL101"/>
      <c r="BM101"/>
      <c r="BN101"/>
      <c r="BO101"/>
      <c r="BP101"/>
      <c r="BQ101"/>
      <c r="BR101"/>
      <c r="BS101"/>
      <c r="BT101"/>
      <c r="BU101"/>
      <c r="BV101"/>
      <c r="BW101"/>
      <c r="BX101"/>
      <c r="BY101"/>
    </row>
    <row r="102" spans="1:77" ht="12"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Y102"/>
      <c r="AZ102">
        <v>8</v>
      </c>
      <c r="BA102" s="16" t="s">
        <v>126</v>
      </c>
      <c r="BB102" t="str">
        <f ca="1">IF($BI$13&lt;&gt;"",ADDRESS($BI$14+10,$BI$13+3),"")</f>
        <v>$D$17</v>
      </c>
      <c r="BC102" t="str">
        <f ca="1">IF(BB102&lt;&gt;"","8•2","")</f>
        <v>8•2</v>
      </c>
      <c r="BD102"/>
      <c r="BE102"/>
      <c r="BF102"/>
      <c r="BG102"/>
      <c r="BH102"/>
      <c r="BI102"/>
      <c r="BJ102"/>
      <c r="BK102"/>
      <c r="BL102"/>
      <c r="BM102"/>
      <c r="BN102"/>
      <c r="BO102"/>
      <c r="BP102"/>
      <c r="BQ102"/>
      <c r="BR102"/>
      <c r="BS102"/>
      <c r="BT102"/>
      <c r="BU102"/>
      <c r="BV102"/>
      <c r="BW102"/>
      <c r="BX102"/>
      <c r="BY102"/>
    </row>
    <row r="103" spans="1:77" ht="12"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Y103"/>
      <c r="AZ103">
        <v>8</v>
      </c>
      <c r="BA103" s="16" t="s">
        <v>127</v>
      </c>
      <c r="BB103" t="str">
        <f ca="1">IF($BI$15&lt;&gt;"",ADDRESS($BI$16+10,$BI$15+3),"")</f>
        <v>$F$16</v>
      </c>
      <c r="BC103" t="str">
        <f ca="1">IF(BB103&lt;&gt;"","8•3","")</f>
        <v>8•3</v>
      </c>
      <c r="BD103"/>
      <c r="BE103"/>
      <c r="BF103"/>
      <c r="BG103"/>
      <c r="BH103"/>
      <c r="BI103"/>
      <c r="BJ103"/>
      <c r="BK103"/>
      <c r="BL103"/>
      <c r="BM103"/>
      <c r="BN103"/>
      <c r="BO103"/>
      <c r="BP103"/>
      <c r="BQ103"/>
      <c r="BR103"/>
      <c r="BS103"/>
      <c r="BT103"/>
      <c r="BU103"/>
      <c r="BV103"/>
      <c r="BW103"/>
      <c r="BX103"/>
      <c r="BY103"/>
    </row>
    <row r="104" spans="1:77" ht="12"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Y104"/>
      <c r="AZ104">
        <v>8</v>
      </c>
      <c r="BA104" s="16" t="s">
        <v>128</v>
      </c>
      <c r="BB104" t="str">
        <f ca="1">IF($BI$17&lt;&gt;"",ADDRESS($BI$18+10,$BI$17+3),"")</f>
        <v>$E$18</v>
      </c>
      <c r="BC104" t="str">
        <f ca="1">IF(BB104&lt;&gt;"","8•4","")</f>
        <v>8•4</v>
      </c>
      <c r="BD104"/>
      <c r="BE104"/>
      <c r="BF104"/>
      <c r="BG104"/>
      <c r="BH104"/>
      <c r="BI104"/>
      <c r="BJ104"/>
      <c r="BK104"/>
      <c r="BL104"/>
      <c r="BM104"/>
      <c r="BN104"/>
      <c r="BO104"/>
      <c r="BP104"/>
      <c r="BQ104"/>
      <c r="BR104"/>
      <c r="BS104"/>
      <c r="BT104"/>
      <c r="BU104"/>
      <c r="BV104"/>
      <c r="BW104"/>
      <c r="BX104"/>
      <c r="BY104"/>
    </row>
    <row r="105" spans="1:77" ht="12"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Y105"/>
      <c r="AZ105">
        <v>8</v>
      </c>
      <c r="BA105" s="16" t="s">
        <v>129</v>
      </c>
      <c r="BB105" t="str">
        <f ca="1">IF($BI$19&lt;&gt;"",ADDRESS($BI$20+10,$BI$19+3),"")</f>
        <v>$G$15</v>
      </c>
      <c r="BC105" t="str">
        <f ca="1">IF(BB105&lt;&gt;"","8•5","")</f>
        <v>8•5</v>
      </c>
      <c r="BD105"/>
      <c r="BE105"/>
      <c r="BF105"/>
      <c r="BG105"/>
      <c r="BH105"/>
      <c r="BI105"/>
      <c r="BJ105"/>
      <c r="BK105"/>
      <c r="BL105"/>
      <c r="BM105"/>
      <c r="BN105"/>
      <c r="BO105"/>
      <c r="BP105"/>
      <c r="BQ105"/>
      <c r="BR105"/>
      <c r="BS105"/>
      <c r="BT105"/>
      <c r="BU105"/>
      <c r="BV105"/>
      <c r="BW105"/>
      <c r="BX105"/>
      <c r="BY105"/>
    </row>
    <row r="106" spans="1:77" ht="12"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Y106"/>
      <c r="AZ106">
        <v>8</v>
      </c>
      <c r="BA106" s="16" t="s">
        <v>130</v>
      </c>
      <c r="BB106" t="str">
        <f ca="1">IF($BI$21&lt;&gt;"",ADDRESS($BI$22+10,$BI$21+3),"")</f>
        <v>$U$31</v>
      </c>
      <c r="BC106" t="str">
        <f ca="1">IF(BB106&lt;&gt;"","8•6","")</f>
        <v>8•6</v>
      </c>
      <c r="BD106"/>
      <c r="BE106"/>
      <c r="BF106"/>
      <c r="BG106"/>
      <c r="BH106"/>
      <c r="BI106"/>
      <c r="BJ106"/>
      <c r="BK106"/>
      <c r="BL106"/>
      <c r="BM106"/>
      <c r="BN106"/>
      <c r="BO106"/>
      <c r="BP106"/>
      <c r="BQ106"/>
      <c r="BR106"/>
      <c r="BS106"/>
      <c r="BT106"/>
      <c r="BU106"/>
      <c r="BV106"/>
      <c r="BW106"/>
      <c r="BX106"/>
      <c r="BY106"/>
    </row>
    <row r="107" spans="1:77" ht="12"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Y107"/>
      <c r="AZ107">
        <v>8</v>
      </c>
      <c r="BA107" s="16" t="s">
        <v>131</v>
      </c>
      <c r="BB107" t="str">
        <f ca="1">IF($BI$23&lt;&gt;"",ADDRESS($BI$24+10,$BI$23+3),"")</f>
        <v/>
      </c>
      <c r="BC107" t="str">
        <f ca="1">IF(BB107&lt;&gt;"","8•7","")</f>
        <v/>
      </c>
      <c r="BD107"/>
      <c r="BE107"/>
      <c r="BF107"/>
      <c r="BG107"/>
      <c r="BH107"/>
      <c r="BI107"/>
      <c r="BJ107"/>
      <c r="BK107"/>
      <c r="BL107"/>
      <c r="BM107"/>
      <c r="BN107"/>
      <c r="BO107"/>
      <c r="BP107"/>
      <c r="BQ107"/>
      <c r="BR107"/>
      <c r="BS107"/>
      <c r="BT107"/>
      <c r="BU107"/>
      <c r="BV107"/>
      <c r="BW107"/>
      <c r="BX107"/>
      <c r="BY107"/>
    </row>
    <row r="108" spans="1:77" ht="12" customHeight="1">
      <c r="AZ108">
        <v>8</v>
      </c>
      <c r="BA108" s="16" t="s">
        <v>132</v>
      </c>
      <c r="BB108" t="str">
        <f ca="1">IF($BI$25&lt;&gt;"",ADDRESS($BI$26+10,$BI$25+3),"")</f>
        <v/>
      </c>
      <c r="BC108" t="str">
        <f ca="1">IF(BB108&lt;&gt;"","8•8","")</f>
        <v/>
      </c>
    </row>
    <row r="109" spans="1:77" ht="12" customHeight="1">
      <c r="AZ109">
        <v>8</v>
      </c>
      <c r="BA109" s="16" t="s">
        <v>133</v>
      </c>
      <c r="BB109" t="str">
        <f ca="1">IF($BI$27&lt;&gt;"",ADDRESS($BI$28+10,$BI$27+3),"")</f>
        <v/>
      </c>
      <c r="BC109" t="str">
        <f ca="1">IF(BB109&lt;&gt;"","8•9","")</f>
        <v/>
      </c>
    </row>
    <row r="110" spans="1:77" ht="12" customHeight="1">
      <c r="AZ110">
        <v>8</v>
      </c>
      <c r="BA110" s="16" t="s">
        <v>134</v>
      </c>
      <c r="BB110" t="str">
        <f ca="1">IF($BI$29&lt;&gt;"",ADDRESS($BI$30+10,$BI$29+3),"")</f>
        <v/>
      </c>
      <c r="BC110" t="str">
        <f ca="1">IF(BB110&lt;&gt;"","8•10","")</f>
        <v/>
      </c>
    </row>
    <row r="111" spans="1:77" ht="12" customHeight="1">
      <c r="AY111" s="16" t="s">
        <v>109</v>
      </c>
      <c r="AZ111" s="16">
        <v>9</v>
      </c>
      <c r="BA111" s="16" t="s">
        <v>125</v>
      </c>
      <c r="BB111" t="str">
        <f ca="1">IF($BJ$11&lt;&gt;"",ADDRESS($BJ$12+10,$BJ$11+3),"")</f>
        <v>$D$14</v>
      </c>
      <c r="BC111" t="str">
        <f ca="1">IF(BB111&lt;&gt;"","9•1","")</f>
        <v>9•1</v>
      </c>
    </row>
    <row r="112" spans="1:77" ht="12" customHeight="1">
      <c r="AZ112" s="16">
        <v>9</v>
      </c>
      <c r="BA112" s="16" t="s">
        <v>126</v>
      </c>
      <c r="BB112" t="str">
        <f ca="1">IF($BJ$13&lt;&gt;"",ADDRESS($BJ$14+10,$BJ$13+3),"")</f>
        <v>$T$30</v>
      </c>
      <c r="BC112" t="str">
        <f ca="1">IF(BB112&lt;&gt;"","9•2","")</f>
        <v>9•2</v>
      </c>
    </row>
    <row r="113" spans="51:55" ht="12" customHeight="1">
      <c r="AZ113" s="16">
        <v>9</v>
      </c>
      <c r="BA113" s="16" t="s">
        <v>127</v>
      </c>
      <c r="BB113" t="str">
        <f ca="1">IF($BJ$15&lt;&gt;"",ADDRESS($BJ$16+10,$BJ$15+3),"")</f>
        <v>$H$18</v>
      </c>
      <c r="BC113" t="str">
        <f ca="1">IF(BB113&lt;&gt;"","9•3","")</f>
        <v>9•3</v>
      </c>
    </row>
    <row r="114" spans="51:55" ht="12" customHeight="1">
      <c r="AZ114" s="16">
        <v>9</v>
      </c>
      <c r="BA114" s="16" t="s">
        <v>128</v>
      </c>
      <c r="BB114" t="str">
        <f ca="1">IF($BJ$17&lt;&gt;"",ADDRESS($BJ$18+10,$BJ$17+3),"")</f>
        <v>$I$17</v>
      </c>
      <c r="BC114" t="str">
        <f ca="1">IF(BB114&lt;&gt;"","9•4","")</f>
        <v>9•4</v>
      </c>
    </row>
    <row r="115" spans="51:55" ht="12" customHeight="1">
      <c r="AZ115" s="16">
        <v>9</v>
      </c>
      <c r="BA115" s="16" t="s">
        <v>129</v>
      </c>
      <c r="BB115" t="str">
        <f ca="1">IF($BJ$19&lt;&gt;"",ADDRESS($BJ$20+10,$BJ$19+3),"")</f>
        <v>$U$29</v>
      </c>
      <c r="BC115" t="str">
        <f ca="1">IF(BB115&lt;&gt;"","9•5","")</f>
        <v>9•5</v>
      </c>
    </row>
    <row r="116" spans="51:55" ht="12" customHeight="1">
      <c r="AZ116" s="16">
        <v>9</v>
      </c>
      <c r="BA116" s="16" t="s">
        <v>130</v>
      </c>
      <c r="BB116" t="str">
        <f ca="1">IF($BJ$21&lt;&gt;"",ADDRESS($BJ$22+10,$BJ$21+3),"")</f>
        <v>$E$13</v>
      </c>
      <c r="BC116" t="str">
        <f ca="1">IF(BB116&lt;&gt;"","9•6","")</f>
        <v>9•6</v>
      </c>
    </row>
    <row r="117" spans="51:55" ht="12" customHeight="1">
      <c r="AZ117" s="16">
        <v>9</v>
      </c>
      <c r="BA117" s="16" t="s">
        <v>131</v>
      </c>
      <c r="BB117" t="str">
        <f ca="1">IF($BJ$23&lt;&gt;"",ADDRESS($BJ$24+10,$BJ$23+3),"")</f>
        <v/>
      </c>
      <c r="BC117" t="str">
        <f ca="1">IF(BB117&lt;&gt;"","9•7","")</f>
        <v/>
      </c>
    </row>
    <row r="118" spans="51:55" ht="12" customHeight="1">
      <c r="AZ118" s="16">
        <v>9</v>
      </c>
      <c r="BA118" s="16" t="s">
        <v>132</v>
      </c>
      <c r="BB118" t="str">
        <f ca="1">IF($BJ$25&lt;&gt;"",ADDRESS($BJ$26+10,$BJ$25+3),"")</f>
        <v/>
      </c>
      <c r="BC118" t="str">
        <f ca="1">IF(BB118&lt;&gt;"","9•8","")</f>
        <v/>
      </c>
    </row>
    <row r="119" spans="51:55" ht="12" customHeight="1">
      <c r="AZ119" s="16">
        <v>9</v>
      </c>
      <c r="BA119" s="16" t="s">
        <v>133</v>
      </c>
      <c r="BB119" t="str">
        <f ca="1">IF($BJ$27&lt;&gt;"",ADDRESS($BJ$28+10,$BJ$27+3),"")</f>
        <v/>
      </c>
      <c r="BC119" t="str">
        <f ca="1">IF(BB119&lt;&gt;"","9•9","")</f>
        <v/>
      </c>
    </row>
    <row r="120" spans="51:55" ht="12" customHeight="1">
      <c r="AZ120" s="16">
        <v>9</v>
      </c>
      <c r="BA120" s="16" t="s">
        <v>134</v>
      </c>
      <c r="BB120" t="str">
        <f ca="1">IF($BJ$29&lt;&gt;"",ADDRESS($BJ$30+10,$BJ$29+3),"")</f>
        <v/>
      </c>
      <c r="BC120" t="str">
        <f ca="1">IF(BB120&lt;&gt;"","9•10","")</f>
        <v/>
      </c>
    </row>
    <row r="121" spans="51:55" ht="12" customHeight="1">
      <c r="AY121" s="16" t="s">
        <v>110</v>
      </c>
      <c r="AZ121" s="16">
        <v>10</v>
      </c>
      <c r="BA121" s="16" t="s">
        <v>125</v>
      </c>
      <c r="BB121" t="str">
        <f ca="1">IF($BK$11&lt;&gt;"",ADDRESS($BK$12+10,$BK$11+3),"")</f>
        <v>$L$22</v>
      </c>
      <c r="BC121" t="str">
        <f ca="1">IF(BB121&lt;&gt;"","10•1","")</f>
        <v>10•1</v>
      </c>
    </row>
    <row r="122" spans="51:55" ht="12" customHeight="1">
      <c r="AZ122" s="16">
        <v>10</v>
      </c>
      <c r="BA122" s="16" t="s">
        <v>126</v>
      </c>
      <c r="BB122" t="str">
        <f ca="1">IF($BK$13&lt;&gt;"",ADDRESS($BK$14+10,$BK$13+3),"")</f>
        <v>$X$34</v>
      </c>
      <c r="BC122" t="str">
        <f ca="1">IF(BB122&lt;&gt;"","10•2","")</f>
        <v>10•2</v>
      </c>
    </row>
    <row r="123" spans="51:55" ht="12" customHeight="1">
      <c r="AZ123" s="16">
        <v>10</v>
      </c>
      <c r="BA123" s="16" t="s">
        <v>127</v>
      </c>
      <c r="BB123" t="str">
        <f ca="1">IF($BK$15&lt;&gt;"",ADDRESS($BK$16+10,$BK$15+3),"")</f>
        <v>$P$26</v>
      </c>
      <c r="BC123" t="str">
        <f ca="1">IF(BB123&lt;&gt;"","10•3","")</f>
        <v>10•3</v>
      </c>
    </row>
    <row r="124" spans="51:55" ht="12" customHeight="1">
      <c r="AZ124" s="16">
        <v>10</v>
      </c>
      <c r="BA124" s="16" t="s">
        <v>128</v>
      </c>
      <c r="BB124" t="str">
        <f ca="1">IF($BK$17&lt;&gt;"",ADDRESS($BK$18+10,$BK$17+3),"")</f>
        <v>$Q$25</v>
      </c>
      <c r="BC124" t="str">
        <f ca="1">IF(BB124&lt;&gt;"","10•4","")</f>
        <v>10•4</v>
      </c>
    </row>
    <row r="125" spans="51:55" ht="12" customHeight="1">
      <c r="AZ125" s="16">
        <v>10</v>
      </c>
      <c r="BA125" s="16" t="s">
        <v>129</v>
      </c>
      <c r="BB125" t="str">
        <f ca="1">IF($BK$19&lt;&gt;"",ADDRESS($BK$20+10,$BK$19+3),"")</f>
        <v>$Y$33</v>
      </c>
      <c r="BC125" t="str">
        <f ca="1">IF(BB125&lt;&gt;"","10•5","")</f>
        <v>10•5</v>
      </c>
    </row>
    <row r="126" spans="51:55" ht="12" customHeight="1">
      <c r="AZ126" s="16">
        <v>10</v>
      </c>
      <c r="BA126" s="16" t="s">
        <v>130</v>
      </c>
      <c r="BB126" t="str">
        <f ca="1">IF($BK$21&lt;&gt;"",ADDRESS($BK$22+10,$BK$21+3),"")</f>
        <v>$M$21</v>
      </c>
      <c r="BC126" t="str">
        <f ca="1">IF(BB126&lt;&gt;"","10•6","")</f>
        <v>10•6</v>
      </c>
    </row>
    <row r="127" spans="51:55" ht="12" customHeight="1">
      <c r="AZ127" s="16">
        <v>10</v>
      </c>
      <c r="BA127" s="16" t="s">
        <v>131</v>
      </c>
      <c r="BB127" t="str">
        <f ca="1">IF($BK$23&lt;&gt;"",ADDRESS($BK$24+10,$BK$23+3),"")</f>
        <v/>
      </c>
      <c r="BC127" t="str">
        <f ca="1">IF(BB127&lt;&gt;"","10•7","")</f>
        <v/>
      </c>
    </row>
    <row r="128" spans="51:55" ht="12" customHeight="1">
      <c r="AZ128" s="16">
        <v>10</v>
      </c>
      <c r="BA128" s="16" t="s">
        <v>132</v>
      </c>
      <c r="BB128" t="str">
        <f ca="1">IF($BK$25&lt;&gt;"",ADDRESS($BK$26+10,$BK$25+3),"")</f>
        <v/>
      </c>
      <c r="BC128" t="str">
        <f ca="1">IF(BB128&lt;&gt;"","10•8","")</f>
        <v/>
      </c>
    </row>
    <row r="129" spans="51:55" ht="12" customHeight="1">
      <c r="AZ129" s="16">
        <v>10</v>
      </c>
      <c r="BA129" s="16" t="s">
        <v>133</v>
      </c>
      <c r="BB129" t="str">
        <f ca="1">IF($BK$27&lt;&gt;"",ADDRESS($BK$28+10,$BK$27+3),"")</f>
        <v/>
      </c>
      <c r="BC129" t="str">
        <f ca="1">IF(BB129&lt;&gt;"","10•9","")</f>
        <v/>
      </c>
    </row>
    <row r="130" spans="51:55" ht="12" customHeight="1">
      <c r="AZ130" s="16">
        <v>10</v>
      </c>
      <c r="BA130" s="16" t="s">
        <v>134</v>
      </c>
      <c r="BB130" t="str">
        <f ca="1">IF($BK$29&lt;&gt;"",ADDRESS($BK$30+10,$BK$29+3),"")</f>
        <v/>
      </c>
      <c r="BC130" t="str">
        <f ca="1">IF(BB130&lt;&gt;"","10•10","")</f>
        <v/>
      </c>
    </row>
    <row r="131" spans="51:55" ht="12" customHeight="1">
      <c r="AY131" s="16" t="s">
        <v>111</v>
      </c>
      <c r="AZ131" s="16">
        <v>11</v>
      </c>
      <c r="BA131" s="16" t="s">
        <v>125</v>
      </c>
      <c r="BB131" t="str">
        <f ca="1">IF($BL$11&lt;&gt;"",ADDRESS($BL$12+10,$BL$11+3),"")</f>
        <v>$Q$26</v>
      </c>
      <c r="BC131" t="str">
        <f ca="1">IF(BB131&lt;&gt;"","11•1","")</f>
        <v>11•1</v>
      </c>
    </row>
    <row r="132" spans="51:55" ht="12" customHeight="1">
      <c r="AZ132" s="16">
        <v>11</v>
      </c>
      <c r="BA132" s="16" t="s">
        <v>126</v>
      </c>
      <c r="BB132" t="str">
        <f ca="1">IF($BL$13&lt;&gt;"",ADDRESS($BL$14+10,$BL$13+3),"")</f>
        <v>$M$22</v>
      </c>
      <c r="BC132" t="str">
        <f ca="1">IF(BB132&lt;&gt;"","11•2","")</f>
        <v>11•2</v>
      </c>
    </row>
    <row r="133" spans="51:55" ht="12" customHeight="1">
      <c r="AZ133" s="16">
        <v>11</v>
      </c>
      <c r="BA133" s="16" t="s">
        <v>127</v>
      </c>
      <c r="BB133" t="str">
        <f ca="1">IF($BL$15&lt;&gt;"",ADDRESS($BL$16+10,$BL$15+3),"")</f>
        <v>$Y$34</v>
      </c>
      <c r="BC133" t="str">
        <f ca="1">IF(BB133&lt;&gt;"","11•3","")</f>
        <v>11•3</v>
      </c>
    </row>
    <row r="134" spans="51:55" ht="12" customHeight="1">
      <c r="AZ134" s="16">
        <v>11</v>
      </c>
      <c r="BA134" s="16" t="s">
        <v>128</v>
      </c>
      <c r="BB134" t="str">
        <f ca="1">IF($BL$17&lt;&gt;"",ADDRESS($BL$18+10,$BL$17+3),"")</f>
        <v>$X$33</v>
      </c>
      <c r="BC134" t="str">
        <f ca="1">IF(BB134&lt;&gt;"","11•4","")</f>
        <v>11•4</v>
      </c>
    </row>
    <row r="135" spans="51:55" ht="12" customHeight="1">
      <c r="AZ135" s="16">
        <v>11</v>
      </c>
      <c r="BA135" s="16" t="s">
        <v>129</v>
      </c>
      <c r="BB135" t="str">
        <f ca="1">IF($BL$19&lt;&gt;"",ADDRESS($BL$20+10,$BL$19+3),"")</f>
        <v>$L$21</v>
      </c>
      <c r="BC135" t="str">
        <f ca="1">IF(BB135&lt;&gt;"","11•5","")</f>
        <v>11•5</v>
      </c>
    </row>
    <row r="136" spans="51:55" ht="12" customHeight="1">
      <c r="AZ136" s="16">
        <v>11</v>
      </c>
      <c r="BA136" s="16" t="s">
        <v>130</v>
      </c>
      <c r="BB136" t="str">
        <f ca="1">IF($BL$21&lt;&gt;"",ADDRESS($BL$22+10,$BL$21+3),"")</f>
        <v>$P$25</v>
      </c>
      <c r="BC136" t="str">
        <f ca="1">IF(BB136&lt;&gt;"","11•6","")</f>
        <v>11•6</v>
      </c>
    </row>
    <row r="137" spans="51:55" ht="12" customHeight="1">
      <c r="AZ137" s="16">
        <v>11</v>
      </c>
      <c r="BA137" s="16" t="s">
        <v>131</v>
      </c>
      <c r="BB137" t="str">
        <f ca="1">IF($BL$23&lt;&gt;"",ADDRESS($BL$24+10,$BL$23+3),"")</f>
        <v/>
      </c>
      <c r="BC137" t="str">
        <f ca="1">IF(BB137&lt;&gt;"","11•7","")</f>
        <v/>
      </c>
    </row>
    <row r="138" spans="51:55" ht="12" customHeight="1">
      <c r="AZ138" s="16">
        <v>11</v>
      </c>
      <c r="BA138" s="16" t="s">
        <v>132</v>
      </c>
      <c r="BB138" t="str">
        <f ca="1">IF($BL$25&lt;&gt;"",ADDRESS($BL$26+10,$BL$25+3),"")</f>
        <v/>
      </c>
      <c r="BC138" t="str">
        <f ca="1">IF(BB138&lt;&gt;"","11•8","")</f>
        <v/>
      </c>
    </row>
    <row r="139" spans="51:55" ht="12" customHeight="1">
      <c r="AZ139" s="16">
        <v>11</v>
      </c>
      <c r="BA139" s="16" t="s">
        <v>133</v>
      </c>
      <c r="BB139" t="str">
        <f ca="1">IF($BL$27&lt;&gt;"",ADDRESS($BL$28+10,$BL$27+3),"")</f>
        <v/>
      </c>
      <c r="BC139" t="str">
        <f ca="1">IF(BB139&lt;&gt;"","11•9","")</f>
        <v/>
      </c>
    </row>
    <row r="140" spans="51:55" ht="12" customHeight="1">
      <c r="AZ140" s="16">
        <v>11</v>
      </c>
      <c r="BA140" s="16" t="s">
        <v>134</v>
      </c>
      <c r="BB140" t="str">
        <f ca="1">IF($BL$29&lt;&gt;"",ADDRESS($BL$30+10,$BL$29+3),"")</f>
        <v/>
      </c>
      <c r="BC140" t="str">
        <f ca="1">IF(BB140&lt;&gt;"","11•10","")</f>
        <v/>
      </c>
    </row>
    <row r="141" spans="51:55" ht="12" customHeight="1">
      <c r="AY141" s="16" t="s">
        <v>112</v>
      </c>
      <c r="AZ141" s="16">
        <v>12</v>
      </c>
      <c r="BA141" s="16" t="s">
        <v>125</v>
      </c>
      <c r="BB141" t="str">
        <f ca="1">IF($BM$11&lt;&gt;"",ADDRESS($BM$12+10,$BM$11+3),"")</f>
        <v>$I$18</v>
      </c>
      <c r="BC141" t="str">
        <f ca="1">IF(BB141&lt;&gt;"","12•1","")</f>
        <v>12•1</v>
      </c>
    </row>
    <row r="142" spans="51:55" ht="12" customHeight="1">
      <c r="AZ142" s="16">
        <v>12</v>
      </c>
      <c r="BA142" s="16" t="s">
        <v>126</v>
      </c>
      <c r="BB142" t="str">
        <f ca="1">IF($BM$13&lt;&gt;"",ADDRESS($BM$14+10,$BM$13+3),"")</f>
        <v>$E$14</v>
      </c>
      <c r="BC142" t="str">
        <f ca="1">IF(BB142&lt;&gt;"","12•2","")</f>
        <v>12•2</v>
      </c>
    </row>
    <row r="143" spans="51:55" ht="12" customHeight="1">
      <c r="AZ143" s="16">
        <v>12</v>
      </c>
      <c r="BA143" s="16" t="s">
        <v>127</v>
      </c>
      <c r="BB143" t="str">
        <f ca="1">IF($BM$15&lt;&gt;"",ADDRESS($BM$16+10,$BM$15+3),"")</f>
        <v>$U$30</v>
      </c>
      <c r="BC143" t="str">
        <f ca="1">IF(BB143&lt;&gt;"","12•3","")</f>
        <v>12•3</v>
      </c>
    </row>
    <row r="144" spans="51:55" ht="12" customHeight="1">
      <c r="AZ144" s="16">
        <v>12</v>
      </c>
      <c r="BA144" s="16" t="s">
        <v>128</v>
      </c>
      <c r="BB144" t="str">
        <f ca="1">IF($BM$17&lt;&gt;"",ADDRESS($BM$18+10,$BM$17+3),"")</f>
        <v>$T$29</v>
      </c>
      <c r="BC144" t="str">
        <f ca="1">IF(BB144&lt;&gt;"","12•4","")</f>
        <v>12•4</v>
      </c>
    </row>
    <row r="145" spans="51:55" ht="12" customHeight="1">
      <c r="AZ145" s="16">
        <v>12</v>
      </c>
      <c r="BA145" s="16" t="s">
        <v>129</v>
      </c>
      <c r="BB145" t="str">
        <f ca="1">IF($BM$19&lt;&gt;"",ADDRESS($BM$20+10,$BM$19+3),"")</f>
        <v>$D$13</v>
      </c>
      <c r="BC145" t="str">
        <f ca="1">IF(BB145&lt;&gt;"","12•5","")</f>
        <v>12•5</v>
      </c>
    </row>
    <row r="146" spans="51:55" ht="12" customHeight="1">
      <c r="AZ146" s="16">
        <v>12</v>
      </c>
      <c r="BA146" s="16" t="s">
        <v>130</v>
      </c>
      <c r="BB146" t="str">
        <f ca="1">IF($BM$21&lt;&gt;"",ADDRESS($BM$22+10,$BM$21+3),"")</f>
        <v>$H$17</v>
      </c>
      <c r="BC146" t="str">
        <f ca="1">IF(BB146&lt;&gt;"","12•6","")</f>
        <v>12•6</v>
      </c>
    </row>
    <row r="147" spans="51:55" ht="12" customHeight="1">
      <c r="AZ147" s="16">
        <v>12</v>
      </c>
      <c r="BA147" s="16" t="s">
        <v>131</v>
      </c>
      <c r="BB147" t="str">
        <f ca="1">IF($BM$23&lt;&gt;"",ADDRESS($BM$24+10,$BM$23+3),"")</f>
        <v/>
      </c>
      <c r="BC147" t="str">
        <f ca="1">IF(BB147&lt;&gt;"","12•7","")</f>
        <v/>
      </c>
    </row>
    <row r="148" spans="51:55" ht="12" customHeight="1">
      <c r="AZ148" s="16">
        <v>12</v>
      </c>
      <c r="BA148" s="16" t="s">
        <v>132</v>
      </c>
      <c r="BB148" t="str">
        <f ca="1">IF($BM$25&lt;&gt;"",ADDRESS($BM$26+10,$BM$25+3),"")</f>
        <v/>
      </c>
      <c r="BC148" t="str">
        <f ca="1">IF(BB148&lt;&gt;"","12•8","")</f>
        <v/>
      </c>
    </row>
    <row r="149" spans="51:55" ht="12" customHeight="1">
      <c r="AZ149" s="16">
        <v>12</v>
      </c>
      <c r="BA149" s="16" t="s">
        <v>133</v>
      </c>
      <c r="BB149" t="str">
        <f ca="1">IF($BM$27&lt;&gt;"",ADDRESS($BM$28+10,$BM$27+3),"")</f>
        <v/>
      </c>
      <c r="BC149" t="str">
        <f ca="1">IF(BB149&lt;&gt;"","12•9","")</f>
        <v/>
      </c>
    </row>
    <row r="150" spans="51:55" ht="12" customHeight="1">
      <c r="AZ150" s="16">
        <v>12</v>
      </c>
      <c r="BA150" s="16" t="s">
        <v>134</v>
      </c>
      <c r="BB150" t="str">
        <f ca="1">IF($BM$29&lt;&gt;"",ADDRESS($BM$30+10,$BM$29+3),"")</f>
        <v/>
      </c>
      <c r="BC150" t="str">
        <f ca="1">IF(BB150&lt;&gt;"","12•10","")</f>
        <v/>
      </c>
    </row>
    <row r="151" spans="51:55" ht="12" customHeight="1">
      <c r="AY151" s="16" t="s">
        <v>113</v>
      </c>
      <c r="AZ151" s="16">
        <v>13</v>
      </c>
      <c r="BA151" s="16" t="s">
        <v>125</v>
      </c>
      <c r="BB151" t="str">
        <f ca="1">IF($BN$11&lt;&gt;"",ADDRESS($BN$12+10,$BN$11+3),"")</f>
        <v>$T$28</v>
      </c>
      <c r="BC151" t="str">
        <f ca="1">IF(BB151&lt;&gt;"","13•1","")</f>
        <v>13•1</v>
      </c>
    </row>
    <row r="152" spans="51:55" ht="12" customHeight="1">
      <c r="AZ152" s="16">
        <v>13</v>
      </c>
      <c r="BA152" s="16" t="s">
        <v>126</v>
      </c>
      <c r="BB152" t="str">
        <f ca="1">IF($BN$13&lt;&gt;"",ADDRESS($BN$14+10,$BN$13+3),"")</f>
        <v>$H$16</v>
      </c>
      <c r="BC152" t="str">
        <f ca="1">IF(BB152&lt;&gt;"","13•2","")</f>
        <v>13•2</v>
      </c>
    </row>
    <row r="153" spans="51:55" ht="12" customHeight="1">
      <c r="AZ153" s="16">
        <v>13</v>
      </c>
      <c r="BA153" s="16" t="s">
        <v>127</v>
      </c>
      <c r="BB153" t="str">
        <f ca="1">IF($BN$15&lt;&gt;"",ADDRESS($BN$16+10,$BN$15+3),"")</f>
        <v>$D$12</v>
      </c>
      <c r="BC153" t="str">
        <f ca="1">IF(BB153&lt;&gt;"","13•3","")</f>
        <v>13•3</v>
      </c>
    </row>
    <row r="154" spans="51:55" ht="12" customHeight="1">
      <c r="AZ154" s="16">
        <v>13</v>
      </c>
      <c r="BA154" s="16" t="s">
        <v>128</v>
      </c>
      <c r="BB154" t="str">
        <f ca="1">IF($BN$17&lt;&gt;"",ADDRESS($BN$18+10,$BN$17+3),"")</f>
        <v>$F$14</v>
      </c>
      <c r="BC154" t="str">
        <f ca="1">IF(BB154&lt;&gt;"","13•4","")</f>
        <v>13•4</v>
      </c>
    </row>
    <row r="155" spans="51:55" ht="12" customHeight="1">
      <c r="AZ155" s="16">
        <v>13</v>
      </c>
      <c r="BA155" s="16" t="s">
        <v>129</v>
      </c>
      <c r="BB155" t="str">
        <f ca="1">IF($BN$19&lt;&gt;"",ADDRESS($BN$20+10,$BN$19+3),"")</f>
        <v>$J$18</v>
      </c>
      <c r="BC155" t="str">
        <f ca="1">IF(BB155&lt;&gt;"","13•5","")</f>
        <v>13•5</v>
      </c>
    </row>
    <row r="156" spans="51:55" ht="12" customHeight="1">
      <c r="AZ156" s="16">
        <v>13</v>
      </c>
      <c r="BA156" s="16" t="s">
        <v>130</v>
      </c>
      <c r="BB156" t="str">
        <f ca="1">IF($BN$21&lt;&gt;"",ADDRESS($BN$22+10,$BN$21+3),"")</f>
        <v>$V$30</v>
      </c>
      <c r="BC156" t="str">
        <f ca="1">IF(BB156&lt;&gt;"","13•6","")</f>
        <v>13•6</v>
      </c>
    </row>
    <row r="157" spans="51:55" ht="12" customHeight="1">
      <c r="AZ157" s="16">
        <v>13</v>
      </c>
      <c r="BA157" s="16" t="s">
        <v>131</v>
      </c>
      <c r="BB157" t="str">
        <f ca="1">IF($BN$23&lt;&gt;"",ADDRESS($BN$24+10,$BN$23+3),"")</f>
        <v/>
      </c>
      <c r="BC157" t="str">
        <f ca="1">IF(BB157&lt;&gt;"","13•7","")</f>
        <v/>
      </c>
    </row>
    <row r="158" spans="51:55" ht="12" customHeight="1">
      <c r="AZ158" s="16">
        <v>13</v>
      </c>
      <c r="BA158" s="16" t="s">
        <v>132</v>
      </c>
      <c r="BB158" t="str">
        <f ca="1">IF($BN$25&lt;&gt;"",ADDRESS($BN$26+10,$BN$25+3),"")</f>
        <v/>
      </c>
      <c r="BC158" t="str">
        <f ca="1">IF(BB158&lt;&gt;"","13•8","")</f>
        <v/>
      </c>
    </row>
    <row r="159" spans="51:55" ht="12" customHeight="1">
      <c r="AZ159" s="16">
        <v>13</v>
      </c>
      <c r="BA159" s="16" t="s">
        <v>133</v>
      </c>
      <c r="BB159" t="str">
        <f ca="1">IF($BN$27&lt;&gt;"",ADDRESS($BN$28+10,$BN$27+3),"")</f>
        <v/>
      </c>
      <c r="BC159" t="str">
        <f ca="1">IF(BB159&lt;&gt;"","13•9","")</f>
        <v/>
      </c>
    </row>
    <row r="160" spans="51:55" ht="12" customHeight="1">
      <c r="AZ160" s="16">
        <v>13</v>
      </c>
      <c r="BA160" s="16" t="s">
        <v>134</v>
      </c>
      <c r="BB160" t="str">
        <f ca="1">IF($BN$29&lt;&gt;"",ADDRESS($BN$30+10,$BN$29+3),"")</f>
        <v/>
      </c>
      <c r="BC160" t="str">
        <f ca="1">IF(BB160&lt;&gt;"","13•10","")</f>
        <v/>
      </c>
    </row>
    <row r="161" spans="51:55" ht="12" customHeight="1">
      <c r="AY161" s="16" t="s">
        <v>114</v>
      </c>
      <c r="AZ161" s="16">
        <v>14</v>
      </c>
      <c r="BA161" s="16" t="s">
        <v>125</v>
      </c>
      <c r="BB161" t="str">
        <f ca="1">IF($BO$11&lt;&gt;"",ADDRESS($BO$12+10,$BO$11+3),"")</f>
        <v>$X$32</v>
      </c>
      <c r="BC161" t="str">
        <f ca="1">IF(BB161&lt;&gt;"","14•1","")</f>
        <v>14•1</v>
      </c>
    </row>
    <row r="162" spans="51:55" ht="12" customHeight="1">
      <c r="AZ162" s="16">
        <v>14</v>
      </c>
      <c r="BA162" s="16" t="s">
        <v>126</v>
      </c>
      <c r="BB162" t="str">
        <f ca="1">IF($BO$13&lt;&gt;"",ADDRESS($BO$14+10,$BO$13+3),"")</f>
        <v>$P$24</v>
      </c>
      <c r="BC162" t="str">
        <f ca="1">IF(BB162&lt;&gt;"","14•2","")</f>
        <v>14•2</v>
      </c>
    </row>
    <row r="163" spans="51:55" ht="12" customHeight="1">
      <c r="AZ163" s="16">
        <v>14</v>
      </c>
      <c r="BA163" s="16" t="s">
        <v>127</v>
      </c>
      <c r="BB163" t="str">
        <f ca="1">IF($BO$15&lt;&gt;"",ADDRESS($BO$16+10,$BO$15+3),"")</f>
        <v>$L$20</v>
      </c>
      <c r="BC163" t="str">
        <f ca="1">IF(BB163&lt;&gt;"","14•3","")</f>
        <v>14•3</v>
      </c>
    </row>
    <row r="164" spans="51:55" ht="12" customHeight="1">
      <c r="AZ164" s="16">
        <v>14</v>
      </c>
      <c r="BA164" s="16" t="s">
        <v>128</v>
      </c>
      <c r="BB164" t="str">
        <f ca="1">IF($BO$17&lt;&gt;"",ADDRESS($BO$18+10,$BO$17+3),"")</f>
        <v>$N$22</v>
      </c>
      <c r="BC164" t="str">
        <f ca="1">IF(BB164&lt;&gt;"","14•4","")</f>
        <v>14•4</v>
      </c>
    </row>
    <row r="165" spans="51:55" ht="12" customHeight="1">
      <c r="AZ165" s="16">
        <v>14</v>
      </c>
      <c r="BA165" s="16" t="s">
        <v>129</v>
      </c>
      <c r="BB165" t="str">
        <f ca="1">IF($BO$19&lt;&gt;"",ADDRESS($BO$20+10,$BO$19+3),"")</f>
        <v>$R$26</v>
      </c>
      <c r="BC165" t="str">
        <f ca="1">IF(BB165&lt;&gt;"","14•5","")</f>
        <v>14•5</v>
      </c>
    </row>
    <row r="166" spans="51:55" ht="12" customHeight="1">
      <c r="AZ166" s="16">
        <v>14</v>
      </c>
      <c r="BA166" s="16" t="s">
        <v>130</v>
      </c>
      <c r="BB166" t="str">
        <f ca="1">IF($BO$21&lt;&gt;"",ADDRESS($BO$22+10,$BO$21+3),"")</f>
        <v>$Z$34</v>
      </c>
      <c r="BC166" t="str">
        <f ca="1">IF(BB166&lt;&gt;"","14•6","")</f>
        <v>14•6</v>
      </c>
    </row>
    <row r="167" spans="51:55" ht="12" customHeight="1">
      <c r="AZ167" s="16">
        <v>14</v>
      </c>
      <c r="BA167" s="16" t="s">
        <v>131</v>
      </c>
      <c r="BB167" t="str">
        <f ca="1">IF($BO$23&lt;&gt;"",ADDRESS($BO$24+10,$BO$23+3),"")</f>
        <v/>
      </c>
      <c r="BC167" t="str">
        <f ca="1">IF(BB167&lt;&gt;"","14•7","")</f>
        <v/>
      </c>
    </row>
    <row r="168" spans="51:55" ht="12" customHeight="1">
      <c r="AZ168" s="16">
        <v>14</v>
      </c>
      <c r="BA168" s="16" t="s">
        <v>132</v>
      </c>
      <c r="BB168" t="str">
        <f ca="1">IF($BO$25&lt;&gt;"",ADDRESS($BO$26+10,$BO$25+3),"")</f>
        <v/>
      </c>
      <c r="BC168" t="str">
        <f ca="1">IF(BB168&lt;&gt;"","14•8","")</f>
        <v/>
      </c>
    </row>
    <row r="169" spans="51:55" ht="12" customHeight="1">
      <c r="AZ169" s="16">
        <v>14</v>
      </c>
      <c r="BA169" s="16" t="s">
        <v>133</v>
      </c>
      <c r="BB169" t="str">
        <f ca="1">IF($BO$27&lt;&gt;"",ADDRESS($BO$28+10,$BO$27+3),"")</f>
        <v/>
      </c>
      <c r="BC169" t="str">
        <f ca="1">IF(BB169&lt;&gt;"","14•9","")</f>
        <v/>
      </c>
    </row>
    <row r="170" spans="51:55" ht="12" customHeight="1">
      <c r="AZ170" s="16">
        <v>14</v>
      </c>
      <c r="BA170" s="16" t="s">
        <v>134</v>
      </c>
      <c r="BB170" t="str">
        <f ca="1">IF($BO$29&lt;&gt;"",ADDRESS($BO$30+10,$BO$29+3),"")</f>
        <v/>
      </c>
      <c r="BC170" t="str">
        <f ca="1">IF(BB170&lt;&gt;"","14•10","")</f>
        <v/>
      </c>
    </row>
    <row r="171" spans="51:55" ht="12" customHeight="1">
      <c r="AY171" s="16" t="s">
        <v>115</v>
      </c>
      <c r="AZ171" s="16">
        <v>15</v>
      </c>
      <c r="BA171" s="16" t="s">
        <v>125</v>
      </c>
      <c r="BB171" t="str">
        <f ca="1">IF($BP$11&lt;&gt;"",ADDRESS($BP$12+10,$BP$11+3),"")</f>
        <v/>
      </c>
      <c r="BC171" t="str">
        <f ca="1">IF(BB171&lt;&gt;"","15•1","")</f>
        <v/>
      </c>
    </row>
    <row r="172" spans="51:55" ht="12" customHeight="1">
      <c r="AZ172" s="16">
        <v>15</v>
      </c>
      <c r="BA172" s="16" t="s">
        <v>126</v>
      </c>
      <c r="BB172" t="str">
        <f ca="1">IF($BP$13&lt;&gt;"",ADDRESS($BP$14+10,$BP$13+3),"")</f>
        <v/>
      </c>
      <c r="BC172" t="str">
        <f ca="1">IF(BB172&lt;&gt;"","15•2","")</f>
        <v/>
      </c>
    </row>
    <row r="173" spans="51:55" ht="12" customHeight="1">
      <c r="AZ173" s="16">
        <v>15</v>
      </c>
      <c r="BA173" s="16" t="s">
        <v>127</v>
      </c>
      <c r="BB173" t="str">
        <f ca="1">IF($BP$15&lt;&gt;"",ADDRESS($BP$16+10,$BP$15+3),"")</f>
        <v/>
      </c>
      <c r="BC173" t="str">
        <f ca="1">IF(BB173&lt;&gt;"","15•3","")</f>
        <v/>
      </c>
    </row>
    <row r="174" spans="51:55" ht="12" customHeight="1">
      <c r="AZ174" s="16">
        <v>15</v>
      </c>
      <c r="BA174" s="16" t="s">
        <v>128</v>
      </c>
      <c r="BB174" t="str">
        <f ca="1">IF($BP$17&lt;&gt;"",ADDRESS($BP$18+10,$BP$17+3),"")</f>
        <v/>
      </c>
      <c r="BC174" t="str">
        <f ca="1">IF(BB174&lt;&gt;"","15•4","")</f>
        <v/>
      </c>
    </row>
    <row r="175" spans="51:55" ht="12" customHeight="1">
      <c r="AZ175" s="16">
        <v>15</v>
      </c>
      <c r="BA175" s="16" t="s">
        <v>129</v>
      </c>
      <c r="BB175" t="str">
        <f ca="1">IF($BP$19&lt;&gt;"",ADDRESS($BP$20+10,$BP$19+3),"")</f>
        <v/>
      </c>
      <c r="BC175" t="str">
        <f ca="1">IF(BB175&lt;&gt;"","15•5","")</f>
        <v/>
      </c>
    </row>
    <row r="176" spans="51:55" ht="12" customHeight="1">
      <c r="AZ176" s="16">
        <v>15</v>
      </c>
      <c r="BA176" s="16" t="s">
        <v>130</v>
      </c>
      <c r="BB176" t="str">
        <f ca="1">IF($BP$21&lt;&gt;"",ADDRESS($BP$22+10,$BP$21+3),"")</f>
        <v/>
      </c>
      <c r="BC176" t="str">
        <f ca="1">IF(BB176&lt;&gt;"","15•6","")</f>
        <v/>
      </c>
    </row>
    <row r="177" spans="51:55" ht="12" customHeight="1">
      <c r="AZ177" s="16">
        <v>15</v>
      </c>
      <c r="BA177" s="16" t="s">
        <v>131</v>
      </c>
      <c r="BB177" t="str">
        <f ca="1">IF($BP$23&lt;&gt;"",ADDRESS($BP$24+10,$BP$23+3),"")</f>
        <v/>
      </c>
      <c r="BC177" t="str">
        <f ca="1">IF(BB177&lt;&gt;"","15•7","")</f>
        <v/>
      </c>
    </row>
    <row r="178" spans="51:55" ht="12" customHeight="1">
      <c r="AZ178" s="16">
        <v>15</v>
      </c>
      <c r="BA178" s="16" t="s">
        <v>132</v>
      </c>
      <c r="BB178" t="str">
        <f ca="1">IF($BP$25&lt;&gt;"",ADDRESS($BP$26+10,$BP$25+3),"")</f>
        <v/>
      </c>
      <c r="BC178" t="str">
        <f ca="1">IF(BB178&lt;&gt;"","15•8","")</f>
        <v/>
      </c>
    </row>
    <row r="179" spans="51:55" ht="12" customHeight="1">
      <c r="AZ179" s="16">
        <v>15</v>
      </c>
      <c r="BA179" s="16" t="s">
        <v>133</v>
      </c>
      <c r="BB179" t="str">
        <f ca="1">IF($BP$27&lt;&gt;"",ADDRESS($BP$28+10,$BP$27+3),"")</f>
        <v/>
      </c>
      <c r="BC179" t="str">
        <f ca="1">IF(BB179&lt;&gt;"","15•9","")</f>
        <v/>
      </c>
    </row>
    <row r="180" spans="51:55" ht="12" customHeight="1">
      <c r="AZ180" s="16">
        <v>15</v>
      </c>
      <c r="BA180" s="16" t="s">
        <v>134</v>
      </c>
      <c r="BB180" t="str">
        <f ca="1">IF($BP$29&lt;&gt;"",ADDRESS($BP$30+10,$BP$29+3),"")</f>
        <v/>
      </c>
      <c r="BC180" t="str">
        <f ca="1">IF(BB180&lt;&gt;"","15•10","")</f>
        <v/>
      </c>
    </row>
    <row r="181" spans="51:55" ht="12" customHeight="1">
      <c r="AY181" s="16" t="s">
        <v>116</v>
      </c>
      <c r="AZ181" s="16">
        <v>16</v>
      </c>
      <c r="BA181" s="16" t="s">
        <v>125</v>
      </c>
      <c r="BB181" t="str">
        <f ca="1">IF($BQ$11&lt;&gt;"",ADDRESS($BQ$12+10,$BQ$11+3),"")</f>
        <v/>
      </c>
      <c r="BC181" t="str">
        <f ca="1">IF(BB181&lt;&gt;"","16•1","")</f>
        <v/>
      </c>
    </row>
    <row r="182" spans="51:55" ht="12" customHeight="1">
      <c r="AZ182" s="16">
        <v>16</v>
      </c>
      <c r="BA182" s="16" t="s">
        <v>126</v>
      </c>
      <c r="BB182" t="str">
        <f ca="1">IF($BQ$13&lt;&gt;"",ADDRESS($BQ$14+10,$BQ$13+3),"")</f>
        <v/>
      </c>
      <c r="BC182" t="str">
        <f ca="1">IF(BB182&lt;&gt;"","16•2","")</f>
        <v/>
      </c>
    </row>
    <row r="183" spans="51:55" ht="12" customHeight="1">
      <c r="AZ183" s="16">
        <v>16</v>
      </c>
      <c r="BA183" s="16" t="s">
        <v>127</v>
      </c>
      <c r="BB183" t="str">
        <f ca="1">IF($BQ$15&lt;&gt;"",ADDRESS($BQ$16+10,$BQ$15+3),"")</f>
        <v/>
      </c>
      <c r="BC183" t="str">
        <f ca="1">IF(BB183&lt;&gt;"","16•3","")</f>
        <v/>
      </c>
    </row>
    <row r="184" spans="51:55" ht="12" customHeight="1">
      <c r="AZ184" s="16">
        <v>16</v>
      </c>
      <c r="BA184" s="16" t="s">
        <v>128</v>
      </c>
      <c r="BB184" t="str">
        <f ca="1">IF($BQ$17&lt;&gt;"",ADDRESS($BQ$18+10,$BQ$17+3),"")</f>
        <v/>
      </c>
      <c r="BC184" t="str">
        <f ca="1">IF(BB184&lt;&gt;"","16•4","")</f>
        <v/>
      </c>
    </row>
    <row r="185" spans="51:55" ht="12" customHeight="1">
      <c r="AZ185" s="16">
        <v>16</v>
      </c>
      <c r="BA185" s="16" t="s">
        <v>129</v>
      </c>
      <c r="BB185" t="str">
        <f ca="1">IF($BQ$19&lt;&gt;"",ADDRESS($BQ$20+10,$BQ$19+3),"")</f>
        <v/>
      </c>
      <c r="BC185" t="str">
        <f ca="1">IF(BB185&lt;&gt;"","16•5","")</f>
        <v/>
      </c>
    </row>
    <row r="186" spans="51:55" ht="12" customHeight="1">
      <c r="AZ186" s="16">
        <v>16</v>
      </c>
      <c r="BA186" s="16" t="s">
        <v>130</v>
      </c>
      <c r="BB186" t="str">
        <f ca="1">IF($BQ$21&lt;&gt;"",ADDRESS($BQ$22+10,$BQ$21+3),"")</f>
        <v/>
      </c>
      <c r="BC186" t="str">
        <f ca="1">IF(BB186&lt;&gt;"","16•6","")</f>
        <v/>
      </c>
    </row>
    <row r="187" spans="51:55" ht="12" customHeight="1">
      <c r="AZ187" s="16">
        <v>16</v>
      </c>
      <c r="BA187" s="16" t="s">
        <v>131</v>
      </c>
      <c r="BB187" t="str">
        <f ca="1">IF($BQ$23&lt;&gt;"",ADDRESS($BQ$24+10,$BQ$23+3),"")</f>
        <v/>
      </c>
      <c r="BC187" t="str">
        <f ca="1">IF(BB187&lt;&gt;"","16•7","")</f>
        <v/>
      </c>
    </row>
    <row r="188" spans="51:55" ht="12" customHeight="1">
      <c r="AZ188" s="16">
        <v>16</v>
      </c>
      <c r="BA188" s="16" t="s">
        <v>132</v>
      </c>
      <c r="BB188" t="str">
        <f ca="1">IF($BQ$25&lt;&gt;"",ADDRESS($BQ$26+10,$BQ$25+3),"")</f>
        <v/>
      </c>
      <c r="BC188" t="str">
        <f ca="1">IF(BB188&lt;&gt;"","16•8","")</f>
        <v/>
      </c>
    </row>
    <row r="189" spans="51:55" ht="12" customHeight="1">
      <c r="AZ189" s="16">
        <v>16</v>
      </c>
      <c r="BA189" s="16" t="s">
        <v>133</v>
      </c>
      <c r="BB189" t="str">
        <f ca="1">IF($BQ$27&lt;&gt;"",ADDRESS($BQ$28+10,$BQ$27+3),"")</f>
        <v/>
      </c>
      <c r="BC189" t="str">
        <f ca="1">IF(BB189&lt;&gt;"","16•9","")</f>
        <v/>
      </c>
    </row>
    <row r="190" spans="51:55" ht="12" customHeight="1">
      <c r="AZ190" s="16">
        <v>16</v>
      </c>
      <c r="BA190" s="16" t="s">
        <v>134</v>
      </c>
      <c r="BB190" t="str">
        <f ca="1">IF($BQ$29&lt;&gt;"",ADDRESS($BQ$30+10,$BQ$29+3),"")</f>
        <v/>
      </c>
      <c r="BC190" t="str">
        <f ca="1">IF(BB190&lt;&gt;"","16•10","")</f>
        <v/>
      </c>
    </row>
    <row r="191" spans="51:55" ht="12" customHeight="1">
      <c r="AY191" s="16" t="s">
        <v>117</v>
      </c>
      <c r="AZ191" s="16">
        <v>17</v>
      </c>
      <c r="BA191" s="16" t="s">
        <v>125</v>
      </c>
      <c r="BB191" t="str">
        <f ca="1">IF($BR$11&lt;&gt;"",ADDRESS($BR$12+10,$BR$11+3),"")</f>
        <v/>
      </c>
      <c r="BC191" t="str">
        <f ca="1">IF(BB191&lt;&gt;"","17•1","")</f>
        <v/>
      </c>
    </row>
    <row r="192" spans="51:55" ht="12" customHeight="1">
      <c r="AZ192" s="16">
        <v>17</v>
      </c>
      <c r="BA192" s="16" t="s">
        <v>126</v>
      </c>
      <c r="BB192" t="str">
        <f ca="1">IF($BR$13&lt;&gt;"",ADDRESS($BR$14+10,$BR$13+3),"")</f>
        <v/>
      </c>
      <c r="BC192" t="str">
        <f ca="1">IF(BB192&lt;&gt;"","17•2","")</f>
        <v/>
      </c>
    </row>
    <row r="193" spans="51:55" ht="12" customHeight="1">
      <c r="AZ193" s="16">
        <v>17</v>
      </c>
      <c r="BA193" s="16" t="s">
        <v>127</v>
      </c>
      <c r="BB193" t="str">
        <f ca="1">IF($BR$15&lt;&gt;"",ADDRESS($BR$16+10,$BR$15+3),"")</f>
        <v/>
      </c>
      <c r="BC193" t="str">
        <f ca="1">IF(BB193&lt;&gt;"","17•3","")</f>
        <v/>
      </c>
    </row>
    <row r="194" spans="51:55" ht="12" customHeight="1">
      <c r="AZ194" s="16">
        <v>17</v>
      </c>
      <c r="BA194" s="16" t="s">
        <v>128</v>
      </c>
      <c r="BB194" t="str">
        <f ca="1">IF($BR$17&lt;&gt;"",ADDRESS($BR$18+10,$BR$17+3),"")</f>
        <v/>
      </c>
      <c r="BC194" t="str">
        <f ca="1">IF(BB194&lt;&gt;"","17•4","")</f>
        <v/>
      </c>
    </row>
    <row r="195" spans="51:55" ht="12" customHeight="1">
      <c r="AZ195" s="16">
        <v>17</v>
      </c>
      <c r="BA195" s="16" t="s">
        <v>129</v>
      </c>
      <c r="BB195" t="str">
        <f ca="1">IF($BR$19&lt;&gt;"",ADDRESS($BR$20+10,$BR$19+3),"")</f>
        <v/>
      </c>
      <c r="BC195" t="str">
        <f ca="1">IF(BB195&lt;&gt;"","17•5","")</f>
        <v/>
      </c>
    </row>
    <row r="196" spans="51:55" ht="12" customHeight="1">
      <c r="AZ196" s="16">
        <v>17</v>
      </c>
      <c r="BA196" s="16" t="s">
        <v>130</v>
      </c>
      <c r="BB196" t="str">
        <f ca="1">IF($BR$21&lt;&gt;"",ADDRESS($BR$22+10,$BR$21+3),"")</f>
        <v/>
      </c>
      <c r="BC196" t="str">
        <f ca="1">IF(BB196&lt;&gt;"","17•6","")</f>
        <v/>
      </c>
    </row>
    <row r="197" spans="51:55" ht="12" customHeight="1">
      <c r="AZ197" s="16">
        <v>17</v>
      </c>
      <c r="BA197" s="16" t="s">
        <v>131</v>
      </c>
      <c r="BB197" t="str">
        <f ca="1">IF($BR$23&lt;&gt;"",ADDRESS($BR$24+10,$BR$23+3),"")</f>
        <v/>
      </c>
      <c r="BC197" t="str">
        <f ca="1">IF(BB197&lt;&gt;"","17•7","")</f>
        <v/>
      </c>
    </row>
    <row r="198" spans="51:55" ht="12" customHeight="1">
      <c r="AZ198" s="16">
        <v>17</v>
      </c>
      <c r="BA198" s="16" t="s">
        <v>132</v>
      </c>
      <c r="BB198" t="str">
        <f ca="1">IF($BR$25&lt;&gt;"",ADDRESS($BR$26+10,$BR$25+3),"")</f>
        <v/>
      </c>
      <c r="BC198" t="str">
        <f ca="1">IF(BB198&lt;&gt;"","17•8","")</f>
        <v/>
      </c>
    </row>
    <row r="199" spans="51:55" ht="12" customHeight="1">
      <c r="AZ199" s="16">
        <v>17</v>
      </c>
      <c r="BA199" s="16" t="s">
        <v>133</v>
      </c>
      <c r="BB199" t="str">
        <f ca="1">IF($BR$27&lt;&gt;"",ADDRESS($BR$28+10,$BR$27+3),"")</f>
        <v/>
      </c>
      <c r="BC199" t="str">
        <f ca="1">IF(BB199&lt;&gt;"","17•9","")</f>
        <v/>
      </c>
    </row>
    <row r="200" spans="51:55" ht="12" customHeight="1">
      <c r="AZ200" s="16">
        <v>17</v>
      </c>
      <c r="BA200" s="16" t="s">
        <v>134</v>
      </c>
      <c r="BB200" t="str">
        <f ca="1">IF($BR$29&lt;&gt;"",ADDRESS($BR$30+10,$BR$29+3),"")</f>
        <v/>
      </c>
      <c r="BC200" t="str">
        <f ca="1">IF(BB200&lt;&gt;"","17•10","")</f>
        <v/>
      </c>
    </row>
    <row r="201" spans="51:55" ht="12" customHeight="1">
      <c r="AY201" s="16" t="s">
        <v>118</v>
      </c>
      <c r="AZ201" s="16">
        <v>18</v>
      </c>
      <c r="BA201" s="16" t="s">
        <v>125</v>
      </c>
      <c r="BB201" t="str">
        <f ca="1">IF($BS$11&lt;&gt;"",ADDRESS($BS$12+10,$BS$11+3),"")</f>
        <v/>
      </c>
      <c r="BC201" t="str">
        <f ca="1">IF(BB201&lt;&gt;"","18•1","")</f>
        <v/>
      </c>
    </row>
    <row r="202" spans="51:55" ht="12" customHeight="1">
      <c r="AZ202" s="16">
        <v>18</v>
      </c>
      <c r="BA202" s="16" t="s">
        <v>126</v>
      </c>
      <c r="BB202" t="str">
        <f ca="1">IF($BS$13&lt;&gt;"",ADDRESS($BS$14+10,$BS$13+3),"")</f>
        <v/>
      </c>
      <c r="BC202" t="str">
        <f ca="1">IF(BB202&lt;&gt;"","18•2","")</f>
        <v/>
      </c>
    </row>
    <row r="203" spans="51:55" ht="12" customHeight="1">
      <c r="AZ203" s="16">
        <v>18</v>
      </c>
      <c r="BA203" s="16" t="s">
        <v>127</v>
      </c>
      <c r="BB203" t="str">
        <f ca="1">IF($BS$15&lt;&gt;"",ADDRESS($BS$16+10,$BS$15+3),"")</f>
        <v/>
      </c>
      <c r="BC203" t="str">
        <f ca="1">IF(BB203&lt;&gt;"","18•3","")</f>
        <v/>
      </c>
    </row>
    <row r="204" spans="51:55" ht="12" customHeight="1">
      <c r="AZ204" s="16">
        <v>18</v>
      </c>
      <c r="BA204" s="16" t="s">
        <v>128</v>
      </c>
      <c r="BB204" t="str">
        <f ca="1">IF($BS$17&lt;&gt;"",ADDRESS($BS$18+10,$BS$17+3),"")</f>
        <v/>
      </c>
      <c r="BC204" t="str">
        <f ca="1">IF(BB204&lt;&gt;"","18•4","")</f>
        <v/>
      </c>
    </row>
    <row r="205" spans="51:55" ht="12" customHeight="1">
      <c r="AZ205" s="16">
        <v>18</v>
      </c>
      <c r="BA205" s="16" t="s">
        <v>129</v>
      </c>
      <c r="BB205" t="str">
        <f ca="1">IF($BS$19&lt;&gt;"",ADDRESS($BS$20+10,$BS$19+3),"")</f>
        <v/>
      </c>
      <c r="BC205" t="str">
        <f ca="1">IF(BB205&lt;&gt;"","18•5","")</f>
        <v/>
      </c>
    </row>
    <row r="206" spans="51:55" ht="12" customHeight="1">
      <c r="AZ206" s="16">
        <v>18</v>
      </c>
      <c r="BA206" s="16" t="s">
        <v>130</v>
      </c>
      <c r="BB206" t="str">
        <f ca="1">IF($BS$21&lt;&gt;"",ADDRESS($BS$22+10,$BS$21+3),"")</f>
        <v/>
      </c>
      <c r="BC206" t="str">
        <f ca="1">IF(BB206&lt;&gt;"","18•6","")</f>
        <v/>
      </c>
    </row>
    <row r="207" spans="51:55" ht="12" customHeight="1">
      <c r="AZ207" s="16">
        <v>18</v>
      </c>
      <c r="BA207" s="16" t="s">
        <v>131</v>
      </c>
      <c r="BB207" t="str">
        <f ca="1">IF($BS$23&lt;&gt;"",ADDRESS($BS$24+10,$BS$23+3),"")</f>
        <v/>
      </c>
      <c r="BC207" t="str">
        <f ca="1">IF(BB207&lt;&gt;"","18•7","")</f>
        <v/>
      </c>
    </row>
    <row r="208" spans="51:55" ht="12" customHeight="1">
      <c r="AZ208" s="16">
        <v>18</v>
      </c>
      <c r="BA208" s="16" t="s">
        <v>132</v>
      </c>
      <c r="BB208" t="str">
        <f ca="1">IF($BS$25&lt;&gt;"",ADDRESS($BS$26+10,$BS$25+3),"")</f>
        <v/>
      </c>
      <c r="BC208" t="str">
        <f ca="1">IF(BB208&lt;&gt;"","18•8","")</f>
        <v/>
      </c>
    </row>
    <row r="209" spans="51:55" ht="12" customHeight="1">
      <c r="AZ209" s="16">
        <v>18</v>
      </c>
      <c r="BA209" s="16" t="s">
        <v>133</v>
      </c>
      <c r="BB209" t="str">
        <f ca="1">IF($BS$27&lt;&gt;"",ADDRESS($BS$28+10,$BS$27+3),"")</f>
        <v/>
      </c>
      <c r="BC209" t="str">
        <f ca="1">IF(BB209&lt;&gt;"","18•9","")</f>
        <v/>
      </c>
    </row>
    <row r="210" spans="51:55" ht="12" customHeight="1">
      <c r="AZ210" s="16">
        <v>18</v>
      </c>
      <c r="BA210" s="16" t="s">
        <v>134</v>
      </c>
      <c r="BB210" t="str">
        <f ca="1">IF($BS$29&lt;&gt;"",ADDRESS($BS$30+10,$BS$29+3),"")</f>
        <v/>
      </c>
      <c r="BC210" t="str">
        <f ca="1">IF(BB210&lt;&gt;"","18•10","")</f>
        <v/>
      </c>
    </row>
    <row r="211" spans="51:55" ht="12" customHeight="1">
      <c r="AY211" s="16" t="s">
        <v>169</v>
      </c>
      <c r="AZ211" s="16">
        <v>19</v>
      </c>
      <c r="BA211" s="16" t="s">
        <v>125</v>
      </c>
      <c r="BB211" t="str">
        <f ca="1">IF($BT$11&lt;&gt;"",ADDRESS($BT$12+10,$BT$11+3),"")</f>
        <v/>
      </c>
      <c r="BC211" t="str">
        <f ca="1">IF(BB211&lt;&gt;"","19•1","")</f>
        <v/>
      </c>
    </row>
    <row r="212" spans="51:55" ht="12" customHeight="1">
      <c r="AZ212" s="16">
        <v>19</v>
      </c>
      <c r="BA212" s="16" t="s">
        <v>126</v>
      </c>
      <c r="BB212" t="str">
        <f ca="1">IF($BT$13&lt;&gt;"",ADDRESS($BT$14+10,$BT$13+3),"")</f>
        <v/>
      </c>
      <c r="BC212" t="str">
        <f ca="1">IF(BB212&lt;&gt;"","19•2","")</f>
        <v/>
      </c>
    </row>
    <row r="213" spans="51:55" ht="12" customHeight="1">
      <c r="AZ213" s="16">
        <v>19</v>
      </c>
      <c r="BA213" s="16" t="s">
        <v>127</v>
      </c>
      <c r="BB213" t="str">
        <f ca="1">IF($BT$15&lt;&gt;"",ADDRESS($BT$16+10,$BT$15+3),"")</f>
        <v/>
      </c>
      <c r="BC213" t="str">
        <f ca="1">IF(BB213&lt;&gt;"","19•3","")</f>
        <v/>
      </c>
    </row>
    <row r="214" spans="51:55" ht="12" customHeight="1">
      <c r="AZ214" s="16">
        <v>19</v>
      </c>
      <c r="BA214" s="16" t="s">
        <v>128</v>
      </c>
      <c r="BB214" t="str">
        <f ca="1">IF($BT$17&lt;&gt;"",ADDRESS($BT$18+10,$BT$17+3),"")</f>
        <v/>
      </c>
      <c r="BC214" t="str">
        <f ca="1">IF(BB214&lt;&gt;"","19•4","")</f>
        <v/>
      </c>
    </row>
    <row r="215" spans="51:55" ht="12" customHeight="1">
      <c r="AZ215" s="16">
        <v>19</v>
      </c>
      <c r="BA215" s="16" t="s">
        <v>129</v>
      </c>
      <c r="BB215" t="str">
        <f ca="1">IF($BT$19&lt;&gt;"",ADDRESS($BT$20+10,$BT$19+3),"")</f>
        <v/>
      </c>
      <c r="BC215" t="str">
        <f ca="1">IF(BB215&lt;&gt;"","19•5","")</f>
        <v/>
      </c>
    </row>
    <row r="216" spans="51:55" ht="12" customHeight="1">
      <c r="AZ216" s="16">
        <v>19</v>
      </c>
      <c r="BA216" s="16" t="s">
        <v>130</v>
      </c>
      <c r="BB216" t="str">
        <f ca="1">IF($BT$21&lt;&gt;"",ADDRESS($BT$22+10,$BT$21+3),"")</f>
        <v/>
      </c>
      <c r="BC216" t="str">
        <f ca="1">IF(BB216&lt;&gt;"","19•6","")</f>
        <v/>
      </c>
    </row>
    <row r="217" spans="51:55" ht="12" customHeight="1">
      <c r="AZ217" s="16">
        <v>19</v>
      </c>
      <c r="BA217" s="16" t="s">
        <v>131</v>
      </c>
      <c r="BB217" t="str">
        <f ca="1">IF($BT$23&lt;&gt;"",ADDRESS($BT$24+10,$BT$23+3),"")</f>
        <v/>
      </c>
      <c r="BC217" t="str">
        <f ca="1">IF(BB217&lt;&gt;"","19•7","")</f>
        <v/>
      </c>
    </row>
    <row r="218" spans="51:55" ht="12" customHeight="1">
      <c r="AZ218" s="16">
        <v>19</v>
      </c>
      <c r="BA218" s="16" t="s">
        <v>132</v>
      </c>
      <c r="BB218" t="str">
        <f ca="1">IF($BT$25&lt;&gt;"",ADDRESS($BT$26+10,$BT$25+3),"")</f>
        <v/>
      </c>
      <c r="BC218" t="str">
        <f ca="1">IF(BB218&lt;&gt;"","19•8","")</f>
        <v/>
      </c>
    </row>
    <row r="219" spans="51:55" ht="12" customHeight="1">
      <c r="AZ219" s="16">
        <v>19</v>
      </c>
      <c r="BA219" s="16" t="s">
        <v>133</v>
      </c>
      <c r="BB219" t="str">
        <f ca="1">IF($BT$27&lt;&gt;"",ADDRESS($BT$28+10,$BT$27+3),"")</f>
        <v/>
      </c>
      <c r="BC219" t="str">
        <f ca="1">IF(BB219&lt;&gt;"","19•9","")</f>
        <v/>
      </c>
    </row>
    <row r="220" spans="51:55" ht="12" customHeight="1">
      <c r="AZ220" s="16">
        <v>19</v>
      </c>
      <c r="BA220" s="16" t="s">
        <v>134</v>
      </c>
      <c r="BB220" t="str">
        <f ca="1">IF($BT$29&lt;&gt;"",ADDRESS($BT$30+10,$BT$29+3),"")</f>
        <v/>
      </c>
      <c r="BC220" t="str">
        <f ca="1">IF(BB220&lt;&gt;"","19•10","")</f>
        <v/>
      </c>
    </row>
    <row r="221" spans="51:55" ht="12" customHeight="1">
      <c r="AY221" s="16" t="s">
        <v>170</v>
      </c>
      <c r="AZ221" s="16">
        <v>20</v>
      </c>
      <c r="BA221" s="16" t="s">
        <v>125</v>
      </c>
      <c r="BB221" t="str">
        <f ca="1">IF($BU$11&lt;&gt;"",ADDRESS($BU$12+10,$BU$11+3),"")</f>
        <v/>
      </c>
      <c r="BC221" t="str">
        <f ca="1">IF(BB221&lt;&gt;"","20•1","")</f>
        <v/>
      </c>
    </row>
    <row r="222" spans="51:55" ht="12" customHeight="1">
      <c r="AZ222" s="16">
        <v>20</v>
      </c>
      <c r="BA222" s="16" t="s">
        <v>126</v>
      </c>
      <c r="BB222" t="str">
        <f ca="1">IF($BU$13&lt;&gt;"",ADDRESS($BU$14+10,$BU$13+3),"")</f>
        <v/>
      </c>
      <c r="BC222" t="str">
        <f ca="1">IF(BB222&lt;&gt;"","20•2","")</f>
        <v/>
      </c>
    </row>
    <row r="223" spans="51:55" ht="12" customHeight="1">
      <c r="AZ223" s="16">
        <v>20</v>
      </c>
      <c r="BA223" s="16" t="s">
        <v>127</v>
      </c>
      <c r="BB223" t="str">
        <f ca="1">IF($BU$15&lt;&gt;"",ADDRESS($BU$16+10,$BU$15+3),"")</f>
        <v/>
      </c>
      <c r="BC223" t="str">
        <f ca="1">IF(BB223&lt;&gt;"","20•3","")</f>
        <v/>
      </c>
    </row>
    <row r="224" spans="51:55" ht="12" customHeight="1">
      <c r="AZ224" s="16">
        <v>20</v>
      </c>
      <c r="BA224" s="16" t="s">
        <v>128</v>
      </c>
      <c r="BB224" t="str">
        <f ca="1">IF($BU$17&lt;&gt;"",ADDRESS($BU$18+10,$BU$17+3),"")</f>
        <v/>
      </c>
      <c r="BC224" t="str">
        <f ca="1">IF(BB224&lt;&gt;"","20•4","")</f>
        <v/>
      </c>
    </row>
    <row r="225" spans="51:55" ht="12" customHeight="1">
      <c r="AZ225" s="16">
        <v>20</v>
      </c>
      <c r="BA225" s="16" t="s">
        <v>129</v>
      </c>
      <c r="BB225" t="str">
        <f ca="1">IF($BU$19&lt;&gt;"",ADDRESS($BU$20+10,$BU$19+3),"")</f>
        <v/>
      </c>
      <c r="BC225" t="str">
        <f ca="1">IF(BB225&lt;&gt;"","20•5","")</f>
        <v/>
      </c>
    </row>
    <row r="226" spans="51:55" ht="12" customHeight="1">
      <c r="AZ226" s="16">
        <v>20</v>
      </c>
      <c r="BA226" s="16" t="s">
        <v>130</v>
      </c>
      <c r="BB226" t="str">
        <f ca="1">IF($BU$21&lt;&gt;"",ADDRESS($BU$22+10,$BU$21+3),"")</f>
        <v/>
      </c>
      <c r="BC226" t="str">
        <f ca="1">IF(BB226&lt;&gt;"","20•6","")</f>
        <v/>
      </c>
    </row>
    <row r="227" spans="51:55" ht="12" customHeight="1">
      <c r="AZ227" s="16">
        <v>20</v>
      </c>
      <c r="BA227" s="16" t="s">
        <v>131</v>
      </c>
      <c r="BB227" t="str">
        <f ca="1">IF($BU$23&lt;&gt;"",ADDRESS($BU$24+10,$BU$23+3),"")</f>
        <v/>
      </c>
      <c r="BC227" t="str">
        <f ca="1">IF(BB227&lt;&gt;"","20•7","")</f>
        <v/>
      </c>
    </row>
    <row r="228" spans="51:55" ht="12" customHeight="1">
      <c r="AZ228" s="16">
        <v>20</v>
      </c>
      <c r="BA228" s="16" t="s">
        <v>132</v>
      </c>
      <c r="BB228" t="str">
        <f ca="1">IF($BU$25&lt;&gt;"",ADDRESS($BU$26+10,$BU$25+3),"")</f>
        <v/>
      </c>
      <c r="BC228" t="str">
        <f ca="1">IF(BB228&lt;&gt;"","20•8","")</f>
        <v/>
      </c>
    </row>
    <row r="229" spans="51:55" ht="12" customHeight="1">
      <c r="AZ229" s="16">
        <v>20</v>
      </c>
      <c r="BA229" s="16" t="s">
        <v>133</v>
      </c>
      <c r="BB229" t="str">
        <f ca="1">IF($BU$27&lt;&gt;"",ADDRESS($BU$28+10,$BU$27+3),"")</f>
        <v/>
      </c>
      <c r="BC229" t="str">
        <f ca="1">IF(BB229&lt;&gt;"","20•9","")</f>
        <v/>
      </c>
    </row>
    <row r="230" spans="51:55" ht="12" customHeight="1">
      <c r="AZ230" s="16">
        <v>20</v>
      </c>
      <c r="BA230" s="16" t="s">
        <v>134</v>
      </c>
      <c r="BB230" t="str">
        <f ca="1">IF($BU$29&lt;&gt;"",ADDRESS($BU$30+10,$BU$29+3),"")</f>
        <v/>
      </c>
      <c r="BC230" t="str">
        <f ca="1">IF(BB230&lt;&gt;"","20•10","")</f>
        <v/>
      </c>
    </row>
    <row r="231" spans="51:55" ht="12" customHeight="1">
      <c r="AY231" s="16" t="s">
        <v>171</v>
      </c>
      <c r="AZ231" s="16">
        <v>21</v>
      </c>
      <c r="BA231" s="16" t="s">
        <v>125</v>
      </c>
      <c r="BB231" t="str">
        <f ca="1">IF($BV$11&lt;&gt;"",ADDRESS($BV$12+10,$BV$11+3),"")</f>
        <v/>
      </c>
      <c r="BC231" t="str">
        <f ca="1">IF(BB231&lt;&gt;"","21•1","")</f>
        <v/>
      </c>
    </row>
    <row r="232" spans="51:55" ht="12" customHeight="1">
      <c r="AZ232" s="16">
        <v>21</v>
      </c>
      <c r="BA232" s="16" t="s">
        <v>126</v>
      </c>
      <c r="BB232" t="str">
        <f ca="1">IF($BV$13&lt;&gt;"",ADDRESS($BV$14+10,$BV$13+3),"")</f>
        <v/>
      </c>
      <c r="BC232" t="str">
        <f ca="1">IF(BB232&lt;&gt;"","21•2","")</f>
        <v/>
      </c>
    </row>
    <row r="233" spans="51:55" ht="12" customHeight="1">
      <c r="AZ233" s="16">
        <v>21</v>
      </c>
      <c r="BA233" s="16" t="s">
        <v>127</v>
      </c>
      <c r="BB233" t="str">
        <f ca="1">IF($BV$15&lt;&gt;"",ADDRESS($BV$16+10,$BV$15+3),"")</f>
        <v/>
      </c>
      <c r="BC233" t="str">
        <f ca="1">IF(BB233&lt;&gt;"","21•3","")</f>
        <v/>
      </c>
    </row>
    <row r="234" spans="51:55" ht="12" customHeight="1">
      <c r="AZ234" s="16">
        <v>21</v>
      </c>
      <c r="BA234" s="16" t="s">
        <v>128</v>
      </c>
      <c r="BB234" t="str">
        <f ca="1">IF($BV$17&lt;&gt;"",ADDRESS($BV$18+10,$BV$17+3),"")</f>
        <v/>
      </c>
      <c r="BC234" t="str">
        <f ca="1">IF(BB234&lt;&gt;"","21•4","")</f>
        <v/>
      </c>
    </row>
    <row r="235" spans="51:55" ht="12" customHeight="1">
      <c r="AZ235" s="16">
        <v>21</v>
      </c>
      <c r="BA235" s="16" t="s">
        <v>129</v>
      </c>
      <c r="BB235" t="str">
        <f ca="1">IF($BV$19&lt;&gt;"",ADDRESS($BV$20+10,$BV$19+3),"")</f>
        <v/>
      </c>
      <c r="BC235" t="str">
        <f ca="1">IF(BB235&lt;&gt;"","21•5","")</f>
        <v/>
      </c>
    </row>
    <row r="236" spans="51:55" ht="12" customHeight="1">
      <c r="AZ236" s="16">
        <v>21</v>
      </c>
      <c r="BA236" s="16" t="s">
        <v>130</v>
      </c>
      <c r="BB236" t="str">
        <f ca="1">IF($BV$21&lt;&gt;"",ADDRESS($BV$22+10,$BV$21+3),"")</f>
        <v/>
      </c>
      <c r="BC236" t="str">
        <f ca="1">IF(BB236&lt;&gt;"","21•6","")</f>
        <v/>
      </c>
    </row>
    <row r="237" spans="51:55" ht="12" customHeight="1">
      <c r="AZ237" s="16">
        <v>21</v>
      </c>
      <c r="BA237" s="16" t="s">
        <v>131</v>
      </c>
      <c r="BB237" t="str">
        <f ca="1">IF($BV$23&lt;&gt;"",ADDRESS($BV$24+10,$BV$23+3),"")</f>
        <v/>
      </c>
      <c r="BC237" t="str">
        <f ca="1">IF(BB237&lt;&gt;"","21•7","")</f>
        <v/>
      </c>
    </row>
    <row r="238" spans="51:55" ht="12" customHeight="1">
      <c r="AZ238" s="16">
        <v>21</v>
      </c>
      <c r="BA238" s="16" t="s">
        <v>132</v>
      </c>
      <c r="BB238" t="str">
        <f ca="1">IF($BV$25&lt;&gt;"",ADDRESS($BV$26+10,$BV$25+3),"")</f>
        <v/>
      </c>
      <c r="BC238" t="str">
        <f ca="1">IF(BB238&lt;&gt;"","21•8","")</f>
        <v/>
      </c>
    </row>
    <row r="239" spans="51:55" ht="12" customHeight="1">
      <c r="AZ239" s="16">
        <v>21</v>
      </c>
      <c r="BA239" s="16" t="s">
        <v>133</v>
      </c>
      <c r="BB239" t="str">
        <f ca="1">IF($BV$27&lt;&gt;"",ADDRESS($BV$28+10,$BV$27+3),"")</f>
        <v/>
      </c>
      <c r="BC239" t="str">
        <f ca="1">IF(BB239&lt;&gt;"","21•9","")</f>
        <v/>
      </c>
    </row>
    <row r="240" spans="51:55" ht="12" customHeight="1">
      <c r="AZ240" s="16">
        <v>21</v>
      </c>
      <c r="BA240" s="16" t="s">
        <v>134</v>
      </c>
      <c r="BB240" t="str">
        <f ca="1">IF($BV$29&lt;&gt;"",ADDRESS($BV$30+10,$BV$29+3),"")</f>
        <v/>
      </c>
      <c r="BC240" t="str">
        <f ca="1">IF(BB240&lt;&gt;"","21•10","")</f>
        <v/>
      </c>
    </row>
    <row r="241" spans="51:55" ht="12" customHeight="1">
      <c r="AY241" s="16" t="s">
        <v>172</v>
      </c>
      <c r="AZ241" s="16">
        <v>22</v>
      </c>
      <c r="BA241" s="16" t="s">
        <v>125</v>
      </c>
      <c r="BB241" t="str">
        <f ca="1">IF($BW$11&lt;&gt;"",ADDRESS($BW$12+10,$BW$11+3),"")</f>
        <v/>
      </c>
      <c r="BC241" t="str">
        <f ca="1">IF(BB241&lt;&gt;"","22•1","")</f>
        <v/>
      </c>
    </row>
    <row r="242" spans="51:55" ht="12" customHeight="1">
      <c r="AZ242" s="16">
        <v>22</v>
      </c>
      <c r="BA242" s="16" t="s">
        <v>126</v>
      </c>
      <c r="BB242" t="str">
        <f ca="1">IF($BW$13&lt;&gt;"",ADDRESS($BW$14+10,$BW$13+3),"")</f>
        <v/>
      </c>
      <c r="BC242" t="str">
        <f ca="1">IF(BB242&lt;&gt;"","22•2","")</f>
        <v/>
      </c>
    </row>
    <row r="243" spans="51:55" ht="12" customHeight="1">
      <c r="AZ243" s="16">
        <v>22</v>
      </c>
      <c r="BA243" s="16" t="s">
        <v>127</v>
      </c>
      <c r="BB243" t="str">
        <f ca="1">IF($BW$15&lt;&gt;"",ADDRESS($BW$16+10,$BW$15+3),"")</f>
        <v/>
      </c>
      <c r="BC243" t="str">
        <f ca="1">IF(BB243&lt;&gt;"","22•3","")</f>
        <v/>
      </c>
    </row>
    <row r="244" spans="51:55" ht="12" customHeight="1">
      <c r="AZ244" s="16">
        <v>22</v>
      </c>
      <c r="BA244" s="16" t="s">
        <v>128</v>
      </c>
      <c r="BB244" t="str">
        <f ca="1">IF($BW$17&lt;&gt;"",ADDRESS($BW$18+10,$BW$17+3),"")</f>
        <v/>
      </c>
      <c r="BC244" t="str">
        <f ca="1">IF(BB244&lt;&gt;"","22•4","")</f>
        <v/>
      </c>
    </row>
    <row r="245" spans="51:55" ht="12" customHeight="1">
      <c r="AZ245" s="16">
        <v>22</v>
      </c>
      <c r="BA245" s="16" t="s">
        <v>129</v>
      </c>
      <c r="BB245" t="str">
        <f ca="1">IF($BW$19&lt;&gt;"",ADDRESS($BW$20+10,$BW$19+3),"")</f>
        <v/>
      </c>
      <c r="BC245" t="str">
        <f ca="1">IF(BB245&lt;&gt;"","22•5","")</f>
        <v/>
      </c>
    </row>
    <row r="246" spans="51:55" ht="12" customHeight="1">
      <c r="AZ246" s="16">
        <v>22</v>
      </c>
      <c r="BA246" s="16" t="s">
        <v>130</v>
      </c>
      <c r="BB246" t="str">
        <f ca="1">IF($BW$21&lt;&gt;"",ADDRESS($BW$22+10,$BW$21+3),"")</f>
        <v/>
      </c>
      <c r="BC246" t="str">
        <f ca="1">IF(BB246&lt;&gt;"","22•6","")</f>
        <v/>
      </c>
    </row>
    <row r="247" spans="51:55" ht="12" customHeight="1">
      <c r="AZ247" s="16">
        <v>22</v>
      </c>
      <c r="BA247" s="16" t="s">
        <v>131</v>
      </c>
      <c r="BB247" t="str">
        <f ca="1">IF($BW$23&lt;&gt;"",ADDRESS($BW$24+10,$BW$23+3),"")</f>
        <v/>
      </c>
      <c r="BC247" t="str">
        <f ca="1">IF(BB247&lt;&gt;"","22•7","")</f>
        <v/>
      </c>
    </row>
    <row r="248" spans="51:55" ht="12" customHeight="1">
      <c r="AZ248" s="16">
        <v>22</v>
      </c>
      <c r="BA248" s="16" t="s">
        <v>132</v>
      </c>
      <c r="BB248" t="str">
        <f ca="1">IF($BW$25&lt;&gt;"",ADDRESS($BW$26+10,$BW$25+3),"")</f>
        <v/>
      </c>
      <c r="BC248" t="str">
        <f ca="1">IF(BB248&lt;&gt;"","22•8","")</f>
        <v/>
      </c>
    </row>
    <row r="249" spans="51:55" ht="12" customHeight="1">
      <c r="AZ249" s="16">
        <v>22</v>
      </c>
      <c r="BA249" s="16" t="s">
        <v>133</v>
      </c>
      <c r="BB249" t="str">
        <f ca="1">IF($BW$27&lt;&gt;"",ADDRESS($BW$28+10,$BW$27+3),"")</f>
        <v/>
      </c>
      <c r="BC249" t="str">
        <f ca="1">IF(BB249&lt;&gt;"","22•9","")</f>
        <v/>
      </c>
    </row>
    <row r="250" spans="51:55" ht="12" customHeight="1">
      <c r="AZ250" s="16">
        <v>22</v>
      </c>
      <c r="BA250" s="16" t="s">
        <v>134</v>
      </c>
      <c r="BB250" t="str">
        <f ca="1">IF($BW$29&lt;&gt;"",ADDRESS($BW$30+10,$BW$29+3),"")</f>
        <v/>
      </c>
      <c r="BC250" t="str">
        <f ca="1">IF(BB250&lt;&gt;"","22•10","")</f>
        <v/>
      </c>
    </row>
    <row r="251" spans="51:55" ht="12" customHeight="1">
      <c r="AY251" s="16" t="s">
        <v>173</v>
      </c>
      <c r="AZ251" s="16">
        <v>23</v>
      </c>
      <c r="BA251" s="16" t="s">
        <v>125</v>
      </c>
      <c r="BB251" t="str">
        <f ca="1">IF($BX$11&lt;&gt;"",ADDRESS($BX$12+10,$BX$11+3),"")</f>
        <v/>
      </c>
      <c r="BC251" t="str">
        <f ca="1">IF(BB251&lt;&gt;"","23•1","")</f>
        <v/>
      </c>
    </row>
    <row r="252" spans="51:55" ht="12" customHeight="1">
      <c r="AZ252" s="16">
        <v>23</v>
      </c>
      <c r="BA252" s="16" t="s">
        <v>126</v>
      </c>
      <c r="BB252" t="str">
        <f ca="1">IF($BX$13&lt;&gt;"",ADDRESS($BX$14+10,$BX$13+3),"")</f>
        <v/>
      </c>
      <c r="BC252" t="str">
        <f ca="1">IF(BB252&lt;&gt;"","23•2","")</f>
        <v/>
      </c>
    </row>
    <row r="253" spans="51:55" ht="12" customHeight="1">
      <c r="AZ253" s="16">
        <v>23</v>
      </c>
      <c r="BA253" s="16" t="s">
        <v>127</v>
      </c>
      <c r="BB253" t="str">
        <f ca="1">IF($BX$15&lt;&gt;"",ADDRESS($BX$16+10,$BX$15+3),"")</f>
        <v/>
      </c>
      <c r="BC253" t="str">
        <f ca="1">IF(BB253&lt;&gt;"","23•3","")</f>
        <v/>
      </c>
    </row>
    <row r="254" spans="51:55" ht="12" customHeight="1">
      <c r="AZ254" s="16">
        <v>23</v>
      </c>
      <c r="BA254" s="16" t="s">
        <v>128</v>
      </c>
      <c r="BB254" t="str">
        <f ca="1">IF($BX$17&lt;&gt;"",ADDRESS($BX$18+10,$BX$17+3),"")</f>
        <v/>
      </c>
      <c r="BC254" t="str">
        <f ca="1">IF(BB254&lt;&gt;"","23•4","")</f>
        <v/>
      </c>
    </row>
    <row r="255" spans="51:55" ht="12" customHeight="1">
      <c r="AZ255" s="16">
        <v>23</v>
      </c>
      <c r="BA255" s="16" t="s">
        <v>129</v>
      </c>
      <c r="BB255" t="str">
        <f ca="1">IF($BX$19&lt;&gt;"",ADDRESS($BX$20+10,$BX$19+3),"")</f>
        <v/>
      </c>
      <c r="BC255" t="str">
        <f ca="1">IF(BB255&lt;&gt;"","23•5","")</f>
        <v/>
      </c>
    </row>
    <row r="256" spans="51:55" ht="12" customHeight="1">
      <c r="AZ256" s="16">
        <v>23</v>
      </c>
      <c r="BA256" s="16" t="s">
        <v>130</v>
      </c>
      <c r="BB256" t="str">
        <f ca="1">IF($BX$21&lt;&gt;"",ADDRESS($BX$22+10,$BX$21+3),"")</f>
        <v/>
      </c>
      <c r="BC256" t="str">
        <f ca="1">IF(BB256&lt;&gt;"","23•6","")</f>
        <v/>
      </c>
    </row>
    <row r="257" spans="51:55" ht="12" customHeight="1">
      <c r="AZ257" s="16">
        <v>23</v>
      </c>
      <c r="BA257" s="16" t="s">
        <v>131</v>
      </c>
      <c r="BB257" t="str">
        <f ca="1">IF($BX$23&lt;&gt;"",ADDRESS($BX$24+10,$BX$23+3),"")</f>
        <v/>
      </c>
      <c r="BC257" t="str">
        <f ca="1">IF(BB257&lt;&gt;"","23•7","")</f>
        <v/>
      </c>
    </row>
    <row r="258" spans="51:55" ht="12" customHeight="1">
      <c r="AZ258" s="16">
        <v>23</v>
      </c>
      <c r="BA258" s="16" t="s">
        <v>132</v>
      </c>
      <c r="BB258" t="str">
        <f ca="1">IF($BX$25&lt;&gt;"",ADDRESS($BX$26+10,$BX$25+3),"")</f>
        <v/>
      </c>
      <c r="BC258" t="str">
        <f ca="1">IF(BB258&lt;&gt;"","23•8","")</f>
        <v/>
      </c>
    </row>
    <row r="259" spans="51:55" ht="12" customHeight="1">
      <c r="AZ259" s="16">
        <v>23</v>
      </c>
      <c r="BA259" s="16" t="s">
        <v>133</v>
      </c>
      <c r="BB259" t="str">
        <f ca="1">IF($BX$27&lt;&gt;"",ADDRESS($BX$28+10,$BX$27+3),"")</f>
        <v/>
      </c>
      <c r="BC259" t="str">
        <f ca="1">IF(BB259&lt;&gt;"","23•9","")</f>
        <v/>
      </c>
    </row>
    <row r="260" spans="51:55" ht="12" customHeight="1">
      <c r="AZ260" s="16">
        <v>23</v>
      </c>
      <c r="BA260" s="16" t="s">
        <v>134</v>
      </c>
      <c r="BB260" t="str">
        <f ca="1">IF($BX$29&lt;&gt;"",ADDRESS($BX$30+10,$BX$29+3),"")</f>
        <v/>
      </c>
      <c r="BC260" t="str">
        <f ca="1">IF(BB260&lt;&gt;"","23•10","")</f>
        <v/>
      </c>
    </row>
    <row r="261" spans="51:55" ht="12" customHeight="1">
      <c r="AY261" s="16" t="s">
        <v>174</v>
      </c>
      <c r="AZ261" s="16">
        <v>24</v>
      </c>
      <c r="BA261" s="16" t="s">
        <v>125</v>
      </c>
      <c r="BB261" t="str">
        <f ca="1">IF($BY$11&lt;&gt;"",ADDRESS($BY$12+10,$BY$11+3),"")</f>
        <v/>
      </c>
      <c r="BC261" t="str">
        <f ca="1">IF(BB261&lt;&gt;"","24•1","")</f>
        <v/>
      </c>
    </row>
    <row r="262" spans="51:55" ht="12" customHeight="1">
      <c r="AZ262" s="16">
        <v>24</v>
      </c>
      <c r="BA262" s="16" t="s">
        <v>126</v>
      </c>
      <c r="BB262" t="str">
        <f ca="1">IF($BY$13&lt;&gt;"",ADDRESS($BY$14+10,$BY$13+3),"")</f>
        <v/>
      </c>
      <c r="BC262" t="str">
        <f ca="1">IF(BB262&lt;&gt;"","24•2","")</f>
        <v/>
      </c>
    </row>
    <row r="263" spans="51:55" ht="12" customHeight="1">
      <c r="AZ263" s="16">
        <v>24</v>
      </c>
      <c r="BA263" s="16" t="s">
        <v>127</v>
      </c>
      <c r="BB263" t="str">
        <f ca="1">IF($BY$15&lt;&gt;"",ADDRESS($BY$16+10,$BY$15+3),"")</f>
        <v/>
      </c>
      <c r="BC263" t="str">
        <f ca="1">IF(BB263&lt;&gt;"","24•3","")</f>
        <v/>
      </c>
    </row>
    <row r="264" spans="51:55" ht="12" customHeight="1">
      <c r="AZ264" s="16">
        <v>24</v>
      </c>
      <c r="BA264" s="16" t="s">
        <v>128</v>
      </c>
      <c r="BB264" t="str">
        <f ca="1">IF($BY$17&lt;&gt;"",ADDRESS($BY$18+10,$BY$17+3),"")</f>
        <v/>
      </c>
      <c r="BC264" t="str">
        <f ca="1">IF(BB264&lt;&gt;"","24•4","")</f>
        <v/>
      </c>
    </row>
    <row r="265" spans="51:55" ht="12" customHeight="1">
      <c r="AZ265" s="16">
        <v>24</v>
      </c>
      <c r="BA265" s="16" t="s">
        <v>129</v>
      </c>
      <c r="BB265" t="str">
        <f ca="1">IF($BY$19&lt;&gt;"",ADDRESS($BY$20+10,$BY$19+3),"")</f>
        <v/>
      </c>
      <c r="BC265" t="str">
        <f ca="1">IF(BB265&lt;&gt;"","24•5","")</f>
        <v/>
      </c>
    </row>
    <row r="266" spans="51:55" ht="12" customHeight="1">
      <c r="AZ266" s="16">
        <v>24</v>
      </c>
      <c r="BA266" s="16" t="s">
        <v>130</v>
      </c>
      <c r="BB266" t="str">
        <f ca="1">IF($BY$21&lt;&gt;"",ADDRESS($BY$22+10,$BY$21+3),"")</f>
        <v/>
      </c>
      <c r="BC266" t="str">
        <f ca="1">IF(BB266&lt;&gt;"","24•6","")</f>
        <v/>
      </c>
    </row>
    <row r="267" spans="51:55" ht="12" customHeight="1">
      <c r="AZ267" s="16">
        <v>24</v>
      </c>
      <c r="BA267" s="16" t="s">
        <v>131</v>
      </c>
      <c r="BB267" t="str">
        <f ca="1">IF($BY$23&lt;&gt;"",ADDRESS($BY$24+10,$BY$23+3),"")</f>
        <v/>
      </c>
      <c r="BC267" t="str">
        <f ca="1">IF(BB267&lt;&gt;"","24•7","")</f>
        <v/>
      </c>
    </row>
    <row r="268" spans="51:55" ht="12" customHeight="1">
      <c r="AZ268" s="16">
        <v>24</v>
      </c>
      <c r="BA268" s="16" t="s">
        <v>132</v>
      </c>
      <c r="BB268" t="str">
        <f ca="1">IF($BY$25&lt;&gt;"",ADDRESS($BY$26+10,$BY$25+3),"")</f>
        <v/>
      </c>
      <c r="BC268" t="str">
        <f ca="1">IF(BB268&lt;&gt;"","24•8","")</f>
        <v/>
      </c>
    </row>
    <row r="269" spans="51:55" ht="12" customHeight="1">
      <c r="AZ269" s="16">
        <v>24</v>
      </c>
      <c r="BA269" s="16" t="s">
        <v>133</v>
      </c>
      <c r="BB269" t="str">
        <f ca="1">IF($BY$27&lt;&gt;"",ADDRESS($BY$28+10,$BY$27+3),"")</f>
        <v/>
      </c>
      <c r="BC269" t="str">
        <f ca="1">IF(BB269&lt;&gt;"","24•9","")</f>
        <v/>
      </c>
    </row>
    <row r="270" spans="51:55" ht="12" customHeight="1">
      <c r="AZ270" s="16">
        <v>24</v>
      </c>
      <c r="BA270" s="16" t="s">
        <v>134</v>
      </c>
      <c r="BB270" t="str">
        <f ca="1">IF($BY$29&lt;&gt;"",ADDRESS($BY$30+10,$BY$29+3),"")</f>
        <v/>
      </c>
      <c r="BC270" t="str">
        <f ca="1">IF(BB270&lt;&gt;"","24•10","")</f>
        <v/>
      </c>
    </row>
    <row r="271" spans="51:55" ht="12" customHeight="1">
      <c r="AY271" s="16" t="s">
        <v>175</v>
      </c>
      <c r="AZ271" s="16">
        <v>25</v>
      </c>
      <c r="BA271" s="16" t="s">
        <v>125</v>
      </c>
      <c r="BB271" t="str">
        <f ca="1">IF($BZ$11&lt;&gt;"",ADDRESS($BZ$12+10,$BZ$11+3),"")</f>
        <v/>
      </c>
      <c r="BC271" t="str">
        <f ca="1">IF(BB271&lt;&gt;"","25•1","")</f>
        <v/>
      </c>
    </row>
    <row r="272" spans="51:55" ht="12" customHeight="1">
      <c r="AZ272" s="16">
        <v>25</v>
      </c>
      <c r="BA272" s="16" t="s">
        <v>126</v>
      </c>
      <c r="BB272" t="str">
        <f ca="1">IF($BZ$13&lt;&gt;"",ADDRESS($BZ$14+10,$BZ$13+3),"")</f>
        <v/>
      </c>
      <c r="BC272" t="str">
        <f ca="1">IF(BB272&lt;&gt;"","25•2","")</f>
        <v/>
      </c>
    </row>
    <row r="273" spans="51:55" ht="12" customHeight="1">
      <c r="AZ273" s="16">
        <v>25</v>
      </c>
      <c r="BA273" s="16" t="s">
        <v>127</v>
      </c>
      <c r="BB273" t="str">
        <f ca="1">IF($BZ$15&lt;&gt;"",ADDRESS($BZ$16+10,$BZ$15+3),"")</f>
        <v/>
      </c>
      <c r="BC273" t="str">
        <f ca="1">IF(BB273&lt;&gt;"","25•3","")</f>
        <v/>
      </c>
    </row>
    <row r="274" spans="51:55" ht="12" customHeight="1">
      <c r="AZ274" s="16">
        <v>25</v>
      </c>
      <c r="BA274" s="16" t="s">
        <v>128</v>
      </c>
      <c r="BB274" t="str">
        <f ca="1">IF($BZ$17&lt;&gt;"",ADDRESS($BZ$18+10,$BZ$17+3),"")</f>
        <v/>
      </c>
      <c r="BC274" t="str">
        <f ca="1">IF(BB274&lt;&gt;"","25•4","")</f>
        <v/>
      </c>
    </row>
    <row r="275" spans="51:55" ht="12" customHeight="1">
      <c r="AZ275" s="16">
        <v>25</v>
      </c>
      <c r="BA275" s="16" t="s">
        <v>129</v>
      </c>
      <c r="BB275" t="str">
        <f ca="1">IF($BZ$19&lt;&gt;"",ADDRESS($BZ$20+10,$BZ$19+3),"")</f>
        <v/>
      </c>
      <c r="BC275" t="str">
        <f ca="1">IF(BB275&lt;&gt;"","25•5","")</f>
        <v/>
      </c>
    </row>
    <row r="276" spans="51:55" ht="12" customHeight="1">
      <c r="AZ276" s="16">
        <v>25</v>
      </c>
      <c r="BA276" s="16" t="s">
        <v>130</v>
      </c>
      <c r="BB276" t="str">
        <f ca="1">IF($BZ$21&lt;&gt;"",ADDRESS($BZ$22+10,$BZ$21+3),"")</f>
        <v/>
      </c>
      <c r="BC276" t="str">
        <f ca="1">IF(BB276&lt;&gt;"","25•6","")</f>
        <v/>
      </c>
    </row>
    <row r="277" spans="51:55" ht="12" customHeight="1">
      <c r="AZ277" s="16">
        <v>25</v>
      </c>
      <c r="BA277" s="16" t="s">
        <v>131</v>
      </c>
      <c r="BB277" t="str">
        <f ca="1">IF($BZ$23&lt;&gt;"",ADDRESS($BZ$24+10,$BZ$23+3),"")</f>
        <v/>
      </c>
      <c r="BC277" t="str">
        <f ca="1">IF(BB277&lt;&gt;"","25•7","")</f>
        <v/>
      </c>
    </row>
    <row r="278" spans="51:55" ht="12" customHeight="1">
      <c r="AZ278" s="16">
        <v>25</v>
      </c>
      <c r="BA278" s="16" t="s">
        <v>132</v>
      </c>
      <c r="BB278" t="str">
        <f ca="1">IF($BZ$25&lt;&gt;"",ADDRESS($BZ$26+10,$BZ$25+3),"")</f>
        <v/>
      </c>
      <c r="BC278" t="str">
        <f ca="1">IF(BB278&lt;&gt;"","25•8","")</f>
        <v/>
      </c>
    </row>
    <row r="279" spans="51:55" ht="12" customHeight="1">
      <c r="AZ279" s="16">
        <v>25</v>
      </c>
      <c r="BA279" s="16" t="s">
        <v>133</v>
      </c>
      <c r="BB279" t="str">
        <f ca="1">IF($BZ$27&lt;&gt;"",ADDRESS($BZ$28+10,$BZ$27+3),"")</f>
        <v/>
      </c>
      <c r="BC279" t="str">
        <f ca="1">IF(BB279&lt;&gt;"","25•9","")</f>
        <v/>
      </c>
    </row>
    <row r="280" spans="51:55" ht="12" customHeight="1">
      <c r="AZ280" s="16">
        <v>25</v>
      </c>
      <c r="BA280" s="16" t="s">
        <v>134</v>
      </c>
      <c r="BB280" t="str">
        <f ca="1">IF($BZ$29&lt;&gt;"",ADDRESS($BZ$30+10,$BZ$29+3),"")</f>
        <v/>
      </c>
      <c r="BC280" t="str">
        <f ca="1">IF(BB280&lt;&gt;"","25•10","")</f>
        <v/>
      </c>
    </row>
    <row r="281" spans="51:55" ht="12" customHeight="1">
      <c r="AY281" s="16" t="s">
        <v>176</v>
      </c>
      <c r="AZ281" s="16">
        <v>26</v>
      </c>
      <c r="BA281" s="16" t="s">
        <v>125</v>
      </c>
      <c r="BB281" t="str">
        <f ca="1">IF($CA$11&lt;&gt;"",ADDRESS($CA$12+10,$CA$11+3),"")</f>
        <v/>
      </c>
      <c r="BC281" t="str">
        <f ca="1">IF(BB281&lt;&gt;"","26•1","")</f>
        <v/>
      </c>
    </row>
    <row r="282" spans="51:55" ht="12" customHeight="1">
      <c r="AZ282" s="16">
        <v>26</v>
      </c>
      <c r="BA282" s="16" t="s">
        <v>126</v>
      </c>
      <c r="BB282" t="str">
        <f ca="1">IF($CA$13&lt;&gt;"",ADDRESS($CA$14+10,$CA$13+3),"")</f>
        <v/>
      </c>
      <c r="BC282" t="str">
        <f ca="1">IF(BB282&lt;&gt;"","26•2","")</f>
        <v/>
      </c>
    </row>
    <row r="283" spans="51:55" ht="12" customHeight="1">
      <c r="AZ283" s="16">
        <v>26</v>
      </c>
      <c r="BA283" s="16" t="s">
        <v>127</v>
      </c>
      <c r="BB283" t="str">
        <f ca="1">IF($CA$15&lt;&gt;"",ADDRESS($CA$16+10,$CA$15+3),"")</f>
        <v/>
      </c>
      <c r="BC283" t="str">
        <f ca="1">IF(BB283&lt;&gt;"","26•3","")</f>
        <v/>
      </c>
    </row>
    <row r="284" spans="51:55" ht="12" customHeight="1">
      <c r="AZ284" s="16">
        <v>26</v>
      </c>
      <c r="BA284" s="16" t="s">
        <v>128</v>
      </c>
      <c r="BB284" t="str">
        <f ca="1">IF($CA$17&lt;&gt;"",ADDRESS($CA$18+10,$CA$17+3),"")</f>
        <v/>
      </c>
      <c r="BC284" t="str">
        <f ca="1">IF(BB284&lt;&gt;"","26•4","")</f>
        <v/>
      </c>
    </row>
    <row r="285" spans="51:55" ht="12" customHeight="1">
      <c r="AZ285" s="16">
        <v>26</v>
      </c>
      <c r="BA285" s="16" t="s">
        <v>129</v>
      </c>
      <c r="BB285" t="str">
        <f ca="1">IF($CA$19&lt;&gt;"",ADDRESS($CA$20+10,$CA$19+3),"")</f>
        <v/>
      </c>
      <c r="BC285" t="str">
        <f ca="1">IF(BB285&lt;&gt;"","26•5","")</f>
        <v/>
      </c>
    </row>
    <row r="286" spans="51:55" ht="12" customHeight="1">
      <c r="AZ286" s="16">
        <v>26</v>
      </c>
      <c r="BA286" s="16" t="s">
        <v>130</v>
      </c>
      <c r="BB286" t="str">
        <f ca="1">IF($CA$21&lt;&gt;"",ADDRESS($CA$22+10,$CA$21+3),"")</f>
        <v/>
      </c>
      <c r="BC286" t="str">
        <f ca="1">IF(BB286&lt;&gt;"","26•6","")</f>
        <v/>
      </c>
    </row>
    <row r="287" spans="51:55" ht="12" customHeight="1">
      <c r="AZ287" s="16">
        <v>26</v>
      </c>
      <c r="BA287" s="16" t="s">
        <v>131</v>
      </c>
      <c r="BB287" t="str">
        <f ca="1">IF($CA$23&lt;&gt;"",ADDRESS($CA$24+10,$CA$23+3),"")</f>
        <v/>
      </c>
      <c r="BC287" t="str">
        <f ca="1">IF(BB287&lt;&gt;"","26•7","")</f>
        <v/>
      </c>
    </row>
    <row r="288" spans="51:55" ht="12" customHeight="1">
      <c r="AZ288" s="16">
        <v>26</v>
      </c>
      <c r="BA288" s="16" t="s">
        <v>132</v>
      </c>
      <c r="BB288" t="str">
        <f ca="1">IF($CA$25&lt;&gt;"",ADDRESS($CA$26+10,$CA$25+3),"")</f>
        <v/>
      </c>
      <c r="BC288" t="str">
        <f ca="1">IF(BB288&lt;&gt;"","26•8","")</f>
        <v/>
      </c>
    </row>
    <row r="289" spans="51:55" ht="12" customHeight="1">
      <c r="AZ289" s="16">
        <v>26</v>
      </c>
      <c r="BA289" s="16" t="s">
        <v>133</v>
      </c>
      <c r="BB289" t="str">
        <f ca="1">IF($CA$27&lt;&gt;"",ADDRESS($CA$28+10,$CA$27+3),"")</f>
        <v/>
      </c>
      <c r="BC289" t="str">
        <f ca="1">IF(BB289&lt;&gt;"","26•9","")</f>
        <v/>
      </c>
    </row>
    <row r="290" spans="51:55" ht="12" customHeight="1">
      <c r="AZ290" s="16">
        <v>26</v>
      </c>
      <c r="BA290" s="16" t="s">
        <v>134</v>
      </c>
      <c r="BB290" t="str">
        <f ca="1">IF($CA$29&lt;&gt;"",ADDRESS($CA$30+10,$CA$29+3),"")</f>
        <v/>
      </c>
      <c r="BC290" t="str">
        <f ca="1">IF(BB290&lt;&gt;"","26•10","")</f>
        <v/>
      </c>
    </row>
    <row r="291" spans="51:55" ht="12" customHeight="1">
      <c r="AY291" s="16" t="s">
        <v>177</v>
      </c>
      <c r="AZ291" s="16">
        <v>27</v>
      </c>
      <c r="BA291" s="16" t="s">
        <v>125</v>
      </c>
      <c r="BB291" t="str">
        <f ca="1">IF($CB$11&lt;&gt;"",ADDRESS($CB$12+10,$CB$11+3),"")</f>
        <v/>
      </c>
      <c r="BC291" t="str">
        <f ca="1">IF(BB291&lt;&gt;"","27•1","")</f>
        <v/>
      </c>
    </row>
    <row r="292" spans="51:55" ht="12" customHeight="1">
      <c r="AZ292" s="16">
        <v>27</v>
      </c>
      <c r="BA292" s="16" t="s">
        <v>126</v>
      </c>
      <c r="BB292" t="str">
        <f ca="1">IF($CB$13&lt;&gt;"",ADDRESS($CB$14+10,$CB$13+3),"")</f>
        <v/>
      </c>
      <c r="BC292" t="str">
        <f ca="1">IF(BB292&lt;&gt;"","27•2","")</f>
        <v/>
      </c>
    </row>
    <row r="293" spans="51:55" ht="12" customHeight="1">
      <c r="AZ293" s="16">
        <v>27</v>
      </c>
      <c r="BA293" s="16" t="s">
        <v>127</v>
      </c>
      <c r="BB293" t="str">
        <f ca="1">IF($CB$15&lt;&gt;"",ADDRESS($CB$16+10,$CB$15+3),"")</f>
        <v/>
      </c>
      <c r="BC293" t="str">
        <f ca="1">IF(BB293&lt;&gt;"","27•3","")</f>
        <v/>
      </c>
    </row>
    <row r="294" spans="51:55" ht="12" customHeight="1">
      <c r="AZ294" s="16">
        <v>27</v>
      </c>
      <c r="BA294" s="16" t="s">
        <v>128</v>
      </c>
      <c r="BB294" t="str">
        <f ca="1">IF($CB$17&lt;&gt;"",ADDRESS($CB$18+10,$CB$17+3),"")</f>
        <v/>
      </c>
      <c r="BC294" t="str">
        <f ca="1">IF(BB294&lt;&gt;"","27•4","")</f>
        <v/>
      </c>
    </row>
    <row r="295" spans="51:55" ht="12" customHeight="1">
      <c r="AZ295" s="16">
        <v>27</v>
      </c>
      <c r="BA295" s="16" t="s">
        <v>129</v>
      </c>
      <c r="BB295" t="str">
        <f ca="1">IF($CB$19&lt;&gt;"",ADDRESS($CB$20+10,$CB$19+3),"")</f>
        <v/>
      </c>
      <c r="BC295" t="str">
        <f ca="1">IF(BB295&lt;&gt;"","27•5","")</f>
        <v/>
      </c>
    </row>
    <row r="296" spans="51:55" ht="12" customHeight="1">
      <c r="AZ296" s="16">
        <v>27</v>
      </c>
      <c r="BA296" s="16" t="s">
        <v>130</v>
      </c>
      <c r="BB296" t="str">
        <f ca="1">IF($CB$21&lt;&gt;"",ADDRESS($CB$22+10,$CB$21+3),"")</f>
        <v/>
      </c>
      <c r="BC296" t="str">
        <f ca="1">IF(BB296&lt;&gt;"","27•6","")</f>
        <v/>
      </c>
    </row>
    <row r="297" spans="51:55" ht="12" customHeight="1">
      <c r="AZ297" s="16">
        <v>27</v>
      </c>
      <c r="BA297" s="16" t="s">
        <v>131</v>
      </c>
      <c r="BB297" t="str">
        <f ca="1">IF($CB$23&lt;&gt;"",ADDRESS($CB$24+10,$CB$23+3),"")</f>
        <v/>
      </c>
      <c r="BC297" t="str">
        <f ca="1">IF(BB297&lt;&gt;"","27•7","")</f>
        <v/>
      </c>
    </row>
    <row r="298" spans="51:55" ht="12" customHeight="1">
      <c r="AZ298" s="16">
        <v>27</v>
      </c>
      <c r="BA298" s="16" t="s">
        <v>132</v>
      </c>
      <c r="BB298" t="str">
        <f ca="1">IF($CB$25&lt;&gt;"",ADDRESS($CB$26+10,$CB$25+3),"")</f>
        <v/>
      </c>
      <c r="BC298" t="str">
        <f ca="1">IF(BB298&lt;&gt;"","27•8","")</f>
        <v/>
      </c>
    </row>
    <row r="299" spans="51:55" ht="12" customHeight="1">
      <c r="AZ299" s="16">
        <v>27</v>
      </c>
      <c r="BA299" s="16" t="s">
        <v>133</v>
      </c>
      <c r="BB299" t="str">
        <f ca="1">IF($CB$27&lt;&gt;"",ADDRESS($CB$28+10,$CB$27+3),"")</f>
        <v/>
      </c>
      <c r="BC299" t="str">
        <f ca="1">IF(BB299&lt;&gt;"","27•9","")</f>
        <v/>
      </c>
    </row>
    <row r="300" spans="51:55" ht="12" customHeight="1">
      <c r="AZ300" s="16">
        <v>27</v>
      </c>
      <c r="BA300" s="16" t="s">
        <v>134</v>
      </c>
      <c r="BB300" t="str">
        <f ca="1">IF($CB$29&lt;&gt;"",ADDRESS($CB$30+10,$CB$29+3),"")</f>
        <v/>
      </c>
      <c r="BC300" t="str">
        <f ca="1">IF(BB300&lt;&gt;"","27•10","")</f>
        <v/>
      </c>
    </row>
    <row r="301" spans="51:55" ht="12" customHeight="1">
      <c r="AY301" s="16" t="s">
        <v>178</v>
      </c>
      <c r="AZ301" s="16">
        <v>28</v>
      </c>
      <c r="BA301" s="16" t="s">
        <v>125</v>
      </c>
      <c r="BB301" t="str">
        <f ca="1">IF($CC$11&lt;&gt;"",ADDRESS($CC$12+10,$CC$11+3),"")</f>
        <v/>
      </c>
      <c r="BC301" t="str">
        <f ca="1">IF(BB301&lt;&gt;"","28•1","")</f>
        <v/>
      </c>
    </row>
    <row r="302" spans="51:55" ht="12" customHeight="1">
      <c r="AZ302" s="16">
        <v>28</v>
      </c>
      <c r="BA302" s="16" t="s">
        <v>126</v>
      </c>
      <c r="BB302" t="str">
        <f ca="1">IF($CC$13&lt;&gt;"",ADDRESS($CC$14+10,$CC$13+3),"")</f>
        <v/>
      </c>
      <c r="BC302" t="str">
        <f ca="1">IF(BB302&lt;&gt;"","28•2","")</f>
        <v/>
      </c>
    </row>
    <row r="303" spans="51:55" ht="12" customHeight="1">
      <c r="AZ303" s="16">
        <v>28</v>
      </c>
      <c r="BA303" s="16" t="s">
        <v>127</v>
      </c>
      <c r="BB303" t="str">
        <f ca="1">IF($CC$15&lt;&gt;"",ADDRESS($CC$16+10,$CC$15+3),"")</f>
        <v/>
      </c>
      <c r="BC303" t="str">
        <f ca="1">IF(BB303&lt;&gt;"","28•3","")</f>
        <v/>
      </c>
    </row>
    <row r="304" spans="51:55" ht="12" customHeight="1">
      <c r="AZ304" s="16">
        <v>28</v>
      </c>
      <c r="BA304" s="16" t="s">
        <v>128</v>
      </c>
      <c r="BB304" t="str">
        <f ca="1">IF($CC$17&lt;&gt;"",ADDRESS($CC$18+10,$CC$17+3),"")</f>
        <v/>
      </c>
      <c r="BC304" t="str">
        <f ca="1">IF(BB304&lt;&gt;"","28•4","")</f>
        <v/>
      </c>
    </row>
    <row r="305" spans="51:55" ht="12" customHeight="1">
      <c r="AZ305" s="16">
        <v>28</v>
      </c>
      <c r="BA305" s="16" t="s">
        <v>129</v>
      </c>
      <c r="BB305" t="str">
        <f ca="1">IF($CC$19&lt;&gt;"",ADDRESS($CC$20+10,$CC$19+3),"")</f>
        <v/>
      </c>
      <c r="BC305" t="str">
        <f ca="1">IF(BB305&lt;&gt;"","28•5","")</f>
        <v/>
      </c>
    </row>
    <row r="306" spans="51:55" ht="12" customHeight="1">
      <c r="AZ306" s="16">
        <v>28</v>
      </c>
      <c r="BA306" s="16" t="s">
        <v>130</v>
      </c>
      <c r="BB306" t="str">
        <f ca="1">IF($CC$21&lt;&gt;"",ADDRESS($CC$22+10,$CC$21+3),"")</f>
        <v/>
      </c>
      <c r="BC306" t="str">
        <f ca="1">IF(BB306&lt;&gt;"","28•6","")</f>
        <v/>
      </c>
    </row>
    <row r="307" spans="51:55" ht="12" customHeight="1">
      <c r="AZ307" s="16">
        <v>28</v>
      </c>
      <c r="BA307" s="16" t="s">
        <v>131</v>
      </c>
      <c r="BB307" t="str">
        <f ca="1">IF($CC$23&lt;&gt;"",ADDRESS($CC$24+10,$CC$23+3),"")</f>
        <v/>
      </c>
      <c r="BC307" t="str">
        <f ca="1">IF(BB307&lt;&gt;"","28•7","")</f>
        <v/>
      </c>
    </row>
    <row r="308" spans="51:55" ht="12" customHeight="1">
      <c r="AZ308" s="16">
        <v>28</v>
      </c>
      <c r="BA308" s="16" t="s">
        <v>132</v>
      </c>
      <c r="BB308" t="str">
        <f ca="1">IF($CC$25&lt;&gt;"",ADDRESS($CC$26+10,$CC$25+3),"")</f>
        <v/>
      </c>
      <c r="BC308" t="str">
        <f ca="1">IF(BB308&lt;&gt;"","28•8","")</f>
        <v/>
      </c>
    </row>
    <row r="309" spans="51:55" ht="12" customHeight="1">
      <c r="AZ309" s="16">
        <v>28</v>
      </c>
      <c r="BA309" s="16" t="s">
        <v>133</v>
      </c>
      <c r="BB309" t="str">
        <f ca="1">IF($CC$27&lt;&gt;"",ADDRESS($CC$28+10,$CC$27+3),"")</f>
        <v/>
      </c>
      <c r="BC309" t="str">
        <f ca="1">IF(BB309&lt;&gt;"","28•9","")</f>
        <v/>
      </c>
    </row>
    <row r="310" spans="51:55" ht="12" customHeight="1">
      <c r="AZ310" s="16">
        <v>28</v>
      </c>
      <c r="BA310" s="16" t="s">
        <v>134</v>
      </c>
      <c r="BB310" t="str">
        <f ca="1">IF($CC$29&lt;&gt;"",ADDRESS($CC$30+10,$CC$29+3),"")</f>
        <v/>
      </c>
      <c r="BC310" t="str">
        <f ca="1">IF(BB310&lt;&gt;"","28•10","")</f>
        <v/>
      </c>
    </row>
    <row r="311" spans="51:55" ht="12" customHeight="1">
      <c r="AY311" s="16" t="s">
        <v>179</v>
      </c>
      <c r="AZ311" s="16">
        <v>29</v>
      </c>
      <c r="BA311" s="16" t="s">
        <v>125</v>
      </c>
      <c r="BB311" t="str">
        <f ca="1">IF($CD$11&lt;&gt;"",ADDRESS($CD$12+10,$CD$11+3),"")</f>
        <v/>
      </c>
      <c r="BC311" t="str">
        <f ca="1">IF(BB311&lt;&gt;"","29•1","")</f>
        <v/>
      </c>
    </row>
    <row r="312" spans="51:55" ht="12" customHeight="1">
      <c r="AZ312" s="16">
        <v>29</v>
      </c>
      <c r="BA312" s="16" t="s">
        <v>126</v>
      </c>
      <c r="BB312" t="str">
        <f ca="1">IF($CD$13&lt;&gt;"",ADDRESS($CD$14+10,$CD$13+3),"")</f>
        <v/>
      </c>
      <c r="BC312" t="str">
        <f ca="1">IF(BB312&lt;&gt;"","29•2","")</f>
        <v/>
      </c>
    </row>
    <row r="313" spans="51:55" ht="12" customHeight="1">
      <c r="AZ313" s="16">
        <v>29</v>
      </c>
      <c r="BA313" s="16" t="s">
        <v>127</v>
      </c>
      <c r="BB313" t="str">
        <f ca="1">IF($CD$15&lt;&gt;"",ADDRESS($CD$16+10,$CD$15+3),"")</f>
        <v/>
      </c>
      <c r="BC313" t="str">
        <f ca="1">IF(BB313&lt;&gt;"","29•3","")</f>
        <v/>
      </c>
    </row>
    <row r="314" spans="51:55" ht="12" customHeight="1">
      <c r="AZ314" s="16">
        <v>29</v>
      </c>
      <c r="BA314" s="16" t="s">
        <v>128</v>
      </c>
      <c r="BB314" t="str">
        <f ca="1">IF($CD$17&lt;&gt;"",ADDRESS($CD$18+10,$CD$17+3),"")</f>
        <v/>
      </c>
      <c r="BC314" t="str">
        <f ca="1">IF(BB314&lt;&gt;"","29•4","")</f>
        <v/>
      </c>
    </row>
    <row r="315" spans="51:55" ht="12" customHeight="1">
      <c r="AZ315" s="16">
        <v>29</v>
      </c>
      <c r="BA315" s="16" t="s">
        <v>129</v>
      </c>
      <c r="BB315" t="str">
        <f ca="1">IF($CD$19&lt;&gt;"",ADDRESS($CD$20+10,$CD$19+3),"")</f>
        <v/>
      </c>
      <c r="BC315" t="str">
        <f ca="1">IF(BB315&lt;&gt;"","29•5","")</f>
        <v/>
      </c>
    </row>
    <row r="316" spans="51:55" ht="12" customHeight="1">
      <c r="AZ316" s="16">
        <v>29</v>
      </c>
      <c r="BA316" s="16" t="s">
        <v>130</v>
      </c>
      <c r="BB316" t="str">
        <f ca="1">IF($CD$21&lt;&gt;"",ADDRESS($CD$22+10,$CD$21+3),"")</f>
        <v/>
      </c>
      <c r="BC316" t="str">
        <f ca="1">IF(BB316&lt;&gt;"","29•6","")</f>
        <v/>
      </c>
    </row>
    <row r="317" spans="51:55" ht="12" customHeight="1">
      <c r="AZ317" s="16">
        <v>29</v>
      </c>
      <c r="BA317" s="16" t="s">
        <v>131</v>
      </c>
      <c r="BB317" t="str">
        <f ca="1">IF($CD$23&lt;&gt;"",ADDRESS($CD$24+10,$CD$23+3),"")</f>
        <v/>
      </c>
      <c r="BC317" t="str">
        <f ca="1">IF(BB317&lt;&gt;"","29•7","")</f>
        <v/>
      </c>
    </row>
    <row r="318" spans="51:55" ht="12" customHeight="1">
      <c r="AZ318" s="16">
        <v>29</v>
      </c>
      <c r="BA318" s="16" t="s">
        <v>132</v>
      </c>
      <c r="BB318" t="str">
        <f ca="1">IF($CD$25&lt;&gt;"",ADDRESS($CD$26+10,$CD$25+3),"")</f>
        <v/>
      </c>
      <c r="BC318" t="str">
        <f ca="1">IF(BB318&lt;&gt;"","29•8","")</f>
        <v/>
      </c>
    </row>
    <row r="319" spans="51:55" ht="12" customHeight="1">
      <c r="AZ319" s="16">
        <v>29</v>
      </c>
      <c r="BA319" s="16" t="s">
        <v>133</v>
      </c>
      <c r="BB319" t="str">
        <f ca="1">IF($CD$27&lt;&gt;"",ADDRESS($CD$28+10,$CD$27+3),"")</f>
        <v/>
      </c>
      <c r="BC319" t="str">
        <f ca="1">IF(BB319&lt;&gt;"","29•9","")</f>
        <v/>
      </c>
    </row>
    <row r="320" spans="51:55" ht="12" customHeight="1">
      <c r="AZ320" s="16">
        <v>29</v>
      </c>
      <c r="BA320" s="16" t="s">
        <v>134</v>
      </c>
      <c r="BB320" t="str">
        <f ca="1">IF($CD$29&lt;&gt;"",ADDRESS($CD$30+10,$CD$29+3),"")</f>
        <v/>
      </c>
      <c r="BC320" t="str">
        <f ca="1">IF(BB320&lt;&gt;"","29•10","")</f>
        <v/>
      </c>
    </row>
    <row r="321" spans="51:55" ht="12" customHeight="1">
      <c r="AY321" s="16" t="s">
        <v>180</v>
      </c>
      <c r="AZ321" s="16">
        <v>30</v>
      </c>
      <c r="BA321" s="16" t="s">
        <v>125</v>
      </c>
      <c r="BB321" t="str">
        <f ca="1">IF($CE$11&lt;&gt;"",ADDRESS($CE$12+10,$CE$11+3),"")</f>
        <v/>
      </c>
      <c r="BC321" t="str">
        <f ca="1">IF(BB321&lt;&gt;"","30•1","")</f>
        <v/>
      </c>
    </row>
    <row r="322" spans="51:55" ht="12" customHeight="1">
      <c r="AZ322" s="16">
        <v>30</v>
      </c>
      <c r="BA322" s="16" t="s">
        <v>126</v>
      </c>
      <c r="BB322" t="str">
        <f ca="1">IF($CE$13&lt;&gt;"",ADDRESS($CE$14+10,$CE$13+3),"")</f>
        <v/>
      </c>
      <c r="BC322" t="str">
        <f ca="1">IF(BB322&lt;&gt;"","30•2","")</f>
        <v/>
      </c>
    </row>
    <row r="323" spans="51:55" ht="12" customHeight="1">
      <c r="AZ323" s="16">
        <v>30</v>
      </c>
      <c r="BA323" s="16" t="s">
        <v>127</v>
      </c>
      <c r="BB323" t="str">
        <f ca="1">IF($CE$15&lt;&gt;"",ADDRESS($CE$16+10,$CE$15+3),"")</f>
        <v/>
      </c>
      <c r="BC323" t="str">
        <f ca="1">IF(BB323&lt;&gt;"","30•3","")</f>
        <v/>
      </c>
    </row>
    <row r="324" spans="51:55" ht="12" customHeight="1">
      <c r="AZ324" s="16">
        <v>30</v>
      </c>
      <c r="BA324" s="16" t="s">
        <v>128</v>
      </c>
      <c r="BB324" t="str">
        <f ca="1">IF($CE$17&lt;&gt;"",ADDRESS($CE$18+10,$CE$17+3),"")</f>
        <v/>
      </c>
      <c r="BC324" t="str">
        <f ca="1">IF(BB324&lt;&gt;"","30•4","")</f>
        <v/>
      </c>
    </row>
    <row r="325" spans="51:55" ht="12" customHeight="1">
      <c r="AZ325" s="16">
        <v>30</v>
      </c>
      <c r="BA325" s="16" t="s">
        <v>129</v>
      </c>
      <c r="BB325" t="str">
        <f ca="1">IF($CE$19&lt;&gt;"",ADDRESS($CE$20+10,$CE$19+3),"")</f>
        <v/>
      </c>
      <c r="BC325" t="str">
        <f ca="1">IF(BB325&lt;&gt;"","30•5","")</f>
        <v/>
      </c>
    </row>
    <row r="326" spans="51:55" ht="12" customHeight="1">
      <c r="AZ326" s="16">
        <v>30</v>
      </c>
      <c r="BA326" s="16" t="s">
        <v>130</v>
      </c>
      <c r="BB326" t="str">
        <f ca="1">IF($CE$21&lt;&gt;"",ADDRESS($CE$22+10,$CE$21+3),"")</f>
        <v/>
      </c>
      <c r="BC326" t="str">
        <f ca="1">IF(BB326&lt;&gt;"","30•6","")</f>
        <v/>
      </c>
    </row>
    <row r="327" spans="51:55" ht="12" customHeight="1">
      <c r="AZ327" s="16">
        <v>30</v>
      </c>
      <c r="BA327" s="16" t="s">
        <v>131</v>
      </c>
      <c r="BB327" t="str">
        <f ca="1">IF($CE$23&lt;&gt;"",ADDRESS($CE$24+10,$CE$23+3),"")</f>
        <v/>
      </c>
      <c r="BC327" t="str">
        <f ca="1">IF(BB327&lt;&gt;"","30•7","")</f>
        <v/>
      </c>
    </row>
    <row r="328" spans="51:55" ht="12" customHeight="1">
      <c r="AZ328" s="16">
        <v>30</v>
      </c>
      <c r="BA328" s="16" t="s">
        <v>132</v>
      </c>
      <c r="BB328" t="str">
        <f ca="1">IF($CE$25&lt;&gt;"",ADDRESS($CE$26+10,$CE$25+3),"")</f>
        <v/>
      </c>
      <c r="BC328" t="str">
        <f ca="1">IF(BB328&lt;&gt;"","30•8","")</f>
        <v/>
      </c>
    </row>
    <row r="329" spans="51:55" ht="12" customHeight="1">
      <c r="AZ329" s="16">
        <v>30</v>
      </c>
      <c r="BA329" s="16" t="s">
        <v>133</v>
      </c>
      <c r="BB329" t="str">
        <f ca="1">IF($CE$27&lt;&gt;"",ADDRESS($CE$28+10,$CE$27+3),"")</f>
        <v/>
      </c>
      <c r="BC329" t="str">
        <f ca="1">IF(BB329&lt;&gt;"","30•9","")</f>
        <v/>
      </c>
    </row>
    <row r="330" spans="51:55" ht="12" customHeight="1">
      <c r="AZ330" s="16">
        <v>30</v>
      </c>
      <c r="BA330" s="16" t="s">
        <v>134</v>
      </c>
      <c r="BB330" t="str">
        <f ca="1">IF($CE$29&lt;&gt;"",ADDRESS($CE$30+10,$CE$29+3),"")</f>
        <v/>
      </c>
      <c r="BC330" t="str">
        <f ca="1">IF(BB330&lt;&gt;"","30•10","")</f>
        <v/>
      </c>
    </row>
    <row r="331" spans="51:55" ht="12" customHeight="1">
      <c r="AY331" s="16" t="s">
        <v>181</v>
      </c>
      <c r="AZ331" s="16">
        <v>31</v>
      </c>
      <c r="BA331" s="16" t="s">
        <v>125</v>
      </c>
      <c r="BB331" t="str">
        <f ca="1">IF($CF$11&lt;&gt;"",ADDRESS($CF$12+10,$CF$11+3),"")</f>
        <v/>
      </c>
      <c r="BC331" t="str">
        <f ca="1">IF(BB331&lt;&gt;"","31•1","")</f>
        <v/>
      </c>
    </row>
    <row r="332" spans="51:55" ht="12" customHeight="1">
      <c r="AZ332" s="16">
        <v>31</v>
      </c>
      <c r="BA332" s="16" t="s">
        <v>126</v>
      </c>
      <c r="BB332" t="str">
        <f ca="1">IF($CF$13&lt;&gt;"",ADDRESS($CF$14+10,$CF$13+3),"")</f>
        <v/>
      </c>
      <c r="BC332" t="str">
        <f ca="1">IF(BB332&lt;&gt;"","31•2","")</f>
        <v/>
      </c>
    </row>
    <row r="333" spans="51:55" ht="12" customHeight="1">
      <c r="AZ333" s="16">
        <v>31</v>
      </c>
      <c r="BA333" s="16" t="s">
        <v>127</v>
      </c>
      <c r="BB333" t="str">
        <f ca="1">IF($CF$15&lt;&gt;"",ADDRESS($CF$16+10,$CF$15+3),"")</f>
        <v/>
      </c>
      <c r="BC333" t="str">
        <f ca="1">IF(BB333&lt;&gt;"","31•3","")</f>
        <v/>
      </c>
    </row>
    <row r="334" spans="51:55" ht="12" customHeight="1">
      <c r="AZ334" s="16">
        <v>31</v>
      </c>
      <c r="BA334" s="16" t="s">
        <v>128</v>
      </c>
      <c r="BB334" t="str">
        <f ca="1">IF($CF$17&lt;&gt;"",ADDRESS($CF$18+10,$CF$17+3),"")</f>
        <v/>
      </c>
      <c r="BC334" t="str">
        <f ca="1">IF(BB334&lt;&gt;"","31•4","")</f>
        <v/>
      </c>
    </row>
    <row r="335" spans="51:55" ht="12" customHeight="1">
      <c r="AZ335" s="16">
        <v>31</v>
      </c>
      <c r="BA335" s="16" t="s">
        <v>129</v>
      </c>
      <c r="BB335" t="str">
        <f ca="1">IF($CF$19&lt;&gt;"",ADDRESS($CF$20+10,$CF$19+3),"")</f>
        <v/>
      </c>
      <c r="BC335" t="str">
        <f ca="1">IF(BB335&lt;&gt;"","31•5","")</f>
        <v/>
      </c>
    </row>
    <row r="336" spans="51:55" ht="12" customHeight="1">
      <c r="AZ336" s="16">
        <v>31</v>
      </c>
      <c r="BA336" s="16" t="s">
        <v>130</v>
      </c>
      <c r="BB336" t="str">
        <f ca="1">IF($CF$21&lt;&gt;"",ADDRESS($CF$22+10,$CF$21+3),"")</f>
        <v/>
      </c>
      <c r="BC336" t="str">
        <f ca="1">IF(BB336&lt;&gt;"","31•6","")</f>
        <v/>
      </c>
    </row>
    <row r="337" spans="51:55" ht="12" customHeight="1">
      <c r="AZ337" s="16">
        <v>31</v>
      </c>
      <c r="BA337" s="16" t="s">
        <v>131</v>
      </c>
      <c r="BB337" t="str">
        <f ca="1">IF($CF$23&lt;&gt;"",ADDRESS($CF$24+10,$CF$23+3),"")</f>
        <v/>
      </c>
      <c r="BC337" t="str">
        <f ca="1">IF(BB337&lt;&gt;"","31•7","")</f>
        <v/>
      </c>
    </row>
    <row r="338" spans="51:55" ht="12" customHeight="1">
      <c r="AZ338" s="16">
        <v>31</v>
      </c>
      <c r="BA338" s="16" t="s">
        <v>132</v>
      </c>
      <c r="BB338" t="str">
        <f ca="1">IF($CF$25&lt;&gt;"",ADDRESS($CF$26+10,$CF$25+3),"")</f>
        <v/>
      </c>
      <c r="BC338" t="str">
        <f ca="1">IF(BB338&lt;&gt;"","31•8","")</f>
        <v/>
      </c>
    </row>
    <row r="339" spans="51:55" ht="12" customHeight="1">
      <c r="AZ339" s="16">
        <v>31</v>
      </c>
      <c r="BA339" s="16" t="s">
        <v>133</v>
      </c>
      <c r="BB339" t="str">
        <f ca="1">IF($CF$27&lt;&gt;"",ADDRESS($CF$28+10,$CF$27+3),"")</f>
        <v/>
      </c>
      <c r="BC339" t="str">
        <f ca="1">IF(BB339&lt;&gt;"","31•9","")</f>
        <v/>
      </c>
    </row>
    <row r="340" spans="51:55" ht="12" customHeight="1">
      <c r="AZ340" s="16">
        <v>31</v>
      </c>
      <c r="BA340" s="16" t="s">
        <v>134</v>
      </c>
      <c r="BB340" t="str">
        <f ca="1">IF($CF$29&lt;&gt;"",ADDRESS($CF$30+10,$CF$29+3),"")</f>
        <v/>
      </c>
      <c r="BC340" t="str">
        <f ca="1">IF(BB340&lt;&gt;"","31•10","")</f>
        <v/>
      </c>
    </row>
    <row r="341" spans="51:55" ht="12" customHeight="1">
      <c r="AY341" s="16" t="s">
        <v>182</v>
      </c>
      <c r="AZ341" s="16">
        <v>32</v>
      </c>
      <c r="BA341" s="16" t="s">
        <v>125</v>
      </c>
      <c r="BB341" t="str">
        <f ca="1">IF($CG$11&lt;&gt;"",ADDRESS($CG$12+10,$CG$11+3),"")</f>
        <v/>
      </c>
      <c r="BC341" t="str">
        <f ca="1">IF(BB341&lt;&gt;"","32•1","")</f>
        <v/>
      </c>
    </row>
    <row r="342" spans="51:55" ht="12" customHeight="1">
      <c r="AZ342" s="16">
        <v>32</v>
      </c>
      <c r="BA342" s="16" t="s">
        <v>126</v>
      </c>
      <c r="BB342" t="str">
        <f ca="1">IF($CG$13&lt;&gt;"",ADDRESS($CG$14+10,$CG$13+3),"")</f>
        <v/>
      </c>
      <c r="BC342" t="str">
        <f ca="1">IF(BB342&lt;&gt;"","32•2","")</f>
        <v/>
      </c>
    </row>
    <row r="343" spans="51:55" ht="12" customHeight="1">
      <c r="AZ343" s="16">
        <v>32</v>
      </c>
      <c r="BA343" s="16" t="s">
        <v>127</v>
      </c>
      <c r="BB343" t="str">
        <f ca="1">IF($CG$15&lt;&gt;"",ADDRESS($CG$16+10,$CG$15+3),"")</f>
        <v/>
      </c>
      <c r="BC343" t="str">
        <f ca="1">IF(BB343&lt;&gt;"","32•3","")</f>
        <v/>
      </c>
    </row>
    <row r="344" spans="51:55" ht="12" customHeight="1">
      <c r="AZ344" s="16">
        <v>32</v>
      </c>
      <c r="BA344" s="16" t="s">
        <v>128</v>
      </c>
      <c r="BB344" t="str">
        <f ca="1">IF($CG$17&lt;&gt;"",ADDRESS($CG$18+10,$CG$17+3),"")</f>
        <v/>
      </c>
      <c r="BC344" t="str">
        <f ca="1">IF(BB344&lt;&gt;"","32•4","")</f>
        <v/>
      </c>
    </row>
    <row r="345" spans="51:55" ht="12" customHeight="1">
      <c r="AZ345" s="16">
        <v>32</v>
      </c>
      <c r="BA345" s="16" t="s">
        <v>129</v>
      </c>
      <c r="BB345" t="str">
        <f ca="1">IF($CG$19&lt;&gt;"",ADDRESS($CG$20+10,$CG$19+3),"")</f>
        <v/>
      </c>
      <c r="BC345" t="str">
        <f ca="1">IF(BB345&lt;&gt;"","32•5","")</f>
        <v/>
      </c>
    </row>
    <row r="346" spans="51:55" ht="12" customHeight="1">
      <c r="AZ346" s="16">
        <v>32</v>
      </c>
      <c r="BA346" s="16" t="s">
        <v>130</v>
      </c>
      <c r="BB346" t="str">
        <f ca="1">IF($CG$21&lt;&gt;"",ADDRESS($CG$22+10,$CG$21+3),"")</f>
        <v/>
      </c>
      <c r="BC346" t="str">
        <f ca="1">IF(BB346&lt;&gt;"","32•6","")</f>
        <v/>
      </c>
    </row>
    <row r="347" spans="51:55" ht="12" customHeight="1">
      <c r="AZ347" s="16">
        <v>32</v>
      </c>
      <c r="BA347" s="16" t="s">
        <v>131</v>
      </c>
      <c r="BB347" t="str">
        <f ca="1">IF($CG$23&lt;&gt;"",ADDRESS($CG$24+10,$CG$23+3),"")</f>
        <v/>
      </c>
      <c r="BC347" t="str">
        <f ca="1">IF(BB347&lt;&gt;"","32•7","")</f>
        <v/>
      </c>
    </row>
    <row r="348" spans="51:55" ht="12" customHeight="1">
      <c r="AZ348" s="16">
        <v>32</v>
      </c>
      <c r="BA348" s="16" t="s">
        <v>132</v>
      </c>
      <c r="BB348" t="str">
        <f ca="1">IF($CG$25&lt;&gt;"",ADDRESS($CG$26+10,$CG$25+3),"")</f>
        <v/>
      </c>
      <c r="BC348" t="str">
        <f ca="1">IF(BB348&lt;&gt;"","32•8","")</f>
        <v/>
      </c>
    </row>
    <row r="349" spans="51:55" ht="12" customHeight="1">
      <c r="AZ349" s="16">
        <v>32</v>
      </c>
      <c r="BA349" s="16" t="s">
        <v>133</v>
      </c>
      <c r="BB349" t="str">
        <f ca="1">IF($CG$27&lt;&gt;"",ADDRESS($CG$28+10,$CG$27+3),"")</f>
        <v/>
      </c>
      <c r="BC349" t="str">
        <f ca="1">IF(BB349&lt;&gt;"","32•9","")</f>
        <v/>
      </c>
    </row>
    <row r="350" spans="51:55" ht="12" customHeight="1">
      <c r="AZ350" s="16">
        <v>32</v>
      </c>
      <c r="BA350" s="16" t="s">
        <v>134</v>
      </c>
      <c r="BB350" t="str">
        <f ca="1">IF($CG$29&lt;&gt;"",ADDRESS($CG$30+10,$CG$29+3),"")</f>
        <v/>
      </c>
      <c r="BC350" t="str">
        <f ca="1">IF(BB350&lt;&gt;"","32•10","")</f>
        <v/>
      </c>
    </row>
    <row r="351" spans="51:55" ht="12" customHeight="1">
      <c r="AY351" s="16" t="s">
        <v>183</v>
      </c>
      <c r="AZ351" s="16">
        <v>33</v>
      </c>
      <c r="BA351" s="16" t="s">
        <v>125</v>
      </c>
      <c r="BB351" t="str">
        <f ca="1">IF($CH$11&lt;&gt;"",ADDRESS($CH$12+10,$CH$11+3),"")</f>
        <v/>
      </c>
      <c r="BC351" t="str">
        <f ca="1">IF(BB351&lt;&gt;"","33•1","")</f>
        <v/>
      </c>
    </row>
    <row r="352" spans="51:55" ht="12" customHeight="1">
      <c r="AZ352" s="16">
        <v>33</v>
      </c>
      <c r="BA352" s="16" t="s">
        <v>126</v>
      </c>
      <c r="BB352" t="str">
        <f ca="1">IF($CH$13&lt;&gt;"",ADDRESS($CH$14+10,$CH$13+3),"")</f>
        <v/>
      </c>
      <c r="BC352" t="str">
        <f ca="1">IF(BB352&lt;&gt;"","33•2","")</f>
        <v/>
      </c>
    </row>
    <row r="353" spans="51:55" ht="12" customHeight="1">
      <c r="AZ353" s="16">
        <v>33</v>
      </c>
      <c r="BA353" s="16" t="s">
        <v>127</v>
      </c>
      <c r="BB353" t="str">
        <f ca="1">IF($CH$15&lt;&gt;"",ADDRESS($CH$16+10,$CH$15+3),"")</f>
        <v/>
      </c>
      <c r="BC353" t="str">
        <f ca="1">IF(BB353&lt;&gt;"","33•3","")</f>
        <v/>
      </c>
    </row>
    <row r="354" spans="51:55" ht="12" customHeight="1">
      <c r="AZ354" s="16">
        <v>33</v>
      </c>
      <c r="BA354" s="16" t="s">
        <v>128</v>
      </c>
      <c r="BB354" t="str">
        <f ca="1">IF($CH$17&lt;&gt;"",ADDRESS($CH$18+10,$CH$17+3),"")</f>
        <v/>
      </c>
      <c r="BC354" t="str">
        <f ca="1">IF(BB354&lt;&gt;"","33•4","")</f>
        <v/>
      </c>
    </row>
    <row r="355" spans="51:55" ht="12" customHeight="1">
      <c r="AZ355" s="16">
        <v>33</v>
      </c>
      <c r="BA355" s="16" t="s">
        <v>129</v>
      </c>
      <c r="BB355" t="str">
        <f ca="1">IF($CH$19&lt;&gt;"",ADDRESS($CH$20+10,$CH$19+3),"")</f>
        <v/>
      </c>
      <c r="BC355" t="str">
        <f ca="1">IF(BB355&lt;&gt;"","33•5","")</f>
        <v/>
      </c>
    </row>
    <row r="356" spans="51:55" ht="12" customHeight="1">
      <c r="AZ356" s="16">
        <v>33</v>
      </c>
      <c r="BA356" s="16" t="s">
        <v>130</v>
      </c>
      <c r="BB356" t="str">
        <f ca="1">IF($CH$21&lt;&gt;"",ADDRESS($CH$22+10,$CH$21+3),"")</f>
        <v/>
      </c>
      <c r="BC356" t="str">
        <f ca="1">IF(BB356&lt;&gt;"","33•6","")</f>
        <v/>
      </c>
    </row>
    <row r="357" spans="51:55" ht="12" customHeight="1">
      <c r="AZ357" s="16">
        <v>33</v>
      </c>
      <c r="BA357" s="16" t="s">
        <v>131</v>
      </c>
      <c r="BB357" t="str">
        <f ca="1">IF($CH$23&lt;&gt;"",ADDRESS($CH$24+10,$CH$23+3),"")</f>
        <v/>
      </c>
      <c r="BC357" t="str">
        <f ca="1">IF(BB357&lt;&gt;"","33•7","")</f>
        <v/>
      </c>
    </row>
    <row r="358" spans="51:55" ht="12" customHeight="1">
      <c r="AZ358" s="16">
        <v>33</v>
      </c>
      <c r="BA358" s="16" t="s">
        <v>132</v>
      </c>
      <c r="BB358" t="str">
        <f ca="1">IF($CH$25&lt;&gt;"",ADDRESS($CH$26+10,$CH$25+3),"")</f>
        <v/>
      </c>
      <c r="BC358" t="str">
        <f ca="1">IF(BB358&lt;&gt;"","33•8","")</f>
        <v/>
      </c>
    </row>
    <row r="359" spans="51:55" ht="12" customHeight="1">
      <c r="AZ359" s="16">
        <v>33</v>
      </c>
      <c r="BA359" s="16" t="s">
        <v>133</v>
      </c>
      <c r="BB359" t="str">
        <f ca="1">IF($CH$27&lt;&gt;"",ADDRESS($CH$28+10,$CH$27+3),"")</f>
        <v/>
      </c>
      <c r="BC359" t="str">
        <f ca="1">IF(BB359&lt;&gt;"","33•9","")</f>
        <v/>
      </c>
    </row>
    <row r="360" spans="51:55" ht="12" customHeight="1">
      <c r="AZ360" s="16">
        <v>33</v>
      </c>
      <c r="BA360" s="16" t="s">
        <v>134</v>
      </c>
      <c r="BB360" t="str">
        <f ca="1">IF($CH$29&lt;&gt;"",ADDRESS($CH$30+10,$CH$29+3),"")</f>
        <v/>
      </c>
      <c r="BC360" t="str">
        <f ca="1">IF(BB360&lt;&gt;"","33•10","")</f>
        <v/>
      </c>
    </row>
    <row r="361" spans="51:55" ht="12" customHeight="1">
      <c r="AY361" s="16" t="s">
        <v>184</v>
      </c>
      <c r="AZ361" s="16">
        <v>34</v>
      </c>
      <c r="BA361" s="16" t="s">
        <v>125</v>
      </c>
      <c r="BB361" t="str">
        <f ca="1">IF($CI$11&lt;&gt;"",ADDRESS($CI$12+10,$CI$11+3),"")</f>
        <v/>
      </c>
      <c r="BC361" t="str">
        <f ca="1">IF(BB361&lt;&gt;"","34•1","")</f>
        <v/>
      </c>
    </row>
    <row r="362" spans="51:55" ht="12" customHeight="1">
      <c r="AZ362" s="16">
        <v>34</v>
      </c>
      <c r="BA362" s="16" t="s">
        <v>126</v>
      </c>
      <c r="BB362" t="str">
        <f ca="1">IF($CI$13&lt;&gt;"",ADDRESS($CI$14+10,$CI$13+3),"")</f>
        <v/>
      </c>
      <c r="BC362" t="str">
        <f ca="1">IF(BB362&lt;&gt;"","34•2","")</f>
        <v/>
      </c>
    </row>
    <row r="363" spans="51:55" ht="12" customHeight="1">
      <c r="AZ363" s="16">
        <v>34</v>
      </c>
      <c r="BA363" s="16" t="s">
        <v>127</v>
      </c>
      <c r="BB363" t="str">
        <f ca="1">IF($CI$15&lt;&gt;"",ADDRESS($CI$16+10,$CI$15+3),"")</f>
        <v/>
      </c>
      <c r="BC363" t="str">
        <f ca="1">IF(BB363&lt;&gt;"","34•3","")</f>
        <v/>
      </c>
    </row>
    <row r="364" spans="51:55" ht="12" customHeight="1">
      <c r="AZ364" s="16">
        <v>34</v>
      </c>
      <c r="BA364" s="16" t="s">
        <v>128</v>
      </c>
      <c r="BB364" t="str">
        <f ca="1">IF($CI$17&lt;&gt;"",ADDRESS($CI$18+10,$CI$17+3),"")</f>
        <v/>
      </c>
      <c r="BC364" t="str">
        <f ca="1">IF(BB364&lt;&gt;"","34•4","")</f>
        <v/>
      </c>
    </row>
    <row r="365" spans="51:55" ht="12" customHeight="1">
      <c r="AZ365" s="16">
        <v>34</v>
      </c>
      <c r="BA365" s="16" t="s">
        <v>129</v>
      </c>
      <c r="BB365" t="str">
        <f ca="1">IF($CI$19&lt;&gt;"",ADDRESS($CI$20+10,$CI$19+3),"")</f>
        <v/>
      </c>
      <c r="BC365" t="str">
        <f ca="1">IF(BB365&lt;&gt;"","34•5","")</f>
        <v/>
      </c>
    </row>
    <row r="366" spans="51:55" ht="12" customHeight="1">
      <c r="AZ366" s="16">
        <v>34</v>
      </c>
      <c r="BA366" s="16" t="s">
        <v>130</v>
      </c>
      <c r="BB366" t="str">
        <f ca="1">IF($CI$21&lt;&gt;"",ADDRESS($CI$22+10,$CI$21+3),"")</f>
        <v/>
      </c>
      <c r="BC366" t="str">
        <f ca="1">IF(BB366&lt;&gt;"","34•6","")</f>
        <v/>
      </c>
    </row>
    <row r="367" spans="51:55" ht="12" customHeight="1">
      <c r="AZ367" s="16">
        <v>34</v>
      </c>
      <c r="BA367" s="16" t="s">
        <v>131</v>
      </c>
      <c r="BB367" t="str">
        <f ca="1">IF($CI$23&lt;&gt;"",ADDRESS($CI$24+10,$CI$23+3),"")</f>
        <v/>
      </c>
      <c r="BC367" t="str">
        <f ca="1">IF(BB367&lt;&gt;"","34•7","")</f>
        <v/>
      </c>
    </row>
    <row r="368" spans="51:55" ht="12" customHeight="1">
      <c r="AZ368" s="16">
        <v>34</v>
      </c>
      <c r="BA368" s="16" t="s">
        <v>132</v>
      </c>
      <c r="BB368" t="str">
        <f ca="1">IF($CI$25&lt;&gt;"",ADDRESS($CI$26+10,$CI$25+3),"")</f>
        <v/>
      </c>
      <c r="BC368" t="str">
        <f ca="1">IF(BB368&lt;&gt;"","34•8","")</f>
        <v/>
      </c>
    </row>
    <row r="369" spans="51:55" ht="12" customHeight="1">
      <c r="AZ369" s="16">
        <v>34</v>
      </c>
      <c r="BA369" s="16" t="s">
        <v>133</v>
      </c>
      <c r="BB369" t="str">
        <f ca="1">IF($CI$27&lt;&gt;"",ADDRESS($CI$28+10,$CI$27+3),"")</f>
        <v/>
      </c>
      <c r="BC369" t="str">
        <f ca="1">IF(BB369&lt;&gt;"","34•9","")</f>
        <v/>
      </c>
    </row>
    <row r="370" spans="51:55" ht="12" customHeight="1">
      <c r="AZ370" s="16">
        <v>34</v>
      </c>
      <c r="BA370" s="16" t="s">
        <v>134</v>
      </c>
      <c r="BB370" t="str">
        <f ca="1">IF($CI$29&lt;&gt;"",ADDRESS($CI$30+10,$CI$29+3),"")</f>
        <v/>
      </c>
      <c r="BC370" t="str">
        <f ca="1">IF(BB370&lt;&gt;"","34•10","")</f>
        <v/>
      </c>
    </row>
    <row r="371" spans="51:55" ht="12" customHeight="1">
      <c r="AY371" s="16" t="s">
        <v>185</v>
      </c>
      <c r="AZ371" s="16">
        <v>35</v>
      </c>
      <c r="BA371" s="16" t="s">
        <v>125</v>
      </c>
      <c r="BB371" t="str">
        <f ca="1">IF($CJ$11&lt;&gt;"",ADDRESS($CJ$12+10,$CJ$11+3),"")</f>
        <v/>
      </c>
      <c r="BC371" t="str">
        <f ca="1">IF(BB371&lt;&gt;"","35•1","")</f>
        <v/>
      </c>
    </row>
    <row r="372" spans="51:55" ht="12" customHeight="1">
      <c r="AZ372" s="16">
        <v>35</v>
      </c>
      <c r="BA372" s="16" t="s">
        <v>126</v>
      </c>
      <c r="BB372" t="str">
        <f ca="1">IF($CJ$13&lt;&gt;"",ADDRESS($CJ$14+10,$CJ$13+3),"")</f>
        <v/>
      </c>
      <c r="BC372" t="str">
        <f ca="1">IF(BB372&lt;&gt;"","35•2","")</f>
        <v/>
      </c>
    </row>
    <row r="373" spans="51:55" ht="12" customHeight="1">
      <c r="AZ373" s="16">
        <v>35</v>
      </c>
      <c r="BA373" s="16" t="s">
        <v>127</v>
      </c>
      <c r="BB373" t="str">
        <f ca="1">IF($CJ$15&lt;&gt;"",ADDRESS($CJ$16+10,$CJ$15+3),"")</f>
        <v/>
      </c>
      <c r="BC373" t="str">
        <f ca="1">IF(BB373&lt;&gt;"","35•3","")</f>
        <v/>
      </c>
    </row>
    <row r="374" spans="51:55" ht="12" customHeight="1">
      <c r="AZ374" s="16">
        <v>35</v>
      </c>
      <c r="BA374" s="16" t="s">
        <v>128</v>
      </c>
      <c r="BB374" t="str">
        <f ca="1">IF($CJ$17&lt;&gt;"",ADDRESS($CJ$18+10,$CJ$17+3),"")</f>
        <v/>
      </c>
      <c r="BC374" t="str">
        <f ca="1">IF(BB374&lt;&gt;"","35•4","")</f>
        <v/>
      </c>
    </row>
    <row r="375" spans="51:55" ht="12" customHeight="1">
      <c r="AZ375" s="16">
        <v>35</v>
      </c>
      <c r="BA375" s="16" t="s">
        <v>129</v>
      </c>
      <c r="BB375" t="str">
        <f ca="1">IF($CJ$19&lt;&gt;"",ADDRESS($CJ$20+10,$CJ$19+3),"")</f>
        <v/>
      </c>
      <c r="BC375" t="str">
        <f ca="1">IF(BB375&lt;&gt;"","35•5","")</f>
        <v/>
      </c>
    </row>
    <row r="376" spans="51:55" ht="12" customHeight="1">
      <c r="AZ376" s="16">
        <v>35</v>
      </c>
      <c r="BA376" s="16" t="s">
        <v>130</v>
      </c>
      <c r="BB376" t="str">
        <f ca="1">IF($CJ$21&lt;&gt;"",ADDRESS($CJ$22+10,$CJ$21+3),"")</f>
        <v/>
      </c>
      <c r="BC376" t="str">
        <f ca="1">IF(BB376&lt;&gt;"","35•6","")</f>
        <v/>
      </c>
    </row>
    <row r="377" spans="51:55" ht="12" customHeight="1">
      <c r="AZ377" s="16">
        <v>35</v>
      </c>
      <c r="BA377" s="16" t="s">
        <v>131</v>
      </c>
      <c r="BB377" t="str">
        <f ca="1">IF($CJ$23&lt;&gt;"",ADDRESS($CJ$24+10,$CJ$23+3),"")</f>
        <v/>
      </c>
      <c r="BC377" t="str">
        <f ca="1">IF(BB377&lt;&gt;"","35•7","")</f>
        <v/>
      </c>
    </row>
    <row r="378" spans="51:55" ht="12" customHeight="1">
      <c r="AZ378" s="16">
        <v>35</v>
      </c>
      <c r="BA378" s="16" t="s">
        <v>132</v>
      </c>
      <c r="BB378" t="str">
        <f ca="1">IF($CJ$25&lt;&gt;"",ADDRESS($CJ$26+10,$CJ$25+3),"")</f>
        <v/>
      </c>
      <c r="BC378" t="str">
        <f ca="1">IF(BB378&lt;&gt;"","35•8","")</f>
        <v/>
      </c>
    </row>
    <row r="379" spans="51:55" ht="12" customHeight="1">
      <c r="AZ379" s="16">
        <v>35</v>
      </c>
      <c r="BA379" s="16" t="s">
        <v>133</v>
      </c>
      <c r="BB379" t="str">
        <f ca="1">IF($CJ$27&lt;&gt;"",ADDRESS($CJ$28+10,$CJ$27+3),"")</f>
        <v/>
      </c>
      <c r="BC379" t="str">
        <f ca="1">IF(BB379&lt;&gt;"","35•9","")</f>
        <v/>
      </c>
    </row>
    <row r="380" spans="51:55" ht="12" customHeight="1">
      <c r="AZ380" s="16">
        <v>35</v>
      </c>
      <c r="BA380" s="16" t="s">
        <v>134</v>
      </c>
      <c r="BB380" t="str">
        <f ca="1">IF($CJ$29&lt;&gt;"",ADDRESS($CJ$30+10,$CJ$29+3),"")</f>
        <v/>
      </c>
      <c r="BC380" t="str">
        <f ca="1">IF(BB380&lt;&gt;"","35•10","")</f>
        <v/>
      </c>
    </row>
    <row r="381" spans="51:55" ht="12" customHeight="1">
      <c r="AY381" s="16" t="s">
        <v>186</v>
      </c>
      <c r="AZ381" s="16">
        <v>36</v>
      </c>
      <c r="BA381" s="16" t="s">
        <v>125</v>
      </c>
      <c r="BB381" t="str">
        <f ca="1">IF($CK$11&lt;&gt;"",ADDRESS($CK$12+10,$CK$11+3),"")</f>
        <v/>
      </c>
      <c r="BC381" t="str">
        <f ca="1">IF(BB381&lt;&gt;"","36•1","")</f>
        <v/>
      </c>
    </row>
    <row r="382" spans="51:55" ht="12" customHeight="1">
      <c r="AZ382" s="16">
        <v>36</v>
      </c>
      <c r="BA382" s="16" t="s">
        <v>126</v>
      </c>
      <c r="BB382" t="str">
        <f ca="1">IF($CK$13&lt;&gt;"",ADDRESS($CK$14+10,$CK$13+3),"")</f>
        <v/>
      </c>
      <c r="BC382" t="str">
        <f ca="1">IF(BB382&lt;&gt;"","36•2","")</f>
        <v/>
      </c>
    </row>
    <row r="383" spans="51:55" ht="12" customHeight="1">
      <c r="AZ383" s="16">
        <v>36</v>
      </c>
      <c r="BA383" s="16" t="s">
        <v>127</v>
      </c>
      <c r="BB383" t="str">
        <f ca="1">IF($CK$15&lt;&gt;"",ADDRESS($CK$16+10,$CK$15+3),"")</f>
        <v/>
      </c>
      <c r="BC383" t="str">
        <f ca="1">IF(BB383&lt;&gt;"","36•3","")</f>
        <v/>
      </c>
    </row>
    <row r="384" spans="51:55" ht="12" customHeight="1">
      <c r="AZ384" s="16">
        <v>36</v>
      </c>
      <c r="BA384" s="16" t="s">
        <v>128</v>
      </c>
      <c r="BB384" t="str">
        <f ca="1">IF($CK$17&lt;&gt;"",ADDRESS($CK$18+10,$CK$17+3),"")</f>
        <v/>
      </c>
      <c r="BC384" t="str">
        <f ca="1">IF(BB384&lt;&gt;"","36•4","")</f>
        <v/>
      </c>
    </row>
    <row r="385" spans="51:55" ht="12" customHeight="1">
      <c r="AZ385" s="16">
        <v>36</v>
      </c>
      <c r="BA385" s="16" t="s">
        <v>129</v>
      </c>
      <c r="BB385" t="str">
        <f ca="1">IF($CK$19&lt;&gt;"",ADDRESS($CK$20+10,$CK$19+3),"")</f>
        <v/>
      </c>
      <c r="BC385" t="str">
        <f ca="1">IF(BB385&lt;&gt;"","36•5","")</f>
        <v/>
      </c>
    </row>
    <row r="386" spans="51:55" ht="12" customHeight="1">
      <c r="AZ386" s="16">
        <v>36</v>
      </c>
      <c r="BA386" s="16" t="s">
        <v>130</v>
      </c>
      <c r="BB386" t="str">
        <f ca="1">IF($CK$21&lt;&gt;"",ADDRESS($CK$22+10,$CK$21+3),"")</f>
        <v/>
      </c>
      <c r="BC386" t="str">
        <f ca="1">IF(BB386&lt;&gt;"","36•6","")</f>
        <v/>
      </c>
    </row>
    <row r="387" spans="51:55" ht="12" customHeight="1">
      <c r="AZ387" s="16">
        <v>36</v>
      </c>
      <c r="BA387" s="16" t="s">
        <v>131</v>
      </c>
      <c r="BB387" t="str">
        <f ca="1">IF($CK$23&lt;&gt;"",ADDRESS($CK$24+10,$CK$23+3),"")</f>
        <v/>
      </c>
      <c r="BC387" t="str">
        <f ca="1">IF(BB387&lt;&gt;"","36•7","")</f>
        <v/>
      </c>
    </row>
    <row r="388" spans="51:55" ht="12" customHeight="1">
      <c r="AZ388" s="16">
        <v>36</v>
      </c>
      <c r="BA388" s="16" t="s">
        <v>132</v>
      </c>
      <c r="BB388" t="str">
        <f ca="1">IF($CK$25&lt;&gt;"",ADDRESS($CK$26+10,$CK$25+3),"")</f>
        <v/>
      </c>
      <c r="BC388" t="str">
        <f ca="1">IF(BB388&lt;&gt;"","36•8","")</f>
        <v/>
      </c>
    </row>
    <row r="389" spans="51:55" ht="12" customHeight="1">
      <c r="AZ389" s="16">
        <v>36</v>
      </c>
      <c r="BA389" s="16" t="s">
        <v>133</v>
      </c>
      <c r="BB389" t="str">
        <f ca="1">IF($CK$27&lt;&gt;"",ADDRESS($CK$28+10,$CK$27+3),"")</f>
        <v/>
      </c>
      <c r="BC389" t="str">
        <f ca="1">IF(BB389&lt;&gt;"","36•9","")</f>
        <v/>
      </c>
    </row>
    <row r="390" spans="51:55" ht="12" customHeight="1">
      <c r="AZ390" s="16">
        <v>36</v>
      </c>
      <c r="BA390" s="16" t="s">
        <v>134</v>
      </c>
      <c r="BB390" t="str">
        <f ca="1">IF($CK$29&lt;&gt;"",ADDRESS($CK$30+10,$CK$29+3),"")</f>
        <v/>
      </c>
      <c r="BC390" t="str">
        <f ca="1">IF(BB390&lt;&gt;"","36•10","")</f>
        <v/>
      </c>
    </row>
    <row r="391" spans="51:55" ht="12" customHeight="1">
      <c r="AY391" s="16" t="s">
        <v>34</v>
      </c>
      <c r="AZ391" s="16">
        <v>37</v>
      </c>
      <c r="BA391" s="16" t="s">
        <v>125</v>
      </c>
      <c r="BB391" t="str">
        <f ca="1">IF($CL$11&lt;&gt;"",ADDRESS($CL$12+10,$CL$11+3),"")</f>
        <v/>
      </c>
      <c r="BC391" t="str">
        <f ca="1">IF(BB391&lt;&gt;"","37•1","")</f>
        <v/>
      </c>
    </row>
    <row r="392" spans="51:55" ht="12" customHeight="1">
      <c r="AZ392" s="16">
        <v>37</v>
      </c>
      <c r="BA392" s="16" t="s">
        <v>126</v>
      </c>
      <c r="BB392" t="str">
        <f ca="1">IF($CL$13&lt;&gt;"",ADDRESS($CL$14+10,$CL$13+3),"")</f>
        <v/>
      </c>
      <c r="BC392" t="str">
        <f ca="1">IF(BB392&lt;&gt;"","37•2","")</f>
        <v/>
      </c>
    </row>
    <row r="393" spans="51:55" ht="12" customHeight="1">
      <c r="AZ393" s="16">
        <v>37</v>
      </c>
      <c r="BA393" s="16" t="s">
        <v>127</v>
      </c>
      <c r="BB393" t="str">
        <f ca="1">IF($CL$15&lt;&gt;"",ADDRESS($CL$16+10,$CL$15+3),"")</f>
        <v/>
      </c>
      <c r="BC393" t="str">
        <f ca="1">IF(BB393&lt;&gt;"","37•3","")</f>
        <v/>
      </c>
    </row>
    <row r="394" spans="51:55" ht="12" customHeight="1">
      <c r="AZ394" s="16">
        <v>37</v>
      </c>
      <c r="BA394" s="16" t="s">
        <v>128</v>
      </c>
      <c r="BB394" t="str">
        <f ca="1">IF($CL$17&lt;&gt;"",ADDRESS($CL$18+10,$CL$17+3),"")</f>
        <v/>
      </c>
      <c r="BC394" t="str">
        <f ca="1">IF(BB394&lt;&gt;"","37•4","")</f>
        <v/>
      </c>
    </row>
    <row r="395" spans="51:55" ht="12" customHeight="1">
      <c r="AZ395" s="16">
        <v>37</v>
      </c>
      <c r="BA395" s="16" t="s">
        <v>129</v>
      </c>
      <c r="BB395" t="str">
        <f ca="1">IF($CL$19&lt;&gt;"",ADDRESS($CL$20+10,$CL$19+3),"")</f>
        <v/>
      </c>
      <c r="BC395" t="str">
        <f ca="1">IF(BB395&lt;&gt;"","37•5","")</f>
        <v/>
      </c>
    </row>
    <row r="396" spans="51:55" ht="12" customHeight="1">
      <c r="AZ396" s="16">
        <v>37</v>
      </c>
      <c r="BA396" s="16" t="s">
        <v>130</v>
      </c>
      <c r="BB396" t="str">
        <f ca="1">IF($CL$21&lt;&gt;"",ADDRESS($CL$22+10,$CL$21+3),"")</f>
        <v/>
      </c>
      <c r="BC396" t="str">
        <f ca="1">IF(BB396&lt;&gt;"","37•6","")</f>
        <v/>
      </c>
    </row>
    <row r="397" spans="51:55" ht="12" customHeight="1">
      <c r="AZ397" s="16">
        <v>37</v>
      </c>
      <c r="BA397" s="16" t="s">
        <v>131</v>
      </c>
      <c r="BB397" t="str">
        <f ca="1">IF($CL$23&lt;&gt;"",ADDRESS($CL$24+10,$CL$23+3),"")</f>
        <v/>
      </c>
      <c r="BC397" t="str">
        <f ca="1">IF(BB397&lt;&gt;"","37•7","")</f>
        <v/>
      </c>
    </row>
    <row r="398" spans="51:55" ht="12" customHeight="1">
      <c r="AZ398" s="16">
        <v>37</v>
      </c>
      <c r="BA398" s="16" t="s">
        <v>132</v>
      </c>
      <c r="BB398" t="str">
        <f ca="1">IF($CL$25&lt;&gt;"",ADDRESS($CL$26+10,$CL$25+3),"")</f>
        <v/>
      </c>
      <c r="BC398" t="str">
        <f ca="1">IF(BB398&lt;&gt;"","37•8","")</f>
        <v/>
      </c>
    </row>
    <row r="399" spans="51:55" ht="12" customHeight="1">
      <c r="AZ399" s="16">
        <v>37</v>
      </c>
      <c r="BA399" s="16" t="s">
        <v>133</v>
      </c>
      <c r="BB399" t="str">
        <f ca="1">IF($CL$27&lt;&gt;"",ADDRESS($CL$28+10,$CL$27+3),"")</f>
        <v/>
      </c>
      <c r="BC399" t="str">
        <f ca="1">IF(BB399&lt;&gt;"","37•9","")</f>
        <v/>
      </c>
    </row>
    <row r="400" spans="51:55" ht="12" customHeight="1">
      <c r="AZ400" s="16">
        <v>37</v>
      </c>
      <c r="BA400" s="16" t="s">
        <v>134</v>
      </c>
      <c r="BB400" t="str">
        <f ca="1">IF($CL$29&lt;&gt;"",ADDRESS($CL$30+10,$CL$29+3),"")</f>
        <v/>
      </c>
      <c r="BC400" t="str">
        <f ca="1">IF(BB400&lt;&gt;"","37•10","")</f>
        <v/>
      </c>
    </row>
    <row r="401" spans="51:55" ht="12" customHeight="1">
      <c r="AY401" s="16" t="s">
        <v>35</v>
      </c>
      <c r="AZ401" s="16">
        <v>38</v>
      </c>
      <c r="BA401" s="16" t="s">
        <v>125</v>
      </c>
      <c r="BB401" t="str">
        <f ca="1">IF($CM$11&lt;&gt;"",ADDRESS($CM$12+10,$CM$11+3),"")</f>
        <v/>
      </c>
      <c r="BC401" t="str">
        <f ca="1">IF(BB401&lt;&gt;"","38•1","")</f>
        <v/>
      </c>
    </row>
    <row r="402" spans="51:55" ht="12" customHeight="1">
      <c r="AZ402" s="16">
        <v>38</v>
      </c>
      <c r="BA402" s="16" t="s">
        <v>126</v>
      </c>
      <c r="BB402" t="str">
        <f ca="1">IF($CM$13&lt;&gt;"",ADDRESS($CM$14+10,$CM$13+3),"")</f>
        <v/>
      </c>
      <c r="BC402" t="str">
        <f ca="1">IF(BB402&lt;&gt;"","38•2","")</f>
        <v/>
      </c>
    </row>
    <row r="403" spans="51:55" ht="12" customHeight="1">
      <c r="AZ403" s="16">
        <v>38</v>
      </c>
      <c r="BA403" s="16" t="s">
        <v>127</v>
      </c>
      <c r="BB403" t="str">
        <f ca="1">IF($CM$15&lt;&gt;"",ADDRESS($CM$16+10,$CM$15+3),"")</f>
        <v/>
      </c>
      <c r="BC403" t="str">
        <f ca="1">IF(BB403&lt;&gt;"","38•3","")</f>
        <v/>
      </c>
    </row>
    <row r="404" spans="51:55" ht="12" customHeight="1">
      <c r="AZ404" s="16">
        <v>38</v>
      </c>
      <c r="BA404" s="16" t="s">
        <v>128</v>
      </c>
      <c r="BB404" t="str">
        <f ca="1">IF($CM$17&lt;&gt;"",ADDRESS($CM$18+10,$CM$17+3),"")</f>
        <v/>
      </c>
      <c r="BC404" t="str">
        <f ca="1">IF(BB404&lt;&gt;"","38•4","")</f>
        <v/>
      </c>
    </row>
    <row r="405" spans="51:55" ht="12" customHeight="1">
      <c r="AZ405" s="16">
        <v>38</v>
      </c>
      <c r="BA405" s="16" t="s">
        <v>129</v>
      </c>
      <c r="BB405" t="str">
        <f ca="1">IF($CM$19&lt;&gt;"",ADDRESS($CM$20+10,$CM$19+3),"")</f>
        <v/>
      </c>
      <c r="BC405" t="str">
        <f ca="1">IF(BB405&lt;&gt;"","38•5","")</f>
        <v/>
      </c>
    </row>
    <row r="406" spans="51:55" ht="12" customHeight="1">
      <c r="AZ406" s="16">
        <v>38</v>
      </c>
      <c r="BA406" s="16" t="s">
        <v>130</v>
      </c>
      <c r="BB406" t="str">
        <f ca="1">IF($CM$21&lt;&gt;"",ADDRESS($CM$22+10,$CM$21+3),"")</f>
        <v/>
      </c>
      <c r="BC406" t="str">
        <f ca="1">IF(BB406&lt;&gt;"","38•6","")</f>
        <v/>
      </c>
    </row>
    <row r="407" spans="51:55" ht="12" customHeight="1">
      <c r="AZ407" s="16">
        <v>38</v>
      </c>
      <c r="BA407" s="16" t="s">
        <v>131</v>
      </c>
      <c r="BB407" t="str">
        <f ca="1">IF($CM$23&lt;&gt;"",ADDRESS($CM$24+10,$CM$23+3),"")</f>
        <v/>
      </c>
      <c r="BC407" t="str">
        <f ca="1">IF(BB407&lt;&gt;"","38•7","")</f>
        <v/>
      </c>
    </row>
    <row r="408" spans="51:55" ht="12" customHeight="1">
      <c r="AZ408" s="16">
        <v>38</v>
      </c>
      <c r="BA408" s="16" t="s">
        <v>132</v>
      </c>
      <c r="BB408" t="str">
        <f ca="1">IF($CM$25&lt;&gt;"",ADDRESS($CM$26+10,$CM$25+3),"")</f>
        <v/>
      </c>
      <c r="BC408" t="str">
        <f ca="1">IF(BB408&lt;&gt;"","38•8","")</f>
        <v/>
      </c>
    </row>
    <row r="409" spans="51:55" ht="12" customHeight="1">
      <c r="AZ409" s="16">
        <v>38</v>
      </c>
      <c r="BA409" s="16" t="s">
        <v>133</v>
      </c>
      <c r="BB409" t="str">
        <f ca="1">IF($CM$27&lt;&gt;"",ADDRESS($CM$28+10,$CM$27+3),"")</f>
        <v/>
      </c>
      <c r="BC409" t="str">
        <f ca="1">IF(BB409&lt;&gt;"","38•9","")</f>
        <v/>
      </c>
    </row>
    <row r="410" spans="51:55" ht="12" customHeight="1">
      <c r="AZ410" s="16">
        <v>38</v>
      </c>
      <c r="BA410" s="16" t="s">
        <v>134</v>
      </c>
      <c r="BB410" t="str">
        <f ca="1">IF($CM$29&lt;&gt;"",ADDRESS($CM$30+10,$CM$29+3),"")</f>
        <v/>
      </c>
      <c r="BC410" t="str">
        <f ca="1">IF(BB410&lt;&gt;"","38•10","")</f>
        <v/>
      </c>
    </row>
    <row r="411" spans="51:55" ht="12" customHeight="1">
      <c r="AY411" s="16" t="s">
        <v>36</v>
      </c>
      <c r="AZ411" s="16">
        <v>39</v>
      </c>
      <c r="BA411" s="16" t="s">
        <v>125</v>
      </c>
      <c r="BB411" t="str">
        <f ca="1">IF($CM$11&lt;&gt;"",ADDRESS($CM$12+10,$CM$11+3),"")</f>
        <v/>
      </c>
      <c r="BC411" t="str">
        <f ca="1">IF(BB411&lt;&gt;"","39•1","")</f>
        <v/>
      </c>
    </row>
    <row r="412" spans="51:55" ht="12" customHeight="1">
      <c r="AZ412" s="16">
        <v>39</v>
      </c>
      <c r="BA412" s="16" t="s">
        <v>126</v>
      </c>
      <c r="BB412" t="str">
        <f ca="1">IF($CM$13&lt;&gt;"",ADDRESS($CM$14+10,$CM$13+3),"")</f>
        <v/>
      </c>
      <c r="BC412" t="str">
        <f ca="1">IF(BB412&lt;&gt;"","39•2","")</f>
        <v/>
      </c>
    </row>
    <row r="413" spans="51:55" ht="12" customHeight="1">
      <c r="AZ413" s="16">
        <v>39</v>
      </c>
      <c r="BA413" s="16" t="s">
        <v>127</v>
      </c>
      <c r="BB413" t="str">
        <f ca="1">IF($CM$15&lt;&gt;"",ADDRESS($CM$16+10,$CM$15+3),"")</f>
        <v/>
      </c>
      <c r="BC413" t="str">
        <f ca="1">IF(BB413&lt;&gt;"","39•3","")</f>
        <v/>
      </c>
    </row>
    <row r="414" spans="51:55" ht="12" customHeight="1">
      <c r="AZ414" s="16">
        <v>39</v>
      </c>
      <c r="BA414" s="16" t="s">
        <v>128</v>
      </c>
      <c r="BB414" t="str">
        <f ca="1">IF($CM$17&lt;&gt;"",ADDRESS($CM$18+10,$CM$17+3),"")</f>
        <v/>
      </c>
      <c r="BC414" t="str">
        <f ca="1">IF(BB414&lt;&gt;"","39•4","")</f>
        <v/>
      </c>
    </row>
    <row r="415" spans="51:55" ht="12" customHeight="1">
      <c r="AZ415" s="16">
        <v>39</v>
      </c>
      <c r="BA415" s="16" t="s">
        <v>129</v>
      </c>
      <c r="BB415" t="str">
        <f ca="1">IF($CM$19&lt;&gt;"",ADDRESS($CM$20+10,$CM$19+3),"")</f>
        <v/>
      </c>
      <c r="BC415" t="str">
        <f ca="1">IF(BB415&lt;&gt;"","39•5","")</f>
        <v/>
      </c>
    </row>
    <row r="416" spans="51:55" ht="12" customHeight="1">
      <c r="AZ416" s="16">
        <v>39</v>
      </c>
      <c r="BA416" s="16" t="s">
        <v>130</v>
      </c>
      <c r="BB416" t="str">
        <f ca="1">IF($CM$21&lt;&gt;"",ADDRESS($CM$22+10,$CM$21+3),"")</f>
        <v/>
      </c>
      <c r="BC416" t="str">
        <f ca="1">IF(BB416&lt;&gt;"","39•6","")</f>
        <v/>
      </c>
    </row>
    <row r="417" spans="51:55" ht="12" customHeight="1">
      <c r="AZ417" s="16">
        <v>39</v>
      </c>
      <c r="BA417" s="16" t="s">
        <v>131</v>
      </c>
      <c r="BB417" t="str">
        <f ca="1">IF($CM$23&lt;&gt;"",ADDRESS($CM$24+10,$CM$23+3),"")</f>
        <v/>
      </c>
      <c r="BC417" t="str">
        <f ca="1">IF(BB417&lt;&gt;"","39•7","")</f>
        <v/>
      </c>
    </row>
    <row r="418" spans="51:55" ht="12" customHeight="1">
      <c r="AZ418" s="16">
        <v>39</v>
      </c>
      <c r="BA418" s="16" t="s">
        <v>132</v>
      </c>
      <c r="BB418" t="str">
        <f ca="1">IF($CM$25&lt;&gt;"",ADDRESS($CM$26+10,$CM$25+3),"")</f>
        <v/>
      </c>
      <c r="BC418" t="str">
        <f ca="1">IF(BB418&lt;&gt;"","39•8","")</f>
        <v/>
      </c>
    </row>
    <row r="419" spans="51:55" ht="12" customHeight="1">
      <c r="AZ419" s="16">
        <v>39</v>
      </c>
      <c r="BA419" s="16" t="s">
        <v>133</v>
      </c>
      <c r="BB419" t="str">
        <f ca="1">IF($CM$27&lt;&gt;"",ADDRESS($CM$28+10,$CM$27+3),"")</f>
        <v/>
      </c>
      <c r="BC419" t="str">
        <f ca="1">IF(BB419&lt;&gt;"","39•9","")</f>
        <v/>
      </c>
    </row>
    <row r="420" spans="51:55" ht="12" customHeight="1">
      <c r="AZ420" s="16">
        <v>39</v>
      </c>
      <c r="BA420" s="16" t="s">
        <v>134</v>
      </c>
      <c r="BB420" t="str">
        <f ca="1">IF($CM$29&lt;&gt;"",ADDRESS($CM$30+10,$CM$29+3),"")</f>
        <v/>
      </c>
      <c r="BC420" t="str">
        <f ca="1">IF(BB420&lt;&gt;"","39•10","")</f>
        <v/>
      </c>
    </row>
    <row r="421" spans="51:55" ht="12" customHeight="1">
      <c r="AY421" s="16" t="s">
        <v>37</v>
      </c>
      <c r="AZ421" s="16">
        <v>40</v>
      </c>
      <c r="BA421" s="16" t="s">
        <v>125</v>
      </c>
      <c r="BB421" t="str">
        <f ca="1">IF($CN$11&lt;&gt;"",ADDRESS($CN$12+10,$CN$11+3),"")</f>
        <v/>
      </c>
      <c r="BC421" t="s">
        <v>119</v>
      </c>
    </row>
    <row r="422" spans="51:55" ht="12" customHeight="1">
      <c r="AZ422" s="16">
        <v>40</v>
      </c>
      <c r="BA422" s="16" t="s">
        <v>126</v>
      </c>
      <c r="BB422" t="str">
        <f ca="1">IF($CN$13&lt;&gt;"",ADDRESS($CN$14+10,$CN$13+3),"")</f>
        <v/>
      </c>
      <c r="BC422" t="s">
        <v>38</v>
      </c>
    </row>
    <row r="423" spans="51:55" ht="12" customHeight="1">
      <c r="AZ423" s="16">
        <v>40</v>
      </c>
      <c r="BA423" s="16" t="s">
        <v>127</v>
      </c>
      <c r="BB423" t="str">
        <f ca="1">IF($CN$15&lt;&gt;"",ADDRESS($CN$16+10,$CN$15+3),"")</f>
        <v/>
      </c>
      <c r="BC423" t="s">
        <v>39</v>
      </c>
    </row>
    <row r="424" spans="51:55" ht="12" customHeight="1">
      <c r="AZ424" s="16">
        <v>40</v>
      </c>
      <c r="BA424" s="16" t="s">
        <v>128</v>
      </c>
      <c r="BB424" t="str">
        <f ca="1">IF($CN$17&lt;&gt;"",ADDRESS($CN$18+10,$CN$17+3),"")</f>
        <v/>
      </c>
      <c r="BC424" t="s">
        <v>40</v>
      </c>
    </row>
    <row r="425" spans="51:55" ht="12" customHeight="1">
      <c r="AZ425" s="16">
        <v>40</v>
      </c>
      <c r="BA425" s="16" t="s">
        <v>129</v>
      </c>
      <c r="BB425" t="str">
        <f ca="1">IF($CN$19&lt;&gt;"",ADDRESS($CN$20+10,$CN$19+3),"")</f>
        <v/>
      </c>
      <c r="BC425" t="s">
        <v>41</v>
      </c>
    </row>
    <row r="426" spans="51:55" ht="12" customHeight="1">
      <c r="AZ426" s="16">
        <v>40</v>
      </c>
      <c r="BA426" s="16" t="s">
        <v>130</v>
      </c>
      <c r="BB426" t="str">
        <f ca="1">IF($CN$21&lt;&gt;"",ADDRESS($CN$22+10,$CN$21+3),"")</f>
        <v/>
      </c>
      <c r="BC426" t="s">
        <v>42</v>
      </c>
    </row>
    <row r="427" spans="51:55" ht="12" customHeight="1">
      <c r="AZ427" s="16">
        <v>40</v>
      </c>
      <c r="BA427" s="16" t="s">
        <v>131</v>
      </c>
      <c r="BB427" t="str">
        <f ca="1">IF($CN$23&lt;&gt;"",ADDRESS($CN$24+10,$CN$23+3),"")</f>
        <v/>
      </c>
      <c r="BC427" t="s">
        <v>43</v>
      </c>
    </row>
    <row r="428" spans="51:55" ht="12" customHeight="1">
      <c r="AZ428" s="16">
        <v>40</v>
      </c>
      <c r="BA428" s="16" t="s">
        <v>132</v>
      </c>
      <c r="BB428" t="str">
        <f ca="1">IF($CN$25&lt;&gt;"",ADDRESS($CN$26+10,$CN$25+3),"")</f>
        <v/>
      </c>
      <c r="BC428" t="s">
        <v>44</v>
      </c>
    </row>
    <row r="429" spans="51:55" ht="12" customHeight="1">
      <c r="AZ429" s="16">
        <v>40</v>
      </c>
      <c r="BA429" s="16" t="s">
        <v>133</v>
      </c>
      <c r="BB429" t="str">
        <f ca="1">IF($CN$27&lt;&gt;"",ADDRESS($CN$28+10,$CN$27+3),"")</f>
        <v/>
      </c>
      <c r="BC429" t="s">
        <v>45</v>
      </c>
    </row>
    <row r="430" spans="51:55" ht="12" customHeight="1">
      <c r="AZ430" s="16">
        <v>40</v>
      </c>
      <c r="BA430" s="16" t="s">
        <v>134</v>
      </c>
      <c r="BB430" t="str">
        <f ca="1">IF($CN$29&lt;&gt;"",ADDRESS($CN$30+10,$CN$29+3),"")</f>
        <v/>
      </c>
      <c r="BC430"/>
    </row>
  </sheetData>
  <sheetProtection password="FFF0" sheet="1" objects="1" scenarios="1"/>
  <conditionalFormatting sqref="D11 E12 F13 G14 H15 I16 J17 K18 L19 M20 N21 O22 P23 Q24 R25 S26 T27 U28 V29 W30 X31 Y32 Z33 AA34 AB35 AC36 AD37 AE38 AF39 AG40 AH41 AI42 AJ43 AK44 AL45 AM46 AN47 AO48 AP49 AQ50 AR51 AS52 AT53 AU54 AV55 AW56">
    <cfRule type="cellIs" dxfId="266" priority="1" stopIfTrue="1" operator="greaterThan">
      <formula>""""""</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57"/>
  <sheetViews>
    <sheetView workbookViewId="0">
      <selection activeCell="D1" sqref="D1"/>
    </sheetView>
  </sheetViews>
  <sheetFormatPr baseColWidth="10" defaultRowHeight="15" x14ac:dyDescent="0"/>
  <cols>
    <col min="1" max="45" width="10.7109375" style="50"/>
    <col min="46" max="86" width="0" style="50" hidden="1" customWidth="1"/>
    <col min="87" max="16384" width="10.7109375" style="50"/>
  </cols>
  <sheetData>
    <row r="1" spans="1:86" ht="18">
      <c r="A1" s="14" t="s">
        <v>1050</v>
      </c>
      <c r="B1" s="4"/>
      <c r="C1" s="4"/>
      <c r="D1" s="434" t="s">
        <v>1181</v>
      </c>
    </row>
    <row r="2" spans="1:86">
      <c r="A2" s="4"/>
      <c r="B2" s="4"/>
      <c r="C2" s="4"/>
      <c r="D2" s="4"/>
    </row>
    <row r="3" spans="1:86">
      <c r="B3" s="4"/>
      <c r="C3" s="10" t="s">
        <v>1051</v>
      </c>
      <c r="D3" s="353" t="s">
        <v>1053</v>
      </c>
      <c r="E3" s="4" t="str">
        <f ca="1">VLOOKUP($D3,$D$11:$AR$56,E7,FALSE)</f>
        <v>Tm08</v>
      </c>
      <c r="F3" s="4" t="str">
        <f t="shared" ref="F3:AR3" ca="1" si="0">VLOOKUP($D3,$D$11:$AR$56,F7,FALSE)</f>
        <v>ng</v>
      </c>
      <c r="G3" s="4" t="str">
        <f t="shared" ca="1" si="0"/>
        <v>ng</v>
      </c>
      <c r="H3" s="4" t="str">
        <f t="shared" ca="1" si="0"/>
        <v>Tm05</v>
      </c>
      <c r="I3" s="4" t="str">
        <f t="shared" ca="1" si="0"/>
        <v>Tm06</v>
      </c>
      <c r="J3" s="4" t="str">
        <f t="shared" ca="1" si="0"/>
        <v>ng</v>
      </c>
      <c r="K3" s="4" t="str">
        <f t="shared" ca="1" si="0"/>
        <v>ng</v>
      </c>
      <c r="L3" s="4" t="str">
        <f t="shared" ca="1" si="0"/>
        <v>Tm07</v>
      </c>
      <c r="M3" s="4" t="str">
        <f t="shared" ca="1" si="0"/>
        <v>Tm04</v>
      </c>
      <c r="N3" s="4" t="str">
        <f t="shared" ca="1" si="0"/>
        <v>ng</v>
      </c>
      <c r="O3" s="4" t="str">
        <f t="shared" ca="1" si="0"/>
        <v>ng</v>
      </c>
      <c r="P3" s="4" t="str">
        <f t="shared" ca="1" si="0"/>
        <v>Tm03</v>
      </c>
      <c r="Q3" s="4" t="str">
        <f t="shared" ca="1" si="0"/>
        <v>Tm02</v>
      </c>
      <c r="R3" s="4" t="str">
        <f t="shared" ca="1" si="0"/>
        <v>ng</v>
      </c>
      <c r="S3" s="4" t="str">
        <f t="shared" ca="1" si="0"/>
        <v>ng</v>
      </c>
      <c r="T3" s="4" t="str">
        <f t="shared" ca="1" si="0"/>
        <v>ng</v>
      </c>
      <c r="U3" s="4" t="str">
        <f t="shared" ca="1" si="0"/>
        <v>ng</v>
      </c>
      <c r="V3" s="4" t="str">
        <f t="shared" ca="1" si="0"/>
        <v>ng</v>
      </c>
      <c r="W3" s="4" t="str">
        <f t="shared" ca="1" si="0"/>
        <v>ng</v>
      </c>
      <c r="X3" s="4" t="str">
        <f t="shared" ca="1" si="0"/>
        <v>ng</v>
      </c>
      <c r="Y3" s="4" t="str">
        <f t="shared" ca="1" si="0"/>
        <v>ng</v>
      </c>
      <c r="Z3" s="4" t="str">
        <f t="shared" ca="1" si="0"/>
        <v>ng</v>
      </c>
      <c r="AA3" s="4" t="str">
        <f t="shared" ca="1" si="0"/>
        <v>ng</v>
      </c>
      <c r="AB3" s="4" t="str">
        <f t="shared" ca="1" si="0"/>
        <v>ng</v>
      </c>
      <c r="AC3" s="4" t="str">
        <f t="shared" ca="1" si="0"/>
        <v>ng</v>
      </c>
      <c r="AD3" s="4" t="str">
        <f t="shared" ca="1" si="0"/>
        <v>ng</v>
      </c>
      <c r="AE3" s="4" t="str">
        <f t="shared" ca="1" si="0"/>
        <v>ng</v>
      </c>
      <c r="AF3" s="4" t="str">
        <f t="shared" ca="1" si="0"/>
        <v>ng</v>
      </c>
      <c r="AG3" s="4" t="str">
        <f t="shared" ca="1" si="0"/>
        <v>ng</v>
      </c>
      <c r="AH3" s="4" t="str">
        <f t="shared" ca="1" si="0"/>
        <v>ng</v>
      </c>
      <c r="AI3" s="4" t="str">
        <f t="shared" ca="1" si="0"/>
        <v>ng</v>
      </c>
      <c r="AJ3" s="4" t="str">
        <f t="shared" ca="1" si="0"/>
        <v>ng</v>
      </c>
      <c r="AK3" s="4" t="str">
        <f t="shared" ca="1" si="0"/>
        <v>ng</v>
      </c>
      <c r="AL3" s="4" t="str">
        <f t="shared" ca="1" si="0"/>
        <v>ng</v>
      </c>
      <c r="AM3" s="4" t="str">
        <f t="shared" ca="1" si="0"/>
        <v>ng</v>
      </c>
      <c r="AN3" s="4" t="str">
        <f t="shared" ca="1" si="0"/>
        <v>ng</v>
      </c>
      <c r="AO3" s="4" t="str">
        <f t="shared" ca="1" si="0"/>
        <v>ng</v>
      </c>
      <c r="AP3" s="4" t="str">
        <f t="shared" ca="1" si="0"/>
        <v>ng</v>
      </c>
      <c r="AQ3" s="4" t="str">
        <f t="shared" ca="1" si="0"/>
        <v>ng</v>
      </c>
      <c r="AR3" s="4" t="str">
        <f t="shared" ca="1" si="0"/>
        <v>ng</v>
      </c>
      <c r="AU3" s="50" t="str">
        <f ca="1">CONCATENATE(AT3,IF(E3="ng","",CONCATENATE(E3,VLOOKUP(LEN(E3),$AT$11:$AU$30,2,FALSE))))</f>
        <v xml:space="preserve">Tm08                </v>
      </c>
      <c r="AV3" s="50" t="str">
        <f t="shared" ref="AV3:CH3" ca="1" si="1">CONCATENATE(AU3,IF(F3="ng","",CONCATENATE(F3,VLOOKUP(LEN(F3),$AT$11:$AU$30,2,FALSE))))</f>
        <v xml:space="preserve">Tm08                </v>
      </c>
      <c r="AW3" s="50" t="str">
        <f t="shared" ca="1" si="1"/>
        <v xml:space="preserve">Tm08                </v>
      </c>
      <c r="AX3" s="50" t="str">
        <f t="shared" ca="1" si="1"/>
        <v xml:space="preserve">Tm08                Tm05                </v>
      </c>
      <c r="AY3" s="50" t="str">
        <f t="shared" ca="1" si="1"/>
        <v xml:space="preserve">Tm08                Tm05                Tm06                </v>
      </c>
      <c r="AZ3" s="50" t="str">
        <f t="shared" ca="1" si="1"/>
        <v xml:space="preserve">Tm08                Tm05                Tm06                </v>
      </c>
      <c r="BA3" s="50" t="str">
        <f t="shared" ca="1" si="1"/>
        <v xml:space="preserve">Tm08                Tm05                Tm06                </v>
      </c>
      <c r="BB3" s="50" t="str">
        <f t="shared" ca="1" si="1"/>
        <v xml:space="preserve">Tm08                Tm05                Tm06                Tm07                </v>
      </c>
      <c r="BC3" s="50" t="str">
        <f t="shared" ca="1" si="1"/>
        <v xml:space="preserve">Tm08                Tm05                Tm06                Tm07                Tm04                </v>
      </c>
      <c r="BD3" s="50" t="str">
        <f t="shared" ca="1" si="1"/>
        <v xml:space="preserve">Tm08                Tm05                Tm06                Tm07                Tm04                </v>
      </c>
      <c r="BE3" s="50" t="str">
        <f t="shared" ca="1" si="1"/>
        <v xml:space="preserve">Tm08                Tm05                Tm06                Tm07                Tm04                </v>
      </c>
      <c r="BF3" s="50" t="str">
        <f t="shared" ca="1" si="1"/>
        <v xml:space="preserve">Tm08                Tm05                Tm06                Tm07                Tm04                Tm03                </v>
      </c>
      <c r="BG3" s="50" t="str">
        <f t="shared" ca="1" si="1"/>
        <v xml:space="preserve">Tm08                Tm05                Tm06                Tm07                Tm04                Tm03                Tm02                </v>
      </c>
      <c r="BH3" s="50" t="str">
        <f t="shared" ca="1" si="1"/>
        <v xml:space="preserve">Tm08                Tm05                Tm06                Tm07                Tm04                Tm03                Tm02                </v>
      </c>
      <c r="BI3" s="50" t="str">
        <f t="shared" ca="1" si="1"/>
        <v xml:space="preserve">Tm08                Tm05                Tm06                Tm07                Tm04                Tm03                Tm02                </v>
      </c>
      <c r="BJ3" s="50" t="str">
        <f t="shared" ca="1" si="1"/>
        <v xml:space="preserve">Tm08                Tm05                Tm06                Tm07                Tm04                Tm03                Tm02                </v>
      </c>
      <c r="BK3" s="50" t="str">
        <f t="shared" ca="1" si="1"/>
        <v xml:space="preserve">Tm08                Tm05                Tm06                Tm07                Tm04                Tm03                Tm02                </v>
      </c>
      <c r="BL3" s="50" t="str">
        <f t="shared" ca="1" si="1"/>
        <v xml:space="preserve">Tm08                Tm05                Tm06                Tm07                Tm04                Tm03                Tm02                </v>
      </c>
      <c r="BM3" s="50" t="str">
        <f t="shared" ca="1" si="1"/>
        <v xml:space="preserve">Tm08                Tm05                Tm06                Tm07                Tm04                Tm03                Tm02                </v>
      </c>
      <c r="BN3" s="50" t="str">
        <f t="shared" ca="1" si="1"/>
        <v xml:space="preserve">Tm08                Tm05                Tm06                Tm07                Tm04                Tm03                Tm02                </v>
      </c>
      <c r="BO3" s="50" t="str">
        <f t="shared" ca="1" si="1"/>
        <v xml:space="preserve">Tm08                Tm05                Tm06                Tm07                Tm04                Tm03                Tm02                </v>
      </c>
      <c r="BP3" s="50" t="str">
        <f t="shared" ca="1" si="1"/>
        <v xml:space="preserve">Tm08                Tm05                Tm06                Tm07                Tm04                Tm03                Tm02                </v>
      </c>
      <c r="BQ3" s="50" t="str">
        <f t="shared" ca="1" si="1"/>
        <v xml:space="preserve">Tm08                Tm05                Tm06                Tm07                Tm04                Tm03                Tm02                </v>
      </c>
      <c r="BR3" s="50" t="str">
        <f t="shared" ca="1" si="1"/>
        <v xml:space="preserve">Tm08                Tm05                Tm06                Tm07                Tm04                Tm03                Tm02                </v>
      </c>
      <c r="BS3" s="50" t="str">
        <f t="shared" ca="1" si="1"/>
        <v xml:space="preserve">Tm08                Tm05                Tm06                Tm07                Tm04                Tm03                Tm02                </v>
      </c>
      <c r="BT3" s="50" t="str">
        <f t="shared" ca="1" si="1"/>
        <v xml:space="preserve">Tm08                Tm05                Tm06                Tm07                Tm04                Tm03                Tm02                </v>
      </c>
      <c r="BU3" s="50" t="str">
        <f t="shared" ca="1" si="1"/>
        <v xml:space="preserve">Tm08                Tm05                Tm06                Tm07                Tm04                Tm03                Tm02                </v>
      </c>
      <c r="BV3" s="50" t="str">
        <f t="shared" ca="1" si="1"/>
        <v xml:space="preserve">Tm08                Tm05                Tm06                Tm07                Tm04                Tm03                Tm02                </v>
      </c>
      <c r="BW3" s="50" t="str">
        <f t="shared" ca="1" si="1"/>
        <v xml:space="preserve">Tm08                Tm05                Tm06                Tm07                Tm04                Tm03                Tm02                </v>
      </c>
      <c r="BX3" s="50" t="str">
        <f t="shared" ca="1" si="1"/>
        <v xml:space="preserve">Tm08                Tm05                Tm06                Tm07                Tm04                Tm03                Tm02                </v>
      </c>
      <c r="BY3" s="50" t="str">
        <f t="shared" ca="1" si="1"/>
        <v xml:space="preserve">Tm08                Tm05                Tm06                Tm07                Tm04                Tm03                Tm02                </v>
      </c>
      <c r="BZ3" s="50" t="str">
        <f t="shared" ca="1" si="1"/>
        <v xml:space="preserve">Tm08                Tm05                Tm06                Tm07                Tm04                Tm03                Tm02                </v>
      </c>
      <c r="CA3" s="50" t="str">
        <f t="shared" ca="1" si="1"/>
        <v xml:space="preserve">Tm08                Tm05                Tm06                Tm07                Tm04                Tm03                Tm02                </v>
      </c>
      <c r="CB3" s="50" t="str">
        <f t="shared" ca="1" si="1"/>
        <v xml:space="preserve">Tm08                Tm05                Tm06                Tm07                Tm04                Tm03                Tm02                </v>
      </c>
      <c r="CC3" s="50" t="str">
        <f t="shared" ca="1" si="1"/>
        <v xml:space="preserve">Tm08                Tm05                Tm06                Tm07                Tm04                Tm03                Tm02                </v>
      </c>
      <c r="CD3" s="50" t="str">
        <f t="shared" ca="1" si="1"/>
        <v xml:space="preserve">Tm08                Tm05                Tm06                Tm07                Tm04                Tm03                Tm02                </v>
      </c>
      <c r="CE3" s="50" t="str">
        <f t="shared" ca="1" si="1"/>
        <v xml:space="preserve">Tm08                Tm05                Tm06                Tm07                Tm04                Tm03                Tm02                </v>
      </c>
      <c r="CF3" s="50" t="str">
        <f t="shared" ca="1" si="1"/>
        <v xml:space="preserve">Tm08                Tm05                Tm06                Tm07                Tm04                Tm03                Tm02                </v>
      </c>
      <c r="CG3" s="50" t="str">
        <f t="shared" ca="1" si="1"/>
        <v xml:space="preserve">Tm08                Tm05                Tm06                Tm07                Tm04                Tm03                Tm02                </v>
      </c>
      <c r="CH3" s="50" t="str">
        <f t="shared" ca="1" si="1"/>
        <v xml:space="preserve">Tm08                Tm05                Tm06                Tm07                Tm04                Tm03                Tm02                </v>
      </c>
    </row>
    <row r="4" spans="1:86">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row>
    <row r="5" spans="1:86">
      <c r="A5" s="4"/>
      <c r="B5" s="4"/>
      <c r="C5" s="10" t="s">
        <v>1052</v>
      </c>
      <c r="D5" s="354" t="str">
        <f>D3</f>
        <v>Tm01</v>
      </c>
      <c r="E5" s="4" t="str">
        <f ca="1">MID($CH$3,E6,10)</f>
        <v xml:space="preserve">Tm08      </v>
      </c>
      <c r="F5" s="4" t="str">
        <f t="shared" ref="F5:AR5" ca="1" si="2">MID($CH$3,F6,10)</f>
        <v xml:space="preserve">Tm05      </v>
      </c>
      <c r="G5" s="4" t="str">
        <f t="shared" ca="1" si="2"/>
        <v xml:space="preserve">Tm06      </v>
      </c>
      <c r="H5" s="4" t="str">
        <f t="shared" ca="1" si="2"/>
        <v xml:space="preserve">Tm07      </v>
      </c>
      <c r="I5" s="4" t="str">
        <f t="shared" ca="1" si="2"/>
        <v xml:space="preserve">Tm04      </v>
      </c>
      <c r="J5" s="4" t="str">
        <f t="shared" ca="1" si="2"/>
        <v xml:space="preserve">Tm03      </v>
      </c>
      <c r="K5" s="4" t="str">
        <f t="shared" ca="1" si="2"/>
        <v xml:space="preserve">Tm02      </v>
      </c>
      <c r="L5" s="4" t="str">
        <f t="shared" ca="1" si="2"/>
        <v/>
      </c>
      <c r="M5" s="4" t="str">
        <f t="shared" ca="1" si="2"/>
        <v/>
      </c>
      <c r="N5" s="4" t="str">
        <f t="shared" ca="1" si="2"/>
        <v/>
      </c>
      <c r="O5" s="4" t="str">
        <f t="shared" ca="1" si="2"/>
        <v/>
      </c>
      <c r="P5" s="4" t="str">
        <f t="shared" ca="1" si="2"/>
        <v/>
      </c>
      <c r="Q5" s="4" t="str">
        <f t="shared" ca="1" si="2"/>
        <v/>
      </c>
      <c r="R5" s="4" t="str">
        <f t="shared" ca="1" si="2"/>
        <v/>
      </c>
      <c r="S5" s="4" t="str">
        <f t="shared" ca="1" si="2"/>
        <v/>
      </c>
      <c r="T5" s="4" t="str">
        <f t="shared" ca="1" si="2"/>
        <v/>
      </c>
      <c r="U5" s="4" t="str">
        <f t="shared" ca="1" si="2"/>
        <v/>
      </c>
      <c r="V5" s="4" t="str">
        <f t="shared" ca="1" si="2"/>
        <v/>
      </c>
      <c r="W5" s="4" t="str">
        <f t="shared" ca="1" si="2"/>
        <v/>
      </c>
      <c r="X5" s="4" t="str">
        <f t="shared" ca="1" si="2"/>
        <v/>
      </c>
      <c r="Y5" s="4" t="str">
        <f t="shared" ca="1" si="2"/>
        <v/>
      </c>
      <c r="Z5" s="4" t="str">
        <f t="shared" ca="1" si="2"/>
        <v/>
      </c>
      <c r="AA5" s="4" t="str">
        <f t="shared" ca="1" si="2"/>
        <v/>
      </c>
      <c r="AB5" s="4" t="str">
        <f t="shared" ca="1" si="2"/>
        <v/>
      </c>
      <c r="AC5" s="4" t="str">
        <f t="shared" ca="1" si="2"/>
        <v/>
      </c>
      <c r="AD5" s="4" t="str">
        <f t="shared" ca="1" si="2"/>
        <v/>
      </c>
      <c r="AE5" s="4" t="str">
        <f t="shared" ca="1" si="2"/>
        <v/>
      </c>
      <c r="AF5" s="4" t="str">
        <f t="shared" ca="1" si="2"/>
        <v/>
      </c>
      <c r="AG5" s="4" t="str">
        <f t="shared" ca="1" si="2"/>
        <v/>
      </c>
      <c r="AH5" s="4" t="str">
        <f t="shared" ca="1" si="2"/>
        <v/>
      </c>
      <c r="AI5" s="4" t="str">
        <f t="shared" ca="1" si="2"/>
        <v/>
      </c>
      <c r="AJ5" s="4" t="str">
        <f t="shared" ca="1" si="2"/>
        <v/>
      </c>
      <c r="AK5" s="4" t="str">
        <f t="shared" ca="1" si="2"/>
        <v/>
      </c>
      <c r="AL5" s="4" t="str">
        <f t="shared" ca="1" si="2"/>
        <v/>
      </c>
      <c r="AM5" s="4" t="str">
        <f t="shared" ca="1" si="2"/>
        <v/>
      </c>
      <c r="AN5" s="4" t="str">
        <f t="shared" ca="1" si="2"/>
        <v/>
      </c>
      <c r="AO5" s="4" t="str">
        <f t="shared" ca="1" si="2"/>
        <v/>
      </c>
      <c r="AP5" s="4" t="str">
        <f t="shared" ca="1" si="2"/>
        <v/>
      </c>
      <c r="AQ5" s="4" t="str">
        <f t="shared" ca="1" si="2"/>
        <v/>
      </c>
      <c r="AR5" s="4" t="str">
        <f t="shared" ca="1" si="2"/>
        <v/>
      </c>
    </row>
    <row r="6" spans="1:86">
      <c r="D6" s="355"/>
      <c r="E6" s="355">
        <v>1</v>
      </c>
      <c r="F6" s="355">
        <f>E6+20</f>
        <v>21</v>
      </c>
      <c r="G6" s="355">
        <f t="shared" ref="G6:AR6" si="3">F6+20</f>
        <v>41</v>
      </c>
      <c r="H6" s="355">
        <f t="shared" si="3"/>
        <v>61</v>
      </c>
      <c r="I6" s="355">
        <f t="shared" si="3"/>
        <v>81</v>
      </c>
      <c r="J6" s="355">
        <f t="shared" si="3"/>
        <v>101</v>
      </c>
      <c r="K6" s="355">
        <f t="shared" si="3"/>
        <v>121</v>
      </c>
      <c r="L6" s="355">
        <f t="shared" si="3"/>
        <v>141</v>
      </c>
      <c r="M6" s="355">
        <f t="shared" si="3"/>
        <v>161</v>
      </c>
      <c r="N6" s="355">
        <f t="shared" si="3"/>
        <v>181</v>
      </c>
      <c r="O6" s="355">
        <f t="shared" si="3"/>
        <v>201</v>
      </c>
      <c r="P6" s="355">
        <f t="shared" si="3"/>
        <v>221</v>
      </c>
      <c r="Q6" s="355">
        <f t="shared" si="3"/>
        <v>241</v>
      </c>
      <c r="R6" s="355">
        <f t="shared" si="3"/>
        <v>261</v>
      </c>
      <c r="S6" s="355">
        <f t="shared" si="3"/>
        <v>281</v>
      </c>
      <c r="T6" s="355">
        <f t="shared" si="3"/>
        <v>301</v>
      </c>
      <c r="U6" s="355">
        <f t="shared" si="3"/>
        <v>321</v>
      </c>
      <c r="V6" s="355">
        <f t="shared" si="3"/>
        <v>341</v>
      </c>
      <c r="W6" s="355">
        <f t="shared" si="3"/>
        <v>361</v>
      </c>
      <c r="X6" s="355">
        <f t="shared" si="3"/>
        <v>381</v>
      </c>
      <c r="Y6" s="355">
        <f t="shared" si="3"/>
        <v>401</v>
      </c>
      <c r="Z6" s="355">
        <f t="shared" si="3"/>
        <v>421</v>
      </c>
      <c r="AA6" s="355">
        <f t="shared" si="3"/>
        <v>441</v>
      </c>
      <c r="AB6" s="355">
        <f t="shared" si="3"/>
        <v>461</v>
      </c>
      <c r="AC6" s="355">
        <f t="shared" si="3"/>
        <v>481</v>
      </c>
      <c r="AD6" s="355">
        <f t="shared" si="3"/>
        <v>501</v>
      </c>
      <c r="AE6" s="355">
        <f t="shared" si="3"/>
        <v>521</v>
      </c>
      <c r="AF6" s="355">
        <f t="shared" si="3"/>
        <v>541</v>
      </c>
      <c r="AG6" s="355">
        <f t="shared" si="3"/>
        <v>561</v>
      </c>
      <c r="AH6" s="355">
        <f t="shared" si="3"/>
        <v>581</v>
      </c>
      <c r="AI6" s="355">
        <f t="shared" si="3"/>
        <v>601</v>
      </c>
      <c r="AJ6" s="355">
        <f t="shared" si="3"/>
        <v>621</v>
      </c>
      <c r="AK6" s="355">
        <f t="shared" si="3"/>
        <v>641</v>
      </c>
      <c r="AL6" s="355">
        <f t="shared" si="3"/>
        <v>661</v>
      </c>
      <c r="AM6" s="355">
        <f t="shared" si="3"/>
        <v>681</v>
      </c>
      <c r="AN6" s="355">
        <f t="shared" si="3"/>
        <v>701</v>
      </c>
      <c r="AO6" s="355">
        <f t="shared" si="3"/>
        <v>721</v>
      </c>
      <c r="AP6" s="355">
        <f t="shared" si="3"/>
        <v>741</v>
      </c>
      <c r="AQ6" s="355">
        <f t="shared" si="3"/>
        <v>761</v>
      </c>
      <c r="AR6" s="355">
        <f t="shared" si="3"/>
        <v>781</v>
      </c>
    </row>
    <row r="7" spans="1:86">
      <c r="D7" s="355">
        <f>C7+1</f>
        <v>1</v>
      </c>
      <c r="E7" s="355">
        <f>D7+1</f>
        <v>2</v>
      </c>
      <c r="F7" s="355">
        <f t="shared" ref="F7:AR7" si="4">E7+1</f>
        <v>3</v>
      </c>
      <c r="G7" s="355">
        <f t="shared" si="4"/>
        <v>4</v>
      </c>
      <c r="H7" s="355">
        <f t="shared" si="4"/>
        <v>5</v>
      </c>
      <c r="I7" s="355">
        <f t="shared" si="4"/>
        <v>6</v>
      </c>
      <c r="J7" s="355">
        <f t="shared" si="4"/>
        <v>7</v>
      </c>
      <c r="K7" s="355">
        <f t="shared" si="4"/>
        <v>8</v>
      </c>
      <c r="L7" s="355">
        <f t="shared" si="4"/>
        <v>9</v>
      </c>
      <c r="M7" s="355">
        <f t="shared" si="4"/>
        <v>10</v>
      </c>
      <c r="N7" s="355">
        <f t="shared" si="4"/>
        <v>11</v>
      </c>
      <c r="O7" s="355">
        <f t="shared" si="4"/>
        <v>12</v>
      </c>
      <c r="P7" s="355">
        <f t="shared" si="4"/>
        <v>13</v>
      </c>
      <c r="Q7" s="355">
        <f t="shared" si="4"/>
        <v>14</v>
      </c>
      <c r="R7" s="355">
        <f t="shared" si="4"/>
        <v>15</v>
      </c>
      <c r="S7" s="355">
        <f t="shared" si="4"/>
        <v>16</v>
      </c>
      <c r="T7" s="355">
        <f t="shared" si="4"/>
        <v>17</v>
      </c>
      <c r="U7" s="355">
        <f t="shared" si="4"/>
        <v>18</v>
      </c>
      <c r="V7" s="355">
        <f t="shared" si="4"/>
        <v>19</v>
      </c>
      <c r="W7" s="355">
        <f t="shared" si="4"/>
        <v>20</v>
      </c>
      <c r="X7" s="355">
        <f t="shared" si="4"/>
        <v>21</v>
      </c>
      <c r="Y7" s="355">
        <f t="shared" si="4"/>
        <v>22</v>
      </c>
      <c r="Z7" s="355">
        <f t="shared" si="4"/>
        <v>23</v>
      </c>
      <c r="AA7" s="355">
        <f t="shared" si="4"/>
        <v>24</v>
      </c>
      <c r="AB7" s="355">
        <f t="shared" si="4"/>
        <v>25</v>
      </c>
      <c r="AC7" s="355">
        <f t="shared" si="4"/>
        <v>26</v>
      </c>
      <c r="AD7" s="355">
        <f t="shared" si="4"/>
        <v>27</v>
      </c>
      <c r="AE7" s="355">
        <f t="shared" si="4"/>
        <v>28</v>
      </c>
      <c r="AF7" s="355">
        <f t="shared" si="4"/>
        <v>29</v>
      </c>
      <c r="AG7" s="355">
        <f t="shared" si="4"/>
        <v>30</v>
      </c>
      <c r="AH7" s="355">
        <f t="shared" si="4"/>
        <v>31</v>
      </c>
      <c r="AI7" s="355">
        <f t="shared" si="4"/>
        <v>32</v>
      </c>
      <c r="AJ7" s="355">
        <f t="shared" si="4"/>
        <v>33</v>
      </c>
      <c r="AK7" s="355">
        <f t="shared" si="4"/>
        <v>34</v>
      </c>
      <c r="AL7" s="355">
        <f t="shared" si="4"/>
        <v>35</v>
      </c>
      <c r="AM7" s="355">
        <f t="shared" si="4"/>
        <v>36</v>
      </c>
      <c r="AN7" s="355">
        <f t="shared" si="4"/>
        <v>37</v>
      </c>
      <c r="AO7" s="355">
        <f t="shared" si="4"/>
        <v>38</v>
      </c>
      <c r="AP7" s="355">
        <f t="shared" si="4"/>
        <v>39</v>
      </c>
      <c r="AQ7" s="355">
        <f t="shared" si="4"/>
        <v>40</v>
      </c>
      <c r="AR7" s="355">
        <f t="shared" si="4"/>
        <v>41</v>
      </c>
      <c r="AU7" s="355">
        <f>AT7+1</f>
        <v>1</v>
      </c>
      <c r="AV7" s="355">
        <f>AU7+1</f>
        <v>2</v>
      </c>
      <c r="AW7" s="355">
        <f t="shared" ref="AW7:CH7" si="5">AV7+1</f>
        <v>3</v>
      </c>
      <c r="AX7" s="355">
        <f t="shared" si="5"/>
        <v>4</v>
      </c>
      <c r="AY7" s="355">
        <f t="shared" si="5"/>
        <v>5</v>
      </c>
      <c r="AZ7" s="355">
        <f t="shared" si="5"/>
        <v>6</v>
      </c>
      <c r="BA7" s="355">
        <f t="shared" si="5"/>
        <v>7</v>
      </c>
      <c r="BB7" s="355">
        <f t="shared" si="5"/>
        <v>8</v>
      </c>
      <c r="BC7" s="355">
        <f t="shared" si="5"/>
        <v>9</v>
      </c>
      <c r="BD7" s="355">
        <f t="shared" si="5"/>
        <v>10</v>
      </c>
      <c r="BE7" s="355">
        <f t="shared" si="5"/>
        <v>11</v>
      </c>
      <c r="BF7" s="355">
        <f t="shared" si="5"/>
        <v>12</v>
      </c>
      <c r="BG7" s="355">
        <f t="shared" si="5"/>
        <v>13</v>
      </c>
      <c r="BH7" s="355">
        <f t="shared" si="5"/>
        <v>14</v>
      </c>
      <c r="BI7" s="355">
        <f t="shared" si="5"/>
        <v>15</v>
      </c>
      <c r="BJ7" s="355">
        <f t="shared" si="5"/>
        <v>16</v>
      </c>
      <c r="BK7" s="355">
        <f t="shared" si="5"/>
        <v>17</v>
      </c>
      <c r="BL7" s="355">
        <f t="shared" si="5"/>
        <v>18</v>
      </c>
      <c r="BM7" s="355">
        <f t="shared" si="5"/>
        <v>19</v>
      </c>
      <c r="BN7" s="355">
        <f t="shared" si="5"/>
        <v>20</v>
      </c>
      <c r="BO7" s="355">
        <f t="shared" si="5"/>
        <v>21</v>
      </c>
      <c r="BP7" s="355">
        <f t="shared" si="5"/>
        <v>22</v>
      </c>
      <c r="BQ7" s="355">
        <f t="shared" si="5"/>
        <v>23</v>
      </c>
      <c r="BR7" s="355">
        <f t="shared" si="5"/>
        <v>24</v>
      </c>
      <c r="BS7" s="355">
        <f t="shared" si="5"/>
        <v>25</v>
      </c>
      <c r="BT7" s="355">
        <f t="shared" si="5"/>
        <v>26</v>
      </c>
      <c r="BU7" s="355">
        <f t="shared" si="5"/>
        <v>27</v>
      </c>
      <c r="BV7" s="355">
        <f t="shared" si="5"/>
        <v>28</v>
      </c>
      <c r="BW7" s="355">
        <f t="shared" si="5"/>
        <v>29</v>
      </c>
      <c r="BX7" s="355">
        <f t="shared" si="5"/>
        <v>30</v>
      </c>
      <c r="BY7" s="355">
        <f t="shared" si="5"/>
        <v>31</v>
      </c>
      <c r="BZ7" s="355">
        <f t="shared" si="5"/>
        <v>32</v>
      </c>
      <c r="CA7" s="355">
        <f t="shared" si="5"/>
        <v>33</v>
      </c>
      <c r="CB7" s="355">
        <f t="shared" si="5"/>
        <v>34</v>
      </c>
      <c r="CC7" s="355">
        <f t="shared" si="5"/>
        <v>35</v>
      </c>
      <c r="CD7" s="355">
        <f t="shared" si="5"/>
        <v>36</v>
      </c>
      <c r="CE7" s="355">
        <f t="shared" si="5"/>
        <v>37</v>
      </c>
      <c r="CF7" s="355">
        <f t="shared" si="5"/>
        <v>38</v>
      </c>
      <c r="CG7" s="355">
        <f t="shared" si="5"/>
        <v>39</v>
      </c>
      <c r="CH7" s="355">
        <f t="shared" si="5"/>
        <v>40</v>
      </c>
    </row>
    <row r="8" spans="1:86" ht="102">
      <c r="E8" s="356" t="str">
        <f>CS!C7</f>
        <v>Day 01, 12:00 pm</v>
      </c>
      <c r="F8" s="356">
        <f>CS!D7</f>
        <v>0</v>
      </c>
      <c r="G8" s="356">
        <f>CS!E7</f>
        <v>0</v>
      </c>
      <c r="H8" s="356">
        <f>CS!F7</f>
        <v>0</v>
      </c>
      <c r="I8" s="356">
        <f>CS!G7</f>
        <v>0</v>
      </c>
      <c r="J8" s="356">
        <f>CS!H7</f>
        <v>0</v>
      </c>
      <c r="K8" s="356">
        <f>CS!I7</f>
        <v>0</v>
      </c>
      <c r="L8" s="356">
        <f>CS!J7</f>
        <v>0</v>
      </c>
      <c r="M8" s="356">
        <f>CS!K7</f>
        <v>0</v>
      </c>
      <c r="N8" s="356">
        <f>CS!L7</f>
        <v>0</v>
      </c>
      <c r="O8" s="356">
        <f>CS!M7</f>
        <v>0</v>
      </c>
      <c r="P8" s="356">
        <f>CS!N7</f>
        <v>0</v>
      </c>
      <c r="Q8" s="356">
        <f>CS!O7</f>
        <v>0</v>
      </c>
      <c r="R8" s="356">
        <f>CS!P7</f>
        <v>0</v>
      </c>
      <c r="S8" s="356">
        <f>CS!Q7</f>
        <v>0</v>
      </c>
      <c r="T8" s="356">
        <f>CS!R7</f>
        <v>0</v>
      </c>
      <c r="U8" s="356">
        <f>CS!S7</f>
        <v>0</v>
      </c>
      <c r="V8" s="356">
        <f>CS!T7</f>
        <v>0</v>
      </c>
      <c r="W8" s="356">
        <f>CS!U7</f>
        <v>0</v>
      </c>
      <c r="X8" s="356">
        <f>CS!V7</f>
        <v>0</v>
      </c>
      <c r="Y8" s="356">
        <f>CS!W7</f>
        <v>0</v>
      </c>
      <c r="Z8" s="356">
        <f>CS!X7</f>
        <v>0</v>
      </c>
      <c r="AA8" s="356">
        <f>CS!Y7</f>
        <v>0</v>
      </c>
      <c r="AB8" s="356">
        <f>CS!Z7</f>
        <v>0</v>
      </c>
      <c r="AC8" s="356">
        <f>CS!AA7</f>
        <v>0</v>
      </c>
      <c r="AD8" s="356">
        <f>CS!AB7</f>
        <v>0</v>
      </c>
      <c r="AE8" s="356">
        <f>CS!AC7</f>
        <v>0</v>
      </c>
      <c r="AF8" s="356">
        <f>CS!AD7</f>
        <v>0</v>
      </c>
      <c r="AG8" s="356">
        <f>CS!AE7</f>
        <v>0</v>
      </c>
      <c r="AH8" s="356">
        <f>CS!AF7</f>
        <v>0</v>
      </c>
      <c r="AI8" s="356">
        <f>CS!AG7</f>
        <v>0</v>
      </c>
      <c r="AJ8" s="356">
        <f>CS!AH7</f>
        <v>0</v>
      </c>
      <c r="AK8" s="356">
        <f>CS!AI7</f>
        <v>0</v>
      </c>
      <c r="AL8" s="356">
        <f>CS!AJ7</f>
        <v>0</v>
      </c>
      <c r="AM8" s="356">
        <f>CS!AK7</f>
        <v>0</v>
      </c>
      <c r="AN8" s="356">
        <f>CS!AL7</f>
        <v>0</v>
      </c>
      <c r="AO8" s="356">
        <f>CS!AM7</f>
        <v>0</v>
      </c>
      <c r="AP8" s="356">
        <f>CS!AN7</f>
        <v>0</v>
      </c>
      <c r="AQ8" s="356">
        <f>CS!AO7</f>
        <v>0</v>
      </c>
      <c r="AR8" s="356">
        <f>CS!AP7</f>
        <v>0</v>
      </c>
    </row>
    <row r="11" spans="1:86">
      <c r="D11" s="357" t="str">
        <f ca="1">TmOrderLU!D11</f>
        <v>Tm01</v>
      </c>
      <c r="E11" s="4" t="str">
        <f ca="1">TmOrderLU!E11</f>
        <v>Tm08</v>
      </c>
      <c r="F11" s="4" t="str">
        <f ca="1">TmOrderLU!F11</f>
        <v>ng</v>
      </c>
      <c r="G11" s="4" t="str">
        <f ca="1">TmOrderLU!G11</f>
        <v>ng</v>
      </c>
      <c r="H11" s="4" t="str">
        <f ca="1">TmOrderLU!H11</f>
        <v>Tm05</v>
      </c>
      <c r="I11" s="4" t="str">
        <f ca="1">TmOrderLU!I11</f>
        <v>Tm06</v>
      </c>
      <c r="J11" s="4" t="str">
        <f ca="1">TmOrderLU!J11</f>
        <v>ng</v>
      </c>
      <c r="K11" s="4" t="str">
        <f ca="1">TmOrderLU!K11</f>
        <v>ng</v>
      </c>
      <c r="L11" s="4" t="str">
        <f ca="1">TmOrderLU!L11</f>
        <v>Tm07</v>
      </c>
      <c r="M11" s="4" t="str">
        <f ca="1">TmOrderLU!M11</f>
        <v>Tm04</v>
      </c>
      <c r="N11" s="4" t="str">
        <f ca="1">TmOrderLU!N11</f>
        <v>ng</v>
      </c>
      <c r="O11" s="4" t="str">
        <f ca="1">TmOrderLU!O11</f>
        <v>ng</v>
      </c>
      <c r="P11" s="4" t="str">
        <f ca="1">TmOrderLU!P11</f>
        <v>Tm03</v>
      </c>
      <c r="Q11" s="4" t="str">
        <f ca="1">TmOrderLU!Q11</f>
        <v>Tm02</v>
      </c>
      <c r="R11" s="4" t="str">
        <f ca="1">TmOrderLU!R11</f>
        <v>ng</v>
      </c>
      <c r="S11" s="4" t="str">
        <f ca="1">TmOrderLU!S11</f>
        <v>ng</v>
      </c>
      <c r="T11" s="4" t="str">
        <f ca="1">TmOrderLU!T11</f>
        <v>ng</v>
      </c>
      <c r="U11" s="4" t="str">
        <f ca="1">TmOrderLU!U11</f>
        <v>ng</v>
      </c>
      <c r="V11" s="4" t="str">
        <f ca="1">TmOrderLU!V11</f>
        <v>ng</v>
      </c>
      <c r="W11" s="4" t="str">
        <f ca="1">TmOrderLU!W11</f>
        <v>ng</v>
      </c>
      <c r="X11" s="4" t="str">
        <f ca="1">TmOrderLU!X11</f>
        <v>ng</v>
      </c>
      <c r="Y11" s="4" t="str">
        <f ca="1">TmOrderLU!Y11</f>
        <v>ng</v>
      </c>
      <c r="Z11" s="4" t="str">
        <f ca="1">TmOrderLU!Z11</f>
        <v>ng</v>
      </c>
      <c r="AA11" s="4" t="str">
        <f ca="1">TmOrderLU!AA11</f>
        <v>ng</v>
      </c>
      <c r="AB11" s="4" t="str">
        <f ca="1">TmOrderLU!AB11</f>
        <v>ng</v>
      </c>
      <c r="AC11" s="4" t="str">
        <f ca="1">TmOrderLU!AC11</f>
        <v>ng</v>
      </c>
      <c r="AD11" s="4" t="str">
        <f ca="1">TmOrderLU!AD11</f>
        <v>ng</v>
      </c>
      <c r="AE11" s="4" t="str">
        <f ca="1">TmOrderLU!AE11</f>
        <v>ng</v>
      </c>
      <c r="AF11" s="4" t="str">
        <f ca="1">TmOrderLU!AF11</f>
        <v>ng</v>
      </c>
      <c r="AG11" s="4" t="str">
        <f ca="1">TmOrderLU!AG11</f>
        <v>ng</v>
      </c>
      <c r="AH11" s="4" t="str">
        <f ca="1">TmOrderLU!AH11</f>
        <v>ng</v>
      </c>
      <c r="AI11" s="4" t="str">
        <f ca="1">TmOrderLU!AI11</f>
        <v>ng</v>
      </c>
      <c r="AJ11" s="4" t="str">
        <f ca="1">TmOrderLU!AJ11</f>
        <v>ng</v>
      </c>
      <c r="AK11" s="4" t="str">
        <f ca="1">TmOrderLU!AK11</f>
        <v>ng</v>
      </c>
      <c r="AL11" s="4" t="str">
        <f ca="1">TmOrderLU!AL11</f>
        <v>ng</v>
      </c>
      <c r="AM11" s="4" t="str">
        <f ca="1">TmOrderLU!AM11</f>
        <v>ng</v>
      </c>
      <c r="AN11" s="4" t="str">
        <f ca="1">TmOrderLU!AN11</f>
        <v>ng</v>
      </c>
      <c r="AO11" s="4" t="str">
        <f ca="1">TmOrderLU!AO11</f>
        <v>ng</v>
      </c>
      <c r="AP11" s="4" t="str">
        <f ca="1">TmOrderLU!AP11</f>
        <v>ng</v>
      </c>
      <c r="AQ11" s="4" t="str">
        <f ca="1">TmOrderLU!AQ11</f>
        <v>ng</v>
      </c>
      <c r="AR11" s="357" t="str">
        <f ca="1">TmOrderLU!AR11</f>
        <v>ng</v>
      </c>
      <c r="AT11" s="50">
        <v>1</v>
      </c>
      <c r="AU11" s="4" t="str">
        <f>"                   "</f>
        <v xml:space="preserve">                   </v>
      </c>
    </row>
    <row r="12" spans="1:86">
      <c r="D12" s="357" t="str">
        <f ca="1">TmOrderLU!D12</f>
        <v>Tm02</v>
      </c>
      <c r="E12" s="4" t="str">
        <f ca="1">TmOrderLU!E12</f>
        <v>Tm07</v>
      </c>
      <c r="F12" s="4" t="str">
        <f ca="1">TmOrderLU!F12</f>
        <v>ng</v>
      </c>
      <c r="G12" s="4" t="str">
        <f ca="1">TmOrderLU!G12</f>
        <v>ng</v>
      </c>
      <c r="H12" s="4" t="str">
        <f ca="1">TmOrderLU!H12</f>
        <v>Tm06</v>
      </c>
      <c r="I12" s="4" t="str">
        <f ca="1">TmOrderLU!I12</f>
        <v>Tm05</v>
      </c>
      <c r="J12" s="4" t="str">
        <f ca="1">TmOrderLU!J12</f>
        <v>ng</v>
      </c>
      <c r="K12" s="4" t="str">
        <f ca="1">TmOrderLU!K12</f>
        <v>ng</v>
      </c>
      <c r="L12" s="4" t="str">
        <f ca="1">TmOrderLU!L12</f>
        <v>Tm08</v>
      </c>
      <c r="M12" s="4" t="str">
        <f ca="1">TmOrderLU!M12</f>
        <v>Tm03</v>
      </c>
      <c r="N12" s="4" t="str">
        <f ca="1">TmOrderLU!N12</f>
        <v>ng</v>
      </c>
      <c r="O12" s="4" t="str">
        <f ca="1">TmOrderLU!O12</f>
        <v>ng</v>
      </c>
      <c r="P12" s="4" t="str">
        <f ca="1">TmOrderLU!P12</f>
        <v>Tm04</v>
      </c>
      <c r="Q12" s="4" t="str">
        <f ca="1">TmOrderLU!Q12</f>
        <v>Tm01</v>
      </c>
      <c r="R12" s="4" t="str">
        <f ca="1">TmOrderLU!R12</f>
        <v>ng</v>
      </c>
      <c r="S12" s="4" t="str">
        <f ca="1">TmOrderLU!S12</f>
        <v>ng</v>
      </c>
      <c r="T12" s="4" t="str">
        <f ca="1">TmOrderLU!T12</f>
        <v>ng</v>
      </c>
      <c r="U12" s="4" t="str">
        <f ca="1">TmOrderLU!U12</f>
        <v>ng</v>
      </c>
      <c r="V12" s="4" t="str">
        <f ca="1">TmOrderLU!V12</f>
        <v>ng</v>
      </c>
      <c r="W12" s="4" t="str">
        <f ca="1">TmOrderLU!W12</f>
        <v>ng</v>
      </c>
      <c r="X12" s="4" t="str">
        <f ca="1">TmOrderLU!X12</f>
        <v>ng</v>
      </c>
      <c r="Y12" s="4" t="str">
        <f ca="1">TmOrderLU!Y12</f>
        <v>ng</v>
      </c>
      <c r="Z12" s="4" t="str">
        <f ca="1">TmOrderLU!Z12</f>
        <v>ng</v>
      </c>
      <c r="AA12" s="4" t="str">
        <f ca="1">TmOrderLU!AA12</f>
        <v>ng</v>
      </c>
      <c r="AB12" s="4" t="str">
        <f ca="1">TmOrderLU!AB12</f>
        <v>ng</v>
      </c>
      <c r="AC12" s="4" t="str">
        <f ca="1">TmOrderLU!AC12</f>
        <v>ng</v>
      </c>
      <c r="AD12" s="4" t="str">
        <f ca="1">TmOrderLU!AD12</f>
        <v>ng</v>
      </c>
      <c r="AE12" s="4" t="str">
        <f ca="1">TmOrderLU!AE12</f>
        <v>ng</v>
      </c>
      <c r="AF12" s="4" t="str">
        <f ca="1">TmOrderLU!AF12</f>
        <v>ng</v>
      </c>
      <c r="AG12" s="4" t="str">
        <f ca="1">TmOrderLU!AG12</f>
        <v>ng</v>
      </c>
      <c r="AH12" s="4" t="str">
        <f ca="1">TmOrderLU!AH12</f>
        <v>ng</v>
      </c>
      <c r="AI12" s="4" t="str">
        <f ca="1">TmOrderLU!AI12</f>
        <v>ng</v>
      </c>
      <c r="AJ12" s="4" t="str">
        <f ca="1">TmOrderLU!AJ12</f>
        <v>ng</v>
      </c>
      <c r="AK12" s="4" t="str">
        <f ca="1">TmOrderLU!AK12</f>
        <v>ng</v>
      </c>
      <c r="AL12" s="4" t="str">
        <f ca="1">TmOrderLU!AL12</f>
        <v>ng</v>
      </c>
      <c r="AM12" s="4" t="str">
        <f ca="1">TmOrderLU!AM12</f>
        <v>ng</v>
      </c>
      <c r="AN12" s="4" t="str">
        <f ca="1">TmOrderLU!AN12</f>
        <v>ng</v>
      </c>
      <c r="AO12" s="4" t="str">
        <f ca="1">TmOrderLU!AO12</f>
        <v>ng</v>
      </c>
      <c r="AP12" s="4" t="str">
        <f ca="1">TmOrderLU!AP12</f>
        <v>ng</v>
      </c>
      <c r="AQ12" s="4" t="str">
        <f ca="1">TmOrderLU!AQ12</f>
        <v>ng</v>
      </c>
      <c r="AR12" s="357" t="str">
        <f ca="1">TmOrderLU!AR12</f>
        <v>ng</v>
      </c>
      <c r="AT12" s="50">
        <f>AT11+1</f>
        <v>2</v>
      </c>
      <c r="AU12" s="4" t="str">
        <f>"                  "</f>
        <v xml:space="preserve">                  </v>
      </c>
    </row>
    <row r="13" spans="1:86">
      <c r="D13" s="357" t="str">
        <f ca="1">TmOrderLU!D13</f>
        <v>Tm03</v>
      </c>
      <c r="E13" s="4" t="str">
        <f ca="1">TmOrderLU!E13</f>
        <v>Tm05</v>
      </c>
      <c r="F13" s="4" t="str">
        <f ca="1">TmOrderLU!F13</f>
        <v>ng</v>
      </c>
      <c r="G13" s="4" t="str">
        <f ca="1">TmOrderLU!G13</f>
        <v>ng</v>
      </c>
      <c r="H13" s="4" t="str">
        <f ca="1">TmOrderLU!H13</f>
        <v>Tm07</v>
      </c>
      <c r="I13" s="4" t="str">
        <f ca="1">TmOrderLU!I13</f>
        <v>Tm08</v>
      </c>
      <c r="J13" s="4" t="str">
        <f ca="1">TmOrderLU!J13</f>
        <v>ng</v>
      </c>
      <c r="K13" s="4" t="str">
        <f ca="1">TmOrderLU!K13</f>
        <v>ng</v>
      </c>
      <c r="L13" s="4" t="str">
        <f ca="1">TmOrderLU!L13</f>
        <v>Tm06</v>
      </c>
      <c r="M13" s="4" t="str">
        <f ca="1">TmOrderLU!M13</f>
        <v>Tm02</v>
      </c>
      <c r="N13" s="4" t="str">
        <f ca="1">TmOrderLU!N13</f>
        <v>ng</v>
      </c>
      <c r="O13" s="4" t="str">
        <f ca="1">TmOrderLU!O13</f>
        <v>ng</v>
      </c>
      <c r="P13" s="4" t="str">
        <f ca="1">TmOrderLU!P13</f>
        <v>Tm01</v>
      </c>
      <c r="Q13" s="4" t="str">
        <f ca="1">TmOrderLU!Q13</f>
        <v>Tm04</v>
      </c>
      <c r="R13" s="4" t="str">
        <f ca="1">TmOrderLU!R13</f>
        <v>ng</v>
      </c>
      <c r="S13" s="4" t="str">
        <f ca="1">TmOrderLU!S13</f>
        <v>ng</v>
      </c>
      <c r="T13" s="4" t="str">
        <f ca="1">TmOrderLU!T13</f>
        <v>ng</v>
      </c>
      <c r="U13" s="4" t="str">
        <f ca="1">TmOrderLU!U13</f>
        <v>ng</v>
      </c>
      <c r="V13" s="4" t="str">
        <f ca="1">TmOrderLU!V13</f>
        <v>ng</v>
      </c>
      <c r="W13" s="4" t="str">
        <f ca="1">TmOrderLU!W13</f>
        <v>ng</v>
      </c>
      <c r="X13" s="4" t="str">
        <f ca="1">TmOrderLU!X13</f>
        <v>ng</v>
      </c>
      <c r="Y13" s="4" t="str">
        <f ca="1">TmOrderLU!Y13</f>
        <v>ng</v>
      </c>
      <c r="Z13" s="4" t="str">
        <f ca="1">TmOrderLU!Z13</f>
        <v>ng</v>
      </c>
      <c r="AA13" s="4" t="str">
        <f ca="1">TmOrderLU!AA13</f>
        <v>ng</v>
      </c>
      <c r="AB13" s="4" t="str">
        <f ca="1">TmOrderLU!AB13</f>
        <v>ng</v>
      </c>
      <c r="AC13" s="4" t="str">
        <f ca="1">TmOrderLU!AC13</f>
        <v>ng</v>
      </c>
      <c r="AD13" s="4" t="str">
        <f ca="1">TmOrderLU!AD13</f>
        <v>ng</v>
      </c>
      <c r="AE13" s="4" t="str">
        <f ca="1">TmOrderLU!AE13</f>
        <v>ng</v>
      </c>
      <c r="AF13" s="4" t="str">
        <f ca="1">TmOrderLU!AF13</f>
        <v>ng</v>
      </c>
      <c r="AG13" s="4" t="str">
        <f ca="1">TmOrderLU!AG13</f>
        <v>ng</v>
      </c>
      <c r="AH13" s="4" t="str">
        <f ca="1">TmOrderLU!AH13</f>
        <v>ng</v>
      </c>
      <c r="AI13" s="4" t="str">
        <f ca="1">TmOrderLU!AI13</f>
        <v>ng</v>
      </c>
      <c r="AJ13" s="4" t="str">
        <f ca="1">TmOrderLU!AJ13</f>
        <v>ng</v>
      </c>
      <c r="AK13" s="4" t="str">
        <f ca="1">TmOrderLU!AK13</f>
        <v>ng</v>
      </c>
      <c r="AL13" s="4" t="str">
        <f ca="1">TmOrderLU!AL13</f>
        <v>ng</v>
      </c>
      <c r="AM13" s="4" t="str">
        <f ca="1">TmOrderLU!AM13</f>
        <v>ng</v>
      </c>
      <c r="AN13" s="4" t="str">
        <f ca="1">TmOrderLU!AN13</f>
        <v>ng</v>
      </c>
      <c r="AO13" s="4" t="str">
        <f ca="1">TmOrderLU!AO13</f>
        <v>ng</v>
      </c>
      <c r="AP13" s="4" t="str">
        <f ca="1">TmOrderLU!AP13</f>
        <v>ng</v>
      </c>
      <c r="AQ13" s="4" t="str">
        <f ca="1">TmOrderLU!AQ13</f>
        <v>ng</v>
      </c>
      <c r="AR13" s="357" t="str">
        <f ca="1">TmOrderLU!AR13</f>
        <v>ng</v>
      </c>
      <c r="AT13" s="50">
        <f t="shared" ref="AT13:AT30" si="6">AT12+1</f>
        <v>3</v>
      </c>
      <c r="AU13" s="4" t="str">
        <f>"                 "</f>
        <v xml:space="preserve">                 </v>
      </c>
    </row>
    <row r="14" spans="1:86">
      <c r="D14" s="357" t="str">
        <f ca="1">TmOrderLU!D14</f>
        <v>Tm04</v>
      </c>
      <c r="E14" s="4" t="str">
        <f ca="1">TmOrderLU!E14</f>
        <v>Tm06</v>
      </c>
      <c r="F14" s="4" t="str">
        <f ca="1">TmOrderLU!F14</f>
        <v>ng</v>
      </c>
      <c r="G14" s="4" t="str">
        <f ca="1">TmOrderLU!G14</f>
        <v>ng</v>
      </c>
      <c r="H14" s="4" t="str">
        <f ca="1">TmOrderLU!H14</f>
        <v>Tm08</v>
      </c>
      <c r="I14" s="4" t="str">
        <f ca="1">TmOrderLU!I14</f>
        <v>Tm07</v>
      </c>
      <c r="J14" s="4" t="str">
        <f ca="1">TmOrderLU!J14</f>
        <v>ng</v>
      </c>
      <c r="K14" s="4" t="str">
        <f ca="1">TmOrderLU!K14</f>
        <v>ng</v>
      </c>
      <c r="L14" s="4" t="str">
        <f ca="1">TmOrderLU!L14</f>
        <v>Tm05</v>
      </c>
      <c r="M14" s="4" t="str">
        <f ca="1">TmOrderLU!M14</f>
        <v>Tm01</v>
      </c>
      <c r="N14" s="4" t="str">
        <f ca="1">TmOrderLU!N14</f>
        <v>ng</v>
      </c>
      <c r="O14" s="4" t="str">
        <f ca="1">TmOrderLU!O14</f>
        <v>ng</v>
      </c>
      <c r="P14" s="4" t="str">
        <f ca="1">TmOrderLU!P14</f>
        <v>Tm02</v>
      </c>
      <c r="Q14" s="4" t="str">
        <f ca="1">TmOrderLU!Q14</f>
        <v>Tm03</v>
      </c>
      <c r="R14" s="4" t="str">
        <f ca="1">TmOrderLU!R14</f>
        <v>ng</v>
      </c>
      <c r="S14" s="4" t="str">
        <f ca="1">TmOrderLU!S14</f>
        <v>ng</v>
      </c>
      <c r="T14" s="4" t="str">
        <f ca="1">TmOrderLU!T14</f>
        <v>ng</v>
      </c>
      <c r="U14" s="4" t="str">
        <f ca="1">TmOrderLU!U14</f>
        <v>ng</v>
      </c>
      <c r="V14" s="4" t="str">
        <f ca="1">TmOrderLU!V14</f>
        <v>ng</v>
      </c>
      <c r="W14" s="4" t="str">
        <f ca="1">TmOrderLU!W14</f>
        <v>ng</v>
      </c>
      <c r="X14" s="4" t="str">
        <f ca="1">TmOrderLU!X14</f>
        <v>ng</v>
      </c>
      <c r="Y14" s="4" t="str">
        <f ca="1">TmOrderLU!Y14</f>
        <v>ng</v>
      </c>
      <c r="Z14" s="4" t="str">
        <f ca="1">TmOrderLU!Z14</f>
        <v>ng</v>
      </c>
      <c r="AA14" s="4" t="str">
        <f ca="1">TmOrderLU!AA14</f>
        <v>ng</v>
      </c>
      <c r="AB14" s="4" t="str">
        <f ca="1">TmOrderLU!AB14</f>
        <v>ng</v>
      </c>
      <c r="AC14" s="4" t="str">
        <f ca="1">TmOrderLU!AC14</f>
        <v>ng</v>
      </c>
      <c r="AD14" s="4" t="str">
        <f ca="1">TmOrderLU!AD14</f>
        <v>ng</v>
      </c>
      <c r="AE14" s="4" t="str">
        <f ca="1">TmOrderLU!AE14</f>
        <v>ng</v>
      </c>
      <c r="AF14" s="4" t="str">
        <f ca="1">TmOrderLU!AF14</f>
        <v>ng</v>
      </c>
      <c r="AG14" s="4" t="str">
        <f ca="1">TmOrderLU!AG14</f>
        <v>ng</v>
      </c>
      <c r="AH14" s="4" t="str">
        <f ca="1">TmOrderLU!AH14</f>
        <v>ng</v>
      </c>
      <c r="AI14" s="4" t="str">
        <f ca="1">TmOrderLU!AI14</f>
        <v>ng</v>
      </c>
      <c r="AJ14" s="4" t="str">
        <f ca="1">TmOrderLU!AJ14</f>
        <v>ng</v>
      </c>
      <c r="AK14" s="4" t="str">
        <f ca="1">TmOrderLU!AK14</f>
        <v>ng</v>
      </c>
      <c r="AL14" s="4" t="str">
        <f ca="1">TmOrderLU!AL14</f>
        <v>ng</v>
      </c>
      <c r="AM14" s="4" t="str">
        <f ca="1">TmOrderLU!AM14</f>
        <v>ng</v>
      </c>
      <c r="AN14" s="4" t="str">
        <f ca="1">TmOrderLU!AN14</f>
        <v>ng</v>
      </c>
      <c r="AO14" s="4" t="str">
        <f ca="1">TmOrderLU!AO14</f>
        <v>ng</v>
      </c>
      <c r="AP14" s="4" t="str">
        <f ca="1">TmOrderLU!AP14</f>
        <v>ng</v>
      </c>
      <c r="AQ14" s="4" t="str">
        <f ca="1">TmOrderLU!AQ14</f>
        <v>ng</v>
      </c>
      <c r="AR14" s="357" t="str">
        <f ca="1">TmOrderLU!AR14</f>
        <v>ng</v>
      </c>
      <c r="AT14" s="50">
        <f t="shared" si="6"/>
        <v>4</v>
      </c>
      <c r="AU14" s="4" t="str">
        <f>"                "</f>
        <v xml:space="preserve">                </v>
      </c>
    </row>
    <row r="15" spans="1:86">
      <c r="D15" s="357" t="str">
        <f ca="1">TmOrderLU!D15</f>
        <v>Tm05</v>
      </c>
      <c r="E15" s="4" t="str">
        <f ca="1">TmOrderLU!E15</f>
        <v>Tm03</v>
      </c>
      <c r="F15" s="4" t="str">
        <f ca="1">TmOrderLU!F15</f>
        <v>ng</v>
      </c>
      <c r="G15" s="4" t="str">
        <f ca="1">TmOrderLU!G15</f>
        <v>ng</v>
      </c>
      <c r="H15" s="4" t="str">
        <f ca="1">TmOrderLU!H15</f>
        <v>Tm01</v>
      </c>
      <c r="I15" s="4" t="str">
        <f ca="1">TmOrderLU!I15</f>
        <v>Tm02</v>
      </c>
      <c r="J15" s="4" t="str">
        <f ca="1">TmOrderLU!J15</f>
        <v>ng</v>
      </c>
      <c r="K15" s="4" t="str">
        <f ca="1">TmOrderLU!K15</f>
        <v>ng</v>
      </c>
      <c r="L15" s="4" t="str">
        <f ca="1">TmOrderLU!L15</f>
        <v>Tm04</v>
      </c>
      <c r="M15" s="4" t="str">
        <f ca="1">TmOrderLU!M15</f>
        <v>Tm08</v>
      </c>
      <c r="N15" s="4" t="str">
        <f ca="1">TmOrderLU!N15</f>
        <v>ng</v>
      </c>
      <c r="O15" s="4" t="str">
        <f ca="1">TmOrderLU!O15</f>
        <v>ng</v>
      </c>
      <c r="P15" s="4" t="str">
        <f ca="1">TmOrderLU!P15</f>
        <v>Tm07</v>
      </c>
      <c r="Q15" s="4" t="str">
        <f ca="1">TmOrderLU!Q15</f>
        <v>Tm06</v>
      </c>
      <c r="R15" s="4" t="str">
        <f ca="1">TmOrderLU!R15</f>
        <v>ng</v>
      </c>
      <c r="S15" s="4" t="str">
        <f ca="1">TmOrderLU!S15</f>
        <v>ng</v>
      </c>
      <c r="T15" s="4" t="str">
        <f ca="1">TmOrderLU!T15</f>
        <v>ng</v>
      </c>
      <c r="U15" s="4" t="str">
        <f ca="1">TmOrderLU!U15</f>
        <v>ng</v>
      </c>
      <c r="V15" s="4" t="str">
        <f ca="1">TmOrderLU!V15</f>
        <v>ng</v>
      </c>
      <c r="W15" s="4" t="str">
        <f ca="1">TmOrderLU!W15</f>
        <v>ng</v>
      </c>
      <c r="X15" s="4" t="str">
        <f ca="1">TmOrderLU!X15</f>
        <v>ng</v>
      </c>
      <c r="Y15" s="4" t="str">
        <f ca="1">TmOrderLU!Y15</f>
        <v>ng</v>
      </c>
      <c r="Z15" s="4" t="str">
        <f ca="1">TmOrderLU!Z15</f>
        <v>ng</v>
      </c>
      <c r="AA15" s="4" t="str">
        <f ca="1">TmOrderLU!AA15</f>
        <v>ng</v>
      </c>
      <c r="AB15" s="4" t="str">
        <f ca="1">TmOrderLU!AB15</f>
        <v>ng</v>
      </c>
      <c r="AC15" s="4" t="str">
        <f ca="1">TmOrderLU!AC15</f>
        <v>ng</v>
      </c>
      <c r="AD15" s="4" t="str">
        <f ca="1">TmOrderLU!AD15</f>
        <v>ng</v>
      </c>
      <c r="AE15" s="4" t="str">
        <f ca="1">TmOrderLU!AE15</f>
        <v>ng</v>
      </c>
      <c r="AF15" s="4" t="str">
        <f ca="1">TmOrderLU!AF15</f>
        <v>ng</v>
      </c>
      <c r="AG15" s="4" t="str">
        <f ca="1">TmOrderLU!AG15</f>
        <v>ng</v>
      </c>
      <c r="AH15" s="4" t="str">
        <f ca="1">TmOrderLU!AH15</f>
        <v>ng</v>
      </c>
      <c r="AI15" s="4" t="str">
        <f ca="1">TmOrderLU!AI15</f>
        <v>ng</v>
      </c>
      <c r="AJ15" s="4" t="str">
        <f ca="1">TmOrderLU!AJ15</f>
        <v>ng</v>
      </c>
      <c r="AK15" s="4" t="str">
        <f ca="1">TmOrderLU!AK15</f>
        <v>ng</v>
      </c>
      <c r="AL15" s="4" t="str">
        <f ca="1">TmOrderLU!AL15</f>
        <v>ng</v>
      </c>
      <c r="AM15" s="4" t="str">
        <f ca="1">TmOrderLU!AM15</f>
        <v>ng</v>
      </c>
      <c r="AN15" s="4" t="str">
        <f ca="1">TmOrderLU!AN15</f>
        <v>ng</v>
      </c>
      <c r="AO15" s="4" t="str">
        <f ca="1">TmOrderLU!AO15</f>
        <v>ng</v>
      </c>
      <c r="AP15" s="4" t="str">
        <f ca="1">TmOrderLU!AP15</f>
        <v>ng</v>
      </c>
      <c r="AQ15" s="4" t="str">
        <f ca="1">TmOrderLU!AQ15</f>
        <v>ng</v>
      </c>
      <c r="AR15" s="357" t="str">
        <f ca="1">TmOrderLU!AR15</f>
        <v>ng</v>
      </c>
      <c r="AT15" s="50">
        <f t="shared" si="6"/>
        <v>5</v>
      </c>
      <c r="AU15" s="4" t="str">
        <f>"               "</f>
        <v xml:space="preserve">               </v>
      </c>
    </row>
    <row r="16" spans="1:86">
      <c r="D16" s="357" t="str">
        <f ca="1">TmOrderLU!D16</f>
        <v>Tm06</v>
      </c>
      <c r="E16" s="4" t="str">
        <f ca="1">TmOrderLU!E16</f>
        <v>Tm04</v>
      </c>
      <c r="F16" s="4" t="str">
        <f ca="1">TmOrderLU!F16</f>
        <v>ng</v>
      </c>
      <c r="G16" s="4" t="str">
        <f ca="1">TmOrderLU!G16</f>
        <v>ng</v>
      </c>
      <c r="H16" s="4" t="str">
        <f ca="1">TmOrderLU!H16</f>
        <v>Tm02</v>
      </c>
      <c r="I16" s="4" t="str">
        <f ca="1">TmOrderLU!I16</f>
        <v>Tm01</v>
      </c>
      <c r="J16" s="4" t="str">
        <f ca="1">TmOrderLU!J16</f>
        <v>ng</v>
      </c>
      <c r="K16" s="4" t="str">
        <f ca="1">TmOrderLU!K16</f>
        <v>ng</v>
      </c>
      <c r="L16" s="4" t="str">
        <f ca="1">TmOrderLU!L16</f>
        <v>Tm03</v>
      </c>
      <c r="M16" s="4" t="str">
        <f ca="1">TmOrderLU!M16</f>
        <v>Tm07</v>
      </c>
      <c r="N16" s="4" t="str">
        <f ca="1">TmOrderLU!N16</f>
        <v>ng</v>
      </c>
      <c r="O16" s="4" t="str">
        <f ca="1">TmOrderLU!O16</f>
        <v>ng</v>
      </c>
      <c r="P16" s="4" t="str">
        <f ca="1">TmOrderLU!P16</f>
        <v>Tm08</v>
      </c>
      <c r="Q16" s="4" t="str">
        <f ca="1">TmOrderLU!Q16</f>
        <v>Tm05</v>
      </c>
      <c r="R16" s="4" t="str">
        <f ca="1">TmOrderLU!R16</f>
        <v>ng</v>
      </c>
      <c r="S16" s="4" t="str">
        <f ca="1">TmOrderLU!S16</f>
        <v>ng</v>
      </c>
      <c r="T16" s="4" t="str">
        <f ca="1">TmOrderLU!T16</f>
        <v>ng</v>
      </c>
      <c r="U16" s="4" t="str">
        <f ca="1">TmOrderLU!U16</f>
        <v>ng</v>
      </c>
      <c r="V16" s="4" t="str">
        <f ca="1">TmOrderLU!V16</f>
        <v>ng</v>
      </c>
      <c r="W16" s="4" t="str">
        <f ca="1">TmOrderLU!W16</f>
        <v>ng</v>
      </c>
      <c r="X16" s="4" t="str">
        <f ca="1">TmOrderLU!X16</f>
        <v>ng</v>
      </c>
      <c r="Y16" s="4" t="str">
        <f ca="1">TmOrderLU!Y16</f>
        <v>ng</v>
      </c>
      <c r="Z16" s="4" t="str">
        <f ca="1">TmOrderLU!Z16</f>
        <v>ng</v>
      </c>
      <c r="AA16" s="4" t="str">
        <f ca="1">TmOrderLU!AA16</f>
        <v>ng</v>
      </c>
      <c r="AB16" s="4" t="str">
        <f ca="1">TmOrderLU!AB16</f>
        <v>ng</v>
      </c>
      <c r="AC16" s="4" t="str">
        <f ca="1">TmOrderLU!AC16</f>
        <v>ng</v>
      </c>
      <c r="AD16" s="4" t="str">
        <f ca="1">TmOrderLU!AD16</f>
        <v>ng</v>
      </c>
      <c r="AE16" s="4" t="str">
        <f ca="1">TmOrderLU!AE16</f>
        <v>ng</v>
      </c>
      <c r="AF16" s="4" t="str">
        <f ca="1">TmOrderLU!AF16</f>
        <v>ng</v>
      </c>
      <c r="AG16" s="4" t="str">
        <f ca="1">TmOrderLU!AG16</f>
        <v>ng</v>
      </c>
      <c r="AH16" s="4" t="str">
        <f ca="1">TmOrderLU!AH16</f>
        <v>ng</v>
      </c>
      <c r="AI16" s="4" t="str">
        <f ca="1">TmOrderLU!AI16</f>
        <v>ng</v>
      </c>
      <c r="AJ16" s="4" t="str">
        <f ca="1">TmOrderLU!AJ16</f>
        <v>ng</v>
      </c>
      <c r="AK16" s="4" t="str">
        <f ca="1">TmOrderLU!AK16</f>
        <v>ng</v>
      </c>
      <c r="AL16" s="4" t="str">
        <f ca="1">TmOrderLU!AL16</f>
        <v>ng</v>
      </c>
      <c r="AM16" s="4" t="str">
        <f ca="1">TmOrderLU!AM16</f>
        <v>ng</v>
      </c>
      <c r="AN16" s="4" t="str">
        <f ca="1">TmOrderLU!AN16</f>
        <v>ng</v>
      </c>
      <c r="AO16" s="4" t="str">
        <f ca="1">TmOrderLU!AO16</f>
        <v>ng</v>
      </c>
      <c r="AP16" s="4" t="str">
        <f ca="1">TmOrderLU!AP16</f>
        <v>ng</v>
      </c>
      <c r="AQ16" s="4" t="str">
        <f ca="1">TmOrderLU!AQ16</f>
        <v>ng</v>
      </c>
      <c r="AR16" s="357" t="str">
        <f ca="1">TmOrderLU!AR16</f>
        <v>ng</v>
      </c>
      <c r="AT16" s="50">
        <f t="shared" si="6"/>
        <v>6</v>
      </c>
      <c r="AU16" s="4" t="str">
        <f>"              "</f>
        <v xml:space="preserve">              </v>
      </c>
    </row>
    <row r="17" spans="4:47">
      <c r="D17" s="357" t="str">
        <f ca="1">TmOrderLU!D17</f>
        <v>Tm07</v>
      </c>
      <c r="E17" s="4" t="str">
        <f ca="1">TmOrderLU!E17</f>
        <v>Tm02</v>
      </c>
      <c r="F17" s="4" t="str">
        <f ca="1">TmOrderLU!F17</f>
        <v>ng</v>
      </c>
      <c r="G17" s="4" t="str">
        <f ca="1">TmOrderLU!G17</f>
        <v>ng</v>
      </c>
      <c r="H17" s="4" t="str">
        <f ca="1">TmOrderLU!H17</f>
        <v>Tm03</v>
      </c>
      <c r="I17" s="4" t="str">
        <f ca="1">TmOrderLU!I17</f>
        <v>Tm04</v>
      </c>
      <c r="J17" s="4" t="str">
        <f ca="1">TmOrderLU!J17</f>
        <v>ng</v>
      </c>
      <c r="K17" s="4" t="str">
        <f ca="1">TmOrderLU!K17</f>
        <v>ng</v>
      </c>
      <c r="L17" s="4" t="str">
        <f ca="1">TmOrderLU!L17</f>
        <v>Tm01</v>
      </c>
      <c r="M17" s="4" t="str">
        <f ca="1">TmOrderLU!M17</f>
        <v>Tm06</v>
      </c>
      <c r="N17" s="4" t="str">
        <f ca="1">TmOrderLU!N17</f>
        <v>ng</v>
      </c>
      <c r="O17" s="4" t="str">
        <f ca="1">TmOrderLU!O17</f>
        <v>ng</v>
      </c>
      <c r="P17" s="4" t="str">
        <f ca="1">TmOrderLU!P17</f>
        <v>Tm05</v>
      </c>
      <c r="Q17" s="4" t="str">
        <f ca="1">TmOrderLU!Q17</f>
        <v>Tm08</v>
      </c>
      <c r="R17" s="4" t="str">
        <f ca="1">TmOrderLU!R17</f>
        <v>ng</v>
      </c>
      <c r="S17" s="4" t="str">
        <f ca="1">TmOrderLU!S17</f>
        <v>ng</v>
      </c>
      <c r="T17" s="4" t="str">
        <f ca="1">TmOrderLU!T17</f>
        <v>ng</v>
      </c>
      <c r="U17" s="4" t="str">
        <f ca="1">TmOrderLU!U17</f>
        <v>ng</v>
      </c>
      <c r="V17" s="4" t="str">
        <f ca="1">TmOrderLU!V17</f>
        <v>ng</v>
      </c>
      <c r="W17" s="4" t="str">
        <f ca="1">TmOrderLU!W17</f>
        <v>ng</v>
      </c>
      <c r="X17" s="4" t="str">
        <f ca="1">TmOrderLU!X17</f>
        <v>ng</v>
      </c>
      <c r="Y17" s="4" t="str">
        <f ca="1">TmOrderLU!Y17</f>
        <v>ng</v>
      </c>
      <c r="Z17" s="4" t="str">
        <f ca="1">TmOrderLU!Z17</f>
        <v>ng</v>
      </c>
      <c r="AA17" s="4" t="str">
        <f ca="1">TmOrderLU!AA17</f>
        <v>ng</v>
      </c>
      <c r="AB17" s="4" t="str">
        <f ca="1">TmOrderLU!AB17</f>
        <v>ng</v>
      </c>
      <c r="AC17" s="4" t="str">
        <f ca="1">TmOrderLU!AC17</f>
        <v>ng</v>
      </c>
      <c r="AD17" s="4" t="str">
        <f ca="1">TmOrderLU!AD17</f>
        <v>ng</v>
      </c>
      <c r="AE17" s="4" t="str">
        <f ca="1">TmOrderLU!AE17</f>
        <v>ng</v>
      </c>
      <c r="AF17" s="4" t="str">
        <f ca="1">TmOrderLU!AF17</f>
        <v>ng</v>
      </c>
      <c r="AG17" s="4" t="str">
        <f ca="1">TmOrderLU!AG17</f>
        <v>ng</v>
      </c>
      <c r="AH17" s="4" t="str">
        <f ca="1">TmOrderLU!AH17</f>
        <v>ng</v>
      </c>
      <c r="AI17" s="4" t="str">
        <f ca="1">TmOrderLU!AI17</f>
        <v>ng</v>
      </c>
      <c r="AJ17" s="4" t="str">
        <f ca="1">TmOrderLU!AJ17</f>
        <v>ng</v>
      </c>
      <c r="AK17" s="4" t="str">
        <f ca="1">TmOrderLU!AK17</f>
        <v>ng</v>
      </c>
      <c r="AL17" s="4" t="str">
        <f ca="1">TmOrderLU!AL17</f>
        <v>ng</v>
      </c>
      <c r="AM17" s="4" t="str">
        <f ca="1">TmOrderLU!AM17</f>
        <v>ng</v>
      </c>
      <c r="AN17" s="4" t="str">
        <f ca="1">TmOrderLU!AN17</f>
        <v>ng</v>
      </c>
      <c r="AO17" s="4" t="str">
        <f ca="1">TmOrderLU!AO17</f>
        <v>ng</v>
      </c>
      <c r="AP17" s="4" t="str">
        <f ca="1">TmOrderLU!AP17</f>
        <v>ng</v>
      </c>
      <c r="AQ17" s="4" t="str">
        <f ca="1">TmOrderLU!AQ17</f>
        <v>ng</v>
      </c>
      <c r="AR17" s="357" t="str">
        <f ca="1">TmOrderLU!AR17</f>
        <v>ng</v>
      </c>
      <c r="AT17" s="50">
        <f t="shared" si="6"/>
        <v>7</v>
      </c>
      <c r="AU17" s="4" t="str">
        <f>"             "</f>
        <v xml:space="preserve">             </v>
      </c>
    </row>
    <row r="18" spans="4:47">
      <c r="D18" s="357" t="str">
        <f ca="1">TmOrderLU!D18</f>
        <v>Tm08</v>
      </c>
      <c r="E18" s="4" t="str">
        <f ca="1">TmOrderLU!E18</f>
        <v>Tm01</v>
      </c>
      <c r="F18" s="4" t="str">
        <f ca="1">TmOrderLU!F18</f>
        <v>ng</v>
      </c>
      <c r="G18" s="4" t="str">
        <f ca="1">TmOrderLU!G18</f>
        <v>ng</v>
      </c>
      <c r="H18" s="4" t="str">
        <f ca="1">TmOrderLU!H18</f>
        <v>Tm04</v>
      </c>
      <c r="I18" s="4" t="str">
        <f ca="1">TmOrderLU!I18</f>
        <v>Tm03</v>
      </c>
      <c r="J18" s="4" t="str">
        <f ca="1">TmOrderLU!J18</f>
        <v>ng</v>
      </c>
      <c r="K18" s="4" t="str">
        <f ca="1">TmOrderLU!K18</f>
        <v>ng</v>
      </c>
      <c r="L18" s="4" t="str">
        <f ca="1">TmOrderLU!L18</f>
        <v>Tm02</v>
      </c>
      <c r="M18" s="4" t="str">
        <f ca="1">TmOrderLU!M18</f>
        <v>Tm05</v>
      </c>
      <c r="N18" s="4" t="str">
        <f ca="1">TmOrderLU!N18</f>
        <v>ng</v>
      </c>
      <c r="O18" s="4" t="str">
        <f ca="1">TmOrderLU!O18</f>
        <v>ng</v>
      </c>
      <c r="P18" s="4" t="str">
        <f ca="1">TmOrderLU!P18</f>
        <v>Tm06</v>
      </c>
      <c r="Q18" s="4" t="str">
        <f ca="1">TmOrderLU!Q18</f>
        <v>Tm07</v>
      </c>
      <c r="R18" s="4" t="str">
        <f ca="1">TmOrderLU!R18</f>
        <v>ng</v>
      </c>
      <c r="S18" s="4" t="str">
        <f ca="1">TmOrderLU!S18</f>
        <v>ng</v>
      </c>
      <c r="T18" s="4" t="str">
        <f ca="1">TmOrderLU!T18</f>
        <v>ng</v>
      </c>
      <c r="U18" s="4" t="str">
        <f ca="1">TmOrderLU!U18</f>
        <v>ng</v>
      </c>
      <c r="V18" s="4" t="str">
        <f ca="1">TmOrderLU!V18</f>
        <v>ng</v>
      </c>
      <c r="W18" s="4" t="str">
        <f ca="1">TmOrderLU!W18</f>
        <v>ng</v>
      </c>
      <c r="X18" s="4" t="str">
        <f ca="1">TmOrderLU!X18</f>
        <v>ng</v>
      </c>
      <c r="Y18" s="4" t="str">
        <f ca="1">TmOrderLU!Y18</f>
        <v>ng</v>
      </c>
      <c r="Z18" s="4" t="str">
        <f ca="1">TmOrderLU!Z18</f>
        <v>ng</v>
      </c>
      <c r="AA18" s="4" t="str">
        <f ca="1">TmOrderLU!AA18</f>
        <v>ng</v>
      </c>
      <c r="AB18" s="4" t="str">
        <f ca="1">TmOrderLU!AB18</f>
        <v>ng</v>
      </c>
      <c r="AC18" s="4" t="str">
        <f ca="1">TmOrderLU!AC18</f>
        <v>ng</v>
      </c>
      <c r="AD18" s="4" t="str">
        <f ca="1">TmOrderLU!AD18</f>
        <v>ng</v>
      </c>
      <c r="AE18" s="4" t="str">
        <f ca="1">TmOrderLU!AE18</f>
        <v>ng</v>
      </c>
      <c r="AF18" s="4" t="str">
        <f ca="1">TmOrderLU!AF18</f>
        <v>ng</v>
      </c>
      <c r="AG18" s="4" t="str">
        <f ca="1">TmOrderLU!AG18</f>
        <v>ng</v>
      </c>
      <c r="AH18" s="4" t="str">
        <f ca="1">TmOrderLU!AH18</f>
        <v>ng</v>
      </c>
      <c r="AI18" s="4" t="str">
        <f ca="1">TmOrderLU!AI18</f>
        <v>ng</v>
      </c>
      <c r="AJ18" s="4" t="str">
        <f ca="1">TmOrderLU!AJ18</f>
        <v>ng</v>
      </c>
      <c r="AK18" s="4" t="str">
        <f ca="1">TmOrderLU!AK18</f>
        <v>ng</v>
      </c>
      <c r="AL18" s="4" t="str">
        <f ca="1">TmOrderLU!AL18</f>
        <v>ng</v>
      </c>
      <c r="AM18" s="4" t="str">
        <f ca="1">TmOrderLU!AM18</f>
        <v>ng</v>
      </c>
      <c r="AN18" s="4" t="str">
        <f ca="1">TmOrderLU!AN18</f>
        <v>ng</v>
      </c>
      <c r="AO18" s="4" t="str">
        <f ca="1">TmOrderLU!AO18</f>
        <v>ng</v>
      </c>
      <c r="AP18" s="4" t="str">
        <f ca="1">TmOrderLU!AP18</f>
        <v>ng</v>
      </c>
      <c r="AQ18" s="4" t="str">
        <f ca="1">TmOrderLU!AQ18</f>
        <v>ng</v>
      </c>
      <c r="AR18" s="357" t="str">
        <f ca="1">TmOrderLU!AR18</f>
        <v>ng</v>
      </c>
      <c r="AT18" s="50">
        <f t="shared" si="6"/>
        <v>8</v>
      </c>
      <c r="AU18" s="4" t="str">
        <f>"            "</f>
        <v xml:space="preserve">            </v>
      </c>
    </row>
    <row r="19" spans="4:47">
      <c r="D19" s="357" t="str">
        <f ca="1">TmOrderLU!D19</f>
        <v>Tm09</v>
      </c>
      <c r="E19" s="4" t="str">
        <f ca="1">TmOrderLU!E19</f>
        <v>ng</v>
      </c>
      <c r="F19" s="4" t="str">
        <f ca="1">TmOrderLU!F19</f>
        <v>Tm14</v>
      </c>
      <c r="G19" s="4" t="str">
        <f ca="1">TmOrderLU!G19</f>
        <v>Tm15</v>
      </c>
      <c r="H19" s="4" t="str">
        <f ca="1">TmOrderLU!H19</f>
        <v>ng</v>
      </c>
      <c r="I19" s="4" t="str">
        <f ca="1">TmOrderLU!I19</f>
        <v>ng</v>
      </c>
      <c r="J19" s="4" t="str">
        <f ca="1">TmOrderLU!J19</f>
        <v>Tm16</v>
      </c>
      <c r="K19" s="4" t="str">
        <f ca="1">TmOrderLU!K19</f>
        <v>Tm13</v>
      </c>
      <c r="L19" s="4" t="str">
        <f ca="1">TmOrderLU!L19</f>
        <v>ng</v>
      </c>
      <c r="M19" s="4" t="str">
        <f ca="1">TmOrderLU!M19</f>
        <v>ng</v>
      </c>
      <c r="N19" s="4" t="str">
        <f ca="1">TmOrderLU!N19</f>
        <v>Tm12</v>
      </c>
      <c r="O19" s="4" t="str">
        <f ca="1">TmOrderLU!O19</f>
        <v>Tm11</v>
      </c>
      <c r="P19" s="4" t="str">
        <f ca="1">TmOrderLU!P19</f>
        <v>ng</v>
      </c>
      <c r="Q19" s="4" t="str">
        <f ca="1">TmOrderLU!Q19</f>
        <v>ng</v>
      </c>
      <c r="R19" s="4" t="str">
        <f ca="1">TmOrderLU!R19</f>
        <v>Tm10</v>
      </c>
      <c r="S19" s="4" t="str">
        <f ca="1">TmOrderLU!S19</f>
        <v>ng</v>
      </c>
      <c r="T19" s="4" t="str">
        <f ca="1">TmOrderLU!T19</f>
        <v>ng</v>
      </c>
      <c r="U19" s="4" t="str">
        <f ca="1">TmOrderLU!U19</f>
        <v>ng</v>
      </c>
      <c r="V19" s="4" t="str">
        <f ca="1">TmOrderLU!V19</f>
        <v>ng</v>
      </c>
      <c r="W19" s="4" t="str">
        <f ca="1">TmOrderLU!W19</f>
        <v>ng</v>
      </c>
      <c r="X19" s="4" t="str">
        <f ca="1">TmOrderLU!X19</f>
        <v>ng</v>
      </c>
      <c r="Y19" s="4" t="str">
        <f ca="1">TmOrderLU!Y19</f>
        <v>ng</v>
      </c>
      <c r="Z19" s="4" t="str">
        <f ca="1">TmOrderLU!Z19</f>
        <v>ng</v>
      </c>
      <c r="AA19" s="4" t="str">
        <f ca="1">TmOrderLU!AA19</f>
        <v>ng</v>
      </c>
      <c r="AB19" s="4" t="str">
        <f ca="1">TmOrderLU!AB19</f>
        <v>ng</v>
      </c>
      <c r="AC19" s="4" t="str">
        <f ca="1">TmOrderLU!AC19</f>
        <v>ng</v>
      </c>
      <c r="AD19" s="4" t="str">
        <f ca="1">TmOrderLU!AD19</f>
        <v>ng</v>
      </c>
      <c r="AE19" s="4" t="str">
        <f ca="1">TmOrderLU!AE19</f>
        <v>ng</v>
      </c>
      <c r="AF19" s="4" t="str">
        <f ca="1">TmOrderLU!AF19</f>
        <v>ng</v>
      </c>
      <c r="AG19" s="4" t="str">
        <f ca="1">TmOrderLU!AG19</f>
        <v>ng</v>
      </c>
      <c r="AH19" s="4" t="str">
        <f ca="1">TmOrderLU!AH19</f>
        <v>ng</v>
      </c>
      <c r="AI19" s="4" t="str">
        <f ca="1">TmOrderLU!AI19</f>
        <v>ng</v>
      </c>
      <c r="AJ19" s="4" t="str">
        <f ca="1">TmOrderLU!AJ19</f>
        <v>ng</v>
      </c>
      <c r="AK19" s="4" t="str">
        <f ca="1">TmOrderLU!AK19</f>
        <v>ng</v>
      </c>
      <c r="AL19" s="4" t="str">
        <f ca="1">TmOrderLU!AL19</f>
        <v>ng</v>
      </c>
      <c r="AM19" s="4" t="str">
        <f ca="1">TmOrderLU!AM19</f>
        <v>ng</v>
      </c>
      <c r="AN19" s="4" t="str">
        <f ca="1">TmOrderLU!AN19</f>
        <v>ng</v>
      </c>
      <c r="AO19" s="4" t="str">
        <f ca="1">TmOrderLU!AO19</f>
        <v>ng</v>
      </c>
      <c r="AP19" s="4" t="str">
        <f ca="1">TmOrderLU!AP19</f>
        <v>ng</v>
      </c>
      <c r="AQ19" s="4" t="str">
        <f ca="1">TmOrderLU!AQ19</f>
        <v>ng</v>
      </c>
      <c r="AR19" s="357" t="str">
        <f ca="1">TmOrderLU!AR19</f>
        <v>ng</v>
      </c>
      <c r="AT19" s="50">
        <f t="shared" si="6"/>
        <v>9</v>
      </c>
      <c r="AU19" s="4" t="str">
        <f>"           "</f>
        <v xml:space="preserve">           </v>
      </c>
    </row>
    <row r="20" spans="4:47">
      <c r="D20" s="357" t="str">
        <f ca="1">TmOrderLU!D20</f>
        <v>Tm10</v>
      </c>
      <c r="E20" s="4" t="str">
        <f ca="1">TmOrderLU!E20</f>
        <v>ng</v>
      </c>
      <c r="F20" s="4" t="str">
        <f ca="1">TmOrderLU!F20</f>
        <v>Tm13</v>
      </c>
      <c r="G20" s="4" t="str">
        <f ca="1">TmOrderLU!G20</f>
        <v>Tm16</v>
      </c>
      <c r="H20" s="4" t="str">
        <f ca="1">TmOrderLU!H20</f>
        <v>ng</v>
      </c>
      <c r="I20" s="4" t="str">
        <f ca="1">TmOrderLU!I20</f>
        <v>ng</v>
      </c>
      <c r="J20" s="4" t="str">
        <f ca="1">TmOrderLU!J20</f>
        <v>Tm15</v>
      </c>
      <c r="K20" s="4" t="str">
        <f ca="1">TmOrderLU!K20</f>
        <v>Tm14</v>
      </c>
      <c r="L20" s="4" t="str">
        <f ca="1">TmOrderLU!L20</f>
        <v>ng</v>
      </c>
      <c r="M20" s="4" t="str">
        <f ca="1">TmOrderLU!M20</f>
        <v>ng</v>
      </c>
      <c r="N20" s="4" t="str">
        <f ca="1">TmOrderLU!N20</f>
        <v>Tm11</v>
      </c>
      <c r="O20" s="4" t="str">
        <f ca="1">TmOrderLU!O20</f>
        <v>Tm12</v>
      </c>
      <c r="P20" s="4" t="str">
        <f ca="1">TmOrderLU!P20</f>
        <v>ng</v>
      </c>
      <c r="Q20" s="4" t="str">
        <f ca="1">TmOrderLU!Q20</f>
        <v>ng</v>
      </c>
      <c r="R20" s="4" t="str">
        <f ca="1">TmOrderLU!R20</f>
        <v>Tm09</v>
      </c>
      <c r="S20" s="4" t="str">
        <f ca="1">TmOrderLU!S20</f>
        <v>ng</v>
      </c>
      <c r="T20" s="4" t="str">
        <f ca="1">TmOrderLU!T20</f>
        <v>ng</v>
      </c>
      <c r="U20" s="4" t="str">
        <f ca="1">TmOrderLU!U20</f>
        <v>ng</v>
      </c>
      <c r="V20" s="4" t="str">
        <f ca="1">TmOrderLU!V20</f>
        <v>ng</v>
      </c>
      <c r="W20" s="4" t="str">
        <f ca="1">TmOrderLU!W20</f>
        <v>ng</v>
      </c>
      <c r="X20" s="4" t="str">
        <f ca="1">TmOrderLU!X20</f>
        <v>ng</v>
      </c>
      <c r="Y20" s="4" t="str">
        <f ca="1">TmOrderLU!Y20</f>
        <v>ng</v>
      </c>
      <c r="Z20" s="4" t="str">
        <f ca="1">TmOrderLU!Z20</f>
        <v>ng</v>
      </c>
      <c r="AA20" s="4" t="str">
        <f ca="1">TmOrderLU!AA20</f>
        <v>ng</v>
      </c>
      <c r="AB20" s="4" t="str">
        <f ca="1">TmOrderLU!AB20</f>
        <v>ng</v>
      </c>
      <c r="AC20" s="4" t="str">
        <f ca="1">TmOrderLU!AC20</f>
        <v>ng</v>
      </c>
      <c r="AD20" s="4" t="str">
        <f ca="1">TmOrderLU!AD20</f>
        <v>ng</v>
      </c>
      <c r="AE20" s="4" t="str">
        <f ca="1">TmOrderLU!AE20</f>
        <v>ng</v>
      </c>
      <c r="AF20" s="4" t="str">
        <f ca="1">TmOrderLU!AF20</f>
        <v>ng</v>
      </c>
      <c r="AG20" s="4" t="str">
        <f ca="1">TmOrderLU!AG20</f>
        <v>ng</v>
      </c>
      <c r="AH20" s="4" t="str">
        <f ca="1">TmOrderLU!AH20</f>
        <v>ng</v>
      </c>
      <c r="AI20" s="4" t="str">
        <f ca="1">TmOrderLU!AI20</f>
        <v>ng</v>
      </c>
      <c r="AJ20" s="4" t="str">
        <f ca="1">TmOrderLU!AJ20</f>
        <v>ng</v>
      </c>
      <c r="AK20" s="4" t="str">
        <f ca="1">TmOrderLU!AK20</f>
        <v>ng</v>
      </c>
      <c r="AL20" s="4" t="str">
        <f ca="1">TmOrderLU!AL20</f>
        <v>ng</v>
      </c>
      <c r="AM20" s="4" t="str">
        <f ca="1">TmOrderLU!AM20</f>
        <v>ng</v>
      </c>
      <c r="AN20" s="4" t="str">
        <f ca="1">TmOrderLU!AN20</f>
        <v>ng</v>
      </c>
      <c r="AO20" s="4" t="str">
        <f ca="1">TmOrderLU!AO20</f>
        <v>ng</v>
      </c>
      <c r="AP20" s="4" t="str">
        <f ca="1">TmOrderLU!AP20</f>
        <v>ng</v>
      </c>
      <c r="AQ20" s="4" t="str">
        <f ca="1">TmOrderLU!AQ20</f>
        <v>ng</v>
      </c>
      <c r="AR20" s="357" t="str">
        <f ca="1">TmOrderLU!AR20</f>
        <v>ng</v>
      </c>
      <c r="AT20" s="50">
        <f t="shared" si="6"/>
        <v>10</v>
      </c>
      <c r="AU20" s="4" t="str">
        <f>"          "</f>
        <v xml:space="preserve">          </v>
      </c>
    </row>
    <row r="21" spans="4:47">
      <c r="D21" s="357" t="str">
        <f ca="1">TmOrderLU!D21</f>
        <v>Tm11</v>
      </c>
      <c r="E21" s="4" t="str">
        <f ca="1">TmOrderLU!E21</f>
        <v>ng</v>
      </c>
      <c r="F21" s="4" t="str">
        <f ca="1">TmOrderLU!F21</f>
        <v>Tm15</v>
      </c>
      <c r="G21" s="4" t="str">
        <f ca="1">TmOrderLU!G21</f>
        <v>Tm13</v>
      </c>
      <c r="H21" s="4" t="str">
        <f ca="1">TmOrderLU!H21</f>
        <v>ng</v>
      </c>
      <c r="I21" s="4" t="str">
        <f ca="1">TmOrderLU!I21</f>
        <v>ng</v>
      </c>
      <c r="J21" s="4" t="str">
        <f ca="1">TmOrderLU!J21</f>
        <v>Tm14</v>
      </c>
      <c r="K21" s="4" t="str">
        <f ca="1">TmOrderLU!K21</f>
        <v>Tm16</v>
      </c>
      <c r="L21" s="4" t="str">
        <f ca="1">TmOrderLU!L21</f>
        <v>ng</v>
      </c>
      <c r="M21" s="4" t="str">
        <f ca="1">TmOrderLU!M21</f>
        <v>ng</v>
      </c>
      <c r="N21" s="4" t="str">
        <f ca="1">TmOrderLU!N21</f>
        <v>Tm10</v>
      </c>
      <c r="O21" s="4" t="str">
        <f ca="1">TmOrderLU!O21</f>
        <v>Tm09</v>
      </c>
      <c r="P21" s="4" t="str">
        <f ca="1">TmOrderLU!P21</f>
        <v>ng</v>
      </c>
      <c r="Q21" s="4" t="str">
        <f ca="1">TmOrderLU!Q21</f>
        <v>ng</v>
      </c>
      <c r="R21" s="4" t="str">
        <f ca="1">TmOrderLU!R21</f>
        <v>Tm12</v>
      </c>
      <c r="S21" s="4" t="str">
        <f ca="1">TmOrderLU!S21</f>
        <v>ng</v>
      </c>
      <c r="T21" s="4" t="str">
        <f ca="1">TmOrderLU!T21</f>
        <v>ng</v>
      </c>
      <c r="U21" s="4" t="str">
        <f ca="1">TmOrderLU!U21</f>
        <v>ng</v>
      </c>
      <c r="V21" s="4" t="str">
        <f ca="1">TmOrderLU!V21</f>
        <v>ng</v>
      </c>
      <c r="W21" s="4" t="str">
        <f ca="1">TmOrderLU!W21</f>
        <v>ng</v>
      </c>
      <c r="X21" s="4" t="str">
        <f ca="1">TmOrderLU!X21</f>
        <v>ng</v>
      </c>
      <c r="Y21" s="4" t="str">
        <f ca="1">TmOrderLU!Y21</f>
        <v>ng</v>
      </c>
      <c r="Z21" s="4" t="str">
        <f ca="1">TmOrderLU!Z21</f>
        <v>ng</v>
      </c>
      <c r="AA21" s="4" t="str">
        <f ca="1">TmOrderLU!AA21</f>
        <v>ng</v>
      </c>
      <c r="AB21" s="4" t="str">
        <f ca="1">TmOrderLU!AB21</f>
        <v>ng</v>
      </c>
      <c r="AC21" s="4" t="str">
        <f ca="1">TmOrderLU!AC21</f>
        <v>ng</v>
      </c>
      <c r="AD21" s="4" t="str">
        <f ca="1">TmOrderLU!AD21</f>
        <v>ng</v>
      </c>
      <c r="AE21" s="4" t="str">
        <f ca="1">TmOrderLU!AE21</f>
        <v>ng</v>
      </c>
      <c r="AF21" s="4" t="str">
        <f ca="1">TmOrderLU!AF21</f>
        <v>ng</v>
      </c>
      <c r="AG21" s="4" t="str">
        <f ca="1">TmOrderLU!AG21</f>
        <v>ng</v>
      </c>
      <c r="AH21" s="4" t="str">
        <f ca="1">TmOrderLU!AH21</f>
        <v>ng</v>
      </c>
      <c r="AI21" s="4" t="str">
        <f ca="1">TmOrderLU!AI21</f>
        <v>ng</v>
      </c>
      <c r="AJ21" s="4" t="str">
        <f ca="1">TmOrderLU!AJ21</f>
        <v>ng</v>
      </c>
      <c r="AK21" s="4" t="str">
        <f ca="1">TmOrderLU!AK21</f>
        <v>ng</v>
      </c>
      <c r="AL21" s="4" t="str">
        <f ca="1">TmOrderLU!AL21</f>
        <v>ng</v>
      </c>
      <c r="AM21" s="4" t="str">
        <f ca="1">TmOrderLU!AM21</f>
        <v>ng</v>
      </c>
      <c r="AN21" s="4" t="str">
        <f ca="1">TmOrderLU!AN21</f>
        <v>ng</v>
      </c>
      <c r="AO21" s="4" t="str">
        <f ca="1">TmOrderLU!AO21</f>
        <v>ng</v>
      </c>
      <c r="AP21" s="4" t="str">
        <f ca="1">TmOrderLU!AP21</f>
        <v>ng</v>
      </c>
      <c r="AQ21" s="4" t="str">
        <f ca="1">TmOrderLU!AQ21</f>
        <v>ng</v>
      </c>
      <c r="AR21" s="357" t="str">
        <f ca="1">TmOrderLU!AR21</f>
        <v>ng</v>
      </c>
      <c r="AT21" s="50">
        <f t="shared" si="6"/>
        <v>11</v>
      </c>
      <c r="AU21" s="4" t="str">
        <f>"         "</f>
        <v xml:space="preserve">         </v>
      </c>
    </row>
    <row r="22" spans="4:47">
      <c r="D22" s="357" t="str">
        <f ca="1">TmOrderLU!D22</f>
        <v>Tm12</v>
      </c>
      <c r="E22" s="4" t="str">
        <f ca="1">TmOrderLU!E22</f>
        <v>ng</v>
      </c>
      <c r="F22" s="4" t="str">
        <f ca="1">TmOrderLU!F22</f>
        <v>Tm16</v>
      </c>
      <c r="G22" s="4" t="str">
        <f ca="1">TmOrderLU!G22</f>
        <v>Tm14</v>
      </c>
      <c r="H22" s="4" t="str">
        <f ca="1">TmOrderLU!H22</f>
        <v>ng</v>
      </c>
      <c r="I22" s="4" t="str">
        <f ca="1">TmOrderLU!I22</f>
        <v>ng</v>
      </c>
      <c r="J22" s="4" t="str">
        <f ca="1">TmOrderLU!J22</f>
        <v>Tm13</v>
      </c>
      <c r="K22" s="4" t="str">
        <f ca="1">TmOrderLU!K22</f>
        <v>Tm15</v>
      </c>
      <c r="L22" s="4" t="str">
        <f ca="1">TmOrderLU!L22</f>
        <v>ng</v>
      </c>
      <c r="M22" s="4" t="str">
        <f ca="1">TmOrderLU!M22</f>
        <v>ng</v>
      </c>
      <c r="N22" s="4" t="str">
        <f ca="1">TmOrderLU!N22</f>
        <v>Tm09</v>
      </c>
      <c r="O22" s="4" t="str">
        <f ca="1">TmOrderLU!O22</f>
        <v>Tm10</v>
      </c>
      <c r="P22" s="4" t="str">
        <f ca="1">TmOrderLU!P22</f>
        <v>ng</v>
      </c>
      <c r="Q22" s="4" t="str">
        <f ca="1">TmOrderLU!Q22</f>
        <v>ng</v>
      </c>
      <c r="R22" s="4" t="str">
        <f ca="1">TmOrderLU!R22</f>
        <v>Tm11</v>
      </c>
      <c r="S22" s="4" t="str">
        <f ca="1">TmOrderLU!S22</f>
        <v>ng</v>
      </c>
      <c r="T22" s="4" t="str">
        <f ca="1">TmOrderLU!T22</f>
        <v>ng</v>
      </c>
      <c r="U22" s="4" t="str">
        <f ca="1">TmOrderLU!U22</f>
        <v>ng</v>
      </c>
      <c r="V22" s="4" t="str">
        <f ca="1">TmOrderLU!V22</f>
        <v>ng</v>
      </c>
      <c r="W22" s="4" t="str">
        <f ca="1">TmOrderLU!W22</f>
        <v>ng</v>
      </c>
      <c r="X22" s="4" t="str">
        <f ca="1">TmOrderLU!X22</f>
        <v>ng</v>
      </c>
      <c r="Y22" s="4" t="str">
        <f ca="1">TmOrderLU!Y22</f>
        <v>ng</v>
      </c>
      <c r="Z22" s="4" t="str">
        <f ca="1">TmOrderLU!Z22</f>
        <v>ng</v>
      </c>
      <c r="AA22" s="4" t="str">
        <f ca="1">TmOrderLU!AA22</f>
        <v>ng</v>
      </c>
      <c r="AB22" s="4" t="str">
        <f ca="1">TmOrderLU!AB22</f>
        <v>ng</v>
      </c>
      <c r="AC22" s="4" t="str">
        <f ca="1">TmOrderLU!AC22</f>
        <v>ng</v>
      </c>
      <c r="AD22" s="4" t="str">
        <f ca="1">TmOrderLU!AD22</f>
        <v>ng</v>
      </c>
      <c r="AE22" s="4" t="str">
        <f ca="1">TmOrderLU!AE22</f>
        <v>ng</v>
      </c>
      <c r="AF22" s="4" t="str">
        <f ca="1">TmOrderLU!AF22</f>
        <v>ng</v>
      </c>
      <c r="AG22" s="4" t="str">
        <f ca="1">TmOrderLU!AG22</f>
        <v>ng</v>
      </c>
      <c r="AH22" s="4" t="str">
        <f ca="1">TmOrderLU!AH22</f>
        <v>ng</v>
      </c>
      <c r="AI22" s="4" t="str">
        <f ca="1">TmOrderLU!AI22</f>
        <v>ng</v>
      </c>
      <c r="AJ22" s="4" t="str">
        <f ca="1">TmOrderLU!AJ22</f>
        <v>ng</v>
      </c>
      <c r="AK22" s="4" t="str">
        <f ca="1">TmOrderLU!AK22</f>
        <v>ng</v>
      </c>
      <c r="AL22" s="4" t="str">
        <f ca="1">TmOrderLU!AL22</f>
        <v>ng</v>
      </c>
      <c r="AM22" s="4" t="str">
        <f ca="1">TmOrderLU!AM22</f>
        <v>ng</v>
      </c>
      <c r="AN22" s="4" t="str">
        <f ca="1">TmOrderLU!AN22</f>
        <v>ng</v>
      </c>
      <c r="AO22" s="4" t="str">
        <f ca="1">TmOrderLU!AO22</f>
        <v>ng</v>
      </c>
      <c r="AP22" s="4" t="str">
        <f ca="1">TmOrderLU!AP22</f>
        <v>ng</v>
      </c>
      <c r="AQ22" s="4" t="str">
        <f ca="1">TmOrderLU!AQ22</f>
        <v>ng</v>
      </c>
      <c r="AR22" s="357" t="str">
        <f ca="1">TmOrderLU!AR22</f>
        <v>ng</v>
      </c>
      <c r="AT22" s="50">
        <f t="shared" si="6"/>
        <v>12</v>
      </c>
      <c r="AU22" s="4" t="str">
        <f>"        "</f>
        <v xml:space="preserve">        </v>
      </c>
    </row>
    <row r="23" spans="4:47">
      <c r="D23" s="357" t="str">
        <f ca="1">TmOrderLU!D23</f>
        <v>Tm13</v>
      </c>
      <c r="E23" s="4" t="str">
        <f ca="1">TmOrderLU!E23</f>
        <v>ng</v>
      </c>
      <c r="F23" s="4" t="str">
        <f ca="1">TmOrderLU!F23</f>
        <v>Tm10</v>
      </c>
      <c r="G23" s="4" t="str">
        <f ca="1">TmOrderLU!G23</f>
        <v>Tm11</v>
      </c>
      <c r="H23" s="4" t="str">
        <f ca="1">TmOrderLU!H23</f>
        <v>ng</v>
      </c>
      <c r="I23" s="4" t="str">
        <f ca="1">TmOrderLU!I23</f>
        <v>ng</v>
      </c>
      <c r="J23" s="4" t="str">
        <f ca="1">TmOrderLU!J23</f>
        <v>Tm12</v>
      </c>
      <c r="K23" s="4" t="str">
        <f ca="1">TmOrderLU!K23</f>
        <v>Tm09</v>
      </c>
      <c r="L23" s="4" t="str">
        <f ca="1">TmOrderLU!L23</f>
        <v>ng</v>
      </c>
      <c r="M23" s="4" t="str">
        <f ca="1">TmOrderLU!M23</f>
        <v>ng</v>
      </c>
      <c r="N23" s="4" t="str">
        <f ca="1">TmOrderLU!N23</f>
        <v>Tm16</v>
      </c>
      <c r="O23" s="4" t="str">
        <f ca="1">TmOrderLU!O23</f>
        <v>Tm15</v>
      </c>
      <c r="P23" s="4" t="str">
        <f ca="1">TmOrderLU!P23</f>
        <v>ng</v>
      </c>
      <c r="Q23" s="4" t="str">
        <f ca="1">TmOrderLU!Q23</f>
        <v>ng</v>
      </c>
      <c r="R23" s="4" t="str">
        <f ca="1">TmOrderLU!R23</f>
        <v>Tm14</v>
      </c>
      <c r="S23" s="4" t="str">
        <f ca="1">TmOrderLU!S23</f>
        <v>ng</v>
      </c>
      <c r="T23" s="4" t="str">
        <f ca="1">TmOrderLU!T23</f>
        <v>ng</v>
      </c>
      <c r="U23" s="4" t="str">
        <f ca="1">TmOrderLU!U23</f>
        <v>ng</v>
      </c>
      <c r="V23" s="4" t="str">
        <f ca="1">TmOrderLU!V23</f>
        <v>ng</v>
      </c>
      <c r="W23" s="4" t="str">
        <f ca="1">TmOrderLU!W23</f>
        <v>ng</v>
      </c>
      <c r="X23" s="4" t="str">
        <f ca="1">TmOrderLU!X23</f>
        <v>ng</v>
      </c>
      <c r="Y23" s="4" t="str">
        <f ca="1">TmOrderLU!Y23</f>
        <v>ng</v>
      </c>
      <c r="Z23" s="4" t="str">
        <f ca="1">TmOrderLU!Z23</f>
        <v>ng</v>
      </c>
      <c r="AA23" s="4" t="str">
        <f ca="1">TmOrderLU!AA23</f>
        <v>ng</v>
      </c>
      <c r="AB23" s="4" t="str">
        <f ca="1">TmOrderLU!AB23</f>
        <v>ng</v>
      </c>
      <c r="AC23" s="4" t="str">
        <f ca="1">TmOrderLU!AC23</f>
        <v>ng</v>
      </c>
      <c r="AD23" s="4" t="str">
        <f ca="1">TmOrderLU!AD23</f>
        <v>ng</v>
      </c>
      <c r="AE23" s="4" t="str">
        <f ca="1">TmOrderLU!AE23</f>
        <v>ng</v>
      </c>
      <c r="AF23" s="4" t="str">
        <f ca="1">TmOrderLU!AF23</f>
        <v>ng</v>
      </c>
      <c r="AG23" s="4" t="str">
        <f ca="1">TmOrderLU!AG23</f>
        <v>ng</v>
      </c>
      <c r="AH23" s="4" t="str">
        <f ca="1">TmOrderLU!AH23</f>
        <v>ng</v>
      </c>
      <c r="AI23" s="4" t="str">
        <f ca="1">TmOrderLU!AI23</f>
        <v>ng</v>
      </c>
      <c r="AJ23" s="4" t="str">
        <f ca="1">TmOrderLU!AJ23</f>
        <v>ng</v>
      </c>
      <c r="AK23" s="4" t="str">
        <f ca="1">TmOrderLU!AK23</f>
        <v>ng</v>
      </c>
      <c r="AL23" s="4" t="str">
        <f ca="1">TmOrderLU!AL23</f>
        <v>ng</v>
      </c>
      <c r="AM23" s="4" t="str">
        <f ca="1">TmOrderLU!AM23</f>
        <v>ng</v>
      </c>
      <c r="AN23" s="4" t="str">
        <f ca="1">TmOrderLU!AN23</f>
        <v>ng</v>
      </c>
      <c r="AO23" s="4" t="str">
        <f ca="1">TmOrderLU!AO23</f>
        <v>ng</v>
      </c>
      <c r="AP23" s="4" t="str">
        <f ca="1">TmOrderLU!AP23</f>
        <v>ng</v>
      </c>
      <c r="AQ23" s="4" t="str">
        <f ca="1">TmOrderLU!AQ23</f>
        <v>ng</v>
      </c>
      <c r="AR23" s="357" t="str">
        <f ca="1">TmOrderLU!AR23</f>
        <v>ng</v>
      </c>
      <c r="AT23" s="50">
        <f t="shared" si="6"/>
        <v>13</v>
      </c>
      <c r="AU23" s="4" t="str">
        <f>"       "</f>
        <v xml:space="preserve">       </v>
      </c>
    </row>
    <row r="24" spans="4:47">
      <c r="D24" s="357" t="str">
        <f ca="1">TmOrderLU!D24</f>
        <v>Tm14</v>
      </c>
      <c r="E24" s="4" t="str">
        <f ca="1">TmOrderLU!E24</f>
        <v>ng</v>
      </c>
      <c r="F24" s="4" t="str">
        <f ca="1">TmOrderLU!F24</f>
        <v>Tm09</v>
      </c>
      <c r="G24" s="4" t="str">
        <f ca="1">TmOrderLU!G24</f>
        <v>Tm12</v>
      </c>
      <c r="H24" s="4" t="str">
        <f ca="1">TmOrderLU!H24</f>
        <v>ng</v>
      </c>
      <c r="I24" s="4" t="str">
        <f ca="1">TmOrderLU!I24</f>
        <v>ng</v>
      </c>
      <c r="J24" s="4" t="str">
        <f ca="1">TmOrderLU!J24</f>
        <v>Tm11</v>
      </c>
      <c r="K24" s="4" t="str">
        <f ca="1">TmOrderLU!K24</f>
        <v>Tm10</v>
      </c>
      <c r="L24" s="4" t="str">
        <f ca="1">TmOrderLU!L24</f>
        <v>ng</v>
      </c>
      <c r="M24" s="4" t="str">
        <f ca="1">TmOrderLU!M24</f>
        <v>ng</v>
      </c>
      <c r="N24" s="4" t="str">
        <f ca="1">TmOrderLU!N24</f>
        <v>Tm15</v>
      </c>
      <c r="O24" s="4" t="str">
        <f ca="1">TmOrderLU!O24</f>
        <v>Tm16</v>
      </c>
      <c r="P24" s="4" t="str">
        <f ca="1">TmOrderLU!P24</f>
        <v>ng</v>
      </c>
      <c r="Q24" s="4" t="str">
        <f ca="1">TmOrderLU!Q24</f>
        <v>ng</v>
      </c>
      <c r="R24" s="4" t="str">
        <f ca="1">TmOrderLU!R24</f>
        <v>Tm13</v>
      </c>
      <c r="S24" s="4" t="str">
        <f ca="1">TmOrderLU!S24</f>
        <v>ng</v>
      </c>
      <c r="T24" s="4" t="str">
        <f ca="1">TmOrderLU!T24</f>
        <v>ng</v>
      </c>
      <c r="U24" s="4" t="str">
        <f ca="1">TmOrderLU!U24</f>
        <v>ng</v>
      </c>
      <c r="V24" s="4" t="str">
        <f ca="1">TmOrderLU!V24</f>
        <v>ng</v>
      </c>
      <c r="W24" s="4" t="str">
        <f ca="1">TmOrderLU!W24</f>
        <v>ng</v>
      </c>
      <c r="X24" s="4" t="str">
        <f ca="1">TmOrderLU!X24</f>
        <v>ng</v>
      </c>
      <c r="Y24" s="4" t="str">
        <f ca="1">TmOrderLU!Y24</f>
        <v>ng</v>
      </c>
      <c r="Z24" s="4" t="str">
        <f ca="1">TmOrderLU!Z24</f>
        <v>ng</v>
      </c>
      <c r="AA24" s="4" t="str">
        <f ca="1">TmOrderLU!AA24</f>
        <v>ng</v>
      </c>
      <c r="AB24" s="4" t="str">
        <f ca="1">TmOrderLU!AB24</f>
        <v>ng</v>
      </c>
      <c r="AC24" s="4" t="str">
        <f ca="1">TmOrderLU!AC24</f>
        <v>ng</v>
      </c>
      <c r="AD24" s="4" t="str">
        <f ca="1">TmOrderLU!AD24</f>
        <v>ng</v>
      </c>
      <c r="AE24" s="4" t="str">
        <f ca="1">TmOrderLU!AE24</f>
        <v>ng</v>
      </c>
      <c r="AF24" s="4" t="str">
        <f ca="1">TmOrderLU!AF24</f>
        <v>ng</v>
      </c>
      <c r="AG24" s="4" t="str">
        <f ca="1">TmOrderLU!AG24</f>
        <v>ng</v>
      </c>
      <c r="AH24" s="4" t="str">
        <f ca="1">TmOrderLU!AH24</f>
        <v>ng</v>
      </c>
      <c r="AI24" s="4" t="str">
        <f ca="1">TmOrderLU!AI24</f>
        <v>ng</v>
      </c>
      <c r="AJ24" s="4" t="str">
        <f ca="1">TmOrderLU!AJ24</f>
        <v>ng</v>
      </c>
      <c r="AK24" s="4" t="str">
        <f ca="1">TmOrderLU!AK24</f>
        <v>ng</v>
      </c>
      <c r="AL24" s="4" t="str">
        <f ca="1">TmOrderLU!AL24</f>
        <v>ng</v>
      </c>
      <c r="AM24" s="4" t="str">
        <f ca="1">TmOrderLU!AM24</f>
        <v>ng</v>
      </c>
      <c r="AN24" s="4" t="str">
        <f ca="1">TmOrderLU!AN24</f>
        <v>ng</v>
      </c>
      <c r="AO24" s="4" t="str">
        <f ca="1">TmOrderLU!AO24</f>
        <v>ng</v>
      </c>
      <c r="AP24" s="4" t="str">
        <f ca="1">TmOrderLU!AP24</f>
        <v>ng</v>
      </c>
      <c r="AQ24" s="4" t="str">
        <f ca="1">TmOrderLU!AQ24</f>
        <v>ng</v>
      </c>
      <c r="AR24" s="357" t="str">
        <f ca="1">TmOrderLU!AR24</f>
        <v>ng</v>
      </c>
      <c r="AT24" s="50">
        <f t="shared" si="6"/>
        <v>14</v>
      </c>
      <c r="AU24" s="4" t="str">
        <f>"      "</f>
        <v xml:space="preserve">      </v>
      </c>
    </row>
    <row r="25" spans="4:47">
      <c r="D25" s="357" t="str">
        <f ca="1">TmOrderLU!D25</f>
        <v>Tm15</v>
      </c>
      <c r="E25" s="4" t="str">
        <f ca="1">TmOrderLU!E25</f>
        <v>ng</v>
      </c>
      <c r="F25" s="4" t="str">
        <f ca="1">TmOrderLU!F25</f>
        <v>Tm11</v>
      </c>
      <c r="G25" s="4" t="str">
        <f ca="1">TmOrderLU!G25</f>
        <v>Tm09</v>
      </c>
      <c r="H25" s="4" t="str">
        <f ca="1">TmOrderLU!H25</f>
        <v>ng</v>
      </c>
      <c r="I25" s="4" t="str">
        <f ca="1">TmOrderLU!I25</f>
        <v>ng</v>
      </c>
      <c r="J25" s="4" t="str">
        <f ca="1">TmOrderLU!J25</f>
        <v>Tm10</v>
      </c>
      <c r="K25" s="4" t="str">
        <f ca="1">TmOrderLU!K25</f>
        <v>Tm12</v>
      </c>
      <c r="L25" s="4" t="str">
        <f ca="1">TmOrderLU!L25</f>
        <v>ng</v>
      </c>
      <c r="M25" s="4" t="str">
        <f ca="1">TmOrderLU!M25</f>
        <v>ng</v>
      </c>
      <c r="N25" s="4" t="str">
        <f ca="1">TmOrderLU!N25</f>
        <v>Tm14</v>
      </c>
      <c r="O25" s="4" t="str">
        <f ca="1">TmOrderLU!O25</f>
        <v>Tm13</v>
      </c>
      <c r="P25" s="4" t="str">
        <f ca="1">TmOrderLU!P25</f>
        <v>ng</v>
      </c>
      <c r="Q25" s="4" t="str">
        <f ca="1">TmOrderLU!Q25</f>
        <v>ng</v>
      </c>
      <c r="R25" s="4" t="str">
        <f ca="1">TmOrderLU!R25</f>
        <v>Tm16</v>
      </c>
      <c r="S25" s="4" t="str">
        <f ca="1">TmOrderLU!S25</f>
        <v>ng</v>
      </c>
      <c r="T25" s="4" t="str">
        <f ca="1">TmOrderLU!T25</f>
        <v>ng</v>
      </c>
      <c r="U25" s="4" t="str">
        <f ca="1">TmOrderLU!U25</f>
        <v>ng</v>
      </c>
      <c r="V25" s="4" t="str">
        <f ca="1">TmOrderLU!V25</f>
        <v>ng</v>
      </c>
      <c r="W25" s="4" t="str">
        <f ca="1">TmOrderLU!W25</f>
        <v>ng</v>
      </c>
      <c r="X25" s="4" t="str">
        <f ca="1">TmOrderLU!X25</f>
        <v>ng</v>
      </c>
      <c r="Y25" s="4" t="str">
        <f ca="1">TmOrderLU!Y25</f>
        <v>ng</v>
      </c>
      <c r="Z25" s="4" t="str">
        <f ca="1">TmOrderLU!Z25</f>
        <v>ng</v>
      </c>
      <c r="AA25" s="4" t="str">
        <f ca="1">TmOrderLU!AA25</f>
        <v>ng</v>
      </c>
      <c r="AB25" s="4" t="str">
        <f ca="1">TmOrderLU!AB25</f>
        <v>ng</v>
      </c>
      <c r="AC25" s="4" t="str">
        <f ca="1">TmOrderLU!AC25</f>
        <v>ng</v>
      </c>
      <c r="AD25" s="4" t="str">
        <f ca="1">TmOrderLU!AD25</f>
        <v>ng</v>
      </c>
      <c r="AE25" s="4" t="str">
        <f ca="1">TmOrderLU!AE25</f>
        <v>ng</v>
      </c>
      <c r="AF25" s="4" t="str">
        <f ca="1">TmOrderLU!AF25</f>
        <v>ng</v>
      </c>
      <c r="AG25" s="4" t="str">
        <f ca="1">TmOrderLU!AG25</f>
        <v>ng</v>
      </c>
      <c r="AH25" s="4" t="str">
        <f ca="1">TmOrderLU!AH25</f>
        <v>ng</v>
      </c>
      <c r="AI25" s="4" t="str">
        <f ca="1">TmOrderLU!AI25</f>
        <v>ng</v>
      </c>
      <c r="AJ25" s="4" t="str">
        <f ca="1">TmOrderLU!AJ25</f>
        <v>ng</v>
      </c>
      <c r="AK25" s="4" t="str">
        <f ca="1">TmOrderLU!AK25</f>
        <v>ng</v>
      </c>
      <c r="AL25" s="4" t="str">
        <f ca="1">TmOrderLU!AL25</f>
        <v>ng</v>
      </c>
      <c r="AM25" s="4" t="str">
        <f ca="1">TmOrderLU!AM25</f>
        <v>ng</v>
      </c>
      <c r="AN25" s="4" t="str">
        <f ca="1">TmOrderLU!AN25</f>
        <v>ng</v>
      </c>
      <c r="AO25" s="4" t="str">
        <f ca="1">TmOrderLU!AO25</f>
        <v>ng</v>
      </c>
      <c r="AP25" s="4" t="str">
        <f ca="1">TmOrderLU!AP25</f>
        <v>ng</v>
      </c>
      <c r="AQ25" s="4" t="str">
        <f ca="1">TmOrderLU!AQ25</f>
        <v>ng</v>
      </c>
      <c r="AR25" s="357" t="str">
        <f ca="1">TmOrderLU!AR25</f>
        <v>ng</v>
      </c>
      <c r="AT25" s="50">
        <f t="shared" si="6"/>
        <v>15</v>
      </c>
      <c r="AU25" s="4" t="str">
        <f>"     "</f>
        <v xml:space="preserve">     </v>
      </c>
    </row>
    <row r="26" spans="4:47">
      <c r="D26" s="357" t="str">
        <f ca="1">TmOrderLU!D26</f>
        <v>Tm16</v>
      </c>
      <c r="E26" s="4" t="str">
        <f ca="1">TmOrderLU!E26</f>
        <v>ng</v>
      </c>
      <c r="F26" s="4" t="str">
        <f ca="1">TmOrderLU!F26</f>
        <v>Tm12</v>
      </c>
      <c r="G26" s="4" t="str">
        <f ca="1">TmOrderLU!G26</f>
        <v>Tm10</v>
      </c>
      <c r="H26" s="4" t="str">
        <f ca="1">TmOrderLU!H26</f>
        <v>ng</v>
      </c>
      <c r="I26" s="4" t="str">
        <f ca="1">TmOrderLU!I26</f>
        <v>ng</v>
      </c>
      <c r="J26" s="4" t="str">
        <f ca="1">TmOrderLU!J26</f>
        <v>Tm09</v>
      </c>
      <c r="K26" s="4" t="str">
        <f ca="1">TmOrderLU!K26</f>
        <v>Tm11</v>
      </c>
      <c r="L26" s="4" t="str">
        <f ca="1">TmOrderLU!L26</f>
        <v>ng</v>
      </c>
      <c r="M26" s="4" t="str">
        <f ca="1">TmOrderLU!M26</f>
        <v>ng</v>
      </c>
      <c r="N26" s="4" t="str">
        <f ca="1">TmOrderLU!N26</f>
        <v>Tm13</v>
      </c>
      <c r="O26" s="4" t="str">
        <f ca="1">TmOrderLU!O26</f>
        <v>Tm14</v>
      </c>
      <c r="P26" s="4" t="str">
        <f ca="1">TmOrderLU!P26</f>
        <v>ng</v>
      </c>
      <c r="Q26" s="4" t="str">
        <f ca="1">TmOrderLU!Q26</f>
        <v>ng</v>
      </c>
      <c r="R26" s="4" t="str">
        <f ca="1">TmOrderLU!R26</f>
        <v>Tm15</v>
      </c>
      <c r="S26" s="4" t="str">
        <f ca="1">TmOrderLU!S26</f>
        <v>ng</v>
      </c>
      <c r="T26" s="4" t="str">
        <f ca="1">TmOrderLU!T26</f>
        <v>ng</v>
      </c>
      <c r="U26" s="4" t="str">
        <f ca="1">TmOrderLU!U26</f>
        <v>ng</v>
      </c>
      <c r="V26" s="4" t="str">
        <f ca="1">TmOrderLU!V26</f>
        <v>ng</v>
      </c>
      <c r="W26" s="4" t="str">
        <f ca="1">TmOrderLU!W26</f>
        <v>ng</v>
      </c>
      <c r="X26" s="4" t="str">
        <f ca="1">TmOrderLU!X26</f>
        <v>ng</v>
      </c>
      <c r="Y26" s="4" t="str">
        <f ca="1">TmOrderLU!Y26</f>
        <v>ng</v>
      </c>
      <c r="Z26" s="4" t="str">
        <f ca="1">TmOrderLU!Z26</f>
        <v>ng</v>
      </c>
      <c r="AA26" s="4" t="str">
        <f ca="1">TmOrderLU!AA26</f>
        <v>ng</v>
      </c>
      <c r="AB26" s="4" t="str">
        <f ca="1">TmOrderLU!AB26</f>
        <v>ng</v>
      </c>
      <c r="AC26" s="4" t="str">
        <f ca="1">TmOrderLU!AC26</f>
        <v>ng</v>
      </c>
      <c r="AD26" s="4" t="str">
        <f ca="1">TmOrderLU!AD26</f>
        <v>ng</v>
      </c>
      <c r="AE26" s="4" t="str">
        <f ca="1">TmOrderLU!AE26</f>
        <v>ng</v>
      </c>
      <c r="AF26" s="4" t="str">
        <f ca="1">TmOrderLU!AF26</f>
        <v>ng</v>
      </c>
      <c r="AG26" s="4" t="str">
        <f ca="1">TmOrderLU!AG26</f>
        <v>ng</v>
      </c>
      <c r="AH26" s="4" t="str">
        <f ca="1">TmOrderLU!AH26</f>
        <v>ng</v>
      </c>
      <c r="AI26" s="4" t="str">
        <f ca="1">TmOrderLU!AI26</f>
        <v>ng</v>
      </c>
      <c r="AJ26" s="4" t="str">
        <f ca="1">TmOrderLU!AJ26</f>
        <v>ng</v>
      </c>
      <c r="AK26" s="4" t="str">
        <f ca="1">TmOrderLU!AK26</f>
        <v>ng</v>
      </c>
      <c r="AL26" s="4" t="str">
        <f ca="1">TmOrderLU!AL26</f>
        <v>ng</v>
      </c>
      <c r="AM26" s="4" t="str">
        <f ca="1">TmOrderLU!AM26</f>
        <v>ng</v>
      </c>
      <c r="AN26" s="4" t="str">
        <f ca="1">TmOrderLU!AN26</f>
        <v>ng</v>
      </c>
      <c r="AO26" s="4" t="str">
        <f ca="1">TmOrderLU!AO26</f>
        <v>ng</v>
      </c>
      <c r="AP26" s="4" t="str">
        <f ca="1">TmOrderLU!AP26</f>
        <v>ng</v>
      </c>
      <c r="AQ26" s="4" t="str">
        <f ca="1">TmOrderLU!AQ26</f>
        <v>ng</v>
      </c>
      <c r="AR26" s="357" t="str">
        <f ca="1">TmOrderLU!AR26</f>
        <v>ng</v>
      </c>
      <c r="AT26" s="50">
        <f t="shared" si="6"/>
        <v>16</v>
      </c>
      <c r="AU26" s="4" t="str">
        <f>"    "</f>
        <v xml:space="preserve">    </v>
      </c>
    </row>
    <row r="27" spans="4:47">
      <c r="D27" s="357" t="str">
        <f ca="1">TmOrderLU!D27</f>
        <v>Tm17</v>
      </c>
      <c r="E27" s="4" t="str">
        <f ca="1">TmOrderLU!E27</f>
        <v>ng</v>
      </c>
      <c r="F27" s="4" t="str">
        <f ca="1">TmOrderLU!F27</f>
        <v>Tm24</v>
      </c>
      <c r="G27" s="4" t="str">
        <f ca="1">TmOrderLU!G27</f>
        <v>ng</v>
      </c>
      <c r="H27" s="4" t="str">
        <f ca="1">TmOrderLU!H27</f>
        <v>Tm23</v>
      </c>
      <c r="I27" s="4" t="str">
        <f ca="1">TmOrderLU!I27</f>
        <v>Tm21</v>
      </c>
      <c r="J27" s="4" t="str">
        <f ca="1">TmOrderLU!J27</f>
        <v>ng</v>
      </c>
      <c r="K27" s="4" t="str">
        <f ca="1">TmOrderLU!K27</f>
        <v>Tm22</v>
      </c>
      <c r="L27" s="4" t="str">
        <f ca="1">TmOrderLU!L27</f>
        <v>ng</v>
      </c>
      <c r="M27" s="4" t="str">
        <f ca="1">TmOrderLU!M27</f>
        <v>Tm20</v>
      </c>
      <c r="N27" s="4" t="str">
        <f ca="1">TmOrderLU!N27</f>
        <v>ng</v>
      </c>
      <c r="O27" s="4" t="str">
        <f ca="1">TmOrderLU!O27</f>
        <v>ng</v>
      </c>
      <c r="P27" s="4" t="str">
        <f ca="1">TmOrderLU!P27</f>
        <v>Tm19</v>
      </c>
      <c r="Q27" s="4" t="str">
        <f ca="1">TmOrderLU!Q27</f>
        <v>Tm18</v>
      </c>
      <c r="R27" s="4" t="str">
        <f ca="1">TmOrderLU!R27</f>
        <v>ng</v>
      </c>
      <c r="S27" s="4" t="str">
        <f ca="1">TmOrderLU!S27</f>
        <v>ng</v>
      </c>
      <c r="T27" s="4" t="str">
        <f ca="1">TmOrderLU!T27</f>
        <v>ng</v>
      </c>
      <c r="U27" s="4" t="str">
        <f ca="1">TmOrderLU!U27</f>
        <v>ng</v>
      </c>
      <c r="V27" s="4" t="str">
        <f ca="1">TmOrderLU!V27</f>
        <v>ng</v>
      </c>
      <c r="W27" s="4" t="str">
        <f ca="1">TmOrderLU!W27</f>
        <v>ng</v>
      </c>
      <c r="X27" s="4" t="str">
        <f ca="1">TmOrderLU!X27</f>
        <v>ng</v>
      </c>
      <c r="Y27" s="4" t="str">
        <f ca="1">TmOrderLU!Y27</f>
        <v>ng</v>
      </c>
      <c r="Z27" s="4" t="str">
        <f ca="1">TmOrderLU!Z27</f>
        <v>ng</v>
      </c>
      <c r="AA27" s="4" t="str">
        <f ca="1">TmOrderLU!AA27</f>
        <v>ng</v>
      </c>
      <c r="AB27" s="4" t="str">
        <f ca="1">TmOrderLU!AB27</f>
        <v>ng</v>
      </c>
      <c r="AC27" s="4" t="str">
        <f ca="1">TmOrderLU!AC27</f>
        <v>ng</v>
      </c>
      <c r="AD27" s="4" t="str">
        <f ca="1">TmOrderLU!AD27</f>
        <v>ng</v>
      </c>
      <c r="AE27" s="4" t="str">
        <f ca="1">TmOrderLU!AE27</f>
        <v>ng</v>
      </c>
      <c r="AF27" s="4" t="str">
        <f ca="1">TmOrderLU!AF27</f>
        <v>ng</v>
      </c>
      <c r="AG27" s="4" t="str">
        <f ca="1">TmOrderLU!AG27</f>
        <v>ng</v>
      </c>
      <c r="AH27" s="4" t="str">
        <f ca="1">TmOrderLU!AH27</f>
        <v>ng</v>
      </c>
      <c r="AI27" s="4" t="str">
        <f ca="1">TmOrderLU!AI27</f>
        <v>ng</v>
      </c>
      <c r="AJ27" s="4" t="str">
        <f ca="1">TmOrderLU!AJ27</f>
        <v>ng</v>
      </c>
      <c r="AK27" s="4" t="str">
        <f ca="1">TmOrderLU!AK27</f>
        <v>ng</v>
      </c>
      <c r="AL27" s="4" t="str">
        <f ca="1">TmOrderLU!AL27</f>
        <v>ng</v>
      </c>
      <c r="AM27" s="4" t="str">
        <f ca="1">TmOrderLU!AM27</f>
        <v>ng</v>
      </c>
      <c r="AN27" s="4" t="str">
        <f ca="1">TmOrderLU!AN27</f>
        <v>ng</v>
      </c>
      <c r="AO27" s="4" t="str">
        <f ca="1">TmOrderLU!AO27</f>
        <v>ng</v>
      </c>
      <c r="AP27" s="4" t="str">
        <f ca="1">TmOrderLU!AP27</f>
        <v>ng</v>
      </c>
      <c r="AQ27" s="4" t="str">
        <f ca="1">TmOrderLU!AQ27</f>
        <v>ng</v>
      </c>
      <c r="AR27" s="357" t="str">
        <f ca="1">TmOrderLU!AR27</f>
        <v>ng</v>
      </c>
      <c r="AT27" s="50">
        <f t="shared" si="6"/>
        <v>17</v>
      </c>
      <c r="AU27" s="4" t="str">
        <f>"   "</f>
        <v xml:space="preserve">   </v>
      </c>
    </row>
    <row r="28" spans="4:47">
      <c r="D28" s="357" t="str">
        <f ca="1">TmOrderLU!D28</f>
        <v>Tm18</v>
      </c>
      <c r="E28" s="4" t="str">
        <f ca="1">TmOrderLU!E28</f>
        <v>Tm23</v>
      </c>
      <c r="F28" s="4" t="str">
        <f ca="1">TmOrderLU!F28</f>
        <v>ng</v>
      </c>
      <c r="G28" s="4" t="str">
        <f ca="1">TmOrderLU!G28</f>
        <v>ng</v>
      </c>
      <c r="H28" s="4" t="str">
        <f ca="1">TmOrderLU!H28</f>
        <v>Tm22</v>
      </c>
      <c r="I28" s="4" t="str">
        <f ca="1">TmOrderLU!I28</f>
        <v>Tm24</v>
      </c>
      <c r="J28" s="4" t="str">
        <f ca="1">TmOrderLU!J28</f>
        <v>ng</v>
      </c>
      <c r="K28" s="4" t="str">
        <f ca="1">TmOrderLU!K28</f>
        <v>ng</v>
      </c>
      <c r="L28" s="4" t="str">
        <f ca="1">TmOrderLU!L28</f>
        <v>Tm21</v>
      </c>
      <c r="M28" s="4" t="str">
        <f ca="1">TmOrderLU!M28</f>
        <v>Tm19</v>
      </c>
      <c r="N28" s="4" t="str">
        <f ca="1">TmOrderLU!N28</f>
        <v>ng</v>
      </c>
      <c r="O28" s="4" t="str">
        <f ca="1">TmOrderLU!O28</f>
        <v>ng</v>
      </c>
      <c r="P28" s="4" t="str">
        <f ca="1">TmOrderLU!P28</f>
        <v>Tm20</v>
      </c>
      <c r="Q28" s="4" t="str">
        <f ca="1">TmOrderLU!Q28</f>
        <v>Tm17</v>
      </c>
      <c r="R28" s="4" t="str">
        <f ca="1">TmOrderLU!R28</f>
        <v>ng</v>
      </c>
      <c r="S28" s="4" t="str">
        <f ca="1">TmOrderLU!S28</f>
        <v>ng</v>
      </c>
      <c r="T28" s="4" t="str">
        <f ca="1">TmOrderLU!T28</f>
        <v>ng</v>
      </c>
      <c r="U28" s="4" t="str">
        <f ca="1">TmOrderLU!U28</f>
        <v>ng</v>
      </c>
      <c r="V28" s="4" t="str">
        <f ca="1">TmOrderLU!V28</f>
        <v>ng</v>
      </c>
      <c r="W28" s="4" t="str">
        <f ca="1">TmOrderLU!W28</f>
        <v>ng</v>
      </c>
      <c r="X28" s="4" t="str">
        <f ca="1">TmOrderLU!X28</f>
        <v>ng</v>
      </c>
      <c r="Y28" s="4" t="str">
        <f ca="1">TmOrderLU!Y28</f>
        <v>ng</v>
      </c>
      <c r="Z28" s="4" t="str">
        <f ca="1">TmOrderLU!Z28</f>
        <v>ng</v>
      </c>
      <c r="AA28" s="4" t="str">
        <f ca="1">TmOrderLU!AA28</f>
        <v>ng</v>
      </c>
      <c r="AB28" s="4" t="str">
        <f ca="1">TmOrderLU!AB28</f>
        <v>ng</v>
      </c>
      <c r="AC28" s="4" t="str">
        <f ca="1">TmOrderLU!AC28</f>
        <v>ng</v>
      </c>
      <c r="AD28" s="4" t="str">
        <f ca="1">TmOrderLU!AD28</f>
        <v>ng</v>
      </c>
      <c r="AE28" s="4" t="str">
        <f ca="1">TmOrderLU!AE28</f>
        <v>ng</v>
      </c>
      <c r="AF28" s="4" t="str">
        <f ca="1">TmOrderLU!AF28</f>
        <v>ng</v>
      </c>
      <c r="AG28" s="4" t="str">
        <f ca="1">TmOrderLU!AG28</f>
        <v>ng</v>
      </c>
      <c r="AH28" s="4" t="str">
        <f ca="1">TmOrderLU!AH28</f>
        <v>ng</v>
      </c>
      <c r="AI28" s="4" t="str">
        <f ca="1">TmOrderLU!AI28</f>
        <v>ng</v>
      </c>
      <c r="AJ28" s="4" t="str">
        <f ca="1">TmOrderLU!AJ28</f>
        <v>ng</v>
      </c>
      <c r="AK28" s="4" t="str">
        <f ca="1">TmOrderLU!AK28</f>
        <v>ng</v>
      </c>
      <c r="AL28" s="4" t="str">
        <f ca="1">TmOrderLU!AL28</f>
        <v>ng</v>
      </c>
      <c r="AM28" s="4" t="str">
        <f ca="1">TmOrderLU!AM28</f>
        <v>ng</v>
      </c>
      <c r="AN28" s="4" t="str">
        <f ca="1">TmOrderLU!AN28</f>
        <v>ng</v>
      </c>
      <c r="AO28" s="4" t="str">
        <f ca="1">TmOrderLU!AO28</f>
        <v>ng</v>
      </c>
      <c r="AP28" s="4" t="str">
        <f ca="1">TmOrderLU!AP28</f>
        <v>ng</v>
      </c>
      <c r="AQ28" s="4" t="str">
        <f ca="1">TmOrderLU!AQ28</f>
        <v>ng</v>
      </c>
      <c r="AR28" s="357" t="str">
        <f ca="1">TmOrderLU!AR28</f>
        <v>ng</v>
      </c>
      <c r="AT28" s="50">
        <f t="shared" si="6"/>
        <v>18</v>
      </c>
      <c r="AU28" s="4" t="str">
        <f>"  "</f>
        <v xml:space="preserve">  </v>
      </c>
    </row>
    <row r="29" spans="4:47">
      <c r="D29" s="357" t="str">
        <f ca="1">TmOrderLU!D29</f>
        <v>Tm19</v>
      </c>
      <c r="E29" s="4" t="str">
        <f ca="1">TmOrderLU!E29</f>
        <v>Tm22</v>
      </c>
      <c r="F29" s="4" t="str">
        <f ca="1">TmOrderLU!F29</f>
        <v>ng</v>
      </c>
      <c r="G29" s="4" t="str">
        <f ca="1">TmOrderLU!G29</f>
        <v>Tm21</v>
      </c>
      <c r="H29" s="4" t="str">
        <f ca="1">TmOrderLU!H29</f>
        <v>ng</v>
      </c>
      <c r="I29" s="4" t="str">
        <f ca="1">TmOrderLU!I29</f>
        <v>ng</v>
      </c>
      <c r="J29" s="4" t="str">
        <f ca="1">TmOrderLU!J29</f>
        <v>Tm23</v>
      </c>
      <c r="K29" s="4" t="str">
        <f ca="1">TmOrderLU!K29</f>
        <v>ng</v>
      </c>
      <c r="L29" s="4" t="str">
        <f ca="1">TmOrderLU!L29</f>
        <v>Tm24</v>
      </c>
      <c r="M29" s="4" t="str">
        <f ca="1">TmOrderLU!M29</f>
        <v>Tm18</v>
      </c>
      <c r="N29" s="4" t="str">
        <f ca="1">TmOrderLU!N29</f>
        <v>ng</v>
      </c>
      <c r="O29" s="4" t="str">
        <f ca="1">TmOrderLU!O29</f>
        <v>ng</v>
      </c>
      <c r="P29" s="4" t="str">
        <f ca="1">TmOrderLU!P29</f>
        <v>Tm17</v>
      </c>
      <c r="Q29" s="4" t="str">
        <f ca="1">TmOrderLU!Q29</f>
        <v>Tm20</v>
      </c>
      <c r="R29" s="4" t="str">
        <f ca="1">TmOrderLU!R29</f>
        <v>ng</v>
      </c>
      <c r="S29" s="4" t="str">
        <f ca="1">TmOrderLU!S29</f>
        <v>ng</v>
      </c>
      <c r="T29" s="4" t="str">
        <f ca="1">TmOrderLU!T29</f>
        <v>ng</v>
      </c>
      <c r="U29" s="4" t="str">
        <f ca="1">TmOrderLU!U29</f>
        <v>ng</v>
      </c>
      <c r="V29" s="4" t="str">
        <f ca="1">TmOrderLU!V29</f>
        <v>ng</v>
      </c>
      <c r="W29" s="4" t="str">
        <f ca="1">TmOrderLU!W29</f>
        <v>ng</v>
      </c>
      <c r="X29" s="4" t="str">
        <f ca="1">TmOrderLU!X29</f>
        <v>ng</v>
      </c>
      <c r="Y29" s="4" t="str">
        <f ca="1">TmOrderLU!Y29</f>
        <v>ng</v>
      </c>
      <c r="Z29" s="4" t="str">
        <f ca="1">TmOrderLU!Z29</f>
        <v>ng</v>
      </c>
      <c r="AA29" s="4" t="str">
        <f ca="1">TmOrderLU!AA29</f>
        <v>ng</v>
      </c>
      <c r="AB29" s="4" t="str">
        <f ca="1">TmOrderLU!AB29</f>
        <v>ng</v>
      </c>
      <c r="AC29" s="4" t="str">
        <f ca="1">TmOrderLU!AC29</f>
        <v>ng</v>
      </c>
      <c r="AD29" s="4" t="str">
        <f ca="1">TmOrderLU!AD29</f>
        <v>ng</v>
      </c>
      <c r="AE29" s="4" t="str">
        <f ca="1">TmOrderLU!AE29</f>
        <v>ng</v>
      </c>
      <c r="AF29" s="4" t="str">
        <f ca="1">TmOrderLU!AF29</f>
        <v>ng</v>
      </c>
      <c r="AG29" s="4" t="str">
        <f ca="1">TmOrderLU!AG29</f>
        <v>ng</v>
      </c>
      <c r="AH29" s="4" t="str">
        <f ca="1">TmOrderLU!AH29</f>
        <v>ng</v>
      </c>
      <c r="AI29" s="4" t="str">
        <f ca="1">TmOrderLU!AI29</f>
        <v>ng</v>
      </c>
      <c r="AJ29" s="4" t="str">
        <f ca="1">TmOrderLU!AJ29</f>
        <v>ng</v>
      </c>
      <c r="AK29" s="4" t="str">
        <f ca="1">TmOrderLU!AK29</f>
        <v>ng</v>
      </c>
      <c r="AL29" s="4" t="str">
        <f ca="1">TmOrderLU!AL29</f>
        <v>ng</v>
      </c>
      <c r="AM29" s="4" t="str">
        <f ca="1">TmOrderLU!AM29</f>
        <v>ng</v>
      </c>
      <c r="AN29" s="4" t="str">
        <f ca="1">TmOrderLU!AN29</f>
        <v>ng</v>
      </c>
      <c r="AO29" s="4" t="str">
        <f ca="1">TmOrderLU!AO29</f>
        <v>ng</v>
      </c>
      <c r="AP29" s="4" t="str">
        <f ca="1">TmOrderLU!AP29</f>
        <v>ng</v>
      </c>
      <c r="AQ29" s="4" t="str">
        <f ca="1">TmOrderLU!AQ29</f>
        <v>ng</v>
      </c>
      <c r="AR29" s="357" t="str">
        <f ca="1">TmOrderLU!AR29</f>
        <v>ng</v>
      </c>
      <c r="AT29" s="50">
        <f t="shared" si="6"/>
        <v>19</v>
      </c>
      <c r="AU29" s="4" t="str">
        <f>" "</f>
        <v xml:space="preserve"> </v>
      </c>
    </row>
    <row r="30" spans="4:47">
      <c r="D30" s="357" t="str">
        <f ca="1">TmOrderLU!D30</f>
        <v>Tm20</v>
      </c>
      <c r="E30" s="4" t="str">
        <f ca="1">TmOrderLU!E30</f>
        <v>ng</v>
      </c>
      <c r="F30" s="4" t="str">
        <f ca="1">TmOrderLU!F30</f>
        <v>Tm21</v>
      </c>
      <c r="G30" s="4" t="str">
        <f ca="1">TmOrderLU!G30</f>
        <v>Tm24</v>
      </c>
      <c r="H30" s="4" t="str">
        <f ca="1">TmOrderLU!H30</f>
        <v>ng</v>
      </c>
      <c r="I30" s="4" t="str">
        <f ca="1">TmOrderLU!I30</f>
        <v>ng</v>
      </c>
      <c r="J30" s="4" t="str">
        <f ca="1">TmOrderLU!J30</f>
        <v>Tm22</v>
      </c>
      <c r="K30" s="4" t="str">
        <f ca="1">TmOrderLU!K30</f>
        <v>Tm23</v>
      </c>
      <c r="L30" s="4" t="str">
        <f ca="1">TmOrderLU!L30</f>
        <v>ng</v>
      </c>
      <c r="M30" s="4" t="str">
        <f ca="1">TmOrderLU!M30</f>
        <v>Tm17</v>
      </c>
      <c r="N30" s="4" t="str">
        <f ca="1">TmOrderLU!N30</f>
        <v>ng</v>
      </c>
      <c r="O30" s="4" t="str">
        <f ca="1">TmOrderLU!O30</f>
        <v>ng</v>
      </c>
      <c r="P30" s="4" t="str">
        <f ca="1">TmOrderLU!P30</f>
        <v>Tm18</v>
      </c>
      <c r="Q30" s="4" t="str">
        <f ca="1">TmOrderLU!Q30</f>
        <v>Tm19</v>
      </c>
      <c r="R30" s="4" t="str">
        <f ca="1">TmOrderLU!R30</f>
        <v>ng</v>
      </c>
      <c r="S30" s="4" t="str">
        <f ca="1">TmOrderLU!S30</f>
        <v>ng</v>
      </c>
      <c r="T30" s="4" t="str">
        <f ca="1">TmOrderLU!T30</f>
        <v>ng</v>
      </c>
      <c r="U30" s="4" t="str">
        <f ca="1">TmOrderLU!U30</f>
        <v>ng</v>
      </c>
      <c r="V30" s="4" t="str">
        <f ca="1">TmOrderLU!V30</f>
        <v>ng</v>
      </c>
      <c r="W30" s="4" t="str">
        <f ca="1">TmOrderLU!W30</f>
        <v>ng</v>
      </c>
      <c r="X30" s="4" t="str">
        <f ca="1">TmOrderLU!X30</f>
        <v>ng</v>
      </c>
      <c r="Y30" s="4" t="str">
        <f ca="1">TmOrderLU!Y30</f>
        <v>ng</v>
      </c>
      <c r="Z30" s="4" t="str">
        <f ca="1">TmOrderLU!Z30</f>
        <v>ng</v>
      </c>
      <c r="AA30" s="4" t="str">
        <f ca="1">TmOrderLU!AA30</f>
        <v>ng</v>
      </c>
      <c r="AB30" s="4" t="str">
        <f ca="1">TmOrderLU!AB30</f>
        <v>ng</v>
      </c>
      <c r="AC30" s="4" t="str">
        <f ca="1">TmOrderLU!AC30</f>
        <v>ng</v>
      </c>
      <c r="AD30" s="4" t="str">
        <f ca="1">TmOrderLU!AD30</f>
        <v>ng</v>
      </c>
      <c r="AE30" s="4" t="str">
        <f ca="1">TmOrderLU!AE30</f>
        <v>ng</v>
      </c>
      <c r="AF30" s="4" t="str">
        <f ca="1">TmOrderLU!AF30</f>
        <v>ng</v>
      </c>
      <c r="AG30" s="4" t="str">
        <f ca="1">TmOrderLU!AG30</f>
        <v>ng</v>
      </c>
      <c r="AH30" s="4" t="str">
        <f ca="1">TmOrderLU!AH30</f>
        <v>ng</v>
      </c>
      <c r="AI30" s="4" t="str">
        <f ca="1">TmOrderLU!AI30</f>
        <v>ng</v>
      </c>
      <c r="AJ30" s="4" t="str">
        <f ca="1">TmOrderLU!AJ30</f>
        <v>ng</v>
      </c>
      <c r="AK30" s="4" t="str">
        <f ca="1">TmOrderLU!AK30</f>
        <v>ng</v>
      </c>
      <c r="AL30" s="4" t="str">
        <f ca="1">TmOrderLU!AL30</f>
        <v>ng</v>
      </c>
      <c r="AM30" s="4" t="str">
        <f ca="1">TmOrderLU!AM30</f>
        <v>ng</v>
      </c>
      <c r="AN30" s="4" t="str">
        <f ca="1">TmOrderLU!AN30</f>
        <v>ng</v>
      </c>
      <c r="AO30" s="4" t="str">
        <f ca="1">TmOrderLU!AO30</f>
        <v>ng</v>
      </c>
      <c r="AP30" s="4" t="str">
        <f ca="1">TmOrderLU!AP30</f>
        <v>ng</v>
      </c>
      <c r="AQ30" s="4" t="str">
        <f ca="1">TmOrderLU!AQ30</f>
        <v>ng</v>
      </c>
      <c r="AR30" s="357" t="str">
        <f ca="1">TmOrderLU!AR30</f>
        <v>ng</v>
      </c>
      <c r="AT30" s="50">
        <f t="shared" si="6"/>
        <v>20</v>
      </c>
      <c r="AU30" s="4" t="str">
        <f>""</f>
        <v/>
      </c>
    </row>
    <row r="31" spans="4:47">
      <c r="D31" s="357" t="str">
        <f ca="1">TmOrderLU!D31</f>
        <v>Tm21</v>
      </c>
      <c r="E31" s="4" t="str">
        <f ca="1">TmOrderLU!E31</f>
        <v>ng</v>
      </c>
      <c r="F31" s="4" t="str">
        <f ca="1">TmOrderLU!F31</f>
        <v>Tm20</v>
      </c>
      <c r="G31" s="4" t="str">
        <f ca="1">TmOrderLU!G31</f>
        <v>Tm19</v>
      </c>
      <c r="H31" s="4" t="str">
        <f ca="1">TmOrderLU!H31</f>
        <v>ng</v>
      </c>
      <c r="I31" s="4" t="str">
        <f ca="1">TmOrderLU!I31</f>
        <v>Tm17</v>
      </c>
      <c r="J31" s="4" t="str">
        <f ca="1">TmOrderLU!J31</f>
        <v>ng</v>
      </c>
      <c r="K31" s="4" t="str">
        <f ca="1">TmOrderLU!K31</f>
        <v>ng</v>
      </c>
      <c r="L31" s="4" t="str">
        <f ca="1">TmOrderLU!L31</f>
        <v>Tm18</v>
      </c>
      <c r="M31" s="4" t="str">
        <f ca="1">TmOrderLU!M31</f>
        <v>ng</v>
      </c>
      <c r="N31" s="4" t="str">
        <f ca="1">TmOrderLU!N31</f>
        <v>Tm24</v>
      </c>
      <c r="O31" s="4" t="str">
        <f ca="1">TmOrderLU!O31</f>
        <v>Tm23</v>
      </c>
      <c r="P31" s="4" t="str">
        <f ca="1">TmOrderLU!P31</f>
        <v>ng</v>
      </c>
      <c r="Q31" s="4" t="str">
        <f ca="1">TmOrderLU!Q31</f>
        <v>ng</v>
      </c>
      <c r="R31" s="4" t="str">
        <f ca="1">TmOrderLU!R31</f>
        <v>Tm22</v>
      </c>
      <c r="S31" s="4" t="str">
        <f ca="1">TmOrderLU!S31</f>
        <v>ng</v>
      </c>
      <c r="T31" s="4" t="str">
        <f ca="1">TmOrderLU!T31</f>
        <v>ng</v>
      </c>
      <c r="U31" s="4" t="str">
        <f ca="1">TmOrderLU!U31</f>
        <v>ng</v>
      </c>
      <c r="V31" s="4" t="str">
        <f ca="1">TmOrderLU!V31</f>
        <v>ng</v>
      </c>
      <c r="W31" s="4" t="str">
        <f ca="1">TmOrderLU!W31</f>
        <v>ng</v>
      </c>
      <c r="X31" s="4" t="str">
        <f ca="1">TmOrderLU!X31</f>
        <v>ng</v>
      </c>
      <c r="Y31" s="4" t="str">
        <f ca="1">TmOrderLU!Y31</f>
        <v>ng</v>
      </c>
      <c r="Z31" s="4" t="str">
        <f ca="1">TmOrderLU!Z31</f>
        <v>ng</v>
      </c>
      <c r="AA31" s="4" t="str">
        <f ca="1">TmOrderLU!AA31</f>
        <v>ng</v>
      </c>
      <c r="AB31" s="4" t="str">
        <f ca="1">TmOrderLU!AB31</f>
        <v>ng</v>
      </c>
      <c r="AC31" s="4" t="str">
        <f ca="1">TmOrderLU!AC31</f>
        <v>ng</v>
      </c>
      <c r="AD31" s="4" t="str">
        <f ca="1">TmOrderLU!AD31</f>
        <v>ng</v>
      </c>
      <c r="AE31" s="4" t="str">
        <f ca="1">TmOrderLU!AE31</f>
        <v>ng</v>
      </c>
      <c r="AF31" s="4" t="str">
        <f ca="1">TmOrderLU!AF31</f>
        <v>ng</v>
      </c>
      <c r="AG31" s="4" t="str">
        <f ca="1">TmOrderLU!AG31</f>
        <v>ng</v>
      </c>
      <c r="AH31" s="4" t="str">
        <f ca="1">TmOrderLU!AH31</f>
        <v>ng</v>
      </c>
      <c r="AI31" s="4" t="str">
        <f ca="1">TmOrderLU!AI31</f>
        <v>ng</v>
      </c>
      <c r="AJ31" s="4" t="str">
        <f ca="1">TmOrderLU!AJ31</f>
        <v>ng</v>
      </c>
      <c r="AK31" s="4" t="str">
        <f ca="1">TmOrderLU!AK31</f>
        <v>ng</v>
      </c>
      <c r="AL31" s="4" t="str">
        <f ca="1">TmOrderLU!AL31</f>
        <v>ng</v>
      </c>
      <c r="AM31" s="4" t="str">
        <f ca="1">TmOrderLU!AM31</f>
        <v>ng</v>
      </c>
      <c r="AN31" s="4" t="str">
        <f ca="1">TmOrderLU!AN31</f>
        <v>ng</v>
      </c>
      <c r="AO31" s="4" t="str">
        <f ca="1">TmOrderLU!AO31</f>
        <v>ng</v>
      </c>
      <c r="AP31" s="4" t="str">
        <f ca="1">TmOrderLU!AP31</f>
        <v>ng</v>
      </c>
      <c r="AQ31" s="4" t="str">
        <f ca="1">TmOrderLU!AQ31</f>
        <v>ng</v>
      </c>
      <c r="AR31" s="357" t="str">
        <f ca="1">TmOrderLU!AR31</f>
        <v>ng</v>
      </c>
    </row>
    <row r="32" spans="4:47">
      <c r="D32" s="357" t="str">
        <f ca="1">TmOrderLU!D32</f>
        <v>Tm22</v>
      </c>
      <c r="E32" s="4" t="str">
        <f ca="1">TmOrderLU!E32</f>
        <v>Tm19</v>
      </c>
      <c r="F32" s="4" t="str">
        <f ca="1">TmOrderLU!F32</f>
        <v>ng</v>
      </c>
      <c r="G32" s="4" t="str">
        <f ca="1">TmOrderLU!G32</f>
        <v>ng</v>
      </c>
      <c r="H32" s="4" t="str">
        <f ca="1">TmOrderLU!H32</f>
        <v>Tm18</v>
      </c>
      <c r="I32" s="4" t="str">
        <f ca="1">TmOrderLU!I32</f>
        <v>ng</v>
      </c>
      <c r="J32" s="4" t="str">
        <f ca="1">TmOrderLU!J32</f>
        <v>Tm20</v>
      </c>
      <c r="K32" s="4" t="str">
        <f ca="1">TmOrderLU!K32</f>
        <v>Tm17</v>
      </c>
      <c r="L32" s="4" t="str">
        <f ca="1">TmOrderLU!L32</f>
        <v>ng</v>
      </c>
      <c r="M32" s="4" t="str">
        <f ca="1">TmOrderLU!M32</f>
        <v>ng</v>
      </c>
      <c r="N32" s="4" t="str">
        <f ca="1">TmOrderLU!N32</f>
        <v>Tm23</v>
      </c>
      <c r="O32" s="4" t="str">
        <f ca="1">TmOrderLU!O32</f>
        <v>Tm24</v>
      </c>
      <c r="P32" s="4" t="str">
        <f ca="1">TmOrderLU!P32</f>
        <v>ng</v>
      </c>
      <c r="Q32" s="4" t="str">
        <f ca="1">TmOrderLU!Q32</f>
        <v>ng</v>
      </c>
      <c r="R32" s="4" t="str">
        <f ca="1">TmOrderLU!R32</f>
        <v>ng</v>
      </c>
      <c r="S32" s="4" t="str">
        <f ca="1">TmOrderLU!S32</f>
        <v>ng</v>
      </c>
      <c r="T32" s="4" t="str">
        <f ca="1">TmOrderLU!T32</f>
        <v>ng</v>
      </c>
      <c r="U32" s="4" t="str">
        <f ca="1">TmOrderLU!U32</f>
        <v>ng</v>
      </c>
      <c r="V32" s="4" t="str">
        <f ca="1">TmOrderLU!V32</f>
        <v>ng</v>
      </c>
      <c r="W32" s="4" t="str">
        <f ca="1">TmOrderLU!W32</f>
        <v>ng</v>
      </c>
      <c r="X32" s="4" t="str">
        <f ca="1">TmOrderLU!X32</f>
        <v>ng</v>
      </c>
      <c r="Y32" s="4" t="str">
        <f ca="1">TmOrderLU!Y32</f>
        <v>ng</v>
      </c>
      <c r="Z32" s="4" t="str">
        <f ca="1">TmOrderLU!Z32</f>
        <v>ng</v>
      </c>
      <c r="AA32" s="4" t="str">
        <f ca="1">TmOrderLU!AA32</f>
        <v>ng</v>
      </c>
      <c r="AB32" s="4" t="str">
        <f ca="1">TmOrderLU!AB32</f>
        <v>ng</v>
      </c>
      <c r="AC32" s="4" t="str">
        <f ca="1">TmOrderLU!AC32</f>
        <v>ng</v>
      </c>
      <c r="AD32" s="4" t="str">
        <f ca="1">TmOrderLU!AD32</f>
        <v>ng</v>
      </c>
      <c r="AE32" s="4" t="str">
        <f ca="1">TmOrderLU!AE32</f>
        <v>ng</v>
      </c>
      <c r="AF32" s="4" t="str">
        <f ca="1">TmOrderLU!AF32</f>
        <v>ng</v>
      </c>
      <c r="AG32" s="4" t="str">
        <f ca="1">TmOrderLU!AG32</f>
        <v>ng</v>
      </c>
      <c r="AH32" s="4" t="str">
        <f ca="1">TmOrderLU!AH32</f>
        <v>ng</v>
      </c>
      <c r="AI32" s="4" t="str">
        <f ca="1">TmOrderLU!AI32</f>
        <v>ng</v>
      </c>
      <c r="AJ32" s="4" t="str">
        <f ca="1">TmOrderLU!AJ32</f>
        <v>ng</v>
      </c>
      <c r="AK32" s="4" t="str">
        <f ca="1">TmOrderLU!AK32</f>
        <v>ng</v>
      </c>
      <c r="AL32" s="4" t="str">
        <f ca="1">TmOrderLU!AL32</f>
        <v>ng</v>
      </c>
      <c r="AM32" s="4" t="str">
        <f ca="1">TmOrderLU!AM32</f>
        <v>ng</v>
      </c>
      <c r="AN32" s="4" t="str">
        <f ca="1">TmOrderLU!AN32</f>
        <v>ng</v>
      </c>
      <c r="AO32" s="4" t="str">
        <f ca="1">TmOrderLU!AO32</f>
        <v>ng</v>
      </c>
      <c r="AP32" s="4" t="str">
        <f ca="1">TmOrderLU!AP32</f>
        <v>ng</v>
      </c>
      <c r="AQ32" s="4" t="str">
        <f ca="1">TmOrderLU!AQ32</f>
        <v>ng</v>
      </c>
      <c r="AR32" s="357" t="str">
        <f ca="1">TmOrderLU!AR32</f>
        <v>ng</v>
      </c>
    </row>
    <row r="33" spans="4:44">
      <c r="D33" s="357" t="str">
        <f ca="1">TmOrderLU!D33</f>
        <v>Tm23</v>
      </c>
      <c r="E33" s="4" t="str">
        <f ca="1">TmOrderLU!E33</f>
        <v>Tm18</v>
      </c>
      <c r="F33" s="4" t="str">
        <f ca="1">TmOrderLU!F33</f>
        <v>ng</v>
      </c>
      <c r="G33" s="4" t="str">
        <f ca="1">TmOrderLU!G33</f>
        <v>ng</v>
      </c>
      <c r="H33" s="4" t="str">
        <f ca="1">TmOrderLU!H33</f>
        <v>Tm17</v>
      </c>
      <c r="I33" s="4" t="str">
        <f ca="1">TmOrderLU!I33</f>
        <v>ng</v>
      </c>
      <c r="J33" s="4" t="str">
        <f ca="1">TmOrderLU!J33</f>
        <v>Tm19</v>
      </c>
      <c r="K33" s="4" t="str">
        <f ca="1">TmOrderLU!K33</f>
        <v>Tm20</v>
      </c>
      <c r="L33" s="4" t="str">
        <f ca="1">TmOrderLU!L33</f>
        <v>ng</v>
      </c>
      <c r="M33" s="4" t="str">
        <f ca="1">TmOrderLU!M33</f>
        <v>ng</v>
      </c>
      <c r="N33" s="4" t="str">
        <f ca="1">TmOrderLU!N33</f>
        <v>Tm22</v>
      </c>
      <c r="O33" s="4" t="str">
        <f ca="1">TmOrderLU!O33</f>
        <v>Tm21</v>
      </c>
      <c r="P33" s="4" t="str">
        <f ca="1">TmOrderLU!P33</f>
        <v>ng</v>
      </c>
      <c r="Q33" s="4" t="str">
        <f ca="1">TmOrderLU!Q33</f>
        <v>ng</v>
      </c>
      <c r="R33" s="4" t="str">
        <f ca="1">TmOrderLU!R33</f>
        <v>Tm24</v>
      </c>
      <c r="S33" s="4" t="str">
        <f ca="1">TmOrderLU!S33</f>
        <v>ng</v>
      </c>
      <c r="T33" s="4" t="str">
        <f ca="1">TmOrderLU!T33</f>
        <v>ng</v>
      </c>
      <c r="U33" s="4" t="str">
        <f ca="1">TmOrderLU!U33</f>
        <v>ng</v>
      </c>
      <c r="V33" s="4" t="str">
        <f ca="1">TmOrderLU!V33</f>
        <v>ng</v>
      </c>
      <c r="W33" s="4" t="str">
        <f ca="1">TmOrderLU!W33</f>
        <v>ng</v>
      </c>
      <c r="X33" s="4" t="str">
        <f ca="1">TmOrderLU!X33</f>
        <v>ng</v>
      </c>
      <c r="Y33" s="4" t="str">
        <f ca="1">TmOrderLU!Y33</f>
        <v>ng</v>
      </c>
      <c r="Z33" s="4" t="str">
        <f ca="1">TmOrderLU!Z33</f>
        <v>ng</v>
      </c>
      <c r="AA33" s="4" t="str">
        <f ca="1">TmOrderLU!AA33</f>
        <v>ng</v>
      </c>
      <c r="AB33" s="4" t="str">
        <f ca="1">TmOrderLU!AB33</f>
        <v>ng</v>
      </c>
      <c r="AC33" s="4" t="str">
        <f ca="1">TmOrderLU!AC33</f>
        <v>ng</v>
      </c>
      <c r="AD33" s="4" t="str">
        <f ca="1">TmOrderLU!AD33</f>
        <v>ng</v>
      </c>
      <c r="AE33" s="4" t="str">
        <f ca="1">TmOrderLU!AE33</f>
        <v>ng</v>
      </c>
      <c r="AF33" s="4" t="str">
        <f ca="1">TmOrderLU!AF33</f>
        <v>ng</v>
      </c>
      <c r="AG33" s="4" t="str">
        <f ca="1">TmOrderLU!AG33</f>
        <v>ng</v>
      </c>
      <c r="AH33" s="4" t="str">
        <f ca="1">TmOrderLU!AH33</f>
        <v>ng</v>
      </c>
      <c r="AI33" s="4" t="str">
        <f ca="1">TmOrderLU!AI33</f>
        <v>ng</v>
      </c>
      <c r="AJ33" s="4" t="str">
        <f ca="1">TmOrderLU!AJ33</f>
        <v>ng</v>
      </c>
      <c r="AK33" s="4" t="str">
        <f ca="1">TmOrderLU!AK33</f>
        <v>ng</v>
      </c>
      <c r="AL33" s="4" t="str">
        <f ca="1">TmOrderLU!AL33</f>
        <v>ng</v>
      </c>
      <c r="AM33" s="4" t="str">
        <f ca="1">TmOrderLU!AM33</f>
        <v>ng</v>
      </c>
      <c r="AN33" s="4" t="str">
        <f ca="1">TmOrderLU!AN33</f>
        <v>ng</v>
      </c>
      <c r="AO33" s="4" t="str">
        <f ca="1">TmOrderLU!AO33</f>
        <v>ng</v>
      </c>
      <c r="AP33" s="4" t="str">
        <f ca="1">TmOrderLU!AP33</f>
        <v>ng</v>
      </c>
      <c r="AQ33" s="4" t="str">
        <f ca="1">TmOrderLU!AQ33</f>
        <v>ng</v>
      </c>
      <c r="AR33" s="357" t="str">
        <f ca="1">TmOrderLU!AR33</f>
        <v>ng</v>
      </c>
    </row>
    <row r="34" spans="4:44">
      <c r="D34" s="357" t="str">
        <f ca="1">TmOrderLU!D34</f>
        <v>Tm24</v>
      </c>
      <c r="E34" s="4" t="str">
        <f ca="1">TmOrderLU!E34</f>
        <v>ng</v>
      </c>
      <c r="F34" s="4" t="str">
        <f ca="1">TmOrderLU!F34</f>
        <v>Tm17</v>
      </c>
      <c r="G34" s="4" t="str">
        <f ca="1">TmOrderLU!G34</f>
        <v>Tm20</v>
      </c>
      <c r="H34" s="4" t="str">
        <f ca="1">TmOrderLU!H34</f>
        <v>ng</v>
      </c>
      <c r="I34" s="4" t="str">
        <f ca="1">TmOrderLU!I34</f>
        <v>Tm18</v>
      </c>
      <c r="J34" s="4" t="str">
        <f ca="1">TmOrderLU!J34</f>
        <v>ng</v>
      </c>
      <c r="K34" s="4" t="str">
        <f ca="1">TmOrderLU!K34</f>
        <v>ng</v>
      </c>
      <c r="L34" s="4" t="str">
        <f ca="1">TmOrderLU!L34</f>
        <v>Tm19</v>
      </c>
      <c r="M34" s="4" t="str">
        <f ca="1">TmOrderLU!M34</f>
        <v>ng</v>
      </c>
      <c r="N34" s="4" t="str">
        <f ca="1">TmOrderLU!N34</f>
        <v>Tm21</v>
      </c>
      <c r="O34" s="4" t="str">
        <f ca="1">TmOrderLU!O34</f>
        <v>Tm22</v>
      </c>
      <c r="P34" s="4" t="str">
        <f ca="1">TmOrderLU!P34</f>
        <v>ng</v>
      </c>
      <c r="Q34" s="4" t="str">
        <f ca="1">TmOrderLU!Q34</f>
        <v>ng</v>
      </c>
      <c r="R34" s="4" t="str">
        <f ca="1">TmOrderLU!R34</f>
        <v>Tm23</v>
      </c>
      <c r="S34" s="4" t="str">
        <f ca="1">TmOrderLU!S34</f>
        <v>ng</v>
      </c>
      <c r="T34" s="4" t="str">
        <f ca="1">TmOrderLU!T34</f>
        <v>ng</v>
      </c>
      <c r="U34" s="4" t="str">
        <f ca="1">TmOrderLU!U34</f>
        <v>ng</v>
      </c>
      <c r="V34" s="4" t="str">
        <f ca="1">TmOrderLU!V34</f>
        <v>ng</v>
      </c>
      <c r="W34" s="4" t="str">
        <f ca="1">TmOrderLU!W34</f>
        <v>ng</v>
      </c>
      <c r="X34" s="4" t="str">
        <f ca="1">TmOrderLU!X34</f>
        <v>ng</v>
      </c>
      <c r="Y34" s="4" t="str">
        <f ca="1">TmOrderLU!Y34</f>
        <v>ng</v>
      </c>
      <c r="Z34" s="4" t="str">
        <f ca="1">TmOrderLU!Z34</f>
        <v>ng</v>
      </c>
      <c r="AA34" s="4" t="str">
        <f ca="1">TmOrderLU!AA34</f>
        <v>ng</v>
      </c>
      <c r="AB34" s="4" t="str">
        <f ca="1">TmOrderLU!AB34</f>
        <v>ng</v>
      </c>
      <c r="AC34" s="4" t="str">
        <f ca="1">TmOrderLU!AC34</f>
        <v>ng</v>
      </c>
      <c r="AD34" s="4" t="str">
        <f ca="1">TmOrderLU!AD34</f>
        <v>ng</v>
      </c>
      <c r="AE34" s="4" t="str">
        <f ca="1">TmOrderLU!AE34</f>
        <v>ng</v>
      </c>
      <c r="AF34" s="4" t="str">
        <f ca="1">TmOrderLU!AF34</f>
        <v>ng</v>
      </c>
      <c r="AG34" s="4" t="str">
        <f ca="1">TmOrderLU!AG34</f>
        <v>ng</v>
      </c>
      <c r="AH34" s="4" t="str">
        <f ca="1">TmOrderLU!AH34</f>
        <v>ng</v>
      </c>
      <c r="AI34" s="4" t="str">
        <f ca="1">TmOrderLU!AI34</f>
        <v>ng</v>
      </c>
      <c r="AJ34" s="4" t="str">
        <f ca="1">TmOrderLU!AJ34</f>
        <v>ng</v>
      </c>
      <c r="AK34" s="4" t="str">
        <f ca="1">TmOrderLU!AK34</f>
        <v>ng</v>
      </c>
      <c r="AL34" s="4" t="str">
        <f ca="1">TmOrderLU!AL34</f>
        <v>ng</v>
      </c>
      <c r="AM34" s="4" t="str">
        <f ca="1">TmOrderLU!AM34</f>
        <v>ng</v>
      </c>
      <c r="AN34" s="4" t="str">
        <f ca="1">TmOrderLU!AN34</f>
        <v>ng</v>
      </c>
      <c r="AO34" s="4" t="str">
        <f ca="1">TmOrderLU!AO34</f>
        <v>ng</v>
      </c>
      <c r="AP34" s="4" t="str">
        <f ca="1">TmOrderLU!AP34</f>
        <v>ng</v>
      </c>
      <c r="AQ34" s="4" t="str">
        <f ca="1">TmOrderLU!AQ34</f>
        <v>ng</v>
      </c>
      <c r="AR34" s="357" t="str">
        <f ca="1">TmOrderLU!AR34</f>
        <v>ng</v>
      </c>
    </row>
    <row r="35" spans="4:44">
      <c r="D35" s="357" t="str">
        <f ca="1">TmOrderLU!D35</f>
        <v/>
      </c>
      <c r="E35" s="4" t="str">
        <f ca="1">TmOrderLU!E35</f>
        <v>ng</v>
      </c>
      <c r="F35" s="4" t="str">
        <f ca="1">TmOrderLU!F35</f>
        <v>ng</v>
      </c>
      <c r="G35" s="4" t="str">
        <f ca="1">TmOrderLU!G35</f>
        <v>ng</v>
      </c>
      <c r="H35" s="4" t="str">
        <f ca="1">TmOrderLU!H35</f>
        <v>ng</v>
      </c>
      <c r="I35" s="4" t="str">
        <f ca="1">TmOrderLU!I35</f>
        <v>ng</v>
      </c>
      <c r="J35" s="4" t="str">
        <f ca="1">TmOrderLU!J35</f>
        <v>ng</v>
      </c>
      <c r="K35" s="4" t="str">
        <f ca="1">TmOrderLU!K35</f>
        <v>ng</v>
      </c>
      <c r="L35" s="4" t="str">
        <f ca="1">TmOrderLU!L35</f>
        <v>ng</v>
      </c>
      <c r="M35" s="4" t="str">
        <f ca="1">TmOrderLU!M35</f>
        <v>ng</v>
      </c>
      <c r="N35" s="4" t="str">
        <f ca="1">TmOrderLU!N35</f>
        <v>ng</v>
      </c>
      <c r="O35" s="4" t="str">
        <f ca="1">TmOrderLU!O35</f>
        <v>ng</v>
      </c>
      <c r="P35" s="4" t="str">
        <f ca="1">TmOrderLU!P35</f>
        <v>ng</v>
      </c>
      <c r="Q35" s="4" t="str">
        <f ca="1">TmOrderLU!Q35</f>
        <v>ng</v>
      </c>
      <c r="R35" s="4" t="str">
        <f ca="1">TmOrderLU!R35</f>
        <v>ng</v>
      </c>
      <c r="S35" s="4" t="str">
        <f ca="1">TmOrderLU!S35</f>
        <v>ng</v>
      </c>
      <c r="T35" s="4" t="str">
        <f ca="1">TmOrderLU!T35</f>
        <v>ng</v>
      </c>
      <c r="U35" s="4" t="str">
        <f ca="1">TmOrderLU!U35</f>
        <v>ng</v>
      </c>
      <c r="V35" s="4" t="str">
        <f ca="1">TmOrderLU!V35</f>
        <v>ng</v>
      </c>
      <c r="W35" s="4" t="str">
        <f ca="1">TmOrderLU!W35</f>
        <v>ng</v>
      </c>
      <c r="X35" s="4" t="str">
        <f ca="1">TmOrderLU!X35</f>
        <v>ng</v>
      </c>
      <c r="Y35" s="4" t="str">
        <f ca="1">TmOrderLU!Y35</f>
        <v>ng</v>
      </c>
      <c r="Z35" s="4" t="str">
        <f ca="1">TmOrderLU!Z35</f>
        <v>ng</v>
      </c>
      <c r="AA35" s="4" t="str">
        <f ca="1">TmOrderLU!AA35</f>
        <v>ng</v>
      </c>
      <c r="AB35" s="4" t="str">
        <f ca="1">TmOrderLU!AB35</f>
        <v>ng</v>
      </c>
      <c r="AC35" s="4" t="str">
        <f ca="1">TmOrderLU!AC35</f>
        <v>ng</v>
      </c>
      <c r="AD35" s="4" t="str">
        <f ca="1">TmOrderLU!AD35</f>
        <v>ng</v>
      </c>
      <c r="AE35" s="4" t="str">
        <f ca="1">TmOrderLU!AE35</f>
        <v>ng</v>
      </c>
      <c r="AF35" s="4" t="str">
        <f ca="1">TmOrderLU!AF35</f>
        <v>ng</v>
      </c>
      <c r="AG35" s="4" t="str">
        <f ca="1">TmOrderLU!AG35</f>
        <v>ng</v>
      </c>
      <c r="AH35" s="4" t="str">
        <f ca="1">TmOrderLU!AH35</f>
        <v>ng</v>
      </c>
      <c r="AI35" s="4" t="str">
        <f ca="1">TmOrderLU!AI35</f>
        <v>ng</v>
      </c>
      <c r="AJ35" s="4" t="str">
        <f ca="1">TmOrderLU!AJ35</f>
        <v>ng</v>
      </c>
      <c r="AK35" s="4" t="str">
        <f ca="1">TmOrderLU!AK35</f>
        <v>ng</v>
      </c>
      <c r="AL35" s="4" t="str">
        <f ca="1">TmOrderLU!AL35</f>
        <v>ng</v>
      </c>
      <c r="AM35" s="4" t="str">
        <f ca="1">TmOrderLU!AM35</f>
        <v>ng</v>
      </c>
      <c r="AN35" s="4" t="str">
        <f ca="1">TmOrderLU!AN35</f>
        <v>ng</v>
      </c>
      <c r="AO35" s="4" t="str">
        <f ca="1">TmOrderLU!AO35</f>
        <v>ng</v>
      </c>
      <c r="AP35" s="4" t="str">
        <f ca="1">TmOrderLU!AP35</f>
        <v>ng</v>
      </c>
      <c r="AQ35" s="4" t="str">
        <f ca="1">TmOrderLU!AQ35</f>
        <v>ng</v>
      </c>
      <c r="AR35" s="357" t="str">
        <f ca="1">TmOrderLU!AR35</f>
        <v>ng</v>
      </c>
    </row>
    <row r="36" spans="4:44">
      <c r="D36" s="357" t="str">
        <f ca="1">TmOrderLU!D36</f>
        <v/>
      </c>
      <c r="E36" s="4" t="str">
        <f ca="1">TmOrderLU!E36</f>
        <v>ng</v>
      </c>
      <c r="F36" s="4" t="str">
        <f ca="1">TmOrderLU!F36</f>
        <v>ng</v>
      </c>
      <c r="G36" s="4" t="str">
        <f ca="1">TmOrderLU!G36</f>
        <v>ng</v>
      </c>
      <c r="H36" s="4" t="str">
        <f ca="1">TmOrderLU!H36</f>
        <v>ng</v>
      </c>
      <c r="I36" s="4" t="str">
        <f ca="1">TmOrderLU!I36</f>
        <v>ng</v>
      </c>
      <c r="J36" s="4" t="str">
        <f ca="1">TmOrderLU!J36</f>
        <v>ng</v>
      </c>
      <c r="K36" s="4" t="str">
        <f ca="1">TmOrderLU!K36</f>
        <v>ng</v>
      </c>
      <c r="L36" s="4" t="str">
        <f ca="1">TmOrderLU!L36</f>
        <v>ng</v>
      </c>
      <c r="M36" s="4" t="str">
        <f ca="1">TmOrderLU!M36</f>
        <v>ng</v>
      </c>
      <c r="N36" s="4" t="str">
        <f ca="1">TmOrderLU!N36</f>
        <v>ng</v>
      </c>
      <c r="O36" s="4" t="str">
        <f ca="1">TmOrderLU!O36</f>
        <v>ng</v>
      </c>
      <c r="P36" s="4" t="str">
        <f ca="1">TmOrderLU!P36</f>
        <v>ng</v>
      </c>
      <c r="Q36" s="4" t="str">
        <f ca="1">TmOrderLU!Q36</f>
        <v>ng</v>
      </c>
      <c r="R36" s="4" t="str">
        <f ca="1">TmOrderLU!R36</f>
        <v>ng</v>
      </c>
      <c r="S36" s="4" t="str">
        <f ca="1">TmOrderLU!S36</f>
        <v>ng</v>
      </c>
      <c r="T36" s="4" t="str">
        <f ca="1">TmOrderLU!T36</f>
        <v>ng</v>
      </c>
      <c r="U36" s="4" t="str">
        <f ca="1">TmOrderLU!U36</f>
        <v>ng</v>
      </c>
      <c r="V36" s="4" t="str">
        <f ca="1">TmOrderLU!V36</f>
        <v>ng</v>
      </c>
      <c r="W36" s="4" t="str">
        <f ca="1">TmOrderLU!W36</f>
        <v>ng</v>
      </c>
      <c r="X36" s="4" t="str">
        <f ca="1">TmOrderLU!X36</f>
        <v>ng</v>
      </c>
      <c r="Y36" s="4" t="str">
        <f ca="1">TmOrderLU!Y36</f>
        <v>ng</v>
      </c>
      <c r="Z36" s="4" t="str">
        <f ca="1">TmOrderLU!Z36</f>
        <v>ng</v>
      </c>
      <c r="AA36" s="4" t="str">
        <f ca="1">TmOrderLU!AA36</f>
        <v>ng</v>
      </c>
      <c r="AB36" s="4" t="str">
        <f ca="1">TmOrderLU!AB36</f>
        <v>ng</v>
      </c>
      <c r="AC36" s="4" t="str">
        <f ca="1">TmOrderLU!AC36</f>
        <v>ng</v>
      </c>
      <c r="AD36" s="4" t="str">
        <f ca="1">TmOrderLU!AD36</f>
        <v>ng</v>
      </c>
      <c r="AE36" s="4" t="str">
        <f ca="1">TmOrderLU!AE36</f>
        <v>ng</v>
      </c>
      <c r="AF36" s="4" t="str">
        <f ca="1">TmOrderLU!AF36</f>
        <v>ng</v>
      </c>
      <c r="AG36" s="4" t="str">
        <f ca="1">TmOrderLU!AG36</f>
        <v>ng</v>
      </c>
      <c r="AH36" s="4" t="str">
        <f ca="1">TmOrderLU!AH36</f>
        <v>ng</v>
      </c>
      <c r="AI36" s="4" t="str">
        <f ca="1">TmOrderLU!AI36</f>
        <v>ng</v>
      </c>
      <c r="AJ36" s="4" t="str">
        <f ca="1">TmOrderLU!AJ36</f>
        <v>ng</v>
      </c>
      <c r="AK36" s="4" t="str">
        <f ca="1">TmOrderLU!AK36</f>
        <v>ng</v>
      </c>
      <c r="AL36" s="4" t="str">
        <f ca="1">TmOrderLU!AL36</f>
        <v>ng</v>
      </c>
      <c r="AM36" s="4" t="str">
        <f ca="1">TmOrderLU!AM36</f>
        <v>ng</v>
      </c>
      <c r="AN36" s="4" t="str">
        <f ca="1">TmOrderLU!AN36</f>
        <v>ng</v>
      </c>
      <c r="AO36" s="4" t="str">
        <f ca="1">TmOrderLU!AO36</f>
        <v>ng</v>
      </c>
      <c r="AP36" s="4" t="str">
        <f ca="1">TmOrderLU!AP36</f>
        <v>ng</v>
      </c>
      <c r="AQ36" s="4" t="str">
        <f ca="1">TmOrderLU!AQ36</f>
        <v>ng</v>
      </c>
      <c r="AR36" s="357" t="str">
        <f ca="1">TmOrderLU!AR36</f>
        <v>ng</v>
      </c>
    </row>
    <row r="37" spans="4:44">
      <c r="D37" s="357" t="str">
        <f ca="1">TmOrderLU!D37</f>
        <v/>
      </c>
      <c r="E37" s="4" t="str">
        <f ca="1">TmOrderLU!E37</f>
        <v>ng</v>
      </c>
      <c r="F37" s="4" t="str">
        <f ca="1">TmOrderLU!F37</f>
        <v>ng</v>
      </c>
      <c r="G37" s="4" t="str">
        <f ca="1">TmOrderLU!G37</f>
        <v>ng</v>
      </c>
      <c r="H37" s="4" t="str">
        <f ca="1">TmOrderLU!H37</f>
        <v>ng</v>
      </c>
      <c r="I37" s="4" t="str">
        <f ca="1">TmOrderLU!I37</f>
        <v>ng</v>
      </c>
      <c r="J37" s="4" t="str">
        <f ca="1">TmOrderLU!J37</f>
        <v>ng</v>
      </c>
      <c r="K37" s="4" t="str">
        <f ca="1">TmOrderLU!K37</f>
        <v>ng</v>
      </c>
      <c r="L37" s="4" t="str">
        <f ca="1">TmOrderLU!L37</f>
        <v>ng</v>
      </c>
      <c r="M37" s="4" t="str">
        <f ca="1">TmOrderLU!M37</f>
        <v>ng</v>
      </c>
      <c r="N37" s="4" t="str">
        <f ca="1">TmOrderLU!N37</f>
        <v>ng</v>
      </c>
      <c r="O37" s="4" t="str">
        <f ca="1">TmOrderLU!O37</f>
        <v>ng</v>
      </c>
      <c r="P37" s="4" t="str">
        <f ca="1">TmOrderLU!P37</f>
        <v>ng</v>
      </c>
      <c r="Q37" s="4" t="str">
        <f ca="1">TmOrderLU!Q37</f>
        <v>ng</v>
      </c>
      <c r="R37" s="4" t="str">
        <f ca="1">TmOrderLU!R37</f>
        <v>ng</v>
      </c>
      <c r="S37" s="4" t="str">
        <f ca="1">TmOrderLU!S37</f>
        <v>ng</v>
      </c>
      <c r="T37" s="4" t="str">
        <f ca="1">TmOrderLU!T37</f>
        <v>ng</v>
      </c>
      <c r="U37" s="4" t="str">
        <f ca="1">TmOrderLU!U37</f>
        <v>ng</v>
      </c>
      <c r="V37" s="4" t="str">
        <f ca="1">TmOrderLU!V37</f>
        <v>ng</v>
      </c>
      <c r="W37" s="4" t="str">
        <f ca="1">TmOrderLU!W37</f>
        <v>ng</v>
      </c>
      <c r="X37" s="4" t="str">
        <f ca="1">TmOrderLU!X37</f>
        <v>ng</v>
      </c>
      <c r="Y37" s="4" t="str">
        <f ca="1">TmOrderLU!Y37</f>
        <v>ng</v>
      </c>
      <c r="Z37" s="4" t="str">
        <f ca="1">TmOrderLU!Z37</f>
        <v>ng</v>
      </c>
      <c r="AA37" s="4" t="str">
        <f ca="1">TmOrderLU!AA37</f>
        <v>ng</v>
      </c>
      <c r="AB37" s="4" t="str">
        <f ca="1">TmOrderLU!AB37</f>
        <v>ng</v>
      </c>
      <c r="AC37" s="4" t="str">
        <f ca="1">TmOrderLU!AC37</f>
        <v>ng</v>
      </c>
      <c r="AD37" s="4" t="str">
        <f ca="1">TmOrderLU!AD37</f>
        <v>ng</v>
      </c>
      <c r="AE37" s="4" t="str">
        <f ca="1">TmOrderLU!AE37</f>
        <v>ng</v>
      </c>
      <c r="AF37" s="4" t="str">
        <f ca="1">TmOrderLU!AF37</f>
        <v>ng</v>
      </c>
      <c r="AG37" s="4" t="str">
        <f ca="1">TmOrderLU!AG37</f>
        <v>ng</v>
      </c>
      <c r="AH37" s="4" t="str">
        <f ca="1">TmOrderLU!AH37</f>
        <v>ng</v>
      </c>
      <c r="AI37" s="4" t="str">
        <f ca="1">TmOrderLU!AI37</f>
        <v>ng</v>
      </c>
      <c r="AJ37" s="4" t="str">
        <f ca="1">TmOrderLU!AJ37</f>
        <v>ng</v>
      </c>
      <c r="AK37" s="4" t="str">
        <f ca="1">TmOrderLU!AK37</f>
        <v>ng</v>
      </c>
      <c r="AL37" s="4" t="str">
        <f ca="1">TmOrderLU!AL37</f>
        <v>ng</v>
      </c>
      <c r="AM37" s="4" t="str">
        <f ca="1">TmOrderLU!AM37</f>
        <v>ng</v>
      </c>
      <c r="AN37" s="4" t="str">
        <f ca="1">TmOrderLU!AN37</f>
        <v>ng</v>
      </c>
      <c r="AO37" s="4" t="str">
        <f ca="1">TmOrderLU!AO37</f>
        <v>ng</v>
      </c>
      <c r="AP37" s="4" t="str">
        <f ca="1">TmOrderLU!AP37</f>
        <v>ng</v>
      </c>
      <c r="AQ37" s="4" t="str">
        <f ca="1">TmOrderLU!AQ37</f>
        <v>ng</v>
      </c>
      <c r="AR37" s="357" t="str">
        <f ca="1">TmOrderLU!AR37</f>
        <v>ng</v>
      </c>
    </row>
    <row r="38" spans="4:44">
      <c r="D38" s="357" t="str">
        <f ca="1">TmOrderLU!D38</f>
        <v/>
      </c>
      <c r="E38" s="4" t="str">
        <f ca="1">TmOrderLU!E38</f>
        <v>ng</v>
      </c>
      <c r="F38" s="4" t="str">
        <f ca="1">TmOrderLU!F38</f>
        <v>ng</v>
      </c>
      <c r="G38" s="4" t="str">
        <f ca="1">TmOrderLU!G38</f>
        <v>ng</v>
      </c>
      <c r="H38" s="4" t="str">
        <f ca="1">TmOrderLU!H38</f>
        <v>ng</v>
      </c>
      <c r="I38" s="4" t="str">
        <f ca="1">TmOrderLU!I38</f>
        <v>ng</v>
      </c>
      <c r="J38" s="4" t="str">
        <f ca="1">TmOrderLU!J38</f>
        <v>ng</v>
      </c>
      <c r="K38" s="4" t="str">
        <f ca="1">TmOrderLU!K38</f>
        <v>ng</v>
      </c>
      <c r="L38" s="4" t="str">
        <f ca="1">TmOrderLU!L38</f>
        <v>ng</v>
      </c>
      <c r="M38" s="4" t="str">
        <f ca="1">TmOrderLU!M38</f>
        <v>ng</v>
      </c>
      <c r="N38" s="4" t="str">
        <f ca="1">TmOrderLU!N38</f>
        <v>ng</v>
      </c>
      <c r="O38" s="4" t="str">
        <f ca="1">TmOrderLU!O38</f>
        <v>ng</v>
      </c>
      <c r="P38" s="4" t="str">
        <f ca="1">TmOrderLU!P38</f>
        <v>ng</v>
      </c>
      <c r="Q38" s="4" t="str">
        <f ca="1">TmOrderLU!Q38</f>
        <v>ng</v>
      </c>
      <c r="R38" s="4" t="str">
        <f ca="1">TmOrderLU!R38</f>
        <v>ng</v>
      </c>
      <c r="S38" s="4" t="str">
        <f ca="1">TmOrderLU!S38</f>
        <v>ng</v>
      </c>
      <c r="T38" s="4" t="str">
        <f ca="1">TmOrderLU!T38</f>
        <v>ng</v>
      </c>
      <c r="U38" s="4" t="str">
        <f ca="1">TmOrderLU!U38</f>
        <v>ng</v>
      </c>
      <c r="V38" s="4" t="str">
        <f ca="1">TmOrderLU!V38</f>
        <v>ng</v>
      </c>
      <c r="W38" s="4" t="str">
        <f ca="1">TmOrderLU!W38</f>
        <v>ng</v>
      </c>
      <c r="X38" s="4" t="str">
        <f ca="1">TmOrderLU!X38</f>
        <v>ng</v>
      </c>
      <c r="Y38" s="4" t="str">
        <f ca="1">TmOrderLU!Y38</f>
        <v>ng</v>
      </c>
      <c r="Z38" s="4" t="str">
        <f ca="1">TmOrderLU!Z38</f>
        <v>ng</v>
      </c>
      <c r="AA38" s="4" t="str">
        <f ca="1">TmOrderLU!AA38</f>
        <v>ng</v>
      </c>
      <c r="AB38" s="4" t="str">
        <f ca="1">TmOrderLU!AB38</f>
        <v>ng</v>
      </c>
      <c r="AC38" s="4" t="str">
        <f ca="1">TmOrderLU!AC38</f>
        <v>ng</v>
      </c>
      <c r="AD38" s="4" t="str">
        <f ca="1">TmOrderLU!AD38</f>
        <v>ng</v>
      </c>
      <c r="AE38" s="4" t="str">
        <f ca="1">TmOrderLU!AE38</f>
        <v>ng</v>
      </c>
      <c r="AF38" s="4" t="str">
        <f ca="1">TmOrderLU!AF38</f>
        <v>ng</v>
      </c>
      <c r="AG38" s="4" t="str">
        <f ca="1">TmOrderLU!AG38</f>
        <v>ng</v>
      </c>
      <c r="AH38" s="4" t="str">
        <f ca="1">TmOrderLU!AH38</f>
        <v>ng</v>
      </c>
      <c r="AI38" s="4" t="str">
        <f ca="1">TmOrderLU!AI38</f>
        <v>ng</v>
      </c>
      <c r="AJ38" s="4" t="str">
        <f ca="1">TmOrderLU!AJ38</f>
        <v>ng</v>
      </c>
      <c r="AK38" s="4" t="str">
        <f ca="1">TmOrderLU!AK38</f>
        <v>ng</v>
      </c>
      <c r="AL38" s="4" t="str">
        <f ca="1">TmOrderLU!AL38</f>
        <v>ng</v>
      </c>
      <c r="AM38" s="4" t="str">
        <f ca="1">TmOrderLU!AM38</f>
        <v>ng</v>
      </c>
      <c r="AN38" s="4" t="str">
        <f ca="1">TmOrderLU!AN38</f>
        <v>ng</v>
      </c>
      <c r="AO38" s="4" t="str">
        <f ca="1">TmOrderLU!AO38</f>
        <v>ng</v>
      </c>
      <c r="AP38" s="4" t="str">
        <f ca="1">TmOrderLU!AP38</f>
        <v>ng</v>
      </c>
      <c r="AQ38" s="4" t="str">
        <f ca="1">TmOrderLU!AQ38</f>
        <v>ng</v>
      </c>
      <c r="AR38" s="357" t="str">
        <f ca="1">TmOrderLU!AR38</f>
        <v>ng</v>
      </c>
    </row>
    <row r="39" spans="4:44">
      <c r="D39" s="357" t="str">
        <f ca="1">TmOrderLU!D39</f>
        <v/>
      </c>
      <c r="E39" s="4" t="str">
        <f ca="1">TmOrderLU!E39</f>
        <v>ng</v>
      </c>
      <c r="F39" s="4" t="str">
        <f ca="1">TmOrderLU!F39</f>
        <v>ng</v>
      </c>
      <c r="G39" s="4" t="str">
        <f ca="1">TmOrderLU!G39</f>
        <v>ng</v>
      </c>
      <c r="H39" s="4" t="str">
        <f ca="1">TmOrderLU!H39</f>
        <v>ng</v>
      </c>
      <c r="I39" s="4" t="str">
        <f ca="1">TmOrderLU!I39</f>
        <v>ng</v>
      </c>
      <c r="J39" s="4" t="str">
        <f ca="1">TmOrderLU!J39</f>
        <v>ng</v>
      </c>
      <c r="K39" s="4" t="str">
        <f ca="1">TmOrderLU!K39</f>
        <v>ng</v>
      </c>
      <c r="L39" s="4" t="str">
        <f ca="1">TmOrderLU!L39</f>
        <v>ng</v>
      </c>
      <c r="M39" s="4" t="str">
        <f ca="1">TmOrderLU!M39</f>
        <v>ng</v>
      </c>
      <c r="N39" s="4" t="str">
        <f ca="1">TmOrderLU!N39</f>
        <v>ng</v>
      </c>
      <c r="O39" s="4" t="str">
        <f ca="1">TmOrderLU!O39</f>
        <v>ng</v>
      </c>
      <c r="P39" s="4" t="str">
        <f ca="1">TmOrderLU!P39</f>
        <v>ng</v>
      </c>
      <c r="Q39" s="4" t="str">
        <f ca="1">TmOrderLU!Q39</f>
        <v>ng</v>
      </c>
      <c r="R39" s="4" t="str">
        <f ca="1">TmOrderLU!R39</f>
        <v>ng</v>
      </c>
      <c r="S39" s="4" t="str">
        <f ca="1">TmOrderLU!S39</f>
        <v>ng</v>
      </c>
      <c r="T39" s="4" t="str">
        <f ca="1">TmOrderLU!T39</f>
        <v>ng</v>
      </c>
      <c r="U39" s="4" t="str">
        <f ca="1">TmOrderLU!U39</f>
        <v>ng</v>
      </c>
      <c r="V39" s="4" t="str">
        <f ca="1">TmOrderLU!V39</f>
        <v>ng</v>
      </c>
      <c r="W39" s="4" t="str">
        <f ca="1">TmOrderLU!W39</f>
        <v>ng</v>
      </c>
      <c r="X39" s="4" t="str">
        <f ca="1">TmOrderLU!X39</f>
        <v>ng</v>
      </c>
      <c r="Y39" s="4" t="str">
        <f ca="1">TmOrderLU!Y39</f>
        <v>ng</v>
      </c>
      <c r="Z39" s="4" t="str">
        <f ca="1">TmOrderLU!Z39</f>
        <v>ng</v>
      </c>
      <c r="AA39" s="4" t="str">
        <f ca="1">TmOrderLU!AA39</f>
        <v>ng</v>
      </c>
      <c r="AB39" s="4" t="str">
        <f ca="1">TmOrderLU!AB39</f>
        <v>ng</v>
      </c>
      <c r="AC39" s="4" t="str">
        <f ca="1">TmOrderLU!AC39</f>
        <v>ng</v>
      </c>
      <c r="AD39" s="4" t="str">
        <f ca="1">TmOrderLU!AD39</f>
        <v>ng</v>
      </c>
      <c r="AE39" s="4" t="str">
        <f ca="1">TmOrderLU!AE39</f>
        <v>ng</v>
      </c>
      <c r="AF39" s="4" t="str">
        <f ca="1">TmOrderLU!AF39</f>
        <v>ng</v>
      </c>
      <c r="AG39" s="4" t="str">
        <f ca="1">TmOrderLU!AG39</f>
        <v>ng</v>
      </c>
      <c r="AH39" s="4" t="str">
        <f ca="1">TmOrderLU!AH39</f>
        <v>ng</v>
      </c>
      <c r="AI39" s="4" t="str">
        <f ca="1">TmOrderLU!AI39</f>
        <v>ng</v>
      </c>
      <c r="AJ39" s="4" t="str">
        <f ca="1">TmOrderLU!AJ39</f>
        <v>ng</v>
      </c>
      <c r="AK39" s="4" t="str">
        <f ca="1">TmOrderLU!AK39</f>
        <v>ng</v>
      </c>
      <c r="AL39" s="4" t="str">
        <f ca="1">TmOrderLU!AL39</f>
        <v>ng</v>
      </c>
      <c r="AM39" s="4" t="str">
        <f ca="1">TmOrderLU!AM39</f>
        <v>ng</v>
      </c>
      <c r="AN39" s="4" t="str">
        <f ca="1">TmOrderLU!AN39</f>
        <v>ng</v>
      </c>
      <c r="AO39" s="4" t="str">
        <f ca="1">TmOrderLU!AO39</f>
        <v>ng</v>
      </c>
      <c r="AP39" s="4" t="str">
        <f ca="1">TmOrderLU!AP39</f>
        <v>ng</v>
      </c>
      <c r="AQ39" s="4" t="str">
        <f ca="1">TmOrderLU!AQ39</f>
        <v>ng</v>
      </c>
      <c r="AR39" s="357" t="str">
        <f ca="1">TmOrderLU!AR39</f>
        <v>ng</v>
      </c>
    </row>
    <row r="40" spans="4:44">
      <c r="D40" s="357" t="str">
        <f ca="1">TmOrderLU!D40</f>
        <v/>
      </c>
      <c r="E40" s="4" t="str">
        <f ca="1">TmOrderLU!E40</f>
        <v>ng</v>
      </c>
      <c r="F40" s="4" t="str">
        <f ca="1">TmOrderLU!F40</f>
        <v>ng</v>
      </c>
      <c r="G40" s="4" t="str">
        <f ca="1">TmOrderLU!G40</f>
        <v>ng</v>
      </c>
      <c r="H40" s="4" t="str">
        <f ca="1">TmOrderLU!H40</f>
        <v>ng</v>
      </c>
      <c r="I40" s="4" t="str">
        <f ca="1">TmOrderLU!I40</f>
        <v>ng</v>
      </c>
      <c r="J40" s="4" t="str">
        <f ca="1">TmOrderLU!J40</f>
        <v>ng</v>
      </c>
      <c r="K40" s="4" t="str">
        <f ca="1">TmOrderLU!K40</f>
        <v>ng</v>
      </c>
      <c r="L40" s="4" t="str">
        <f ca="1">TmOrderLU!L40</f>
        <v>ng</v>
      </c>
      <c r="M40" s="4" t="str">
        <f ca="1">TmOrderLU!M40</f>
        <v>ng</v>
      </c>
      <c r="N40" s="4" t="str">
        <f ca="1">TmOrderLU!N40</f>
        <v>ng</v>
      </c>
      <c r="O40" s="4" t="str">
        <f ca="1">TmOrderLU!O40</f>
        <v>ng</v>
      </c>
      <c r="P40" s="4" t="str">
        <f ca="1">TmOrderLU!P40</f>
        <v>ng</v>
      </c>
      <c r="Q40" s="4" t="str">
        <f ca="1">TmOrderLU!Q40</f>
        <v>ng</v>
      </c>
      <c r="R40" s="4" t="str">
        <f ca="1">TmOrderLU!R40</f>
        <v>ng</v>
      </c>
      <c r="S40" s="4" t="str">
        <f ca="1">TmOrderLU!S40</f>
        <v>ng</v>
      </c>
      <c r="T40" s="4" t="str">
        <f ca="1">TmOrderLU!T40</f>
        <v>ng</v>
      </c>
      <c r="U40" s="4" t="str">
        <f ca="1">TmOrderLU!U40</f>
        <v>ng</v>
      </c>
      <c r="V40" s="4" t="str">
        <f ca="1">TmOrderLU!V40</f>
        <v>ng</v>
      </c>
      <c r="W40" s="4" t="str">
        <f ca="1">TmOrderLU!W40</f>
        <v>ng</v>
      </c>
      <c r="X40" s="4" t="str">
        <f ca="1">TmOrderLU!X40</f>
        <v>ng</v>
      </c>
      <c r="Y40" s="4" t="str">
        <f ca="1">TmOrderLU!Y40</f>
        <v>ng</v>
      </c>
      <c r="Z40" s="4" t="str">
        <f ca="1">TmOrderLU!Z40</f>
        <v>ng</v>
      </c>
      <c r="AA40" s="4" t="str">
        <f ca="1">TmOrderLU!AA40</f>
        <v>ng</v>
      </c>
      <c r="AB40" s="4" t="str">
        <f ca="1">TmOrderLU!AB40</f>
        <v>ng</v>
      </c>
      <c r="AC40" s="4" t="str">
        <f ca="1">TmOrderLU!AC40</f>
        <v>ng</v>
      </c>
      <c r="AD40" s="4" t="str">
        <f ca="1">TmOrderLU!AD40</f>
        <v>ng</v>
      </c>
      <c r="AE40" s="4" t="str">
        <f ca="1">TmOrderLU!AE40</f>
        <v>ng</v>
      </c>
      <c r="AF40" s="4" t="str">
        <f ca="1">TmOrderLU!AF40</f>
        <v>ng</v>
      </c>
      <c r="AG40" s="4" t="str">
        <f ca="1">TmOrderLU!AG40</f>
        <v>ng</v>
      </c>
      <c r="AH40" s="4" t="str">
        <f ca="1">TmOrderLU!AH40</f>
        <v>ng</v>
      </c>
      <c r="AI40" s="4" t="str">
        <f ca="1">TmOrderLU!AI40</f>
        <v>ng</v>
      </c>
      <c r="AJ40" s="4" t="str">
        <f ca="1">TmOrderLU!AJ40</f>
        <v>ng</v>
      </c>
      <c r="AK40" s="4" t="str">
        <f ca="1">TmOrderLU!AK40</f>
        <v>ng</v>
      </c>
      <c r="AL40" s="4" t="str">
        <f ca="1">TmOrderLU!AL40</f>
        <v>ng</v>
      </c>
      <c r="AM40" s="4" t="str">
        <f ca="1">TmOrderLU!AM40</f>
        <v>ng</v>
      </c>
      <c r="AN40" s="4" t="str">
        <f ca="1">TmOrderLU!AN40</f>
        <v>ng</v>
      </c>
      <c r="AO40" s="4" t="str">
        <f ca="1">TmOrderLU!AO40</f>
        <v>ng</v>
      </c>
      <c r="AP40" s="4" t="str">
        <f ca="1">TmOrderLU!AP40</f>
        <v>ng</v>
      </c>
      <c r="AQ40" s="4" t="str">
        <f ca="1">TmOrderLU!AQ40</f>
        <v>ng</v>
      </c>
      <c r="AR40" s="357" t="str">
        <f ca="1">TmOrderLU!AR40</f>
        <v>ng</v>
      </c>
    </row>
    <row r="41" spans="4:44">
      <c r="D41" s="357" t="str">
        <f ca="1">TmOrderLU!D41</f>
        <v/>
      </c>
      <c r="E41" s="4" t="str">
        <f ca="1">TmOrderLU!E41</f>
        <v>ng</v>
      </c>
      <c r="F41" s="4" t="str">
        <f ca="1">TmOrderLU!F41</f>
        <v>ng</v>
      </c>
      <c r="G41" s="4" t="str">
        <f ca="1">TmOrderLU!G41</f>
        <v>ng</v>
      </c>
      <c r="H41" s="4" t="str">
        <f ca="1">TmOrderLU!H41</f>
        <v>ng</v>
      </c>
      <c r="I41" s="4" t="str">
        <f ca="1">TmOrderLU!I41</f>
        <v>ng</v>
      </c>
      <c r="J41" s="4" t="str">
        <f ca="1">TmOrderLU!J41</f>
        <v>ng</v>
      </c>
      <c r="K41" s="4" t="str">
        <f ca="1">TmOrderLU!K41</f>
        <v>ng</v>
      </c>
      <c r="L41" s="4" t="str">
        <f ca="1">TmOrderLU!L41</f>
        <v>ng</v>
      </c>
      <c r="M41" s="4" t="str">
        <f ca="1">TmOrderLU!M41</f>
        <v>ng</v>
      </c>
      <c r="N41" s="4" t="str">
        <f ca="1">TmOrderLU!N41</f>
        <v>ng</v>
      </c>
      <c r="O41" s="4" t="str">
        <f ca="1">TmOrderLU!O41</f>
        <v>ng</v>
      </c>
      <c r="P41" s="4" t="str">
        <f ca="1">TmOrderLU!P41</f>
        <v>ng</v>
      </c>
      <c r="Q41" s="4" t="str">
        <f ca="1">TmOrderLU!Q41</f>
        <v>ng</v>
      </c>
      <c r="R41" s="4" t="str">
        <f ca="1">TmOrderLU!R41</f>
        <v>ng</v>
      </c>
      <c r="S41" s="4" t="str">
        <f ca="1">TmOrderLU!S41</f>
        <v>ng</v>
      </c>
      <c r="T41" s="4" t="str">
        <f ca="1">TmOrderLU!T41</f>
        <v>ng</v>
      </c>
      <c r="U41" s="4" t="str">
        <f ca="1">TmOrderLU!U41</f>
        <v>ng</v>
      </c>
      <c r="V41" s="4" t="str">
        <f ca="1">TmOrderLU!V41</f>
        <v>ng</v>
      </c>
      <c r="W41" s="4" t="str">
        <f ca="1">TmOrderLU!W41</f>
        <v>ng</v>
      </c>
      <c r="X41" s="4" t="str">
        <f ca="1">TmOrderLU!X41</f>
        <v>ng</v>
      </c>
      <c r="Y41" s="4" t="str">
        <f ca="1">TmOrderLU!Y41</f>
        <v>ng</v>
      </c>
      <c r="Z41" s="4" t="str">
        <f ca="1">TmOrderLU!Z41</f>
        <v>ng</v>
      </c>
      <c r="AA41" s="4" t="str">
        <f ca="1">TmOrderLU!AA41</f>
        <v>ng</v>
      </c>
      <c r="AB41" s="4" t="str">
        <f ca="1">TmOrderLU!AB41</f>
        <v>ng</v>
      </c>
      <c r="AC41" s="4" t="str">
        <f ca="1">TmOrderLU!AC41</f>
        <v>ng</v>
      </c>
      <c r="AD41" s="4" t="str">
        <f ca="1">TmOrderLU!AD41</f>
        <v>ng</v>
      </c>
      <c r="AE41" s="4" t="str">
        <f ca="1">TmOrderLU!AE41</f>
        <v>ng</v>
      </c>
      <c r="AF41" s="4" t="str">
        <f ca="1">TmOrderLU!AF41</f>
        <v>ng</v>
      </c>
      <c r="AG41" s="4" t="str">
        <f ca="1">TmOrderLU!AG41</f>
        <v>ng</v>
      </c>
      <c r="AH41" s="4" t="str">
        <f ca="1">TmOrderLU!AH41</f>
        <v>ng</v>
      </c>
      <c r="AI41" s="4" t="str">
        <f ca="1">TmOrderLU!AI41</f>
        <v>ng</v>
      </c>
      <c r="AJ41" s="4" t="str">
        <f ca="1">TmOrderLU!AJ41</f>
        <v>ng</v>
      </c>
      <c r="AK41" s="4" t="str">
        <f ca="1">TmOrderLU!AK41</f>
        <v>ng</v>
      </c>
      <c r="AL41" s="4" t="str">
        <f ca="1">TmOrderLU!AL41</f>
        <v>ng</v>
      </c>
      <c r="AM41" s="4" t="str">
        <f ca="1">TmOrderLU!AM41</f>
        <v>ng</v>
      </c>
      <c r="AN41" s="4" t="str">
        <f ca="1">TmOrderLU!AN41</f>
        <v>ng</v>
      </c>
      <c r="AO41" s="4" t="str">
        <f ca="1">TmOrderLU!AO41</f>
        <v>ng</v>
      </c>
      <c r="AP41" s="4" t="str">
        <f ca="1">TmOrderLU!AP41</f>
        <v>ng</v>
      </c>
      <c r="AQ41" s="4" t="str">
        <f ca="1">TmOrderLU!AQ41</f>
        <v>ng</v>
      </c>
      <c r="AR41" s="357" t="str">
        <f ca="1">TmOrderLU!AR41</f>
        <v>ng</v>
      </c>
    </row>
    <row r="42" spans="4:44">
      <c r="D42" s="357" t="str">
        <f ca="1">TmOrderLU!D42</f>
        <v/>
      </c>
      <c r="E42" s="4" t="str">
        <f ca="1">TmOrderLU!E42</f>
        <v>ng</v>
      </c>
      <c r="F42" s="4" t="str">
        <f ca="1">TmOrderLU!F42</f>
        <v>ng</v>
      </c>
      <c r="G42" s="4" t="str">
        <f ca="1">TmOrderLU!G42</f>
        <v>ng</v>
      </c>
      <c r="H42" s="4" t="str">
        <f ca="1">TmOrderLU!H42</f>
        <v>ng</v>
      </c>
      <c r="I42" s="4" t="str">
        <f ca="1">TmOrderLU!I42</f>
        <v>ng</v>
      </c>
      <c r="J42" s="4" t="str">
        <f ca="1">TmOrderLU!J42</f>
        <v>ng</v>
      </c>
      <c r="K42" s="4" t="str">
        <f ca="1">TmOrderLU!K42</f>
        <v>ng</v>
      </c>
      <c r="L42" s="4" t="str">
        <f ca="1">TmOrderLU!L42</f>
        <v>ng</v>
      </c>
      <c r="M42" s="4" t="str">
        <f ca="1">TmOrderLU!M42</f>
        <v>ng</v>
      </c>
      <c r="N42" s="4" t="str">
        <f ca="1">TmOrderLU!N42</f>
        <v>ng</v>
      </c>
      <c r="O42" s="4" t="str">
        <f ca="1">TmOrderLU!O42</f>
        <v>ng</v>
      </c>
      <c r="P42" s="4" t="str">
        <f ca="1">TmOrderLU!P42</f>
        <v>ng</v>
      </c>
      <c r="Q42" s="4" t="str">
        <f ca="1">TmOrderLU!Q42</f>
        <v>ng</v>
      </c>
      <c r="R42" s="4" t="str">
        <f ca="1">TmOrderLU!R42</f>
        <v>ng</v>
      </c>
      <c r="S42" s="4" t="str">
        <f ca="1">TmOrderLU!S42</f>
        <v>ng</v>
      </c>
      <c r="T42" s="4" t="str">
        <f ca="1">TmOrderLU!T42</f>
        <v>ng</v>
      </c>
      <c r="U42" s="4" t="str">
        <f ca="1">TmOrderLU!U42</f>
        <v>ng</v>
      </c>
      <c r="V42" s="4" t="str">
        <f ca="1">TmOrderLU!V42</f>
        <v>ng</v>
      </c>
      <c r="W42" s="4" t="str">
        <f ca="1">TmOrderLU!W42</f>
        <v>ng</v>
      </c>
      <c r="X42" s="4" t="str">
        <f ca="1">TmOrderLU!X42</f>
        <v>ng</v>
      </c>
      <c r="Y42" s="4" t="str">
        <f ca="1">TmOrderLU!Y42</f>
        <v>ng</v>
      </c>
      <c r="Z42" s="4" t="str">
        <f ca="1">TmOrderLU!Z42</f>
        <v>ng</v>
      </c>
      <c r="AA42" s="4" t="str">
        <f ca="1">TmOrderLU!AA42</f>
        <v>ng</v>
      </c>
      <c r="AB42" s="4" t="str">
        <f ca="1">TmOrderLU!AB42</f>
        <v>ng</v>
      </c>
      <c r="AC42" s="4" t="str">
        <f ca="1">TmOrderLU!AC42</f>
        <v>ng</v>
      </c>
      <c r="AD42" s="4" t="str">
        <f ca="1">TmOrderLU!AD42</f>
        <v>ng</v>
      </c>
      <c r="AE42" s="4" t="str">
        <f ca="1">TmOrderLU!AE42</f>
        <v>ng</v>
      </c>
      <c r="AF42" s="4" t="str">
        <f ca="1">TmOrderLU!AF42</f>
        <v>ng</v>
      </c>
      <c r="AG42" s="4" t="str">
        <f ca="1">TmOrderLU!AG42</f>
        <v>ng</v>
      </c>
      <c r="AH42" s="4" t="str">
        <f ca="1">TmOrderLU!AH42</f>
        <v>ng</v>
      </c>
      <c r="AI42" s="4" t="str">
        <f ca="1">TmOrderLU!AI42</f>
        <v>ng</v>
      </c>
      <c r="AJ42" s="4" t="str">
        <f ca="1">TmOrderLU!AJ42</f>
        <v>ng</v>
      </c>
      <c r="AK42" s="4" t="str">
        <f ca="1">TmOrderLU!AK42</f>
        <v>ng</v>
      </c>
      <c r="AL42" s="4" t="str">
        <f ca="1">TmOrderLU!AL42</f>
        <v>ng</v>
      </c>
      <c r="AM42" s="4" t="str">
        <f ca="1">TmOrderLU!AM42</f>
        <v>ng</v>
      </c>
      <c r="AN42" s="4" t="str">
        <f ca="1">TmOrderLU!AN42</f>
        <v>ng</v>
      </c>
      <c r="AO42" s="4" t="str">
        <f ca="1">TmOrderLU!AO42</f>
        <v>ng</v>
      </c>
      <c r="AP42" s="4" t="str">
        <f ca="1">TmOrderLU!AP42</f>
        <v>ng</v>
      </c>
      <c r="AQ42" s="4" t="str">
        <f ca="1">TmOrderLU!AQ42</f>
        <v>ng</v>
      </c>
      <c r="AR42" s="357" t="str">
        <f ca="1">TmOrderLU!AR42</f>
        <v>ng</v>
      </c>
    </row>
    <row r="43" spans="4:44">
      <c r="D43" s="357" t="str">
        <f ca="1">TmOrderLU!D43</f>
        <v/>
      </c>
      <c r="E43" s="4" t="str">
        <f ca="1">TmOrderLU!E43</f>
        <v>ng</v>
      </c>
      <c r="F43" s="4" t="str">
        <f ca="1">TmOrderLU!F43</f>
        <v>ng</v>
      </c>
      <c r="G43" s="4" t="str">
        <f ca="1">TmOrderLU!G43</f>
        <v>ng</v>
      </c>
      <c r="H43" s="4" t="str">
        <f ca="1">TmOrderLU!H43</f>
        <v>ng</v>
      </c>
      <c r="I43" s="4" t="str">
        <f ca="1">TmOrderLU!I43</f>
        <v>ng</v>
      </c>
      <c r="J43" s="4" t="str">
        <f ca="1">TmOrderLU!J43</f>
        <v>ng</v>
      </c>
      <c r="K43" s="4" t="str">
        <f ca="1">TmOrderLU!K43</f>
        <v>ng</v>
      </c>
      <c r="L43" s="4" t="str">
        <f ca="1">TmOrderLU!L43</f>
        <v>ng</v>
      </c>
      <c r="M43" s="4" t="str">
        <f ca="1">TmOrderLU!M43</f>
        <v>ng</v>
      </c>
      <c r="N43" s="4" t="str">
        <f ca="1">TmOrderLU!N43</f>
        <v>ng</v>
      </c>
      <c r="O43" s="4" t="str">
        <f ca="1">TmOrderLU!O43</f>
        <v>ng</v>
      </c>
      <c r="P43" s="4" t="str">
        <f ca="1">TmOrderLU!P43</f>
        <v>ng</v>
      </c>
      <c r="Q43" s="4" t="str">
        <f ca="1">TmOrderLU!Q43</f>
        <v>ng</v>
      </c>
      <c r="R43" s="4" t="str">
        <f ca="1">TmOrderLU!R43</f>
        <v>ng</v>
      </c>
      <c r="S43" s="4" t="str">
        <f ca="1">TmOrderLU!S43</f>
        <v>ng</v>
      </c>
      <c r="T43" s="4" t="str">
        <f ca="1">TmOrderLU!T43</f>
        <v>ng</v>
      </c>
      <c r="U43" s="4" t="str">
        <f ca="1">TmOrderLU!U43</f>
        <v>ng</v>
      </c>
      <c r="V43" s="4" t="str">
        <f ca="1">TmOrderLU!V43</f>
        <v>ng</v>
      </c>
      <c r="W43" s="4" t="str">
        <f ca="1">TmOrderLU!W43</f>
        <v>ng</v>
      </c>
      <c r="X43" s="4" t="str">
        <f ca="1">TmOrderLU!X43</f>
        <v>ng</v>
      </c>
      <c r="Y43" s="4" t="str">
        <f ca="1">TmOrderLU!Y43</f>
        <v>ng</v>
      </c>
      <c r="Z43" s="4" t="str">
        <f ca="1">TmOrderLU!Z43</f>
        <v>ng</v>
      </c>
      <c r="AA43" s="4" t="str">
        <f ca="1">TmOrderLU!AA43</f>
        <v>ng</v>
      </c>
      <c r="AB43" s="4" t="str">
        <f ca="1">TmOrderLU!AB43</f>
        <v>ng</v>
      </c>
      <c r="AC43" s="4" t="str">
        <f ca="1">TmOrderLU!AC43</f>
        <v>ng</v>
      </c>
      <c r="AD43" s="4" t="str">
        <f ca="1">TmOrderLU!AD43</f>
        <v>ng</v>
      </c>
      <c r="AE43" s="4" t="str">
        <f ca="1">TmOrderLU!AE43</f>
        <v>ng</v>
      </c>
      <c r="AF43" s="4" t="str">
        <f ca="1">TmOrderLU!AF43</f>
        <v>ng</v>
      </c>
      <c r="AG43" s="4" t="str">
        <f ca="1">TmOrderLU!AG43</f>
        <v>ng</v>
      </c>
      <c r="AH43" s="4" t="str">
        <f ca="1">TmOrderLU!AH43</f>
        <v>ng</v>
      </c>
      <c r="AI43" s="4" t="str">
        <f ca="1">TmOrderLU!AI43</f>
        <v>ng</v>
      </c>
      <c r="AJ43" s="4" t="str">
        <f ca="1">TmOrderLU!AJ43</f>
        <v>ng</v>
      </c>
      <c r="AK43" s="4" t="str">
        <f ca="1">TmOrderLU!AK43</f>
        <v>ng</v>
      </c>
      <c r="AL43" s="4" t="str">
        <f ca="1">TmOrderLU!AL43</f>
        <v>ng</v>
      </c>
      <c r="AM43" s="4" t="str">
        <f ca="1">TmOrderLU!AM43</f>
        <v>ng</v>
      </c>
      <c r="AN43" s="4" t="str">
        <f ca="1">TmOrderLU!AN43</f>
        <v>ng</v>
      </c>
      <c r="AO43" s="4" t="str">
        <f ca="1">TmOrderLU!AO43</f>
        <v>ng</v>
      </c>
      <c r="AP43" s="4" t="str">
        <f ca="1">TmOrderLU!AP43</f>
        <v>ng</v>
      </c>
      <c r="AQ43" s="4" t="str">
        <f ca="1">TmOrderLU!AQ43</f>
        <v>ng</v>
      </c>
      <c r="AR43" s="357" t="str">
        <f ca="1">TmOrderLU!AR43</f>
        <v>ng</v>
      </c>
    </row>
    <row r="44" spans="4:44">
      <c r="D44" s="357" t="str">
        <f ca="1">TmOrderLU!D44</f>
        <v/>
      </c>
      <c r="E44" s="4" t="str">
        <f ca="1">TmOrderLU!E44</f>
        <v>ng</v>
      </c>
      <c r="F44" s="4" t="str">
        <f ca="1">TmOrderLU!F44</f>
        <v>ng</v>
      </c>
      <c r="G44" s="4" t="str">
        <f ca="1">TmOrderLU!G44</f>
        <v>ng</v>
      </c>
      <c r="H44" s="4" t="str">
        <f ca="1">TmOrderLU!H44</f>
        <v>ng</v>
      </c>
      <c r="I44" s="4" t="str">
        <f ca="1">TmOrderLU!I44</f>
        <v>ng</v>
      </c>
      <c r="J44" s="4" t="str">
        <f ca="1">TmOrderLU!J44</f>
        <v>ng</v>
      </c>
      <c r="K44" s="4" t="str">
        <f ca="1">TmOrderLU!K44</f>
        <v>ng</v>
      </c>
      <c r="L44" s="4" t="str">
        <f ca="1">TmOrderLU!L44</f>
        <v>ng</v>
      </c>
      <c r="M44" s="4" t="str">
        <f ca="1">TmOrderLU!M44</f>
        <v>ng</v>
      </c>
      <c r="N44" s="4" t="str">
        <f ca="1">TmOrderLU!N44</f>
        <v>ng</v>
      </c>
      <c r="O44" s="4" t="str">
        <f ca="1">TmOrderLU!O44</f>
        <v>ng</v>
      </c>
      <c r="P44" s="4" t="str">
        <f ca="1">TmOrderLU!P44</f>
        <v>ng</v>
      </c>
      <c r="Q44" s="4" t="str">
        <f ca="1">TmOrderLU!Q44</f>
        <v>ng</v>
      </c>
      <c r="R44" s="4" t="str">
        <f ca="1">TmOrderLU!R44</f>
        <v>ng</v>
      </c>
      <c r="S44" s="4" t="str">
        <f ca="1">TmOrderLU!S44</f>
        <v>ng</v>
      </c>
      <c r="T44" s="4" t="str">
        <f ca="1">TmOrderLU!T44</f>
        <v>ng</v>
      </c>
      <c r="U44" s="4" t="str">
        <f ca="1">TmOrderLU!U44</f>
        <v>ng</v>
      </c>
      <c r="V44" s="4" t="str">
        <f ca="1">TmOrderLU!V44</f>
        <v>ng</v>
      </c>
      <c r="W44" s="4" t="str">
        <f ca="1">TmOrderLU!W44</f>
        <v>ng</v>
      </c>
      <c r="X44" s="4" t="str">
        <f ca="1">TmOrderLU!X44</f>
        <v>ng</v>
      </c>
      <c r="Y44" s="4" t="str">
        <f ca="1">TmOrderLU!Y44</f>
        <v>ng</v>
      </c>
      <c r="Z44" s="4" t="str">
        <f ca="1">TmOrderLU!Z44</f>
        <v>ng</v>
      </c>
      <c r="AA44" s="4" t="str">
        <f ca="1">TmOrderLU!AA44</f>
        <v>ng</v>
      </c>
      <c r="AB44" s="4" t="str">
        <f ca="1">TmOrderLU!AB44</f>
        <v>ng</v>
      </c>
      <c r="AC44" s="4" t="str">
        <f ca="1">TmOrderLU!AC44</f>
        <v>ng</v>
      </c>
      <c r="AD44" s="4" t="str">
        <f ca="1">TmOrderLU!AD44</f>
        <v>ng</v>
      </c>
      <c r="AE44" s="4" t="str">
        <f ca="1">TmOrderLU!AE44</f>
        <v>ng</v>
      </c>
      <c r="AF44" s="4" t="str">
        <f ca="1">TmOrderLU!AF44</f>
        <v>ng</v>
      </c>
      <c r="AG44" s="4" t="str">
        <f ca="1">TmOrderLU!AG44</f>
        <v>ng</v>
      </c>
      <c r="AH44" s="4" t="str">
        <f ca="1">TmOrderLU!AH44</f>
        <v>ng</v>
      </c>
      <c r="AI44" s="4" t="str">
        <f ca="1">TmOrderLU!AI44</f>
        <v>ng</v>
      </c>
      <c r="AJ44" s="4" t="str">
        <f ca="1">TmOrderLU!AJ44</f>
        <v>ng</v>
      </c>
      <c r="AK44" s="4" t="str">
        <f ca="1">TmOrderLU!AK44</f>
        <v>ng</v>
      </c>
      <c r="AL44" s="4" t="str">
        <f ca="1">TmOrderLU!AL44</f>
        <v>ng</v>
      </c>
      <c r="AM44" s="4" t="str">
        <f ca="1">TmOrderLU!AM44</f>
        <v>ng</v>
      </c>
      <c r="AN44" s="4" t="str">
        <f ca="1">TmOrderLU!AN44</f>
        <v>ng</v>
      </c>
      <c r="AO44" s="4" t="str">
        <f ca="1">TmOrderLU!AO44</f>
        <v>ng</v>
      </c>
      <c r="AP44" s="4" t="str">
        <f ca="1">TmOrderLU!AP44</f>
        <v>ng</v>
      </c>
      <c r="AQ44" s="4" t="str">
        <f ca="1">TmOrderLU!AQ44</f>
        <v>ng</v>
      </c>
      <c r="AR44" s="357" t="str">
        <f ca="1">TmOrderLU!AR44</f>
        <v>ng</v>
      </c>
    </row>
    <row r="45" spans="4:44">
      <c r="D45" s="357" t="str">
        <f ca="1">TmOrderLU!D45</f>
        <v/>
      </c>
      <c r="E45" s="4" t="str">
        <f ca="1">TmOrderLU!E45</f>
        <v>ng</v>
      </c>
      <c r="F45" s="4" t="str">
        <f ca="1">TmOrderLU!F45</f>
        <v>ng</v>
      </c>
      <c r="G45" s="4" t="str">
        <f ca="1">TmOrderLU!G45</f>
        <v>ng</v>
      </c>
      <c r="H45" s="4" t="str">
        <f ca="1">TmOrderLU!H45</f>
        <v>ng</v>
      </c>
      <c r="I45" s="4" t="str">
        <f ca="1">TmOrderLU!I45</f>
        <v>ng</v>
      </c>
      <c r="J45" s="4" t="str">
        <f ca="1">TmOrderLU!J45</f>
        <v>ng</v>
      </c>
      <c r="K45" s="4" t="str">
        <f ca="1">TmOrderLU!K45</f>
        <v>ng</v>
      </c>
      <c r="L45" s="4" t="str">
        <f ca="1">TmOrderLU!L45</f>
        <v>ng</v>
      </c>
      <c r="M45" s="4" t="str">
        <f ca="1">TmOrderLU!M45</f>
        <v>ng</v>
      </c>
      <c r="N45" s="4" t="str">
        <f ca="1">TmOrderLU!N45</f>
        <v>ng</v>
      </c>
      <c r="O45" s="4" t="str">
        <f ca="1">TmOrderLU!O45</f>
        <v>ng</v>
      </c>
      <c r="P45" s="4" t="str">
        <f ca="1">TmOrderLU!P45</f>
        <v>ng</v>
      </c>
      <c r="Q45" s="4" t="str">
        <f ca="1">TmOrderLU!Q45</f>
        <v>ng</v>
      </c>
      <c r="R45" s="4" t="str">
        <f ca="1">TmOrderLU!R45</f>
        <v>ng</v>
      </c>
      <c r="S45" s="4" t="str">
        <f ca="1">TmOrderLU!S45</f>
        <v>ng</v>
      </c>
      <c r="T45" s="4" t="str">
        <f ca="1">TmOrderLU!T45</f>
        <v>ng</v>
      </c>
      <c r="U45" s="4" t="str">
        <f ca="1">TmOrderLU!U45</f>
        <v>ng</v>
      </c>
      <c r="V45" s="4" t="str">
        <f ca="1">TmOrderLU!V45</f>
        <v>ng</v>
      </c>
      <c r="W45" s="4" t="str">
        <f ca="1">TmOrderLU!W45</f>
        <v>ng</v>
      </c>
      <c r="X45" s="4" t="str">
        <f ca="1">TmOrderLU!X45</f>
        <v>ng</v>
      </c>
      <c r="Y45" s="4" t="str">
        <f ca="1">TmOrderLU!Y45</f>
        <v>ng</v>
      </c>
      <c r="Z45" s="4" t="str">
        <f ca="1">TmOrderLU!Z45</f>
        <v>ng</v>
      </c>
      <c r="AA45" s="4" t="str">
        <f ca="1">TmOrderLU!AA45</f>
        <v>ng</v>
      </c>
      <c r="AB45" s="4" t="str">
        <f ca="1">TmOrderLU!AB45</f>
        <v>ng</v>
      </c>
      <c r="AC45" s="4" t="str">
        <f ca="1">TmOrderLU!AC45</f>
        <v>ng</v>
      </c>
      <c r="AD45" s="4" t="str">
        <f ca="1">TmOrderLU!AD45</f>
        <v>ng</v>
      </c>
      <c r="AE45" s="4" t="str">
        <f ca="1">TmOrderLU!AE45</f>
        <v>ng</v>
      </c>
      <c r="AF45" s="4" t="str">
        <f ca="1">TmOrderLU!AF45</f>
        <v>ng</v>
      </c>
      <c r="AG45" s="4" t="str">
        <f ca="1">TmOrderLU!AG45</f>
        <v>ng</v>
      </c>
      <c r="AH45" s="4" t="str">
        <f ca="1">TmOrderLU!AH45</f>
        <v>ng</v>
      </c>
      <c r="AI45" s="4" t="str">
        <f ca="1">TmOrderLU!AI45</f>
        <v>ng</v>
      </c>
      <c r="AJ45" s="4" t="str">
        <f ca="1">TmOrderLU!AJ45</f>
        <v>ng</v>
      </c>
      <c r="AK45" s="4" t="str">
        <f ca="1">TmOrderLU!AK45</f>
        <v>ng</v>
      </c>
      <c r="AL45" s="4" t="str">
        <f ca="1">TmOrderLU!AL45</f>
        <v>ng</v>
      </c>
      <c r="AM45" s="4" t="str">
        <f ca="1">TmOrderLU!AM45</f>
        <v>ng</v>
      </c>
      <c r="AN45" s="4" t="str">
        <f ca="1">TmOrderLU!AN45</f>
        <v>ng</v>
      </c>
      <c r="AO45" s="4" t="str">
        <f ca="1">TmOrderLU!AO45</f>
        <v>ng</v>
      </c>
      <c r="AP45" s="4" t="str">
        <f ca="1">TmOrderLU!AP45</f>
        <v>ng</v>
      </c>
      <c r="AQ45" s="4" t="str">
        <f ca="1">TmOrderLU!AQ45</f>
        <v>ng</v>
      </c>
      <c r="AR45" s="357" t="str">
        <f ca="1">TmOrderLU!AR45</f>
        <v>ng</v>
      </c>
    </row>
    <row r="46" spans="4:44">
      <c r="D46" s="357" t="str">
        <f ca="1">TmOrderLU!D46</f>
        <v/>
      </c>
      <c r="E46" s="4" t="str">
        <f ca="1">TmOrderLU!E46</f>
        <v>ng</v>
      </c>
      <c r="F46" s="4" t="str">
        <f ca="1">TmOrderLU!F46</f>
        <v>ng</v>
      </c>
      <c r="G46" s="4" t="str">
        <f ca="1">TmOrderLU!G46</f>
        <v>ng</v>
      </c>
      <c r="H46" s="4" t="str">
        <f ca="1">TmOrderLU!H46</f>
        <v>ng</v>
      </c>
      <c r="I46" s="4" t="str">
        <f ca="1">TmOrderLU!I46</f>
        <v>ng</v>
      </c>
      <c r="J46" s="4" t="str">
        <f ca="1">TmOrderLU!J46</f>
        <v>ng</v>
      </c>
      <c r="K46" s="4" t="str">
        <f ca="1">TmOrderLU!K46</f>
        <v>ng</v>
      </c>
      <c r="L46" s="4" t="str">
        <f ca="1">TmOrderLU!L46</f>
        <v>ng</v>
      </c>
      <c r="M46" s="4" t="str">
        <f ca="1">TmOrderLU!M46</f>
        <v>ng</v>
      </c>
      <c r="N46" s="4" t="str">
        <f ca="1">TmOrderLU!N46</f>
        <v>ng</v>
      </c>
      <c r="O46" s="4" t="str">
        <f ca="1">TmOrderLU!O46</f>
        <v>ng</v>
      </c>
      <c r="P46" s="4" t="str">
        <f ca="1">TmOrderLU!P46</f>
        <v>ng</v>
      </c>
      <c r="Q46" s="4" t="str">
        <f ca="1">TmOrderLU!Q46</f>
        <v>ng</v>
      </c>
      <c r="R46" s="4" t="str">
        <f ca="1">TmOrderLU!R46</f>
        <v>ng</v>
      </c>
      <c r="S46" s="4" t="str">
        <f ca="1">TmOrderLU!S46</f>
        <v>ng</v>
      </c>
      <c r="T46" s="4" t="str">
        <f ca="1">TmOrderLU!T46</f>
        <v>ng</v>
      </c>
      <c r="U46" s="4" t="str">
        <f ca="1">TmOrderLU!U46</f>
        <v>ng</v>
      </c>
      <c r="V46" s="4" t="str">
        <f ca="1">TmOrderLU!V46</f>
        <v>ng</v>
      </c>
      <c r="W46" s="4" t="str">
        <f ca="1">TmOrderLU!W46</f>
        <v>ng</v>
      </c>
      <c r="X46" s="4" t="str">
        <f ca="1">TmOrderLU!X46</f>
        <v>ng</v>
      </c>
      <c r="Y46" s="4" t="str">
        <f ca="1">TmOrderLU!Y46</f>
        <v>ng</v>
      </c>
      <c r="Z46" s="4" t="str">
        <f ca="1">TmOrderLU!Z46</f>
        <v>ng</v>
      </c>
      <c r="AA46" s="4" t="str">
        <f ca="1">TmOrderLU!AA46</f>
        <v>ng</v>
      </c>
      <c r="AB46" s="4" t="str">
        <f ca="1">TmOrderLU!AB46</f>
        <v>ng</v>
      </c>
      <c r="AC46" s="4" t="str">
        <f ca="1">TmOrderLU!AC46</f>
        <v>ng</v>
      </c>
      <c r="AD46" s="4" t="str">
        <f ca="1">TmOrderLU!AD46</f>
        <v>ng</v>
      </c>
      <c r="AE46" s="4" t="str">
        <f ca="1">TmOrderLU!AE46</f>
        <v>ng</v>
      </c>
      <c r="AF46" s="4" t="str">
        <f ca="1">TmOrderLU!AF46</f>
        <v>ng</v>
      </c>
      <c r="AG46" s="4" t="str">
        <f ca="1">TmOrderLU!AG46</f>
        <v>ng</v>
      </c>
      <c r="AH46" s="4" t="str">
        <f ca="1">TmOrderLU!AH46</f>
        <v>ng</v>
      </c>
      <c r="AI46" s="4" t="str">
        <f ca="1">TmOrderLU!AI46</f>
        <v>ng</v>
      </c>
      <c r="AJ46" s="4" t="str">
        <f ca="1">TmOrderLU!AJ46</f>
        <v>ng</v>
      </c>
      <c r="AK46" s="4" t="str">
        <f ca="1">TmOrderLU!AK46</f>
        <v>ng</v>
      </c>
      <c r="AL46" s="4" t="str">
        <f ca="1">TmOrderLU!AL46</f>
        <v>ng</v>
      </c>
      <c r="AM46" s="4" t="str">
        <f ca="1">TmOrderLU!AM46</f>
        <v>ng</v>
      </c>
      <c r="AN46" s="4" t="str">
        <f ca="1">TmOrderLU!AN46</f>
        <v>ng</v>
      </c>
      <c r="AO46" s="4" t="str">
        <f ca="1">TmOrderLU!AO46</f>
        <v>ng</v>
      </c>
      <c r="AP46" s="4" t="str">
        <f ca="1">TmOrderLU!AP46</f>
        <v>ng</v>
      </c>
      <c r="AQ46" s="4" t="str">
        <f ca="1">TmOrderLU!AQ46</f>
        <v>ng</v>
      </c>
      <c r="AR46" s="357" t="str">
        <f ca="1">TmOrderLU!AR46</f>
        <v>ng</v>
      </c>
    </row>
    <row r="47" spans="4:44">
      <c r="D47" s="357" t="str">
        <f ca="1">TmOrderLU!D47</f>
        <v/>
      </c>
      <c r="E47" s="4" t="str">
        <f ca="1">TmOrderLU!E47</f>
        <v>ng</v>
      </c>
      <c r="F47" s="4" t="str">
        <f ca="1">TmOrderLU!F47</f>
        <v>ng</v>
      </c>
      <c r="G47" s="4" t="str">
        <f ca="1">TmOrderLU!G47</f>
        <v>ng</v>
      </c>
      <c r="H47" s="4" t="str">
        <f ca="1">TmOrderLU!H47</f>
        <v>ng</v>
      </c>
      <c r="I47" s="4" t="str">
        <f ca="1">TmOrderLU!I47</f>
        <v>ng</v>
      </c>
      <c r="J47" s="4" t="str">
        <f ca="1">TmOrderLU!J47</f>
        <v>ng</v>
      </c>
      <c r="K47" s="4" t="str">
        <f ca="1">TmOrderLU!K47</f>
        <v>ng</v>
      </c>
      <c r="L47" s="4" t="str">
        <f ca="1">TmOrderLU!L47</f>
        <v>ng</v>
      </c>
      <c r="M47" s="4" t="str">
        <f ca="1">TmOrderLU!M47</f>
        <v>ng</v>
      </c>
      <c r="N47" s="4" t="str">
        <f ca="1">TmOrderLU!N47</f>
        <v>ng</v>
      </c>
      <c r="O47" s="4" t="str">
        <f ca="1">TmOrderLU!O47</f>
        <v>ng</v>
      </c>
      <c r="P47" s="4" t="str">
        <f ca="1">TmOrderLU!P47</f>
        <v>ng</v>
      </c>
      <c r="Q47" s="4" t="str">
        <f ca="1">TmOrderLU!Q47</f>
        <v>ng</v>
      </c>
      <c r="R47" s="4" t="str">
        <f ca="1">TmOrderLU!R47</f>
        <v>ng</v>
      </c>
      <c r="S47" s="4" t="str">
        <f ca="1">TmOrderLU!S47</f>
        <v>ng</v>
      </c>
      <c r="T47" s="4" t="str">
        <f ca="1">TmOrderLU!T47</f>
        <v>ng</v>
      </c>
      <c r="U47" s="4" t="str">
        <f ca="1">TmOrderLU!U47</f>
        <v>ng</v>
      </c>
      <c r="V47" s="4" t="str">
        <f ca="1">TmOrderLU!V47</f>
        <v>ng</v>
      </c>
      <c r="W47" s="4" t="str">
        <f ca="1">TmOrderLU!W47</f>
        <v>ng</v>
      </c>
      <c r="X47" s="4" t="str">
        <f ca="1">TmOrderLU!X47</f>
        <v>ng</v>
      </c>
      <c r="Y47" s="4" t="str">
        <f ca="1">TmOrderLU!Y47</f>
        <v>ng</v>
      </c>
      <c r="Z47" s="4" t="str">
        <f ca="1">TmOrderLU!Z47</f>
        <v>ng</v>
      </c>
      <c r="AA47" s="4" t="str">
        <f ca="1">TmOrderLU!AA47</f>
        <v>ng</v>
      </c>
      <c r="AB47" s="4" t="str">
        <f ca="1">TmOrderLU!AB47</f>
        <v>ng</v>
      </c>
      <c r="AC47" s="4" t="str">
        <f ca="1">TmOrderLU!AC47</f>
        <v>ng</v>
      </c>
      <c r="AD47" s="4" t="str">
        <f ca="1">TmOrderLU!AD47</f>
        <v>ng</v>
      </c>
      <c r="AE47" s="4" t="str">
        <f ca="1">TmOrderLU!AE47</f>
        <v>ng</v>
      </c>
      <c r="AF47" s="4" t="str">
        <f ca="1">TmOrderLU!AF47</f>
        <v>ng</v>
      </c>
      <c r="AG47" s="4" t="str">
        <f ca="1">TmOrderLU!AG47</f>
        <v>ng</v>
      </c>
      <c r="AH47" s="4" t="str">
        <f ca="1">TmOrderLU!AH47</f>
        <v>ng</v>
      </c>
      <c r="AI47" s="4" t="str">
        <f ca="1">TmOrderLU!AI47</f>
        <v>ng</v>
      </c>
      <c r="AJ47" s="4" t="str">
        <f ca="1">TmOrderLU!AJ47</f>
        <v>ng</v>
      </c>
      <c r="AK47" s="4" t="str">
        <f ca="1">TmOrderLU!AK47</f>
        <v>ng</v>
      </c>
      <c r="AL47" s="4" t="str">
        <f ca="1">TmOrderLU!AL47</f>
        <v>ng</v>
      </c>
      <c r="AM47" s="4" t="str">
        <f ca="1">TmOrderLU!AM47</f>
        <v>ng</v>
      </c>
      <c r="AN47" s="4" t="str">
        <f ca="1">TmOrderLU!AN47</f>
        <v>ng</v>
      </c>
      <c r="AO47" s="4" t="str">
        <f ca="1">TmOrderLU!AO47</f>
        <v>ng</v>
      </c>
      <c r="AP47" s="4" t="str">
        <f ca="1">TmOrderLU!AP47</f>
        <v>ng</v>
      </c>
      <c r="AQ47" s="4" t="str">
        <f ca="1">TmOrderLU!AQ47</f>
        <v>ng</v>
      </c>
      <c r="AR47" s="357" t="str">
        <f ca="1">TmOrderLU!AR47</f>
        <v>ng</v>
      </c>
    </row>
    <row r="48" spans="4:44">
      <c r="D48" s="357" t="str">
        <f ca="1">TmOrderLU!D48</f>
        <v/>
      </c>
      <c r="E48" s="4" t="str">
        <f ca="1">TmOrderLU!E48</f>
        <v>ng</v>
      </c>
      <c r="F48" s="4" t="str">
        <f ca="1">TmOrderLU!F48</f>
        <v>ng</v>
      </c>
      <c r="G48" s="4" t="str">
        <f ca="1">TmOrderLU!G48</f>
        <v>ng</v>
      </c>
      <c r="H48" s="4" t="str">
        <f ca="1">TmOrderLU!H48</f>
        <v>ng</v>
      </c>
      <c r="I48" s="4" t="str">
        <f ca="1">TmOrderLU!I48</f>
        <v>ng</v>
      </c>
      <c r="J48" s="4" t="str">
        <f ca="1">TmOrderLU!J48</f>
        <v>ng</v>
      </c>
      <c r="K48" s="4" t="str">
        <f ca="1">TmOrderLU!K48</f>
        <v>ng</v>
      </c>
      <c r="L48" s="4" t="str">
        <f ca="1">TmOrderLU!L48</f>
        <v>ng</v>
      </c>
      <c r="M48" s="4" t="str">
        <f ca="1">TmOrderLU!M48</f>
        <v>ng</v>
      </c>
      <c r="N48" s="4" t="str">
        <f ca="1">TmOrderLU!N48</f>
        <v>ng</v>
      </c>
      <c r="O48" s="4" t="str">
        <f ca="1">TmOrderLU!O48</f>
        <v>ng</v>
      </c>
      <c r="P48" s="4" t="str">
        <f ca="1">TmOrderLU!P48</f>
        <v>ng</v>
      </c>
      <c r="Q48" s="4" t="str">
        <f ca="1">TmOrderLU!Q48</f>
        <v>ng</v>
      </c>
      <c r="R48" s="4" t="str">
        <f ca="1">TmOrderLU!R48</f>
        <v>ng</v>
      </c>
      <c r="S48" s="4" t="str">
        <f ca="1">TmOrderLU!S48</f>
        <v>ng</v>
      </c>
      <c r="T48" s="4" t="str">
        <f ca="1">TmOrderLU!T48</f>
        <v>ng</v>
      </c>
      <c r="U48" s="4" t="str">
        <f ca="1">TmOrderLU!U48</f>
        <v>ng</v>
      </c>
      <c r="V48" s="4" t="str">
        <f ca="1">TmOrderLU!V48</f>
        <v>ng</v>
      </c>
      <c r="W48" s="4" t="str">
        <f ca="1">TmOrderLU!W48</f>
        <v>ng</v>
      </c>
      <c r="X48" s="4" t="str">
        <f ca="1">TmOrderLU!X48</f>
        <v>ng</v>
      </c>
      <c r="Y48" s="4" t="str">
        <f ca="1">TmOrderLU!Y48</f>
        <v>ng</v>
      </c>
      <c r="Z48" s="4" t="str">
        <f ca="1">TmOrderLU!Z48</f>
        <v>ng</v>
      </c>
      <c r="AA48" s="4" t="str">
        <f ca="1">TmOrderLU!AA48</f>
        <v>ng</v>
      </c>
      <c r="AB48" s="4" t="str">
        <f ca="1">TmOrderLU!AB48</f>
        <v>ng</v>
      </c>
      <c r="AC48" s="4" t="str">
        <f ca="1">TmOrderLU!AC48</f>
        <v>ng</v>
      </c>
      <c r="AD48" s="4" t="str">
        <f ca="1">TmOrderLU!AD48</f>
        <v>ng</v>
      </c>
      <c r="AE48" s="4" t="str">
        <f ca="1">TmOrderLU!AE48</f>
        <v>ng</v>
      </c>
      <c r="AF48" s="4" t="str">
        <f ca="1">TmOrderLU!AF48</f>
        <v>ng</v>
      </c>
      <c r="AG48" s="4" t="str">
        <f ca="1">TmOrderLU!AG48</f>
        <v>ng</v>
      </c>
      <c r="AH48" s="4" t="str">
        <f ca="1">TmOrderLU!AH48</f>
        <v>ng</v>
      </c>
      <c r="AI48" s="4" t="str">
        <f ca="1">TmOrderLU!AI48</f>
        <v>ng</v>
      </c>
      <c r="AJ48" s="4" t="str">
        <f ca="1">TmOrderLU!AJ48</f>
        <v>ng</v>
      </c>
      <c r="AK48" s="4" t="str">
        <f ca="1">TmOrderLU!AK48</f>
        <v>ng</v>
      </c>
      <c r="AL48" s="4" t="str">
        <f ca="1">TmOrderLU!AL48</f>
        <v>ng</v>
      </c>
      <c r="AM48" s="4" t="str">
        <f ca="1">TmOrderLU!AM48</f>
        <v>ng</v>
      </c>
      <c r="AN48" s="4" t="str">
        <f ca="1">TmOrderLU!AN48</f>
        <v>ng</v>
      </c>
      <c r="AO48" s="4" t="str">
        <f ca="1">TmOrderLU!AO48</f>
        <v>ng</v>
      </c>
      <c r="AP48" s="4" t="str">
        <f ca="1">TmOrderLU!AP48</f>
        <v>ng</v>
      </c>
      <c r="AQ48" s="4" t="str">
        <f ca="1">TmOrderLU!AQ48</f>
        <v>ng</v>
      </c>
      <c r="AR48" s="357" t="str">
        <f ca="1">TmOrderLU!AR48</f>
        <v>ng</v>
      </c>
    </row>
    <row r="49" spans="4:44">
      <c r="D49" s="357" t="str">
        <f ca="1">TmOrderLU!D49</f>
        <v/>
      </c>
      <c r="E49" s="4" t="str">
        <f ca="1">TmOrderLU!E49</f>
        <v>ng</v>
      </c>
      <c r="F49" s="4" t="str">
        <f ca="1">TmOrderLU!F49</f>
        <v>ng</v>
      </c>
      <c r="G49" s="4" t="str">
        <f ca="1">TmOrderLU!G49</f>
        <v>ng</v>
      </c>
      <c r="H49" s="4" t="str">
        <f ca="1">TmOrderLU!H49</f>
        <v>ng</v>
      </c>
      <c r="I49" s="4" t="str">
        <f ca="1">TmOrderLU!I49</f>
        <v>ng</v>
      </c>
      <c r="J49" s="4" t="str">
        <f ca="1">TmOrderLU!J49</f>
        <v>ng</v>
      </c>
      <c r="K49" s="4" t="str">
        <f ca="1">TmOrderLU!K49</f>
        <v>ng</v>
      </c>
      <c r="L49" s="4" t="str">
        <f ca="1">TmOrderLU!L49</f>
        <v>ng</v>
      </c>
      <c r="M49" s="4" t="str">
        <f ca="1">TmOrderLU!M49</f>
        <v>ng</v>
      </c>
      <c r="N49" s="4" t="str">
        <f ca="1">TmOrderLU!N49</f>
        <v>ng</v>
      </c>
      <c r="O49" s="4" t="str">
        <f ca="1">TmOrderLU!O49</f>
        <v>ng</v>
      </c>
      <c r="P49" s="4" t="str">
        <f ca="1">TmOrderLU!P49</f>
        <v>ng</v>
      </c>
      <c r="Q49" s="4" t="str">
        <f ca="1">TmOrderLU!Q49</f>
        <v>ng</v>
      </c>
      <c r="R49" s="4" t="str">
        <f ca="1">TmOrderLU!R49</f>
        <v>ng</v>
      </c>
      <c r="S49" s="4" t="str">
        <f ca="1">TmOrderLU!S49</f>
        <v>ng</v>
      </c>
      <c r="T49" s="4" t="str">
        <f ca="1">TmOrderLU!T49</f>
        <v>ng</v>
      </c>
      <c r="U49" s="4" t="str">
        <f ca="1">TmOrderLU!U49</f>
        <v>ng</v>
      </c>
      <c r="V49" s="4" t="str">
        <f ca="1">TmOrderLU!V49</f>
        <v>ng</v>
      </c>
      <c r="W49" s="4" t="str">
        <f ca="1">TmOrderLU!W49</f>
        <v>ng</v>
      </c>
      <c r="X49" s="4" t="str">
        <f ca="1">TmOrderLU!X49</f>
        <v>ng</v>
      </c>
      <c r="Y49" s="4" t="str">
        <f ca="1">TmOrderLU!Y49</f>
        <v>ng</v>
      </c>
      <c r="Z49" s="4" t="str">
        <f ca="1">TmOrderLU!Z49</f>
        <v>ng</v>
      </c>
      <c r="AA49" s="4" t="str">
        <f ca="1">TmOrderLU!AA49</f>
        <v>ng</v>
      </c>
      <c r="AB49" s="4" t="str">
        <f ca="1">TmOrderLU!AB49</f>
        <v>ng</v>
      </c>
      <c r="AC49" s="4" t="str">
        <f ca="1">TmOrderLU!AC49</f>
        <v>ng</v>
      </c>
      <c r="AD49" s="4" t="str">
        <f ca="1">TmOrderLU!AD49</f>
        <v>ng</v>
      </c>
      <c r="AE49" s="4" t="str">
        <f ca="1">TmOrderLU!AE49</f>
        <v>ng</v>
      </c>
      <c r="AF49" s="4" t="str">
        <f ca="1">TmOrderLU!AF49</f>
        <v>ng</v>
      </c>
      <c r="AG49" s="4" t="str">
        <f ca="1">TmOrderLU!AG49</f>
        <v>ng</v>
      </c>
      <c r="AH49" s="4" t="str">
        <f ca="1">TmOrderLU!AH49</f>
        <v>ng</v>
      </c>
      <c r="AI49" s="4" t="str">
        <f ca="1">TmOrderLU!AI49</f>
        <v>ng</v>
      </c>
      <c r="AJ49" s="4" t="str">
        <f ca="1">TmOrderLU!AJ49</f>
        <v>ng</v>
      </c>
      <c r="AK49" s="4" t="str">
        <f ca="1">TmOrderLU!AK49</f>
        <v>ng</v>
      </c>
      <c r="AL49" s="4" t="str">
        <f ca="1">TmOrderLU!AL49</f>
        <v>ng</v>
      </c>
      <c r="AM49" s="4" t="str">
        <f ca="1">TmOrderLU!AM49</f>
        <v>ng</v>
      </c>
      <c r="AN49" s="4" t="str">
        <f ca="1">TmOrderLU!AN49</f>
        <v>ng</v>
      </c>
      <c r="AO49" s="4" t="str">
        <f ca="1">TmOrderLU!AO49</f>
        <v>ng</v>
      </c>
      <c r="AP49" s="4" t="str">
        <f ca="1">TmOrderLU!AP49</f>
        <v>ng</v>
      </c>
      <c r="AQ49" s="4" t="str">
        <f ca="1">TmOrderLU!AQ49</f>
        <v>ng</v>
      </c>
      <c r="AR49" s="357" t="str">
        <f ca="1">TmOrderLU!AR49</f>
        <v>ng</v>
      </c>
    </row>
    <row r="50" spans="4:44">
      <c r="D50" s="357" t="str">
        <f ca="1">TmOrderLU!D50</f>
        <v/>
      </c>
      <c r="E50" s="4" t="str">
        <f ca="1">TmOrderLU!E50</f>
        <v>ng</v>
      </c>
      <c r="F50" s="4" t="str">
        <f ca="1">TmOrderLU!F50</f>
        <v>ng</v>
      </c>
      <c r="G50" s="4" t="str">
        <f ca="1">TmOrderLU!G50</f>
        <v>ng</v>
      </c>
      <c r="H50" s="4" t="str">
        <f ca="1">TmOrderLU!H50</f>
        <v>ng</v>
      </c>
      <c r="I50" s="4" t="str">
        <f ca="1">TmOrderLU!I50</f>
        <v>ng</v>
      </c>
      <c r="J50" s="4" t="str">
        <f ca="1">TmOrderLU!J50</f>
        <v>ng</v>
      </c>
      <c r="K50" s="4" t="str">
        <f ca="1">TmOrderLU!K50</f>
        <v>ng</v>
      </c>
      <c r="L50" s="4" t="str">
        <f ca="1">TmOrderLU!L50</f>
        <v>ng</v>
      </c>
      <c r="M50" s="4" t="str">
        <f ca="1">TmOrderLU!M50</f>
        <v>ng</v>
      </c>
      <c r="N50" s="4" t="str">
        <f ca="1">TmOrderLU!N50</f>
        <v>ng</v>
      </c>
      <c r="O50" s="4" t="str">
        <f ca="1">TmOrderLU!O50</f>
        <v>ng</v>
      </c>
      <c r="P50" s="4" t="str">
        <f ca="1">TmOrderLU!P50</f>
        <v>ng</v>
      </c>
      <c r="Q50" s="4" t="str">
        <f ca="1">TmOrderLU!Q50</f>
        <v>ng</v>
      </c>
      <c r="R50" s="4" t="str">
        <f ca="1">TmOrderLU!R50</f>
        <v>ng</v>
      </c>
      <c r="S50" s="4" t="str">
        <f ca="1">TmOrderLU!S50</f>
        <v>ng</v>
      </c>
      <c r="T50" s="4" t="str">
        <f ca="1">TmOrderLU!T50</f>
        <v>ng</v>
      </c>
      <c r="U50" s="4" t="str">
        <f ca="1">TmOrderLU!U50</f>
        <v>ng</v>
      </c>
      <c r="V50" s="4" t="str">
        <f ca="1">TmOrderLU!V50</f>
        <v>ng</v>
      </c>
      <c r="W50" s="4" t="str">
        <f ca="1">TmOrderLU!W50</f>
        <v>ng</v>
      </c>
      <c r="X50" s="4" t="str">
        <f ca="1">TmOrderLU!X50</f>
        <v>ng</v>
      </c>
      <c r="Y50" s="4" t="str">
        <f ca="1">TmOrderLU!Y50</f>
        <v>ng</v>
      </c>
      <c r="Z50" s="4" t="str">
        <f ca="1">TmOrderLU!Z50</f>
        <v>ng</v>
      </c>
      <c r="AA50" s="4" t="str">
        <f ca="1">TmOrderLU!AA50</f>
        <v>ng</v>
      </c>
      <c r="AB50" s="4" t="str">
        <f ca="1">TmOrderLU!AB50</f>
        <v>ng</v>
      </c>
      <c r="AC50" s="4" t="str">
        <f ca="1">TmOrderLU!AC50</f>
        <v>ng</v>
      </c>
      <c r="AD50" s="4" t="str">
        <f ca="1">TmOrderLU!AD50</f>
        <v>ng</v>
      </c>
      <c r="AE50" s="4" t="str">
        <f ca="1">TmOrderLU!AE50</f>
        <v>ng</v>
      </c>
      <c r="AF50" s="4" t="str">
        <f ca="1">TmOrderLU!AF50</f>
        <v>ng</v>
      </c>
      <c r="AG50" s="4" t="str">
        <f ca="1">TmOrderLU!AG50</f>
        <v>ng</v>
      </c>
      <c r="AH50" s="4" t="str">
        <f ca="1">TmOrderLU!AH50</f>
        <v>ng</v>
      </c>
      <c r="AI50" s="4" t="str">
        <f ca="1">TmOrderLU!AI50</f>
        <v>ng</v>
      </c>
      <c r="AJ50" s="4" t="str">
        <f ca="1">TmOrderLU!AJ50</f>
        <v>ng</v>
      </c>
      <c r="AK50" s="4" t="str">
        <f ca="1">TmOrderLU!AK50</f>
        <v>ng</v>
      </c>
      <c r="AL50" s="4" t="str">
        <f ca="1">TmOrderLU!AL50</f>
        <v>ng</v>
      </c>
      <c r="AM50" s="4" t="str">
        <f ca="1">TmOrderLU!AM50</f>
        <v>ng</v>
      </c>
      <c r="AN50" s="4" t="str">
        <f ca="1">TmOrderLU!AN50</f>
        <v>ng</v>
      </c>
      <c r="AO50" s="4" t="str">
        <f ca="1">TmOrderLU!AO50</f>
        <v>ng</v>
      </c>
      <c r="AP50" s="4" t="str">
        <f ca="1">TmOrderLU!AP50</f>
        <v>ng</v>
      </c>
      <c r="AQ50" s="4" t="str">
        <f ca="1">TmOrderLU!AQ50</f>
        <v>ng</v>
      </c>
      <c r="AR50" s="357" t="str">
        <f ca="1">TmOrderLU!AR50</f>
        <v>ng</v>
      </c>
    </row>
    <row r="51" spans="4:44">
      <c r="D51" s="357" t="str">
        <f ca="1">TmOrderLU!D51</f>
        <v/>
      </c>
      <c r="E51" s="4" t="str">
        <f ca="1">TmOrderLU!E51</f>
        <v>ng</v>
      </c>
      <c r="F51" s="4" t="str">
        <f ca="1">TmOrderLU!F51</f>
        <v>ng</v>
      </c>
      <c r="G51" s="4" t="str">
        <f ca="1">TmOrderLU!G51</f>
        <v>ng</v>
      </c>
      <c r="H51" s="4" t="str">
        <f ca="1">TmOrderLU!H51</f>
        <v>ng</v>
      </c>
      <c r="I51" s="4" t="str">
        <f ca="1">TmOrderLU!I51</f>
        <v>ng</v>
      </c>
      <c r="J51" s="4" t="str">
        <f ca="1">TmOrderLU!J51</f>
        <v>ng</v>
      </c>
      <c r="K51" s="4" t="str">
        <f ca="1">TmOrderLU!K51</f>
        <v>ng</v>
      </c>
      <c r="L51" s="4" t="str">
        <f ca="1">TmOrderLU!L51</f>
        <v>ng</v>
      </c>
      <c r="M51" s="4" t="str">
        <f ca="1">TmOrderLU!M51</f>
        <v>ng</v>
      </c>
      <c r="N51" s="4" t="str">
        <f ca="1">TmOrderLU!N51</f>
        <v>ng</v>
      </c>
      <c r="O51" s="4" t="str">
        <f ca="1">TmOrderLU!O51</f>
        <v>ng</v>
      </c>
      <c r="P51" s="4" t="str">
        <f ca="1">TmOrderLU!P51</f>
        <v>ng</v>
      </c>
      <c r="Q51" s="4" t="str">
        <f ca="1">TmOrderLU!Q51</f>
        <v>ng</v>
      </c>
      <c r="R51" s="4" t="str">
        <f ca="1">TmOrderLU!R51</f>
        <v>ng</v>
      </c>
      <c r="S51" s="4" t="str">
        <f ca="1">TmOrderLU!S51</f>
        <v>ng</v>
      </c>
      <c r="T51" s="4" t="str">
        <f ca="1">TmOrderLU!T51</f>
        <v>ng</v>
      </c>
      <c r="U51" s="4" t="str">
        <f ca="1">TmOrderLU!U51</f>
        <v>ng</v>
      </c>
      <c r="V51" s="4" t="str">
        <f ca="1">TmOrderLU!V51</f>
        <v>ng</v>
      </c>
      <c r="W51" s="4" t="str">
        <f ca="1">TmOrderLU!W51</f>
        <v>ng</v>
      </c>
      <c r="X51" s="4" t="str">
        <f ca="1">TmOrderLU!X51</f>
        <v>ng</v>
      </c>
      <c r="Y51" s="4" t="str">
        <f ca="1">TmOrderLU!Y51</f>
        <v>ng</v>
      </c>
      <c r="Z51" s="4" t="str">
        <f ca="1">TmOrderLU!Z51</f>
        <v>ng</v>
      </c>
      <c r="AA51" s="4" t="str">
        <f ca="1">TmOrderLU!AA51</f>
        <v>ng</v>
      </c>
      <c r="AB51" s="4" t="str">
        <f ca="1">TmOrderLU!AB51</f>
        <v>ng</v>
      </c>
      <c r="AC51" s="4" t="str">
        <f ca="1">TmOrderLU!AC51</f>
        <v>ng</v>
      </c>
      <c r="AD51" s="4" t="str">
        <f ca="1">TmOrderLU!AD51</f>
        <v>ng</v>
      </c>
      <c r="AE51" s="4" t="str">
        <f ca="1">TmOrderLU!AE51</f>
        <v>ng</v>
      </c>
      <c r="AF51" s="4" t="str">
        <f ca="1">TmOrderLU!AF51</f>
        <v>ng</v>
      </c>
      <c r="AG51" s="4" t="str">
        <f ca="1">TmOrderLU!AG51</f>
        <v>ng</v>
      </c>
      <c r="AH51" s="4" t="str">
        <f ca="1">TmOrderLU!AH51</f>
        <v>ng</v>
      </c>
      <c r="AI51" s="4" t="str">
        <f ca="1">TmOrderLU!AI51</f>
        <v>ng</v>
      </c>
      <c r="AJ51" s="4" t="str">
        <f ca="1">TmOrderLU!AJ51</f>
        <v>ng</v>
      </c>
      <c r="AK51" s="4" t="str">
        <f ca="1">TmOrderLU!AK51</f>
        <v>ng</v>
      </c>
      <c r="AL51" s="4" t="str">
        <f ca="1">TmOrderLU!AL51</f>
        <v>ng</v>
      </c>
      <c r="AM51" s="4" t="str">
        <f ca="1">TmOrderLU!AM51</f>
        <v>ng</v>
      </c>
      <c r="AN51" s="4" t="str">
        <f ca="1">TmOrderLU!AN51</f>
        <v>ng</v>
      </c>
      <c r="AO51" s="4" t="str">
        <f ca="1">TmOrderLU!AO51</f>
        <v>ng</v>
      </c>
      <c r="AP51" s="4" t="str">
        <f ca="1">TmOrderLU!AP51</f>
        <v>ng</v>
      </c>
      <c r="AQ51" s="4" t="str">
        <f ca="1">TmOrderLU!AQ51</f>
        <v>ng</v>
      </c>
      <c r="AR51" s="357" t="str">
        <f ca="1">TmOrderLU!AR51</f>
        <v>ng</v>
      </c>
    </row>
    <row r="52" spans="4:44">
      <c r="D52" s="357" t="str">
        <f ca="1">TmOrderLU!D52</f>
        <v/>
      </c>
      <c r="E52" s="4" t="str">
        <f ca="1">TmOrderLU!E52</f>
        <v>ng</v>
      </c>
      <c r="F52" s="4" t="str">
        <f ca="1">TmOrderLU!F52</f>
        <v>ng</v>
      </c>
      <c r="G52" s="4" t="str">
        <f ca="1">TmOrderLU!G52</f>
        <v>ng</v>
      </c>
      <c r="H52" s="4" t="str">
        <f ca="1">TmOrderLU!H52</f>
        <v>ng</v>
      </c>
      <c r="I52" s="4" t="str">
        <f ca="1">TmOrderLU!I52</f>
        <v>ng</v>
      </c>
      <c r="J52" s="4" t="str">
        <f ca="1">TmOrderLU!J52</f>
        <v>ng</v>
      </c>
      <c r="K52" s="4" t="str">
        <f ca="1">TmOrderLU!K52</f>
        <v>ng</v>
      </c>
      <c r="L52" s="4" t="str">
        <f ca="1">TmOrderLU!L52</f>
        <v>ng</v>
      </c>
      <c r="M52" s="4" t="str">
        <f ca="1">TmOrderLU!M52</f>
        <v>ng</v>
      </c>
      <c r="N52" s="4" t="str">
        <f ca="1">TmOrderLU!N52</f>
        <v>ng</v>
      </c>
      <c r="O52" s="4" t="str">
        <f ca="1">TmOrderLU!O52</f>
        <v>ng</v>
      </c>
      <c r="P52" s="4" t="str">
        <f ca="1">TmOrderLU!P52</f>
        <v>ng</v>
      </c>
      <c r="Q52" s="4" t="str">
        <f ca="1">TmOrderLU!Q52</f>
        <v>ng</v>
      </c>
      <c r="R52" s="4" t="str">
        <f ca="1">TmOrderLU!R52</f>
        <v>ng</v>
      </c>
      <c r="S52" s="4" t="str">
        <f ca="1">TmOrderLU!S52</f>
        <v>ng</v>
      </c>
      <c r="T52" s="4" t="str">
        <f ca="1">TmOrderLU!T52</f>
        <v>ng</v>
      </c>
      <c r="U52" s="4" t="str">
        <f ca="1">TmOrderLU!U52</f>
        <v>ng</v>
      </c>
      <c r="V52" s="4" t="str">
        <f ca="1">TmOrderLU!V52</f>
        <v>ng</v>
      </c>
      <c r="W52" s="4" t="str">
        <f ca="1">TmOrderLU!W52</f>
        <v>ng</v>
      </c>
      <c r="X52" s="4" t="str">
        <f ca="1">TmOrderLU!X52</f>
        <v>ng</v>
      </c>
      <c r="Y52" s="4" t="str">
        <f ca="1">TmOrderLU!Y52</f>
        <v>ng</v>
      </c>
      <c r="Z52" s="4" t="str">
        <f ca="1">TmOrderLU!Z52</f>
        <v>ng</v>
      </c>
      <c r="AA52" s="4" t="str">
        <f ca="1">TmOrderLU!AA52</f>
        <v>ng</v>
      </c>
      <c r="AB52" s="4" t="str">
        <f ca="1">TmOrderLU!AB52</f>
        <v>ng</v>
      </c>
      <c r="AC52" s="4" t="str">
        <f ca="1">TmOrderLU!AC52</f>
        <v>ng</v>
      </c>
      <c r="AD52" s="4" t="str">
        <f ca="1">TmOrderLU!AD52</f>
        <v>ng</v>
      </c>
      <c r="AE52" s="4" t="str">
        <f ca="1">TmOrderLU!AE52</f>
        <v>ng</v>
      </c>
      <c r="AF52" s="4" t="str">
        <f ca="1">TmOrderLU!AF52</f>
        <v>ng</v>
      </c>
      <c r="AG52" s="4" t="str">
        <f ca="1">TmOrderLU!AG52</f>
        <v>ng</v>
      </c>
      <c r="AH52" s="4" t="str">
        <f ca="1">TmOrderLU!AH52</f>
        <v>ng</v>
      </c>
      <c r="AI52" s="4" t="str">
        <f ca="1">TmOrderLU!AI52</f>
        <v>ng</v>
      </c>
      <c r="AJ52" s="4" t="str">
        <f ca="1">TmOrderLU!AJ52</f>
        <v>ng</v>
      </c>
      <c r="AK52" s="4" t="str">
        <f ca="1">TmOrderLU!AK52</f>
        <v>ng</v>
      </c>
      <c r="AL52" s="4" t="str">
        <f ca="1">TmOrderLU!AL52</f>
        <v>ng</v>
      </c>
      <c r="AM52" s="4" t="str">
        <f ca="1">TmOrderLU!AM52</f>
        <v>ng</v>
      </c>
      <c r="AN52" s="4" t="str">
        <f ca="1">TmOrderLU!AN52</f>
        <v>ng</v>
      </c>
      <c r="AO52" s="4" t="str">
        <f ca="1">TmOrderLU!AO52</f>
        <v>ng</v>
      </c>
      <c r="AP52" s="4" t="str">
        <f ca="1">TmOrderLU!AP52</f>
        <v>ng</v>
      </c>
      <c r="AQ52" s="4" t="str">
        <f ca="1">TmOrderLU!AQ52</f>
        <v>ng</v>
      </c>
      <c r="AR52" s="357" t="str">
        <f ca="1">TmOrderLU!AR52</f>
        <v>ng</v>
      </c>
    </row>
    <row r="53" spans="4:44">
      <c r="D53" s="357" t="str">
        <f ca="1">TmOrderLU!D53</f>
        <v/>
      </c>
      <c r="E53" s="4" t="str">
        <f ca="1">TmOrderLU!E53</f>
        <v>ng</v>
      </c>
      <c r="F53" s="4" t="str">
        <f ca="1">TmOrderLU!F53</f>
        <v>ng</v>
      </c>
      <c r="G53" s="4" t="str">
        <f ca="1">TmOrderLU!G53</f>
        <v>ng</v>
      </c>
      <c r="H53" s="4" t="str">
        <f ca="1">TmOrderLU!H53</f>
        <v>ng</v>
      </c>
      <c r="I53" s="4" t="str">
        <f ca="1">TmOrderLU!I53</f>
        <v>ng</v>
      </c>
      <c r="J53" s="4" t="str">
        <f ca="1">TmOrderLU!J53</f>
        <v>ng</v>
      </c>
      <c r="K53" s="4" t="str">
        <f ca="1">TmOrderLU!K53</f>
        <v>ng</v>
      </c>
      <c r="L53" s="4" t="str">
        <f ca="1">TmOrderLU!L53</f>
        <v>ng</v>
      </c>
      <c r="M53" s="4" t="str">
        <f ca="1">TmOrderLU!M53</f>
        <v>ng</v>
      </c>
      <c r="N53" s="4" t="str">
        <f ca="1">TmOrderLU!N53</f>
        <v>ng</v>
      </c>
      <c r="O53" s="4" t="str">
        <f ca="1">TmOrderLU!O53</f>
        <v>ng</v>
      </c>
      <c r="P53" s="4" t="str">
        <f ca="1">TmOrderLU!P53</f>
        <v>ng</v>
      </c>
      <c r="Q53" s="4" t="str">
        <f ca="1">TmOrderLU!Q53</f>
        <v>ng</v>
      </c>
      <c r="R53" s="4" t="str">
        <f ca="1">TmOrderLU!R53</f>
        <v>ng</v>
      </c>
      <c r="S53" s="4" t="str">
        <f ca="1">TmOrderLU!S53</f>
        <v>ng</v>
      </c>
      <c r="T53" s="4" t="str">
        <f ca="1">TmOrderLU!T53</f>
        <v>ng</v>
      </c>
      <c r="U53" s="4" t="str">
        <f ca="1">TmOrderLU!U53</f>
        <v>ng</v>
      </c>
      <c r="V53" s="4" t="str">
        <f ca="1">TmOrderLU!V53</f>
        <v>ng</v>
      </c>
      <c r="W53" s="4" t="str">
        <f ca="1">TmOrderLU!W53</f>
        <v>ng</v>
      </c>
      <c r="X53" s="4" t="str">
        <f ca="1">TmOrderLU!X53</f>
        <v>ng</v>
      </c>
      <c r="Y53" s="4" t="str">
        <f ca="1">TmOrderLU!Y53</f>
        <v>ng</v>
      </c>
      <c r="Z53" s="4" t="str">
        <f ca="1">TmOrderLU!Z53</f>
        <v>ng</v>
      </c>
      <c r="AA53" s="4" t="str">
        <f ca="1">TmOrderLU!AA53</f>
        <v>ng</v>
      </c>
      <c r="AB53" s="4" t="str">
        <f ca="1">TmOrderLU!AB53</f>
        <v>ng</v>
      </c>
      <c r="AC53" s="4" t="str">
        <f ca="1">TmOrderLU!AC53</f>
        <v>ng</v>
      </c>
      <c r="AD53" s="4" t="str">
        <f ca="1">TmOrderLU!AD53</f>
        <v>ng</v>
      </c>
      <c r="AE53" s="4" t="str">
        <f ca="1">TmOrderLU!AE53</f>
        <v>ng</v>
      </c>
      <c r="AF53" s="4" t="str">
        <f ca="1">TmOrderLU!AF53</f>
        <v>ng</v>
      </c>
      <c r="AG53" s="4" t="str">
        <f ca="1">TmOrderLU!AG53</f>
        <v>ng</v>
      </c>
      <c r="AH53" s="4" t="str">
        <f ca="1">TmOrderLU!AH53</f>
        <v>ng</v>
      </c>
      <c r="AI53" s="4" t="str">
        <f ca="1">TmOrderLU!AI53</f>
        <v>ng</v>
      </c>
      <c r="AJ53" s="4" t="str">
        <f ca="1">TmOrderLU!AJ53</f>
        <v>ng</v>
      </c>
      <c r="AK53" s="4" t="str">
        <f ca="1">TmOrderLU!AK53</f>
        <v>ng</v>
      </c>
      <c r="AL53" s="4" t="str">
        <f ca="1">TmOrderLU!AL53</f>
        <v>ng</v>
      </c>
      <c r="AM53" s="4" t="str">
        <f ca="1">TmOrderLU!AM53</f>
        <v>ng</v>
      </c>
      <c r="AN53" s="4" t="str">
        <f ca="1">TmOrderLU!AN53</f>
        <v>ng</v>
      </c>
      <c r="AO53" s="4" t="str">
        <f ca="1">TmOrderLU!AO53</f>
        <v>ng</v>
      </c>
      <c r="AP53" s="4" t="str">
        <f ca="1">TmOrderLU!AP53</f>
        <v>ng</v>
      </c>
      <c r="AQ53" s="4" t="str">
        <f ca="1">TmOrderLU!AQ53</f>
        <v>ng</v>
      </c>
      <c r="AR53" s="357" t="str">
        <f ca="1">TmOrderLU!AR53</f>
        <v>ng</v>
      </c>
    </row>
    <row r="54" spans="4:44">
      <c r="D54" s="357" t="str">
        <f ca="1">TmOrderLU!D54</f>
        <v/>
      </c>
      <c r="E54" s="4" t="str">
        <f ca="1">TmOrderLU!E54</f>
        <v>ng</v>
      </c>
      <c r="F54" s="4" t="str">
        <f ca="1">TmOrderLU!F54</f>
        <v>ng</v>
      </c>
      <c r="G54" s="4" t="str">
        <f ca="1">TmOrderLU!G54</f>
        <v>ng</v>
      </c>
      <c r="H54" s="4" t="str">
        <f ca="1">TmOrderLU!H54</f>
        <v>ng</v>
      </c>
      <c r="I54" s="4" t="str">
        <f ca="1">TmOrderLU!I54</f>
        <v>ng</v>
      </c>
      <c r="J54" s="4" t="str">
        <f ca="1">TmOrderLU!J54</f>
        <v>ng</v>
      </c>
      <c r="K54" s="4" t="str">
        <f ca="1">TmOrderLU!K54</f>
        <v>ng</v>
      </c>
      <c r="L54" s="4" t="str">
        <f ca="1">TmOrderLU!L54</f>
        <v>ng</v>
      </c>
      <c r="M54" s="4" t="str">
        <f ca="1">TmOrderLU!M54</f>
        <v>ng</v>
      </c>
      <c r="N54" s="4" t="str">
        <f ca="1">TmOrderLU!N54</f>
        <v>ng</v>
      </c>
      <c r="O54" s="4" t="str">
        <f ca="1">TmOrderLU!O54</f>
        <v>ng</v>
      </c>
      <c r="P54" s="4" t="str">
        <f ca="1">TmOrderLU!P54</f>
        <v>ng</v>
      </c>
      <c r="Q54" s="4" t="str">
        <f ca="1">TmOrderLU!Q54</f>
        <v>ng</v>
      </c>
      <c r="R54" s="4" t="str">
        <f ca="1">TmOrderLU!R54</f>
        <v>ng</v>
      </c>
      <c r="S54" s="4" t="str">
        <f ca="1">TmOrderLU!S54</f>
        <v>ng</v>
      </c>
      <c r="T54" s="4" t="str">
        <f ca="1">TmOrderLU!T54</f>
        <v>ng</v>
      </c>
      <c r="U54" s="4" t="str">
        <f ca="1">TmOrderLU!U54</f>
        <v>ng</v>
      </c>
      <c r="V54" s="4" t="str">
        <f ca="1">TmOrderLU!V54</f>
        <v>ng</v>
      </c>
      <c r="W54" s="4" t="str">
        <f ca="1">TmOrderLU!W54</f>
        <v>ng</v>
      </c>
      <c r="X54" s="4" t="str">
        <f ca="1">TmOrderLU!X54</f>
        <v>ng</v>
      </c>
      <c r="Y54" s="4" t="str">
        <f ca="1">TmOrderLU!Y54</f>
        <v>ng</v>
      </c>
      <c r="Z54" s="4" t="str">
        <f ca="1">TmOrderLU!Z54</f>
        <v>ng</v>
      </c>
      <c r="AA54" s="4" t="str">
        <f ca="1">TmOrderLU!AA54</f>
        <v>ng</v>
      </c>
      <c r="AB54" s="4" t="str">
        <f ca="1">TmOrderLU!AB54</f>
        <v>ng</v>
      </c>
      <c r="AC54" s="4" t="str">
        <f ca="1">TmOrderLU!AC54</f>
        <v>ng</v>
      </c>
      <c r="AD54" s="4" t="str">
        <f ca="1">TmOrderLU!AD54</f>
        <v>ng</v>
      </c>
      <c r="AE54" s="4" t="str">
        <f ca="1">TmOrderLU!AE54</f>
        <v>ng</v>
      </c>
      <c r="AF54" s="4" t="str">
        <f ca="1">TmOrderLU!AF54</f>
        <v>ng</v>
      </c>
      <c r="AG54" s="4" t="str">
        <f ca="1">TmOrderLU!AG54</f>
        <v>ng</v>
      </c>
      <c r="AH54" s="4" t="str">
        <f ca="1">TmOrderLU!AH54</f>
        <v>ng</v>
      </c>
      <c r="AI54" s="4" t="str">
        <f ca="1">TmOrderLU!AI54</f>
        <v>ng</v>
      </c>
      <c r="AJ54" s="4" t="str">
        <f ca="1">TmOrderLU!AJ54</f>
        <v>ng</v>
      </c>
      <c r="AK54" s="4" t="str">
        <f ca="1">TmOrderLU!AK54</f>
        <v>ng</v>
      </c>
      <c r="AL54" s="4" t="str">
        <f ca="1">TmOrderLU!AL54</f>
        <v>ng</v>
      </c>
      <c r="AM54" s="4" t="str">
        <f ca="1">TmOrderLU!AM54</f>
        <v>ng</v>
      </c>
      <c r="AN54" s="4" t="str">
        <f ca="1">TmOrderLU!AN54</f>
        <v>ng</v>
      </c>
      <c r="AO54" s="4" t="str">
        <f ca="1">TmOrderLU!AO54</f>
        <v>ng</v>
      </c>
      <c r="AP54" s="4" t="str">
        <f ca="1">TmOrderLU!AP54</f>
        <v>ng</v>
      </c>
      <c r="AQ54" s="4" t="str">
        <f ca="1">TmOrderLU!AQ54</f>
        <v>ng</v>
      </c>
      <c r="AR54" s="357" t="str">
        <f ca="1">TmOrderLU!AR54</f>
        <v>ng</v>
      </c>
    </row>
    <row r="55" spans="4:44">
      <c r="D55" s="357" t="str">
        <f ca="1">TmOrderLU!D55</f>
        <v/>
      </c>
      <c r="E55" s="4" t="str">
        <f ca="1">TmOrderLU!E55</f>
        <v>ng</v>
      </c>
      <c r="F55" s="4" t="str">
        <f ca="1">TmOrderLU!F55</f>
        <v>ng</v>
      </c>
      <c r="G55" s="4" t="str">
        <f ca="1">TmOrderLU!G55</f>
        <v>ng</v>
      </c>
      <c r="H55" s="4" t="str">
        <f ca="1">TmOrderLU!H55</f>
        <v>ng</v>
      </c>
      <c r="I55" s="4" t="str">
        <f ca="1">TmOrderLU!I55</f>
        <v>ng</v>
      </c>
      <c r="J55" s="4" t="str">
        <f ca="1">TmOrderLU!J55</f>
        <v>ng</v>
      </c>
      <c r="K55" s="4" t="str">
        <f ca="1">TmOrderLU!K55</f>
        <v>ng</v>
      </c>
      <c r="L55" s="4" t="str">
        <f ca="1">TmOrderLU!L55</f>
        <v>ng</v>
      </c>
      <c r="M55" s="4" t="str">
        <f ca="1">TmOrderLU!M55</f>
        <v>ng</v>
      </c>
      <c r="N55" s="4" t="str">
        <f ca="1">TmOrderLU!N55</f>
        <v>ng</v>
      </c>
      <c r="O55" s="4" t="str">
        <f ca="1">TmOrderLU!O55</f>
        <v>ng</v>
      </c>
      <c r="P55" s="4" t="str">
        <f ca="1">TmOrderLU!P55</f>
        <v>ng</v>
      </c>
      <c r="Q55" s="4" t="str">
        <f ca="1">TmOrderLU!Q55</f>
        <v>ng</v>
      </c>
      <c r="R55" s="4" t="str">
        <f ca="1">TmOrderLU!R55</f>
        <v>ng</v>
      </c>
      <c r="S55" s="4" t="str">
        <f ca="1">TmOrderLU!S55</f>
        <v>ng</v>
      </c>
      <c r="T55" s="4" t="str">
        <f ca="1">TmOrderLU!T55</f>
        <v>ng</v>
      </c>
      <c r="U55" s="4" t="str">
        <f ca="1">TmOrderLU!U55</f>
        <v>ng</v>
      </c>
      <c r="V55" s="4" t="str">
        <f ca="1">TmOrderLU!V55</f>
        <v>ng</v>
      </c>
      <c r="W55" s="4" t="str">
        <f ca="1">TmOrderLU!W55</f>
        <v>ng</v>
      </c>
      <c r="X55" s="4" t="str">
        <f ca="1">TmOrderLU!X55</f>
        <v>ng</v>
      </c>
      <c r="Y55" s="4" t="str">
        <f ca="1">TmOrderLU!Y55</f>
        <v>ng</v>
      </c>
      <c r="Z55" s="4" t="str">
        <f ca="1">TmOrderLU!Z55</f>
        <v>ng</v>
      </c>
      <c r="AA55" s="4" t="str">
        <f ca="1">TmOrderLU!AA55</f>
        <v>ng</v>
      </c>
      <c r="AB55" s="4" t="str">
        <f ca="1">TmOrderLU!AB55</f>
        <v>ng</v>
      </c>
      <c r="AC55" s="4" t="str">
        <f ca="1">TmOrderLU!AC55</f>
        <v>ng</v>
      </c>
      <c r="AD55" s="4" t="str">
        <f ca="1">TmOrderLU!AD55</f>
        <v>ng</v>
      </c>
      <c r="AE55" s="4" t="str">
        <f ca="1">TmOrderLU!AE55</f>
        <v>ng</v>
      </c>
      <c r="AF55" s="4" t="str">
        <f ca="1">TmOrderLU!AF55</f>
        <v>ng</v>
      </c>
      <c r="AG55" s="4" t="str">
        <f ca="1">TmOrderLU!AG55</f>
        <v>ng</v>
      </c>
      <c r="AH55" s="4" t="str">
        <f ca="1">TmOrderLU!AH55</f>
        <v>ng</v>
      </c>
      <c r="AI55" s="4" t="str">
        <f ca="1">TmOrderLU!AI55</f>
        <v>ng</v>
      </c>
      <c r="AJ55" s="4" t="str">
        <f ca="1">TmOrderLU!AJ55</f>
        <v>ng</v>
      </c>
      <c r="AK55" s="4" t="str">
        <f ca="1">TmOrderLU!AK55</f>
        <v>ng</v>
      </c>
      <c r="AL55" s="4" t="str">
        <f ca="1">TmOrderLU!AL55</f>
        <v>ng</v>
      </c>
      <c r="AM55" s="4" t="str">
        <f ca="1">TmOrderLU!AM55</f>
        <v>ng</v>
      </c>
      <c r="AN55" s="4" t="str">
        <f ca="1">TmOrderLU!AN55</f>
        <v>ng</v>
      </c>
      <c r="AO55" s="4" t="str">
        <f ca="1">TmOrderLU!AO55</f>
        <v>ng</v>
      </c>
      <c r="AP55" s="4" t="str">
        <f ca="1">TmOrderLU!AP55</f>
        <v>ng</v>
      </c>
      <c r="AQ55" s="4" t="str">
        <f ca="1">TmOrderLU!AQ55</f>
        <v>ng</v>
      </c>
      <c r="AR55" s="357" t="str">
        <f ca="1">TmOrderLU!AR55</f>
        <v>ng</v>
      </c>
    </row>
    <row r="56" spans="4:44" ht="16" thickBot="1">
      <c r="D56" s="358" t="str">
        <f ca="1">TmOrderLU!D56</f>
        <v/>
      </c>
      <c r="E56" s="4" t="str">
        <f ca="1">TmOrderLU!E56</f>
        <v>ng</v>
      </c>
      <c r="F56" s="4" t="str">
        <f ca="1">TmOrderLU!F56</f>
        <v>ng</v>
      </c>
      <c r="G56" s="4" t="str">
        <f ca="1">TmOrderLU!G56</f>
        <v>ng</v>
      </c>
      <c r="H56" s="4" t="str">
        <f ca="1">TmOrderLU!H56</f>
        <v>ng</v>
      </c>
      <c r="I56" s="4" t="str">
        <f ca="1">TmOrderLU!I56</f>
        <v>ng</v>
      </c>
      <c r="J56" s="4" t="str">
        <f ca="1">TmOrderLU!J56</f>
        <v>ng</v>
      </c>
      <c r="K56" s="4" t="str">
        <f ca="1">TmOrderLU!K56</f>
        <v>ng</v>
      </c>
      <c r="L56" s="4" t="str">
        <f ca="1">TmOrderLU!L56</f>
        <v>ng</v>
      </c>
      <c r="M56" s="4" t="str">
        <f ca="1">TmOrderLU!M56</f>
        <v>ng</v>
      </c>
      <c r="N56" s="4" t="str">
        <f ca="1">TmOrderLU!N56</f>
        <v>ng</v>
      </c>
      <c r="O56" s="4" t="str">
        <f ca="1">TmOrderLU!O56</f>
        <v>ng</v>
      </c>
      <c r="P56" s="4" t="str">
        <f ca="1">TmOrderLU!P56</f>
        <v>ng</v>
      </c>
      <c r="Q56" s="4" t="str">
        <f ca="1">TmOrderLU!Q56</f>
        <v>ng</v>
      </c>
      <c r="R56" s="4" t="str">
        <f ca="1">TmOrderLU!R56</f>
        <v>ng</v>
      </c>
      <c r="S56" s="4" t="str">
        <f ca="1">TmOrderLU!S56</f>
        <v>ng</v>
      </c>
      <c r="T56" s="4" t="str">
        <f ca="1">TmOrderLU!T56</f>
        <v>ng</v>
      </c>
      <c r="U56" s="4" t="str">
        <f ca="1">TmOrderLU!U56</f>
        <v>ng</v>
      </c>
      <c r="V56" s="4" t="str">
        <f ca="1">TmOrderLU!V56</f>
        <v>ng</v>
      </c>
      <c r="W56" s="4" t="str">
        <f ca="1">TmOrderLU!W56</f>
        <v>ng</v>
      </c>
      <c r="X56" s="4" t="str">
        <f ca="1">TmOrderLU!X56</f>
        <v>ng</v>
      </c>
      <c r="Y56" s="4" t="str">
        <f ca="1">TmOrderLU!Y56</f>
        <v>ng</v>
      </c>
      <c r="Z56" s="4" t="str">
        <f ca="1">TmOrderLU!Z56</f>
        <v>ng</v>
      </c>
      <c r="AA56" s="4" t="str">
        <f ca="1">TmOrderLU!AA56</f>
        <v>ng</v>
      </c>
      <c r="AB56" s="4" t="str">
        <f ca="1">TmOrderLU!AB56</f>
        <v>ng</v>
      </c>
      <c r="AC56" s="4" t="str">
        <f ca="1">TmOrderLU!AC56</f>
        <v>ng</v>
      </c>
      <c r="AD56" s="4" t="str">
        <f ca="1">TmOrderLU!AD56</f>
        <v>ng</v>
      </c>
      <c r="AE56" s="4" t="str">
        <f ca="1">TmOrderLU!AE56</f>
        <v>ng</v>
      </c>
      <c r="AF56" s="4" t="str">
        <f ca="1">TmOrderLU!AF56</f>
        <v>ng</v>
      </c>
      <c r="AG56" s="4" t="str">
        <f ca="1">TmOrderLU!AG56</f>
        <v>ng</v>
      </c>
      <c r="AH56" s="4" t="str">
        <f ca="1">TmOrderLU!AH56</f>
        <v>ng</v>
      </c>
      <c r="AI56" s="4" t="str">
        <f ca="1">TmOrderLU!AI56</f>
        <v>ng</v>
      </c>
      <c r="AJ56" s="4" t="str">
        <f ca="1">TmOrderLU!AJ56</f>
        <v>ng</v>
      </c>
      <c r="AK56" s="4" t="str">
        <f ca="1">TmOrderLU!AK56</f>
        <v>ng</v>
      </c>
      <c r="AL56" s="4" t="str">
        <f ca="1">TmOrderLU!AL56</f>
        <v>ng</v>
      </c>
      <c r="AM56" s="4" t="str">
        <f ca="1">TmOrderLU!AM56</f>
        <v>ng</v>
      </c>
      <c r="AN56" s="4" t="str">
        <f ca="1">TmOrderLU!AN56</f>
        <v>ng</v>
      </c>
      <c r="AO56" s="4" t="str">
        <f ca="1">TmOrderLU!AO56</f>
        <v>ng</v>
      </c>
      <c r="AP56" s="4" t="str">
        <f ca="1">TmOrderLU!AP56</f>
        <v>ng</v>
      </c>
      <c r="AQ56" s="4" t="str">
        <f ca="1">TmOrderLU!AQ56</f>
        <v>ng</v>
      </c>
      <c r="AR56" s="358" t="str">
        <f ca="1">TmOrderLU!AR56</f>
        <v>ng</v>
      </c>
    </row>
    <row r="57" spans="4:44">
      <c r="D57" s="332"/>
      <c r="E57" s="332"/>
      <c r="F57" s="332"/>
      <c r="G57" s="332"/>
      <c r="H57" s="332"/>
      <c r="I57" s="332"/>
      <c r="J57" s="332"/>
      <c r="K57" s="332"/>
      <c r="L57" s="332"/>
      <c r="M57" s="332"/>
      <c r="N57" s="332"/>
      <c r="O57" s="332"/>
      <c r="P57" s="332"/>
      <c r="Q57" s="332"/>
      <c r="R57" s="332"/>
      <c r="S57" s="332"/>
      <c r="T57" s="332"/>
      <c r="U57" s="332"/>
      <c r="V57" s="332"/>
      <c r="W57" s="332"/>
      <c r="X57" s="332"/>
      <c r="Y57" s="332"/>
      <c r="Z57" s="332"/>
      <c r="AA57" s="332"/>
      <c r="AB57" s="332"/>
      <c r="AC57" s="332"/>
      <c r="AD57" s="332"/>
      <c r="AE57" s="332"/>
      <c r="AF57" s="332"/>
      <c r="AG57" s="332"/>
      <c r="AH57" s="332"/>
      <c r="AI57" s="332"/>
      <c r="AJ57" s="332"/>
      <c r="AK57" s="332"/>
      <c r="AL57" s="332"/>
      <c r="AM57" s="332"/>
      <c r="AN57" s="332"/>
      <c r="AO57" s="332"/>
      <c r="AP57" s="332"/>
      <c r="AQ57" s="332"/>
      <c r="AR57" s="332"/>
    </row>
  </sheetData>
  <sheetProtection password="FFF0" sheet="1" objects="1" scenarios="1"/>
  <conditionalFormatting sqref="E3:AR3">
    <cfRule type="expression" dxfId="265" priority="3">
      <formula>AND(E3="ng",LEN(E3)=2)</formula>
    </cfRule>
  </conditionalFormatting>
  <conditionalFormatting sqref="E11:AR56">
    <cfRule type="expression" dxfId="264" priority="1">
      <formula>AND(E11="ng",LEN(E11)=2)</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57"/>
  <sheetViews>
    <sheetView workbookViewId="0">
      <selection activeCell="A2" sqref="A2"/>
    </sheetView>
  </sheetViews>
  <sheetFormatPr baseColWidth="10" defaultRowHeight="15" x14ac:dyDescent="0"/>
  <cols>
    <col min="1" max="1" width="10.7109375" style="50"/>
    <col min="2" max="2" width="15.42578125" style="50" customWidth="1"/>
    <col min="3" max="42" width="3.140625" style="50" customWidth="1"/>
    <col min="43" max="43" width="10.7109375" style="50"/>
    <col min="44" max="44" width="15.42578125" style="50" customWidth="1"/>
    <col min="45" max="55" width="3.140625" style="50" customWidth="1"/>
    <col min="56" max="57" width="3.140625" style="50" hidden="1" customWidth="1"/>
    <col min="58" max="58" width="20.5703125" style="50" hidden="1" customWidth="1"/>
    <col min="59" max="99" width="3.140625" style="50" hidden="1" customWidth="1"/>
    <col min="100" max="16384" width="10.7109375" style="50"/>
  </cols>
  <sheetData>
    <row r="1" spans="1:99" ht="18">
      <c r="A1" s="147" t="s">
        <v>875</v>
      </c>
    </row>
    <row r="2" spans="1:99">
      <c r="A2" s="312" t="str">
        <f>Intro!D46</f>
        <v/>
      </c>
      <c r="H2" s="4" t="str">
        <f ca="1">CONCATENATE(DrawFinder!N4,DrawFinder!N6,DrawFinder!N7,DrawFinder!N8,DrawFinder!N9)</f>
        <v>e</v>
      </c>
    </row>
    <row r="3" spans="1:99">
      <c r="B3" s="10" t="s">
        <v>889</v>
      </c>
      <c r="K3" s="50" t="s">
        <v>887</v>
      </c>
    </row>
    <row r="4" spans="1:99">
      <c r="B4" s="10" t="s">
        <v>877</v>
      </c>
      <c r="C4" s="309"/>
      <c r="G4" s="10" t="s">
        <v>882</v>
      </c>
      <c r="H4" s="5">
        <f ca="1">DrawFinder!P11</f>
        <v>24</v>
      </c>
      <c r="L4" s="50" t="s">
        <v>881</v>
      </c>
    </row>
    <row r="5" spans="1:99">
      <c r="B5" s="10" t="s">
        <v>878</v>
      </c>
      <c r="C5" s="362"/>
      <c r="G5" s="10" t="s">
        <v>883</v>
      </c>
      <c r="H5" s="330">
        <f>DrawFinder!F4</f>
        <v>6</v>
      </c>
      <c r="I5" s="329">
        <v>1</v>
      </c>
      <c r="J5" s="475" t="s">
        <v>1133</v>
      </c>
      <c r="K5" s="50" t="s">
        <v>1258</v>
      </c>
    </row>
    <row r="6" spans="1:99">
      <c r="B6" s="10" t="s">
        <v>879</v>
      </c>
      <c r="C6" s="310"/>
      <c r="G6" s="10" t="s">
        <v>885</v>
      </c>
      <c r="H6" s="5">
        <f ca="1">DrawFinder!Q11</f>
        <v>3</v>
      </c>
      <c r="M6" s="50" t="s">
        <v>890</v>
      </c>
      <c r="BH6" s="16"/>
    </row>
    <row r="7" spans="1:99">
      <c r="B7" s="10" t="s">
        <v>880</v>
      </c>
      <c r="C7" s="311"/>
      <c r="G7" s="10" t="s">
        <v>884</v>
      </c>
      <c r="H7" s="5">
        <f ca="1">DrawFinder!S11</f>
        <v>7</v>
      </c>
      <c r="M7" s="50" t="s">
        <v>888</v>
      </c>
    </row>
    <row r="8" spans="1:99">
      <c r="BB8" s="5">
        <f ca="1">CEILING(AVERAGEIF(AS11:BB56,"&gt;0"),1)</f>
        <v>2</v>
      </c>
    </row>
    <row r="9" spans="1:99">
      <c r="B9" s="4" t="s">
        <v>876</v>
      </c>
      <c r="C9" s="5">
        <v>1</v>
      </c>
      <c r="D9" s="5">
        <v>2</v>
      </c>
      <c r="E9" s="5">
        <v>3</v>
      </c>
      <c r="F9" s="5">
        <v>4</v>
      </c>
      <c r="G9" s="5">
        <v>5</v>
      </c>
      <c r="H9" s="5">
        <v>6</v>
      </c>
      <c r="I9" s="5">
        <v>7</v>
      </c>
      <c r="J9" s="5">
        <v>8</v>
      </c>
      <c r="K9" s="5">
        <v>9</v>
      </c>
      <c r="L9" s="5">
        <v>10</v>
      </c>
      <c r="M9" s="5">
        <v>11</v>
      </c>
      <c r="N9" s="5">
        <v>12</v>
      </c>
      <c r="O9" s="5">
        <v>13</v>
      </c>
      <c r="P9" s="5">
        <v>14</v>
      </c>
      <c r="Q9" s="5">
        <v>15</v>
      </c>
      <c r="R9" s="5">
        <v>16</v>
      </c>
      <c r="S9" s="5">
        <v>17</v>
      </c>
      <c r="T9" s="5">
        <v>18</v>
      </c>
      <c r="U9" s="5">
        <v>19</v>
      </c>
      <c r="V9" s="5">
        <v>20</v>
      </c>
      <c r="W9" s="5">
        <v>21</v>
      </c>
      <c r="X9" s="5">
        <v>22</v>
      </c>
      <c r="Y9" s="5">
        <v>23</v>
      </c>
      <c r="Z9" s="5">
        <v>24</v>
      </c>
      <c r="AA9" s="5">
        <v>25</v>
      </c>
      <c r="AB9" s="5">
        <v>26</v>
      </c>
      <c r="AC9" s="5">
        <v>27</v>
      </c>
      <c r="AD9" s="5">
        <v>28</v>
      </c>
      <c r="AE9" s="5">
        <v>29</v>
      </c>
      <c r="AF9" s="5">
        <v>30</v>
      </c>
      <c r="AG9" s="5">
        <v>31</v>
      </c>
      <c r="AH9" s="5">
        <v>32</v>
      </c>
      <c r="AI9" s="5">
        <v>33</v>
      </c>
      <c r="AJ9" s="5">
        <v>34</v>
      </c>
      <c r="AK9" s="5">
        <v>35</v>
      </c>
      <c r="AL9" s="5">
        <v>36</v>
      </c>
      <c r="AM9" s="5">
        <v>37</v>
      </c>
      <c r="AN9" s="5">
        <v>38</v>
      </c>
      <c r="AO9" s="5">
        <v>39</v>
      </c>
      <c r="AP9" s="5">
        <v>40</v>
      </c>
      <c r="AR9" s="10" t="s">
        <v>886</v>
      </c>
      <c r="AS9" s="5">
        <v>1</v>
      </c>
      <c r="AT9" s="5">
        <v>2</v>
      </c>
      <c r="AU9" s="5">
        <v>3</v>
      </c>
      <c r="AV9" s="5">
        <v>4</v>
      </c>
      <c r="AW9" s="5">
        <v>5</v>
      </c>
      <c r="AX9" s="5">
        <v>6</v>
      </c>
      <c r="AY9" s="5">
        <v>7</v>
      </c>
      <c r="AZ9" s="5">
        <v>8</v>
      </c>
      <c r="BA9" s="5">
        <v>9</v>
      </c>
      <c r="BB9" s="5">
        <v>10</v>
      </c>
      <c r="BH9" s="5">
        <v>1</v>
      </c>
      <c r="BI9" s="5">
        <v>2</v>
      </c>
      <c r="BJ9" s="5">
        <v>3</v>
      </c>
      <c r="BK9" s="5">
        <v>4</v>
      </c>
      <c r="BL9" s="5">
        <v>5</v>
      </c>
      <c r="BM9" s="5">
        <v>6</v>
      </c>
      <c r="BN9" s="5">
        <v>7</v>
      </c>
      <c r="BO9" s="5">
        <v>8</v>
      </c>
      <c r="BP9" s="5">
        <v>9</v>
      </c>
      <c r="BQ9" s="5">
        <v>10</v>
      </c>
      <c r="BR9" s="5">
        <v>11</v>
      </c>
      <c r="BS9" s="5">
        <v>12</v>
      </c>
      <c r="BT9" s="5">
        <v>13</v>
      </c>
      <c r="BU9" s="5">
        <v>14</v>
      </c>
      <c r="BV9" s="5">
        <v>15</v>
      </c>
      <c r="BW9" s="5">
        <v>16</v>
      </c>
      <c r="BX9" s="5">
        <v>17</v>
      </c>
      <c r="BY9" s="5">
        <v>18</v>
      </c>
      <c r="BZ9" s="5">
        <v>19</v>
      </c>
      <c r="CA9" s="5">
        <v>20</v>
      </c>
      <c r="CB9" s="5">
        <v>21</v>
      </c>
      <c r="CC9" s="5">
        <v>22</v>
      </c>
      <c r="CD9" s="5">
        <v>23</v>
      </c>
      <c r="CE9" s="5">
        <v>24</v>
      </c>
      <c r="CF9" s="5">
        <v>25</v>
      </c>
      <c r="CG9" s="5">
        <v>26</v>
      </c>
      <c r="CH9" s="5">
        <v>27</v>
      </c>
      <c r="CI9" s="5">
        <v>28</v>
      </c>
      <c r="CJ9" s="5">
        <v>29</v>
      </c>
      <c r="CK9" s="5">
        <v>30</v>
      </c>
      <c r="CL9" s="5">
        <v>31</v>
      </c>
      <c r="CM9" s="5">
        <v>32</v>
      </c>
      <c r="CN9" s="5">
        <v>33</v>
      </c>
      <c r="CO9" s="5">
        <v>34</v>
      </c>
      <c r="CP9" s="5">
        <v>35</v>
      </c>
      <c r="CQ9" s="5">
        <v>36</v>
      </c>
      <c r="CR9" s="5">
        <v>37</v>
      </c>
      <c r="CS9" s="5">
        <v>38</v>
      </c>
      <c r="CT9" s="5">
        <v>39</v>
      </c>
      <c r="CU9" s="5">
        <v>40</v>
      </c>
    </row>
    <row r="11" spans="1:99">
      <c r="B11" s="4" t="str">
        <f ca="1">CS!AR11</f>
        <v>Tm01</v>
      </c>
      <c r="C11" s="5">
        <f ca="1">IF(ISERROR(VALUE(MID($BF11,(C$9*2)-1,2))),0,VALUE(MID($BF11,(C$9*2)-1,2)))</f>
        <v>3</v>
      </c>
      <c r="D11" s="5">
        <f t="shared" ref="D11:G11" ca="1" si="0">IF(ISERROR(VALUE(MID($BF11,(D$9*2)-1,2))),0,VALUE(MID($BF11,(D$9*2)-1,2)))</f>
        <v>4</v>
      </c>
      <c r="E11" s="5">
        <f t="shared" ca="1" si="0"/>
        <v>6</v>
      </c>
      <c r="F11" s="5">
        <f t="shared" ca="1" si="0"/>
        <v>2</v>
      </c>
      <c r="G11" s="5">
        <f t="shared" ca="1" si="0"/>
        <v>1</v>
      </c>
      <c r="H11" s="5">
        <f t="shared" ref="H11:Y26" ca="1" si="1">IF(ISERROR(VALUE(MID($BF11,(H$9*2)-1,2))),0,VALUE(MID($BF11,(H$9*2)-1,2)))</f>
        <v>5</v>
      </c>
      <c r="I11" s="5">
        <f t="shared" ca="1" si="1"/>
        <v>3</v>
      </c>
      <c r="J11" s="5">
        <f t="shared" ca="1" si="1"/>
        <v>0</v>
      </c>
      <c r="K11" s="5">
        <f t="shared" ca="1" si="1"/>
        <v>0</v>
      </c>
      <c r="L11" s="5">
        <f t="shared" ca="1" si="1"/>
        <v>0</v>
      </c>
      <c r="M11" s="5">
        <f t="shared" ca="1" si="1"/>
        <v>0</v>
      </c>
      <c r="N11" s="5">
        <f t="shared" ca="1" si="1"/>
        <v>0</v>
      </c>
      <c r="O11" s="5">
        <f t="shared" ca="1" si="1"/>
        <v>0</v>
      </c>
      <c r="P11" s="5">
        <f t="shared" ca="1" si="1"/>
        <v>0</v>
      </c>
      <c r="Q11" s="5">
        <f t="shared" ca="1" si="1"/>
        <v>0</v>
      </c>
      <c r="R11" s="5">
        <f t="shared" ca="1" si="1"/>
        <v>0</v>
      </c>
      <c r="S11" s="5">
        <f t="shared" ca="1" si="1"/>
        <v>0</v>
      </c>
      <c r="T11" s="5">
        <f t="shared" ca="1" si="1"/>
        <v>0</v>
      </c>
      <c r="U11" s="5">
        <f t="shared" ca="1" si="1"/>
        <v>0</v>
      </c>
      <c r="V11" s="5">
        <f t="shared" ca="1" si="1"/>
        <v>0</v>
      </c>
      <c r="W11" s="5">
        <f t="shared" ca="1" si="1"/>
        <v>0</v>
      </c>
      <c r="X11" s="5">
        <f t="shared" ref="T11:X26" ca="1" si="2">IF(ISERROR(VALUE(MID($BF11,(X$9*2)-1,2))),0,VALUE(MID($BF11,(X$9*2)-1,2)))</f>
        <v>0</v>
      </c>
      <c r="Y11" s="5">
        <f t="shared" ca="1" si="1"/>
        <v>0</v>
      </c>
      <c r="Z11" s="5">
        <f t="shared" ref="Y11:AN26" ca="1" si="3">IF(ISERROR(VALUE(MID($BF11,(Z$9*2)-1,2))),0,VALUE(MID($BF11,(Z$9*2)-1,2)))</f>
        <v>0</v>
      </c>
      <c r="AA11" s="5">
        <f t="shared" ca="1" si="3"/>
        <v>0</v>
      </c>
      <c r="AB11" s="5">
        <f t="shared" ca="1" si="3"/>
        <v>0</v>
      </c>
      <c r="AC11" s="5">
        <f t="shared" ca="1" si="3"/>
        <v>0</v>
      </c>
      <c r="AD11" s="5">
        <f t="shared" ca="1" si="3"/>
        <v>0</v>
      </c>
      <c r="AE11" s="5">
        <f t="shared" ca="1" si="3"/>
        <v>0</v>
      </c>
      <c r="AF11" s="5">
        <f t="shared" ca="1" si="3"/>
        <v>0</v>
      </c>
      <c r="AG11" s="5">
        <f t="shared" ca="1" si="3"/>
        <v>0</v>
      </c>
      <c r="AH11" s="5">
        <f t="shared" ca="1" si="3"/>
        <v>0</v>
      </c>
      <c r="AI11" s="5">
        <f t="shared" ca="1" si="3"/>
        <v>0</v>
      </c>
      <c r="AJ11" s="5">
        <f t="shared" ca="1" si="3"/>
        <v>0</v>
      </c>
      <c r="AK11" s="5">
        <f t="shared" ca="1" si="3"/>
        <v>0</v>
      </c>
      <c r="AL11" s="5">
        <f t="shared" ca="1" si="3"/>
        <v>0</v>
      </c>
      <c r="AM11" s="5">
        <f t="shared" ca="1" si="3"/>
        <v>0</v>
      </c>
      <c r="AN11" s="5">
        <f t="shared" ca="1" si="3"/>
        <v>0</v>
      </c>
      <c r="AO11" s="5">
        <f t="shared" ref="AN11:AP26" ca="1" si="4">IF(ISERROR(VALUE(MID($BF11,(AO$9*2)-1,2))),0,VALUE(MID($BF11,(AO$9*2)-1,2)))</f>
        <v>0</v>
      </c>
      <c r="AP11" s="5">
        <f t="shared" ca="1" si="4"/>
        <v>0</v>
      </c>
      <c r="AR11" s="4" t="str">
        <f t="shared" ref="AR11:AR56" ca="1" si="5">B11</f>
        <v>Tm01</v>
      </c>
      <c r="AS11" s="339">
        <f t="shared" ref="AS11:BB26" ca="1" si="6">COUNTIF($C11:$AP11,AS$9)</f>
        <v>1</v>
      </c>
      <c r="AT11" s="339">
        <f t="shared" ca="1" si="6"/>
        <v>1</v>
      </c>
      <c r="AU11" s="339">
        <f t="shared" ca="1" si="6"/>
        <v>2</v>
      </c>
      <c r="AV11" s="339">
        <f t="shared" ca="1" si="6"/>
        <v>1</v>
      </c>
      <c r="AW11" s="339">
        <f t="shared" ca="1" si="6"/>
        <v>1</v>
      </c>
      <c r="AX11" s="339">
        <f t="shared" ca="1" si="6"/>
        <v>1</v>
      </c>
      <c r="AY11" s="339">
        <f t="shared" ca="1" si="6"/>
        <v>0</v>
      </c>
      <c r="AZ11" s="339">
        <f t="shared" ca="1" si="6"/>
        <v>0</v>
      </c>
      <c r="BA11" s="339">
        <f t="shared" ca="1" si="6"/>
        <v>0</v>
      </c>
      <c r="BB11" s="339">
        <f t="shared" ca="1" si="6"/>
        <v>0</v>
      </c>
      <c r="BD11" s="63">
        <f>IF(DrawFinder!Y11=0,"",DrawFinder!Y11)</f>
        <v>1</v>
      </c>
      <c r="BF11" s="151" t="str">
        <f ca="1">CU11</f>
        <v>03040602010503</v>
      </c>
      <c r="BH11" s="63" t="str">
        <f ca="1">IF(ISNUMBER(CS!C11)=FALSE,CONCATENATE(BG11,""),CONCATENATE(BG11,IF(ABS(CS!C11)&lt;10,"0",""),ABS(CS!C11)))</f>
        <v>03</v>
      </c>
      <c r="BI11" s="63" t="str">
        <f ca="1">IF(ISNUMBER(CS!D11)=FALSE,CONCATENATE(BH11,""),CONCATENATE(BH11,IF(ABS(CS!D11)&lt;10,"0",""),ABS(CS!D11)))</f>
        <v>03</v>
      </c>
      <c r="BJ11" s="63" t="str">
        <f ca="1">IF(ISNUMBER(CS!E11)=FALSE,CONCATENATE(BI11,""),CONCATENATE(BI11,IF(ABS(CS!E11)&lt;10,"0",""),ABS(CS!E11)))</f>
        <v>03</v>
      </c>
      <c r="BK11" s="63" t="str">
        <f ca="1">IF(ISNUMBER(CS!F11)=FALSE,CONCATENATE(BJ11,""),CONCATENATE(BJ11,IF(ABS(CS!F11)&lt;10,"0",""),ABS(CS!F11)))</f>
        <v>0304</v>
      </c>
      <c r="BL11" s="63" t="str">
        <f ca="1">IF(ISNUMBER(CS!G11)=FALSE,CONCATENATE(BK11,""),CONCATENATE(BK11,IF(ABS(CS!G11)&lt;10,"0",""),ABS(CS!G11)))</f>
        <v>030406</v>
      </c>
      <c r="BM11" s="63" t="str">
        <f ca="1">IF(ISNUMBER(CS!H11)=FALSE,CONCATENATE(BL11,""),CONCATENATE(BL11,IF(ABS(CS!H11)&lt;10,"0",""),ABS(CS!H11)))</f>
        <v>030406</v>
      </c>
      <c r="BN11" s="63" t="str">
        <f ca="1">IF(ISNUMBER(CS!I11)=FALSE,CONCATENATE(BM11,""),CONCATENATE(BM11,IF(ABS(CS!I11)&lt;10,"0",""),ABS(CS!I11)))</f>
        <v>030406</v>
      </c>
      <c r="BO11" s="63" t="str">
        <f ca="1">IF(ISNUMBER(CS!J11)=FALSE,CONCATENATE(BN11,""),CONCATENATE(BN11,IF(ABS(CS!J11)&lt;10,"0",""),ABS(CS!J11)))</f>
        <v>03040602</v>
      </c>
      <c r="BP11" s="63" t="str">
        <f ca="1">IF(ISNUMBER(CS!K11)=FALSE,CONCATENATE(BO11,""),CONCATENATE(BO11,IF(ABS(CS!K11)&lt;10,"0",""),ABS(CS!K11)))</f>
        <v>0304060201</v>
      </c>
      <c r="BQ11" s="63" t="str">
        <f ca="1">IF(ISNUMBER(CS!L11)=FALSE,CONCATENATE(BP11,""),CONCATENATE(BP11,IF(ABS(CS!L11)&lt;10,"0",""),ABS(CS!L11)))</f>
        <v>0304060201</v>
      </c>
      <c r="BR11" s="63" t="str">
        <f ca="1">IF(ISNUMBER(CS!M11)=FALSE,CONCATENATE(BQ11,""),CONCATENATE(BQ11,IF(ABS(CS!M11)&lt;10,"0",""),ABS(CS!M11)))</f>
        <v>0304060201</v>
      </c>
      <c r="BS11" s="63" t="str">
        <f ca="1">IF(ISNUMBER(CS!N11)=FALSE,CONCATENATE(BR11,""),CONCATENATE(BR11,IF(ABS(CS!N11)&lt;10,"0",""),ABS(CS!N11)))</f>
        <v>030406020105</v>
      </c>
      <c r="BT11" s="63" t="str">
        <f ca="1">IF(ISNUMBER(CS!O11)=FALSE,CONCATENATE(BS11,""),CONCATENATE(BS11,IF(ABS(CS!O11)&lt;10,"0",""),ABS(CS!O11)))</f>
        <v>03040602010503</v>
      </c>
      <c r="BU11" s="63" t="str">
        <f ca="1">IF(ISNUMBER(CS!P11)=FALSE,CONCATENATE(BT11,""),CONCATENATE(BT11,IF(ABS(CS!P11)&lt;10,"0",""),ABS(CS!P11)))</f>
        <v>03040602010503</v>
      </c>
      <c r="BV11" s="63" t="str">
        <f ca="1">IF(ISNUMBER(CS!Q11)=FALSE,CONCATENATE(BU11,""),CONCATENATE(BU11,IF(ABS(CS!Q11)&lt;10,"0",""),ABS(CS!Q11)))</f>
        <v>03040602010503</v>
      </c>
      <c r="BW11" s="63" t="str">
        <f ca="1">IF(ISNUMBER(CS!R11)=FALSE,CONCATENATE(BV11,""),CONCATENATE(BV11,IF(ABS(CS!R11)&lt;10,"0",""),ABS(CS!R11)))</f>
        <v>03040602010503</v>
      </c>
      <c r="BX11" s="63" t="str">
        <f ca="1">IF(ISNUMBER(CS!S11)=FALSE,CONCATENATE(BW11,""),CONCATENATE(BW11,IF(ABS(CS!S11)&lt;10,"0",""),ABS(CS!S11)))</f>
        <v>03040602010503</v>
      </c>
      <c r="BY11" s="63" t="str">
        <f ca="1">IF(ISNUMBER(CS!T11)=FALSE,CONCATENATE(BX11,""),CONCATENATE(BX11,IF(ABS(CS!T11)&lt;10,"0",""),ABS(CS!T11)))</f>
        <v>03040602010503</v>
      </c>
      <c r="BZ11" s="63" t="str">
        <f ca="1">IF(ISNUMBER(CS!U11)=FALSE,CONCATENATE(BY11,""),CONCATENATE(BY11,IF(ABS(CS!U11)&lt;10,"0",""),ABS(CS!U11)))</f>
        <v>03040602010503</v>
      </c>
      <c r="CA11" s="63" t="str">
        <f ca="1">IF(ISNUMBER(CS!V11)=FALSE,CONCATENATE(BZ11,""),CONCATENATE(BZ11,IF(ABS(CS!V11)&lt;10,"0",""),ABS(CS!V11)))</f>
        <v>03040602010503</v>
      </c>
      <c r="CB11" s="63" t="str">
        <f ca="1">IF(ISNUMBER(CS!W11)=FALSE,CONCATENATE(CA11,""),CONCATENATE(CA11,IF(ABS(CS!W11)&lt;10,"0",""),ABS(CS!W11)))</f>
        <v>03040602010503</v>
      </c>
      <c r="CC11" s="63" t="str">
        <f ca="1">IF(ISNUMBER(CS!X11)=FALSE,CONCATENATE(CB11,""),CONCATENATE(CB11,IF(ABS(CS!X11)&lt;10,"0",""),ABS(CS!X11)))</f>
        <v>03040602010503</v>
      </c>
      <c r="CD11" s="63" t="str">
        <f ca="1">IF(ISNUMBER(CS!Y11)=FALSE,CONCATENATE(CC11,""),CONCATENATE(CC11,IF(ABS(CS!Y11)&lt;10,"0",""),ABS(CS!Y11)))</f>
        <v>03040602010503</v>
      </c>
      <c r="CE11" s="63" t="str">
        <f ca="1">IF(ISNUMBER(CS!Z11)=FALSE,CONCATENATE(CD11,""),CONCATENATE(CD11,IF(ABS(CS!Z11)&lt;10,"0",""),ABS(CS!Z11)))</f>
        <v>03040602010503</v>
      </c>
      <c r="CF11" s="63" t="str">
        <f ca="1">IF(ISNUMBER(CS!AA11)=FALSE,CONCATENATE(CE11,""),CONCATENATE(CE11,IF(ABS(CS!AA11)&lt;10,"0",""),ABS(CS!AA11)))</f>
        <v>03040602010503</v>
      </c>
      <c r="CG11" s="63" t="str">
        <f ca="1">IF(ISNUMBER(CS!AB11)=FALSE,CONCATENATE(CF11,""),CONCATENATE(CF11,IF(ABS(CS!AB11)&lt;10,"0",""),ABS(CS!AB11)))</f>
        <v>03040602010503</v>
      </c>
      <c r="CH11" s="63" t="str">
        <f ca="1">IF(ISNUMBER(CS!AC11)=FALSE,CONCATENATE(CG11,""),CONCATENATE(CG11,IF(ABS(CS!AC11)&lt;10,"0",""),ABS(CS!AC11)))</f>
        <v>03040602010503</v>
      </c>
      <c r="CI11" s="63" t="str">
        <f ca="1">IF(ISNUMBER(CS!AD11)=FALSE,CONCATENATE(CH11,""),CONCATENATE(CH11,IF(ABS(CS!AD11)&lt;10,"0",""),ABS(CS!AD11)))</f>
        <v>03040602010503</v>
      </c>
      <c r="CJ11" s="63" t="str">
        <f ca="1">IF(ISNUMBER(CS!AE11)=FALSE,CONCATENATE(CI11,""),CONCATENATE(CI11,IF(ABS(CS!AE11)&lt;10,"0",""),ABS(CS!AE11)))</f>
        <v>03040602010503</v>
      </c>
      <c r="CK11" s="63" t="str">
        <f ca="1">IF(ISNUMBER(CS!AF11)=FALSE,CONCATENATE(CJ11,""),CONCATENATE(CJ11,IF(ABS(CS!AF11)&lt;10,"0",""),ABS(CS!AF11)))</f>
        <v>03040602010503</v>
      </c>
      <c r="CL11" s="63" t="str">
        <f ca="1">IF(ISNUMBER(CS!AG11)=FALSE,CONCATENATE(CK11,""),CONCATENATE(CK11,IF(ABS(CS!AG11)&lt;10,"0",""),ABS(CS!AG11)))</f>
        <v>03040602010503</v>
      </c>
      <c r="CM11" s="63" t="str">
        <f ca="1">IF(ISNUMBER(CS!AH11)=FALSE,CONCATENATE(CL11,""),CONCATENATE(CL11,IF(ABS(CS!AH11)&lt;10,"0",""),ABS(CS!AH11)))</f>
        <v>03040602010503</v>
      </c>
      <c r="CN11" s="63" t="str">
        <f ca="1">IF(ISNUMBER(CS!AI11)=FALSE,CONCATENATE(CM11,""),CONCATENATE(CM11,IF(ABS(CS!AI11)&lt;10,"0",""),ABS(CS!AI11)))</f>
        <v>03040602010503</v>
      </c>
      <c r="CO11" s="63" t="str">
        <f ca="1">IF(ISNUMBER(CS!AJ11)=FALSE,CONCATENATE(CN11,""),CONCATENATE(CN11,IF(ABS(CS!AJ11)&lt;10,"0",""),ABS(CS!AJ11)))</f>
        <v>03040602010503</v>
      </c>
      <c r="CP11" s="63" t="str">
        <f ca="1">IF(ISNUMBER(CS!AK11)=FALSE,CONCATENATE(CO11,""),CONCATENATE(CO11,IF(ABS(CS!AK11)&lt;10,"0",""),ABS(CS!AK11)))</f>
        <v>03040602010503</v>
      </c>
      <c r="CQ11" s="63" t="str">
        <f ca="1">IF(ISNUMBER(CS!AL11)=FALSE,CONCATENATE(CP11,""),CONCATENATE(CP11,IF(ABS(CS!AL11)&lt;10,"0",""),ABS(CS!AL11)))</f>
        <v>03040602010503</v>
      </c>
      <c r="CR11" s="63" t="str">
        <f ca="1">IF(ISNUMBER(CS!AM11)=FALSE,CONCATENATE(CQ11,""),CONCATENATE(CQ11,IF(ABS(CS!AM11)&lt;10,"0",""),ABS(CS!AM11)))</f>
        <v>03040602010503</v>
      </c>
      <c r="CS11" s="63" t="str">
        <f ca="1">IF(ISNUMBER(CS!AN11)=FALSE,CONCATENATE(CR11,""),CONCATENATE(CR11,IF(ABS(CS!AN11)&lt;10,"0",""),ABS(CS!AN11)))</f>
        <v>03040602010503</v>
      </c>
      <c r="CT11" s="63" t="str">
        <f ca="1">IF(ISNUMBER(CS!AO11)=FALSE,CONCATENATE(CS11,""),CONCATENATE(CS11,IF(ABS(CS!AO11)&lt;10,"0",""),ABS(CS!AO11)))</f>
        <v>03040602010503</v>
      </c>
      <c r="CU11" s="63" t="str">
        <f ca="1">IF(ISNUMBER(CS!AP11)=FALSE,CONCATENATE(CT11,""),CONCATENATE(CT11,IF(ABS(CS!AP11)&lt;10,"0",""),ABS(CS!AP11)))</f>
        <v>03040602010503</v>
      </c>
    </row>
    <row r="12" spans="1:99">
      <c r="B12" s="4" t="str">
        <f ca="1">CS!AR12</f>
        <v>Tm02</v>
      </c>
      <c r="C12" s="5">
        <f t="shared" ref="C12:C33" ca="1" si="7">IF(ISERROR(VALUE(MID($BF12,(C$9*2)-1,2))),0,VALUE(MID($BF12,(C$9*2)-1,2)))</f>
        <v>4</v>
      </c>
      <c r="D12" s="5">
        <f t="shared" ref="D12:I56" ca="1" si="8">IF(ISERROR(VALUE(MID($BF12,(D$9*2)-1,2))),0,VALUE(MID($BF12,(D$9*2)-1,2)))</f>
        <v>5</v>
      </c>
      <c r="E12" s="5">
        <f t="shared" ca="1" si="8"/>
        <v>1</v>
      </c>
      <c r="F12" s="5">
        <f t="shared" ca="1" si="8"/>
        <v>4</v>
      </c>
      <c r="G12" s="5">
        <f t="shared" ca="1" si="8"/>
        <v>6</v>
      </c>
      <c r="H12" s="5">
        <f t="shared" ca="1" si="8"/>
        <v>2</v>
      </c>
      <c r="I12" s="5">
        <f t="shared" ca="1" si="8"/>
        <v>3</v>
      </c>
      <c r="J12" s="5">
        <f t="shared" ca="1" si="1"/>
        <v>0</v>
      </c>
      <c r="K12" s="5">
        <f t="shared" ca="1" si="1"/>
        <v>0</v>
      </c>
      <c r="L12" s="5">
        <f t="shared" ca="1" si="1"/>
        <v>0</v>
      </c>
      <c r="M12" s="5">
        <f t="shared" ca="1" si="1"/>
        <v>0</v>
      </c>
      <c r="N12" s="5">
        <f t="shared" ca="1" si="1"/>
        <v>0</v>
      </c>
      <c r="O12" s="5">
        <f t="shared" ca="1" si="1"/>
        <v>0</v>
      </c>
      <c r="P12" s="5">
        <f t="shared" ca="1" si="1"/>
        <v>0</v>
      </c>
      <c r="Q12" s="5">
        <f t="shared" ca="1" si="1"/>
        <v>0</v>
      </c>
      <c r="R12" s="5">
        <f t="shared" ca="1" si="1"/>
        <v>0</v>
      </c>
      <c r="S12" s="5">
        <f t="shared" ca="1" si="1"/>
        <v>0</v>
      </c>
      <c r="T12" s="5">
        <f t="shared" ca="1" si="2"/>
        <v>0</v>
      </c>
      <c r="U12" s="5">
        <f t="shared" ca="1" si="2"/>
        <v>0</v>
      </c>
      <c r="V12" s="5">
        <f t="shared" ca="1" si="2"/>
        <v>0</v>
      </c>
      <c r="W12" s="5">
        <f t="shared" ca="1" si="2"/>
        <v>0</v>
      </c>
      <c r="X12" s="5">
        <f t="shared" ca="1" si="2"/>
        <v>0</v>
      </c>
      <c r="Y12" s="5">
        <f t="shared" ca="1" si="3"/>
        <v>0</v>
      </c>
      <c r="Z12" s="5">
        <f t="shared" ca="1" si="3"/>
        <v>0</v>
      </c>
      <c r="AA12" s="5">
        <f t="shared" ca="1" si="3"/>
        <v>0</v>
      </c>
      <c r="AB12" s="5">
        <f t="shared" ca="1" si="3"/>
        <v>0</v>
      </c>
      <c r="AC12" s="5">
        <f t="shared" ca="1" si="3"/>
        <v>0</v>
      </c>
      <c r="AD12" s="5">
        <f t="shared" ca="1" si="3"/>
        <v>0</v>
      </c>
      <c r="AE12" s="5">
        <f t="shared" ca="1" si="3"/>
        <v>0</v>
      </c>
      <c r="AF12" s="5">
        <f t="shared" ca="1" si="3"/>
        <v>0</v>
      </c>
      <c r="AG12" s="5">
        <f t="shared" ca="1" si="3"/>
        <v>0</v>
      </c>
      <c r="AH12" s="5">
        <f t="shared" ca="1" si="3"/>
        <v>0</v>
      </c>
      <c r="AI12" s="5">
        <f t="shared" ca="1" si="3"/>
        <v>0</v>
      </c>
      <c r="AJ12" s="5">
        <f t="shared" ca="1" si="3"/>
        <v>0</v>
      </c>
      <c r="AK12" s="5">
        <f t="shared" ca="1" si="3"/>
        <v>0</v>
      </c>
      <c r="AL12" s="5">
        <f t="shared" ca="1" si="3"/>
        <v>0</v>
      </c>
      <c r="AM12" s="5">
        <f t="shared" ca="1" si="3"/>
        <v>0</v>
      </c>
      <c r="AN12" s="5">
        <f t="shared" ca="1" si="4"/>
        <v>0</v>
      </c>
      <c r="AO12" s="5">
        <f t="shared" ca="1" si="4"/>
        <v>0</v>
      </c>
      <c r="AP12" s="5">
        <f t="shared" ca="1" si="4"/>
        <v>0</v>
      </c>
      <c r="AR12" s="4" t="str">
        <f t="shared" ca="1" si="5"/>
        <v>Tm02</v>
      </c>
      <c r="AS12" s="339">
        <f t="shared" ca="1" si="6"/>
        <v>1</v>
      </c>
      <c r="AT12" s="339">
        <f t="shared" ca="1" si="6"/>
        <v>1</v>
      </c>
      <c r="AU12" s="339">
        <f t="shared" ca="1" si="6"/>
        <v>1</v>
      </c>
      <c r="AV12" s="339">
        <f t="shared" ca="1" si="6"/>
        <v>2</v>
      </c>
      <c r="AW12" s="339">
        <f t="shared" ca="1" si="6"/>
        <v>1</v>
      </c>
      <c r="AX12" s="339">
        <f t="shared" ca="1" si="6"/>
        <v>1</v>
      </c>
      <c r="AY12" s="339">
        <f t="shared" ca="1" si="6"/>
        <v>0</v>
      </c>
      <c r="AZ12" s="339">
        <f t="shared" ca="1" si="6"/>
        <v>0</v>
      </c>
      <c r="BA12" s="339">
        <f t="shared" ca="1" si="6"/>
        <v>0</v>
      </c>
      <c r="BB12" s="339">
        <f t="shared" ca="1" si="6"/>
        <v>0</v>
      </c>
      <c r="BD12" s="63">
        <f>IF(DrawFinder!Y12=0,"",DrawFinder!Y12)</f>
        <v>1</v>
      </c>
      <c r="BF12" s="151" t="str">
        <f t="shared" ref="BF12:BF56" ca="1" si="9">CU12</f>
        <v>04050104060203</v>
      </c>
      <c r="BH12" s="63" t="str">
        <f ca="1">IF(ISNUMBER(CS!C12)=FALSE,CONCATENATE(BG12,""),CONCATENATE(BG12,IF(ABS(CS!C12)&lt;10,"0",""),ABS(CS!C12)))</f>
        <v>04</v>
      </c>
      <c r="BI12" s="63" t="str">
        <f ca="1">IF(ISNUMBER(CS!D12)=FALSE,CONCATENATE(BH12,""),CONCATENATE(BH12,IF(ABS(CS!D12)&lt;10,"0",""),ABS(CS!D12)))</f>
        <v>04</v>
      </c>
      <c r="BJ12" s="63" t="str">
        <f ca="1">IF(ISNUMBER(CS!E12)=FALSE,CONCATENATE(BI12,""),CONCATENATE(BI12,IF(ABS(CS!E12)&lt;10,"0",""),ABS(CS!E12)))</f>
        <v>04</v>
      </c>
      <c r="BK12" s="63" t="str">
        <f ca="1">IF(ISNUMBER(CS!F12)=FALSE,CONCATENATE(BJ12,""),CONCATENATE(BJ12,IF(ABS(CS!F12)&lt;10,"0",""),ABS(CS!F12)))</f>
        <v>0405</v>
      </c>
      <c r="BL12" s="63" t="str">
        <f ca="1">IF(ISNUMBER(CS!G12)=FALSE,CONCATENATE(BK12,""),CONCATENATE(BK12,IF(ABS(CS!G12)&lt;10,"0",""),ABS(CS!G12)))</f>
        <v>040501</v>
      </c>
      <c r="BM12" s="63" t="str">
        <f ca="1">IF(ISNUMBER(CS!H12)=FALSE,CONCATENATE(BL12,""),CONCATENATE(BL12,IF(ABS(CS!H12)&lt;10,"0",""),ABS(CS!H12)))</f>
        <v>040501</v>
      </c>
      <c r="BN12" s="63" t="str">
        <f ca="1">IF(ISNUMBER(CS!I12)=FALSE,CONCATENATE(BM12,""),CONCATENATE(BM12,IF(ABS(CS!I12)&lt;10,"0",""),ABS(CS!I12)))</f>
        <v>040501</v>
      </c>
      <c r="BO12" s="63" t="str">
        <f ca="1">IF(ISNUMBER(CS!J12)=FALSE,CONCATENATE(BN12,""),CONCATENATE(BN12,IF(ABS(CS!J12)&lt;10,"0",""),ABS(CS!J12)))</f>
        <v>04050104</v>
      </c>
      <c r="BP12" s="63" t="str">
        <f ca="1">IF(ISNUMBER(CS!K12)=FALSE,CONCATENATE(BO12,""),CONCATENATE(BO12,IF(ABS(CS!K12)&lt;10,"0",""),ABS(CS!K12)))</f>
        <v>0405010406</v>
      </c>
      <c r="BQ12" s="63" t="str">
        <f ca="1">IF(ISNUMBER(CS!L12)=FALSE,CONCATENATE(BP12,""),CONCATENATE(BP12,IF(ABS(CS!L12)&lt;10,"0",""),ABS(CS!L12)))</f>
        <v>0405010406</v>
      </c>
      <c r="BR12" s="63" t="str">
        <f ca="1">IF(ISNUMBER(CS!M12)=FALSE,CONCATENATE(BQ12,""),CONCATENATE(BQ12,IF(ABS(CS!M12)&lt;10,"0",""),ABS(CS!M12)))</f>
        <v>0405010406</v>
      </c>
      <c r="BS12" s="63" t="str">
        <f ca="1">IF(ISNUMBER(CS!N12)=FALSE,CONCATENATE(BR12,""),CONCATENATE(BR12,IF(ABS(CS!N12)&lt;10,"0",""),ABS(CS!N12)))</f>
        <v>040501040602</v>
      </c>
      <c r="BT12" s="63" t="str">
        <f ca="1">IF(ISNUMBER(CS!O12)=FALSE,CONCATENATE(BS12,""),CONCATENATE(BS12,IF(ABS(CS!O12)&lt;10,"0",""),ABS(CS!O12)))</f>
        <v>04050104060203</v>
      </c>
      <c r="BU12" s="63" t="str">
        <f ca="1">IF(ISNUMBER(CS!P12)=FALSE,CONCATENATE(BT12,""),CONCATENATE(BT12,IF(ABS(CS!P12)&lt;10,"0",""),ABS(CS!P12)))</f>
        <v>04050104060203</v>
      </c>
      <c r="BV12" s="63" t="str">
        <f ca="1">IF(ISNUMBER(CS!Q12)=FALSE,CONCATENATE(BU12,""),CONCATENATE(BU12,IF(ABS(CS!Q12)&lt;10,"0",""),ABS(CS!Q12)))</f>
        <v>04050104060203</v>
      </c>
      <c r="BW12" s="63" t="str">
        <f ca="1">IF(ISNUMBER(CS!R12)=FALSE,CONCATENATE(BV12,""),CONCATENATE(BV12,IF(ABS(CS!R12)&lt;10,"0",""),ABS(CS!R12)))</f>
        <v>04050104060203</v>
      </c>
      <c r="BX12" s="63" t="str">
        <f ca="1">IF(ISNUMBER(CS!S12)=FALSE,CONCATENATE(BW12,""),CONCATENATE(BW12,IF(ABS(CS!S12)&lt;10,"0",""),ABS(CS!S12)))</f>
        <v>04050104060203</v>
      </c>
      <c r="BY12" s="63" t="str">
        <f ca="1">IF(ISNUMBER(CS!T12)=FALSE,CONCATENATE(BX12,""),CONCATENATE(BX12,IF(ABS(CS!T12)&lt;10,"0",""),ABS(CS!T12)))</f>
        <v>04050104060203</v>
      </c>
      <c r="BZ12" s="63" t="str">
        <f ca="1">IF(ISNUMBER(CS!U12)=FALSE,CONCATENATE(BY12,""),CONCATENATE(BY12,IF(ABS(CS!U12)&lt;10,"0",""),ABS(CS!U12)))</f>
        <v>04050104060203</v>
      </c>
      <c r="CA12" s="63" t="str">
        <f ca="1">IF(ISNUMBER(CS!V12)=FALSE,CONCATENATE(BZ12,""),CONCATENATE(BZ12,IF(ABS(CS!V12)&lt;10,"0",""),ABS(CS!V12)))</f>
        <v>04050104060203</v>
      </c>
      <c r="CB12" s="63" t="str">
        <f ca="1">IF(ISNUMBER(CS!W12)=FALSE,CONCATENATE(CA12,""),CONCATENATE(CA12,IF(ABS(CS!W12)&lt;10,"0",""),ABS(CS!W12)))</f>
        <v>04050104060203</v>
      </c>
      <c r="CC12" s="63" t="str">
        <f ca="1">IF(ISNUMBER(CS!X12)=FALSE,CONCATENATE(CB12,""),CONCATENATE(CB12,IF(ABS(CS!X12)&lt;10,"0",""),ABS(CS!X12)))</f>
        <v>04050104060203</v>
      </c>
      <c r="CD12" s="63" t="str">
        <f ca="1">IF(ISNUMBER(CS!Y12)=FALSE,CONCATENATE(CC12,""),CONCATENATE(CC12,IF(ABS(CS!Y12)&lt;10,"0",""),ABS(CS!Y12)))</f>
        <v>04050104060203</v>
      </c>
      <c r="CE12" s="63" t="str">
        <f ca="1">IF(ISNUMBER(CS!Z12)=FALSE,CONCATENATE(CD12,""),CONCATENATE(CD12,IF(ABS(CS!Z12)&lt;10,"0",""),ABS(CS!Z12)))</f>
        <v>04050104060203</v>
      </c>
      <c r="CF12" s="63" t="str">
        <f ca="1">IF(ISNUMBER(CS!AA12)=FALSE,CONCATENATE(CE12,""),CONCATENATE(CE12,IF(ABS(CS!AA12)&lt;10,"0",""),ABS(CS!AA12)))</f>
        <v>04050104060203</v>
      </c>
      <c r="CG12" s="63" t="str">
        <f ca="1">IF(ISNUMBER(CS!AB12)=FALSE,CONCATENATE(CF12,""),CONCATENATE(CF12,IF(ABS(CS!AB12)&lt;10,"0",""),ABS(CS!AB12)))</f>
        <v>04050104060203</v>
      </c>
      <c r="CH12" s="63" t="str">
        <f ca="1">IF(ISNUMBER(CS!AC12)=FALSE,CONCATENATE(CG12,""),CONCATENATE(CG12,IF(ABS(CS!AC12)&lt;10,"0",""),ABS(CS!AC12)))</f>
        <v>04050104060203</v>
      </c>
      <c r="CI12" s="63" t="str">
        <f ca="1">IF(ISNUMBER(CS!AD12)=FALSE,CONCATENATE(CH12,""),CONCATENATE(CH12,IF(ABS(CS!AD12)&lt;10,"0",""),ABS(CS!AD12)))</f>
        <v>04050104060203</v>
      </c>
      <c r="CJ12" s="63" t="str">
        <f ca="1">IF(ISNUMBER(CS!AE12)=FALSE,CONCATENATE(CI12,""),CONCATENATE(CI12,IF(ABS(CS!AE12)&lt;10,"0",""),ABS(CS!AE12)))</f>
        <v>04050104060203</v>
      </c>
      <c r="CK12" s="63" t="str">
        <f ca="1">IF(ISNUMBER(CS!AF12)=FALSE,CONCATENATE(CJ12,""),CONCATENATE(CJ12,IF(ABS(CS!AF12)&lt;10,"0",""),ABS(CS!AF12)))</f>
        <v>04050104060203</v>
      </c>
      <c r="CL12" s="63" t="str">
        <f ca="1">IF(ISNUMBER(CS!AG12)=FALSE,CONCATENATE(CK12,""),CONCATENATE(CK12,IF(ABS(CS!AG12)&lt;10,"0",""),ABS(CS!AG12)))</f>
        <v>04050104060203</v>
      </c>
      <c r="CM12" s="63" t="str">
        <f ca="1">IF(ISNUMBER(CS!AH12)=FALSE,CONCATENATE(CL12,""),CONCATENATE(CL12,IF(ABS(CS!AH12)&lt;10,"0",""),ABS(CS!AH12)))</f>
        <v>04050104060203</v>
      </c>
      <c r="CN12" s="63" t="str">
        <f ca="1">IF(ISNUMBER(CS!AI12)=FALSE,CONCATENATE(CM12,""),CONCATENATE(CM12,IF(ABS(CS!AI12)&lt;10,"0",""),ABS(CS!AI12)))</f>
        <v>04050104060203</v>
      </c>
      <c r="CO12" s="63" t="str">
        <f ca="1">IF(ISNUMBER(CS!AJ12)=FALSE,CONCATENATE(CN12,""),CONCATENATE(CN12,IF(ABS(CS!AJ12)&lt;10,"0",""),ABS(CS!AJ12)))</f>
        <v>04050104060203</v>
      </c>
      <c r="CP12" s="63" t="str">
        <f ca="1">IF(ISNUMBER(CS!AK12)=FALSE,CONCATENATE(CO12,""),CONCATENATE(CO12,IF(ABS(CS!AK12)&lt;10,"0",""),ABS(CS!AK12)))</f>
        <v>04050104060203</v>
      </c>
      <c r="CQ12" s="63" t="str">
        <f ca="1">IF(ISNUMBER(CS!AL12)=FALSE,CONCATENATE(CP12,""),CONCATENATE(CP12,IF(ABS(CS!AL12)&lt;10,"0",""),ABS(CS!AL12)))</f>
        <v>04050104060203</v>
      </c>
      <c r="CR12" s="63" t="str">
        <f ca="1">IF(ISNUMBER(CS!AM12)=FALSE,CONCATENATE(CQ12,""),CONCATENATE(CQ12,IF(ABS(CS!AM12)&lt;10,"0",""),ABS(CS!AM12)))</f>
        <v>04050104060203</v>
      </c>
      <c r="CS12" s="63" t="str">
        <f ca="1">IF(ISNUMBER(CS!AN12)=FALSE,CONCATENATE(CR12,""),CONCATENATE(CR12,IF(ABS(CS!AN12)&lt;10,"0",""),ABS(CS!AN12)))</f>
        <v>04050104060203</v>
      </c>
      <c r="CT12" s="63" t="str">
        <f ca="1">IF(ISNUMBER(CS!AO12)=FALSE,CONCATENATE(CS12,""),CONCATENATE(CS12,IF(ABS(CS!AO12)&lt;10,"0",""),ABS(CS!AO12)))</f>
        <v>04050104060203</v>
      </c>
      <c r="CU12" s="63" t="str">
        <f ca="1">IF(ISNUMBER(CS!AP12)=FALSE,CONCATENATE(CT12,""),CONCATENATE(CT12,IF(ABS(CS!AP12)&lt;10,"0",""),ABS(CS!AP12)))</f>
        <v>04050104060203</v>
      </c>
    </row>
    <row r="13" spans="1:99">
      <c r="B13" s="4" t="str">
        <f ca="1">CS!AR13</f>
        <v>Tm03</v>
      </c>
      <c r="C13" s="5">
        <f t="shared" ca="1" si="7"/>
        <v>5</v>
      </c>
      <c r="D13" s="5">
        <f t="shared" ca="1" si="8"/>
        <v>1</v>
      </c>
      <c r="E13" s="5">
        <f t="shared" ca="1" si="8"/>
        <v>2</v>
      </c>
      <c r="F13" s="5">
        <f t="shared" ca="1" si="8"/>
        <v>3</v>
      </c>
      <c r="G13" s="5">
        <f t="shared" ca="1" si="8"/>
        <v>6</v>
      </c>
      <c r="H13" s="5">
        <f t="shared" ca="1" si="8"/>
        <v>5</v>
      </c>
      <c r="I13" s="5">
        <f t="shared" ca="1" si="8"/>
        <v>4</v>
      </c>
      <c r="J13" s="5">
        <f t="shared" ca="1" si="1"/>
        <v>0</v>
      </c>
      <c r="K13" s="5">
        <f t="shared" ca="1" si="1"/>
        <v>0</v>
      </c>
      <c r="L13" s="5">
        <f t="shared" ca="1" si="1"/>
        <v>0</v>
      </c>
      <c r="M13" s="5">
        <f t="shared" ca="1" si="1"/>
        <v>0</v>
      </c>
      <c r="N13" s="5">
        <f t="shared" ca="1" si="1"/>
        <v>0</v>
      </c>
      <c r="O13" s="5">
        <f t="shared" ca="1" si="1"/>
        <v>0</v>
      </c>
      <c r="P13" s="5">
        <f t="shared" ca="1" si="1"/>
        <v>0</v>
      </c>
      <c r="Q13" s="5">
        <f t="shared" ca="1" si="1"/>
        <v>0</v>
      </c>
      <c r="R13" s="5">
        <f t="shared" ca="1" si="1"/>
        <v>0</v>
      </c>
      <c r="S13" s="5">
        <f t="shared" ca="1" si="1"/>
        <v>0</v>
      </c>
      <c r="T13" s="5">
        <f t="shared" ca="1" si="2"/>
        <v>0</v>
      </c>
      <c r="U13" s="5">
        <f t="shared" ca="1" si="2"/>
        <v>0</v>
      </c>
      <c r="V13" s="5">
        <f t="shared" ca="1" si="2"/>
        <v>0</v>
      </c>
      <c r="W13" s="5">
        <f t="shared" ca="1" si="2"/>
        <v>0</v>
      </c>
      <c r="X13" s="5">
        <f t="shared" ca="1" si="2"/>
        <v>0</v>
      </c>
      <c r="Y13" s="5">
        <f t="shared" ca="1" si="3"/>
        <v>0</v>
      </c>
      <c r="Z13" s="5">
        <f t="shared" ca="1" si="3"/>
        <v>0</v>
      </c>
      <c r="AA13" s="5">
        <f t="shared" ca="1" si="3"/>
        <v>0</v>
      </c>
      <c r="AB13" s="5">
        <f t="shared" ca="1" si="3"/>
        <v>0</v>
      </c>
      <c r="AC13" s="5">
        <f t="shared" ca="1" si="3"/>
        <v>0</v>
      </c>
      <c r="AD13" s="5">
        <f t="shared" ca="1" si="3"/>
        <v>0</v>
      </c>
      <c r="AE13" s="5">
        <f t="shared" ca="1" si="3"/>
        <v>0</v>
      </c>
      <c r="AF13" s="5">
        <f t="shared" ca="1" si="3"/>
        <v>0</v>
      </c>
      <c r="AG13" s="5">
        <f t="shared" ca="1" si="3"/>
        <v>0</v>
      </c>
      <c r="AH13" s="5">
        <f t="shared" ca="1" si="3"/>
        <v>0</v>
      </c>
      <c r="AI13" s="5">
        <f t="shared" ca="1" si="3"/>
        <v>0</v>
      </c>
      <c r="AJ13" s="5">
        <f t="shared" ca="1" si="3"/>
        <v>0</v>
      </c>
      <c r="AK13" s="5">
        <f t="shared" ca="1" si="3"/>
        <v>0</v>
      </c>
      <c r="AL13" s="5">
        <f t="shared" ca="1" si="3"/>
        <v>0</v>
      </c>
      <c r="AM13" s="5">
        <f t="shared" ca="1" si="3"/>
        <v>0</v>
      </c>
      <c r="AN13" s="5">
        <f t="shared" ca="1" si="4"/>
        <v>0</v>
      </c>
      <c r="AO13" s="5">
        <f t="shared" ca="1" si="4"/>
        <v>0</v>
      </c>
      <c r="AP13" s="5">
        <f t="shared" ca="1" si="4"/>
        <v>0</v>
      </c>
      <c r="AR13" s="4" t="str">
        <f t="shared" ca="1" si="5"/>
        <v>Tm03</v>
      </c>
      <c r="AS13" s="339">
        <f t="shared" ca="1" si="6"/>
        <v>1</v>
      </c>
      <c r="AT13" s="339">
        <f t="shared" ca="1" si="6"/>
        <v>1</v>
      </c>
      <c r="AU13" s="339">
        <f t="shared" ca="1" si="6"/>
        <v>1</v>
      </c>
      <c r="AV13" s="339">
        <f t="shared" ca="1" si="6"/>
        <v>1</v>
      </c>
      <c r="AW13" s="339">
        <f t="shared" ca="1" si="6"/>
        <v>2</v>
      </c>
      <c r="AX13" s="339">
        <f t="shared" ca="1" si="6"/>
        <v>1</v>
      </c>
      <c r="AY13" s="339">
        <f t="shared" ca="1" si="6"/>
        <v>0</v>
      </c>
      <c r="AZ13" s="339">
        <f t="shared" ca="1" si="6"/>
        <v>0</v>
      </c>
      <c r="BA13" s="339">
        <f t="shared" ca="1" si="6"/>
        <v>0</v>
      </c>
      <c r="BB13" s="339">
        <f t="shared" ca="1" si="6"/>
        <v>0</v>
      </c>
      <c r="BD13" s="63">
        <f>IF(DrawFinder!Y13=0,"",DrawFinder!Y13)</f>
        <v>1</v>
      </c>
      <c r="BF13" s="151" t="str">
        <f t="shared" ca="1" si="9"/>
        <v>05010203060504</v>
      </c>
      <c r="BH13" s="63" t="str">
        <f ca="1">IF(ISNUMBER(CS!C13)=FALSE,CONCATENATE(BG13,""),CONCATENATE(BG13,IF(ABS(CS!C13)&lt;10,"0",""),ABS(CS!C13)))</f>
        <v>05</v>
      </c>
      <c r="BI13" s="63" t="str">
        <f ca="1">IF(ISNUMBER(CS!D13)=FALSE,CONCATENATE(BH13,""),CONCATENATE(BH13,IF(ABS(CS!D13)&lt;10,"0",""),ABS(CS!D13)))</f>
        <v>05</v>
      </c>
      <c r="BJ13" s="63" t="str">
        <f ca="1">IF(ISNUMBER(CS!E13)=FALSE,CONCATENATE(BI13,""),CONCATENATE(BI13,IF(ABS(CS!E13)&lt;10,"0",""),ABS(CS!E13)))</f>
        <v>05</v>
      </c>
      <c r="BK13" s="63" t="str">
        <f ca="1">IF(ISNUMBER(CS!F13)=FALSE,CONCATENATE(BJ13,""),CONCATENATE(BJ13,IF(ABS(CS!F13)&lt;10,"0",""),ABS(CS!F13)))</f>
        <v>0501</v>
      </c>
      <c r="BL13" s="63" t="str">
        <f ca="1">IF(ISNUMBER(CS!G13)=FALSE,CONCATENATE(BK13,""),CONCATENATE(BK13,IF(ABS(CS!G13)&lt;10,"0",""),ABS(CS!G13)))</f>
        <v>050102</v>
      </c>
      <c r="BM13" s="63" t="str">
        <f ca="1">IF(ISNUMBER(CS!H13)=FALSE,CONCATENATE(BL13,""),CONCATENATE(BL13,IF(ABS(CS!H13)&lt;10,"0",""),ABS(CS!H13)))</f>
        <v>050102</v>
      </c>
      <c r="BN13" s="63" t="str">
        <f ca="1">IF(ISNUMBER(CS!I13)=FALSE,CONCATENATE(BM13,""),CONCATENATE(BM13,IF(ABS(CS!I13)&lt;10,"0",""),ABS(CS!I13)))</f>
        <v>050102</v>
      </c>
      <c r="BO13" s="63" t="str">
        <f ca="1">IF(ISNUMBER(CS!J13)=FALSE,CONCATENATE(BN13,""),CONCATENATE(BN13,IF(ABS(CS!J13)&lt;10,"0",""),ABS(CS!J13)))</f>
        <v>05010203</v>
      </c>
      <c r="BP13" s="63" t="str">
        <f ca="1">IF(ISNUMBER(CS!K13)=FALSE,CONCATENATE(BO13,""),CONCATENATE(BO13,IF(ABS(CS!K13)&lt;10,"0",""),ABS(CS!K13)))</f>
        <v>0501020306</v>
      </c>
      <c r="BQ13" s="63" t="str">
        <f ca="1">IF(ISNUMBER(CS!L13)=FALSE,CONCATENATE(BP13,""),CONCATENATE(BP13,IF(ABS(CS!L13)&lt;10,"0",""),ABS(CS!L13)))</f>
        <v>0501020306</v>
      </c>
      <c r="BR13" s="63" t="str">
        <f ca="1">IF(ISNUMBER(CS!M13)=FALSE,CONCATENATE(BQ13,""),CONCATENATE(BQ13,IF(ABS(CS!M13)&lt;10,"0",""),ABS(CS!M13)))</f>
        <v>0501020306</v>
      </c>
      <c r="BS13" s="63" t="str">
        <f ca="1">IF(ISNUMBER(CS!N13)=FALSE,CONCATENATE(BR13,""),CONCATENATE(BR13,IF(ABS(CS!N13)&lt;10,"0",""),ABS(CS!N13)))</f>
        <v>050102030605</v>
      </c>
      <c r="BT13" s="63" t="str">
        <f ca="1">IF(ISNUMBER(CS!O13)=FALSE,CONCATENATE(BS13,""),CONCATENATE(BS13,IF(ABS(CS!O13)&lt;10,"0",""),ABS(CS!O13)))</f>
        <v>05010203060504</v>
      </c>
      <c r="BU13" s="63" t="str">
        <f ca="1">IF(ISNUMBER(CS!P13)=FALSE,CONCATENATE(BT13,""),CONCATENATE(BT13,IF(ABS(CS!P13)&lt;10,"0",""),ABS(CS!P13)))</f>
        <v>05010203060504</v>
      </c>
      <c r="BV13" s="63" t="str">
        <f ca="1">IF(ISNUMBER(CS!Q13)=FALSE,CONCATENATE(BU13,""),CONCATENATE(BU13,IF(ABS(CS!Q13)&lt;10,"0",""),ABS(CS!Q13)))</f>
        <v>05010203060504</v>
      </c>
      <c r="BW13" s="63" t="str">
        <f ca="1">IF(ISNUMBER(CS!R13)=FALSE,CONCATENATE(BV13,""),CONCATENATE(BV13,IF(ABS(CS!R13)&lt;10,"0",""),ABS(CS!R13)))</f>
        <v>05010203060504</v>
      </c>
      <c r="BX13" s="63" t="str">
        <f ca="1">IF(ISNUMBER(CS!S13)=FALSE,CONCATENATE(BW13,""),CONCATENATE(BW13,IF(ABS(CS!S13)&lt;10,"0",""),ABS(CS!S13)))</f>
        <v>05010203060504</v>
      </c>
      <c r="BY13" s="63" t="str">
        <f ca="1">IF(ISNUMBER(CS!T13)=FALSE,CONCATENATE(BX13,""),CONCATENATE(BX13,IF(ABS(CS!T13)&lt;10,"0",""),ABS(CS!T13)))</f>
        <v>05010203060504</v>
      </c>
      <c r="BZ13" s="63" t="str">
        <f ca="1">IF(ISNUMBER(CS!U13)=FALSE,CONCATENATE(BY13,""),CONCATENATE(BY13,IF(ABS(CS!U13)&lt;10,"0",""),ABS(CS!U13)))</f>
        <v>05010203060504</v>
      </c>
      <c r="CA13" s="63" t="str">
        <f ca="1">IF(ISNUMBER(CS!V13)=FALSE,CONCATENATE(BZ13,""),CONCATENATE(BZ13,IF(ABS(CS!V13)&lt;10,"0",""),ABS(CS!V13)))</f>
        <v>05010203060504</v>
      </c>
      <c r="CB13" s="63" t="str">
        <f ca="1">IF(ISNUMBER(CS!W13)=FALSE,CONCATENATE(CA13,""),CONCATENATE(CA13,IF(ABS(CS!W13)&lt;10,"0",""),ABS(CS!W13)))</f>
        <v>05010203060504</v>
      </c>
      <c r="CC13" s="63" t="str">
        <f ca="1">IF(ISNUMBER(CS!X13)=FALSE,CONCATENATE(CB13,""),CONCATENATE(CB13,IF(ABS(CS!X13)&lt;10,"0",""),ABS(CS!X13)))</f>
        <v>05010203060504</v>
      </c>
      <c r="CD13" s="63" t="str">
        <f ca="1">IF(ISNUMBER(CS!Y13)=FALSE,CONCATENATE(CC13,""),CONCATENATE(CC13,IF(ABS(CS!Y13)&lt;10,"0",""),ABS(CS!Y13)))</f>
        <v>05010203060504</v>
      </c>
      <c r="CE13" s="63" t="str">
        <f ca="1">IF(ISNUMBER(CS!Z13)=FALSE,CONCATENATE(CD13,""),CONCATENATE(CD13,IF(ABS(CS!Z13)&lt;10,"0",""),ABS(CS!Z13)))</f>
        <v>05010203060504</v>
      </c>
      <c r="CF13" s="63" t="str">
        <f ca="1">IF(ISNUMBER(CS!AA13)=FALSE,CONCATENATE(CE13,""),CONCATENATE(CE13,IF(ABS(CS!AA13)&lt;10,"0",""),ABS(CS!AA13)))</f>
        <v>05010203060504</v>
      </c>
      <c r="CG13" s="63" t="str">
        <f ca="1">IF(ISNUMBER(CS!AB13)=FALSE,CONCATENATE(CF13,""),CONCATENATE(CF13,IF(ABS(CS!AB13)&lt;10,"0",""),ABS(CS!AB13)))</f>
        <v>05010203060504</v>
      </c>
      <c r="CH13" s="63" t="str">
        <f ca="1">IF(ISNUMBER(CS!AC13)=FALSE,CONCATENATE(CG13,""),CONCATENATE(CG13,IF(ABS(CS!AC13)&lt;10,"0",""),ABS(CS!AC13)))</f>
        <v>05010203060504</v>
      </c>
      <c r="CI13" s="63" t="str">
        <f ca="1">IF(ISNUMBER(CS!AD13)=FALSE,CONCATENATE(CH13,""),CONCATENATE(CH13,IF(ABS(CS!AD13)&lt;10,"0",""),ABS(CS!AD13)))</f>
        <v>05010203060504</v>
      </c>
      <c r="CJ13" s="63" t="str">
        <f ca="1">IF(ISNUMBER(CS!AE13)=FALSE,CONCATENATE(CI13,""),CONCATENATE(CI13,IF(ABS(CS!AE13)&lt;10,"0",""),ABS(CS!AE13)))</f>
        <v>05010203060504</v>
      </c>
      <c r="CK13" s="63" t="str">
        <f ca="1">IF(ISNUMBER(CS!AF13)=FALSE,CONCATENATE(CJ13,""),CONCATENATE(CJ13,IF(ABS(CS!AF13)&lt;10,"0",""),ABS(CS!AF13)))</f>
        <v>05010203060504</v>
      </c>
      <c r="CL13" s="63" t="str">
        <f ca="1">IF(ISNUMBER(CS!AG13)=FALSE,CONCATENATE(CK13,""),CONCATENATE(CK13,IF(ABS(CS!AG13)&lt;10,"0",""),ABS(CS!AG13)))</f>
        <v>05010203060504</v>
      </c>
      <c r="CM13" s="63" t="str">
        <f ca="1">IF(ISNUMBER(CS!AH13)=FALSE,CONCATENATE(CL13,""),CONCATENATE(CL13,IF(ABS(CS!AH13)&lt;10,"0",""),ABS(CS!AH13)))</f>
        <v>05010203060504</v>
      </c>
      <c r="CN13" s="63" t="str">
        <f ca="1">IF(ISNUMBER(CS!AI13)=FALSE,CONCATENATE(CM13,""),CONCATENATE(CM13,IF(ABS(CS!AI13)&lt;10,"0",""),ABS(CS!AI13)))</f>
        <v>05010203060504</v>
      </c>
      <c r="CO13" s="63" t="str">
        <f ca="1">IF(ISNUMBER(CS!AJ13)=FALSE,CONCATENATE(CN13,""),CONCATENATE(CN13,IF(ABS(CS!AJ13)&lt;10,"0",""),ABS(CS!AJ13)))</f>
        <v>05010203060504</v>
      </c>
      <c r="CP13" s="63" t="str">
        <f ca="1">IF(ISNUMBER(CS!AK13)=FALSE,CONCATENATE(CO13,""),CONCATENATE(CO13,IF(ABS(CS!AK13)&lt;10,"0",""),ABS(CS!AK13)))</f>
        <v>05010203060504</v>
      </c>
      <c r="CQ13" s="63" t="str">
        <f ca="1">IF(ISNUMBER(CS!AL13)=FALSE,CONCATENATE(CP13,""),CONCATENATE(CP13,IF(ABS(CS!AL13)&lt;10,"0",""),ABS(CS!AL13)))</f>
        <v>05010203060504</v>
      </c>
      <c r="CR13" s="63" t="str">
        <f ca="1">IF(ISNUMBER(CS!AM13)=FALSE,CONCATENATE(CQ13,""),CONCATENATE(CQ13,IF(ABS(CS!AM13)&lt;10,"0",""),ABS(CS!AM13)))</f>
        <v>05010203060504</v>
      </c>
      <c r="CS13" s="63" t="str">
        <f ca="1">IF(ISNUMBER(CS!AN13)=FALSE,CONCATENATE(CR13,""),CONCATENATE(CR13,IF(ABS(CS!AN13)&lt;10,"0",""),ABS(CS!AN13)))</f>
        <v>05010203060504</v>
      </c>
      <c r="CT13" s="63" t="str">
        <f ca="1">IF(ISNUMBER(CS!AO13)=FALSE,CONCATENATE(CS13,""),CONCATENATE(CS13,IF(ABS(CS!AO13)&lt;10,"0",""),ABS(CS!AO13)))</f>
        <v>05010203060504</v>
      </c>
      <c r="CU13" s="63" t="str">
        <f ca="1">IF(ISNUMBER(CS!AP13)=FALSE,CONCATENATE(CT13,""),CONCATENATE(CT13,IF(ABS(CS!AP13)&lt;10,"0",""),ABS(CS!AP13)))</f>
        <v>05010203060504</v>
      </c>
    </row>
    <row r="14" spans="1:99">
      <c r="B14" s="4" t="str">
        <f ca="1">CS!AR14</f>
        <v>Tm04</v>
      </c>
      <c r="C14" s="5">
        <f t="shared" ca="1" si="7"/>
        <v>2</v>
      </c>
      <c r="D14" s="5">
        <f t="shared" ca="1" si="8"/>
        <v>6</v>
      </c>
      <c r="E14" s="5">
        <f t="shared" ca="1" si="8"/>
        <v>3</v>
      </c>
      <c r="F14" s="5">
        <f t="shared" ca="1" si="8"/>
        <v>5</v>
      </c>
      <c r="G14" s="5">
        <f t="shared" ca="1" si="8"/>
        <v>1</v>
      </c>
      <c r="H14" s="5">
        <f t="shared" ca="1" si="8"/>
        <v>2</v>
      </c>
      <c r="I14" s="5">
        <f t="shared" ca="1" si="8"/>
        <v>4</v>
      </c>
      <c r="J14" s="5">
        <f t="shared" ca="1" si="1"/>
        <v>0</v>
      </c>
      <c r="K14" s="5">
        <f t="shared" ca="1" si="1"/>
        <v>0</v>
      </c>
      <c r="L14" s="5">
        <f t="shared" ca="1" si="1"/>
        <v>0</v>
      </c>
      <c r="M14" s="5">
        <f t="shared" ca="1" si="1"/>
        <v>0</v>
      </c>
      <c r="N14" s="5">
        <f t="shared" ca="1" si="1"/>
        <v>0</v>
      </c>
      <c r="O14" s="5">
        <f t="shared" ca="1" si="1"/>
        <v>0</v>
      </c>
      <c r="P14" s="5">
        <f t="shared" ca="1" si="1"/>
        <v>0</v>
      </c>
      <c r="Q14" s="5">
        <f t="shared" ca="1" si="1"/>
        <v>0</v>
      </c>
      <c r="R14" s="5">
        <f t="shared" ca="1" si="1"/>
        <v>0</v>
      </c>
      <c r="S14" s="5">
        <f t="shared" ca="1" si="1"/>
        <v>0</v>
      </c>
      <c r="T14" s="5">
        <f t="shared" ca="1" si="2"/>
        <v>0</v>
      </c>
      <c r="U14" s="5">
        <f t="shared" ca="1" si="2"/>
        <v>0</v>
      </c>
      <c r="V14" s="5">
        <f t="shared" ca="1" si="2"/>
        <v>0</v>
      </c>
      <c r="W14" s="5">
        <f t="shared" ca="1" si="2"/>
        <v>0</v>
      </c>
      <c r="X14" s="5">
        <f t="shared" ca="1" si="2"/>
        <v>0</v>
      </c>
      <c r="Y14" s="5">
        <f t="shared" ca="1" si="3"/>
        <v>0</v>
      </c>
      <c r="Z14" s="5">
        <f t="shared" ca="1" si="3"/>
        <v>0</v>
      </c>
      <c r="AA14" s="5">
        <f t="shared" ca="1" si="3"/>
        <v>0</v>
      </c>
      <c r="AB14" s="5">
        <f t="shared" ca="1" si="3"/>
        <v>0</v>
      </c>
      <c r="AC14" s="5">
        <f t="shared" ca="1" si="3"/>
        <v>0</v>
      </c>
      <c r="AD14" s="5">
        <f t="shared" ca="1" si="3"/>
        <v>0</v>
      </c>
      <c r="AE14" s="5">
        <f t="shared" ca="1" si="3"/>
        <v>0</v>
      </c>
      <c r="AF14" s="5">
        <f t="shared" ca="1" si="3"/>
        <v>0</v>
      </c>
      <c r="AG14" s="5">
        <f t="shared" ca="1" si="3"/>
        <v>0</v>
      </c>
      <c r="AH14" s="5">
        <f t="shared" ca="1" si="3"/>
        <v>0</v>
      </c>
      <c r="AI14" s="5">
        <f t="shared" ca="1" si="3"/>
        <v>0</v>
      </c>
      <c r="AJ14" s="5">
        <f t="shared" ca="1" si="3"/>
        <v>0</v>
      </c>
      <c r="AK14" s="5">
        <f t="shared" ca="1" si="3"/>
        <v>0</v>
      </c>
      <c r="AL14" s="5">
        <f t="shared" ca="1" si="3"/>
        <v>0</v>
      </c>
      <c r="AM14" s="5">
        <f t="shared" ca="1" si="3"/>
        <v>0</v>
      </c>
      <c r="AN14" s="5">
        <f t="shared" ca="1" si="4"/>
        <v>0</v>
      </c>
      <c r="AO14" s="5">
        <f t="shared" ca="1" si="4"/>
        <v>0</v>
      </c>
      <c r="AP14" s="5">
        <f t="shared" ca="1" si="4"/>
        <v>0</v>
      </c>
      <c r="AR14" s="4" t="str">
        <f t="shared" ca="1" si="5"/>
        <v>Tm04</v>
      </c>
      <c r="AS14" s="339">
        <f t="shared" ca="1" si="6"/>
        <v>1</v>
      </c>
      <c r="AT14" s="339">
        <f t="shared" ca="1" si="6"/>
        <v>2</v>
      </c>
      <c r="AU14" s="339">
        <f t="shared" ca="1" si="6"/>
        <v>1</v>
      </c>
      <c r="AV14" s="339">
        <f t="shared" ca="1" si="6"/>
        <v>1</v>
      </c>
      <c r="AW14" s="339">
        <f t="shared" ca="1" si="6"/>
        <v>1</v>
      </c>
      <c r="AX14" s="339">
        <f t="shared" ca="1" si="6"/>
        <v>1</v>
      </c>
      <c r="AY14" s="339">
        <f t="shared" ca="1" si="6"/>
        <v>0</v>
      </c>
      <c r="AZ14" s="339">
        <f t="shared" ca="1" si="6"/>
        <v>0</v>
      </c>
      <c r="BA14" s="339">
        <f t="shared" ca="1" si="6"/>
        <v>0</v>
      </c>
      <c r="BB14" s="339">
        <f t="shared" ca="1" si="6"/>
        <v>0</v>
      </c>
      <c r="BD14" s="63">
        <f>IF(DrawFinder!Y14=0,"",DrawFinder!Y14)</f>
        <v>1</v>
      </c>
      <c r="BF14" s="151" t="str">
        <f t="shared" ca="1" si="9"/>
        <v>02060305010204</v>
      </c>
      <c r="BH14" s="63" t="str">
        <f ca="1">IF(ISNUMBER(CS!C14)=FALSE,CONCATENATE(BG14,""),CONCATENATE(BG14,IF(ABS(CS!C14)&lt;10,"0",""),ABS(CS!C14)))</f>
        <v>02</v>
      </c>
      <c r="BI14" s="63" t="str">
        <f ca="1">IF(ISNUMBER(CS!D14)=FALSE,CONCATENATE(BH14,""),CONCATENATE(BH14,IF(ABS(CS!D14)&lt;10,"0",""),ABS(CS!D14)))</f>
        <v>02</v>
      </c>
      <c r="BJ14" s="63" t="str">
        <f ca="1">IF(ISNUMBER(CS!E14)=FALSE,CONCATENATE(BI14,""),CONCATENATE(BI14,IF(ABS(CS!E14)&lt;10,"0",""),ABS(CS!E14)))</f>
        <v>02</v>
      </c>
      <c r="BK14" s="63" t="str">
        <f ca="1">IF(ISNUMBER(CS!F14)=FALSE,CONCATENATE(BJ14,""),CONCATENATE(BJ14,IF(ABS(CS!F14)&lt;10,"0",""),ABS(CS!F14)))</f>
        <v>0206</v>
      </c>
      <c r="BL14" s="63" t="str">
        <f ca="1">IF(ISNUMBER(CS!G14)=FALSE,CONCATENATE(BK14,""),CONCATENATE(BK14,IF(ABS(CS!G14)&lt;10,"0",""),ABS(CS!G14)))</f>
        <v>020603</v>
      </c>
      <c r="BM14" s="63" t="str">
        <f ca="1">IF(ISNUMBER(CS!H14)=FALSE,CONCATENATE(BL14,""),CONCATENATE(BL14,IF(ABS(CS!H14)&lt;10,"0",""),ABS(CS!H14)))</f>
        <v>020603</v>
      </c>
      <c r="BN14" s="63" t="str">
        <f ca="1">IF(ISNUMBER(CS!I14)=FALSE,CONCATENATE(BM14,""),CONCATENATE(BM14,IF(ABS(CS!I14)&lt;10,"0",""),ABS(CS!I14)))</f>
        <v>020603</v>
      </c>
      <c r="BO14" s="63" t="str">
        <f ca="1">IF(ISNUMBER(CS!J14)=FALSE,CONCATENATE(BN14,""),CONCATENATE(BN14,IF(ABS(CS!J14)&lt;10,"0",""),ABS(CS!J14)))</f>
        <v>02060305</v>
      </c>
      <c r="BP14" s="63" t="str">
        <f ca="1">IF(ISNUMBER(CS!K14)=FALSE,CONCATENATE(BO14,""),CONCATENATE(BO14,IF(ABS(CS!K14)&lt;10,"0",""),ABS(CS!K14)))</f>
        <v>0206030501</v>
      </c>
      <c r="BQ14" s="63" t="str">
        <f ca="1">IF(ISNUMBER(CS!L14)=FALSE,CONCATENATE(BP14,""),CONCATENATE(BP14,IF(ABS(CS!L14)&lt;10,"0",""),ABS(CS!L14)))</f>
        <v>0206030501</v>
      </c>
      <c r="BR14" s="63" t="str">
        <f ca="1">IF(ISNUMBER(CS!M14)=FALSE,CONCATENATE(BQ14,""),CONCATENATE(BQ14,IF(ABS(CS!M14)&lt;10,"0",""),ABS(CS!M14)))</f>
        <v>0206030501</v>
      </c>
      <c r="BS14" s="63" t="str">
        <f ca="1">IF(ISNUMBER(CS!N14)=FALSE,CONCATENATE(BR14,""),CONCATENATE(BR14,IF(ABS(CS!N14)&lt;10,"0",""),ABS(CS!N14)))</f>
        <v>020603050102</v>
      </c>
      <c r="BT14" s="63" t="str">
        <f ca="1">IF(ISNUMBER(CS!O14)=FALSE,CONCATENATE(BS14,""),CONCATENATE(BS14,IF(ABS(CS!O14)&lt;10,"0",""),ABS(CS!O14)))</f>
        <v>02060305010204</v>
      </c>
      <c r="BU14" s="63" t="str">
        <f ca="1">IF(ISNUMBER(CS!P14)=FALSE,CONCATENATE(BT14,""),CONCATENATE(BT14,IF(ABS(CS!P14)&lt;10,"0",""),ABS(CS!P14)))</f>
        <v>02060305010204</v>
      </c>
      <c r="BV14" s="63" t="str">
        <f ca="1">IF(ISNUMBER(CS!Q14)=FALSE,CONCATENATE(BU14,""),CONCATENATE(BU14,IF(ABS(CS!Q14)&lt;10,"0",""),ABS(CS!Q14)))</f>
        <v>02060305010204</v>
      </c>
      <c r="BW14" s="63" t="str">
        <f ca="1">IF(ISNUMBER(CS!R14)=FALSE,CONCATENATE(BV14,""),CONCATENATE(BV14,IF(ABS(CS!R14)&lt;10,"0",""),ABS(CS!R14)))</f>
        <v>02060305010204</v>
      </c>
      <c r="BX14" s="63" t="str">
        <f ca="1">IF(ISNUMBER(CS!S14)=FALSE,CONCATENATE(BW14,""),CONCATENATE(BW14,IF(ABS(CS!S14)&lt;10,"0",""),ABS(CS!S14)))</f>
        <v>02060305010204</v>
      </c>
      <c r="BY14" s="63" t="str">
        <f ca="1">IF(ISNUMBER(CS!T14)=FALSE,CONCATENATE(BX14,""),CONCATENATE(BX14,IF(ABS(CS!T14)&lt;10,"0",""),ABS(CS!T14)))</f>
        <v>02060305010204</v>
      </c>
      <c r="BZ14" s="63" t="str">
        <f ca="1">IF(ISNUMBER(CS!U14)=FALSE,CONCATENATE(BY14,""),CONCATENATE(BY14,IF(ABS(CS!U14)&lt;10,"0",""),ABS(CS!U14)))</f>
        <v>02060305010204</v>
      </c>
      <c r="CA14" s="63" t="str">
        <f ca="1">IF(ISNUMBER(CS!V14)=FALSE,CONCATENATE(BZ14,""),CONCATENATE(BZ14,IF(ABS(CS!V14)&lt;10,"0",""),ABS(CS!V14)))</f>
        <v>02060305010204</v>
      </c>
      <c r="CB14" s="63" t="str">
        <f ca="1">IF(ISNUMBER(CS!W14)=FALSE,CONCATENATE(CA14,""),CONCATENATE(CA14,IF(ABS(CS!W14)&lt;10,"0",""),ABS(CS!W14)))</f>
        <v>02060305010204</v>
      </c>
      <c r="CC14" s="63" t="str">
        <f ca="1">IF(ISNUMBER(CS!X14)=FALSE,CONCATENATE(CB14,""),CONCATENATE(CB14,IF(ABS(CS!X14)&lt;10,"0",""),ABS(CS!X14)))</f>
        <v>02060305010204</v>
      </c>
      <c r="CD14" s="63" t="str">
        <f ca="1">IF(ISNUMBER(CS!Y14)=FALSE,CONCATENATE(CC14,""),CONCATENATE(CC14,IF(ABS(CS!Y14)&lt;10,"0",""),ABS(CS!Y14)))</f>
        <v>02060305010204</v>
      </c>
      <c r="CE14" s="63" t="str">
        <f ca="1">IF(ISNUMBER(CS!Z14)=FALSE,CONCATENATE(CD14,""),CONCATENATE(CD14,IF(ABS(CS!Z14)&lt;10,"0",""),ABS(CS!Z14)))</f>
        <v>02060305010204</v>
      </c>
      <c r="CF14" s="63" t="str">
        <f ca="1">IF(ISNUMBER(CS!AA14)=FALSE,CONCATENATE(CE14,""),CONCATENATE(CE14,IF(ABS(CS!AA14)&lt;10,"0",""),ABS(CS!AA14)))</f>
        <v>02060305010204</v>
      </c>
      <c r="CG14" s="63" t="str">
        <f ca="1">IF(ISNUMBER(CS!AB14)=FALSE,CONCATENATE(CF14,""),CONCATENATE(CF14,IF(ABS(CS!AB14)&lt;10,"0",""),ABS(CS!AB14)))</f>
        <v>02060305010204</v>
      </c>
      <c r="CH14" s="63" t="str">
        <f ca="1">IF(ISNUMBER(CS!AC14)=FALSE,CONCATENATE(CG14,""),CONCATENATE(CG14,IF(ABS(CS!AC14)&lt;10,"0",""),ABS(CS!AC14)))</f>
        <v>02060305010204</v>
      </c>
      <c r="CI14" s="63" t="str">
        <f ca="1">IF(ISNUMBER(CS!AD14)=FALSE,CONCATENATE(CH14,""),CONCATENATE(CH14,IF(ABS(CS!AD14)&lt;10,"0",""),ABS(CS!AD14)))</f>
        <v>02060305010204</v>
      </c>
      <c r="CJ14" s="63" t="str">
        <f ca="1">IF(ISNUMBER(CS!AE14)=FALSE,CONCATENATE(CI14,""),CONCATENATE(CI14,IF(ABS(CS!AE14)&lt;10,"0",""),ABS(CS!AE14)))</f>
        <v>02060305010204</v>
      </c>
      <c r="CK14" s="63" t="str">
        <f ca="1">IF(ISNUMBER(CS!AF14)=FALSE,CONCATENATE(CJ14,""),CONCATENATE(CJ14,IF(ABS(CS!AF14)&lt;10,"0",""),ABS(CS!AF14)))</f>
        <v>02060305010204</v>
      </c>
      <c r="CL14" s="63" t="str">
        <f ca="1">IF(ISNUMBER(CS!AG14)=FALSE,CONCATENATE(CK14,""),CONCATENATE(CK14,IF(ABS(CS!AG14)&lt;10,"0",""),ABS(CS!AG14)))</f>
        <v>02060305010204</v>
      </c>
      <c r="CM14" s="63" t="str">
        <f ca="1">IF(ISNUMBER(CS!AH14)=FALSE,CONCATENATE(CL14,""),CONCATENATE(CL14,IF(ABS(CS!AH14)&lt;10,"0",""),ABS(CS!AH14)))</f>
        <v>02060305010204</v>
      </c>
      <c r="CN14" s="63" t="str">
        <f ca="1">IF(ISNUMBER(CS!AI14)=FALSE,CONCATENATE(CM14,""),CONCATENATE(CM14,IF(ABS(CS!AI14)&lt;10,"0",""),ABS(CS!AI14)))</f>
        <v>02060305010204</v>
      </c>
      <c r="CO14" s="63" t="str">
        <f ca="1">IF(ISNUMBER(CS!AJ14)=FALSE,CONCATENATE(CN14,""),CONCATENATE(CN14,IF(ABS(CS!AJ14)&lt;10,"0",""),ABS(CS!AJ14)))</f>
        <v>02060305010204</v>
      </c>
      <c r="CP14" s="63" t="str">
        <f ca="1">IF(ISNUMBER(CS!AK14)=FALSE,CONCATENATE(CO14,""),CONCATENATE(CO14,IF(ABS(CS!AK14)&lt;10,"0",""),ABS(CS!AK14)))</f>
        <v>02060305010204</v>
      </c>
      <c r="CQ14" s="63" t="str">
        <f ca="1">IF(ISNUMBER(CS!AL14)=FALSE,CONCATENATE(CP14,""),CONCATENATE(CP14,IF(ABS(CS!AL14)&lt;10,"0",""),ABS(CS!AL14)))</f>
        <v>02060305010204</v>
      </c>
      <c r="CR14" s="63" t="str">
        <f ca="1">IF(ISNUMBER(CS!AM14)=FALSE,CONCATENATE(CQ14,""),CONCATENATE(CQ14,IF(ABS(CS!AM14)&lt;10,"0",""),ABS(CS!AM14)))</f>
        <v>02060305010204</v>
      </c>
      <c r="CS14" s="63" t="str">
        <f ca="1">IF(ISNUMBER(CS!AN14)=FALSE,CONCATENATE(CR14,""),CONCATENATE(CR14,IF(ABS(CS!AN14)&lt;10,"0",""),ABS(CS!AN14)))</f>
        <v>02060305010204</v>
      </c>
      <c r="CT14" s="63" t="str">
        <f ca="1">IF(ISNUMBER(CS!AO14)=FALSE,CONCATENATE(CS14,""),CONCATENATE(CS14,IF(ABS(CS!AO14)&lt;10,"0",""),ABS(CS!AO14)))</f>
        <v>02060305010204</v>
      </c>
      <c r="CU14" s="63" t="str">
        <f ca="1">IF(ISNUMBER(CS!AP14)=FALSE,CONCATENATE(CT14,""),CONCATENATE(CT14,IF(ABS(CS!AP14)&lt;10,"0",""),ABS(CS!AP14)))</f>
        <v>02060305010204</v>
      </c>
    </row>
    <row r="15" spans="1:99">
      <c r="B15" s="4" t="str">
        <f ca="1">CS!AR15</f>
        <v>Tm05</v>
      </c>
      <c r="C15" s="5">
        <f t="shared" ca="1" si="7"/>
        <v>5</v>
      </c>
      <c r="D15" s="5">
        <f t="shared" ca="1" si="8"/>
        <v>4</v>
      </c>
      <c r="E15" s="5">
        <f t="shared" ca="1" si="8"/>
        <v>1</v>
      </c>
      <c r="F15" s="5">
        <f t="shared" ca="1" si="8"/>
        <v>5</v>
      </c>
      <c r="G15" s="5">
        <f t="shared" ca="1" si="8"/>
        <v>3</v>
      </c>
      <c r="H15" s="5">
        <f t="shared" ca="1" si="8"/>
        <v>6</v>
      </c>
      <c r="I15" s="5">
        <f t="shared" ca="1" si="8"/>
        <v>2</v>
      </c>
      <c r="J15" s="5">
        <f t="shared" ca="1" si="1"/>
        <v>0</v>
      </c>
      <c r="K15" s="5">
        <f t="shared" ca="1" si="1"/>
        <v>0</v>
      </c>
      <c r="L15" s="5">
        <f t="shared" ca="1" si="1"/>
        <v>0</v>
      </c>
      <c r="M15" s="5">
        <f t="shared" ca="1" si="1"/>
        <v>0</v>
      </c>
      <c r="N15" s="5">
        <f t="shared" ca="1" si="1"/>
        <v>0</v>
      </c>
      <c r="O15" s="5">
        <f t="shared" ca="1" si="1"/>
        <v>0</v>
      </c>
      <c r="P15" s="5">
        <f t="shared" ca="1" si="1"/>
        <v>0</v>
      </c>
      <c r="Q15" s="5">
        <f t="shared" ca="1" si="1"/>
        <v>0</v>
      </c>
      <c r="R15" s="5">
        <f t="shared" ca="1" si="1"/>
        <v>0</v>
      </c>
      <c r="S15" s="5">
        <f t="shared" ca="1" si="1"/>
        <v>0</v>
      </c>
      <c r="T15" s="5">
        <f t="shared" ca="1" si="2"/>
        <v>0</v>
      </c>
      <c r="U15" s="5">
        <f t="shared" ca="1" si="2"/>
        <v>0</v>
      </c>
      <c r="V15" s="5">
        <f t="shared" ca="1" si="2"/>
        <v>0</v>
      </c>
      <c r="W15" s="5">
        <f t="shared" ca="1" si="2"/>
        <v>0</v>
      </c>
      <c r="X15" s="5">
        <f t="shared" ca="1" si="2"/>
        <v>0</v>
      </c>
      <c r="Y15" s="5">
        <f t="shared" ca="1" si="3"/>
        <v>0</v>
      </c>
      <c r="Z15" s="5">
        <f t="shared" ca="1" si="3"/>
        <v>0</v>
      </c>
      <c r="AA15" s="5">
        <f t="shared" ca="1" si="3"/>
        <v>0</v>
      </c>
      <c r="AB15" s="5">
        <f t="shared" ca="1" si="3"/>
        <v>0</v>
      </c>
      <c r="AC15" s="5">
        <f t="shared" ca="1" si="3"/>
        <v>0</v>
      </c>
      <c r="AD15" s="5">
        <f t="shared" ca="1" si="3"/>
        <v>0</v>
      </c>
      <c r="AE15" s="5">
        <f t="shared" ca="1" si="3"/>
        <v>0</v>
      </c>
      <c r="AF15" s="5">
        <f t="shared" ca="1" si="3"/>
        <v>0</v>
      </c>
      <c r="AG15" s="5">
        <f t="shared" ca="1" si="3"/>
        <v>0</v>
      </c>
      <c r="AH15" s="5">
        <f t="shared" ca="1" si="3"/>
        <v>0</v>
      </c>
      <c r="AI15" s="5">
        <f t="shared" ca="1" si="3"/>
        <v>0</v>
      </c>
      <c r="AJ15" s="5">
        <f t="shared" ca="1" si="3"/>
        <v>0</v>
      </c>
      <c r="AK15" s="5">
        <f t="shared" ca="1" si="3"/>
        <v>0</v>
      </c>
      <c r="AL15" s="5">
        <f t="shared" ca="1" si="3"/>
        <v>0</v>
      </c>
      <c r="AM15" s="5">
        <f t="shared" ca="1" si="3"/>
        <v>0</v>
      </c>
      <c r="AN15" s="5">
        <f t="shared" ca="1" si="4"/>
        <v>0</v>
      </c>
      <c r="AO15" s="5">
        <f t="shared" ca="1" si="4"/>
        <v>0</v>
      </c>
      <c r="AP15" s="5">
        <f t="shared" ca="1" si="4"/>
        <v>0</v>
      </c>
      <c r="AR15" s="4" t="str">
        <f t="shared" ca="1" si="5"/>
        <v>Tm05</v>
      </c>
      <c r="AS15" s="339">
        <f t="shared" ca="1" si="6"/>
        <v>1</v>
      </c>
      <c r="AT15" s="339">
        <f t="shared" ca="1" si="6"/>
        <v>1</v>
      </c>
      <c r="AU15" s="339">
        <f t="shared" ca="1" si="6"/>
        <v>1</v>
      </c>
      <c r="AV15" s="339">
        <f t="shared" ca="1" si="6"/>
        <v>1</v>
      </c>
      <c r="AW15" s="339">
        <f t="shared" ca="1" si="6"/>
        <v>2</v>
      </c>
      <c r="AX15" s="339">
        <f t="shared" ca="1" si="6"/>
        <v>1</v>
      </c>
      <c r="AY15" s="339">
        <f t="shared" ca="1" si="6"/>
        <v>0</v>
      </c>
      <c r="AZ15" s="339">
        <f t="shared" ca="1" si="6"/>
        <v>0</v>
      </c>
      <c r="BA15" s="339">
        <f t="shared" ca="1" si="6"/>
        <v>0</v>
      </c>
      <c r="BB15" s="339">
        <f t="shared" ca="1" si="6"/>
        <v>0</v>
      </c>
      <c r="BD15" s="63">
        <f>IF(DrawFinder!Y15=0,"",DrawFinder!Y15)</f>
        <v>1</v>
      </c>
      <c r="BF15" s="151" t="str">
        <f t="shared" ca="1" si="9"/>
        <v>05040105030602</v>
      </c>
      <c r="BH15" s="63" t="str">
        <f ca="1">IF(ISNUMBER(CS!C15)=FALSE,CONCATENATE(BG15,""),CONCATENATE(BG15,IF(ABS(CS!C15)&lt;10,"0",""),ABS(CS!C15)))</f>
        <v>05</v>
      </c>
      <c r="BI15" s="63" t="str">
        <f ca="1">IF(ISNUMBER(CS!D15)=FALSE,CONCATENATE(BH15,""),CONCATENATE(BH15,IF(ABS(CS!D15)&lt;10,"0",""),ABS(CS!D15)))</f>
        <v>05</v>
      </c>
      <c r="BJ15" s="63" t="str">
        <f ca="1">IF(ISNUMBER(CS!E15)=FALSE,CONCATENATE(BI15,""),CONCATENATE(BI15,IF(ABS(CS!E15)&lt;10,"0",""),ABS(CS!E15)))</f>
        <v>05</v>
      </c>
      <c r="BK15" s="63" t="str">
        <f ca="1">IF(ISNUMBER(CS!F15)=FALSE,CONCATENATE(BJ15,""),CONCATENATE(BJ15,IF(ABS(CS!F15)&lt;10,"0",""),ABS(CS!F15)))</f>
        <v>0504</v>
      </c>
      <c r="BL15" s="63" t="str">
        <f ca="1">IF(ISNUMBER(CS!G15)=FALSE,CONCATENATE(BK15,""),CONCATENATE(BK15,IF(ABS(CS!G15)&lt;10,"0",""),ABS(CS!G15)))</f>
        <v>050401</v>
      </c>
      <c r="BM15" s="63" t="str">
        <f ca="1">IF(ISNUMBER(CS!H15)=FALSE,CONCATENATE(BL15,""),CONCATENATE(BL15,IF(ABS(CS!H15)&lt;10,"0",""),ABS(CS!H15)))</f>
        <v>050401</v>
      </c>
      <c r="BN15" s="63" t="str">
        <f ca="1">IF(ISNUMBER(CS!I15)=FALSE,CONCATENATE(BM15,""),CONCATENATE(BM15,IF(ABS(CS!I15)&lt;10,"0",""),ABS(CS!I15)))</f>
        <v>050401</v>
      </c>
      <c r="BO15" s="63" t="str">
        <f ca="1">IF(ISNUMBER(CS!J15)=FALSE,CONCATENATE(BN15,""),CONCATENATE(BN15,IF(ABS(CS!J15)&lt;10,"0",""),ABS(CS!J15)))</f>
        <v>05040105</v>
      </c>
      <c r="BP15" s="63" t="str">
        <f ca="1">IF(ISNUMBER(CS!K15)=FALSE,CONCATENATE(BO15,""),CONCATENATE(BO15,IF(ABS(CS!K15)&lt;10,"0",""),ABS(CS!K15)))</f>
        <v>0504010503</v>
      </c>
      <c r="BQ15" s="63" t="str">
        <f ca="1">IF(ISNUMBER(CS!L15)=FALSE,CONCATENATE(BP15,""),CONCATENATE(BP15,IF(ABS(CS!L15)&lt;10,"0",""),ABS(CS!L15)))</f>
        <v>0504010503</v>
      </c>
      <c r="BR15" s="63" t="str">
        <f ca="1">IF(ISNUMBER(CS!M15)=FALSE,CONCATENATE(BQ15,""),CONCATENATE(BQ15,IF(ABS(CS!M15)&lt;10,"0",""),ABS(CS!M15)))</f>
        <v>0504010503</v>
      </c>
      <c r="BS15" s="63" t="str">
        <f ca="1">IF(ISNUMBER(CS!N15)=FALSE,CONCATENATE(BR15,""),CONCATENATE(BR15,IF(ABS(CS!N15)&lt;10,"0",""),ABS(CS!N15)))</f>
        <v>050401050306</v>
      </c>
      <c r="BT15" s="63" t="str">
        <f ca="1">IF(ISNUMBER(CS!O15)=FALSE,CONCATENATE(BS15,""),CONCATENATE(BS15,IF(ABS(CS!O15)&lt;10,"0",""),ABS(CS!O15)))</f>
        <v>05040105030602</v>
      </c>
      <c r="BU15" s="63" t="str">
        <f ca="1">IF(ISNUMBER(CS!P15)=FALSE,CONCATENATE(BT15,""),CONCATENATE(BT15,IF(ABS(CS!P15)&lt;10,"0",""),ABS(CS!P15)))</f>
        <v>05040105030602</v>
      </c>
      <c r="BV15" s="63" t="str">
        <f ca="1">IF(ISNUMBER(CS!Q15)=FALSE,CONCATENATE(BU15,""),CONCATENATE(BU15,IF(ABS(CS!Q15)&lt;10,"0",""),ABS(CS!Q15)))</f>
        <v>05040105030602</v>
      </c>
      <c r="BW15" s="63" t="str">
        <f ca="1">IF(ISNUMBER(CS!R15)=FALSE,CONCATENATE(BV15,""),CONCATENATE(BV15,IF(ABS(CS!R15)&lt;10,"0",""),ABS(CS!R15)))</f>
        <v>05040105030602</v>
      </c>
      <c r="BX15" s="63" t="str">
        <f ca="1">IF(ISNUMBER(CS!S15)=FALSE,CONCATENATE(BW15,""),CONCATENATE(BW15,IF(ABS(CS!S15)&lt;10,"0",""),ABS(CS!S15)))</f>
        <v>05040105030602</v>
      </c>
      <c r="BY15" s="63" t="str">
        <f ca="1">IF(ISNUMBER(CS!T15)=FALSE,CONCATENATE(BX15,""),CONCATENATE(BX15,IF(ABS(CS!T15)&lt;10,"0",""),ABS(CS!T15)))</f>
        <v>05040105030602</v>
      </c>
      <c r="BZ15" s="63" t="str">
        <f ca="1">IF(ISNUMBER(CS!U15)=FALSE,CONCATENATE(BY15,""),CONCATENATE(BY15,IF(ABS(CS!U15)&lt;10,"0",""),ABS(CS!U15)))</f>
        <v>05040105030602</v>
      </c>
      <c r="CA15" s="63" t="str">
        <f ca="1">IF(ISNUMBER(CS!V15)=FALSE,CONCATENATE(BZ15,""),CONCATENATE(BZ15,IF(ABS(CS!V15)&lt;10,"0",""),ABS(CS!V15)))</f>
        <v>05040105030602</v>
      </c>
      <c r="CB15" s="63" t="str">
        <f ca="1">IF(ISNUMBER(CS!W15)=FALSE,CONCATENATE(CA15,""),CONCATENATE(CA15,IF(ABS(CS!W15)&lt;10,"0",""),ABS(CS!W15)))</f>
        <v>05040105030602</v>
      </c>
      <c r="CC15" s="63" t="str">
        <f ca="1">IF(ISNUMBER(CS!X15)=FALSE,CONCATENATE(CB15,""),CONCATENATE(CB15,IF(ABS(CS!X15)&lt;10,"0",""),ABS(CS!X15)))</f>
        <v>05040105030602</v>
      </c>
      <c r="CD15" s="63" t="str">
        <f ca="1">IF(ISNUMBER(CS!Y15)=FALSE,CONCATENATE(CC15,""),CONCATENATE(CC15,IF(ABS(CS!Y15)&lt;10,"0",""),ABS(CS!Y15)))</f>
        <v>05040105030602</v>
      </c>
      <c r="CE15" s="63" t="str">
        <f ca="1">IF(ISNUMBER(CS!Z15)=FALSE,CONCATENATE(CD15,""),CONCATENATE(CD15,IF(ABS(CS!Z15)&lt;10,"0",""),ABS(CS!Z15)))</f>
        <v>05040105030602</v>
      </c>
      <c r="CF15" s="63" t="str">
        <f ca="1">IF(ISNUMBER(CS!AA15)=FALSE,CONCATENATE(CE15,""),CONCATENATE(CE15,IF(ABS(CS!AA15)&lt;10,"0",""),ABS(CS!AA15)))</f>
        <v>05040105030602</v>
      </c>
      <c r="CG15" s="63" t="str">
        <f ca="1">IF(ISNUMBER(CS!AB15)=FALSE,CONCATENATE(CF15,""),CONCATENATE(CF15,IF(ABS(CS!AB15)&lt;10,"0",""),ABS(CS!AB15)))</f>
        <v>05040105030602</v>
      </c>
      <c r="CH15" s="63" t="str">
        <f ca="1">IF(ISNUMBER(CS!AC15)=FALSE,CONCATENATE(CG15,""),CONCATENATE(CG15,IF(ABS(CS!AC15)&lt;10,"0",""),ABS(CS!AC15)))</f>
        <v>05040105030602</v>
      </c>
      <c r="CI15" s="63" t="str">
        <f ca="1">IF(ISNUMBER(CS!AD15)=FALSE,CONCATENATE(CH15,""),CONCATENATE(CH15,IF(ABS(CS!AD15)&lt;10,"0",""),ABS(CS!AD15)))</f>
        <v>05040105030602</v>
      </c>
      <c r="CJ15" s="63" t="str">
        <f ca="1">IF(ISNUMBER(CS!AE15)=FALSE,CONCATENATE(CI15,""),CONCATENATE(CI15,IF(ABS(CS!AE15)&lt;10,"0",""),ABS(CS!AE15)))</f>
        <v>05040105030602</v>
      </c>
      <c r="CK15" s="63" t="str">
        <f ca="1">IF(ISNUMBER(CS!AF15)=FALSE,CONCATENATE(CJ15,""),CONCATENATE(CJ15,IF(ABS(CS!AF15)&lt;10,"0",""),ABS(CS!AF15)))</f>
        <v>05040105030602</v>
      </c>
      <c r="CL15" s="63" t="str">
        <f ca="1">IF(ISNUMBER(CS!AG15)=FALSE,CONCATENATE(CK15,""),CONCATENATE(CK15,IF(ABS(CS!AG15)&lt;10,"0",""),ABS(CS!AG15)))</f>
        <v>05040105030602</v>
      </c>
      <c r="CM15" s="63" t="str">
        <f ca="1">IF(ISNUMBER(CS!AH15)=FALSE,CONCATENATE(CL15,""),CONCATENATE(CL15,IF(ABS(CS!AH15)&lt;10,"0",""),ABS(CS!AH15)))</f>
        <v>05040105030602</v>
      </c>
      <c r="CN15" s="63" t="str">
        <f ca="1">IF(ISNUMBER(CS!AI15)=FALSE,CONCATENATE(CM15,""),CONCATENATE(CM15,IF(ABS(CS!AI15)&lt;10,"0",""),ABS(CS!AI15)))</f>
        <v>05040105030602</v>
      </c>
      <c r="CO15" s="63" t="str">
        <f ca="1">IF(ISNUMBER(CS!AJ15)=FALSE,CONCATENATE(CN15,""),CONCATENATE(CN15,IF(ABS(CS!AJ15)&lt;10,"0",""),ABS(CS!AJ15)))</f>
        <v>05040105030602</v>
      </c>
      <c r="CP15" s="63" t="str">
        <f ca="1">IF(ISNUMBER(CS!AK15)=FALSE,CONCATENATE(CO15,""),CONCATENATE(CO15,IF(ABS(CS!AK15)&lt;10,"0",""),ABS(CS!AK15)))</f>
        <v>05040105030602</v>
      </c>
      <c r="CQ15" s="63" t="str">
        <f ca="1">IF(ISNUMBER(CS!AL15)=FALSE,CONCATENATE(CP15,""),CONCATENATE(CP15,IF(ABS(CS!AL15)&lt;10,"0",""),ABS(CS!AL15)))</f>
        <v>05040105030602</v>
      </c>
      <c r="CR15" s="63" t="str">
        <f ca="1">IF(ISNUMBER(CS!AM15)=FALSE,CONCATENATE(CQ15,""),CONCATENATE(CQ15,IF(ABS(CS!AM15)&lt;10,"0",""),ABS(CS!AM15)))</f>
        <v>05040105030602</v>
      </c>
      <c r="CS15" s="63" t="str">
        <f ca="1">IF(ISNUMBER(CS!AN15)=FALSE,CONCATENATE(CR15,""),CONCATENATE(CR15,IF(ABS(CS!AN15)&lt;10,"0",""),ABS(CS!AN15)))</f>
        <v>05040105030602</v>
      </c>
      <c r="CT15" s="63" t="str">
        <f ca="1">IF(ISNUMBER(CS!AO15)=FALSE,CONCATENATE(CS15,""),CONCATENATE(CS15,IF(ABS(CS!AO15)&lt;10,"0",""),ABS(CS!AO15)))</f>
        <v>05040105030602</v>
      </c>
      <c r="CU15" s="63" t="str">
        <f ca="1">IF(ISNUMBER(CS!AP15)=FALSE,CONCATENATE(CT15,""),CONCATENATE(CT15,IF(ABS(CS!AP15)&lt;10,"0",""),ABS(CS!AP15)))</f>
        <v>05040105030602</v>
      </c>
    </row>
    <row r="16" spans="1:99">
      <c r="B16" s="4" t="str">
        <f ca="1">CS!AR16</f>
        <v>Tm06</v>
      </c>
      <c r="C16" s="5">
        <f t="shared" ca="1" si="7"/>
        <v>2</v>
      </c>
      <c r="D16" s="5">
        <f t="shared" ca="1" si="8"/>
        <v>5</v>
      </c>
      <c r="E16" s="5">
        <f t="shared" ca="1" si="8"/>
        <v>6</v>
      </c>
      <c r="F16" s="5">
        <f t="shared" ca="1" si="8"/>
        <v>3</v>
      </c>
      <c r="G16" s="5">
        <f t="shared" ca="1" si="8"/>
        <v>4</v>
      </c>
      <c r="H16" s="5">
        <f t="shared" ca="1" si="8"/>
        <v>1</v>
      </c>
      <c r="I16" s="5">
        <f t="shared" ca="1" si="8"/>
        <v>2</v>
      </c>
      <c r="J16" s="5">
        <f t="shared" ca="1" si="1"/>
        <v>0</v>
      </c>
      <c r="K16" s="5">
        <f t="shared" ca="1" si="1"/>
        <v>0</v>
      </c>
      <c r="L16" s="5">
        <f t="shared" ca="1" si="1"/>
        <v>0</v>
      </c>
      <c r="M16" s="5">
        <f t="shared" ca="1" si="1"/>
        <v>0</v>
      </c>
      <c r="N16" s="5">
        <f t="shared" ca="1" si="1"/>
        <v>0</v>
      </c>
      <c r="O16" s="5">
        <f t="shared" ca="1" si="1"/>
        <v>0</v>
      </c>
      <c r="P16" s="5">
        <f t="shared" ca="1" si="1"/>
        <v>0</v>
      </c>
      <c r="Q16" s="5">
        <f t="shared" ca="1" si="1"/>
        <v>0</v>
      </c>
      <c r="R16" s="5">
        <f t="shared" ca="1" si="1"/>
        <v>0</v>
      </c>
      <c r="S16" s="5">
        <f t="shared" ca="1" si="1"/>
        <v>0</v>
      </c>
      <c r="T16" s="5">
        <f t="shared" ca="1" si="2"/>
        <v>0</v>
      </c>
      <c r="U16" s="5">
        <f t="shared" ca="1" si="2"/>
        <v>0</v>
      </c>
      <c r="V16" s="5">
        <f t="shared" ca="1" si="2"/>
        <v>0</v>
      </c>
      <c r="W16" s="5">
        <f t="shared" ca="1" si="2"/>
        <v>0</v>
      </c>
      <c r="X16" s="5">
        <f t="shared" ca="1" si="2"/>
        <v>0</v>
      </c>
      <c r="Y16" s="5">
        <f t="shared" ca="1" si="3"/>
        <v>0</v>
      </c>
      <c r="Z16" s="5">
        <f t="shared" ca="1" si="3"/>
        <v>0</v>
      </c>
      <c r="AA16" s="5">
        <f t="shared" ca="1" si="3"/>
        <v>0</v>
      </c>
      <c r="AB16" s="5">
        <f t="shared" ca="1" si="3"/>
        <v>0</v>
      </c>
      <c r="AC16" s="5">
        <f t="shared" ca="1" si="3"/>
        <v>0</v>
      </c>
      <c r="AD16" s="5">
        <f t="shared" ca="1" si="3"/>
        <v>0</v>
      </c>
      <c r="AE16" s="5">
        <f t="shared" ca="1" si="3"/>
        <v>0</v>
      </c>
      <c r="AF16" s="5">
        <f t="shared" ca="1" si="3"/>
        <v>0</v>
      </c>
      <c r="AG16" s="5">
        <f t="shared" ca="1" si="3"/>
        <v>0</v>
      </c>
      <c r="AH16" s="5">
        <f t="shared" ca="1" si="3"/>
        <v>0</v>
      </c>
      <c r="AI16" s="5">
        <f t="shared" ca="1" si="3"/>
        <v>0</v>
      </c>
      <c r="AJ16" s="5">
        <f t="shared" ca="1" si="3"/>
        <v>0</v>
      </c>
      <c r="AK16" s="5">
        <f t="shared" ca="1" si="3"/>
        <v>0</v>
      </c>
      <c r="AL16" s="5">
        <f t="shared" ca="1" si="3"/>
        <v>0</v>
      </c>
      <c r="AM16" s="5">
        <f t="shared" ca="1" si="3"/>
        <v>0</v>
      </c>
      <c r="AN16" s="5">
        <f t="shared" ca="1" si="4"/>
        <v>0</v>
      </c>
      <c r="AO16" s="5">
        <f t="shared" ca="1" si="4"/>
        <v>0</v>
      </c>
      <c r="AP16" s="5">
        <f t="shared" ca="1" si="4"/>
        <v>0</v>
      </c>
      <c r="AR16" s="4" t="str">
        <f t="shared" ca="1" si="5"/>
        <v>Tm06</v>
      </c>
      <c r="AS16" s="339">
        <f t="shared" ca="1" si="6"/>
        <v>1</v>
      </c>
      <c r="AT16" s="339">
        <f t="shared" ca="1" si="6"/>
        <v>2</v>
      </c>
      <c r="AU16" s="339">
        <f t="shared" ca="1" si="6"/>
        <v>1</v>
      </c>
      <c r="AV16" s="339">
        <f t="shared" ca="1" si="6"/>
        <v>1</v>
      </c>
      <c r="AW16" s="339">
        <f t="shared" ca="1" si="6"/>
        <v>1</v>
      </c>
      <c r="AX16" s="339">
        <f t="shared" ca="1" si="6"/>
        <v>1</v>
      </c>
      <c r="AY16" s="339">
        <f t="shared" ca="1" si="6"/>
        <v>0</v>
      </c>
      <c r="AZ16" s="339">
        <f t="shared" ca="1" si="6"/>
        <v>0</v>
      </c>
      <c r="BA16" s="339">
        <f t="shared" ca="1" si="6"/>
        <v>0</v>
      </c>
      <c r="BB16" s="339">
        <f t="shared" ca="1" si="6"/>
        <v>0</v>
      </c>
      <c r="BD16" s="63">
        <f>IF(DrawFinder!Y16=0,"",DrawFinder!Y16)</f>
        <v>1</v>
      </c>
      <c r="BF16" s="151" t="str">
        <f t="shared" ca="1" si="9"/>
        <v>02050603040102</v>
      </c>
      <c r="BH16" s="63" t="str">
        <f ca="1">IF(ISNUMBER(CS!C16)=FALSE,CONCATENATE(BG16,""),CONCATENATE(BG16,IF(ABS(CS!C16)&lt;10,"0",""),ABS(CS!C16)))</f>
        <v>02</v>
      </c>
      <c r="BI16" s="63" t="str">
        <f ca="1">IF(ISNUMBER(CS!D16)=FALSE,CONCATENATE(BH16,""),CONCATENATE(BH16,IF(ABS(CS!D16)&lt;10,"0",""),ABS(CS!D16)))</f>
        <v>02</v>
      </c>
      <c r="BJ16" s="63" t="str">
        <f ca="1">IF(ISNUMBER(CS!E16)=FALSE,CONCATENATE(BI16,""),CONCATENATE(BI16,IF(ABS(CS!E16)&lt;10,"0",""),ABS(CS!E16)))</f>
        <v>02</v>
      </c>
      <c r="BK16" s="63" t="str">
        <f ca="1">IF(ISNUMBER(CS!F16)=FALSE,CONCATENATE(BJ16,""),CONCATENATE(BJ16,IF(ABS(CS!F16)&lt;10,"0",""),ABS(CS!F16)))</f>
        <v>0205</v>
      </c>
      <c r="BL16" s="63" t="str">
        <f ca="1">IF(ISNUMBER(CS!G16)=FALSE,CONCATENATE(BK16,""),CONCATENATE(BK16,IF(ABS(CS!G16)&lt;10,"0",""),ABS(CS!G16)))</f>
        <v>020506</v>
      </c>
      <c r="BM16" s="63" t="str">
        <f ca="1">IF(ISNUMBER(CS!H16)=FALSE,CONCATENATE(BL16,""),CONCATENATE(BL16,IF(ABS(CS!H16)&lt;10,"0",""),ABS(CS!H16)))</f>
        <v>020506</v>
      </c>
      <c r="BN16" s="63" t="str">
        <f ca="1">IF(ISNUMBER(CS!I16)=FALSE,CONCATENATE(BM16,""),CONCATENATE(BM16,IF(ABS(CS!I16)&lt;10,"0",""),ABS(CS!I16)))</f>
        <v>020506</v>
      </c>
      <c r="BO16" s="63" t="str">
        <f ca="1">IF(ISNUMBER(CS!J16)=FALSE,CONCATENATE(BN16,""),CONCATENATE(BN16,IF(ABS(CS!J16)&lt;10,"0",""),ABS(CS!J16)))</f>
        <v>02050603</v>
      </c>
      <c r="BP16" s="63" t="str">
        <f ca="1">IF(ISNUMBER(CS!K16)=FALSE,CONCATENATE(BO16,""),CONCATENATE(BO16,IF(ABS(CS!K16)&lt;10,"0",""),ABS(CS!K16)))</f>
        <v>0205060304</v>
      </c>
      <c r="BQ16" s="63" t="str">
        <f ca="1">IF(ISNUMBER(CS!L16)=FALSE,CONCATENATE(BP16,""),CONCATENATE(BP16,IF(ABS(CS!L16)&lt;10,"0",""),ABS(CS!L16)))</f>
        <v>0205060304</v>
      </c>
      <c r="BR16" s="63" t="str">
        <f ca="1">IF(ISNUMBER(CS!M16)=FALSE,CONCATENATE(BQ16,""),CONCATENATE(BQ16,IF(ABS(CS!M16)&lt;10,"0",""),ABS(CS!M16)))</f>
        <v>0205060304</v>
      </c>
      <c r="BS16" s="63" t="str">
        <f ca="1">IF(ISNUMBER(CS!N16)=FALSE,CONCATENATE(BR16,""),CONCATENATE(BR16,IF(ABS(CS!N16)&lt;10,"0",""),ABS(CS!N16)))</f>
        <v>020506030401</v>
      </c>
      <c r="BT16" s="63" t="str">
        <f ca="1">IF(ISNUMBER(CS!O16)=FALSE,CONCATENATE(BS16,""),CONCATENATE(BS16,IF(ABS(CS!O16)&lt;10,"0",""),ABS(CS!O16)))</f>
        <v>02050603040102</v>
      </c>
      <c r="BU16" s="63" t="str">
        <f ca="1">IF(ISNUMBER(CS!P16)=FALSE,CONCATENATE(BT16,""),CONCATENATE(BT16,IF(ABS(CS!P16)&lt;10,"0",""),ABS(CS!P16)))</f>
        <v>02050603040102</v>
      </c>
      <c r="BV16" s="63" t="str">
        <f ca="1">IF(ISNUMBER(CS!Q16)=FALSE,CONCATENATE(BU16,""),CONCATENATE(BU16,IF(ABS(CS!Q16)&lt;10,"0",""),ABS(CS!Q16)))</f>
        <v>02050603040102</v>
      </c>
      <c r="BW16" s="63" t="str">
        <f ca="1">IF(ISNUMBER(CS!R16)=FALSE,CONCATENATE(BV16,""),CONCATENATE(BV16,IF(ABS(CS!R16)&lt;10,"0",""),ABS(CS!R16)))</f>
        <v>02050603040102</v>
      </c>
      <c r="BX16" s="63" t="str">
        <f ca="1">IF(ISNUMBER(CS!S16)=FALSE,CONCATENATE(BW16,""),CONCATENATE(BW16,IF(ABS(CS!S16)&lt;10,"0",""),ABS(CS!S16)))</f>
        <v>02050603040102</v>
      </c>
      <c r="BY16" s="63" t="str">
        <f ca="1">IF(ISNUMBER(CS!T16)=FALSE,CONCATENATE(BX16,""),CONCATENATE(BX16,IF(ABS(CS!T16)&lt;10,"0",""),ABS(CS!T16)))</f>
        <v>02050603040102</v>
      </c>
      <c r="BZ16" s="63" t="str">
        <f ca="1">IF(ISNUMBER(CS!U16)=FALSE,CONCATENATE(BY16,""),CONCATENATE(BY16,IF(ABS(CS!U16)&lt;10,"0",""),ABS(CS!U16)))</f>
        <v>02050603040102</v>
      </c>
      <c r="CA16" s="63" t="str">
        <f ca="1">IF(ISNUMBER(CS!V16)=FALSE,CONCATENATE(BZ16,""),CONCATENATE(BZ16,IF(ABS(CS!V16)&lt;10,"0",""),ABS(CS!V16)))</f>
        <v>02050603040102</v>
      </c>
      <c r="CB16" s="63" t="str">
        <f ca="1">IF(ISNUMBER(CS!W16)=FALSE,CONCATENATE(CA16,""),CONCATENATE(CA16,IF(ABS(CS!W16)&lt;10,"0",""),ABS(CS!W16)))</f>
        <v>02050603040102</v>
      </c>
      <c r="CC16" s="63" t="str">
        <f ca="1">IF(ISNUMBER(CS!X16)=FALSE,CONCATENATE(CB16,""),CONCATENATE(CB16,IF(ABS(CS!X16)&lt;10,"0",""),ABS(CS!X16)))</f>
        <v>02050603040102</v>
      </c>
      <c r="CD16" s="63" t="str">
        <f ca="1">IF(ISNUMBER(CS!Y16)=FALSE,CONCATENATE(CC16,""),CONCATENATE(CC16,IF(ABS(CS!Y16)&lt;10,"0",""),ABS(CS!Y16)))</f>
        <v>02050603040102</v>
      </c>
      <c r="CE16" s="63" t="str">
        <f ca="1">IF(ISNUMBER(CS!Z16)=FALSE,CONCATENATE(CD16,""),CONCATENATE(CD16,IF(ABS(CS!Z16)&lt;10,"0",""),ABS(CS!Z16)))</f>
        <v>02050603040102</v>
      </c>
      <c r="CF16" s="63" t="str">
        <f ca="1">IF(ISNUMBER(CS!AA16)=FALSE,CONCATENATE(CE16,""),CONCATENATE(CE16,IF(ABS(CS!AA16)&lt;10,"0",""),ABS(CS!AA16)))</f>
        <v>02050603040102</v>
      </c>
      <c r="CG16" s="63" t="str">
        <f ca="1">IF(ISNUMBER(CS!AB16)=FALSE,CONCATENATE(CF16,""),CONCATENATE(CF16,IF(ABS(CS!AB16)&lt;10,"0",""),ABS(CS!AB16)))</f>
        <v>02050603040102</v>
      </c>
      <c r="CH16" s="63" t="str">
        <f ca="1">IF(ISNUMBER(CS!AC16)=FALSE,CONCATENATE(CG16,""),CONCATENATE(CG16,IF(ABS(CS!AC16)&lt;10,"0",""),ABS(CS!AC16)))</f>
        <v>02050603040102</v>
      </c>
      <c r="CI16" s="63" t="str">
        <f ca="1">IF(ISNUMBER(CS!AD16)=FALSE,CONCATENATE(CH16,""),CONCATENATE(CH16,IF(ABS(CS!AD16)&lt;10,"0",""),ABS(CS!AD16)))</f>
        <v>02050603040102</v>
      </c>
      <c r="CJ16" s="63" t="str">
        <f ca="1">IF(ISNUMBER(CS!AE16)=FALSE,CONCATENATE(CI16,""),CONCATENATE(CI16,IF(ABS(CS!AE16)&lt;10,"0",""),ABS(CS!AE16)))</f>
        <v>02050603040102</v>
      </c>
      <c r="CK16" s="63" t="str">
        <f ca="1">IF(ISNUMBER(CS!AF16)=FALSE,CONCATENATE(CJ16,""),CONCATENATE(CJ16,IF(ABS(CS!AF16)&lt;10,"0",""),ABS(CS!AF16)))</f>
        <v>02050603040102</v>
      </c>
      <c r="CL16" s="63" t="str">
        <f ca="1">IF(ISNUMBER(CS!AG16)=FALSE,CONCATENATE(CK16,""),CONCATENATE(CK16,IF(ABS(CS!AG16)&lt;10,"0",""),ABS(CS!AG16)))</f>
        <v>02050603040102</v>
      </c>
      <c r="CM16" s="63" t="str">
        <f ca="1">IF(ISNUMBER(CS!AH16)=FALSE,CONCATENATE(CL16,""),CONCATENATE(CL16,IF(ABS(CS!AH16)&lt;10,"0",""),ABS(CS!AH16)))</f>
        <v>02050603040102</v>
      </c>
      <c r="CN16" s="63" t="str">
        <f ca="1">IF(ISNUMBER(CS!AI16)=FALSE,CONCATENATE(CM16,""),CONCATENATE(CM16,IF(ABS(CS!AI16)&lt;10,"0",""),ABS(CS!AI16)))</f>
        <v>02050603040102</v>
      </c>
      <c r="CO16" s="63" t="str">
        <f ca="1">IF(ISNUMBER(CS!AJ16)=FALSE,CONCATENATE(CN16,""),CONCATENATE(CN16,IF(ABS(CS!AJ16)&lt;10,"0",""),ABS(CS!AJ16)))</f>
        <v>02050603040102</v>
      </c>
      <c r="CP16" s="63" t="str">
        <f ca="1">IF(ISNUMBER(CS!AK16)=FALSE,CONCATENATE(CO16,""),CONCATENATE(CO16,IF(ABS(CS!AK16)&lt;10,"0",""),ABS(CS!AK16)))</f>
        <v>02050603040102</v>
      </c>
      <c r="CQ16" s="63" t="str">
        <f ca="1">IF(ISNUMBER(CS!AL16)=FALSE,CONCATENATE(CP16,""),CONCATENATE(CP16,IF(ABS(CS!AL16)&lt;10,"0",""),ABS(CS!AL16)))</f>
        <v>02050603040102</v>
      </c>
      <c r="CR16" s="63" t="str">
        <f ca="1">IF(ISNUMBER(CS!AM16)=FALSE,CONCATENATE(CQ16,""),CONCATENATE(CQ16,IF(ABS(CS!AM16)&lt;10,"0",""),ABS(CS!AM16)))</f>
        <v>02050603040102</v>
      </c>
      <c r="CS16" s="63" t="str">
        <f ca="1">IF(ISNUMBER(CS!AN16)=FALSE,CONCATENATE(CR16,""),CONCATENATE(CR16,IF(ABS(CS!AN16)&lt;10,"0",""),ABS(CS!AN16)))</f>
        <v>02050603040102</v>
      </c>
      <c r="CT16" s="63" t="str">
        <f ca="1">IF(ISNUMBER(CS!AO16)=FALSE,CONCATENATE(CS16,""),CONCATENATE(CS16,IF(ABS(CS!AO16)&lt;10,"0",""),ABS(CS!AO16)))</f>
        <v>02050603040102</v>
      </c>
      <c r="CU16" s="63" t="str">
        <f ca="1">IF(ISNUMBER(CS!AP16)=FALSE,CONCATENATE(CT16,""),CONCATENATE(CT16,IF(ABS(CS!AP16)&lt;10,"0",""),ABS(CS!AP16)))</f>
        <v>02050603040102</v>
      </c>
    </row>
    <row r="17" spans="2:99">
      <c r="B17" s="4" t="str">
        <f ca="1">CS!AR17</f>
        <v>Tm07</v>
      </c>
      <c r="C17" s="5">
        <f t="shared" ca="1" si="7"/>
        <v>4</v>
      </c>
      <c r="D17" s="5">
        <f t="shared" ca="1" si="8"/>
        <v>1</v>
      </c>
      <c r="E17" s="5">
        <f t="shared" ca="1" si="8"/>
        <v>3</v>
      </c>
      <c r="F17" s="5">
        <f t="shared" ca="1" si="8"/>
        <v>2</v>
      </c>
      <c r="G17" s="5">
        <f t="shared" ca="1" si="8"/>
        <v>4</v>
      </c>
      <c r="H17" s="5">
        <f t="shared" ca="1" si="8"/>
        <v>6</v>
      </c>
      <c r="I17" s="5">
        <f t="shared" ca="1" si="8"/>
        <v>5</v>
      </c>
      <c r="J17" s="5">
        <f t="shared" ca="1" si="1"/>
        <v>0</v>
      </c>
      <c r="K17" s="5">
        <f t="shared" ca="1" si="1"/>
        <v>0</v>
      </c>
      <c r="L17" s="5">
        <f t="shared" ca="1" si="1"/>
        <v>0</v>
      </c>
      <c r="M17" s="5">
        <f t="shared" ca="1" si="1"/>
        <v>0</v>
      </c>
      <c r="N17" s="5">
        <f t="shared" ca="1" si="1"/>
        <v>0</v>
      </c>
      <c r="O17" s="5">
        <f t="shared" ca="1" si="1"/>
        <v>0</v>
      </c>
      <c r="P17" s="5">
        <f t="shared" ca="1" si="1"/>
        <v>0</v>
      </c>
      <c r="Q17" s="5">
        <f t="shared" ca="1" si="1"/>
        <v>0</v>
      </c>
      <c r="R17" s="5">
        <f t="shared" ca="1" si="1"/>
        <v>0</v>
      </c>
      <c r="S17" s="5">
        <f t="shared" ca="1" si="1"/>
        <v>0</v>
      </c>
      <c r="T17" s="5">
        <f t="shared" ca="1" si="2"/>
        <v>0</v>
      </c>
      <c r="U17" s="5">
        <f t="shared" ca="1" si="2"/>
        <v>0</v>
      </c>
      <c r="V17" s="5">
        <f t="shared" ca="1" si="2"/>
        <v>0</v>
      </c>
      <c r="W17" s="5">
        <f t="shared" ca="1" si="2"/>
        <v>0</v>
      </c>
      <c r="X17" s="5">
        <f t="shared" ca="1" si="2"/>
        <v>0</v>
      </c>
      <c r="Y17" s="5">
        <f t="shared" ca="1" si="3"/>
        <v>0</v>
      </c>
      <c r="Z17" s="5">
        <f t="shared" ca="1" si="3"/>
        <v>0</v>
      </c>
      <c r="AA17" s="5">
        <f t="shared" ca="1" si="3"/>
        <v>0</v>
      </c>
      <c r="AB17" s="5">
        <f t="shared" ca="1" si="3"/>
        <v>0</v>
      </c>
      <c r="AC17" s="5">
        <f t="shared" ca="1" si="3"/>
        <v>0</v>
      </c>
      <c r="AD17" s="5">
        <f t="shared" ca="1" si="3"/>
        <v>0</v>
      </c>
      <c r="AE17" s="5">
        <f t="shared" ca="1" si="3"/>
        <v>0</v>
      </c>
      <c r="AF17" s="5">
        <f t="shared" ca="1" si="3"/>
        <v>0</v>
      </c>
      <c r="AG17" s="5">
        <f t="shared" ca="1" si="3"/>
        <v>0</v>
      </c>
      <c r="AH17" s="5">
        <f t="shared" ca="1" si="3"/>
        <v>0</v>
      </c>
      <c r="AI17" s="5">
        <f t="shared" ca="1" si="3"/>
        <v>0</v>
      </c>
      <c r="AJ17" s="5">
        <f t="shared" ca="1" si="3"/>
        <v>0</v>
      </c>
      <c r="AK17" s="5">
        <f t="shared" ca="1" si="3"/>
        <v>0</v>
      </c>
      <c r="AL17" s="5">
        <f t="shared" ca="1" si="3"/>
        <v>0</v>
      </c>
      <c r="AM17" s="5">
        <f t="shared" ca="1" si="3"/>
        <v>0</v>
      </c>
      <c r="AN17" s="5">
        <f t="shared" ca="1" si="4"/>
        <v>0</v>
      </c>
      <c r="AO17" s="5">
        <f t="shared" ca="1" si="4"/>
        <v>0</v>
      </c>
      <c r="AP17" s="5">
        <f t="shared" ca="1" si="4"/>
        <v>0</v>
      </c>
      <c r="AR17" s="4" t="str">
        <f t="shared" ca="1" si="5"/>
        <v>Tm07</v>
      </c>
      <c r="AS17" s="339">
        <f t="shared" ca="1" si="6"/>
        <v>1</v>
      </c>
      <c r="AT17" s="339">
        <f t="shared" ca="1" si="6"/>
        <v>1</v>
      </c>
      <c r="AU17" s="339">
        <f t="shared" ca="1" si="6"/>
        <v>1</v>
      </c>
      <c r="AV17" s="339">
        <f t="shared" ca="1" si="6"/>
        <v>2</v>
      </c>
      <c r="AW17" s="339">
        <f t="shared" ca="1" si="6"/>
        <v>1</v>
      </c>
      <c r="AX17" s="339">
        <f t="shared" ca="1" si="6"/>
        <v>1</v>
      </c>
      <c r="AY17" s="339">
        <f t="shared" ca="1" si="6"/>
        <v>0</v>
      </c>
      <c r="AZ17" s="339">
        <f t="shared" ca="1" si="6"/>
        <v>0</v>
      </c>
      <c r="BA17" s="339">
        <f t="shared" ca="1" si="6"/>
        <v>0</v>
      </c>
      <c r="BB17" s="339">
        <f t="shared" ca="1" si="6"/>
        <v>0</v>
      </c>
      <c r="BD17" s="63">
        <f>IF(DrawFinder!Y17=0,"",DrawFinder!Y17)</f>
        <v>1</v>
      </c>
      <c r="BF17" s="151" t="str">
        <f t="shared" ca="1" si="9"/>
        <v>04010302040605</v>
      </c>
      <c r="BH17" s="63" t="str">
        <f ca="1">IF(ISNUMBER(CS!C17)=FALSE,CONCATENATE(BG17,""),CONCATENATE(BG17,IF(ABS(CS!C17)&lt;10,"0",""),ABS(CS!C17)))</f>
        <v>04</v>
      </c>
      <c r="BI17" s="63" t="str">
        <f ca="1">IF(ISNUMBER(CS!D17)=FALSE,CONCATENATE(BH17,""),CONCATENATE(BH17,IF(ABS(CS!D17)&lt;10,"0",""),ABS(CS!D17)))</f>
        <v>04</v>
      </c>
      <c r="BJ17" s="63" t="str">
        <f ca="1">IF(ISNUMBER(CS!E17)=FALSE,CONCATENATE(BI17,""),CONCATENATE(BI17,IF(ABS(CS!E17)&lt;10,"0",""),ABS(CS!E17)))</f>
        <v>04</v>
      </c>
      <c r="BK17" s="63" t="str">
        <f ca="1">IF(ISNUMBER(CS!F17)=FALSE,CONCATENATE(BJ17,""),CONCATENATE(BJ17,IF(ABS(CS!F17)&lt;10,"0",""),ABS(CS!F17)))</f>
        <v>0401</v>
      </c>
      <c r="BL17" s="63" t="str">
        <f ca="1">IF(ISNUMBER(CS!G17)=FALSE,CONCATENATE(BK17,""),CONCATENATE(BK17,IF(ABS(CS!G17)&lt;10,"0",""),ABS(CS!G17)))</f>
        <v>040103</v>
      </c>
      <c r="BM17" s="63" t="str">
        <f ca="1">IF(ISNUMBER(CS!H17)=FALSE,CONCATENATE(BL17,""),CONCATENATE(BL17,IF(ABS(CS!H17)&lt;10,"0",""),ABS(CS!H17)))</f>
        <v>040103</v>
      </c>
      <c r="BN17" s="63" t="str">
        <f ca="1">IF(ISNUMBER(CS!I17)=FALSE,CONCATENATE(BM17,""),CONCATENATE(BM17,IF(ABS(CS!I17)&lt;10,"0",""),ABS(CS!I17)))</f>
        <v>040103</v>
      </c>
      <c r="BO17" s="63" t="str">
        <f ca="1">IF(ISNUMBER(CS!J17)=FALSE,CONCATENATE(BN17,""),CONCATENATE(BN17,IF(ABS(CS!J17)&lt;10,"0",""),ABS(CS!J17)))</f>
        <v>04010302</v>
      </c>
      <c r="BP17" s="63" t="str">
        <f ca="1">IF(ISNUMBER(CS!K17)=FALSE,CONCATENATE(BO17,""),CONCATENATE(BO17,IF(ABS(CS!K17)&lt;10,"0",""),ABS(CS!K17)))</f>
        <v>0401030204</v>
      </c>
      <c r="BQ17" s="63" t="str">
        <f ca="1">IF(ISNUMBER(CS!L17)=FALSE,CONCATENATE(BP17,""),CONCATENATE(BP17,IF(ABS(CS!L17)&lt;10,"0",""),ABS(CS!L17)))</f>
        <v>0401030204</v>
      </c>
      <c r="BR17" s="63" t="str">
        <f ca="1">IF(ISNUMBER(CS!M17)=FALSE,CONCATENATE(BQ17,""),CONCATENATE(BQ17,IF(ABS(CS!M17)&lt;10,"0",""),ABS(CS!M17)))</f>
        <v>0401030204</v>
      </c>
      <c r="BS17" s="63" t="str">
        <f ca="1">IF(ISNUMBER(CS!N17)=FALSE,CONCATENATE(BR17,""),CONCATENATE(BR17,IF(ABS(CS!N17)&lt;10,"0",""),ABS(CS!N17)))</f>
        <v>040103020406</v>
      </c>
      <c r="BT17" s="63" t="str">
        <f ca="1">IF(ISNUMBER(CS!O17)=FALSE,CONCATENATE(BS17,""),CONCATENATE(BS17,IF(ABS(CS!O17)&lt;10,"0",""),ABS(CS!O17)))</f>
        <v>04010302040605</v>
      </c>
      <c r="BU17" s="63" t="str">
        <f ca="1">IF(ISNUMBER(CS!P17)=FALSE,CONCATENATE(BT17,""),CONCATENATE(BT17,IF(ABS(CS!P17)&lt;10,"0",""),ABS(CS!P17)))</f>
        <v>04010302040605</v>
      </c>
      <c r="BV17" s="63" t="str">
        <f ca="1">IF(ISNUMBER(CS!Q17)=FALSE,CONCATENATE(BU17,""),CONCATENATE(BU17,IF(ABS(CS!Q17)&lt;10,"0",""),ABS(CS!Q17)))</f>
        <v>04010302040605</v>
      </c>
      <c r="BW17" s="63" t="str">
        <f ca="1">IF(ISNUMBER(CS!R17)=FALSE,CONCATENATE(BV17,""),CONCATENATE(BV17,IF(ABS(CS!R17)&lt;10,"0",""),ABS(CS!R17)))</f>
        <v>04010302040605</v>
      </c>
      <c r="BX17" s="63" t="str">
        <f ca="1">IF(ISNUMBER(CS!S17)=FALSE,CONCATENATE(BW17,""),CONCATENATE(BW17,IF(ABS(CS!S17)&lt;10,"0",""),ABS(CS!S17)))</f>
        <v>04010302040605</v>
      </c>
      <c r="BY17" s="63" t="str">
        <f ca="1">IF(ISNUMBER(CS!T17)=FALSE,CONCATENATE(BX17,""),CONCATENATE(BX17,IF(ABS(CS!T17)&lt;10,"0",""),ABS(CS!T17)))</f>
        <v>04010302040605</v>
      </c>
      <c r="BZ17" s="63" t="str">
        <f ca="1">IF(ISNUMBER(CS!U17)=FALSE,CONCATENATE(BY17,""),CONCATENATE(BY17,IF(ABS(CS!U17)&lt;10,"0",""),ABS(CS!U17)))</f>
        <v>04010302040605</v>
      </c>
      <c r="CA17" s="63" t="str">
        <f ca="1">IF(ISNUMBER(CS!V17)=FALSE,CONCATENATE(BZ17,""),CONCATENATE(BZ17,IF(ABS(CS!V17)&lt;10,"0",""),ABS(CS!V17)))</f>
        <v>04010302040605</v>
      </c>
      <c r="CB17" s="63" t="str">
        <f ca="1">IF(ISNUMBER(CS!W17)=FALSE,CONCATENATE(CA17,""),CONCATENATE(CA17,IF(ABS(CS!W17)&lt;10,"0",""),ABS(CS!W17)))</f>
        <v>04010302040605</v>
      </c>
      <c r="CC17" s="63" t="str">
        <f ca="1">IF(ISNUMBER(CS!X17)=FALSE,CONCATENATE(CB17,""),CONCATENATE(CB17,IF(ABS(CS!X17)&lt;10,"0",""),ABS(CS!X17)))</f>
        <v>04010302040605</v>
      </c>
      <c r="CD17" s="63" t="str">
        <f ca="1">IF(ISNUMBER(CS!Y17)=FALSE,CONCATENATE(CC17,""),CONCATENATE(CC17,IF(ABS(CS!Y17)&lt;10,"0",""),ABS(CS!Y17)))</f>
        <v>04010302040605</v>
      </c>
      <c r="CE17" s="63" t="str">
        <f ca="1">IF(ISNUMBER(CS!Z17)=FALSE,CONCATENATE(CD17,""),CONCATENATE(CD17,IF(ABS(CS!Z17)&lt;10,"0",""),ABS(CS!Z17)))</f>
        <v>04010302040605</v>
      </c>
      <c r="CF17" s="63" t="str">
        <f ca="1">IF(ISNUMBER(CS!AA17)=FALSE,CONCATENATE(CE17,""),CONCATENATE(CE17,IF(ABS(CS!AA17)&lt;10,"0",""),ABS(CS!AA17)))</f>
        <v>04010302040605</v>
      </c>
      <c r="CG17" s="63" t="str">
        <f ca="1">IF(ISNUMBER(CS!AB17)=FALSE,CONCATENATE(CF17,""),CONCATENATE(CF17,IF(ABS(CS!AB17)&lt;10,"0",""),ABS(CS!AB17)))</f>
        <v>04010302040605</v>
      </c>
      <c r="CH17" s="63" t="str">
        <f ca="1">IF(ISNUMBER(CS!AC17)=FALSE,CONCATENATE(CG17,""),CONCATENATE(CG17,IF(ABS(CS!AC17)&lt;10,"0",""),ABS(CS!AC17)))</f>
        <v>04010302040605</v>
      </c>
      <c r="CI17" s="63" t="str">
        <f ca="1">IF(ISNUMBER(CS!AD17)=FALSE,CONCATENATE(CH17,""),CONCATENATE(CH17,IF(ABS(CS!AD17)&lt;10,"0",""),ABS(CS!AD17)))</f>
        <v>04010302040605</v>
      </c>
      <c r="CJ17" s="63" t="str">
        <f ca="1">IF(ISNUMBER(CS!AE17)=FALSE,CONCATENATE(CI17,""),CONCATENATE(CI17,IF(ABS(CS!AE17)&lt;10,"0",""),ABS(CS!AE17)))</f>
        <v>04010302040605</v>
      </c>
      <c r="CK17" s="63" t="str">
        <f ca="1">IF(ISNUMBER(CS!AF17)=FALSE,CONCATENATE(CJ17,""),CONCATENATE(CJ17,IF(ABS(CS!AF17)&lt;10,"0",""),ABS(CS!AF17)))</f>
        <v>04010302040605</v>
      </c>
      <c r="CL17" s="63" t="str">
        <f ca="1">IF(ISNUMBER(CS!AG17)=FALSE,CONCATENATE(CK17,""),CONCATENATE(CK17,IF(ABS(CS!AG17)&lt;10,"0",""),ABS(CS!AG17)))</f>
        <v>04010302040605</v>
      </c>
      <c r="CM17" s="63" t="str">
        <f ca="1">IF(ISNUMBER(CS!AH17)=FALSE,CONCATENATE(CL17,""),CONCATENATE(CL17,IF(ABS(CS!AH17)&lt;10,"0",""),ABS(CS!AH17)))</f>
        <v>04010302040605</v>
      </c>
      <c r="CN17" s="63" t="str">
        <f ca="1">IF(ISNUMBER(CS!AI17)=FALSE,CONCATENATE(CM17,""),CONCATENATE(CM17,IF(ABS(CS!AI17)&lt;10,"0",""),ABS(CS!AI17)))</f>
        <v>04010302040605</v>
      </c>
      <c r="CO17" s="63" t="str">
        <f ca="1">IF(ISNUMBER(CS!AJ17)=FALSE,CONCATENATE(CN17,""),CONCATENATE(CN17,IF(ABS(CS!AJ17)&lt;10,"0",""),ABS(CS!AJ17)))</f>
        <v>04010302040605</v>
      </c>
      <c r="CP17" s="63" t="str">
        <f ca="1">IF(ISNUMBER(CS!AK17)=FALSE,CONCATENATE(CO17,""),CONCATENATE(CO17,IF(ABS(CS!AK17)&lt;10,"0",""),ABS(CS!AK17)))</f>
        <v>04010302040605</v>
      </c>
      <c r="CQ17" s="63" t="str">
        <f ca="1">IF(ISNUMBER(CS!AL17)=FALSE,CONCATENATE(CP17,""),CONCATENATE(CP17,IF(ABS(CS!AL17)&lt;10,"0",""),ABS(CS!AL17)))</f>
        <v>04010302040605</v>
      </c>
      <c r="CR17" s="63" t="str">
        <f ca="1">IF(ISNUMBER(CS!AM17)=FALSE,CONCATENATE(CQ17,""),CONCATENATE(CQ17,IF(ABS(CS!AM17)&lt;10,"0",""),ABS(CS!AM17)))</f>
        <v>04010302040605</v>
      </c>
      <c r="CS17" s="63" t="str">
        <f ca="1">IF(ISNUMBER(CS!AN17)=FALSE,CONCATENATE(CR17,""),CONCATENATE(CR17,IF(ABS(CS!AN17)&lt;10,"0",""),ABS(CS!AN17)))</f>
        <v>04010302040605</v>
      </c>
      <c r="CT17" s="63" t="str">
        <f ca="1">IF(ISNUMBER(CS!AO17)=FALSE,CONCATENATE(CS17,""),CONCATENATE(CS17,IF(ABS(CS!AO17)&lt;10,"0",""),ABS(CS!AO17)))</f>
        <v>04010302040605</v>
      </c>
      <c r="CU17" s="63" t="str">
        <f ca="1">IF(ISNUMBER(CS!AP17)=FALSE,CONCATENATE(CT17,""),CONCATENATE(CT17,IF(ABS(CS!AP17)&lt;10,"0",""),ABS(CS!AP17)))</f>
        <v>04010302040605</v>
      </c>
    </row>
    <row r="18" spans="2:99">
      <c r="B18" s="4" t="str">
        <f ca="1">CS!AR18</f>
        <v>Tm08</v>
      </c>
      <c r="C18" s="5">
        <f t="shared" ca="1" si="7"/>
        <v>3</v>
      </c>
      <c r="D18" s="5">
        <f t="shared" ca="1" si="8"/>
        <v>6</v>
      </c>
      <c r="E18" s="5">
        <f t="shared" ca="1" si="8"/>
        <v>2</v>
      </c>
      <c r="F18" s="5">
        <f t="shared" ca="1" si="8"/>
        <v>4</v>
      </c>
      <c r="G18" s="5">
        <f t="shared" ca="1" si="8"/>
        <v>3</v>
      </c>
      <c r="H18" s="5">
        <f t="shared" ca="1" si="8"/>
        <v>1</v>
      </c>
      <c r="I18" s="5">
        <f t="shared" ca="1" si="8"/>
        <v>5</v>
      </c>
      <c r="J18" s="5">
        <f t="shared" ca="1" si="1"/>
        <v>0</v>
      </c>
      <c r="K18" s="5">
        <f t="shared" ca="1" si="1"/>
        <v>0</v>
      </c>
      <c r="L18" s="5">
        <f t="shared" ca="1" si="1"/>
        <v>0</v>
      </c>
      <c r="M18" s="5">
        <f t="shared" ca="1" si="1"/>
        <v>0</v>
      </c>
      <c r="N18" s="5">
        <f t="shared" ca="1" si="1"/>
        <v>0</v>
      </c>
      <c r="O18" s="5">
        <f t="shared" ca="1" si="1"/>
        <v>0</v>
      </c>
      <c r="P18" s="5">
        <f t="shared" ca="1" si="1"/>
        <v>0</v>
      </c>
      <c r="Q18" s="5">
        <f t="shared" ca="1" si="1"/>
        <v>0</v>
      </c>
      <c r="R18" s="5">
        <f t="shared" ca="1" si="1"/>
        <v>0</v>
      </c>
      <c r="S18" s="5">
        <f t="shared" ca="1" si="1"/>
        <v>0</v>
      </c>
      <c r="T18" s="5">
        <f t="shared" ca="1" si="2"/>
        <v>0</v>
      </c>
      <c r="U18" s="5">
        <f t="shared" ca="1" si="2"/>
        <v>0</v>
      </c>
      <c r="V18" s="5">
        <f t="shared" ca="1" si="2"/>
        <v>0</v>
      </c>
      <c r="W18" s="5">
        <f t="shared" ca="1" si="2"/>
        <v>0</v>
      </c>
      <c r="X18" s="5">
        <f t="shared" ca="1" si="2"/>
        <v>0</v>
      </c>
      <c r="Y18" s="5">
        <f t="shared" ca="1" si="3"/>
        <v>0</v>
      </c>
      <c r="Z18" s="5">
        <f t="shared" ca="1" si="3"/>
        <v>0</v>
      </c>
      <c r="AA18" s="5">
        <f t="shared" ca="1" si="3"/>
        <v>0</v>
      </c>
      <c r="AB18" s="5">
        <f t="shared" ca="1" si="3"/>
        <v>0</v>
      </c>
      <c r="AC18" s="5">
        <f t="shared" ca="1" si="3"/>
        <v>0</v>
      </c>
      <c r="AD18" s="5">
        <f t="shared" ca="1" si="3"/>
        <v>0</v>
      </c>
      <c r="AE18" s="5">
        <f t="shared" ca="1" si="3"/>
        <v>0</v>
      </c>
      <c r="AF18" s="5">
        <f t="shared" ca="1" si="3"/>
        <v>0</v>
      </c>
      <c r="AG18" s="5">
        <f t="shared" ca="1" si="3"/>
        <v>0</v>
      </c>
      <c r="AH18" s="5">
        <f t="shared" ca="1" si="3"/>
        <v>0</v>
      </c>
      <c r="AI18" s="5">
        <f t="shared" ca="1" si="3"/>
        <v>0</v>
      </c>
      <c r="AJ18" s="5">
        <f t="shared" ca="1" si="3"/>
        <v>0</v>
      </c>
      <c r="AK18" s="5">
        <f t="shared" ca="1" si="3"/>
        <v>0</v>
      </c>
      <c r="AL18" s="5">
        <f t="shared" ca="1" si="3"/>
        <v>0</v>
      </c>
      <c r="AM18" s="5">
        <f t="shared" ca="1" si="3"/>
        <v>0</v>
      </c>
      <c r="AN18" s="5">
        <f t="shared" ca="1" si="4"/>
        <v>0</v>
      </c>
      <c r="AO18" s="5">
        <f t="shared" ca="1" si="4"/>
        <v>0</v>
      </c>
      <c r="AP18" s="5">
        <f t="shared" ca="1" si="4"/>
        <v>0</v>
      </c>
      <c r="AR18" s="4" t="str">
        <f t="shared" ca="1" si="5"/>
        <v>Tm08</v>
      </c>
      <c r="AS18" s="339">
        <f t="shared" ca="1" si="6"/>
        <v>1</v>
      </c>
      <c r="AT18" s="339">
        <f t="shared" ca="1" si="6"/>
        <v>1</v>
      </c>
      <c r="AU18" s="339">
        <f t="shared" ca="1" si="6"/>
        <v>2</v>
      </c>
      <c r="AV18" s="339">
        <f t="shared" ca="1" si="6"/>
        <v>1</v>
      </c>
      <c r="AW18" s="339">
        <f t="shared" ca="1" si="6"/>
        <v>1</v>
      </c>
      <c r="AX18" s="339">
        <f t="shared" ca="1" si="6"/>
        <v>1</v>
      </c>
      <c r="AY18" s="339">
        <f t="shared" ca="1" si="6"/>
        <v>0</v>
      </c>
      <c r="AZ18" s="339">
        <f t="shared" ca="1" si="6"/>
        <v>0</v>
      </c>
      <c r="BA18" s="339">
        <f t="shared" ca="1" si="6"/>
        <v>0</v>
      </c>
      <c r="BB18" s="339">
        <f t="shared" ca="1" si="6"/>
        <v>0</v>
      </c>
      <c r="BD18" s="63">
        <f>IF(DrawFinder!Y18=0,"",DrawFinder!Y18)</f>
        <v>1</v>
      </c>
      <c r="BF18" s="151" t="str">
        <f t="shared" ca="1" si="9"/>
        <v>03060204030105</v>
      </c>
      <c r="BH18" s="63" t="str">
        <f ca="1">IF(ISNUMBER(CS!C18)=FALSE,CONCATENATE(BG18,""),CONCATENATE(BG18,IF(ABS(CS!C18)&lt;10,"0",""),ABS(CS!C18)))</f>
        <v>03</v>
      </c>
      <c r="BI18" s="63" t="str">
        <f ca="1">IF(ISNUMBER(CS!D18)=FALSE,CONCATENATE(BH18,""),CONCATENATE(BH18,IF(ABS(CS!D18)&lt;10,"0",""),ABS(CS!D18)))</f>
        <v>03</v>
      </c>
      <c r="BJ18" s="63" t="str">
        <f ca="1">IF(ISNUMBER(CS!E18)=FALSE,CONCATENATE(BI18,""),CONCATENATE(BI18,IF(ABS(CS!E18)&lt;10,"0",""),ABS(CS!E18)))</f>
        <v>03</v>
      </c>
      <c r="BK18" s="63" t="str">
        <f ca="1">IF(ISNUMBER(CS!F18)=FALSE,CONCATENATE(BJ18,""),CONCATENATE(BJ18,IF(ABS(CS!F18)&lt;10,"0",""),ABS(CS!F18)))</f>
        <v>0306</v>
      </c>
      <c r="BL18" s="63" t="str">
        <f ca="1">IF(ISNUMBER(CS!G18)=FALSE,CONCATENATE(BK18,""),CONCATENATE(BK18,IF(ABS(CS!G18)&lt;10,"0",""),ABS(CS!G18)))</f>
        <v>030602</v>
      </c>
      <c r="BM18" s="63" t="str">
        <f ca="1">IF(ISNUMBER(CS!H18)=FALSE,CONCATENATE(BL18,""),CONCATENATE(BL18,IF(ABS(CS!H18)&lt;10,"0",""),ABS(CS!H18)))</f>
        <v>030602</v>
      </c>
      <c r="BN18" s="63" t="str">
        <f ca="1">IF(ISNUMBER(CS!I18)=FALSE,CONCATENATE(BM18,""),CONCATENATE(BM18,IF(ABS(CS!I18)&lt;10,"0",""),ABS(CS!I18)))</f>
        <v>030602</v>
      </c>
      <c r="BO18" s="63" t="str">
        <f ca="1">IF(ISNUMBER(CS!J18)=FALSE,CONCATENATE(BN18,""),CONCATENATE(BN18,IF(ABS(CS!J18)&lt;10,"0",""),ABS(CS!J18)))</f>
        <v>03060204</v>
      </c>
      <c r="BP18" s="63" t="str">
        <f ca="1">IF(ISNUMBER(CS!K18)=FALSE,CONCATENATE(BO18,""),CONCATENATE(BO18,IF(ABS(CS!K18)&lt;10,"0",""),ABS(CS!K18)))</f>
        <v>0306020403</v>
      </c>
      <c r="BQ18" s="63" t="str">
        <f ca="1">IF(ISNUMBER(CS!L18)=FALSE,CONCATENATE(BP18,""),CONCATENATE(BP18,IF(ABS(CS!L18)&lt;10,"0",""),ABS(CS!L18)))</f>
        <v>0306020403</v>
      </c>
      <c r="BR18" s="63" t="str">
        <f ca="1">IF(ISNUMBER(CS!M18)=FALSE,CONCATENATE(BQ18,""),CONCATENATE(BQ18,IF(ABS(CS!M18)&lt;10,"0",""),ABS(CS!M18)))</f>
        <v>0306020403</v>
      </c>
      <c r="BS18" s="63" t="str">
        <f ca="1">IF(ISNUMBER(CS!N18)=FALSE,CONCATENATE(BR18,""),CONCATENATE(BR18,IF(ABS(CS!N18)&lt;10,"0",""),ABS(CS!N18)))</f>
        <v>030602040301</v>
      </c>
      <c r="BT18" s="63" t="str">
        <f ca="1">IF(ISNUMBER(CS!O18)=FALSE,CONCATENATE(BS18,""),CONCATENATE(BS18,IF(ABS(CS!O18)&lt;10,"0",""),ABS(CS!O18)))</f>
        <v>03060204030105</v>
      </c>
      <c r="BU18" s="63" t="str">
        <f ca="1">IF(ISNUMBER(CS!P18)=FALSE,CONCATENATE(BT18,""),CONCATENATE(BT18,IF(ABS(CS!P18)&lt;10,"0",""),ABS(CS!P18)))</f>
        <v>03060204030105</v>
      </c>
      <c r="BV18" s="63" t="str">
        <f ca="1">IF(ISNUMBER(CS!Q18)=FALSE,CONCATENATE(BU18,""),CONCATENATE(BU18,IF(ABS(CS!Q18)&lt;10,"0",""),ABS(CS!Q18)))</f>
        <v>03060204030105</v>
      </c>
      <c r="BW18" s="63" t="str">
        <f ca="1">IF(ISNUMBER(CS!R18)=FALSE,CONCATENATE(BV18,""),CONCATENATE(BV18,IF(ABS(CS!R18)&lt;10,"0",""),ABS(CS!R18)))</f>
        <v>03060204030105</v>
      </c>
      <c r="BX18" s="63" t="str">
        <f ca="1">IF(ISNUMBER(CS!S18)=FALSE,CONCATENATE(BW18,""),CONCATENATE(BW18,IF(ABS(CS!S18)&lt;10,"0",""),ABS(CS!S18)))</f>
        <v>03060204030105</v>
      </c>
      <c r="BY18" s="63" t="str">
        <f ca="1">IF(ISNUMBER(CS!T18)=FALSE,CONCATENATE(BX18,""),CONCATENATE(BX18,IF(ABS(CS!T18)&lt;10,"0",""),ABS(CS!T18)))</f>
        <v>03060204030105</v>
      </c>
      <c r="BZ18" s="63" t="str">
        <f ca="1">IF(ISNUMBER(CS!U18)=FALSE,CONCATENATE(BY18,""),CONCATENATE(BY18,IF(ABS(CS!U18)&lt;10,"0",""),ABS(CS!U18)))</f>
        <v>03060204030105</v>
      </c>
      <c r="CA18" s="63" t="str">
        <f ca="1">IF(ISNUMBER(CS!V18)=FALSE,CONCATENATE(BZ18,""),CONCATENATE(BZ18,IF(ABS(CS!V18)&lt;10,"0",""),ABS(CS!V18)))</f>
        <v>03060204030105</v>
      </c>
      <c r="CB18" s="63" t="str">
        <f ca="1">IF(ISNUMBER(CS!W18)=FALSE,CONCATENATE(CA18,""),CONCATENATE(CA18,IF(ABS(CS!W18)&lt;10,"0",""),ABS(CS!W18)))</f>
        <v>03060204030105</v>
      </c>
      <c r="CC18" s="63" t="str">
        <f ca="1">IF(ISNUMBER(CS!X18)=FALSE,CONCATENATE(CB18,""),CONCATENATE(CB18,IF(ABS(CS!X18)&lt;10,"0",""),ABS(CS!X18)))</f>
        <v>03060204030105</v>
      </c>
      <c r="CD18" s="63" t="str">
        <f ca="1">IF(ISNUMBER(CS!Y18)=FALSE,CONCATENATE(CC18,""),CONCATENATE(CC18,IF(ABS(CS!Y18)&lt;10,"0",""),ABS(CS!Y18)))</f>
        <v>03060204030105</v>
      </c>
      <c r="CE18" s="63" t="str">
        <f ca="1">IF(ISNUMBER(CS!Z18)=FALSE,CONCATENATE(CD18,""),CONCATENATE(CD18,IF(ABS(CS!Z18)&lt;10,"0",""),ABS(CS!Z18)))</f>
        <v>03060204030105</v>
      </c>
      <c r="CF18" s="63" t="str">
        <f ca="1">IF(ISNUMBER(CS!AA18)=FALSE,CONCATENATE(CE18,""),CONCATENATE(CE18,IF(ABS(CS!AA18)&lt;10,"0",""),ABS(CS!AA18)))</f>
        <v>03060204030105</v>
      </c>
      <c r="CG18" s="63" t="str">
        <f ca="1">IF(ISNUMBER(CS!AB18)=FALSE,CONCATENATE(CF18,""),CONCATENATE(CF18,IF(ABS(CS!AB18)&lt;10,"0",""),ABS(CS!AB18)))</f>
        <v>03060204030105</v>
      </c>
      <c r="CH18" s="63" t="str">
        <f ca="1">IF(ISNUMBER(CS!AC18)=FALSE,CONCATENATE(CG18,""),CONCATENATE(CG18,IF(ABS(CS!AC18)&lt;10,"0",""),ABS(CS!AC18)))</f>
        <v>03060204030105</v>
      </c>
      <c r="CI18" s="63" t="str">
        <f ca="1">IF(ISNUMBER(CS!AD18)=FALSE,CONCATENATE(CH18,""),CONCATENATE(CH18,IF(ABS(CS!AD18)&lt;10,"0",""),ABS(CS!AD18)))</f>
        <v>03060204030105</v>
      </c>
      <c r="CJ18" s="63" t="str">
        <f ca="1">IF(ISNUMBER(CS!AE18)=FALSE,CONCATENATE(CI18,""),CONCATENATE(CI18,IF(ABS(CS!AE18)&lt;10,"0",""),ABS(CS!AE18)))</f>
        <v>03060204030105</v>
      </c>
      <c r="CK18" s="63" t="str">
        <f ca="1">IF(ISNUMBER(CS!AF18)=FALSE,CONCATENATE(CJ18,""),CONCATENATE(CJ18,IF(ABS(CS!AF18)&lt;10,"0",""),ABS(CS!AF18)))</f>
        <v>03060204030105</v>
      </c>
      <c r="CL18" s="63" t="str">
        <f ca="1">IF(ISNUMBER(CS!AG18)=FALSE,CONCATENATE(CK18,""),CONCATENATE(CK18,IF(ABS(CS!AG18)&lt;10,"0",""),ABS(CS!AG18)))</f>
        <v>03060204030105</v>
      </c>
      <c r="CM18" s="63" t="str">
        <f ca="1">IF(ISNUMBER(CS!AH18)=FALSE,CONCATENATE(CL18,""),CONCATENATE(CL18,IF(ABS(CS!AH18)&lt;10,"0",""),ABS(CS!AH18)))</f>
        <v>03060204030105</v>
      </c>
      <c r="CN18" s="63" t="str">
        <f ca="1">IF(ISNUMBER(CS!AI18)=FALSE,CONCATENATE(CM18,""),CONCATENATE(CM18,IF(ABS(CS!AI18)&lt;10,"0",""),ABS(CS!AI18)))</f>
        <v>03060204030105</v>
      </c>
      <c r="CO18" s="63" t="str">
        <f ca="1">IF(ISNUMBER(CS!AJ18)=FALSE,CONCATENATE(CN18,""),CONCATENATE(CN18,IF(ABS(CS!AJ18)&lt;10,"0",""),ABS(CS!AJ18)))</f>
        <v>03060204030105</v>
      </c>
      <c r="CP18" s="63" t="str">
        <f ca="1">IF(ISNUMBER(CS!AK18)=FALSE,CONCATENATE(CO18,""),CONCATENATE(CO18,IF(ABS(CS!AK18)&lt;10,"0",""),ABS(CS!AK18)))</f>
        <v>03060204030105</v>
      </c>
      <c r="CQ18" s="63" t="str">
        <f ca="1">IF(ISNUMBER(CS!AL18)=FALSE,CONCATENATE(CP18,""),CONCATENATE(CP18,IF(ABS(CS!AL18)&lt;10,"0",""),ABS(CS!AL18)))</f>
        <v>03060204030105</v>
      </c>
      <c r="CR18" s="63" t="str">
        <f ca="1">IF(ISNUMBER(CS!AM18)=FALSE,CONCATENATE(CQ18,""),CONCATENATE(CQ18,IF(ABS(CS!AM18)&lt;10,"0",""),ABS(CS!AM18)))</f>
        <v>03060204030105</v>
      </c>
      <c r="CS18" s="63" t="str">
        <f ca="1">IF(ISNUMBER(CS!AN18)=FALSE,CONCATENATE(CR18,""),CONCATENATE(CR18,IF(ABS(CS!AN18)&lt;10,"0",""),ABS(CS!AN18)))</f>
        <v>03060204030105</v>
      </c>
      <c r="CT18" s="63" t="str">
        <f ca="1">IF(ISNUMBER(CS!AO18)=FALSE,CONCATENATE(CS18,""),CONCATENATE(CS18,IF(ABS(CS!AO18)&lt;10,"0",""),ABS(CS!AO18)))</f>
        <v>03060204030105</v>
      </c>
      <c r="CU18" s="63" t="str">
        <f ca="1">IF(ISNUMBER(CS!AP18)=FALSE,CONCATENATE(CT18,""),CONCATENATE(CT18,IF(ABS(CS!AP18)&lt;10,"0",""),ABS(CS!AP18)))</f>
        <v>03060204030105</v>
      </c>
    </row>
    <row r="19" spans="2:99">
      <c r="B19" s="4" t="str">
        <f ca="1">CS!AR19</f>
        <v>Tm09</v>
      </c>
      <c r="C19" s="5">
        <f t="shared" ca="1" si="7"/>
        <v>4</v>
      </c>
      <c r="D19" s="5">
        <f t="shared" ca="1" si="8"/>
        <v>2</v>
      </c>
      <c r="E19" s="5">
        <f t="shared" ca="1" si="8"/>
        <v>6</v>
      </c>
      <c r="F19" s="5">
        <f t="shared" ca="1" si="8"/>
        <v>4</v>
      </c>
      <c r="G19" s="5">
        <f t="shared" ca="1" si="8"/>
        <v>1</v>
      </c>
      <c r="H19" s="5">
        <f t="shared" ca="1" si="8"/>
        <v>5</v>
      </c>
      <c r="I19" s="5">
        <f t="shared" ca="1" si="8"/>
        <v>3</v>
      </c>
      <c r="J19" s="5">
        <f t="shared" ca="1" si="1"/>
        <v>0</v>
      </c>
      <c r="K19" s="5">
        <f t="shared" ca="1" si="1"/>
        <v>0</v>
      </c>
      <c r="L19" s="5">
        <f t="shared" ca="1" si="1"/>
        <v>0</v>
      </c>
      <c r="M19" s="5">
        <f t="shared" ca="1" si="1"/>
        <v>0</v>
      </c>
      <c r="N19" s="5">
        <f t="shared" ca="1" si="1"/>
        <v>0</v>
      </c>
      <c r="O19" s="5">
        <f t="shared" ca="1" si="1"/>
        <v>0</v>
      </c>
      <c r="P19" s="5">
        <f t="shared" ca="1" si="1"/>
        <v>0</v>
      </c>
      <c r="Q19" s="5">
        <f t="shared" ca="1" si="1"/>
        <v>0</v>
      </c>
      <c r="R19" s="5">
        <f t="shared" ca="1" si="1"/>
        <v>0</v>
      </c>
      <c r="S19" s="5">
        <f t="shared" ca="1" si="1"/>
        <v>0</v>
      </c>
      <c r="T19" s="5">
        <f t="shared" ca="1" si="2"/>
        <v>0</v>
      </c>
      <c r="U19" s="5">
        <f t="shared" ca="1" si="2"/>
        <v>0</v>
      </c>
      <c r="V19" s="5">
        <f t="shared" ca="1" si="2"/>
        <v>0</v>
      </c>
      <c r="W19" s="5">
        <f t="shared" ca="1" si="2"/>
        <v>0</v>
      </c>
      <c r="X19" s="5">
        <f t="shared" ca="1" si="2"/>
        <v>0</v>
      </c>
      <c r="Y19" s="5">
        <f t="shared" ca="1" si="3"/>
        <v>0</v>
      </c>
      <c r="Z19" s="5">
        <f t="shared" ca="1" si="3"/>
        <v>0</v>
      </c>
      <c r="AA19" s="5">
        <f t="shared" ca="1" si="3"/>
        <v>0</v>
      </c>
      <c r="AB19" s="5">
        <f t="shared" ca="1" si="3"/>
        <v>0</v>
      </c>
      <c r="AC19" s="5">
        <f t="shared" ca="1" si="3"/>
        <v>0</v>
      </c>
      <c r="AD19" s="5">
        <f t="shared" ca="1" si="3"/>
        <v>0</v>
      </c>
      <c r="AE19" s="5">
        <f t="shared" ca="1" si="3"/>
        <v>0</v>
      </c>
      <c r="AF19" s="5">
        <f t="shared" ca="1" si="3"/>
        <v>0</v>
      </c>
      <c r="AG19" s="5">
        <f t="shared" ca="1" si="3"/>
        <v>0</v>
      </c>
      <c r="AH19" s="5">
        <f t="shared" ca="1" si="3"/>
        <v>0</v>
      </c>
      <c r="AI19" s="5">
        <f t="shared" ca="1" si="3"/>
        <v>0</v>
      </c>
      <c r="AJ19" s="5">
        <f t="shared" ca="1" si="3"/>
        <v>0</v>
      </c>
      <c r="AK19" s="5">
        <f t="shared" ca="1" si="3"/>
        <v>0</v>
      </c>
      <c r="AL19" s="5">
        <f t="shared" ca="1" si="3"/>
        <v>0</v>
      </c>
      <c r="AM19" s="5">
        <f t="shared" ca="1" si="3"/>
        <v>0</v>
      </c>
      <c r="AN19" s="5">
        <f t="shared" ca="1" si="4"/>
        <v>0</v>
      </c>
      <c r="AO19" s="5">
        <f t="shared" ca="1" si="4"/>
        <v>0</v>
      </c>
      <c r="AP19" s="5">
        <f t="shared" ca="1" si="4"/>
        <v>0</v>
      </c>
      <c r="AR19" s="4" t="str">
        <f t="shared" ca="1" si="5"/>
        <v>Tm09</v>
      </c>
      <c r="AS19" s="339">
        <f t="shared" ca="1" si="6"/>
        <v>1</v>
      </c>
      <c r="AT19" s="339">
        <f t="shared" ca="1" si="6"/>
        <v>1</v>
      </c>
      <c r="AU19" s="339">
        <f t="shared" ca="1" si="6"/>
        <v>1</v>
      </c>
      <c r="AV19" s="339">
        <f t="shared" ca="1" si="6"/>
        <v>2</v>
      </c>
      <c r="AW19" s="339">
        <f t="shared" ca="1" si="6"/>
        <v>1</v>
      </c>
      <c r="AX19" s="339">
        <f t="shared" ca="1" si="6"/>
        <v>1</v>
      </c>
      <c r="AY19" s="339">
        <f t="shared" ca="1" si="6"/>
        <v>0</v>
      </c>
      <c r="AZ19" s="339">
        <f t="shared" ref="AT19:BB26" ca="1" si="10">COUNTIF($C19:$AP19,AZ$9)</f>
        <v>0</v>
      </c>
      <c r="BA19" s="339">
        <f t="shared" ca="1" si="10"/>
        <v>0</v>
      </c>
      <c r="BB19" s="339">
        <f t="shared" ca="1" si="10"/>
        <v>0</v>
      </c>
      <c r="BD19" s="63">
        <f>IF(DrawFinder!Y19=0,"",DrawFinder!Y19)</f>
        <v>2</v>
      </c>
      <c r="BF19" s="151" t="str">
        <f t="shared" ca="1" si="9"/>
        <v>04020604010503</v>
      </c>
      <c r="BH19" s="63" t="str">
        <f ca="1">IF(ISNUMBER(CS!C19)=FALSE,CONCATENATE(BG19,""),CONCATENATE(BG19,IF(ABS(CS!C19)&lt;10,"0",""),ABS(CS!C19)))</f>
        <v/>
      </c>
      <c r="BI19" s="63" t="str">
        <f ca="1">IF(ISNUMBER(CS!D19)=FALSE,CONCATENATE(BH19,""),CONCATENATE(BH19,IF(ABS(CS!D19)&lt;10,"0",""),ABS(CS!D19)))</f>
        <v>04</v>
      </c>
      <c r="BJ19" s="63" t="str">
        <f ca="1">IF(ISNUMBER(CS!E19)=FALSE,CONCATENATE(BI19,""),CONCATENATE(BI19,IF(ABS(CS!E19)&lt;10,"0",""),ABS(CS!E19)))</f>
        <v>0402</v>
      </c>
      <c r="BK19" s="63" t="str">
        <f ca="1">IF(ISNUMBER(CS!F19)=FALSE,CONCATENATE(BJ19,""),CONCATENATE(BJ19,IF(ABS(CS!F19)&lt;10,"0",""),ABS(CS!F19)))</f>
        <v>0402</v>
      </c>
      <c r="BL19" s="63" t="str">
        <f ca="1">IF(ISNUMBER(CS!G19)=FALSE,CONCATENATE(BK19,""),CONCATENATE(BK19,IF(ABS(CS!G19)&lt;10,"0",""),ABS(CS!G19)))</f>
        <v>0402</v>
      </c>
      <c r="BM19" s="63" t="str">
        <f ca="1">IF(ISNUMBER(CS!H19)=FALSE,CONCATENATE(BL19,""),CONCATENATE(BL19,IF(ABS(CS!H19)&lt;10,"0",""),ABS(CS!H19)))</f>
        <v>040206</v>
      </c>
      <c r="BN19" s="63" t="str">
        <f ca="1">IF(ISNUMBER(CS!I19)=FALSE,CONCATENATE(BM19,""),CONCATENATE(BM19,IF(ABS(CS!I19)&lt;10,"0",""),ABS(CS!I19)))</f>
        <v>04020604</v>
      </c>
      <c r="BO19" s="63" t="str">
        <f ca="1">IF(ISNUMBER(CS!J19)=FALSE,CONCATENATE(BN19,""),CONCATENATE(BN19,IF(ABS(CS!J19)&lt;10,"0",""),ABS(CS!J19)))</f>
        <v>04020604</v>
      </c>
      <c r="BP19" s="63" t="str">
        <f ca="1">IF(ISNUMBER(CS!K19)=FALSE,CONCATENATE(BO19,""),CONCATENATE(BO19,IF(ABS(CS!K19)&lt;10,"0",""),ABS(CS!K19)))</f>
        <v>04020604</v>
      </c>
      <c r="BQ19" s="63" t="str">
        <f ca="1">IF(ISNUMBER(CS!L19)=FALSE,CONCATENATE(BP19,""),CONCATENATE(BP19,IF(ABS(CS!L19)&lt;10,"0",""),ABS(CS!L19)))</f>
        <v>0402060401</v>
      </c>
      <c r="BR19" s="63" t="str">
        <f ca="1">IF(ISNUMBER(CS!M19)=FALSE,CONCATENATE(BQ19,""),CONCATENATE(BQ19,IF(ABS(CS!M19)&lt;10,"0",""),ABS(CS!M19)))</f>
        <v>040206040105</v>
      </c>
      <c r="BS19" s="63" t="str">
        <f ca="1">IF(ISNUMBER(CS!N19)=FALSE,CONCATENATE(BR19,""),CONCATENATE(BR19,IF(ABS(CS!N19)&lt;10,"0",""),ABS(CS!N19)))</f>
        <v>040206040105</v>
      </c>
      <c r="BT19" s="63" t="str">
        <f ca="1">IF(ISNUMBER(CS!O19)=FALSE,CONCATENATE(BS19,""),CONCATENATE(BS19,IF(ABS(CS!O19)&lt;10,"0",""),ABS(CS!O19)))</f>
        <v>040206040105</v>
      </c>
      <c r="BU19" s="63" t="str">
        <f ca="1">IF(ISNUMBER(CS!P19)=FALSE,CONCATENATE(BT19,""),CONCATENATE(BT19,IF(ABS(CS!P19)&lt;10,"0",""),ABS(CS!P19)))</f>
        <v>04020604010503</v>
      </c>
      <c r="BV19" s="63" t="str">
        <f ca="1">IF(ISNUMBER(CS!Q19)=FALSE,CONCATENATE(BU19,""),CONCATENATE(BU19,IF(ABS(CS!Q19)&lt;10,"0",""),ABS(CS!Q19)))</f>
        <v>04020604010503</v>
      </c>
      <c r="BW19" s="63" t="str">
        <f ca="1">IF(ISNUMBER(CS!R19)=FALSE,CONCATENATE(BV19,""),CONCATENATE(BV19,IF(ABS(CS!R19)&lt;10,"0",""),ABS(CS!R19)))</f>
        <v>04020604010503</v>
      </c>
      <c r="BX19" s="63" t="str">
        <f ca="1">IF(ISNUMBER(CS!S19)=FALSE,CONCATENATE(BW19,""),CONCATENATE(BW19,IF(ABS(CS!S19)&lt;10,"0",""),ABS(CS!S19)))</f>
        <v>04020604010503</v>
      </c>
      <c r="BY19" s="63" t="str">
        <f ca="1">IF(ISNUMBER(CS!T19)=FALSE,CONCATENATE(BX19,""),CONCATENATE(BX19,IF(ABS(CS!T19)&lt;10,"0",""),ABS(CS!T19)))</f>
        <v>04020604010503</v>
      </c>
      <c r="BZ19" s="63" t="str">
        <f ca="1">IF(ISNUMBER(CS!U19)=FALSE,CONCATENATE(BY19,""),CONCATENATE(BY19,IF(ABS(CS!U19)&lt;10,"0",""),ABS(CS!U19)))</f>
        <v>04020604010503</v>
      </c>
      <c r="CA19" s="63" t="str">
        <f ca="1">IF(ISNUMBER(CS!V19)=FALSE,CONCATENATE(BZ19,""),CONCATENATE(BZ19,IF(ABS(CS!V19)&lt;10,"0",""),ABS(CS!V19)))</f>
        <v>04020604010503</v>
      </c>
      <c r="CB19" s="63" t="str">
        <f ca="1">IF(ISNUMBER(CS!W19)=FALSE,CONCATENATE(CA19,""),CONCATENATE(CA19,IF(ABS(CS!W19)&lt;10,"0",""),ABS(CS!W19)))</f>
        <v>04020604010503</v>
      </c>
      <c r="CC19" s="63" t="str">
        <f ca="1">IF(ISNUMBER(CS!X19)=FALSE,CONCATENATE(CB19,""),CONCATENATE(CB19,IF(ABS(CS!X19)&lt;10,"0",""),ABS(CS!X19)))</f>
        <v>04020604010503</v>
      </c>
      <c r="CD19" s="63" t="str">
        <f ca="1">IF(ISNUMBER(CS!Y19)=FALSE,CONCATENATE(CC19,""),CONCATENATE(CC19,IF(ABS(CS!Y19)&lt;10,"0",""),ABS(CS!Y19)))</f>
        <v>04020604010503</v>
      </c>
      <c r="CE19" s="63" t="str">
        <f ca="1">IF(ISNUMBER(CS!Z19)=FALSE,CONCATENATE(CD19,""),CONCATENATE(CD19,IF(ABS(CS!Z19)&lt;10,"0",""),ABS(CS!Z19)))</f>
        <v>04020604010503</v>
      </c>
      <c r="CF19" s="63" t="str">
        <f ca="1">IF(ISNUMBER(CS!AA19)=FALSE,CONCATENATE(CE19,""),CONCATENATE(CE19,IF(ABS(CS!AA19)&lt;10,"0",""),ABS(CS!AA19)))</f>
        <v>04020604010503</v>
      </c>
      <c r="CG19" s="63" t="str">
        <f ca="1">IF(ISNUMBER(CS!AB19)=FALSE,CONCATENATE(CF19,""),CONCATENATE(CF19,IF(ABS(CS!AB19)&lt;10,"0",""),ABS(CS!AB19)))</f>
        <v>04020604010503</v>
      </c>
      <c r="CH19" s="63" t="str">
        <f ca="1">IF(ISNUMBER(CS!AC19)=FALSE,CONCATENATE(CG19,""),CONCATENATE(CG19,IF(ABS(CS!AC19)&lt;10,"0",""),ABS(CS!AC19)))</f>
        <v>04020604010503</v>
      </c>
      <c r="CI19" s="63" t="str">
        <f ca="1">IF(ISNUMBER(CS!AD19)=FALSE,CONCATENATE(CH19,""),CONCATENATE(CH19,IF(ABS(CS!AD19)&lt;10,"0",""),ABS(CS!AD19)))</f>
        <v>04020604010503</v>
      </c>
      <c r="CJ19" s="63" t="str">
        <f ca="1">IF(ISNUMBER(CS!AE19)=FALSE,CONCATENATE(CI19,""),CONCATENATE(CI19,IF(ABS(CS!AE19)&lt;10,"0",""),ABS(CS!AE19)))</f>
        <v>04020604010503</v>
      </c>
      <c r="CK19" s="63" t="str">
        <f ca="1">IF(ISNUMBER(CS!AF19)=FALSE,CONCATENATE(CJ19,""),CONCATENATE(CJ19,IF(ABS(CS!AF19)&lt;10,"0",""),ABS(CS!AF19)))</f>
        <v>04020604010503</v>
      </c>
      <c r="CL19" s="63" t="str">
        <f ca="1">IF(ISNUMBER(CS!AG19)=FALSE,CONCATENATE(CK19,""),CONCATENATE(CK19,IF(ABS(CS!AG19)&lt;10,"0",""),ABS(CS!AG19)))</f>
        <v>04020604010503</v>
      </c>
      <c r="CM19" s="63" t="str">
        <f ca="1">IF(ISNUMBER(CS!AH19)=FALSE,CONCATENATE(CL19,""),CONCATENATE(CL19,IF(ABS(CS!AH19)&lt;10,"0",""),ABS(CS!AH19)))</f>
        <v>04020604010503</v>
      </c>
      <c r="CN19" s="63" t="str">
        <f ca="1">IF(ISNUMBER(CS!AI19)=FALSE,CONCATENATE(CM19,""),CONCATENATE(CM19,IF(ABS(CS!AI19)&lt;10,"0",""),ABS(CS!AI19)))</f>
        <v>04020604010503</v>
      </c>
      <c r="CO19" s="63" t="str">
        <f ca="1">IF(ISNUMBER(CS!AJ19)=FALSE,CONCATENATE(CN19,""),CONCATENATE(CN19,IF(ABS(CS!AJ19)&lt;10,"0",""),ABS(CS!AJ19)))</f>
        <v>04020604010503</v>
      </c>
      <c r="CP19" s="63" t="str">
        <f ca="1">IF(ISNUMBER(CS!AK19)=FALSE,CONCATENATE(CO19,""),CONCATENATE(CO19,IF(ABS(CS!AK19)&lt;10,"0",""),ABS(CS!AK19)))</f>
        <v>04020604010503</v>
      </c>
      <c r="CQ19" s="63" t="str">
        <f ca="1">IF(ISNUMBER(CS!AL19)=FALSE,CONCATENATE(CP19,""),CONCATENATE(CP19,IF(ABS(CS!AL19)&lt;10,"0",""),ABS(CS!AL19)))</f>
        <v>04020604010503</v>
      </c>
      <c r="CR19" s="63" t="str">
        <f ca="1">IF(ISNUMBER(CS!AM19)=FALSE,CONCATENATE(CQ19,""),CONCATENATE(CQ19,IF(ABS(CS!AM19)&lt;10,"0",""),ABS(CS!AM19)))</f>
        <v>04020604010503</v>
      </c>
      <c r="CS19" s="63" t="str">
        <f ca="1">IF(ISNUMBER(CS!AN19)=FALSE,CONCATENATE(CR19,""),CONCATENATE(CR19,IF(ABS(CS!AN19)&lt;10,"0",""),ABS(CS!AN19)))</f>
        <v>04020604010503</v>
      </c>
      <c r="CT19" s="63" t="str">
        <f ca="1">IF(ISNUMBER(CS!AO19)=FALSE,CONCATENATE(CS19,""),CONCATENATE(CS19,IF(ABS(CS!AO19)&lt;10,"0",""),ABS(CS!AO19)))</f>
        <v>04020604010503</v>
      </c>
      <c r="CU19" s="63" t="str">
        <f ca="1">IF(ISNUMBER(CS!AP19)=FALSE,CONCATENATE(CT19,""),CONCATENATE(CT19,IF(ABS(CS!AP19)&lt;10,"0",""),ABS(CS!AP19)))</f>
        <v>04020604010503</v>
      </c>
    </row>
    <row r="20" spans="2:99">
      <c r="B20" s="4" t="str">
        <f ca="1">CS!AR20</f>
        <v>Tm10</v>
      </c>
      <c r="C20" s="5">
        <f t="shared" ca="1" si="7"/>
        <v>3</v>
      </c>
      <c r="D20" s="5">
        <f t="shared" ca="1" si="8"/>
        <v>4</v>
      </c>
      <c r="E20" s="5">
        <f t="shared" ca="1" si="8"/>
        <v>1</v>
      </c>
      <c r="F20" s="5">
        <f t="shared" ca="1" si="8"/>
        <v>5</v>
      </c>
      <c r="G20" s="5">
        <f t="shared" ca="1" si="8"/>
        <v>6</v>
      </c>
      <c r="H20" s="5">
        <f t="shared" ca="1" si="8"/>
        <v>2</v>
      </c>
      <c r="I20" s="5">
        <f t="shared" ca="1" si="8"/>
        <v>3</v>
      </c>
      <c r="J20" s="5">
        <f t="shared" ca="1" si="1"/>
        <v>0</v>
      </c>
      <c r="K20" s="5">
        <f t="shared" ca="1" si="1"/>
        <v>0</v>
      </c>
      <c r="L20" s="5">
        <f t="shared" ca="1" si="1"/>
        <v>0</v>
      </c>
      <c r="M20" s="5">
        <f t="shared" ca="1" si="1"/>
        <v>0</v>
      </c>
      <c r="N20" s="5">
        <f t="shared" ca="1" si="1"/>
        <v>0</v>
      </c>
      <c r="O20" s="5">
        <f t="shared" ca="1" si="1"/>
        <v>0</v>
      </c>
      <c r="P20" s="5">
        <f t="shared" ca="1" si="1"/>
        <v>0</v>
      </c>
      <c r="Q20" s="5">
        <f t="shared" ca="1" si="1"/>
        <v>0</v>
      </c>
      <c r="R20" s="5">
        <f t="shared" ca="1" si="1"/>
        <v>0</v>
      </c>
      <c r="S20" s="5">
        <f t="shared" ca="1" si="1"/>
        <v>0</v>
      </c>
      <c r="T20" s="5">
        <f t="shared" ca="1" si="2"/>
        <v>0</v>
      </c>
      <c r="U20" s="5">
        <f t="shared" ca="1" si="2"/>
        <v>0</v>
      </c>
      <c r="V20" s="5">
        <f t="shared" ca="1" si="2"/>
        <v>0</v>
      </c>
      <c r="W20" s="5">
        <f t="shared" ca="1" si="2"/>
        <v>0</v>
      </c>
      <c r="X20" s="5">
        <f t="shared" ca="1" si="2"/>
        <v>0</v>
      </c>
      <c r="Y20" s="5">
        <f t="shared" ca="1" si="3"/>
        <v>0</v>
      </c>
      <c r="Z20" s="5">
        <f t="shared" ca="1" si="3"/>
        <v>0</v>
      </c>
      <c r="AA20" s="5">
        <f t="shared" ca="1" si="3"/>
        <v>0</v>
      </c>
      <c r="AB20" s="5">
        <f t="shared" ca="1" si="3"/>
        <v>0</v>
      </c>
      <c r="AC20" s="5">
        <f t="shared" ca="1" si="3"/>
        <v>0</v>
      </c>
      <c r="AD20" s="5">
        <f t="shared" ca="1" si="3"/>
        <v>0</v>
      </c>
      <c r="AE20" s="5">
        <f t="shared" ca="1" si="3"/>
        <v>0</v>
      </c>
      <c r="AF20" s="5">
        <f t="shared" ca="1" si="3"/>
        <v>0</v>
      </c>
      <c r="AG20" s="5">
        <f t="shared" ca="1" si="3"/>
        <v>0</v>
      </c>
      <c r="AH20" s="5">
        <f t="shared" ca="1" si="3"/>
        <v>0</v>
      </c>
      <c r="AI20" s="5">
        <f t="shared" ca="1" si="3"/>
        <v>0</v>
      </c>
      <c r="AJ20" s="5">
        <f t="shared" ca="1" si="3"/>
        <v>0</v>
      </c>
      <c r="AK20" s="5">
        <f t="shared" ca="1" si="3"/>
        <v>0</v>
      </c>
      <c r="AL20" s="5">
        <f t="shared" ca="1" si="3"/>
        <v>0</v>
      </c>
      <c r="AM20" s="5">
        <f t="shared" ca="1" si="3"/>
        <v>0</v>
      </c>
      <c r="AN20" s="5">
        <f t="shared" ca="1" si="4"/>
        <v>0</v>
      </c>
      <c r="AO20" s="5">
        <f t="shared" ca="1" si="4"/>
        <v>0</v>
      </c>
      <c r="AP20" s="5">
        <f t="shared" ca="1" si="4"/>
        <v>0</v>
      </c>
      <c r="AR20" s="4" t="str">
        <f t="shared" ca="1" si="5"/>
        <v>Tm10</v>
      </c>
      <c r="AS20" s="339">
        <f t="shared" ca="1" si="6"/>
        <v>1</v>
      </c>
      <c r="AT20" s="339">
        <f t="shared" ca="1" si="10"/>
        <v>1</v>
      </c>
      <c r="AU20" s="339">
        <f t="shared" ca="1" si="10"/>
        <v>2</v>
      </c>
      <c r="AV20" s="339">
        <f t="shared" ca="1" si="10"/>
        <v>1</v>
      </c>
      <c r="AW20" s="339">
        <f t="shared" ca="1" si="10"/>
        <v>1</v>
      </c>
      <c r="AX20" s="339">
        <f t="shared" ca="1" si="10"/>
        <v>1</v>
      </c>
      <c r="AY20" s="339">
        <f t="shared" ca="1" si="10"/>
        <v>0</v>
      </c>
      <c r="AZ20" s="339">
        <f t="shared" ca="1" si="10"/>
        <v>0</v>
      </c>
      <c r="BA20" s="339">
        <f t="shared" ca="1" si="10"/>
        <v>0</v>
      </c>
      <c r="BB20" s="339">
        <f t="shared" ca="1" si="10"/>
        <v>0</v>
      </c>
      <c r="BD20" s="63">
        <f>IF(DrawFinder!Y20=0,"",DrawFinder!Y20)</f>
        <v>2</v>
      </c>
      <c r="BF20" s="151" t="str">
        <f t="shared" ca="1" si="9"/>
        <v>03040105060203</v>
      </c>
      <c r="BH20" s="63" t="str">
        <f ca="1">IF(ISNUMBER(CS!C20)=FALSE,CONCATENATE(BG20,""),CONCATENATE(BG20,IF(ABS(CS!C20)&lt;10,"0",""),ABS(CS!C20)))</f>
        <v/>
      </c>
      <c r="BI20" s="63" t="str">
        <f ca="1">IF(ISNUMBER(CS!D20)=FALSE,CONCATENATE(BH20,""),CONCATENATE(BH20,IF(ABS(CS!D20)&lt;10,"0",""),ABS(CS!D20)))</f>
        <v>03</v>
      </c>
      <c r="BJ20" s="63" t="str">
        <f ca="1">IF(ISNUMBER(CS!E20)=FALSE,CONCATENATE(BI20,""),CONCATENATE(BI20,IF(ABS(CS!E20)&lt;10,"0",""),ABS(CS!E20)))</f>
        <v>0304</v>
      </c>
      <c r="BK20" s="63" t="str">
        <f ca="1">IF(ISNUMBER(CS!F20)=FALSE,CONCATENATE(BJ20,""),CONCATENATE(BJ20,IF(ABS(CS!F20)&lt;10,"0",""),ABS(CS!F20)))</f>
        <v>0304</v>
      </c>
      <c r="BL20" s="63" t="str">
        <f ca="1">IF(ISNUMBER(CS!G20)=FALSE,CONCATENATE(BK20,""),CONCATENATE(BK20,IF(ABS(CS!G20)&lt;10,"0",""),ABS(CS!G20)))</f>
        <v>0304</v>
      </c>
      <c r="BM20" s="63" t="str">
        <f ca="1">IF(ISNUMBER(CS!H20)=FALSE,CONCATENATE(BL20,""),CONCATENATE(BL20,IF(ABS(CS!H20)&lt;10,"0",""),ABS(CS!H20)))</f>
        <v>030401</v>
      </c>
      <c r="BN20" s="63" t="str">
        <f ca="1">IF(ISNUMBER(CS!I20)=FALSE,CONCATENATE(BM20,""),CONCATENATE(BM20,IF(ABS(CS!I20)&lt;10,"0",""),ABS(CS!I20)))</f>
        <v>03040105</v>
      </c>
      <c r="BO20" s="63" t="str">
        <f ca="1">IF(ISNUMBER(CS!J20)=FALSE,CONCATENATE(BN20,""),CONCATENATE(BN20,IF(ABS(CS!J20)&lt;10,"0",""),ABS(CS!J20)))</f>
        <v>03040105</v>
      </c>
      <c r="BP20" s="63" t="str">
        <f ca="1">IF(ISNUMBER(CS!K20)=FALSE,CONCATENATE(BO20,""),CONCATENATE(BO20,IF(ABS(CS!K20)&lt;10,"0",""),ABS(CS!K20)))</f>
        <v>03040105</v>
      </c>
      <c r="BQ20" s="63" t="str">
        <f ca="1">IF(ISNUMBER(CS!L20)=FALSE,CONCATENATE(BP20,""),CONCATENATE(BP20,IF(ABS(CS!L20)&lt;10,"0",""),ABS(CS!L20)))</f>
        <v>0304010506</v>
      </c>
      <c r="BR20" s="63" t="str">
        <f ca="1">IF(ISNUMBER(CS!M20)=FALSE,CONCATENATE(BQ20,""),CONCATENATE(BQ20,IF(ABS(CS!M20)&lt;10,"0",""),ABS(CS!M20)))</f>
        <v>030401050602</v>
      </c>
      <c r="BS20" s="63" t="str">
        <f ca="1">IF(ISNUMBER(CS!N20)=FALSE,CONCATENATE(BR20,""),CONCATENATE(BR20,IF(ABS(CS!N20)&lt;10,"0",""),ABS(CS!N20)))</f>
        <v>030401050602</v>
      </c>
      <c r="BT20" s="63" t="str">
        <f ca="1">IF(ISNUMBER(CS!O20)=FALSE,CONCATENATE(BS20,""),CONCATENATE(BS20,IF(ABS(CS!O20)&lt;10,"0",""),ABS(CS!O20)))</f>
        <v>030401050602</v>
      </c>
      <c r="BU20" s="63" t="str">
        <f ca="1">IF(ISNUMBER(CS!P20)=FALSE,CONCATENATE(BT20,""),CONCATENATE(BT20,IF(ABS(CS!P20)&lt;10,"0",""),ABS(CS!P20)))</f>
        <v>03040105060203</v>
      </c>
      <c r="BV20" s="63" t="str">
        <f ca="1">IF(ISNUMBER(CS!Q20)=FALSE,CONCATENATE(BU20,""),CONCATENATE(BU20,IF(ABS(CS!Q20)&lt;10,"0",""),ABS(CS!Q20)))</f>
        <v>03040105060203</v>
      </c>
      <c r="BW20" s="63" t="str">
        <f ca="1">IF(ISNUMBER(CS!R20)=FALSE,CONCATENATE(BV20,""),CONCATENATE(BV20,IF(ABS(CS!R20)&lt;10,"0",""),ABS(CS!R20)))</f>
        <v>03040105060203</v>
      </c>
      <c r="BX20" s="63" t="str">
        <f ca="1">IF(ISNUMBER(CS!S20)=FALSE,CONCATENATE(BW20,""),CONCATENATE(BW20,IF(ABS(CS!S20)&lt;10,"0",""),ABS(CS!S20)))</f>
        <v>03040105060203</v>
      </c>
      <c r="BY20" s="63" t="str">
        <f ca="1">IF(ISNUMBER(CS!T20)=FALSE,CONCATENATE(BX20,""),CONCATENATE(BX20,IF(ABS(CS!T20)&lt;10,"0",""),ABS(CS!T20)))</f>
        <v>03040105060203</v>
      </c>
      <c r="BZ20" s="63" t="str">
        <f ca="1">IF(ISNUMBER(CS!U20)=FALSE,CONCATENATE(BY20,""),CONCATENATE(BY20,IF(ABS(CS!U20)&lt;10,"0",""),ABS(CS!U20)))</f>
        <v>03040105060203</v>
      </c>
      <c r="CA20" s="63" t="str">
        <f ca="1">IF(ISNUMBER(CS!V20)=FALSE,CONCATENATE(BZ20,""),CONCATENATE(BZ20,IF(ABS(CS!V20)&lt;10,"0",""),ABS(CS!V20)))</f>
        <v>03040105060203</v>
      </c>
      <c r="CB20" s="63" t="str">
        <f ca="1">IF(ISNUMBER(CS!W20)=FALSE,CONCATENATE(CA20,""),CONCATENATE(CA20,IF(ABS(CS!W20)&lt;10,"0",""),ABS(CS!W20)))</f>
        <v>03040105060203</v>
      </c>
      <c r="CC20" s="63" t="str">
        <f ca="1">IF(ISNUMBER(CS!X20)=FALSE,CONCATENATE(CB20,""),CONCATENATE(CB20,IF(ABS(CS!X20)&lt;10,"0",""),ABS(CS!X20)))</f>
        <v>03040105060203</v>
      </c>
      <c r="CD20" s="63" t="str">
        <f ca="1">IF(ISNUMBER(CS!Y20)=FALSE,CONCATENATE(CC20,""),CONCATENATE(CC20,IF(ABS(CS!Y20)&lt;10,"0",""),ABS(CS!Y20)))</f>
        <v>03040105060203</v>
      </c>
      <c r="CE20" s="63" t="str">
        <f ca="1">IF(ISNUMBER(CS!Z20)=FALSE,CONCATENATE(CD20,""),CONCATENATE(CD20,IF(ABS(CS!Z20)&lt;10,"0",""),ABS(CS!Z20)))</f>
        <v>03040105060203</v>
      </c>
      <c r="CF20" s="63" t="str">
        <f ca="1">IF(ISNUMBER(CS!AA20)=FALSE,CONCATENATE(CE20,""),CONCATENATE(CE20,IF(ABS(CS!AA20)&lt;10,"0",""),ABS(CS!AA20)))</f>
        <v>03040105060203</v>
      </c>
      <c r="CG20" s="63" t="str">
        <f ca="1">IF(ISNUMBER(CS!AB20)=FALSE,CONCATENATE(CF20,""),CONCATENATE(CF20,IF(ABS(CS!AB20)&lt;10,"0",""),ABS(CS!AB20)))</f>
        <v>03040105060203</v>
      </c>
      <c r="CH20" s="63" t="str">
        <f ca="1">IF(ISNUMBER(CS!AC20)=FALSE,CONCATENATE(CG20,""),CONCATENATE(CG20,IF(ABS(CS!AC20)&lt;10,"0",""),ABS(CS!AC20)))</f>
        <v>03040105060203</v>
      </c>
      <c r="CI20" s="63" t="str">
        <f ca="1">IF(ISNUMBER(CS!AD20)=FALSE,CONCATENATE(CH20,""),CONCATENATE(CH20,IF(ABS(CS!AD20)&lt;10,"0",""),ABS(CS!AD20)))</f>
        <v>03040105060203</v>
      </c>
      <c r="CJ20" s="63" t="str">
        <f ca="1">IF(ISNUMBER(CS!AE20)=FALSE,CONCATENATE(CI20,""),CONCATENATE(CI20,IF(ABS(CS!AE20)&lt;10,"0",""),ABS(CS!AE20)))</f>
        <v>03040105060203</v>
      </c>
      <c r="CK20" s="63" t="str">
        <f ca="1">IF(ISNUMBER(CS!AF20)=FALSE,CONCATENATE(CJ20,""),CONCATENATE(CJ20,IF(ABS(CS!AF20)&lt;10,"0",""),ABS(CS!AF20)))</f>
        <v>03040105060203</v>
      </c>
      <c r="CL20" s="63" t="str">
        <f ca="1">IF(ISNUMBER(CS!AG20)=FALSE,CONCATENATE(CK20,""),CONCATENATE(CK20,IF(ABS(CS!AG20)&lt;10,"0",""),ABS(CS!AG20)))</f>
        <v>03040105060203</v>
      </c>
      <c r="CM20" s="63" t="str">
        <f ca="1">IF(ISNUMBER(CS!AH20)=FALSE,CONCATENATE(CL20,""),CONCATENATE(CL20,IF(ABS(CS!AH20)&lt;10,"0",""),ABS(CS!AH20)))</f>
        <v>03040105060203</v>
      </c>
      <c r="CN20" s="63" t="str">
        <f ca="1">IF(ISNUMBER(CS!AI20)=FALSE,CONCATENATE(CM20,""),CONCATENATE(CM20,IF(ABS(CS!AI20)&lt;10,"0",""),ABS(CS!AI20)))</f>
        <v>03040105060203</v>
      </c>
      <c r="CO20" s="63" t="str">
        <f ca="1">IF(ISNUMBER(CS!AJ20)=FALSE,CONCATENATE(CN20,""),CONCATENATE(CN20,IF(ABS(CS!AJ20)&lt;10,"0",""),ABS(CS!AJ20)))</f>
        <v>03040105060203</v>
      </c>
      <c r="CP20" s="63" t="str">
        <f ca="1">IF(ISNUMBER(CS!AK20)=FALSE,CONCATENATE(CO20,""),CONCATENATE(CO20,IF(ABS(CS!AK20)&lt;10,"0",""),ABS(CS!AK20)))</f>
        <v>03040105060203</v>
      </c>
      <c r="CQ20" s="63" t="str">
        <f ca="1">IF(ISNUMBER(CS!AL20)=FALSE,CONCATENATE(CP20,""),CONCATENATE(CP20,IF(ABS(CS!AL20)&lt;10,"0",""),ABS(CS!AL20)))</f>
        <v>03040105060203</v>
      </c>
      <c r="CR20" s="63" t="str">
        <f ca="1">IF(ISNUMBER(CS!AM20)=FALSE,CONCATENATE(CQ20,""),CONCATENATE(CQ20,IF(ABS(CS!AM20)&lt;10,"0",""),ABS(CS!AM20)))</f>
        <v>03040105060203</v>
      </c>
      <c r="CS20" s="63" t="str">
        <f ca="1">IF(ISNUMBER(CS!AN20)=FALSE,CONCATENATE(CR20,""),CONCATENATE(CR20,IF(ABS(CS!AN20)&lt;10,"0",""),ABS(CS!AN20)))</f>
        <v>03040105060203</v>
      </c>
      <c r="CT20" s="63" t="str">
        <f ca="1">IF(ISNUMBER(CS!AO20)=FALSE,CONCATENATE(CS20,""),CONCATENATE(CS20,IF(ABS(CS!AO20)&lt;10,"0",""),ABS(CS!AO20)))</f>
        <v>03040105060203</v>
      </c>
      <c r="CU20" s="63" t="str">
        <f ca="1">IF(ISNUMBER(CS!AP20)=FALSE,CONCATENATE(CT20,""),CONCATENATE(CT20,IF(ABS(CS!AP20)&lt;10,"0",""),ABS(CS!AP20)))</f>
        <v>03040105060203</v>
      </c>
    </row>
    <row r="21" spans="2:99">
      <c r="B21" s="4" t="str">
        <f ca="1">CS!AR21</f>
        <v>Tm11</v>
      </c>
      <c r="C21" s="5">
        <f t="shared" ca="1" si="7"/>
        <v>5</v>
      </c>
      <c r="D21" s="5">
        <f t="shared" ca="1" si="8"/>
        <v>1</v>
      </c>
      <c r="E21" s="5">
        <f t="shared" ca="1" si="8"/>
        <v>3</v>
      </c>
      <c r="F21" s="5">
        <f t="shared" ca="1" si="8"/>
        <v>2</v>
      </c>
      <c r="G21" s="5">
        <f t="shared" ca="1" si="8"/>
        <v>6</v>
      </c>
      <c r="H21" s="5">
        <f t="shared" ca="1" si="8"/>
        <v>5</v>
      </c>
      <c r="I21" s="5">
        <f t="shared" ca="1" si="8"/>
        <v>4</v>
      </c>
      <c r="J21" s="5">
        <f t="shared" ca="1" si="1"/>
        <v>0</v>
      </c>
      <c r="K21" s="5">
        <f t="shared" ca="1" si="1"/>
        <v>0</v>
      </c>
      <c r="L21" s="5">
        <f t="shared" ca="1" si="1"/>
        <v>0</v>
      </c>
      <c r="M21" s="5">
        <f t="shared" ca="1" si="1"/>
        <v>0</v>
      </c>
      <c r="N21" s="5">
        <f t="shared" ca="1" si="1"/>
        <v>0</v>
      </c>
      <c r="O21" s="5">
        <f t="shared" ca="1" si="1"/>
        <v>0</v>
      </c>
      <c r="P21" s="5">
        <f t="shared" ca="1" si="1"/>
        <v>0</v>
      </c>
      <c r="Q21" s="5">
        <f t="shared" ca="1" si="1"/>
        <v>0</v>
      </c>
      <c r="R21" s="5">
        <f t="shared" ca="1" si="1"/>
        <v>0</v>
      </c>
      <c r="S21" s="5">
        <f t="shared" ca="1" si="1"/>
        <v>0</v>
      </c>
      <c r="T21" s="5">
        <f t="shared" ca="1" si="2"/>
        <v>0</v>
      </c>
      <c r="U21" s="5">
        <f t="shared" ca="1" si="2"/>
        <v>0</v>
      </c>
      <c r="V21" s="5">
        <f t="shared" ca="1" si="2"/>
        <v>0</v>
      </c>
      <c r="W21" s="5">
        <f t="shared" ca="1" si="2"/>
        <v>0</v>
      </c>
      <c r="X21" s="5">
        <f t="shared" ca="1" si="2"/>
        <v>0</v>
      </c>
      <c r="Y21" s="5">
        <f t="shared" ca="1" si="3"/>
        <v>0</v>
      </c>
      <c r="Z21" s="5">
        <f t="shared" ca="1" si="3"/>
        <v>0</v>
      </c>
      <c r="AA21" s="5">
        <f t="shared" ca="1" si="3"/>
        <v>0</v>
      </c>
      <c r="AB21" s="5">
        <f t="shared" ca="1" si="3"/>
        <v>0</v>
      </c>
      <c r="AC21" s="5">
        <f t="shared" ca="1" si="3"/>
        <v>0</v>
      </c>
      <c r="AD21" s="5">
        <f t="shared" ca="1" si="3"/>
        <v>0</v>
      </c>
      <c r="AE21" s="5">
        <f t="shared" ca="1" si="3"/>
        <v>0</v>
      </c>
      <c r="AF21" s="5">
        <f t="shared" ca="1" si="3"/>
        <v>0</v>
      </c>
      <c r="AG21" s="5">
        <f t="shared" ca="1" si="3"/>
        <v>0</v>
      </c>
      <c r="AH21" s="5">
        <f t="shared" ca="1" si="3"/>
        <v>0</v>
      </c>
      <c r="AI21" s="5">
        <f t="shared" ca="1" si="3"/>
        <v>0</v>
      </c>
      <c r="AJ21" s="5">
        <f t="shared" ca="1" si="3"/>
        <v>0</v>
      </c>
      <c r="AK21" s="5">
        <f t="shared" ca="1" si="3"/>
        <v>0</v>
      </c>
      <c r="AL21" s="5">
        <f t="shared" ca="1" si="3"/>
        <v>0</v>
      </c>
      <c r="AM21" s="5">
        <f t="shared" ca="1" si="3"/>
        <v>0</v>
      </c>
      <c r="AN21" s="5">
        <f t="shared" ca="1" si="4"/>
        <v>0</v>
      </c>
      <c r="AO21" s="5">
        <f t="shared" ca="1" si="4"/>
        <v>0</v>
      </c>
      <c r="AP21" s="5">
        <f t="shared" ca="1" si="4"/>
        <v>0</v>
      </c>
      <c r="AR21" s="4" t="str">
        <f t="shared" ca="1" si="5"/>
        <v>Tm11</v>
      </c>
      <c r="AS21" s="339">
        <f t="shared" ca="1" si="6"/>
        <v>1</v>
      </c>
      <c r="AT21" s="339">
        <f t="shared" ca="1" si="10"/>
        <v>1</v>
      </c>
      <c r="AU21" s="339">
        <f t="shared" ca="1" si="10"/>
        <v>1</v>
      </c>
      <c r="AV21" s="339">
        <f t="shared" ca="1" si="10"/>
        <v>1</v>
      </c>
      <c r="AW21" s="339">
        <f t="shared" ca="1" si="10"/>
        <v>2</v>
      </c>
      <c r="AX21" s="339">
        <f t="shared" ca="1" si="10"/>
        <v>1</v>
      </c>
      <c r="AY21" s="339">
        <f t="shared" ca="1" si="10"/>
        <v>0</v>
      </c>
      <c r="AZ21" s="339">
        <f t="shared" ca="1" si="10"/>
        <v>0</v>
      </c>
      <c r="BA21" s="339">
        <f t="shared" ca="1" si="10"/>
        <v>0</v>
      </c>
      <c r="BB21" s="339">
        <f t="shared" ca="1" si="10"/>
        <v>0</v>
      </c>
      <c r="BD21" s="63">
        <f>IF(DrawFinder!Y21=0,"",DrawFinder!Y21)</f>
        <v>2</v>
      </c>
      <c r="BF21" s="151" t="str">
        <f t="shared" ca="1" si="9"/>
        <v>05010302060504</v>
      </c>
      <c r="BH21" s="63" t="str">
        <f ca="1">IF(ISNUMBER(CS!C21)=FALSE,CONCATENATE(BG21,""),CONCATENATE(BG21,IF(ABS(CS!C21)&lt;10,"0",""),ABS(CS!C21)))</f>
        <v/>
      </c>
      <c r="BI21" s="63" t="str">
        <f ca="1">IF(ISNUMBER(CS!D21)=FALSE,CONCATENATE(BH21,""),CONCATENATE(BH21,IF(ABS(CS!D21)&lt;10,"0",""),ABS(CS!D21)))</f>
        <v>05</v>
      </c>
      <c r="BJ21" s="63" t="str">
        <f ca="1">IF(ISNUMBER(CS!E21)=FALSE,CONCATENATE(BI21,""),CONCATENATE(BI21,IF(ABS(CS!E21)&lt;10,"0",""),ABS(CS!E21)))</f>
        <v>0501</v>
      </c>
      <c r="BK21" s="63" t="str">
        <f ca="1">IF(ISNUMBER(CS!F21)=FALSE,CONCATENATE(BJ21,""),CONCATENATE(BJ21,IF(ABS(CS!F21)&lt;10,"0",""),ABS(CS!F21)))</f>
        <v>0501</v>
      </c>
      <c r="BL21" s="63" t="str">
        <f ca="1">IF(ISNUMBER(CS!G21)=FALSE,CONCATENATE(BK21,""),CONCATENATE(BK21,IF(ABS(CS!G21)&lt;10,"0",""),ABS(CS!G21)))</f>
        <v>0501</v>
      </c>
      <c r="BM21" s="63" t="str">
        <f ca="1">IF(ISNUMBER(CS!H21)=FALSE,CONCATENATE(BL21,""),CONCATENATE(BL21,IF(ABS(CS!H21)&lt;10,"0",""),ABS(CS!H21)))</f>
        <v>050103</v>
      </c>
      <c r="BN21" s="63" t="str">
        <f ca="1">IF(ISNUMBER(CS!I21)=FALSE,CONCATENATE(BM21,""),CONCATENATE(BM21,IF(ABS(CS!I21)&lt;10,"0",""),ABS(CS!I21)))</f>
        <v>05010302</v>
      </c>
      <c r="BO21" s="63" t="str">
        <f ca="1">IF(ISNUMBER(CS!J21)=FALSE,CONCATENATE(BN21,""),CONCATENATE(BN21,IF(ABS(CS!J21)&lt;10,"0",""),ABS(CS!J21)))</f>
        <v>05010302</v>
      </c>
      <c r="BP21" s="63" t="str">
        <f ca="1">IF(ISNUMBER(CS!K21)=FALSE,CONCATENATE(BO21,""),CONCATENATE(BO21,IF(ABS(CS!K21)&lt;10,"0",""),ABS(CS!K21)))</f>
        <v>05010302</v>
      </c>
      <c r="BQ21" s="63" t="str">
        <f ca="1">IF(ISNUMBER(CS!L21)=FALSE,CONCATENATE(BP21,""),CONCATENATE(BP21,IF(ABS(CS!L21)&lt;10,"0",""),ABS(CS!L21)))</f>
        <v>0501030206</v>
      </c>
      <c r="BR21" s="63" t="str">
        <f ca="1">IF(ISNUMBER(CS!M21)=FALSE,CONCATENATE(BQ21,""),CONCATENATE(BQ21,IF(ABS(CS!M21)&lt;10,"0",""),ABS(CS!M21)))</f>
        <v>050103020605</v>
      </c>
      <c r="BS21" s="63" t="str">
        <f ca="1">IF(ISNUMBER(CS!N21)=FALSE,CONCATENATE(BR21,""),CONCATENATE(BR21,IF(ABS(CS!N21)&lt;10,"0",""),ABS(CS!N21)))</f>
        <v>050103020605</v>
      </c>
      <c r="BT21" s="63" t="str">
        <f ca="1">IF(ISNUMBER(CS!O21)=FALSE,CONCATENATE(BS21,""),CONCATENATE(BS21,IF(ABS(CS!O21)&lt;10,"0",""),ABS(CS!O21)))</f>
        <v>050103020605</v>
      </c>
      <c r="BU21" s="63" t="str">
        <f ca="1">IF(ISNUMBER(CS!P21)=FALSE,CONCATENATE(BT21,""),CONCATENATE(BT21,IF(ABS(CS!P21)&lt;10,"0",""),ABS(CS!P21)))</f>
        <v>05010302060504</v>
      </c>
      <c r="BV21" s="63" t="str">
        <f ca="1">IF(ISNUMBER(CS!Q21)=FALSE,CONCATENATE(BU21,""),CONCATENATE(BU21,IF(ABS(CS!Q21)&lt;10,"0",""),ABS(CS!Q21)))</f>
        <v>05010302060504</v>
      </c>
      <c r="BW21" s="63" t="str">
        <f ca="1">IF(ISNUMBER(CS!R21)=FALSE,CONCATENATE(BV21,""),CONCATENATE(BV21,IF(ABS(CS!R21)&lt;10,"0",""),ABS(CS!R21)))</f>
        <v>05010302060504</v>
      </c>
      <c r="BX21" s="63" t="str">
        <f ca="1">IF(ISNUMBER(CS!S21)=FALSE,CONCATENATE(BW21,""),CONCATENATE(BW21,IF(ABS(CS!S21)&lt;10,"0",""),ABS(CS!S21)))</f>
        <v>05010302060504</v>
      </c>
      <c r="BY21" s="63" t="str">
        <f ca="1">IF(ISNUMBER(CS!T21)=FALSE,CONCATENATE(BX21,""),CONCATENATE(BX21,IF(ABS(CS!T21)&lt;10,"0",""),ABS(CS!T21)))</f>
        <v>05010302060504</v>
      </c>
      <c r="BZ21" s="63" t="str">
        <f ca="1">IF(ISNUMBER(CS!U21)=FALSE,CONCATENATE(BY21,""),CONCATENATE(BY21,IF(ABS(CS!U21)&lt;10,"0",""),ABS(CS!U21)))</f>
        <v>05010302060504</v>
      </c>
      <c r="CA21" s="63" t="str">
        <f ca="1">IF(ISNUMBER(CS!V21)=FALSE,CONCATENATE(BZ21,""),CONCATENATE(BZ21,IF(ABS(CS!V21)&lt;10,"0",""),ABS(CS!V21)))</f>
        <v>05010302060504</v>
      </c>
      <c r="CB21" s="63" t="str">
        <f ca="1">IF(ISNUMBER(CS!W21)=FALSE,CONCATENATE(CA21,""),CONCATENATE(CA21,IF(ABS(CS!W21)&lt;10,"0",""),ABS(CS!W21)))</f>
        <v>05010302060504</v>
      </c>
      <c r="CC21" s="63" t="str">
        <f ca="1">IF(ISNUMBER(CS!X21)=FALSE,CONCATENATE(CB21,""),CONCATENATE(CB21,IF(ABS(CS!X21)&lt;10,"0",""),ABS(CS!X21)))</f>
        <v>05010302060504</v>
      </c>
      <c r="CD21" s="63" t="str">
        <f ca="1">IF(ISNUMBER(CS!Y21)=FALSE,CONCATENATE(CC21,""),CONCATENATE(CC21,IF(ABS(CS!Y21)&lt;10,"0",""),ABS(CS!Y21)))</f>
        <v>05010302060504</v>
      </c>
      <c r="CE21" s="63" t="str">
        <f ca="1">IF(ISNUMBER(CS!Z21)=FALSE,CONCATENATE(CD21,""),CONCATENATE(CD21,IF(ABS(CS!Z21)&lt;10,"0",""),ABS(CS!Z21)))</f>
        <v>05010302060504</v>
      </c>
      <c r="CF21" s="63" t="str">
        <f ca="1">IF(ISNUMBER(CS!AA21)=FALSE,CONCATENATE(CE21,""),CONCATENATE(CE21,IF(ABS(CS!AA21)&lt;10,"0",""),ABS(CS!AA21)))</f>
        <v>05010302060504</v>
      </c>
      <c r="CG21" s="63" t="str">
        <f ca="1">IF(ISNUMBER(CS!AB21)=FALSE,CONCATENATE(CF21,""),CONCATENATE(CF21,IF(ABS(CS!AB21)&lt;10,"0",""),ABS(CS!AB21)))</f>
        <v>05010302060504</v>
      </c>
      <c r="CH21" s="63" t="str">
        <f ca="1">IF(ISNUMBER(CS!AC21)=FALSE,CONCATENATE(CG21,""),CONCATENATE(CG21,IF(ABS(CS!AC21)&lt;10,"0",""),ABS(CS!AC21)))</f>
        <v>05010302060504</v>
      </c>
      <c r="CI21" s="63" t="str">
        <f ca="1">IF(ISNUMBER(CS!AD21)=FALSE,CONCATENATE(CH21,""),CONCATENATE(CH21,IF(ABS(CS!AD21)&lt;10,"0",""),ABS(CS!AD21)))</f>
        <v>05010302060504</v>
      </c>
      <c r="CJ21" s="63" t="str">
        <f ca="1">IF(ISNUMBER(CS!AE21)=FALSE,CONCATENATE(CI21,""),CONCATENATE(CI21,IF(ABS(CS!AE21)&lt;10,"0",""),ABS(CS!AE21)))</f>
        <v>05010302060504</v>
      </c>
      <c r="CK21" s="63" t="str">
        <f ca="1">IF(ISNUMBER(CS!AF21)=FALSE,CONCATENATE(CJ21,""),CONCATENATE(CJ21,IF(ABS(CS!AF21)&lt;10,"0",""),ABS(CS!AF21)))</f>
        <v>05010302060504</v>
      </c>
      <c r="CL21" s="63" t="str">
        <f ca="1">IF(ISNUMBER(CS!AG21)=FALSE,CONCATENATE(CK21,""),CONCATENATE(CK21,IF(ABS(CS!AG21)&lt;10,"0",""),ABS(CS!AG21)))</f>
        <v>05010302060504</v>
      </c>
      <c r="CM21" s="63" t="str">
        <f ca="1">IF(ISNUMBER(CS!AH21)=FALSE,CONCATENATE(CL21,""),CONCATENATE(CL21,IF(ABS(CS!AH21)&lt;10,"0",""),ABS(CS!AH21)))</f>
        <v>05010302060504</v>
      </c>
      <c r="CN21" s="63" t="str">
        <f ca="1">IF(ISNUMBER(CS!AI21)=FALSE,CONCATENATE(CM21,""),CONCATENATE(CM21,IF(ABS(CS!AI21)&lt;10,"0",""),ABS(CS!AI21)))</f>
        <v>05010302060504</v>
      </c>
      <c r="CO21" s="63" t="str">
        <f ca="1">IF(ISNUMBER(CS!AJ21)=FALSE,CONCATENATE(CN21,""),CONCATENATE(CN21,IF(ABS(CS!AJ21)&lt;10,"0",""),ABS(CS!AJ21)))</f>
        <v>05010302060504</v>
      </c>
      <c r="CP21" s="63" t="str">
        <f ca="1">IF(ISNUMBER(CS!AK21)=FALSE,CONCATENATE(CO21,""),CONCATENATE(CO21,IF(ABS(CS!AK21)&lt;10,"0",""),ABS(CS!AK21)))</f>
        <v>05010302060504</v>
      </c>
      <c r="CQ21" s="63" t="str">
        <f ca="1">IF(ISNUMBER(CS!AL21)=FALSE,CONCATENATE(CP21,""),CONCATENATE(CP21,IF(ABS(CS!AL21)&lt;10,"0",""),ABS(CS!AL21)))</f>
        <v>05010302060504</v>
      </c>
      <c r="CR21" s="63" t="str">
        <f ca="1">IF(ISNUMBER(CS!AM21)=FALSE,CONCATENATE(CQ21,""),CONCATENATE(CQ21,IF(ABS(CS!AM21)&lt;10,"0",""),ABS(CS!AM21)))</f>
        <v>05010302060504</v>
      </c>
      <c r="CS21" s="63" t="str">
        <f ca="1">IF(ISNUMBER(CS!AN21)=FALSE,CONCATENATE(CR21,""),CONCATENATE(CR21,IF(ABS(CS!AN21)&lt;10,"0",""),ABS(CS!AN21)))</f>
        <v>05010302060504</v>
      </c>
      <c r="CT21" s="63" t="str">
        <f ca="1">IF(ISNUMBER(CS!AO21)=FALSE,CONCATENATE(CS21,""),CONCATENATE(CS21,IF(ABS(CS!AO21)&lt;10,"0",""),ABS(CS!AO21)))</f>
        <v>05010302060504</v>
      </c>
      <c r="CU21" s="63" t="str">
        <f ca="1">IF(ISNUMBER(CS!AP21)=FALSE,CONCATENATE(CT21,""),CONCATENATE(CT21,IF(ABS(CS!AP21)&lt;10,"0",""),ABS(CS!AP21)))</f>
        <v>05010302060504</v>
      </c>
    </row>
    <row r="22" spans="2:99">
      <c r="B22" s="4" t="str">
        <f ca="1">CS!AR22</f>
        <v>Tm12</v>
      </c>
      <c r="C22" s="5">
        <f t="shared" ca="1" si="7"/>
        <v>2</v>
      </c>
      <c r="D22" s="5">
        <f t="shared" ca="1" si="8"/>
        <v>6</v>
      </c>
      <c r="E22" s="5">
        <f t="shared" ca="1" si="8"/>
        <v>5</v>
      </c>
      <c r="F22" s="5">
        <f t="shared" ca="1" si="8"/>
        <v>3</v>
      </c>
      <c r="G22" s="5">
        <f t="shared" ca="1" si="8"/>
        <v>1</v>
      </c>
      <c r="H22" s="5">
        <f t="shared" ca="1" si="8"/>
        <v>2</v>
      </c>
      <c r="I22" s="5">
        <f t="shared" ca="1" si="8"/>
        <v>4</v>
      </c>
      <c r="J22" s="5">
        <f t="shared" ca="1" si="1"/>
        <v>0</v>
      </c>
      <c r="K22" s="5">
        <f t="shared" ca="1" si="1"/>
        <v>0</v>
      </c>
      <c r="L22" s="5">
        <f t="shared" ca="1" si="1"/>
        <v>0</v>
      </c>
      <c r="M22" s="5">
        <f t="shared" ca="1" si="1"/>
        <v>0</v>
      </c>
      <c r="N22" s="5">
        <f t="shared" ca="1" si="1"/>
        <v>0</v>
      </c>
      <c r="O22" s="5">
        <f t="shared" ca="1" si="1"/>
        <v>0</v>
      </c>
      <c r="P22" s="5">
        <f t="shared" ca="1" si="1"/>
        <v>0</v>
      </c>
      <c r="Q22" s="5">
        <f t="shared" ca="1" si="1"/>
        <v>0</v>
      </c>
      <c r="R22" s="5">
        <f t="shared" ca="1" si="1"/>
        <v>0</v>
      </c>
      <c r="S22" s="5">
        <f t="shared" ca="1" si="1"/>
        <v>0</v>
      </c>
      <c r="T22" s="5">
        <f t="shared" ca="1" si="2"/>
        <v>0</v>
      </c>
      <c r="U22" s="5">
        <f t="shared" ca="1" si="2"/>
        <v>0</v>
      </c>
      <c r="V22" s="5">
        <f t="shared" ca="1" si="2"/>
        <v>0</v>
      </c>
      <c r="W22" s="5">
        <f t="shared" ca="1" si="2"/>
        <v>0</v>
      </c>
      <c r="X22" s="5">
        <f t="shared" ca="1" si="2"/>
        <v>0</v>
      </c>
      <c r="Y22" s="5">
        <f t="shared" ca="1" si="3"/>
        <v>0</v>
      </c>
      <c r="Z22" s="5">
        <f t="shared" ca="1" si="3"/>
        <v>0</v>
      </c>
      <c r="AA22" s="5">
        <f t="shared" ca="1" si="3"/>
        <v>0</v>
      </c>
      <c r="AB22" s="5">
        <f t="shared" ca="1" si="3"/>
        <v>0</v>
      </c>
      <c r="AC22" s="5">
        <f t="shared" ca="1" si="3"/>
        <v>0</v>
      </c>
      <c r="AD22" s="5">
        <f t="shared" ca="1" si="3"/>
        <v>0</v>
      </c>
      <c r="AE22" s="5">
        <f t="shared" ca="1" si="3"/>
        <v>0</v>
      </c>
      <c r="AF22" s="5">
        <f t="shared" ca="1" si="3"/>
        <v>0</v>
      </c>
      <c r="AG22" s="5">
        <f t="shared" ca="1" si="3"/>
        <v>0</v>
      </c>
      <c r="AH22" s="5">
        <f t="shared" ca="1" si="3"/>
        <v>0</v>
      </c>
      <c r="AI22" s="5">
        <f t="shared" ca="1" si="3"/>
        <v>0</v>
      </c>
      <c r="AJ22" s="5">
        <f t="shared" ca="1" si="3"/>
        <v>0</v>
      </c>
      <c r="AK22" s="5">
        <f t="shared" ca="1" si="3"/>
        <v>0</v>
      </c>
      <c r="AL22" s="5">
        <f t="shared" ca="1" si="3"/>
        <v>0</v>
      </c>
      <c r="AM22" s="5">
        <f t="shared" ca="1" si="3"/>
        <v>0</v>
      </c>
      <c r="AN22" s="5">
        <f t="shared" ca="1" si="4"/>
        <v>0</v>
      </c>
      <c r="AO22" s="5">
        <f t="shared" ca="1" si="4"/>
        <v>0</v>
      </c>
      <c r="AP22" s="5">
        <f t="shared" ca="1" si="4"/>
        <v>0</v>
      </c>
      <c r="AR22" s="4" t="str">
        <f t="shared" ca="1" si="5"/>
        <v>Tm12</v>
      </c>
      <c r="AS22" s="339">
        <f t="shared" ca="1" si="6"/>
        <v>1</v>
      </c>
      <c r="AT22" s="339">
        <f t="shared" ca="1" si="10"/>
        <v>2</v>
      </c>
      <c r="AU22" s="339">
        <f t="shared" ca="1" si="10"/>
        <v>1</v>
      </c>
      <c r="AV22" s="339">
        <f t="shared" ca="1" si="10"/>
        <v>1</v>
      </c>
      <c r="AW22" s="339">
        <f t="shared" ca="1" si="10"/>
        <v>1</v>
      </c>
      <c r="AX22" s="339">
        <f t="shared" ca="1" si="10"/>
        <v>1</v>
      </c>
      <c r="AY22" s="339">
        <f t="shared" ca="1" si="10"/>
        <v>0</v>
      </c>
      <c r="AZ22" s="339">
        <f t="shared" ca="1" si="10"/>
        <v>0</v>
      </c>
      <c r="BA22" s="339">
        <f t="shared" ca="1" si="10"/>
        <v>0</v>
      </c>
      <c r="BB22" s="339">
        <f t="shared" ca="1" si="10"/>
        <v>0</v>
      </c>
      <c r="BD22" s="63">
        <f>IF(DrawFinder!Y22=0,"",DrawFinder!Y22)</f>
        <v>2</v>
      </c>
      <c r="BF22" s="151" t="str">
        <f t="shared" ca="1" si="9"/>
        <v>02060503010204</v>
      </c>
      <c r="BH22" s="63" t="str">
        <f ca="1">IF(ISNUMBER(CS!C22)=FALSE,CONCATENATE(BG22,""),CONCATENATE(BG22,IF(ABS(CS!C22)&lt;10,"0",""),ABS(CS!C22)))</f>
        <v/>
      </c>
      <c r="BI22" s="63" t="str">
        <f ca="1">IF(ISNUMBER(CS!D22)=FALSE,CONCATENATE(BH22,""),CONCATENATE(BH22,IF(ABS(CS!D22)&lt;10,"0",""),ABS(CS!D22)))</f>
        <v>02</v>
      </c>
      <c r="BJ22" s="63" t="str">
        <f ca="1">IF(ISNUMBER(CS!E22)=FALSE,CONCATENATE(BI22,""),CONCATENATE(BI22,IF(ABS(CS!E22)&lt;10,"0",""),ABS(CS!E22)))</f>
        <v>0206</v>
      </c>
      <c r="BK22" s="63" t="str">
        <f ca="1">IF(ISNUMBER(CS!F22)=FALSE,CONCATENATE(BJ22,""),CONCATENATE(BJ22,IF(ABS(CS!F22)&lt;10,"0",""),ABS(CS!F22)))</f>
        <v>0206</v>
      </c>
      <c r="BL22" s="63" t="str">
        <f ca="1">IF(ISNUMBER(CS!G22)=FALSE,CONCATENATE(BK22,""),CONCATENATE(BK22,IF(ABS(CS!G22)&lt;10,"0",""),ABS(CS!G22)))</f>
        <v>0206</v>
      </c>
      <c r="BM22" s="63" t="str">
        <f ca="1">IF(ISNUMBER(CS!H22)=FALSE,CONCATENATE(BL22,""),CONCATENATE(BL22,IF(ABS(CS!H22)&lt;10,"0",""),ABS(CS!H22)))</f>
        <v>020605</v>
      </c>
      <c r="BN22" s="63" t="str">
        <f ca="1">IF(ISNUMBER(CS!I22)=FALSE,CONCATENATE(BM22,""),CONCATENATE(BM22,IF(ABS(CS!I22)&lt;10,"0",""),ABS(CS!I22)))</f>
        <v>02060503</v>
      </c>
      <c r="BO22" s="63" t="str">
        <f ca="1">IF(ISNUMBER(CS!J22)=FALSE,CONCATENATE(BN22,""),CONCATENATE(BN22,IF(ABS(CS!J22)&lt;10,"0",""),ABS(CS!J22)))</f>
        <v>02060503</v>
      </c>
      <c r="BP22" s="63" t="str">
        <f ca="1">IF(ISNUMBER(CS!K22)=FALSE,CONCATENATE(BO22,""),CONCATENATE(BO22,IF(ABS(CS!K22)&lt;10,"0",""),ABS(CS!K22)))</f>
        <v>02060503</v>
      </c>
      <c r="BQ22" s="63" t="str">
        <f ca="1">IF(ISNUMBER(CS!L22)=FALSE,CONCATENATE(BP22,""),CONCATENATE(BP22,IF(ABS(CS!L22)&lt;10,"0",""),ABS(CS!L22)))</f>
        <v>0206050301</v>
      </c>
      <c r="BR22" s="63" t="str">
        <f ca="1">IF(ISNUMBER(CS!M22)=FALSE,CONCATENATE(BQ22,""),CONCATENATE(BQ22,IF(ABS(CS!M22)&lt;10,"0",""),ABS(CS!M22)))</f>
        <v>020605030102</v>
      </c>
      <c r="BS22" s="63" t="str">
        <f ca="1">IF(ISNUMBER(CS!N22)=FALSE,CONCATENATE(BR22,""),CONCATENATE(BR22,IF(ABS(CS!N22)&lt;10,"0",""),ABS(CS!N22)))</f>
        <v>020605030102</v>
      </c>
      <c r="BT22" s="63" t="str">
        <f ca="1">IF(ISNUMBER(CS!O22)=FALSE,CONCATENATE(BS22,""),CONCATENATE(BS22,IF(ABS(CS!O22)&lt;10,"0",""),ABS(CS!O22)))</f>
        <v>020605030102</v>
      </c>
      <c r="BU22" s="63" t="str">
        <f ca="1">IF(ISNUMBER(CS!P22)=FALSE,CONCATENATE(BT22,""),CONCATENATE(BT22,IF(ABS(CS!P22)&lt;10,"0",""),ABS(CS!P22)))</f>
        <v>02060503010204</v>
      </c>
      <c r="BV22" s="63" t="str">
        <f ca="1">IF(ISNUMBER(CS!Q22)=FALSE,CONCATENATE(BU22,""),CONCATENATE(BU22,IF(ABS(CS!Q22)&lt;10,"0",""),ABS(CS!Q22)))</f>
        <v>02060503010204</v>
      </c>
      <c r="BW22" s="63" t="str">
        <f ca="1">IF(ISNUMBER(CS!R22)=FALSE,CONCATENATE(BV22,""),CONCATENATE(BV22,IF(ABS(CS!R22)&lt;10,"0",""),ABS(CS!R22)))</f>
        <v>02060503010204</v>
      </c>
      <c r="BX22" s="63" t="str">
        <f ca="1">IF(ISNUMBER(CS!S22)=FALSE,CONCATENATE(BW22,""),CONCATENATE(BW22,IF(ABS(CS!S22)&lt;10,"0",""),ABS(CS!S22)))</f>
        <v>02060503010204</v>
      </c>
      <c r="BY22" s="63" t="str">
        <f ca="1">IF(ISNUMBER(CS!T22)=FALSE,CONCATENATE(BX22,""),CONCATENATE(BX22,IF(ABS(CS!T22)&lt;10,"0",""),ABS(CS!T22)))</f>
        <v>02060503010204</v>
      </c>
      <c r="BZ22" s="63" t="str">
        <f ca="1">IF(ISNUMBER(CS!U22)=FALSE,CONCATENATE(BY22,""),CONCATENATE(BY22,IF(ABS(CS!U22)&lt;10,"0",""),ABS(CS!U22)))</f>
        <v>02060503010204</v>
      </c>
      <c r="CA22" s="63" t="str">
        <f ca="1">IF(ISNUMBER(CS!V22)=FALSE,CONCATENATE(BZ22,""),CONCATENATE(BZ22,IF(ABS(CS!V22)&lt;10,"0",""),ABS(CS!V22)))</f>
        <v>02060503010204</v>
      </c>
      <c r="CB22" s="63" t="str">
        <f ca="1">IF(ISNUMBER(CS!W22)=FALSE,CONCATENATE(CA22,""),CONCATENATE(CA22,IF(ABS(CS!W22)&lt;10,"0",""),ABS(CS!W22)))</f>
        <v>02060503010204</v>
      </c>
      <c r="CC22" s="63" t="str">
        <f ca="1">IF(ISNUMBER(CS!X22)=FALSE,CONCATENATE(CB22,""),CONCATENATE(CB22,IF(ABS(CS!X22)&lt;10,"0",""),ABS(CS!X22)))</f>
        <v>02060503010204</v>
      </c>
      <c r="CD22" s="63" t="str">
        <f ca="1">IF(ISNUMBER(CS!Y22)=FALSE,CONCATENATE(CC22,""),CONCATENATE(CC22,IF(ABS(CS!Y22)&lt;10,"0",""),ABS(CS!Y22)))</f>
        <v>02060503010204</v>
      </c>
      <c r="CE22" s="63" t="str">
        <f ca="1">IF(ISNUMBER(CS!Z22)=FALSE,CONCATENATE(CD22,""),CONCATENATE(CD22,IF(ABS(CS!Z22)&lt;10,"0",""),ABS(CS!Z22)))</f>
        <v>02060503010204</v>
      </c>
      <c r="CF22" s="63" t="str">
        <f ca="1">IF(ISNUMBER(CS!AA22)=FALSE,CONCATENATE(CE22,""),CONCATENATE(CE22,IF(ABS(CS!AA22)&lt;10,"0",""),ABS(CS!AA22)))</f>
        <v>02060503010204</v>
      </c>
      <c r="CG22" s="63" t="str">
        <f ca="1">IF(ISNUMBER(CS!AB22)=FALSE,CONCATENATE(CF22,""),CONCATENATE(CF22,IF(ABS(CS!AB22)&lt;10,"0",""),ABS(CS!AB22)))</f>
        <v>02060503010204</v>
      </c>
      <c r="CH22" s="63" t="str">
        <f ca="1">IF(ISNUMBER(CS!AC22)=FALSE,CONCATENATE(CG22,""),CONCATENATE(CG22,IF(ABS(CS!AC22)&lt;10,"0",""),ABS(CS!AC22)))</f>
        <v>02060503010204</v>
      </c>
      <c r="CI22" s="63" t="str">
        <f ca="1">IF(ISNUMBER(CS!AD22)=FALSE,CONCATENATE(CH22,""),CONCATENATE(CH22,IF(ABS(CS!AD22)&lt;10,"0",""),ABS(CS!AD22)))</f>
        <v>02060503010204</v>
      </c>
      <c r="CJ22" s="63" t="str">
        <f ca="1">IF(ISNUMBER(CS!AE22)=FALSE,CONCATENATE(CI22,""),CONCATENATE(CI22,IF(ABS(CS!AE22)&lt;10,"0",""),ABS(CS!AE22)))</f>
        <v>02060503010204</v>
      </c>
      <c r="CK22" s="63" t="str">
        <f ca="1">IF(ISNUMBER(CS!AF22)=FALSE,CONCATENATE(CJ22,""),CONCATENATE(CJ22,IF(ABS(CS!AF22)&lt;10,"0",""),ABS(CS!AF22)))</f>
        <v>02060503010204</v>
      </c>
      <c r="CL22" s="63" t="str">
        <f ca="1">IF(ISNUMBER(CS!AG22)=FALSE,CONCATENATE(CK22,""),CONCATENATE(CK22,IF(ABS(CS!AG22)&lt;10,"0",""),ABS(CS!AG22)))</f>
        <v>02060503010204</v>
      </c>
      <c r="CM22" s="63" t="str">
        <f ca="1">IF(ISNUMBER(CS!AH22)=FALSE,CONCATENATE(CL22,""),CONCATENATE(CL22,IF(ABS(CS!AH22)&lt;10,"0",""),ABS(CS!AH22)))</f>
        <v>02060503010204</v>
      </c>
      <c r="CN22" s="63" t="str">
        <f ca="1">IF(ISNUMBER(CS!AI22)=FALSE,CONCATENATE(CM22,""),CONCATENATE(CM22,IF(ABS(CS!AI22)&lt;10,"0",""),ABS(CS!AI22)))</f>
        <v>02060503010204</v>
      </c>
      <c r="CO22" s="63" t="str">
        <f ca="1">IF(ISNUMBER(CS!AJ22)=FALSE,CONCATENATE(CN22,""),CONCATENATE(CN22,IF(ABS(CS!AJ22)&lt;10,"0",""),ABS(CS!AJ22)))</f>
        <v>02060503010204</v>
      </c>
      <c r="CP22" s="63" t="str">
        <f ca="1">IF(ISNUMBER(CS!AK22)=FALSE,CONCATENATE(CO22,""),CONCATENATE(CO22,IF(ABS(CS!AK22)&lt;10,"0",""),ABS(CS!AK22)))</f>
        <v>02060503010204</v>
      </c>
      <c r="CQ22" s="63" t="str">
        <f ca="1">IF(ISNUMBER(CS!AL22)=FALSE,CONCATENATE(CP22,""),CONCATENATE(CP22,IF(ABS(CS!AL22)&lt;10,"0",""),ABS(CS!AL22)))</f>
        <v>02060503010204</v>
      </c>
      <c r="CR22" s="63" t="str">
        <f ca="1">IF(ISNUMBER(CS!AM22)=FALSE,CONCATENATE(CQ22,""),CONCATENATE(CQ22,IF(ABS(CS!AM22)&lt;10,"0",""),ABS(CS!AM22)))</f>
        <v>02060503010204</v>
      </c>
      <c r="CS22" s="63" t="str">
        <f ca="1">IF(ISNUMBER(CS!AN22)=FALSE,CONCATENATE(CR22,""),CONCATENATE(CR22,IF(ABS(CS!AN22)&lt;10,"0",""),ABS(CS!AN22)))</f>
        <v>02060503010204</v>
      </c>
      <c r="CT22" s="63" t="str">
        <f ca="1">IF(ISNUMBER(CS!AO22)=FALSE,CONCATENATE(CS22,""),CONCATENATE(CS22,IF(ABS(CS!AO22)&lt;10,"0",""),ABS(CS!AO22)))</f>
        <v>02060503010204</v>
      </c>
      <c r="CU22" s="63" t="str">
        <f ca="1">IF(ISNUMBER(CS!AP22)=FALSE,CONCATENATE(CT22,""),CONCATENATE(CT22,IF(ABS(CS!AP22)&lt;10,"0",""),ABS(CS!AP22)))</f>
        <v>02060503010204</v>
      </c>
    </row>
    <row r="23" spans="2:99">
      <c r="B23" s="4" t="str">
        <f ca="1">CS!AR23</f>
        <v>Tm13</v>
      </c>
      <c r="C23" s="5">
        <f t="shared" ca="1" si="7"/>
        <v>3</v>
      </c>
      <c r="D23" s="5">
        <f t="shared" ca="1" si="8"/>
        <v>1</v>
      </c>
      <c r="E23" s="5">
        <f t="shared" ca="1" si="8"/>
        <v>5</v>
      </c>
      <c r="F23" s="5">
        <f t="shared" ca="1" si="8"/>
        <v>4</v>
      </c>
      <c r="G23" s="5">
        <f t="shared" ca="1" si="8"/>
        <v>3</v>
      </c>
      <c r="H23" s="5">
        <f t="shared" ca="1" si="8"/>
        <v>6</v>
      </c>
      <c r="I23" s="5">
        <f t="shared" ca="1" si="8"/>
        <v>2</v>
      </c>
      <c r="J23" s="5">
        <f t="shared" ca="1" si="1"/>
        <v>0</v>
      </c>
      <c r="K23" s="5">
        <f t="shared" ca="1" si="1"/>
        <v>0</v>
      </c>
      <c r="L23" s="5">
        <f t="shared" ca="1" si="1"/>
        <v>0</v>
      </c>
      <c r="M23" s="5">
        <f t="shared" ca="1" si="1"/>
        <v>0</v>
      </c>
      <c r="N23" s="5">
        <f t="shared" ca="1" si="1"/>
        <v>0</v>
      </c>
      <c r="O23" s="5">
        <f t="shared" ca="1" si="1"/>
        <v>0</v>
      </c>
      <c r="P23" s="5">
        <f t="shared" ca="1" si="1"/>
        <v>0</v>
      </c>
      <c r="Q23" s="5">
        <f t="shared" ca="1" si="1"/>
        <v>0</v>
      </c>
      <c r="R23" s="5">
        <f t="shared" ca="1" si="1"/>
        <v>0</v>
      </c>
      <c r="S23" s="5">
        <f t="shared" ca="1" si="1"/>
        <v>0</v>
      </c>
      <c r="T23" s="5">
        <f t="shared" ca="1" si="2"/>
        <v>0</v>
      </c>
      <c r="U23" s="5">
        <f t="shared" ca="1" si="2"/>
        <v>0</v>
      </c>
      <c r="V23" s="5">
        <f t="shared" ca="1" si="2"/>
        <v>0</v>
      </c>
      <c r="W23" s="5">
        <f t="shared" ca="1" si="2"/>
        <v>0</v>
      </c>
      <c r="X23" s="5">
        <f t="shared" ca="1" si="2"/>
        <v>0</v>
      </c>
      <c r="Y23" s="5">
        <f t="shared" ca="1" si="3"/>
        <v>0</v>
      </c>
      <c r="Z23" s="5">
        <f t="shared" ca="1" si="3"/>
        <v>0</v>
      </c>
      <c r="AA23" s="5">
        <f t="shared" ca="1" si="3"/>
        <v>0</v>
      </c>
      <c r="AB23" s="5">
        <f t="shared" ca="1" si="3"/>
        <v>0</v>
      </c>
      <c r="AC23" s="5">
        <f t="shared" ca="1" si="3"/>
        <v>0</v>
      </c>
      <c r="AD23" s="5">
        <f t="shared" ca="1" si="3"/>
        <v>0</v>
      </c>
      <c r="AE23" s="5">
        <f t="shared" ca="1" si="3"/>
        <v>0</v>
      </c>
      <c r="AF23" s="5">
        <f t="shared" ca="1" si="3"/>
        <v>0</v>
      </c>
      <c r="AG23" s="5">
        <f t="shared" ca="1" si="3"/>
        <v>0</v>
      </c>
      <c r="AH23" s="5">
        <f t="shared" ca="1" si="3"/>
        <v>0</v>
      </c>
      <c r="AI23" s="5">
        <f t="shared" ca="1" si="3"/>
        <v>0</v>
      </c>
      <c r="AJ23" s="5">
        <f t="shared" ca="1" si="3"/>
        <v>0</v>
      </c>
      <c r="AK23" s="5">
        <f t="shared" ca="1" si="3"/>
        <v>0</v>
      </c>
      <c r="AL23" s="5">
        <f t="shared" ca="1" si="3"/>
        <v>0</v>
      </c>
      <c r="AM23" s="5">
        <f t="shared" ca="1" si="3"/>
        <v>0</v>
      </c>
      <c r="AN23" s="5">
        <f t="shared" ca="1" si="4"/>
        <v>0</v>
      </c>
      <c r="AO23" s="5">
        <f t="shared" ca="1" si="4"/>
        <v>0</v>
      </c>
      <c r="AP23" s="5">
        <f t="shared" ca="1" si="4"/>
        <v>0</v>
      </c>
      <c r="AR23" s="4" t="str">
        <f t="shared" ca="1" si="5"/>
        <v>Tm13</v>
      </c>
      <c r="AS23" s="339">
        <f t="shared" ca="1" si="6"/>
        <v>1</v>
      </c>
      <c r="AT23" s="339">
        <f t="shared" ca="1" si="10"/>
        <v>1</v>
      </c>
      <c r="AU23" s="339">
        <f t="shared" ca="1" si="10"/>
        <v>2</v>
      </c>
      <c r="AV23" s="339">
        <f t="shared" ca="1" si="10"/>
        <v>1</v>
      </c>
      <c r="AW23" s="339">
        <f t="shared" ca="1" si="10"/>
        <v>1</v>
      </c>
      <c r="AX23" s="339">
        <f t="shared" ca="1" si="10"/>
        <v>1</v>
      </c>
      <c r="AY23" s="339">
        <f t="shared" ca="1" si="10"/>
        <v>0</v>
      </c>
      <c r="AZ23" s="339">
        <f t="shared" ca="1" si="10"/>
        <v>0</v>
      </c>
      <c r="BA23" s="339">
        <f t="shared" ca="1" si="10"/>
        <v>0</v>
      </c>
      <c r="BB23" s="339">
        <f t="shared" ca="1" si="10"/>
        <v>0</v>
      </c>
      <c r="BD23" s="63">
        <f>IF(DrawFinder!Y23=0,"",DrawFinder!Y23)</f>
        <v>2</v>
      </c>
      <c r="BF23" s="151" t="str">
        <f t="shared" ca="1" si="9"/>
        <v>03010504030602</v>
      </c>
      <c r="BH23" s="63" t="str">
        <f ca="1">IF(ISNUMBER(CS!C23)=FALSE,CONCATENATE(BG23,""),CONCATENATE(BG23,IF(ABS(CS!C23)&lt;10,"0",""),ABS(CS!C23)))</f>
        <v/>
      </c>
      <c r="BI23" s="63" t="str">
        <f ca="1">IF(ISNUMBER(CS!D23)=FALSE,CONCATENATE(BH23,""),CONCATENATE(BH23,IF(ABS(CS!D23)&lt;10,"0",""),ABS(CS!D23)))</f>
        <v>03</v>
      </c>
      <c r="BJ23" s="63" t="str">
        <f ca="1">IF(ISNUMBER(CS!E23)=FALSE,CONCATENATE(BI23,""),CONCATENATE(BI23,IF(ABS(CS!E23)&lt;10,"0",""),ABS(CS!E23)))</f>
        <v>0301</v>
      </c>
      <c r="BK23" s="63" t="str">
        <f ca="1">IF(ISNUMBER(CS!F23)=FALSE,CONCATENATE(BJ23,""),CONCATENATE(BJ23,IF(ABS(CS!F23)&lt;10,"0",""),ABS(CS!F23)))</f>
        <v>0301</v>
      </c>
      <c r="BL23" s="63" t="str">
        <f ca="1">IF(ISNUMBER(CS!G23)=FALSE,CONCATENATE(BK23,""),CONCATENATE(BK23,IF(ABS(CS!G23)&lt;10,"0",""),ABS(CS!G23)))</f>
        <v>0301</v>
      </c>
      <c r="BM23" s="63" t="str">
        <f ca="1">IF(ISNUMBER(CS!H23)=FALSE,CONCATENATE(BL23,""),CONCATENATE(BL23,IF(ABS(CS!H23)&lt;10,"0",""),ABS(CS!H23)))</f>
        <v>030105</v>
      </c>
      <c r="BN23" s="63" t="str">
        <f ca="1">IF(ISNUMBER(CS!I23)=FALSE,CONCATENATE(BM23,""),CONCATENATE(BM23,IF(ABS(CS!I23)&lt;10,"0",""),ABS(CS!I23)))</f>
        <v>03010504</v>
      </c>
      <c r="BO23" s="63" t="str">
        <f ca="1">IF(ISNUMBER(CS!J23)=FALSE,CONCATENATE(BN23,""),CONCATENATE(BN23,IF(ABS(CS!J23)&lt;10,"0",""),ABS(CS!J23)))</f>
        <v>03010504</v>
      </c>
      <c r="BP23" s="63" t="str">
        <f ca="1">IF(ISNUMBER(CS!K23)=FALSE,CONCATENATE(BO23,""),CONCATENATE(BO23,IF(ABS(CS!K23)&lt;10,"0",""),ABS(CS!K23)))</f>
        <v>03010504</v>
      </c>
      <c r="BQ23" s="63" t="str">
        <f ca="1">IF(ISNUMBER(CS!L23)=FALSE,CONCATENATE(BP23,""),CONCATENATE(BP23,IF(ABS(CS!L23)&lt;10,"0",""),ABS(CS!L23)))</f>
        <v>0301050403</v>
      </c>
      <c r="BR23" s="63" t="str">
        <f ca="1">IF(ISNUMBER(CS!M23)=FALSE,CONCATENATE(BQ23,""),CONCATENATE(BQ23,IF(ABS(CS!M23)&lt;10,"0",""),ABS(CS!M23)))</f>
        <v>030105040306</v>
      </c>
      <c r="BS23" s="63" t="str">
        <f ca="1">IF(ISNUMBER(CS!N23)=FALSE,CONCATENATE(BR23,""),CONCATENATE(BR23,IF(ABS(CS!N23)&lt;10,"0",""),ABS(CS!N23)))</f>
        <v>030105040306</v>
      </c>
      <c r="BT23" s="63" t="str">
        <f ca="1">IF(ISNUMBER(CS!O23)=FALSE,CONCATENATE(BS23,""),CONCATENATE(BS23,IF(ABS(CS!O23)&lt;10,"0",""),ABS(CS!O23)))</f>
        <v>030105040306</v>
      </c>
      <c r="BU23" s="63" t="str">
        <f ca="1">IF(ISNUMBER(CS!P23)=FALSE,CONCATENATE(BT23,""),CONCATENATE(BT23,IF(ABS(CS!P23)&lt;10,"0",""),ABS(CS!P23)))</f>
        <v>03010504030602</v>
      </c>
      <c r="BV23" s="63" t="str">
        <f ca="1">IF(ISNUMBER(CS!Q23)=FALSE,CONCATENATE(BU23,""),CONCATENATE(BU23,IF(ABS(CS!Q23)&lt;10,"0",""),ABS(CS!Q23)))</f>
        <v>03010504030602</v>
      </c>
      <c r="BW23" s="63" t="str">
        <f ca="1">IF(ISNUMBER(CS!R23)=FALSE,CONCATENATE(BV23,""),CONCATENATE(BV23,IF(ABS(CS!R23)&lt;10,"0",""),ABS(CS!R23)))</f>
        <v>03010504030602</v>
      </c>
      <c r="BX23" s="63" t="str">
        <f ca="1">IF(ISNUMBER(CS!S23)=FALSE,CONCATENATE(BW23,""),CONCATENATE(BW23,IF(ABS(CS!S23)&lt;10,"0",""),ABS(CS!S23)))</f>
        <v>03010504030602</v>
      </c>
      <c r="BY23" s="63" t="str">
        <f ca="1">IF(ISNUMBER(CS!T23)=FALSE,CONCATENATE(BX23,""),CONCATENATE(BX23,IF(ABS(CS!T23)&lt;10,"0",""),ABS(CS!T23)))</f>
        <v>03010504030602</v>
      </c>
      <c r="BZ23" s="63" t="str">
        <f ca="1">IF(ISNUMBER(CS!U23)=FALSE,CONCATENATE(BY23,""),CONCATENATE(BY23,IF(ABS(CS!U23)&lt;10,"0",""),ABS(CS!U23)))</f>
        <v>03010504030602</v>
      </c>
      <c r="CA23" s="63" t="str">
        <f ca="1">IF(ISNUMBER(CS!V23)=FALSE,CONCATENATE(BZ23,""),CONCATENATE(BZ23,IF(ABS(CS!V23)&lt;10,"0",""),ABS(CS!V23)))</f>
        <v>03010504030602</v>
      </c>
      <c r="CB23" s="63" t="str">
        <f ca="1">IF(ISNUMBER(CS!W23)=FALSE,CONCATENATE(CA23,""),CONCATENATE(CA23,IF(ABS(CS!W23)&lt;10,"0",""),ABS(CS!W23)))</f>
        <v>03010504030602</v>
      </c>
      <c r="CC23" s="63" t="str">
        <f ca="1">IF(ISNUMBER(CS!X23)=FALSE,CONCATENATE(CB23,""),CONCATENATE(CB23,IF(ABS(CS!X23)&lt;10,"0",""),ABS(CS!X23)))</f>
        <v>03010504030602</v>
      </c>
      <c r="CD23" s="63" t="str">
        <f ca="1">IF(ISNUMBER(CS!Y23)=FALSE,CONCATENATE(CC23,""),CONCATENATE(CC23,IF(ABS(CS!Y23)&lt;10,"0",""),ABS(CS!Y23)))</f>
        <v>03010504030602</v>
      </c>
      <c r="CE23" s="63" t="str">
        <f ca="1">IF(ISNUMBER(CS!Z23)=FALSE,CONCATENATE(CD23,""),CONCATENATE(CD23,IF(ABS(CS!Z23)&lt;10,"0",""),ABS(CS!Z23)))</f>
        <v>03010504030602</v>
      </c>
      <c r="CF23" s="63" t="str">
        <f ca="1">IF(ISNUMBER(CS!AA23)=FALSE,CONCATENATE(CE23,""),CONCATENATE(CE23,IF(ABS(CS!AA23)&lt;10,"0",""),ABS(CS!AA23)))</f>
        <v>03010504030602</v>
      </c>
      <c r="CG23" s="63" t="str">
        <f ca="1">IF(ISNUMBER(CS!AB23)=FALSE,CONCATENATE(CF23,""),CONCATENATE(CF23,IF(ABS(CS!AB23)&lt;10,"0",""),ABS(CS!AB23)))</f>
        <v>03010504030602</v>
      </c>
      <c r="CH23" s="63" t="str">
        <f ca="1">IF(ISNUMBER(CS!AC23)=FALSE,CONCATENATE(CG23,""),CONCATENATE(CG23,IF(ABS(CS!AC23)&lt;10,"0",""),ABS(CS!AC23)))</f>
        <v>03010504030602</v>
      </c>
      <c r="CI23" s="63" t="str">
        <f ca="1">IF(ISNUMBER(CS!AD23)=FALSE,CONCATENATE(CH23,""),CONCATENATE(CH23,IF(ABS(CS!AD23)&lt;10,"0",""),ABS(CS!AD23)))</f>
        <v>03010504030602</v>
      </c>
      <c r="CJ23" s="63" t="str">
        <f ca="1">IF(ISNUMBER(CS!AE23)=FALSE,CONCATENATE(CI23,""),CONCATENATE(CI23,IF(ABS(CS!AE23)&lt;10,"0",""),ABS(CS!AE23)))</f>
        <v>03010504030602</v>
      </c>
      <c r="CK23" s="63" t="str">
        <f ca="1">IF(ISNUMBER(CS!AF23)=FALSE,CONCATENATE(CJ23,""),CONCATENATE(CJ23,IF(ABS(CS!AF23)&lt;10,"0",""),ABS(CS!AF23)))</f>
        <v>03010504030602</v>
      </c>
      <c r="CL23" s="63" t="str">
        <f ca="1">IF(ISNUMBER(CS!AG23)=FALSE,CONCATENATE(CK23,""),CONCATENATE(CK23,IF(ABS(CS!AG23)&lt;10,"0",""),ABS(CS!AG23)))</f>
        <v>03010504030602</v>
      </c>
      <c r="CM23" s="63" t="str">
        <f ca="1">IF(ISNUMBER(CS!AH23)=FALSE,CONCATENATE(CL23,""),CONCATENATE(CL23,IF(ABS(CS!AH23)&lt;10,"0",""),ABS(CS!AH23)))</f>
        <v>03010504030602</v>
      </c>
      <c r="CN23" s="63" t="str">
        <f ca="1">IF(ISNUMBER(CS!AI23)=FALSE,CONCATENATE(CM23,""),CONCATENATE(CM23,IF(ABS(CS!AI23)&lt;10,"0",""),ABS(CS!AI23)))</f>
        <v>03010504030602</v>
      </c>
      <c r="CO23" s="63" t="str">
        <f ca="1">IF(ISNUMBER(CS!AJ23)=FALSE,CONCATENATE(CN23,""),CONCATENATE(CN23,IF(ABS(CS!AJ23)&lt;10,"0",""),ABS(CS!AJ23)))</f>
        <v>03010504030602</v>
      </c>
      <c r="CP23" s="63" t="str">
        <f ca="1">IF(ISNUMBER(CS!AK23)=FALSE,CONCATENATE(CO23,""),CONCATENATE(CO23,IF(ABS(CS!AK23)&lt;10,"0",""),ABS(CS!AK23)))</f>
        <v>03010504030602</v>
      </c>
      <c r="CQ23" s="63" t="str">
        <f ca="1">IF(ISNUMBER(CS!AL23)=FALSE,CONCATENATE(CP23,""),CONCATENATE(CP23,IF(ABS(CS!AL23)&lt;10,"0",""),ABS(CS!AL23)))</f>
        <v>03010504030602</v>
      </c>
      <c r="CR23" s="63" t="str">
        <f ca="1">IF(ISNUMBER(CS!AM23)=FALSE,CONCATENATE(CQ23,""),CONCATENATE(CQ23,IF(ABS(CS!AM23)&lt;10,"0",""),ABS(CS!AM23)))</f>
        <v>03010504030602</v>
      </c>
      <c r="CS23" s="63" t="str">
        <f ca="1">IF(ISNUMBER(CS!AN23)=FALSE,CONCATENATE(CR23,""),CONCATENATE(CR23,IF(ABS(CS!AN23)&lt;10,"0",""),ABS(CS!AN23)))</f>
        <v>03010504030602</v>
      </c>
      <c r="CT23" s="63" t="str">
        <f ca="1">IF(ISNUMBER(CS!AO23)=FALSE,CONCATENATE(CS23,""),CONCATENATE(CS23,IF(ABS(CS!AO23)&lt;10,"0",""),ABS(CS!AO23)))</f>
        <v>03010504030602</v>
      </c>
      <c r="CU23" s="63" t="str">
        <f ca="1">IF(ISNUMBER(CS!AP23)=FALSE,CONCATENATE(CT23,""),CONCATENATE(CT23,IF(ABS(CS!AP23)&lt;10,"0",""),ABS(CS!AP23)))</f>
        <v>03010504030602</v>
      </c>
    </row>
    <row r="24" spans="2:99">
      <c r="B24" s="4" t="str">
        <f ca="1">CS!AR24</f>
        <v>Tm14</v>
      </c>
      <c r="C24" s="5">
        <f t="shared" ca="1" si="7"/>
        <v>4</v>
      </c>
      <c r="D24" s="5">
        <f t="shared" ca="1" si="8"/>
        <v>6</v>
      </c>
      <c r="E24" s="5">
        <f t="shared" ca="1" si="8"/>
        <v>3</v>
      </c>
      <c r="F24" s="5">
        <f t="shared" ca="1" si="8"/>
        <v>5</v>
      </c>
      <c r="G24" s="5">
        <f t="shared" ca="1" si="8"/>
        <v>4</v>
      </c>
      <c r="H24" s="5">
        <f t="shared" ca="1" si="8"/>
        <v>1</v>
      </c>
      <c r="I24" s="5">
        <f t="shared" ca="1" si="8"/>
        <v>2</v>
      </c>
      <c r="J24" s="5">
        <f t="shared" ca="1" si="1"/>
        <v>0</v>
      </c>
      <c r="K24" s="5">
        <f t="shared" ca="1" si="1"/>
        <v>0</v>
      </c>
      <c r="L24" s="5">
        <f t="shared" ca="1" si="1"/>
        <v>0</v>
      </c>
      <c r="M24" s="5">
        <f t="shared" ca="1" si="1"/>
        <v>0</v>
      </c>
      <c r="N24" s="5">
        <f t="shared" ca="1" si="1"/>
        <v>0</v>
      </c>
      <c r="O24" s="5">
        <f t="shared" ca="1" si="1"/>
        <v>0</v>
      </c>
      <c r="P24" s="5">
        <f t="shared" ca="1" si="1"/>
        <v>0</v>
      </c>
      <c r="Q24" s="5">
        <f t="shared" ca="1" si="1"/>
        <v>0</v>
      </c>
      <c r="R24" s="5">
        <f t="shared" ca="1" si="1"/>
        <v>0</v>
      </c>
      <c r="S24" s="5">
        <f t="shared" ca="1" si="1"/>
        <v>0</v>
      </c>
      <c r="T24" s="5">
        <f t="shared" ca="1" si="2"/>
        <v>0</v>
      </c>
      <c r="U24" s="5">
        <f t="shared" ca="1" si="2"/>
        <v>0</v>
      </c>
      <c r="V24" s="5">
        <f t="shared" ca="1" si="2"/>
        <v>0</v>
      </c>
      <c r="W24" s="5">
        <f t="shared" ca="1" si="2"/>
        <v>0</v>
      </c>
      <c r="X24" s="5">
        <f t="shared" ca="1" si="2"/>
        <v>0</v>
      </c>
      <c r="Y24" s="5">
        <f t="shared" ca="1" si="3"/>
        <v>0</v>
      </c>
      <c r="Z24" s="5">
        <f t="shared" ca="1" si="3"/>
        <v>0</v>
      </c>
      <c r="AA24" s="5">
        <f t="shared" ca="1" si="3"/>
        <v>0</v>
      </c>
      <c r="AB24" s="5">
        <f t="shared" ca="1" si="3"/>
        <v>0</v>
      </c>
      <c r="AC24" s="5">
        <f t="shared" ca="1" si="3"/>
        <v>0</v>
      </c>
      <c r="AD24" s="5">
        <f t="shared" ca="1" si="3"/>
        <v>0</v>
      </c>
      <c r="AE24" s="5">
        <f t="shared" ca="1" si="3"/>
        <v>0</v>
      </c>
      <c r="AF24" s="5">
        <f t="shared" ca="1" si="3"/>
        <v>0</v>
      </c>
      <c r="AG24" s="5">
        <f t="shared" ca="1" si="3"/>
        <v>0</v>
      </c>
      <c r="AH24" s="5">
        <f t="shared" ca="1" si="3"/>
        <v>0</v>
      </c>
      <c r="AI24" s="5">
        <f t="shared" ca="1" si="3"/>
        <v>0</v>
      </c>
      <c r="AJ24" s="5">
        <f t="shared" ca="1" si="3"/>
        <v>0</v>
      </c>
      <c r="AK24" s="5">
        <f t="shared" ca="1" si="3"/>
        <v>0</v>
      </c>
      <c r="AL24" s="5">
        <f t="shared" ca="1" si="3"/>
        <v>0</v>
      </c>
      <c r="AM24" s="5">
        <f t="shared" ca="1" si="3"/>
        <v>0</v>
      </c>
      <c r="AN24" s="5">
        <f t="shared" ca="1" si="4"/>
        <v>0</v>
      </c>
      <c r="AO24" s="5">
        <f t="shared" ca="1" si="4"/>
        <v>0</v>
      </c>
      <c r="AP24" s="5">
        <f t="shared" ca="1" si="4"/>
        <v>0</v>
      </c>
      <c r="AR24" s="4" t="str">
        <f t="shared" ca="1" si="5"/>
        <v>Tm14</v>
      </c>
      <c r="AS24" s="339">
        <f t="shared" ca="1" si="6"/>
        <v>1</v>
      </c>
      <c r="AT24" s="339">
        <f t="shared" ca="1" si="10"/>
        <v>1</v>
      </c>
      <c r="AU24" s="339">
        <f t="shared" ca="1" si="10"/>
        <v>1</v>
      </c>
      <c r="AV24" s="339">
        <f t="shared" ca="1" si="10"/>
        <v>2</v>
      </c>
      <c r="AW24" s="339">
        <f t="shared" ca="1" si="10"/>
        <v>1</v>
      </c>
      <c r="AX24" s="339">
        <f t="shared" ca="1" si="10"/>
        <v>1</v>
      </c>
      <c r="AY24" s="339">
        <f t="shared" ca="1" si="10"/>
        <v>0</v>
      </c>
      <c r="AZ24" s="339">
        <f t="shared" ca="1" si="10"/>
        <v>0</v>
      </c>
      <c r="BA24" s="339">
        <f t="shared" ca="1" si="10"/>
        <v>0</v>
      </c>
      <c r="BB24" s="339">
        <f t="shared" ca="1" si="10"/>
        <v>0</v>
      </c>
      <c r="BD24" s="63">
        <f>IF(DrawFinder!Y24=0,"",DrawFinder!Y24)</f>
        <v>2</v>
      </c>
      <c r="BF24" s="151" t="str">
        <f t="shared" ca="1" si="9"/>
        <v>04060305040102</v>
      </c>
      <c r="BH24" s="63" t="str">
        <f ca="1">IF(ISNUMBER(CS!C24)=FALSE,CONCATENATE(BG24,""),CONCATENATE(BG24,IF(ABS(CS!C24)&lt;10,"0",""),ABS(CS!C24)))</f>
        <v/>
      </c>
      <c r="BI24" s="63" t="str">
        <f ca="1">IF(ISNUMBER(CS!D24)=FALSE,CONCATENATE(BH24,""),CONCATENATE(BH24,IF(ABS(CS!D24)&lt;10,"0",""),ABS(CS!D24)))</f>
        <v>04</v>
      </c>
      <c r="BJ24" s="63" t="str">
        <f ca="1">IF(ISNUMBER(CS!E24)=FALSE,CONCATENATE(BI24,""),CONCATENATE(BI24,IF(ABS(CS!E24)&lt;10,"0",""),ABS(CS!E24)))</f>
        <v>0406</v>
      </c>
      <c r="BK24" s="63" t="str">
        <f ca="1">IF(ISNUMBER(CS!F24)=FALSE,CONCATENATE(BJ24,""),CONCATENATE(BJ24,IF(ABS(CS!F24)&lt;10,"0",""),ABS(CS!F24)))</f>
        <v>0406</v>
      </c>
      <c r="BL24" s="63" t="str">
        <f ca="1">IF(ISNUMBER(CS!G24)=FALSE,CONCATENATE(BK24,""),CONCATENATE(BK24,IF(ABS(CS!G24)&lt;10,"0",""),ABS(CS!G24)))</f>
        <v>0406</v>
      </c>
      <c r="BM24" s="63" t="str">
        <f ca="1">IF(ISNUMBER(CS!H24)=FALSE,CONCATENATE(BL24,""),CONCATENATE(BL24,IF(ABS(CS!H24)&lt;10,"0",""),ABS(CS!H24)))</f>
        <v>040603</v>
      </c>
      <c r="BN24" s="63" t="str">
        <f ca="1">IF(ISNUMBER(CS!I24)=FALSE,CONCATENATE(BM24,""),CONCATENATE(BM24,IF(ABS(CS!I24)&lt;10,"0",""),ABS(CS!I24)))</f>
        <v>04060305</v>
      </c>
      <c r="BO24" s="63" t="str">
        <f ca="1">IF(ISNUMBER(CS!J24)=FALSE,CONCATENATE(BN24,""),CONCATENATE(BN24,IF(ABS(CS!J24)&lt;10,"0",""),ABS(CS!J24)))</f>
        <v>04060305</v>
      </c>
      <c r="BP24" s="63" t="str">
        <f ca="1">IF(ISNUMBER(CS!K24)=FALSE,CONCATENATE(BO24,""),CONCATENATE(BO24,IF(ABS(CS!K24)&lt;10,"0",""),ABS(CS!K24)))</f>
        <v>04060305</v>
      </c>
      <c r="BQ24" s="63" t="str">
        <f ca="1">IF(ISNUMBER(CS!L24)=FALSE,CONCATENATE(BP24,""),CONCATENATE(BP24,IF(ABS(CS!L24)&lt;10,"0",""),ABS(CS!L24)))</f>
        <v>0406030504</v>
      </c>
      <c r="BR24" s="63" t="str">
        <f ca="1">IF(ISNUMBER(CS!M24)=FALSE,CONCATENATE(BQ24,""),CONCATENATE(BQ24,IF(ABS(CS!M24)&lt;10,"0",""),ABS(CS!M24)))</f>
        <v>040603050401</v>
      </c>
      <c r="BS24" s="63" t="str">
        <f ca="1">IF(ISNUMBER(CS!N24)=FALSE,CONCATENATE(BR24,""),CONCATENATE(BR24,IF(ABS(CS!N24)&lt;10,"0",""),ABS(CS!N24)))</f>
        <v>040603050401</v>
      </c>
      <c r="BT24" s="63" t="str">
        <f ca="1">IF(ISNUMBER(CS!O24)=FALSE,CONCATENATE(BS24,""),CONCATENATE(BS24,IF(ABS(CS!O24)&lt;10,"0",""),ABS(CS!O24)))</f>
        <v>040603050401</v>
      </c>
      <c r="BU24" s="63" t="str">
        <f ca="1">IF(ISNUMBER(CS!P24)=FALSE,CONCATENATE(BT24,""),CONCATENATE(BT24,IF(ABS(CS!P24)&lt;10,"0",""),ABS(CS!P24)))</f>
        <v>04060305040102</v>
      </c>
      <c r="BV24" s="63" t="str">
        <f ca="1">IF(ISNUMBER(CS!Q24)=FALSE,CONCATENATE(BU24,""),CONCATENATE(BU24,IF(ABS(CS!Q24)&lt;10,"0",""),ABS(CS!Q24)))</f>
        <v>04060305040102</v>
      </c>
      <c r="BW24" s="63" t="str">
        <f ca="1">IF(ISNUMBER(CS!R24)=FALSE,CONCATENATE(BV24,""),CONCATENATE(BV24,IF(ABS(CS!R24)&lt;10,"0",""),ABS(CS!R24)))</f>
        <v>04060305040102</v>
      </c>
      <c r="BX24" s="63" t="str">
        <f ca="1">IF(ISNUMBER(CS!S24)=FALSE,CONCATENATE(BW24,""),CONCATENATE(BW24,IF(ABS(CS!S24)&lt;10,"0",""),ABS(CS!S24)))</f>
        <v>04060305040102</v>
      </c>
      <c r="BY24" s="63" t="str">
        <f ca="1">IF(ISNUMBER(CS!T24)=FALSE,CONCATENATE(BX24,""),CONCATENATE(BX24,IF(ABS(CS!T24)&lt;10,"0",""),ABS(CS!T24)))</f>
        <v>04060305040102</v>
      </c>
      <c r="BZ24" s="63" t="str">
        <f ca="1">IF(ISNUMBER(CS!U24)=FALSE,CONCATENATE(BY24,""),CONCATENATE(BY24,IF(ABS(CS!U24)&lt;10,"0",""),ABS(CS!U24)))</f>
        <v>04060305040102</v>
      </c>
      <c r="CA24" s="63" t="str">
        <f ca="1">IF(ISNUMBER(CS!V24)=FALSE,CONCATENATE(BZ24,""),CONCATENATE(BZ24,IF(ABS(CS!V24)&lt;10,"0",""),ABS(CS!V24)))</f>
        <v>04060305040102</v>
      </c>
      <c r="CB24" s="63" t="str">
        <f ca="1">IF(ISNUMBER(CS!W24)=FALSE,CONCATENATE(CA24,""),CONCATENATE(CA24,IF(ABS(CS!W24)&lt;10,"0",""),ABS(CS!W24)))</f>
        <v>04060305040102</v>
      </c>
      <c r="CC24" s="63" t="str">
        <f ca="1">IF(ISNUMBER(CS!X24)=FALSE,CONCATENATE(CB24,""),CONCATENATE(CB24,IF(ABS(CS!X24)&lt;10,"0",""),ABS(CS!X24)))</f>
        <v>04060305040102</v>
      </c>
      <c r="CD24" s="63" t="str">
        <f ca="1">IF(ISNUMBER(CS!Y24)=FALSE,CONCATENATE(CC24,""),CONCATENATE(CC24,IF(ABS(CS!Y24)&lt;10,"0",""),ABS(CS!Y24)))</f>
        <v>04060305040102</v>
      </c>
      <c r="CE24" s="63" t="str">
        <f ca="1">IF(ISNUMBER(CS!Z24)=FALSE,CONCATENATE(CD24,""),CONCATENATE(CD24,IF(ABS(CS!Z24)&lt;10,"0",""),ABS(CS!Z24)))</f>
        <v>04060305040102</v>
      </c>
      <c r="CF24" s="63" t="str">
        <f ca="1">IF(ISNUMBER(CS!AA24)=FALSE,CONCATENATE(CE24,""),CONCATENATE(CE24,IF(ABS(CS!AA24)&lt;10,"0",""),ABS(CS!AA24)))</f>
        <v>04060305040102</v>
      </c>
      <c r="CG24" s="63" t="str">
        <f ca="1">IF(ISNUMBER(CS!AB24)=FALSE,CONCATENATE(CF24,""),CONCATENATE(CF24,IF(ABS(CS!AB24)&lt;10,"0",""),ABS(CS!AB24)))</f>
        <v>04060305040102</v>
      </c>
      <c r="CH24" s="63" t="str">
        <f ca="1">IF(ISNUMBER(CS!AC24)=FALSE,CONCATENATE(CG24,""),CONCATENATE(CG24,IF(ABS(CS!AC24)&lt;10,"0",""),ABS(CS!AC24)))</f>
        <v>04060305040102</v>
      </c>
      <c r="CI24" s="63" t="str">
        <f ca="1">IF(ISNUMBER(CS!AD24)=FALSE,CONCATENATE(CH24,""),CONCATENATE(CH24,IF(ABS(CS!AD24)&lt;10,"0",""),ABS(CS!AD24)))</f>
        <v>04060305040102</v>
      </c>
      <c r="CJ24" s="63" t="str">
        <f ca="1">IF(ISNUMBER(CS!AE24)=FALSE,CONCATENATE(CI24,""),CONCATENATE(CI24,IF(ABS(CS!AE24)&lt;10,"0",""),ABS(CS!AE24)))</f>
        <v>04060305040102</v>
      </c>
      <c r="CK24" s="63" t="str">
        <f ca="1">IF(ISNUMBER(CS!AF24)=FALSE,CONCATENATE(CJ24,""),CONCATENATE(CJ24,IF(ABS(CS!AF24)&lt;10,"0",""),ABS(CS!AF24)))</f>
        <v>04060305040102</v>
      </c>
      <c r="CL24" s="63" t="str">
        <f ca="1">IF(ISNUMBER(CS!AG24)=FALSE,CONCATENATE(CK24,""),CONCATENATE(CK24,IF(ABS(CS!AG24)&lt;10,"0",""),ABS(CS!AG24)))</f>
        <v>04060305040102</v>
      </c>
      <c r="CM24" s="63" t="str">
        <f ca="1">IF(ISNUMBER(CS!AH24)=FALSE,CONCATENATE(CL24,""),CONCATENATE(CL24,IF(ABS(CS!AH24)&lt;10,"0",""),ABS(CS!AH24)))</f>
        <v>04060305040102</v>
      </c>
      <c r="CN24" s="63" t="str">
        <f ca="1">IF(ISNUMBER(CS!AI24)=FALSE,CONCATENATE(CM24,""),CONCATENATE(CM24,IF(ABS(CS!AI24)&lt;10,"0",""),ABS(CS!AI24)))</f>
        <v>04060305040102</v>
      </c>
      <c r="CO24" s="63" t="str">
        <f ca="1">IF(ISNUMBER(CS!AJ24)=FALSE,CONCATENATE(CN24,""),CONCATENATE(CN24,IF(ABS(CS!AJ24)&lt;10,"0",""),ABS(CS!AJ24)))</f>
        <v>04060305040102</v>
      </c>
      <c r="CP24" s="63" t="str">
        <f ca="1">IF(ISNUMBER(CS!AK24)=FALSE,CONCATENATE(CO24,""),CONCATENATE(CO24,IF(ABS(CS!AK24)&lt;10,"0",""),ABS(CS!AK24)))</f>
        <v>04060305040102</v>
      </c>
      <c r="CQ24" s="63" t="str">
        <f ca="1">IF(ISNUMBER(CS!AL24)=FALSE,CONCATENATE(CP24,""),CONCATENATE(CP24,IF(ABS(CS!AL24)&lt;10,"0",""),ABS(CS!AL24)))</f>
        <v>04060305040102</v>
      </c>
      <c r="CR24" s="63" t="str">
        <f ca="1">IF(ISNUMBER(CS!AM24)=FALSE,CONCATENATE(CQ24,""),CONCATENATE(CQ24,IF(ABS(CS!AM24)&lt;10,"0",""),ABS(CS!AM24)))</f>
        <v>04060305040102</v>
      </c>
      <c r="CS24" s="63" t="str">
        <f ca="1">IF(ISNUMBER(CS!AN24)=FALSE,CONCATENATE(CR24,""),CONCATENATE(CR24,IF(ABS(CS!AN24)&lt;10,"0",""),ABS(CS!AN24)))</f>
        <v>04060305040102</v>
      </c>
      <c r="CT24" s="63" t="str">
        <f ca="1">IF(ISNUMBER(CS!AO24)=FALSE,CONCATENATE(CS24,""),CONCATENATE(CS24,IF(ABS(CS!AO24)&lt;10,"0",""),ABS(CS!AO24)))</f>
        <v>04060305040102</v>
      </c>
      <c r="CU24" s="63" t="str">
        <f ca="1">IF(ISNUMBER(CS!AP24)=FALSE,CONCATENATE(CT24,""),CONCATENATE(CT24,IF(ABS(CS!AP24)&lt;10,"0",""),ABS(CS!AP24)))</f>
        <v>04060305040102</v>
      </c>
    </row>
    <row r="25" spans="2:99">
      <c r="B25" s="4" t="str">
        <f ca="1">CS!AR25</f>
        <v>Tm15</v>
      </c>
      <c r="C25" s="5">
        <f t="shared" ca="1" si="7"/>
        <v>5</v>
      </c>
      <c r="D25" s="5">
        <f t="shared" ca="1" si="8"/>
        <v>2</v>
      </c>
      <c r="E25" s="5">
        <f t="shared" ca="1" si="8"/>
        <v>1</v>
      </c>
      <c r="F25" s="5">
        <f t="shared" ca="1" si="8"/>
        <v>3</v>
      </c>
      <c r="G25" s="5">
        <f t="shared" ca="1" si="8"/>
        <v>4</v>
      </c>
      <c r="H25" s="5">
        <f t="shared" ca="1" si="8"/>
        <v>6</v>
      </c>
      <c r="I25" s="5">
        <f t="shared" ca="1" si="8"/>
        <v>5</v>
      </c>
      <c r="J25" s="5">
        <f t="shared" ca="1" si="1"/>
        <v>0</v>
      </c>
      <c r="K25" s="5">
        <f t="shared" ca="1" si="1"/>
        <v>0</v>
      </c>
      <c r="L25" s="5">
        <f t="shared" ca="1" si="1"/>
        <v>0</v>
      </c>
      <c r="M25" s="5">
        <f t="shared" ca="1" si="1"/>
        <v>0</v>
      </c>
      <c r="N25" s="5">
        <f t="shared" ca="1" si="1"/>
        <v>0</v>
      </c>
      <c r="O25" s="5">
        <f t="shared" ca="1" si="1"/>
        <v>0</v>
      </c>
      <c r="P25" s="5">
        <f t="shared" ca="1" si="1"/>
        <v>0</v>
      </c>
      <c r="Q25" s="5">
        <f t="shared" ca="1" si="1"/>
        <v>0</v>
      </c>
      <c r="R25" s="5">
        <f t="shared" ca="1" si="1"/>
        <v>0</v>
      </c>
      <c r="S25" s="5">
        <f t="shared" ca="1" si="1"/>
        <v>0</v>
      </c>
      <c r="T25" s="5">
        <f t="shared" ca="1" si="2"/>
        <v>0</v>
      </c>
      <c r="U25" s="5">
        <f t="shared" ca="1" si="2"/>
        <v>0</v>
      </c>
      <c r="V25" s="5">
        <f t="shared" ca="1" si="2"/>
        <v>0</v>
      </c>
      <c r="W25" s="5">
        <f t="shared" ca="1" si="2"/>
        <v>0</v>
      </c>
      <c r="X25" s="5">
        <f t="shared" ca="1" si="2"/>
        <v>0</v>
      </c>
      <c r="Y25" s="5">
        <f t="shared" ca="1" si="3"/>
        <v>0</v>
      </c>
      <c r="Z25" s="5">
        <f t="shared" ca="1" si="3"/>
        <v>0</v>
      </c>
      <c r="AA25" s="5">
        <f t="shared" ca="1" si="3"/>
        <v>0</v>
      </c>
      <c r="AB25" s="5">
        <f t="shared" ca="1" si="3"/>
        <v>0</v>
      </c>
      <c r="AC25" s="5">
        <f t="shared" ca="1" si="3"/>
        <v>0</v>
      </c>
      <c r="AD25" s="5">
        <f t="shared" ca="1" si="3"/>
        <v>0</v>
      </c>
      <c r="AE25" s="5">
        <f t="shared" ca="1" si="3"/>
        <v>0</v>
      </c>
      <c r="AF25" s="5">
        <f t="shared" ca="1" si="3"/>
        <v>0</v>
      </c>
      <c r="AG25" s="5">
        <f t="shared" ca="1" si="3"/>
        <v>0</v>
      </c>
      <c r="AH25" s="5">
        <f t="shared" ca="1" si="3"/>
        <v>0</v>
      </c>
      <c r="AI25" s="5">
        <f t="shared" ca="1" si="3"/>
        <v>0</v>
      </c>
      <c r="AJ25" s="5">
        <f t="shared" ca="1" si="3"/>
        <v>0</v>
      </c>
      <c r="AK25" s="5">
        <f t="shared" ca="1" si="3"/>
        <v>0</v>
      </c>
      <c r="AL25" s="5">
        <f t="shared" ca="1" si="3"/>
        <v>0</v>
      </c>
      <c r="AM25" s="5">
        <f t="shared" ca="1" si="3"/>
        <v>0</v>
      </c>
      <c r="AN25" s="5">
        <f t="shared" ca="1" si="4"/>
        <v>0</v>
      </c>
      <c r="AO25" s="5">
        <f t="shared" ca="1" si="4"/>
        <v>0</v>
      </c>
      <c r="AP25" s="5">
        <f t="shared" ca="1" si="4"/>
        <v>0</v>
      </c>
      <c r="AR25" s="4" t="str">
        <f t="shared" ca="1" si="5"/>
        <v>Tm15</v>
      </c>
      <c r="AS25" s="339">
        <f t="shared" ca="1" si="6"/>
        <v>1</v>
      </c>
      <c r="AT25" s="339">
        <f t="shared" ca="1" si="10"/>
        <v>1</v>
      </c>
      <c r="AU25" s="339">
        <f t="shared" ca="1" si="10"/>
        <v>1</v>
      </c>
      <c r="AV25" s="339">
        <f t="shared" ca="1" si="10"/>
        <v>1</v>
      </c>
      <c r="AW25" s="339">
        <f t="shared" ca="1" si="10"/>
        <v>2</v>
      </c>
      <c r="AX25" s="339">
        <f t="shared" ca="1" si="10"/>
        <v>1</v>
      </c>
      <c r="AY25" s="339">
        <f t="shared" ca="1" si="10"/>
        <v>0</v>
      </c>
      <c r="AZ25" s="339">
        <f t="shared" ca="1" si="10"/>
        <v>0</v>
      </c>
      <c r="BA25" s="339">
        <f t="shared" ca="1" si="10"/>
        <v>0</v>
      </c>
      <c r="BB25" s="339">
        <f t="shared" ca="1" si="10"/>
        <v>0</v>
      </c>
      <c r="BD25" s="63">
        <f>IF(DrawFinder!Y25=0,"",DrawFinder!Y25)</f>
        <v>2</v>
      </c>
      <c r="BF25" s="151" t="str">
        <f t="shared" ca="1" si="9"/>
        <v>05020103040605</v>
      </c>
      <c r="BH25" s="63" t="str">
        <f ca="1">IF(ISNUMBER(CS!C25)=FALSE,CONCATENATE(BG25,""),CONCATENATE(BG25,IF(ABS(CS!C25)&lt;10,"0",""),ABS(CS!C25)))</f>
        <v/>
      </c>
      <c r="BI25" s="63" t="str">
        <f ca="1">IF(ISNUMBER(CS!D25)=FALSE,CONCATENATE(BH25,""),CONCATENATE(BH25,IF(ABS(CS!D25)&lt;10,"0",""),ABS(CS!D25)))</f>
        <v>05</v>
      </c>
      <c r="BJ25" s="63" t="str">
        <f ca="1">IF(ISNUMBER(CS!E25)=FALSE,CONCATENATE(BI25,""),CONCATENATE(BI25,IF(ABS(CS!E25)&lt;10,"0",""),ABS(CS!E25)))</f>
        <v>0502</v>
      </c>
      <c r="BK25" s="63" t="str">
        <f ca="1">IF(ISNUMBER(CS!F25)=FALSE,CONCATENATE(BJ25,""),CONCATENATE(BJ25,IF(ABS(CS!F25)&lt;10,"0",""),ABS(CS!F25)))</f>
        <v>0502</v>
      </c>
      <c r="BL25" s="63" t="str">
        <f ca="1">IF(ISNUMBER(CS!G25)=FALSE,CONCATENATE(BK25,""),CONCATENATE(BK25,IF(ABS(CS!G25)&lt;10,"0",""),ABS(CS!G25)))</f>
        <v>0502</v>
      </c>
      <c r="BM25" s="63" t="str">
        <f ca="1">IF(ISNUMBER(CS!H25)=FALSE,CONCATENATE(BL25,""),CONCATENATE(BL25,IF(ABS(CS!H25)&lt;10,"0",""),ABS(CS!H25)))</f>
        <v>050201</v>
      </c>
      <c r="BN25" s="63" t="str">
        <f ca="1">IF(ISNUMBER(CS!I25)=FALSE,CONCATENATE(BM25,""),CONCATENATE(BM25,IF(ABS(CS!I25)&lt;10,"0",""),ABS(CS!I25)))</f>
        <v>05020103</v>
      </c>
      <c r="BO25" s="63" t="str">
        <f ca="1">IF(ISNUMBER(CS!J25)=FALSE,CONCATENATE(BN25,""),CONCATENATE(BN25,IF(ABS(CS!J25)&lt;10,"0",""),ABS(CS!J25)))</f>
        <v>05020103</v>
      </c>
      <c r="BP25" s="63" t="str">
        <f ca="1">IF(ISNUMBER(CS!K25)=FALSE,CONCATENATE(BO25,""),CONCATENATE(BO25,IF(ABS(CS!K25)&lt;10,"0",""),ABS(CS!K25)))</f>
        <v>05020103</v>
      </c>
      <c r="BQ25" s="63" t="str">
        <f ca="1">IF(ISNUMBER(CS!L25)=FALSE,CONCATENATE(BP25,""),CONCATENATE(BP25,IF(ABS(CS!L25)&lt;10,"0",""),ABS(CS!L25)))</f>
        <v>0502010304</v>
      </c>
      <c r="BR25" s="63" t="str">
        <f ca="1">IF(ISNUMBER(CS!M25)=FALSE,CONCATENATE(BQ25,""),CONCATENATE(BQ25,IF(ABS(CS!M25)&lt;10,"0",""),ABS(CS!M25)))</f>
        <v>050201030406</v>
      </c>
      <c r="BS25" s="63" t="str">
        <f ca="1">IF(ISNUMBER(CS!N25)=FALSE,CONCATENATE(BR25,""),CONCATENATE(BR25,IF(ABS(CS!N25)&lt;10,"0",""),ABS(CS!N25)))</f>
        <v>050201030406</v>
      </c>
      <c r="BT25" s="63" t="str">
        <f ca="1">IF(ISNUMBER(CS!O25)=FALSE,CONCATENATE(BS25,""),CONCATENATE(BS25,IF(ABS(CS!O25)&lt;10,"0",""),ABS(CS!O25)))</f>
        <v>050201030406</v>
      </c>
      <c r="BU25" s="63" t="str">
        <f ca="1">IF(ISNUMBER(CS!P25)=FALSE,CONCATENATE(BT25,""),CONCATENATE(BT25,IF(ABS(CS!P25)&lt;10,"0",""),ABS(CS!P25)))</f>
        <v>05020103040605</v>
      </c>
      <c r="BV25" s="63" t="str">
        <f ca="1">IF(ISNUMBER(CS!Q25)=FALSE,CONCATENATE(BU25,""),CONCATENATE(BU25,IF(ABS(CS!Q25)&lt;10,"0",""),ABS(CS!Q25)))</f>
        <v>05020103040605</v>
      </c>
      <c r="BW25" s="63" t="str">
        <f ca="1">IF(ISNUMBER(CS!R25)=FALSE,CONCATENATE(BV25,""),CONCATENATE(BV25,IF(ABS(CS!R25)&lt;10,"0",""),ABS(CS!R25)))</f>
        <v>05020103040605</v>
      </c>
      <c r="BX25" s="63" t="str">
        <f ca="1">IF(ISNUMBER(CS!S25)=FALSE,CONCATENATE(BW25,""),CONCATENATE(BW25,IF(ABS(CS!S25)&lt;10,"0",""),ABS(CS!S25)))</f>
        <v>05020103040605</v>
      </c>
      <c r="BY25" s="63" t="str">
        <f ca="1">IF(ISNUMBER(CS!T25)=FALSE,CONCATENATE(BX25,""),CONCATENATE(BX25,IF(ABS(CS!T25)&lt;10,"0",""),ABS(CS!T25)))</f>
        <v>05020103040605</v>
      </c>
      <c r="BZ25" s="63" t="str">
        <f ca="1">IF(ISNUMBER(CS!U25)=FALSE,CONCATENATE(BY25,""),CONCATENATE(BY25,IF(ABS(CS!U25)&lt;10,"0",""),ABS(CS!U25)))</f>
        <v>05020103040605</v>
      </c>
      <c r="CA25" s="63" t="str">
        <f ca="1">IF(ISNUMBER(CS!V25)=FALSE,CONCATENATE(BZ25,""),CONCATENATE(BZ25,IF(ABS(CS!V25)&lt;10,"0",""),ABS(CS!V25)))</f>
        <v>05020103040605</v>
      </c>
      <c r="CB25" s="63" t="str">
        <f ca="1">IF(ISNUMBER(CS!W25)=FALSE,CONCATENATE(CA25,""),CONCATENATE(CA25,IF(ABS(CS!W25)&lt;10,"0",""),ABS(CS!W25)))</f>
        <v>05020103040605</v>
      </c>
      <c r="CC25" s="63" t="str">
        <f ca="1">IF(ISNUMBER(CS!X25)=FALSE,CONCATENATE(CB25,""),CONCATENATE(CB25,IF(ABS(CS!X25)&lt;10,"0",""),ABS(CS!X25)))</f>
        <v>05020103040605</v>
      </c>
      <c r="CD25" s="63" t="str">
        <f ca="1">IF(ISNUMBER(CS!Y25)=FALSE,CONCATENATE(CC25,""),CONCATENATE(CC25,IF(ABS(CS!Y25)&lt;10,"0",""),ABS(CS!Y25)))</f>
        <v>05020103040605</v>
      </c>
      <c r="CE25" s="63" t="str">
        <f ca="1">IF(ISNUMBER(CS!Z25)=FALSE,CONCATENATE(CD25,""),CONCATENATE(CD25,IF(ABS(CS!Z25)&lt;10,"0",""),ABS(CS!Z25)))</f>
        <v>05020103040605</v>
      </c>
      <c r="CF25" s="63" t="str">
        <f ca="1">IF(ISNUMBER(CS!AA25)=FALSE,CONCATENATE(CE25,""),CONCATENATE(CE25,IF(ABS(CS!AA25)&lt;10,"0",""),ABS(CS!AA25)))</f>
        <v>05020103040605</v>
      </c>
      <c r="CG25" s="63" t="str">
        <f ca="1">IF(ISNUMBER(CS!AB25)=FALSE,CONCATENATE(CF25,""),CONCATENATE(CF25,IF(ABS(CS!AB25)&lt;10,"0",""),ABS(CS!AB25)))</f>
        <v>05020103040605</v>
      </c>
      <c r="CH25" s="63" t="str">
        <f ca="1">IF(ISNUMBER(CS!AC25)=FALSE,CONCATENATE(CG25,""),CONCATENATE(CG25,IF(ABS(CS!AC25)&lt;10,"0",""),ABS(CS!AC25)))</f>
        <v>05020103040605</v>
      </c>
      <c r="CI25" s="63" t="str">
        <f ca="1">IF(ISNUMBER(CS!AD25)=FALSE,CONCATENATE(CH25,""),CONCATENATE(CH25,IF(ABS(CS!AD25)&lt;10,"0",""),ABS(CS!AD25)))</f>
        <v>05020103040605</v>
      </c>
      <c r="CJ25" s="63" t="str">
        <f ca="1">IF(ISNUMBER(CS!AE25)=FALSE,CONCATENATE(CI25,""),CONCATENATE(CI25,IF(ABS(CS!AE25)&lt;10,"0",""),ABS(CS!AE25)))</f>
        <v>05020103040605</v>
      </c>
      <c r="CK25" s="63" t="str">
        <f ca="1">IF(ISNUMBER(CS!AF25)=FALSE,CONCATENATE(CJ25,""),CONCATENATE(CJ25,IF(ABS(CS!AF25)&lt;10,"0",""),ABS(CS!AF25)))</f>
        <v>05020103040605</v>
      </c>
      <c r="CL25" s="63" t="str">
        <f ca="1">IF(ISNUMBER(CS!AG25)=FALSE,CONCATENATE(CK25,""),CONCATENATE(CK25,IF(ABS(CS!AG25)&lt;10,"0",""),ABS(CS!AG25)))</f>
        <v>05020103040605</v>
      </c>
      <c r="CM25" s="63" t="str">
        <f ca="1">IF(ISNUMBER(CS!AH25)=FALSE,CONCATENATE(CL25,""),CONCATENATE(CL25,IF(ABS(CS!AH25)&lt;10,"0",""),ABS(CS!AH25)))</f>
        <v>05020103040605</v>
      </c>
      <c r="CN25" s="63" t="str">
        <f ca="1">IF(ISNUMBER(CS!AI25)=FALSE,CONCATENATE(CM25,""),CONCATENATE(CM25,IF(ABS(CS!AI25)&lt;10,"0",""),ABS(CS!AI25)))</f>
        <v>05020103040605</v>
      </c>
      <c r="CO25" s="63" t="str">
        <f ca="1">IF(ISNUMBER(CS!AJ25)=FALSE,CONCATENATE(CN25,""),CONCATENATE(CN25,IF(ABS(CS!AJ25)&lt;10,"0",""),ABS(CS!AJ25)))</f>
        <v>05020103040605</v>
      </c>
      <c r="CP25" s="63" t="str">
        <f ca="1">IF(ISNUMBER(CS!AK25)=FALSE,CONCATENATE(CO25,""),CONCATENATE(CO25,IF(ABS(CS!AK25)&lt;10,"0",""),ABS(CS!AK25)))</f>
        <v>05020103040605</v>
      </c>
      <c r="CQ25" s="63" t="str">
        <f ca="1">IF(ISNUMBER(CS!AL25)=FALSE,CONCATENATE(CP25,""),CONCATENATE(CP25,IF(ABS(CS!AL25)&lt;10,"0",""),ABS(CS!AL25)))</f>
        <v>05020103040605</v>
      </c>
      <c r="CR25" s="63" t="str">
        <f ca="1">IF(ISNUMBER(CS!AM25)=FALSE,CONCATENATE(CQ25,""),CONCATENATE(CQ25,IF(ABS(CS!AM25)&lt;10,"0",""),ABS(CS!AM25)))</f>
        <v>05020103040605</v>
      </c>
      <c r="CS25" s="63" t="str">
        <f ca="1">IF(ISNUMBER(CS!AN25)=FALSE,CONCATENATE(CR25,""),CONCATENATE(CR25,IF(ABS(CS!AN25)&lt;10,"0",""),ABS(CS!AN25)))</f>
        <v>05020103040605</v>
      </c>
      <c r="CT25" s="63" t="str">
        <f ca="1">IF(ISNUMBER(CS!AO25)=FALSE,CONCATENATE(CS25,""),CONCATENATE(CS25,IF(ABS(CS!AO25)&lt;10,"0",""),ABS(CS!AO25)))</f>
        <v>05020103040605</v>
      </c>
      <c r="CU25" s="63" t="str">
        <f ca="1">IF(ISNUMBER(CS!AP25)=FALSE,CONCATENATE(CT25,""),CONCATENATE(CT25,IF(ABS(CS!AP25)&lt;10,"0",""),ABS(CS!AP25)))</f>
        <v>05020103040605</v>
      </c>
    </row>
    <row r="26" spans="2:99">
      <c r="B26" s="4" t="str">
        <f ca="1">CS!AR26</f>
        <v>Tm16</v>
      </c>
      <c r="C26" s="5">
        <f t="shared" ca="1" si="7"/>
        <v>2</v>
      </c>
      <c r="D26" s="5">
        <f t="shared" ca="1" si="8"/>
        <v>4</v>
      </c>
      <c r="E26" s="5">
        <f t="shared" ca="1" si="8"/>
        <v>6</v>
      </c>
      <c r="F26" s="5">
        <f t="shared" ca="1" si="8"/>
        <v>2</v>
      </c>
      <c r="G26" s="5">
        <f t="shared" ca="1" si="8"/>
        <v>3</v>
      </c>
      <c r="H26" s="5">
        <f t="shared" ca="1" si="8"/>
        <v>1</v>
      </c>
      <c r="I26" s="5">
        <f t="shared" ca="1" si="8"/>
        <v>5</v>
      </c>
      <c r="J26" s="5">
        <f t="shared" ca="1" si="1"/>
        <v>0</v>
      </c>
      <c r="K26" s="5">
        <f t="shared" ca="1" si="1"/>
        <v>0</v>
      </c>
      <c r="L26" s="5">
        <f t="shared" ca="1" si="1"/>
        <v>0</v>
      </c>
      <c r="M26" s="5">
        <f t="shared" ca="1" si="1"/>
        <v>0</v>
      </c>
      <c r="N26" s="5">
        <f t="shared" ca="1" si="1"/>
        <v>0</v>
      </c>
      <c r="O26" s="5">
        <f t="shared" ca="1" si="1"/>
        <v>0</v>
      </c>
      <c r="P26" s="5">
        <f t="shared" ca="1" si="1"/>
        <v>0</v>
      </c>
      <c r="Q26" s="5">
        <f t="shared" ca="1" si="1"/>
        <v>0</v>
      </c>
      <c r="R26" s="5">
        <f t="shared" ca="1" si="1"/>
        <v>0</v>
      </c>
      <c r="S26" s="5">
        <f t="shared" ca="1" si="1"/>
        <v>0</v>
      </c>
      <c r="T26" s="5">
        <f t="shared" ca="1" si="2"/>
        <v>0</v>
      </c>
      <c r="U26" s="5">
        <f t="shared" ca="1" si="2"/>
        <v>0</v>
      </c>
      <c r="V26" s="5">
        <f t="shared" ca="1" si="2"/>
        <v>0</v>
      </c>
      <c r="W26" s="5">
        <f t="shared" ca="1" si="2"/>
        <v>0</v>
      </c>
      <c r="X26" s="5">
        <f t="shared" ca="1" si="2"/>
        <v>0</v>
      </c>
      <c r="Y26" s="5">
        <f t="shared" ca="1" si="3"/>
        <v>0</v>
      </c>
      <c r="Z26" s="5">
        <f t="shared" ca="1" si="3"/>
        <v>0</v>
      </c>
      <c r="AA26" s="5">
        <f t="shared" ca="1" si="3"/>
        <v>0</v>
      </c>
      <c r="AB26" s="5">
        <f t="shared" ca="1" si="3"/>
        <v>0</v>
      </c>
      <c r="AC26" s="5">
        <f t="shared" ca="1" si="3"/>
        <v>0</v>
      </c>
      <c r="AD26" s="5">
        <f t="shared" ca="1" si="3"/>
        <v>0</v>
      </c>
      <c r="AE26" s="5">
        <f t="shared" ca="1" si="3"/>
        <v>0</v>
      </c>
      <c r="AF26" s="5">
        <f t="shared" ca="1" si="3"/>
        <v>0</v>
      </c>
      <c r="AG26" s="5">
        <f t="shared" ca="1" si="3"/>
        <v>0</v>
      </c>
      <c r="AH26" s="5">
        <f t="shared" ca="1" si="3"/>
        <v>0</v>
      </c>
      <c r="AI26" s="5">
        <f t="shared" ca="1" si="3"/>
        <v>0</v>
      </c>
      <c r="AJ26" s="5">
        <f t="shared" ca="1" si="3"/>
        <v>0</v>
      </c>
      <c r="AK26" s="5">
        <f t="shared" ca="1" si="3"/>
        <v>0</v>
      </c>
      <c r="AL26" s="5">
        <f t="shared" ca="1" si="3"/>
        <v>0</v>
      </c>
      <c r="AM26" s="5">
        <f t="shared" ca="1" si="3"/>
        <v>0</v>
      </c>
      <c r="AN26" s="5">
        <f t="shared" ca="1" si="4"/>
        <v>0</v>
      </c>
      <c r="AO26" s="5">
        <f t="shared" ca="1" si="4"/>
        <v>0</v>
      </c>
      <c r="AP26" s="5">
        <f t="shared" ca="1" si="4"/>
        <v>0</v>
      </c>
      <c r="AR26" s="4" t="str">
        <f t="shared" ca="1" si="5"/>
        <v>Tm16</v>
      </c>
      <c r="AS26" s="339">
        <f t="shared" ca="1" si="6"/>
        <v>1</v>
      </c>
      <c r="AT26" s="339">
        <f t="shared" ca="1" si="10"/>
        <v>2</v>
      </c>
      <c r="AU26" s="339">
        <f t="shared" ca="1" si="10"/>
        <v>1</v>
      </c>
      <c r="AV26" s="339">
        <f t="shared" ca="1" si="10"/>
        <v>1</v>
      </c>
      <c r="AW26" s="339">
        <f t="shared" ca="1" si="10"/>
        <v>1</v>
      </c>
      <c r="AX26" s="339">
        <f t="shared" ca="1" si="10"/>
        <v>1</v>
      </c>
      <c r="AY26" s="339">
        <f t="shared" ca="1" si="10"/>
        <v>0</v>
      </c>
      <c r="AZ26" s="339">
        <f t="shared" ca="1" si="10"/>
        <v>0</v>
      </c>
      <c r="BA26" s="339">
        <f t="shared" ca="1" si="10"/>
        <v>0</v>
      </c>
      <c r="BB26" s="339">
        <f t="shared" ca="1" si="10"/>
        <v>0</v>
      </c>
      <c r="BD26" s="63">
        <f>IF(DrawFinder!Y26=0,"",DrawFinder!Y26)</f>
        <v>2</v>
      </c>
      <c r="BF26" s="151" t="str">
        <f t="shared" ca="1" si="9"/>
        <v>02040602030105</v>
      </c>
      <c r="BH26" s="63" t="str">
        <f ca="1">IF(ISNUMBER(CS!C26)=FALSE,CONCATENATE(BG26,""),CONCATENATE(BG26,IF(ABS(CS!C26)&lt;10,"0",""),ABS(CS!C26)))</f>
        <v/>
      </c>
      <c r="BI26" s="63" t="str">
        <f ca="1">IF(ISNUMBER(CS!D26)=FALSE,CONCATENATE(BH26,""),CONCATENATE(BH26,IF(ABS(CS!D26)&lt;10,"0",""),ABS(CS!D26)))</f>
        <v>02</v>
      </c>
      <c r="BJ26" s="63" t="str">
        <f ca="1">IF(ISNUMBER(CS!E26)=FALSE,CONCATENATE(BI26,""),CONCATENATE(BI26,IF(ABS(CS!E26)&lt;10,"0",""),ABS(CS!E26)))</f>
        <v>0204</v>
      </c>
      <c r="BK26" s="63" t="str">
        <f ca="1">IF(ISNUMBER(CS!F26)=FALSE,CONCATENATE(BJ26,""),CONCATENATE(BJ26,IF(ABS(CS!F26)&lt;10,"0",""),ABS(CS!F26)))</f>
        <v>0204</v>
      </c>
      <c r="BL26" s="63" t="str">
        <f ca="1">IF(ISNUMBER(CS!G26)=FALSE,CONCATENATE(BK26,""),CONCATENATE(BK26,IF(ABS(CS!G26)&lt;10,"0",""),ABS(CS!G26)))</f>
        <v>0204</v>
      </c>
      <c r="BM26" s="63" t="str">
        <f ca="1">IF(ISNUMBER(CS!H26)=FALSE,CONCATENATE(BL26,""),CONCATENATE(BL26,IF(ABS(CS!H26)&lt;10,"0",""),ABS(CS!H26)))</f>
        <v>020406</v>
      </c>
      <c r="BN26" s="63" t="str">
        <f ca="1">IF(ISNUMBER(CS!I26)=FALSE,CONCATENATE(BM26,""),CONCATENATE(BM26,IF(ABS(CS!I26)&lt;10,"0",""),ABS(CS!I26)))</f>
        <v>02040602</v>
      </c>
      <c r="BO26" s="63" t="str">
        <f ca="1">IF(ISNUMBER(CS!J26)=FALSE,CONCATENATE(BN26,""),CONCATENATE(BN26,IF(ABS(CS!J26)&lt;10,"0",""),ABS(CS!J26)))</f>
        <v>02040602</v>
      </c>
      <c r="BP26" s="63" t="str">
        <f ca="1">IF(ISNUMBER(CS!K26)=FALSE,CONCATENATE(BO26,""),CONCATENATE(BO26,IF(ABS(CS!K26)&lt;10,"0",""),ABS(CS!K26)))</f>
        <v>02040602</v>
      </c>
      <c r="BQ26" s="63" t="str">
        <f ca="1">IF(ISNUMBER(CS!L26)=FALSE,CONCATENATE(BP26,""),CONCATENATE(BP26,IF(ABS(CS!L26)&lt;10,"0",""),ABS(CS!L26)))</f>
        <v>0204060203</v>
      </c>
      <c r="BR26" s="63" t="str">
        <f ca="1">IF(ISNUMBER(CS!M26)=FALSE,CONCATENATE(BQ26,""),CONCATENATE(BQ26,IF(ABS(CS!M26)&lt;10,"0",""),ABS(CS!M26)))</f>
        <v>020406020301</v>
      </c>
      <c r="BS26" s="63" t="str">
        <f ca="1">IF(ISNUMBER(CS!N26)=FALSE,CONCATENATE(BR26,""),CONCATENATE(BR26,IF(ABS(CS!N26)&lt;10,"0",""),ABS(CS!N26)))</f>
        <v>020406020301</v>
      </c>
      <c r="BT26" s="63" t="str">
        <f ca="1">IF(ISNUMBER(CS!O26)=FALSE,CONCATENATE(BS26,""),CONCATENATE(BS26,IF(ABS(CS!O26)&lt;10,"0",""),ABS(CS!O26)))</f>
        <v>020406020301</v>
      </c>
      <c r="BU26" s="63" t="str">
        <f ca="1">IF(ISNUMBER(CS!P26)=FALSE,CONCATENATE(BT26,""),CONCATENATE(BT26,IF(ABS(CS!P26)&lt;10,"0",""),ABS(CS!P26)))</f>
        <v>02040602030105</v>
      </c>
      <c r="BV26" s="63" t="str">
        <f ca="1">IF(ISNUMBER(CS!Q26)=FALSE,CONCATENATE(BU26,""),CONCATENATE(BU26,IF(ABS(CS!Q26)&lt;10,"0",""),ABS(CS!Q26)))</f>
        <v>02040602030105</v>
      </c>
      <c r="BW26" s="63" t="str">
        <f ca="1">IF(ISNUMBER(CS!R26)=FALSE,CONCATENATE(BV26,""),CONCATENATE(BV26,IF(ABS(CS!R26)&lt;10,"0",""),ABS(CS!R26)))</f>
        <v>02040602030105</v>
      </c>
      <c r="BX26" s="63" t="str">
        <f ca="1">IF(ISNUMBER(CS!S26)=FALSE,CONCATENATE(BW26,""),CONCATENATE(BW26,IF(ABS(CS!S26)&lt;10,"0",""),ABS(CS!S26)))</f>
        <v>02040602030105</v>
      </c>
      <c r="BY26" s="63" t="str">
        <f ca="1">IF(ISNUMBER(CS!T26)=FALSE,CONCATENATE(BX26,""),CONCATENATE(BX26,IF(ABS(CS!T26)&lt;10,"0",""),ABS(CS!T26)))</f>
        <v>02040602030105</v>
      </c>
      <c r="BZ26" s="63" t="str">
        <f ca="1">IF(ISNUMBER(CS!U26)=FALSE,CONCATENATE(BY26,""),CONCATENATE(BY26,IF(ABS(CS!U26)&lt;10,"0",""),ABS(CS!U26)))</f>
        <v>02040602030105</v>
      </c>
      <c r="CA26" s="63" t="str">
        <f ca="1">IF(ISNUMBER(CS!V26)=FALSE,CONCATENATE(BZ26,""),CONCATENATE(BZ26,IF(ABS(CS!V26)&lt;10,"0",""),ABS(CS!V26)))</f>
        <v>02040602030105</v>
      </c>
      <c r="CB26" s="63" t="str">
        <f ca="1">IF(ISNUMBER(CS!W26)=FALSE,CONCATENATE(CA26,""),CONCATENATE(CA26,IF(ABS(CS!W26)&lt;10,"0",""),ABS(CS!W26)))</f>
        <v>02040602030105</v>
      </c>
      <c r="CC26" s="63" t="str">
        <f ca="1">IF(ISNUMBER(CS!X26)=FALSE,CONCATENATE(CB26,""),CONCATENATE(CB26,IF(ABS(CS!X26)&lt;10,"0",""),ABS(CS!X26)))</f>
        <v>02040602030105</v>
      </c>
      <c r="CD26" s="63" t="str">
        <f ca="1">IF(ISNUMBER(CS!Y26)=FALSE,CONCATENATE(CC26,""),CONCATENATE(CC26,IF(ABS(CS!Y26)&lt;10,"0",""),ABS(CS!Y26)))</f>
        <v>02040602030105</v>
      </c>
      <c r="CE26" s="63" t="str">
        <f ca="1">IF(ISNUMBER(CS!Z26)=FALSE,CONCATENATE(CD26,""),CONCATENATE(CD26,IF(ABS(CS!Z26)&lt;10,"0",""),ABS(CS!Z26)))</f>
        <v>02040602030105</v>
      </c>
      <c r="CF26" s="63" t="str">
        <f ca="1">IF(ISNUMBER(CS!AA26)=FALSE,CONCATENATE(CE26,""),CONCATENATE(CE26,IF(ABS(CS!AA26)&lt;10,"0",""),ABS(CS!AA26)))</f>
        <v>02040602030105</v>
      </c>
      <c r="CG26" s="63" t="str">
        <f ca="1">IF(ISNUMBER(CS!AB26)=FALSE,CONCATENATE(CF26,""),CONCATENATE(CF26,IF(ABS(CS!AB26)&lt;10,"0",""),ABS(CS!AB26)))</f>
        <v>02040602030105</v>
      </c>
      <c r="CH26" s="63" t="str">
        <f ca="1">IF(ISNUMBER(CS!AC26)=FALSE,CONCATENATE(CG26,""),CONCATENATE(CG26,IF(ABS(CS!AC26)&lt;10,"0",""),ABS(CS!AC26)))</f>
        <v>02040602030105</v>
      </c>
      <c r="CI26" s="63" t="str">
        <f ca="1">IF(ISNUMBER(CS!AD26)=FALSE,CONCATENATE(CH26,""),CONCATENATE(CH26,IF(ABS(CS!AD26)&lt;10,"0",""),ABS(CS!AD26)))</f>
        <v>02040602030105</v>
      </c>
      <c r="CJ26" s="63" t="str">
        <f ca="1">IF(ISNUMBER(CS!AE26)=FALSE,CONCATENATE(CI26,""),CONCATENATE(CI26,IF(ABS(CS!AE26)&lt;10,"0",""),ABS(CS!AE26)))</f>
        <v>02040602030105</v>
      </c>
      <c r="CK26" s="63" t="str">
        <f ca="1">IF(ISNUMBER(CS!AF26)=FALSE,CONCATENATE(CJ26,""),CONCATENATE(CJ26,IF(ABS(CS!AF26)&lt;10,"0",""),ABS(CS!AF26)))</f>
        <v>02040602030105</v>
      </c>
      <c r="CL26" s="63" t="str">
        <f ca="1">IF(ISNUMBER(CS!AG26)=FALSE,CONCATENATE(CK26,""),CONCATENATE(CK26,IF(ABS(CS!AG26)&lt;10,"0",""),ABS(CS!AG26)))</f>
        <v>02040602030105</v>
      </c>
      <c r="CM26" s="63" t="str">
        <f ca="1">IF(ISNUMBER(CS!AH26)=FALSE,CONCATENATE(CL26,""),CONCATENATE(CL26,IF(ABS(CS!AH26)&lt;10,"0",""),ABS(CS!AH26)))</f>
        <v>02040602030105</v>
      </c>
      <c r="CN26" s="63" t="str">
        <f ca="1">IF(ISNUMBER(CS!AI26)=FALSE,CONCATENATE(CM26,""),CONCATENATE(CM26,IF(ABS(CS!AI26)&lt;10,"0",""),ABS(CS!AI26)))</f>
        <v>02040602030105</v>
      </c>
      <c r="CO26" s="63" t="str">
        <f ca="1">IF(ISNUMBER(CS!AJ26)=FALSE,CONCATENATE(CN26,""),CONCATENATE(CN26,IF(ABS(CS!AJ26)&lt;10,"0",""),ABS(CS!AJ26)))</f>
        <v>02040602030105</v>
      </c>
      <c r="CP26" s="63" t="str">
        <f ca="1">IF(ISNUMBER(CS!AK26)=FALSE,CONCATENATE(CO26,""),CONCATENATE(CO26,IF(ABS(CS!AK26)&lt;10,"0",""),ABS(CS!AK26)))</f>
        <v>02040602030105</v>
      </c>
      <c r="CQ26" s="63" t="str">
        <f ca="1">IF(ISNUMBER(CS!AL26)=FALSE,CONCATENATE(CP26,""),CONCATENATE(CP26,IF(ABS(CS!AL26)&lt;10,"0",""),ABS(CS!AL26)))</f>
        <v>02040602030105</v>
      </c>
      <c r="CR26" s="63" t="str">
        <f ca="1">IF(ISNUMBER(CS!AM26)=FALSE,CONCATENATE(CQ26,""),CONCATENATE(CQ26,IF(ABS(CS!AM26)&lt;10,"0",""),ABS(CS!AM26)))</f>
        <v>02040602030105</v>
      </c>
      <c r="CS26" s="63" t="str">
        <f ca="1">IF(ISNUMBER(CS!AN26)=FALSE,CONCATENATE(CR26,""),CONCATENATE(CR26,IF(ABS(CS!AN26)&lt;10,"0",""),ABS(CS!AN26)))</f>
        <v>02040602030105</v>
      </c>
      <c r="CT26" s="63" t="str">
        <f ca="1">IF(ISNUMBER(CS!AO26)=FALSE,CONCATENATE(CS26,""),CONCATENATE(CS26,IF(ABS(CS!AO26)&lt;10,"0",""),ABS(CS!AO26)))</f>
        <v>02040602030105</v>
      </c>
      <c r="CU26" s="63" t="str">
        <f ca="1">IF(ISNUMBER(CS!AP26)=FALSE,CONCATENATE(CT26,""),CONCATENATE(CT26,IF(ABS(CS!AP26)&lt;10,"0",""),ABS(CS!AP26)))</f>
        <v>02040602030105</v>
      </c>
    </row>
    <row r="27" spans="2:99">
      <c r="B27" s="4" t="str">
        <f ca="1">CS!AR27</f>
        <v>Tm17</v>
      </c>
      <c r="C27" s="5">
        <f t="shared" ca="1" si="7"/>
        <v>6</v>
      </c>
      <c r="D27" s="5">
        <f t="shared" ca="1" si="8"/>
        <v>3</v>
      </c>
      <c r="E27" s="5">
        <f t="shared" ca="1" si="8"/>
        <v>5</v>
      </c>
      <c r="F27" s="5">
        <f t="shared" ca="1" si="8"/>
        <v>6</v>
      </c>
      <c r="G27" s="5">
        <f t="shared" ca="1" si="8"/>
        <v>2</v>
      </c>
      <c r="H27" s="5">
        <f t="shared" ca="1" si="8"/>
        <v>4</v>
      </c>
      <c r="I27" s="5">
        <f t="shared" ca="1" si="8"/>
        <v>1</v>
      </c>
      <c r="J27" s="5">
        <f t="shared" ref="J27:Y41" ca="1" si="11">IF(ISERROR(VALUE(MID($BF27,(J$9*2)-1,2))),0,VALUE(MID($BF27,(J$9*2)-1,2)))</f>
        <v>0</v>
      </c>
      <c r="K27" s="5">
        <f t="shared" ca="1" si="11"/>
        <v>0</v>
      </c>
      <c r="L27" s="5">
        <f t="shared" ca="1" si="11"/>
        <v>0</v>
      </c>
      <c r="M27" s="5">
        <f t="shared" ca="1" si="11"/>
        <v>0</v>
      </c>
      <c r="N27" s="5">
        <f t="shared" ca="1" si="11"/>
        <v>0</v>
      </c>
      <c r="O27" s="5">
        <f t="shared" ca="1" si="11"/>
        <v>0</v>
      </c>
      <c r="P27" s="5">
        <f t="shared" ca="1" si="11"/>
        <v>0</v>
      </c>
      <c r="Q27" s="5">
        <f t="shared" ca="1" si="11"/>
        <v>0</v>
      </c>
      <c r="R27" s="5">
        <f t="shared" ca="1" si="11"/>
        <v>0</v>
      </c>
      <c r="S27" s="5">
        <f t="shared" ca="1" si="11"/>
        <v>0</v>
      </c>
      <c r="T27" s="5">
        <f t="shared" ca="1" si="11"/>
        <v>0</v>
      </c>
      <c r="U27" s="5">
        <f t="shared" ca="1" si="11"/>
        <v>0</v>
      </c>
      <c r="V27" s="5">
        <f t="shared" ca="1" si="11"/>
        <v>0</v>
      </c>
      <c r="W27" s="5">
        <f t="shared" ca="1" si="11"/>
        <v>0</v>
      </c>
      <c r="X27" s="5">
        <f t="shared" ca="1" si="11"/>
        <v>0</v>
      </c>
      <c r="Y27" s="5">
        <f t="shared" ca="1" si="11"/>
        <v>0</v>
      </c>
      <c r="Z27" s="5">
        <f t="shared" ref="Y27:AH56" ca="1" si="12">IF(ISERROR(VALUE(MID($BF27,(Z$9*2)-1,2))),0,VALUE(MID($BF27,(Z$9*2)-1,2)))</f>
        <v>0</v>
      </c>
      <c r="AA27" s="5">
        <f t="shared" ca="1" si="12"/>
        <v>0</v>
      </c>
      <c r="AB27" s="5">
        <f t="shared" ca="1" si="12"/>
        <v>0</v>
      </c>
      <c r="AC27" s="5">
        <f t="shared" ca="1" si="12"/>
        <v>0</v>
      </c>
      <c r="AD27" s="5">
        <f t="shared" ca="1" si="12"/>
        <v>0</v>
      </c>
      <c r="AE27" s="5">
        <f t="shared" ca="1" si="12"/>
        <v>0</v>
      </c>
      <c r="AF27" s="5">
        <f t="shared" ca="1" si="12"/>
        <v>0</v>
      </c>
      <c r="AG27" s="5">
        <f t="shared" ca="1" si="12"/>
        <v>0</v>
      </c>
      <c r="AH27" s="5">
        <f t="shared" ca="1" si="12"/>
        <v>0</v>
      </c>
      <c r="AI27" s="5">
        <f t="shared" ref="AI27:AP56" ca="1" si="13">IF(ISERROR(VALUE(MID($BF27,(AI$9*2)-1,2))),0,VALUE(MID($BF27,(AI$9*2)-1,2)))</f>
        <v>0</v>
      </c>
      <c r="AJ27" s="5">
        <f t="shared" ca="1" si="13"/>
        <v>0</v>
      </c>
      <c r="AK27" s="5">
        <f t="shared" ca="1" si="13"/>
        <v>0</v>
      </c>
      <c r="AL27" s="5">
        <f t="shared" ca="1" si="13"/>
        <v>0</v>
      </c>
      <c r="AM27" s="5">
        <f t="shared" ca="1" si="13"/>
        <v>0</v>
      </c>
      <c r="AN27" s="5">
        <f t="shared" ca="1" si="13"/>
        <v>0</v>
      </c>
      <c r="AO27" s="5">
        <f t="shared" ca="1" si="13"/>
        <v>0</v>
      </c>
      <c r="AP27" s="5">
        <f t="shared" ca="1" si="13"/>
        <v>0</v>
      </c>
      <c r="AR27" s="4" t="str">
        <f t="shared" ca="1" si="5"/>
        <v>Tm17</v>
      </c>
      <c r="AS27" s="339">
        <f t="shared" ref="AS27:BB56" ca="1" si="14">COUNTIF($C27:$AP27,AS$9)</f>
        <v>1</v>
      </c>
      <c r="AT27" s="339">
        <f t="shared" ca="1" si="14"/>
        <v>1</v>
      </c>
      <c r="AU27" s="339">
        <f t="shared" ca="1" si="14"/>
        <v>1</v>
      </c>
      <c r="AV27" s="339">
        <f t="shared" ca="1" si="14"/>
        <v>1</v>
      </c>
      <c r="AW27" s="339">
        <f t="shared" ca="1" si="14"/>
        <v>1</v>
      </c>
      <c r="AX27" s="339">
        <f t="shared" ca="1" si="14"/>
        <v>2</v>
      </c>
      <c r="AY27" s="339">
        <f t="shared" ca="1" si="14"/>
        <v>0</v>
      </c>
      <c r="AZ27" s="339">
        <f t="shared" ca="1" si="14"/>
        <v>0</v>
      </c>
      <c r="BA27" s="339">
        <f t="shared" ca="1" si="14"/>
        <v>0</v>
      </c>
      <c r="BB27" s="339">
        <f t="shared" ca="1" si="14"/>
        <v>0</v>
      </c>
      <c r="BD27" s="63">
        <f>IF(DrawFinder!Y27=0,"",DrawFinder!Y27)</f>
        <v>3</v>
      </c>
      <c r="BF27" s="151" t="str">
        <f t="shared" ca="1" si="9"/>
        <v>06030506020401</v>
      </c>
      <c r="BH27" s="63" t="str">
        <f ca="1">IF(ISNUMBER(CS!C27)=FALSE,CONCATENATE(BG27,""),CONCATENATE(BG27,IF(ABS(CS!C27)&lt;10,"0",""),ABS(CS!C27)))</f>
        <v/>
      </c>
      <c r="BI27" s="63" t="str">
        <f ca="1">IF(ISNUMBER(CS!D27)=FALSE,CONCATENATE(BH27,""),CONCATENATE(BH27,IF(ABS(CS!D27)&lt;10,"0",""),ABS(CS!D27)))</f>
        <v>06</v>
      </c>
      <c r="BJ27" s="63" t="str">
        <f ca="1">IF(ISNUMBER(CS!E27)=FALSE,CONCATENATE(BI27,""),CONCATENATE(BI27,IF(ABS(CS!E27)&lt;10,"0",""),ABS(CS!E27)))</f>
        <v>06</v>
      </c>
      <c r="BK27" s="63" t="str">
        <f ca="1">IF(ISNUMBER(CS!F27)=FALSE,CONCATENATE(BJ27,""),CONCATENATE(BJ27,IF(ABS(CS!F27)&lt;10,"0",""),ABS(CS!F27)))</f>
        <v>0603</v>
      </c>
      <c r="BL27" s="63" t="str">
        <f ca="1">IF(ISNUMBER(CS!G27)=FALSE,CONCATENATE(BK27,""),CONCATENATE(BK27,IF(ABS(CS!G27)&lt;10,"0",""),ABS(CS!G27)))</f>
        <v>060305</v>
      </c>
      <c r="BM27" s="63" t="str">
        <f ca="1">IF(ISNUMBER(CS!H27)=FALSE,CONCATENATE(BL27,""),CONCATENATE(BL27,IF(ABS(CS!H27)&lt;10,"0",""),ABS(CS!H27)))</f>
        <v>060305</v>
      </c>
      <c r="BN27" s="63" t="str">
        <f ca="1">IF(ISNUMBER(CS!I27)=FALSE,CONCATENATE(BM27,""),CONCATENATE(BM27,IF(ABS(CS!I27)&lt;10,"0",""),ABS(CS!I27)))</f>
        <v>06030506</v>
      </c>
      <c r="BO27" s="63" t="str">
        <f ca="1">IF(ISNUMBER(CS!J27)=FALSE,CONCATENATE(BN27,""),CONCATENATE(BN27,IF(ABS(CS!J27)&lt;10,"0",""),ABS(CS!J27)))</f>
        <v>06030506</v>
      </c>
      <c r="BP27" s="63" t="str">
        <f ca="1">IF(ISNUMBER(CS!K27)=FALSE,CONCATENATE(BO27,""),CONCATENATE(BO27,IF(ABS(CS!K27)&lt;10,"0",""),ABS(CS!K27)))</f>
        <v>0603050602</v>
      </c>
      <c r="BQ27" s="63" t="str">
        <f ca="1">IF(ISNUMBER(CS!L27)=FALSE,CONCATENATE(BP27,""),CONCATENATE(BP27,IF(ABS(CS!L27)&lt;10,"0",""),ABS(CS!L27)))</f>
        <v>0603050602</v>
      </c>
      <c r="BR27" s="63" t="str">
        <f ca="1">IF(ISNUMBER(CS!M27)=FALSE,CONCATENATE(BQ27,""),CONCATENATE(BQ27,IF(ABS(CS!M27)&lt;10,"0",""),ABS(CS!M27)))</f>
        <v>0603050602</v>
      </c>
      <c r="BS27" s="63" t="str">
        <f ca="1">IF(ISNUMBER(CS!N27)=FALSE,CONCATENATE(BR27,""),CONCATENATE(BR27,IF(ABS(CS!N27)&lt;10,"0",""),ABS(CS!N27)))</f>
        <v>060305060204</v>
      </c>
      <c r="BT27" s="63" t="str">
        <f ca="1">IF(ISNUMBER(CS!O27)=FALSE,CONCATENATE(BS27,""),CONCATENATE(BS27,IF(ABS(CS!O27)&lt;10,"0",""),ABS(CS!O27)))</f>
        <v>06030506020401</v>
      </c>
      <c r="BU27" s="63" t="str">
        <f ca="1">IF(ISNUMBER(CS!P27)=FALSE,CONCATENATE(BT27,""),CONCATENATE(BT27,IF(ABS(CS!P27)&lt;10,"0",""),ABS(CS!P27)))</f>
        <v>06030506020401</v>
      </c>
      <c r="BV27" s="63" t="str">
        <f ca="1">IF(ISNUMBER(CS!Q27)=FALSE,CONCATENATE(BU27,""),CONCATENATE(BU27,IF(ABS(CS!Q27)&lt;10,"0",""),ABS(CS!Q27)))</f>
        <v>06030506020401</v>
      </c>
      <c r="BW27" s="63" t="str">
        <f ca="1">IF(ISNUMBER(CS!R27)=FALSE,CONCATENATE(BV27,""),CONCATENATE(BV27,IF(ABS(CS!R27)&lt;10,"0",""),ABS(CS!R27)))</f>
        <v>06030506020401</v>
      </c>
      <c r="BX27" s="63" t="str">
        <f ca="1">IF(ISNUMBER(CS!S27)=FALSE,CONCATENATE(BW27,""),CONCATENATE(BW27,IF(ABS(CS!S27)&lt;10,"0",""),ABS(CS!S27)))</f>
        <v>06030506020401</v>
      </c>
      <c r="BY27" s="63" t="str">
        <f ca="1">IF(ISNUMBER(CS!T27)=FALSE,CONCATENATE(BX27,""),CONCATENATE(BX27,IF(ABS(CS!T27)&lt;10,"0",""),ABS(CS!T27)))</f>
        <v>06030506020401</v>
      </c>
      <c r="BZ27" s="63" t="str">
        <f ca="1">IF(ISNUMBER(CS!U27)=FALSE,CONCATENATE(BY27,""),CONCATENATE(BY27,IF(ABS(CS!U27)&lt;10,"0",""),ABS(CS!U27)))</f>
        <v>06030506020401</v>
      </c>
      <c r="CA27" s="63" t="str">
        <f ca="1">IF(ISNUMBER(CS!V27)=FALSE,CONCATENATE(BZ27,""),CONCATENATE(BZ27,IF(ABS(CS!V27)&lt;10,"0",""),ABS(CS!V27)))</f>
        <v>06030506020401</v>
      </c>
      <c r="CB27" s="63" t="str">
        <f ca="1">IF(ISNUMBER(CS!W27)=FALSE,CONCATENATE(CA27,""),CONCATENATE(CA27,IF(ABS(CS!W27)&lt;10,"0",""),ABS(CS!W27)))</f>
        <v>06030506020401</v>
      </c>
      <c r="CC27" s="63" t="str">
        <f ca="1">IF(ISNUMBER(CS!X27)=FALSE,CONCATENATE(CB27,""),CONCATENATE(CB27,IF(ABS(CS!X27)&lt;10,"0",""),ABS(CS!X27)))</f>
        <v>06030506020401</v>
      </c>
      <c r="CD27" s="63" t="str">
        <f ca="1">IF(ISNUMBER(CS!Y27)=FALSE,CONCATENATE(CC27,""),CONCATENATE(CC27,IF(ABS(CS!Y27)&lt;10,"0",""),ABS(CS!Y27)))</f>
        <v>06030506020401</v>
      </c>
      <c r="CE27" s="63" t="str">
        <f ca="1">IF(ISNUMBER(CS!Z27)=FALSE,CONCATENATE(CD27,""),CONCATENATE(CD27,IF(ABS(CS!Z27)&lt;10,"0",""),ABS(CS!Z27)))</f>
        <v>06030506020401</v>
      </c>
      <c r="CF27" s="63" t="str">
        <f ca="1">IF(ISNUMBER(CS!AA27)=FALSE,CONCATENATE(CE27,""),CONCATENATE(CE27,IF(ABS(CS!AA27)&lt;10,"0",""),ABS(CS!AA27)))</f>
        <v>06030506020401</v>
      </c>
      <c r="CG27" s="63" t="str">
        <f ca="1">IF(ISNUMBER(CS!AB27)=FALSE,CONCATENATE(CF27,""),CONCATENATE(CF27,IF(ABS(CS!AB27)&lt;10,"0",""),ABS(CS!AB27)))</f>
        <v>06030506020401</v>
      </c>
      <c r="CH27" s="63" t="str">
        <f ca="1">IF(ISNUMBER(CS!AC27)=FALSE,CONCATENATE(CG27,""),CONCATENATE(CG27,IF(ABS(CS!AC27)&lt;10,"0",""),ABS(CS!AC27)))</f>
        <v>06030506020401</v>
      </c>
      <c r="CI27" s="63" t="str">
        <f ca="1">IF(ISNUMBER(CS!AD27)=FALSE,CONCATENATE(CH27,""),CONCATENATE(CH27,IF(ABS(CS!AD27)&lt;10,"0",""),ABS(CS!AD27)))</f>
        <v>06030506020401</v>
      </c>
      <c r="CJ27" s="63" t="str">
        <f ca="1">IF(ISNUMBER(CS!AE27)=FALSE,CONCATENATE(CI27,""),CONCATENATE(CI27,IF(ABS(CS!AE27)&lt;10,"0",""),ABS(CS!AE27)))</f>
        <v>06030506020401</v>
      </c>
      <c r="CK27" s="63" t="str">
        <f ca="1">IF(ISNUMBER(CS!AF27)=FALSE,CONCATENATE(CJ27,""),CONCATENATE(CJ27,IF(ABS(CS!AF27)&lt;10,"0",""),ABS(CS!AF27)))</f>
        <v>06030506020401</v>
      </c>
      <c r="CL27" s="63" t="str">
        <f ca="1">IF(ISNUMBER(CS!AG27)=FALSE,CONCATENATE(CK27,""),CONCATENATE(CK27,IF(ABS(CS!AG27)&lt;10,"0",""),ABS(CS!AG27)))</f>
        <v>06030506020401</v>
      </c>
      <c r="CM27" s="63" t="str">
        <f ca="1">IF(ISNUMBER(CS!AH27)=FALSE,CONCATENATE(CL27,""),CONCATENATE(CL27,IF(ABS(CS!AH27)&lt;10,"0",""),ABS(CS!AH27)))</f>
        <v>06030506020401</v>
      </c>
      <c r="CN27" s="63" t="str">
        <f ca="1">IF(ISNUMBER(CS!AI27)=FALSE,CONCATENATE(CM27,""),CONCATENATE(CM27,IF(ABS(CS!AI27)&lt;10,"0",""),ABS(CS!AI27)))</f>
        <v>06030506020401</v>
      </c>
      <c r="CO27" s="63" t="str">
        <f ca="1">IF(ISNUMBER(CS!AJ27)=FALSE,CONCATENATE(CN27,""),CONCATENATE(CN27,IF(ABS(CS!AJ27)&lt;10,"0",""),ABS(CS!AJ27)))</f>
        <v>06030506020401</v>
      </c>
      <c r="CP27" s="63" t="str">
        <f ca="1">IF(ISNUMBER(CS!AK27)=FALSE,CONCATENATE(CO27,""),CONCATENATE(CO27,IF(ABS(CS!AK27)&lt;10,"0",""),ABS(CS!AK27)))</f>
        <v>06030506020401</v>
      </c>
      <c r="CQ27" s="63" t="str">
        <f ca="1">IF(ISNUMBER(CS!AL27)=FALSE,CONCATENATE(CP27,""),CONCATENATE(CP27,IF(ABS(CS!AL27)&lt;10,"0",""),ABS(CS!AL27)))</f>
        <v>06030506020401</v>
      </c>
      <c r="CR27" s="63" t="str">
        <f ca="1">IF(ISNUMBER(CS!AM27)=FALSE,CONCATENATE(CQ27,""),CONCATENATE(CQ27,IF(ABS(CS!AM27)&lt;10,"0",""),ABS(CS!AM27)))</f>
        <v>06030506020401</v>
      </c>
      <c r="CS27" s="63" t="str">
        <f ca="1">IF(ISNUMBER(CS!AN27)=FALSE,CONCATENATE(CR27,""),CONCATENATE(CR27,IF(ABS(CS!AN27)&lt;10,"0",""),ABS(CS!AN27)))</f>
        <v>06030506020401</v>
      </c>
      <c r="CT27" s="63" t="str">
        <f ca="1">IF(ISNUMBER(CS!AO27)=FALSE,CONCATENATE(CS27,""),CONCATENATE(CS27,IF(ABS(CS!AO27)&lt;10,"0",""),ABS(CS!AO27)))</f>
        <v>06030506020401</v>
      </c>
      <c r="CU27" s="63" t="str">
        <f ca="1">IF(ISNUMBER(CS!AP27)=FALSE,CONCATENATE(CT27,""),CONCATENATE(CT27,IF(ABS(CS!AP27)&lt;10,"0",""),ABS(CS!AP27)))</f>
        <v>06030506020401</v>
      </c>
    </row>
    <row r="28" spans="2:99">
      <c r="B28" s="4" t="str">
        <f ca="1">CS!AR28</f>
        <v>Tm18</v>
      </c>
      <c r="C28" s="5">
        <f t="shared" ca="1" si="7"/>
        <v>6</v>
      </c>
      <c r="D28" s="5">
        <f t="shared" ca="1" si="8"/>
        <v>2</v>
      </c>
      <c r="E28" s="5">
        <f t="shared" ca="1" si="8"/>
        <v>4</v>
      </c>
      <c r="F28" s="5">
        <f t="shared" ca="1" si="8"/>
        <v>6</v>
      </c>
      <c r="G28" s="5">
        <f t="shared" ca="1" si="8"/>
        <v>5</v>
      </c>
      <c r="H28" s="5">
        <f t="shared" ca="1" si="8"/>
        <v>3</v>
      </c>
      <c r="I28" s="5">
        <f t="shared" ca="1" si="8"/>
        <v>1</v>
      </c>
      <c r="J28" s="5">
        <f t="shared" ca="1" si="11"/>
        <v>0</v>
      </c>
      <c r="K28" s="5">
        <f t="shared" ca="1" si="11"/>
        <v>0</v>
      </c>
      <c r="L28" s="5">
        <f t="shared" ca="1" si="11"/>
        <v>0</v>
      </c>
      <c r="M28" s="5">
        <f t="shared" ca="1" si="11"/>
        <v>0</v>
      </c>
      <c r="N28" s="5">
        <f t="shared" ca="1" si="11"/>
        <v>0</v>
      </c>
      <c r="O28" s="5">
        <f t="shared" ca="1" si="11"/>
        <v>0</v>
      </c>
      <c r="P28" s="5">
        <f t="shared" ca="1" si="11"/>
        <v>0</v>
      </c>
      <c r="Q28" s="5">
        <f t="shared" ca="1" si="11"/>
        <v>0</v>
      </c>
      <c r="R28" s="5">
        <f t="shared" ca="1" si="11"/>
        <v>0</v>
      </c>
      <c r="S28" s="5">
        <f t="shared" ca="1" si="11"/>
        <v>0</v>
      </c>
      <c r="T28" s="5">
        <f t="shared" ca="1" si="11"/>
        <v>0</v>
      </c>
      <c r="U28" s="5">
        <f t="shared" ca="1" si="11"/>
        <v>0</v>
      </c>
      <c r="V28" s="5">
        <f t="shared" ca="1" si="11"/>
        <v>0</v>
      </c>
      <c r="W28" s="5">
        <f t="shared" ca="1" si="11"/>
        <v>0</v>
      </c>
      <c r="X28" s="5">
        <f t="shared" ca="1" si="11"/>
        <v>0</v>
      </c>
      <c r="Y28" s="5">
        <f t="shared" ca="1" si="12"/>
        <v>0</v>
      </c>
      <c r="Z28" s="5">
        <f t="shared" ca="1" si="12"/>
        <v>0</v>
      </c>
      <c r="AA28" s="5">
        <f t="shared" ca="1" si="12"/>
        <v>0</v>
      </c>
      <c r="AB28" s="5">
        <f t="shared" ca="1" si="12"/>
        <v>0</v>
      </c>
      <c r="AC28" s="5">
        <f t="shared" ca="1" si="12"/>
        <v>0</v>
      </c>
      <c r="AD28" s="5">
        <f t="shared" ca="1" si="12"/>
        <v>0</v>
      </c>
      <c r="AE28" s="5">
        <f t="shared" ca="1" si="12"/>
        <v>0</v>
      </c>
      <c r="AF28" s="5">
        <f t="shared" ca="1" si="12"/>
        <v>0</v>
      </c>
      <c r="AG28" s="5">
        <f t="shared" ca="1" si="12"/>
        <v>0</v>
      </c>
      <c r="AH28" s="5">
        <f t="shared" ca="1" si="12"/>
        <v>0</v>
      </c>
      <c r="AI28" s="5">
        <f t="shared" ca="1" si="13"/>
        <v>0</v>
      </c>
      <c r="AJ28" s="5">
        <f t="shared" ca="1" si="13"/>
        <v>0</v>
      </c>
      <c r="AK28" s="5">
        <f t="shared" ca="1" si="13"/>
        <v>0</v>
      </c>
      <c r="AL28" s="5">
        <f t="shared" ca="1" si="13"/>
        <v>0</v>
      </c>
      <c r="AM28" s="5">
        <f t="shared" ca="1" si="13"/>
        <v>0</v>
      </c>
      <c r="AN28" s="5">
        <f t="shared" ca="1" si="13"/>
        <v>0</v>
      </c>
      <c r="AO28" s="5">
        <f t="shared" ca="1" si="13"/>
        <v>0</v>
      </c>
      <c r="AP28" s="5">
        <f t="shared" ca="1" si="13"/>
        <v>0</v>
      </c>
      <c r="AR28" s="4" t="str">
        <f t="shared" ca="1" si="5"/>
        <v>Tm18</v>
      </c>
      <c r="AS28" s="339">
        <f t="shared" ca="1" si="14"/>
        <v>1</v>
      </c>
      <c r="AT28" s="339">
        <f t="shared" ca="1" si="14"/>
        <v>1</v>
      </c>
      <c r="AU28" s="339">
        <f t="shared" ca="1" si="14"/>
        <v>1</v>
      </c>
      <c r="AV28" s="339">
        <f t="shared" ca="1" si="14"/>
        <v>1</v>
      </c>
      <c r="AW28" s="339">
        <f t="shared" ca="1" si="14"/>
        <v>1</v>
      </c>
      <c r="AX28" s="339">
        <f t="shared" ca="1" si="14"/>
        <v>2</v>
      </c>
      <c r="AY28" s="339">
        <f t="shared" ca="1" si="14"/>
        <v>0</v>
      </c>
      <c r="AZ28" s="339">
        <f t="shared" ca="1" si="14"/>
        <v>0</v>
      </c>
      <c r="BA28" s="339">
        <f t="shared" ca="1" si="14"/>
        <v>0</v>
      </c>
      <c r="BB28" s="339">
        <f t="shared" ca="1" si="14"/>
        <v>0</v>
      </c>
      <c r="BD28" s="63">
        <f>IF(DrawFinder!Y28=0,"",DrawFinder!Y28)</f>
        <v>3</v>
      </c>
      <c r="BF28" s="151" t="str">
        <f t="shared" ca="1" si="9"/>
        <v>06020406050301</v>
      </c>
      <c r="BH28" s="63" t="str">
        <f ca="1">IF(ISNUMBER(CS!C28)=FALSE,CONCATENATE(BG28,""),CONCATENATE(BG28,IF(ABS(CS!C28)&lt;10,"0",""),ABS(CS!C28)))</f>
        <v>06</v>
      </c>
      <c r="BI28" s="63" t="str">
        <f ca="1">IF(ISNUMBER(CS!D28)=FALSE,CONCATENATE(BH28,""),CONCATENATE(BH28,IF(ABS(CS!D28)&lt;10,"0",""),ABS(CS!D28)))</f>
        <v>06</v>
      </c>
      <c r="BJ28" s="63" t="str">
        <f ca="1">IF(ISNUMBER(CS!E28)=FALSE,CONCATENATE(BI28,""),CONCATENATE(BI28,IF(ABS(CS!E28)&lt;10,"0",""),ABS(CS!E28)))</f>
        <v>06</v>
      </c>
      <c r="BK28" s="63" t="str">
        <f ca="1">IF(ISNUMBER(CS!F28)=FALSE,CONCATENATE(BJ28,""),CONCATENATE(BJ28,IF(ABS(CS!F28)&lt;10,"0",""),ABS(CS!F28)))</f>
        <v>0602</v>
      </c>
      <c r="BL28" s="63" t="str">
        <f ca="1">IF(ISNUMBER(CS!G28)=FALSE,CONCATENATE(BK28,""),CONCATENATE(BK28,IF(ABS(CS!G28)&lt;10,"0",""),ABS(CS!G28)))</f>
        <v>060204</v>
      </c>
      <c r="BM28" s="63" t="str">
        <f ca="1">IF(ISNUMBER(CS!H28)=FALSE,CONCATENATE(BL28,""),CONCATENATE(BL28,IF(ABS(CS!H28)&lt;10,"0",""),ABS(CS!H28)))</f>
        <v>060204</v>
      </c>
      <c r="BN28" s="63" t="str">
        <f ca="1">IF(ISNUMBER(CS!I28)=FALSE,CONCATENATE(BM28,""),CONCATENATE(BM28,IF(ABS(CS!I28)&lt;10,"0",""),ABS(CS!I28)))</f>
        <v>060204</v>
      </c>
      <c r="BO28" s="63" t="str">
        <f ca="1">IF(ISNUMBER(CS!J28)=FALSE,CONCATENATE(BN28,""),CONCATENATE(BN28,IF(ABS(CS!J28)&lt;10,"0",""),ABS(CS!J28)))</f>
        <v>06020406</v>
      </c>
      <c r="BP28" s="63" t="str">
        <f ca="1">IF(ISNUMBER(CS!K28)=FALSE,CONCATENATE(BO28,""),CONCATENATE(BO28,IF(ABS(CS!K28)&lt;10,"0",""),ABS(CS!K28)))</f>
        <v>0602040605</v>
      </c>
      <c r="BQ28" s="63" t="str">
        <f ca="1">IF(ISNUMBER(CS!L28)=FALSE,CONCATENATE(BP28,""),CONCATENATE(BP28,IF(ABS(CS!L28)&lt;10,"0",""),ABS(CS!L28)))</f>
        <v>0602040605</v>
      </c>
      <c r="BR28" s="63" t="str">
        <f ca="1">IF(ISNUMBER(CS!M28)=FALSE,CONCATENATE(BQ28,""),CONCATENATE(BQ28,IF(ABS(CS!M28)&lt;10,"0",""),ABS(CS!M28)))</f>
        <v>0602040605</v>
      </c>
      <c r="BS28" s="63" t="str">
        <f ca="1">IF(ISNUMBER(CS!N28)=FALSE,CONCATENATE(BR28,""),CONCATENATE(BR28,IF(ABS(CS!N28)&lt;10,"0",""),ABS(CS!N28)))</f>
        <v>060204060503</v>
      </c>
      <c r="BT28" s="63" t="str">
        <f ca="1">IF(ISNUMBER(CS!O28)=FALSE,CONCATENATE(BS28,""),CONCATENATE(BS28,IF(ABS(CS!O28)&lt;10,"0",""),ABS(CS!O28)))</f>
        <v>06020406050301</v>
      </c>
      <c r="BU28" s="63" t="str">
        <f ca="1">IF(ISNUMBER(CS!P28)=FALSE,CONCATENATE(BT28,""),CONCATENATE(BT28,IF(ABS(CS!P28)&lt;10,"0",""),ABS(CS!P28)))</f>
        <v>06020406050301</v>
      </c>
      <c r="BV28" s="63" t="str">
        <f ca="1">IF(ISNUMBER(CS!Q28)=FALSE,CONCATENATE(BU28,""),CONCATENATE(BU28,IF(ABS(CS!Q28)&lt;10,"0",""),ABS(CS!Q28)))</f>
        <v>06020406050301</v>
      </c>
      <c r="BW28" s="63" t="str">
        <f ca="1">IF(ISNUMBER(CS!R28)=FALSE,CONCATENATE(BV28,""),CONCATENATE(BV28,IF(ABS(CS!R28)&lt;10,"0",""),ABS(CS!R28)))</f>
        <v>06020406050301</v>
      </c>
      <c r="BX28" s="63" t="str">
        <f ca="1">IF(ISNUMBER(CS!S28)=FALSE,CONCATENATE(BW28,""),CONCATENATE(BW28,IF(ABS(CS!S28)&lt;10,"0",""),ABS(CS!S28)))</f>
        <v>06020406050301</v>
      </c>
      <c r="BY28" s="63" t="str">
        <f ca="1">IF(ISNUMBER(CS!T28)=FALSE,CONCATENATE(BX28,""),CONCATENATE(BX28,IF(ABS(CS!T28)&lt;10,"0",""),ABS(CS!T28)))</f>
        <v>06020406050301</v>
      </c>
      <c r="BZ28" s="63" t="str">
        <f ca="1">IF(ISNUMBER(CS!U28)=FALSE,CONCATENATE(BY28,""),CONCATENATE(BY28,IF(ABS(CS!U28)&lt;10,"0",""),ABS(CS!U28)))</f>
        <v>06020406050301</v>
      </c>
      <c r="CA28" s="63" t="str">
        <f ca="1">IF(ISNUMBER(CS!V28)=FALSE,CONCATENATE(BZ28,""),CONCATENATE(BZ28,IF(ABS(CS!V28)&lt;10,"0",""),ABS(CS!V28)))</f>
        <v>06020406050301</v>
      </c>
      <c r="CB28" s="63" t="str">
        <f ca="1">IF(ISNUMBER(CS!W28)=FALSE,CONCATENATE(CA28,""),CONCATENATE(CA28,IF(ABS(CS!W28)&lt;10,"0",""),ABS(CS!W28)))</f>
        <v>06020406050301</v>
      </c>
      <c r="CC28" s="63" t="str">
        <f ca="1">IF(ISNUMBER(CS!X28)=FALSE,CONCATENATE(CB28,""),CONCATENATE(CB28,IF(ABS(CS!X28)&lt;10,"0",""),ABS(CS!X28)))</f>
        <v>06020406050301</v>
      </c>
      <c r="CD28" s="63" t="str">
        <f ca="1">IF(ISNUMBER(CS!Y28)=FALSE,CONCATENATE(CC28,""),CONCATENATE(CC28,IF(ABS(CS!Y28)&lt;10,"0",""),ABS(CS!Y28)))</f>
        <v>06020406050301</v>
      </c>
      <c r="CE28" s="63" t="str">
        <f ca="1">IF(ISNUMBER(CS!Z28)=FALSE,CONCATENATE(CD28,""),CONCATENATE(CD28,IF(ABS(CS!Z28)&lt;10,"0",""),ABS(CS!Z28)))</f>
        <v>06020406050301</v>
      </c>
      <c r="CF28" s="63" t="str">
        <f ca="1">IF(ISNUMBER(CS!AA28)=FALSE,CONCATENATE(CE28,""),CONCATENATE(CE28,IF(ABS(CS!AA28)&lt;10,"0",""),ABS(CS!AA28)))</f>
        <v>06020406050301</v>
      </c>
      <c r="CG28" s="63" t="str">
        <f ca="1">IF(ISNUMBER(CS!AB28)=FALSE,CONCATENATE(CF28,""),CONCATENATE(CF28,IF(ABS(CS!AB28)&lt;10,"0",""),ABS(CS!AB28)))</f>
        <v>06020406050301</v>
      </c>
      <c r="CH28" s="63" t="str">
        <f ca="1">IF(ISNUMBER(CS!AC28)=FALSE,CONCATENATE(CG28,""),CONCATENATE(CG28,IF(ABS(CS!AC28)&lt;10,"0",""),ABS(CS!AC28)))</f>
        <v>06020406050301</v>
      </c>
      <c r="CI28" s="63" t="str">
        <f ca="1">IF(ISNUMBER(CS!AD28)=FALSE,CONCATENATE(CH28,""),CONCATENATE(CH28,IF(ABS(CS!AD28)&lt;10,"0",""),ABS(CS!AD28)))</f>
        <v>06020406050301</v>
      </c>
      <c r="CJ28" s="63" t="str">
        <f ca="1">IF(ISNUMBER(CS!AE28)=FALSE,CONCATENATE(CI28,""),CONCATENATE(CI28,IF(ABS(CS!AE28)&lt;10,"0",""),ABS(CS!AE28)))</f>
        <v>06020406050301</v>
      </c>
      <c r="CK28" s="63" t="str">
        <f ca="1">IF(ISNUMBER(CS!AF28)=FALSE,CONCATENATE(CJ28,""),CONCATENATE(CJ28,IF(ABS(CS!AF28)&lt;10,"0",""),ABS(CS!AF28)))</f>
        <v>06020406050301</v>
      </c>
      <c r="CL28" s="63" t="str">
        <f ca="1">IF(ISNUMBER(CS!AG28)=FALSE,CONCATENATE(CK28,""),CONCATENATE(CK28,IF(ABS(CS!AG28)&lt;10,"0",""),ABS(CS!AG28)))</f>
        <v>06020406050301</v>
      </c>
      <c r="CM28" s="63" t="str">
        <f ca="1">IF(ISNUMBER(CS!AH28)=FALSE,CONCATENATE(CL28,""),CONCATENATE(CL28,IF(ABS(CS!AH28)&lt;10,"0",""),ABS(CS!AH28)))</f>
        <v>06020406050301</v>
      </c>
      <c r="CN28" s="63" t="str">
        <f ca="1">IF(ISNUMBER(CS!AI28)=FALSE,CONCATENATE(CM28,""),CONCATENATE(CM28,IF(ABS(CS!AI28)&lt;10,"0",""),ABS(CS!AI28)))</f>
        <v>06020406050301</v>
      </c>
      <c r="CO28" s="63" t="str">
        <f ca="1">IF(ISNUMBER(CS!AJ28)=FALSE,CONCATENATE(CN28,""),CONCATENATE(CN28,IF(ABS(CS!AJ28)&lt;10,"0",""),ABS(CS!AJ28)))</f>
        <v>06020406050301</v>
      </c>
      <c r="CP28" s="63" t="str">
        <f ca="1">IF(ISNUMBER(CS!AK28)=FALSE,CONCATENATE(CO28,""),CONCATENATE(CO28,IF(ABS(CS!AK28)&lt;10,"0",""),ABS(CS!AK28)))</f>
        <v>06020406050301</v>
      </c>
      <c r="CQ28" s="63" t="str">
        <f ca="1">IF(ISNUMBER(CS!AL28)=FALSE,CONCATENATE(CP28,""),CONCATENATE(CP28,IF(ABS(CS!AL28)&lt;10,"0",""),ABS(CS!AL28)))</f>
        <v>06020406050301</v>
      </c>
      <c r="CR28" s="63" t="str">
        <f ca="1">IF(ISNUMBER(CS!AM28)=FALSE,CONCATENATE(CQ28,""),CONCATENATE(CQ28,IF(ABS(CS!AM28)&lt;10,"0",""),ABS(CS!AM28)))</f>
        <v>06020406050301</v>
      </c>
      <c r="CS28" s="63" t="str">
        <f ca="1">IF(ISNUMBER(CS!AN28)=FALSE,CONCATENATE(CR28,""),CONCATENATE(CR28,IF(ABS(CS!AN28)&lt;10,"0",""),ABS(CS!AN28)))</f>
        <v>06020406050301</v>
      </c>
      <c r="CT28" s="63" t="str">
        <f ca="1">IF(ISNUMBER(CS!AO28)=FALSE,CONCATENATE(CS28,""),CONCATENATE(CS28,IF(ABS(CS!AO28)&lt;10,"0",""),ABS(CS!AO28)))</f>
        <v>06020406050301</v>
      </c>
      <c r="CU28" s="63" t="str">
        <f ca="1">IF(ISNUMBER(CS!AP28)=FALSE,CONCATENATE(CT28,""),CONCATENATE(CT28,IF(ABS(CS!AP28)&lt;10,"0",""),ABS(CS!AP28)))</f>
        <v>06020406050301</v>
      </c>
    </row>
    <row r="29" spans="2:99">
      <c r="B29" s="4" t="str">
        <f ca="1">CS!AR29</f>
        <v>Tm19</v>
      </c>
      <c r="C29" s="5">
        <f t="shared" ca="1" si="7"/>
        <v>1</v>
      </c>
      <c r="D29" s="5">
        <f t="shared" ca="1" si="8"/>
        <v>3</v>
      </c>
      <c r="E29" s="5">
        <f t="shared" ca="1" si="8"/>
        <v>2</v>
      </c>
      <c r="F29" s="5">
        <f t="shared" ca="1" si="8"/>
        <v>1</v>
      </c>
      <c r="G29" s="5">
        <f t="shared" ca="1" si="8"/>
        <v>5</v>
      </c>
      <c r="H29" s="5">
        <f t="shared" ca="1" si="8"/>
        <v>4</v>
      </c>
      <c r="I29" s="5">
        <f t="shared" ca="1" si="8"/>
        <v>6</v>
      </c>
      <c r="J29" s="5">
        <f t="shared" ca="1" si="11"/>
        <v>0</v>
      </c>
      <c r="K29" s="5">
        <f t="shared" ca="1" si="11"/>
        <v>0</v>
      </c>
      <c r="L29" s="5">
        <f t="shared" ca="1" si="11"/>
        <v>0</v>
      </c>
      <c r="M29" s="5">
        <f t="shared" ca="1" si="11"/>
        <v>0</v>
      </c>
      <c r="N29" s="5">
        <f t="shared" ca="1" si="11"/>
        <v>0</v>
      </c>
      <c r="O29" s="5">
        <f t="shared" ca="1" si="11"/>
        <v>0</v>
      </c>
      <c r="P29" s="5">
        <f t="shared" ca="1" si="11"/>
        <v>0</v>
      </c>
      <c r="Q29" s="5">
        <f t="shared" ca="1" si="11"/>
        <v>0</v>
      </c>
      <c r="R29" s="5">
        <f t="shared" ca="1" si="11"/>
        <v>0</v>
      </c>
      <c r="S29" s="5">
        <f t="shared" ca="1" si="11"/>
        <v>0</v>
      </c>
      <c r="T29" s="5">
        <f t="shared" ca="1" si="11"/>
        <v>0</v>
      </c>
      <c r="U29" s="5">
        <f t="shared" ca="1" si="11"/>
        <v>0</v>
      </c>
      <c r="V29" s="5">
        <f t="shared" ca="1" si="11"/>
        <v>0</v>
      </c>
      <c r="W29" s="5">
        <f t="shared" ca="1" si="11"/>
        <v>0</v>
      </c>
      <c r="X29" s="5">
        <f t="shared" ca="1" si="11"/>
        <v>0</v>
      </c>
      <c r="Y29" s="5">
        <f t="shared" ca="1" si="12"/>
        <v>0</v>
      </c>
      <c r="Z29" s="5">
        <f t="shared" ca="1" si="12"/>
        <v>0</v>
      </c>
      <c r="AA29" s="5">
        <f t="shared" ca="1" si="12"/>
        <v>0</v>
      </c>
      <c r="AB29" s="5">
        <f t="shared" ca="1" si="12"/>
        <v>0</v>
      </c>
      <c r="AC29" s="5">
        <f t="shared" ca="1" si="12"/>
        <v>0</v>
      </c>
      <c r="AD29" s="5">
        <f t="shared" ca="1" si="12"/>
        <v>0</v>
      </c>
      <c r="AE29" s="5">
        <f t="shared" ca="1" si="12"/>
        <v>0</v>
      </c>
      <c r="AF29" s="5">
        <f t="shared" ca="1" si="12"/>
        <v>0</v>
      </c>
      <c r="AG29" s="5">
        <f t="shared" ca="1" si="12"/>
        <v>0</v>
      </c>
      <c r="AH29" s="5">
        <f t="shared" ca="1" si="12"/>
        <v>0</v>
      </c>
      <c r="AI29" s="5">
        <f t="shared" ca="1" si="13"/>
        <v>0</v>
      </c>
      <c r="AJ29" s="5">
        <f t="shared" ca="1" si="13"/>
        <v>0</v>
      </c>
      <c r="AK29" s="5">
        <f t="shared" ca="1" si="13"/>
        <v>0</v>
      </c>
      <c r="AL29" s="5">
        <f t="shared" ca="1" si="13"/>
        <v>0</v>
      </c>
      <c r="AM29" s="5">
        <f t="shared" ca="1" si="13"/>
        <v>0</v>
      </c>
      <c r="AN29" s="5">
        <f t="shared" ca="1" si="13"/>
        <v>0</v>
      </c>
      <c r="AO29" s="5">
        <f t="shared" ca="1" si="13"/>
        <v>0</v>
      </c>
      <c r="AP29" s="5">
        <f t="shared" ca="1" si="13"/>
        <v>0</v>
      </c>
      <c r="AR29" s="4" t="str">
        <f t="shared" ca="1" si="5"/>
        <v>Tm19</v>
      </c>
      <c r="AS29" s="339">
        <f t="shared" ca="1" si="14"/>
        <v>2</v>
      </c>
      <c r="AT29" s="339">
        <f t="shared" ca="1" si="14"/>
        <v>1</v>
      </c>
      <c r="AU29" s="339">
        <f t="shared" ca="1" si="14"/>
        <v>1</v>
      </c>
      <c r="AV29" s="339">
        <f t="shared" ca="1" si="14"/>
        <v>1</v>
      </c>
      <c r="AW29" s="339">
        <f t="shared" ca="1" si="14"/>
        <v>1</v>
      </c>
      <c r="AX29" s="339">
        <f t="shared" ca="1" si="14"/>
        <v>1</v>
      </c>
      <c r="AY29" s="339">
        <f t="shared" ca="1" si="14"/>
        <v>0</v>
      </c>
      <c r="AZ29" s="339">
        <f t="shared" ca="1" si="14"/>
        <v>0</v>
      </c>
      <c r="BA29" s="339">
        <f t="shared" ca="1" si="14"/>
        <v>0</v>
      </c>
      <c r="BB29" s="339">
        <f t="shared" ca="1" si="14"/>
        <v>0</v>
      </c>
      <c r="BD29" s="63">
        <f>IF(DrawFinder!Y29=0,"",DrawFinder!Y29)</f>
        <v>3</v>
      </c>
      <c r="BF29" s="151" t="str">
        <f t="shared" ca="1" si="9"/>
        <v>01030201050406</v>
      </c>
      <c r="BH29" s="63" t="str">
        <f ca="1">IF(ISNUMBER(CS!C29)=FALSE,CONCATENATE(BG29,""),CONCATENATE(BG29,IF(ABS(CS!C29)&lt;10,"0",""),ABS(CS!C29)))</f>
        <v>01</v>
      </c>
      <c r="BI29" s="63" t="str">
        <f ca="1">IF(ISNUMBER(CS!D29)=FALSE,CONCATENATE(BH29,""),CONCATENATE(BH29,IF(ABS(CS!D29)&lt;10,"0",""),ABS(CS!D29)))</f>
        <v>01</v>
      </c>
      <c r="BJ29" s="63" t="str">
        <f ca="1">IF(ISNUMBER(CS!E29)=FALSE,CONCATENATE(BI29,""),CONCATENATE(BI29,IF(ABS(CS!E29)&lt;10,"0",""),ABS(CS!E29)))</f>
        <v>0103</v>
      </c>
      <c r="BK29" s="63" t="str">
        <f ca="1">IF(ISNUMBER(CS!F29)=FALSE,CONCATENATE(BJ29,""),CONCATENATE(BJ29,IF(ABS(CS!F29)&lt;10,"0",""),ABS(CS!F29)))</f>
        <v>0103</v>
      </c>
      <c r="BL29" s="63" t="str">
        <f ca="1">IF(ISNUMBER(CS!G29)=FALSE,CONCATENATE(BK29,""),CONCATENATE(BK29,IF(ABS(CS!G29)&lt;10,"0",""),ABS(CS!G29)))</f>
        <v>0103</v>
      </c>
      <c r="BM29" s="63" t="str">
        <f ca="1">IF(ISNUMBER(CS!H29)=FALSE,CONCATENATE(BL29,""),CONCATENATE(BL29,IF(ABS(CS!H29)&lt;10,"0",""),ABS(CS!H29)))</f>
        <v>010302</v>
      </c>
      <c r="BN29" s="63" t="str">
        <f ca="1">IF(ISNUMBER(CS!I29)=FALSE,CONCATENATE(BM29,""),CONCATENATE(BM29,IF(ABS(CS!I29)&lt;10,"0",""),ABS(CS!I29)))</f>
        <v>010302</v>
      </c>
      <c r="BO29" s="63" t="str">
        <f ca="1">IF(ISNUMBER(CS!J29)=FALSE,CONCATENATE(BN29,""),CONCATENATE(BN29,IF(ABS(CS!J29)&lt;10,"0",""),ABS(CS!J29)))</f>
        <v>01030201</v>
      </c>
      <c r="BP29" s="63" t="str">
        <f ca="1">IF(ISNUMBER(CS!K29)=FALSE,CONCATENATE(BO29,""),CONCATENATE(BO29,IF(ABS(CS!K29)&lt;10,"0",""),ABS(CS!K29)))</f>
        <v>0103020105</v>
      </c>
      <c r="BQ29" s="63" t="str">
        <f ca="1">IF(ISNUMBER(CS!L29)=FALSE,CONCATENATE(BP29,""),CONCATENATE(BP29,IF(ABS(CS!L29)&lt;10,"0",""),ABS(CS!L29)))</f>
        <v>0103020105</v>
      </c>
      <c r="BR29" s="63" t="str">
        <f ca="1">IF(ISNUMBER(CS!M29)=FALSE,CONCATENATE(BQ29,""),CONCATENATE(BQ29,IF(ABS(CS!M29)&lt;10,"0",""),ABS(CS!M29)))</f>
        <v>0103020105</v>
      </c>
      <c r="BS29" s="63" t="str">
        <f ca="1">IF(ISNUMBER(CS!N29)=FALSE,CONCATENATE(BR29,""),CONCATENATE(BR29,IF(ABS(CS!N29)&lt;10,"0",""),ABS(CS!N29)))</f>
        <v>010302010504</v>
      </c>
      <c r="BT29" s="63" t="str">
        <f ca="1">IF(ISNUMBER(CS!O29)=FALSE,CONCATENATE(BS29,""),CONCATENATE(BS29,IF(ABS(CS!O29)&lt;10,"0",""),ABS(CS!O29)))</f>
        <v>01030201050406</v>
      </c>
      <c r="BU29" s="63" t="str">
        <f ca="1">IF(ISNUMBER(CS!P29)=FALSE,CONCATENATE(BT29,""),CONCATENATE(BT29,IF(ABS(CS!P29)&lt;10,"0",""),ABS(CS!P29)))</f>
        <v>01030201050406</v>
      </c>
      <c r="BV29" s="63" t="str">
        <f ca="1">IF(ISNUMBER(CS!Q29)=FALSE,CONCATENATE(BU29,""),CONCATENATE(BU29,IF(ABS(CS!Q29)&lt;10,"0",""),ABS(CS!Q29)))</f>
        <v>01030201050406</v>
      </c>
      <c r="BW29" s="63" t="str">
        <f ca="1">IF(ISNUMBER(CS!R29)=FALSE,CONCATENATE(BV29,""),CONCATENATE(BV29,IF(ABS(CS!R29)&lt;10,"0",""),ABS(CS!R29)))</f>
        <v>01030201050406</v>
      </c>
      <c r="BX29" s="63" t="str">
        <f ca="1">IF(ISNUMBER(CS!S29)=FALSE,CONCATENATE(BW29,""),CONCATENATE(BW29,IF(ABS(CS!S29)&lt;10,"0",""),ABS(CS!S29)))</f>
        <v>01030201050406</v>
      </c>
      <c r="BY29" s="63" t="str">
        <f ca="1">IF(ISNUMBER(CS!T29)=FALSE,CONCATENATE(BX29,""),CONCATENATE(BX29,IF(ABS(CS!T29)&lt;10,"0",""),ABS(CS!T29)))</f>
        <v>01030201050406</v>
      </c>
      <c r="BZ29" s="63" t="str">
        <f ca="1">IF(ISNUMBER(CS!U29)=FALSE,CONCATENATE(BY29,""),CONCATENATE(BY29,IF(ABS(CS!U29)&lt;10,"0",""),ABS(CS!U29)))</f>
        <v>01030201050406</v>
      </c>
      <c r="CA29" s="63" t="str">
        <f ca="1">IF(ISNUMBER(CS!V29)=FALSE,CONCATENATE(BZ29,""),CONCATENATE(BZ29,IF(ABS(CS!V29)&lt;10,"0",""),ABS(CS!V29)))</f>
        <v>01030201050406</v>
      </c>
      <c r="CB29" s="63" t="str">
        <f ca="1">IF(ISNUMBER(CS!W29)=FALSE,CONCATENATE(CA29,""),CONCATENATE(CA29,IF(ABS(CS!W29)&lt;10,"0",""),ABS(CS!W29)))</f>
        <v>01030201050406</v>
      </c>
      <c r="CC29" s="63" t="str">
        <f ca="1">IF(ISNUMBER(CS!X29)=FALSE,CONCATENATE(CB29,""),CONCATENATE(CB29,IF(ABS(CS!X29)&lt;10,"0",""),ABS(CS!X29)))</f>
        <v>01030201050406</v>
      </c>
      <c r="CD29" s="63" t="str">
        <f ca="1">IF(ISNUMBER(CS!Y29)=FALSE,CONCATENATE(CC29,""),CONCATENATE(CC29,IF(ABS(CS!Y29)&lt;10,"0",""),ABS(CS!Y29)))</f>
        <v>01030201050406</v>
      </c>
      <c r="CE29" s="63" t="str">
        <f ca="1">IF(ISNUMBER(CS!Z29)=FALSE,CONCATENATE(CD29,""),CONCATENATE(CD29,IF(ABS(CS!Z29)&lt;10,"0",""),ABS(CS!Z29)))</f>
        <v>01030201050406</v>
      </c>
      <c r="CF29" s="63" t="str">
        <f ca="1">IF(ISNUMBER(CS!AA29)=FALSE,CONCATENATE(CE29,""),CONCATENATE(CE29,IF(ABS(CS!AA29)&lt;10,"0",""),ABS(CS!AA29)))</f>
        <v>01030201050406</v>
      </c>
      <c r="CG29" s="63" t="str">
        <f ca="1">IF(ISNUMBER(CS!AB29)=FALSE,CONCATENATE(CF29,""),CONCATENATE(CF29,IF(ABS(CS!AB29)&lt;10,"0",""),ABS(CS!AB29)))</f>
        <v>01030201050406</v>
      </c>
      <c r="CH29" s="63" t="str">
        <f ca="1">IF(ISNUMBER(CS!AC29)=FALSE,CONCATENATE(CG29,""),CONCATENATE(CG29,IF(ABS(CS!AC29)&lt;10,"0",""),ABS(CS!AC29)))</f>
        <v>01030201050406</v>
      </c>
      <c r="CI29" s="63" t="str">
        <f ca="1">IF(ISNUMBER(CS!AD29)=FALSE,CONCATENATE(CH29,""),CONCATENATE(CH29,IF(ABS(CS!AD29)&lt;10,"0",""),ABS(CS!AD29)))</f>
        <v>01030201050406</v>
      </c>
      <c r="CJ29" s="63" t="str">
        <f ca="1">IF(ISNUMBER(CS!AE29)=FALSE,CONCATENATE(CI29,""),CONCATENATE(CI29,IF(ABS(CS!AE29)&lt;10,"0",""),ABS(CS!AE29)))</f>
        <v>01030201050406</v>
      </c>
      <c r="CK29" s="63" t="str">
        <f ca="1">IF(ISNUMBER(CS!AF29)=FALSE,CONCATENATE(CJ29,""),CONCATENATE(CJ29,IF(ABS(CS!AF29)&lt;10,"0",""),ABS(CS!AF29)))</f>
        <v>01030201050406</v>
      </c>
      <c r="CL29" s="63" t="str">
        <f ca="1">IF(ISNUMBER(CS!AG29)=FALSE,CONCATENATE(CK29,""),CONCATENATE(CK29,IF(ABS(CS!AG29)&lt;10,"0",""),ABS(CS!AG29)))</f>
        <v>01030201050406</v>
      </c>
      <c r="CM29" s="63" t="str">
        <f ca="1">IF(ISNUMBER(CS!AH29)=FALSE,CONCATENATE(CL29,""),CONCATENATE(CL29,IF(ABS(CS!AH29)&lt;10,"0",""),ABS(CS!AH29)))</f>
        <v>01030201050406</v>
      </c>
      <c r="CN29" s="63" t="str">
        <f ca="1">IF(ISNUMBER(CS!AI29)=FALSE,CONCATENATE(CM29,""),CONCATENATE(CM29,IF(ABS(CS!AI29)&lt;10,"0",""),ABS(CS!AI29)))</f>
        <v>01030201050406</v>
      </c>
      <c r="CO29" s="63" t="str">
        <f ca="1">IF(ISNUMBER(CS!AJ29)=FALSE,CONCATENATE(CN29,""),CONCATENATE(CN29,IF(ABS(CS!AJ29)&lt;10,"0",""),ABS(CS!AJ29)))</f>
        <v>01030201050406</v>
      </c>
      <c r="CP29" s="63" t="str">
        <f ca="1">IF(ISNUMBER(CS!AK29)=FALSE,CONCATENATE(CO29,""),CONCATENATE(CO29,IF(ABS(CS!AK29)&lt;10,"0",""),ABS(CS!AK29)))</f>
        <v>01030201050406</v>
      </c>
      <c r="CQ29" s="63" t="str">
        <f ca="1">IF(ISNUMBER(CS!AL29)=FALSE,CONCATENATE(CP29,""),CONCATENATE(CP29,IF(ABS(CS!AL29)&lt;10,"0",""),ABS(CS!AL29)))</f>
        <v>01030201050406</v>
      </c>
      <c r="CR29" s="63" t="str">
        <f ca="1">IF(ISNUMBER(CS!AM29)=FALSE,CONCATENATE(CQ29,""),CONCATENATE(CQ29,IF(ABS(CS!AM29)&lt;10,"0",""),ABS(CS!AM29)))</f>
        <v>01030201050406</v>
      </c>
      <c r="CS29" s="63" t="str">
        <f ca="1">IF(ISNUMBER(CS!AN29)=FALSE,CONCATENATE(CR29,""),CONCATENATE(CR29,IF(ABS(CS!AN29)&lt;10,"0",""),ABS(CS!AN29)))</f>
        <v>01030201050406</v>
      </c>
      <c r="CT29" s="63" t="str">
        <f ca="1">IF(ISNUMBER(CS!AO29)=FALSE,CONCATENATE(CS29,""),CONCATENATE(CS29,IF(ABS(CS!AO29)&lt;10,"0",""),ABS(CS!AO29)))</f>
        <v>01030201050406</v>
      </c>
      <c r="CU29" s="63" t="str">
        <f ca="1">IF(ISNUMBER(CS!AP29)=FALSE,CONCATENATE(CT29,""),CONCATENATE(CT29,IF(ABS(CS!AP29)&lt;10,"0",""),ABS(CS!AP29)))</f>
        <v>01030201050406</v>
      </c>
    </row>
    <row r="30" spans="2:99">
      <c r="B30" s="4" t="str">
        <f ca="1">CS!AR30</f>
        <v>Tm20</v>
      </c>
      <c r="C30" s="5">
        <f t="shared" ca="1" si="7"/>
        <v>1</v>
      </c>
      <c r="D30" s="5">
        <f t="shared" ca="1" si="8"/>
        <v>5</v>
      </c>
      <c r="E30" s="5">
        <f t="shared" ca="1" si="8"/>
        <v>4</v>
      </c>
      <c r="F30" s="5">
        <f t="shared" ca="1" si="8"/>
        <v>1</v>
      </c>
      <c r="G30" s="5">
        <f t="shared" ca="1" si="8"/>
        <v>2</v>
      </c>
      <c r="H30" s="5">
        <f t="shared" ca="1" si="8"/>
        <v>3</v>
      </c>
      <c r="I30" s="5">
        <f t="shared" ca="1" si="8"/>
        <v>6</v>
      </c>
      <c r="J30" s="5">
        <f t="shared" ca="1" si="11"/>
        <v>0</v>
      </c>
      <c r="K30" s="5">
        <f t="shared" ca="1" si="11"/>
        <v>0</v>
      </c>
      <c r="L30" s="5">
        <f t="shared" ca="1" si="11"/>
        <v>0</v>
      </c>
      <c r="M30" s="5">
        <f t="shared" ca="1" si="11"/>
        <v>0</v>
      </c>
      <c r="N30" s="5">
        <f t="shared" ca="1" si="11"/>
        <v>0</v>
      </c>
      <c r="O30" s="5">
        <f t="shared" ca="1" si="11"/>
        <v>0</v>
      </c>
      <c r="P30" s="5">
        <f t="shared" ca="1" si="11"/>
        <v>0</v>
      </c>
      <c r="Q30" s="5">
        <f t="shared" ca="1" si="11"/>
        <v>0</v>
      </c>
      <c r="R30" s="5">
        <f t="shared" ca="1" si="11"/>
        <v>0</v>
      </c>
      <c r="S30" s="5">
        <f t="shared" ca="1" si="11"/>
        <v>0</v>
      </c>
      <c r="T30" s="5">
        <f t="shared" ca="1" si="11"/>
        <v>0</v>
      </c>
      <c r="U30" s="5">
        <f t="shared" ca="1" si="11"/>
        <v>0</v>
      </c>
      <c r="V30" s="5">
        <f t="shared" ca="1" si="11"/>
        <v>0</v>
      </c>
      <c r="W30" s="5">
        <f t="shared" ca="1" si="11"/>
        <v>0</v>
      </c>
      <c r="X30" s="5">
        <f t="shared" ca="1" si="11"/>
        <v>0</v>
      </c>
      <c r="Y30" s="5">
        <f t="shared" ca="1" si="12"/>
        <v>0</v>
      </c>
      <c r="Z30" s="5">
        <f t="shared" ca="1" si="12"/>
        <v>0</v>
      </c>
      <c r="AA30" s="5">
        <f t="shared" ca="1" si="12"/>
        <v>0</v>
      </c>
      <c r="AB30" s="5">
        <f t="shared" ca="1" si="12"/>
        <v>0</v>
      </c>
      <c r="AC30" s="5">
        <f t="shared" ca="1" si="12"/>
        <v>0</v>
      </c>
      <c r="AD30" s="5">
        <f t="shared" ca="1" si="12"/>
        <v>0</v>
      </c>
      <c r="AE30" s="5">
        <f t="shared" ca="1" si="12"/>
        <v>0</v>
      </c>
      <c r="AF30" s="5">
        <f t="shared" ca="1" si="12"/>
        <v>0</v>
      </c>
      <c r="AG30" s="5">
        <f t="shared" ca="1" si="12"/>
        <v>0</v>
      </c>
      <c r="AH30" s="5">
        <f t="shared" ca="1" si="12"/>
        <v>0</v>
      </c>
      <c r="AI30" s="5">
        <f t="shared" ca="1" si="13"/>
        <v>0</v>
      </c>
      <c r="AJ30" s="5">
        <f t="shared" ca="1" si="13"/>
        <v>0</v>
      </c>
      <c r="AK30" s="5">
        <f t="shared" ca="1" si="13"/>
        <v>0</v>
      </c>
      <c r="AL30" s="5">
        <f t="shared" ca="1" si="13"/>
        <v>0</v>
      </c>
      <c r="AM30" s="5">
        <f t="shared" ca="1" si="13"/>
        <v>0</v>
      </c>
      <c r="AN30" s="5">
        <f t="shared" ca="1" si="13"/>
        <v>0</v>
      </c>
      <c r="AO30" s="5">
        <f t="shared" ca="1" si="13"/>
        <v>0</v>
      </c>
      <c r="AP30" s="5">
        <f t="shared" ca="1" si="13"/>
        <v>0</v>
      </c>
      <c r="AR30" s="4" t="str">
        <f t="shared" ca="1" si="5"/>
        <v>Tm20</v>
      </c>
      <c r="AS30" s="339">
        <f t="shared" ca="1" si="14"/>
        <v>2</v>
      </c>
      <c r="AT30" s="339">
        <f t="shared" ca="1" si="14"/>
        <v>1</v>
      </c>
      <c r="AU30" s="339">
        <f t="shared" ca="1" si="14"/>
        <v>1</v>
      </c>
      <c r="AV30" s="339">
        <f t="shared" ca="1" si="14"/>
        <v>1</v>
      </c>
      <c r="AW30" s="339">
        <f t="shared" ca="1" si="14"/>
        <v>1</v>
      </c>
      <c r="AX30" s="339">
        <f t="shared" ca="1" si="14"/>
        <v>1</v>
      </c>
      <c r="AY30" s="339">
        <f t="shared" ca="1" si="14"/>
        <v>0</v>
      </c>
      <c r="AZ30" s="339">
        <f t="shared" ca="1" si="14"/>
        <v>0</v>
      </c>
      <c r="BA30" s="339">
        <f t="shared" ca="1" si="14"/>
        <v>0</v>
      </c>
      <c r="BB30" s="339">
        <f t="shared" ca="1" si="14"/>
        <v>0</v>
      </c>
      <c r="BD30" s="63">
        <f>IF(DrawFinder!Y30=0,"",DrawFinder!Y30)</f>
        <v>3</v>
      </c>
      <c r="BF30" s="151" t="str">
        <f t="shared" ca="1" si="9"/>
        <v>01050401020306</v>
      </c>
      <c r="BH30" s="63" t="str">
        <f ca="1">IF(ISNUMBER(CS!C30)=FALSE,CONCATENATE(BG30,""),CONCATENATE(BG30,IF(ABS(CS!C30)&lt;10,"0",""),ABS(CS!C30)))</f>
        <v/>
      </c>
      <c r="BI30" s="63" t="str">
        <f ca="1">IF(ISNUMBER(CS!D30)=FALSE,CONCATENATE(BH30,""),CONCATENATE(BH30,IF(ABS(CS!D30)&lt;10,"0",""),ABS(CS!D30)))</f>
        <v>01</v>
      </c>
      <c r="BJ30" s="63" t="str">
        <f ca="1">IF(ISNUMBER(CS!E30)=FALSE,CONCATENATE(BI30,""),CONCATENATE(BI30,IF(ABS(CS!E30)&lt;10,"0",""),ABS(CS!E30)))</f>
        <v>0105</v>
      </c>
      <c r="BK30" s="63" t="str">
        <f ca="1">IF(ISNUMBER(CS!F30)=FALSE,CONCATENATE(BJ30,""),CONCATENATE(BJ30,IF(ABS(CS!F30)&lt;10,"0",""),ABS(CS!F30)))</f>
        <v>0105</v>
      </c>
      <c r="BL30" s="63" t="str">
        <f ca="1">IF(ISNUMBER(CS!G30)=FALSE,CONCATENATE(BK30,""),CONCATENATE(BK30,IF(ABS(CS!G30)&lt;10,"0",""),ABS(CS!G30)))</f>
        <v>0105</v>
      </c>
      <c r="BM30" s="63" t="str">
        <f ca="1">IF(ISNUMBER(CS!H30)=FALSE,CONCATENATE(BL30,""),CONCATENATE(BL30,IF(ABS(CS!H30)&lt;10,"0",""),ABS(CS!H30)))</f>
        <v>010504</v>
      </c>
      <c r="BN30" s="63" t="str">
        <f ca="1">IF(ISNUMBER(CS!I30)=FALSE,CONCATENATE(BM30,""),CONCATENATE(BM30,IF(ABS(CS!I30)&lt;10,"0",""),ABS(CS!I30)))</f>
        <v>01050401</v>
      </c>
      <c r="BO30" s="63" t="str">
        <f ca="1">IF(ISNUMBER(CS!J30)=FALSE,CONCATENATE(BN30,""),CONCATENATE(BN30,IF(ABS(CS!J30)&lt;10,"0",""),ABS(CS!J30)))</f>
        <v>01050401</v>
      </c>
      <c r="BP30" s="63" t="str">
        <f ca="1">IF(ISNUMBER(CS!K30)=FALSE,CONCATENATE(BO30,""),CONCATENATE(BO30,IF(ABS(CS!K30)&lt;10,"0",""),ABS(CS!K30)))</f>
        <v>0105040102</v>
      </c>
      <c r="BQ30" s="63" t="str">
        <f ca="1">IF(ISNUMBER(CS!L30)=FALSE,CONCATENATE(BP30,""),CONCATENATE(BP30,IF(ABS(CS!L30)&lt;10,"0",""),ABS(CS!L30)))</f>
        <v>0105040102</v>
      </c>
      <c r="BR30" s="63" t="str">
        <f ca="1">IF(ISNUMBER(CS!M30)=FALSE,CONCATENATE(BQ30,""),CONCATENATE(BQ30,IF(ABS(CS!M30)&lt;10,"0",""),ABS(CS!M30)))</f>
        <v>0105040102</v>
      </c>
      <c r="BS30" s="63" t="str">
        <f ca="1">IF(ISNUMBER(CS!N30)=FALSE,CONCATENATE(BR30,""),CONCATENATE(BR30,IF(ABS(CS!N30)&lt;10,"0",""),ABS(CS!N30)))</f>
        <v>010504010203</v>
      </c>
      <c r="BT30" s="63" t="str">
        <f ca="1">IF(ISNUMBER(CS!O30)=FALSE,CONCATENATE(BS30,""),CONCATENATE(BS30,IF(ABS(CS!O30)&lt;10,"0",""),ABS(CS!O30)))</f>
        <v>01050401020306</v>
      </c>
      <c r="BU30" s="63" t="str">
        <f ca="1">IF(ISNUMBER(CS!P30)=FALSE,CONCATENATE(BT30,""),CONCATENATE(BT30,IF(ABS(CS!P30)&lt;10,"0",""),ABS(CS!P30)))</f>
        <v>01050401020306</v>
      </c>
      <c r="BV30" s="63" t="str">
        <f ca="1">IF(ISNUMBER(CS!Q30)=FALSE,CONCATENATE(BU30,""),CONCATENATE(BU30,IF(ABS(CS!Q30)&lt;10,"0",""),ABS(CS!Q30)))</f>
        <v>01050401020306</v>
      </c>
      <c r="BW30" s="63" t="str">
        <f ca="1">IF(ISNUMBER(CS!R30)=FALSE,CONCATENATE(BV30,""),CONCATENATE(BV30,IF(ABS(CS!R30)&lt;10,"0",""),ABS(CS!R30)))</f>
        <v>01050401020306</v>
      </c>
      <c r="BX30" s="63" t="str">
        <f ca="1">IF(ISNUMBER(CS!S30)=FALSE,CONCATENATE(BW30,""),CONCATENATE(BW30,IF(ABS(CS!S30)&lt;10,"0",""),ABS(CS!S30)))</f>
        <v>01050401020306</v>
      </c>
      <c r="BY30" s="63" t="str">
        <f ca="1">IF(ISNUMBER(CS!T30)=FALSE,CONCATENATE(BX30,""),CONCATENATE(BX30,IF(ABS(CS!T30)&lt;10,"0",""),ABS(CS!T30)))</f>
        <v>01050401020306</v>
      </c>
      <c r="BZ30" s="63" t="str">
        <f ca="1">IF(ISNUMBER(CS!U30)=FALSE,CONCATENATE(BY30,""),CONCATENATE(BY30,IF(ABS(CS!U30)&lt;10,"0",""),ABS(CS!U30)))</f>
        <v>01050401020306</v>
      </c>
      <c r="CA30" s="63" t="str">
        <f ca="1">IF(ISNUMBER(CS!V30)=FALSE,CONCATENATE(BZ30,""),CONCATENATE(BZ30,IF(ABS(CS!V30)&lt;10,"0",""),ABS(CS!V30)))</f>
        <v>01050401020306</v>
      </c>
      <c r="CB30" s="63" t="str">
        <f ca="1">IF(ISNUMBER(CS!W30)=FALSE,CONCATENATE(CA30,""),CONCATENATE(CA30,IF(ABS(CS!W30)&lt;10,"0",""),ABS(CS!W30)))</f>
        <v>01050401020306</v>
      </c>
      <c r="CC30" s="63" t="str">
        <f ca="1">IF(ISNUMBER(CS!X30)=FALSE,CONCATENATE(CB30,""),CONCATENATE(CB30,IF(ABS(CS!X30)&lt;10,"0",""),ABS(CS!X30)))</f>
        <v>01050401020306</v>
      </c>
      <c r="CD30" s="63" t="str">
        <f ca="1">IF(ISNUMBER(CS!Y30)=FALSE,CONCATENATE(CC30,""),CONCATENATE(CC30,IF(ABS(CS!Y30)&lt;10,"0",""),ABS(CS!Y30)))</f>
        <v>01050401020306</v>
      </c>
      <c r="CE30" s="63" t="str">
        <f ca="1">IF(ISNUMBER(CS!Z30)=FALSE,CONCATENATE(CD30,""),CONCATENATE(CD30,IF(ABS(CS!Z30)&lt;10,"0",""),ABS(CS!Z30)))</f>
        <v>01050401020306</v>
      </c>
      <c r="CF30" s="63" t="str">
        <f ca="1">IF(ISNUMBER(CS!AA30)=FALSE,CONCATENATE(CE30,""),CONCATENATE(CE30,IF(ABS(CS!AA30)&lt;10,"0",""),ABS(CS!AA30)))</f>
        <v>01050401020306</v>
      </c>
      <c r="CG30" s="63" t="str">
        <f ca="1">IF(ISNUMBER(CS!AB30)=FALSE,CONCATENATE(CF30,""),CONCATENATE(CF30,IF(ABS(CS!AB30)&lt;10,"0",""),ABS(CS!AB30)))</f>
        <v>01050401020306</v>
      </c>
      <c r="CH30" s="63" t="str">
        <f ca="1">IF(ISNUMBER(CS!AC30)=FALSE,CONCATENATE(CG30,""),CONCATENATE(CG30,IF(ABS(CS!AC30)&lt;10,"0",""),ABS(CS!AC30)))</f>
        <v>01050401020306</v>
      </c>
      <c r="CI30" s="63" t="str">
        <f ca="1">IF(ISNUMBER(CS!AD30)=FALSE,CONCATENATE(CH30,""),CONCATENATE(CH30,IF(ABS(CS!AD30)&lt;10,"0",""),ABS(CS!AD30)))</f>
        <v>01050401020306</v>
      </c>
      <c r="CJ30" s="63" t="str">
        <f ca="1">IF(ISNUMBER(CS!AE30)=FALSE,CONCATENATE(CI30,""),CONCATENATE(CI30,IF(ABS(CS!AE30)&lt;10,"0",""),ABS(CS!AE30)))</f>
        <v>01050401020306</v>
      </c>
      <c r="CK30" s="63" t="str">
        <f ca="1">IF(ISNUMBER(CS!AF30)=FALSE,CONCATENATE(CJ30,""),CONCATENATE(CJ30,IF(ABS(CS!AF30)&lt;10,"0",""),ABS(CS!AF30)))</f>
        <v>01050401020306</v>
      </c>
      <c r="CL30" s="63" t="str">
        <f ca="1">IF(ISNUMBER(CS!AG30)=FALSE,CONCATENATE(CK30,""),CONCATENATE(CK30,IF(ABS(CS!AG30)&lt;10,"0",""),ABS(CS!AG30)))</f>
        <v>01050401020306</v>
      </c>
      <c r="CM30" s="63" t="str">
        <f ca="1">IF(ISNUMBER(CS!AH30)=FALSE,CONCATENATE(CL30,""),CONCATENATE(CL30,IF(ABS(CS!AH30)&lt;10,"0",""),ABS(CS!AH30)))</f>
        <v>01050401020306</v>
      </c>
      <c r="CN30" s="63" t="str">
        <f ca="1">IF(ISNUMBER(CS!AI30)=FALSE,CONCATENATE(CM30,""),CONCATENATE(CM30,IF(ABS(CS!AI30)&lt;10,"0",""),ABS(CS!AI30)))</f>
        <v>01050401020306</v>
      </c>
      <c r="CO30" s="63" t="str">
        <f ca="1">IF(ISNUMBER(CS!AJ30)=FALSE,CONCATENATE(CN30,""),CONCATENATE(CN30,IF(ABS(CS!AJ30)&lt;10,"0",""),ABS(CS!AJ30)))</f>
        <v>01050401020306</v>
      </c>
      <c r="CP30" s="63" t="str">
        <f ca="1">IF(ISNUMBER(CS!AK30)=FALSE,CONCATENATE(CO30,""),CONCATENATE(CO30,IF(ABS(CS!AK30)&lt;10,"0",""),ABS(CS!AK30)))</f>
        <v>01050401020306</v>
      </c>
      <c r="CQ30" s="63" t="str">
        <f ca="1">IF(ISNUMBER(CS!AL30)=FALSE,CONCATENATE(CP30,""),CONCATENATE(CP30,IF(ABS(CS!AL30)&lt;10,"0",""),ABS(CS!AL30)))</f>
        <v>01050401020306</v>
      </c>
      <c r="CR30" s="63" t="str">
        <f ca="1">IF(ISNUMBER(CS!AM30)=FALSE,CONCATENATE(CQ30,""),CONCATENATE(CQ30,IF(ABS(CS!AM30)&lt;10,"0",""),ABS(CS!AM30)))</f>
        <v>01050401020306</v>
      </c>
      <c r="CS30" s="63" t="str">
        <f ca="1">IF(ISNUMBER(CS!AN30)=FALSE,CONCATENATE(CR30,""),CONCATENATE(CR30,IF(ABS(CS!AN30)&lt;10,"0",""),ABS(CS!AN30)))</f>
        <v>01050401020306</v>
      </c>
      <c r="CT30" s="63" t="str">
        <f ca="1">IF(ISNUMBER(CS!AO30)=FALSE,CONCATENATE(CS30,""),CONCATENATE(CS30,IF(ABS(CS!AO30)&lt;10,"0",""),ABS(CS!AO30)))</f>
        <v>01050401020306</v>
      </c>
      <c r="CU30" s="63" t="str">
        <f ca="1">IF(ISNUMBER(CS!AP30)=FALSE,CONCATENATE(CT30,""),CONCATENATE(CT30,IF(ABS(CS!AP30)&lt;10,"0",""),ABS(CS!AP30)))</f>
        <v>01050401020306</v>
      </c>
    </row>
    <row r="31" spans="2:99">
      <c r="B31" s="4" t="str">
        <f ca="1">CS!AR31</f>
        <v>Tm21</v>
      </c>
      <c r="C31" s="5">
        <f t="shared" ca="1" si="7"/>
        <v>1</v>
      </c>
      <c r="D31" s="5">
        <f t="shared" ca="1" si="8"/>
        <v>3</v>
      </c>
      <c r="E31" s="5">
        <f t="shared" ca="1" si="8"/>
        <v>5</v>
      </c>
      <c r="F31" s="5">
        <f t="shared" ca="1" si="8"/>
        <v>6</v>
      </c>
      <c r="G31" s="5">
        <f t="shared" ca="1" si="8"/>
        <v>2</v>
      </c>
      <c r="H31" s="5">
        <f t="shared" ca="1" si="8"/>
        <v>4</v>
      </c>
      <c r="I31" s="5">
        <f t="shared" ca="1" si="8"/>
        <v>1</v>
      </c>
      <c r="J31" s="5">
        <f t="shared" ca="1" si="11"/>
        <v>0</v>
      </c>
      <c r="K31" s="5">
        <f t="shared" ca="1" si="11"/>
        <v>0</v>
      </c>
      <c r="L31" s="5">
        <f t="shared" ca="1" si="11"/>
        <v>0</v>
      </c>
      <c r="M31" s="5">
        <f t="shared" ca="1" si="11"/>
        <v>0</v>
      </c>
      <c r="N31" s="5">
        <f t="shared" ca="1" si="11"/>
        <v>0</v>
      </c>
      <c r="O31" s="5">
        <f t="shared" ca="1" si="11"/>
        <v>0</v>
      </c>
      <c r="P31" s="5">
        <f t="shared" ca="1" si="11"/>
        <v>0</v>
      </c>
      <c r="Q31" s="5">
        <f t="shared" ca="1" si="11"/>
        <v>0</v>
      </c>
      <c r="R31" s="5">
        <f t="shared" ca="1" si="11"/>
        <v>0</v>
      </c>
      <c r="S31" s="5">
        <f t="shared" ca="1" si="11"/>
        <v>0</v>
      </c>
      <c r="T31" s="5">
        <f t="shared" ca="1" si="11"/>
        <v>0</v>
      </c>
      <c r="U31" s="5">
        <f t="shared" ca="1" si="11"/>
        <v>0</v>
      </c>
      <c r="V31" s="5">
        <f t="shared" ca="1" si="11"/>
        <v>0</v>
      </c>
      <c r="W31" s="5">
        <f t="shared" ca="1" si="11"/>
        <v>0</v>
      </c>
      <c r="X31" s="5">
        <f t="shared" ca="1" si="11"/>
        <v>0</v>
      </c>
      <c r="Y31" s="5">
        <f t="shared" ca="1" si="12"/>
        <v>0</v>
      </c>
      <c r="Z31" s="5">
        <f t="shared" ca="1" si="12"/>
        <v>0</v>
      </c>
      <c r="AA31" s="5">
        <f t="shared" ca="1" si="12"/>
        <v>0</v>
      </c>
      <c r="AB31" s="5">
        <f t="shared" ca="1" si="12"/>
        <v>0</v>
      </c>
      <c r="AC31" s="5">
        <f t="shared" ca="1" si="12"/>
        <v>0</v>
      </c>
      <c r="AD31" s="5">
        <f t="shared" ca="1" si="12"/>
        <v>0</v>
      </c>
      <c r="AE31" s="5">
        <f t="shared" ca="1" si="12"/>
        <v>0</v>
      </c>
      <c r="AF31" s="5">
        <f t="shared" ca="1" si="12"/>
        <v>0</v>
      </c>
      <c r="AG31" s="5">
        <f t="shared" ca="1" si="12"/>
        <v>0</v>
      </c>
      <c r="AH31" s="5">
        <f t="shared" ca="1" si="12"/>
        <v>0</v>
      </c>
      <c r="AI31" s="5">
        <f t="shared" ca="1" si="13"/>
        <v>0</v>
      </c>
      <c r="AJ31" s="5">
        <f t="shared" ca="1" si="13"/>
        <v>0</v>
      </c>
      <c r="AK31" s="5">
        <f t="shared" ca="1" si="13"/>
        <v>0</v>
      </c>
      <c r="AL31" s="5">
        <f t="shared" ca="1" si="13"/>
        <v>0</v>
      </c>
      <c r="AM31" s="5">
        <f t="shared" ca="1" si="13"/>
        <v>0</v>
      </c>
      <c r="AN31" s="5">
        <f t="shared" ca="1" si="13"/>
        <v>0</v>
      </c>
      <c r="AO31" s="5">
        <f t="shared" ca="1" si="13"/>
        <v>0</v>
      </c>
      <c r="AP31" s="5">
        <f t="shared" ca="1" si="13"/>
        <v>0</v>
      </c>
      <c r="AR31" s="4" t="str">
        <f t="shared" ca="1" si="5"/>
        <v>Tm21</v>
      </c>
      <c r="AS31" s="339">
        <f t="shared" ca="1" si="14"/>
        <v>2</v>
      </c>
      <c r="AT31" s="339">
        <f t="shared" ca="1" si="14"/>
        <v>1</v>
      </c>
      <c r="AU31" s="339">
        <f t="shared" ca="1" si="14"/>
        <v>1</v>
      </c>
      <c r="AV31" s="339">
        <f t="shared" ca="1" si="14"/>
        <v>1</v>
      </c>
      <c r="AW31" s="339">
        <f t="shared" ca="1" si="14"/>
        <v>1</v>
      </c>
      <c r="AX31" s="339">
        <f t="shared" ca="1" si="14"/>
        <v>1</v>
      </c>
      <c r="AY31" s="339">
        <f t="shared" ca="1" si="14"/>
        <v>0</v>
      </c>
      <c r="AZ31" s="339">
        <f t="shared" ca="1" si="14"/>
        <v>0</v>
      </c>
      <c r="BA31" s="339">
        <f t="shared" ca="1" si="14"/>
        <v>0</v>
      </c>
      <c r="BB31" s="339">
        <f t="shared" ca="1" si="14"/>
        <v>0</v>
      </c>
      <c r="BD31" s="63">
        <f>IF(DrawFinder!Y31=0,"",DrawFinder!Y31)</f>
        <v>3</v>
      </c>
      <c r="BF31" s="151" t="str">
        <f t="shared" ca="1" si="9"/>
        <v>01030506020401</v>
      </c>
      <c r="BH31" s="63" t="str">
        <f ca="1">IF(ISNUMBER(CS!C31)=FALSE,CONCATENATE(BG31,""),CONCATENATE(BG31,IF(ABS(CS!C31)&lt;10,"0",""),ABS(CS!C31)))</f>
        <v/>
      </c>
      <c r="BI31" s="63" t="str">
        <f ca="1">IF(ISNUMBER(CS!D31)=FALSE,CONCATENATE(BH31,""),CONCATENATE(BH31,IF(ABS(CS!D31)&lt;10,"0",""),ABS(CS!D31)))</f>
        <v>01</v>
      </c>
      <c r="BJ31" s="63" t="str">
        <f ca="1">IF(ISNUMBER(CS!E31)=FALSE,CONCATENATE(BI31,""),CONCATENATE(BI31,IF(ABS(CS!E31)&lt;10,"0",""),ABS(CS!E31)))</f>
        <v>0103</v>
      </c>
      <c r="BK31" s="63" t="str">
        <f ca="1">IF(ISNUMBER(CS!F31)=FALSE,CONCATENATE(BJ31,""),CONCATENATE(BJ31,IF(ABS(CS!F31)&lt;10,"0",""),ABS(CS!F31)))</f>
        <v>0103</v>
      </c>
      <c r="BL31" s="63" t="str">
        <f ca="1">IF(ISNUMBER(CS!G31)=FALSE,CONCATENATE(BK31,""),CONCATENATE(BK31,IF(ABS(CS!G31)&lt;10,"0",""),ABS(CS!G31)))</f>
        <v>010305</v>
      </c>
      <c r="BM31" s="63" t="str">
        <f ca="1">IF(ISNUMBER(CS!H31)=FALSE,CONCATENATE(BL31,""),CONCATENATE(BL31,IF(ABS(CS!H31)&lt;10,"0",""),ABS(CS!H31)))</f>
        <v>010305</v>
      </c>
      <c r="BN31" s="63" t="str">
        <f ca="1">IF(ISNUMBER(CS!I31)=FALSE,CONCATENATE(BM31,""),CONCATENATE(BM31,IF(ABS(CS!I31)&lt;10,"0",""),ABS(CS!I31)))</f>
        <v>010305</v>
      </c>
      <c r="BO31" s="63" t="str">
        <f ca="1">IF(ISNUMBER(CS!J31)=FALSE,CONCATENATE(BN31,""),CONCATENATE(BN31,IF(ABS(CS!J31)&lt;10,"0",""),ABS(CS!J31)))</f>
        <v>01030506</v>
      </c>
      <c r="BP31" s="63" t="str">
        <f ca="1">IF(ISNUMBER(CS!K31)=FALSE,CONCATENATE(BO31,""),CONCATENATE(BO31,IF(ABS(CS!K31)&lt;10,"0",""),ABS(CS!K31)))</f>
        <v>01030506</v>
      </c>
      <c r="BQ31" s="63" t="str">
        <f ca="1">IF(ISNUMBER(CS!L31)=FALSE,CONCATENATE(BP31,""),CONCATENATE(BP31,IF(ABS(CS!L31)&lt;10,"0",""),ABS(CS!L31)))</f>
        <v>0103050602</v>
      </c>
      <c r="BR31" s="63" t="str">
        <f ca="1">IF(ISNUMBER(CS!M31)=FALSE,CONCATENATE(BQ31,""),CONCATENATE(BQ31,IF(ABS(CS!M31)&lt;10,"0",""),ABS(CS!M31)))</f>
        <v>010305060204</v>
      </c>
      <c r="BS31" s="63" t="str">
        <f ca="1">IF(ISNUMBER(CS!N31)=FALSE,CONCATENATE(BR31,""),CONCATENATE(BR31,IF(ABS(CS!N31)&lt;10,"0",""),ABS(CS!N31)))</f>
        <v>010305060204</v>
      </c>
      <c r="BT31" s="63" t="str">
        <f ca="1">IF(ISNUMBER(CS!O31)=FALSE,CONCATENATE(BS31,""),CONCATENATE(BS31,IF(ABS(CS!O31)&lt;10,"0",""),ABS(CS!O31)))</f>
        <v>010305060204</v>
      </c>
      <c r="BU31" s="63" t="str">
        <f ca="1">IF(ISNUMBER(CS!P31)=FALSE,CONCATENATE(BT31,""),CONCATENATE(BT31,IF(ABS(CS!P31)&lt;10,"0",""),ABS(CS!P31)))</f>
        <v>01030506020401</v>
      </c>
      <c r="BV31" s="63" t="str">
        <f ca="1">IF(ISNUMBER(CS!Q31)=FALSE,CONCATENATE(BU31,""),CONCATENATE(BU31,IF(ABS(CS!Q31)&lt;10,"0",""),ABS(CS!Q31)))</f>
        <v>01030506020401</v>
      </c>
      <c r="BW31" s="63" t="str">
        <f ca="1">IF(ISNUMBER(CS!R31)=FALSE,CONCATENATE(BV31,""),CONCATENATE(BV31,IF(ABS(CS!R31)&lt;10,"0",""),ABS(CS!R31)))</f>
        <v>01030506020401</v>
      </c>
      <c r="BX31" s="63" t="str">
        <f ca="1">IF(ISNUMBER(CS!S31)=FALSE,CONCATENATE(BW31,""),CONCATENATE(BW31,IF(ABS(CS!S31)&lt;10,"0",""),ABS(CS!S31)))</f>
        <v>01030506020401</v>
      </c>
      <c r="BY31" s="63" t="str">
        <f ca="1">IF(ISNUMBER(CS!T31)=FALSE,CONCATENATE(BX31,""),CONCATENATE(BX31,IF(ABS(CS!T31)&lt;10,"0",""),ABS(CS!T31)))</f>
        <v>01030506020401</v>
      </c>
      <c r="BZ31" s="63" t="str">
        <f ca="1">IF(ISNUMBER(CS!U31)=FALSE,CONCATENATE(BY31,""),CONCATENATE(BY31,IF(ABS(CS!U31)&lt;10,"0",""),ABS(CS!U31)))</f>
        <v>01030506020401</v>
      </c>
      <c r="CA31" s="63" t="str">
        <f ca="1">IF(ISNUMBER(CS!V31)=FALSE,CONCATENATE(BZ31,""),CONCATENATE(BZ31,IF(ABS(CS!V31)&lt;10,"0",""),ABS(CS!V31)))</f>
        <v>01030506020401</v>
      </c>
      <c r="CB31" s="63" t="str">
        <f ca="1">IF(ISNUMBER(CS!W31)=FALSE,CONCATENATE(CA31,""),CONCATENATE(CA31,IF(ABS(CS!W31)&lt;10,"0",""),ABS(CS!W31)))</f>
        <v>01030506020401</v>
      </c>
      <c r="CC31" s="63" t="str">
        <f ca="1">IF(ISNUMBER(CS!X31)=FALSE,CONCATENATE(CB31,""),CONCATENATE(CB31,IF(ABS(CS!X31)&lt;10,"0",""),ABS(CS!X31)))</f>
        <v>01030506020401</v>
      </c>
      <c r="CD31" s="63" t="str">
        <f ca="1">IF(ISNUMBER(CS!Y31)=FALSE,CONCATENATE(CC31,""),CONCATENATE(CC31,IF(ABS(CS!Y31)&lt;10,"0",""),ABS(CS!Y31)))</f>
        <v>01030506020401</v>
      </c>
      <c r="CE31" s="63" t="str">
        <f ca="1">IF(ISNUMBER(CS!Z31)=FALSE,CONCATENATE(CD31,""),CONCATENATE(CD31,IF(ABS(CS!Z31)&lt;10,"0",""),ABS(CS!Z31)))</f>
        <v>01030506020401</v>
      </c>
      <c r="CF31" s="63" t="str">
        <f ca="1">IF(ISNUMBER(CS!AA31)=FALSE,CONCATENATE(CE31,""),CONCATENATE(CE31,IF(ABS(CS!AA31)&lt;10,"0",""),ABS(CS!AA31)))</f>
        <v>01030506020401</v>
      </c>
      <c r="CG31" s="63" t="str">
        <f ca="1">IF(ISNUMBER(CS!AB31)=FALSE,CONCATENATE(CF31,""),CONCATENATE(CF31,IF(ABS(CS!AB31)&lt;10,"0",""),ABS(CS!AB31)))</f>
        <v>01030506020401</v>
      </c>
      <c r="CH31" s="63" t="str">
        <f ca="1">IF(ISNUMBER(CS!AC31)=FALSE,CONCATENATE(CG31,""),CONCATENATE(CG31,IF(ABS(CS!AC31)&lt;10,"0",""),ABS(CS!AC31)))</f>
        <v>01030506020401</v>
      </c>
      <c r="CI31" s="63" t="str">
        <f ca="1">IF(ISNUMBER(CS!AD31)=FALSE,CONCATENATE(CH31,""),CONCATENATE(CH31,IF(ABS(CS!AD31)&lt;10,"0",""),ABS(CS!AD31)))</f>
        <v>01030506020401</v>
      </c>
      <c r="CJ31" s="63" t="str">
        <f ca="1">IF(ISNUMBER(CS!AE31)=FALSE,CONCATENATE(CI31,""),CONCATENATE(CI31,IF(ABS(CS!AE31)&lt;10,"0",""),ABS(CS!AE31)))</f>
        <v>01030506020401</v>
      </c>
      <c r="CK31" s="63" t="str">
        <f ca="1">IF(ISNUMBER(CS!AF31)=FALSE,CONCATENATE(CJ31,""),CONCATENATE(CJ31,IF(ABS(CS!AF31)&lt;10,"0",""),ABS(CS!AF31)))</f>
        <v>01030506020401</v>
      </c>
      <c r="CL31" s="63" t="str">
        <f ca="1">IF(ISNUMBER(CS!AG31)=FALSE,CONCATENATE(CK31,""),CONCATENATE(CK31,IF(ABS(CS!AG31)&lt;10,"0",""),ABS(CS!AG31)))</f>
        <v>01030506020401</v>
      </c>
      <c r="CM31" s="63" t="str">
        <f ca="1">IF(ISNUMBER(CS!AH31)=FALSE,CONCATENATE(CL31,""),CONCATENATE(CL31,IF(ABS(CS!AH31)&lt;10,"0",""),ABS(CS!AH31)))</f>
        <v>01030506020401</v>
      </c>
      <c r="CN31" s="63" t="str">
        <f ca="1">IF(ISNUMBER(CS!AI31)=FALSE,CONCATENATE(CM31,""),CONCATENATE(CM31,IF(ABS(CS!AI31)&lt;10,"0",""),ABS(CS!AI31)))</f>
        <v>01030506020401</v>
      </c>
      <c r="CO31" s="63" t="str">
        <f ca="1">IF(ISNUMBER(CS!AJ31)=FALSE,CONCATENATE(CN31,""),CONCATENATE(CN31,IF(ABS(CS!AJ31)&lt;10,"0",""),ABS(CS!AJ31)))</f>
        <v>01030506020401</v>
      </c>
      <c r="CP31" s="63" t="str">
        <f ca="1">IF(ISNUMBER(CS!AK31)=FALSE,CONCATENATE(CO31,""),CONCATENATE(CO31,IF(ABS(CS!AK31)&lt;10,"0",""),ABS(CS!AK31)))</f>
        <v>01030506020401</v>
      </c>
      <c r="CQ31" s="63" t="str">
        <f ca="1">IF(ISNUMBER(CS!AL31)=FALSE,CONCATENATE(CP31,""),CONCATENATE(CP31,IF(ABS(CS!AL31)&lt;10,"0",""),ABS(CS!AL31)))</f>
        <v>01030506020401</v>
      </c>
      <c r="CR31" s="63" t="str">
        <f ca="1">IF(ISNUMBER(CS!AM31)=FALSE,CONCATENATE(CQ31,""),CONCATENATE(CQ31,IF(ABS(CS!AM31)&lt;10,"0",""),ABS(CS!AM31)))</f>
        <v>01030506020401</v>
      </c>
      <c r="CS31" s="63" t="str">
        <f ca="1">IF(ISNUMBER(CS!AN31)=FALSE,CONCATENATE(CR31,""),CONCATENATE(CR31,IF(ABS(CS!AN31)&lt;10,"0",""),ABS(CS!AN31)))</f>
        <v>01030506020401</v>
      </c>
      <c r="CT31" s="63" t="str">
        <f ca="1">IF(ISNUMBER(CS!AO31)=FALSE,CONCATENATE(CS31,""),CONCATENATE(CS31,IF(ABS(CS!AO31)&lt;10,"0",""),ABS(CS!AO31)))</f>
        <v>01030506020401</v>
      </c>
      <c r="CU31" s="63" t="str">
        <f ca="1">IF(ISNUMBER(CS!AP31)=FALSE,CONCATENATE(CT31,""),CONCATENATE(CT31,IF(ABS(CS!AP31)&lt;10,"0",""),ABS(CS!AP31)))</f>
        <v>01030506020401</v>
      </c>
    </row>
    <row r="32" spans="2:99">
      <c r="B32" s="4" t="str">
        <f ca="1">CS!AR32</f>
        <v>Tm22</v>
      </c>
      <c r="C32" s="5">
        <f t="shared" ca="1" si="7"/>
        <v>1</v>
      </c>
      <c r="D32" s="5">
        <f t="shared" ca="1" si="8"/>
        <v>2</v>
      </c>
      <c r="E32" s="5">
        <f t="shared" ca="1" si="8"/>
        <v>4</v>
      </c>
      <c r="F32" s="5">
        <f t="shared" ca="1" si="8"/>
        <v>6</v>
      </c>
      <c r="G32" s="5">
        <f t="shared" ca="1" si="8"/>
        <v>5</v>
      </c>
      <c r="H32" s="5">
        <f t="shared" ca="1" si="8"/>
        <v>3</v>
      </c>
      <c r="I32" s="5">
        <f t="shared" ca="1" si="8"/>
        <v>1</v>
      </c>
      <c r="J32" s="5">
        <f t="shared" ca="1" si="11"/>
        <v>0</v>
      </c>
      <c r="K32" s="5">
        <f t="shared" ca="1" si="11"/>
        <v>0</v>
      </c>
      <c r="L32" s="5">
        <f t="shared" ca="1" si="11"/>
        <v>0</v>
      </c>
      <c r="M32" s="5">
        <f t="shared" ca="1" si="11"/>
        <v>0</v>
      </c>
      <c r="N32" s="5">
        <f t="shared" ca="1" si="11"/>
        <v>0</v>
      </c>
      <c r="O32" s="5">
        <f t="shared" ca="1" si="11"/>
        <v>0</v>
      </c>
      <c r="P32" s="5">
        <f t="shared" ca="1" si="11"/>
        <v>0</v>
      </c>
      <c r="Q32" s="5">
        <f t="shared" ca="1" si="11"/>
        <v>0</v>
      </c>
      <c r="R32" s="5">
        <f t="shared" ca="1" si="11"/>
        <v>0</v>
      </c>
      <c r="S32" s="5">
        <f t="shared" ca="1" si="11"/>
        <v>0</v>
      </c>
      <c r="T32" s="5">
        <f t="shared" ca="1" si="11"/>
        <v>0</v>
      </c>
      <c r="U32" s="5">
        <f t="shared" ca="1" si="11"/>
        <v>0</v>
      </c>
      <c r="V32" s="5">
        <f t="shared" ca="1" si="11"/>
        <v>0</v>
      </c>
      <c r="W32" s="5">
        <f t="shared" ca="1" si="11"/>
        <v>0</v>
      </c>
      <c r="X32" s="5">
        <f t="shared" ca="1" si="11"/>
        <v>0</v>
      </c>
      <c r="Y32" s="5">
        <f t="shared" ca="1" si="12"/>
        <v>0</v>
      </c>
      <c r="Z32" s="5">
        <f t="shared" ca="1" si="12"/>
        <v>0</v>
      </c>
      <c r="AA32" s="5">
        <f t="shared" ca="1" si="12"/>
        <v>0</v>
      </c>
      <c r="AB32" s="5">
        <f t="shared" ca="1" si="12"/>
        <v>0</v>
      </c>
      <c r="AC32" s="5">
        <f t="shared" ca="1" si="12"/>
        <v>0</v>
      </c>
      <c r="AD32" s="5">
        <f t="shared" ca="1" si="12"/>
        <v>0</v>
      </c>
      <c r="AE32" s="5">
        <f t="shared" ca="1" si="12"/>
        <v>0</v>
      </c>
      <c r="AF32" s="5">
        <f t="shared" ca="1" si="12"/>
        <v>0</v>
      </c>
      <c r="AG32" s="5">
        <f t="shared" ca="1" si="12"/>
        <v>0</v>
      </c>
      <c r="AH32" s="5">
        <f t="shared" ca="1" si="12"/>
        <v>0</v>
      </c>
      <c r="AI32" s="5">
        <f t="shared" ca="1" si="13"/>
        <v>0</v>
      </c>
      <c r="AJ32" s="5">
        <f t="shared" ca="1" si="13"/>
        <v>0</v>
      </c>
      <c r="AK32" s="5">
        <f t="shared" ca="1" si="13"/>
        <v>0</v>
      </c>
      <c r="AL32" s="5">
        <f t="shared" ca="1" si="13"/>
        <v>0</v>
      </c>
      <c r="AM32" s="5">
        <f t="shared" ca="1" si="13"/>
        <v>0</v>
      </c>
      <c r="AN32" s="5">
        <f t="shared" ca="1" si="13"/>
        <v>0</v>
      </c>
      <c r="AO32" s="5">
        <f t="shared" ca="1" si="13"/>
        <v>0</v>
      </c>
      <c r="AP32" s="5">
        <f t="shared" ca="1" si="13"/>
        <v>0</v>
      </c>
      <c r="AR32" s="4" t="str">
        <f t="shared" ca="1" si="5"/>
        <v>Tm22</v>
      </c>
      <c r="AS32" s="339">
        <f t="shared" ca="1" si="14"/>
        <v>2</v>
      </c>
      <c r="AT32" s="339">
        <f t="shared" ca="1" si="14"/>
        <v>1</v>
      </c>
      <c r="AU32" s="339">
        <f t="shared" ca="1" si="14"/>
        <v>1</v>
      </c>
      <c r="AV32" s="339">
        <f t="shared" ca="1" si="14"/>
        <v>1</v>
      </c>
      <c r="AW32" s="339">
        <f t="shared" ca="1" si="14"/>
        <v>1</v>
      </c>
      <c r="AX32" s="339">
        <f t="shared" ca="1" si="14"/>
        <v>1</v>
      </c>
      <c r="AY32" s="339">
        <f t="shared" ca="1" si="14"/>
        <v>0</v>
      </c>
      <c r="AZ32" s="339">
        <f t="shared" ca="1" si="14"/>
        <v>0</v>
      </c>
      <c r="BA32" s="339">
        <f t="shared" ca="1" si="14"/>
        <v>0</v>
      </c>
      <c r="BB32" s="339">
        <f t="shared" ca="1" si="14"/>
        <v>0</v>
      </c>
      <c r="BD32" s="63">
        <f>IF(DrawFinder!Y32=0,"",DrawFinder!Y32)</f>
        <v>3</v>
      </c>
      <c r="BF32" s="151" t="str">
        <f t="shared" ca="1" si="9"/>
        <v>01020406050301</v>
      </c>
      <c r="BH32" s="63" t="str">
        <f ca="1">IF(ISNUMBER(CS!C32)=FALSE,CONCATENATE(BG32,""),CONCATENATE(BG32,IF(ABS(CS!C32)&lt;10,"0",""),ABS(CS!C32)))</f>
        <v>01</v>
      </c>
      <c r="BI32" s="63" t="str">
        <f ca="1">IF(ISNUMBER(CS!D32)=FALSE,CONCATENATE(BH32,""),CONCATENATE(BH32,IF(ABS(CS!D32)&lt;10,"0",""),ABS(CS!D32)))</f>
        <v>01</v>
      </c>
      <c r="BJ32" s="63" t="str">
        <f ca="1">IF(ISNUMBER(CS!E32)=FALSE,CONCATENATE(BI32,""),CONCATENATE(BI32,IF(ABS(CS!E32)&lt;10,"0",""),ABS(CS!E32)))</f>
        <v>01</v>
      </c>
      <c r="BK32" s="63" t="str">
        <f ca="1">IF(ISNUMBER(CS!F32)=FALSE,CONCATENATE(BJ32,""),CONCATENATE(BJ32,IF(ABS(CS!F32)&lt;10,"0",""),ABS(CS!F32)))</f>
        <v>0102</v>
      </c>
      <c r="BL32" s="63" t="str">
        <f ca="1">IF(ISNUMBER(CS!G32)=FALSE,CONCATENATE(BK32,""),CONCATENATE(BK32,IF(ABS(CS!G32)&lt;10,"0",""),ABS(CS!G32)))</f>
        <v>0102</v>
      </c>
      <c r="BM32" s="63" t="str">
        <f ca="1">IF(ISNUMBER(CS!H32)=FALSE,CONCATENATE(BL32,""),CONCATENATE(BL32,IF(ABS(CS!H32)&lt;10,"0",""),ABS(CS!H32)))</f>
        <v>010204</v>
      </c>
      <c r="BN32" s="63" t="str">
        <f ca="1">IF(ISNUMBER(CS!I32)=FALSE,CONCATENATE(BM32,""),CONCATENATE(BM32,IF(ABS(CS!I32)&lt;10,"0",""),ABS(CS!I32)))</f>
        <v>01020406</v>
      </c>
      <c r="BO32" s="63" t="str">
        <f ca="1">IF(ISNUMBER(CS!J32)=FALSE,CONCATENATE(BN32,""),CONCATENATE(BN32,IF(ABS(CS!J32)&lt;10,"0",""),ABS(CS!J32)))</f>
        <v>01020406</v>
      </c>
      <c r="BP32" s="63" t="str">
        <f ca="1">IF(ISNUMBER(CS!K32)=FALSE,CONCATENATE(BO32,""),CONCATENATE(BO32,IF(ABS(CS!K32)&lt;10,"0",""),ABS(CS!K32)))</f>
        <v>01020406</v>
      </c>
      <c r="BQ32" s="63" t="str">
        <f ca="1">IF(ISNUMBER(CS!L32)=FALSE,CONCATENATE(BP32,""),CONCATENATE(BP32,IF(ABS(CS!L32)&lt;10,"0",""),ABS(CS!L32)))</f>
        <v>0102040605</v>
      </c>
      <c r="BR32" s="63" t="str">
        <f ca="1">IF(ISNUMBER(CS!M32)=FALSE,CONCATENATE(BQ32,""),CONCATENATE(BQ32,IF(ABS(CS!M32)&lt;10,"0",""),ABS(CS!M32)))</f>
        <v>010204060503</v>
      </c>
      <c r="BS32" s="63" t="str">
        <f ca="1">IF(ISNUMBER(CS!N32)=FALSE,CONCATENATE(BR32,""),CONCATENATE(BR32,IF(ABS(CS!N32)&lt;10,"0",""),ABS(CS!N32)))</f>
        <v>010204060503</v>
      </c>
      <c r="BT32" s="63" t="str">
        <f ca="1">IF(ISNUMBER(CS!O32)=FALSE,CONCATENATE(BS32,""),CONCATENATE(BS32,IF(ABS(CS!O32)&lt;10,"0",""),ABS(CS!O32)))</f>
        <v>010204060503</v>
      </c>
      <c r="BU32" s="63" t="str">
        <f ca="1">IF(ISNUMBER(CS!P32)=FALSE,CONCATENATE(BT32,""),CONCATENATE(BT32,IF(ABS(CS!P32)&lt;10,"0",""),ABS(CS!P32)))</f>
        <v>01020406050301</v>
      </c>
      <c r="BV32" s="63" t="str">
        <f ca="1">IF(ISNUMBER(CS!Q32)=FALSE,CONCATENATE(BU32,""),CONCATENATE(BU32,IF(ABS(CS!Q32)&lt;10,"0",""),ABS(CS!Q32)))</f>
        <v>01020406050301</v>
      </c>
      <c r="BW32" s="63" t="str">
        <f ca="1">IF(ISNUMBER(CS!R32)=FALSE,CONCATENATE(BV32,""),CONCATENATE(BV32,IF(ABS(CS!R32)&lt;10,"0",""),ABS(CS!R32)))</f>
        <v>01020406050301</v>
      </c>
      <c r="BX32" s="63" t="str">
        <f ca="1">IF(ISNUMBER(CS!S32)=FALSE,CONCATENATE(BW32,""),CONCATENATE(BW32,IF(ABS(CS!S32)&lt;10,"0",""),ABS(CS!S32)))</f>
        <v>01020406050301</v>
      </c>
      <c r="BY32" s="63" t="str">
        <f ca="1">IF(ISNUMBER(CS!T32)=FALSE,CONCATENATE(BX32,""),CONCATENATE(BX32,IF(ABS(CS!T32)&lt;10,"0",""),ABS(CS!T32)))</f>
        <v>01020406050301</v>
      </c>
      <c r="BZ32" s="63" t="str">
        <f ca="1">IF(ISNUMBER(CS!U32)=FALSE,CONCATENATE(BY32,""),CONCATENATE(BY32,IF(ABS(CS!U32)&lt;10,"0",""),ABS(CS!U32)))</f>
        <v>01020406050301</v>
      </c>
      <c r="CA32" s="63" t="str">
        <f ca="1">IF(ISNUMBER(CS!V32)=FALSE,CONCATENATE(BZ32,""),CONCATENATE(BZ32,IF(ABS(CS!V32)&lt;10,"0",""),ABS(CS!V32)))</f>
        <v>01020406050301</v>
      </c>
      <c r="CB32" s="63" t="str">
        <f ca="1">IF(ISNUMBER(CS!W32)=FALSE,CONCATENATE(CA32,""),CONCATENATE(CA32,IF(ABS(CS!W32)&lt;10,"0",""),ABS(CS!W32)))</f>
        <v>01020406050301</v>
      </c>
      <c r="CC32" s="63" t="str">
        <f ca="1">IF(ISNUMBER(CS!X32)=FALSE,CONCATENATE(CB32,""),CONCATENATE(CB32,IF(ABS(CS!X32)&lt;10,"0",""),ABS(CS!X32)))</f>
        <v>01020406050301</v>
      </c>
      <c r="CD32" s="63" t="str">
        <f ca="1">IF(ISNUMBER(CS!Y32)=FALSE,CONCATENATE(CC32,""),CONCATENATE(CC32,IF(ABS(CS!Y32)&lt;10,"0",""),ABS(CS!Y32)))</f>
        <v>01020406050301</v>
      </c>
      <c r="CE32" s="63" t="str">
        <f ca="1">IF(ISNUMBER(CS!Z32)=FALSE,CONCATENATE(CD32,""),CONCATENATE(CD32,IF(ABS(CS!Z32)&lt;10,"0",""),ABS(CS!Z32)))</f>
        <v>01020406050301</v>
      </c>
      <c r="CF32" s="63" t="str">
        <f ca="1">IF(ISNUMBER(CS!AA32)=FALSE,CONCATENATE(CE32,""),CONCATENATE(CE32,IF(ABS(CS!AA32)&lt;10,"0",""),ABS(CS!AA32)))</f>
        <v>01020406050301</v>
      </c>
      <c r="CG32" s="63" t="str">
        <f ca="1">IF(ISNUMBER(CS!AB32)=FALSE,CONCATENATE(CF32,""),CONCATENATE(CF32,IF(ABS(CS!AB32)&lt;10,"0",""),ABS(CS!AB32)))</f>
        <v>01020406050301</v>
      </c>
      <c r="CH32" s="63" t="str">
        <f ca="1">IF(ISNUMBER(CS!AC32)=FALSE,CONCATENATE(CG32,""),CONCATENATE(CG32,IF(ABS(CS!AC32)&lt;10,"0",""),ABS(CS!AC32)))</f>
        <v>01020406050301</v>
      </c>
      <c r="CI32" s="63" t="str">
        <f ca="1">IF(ISNUMBER(CS!AD32)=FALSE,CONCATENATE(CH32,""),CONCATENATE(CH32,IF(ABS(CS!AD32)&lt;10,"0",""),ABS(CS!AD32)))</f>
        <v>01020406050301</v>
      </c>
      <c r="CJ32" s="63" t="str">
        <f ca="1">IF(ISNUMBER(CS!AE32)=FALSE,CONCATENATE(CI32,""),CONCATENATE(CI32,IF(ABS(CS!AE32)&lt;10,"0",""),ABS(CS!AE32)))</f>
        <v>01020406050301</v>
      </c>
      <c r="CK32" s="63" t="str">
        <f ca="1">IF(ISNUMBER(CS!AF32)=FALSE,CONCATENATE(CJ32,""),CONCATENATE(CJ32,IF(ABS(CS!AF32)&lt;10,"0",""),ABS(CS!AF32)))</f>
        <v>01020406050301</v>
      </c>
      <c r="CL32" s="63" t="str">
        <f ca="1">IF(ISNUMBER(CS!AG32)=FALSE,CONCATENATE(CK32,""),CONCATENATE(CK32,IF(ABS(CS!AG32)&lt;10,"0",""),ABS(CS!AG32)))</f>
        <v>01020406050301</v>
      </c>
      <c r="CM32" s="63" t="str">
        <f ca="1">IF(ISNUMBER(CS!AH32)=FALSE,CONCATENATE(CL32,""),CONCATENATE(CL32,IF(ABS(CS!AH32)&lt;10,"0",""),ABS(CS!AH32)))</f>
        <v>01020406050301</v>
      </c>
      <c r="CN32" s="63" t="str">
        <f ca="1">IF(ISNUMBER(CS!AI32)=FALSE,CONCATENATE(CM32,""),CONCATENATE(CM32,IF(ABS(CS!AI32)&lt;10,"0",""),ABS(CS!AI32)))</f>
        <v>01020406050301</v>
      </c>
      <c r="CO32" s="63" t="str">
        <f ca="1">IF(ISNUMBER(CS!AJ32)=FALSE,CONCATENATE(CN32,""),CONCATENATE(CN32,IF(ABS(CS!AJ32)&lt;10,"0",""),ABS(CS!AJ32)))</f>
        <v>01020406050301</v>
      </c>
      <c r="CP32" s="63" t="str">
        <f ca="1">IF(ISNUMBER(CS!AK32)=FALSE,CONCATENATE(CO32,""),CONCATENATE(CO32,IF(ABS(CS!AK32)&lt;10,"0",""),ABS(CS!AK32)))</f>
        <v>01020406050301</v>
      </c>
      <c r="CQ32" s="63" t="str">
        <f ca="1">IF(ISNUMBER(CS!AL32)=FALSE,CONCATENATE(CP32,""),CONCATENATE(CP32,IF(ABS(CS!AL32)&lt;10,"0",""),ABS(CS!AL32)))</f>
        <v>01020406050301</v>
      </c>
      <c r="CR32" s="63" t="str">
        <f ca="1">IF(ISNUMBER(CS!AM32)=FALSE,CONCATENATE(CQ32,""),CONCATENATE(CQ32,IF(ABS(CS!AM32)&lt;10,"0",""),ABS(CS!AM32)))</f>
        <v>01020406050301</v>
      </c>
      <c r="CS32" s="63" t="str">
        <f ca="1">IF(ISNUMBER(CS!AN32)=FALSE,CONCATENATE(CR32,""),CONCATENATE(CR32,IF(ABS(CS!AN32)&lt;10,"0",""),ABS(CS!AN32)))</f>
        <v>01020406050301</v>
      </c>
      <c r="CT32" s="63" t="str">
        <f ca="1">IF(ISNUMBER(CS!AO32)=FALSE,CONCATENATE(CS32,""),CONCATENATE(CS32,IF(ABS(CS!AO32)&lt;10,"0",""),ABS(CS!AO32)))</f>
        <v>01020406050301</v>
      </c>
      <c r="CU32" s="63" t="str">
        <f ca="1">IF(ISNUMBER(CS!AP32)=FALSE,CONCATENATE(CT32,""),CONCATENATE(CT32,IF(ABS(CS!AP32)&lt;10,"0",""),ABS(CS!AP32)))</f>
        <v>01020406050301</v>
      </c>
    </row>
    <row r="33" spans="2:99">
      <c r="B33" s="4" t="str">
        <f ca="1">CS!AR33</f>
        <v>Tm23</v>
      </c>
      <c r="C33" s="5">
        <f t="shared" ca="1" si="7"/>
        <v>6</v>
      </c>
      <c r="D33" s="5">
        <f t="shared" ca="1" si="8"/>
        <v>3</v>
      </c>
      <c r="E33" s="5">
        <f t="shared" ca="1" si="8"/>
        <v>2</v>
      </c>
      <c r="F33" s="5">
        <f t="shared" ca="1" si="8"/>
        <v>1</v>
      </c>
      <c r="G33" s="5">
        <f t="shared" ca="1" si="8"/>
        <v>5</v>
      </c>
      <c r="H33" s="5">
        <f t="shared" ca="1" si="8"/>
        <v>4</v>
      </c>
      <c r="I33" s="5">
        <f t="shared" ca="1" si="8"/>
        <v>6</v>
      </c>
      <c r="J33" s="5">
        <f t="shared" ca="1" si="11"/>
        <v>0</v>
      </c>
      <c r="K33" s="5">
        <f t="shared" ca="1" si="11"/>
        <v>0</v>
      </c>
      <c r="L33" s="5">
        <f t="shared" ca="1" si="11"/>
        <v>0</v>
      </c>
      <c r="M33" s="5">
        <f t="shared" ca="1" si="11"/>
        <v>0</v>
      </c>
      <c r="N33" s="5">
        <f t="shared" ca="1" si="11"/>
        <v>0</v>
      </c>
      <c r="O33" s="5">
        <f t="shared" ca="1" si="11"/>
        <v>0</v>
      </c>
      <c r="P33" s="5">
        <f t="shared" ca="1" si="11"/>
        <v>0</v>
      </c>
      <c r="Q33" s="5">
        <f t="shared" ca="1" si="11"/>
        <v>0</v>
      </c>
      <c r="R33" s="5">
        <f t="shared" ca="1" si="11"/>
        <v>0</v>
      </c>
      <c r="S33" s="5">
        <f t="shared" ca="1" si="11"/>
        <v>0</v>
      </c>
      <c r="T33" s="5">
        <f t="shared" ca="1" si="11"/>
        <v>0</v>
      </c>
      <c r="U33" s="5">
        <f t="shared" ca="1" si="11"/>
        <v>0</v>
      </c>
      <c r="V33" s="5">
        <f t="shared" ca="1" si="11"/>
        <v>0</v>
      </c>
      <c r="W33" s="5">
        <f t="shared" ca="1" si="11"/>
        <v>0</v>
      </c>
      <c r="X33" s="5">
        <f t="shared" ca="1" si="11"/>
        <v>0</v>
      </c>
      <c r="Y33" s="5">
        <f t="shared" ca="1" si="12"/>
        <v>0</v>
      </c>
      <c r="Z33" s="5">
        <f t="shared" ca="1" si="12"/>
        <v>0</v>
      </c>
      <c r="AA33" s="5">
        <f t="shared" ca="1" si="12"/>
        <v>0</v>
      </c>
      <c r="AB33" s="5">
        <f t="shared" ca="1" si="12"/>
        <v>0</v>
      </c>
      <c r="AC33" s="5">
        <f t="shared" ca="1" si="12"/>
        <v>0</v>
      </c>
      <c r="AD33" s="5">
        <f t="shared" ca="1" si="12"/>
        <v>0</v>
      </c>
      <c r="AE33" s="5">
        <f t="shared" ca="1" si="12"/>
        <v>0</v>
      </c>
      <c r="AF33" s="5">
        <f t="shared" ca="1" si="12"/>
        <v>0</v>
      </c>
      <c r="AG33" s="5">
        <f t="shared" ca="1" si="12"/>
        <v>0</v>
      </c>
      <c r="AH33" s="5">
        <f t="shared" ca="1" si="12"/>
        <v>0</v>
      </c>
      <c r="AI33" s="5">
        <f t="shared" ca="1" si="13"/>
        <v>0</v>
      </c>
      <c r="AJ33" s="5">
        <f t="shared" ca="1" si="13"/>
        <v>0</v>
      </c>
      <c r="AK33" s="5">
        <f t="shared" ca="1" si="13"/>
        <v>0</v>
      </c>
      <c r="AL33" s="5">
        <f t="shared" ca="1" si="13"/>
        <v>0</v>
      </c>
      <c r="AM33" s="5">
        <f t="shared" ca="1" si="13"/>
        <v>0</v>
      </c>
      <c r="AN33" s="5">
        <f t="shared" ca="1" si="13"/>
        <v>0</v>
      </c>
      <c r="AO33" s="5">
        <f t="shared" ca="1" si="13"/>
        <v>0</v>
      </c>
      <c r="AP33" s="5">
        <f t="shared" ca="1" si="13"/>
        <v>0</v>
      </c>
      <c r="AR33" s="4" t="str">
        <f t="shared" ca="1" si="5"/>
        <v>Tm23</v>
      </c>
      <c r="AS33" s="339">
        <f t="shared" ca="1" si="14"/>
        <v>1</v>
      </c>
      <c r="AT33" s="339">
        <f t="shared" ca="1" si="14"/>
        <v>1</v>
      </c>
      <c r="AU33" s="339">
        <f t="shared" ca="1" si="14"/>
        <v>1</v>
      </c>
      <c r="AV33" s="339">
        <f t="shared" ca="1" si="14"/>
        <v>1</v>
      </c>
      <c r="AW33" s="339">
        <f t="shared" ca="1" si="14"/>
        <v>1</v>
      </c>
      <c r="AX33" s="339">
        <f t="shared" ca="1" si="14"/>
        <v>2</v>
      </c>
      <c r="AY33" s="339">
        <f t="shared" ca="1" si="14"/>
        <v>0</v>
      </c>
      <c r="AZ33" s="339">
        <f t="shared" ca="1" si="14"/>
        <v>0</v>
      </c>
      <c r="BA33" s="339">
        <f t="shared" ca="1" si="14"/>
        <v>0</v>
      </c>
      <c r="BB33" s="339">
        <f t="shared" ca="1" si="14"/>
        <v>0</v>
      </c>
      <c r="BD33" s="63">
        <f>IF(DrawFinder!Y33=0,"",DrawFinder!Y33)</f>
        <v>3</v>
      </c>
      <c r="BF33" s="151" t="str">
        <f t="shared" ca="1" si="9"/>
        <v>06030201050406</v>
      </c>
      <c r="BH33" s="63" t="str">
        <f ca="1">IF(ISNUMBER(CS!C33)=FALSE,CONCATENATE(BG33,""),CONCATENATE(BG33,IF(ABS(CS!C33)&lt;10,"0",""),ABS(CS!C33)))</f>
        <v>06</v>
      </c>
      <c r="BI33" s="63" t="str">
        <f ca="1">IF(ISNUMBER(CS!D33)=FALSE,CONCATENATE(BH33,""),CONCATENATE(BH33,IF(ABS(CS!D33)&lt;10,"0",""),ABS(CS!D33)))</f>
        <v>06</v>
      </c>
      <c r="BJ33" s="63" t="str">
        <f ca="1">IF(ISNUMBER(CS!E33)=FALSE,CONCATENATE(BI33,""),CONCATENATE(BI33,IF(ABS(CS!E33)&lt;10,"0",""),ABS(CS!E33)))</f>
        <v>06</v>
      </c>
      <c r="BK33" s="63" t="str">
        <f ca="1">IF(ISNUMBER(CS!F33)=FALSE,CONCATENATE(BJ33,""),CONCATENATE(BJ33,IF(ABS(CS!F33)&lt;10,"0",""),ABS(CS!F33)))</f>
        <v>0603</v>
      </c>
      <c r="BL33" s="63" t="str">
        <f ca="1">IF(ISNUMBER(CS!G33)=FALSE,CONCATENATE(BK33,""),CONCATENATE(BK33,IF(ABS(CS!G33)&lt;10,"0",""),ABS(CS!G33)))</f>
        <v>0603</v>
      </c>
      <c r="BM33" s="63" t="str">
        <f ca="1">IF(ISNUMBER(CS!H33)=FALSE,CONCATENATE(BL33,""),CONCATENATE(BL33,IF(ABS(CS!H33)&lt;10,"0",""),ABS(CS!H33)))</f>
        <v>060302</v>
      </c>
      <c r="BN33" s="63" t="str">
        <f ca="1">IF(ISNUMBER(CS!I33)=FALSE,CONCATENATE(BM33,""),CONCATENATE(BM33,IF(ABS(CS!I33)&lt;10,"0",""),ABS(CS!I33)))</f>
        <v>06030201</v>
      </c>
      <c r="BO33" s="63" t="str">
        <f ca="1">IF(ISNUMBER(CS!J33)=FALSE,CONCATENATE(BN33,""),CONCATENATE(BN33,IF(ABS(CS!J33)&lt;10,"0",""),ABS(CS!J33)))</f>
        <v>06030201</v>
      </c>
      <c r="BP33" s="63" t="str">
        <f ca="1">IF(ISNUMBER(CS!K33)=FALSE,CONCATENATE(BO33,""),CONCATENATE(BO33,IF(ABS(CS!K33)&lt;10,"0",""),ABS(CS!K33)))</f>
        <v>06030201</v>
      </c>
      <c r="BQ33" s="63" t="str">
        <f ca="1">IF(ISNUMBER(CS!L33)=FALSE,CONCATENATE(BP33,""),CONCATENATE(BP33,IF(ABS(CS!L33)&lt;10,"0",""),ABS(CS!L33)))</f>
        <v>0603020105</v>
      </c>
      <c r="BR33" s="63" t="str">
        <f ca="1">IF(ISNUMBER(CS!M33)=FALSE,CONCATENATE(BQ33,""),CONCATENATE(BQ33,IF(ABS(CS!M33)&lt;10,"0",""),ABS(CS!M33)))</f>
        <v>060302010504</v>
      </c>
      <c r="BS33" s="63" t="str">
        <f ca="1">IF(ISNUMBER(CS!N33)=FALSE,CONCATENATE(BR33,""),CONCATENATE(BR33,IF(ABS(CS!N33)&lt;10,"0",""),ABS(CS!N33)))</f>
        <v>060302010504</v>
      </c>
      <c r="BT33" s="63" t="str">
        <f ca="1">IF(ISNUMBER(CS!O33)=FALSE,CONCATENATE(BS33,""),CONCATENATE(BS33,IF(ABS(CS!O33)&lt;10,"0",""),ABS(CS!O33)))</f>
        <v>060302010504</v>
      </c>
      <c r="BU33" s="63" t="str">
        <f ca="1">IF(ISNUMBER(CS!P33)=FALSE,CONCATENATE(BT33,""),CONCATENATE(BT33,IF(ABS(CS!P33)&lt;10,"0",""),ABS(CS!P33)))</f>
        <v>06030201050406</v>
      </c>
      <c r="BV33" s="63" t="str">
        <f ca="1">IF(ISNUMBER(CS!Q33)=FALSE,CONCATENATE(BU33,""),CONCATENATE(BU33,IF(ABS(CS!Q33)&lt;10,"0",""),ABS(CS!Q33)))</f>
        <v>06030201050406</v>
      </c>
      <c r="BW33" s="63" t="str">
        <f ca="1">IF(ISNUMBER(CS!R33)=FALSE,CONCATENATE(BV33,""),CONCATENATE(BV33,IF(ABS(CS!R33)&lt;10,"0",""),ABS(CS!R33)))</f>
        <v>06030201050406</v>
      </c>
      <c r="BX33" s="63" t="str">
        <f ca="1">IF(ISNUMBER(CS!S33)=FALSE,CONCATENATE(BW33,""),CONCATENATE(BW33,IF(ABS(CS!S33)&lt;10,"0",""),ABS(CS!S33)))</f>
        <v>06030201050406</v>
      </c>
      <c r="BY33" s="63" t="str">
        <f ca="1">IF(ISNUMBER(CS!T33)=FALSE,CONCATENATE(BX33,""),CONCATENATE(BX33,IF(ABS(CS!T33)&lt;10,"0",""),ABS(CS!T33)))</f>
        <v>06030201050406</v>
      </c>
      <c r="BZ33" s="63" t="str">
        <f ca="1">IF(ISNUMBER(CS!U33)=FALSE,CONCATENATE(BY33,""),CONCATENATE(BY33,IF(ABS(CS!U33)&lt;10,"0",""),ABS(CS!U33)))</f>
        <v>06030201050406</v>
      </c>
      <c r="CA33" s="63" t="str">
        <f ca="1">IF(ISNUMBER(CS!V33)=FALSE,CONCATENATE(BZ33,""),CONCATENATE(BZ33,IF(ABS(CS!V33)&lt;10,"0",""),ABS(CS!V33)))</f>
        <v>06030201050406</v>
      </c>
      <c r="CB33" s="63" t="str">
        <f ca="1">IF(ISNUMBER(CS!W33)=FALSE,CONCATENATE(CA33,""),CONCATENATE(CA33,IF(ABS(CS!W33)&lt;10,"0",""),ABS(CS!W33)))</f>
        <v>06030201050406</v>
      </c>
      <c r="CC33" s="63" t="str">
        <f ca="1">IF(ISNUMBER(CS!X33)=FALSE,CONCATENATE(CB33,""),CONCATENATE(CB33,IF(ABS(CS!X33)&lt;10,"0",""),ABS(CS!X33)))</f>
        <v>06030201050406</v>
      </c>
      <c r="CD33" s="63" t="str">
        <f ca="1">IF(ISNUMBER(CS!Y33)=FALSE,CONCATENATE(CC33,""),CONCATENATE(CC33,IF(ABS(CS!Y33)&lt;10,"0",""),ABS(CS!Y33)))</f>
        <v>06030201050406</v>
      </c>
      <c r="CE33" s="63" t="str">
        <f ca="1">IF(ISNUMBER(CS!Z33)=FALSE,CONCATENATE(CD33,""),CONCATENATE(CD33,IF(ABS(CS!Z33)&lt;10,"0",""),ABS(CS!Z33)))</f>
        <v>06030201050406</v>
      </c>
      <c r="CF33" s="63" t="str">
        <f ca="1">IF(ISNUMBER(CS!AA33)=FALSE,CONCATENATE(CE33,""),CONCATENATE(CE33,IF(ABS(CS!AA33)&lt;10,"0",""),ABS(CS!AA33)))</f>
        <v>06030201050406</v>
      </c>
      <c r="CG33" s="63" t="str">
        <f ca="1">IF(ISNUMBER(CS!AB33)=FALSE,CONCATENATE(CF33,""),CONCATENATE(CF33,IF(ABS(CS!AB33)&lt;10,"0",""),ABS(CS!AB33)))</f>
        <v>06030201050406</v>
      </c>
      <c r="CH33" s="63" t="str">
        <f ca="1">IF(ISNUMBER(CS!AC33)=FALSE,CONCATENATE(CG33,""),CONCATENATE(CG33,IF(ABS(CS!AC33)&lt;10,"0",""),ABS(CS!AC33)))</f>
        <v>06030201050406</v>
      </c>
      <c r="CI33" s="63" t="str">
        <f ca="1">IF(ISNUMBER(CS!AD33)=FALSE,CONCATENATE(CH33,""),CONCATENATE(CH33,IF(ABS(CS!AD33)&lt;10,"0",""),ABS(CS!AD33)))</f>
        <v>06030201050406</v>
      </c>
      <c r="CJ33" s="63" t="str">
        <f ca="1">IF(ISNUMBER(CS!AE33)=FALSE,CONCATENATE(CI33,""),CONCATENATE(CI33,IF(ABS(CS!AE33)&lt;10,"0",""),ABS(CS!AE33)))</f>
        <v>06030201050406</v>
      </c>
      <c r="CK33" s="63" t="str">
        <f ca="1">IF(ISNUMBER(CS!AF33)=FALSE,CONCATENATE(CJ33,""),CONCATENATE(CJ33,IF(ABS(CS!AF33)&lt;10,"0",""),ABS(CS!AF33)))</f>
        <v>06030201050406</v>
      </c>
      <c r="CL33" s="63" t="str">
        <f ca="1">IF(ISNUMBER(CS!AG33)=FALSE,CONCATENATE(CK33,""),CONCATENATE(CK33,IF(ABS(CS!AG33)&lt;10,"0",""),ABS(CS!AG33)))</f>
        <v>06030201050406</v>
      </c>
      <c r="CM33" s="63" t="str">
        <f ca="1">IF(ISNUMBER(CS!AH33)=FALSE,CONCATENATE(CL33,""),CONCATENATE(CL33,IF(ABS(CS!AH33)&lt;10,"0",""),ABS(CS!AH33)))</f>
        <v>06030201050406</v>
      </c>
      <c r="CN33" s="63" t="str">
        <f ca="1">IF(ISNUMBER(CS!AI33)=FALSE,CONCATENATE(CM33,""),CONCATENATE(CM33,IF(ABS(CS!AI33)&lt;10,"0",""),ABS(CS!AI33)))</f>
        <v>06030201050406</v>
      </c>
      <c r="CO33" s="63" t="str">
        <f ca="1">IF(ISNUMBER(CS!AJ33)=FALSE,CONCATENATE(CN33,""),CONCATENATE(CN33,IF(ABS(CS!AJ33)&lt;10,"0",""),ABS(CS!AJ33)))</f>
        <v>06030201050406</v>
      </c>
      <c r="CP33" s="63" t="str">
        <f ca="1">IF(ISNUMBER(CS!AK33)=FALSE,CONCATENATE(CO33,""),CONCATENATE(CO33,IF(ABS(CS!AK33)&lt;10,"0",""),ABS(CS!AK33)))</f>
        <v>06030201050406</v>
      </c>
      <c r="CQ33" s="63" t="str">
        <f ca="1">IF(ISNUMBER(CS!AL33)=FALSE,CONCATENATE(CP33,""),CONCATENATE(CP33,IF(ABS(CS!AL33)&lt;10,"0",""),ABS(CS!AL33)))</f>
        <v>06030201050406</v>
      </c>
      <c r="CR33" s="63" t="str">
        <f ca="1">IF(ISNUMBER(CS!AM33)=FALSE,CONCATENATE(CQ33,""),CONCATENATE(CQ33,IF(ABS(CS!AM33)&lt;10,"0",""),ABS(CS!AM33)))</f>
        <v>06030201050406</v>
      </c>
      <c r="CS33" s="63" t="str">
        <f ca="1">IF(ISNUMBER(CS!AN33)=FALSE,CONCATENATE(CR33,""),CONCATENATE(CR33,IF(ABS(CS!AN33)&lt;10,"0",""),ABS(CS!AN33)))</f>
        <v>06030201050406</v>
      </c>
      <c r="CT33" s="63" t="str">
        <f ca="1">IF(ISNUMBER(CS!AO33)=FALSE,CONCATENATE(CS33,""),CONCATENATE(CS33,IF(ABS(CS!AO33)&lt;10,"0",""),ABS(CS!AO33)))</f>
        <v>06030201050406</v>
      </c>
      <c r="CU33" s="63" t="str">
        <f ca="1">IF(ISNUMBER(CS!AP33)=FALSE,CONCATENATE(CT33,""),CONCATENATE(CT33,IF(ABS(CS!AP33)&lt;10,"0",""),ABS(CS!AP33)))</f>
        <v>06030201050406</v>
      </c>
    </row>
    <row r="34" spans="2:99">
      <c r="B34" s="4" t="str">
        <f ca="1">CS!AR34</f>
        <v>Tm24</v>
      </c>
      <c r="C34" s="5">
        <f t="shared" ref="C34:C49" ca="1" si="15">IF(ISERROR(VALUE(MID($BF34,(C$9*2)-1,2))),0,VALUE(MID($BF34,(C$9*2)-1,2)))</f>
        <v>6</v>
      </c>
      <c r="D34" s="5">
        <f t="shared" ca="1" si="8"/>
        <v>5</v>
      </c>
      <c r="E34" s="5">
        <f t="shared" ca="1" si="8"/>
        <v>4</v>
      </c>
      <c r="F34" s="5">
        <f t="shared" ca="1" si="8"/>
        <v>1</v>
      </c>
      <c r="G34" s="5">
        <f t="shared" ca="1" si="8"/>
        <v>2</v>
      </c>
      <c r="H34" s="5">
        <f t="shared" ca="1" si="8"/>
        <v>3</v>
      </c>
      <c r="I34" s="5">
        <f t="shared" ca="1" si="8"/>
        <v>6</v>
      </c>
      <c r="J34" s="5">
        <f t="shared" ca="1" si="11"/>
        <v>0</v>
      </c>
      <c r="K34" s="5">
        <f t="shared" ca="1" si="11"/>
        <v>0</v>
      </c>
      <c r="L34" s="5">
        <f t="shared" ca="1" si="11"/>
        <v>0</v>
      </c>
      <c r="M34" s="5">
        <f t="shared" ca="1" si="11"/>
        <v>0</v>
      </c>
      <c r="N34" s="5">
        <f t="shared" ca="1" si="11"/>
        <v>0</v>
      </c>
      <c r="O34" s="5">
        <f t="shared" ca="1" si="11"/>
        <v>0</v>
      </c>
      <c r="P34" s="5">
        <f t="shared" ca="1" si="11"/>
        <v>0</v>
      </c>
      <c r="Q34" s="5">
        <f t="shared" ca="1" si="11"/>
        <v>0</v>
      </c>
      <c r="R34" s="5">
        <f t="shared" ca="1" si="11"/>
        <v>0</v>
      </c>
      <c r="S34" s="5">
        <f t="shared" ca="1" si="11"/>
        <v>0</v>
      </c>
      <c r="T34" s="5">
        <f t="shared" ca="1" si="11"/>
        <v>0</v>
      </c>
      <c r="U34" s="5">
        <f t="shared" ca="1" si="11"/>
        <v>0</v>
      </c>
      <c r="V34" s="5">
        <f t="shared" ca="1" si="11"/>
        <v>0</v>
      </c>
      <c r="W34" s="5">
        <f t="shared" ca="1" si="11"/>
        <v>0</v>
      </c>
      <c r="X34" s="5">
        <f t="shared" ca="1" si="11"/>
        <v>0</v>
      </c>
      <c r="Y34" s="5">
        <f t="shared" ca="1" si="12"/>
        <v>0</v>
      </c>
      <c r="Z34" s="5">
        <f t="shared" ca="1" si="12"/>
        <v>0</v>
      </c>
      <c r="AA34" s="5">
        <f t="shared" ca="1" si="12"/>
        <v>0</v>
      </c>
      <c r="AB34" s="5">
        <f t="shared" ca="1" si="12"/>
        <v>0</v>
      </c>
      <c r="AC34" s="5">
        <f t="shared" ca="1" si="12"/>
        <v>0</v>
      </c>
      <c r="AD34" s="5">
        <f t="shared" ca="1" si="12"/>
        <v>0</v>
      </c>
      <c r="AE34" s="5">
        <f t="shared" ca="1" si="12"/>
        <v>0</v>
      </c>
      <c r="AF34" s="5">
        <f t="shared" ca="1" si="12"/>
        <v>0</v>
      </c>
      <c r="AG34" s="5">
        <f t="shared" ca="1" si="12"/>
        <v>0</v>
      </c>
      <c r="AH34" s="5">
        <f t="shared" ca="1" si="12"/>
        <v>0</v>
      </c>
      <c r="AI34" s="5">
        <f t="shared" ca="1" si="13"/>
        <v>0</v>
      </c>
      <c r="AJ34" s="5">
        <f t="shared" ca="1" si="13"/>
        <v>0</v>
      </c>
      <c r="AK34" s="5">
        <f t="shared" ca="1" si="13"/>
        <v>0</v>
      </c>
      <c r="AL34" s="5">
        <f t="shared" ca="1" si="13"/>
        <v>0</v>
      </c>
      <c r="AM34" s="5">
        <f t="shared" ca="1" si="13"/>
        <v>0</v>
      </c>
      <c r="AN34" s="5">
        <f t="shared" ca="1" si="13"/>
        <v>0</v>
      </c>
      <c r="AO34" s="5">
        <f t="shared" ca="1" si="13"/>
        <v>0</v>
      </c>
      <c r="AP34" s="5">
        <f t="shared" ca="1" si="13"/>
        <v>0</v>
      </c>
      <c r="AR34" s="4" t="str">
        <f t="shared" ca="1" si="5"/>
        <v>Tm24</v>
      </c>
      <c r="AS34" s="339">
        <f t="shared" ca="1" si="14"/>
        <v>1</v>
      </c>
      <c r="AT34" s="339">
        <f t="shared" ca="1" si="14"/>
        <v>1</v>
      </c>
      <c r="AU34" s="339">
        <f t="shared" ca="1" si="14"/>
        <v>1</v>
      </c>
      <c r="AV34" s="339">
        <f t="shared" ca="1" si="14"/>
        <v>1</v>
      </c>
      <c r="AW34" s="339">
        <f t="shared" ca="1" si="14"/>
        <v>1</v>
      </c>
      <c r="AX34" s="339">
        <f t="shared" ca="1" si="14"/>
        <v>2</v>
      </c>
      <c r="AY34" s="339">
        <f t="shared" ca="1" si="14"/>
        <v>0</v>
      </c>
      <c r="AZ34" s="339">
        <f t="shared" ca="1" si="14"/>
        <v>0</v>
      </c>
      <c r="BA34" s="339">
        <f t="shared" ca="1" si="14"/>
        <v>0</v>
      </c>
      <c r="BB34" s="339">
        <f t="shared" ca="1" si="14"/>
        <v>0</v>
      </c>
      <c r="BD34" s="63">
        <f>IF(DrawFinder!Y34=0,"",DrawFinder!Y34)</f>
        <v>3</v>
      </c>
      <c r="BF34" s="151" t="str">
        <f t="shared" ca="1" si="9"/>
        <v>06050401020306</v>
      </c>
      <c r="BH34" s="63" t="str">
        <f ca="1">IF(ISNUMBER(CS!C34)=FALSE,CONCATENATE(BG34,""),CONCATENATE(BG34,IF(ABS(CS!C34)&lt;10,"0",""),ABS(CS!C34)))</f>
        <v/>
      </c>
      <c r="BI34" s="63" t="str">
        <f ca="1">IF(ISNUMBER(CS!D34)=FALSE,CONCATENATE(BH34,""),CONCATENATE(BH34,IF(ABS(CS!D34)&lt;10,"0",""),ABS(CS!D34)))</f>
        <v>06</v>
      </c>
      <c r="BJ34" s="63" t="str">
        <f ca="1">IF(ISNUMBER(CS!E34)=FALSE,CONCATENATE(BI34,""),CONCATENATE(BI34,IF(ABS(CS!E34)&lt;10,"0",""),ABS(CS!E34)))</f>
        <v>0605</v>
      </c>
      <c r="BK34" s="63" t="str">
        <f ca="1">IF(ISNUMBER(CS!F34)=FALSE,CONCATENATE(BJ34,""),CONCATENATE(BJ34,IF(ABS(CS!F34)&lt;10,"0",""),ABS(CS!F34)))</f>
        <v>0605</v>
      </c>
      <c r="BL34" s="63" t="str">
        <f ca="1">IF(ISNUMBER(CS!G34)=FALSE,CONCATENATE(BK34,""),CONCATENATE(BK34,IF(ABS(CS!G34)&lt;10,"0",""),ABS(CS!G34)))</f>
        <v>060504</v>
      </c>
      <c r="BM34" s="63" t="str">
        <f ca="1">IF(ISNUMBER(CS!H34)=FALSE,CONCATENATE(BL34,""),CONCATENATE(BL34,IF(ABS(CS!H34)&lt;10,"0",""),ABS(CS!H34)))</f>
        <v>060504</v>
      </c>
      <c r="BN34" s="63" t="str">
        <f ca="1">IF(ISNUMBER(CS!I34)=FALSE,CONCATENATE(BM34,""),CONCATENATE(BM34,IF(ABS(CS!I34)&lt;10,"0",""),ABS(CS!I34)))</f>
        <v>060504</v>
      </c>
      <c r="BO34" s="63" t="str">
        <f ca="1">IF(ISNUMBER(CS!J34)=FALSE,CONCATENATE(BN34,""),CONCATENATE(BN34,IF(ABS(CS!J34)&lt;10,"0",""),ABS(CS!J34)))</f>
        <v>06050401</v>
      </c>
      <c r="BP34" s="63" t="str">
        <f ca="1">IF(ISNUMBER(CS!K34)=FALSE,CONCATENATE(BO34,""),CONCATENATE(BO34,IF(ABS(CS!K34)&lt;10,"0",""),ABS(CS!K34)))</f>
        <v>06050401</v>
      </c>
      <c r="BQ34" s="63" t="str">
        <f ca="1">IF(ISNUMBER(CS!L34)=FALSE,CONCATENATE(BP34,""),CONCATENATE(BP34,IF(ABS(CS!L34)&lt;10,"0",""),ABS(CS!L34)))</f>
        <v>0605040102</v>
      </c>
      <c r="BR34" s="63" t="str">
        <f ca="1">IF(ISNUMBER(CS!M34)=FALSE,CONCATENATE(BQ34,""),CONCATENATE(BQ34,IF(ABS(CS!M34)&lt;10,"0",""),ABS(CS!M34)))</f>
        <v>060504010203</v>
      </c>
      <c r="BS34" s="63" t="str">
        <f ca="1">IF(ISNUMBER(CS!N34)=FALSE,CONCATENATE(BR34,""),CONCATENATE(BR34,IF(ABS(CS!N34)&lt;10,"0",""),ABS(CS!N34)))</f>
        <v>060504010203</v>
      </c>
      <c r="BT34" s="63" t="str">
        <f ca="1">IF(ISNUMBER(CS!O34)=FALSE,CONCATENATE(BS34,""),CONCATENATE(BS34,IF(ABS(CS!O34)&lt;10,"0",""),ABS(CS!O34)))</f>
        <v>060504010203</v>
      </c>
      <c r="BU34" s="63" t="str">
        <f ca="1">IF(ISNUMBER(CS!P34)=FALSE,CONCATENATE(BT34,""),CONCATENATE(BT34,IF(ABS(CS!P34)&lt;10,"0",""),ABS(CS!P34)))</f>
        <v>06050401020306</v>
      </c>
      <c r="BV34" s="63" t="str">
        <f ca="1">IF(ISNUMBER(CS!Q34)=FALSE,CONCATENATE(BU34,""),CONCATENATE(BU34,IF(ABS(CS!Q34)&lt;10,"0",""),ABS(CS!Q34)))</f>
        <v>06050401020306</v>
      </c>
      <c r="BW34" s="63" t="str">
        <f ca="1">IF(ISNUMBER(CS!R34)=FALSE,CONCATENATE(BV34,""),CONCATENATE(BV34,IF(ABS(CS!R34)&lt;10,"0",""),ABS(CS!R34)))</f>
        <v>06050401020306</v>
      </c>
      <c r="BX34" s="63" t="str">
        <f ca="1">IF(ISNUMBER(CS!S34)=FALSE,CONCATENATE(BW34,""),CONCATENATE(BW34,IF(ABS(CS!S34)&lt;10,"0",""),ABS(CS!S34)))</f>
        <v>06050401020306</v>
      </c>
      <c r="BY34" s="63" t="str">
        <f ca="1">IF(ISNUMBER(CS!T34)=FALSE,CONCATENATE(BX34,""),CONCATENATE(BX34,IF(ABS(CS!T34)&lt;10,"0",""),ABS(CS!T34)))</f>
        <v>06050401020306</v>
      </c>
      <c r="BZ34" s="63" t="str">
        <f ca="1">IF(ISNUMBER(CS!U34)=FALSE,CONCATENATE(BY34,""),CONCATENATE(BY34,IF(ABS(CS!U34)&lt;10,"0",""),ABS(CS!U34)))</f>
        <v>06050401020306</v>
      </c>
      <c r="CA34" s="63" t="str">
        <f ca="1">IF(ISNUMBER(CS!V34)=FALSE,CONCATENATE(BZ34,""),CONCATENATE(BZ34,IF(ABS(CS!V34)&lt;10,"0",""),ABS(CS!V34)))</f>
        <v>06050401020306</v>
      </c>
      <c r="CB34" s="63" t="str">
        <f ca="1">IF(ISNUMBER(CS!W34)=FALSE,CONCATENATE(CA34,""),CONCATENATE(CA34,IF(ABS(CS!W34)&lt;10,"0",""),ABS(CS!W34)))</f>
        <v>06050401020306</v>
      </c>
      <c r="CC34" s="63" t="str">
        <f ca="1">IF(ISNUMBER(CS!X34)=FALSE,CONCATENATE(CB34,""),CONCATENATE(CB34,IF(ABS(CS!X34)&lt;10,"0",""),ABS(CS!X34)))</f>
        <v>06050401020306</v>
      </c>
      <c r="CD34" s="63" t="str">
        <f ca="1">IF(ISNUMBER(CS!Y34)=FALSE,CONCATENATE(CC34,""),CONCATENATE(CC34,IF(ABS(CS!Y34)&lt;10,"0",""),ABS(CS!Y34)))</f>
        <v>06050401020306</v>
      </c>
      <c r="CE34" s="63" t="str">
        <f ca="1">IF(ISNUMBER(CS!Z34)=FALSE,CONCATENATE(CD34,""),CONCATENATE(CD34,IF(ABS(CS!Z34)&lt;10,"0",""),ABS(CS!Z34)))</f>
        <v>06050401020306</v>
      </c>
      <c r="CF34" s="63" t="str">
        <f ca="1">IF(ISNUMBER(CS!AA34)=FALSE,CONCATENATE(CE34,""),CONCATENATE(CE34,IF(ABS(CS!AA34)&lt;10,"0",""),ABS(CS!AA34)))</f>
        <v>06050401020306</v>
      </c>
      <c r="CG34" s="63" t="str">
        <f ca="1">IF(ISNUMBER(CS!AB34)=FALSE,CONCATENATE(CF34,""),CONCATENATE(CF34,IF(ABS(CS!AB34)&lt;10,"0",""),ABS(CS!AB34)))</f>
        <v>06050401020306</v>
      </c>
      <c r="CH34" s="63" t="str">
        <f ca="1">IF(ISNUMBER(CS!AC34)=FALSE,CONCATENATE(CG34,""),CONCATENATE(CG34,IF(ABS(CS!AC34)&lt;10,"0",""),ABS(CS!AC34)))</f>
        <v>06050401020306</v>
      </c>
      <c r="CI34" s="63" t="str">
        <f ca="1">IF(ISNUMBER(CS!AD34)=FALSE,CONCATENATE(CH34,""),CONCATENATE(CH34,IF(ABS(CS!AD34)&lt;10,"0",""),ABS(CS!AD34)))</f>
        <v>06050401020306</v>
      </c>
      <c r="CJ34" s="63" t="str">
        <f ca="1">IF(ISNUMBER(CS!AE34)=FALSE,CONCATENATE(CI34,""),CONCATENATE(CI34,IF(ABS(CS!AE34)&lt;10,"0",""),ABS(CS!AE34)))</f>
        <v>06050401020306</v>
      </c>
      <c r="CK34" s="63" t="str">
        <f ca="1">IF(ISNUMBER(CS!AF34)=FALSE,CONCATENATE(CJ34,""),CONCATENATE(CJ34,IF(ABS(CS!AF34)&lt;10,"0",""),ABS(CS!AF34)))</f>
        <v>06050401020306</v>
      </c>
      <c r="CL34" s="63" t="str">
        <f ca="1">IF(ISNUMBER(CS!AG34)=FALSE,CONCATENATE(CK34,""),CONCATENATE(CK34,IF(ABS(CS!AG34)&lt;10,"0",""),ABS(CS!AG34)))</f>
        <v>06050401020306</v>
      </c>
      <c r="CM34" s="63" t="str">
        <f ca="1">IF(ISNUMBER(CS!AH34)=FALSE,CONCATENATE(CL34,""),CONCATENATE(CL34,IF(ABS(CS!AH34)&lt;10,"0",""),ABS(CS!AH34)))</f>
        <v>06050401020306</v>
      </c>
      <c r="CN34" s="63" t="str">
        <f ca="1">IF(ISNUMBER(CS!AI34)=FALSE,CONCATENATE(CM34,""),CONCATENATE(CM34,IF(ABS(CS!AI34)&lt;10,"0",""),ABS(CS!AI34)))</f>
        <v>06050401020306</v>
      </c>
      <c r="CO34" s="63" t="str">
        <f ca="1">IF(ISNUMBER(CS!AJ34)=FALSE,CONCATENATE(CN34,""),CONCATENATE(CN34,IF(ABS(CS!AJ34)&lt;10,"0",""),ABS(CS!AJ34)))</f>
        <v>06050401020306</v>
      </c>
      <c r="CP34" s="63" t="str">
        <f ca="1">IF(ISNUMBER(CS!AK34)=FALSE,CONCATENATE(CO34,""),CONCATENATE(CO34,IF(ABS(CS!AK34)&lt;10,"0",""),ABS(CS!AK34)))</f>
        <v>06050401020306</v>
      </c>
      <c r="CQ34" s="63" t="str">
        <f ca="1">IF(ISNUMBER(CS!AL34)=FALSE,CONCATENATE(CP34,""),CONCATENATE(CP34,IF(ABS(CS!AL34)&lt;10,"0",""),ABS(CS!AL34)))</f>
        <v>06050401020306</v>
      </c>
      <c r="CR34" s="63" t="str">
        <f ca="1">IF(ISNUMBER(CS!AM34)=FALSE,CONCATENATE(CQ34,""),CONCATENATE(CQ34,IF(ABS(CS!AM34)&lt;10,"0",""),ABS(CS!AM34)))</f>
        <v>06050401020306</v>
      </c>
      <c r="CS34" s="63" t="str">
        <f ca="1">IF(ISNUMBER(CS!AN34)=FALSE,CONCATENATE(CR34,""),CONCATENATE(CR34,IF(ABS(CS!AN34)&lt;10,"0",""),ABS(CS!AN34)))</f>
        <v>06050401020306</v>
      </c>
      <c r="CT34" s="63" t="str">
        <f ca="1">IF(ISNUMBER(CS!AO34)=FALSE,CONCATENATE(CS34,""),CONCATENATE(CS34,IF(ABS(CS!AO34)&lt;10,"0",""),ABS(CS!AO34)))</f>
        <v>06050401020306</v>
      </c>
      <c r="CU34" s="63" t="str">
        <f ca="1">IF(ISNUMBER(CS!AP34)=FALSE,CONCATENATE(CT34,""),CONCATENATE(CT34,IF(ABS(CS!AP34)&lt;10,"0",""),ABS(CS!AP34)))</f>
        <v>06050401020306</v>
      </c>
    </row>
    <row r="35" spans="2:99">
      <c r="B35" s="4" t="str">
        <f ca="1">CS!AR35</f>
        <v/>
      </c>
      <c r="C35" s="5">
        <f t="shared" ca="1" si="15"/>
        <v>0</v>
      </c>
      <c r="D35" s="5">
        <f t="shared" ca="1" si="8"/>
        <v>0</v>
      </c>
      <c r="E35" s="5">
        <f t="shared" ca="1" si="8"/>
        <v>0</v>
      </c>
      <c r="F35" s="5">
        <f t="shared" ca="1" si="8"/>
        <v>0</v>
      </c>
      <c r="G35" s="5">
        <f t="shared" ca="1" si="8"/>
        <v>0</v>
      </c>
      <c r="H35" s="5">
        <f t="shared" ca="1" si="8"/>
        <v>0</v>
      </c>
      <c r="I35" s="5">
        <f t="shared" ca="1" si="8"/>
        <v>0</v>
      </c>
      <c r="J35" s="5">
        <f t="shared" ca="1" si="11"/>
        <v>0</v>
      </c>
      <c r="K35" s="5">
        <f t="shared" ca="1" si="11"/>
        <v>0</v>
      </c>
      <c r="L35" s="5">
        <f t="shared" ca="1" si="11"/>
        <v>0</v>
      </c>
      <c r="M35" s="5">
        <f t="shared" ca="1" si="11"/>
        <v>0</v>
      </c>
      <c r="N35" s="5">
        <f t="shared" ca="1" si="11"/>
        <v>0</v>
      </c>
      <c r="O35" s="5">
        <f t="shared" ca="1" si="11"/>
        <v>0</v>
      </c>
      <c r="P35" s="5">
        <f t="shared" ca="1" si="11"/>
        <v>0</v>
      </c>
      <c r="Q35" s="5">
        <f t="shared" ca="1" si="11"/>
        <v>0</v>
      </c>
      <c r="R35" s="5">
        <f t="shared" ca="1" si="11"/>
        <v>0</v>
      </c>
      <c r="S35" s="5">
        <f t="shared" ca="1" si="11"/>
        <v>0</v>
      </c>
      <c r="T35" s="5">
        <f t="shared" ca="1" si="11"/>
        <v>0</v>
      </c>
      <c r="U35" s="5">
        <f t="shared" ca="1" si="11"/>
        <v>0</v>
      </c>
      <c r="V35" s="5">
        <f t="shared" ca="1" si="11"/>
        <v>0</v>
      </c>
      <c r="W35" s="5">
        <f t="shared" ca="1" si="11"/>
        <v>0</v>
      </c>
      <c r="X35" s="5">
        <f t="shared" ca="1" si="11"/>
        <v>0</v>
      </c>
      <c r="Y35" s="5">
        <f t="shared" ca="1" si="12"/>
        <v>0</v>
      </c>
      <c r="Z35" s="5">
        <f t="shared" ca="1" si="12"/>
        <v>0</v>
      </c>
      <c r="AA35" s="5">
        <f t="shared" ca="1" si="12"/>
        <v>0</v>
      </c>
      <c r="AB35" s="5">
        <f t="shared" ca="1" si="12"/>
        <v>0</v>
      </c>
      <c r="AC35" s="5">
        <f t="shared" ca="1" si="12"/>
        <v>0</v>
      </c>
      <c r="AD35" s="5">
        <f t="shared" ca="1" si="12"/>
        <v>0</v>
      </c>
      <c r="AE35" s="5">
        <f t="shared" ca="1" si="12"/>
        <v>0</v>
      </c>
      <c r="AF35" s="5">
        <f t="shared" ca="1" si="12"/>
        <v>0</v>
      </c>
      <c r="AG35" s="5">
        <f t="shared" ca="1" si="12"/>
        <v>0</v>
      </c>
      <c r="AH35" s="5">
        <f t="shared" ca="1" si="12"/>
        <v>0</v>
      </c>
      <c r="AI35" s="5">
        <f t="shared" ca="1" si="13"/>
        <v>0</v>
      </c>
      <c r="AJ35" s="5">
        <f t="shared" ca="1" si="13"/>
        <v>0</v>
      </c>
      <c r="AK35" s="5">
        <f t="shared" ca="1" si="13"/>
        <v>0</v>
      </c>
      <c r="AL35" s="5">
        <f t="shared" ca="1" si="13"/>
        <v>0</v>
      </c>
      <c r="AM35" s="5">
        <f t="shared" ca="1" si="13"/>
        <v>0</v>
      </c>
      <c r="AN35" s="5">
        <f t="shared" ca="1" si="13"/>
        <v>0</v>
      </c>
      <c r="AO35" s="5">
        <f t="shared" ca="1" si="13"/>
        <v>0</v>
      </c>
      <c r="AP35" s="5">
        <f t="shared" ca="1" si="13"/>
        <v>0</v>
      </c>
      <c r="AR35" s="4" t="str">
        <f t="shared" ca="1" si="5"/>
        <v/>
      </c>
      <c r="AS35" s="339">
        <f t="shared" ca="1" si="14"/>
        <v>0</v>
      </c>
      <c r="AT35" s="339">
        <f t="shared" ca="1" si="14"/>
        <v>0</v>
      </c>
      <c r="AU35" s="339">
        <f t="shared" ca="1" si="14"/>
        <v>0</v>
      </c>
      <c r="AV35" s="339">
        <f t="shared" ca="1" si="14"/>
        <v>0</v>
      </c>
      <c r="AW35" s="339">
        <f t="shared" ca="1" si="14"/>
        <v>0</v>
      </c>
      <c r="AX35" s="339">
        <f t="shared" ca="1" si="14"/>
        <v>0</v>
      </c>
      <c r="AY35" s="339">
        <f t="shared" ca="1" si="14"/>
        <v>0</v>
      </c>
      <c r="AZ35" s="339">
        <f t="shared" ca="1" si="14"/>
        <v>0</v>
      </c>
      <c r="BA35" s="339">
        <f t="shared" ca="1" si="14"/>
        <v>0</v>
      </c>
      <c r="BB35" s="339">
        <f t="shared" ca="1" si="14"/>
        <v>0</v>
      </c>
      <c r="BD35" s="63" t="str">
        <f>IF(DrawFinder!Y35=0,"",DrawFinder!Y35)</f>
        <v/>
      </c>
      <c r="BF35" s="151" t="str">
        <f t="shared" ca="1" si="9"/>
        <v/>
      </c>
      <c r="BH35" s="63" t="str">
        <f ca="1">IF(ISNUMBER(CS!C35)=FALSE,CONCATENATE(BG35,""),CONCATENATE(BG35,IF(ABS(CS!C35)&lt;10,"0",""),ABS(CS!C35)))</f>
        <v/>
      </c>
      <c r="BI35" s="63" t="str">
        <f ca="1">IF(ISNUMBER(CS!D35)=FALSE,CONCATENATE(BH35,""),CONCATENATE(BH35,IF(ABS(CS!D35)&lt;10,"0",""),ABS(CS!D35)))</f>
        <v/>
      </c>
      <c r="BJ35" s="63" t="str">
        <f ca="1">IF(ISNUMBER(CS!E35)=FALSE,CONCATENATE(BI35,""),CONCATENATE(BI35,IF(ABS(CS!E35)&lt;10,"0",""),ABS(CS!E35)))</f>
        <v/>
      </c>
      <c r="BK35" s="63" t="str">
        <f ca="1">IF(ISNUMBER(CS!F35)=FALSE,CONCATENATE(BJ35,""),CONCATENATE(BJ35,IF(ABS(CS!F35)&lt;10,"0",""),ABS(CS!F35)))</f>
        <v/>
      </c>
      <c r="BL35" s="63" t="str">
        <f ca="1">IF(ISNUMBER(CS!G35)=FALSE,CONCATENATE(BK35,""),CONCATENATE(BK35,IF(ABS(CS!G35)&lt;10,"0",""),ABS(CS!G35)))</f>
        <v/>
      </c>
      <c r="BM35" s="63" t="str">
        <f ca="1">IF(ISNUMBER(CS!H35)=FALSE,CONCATENATE(BL35,""),CONCATENATE(BL35,IF(ABS(CS!H35)&lt;10,"0",""),ABS(CS!H35)))</f>
        <v/>
      </c>
      <c r="BN35" s="63" t="str">
        <f ca="1">IF(ISNUMBER(CS!I35)=FALSE,CONCATENATE(BM35,""),CONCATENATE(BM35,IF(ABS(CS!I35)&lt;10,"0",""),ABS(CS!I35)))</f>
        <v/>
      </c>
      <c r="BO35" s="63" t="str">
        <f ca="1">IF(ISNUMBER(CS!J35)=FALSE,CONCATENATE(BN35,""),CONCATENATE(BN35,IF(ABS(CS!J35)&lt;10,"0",""),ABS(CS!J35)))</f>
        <v/>
      </c>
      <c r="BP35" s="63" t="str">
        <f ca="1">IF(ISNUMBER(CS!K35)=FALSE,CONCATENATE(BO35,""),CONCATENATE(BO35,IF(ABS(CS!K35)&lt;10,"0",""),ABS(CS!K35)))</f>
        <v/>
      </c>
      <c r="BQ35" s="63" t="str">
        <f ca="1">IF(ISNUMBER(CS!L35)=FALSE,CONCATENATE(BP35,""),CONCATENATE(BP35,IF(ABS(CS!L35)&lt;10,"0",""),ABS(CS!L35)))</f>
        <v/>
      </c>
      <c r="BR35" s="63" t="str">
        <f ca="1">IF(ISNUMBER(CS!M35)=FALSE,CONCATENATE(BQ35,""),CONCATENATE(BQ35,IF(ABS(CS!M35)&lt;10,"0",""),ABS(CS!M35)))</f>
        <v/>
      </c>
      <c r="BS35" s="63" t="str">
        <f ca="1">IF(ISNUMBER(CS!N35)=FALSE,CONCATENATE(BR35,""),CONCATENATE(BR35,IF(ABS(CS!N35)&lt;10,"0",""),ABS(CS!N35)))</f>
        <v/>
      </c>
      <c r="BT35" s="63" t="str">
        <f ca="1">IF(ISNUMBER(CS!O35)=FALSE,CONCATENATE(BS35,""),CONCATENATE(BS35,IF(ABS(CS!O35)&lt;10,"0",""),ABS(CS!O35)))</f>
        <v/>
      </c>
      <c r="BU35" s="63" t="str">
        <f ca="1">IF(ISNUMBER(CS!P35)=FALSE,CONCATENATE(BT35,""),CONCATENATE(BT35,IF(ABS(CS!P35)&lt;10,"0",""),ABS(CS!P35)))</f>
        <v/>
      </c>
      <c r="BV35" s="63" t="str">
        <f ca="1">IF(ISNUMBER(CS!Q35)=FALSE,CONCATENATE(BU35,""),CONCATENATE(BU35,IF(ABS(CS!Q35)&lt;10,"0",""),ABS(CS!Q35)))</f>
        <v/>
      </c>
      <c r="BW35" s="63" t="str">
        <f ca="1">IF(ISNUMBER(CS!R35)=FALSE,CONCATENATE(BV35,""),CONCATENATE(BV35,IF(ABS(CS!R35)&lt;10,"0",""),ABS(CS!R35)))</f>
        <v/>
      </c>
      <c r="BX35" s="63" t="str">
        <f ca="1">IF(ISNUMBER(CS!S35)=FALSE,CONCATENATE(BW35,""),CONCATENATE(BW35,IF(ABS(CS!S35)&lt;10,"0",""),ABS(CS!S35)))</f>
        <v/>
      </c>
      <c r="BY35" s="63" t="str">
        <f ca="1">IF(ISNUMBER(CS!T35)=FALSE,CONCATENATE(BX35,""),CONCATENATE(BX35,IF(ABS(CS!T35)&lt;10,"0",""),ABS(CS!T35)))</f>
        <v/>
      </c>
      <c r="BZ35" s="63" t="str">
        <f ca="1">IF(ISNUMBER(CS!U35)=FALSE,CONCATENATE(BY35,""),CONCATENATE(BY35,IF(ABS(CS!U35)&lt;10,"0",""),ABS(CS!U35)))</f>
        <v/>
      </c>
      <c r="CA35" s="63" t="str">
        <f ca="1">IF(ISNUMBER(CS!V35)=FALSE,CONCATENATE(BZ35,""),CONCATENATE(BZ35,IF(ABS(CS!V35)&lt;10,"0",""),ABS(CS!V35)))</f>
        <v/>
      </c>
      <c r="CB35" s="63" t="str">
        <f ca="1">IF(ISNUMBER(CS!W35)=FALSE,CONCATENATE(CA35,""),CONCATENATE(CA35,IF(ABS(CS!W35)&lt;10,"0",""),ABS(CS!W35)))</f>
        <v/>
      </c>
      <c r="CC35" s="63" t="str">
        <f ca="1">IF(ISNUMBER(CS!X35)=FALSE,CONCATENATE(CB35,""),CONCATENATE(CB35,IF(ABS(CS!X35)&lt;10,"0",""),ABS(CS!X35)))</f>
        <v/>
      </c>
      <c r="CD35" s="63" t="str">
        <f ca="1">IF(ISNUMBER(CS!Y35)=FALSE,CONCATENATE(CC35,""),CONCATENATE(CC35,IF(ABS(CS!Y35)&lt;10,"0",""),ABS(CS!Y35)))</f>
        <v/>
      </c>
      <c r="CE35" s="63" t="str">
        <f ca="1">IF(ISNUMBER(CS!Z35)=FALSE,CONCATENATE(CD35,""),CONCATENATE(CD35,IF(ABS(CS!Z35)&lt;10,"0",""),ABS(CS!Z35)))</f>
        <v/>
      </c>
      <c r="CF35" s="63" t="str">
        <f ca="1">IF(ISNUMBER(CS!AA35)=FALSE,CONCATENATE(CE35,""),CONCATENATE(CE35,IF(ABS(CS!AA35)&lt;10,"0",""),ABS(CS!AA35)))</f>
        <v/>
      </c>
      <c r="CG35" s="63" t="str">
        <f ca="1">IF(ISNUMBER(CS!AB35)=FALSE,CONCATENATE(CF35,""),CONCATENATE(CF35,IF(ABS(CS!AB35)&lt;10,"0",""),ABS(CS!AB35)))</f>
        <v/>
      </c>
      <c r="CH35" s="63" t="str">
        <f ca="1">IF(ISNUMBER(CS!AC35)=FALSE,CONCATENATE(CG35,""),CONCATENATE(CG35,IF(ABS(CS!AC35)&lt;10,"0",""),ABS(CS!AC35)))</f>
        <v/>
      </c>
      <c r="CI35" s="63" t="str">
        <f ca="1">IF(ISNUMBER(CS!AD35)=FALSE,CONCATENATE(CH35,""),CONCATENATE(CH35,IF(ABS(CS!AD35)&lt;10,"0",""),ABS(CS!AD35)))</f>
        <v/>
      </c>
      <c r="CJ35" s="63" t="str">
        <f ca="1">IF(ISNUMBER(CS!AE35)=FALSE,CONCATENATE(CI35,""),CONCATENATE(CI35,IF(ABS(CS!AE35)&lt;10,"0",""),ABS(CS!AE35)))</f>
        <v/>
      </c>
      <c r="CK35" s="63" t="str">
        <f ca="1">IF(ISNUMBER(CS!AF35)=FALSE,CONCATENATE(CJ35,""),CONCATENATE(CJ35,IF(ABS(CS!AF35)&lt;10,"0",""),ABS(CS!AF35)))</f>
        <v/>
      </c>
      <c r="CL35" s="63" t="str">
        <f ca="1">IF(ISNUMBER(CS!AG35)=FALSE,CONCATENATE(CK35,""),CONCATENATE(CK35,IF(ABS(CS!AG35)&lt;10,"0",""),ABS(CS!AG35)))</f>
        <v/>
      </c>
      <c r="CM35" s="63" t="str">
        <f ca="1">IF(ISNUMBER(CS!AH35)=FALSE,CONCATENATE(CL35,""),CONCATENATE(CL35,IF(ABS(CS!AH35)&lt;10,"0",""),ABS(CS!AH35)))</f>
        <v/>
      </c>
      <c r="CN35" s="63" t="str">
        <f ca="1">IF(ISNUMBER(CS!AI35)=FALSE,CONCATENATE(CM35,""),CONCATENATE(CM35,IF(ABS(CS!AI35)&lt;10,"0",""),ABS(CS!AI35)))</f>
        <v/>
      </c>
      <c r="CO35" s="63" t="str">
        <f ca="1">IF(ISNUMBER(CS!AJ35)=FALSE,CONCATENATE(CN35,""),CONCATENATE(CN35,IF(ABS(CS!AJ35)&lt;10,"0",""),ABS(CS!AJ35)))</f>
        <v/>
      </c>
      <c r="CP35" s="63" t="str">
        <f ca="1">IF(ISNUMBER(CS!AK35)=FALSE,CONCATENATE(CO35,""),CONCATENATE(CO35,IF(ABS(CS!AK35)&lt;10,"0",""),ABS(CS!AK35)))</f>
        <v/>
      </c>
      <c r="CQ35" s="63" t="str">
        <f ca="1">IF(ISNUMBER(CS!AL35)=FALSE,CONCATENATE(CP35,""),CONCATENATE(CP35,IF(ABS(CS!AL35)&lt;10,"0",""),ABS(CS!AL35)))</f>
        <v/>
      </c>
      <c r="CR35" s="63" t="str">
        <f ca="1">IF(ISNUMBER(CS!AM35)=FALSE,CONCATENATE(CQ35,""),CONCATENATE(CQ35,IF(ABS(CS!AM35)&lt;10,"0",""),ABS(CS!AM35)))</f>
        <v/>
      </c>
      <c r="CS35" s="63" t="str">
        <f ca="1">IF(ISNUMBER(CS!AN35)=FALSE,CONCATENATE(CR35,""),CONCATENATE(CR35,IF(ABS(CS!AN35)&lt;10,"0",""),ABS(CS!AN35)))</f>
        <v/>
      </c>
      <c r="CT35" s="63" t="str">
        <f ca="1">IF(ISNUMBER(CS!AO35)=FALSE,CONCATENATE(CS35,""),CONCATENATE(CS35,IF(ABS(CS!AO35)&lt;10,"0",""),ABS(CS!AO35)))</f>
        <v/>
      </c>
      <c r="CU35" s="63" t="str">
        <f ca="1">IF(ISNUMBER(CS!AP35)=FALSE,CONCATENATE(CT35,""),CONCATENATE(CT35,IF(ABS(CS!AP35)&lt;10,"0",""),ABS(CS!AP35)))</f>
        <v/>
      </c>
    </row>
    <row r="36" spans="2:99">
      <c r="B36" s="4" t="str">
        <f ca="1">CS!AR36</f>
        <v/>
      </c>
      <c r="C36" s="5">
        <f t="shared" ca="1" si="15"/>
        <v>0</v>
      </c>
      <c r="D36" s="5">
        <f t="shared" ca="1" si="8"/>
        <v>0</v>
      </c>
      <c r="E36" s="5">
        <f t="shared" ca="1" si="8"/>
        <v>0</v>
      </c>
      <c r="F36" s="5">
        <f t="shared" ca="1" si="8"/>
        <v>0</v>
      </c>
      <c r="G36" s="5">
        <f t="shared" ca="1" si="8"/>
        <v>0</v>
      </c>
      <c r="H36" s="5">
        <f t="shared" ca="1" si="8"/>
        <v>0</v>
      </c>
      <c r="I36" s="5">
        <f t="shared" ca="1" si="8"/>
        <v>0</v>
      </c>
      <c r="J36" s="5">
        <f t="shared" ca="1" si="11"/>
        <v>0</v>
      </c>
      <c r="K36" s="5">
        <f t="shared" ca="1" si="11"/>
        <v>0</v>
      </c>
      <c r="L36" s="5">
        <f t="shared" ca="1" si="11"/>
        <v>0</v>
      </c>
      <c r="M36" s="5">
        <f t="shared" ca="1" si="11"/>
        <v>0</v>
      </c>
      <c r="N36" s="5">
        <f t="shared" ca="1" si="11"/>
        <v>0</v>
      </c>
      <c r="O36" s="5">
        <f t="shared" ca="1" si="11"/>
        <v>0</v>
      </c>
      <c r="P36" s="5">
        <f t="shared" ca="1" si="11"/>
        <v>0</v>
      </c>
      <c r="Q36" s="5">
        <f t="shared" ca="1" si="11"/>
        <v>0</v>
      </c>
      <c r="R36" s="5">
        <f t="shared" ca="1" si="11"/>
        <v>0</v>
      </c>
      <c r="S36" s="5">
        <f t="shared" ca="1" si="11"/>
        <v>0</v>
      </c>
      <c r="T36" s="5">
        <f t="shared" ca="1" si="11"/>
        <v>0</v>
      </c>
      <c r="U36" s="5">
        <f t="shared" ca="1" si="11"/>
        <v>0</v>
      </c>
      <c r="V36" s="5">
        <f t="shared" ca="1" si="11"/>
        <v>0</v>
      </c>
      <c r="W36" s="5">
        <f t="shared" ca="1" si="11"/>
        <v>0</v>
      </c>
      <c r="X36" s="5">
        <f t="shared" ca="1" si="11"/>
        <v>0</v>
      </c>
      <c r="Y36" s="5">
        <f t="shared" ca="1" si="12"/>
        <v>0</v>
      </c>
      <c r="Z36" s="5">
        <f t="shared" ca="1" si="12"/>
        <v>0</v>
      </c>
      <c r="AA36" s="5">
        <f t="shared" ca="1" si="12"/>
        <v>0</v>
      </c>
      <c r="AB36" s="5">
        <f t="shared" ca="1" si="12"/>
        <v>0</v>
      </c>
      <c r="AC36" s="5">
        <f t="shared" ca="1" si="12"/>
        <v>0</v>
      </c>
      <c r="AD36" s="5">
        <f t="shared" ca="1" si="12"/>
        <v>0</v>
      </c>
      <c r="AE36" s="5">
        <f t="shared" ca="1" si="12"/>
        <v>0</v>
      </c>
      <c r="AF36" s="5">
        <f t="shared" ca="1" si="12"/>
        <v>0</v>
      </c>
      <c r="AG36" s="5">
        <f t="shared" ca="1" si="12"/>
        <v>0</v>
      </c>
      <c r="AH36" s="5">
        <f t="shared" ca="1" si="12"/>
        <v>0</v>
      </c>
      <c r="AI36" s="5">
        <f t="shared" ca="1" si="13"/>
        <v>0</v>
      </c>
      <c r="AJ36" s="5">
        <f t="shared" ca="1" si="13"/>
        <v>0</v>
      </c>
      <c r="AK36" s="5">
        <f t="shared" ca="1" si="13"/>
        <v>0</v>
      </c>
      <c r="AL36" s="5">
        <f t="shared" ca="1" si="13"/>
        <v>0</v>
      </c>
      <c r="AM36" s="5">
        <f t="shared" ca="1" si="13"/>
        <v>0</v>
      </c>
      <c r="AN36" s="5">
        <f t="shared" ca="1" si="13"/>
        <v>0</v>
      </c>
      <c r="AO36" s="5">
        <f t="shared" ca="1" si="13"/>
        <v>0</v>
      </c>
      <c r="AP36" s="5">
        <f t="shared" ca="1" si="13"/>
        <v>0</v>
      </c>
      <c r="AR36" s="4" t="str">
        <f t="shared" ca="1" si="5"/>
        <v/>
      </c>
      <c r="AS36" s="339">
        <f t="shared" ca="1" si="14"/>
        <v>0</v>
      </c>
      <c r="AT36" s="339">
        <f t="shared" ca="1" si="14"/>
        <v>0</v>
      </c>
      <c r="AU36" s="339">
        <f t="shared" ca="1" si="14"/>
        <v>0</v>
      </c>
      <c r="AV36" s="339">
        <f t="shared" ca="1" si="14"/>
        <v>0</v>
      </c>
      <c r="AW36" s="339">
        <f t="shared" ca="1" si="14"/>
        <v>0</v>
      </c>
      <c r="AX36" s="339">
        <f t="shared" ca="1" si="14"/>
        <v>0</v>
      </c>
      <c r="AY36" s="339">
        <f t="shared" ca="1" si="14"/>
        <v>0</v>
      </c>
      <c r="AZ36" s="339">
        <f t="shared" ca="1" si="14"/>
        <v>0</v>
      </c>
      <c r="BA36" s="339">
        <f t="shared" ca="1" si="14"/>
        <v>0</v>
      </c>
      <c r="BB36" s="339">
        <f t="shared" ca="1" si="14"/>
        <v>0</v>
      </c>
      <c r="BD36" s="63" t="str">
        <f>IF(DrawFinder!Y36=0,"",DrawFinder!Y36)</f>
        <v/>
      </c>
      <c r="BF36" s="151" t="str">
        <f t="shared" ca="1" si="9"/>
        <v/>
      </c>
      <c r="BH36" s="63" t="str">
        <f ca="1">IF(ISNUMBER(CS!C36)=FALSE,CONCATENATE(BG36,""),CONCATENATE(BG36,IF(ABS(CS!C36)&lt;10,"0",""),ABS(CS!C36)))</f>
        <v/>
      </c>
      <c r="BI36" s="63" t="str">
        <f ca="1">IF(ISNUMBER(CS!D36)=FALSE,CONCATENATE(BH36,""),CONCATENATE(BH36,IF(ABS(CS!D36)&lt;10,"0",""),ABS(CS!D36)))</f>
        <v/>
      </c>
      <c r="BJ36" s="63" t="str">
        <f ca="1">IF(ISNUMBER(CS!E36)=FALSE,CONCATENATE(BI36,""),CONCATENATE(BI36,IF(ABS(CS!E36)&lt;10,"0",""),ABS(CS!E36)))</f>
        <v/>
      </c>
      <c r="BK36" s="63" t="str">
        <f ca="1">IF(ISNUMBER(CS!F36)=FALSE,CONCATENATE(BJ36,""),CONCATENATE(BJ36,IF(ABS(CS!F36)&lt;10,"0",""),ABS(CS!F36)))</f>
        <v/>
      </c>
      <c r="BL36" s="63" t="str">
        <f ca="1">IF(ISNUMBER(CS!G36)=FALSE,CONCATENATE(BK36,""),CONCATENATE(BK36,IF(ABS(CS!G36)&lt;10,"0",""),ABS(CS!G36)))</f>
        <v/>
      </c>
      <c r="BM36" s="63" t="str">
        <f ca="1">IF(ISNUMBER(CS!H36)=FALSE,CONCATENATE(BL36,""),CONCATENATE(BL36,IF(ABS(CS!H36)&lt;10,"0",""),ABS(CS!H36)))</f>
        <v/>
      </c>
      <c r="BN36" s="63" t="str">
        <f ca="1">IF(ISNUMBER(CS!I36)=FALSE,CONCATENATE(BM36,""),CONCATENATE(BM36,IF(ABS(CS!I36)&lt;10,"0",""),ABS(CS!I36)))</f>
        <v/>
      </c>
      <c r="BO36" s="63" t="str">
        <f ca="1">IF(ISNUMBER(CS!J36)=FALSE,CONCATENATE(BN36,""),CONCATENATE(BN36,IF(ABS(CS!J36)&lt;10,"0",""),ABS(CS!J36)))</f>
        <v/>
      </c>
      <c r="BP36" s="63" t="str">
        <f ca="1">IF(ISNUMBER(CS!K36)=FALSE,CONCATENATE(BO36,""),CONCATENATE(BO36,IF(ABS(CS!K36)&lt;10,"0",""),ABS(CS!K36)))</f>
        <v/>
      </c>
      <c r="BQ36" s="63" t="str">
        <f ca="1">IF(ISNUMBER(CS!L36)=FALSE,CONCATENATE(BP36,""),CONCATENATE(BP36,IF(ABS(CS!L36)&lt;10,"0",""),ABS(CS!L36)))</f>
        <v/>
      </c>
      <c r="BR36" s="63" t="str">
        <f ca="1">IF(ISNUMBER(CS!M36)=FALSE,CONCATENATE(BQ36,""),CONCATENATE(BQ36,IF(ABS(CS!M36)&lt;10,"0",""),ABS(CS!M36)))</f>
        <v/>
      </c>
      <c r="BS36" s="63" t="str">
        <f ca="1">IF(ISNUMBER(CS!N36)=FALSE,CONCATENATE(BR36,""),CONCATENATE(BR36,IF(ABS(CS!N36)&lt;10,"0",""),ABS(CS!N36)))</f>
        <v/>
      </c>
      <c r="BT36" s="63" t="str">
        <f ca="1">IF(ISNUMBER(CS!O36)=FALSE,CONCATENATE(BS36,""),CONCATENATE(BS36,IF(ABS(CS!O36)&lt;10,"0",""),ABS(CS!O36)))</f>
        <v/>
      </c>
      <c r="BU36" s="63" t="str">
        <f ca="1">IF(ISNUMBER(CS!P36)=FALSE,CONCATENATE(BT36,""),CONCATENATE(BT36,IF(ABS(CS!P36)&lt;10,"0",""),ABS(CS!P36)))</f>
        <v/>
      </c>
      <c r="BV36" s="63" t="str">
        <f ca="1">IF(ISNUMBER(CS!Q36)=FALSE,CONCATENATE(BU36,""),CONCATENATE(BU36,IF(ABS(CS!Q36)&lt;10,"0",""),ABS(CS!Q36)))</f>
        <v/>
      </c>
      <c r="BW36" s="63" t="str">
        <f ca="1">IF(ISNUMBER(CS!R36)=FALSE,CONCATENATE(BV36,""),CONCATENATE(BV36,IF(ABS(CS!R36)&lt;10,"0",""),ABS(CS!R36)))</f>
        <v/>
      </c>
      <c r="BX36" s="63" t="str">
        <f ca="1">IF(ISNUMBER(CS!S36)=FALSE,CONCATENATE(BW36,""),CONCATENATE(BW36,IF(ABS(CS!S36)&lt;10,"0",""),ABS(CS!S36)))</f>
        <v/>
      </c>
      <c r="BY36" s="63" t="str">
        <f ca="1">IF(ISNUMBER(CS!T36)=FALSE,CONCATENATE(BX36,""),CONCATENATE(BX36,IF(ABS(CS!T36)&lt;10,"0",""),ABS(CS!T36)))</f>
        <v/>
      </c>
      <c r="BZ36" s="63" t="str">
        <f ca="1">IF(ISNUMBER(CS!U36)=FALSE,CONCATENATE(BY36,""),CONCATENATE(BY36,IF(ABS(CS!U36)&lt;10,"0",""),ABS(CS!U36)))</f>
        <v/>
      </c>
      <c r="CA36" s="63" t="str">
        <f ca="1">IF(ISNUMBER(CS!V36)=FALSE,CONCATENATE(BZ36,""),CONCATENATE(BZ36,IF(ABS(CS!V36)&lt;10,"0",""),ABS(CS!V36)))</f>
        <v/>
      </c>
      <c r="CB36" s="63" t="str">
        <f ca="1">IF(ISNUMBER(CS!W36)=FALSE,CONCATENATE(CA36,""),CONCATENATE(CA36,IF(ABS(CS!W36)&lt;10,"0",""),ABS(CS!W36)))</f>
        <v/>
      </c>
      <c r="CC36" s="63" t="str">
        <f ca="1">IF(ISNUMBER(CS!X36)=FALSE,CONCATENATE(CB36,""),CONCATENATE(CB36,IF(ABS(CS!X36)&lt;10,"0",""),ABS(CS!X36)))</f>
        <v/>
      </c>
      <c r="CD36" s="63" t="str">
        <f ca="1">IF(ISNUMBER(CS!Y36)=FALSE,CONCATENATE(CC36,""),CONCATENATE(CC36,IF(ABS(CS!Y36)&lt;10,"0",""),ABS(CS!Y36)))</f>
        <v/>
      </c>
      <c r="CE36" s="63" t="str">
        <f ca="1">IF(ISNUMBER(CS!Z36)=FALSE,CONCATENATE(CD36,""),CONCATENATE(CD36,IF(ABS(CS!Z36)&lt;10,"0",""),ABS(CS!Z36)))</f>
        <v/>
      </c>
      <c r="CF36" s="63" t="str">
        <f ca="1">IF(ISNUMBER(CS!AA36)=FALSE,CONCATENATE(CE36,""),CONCATENATE(CE36,IF(ABS(CS!AA36)&lt;10,"0",""),ABS(CS!AA36)))</f>
        <v/>
      </c>
      <c r="CG36" s="63" t="str">
        <f ca="1">IF(ISNUMBER(CS!AB36)=FALSE,CONCATENATE(CF36,""),CONCATENATE(CF36,IF(ABS(CS!AB36)&lt;10,"0",""),ABS(CS!AB36)))</f>
        <v/>
      </c>
      <c r="CH36" s="63" t="str">
        <f ca="1">IF(ISNUMBER(CS!AC36)=FALSE,CONCATENATE(CG36,""),CONCATENATE(CG36,IF(ABS(CS!AC36)&lt;10,"0",""),ABS(CS!AC36)))</f>
        <v/>
      </c>
      <c r="CI36" s="63" t="str">
        <f ca="1">IF(ISNUMBER(CS!AD36)=FALSE,CONCATENATE(CH36,""),CONCATENATE(CH36,IF(ABS(CS!AD36)&lt;10,"0",""),ABS(CS!AD36)))</f>
        <v/>
      </c>
      <c r="CJ36" s="63" t="str">
        <f ca="1">IF(ISNUMBER(CS!AE36)=FALSE,CONCATENATE(CI36,""),CONCATENATE(CI36,IF(ABS(CS!AE36)&lt;10,"0",""),ABS(CS!AE36)))</f>
        <v/>
      </c>
      <c r="CK36" s="63" t="str">
        <f ca="1">IF(ISNUMBER(CS!AF36)=FALSE,CONCATENATE(CJ36,""),CONCATENATE(CJ36,IF(ABS(CS!AF36)&lt;10,"0",""),ABS(CS!AF36)))</f>
        <v/>
      </c>
      <c r="CL36" s="63" t="str">
        <f ca="1">IF(ISNUMBER(CS!AG36)=FALSE,CONCATENATE(CK36,""),CONCATENATE(CK36,IF(ABS(CS!AG36)&lt;10,"0",""),ABS(CS!AG36)))</f>
        <v/>
      </c>
      <c r="CM36" s="63" t="str">
        <f ca="1">IF(ISNUMBER(CS!AH36)=FALSE,CONCATENATE(CL36,""),CONCATENATE(CL36,IF(ABS(CS!AH36)&lt;10,"0",""),ABS(CS!AH36)))</f>
        <v/>
      </c>
      <c r="CN36" s="63" t="str">
        <f ca="1">IF(ISNUMBER(CS!AI36)=FALSE,CONCATENATE(CM36,""),CONCATENATE(CM36,IF(ABS(CS!AI36)&lt;10,"0",""),ABS(CS!AI36)))</f>
        <v/>
      </c>
      <c r="CO36" s="63" t="str">
        <f ca="1">IF(ISNUMBER(CS!AJ36)=FALSE,CONCATENATE(CN36,""),CONCATENATE(CN36,IF(ABS(CS!AJ36)&lt;10,"0",""),ABS(CS!AJ36)))</f>
        <v/>
      </c>
      <c r="CP36" s="63" t="str">
        <f ca="1">IF(ISNUMBER(CS!AK36)=FALSE,CONCATENATE(CO36,""),CONCATENATE(CO36,IF(ABS(CS!AK36)&lt;10,"0",""),ABS(CS!AK36)))</f>
        <v/>
      </c>
      <c r="CQ36" s="63" t="str">
        <f ca="1">IF(ISNUMBER(CS!AL36)=FALSE,CONCATENATE(CP36,""),CONCATENATE(CP36,IF(ABS(CS!AL36)&lt;10,"0",""),ABS(CS!AL36)))</f>
        <v/>
      </c>
      <c r="CR36" s="63" t="str">
        <f ca="1">IF(ISNUMBER(CS!AM36)=FALSE,CONCATENATE(CQ36,""),CONCATENATE(CQ36,IF(ABS(CS!AM36)&lt;10,"0",""),ABS(CS!AM36)))</f>
        <v/>
      </c>
      <c r="CS36" s="63" t="str">
        <f ca="1">IF(ISNUMBER(CS!AN36)=FALSE,CONCATENATE(CR36,""),CONCATENATE(CR36,IF(ABS(CS!AN36)&lt;10,"0",""),ABS(CS!AN36)))</f>
        <v/>
      </c>
      <c r="CT36" s="63" t="str">
        <f ca="1">IF(ISNUMBER(CS!AO36)=FALSE,CONCATENATE(CS36,""),CONCATENATE(CS36,IF(ABS(CS!AO36)&lt;10,"0",""),ABS(CS!AO36)))</f>
        <v/>
      </c>
      <c r="CU36" s="63" t="str">
        <f ca="1">IF(ISNUMBER(CS!AP36)=FALSE,CONCATENATE(CT36,""),CONCATENATE(CT36,IF(ABS(CS!AP36)&lt;10,"0",""),ABS(CS!AP36)))</f>
        <v/>
      </c>
    </row>
    <row r="37" spans="2:99">
      <c r="B37" s="4" t="str">
        <f ca="1">CS!AR37</f>
        <v/>
      </c>
      <c r="C37" s="5">
        <f t="shared" ca="1" si="15"/>
        <v>0</v>
      </c>
      <c r="D37" s="5">
        <f t="shared" ca="1" si="8"/>
        <v>0</v>
      </c>
      <c r="E37" s="5">
        <f t="shared" ca="1" si="8"/>
        <v>0</v>
      </c>
      <c r="F37" s="5">
        <f t="shared" ca="1" si="8"/>
        <v>0</v>
      </c>
      <c r="G37" s="5">
        <f t="shared" ca="1" si="8"/>
        <v>0</v>
      </c>
      <c r="H37" s="5">
        <f t="shared" ca="1" si="8"/>
        <v>0</v>
      </c>
      <c r="I37" s="5">
        <f t="shared" ca="1" si="8"/>
        <v>0</v>
      </c>
      <c r="J37" s="5">
        <f t="shared" ca="1" si="11"/>
        <v>0</v>
      </c>
      <c r="K37" s="5">
        <f t="shared" ca="1" si="11"/>
        <v>0</v>
      </c>
      <c r="L37" s="5">
        <f t="shared" ca="1" si="11"/>
        <v>0</v>
      </c>
      <c r="M37" s="5">
        <f t="shared" ca="1" si="11"/>
        <v>0</v>
      </c>
      <c r="N37" s="5">
        <f t="shared" ca="1" si="11"/>
        <v>0</v>
      </c>
      <c r="O37" s="5">
        <f t="shared" ca="1" si="11"/>
        <v>0</v>
      </c>
      <c r="P37" s="5">
        <f t="shared" ca="1" si="11"/>
        <v>0</v>
      </c>
      <c r="Q37" s="5">
        <f t="shared" ca="1" si="11"/>
        <v>0</v>
      </c>
      <c r="R37" s="5">
        <f t="shared" ca="1" si="11"/>
        <v>0</v>
      </c>
      <c r="S37" s="5">
        <f t="shared" ca="1" si="11"/>
        <v>0</v>
      </c>
      <c r="T37" s="5">
        <f t="shared" ca="1" si="11"/>
        <v>0</v>
      </c>
      <c r="U37" s="5">
        <f t="shared" ca="1" si="11"/>
        <v>0</v>
      </c>
      <c r="V37" s="5">
        <f t="shared" ca="1" si="11"/>
        <v>0</v>
      </c>
      <c r="W37" s="5">
        <f t="shared" ca="1" si="11"/>
        <v>0</v>
      </c>
      <c r="X37" s="5">
        <f t="shared" ca="1" si="11"/>
        <v>0</v>
      </c>
      <c r="Y37" s="5">
        <f t="shared" ca="1" si="12"/>
        <v>0</v>
      </c>
      <c r="Z37" s="5">
        <f t="shared" ca="1" si="12"/>
        <v>0</v>
      </c>
      <c r="AA37" s="5">
        <f t="shared" ca="1" si="12"/>
        <v>0</v>
      </c>
      <c r="AB37" s="5">
        <f t="shared" ca="1" si="12"/>
        <v>0</v>
      </c>
      <c r="AC37" s="5">
        <f t="shared" ca="1" si="12"/>
        <v>0</v>
      </c>
      <c r="AD37" s="5">
        <f t="shared" ca="1" si="12"/>
        <v>0</v>
      </c>
      <c r="AE37" s="5">
        <f t="shared" ca="1" si="12"/>
        <v>0</v>
      </c>
      <c r="AF37" s="5">
        <f t="shared" ca="1" si="12"/>
        <v>0</v>
      </c>
      <c r="AG37" s="5">
        <f t="shared" ca="1" si="12"/>
        <v>0</v>
      </c>
      <c r="AH37" s="5">
        <f t="shared" ca="1" si="12"/>
        <v>0</v>
      </c>
      <c r="AI37" s="5">
        <f t="shared" ca="1" si="13"/>
        <v>0</v>
      </c>
      <c r="AJ37" s="5">
        <f t="shared" ca="1" si="13"/>
        <v>0</v>
      </c>
      <c r="AK37" s="5">
        <f t="shared" ca="1" si="13"/>
        <v>0</v>
      </c>
      <c r="AL37" s="5">
        <f t="shared" ca="1" si="13"/>
        <v>0</v>
      </c>
      <c r="AM37" s="5">
        <f t="shared" ca="1" si="13"/>
        <v>0</v>
      </c>
      <c r="AN37" s="5">
        <f t="shared" ca="1" si="13"/>
        <v>0</v>
      </c>
      <c r="AO37" s="5">
        <f t="shared" ca="1" si="13"/>
        <v>0</v>
      </c>
      <c r="AP37" s="5">
        <f t="shared" ca="1" si="13"/>
        <v>0</v>
      </c>
      <c r="AR37" s="4" t="str">
        <f t="shared" ca="1" si="5"/>
        <v/>
      </c>
      <c r="AS37" s="339">
        <f t="shared" ca="1" si="14"/>
        <v>0</v>
      </c>
      <c r="AT37" s="339">
        <f t="shared" ca="1" si="14"/>
        <v>0</v>
      </c>
      <c r="AU37" s="339">
        <f t="shared" ca="1" si="14"/>
        <v>0</v>
      </c>
      <c r="AV37" s="339">
        <f t="shared" ca="1" si="14"/>
        <v>0</v>
      </c>
      <c r="AW37" s="339">
        <f t="shared" ca="1" si="14"/>
        <v>0</v>
      </c>
      <c r="AX37" s="339">
        <f t="shared" ca="1" si="14"/>
        <v>0</v>
      </c>
      <c r="AY37" s="339">
        <f t="shared" ca="1" si="14"/>
        <v>0</v>
      </c>
      <c r="AZ37" s="339">
        <f t="shared" ca="1" si="14"/>
        <v>0</v>
      </c>
      <c r="BA37" s="339">
        <f t="shared" ca="1" si="14"/>
        <v>0</v>
      </c>
      <c r="BB37" s="339">
        <f t="shared" ca="1" si="14"/>
        <v>0</v>
      </c>
      <c r="BD37" s="63" t="str">
        <f>IF(DrawFinder!Y37=0,"",DrawFinder!Y37)</f>
        <v/>
      </c>
      <c r="BF37" s="151" t="str">
        <f t="shared" ca="1" si="9"/>
        <v/>
      </c>
      <c r="BH37" s="63" t="str">
        <f ca="1">IF(ISNUMBER(CS!C37)=FALSE,CONCATENATE(BG37,""),CONCATENATE(BG37,IF(ABS(CS!C37)&lt;10,"0",""),ABS(CS!C37)))</f>
        <v/>
      </c>
      <c r="BI37" s="63" t="str">
        <f ca="1">IF(ISNUMBER(CS!D37)=FALSE,CONCATENATE(BH37,""),CONCATENATE(BH37,IF(ABS(CS!D37)&lt;10,"0",""),ABS(CS!D37)))</f>
        <v/>
      </c>
      <c r="BJ37" s="63" t="str">
        <f ca="1">IF(ISNUMBER(CS!E37)=FALSE,CONCATENATE(BI37,""),CONCATENATE(BI37,IF(ABS(CS!E37)&lt;10,"0",""),ABS(CS!E37)))</f>
        <v/>
      </c>
      <c r="BK37" s="63" t="str">
        <f ca="1">IF(ISNUMBER(CS!F37)=FALSE,CONCATENATE(BJ37,""),CONCATENATE(BJ37,IF(ABS(CS!F37)&lt;10,"0",""),ABS(CS!F37)))</f>
        <v/>
      </c>
      <c r="BL37" s="63" t="str">
        <f ca="1">IF(ISNUMBER(CS!G37)=FALSE,CONCATENATE(BK37,""),CONCATENATE(BK37,IF(ABS(CS!G37)&lt;10,"0",""),ABS(CS!G37)))</f>
        <v/>
      </c>
      <c r="BM37" s="63" t="str">
        <f ca="1">IF(ISNUMBER(CS!H37)=FALSE,CONCATENATE(BL37,""),CONCATENATE(BL37,IF(ABS(CS!H37)&lt;10,"0",""),ABS(CS!H37)))</f>
        <v/>
      </c>
      <c r="BN37" s="63" t="str">
        <f ca="1">IF(ISNUMBER(CS!I37)=FALSE,CONCATENATE(BM37,""),CONCATENATE(BM37,IF(ABS(CS!I37)&lt;10,"0",""),ABS(CS!I37)))</f>
        <v/>
      </c>
      <c r="BO37" s="63" t="str">
        <f ca="1">IF(ISNUMBER(CS!J37)=FALSE,CONCATENATE(BN37,""),CONCATENATE(BN37,IF(ABS(CS!J37)&lt;10,"0",""),ABS(CS!J37)))</f>
        <v/>
      </c>
      <c r="BP37" s="63" t="str">
        <f ca="1">IF(ISNUMBER(CS!K37)=FALSE,CONCATENATE(BO37,""),CONCATENATE(BO37,IF(ABS(CS!K37)&lt;10,"0",""),ABS(CS!K37)))</f>
        <v/>
      </c>
      <c r="BQ37" s="63" t="str">
        <f ca="1">IF(ISNUMBER(CS!L37)=FALSE,CONCATENATE(BP37,""),CONCATENATE(BP37,IF(ABS(CS!L37)&lt;10,"0",""),ABS(CS!L37)))</f>
        <v/>
      </c>
      <c r="BR37" s="63" t="str">
        <f ca="1">IF(ISNUMBER(CS!M37)=FALSE,CONCATENATE(BQ37,""),CONCATENATE(BQ37,IF(ABS(CS!M37)&lt;10,"0",""),ABS(CS!M37)))</f>
        <v/>
      </c>
      <c r="BS37" s="63" t="str">
        <f ca="1">IF(ISNUMBER(CS!N37)=FALSE,CONCATENATE(BR37,""),CONCATENATE(BR37,IF(ABS(CS!N37)&lt;10,"0",""),ABS(CS!N37)))</f>
        <v/>
      </c>
      <c r="BT37" s="63" t="str">
        <f ca="1">IF(ISNUMBER(CS!O37)=FALSE,CONCATENATE(BS37,""),CONCATENATE(BS37,IF(ABS(CS!O37)&lt;10,"0",""),ABS(CS!O37)))</f>
        <v/>
      </c>
      <c r="BU37" s="63" t="str">
        <f ca="1">IF(ISNUMBER(CS!P37)=FALSE,CONCATENATE(BT37,""),CONCATENATE(BT37,IF(ABS(CS!P37)&lt;10,"0",""),ABS(CS!P37)))</f>
        <v/>
      </c>
      <c r="BV37" s="63" t="str">
        <f ca="1">IF(ISNUMBER(CS!Q37)=FALSE,CONCATENATE(BU37,""),CONCATENATE(BU37,IF(ABS(CS!Q37)&lt;10,"0",""),ABS(CS!Q37)))</f>
        <v/>
      </c>
      <c r="BW37" s="63" t="str">
        <f ca="1">IF(ISNUMBER(CS!R37)=FALSE,CONCATENATE(BV37,""),CONCATENATE(BV37,IF(ABS(CS!R37)&lt;10,"0",""),ABS(CS!R37)))</f>
        <v/>
      </c>
      <c r="BX37" s="63" t="str">
        <f ca="1">IF(ISNUMBER(CS!S37)=FALSE,CONCATENATE(BW37,""),CONCATENATE(BW37,IF(ABS(CS!S37)&lt;10,"0",""),ABS(CS!S37)))</f>
        <v/>
      </c>
      <c r="BY37" s="63" t="str">
        <f ca="1">IF(ISNUMBER(CS!T37)=FALSE,CONCATENATE(BX37,""),CONCATENATE(BX37,IF(ABS(CS!T37)&lt;10,"0",""),ABS(CS!T37)))</f>
        <v/>
      </c>
      <c r="BZ37" s="63" t="str">
        <f ca="1">IF(ISNUMBER(CS!U37)=FALSE,CONCATENATE(BY37,""),CONCATENATE(BY37,IF(ABS(CS!U37)&lt;10,"0",""),ABS(CS!U37)))</f>
        <v/>
      </c>
      <c r="CA37" s="63" t="str">
        <f ca="1">IF(ISNUMBER(CS!V37)=FALSE,CONCATENATE(BZ37,""),CONCATENATE(BZ37,IF(ABS(CS!V37)&lt;10,"0",""),ABS(CS!V37)))</f>
        <v/>
      </c>
      <c r="CB37" s="63" t="str">
        <f ca="1">IF(ISNUMBER(CS!W37)=FALSE,CONCATENATE(CA37,""),CONCATENATE(CA37,IF(ABS(CS!W37)&lt;10,"0",""),ABS(CS!W37)))</f>
        <v/>
      </c>
      <c r="CC37" s="63" t="str">
        <f ca="1">IF(ISNUMBER(CS!X37)=FALSE,CONCATENATE(CB37,""),CONCATENATE(CB37,IF(ABS(CS!X37)&lt;10,"0",""),ABS(CS!X37)))</f>
        <v/>
      </c>
      <c r="CD37" s="63" t="str">
        <f ca="1">IF(ISNUMBER(CS!Y37)=FALSE,CONCATENATE(CC37,""),CONCATENATE(CC37,IF(ABS(CS!Y37)&lt;10,"0",""),ABS(CS!Y37)))</f>
        <v/>
      </c>
      <c r="CE37" s="63" t="str">
        <f ca="1">IF(ISNUMBER(CS!Z37)=FALSE,CONCATENATE(CD37,""),CONCATENATE(CD37,IF(ABS(CS!Z37)&lt;10,"0",""),ABS(CS!Z37)))</f>
        <v/>
      </c>
      <c r="CF37" s="63" t="str">
        <f ca="1">IF(ISNUMBER(CS!AA37)=FALSE,CONCATENATE(CE37,""),CONCATENATE(CE37,IF(ABS(CS!AA37)&lt;10,"0",""),ABS(CS!AA37)))</f>
        <v/>
      </c>
      <c r="CG37" s="63" t="str">
        <f ca="1">IF(ISNUMBER(CS!AB37)=FALSE,CONCATENATE(CF37,""),CONCATENATE(CF37,IF(ABS(CS!AB37)&lt;10,"0",""),ABS(CS!AB37)))</f>
        <v/>
      </c>
      <c r="CH37" s="63" t="str">
        <f ca="1">IF(ISNUMBER(CS!AC37)=FALSE,CONCATENATE(CG37,""),CONCATENATE(CG37,IF(ABS(CS!AC37)&lt;10,"0",""),ABS(CS!AC37)))</f>
        <v/>
      </c>
      <c r="CI37" s="63" t="str">
        <f ca="1">IF(ISNUMBER(CS!AD37)=FALSE,CONCATENATE(CH37,""),CONCATENATE(CH37,IF(ABS(CS!AD37)&lt;10,"0",""),ABS(CS!AD37)))</f>
        <v/>
      </c>
      <c r="CJ37" s="63" t="str">
        <f ca="1">IF(ISNUMBER(CS!AE37)=FALSE,CONCATENATE(CI37,""),CONCATENATE(CI37,IF(ABS(CS!AE37)&lt;10,"0",""),ABS(CS!AE37)))</f>
        <v/>
      </c>
      <c r="CK37" s="63" t="str">
        <f ca="1">IF(ISNUMBER(CS!AF37)=FALSE,CONCATENATE(CJ37,""),CONCATENATE(CJ37,IF(ABS(CS!AF37)&lt;10,"0",""),ABS(CS!AF37)))</f>
        <v/>
      </c>
      <c r="CL37" s="63" t="str">
        <f ca="1">IF(ISNUMBER(CS!AG37)=FALSE,CONCATENATE(CK37,""),CONCATENATE(CK37,IF(ABS(CS!AG37)&lt;10,"0",""),ABS(CS!AG37)))</f>
        <v/>
      </c>
      <c r="CM37" s="63" t="str">
        <f ca="1">IF(ISNUMBER(CS!AH37)=FALSE,CONCATENATE(CL37,""),CONCATENATE(CL37,IF(ABS(CS!AH37)&lt;10,"0",""),ABS(CS!AH37)))</f>
        <v/>
      </c>
      <c r="CN37" s="63" t="str">
        <f ca="1">IF(ISNUMBER(CS!AI37)=FALSE,CONCATENATE(CM37,""),CONCATENATE(CM37,IF(ABS(CS!AI37)&lt;10,"0",""),ABS(CS!AI37)))</f>
        <v/>
      </c>
      <c r="CO37" s="63" t="str">
        <f ca="1">IF(ISNUMBER(CS!AJ37)=FALSE,CONCATENATE(CN37,""),CONCATENATE(CN37,IF(ABS(CS!AJ37)&lt;10,"0",""),ABS(CS!AJ37)))</f>
        <v/>
      </c>
      <c r="CP37" s="63" t="str">
        <f ca="1">IF(ISNUMBER(CS!AK37)=FALSE,CONCATENATE(CO37,""),CONCATENATE(CO37,IF(ABS(CS!AK37)&lt;10,"0",""),ABS(CS!AK37)))</f>
        <v/>
      </c>
      <c r="CQ37" s="63" t="str">
        <f ca="1">IF(ISNUMBER(CS!AL37)=FALSE,CONCATENATE(CP37,""),CONCATENATE(CP37,IF(ABS(CS!AL37)&lt;10,"0",""),ABS(CS!AL37)))</f>
        <v/>
      </c>
      <c r="CR37" s="63" t="str">
        <f ca="1">IF(ISNUMBER(CS!AM37)=FALSE,CONCATENATE(CQ37,""),CONCATENATE(CQ37,IF(ABS(CS!AM37)&lt;10,"0",""),ABS(CS!AM37)))</f>
        <v/>
      </c>
      <c r="CS37" s="63" t="str">
        <f ca="1">IF(ISNUMBER(CS!AN37)=FALSE,CONCATENATE(CR37,""),CONCATENATE(CR37,IF(ABS(CS!AN37)&lt;10,"0",""),ABS(CS!AN37)))</f>
        <v/>
      </c>
      <c r="CT37" s="63" t="str">
        <f ca="1">IF(ISNUMBER(CS!AO37)=FALSE,CONCATENATE(CS37,""),CONCATENATE(CS37,IF(ABS(CS!AO37)&lt;10,"0",""),ABS(CS!AO37)))</f>
        <v/>
      </c>
      <c r="CU37" s="63" t="str">
        <f ca="1">IF(ISNUMBER(CS!AP37)=FALSE,CONCATENATE(CT37,""),CONCATENATE(CT37,IF(ABS(CS!AP37)&lt;10,"0",""),ABS(CS!AP37)))</f>
        <v/>
      </c>
    </row>
    <row r="38" spans="2:99">
      <c r="B38" s="4" t="str">
        <f ca="1">CS!AR38</f>
        <v/>
      </c>
      <c r="C38" s="5">
        <f t="shared" ca="1" si="15"/>
        <v>0</v>
      </c>
      <c r="D38" s="5">
        <f t="shared" ca="1" si="8"/>
        <v>0</v>
      </c>
      <c r="E38" s="5">
        <f t="shared" ca="1" si="8"/>
        <v>0</v>
      </c>
      <c r="F38" s="5">
        <f t="shared" ca="1" si="8"/>
        <v>0</v>
      </c>
      <c r="G38" s="5">
        <f t="shared" ca="1" si="8"/>
        <v>0</v>
      </c>
      <c r="H38" s="5">
        <f t="shared" ca="1" si="8"/>
        <v>0</v>
      </c>
      <c r="I38" s="5">
        <f t="shared" ca="1" si="8"/>
        <v>0</v>
      </c>
      <c r="J38" s="5">
        <f t="shared" ca="1" si="11"/>
        <v>0</v>
      </c>
      <c r="K38" s="5">
        <f t="shared" ca="1" si="11"/>
        <v>0</v>
      </c>
      <c r="L38" s="5">
        <f t="shared" ca="1" si="11"/>
        <v>0</v>
      </c>
      <c r="M38" s="5">
        <f t="shared" ca="1" si="11"/>
        <v>0</v>
      </c>
      <c r="N38" s="5">
        <f t="shared" ca="1" si="11"/>
        <v>0</v>
      </c>
      <c r="O38" s="5">
        <f t="shared" ca="1" si="11"/>
        <v>0</v>
      </c>
      <c r="P38" s="5">
        <f t="shared" ca="1" si="11"/>
        <v>0</v>
      </c>
      <c r="Q38" s="5">
        <f t="shared" ca="1" si="11"/>
        <v>0</v>
      </c>
      <c r="R38" s="5">
        <f t="shared" ca="1" si="11"/>
        <v>0</v>
      </c>
      <c r="S38" s="5">
        <f t="shared" ca="1" si="11"/>
        <v>0</v>
      </c>
      <c r="T38" s="5">
        <f t="shared" ca="1" si="11"/>
        <v>0</v>
      </c>
      <c r="U38" s="5">
        <f t="shared" ca="1" si="11"/>
        <v>0</v>
      </c>
      <c r="V38" s="5">
        <f t="shared" ca="1" si="11"/>
        <v>0</v>
      </c>
      <c r="W38" s="5">
        <f t="shared" ca="1" si="11"/>
        <v>0</v>
      </c>
      <c r="X38" s="5">
        <f t="shared" ca="1" si="11"/>
        <v>0</v>
      </c>
      <c r="Y38" s="5">
        <f t="shared" ca="1" si="12"/>
        <v>0</v>
      </c>
      <c r="Z38" s="5">
        <f t="shared" ca="1" si="12"/>
        <v>0</v>
      </c>
      <c r="AA38" s="5">
        <f t="shared" ca="1" si="12"/>
        <v>0</v>
      </c>
      <c r="AB38" s="5">
        <f t="shared" ca="1" si="12"/>
        <v>0</v>
      </c>
      <c r="AC38" s="5">
        <f t="shared" ca="1" si="12"/>
        <v>0</v>
      </c>
      <c r="AD38" s="5">
        <f t="shared" ca="1" si="12"/>
        <v>0</v>
      </c>
      <c r="AE38" s="5">
        <f t="shared" ca="1" si="12"/>
        <v>0</v>
      </c>
      <c r="AF38" s="5">
        <f t="shared" ca="1" si="12"/>
        <v>0</v>
      </c>
      <c r="AG38" s="5">
        <f t="shared" ca="1" si="12"/>
        <v>0</v>
      </c>
      <c r="AH38" s="5">
        <f t="shared" ca="1" si="12"/>
        <v>0</v>
      </c>
      <c r="AI38" s="5">
        <f t="shared" ca="1" si="13"/>
        <v>0</v>
      </c>
      <c r="AJ38" s="5">
        <f t="shared" ca="1" si="13"/>
        <v>0</v>
      </c>
      <c r="AK38" s="5">
        <f t="shared" ca="1" si="13"/>
        <v>0</v>
      </c>
      <c r="AL38" s="5">
        <f t="shared" ca="1" si="13"/>
        <v>0</v>
      </c>
      <c r="AM38" s="5">
        <f t="shared" ca="1" si="13"/>
        <v>0</v>
      </c>
      <c r="AN38" s="5">
        <f t="shared" ca="1" si="13"/>
        <v>0</v>
      </c>
      <c r="AO38" s="5">
        <f t="shared" ca="1" si="13"/>
        <v>0</v>
      </c>
      <c r="AP38" s="5">
        <f t="shared" ca="1" si="13"/>
        <v>0</v>
      </c>
      <c r="AR38" s="4" t="str">
        <f t="shared" ca="1" si="5"/>
        <v/>
      </c>
      <c r="AS38" s="339">
        <f t="shared" ca="1" si="14"/>
        <v>0</v>
      </c>
      <c r="AT38" s="339">
        <f t="shared" ca="1" si="14"/>
        <v>0</v>
      </c>
      <c r="AU38" s="339">
        <f t="shared" ca="1" si="14"/>
        <v>0</v>
      </c>
      <c r="AV38" s="339">
        <f t="shared" ca="1" si="14"/>
        <v>0</v>
      </c>
      <c r="AW38" s="339">
        <f t="shared" ca="1" si="14"/>
        <v>0</v>
      </c>
      <c r="AX38" s="339">
        <f t="shared" ca="1" si="14"/>
        <v>0</v>
      </c>
      <c r="AY38" s="339">
        <f t="shared" ca="1" si="14"/>
        <v>0</v>
      </c>
      <c r="AZ38" s="339">
        <f t="shared" ca="1" si="14"/>
        <v>0</v>
      </c>
      <c r="BA38" s="339">
        <f t="shared" ca="1" si="14"/>
        <v>0</v>
      </c>
      <c r="BB38" s="339">
        <f t="shared" ca="1" si="14"/>
        <v>0</v>
      </c>
      <c r="BD38" s="63" t="str">
        <f>IF(DrawFinder!Y38=0,"",DrawFinder!Y38)</f>
        <v/>
      </c>
      <c r="BF38" s="151" t="str">
        <f t="shared" ca="1" si="9"/>
        <v/>
      </c>
      <c r="BH38" s="63" t="str">
        <f ca="1">IF(ISNUMBER(CS!C38)=FALSE,CONCATENATE(BG38,""),CONCATENATE(BG38,IF(ABS(CS!C38)&lt;10,"0",""),ABS(CS!C38)))</f>
        <v/>
      </c>
      <c r="BI38" s="63" t="str">
        <f ca="1">IF(ISNUMBER(CS!D38)=FALSE,CONCATENATE(BH38,""),CONCATENATE(BH38,IF(ABS(CS!D38)&lt;10,"0",""),ABS(CS!D38)))</f>
        <v/>
      </c>
      <c r="BJ38" s="63" t="str">
        <f ca="1">IF(ISNUMBER(CS!E38)=FALSE,CONCATENATE(BI38,""),CONCATENATE(BI38,IF(ABS(CS!E38)&lt;10,"0",""),ABS(CS!E38)))</f>
        <v/>
      </c>
      <c r="BK38" s="63" t="str">
        <f ca="1">IF(ISNUMBER(CS!F38)=FALSE,CONCATENATE(BJ38,""),CONCATENATE(BJ38,IF(ABS(CS!F38)&lt;10,"0",""),ABS(CS!F38)))</f>
        <v/>
      </c>
      <c r="BL38" s="63" t="str">
        <f ca="1">IF(ISNUMBER(CS!G38)=FALSE,CONCATENATE(BK38,""),CONCATENATE(BK38,IF(ABS(CS!G38)&lt;10,"0",""),ABS(CS!G38)))</f>
        <v/>
      </c>
      <c r="BM38" s="63" t="str">
        <f ca="1">IF(ISNUMBER(CS!H38)=FALSE,CONCATENATE(BL38,""),CONCATENATE(BL38,IF(ABS(CS!H38)&lt;10,"0",""),ABS(CS!H38)))</f>
        <v/>
      </c>
      <c r="BN38" s="63" t="str">
        <f ca="1">IF(ISNUMBER(CS!I38)=FALSE,CONCATENATE(BM38,""),CONCATENATE(BM38,IF(ABS(CS!I38)&lt;10,"0",""),ABS(CS!I38)))</f>
        <v/>
      </c>
      <c r="BO38" s="63" t="str">
        <f ca="1">IF(ISNUMBER(CS!J38)=FALSE,CONCATENATE(BN38,""),CONCATENATE(BN38,IF(ABS(CS!J38)&lt;10,"0",""),ABS(CS!J38)))</f>
        <v/>
      </c>
      <c r="BP38" s="63" t="str">
        <f ca="1">IF(ISNUMBER(CS!K38)=FALSE,CONCATENATE(BO38,""),CONCATENATE(BO38,IF(ABS(CS!K38)&lt;10,"0",""),ABS(CS!K38)))</f>
        <v/>
      </c>
      <c r="BQ38" s="63" t="str">
        <f ca="1">IF(ISNUMBER(CS!L38)=FALSE,CONCATENATE(BP38,""),CONCATENATE(BP38,IF(ABS(CS!L38)&lt;10,"0",""),ABS(CS!L38)))</f>
        <v/>
      </c>
      <c r="BR38" s="63" t="str">
        <f ca="1">IF(ISNUMBER(CS!M38)=FALSE,CONCATENATE(BQ38,""),CONCATENATE(BQ38,IF(ABS(CS!M38)&lt;10,"0",""),ABS(CS!M38)))</f>
        <v/>
      </c>
      <c r="BS38" s="63" t="str">
        <f ca="1">IF(ISNUMBER(CS!N38)=FALSE,CONCATENATE(BR38,""),CONCATENATE(BR38,IF(ABS(CS!N38)&lt;10,"0",""),ABS(CS!N38)))</f>
        <v/>
      </c>
      <c r="BT38" s="63" t="str">
        <f ca="1">IF(ISNUMBER(CS!O38)=FALSE,CONCATENATE(BS38,""),CONCATENATE(BS38,IF(ABS(CS!O38)&lt;10,"0",""),ABS(CS!O38)))</f>
        <v/>
      </c>
      <c r="BU38" s="63" t="str">
        <f ca="1">IF(ISNUMBER(CS!P38)=FALSE,CONCATENATE(BT38,""),CONCATENATE(BT38,IF(ABS(CS!P38)&lt;10,"0",""),ABS(CS!P38)))</f>
        <v/>
      </c>
      <c r="BV38" s="63" t="str">
        <f ca="1">IF(ISNUMBER(CS!Q38)=FALSE,CONCATENATE(BU38,""),CONCATENATE(BU38,IF(ABS(CS!Q38)&lt;10,"0",""),ABS(CS!Q38)))</f>
        <v/>
      </c>
      <c r="BW38" s="63" t="str">
        <f ca="1">IF(ISNUMBER(CS!R38)=FALSE,CONCATENATE(BV38,""),CONCATENATE(BV38,IF(ABS(CS!R38)&lt;10,"0",""),ABS(CS!R38)))</f>
        <v/>
      </c>
      <c r="BX38" s="63" t="str">
        <f ca="1">IF(ISNUMBER(CS!S38)=FALSE,CONCATENATE(BW38,""),CONCATENATE(BW38,IF(ABS(CS!S38)&lt;10,"0",""),ABS(CS!S38)))</f>
        <v/>
      </c>
      <c r="BY38" s="63" t="str">
        <f ca="1">IF(ISNUMBER(CS!T38)=FALSE,CONCATENATE(BX38,""),CONCATENATE(BX38,IF(ABS(CS!T38)&lt;10,"0",""),ABS(CS!T38)))</f>
        <v/>
      </c>
      <c r="BZ38" s="63" t="str">
        <f ca="1">IF(ISNUMBER(CS!U38)=FALSE,CONCATENATE(BY38,""),CONCATENATE(BY38,IF(ABS(CS!U38)&lt;10,"0",""),ABS(CS!U38)))</f>
        <v/>
      </c>
      <c r="CA38" s="63" t="str">
        <f ca="1">IF(ISNUMBER(CS!V38)=FALSE,CONCATENATE(BZ38,""),CONCATENATE(BZ38,IF(ABS(CS!V38)&lt;10,"0",""),ABS(CS!V38)))</f>
        <v/>
      </c>
      <c r="CB38" s="63" t="str">
        <f ca="1">IF(ISNUMBER(CS!W38)=FALSE,CONCATENATE(CA38,""),CONCATENATE(CA38,IF(ABS(CS!W38)&lt;10,"0",""),ABS(CS!W38)))</f>
        <v/>
      </c>
      <c r="CC38" s="63" t="str">
        <f ca="1">IF(ISNUMBER(CS!X38)=FALSE,CONCATENATE(CB38,""),CONCATENATE(CB38,IF(ABS(CS!X38)&lt;10,"0",""),ABS(CS!X38)))</f>
        <v/>
      </c>
      <c r="CD38" s="63" t="str">
        <f ca="1">IF(ISNUMBER(CS!Y38)=FALSE,CONCATENATE(CC38,""),CONCATENATE(CC38,IF(ABS(CS!Y38)&lt;10,"0",""),ABS(CS!Y38)))</f>
        <v/>
      </c>
      <c r="CE38" s="63" t="str">
        <f ca="1">IF(ISNUMBER(CS!Z38)=FALSE,CONCATENATE(CD38,""),CONCATENATE(CD38,IF(ABS(CS!Z38)&lt;10,"0",""),ABS(CS!Z38)))</f>
        <v/>
      </c>
      <c r="CF38" s="63" t="str">
        <f ca="1">IF(ISNUMBER(CS!AA38)=FALSE,CONCATENATE(CE38,""),CONCATENATE(CE38,IF(ABS(CS!AA38)&lt;10,"0",""),ABS(CS!AA38)))</f>
        <v/>
      </c>
      <c r="CG38" s="63" t="str">
        <f ca="1">IF(ISNUMBER(CS!AB38)=FALSE,CONCATENATE(CF38,""),CONCATENATE(CF38,IF(ABS(CS!AB38)&lt;10,"0",""),ABS(CS!AB38)))</f>
        <v/>
      </c>
      <c r="CH38" s="63" t="str">
        <f ca="1">IF(ISNUMBER(CS!AC38)=FALSE,CONCATENATE(CG38,""),CONCATENATE(CG38,IF(ABS(CS!AC38)&lt;10,"0",""),ABS(CS!AC38)))</f>
        <v/>
      </c>
      <c r="CI38" s="63" t="str">
        <f ca="1">IF(ISNUMBER(CS!AD38)=FALSE,CONCATENATE(CH38,""),CONCATENATE(CH38,IF(ABS(CS!AD38)&lt;10,"0",""),ABS(CS!AD38)))</f>
        <v/>
      </c>
      <c r="CJ38" s="63" t="str">
        <f ca="1">IF(ISNUMBER(CS!AE38)=FALSE,CONCATENATE(CI38,""),CONCATENATE(CI38,IF(ABS(CS!AE38)&lt;10,"0",""),ABS(CS!AE38)))</f>
        <v/>
      </c>
      <c r="CK38" s="63" t="str">
        <f ca="1">IF(ISNUMBER(CS!AF38)=FALSE,CONCATENATE(CJ38,""),CONCATENATE(CJ38,IF(ABS(CS!AF38)&lt;10,"0",""),ABS(CS!AF38)))</f>
        <v/>
      </c>
      <c r="CL38" s="63" t="str">
        <f ca="1">IF(ISNUMBER(CS!AG38)=FALSE,CONCATENATE(CK38,""),CONCATENATE(CK38,IF(ABS(CS!AG38)&lt;10,"0",""),ABS(CS!AG38)))</f>
        <v/>
      </c>
      <c r="CM38" s="63" t="str">
        <f ca="1">IF(ISNUMBER(CS!AH38)=FALSE,CONCATENATE(CL38,""),CONCATENATE(CL38,IF(ABS(CS!AH38)&lt;10,"0",""),ABS(CS!AH38)))</f>
        <v/>
      </c>
      <c r="CN38" s="63" t="str">
        <f ca="1">IF(ISNUMBER(CS!AI38)=FALSE,CONCATENATE(CM38,""),CONCATENATE(CM38,IF(ABS(CS!AI38)&lt;10,"0",""),ABS(CS!AI38)))</f>
        <v/>
      </c>
      <c r="CO38" s="63" t="str">
        <f ca="1">IF(ISNUMBER(CS!AJ38)=FALSE,CONCATENATE(CN38,""),CONCATENATE(CN38,IF(ABS(CS!AJ38)&lt;10,"0",""),ABS(CS!AJ38)))</f>
        <v/>
      </c>
      <c r="CP38" s="63" t="str">
        <f ca="1">IF(ISNUMBER(CS!AK38)=FALSE,CONCATENATE(CO38,""),CONCATENATE(CO38,IF(ABS(CS!AK38)&lt;10,"0",""),ABS(CS!AK38)))</f>
        <v/>
      </c>
      <c r="CQ38" s="63" t="str">
        <f ca="1">IF(ISNUMBER(CS!AL38)=FALSE,CONCATENATE(CP38,""),CONCATENATE(CP38,IF(ABS(CS!AL38)&lt;10,"0",""),ABS(CS!AL38)))</f>
        <v/>
      </c>
      <c r="CR38" s="63" t="str">
        <f ca="1">IF(ISNUMBER(CS!AM38)=FALSE,CONCATENATE(CQ38,""),CONCATENATE(CQ38,IF(ABS(CS!AM38)&lt;10,"0",""),ABS(CS!AM38)))</f>
        <v/>
      </c>
      <c r="CS38" s="63" t="str">
        <f ca="1">IF(ISNUMBER(CS!AN38)=FALSE,CONCATENATE(CR38,""),CONCATENATE(CR38,IF(ABS(CS!AN38)&lt;10,"0",""),ABS(CS!AN38)))</f>
        <v/>
      </c>
      <c r="CT38" s="63" t="str">
        <f ca="1">IF(ISNUMBER(CS!AO38)=FALSE,CONCATENATE(CS38,""),CONCATENATE(CS38,IF(ABS(CS!AO38)&lt;10,"0",""),ABS(CS!AO38)))</f>
        <v/>
      </c>
      <c r="CU38" s="63" t="str">
        <f ca="1">IF(ISNUMBER(CS!AP38)=FALSE,CONCATENATE(CT38,""),CONCATENATE(CT38,IF(ABS(CS!AP38)&lt;10,"0",""),ABS(CS!AP38)))</f>
        <v/>
      </c>
    </row>
    <row r="39" spans="2:99">
      <c r="B39" s="4" t="str">
        <f ca="1">CS!AR39</f>
        <v/>
      </c>
      <c r="C39" s="5">
        <f t="shared" ca="1" si="15"/>
        <v>0</v>
      </c>
      <c r="D39" s="5">
        <f t="shared" ca="1" si="8"/>
        <v>0</v>
      </c>
      <c r="E39" s="5">
        <f t="shared" ca="1" si="8"/>
        <v>0</v>
      </c>
      <c r="F39" s="5">
        <f t="shared" ca="1" si="8"/>
        <v>0</v>
      </c>
      <c r="G39" s="5">
        <f t="shared" ca="1" si="8"/>
        <v>0</v>
      </c>
      <c r="H39" s="5">
        <f t="shared" ca="1" si="8"/>
        <v>0</v>
      </c>
      <c r="I39" s="5">
        <f t="shared" ca="1" si="8"/>
        <v>0</v>
      </c>
      <c r="J39" s="5">
        <f t="shared" ca="1" si="11"/>
        <v>0</v>
      </c>
      <c r="K39" s="5">
        <f t="shared" ca="1" si="11"/>
        <v>0</v>
      </c>
      <c r="L39" s="5">
        <f t="shared" ca="1" si="11"/>
        <v>0</v>
      </c>
      <c r="M39" s="5">
        <f t="shared" ca="1" si="11"/>
        <v>0</v>
      </c>
      <c r="N39" s="5">
        <f t="shared" ca="1" si="11"/>
        <v>0</v>
      </c>
      <c r="O39" s="5">
        <f t="shared" ca="1" si="11"/>
        <v>0</v>
      </c>
      <c r="P39" s="5">
        <f t="shared" ca="1" si="11"/>
        <v>0</v>
      </c>
      <c r="Q39" s="5">
        <f t="shared" ca="1" si="11"/>
        <v>0</v>
      </c>
      <c r="R39" s="5">
        <f t="shared" ca="1" si="11"/>
        <v>0</v>
      </c>
      <c r="S39" s="5">
        <f t="shared" ca="1" si="11"/>
        <v>0</v>
      </c>
      <c r="T39" s="5">
        <f t="shared" ca="1" si="11"/>
        <v>0</v>
      </c>
      <c r="U39" s="5">
        <f t="shared" ca="1" si="11"/>
        <v>0</v>
      </c>
      <c r="V39" s="5">
        <f t="shared" ca="1" si="11"/>
        <v>0</v>
      </c>
      <c r="W39" s="5">
        <f t="shared" ca="1" si="11"/>
        <v>0</v>
      </c>
      <c r="X39" s="5">
        <f t="shared" ca="1" si="11"/>
        <v>0</v>
      </c>
      <c r="Y39" s="5">
        <f t="shared" ca="1" si="12"/>
        <v>0</v>
      </c>
      <c r="Z39" s="5">
        <f t="shared" ca="1" si="12"/>
        <v>0</v>
      </c>
      <c r="AA39" s="5">
        <f t="shared" ca="1" si="12"/>
        <v>0</v>
      </c>
      <c r="AB39" s="5">
        <f t="shared" ca="1" si="12"/>
        <v>0</v>
      </c>
      <c r="AC39" s="5">
        <f t="shared" ca="1" si="12"/>
        <v>0</v>
      </c>
      <c r="AD39" s="5">
        <f t="shared" ca="1" si="12"/>
        <v>0</v>
      </c>
      <c r="AE39" s="5">
        <f t="shared" ca="1" si="12"/>
        <v>0</v>
      </c>
      <c r="AF39" s="5">
        <f t="shared" ca="1" si="12"/>
        <v>0</v>
      </c>
      <c r="AG39" s="5">
        <f t="shared" ca="1" si="12"/>
        <v>0</v>
      </c>
      <c r="AH39" s="5">
        <f t="shared" ca="1" si="12"/>
        <v>0</v>
      </c>
      <c r="AI39" s="5">
        <f t="shared" ca="1" si="13"/>
        <v>0</v>
      </c>
      <c r="AJ39" s="5">
        <f t="shared" ca="1" si="13"/>
        <v>0</v>
      </c>
      <c r="AK39" s="5">
        <f t="shared" ca="1" si="13"/>
        <v>0</v>
      </c>
      <c r="AL39" s="5">
        <f t="shared" ca="1" si="13"/>
        <v>0</v>
      </c>
      <c r="AM39" s="5">
        <f t="shared" ca="1" si="13"/>
        <v>0</v>
      </c>
      <c r="AN39" s="5">
        <f t="shared" ca="1" si="13"/>
        <v>0</v>
      </c>
      <c r="AO39" s="5">
        <f t="shared" ca="1" si="13"/>
        <v>0</v>
      </c>
      <c r="AP39" s="5">
        <f t="shared" ca="1" si="13"/>
        <v>0</v>
      </c>
      <c r="AR39" s="4" t="str">
        <f t="shared" ca="1" si="5"/>
        <v/>
      </c>
      <c r="AS39" s="339">
        <f t="shared" ca="1" si="14"/>
        <v>0</v>
      </c>
      <c r="AT39" s="339">
        <f t="shared" ca="1" si="14"/>
        <v>0</v>
      </c>
      <c r="AU39" s="339">
        <f t="shared" ca="1" si="14"/>
        <v>0</v>
      </c>
      <c r="AV39" s="339">
        <f t="shared" ca="1" si="14"/>
        <v>0</v>
      </c>
      <c r="AW39" s="339">
        <f t="shared" ca="1" si="14"/>
        <v>0</v>
      </c>
      <c r="AX39" s="339">
        <f t="shared" ca="1" si="14"/>
        <v>0</v>
      </c>
      <c r="AY39" s="339">
        <f t="shared" ca="1" si="14"/>
        <v>0</v>
      </c>
      <c r="AZ39" s="339">
        <f t="shared" ca="1" si="14"/>
        <v>0</v>
      </c>
      <c r="BA39" s="339">
        <f t="shared" ca="1" si="14"/>
        <v>0</v>
      </c>
      <c r="BB39" s="339">
        <f t="shared" ca="1" si="14"/>
        <v>0</v>
      </c>
      <c r="BD39" s="63" t="str">
        <f>IF(DrawFinder!Y39=0,"",DrawFinder!Y39)</f>
        <v/>
      </c>
      <c r="BF39" s="151" t="str">
        <f t="shared" ca="1" si="9"/>
        <v/>
      </c>
      <c r="BH39" s="63" t="str">
        <f ca="1">IF(ISNUMBER(CS!C39)=FALSE,CONCATENATE(BG39,""),CONCATENATE(BG39,IF(ABS(CS!C39)&lt;10,"0",""),ABS(CS!C39)))</f>
        <v/>
      </c>
      <c r="BI39" s="63" t="str">
        <f ca="1">IF(ISNUMBER(CS!D39)=FALSE,CONCATENATE(BH39,""),CONCATENATE(BH39,IF(ABS(CS!D39)&lt;10,"0",""),ABS(CS!D39)))</f>
        <v/>
      </c>
      <c r="BJ39" s="63" t="str">
        <f ca="1">IF(ISNUMBER(CS!E39)=FALSE,CONCATENATE(BI39,""),CONCATENATE(BI39,IF(ABS(CS!E39)&lt;10,"0",""),ABS(CS!E39)))</f>
        <v/>
      </c>
      <c r="BK39" s="63" t="str">
        <f ca="1">IF(ISNUMBER(CS!F39)=FALSE,CONCATENATE(BJ39,""),CONCATENATE(BJ39,IF(ABS(CS!F39)&lt;10,"0",""),ABS(CS!F39)))</f>
        <v/>
      </c>
      <c r="BL39" s="63" t="str">
        <f ca="1">IF(ISNUMBER(CS!G39)=FALSE,CONCATENATE(BK39,""),CONCATENATE(BK39,IF(ABS(CS!G39)&lt;10,"0",""),ABS(CS!G39)))</f>
        <v/>
      </c>
      <c r="BM39" s="63" t="str">
        <f ca="1">IF(ISNUMBER(CS!H39)=FALSE,CONCATENATE(BL39,""),CONCATENATE(BL39,IF(ABS(CS!H39)&lt;10,"0",""),ABS(CS!H39)))</f>
        <v/>
      </c>
      <c r="BN39" s="63" t="str">
        <f ca="1">IF(ISNUMBER(CS!I39)=FALSE,CONCATENATE(BM39,""),CONCATENATE(BM39,IF(ABS(CS!I39)&lt;10,"0",""),ABS(CS!I39)))</f>
        <v/>
      </c>
      <c r="BO39" s="63" t="str">
        <f ca="1">IF(ISNUMBER(CS!J39)=FALSE,CONCATENATE(BN39,""),CONCATENATE(BN39,IF(ABS(CS!J39)&lt;10,"0",""),ABS(CS!J39)))</f>
        <v/>
      </c>
      <c r="BP39" s="63" t="str">
        <f ca="1">IF(ISNUMBER(CS!K39)=FALSE,CONCATENATE(BO39,""),CONCATENATE(BO39,IF(ABS(CS!K39)&lt;10,"0",""),ABS(CS!K39)))</f>
        <v/>
      </c>
      <c r="BQ39" s="63" t="str">
        <f ca="1">IF(ISNUMBER(CS!L39)=FALSE,CONCATENATE(BP39,""),CONCATENATE(BP39,IF(ABS(CS!L39)&lt;10,"0",""),ABS(CS!L39)))</f>
        <v/>
      </c>
      <c r="BR39" s="63" t="str">
        <f ca="1">IF(ISNUMBER(CS!M39)=FALSE,CONCATENATE(BQ39,""),CONCATENATE(BQ39,IF(ABS(CS!M39)&lt;10,"0",""),ABS(CS!M39)))</f>
        <v/>
      </c>
      <c r="BS39" s="63" t="str">
        <f ca="1">IF(ISNUMBER(CS!N39)=FALSE,CONCATENATE(BR39,""),CONCATENATE(BR39,IF(ABS(CS!N39)&lt;10,"0",""),ABS(CS!N39)))</f>
        <v/>
      </c>
      <c r="BT39" s="63" t="str">
        <f ca="1">IF(ISNUMBER(CS!O39)=FALSE,CONCATENATE(BS39,""),CONCATENATE(BS39,IF(ABS(CS!O39)&lt;10,"0",""),ABS(CS!O39)))</f>
        <v/>
      </c>
      <c r="BU39" s="63" t="str">
        <f ca="1">IF(ISNUMBER(CS!P39)=FALSE,CONCATENATE(BT39,""),CONCATENATE(BT39,IF(ABS(CS!P39)&lt;10,"0",""),ABS(CS!P39)))</f>
        <v/>
      </c>
      <c r="BV39" s="63" t="str">
        <f ca="1">IF(ISNUMBER(CS!Q39)=FALSE,CONCATENATE(BU39,""),CONCATENATE(BU39,IF(ABS(CS!Q39)&lt;10,"0",""),ABS(CS!Q39)))</f>
        <v/>
      </c>
      <c r="BW39" s="63" t="str">
        <f ca="1">IF(ISNUMBER(CS!R39)=FALSE,CONCATENATE(BV39,""),CONCATENATE(BV39,IF(ABS(CS!R39)&lt;10,"0",""),ABS(CS!R39)))</f>
        <v/>
      </c>
      <c r="BX39" s="63" t="str">
        <f ca="1">IF(ISNUMBER(CS!S39)=FALSE,CONCATENATE(BW39,""),CONCATENATE(BW39,IF(ABS(CS!S39)&lt;10,"0",""),ABS(CS!S39)))</f>
        <v/>
      </c>
      <c r="BY39" s="63" t="str">
        <f ca="1">IF(ISNUMBER(CS!T39)=FALSE,CONCATENATE(BX39,""),CONCATENATE(BX39,IF(ABS(CS!T39)&lt;10,"0",""),ABS(CS!T39)))</f>
        <v/>
      </c>
      <c r="BZ39" s="63" t="str">
        <f ca="1">IF(ISNUMBER(CS!U39)=FALSE,CONCATENATE(BY39,""),CONCATENATE(BY39,IF(ABS(CS!U39)&lt;10,"0",""),ABS(CS!U39)))</f>
        <v/>
      </c>
      <c r="CA39" s="63" t="str">
        <f ca="1">IF(ISNUMBER(CS!V39)=FALSE,CONCATENATE(BZ39,""),CONCATENATE(BZ39,IF(ABS(CS!V39)&lt;10,"0",""),ABS(CS!V39)))</f>
        <v/>
      </c>
      <c r="CB39" s="63" t="str">
        <f ca="1">IF(ISNUMBER(CS!W39)=FALSE,CONCATENATE(CA39,""),CONCATENATE(CA39,IF(ABS(CS!W39)&lt;10,"0",""),ABS(CS!W39)))</f>
        <v/>
      </c>
      <c r="CC39" s="63" t="str">
        <f ca="1">IF(ISNUMBER(CS!X39)=FALSE,CONCATENATE(CB39,""),CONCATENATE(CB39,IF(ABS(CS!X39)&lt;10,"0",""),ABS(CS!X39)))</f>
        <v/>
      </c>
      <c r="CD39" s="63" t="str">
        <f ca="1">IF(ISNUMBER(CS!Y39)=FALSE,CONCATENATE(CC39,""),CONCATENATE(CC39,IF(ABS(CS!Y39)&lt;10,"0",""),ABS(CS!Y39)))</f>
        <v/>
      </c>
      <c r="CE39" s="63" t="str">
        <f ca="1">IF(ISNUMBER(CS!Z39)=FALSE,CONCATENATE(CD39,""),CONCATENATE(CD39,IF(ABS(CS!Z39)&lt;10,"0",""),ABS(CS!Z39)))</f>
        <v/>
      </c>
      <c r="CF39" s="63" t="str">
        <f ca="1">IF(ISNUMBER(CS!AA39)=FALSE,CONCATENATE(CE39,""),CONCATENATE(CE39,IF(ABS(CS!AA39)&lt;10,"0",""),ABS(CS!AA39)))</f>
        <v/>
      </c>
      <c r="CG39" s="63" t="str">
        <f ca="1">IF(ISNUMBER(CS!AB39)=FALSE,CONCATENATE(CF39,""),CONCATENATE(CF39,IF(ABS(CS!AB39)&lt;10,"0",""),ABS(CS!AB39)))</f>
        <v/>
      </c>
      <c r="CH39" s="63" t="str">
        <f ca="1">IF(ISNUMBER(CS!AC39)=FALSE,CONCATENATE(CG39,""),CONCATENATE(CG39,IF(ABS(CS!AC39)&lt;10,"0",""),ABS(CS!AC39)))</f>
        <v/>
      </c>
      <c r="CI39" s="63" t="str">
        <f ca="1">IF(ISNUMBER(CS!AD39)=FALSE,CONCATENATE(CH39,""),CONCATENATE(CH39,IF(ABS(CS!AD39)&lt;10,"0",""),ABS(CS!AD39)))</f>
        <v/>
      </c>
      <c r="CJ39" s="63" t="str">
        <f ca="1">IF(ISNUMBER(CS!AE39)=FALSE,CONCATENATE(CI39,""),CONCATENATE(CI39,IF(ABS(CS!AE39)&lt;10,"0",""),ABS(CS!AE39)))</f>
        <v/>
      </c>
      <c r="CK39" s="63" t="str">
        <f ca="1">IF(ISNUMBER(CS!AF39)=FALSE,CONCATENATE(CJ39,""),CONCATENATE(CJ39,IF(ABS(CS!AF39)&lt;10,"0",""),ABS(CS!AF39)))</f>
        <v/>
      </c>
      <c r="CL39" s="63" t="str">
        <f ca="1">IF(ISNUMBER(CS!AG39)=FALSE,CONCATENATE(CK39,""),CONCATENATE(CK39,IF(ABS(CS!AG39)&lt;10,"0",""),ABS(CS!AG39)))</f>
        <v/>
      </c>
      <c r="CM39" s="63" t="str">
        <f ca="1">IF(ISNUMBER(CS!AH39)=FALSE,CONCATENATE(CL39,""),CONCATENATE(CL39,IF(ABS(CS!AH39)&lt;10,"0",""),ABS(CS!AH39)))</f>
        <v/>
      </c>
      <c r="CN39" s="63" t="str">
        <f ca="1">IF(ISNUMBER(CS!AI39)=FALSE,CONCATENATE(CM39,""),CONCATENATE(CM39,IF(ABS(CS!AI39)&lt;10,"0",""),ABS(CS!AI39)))</f>
        <v/>
      </c>
      <c r="CO39" s="63" t="str">
        <f ca="1">IF(ISNUMBER(CS!AJ39)=FALSE,CONCATENATE(CN39,""),CONCATENATE(CN39,IF(ABS(CS!AJ39)&lt;10,"0",""),ABS(CS!AJ39)))</f>
        <v/>
      </c>
      <c r="CP39" s="63" t="str">
        <f ca="1">IF(ISNUMBER(CS!AK39)=FALSE,CONCATENATE(CO39,""),CONCATENATE(CO39,IF(ABS(CS!AK39)&lt;10,"0",""),ABS(CS!AK39)))</f>
        <v/>
      </c>
      <c r="CQ39" s="63" t="str">
        <f ca="1">IF(ISNUMBER(CS!AL39)=FALSE,CONCATENATE(CP39,""),CONCATENATE(CP39,IF(ABS(CS!AL39)&lt;10,"0",""),ABS(CS!AL39)))</f>
        <v/>
      </c>
      <c r="CR39" s="63" t="str">
        <f ca="1">IF(ISNUMBER(CS!AM39)=FALSE,CONCATENATE(CQ39,""),CONCATENATE(CQ39,IF(ABS(CS!AM39)&lt;10,"0",""),ABS(CS!AM39)))</f>
        <v/>
      </c>
      <c r="CS39" s="63" t="str">
        <f ca="1">IF(ISNUMBER(CS!AN39)=FALSE,CONCATENATE(CR39,""),CONCATENATE(CR39,IF(ABS(CS!AN39)&lt;10,"0",""),ABS(CS!AN39)))</f>
        <v/>
      </c>
      <c r="CT39" s="63" t="str">
        <f ca="1">IF(ISNUMBER(CS!AO39)=FALSE,CONCATENATE(CS39,""),CONCATENATE(CS39,IF(ABS(CS!AO39)&lt;10,"0",""),ABS(CS!AO39)))</f>
        <v/>
      </c>
      <c r="CU39" s="63" t="str">
        <f ca="1">IF(ISNUMBER(CS!AP39)=FALSE,CONCATENATE(CT39,""),CONCATENATE(CT39,IF(ABS(CS!AP39)&lt;10,"0",""),ABS(CS!AP39)))</f>
        <v/>
      </c>
    </row>
    <row r="40" spans="2:99">
      <c r="B40" s="4" t="str">
        <f ca="1">CS!AR40</f>
        <v/>
      </c>
      <c r="C40" s="5">
        <f t="shared" ca="1" si="15"/>
        <v>0</v>
      </c>
      <c r="D40" s="5">
        <f t="shared" ca="1" si="8"/>
        <v>0</v>
      </c>
      <c r="E40" s="5">
        <f t="shared" ca="1" si="8"/>
        <v>0</v>
      </c>
      <c r="F40" s="5">
        <f t="shared" ca="1" si="8"/>
        <v>0</v>
      </c>
      <c r="G40" s="5">
        <f t="shared" ca="1" si="8"/>
        <v>0</v>
      </c>
      <c r="H40" s="5">
        <f t="shared" ca="1" si="8"/>
        <v>0</v>
      </c>
      <c r="I40" s="5">
        <f t="shared" ca="1" si="8"/>
        <v>0</v>
      </c>
      <c r="J40" s="5">
        <f t="shared" ca="1" si="11"/>
        <v>0</v>
      </c>
      <c r="K40" s="5">
        <f t="shared" ca="1" si="11"/>
        <v>0</v>
      </c>
      <c r="L40" s="5">
        <f t="shared" ca="1" si="11"/>
        <v>0</v>
      </c>
      <c r="M40" s="5">
        <f t="shared" ca="1" si="11"/>
        <v>0</v>
      </c>
      <c r="N40" s="5">
        <f t="shared" ca="1" si="11"/>
        <v>0</v>
      </c>
      <c r="O40" s="5">
        <f t="shared" ca="1" si="11"/>
        <v>0</v>
      </c>
      <c r="P40" s="5">
        <f t="shared" ca="1" si="11"/>
        <v>0</v>
      </c>
      <c r="Q40" s="5">
        <f t="shared" ca="1" si="11"/>
        <v>0</v>
      </c>
      <c r="R40" s="5">
        <f t="shared" ca="1" si="11"/>
        <v>0</v>
      </c>
      <c r="S40" s="5">
        <f t="shared" ca="1" si="11"/>
        <v>0</v>
      </c>
      <c r="T40" s="5">
        <f t="shared" ca="1" si="11"/>
        <v>0</v>
      </c>
      <c r="U40" s="5">
        <f t="shared" ca="1" si="11"/>
        <v>0</v>
      </c>
      <c r="V40" s="5">
        <f t="shared" ca="1" si="11"/>
        <v>0</v>
      </c>
      <c r="W40" s="5">
        <f t="shared" ca="1" si="11"/>
        <v>0</v>
      </c>
      <c r="X40" s="5">
        <f t="shared" ca="1" si="11"/>
        <v>0</v>
      </c>
      <c r="Y40" s="5">
        <f t="shared" ca="1" si="12"/>
        <v>0</v>
      </c>
      <c r="Z40" s="5">
        <f t="shared" ca="1" si="12"/>
        <v>0</v>
      </c>
      <c r="AA40" s="5">
        <f t="shared" ca="1" si="12"/>
        <v>0</v>
      </c>
      <c r="AB40" s="5">
        <f t="shared" ca="1" si="12"/>
        <v>0</v>
      </c>
      <c r="AC40" s="5">
        <f t="shared" ca="1" si="12"/>
        <v>0</v>
      </c>
      <c r="AD40" s="5">
        <f t="shared" ca="1" si="12"/>
        <v>0</v>
      </c>
      <c r="AE40" s="5">
        <f t="shared" ca="1" si="12"/>
        <v>0</v>
      </c>
      <c r="AF40" s="5">
        <f t="shared" ca="1" si="12"/>
        <v>0</v>
      </c>
      <c r="AG40" s="5">
        <f t="shared" ca="1" si="12"/>
        <v>0</v>
      </c>
      <c r="AH40" s="5">
        <f t="shared" ca="1" si="12"/>
        <v>0</v>
      </c>
      <c r="AI40" s="5">
        <f t="shared" ca="1" si="13"/>
        <v>0</v>
      </c>
      <c r="AJ40" s="5">
        <f t="shared" ca="1" si="13"/>
        <v>0</v>
      </c>
      <c r="AK40" s="5">
        <f t="shared" ca="1" si="13"/>
        <v>0</v>
      </c>
      <c r="AL40" s="5">
        <f t="shared" ca="1" si="13"/>
        <v>0</v>
      </c>
      <c r="AM40" s="5">
        <f t="shared" ca="1" si="13"/>
        <v>0</v>
      </c>
      <c r="AN40" s="5">
        <f t="shared" ca="1" si="13"/>
        <v>0</v>
      </c>
      <c r="AO40" s="5">
        <f t="shared" ca="1" si="13"/>
        <v>0</v>
      </c>
      <c r="AP40" s="5">
        <f t="shared" ca="1" si="13"/>
        <v>0</v>
      </c>
      <c r="AR40" s="4" t="str">
        <f t="shared" ca="1" si="5"/>
        <v/>
      </c>
      <c r="AS40" s="339">
        <f t="shared" ca="1" si="14"/>
        <v>0</v>
      </c>
      <c r="AT40" s="339">
        <f t="shared" ca="1" si="14"/>
        <v>0</v>
      </c>
      <c r="AU40" s="339">
        <f t="shared" ca="1" si="14"/>
        <v>0</v>
      </c>
      <c r="AV40" s="339">
        <f t="shared" ca="1" si="14"/>
        <v>0</v>
      </c>
      <c r="AW40" s="339">
        <f t="shared" ca="1" si="14"/>
        <v>0</v>
      </c>
      <c r="AX40" s="339">
        <f t="shared" ca="1" si="14"/>
        <v>0</v>
      </c>
      <c r="AY40" s="339">
        <f t="shared" ca="1" si="14"/>
        <v>0</v>
      </c>
      <c r="AZ40" s="339">
        <f t="shared" ca="1" si="14"/>
        <v>0</v>
      </c>
      <c r="BA40" s="339">
        <f t="shared" ca="1" si="14"/>
        <v>0</v>
      </c>
      <c r="BB40" s="339">
        <f t="shared" ca="1" si="14"/>
        <v>0</v>
      </c>
      <c r="BD40" s="63" t="str">
        <f>IF(DrawFinder!Y40=0,"",DrawFinder!Y40)</f>
        <v/>
      </c>
      <c r="BF40" s="151" t="str">
        <f t="shared" ca="1" si="9"/>
        <v/>
      </c>
      <c r="BH40" s="63" t="str">
        <f ca="1">IF(ISNUMBER(CS!C40)=FALSE,CONCATENATE(BG40,""),CONCATENATE(BG40,IF(ABS(CS!C40)&lt;10,"0",""),ABS(CS!C40)))</f>
        <v/>
      </c>
      <c r="BI40" s="63" t="str">
        <f ca="1">IF(ISNUMBER(CS!D40)=FALSE,CONCATENATE(BH40,""),CONCATENATE(BH40,IF(ABS(CS!D40)&lt;10,"0",""),ABS(CS!D40)))</f>
        <v/>
      </c>
      <c r="BJ40" s="63" t="str">
        <f ca="1">IF(ISNUMBER(CS!E40)=FALSE,CONCATENATE(BI40,""),CONCATENATE(BI40,IF(ABS(CS!E40)&lt;10,"0",""),ABS(CS!E40)))</f>
        <v/>
      </c>
      <c r="BK40" s="63" t="str">
        <f ca="1">IF(ISNUMBER(CS!F40)=FALSE,CONCATENATE(BJ40,""),CONCATENATE(BJ40,IF(ABS(CS!F40)&lt;10,"0",""),ABS(CS!F40)))</f>
        <v/>
      </c>
      <c r="BL40" s="63" t="str">
        <f ca="1">IF(ISNUMBER(CS!G40)=FALSE,CONCATENATE(BK40,""),CONCATENATE(BK40,IF(ABS(CS!G40)&lt;10,"0",""),ABS(CS!G40)))</f>
        <v/>
      </c>
      <c r="BM40" s="63" t="str">
        <f ca="1">IF(ISNUMBER(CS!H40)=FALSE,CONCATENATE(BL40,""),CONCATENATE(BL40,IF(ABS(CS!H40)&lt;10,"0",""),ABS(CS!H40)))</f>
        <v/>
      </c>
      <c r="BN40" s="63" t="str">
        <f ca="1">IF(ISNUMBER(CS!I40)=FALSE,CONCATENATE(BM40,""),CONCATENATE(BM40,IF(ABS(CS!I40)&lt;10,"0",""),ABS(CS!I40)))</f>
        <v/>
      </c>
      <c r="BO40" s="63" t="str">
        <f ca="1">IF(ISNUMBER(CS!J40)=FALSE,CONCATENATE(BN40,""),CONCATENATE(BN40,IF(ABS(CS!J40)&lt;10,"0",""),ABS(CS!J40)))</f>
        <v/>
      </c>
      <c r="BP40" s="63" t="str">
        <f ca="1">IF(ISNUMBER(CS!K40)=FALSE,CONCATENATE(BO40,""),CONCATENATE(BO40,IF(ABS(CS!K40)&lt;10,"0",""),ABS(CS!K40)))</f>
        <v/>
      </c>
      <c r="BQ40" s="63" t="str">
        <f ca="1">IF(ISNUMBER(CS!L40)=FALSE,CONCATENATE(BP40,""),CONCATENATE(BP40,IF(ABS(CS!L40)&lt;10,"0",""),ABS(CS!L40)))</f>
        <v/>
      </c>
      <c r="BR40" s="63" t="str">
        <f ca="1">IF(ISNUMBER(CS!M40)=FALSE,CONCATENATE(BQ40,""),CONCATENATE(BQ40,IF(ABS(CS!M40)&lt;10,"0",""),ABS(CS!M40)))</f>
        <v/>
      </c>
      <c r="BS40" s="63" t="str">
        <f ca="1">IF(ISNUMBER(CS!N40)=FALSE,CONCATENATE(BR40,""),CONCATENATE(BR40,IF(ABS(CS!N40)&lt;10,"0",""),ABS(CS!N40)))</f>
        <v/>
      </c>
      <c r="BT40" s="63" t="str">
        <f ca="1">IF(ISNUMBER(CS!O40)=FALSE,CONCATENATE(BS40,""),CONCATENATE(BS40,IF(ABS(CS!O40)&lt;10,"0",""),ABS(CS!O40)))</f>
        <v/>
      </c>
      <c r="BU40" s="63" t="str">
        <f ca="1">IF(ISNUMBER(CS!P40)=FALSE,CONCATENATE(BT40,""),CONCATENATE(BT40,IF(ABS(CS!P40)&lt;10,"0",""),ABS(CS!P40)))</f>
        <v/>
      </c>
      <c r="BV40" s="63" t="str">
        <f ca="1">IF(ISNUMBER(CS!Q40)=FALSE,CONCATENATE(BU40,""),CONCATENATE(BU40,IF(ABS(CS!Q40)&lt;10,"0",""),ABS(CS!Q40)))</f>
        <v/>
      </c>
      <c r="BW40" s="63" t="str">
        <f ca="1">IF(ISNUMBER(CS!R40)=FALSE,CONCATENATE(BV40,""),CONCATENATE(BV40,IF(ABS(CS!R40)&lt;10,"0",""),ABS(CS!R40)))</f>
        <v/>
      </c>
      <c r="BX40" s="63" t="str">
        <f ca="1">IF(ISNUMBER(CS!S40)=FALSE,CONCATENATE(BW40,""),CONCATENATE(BW40,IF(ABS(CS!S40)&lt;10,"0",""),ABS(CS!S40)))</f>
        <v/>
      </c>
      <c r="BY40" s="63" t="str">
        <f ca="1">IF(ISNUMBER(CS!T40)=FALSE,CONCATENATE(BX40,""),CONCATENATE(BX40,IF(ABS(CS!T40)&lt;10,"0",""),ABS(CS!T40)))</f>
        <v/>
      </c>
      <c r="BZ40" s="63" t="str">
        <f ca="1">IF(ISNUMBER(CS!U40)=FALSE,CONCATENATE(BY40,""),CONCATENATE(BY40,IF(ABS(CS!U40)&lt;10,"0",""),ABS(CS!U40)))</f>
        <v/>
      </c>
      <c r="CA40" s="63" t="str">
        <f ca="1">IF(ISNUMBER(CS!V40)=FALSE,CONCATENATE(BZ40,""),CONCATENATE(BZ40,IF(ABS(CS!V40)&lt;10,"0",""),ABS(CS!V40)))</f>
        <v/>
      </c>
      <c r="CB40" s="63" t="str">
        <f ca="1">IF(ISNUMBER(CS!W40)=FALSE,CONCATENATE(CA40,""),CONCATENATE(CA40,IF(ABS(CS!W40)&lt;10,"0",""),ABS(CS!W40)))</f>
        <v/>
      </c>
      <c r="CC40" s="63" t="str">
        <f ca="1">IF(ISNUMBER(CS!X40)=FALSE,CONCATENATE(CB40,""),CONCATENATE(CB40,IF(ABS(CS!X40)&lt;10,"0",""),ABS(CS!X40)))</f>
        <v/>
      </c>
      <c r="CD40" s="63" t="str">
        <f ca="1">IF(ISNUMBER(CS!Y40)=FALSE,CONCATENATE(CC40,""),CONCATENATE(CC40,IF(ABS(CS!Y40)&lt;10,"0",""),ABS(CS!Y40)))</f>
        <v/>
      </c>
      <c r="CE40" s="63" t="str">
        <f ca="1">IF(ISNUMBER(CS!Z40)=FALSE,CONCATENATE(CD40,""),CONCATENATE(CD40,IF(ABS(CS!Z40)&lt;10,"0",""),ABS(CS!Z40)))</f>
        <v/>
      </c>
      <c r="CF40" s="63" t="str">
        <f ca="1">IF(ISNUMBER(CS!AA40)=FALSE,CONCATENATE(CE40,""),CONCATENATE(CE40,IF(ABS(CS!AA40)&lt;10,"0",""),ABS(CS!AA40)))</f>
        <v/>
      </c>
      <c r="CG40" s="63" t="str">
        <f ca="1">IF(ISNUMBER(CS!AB40)=FALSE,CONCATENATE(CF40,""),CONCATENATE(CF40,IF(ABS(CS!AB40)&lt;10,"0",""),ABS(CS!AB40)))</f>
        <v/>
      </c>
      <c r="CH40" s="63" t="str">
        <f ca="1">IF(ISNUMBER(CS!AC40)=FALSE,CONCATENATE(CG40,""),CONCATENATE(CG40,IF(ABS(CS!AC40)&lt;10,"0",""),ABS(CS!AC40)))</f>
        <v/>
      </c>
      <c r="CI40" s="63" t="str">
        <f ca="1">IF(ISNUMBER(CS!AD40)=FALSE,CONCATENATE(CH40,""),CONCATENATE(CH40,IF(ABS(CS!AD40)&lt;10,"0",""),ABS(CS!AD40)))</f>
        <v/>
      </c>
      <c r="CJ40" s="63" t="str">
        <f ca="1">IF(ISNUMBER(CS!AE40)=FALSE,CONCATENATE(CI40,""),CONCATENATE(CI40,IF(ABS(CS!AE40)&lt;10,"0",""),ABS(CS!AE40)))</f>
        <v/>
      </c>
      <c r="CK40" s="63" t="str">
        <f ca="1">IF(ISNUMBER(CS!AF40)=FALSE,CONCATENATE(CJ40,""),CONCATENATE(CJ40,IF(ABS(CS!AF40)&lt;10,"0",""),ABS(CS!AF40)))</f>
        <v/>
      </c>
      <c r="CL40" s="63" t="str">
        <f ca="1">IF(ISNUMBER(CS!AG40)=FALSE,CONCATENATE(CK40,""),CONCATENATE(CK40,IF(ABS(CS!AG40)&lt;10,"0",""),ABS(CS!AG40)))</f>
        <v/>
      </c>
      <c r="CM40" s="63" t="str">
        <f ca="1">IF(ISNUMBER(CS!AH40)=FALSE,CONCATENATE(CL40,""),CONCATENATE(CL40,IF(ABS(CS!AH40)&lt;10,"0",""),ABS(CS!AH40)))</f>
        <v/>
      </c>
      <c r="CN40" s="63" t="str">
        <f ca="1">IF(ISNUMBER(CS!AI40)=FALSE,CONCATENATE(CM40,""),CONCATENATE(CM40,IF(ABS(CS!AI40)&lt;10,"0",""),ABS(CS!AI40)))</f>
        <v/>
      </c>
      <c r="CO40" s="63" t="str">
        <f ca="1">IF(ISNUMBER(CS!AJ40)=FALSE,CONCATENATE(CN40,""),CONCATENATE(CN40,IF(ABS(CS!AJ40)&lt;10,"0",""),ABS(CS!AJ40)))</f>
        <v/>
      </c>
      <c r="CP40" s="63" t="str">
        <f ca="1">IF(ISNUMBER(CS!AK40)=FALSE,CONCATENATE(CO40,""),CONCATENATE(CO40,IF(ABS(CS!AK40)&lt;10,"0",""),ABS(CS!AK40)))</f>
        <v/>
      </c>
      <c r="CQ40" s="63" t="str">
        <f ca="1">IF(ISNUMBER(CS!AL40)=FALSE,CONCATENATE(CP40,""),CONCATENATE(CP40,IF(ABS(CS!AL40)&lt;10,"0",""),ABS(CS!AL40)))</f>
        <v/>
      </c>
      <c r="CR40" s="63" t="str">
        <f ca="1">IF(ISNUMBER(CS!AM40)=FALSE,CONCATENATE(CQ40,""),CONCATENATE(CQ40,IF(ABS(CS!AM40)&lt;10,"0",""),ABS(CS!AM40)))</f>
        <v/>
      </c>
      <c r="CS40" s="63" t="str">
        <f ca="1">IF(ISNUMBER(CS!AN40)=FALSE,CONCATENATE(CR40,""),CONCATENATE(CR40,IF(ABS(CS!AN40)&lt;10,"0",""),ABS(CS!AN40)))</f>
        <v/>
      </c>
      <c r="CT40" s="63" t="str">
        <f ca="1">IF(ISNUMBER(CS!AO40)=FALSE,CONCATENATE(CS40,""),CONCATENATE(CS40,IF(ABS(CS!AO40)&lt;10,"0",""),ABS(CS!AO40)))</f>
        <v/>
      </c>
      <c r="CU40" s="63" t="str">
        <f ca="1">IF(ISNUMBER(CS!AP40)=FALSE,CONCATENATE(CT40,""),CONCATENATE(CT40,IF(ABS(CS!AP40)&lt;10,"0",""),ABS(CS!AP40)))</f>
        <v/>
      </c>
    </row>
    <row r="41" spans="2:99">
      <c r="B41" s="4" t="str">
        <f ca="1">CS!AR41</f>
        <v/>
      </c>
      <c r="C41" s="5">
        <f t="shared" ca="1" si="15"/>
        <v>0</v>
      </c>
      <c r="D41" s="5">
        <f t="shared" ca="1" si="8"/>
        <v>0</v>
      </c>
      <c r="E41" s="5">
        <f t="shared" ca="1" si="8"/>
        <v>0</v>
      </c>
      <c r="F41" s="5">
        <f t="shared" ca="1" si="8"/>
        <v>0</v>
      </c>
      <c r="G41" s="5">
        <f t="shared" ca="1" si="8"/>
        <v>0</v>
      </c>
      <c r="H41" s="5">
        <f t="shared" ca="1" si="8"/>
        <v>0</v>
      </c>
      <c r="I41" s="5">
        <f t="shared" ca="1" si="8"/>
        <v>0</v>
      </c>
      <c r="J41" s="5">
        <f t="shared" ca="1" si="11"/>
        <v>0</v>
      </c>
      <c r="K41" s="5">
        <f t="shared" ca="1" si="11"/>
        <v>0</v>
      </c>
      <c r="L41" s="5">
        <f t="shared" ca="1" si="11"/>
        <v>0</v>
      </c>
      <c r="M41" s="5">
        <f t="shared" ca="1" si="11"/>
        <v>0</v>
      </c>
      <c r="N41" s="5">
        <f t="shared" ca="1" si="11"/>
        <v>0</v>
      </c>
      <c r="O41" s="5">
        <f t="shared" ca="1" si="11"/>
        <v>0</v>
      </c>
      <c r="P41" s="5">
        <f t="shared" ca="1" si="11"/>
        <v>0</v>
      </c>
      <c r="Q41" s="5">
        <f t="shared" ca="1" si="11"/>
        <v>0</v>
      </c>
      <c r="R41" s="5">
        <f t="shared" ca="1" si="11"/>
        <v>0</v>
      </c>
      <c r="S41" s="5">
        <f t="shared" ca="1" si="11"/>
        <v>0</v>
      </c>
      <c r="T41" s="5">
        <f t="shared" ca="1" si="11"/>
        <v>0</v>
      </c>
      <c r="U41" s="5">
        <f t="shared" ca="1" si="11"/>
        <v>0</v>
      </c>
      <c r="V41" s="5">
        <f t="shared" ca="1" si="11"/>
        <v>0</v>
      </c>
      <c r="W41" s="5">
        <f t="shared" ca="1" si="11"/>
        <v>0</v>
      </c>
      <c r="X41" s="5">
        <f t="shared" ca="1" si="11"/>
        <v>0</v>
      </c>
      <c r="Y41" s="5">
        <f t="shared" ca="1" si="12"/>
        <v>0</v>
      </c>
      <c r="Z41" s="5">
        <f t="shared" ca="1" si="12"/>
        <v>0</v>
      </c>
      <c r="AA41" s="5">
        <f t="shared" ca="1" si="12"/>
        <v>0</v>
      </c>
      <c r="AB41" s="5">
        <f t="shared" ca="1" si="12"/>
        <v>0</v>
      </c>
      <c r="AC41" s="5">
        <f t="shared" ca="1" si="12"/>
        <v>0</v>
      </c>
      <c r="AD41" s="5">
        <f t="shared" ca="1" si="12"/>
        <v>0</v>
      </c>
      <c r="AE41" s="5">
        <f t="shared" ca="1" si="12"/>
        <v>0</v>
      </c>
      <c r="AF41" s="5">
        <f t="shared" ca="1" si="12"/>
        <v>0</v>
      </c>
      <c r="AG41" s="5">
        <f t="shared" ca="1" si="12"/>
        <v>0</v>
      </c>
      <c r="AH41" s="5">
        <f t="shared" ca="1" si="12"/>
        <v>0</v>
      </c>
      <c r="AI41" s="5">
        <f t="shared" ca="1" si="13"/>
        <v>0</v>
      </c>
      <c r="AJ41" s="5">
        <f t="shared" ca="1" si="13"/>
        <v>0</v>
      </c>
      <c r="AK41" s="5">
        <f t="shared" ca="1" si="13"/>
        <v>0</v>
      </c>
      <c r="AL41" s="5">
        <f t="shared" ca="1" si="13"/>
        <v>0</v>
      </c>
      <c r="AM41" s="5">
        <f t="shared" ca="1" si="13"/>
        <v>0</v>
      </c>
      <c r="AN41" s="5">
        <f t="shared" ca="1" si="13"/>
        <v>0</v>
      </c>
      <c r="AO41" s="5">
        <f t="shared" ca="1" si="13"/>
        <v>0</v>
      </c>
      <c r="AP41" s="5">
        <f t="shared" ca="1" si="13"/>
        <v>0</v>
      </c>
      <c r="AR41" s="4" t="str">
        <f t="shared" ca="1" si="5"/>
        <v/>
      </c>
      <c r="AS41" s="339">
        <f t="shared" ca="1" si="14"/>
        <v>0</v>
      </c>
      <c r="AT41" s="339">
        <f t="shared" ca="1" si="14"/>
        <v>0</v>
      </c>
      <c r="AU41" s="339">
        <f t="shared" ca="1" si="14"/>
        <v>0</v>
      </c>
      <c r="AV41" s="339">
        <f t="shared" ca="1" si="14"/>
        <v>0</v>
      </c>
      <c r="AW41" s="339">
        <f t="shared" ca="1" si="14"/>
        <v>0</v>
      </c>
      <c r="AX41" s="339">
        <f t="shared" ca="1" si="14"/>
        <v>0</v>
      </c>
      <c r="AY41" s="339">
        <f t="shared" ca="1" si="14"/>
        <v>0</v>
      </c>
      <c r="AZ41" s="339">
        <f t="shared" ca="1" si="14"/>
        <v>0</v>
      </c>
      <c r="BA41" s="339">
        <f t="shared" ca="1" si="14"/>
        <v>0</v>
      </c>
      <c r="BB41" s="339">
        <f t="shared" ca="1" si="14"/>
        <v>0</v>
      </c>
      <c r="BD41" s="63" t="str">
        <f>IF(DrawFinder!Y41=0,"",DrawFinder!Y41)</f>
        <v/>
      </c>
      <c r="BF41" s="151" t="str">
        <f t="shared" ca="1" si="9"/>
        <v/>
      </c>
      <c r="BH41" s="63" t="str">
        <f ca="1">IF(ISNUMBER(CS!C41)=FALSE,CONCATENATE(BG41,""),CONCATENATE(BG41,IF(ABS(CS!C41)&lt;10,"0",""),ABS(CS!C41)))</f>
        <v/>
      </c>
      <c r="BI41" s="63" t="str">
        <f ca="1">IF(ISNUMBER(CS!D41)=FALSE,CONCATENATE(BH41,""),CONCATENATE(BH41,IF(ABS(CS!D41)&lt;10,"0",""),ABS(CS!D41)))</f>
        <v/>
      </c>
      <c r="BJ41" s="63" t="str">
        <f ca="1">IF(ISNUMBER(CS!E41)=FALSE,CONCATENATE(BI41,""),CONCATENATE(BI41,IF(ABS(CS!E41)&lt;10,"0",""),ABS(CS!E41)))</f>
        <v/>
      </c>
      <c r="BK41" s="63" t="str">
        <f ca="1">IF(ISNUMBER(CS!F41)=FALSE,CONCATENATE(BJ41,""),CONCATENATE(BJ41,IF(ABS(CS!F41)&lt;10,"0",""),ABS(CS!F41)))</f>
        <v/>
      </c>
      <c r="BL41" s="63" t="str">
        <f ca="1">IF(ISNUMBER(CS!G41)=FALSE,CONCATENATE(BK41,""),CONCATENATE(BK41,IF(ABS(CS!G41)&lt;10,"0",""),ABS(CS!G41)))</f>
        <v/>
      </c>
      <c r="BM41" s="63" t="str">
        <f ca="1">IF(ISNUMBER(CS!H41)=FALSE,CONCATENATE(BL41,""),CONCATENATE(BL41,IF(ABS(CS!H41)&lt;10,"0",""),ABS(CS!H41)))</f>
        <v/>
      </c>
      <c r="BN41" s="63" t="str">
        <f ca="1">IF(ISNUMBER(CS!I41)=FALSE,CONCATENATE(BM41,""),CONCATENATE(BM41,IF(ABS(CS!I41)&lt;10,"0",""),ABS(CS!I41)))</f>
        <v/>
      </c>
      <c r="BO41" s="63" t="str">
        <f ca="1">IF(ISNUMBER(CS!J41)=FALSE,CONCATENATE(BN41,""),CONCATENATE(BN41,IF(ABS(CS!J41)&lt;10,"0",""),ABS(CS!J41)))</f>
        <v/>
      </c>
      <c r="BP41" s="63" t="str">
        <f ca="1">IF(ISNUMBER(CS!K41)=FALSE,CONCATENATE(BO41,""),CONCATENATE(BO41,IF(ABS(CS!K41)&lt;10,"0",""),ABS(CS!K41)))</f>
        <v/>
      </c>
      <c r="BQ41" s="63" t="str">
        <f ca="1">IF(ISNUMBER(CS!L41)=FALSE,CONCATENATE(BP41,""),CONCATENATE(BP41,IF(ABS(CS!L41)&lt;10,"0",""),ABS(CS!L41)))</f>
        <v/>
      </c>
      <c r="BR41" s="63" t="str">
        <f ca="1">IF(ISNUMBER(CS!M41)=FALSE,CONCATENATE(BQ41,""),CONCATENATE(BQ41,IF(ABS(CS!M41)&lt;10,"0",""),ABS(CS!M41)))</f>
        <v/>
      </c>
      <c r="BS41" s="63" t="str">
        <f ca="1">IF(ISNUMBER(CS!N41)=FALSE,CONCATENATE(BR41,""),CONCATENATE(BR41,IF(ABS(CS!N41)&lt;10,"0",""),ABS(CS!N41)))</f>
        <v/>
      </c>
      <c r="BT41" s="63" t="str">
        <f ca="1">IF(ISNUMBER(CS!O41)=FALSE,CONCATENATE(BS41,""),CONCATENATE(BS41,IF(ABS(CS!O41)&lt;10,"0",""),ABS(CS!O41)))</f>
        <v/>
      </c>
      <c r="BU41" s="63" t="str">
        <f ca="1">IF(ISNUMBER(CS!P41)=FALSE,CONCATENATE(BT41,""),CONCATENATE(BT41,IF(ABS(CS!P41)&lt;10,"0",""),ABS(CS!P41)))</f>
        <v/>
      </c>
      <c r="BV41" s="63" t="str">
        <f ca="1">IF(ISNUMBER(CS!Q41)=FALSE,CONCATENATE(BU41,""),CONCATENATE(BU41,IF(ABS(CS!Q41)&lt;10,"0",""),ABS(CS!Q41)))</f>
        <v/>
      </c>
      <c r="BW41" s="63" t="str">
        <f ca="1">IF(ISNUMBER(CS!R41)=FALSE,CONCATENATE(BV41,""),CONCATENATE(BV41,IF(ABS(CS!R41)&lt;10,"0",""),ABS(CS!R41)))</f>
        <v/>
      </c>
      <c r="BX41" s="63" t="str">
        <f ca="1">IF(ISNUMBER(CS!S41)=FALSE,CONCATENATE(BW41,""),CONCATENATE(BW41,IF(ABS(CS!S41)&lt;10,"0",""),ABS(CS!S41)))</f>
        <v/>
      </c>
      <c r="BY41" s="63" t="str">
        <f ca="1">IF(ISNUMBER(CS!T41)=FALSE,CONCATENATE(BX41,""),CONCATENATE(BX41,IF(ABS(CS!T41)&lt;10,"0",""),ABS(CS!T41)))</f>
        <v/>
      </c>
      <c r="BZ41" s="63" t="str">
        <f ca="1">IF(ISNUMBER(CS!U41)=FALSE,CONCATENATE(BY41,""),CONCATENATE(BY41,IF(ABS(CS!U41)&lt;10,"0",""),ABS(CS!U41)))</f>
        <v/>
      </c>
      <c r="CA41" s="63" t="str">
        <f ca="1">IF(ISNUMBER(CS!V41)=FALSE,CONCATENATE(BZ41,""),CONCATENATE(BZ41,IF(ABS(CS!V41)&lt;10,"0",""),ABS(CS!V41)))</f>
        <v/>
      </c>
      <c r="CB41" s="63" t="str">
        <f ca="1">IF(ISNUMBER(CS!W41)=FALSE,CONCATENATE(CA41,""),CONCATENATE(CA41,IF(ABS(CS!W41)&lt;10,"0",""),ABS(CS!W41)))</f>
        <v/>
      </c>
      <c r="CC41" s="63" t="str">
        <f ca="1">IF(ISNUMBER(CS!X41)=FALSE,CONCATENATE(CB41,""),CONCATENATE(CB41,IF(ABS(CS!X41)&lt;10,"0",""),ABS(CS!X41)))</f>
        <v/>
      </c>
      <c r="CD41" s="63" t="str">
        <f ca="1">IF(ISNUMBER(CS!Y41)=FALSE,CONCATENATE(CC41,""),CONCATENATE(CC41,IF(ABS(CS!Y41)&lt;10,"0",""),ABS(CS!Y41)))</f>
        <v/>
      </c>
      <c r="CE41" s="63" t="str">
        <f ca="1">IF(ISNUMBER(CS!Z41)=FALSE,CONCATENATE(CD41,""),CONCATENATE(CD41,IF(ABS(CS!Z41)&lt;10,"0",""),ABS(CS!Z41)))</f>
        <v/>
      </c>
      <c r="CF41" s="63" t="str">
        <f ca="1">IF(ISNUMBER(CS!AA41)=FALSE,CONCATENATE(CE41,""),CONCATENATE(CE41,IF(ABS(CS!AA41)&lt;10,"0",""),ABS(CS!AA41)))</f>
        <v/>
      </c>
      <c r="CG41" s="63" t="str">
        <f ca="1">IF(ISNUMBER(CS!AB41)=FALSE,CONCATENATE(CF41,""),CONCATENATE(CF41,IF(ABS(CS!AB41)&lt;10,"0",""),ABS(CS!AB41)))</f>
        <v/>
      </c>
      <c r="CH41" s="63" t="str">
        <f ca="1">IF(ISNUMBER(CS!AC41)=FALSE,CONCATENATE(CG41,""),CONCATENATE(CG41,IF(ABS(CS!AC41)&lt;10,"0",""),ABS(CS!AC41)))</f>
        <v/>
      </c>
      <c r="CI41" s="63" t="str">
        <f ca="1">IF(ISNUMBER(CS!AD41)=FALSE,CONCATENATE(CH41,""),CONCATENATE(CH41,IF(ABS(CS!AD41)&lt;10,"0",""),ABS(CS!AD41)))</f>
        <v/>
      </c>
      <c r="CJ41" s="63" t="str">
        <f ca="1">IF(ISNUMBER(CS!AE41)=FALSE,CONCATENATE(CI41,""),CONCATENATE(CI41,IF(ABS(CS!AE41)&lt;10,"0",""),ABS(CS!AE41)))</f>
        <v/>
      </c>
      <c r="CK41" s="63" t="str">
        <f ca="1">IF(ISNUMBER(CS!AF41)=FALSE,CONCATENATE(CJ41,""),CONCATENATE(CJ41,IF(ABS(CS!AF41)&lt;10,"0",""),ABS(CS!AF41)))</f>
        <v/>
      </c>
      <c r="CL41" s="63" t="str">
        <f ca="1">IF(ISNUMBER(CS!AG41)=FALSE,CONCATENATE(CK41,""),CONCATENATE(CK41,IF(ABS(CS!AG41)&lt;10,"0",""),ABS(CS!AG41)))</f>
        <v/>
      </c>
      <c r="CM41" s="63" t="str">
        <f ca="1">IF(ISNUMBER(CS!AH41)=FALSE,CONCATENATE(CL41,""),CONCATENATE(CL41,IF(ABS(CS!AH41)&lt;10,"0",""),ABS(CS!AH41)))</f>
        <v/>
      </c>
      <c r="CN41" s="63" t="str">
        <f ca="1">IF(ISNUMBER(CS!AI41)=FALSE,CONCATENATE(CM41,""),CONCATENATE(CM41,IF(ABS(CS!AI41)&lt;10,"0",""),ABS(CS!AI41)))</f>
        <v/>
      </c>
      <c r="CO41" s="63" t="str">
        <f ca="1">IF(ISNUMBER(CS!AJ41)=FALSE,CONCATENATE(CN41,""),CONCATENATE(CN41,IF(ABS(CS!AJ41)&lt;10,"0",""),ABS(CS!AJ41)))</f>
        <v/>
      </c>
      <c r="CP41" s="63" t="str">
        <f ca="1">IF(ISNUMBER(CS!AK41)=FALSE,CONCATENATE(CO41,""),CONCATENATE(CO41,IF(ABS(CS!AK41)&lt;10,"0",""),ABS(CS!AK41)))</f>
        <v/>
      </c>
      <c r="CQ41" s="63" t="str">
        <f ca="1">IF(ISNUMBER(CS!AL41)=FALSE,CONCATENATE(CP41,""),CONCATENATE(CP41,IF(ABS(CS!AL41)&lt;10,"0",""),ABS(CS!AL41)))</f>
        <v/>
      </c>
      <c r="CR41" s="63" t="str">
        <f ca="1">IF(ISNUMBER(CS!AM41)=FALSE,CONCATENATE(CQ41,""),CONCATENATE(CQ41,IF(ABS(CS!AM41)&lt;10,"0",""),ABS(CS!AM41)))</f>
        <v/>
      </c>
      <c r="CS41" s="63" t="str">
        <f ca="1">IF(ISNUMBER(CS!AN41)=FALSE,CONCATENATE(CR41,""),CONCATENATE(CR41,IF(ABS(CS!AN41)&lt;10,"0",""),ABS(CS!AN41)))</f>
        <v/>
      </c>
      <c r="CT41" s="63" t="str">
        <f ca="1">IF(ISNUMBER(CS!AO41)=FALSE,CONCATENATE(CS41,""),CONCATENATE(CS41,IF(ABS(CS!AO41)&lt;10,"0",""),ABS(CS!AO41)))</f>
        <v/>
      </c>
      <c r="CU41" s="63" t="str">
        <f ca="1">IF(ISNUMBER(CS!AP41)=FALSE,CONCATENATE(CT41,""),CONCATENATE(CT41,IF(ABS(CS!AP41)&lt;10,"0",""),ABS(CS!AP41)))</f>
        <v/>
      </c>
    </row>
    <row r="42" spans="2:99">
      <c r="B42" s="4" t="str">
        <f ca="1">CS!AR42</f>
        <v/>
      </c>
      <c r="C42" s="5">
        <f t="shared" ca="1" si="15"/>
        <v>0</v>
      </c>
      <c r="D42" s="5">
        <f t="shared" ca="1" si="8"/>
        <v>0</v>
      </c>
      <c r="E42" s="5">
        <f t="shared" ca="1" si="8"/>
        <v>0</v>
      </c>
      <c r="F42" s="5">
        <f t="shared" ca="1" si="8"/>
        <v>0</v>
      </c>
      <c r="G42" s="5">
        <f t="shared" ca="1" si="8"/>
        <v>0</v>
      </c>
      <c r="H42" s="5">
        <f t="shared" ca="1" si="8"/>
        <v>0</v>
      </c>
      <c r="I42" s="5">
        <f t="shared" ref="I42:Y56" ca="1" si="16">IF(ISERROR(VALUE(MID($BF42,(I$9*2)-1,2))),0,VALUE(MID($BF42,(I$9*2)-1,2)))</f>
        <v>0</v>
      </c>
      <c r="J42" s="5">
        <f t="shared" ca="1" si="16"/>
        <v>0</v>
      </c>
      <c r="K42" s="5">
        <f t="shared" ca="1" si="16"/>
        <v>0</v>
      </c>
      <c r="L42" s="5">
        <f t="shared" ca="1" si="16"/>
        <v>0</v>
      </c>
      <c r="M42" s="5">
        <f t="shared" ca="1" si="16"/>
        <v>0</v>
      </c>
      <c r="N42" s="5">
        <f t="shared" ca="1" si="16"/>
        <v>0</v>
      </c>
      <c r="O42" s="5">
        <f t="shared" ca="1" si="16"/>
        <v>0</v>
      </c>
      <c r="P42" s="5">
        <f t="shared" ca="1" si="16"/>
        <v>0</v>
      </c>
      <c r="Q42" s="5">
        <f t="shared" ca="1" si="16"/>
        <v>0</v>
      </c>
      <c r="R42" s="5">
        <f t="shared" ca="1" si="16"/>
        <v>0</v>
      </c>
      <c r="S42" s="5">
        <f t="shared" ca="1" si="16"/>
        <v>0</v>
      </c>
      <c r="T42" s="5">
        <f t="shared" ca="1" si="16"/>
        <v>0</v>
      </c>
      <c r="U42" s="5">
        <f t="shared" ca="1" si="16"/>
        <v>0</v>
      </c>
      <c r="V42" s="5">
        <f t="shared" ca="1" si="16"/>
        <v>0</v>
      </c>
      <c r="W42" s="5">
        <f t="shared" ca="1" si="16"/>
        <v>0</v>
      </c>
      <c r="X42" s="5">
        <f t="shared" ca="1" si="16"/>
        <v>0</v>
      </c>
      <c r="Y42" s="5">
        <f t="shared" ca="1" si="16"/>
        <v>0</v>
      </c>
      <c r="Z42" s="5">
        <f t="shared" ca="1" si="12"/>
        <v>0</v>
      </c>
      <c r="AA42" s="5">
        <f t="shared" ca="1" si="12"/>
        <v>0</v>
      </c>
      <c r="AB42" s="5">
        <f t="shared" ca="1" si="12"/>
        <v>0</v>
      </c>
      <c r="AC42" s="5">
        <f t="shared" ca="1" si="12"/>
        <v>0</v>
      </c>
      <c r="AD42" s="5">
        <f t="shared" ca="1" si="12"/>
        <v>0</v>
      </c>
      <c r="AE42" s="5">
        <f t="shared" ca="1" si="12"/>
        <v>0</v>
      </c>
      <c r="AF42" s="5">
        <f t="shared" ca="1" si="12"/>
        <v>0</v>
      </c>
      <c r="AG42" s="5">
        <f t="shared" ca="1" si="12"/>
        <v>0</v>
      </c>
      <c r="AH42" s="5">
        <f t="shared" ca="1" si="12"/>
        <v>0</v>
      </c>
      <c r="AI42" s="5">
        <f t="shared" ca="1" si="13"/>
        <v>0</v>
      </c>
      <c r="AJ42" s="5">
        <f t="shared" ca="1" si="13"/>
        <v>0</v>
      </c>
      <c r="AK42" s="5">
        <f t="shared" ca="1" si="13"/>
        <v>0</v>
      </c>
      <c r="AL42" s="5">
        <f t="shared" ca="1" si="13"/>
        <v>0</v>
      </c>
      <c r="AM42" s="5">
        <f t="shared" ca="1" si="13"/>
        <v>0</v>
      </c>
      <c r="AN42" s="5">
        <f t="shared" ca="1" si="13"/>
        <v>0</v>
      </c>
      <c r="AO42" s="5">
        <f t="shared" ca="1" si="13"/>
        <v>0</v>
      </c>
      <c r="AP42" s="5">
        <f t="shared" ca="1" si="13"/>
        <v>0</v>
      </c>
      <c r="AR42" s="4" t="str">
        <f t="shared" ca="1" si="5"/>
        <v/>
      </c>
      <c r="AS42" s="339">
        <f t="shared" ca="1" si="14"/>
        <v>0</v>
      </c>
      <c r="AT42" s="339">
        <f t="shared" ca="1" si="14"/>
        <v>0</v>
      </c>
      <c r="AU42" s="339">
        <f t="shared" ca="1" si="14"/>
        <v>0</v>
      </c>
      <c r="AV42" s="339">
        <f t="shared" ca="1" si="14"/>
        <v>0</v>
      </c>
      <c r="AW42" s="339">
        <f t="shared" ca="1" si="14"/>
        <v>0</v>
      </c>
      <c r="AX42" s="339">
        <f t="shared" ca="1" si="14"/>
        <v>0</v>
      </c>
      <c r="AY42" s="339">
        <f t="shared" ca="1" si="14"/>
        <v>0</v>
      </c>
      <c r="AZ42" s="339">
        <f t="shared" ca="1" si="14"/>
        <v>0</v>
      </c>
      <c r="BA42" s="339">
        <f t="shared" ca="1" si="14"/>
        <v>0</v>
      </c>
      <c r="BB42" s="339">
        <f t="shared" ca="1" si="14"/>
        <v>0</v>
      </c>
      <c r="BD42" s="63" t="str">
        <f>IF(DrawFinder!Y42=0,"",DrawFinder!Y42)</f>
        <v/>
      </c>
      <c r="BF42" s="151" t="str">
        <f t="shared" ca="1" si="9"/>
        <v/>
      </c>
      <c r="BH42" s="63" t="str">
        <f ca="1">IF(ISNUMBER(CS!C42)=FALSE,CONCATENATE(BG42,""),CONCATENATE(BG42,IF(ABS(CS!C42)&lt;10,"0",""),ABS(CS!C42)))</f>
        <v/>
      </c>
      <c r="BI42" s="63" t="str">
        <f ca="1">IF(ISNUMBER(CS!D42)=FALSE,CONCATENATE(BH42,""),CONCATENATE(BH42,IF(ABS(CS!D42)&lt;10,"0",""),ABS(CS!D42)))</f>
        <v/>
      </c>
      <c r="BJ42" s="63" t="str">
        <f ca="1">IF(ISNUMBER(CS!E42)=FALSE,CONCATENATE(BI42,""),CONCATENATE(BI42,IF(ABS(CS!E42)&lt;10,"0",""),ABS(CS!E42)))</f>
        <v/>
      </c>
      <c r="BK42" s="63" t="str">
        <f ca="1">IF(ISNUMBER(CS!F42)=FALSE,CONCATENATE(BJ42,""),CONCATENATE(BJ42,IF(ABS(CS!F42)&lt;10,"0",""),ABS(CS!F42)))</f>
        <v/>
      </c>
      <c r="BL42" s="63" t="str">
        <f ca="1">IF(ISNUMBER(CS!G42)=FALSE,CONCATENATE(BK42,""),CONCATENATE(BK42,IF(ABS(CS!G42)&lt;10,"0",""),ABS(CS!G42)))</f>
        <v/>
      </c>
      <c r="BM42" s="63" t="str">
        <f ca="1">IF(ISNUMBER(CS!H42)=FALSE,CONCATENATE(BL42,""),CONCATENATE(BL42,IF(ABS(CS!H42)&lt;10,"0",""),ABS(CS!H42)))</f>
        <v/>
      </c>
      <c r="BN42" s="63" t="str">
        <f ca="1">IF(ISNUMBER(CS!I42)=FALSE,CONCATENATE(BM42,""),CONCATENATE(BM42,IF(ABS(CS!I42)&lt;10,"0",""),ABS(CS!I42)))</f>
        <v/>
      </c>
      <c r="BO42" s="63" t="str">
        <f ca="1">IF(ISNUMBER(CS!J42)=FALSE,CONCATENATE(BN42,""),CONCATENATE(BN42,IF(ABS(CS!J42)&lt;10,"0",""),ABS(CS!J42)))</f>
        <v/>
      </c>
      <c r="BP42" s="63" t="str">
        <f ca="1">IF(ISNUMBER(CS!K42)=FALSE,CONCATENATE(BO42,""),CONCATENATE(BO42,IF(ABS(CS!K42)&lt;10,"0",""),ABS(CS!K42)))</f>
        <v/>
      </c>
      <c r="BQ42" s="63" t="str">
        <f ca="1">IF(ISNUMBER(CS!L42)=FALSE,CONCATENATE(BP42,""),CONCATENATE(BP42,IF(ABS(CS!L42)&lt;10,"0",""),ABS(CS!L42)))</f>
        <v/>
      </c>
      <c r="BR42" s="63" t="str">
        <f ca="1">IF(ISNUMBER(CS!M42)=FALSE,CONCATENATE(BQ42,""),CONCATENATE(BQ42,IF(ABS(CS!M42)&lt;10,"0",""),ABS(CS!M42)))</f>
        <v/>
      </c>
      <c r="BS42" s="63" t="str">
        <f ca="1">IF(ISNUMBER(CS!N42)=FALSE,CONCATENATE(BR42,""),CONCATENATE(BR42,IF(ABS(CS!N42)&lt;10,"0",""),ABS(CS!N42)))</f>
        <v/>
      </c>
      <c r="BT42" s="63" t="str">
        <f ca="1">IF(ISNUMBER(CS!O42)=FALSE,CONCATENATE(BS42,""),CONCATENATE(BS42,IF(ABS(CS!O42)&lt;10,"0",""),ABS(CS!O42)))</f>
        <v/>
      </c>
      <c r="BU42" s="63" t="str">
        <f ca="1">IF(ISNUMBER(CS!P42)=FALSE,CONCATENATE(BT42,""),CONCATENATE(BT42,IF(ABS(CS!P42)&lt;10,"0",""),ABS(CS!P42)))</f>
        <v/>
      </c>
      <c r="BV42" s="63" t="str">
        <f ca="1">IF(ISNUMBER(CS!Q42)=FALSE,CONCATENATE(BU42,""),CONCATENATE(BU42,IF(ABS(CS!Q42)&lt;10,"0",""),ABS(CS!Q42)))</f>
        <v/>
      </c>
      <c r="BW42" s="63" t="str">
        <f ca="1">IF(ISNUMBER(CS!R42)=FALSE,CONCATENATE(BV42,""),CONCATENATE(BV42,IF(ABS(CS!R42)&lt;10,"0",""),ABS(CS!R42)))</f>
        <v/>
      </c>
      <c r="BX42" s="63" t="str">
        <f ca="1">IF(ISNUMBER(CS!S42)=FALSE,CONCATENATE(BW42,""),CONCATENATE(BW42,IF(ABS(CS!S42)&lt;10,"0",""),ABS(CS!S42)))</f>
        <v/>
      </c>
      <c r="BY42" s="63" t="str">
        <f ca="1">IF(ISNUMBER(CS!T42)=FALSE,CONCATENATE(BX42,""),CONCATENATE(BX42,IF(ABS(CS!T42)&lt;10,"0",""),ABS(CS!T42)))</f>
        <v/>
      </c>
      <c r="BZ42" s="63" t="str">
        <f ca="1">IF(ISNUMBER(CS!U42)=FALSE,CONCATENATE(BY42,""),CONCATENATE(BY42,IF(ABS(CS!U42)&lt;10,"0",""),ABS(CS!U42)))</f>
        <v/>
      </c>
      <c r="CA42" s="63" t="str">
        <f ca="1">IF(ISNUMBER(CS!V42)=FALSE,CONCATENATE(BZ42,""),CONCATENATE(BZ42,IF(ABS(CS!V42)&lt;10,"0",""),ABS(CS!V42)))</f>
        <v/>
      </c>
      <c r="CB42" s="63" t="str">
        <f ca="1">IF(ISNUMBER(CS!W42)=FALSE,CONCATENATE(CA42,""),CONCATENATE(CA42,IF(ABS(CS!W42)&lt;10,"0",""),ABS(CS!W42)))</f>
        <v/>
      </c>
      <c r="CC42" s="63" t="str">
        <f ca="1">IF(ISNUMBER(CS!X42)=FALSE,CONCATENATE(CB42,""),CONCATENATE(CB42,IF(ABS(CS!X42)&lt;10,"0",""),ABS(CS!X42)))</f>
        <v/>
      </c>
      <c r="CD42" s="63" t="str">
        <f ca="1">IF(ISNUMBER(CS!Y42)=FALSE,CONCATENATE(CC42,""),CONCATENATE(CC42,IF(ABS(CS!Y42)&lt;10,"0",""),ABS(CS!Y42)))</f>
        <v/>
      </c>
      <c r="CE42" s="63" t="str">
        <f ca="1">IF(ISNUMBER(CS!Z42)=FALSE,CONCATENATE(CD42,""),CONCATENATE(CD42,IF(ABS(CS!Z42)&lt;10,"0",""),ABS(CS!Z42)))</f>
        <v/>
      </c>
      <c r="CF42" s="63" t="str">
        <f ca="1">IF(ISNUMBER(CS!AA42)=FALSE,CONCATENATE(CE42,""),CONCATENATE(CE42,IF(ABS(CS!AA42)&lt;10,"0",""),ABS(CS!AA42)))</f>
        <v/>
      </c>
      <c r="CG42" s="63" t="str">
        <f ca="1">IF(ISNUMBER(CS!AB42)=FALSE,CONCATENATE(CF42,""),CONCATENATE(CF42,IF(ABS(CS!AB42)&lt;10,"0",""),ABS(CS!AB42)))</f>
        <v/>
      </c>
      <c r="CH42" s="63" t="str">
        <f ca="1">IF(ISNUMBER(CS!AC42)=FALSE,CONCATENATE(CG42,""),CONCATENATE(CG42,IF(ABS(CS!AC42)&lt;10,"0",""),ABS(CS!AC42)))</f>
        <v/>
      </c>
      <c r="CI42" s="63" t="str">
        <f ca="1">IF(ISNUMBER(CS!AD42)=FALSE,CONCATENATE(CH42,""),CONCATENATE(CH42,IF(ABS(CS!AD42)&lt;10,"0",""),ABS(CS!AD42)))</f>
        <v/>
      </c>
      <c r="CJ42" s="63" t="str">
        <f ca="1">IF(ISNUMBER(CS!AE42)=FALSE,CONCATENATE(CI42,""),CONCATENATE(CI42,IF(ABS(CS!AE42)&lt;10,"0",""),ABS(CS!AE42)))</f>
        <v/>
      </c>
      <c r="CK42" s="63" t="str">
        <f ca="1">IF(ISNUMBER(CS!AF42)=FALSE,CONCATENATE(CJ42,""),CONCATENATE(CJ42,IF(ABS(CS!AF42)&lt;10,"0",""),ABS(CS!AF42)))</f>
        <v/>
      </c>
      <c r="CL42" s="63" t="str">
        <f ca="1">IF(ISNUMBER(CS!AG42)=FALSE,CONCATENATE(CK42,""),CONCATENATE(CK42,IF(ABS(CS!AG42)&lt;10,"0",""),ABS(CS!AG42)))</f>
        <v/>
      </c>
      <c r="CM42" s="63" t="str">
        <f ca="1">IF(ISNUMBER(CS!AH42)=FALSE,CONCATENATE(CL42,""),CONCATENATE(CL42,IF(ABS(CS!AH42)&lt;10,"0",""),ABS(CS!AH42)))</f>
        <v/>
      </c>
      <c r="CN42" s="63" t="str">
        <f ca="1">IF(ISNUMBER(CS!AI42)=FALSE,CONCATENATE(CM42,""),CONCATENATE(CM42,IF(ABS(CS!AI42)&lt;10,"0",""),ABS(CS!AI42)))</f>
        <v/>
      </c>
      <c r="CO42" s="63" t="str">
        <f ca="1">IF(ISNUMBER(CS!AJ42)=FALSE,CONCATENATE(CN42,""),CONCATENATE(CN42,IF(ABS(CS!AJ42)&lt;10,"0",""),ABS(CS!AJ42)))</f>
        <v/>
      </c>
      <c r="CP42" s="63" t="str">
        <f ca="1">IF(ISNUMBER(CS!AK42)=FALSE,CONCATENATE(CO42,""),CONCATENATE(CO42,IF(ABS(CS!AK42)&lt;10,"0",""),ABS(CS!AK42)))</f>
        <v/>
      </c>
      <c r="CQ42" s="63" t="str">
        <f ca="1">IF(ISNUMBER(CS!AL42)=FALSE,CONCATENATE(CP42,""),CONCATENATE(CP42,IF(ABS(CS!AL42)&lt;10,"0",""),ABS(CS!AL42)))</f>
        <v/>
      </c>
      <c r="CR42" s="63" t="str">
        <f ca="1">IF(ISNUMBER(CS!AM42)=FALSE,CONCATENATE(CQ42,""),CONCATENATE(CQ42,IF(ABS(CS!AM42)&lt;10,"0",""),ABS(CS!AM42)))</f>
        <v/>
      </c>
      <c r="CS42" s="63" t="str">
        <f ca="1">IF(ISNUMBER(CS!AN42)=FALSE,CONCATENATE(CR42,""),CONCATENATE(CR42,IF(ABS(CS!AN42)&lt;10,"0",""),ABS(CS!AN42)))</f>
        <v/>
      </c>
      <c r="CT42" s="63" t="str">
        <f ca="1">IF(ISNUMBER(CS!AO42)=FALSE,CONCATENATE(CS42,""),CONCATENATE(CS42,IF(ABS(CS!AO42)&lt;10,"0",""),ABS(CS!AO42)))</f>
        <v/>
      </c>
      <c r="CU42" s="63" t="str">
        <f ca="1">IF(ISNUMBER(CS!AP42)=FALSE,CONCATENATE(CT42,""),CONCATENATE(CT42,IF(ABS(CS!AP42)&lt;10,"0",""),ABS(CS!AP42)))</f>
        <v/>
      </c>
    </row>
    <row r="43" spans="2:99">
      <c r="B43" s="4" t="str">
        <f ca="1">CS!AR43</f>
        <v/>
      </c>
      <c r="C43" s="5">
        <f t="shared" ca="1" si="15"/>
        <v>0</v>
      </c>
      <c r="D43" s="5">
        <f t="shared" ca="1" si="8"/>
        <v>0</v>
      </c>
      <c r="E43" s="5">
        <f t="shared" ca="1" si="8"/>
        <v>0</v>
      </c>
      <c r="F43" s="5">
        <f t="shared" ca="1" si="8"/>
        <v>0</v>
      </c>
      <c r="G43" s="5">
        <f t="shared" ca="1" si="8"/>
        <v>0</v>
      </c>
      <c r="H43" s="5">
        <f t="shared" ca="1" si="8"/>
        <v>0</v>
      </c>
      <c r="I43" s="5">
        <f t="shared" ca="1" si="16"/>
        <v>0</v>
      </c>
      <c r="J43" s="5">
        <f t="shared" ca="1" si="16"/>
        <v>0</v>
      </c>
      <c r="K43" s="5">
        <f t="shared" ca="1" si="16"/>
        <v>0</v>
      </c>
      <c r="L43" s="5">
        <f t="shared" ca="1" si="16"/>
        <v>0</v>
      </c>
      <c r="M43" s="5">
        <f t="shared" ca="1" si="16"/>
        <v>0</v>
      </c>
      <c r="N43" s="5">
        <f t="shared" ca="1" si="16"/>
        <v>0</v>
      </c>
      <c r="O43" s="5">
        <f t="shared" ca="1" si="16"/>
        <v>0</v>
      </c>
      <c r="P43" s="5">
        <f t="shared" ca="1" si="16"/>
        <v>0</v>
      </c>
      <c r="Q43" s="5">
        <f t="shared" ca="1" si="16"/>
        <v>0</v>
      </c>
      <c r="R43" s="5">
        <f t="shared" ca="1" si="16"/>
        <v>0</v>
      </c>
      <c r="S43" s="5">
        <f t="shared" ca="1" si="16"/>
        <v>0</v>
      </c>
      <c r="T43" s="5">
        <f t="shared" ca="1" si="16"/>
        <v>0</v>
      </c>
      <c r="U43" s="5">
        <f t="shared" ca="1" si="16"/>
        <v>0</v>
      </c>
      <c r="V43" s="5">
        <f t="shared" ca="1" si="16"/>
        <v>0</v>
      </c>
      <c r="W43" s="5">
        <f t="shared" ca="1" si="16"/>
        <v>0</v>
      </c>
      <c r="X43" s="5">
        <f t="shared" ca="1" si="16"/>
        <v>0</v>
      </c>
      <c r="Y43" s="5">
        <f t="shared" ca="1" si="12"/>
        <v>0</v>
      </c>
      <c r="Z43" s="5">
        <f t="shared" ca="1" si="12"/>
        <v>0</v>
      </c>
      <c r="AA43" s="5">
        <f t="shared" ca="1" si="12"/>
        <v>0</v>
      </c>
      <c r="AB43" s="5">
        <f t="shared" ca="1" si="12"/>
        <v>0</v>
      </c>
      <c r="AC43" s="5">
        <f t="shared" ca="1" si="12"/>
        <v>0</v>
      </c>
      <c r="AD43" s="5">
        <f t="shared" ca="1" si="12"/>
        <v>0</v>
      </c>
      <c r="AE43" s="5">
        <f t="shared" ca="1" si="12"/>
        <v>0</v>
      </c>
      <c r="AF43" s="5">
        <f t="shared" ca="1" si="12"/>
        <v>0</v>
      </c>
      <c r="AG43" s="5">
        <f t="shared" ca="1" si="12"/>
        <v>0</v>
      </c>
      <c r="AH43" s="5">
        <f t="shared" ca="1" si="12"/>
        <v>0</v>
      </c>
      <c r="AI43" s="5">
        <f t="shared" ca="1" si="13"/>
        <v>0</v>
      </c>
      <c r="AJ43" s="5">
        <f t="shared" ca="1" si="13"/>
        <v>0</v>
      </c>
      <c r="AK43" s="5">
        <f t="shared" ca="1" si="13"/>
        <v>0</v>
      </c>
      <c r="AL43" s="5">
        <f t="shared" ca="1" si="13"/>
        <v>0</v>
      </c>
      <c r="AM43" s="5">
        <f t="shared" ca="1" si="13"/>
        <v>0</v>
      </c>
      <c r="AN43" s="5">
        <f t="shared" ca="1" si="13"/>
        <v>0</v>
      </c>
      <c r="AO43" s="5">
        <f t="shared" ca="1" si="13"/>
        <v>0</v>
      </c>
      <c r="AP43" s="5">
        <f t="shared" ca="1" si="13"/>
        <v>0</v>
      </c>
      <c r="AR43" s="4" t="str">
        <f t="shared" ca="1" si="5"/>
        <v/>
      </c>
      <c r="AS43" s="339">
        <f t="shared" ca="1" si="14"/>
        <v>0</v>
      </c>
      <c r="AT43" s="339">
        <f t="shared" ca="1" si="14"/>
        <v>0</v>
      </c>
      <c r="AU43" s="339">
        <f t="shared" ca="1" si="14"/>
        <v>0</v>
      </c>
      <c r="AV43" s="339">
        <f t="shared" ca="1" si="14"/>
        <v>0</v>
      </c>
      <c r="AW43" s="339">
        <f t="shared" ca="1" si="14"/>
        <v>0</v>
      </c>
      <c r="AX43" s="339">
        <f t="shared" ca="1" si="14"/>
        <v>0</v>
      </c>
      <c r="AY43" s="339">
        <f t="shared" ca="1" si="14"/>
        <v>0</v>
      </c>
      <c r="AZ43" s="339">
        <f t="shared" ca="1" si="14"/>
        <v>0</v>
      </c>
      <c r="BA43" s="339">
        <f t="shared" ca="1" si="14"/>
        <v>0</v>
      </c>
      <c r="BB43" s="339">
        <f t="shared" ca="1" si="14"/>
        <v>0</v>
      </c>
      <c r="BD43" s="63" t="str">
        <f>IF(DrawFinder!Y43=0,"",DrawFinder!Y43)</f>
        <v/>
      </c>
      <c r="BF43" s="151" t="str">
        <f t="shared" ca="1" si="9"/>
        <v/>
      </c>
      <c r="BH43" s="63" t="str">
        <f ca="1">IF(ISNUMBER(CS!C43)=FALSE,CONCATENATE(BG43,""),CONCATENATE(BG43,IF(ABS(CS!C43)&lt;10,"0",""),ABS(CS!C43)))</f>
        <v/>
      </c>
      <c r="BI43" s="63" t="str">
        <f ca="1">IF(ISNUMBER(CS!D43)=FALSE,CONCATENATE(BH43,""),CONCATENATE(BH43,IF(ABS(CS!D43)&lt;10,"0",""),ABS(CS!D43)))</f>
        <v/>
      </c>
      <c r="BJ43" s="63" t="str">
        <f ca="1">IF(ISNUMBER(CS!E43)=FALSE,CONCATENATE(BI43,""),CONCATENATE(BI43,IF(ABS(CS!E43)&lt;10,"0",""),ABS(CS!E43)))</f>
        <v/>
      </c>
      <c r="BK43" s="63" t="str">
        <f ca="1">IF(ISNUMBER(CS!F43)=FALSE,CONCATENATE(BJ43,""),CONCATENATE(BJ43,IF(ABS(CS!F43)&lt;10,"0",""),ABS(CS!F43)))</f>
        <v/>
      </c>
      <c r="BL43" s="63" t="str">
        <f ca="1">IF(ISNUMBER(CS!G43)=FALSE,CONCATENATE(BK43,""),CONCATENATE(BK43,IF(ABS(CS!G43)&lt;10,"0",""),ABS(CS!G43)))</f>
        <v/>
      </c>
      <c r="BM43" s="63" t="str">
        <f ca="1">IF(ISNUMBER(CS!H43)=FALSE,CONCATENATE(BL43,""),CONCATENATE(BL43,IF(ABS(CS!H43)&lt;10,"0",""),ABS(CS!H43)))</f>
        <v/>
      </c>
      <c r="BN43" s="63" t="str">
        <f ca="1">IF(ISNUMBER(CS!I43)=FALSE,CONCATENATE(BM43,""),CONCATENATE(BM43,IF(ABS(CS!I43)&lt;10,"0",""),ABS(CS!I43)))</f>
        <v/>
      </c>
      <c r="BO43" s="63" t="str">
        <f ca="1">IF(ISNUMBER(CS!J43)=FALSE,CONCATENATE(BN43,""),CONCATENATE(BN43,IF(ABS(CS!J43)&lt;10,"0",""),ABS(CS!J43)))</f>
        <v/>
      </c>
      <c r="BP43" s="63" t="str">
        <f ca="1">IF(ISNUMBER(CS!K43)=FALSE,CONCATENATE(BO43,""),CONCATENATE(BO43,IF(ABS(CS!K43)&lt;10,"0",""),ABS(CS!K43)))</f>
        <v/>
      </c>
      <c r="BQ43" s="63" t="str">
        <f ca="1">IF(ISNUMBER(CS!L43)=FALSE,CONCATENATE(BP43,""),CONCATENATE(BP43,IF(ABS(CS!L43)&lt;10,"0",""),ABS(CS!L43)))</f>
        <v/>
      </c>
      <c r="BR43" s="63" t="str">
        <f ca="1">IF(ISNUMBER(CS!M43)=FALSE,CONCATENATE(BQ43,""),CONCATENATE(BQ43,IF(ABS(CS!M43)&lt;10,"0",""),ABS(CS!M43)))</f>
        <v/>
      </c>
      <c r="BS43" s="63" t="str">
        <f ca="1">IF(ISNUMBER(CS!N43)=FALSE,CONCATENATE(BR43,""),CONCATENATE(BR43,IF(ABS(CS!N43)&lt;10,"0",""),ABS(CS!N43)))</f>
        <v/>
      </c>
      <c r="BT43" s="63" t="str">
        <f ca="1">IF(ISNUMBER(CS!O43)=FALSE,CONCATENATE(BS43,""),CONCATENATE(BS43,IF(ABS(CS!O43)&lt;10,"0",""),ABS(CS!O43)))</f>
        <v/>
      </c>
      <c r="BU43" s="63" t="str">
        <f ca="1">IF(ISNUMBER(CS!P43)=FALSE,CONCATENATE(BT43,""),CONCATENATE(BT43,IF(ABS(CS!P43)&lt;10,"0",""),ABS(CS!P43)))</f>
        <v/>
      </c>
      <c r="BV43" s="63" t="str">
        <f ca="1">IF(ISNUMBER(CS!Q43)=FALSE,CONCATENATE(BU43,""),CONCATENATE(BU43,IF(ABS(CS!Q43)&lt;10,"0",""),ABS(CS!Q43)))</f>
        <v/>
      </c>
      <c r="BW43" s="63" t="str">
        <f ca="1">IF(ISNUMBER(CS!R43)=FALSE,CONCATENATE(BV43,""),CONCATENATE(BV43,IF(ABS(CS!R43)&lt;10,"0",""),ABS(CS!R43)))</f>
        <v/>
      </c>
      <c r="BX43" s="63" t="str">
        <f ca="1">IF(ISNUMBER(CS!S43)=FALSE,CONCATENATE(BW43,""),CONCATENATE(BW43,IF(ABS(CS!S43)&lt;10,"0",""),ABS(CS!S43)))</f>
        <v/>
      </c>
      <c r="BY43" s="63" t="str">
        <f ca="1">IF(ISNUMBER(CS!T43)=FALSE,CONCATENATE(BX43,""),CONCATENATE(BX43,IF(ABS(CS!T43)&lt;10,"0",""),ABS(CS!T43)))</f>
        <v/>
      </c>
      <c r="BZ43" s="63" t="str">
        <f ca="1">IF(ISNUMBER(CS!U43)=FALSE,CONCATENATE(BY43,""),CONCATENATE(BY43,IF(ABS(CS!U43)&lt;10,"0",""),ABS(CS!U43)))</f>
        <v/>
      </c>
      <c r="CA43" s="63" t="str">
        <f ca="1">IF(ISNUMBER(CS!V43)=FALSE,CONCATENATE(BZ43,""),CONCATENATE(BZ43,IF(ABS(CS!V43)&lt;10,"0",""),ABS(CS!V43)))</f>
        <v/>
      </c>
      <c r="CB43" s="63" t="str">
        <f ca="1">IF(ISNUMBER(CS!W43)=FALSE,CONCATENATE(CA43,""),CONCATENATE(CA43,IF(ABS(CS!W43)&lt;10,"0",""),ABS(CS!W43)))</f>
        <v/>
      </c>
      <c r="CC43" s="63" t="str">
        <f ca="1">IF(ISNUMBER(CS!X43)=FALSE,CONCATENATE(CB43,""),CONCATENATE(CB43,IF(ABS(CS!X43)&lt;10,"0",""),ABS(CS!X43)))</f>
        <v/>
      </c>
      <c r="CD43" s="63" t="str">
        <f ca="1">IF(ISNUMBER(CS!Y43)=FALSE,CONCATENATE(CC43,""),CONCATENATE(CC43,IF(ABS(CS!Y43)&lt;10,"0",""),ABS(CS!Y43)))</f>
        <v/>
      </c>
      <c r="CE43" s="63" t="str">
        <f ca="1">IF(ISNUMBER(CS!Z43)=FALSE,CONCATENATE(CD43,""),CONCATENATE(CD43,IF(ABS(CS!Z43)&lt;10,"0",""),ABS(CS!Z43)))</f>
        <v/>
      </c>
      <c r="CF43" s="63" t="str">
        <f ca="1">IF(ISNUMBER(CS!AA43)=FALSE,CONCATENATE(CE43,""),CONCATENATE(CE43,IF(ABS(CS!AA43)&lt;10,"0",""),ABS(CS!AA43)))</f>
        <v/>
      </c>
      <c r="CG43" s="63" t="str">
        <f ca="1">IF(ISNUMBER(CS!AB43)=FALSE,CONCATENATE(CF43,""),CONCATENATE(CF43,IF(ABS(CS!AB43)&lt;10,"0",""),ABS(CS!AB43)))</f>
        <v/>
      </c>
      <c r="CH43" s="63" t="str">
        <f ca="1">IF(ISNUMBER(CS!AC43)=FALSE,CONCATENATE(CG43,""),CONCATENATE(CG43,IF(ABS(CS!AC43)&lt;10,"0",""),ABS(CS!AC43)))</f>
        <v/>
      </c>
      <c r="CI43" s="63" t="str">
        <f ca="1">IF(ISNUMBER(CS!AD43)=FALSE,CONCATENATE(CH43,""),CONCATENATE(CH43,IF(ABS(CS!AD43)&lt;10,"0",""),ABS(CS!AD43)))</f>
        <v/>
      </c>
      <c r="CJ43" s="63" t="str">
        <f ca="1">IF(ISNUMBER(CS!AE43)=FALSE,CONCATENATE(CI43,""),CONCATENATE(CI43,IF(ABS(CS!AE43)&lt;10,"0",""),ABS(CS!AE43)))</f>
        <v/>
      </c>
      <c r="CK43" s="63" t="str">
        <f ca="1">IF(ISNUMBER(CS!AF43)=FALSE,CONCATENATE(CJ43,""),CONCATENATE(CJ43,IF(ABS(CS!AF43)&lt;10,"0",""),ABS(CS!AF43)))</f>
        <v/>
      </c>
      <c r="CL43" s="63" t="str">
        <f ca="1">IF(ISNUMBER(CS!AG43)=FALSE,CONCATENATE(CK43,""),CONCATENATE(CK43,IF(ABS(CS!AG43)&lt;10,"0",""),ABS(CS!AG43)))</f>
        <v/>
      </c>
      <c r="CM43" s="63" t="str">
        <f ca="1">IF(ISNUMBER(CS!AH43)=FALSE,CONCATENATE(CL43,""),CONCATENATE(CL43,IF(ABS(CS!AH43)&lt;10,"0",""),ABS(CS!AH43)))</f>
        <v/>
      </c>
      <c r="CN43" s="63" t="str">
        <f ca="1">IF(ISNUMBER(CS!AI43)=FALSE,CONCATENATE(CM43,""),CONCATENATE(CM43,IF(ABS(CS!AI43)&lt;10,"0",""),ABS(CS!AI43)))</f>
        <v/>
      </c>
      <c r="CO43" s="63" t="str">
        <f ca="1">IF(ISNUMBER(CS!AJ43)=FALSE,CONCATENATE(CN43,""),CONCATENATE(CN43,IF(ABS(CS!AJ43)&lt;10,"0",""),ABS(CS!AJ43)))</f>
        <v/>
      </c>
      <c r="CP43" s="63" t="str">
        <f ca="1">IF(ISNUMBER(CS!AK43)=FALSE,CONCATENATE(CO43,""),CONCATENATE(CO43,IF(ABS(CS!AK43)&lt;10,"0",""),ABS(CS!AK43)))</f>
        <v/>
      </c>
      <c r="CQ43" s="63" t="str">
        <f ca="1">IF(ISNUMBER(CS!AL43)=FALSE,CONCATENATE(CP43,""),CONCATENATE(CP43,IF(ABS(CS!AL43)&lt;10,"0",""),ABS(CS!AL43)))</f>
        <v/>
      </c>
      <c r="CR43" s="63" t="str">
        <f ca="1">IF(ISNUMBER(CS!AM43)=FALSE,CONCATENATE(CQ43,""),CONCATENATE(CQ43,IF(ABS(CS!AM43)&lt;10,"0",""),ABS(CS!AM43)))</f>
        <v/>
      </c>
      <c r="CS43" s="63" t="str">
        <f ca="1">IF(ISNUMBER(CS!AN43)=FALSE,CONCATENATE(CR43,""),CONCATENATE(CR43,IF(ABS(CS!AN43)&lt;10,"0",""),ABS(CS!AN43)))</f>
        <v/>
      </c>
      <c r="CT43" s="63" t="str">
        <f ca="1">IF(ISNUMBER(CS!AO43)=FALSE,CONCATENATE(CS43,""),CONCATENATE(CS43,IF(ABS(CS!AO43)&lt;10,"0",""),ABS(CS!AO43)))</f>
        <v/>
      </c>
      <c r="CU43" s="63" t="str">
        <f ca="1">IF(ISNUMBER(CS!AP43)=FALSE,CONCATENATE(CT43,""),CONCATENATE(CT43,IF(ABS(CS!AP43)&lt;10,"0",""),ABS(CS!AP43)))</f>
        <v/>
      </c>
    </row>
    <row r="44" spans="2:99">
      <c r="B44" s="4" t="str">
        <f ca="1">CS!AR44</f>
        <v/>
      </c>
      <c r="C44" s="5">
        <f t="shared" ca="1" si="15"/>
        <v>0</v>
      </c>
      <c r="D44" s="5">
        <f t="shared" ca="1" si="8"/>
        <v>0</v>
      </c>
      <c r="E44" s="5">
        <f t="shared" ca="1" si="8"/>
        <v>0</v>
      </c>
      <c r="F44" s="5">
        <f t="shared" ca="1" si="8"/>
        <v>0</v>
      </c>
      <c r="G44" s="5">
        <f t="shared" ca="1" si="8"/>
        <v>0</v>
      </c>
      <c r="H44" s="5">
        <f t="shared" ca="1" si="8"/>
        <v>0</v>
      </c>
      <c r="I44" s="5">
        <f t="shared" ca="1" si="16"/>
        <v>0</v>
      </c>
      <c r="J44" s="5">
        <f t="shared" ca="1" si="16"/>
        <v>0</v>
      </c>
      <c r="K44" s="5">
        <f t="shared" ca="1" si="16"/>
        <v>0</v>
      </c>
      <c r="L44" s="5">
        <f t="shared" ca="1" si="16"/>
        <v>0</v>
      </c>
      <c r="M44" s="5">
        <f t="shared" ca="1" si="16"/>
        <v>0</v>
      </c>
      <c r="N44" s="5">
        <f t="shared" ca="1" si="16"/>
        <v>0</v>
      </c>
      <c r="O44" s="5">
        <f t="shared" ca="1" si="16"/>
        <v>0</v>
      </c>
      <c r="P44" s="5">
        <f t="shared" ca="1" si="16"/>
        <v>0</v>
      </c>
      <c r="Q44" s="5">
        <f t="shared" ca="1" si="16"/>
        <v>0</v>
      </c>
      <c r="R44" s="5">
        <f t="shared" ca="1" si="16"/>
        <v>0</v>
      </c>
      <c r="S44" s="5">
        <f t="shared" ca="1" si="16"/>
        <v>0</v>
      </c>
      <c r="T44" s="5">
        <f t="shared" ca="1" si="16"/>
        <v>0</v>
      </c>
      <c r="U44" s="5">
        <f t="shared" ca="1" si="16"/>
        <v>0</v>
      </c>
      <c r="V44" s="5">
        <f t="shared" ca="1" si="16"/>
        <v>0</v>
      </c>
      <c r="W44" s="5">
        <f t="shared" ca="1" si="16"/>
        <v>0</v>
      </c>
      <c r="X44" s="5">
        <f t="shared" ca="1" si="16"/>
        <v>0</v>
      </c>
      <c r="Y44" s="5">
        <f t="shared" ca="1" si="12"/>
        <v>0</v>
      </c>
      <c r="Z44" s="5">
        <f t="shared" ca="1" si="12"/>
        <v>0</v>
      </c>
      <c r="AA44" s="5">
        <f t="shared" ca="1" si="12"/>
        <v>0</v>
      </c>
      <c r="AB44" s="5">
        <f t="shared" ca="1" si="12"/>
        <v>0</v>
      </c>
      <c r="AC44" s="5">
        <f t="shared" ca="1" si="12"/>
        <v>0</v>
      </c>
      <c r="AD44" s="5">
        <f t="shared" ca="1" si="12"/>
        <v>0</v>
      </c>
      <c r="AE44" s="5">
        <f t="shared" ca="1" si="12"/>
        <v>0</v>
      </c>
      <c r="AF44" s="5">
        <f t="shared" ca="1" si="12"/>
        <v>0</v>
      </c>
      <c r="AG44" s="5">
        <f t="shared" ca="1" si="12"/>
        <v>0</v>
      </c>
      <c r="AH44" s="5">
        <f t="shared" ca="1" si="12"/>
        <v>0</v>
      </c>
      <c r="AI44" s="5">
        <f t="shared" ca="1" si="13"/>
        <v>0</v>
      </c>
      <c r="AJ44" s="5">
        <f t="shared" ca="1" si="13"/>
        <v>0</v>
      </c>
      <c r="AK44" s="5">
        <f t="shared" ca="1" si="13"/>
        <v>0</v>
      </c>
      <c r="AL44" s="5">
        <f t="shared" ca="1" si="13"/>
        <v>0</v>
      </c>
      <c r="AM44" s="5">
        <f t="shared" ca="1" si="13"/>
        <v>0</v>
      </c>
      <c r="AN44" s="5">
        <f t="shared" ca="1" si="13"/>
        <v>0</v>
      </c>
      <c r="AO44" s="5">
        <f t="shared" ca="1" si="13"/>
        <v>0</v>
      </c>
      <c r="AP44" s="5">
        <f t="shared" ca="1" si="13"/>
        <v>0</v>
      </c>
      <c r="AR44" s="4" t="str">
        <f t="shared" ca="1" si="5"/>
        <v/>
      </c>
      <c r="AS44" s="339">
        <f t="shared" ca="1" si="14"/>
        <v>0</v>
      </c>
      <c r="AT44" s="339">
        <f t="shared" ca="1" si="14"/>
        <v>0</v>
      </c>
      <c r="AU44" s="339">
        <f t="shared" ca="1" si="14"/>
        <v>0</v>
      </c>
      <c r="AV44" s="339">
        <f t="shared" ca="1" si="14"/>
        <v>0</v>
      </c>
      <c r="AW44" s="339">
        <f t="shared" ca="1" si="14"/>
        <v>0</v>
      </c>
      <c r="AX44" s="339">
        <f t="shared" ca="1" si="14"/>
        <v>0</v>
      </c>
      <c r="AY44" s="339">
        <f t="shared" ca="1" si="14"/>
        <v>0</v>
      </c>
      <c r="AZ44" s="339">
        <f t="shared" ca="1" si="14"/>
        <v>0</v>
      </c>
      <c r="BA44" s="339">
        <f t="shared" ca="1" si="14"/>
        <v>0</v>
      </c>
      <c r="BB44" s="339">
        <f t="shared" ca="1" si="14"/>
        <v>0</v>
      </c>
      <c r="BD44" s="63" t="str">
        <f>IF(DrawFinder!Y44=0,"",DrawFinder!Y44)</f>
        <v/>
      </c>
      <c r="BF44" s="151" t="str">
        <f t="shared" ca="1" si="9"/>
        <v/>
      </c>
      <c r="BH44" s="63" t="str">
        <f ca="1">IF(ISNUMBER(CS!C44)=FALSE,CONCATENATE(BG44,""),CONCATENATE(BG44,IF(ABS(CS!C44)&lt;10,"0",""),ABS(CS!C44)))</f>
        <v/>
      </c>
      <c r="BI44" s="63" t="str">
        <f ca="1">IF(ISNUMBER(CS!D44)=FALSE,CONCATENATE(BH44,""),CONCATENATE(BH44,IF(ABS(CS!D44)&lt;10,"0",""),ABS(CS!D44)))</f>
        <v/>
      </c>
      <c r="BJ44" s="63" t="str">
        <f ca="1">IF(ISNUMBER(CS!E44)=FALSE,CONCATENATE(BI44,""),CONCATENATE(BI44,IF(ABS(CS!E44)&lt;10,"0",""),ABS(CS!E44)))</f>
        <v/>
      </c>
      <c r="BK44" s="63" t="str">
        <f ca="1">IF(ISNUMBER(CS!F44)=FALSE,CONCATENATE(BJ44,""),CONCATENATE(BJ44,IF(ABS(CS!F44)&lt;10,"0",""),ABS(CS!F44)))</f>
        <v/>
      </c>
      <c r="BL44" s="63" t="str">
        <f ca="1">IF(ISNUMBER(CS!G44)=FALSE,CONCATENATE(BK44,""),CONCATENATE(BK44,IF(ABS(CS!G44)&lt;10,"0",""),ABS(CS!G44)))</f>
        <v/>
      </c>
      <c r="BM44" s="63" t="str">
        <f ca="1">IF(ISNUMBER(CS!H44)=FALSE,CONCATENATE(BL44,""),CONCATENATE(BL44,IF(ABS(CS!H44)&lt;10,"0",""),ABS(CS!H44)))</f>
        <v/>
      </c>
      <c r="BN44" s="63" t="str">
        <f ca="1">IF(ISNUMBER(CS!I44)=FALSE,CONCATENATE(BM44,""),CONCATENATE(BM44,IF(ABS(CS!I44)&lt;10,"0",""),ABS(CS!I44)))</f>
        <v/>
      </c>
      <c r="BO44" s="63" t="str">
        <f ca="1">IF(ISNUMBER(CS!J44)=FALSE,CONCATENATE(BN44,""),CONCATENATE(BN44,IF(ABS(CS!J44)&lt;10,"0",""),ABS(CS!J44)))</f>
        <v/>
      </c>
      <c r="BP44" s="63" t="str">
        <f ca="1">IF(ISNUMBER(CS!K44)=FALSE,CONCATENATE(BO44,""),CONCATENATE(BO44,IF(ABS(CS!K44)&lt;10,"0",""),ABS(CS!K44)))</f>
        <v/>
      </c>
      <c r="BQ44" s="63" t="str">
        <f ca="1">IF(ISNUMBER(CS!L44)=FALSE,CONCATENATE(BP44,""),CONCATENATE(BP44,IF(ABS(CS!L44)&lt;10,"0",""),ABS(CS!L44)))</f>
        <v/>
      </c>
      <c r="BR44" s="63" t="str">
        <f ca="1">IF(ISNUMBER(CS!M44)=FALSE,CONCATENATE(BQ44,""),CONCATENATE(BQ44,IF(ABS(CS!M44)&lt;10,"0",""),ABS(CS!M44)))</f>
        <v/>
      </c>
      <c r="BS44" s="63" t="str">
        <f ca="1">IF(ISNUMBER(CS!N44)=FALSE,CONCATENATE(BR44,""),CONCATENATE(BR44,IF(ABS(CS!N44)&lt;10,"0",""),ABS(CS!N44)))</f>
        <v/>
      </c>
      <c r="BT44" s="63" t="str">
        <f ca="1">IF(ISNUMBER(CS!O44)=FALSE,CONCATENATE(BS44,""),CONCATENATE(BS44,IF(ABS(CS!O44)&lt;10,"0",""),ABS(CS!O44)))</f>
        <v/>
      </c>
      <c r="BU44" s="63" t="str">
        <f ca="1">IF(ISNUMBER(CS!P44)=FALSE,CONCATENATE(BT44,""),CONCATENATE(BT44,IF(ABS(CS!P44)&lt;10,"0",""),ABS(CS!P44)))</f>
        <v/>
      </c>
      <c r="BV44" s="63" t="str">
        <f ca="1">IF(ISNUMBER(CS!Q44)=FALSE,CONCATENATE(BU44,""),CONCATENATE(BU44,IF(ABS(CS!Q44)&lt;10,"0",""),ABS(CS!Q44)))</f>
        <v/>
      </c>
      <c r="BW44" s="63" t="str">
        <f ca="1">IF(ISNUMBER(CS!R44)=FALSE,CONCATENATE(BV44,""),CONCATENATE(BV44,IF(ABS(CS!R44)&lt;10,"0",""),ABS(CS!R44)))</f>
        <v/>
      </c>
      <c r="BX44" s="63" t="str">
        <f ca="1">IF(ISNUMBER(CS!S44)=FALSE,CONCATENATE(BW44,""),CONCATENATE(BW44,IF(ABS(CS!S44)&lt;10,"0",""),ABS(CS!S44)))</f>
        <v/>
      </c>
      <c r="BY44" s="63" t="str">
        <f ca="1">IF(ISNUMBER(CS!T44)=FALSE,CONCATENATE(BX44,""),CONCATENATE(BX44,IF(ABS(CS!T44)&lt;10,"0",""),ABS(CS!T44)))</f>
        <v/>
      </c>
      <c r="BZ44" s="63" t="str">
        <f ca="1">IF(ISNUMBER(CS!U44)=FALSE,CONCATENATE(BY44,""),CONCATENATE(BY44,IF(ABS(CS!U44)&lt;10,"0",""),ABS(CS!U44)))</f>
        <v/>
      </c>
      <c r="CA44" s="63" t="str">
        <f ca="1">IF(ISNUMBER(CS!V44)=FALSE,CONCATENATE(BZ44,""),CONCATENATE(BZ44,IF(ABS(CS!V44)&lt;10,"0",""),ABS(CS!V44)))</f>
        <v/>
      </c>
      <c r="CB44" s="63" t="str">
        <f ca="1">IF(ISNUMBER(CS!W44)=FALSE,CONCATENATE(CA44,""),CONCATENATE(CA44,IF(ABS(CS!W44)&lt;10,"0",""),ABS(CS!W44)))</f>
        <v/>
      </c>
      <c r="CC44" s="63" t="str">
        <f ca="1">IF(ISNUMBER(CS!X44)=FALSE,CONCATENATE(CB44,""),CONCATENATE(CB44,IF(ABS(CS!X44)&lt;10,"0",""),ABS(CS!X44)))</f>
        <v/>
      </c>
      <c r="CD44" s="63" t="str">
        <f ca="1">IF(ISNUMBER(CS!Y44)=FALSE,CONCATENATE(CC44,""),CONCATENATE(CC44,IF(ABS(CS!Y44)&lt;10,"0",""),ABS(CS!Y44)))</f>
        <v/>
      </c>
      <c r="CE44" s="63" t="str">
        <f ca="1">IF(ISNUMBER(CS!Z44)=FALSE,CONCATENATE(CD44,""),CONCATENATE(CD44,IF(ABS(CS!Z44)&lt;10,"0",""),ABS(CS!Z44)))</f>
        <v/>
      </c>
      <c r="CF44" s="63" t="str">
        <f ca="1">IF(ISNUMBER(CS!AA44)=FALSE,CONCATENATE(CE44,""),CONCATENATE(CE44,IF(ABS(CS!AA44)&lt;10,"0",""),ABS(CS!AA44)))</f>
        <v/>
      </c>
      <c r="CG44" s="63" t="str">
        <f ca="1">IF(ISNUMBER(CS!AB44)=FALSE,CONCATENATE(CF44,""),CONCATENATE(CF44,IF(ABS(CS!AB44)&lt;10,"0",""),ABS(CS!AB44)))</f>
        <v/>
      </c>
      <c r="CH44" s="63" t="str">
        <f ca="1">IF(ISNUMBER(CS!AC44)=FALSE,CONCATENATE(CG44,""),CONCATENATE(CG44,IF(ABS(CS!AC44)&lt;10,"0",""),ABS(CS!AC44)))</f>
        <v/>
      </c>
      <c r="CI44" s="63" t="str">
        <f ca="1">IF(ISNUMBER(CS!AD44)=FALSE,CONCATENATE(CH44,""),CONCATENATE(CH44,IF(ABS(CS!AD44)&lt;10,"0",""),ABS(CS!AD44)))</f>
        <v/>
      </c>
      <c r="CJ44" s="63" t="str">
        <f ca="1">IF(ISNUMBER(CS!AE44)=FALSE,CONCATENATE(CI44,""),CONCATENATE(CI44,IF(ABS(CS!AE44)&lt;10,"0",""),ABS(CS!AE44)))</f>
        <v/>
      </c>
      <c r="CK44" s="63" t="str">
        <f ca="1">IF(ISNUMBER(CS!AF44)=FALSE,CONCATENATE(CJ44,""),CONCATENATE(CJ44,IF(ABS(CS!AF44)&lt;10,"0",""),ABS(CS!AF44)))</f>
        <v/>
      </c>
      <c r="CL44" s="63" t="str">
        <f ca="1">IF(ISNUMBER(CS!AG44)=FALSE,CONCATENATE(CK44,""),CONCATENATE(CK44,IF(ABS(CS!AG44)&lt;10,"0",""),ABS(CS!AG44)))</f>
        <v/>
      </c>
      <c r="CM44" s="63" t="str">
        <f ca="1">IF(ISNUMBER(CS!AH44)=FALSE,CONCATENATE(CL44,""),CONCATENATE(CL44,IF(ABS(CS!AH44)&lt;10,"0",""),ABS(CS!AH44)))</f>
        <v/>
      </c>
      <c r="CN44" s="63" t="str">
        <f ca="1">IF(ISNUMBER(CS!AI44)=FALSE,CONCATENATE(CM44,""),CONCATENATE(CM44,IF(ABS(CS!AI44)&lt;10,"0",""),ABS(CS!AI44)))</f>
        <v/>
      </c>
      <c r="CO44" s="63" t="str">
        <f ca="1">IF(ISNUMBER(CS!AJ44)=FALSE,CONCATENATE(CN44,""),CONCATENATE(CN44,IF(ABS(CS!AJ44)&lt;10,"0",""),ABS(CS!AJ44)))</f>
        <v/>
      </c>
      <c r="CP44" s="63" t="str">
        <f ca="1">IF(ISNUMBER(CS!AK44)=FALSE,CONCATENATE(CO44,""),CONCATENATE(CO44,IF(ABS(CS!AK44)&lt;10,"0",""),ABS(CS!AK44)))</f>
        <v/>
      </c>
      <c r="CQ44" s="63" t="str">
        <f ca="1">IF(ISNUMBER(CS!AL44)=FALSE,CONCATENATE(CP44,""),CONCATENATE(CP44,IF(ABS(CS!AL44)&lt;10,"0",""),ABS(CS!AL44)))</f>
        <v/>
      </c>
      <c r="CR44" s="63" t="str">
        <f ca="1">IF(ISNUMBER(CS!AM44)=FALSE,CONCATENATE(CQ44,""),CONCATENATE(CQ44,IF(ABS(CS!AM44)&lt;10,"0",""),ABS(CS!AM44)))</f>
        <v/>
      </c>
      <c r="CS44" s="63" t="str">
        <f ca="1">IF(ISNUMBER(CS!AN44)=FALSE,CONCATENATE(CR44,""),CONCATENATE(CR44,IF(ABS(CS!AN44)&lt;10,"0",""),ABS(CS!AN44)))</f>
        <v/>
      </c>
      <c r="CT44" s="63" t="str">
        <f ca="1">IF(ISNUMBER(CS!AO44)=FALSE,CONCATENATE(CS44,""),CONCATENATE(CS44,IF(ABS(CS!AO44)&lt;10,"0",""),ABS(CS!AO44)))</f>
        <v/>
      </c>
      <c r="CU44" s="63" t="str">
        <f ca="1">IF(ISNUMBER(CS!AP44)=FALSE,CONCATENATE(CT44,""),CONCATENATE(CT44,IF(ABS(CS!AP44)&lt;10,"0",""),ABS(CS!AP44)))</f>
        <v/>
      </c>
    </row>
    <row r="45" spans="2:99">
      <c r="B45" s="4" t="str">
        <f ca="1">CS!AR45</f>
        <v/>
      </c>
      <c r="C45" s="5">
        <f t="shared" ca="1" si="15"/>
        <v>0</v>
      </c>
      <c r="D45" s="5">
        <f t="shared" ca="1" si="8"/>
        <v>0</v>
      </c>
      <c r="E45" s="5">
        <f t="shared" ca="1" si="8"/>
        <v>0</v>
      </c>
      <c r="F45" s="5">
        <f t="shared" ca="1" si="8"/>
        <v>0</v>
      </c>
      <c r="G45" s="5">
        <f t="shared" ca="1" si="8"/>
        <v>0</v>
      </c>
      <c r="H45" s="5">
        <f t="shared" ca="1" si="8"/>
        <v>0</v>
      </c>
      <c r="I45" s="5">
        <f t="shared" ca="1" si="16"/>
        <v>0</v>
      </c>
      <c r="J45" s="5">
        <f t="shared" ca="1" si="16"/>
        <v>0</v>
      </c>
      <c r="K45" s="5">
        <f t="shared" ca="1" si="16"/>
        <v>0</v>
      </c>
      <c r="L45" s="5">
        <f t="shared" ca="1" si="16"/>
        <v>0</v>
      </c>
      <c r="M45" s="5">
        <f t="shared" ca="1" si="16"/>
        <v>0</v>
      </c>
      <c r="N45" s="5">
        <f t="shared" ca="1" si="16"/>
        <v>0</v>
      </c>
      <c r="O45" s="5">
        <f t="shared" ca="1" si="16"/>
        <v>0</v>
      </c>
      <c r="P45" s="5">
        <f t="shared" ca="1" si="16"/>
        <v>0</v>
      </c>
      <c r="Q45" s="5">
        <f t="shared" ca="1" si="16"/>
        <v>0</v>
      </c>
      <c r="R45" s="5">
        <f t="shared" ca="1" si="16"/>
        <v>0</v>
      </c>
      <c r="S45" s="5">
        <f t="shared" ca="1" si="16"/>
        <v>0</v>
      </c>
      <c r="T45" s="5">
        <f t="shared" ca="1" si="16"/>
        <v>0</v>
      </c>
      <c r="U45" s="5">
        <f t="shared" ca="1" si="16"/>
        <v>0</v>
      </c>
      <c r="V45" s="5">
        <f t="shared" ca="1" si="16"/>
        <v>0</v>
      </c>
      <c r="W45" s="5">
        <f t="shared" ca="1" si="16"/>
        <v>0</v>
      </c>
      <c r="X45" s="5">
        <f t="shared" ca="1" si="16"/>
        <v>0</v>
      </c>
      <c r="Y45" s="5">
        <f t="shared" ca="1" si="12"/>
        <v>0</v>
      </c>
      <c r="Z45" s="5">
        <f t="shared" ca="1" si="12"/>
        <v>0</v>
      </c>
      <c r="AA45" s="5">
        <f t="shared" ca="1" si="12"/>
        <v>0</v>
      </c>
      <c r="AB45" s="5">
        <f t="shared" ca="1" si="12"/>
        <v>0</v>
      </c>
      <c r="AC45" s="5">
        <f t="shared" ca="1" si="12"/>
        <v>0</v>
      </c>
      <c r="AD45" s="5">
        <f t="shared" ca="1" si="12"/>
        <v>0</v>
      </c>
      <c r="AE45" s="5">
        <f t="shared" ca="1" si="12"/>
        <v>0</v>
      </c>
      <c r="AF45" s="5">
        <f t="shared" ca="1" si="12"/>
        <v>0</v>
      </c>
      <c r="AG45" s="5">
        <f t="shared" ca="1" si="12"/>
        <v>0</v>
      </c>
      <c r="AH45" s="5">
        <f t="shared" ca="1" si="12"/>
        <v>0</v>
      </c>
      <c r="AI45" s="5">
        <f t="shared" ca="1" si="13"/>
        <v>0</v>
      </c>
      <c r="AJ45" s="5">
        <f t="shared" ca="1" si="13"/>
        <v>0</v>
      </c>
      <c r="AK45" s="5">
        <f t="shared" ca="1" si="13"/>
        <v>0</v>
      </c>
      <c r="AL45" s="5">
        <f t="shared" ca="1" si="13"/>
        <v>0</v>
      </c>
      <c r="AM45" s="5">
        <f t="shared" ca="1" si="13"/>
        <v>0</v>
      </c>
      <c r="AN45" s="5">
        <f t="shared" ca="1" si="13"/>
        <v>0</v>
      </c>
      <c r="AO45" s="5">
        <f t="shared" ca="1" si="13"/>
        <v>0</v>
      </c>
      <c r="AP45" s="5">
        <f t="shared" ca="1" si="13"/>
        <v>0</v>
      </c>
      <c r="AR45" s="4" t="str">
        <f t="shared" ca="1" si="5"/>
        <v/>
      </c>
      <c r="AS45" s="339">
        <f t="shared" ca="1" si="14"/>
        <v>0</v>
      </c>
      <c r="AT45" s="339">
        <f t="shared" ca="1" si="14"/>
        <v>0</v>
      </c>
      <c r="AU45" s="339">
        <f t="shared" ca="1" si="14"/>
        <v>0</v>
      </c>
      <c r="AV45" s="339">
        <f t="shared" ca="1" si="14"/>
        <v>0</v>
      </c>
      <c r="AW45" s="339">
        <f t="shared" ca="1" si="14"/>
        <v>0</v>
      </c>
      <c r="AX45" s="339">
        <f t="shared" ca="1" si="14"/>
        <v>0</v>
      </c>
      <c r="AY45" s="339">
        <f t="shared" ca="1" si="14"/>
        <v>0</v>
      </c>
      <c r="AZ45" s="339">
        <f t="shared" ca="1" si="14"/>
        <v>0</v>
      </c>
      <c r="BA45" s="339">
        <f t="shared" ca="1" si="14"/>
        <v>0</v>
      </c>
      <c r="BB45" s="339">
        <f t="shared" ca="1" si="14"/>
        <v>0</v>
      </c>
      <c r="BD45" s="63" t="str">
        <f>IF(DrawFinder!Y45=0,"",DrawFinder!Y45)</f>
        <v/>
      </c>
      <c r="BF45" s="151" t="str">
        <f t="shared" ca="1" si="9"/>
        <v/>
      </c>
      <c r="BH45" s="63" t="str">
        <f ca="1">IF(ISNUMBER(CS!C45)=FALSE,CONCATENATE(BG45,""),CONCATENATE(BG45,IF(ABS(CS!C45)&lt;10,"0",""),ABS(CS!C45)))</f>
        <v/>
      </c>
      <c r="BI45" s="63" t="str">
        <f ca="1">IF(ISNUMBER(CS!D45)=FALSE,CONCATENATE(BH45,""),CONCATENATE(BH45,IF(ABS(CS!D45)&lt;10,"0",""),ABS(CS!D45)))</f>
        <v/>
      </c>
      <c r="BJ45" s="63" t="str">
        <f ca="1">IF(ISNUMBER(CS!E45)=FALSE,CONCATENATE(BI45,""),CONCATENATE(BI45,IF(ABS(CS!E45)&lt;10,"0",""),ABS(CS!E45)))</f>
        <v/>
      </c>
      <c r="BK45" s="63" t="str">
        <f ca="1">IF(ISNUMBER(CS!F45)=FALSE,CONCATENATE(BJ45,""),CONCATENATE(BJ45,IF(ABS(CS!F45)&lt;10,"0",""),ABS(CS!F45)))</f>
        <v/>
      </c>
      <c r="BL45" s="63" t="str">
        <f ca="1">IF(ISNUMBER(CS!G45)=FALSE,CONCATENATE(BK45,""),CONCATENATE(BK45,IF(ABS(CS!G45)&lt;10,"0",""),ABS(CS!G45)))</f>
        <v/>
      </c>
      <c r="BM45" s="63" t="str">
        <f ca="1">IF(ISNUMBER(CS!H45)=FALSE,CONCATENATE(BL45,""),CONCATENATE(BL45,IF(ABS(CS!H45)&lt;10,"0",""),ABS(CS!H45)))</f>
        <v/>
      </c>
      <c r="BN45" s="63" t="str">
        <f ca="1">IF(ISNUMBER(CS!I45)=FALSE,CONCATENATE(BM45,""),CONCATENATE(BM45,IF(ABS(CS!I45)&lt;10,"0",""),ABS(CS!I45)))</f>
        <v/>
      </c>
      <c r="BO45" s="63" t="str">
        <f ca="1">IF(ISNUMBER(CS!J45)=FALSE,CONCATENATE(BN45,""),CONCATENATE(BN45,IF(ABS(CS!J45)&lt;10,"0",""),ABS(CS!J45)))</f>
        <v/>
      </c>
      <c r="BP45" s="63" t="str">
        <f ca="1">IF(ISNUMBER(CS!K45)=FALSE,CONCATENATE(BO45,""),CONCATENATE(BO45,IF(ABS(CS!K45)&lt;10,"0",""),ABS(CS!K45)))</f>
        <v/>
      </c>
      <c r="BQ45" s="63" t="str">
        <f ca="1">IF(ISNUMBER(CS!L45)=FALSE,CONCATENATE(BP45,""),CONCATENATE(BP45,IF(ABS(CS!L45)&lt;10,"0",""),ABS(CS!L45)))</f>
        <v/>
      </c>
      <c r="BR45" s="63" t="str">
        <f ca="1">IF(ISNUMBER(CS!M45)=FALSE,CONCATENATE(BQ45,""),CONCATENATE(BQ45,IF(ABS(CS!M45)&lt;10,"0",""),ABS(CS!M45)))</f>
        <v/>
      </c>
      <c r="BS45" s="63" t="str">
        <f ca="1">IF(ISNUMBER(CS!N45)=FALSE,CONCATENATE(BR45,""),CONCATENATE(BR45,IF(ABS(CS!N45)&lt;10,"0",""),ABS(CS!N45)))</f>
        <v/>
      </c>
      <c r="BT45" s="63" t="str">
        <f ca="1">IF(ISNUMBER(CS!O45)=FALSE,CONCATENATE(BS45,""),CONCATENATE(BS45,IF(ABS(CS!O45)&lt;10,"0",""),ABS(CS!O45)))</f>
        <v/>
      </c>
      <c r="BU45" s="63" t="str">
        <f ca="1">IF(ISNUMBER(CS!P45)=FALSE,CONCATENATE(BT45,""),CONCATENATE(BT45,IF(ABS(CS!P45)&lt;10,"0",""),ABS(CS!P45)))</f>
        <v/>
      </c>
      <c r="BV45" s="63" t="str">
        <f ca="1">IF(ISNUMBER(CS!Q45)=FALSE,CONCATENATE(BU45,""),CONCATENATE(BU45,IF(ABS(CS!Q45)&lt;10,"0",""),ABS(CS!Q45)))</f>
        <v/>
      </c>
      <c r="BW45" s="63" t="str">
        <f ca="1">IF(ISNUMBER(CS!R45)=FALSE,CONCATENATE(BV45,""),CONCATENATE(BV45,IF(ABS(CS!R45)&lt;10,"0",""),ABS(CS!R45)))</f>
        <v/>
      </c>
      <c r="BX45" s="63" t="str">
        <f ca="1">IF(ISNUMBER(CS!S45)=FALSE,CONCATENATE(BW45,""),CONCATENATE(BW45,IF(ABS(CS!S45)&lt;10,"0",""),ABS(CS!S45)))</f>
        <v/>
      </c>
      <c r="BY45" s="63" t="str">
        <f ca="1">IF(ISNUMBER(CS!T45)=FALSE,CONCATENATE(BX45,""),CONCATENATE(BX45,IF(ABS(CS!T45)&lt;10,"0",""),ABS(CS!T45)))</f>
        <v/>
      </c>
      <c r="BZ45" s="63" t="str">
        <f ca="1">IF(ISNUMBER(CS!U45)=FALSE,CONCATENATE(BY45,""),CONCATENATE(BY45,IF(ABS(CS!U45)&lt;10,"0",""),ABS(CS!U45)))</f>
        <v/>
      </c>
      <c r="CA45" s="63" t="str">
        <f ca="1">IF(ISNUMBER(CS!V45)=FALSE,CONCATENATE(BZ45,""),CONCATENATE(BZ45,IF(ABS(CS!V45)&lt;10,"0",""),ABS(CS!V45)))</f>
        <v/>
      </c>
      <c r="CB45" s="63" t="str">
        <f ca="1">IF(ISNUMBER(CS!W45)=FALSE,CONCATENATE(CA45,""),CONCATENATE(CA45,IF(ABS(CS!W45)&lt;10,"0",""),ABS(CS!W45)))</f>
        <v/>
      </c>
      <c r="CC45" s="63" t="str">
        <f ca="1">IF(ISNUMBER(CS!X45)=FALSE,CONCATENATE(CB45,""),CONCATENATE(CB45,IF(ABS(CS!X45)&lt;10,"0",""),ABS(CS!X45)))</f>
        <v/>
      </c>
      <c r="CD45" s="63" t="str">
        <f ca="1">IF(ISNUMBER(CS!Y45)=FALSE,CONCATENATE(CC45,""),CONCATENATE(CC45,IF(ABS(CS!Y45)&lt;10,"0",""),ABS(CS!Y45)))</f>
        <v/>
      </c>
      <c r="CE45" s="63" t="str">
        <f ca="1">IF(ISNUMBER(CS!Z45)=FALSE,CONCATENATE(CD45,""),CONCATENATE(CD45,IF(ABS(CS!Z45)&lt;10,"0",""),ABS(CS!Z45)))</f>
        <v/>
      </c>
      <c r="CF45" s="63" t="str">
        <f ca="1">IF(ISNUMBER(CS!AA45)=FALSE,CONCATENATE(CE45,""),CONCATENATE(CE45,IF(ABS(CS!AA45)&lt;10,"0",""),ABS(CS!AA45)))</f>
        <v/>
      </c>
      <c r="CG45" s="63" t="str">
        <f ca="1">IF(ISNUMBER(CS!AB45)=FALSE,CONCATENATE(CF45,""),CONCATENATE(CF45,IF(ABS(CS!AB45)&lt;10,"0",""),ABS(CS!AB45)))</f>
        <v/>
      </c>
      <c r="CH45" s="63" t="str">
        <f ca="1">IF(ISNUMBER(CS!AC45)=FALSE,CONCATENATE(CG45,""),CONCATENATE(CG45,IF(ABS(CS!AC45)&lt;10,"0",""),ABS(CS!AC45)))</f>
        <v/>
      </c>
      <c r="CI45" s="63" t="str">
        <f ca="1">IF(ISNUMBER(CS!AD45)=FALSE,CONCATENATE(CH45,""),CONCATENATE(CH45,IF(ABS(CS!AD45)&lt;10,"0",""),ABS(CS!AD45)))</f>
        <v/>
      </c>
      <c r="CJ45" s="63" t="str">
        <f ca="1">IF(ISNUMBER(CS!AE45)=FALSE,CONCATENATE(CI45,""),CONCATENATE(CI45,IF(ABS(CS!AE45)&lt;10,"0",""),ABS(CS!AE45)))</f>
        <v/>
      </c>
      <c r="CK45" s="63" t="str">
        <f ca="1">IF(ISNUMBER(CS!AF45)=FALSE,CONCATENATE(CJ45,""),CONCATENATE(CJ45,IF(ABS(CS!AF45)&lt;10,"0",""),ABS(CS!AF45)))</f>
        <v/>
      </c>
      <c r="CL45" s="63" t="str">
        <f ca="1">IF(ISNUMBER(CS!AG45)=FALSE,CONCATENATE(CK45,""),CONCATENATE(CK45,IF(ABS(CS!AG45)&lt;10,"0",""),ABS(CS!AG45)))</f>
        <v/>
      </c>
      <c r="CM45" s="63" t="str">
        <f ca="1">IF(ISNUMBER(CS!AH45)=FALSE,CONCATENATE(CL45,""),CONCATENATE(CL45,IF(ABS(CS!AH45)&lt;10,"0",""),ABS(CS!AH45)))</f>
        <v/>
      </c>
      <c r="CN45" s="63" t="str">
        <f ca="1">IF(ISNUMBER(CS!AI45)=FALSE,CONCATENATE(CM45,""),CONCATENATE(CM45,IF(ABS(CS!AI45)&lt;10,"0",""),ABS(CS!AI45)))</f>
        <v/>
      </c>
      <c r="CO45" s="63" t="str">
        <f ca="1">IF(ISNUMBER(CS!AJ45)=FALSE,CONCATENATE(CN45,""),CONCATENATE(CN45,IF(ABS(CS!AJ45)&lt;10,"0",""),ABS(CS!AJ45)))</f>
        <v/>
      </c>
      <c r="CP45" s="63" t="str">
        <f ca="1">IF(ISNUMBER(CS!AK45)=FALSE,CONCATENATE(CO45,""),CONCATENATE(CO45,IF(ABS(CS!AK45)&lt;10,"0",""),ABS(CS!AK45)))</f>
        <v/>
      </c>
      <c r="CQ45" s="63" t="str">
        <f ca="1">IF(ISNUMBER(CS!AL45)=FALSE,CONCATENATE(CP45,""),CONCATENATE(CP45,IF(ABS(CS!AL45)&lt;10,"0",""),ABS(CS!AL45)))</f>
        <v/>
      </c>
      <c r="CR45" s="63" t="str">
        <f ca="1">IF(ISNUMBER(CS!AM45)=FALSE,CONCATENATE(CQ45,""),CONCATENATE(CQ45,IF(ABS(CS!AM45)&lt;10,"0",""),ABS(CS!AM45)))</f>
        <v/>
      </c>
      <c r="CS45" s="63" t="str">
        <f ca="1">IF(ISNUMBER(CS!AN45)=FALSE,CONCATENATE(CR45,""),CONCATENATE(CR45,IF(ABS(CS!AN45)&lt;10,"0",""),ABS(CS!AN45)))</f>
        <v/>
      </c>
      <c r="CT45" s="63" t="str">
        <f ca="1">IF(ISNUMBER(CS!AO45)=FALSE,CONCATENATE(CS45,""),CONCATENATE(CS45,IF(ABS(CS!AO45)&lt;10,"0",""),ABS(CS!AO45)))</f>
        <v/>
      </c>
      <c r="CU45" s="63" t="str">
        <f ca="1">IF(ISNUMBER(CS!AP45)=FALSE,CONCATENATE(CT45,""),CONCATENATE(CT45,IF(ABS(CS!AP45)&lt;10,"0",""),ABS(CS!AP45)))</f>
        <v/>
      </c>
    </row>
    <row r="46" spans="2:99">
      <c r="B46" s="4" t="str">
        <f ca="1">CS!AR46</f>
        <v/>
      </c>
      <c r="C46" s="5">
        <f t="shared" ca="1" si="15"/>
        <v>0</v>
      </c>
      <c r="D46" s="5">
        <f t="shared" ca="1" si="8"/>
        <v>0</v>
      </c>
      <c r="E46" s="5">
        <f t="shared" ca="1" si="8"/>
        <v>0</v>
      </c>
      <c r="F46" s="5">
        <f t="shared" ca="1" si="8"/>
        <v>0</v>
      </c>
      <c r="G46" s="5">
        <f t="shared" ca="1" si="8"/>
        <v>0</v>
      </c>
      <c r="H46" s="5">
        <f t="shared" ca="1" si="8"/>
        <v>0</v>
      </c>
      <c r="I46" s="5">
        <f t="shared" ca="1" si="16"/>
        <v>0</v>
      </c>
      <c r="J46" s="5">
        <f t="shared" ca="1" si="16"/>
        <v>0</v>
      </c>
      <c r="K46" s="5">
        <f t="shared" ca="1" si="16"/>
        <v>0</v>
      </c>
      <c r="L46" s="5">
        <f t="shared" ca="1" si="16"/>
        <v>0</v>
      </c>
      <c r="M46" s="5">
        <f t="shared" ca="1" si="16"/>
        <v>0</v>
      </c>
      <c r="N46" s="5">
        <f t="shared" ca="1" si="16"/>
        <v>0</v>
      </c>
      <c r="O46" s="5">
        <f t="shared" ca="1" si="16"/>
        <v>0</v>
      </c>
      <c r="P46" s="5">
        <f t="shared" ca="1" si="16"/>
        <v>0</v>
      </c>
      <c r="Q46" s="5">
        <f t="shared" ca="1" si="16"/>
        <v>0</v>
      </c>
      <c r="R46" s="5">
        <f t="shared" ca="1" si="16"/>
        <v>0</v>
      </c>
      <c r="S46" s="5">
        <f t="shared" ca="1" si="16"/>
        <v>0</v>
      </c>
      <c r="T46" s="5">
        <f t="shared" ca="1" si="16"/>
        <v>0</v>
      </c>
      <c r="U46" s="5">
        <f t="shared" ca="1" si="16"/>
        <v>0</v>
      </c>
      <c r="V46" s="5">
        <f t="shared" ca="1" si="16"/>
        <v>0</v>
      </c>
      <c r="W46" s="5">
        <f t="shared" ca="1" si="16"/>
        <v>0</v>
      </c>
      <c r="X46" s="5">
        <f t="shared" ca="1" si="16"/>
        <v>0</v>
      </c>
      <c r="Y46" s="5">
        <f t="shared" ca="1" si="12"/>
        <v>0</v>
      </c>
      <c r="Z46" s="5">
        <f t="shared" ca="1" si="12"/>
        <v>0</v>
      </c>
      <c r="AA46" s="5">
        <f t="shared" ca="1" si="12"/>
        <v>0</v>
      </c>
      <c r="AB46" s="5">
        <f t="shared" ca="1" si="12"/>
        <v>0</v>
      </c>
      <c r="AC46" s="5">
        <f t="shared" ca="1" si="12"/>
        <v>0</v>
      </c>
      <c r="AD46" s="5">
        <f t="shared" ca="1" si="12"/>
        <v>0</v>
      </c>
      <c r="AE46" s="5">
        <f t="shared" ca="1" si="12"/>
        <v>0</v>
      </c>
      <c r="AF46" s="5">
        <f t="shared" ca="1" si="12"/>
        <v>0</v>
      </c>
      <c r="AG46" s="5">
        <f t="shared" ca="1" si="12"/>
        <v>0</v>
      </c>
      <c r="AH46" s="5">
        <f t="shared" ca="1" si="12"/>
        <v>0</v>
      </c>
      <c r="AI46" s="5">
        <f t="shared" ca="1" si="13"/>
        <v>0</v>
      </c>
      <c r="AJ46" s="5">
        <f t="shared" ca="1" si="13"/>
        <v>0</v>
      </c>
      <c r="AK46" s="5">
        <f t="shared" ca="1" si="13"/>
        <v>0</v>
      </c>
      <c r="AL46" s="5">
        <f t="shared" ca="1" si="13"/>
        <v>0</v>
      </c>
      <c r="AM46" s="5">
        <f t="shared" ca="1" si="13"/>
        <v>0</v>
      </c>
      <c r="AN46" s="5">
        <f t="shared" ca="1" si="13"/>
        <v>0</v>
      </c>
      <c r="AO46" s="5">
        <f t="shared" ca="1" si="13"/>
        <v>0</v>
      </c>
      <c r="AP46" s="5">
        <f t="shared" ca="1" si="13"/>
        <v>0</v>
      </c>
      <c r="AR46" s="4" t="str">
        <f t="shared" ca="1" si="5"/>
        <v/>
      </c>
      <c r="AS46" s="339">
        <f t="shared" ca="1" si="14"/>
        <v>0</v>
      </c>
      <c r="AT46" s="339">
        <f t="shared" ca="1" si="14"/>
        <v>0</v>
      </c>
      <c r="AU46" s="339">
        <f t="shared" ca="1" si="14"/>
        <v>0</v>
      </c>
      <c r="AV46" s="339">
        <f t="shared" ca="1" si="14"/>
        <v>0</v>
      </c>
      <c r="AW46" s="339">
        <f t="shared" ca="1" si="14"/>
        <v>0</v>
      </c>
      <c r="AX46" s="339">
        <f t="shared" ca="1" si="14"/>
        <v>0</v>
      </c>
      <c r="AY46" s="339">
        <f t="shared" ca="1" si="14"/>
        <v>0</v>
      </c>
      <c r="AZ46" s="339">
        <f t="shared" ca="1" si="14"/>
        <v>0</v>
      </c>
      <c r="BA46" s="339">
        <f t="shared" ca="1" si="14"/>
        <v>0</v>
      </c>
      <c r="BB46" s="339">
        <f t="shared" ca="1" si="14"/>
        <v>0</v>
      </c>
      <c r="BD46" s="63" t="str">
        <f>IF(DrawFinder!Y46=0,"",DrawFinder!Y46)</f>
        <v/>
      </c>
      <c r="BF46" s="151" t="str">
        <f t="shared" ca="1" si="9"/>
        <v/>
      </c>
      <c r="BH46" s="63" t="str">
        <f ca="1">IF(ISNUMBER(CS!C46)=FALSE,CONCATENATE(BG46,""),CONCATENATE(BG46,IF(ABS(CS!C46)&lt;10,"0",""),ABS(CS!C46)))</f>
        <v/>
      </c>
      <c r="BI46" s="63" t="str">
        <f ca="1">IF(ISNUMBER(CS!D46)=FALSE,CONCATENATE(BH46,""),CONCATENATE(BH46,IF(ABS(CS!D46)&lt;10,"0",""),ABS(CS!D46)))</f>
        <v/>
      </c>
      <c r="BJ46" s="63" t="str">
        <f ca="1">IF(ISNUMBER(CS!E46)=FALSE,CONCATENATE(BI46,""),CONCATENATE(BI46,IF(ABS(CS!E46)&lt;10,"0",""),ABS(CS!E46)))</f>
        <v/>
      </c>
      <c r="BK46" s="63" t="str">
        <f ca="1">IF(ISNUMBER(CS!F46)=FALSE,CONCATENATE(BJ46,""),CONCATENATE(BJ46,IF(ABS(CS!F46)&lt;10,"0",""),ABS(CS!F46)))</f>
        <v/>
      </c>
      <c r="BL46" s="63" t="str">
        <f ca="1">IF(ISNUMBER(CS!G46)=FALSE,CONCATENATE(BK46,""),CONCATENATE(BK46,IF(ABS(CS!G46)&lt;10,"0",""),ABS(CS!G46)))</f>
        <v/>
      </c>
      <c r="BM46" s="63" t="str">
        <f ca="1">IF(ISNUMBER(CS!H46)=FALSE,CONCATENATE(BL46,""),CONCATENATE(BL46,IF(ABS(CS!H46)&lt;10,"0",""),ABS(CS!H46)))</f>
        <v/>
      </c>
      <c r="BN46" s="63" t="str">
        <f ca="1">IF(ISNUMBER(CS!I46)=FALSE,CONCATENATE(BM46,""),CONCATENATE(BM46,IF(ABS(CS!I46)&lt;10,"0",""),ABS(CS!I46)))</f>
        <v/>
      </c>
      <c r="BO46" s="63" t="str">
        <f ca="1">IF(ISNUMBER(CS!J46)=FALSE,CONCATENATE(BN46,""),CONCATENATE(BN46,IF(ABS(CS!J46)&lt;10,"0",""),ABS(CS!J46)))</f>
        <v/>
      </c>
      <c r="BP46" s="63" t="str">
        <f ca="1">IF(ISNUMBER(CS!K46)=FALSE,CONCATENATE(BO46,""),CONCATENATE(BO46,IF(ABS(CS!K46)&lt;10,"0",""),ABS(CS!K46)))</f>
        <v/>
      </c>
      <c r="BQ46" s="63" t="str">
        <f ca="1">IF(ISNUMBER(CS!L46)=FALSE,CONCATENATE(BP46,""),CONCATENATE(BP46,IF(ABS(CS!L46)&lt;10,"0",""),ABS(CS!L46)))</f>
        <v/>
      </c>
      <c r="BR46" s="63" t="str">
        <f ca="1">IF(ISNUMBER(CS!M46)=FALSE,CONCATENATE(BQ46,""),CONCATENATE(BQ46,IF(ABS(CS!M46)&lt;10,"0",""),ABS(CS!M46)))</f>
        <v/>
      </c>
      <c r="BS46" s="63" t="str">
        <f ca="1">IF(ISNUMBER(CS!N46)=FALSE,CONCATENATE(BR46,""),CONCATENATE(BR46,IF(ABS(CS!N46)&lt;10,"0",""),ABS(CS!N46)))</f>
        <v/>
      </c>
      <c r="BT46" s="63" t="str">
        <f ca="1">IF(ISNUMBER(CS!O46)=FALSE,CONCATENATE(BS46,""),CONCATENATE(BS46,IF(ABS(CS!O46)&lt;10,"0",""),ABS(CS!O46)))</f>
        <v/>
      </c>
      <c r="BU46" s="63" t="str">
        <f ca="1">IF(ISNUMBER(CS!P46)=FALSE,CONCATENATE(BT46,""),CONCATENATE(BT46,IF(ABS(CS!P46)&lt;10,"0",""),ABS(CS!P46)))</f>
        <v/>
      </c>
      <c r="BV46" s="63" t="str">
        <f ca="1">IF(ISNUMBER(CS!Q46)=FALSE,CONCATENATE(BU46,""),CONCATENATE(BU46,IF(ABS(CS!Q46)&lt;10,"0",""),ABS(CS!Q46)))</f>
        <v/>
      </c>
      <c r="BW46" s="63" t="str">
        <f ca="1">IF(ISNUMBER(CS!R46)=FALSE,CONCATENATE(BV46,""),CONCATENATE(BV46,IF(ABS(CS!R46)&lt;10,"0",""),ABS(CS!R46)))</f>
        <v/>
      </c>
      <c r="BX46" s="63" t="str">
        <f ca="1">IF(ISNUMBER(CS!S46)=FALSE,CONCATENATE(BW46,""),CONCATENATE(BW46,IF(ABS(CS!S46)&lt;10,"0",""),ABS(CS!S46)))</f>
        <v/>
      </c>
      <c r="BY46" s="63" t="str">
        <f ca="1">IF(ISNUMBER(CS!T46)=FALSE,CONCATENATE(BX46,""),CONCATENATE(BX46,IF(ABS(CS!T46)&lt;10,"0",""),ABS(CS!T46)))</f>
        <v/>
      </c>
      <c r="BZ46" s="63" t="str">
        <f ca="1">IF(ISNUMBER(CS!U46)=FALSE,CONCATENATE(BY46,""),CONCATENATE(BY46,IF(ABS(CS!U46)&lt;10,"0",""),ABS(CS!U46)))</f>
        <v/>
      </c>
      <c r="CA46" s="63" t="str">
        <f ca="1">IF(ISNUMBER(CS!V46)=FALSE,CONCATENATE(BZ46,""),CONCATENATE(BZ46,IF(ABS(CS!V46)&lt;10,"0",""),ABS(CS!V46)))</f>
        <v/>
      </c>
      <c r="CB46" s="63" t="str">
        <f ca="1">IF(ISNUMBER(CS!W46)=FALSE,CONCATENATE(CA46,""),CONCATENATE(CA46,IF(ABS(CS!W46)&lt;10,"0",""),ABS(CS!W46)))</f>
        <v/>
      </c>
      <c r="CC46" s="63" t="str">
        <f ca="1">IF(ISNUMBER(CS!X46)=FALSE,CONCATENATE(CB46,""),CONCATENATE(CB46,IF(ABS(CS!X46)&lt;10,"0",""),ABS(CS!X46)))</f>
        <v/>
      </c>
      <c r="CD46" s="63" t="str">
        <f ca="1">IF(ISNUMBER(CS!Y46)=FALSE,CONCATENATE(CC46,""),CONCATENATE(CC46,IF(ABS(CS!Y46)&lt;10,"0",""),ABS(CS!Y46)))</f>
        <v/>
      </c>
      <c r="CE46" s="63" t="str">
        <f ca="1">IF(ISNUMBER(CS!Z46)=FALSE,CONCATENATE(CD46,""),CONCATENATE(CD46,IF(ABS(CS!Z46)&lt;10,"0",""),ABS(CS!Z46)))</f>
        <v/>
      </c>
      <c r="CF46" s="63" t="str">
        <f ca="1">IF(ISNUMBER(CS!AA46)=FALSE,CONCATENATE(CE46,""),CONCATENATE(CE46,IF(ABS(CS!AA46)&lt;10,"0",""),ABS(CS!AA46)))</f>
        <v/>
      </c>
      <c r="CG46" s="63" t="str">
        <f ca="1">IF(ISNUMBER(CS!AB46)=FALSE,CONCATENATE(CF46,""),CONCATENATE(CF46,IF(ABS(CS!AB46)&lt;10,"0",""),ABS(CS!AB46)))</f>
        <v/>
      </c>
      <c r="CH46" s="63" t="str">
        <f ca="1">IF(ISNUMBER(CS!AC46)=FALSE,CONCATENATE(CG46,""),CONCATENATE(CG46,IF(ABS(CS!AC46)&lt;10,"0",""),ABS(CS!AC46)))</f>
        <v/>
      </c>
      <c r="CI46" s="63" t="str">
        <f ca="1">IF(ISNUMBER(CS!AD46)=FALSE,CONCATENATE(CH46,""),CONCATENATE(CH46,IF(ABS(CS!AD46)&lt;10,"0",""),ABS(CS!AD46)))</f>
        <v/>
      </c>
      <c r="CJ46" s="63" t="str">
        <f ca="1">IF(ISNUMBER(CS!AE46)=FALSE,CONCATENATE(CI46,""),CONCATENATE(CI46,IF(ABS(CS!AE46)&lt;10,"0",""),ABS(CS!AE46)))</f>
        <v/>
      </c>
      <c r="CK46" s="63" t="str">
        <f ca="1">IF(ISNUMBER(CS!AF46)=FALSE,CONCATENATE(CJ46,""),CONCATENATE(CJ46,IF(ABS(CS!AF46)&lt;10,"0",""),ABS(CS!AF46)))</f>
        <v/>
      </c>
      <c r="CL46" s="63" t="str">
        <f ca="1">IF(ISNUMBER(CS!AG46)=FALSE,CONCATENATE(CK46,""),CONCATENATE(CK46,IF(ABS(CS!AG46)&lt;10,"0",""),ABS(CS!AG46)))</f>
        <v/>
      </c>
      <c r="CM46" s="63" t="str">
        <f ca="1">IF(ISNUMBER(CS!AH46)=FALSE,CONCATENATE(CL46,""),CONCATENATE(CL46,IF(ABS(CS!AH46)&lt;10,"0",""),ABS(CS!AH46)))</f>
        <v/>
      </c>
      <c r="CN46" s="63" t="str">
        <f ca="1">IF(ISNUMBER(CS!AI46)=FALSE,CONCATENATE(CM46,""),CONCATENATE(CM46,IF(ABS(CS!AI46)&lt;10,"0",""),ABS(CS!AI46)))</f>
        <v/>
      </c>
      <c r="CO46" s="63" t="str">
        <f ca="1">IF(ISNUMBER(CS!AJ46)=FALSE,CONCATENATE(CN46,""),CONCATENATE(CN46,IF(ABS(CS!AJ46)&lt;10,"0",""),ABS(CS!AJ46)))</f>
        <v/>
      </c>
      <c r="CP46" s="63" t="str">
        <f ca="1">IF(ISNUMBER(CS!AK46)=FALSE,CONCATENATE(CO46,""),CONCATENATE(CO46,IF(ABS(CS!AK46)&lt;10,"0",""),ABS(CS!AK46)))</f>
        <v/>
      </c>
      <c r="CQ46" s="63" t="str">
        <f ca="1">IF(ISNUMBER(CS!AL46)=FALSE,CONCATENATE(CP46,""),CONCATENATE(CP46,IF(ABS(CS!AL46)&lt;10,"0",""),ABS(CS!AL46)))</f>
        <v/>
      </c>
      <c r="CR46" s="63" t="str">
        <f ca="1">IF(ISNUMBER(CS!AM46)=FALSE,CONCATENATE(CQ46,""),CONCATENATE(CQ46,IF(ABS(CS!AM46)&lt;10,"0",""),ABS(CS!AM46)))</f>
        <v/>
      </c>
      <c r="CS46" s="63" t="str">
        <f ca="1">IF(ISNUMBER(CS!AN46)=FALSE,CONCATENATE(CR46,""),CONCATENATE(CR46,IF(ABS(CS!AN46)&lt;10,"0",""),ABS(CS!AN46)))</f>
        <v/>
      </c>
      <c r="CT46" s="63" t="str">
        <f ca="1">IF(ISNUMBER(CS!AO46)=FALSE,CONCATENATE(CS46,""),CONCATENATE(CS46,IF(ABS(CS!AO46)&lt;10,"0",""),ABS(CS!AO46)))</f>
        <v/>
      </c>
      <c r="CU46" s="63" t="str">
        <f ca="1">IF(ISNUMBER(CS!AP46)=FALSE,CONCATENATE(CT46,""),CONCATENATE(CT46,IF(ABS(CS!AP46)&lt;10,"0",""),ABS(CS!AP46)))</f>
        <v/>
      </c>
    </row>
    <row r="47" spans="2:99">
      <c r="B47" s="4" t="str">
        <f ca="1">CS!AR47</f>
        <v/>
      </c>
      <c r="C47" s="5">
        <f t="shared" ca="1" si="15"/>
        <v>0</v>
      </c>
      <c r="D47" s="5">
        <f t="shared" ca="1" si="8"/>
        <v>0</v>
      </c>
      <c r="E47" s="5">
        <f t="shared" ca="1" si="8"/>
        <v>0</v>
      </c>
      <c r="F47" s="5">
        <f t="shared" ca="1" si="8"/>
        <v>0</v>
      </c>
      <c r="G47" s="5">
        <f t="shared" ca="1" si="8"/>
        <v>0</v>
      </c>
      <c r="H47" s="5">
        <f t="shared" ca="1" si="8"/>
        <v>0</v>
      </c>
      <c r="I47" s="5">
        <f t="shared" ca="1" si="16"/>
        <v>0</v>
      </c>
      <c r="J47" s="5">
        <f t="shared" ca="1" si="16"/>
        <v>0</v>
      </c>
      <c r="K47" s="5">
        <f t="shared" ca="1" si="16"/>
        <v>0</v>
      </c>
      <c r="L47" s="5">
        <f t="shared" ca="1" si="16"/>
        <v>0</v>
      </c>
      <c r="M47" s="5">
        <f t="shared" ca="1" si="16"/>
        <v>0</v>
      </c>
      <c r="N47" s="5">
        <f t="shared" ca="1" si="16"/>
        <v>0</v>
      </c>
      <c r="O47" s="5">
        <f t="shared" ca="1" si="16"/>
        <v>0</v>
      </c>
      <c r="P47" s="5">
        <f t="shared" ca="1" si="16"/>
        <v>0</v>
      </c>
      <c r="Q47" s="5">
        <f t="shared" ca="1" si="16"/>
        <v>0</v>
      </c>
      <c r="R47" s="5">
        <f t="shared" ca="1" si="16"/>
        <v>0</v>
      </c>
      <c r="S47" s="5">
        <f t="shared" ca="1" si="16"/>
        <v>0</v>
      </c>
      <c r="T47" s="5">
        <f t="shared" ca="1" si="16"/>
        <v>0</v>
      </c>
      <c r="U47" s="5">
        <f t="shared" ca="1" si="16"/>
        <v>0</v>
      </c>
      <c r="V47" s="5">
        <f t="shared" ca="1" si="16"/>
        <v>0</v>
      </c>
      <c r="W47" s="5">
        <f t="shared" ca="1" si="16"/>
        <v>0</v>
      </c>
      <c r="X47" s="5">
        <f t="shared" ca="1" si="16"/>
        <v>0</v>
      </c>
      <c r="Y47" s="5">
        <f t="shared" ca="1" si="12"/>
        <v>0</v>
      </c>
      <c r="Z47" s="5">
        <f t="shared" ca="1" si="12"/>
        <v>0</v>
      </c>
      <c r="AA47" s="5">
        <f t="shared" ca="1" si="12"/>
        <v>0</v>
      </c>
      <c r="AB47" s="5">
        <f t="shared" ca="1" si="12"/>
        <v>0</v>
      </c>
      <c r="AC47" s="5">
        <f t="shared" ca="1" si="12"/>
        <v>0</v>
      </c>
      <c r="AD47" s="5">
        <f t="shared" ca="1" si="12"/>
        <v>0</v>
      </c>
      <c r="AE47" s="5">
        <f t="shared" ca="1" si="12"/>
        <v>0</v>
      </c>
      <c r="AF47" s="5">
        <f t="shared" ca="1" si="12"/>
        <v>0</v>
      </c>
      <c r="AG47" s="5">
        <f t="shared" ca="1" si="12"/>
        <v>0</v>
      </c>
      <c r="AH47" s="5">
        <f t="shared" ca="1" si="12"/>
        <v>0</v>
      </c>
      <c r="AI47" s="5">
        <f t="shared" ca="1" si="13"/>
        <v>0</v>
      </c>
      <c r="AJ47" s="5">
        <f t="shared" ca="1" si="13"/>
        <v>0</v>
      </c>
      <c r="AK47" s="5">
        <f t="shared" ca="1" si="13"/>
        <v>0</v>
      </c>
      <c r="AL47" s="5">
        <f t="shared" ca="1" si="13"/>
        <v>0</v>
      </c>
      <c r="AM47" s="5">
        <f t="shared" ca="1" si="13"/>
        <v>0</v>
      </c>
      <c r="AN47" s="5">
        <f t="shared" ca="1" si="13"/>
        <v>0</v>
      </c>
      <c r="AO47" s="5">
        <f t="shared" ca="1" si="13"/>
        <v>0</v>
      </c>
      <c r="AP47" s="5">
        <f t="shared" ca="1" si="13"/>
        <v>0</v>
      </c>
      <c r="AR47" s="4" t="str">
        <f t="shared" ca="1" si="5"/>
        <v/>
      </c>
      <c r="AS47" s="339">
        <f t="shared" ca="1" si="14"/>
        <v>0</v>
      </c>
      <c r="AT47" s="339">
        <f t="shared" ca="1" si="14"/>
        <v>0</v>
      </c>
      <c r="AU47" s="339">
        <f t="shared" ca="1" si="14"/>
        <v>0</v>
      </c>
      <c r="AV47" s="339">
        <f t="shared" ca="1" si="14"/>
        <v>0</v>
      </c>
      <c r="AW47" s="339">
        <f t="shared" ca="1" si="14"/>
        <v>0</v>
      </c>
      <c r="AX47" s="339">
        <f t="shared" ca="1" si="14"/>
        <v>0</v>
      </c>
      <c r="AY47" s="339">
        <f t="shared" ca="1" si="14"/>
        <v>0</v>
      </c>
      <c r="AZ47" s="339">
        <f t="shared" ca="1" si="14"/>
        <v>0</v>
      </c>
      <c r="BA47" s="339">
        <f t="shared" ca="1" si="14"/>
        <v>0</v>
      </c>
      <c r="BB47" s="339">
        <f t="shared" ca="1" si="14"/>
        <v>0</v>
      </c>
      <c r="BD47" s="63" t="str">
        <f>IF(DrawFinder!Y47=0,"",DrawFinder!Y47)</f>
        <v/>
      </c>
      <c r="BF47" s="151" t="str">
        <f t="shared" ca="1" si="9"/>
        <v/>
      </c>
      <c r="BH47" s="63" t="str">
        <f ca="1">IF(ISNUMBER(CS!C47)=FALSE,CONCATENATE(BG47,""),CONCATENATE(BG47,IF(ABS(CS!C47)&lt;10,"0",""),ABS(CS!C47)))</f>
        <v/>
      </c>
      <c r="BI47" s="63" t="str">
        <f ca="1">IF(ISNUMBER(CS!D47)=FALSE,CONCATENATE(BH47,""),CONCATENATE(BH47,IF(ABS(CS!D47)&lt;10,"0",""),ABS(CS!D47)))</f>
        <v/>
      </c>
      <c r="BJ47" s="63" t="str">
        <f ca="1">IF(ISNUMBER(CS!E47)=FALSE,CONCATENATE(BI47,""),CONCATENATE(BI47,IF(ABS(CS!E47)&lt;10,"0",""),ABS(CS!E47)))</f>
        <v/>
      </c>
      <c r="BK47" s="63" t="str">
        <f ca="1">IF(ISNUMBER(CS!F47)=FALSE,CONCATENATE(BJ47,""),CONCATENATE(BJ47,IF(ABS(CS!F47)&lt;10,"0",""),ABS(CS!F47)))</f>
        <v/>
      </c>
      <c r="BL47" s="63" t="str">
        <f ca="1">IF(ISNUMBER(CS!G47)=FALSE,CONCATENATE(BK47,""),CONCATENATE(BK47,IF(ABS(CS!G47)&lt;10,"0",""),ABS(CS!G47)))</f>
        <v/>
      </c>
      <c r="BM47" s="63" t="str">
        <f ca="1">IF(ISNUMBER(CS!H47)=FALSE,CONCATENATE(BL47,""),CONCATENATE(BL47,IF(ABS(CS!H47)&lt;10,"0",""),ABS(CS!H47)))</f>
        <v/>
      </c>
      <c r="BN47" s="63" t="str">
        <f ca="1">IF(ISNUMBER(CS!I47)=FALSE,CONCATENATE(BM47,""),CONCATENATE(BM47,IF(ABS(CS!I47)&lt;10,"0",""),ABS(CS!I47)))</f>
        <v/>
      </c>
      <c r="BO47" s="63" t="str">
        <f ca="1">IF(ISNUMBER(CS!J47)=FALSE,CONCATENATE(BN47,""),CONCATENATE(BN47,IF(ABS(CS!J47)&lt;10,"0",""),ABS(CS!J47)))</f>
        <v/>
      </c>
      <c r="BP47" s="63" t="str">
        <f ca="1">IF(ISNUMBER(CS!K47)=FALSE,CONCATENATE(BO47,""),CONCATENATE(BO47,IF(ABS(CS!K47)&lt;10,"0",""),ABS(CS!K47)))</f>
        <v/>
      </c>
      <c r="BQ47" s="63" t="str">
        <f ca="1">IF(ISNUMBER(CS!L47)=FALSE,CONCATENATE(BP47,""),CONCATENATE(BP47,IF(ABS(CS!L47)&lt;10,"0",""),ABS(CS!L47)))</f>
        <v/>
      </c>
      <c r="BR47" s="63" t="str">
        <f ca="1">IF(ISNUMBER(CS!M47)=FALSE,CONCATENATE(BQ47,""),CONCATENATE(BQ47,IF(ABS(CS!M47)&lt;10,"0",""),ABS(CS!M47)))</f>
        <v/>
      </c>
      <c r="BS47" s="63" t="str">
        <f ca="1">IF(ISNUMBER(CS!N47)=FALSE,CONCATENATE(BR47,""),CONCATENATE(BR47,IF(ABS(CS!N47)&lt;10,"0",""),ABS(CS!N47)))</f>
        <v/>
      </c>
      <c r="BT47" s="63" t="str">
        <f ca="1">IF(ISNUMBER(CS!O47)=FALSE,CONCATENATE(BS47,""),CONCATENATE(BS47,IF(ABS(CS!O47)&lt;10,"0",""),ABS(CS!O47)))</f>
        <v/>
      </c>
      <c r="BU47" s="63" t="str">
        <f ca="1">IF(ISNUMBER(CS!P47)=FALSE,CONCATENATE(BT47,""),CONCATENATE(BT47,IF(ABS(CS!P47)&lt;10,"0",""),ABS(CS!P47)))</f>
        <v/>
      </c>
      <c r="BV47" s="63" t="str">
        <f ca="1">IF(ISNUMBER(CS!Q47)=FALSE,CONCATENATE(BU47,""),CONCATENATE(BU47,IF(ABS(CS!Q47)&lt;10,"0",""),ABS(CS!Q47)))</f>
        <v/>
      </c>
      <c r="BW47" s="63" t="str">
        <f ca="1">IF(ISNUMBER(CS!R47)=FALSE,CONCATENATE(BV47,""),CONCATENATE(BV47,IF(ABS(CS!R47)&lt;10,"0",""),ABS(CS!R47)))</f>
        <v/>
      </c>
      <c r="BX47" s="63" t="str">
        <f ca="1">IF(ISNUMBER(CS!S47)=FALSE,CONCATENATE(BW47,""),CONCATENATE(BW47,IF(ABS(CS!S47)&lt;10,"0",""),ABS(CS!S47)))</f>
        <v/>
      </c>
      <c r="BY47" s="63" t="str">
        <f ca="1">IF(ISNUMBER(CS!T47)=FALSE,CONCATENATE(BX47,""),CONCATENATE(BX47,IF(ABS(CS!T47)&lt;10,"0",""),ABS(CS!T47)))</f>
        <v/>
      </c>
      <c r="BZ47" s="63" t="str">
        <f ca="1">IF(ISNUMBER(CS!U47)=FALSE,CONCATENATE(BY47,""),CONCATENATE(BY47,IF(ABS(CS!U47)&lt;10,"0",""),ABS(CS!U47)))</f>
        <v/>
      </c>
      <c r="CA47" s="63" t="str">
        <f ca="1">IF(ISNUMBER(CS!V47)=FALSE,CONCATENATE(BZ47,""),CONCATENATE(BZ47,IF(ABS(CS!V47)&lt;10,"0",""),ABS(CS!V47)))</f>
        <v/>
      </c>
      <c r="CB47" s="63" t="str">
        <f ca="1">IF(ISNUMBER(CS!W47)=FALSE,CONCATENATE(CA47,""),CONCATENATE(CA47,IF(ABS(CS!W47)&lt;10,"0",""),ABS(CS!W47)))</f>
        <v/>
      </c>
      <c r="CC47" s="63" t="str">
        <f ca="1">IF(ISNUMBER(CS!X47)=FALSE,CONCATENATE(CB47,""),CONCATENATE(CB47,IF(ABS(CS!X47)&lt;10,"0",""),ABS(CS!X47)))</f>
        <v/>
      </c>
      <c r="CD47" s="63" t="str">
        <f ca="1">IF(ISNUMBER(CS!Y47)=FALSE,CONCATENATE(CC47,""),CONCATENATE(CC47,IF(ABS(CS!Y47)&lt;10,"0",""),ABS(CS!Y47)))</f>
        <v/>
      </c>
      <c r="CE47" s="63" t="str">
        <f ca="1">IF(ISNUMBER(CS!Z47)=FALSE,CONCATENATE(CD47,""),CONCATENATE(CD47,IF(ABS(CS!Z47)&lt;10,"0",""),ABS(CS!Z47)))</f>
        <v/>
      </c>
      <c r="CF47" s="63" t="str">
        <f ca="1">IF(ISNUMBER(CS!AA47)=FALSE,CONCATENATE(CE47,""),CONCATENATE(CE47,IF(ABS(CS!AA47)&lt;10,"0",""),ABS(CS!AA47)))</f>
        <v/>
      </c>
      <c r="CG47" s="63" t="str">
        <f ca="1">IF(ISNUMBER(CS!AB47)=FALSE,CONCATENATE(CF47,""),CONCATENATE(CF47,IF(ABS(CS!AB47)&lt;10,"0",""),ABS(CS!AB47)))</f>
        <v/>
      </c>
      <c r="CH47" s="63" t="str">
        <f ca="1">IF(ISNUMBER(CS!AC47)=FALSE,CONCATENATE(CG47,""),CONCATENATE(CG47,IF(ABS(CS!AC47)&lt;10,"0",""),ABS(CS!AC47)))</f>
        <v/>
      </c>
      <c r="CI47" s="63" t="str">
        <f ca="1">IF(ISNUMBER(CS!AD47)=FALSE,CONCATENATE(CH47,""),CONCATENATE(CH47,IF(ABS(CS!AD47)&lt;10,"0",""),ABS(CS!AD47)))</f>
        <v/>
      </c>
      <c r="CJ47" s="63" t="str">
        <f ca="1">IF(ISNUMBER(CS!AE47)=FALSE,CONCATENATE(CI47,""),CONCATENATE(CI47,IF(ABS(CS!AE47)&lt;10,"0",""),ABS(CS!AE47)))</f>
        <v/>
      </c>
      <c r="CK47" s="63" t="str">
        <f ca="1">IF(ISNUMBER(CS!AF47)=FALSE,CONCATENATE(CJ47,""),CONCATENATE(CJ47,IF(ABS(CS!AF47)&lt;10,"0",""),ABS(CS!AF47)))</f>
        <v/>
      </c>
      <c r="CL47" s="63" t="str">
        <f ca="1">IF(ISNUMBER(CS!AG47)=FALSE,CONCATENATE(CK47,""),CONCATENATE(CK47,IF(ABS(CS!AG47)&lt;10,"0",""),ABS(CS!AG47)))</f>
        <v/>
      </c>
      <c r="CM47" s="63" t="str">
        <f ca="1">IF(ISNUMBER(CS!AH47)=FALSE,CONCATENATE(CL47,""),CONCATENATE(CL47,IF(ABS(CS!AH47)&lt;10,"0",""),ABS(CS!AH47)))</f>
        <v/>
      </c>
      <c r="CN47" s="63" t="str">
        <f ca="1">IF(ISNUMBER(CS!AI47)=FALSE,CONCATENATE(CM47,""),CONCATENATE(CM47,IF(ABS(CS!AI47)&lt;10,"0",""),ABS(CS!AI47)))</f>
        <v/>
      </c>
      <c r="CO47" s="63" t="str">
        <f ca="1">IF(ISNUMBER(CS!AJ47)=FALSE,CONCATENATE(CN47,""),CONCATENATE(CN47,IF(ABS(CS!AJ47)&lt;10,"0",""),ABS(CS!AJ47)))</f>
        <v/>
      </c>
      <c r="CP47" s="63" t="str">
        <f ca="1">IF(ISNUMBER(CS!AK47)=FALSE,CONCATENATE(CO47,""),CONCATENATE(CO47,IF(ABS(CS!AK47)&lt;10,"0",""),ABS(CS!AK47)))</f>
        <v/>
      </c>
      <c r="CQ47" s="63" t="str">
        <f ca="1">IF(ISNUMBER(CS!AL47)=FALSE,CONCATENATE(CP47,""),CONCATENATE(CP47,IF(ABS(CS!AL47)&lt;10,"0",""),ABS(CS!AL47)))</f>
        <v/>
      </c>
      <c r="CR47" s="63" t="str">
        <f ca="1">IF(ISNUMBER(CS!AM47)=FALSE,CONCATENATE(CQ47,""),CONCATENATE(CQ47,IF(ABS(CS!AM47)&lt;10,"0",""),ABS(CS!AM47)))</f>
        <v/>
      </c>
      <c r="CS47" s="63" t="str">
        <f ca="1">IF(ISNUMBER(CS!AN47)=FALSE,CONCATENATE(CR47,""),CONCATENATE(CR47,IF(ABS(CS!AN47)&lt;10,"0",""),ABS(CS!AN47)))</f>
        <v/>
      </c>
      <c r="CT47" s="63" t="str">
        <f ca="1">IF(ISNUMBER(CS!AO47)=FALSE,CONCATENATE(CS47,""),CONCATENATE(CS47,IF(ABS(CS!AO47)&lt;10,"0",""),ABS(CS!AO47)))</f>
        <v/>
      </c>
      <c r="CU47" s="63" t="str">
        <f ca="1">IF(ISNUMBER(CS!AP47)=FALSE,CONCATENATE(CT47,""),CONCATENATE(CT47,IF(ABS(CS!AP47)&lt;10,"0",""),ABS(CS!AP47)))</f>
        <v/>
      </c>
    </row>
    <row r="48" spans="2:99">
      <c r="B48" s="4" t="str">
        <f ca="1">CS!AR48</f>
        <v/>
      </c>
      <c r="C48" s="5">
        <f t="shared" ca="1" si="15"/>
        <v>0</v>
      </c>
      <c r="D48" s="5">
        <f t="shared" ca="1" si="8"/>
        <v>0</v>
      </c>
      <c r="E48" s="5">
        <f t="shared" ca="1" si="8"/>
        <v>0</v>
      </c>
      <c r="F48" s="5">
        <f t="shared" ca="1" si="8"/>
        <v>0</v>
      </c>
      <c r="G48" s="5">
        <f t="shared" ca="1" si="8"/>
        <v>0</v>
      </c>
      <c r="H48" s="5">
        <f t="shared" ca="1" si="8"/>
        <v>0</v>
      </c>
      <c r="I48" s="5">
        <f t="shared" ca="1" si="16"/>
        <v>0</v>
      </c>
      <c r="J48" s="5">
        <f t="shared" ca="1" si="16"/>
        <v>0</v>
      </c>
      <c r="K48" s="5">
        <f t="shared" ca="1" si="16"/>
        <v>0</v>
      </c>
      <c r="L48" s="5">
        <f t="shared" ca="1" si="16"/>
        <v>0</v>
      </c>
      <c r="M48" s="5">
        <f t="shared" ca="1" si="16"/>
        <v>0</v>
      </c>
      <c r="N48" s="5">
        <f t="shared" ca="1" si="16"/>
        <v>0</v>
      </c>
      <c r="O48" s="5">
        <f t="shared" ca="1" si="16"/>
        <v>0</v>
      </c>
      <c r="P48" s="5">
        <f t="shared" ca="1" si="16"/>
        <v>0</v>
      </c>
      <c r="Q48" s="5">
        <f t="shared" ca="1" si="16"/>
        <v>0</v>
      </c>
      <c r="R48" s="5">
        <f t="shared" ca="1" si="16"/>
        <v>0</v>
      </c>
      <c r="S48" s="5">
        <f t="shared" ca="1" si="16"/>
        <v>0</v>
      </c>
      <c r="T48" s="5">
        <f t="shared" ca="1" si="16"/>
        <v>0</v>
      </c>
      <c r="U48" s="5">
        <f t="shared" ca="1" si="16"/>
        <v>0</v>
      </c>
      <c r="V48" s="5">
        <f t="shared" ca="1" si="16"/>
        <v>0</v>
      </c>
      <c r="W48" s="5">
        <f t="shared" ca="1" si="16"/>
        <v>0</v>
      </c>
      <c r="X48" s="5">
        <f t="shared" ca="1" si="16"/>
        <v>0</v>
      </c>
      <c r="Y48" s="5">
        <f t="shared" ca="1" si="12"/>
        <v>0</v>
      </c>
      <c r="Z48" s="5">
        <f t="shared" ca="1" si="12"/>
        <v>0</v>
      </c>
      <c r="AA48" s="5">
        <f t="shared" ca="1" si="12"/>
        <v>0</v>
      </c>
      <c r="AB48" s="5">
        <f t="shared" ca="1" si="12"/>
        <v>0</v>
      </c>
      <c r="AC48" s="5">
        <f t="shared" ca="1" si="12"/>
        <v>0</v>
      </c>
      <c r="AD48" s="5">
        <f t="shared" ca="1" si="12"/>
        <v>0</v>
      </c>
      <c r="AE48" s="5">
        <f t="shared" ca="1" si="12"/>
        <v>0</v>
      </c>
      <c r="AF48" s="5">
        <f t="shared" ref="AD48:AH56" ca="1" si="17">IF(ISERROR(VALUE(MID($BF48,(AF$9*2)-1,2))),0,VALUE(MID($BF48,(AF$9*2)-1,2)))</f>
        <v>0</v>
      </c>
      <c r="AG48" s="5">
        <f t="shared" ca="1" si="17"/>
        <v>0</v>
      </c>
      <c r="AH48" s="5">
        <f t="shared" ca="1" si="17"/>
        <v>0</v>
      </c>
      <c r="AI48" s="5">
        <f t="shared" ca="1" si="13"/>
        <v>0</v>
      </c>
      <c r="AJ48" s="5">
        <f t="shared" ca="1" si="13"/>
        <v>0</v>
      </c>
      <c r="AK48" s="5">
        <f t="shared" ca="1" si="13"/>
        <v>0</v>
      </c>
      <c r="AL48" s="5">
        <f t="shared" ca="1" si="13"/>
        <v>0</v>
      </c>
      <c r="AM48" s="5">
        <f t="shared" ca="1" si="13"/>
        <v>0</v>
      </c>
      <c r="AN48" s="5">
        <f t="shared" ca="1" si="13"/>
        <v>0</v>
      </c>
      <c r="AO48" s="5">
        <f t="shared" ca="1" si="13"/>
        <v>0</v>
      </c>
      <c r="AP48" s="5">
        <f t="shared" ca="1" si="13"/>
        <v>0</v>
      </c>
      <c r="AR48" s="4" t="str">
        <f t="shared" ca="1" si="5"/>
        <v/>
      </c>
      <c r="AS48" s="339">
        <f t="shared" ca="1" si="14"/>
        <v>0</v>
      </c>
      <c r="AT48" s="339">
        <f t="shared" ca="1" si="14"/>
        <v>0</v>
      </c>
      <c r="AU48" s="339">
        <f t="shared" ca="1" si="14"/>
        <v>0</v>
      </c>
      <c r="AV48" s="339">
        <f t="shared" ca="1" si="14"/>
        <v>0</v>
      </c>
      <c r="AW48" s="339">
        <f t="shared" ca="1" si="14"/>
        <v>0</v>
      </c>
      <c r="AX48" s="339">
        <f t="shared" ca="1" si="14"/>
        <v>0</v>
      </c>
      <c r="AY48" s="339">
        <f t="shared" ca="1" si="14"/>
        <v>0</v>
      </c>
      <c r="AZ48" s="339">
        <f t="shared" ca="1" si="14"/>
        <v>0</v>
      </c>
      <c r="BA48" s="339">
        <f t="shared" ca="1" si="14"/>
        <v>0</v>
      </c>
      <c r="BB48" s="339">
        <f t="shared" ca="1" si="14"/>
        <v>0</v>
      </c>
      <c r="BD48" s="63" t="str">
        <f>IF(DrawFinder!Y48=0,"",DrawFinder!Y48)</f>
        <v/>
      </c>
      <c r="BF48" s="151" t="str">
        <f t="shared" ca="1" si="9"/>
        <v/>
      </c>
      <c r="BH48" s="63" t="str">
        <f ca="1">IF(ISNUMBER(CS!C48)=FALSE,CONCATENATE(BG48,""),CONCATENATE(BG48,IF(ABS(CS!C48)&lt;10,"0",""),ABS(CS!C48)))</f>
        <v/>
      </c>
      <c r="BI48" s="63" t="str">
        <f ca="1">IF(ISNUMBER(CS!D48)=FALSE,CONCATENATE(BH48,""),CONCATENATE(BH48,IF(ABS(CS!D48)&lt;10,"0",""),ABS(CS!D48)))</f>
        <v/>
      </c>
      <c r="BJ48" s="63" t="str">
        <f ca="1">IF(ISNUMBER(CS!E48)=FALSE,CONCATENATE(BI48,""),CONCATENATE(BI48,IF(ABS(CS!E48)&lt;10,"0",""),ABS(CS!E48)))</f>
        <v/>
      </c>
      <c r="BK48" s="63" t="str">
        <f ca="1">IF(ISNUMBER(CS!F48)=FALSE,CONCATENATE(BJ48,""),CONCATENATE(BJ48,IF(ABS(CS!F48)&lt;10,"0",""),ABS(CS!F48)))</f>
        <v/>
      </c>
      <c r="BL48" s="63" t="str">
        <f ca="1">IF(ISNUMBER(CS!G48)=FALSE,CONCATENATE(BK48,""),CONCATENATE(BK48,IF(ABS(CS!G48)&lt;10,"0",""),ABS(CS!G48)))</f>
        <v/>
      </c>
      <c r="BM48" s="63" t="str">
        <f ca="1">IF(ISNUMBER(CS!H48)=FALSE,CONCATENATE(BL48,""),CONCATENATE(BL48,IF(ABS(CS!H48)&lt;10,"0",""),ABS(CS!H48)))</f>
        <v/>
      </c>
      <c r="BN48" s="63" t="str">
        <f ca="1">IF(ISNUMBER(CS!I48)=FALSE,CONCATENATE(BM48,""),CONCATENATE(BM48,IF(ABS(CS!I48)&lt;10,"0",""),ABS(CS!I48)))</f>
        <v/>
      </c>
      <c r="BO48" s="63" t="str">
        <f ca="1">IF(ISNUMBER(CS!J48)=FALSE,CONCATENATE(BN48,""),CONCATENATE(BN48,IF(ABS(CS!J48)&lt;10,"0",""),ABS(CS!J48)))</f>
        <v/>
      </c>
      <c r="BP48" s="63" t="str">
        <f ca="1">IF(ISNUMBER(CS!K48)=FALSE,CONCATENATE(BO48,""),CONCATENATE(BO48,IF(ABS(CS!K48)&lt;10,"0",""),ABS(CS!K48)))</f>
        <v/>
      </c>
      <c r="BQ48" s="63" t="str">
        <f ca="1">IF(ISNUMBER(CS!L48)=FALSE,CONCATENATE(BP48,""),CONCATENATE(BP48,IF(ABS(CS!L48)&lt;10,"0",""),ABS(CS!L48)))</f>
        <v/>
      </c>
      <c r="BR48" s="63" t="str">
        <f ca="1">IF(ISNUMBER(CS!M48)=FALSE,CONCATENATE(BQ48,""),CONCATENATE(BQ48,IF(ABS(CS!M48)&lt;10,"0",""),ABS(CS!M48)))</f>
        <v/>
      </c>
      <c r="BS48" s="63" t="str">
        <f ca="1">IF(ISNUMBER(CS!N48)=FALSE,CONCATENATE(BR48,""),CONCATENATE(BR48,IF(ABS(CS!N48)&lt;10,"0",""),ABS(CS!N48)))</f>
        <v/>
      </c>
      <c r="BT48" s="63" t="str">
        <f ca="1">IF(ISNUMBER(CS!O48)=FALSE,CONCATENATE(BS48,""),CONCATENATE(BS48,IF(ABS(CS!O48)&lt;10,"0",""),ABS(CS!O48)))</f>
        <v/>
      </c>
      <c r="BU48" s="63" t="str">
        <f ca="1">IF(ISNUMBER(CS!P48)=FALSE,CONCATENATE(BT48,""),CONCATENATE(BT48,IF(ABS(CS!P48)&lt;10,"0",""),ABS(CS!P48)))</f>
        <v/>
      </c>
      <c r="BV48" s="63" t="str">
        <f ca="1">IF(ISNUMBER(CS!Q48)=FALSE,CONCATENATE(BU48,""),CONCATENATE(BU48,IF(ABS(CS!Q48)&lt;10,"0",""),ABS(CS!Q48)))</f>
        <v/>
      </c>
      <c r="BW48" s="63" t="str">
        <f ca="1">IF(ISNUMBER(CS!R48)=FALSE,CONCATENATE(BV48,""),CONCATENATE(BV48,IF(ABS(CS!R48)&lt;10,"0",""),ABS(CS!R48)))</f>
        <v/>
      </c>
      <c r="BX48" s="63" t="str">
        <f ca="1">IF(ISNUMBER(CS!S48)=FALSE,CONCATENATE(BW48,""),CONCATENATE(BW48,IF(ABS(CS!S48)&lt;10,"0",""),ABS(CS!S48)))</f>
        <v/>
      </c>
      <c r="BY48" s="63" t="str">
        <f ca="1">IF(ISNUMBER(CS!T48)=FALSE,CONCATENATE(BX48,""),CONCATENATE(BX48,IF(ABS(CS!T48)&lt;10,"0",""),ABS(CS!T48)))</f>
        <v/>
      </c>
      <c r="BZ48" s="63" t="str">
        <f ca="1">IF(ISNUMBER(CS!U48)=FALSE,CONCATENATE(BY48,""),CONCATENATE(BY48,IF(ABS(CS!U48)&lt;10,"0",""),ABS(CS!U48)))</f>
        <v/>
      </c>
      <c r="CA48" s="63" t="str">
        <f ca="1">IF(ISNUMBER(CS!V48)=FALSE,CONCATENATE(BZ48,""),CONCATENATE(BZ48,IF(ABS(CS!V48)&lt;10,"0",""),ABS(CS!V48)))</f>
        <v/>
      </c>
      <c r="CB48" s="63" t="str">
        <f ca="1">IF(ISNUMBER(CS!W48)=FALSE,CONCATENATE(CA48,""),CONCATENATE(CA48,IF(ABS(CS!W48)&lt;10,"0",""),ABS(CS!W48)))</f>
        <v/>
      </c>
      <c r="CC48" s="63" t="str">
        <f ca="1">IF(ISNUMBER(CS!X48)=FALSE,CONCATENATE(CB48,""),CONCATENATE(CB48,IF(ABS(CS!X48)&lt;10,"0",""),ABS(CS!X48)))</f>
        <v/>
      </c>
      <c r="CD48" s="63" t="str">
        <f ca="1">IF(ISNUMBER(CS!Y48)=FALSE,CONCATENATE(CC48,""),CONCATENATE(CC48,IF(ABS(CS!Y48)&lt;10,"0",""),ABS(CS!Y48)))</f>
        <v/>
      </c>
      <c r="CE48" s="63" t="str">
        <f ca="1">IF(ISNUMBER(CS!Z48)=FALSE,CONCATENATE(CD48,""),CONCATENATE(CD48,IF(ABS(CS!Z48)&lt;10,"0",""),ABS(CS!Z48)))</f>
        <v/>
      </c>
      <c r="CF48" s="63" t="str">
        <f ca="1">IF(ISNUMBER(CS!AA48)=FALSE,CONCATENATE(CE48,""),CONCATENATE(CE48,IF(ABS(CS!AA48)&lt;10,"0",""),ABS(CS!AA48)))</f>
        <v/>
      </c>
      <c r="CG48" s="63" t="str">
        <f ca="1">IF(ISNUMBER(CS!AB48)=FALSE,CONCATENATE(CF48,""),CONCATENATE(CF48,IF(ABS(CS!AB48)&lt;10,"0",""),ABS(CS!AB48)))</f>
        <v/>
      </c>
      <c r="CH48" s="63" t="str">
        <f ca="1">IF(ISNUMBER(CS!AC48)=FALSE,CONCATENATE(CG48,""),CONCATENATE(CG48,IF(ABS(CS!AC48)&lt;10,"0",""),ABS(CS!AC48)))</f>
        <v/>
      </c>
      <c r="CI48" s="63" t="str">
        <f ca="1">IF(ISNUMBER(CS!AD48)=FALSE,CONCATENATE(CH48,""),CONCATENATE(CH48,IF(ABS(CS!AD48)&lt;10,"0",""),ABS(CS!AD48)))</f>
        <v/>
      </c>
      <c r="CJ48" s="63" t="str">
        <f ca="1">IF(ISNUMBER(CS!AE48)=FALSE,CONCATENATE(CI48,""),CONCATENATE(CI48,IF(ABS(CS!AE48)&lt;10,"0",""),ABS(CS!AE48)))</f>
        <v/>
      </c>
      <c r="CK48" s="63" t="str">
        <f ca="1">IF(ISNUMBER(CS!AF48)=FALSE,CONCATENATE(CJ48,""),CONCATENATE(CJ48,IF(ABS(CS!AF48)&lt;10,"0",""),ABS(CS!AF48)))</f>
        <v/>
      </c>
      <c r="CL48" s="63" t="str">
        <f ca="1">IF(ISNUMBER(CS!AG48)=FALSE,CONCATENATE(CK48,""),CONCATENATE(CK48,IF(ABS(CS!AG48)&lt;10,"0",""),ABS(CS!AG48)))</f>
        <v/>
      </c>
      <c r="CM48" s="63" t="str">
        <f ca="1">IF(ISNUMBER(CS!AH48)=FALSE,CONCATENATE(CL48,""),CONCATENATE(CL48,IF(ABS(CS!AH48)&lt;10,"0",""),ABS(CS!AH48)))</f>
        <v/>
      </c>
      <c r="CN48" s="63" t="str">
        <f ca="1">IF(ISNUMBER(CS!AI48)=FALSE,CONCATENATE(CM48,""),CONCATENATE(CM48,IF(ABS(CS!AI48)&lt;10,"0",""),ABS(CS!AI48)))</f>
        <v/>
      </c>
      <c r="CO48" s="63" t="str">
        <f ca="1">IF(ISNUMBER(CS!AJ48)=FALSE,CONCATENATE(CN48,""),CONCATENATE(CN48,IF(ABS(CS!AJ48)&lt;10,"0",""),ABS(CS!AJ48)))</f>
        <v/>
      </c>
      <c r="CP48" s="63" t="str">
        <f ca="1">IF(ISNUMBER(CS!AK48)=FALSE,CONCATENATE(CO48,""),CONCATENATE(CO48,IF(ABS(CS!AK48)&lt;10,"0",""),ABS(CS!AK48)))</f>
        <v/>
      </c>
      <c r="CQ48" s="63" t="str">
        <f ca="1">IF(ISNUMBER(CS!AL48)=FALSE,CONCATENATE(CP48,""),CONCATENATE(CP48,IF(ABS(CS!AL48)&lt;10,"0",""),ABS(CS!AL48)))</f>
        <v/>
      </c>
      <c r="CR48" s="63" t="str">
        <f ca="1">IF(ISNUMBER(CS!AM48)=FALSE,CONCATENATE(CQ48,""),CONCATENATE(CQ48,IF(ABS(CS!AM48)&lt;10,"0",""),ABS(CS!AM48)))</f>
        <v/>
      </c>
      <c r="CS48" s="63" t="str">
        <f ca="1">IF(ISNUMBER(CS!AN48)=FALSE,CONCATENATE(CR48,""),CONCATENATE(CR48,IF(ABS(CS!AN48)&lt;10,"0",""),ABS(CS!AN48)))</f>
        <v/>
      </c>
      <c r="CT48" s="63" t="str">
        <f ca="1">IF(ISNUMBER(CS!AO48)=FALSE,CONCATENATE(CS48,""),CONCATENATE(CS48,IF(ABS(CS!AO48)&lt;10,"0",""),ABS(CS!AO48)))</f>
        <v/>
      </c>
      <c r="CU48" s="63" t="str">
        <f ca="1">IF(ISNUMBER(CS!AP48)=FALSE,CONCATENATE(CT48,""),CONCATENATE(CT48,IF(ABS(CS!AP48)&lt;10,"0",""),ABS(CS!AP48)))</f>
        <v/>
      </c>
    </row>
    <row r="49" spans="2:99">
      <c r="B49" s="4" t="str">
        <f ca="1">CS!AR49</f>
        <v/>
      </c>
      <c r="C49" s="5">
        <f t="shared" ca="1" si="15"/>
        <v>0</v>
      </c>
      <c r="D49" s="5">
        <f t="shared" ca="1" si="8"/>
        <v>0</v>
      </c>
      <c r="E49" s="5">
        <f t="shared" ca="1" si="8"/>
        <v>0</v>
      </c>
      <c r="F49" s="5">
        <f t="shared" ca="1" si="8"/>
        <v>0</v>
      </c>
      <c r="G49" s="5">
        <f t="shared" ca="1" si="8"/>
        <v>0</v>
      </c>
      <c r="H49" s="5">
        <f t="shared" ca="1" si="8"/>
        <v>0</v>
      </c>
      <c r="I49" s="5">
        <f t="shared" ca="1" si="16"/>
        <v>0</v>
      </c>
      <c r="J49" s="5">
        <f t="shared" ca="1" si="16"/>
        <v>0</v>
      </c>
      <c r="K49" s="5">
        <f t="shared" ca="1" si="16"/>
        <v>0</v>
      </c>
      <c r="L49" s="5">
        <f t="shared" ca="1" si="16"/>
        <v>0</v>
      </c>
      <c r="M49" s="5">
        <f t="shared" ca="1" si="16"/>
        <v>0</v>
      </c>
      <c r="N49" s="5">
        <f t="shared" ca="1" si="16"/>
        <v>0</v>
      </c>
      <c r="O49" s="5">
        <f t="shared" ca="1" si="16"/>
        <v>0</v>
      </c>
      <c r="P49" s="5">
        <f t="shared" ca="1" si="16"/>
        <v>0</v>
      </c>
      <c r="Q49" s="5">
        <f t="shared" ca="1" si="16"/>
        <v>0</v>
      </c>
      <c r="R49" s="5">
        <f t="shared" ca="1" si="16"/>
        <v>0</v>
      </c>
      <c r="S49" s="5">
        <f t="shared" ca="1" si="16"/>
        <v>0</v>
      </c>
      <c r="T49" s="5">
        <f t="shared" ca="1" si="16"/>
        <v>0</v>
      </c>
      <c r="U49" s="5">
        <f t="shared" ca="1" si="16"/>
        <v>0</v>
      </c>
      <c r="V49" s="5">
        <f t="shared" ca="1" si="16"/>
        <v>0</v>
      </c>
      <c r="W49" s="5">
        <f t="shared" ca="1" si="16"/>
        <v>0</v>
      </c>
      <c r="X49" s="5">
        <f t="shared" ca="1" si="16"/>
        <v>0</v>
      </c>
      <c r="Y49" s="5">
        <f t="shared" ca="1" si="12"/>
        <v>0</v>
      </c>
      <c r="Z49" s="5">
        <f t="shared" ca="1" si="12"/>
        <v>0</v>
      </c>
      <c r="AA49" s="5">
        <f t="shared" ca="1" si="12"/>
        <v>0</v>
      </c>
      <c r="AB49" s="5">
        <f t="shared" ca="1" si="12"/>
        <v>0</v>
      </c>
      <c r="AC49" s="5">
        <f t="shared" ca="1" si="12"/>
        <v>0</v>
      </c>
      <c r="AD49" s="5">
        <f t="shared" ca="1" si="17"/>
        <v>0</v>
      </c>
      <c r="AE49" s="5">
        <f t="shared" ca="1" si="17"/>
        <v>0</v>
      </c>
      <c r="AF49" s="5">
        <f t="shared" ca="1" si="17"/>
        <v>0</v>
      </c>
      <c r="AG49" s="5">
        <f t="shared" ca="1" si="17"/>
        <v>0</v>
      </c>
      <c r="AH49" s="5">
        <f t="shared" ca="1" si="17"/>
        <v>0</v>
      </c>
      <c r="AI49" s="5">
        <f t="shared" ca="1" si="13"/>
        <v>0</v>
      </c>
      <c r="AJ49" s="5">
        <f t="shared" ca="1" si="13"/>
        <v>0</v>
      </c>
      <c r="AK49" s="5">
        <f t="shared" ca="1" si="13"/>
        <v>0</v>
      </c>
      <c r="AL49" s="5">
        <f t="shared" ca="1" si="13"/>
        <v>0</v>
      </c>
      <c r="AM49" s="5">
        <f t="shared" ca="1" si="13"/>
        <v>0</v>
      </c>
      <c r="AN49" s="5">
        <f t="shared" ca="1" si="13"/>
        <v>0</v>
      </c>
      <c r="AO49" s="5">
        <f t="shared" ca="1" si="13"/>
        <v>0</v>
      </c>
      <c r="AP49" s="5">
        <f t="shared" ca="1" si="13"/>
        <v>0</v>
      </c>
      <c r="AR49" s="4" t="str">
        <f t="shared" ca="1" si="5"/>
        <v/>
      </c>
      <c r="AS49" s="339">
        <f t="shared" ca="1" si="14"/>
        <v>0</v>
      </c>
      <c r="AT49" s="339">
        <f t="shared" ca="1" si="14"/>
        <v>0</v>
      </c>
      <c r="AU49" s="339">
        <f t="shared" ca="1" si="14"/>
        <v>0</v>
      </c>
      <c r="AV49" s="339">
        <f t="shared" ca="1" si="14"/>
        <v>0</v>
      </c>
      <c r="AW49" s="339">
        <f t="shared" ca="1" si="14"/>
        <v>0</v>
      </c>
      <c r="AX49" s="339">
        <f t="shared" ca="1" si="14"/>
        <v>0</v>
      </c>
      <c r="AY49" s="339">
        <f t="shared" ca="1" si="14"/>
        <v>0</v>
      </c>
      <c r="AZ49" s="339">
        <f t="shared" ca="1" si="14"/>
        <v>0</v>
      </c>
      <c r="BA49" s="339">
        <f t="shared" ca="1" si="14"/>
        <v>0</v>
      </c>
      <c r="BB49" s="339">
        <f t="shared" ca="1" si="14"/>
        <v>0</v>
      </c>
      <c r="BD49" s="63" t="str">
        <f>IF(DrawFinder!Y49=0,"",DrawFinder!Y49)</f>
        <v/>
      </c>
      <c r="BF49" s="151" t="str">
        <f t="shared" ca="1" si="9"/>
        <v/>
      </c>
      <c r="BH49" s="63" t="str">
        <f ca="1">IF(ISNUMBER(CS!C49)=FALSE,CONCATENATE(BG49,""),CONCATENATE(BG49,IF(ABS(CS!C49)&lt;10,"0",""),ABS(CS!C49)))</f>
        <v/>
      </c>
      <c r="BI49" s="63" t="str">
        <f ca="1">IF(ISNUMBER(CS!D49)=FALSE,CONCATENATE(BH49,""),CONCATENATE(BH49,IF(ABS(CS!D49)&lt;10,"0",""),ABS(CS!D49)))</f>
        <v/>
      </c>
      <c r="BJ49" s="63" t="str">
        <f ca="1">IF(ISNUMBER(CS!E49)=FALSE,CONCATENATE(BI49,""),CONCATENATE(BI49,IF(ABS(CS!E49)&lt;10,"0",""),ABS(CS!E49)))</f>
        <v/>
      </c>
      <c r="BK49" s="63" t="str">
        <f ca="1">IF(ISNUMBER(CS!F49)=FALSE,CONCATENATE(BJ49,""),CONCATENATE(BJ49,IF(ABS(CS!F49)&lt;10,"0",""),ABS(CS!F49)))</f>
        <v/>
      </c>
      <c r="BL49" s="63" t="str">
        <f ca="1">IF(ISNUMBER(CS!G49)=FALSE,CONCATENATE(BK49,""),CONCATENATE(BK49,IF(ABS(CS!G49)&lt;10,"0",""),ABS(CS!G49)))</f>
        <v/>
      </c>
      <c r="BM49" s="63" t="str">
        <f ca="1">IF(ISNUMBER(CS!H49)=FALSE,CONCATENATE(BL49,""),CONCATENATE(BL49,IF(ABS(CS!H49)&lt;10,"0",""),ABS(CS!H49)))</f>
        <v/>
      </c>
      <c r="BN49" s="63" t="str">
        <f ca="1">IF(ISNUMBER(CS!I49)=FALSE,CONCATENATE(BM49,""),CONCATENATE(BM49,IF(ABS(CS!I49)&lt;10,"0",""),ABS(CS!I49)))</f>
        <v/>
      </c>
      <c r="BO49" s="63" t="str">
        <f ca="1">IF(ISNUMBER(CS!J49)=FALSE,CONCATENATE(BN49,""),CONCATENATE(BN49,IF(ABS(CS!J49)&lt;10,"0",""),ABS(CS!J49)))</f>
        <v/>
      </c>
      <c r="BP49" s="63" t="str">
        <f ca="1">IF(ISNUMBER(CS!K49)=FALSE,CONCATENATE(BO49,""),CONCATENATE(BO49,IF(ABS(CS!K49)&lt;10,"0",""),ABS(CS!K49)))</f>
        <v/>
      </c>
      <c r="BQ49" s="63" t="str">
        <f ca="1">IF(ISNUMBER(CS!L49)=FALSE,CONCATENATE(BP49,""),CONCATENATE(BP49,IF(ABS(CS!L49)&lt;10,"0",""),ABS(CS!L49)))</f>
        <v/>
      </c>
      <c r="BR49" s="63" t="str">
        <f ca="1">IF(ISNUMBER(CS!M49)=FALSE,CONCATENATE(BQ49,""),CONCATENATE(BQ49,IF(ABS(CS!M49)&lt;10,"0",""),ABS(CS!M49)))</f>
        <v/>
      </c>
      <c r="BS49" s="63" t="str">
        <f ca="1">IF(ISNUMBER(CS!N49)=FALSE,CONCATENATE(BR49,""),CONCATENATE(BR49,IF(ABS(CS!N49)&lt;10,"0",""),ABS(CS!N49)))</f>
        <v/>
      </c>
      <c r="BT49" s="63" t="str">
        <f ca="1">IF(ISNUMBER(CS!O49)=FALSE,CONCATENATE(BS49,""),CONCATENATE(BS49,IF(ABS(CS!O49)&lt;10,"0",""),ABS(CS!O49)))</f>
        <v/>
      </c>
      <c r="BU49" s="63" t="str">
        <f ca="1">IF(ISNUMBER(CS!P49)=FALSE,CONCATENATE(BT49,""),CONCATENATE(BT49,IF(ABS(CS!P49)&lt;10,"0",""),ABS(CS!P49)))</f>
        <v/>
      </c>
      <c r="BV49" s="63" t="str">
        <f ca="1">IF(ISNUMBER(CS!Q49)=FALSE,CONCATENATE(BU49,""),CONCATENATE(BU49,IF(ABS(CS!Q49)&lt;10,"0",""),ABS(CS!Q49)))</f>
        <v/>
      </c>
      <c r="BW49" s="63" t="str">
        <f ca="1">IF(ISNUMBER(CS!R49)=FALSE,CONCATENATE(BV49,""),CONCATENATE(BV49,IF(ABS(CS!R49)&lt;10,"0",""),ABS(CS!R49)))</f>
        <v/>
      </c>
      <c r="BX49" s="63" t="str">
        <f ca="1">IF(ISNUMBER(CS!S49)=FALSE,CONCATENATE(BW49,""),CONCATENATE(BW49,IF(ABS(CS!S49)&lt;10,"0",""),ABS(CS!S49)))</f>
        <v/>
      </c>
      <c r="BY49" s="63" t="str">
        <f ca="1">IF(ISNUMBER(CS!T49)=FALSE,CONCATENATE(BX49,""),CONCATENATE(BX49,IF(ABS(CS!T49)&lt;10,"0",""),ABS(CS!T49)))</f>
        <v/>
      </c>
      <c r="BZ49" s="63" t="str">
        <f ca="1">IF(ISNUMBER(CS!U49)=FALSE,CONCATENATE(BY49,""),CONCATENATE(BY49,IF(ABS(CS!U49)&lt;10,"0",""),ABS(CS!U49)))</f>
        <v/>
      </c>
      <c r="CA49" s="63" t="str">
        <f ca="1">IF(ISNUMBER(CS!V49)=FALSE,CONCATENATE(BZ49,""),CONCATENATE(BZ49,IF(ABS(CS!V49)&lt;10,"0",""),ABS(CS!V49)))</f>
        <v/>
      </c>
      <c r="CB49" s="63" t="str">
        <f ca="1">IF(ISNUMBER(CS!W49)=FALSE,CONCATENATE(CA49,""),CONCATENATE(CA49,IF(ABS(CS!W49)&lt;10,"0",""),ABS(CS!W49)))</f>
        <v/>
      </c>
      <c r="CC49" s="63" t="str">
        <f ca="1">IF(ISNUMBER(CS!X49)=FALSE,CONCATENATE(CB49,""),CONCATENATE(CB49,IF(ABS(CS!X49)&lt;10,"0",""),ABS(CS!X49)))</f>
        <v/>
      </c>
      <c r="CD49" s="63" t="str">
        <f ca="1">IF(ISNUMBER(CS!Y49)=FALSE,CONCATENATE(CC49,""),CONCATENATE(CC49,IF(ABS(CS!Y49)&lt;10,"0",""),ABS(CS!Y49)))</f>
        <v/>
      </c>
      <c r="CE49" s="63" t="str">
        <f ca="1">IF(ISNUMBER(CS!Z49)=FALSE,CONCATENATE(CD49,""),CONCATENATE(CD49,IF(ABS(CS!Z49)&lt;10,"0",""),ABS(CS!Z49)))</f>
        <v/>
      </c>
      <c r="CF49" s="63" t="str">
        <f ca="1">IF(ISNUMBER(CS!AA49)=FALSE,CONCATENATE(CE49,""),CONCATENATE(CE49,IF(ABS(CS!AA49)&lt;10,"0",""),ABS(CS!AA49)))</f>
        <v/>
      </c>
      <c r="CG49" s="63" t="str">
        <f ca="1">IF(ISNUMBER(CS!AB49)=FALSE,CONCATENATE(CF49,""),CONCATENATE(CF49,IF(ABS(CS!AB49)&lt;10,"0",""),ABS(CS!AB49)))</f>
        <v/>
      </c>
      <c r="CH49" s="63" t="str">
        <f ca="1">IF(ISNUMBER(CS!AC49)=FALSE,CONCATENATE(CG49,""),CONCATENATE(CG49,IF(ABS(CS!AC49)&lt;10,"0",""),ABS(CS!AC49)))</f>
        <v/>
      </c>
      <c r="CI49" s="63" t="str">
        <f ca="1">IF(ISNUMBER(CS!AD49)=FALSE,CONCATENATE(CH49,""),CONCATENATE(CH49,IF(ABS(CS!AD49)&lt;10,"0",""),ABS(CS!AD49)))</f>
        <v/>
      </c>
      <c r="CJ49" s="63" t="str">
        <f ca="1">IF(ISNUMBER(CS!AE49)=FALSE,CONCATENATE(CI49,""),CONCATENATE(CI49,IF(ABS(CS!AE49)&lt;10,"0",""),ABS(CS!AE49)))</f>
        <v/>
      </c>
      <c r="CK49" s="63" t="str">
        <f ca="1">IF(ISNUMBER(CS!AF49)=FALSE,CONCATENATE(CJ49,""),CONCATENATE(CJ49,IF(ABS(CS!AF49)&lt;10,"0",""),ABS(CS!AF49)))</f>
        <v/>
      </c>
      <c r="CL49" s="63" t="str">
        <f ca="1">IF(ISNUMBER(CS!AG49)=FALSE,CONCATENATE(CK49,""),CONCATENATE(CK49,IF(ABS(CS!AG49)&lt;10,"0",""),ABS(CS!AG49)))</f>
        <v/>
      </c>
      <c r="CM49" s="63" t="str">
        <f ca="1">IF(ISNUMBER(CS!AH49)=FALSE,CONCATENATE(CL49,""),CONCATENATE(CL49,IF(ABS(CS!AH49)&lt;10,"0",""),ABS(CS!AH49)))</f>
        <v/>
      </c>
      <c r="CN49" s="63" t="str">
        <f ca="1">IF(ISNUMBER(CS!AI49)=FALSE,CONCATENATE(CM49,""),CONCATENATE(CM49,IF(ABS(CS!AI49)&lt;10,"0",""),ABS(CS!AI49)))</f>
        <v/>
      </c>
      <c r="CO49" s="63" t="str">
        <f ca="1">IF(ISNUMBER(CS!AJ49)=FALSE,CONCATENATE(CN49,""),CONCATENATE(CN49,IF(ABS(CS!AJ49)&lt;10,"0",""),ABS(CS!AJ49)))</f>
        <v/>
      </c>
      <c r="CP49" s="63" t="str">
        <f ca="1">IF(ISNUMBER(CS!AK49)=FALSE,CONCATENATE(CO49,""),CONCATENATE(CO49,IF(ABS(CS!AK49)&lt;10,"0",""),ABS(CS!AK49)))</f>
        <v/>
      </c>
      <c r="CQ49" s="63" t="str">
        <f ca="1">IF(ISNUMBER(CS!AL49)=FALSE,CONCATENATE(CP49,""),CONCATENATE(CP49,IF(ABS(CS!AL49)&lt;10,"0",""),ABS(CS!AL49)))</f>
        <v/>
      </c>
      <c r="CR49" s="63" t="str">
        <f ca="1">IF(ISNUMBER(CS!AM49)=FALSE,CONCATENATE(CQ49,""),CONCATENATE(CQ49,IF(ABS(CS!AM49)&lt;10,"0",""),ABS(CS!AM49)))</f>
        <v/>
      </c>
      <c r="CS49" s="63" t="str">
        <f ca="1">IF(ISNUMBER(CS!AN49)=FALSE,CONCATENATE(CR49,""),CONCATENATE(CR49,IF(ABS(CS!AN49)&lt;10,"0",""),ABS(CS!AN49)))</f>
        <v/>
      </c>
      <c r="CT49" s="63" t="str">
        <f ca="1">IF(ISNUMBER(CS!AO49)=FALSE,CONCATENATE(CS49,""),CONCATENATE(CS49,IF(ABS(CS!AO49)&lt;10,"0",""),ABS(CS!AO49)))</f>
        <v/>
      </c>
      <c r="CU49" s="63" t="str">
        <f ca="1">IF(ISNUMBER(CS!AP49)=FALSE,CONCATENATE(CT49,""),CONCATENATE(CT49,IF(ABS(CS!AP49)&lt;10,"0",""),ABS(CS!AP49)))</f>
        <v/>
      </c>
    </row>
    <row r="50" spans="2:99">
      <c r="B50" s="4" t="str">
        <f ca="1">CS!AR50</f>
        <v/>
      </c>
      <c r="C50" s="5">
        <f t="shared" ref="C50:C56" ca="1" si="18">IF(ISERROR(VALUE(MID($BF50,(C$9*2)-1,2))),0,VALUE(MID($BF50,(C$9*2)-1,2)))</f>
        <v>0</v>
      </c>
      <c r="D50" s="5">
        <f t="shared" ca="1" si="8"/>
        <v>0</v>
      </c>
      <c r="E50" s="5">
        <f t="shared" ca="1" si="8"/>
        <v>0</v>
      </c>
      <c r="F50" s="5">
        <f t="shared" ca="1" si="8"/>
        <v>0</v>
      </c>
      <c r="G50" s="5">
        <f t="shared" ca="1" si="8"/>
        <v>0</v>
      </c>
      <c r="H50" s="5">
        <f t="shared" ca="1" si="8"/>
        <v>0</v>
      </c>
      <c r="I50" s="5">
        <f t="shared" ca="1" si="16"/>
        <v>0</v>
      </c>
      <c r="J50" s="5">
        <f t="shared" ca="1" si="16"/>
        <v>0</v>
      </c>
      <c r="K50" s="5">
        <f t="shared" ca="1" si="16"/>
        <v>0</v>
      </c>
      <c r="L50" s="5">
        <f t="shared" ca="1" si="16"/>
        <v>0</v>
      </c>
      <c r="M50" s="5">
        <f t="shared" ca="1" si="16"/>
        <v>0</v>
      </c>
      <c r="N50" s="5">
        <f t="shared" ca="1" si="16"/>
        <v>0</v>
      </c>
      <c r="O50" s="5">
        <f t="shared" ca="1" si="16"/>
        <v>0</v>
      </c>
      <c r="P50" s="5">
        <f t="shared" ca="1" si="16"/>
        <v>0</v>
      </c>
      <c r="Q50" s="5">
        <f t="shared" ca="1" si="16"/>
        <v>0</v>
      </c>
      <c r="R50" s="5">
        <f t="shared" ca="1" si="16"/>
        <v>0</v>
      </c>
      <c r="S50" s="5">
        <f t="shared" ca="1" si="16"/>
        <v>0</v>
      </c>
      <c r="T50" s="5">
        <f t="shared" ca="1" si="16"/>
        <v>0</v>
      </c>
      <c r="U50" s="5">
        <f t="shared" ca="1" si="16"/>
        <v>0</v>
      </c>
      <c r="V50" s="5">
        <f t="shared" ca="1" si="16"/>
        <v>0</v>
      </c>
      <c r="W50" s="5">
        <f t="shared" ca="1" si="16"/>
        <v>0</v>
      </c>
      <c r="X50" s="5">
        <f t="shared" ca="1" si="16"/>
        <v>0</v>
      </c>
      <c r="Y50" s="5">
        <f t="shared" ca="1" si="12"/>
        <v>0</v>
      </c>
      <c r="Z50" s="5">
        <f t="shared" ca="1" si="12"/>
        <v>0</v>
      </c>
      <c r="AA50" s="5">
        <f t="shared" ca="1" si="12"/>
        <v>0</v>
      </c>
      <c r="AB50" s="5">
        <f t="shared" ca="1" si="12"/>
        <v>0</v>
      </c>
      <c r="AC50" s="5">
        <f t="shared" ca="1" si="12"/>
        <v>0</v>
      </c>
      <c r="AD50" s="5">
        <f t="shared" ca="1" si="17"/>
        <v>0</v>
      </c>
      <c r="AE50" s="5">
        <f t="shared" ca="1" si="17"/>
        <v>0</v>
      </c>
      <c r="AF50" s="5">
        <f t="shared" ca="1" si="17"/>
        <v>0</v>
      </c>
      <c r="AG50" s="5">
        <f t="shared" ca="1" si="17"/>
        <v>0</v>
      </c>
      <c r="AH50" s="5">
        <f t="shared" ca="1" si="17"/>
        <v>0</v>
      </c>
      <c r="AI50" s="5">
        <f t="shared" ca="1" si="13"/>
        <v>0</v>
      </c>
      <c r="AJ50" s="5">
        <f t="shared" ca="1" si="13"/>
        <v>0</v>
      </c>
      <c r="AK50" s="5">
        <f t="shared" ca="1" si="13"/>
        <v>0</v>
      </c>
      <c r="AL50" s="5">
        <f t="shared" ca="1" si="13"/>
        <v>0</v>
      </c>
      <c r="AM50" s="5">
        <f t="shared" ca="1" si="13"/>
        <v>0</v>
      </c>
      <c r="AN50" s="5">
        <f t="shared" ca="1" si="13"/>
        <v>0</v>
      </c>
      <c r="AO50" s="5">
        <f t="shared" ca="1" si="13"/>
        <v>0</v>
      </c>
      <c r="AP50" s="5">
        <f t="shared" ca="1" si="13"/>
        <v>0</v>
      </c>
      <c r="AR50" s="4" t="str">
        <f t="shared" ca="1" si="5"/>
        <v/>
      </c>
      <c r="AS50" s="339">
        <f t="shared" ca="1" si="14"/>
        <v>0</v>
      </c>
      <c r="AT50" s="339">
        <f t="shared" ca="1" si="14"/>
        <v>0</v>
      </c>
      <c r="AU50" s="339">
        <f t="shared" ca="1" si="14"/>
        <v>0</v>
      </c>
      <c r="AV50" s="339">
        <f t="shared" ca="1" si="14"/>
        <v>0</v>
      </c>
      <c r="AW50" s="339">
        <f t="shared" ca="1" si="14"/>
        <v>0</v>
      </c>
      <c r="AX50" s="339">
        <f t="shared" ca="1" si="14"/>
        <v>0</v>
      </c>
      <c r="AY50" s="339">
        <f t="shared" ca="1" si="14"/>
        <v>0</v>
      </c>
      <c r="AZ50" s="339">
        <f t="shared" ca="1" si="14"/>
        <v>0</v>
      </c>
      <c r="BA50" s="339">
        <f t="shared" ca="1" si="14"/>
        <v>0</v>
      </c>
      <c r="BB50" s="339">
        <f t="shared" ca="1" si="14"/>
        <v>0</v>
      </c>
      <c r="BD50" s="63" t="str">
        <f>IF(DrawFinder!Y50=0,"",DrawFinder!Y50)</f>
        <v/>
      </c>
      <c r="BF50" s="151" t="str">
        <f t="shared" ca="1" si="9"/>
        <v/>
      </c>
      <c r="BH50" s="63" t="str">
        <f ca="1">IF(ISNUMBER(CS!C50)=FALSE,CONCATENATE(BG50,""),CONCATENATE(BG50,IF(ABS(CS!C50)&lt;10,"0",""),ABS(CS!C50)))</f>
        <v/>
      </c>
      <c r="BI50" s="63" t="str">
        <f ca="1">IF(ISNUMBER(CS!D50)=FALSE,CONCATENATE(BH50,""),CONCATENATE(BH50,IF(ABS(CS!D50)&lt;10,"0",""),ABS(CS!D50)))</f>
        <v/>
      </c>
      <c r="BJ50" s="63" t="str">
        <f ca="1">IF(ISNUMBER(CS!E50)=FALSE,CONCATENATE(BI50,""),CONCATENATE(BI50,IF(ABS(CS!E50)&lt;10,"0",""),ABS(CS!E50)))</f>
        <v/>
      </c>
      <c r="BK50" s="63" t="str">
        <f ca="1">IF(ISNUMBER(CS!F50)=FALSE,CONCATENATE(BJ50,""),CONCATENATE(BJ50,IF(ABS(CS!F50)&lt;10,"0",""),ABS(CS!F50)))</f>
        <v/>
      </c>
      <c r="BL50" s="63" t="str">
        <f ca="1">IF(ISNUMBER(CS!G50)=FALSE,CONCATENATE(BK50,""),CONCATENATE(BK50,IF(ABS(CS!G50)&lt;10,"0",""),ABS(CS!G50)))</f>
        <v/>
      </c>
      <c r="BM50" s="63" t="str">
        <f ca="1">IF(ISNUMBER(CS!H50)=FALSE,CONCATENATE(BL50,""),CONCATENATE(BL50,IF(ABS(CS!H50)&lt;10,"0",""),ABS(CS!H50)))</f>
        <v/>
      </c>
      <c r="BN50" s="63" t="str">
        <f ca="1">IF(ISNUMBER(CS!I50)=FALSE,CONCATENATE(BM50,""),CONCATENATE(BM50,IF(ABS(CS!I50)&lt;10,"0",""),ABS(CS!I50)))</f>
        <v/>
      </c>
      <c r="BO50" s="63" t="str">
        <f ca="1">IF(ISNUMBER(CS!J50)=FALSE,CONCATENATE(BN50,""),CONCATENATE(BN50,IF(ABS(CS!J50)&lt;10,"0",""),ABS(CS!J50)))</f>
        <v/>
      </c>
      <c r="BP50" s="63" t="str">
        <f ca="1">IF(ISNUMBER(CS!K50)=FALSE,CONCATENATE(BO50,""),CONCATENATE(BO50,IF(ABS(CS!K50)&lt;10,"0",""),ABS(CS!K50)))</f>
        <v/>
      </c>
      <c r="BQ50" s="63" t="str">
        <f ca="1">IF(ISNUMBER(CS!L50)=FALSE,CONCATENATE(BP50,""),CONCATENATE(BP50,IF(ABS(CS!L50)&lt;10,"0",""),ABS(CS!L50)))</f>
        <v/>
      </c>
      <c r="BR50" s="63" t="str">
        <f ca="1">IF(ISNUMBER(CS!M50)=FALSE,CONCATENATE(BQ50,""),CONCATENATE(BQ50,IF(ABS(CS!M50)&lt;10,"0",""),ABS(CS!M50)))</f>
        <v/>
      </c>
      <c r="BS50" s="63" t="str">
        <f ca="1">IF(ISNUMBER(CS!N50)=FALSE,CONCATENATE(BR50,""),CONCATENATE(BR50,IF(ABS(CS!N50)&lt;10,"0",""),ABS(CS!N50)))</f>
        <v/>
      </c>
      <c r="BT50" s="63" t="str">
        <f ca="1">IF(ISNUMBER(CS!O50)=FALSE,CONCATENATE(BS50,""),CONCATENATE(BS50,IF(ABS(CS!O50)&lt;10,"0",""),ABS(CS!O50)))</f>
        <v/>
      </c>
      <c r="BU50" s="63" t="str">
        <f ca="1">IF(ISNUMBER(CS!P50)=FALSE,CONCATENATE(BT50,""),CONCATENATE(BT50,IF(ABS(CS!P50)&lt;10,"0",""),ABS(CS!P50)))</f>
        <v/>
      </c>
      <c r="BV50" s="63" t="str">
        <f ca="1">IF(ISNUMBER(CS!Q50)=FALSE,CONCATENATE(BU50,""),CONCATENATE(BU50,IF(ABS(CS!Q50)&lt;10,"0",""),ABS(CS!Q50)))</f>
        <v/>
      </c>
      <c r="BW50" s="63" t="str">
        <f ca="1">IF(ISNUMBER(CS!R50)=FALSE,CONCATENATE(BV50,""),CONCATENATE(BV50,IF(ABS(CS!R50)&lt;10,"0",""),ABS(CS!R50)))</f>
        <v/>
      </c>
      <c r="BX50" s="63" t="str">
        <f ca="1">IF(ISNUMBER(CS!S50)=FALSE,CONCATENATE(BW50,""),CONCATENATE(BW50,IF(ABS(CS!S50)&lt;10,"0",""),ABS(CS!S50)))</f>
        <v/>
      </c>
      <c r="BY50" s="63" t="str">
        <f ca="1">IF(ISNUMBER(CS!T50)=FALSE,CONCATENATE(BX50,""),CONCATENATE(BX50,IF(ABS(CS!T50)&lt;10,"0",""),ABS(CS!T50)))</f>
        <v/>
      </c>
      <c r="BZ50" s="63" t="str">
        <f ca="1">IF(ISNUMBER(CS!U50)=FALSE,CONCATENATE(BY50,""),CONCATENATE(BY50,IF(ABS(CS!U50)&lt;10,"0",""),ABS(CS!U50)))</f>
        <v/>
      </c>
      <c r="CA50" s="63" t="str">
        <f ca="1">IF(ISNUMBER(CS!V50)=FALSE,CONCATENATE(BZ50,""),CONCATENATE(BZ50,IF(ABS(CS!V50)&lt;10,"0",""),ABS(CS!V50)))</f>
        <v/>
      </c>
      <c r="CB50" s="63" t="str">
        <f ca="1">IF(ISNUMBER(CS!W50)=FALSE,CONCATENATE(CA50,""),CONCATENATE(CA50,IF(ABS(CS!W50)&lt;10,"0",""),ABS(CS!W50)))</f>
        <v/>
      </c>
      <c r="CC50" s="63" t="str">
        <f ca="1">IF(ISNUMBER(CS!X50)=FALSE,CONCATENATE(CB50,""),CONCATENATE(CB50,IF(ABS(CS!X50)&lt;10,"0",""),ABS(CS!X50)))</f>
        <v/>
      </c>
      <c r="CD50" s="63" t="str">
        <f ca="1">IF(ISNUMBER(CS!Y50)=FALSE,CONCATENATE(CC50,""),CONCATENATE(CC50,IF(ABS(CS!Y50)&lt;10,"0",""),ABS(CS!Y50)))</f>
        <v/>
      </c>
      <c r="CE50" s="63" t="str">
        <f ca="1">IF(ISNUMBER(CS!Z50)=FALSE,CONCATENATE(CD50,""),CONCATENATE(CD50,IF(ABS(CS!Z50)&lt;10,"0",""),ABS(CS!Z50)))</f>
        <v/>
      </c>
      <c r="CF50" s="63" t="str">
        <f ca="1">IF(ISNUMBER(CS!AA50)=FALSE,CONCATENATE(CE50,""),CONCATENATE(CE50,IF(ABS(CS!AA50)&lt;10,"0",""),ABS(CS!AA50)))</f>
        <v/>
      </c>
      <c r="CG50" s="63" t="str">
        <f ca="1">IF(ISNUMBER(CS!AB50)=FALSE,CONCATENATE(CF50,""),CONCATENATE(CF50,IF(ABS(CS!AB50)&lt;10,"0",""),ABS(CS!AB50)))</f>
        <v/>
      </c>
      <c r="CH50" s="63" t="str">
        <f ca="1">IF(ISNUMBER(CS!AC50)=FALSE,CONCATENATE(CG50,""),CONCATENATE(CG50,IF(ABS(CS!AC50)&lt;10,"0",""),ABS(CS!AC50)))</f>
        <v/>
      </c>
      <c r="CI50" s="63" t="str">
        <f ca="1">IF(ISNUMBER(CS!AD50)=FALSE,CONCATENATE(CH50,""),CONCATENATE(CH50,IF(ABS(CS!AD50)&lt;10,"0",""),ABS(CS!AD50)))</f>
        <v/>
      </c>
      <c r="CJ50" s="63" t="str">
        <f ca="1">IF(ISNUMBER(CS!AE50)=FALSE,CONCATENATE(CI50,""),CONCATENATE(CI50,IF(ABS(CS!AE50)&lt;10,"0",""),ABS(CS!AE50)))</f>
        <v/>
      </c>
      <c r="CK50" s="63" t="str">
        <f ca="1">IF(ISNUMBER(CS!AF50)=FALSE,CONCATENATE(CJ50,""),CONCATENATE(CJ50,IF(ABS(CS!AF50)&lt;10,"0",""),ABS(CS!AF50)))</f>
        <v/>
      </c>
      <c r="CL50" s="63" t="str">
        <f ca="1">IF(ISNUMBER(CS!AG50)=FALSE,CONCATENATE(CK50,""),CONCATENATE(CK50,IF(ABS(CS!AG50)&lt;10,"0",""),ABS(CS!AG50)))</f>
        <v/>
      </c>
      <c r="CM50" s="63" t="str">
        <f ca="1">IF(ISNUMBER(CS!AH50)=FALSE,CONCATENATE(CL50,""),CONCATENATE(CL50,IF(ABS(CS!AH50)&lt;10,"0",""),ABS(CS!AH50)))</f>
        <v/>
      </c>
      <c r="CN50" s="63" t="str">
        <f ca="1">IF(ISNUMBER(CS!AI50)=FALSE,CONCATENATE(CM50,""),CONCATENATE(CM50,IF(ABS(CS!AI50)&lt;10,"0",""),ABS(CS!AI50)))</f>
        <v/>
      </c>
      <c r="CO50" s="63" t="str">
        <f ca="1">IF(ISNUMBER(CS!AJ50)=FALSE,CONCATENATE(CN50,""),CONCATENATE(CN50,IF(ABS(CS!AJ50)&lt;10,"0",""),ABS(CS!AJ50)))</f>
        <v/>
      </c>
      <c r="CP50" s="63" t="str">
        <f ca="1">IF(ISNUMBER(CS!AK50)=FALSE,CONCATENATE(CO50,""),CONCATENATE(CO50,IF(ABS(CS!AK50)&lt;10,"0",""),ABS(CS!AK50)))</f>
        <v/>
      </c>
      <c r="CQ50" s="63" t="str">
        <f ca="1">IF(ISNUMBER(CS!AL50)=FALSE,CONCATENATE(CP50,""),CONCATENATE(CP50,IF(ABS(CS!AL50)&lt;10,"0",""),ABS(CS!AL50)))</f>
        <v/>
      </c>
      <c r="CR50" s="63" t="str">
        <f ca="1">IF(ISNUMBER(CS!AM50)=FALSE,CONCATENATE(CQ50,""),CONCATENATE(CQ50,IF(ABS(CS!AM50)&lt;10,"0",""),ABS(CS!AM50)))</f>
        <v/>
      </c>
      <c r="CS50" s="63" t="str">
        <f ca="1">IF(ISNUMBER(CS!AN50)=FALSE,CONCATENATE(CR50,""),CONCATENATE(CR50,IF(ABS(CS!AN50)&lt;10,"0",""),ABS(CS!AN50)))</f>
        <v/>
      </c>
      <c r="CT50" s="63" t="str">
        <f ca="1">IF(ISNUMBER(CS!AO50)=FALSE,CONCATENATE(CS50,""),CONCATENATE(CS50,IF(ABS(CS!AO50)&lt;10,"0",""),ABS(CS!AO50)))</f>
        <v/>
      </c>
      <c r="CU50" s="63" t="str">
        <f ca="1">IF(ISNUMBER(CS!AP50)=FALSE,CONCATENATE(CT50,""),CONCATENATE(CT50,IF(ABS(CS!AP50)&lt;10,"0",""),ABS(CS!AP50)))</f>
        <v/>
      </c>
    </row>
    <row r="51" spans="2:99">
      <c r="B51" s="4" t="str">
        <f ca="1">CS!AR51</f>
        <v/>
      </c>
      <c r="C51" s="5">
        <f t="shared" ca="1" si="18"/>
        <v>0</v>
      </c>
      <c r="D51" s="5">
        <f t="shared" ca="1" si="8"/>
        <v>0</v>
      </c>
      <c r="E51" s="5">
        <f t="shared" ca="1" si="8"/>
        <v>0</v>
      </c>
      <c r="F51" s="5">
        <f t="shared" ca="1" si="8"/>
        <v>0</v>
      </c>
      <c r="G51" s="5">
        <f t="shared" ca="1" si="8"/>
        <v>0</v>
      </c>
      <c r="H51" s="5">
        <f t="shared" ca="1" si="8"/>
        <v>0</v>
      </c>
      <c r="I51" s="5">
        <f t="shared" ca="1" si="16"/>
        <v>0</v>
      </c>
      <c r="J51" s="5">
        <f t="shared" ca="1" si="16"/>
        <v>0</v>
      </c>
      <c r="K51" s="5">
        <f t="shared" ca="1" si="16"/>
        <v>0</v>
      </c>
      <c r="L51" s="5">
        <f t="shared" ca="1" si="16"/>
        <v>0</v>
      </c>
      <c r="M51" s="5">
        <f t="shared" ca="1" si="16"/>
        <v>0</v>
      </c>
      <c r="N51" s="5">
        <f t="shared" ca="1" si="16"/>
        <v>0</v>
      </c>
      <c r="O51" s="5">
        <f t="shared" ca="1" si="16"/>
        <v>0</v>
      </c>
      <c r="P51" s="5">
        <f t="shared" ca="1" si="16"/>
        <v>0</v>
      </c>
      <c r="Q51" s="5">
        <f t="shared" ca="1" si="16"/>
        <v>0</v>
      </c>
      <c r="R51" s="5">
        <f t="shared" ca="1" si="16"/>
        <v>0</v>
      </c>
      <c r="S51" s="5">
        <f t="shared" ca="1" si="16"/>
        <v>0</v>
      </c>
      <c r="T51" s="5">
        <f t="shared" ca="1" si="16"/>
        <v>0</v>
      </c>
      <c r="U51" s="5">
        <f t="shared" ca="1" si="16"/>
        <v>0</v>
      </c>
      <c r="V51" s="5">
        <f t="shared" ca="1" si="16"/>
        <v>0</v>
      </c>
      <c r="W51" s="5">
        <f t="shared" ca="1" si="16"/>
        <v>0</v>
      </c>
      <c r="X51" s="5">
        <f t="shared" ca="1" si="16"/>
        <v>0</v>
      </c>
      <c r="Y51" s="5">
        <f t="shared" ca="1" si="12"/>
        <v>0</v>
      </c>
      <c r="Z51" s="5">
        <f t="shared" ca="1" si="12"/>
        <v>0</v>
      </c>
      <c r="AA51" s="5">
        <f t="shared" ca="1" si="12"/>
        <v>0</v>
      </c>
      <c r="AB51" s="5">
        <f t="shared" ca="1" si="12"/>
        <v>0</v>
      </c>
      <c r="AC51" s="5">
        <f t="shared" ca="1" si="12"/>
        <v>0</v>
      </c>
      <c r="AD51" s="5">
        <f t="shared" ca="1" si="17"/>
        <v>0</v>
      </c>
      <c r="AE51" s="5">
        <f t="shared" ca="1" si="17"/>
        <v>0</v>
      </c>
      <c r="AF51" s="5">
        <f t="shared" ca="1" si="17"/>
        <v>0</v>
      </c>
      <c r="AG51" s="5">
        <f t="shared" ca="1" si="17"/>
        <v>0</v>
      </c>
      <c r="AH51" s="5">
        <f t="shared" ca="1" si="17"/>
        <v>0</v>
      </c>
      <c r="AI51" s="5">
        <f t="shared" ca="1" si="13"/>
        <v>0</v>
      </c>
      <c r="AJ51" s="5">
        <f t="shared" ca="1" si="13"/>
        <v>0</v>
      </c>
      <c r="AK51" s="5">
        <f t="shared" ca="1" si="13"/>
        <v>0</v>
      </c>
      <c r="AL51" s="5">
        <f t="shared" ca="1" si="13"/>
        <v>0</v>
      </c>
      <c r="AM51" s="5">
        <f t="shared" ca="1" si="13"/>
        <v>0</v>
      </c>
      <c r="AN51" s="5">
        <f t="shared" ca="1" si="13"/>
        <v>0</v>
      </c>
      <c r="AO51" s="5">
        <f t="shared" ca="1" si="13"/>
        <v>0</v>
      </c>
      <c r="AP51" s="5">
        <f t="shared" ca="1" si="13"/>
        <v>0</v>
      </c>
      <c r="AR51" s="4" t="str">
        <f t="shared" ca="1" si="5"/>
        <v/>
      </c>
      <c r="AS51" s="339">
        <f t="shared" ca="1" si="14"/>
        <v>0</v>
      </c>
      <c r="AT51" s="339">
        <f t="shared" ca="1" si="14"/>
        <v>0</v>
      </c>
      <c r="AU51" s="339">
        <f t="shared" ca="1" si="14"/>
        <v>0</v>
      </c>
      <c r="AV51" s="339">
        <f t="shared" ca="1" si="14"/>
        <v>0</v>
      </c>
      <c r="AW51" s="339">
        <f t="shared" ca="1" si="14"/>
        <v>0</v>
      </c>
      <c r="AX51" s="339">
        <f t="shared" ca="1" si="14"/>
        <v>0</v>
      </c>
      <c r="AY51" s="339">
        <f t="shared" ca="1" si="14"/>
        <v>0</v>
      </c>
      <c r="AZ51" s="339">
        <f t="shared" ca="1" si="14"/>
        <v>0</v>
      </c>
      <c r="BA51" s="339">
        <f t="shared" ca="1" si="14"/>
        <v>0</v>
      </c>
      <c r="BB51" s="339">
        <f t="shared" ca="1" si="14"/>
        <v>0</v>
      </c>
      <c r="BD51" s="63" t="str">
        <f>IF(DrawFinder!Y51=0,"",DrawFinder!Y51)</f>
        <v/>
      </c>
      <c r="BF51" s="151" t="str">
        <f t="shared" ca="1" si="9"/>
        <v/>
      </c>
      <c r="BH51" s="63" t="str">
        <f ca="1">IF(ISNUMBER(CS!C51)=FALSE,CONCATENATE(BG51,""),CONCATENATE(BG51,IF(ABS(CS!C51)&lt;10,"0",""),ABS(CS!C51)))</f>
        <v/>
      </c>
      <c r="BI51" s="63" t="str">
        <f ca="1">IF(ISNUMBER(CS!D51)=FALSE,CONCATENATE(BH51,""),CONCATENATE(BH51,IF(ABS(CS!D51)&lt;10,"0",""),ABS(CS!D51)))</f>
        <v/>
      </c>
      <c r="BJ51" s="63" t="str">
        <f ca="1">IF(ISNUMBER(CS!E51)=FALSE,CONCATENATE(BI51,""),CONCATENATE(BI51,IF(ABS(CS!E51)&lt;10,"0",""),ABS(CS!E51)))</f>
        <v/>
      </c>
      <c r="BK51" s="63" t="str">
        <f ca="1">IF(ISNUMBER(CS!F51)=FALSE,CONCATENATE(BJ51,""),CONCATENATE(BJ51,IF(ABS(CS!F51)&lt;10,"0",""),ABS(CS!F51)))</f>
        <v/>
      </c>
      <c r="BL51" s="63" t="str">
        <f ca="1">IF(ISNUMBER(CS!G51)=FALSE,CONCATENATE(BK51,""),CONCATENATE(BK51,IF(ABS(CS!G51)&lt;10,"0",""),ABS(CS!G51)))</f>
        <v/>
      </c>
      <c r="BM51" s="63" t="str">
        <f ca="1">IF(ISNUMBER(CS!H51)=FALSE,CONCATENATE(BL51,""),CONCATENATE(BL51,IF(ABS(CS!H51)&lt;10,"0",""),ABS(CS!H51)))</f>
        <v/>
      </c>
      <c r="BN51" s="63" t="str">
        <f ca="1">IF(ISNUMBER(CS!I51)=FALSE,CONCATENATE(BM51,""),CONCATENATE(BM51,IF(ABS(CS!I51)&lt;10,"0",""),ABS(CS!I51)))</f>
        <v/>
      </c>
      <c r="BO51" s="63" t="str">
        <f ca="1">IF(ISNUMBER(CS!J51)=FALSE,CONCATENATE(BN51,""),CONCATENATE(BN51,IF(ABS(CS!J51)&lt;10,"0",""),ABS(CS!J51)))</f>
        <v/>
      </c>
      <c r="BP51" s="63" t="str">
        <f ca="1">IF(ISNUMBER(CS!K51)=FALSE,CONCATENATE(BO51,""),CONCATENATE(BO51,IF(ABS(CS!K51)&lt;10,"0",""),ABS(CS!K51)))</f>
        <v/>
      </c>
      <c r="BQ51" s="63" t="str">
        <f ca="1">IF(ISNUMBER(CS!L51)=FALSE,CONCATENATE(BP51,""),CONCATENATE(BP51,IF(ABS(CS!L51)&lt;10,"0",""),ABS(CS!L51)))</f>
        <v/>
      </c>
      <c r="BR51" s="63" t="str">
        <f ca="1">IF(ISNUMBER(CS!M51)=FALSE,CONCATENATE(BQ51,""),CONCATENATE(BQ51,IF(ABS(CS!M51)&lt;10,"0",""),ABS(CS!M51)))</f>
        <v/>
      </c>
      <c r="BS51" s="63" t="str">
        <f ca="1">IF(ISNUMBER(CS!N51)=FALSE,CONCATENATE(BR51,""),CONCATENATE(BR51,IF(ABS(CS!N51)&lt;10,"0",""),ABS(CS!N51)))</f>
        <v/>
      </c>
      <c r="BT51" s="63" t="str">
        <f ca="1">IF(ISNUMBER(CS!O51)=FALSE,CONCATENATE(BS51,""),CONCATENATE(BS51,IF(ABS(CS!O51)&lt;10,"0",""),ABS(CS!O51)))</f>
        <v/>
      </c>
      <c r="BU51" s="63" t="str">
        <f ca="1">IF(ISNUMBER(CS!P51)=FALSE,CONCATENATE(BT51,""),CONCATENATE(BT51,IF(ABS(CS!P51)&lt;10,"0",""),ABS(CS!P51)))</f>
        <v/>
      </c>
      <c r="BV51" s="63" t="str">
        <f ca="1">IF(ISNUMBER(CS!Q51)=FALSE,CONCATENATE(BU51,""),CONCATENATE(BU51,IF(ABS(CS!Q51)&lt;10,"0",""),ABS(CS!Q51)))</f>
        <v/>
      </c>
      <c r="BW51" s="63" t="str">
        <f ca="1">IF(ISNUMBER(CS!R51)=FALSE,CONCATENATE(BV51,""),CONCATENATE(BV51,IF(ABS(CS!R51)&lt;10,"0",""),ABS(CS!R51)))</f>
        <v/>
      </c>
      <c r="BX51" s="63" t="str">
        <f ca="1">IF(ISNUMBER(CS!S51)=FALSE,CONCATENATE(BW51,""),CONCATENATE(BW51,IF(ABS(CS!S51)&lt;10,"0",""),ABS(CS!S51)))</f>
        <v/>
      </c>
      <c r="BY51" s="63" t="str">
        <f ca="1">IF(ISNUMBER(CS!T51)=FALSE,CONCATENATE(BX51,""),CONCATENATE(BX51,IF(ABS(CS!T51)&lt;10,"0",""),ABS(CS!T51)))</f>
        <v/>
      </c>
      <c r="BZ51" s="63" t="str">
        <f ca="1">IF(ISNUMBER(CS!U51)=FALSE,CONCATENATE(BY51,""),CONCATENATE(BY51,IF(ABS(CS!U51)&lt;10,"0",""),ABS(CS!U51)))</f>
        <v/>
      </c>
      <c r="CA51" s="63" t="str">
        <f ca="1">IF(ISNUMBER(CS!V51)=FALSE,CONCATENATE(BZ51,""),CONCATENATE(BZ51,IF(ABS(CS!V51)&lt;10,"0",""),ABS(CS!V51)))</f>
        <v/>
      </c>
      <c r="CB51" s="63" t="str">
        <f ca="1">IF(ISNUMBER(CS!W51)=FALSE,CONCATENATE(CA51,""),CONCATENATE(CA51,IF(ABS(CS!W51)&lt;10,"0",""),ABS(CS!W51)))</f>
        <v/>
      </c>
      <c r="CC51" s="63" t="str">
        <f ca="1">IF(ISNUMBER(CS!X51)=FALSE,CONCATENATE(CB51,""),CONCATENATE(CB51,IF(ABS(CS!X51)&lt;10,"0",""),ABS(CS!X51)))</f>
        <v/>
      </c>
      <c r="CD51" s="63" t="str">
        <f ca="1">IF(ISNUMBER(CS!Y51)=FALSE,CONCATENATE(CC51,""),CONCATENATE(CC51,IF(ABS(CS!Y51)&lt;10,"0",""),ABS(CS!Y51)))</f>
        <v/>
      </c>
      <c r="CE51" s="63" t="str">
        <f ca="1">IF(ISNUMBER(CS!Z51)=FALSE,CONCATENATE(CD51,""),CONCATENATE(CD51,IF(ABS(CS!Z51)&lt;10,"0",""),ABS(CS!Z51)))</f>
        <v/>
      </c>
      <c r="CF51" s="63" t="str">
        <f ca="1">IF(ISNUMBER(CS!AA51)=FALSE,CONCATENATE(CE51,""),CONCATENATE(CE51,IF(ABS(CS!AA51)&lt;10,"0",""),ABS(CS!AA51)))</f>
        <v/>
      </c>
      <c r="CG51" s="63" t="str">
        <f ca="1">IF(ISNUMBER(CS!AB51)=FALSE,CONCATENATE(CF51,""),CONCATENATE(CF51,IF(ABS(CS!AB51)&lt;10,"0",""),ABS(CS!AB51)))</f>
        <v/>
      </c>
      <c r="CH51" s="63" t="str">
        <f ca="1">IF(ISNUMBER(CS!AC51)=FALSE,CONCATENATE(CG51,""),CONCATENATE(CG51,IF(ABS(CS!AC51)&lt;10,"0",""),ABS(CS!AC51)))</f>
        <v/>
      </c>
      <c r="CI51" s="63" t="str">
        <f ca="1">IF(ISNUMBER(CS!AD51)=FALSE,CONCATENATE(CH51,""),CONCATENATE(CH51,IF(ABS(CS!AD51)&lt;10,"0",""),ABS(CS!AD51)))</f>
        <v/>
      </c>
      <c r="CJ51" s="63" t="str">
        <f ca="1">IF(ISNUMBER(CS!AE51)=FALSE,CONCATENATE(CI51,""),CONCATENATE(CI51,IF(ABS(CS!AE51)&lt;10,"0",""),ABS(CS!AE51)))</f>
        <v/>
      </c>
      <c r="CK51" s="63" t="str">
        <f ca="1">IF(ISNUMBER(CS!AF51)=FALSE,CONCATENATE(CJ51,""),CONCATENATE(CJ51,IF(ABS(CS!AF51)&lt;10,"0",""),ABS(CS!AF51)))</f>
        <v/>
      </c>
      <c r="CL51" s="63" t="str">
        <f ca="1">IF(ISNUMBER(CS!AG51)=FALSE,CONCATENATE(CK51,""),CONCATENATE(CK51,IF(ABS(CS!AG51)&lt;10,"0",""),ABS(CS!AG51)))</f>
        <v/>
      </c>
      <c r="CM51" s="63" t="str">
        <f ca="1">IF(ISNUMBER(CS!AH51)=FALSE,CONCATENATE(CL51,""),CONCATENATE(CL51,IF(ABS(CS!AH51)&lt;10,"0",""),ABS(CS!AH51)))</f>
        <v/>
      </c>
      <c r="CN51" s="63" t="str">
        <f ca="1">IF(ISNUMBER(CS!AI51)=FALSE,CONCATENATE(CM51,""),CONCATENATE(CM51,IF(ABS(CS!AI51)&lt;10,"0",""),ABS(CS!AI51)))</f>
        <v/>
      </c>
      <c r="CO51" s="63" t="str">
        <f ca="1">IF(ISNUMBER(CS!AJ51)=FALSE,CONCATENATE(CN51,""),CONCATENATE(CN51,IF(ABS(CS!AJ51)&lt;10,"0",""),ABS(CS!AJ51)))</f>
        <v/>
      </c>
      <c r="CP51" s="63" t="str">
        <f ca="1">IF(ISNUMBER(CS!AK51)=FALSE,CONCATENATE(CO51,""),CONCATENATE(CO51,IF(ABS(CS!AK51)&lt;10,"0",""),ABS(CS!AK51)))</f>
        <v/>
      </c>
      <c r="CQ51" s="63" t="str">
        <f ca="1">IF(ISNUMBER(CS!AL51)=FALSE,CONCATENATE(CP51,""),CONCATENATE(CP51,IF(ABS(CS!AL51)&lt;10,"0",""),ABS(CS!AL51)))</f>
        <v/>
      </c>
      <c r="CR51" s="63" t="str">
        <f ca="1">IF(ISNUMBER(CS!AM51)=FALSE,CONCATENATE(CQ51,""),CONCATENATE(CQ51,IF(ABS(CS!AM51)&lt;10,"0",""),ABS(CS!AM51)))</f>
        <v/>
      </c>
      <c r="CS51" s="63" t="str">
        <f ca="1">IF(ISNUMBER(CS!AN51)=FALSE,CONCATENATE(CR51,""),CONCATENATE(CR51,IF(ABS(CS!AN51)&lt;10,"0",""),ABS(CS!AN51)))</f>
        <v/>
      </c>
      <c r="CT51" s="63" t="str">
        <f ca="1">IF(ISNUMBER(CS!AO51)=FALSE,CONCATENATE(CS51,""),CONCATENATE(CS51,IF(ABS(CS!AO51)&lt;10,"0",""),ABS(CS!AO51)))</f>
        <v/>
      </c>
      <c r="CU51" s="63" t="str">
        <f ca="1">IF(ISNUMBER(CS!AP51)=FALSE,CONCATENATE(CT51,""),CONCATENATE(CT51,IF(ABS(CS!AP51)&lt;10,"0",""),ABS(CS!AP51)))</f>
        <v/>
      </c>
    </row>
    <row r="52" spans="2:99">
      <c r="B52" s="4" t="str">
        <f ca="1">CS!AR52</f>
        <v/>
      </c>
      <c r="C52" s="5">
        <f t="shared" ca="1" si="18"/>
        <v>0</v>
      </c>
      <c r="D52" s="5">
        <f t="shared" ca="1" si="8"/>
        <v>0</v>
      </c>
      <c r="E52" s="5">
        <f t="shared" ca="1" si="8"/>
        <v>0</v>
      </c>
      <c r="F52" s="5">
        <f t="shared" ca="1" si="8"/>
        <v>0</v>
      </c>
      <c r="G52" s="5">
        <f t="shared" ca="1" si="8"/>
        <v>0</v>
      </c>
      <c r="H52" s="5">
        <f t="shared" ca="1" si="8"/>
        <v>0</v>
      </c>
      <c r="I52" s="5">
        <f t="shared" ca="1" si="16"/>
        <v>0</v>
      </c>
      <c r="J52" s="5">
        <f t="shared" ca="1" si="16"/>
        <v>0</v>
      </c>
      <c r="K52" s="5">
        <f t="shared" ca="1" si="16"/>
        <v>0</v>
      </c>
      <c r="L52" s="5">
        <f t="shared" ca="1" si="16"/>
        <v>0</v>
      </c>
      <c r="M52" s="5">
        <f t="shared" ca="1" si="16"/>
        <v>0</v>
      </c>
      <c r="N52" s="5">
        <f t="shared" ca="1" si="16"/>
        <v>0</v>
      </c>
      <c r="O52" s="5">
        <f t="shared" ca="1" si="16"/>
        <v>0</v>
      </c>
      <c r="P52" s="5">
        <f t="shared" ca="1" si="16"/>
        <v>0</v>
      </c>
      <c r="Q52" s="5">
        <f t="shared" ca="1" si="16"/>
        <v>0</v>
      </c>
      <c r="R52" s="5">
        <f t="shared" ca="1" si="16"/>
        <v>0</v>
      </c>
      <c r="S52" s="5">
        <f t="shared" ca="1" si="16"/>
        <v>0</v>
      </c>
      <c r="T52" s="5">
        <f t="shared" ca="1" si="16"/>
        <v>0</v>
      </c>
      <c r="U52" s="5">
        <f t="shared" ca="1" si="16"/>
        <v>0</v>
      </c>
      <c r="V52" s="5">
        <f t="shared" ca="1" si="16"/>
        <v>0</v>
      </c>
      <c r="W52" s="5">
        <f t="shared" ca="1" si="16"/>
        <v>0</v>
      </c>
      <c r="X52" s="5">
        <f t="shared" ca="1" si="16"/>
        <v>0</v>
      </c>
      <c r="Y52" s="5">
        <f t="shared" ca="1" si="12"/>
        <v>0</v>
      </c>
      <c r="Z52" s="5">
        <f t="shared" ca="1" si="12"/>
        <v>0</v>
      </c>
      <c r="AA52" s="5">
        <f t="shared" ca="1" si="12"/>
        <v>0</v>
      </c>
      <c r="AB52" s="5">
        <f t="shared" ca="1" si="12"/>
        <v>0</v>
      </c>
      <c r="AC52" s="5">
        <f t="shared" ca="1" si="12"/>
        <v>0</v>
      </c>
      <c r="AD52" s="5">
        <f t="shared" ca="1" si="17"/>
        <v>0</v>
      </c>
      <c r="AE52" s="5">
        <f t="shared" ca="1" si="17"/>
        <v>0</v>
      </c>
      <c r="AF52" s="5">
        <f t="shared" ca="1" si="17"/>
        <v>0</v>
      </c>
      <c r="AG52" s="5">
        <f t="shared" ca="1" si="17"/>
        <v>0</v>
      </c>
      <c r="AH52" s="5">
        <f t="shared" ca="1" si="17"/>
        <v>0</v>
      </c>
      <c r="AI52" s="5">
        <f t="shared" ca="1" si="13"/>
        <v>0</v>
      </c>
      <c r="AJ52" s="5">
        <f t="shared" ca="1" si="13"/>
        <v>0</v>
      </c>
      <c r="AK52" s="5">
        <f t="shared" ca="1" si="13"/>
        <v>0</v>
      </c>
      <c r="AL52" s="5">
        <f t="shared" ca="1" si="13"/>
        <v>0</v>
      </c>
      <c r="AM52" s="5">
        <f t="shared" ca="1" si="13"/>
        <v>0</v>
      </c>
      <c r="AN52" s="5">
        <f t="shared" ca="1" si="13"/>
        <v>0</v>
      </c>
      <c r="AO52" s="5">
        <f t="shared" ca="1" si="13"/>
        <v>0</v>
      </c>
      <c r="AP52" s="5">
        <f t="shared" ca="1" si="13"/>
        <v>0</v>
      </c>
      <c r="AR52" s="4" t="str">
        <f t="shared" ca="1" si="5"/>
        <v/>
      </c>
      <c r="AS52" s="339">
        <f t="shared" ca="1" si="14"/>
        <v>0</v>
      </c>
      <c r="AT52" s="339">
        <f t="shared" ref="AT52:BB56" ca="1" si="19">COUNTIF($C52:$AP52,AT$9)</f>
        <v>0</v>
      </c>
      <c r="AU52" s="339">
        <f t="shared" ca="1" si="19"/>
        <v>0</v>
      </c>
      <c r="AV52" s="339">
        <f t="shared" ca="1" si="19"/>
        <v>0</v>
      </c>
      <c r="AW52" s="339">
        <f t="shared" ca="1" si="19"/>
        <v>0</v>
      </c>
      <c r="AX52" s="339">
        <f t="shared" ca="1" si="19"/>
        <v>0</v>
      </c>
      <c r="AY52" s="339">
        <f t="shared" ca="1" si="19"/>
        <v>0</v>
      </c>
      <c r="AZ52" s="339">
        <f t="shared" ca="1" si="19"/>
        <v>0</v>
      </c>
      <c r="BA52" s="339">
        <f t="shared" ca="1" si="19"/>
        <v>0</v>
      </c>
      <c r="BB52" s="339">
        <f t="shared" ca="1" si="19"/>
        <v>0</v>
      </c>
      <c r="BD52" s="63" t="str">
        <f>IF(DrawFinder!Y52=0,"",DrawFinder!Y52)</f>
        <v/>
      </c>
      <c r="BF52" s="151" t="str">
        <f t="shared" ca="1" si="9"/>
        <v/>
      </c>
      <c r="BH52" s="63" t="str">
        <f ca="1">IF(ISNUMBER(CS!C52)=FALSE,CONCATENATE(BG52,""),CONCATENATE(BG52,IF(ABS(CS!C52)&lt;10,"0",""),ABS(CS!C52)))</f>
        <v/>
      </c>
      <c r="BI52" s="63" t="str">
        <f ca="1">IF(ISNUMBER(CS!D52)=FALSE,CONCATENATE(BH52,""),CONCATENATE(BH52,IF(ABS(CS!D52)&lt;10,"0",""),ABS(CS!D52)))</f>
        <v/>
      </c>
      <c r="BJ52" s="63" t="str">
        <f ca="1">IF(ISNUMBER(CS!E52)=FALSE,CONCATENATE(BI52,""),CONCATENATE(BI52,IF(ABS(CS!E52)&lt;10,"0",""),ABS(CS!E52)))</f>
        <v/>
      </c>
      <c r="BK52" s="63" t="str">
        <f ca="1">IF(ISNUMBER(CS!F52)=FALSE,CONCATENATE(BJ52,""),CONCATENATE(BJ52,IF(ABS(CS!F52)&lt;10,"0",""),ABS(CS!F52)))</f>
        <v/>
      </c>
      <c r="BL52" s="63" t="str">
        <f ca="1">IF(ISNUMBER(CS!G52)=FALSE,CONCATENATE(BK52,""),CONCATENATE(BK52,IF(ABS(CS!G52)&lt;10,"0",""),ABS(CS!G52)))</f>
        <v/>
      </c>
      <c r="BM52" s="63" t="str">
        <f ca="1">IF(ISNUMBER(CS!H52)=FALSE,CONCATENATE(BL52,""),CONCATENATE(BL52,IF(ABS(CS!H52)&lt;10,"0",""),ABS(CS!H52)))</f>
        <v/>
      </c>
      <c r="BN52" s="63" t="str">
        <f ca="1">IF(ISNUMBER(CS!I52)=FALSE,CONCATENATE(BM52,""),CONCATENATE(BM52,IF(ABS(CS!I52)&lt;10,"0",""),ABS(CS!I52)))</f>
        <v/>
      </c>
      <c r="BO52" s="63" t="str">
        <f ca="1">IF(ISNUMBER(CS!J52)=FALSE,CONCATENATE(BN52,""),CONCATENATE(BN52,IF(ABS(CS!J52)&lt;10,"0",""),ABS(CS!J52)))</f>
        <v/>
      </c>
      <c r="BP52" s="63" t="str">
        <f ca="1">IF(ISNUMBER(CS!K52)=FALSE,CONCATENATE(BO52,""),CONCATENATE(BO52,IF(ABS(CS!K52)&lt;10,"0",""),ABS(CS!K52)))</f>
        <v/>
      </c>
      <c r="BQ52" s="63" t="str">
        <f ca="1">IF(ISNUMBER(CS!L52)=FALSE,CONCATENATE(BP52,""),CONCATENATE(BP52,IF(ABS(CS!L52)&lt;10,"0",""),ABS(CS!L52)))</f>
        <v/>
      </c>
      <c r="BR52" s="63" t="str">
        <f ca="1">IF(ISNUMBER(CS!M52)=FALSE,CONCATENATE(BQ52,""),CONCATENATE(BQ52,IF(ABS(CS!M52)&lt;10,"0",""),ABS(CS!M52)))</f>
        <v/>
      </c>
      <c r="BS52" s="63" t="str">
        <f ca="1">IF(ISNUMBER(CS!N52)=FALSE,CONCATENATE(BR52,""),CONCATENATE(BR52,IF(ABS(CS!N52)&lt;10,"0",""),ABS(CS!N52)))</f>
        <v/>
      </c>
      <c r="BT52" s="63" t="str">
        <f ca="1">IF(ISNUMBER(CS!O52)=FALSE,CONCATENATE(BS52,""),CONCATENATE(BS52,IF(ABS(CS!O52)&lt;10,"0",""),ABS(CS!O52)))</f>
        <v/>
      </c>
      <c r="BU52" s="63" t="str">
        <f ca="1">IF(ISNUMBER(CS!P52)=FALSE,CONCATENATE(BT52,""),CONCATENATE(BT52,IF(ABS(CS!P52)&lt;10,"0",""),ABS(CS!P52)))</f>
        <v/>
      </c>
      <c r="BV52" s="63" t="str">
        <f ca="1">IF(ISNUMBER(CS!Q52)=FALSE,CONCATENATE(BU52,""),CONCATENATE(BU52,IF(ABS(CS!Q52)&lt;10,"0",""),ABS(CS!Q52)))</f>
        <v/>
      </c>
      <c r="BW52" s="63" t="str">
        <f ca="1">IF(ISNUMBER(CS!R52)=FALSE,CONCATENATE(BV52,""),CONCATENATE(BV52,IF(ABS(CS!R52)&lt;10,"0",""),ABS(CS!R52)))</f>
        <v/>
      </c>
      <c r="BX52" s="63" t="str">
        <f ca="1">IF(ISNUMBER(CS!S52)=FALSE,CONCATENATE(BW52,""),CONCATENATE(BW52,IF(ABS(CS!S52)&lt;10,"0",""),ABS(CS!S52)))</f>
        <v/>
      </c>
      <c r="BY52" s="63" t="str">
        <f ca="1">IF(ISNUMBER(CS!T52)=FALSE,CONCATENATE(BX52,""),CONCATENATE(BX52,IF(ABS(CS!T52)&lt;10,"0",""),ABS(CS!T52)))</f>
        <v/>
      </c>
      <c r="BZ52" s="63" t="str">
        <f ca="1">IF(ISNUMBER(CS!U52)=FALSE,CONCATENATE(BY52,""),CONCATENATE(BY52,IF(ABS(CS!U52)&lt;10,"0",""),ABS(CS!U52)))</f>
        <v/>
      </c>
      <c r="CA52" s="63" t="str">
        <f ca="1">IF(ISNUMBER(CS!V52)=FALSE,CONCATENATE(BZ52,""),CONCATENATE(BZ52,IF(ABS(CS!V52)&lt;10,"0",""),ABS(CS!V52)))</f>
        <v/>
      </c>
      <c r="CB52" s="63" t="str">
        <f ca="1">IF(ISNUMBER(CS!W52)=FALSE,CONCATENATE(CA52,""),CONCATENATE(CA52,IF(ABS(CS!W52)&lt;10,"0",""),ABS(CS!W52)))</f>
        <v/>
      </c>
      <c r="CC52" s="63" t="str">
        <f ca="1">IF(ISNUMBER(CS!X52)=FALSE,CONCATENATE(CB52,""),CONCATENATE(CB52,IF(ABS(CS!X52)&lt;10,"0",""),ABS(CS!X52)))</f>
        <v/>
      </c>
      <c r="CD52" s="63" t="str">
        <f ca="1">IF(ISNUMBER(CS!Y52)=FALSE,CONCATENATE(CC52,""),CONCATENATE(CC52,IF(ABS(CS!Y52)&lt;10,"0",""),ABS(CS!Y52)))</f>
        <v/>
      </c>
      <c r="CE52" s="63" t="str">
        <f ca="1">IF(ISNUMBER(CS!Z52)=FALSE,CONCATENATE(CD52,""),CONCATENATE(CD52,IF(ABS(CS!Z52)&lt;10,"0",""),ABS(CS!Z52)))</f>
        <v/>
      </c>
      <c r="CF52" s="63" t="str">
        <f ca="1">IF(ISNUMBER(CS!AA52)=FALSE,CONCATENATE(CE52,""),CONCATENATE(CE52,IF(ABS(CS!AA52)&lt;10,"0",""),ABS(CS!AA52)))</f>
        <v/>
      </c>
      <c r="CG52" s="63" t="str">
        <f ca="1">IF(ISNUMBER(CS!AB52)=FALSE,CONCATENATE(CF52,""),CONCATENATE(CF52,IF(ABS(CS!AB52)&lt;10,"0",""),ABS(CS!AB52)))</f>
        <v/>
      </c>
      <c r="CH52" s="63" t="str">
        <f ca="1">IF(ISNUMBER(CS!AC52)=FALSE,CONCATENATE(CG52,""),CONCATENATE(CG52,IF(ABS(CS!AC52)&lt;10,"0",""),ABS(CS!AC52)))</f>
        <v/>
      </c>
      <c r="CI52" s="63" t="str">
        <f ca="1">IF(ISNUMBER(CS!AD52)=FALSE,CONCATENATE(CH52,""),CONCATENATE(CH52,IF(ABS(CS!AD52)&lt;10,"0",""),ABS(CS!AD52)))</f>
        <v/>
      </c>
      <c r="CJ52" s="63" t="str">
        <f ca="1">IF(ISNUMBER(CS!AE52)=FALSE,CONCATENATE(CI52,""),CONCATENATE(CI52,IF(ABS(CS!AE52)&lt;10,"0",""),ABS(CS!AE52)))</f>
        <v/>
      </c>
      <c r="CK52" s="63" t="str">
        <f ca="1">IF(ISNUMBER(CS!AF52)=FALSE,CONCATENATE(CJ52,""),CONCATENATE(CJ52,IF(ABS(CS!AF52)&lt;10,"0",""),ABS(CS!AF52)))</f>
        <v/>
      </c>
      <c r="CL52" s="63" t="str">
        <f ca="1">IF(ISNUMBER(CS!AG52)=FALSE,CONCATENATE(CK52,""),CONCATENATE(CK52,IF(ABS(CS!AG52)&lt;10,"0",""),ABS(CS!AG52)))</f>
        <v/>
      </c>
      <c r="CM52" s="63" t="str">
        <f ca="1">IF(ISNUMBER(CS!AH52)=FALSE,CONCATENATE(CL52,""),CONCATENATE(CL52,IF(ABS(CS!AH52)&lt;10,"0",""),ABS(CS!AH52)))</f>
        <v/>
      </c>
      <c r="CN52" s="63" t="str">
        <f ca="1">IF(ISNUMBER(CS!AI52)=FALSE,CONCATENATE(CM52,""),CONCATENATE(CM52,IF(ABS(CS!AI52)&lt;10,"0",""),ABS(CS!AI52)))</f>
        <v/>
      </c>
      <c r="CO52" s="63" t="str">
        <f ca="1">IF(ISNUMBER(CS!AJ52)=FALSE,CONCATENATE(CN52,""),CONCATENATE(CN52,IF(ABS(CS!AJ52)&lt;10,"0",""),ABS(CS!AJ52)))</f>
        <v/>
      </c>
      <c r="CP52" s="63" t="str">
        <f ca="1">IF(ISNUMBER(CS!AK52)=FALSE,CONCATENATE(CO52,""),CONCATENATE(CO52,IF(ABS(CS!AK52)&lt;10,"0",""),ABS(CS!AK52)))</f>
        <v/>
      </c>
      <c r="CQ52" s="63" t="str">
        <f ca="1">IF(ISNUMBER(CS!AL52)=FALSE,CONCATENATE(CP52,""),CONCATENATE(CP52,IF(ABS(CS!AL52)&lt;10,"0",""),ABS(CS!AL52)))</f>
        <v/>
      </c>
      <c r="CR52" s="63" t="str">
        <f ca="1">IF(ISNUMBER(CS!AM52)=FALSE,CONCATENATE(CQ52,""),CONCATENATE(CQ52,IF(ABS(CS!AM52)&lt;10,"0",""),ABS(CS!AM52)))</f>
        <v/>
      </c>
      <c r="CS52" s="63" t="str">
        <f ca="1">IF(ISNUMBER(CS!AN52)=FALSE,CONCATENATE(CR52,""),CONCATENATE(CR52,IF(ABS(CS!AN52)&lt;10,"0",""),ABS(CS!AN52)))</f>
        <v/>
      </c>
      <c r="CT52" s="63" t="str">
        <f ca="1">IF(ISNUMBER(CS!AO52)=FALSE,CONCATENATE(CS52,""),CONCATENATE(CS52,IF(ABS(CS!AO52)&lt;10,"0",""),ABS(CS!AO52)))</f>
        <v/>
      </c>
      <c r="CU52" s="63" t="str">
        <f ca="1">IF(ISNUMBER(CS!AP52)=FALSE,CONCATENATE(CT52,""),CONCATENATE(CT52,IF(ABS(CS!AP52)&lt;10,"0",""),ABS(CS!AP52)))</f>
        <v/>
      </c>
    </row>
    <row r="53" spans="2:99">
      <c r="B53" s="4" t="str">
        <f ca="1">CS!AR53</f>
        <v/>
      </c>
      <c r="C53" s="5">
        <f t="shared" ca="1" si="18"/>
        <v>0</v>
      </c>
      <c r="D53" s="5">
        <f t="shared" ca="1" si="8"/>
        <v>0</v>
      </c>
      <c r="E53" s="5">
        <f t="shared" ca="1" si="8"/>
        <v>0</v>
      </c>
      <c r="F53" s="5">
        <f t="shared" ca="1" si="8"/>
        <v>0</v>
      </c>
      <c r="G53" s="5">
        <f t="shared" ca="1" si="8"/>
        <v>0</v>
      </c>
      <c r="H53" s="5">
        <f t="shared" ca="1" si="8"/>
        <v>0</v>
      </c>
      <c r="I53" s="5">
        <f t="shared" ca="1" si="16"/>
        <v>0</v>
      </c>
      <c r="J53" s="5">
        <f t="shared" ca="1" si="16"/>
        <v>0</v>
      </c>
      <c r="K53" s="5">
        <f t="shared" ca="1" si="16"/>
        <v>0</v>
      </c>
      <c r="L53" s="5">
        <f t="shared" ca="1" si="16"/>
        <v>0</v>
      </c>
      <c r="M53" s="5">
        <f t="shared" ca="1" si="16"/>
        <v>0</v>
      </c>
      <c r="N53" s="5">
        <f t="shared" ca="1" si="16"/>
        <v>0</v>
      </c>
      <c r="O53" s="5">
        <f t="shared" ca="1" si="16"/>
        <v>0</v>
      </c>
      <c r="P53" s="5">
        <f t="shared" ca="1" si="16"/>
        <v>0</v>
      </c>
      <c r="Q53" s="5">
        <f t="shared" ca="1" si="16"/>
        <v>0</v>
      </c>
      <c r="R53" s="5">
        <f t="shared" ca="1" si="16"/>
        <v>0</v>
      </c>
      <c r="S53" s="5">
        <f t="shared" ca="1" si="16"/>
        <v>0</v>
      </c>
      <c r="T53" s="5">
        <f t="shared" ca="1" si="16"/>
        <v>0</v>
      </c>
      <c r="U53" s="5">
        <f t="shared" ca="1" si="16"/>
        <v>0</v>
      </c>
      <c r="V53" s="5">
        <f t="shared" ca="1" si="16"/>
        <v>0</v>
      </c>
      <c r="W53" s="5">
        <f t="shared" ca="1" si="16"/>
        <v>0</v>
      </c>
      <c r="X53" s="5">
        <f t="shared" ca="1" si="16"/>
        <v>0</v>
      </c>
      <c r="Y53" s="5">
        <f t="shared" ca="1" si="12"/>
        <v>0</v>
      </c>
      <c r="Z53" s="5">
        <f t="shared" ca="1" si="12"/>
        <v>0</v>
      </c>
      <c r="AA53" s="5">
        <f t="shared" ca="1" si="12"/>
        <v>0</v>
      </c>
      <c r="AB53" s="5">
        <f t="shared" ca="1" si="12"/>
        <v>0</v>
      </c>
      <c r="AC53" s="5">
        <f t="shared" ca="1" si="12"/>
        <v>0</v>
      </c>
      <c r="AD53" s="5">
        <f t="shared" ca="1" si="17"/>
        <v>0</v>
      </c>
      <c r="AE53" s="5">
        <f t="shared" ca="1" si="17"/>
        <v>0</v>
      </c>
      <c r="AF53" s="5">
        <f t="shared" ca="1" si="17"/>
        <v>0</v>
      </c>
      <c r="AG53" s="5">
        <f t="shared" ca="1" si="17"/>
        <v>0</v>
      </c>
      <c r="AH53" s="5">
        <f t="shared" ca="1" si="17"/>
        <v>0</v>
      </c>
      <c r="AI53" s="5">
        <f t="shared" ca="1" si="13"/>
        <v>0</v>
      </c>
      <c r="AJ53" s="5">
        <f t="shared" ca="1" si="13"/>
        <v>0</v>
      </c>
      <c r="AK53" s="5">
        <f t="shared" ca="1" si="13"/>
        <v>0</v>
      </c>
      <c r="AL53" s="5">
        <f t="shared" ca="1" si="13"/>
        <v>0</v>
      </c>
      <c r="AM53" s="5">
        <f t="shared" ca="1" si="13"/>
        <v>0</v>
      </c>
      <c r="AN53" s="5">
        <f t="shared" ca="1" si="13"/>
        <v>0</v>
      </c>
      <c r="AO53" s="5">
        <f t="shared" ca="1" si="13"/>
        <v>0</v>
      </c>
      <c r="AP53" s="5">
        <f t="shared" ca="1" si="13"/>
        <v>0</v>
      </c>
      <c r="AR53" s="4" t="str">
        <f t="shared" ca="1" si="5"/>
        <v/>
      </c>
      <c r="AS53" s="339">
        <f t="shared" ca="1" si="14"/>
        <v>0</v>
      </c>
      <c r="AT53" s="339">
        <f t="shared" ca="1" si="19"/>
        <v>0</v>
      </c>
      <c r="AU53" s="339">
        <f t="shared" ca="1" si="19"/>
        <v>0</v>
      </c>
      <c r="AV53" s="339">
        <f t="shared" ca="1" si="19"/>
        <v>0</v>
      </c>
      <c r="AW53" s="339">
        <f t="shared" ca="1" si="19"/>
        <v>0</v>
      </c>
      <c r="AX53" s="339">
        <f t="shared" ca="1" si="19"/>
        <v>0</v>
      </c>
      <c r="AY53" s="339">
        <f t="shared" ca="1" si="19"/>
        <v>0</v>
      </c>
      <c r="AZ53" s="339">
        <f t="shared" ca="1" si="19"/>
        <v>0</v>
      </c>
      <c r="BA53" s="339">
        <f t="shared" ca="1" si="19"/>
        <v>0</v>
      </c>
      <c r="BB53" s="339">
        <f t="shared" ca="1" si="19"/>
        <v>0</v>
      </c>
      <c r="BD53" s="63" t="str">
        <f>IF(DrawFinder!Y53=0,"",DrawFinder!Y53)</f>
        <v/>
      </c>
      <c r="BF53" s="151" t="str">
        <f t="shared" ca="1" si="9"/>
        <v/>
      </c>
      <c r="BH53" s="63" t="str">
        <f ca="1">IF(ISNUMBER(CS!C53)=FALSE,CONCATENATE(BG53,""),CONCATENATE(BG53,IF(ABS(CS!C53)&lt;10,"0",""),ABS(CS!C53)))</f>
        <v/>
      </c>
      <c r="BI53" s="63" t="str">
        <f ca="1">IF(ISNUMBER(CS!D53)=FALSE,CONCATENATE(BH53,""),CONCATENATE(BH53,IF(ABS(CS!D53)&lt;10,"0",""),ABS(CS!D53)))</f>
        <v/>
      </c>
      <c r="BJ53" s="63" t="str">
        <f ca="1">IF(ISNUMBER(CS!E53)=FALSE,CONCATENATE(BI53,""),CONCATENATE(BI53,IF(ABS(CS!E53)&lt;10,"0",""),ABS(CS!E53)))</f>
        <v/>
      </c>
      <c r="BK53" s="63" t="str">
        <f ca="1">IF(ISNUMBER(CS!F53)=FALSE,CONCATENATE(BJ53,""),CONCATENATE(BJ53,IF(ABS(CS!F53)&lt;10,"0",""),ABS(CS!F53)))</f>
        <v/>
      </c>
      <c r="BL53" s="63" t="str">
        <f ca="1">IF(ISNUMBER(CS!G53)=FALSE,CONCATENATE(BK53,""),CONCATENATE(BK53,IF(ABS(CS!G53)&lt;10,"0",""),ABS(CS!G53)))</f>
        <v/>
      </c>
      <c r="BM53" s="63" t="str">
        <f ca="1">IF(ISNUMBER(CS!H53)=FALSE,CONCATENATE(BL53,""),CONCATENATE(BL53,IF(ABS(CS!H53)&lt;10,"0",""),ABS(CS!H53)))</f>
        <v/>
      </c>
      <c r="BN53" s="63" t="str">
        <f ca="1">IF(ISNUMBER(CS!I53)=FALSE,CONCATENATE(BM53,""),CONCATENATE(BM53,IF(ABS(CS!I53)&lt;10,"0",""),ABS(CS!I53)))</f>
        <v/>
      </c>
      <c r="BO53" s="63" t="str">
        <f ca="1">IF(ISNUMBER(CS!J53)=FALSE,CONCATENATE(BN53,""),CONCATENATE(BN53,IF(ABS(CS!J53)&lt;10,"0",""),ABS(CS!J53)))</f>
        <v/>
      </c>
      <c r="BP53" s="63" t="str">
        <f ca="1">IF(ISNUMBER(CS!K53)=FALSE,CONCATENATE(BO53,""),CONCATENATE(BO53,IF(ABS(CS!K53)&lt;10,"0",""),ABS(CS!K53)))</f>
        <v/>
      </c>
      <c r="BQ53" s="63" t="str">
        <f ca="1">IF(ISNUMBER(CS!L53)=FALSE,CONCATENATE(BP53,""),CONCATENATE(BP53,IF(ABS(CS!L53)&lt;10,"0",""),ABS(CS!L53)))</f>
        <v/>
      </c>
      <c r="BR53" s="63" t="str">
        <f ca="1">IF(ISNUMBER(CS!M53)=FALSE,CONCATENATE(BQ53,""),CONCATENATE(BQ53,IF(ABS(CS!M53)&lt;10,"0",""),ABS(CS!M53)))</f>
        <v/>
      </c>
      <c r="BS53" s="63" t="str">
        <f ca="1">IF(ISNUMBER(CS!N53)=FALSE,CONCATENATE(BR53,""),CONCATENATE(BR53,IF(ABS(CS!N53)&lt;10,"0",""),ABS(CS!N53)))</f>
        <v/>
      </c>
      <c r="BT53" s="63" t="str">
        <f ca="1">IF(ISNUMBER(CS!O53)=FALSE,CONCATENATE(BS53,""),CONCATENATE(BS53,IF(ABS(CS!O53)&lt;10,"0",""),ABS(CS!O53)))</f>
        <v/>
      </c>
      <c r="BU53" s="63" t="str">
        <f ca="1">IF(ISNUMBER(CS!P53)=FALSE,CONCATENATE(BT53,""),CONCATENATE(BT53,IF(ABS(CS!P53)&lt;10,"0",""),ABS(CS!P53)))</f>
        <v/>
      </c>
      <c r="BV53" s="63" t="str">
        <f ca="1">IF(ISNUMBER(CS!Q53)=FALSE,CONCATENATE(BU53,""),CONCATENATE(BU53,IF(ABS(CS!Q53)&lt;10,"0",""),ABS(CS!Q53)))</f>
        <v/>
      </c>
      <c r="BW53" s="63" t="str">
        <f ca="1">IF(ISNUMBER(CS!R53)=FALSE,CONCATENATE(BV53,""),CONCATENATE(BV53,IF(ABS(CS!R53)&lt;10,"0",""),ABS(CS!R53)))</f>
        <v/>
      </c>
      <c r="BX53" s="63" t="str">
        <f ca="1">IF(ISNUMBER(CS!S53)=FALSE,CONCATENATE(BW53,""),CONCATENATE(BW53,IF(ABS(CS!S53)&lt;10,"0",""),ABS(CS!S53)))</f>
        <v/>
      </c>
      <c r="BY53" s="63" t="str">
        <f ca="1">IF(ISNUMBER(CS!T53)=FALSE,CONCATENATE(BX53,""),CONCATENATE(BX53,IF(ABS(CS!T53)&lt;10,"0",""),ABS(CS!T53)))</f>
        <v/>
      </c>
      <c r="BZ53" s="63" t="str">
        <f ca="1">IF(ISNUMBER(CS!U53)=FALSE,CONCATENATE(BY53,""),CONCATENATE(BY53,IF(ABS(CS!U53)&lt;10,"0",""),ABS(CS!U53)))</f>
        <v/>
      </c>
      <c r="CA53" s="63" t="str">
        <f ca="1">IF(ISNUMBER(CS!V53)=FALSE,CONCATENATE(BZ53,""),CONCATENATE(BZ53,IF(ABS(CS!V53)&lt;10,"0",""),ABS(CS!V53)))</f>
        <v/>
      </c>
      <c r="CB53" s="63" t="str">
        <f ca="1">IF(ISNUMBER(CS!W53)=FALSE,CONCATENATE(CA53,""),CONCATENATE(CA53,IF(ABS(CS!W53)&lt;10,"0",""),ABS(CS!W53)))</f>
        <v/>
      </c>
      <c r="CC53" s="63" t="str">
        <f ca="1">IF(ISNUMBER(CS!X53)=FALSE,CONCATENATE(CB53,""),CONCATENATE(CB53,IF(ABS(CS!X53)&lt;10,"0",""),ABS(CS!X53)))</f>
        <v/>
      </c>
      <c r="CD53" s="63" t="str">
        <f ca="1">IF(ISNUMBER(CS!Y53)=FALSE,CONCATENATE(CC53,""),CONCATENATE(CC53,IF(ABS(CS!Y53)&lt;10,"0",""),ABS(CS!Y53)))</f>
        <v/>
      </c>
      <c r="CE53" s="63" t="str">
        <f ca="1">IF(ISNUMBER(CS!Z53)=FALSE,CONCATENATE(CD53,""),CONCATENATE(CD53,IF(ABS(CS!Z53)&lt;10,"0",""),ABS(CS!Z53)))</f>
        <v/>
      </c>
      <c r="CF53" s="63" t="str">
        <f ca="1">IF(ISNUMBER(CS!AA53)=FALSE,CONCATENATE(CE53,""),CONCATENATE(CE53,IF(ABS(CS!AA53)&lt;10,"0",""),ABS(CS!AA53)))</f>
        <v/>
      </c>
      <c r="CG53" s="63" t="str">
        <f ca="1">IF(ISNUMBER(CS!AB53)=FALSE,CONCATENATE(CF53,""),CONCATENATE(CF53,IF(ABS(CS!AB53)&lt;10,"0",""),ABS(CS!AB53)))</f>
        <v/>
      </c>
      <c r="CH53" s="63" t="str">
        <f ca="1">IF(ISNUMBER(CS!AC53)=FALSE,CONCATENATE(CG53,""),CONCATENATE(CG53,IF(ABS(CS!AC53)&lt;10,"0",""),ABS(CS!AC53)))</f>
        <v/>
      </c>
      <c r="CI53" s="63" t="str">
        <f ca="1">IF(ISNUMBER(CS!AD53)=FALSE,CONCATENATE(CH53,""),CONCATENATE(CH53,IF(ABS(CS!AD53)&lt;10,"0",""),ABS(CS!AD53)))</f>
        <v/>
      </c>
      <c r="CJ53" s="63" t="str">
        <f ca="1">IF(ISNUMBER(CS!AE53)=FALSE,CONCATENATE(CI53,""),CONCATENATE(CI53,IF(ABS(CS!AE53)&lt;10,"0",""),ABS(CS!AE53)))</f>
        <v/>
      </c>
      <c r="CK53" s="63" t="str">
        <f ca="1">IF(ISNUMBER(CS!AF53)=FALSE,CONCATENATE(CJ53,""),CONCATENATE(CJ53,IF(ABS(CS!AF53)&lt;10,"0",""),ABS(CS!AF53)))</f>
        <v/>
      </c>
      <c r="CL53" s="63" t="str">
        <f ca="1">IF(ISNUMBER(CS!AG53)=FALSE,CONCATENATE(CK53,""),CONCATENATE(CK53,IF(ABS(CS!AG53)&lt;10,"0",""),ABS(CS!AG53)))</f>
        <v/>
      </c>
      <c r="CM53" s="63" t="str">
        <f ca="1">IF(ISNUMBER(CS!AH53)=FALSE,CONCATENATE(CL53,""),CONCATENATE(CL53,IF(ABS(CS!AH53)&lt;10,"0",""),ABS(CS!AH53)))</f>
        <v/>
      </c>
      <c r="CN53" s="63" t="str">
        <f ca="1">IF(ISNUMBER(CS!AI53)=FALSE,CONCATENATE(CM53,""),CONCATENATE(CM53,IF(ABS(CS!AI53)&lt;10,"0",""),ABS(CS!AI53)))</f>
        <v/>
      </c>
      <c r="CO53" s="63" t="str">
        <f ca="1">IF(ISNUMBER(CS!AJ53)=FALSE,CONCATENATE(CN53,""),CONCATENATE(CN53,IF(ABS(CS!AJ53)&lt;10,"0",""),ABS(CS!AJ53)))</f>
        <v/>
      </c>
      <c r="CP53" s="63" t="str">
        <f ca="1">IF(ISNUMBER(CS!AK53)=FALSE,CONCATENATE(CO53,""),CONCATENATE(CO53,IF(ABS(CS!AK53)&lt;10,"0",""),ABS(CS!AK53)))</f>
        <v/>
      </c>
      <c r="CQ53" s="63" t="str">
        <f ca="1">IF(ISNUMBER(CS!AL53)=FALSE,CONCATENATE(CP53,""),CONCATENATE(CP53,IF(ABS(CS!AL53)&lt;10,"0",""),ABS(CS!AL53)))</f>
        <v/>
      </c>
      <c r="CR53" s="63" t="str">
        <f ca="1">IF(ISNUMBER(CS!AM53)=FALSE,CONCATENATE(CQ53,""),CONCATENATE(CQ53,IF(ABS(CS!AM53)&lt;10,"0",""),ABS(CS!AM53)))</f>
        <v/>
      </c>
      <c r="CS53" s="63" t="str">
        <f ca="1">IF(ISNUMBER(CS!AN53)=FALSE,CONCATENATE(CR53,""),CONCATENATE(CR53,IF(ABS(CS!AN53)&lt;10,"0",""),ABS(CS!AN53)))</f>
        <v/>
      </c>
      <c r="CT53" s="63" t="str">
        <f ca="1">IF(ISNUMBER(CS!AO53)=FALSE,CONCATENATE(CS53,""),CONCATENATE(CS53,IF(ABS(CS!AO53)&lt;10,"0",""),ABS(CS!AO53)))</f>
        <v/>
      </c>
      <c r="CU53" s="63" t="str">
        <f ca="1">IF(ISNUMBER(CS!AP53)=FALSE,CONCATENATE(CT53,""),CONCATENATE(CT53,IF(ABS(CS!AP53)&lt;10,"0",""),ABS(CS!AP53)))</f>
        <v/>
      </c>
    </row>
    <row r="54" spans="2:99">
      <c r="B54" s="4" t="str">
        <f ca="1">CS!AR54</f>
        <v/>
      </c>
      <c r="C54" s="5">
        <f t="shared" ca="1" si="18"/>
        <v>0</v>
      </c>
      <c r="D54" s="5">
        <f t="shared" ca="1" si="8"/>
        <v>0</v>
      </c>
      <c r="E54" s="5">
        <f t="shared" ca="1" si="8"/>
        <v>0</v>
      </c>
      <c r="F54" s="5">
        <f t="shared" ca="1" si="8"/>
        <v>0</v>
      </c>
      <c r="G54" s="5">
        <f t="shared" ca="1" si="8"/>
        <v>0</v>
      </c>
      <c r="H54" s="5">
        <f t="shared" ca="1" si="8"/>
        <v>0</v>
      </c>
      <c r="I54" s="5">
        <f t="shared" ca="1" si="16"/>
        <v>0</v>
      </c>
      <c r="J54" s="5">
        <f t="shared" ca="1" si="16"/>
        <v>0</v>
      </c>
      <c r="K54" s="5">
        <f t="shared" ca="1" si="16"/>
        <v>0</v>
      </c>
      <c r="L54" s="5">
        <f t="shared" ca="1" si="16"/>
        <v>0</v>
      </c>
      <c r="M54" s="5">
        <f t="shared" ca="1" si="16"/>
        <v>0</v>
      </c>
      <c r="N54" s="5">
        <f t="shared" ca="1" si="16"/>
        <v>0</v>
      </c>
      <c r="O54" s="5">
        <f t="shared" ca="1" si="16"/>
        <v>0</v>
      </c>
      <c r="P54" s="5">
        <f t="shared" ca="1" si="16"/>
        <v>0</v>
      </c>
      <c r="Q54" s="5">
        <f t="shared" ca="1" si="16"/>
        <v>0</v>
      </c>
      <c r="R54" s="5">
        <f t="shared" ca="1" si="16"/>
        <v>0</v>
      </c>
      <c r="S54" s="5">
        <f t="shared" ca="1" si="16"/>
        <v>0</v>
      </c>
      <c r="T54" s="5">
        <f t="shared" ca="1" si="16"/>
        <v>0</v>
      </c>
      <c r="U54" s="5">
        <f t="shared" ca="1" si="16"/>
        <v>0</v>
      </c>
      <c r="V54" s="5">
        <f t="shared" ca="1" si="16"/>
        <v>0</v>
      </c>
      <c r="W54" s="5">
        <f t="shared" ca="1" si="16"/>
        <v>0</v>
      </c>
      <c r="X54" s="5">
        <f t="shared" ca="1" si="16"/>
        <v>0</v>
      </c>
      <c r="Y54" s="5">
        <f t="shared" ca="1" si="12"/>
        <v>0</v>
      </c>
      <c r="Z54" s="5">
        <f t="shared" ca="1" si="12"/>
        <v>0</v>
      </c>
      <c r="AA54" s="5">
        <f t="shared" ca="1" si="12"/>
        <v>0</v>
      </c>
      <c r="AB54" s="5">
        <f t="shared" ca="1" si="12"/>
        <v>0</v>
      </c>
      <c r="AC54" s="5">
        <f t="shared" ca="1" si="12"/>
        <v>0</v>
      </c>
      <c r="AD54" s="5">
        <f t="shared" ca="1" si="17"/>
        <v>0</v>
      </c>
      <c r="AE54" s="5">
        <f t="shared" ca="1" si="17"/>
        <v>0</v>
      </c>
      <c r="AF54" s="5">
        <f t="shared" ca="1" si="17"/>
        <v>0</v>
      </c>
      <c r="AG54" s="5">
        <f t="shared" ca="1" si="17"/>
        <v>0</v>
      </c>
      <c r="AH54" s="5">
        <f t="shared" ca="1" si="17"/>
        <v>0</v>
      </c>
      <c r="AI54" s="5">
        <f t="shared" ca="1" si="13"/>
        <v>0</v>
      </c>
      <c r="AJ54" s="5">
        <f t="shared" ca="1" si="13"/>
        <v>0</v>
      </c>
      <c r="AK54" s="5">
        <f t="shared" ca="1" si="13"/>
        <v>0</v>
      </c>
      <c r="AL54" s="5">
        <f t="shared" ca="1" si="13"/>
        <v>0</v>
      </c>
      <c r="AM54" s="5">
        <f t="shared" ca="1" si="13"/>
        <v>0</v>
      </c>
      <c r="AN54" s="5">
        <f t="shared" ca="1" si="13"/>
        <v>0</v>
      </c>
      <c r="AO54" s="5">
        <f t="shared" ca="1" si="13"/>
        <v>0</v>
      </c>
      <c r="AP54" s="5">
        <f t="shared" ca="1" si="13"/>
        <v>0</v>
      </c>
      <c r="AR54" s="4" t="str">
        <f t="shared" ca="1" si="5"/>
        <v/>
      </c>
      <c r="AS54" s="339">
        <f t="shared" ca="1" si="14"/>
        <v>0</v>
      </c>
      <c r="AT54" s="339">
        <f t="shared" ca="1" si="19"/>
        <v>0</v>
      </c>
      <c r="AU54" s="339">
        <f t="shared" ca="1" si="19"/>
        <v>0</v>
      </c>
      <c r="AV54" s="339">
        <f t="shared" ca="1" si="19"/>
        <v>0</v>
      </c>
      <c r="AW54" s="339">
        <f t="shared" ca="1" si="19"/>
        <v>0</v>
      </c>
      <c r="AX54" s="339">
        <f t="shared" ca="1" si="19"/>
        <v>0</v>
      </c>
      <c r="AY54" s="339">
        <f t="shared" ca="1" si="19"/>
        <v>0</v>
      </c>
      <c r="AZ54" s="339">
        <f t="shared" ca="1" si="19"/>
        <v>0</v>
      </c>
      <c r="BA54" s="339">
        <f t="shared" ca="1" si="19"/>
        <v>0</v>
      </c>
      <c r="BB54" s="339">
        <f t="shared" ca="1" si="19"/>
        <v>0</v>
      </c>
      <c r="BD54" s="63" t="str">
        <f>IF(DrawFinder!Y54=0,"",DrawFinder!Y54)</f>
        <v/>
      </c>
      <c r="BF54" s="151" t="str">
        <f t="shared" ca="1" si="9"/>
        <v/>
      </c>
      <c r="BH54" s="63" t="str">
        <f ca="1">IF(ISNUMBER(CS!C54)=FALSE,CONCATENATE(BG54,""),CONCATENATE(BG54,IF(ABS(CS!C54)&lt;10,"0",""),ABS(CS!C54)))</f>
        <v/>
      </c>
      <c r="BI54" s="63" t="str">
        <f ca="1">IF(ISNUMBER(CS!D54)=FALSE,CONCATENATE(BH54,""),CONCATENATE(BH54,IF(ABS(CS!D54)&lt;10,"0",""),ABS(CS!D54)))</f>
        <v/>
      </c>
      <c r="BJ54" s="63" t="str">
        <f ca="1">IF(ISNUMBER(CS!E54)=FALSE,CONCATENATE(BI54,""),CONCATENATE(BI54,IF(ABS(CS!E54)&lt;10,"0",""),ABS(CS!E54)))</f>
        <v/>
      </c>
      <c r="BK54" s="63" t="str">
        <f ca="1">IF(ISNUMBER(CS!F54)=FALSE,CONCATENATE(BJ54,""),CONCATENATE(BJ54,IF(ABS(CS!F54)&lt;10,"0",""),ABS(CS!F54)))</f>
        <v/>
      </c>
      <c r="BL54" s="63" t="str">
        <f ca="1">IF(ISNUMBER(CS!G54)=FALSE,CONCATENATE(BK54,""),CONCATENATE(BK54,IF(ABS(CS!G54)&lt;10,"0",""),ABS(CS!G54)))</f>
        <v/>
      </c>
      <c r="BM54" s="63" t="str">
        <f ca="1">IF(ISNUMBER(CS!H54)=FALSE,CONCATENATE(BL54,""),CONCATENATE(BL54,IF(ABS(CS!H54)&lt;10,"0",""),ABS(CS!H54)))</f>
        <v/>
      </c>
      <c r="BN54" s="63" t="str">
        <f ca="1">IF(ISNUMBER(CS!I54)=FALSE,CONCATENATE(BM54,""),CONCATENATE(BM54,IF(ABS(CS!I54)&lt;10,"0",""),ABS(CS!I54)))</f>
        <v/>
      </c>
      <c r="BO54" s="63" t="str">
        <f ca="1">IF(ISNUMBER(CS!J54)=FALSE,CONCATENATE(BN54,""),CONCATENATE(BN54,IF(ABS(CS!J54)&lt;10,"0",""),ABS(CS!J54)))</f>
        <v/>
      </c>
      <c r="BP54" s="63" t="str">
        <f ca="1">IF(ISNUMBER(CS!K54)=FALSE,CONCATENATE(BO54,""),CONCATENATE(BO54,IF(ABS(CS!K54)&lt;10,"0",""),ABS(CS!K54)))</f>
        <v/>
      </c>
      <c r="BQ54" s="63" t="str">
        <f ca="1">IF(ISNUMBER(CS!L54)=FALSE,CONCATENATE(BP54,""),CONCATENATE(BP54,IF(ABS(CS!L54)&lt;10,"0",""),ABS(CS!L54)))</f>
        <v/>
      </c>
      <c r="BR54" s="63" t="str">
        <f ca="1">IF(ISNUMBER(CS!M54)=FALSE,CONCATENATE(BQ54,""),CONCATENATE(BQ54,IF(ABS(CS!M54)&lt;10,"0",""),ABS(CS!M54)))</f>
        <v/>
      </c>
      <c r="BS54" s="63" t="str">
        <f ca="1">IF(ISNUMBER(CS!N54)=FALSE,CONCATENATE(BR54,""),CONCATENATE(BR54,IF(ABS(CS!N54)&lt;10,"0",""),ABS(CS!N54)))</f>
        <v/>
      </c>
      <c r="BT54" s="63" t="str">
        <f ca="1">IF(ISNUMBER(CS!O54)=FALSE,CONCATENATE(BS54,""),CONCATENATE(BS54,IF(ABS(CS!O54)&lt;10,"0",""),ABS(CS!O54)))</f>
        <v/>
      </c>
      <c r="BU54" s="63" t="str">
        <f ca="1">IF(ISNUMBER(CS!P54)=FALSE,CONCATENATE(BT54,""),CONCATENATE(BT54,IF(ABS(CS!P54)&lt;10,"0",""),ABS(CS!P54)))</f>
        <v/>
      </c>
      <c r="BV54" s="63" t="str">
        <f ca="1">IF(ISNUMBER(CS!Q54)=FALSE,CONCATENATE(BU54,""),CONCATENATE(BU54,IF(ABS(CS!Q54)&lt;10,"0",""),ABS(CS!Q54)))</f>
        <v/>
      </c>
      <c r="BW54" s="63" t="str">
        <f ca="1">IF(ISNUMBER(CS!R54)=FALSE,CONCATENATE(BV54,""),CONCATENATE(BV54,IF(ABS(CS!R54)&lt;10,"0",""),ABS(CS!R54)))</f>
        <v/>
      </c>
      <c r="BX54" s="63" t="str">
        <f ca="1">IF(ISNUMBER(CS!S54)=FALSE,CONCATENATE(BW54,""),CONCATENATE(BW54,IF(ABS(CS!S54)&lt;10,"0",""),ABS(CS!S54)))</f>
        <v/>
      </c>
      <c r="BY54" s="63" t="str">
        <f ca="1">IF(ISNUMBER(CS!T54)=FALSE,CONCATENATE(BX54,""),CONCATENATE(BX54,IF(ABS(CS!T54)&lt;10,"0",""),ABS(CS!T54)))</f>
        <v/>
      </c>
      <c r="BZ54" s="63" t="str">
        <f ca="1">IF(ISNUMBER(CS!U54)=FALSE,CONCATENATE(BY54,""),CONCATENATE(BY54,IF(ABS(CS!U54)&lt;10,"0",""),ABS(CS!U54)))</f>
        <v/>
      </c>
      <c r="CA54" s="63" t="str">
        <f ca="1">IF(ISNUMBER(CS!V54)=FALSE,CONCATENATE(BZ54,""),CONCATENATE(BZ54,IF(ABS(CS!V54)&lt;10,"0",""),ABS(CS!V54)))</f>
        <v/>
      </c>
      <c r="CB54" s="63" t="str">
        <f ca="1">IF(ISNUMBER(CS!W54)=FALSE,CONCATENATE(CA54,""),CONCATENATE(CA54,IF(ABS(CS!W54)&lt;10,"0",""),ABS(CS!W54)))</f>
        <v/>
      </c>
      <c r="CC54" s="63" t="str">
        <f ca="1">IF(ISNUMBER(CS!X54)=FALSE,CONCATENATE(CB54,""),CONCATENATE(CB54,IF(ABS(CS!X54)&lt;10,"0",""),ABS(CS!X54)))</f>
        <v/>
      </c>
      <c r="CD54" s="63" t="str">
        <f ca="1">IF(ISNUMBER(CS!Y54)=FALSE,CONCATENATE(CC54,""),CONCATENATE(CC54,IF(ABS(CS!Y54)&lt;10,"0",""),ABS(CS!Y54)))</f>
        <v/>
      </c>
      <c r="CE54" s="63" t="str">
        <f ca="1">IF(ISNUMBER(CS!Z54)=FALSE,CONCATENATE(CD54,""),CONCATENATE(CD54,IF(ABS(CS!Z54)&lt;10,"0",""),ABS(CS!Z54)))</f>
        <v/>
      </c>
      <c r="CF54" s="63" t="str">
        <f ca="1">IF(ISNUMBER(CS!AA54)=FALSE,CONCATENATE(CE54,""),CONCATENATE(CE54,IF(ABS(CS!AA54)&lt;10,"0",""),ABS(CS!AA54)))</f>
        <v/>
      </c>
      <c r="CG54" s="63" t="str">
        <f ca="1">IF(ISNUMBER(CS!AB54)=FALSE,CONCATENATE(CF54,""),CONCATENATE(CF54,IF(ABS(CS!AB54)&lt;10,"0",""),ABS(CS!AB54)))</f>
        <v/>
      </c>
      <c r="CH54" s="63" t="str">
        <f ca="1">IF(ISNUMBER(CS!AC54)=FALSE,CONCATENATE(CG54,""),CONCATENATE(CG54,IF(ABS(CS!AC54)&lt;10,"0",""),ABS(CS!AC54)))</f>
        <v/>
      </c>
      <c r="CI54" s="63" t="str">
        <f ca="1">IF(ISNUMBER(CS!AD54)=FALSE,CONCATENATE(CH54,""),CONCATENATE(CH54,IF(ABS(CS!AD54)&lt;10,"0",""),ABS(CS!AD54)))</f>
        <v/>
      </c>
      <c r="CJ54" s="63" t="str">
        <f ca="1">IF(ISNUMBER(CS!AE54)=FALSE,CONCATENATE(CI54,""),CONCATENATE(CI54,IF(ABS(CS!AE54)&lt;10,"0",""),ABS(CS!AE54)))</f>
        <v/>
      </c>
      <c r="CK54" s="63" t="str">
        <f ca="1">IF(ISNUMBER(CS!AF54)=FALSE,CONCATENATE(CJ54,""),CONCATENATE(CJ54,IF(ABS(CS!AF54)&lt;10,"0",""),ABS(CS!AF54)))</f>
        <v/>
      </c>
      <c r="CL54" s="63" t="str">
        <f ca="1">IF(ISNUMBER(CS!AG54)=FALSE,CONCATENATE(CK54,""),CONCATENATE(CK54,IF(ABS(CS!AG54)&lt;10,"0",""),ABS(CS!AG54)))</f>
        <v/>
      </c>
      <c r="CM54" s="63" t="str">
        <f ca="1">IF(ISNUMBER(CS!AH54)=FALSE,CONCATENATE(CL54,""),CONCATENATE(CL54,IF(ABS(CS!AH54)&lt;10,"0",""),ABS(CS!AH54)))</f>
        <v/>
      </c>
      <c r="CN54" s="63" t="str">
        <f ca="1">IF(ISNUMBER(CS!AI54)=FALSE,CONCATENATE(CM54,""),CONCATENATE(CM54,IF(ABS(CS!AI54)&lt;10,"0",""),ABS(CS!AI54)))</f>
        <v/>
      </c>
      <c r="CO54" s="63" t="str">
        <f ca="1">IF(ISNUMBER(CS!AJ54)=FALSE,CONCATENATE(CN54,""),CONCATENATE(CN54,IF(ABS(CS!AJ54)&lt;10,"0",""),ABS(CS!AJ54)))</f>
        <v/>
      </c>
      <c r="CP54" s="63" t="str">
        <f ca="1">IF(ISNUMBER(CS!AK54)=FALSE,CONCATENATE(CO54,""),CONCATENATE(CO54,IF(ABS(CS!AK54)&lt;10,"0",""),ABS(CS!AK54)))</f>
        <v/>
      </c>
      <c r="CQ54" s="63" t="str">
        <f ca="1">IF(ISNUMBER(CS!AL54)=FALSE,CONCATENATE(CP54,""),CONCATENATE(CP54,IF(ABS(CS!AL54)&lt;10,"0",""),ABS(CS!AL54)))</f>
        <v/>
      </c>
      <c r="CR54" s="63" t="str">
        <f ca="1">IF(ISNUMBER(CS!AM54)=FALSE,CONCATENATE(CQ54,""),CONCATENATE(CQ54,IF(ABS(CS!AM54)&lt;10,"0",""),ABS(CS!AM54)))</f>
        <v/>
      </c>
      <c r="CS54" s="63" t="str">
        <f ca="1">IF(ISNUMBER(CS!AN54)=FALSE,CONCATENATE(CR54,""),CONCATENATE(CR54,IF(ABS(CS!AN54)&lt;10,"0",""),ABS(CS!AN54)))</f>
        <v/>
      </c>
      <c r="CT54" s="63" t="str">
        <f ca="1">IF(ISNUMBER(CS!AO54)=FALSE,CONCATENATE(CS54,""),CONCATENATE(CS54,IF(ABS(CS!AO54)&lt;10,"0",""),ABS(CS!AO54)))</f>
        <v/>
      </c>
      <c r="CU54" s="63" t="str">
        <f ca="1">IF(ISNUMBER(CS!AP54)=FALSE,CONCATENATE(CT54,""),CONCATENATE(CT54,IF(ABS(CS!AP54)&lt;10,"0",""),ABS(CS!AP54)))</f>
        <v/>
      </c>
    </row>
    <row r="55" spans="2:99">
      <c r="B55" s="4" t="str">
        <f ca="1">CS!AR55</f>
        <v/>
      </c>
      <c r="C55" s="5">
        <f t="shared" ca="1" si="18"/>
        <v>0</v>
      </c>
      <c r="D55" s="5">
        <f t="shared" ca="1" si="8"/>
        <v>0</v>
      </c>
      <c r="E55" s="5">
        <f t="shared" ca="1" si="8"/>
        <v>0</v>
      </c>
      <c r="F55" s="5">
        <f t="shared" ca="1" si="8"/>
        <v>0</v>
      </c>
      <c r="G55" s="5">
        <f t="shared" ca="1" si="8"/>
        <v>0</v>
      </c>
      <c r="H55" s="5">
        <f t="shared" ca="1" si="8"/>
        <v>0</v>
      </c>
      <c r="I55" s="5">
        <f t="shared" ca="1" si="16"/>
        <v>0</v>
      </c>
      <c r="J55" s="5">
        <f t="shared" ca="1" si="16"/>
        <v>0</v>
      </c>
      <c r="K55" s="5">
        <f t="shared" ca="1" si="16"/>
        <v>0</v>
      </c>
      <c r="L55" s="5">
        <f t="shared" ca="1" si="16"/>
        <v>0</v>
      </c>
      <c r="M55" s="5">
        <f t="shared" ca="1" si="16"/>
        <v>0</v>
      </c>
      <c r="N55" s="5">
        <f t="shared" ca="1" si="16"/>
        <v>0</v>
      </c>
      <c r="O55" s="5">
        <f t="shared" ca="1" si="16"/>
        <v>0</v>
      </c>
      <c r="P55" s="5">
        <f t="shared" ca="1" si="16"/>
        <v>0</v>
      </c>
      <c r="Q55" s="5">
        <f t="shared" ca="1" si="16"/>
        <v>0</v>
      </c>
      <c r="R55" s="5">
        <f t="shared" ca="1" si="16"/>
        <v>0</v>
      </c>
      <c r="S55" s="5">
        <f t="shared" ca="1" si="16"/>
        <v>0</v>
      </c>
      <c r="T55" s="5">
        <f t="shared" ca="1" si="16"/>
        <v>0</v>
      </c>
      <c r="U55" s="5">
        <f t="shared" ca="1" si="16"/>
        <v>0</v>
      </c>
      <c r="V55" s="5">
        <f t="shared" ca="1" si="16"/>
        <v>0</v>
      </c>
      <c r="W55" s="5">
        <f t="shared" ca="1" si="16"/>
        <v>0</v>
      </c>
      <c r="X55" s="5">
        <f t="shared" ca="1" si="16"/>
        <v>0</v>
      </c>
      <c r="Y55" s="5">
        <f t="shared" ca="1" si="12"/>
        <v>0</v>
      </c>
      <c r="Z55" s="5">
        <f t="shared" ca="1" si="12"/>
        <v>0</v>
      </c>
      <c r="AA55" s="5">
        <f t="shared" ca="1" si="12"/>
        <v>0</v>
      </c>
      <c r="AB55" s="5">
        <f t="shared" ca="1" si="12"/>
        <v>0</v>
      </c>
      <c r="AC55" s="5">
        <f t="shared" ca="1" si="12"/>
        <v>0</v>
      </c>
      <c r="AD55" s="5">
        <f t="shared" ca="1" si="17"/>
        <v>0</v>
      </c>
      <c r="AE55" s="5">
        <f t="shared" ca="1" si="17"/>
        <v>0</v>
      </c>
      <c r="AF55" s="5">
        <f t="shared" ca="1" si="17"/>
        <v>0</v>
      </c>
      <c r="AG55" s="5">
        <f t="shared" ca="1" si="17"/>
        <v>0</v>
      </c>
      <c r="AH55" s="5">
        <f t="shared" ca="1" si="17"/>
        <v>0</v>
      </c>
      <c r="AI55" s="5">
        <f t="shared" ca="1" si="13"/>
        <v>0</v>
      </c>
      <c r="AJ55" s="5">
        <f t="shared" ca="1" si="13"/>
        <v>0</v>
      </c>
      <c r="AK55" s="5">
        <f t="shared" ca="1" si="13"/>
        <v>0</v>
      </c>
      <c r="AL55" s="5">
        <f t="shared" ca="1" si="13"/>
        <v>0</v>
      </c>
      <c r="AM55" s="5">
        <f t="shared" ca="1" si="13"/>
        <v>0</v>
      </c>
      <c r="AN55" s="5">
        <f t="shared" ca="1" si="13"/>
        <v>0</v>
      </c>
      <c r="AO55" s="5">
        <f t="shared" ca="1" si="13"/>
        <v>0</v>
      </c>
      <c r="AP55" s="5">
        <f t="shared" ca="1" si="13"/>
        <v>0</v>
      </c>
      <c r="AR55" s="4" t="str">
        <f t="shared" ca="1" si="5"/>
        <v/>
      </c>
      <c r="AS55" s="339">
        <f t="shared" ca="1" si="14"/>
        <v>0</v>
      </c>
      <c r="AT55" s="339">
        <f t="shared" ca="1" si="19"/>
        <v>0</v>
      </c>
      <c r="AU55" s="339">
        <f t="shared" ca="1" si="19"/>
        <v>0</v>
      </c>
      <c r="AV55" s="339">
        <f t="shared" ca="1" si="19"/>
        <v>0</v>
      </c>
      <c r="AW55" s="339">
        <f t="shared" ca="1" si="19"/>
        <v>0</v>
      </c>
      <c r="AX55" s="339">
        <f t="shared" ca="1" si="19"/>
        <v>0</v>
      </c>
      <c r="AY55" s="339">
        <f t="shared" ca="1" si="19"/>
        <v>0</v>
      </c>
      <c r="AZ55" s="339">
        <f t="shared" ca="1" si="19"/>
        <v>0</v>
      </c>
      <c r="BA55" s="339">
        <f t="shared" ca="1" si="19"/>
        <v>0</v>
      </c>
      <c r="BB55" s="339">
        <f t="shared" ca="1" si="19"/>
        <v>0</v>
      </c>
      <c r="BD55" s="63" t="str">
        <f>IF(DrawFinder!Y55=0,"",DrawFinder!Y55)</f>
        <v/>
      </c>
      <c r="BF55" s="151" t="str">
        <f t="shared" ca="1" si="9"/>
        <v/>
      </c>
      <c r="BH55" s="63" t="str">
        <f ca="1">IF(ISNUMBER(CS!C55)=FALSE,CONCATENATE(BG55,""),CONCATENATE(BG55,IF(ABS(CS!C55)&lt;10,"0",""),ABS(CS!C55)))</f>
        <v/>
      </c>
      <c r="BI55" s="63" t="str">
        <f ca="1">IF(ISNUMBER(CS!D55)=FALSE,CONCATENATE(BH55,""),CONCATENATE(BH55,IF(ABS(CS!D55)&lt;10,"0",""),ABS(CS!D55)))</f>
        <v/>
      </c>
      <c r="BJ55" s="63" t="str">
        <f ca="1">IF(ISNUMBER(CS!E55)=FALSE,CONCATENATE(BI55,""),CONCATENATE(BI55,IF(ABS(CS!E55)&lt;10,"0",""),ABS(CS!E55)))</f>
        <v/>
      </c>
      <c r="BK55" s="63" t="str">
        <f ca="1">IF(ISNUMBER(CS!F55)=FALSE,CONCATENATE(BJ55,""),CONCATENATE(BJ55,IF(ABS(CS!F55)&lt;10,"0",""),ABS(CS!F55)))</f>
        <v/>
      </c>
      <c r="BL55" s="63" t="str">
        <f ca="1">IF(ISNUMBER(CS!G55)=FALSE,CONCATENATE(BK55,""),CONCATENATE(BK55,IF(ABS(CS!G55)&lt;10,"0",""),ABS(CS!G55)))</f>
        <v/>
      </c>
      <c r="BM55" s="63" t="str">
        <f ca="1">IF(ISNUMBER(CS!H55)=FALSE,CONCATENATE(BL55,""),CONCATENATE(BL55,IF(ABS(CS!H55)&lt;10,"0",""),ABS(CS!H55)))</f>
        <v/>
      </c>
      <c r="BN55" s="63" t="str">
        <f ca="1">IF(ISNUMBER(CS!I55)=FALSE,CONCATENATE(BM55,""),CONCATENATE(BM55,IF(ABS(CS!I55)&lt;10,"0",""),ABS(CS!I55)))</f>
        <v/>
      </c>
      <c r="BO55" s="63" t="str">
        <f ca="1">IF(ISNUMBER(CS!J55)=FALSE,CONCATENATE(BN55,""),CONCATENATE(BN55,IF(ABS(CS!J55)&lt;10,"0",""),ABS(CS!J55)))</f>
        <v/>
      </c>
      <c r="BP55" s="63" t="str">
        <f ca="1">IF(ISNUMBER(CS!K55)=FALSE,CONCATENATE(BO55,""),CONCATENATE(BO55,IF(ABS(CS!K55)&lt;10,"0",""),ABS(CS!K55)))</f>
        <v/>
      </c>
      <c r="BQ55" s="63" t="str">
        <f ca="1">IF(ISNUMBER(CS!L55)=FALSE,CONCATENATE(BP55,""),CONCATENATE(BP55,IF(ABS(CS!L55)&lt;10,"0",""),ABS(CS!L55)))</f>
        <v/>
      </c>
      <c r="BR55" s="63" t="str">
        <f ca="1">IF(ISNUMBER(CS!M55)=FALSE,CONCATENATE(BQ55,""),CONCATENATE(BQ55,IF(ABS(CS!M55)&lt;10,"0",""),ABS(CS!M55)))</f>
        <v/>
      </c>
      <c r="BS55" s="63" t="str">
        <f ca="1">IF(ISNUMBER(CS!N55)=FALSE,CONCATENATE(BR55,""),CONCATENATE(BR55,IF(ABS(CS!N55)&lt;10,"0",""),ABS(CS!N55)))</f>
        <v/>
      </c>
      <c r="BT55" s="63" t="str">
        <f ca="1">IF(ISNUMBER(CS!O55)=FALSE,CONCATENATE(BS55,""),CONCATENATE(BS55,IF(ABS(CS!O55)&lt;10,"0",""),ABS(CS!O55)))</f>
        <v/>
      </c>
      <c r="BU55" s="63" t="str">
        <f ca="1">IF(ISNUMBER(CS!P55)=FALSE,CONCATENATE(BT55,""),CONCATENATE(BT55,IF(ABS(CS!P55)&lt;10,"0",""),ABS(CS!P55)))</f>
        <v/>
      </c>
      <c r="BV55" s="63" t="str">
        <f ca="1">IF(ISNUMBER(CS!Q55)=FALSE,CONCATENATE(BU55,""),CONCATENATE(BU55,IF(ABS(CS!Q55)&lt;10,"0",""),ABS(CS!Q55)))</f>
        <v/>
      </c>
      <c r="BW55" s="63" t="str">
        <f ca="1">IF(ISNUMBER(CS!R55)=FALSE,CONCATENATE(BV55,""),CONCATENATE(BV55,IF(ABS(CS!R55)&lt;10,"0",""),ABS(CS!R55)))</f>
        <v/>
      </c>
      <c r="BX55" s="63" t="str">
        <f ca="1">IF(ISNUMBER(CS!S55)=FALSE,CONCATENATE(BW55,""),CONCATENATE(BW55,IF(ABS(CS!S55)&lt;10,"0",""),ABS(CS!S55)))</f>
        <v/>
      </c>
      <c r="BY55" s="63" t="str">
        <f ca="1">IF(ISNUMBER(CS!T55)=FALSE,CONCATENATE(BX55,""),CONCATENATE(BX55,IF(ABS(CS!T55)&lt;10,"0",""),ABS(CS!T55)))</f>
        <v/>
      </c>
      <c r="BZ55" s="63" t="str">
        <f ca="1">IF(ISNUMBER(CS!U55)=FALSE,CONCATENATE(BY55,""),CONCATENATE(BY55,IF(ABS(CS!U55)&lt;10,"0",""),ABS(CS!U55)))</f>
        <v/>
      </c>
      <c r="CA55" s="63" t="str">
        <f ca="1">IF(ISNUMBER(CS!V55)=FALSE,CONCATENATE(BZ55,""),CONCATENATE(BZ55,IF(ABS(CS!V55)&lt;10,"0",""),ABS(CS!V55)))</f>
        <v/>
      </c>
      <c r="CB55" s="63" t="str">
        <f ca="1">IF(ISNUMBER(CS!W55)=FALSE,CONCATENATE(CA55,""),CONCATENATE(CA55,IF(ABS(CS!W55)&lt;10,"0",""),ABS(CS!W55)))</f>
        <v/>
      </c>
      <c r="CC55" s="63" t="str">
        <f ca="1">IF(ISNUMBER(CS!X55)=FALSE,CONCATENATE(CB55,""),CONCATENATE(CB55,IF(ABS(CS!X55)&lt;10,"0",""),ABS(CS!X55)))</f>
        <v/>
      </c>
      <c r="CD55" s="63" t="str">
        <f ca="1">IF(ISNUMBER(CS!Y55)=FALSE,CONCATENATE(CC55,""),CONCATENATE(CC55,IF(ABS(CS!Y55)&lt;10,"0",""),ABS(CS!Y55)))</f>
        <v/>
      </c>
      <c r="CE55" s="63" t="str">
        <f ca="1">IF(ISNUMBER(CS!Z55)=FALSE,CONCATENATE(CD55,""),CONCATENATE(CD55,IF(ABS(CS!Z55)&lt;10,"0",""),ABS(CS!Z55)))</f>
        <v/>
      </c>
      <c r="CF55" s="63" t="str">
        <f ca="1">IF(ISNUMBER(CS!AA55)=FALSE,CONCATENATE(CE55,""),CONCATENATE(CE55,IF(ABS(CS!AA55)&lt;10,"0",""),ABS(CS!AA55)))</f>
        <v/>
      </c>
      <c r="CG55" s="63" t="str">
        <f ca="1">IF(ISNUMBER(CS!AB55)=FALSE,CONCATENATE(CF55,""),CONCATENATE(CF55,IF(ABS(CS!AB55)&lt;10,"0",""),ABS(CS!AB55)))</f>
        <v/>
      </c>
      <c r="CH55" s="63" t="str">
        <f ca="1">IF(ISNUMBER(CS!AC55)=FALSE,CONCATENATE(CG55,""),CONCATENATE(CG55,IF(ABS(CS!AC55)&lt;10,"0",""),ABS(CS!AC55)))</f>
        <v/>
      </c>
      <c r="CI55" s="63" t="str">
        <f ca="1">IF(ISNUMBER(CS!AD55)=FALSE,CONCATENATE(CH55,""),CONCATENATE(CH55,IF(ABS(CS!AD55)&lt;10,"0",""),ABS(CS!AD55)))</f>
        <v/>
      </c>
      <c r="CJ55" s="63" t="str">
        <f ca="1">IF(ISNUMBER(CS!AE55)=FALSE,CONCATENATE(CI55,""),CONCATENATE(CI55,IF(ABS(CS!AE55)&lt;10,"0",""),ABS(CS!AE55)))</f>
        <v/>
      </c>
      <c r="CK55" s="63" t="str">
        <f ca="1">IF(ISNUMBER(CS!AF55)=FALSE,CONCATENATE(CJ55,""),CONCATENATE(CJ55,IF(ABS(CS!AF55)&lt;10,"0",""),ABS(CS!AF55)))</f>
        <v/>
      </c>
      <c r="CL55" s="63" t="str">
        <f ca="1">IF(ISNUMBER(CS!AG55)=FALSE,CONCATENATE(CK55,""),CONCATENATE(CK55,IF(ABS(CS!AG55)&lt;10,"0",""),ABS(CS!AG55)))</f>
        <v/>
      </c>
      <c r="CM55" s="63" t="str">
        <f ca="1">IF(ISNUMBER(CS!AH55)=FALSE,CONCATENATE(CL55,""),CONCATENATE(CL55,IF(ABS(CS!AH55)&lt;10,"0",""),ABS(CS!AH55)))</f>
        <v/>
      </c>
      <c r="CN55" s="63" t="str">
        <f ca="1">IF(ISNUMBER(CS!AI55)=FALSE,CONCATENATE(CM55,""),CONCATENATE(CM55,IF(ABS(CS!AI55)&lt;10,"0",""),ABS(CS!AI55)))</f>
        <v/>
      </c>
      <c r="CO55" s="63" t="str">
        <f ca="1">IF(ISNUMBER(CS!AJ55)=FALSE,CONCATENATE(CN55,""),CONCATENATE(CN55,IF(ABS(CS!AJ55)&lt;10,"0",""),ABS(CS!AJ55)))</f>
        <v/>
      </c>
      <c r="CP55" s="63" t="str">
        <f ca="1">IF(ISNUMBER(CS!AK55)=FALSE,CONCATENATE(CO55,""),CONCATENATE(CO55,IF(ABS(CS!AK55)&lt;10,"0",""),ABS(CS!AK55)))</f>
        <v/>
      </c>
      <c r="CQ55" s="63" t="str">
        <f ca="1">IF(ISNUMBER(CS!AL55)=FALSE,CONCATENATE(CP55,""),CONCATENATE(CP55,IF(ABS(CS!AL55)&lt;10,"0",""),ABS(CS!AL55)))</f>
        <v/>
      </c>
      <c r="CR55" s="63" t="str">
        <f ca="1">IF(ISNUMBER(CS!AM55)=FALSE,CONCATENATE(CQ55,""),CONCATENATE(CQ55,IF(ABS(CS!AM55)&lt;10,"0",""),ABS(CS!AM55)))</f>
        <v/>
      </c>
      <c r="CS55" s="63" t="str">
        <f ca="1">IF(ISNUMBER(CS!AN55)=FALSE,CONCATENATE(CR55,""),CONCATENATE(CR55,IF(ABS(CS!AN55)&lt;10,"0",""),ABS(CS!AN55)))</f>
        <v/>
      </c>
      <c r="CT55" s="63" t="str">
        <f ca="1">IF(ISNUMBER(CS!AO55)=FALSE,CONCATENATE(CS55,""),CONCATENATE(CS55,IF(ABS(CS!AO55)&lt;10,"0",""),ABS(CS!AO55)))</f>
        <v/>
      </c>
      <c r="CU55" s="63" t="str">
        <f ca="1">IF(ISNUMBER(CS!AP55)=FALSE,CONCATENATE(CT55,""),CONCATENATE(CT55,IF(ABS(CS!AP55)&lt;10,"0",""),ABS(CS!AP55)))</f>
        <v/>
      </c>
    </row>
    <row r="56" spans="2:99" ht="16" thickBot="1">
      <c r="B56" s="340" t="str">
        <f ca="1">CS!AR56</f>
        <v/>
      </c>
      <c r="C56" s="152">
        <f t="shared" ca="1" si="18"/>
        <v>0</v>
      </c>
      <c r="D56" s="152">
        <f t="shared" ca="1" si="8"/>
        <v>0</v>
      </c>
      <c r="E56" s="152">
        <f t="shared" ca="1" si="8"/>
        <v>0</v>
      </c>
      <c r="F56" s="152">
        <f t="shared" ca="1" si="8"/>
        <v>0</v>
      </c>
      <c r="G56" s="152">
        <f t="shared" ca="1" si="8"/>
        <v>0</v>
      </c>
      <c r="H56" s="152">
        <f t="shared" ca="1" si="8"/>
        <v>0</v>
      </c>
      <c r="I56" s="152">
        <f t="shared" ca="1" si="16"/>
        <v>0</v>
      </c>
      <c r="J56" s="152">
        <f t="shared" ca="1" si="16"/>
        <v>0</v>
      </c>
      <c r="K56" s="152">
        <f t="shared" ca="1" si="16"/>
        <v>0</v>
      </c>
      <c r="L56" s="152">
        <f t="shared" ca="1" si="16"/>
        <v>0</v>
      </c>
      <c r="M56" s="152">
        <f t="shared" ca="1" si="16"/>
        <v>0</v>
      </c>
      <c r="N56" s="152">
        <f t="shared" ca="1" si="16"/>
        <v>0</v>
      </c>
      <c r="O56" s="152">
        <f t="shared" ca="1" si="16"/>
        <v>0</v>
      </c>
      <c r="P56" s="152">
        <f t="shared" ca="1" si="16"/>
        <v>0</v>
      </c>
      <c r="Q56" s="152">
        <f t="shared" ca="1" si="16"/>
        <v>0</v>
      </c>
      <c r="R56" s="152">
        <f t="shared" ca="1" si="16"/>
        <v>0</v>
      </c>
      <c r="S56" s="152">
        <f t="shared" ca="1" si="16"/>
        <v>0</v>
      </c>
      <c r="T56" s="152">
        <f t="shared" ca="1" si="16"/>
        <v>0</v>
      </c>
      <c r="U56" s="152">
        <f t="shared" ca="1" si="16"/>
        <v>0</v>
      </c>
      <c r="V56" s="152">
        <f t="shared" ca="1" si="16"/>
        <v>0</v>
      </c>
      <c r="W56" s="152">
        <f t="shared" ca="1" si="16"/>
        <v>0</v>
      </c>
      <c r="X56" s="152">
        <f t="shared" ca="1" si="16"/>
        <v>0</v>
      </c>
      <c r="Y56" s="152">
        <f t="shared" ca="1" si="12"/>
        <v>0</v>
      </c>
      <c r="Z56" s="152">
        <f t="shared" ca="1" si="12"/>
        <v>0</v>
      </c>
      <c r="AA56" s="152">
        <f t="shared" ca="1" si="12"/>
        <v>0</v>
      </c>
      <c r="AB56" s="152">
        <f t="shared" ca="1" si="12"/>
        <v>0</v>
      </c>
      <c r="AC56" s="152">
        <f t="shared" ca="1" si="12"/>
        <v>0</v>
      </c>
      <c r="AD56" s="152">
        <f t="shared" ca="1" si="17"/>
        <v>0</v>
      </c>
      <c r="AE56" s="152">
        <f t="shared" ca="1" si="17"/>
        <v>0</v>
      </c>
      <c r="AF56" s="152">
        <f t="shared" ca="1" si="17"/>
        <v>0</v>
      </c>
      <c r="AG56" s="152">
        <f t="shared" ca="1" si="17"/>
        <v>0</v>
      </c>
      <c r="AH56" s="152">
        <f t="shared" ca="1" si="17"/>
        <v>0</v>
      </c>
      <c r="AI56" s="152">
        <f t="shared" ca="1" si="13"/>
        <v>0</v>
      </c>
      <c r="AJ56" s="152">
        <f t="shared" ca="1" si="13"/>
        <v>0</v>
      </c>
      <c r="AK56" s="152">
        <f t="shared" ca="1" si="13"/>
        <v>0</v>
      </c>
      <c r="AL56" s="152">
        <f t="shared" ca="1" si="13"/>
        <v>0</v>
      </c>
      <c r="AM56" s="152">
        <f t="shared" ca="1" si="13"/>
        <v>0</v>
      </c>
      <c r="AN56" s="152">
        <f t="shared" ca="1" si="13"/>
        <v>0</v>
      </c>
      <c r="AO56" s="152">
        <f t="shared" ca="1" si="13"/>
        <v>0</v>
      </c>
      <c r="AP56" s="152">
        <f t="shared" ca="1" si="13"/>
        <v>0</v>
      </c>
      <c r="AR56" s="340" t="str">
        <f t="shared" ca="1" si="5"/>
        <v/>
      </c>
      <c r="AS56" s="339">
        <f t="shared" ca="1" si="14"/>
        <v>0</v>
      </c>
      <c r="AT56" s="339">
        <f t="shared" ca="1" si="19"/>
        <v>0</v>
      </c>
      <c r="AU56" s="339">
        <f t="shared" ca="1" si="19"/>
        <v>0</v>
      </c>
      <c r="AV56" s="339">
        <f t="shared" ca="1" si="19"/>
        <v>0</v>
      </c>
      <c r="AW56" s="339">
        <f t="shared" ca="1" si="19"/>
        <v>0</v>
      </c>
      <c r="AX56" s="339">
        <f t="shared" ca="1" si="19"/>
        <v>0</v>
      </c>
      <c r="AY56" s="339">
        <f t="shared" ca="1" si="19"/>
        <v>0</v>
      </c>
      <c r="AZ56" s="339">
        <f t="shared" ca="1" si="19"/>
        <v>0</v>
      </c>
      <c r="BA56" s="339">
        <f t="shared" ca="1" si="19"/>
        <v>0</v>
      </c>
      <c r="BB56" s="339">
        <f t="shared" ca="1" si="19"/>
        <v>0</v>
      </c>
      <c r="BC56" s="68"/>
      <c r="BD56" s="63" t="str">
        <f>IF(DrawFinder!Y56=0,"",DrawFinder!Y56)</f>
        <v/>
      </c>
      <c r="BF56" s="151" t="str">
        <f t="shared" ca="1" si="9"/>
        <v/>
      </c>
      <c r="BG56" s="66"/>
      <c r="BH56" s="65" t="str">
        <f ca="1">IF(ISNUMBER(CS!C56)=FALSE,CONCATENATE(BG56,""),CONCATENATE(BG56,IF(ABS(CS!C56)&lt;10,"0",""),ABS(CS!C56)))</f>
        <v/>
      </c>
      <c r="BI56" s="65" t="str">
        <f ca="1">IF(ISNUMBER(CS!D56)=FALSE,CONCATENATE(BH56,""),CONCATENATE(BH56,IF(ABS(CS!D56)&lt;10,"0",""),ABS(CS!D56)))</f>
        <v/>
      </c>
      <c r="BJ56" s="65" t="str">
        <f ca="1">IF(ISNUMBER(CS!E56)=FALSE,CONCATENATE(BI56,""),CONCATENATE(BI56,IF(ABS(CS!E56)&lt;10,"0",""),ABS(CS!E56)))</f>
        <v/>
      </c>
      <c r="BK56" s="65" t="str">
        <f ca="1">IF(ISNUMBER(CS!F56)=FALSE,CONCATENATE(BJ56,""),CONCATENATE(BJ56,IF(ABS(CS!F56)&lt;10,"0",""),ABS(CS!F56)))</f>
        <v/>
      </c>
      <c r="BL56" s="65" t="str">
        <f ca="1">IF(ISNUMBER(CS!G56)=FALSE,CONCATENATE(BK56,""),CONCATENATE(BK56,IF(ABS(CS!G56)&lt;10,"0",""),ABS(CS!G56)))</f>
        <v/>
      </c>
      <c r="BM56" s="65" t="str">
        <f ca="1">IF(ISNUMBER(CS!H56)=FALSE,CONCATENATE(BL56,""),CONCATENATE(BL56,IF(ABS(CS!H56)&lt;10,"0",""),ABS(CS!H56)))</f>
        <v/>
      </c>
      <c r="BN56" s="65" t="str">
        <f ca="1">IF(ISNUMBER(CS!I56)=FALSE,CONCATENATE(BM56,""),CONCATENATE(BM56,IF(ABS(CS!I56)&lt;10,"0",""),ABS(CS!I56)))</f>
        <v/>
      </c>
      <c r="BO56" s="65" t="str">
        <f ca="1">IF(ISNUMBER(CS!J56)=FALSE,CONCATENATE(BN56,""),CONCATENATE(BN56,IF(ABS(CS!J56)&lt;10,"0",""),ABS(CS!J56)))</f>
        <v/>
      </c>
      <c r="BP56" s="65" t="str">
        <f ca="1">IF(ISNUMBER(CS!K56)=FALSE,CONCATENATE(BO56,""),CONCATENATE(BO56,IF(ABS(CS!K56)&lt;10,"0",""),ABS(CS!K56)))</f>
        <v/>
      </c>
      <c r="BQ56" s="65" t="str">
        <f ca="1">IF(ISNUMBER(CS!L56)=FALSE,CONCATENATE(BP56,""),CONCATENATE(BP56,IF(ABS(CS!L56)&lt;10,"0",""),ABS(CS!L56)))</f>
        <v/>
      </c>
      <c r="BR56" s="65" t="str">
        <f ca="1">IF(ISNUMBER(CS!M56)=FALSE,CONCATENATE(BQ56,""),CONCATENATE(BQ56,IF(ABS(CS!M56)&lt;10,"0",""),ABS(CS!M56)))</f>
        <v/>
      </c>
      <c r="BS56" s="65" t="str">
        <f ca="1">IF(ISNUMBER(CS!N56)=FALSE,CONCATENATE(BR56,""),CONCATENATE(BR56,IF(ABS(CS!N56)&lt;10,"0",""),ABS(CS!N56)))</f>
        <v/>
      </c>
      <c r="BT56" s="65" t="str">
        <f ca="1">IF(ISNUMBER(CS!O56)=FALSE,CONCATENATE(BS56,""),CONCATENATE(BS56,IF(ABS(CS!O56)&lt;10,"0",""),ABS(CS!O56)))</f>
        <v/>
      </c>
      <c r="BU56" s="65" t="str">
        <f ca="1">IF(ISNUMBER(CS!P56)=FALSE,CONCATENATE(BT56,""),CONCATENATE(BT56,IF(ABS(CS!P56)&lt;10,"0",""),ABS(CS!P56)))</f>
        <v/>
      </c>
      <c r="BV56" s="65" t="str">
        <f ca="1">IF(ISNUMBER(CS!Q56)=FALSE,CONCATENATE(BU56,""),CONCATENATE(BU56,IF(ABS(CS!Q56)&lt;10,"0",""),ABS(CS!Q56)))</f>
        <v/>
      </c>
      <c r="BW56" s="65" t="str">
        <f ca="1">IF(ISNUMBER(CS!R56)=FALSE,CONCATENATE(BV56,""),CONCATENATE(BV56,IF(ABS(CS!R56)&lt;10,"0",""),ABS(CS!R56)))</f>
        <v/>
      </c>
      <c r="BX56" s="65" t="str">
        <f ca="1">IF(ISNUMBER(CS!S56)=FALSE,CONCATENATE(BW56,""),CONCATENATE(BW56,IF(ABS(CS!S56)&lt;10,"0",""),ABS(CS!S56)))</f>
        <v/>
      </c>
      <c r="BY56" s="65" t="str">
        <f ca="1">IF(ISNUMBER(CS!T56)=FALSE,CONCATENATE(BX56,""),CONCATENATE(BX56,IF(ABS(CS!T56)&lt;10,"0",""),ABS(CS!T56)))</f>
        <v/>
      </c>
      <c r="BZ56" s="65" t="str">
        <f ca="1">IF(ISNUMBER(CS!U56)=FALSE,CONCATENATE(BY56,""),CONCATENATE(BY56,IF(ABS(CS!U56)&lt;10,"0",""),ABS(CS!U56)))</f>
        <v/>
      </c>
      <c r="CA56" s="65" t="str">
        <f ca="1">IF(ISNUMBER(CS!V56)=FALSE,CONCATENATE(BZ56,""),CONCATENATE(BZ56,IF(ABS(CS!V56)&lt;10,"0",""),ABS(CS!V56)))</f>
        <v/>
      </c>
      <c r="CB56" s="65" t="str">
        <f ca="1">IF(ISNUMBER(CS!W56)=FALSE,CONCATENATE(CA56,""),CONCATENATE(CA56,IF(ABS(CS!W56)&lt;10,"0",""),ABS(CS!W56)))</f>
        <v/>
      </c>
      <c r="CC56" s="65" t="str">
        <f ca="1">IF(ISNUMBER(CS!X56)=FALSE,CONCATENATE(CB56,""),CONCATENATE(CB56,IF(ABS(CS!X56)&lt;10,"0",""),ABS(CS!X56)))</f>
        <v/>
      </c>
      <c r="CD56" s="65" t="str">
        <f ca="1">IF(ISNUMBER(CS!Y56)=FALSE,CONCATENATE(CC56,""),CONCATENATE(CC56,IF(ABS(CS!Y56)&lt;10,"0",""),ABS(CS!Y56)))</f>
        <v/>
      </c>
      <c r="CE56" s="65" t="str">
        <f ca="1">IF(ISNUMBER(CS!Z56)=FALSE,CONCATENATE(CD56,""),CONCATENATE(CD56,IF(ABS(CS!Z56)&lt;10,"0",""),ABS(CS!Z56)))</f>
        <v/>
      </c>
      <c r="CF56" s="65" t="str">
        <f ca="1">IF(ISNUMBER(CS!AA56)=FALSE,CONCATENATE(CE56,""),CONCATENATE(CE56,IF(ABS(CS!AA56)&lt;10,"0",""),ABS(CS!AA56)))</f>
        <v/>
      </c>
      <c r="CG56" s="65" t="str">
        <f ca="1">IF(ISNUMBER(CS!AB56)=FALSE,CONCATENATE(CF56,""),CONCATENATE(CF56,IF(ABS(CS!AB56)&lt;10,"0",""),ABS(CS!AB56)))</f>
        <v/>
      </c>
      <c r="CH56" s="65" t="str">
        <f ca="1">IF(ISNUMBER(CS!AC56)=FALSE,CONCATENATE(CG56,""),CONCATENATE(CG56,IF(ABS(CS!AC56)&lt;10,"0",""),ABS(CS!AC56)))</f>
        <v/>
      </c>
      <c r="CI56" s="65" t="str">
        <f ca="1">IF(ISNUMBER(CS!AD56)=FALSE,CONCATENATE(CH56,""),CONCATENATE(CH56,IF(ABS(CS!AD56)&lt;10,"0",""),ABS(CS!AD56)))</f>
        <v/>
      </c>
      <c r="CJ56" s="65" t="str">
        <f ca="1">IF(ISNUMBER(CS!AE56)=FALSE,CONCATENATE(CI56,""),CONCATENATE(CI56,IF(ABS(CS!AE56)&lt;10,"0",""),ABS(CS!AE56)))</f>
        <v/>
      </c>
      <c r="CK56" s="65" t="str">
        <f ca="1">IF(ISNUMBER(CS!AF56)=FALSE,CONCATENATE(CJ56,""),CONCATENATE(CJ56,IF(ABS(CS!AF56)&lt;10,"0",""),ABS(CS!AF56)))</f>
        <v/>
      </c>
      <c r="CL56" s="65" t="str">
        <f ca="1">IF(ISNUMBER(CS!AG56)=FALSE,CONCATENATE(CK56,""),CONCATENATE(CK56,IF(ABS(CS!AG56)&lt;10,"0",""),ABS(CS!AG56)))</f>
        <v/>
      </c>
      <c r="CM56" s="65" t="str">
        <f ca="1">IF(ISNUMBER(CS!AH56)=FALSE,CONCATENATE(CL56,""),CONCATENATE(CL56,IF(ABS(CS!AH56)&lt;10,"0",""),ABS(CS!AH56)))</f>
        <v/>
      </c>
      <c r="CN56" s="65" t="str">
        <f ca="1">IF(ISNUMBER(CS!AI56)=FALSE,CONCATENATE(CM56,""),CONCATENATE(CM56,IF(ABS(CS!AI56)&lt;10,"0",""),ABS(CS!AI56)))</f>
        <v/>
      </c>
      <c r="CO56" s="65" t="str">
        <f ca="1">IF(ISNUMBER(CS!AJ56)=FALSE,CONCATENATE(CN56,""),CONCATENATE(CN56,IF(ABS(CS!AJ56)&lt;10,"0",""),ABS(CS!AJ56)))</f>
        <v/>
      </c>
      <c r="CP56" s="65" t="str">
        <f ca="1">IF(ISNUMBER(CS!AK56)=FALSE,CONCATENATE(CO56,""),CONCATENATE(CO56,IF(ABS(CS!AK56)&lt;10,"0",""),ABS(CS!AK56)))</f>
        <v/>
      </c>
      <c r="CQ56" s="65" t="str">
        <f ca="1">IF(ISNUMBER(CS!AL56)=FALSE,CONCATENATE(CP56,""),CONCATENATE(CP56,IF(ABS(CS!AL56)&lt;10,"0",""),ABS(CS!AL56)))</f>
        <v/>
      </c>
      <c r="CR56" s="65" t="str">
        <f ca="1">IF(ISNUMBER(CS!AM56)=FALSE,CONCATENATE(CQ56,""),CONCATENATE(CQ56,IF(ABS(CS!AM56)&lt;10,"0",""),ABS(CS!AM56)))</f>
        <v/>
      </c>
      <c r="CS56" s="65" t="str">
        <f ca="1">IF(ISNUMBER(CS!AN56)=FALSE,CONCATENATE(CR56,""),CONCATENATE(CR56,IF(ABS(CS!AN56)&lt;10,"0",""),ABS(CS!AN56)))</f>
        <v/>
      </c>
      <c r="CT56" s="65" t="str">
        <f ca="1">IF(ISNUMBER(CS!AO56)=FALSE,CONCATENATE(CS56,""),CONCATENATE(CS56,IF(ABS(CS!AO56)&lt;10,"0",""),ABS(CS!AO56)))</f>
        <v/>
      </c>
      <c r="CU56" s="65" t="str">
        <f ca="1">IF(ISNUMBER(CS!AP56)=FALSE,CONCATENATE(CT56,""),CONCATENATE(CT56,IF(ABS(CS!AP56)&lt;10,"0",""),ABS(CS!AP56)))</f>
        <v/>
      </c>
    </row>
    <row r="57" spans="2:99" ht="16" thickBot="1">
      <c r="B57" s="332"/>
      <c r="C57" s="68"/>
      <c r="D57" s="68"/>
      <c r="E57" s="68"/>
      <c r="F57" s="68"/>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R57" s="66"/>
      <c r="AS57" s="66"/>
      <c r="AT57" s="66"/>
      <c r="AU57" s="66"/>
      <c r="AV57" s="66"/>
      <c r="AW57" s="66"/>
      <c r="AX57" s="66"/>
      <c r="AY57" s="66"/>
      <c r="AZ57" s="66"/>
      <c r="BA57" s="66"/>
      <c r="BB57" s="66"/>
      <c r="BC57" s="66"/>
      <c r="BF57" s="332"/>
    </row>
  </sheetData>
  <sheetProtection password="FFF0" sheet="1" objects="1" scenarios="1"/>
  <conditionalFormatting sqref="AS11:BB56">
    <cfRule type="cellIs" dxfId="263" priority="403" operator="equal">
      <formula>0</formula>
    </cfRule>
    <cfRule type="cellIs" dxfId="262" priority="404" operator="lessThan">
      <formula>$BB$8</formula>
    </cfRule>
    <cfRule type="cellIs" dxfId="261" priority="407" operator="equal">
      <formula>$BB$8</formula>
    </cfRule>
  </conditionalFormatting>
  <conditionalFormatting sqref="B11:B56">
    <cfRule type="expression" dxfId="260" priority="406">
      <formula>BD11&lt;&gt;BD10</formula>
    </cfRule>
  </conditionalFormatting>
  <conditionalFormatting sqref="AR11:AR56">
    <cfRule type="expression" dxfId="259" priority="405">
      <formula>BD11&lt;&gt;BD10</formula>
    </cfRule>
  </conditionalFormatting>
  <conditionalFormatting sqref="C11:AP56">
    <cfRule type="expression" dxfId="258" priority="401">
      <formula>AND($J$5="y",C11=$I$5)</formula>
    </cfRule>
  </conditionalFormatting>
  <conditionalFormatting sqref="C11:AP56">
    <cfRule type="cellIs" dxfId="257" priority="1" operator="equal">
      <formula>0</formula>
    </cfRule>
  </conditionalFormatting>
  <conditionalFormatting sqref="C11:AP56">
    <cfRule type="expression" dxfId="256" priority="402">
      <formula>AND($J$5="y",C11=$H$5)</formula>
    </cfRule>
  </conditionalFormatting>
  <conditionalFormatting sqref="D11:D56">
    <cfRule type="expression" dxfId="255" priority="396">
      <formula>D11=C11</formula>
    </cfRule>
  </conditionalFormatting>
  <conditionalFormatting sqref="E11:E56">
    <cfRule type="expression" dxfId="254" priority="149">
      <formula>E11=D11</formula>
    </cfRule>
    <cfRule type="expression" dxfId="253" priority="150">
      <formula>E11=C11</formula>
    </cfRule>
  </conditionalFormatting>
  <conditionalFormatting sqref="F11:F56">
    <cfRule type="expression" dxfId="252" priority="146">
      <formula>F11=E11</formula>
    </cfRule>
    <cfRule type="expression" dxfId="251" priority="147">
      <formula>F11=D11</formula>
    </cfRule>
    <cfRule type="expression" dxfId="250" priority="148">
      <formula>F11=C11</formula>
    </cfRule>
  </conditionalFormatting>
  <conditionalFormatting sqref="G11:G56">
    <cfRule type="expression" dxfId="249" priority="142">
      <formula>G11=F11</formula>
    </cfRule>
    <cfRule type="expression" dxfId="248" priority="143">
      <formula>G11=E11</formula>
    </cfRule>
    <cfRule type="expression" dxfId="247" priority="144">
      <formula>G11=D11</formula>
    </cfRule>
    <cfRule type="expression" dxfId="246" priority="145">
      <formula>G11=C11</formula>
    </cfRule>
  </conditionalFormatting>
  <conditionalFormatting sqref="H11:H56">
    <cfRule type="expression" dxfId="245" priority="138">
      <formula>H11=G11</formula>
    </cfRule>
    <cfRule type="expression" dxfId="244" priority="139">
      <formula>H11=F11</formula>
    </cfRule>
    <cfRule type="expression" dxfId="243" priority="140">
      <formula>H11=E11</formula>
    </cfRule>
    <cfRule type="expression" dxfId="242" priority="141">
      <formula>H11=D11</formula>
    </cfRule>
  </conditionalFormatting>
  <conditionalFormatting sqref="I11:I56">
    <cfRule type="expression" dxfId="241" priority="134">
      <formula>I11=H11</formula>
    </cfRule>
    <cfRule type="expression" dxfId="240" priority="135">
      <formula>I11=G11</formula>
    </cfRule>
    <cfRule type="expression" dxfId="239" priority="136">
      <formula>I11=F11</formula>
    </cfRule>
    <cfRule type="expression" dxfId="238" priority="137">
      <formula>I11=E11</formula>
    </cfRule>
  </conditionalFormatting>
  <conditionalFormatting sqref="J11:J56">
    <cfRule type="expression" dxfId="237" priority="130">
      <formula>J11=I11</formula>
    </cfRule>
    <cfRule type="expression" dxfId="236" priority="131">
      <formula>J11=H11</formula>
    </cfRule>
    <cfRule type="expression" dxfId="235" priority="132">
      <formula>J11=G11</formula>
    </cfRule>
    <cfRule type="expression" dxfId="234" priority="133">
      <formula>J11=F11</formula>
    </cfRule>
  </conditionalFormatting>
  <conditionalFormatting sqref="K11:K56">
    <cfRule type="expression" dxfId="233" priority="126">
      <formula>K11=J11</formula>
    </cfRule>
    <cfRule type="expression" dxfId="232" priority="127">
      <formula>K11=I11</formula>
    </cfRule>
    <cfRule type="expression" dxfId="231" priority="128">
      <formula>K11=H11</formula>
    </cfRule>
    <cfRule type="expression" dxfId="230" priority="129">
      <formula>K11=G11</formula>
    </cfRule>
  </conditionalFormatting>
  <conditionalFormatting sqref="L11:L56">
    <cfRule type="expression" dxfId="229" priority="122">
      <formula>L11=K11</formula>
    </cfRule>
    <cfRule type="expression" dxfId="228" priority="123">
      <formula>L11=J11</formula>
    </cfRule>
    <cfRule type="expression" dxfId="227" priority="124">
      <formula>L11=I11</formula>
    </cfRule>
    <cfRule type="expression" dxfId="226" priority="125">
      <formula>L11=H11</formula>
    </cfRule>
  </conditionalFormatting>
  <conditionalFormatting sqref="M11:M56">
    <cfRule type="expression" dxfId="225" priority="118">
      <formula>M11=L11</formula>
    </cfRule>
    <cfRule type="expression" dxfId="224" priority="119">
      <formula>M11=K11</formula>
    </cfRule>
    <cfRule type="expression" dxfId="223" priority="120">
      <formula>M11=J11</formula>
    </cfRule>
    <cfRule type="expression" dxfId="222" priority="121">
      <formula>M11=I11</formula>
    </cfRule>
  </conditionalFormatting>
  <conditionalFormatting sqref="N11:N56">
    <cfRule type="expression" dxfId="221" priority="114">
      <formula>N11=M11</formula>
    </cfRule>
    <cfRule type="expression" dxfId="220" priority="115">
      <formula>N11=L11</formula>
    </cfRule>
    <cfRule type="expression" dxfId="219" priority="116">
      <formula>N11=K11</formula>
    </cfRule>
    <cfRule type="expression" dxfId="218" priority="117">
      <formula>N11=J11</formula>
    </cfRule>
  </conditionalFormatting>
  <conditionalFormatting sqref="O11:O56">
    <cfRule type="expression" dxfId="217" priority="110">
      <formula>O11=N11</formula>
    </cfRule>
    <cfRule type="expression" dxfId="216" priority="111">
      <formula>O11=M11</formula>
    </cfRule>
    <cfRule type="expression" dxfId="215" priority="112">
      <formula>O11=L11</formula>
    </cfRule>
    <cfRule type="expression" dxfId="214" priority="113">
      <formula>O11=K11</formula>
    </cfRule>
  </conditionalFormatting>
  <conditionalFormatting sqref="P11:P56">
    <cfRule type="expression" dxfId="213" priority="106">
      <formula>P11=O11</formula>
    </cfRule>
    <cfRule type="expression" dxfId="212" priority="107">
      <formula>P11=N11</formula>
    </cfRule>
    <cfRule type="expression" dxfId="211" priority="108">
      <formula>P11=M11</formula>
    </cfRule>
    <cfRule type="expression" dxfId="210" priority="109">
      <formula>P11=L11</formula>
    </cfRule>
  </conditionalFormatting>
  <conditionalFormatting sqref="Q11:Q56">
    <cfRule type="expression" dxfId="209" priority="102">
      <formula>Q11=P11</formula>
    </cfRule>
    <cfRule type="expression" dxfId="208" priority="103">
      <formula>Q11=O11</formula>
    </cfRule>
    <cfRule type="expression" dxfId="207" priority="104">
      <formula>Q11=N11</formula>
    </cfRule>
    <cfRule type="expression" dxfId="206" priority="105">
      <formula>Q11=M11</formula>
    </cfRule>
  </conditionalFormatting>
  <conditionalFormatting sqref="R11:R56">
    <cfRule type="expression" dxfId="205" priority="98">
      <formula>R11=Q11</formula>
    </cfRule>
    <cfRule type="expression" dxfId="204" priority="99">
      <formula>R11=P11</formula>
    </cfRule>
    <cfRule type="expression" dxfId="203" priority="100">
      <formula>R11=O11</formula>
    </cfRule>
    <cfRule type="expression" dxfId="202" priority="101">
      <formula>R11=N11</formula>
    </cfRule>
  </conditionalFormatting>
  <conditionalFormatting sqref="S11:S56">
    <cfRule type="expression" dxfId="201" priority="94">
      <formula>S11=R11</formula>
    </cfRule>
    <cfRule type="expression" dxfId="200" priority="95">
      <formula>S11=Q11</formula>
    </cfRule>
    <cfRule type="expression" dxfId="199" priority="96">
      <formula>S11=P11</formula>
    </cfRule>
    <cfRule type="expression" dxfId="198" priority="97">
      <formula>S11=O11</formula>
    </cfRule>
  </conditionalFormatting>
  <conditionalFormatting sqref="T11:T56">
    <cfRule type="expression" dxfId="197" priority="90">
      <formula>T11=S11</formula>
    </cfRule>
    <cfRule type="expression" dxfId="196" priority="91">
      <formula>T11=R11</formula>
    </cfRule>
    <cfRule type="expression" dxfId="195" priority="92">
      <formula>T11=Q11</formula>
    </cfRule>
    <cfRule type="expression" dxfId="194" priority="93">
      <formula>T11=P11</formula>
    </cfRule>
  </conditionalFormatting>
  <conditionalFormatting sqref="U11:U56">
    <cfRule type="expression" dxfId="193" priority="86">
      <formula>U11=T11</formula>
    </cfRule>
    <cfRule type="expression" dxfId="192" priority="87">
      <formula>U11=S11</formula>
    </cfRule>
    <cfRule type="expression" dxfId="191" priority="88">
      <formula>U11=R11</formula>
    </cfRule>
    <cfRule type="expression" dxfId="190" priority="89">
      <formula>U11=Q11</formula>
    </cfRule>
  </conditionalFormatting>
  <conditionalFormatting sqref="V11:V56">
    <cfRule type="expression" dxfId="189" priority="82">
      <formula>V11=U11</formula>
    </cfRule>
    <cfRule type="expression" dxfId="188" priority="83">
      <formula>V11=T11</formula>
    </cfRule>
    <cfRule type="expression" dxfId="187" priority="84">
      <formula>V11=S11</formula>
    </cfRule>
    <cfRule type="expression" dxfId="186" priority="85">
      <formula>V11=R11</formula>
    </cfRule>
  </conditionalFormatting>
  <conditionalFormatting sqref="W11:W56">
    <cfRule type="expression" dxfId="185" priority="78">
      <formula>W11=V11</formula>
    </cfRule>
    <cfRule type="expression" dxfId="184" priority="79">
      <formula>W11=U11</formula>
    </cfRule>
    <cfRule type="expression" dxfId="183" priority="80">
      <formula>W11=T11</formula>
    </cfRule>
    <cfRule type="expression" dxfId="182" priority="81">
      <formula>W11=S11</formula>
    </cfRule>
  </conditionalFormatting>
  <conditionalFormatting sqref="X11:X56">
    <cfRule type="expression" dxfId="181" priority="74">
      <formula>X11=W11</formula>
    </cfRule>
    <cfRule type="expression" dxfId="180" priority="75">
      <formula>X11=V11</formula>
    </cfRule>
    <cfRule type="expression" dxfId="179" priority="76">
      <formula>X11=U11</formula>
    </cfRule>
    <cfRule type="expression" dxfId="178" priority="77">
      <formula>X11=T11</formula>
    </cfRule>
  </conditionalFormatting>
  <conditionalFormatting sqref="Y11:Y56">
    <cfRule type="expression" dxfId="177" priority="70">
      <formula>Y11=X11</formula>
    </cfRule>
    <cfRule type="expression" dxfId="176" priority="71">
      <formula>Y11=W11</formula>
    </cfRule>
    <cfRule type="expression" dxfId="175" priority="72">
      <formula>Y11=V11</formula>
    </cfRule>
    <cfRule type="expression" dxfId="174" priority="73">
      <formula>Y11=U11</formula>
    </cfRule>
  </conditionalFormatting>
  <conditionalFormatting sqref="Z11:Z56">
    <cfRule type="expression" dxfId="173" priority="66">
      <formula>Z11=Y11</formula>
    </cfRule>
    <cfRule type="expression" dxfId="172" priority="67">
      <formula>Z11=X11</formula>
    </cfRule>
    <cfRule type="expression" dxfId="171" priority="68">
      <formula>Z11=W11</formula>
    </cfRule>
    <cfRule type="expression" dxfId="170" priority="69">
      <formula>Z11=V11</formula>
    </cfRule>
  </conditionalFormatting>
  <conditionalFormatting sqref="AA11:AA56">
    <cfRule type="expression" dxfId="169" priority="62">
      <formula>AA11=Z11</formula>
    </cfRule>
    <cfRule type="expression" dxfId="168" priority="63">
      <formula>AA11=Y11</formula>
    </cfRule>
    <cfRule type="expression" dxfId="167" priority="64">
      <formula>AA11=X11</formula>
    </cfRule>
    <cfRule type="expression" dxfId="166" priority="65">
      <formula>AA11=W11</formula>
    </cfRule>
  </conditionalFormatting>
  <conditionalFormatting sqref="AB11:AB56">
    <cfRule type="expression" dxfId="165" priority="58">
      <formula>AB11=AA11</formula>
    </cfRule>
    <cfRule type="expression" dxfId="164" priority="59">
      <formula>AB11=Z11</formula>
    </cfRule>
    <cfRule type="expression" dxfId="163" priority="60">
      <formula>AB11=Y11</formula>
    </cfRule>
    <cfRule type="expression" dxfId="162" priority="61">
      <formula>AB11=X11</formula>
    </cfRule>
  </conditionalFormatting>
  <conditionalFormatting sqref="AC11:AC56">
    <cfRule type="expression" dxfId="161" priority="54">
      <formula>AC11=AB11</formula>
    </cfRule>
    <cfRule type="expression" dxfId="160" priority="55">
      <formula>AC11=AA11</formula>
    </cfRule>
    <cfRule type="expression" dxfId="159" priority="56">
      <formula>AC11=Z11</formula>
    </cfRule>
    <cfRule type="expression" dxfId="158" priority="57">
      <formula>AC11=Y11</formula>
    </cfRule>
  </conditionalFormatting>
  <conditionalFormatting sqref="AD11:AD56">
    <cfRule type="expression" dxfId="157" priority="50">
      <formula>AD11=AC11</formula>
    </cfRule>
    <cfRule type="expression" dxfId="156" priority="51">
      <formula>AD11=AB11</formula>
    </cfRule>
    <cfRule type="expression" dxfId="155" priority="52">
      <formula>AD11=AA11</formula>
    </cfRule>
    <cfRule type="expression" dxfId="154" priority="53">
      <formula>AD11=Z11</formula>
    </cfRule>
  </conditionalFormatting>
  <conditionalFormatting sqref="AE11:AE56">
    <cfRule type="expression" dxfId="153" priority="46">
      <formula>AE11=AD11</formula>
    </cfRule>
    <cfRule type="expression" dxfId="152" priority="47">
      <formula>AE11=AC11</formula>
    </cfRule>
    <cfRule type="expression" dxfId="151" priority="48">
      <formula>AE11=AB11</formula>
    </cfRule>
    <cfRule type="expression" dxfId="150" priority="49">
      <formula>AE11=AA11</formula>
    </cfRule>
  </conditionalFormatting>
  <conditionalFormatting sqref="AF11:AF56">
    <cfRule type="expression" dxfId="149" priority="42">
      <formula>AF11=AE11</formula>
    </cfRule>
    <cfRule type="expression" dxfId="148" priority="43">
      <formula>AF11=AD11</formula>
    </cfRule>
    <cfRule type="expression" dxfId="147" priority="44">
      <formula>AF11=AC11</formula>
    </cfRule>
    <cfRule type="expression" dxfId="146" priority="45">
      <formula>AF11=AB11</formula>
    </cfRule>
  </conditionalFormatting>
  <conditionalFormatting sqref="AG11:AG56">
    <cfRule type="expression" dxfId="145" priority="38">
      <formula>AG11=AF11</formula>
    </cfRule>
    <cfRule type="expression" dxfId="144" priority="39">
      <formula>AG11=AE11</formula>
    </cfRule>
    <cfRule type="expression" dxfId="143" priority="40">
      <formula>AG11=AD11</formula>
    </cfRule>
    <cfRule type="expression" dxfId="142" priority="41">
      <formula>AG11=AC11</formula>
    </cfRule>
  </conditionalFormatting>
  <conditionalFormatting sqref="AH11:AH56">
    <cfRule type="expression" dxfId="141" priority="34">
      <formula>AH11=AG11</formula>
    </cfRule>
    <cfRule type="expression" dxfId="140" priority="35">
      <formula>AH11=AF11</formula>
    </cfRule>
    <cfRule type="expression" dxfId="139" priority="36">
      <formula>AH11=AE11</formula>
    </cfRule>
    <cfRule type="expression" dxfId="138" priority="37">
      <formula>AH11=AD11</formula>
    </cfRule>
  </conditionalFormatting>
  <conditionalFormatting sqref="AI11:AI56">
    <cfRule type="expression" dxfId="137" priority="30">
      <formula>AI11=AH11</formula>
    </cfRule>
    <cfRule type="expression" dxfId="136" priority="31">
      <formula>AI11=AG11</formula>
    </cfRule>
    <cfRule type="expression" dxfId="135" priority="32">
      <formula>AI11=AF11</formula>
    </cfRule>
    <cfRule type="expression" dxfId="134" priority="33">
      <formula>AI11=AE11</formula>
    </cfRule>
  </conditionalFormatting>
  <conditionalFormatting sqref="AJ11:AJ56">
    <cfRule type="expression" dxfId="133" priority="26">
      <formula>AJ11=AI11</formula>
    </cfRule>
    <cfRule type="expression" dxfId="132" priority="27">
      <formula>AJ11=AH11</formula>
    </cfRule>
    <cfRule type="expression" dxfId="131" priority="28">
      <formula>AJ11=AG11</formula>
    </cfRule>
    <cfRule type="expression" dxfId="130" priority="29">
      <formula>AJ11=AF11</formula>
    </cfRule>
  </conditionalFormatting>
  <conditionalFormatting sqref="AK11:AK56">
    <cfRule type="expression" dxfId="129" priority="22">
      <formula>AK11=AJ11</formula>
    </cfRule>
    <cfRule type="expression" dxfId="128" priority="23">
      <formula>AK11=AI11</formula>
    </cfRule>
    <cfRule type="expression" dxfId="127" priority="24">
      <formula>AK11=AH11</formula>
    </cfRule>
    <cfRule type="expression" dxfId="126" priority="25">
      <formula>AK11=AG11</formula>
    </cfRule>
  </conditionalFormatting>
  <conditionalFormatting sqref="AL11:AL56">
    <cfRule type="expression" dxfId="125" priority="18">
      <formula>AL11=AK11</formula>
    </cfRule>
    <cfRule type="expression" dxfId="124" priority="19">
      <formula>AL11=AJ11</formula>
    </cfRule>
    <cfRule type="expression" dxfId="123" priority="20">
      <formula>AL11=AI11</formula>
    </cfRule>
    <cfRule type="expression" dxfId="122" priority="21">
      <formula>AL11=AH11</formula>
    </cfRule>
  </conditionalFormatting>
  <conditionalFormatting sqref="AM11:AM56">
    <cfRule type="expression" dxfId="121" priority="14">
      <formula>AM11=AL11</formula>
    </cfRule>
    <cfRule type="expression" dxfId="120" priority="15">
      <formula>AM11=AK11</formula>
    </cfRule>
    <cfRule type="expression" dxfId="119" priority="16">
      <formula>AM11=AJ11</formula>
    </cfRule>
    <cfRule type="expression" dxfId="118" priority="17">
      <formula>AM11=AI11</formula>
    </cfRule>
  </conditionalFormatting>
  <conditionalFormatting sqref="AN11:AN56">
    <cfRule type="expression" dxfId="117" priority="10">
      <formula>AN11=AM11</formula>
    </cfRule>
    <cfRule type="expression" dxfId="116" priority="11">
      <formula>AN11=AL11</formula>
    </cfRule>
    <cfRule type="expression" dxfId="115" priority="12">
      <formula>AN11=AK11</formula>
    </cfRule>
    <cfRule type="expression" dxfId="114" priority="13">
      <formula>AN11=AJ11</formula>
    </cfRule>
  </conditionalFormatting>
  <conditionalFormatting sqref="AO11:AO56">
    <cfRule type="expression" dxfId="113" priority="6">
      <formula>AO11=AN11</formula>
    </cfRule>
    <cfRule type="expression" dxfId="112" priority="7">
      <formula>AO11=AM11</formula>
    </cfRule>
    <cfRule type="expression" dxfId="111" priority="8">
      <formula>AO11=AL11</formula>
    </cfRule>
    <cfRule type="expression" dxfId="110" priority="9">
      <formula>AO11=AK11</formula>
    </cfRule>
  </conditionalFormatting>
  <conditionalFormatting sqref="AP11:AP56">
    <cfRule type="expression" dxfId="109" priority="2">
      <formula>AP11=AO11</formula>
    </cfRule>
    <cfRule type="expression" dxfId="108" priority="3">
      <formula>AP11=AN11</formula>
    </cfRule>
    <cfRule type="expression" dxfId="107" priority="4">
      <formula>AP11=AM11</formula>
    </cfRule>
    <cfRule type="expression" dxfId="106" priority="5">
      <formula>AP11=AL11</formula>
    </cfRule>
  </conditionalFormatting>
  <dataValidations count="1">
    <dataValidation type="list" allowBlank="1" showInputMessage="1" showErrorMessage="1" sqref="J5">
      <formula1>"y,n"</formula1>
    </dataValidation>
  </dataValidation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59"/>
  <sheetViews>
    <sheetView workbookViewId="0">
      <selection activeCell="A2" sqref="A2"/>
    </sheetView>
  </sheetViews>
  <sheetFormatPr baseColWidth="10" defaultRowHeight="12" x14ac:dyDescent="0"/>
  <cols>
    <col min="1" max="2" width="10.7109375" style="16"/>
    <col min="3" max="42" width="3.5703125" style="16" customWidth="1"/>
    <col min="43" max="44" width="10.7109375" style="16"/>
    <col min="45" max="85" width="3.140625" style="16" hidden="1" customWidth="1"/>
    <col min="86" max="122" width="3.140625" style="16" customWidth="1"/>
    <col min="123" max="16384" width="10.7109375" style="16"/>
  </cols>
  <sheetData>
    <row r="1" spans="1:85" ht="18">
      <c r="A1" s="147" t="s">
        <v>933</v>
      </c>
      <c r="E1" s="378" t="str">
        <f ca="1">IF(H2&lt;&gt;"e","The draw entered is not an early-late draw!","")</f>
        <v/>
      </c>
    </row>
    <row r="2" spans="1:85" ht="15">
      <c r="A2" s="312" t="str">
        <f>Intro!D46</f>
        <v/>
      </c>
      <c r="H2" s="5" t="str">
        <f ca="1">SheetFreq!H2</f>
        <v>e</v>
      </c>
    </row>
    <row r="4" spans="1:85" ht="15">
      <c r="C4" s="327" t="str">
        <f ca="1">DrawFinder!N4</f>
        <v>e</v>
      </c>
      <c r="G4" s="10" t="s">
        <v>882</v>
      </c>
      <c r="H4" s="5">
        <f ca="1">DrawFinder!P11</f>
        <v>24</v>
      </c>
      <c r="K4" s="323"/>
      <c r="L4" s="4" t="s">
        <v>995</v>
      </c>
    </row>
    <row r="5" spans="1:85" ht="15">
      <c r="C5" s="322">
        <f ca="1">CS!AR8</f>
        <v>14</v>
      </c>
      <c r="G5" s="10" t="s">
        <v>883</v>
      </c>
      <c r="H5" s="5">
        <f>DrawFinder!F4</f>
        <v>6</v>
      </c>
      <c r="K5" s="324"/>
      <c r="L5" s="4" t="s">
        <v>996</v>
      </c>
      <c r="AT5" s="16" t="s">
        <v>934</v>
      </c>
      <c r="AW5" s="16" t="s">
        <v>935</v>
      </c>
      <c r="AY5" s="16" t="s">
        <v>936</v>
      </c>
      <c r="BA5" s="16" t="s">
        <v>937</v>
      </c>
      <c r="BC5" s="16" t="s">
        <v>938</v>
      </c>
      <c r="BE5" s="16" t="s">
        <v>939</v>
      </c>
      <c r="BG5" s="16" t="s">
        <v>940</v>
      </c>
      <c r="BI5" s="16" t="s">
        <v>941</v>
      </c>
      <c r="BK5" s="16" t="s">
        <v>942</v>
      </c>
      <c r="BM5" s="16" t="s">
        <v>943</v>
      </c>
      <c r="BO5" s="16" t="s">
        <v>944</v>
      </c>
      <c r="BQ5" s="16" t="s">
        <v>945</v>
      </c>
      <c r="BS5" s="16" t="s">
        <v>946</v>
      </c>
      <c r="BU5" s="16" t="s">
        <v>947</v>
      </c>
      <c r="BW5" s="16" t="s">
        <v>948</v>
      </c>
      <c r="BY5" s="16" t="s">
        <v>949</v>
      </c>
      <c r="CA5" s="16" t="s">
        <v>950</v>
      </c>
      <c r="CC5" s="16" t="s">
        <v>951</v>
      </c>
      <c r="CE5" s="16" t="s">
        <v>952</v>
      </c>
      <c r="CG5" s="16" t="s">
        <v>953</v>
      </c>
    </row>
    <row r="6" spans="1:85" ht="15">
      <c r="G6" s="10" t="s">
        <v>885</v>
      </c>
      <c r="H6" s="5">
        <f ca="1">DrawFinder!Q11</f>
        <v>3</v>
      </c>
      <c r="K6" s="325"/>
      <c r="L6" s="4" t="s">
        <v>997</v>
      </c>
    </row>
    <row r="7" spans="1:85" ht="15">
      <c r="G7" s="10" t="s">
        <v>884</v>
      </c>
      <c r="H7" s="5">
        <f ca="1">DrawFinder!S11</f>
        <v>7</v>
      </c>
      <c r="AB7" s="322">
        <f ca="1">FLOOR(AVERAGEIF(AB11:AB56,"&gt;0"),1)</f>
        <v>3</v>
      </c>
      <c r="AT7" s="17" t="str">
        <f ca="1">IF(COUNTIF(AT11:AT56,"-")=46,"e","l")</f>
        <v>e</v>
      </c>
      <c r="AU7" s="17" t="str">
        <f t="shared" ref="AU7:CG7" ca="1" si="0">IF(COUNTIF(AU11:AU56,"-")=46,"e","l")</f>
        <v>l</v>
      </c>
      <c r="AV7" s="17" t="str">
        <f t="shared" ca="1" si="0"/>
        <v>e</v>
      </c>
      <c r="AW7" s="17" t="str">
        <f t="shared" ca="1" si="0"/>
        <v>l</v>
      </c>
      <c r="AX7" s="17" t="str">
        <f t="shared" ca="1" si="0"/>
        <v>e</v>
      </c>
      <c r="AY7" s="17" t="str">
        <f t="shared" ca="1" si="0"/>
        <v>l</v>
      </c>
      <c r="AZ7" s="17" t="str">
        <f t="shared" ca="1" si="0"/>
        <v>e</v>
      </c>
      <c r="BA7" s="17" t="str">
        <f t="shared" ca="1" si="0"/>
        <v>l</v>
      </c>
      <c r="BB7" s="17" t="str">
        <f t="shared" ca="1" si="0"/>
        <v>e</v>
      </c>
      <c r="BC7" s="17" t="str">
        <f t="shared" ca="1" si="0"/>
        <v>l</v>
      </c>
      <c r="BD7" s="17" t="str">
        <f t="shared" ca="1" si="0"/>
        <v>e</v>
      </c>
      <c r="BE7" s="17" t="str">
        <f t="shared" ca="1" si="0"/>
        <v>l</v>
      </c>
      <c r="BF7" s="17" t="str">
        <f t="shared" ca="1" si="0"/>
        <v>e</v>
      </c>
      <c r="BG7" s="17" t="str">
        <f t="shared" ca="1" si="0"/>
        <v>l</v>
      </c>
      <c r="BH7" s="17" t="str">
        <f t="shared" ca="1" si="0"/>
        <v>e</v>
      </c>
      <c r="BI7" s="17" t="str">
        <f t="shared" ca="1" si="0"/>
        <v>l</v>
      </c>
      <c r="BJ7" s="17" t="str">
        <f t="shared" ca="1" si="0"/>
        <v>e</v>
      </c>
      <c r="BK7" s="17" t="str">
        <f t="shared" ca="1" si="0"/>
        <v>l</v>
      </c>
      <c r="BL7" s="17" t="str">
        <f t="shared" ca="1" si="0"/>
        <v>e</v>
      </c>
      <c r="BM7" s="17" t="str">
        <f t="shared" ca="1" si="0"/>
        <v>l</v>
      </c>
      <c r="BN7" s="17" t="str">
        <f t="shared" ca="1" si="0"/>
        <v>e</v>
      </c>
      <c r="BO7" s="17" t="str">
        <f t="shared" ca="1" si="0"/>
        <v>l</v>
      </c>
      <c r="BP7" s="17" t="str">
        <f t="shared" ca="1" si="0"/>
        <v>e</v>
      </c>
      <c r="BQ7" s="17" t="str">
        <f t="shared" ca="1" si="0"/>
        <v>l</v>
      </c>
      <c r="BR7" s="17" t="str">
        <f t="shared" ca="1" si="0"/>
        <v>e</v>
      </c>
      <c r="BS7" s="17" t="str">
        <f t="shared" ca="1" si="0"/>
        <v>l</v>
      </c>
      <c r="BT7" s="17" t="str">
        <f t="shared" ca="1" si="0"/>
        <v>e</v>
      </c>
      <c r="BU7" s="17" t="str">
        <f t="shared" ca="1" si="0"/>
        <v>l</v>
      </c>
      <c r="BV7" s="17" t="str">
        <f t="shared" ca="1" si="0"/>
        <v>e</v>
      </c>
      <c r="BW7" s="17" t="str">
        <f t="shared" ca="1" si="0"/>
        <v>l</v>
      </c>
      <c r="BX7" s="17" t="str">
        <f t="shared" ca="1" si="0"/>
        <v>e</v>
      </c>
      <c r="BY7" s="17" t="str">
        <f t="shared" ca="1" si="0"/>
        <v>l</v>
      </c>
      <c r="BZ7" s="17" t="str">
        <f t="shared" ca="1" si="0"/>
        <v>e</v>
      </c>
      <c r="CA7" s="17" t="str">
        <f t="shared" ca="1" si="0"/>
        <v>l</v>
      </c>
      <c r="CB7" s="17" t="str">
        <f t="shared" ca="1" si="0"/>
        <v>e</v>
      </c>
      <c r="CC7" s="17" t="str">
        <f t="shared" ca="1" si="0"/>
        <v>l</v>
      </c>
      <c r="CD7" s="17" t="str">
        <f t="shared" ca="1" si="0"/>
        <v>e</v>
      </c>
      <c r="CE7" s="17" t="str">
        <f t="shared" ca="1" si="0"/>
        <v>l</v>
      </c>
      <c r="CF7" s="17" t="str">
        <f t="shared" ca="1" si="0"/>
        <v>e</v>
      </c>
      <c r="CG7" s="17" t="str">
        <f t="shared" ca="1" si="0"/>
        <v>l</v>
      </c>
    </row>
    <row r="8" spans="1:85">
      <c r="C8" s="154"/>
    </row>
    <row r="9" spans="1:85" ht="15">
      <c r="B9" s="10" t="s">
        <v>954</v>
      </c>
      <c r="C9" s="5">
        <f ca="1">IF(HLOOKUP("l",INDIRECT(C58),3,FALSE)&gt;$C$5,"",HLOOKUP("l",INDIRECT(C58),3,FALSE))</f>
        <v>2</v>
      </c>
      <c r="D9" s="5">
        <f t="shared" ref="D9:V9" ca="1" si="1">IF(HLOOKUP("l",INDIRECT(D58),3,FALSE)&gt;$C$5,"",HLOOKUP("l",INDIRECT(D58),3,FALSE))</f>
        <v>4</v>
      </c>
      <c r="E9" s="5">
        <f t="shared" ca="1" si="1"/>
        <v>6</v>
      </c>
      <c r="F9" s="5">
        <f t="shared" ca="1" si="1"/>
        <v>8</v>
      </c>
      <c r="G9" s="5">
        <f t="shared" ca="1" si="1"/>
        <v>10</v>
      </c>
      <c r="H9" s="5">
        <f t="shared" ca="1" si="1"/>
        <v>12</v>
      </c>
      <c r="I9" s="5">
        <f t="shared" ca="1" si="1"/>
        <v>14</v>
      </c>
      <c r="J9" s="5" t="str">
        <f t="shared" ca="1" si="1"/>
        <v/>
      </c>
      <c r="K9" s="5" t="str">
        <f t="shared" ca="1" si="1"/>
        <v/>
      </c>
      <c r="L9" s="5" t="str">
        <f t="shared" ca="1" si="1"/>
        <v/>
      </c>
      <c r="M9" s="5" t="str">
        <f t="shared" ca="1" si="1"/>
        <v/>
      </c>
      <c r="N9" s="5" t="str">
        <f t="shared" ca="1" si="1"/>
        <v/>
      </c>
      <c r="O9" s="5" t="str">
        <f t="shared" ca="1" si="1"/>
        <v/>
      </c>
      <c r="P9" s="5" t="str">
        <f t="shared" ca="1" si="1"/>
        <v/>
      </c>
      <c r="Q9" s="5" t="str">
        <f t="shared" ca="1" si="1"/>
        <v/>
      </c>
      <c r="R9" s="5" t="str">
        <f t="shared" ca="1" si="1"/>
        <v/>
      </c>
      <c r="S9" s="5" t="str">
        <f t="shared" ca="1" si="1"/>
        <v/>
      </c>
      <c r="T9" s="5" t="str">
        <f t="shared" ca="1" si="1"/>
        <v/>
      </c>
      <c r="U9" s="5" t="str">
        <f t="shared" ca="1" si="1"/>
        <v/>
      </c>
      <c r="V9" s="5" t="str">
        <f t="shared" ca="1" si="1"/>
        <v/>
      </c>
      <c r="W9"/>
      <c r="X9"/>
      <c r="Y9"/>
      <c r="Z9" s="326" t="s">
        <v>121</v>
      </c>
      <c r="AB9" s="320" t="s">
        <v>120</v>
      </c>
      <c r="AC9"/>
      <c r="AD9"/>
      <c r="AE9"/>
      <c r="AF9"/>
      <c r="AG9"/>
      <c r="AH9"/>
      <c r="AI9"/>
      <c r="AJ9"/>
      <c r="AK9"/>
      <c r="AL9"/>
      <c r="AM9"/>
      <c r="AN9"/>
      <c r="AO9"/>
      <c r="AP9"/>
      <c r="AT9" s="16">
        <v>1</v>
      </c>
      <c r="AU9" s="16">
        <v>2</v>
      </c>
      <c r="AV9" s="16">
        <v>3</v>
      </c>
      <c r="AW9" s="16">
        <v>4</v>
      </c>
      <c r="AX9" s="16">
        <v>5</v>
      </c>
      <c r="AY9" s="16">
        <v>6</v>
      </c>
      <c r="AZ9" s="16">
        <v>7</v>
      </c>
      <c r="BA9" s="16">
        <v>8</v>
      </c>
      <c r="BB9" s="16">
        <v>9</v>
      </c>
      <c r="BC9" s="16">
        <v>10</v>
      </c>
      <c r="BD9" s="16">
        <v>11</v>
      </c>
      <c r="BE9" s="16">
        <v>12</v>
      </c>
      <c r="BF9" s="16">
        <v>13</v>
      </c>
      <c r="BG9" s="16">
        <v>14</v>
      </c>
      <c r="BH9" s="16">
        <v>15</v>
      </c>
      <c r="BI9" s="16">
        <v>16</v>
      </c>
      <c r="BJ9" s="16">
        <v>17</v>
      </c>
      <c r="BK9" s="16">
        <v>18</v>
      </c>
      <c r="BL9" s="16">
        <v>19</v>
      </c>
      <c r="BM9" s="16">
        <v>20</v>
      </c>
      <c r="BN9" s="16">
        <v>21</v>
      </c>
      <c r="BO9" s="16">
        <v>22</v>
      </c>
      <c r="BP9" s="16">
        <v>23</v>
      </c>
      <c r="BQ9" s="16">
        <v>24</v>
      </c>
      <c r="BR9" s="16">
        <v>25</v>
      </c>
      <c r="BS9" s="16">
        <v>26</v>
      </c>
      <c r="BT9" s="16">
        <v>27</v>
      </c>
      <c r="BU9" s="16">
        <v>28</v>
      </c>
      <c r="BV9" s="16">
        <v>29</v>
      </c>
      <c r="BW9" s="16">
        <v>30</v>
      </c>
      <c r="BX9" s="16">
        <v>31</v>
      </c>
      <c r="BY9" s="16">
        <v>32</v>
      </c>
      <c r="BZ9" s="16">
        <v>33</v>
      </c>
      <c r="CA9" s="16">
        <v>34</v>
      </c>
      <c r="CB9" s="16">
        <v>35</v>
      </c>
      <c r="CC9" s="16">
        <v>36</v>
      </c>
      <c r="CD9" s="16">
        <v>37</v>
      </c>
      <c r="CE9" s="16">
        <v>38</v>
      </c>
      <c r="CF9" s="16">
        <v>39</v>
      </c>
      <c r="CG9" s="16">
        <v>40</v>
      </c>
    </row>
    <row r="11" spans="1:85" ht="15">
      <c r="B11" s="4" t="str">
        <f ca="1">CS!AR11</f>
        <v>Tm01</v>
      </c>
      <c r="C11" s="427" t="str">
        <f ca="1">IF(C$9="","",IF(ISERROR(HLOOKUP(C$9,INDIRECT(C$59),$AS11,FALSE)),"-",HLOOKUP(C$9,INDIRECT(C$59),$AS11,FALSE)))</f>
        <v>-</v>
      </c>
      <c r="D11" s="428">
        <f ca="1">IF(D$9="","",IF(ISERROR(HLOOKUP(D$9,INDIRECT(D$59),$AS11,FALSE)),"-",HLOOKUP(D$9,INDIRECT(D$59),$AS11,FALSE)))</f>
        <v>4</v>
      </c>
      <c r="E11" s="428" t="str">
        <f ca="1">IF(E$9="","",IF(ISERROR(HLOOKUP(E$9,INDIRECT(E$59),$AS11,FALSE)),"-",HLOOKUP(E$9,INDIRECT(E$59),$AS11,FALSE)))</f>
        <v>-</v>
      </c>
      <c r="F11" s="428">
        <f t="shared" ref="F11:W25" ca="1" si="2">IF(F$9="","",IF(ISERROR(HLOOKUP(F$9,INDIRECT(F$59),$AS11,FALSE)),"-",HLOOKUP(F$9,INDIRECT(F$59),$AS11,FALSE)))</f>
        <v>-2</v>
      </c>
      <c r="G11" s="428" t="str">
        <f t="shared" ca="1" si="2"/>
        <v>-</v>
      </c>
      <c r="H11" s="428">
        <f t="shared" ca="1" si="2"/>
        <v>5</v>
      </c>
      <c r="I11" s="428" t="str">
        <f t="shared" ca="1" si="2"/>
        <v>-</v>
      </c>
      <c r="J11" s="428" t="str">
        <f t="shared" ca="1" si="2"/>
        <v/>
      </c>
      <c r="K11" s="428" t="str">
        <f t="shared" ca="1" si="2"/>
        <v/>
      </c>
      <c r="L11" s="428" t="str">
        <f t="shared" ca="1" si="2"/>
        <v/>
      </c>
      <c r="M11" s="428" t="str">
        <f t="shared" ca="1" si="2"/>
        <v/>
      </c>
      <c r="N11" s="428" t="str">
        <f t="shared" ca="1" si="2"/>
        <v/>
      </c>
      <c r="O11" s="428" t="str">
        <f t="shared" ca="1" si="2"/>
        <v/>
      </c>
      <c r="P11" s="428" t="str">
        <f t="shared" ca="1" si="2"/>
        <v/>
      </c>
      <c r="Q11" s="428" t="str">
        <f t="shared" ca="1" si="2"/>
        <v/>
      </c>
      <c r="R11" s="428" t="str">
        <f t="shared" ca="1" si="2"/>
        <v/>
      </c>
      <c r="S11" s="428" t="str">
        <f t="shared" ca="1" si="2"/>
        <v/>
      </c>
      <c r="T11" s="428" t="str">
        <f t="shared" ca="1" si="2"/>
        <v/>
      </c>
      <c r="U11" s="428" t="str">
        <f t="shared" ca="1" si="2"/>
        <v/>
      </c>
      <c r="V11" s="428" t="str">
        <f t="shared" ca="1" si="2"/>
        <v/>
      </c>
      <c r="W11" s="429" t="str">
        <f t="shared" ca="1" si="2"/>
        <v/>
      </c>
      <c r="Z11" s="5">
        <f ca="1">IF(B11="","",$H$7-AB11)</f>
        <v>4</v>
      </c>
      <c r="AB11" s="5">
        <f ca="1">IF(B11="",0,COUNTIF(C11:V11,"&gt;0")+COUNTIF(C11:V11,"&lt;0"))</f>
        <v>3</v>
      </c>
      <c r="AS11" s="158">
        <v>3</v>
      </c>
      <c r="AT11" s="321" t="str">
        <f ca="1">IF(CS!C$5="l",CS!C11,"-")</f>
        <v>-</v>
      </c>
      <c r="AU11" s="321" t="str">
        <f ca="1">IF(CS!D$5="l",CS!D11,"-")</f>
        <v>-</v>
      </c>
      <c r="AV11" s="321" t="str">
        <f ca="1">IF(CS!E$5="l",CS!E11,"-")</f>
        <v>-</v>
      </c>
      <c r="AW11" s="321">
        <f ca="1">IF(CS!F$5="l",CS!F11,"-")</f>
        <v>4</v>
      </c>
      <c r="AX11" s="321" t="str">
        <f ca="1">IF(CS!G$5="l",CS!G11,"-")</f>
        <v>-</v>
      </c>
      <c r="AY11" s="321" t="str">
        <f ca="1">IF(CS!H$5="l",CS!H11,"-")</f>
        <v>-</v>
      </c>
      <c r="AZ11" s="321" t="str">
        <f ca="1">IF(CS!I$5="l",CS!I11,"-")</f>
        <v>-</v>
      </c>
      <c r="BA11" s="321">
        <f ca="1">IF(CS!J$5="l",CS!J11,"-")</f>
        <v>-2</v>
      </c>
      <c r="BB11" s="321" t="str">
        <f ca="1">IF(CS!K$5="l",CS!K11,"-")</f>
        <v>-</v>
      </c>
      <c r="BC11" s="321" t="str">
        <f ca="1">IF(CS!L$5="l",CS!L11,"-")</f>
        <v>-</v>
      </c>
      <c r="BD11" s="321" t="str">
        <f ca="1">IF(CS!M$5="l",CS!M11,"-")</f>
        <v>-</v>
      </c>
      <c r="BE11" s="321">
        <f ca="1">IF(CS!N$5="l",CS!N11,"-")</f>
        <v>5</v>
      </c>
      <c r="BF11" s="321" t="str">
        <f ca="1">IF(CS!O$5="l",CS!O11,"-")</f>
        <v>-</v>
      </c>
      <c r="BG11" s="321" t="str">
        <f ca="1">IF(CS!P$5="l",CS!P11,"-")</f>
        <v>-</v>
      </c>
      <c r="BH11" s="321" t="str">
        <f ca="1">IF(CS!Q$5="l",CS!Q11,"-")</f>
        <v>-</v>
      </c>
      <c r="BI11" s="321" t="str">
        <f ca="1">IF(CS!R$5="l",CS!R11,"-")</f>
        <v/>
      </c>
      <c r="BJ11" s="321" t="str">
        <f ca="1">IF(CS!S$5="l",CS!S11,"-")</f>
        <v>-</v>
      </c>
      <c r="BK11" s="321" t="str">
        <f ca="1">IF(CS!T$5="l",CS!T11,"-")</f>
        <v/>
      </c>
      <c r="BL11" s="321" t="str">
        <f ca="1">IF(CS!U$5="l",CS!U11,"-")</f>
        <v>-</v>
      </c>
      <c r="BM11" s="321" t="str">
        <f ca="1">IF(CS!V$5="l",CS!V11,"-")</f>
        <v/>
      </c>
      <c r="BN11" s="321" t="str">
        <f ca="1">IF(CS!W$5="l",CS!W11,"-")</f>
        <v>-</v>
      </c>
      <c r="BO11" s="321" t="str">
        <f ca="1">IF(CS!X$5="l",CS!X11,"-")</f>
        <v/>
      </c>
      <c r="BP11" s="321" t="str">
        <f ca="1">IF(CS!Y$5="l",CS!Y11,"-")</f>
        <v>-</v>
      </c>
      <c r="BQ11" s="321" t="str">
        <f ca="1">IF(CS!Z$5="l",CS!Z11,"-")</f>
        <v/>
      </c>
      <c r="BR11" s="321" t="str">
        <f ca="1">IF(CS!AA$5="l",CS!AA11,"-")</f>
        <v>-</v>
      </c>
      <c r="BS11" s="321" t="str">
        <f ca="1">IF(CS!AB$5="l",CS!AB11,"-")</f>
        <v/>
      </c>
      <c r="BT11" s="321" t="str">
        <f ca="1">IF(CS!AC$5="l",CS!AC11,"-")</f>
        <v>-</v>
      </c>
      <c r="BU11" s="321" t="str">
        <f ca="1">IF(CS!AD$5="l",CS!AD11,"-")</f>
        <v/>
      </c>
      <c r="BV11" s="321" t="str">
        <f ca="1">IF(CS!AE$5="l",CS!AE11,"-")</f>
        <v>-</v>
      </c>
      <c r="BW11" s="321" t="str">
        <f ca="1">IF(CS!AF$5="l",CS!AF11,"-")</f>
        <v/>
      </c>
      <c r="BX11" s="321" t="str">
        <f ca="1">IF(CS!AG$5="l",CS!AG11,"-")</f>
        <v>-</v>
      </c>
      <c r="BY11" s="321" t="str">
        <f ca="1">IF(CS!AH$5="l",CS!AH11,"-")</f>
        <v/>
      </c>
      <c r="BZ11" s="321" t="str">
        <f ca="1">IF(CS!AI$5="l",CS!AI11,"-")</f>
        <v>-</v>
      </c>
      <c r="CA11" s="321" t="str">
        <f ca="1">IF(CS!AJ$5="l",CS!AJ11,"-")</f>
        <v/>
      </c>
      <c r="CB11" s="321" t="str">
        <f ca="1">IF(CS!AK$5="l",CS!AK11,"-")</f>
        <v>-</v>
      </c>
      <c r="CC11" s="321" t="str">
        <f ca="1">IF(CS!AL$5="l",CS!AL11,"-")</f>
        <v/>
      </c>
      <c r="CD11" s="321" t="str">
        <f ca="1">IF(CS!AM$5="l",CS!AM11,"-")</f>
        <v>-</v>
      </c>
      <c r="CE11" s="321" t="str">
        <f ca="1">IF(CS!AN$5="l",CS!AN11,"-")</f>
        <v/>
      </c>
      <c r="CF11" s="321" t="str">
        <f ca="1">IF(CS!AO$5="l",CS!AO11,"-")</f>
        <v>-</v>
      </c>
      <c r="CG11" s="321" t="str">
        <f ca="1">IF(CS!AP$5="l",CS!AP11,"-")</f>
        <v/>
      </c>
    </row>
    <row r="12" spans="1:85" ht="15">
      <c r="B12" s="4" t="str">
        <f ca="1">CS!AR12</f>
        <v>Tm02</v>
      </c>
      <c r="C12" s="430" t="str">
        <f t="shared" ref="C12:R56" ca="1" si="3">IF(C$9="","",IF(ISERROR(HLOOKUP(C$9,INDIRECT(C$59),$AS12,FALSE)),"-",HLOOKUP(C$9,INDIRECT(C$59),$AS12,FALSE)))</f>
        <v>-</v>
      </c>
      <c r="D12" s="28">
        <f t="shared" ca="1" si="3"/>
        <v>5</v>
      </c>
      <c r="E12" s="28" t="str">
        <f t="shared" ca="1" si="3"/>
        <v>-</v>
      </c>
      <c r="F12" s="28">
        <f t="shared" ca="1" si="3"/>
        <v>4</v>
      </c>
      <c r="G12" s="28" t="str">
        <f t="shared" ca="1" si="3"/>
        <v>-</v>
      </c>
      <c r="H12" s="28">
        <f t="shared" ca="1" si="3"/>
        <v>-2</v>
      </c>
      <c r="I12" s="28" t="str">
        <f t="shared" ca="1" si="3"/>
        <v>-</v>
      </c>
      <c r="J12" s="28" t="str">
        <f t="shared" ca="1" si="3"/>
        <v/>
      </c>
      <c r="K12" s="28" t="str">
        <f t="shared" ca="1" si="3"/>
        <v/>
      </c>
      <c r="L12" s="28" t="str">
        <f t="shared" ca="1" si="3"/>
        <v/>
      </c>
      <c r="M12" s="28" t="str">
        <f t="shared" ca="1" si="3"/>
        <v/>
      </c>
      <c r="N12" s="28" t="str">
        <f t="shared" ca="1" si="3"/>
        <v/>
      </c>
      <c r="O12" s="28" t="str">
        <f t="shared" ca="1" si="3"/>
        <v/>
      </c>
      <c r="P12" s="28" t="str">
        <f t="shared" ca="1" si="3"/>
        <v/>
      </c>
      <c r="Q12" s="28" t="str">
        <f t="shared" ca="1" si="3"/>
        <v/>
      </c>
      <c r="R12" s="28" t="str">
        <f t="shared" ca="1" si="3"/>
        <v/>
      </c>
      <c r="S12" s="28" t="str">
        <f t="shared" ca="1" si="2"/>
        <v/>
      </c>
      <c r="T12" s="28" t="str">
        <f t="shared" ca="1" si="2"/>
        <v/>
      </c>
      <c r="U12" s="28" t="str">
        <f t="shared" ca="1" si="2"/>
        <v/>
      </c>
      <c r="V12" s="28" t="str">
        <f t="shared" ca="1" si="2"/>
        <v/>
      </c>
      <c r="W12" s="346" t="str">
        <f t="shared" ca="1" si="2"/>
        <v/>
      </c>
      <c r="Z12" s="5">
        <f t="shared" ref="Z12:Z56" ca="1" si="4">IF(B12="","",$H$7-AB12)</f>
        <v>4</v>
      </c>
      <c r="AB12" s="5">
        <f t="shared" ref="AB12:AB56" ca="1" si="5">IF(B12="",0,COUNTIF(C12:V12,"&gt;0")+COUNTIF(C12:V12,"&lt;0"))</f>
        <v>3</v>
      </c>
      <c r="AS12" s="158">
        <f>AS11+1</f>
        <v>4</v>
      </c>
      <c r="AT12" s="321" t="str">
        <f ca="1">IF(CS!C$5="l",CS!C12,"-")</f>
        <v>-</v>
      </c>
      <c r="AU12" s="321" t="str">
        <f ca="1">IF(CS!D$5="l",CS!D12,"-")</f>
        <v>-</v>
      </c>
      <c r="AV12" s="321" t="str">
        <f ca="1">IF(CS!E$5="l",CS!E12,"-")</f>
        <v>-</v>
      </c>
      <c r="AW12" s="321">
        <f ca="1">IF(CS!F$5="l",CS!F12,"-")</f>
        <v>5</v>
      </c>
      <c r="AX12" s="321" t="str">
        <f ca="1">IF(CS!G$5="l",CS!G12,"-")</f>
        <v>-</v>
      </c>
      <c r="AY12" s="321" t="str">
        <f ca="1">IF(CS!H$5="l",CS!H12,"-")</f>
        <v>-</v>
      </c>
      <c r="AZ12" s="321" t="str">
        <f ca="1">IF(CS!I$5="l",CS!I12,"-")</f>
        <v>-</v>
      </c>
      <c r="BA12" s="321">
        <f ca="1">IF(CS!J$5="l",CS!J12,"-")</f>
        <v>4</v>
      </c>
      <c r="BB12" s="321" t="str">
        <f ca="1">IF(CS!K$5="l",CS!K12,"-")</f>
        <v>-</v>
      </c>
      <c r="BC12" s="321" t="str">
        <f ca="1">IF(CS!L$5="l",CS!L12,"-")</f>
        <v>-</v>
      </c>
      <c r="BD12" s="321" t="str">
        <f ca="1">IF(CS!M$5="l",CS!M12,"-")</f>
        <v>-</v>
      </c>
      <c r="BE12" s="321">
        <f ca="1">IF(CS!N$5="l",CS!N12,"-")</f>
        <v>-2</v>
      </c>
      <c r="BF12" s="321" t="str">
        <f ca="1">IF(CS!O$5="l",CS!O12,"-")</f>
        <v>-</v>
      </c>
      <c r="BG12" s="321" t="str">
        <f ca="1">IF(CS!P$5="l",CS!P12,"-")</f>
        <v>-</v>
      </c>
      <c r="BH12" s="321" t="str">
        <f ca="1">IF(CS!Q$5="l",CS!Q12,"-")</f>
        <v>-</v>
      </c>
      <c r="BI12" s="321" t="str">
        <f ca="1">IF(CS!R$5="l",CS!R12,"-")</f>
        <v/>
      </c>
      <c r="BJ12" s="321" t="str">
        <f ca="1">IF(CS!S$5="l",CS!S12,"-")</f>
        <v>-</v>
      </c>
      <c r="BK12" s="321" t="str">
        <f ca="1">IF(CS!T$5="l",CS!T12,"-")</f>
        <v/>
      </c>
      <c r="BL12" s="321" t="str">
        <f ca="1">IF(CS!U$5="l",CS!U12,"-")</f>
        <v>-</v>
      </c>
      <c r="BM12" s="321" t="str">
        <f ca="1">IF(CS!V$5="l",CS!V12,"-")</f>
        <v/>
      </c>
      <c r="BN12" s="321" t="str">
        <f ca="1">IF(CS!W$5="l",CS!W12,"-")</f>
        <v>-</v>
      </c>
      <c r="BO12" s="321" t="str">
        <f ca="1">IF(CS!X$5="l",CS!X12,"-")</f>
        <v/>
      </c>
      <c r="BP12" s="321" t="str">
        <f ca="1">IF(CS!Y$5="l",CS!Y12,"-")</f>
        <v>-</v>
      </c>
      <c r="BQ12" s="321" t="str">
        <f ca="1">IF(CS!Z$5="l",CS!Z12,"-")</f>
        <v/>
      </c>
      <c r="BR12" s="321" t="str">
        <f ca="1">IF(CS!AA$5="l",CS!AA12,"-")</f>
        <v>-</v>
      </c>
      <c r="BS12" s="321" t="str">
        <f ca="1">IF(CS!AB$5="l",CS!AB12,"-")</f>
        <v/>
      </c>
      <c r="BT12" s="321" t="str">
        <f ca="1">IF(CS!AC$5="l",CS!AC12,"-")</f>
        <v>-</v>
      </c>
      <c r="BU12" s="321" t="str">
        <f ca="1">IF(CS!AD$5="l",CS!AD12,"-")</f>
        <v/>
      </c>
      <c r="BV12" s="321" t="str">
        <f ca="1">IF(CS!AE$5="l",CS!AE12,"-")</f>
        <v>-</v>
      </c>
      <c r="BW12" s="321" t="str">
        <f ca="1">IF(CS!AF$5="l",CS!AF12,"-")</f>
        <v/>
      </c>
      <c r="BX12" s="321" t="str">
        <f ca="1">IF(CS!AG$5="l",CS!AG12,"-")</f>
        <v>-</v>
      </c>
      <c r="BY12" s="321" t="str">
        <f ca="1">IF(CS!AH$5="l",CS!AH12,"-")</f>
        <v/>
      </c>
      <c r="BZ12" s="321" t="str">
        <f ca="1">IF(CS!AI$5="l",CS!AI12,"-")</f>
        <v>-</v>
      </c>
      <c r="CA12" s="321" t="str">
        <f ca="1">IF(CS!AJ$5="l",CS!AJ12,"-")</f>
        <v/>
      </c>
      <c r="CB12" s="321" t="str">
        <f ca="1">IF(CS!AK$5="l",CS!AK12,"-")</f>
        <v>-</v>
      </c>
      <c r="CC12" s="321" t="str">
        <f ca="1">IF(CS!AL$5="l",CS!AL12,"-")</f>
        <v/>
      </c>
      <c r="CD12" s="321" t="str">
        <f ca="1">IF(CS!AM$5="l",CS!AM12,"-")</f>
        <v>-</v>
      </c>
      <c r="CE12" s="321" t="str">
        <f ca="1">IF(CS!AN$5="l",CS!AN12,"-")</f>
        <v/>
      </c>
      <c r="CF12" s="321" t="str">
        <f ca="1">IF(CS!AO$5="l",CS!AO12,"-")</f>
        <v>-</v>
      </c>
      <c r="CG12" s="321" t="str">
        <f ca="1">IF(CS!AP$5="l",CS!AP12,"-")</f>
        <v/>
      </c>
    </row>
    <row r="13" spans="1:85" ht="15">
      <c r="B13" s="4" t="str">
        <f ca="1">CS!AR13</f>
        <v>Tm03</v>
      </c>
      <c r="C13" s="430" t="str">
        <f t="shared" ca="1" si="3"/>
        <v>-</v>
      </c>
      <c r="D13" s="28">
        <f t="shared" ca="1" si="3"/>
        <v>-1</v>
      </c>
      <c r="E13" s="28" t="str">
        <f t="shared" ca="1" si="3"/>
        <v>-</v>
      </c>
      <c r="F13" s="28">
        <f t="shared" ca="1" si="2"/>
        <v>3</v>
      </c>
      <c r="G13" s="28" t="str">
        <f t="shared" ca="1" si="2"/>
        <v>-</v>
      </c>
      <c r="H13" s="28">
        <f t="shared" ca="1" si="2"/>
        <v>-5</v>
      </c>
      <c r="I13" s="28" t="str">
        <f t="shared" ca="1" si="2"/>
        <v>-</v>
      </c>
      <c r="J13" s="28" t="str">
        <f t="shared" ca="1" si="2"/>
        <v/>
      </c>
      <c r="K13" s="28" t="str">
        <f t="shared" ca="1" si="2"/>
        <v/>
      </c>
      <c r="L13" s="28" t="str">
        <f t="shared" ca="1" si="2"/>
        <v/>
      </c>
      <c r="M13" s="28" t="str">
        <f t="shared" ca="1" si="2"/>
        <v/>
      </c>
      <c r="N13" s="28" t="str">
        <f t="shared" ca="1" si="2"/>
        <v/>
      </c>
      <c r="O13" s="28" t="str">
        <f t="shared" ca="1" si="2"/>
        <v/>
      </c>
      <c r="P13" s="28" t="str">
        <f t="shared" ca="1" si="2"/>
        <v/>
      </c>
      <c r="Q13" s="28" t="str">
        <f t="shared" ca="1" si="2"/>
        <v/>
      </c>
      <c r="R13" s="28" t="str">
        <f t="shared" ca="1" si="2"/>
        <v/>
      </c>
      <c r="S13" s="28" t="str">
        <f t="shared" ca="1" si="2"/>
        <v/>
      </c>
      <c r="T13" s="28" t="str">
        <f t="shared" ca="1" si="2"/>
        <v/>
      </c>
      <c r="U13" s="28" t="str">
        <f t="shared" ca="1" si="2"/>
        <v/>
      </c>
      <c r="V13" s="28" t="str">
        <f t="shared" ca="1" si="2"/>
        <v/>
      </c>
      <c r="W13" s="346" t="str">
        <f t="shared" ca="1" si="2"/>
        <v/>
      </c>
      <c r="Z13" s="5">
        <f t="shared" ca="1" si="4"/>
        <v>4</v>
      </c>
      <c r="AB13" s="5">
        <f t="shared" ca="1" si="5"/>
        <v>3</v>
      </c>
      <c r="AS13" s="158">
        <f t="shared" ref="AS13:AS56" si="6">AS12+1</f>
        <v>5</v>
      </c>
      <c r="AT13" s="321" t="str">
        <f ca="1">IF(CS!C$5="l",CS!C13,"-")</f>
        <v>-</v>
      </c>
      <c r="AU13" s="321" t="str">
        <f ca="1">IF(CS!D$5="l",CS!D13,"-")</f>
        <v>-</v>
      </c>
      <c r="AV13" s="321" t="str">
        <f ca="1">IF(CS!E$5="l",CS!E13,"-")</f>
        <v>-</v>
      </c>
      <c r="AW13" s="321">
        <f ca="1">IF(CS!F$5="l",CS!F13,"-")</f>
        <v>-1</v>
      </c>
      <c r="AX13" s="321" t="str">
        <f ca="1">IF(CS!G$5="l",CS!G13,"-")</f>
        <v>-</v>
      </c>
      <c r="AY13" s="321" t="str">
        <f ca="1">IF(CS!H$5="l",CS!H13,"-")</f>
        <v>-</v>
      </c>
      <c r="AZ13" s="321" t="str">
        <f ca="1">IF(CS!I$5="l",CS!I13,"-")</f>
        <v>-</v>
      </c>
      <c r="BA13" s="321">
        <f ca="1">IF(CS!J$5="l",CS!J13,"-")</f>
        <v>3</v>
      </c>
      <c r="BB13" s="321" t="str">
        <f ca="1">IF(CS!K$5="l",CS!K13,"-")</f>
        <v>-</v>
      </c>
      <c r="BC13" s="321" t="str">
        <f ca="1">IF(CS!L$5="l",CS!L13,"-")</f>
        <v>-</v>
      </c>
      <c r="BD13" s="321" t="str">
        <f ca="1">IF(CS!M$5="l",CS!M13,"-")</f>
        <v>-</v>
      </c>
      <c r="BE13" s="321">
        <f ca="1">IF(CS!N$5="l",CS!N13,"-")</f>
        <v>-5</v>
      </c>
      <c r="BF13" s="321" t="str">
        <f ca="1">IF(CS!O$5="l",CS!O13,"-")</f>
        <v>-</v>
      </c>
      <c r="BG13" s="321" t="str">
        <f ca="1">IF(CS!P$5="l",CS!P13,"-")</f>
        <v>-</v>
      </c>
      <c r="BH13" s="321" t="str">
        <f ca="1">IF(CS!Q$5="l",CS!Q13,"-")</f>
        <v>-</v>
      </c>
      <c r="BI13" s="321" t="str">
        <f ca="1">IF(CS!R$5="l",CS!R13,"-")</f>
        <v/>
      </c>
      <c r="BJ13" s="321" t="str">
        <f ca="1">IF(CS!S$5="l",CS!S13,"-")</f>
        <v>-</v>
      </c>
      <c r="BK13" s="321" t="str">
        <f ca="1">IF(CS!T$5="l",CS!T13,"-")</f>
        <v/>
      </c>
      <c r="BL13" s="321" t="str">
        <f ca="1">IF(CS!U$5="l",CS!U13,"-")</f>
        <v>-</v>
      </c>
      <c r="BM13" s="321" t="str">
        <f ca="1">IF(CS!V$5="l",CS!V13,"-")</f>
        <v/>
      </c>
      <c r="BN13" s="321" t="str">
        <f ca="1">IF(CS!W$5="l",CS!W13,"-")</f>
        <v>-</v>
      </c>
      <c r="BO13" s="321" t="str">
        <f ca="1">IF(CS!X$5="l",CS!X13,"-")</f>
        <v/>
      </c>
      <c r="BP13" s="321" t="str">
        <f ca="1">IF(CS!Y$5="l",CS!Y13,"-")</f>
        <v>-</v>
      </c>
      <c r="BQ13" s="321" t="str">
        <f ca="1">IF(CS!Z$5="l",CS!Z13,"-")</f>
        <v/>
      </c>
      <c r="BR13" s="321" t="str">
        <f ca="1">IF(CS!AA$5="l",CS!AA13,"-")</f>
        <v>-</v>
      </c>
      <c r="BS13" s="321" t="str">
        <f ca="1">IF(CS!AB$5="l",CS!AB13,"-")</f>
        <v/>
      </c>
      <c r="BT13" s="321" t="str">
        <f ca="1">IF(CS!AC$5="l",CS!AC13,"-")</f>
        <v>-</v>
      </c>
      <c r="BU13" s="321" t="str">
        <f ca="1">IF(CS!AD$5="l",CS!AD13,"-")</f>
        <v/>
      </c>
      <c r="BV13" s="321" t="str">
        <f ca="1">IF(CS!AE$5="l",CS!AE13,"-")</f>
        <v>-</v>
      </c>
      <c r="BW13" s="321" t="str">
        <f ca="1">IF(CS!AF$5="l",CS!AF13,"-")</f>
        <v/>
      </c>
      <c r="BX13" s="321" t="str">
        <f ca="1">IF(CS!AG$5="l",CS!AG13,"-")</f>
        <v>-</v>
      </c>
      <c r="BY13" s="321" t="str">
        <f ca="1">IF(CS!AH$5="l",CS!AH13,"-")</f>
        <v/>
      </c>
      <c r="BZ13" s="321" t="str">
        <f ca="1">IF(CS!AI$5="l",CS!AI13,"-")</f>
        <v>-</v>
      </c>
      <c r="CA13" s="321" t="str">
        <f ca="1">IF(CS!AJ$5="l",CS!AJ13,"-")</f>
        <v/>
      </c>
      <c r="CB13" s="321" t="str">
        <f ca="1">IF(CS!AK$5="l",CS!AK13,"-")</f>
        <v>-</v>
      </c>
      <c r="CC13" s="321" t="str">
        <f ca="1">IF(CS!AL$5="l",CS!AL13,"-")</f>
        <v/>
      </c>
      <c r="CD13" s="321" t="str">
        <f ca="1">IF(CS!AM$5="l",CS!AM13,"-")</f>
        <v>-</v>
      </c>
      <c r="CE13" s="321" t="str">
        <f ca="1">IF(CS!AN$5="l",CS!AN13,"-")</f>
        <v/>
      </c>
      <c r="CF13" s="321" t="str">
        <f ca="1">IF(CS!AO$5="l",CS!AO13,"-")</f>
        <v>-</v>
      </c>
      <c r="CG13" s="321" t="str">
        <f ca="1">IF(CS!AP$5="l",CS!AP13,"-")</f>
        <v/>
      </c>
    </row>
    <row r="14" spans="1:85" ht="15">
      <c r="B14" s="4" t="str">
        <f ca="1">CS!AR14</f>
        <v>Tm04</v>
      </c>
      <c r="C14" s="430" t="str">
        <f t="shared" ca="1" si="3"/>
        <v>-</v>
      </c>
      <c r="D14" s="28">
        <f t="shared" ca="1" si="3"/>
        <v>6</v>
      </c>
      <c r="E14" s="28" t="str">
        <f t="shared" ca="1" si="3"/>
        <v>-</v>
      </c>
      <c r="F14" s="28">
        <f t="shared" ca="1" si="2"/>
        <v>-5</v>
      </c>
      <c r="G14" s="28" t="str">
        <f t="shared" ca="1" si="2"/>
        <v>-</v>
      </c>
      <c r="H14" s="28">
        <f t="shared" ca="1" si="2"/>
        <v>2</v>
      </c>
      <c r="I14" s="28" t="str">
        <f t="shared" ca="1" si="2"/>
        <v>-</v>
      </c>
      <c r="J14" s="28" t="str">
        <f t="shared" ca="1" si="2"/>
        <v/>
      </c>
      <c r="K14" s="28" t="str">
        <f t="shared" ca="1" si="2"/>
        <v/>
      </c>
      <c r="L14" s="28" t="str">
        <f t="shared" ca="1" si="2"/>
        <v/>
      </c>
      <c r="M14" s="28" t="str">
        <f t="shared" ca="1" si="2"/>
        <v/>
      </c>
      <c r="N14" s="28" t="str">
        <f t="shared" ca="1" si="2"/>
        <v/>
      </c>
      <c r="O14" s="28" t="str">
        <f t="shared" ca="1" si="2"/>
        <v/>
      </c>
      <c r="P14" s="28" t="str">
        <f t="shared" ca="1" si="2"/>
        <v/>
      </c>
      <c r="Q14" s="28" t="str">
        <f t="shared" ca="1" si="2"/>
        <v/>
      </c>
      <c r="R14" s="28" t="str">
        <f t="shared" ca="1" si="2"/>
        <v/>
      </c>
      <c r="S14" s="28" t="str">
        <f t="shared" ca="1" si="2"/>
        <v/>
      </c>
      <c r="T14" s="28" t="str">
        <f t="shared" ca="1" si="2"/>
        <v/>
      </c>
      <c r="U14" s="28" t="str">
        <f t="shared" ca="1" si="2"/>
        <v/>
      </c>
      <c r="V14" s="28" t="str">
        <f t="shared" ca="1" si="2"/>
        <v/>
      </c>
      <c r="W14" s="346" t="str">
        <f t="shared" ca="1" si="2"/>
        <v/>
      </c>
      <c r="Z14" s="5">
        <f t="shared" ca="1" si="4"/>
        <v>4</v>
      </c>
      <c r="AB14" s="5">
        <f t="shared" ca="1" si="5"/>
        <v>3</v>
      </c>
      <c r="AS14" s="158">
        <f t="shared" si="6"/>
        <v>6</v>
      </c>
      <c r="AT14" s="321" t="str">
        <f ca="1">IF(CS!C$5="l",CS!C14,"-")</f>
        <v>-</v>
      </c>
      <c r="AU14" s="321" t="str">
        <f ca="1">IF(CS!D$5="l",CS!D14,"-")</f>
        <v>-</v>
      </c>
      <c r="AV14" s="321" t="str">
        <f ca="1">IF(CS!E$5="l",CS!E14,"-")</f>
        <v>-</v>
      </c>
      <c r="AW14" s="321">
        <f ca="1">IF(CS!F$5="l",CS!F14,"-")</f>
        <v>6</v>
      </c>
      <c r="AX14" s="321" t="str">
        <f ca="1">IF(CS!G$5="l",CS!G14,"-")</f>
        <v>-</v>
      </c>
      <c r="AY14" s="321" t="str">
        <f ca="1">IF(CS!H$5="l",CS!H14,"-")</f>
        <v>-</v>
      </c>
      <c r="AZ14" s="321" t="str">
        <f ca="1">IF(CS!I$5="l",CS!I14,"-")</f>
        <v>-</v>
      </c>
      <c r="BA14" s="321">
        <f ca="1">IF(CS!J$5="l",CS!J14,"-")</f>
        <v>-5</v>
      </c>
      <c r="BB14" s="321" t="str">
        <f ca="1">IF(CS!K$5="l",CS!K14,"-")</f>
        <v>-</v>
      </c>
      <c r="BC14" s="321" t="str">
        <f ca="1">IF(CS!L$5="l",CS!L14,"-")</f>
        <v>-</v>
      </c>
      <c r="BD14" s="321" t="str">
        <f ca="1">IF(CS!M$5="l",CS!M14,"-")</f>
        <v>-</v>
      </c>
      <c r="BE14" s="321">
        <f ca="1">IF(CS!N$5="l",CS!N14,"-")</f>
        <v>2</v>
      </c>
      <c r="BF14" s="321" t="str">
        <f ca="1">IF(CS!O$5="l",CS!O14,"-")</f>
        <v>-</v>
      </c>
      <c r="BG14" s="321" t="str">
        <f ca="1">IF(CS!P$5="l",CS!P14,"-")</f>
        <v>-</v>
      </c>
      <c r="BH14" s="321" t="str">
        <f ca="1">IF(CS!Q$5="l",CS!Q14,"-")</f>
        <v>-</v>
      </c>
      <c r="BI14" s="321" t="str">
        <f ca="1">IF(CS!R$5="l",CS!R14,"-")</f>
        <v/>
      </c>
      <c r="BJ14" s="321" t="str">
        <f ca="1">IF(CS!S$5="l",CS!S14,"-")</f>
        <v>-</v>
      </c>
      <c r="BK14" s="321" t="str">
        <f ca="1">IF(CS!T$5="l",CS!T14,"-")</f>
        <v/>
      </c>
      <c r="BL14" s="321" t="str">
        <f ca="1">IF(CS!U$5="l",CS!U14,"-")</f>
        <v>-</v>
      </c>
      <c r="BM14" s="321" t="str">
        <f ca="1">IF(CS!V$5="l",CS!V14,"-")</f>
        <v/>
      </c>
      <c r="BN14" s="321" t="str">
        <f ca="1">IF(CS!W$5="l",CS!W14,"-")</f>
        <v>-</v>
      </c>
      <c r="BO14" s="321" t="str">
        <f ca="1">IF(CS!X$5="l",CS!X14,"-")</f>
        <v/>
      </c>
      <c r="BP14" s="321" t="str">
        <f ca="1">IF(CS!Y$5="l",CS!Y14,"-")</f>
        <v>-</v>
      </c>
      <c r="BQ14" s="321" t="str">
        <f ca="1">IF(CS!Z$5="l",CS!Z14,"-")</f>
        <v/>
      </c>
      <c r="BR14" s="321" t="str">
        <f ca="1">IF(CS!AA$5="l",CS!AA14,"-")</f>
        <v>-</v>
      </c>
      <c r="BS14" s="321" t="str">
        <f ca="1">IF(CS!AB$5="l",CS!AB14,"-")</f>
        <v/>
      </c>
      <c r="BT14" s="321" t="str">
        <f ca="1">IF(CS!AC$5="l",CS!AC14,"-")</f>
        <v>-</v>
      </c>
      <c r="BU14" s="321" t="str">
        <f ca="1">IF(CS!AD$5="l",CS!AD14,"-")</f>
        <v/>
      </c>
      <c r="BV14" s="321" t="str">
        <f ca="1">IF(CS!AE$5="l",CS!AE14,"-")</f>
        <v>-</v>
      </c>
      <c r="BW14" s="321" t="str">
        <f ca="1">IF(CS!AF$5="l",CS!AF14,"-")</f>
        <v/>
      </c>
      <c r="BX14" s="321" t="str">
        <f ca="1">IF(CS!AG$5="l",CS!AG14,"-")</f>
        <v>-</v>
      </c>
      <c r="BY14" s="321" t="str">
        <f ca="1">IF(CS!AH$5="l",CS!AH14,"-")</f>
        <v/>
      </c>
      <c r="BZ14" s="321" t="str">
        <f ca="1">IF(CS!AI$5="l",CS!AI14,"-")</f>
        <v>-</v>
      </c>
      <c r="CA14" s="321" t="str">
        <f ca="1">IF(CS!AJ$5="l",CS!AJ14,"-")</f>
        <v/>
      </c>
      <c r="CB14" s="321" t="str">
        <f ca="1">IF(CS!AK$5="l",CS!AK14,"-")</f>
        <v>-</v>
      </c>
      <c r="CC14" s="321" t="str">
        <f ca="1">IF(CS!AL$5="l",CS!AL14,"-")</f>
        <v/>
      </c>
      <c r="CD14" s="321" t="str">
        <f ca="1">IF(CS!AM$5="l",CS!AM14,"-")</f>
        <v>-</v>
      </c>
      <c r="CE14" s="321" t="str">
        <f ca="1">IF(CS!AN$5="l",CS!AN14,"-")</f>
        <v/>
      </c>
      <c r="CF14" s="321" t="str">
        <f ca="1">IF(CS!AO$5="l",CS!AO14,"-")</f>
        <v>-</v>
      </c>
      <c r="CG14" s="321" t="str">
        <f ca="1">IF(CS!AP$5="l",CS!AP14,"-")</f>
        <v/>
      </c>
    </row>
    <row r="15" spans="1:85" ht="15">
      <c r="B15" s="4" t="str">
        <f ca="1">CS!AR15</f>
        <v>Tm05</v>
      </c>
      <c r="C15" s="430" t="str">
        <f t="shared" ca="1" si="3"/>
        <v>-</v>
      </c>
      <c r="D15" s="28">
        <f t="shared" ca="1" si="3"/>
        <v>-4</v>
      </c>
      <c r="E15" s="28" t="str">
        <f t="shared" ca="1" si="3"/>
        <v>-</v>
      </c>
      <c r="F15" s="28">
        <f t="shared" ca="1" si="2"/>
        <v>5</v>
      </c>
      <c r="G15" s="28" t="str">
        <f t="shared" ca="1" si="2"/>
        <v>-</v>
      </c>
      <c r="H15" s="28">
        <f t="shared" ca="1" si="2"/>
        <v>6</v>
      </c>
      <c r="I15" s="28" t="str">
        <f t="shared" ca="1" si="2"/>
        <v>-</v>
      </c>
      <c r="J15" s="28" t="str">
        <f t="shared" ca="1" si="2"/>
        <v/>
      </c>
      <c r="K15" s="28" t="str">
        <f t="shared" ca="1" si="2"/>
        <v/>
      </c>
      <c r="L15" s="28" t="str">
        <f t="shared" ca="1" si="2"/>
        <v/>
      </c>
      <c r="M15" s="28" t="str">
        <f t="shared" ca="1" si="2"/>
        <v/>
      </c>
      <c r="N15" s="28" t="str">
        <f t="shared" ca="1" si="2"/>
        <v/>
      </c>
      <c r="O15" s="28" t="str">
        <f t="shared" ca="1" si="2"/>
        <v/>
      </c>
      <c r="P15" s="28" t="str">
        <f t="shared" ca="1" si="2"/>
        <v/>
      </c>
      <c r="Q15" s="28" t="str">
        <f t="shared" ca="1" si="2"/>
        <v/>
      </c>
      <c r="R15" s="28" t="str">
        <f t="shared" ca="1" si="2"/>
        <v/>
      </c>
      <c r="S15" s="28" t="str">
        <f t="shared" ca="1" si="2"/>
        <v/>
      </c>
      <c r="T15" s="28" t="str">
        <f t="shared" ca="1" si="2"/>
        <v/>
      </c>
      <c r="U15" s="28" t="str">
        <f t="shared" ca="1" si="2"/>
        <v/>
      </c>
      <c r="V15" s="28" t="str">
        <f t="shared" ca="1" si="2"/>
        <v/>
      </c>
      <c r="W15" s="346" t="str">
        <f t="shared" ca="1" si="2"/>
        <v/>
      </c>
      <c r="Z15" s="5">
        <f t="shared" ca="1" si="4"/>
        <v>4</v>
      </c>
      <c r="AB15" s="5">
        <f t="shared" ca="1" si="5"/>
        <v>3</v>
      </c>
      <c r="AS15" s="158">
        <f t="shared" si="6"/>
        <v>7</v>
      </c>
      <c r="AT15" s="321" t="str">
        <f ca="1">IF(CS!C$5="l",CS!C15,"-")</f>
        <v>-</v>
      </c>
      <c r="AU15" s="321" t="str">
        <f ca="1">IF(CS!D$5="l",CS!D15,"-")</f>
        <v>-</v>
      </c>
      <c r="AV15" s="321" t="str">
        <f ca="1">IF(CS!E$5="l",CS!E15,"-")</f>
        <v>-</v>
      </c>
      <c r="AW15" s="321">
        <f ca="1">IF(CS!F$5="l",CS!F15,"-")</f>
        <v>-4</v>
      </c>
      <c r="AX15" s="321" t="str">
        <f ca="1">IF(CS!G$5="l",CS!G15,"-")</f>
        <v>-</v>
      </c>
      <c r="AY15" s="321" t="str">
        <f ca="1">IF(CS!H$5="l",CS!H15,"-")</f>
        <v>-</v>
      </c>
      <c r="AZ15" s="321" t="str">
        <f ca="1">IF(CS!I$5="l",CS!I15,"-")</f>
        <v>-</v>
      </c>
      <c r="BA15" s="321">
        <f ca="1">IF(CS!J$5="l",CS!J15,"-")</f>
        <v>5</v>
      </c>
      <c r="BB15" s="321" t="str">
        <f ca="1">IF(CS!K$5="l",CS!K15,"-")</f>
        <v>-</v>
      </c>
      <c r="BC15" s="321" t="str">
        <f ca="1">IF(CS!L$5="l",CS!L15,"-")</f>
        <v>-</v>
      </c>
      <c r="BD15" s="321" t="str">
        <f ca="1">IF(CS!M$5="l",CS!M15,"-")</f>
        <v>-</v>
      </c>
      <c r="BE15" s="321">
        <f ca="1">IF(CS!N$5="l",CS!N15,"-")</f>
        <v>6</v>
      </c>
      <c r="BF15" s="321" t="str">
        <f ca="1">IF(CS!O$5="l",CS!O15,"-")</f>
        <v>-</v>
      </c>
      <c r="BG15" s="321" t="str">
        <f ca="1">IF(CS!P$5="l",CS!P15,"-")</f>
        <v>-</v>
      </c>
      <c r="BH15" s="321" t="str">
        <f ca="1">IF(CS!Q$5="l",CS!Q15,"-")</f>
        <v>-</v>
      </c>
      <c r="BI15" s="321" t="str">
        <f ca="1">IF(CS!R$5="l",CS!R15,"-")</f>
        <v/>
      </c>
      <c r="BJ15" s="321" t="str">
        <f ca="1">IF(CS!S$5="l",CS!S15,"-")</f>
        <v>-</v>
      </c>
      <c r="BK15" s="321" t="str">
        <f ca="1">IF(CS!T$5="l",CS!T15,"-")</f>
        <v/>
      </c>
      <c r="BL15" s="321" t="str">
        <f ca="1">IF(CS!U$5="l",CS!U15,"-")</f>
        <v>-</v>
      </c>
      <c r="BM15" s="321" t="str">
        <f ca="1">IF(CS!V$5="l",CS!V15,"-")</f>
        <v/>
      </c>
      <c r="BN15" s="321" t="str">
        <f ca="1">IF(CS!W$5="l",CS!W15,"-")</f>
        <v>-</v>
      </c>
      <c r="BO15" s="321" t="str">
        <f ca="1">IF(CS!X$5="l",CS!X15,"-")</f>
        <v/>
      </c>
      <c r="BP15" s="321" t="str">
        <f ca="1">IF(CS!Y$5="l",CS!Y15,"-")</f>
        <v>-</v>
      </c>
      <c r="BQ15" s="321" t="str">
        <f ca="1">IF(CS!Z$5="l",CS!Z15,"-")</f>
        <v/>
      </c>
      <c r="BR15" s="321" t="str">
        <f ca="1">IF(CS!AA$5="l",CS!AA15,"-")</f>
        <v>-</v>
      </c>
      <c r="BS15" s="321" t="str">
        <f ca="1">IF(CS!AB$5="l",CS!AB15,"-")</f>
        <v/>
      </c>
      <c r="BT15" s="321" t="str">
        <f ca="1">IF(CS!AC$5="l",CS!AC15,"-")</f>
        <v>-</v>
      </c>
      <c r="BU15" s="321" t="str">
        <f ca="1">IF(CS!AD$5="l",CS!AD15,"-")</f>
        <v/>
      </c>
      <c r="BV15" s="321" t="str">
        <f ca="1">IF(CS!AE$5="l",CS!AE15,"-")</f>
        <v>-</v>
      </c>
      <c r="BW15" s="321" t="str">
        <f ca="1">IF(CS!AF$5="l",CS!AF15,"-")</f>
        <v/>
      </c>
      <c r="BX15" s="321" t="str">
        <f ca="1">IF(CS!AG$5="l",CS!AG15,"-")</f>
        <v>-</v>
      </c>
      <c r="BY15" s="321" t="str">
        <f ca="1">IF(CS!AH$5="l",CS!AH15,"-")</f>
        <v/>
      </c>
      <c r="BZ15" s="321" t="str">
        <f ca="1">IF(CS!AI$5="l",CS!AI15,"-")</f>
        <v>-</v>
      </c>
      <c r="CA15" s="321" t="str">
        <f ca="1">IF(CS!AJ$5="l",CS!AJ15,"-")</f>
        <v/>
      </c>
      <c r="CB15" s="321" t="str">
        <f ca="1">IF(CS!AK$5="l",CS!AK15,"-")</f>
        <v>-</v>
      </c>
      <c r="CC15" s="321" t="str">
        <f ca="1">IF(CS!AL$5="l",CS!AL15,"-")</f>
        <v/>
      </c>
      <c r="CD15" s="321" t="str">
        <f ca="1">IF(CS!AM$5="l",CS!AM15,"-")</f>
        <v>-</v>
      </c>
      <c r="CE15" s="321" t="str">
        <f ca="1">IF(CS!AN$5="l",CS!AN15,"-")</f>
        <v/>
      </c>
      <c r="CF15" s="321" t="str">
        <f ca="1">IF(CS!AO$5="l",CS!AO15,"-")</f>
        <v>-</v>
      </c>
      <c r="CG15" s="321" t="str">
        <f ca="1">IF(CS!AP$5="l",CS!AP15,"-")</f>
        <v/>
      </c>
    </row>
    <row r="16" spans="1:85" ht="15">
      <c r="B16" s="4" t="str">
        <f ca="1">CS!AR16</f>
        <v>Tm06</v>
      </c>
      <c r="C16" s="430" t="str">
        <f t="shared" ca="1" si="3"/>
        <v>-</v>
      </c>
      <c r="D16" s="28">
        <f t="shared" ca="1" si="3"/>
        <v>-5</v>
      </c>
      <c r="E16" s="28" t="str">
        <f t="shared" ca="1" si="3"/>
        <v>-</v>
      </c>
      <c r="F16" s="28">
        <f t="shared" ca="1" si="2"/>
        <v>-3</v>
      </c>
      <c r="G16" s="28" t="str">
        <f t="shared" ca="1" si="2"/>
        <v>-</v>
      </c>
      <c r="H16" s="28">
        <f t="shared" ca="1" si="2"/>
        <v>-1</v>
      </c>
      <c r="I16" s="28" t="str">
        <f t="shared" ca="1" si="2"/>
        <v>-</v>
      </c>
      <c r="J16" s="28" t="str">
        <f t="shared" ca="1" si="2"/>
        <v/>
      </c>
      <c r="K16" s="28" t="str">
        <f t="shared" ca="1" si="2"/>
        <v/>
      </c>
      <c r="L16" s="28" t="str">
        <f t="shared" ca="1" si="2"/>
        <v/>
      </c>
      <c r="M16" s="28" t="str">
        <f t="shared" ca="1" si="2"/>
        <v/>
      </c>
      <c r="N16" s="28" t="str">
        <f t="shared" ca="1" si="2"/>
        <v/>
      </c>
      <c r="O16" s="28" t="str">
        <f t="shared" ca="1" si="2"/>
        <v/>
      </c>
      <c r="P16" s="28" t="str">
        <f t="shared" ca="1" si="2"/>
        <v/>
      </c>
      <c r="Q16" s="28" t="str">
        <f t="shared" ca="1" si="2"/>
        <v/>
      </c>
      <c r="R16" s="28" t="str">
        <f t="shared" ca="1" si="2"/>
        <v/>
      </c>
      <c r="S16" s="28" t="str">
        <f t="shared" ca="1" si="2"/>
        <v/>
      </c>
      <c r="T16" s="28" t="str">
        <f t="shared" ca="1" si="2"/>
        <v/>
      </c>
      <c r="U16" s="28" t="str">
        <f t="shared" ca="1" si="2"/>
        <v/>
      </c>
      <c r="V16" s="28" t="str">
        <f t="shared" ca="1" si="2"/>
        <v/>
      </c>
      <c r="W16" s="346" t="str">
        <f t="shared" ca="1" si="2"/>
        <v/>
      </c>
      <c r="Z16" s="5">
        <f t="shared" ca="1" si="4"/>
        <v>4</v>
      </c>
      <c r="AB16" s="5">
        <f t="shared" ca="1" si="5"/>
        <v>3</v>
      </c>
      <c r="AS16" s="158">
        <f t="shared" si="6"/>
        <v>8</v>
      </c>
      <c r="AT16" s="321" t="str">
        <f ca="1">IF(CS!C$5="l",CS!C16,"-")</f>
        <v>-</v>
      </c>
      <c r="AU16" s="321" t="str">
        <f ca="1">IF(CS!D$5="l",CS!D16,"-")</f>
        <v>-</v>
      </c>
      <c r="AV16" s="321" t="str">
        <f ca="1">IF(CS!E$5="l",CS!E16,"-")</f>
        <v>-</v>
      </c>
      <c r="AW16" s="321">
        <f ca="1">IF(CS!F$5="l",CS!F16,"-")</f>
        <v>-5</v>
      </c>
      <c r="AX16" s="321" t="str">
        <f ca="1">IF(CS!G$5="l",CS!G16,"-")</f>
        <v>-</v>
      </c>
      <c r="AY16" s="321" t="str">
        <f ca="1">IF(CS!H$5="l",CS!H16,"-")</f>
        <v>-</v>
      </c>
      <c r="AZ16" s="321" t="str">
        <f ca="1">IF(CS!I$5="l",CS!I16,"-")</f>
        <v>-</v>
      </c>
      <c r="BA16" s="321">
        <f ca="1">IF(CS!J$5="l",CS!J16,"-")</f>
        <v>-3</v>
      </c>
      <c r="BB16" s="321" t="str">
        <f ca="1">IF(CS!K$5="l",CS!K16,"-")</f>
        <v>-</v>
      </c>
      <c r="BC16" s="321" t="str">
        <f ca="1">IF(CS!L$5="l",CS!L16,"-")</f>
        <v>-</v>
      </c>
      <c r="BD16" s="321" t="str">
        <f ca="1">IF(CS!M$5="l",CS!M16,"-")</f>
        <v>-</v>
      </c>
      <c r="BE16" s="321">
        <f ca="1">IF(CS!N$5="l",CS!N16,"-")</f>
        <v>-1</v>
      </c>
      <c r="BF16" s="321" t="str">
        <f ca="1">IF(CS!O$5="l",CS!O16,"-")</f>
        <v>-</v>
      </c>
      <c r="BG16" s="321" t="str">
        <f ca="1">IF(CS!P$5="l",CS!P16,"-")</f>
        <v>-</v>
      </c>
      <c r="BH16" s="321" t="str">
        <f ca="1">IF(CS!Q$5="l",CS!Q16,"-")</f>
        <v>-</v>
      </c>
      <c r="BI16" s="321" t="str">
        <f ca="1">IF(CS!R$5="l",CS!R16,"-")</f>
        <v/>
      </c>
      <c r="BJ16" s="321" t="str">
        <f ca="1">IF(CS!S$5="l",CS!S16,"-")</f>
        <v>-</v>
      </c>
      <c r="BK16" s="321" t="str">
        <f ca="1">IF(CS!T$5="l",CS!T16,"-")</f>
        <v/>
      </c>
      <c r="BL16" s="321" t="str">
        <f ca="1">IF(CS!U$5="l",CS!U16,"-")</f>
        <v>-</v>
      </c>
      <c r="BM16" s="321" t="str">
        <f ca="1">IF(CS!V$5="l",CS!V16,"-")</f>
        <v/>
      </c>
      <c r="BN16" s="321" t="str">
        <f ca="1">IF(CS!W$5="l",CS!W16,"-")</f>
        <v>-</v>
      </c>
      <c r="BO16" s="321" t="str">
        <f ca="1">IF(CS!X$5="l",CS!X16,"-")</f>
        <v/>
      </c>
      <c r="BP16" s="321" t="str">
        <f ca="1">IF(CS!Y$5="l",CS!Y16,"-")</f>
        <v>-</v>
      </c>
      <c r="BQ16" s="321" t="str">
        <f ca="1">IF(CS!Z$5="l",CS!Z16,"-")</f>
        <v/>
      </c>
      <c r="BR16" s="321" t="str">
        <f ca="1">IF(CS!AA$5="l",CS!AA16,"-")</f>
        <v>-</v>
      </c>
      <c r="BS16" s="321" t="str">
        <f ca="1">IF(CS!AB$5="l",CS!AB16,"-")</f>
        <v/>
      </c>
      <c r="BT16" s="321" t="str">
        <f ca="1">IF(CS!AC$5="l",CS!AC16,"-")</f>
        <v>-</v>
      </c>
      <c r="BU16" s="321" t="str">
        <f ca="1">IF(CS!AD$5="l",CS!AD16,"-")</f>
        <v/>
      </c>
      <c r="BV16" s="321" t="str">
        <f ca="1">IF(CS!AE$5="l",CS!AE16,"-")</f>
        <v>-</v>
      </c>
      <c r="BW16" s="321" t="str">
        <f ca="1">IF(CS!AF$5="l",CS!AF16,"-")</f>
        <v/>
      </c>
      <c r="BX16" s="321" t="str">
        <f ca="1">IF(CS!AG$5="l",CS!AG16,"-")</f>
        <v>-</v>
      </c>
      <c r="BY16" s="321" t="str">
        <f ca="1">IF(CS!AH$5="l",CS!AH16,"-")</f>
        <v/>
      </c>
      <c r="BZ16" s="321" t="str">
        <f ca="1">IF(CS!AI$5="l",CS!AI16,"-")</f>
        <v>-</v>
      </c>
      <c r="CA16" s="321" t="str">
        <f ca="1">IF(CS!AJ$5="l",CS!AJ16,"-")</f>
        <v/>
      </c>
      <c r="CB16" s="321" t="str">
        <f ca="1">IF(CS!AK$5="l",CS!AK16,"-")</f>
        <v>-</v>
      </c>
      <c r="CC16" s="321" t="str">
        <f ca="1">IF(CS!AL$5="l",CS!AL16,"-")</f>
        <v/>
      </c>
      <c r="CD16" s="321" t="str">
        <f ca="1">IF(CS!AM$5="l",CS!AM16,"-")</f>
        <v>-</v>
      </c>
      <c r="CE16" s="321" t="str">
        <f ca="1">IF(CS!AN$5="l",CS!AN16,"-")</f>
        <v/>
      </c>
      <c r="CF16" s="321" t="str">
        <f ca="1">IF(CS!AO$5="l",CS!AO16,"-")</f>
        <v>-</v>
      </c>
      <c r="CG16" s="321" t="str">
        <f ca="1">IF(CS!AP$5="l",CS!AP16,"-")</f>
        <v/>
      </c>
    </row>
    <row r="17" spans="2:85" ht="15">
      <c r="B17" s="4" t="str">
        <f ca="1">CS!AR17</f>
        <v>Tm07</v>
      </c>
      <c r="C17" s="430" t="str">
        <f t="shared" ca="1" si="3"/>
        <v>-</v>
      </c>
      <c r="D17" s="28">
        <f t="shared" ca="1" si="3"/>
        <v>1</v>
      </c>
      <c r="E17" s="28" t="str">
        <f t="shared" ca="1" si="3"/>
        <v>-</v>
      </c>
      <c r="F17" s="28">
        <f t="shared" ca="1" si="2"/>
        <v>2</v>
      </c>
      <c r="G17" s="28" t="str">
        <f t="shared" ca="1" si="2"/>
        <v>-</v>
      </c>
      <c r="H17" s="28">
        <f t="shared" ca="1" si="2"/>
        <v>-6</v>
      </c>
      <c r="I17" s="28" t="str">
        <f t="shared" ca="1" si="2"/>
        <v>-</v>
      </c>
      <c r="J17" s="28" t="str">
        <f t="shared" ca="1" si="2"/>
        <v/>
      </c>
      <c r="K17" s="28" t="str">
        <f t="shared" ca="1" si="2"/>
        <v/>
      </c>
      <c r="L17" s="28" t="str">
        <f t="shared" ca="1" si="2"/>
        <v/>
      </c>
      <c r="M17" s="28" t="str">
        <f t="shared" ca="1" si="2"/>
        <v/>
      </c>
      <c r="N17" s="28" t="str">
        <f t="shared" ca="1" si="2"/>
        <v/>
      </c>
      <c r="O17" s="28" t="str">
        <f t="shared" ca="1" si="2"/>
        <v/>
      </c>
      <c r="P17" s="28" t="str">
        <f t="shared" ca="1" si="2"/>
        <v/>
      </c>
      <c r="Q17" s="28" t="str">
        <f t="shared" ca="1" si="2"/>
        <v/>
      </c>
      <c r="R17" s="28" t="str">
        <f t="shared" ca="1" si="2"/>
        <v/>
      </c>
      <c r="S17" s="28" t="str">
        <f t="shared" ca="1" si="2"/>
        <v/>
      </c>
      <c r="T17" s="28" t="str">
        <f t="shared" ca="1" si="2"/>
        <v/>
      </c>
      <c r="U17" s="28" t="str">
        <f t="shared" ca="1" si="2"/>
        <v/>
      </c>
      <c r="V17" s="28" t="str">
        <f t="shared" ca="1" si="2"/>
        <v/>
      </c>
      <c r="W17" s="346" t="str">
        <f t="shared" ca="1" si="2"/>
        <v/>
      </c>
      <c r="Z17" s="5">
        <f t="shared" ca="1" si="4"/>
        <v>4</v>
      </c>
      <c r="AB17" s="5">
        <f t="shared" ca="1" si="5"/>
        <v>3</v>
      </c>
      <c r="AS17" s="158">
        <f t="shared" si="6"/>
        <v>9</v>
      </c>
      <c r="AT17" s="321" t="str">
        <f ca="1">IF(CS!C$5="l",CS!C17,"-")</f>
        <v>-</v>
      </c>
      <c r="AU17" s="321" t="str">
        <f ca="1">IF(CS!D$5="l",CS!D17,"-")</f>
        <v>-</v>
      </c>
      <c r="AV17" s="321" t="str">
        <f ca="1">IF(CS!E$5="l",CS!E17,"-")</f>
        <v>-</v>
      </c>
      <c r="AW17" s="321">
        <f ca="1">IF(CS!F$5="l",CS!F17,"-")</f>
        <v>1</v>
      </c>
      <c r="AX17" s="321" t="str">
        <f ca="1">IF(CS!G$5="l",CS!G17,"-")</f>
        <v>-</v>
      </c>
      <c r="AY17" s="321" t="str">
        <f ca="1">IF(CS!H$5="l",CS!H17,"-")</f>
        <v>-</v>
      </c>
      <c r="AZ17" s="321" t="str">
        <f ca="1">IF(CS!I$5="l",CS!I17,"-")</f>
        <v>-</v>
      </c>
      <c r="BA17" s="321">
        <f ca="1">IF(CS!J$5="l",CS!J17,"-")</f>
        <v>2</v>
      </c>
      <c r="BB17" s="321" t="str">
        <f ca="1">IF(CS!K$5="l",CS!K17,"-")</f>
        <v>-</v>
      </c>
      <c r="BC17" s="321" t="str">
        <f ca="1">IF(CS!L$5="l",CS!L17,"-")</f>
        <v>-</v>
      </c>
      <c r="BD17" s="321" t="str">
        <f ca="1">IF(CS!M$5="l",CS!M17,"-")</f>
        <v>-</v>
      </c>
      <c r="BE17" s="321">
        <f ca="1">IF(CS!N$5="l",CS!N17,"-")</f>
        <v>-6</v>
      </c>
      <c r="BF17" s="321" t="str">
        <f ca="1">IF(CS!O$5="l",CS!O17,"-")</f>
        <v>-</v>
      </c>
      <c r="BG17" s="321" t="str">
        <f ca="1">IF(CS!P$5="l",CS!P17,"-")</f>
        <v>-</v>
      </c>
      <c r="BH17" s="321" t="str">
        <f ca="1">IF(CS!Q$5="l",CS!Q17,"-")</f>
        <v>-</v>
      </c>
      <c r="BI17" s="321" t="str">
        <f ca="1">IF(CS!R$5="l",CS!R17,"-")</f>
        <v/>
      </c>
      <c r="BJ17" s="321" t="str">
        <f ca="1">IF(CS!S$5="l",CS!S17,"-")</f>
        <v>-</v>
      </c>
      <c r="BK17" s="321" t="str">
        <f ca="1">IF(CS!T$5="l",CS!T17,"-")</f>
        <v/>
      </c>
      <c r="BL17" s="321" t="str">
        <f ca="1">IF(CS!U$5="l",CS!U17,"-")</f>
        <v>-</v>
      </c>
      <c r="BM17" s="321" t="str">
        <f ca="1">IF(CS!V$5="l",CS!V17,"-")</f>
        <v/>
      </c>
      <c r="BN17" s="321" t="str">
        <f ca="1">IF(CS!W$5="l",CS!W17,"-")</f>
        <v>-</v>
      </c>
      <c r="BO17" s="321" t="str">
        <f ca="1">IF(CS!X$5="l",CS!X17,"-")</f>
        <v/>
      </c>
      <c r="BP17" s="321" t="str">
        <f ca="1">IF(CS!Y$5="l",CS!Y17,"-")</f>
        <v>-</v>
      </c>
      <c r="BQ17" s="321" t="str">
        <f ca="1">IF(CS!Z$5="l",CS!Z17,"-")</f>
        <v/>
      </c>
      <c r="BR17" s="321" t="str">
        <f ca="1">IF(CS!AA$5="l",CS!AA17,"-")</f>
        <v>-</v>
      </c>
      <c r="BS17" s="321" t="str">
        <f ca="1">IF(CS!AB$5="l",CS!AB17,"-")</f>
        <v/>
      </c>
      <c r="BT17" s="321" t="str">
        <f ca="1">IF(CS!AC$5="l",CS!AC17,"-")</f>
        <v>-</v>
      </c>
      <c r="BU17" s="321" t="str">
        <f ca="1">IF(CS!AD$5="l",CS!AD17,"-")</f>
        <v/>
      </c>
      <c r="BV17" s="321" t="str">
        <f ca="1">IF(CS!AE$5="l",CS!AE17,"-")</f>
        <v>-</v>
      </c>
      <c r="BW17" s="321" t="str">
        <f ca="1">IF(CS!AF$5="l",CS!AF17,"-")</f>
        <v/>
      </c>
      <c r="BX17" s="321" t="str">
        <f ca="1">IF(CS!AG$5="l",CS!AG17,"-")</f>
        <v>-</v>
      </c>
      <c r="BY17" s="321" t="str">
        <f ca="1">IF(CS!AH$5="l",CS!AH17,"-")</f>
        <v/>
      </c>
      <c r="BZ17" s="321" t="str">
        <f ca="1">IF(CS!AI$5="l",CS!AI17,"-")</f>
        <v>-</v>
      </c>
      <c r="CA17" s="321" t="str">
        <f ca="1">IF(CS!AJ$5="l",CS!AJ17,"-")</f>
        <v/>
      </c>
      <c r="CB17" s="321" t="str">
        <f ca="1">IF(CS!AK$5="l",CS!AK17,"-")</f>
        <v>-</v>
      </c>
      <c r="CC17" s="321" t="str">
        <f ca="1">IF(CS!AL$5="l",CS!AL17,"-")</f>
        <v/>
      </c>
      <c r="CD17" s="321" t="str">
        <f ca="1">IF(CS!AM$5="l",CS!AM17,"-")</f>
        <v>-</v>
      </c>
      <c r="CE17" s="321" t="str">
        <f ca="1">IF(CS!AN$5="l",CS!AN17,"-")</f>
        <v/>
      </c>
      <c r="CF17" s="321" t="str">
        <f ca="1">IF(CS!AO$5="l",CS!AO17,"-")</f>
        <v>-</v>
      </c>
      <c r="CG17" s="321" t="str">
        <f ca="1">IF(CS!AP$5="l",CS!AP17,"-")</f>
        <v/>
      </c>
    </row>
    <row r="18" spans="2:85" ht="15">
      <c r="B18" s="4" t="str">
        <f ca="1">CS!AR18</f>
        <v>Tm08</v>
      </c>
      <c r="C18" s="430" t="str">
        <f t="shared" ca="1" si="3"/>
        <v>-</v>
      </c>
      <c r="D18" s="28">
        <f t="shared" ca="1" si="3"/>
        <v>-6</v>
      </c>
      <c r="E18" s="28" t="str">
        <f t="shared" ca="1" si="3"/>
        <v>-</v>
      </c>
      <c r="F18" s="28">
        <f t="shared" ca="1" si="2"/>
        <v>-4</v>
      </c>
      <c r="G18" s="28" t="str">
        <f t="shared" ca="1" si="2"/>
        <v>-</v>
      </c>
      <c r="H18" s="28">
        <f t="shared" ca="1" si="2"/>
        <v>1</v>
      </c>
      <c r="I18" s="28" t="str">
        <f t="shared" ca="1" si="2"/>
        <v>-</v>
      </c>
      <c r="J18" s="28" t="str">
        <f t="shared" ca="1" si="2"/>
        <v/>
      </c>
      <c r="K18" s="28" t="str">
        <f t="shared" ca="1" si="2"/>
        <v/>
      </c>
      <c r="L18" s="28" t="str">
        <f t="shared" ca="1" si="2"/>
        <v/>
      </c>
      <c r="M18" s="28" t="str">
        <f t="shared" ca="1" si="2"/>
        <v/>
      </c>
      <c r="N18" s="28" t="str">
        <f t="shared" ca="1" si="2"/>
        <v/>
      </c>
      <c r="O18" s="28" t="str">
        <f t="shared" ca="1" si="2"/>
        <v/>
      </c>
      <c r="P18" s="28" t="str">
        <f t="shared" ca="1" si="2"/>
        <v/>
      </c>
      <c r="Q18" s="28" t="str">
        <f t="shared" ca="1" si="2"/>
        <v/>
      </c>
      <c r="R18" s="28" t="str">
        <f t="shared" ca="1" si="2"/>
        <v/>
      </c>
      <c r="S18" s="28" t="str">
        <f t="shared" ca="1" si="2"/>
        <v/>
      </c>
      <c r="T18" s="28" t="str">
        <f t="shared" ca="1" si="2"/>
        <v/>
      </c>
      <c r="U18" s="28" t="str">
        <f t="shared" ca="1" si="2"/>
        <v/>
      </c>
      <c r="V18" s="28" t="str">
        <f t="shared" ca="1" si="2"/>
        <v/>
      </c>
      <c r="W18" s="346" t="str">
        <f t="shared" ca="1" si="2"/>
        <v/>
      </c>
      <c r="Z18" s="5">
        <f t="shared" ca="1" si="4"/>
        <v>4</v>
      </c>
      <c r="AB18" s="5">
        <f t="shared" ca="1" si="5"/>
        <v>3</v>
      </c>
      <c r="AS18" s="158">
        <f t="shared" si="6"/>
        <v>10</v>
      </c>
      <c r="AT18" s="321" t="str">
        <f ca="1">IF(CS!C$5="l",CS!C18,"-")</f>
        <v>-</v>
      </c>
      <c r="AU18" s="321" t="str">
        <f ca="1">IF(CS!D$5="l",CS!D18,"-")</f>
        <v>-</v>
      </c>
      <c r="AV18" s="321" t="str">
        <f ca="1">IF(CS!E$5="l",CS!E18,"-")</f>
        <v>-</v>
      </c>
      <c r="AW18" s="321">
        <f ca="1">IF(CS!F$5="l",CS!F18,"-")</f>
        <v>-6</v>
      </c>
      <c r="AX18" s="321" t="str">
        <f ca="1">IF(CS!G$5="l",CS!G18,"-")</f>
        <v>-</v>
      </c>
      <c r="AY18" s="321" t="str">
        <f ca="1">IF(CS!H$5="l",CS!H18,"-")</f>
        <v>-</v>
      </c>
      <c r="AZ18" s="321" t="str">
        <f ca="1">IF(CS!I$5="l",CS!I18,"-")</f>
        <v>-</v>
      </c>
      <c r="BA18" s="321">
        <f ca="1">IF(CS!J$5="l",CS!J18,"-")</f>
        <v>-4</v>
      </c>
      <c r="BB18" s="321" t="str">
        <f ca="1">IF(CS!K$5="l",CS!K18,"-")</f>
        <v>-</v>
      </c>
      <c r="BC18" s="321" t="str">
        <f ca="1">IF(CS!L$5="l",CS!L18,"-")</f>
        <v>-</v>
      </c>
      <c r="BD18" s="321" t="str">
        <f ca="1">IF(CS!M$5="l",CS!M18,"-")</f>
        <v>-</v>
      </c>
      <c r="BE18" s="321">
        <f ca="1">IF(CS!N$5="l",CS!N18,"-")</f>
        <v>1</v>
      </c>
      <c r="BF18" s="321" t="str">
        <f ca="1">IF(CS!O$5="l",CS!O18,"-")</f>
        <v>-</v>
      </c>
      <c r="BG18" s="321" t="str">
        <f ca="1">IF(CS!P$5="l",CS!P18,"-")</f>
        <v>-</v>
      </c>
      <c r="BH18" s="321" t="str">
        <f ca="1">IF(CS!Q$5="l",CS!Q18,"-")</f>
        <v>-</v>
      </c>
      <c r="BI18" s="321" t="str">
        <f ca="1">IF(CS!R$5="l",CS!R18,"-")</f>
        <v/>
      </c>
      <c r="BJ18" s="321" t="str">
        <f ca="1">IF(CS!S$5="l",CS!S18,"-")</f>
        <v>-</v>
      </c>
      <c r="BK18" s="321" t="str">
        <f ca="1">IF(CS!T$5="l",CS!T18,"-")</f>
        <v/>
      </c>
      <c r="BL18" s="321" t="str">
        <f ca="1">IF(CS!U$5="l",CS!U18,"-")</f>
        <v>-</v>
      </c>
      <c r="BM18" s="321" t="str">
        <f ca="1">IF(CS!V$5="l",CS!V18,"-")</f>
        <v/>
      </c>
      <c r="BN18" s="321" t="str">
        <f ca="1">IF(CS!W$5="l",CS!W18,"-")</f>
        <v>-</v>
      </c>
      <c r="BO18" s="321" t="str">
        <f ca="1">IF(CS!X$5="l",CS!X18,"-")</f>
        <v/>
      </c>
      <c r="BP18" s="321" t="str">
        <f ca="1">IF(CS!Y$5="l",CS!Y18,"-")</f>
        <v>-</v>
      </c>
      <c r="BQ18" s="321" t="str">
        <f ca="1">IF(CS!Z$5="l",CS!Z18,"-")</f>
        <v/>
      </c>
      <c r="BR18" s="321" t="str">
        <f ca="1">IF(CS!AA$5="l",CS!AA18,"-")</f>
        <v>-</v>
      </c>
      <c r="BS18" s="321" t="str">
        <f ca="1">IF(CS!AB$5="l",CS!AB18,"-")</f>
        <v/>
      </c>
      <c r="BT18" s="321" t="str">
        <f ca="1">IF(CS!AC$5="l",CS!AC18,"-")</f>
        <v>-</v>
      </c>
      <c r="BU18" s="321" t="str">
        <f ca="1">IF(CS!AD$5="l",CS!AD18,"-")</f>
        <v/>
      </c>
      <c r="BV18" s="321" t="str">
        <f ca="1">IF(CS!AE$5="l",CS!AE18,"-")</f>
        <v>-</v>
      </c>
      <c r="BW18" s="321" t="str">
        <f ca="1">IF(CS!AF$5="l",CS!AF18,"-")</f>
        <v/>
      </c>
      <c r="BX18" s="321" t="str">
        <f ca="1">IF(CS!AG$5="l",CS!AG18,"-")</f>
        <v>-</v>
      </c>
      <c r="BY18" s="321" t="str">
        <f ca="1">IF(CS!AH$5="l",CS!AH18,"-")</f>
        <v/>
      </c>
      <c r="BZ18" s="321" t="str">
        <f ca="1">IF(CS!AI$5="l",CS!AI18,"-")</f>
        <v>-</v>
      </c>
      <c r="CA18" s="321" t="str">
        <f ca="1">IF(CS!AJ$5="l",CS!AJ18,"-")</f>
        <v/>
      </c>
      <c r="CB18" s="321" t="str">
        <f ca="1">IF(CS!AK$5="l",CS!AK18,"-")</f>
        <v>-</v>
      </c>
      <c r="CC18" s="321" t="str">
        <f ca="1">IF(CS!AL$5="l",CS!AL18,"-")</f>
        <v/>
      </c>
      <c r="CD18" s="321" t="str">
        <f ca="1">IF(CS!AM$5="l",CS!AM18,"-")</f>
        <v>-</v>
      </c>
      <c r="CE18" s="321" t="str">
        <f ca="1">IF(CS!AN$5="l",CS!AN18,"-")</f>
        <v/>
      </c>
      <c r="CF18" s="321" t="str">
        <f ca="1">IF(CS!AO$5="l",CS!AO18,"-")</f>
        <v>-</v>
      </c>
      <c r="CG18" s="321" t="str">
        <f ca="1">IF(CS!AP$5="l",CS!AP18,"-")</f>
        <v/>
      </c>
    </row>
    <row r="19" spans="2:85" ht="15">
      <c r="B19" s="4" t="str">
        <f ca="1">CS!AR19</f>
        <v>Tm09</v>
      </c>
      <c r="C19" s="430">
        <f t="shared" ca="1" si="3"/>
        <v>4</v>
      </c>
      <c r="D19" s="28" t="str">
        <f t="shared" ca="1" si="3"/>
        <v>-</v>
      </c>
      <c r="E19" s="28">
        <f t="shared" ca="1" si="3"/>
        <v>6</v>
      </c>
      <c r="F19" s="28" t="str">
        <f t="shared" ca="1" si="2"/>
        <v>-</v>
      </c>
      <c r="G19" s="28">
        <f t="shared" ca="1" si="2"/>
        <v>-1</v>
      </c>
      <c r="H19" s="28" t="str">
        <f t="shared" ca="1" si="2"/>
        <v>-</v>
      </c>
      <c r="I19" s="28">
        <f t="shared" ca="1" si="2"/>
        <v>3</v>
      </c>
      <c r="J19" s="28" t="str">
        <f t="shared" ca="1" si="2"/>
        <v/>
      </c>
      <c r="K19" s="28" t="str">
        <f t="shared" ca="1" si="2"/>
        <v/>
      </c>
      <c r="L19" s="28" t="str">
        <f t="shared" ca="1" si="2"/>
        <v/>
      </c>
      <c r="M19" s="28" t="str">
        <f t="shared" ca="1" si="2"/>
        <v/>
      </c>
      <c r="N19" s="28" t="str">
        <f t="shared" ca="1" si="2"/>
        <v/>
      </c>
      <c r="O19" s="28" t="str">
        <f t="shared" ca="1" si="2"/>
        <v/>
      </c>
      <c r="P19" s="28" t="str">
        <f t="shared" ca="1" si="2"/>
        <v/>
      </c>
      <c r="Q19" s="28" t="str">
        <f t="shared" ca="1" si="2"/>
        <v/>
      </c>
      <c r="R19" s="28" t="str">
        <f t="shared" ca="1" si="2"/>
        <v/>
      </c>
      <c r="S19" s="28" t="str">
        <f t="shared" ca="1" si="2"/>
        <v/>
      </c>
      <c r="T19" s="28" t="str">
        <f t="shared" ca="1" si="2"/>
        <v/>
      </c>
      <c r="U19" s="28" t="str">
        <f t="shared" ca="1" si="2"/>
        <v/>
      </c>
      <c r="V19" s="28" t="str">
        <f t="shared" ca="1" si="2"/>
        <v/>
      </c>
      <c r="W19" s="346" t="str">
        <f t="shared" ca="1" si="2"/>
        <v/>
      </c>
      <c r="Z19" s="5">
        <f t="shared" ca="1" si="4"/>
        <v>3</v>
      </c>
      <c r="AB19" s="5">
        <f t="shared" ca="1" si="5"/>
        <v>4</v>
      </c>
      <c r="AS19" s="158">
        <f t="shared" si="6"/>
        <v>11</v>
      </c>
      <c r="AT19" s="321" t="str">
        <f ca="1">IF(CS!C$5="l",CS!C19,"-")</f>
        <v>-</v>
      </c>
      <c r="AU19" s="321">
        <f ca="1">IF(CS!D$5="l",CS!D19,"-")</f>
        <v>4</v>
      </c>
      <c r="AV19" s="321" t="str">
        <f ca="1">IF(CS!E$5="l",CS!E19,"-")</f>
        <v>-</v>
      </c>
      <c r="AW19" s="321" t="str">
        <f ca="1">IF(CS!F$5="l",CS!F19,"-")</f>
        <v>-</v>
      </c>
      <c r="AX19" s="321" t="str">
        <f ca="1">IF(CS!G$5="l",CS!G19,"-")</f>
        <v>-</v>
      </c>
      <c r="AY19" s="321">
        <f ca="1">IF(CS!H$5="l",CS!H19,"-")</f>
        <v>6</v>
      </c>
      <c r="AZ19" s="321" t="str">
        <f ca="1">IF(CS!I$5="l",CS!I19,"-")</f>
        <v>-</v>
      </c>
      <c r="BA19" s="321" t="str">
        <f ca="1">IF(CS!J$5="l",CS!J19,"-")</f>
        <v>-</v>
      </c>
      <c r="BB19" s="321" t="str">
        <f ca="1">IF(CS!K$5="l",CS!K19,"-")</f>
        <v>-</v>
      </c>
      <c r="BC19" s="321">
        <f ca="1">IF(CS!L$5="l",CS!L19,"-")</f>
        <v>-1</v>
      </c>
      <c r="BD19" s="321" t="str">
        <f ca="1">IF(CS!M$5="l",CS!M19,"-")</f>
        <v>-</v>
      </c>
      <c r="BE19" s="321" t="str">
        <f ca="1">IF(CS!N$5="l",CS!N19,"-")</f>
        <v>-</v>
      </c>
      <c r="BF19" s="321" t="str">
        <f ca="1">IF(CS!O$5="l",CS!O19,"-")</f>
        <v>-</v>
      </c>
      <c r="BG19" s="321">
        <f ca="1">IF(CS!P$5="l",CS!P19,"-")</f>
        <v>3</v>
      </c>
      <c r="BH19" s="321" t="str">
        <f ca="1">IF(CS!Q$5="l",CS!Q19,"-")</f>
        <v>-</v>
      </c>
      <c r="BI19" s="321" t="str">
        <f ca="1">IF(CS!R$5="l",CS!R19,"-")</f>
        <v/>
      </c>
      <c r="BJ19" s="321" t="str">
        <f ca="1">IF(CS!S$5="l",CS!S19,"-")</f>
        <v>-</v>
      </c>
      <c r="BK19" s="321" t="str">
        <f ca="1">IF(CS!T$5="l",CS!T19,"-")</f>
        <v/>
      </c>
      <c r="BL19" s="321" t="str">
        <f ca="1">IF(CS!U$5="l",CS!U19,"-")</f>
        <v>-</v>
      </c>
      <c r="BM19" s="321" t="str">
        <f ca="1">IF(CS!V$5="l",CS!V19,"-")</f>
        <v/>
      </c>
      <c r="BN19" s="321" t="str">
        <f ca="1">IF(CS!W$5="l",CS!W19,"-")</f>
        <v>-</v>
      </c>
      <c r="BO19" s="321" t="str">
        <f ca="1">IF(CS!X$5="l",CS!X19,"-")</f>
        <v/>
      </c>
      <c r="BP19" s="321" t="str">
        <f ca="1">IF(CS!Y$5="l",CS!Y19,"-")</f>
        <v>-</v>
      </c>
      <c r="BQ19" s="321" t="str">
        <f ca="1">IF(CS!Z$5="l",CS!Z19,"-")</f>
        <v/>
      </c>
      <c r="BR19" s="321" t="str">
        <f ca="1">IF(CS!AA$5="l",CS!AA19,"-")</f>
        <v>-</v>
      </c>
      <c r="BS19" s="321" t="str">
        <f ca="1">IF(CS!AB$5="l",CS!AB19,"-")</f>
        <v/>
      </c>
      <c r="BT19" s="321" t="str">
        <f ca="1">IF(CS!AC$5="l",CS!AC19,"-")</f>
        <v>-</v>
      </c>
      <c r="BU19" s="321" t="str">
        <f ca="1">IF(CS!AD$5="l",CS!AD19,"-")</f>
        <v/>
      </c>
      <c r="BV19" s="321" t="str">
        <f ca="1">IF(CS!AE$5="l",CS!AE19,"-")</f>
        <v>-</v>
      </c>
      <c r="BW19" s="321" t="str">
        <f ca="1">IF(CS!AF$5="l",CS!AF19,"-")</f>
        <v/>
      </c>
      <c r="BX19" s="321" t="str">
        <f ca="1">IF(CS!AG$5="l",CS!AG19,"-")</f>
        <v>-</v>
      </c>
      <c r="BY19" s="321" t="str">
        <f ca="1">IF(CS!AH$5="l",CS!AH19,"-")</f>
        <v/>
      </c>
      <c r="BZ19" s="321" t="str">
        <f ca="1">IF(CS!AI$5="l",CS!AI19,"-")</f>
        <v>-</v>
      </c>
      <c r="CA19" s="321" t="str">
        <f ca="1">IF(CS!AJ$5="l",CS!AJ19,"-")</f>
        <v/>
      </c>
      <c r="CB19" s="321" t="str">
        <f ca="1">IF(CS!AK$5="l",CS!AK19,"-")</f>
        <v>-</v>
      </c>
      <c r="CC19" s="321" t="str">
        <f ca="1">IF(CS!AL$5="l",CS!AL19,"-")</f>
        <v/>
      </c>
      <c r="CD19" s="321" t="str">
        <f ca="1">IF(CS!AM$5="l",CS!AM19,"-")</f>
        <v>-</v>
      </c>
      <c r="CE19" s="321" t="str">
        <f ca="1">IF(CS!AN$5="l",CS!AN19,"-")</f>
        <v/>
      </c>
      <c r="CF19" s="321" t="str">
        <f ca="1">IF(CS!AO$5="l",CS!AO19,"-")</f>
        <v>-</v>
      </c>
      <c r="CG19" s="321" t="str">
        <f ca="1">IF(CS!AP$5="l",CS!AP19,"-")</f>
        <v/>
      </c>
    </row>
    <row r="20" spans="2:85" ht="15">
      <c r="B20" s="4" t="str">
        <f ca="1">CS!AR20</f>
        <v>Tm10</v>
      </c>
      <c r="C20" s="430">
        <f t="shared" ca="1" si="3"/>
        <v>3</v>
      </c>
      <c r="D20" s="28" t="str">
        <f t="shared" ca="1" si="3"/>
        <v>-</v>
      </c>
      <c r="E20" s="28">
        <f t="shared" ca="1" si="3"/>
        <v>1</v>
      </c>
      <c r="F20" s="28" t="str">
        <f t="shared" ca="1" si="2"/>
        <v>-</v>
      </c>
      <c r="G20" s="28">
        <f t="shared" ca="1" si="2"/>
        <v>-6</v>
      </c>
      <c r="H20" s="28" t="str">
        <f t="shared" ca="1" si="2"/>
        <v>-</v>
      </c>
      <c r="I20" s="28">
        <f t="shared" ca="1" si="2"/>
        <v>-3</v>
      </c>
      <c r="J20" s="28" t="str">
        <f t="shared" ca="1" si="2"/>
        <v/>
      </c>
      <c r="K20" s="28" t="str">
        <f t="shared" ca="1" si="2"/>
        <v/>
      </c>
      <c r="L20" s="28" t="str">
        <f t="shared" ca="1" si="2"/>
        <v/>
      </c>
      <c r="M20" s="28" t="str">
        <f t="shared" ca="1" si="2"/>
        <v/>
      </c>
      <c r="N20" s="28" t="str">
        <f t="shared" ca="1" si="2"/>
        <v/>
      </c>
      <c r="O20" s="28" t="str">
        <f t="shared" ca="1" si="2"/>
        <v/>
      </c>
      <c r="P20" s="28" t="str">
        <f t="shared" ca="1" si="2"/>
        <v/>
      </c>
      <c r="Q20" s="28" t="str">
        <f t="shared" ca="1" si="2"/>
        <v/>
      </c>
      <c r="R20" s="28" t="str">
        <f t="shared" ca="1" si="2"/>
        <v/>
      </c>
      <c r="S20" s="28" t="str">
        <f t="shared" ca="1" si="2"/>
        <v/>
      </c>
      <c r="T20" s="28" t="str">
        <f t="shared" ca="1" si="2"/>
        <v/>
      </c>
      <c r="U20" s="28" t="str">
        <f t="shared" ca="1" si="2"/>
        <v/>
      </c>
      <c r="V20" s="28" t="str">
        <f t="shared" ca="1" si="2"/>
        <v/>
      </c>
      <c r="W20" s="346" t="str">
        <f t="shared" ca="1" si="2"/>
        <v/>
      </c>
      <c r="Z20" s="5">
        <f t="shared" ca="1" si="4"/>
        <v>3</v>
      </c>
      <c r="AB20" s="5">
        <f t="shared" ca="1" si="5"/>
        <v>4</v>
      </c>
      <c r="AS20" s="158">
        <f t="shared" si="6"/>
        <v>12</v>
      </c>
      <c r="AT20" s="321" t="str">
        <f ca="1">IF(CS!C$5="l",CS!C20,"-")</f>
        <v>-</v>
      </c>
      <c r="AU20" s="321">
        <f ca="1">IF(CS!D$5="l",CS!D20,"-")</f>
        <v>3</v>
      </c>
      <c r="AV20" s="321" t="str">
        <f ca="1">IF(CS!E$5="l",CS!E20,"-")</f>
        <v>-</v>
      </c>
      <c r="AW20" s="321" t="str">
        <f ca="1">IF(CS!F$5="l",CS!F20,"-")</f>
        <v>-</v>
      </c>
      <c r="AX20" s="321" t="str">
        <f ca="1">IF(CS!G$5="l",CS!G20,"-")</f>
        <v>-</v>
      </c>
      <c r="AY20" s="321">
        <f ca="1">IF(CS!H$5="l",CS!H20,"-")</f>
        <v>1</v>
      </c>
      <c r="AZ20" s="321" t="str">
        <f ca="1">IF(CS!I$5="l",CS!I20,"-")</f>
        <v>-</v>
      </c>
      <c r="BA20" s="321" t="str">
        <f ca="1">IF(CS!J$5="l",CS!J20,"-")</f>
        <v>-</v>
      </c>
      <c r="BB20" s="321" t="str">
        <f ca="1">IF(CS!K$5="l",CS!K20,"-")</f>
        <v>-</v>
      </c>
      <c r="BC20" s="321">
        <f ca="1">IF(CS!L$5="l",CS!L20,"-")</f>
        <v>-6</v>
      </c>
      <c r="BD20" s="321" t="str">
        <f ca="1">IF(CS!M$5="l",CS!M20,"-")</f>
        <v>-</v>
      </c>
      <c r="BE20" s="321" t="str">
        <f ca="1">IF(CS!N$5="l",CS!N20,"-")</f>
        <v>-</v>
      </c>
      <c r="BF20" s="321" t="str">
        <f ca="1">IF(CS!O$5="l",CS!O20,"-")</f>
        <v>-</v>
      </c>
      <c r="BG20" s="321">
        <f ca="1">IF(CS!P$5="l",CS!P20,"-")</f>
        <v>-3</v>
      </c>
      <c r="BH20" s="321" t="str">
        <f ca="1">IF(CS!Q$5="l",CS!Q20,"-")</f>
        <v>-</v>
      </c>
      <c r="BI20" s="321" t="str">
        <f ca="1">IF(CS!R$5="l",CS!R20,"-")</f>
        <v/>
      </c>
      <c r="BJ20" s="321" t="str">
        <f ca="1">IF(CS!S$5="l",CS!S20,"-")</f>
        <v>-</v>
      </c>
      <c r="BK20" s="321" t="str">
        <f ca="1">IF(CS!T$5="l",CS!T20,"-")</f>
        <v/>
      </c>
      <c r="BL20" s="321" t="str">
        <f ca="1">IF(CS!U$5="l",CS!U20,"-")</f>
        <v>-</v>
      </c>
      <c r="BM20" s="321" t="str">
        <f ca="1">IF(CS!V$5="l",CS!V20,"-")</f>
        <v/>
      </c>
      <c r="BN20" s="321" t="str">
        <f ca="1">IF(CS!W$5="l",CS!W20,"-")</f>
        <v>-</v>
      </c>
      <c r="BO20" s="321" t="str">
        <f ca="1">IF(CS!X$5="l",CS!X20,"-")</f>
        <v/>
      </c>
      <c r="BP20" s="321" t="str">
        <f ca="1">IF(CS!Y$5="l",CS!Y20,"-")</f>
        <v>-</v>
      </c>
      <c r="BQ20" s="321" t="str">
        <f ca="1">IF(CS!Z$5="l",CS!Z20,"-")</f>
        <v/>
      </c>
      <c r="BR20" s="321" t="str">
        <f ca="1">IF(CS!AA$5="l",CS!AA20,"-")</f>
        <v>-</v>
      </c>
      <c r="BS20" s="321" t="str">
        <f ca="1">IF(CS!AB$5="l",CS!AB20,"-")</f>
        <v/>
      </c>
      <c r="BT20" s="321" t="str">
        <f ca="1">IF(CS!AC$5="l",CS!AC20,"-")</f>
        <v>-</v>
      </c>
      <c r="BU20" s="321" t="str">
        <f ca="1">IF(CS!AD$5="l",CS!AD20,"-")</f>
        <v/>
      </c>
      <c r="BV20" s="321" t="str">
        <f ca="1">IF(CS!AE$5="l",CS!AE20,"-")</f>
        <v>-</v>
      </c>
      <c r="BW20" s="321" t="str">
        <f ca="1">IF(CS!AF$5="l",CS!AF20,"-")</f>
        <v/>
      </c>
      <c r="BX20" s="321" t="str">
        <f ca="1">IF(CS!AG$5="l",CS!AG20,"-")</f>
        <v>-</v>
      </c>
      <c r="BY20" s="321" t="str">
        <f ca="1">IF(CS!AH$5="l",CS!AH20,"-")</f>
        <v/>
      </c>
      <c r="BZ20" s="321" t="str">
        <f ca="1">IF(CS!AI$5="l",CS!AI20,"-")</f>
        <v>-</v>
      </c>
      <c r="CA20" s="321" t="str">
        <f ca="1">IF(CS!AJ$5="l",CS!AJ20,"-")</f>
        <v/>
      </c>
      <c r="CB20" s="321" t="str">
        <f ca="1">IF(CS!AK$5="l",CS!AK20,"-")</f>
        <v>-</v>
      </c>
      <c r="CC20" s="321" t="str">
        <f ca="1">IF(CS!AL$5="l",CS!AL20,"-")</f>
        <v/>
      </c>
      <c r="CD20" s="321" t="str">
        <f ca="1">IF(CS!AM$5="l",CS!AM20,"-")</f>
        <v>-</v>
      </c>
      <c r="CE20" s="321" t="str">
        <f ca="1">IF(CS!AN$5="l",CS!AN20,"-")</f>
        <v/>
      </c>
      <c r="CF20" s="321" t="str">
        <f ca="1">IF(CS!AO$5="l",CS!AO20,"-")</f>
        <v>-</v>
      </c>
      <c r="CG20" s="321" t="str">
        <f ca="1">IF(CS!AP$5="l",CS!AP20,"-")</f>
        <v/>
      </c>
    </row>
    <row r="21" spans="2:85" ht="15">
      <c r="B21" s="4" t="str">
        <f ca="1">CS!AR21</f>
        <v>Tm11</v>
      </c>
      <c r="C21" s="430">
        <f t="shared" ca="1" si="3"/>
        <v>5</v>
      </c>
      <c r="D21" s="28" t="str">
        <f t="shared" ca="1" si="3"/>
        <v>-</v>
      </c>
      <c r="E21" s="28">
        <f t="shared" ca="1" si="3"/>
        <v>3</v>
      </c>
      <c r="F21" s="28" t="str">
        <f t="shared" ca="1" si="2"/>
        <v>-</v>
      </c>
      <c r="G21" s="28">
        <f t="shared" ca="1" si="2"/>
        <v>6</v>
      </c>
      <c r="H21" s="28" t="str">
        <f t="shared" ca="1" si="2"/>
        <v>-</v>
      </c>
      <c r="I21" s="28">
        <f t="shared" ca="1" si="2"/>
        <v>-4</v>
      </c>
      <c r="J21" s="28" t="str">
        <f t="shared" ca="1" si="2"/>
        <v/>
      </c>
      <c r="K21" s="28" t="str">
        <f t="shared" ca="1" si="2"/>
        <v/>
      </c>
      <c r="L21" s="28" t="str">
        <f t="shared" ca="1" si="2"/>
        <v/>
      </c>
      <c r="M21" s="28" t="str">
        <f t="shared" ca="1" si="2"/>
        <v/>
      </c>
      <c r="N21" s="28" t="str">
        <f t="shared" ca="1" si="2"/>
        <v/>
      </c>
      <c r="O21" s="28" t="str">
        <f t="shared" ca="1" si="2"/>
        <v/>
      </c>
      <c r="P21" s="28" t="str">
        <f t="shared" ca="1" si="2"/>
        <v/>
      </c>
      <c r="Q21" s="28" t="str">
        <f t="shared" ca="1" si="2"/>
        <v/>
      </c>
      <c r="R21" s="28" t="str">
        <f t="shared" ca="1" si="2"/>
        <v/>
      </c>
      <c r="S21" s="28" t="str">
        <f t="shared" ca="1" si="2"/>
        <v/>
      </c>
      <c r="T21" s="28" t="str">
        <f t="shared" ca="1" si="2"/>
        <v/>
      </c>
      <c r="U21" s="28" t="str">
        <f t="shared" ca="1" si="2"/>
        <v/>
      </c>
      <c r="V21" s="28" t="str">
        <f t="shared" ca="1" si="2"/>
        <v/>
      </c>
      <c r="W21" s="346" t="str">
        <f t="shared" ca="1" si="2"/>
        <v/>
      </c>
      <c r="Z21" s="5">
        <f t="shared" ca="1" si="4"/>
        <v>3</v>
      </c>
      <c r="AB21" s="5">
        <f t="shared" ca="1" si="5"/>
        <v>4</v>
      </c>
      <c r="AS21" s="158">
        <f t="shared" si="6"/>
        <v>13</v>
      </c>
      <c r="AT21" s="321" t="str">
        <f ca="1">IF(CS!C$5="l",CS!C21,"-")</f>
        <v>-</v>
      </c>
      <c r="AU21" s="321">
        <f ca="1">IF(CS!D$5="l",CS!D21,"-")</f>
        <v>5</v>
      </c>
      <c r="AV21" s="321" t="str">
        <f ca="1">IF(CS!E$5="l",CS!E21,"-")</f>
        <v>-</v>
      </c>
      <c r="AW21" s="321" t="str">
        <f ca="1">IF(CS!F$5="l",CS!F21,"-")</f>
        <v>-</v>
      </c>
      <c r="AX21" s="321" t="str">
        <f ca="1">IF(CS!G$5="l",CS!G21,"-")</f>
        <v>-</v>
      </c>
      <c r="AY21" s="321">
        <f ca="1">IF(CS!H$5="l",CS!H21,"-")</f>
        <v>3</v>
      </c>
      <c r="AZ21" s="321" t="str">
        <f ca="1">IF(CS!I$5="l",CS!I21,"-")</f>
        <v>-</v>
      </c>
      <c r="BA21" s="321" t="str">
        <f ca="1">IF(CS!J$5="l",CS!J21,"-")</f>
        <v>-</v>
      </c>
      <c r="BB21" s="321" t="str">
        <f ca="1">IF(CS!K$5="l",CS!K21,"-")</f>
        <v>-</v>
      </c>
      <c r="BC21" s="321">
        <f ca="1">IF(CS!L$5="l",CS!L21,"-")</f>
        <v>6</v>
      </c>
      <c r="BD21" s="321" t="str">
        <f ca="1">IF(CS!M$5="l",CS!M21,"-")</f>
        <v>-</v>
      </c>
      <c r="BE21" s="321" t="str">
        <f ca="1">IF(CS!N$5="l",CS!N21,"-")</f>
        <v>-</v>
      </c>
      <c r="BF21" s="321" t="str">
        <f ca="1">IF(CS!O$5="l",CS!O21,"-")</f>
        <v>-</v>
      </c>
      <c r="BG21" s="321">
        <f ca="1">IF(CS!P$5="l",CS!P21,"-")</f>
        <v>-4</v>
      </c>
      <c r="BH21" s="321" t="str">
        <f ca="1">IF(CS!Q$5="l",CS!Q21,"-")</f>
        <v>-</v>
      </c>
      <c r="BI21" s="321" t="str">
        <f ca="1">IF(CS!R$5="l",CS!R21,"-")</f>
        <v/>
      </c>
      <c r="BJ21" s="321" t="str">
        <f ca="1">IF(CS!S$5="l",CS!S21,"-")</f>
        <v>-</v>
      </c>
      <c r="BK21" s="321" t="str">
        <f ca="1">IF(CS!T$5="l",CS!T21,"-")</f>
        <v/>
      </c>
      <c r="BL21" s="321" t="str">
        <f ca="1">IF(CS!U$5="l",CS!U21,"-")</f>
        <v>-</v>
      </c>
      <c r="BM21" s="321" t="str">
        <f ca="1">IF(CS!V$5="l",CS!V21,"-")</f>
        <v/>
      </c>
      <c r="BN21" s="321" t="str">
        <f ca="1">IF(CS!W$5="l",CS!W21,"-")</f>
        <v>-</v>
      </c>
      <c r="BO21" s="321" t="str">
        <f ca="1">IF(CS!X$5="l",CS!X21,"-")</f>
        <v/>
      </c>
      <c r="BP21" s="321" t="str">
        <f ca="1">IF(CS!Y$5="l",CS!Y21,"-")</f>
        <v>-</v>
      </c>
      <c r="BQ21" s="321" t="str">
        <f ca="1">IF(CS!Z$5="l",CS!Z21,"-")</f>
        <v/>
      </c>
      <c r="BR21" s="321" t="str">
        <f ca="1">IF(CS!AA$5="l",CS!AA21,"-")</f>
        <v>-</v>
      </c>
      <c r="BS21" s="321" t="str">
        <f ca="1">IF(CS!AB$5="l",CS!AB21,"-")</f>
        <v/>
      </c>
      <c r="BT21" s="321" t="str">
        <f ca="1">IF(CS!AC$5="l",CS!AC21,"-")</f>
        <v>-</v>
      </c>
      <c r="BU21" s="321" t="str">
        <f ca="1">IF(CS!AD$5="l",CS!AD21,"-")</f>
        <v/>
      </c>
      <c r="BV21" s="321" t="str">
        <f ca="1">IF(CS!AE$5="l",CS!AE21,"-")</f>
        <v>-</v>
      </c>
      <c r="BW21" s="321" t="str">
        <f ca="1">IF(CS!AF$5="l",CS!AF21,"-")</f>
        <v/>
      </c>
      <c r="BX21" s="321" t="str">
        <f ca="1">IF(CS!AG$5="l",CS!AG21,"-")</f>
        <v>-</v>
      </c>
      <c r="BY21" s="321" t="str">
        <f ca="1">IF(CS!AH$5="l",CS!AH21,"-")</f>
        <v/>
      </c>
      <c r="BZ21" s="321" t="str">
        <f ca="1">IF(CS!AI$5="l",CS!AI21,"-")</f>
        <v>-</v>
      </c>
      <c r="CA21" s="321" t="str">
        <f ca="1">IF(CS!AJ$5="l",CS!AJ21,"-")</f>
        <v/>
      </c>
      <c r="CB21" s="321" t="str">
        <f ca="1">IF(CS!AK$5="l",CS!AK21,"-")</f>
        <v>-</v>
      </c>
      <c r="CC21" s="321" t="str">
        <f ca="1">IF(CS!AL$5="l",CS!AL21,"-")</f>
        <v/>
      </c>
      <c r="CD21" s="321" t="str">
        <f ca="1">IF(CS!AM$5="l",CS!AM21,"-")</f>
        <v>-</v>
      </c>
      <c r="CE21" s="321" t="str">
        <f ca="1">IF(CS!AN$5="l",CS!AN21,"-")</f>
        <v/>
      </c>
      <c r="CF21" s="321" t="str">
        <f ca="1">IF(CS!AO$5="l",CS!AO21,"-")</f>
        <v>-</v>
      </c>
      <c r="CG21" s="321" t="str">
        <f ca="1">IF(CS!AP$5="l",CS!AP21,"-")</f>
        <v/>
      </c>
    </row>
    <row r="22" spans="2:85" ht="15">
      <c r="B22" s="4" t="str">
        <f ca="1">CS!AR22</f>
        <v>Tm12</v>
      </c>
      <c r="C22" s="430">
        <f t="shared" ca="1" si="3"/>
        <v>2</v>
      </c>
      <c r="D22" s="28" t="str">
        <f t="shared" ca="1" si="3"/>
        <v>-</v>
      </c>
      <c r="E22" s="28">
        <f t="shared" ca="1" si="3"/>
        <v>5</v>
      </c>
      <c r="F22" s="28" t="str">
        <f t="shared" ca="1" si="2"/>
        <v>-</v>
      </c>
      <c r="G22" s="28">
        <f t="shared" ca="1" si="2"/>
        <v>1</v>
      </c>
      <c r="H22" s="28" t="str">
        <f t="shared" ca="1" si="2"/>
        <v>-</v>
      </c>
      <c r="I22" s="28">
        <f t="shared" ca="1" si="2"/>
        <v>4</v>
      </c>
      <c r="J22" s="28" t="str">
        <f t="shared" ca="1" si="2"/>
        <v/>
      </c>
      <c r="K22" s="28" t="str">
        <f t="shared" ca="1" si="2"/>
        <v/>
      </c>
      <c r="L22" s="28" t="str">
        <f t="shared" ca="1" si="2"/>
        <v/>
      </c>
      <c r="M22" s="28" t="str">
        <f t="shared" ca="1" si="2"/>
        <v/>
      </c>
      <c r="N22" s="28" t="str">
        <f t="shared" ca="1" si="2"/>
        <v/>
      </c>
      <c r="O22" s="28" t="str">
        <f t="shared" ca="1" si="2"/>
        <v/>
      </c>
      <c r="P22" s="28" t="str">
        <f t="shared" ca="1" si="2"/>
        <v/>
      </c>
      <c r="Q22" s="28" t="str">
        <f t="shared" ca="1" si="2"/>
        <v/>
      </c>
      <c r="R22" s="28" t="str">
        <f t="shared" ca="1" si="2"/>
        <v/>
      </c>
      <c r="S22" s="28" t="str">
        <f t="shared" ca="1" si="2"/>
        <v/>
      </c>
      <c r="T22" s="28" t="str">
        <f t="shared" ca="1" si="2"/>
        <v/>
      </c>
      <c r="U22" s="28" t="str">
        <f t="shared" ca="1" si="2"/>
        <v/>
      </c>
      <c r="V22" s="28" t="str">
        <f t="shared" ca="1" si="2"/>
        <v/>
      </c>
      <c r="W22" s="346" t="str">
        <f t="shared" ca="1" si="2"/>
        <v/>
      </c>
      <c r="Z22" s="5">
        <f t="shared" ca="1" si="4"/>
        <v>3</v>
      </c>
      <c r="AB22" s="5">
        <f t="shared" ca="1" si="5"/>
        <v>4</v>
      </c>
      <c r="AS22" s="158">
        <f t="shared" si="6"/>
        <v>14</v>
      </c>
      <c r="AT22" s="321" t="str">
        <f ca="1">IF(CS!C$5="l",CS!C22,"-")</f>
        <v>-</v>
      </c>
      <c r="AU22" s="321">
        <f ca="1">IF(CS!D$5="l",CS!D22,"-")</f>
        <v>2</v>
      </c>
      <c r="AV22" s="321" t="str">
        <f ca="1">IF(CS!E$5="l",CS!E22,"-")</f>
        <v>-</v>
      </c>
      <c r="AW22" s="321" t="str">
        <f ca="1">IF(CS!F$5="l",CS!F22,"-")</f>
        <v>-</v>
      </c>
      <c r="AX22" s="321" t="str">
        <f ca="1">IF(CS!G$5="l",CS!G22,"-")</f>
        <v>-</v>
      </c>
      <c r="AY22" s="321">
        <f ca="1">IF(CS!H$5="l",CS!H22,"-")</f>
        <v>5</v>
      </c>
      <c r="AZ22" s="321" t="str">
        <f ca="1">IF(CS!I$5="l",CS!I22,"-")</f>
        <v>-</v>
      </c>
      <c r="BA22" s="321" t="str">
        <f ca="1">IF(CS!J$5="l",CS!J22,"-")</f>
        <v>-</v>
      </c>
      <c r="BB22" s="321" t="str">
        <f ca="1">IF(CS!K$5="l",CS!K22,"-")</f>
        <v>-</v>
      </c>
      <c r="BC22" s="321">
        <f ca="1">IF(CS!L$5="l",CS!L22,"-")</f>
        <v>1</v>
      </c>
      <c r="BD22" s="321" t="str">
        <f ca="1">IF(CS!M$5="l",CS!M22,"-")</f>
        <v>-</v>
      </c>
      <c r="BE22" s="321" t="str">
        <f ca="1">IF(CS!N$5="l",CS!N22,"-")</f>
        <v>-</v>
      </c>
      <c r="BF22" s="321" t="str">
        <f ca="1">IF(CS!O$5="l",CS!O22,"-")</f>
        <v>-</v>
      </c>
      <c r="BG22" s="321">
        <f ca="1">IF(CS!P$5="l",CS!P22,"-")</f>
        <v>4</v>
      </c>
      <c r="BH22" s="321" t="str">
        <f ca="1">IF(CS!Q$5="l",CS!Q22,"-")</f>
        <v>-</v>
      </c>
      <c r="BI22" s="321" t="str">
        <f ca="1">IF(CS!R$5="l",CS!R22,"-")</f>
        <v/>
      </c>
      <c r="BJ22" s="321" t="str">
        <f ca="1">IF(CS!S$5="l",CS!S22,"-")</f>
        <v>-</v>
      </c>
      <c r="BK22" s="321" t="str">
        <f ca="1">IF(CS!T$5="l",CS!T22,"-")</f>
        <v/>
      </c>
      <c r="BL22" s="321" t="str">
        <f ca="1">IF(CS!U$5="l",CS!U22,"-")</f>
        <v>-</v>
      </c>
      <c r="BM22" s="321" t="str">
        <f ca="1">IF(CS!V$5="l",CS!V22,"-")</f>
        <v/>
      </c>
      <c r="BN22" s="321" t="str">
        <f ca="1">IF(CS!W$5="l",CS!W22,"-")</f>
        <v>-</v>
      </c>
      <c r="BO22" s="321" t="str">
        <f ca="1">IF(CS!X$5="l",CS!X22,"-")</f>
        <v/>
      </c>
      <c r="BP22" s="321" t="str">
        <f ca="1">IF(CS!Y$5="l",CS!Y22,"-")</f>
        <v>-</v>
      </c>
      <c r="BQ22" s="321" t="str">
        <f ca="1">IF(CS!Z$5="l",CS!Z22,"-")</f>
        <v/>
      </c>
      <c r="BR22" s="321" t="str">
        <f ca="1">IF(CS!AA$5="l",CS!AA22,"-")</f>
        <v>-</v>
      </c>
      <c r="BS22" s="321" t="str">
        <f ca="1">IF(CS!AB$5="l",CS!AB22,"-")</f>
        <v/>
      </c>
      <c r="BT22" s="321" t="str">
        <f ca="1">IF(CS!AC$5="l",CS!AC22,"-")</f>
        <v>-</v>
      </c>
      <c r="BU22" s="321" t="str">
        <f ca="1">IF(CS!AD$5="l",CS!AD22,"-")</f>
        <v/>
      </c>
      <c r="BV22" s="321" t="str">
        <f ca="1">IF(CS!AE$5="l",CS!AE22,"-")</f>
        <v>-</v>
      </c>
      <c r="BW22" s="321" t="str">
        <f ca="1">IF(CS!AF$5="l",CS!AF22,"-")</f>
        <v/>
      </c>
      <c r="BX22" s="321" t="str">
        <f ca="1">IF(CS!AG$5="l",CS!AG22,"-")</f>
        <v>-</v>
      </c>
      <c r="BY22" s="321" t="str">
        <f ca="1">IF(CS!AH$5="l",CS!AH22,"-")</f>
        <v/>
      </c>
      <c r="BZ22" s="321" t="str">
        <f ca="1">IF(CS!AI$5="l",CS!AI22,"-")</f>
        <v>-</v>
      </c>
      <c r="CA22" s="321" t="str">
        <f ca="1">IF(CS!AJ$5="l",CS!AJ22,"-")</f>
        <v/>
      </c>
      <c r="CB22" s="321" t="str">
        <f ca="1">IF(CS!AK$5="l",CS!AK22,"-")</f>
        <v>-</v>
      </c>
      <c r="CC22" s="321" t="str">
        <f ca="1">IF(CS!AL$5="l",CS!AL22,"-")</f>
        <v/>
      </c>
      <c r="CD22" s="321" t="str">
        <f ca="1">IF(CS!AM$5="l",CS!AM22,"-")</f>
        <v>-</v>
      </c>
      <c r="CE22" s="321" t="str">
        <f ca="1">IF(CS!AN$5="l",CS!AN22,"-")</f>
        <v/>
      </c>
      <c r="CF22" s="321" t="str">
        <f ca="1">IF(CS!AO$5="l",CS!AO22,"-")</f>
        <v>-</v>
      </c>
      <c r="CG22" s="321" t="str">
        <f ca="1">IF(CS!AP$5="l",CS!AP22,"-")</f>
        <v/>
      </c>
    </row>
    <row r="23" spans="2:85" ht="15">
      <c r="B23" s="4" t="str">
        <f ca="1">CS!AR23</f>
        <v>Tm13</v>
      </c>
      <c r="C23" s="430">
        <f t="shared" ca="1" si="3"/>
        <v>-3</v>
      </c>
      <c r="D23" s="28" t="str">
        <f t="shared" ca="1" si="3"/>
        <v>-</v>
      </c>
      <c r="E23" s="28">
        <f t="shared" ca="1" si="3"/>
        <v>-5</v>
      </c>
      <c r="F23" s="28" t="str">
        <f t="shared" ca="1" si="2"/>
        <v>-</v>
      </c>
      <c r="G23" s="28">
        <f t="shared" ca="1" si="2"/>
        <v>3</v>
      </c>
      <c r="H23" s="28" t="str">
        <f t="shared" ca="1" si="2"/>
        <v>-</v>
      </c>
      <c r="I23" s="28">
        <f t="shared" ca="1" si="2"/>
        <v>-2</v>
      </c>
      <c r="J23" s="28" t="str">
        <f t="shared" ca="1" si="2"/>
        <v/>
      </c>
      <c r="K23" s="28" t="str">
        <f t="shared" ca="1" si="2"/>
        <v/>
      </c>
      <c r="L23" s="28" t="str">
        <f t="shared" ca="1" si="2"/>
        <v/>
      </c>
      <c r="M23" s="28" t="str">
        <f t="shared" ca="1" si="2"/>
        <v/>
      </c>
      <c r="N23" s="28" t="str">
        <f t="shared" ca="1" si="2"/>
        <v/>
      </c>
      <c r="O23" s="28" t="str">
        <f t="shared" ca="1" si="2"/>
        <v/>
      </c>
      <c r="P23" s="28" t="str">
        <f t="shared" ca="1" si="2"/>
        <v/>
      </c>
      <c r="Q23" s="28" t="str">
        <f t="shared" ca="1" si="2"/>
        <v/>
      </c>
      <c r="R23" s="28" t="str">
        <f t="shared" ca="1" si="2"/>
        <v/>
      </c>
      <c r="S23" s="28" t="str">
        <f t="shared" ca="1" si="2"/>
        <v/>
      </c>
      <c r="T23" s="28" t="str">
        <f t="shared" ca="1" si="2"/>
        <v/>
      </c>
      <c r="U23" s="28" t="str">
        <f t="shared" ca="1" si="2"/>
        <v/>
      </c>
      <c r="V23" s="28" t="str">
        <f t="shared" ca="1" si="2"/>
        <v/>
      </c>
      <c r="W23" s="346" t="str">
        <f t="shared" ca="1" si="2"/>
        <v/>
      </c>
      <c r="Z23" s="5">
        <f t="shared" ca="1" si="4"/>
        <v>3</v>
      </c>
      <c r="AB23" s="5">
        <f t="shared" ca="1" si="5"/>
        <v>4</v>
      </c>
      <c r="AS23" s="158">
        <f t="shared" si="6"/>
        <v>15</v>
      </c>
      <c r="AT23" s="321" t="str">
        <f ca="1">IF(CS!C$5="l",CS!C23,"-")</f>
        <v>-</v>
      </c>
      <c r="AU23" s="321">
        <f ca="1">IF(CS!D$5="l",CS!D23,"-")</f>
        <v>-3</v>
      </c>
      <c r="AV23" s="321" t="str">
        <f ca="1">IF(CS!E$5="l",CS!E23,"-")</f>
        <v>-</v>
      </c>
      <c r="AW23" s="321" t="str">
        <f ca="1">IF(CS!F$5="l",CS!F23,"-")</f>
        <v>-</v>
      </c>
      <c r="AX23" s="321" t="str">
        <f ca="1">IF(CS!G$5="l",CS!G23,"-")</f>
        <v>-</v>
      </c>
      <c r="AY23" s="321">
        <f ca="1">IF(CS!H$5="l",CS!H23,"-")</f>
        <v>-5</v>
      </c>
      <c r="AZ23" s="321" t="str">
        <f ca="1">IF(CS!I$5="l",CS!I23,"-")</f>
        <v>-</v>
      </c>
      <c r="BA23" s="321" t="str">
        <f ca="1">IF(CS!J$5="l",CS!J23,"-")</f>
        <v>-</v>
      </c>
      <c r="BB23" s="321" t="str">
        <f ca="1">IF(CS!K$5="l",CS!K23,"-")</f>
        <v>-</v>
      </c>
      <c r="BC23" s="321">
        <f ca="1">IF(CS!L$5="l",CS!L23,"-")</f>
        <v>3</v>
      </c>
      <c r="BD23" s="321" t="str">
        <f ca="1">IF(CS!M$5="l",CS!M23,"-")</f>
        <v>-</v>
      </c>
      <c r="BE23" s="321" t="str">
        <f ca="1">IF(CS!N$5="l",CS!N23,"-")</f>
        <v>-</v>
      </c>
      <c r="BF23" s="321" t="str">
        <f ca="1">IF(CS!O$5="l",CS!O23,"-")</f>
        <v>-</v>
      </c>
      <c r="BG23" s="321">
        <f ca="1">IF(CS!P$5="l",CS!P23,"-")</f>
        <v>-2</v>
      </c>
      <c r="BH23" s="321" t="str">
        <f ca="1">IF(CS!Q$5="l",CS!Q23,"-")</f>
        <v>-</v>
      </c>
      <c r="BI23" s="321" t="str">
        <f ca="1">IF(CS!R$5="l",CS!R23,"-")</f>
        <v/>
      </c>
      <c r="BJ23" s="321" t="str">
        <f ca="1">IF(CS!S$5="l",CS!S23,"-")</f>
        <v>-</v>
      </c>
      <c r="BK23" s="321" t="str">
        <f ca="1">IF(CS!T$5="l",CS!T23,"-")</f>
        <v/>
      </c>
      <c r="BL23" s="321" t="str">
        <f ca="1">IF(CS!U$5="l",CS!U23,"-")</f>
        <v>-</v>
      </c>
      <c r="BM23" s="321" t="str">
        <f ca="1">IF(CS!V$5="l",CS!V23,"-")</f>
        <v/>
      </c>
      <c r="BN23" s="321" t="str">
        <f ca="1">IF(CS!W$5="l",CS!W23,"-")</f>
        <v>-</v>
      </c>
      <c r="BO23" s="321" t="str">
        <f ca="1">IF(CS!X$5="l",CS!X23,"-")</f>
        <v/>
      </c>
      <c r="BP23" s="321" t="str">
        <f ca="1">IF(CS!Y$5="l",CS!Y23,"-")</f>
        <v>-</v>
      </c>
      <c r="BQ23" s="321" t="str">
        <f ca="1">IF(CS!Z$5="l",CS!Z23,"-")</f>
        <v/>
      </c>
      <c r="BR23" s="321" t="str">
        <f ca="1">IF(CS!AA$5="l",CS!AA23,"-")</f>
        <v>-</v>
      </c>
      <c r="BS23" s="321" t="str">
        <f ca="1">IF(CS!AB$5="l",CS!AB23,"-")</f>
        <v/>
      </c>
      <c r="BT23" s="321" t="str">
        <f ca="1">IF(CS!AC$5="l",CS!AC23,"-")</f>
        <v>-</v>
      </c>
      <c r="BU23" s="321" t="str">
        <f ca="1">IF(CS!AD$5="l",CS!AD23,"-")</f>
        <v/>
      </c>
      <c r="BV23" s="321" t="str">
        <f ca="1">IF(CS!AE$5="l",CS!AE23,"-")</f>
        <v>-</v>
      </c>
      <c r="BW23" s="321" t="str">
        <f ca="1">IF(CS!AF$5="l",CS!AF23,"-")</f>
        <v/>
      </c>
      <c r="BX23" s="321" t="str">
        <f ca="1">IF(CS!AG$5="l",CS!AG23,"-")</f>
        <v>-</v>
      </c>
      <c r="BY23" s="321" t="str">
        <f ca="1">IF(CS!AH$5="l",CS!AH23,"-")</f>
        <v/>
      </c>
      <c r="BZ23" s="321" t="str">
        <f ca="1">IF(CS!AI$5="l",CS!AI23,"-")</f>
        <v>-</v>
      </c>
      <c r="CA23" s="321" t="str">
        <f ca="1">IF(CS!AJ$5="l",CS!AJ23,"-")</f>
        <v/>
      </c>
      <c r="CB23" s="321" t="str">
        <f ca="1">IF(CS!AK$5="l",CS!AK23,"-")</f>
        <v>-</v>
      </c>
      <c r="CC23" s="321" t="str">
        <f ca="1">IF(CS!AL$5="l",CS!AL23,"-")</f>
        <v/>
      </c>
      <c r="CD23" s="321" t="str">
        <f ca="1">IF(CS!AM$5="l",CS!AM23,"-")</f>
        <v>-</v>
      </c>
      <c r="CE23" s="321" t="str">
        <f ca="1">IF(CS!AN$5="l",CS!AN23,"-")</f>
        <v/>
      </c>
      <c r="CF23" s="321" t="str">
        <f ca="1">IF(CS!AO$5="l",CS!AO23,"-")</f>
        <v>-</v>
      </c>
      <c r="CG23" s="321" t="str">
        <f ca="1">IF(CS!AP$5="l",CS!AP23,"-")</f>
        <v/>
      </c>
    </row>
    <row r="24" spans="2:85" ht="15">
      <c r="B24" s="4" t="str">
        <f ca="1">CS!AR24</f>
        <v>Tm14</v>
      </c>
      <c r="C24" s="430">
        <f t="shared" ca="1" si="3"/>
        <v>-4</v>
      </c>
      <c r="D24" s="28" t="str">
        <f t="shared" ca="1" si="3"/>
        <v>-</v>
      </c>
      <c r="E24" s="28">
        <f t="shared" ca="1" si="3"/>
        <v>-3</v>
      </c>
      <c r="F24" s="28" t="str">
        <f t="shared" ca="1" si="2"/>
        <v>-</v>
      </c>
      <c r="G24" s="28">
        <f t="shared" ca="1" si="2"/>
        <v>4</v>
      </c>
      <c r="H24" s="28" t="str">
        <f t="shared" ca="1" si="2"/>
        <v>-</v>
      </c>
      <c r="I24" s="28">
        <f t="shared" ca="1" si="2"/>
        <v>2</v>
      </c>
      <c r="J24" s="28" t="str">
        <f t="shared" ca="1" si="2"/>
        <v/>
      </c>
      <c r="K24" s="28" t="str">
        <f t="shared" ca="1" si="2"/>
        <v/>
      </c>
      <c r="L24" s="28" t="str">
        <f t="shared" ca="1" si="2"/>
        <v/>
      </c>
      <c r="M24" s="28" t="str">
        <f t="shared" ca="1" si="2"/>
        <v/>
      </c>
      <c r="N24" s="28" t="str">
        <f t="shared" ca="1" si="2"/>
        <v/>
      </c>
      <c r="O24" s="28" t="str">
        <f t="shared" ca="1" si="2"/>
        <v/>
      </c>
      <c r="P24" s="28" t="str">
        <f t="shared" ca="1" si="2"/>
        <v/>
      </c>
      <c r="Q24" s="28" t="str">
        <f t="shared" ca="1" si="2"/>
        <v/>
      </c>
      <c r="R24" s="28" t="str">
        <f t="shared" ca="1" si="2"/>
        <v/>
      </c>
      <c r="S24" s="28" t="str">
        <f t="shared" ca="1" si="2"/>
        <v/>
      </c>
      <c r="T24" s="28" t="str">
        <f t="shared" ca="1" si="2"/>
        <v/>
      </c>
      <c r="U24" s="28" t="str">
        <f t="shared" ca="1" si="2"/>
        <v/>
      </c>
      <c r="V24" s="28" t="str">
        <f t="shared" ca="1" si="2"/>
        <v/>
      </c>
      <c r="W24" s="346" t="str">
        <f t="shared" ca="1" si="2"/>
        <v/>
      </c>
      <c r="Z24" s="5">
        <f t="shared" ca="1" si="4"/>
        <v>3</v>
      </c>
      <c r="AB24" s="5">
        <f t="shared" ca="1" si="5"/>
        <v>4</v>
      </c>
      <c r="AS24" s="158">
        <f t="shared" si="6"/>
        <v>16</v>
      </c>
      <c r="AT24" s="321" t="str">
        <f ca="1">IF(CS!C$5="l",CS!C24,"-")</f>
        <v>-</v>
      </c>
      <c r="AU24" s="321">
        <f ca="1">IF(CS!D$5="l",CS!D24,"-")</f>
        <v>-4</v>
      </c>
      <c r="AV24" s="321" t="str">
        <f ca="1">IF(CS!E$5="l",CS!E24,"-")</f>
        <v>-</v>
      </c>
      <c r="AW24" s="321" t="str">
        <f ca="1">IF(CS!F$5="l",CS!F24,"-")</f>
        <v>-</v>
      </c>
      <c r="AX24" s="321" t="str">
        <f ca="1">IF(CS!G$5="l",CS!G24,"-")</f>
        <v>-</v>
      </c>
      <c r="AY24" s="321">
        <f ca="1">IF(CS!H$5="l",CS!H24,"-")</f>
        <v>-3</v>
      </c>
      <c r="AZ24" s="321" t="str">
        <f ca="1">IF(CS!I$5="l",CS!I24,"-")</f>
        <v>-</v>
      </c>
      <c r="BA24" s="321" t="str">
        <f ca="1">IF(CS!J$5="l",CS!J24,"-")</f>
        <v>-</v>
      </c>
      <c r="BB24" s="321" t="str">
        <f ca="1">IF(CS!K$5="l",CS!K24,"-")</f>
        <v>-</v>
      </c>
      <c r="BC24" s="321">
        <f ca="1">IF(CS!L$5="l",CS!L24,"-")</f>
        <v>4</v>
      </c>
      <c r="BD24" s="321" t="str">
        <f ca="1">IF(CS!M$5="l",CS!M24,"-")</f>
        <v>-</v>
      </c>
      <c r="BE24" s="321" t="str">
        <f ca="1">IF(CS!N$5="l",CS!N24,"-")</f>
        <v>-</v>
      </c>
      <c r="BF24" s="321" t="str">
        <f ca="1">IF(CS!O$5="l",CS!O24,"-")</f>
        <v>-</v>
      </c>
      <c r="BG24" s="321">
        <f ca="1">IF(CS!P$5="l",CS!P24,"-")</f>
        <v>2</v>
      </c>
      <c r="BH24" s="321" t="str">
        <f ca="1">IF(CS!Q$5="l",CS!Q24,"-")</f>
        <v>-</v>
      </c>
      <c r="BI24" s="321" t="str">
        <f ca="1">IF(CS!R$5="l",CS!R24,"-")</f>
        <v/>
      </c>
      <c r="BJ24" s="321" t="str">
        <f ca="1">IF(CS!S$5="l",CS!S24,"-")</f>
        <v>-</v>
      </c>
      <c r="BK24" s="321" t="str">
        <f ca="1">IF(CS!T$5="l",CS!T24,"-")</f>
        <v/>
      </c>
      <c r="BL24" s="321" t="str">
        <f ca="1">IF(CS!U$5="l",CS!U24,"-")</f>
        <v>-</v>
      </c>
      <c r="BM24" s="321" t="str">
        <f ca="1">IF(CS!V$5="l",CS!V24,"-")</f>
        <v/>
      </c>
      <c r="BN24" s="321" t="str">
        <f ca="1">IF(CS!W$5="l",CS!W24,"-")</f>
        <v>-</v>
      </c>
      <c r="BO24" s="321" t="str">
        <f ca="1">IF(CS!X$5="l",CS!X24,"-")</f>
        <v/>
      </c>
      <c r="BP24" s="321" t="str">
        <f ca="1">IF(CS!Y$5="l",CS!Y24,"-")</f>
        <v>-</v>
      </c>
      <c r="BQ24" s="321" t="str">
        <f ca="1">IF(CS!Z$5="l",CS!Z24,"-")</f>
        <v/>
      </c>
      <c r="BR24" s="321" t="str">
        <f ca="1">IF(CS!AA$5="l",CS!AA24,"-")</f>
        <v>-</v>
      </c>
      <c r="BS24" s="321" t="str">
        <f ca="1">IF(CS!AB$5="l",CS!AB24,"-")</f>
        <v/>
      </c>
      <c r="BT24" s="321" t="str">
        <f ca="1">IF(CS!AC$5="l",CS!AC24,"-")</f>
        <v>-</v>
      </c>
      <c r="BU24" s="321" t="str">
        <f ca="1">IF(CS!AD$5="l",CS!AD24,"-")</f>
        <v/>
      </c>
      <c r="BV24" s="321" t="str">
        <f ca="1">IF(CS!AE$5="l",CS!AE24,"-")</f>
        <v>-</v>
      </c>
      <c r="BW24" s="321" t="str">
        <f ca="1">IF(CS!AF$5="l",CS!AF24,"-")</f>
        <v/>
      </c>
      <c r="BX24" s="321" t="str">
        <f ca="1">IF(CS!AG$5="l",CS!AG24,"-")</f>
        <v>-</v>
      </c>
      <c r="BY24" s="321" t="str">
        <f ca="1">IF(CS!AH$5="l",CS!AH24,"-")</f>
        <v/>
      </c>
      <c r="BZ24" s="321" t="str">
        <f ca="1">IF(CS!AI$5="l",CS!AI24,"-")</f>
        <v>-</v>
      </c>
      <c r="CA24" s="321" t="str">
        <f ca="1">IF(CS!AJ$5="l",CS!AJ24,"-")</f>
        <v/>
      </c>
      <c r="CB24" s="321" t="str">
        <f ca="1">IF(CS!AK$5="l",CS!AK24,"-")</f>
        <v>-</v>
      </c>
      <c r="CC24" s="321" t="str">
        <f ca="1">IF(CS!AL$5="l",CS!AL24,"-")</f>
        <v/>
      </c>
      <c r="CD24" s="321" t="str">
        <f ca="1">IF(CS!AM$5="l",CS!AM24,"-")</f>
        <v>-</v>
      </c>
      <c r="CE24" s="321" t="str">
        <f ca="1">IF(CS!AN$5="l",CS!AN24,"-")</f>
        <v/>
      </c>
      <c r="CF24" s="321" t="str">
        <f ca="1">IF(CS!AO$5="l",CS!AO24,"-")</f>
        <v>-</v>
      </c>
      <c r="CG24" s="321" t="str">
        <f ca="1">IF(CS!AP$5="l",CS!AP24,"-")</f>
        <v/>
      </c>
    </row>
    <row r="25" spans="2:85" ht="15">
      <c r="B25" s="4" t="str">
        <f ca="1">CS!AR25</f>
        <v>Tm15</v>
      </c>
      <c r="C25" s="430">
        <f t="shared" ca="1" si="3"/>
        <v>-5</v>
      </c>
      <c r="D25" s="28" t="str">
        <f t="shared" ca="1" si="3"/>
        <v>-</v>
      </c>
      <c r="E25" s="28">
        <f t="shared" ca="1" si="3"/>
        <v>-1</v>
      </c>
      <c r="F25" s="28" t="str">
        <f t="shared" ca="1" si="2"/>
        <v>-</v>
      </c>
      <c r="G25" s="28">
        <f t="shared" ca="1" si="2"/>
        <v>-4</v>
      </c>
      <c r="H25" s="28" t="str">
        <f t="shared" ca="1" si="2"/>
        <v>-</v>
      </c>
      <c r="I25" s="28">
        <f t="shared" ca="1" si="2"/>
        <v>5</v>
      </c>
      <c r="J25" s="28" t="str">
        <f t="shared" ca="1" si="2"/>
        <v/>
      </c>
      <c r="K25" s="28" t="str">
        <f t="shared" ca="1" si="2"/>
        <v/>
      </c>
      <c r="L25" s="28" t="str">
        <f t="shared" ca="1" si="2"/>
        <v/>
      </c>
      <c r="M25" s="28" t="str">
        <f t="shared" ca="1" si="2"/>
        <v/>
      </c>
      <c r="N25" s="28" t="str">
        <f t="shared" ca="1" si="2"/>
        <v/>
      </c>
      <c r="O25" s="28" t="str">
        <f t="shared" ca="1" si="2"/>
        <v/>
      </c>
      <c r="P25" s="28" t="str">
        <f t="shared" ca="1" si="2"/>
        <v/>
      </c>
      <c r="Q25" s="28" t="str">
        <f t="shared" ca="1" si="2"/>
        <v/>
      </c>
      <c r="R25" s="28" t="str">
        <f t="shared" ca="1" si="2"/>
        <v/>
      </c>
      <c r="S25" s="28" t="str">
        <f t="shared" ca="1" si="2"/>
        <v/>
      </c>
      <c r="T25" s="28" t="str">
        <f t="shared" ca="1" si="2"/>
        <v/>
      </c>
      <c r="U25" s="28" t="str">
        <f t="shared" ca="1" si="2"/>
        <v/>
      </c>
      <c r="V25" s="28" t="str">
        <f t="shared" ref="F25:W40" ca="1" si="7">IF(V$9="","",IF(ISERROR(HLOOKUP(V$9,INDIRECT(V$59),$AS25,FALSE)),"-",HLOOKUP(V$9,INDIRECT(V$59),$AS25,FALSE)))</f>
        <v/>
      </c>
      <c r="W25" s="346" t="str">
        <f t="shared" ca="1" si="7"/>
        <v/>
      </c>
      <c r="Z25" s="5">
        <f t="shared" ca="1" si="4"/>
        <v>3</v>
      </c>
      <c r="AB25" s="5">
        <f t="shared" ca="1" si="5"/>
        <v>4</v>
      </c>
      <c r="AS25" s="158">
        <f t="shared" si="6"/>
        <v>17</v>
      </c>
      <c r="AT25" s="321" t="str">
        <f ca="1">IF(CS!C$5="l",CS!C25,"-")</f>
        <v>-</v>
      </c>
      <c r="AU25" s="321">
        <f ca="1">IF(CS!D$5="l",CS!D25,"-")</f>
        <v>-5</v>
      </c>
      <c r="AV25" s="321" t="str">
        <f ca="1">IF(CS!E$5="l",CS!E25,"-")</f>
        <v>-</v>
      </c>
      <c r="AW25" s="321" t="str">
        <f ca="1">IF(CS!F$5="l",CS!F25,"-")</f>
        <v>-</v>
      </c>
      <c r="AX25" s="321" t="str">
        <f ca="1">IF(CS!G$5="l",CS!G25,"-")</f>
        <v>-</v>
      </c>
      <c r="AY25" s="321">
        <f ca="1">IF(CS!H$5="l",CS!H25,"-")</f>
        <v>-1</v>
      </c>
      <c r="AZ25" s="321" t="str">
        <f ca="1">IF(CS!I$5="l",CS!I25,"-")</f>
        <v>-</v>
      </c>
      <c r="BA25" s="321" t="str">
        <f ca="1">IF(CS!J$5="l",CS!J25,"-")</f>
        <v>-</v>
      </c>
      <c r="BB25" s="321" t="str">
        <f ca="1">IF(CS!K$5="l",CS!K25,"-")</f>
        <v>-</v>
      </c>
      <c r="BC25" s="321">
        <f ca="1">IF(CS!L$5="l",CS!L25,"-")</f>
        <v>-4</v>
      </c>
      <c r="BD25" s="321" t="str">
        <f ca="1">IF(CS!M$5="l",CS!M25,"-")</f>
        <v>-</v>
      </c>
      <c r="BE25" s="321" t="str">
        <f ca="1">IF(CS!N$5="l",CS!N25,"-")</f>
        <v>-</v>
      </c>
      <c r="BF25" s="321" t="str">
        <f ca="1">IF(CS!O$5="l",CS!O25,"-")</f>
        <v>-</v>
      </c>
      <c r="BG25" s="321">
        <f ca="1">IF(CS!P$5="l",CS!P25,"-")</f>
        <v>5</v>
      </c>
      <c r="BH25" s="321" t="str">
        <f ca="1">IF(CS!Q$5="l",CS!Q25,"-")</f>
        <v>-</v>
      </c>
      <c r="BI25" s="321" t="str">
        <f ca="1">IF(CS!R$5="l",CS!R25,"-")</f>
        <v/>
      </c>
      <c r="BJ25" s="321" t="str">
        <f ca="1">IF(CS!S$5="l",CS!S25,"-")</f>
        <v>-</v>
      </c>
      <c r="BK25" s="321" t="str">
        <f ca="1">IF(CS!T$5="l",CS!T25,"-")</f>
        <v/>
      </c>
      <c r="BL25" s="321" t="str">
        <f ca="1">IF(CS!U$5="l",CS!U25,"-")</f>
        <v>-</v>
      </c>
      <c r="BM25" s="321" t="str">
        <f ca="1">IF(CS!V$5="l",CS!V25,"-")</f>
        <v/>
      </c>
      <c r="BN25" s="321" t="str">
        <f ca="1">IF(CS!W$5="l",CS!W25,"-")</f>
        <v>-</v>
      </c>
      <c r="BO25" s="321" t="str">
        <f ca="1">IF(CS!X$5="l",CS!X25,"-")</f>
        <v/>
      </c>
      <c r="BP25" s="321" t="str">
        <f ca="1">IF(CS!Y$5="l",CS!Y25,"-")</f>
        <v>-</v>
      </c>
      <c r="BQ25" s="321" t="str">
        <f ca="1">IF(CS!Z$5="l",CS!Z25,"-")</f>
        <v/>
      </c>
      <c r="BR25" s="321" t="str">
        <f ca="1">IF(CS!AA$5="l",CS!AA25,"-")</f>
        <v>-</v>
      </c>
      <c r="BS25" s="321" t="str">
        <f ca="1">IF(CS!AB$5="l",CS!AB25,"-")</f>
        <v/>
      </c>
      <c r="BT25" s="321" t="str">
        <f ca="1">IF(CS!AC$5="l",CS!AC25,"-")</f>
        <v>-</v>
      </c>
      <c r="BU25" s="321" t="str">
        <f ca="1">IF(CS!AD$5="l",CS!AD25,"-")</f>
        <v/>
      </c>
      <c r="BV25" s="321" t="str">
        <f ca="1">IF(CS!AE$5="l",CS!AE25,"-")</f>
        <v>-</v>
      </c>
      <c r="BW25" s="321" t="str">
        <f ca="1">IF(CS!AF$5="l",CS!AF25,"-")</f>
        <v/>
      </c>
      <c r="BX25" s="321" t="str">
        <f ca="1">IF(CS!AG$5="l",CS!AG25,"-")</f>
        <v>-</v>
      </c>
      <c r="BY25" s="321" t="str">
        <f ca="1">IF(CS!AH$5="l",CS!AH25,"-")</f>
        <v/>
      </c>
      <c r="BZ25" s="321" t="str">
        <f ca="1">IF(CS!AI$5="l",CS!AI25,"-")</f>
        <v>-</v>
      </c>
      <c r="CA25" s="321" t="str">
        <f ca="1">IF(CS!AJ$5="l",CS!AJ25,"-")</f>
        <v/>
      </c>
      <c r="CB25" s="321" t="str">
        <f ca="1">IF(CS!AK$5="l",CS!AK25,"-")</f>
        <v>-</v>
      </c>
      <c r="CC25" s="321" t="str">
        <f ca="1">IF(CS!AL$5="l",CS!AL25,"-")</f>
        <v/>
      </c>
      <c r="CD25" s="321" t="str">
        <f ca="1">IF(CS!AM$5="l",CS!AM25,"-")</f>
        <v>-</v>
      </c>
      <c r="CE25" s="321" t="str">
        <f ca="1">IF(CS!AN$5="l",CS!AN25,"-")</f>
        <v/>
      </c>
      <c r="CF25" s="321" t="str">
        <f ca="1">IF(CS!AO$5="l",CS!AO25,"-")</f>
        <v>-</v>
      </c>
      <c r="CG25" s="321" t="str">
        <f ca="1">IF(CS!AP$5="l",CS!AP25,"-")</f>
        <v/>
      </c>
    </row>
    <row r="26" spans="2:85" ht="15">
      <c r="B26" s="4" t="str">
        <f ca="1">CS!AR26</f>
        <v>Tm16</v>
      </c>
      <c r="C26" s="430">
        <f t="shared" ca="1" si="3"/>
        <v>-2</v>
      </c>
      <c r="D26" s="28" t="str">
        <f t="shared" ca="1" si="3"/>
        <v>-</v>
      </c>
      <c r="E26" s="28">
        <f t="shared" ca="1" si="3"/>
        <v>-6</v>
      </c>
      <c r="F26" s="28" t="str">
        <f t="shared" ca="1" si="7"/>
        <v>-</v>
      </c>
      <c r="G26" s="28">
        <f t="shared" ca="1" si="7"/>
        <v>-3</v>
      </c>
      <c r="H26" s="28" t="str">
        <f t="shared" ca="1" si="7"/>
        <v>-</v>
      </c>
      <c r="I26" s="28">
        <f t="shared" ca="1" si="7"/>
        <v>-5</v>
      </c>
      <c r="J26" s="28" t="str">
        <f t="shared" ca="1" si="7"/>
        <v/>
      </c>
      <c r="K26" s="28" t="str">
        <f t="shared" ca="1" si="7"/>
        <v/>
      </c>
      <c r="L26" s="28" t="str">
        <f t="shared" ca="1" si="7"/>
        <v/>
      </c>
      <c r="M26" s="28" t="str">
        <f t="shared" ca="1" si="7"/>
        <v/>
      </c>
      <c r="N26" s="28" t="str">
        <f t="shared" ca="1" si="7"/>
        <v/>
      </c>
      <c r="O26" s="28" t="str">
        <f t="shared" ca="1" si="7"/>
        <v/>
      </c>
      <c r="P26" s="28" t="str">
        <f t="shared" ca="1" si="7"/>
        <v/>
      </c>
      <c r="Q26" s="28" t="str">
        <f t="shared" ca="1" si="7"/>
        <v/>
      </c>
      <c r="R26" s="28" t="str">
        <f t="shared" ca="1" si="7"/>
        <v/>
      </c>
      <c r="S26" s="28" t="str">
        <f t="shared" ca="1" si="7"/>
        <v/>
      </c>
      <c r="T26" s="28" t="str">
        <f t="shared" ca="1" si="7"/>
        <v/>
      </c>
      <c r="U26" s="28" t="str">
        <f t="shared" ca="1" si="7"/>
        <v/>
      </c>
      <c r="V26" s="28" t="str">
        <f t="shared" ca="1" si="7"/>
        <v/>
      </c>
      <c r="W26" s="346" t="str">
        <f t="shared" ca="1" si="7"/>
        <v/>
      </c>
      <c r="Z26" s="5">
        <f t="shared" ca="1" si="4"/>
        <v>3</v>
      </c>
      <c r="AB26" s="5">
        <f t="shared" ca="1" si="5"/>
        <v>4</v>
      </c>
      <c r="AS26" s="158">
        <f t="shared" si="6"/>
        <v>18</v>
      </c>
      <c r="AT26" s="321" t="str">
        <f ca="1">IF(CS!C$5="l",CS!C26,"-")</f>
        <v>-</v>
      </c>
      <c r="AU26" s="321">
        <f ca="1">IF(CS!D$5="l",CS!D26,"-")</f>
        <v>-2</v>
      </c>
      <c r="AV26" s="321" t="str">
        <f ca="1">IF(CS!E$5="l",CS!E26,"-")</f>
        <v>-</v>
      </c>
      <c r="AW26" s="321" t="str">
        <f ca="1">IF(CS!F$5="l",CS!F26,"-")</f>
        <v>-</v>
      </c>
      <c r="AX26" s="321" t="str">
        <f ca="1">IF(CS!G$5="l",CS!G26,"-")</f>
        <v>-</v>
      </c>
      <c r="AY26" s="321">
        <f ca="1">IF(CS!H$5="l",CS!H26,"-")</f>
        <v>-6</v>
      </c>
      <c r="AZ26" s="321" t="str">
        <f ca="1">IF(CS!I$5="l",CS!I26,"-")</f>
        <v>-</v>
      </c>
      <c r="BA26" s="321" t="str">
        <f ca="1">IF(CS!J$5="l",CS!J26,"-")</f>
        <v>-</v>
      </c>
      <c r="BB26" s="321" t="str">
        <f ca="1">IF(CS!K$5="l",CS!K26,"-")</f>
        <v>-</v>
      </c>
      <c r="BC26" s="321">
        <f ca="1">IF(CS!L$5="l",CS!L26,"-")</f>
        <v>-3</v>
      </c>
      <c r="BD26" s="321" t="str">
        <f ca="1">IF(CS!M$5="l",CS!M26,"-")</f>
        <v>-</v>
      </c>
      <c r="BE26" s="321" t="str">
        <f ca="1">IF(CS!N$5="l",CS!N26,"-")</f>
        <v>-</v>
      </c>
      <c r="BF26" s="321" t="str">
        <f ca="1">IF(CS!O$5="l",CS!O26,"-")</f>
        <v>-</v>
      </c>
      <c r="BG26" s="321">
        <f ca="1">IF(CS!P$5="l",CS!P26,"-")</f>
        <v>-5</v>
      </c>
      <c r="BH26" s="321" t="str">
        <f ca="1">IF(CS!Q$5="l",CS!Q26,"-")</f>
        <v>-</v>
      </c>
      <c r="BI26" s="321" t="str">
        <f ca="1">IF(CS!R$5="l",CS!R26,"-")</f>
        <v/>
      </c>
      <c r="BJ26" s="321" t="str">
        <f ca="1">IF(CS!S$5="l",CS!S26,"-")</f>
        <v>-</v>
      </c>
      <c r="BK26" s="321" t="str">
        <f ca="1">IF(CS!T$5="l",CS!T26,"-")</f>
        <v/>
      </c>
      <c r="BL26" s="321" t="str">
        <f ca="1">IF(CS!U$5="l",CS!U26,"-")</f>
        <v>-</v>
      </c>
      <c r="BM26" s="321" t="str">
        <f ca="1">IF(CS!V$5="l",CS!V26,"-")</f>
        <v/>
      </c>
      <c r="BN26" s="321" t="str">
        <f ca="1">IF(CS!W$5="l",CS!W26,"-")</f>
        <v>-</v>
      </c>
      <c r="BO26" s="321" t="str">
        <f ca="1">IF(CS!X$5="l",CS!X26,"-")</f>
        <v/>
      </c>
      <c r="BP26" s="321" t="str">
        <f ca="1">IF(CS!Y$5="l",CS!Y26,"-")</f>
        <v>-</v>
      </c>
      <c r="BQ26" s="321" t="str">
        <f ca="1">IF(CS!Z$5="l",CS!Z26,"-")</f>
        <v/>
      </c>
      <c r="BR26" s="321" t="str">
        <f ca="1">IF(CS!AA$5="l",CS!AA26,"-")</f>
        <v>-</v>
      </c>
      <c r="BS26" s="321" t="str">
        <f ca="1">IF(CS!AB$5="l",CS!AB26,"-")</f>
        <v/>
      </c>
      <c r="BT26" s="321" t="str">
        <f ca="1">IF(CS!AC$5="l",CS!AC26,"-")</f>
        <v>-</v>
      </c>
      <c r="BU26" s="321" t="str">
        <f ca="1">IF(CS!AD$5="l",CS!AD26,"-")</f>
        <v/>
      </c>
      <c r="BV26" s="321" t="str">
        <f ca="1">IF(CS!AE$5="l",CS!AE26,"-")</f>
        <v>-</v>
      </c>
      <c r="BW26" s="321" t="str">
        <f ca="1">IF(CS!AF$5="l",CS!AF26,"-")</f>
        <v/>
      </c>
      <c r="BX26" s="321" t="str">
        <f ca="1">IF(CS!AG$5="l",CS!AG26,"-")</f>
        <v>-</v>
      </c>
      <c r="BY26" s="321" t="str">
        <f ca="1">IF(CS!AH$5="l",CS!AH26,"-")</f>
        <v/>
      </c>
      <c r="BZ26" s="321" t="str">
        <f ca="1">IF(CS!AI$5="l",CS!AI26,"-")</f>
        <v>-</v>
      </c>
      <c r="CA26" s="321" t="str">
        <f ca="1">IF(CS!AJ$5="l",CS!AJ26,"-")</f>
        <v/>
      </c>
      <c r="CB26" s="321" t="str">
        <f ca="1">IF(CS!AK$5="l",CS!AK26,"-")</f>
        <v>-</v>
      </c>
      <c r="CC26" s="321" t="str">
        <f ca="1">IF(CS!AL$5="l",CS!AL26,"-")</f>
        <v/>
      </c>
      <c r="CD26" s="321" t="str">
        <f ca="1">IF(CS!AM$5="l",CS!AM26,"-")</f>
        <v>-</v>
      </c>
      <c r="CE26" s="321" t="str">
        <f ca="1">IF(CS!AN$5="l",CS!AN26,"-")</f>
        <v/>
      </c>
      <c r="CF26" s="321" t="str">
        <f ca="1">IF(CS!AO$5="l",CS!AO26,"-")</f>
        <v>-</v>
      </c>
      <c r="CG26" s="321" t="str">
        <f ca="1">IF(CS!AP$5="l",CS!AP26,"-")</f>
        <v/>
      </c>
    </row>
    <row r="27" spans="2:85" ht="15">
      <c r="B27" s="4" t="str">
        <f ca="1">CS!AR27</f>
        <v>Tm17</v>
      </c>
      <c r="C27" s="430">
        <f t="shared" ca="1" si="3"/>
        <v>-6</v>
      </c>
      <c r="D27" s="28">
        <f t="shared" ca="1" si="3"/>
        <v>3</v>
      </c>
      <c r="E27" s="28" t="str">
        <f t="shared" ca="1" si="3"/>
        <v>-</v>
      </c>
      <c r="F27" s="28" t="str">
        <f t="shared" ca="1" si="7"/>
        <v>-</v>
      </c>
      <c r="G27" s="28" t="str">
        <f t="shared" ca="1" si="7"/>
        <v>-</v>
      </c>
      <c r="H27" s="28">
        <f t="shared" ca="1" si="7"/>
        <v>4</v>
      </c>
      <c r="I27" s="28" t="str">
        <f t="shared" ca="1" si="7"/>
        <v>-</v>
      </c>
      <c r="J27" s="28" t="str">
        <f t="shared" ca="1" si="7"/>
        <v/>
      </c>
      <c r="K27" s="28" t="str">
        <f t="shared" ca="1" si="7"/>
        <v/>
      </c>
      <c r="L27" s="28" t="str">
        <f t="shared" ca="1" si="7"/>
        <v/>
      </c>
      <c r="M27" s="28" t="str">
        <f t="shared" ca="1" si="7"/>
        <v/>
      </c>
      <c r="N27" s="28" t="str">
        <f t="shared" ca="1" si="7"/>
        <v/>
      </c>
      <c r="O27" s="28" t="str">
        <f t="shared" ca="1" si="7"/>
        <v/>
      </c>
      <c r="P27" s="28" t="str">
        <f t="shared" ca="1" si="7"/>
        <v/>
      </c>
      <c r="Q27" s="28" t="str">
        <f t="shared" ca="1" si="7"/>
        <v/>
      </c>
      <c r="R27" s="28" t="str">
        <f t="shared" ca="1" si="7"/>
        <v/>
      </c>
      <c r="S27" s="28" t="str">
        <f t="shared" ca="1" si="7"/>
        <v/>
      </c>
      <c r="T27" s="28" t="str">
        <f t="shared" ca="1" si="7"/>
        <v/>
      </c>
      <c r="U27" s="28" t="str">
        <f t="shared" ca="1" si="7"/>
        <v/>
      </c>
      <c r="V27" s="28" t="str">
        <f t="shared" ca="1" si="7"/>
        <v/>
      </c>
      <c r="W27" s="346" t="str">
        <f t="shared" ca="1" si="7"/>
        <v/>
      </c>
      <c r="Z27" s="5">
        <f t="shared" ca="1" si="4"/>
        <v>4</v>
      </c>
      <c r="AB27" s="5">
        <f t="shared" ca="1" si="5"/>
        <v>3</v>
      </c>
      <c r="AS27" s="158">
        <f t="shared" si="6"/>
        <v>19</v>
      </c>
      <c r="AT27" s="321" t="str">
        <f ca="1">IF(CS!C$5="l",CS!C27,"-")</f>
        <v>-</v>
      </c>
      <c r="AU27" s="321">
        <f ca="1">IF(CS!D$5="l",CS!D27,"-")</f>
        <v>-6</v>
      </c>
      <c r="AV27" s="321" t="str">
        <f ca="1">IF(CS!E$5="l",CS!E27,"-")</f>
        <v>-</v>
      </c>
      <c r="AW27" s="321">
        <f ca="1">IF(CS!F$5="l",CS!F27,"-")</f>
        <v>3</v>
      </c>
      <c r="AX27" s="321" t="str">
        <f ca="1">IF(CS!G$5="l",CS!G27,"-")</f>
        <v>-</v>
      </c>
      <c r="AY27" s="321" t="str">
        <f ca="1">IF(CS!H$5="l",CS!H27,"-")</f>
        <v>-</v>
      </c>
      <c r="AZ27" s="321" t="str">
        <f ca="1">IF(CS!I$5="l",CS!I27,"-")</f>
        <v>-</v>
      </c>
      <c r="BA27" s="321" t="str">
        <f ca="1">IF(CS!J$5="l",CS!J27,"-")</f>
        <v>-</v>
      </c>
      <c r="BB27" s="321" t="str">
        <f ca="1">IF(CS!K$5="l",CS!K27,"-")</f>
        <v>-</v>
      </c>
      <c r="BC27" s="321" t="str">
        <f ca="1">IF(CS!L$5="l",CS!L27,"-")</f>
        <v>-</v>
      </c>
      <c r="BD27" s="321" t="str">
        <f ca="1">IF(CS!M$5="l",CS!M27,"-")</f>
        <v>-</v>
      </c>
      <c r="BE27" s="321">
        <f ca="1">IF(CS!N$5="l",CS!N27,"-")</f>
        <v>4</v>
      </c>
      <c r="BF27" s="321" t="str">
        <f ca="1">IF(CS!O$5="l",CS!O27,"-")</f>
        <v>-</v>
      </c>
      <c r="BG27" s="321" t="str">
        <f ca="1">IF(CS!P$5="l",CS!P27,"-")</f>
        <v>-</v>
      </c>
      <c r="BH27" s="321" t="str">
        <f ca="1">IF(CS!Q$5="l",CS!Q27,"-")</f>
        <v>-</v>
      </c>
      <c r="BI27" s="321" t="str">
        <f ca="1">IF(CS!R$5="l",CS!R27,"-")</f>
        <v/>
      </c>
      <c r="BJ27" s="321" t="str">
        <f ca="1">IF(CS!S$5="l",CS!S27,"-")</f>
        <v>-</v>
      </c>
      <c r="BK27" s="321" t="str">
        <f ca="1">IF(CS!T$5="l",CS!T27,"-")</f>
        <v/>
      </c>
      <c r="BL27" s="321" t="str">
        <f ca="1">IF(CS!U$5="l",CS!U27,"-")</f>
        <v>-</v>
      </c>
      <c r="BM27" s="321" t="str">
        <f ca="1">IF(CS!V$5="l",CS!V27,"-")</f>
        <v/>
      </c>
      <c r="BN27" s="321" t="str">
        <f ca="1">IF(CS!W$5="l",CS!W27,"-")</f>
        <v>-</v>
      </c>
      <c r="BO27" s="321" t="str">
        <f ca="1">IF(CS!X$5="l",CS!X27,"-")</f>
        <v/>
      </c>
      <c r="BP27" s="321" t="str">
        <f ca="1">IF(CS!Y$5="l",CS!Y27,"-")</f>
        <v>-</v>
      </c>
      <c r="BQ27" s="321" t="str">
        <f ca="1">IF(CS!Z$5="l",CS!Z27,"-")</f>
        <v/>
      </c>
      <c r="BR27" s="321" t="str">
        <f ca="1">IF(CS!AA$5="l",CS!AA27,"-")</f>
        <v>-</v>
      </c>
      <c r="BS27" s="321" t="str">
        <f ca="1">IF(CS!AB$5="l",CS!AB27,"-")</f>
        <v/>
      </c>
      <c r="BT27" s="321" t="str">
        <f ca="1">IF(CS!AC$5="l",CS!AC27,"-")</f>
        <v>-</v>
      </c>
      <c r="BU27" s="321" t="str">
        <f ca="1">IF(CS!AD$5="l",CS!AD27,"-")</f>
        <v/>
      </c>
      <c r="BV27" s="321" t="str">
        <f ca="1">IF(CS!AE$5="l",CS!AE27,"-")</f>
        <v>-</v>
      </c>
      <c r="BW27" s="321" t="str">
        <f ca="1">IF(CS!AF$5="l",CS!AF27,"-")</f>
        <v/>
      </c>
      <c r="BX27" s="321" t="str">
        <f ca="1">IF(CS!AG$5="l",CS!AG27,"-")</f>
        <v>-</v>
      </c>
      <c r="BY27" s="321" t="str">
        <f ca="1">IF(CS!AH$5="l",CS!AH27,"-")</f>
        <v/>
      </c>
      <c r="BZ27" s="321" t="str">
        <f ca="1">IF(CS!AI$5="l",CS!AI27,"-")</f>
        <v>-</v>
      </c>
      <c r="CA27" s="321" t="str">
        <f ca="1">IF(CS!AJ$5="l",CS!AJ27,"-")</f>
        <v/>
      </c>
      <c r="CB27" s="321" t="str">
        <f ca="1">IF(CS!AK$5="l",CS!AK27,"-")</f>
        <v>-</v>
      </c>
      <c r="CC27" s="321" t="str">
        <f ca="1">IF(CS!AL$5="l",CS!AL27,"-")</f>
        <v/>
      </c>
      <c r="CD27" s="321" t="str">
        <f ca="1">IF(CS!AM$5="l",CS!AM27,"-")</f>
        <v>-</v>
      </c>
      <c r="CE27" s="321" t="str">
        <f ca="1">IF(CS!AN$5="l",CS!AN27,"-")</f>
        <v/>
      </c>
      <c r="CF27" s="321" t="str">
        <f ca="1">IF(CS!AO$5="l",CS!AO27,"-")</f>
        <v>-</v>
      </c>
      <c r="CG27" s="321" t="str">
        <f ca="1">IF(CS!AP$5="l",CS!AP27,"-")</f>
        <v/>
      </c>
    </row>
    <row r="28" spans="2:85" ht="15">
      <c r="B28" s="4" t="str">
        <f ca="1">CS!AR28</f>
        <v>Tm18</v>
      </c>
      <c r="C28" s="430" t="str">
        <f t="shared" ca="1" si="3"/>
        <v>-</v>
      </c>
      <c r="D28" s="28">
        <f t="shared" ca="1" si="3"/>
        <v>2</v>
      </c>
      <c r="E28" s="28" t="str">
        <f t="shared" ca="1" si="3"/>
        <v>-</v>
      </c>
      <c r="F28" s="28">
        <f t="shared" ca="1" si="7"/>
        <v>-6</v>
      </c>
      <c r="G28" s="28" t="str">
        <f t="shared" ca="1" si="7"/>
        <v>-</v>
      </c>
      <c r="H28" s="28">
        <f t="shared" ca="1" si="7"/>
        <v>-3</v>
      </c>
      <c r="I28" s="28" t="str">
        <f t="shared" ca="1" si="7"/>
        <v>-</v>
      </c>
      <c r="J28" s="28" t="str">
        <f t="shared" ca="1" si="7"/>
        <v/>
      </c>
      <c r="K28" s="28" t="str">
        <f t="shared" ca="1" si="7"/>
        <v/>
      </c>
      <c r="L28" s="28" t="str">
        <f t="shared" ca="1" si="7"/>
        <v/>
      </c>
      <c r="M28" s="28" t="str">
        <f t="shared" ca="1" si="7"/>
        <v/>
      </c>
      <c r="N28" s="28" t="str">
        <f t="shared" ca="1" si="7"/>
        <v/>
      </c>
      <c r="O28" s="28" t="str">
        <f t="shared" ca="1" si="7"/>
        <v/>
      </c>
      <c r="P28" s="28" t="str">
        <f t="shared" ca="1" si="7"/>
        <v/>
      </c>
      <c r="Q28" s="28" t="str">
        <f t="shared" ca="1" si="7"/>
        <v/>
      </c>
      <c r="R28" s="28" t="str">
        <f t="shared" ca="1" si="7"/>
        <v/>
      </c>
      <c r="S28" s="28" t="str">
        <f t="shared" ca="1" si="7"/>
        <v/>
      </c>
      <c r="T28" s="28" t="str">
        <f t="shared" ca="1" si="7"/>
        <v/>
      </c>
      <c r="U28" s="28" t="str">
        <f t="shared" ca="1" si="7"/>
        <v/>
      </c>
      <c r="V28" s="28" t="str">
        <f t="shared" ca="1" si="7"/>
        <v/>
      </c>
      <c r="W28" s="346" t="str">
        <f t="shared" ca="1" si="7"/>
        <v/>
      </c>
      <c r="Z28" s="5">
        <f t="shared" ca="1" si="4"/>
        <v>4</v>
      </c>
      <c r="AB28" s="5">
        <f t="shared" ca="1" si="5"/>
        <v>3</v>
      </c>
      <c r="AS28" s="158">
        <f t="shared" si="6"/>
        <v>20</v>
      </c>
      <c r="AT28" s="321" t="str">
        <f ca="1">IF(CS!C$5="l",CS!C28,"-")</f>
        <v>-</v>
      </c>
      <c r="AU28" s="321" t="str">
        <f ca="1">IF(CS!D$5="l",CS!D28,"-")</f>
        <v>-</v>
      </c>
      <c r="AV28" s="321" t="str">
        <f ca="1">IF(CS!E$5="l",CS!E28,"-")</f>
        <v>-</v>
      </c>
      <c r="AW28" s="321">
        <f ca="1">IF(CS!F$5="l",CS!F28,"-")</f>
        <v>2</v>
      </c>
      <c r="AX28" s="321" t="str">
        <f ca="1">IF(CS!G$5="l",CS!G28,"-")</f>
        <v>-</v>
      </c>
      <c r="AY28" s="321" t="str">
        <f ca="1">IF(CS!H$5="l",CS!H28,"-")</f>
        <v>-</v>
      </c>
      <c r="AZ28" s="321" t="str">
        <f ca="1">IF(CS!I$5="l",CS!I28,"-")</f>
        <v>-</v>
      </c>
      <c r="BA28" s="321">
        <f ca="1">IF(CS!J$5="l",CS!J28,"-")</f>
        <v>-6</v>
      </c>
      <c r="BB28" s="321" t="str">
        <f ca="1">IF(CS!K$5="l",CS!K28,"-")</f>
        <v>-</v>
      </c>
      <c r="BC28" s="321" t="str">
        <f ca="1">IF(CS!L$5="l",CS!L28,"-")</f>
        <v>-</v>
      </c>
      <c r="BD28" s="321" t="str">
        <f ca="1">IF(CS!M$5="l",CS!M28,"-")</f>
        <v>-</v>
      </c>
      <c r="BE28" s="321">
        <f ca="1">IF(CS!N$5="l",CS!N28,"-")</f>
        <v>-3</v>
      </c>
      <c r="BF28" s="321" t="str">
        <f ca="1">IF(CS!O$5="l",CS!O28,"-")</f>
        <v>-</v>
      </c>
      <c r="BG28" s="321" t="str">
        <f ca="1">IF(CS!P$5="l",CS!P28,"-")</f>
        <v>-</v>
      </c>
      <c r="BH28" s="321" t="str">
        <f ca="1">IF(CS!Q$5="l",CS!Q28,"-")</f>
        <v>-</v>
      </c>
      <c r="BI28" s="321" t="str">
        <f ca="1">IF(CS!R$5="l",CS!R28,"-")</f>
        <v/>
      </c>
      <c r="BJ28" s="321" t="str">
        <f ca="1">IF(CS!S$5="l",CS!S28,"-")</f>
        <v>-</v>
      </c>
      <c r="BK28" s="321" t="str">
        <f ca="1">IF(CS!T$5="l",CS!T28,"-")</f>
        <v/>
      </c>
      <c r="BL28" s="321" t="str">
        <f ca="1">IF(CS!U$5="l",CS!U28,"-")</f>
        <v>-</v>
      </c>
      <c r="BM28" s="321" t="str">
        <f ca="1">IF(CS!V$5="l",CS!V28,"-")</f>
        <v/>
      </c>
      <c r="BN28" s="321" t="str">
        <f ca="1">IF(CS!W$5="l",CS!W28,"-")</f>
        <v>-</v>
      </c>
      <c r="BO28" s="321" t="str">
        <f ca="1">IF(CS!X$5="l",CS!X28,"-")</f>
        <v/>
      </c>
      <c r="BP28" s="321" t="str">
        <f ca="1">IF(CS!Y$5="l",CS!Y28,"-")</f>
        <v>-</v>
      </c>
      <c r="BQ28" s="321" t="str">
        <f ca="1">IF(CS!Z$5="l",CS!Z28,"-")</f>
        <v/>
      </c>
      <c r="BR28" s="321" t="str">
        <f ca="1">IF(CS!AA$5="l",CS!AA28,"-")</f>
        <v>-</v>
      </c>
      <c r="BS28" s="321" t="str">
        <f ca="1">IF(CS!AB$5="l",CS!AB28,"-")</f>
        <v/>
      </c>
      <c r="BT28" s="321" t="str">
        <f ca="1">IF(CS!AC$5="l",CS!AC28,"-")</f>
        <v>-</v>
      </c>
      <c r="BU28" s="321" t="str">
        <f ca="1">IF(CS!AD$5="l",CS!AD28,"-")</f>
        <v/>
      </c>
      <c r="BV28" s="321" t="str">
        <f ca="1">IF(CS!AE$5="l",CS!AE28,"-")</f>
        <v>-</v>
      </c>
      <c r="BW28" s="321" t="str">
        <f ca="1">IF(CS!AF$5="l",CS!AF28,"-")</f>
        <v/>
      </c>
      <c r="BX28" s="321" t="str">
        <f ca="1">IF(CS!AG$5="l",CS!AG28,"-")</f>
        <v>-</v>
      </c>
      <c r="BY28" s="321" t="str">
        <f ca="1">IF(CS!AH$5="l",CS!AH28,"-")</f>
        <v/>
      </c>
      <c r="BZ28" s="321" t="str">
        <f ca="1">IF(CS!AI$5="l",CS!AI28,"-")</f>
        <v>-</v>
      </c>
      <c r="CA28" s="321" t="str">
        <f ca="1">IF(CS!AJ$5="l",CS!AJ28,"-")</f>
        <v/>
      </c>
      <c r="CB28" s="321" t="str">
        <f ca="1">IF(CS!AK$5="l",CS!AK28,"-")</f>
        <v>-</v>
      </c>
      <c r="CC28" s="321" t="str">
        <f ca="1">IF(CS!AL$5="l",CS!AL28,"-")</f>
        <v/>
      </c>
      <c r="CD28" s="321" t="str">
        <f ca="1">IF(CS!AM$5="l",CS!AM28,"-")</f>
        <v>-</v>
      </c>
      <c r="CE28" s="321" t="str">
        <f ca="1">IF(CS!AN$5="l",CS!AN28,"-")</f>
        <v/>
      </c>
      <c r="CF28" s="321" t="str">
        <f ca="1">IF(CS!AO$5="l",CS!AO28,"-")</f>
        <v>-</v>
      </c>
      <c r="CG28" s="321" t="str">
        <f ca="1">IF(CS!AP$5="l",CS!AP28,"-")</f>
        <v/>
      </c>
    </row>
    <row r="29" spans="2:85" ht="15">
      <c r="B29" s="4" t="str">
        <f ca="1">CS!AR29</f>
        <v>Tm19</v>
      </c>
      <c r="C29" s="430" t="str">
        <f t="shared" ca="1" si="3"/>
        <v>-</v>
      </c>
      <c r="D29" s="28" t="str">
        <f t="shared" ca="1" si="3"/>
        <v>-</v>
      </c>
      <c r="E29" s="28">
        <f t="shared" ca="1" si="3"/>
        <v>-2</v>
      </c>
      <c r="F29" s="28">
        <f t="shared" ca="1" si="7"/>
        <v>1</v>
      </c>
      <c r="G29" s="28" t="str">
        <f t="shared" ca="1" si="7"/>
        <v>-</v>
      </c>
      <c r="H29" s="28">
        <f t="shared" ca="1" si="7"/>
        <v>-4</v>
      </c>
      <c r="I29" s="28" t="str">
        <f t="shared" ca="1" si="7"/>
        <v>-</v>
      </c>
      <c r="J29" s="28" t="str">
        <f t="shared" ca="1" si="7"/>
        <v/>
      </c>
      <c r="K29" s="28" t="str">
        <f t="shared" ca="1" si="7"/>
        <v/>
      </c>
      <c r="L29" s="28" t="str">
        <f t="shared" ca="1" si="7"/>
        <v/>
      </c>
      <c r="M29" s="28" t="str">
        <f t="shared" ca="1" si="7"/>
        <v/>
      </c>
      <c r="N29" s="28" t="str">
        <f t="shared" ca="1" si="7"/>
        <v/>
      </c>
      <c r="O29" s="28" t="str">
        <f t="shared" ca="1" si="7"/>
        <v/>
      </c>
      <c r="P29" s="28" t="str">
        <f t="shared" ca="1" si="7"/>
        <v/>
      </c>
      <c r="Q29" s="28" t="str">
        <f t="shared" ca="1" si="7"/>
        <v/>
      </c>
      <c r="R29" s="28" t="str">
        <f t="shared" ca="1" si="7"/>
        <v/>
      </c>
      <c r="S29" s="28" t="str">
        <f t="shared" ca="1" si="7"/>
        <v/>
      </c>
      <c r="T29" s="28" t="str">
        <f t="shared" ca="1" si="7"/>
        <v/>
      </c>
      <c r="U29" s="28" t="str">
        <f t="shared" ca="1" si="7"/>
        <v/>
      </c>
      <c r="V29" s="28" t="str">
        <f t="shared" ca="1" si="7"/>
        <v/>
      </c>
      <c r="W29" s="346" t="str">
        <f t="shared" ca="1" si="7"/>
        <v/>
      </c>
      <c r="Z29" s="5">
        <f t="shared" ca="1" si="4"/>
        <v>4</v>
      </c>
      <c r="AB29" s="5">
        <f t="shared" ca="1" si="5"/>
        <v>3</v>
      </c>
      <c r="AS29" s="158">
        <f t="shared" si="6"/>
        <v>21</v>
      </c>
      <c r="AT29" s="321" t="str">
        <f ca="1">IF(CS!C$5="l",CS!C29,"-")</f>
        <v>-</v>
      </c>
      <c r="AU29" s="321" t="str">
        <f ca="1">IF(CS!D$5="l",CS!D29,"-")</f>
        <v>-</v>
      </c>
      <c r="AV29" s="321" t="str">
        <f ca="1">IF(CS!E$5="l",CS!E29,"-")</f>
        <v>-</v>
      </c>
      <c r="AW29" s="321" t="str">
        <f ca="1">IF(CS!F$5="l",CS!F29,"-")</f>
        <v>-</v>
      </c>
      <c r="AX29" s="321" t="str">
        <f ca="1">IF(CS!G$5="l",CS!G29,"-")</f>
        <v>-</v>
      </c>
      <c r="AY29" s="321">
        <f ca="1">IF(CS!H$5="l",CS!H29,"-")</f>
        <v>-2</v>
      </c>
      <c r="AZ29" s="321" t="str">
        <f ca="1">IF(CS!I$5="l",CS!I29,"-")</f>
        <v>-</v>
      </c>
      <c r="BA29" s="321">
        <f ca="1">IF(CS!J$5="l",CS!J29,"-")</f>
        <v>1</v>
      </c>
      <c r="BB29" s="321" t="str">
        <f ca="1">IF(CS!K$5="l",CS!K29,"-")</f>
        <v>-</v>
      </c>
      <c r="BC29" s="321" t="str">
        <f ca="1">IF(CS!L$5="l",CS!L29,"-")</f>
        <v>-</v>
      </c>
      <c r="BD29" s="321" t="str">
        <f ca="1">IF(CS!M$5="l",CS!M29,"-")</f>
        <v>-</v>
      </c>
      <c r="BE29" s="321">
        <f ca="1">IF(CS!N$5="l",CS!N29,"-")</f>
        <v>-4</v>
      </c>
      <c r="BF29" s="321" t="str">
        <f ca="1">IF(CS!O$5="l",CS!O29,"-")</f>
        <v>-</v>
      </c>
      <c r="BG29" s="321" t="str">
        <f ca="1">IF(CS!P$5="l",CS!P29,"-")</f>
        <v>-</v>
      </c>
      <c r="BH29" s="321" t="str">
        <f ca="1">IF(CS!Q$5="l",CS!Q29,"-")</f>
        <v>-</v>
      </c>
      <c r="BI29" s="321" t="str">
        <f ca="1">IF(CS!R$5="l",CS!R29,"-")</f>
        <v/>
      </c>
      <c r="BJ29" s="321" t="str">
        <f ca="1">IF(CS!S$5="l",CS!S29,"-")</f>
        <v>-</v>
      </c>
      <c r="BK29" s="321" t="str">
        <f ca="1">IF(CS!T$5="l",CS!T29,"-")</f>
        <v/>
      </c>
      <c r="BL29" s="321" t="str">
        <f ca="1">IF(CS!U$5="l",CS!U29,"-")</f>
        <v>-</v>
      </c>
      <c r="BM29" s="321" t="str">
        <f ca="1">IF(CS!V$5="l",CS!V29,"-")</f>
        <v/>
      </c>
      <c r="BN29" s="321" t="str">
        <f ca="1">IF(CS!W$5="l",CS!W29,"-")</f>
        <v>-</v>
      </c>
      <c r="BO29" s="321" t="str">
        <f ca="1">IF(CS!X$5="l",CS!X29,"-")</f>
        <v/>
      </c>
      <c r="BP29" s="321" t="str">
        <f ca="1">IF(CS!Y$5="l",CS!Y29,"-")</f>
        <v>-</v>
      </c>
      <c r="BQ29" s="321" t="str">
        <f ca="1">IF(CS!Z$5="l",CS!Z29,"-")</f>
        <v/>
      </c>
      <c r="BR29" s="321" t="str">
        <f ca="1">IF(CS!AA$5="l",CS!AA29,"-")</f>
        <v>-</v>
      </c>
      <c r="BS29" s="321" t="str">
        <f ca="1">IF(CS!AB$5="l",CS!AB29,"-")</f>
        <v/>
      </c>
      <c r="BT29" s="321" t="str">
        <f ca="1">IF(CS!AC$5="l",CS!AC29,"-")</f>
        <v>-</v>
      </c>
      <c r="BU29" s="321" t="str">
        <f ca="1">IF(CS!AD$5="l",CS!AD29,"-")</f>
        <v/>
      </c>
      <c r="BV29" s="321" t="str">
        <f ca="1">IF(CS!AE$5="l",CS!AE29,"-")</f>
        <v>-</v>
      </c>
      <c r="BW29" s="321" t="str">
        <f ca="1">IF(CS!AF$5="l",CS!AF29,"-")</f>
        <v/>
      </c>
      <c r="BX29" s="321" t="str">
        <f ca="1">IF(CS!AG$5="l",CS!AG29,"-")</f>
        <v>-</v>
      </c>
      <c r="BY29" s="321" t="str">
        <f ca="1">IF(CS!AH$5="l",CS!AH29,"-")</f>
        <v/>
      </c>
      <c r="BZ29" s="321" t="str">
        <f ca="1">IF(CS!AI$5="l",CS!AI29,"-")</f>
        <v>-</v>
      </c>
      <c r="CA29" s="321" t="str">
        <f ca="1">IF(CS!AJ$5="l",CS!AJ29,"-")</f>
        <v/>
      </c>
      <c r="CB29" s="321" t="str">
        <f ca="1">IF(CS!AK$5="l",CS!AK29,"-")</f>
        <v>-</v>
      </c>
      <c r="CC29" s="321" t="str">
        <f ca="1">IF(CS!AL$5="l",CS!AL29,"-")</f>
        <v/>
      </c>
      <c r="CD29" s="321" t="str">
        <f ca="1">IF(CS!AM$5="l",CS!AM29,"-")</f>
        <v>-</v>
      </c>
      <c r="CE29" s="321" t="str">
        <f ca="1">IF(CS!AN$5="l",CS!AN29,"-")</f>
        <v/>
      </c>
      <c r="CF29" s="321" t="str">
        <f ca="1">IF(CS!AO$5="l",CS!AO29,"-")</f>
        <v>-</v>
      </c>
      <c r="CG29" s="321" t="str">
        <f ca="1">IF(CS!AP$5="l",CS!AP29,"-")</f>
        <v/>
      </c>
    </row>
    <row r="30" spans="2:85" ht="15">
      <c r="B30" s="4" t="str">
        <f ca="1">CS!AR30</f>
        <v>Tm20</v>
      </c>
      <c r="C30" s="430">
        <f t="shared" ca="1" si="3"/>
        <v>1</v>
      </c>
      <c r="D30" s="28" t="str">
        <f t="shared" ca="1" si="3"/>
        <v>-</v>
      </c>
      <c r="E30" s="28">
        <f t="shared" ca="1" si="3"/>
        <v>-4</v>
      </c>
      <c r="F30" s="28" t="str">
        <f t="shared" ca="1" si="7"/>
        <v>-</v>
      </c>
      <c r="G30" s="28" t="str">
        <f t="shared" ca="1" si="7"/>
        <v>-</v>
      </c>
      <c r="H30" s="28">
        <f t="shared" ca="1" si="7"/>
        <v>3</v>
      </c>
      <c r="I30" s="28" t="str">
        <f t="shared" ca="1" si="7"/>
        <v>-</v>
      </c>
      <c r="J30" s="28" t="str">
        <f t="shared" ca="1" si="7"/>
        <v/>
      </c>
      <c r="K30" s="28" t="str">
        <f t="shared" ca="1" si="7"/>
        <v/>
      </c>
      <c r="L30" s="28" t="str">
        <f t="shared" ca="1" si="7"/>
        <v/>
      </c>
      <c r="M30" s="28" t="str">
        <f t="shared" ca="1" si="7"/>
        <v/>
      </c>
      <c r="N30" s="28" t="str">
        <f t="shared" ca="1" si="7"/>
        <v/>
      </c>
      <c r="O30" s="28" t="str">
        <f t="shared" ca="1" si="7"/>
        <v/>
      </c>
      <c r="P30" s="28" t="str">
        <f t="shared" ca="1" si="7"/>
        <v/>
      </c>
      <c r="Q30" s="28" t="str">
        <f t="shared" ca="1" si="7"/>
        <v/>
      </c>
      <c r="R30" s="28" t="str">
        <f t="shared" ca="1" si="7"/>
        <v/>
      </c>
      <c r="S30" s="28" t="str">
        <f t="shared" ca="1" si="7"/>
        <v/>
      </c>
      <c r="T30" s="28" t="str">
        <f t="shared" ca="1" si="7"/>
        <v/>
      </c>
      <c r="U30" s="28" t="str">
        <f t="shared" ca="1" si="7"/>
        <v/>
      </c>
      <c r="V30" s="28" t="str">
        <f t="shared" ca="1" si="7"/>
        <v/>
      </c>
      <c r="W30" s="346" t="str">
        <f t="shared" ca="1" si="7"/>
        <v/>
      </c>
      <c r="Z30" s="5">
        <f t="shared" ca="1" si="4"/>
        <v>4</v>
      </c>
      <c r="AB30" s="5">
        <f t="shared" ca="1" si="5"/>
        <v>3</v>
      </c>
      <c r="AS30" s="158">
        <f t="shared" si="6"/>
        <v>22</v>
      </c>
      <c r="AT30" s="321" t="str">
        <f ca="1">IF(CS!C$5="l",CS!C30,"-")</f>
        <v>-</v>
      </c>
      <c r="AU30" s="321">
        <f ca="1">IF(CS!D$5="l",CS!D30,"-")</f>
        <v>1</v>
      </c>
      <c r="AV30" s="321" t="str">
        <f ca="1">IF(CS!E$5="l",CS!E30,"-")</f>
        <v>-</v>
      </c>
      <c r="AW30" s="321" t="str">
        <f ca="1">IF(CS!F$5="l",CS!F30,"-")</f>
        <v>-</v>
      </c>
      <c r="AX30" s="321" t="str">
        <f ca="1">IF(CS!G$5="l",CS!G30,"-")</f>
        <v>-</v>
      </c>
      <c r="AY30" s="321">
        <f ca="1">IF(CS!H$5="l",CS!H30,"-")</f>
        <v>-4</v>
      </c>
      <c r="AZ30" s="321" t="str">
        <f ca="1">IF(CS!I$5="l",CS!I30,"-")</f>
        <v>-</v>
      </c>
      <c r="BA30" s="321" t="str">
        <f ca="1">IF(CS!J$5="l",CS!J30,"-")</f>
        <v>-</v>
      </c>
      <c r="BB30" s="321" t="str">
        <f ca="1">IF(CS!K$5="l",CS!K30,"-")</f>
        <v>-</v>
      </c>
      <c r="BC30" s="321" t="str">
        <f ca="1">IF(CS!L$5="l",CS!L30,"-")</f>
        <v>-</v>
      </c>
      <c r="BD30" s="321" t="str">
        <f ca="1">IF(CS!M$5="l",CS!M30,"-")</f>
        <v>-</v>
      </c>
      <c r="BE30" s="321">
        <f ca="1">IF(CS!N$5="l",CS!N30,"-")</f>
        <v>3</v>
      </c>
      <c r="BF30" s="321" t="str">
        <f ca="1">IF(CS!O$5="l",CS!O30,"-")</f>
        <v>-</v>
      </c>
      <c r="BG30" s="321" t="str">
        <f ca="1">IF(CS!P$5="l",CS!P30,"-")</f>
        <v>-</v>
      </c>
      <c r="BH30" s="321" t="str">
        <f ca="1">IF(CS!Q$5="l",CS!Q30,"-")</f>
        <v>-</v>
      </c>
      <c r="BI30" s="321" t="str">
        <f ca="1">IF(CS!R$5="l",CS!R30,"-")</f>
        <v/>
      </c>
      <c r="BJ30" s="321" t="str">
        <f ca="1">IF(CS!S$5="l",CS!S30,"-")</f>
        <v>-</v>
      </c>
      <c r="BK30" s="321" t="str">
        <f ca="1">IF(CS!T$5="l",CS!T30,"-")</f>
        <v/>
      </c>
      <c r="BL30" s="321" t="str">
        <f ca="1">IF(CS!U$5="l",CS!U30,"-")</f>
        <v>-</v>
      </c>
      <c r="BM30" s="321" t="str">
        <f ca="1">IF(CS!V$5="l",CS!V30,"-")</f>
        <v/>
      </c>
      <c r="BN30" s="321" t="str">
        <f ca="1">IF(CS!W$5="l",CS!W30,"-")</f>
        <v>-</v>
      </c>
      <c r="BO30" s="321" t="str">
        <f ca="1">IF(CS!X$5="l",CS!X30,"-")</f>
        <v/>
      </c>
      <c r="BP30" s="321" t="str">
        <f ca="1">IF(CS!Y$5="l",CS!Y30,"-")</f>
        <v>-</v>
      </c>
      <c r="BQ30" s="321" t="str">
        <f ca="1">IF(CS!Z$5="l",CS!Z30,"-")</f>
        <v/>
      </c>
      <c r="BR30" s="321" t="str">
        <f ca="1">IF(CS!AA$5="l",CS!AA30,"-")</f>
        <v>-</v>
      </c>
      <c r="BS30" s="321" t="str">
        <f ca="1">IF(CS!AB$5="l",CS!AB30,"-")</f>
        <v/>
      </c>
      <c r="BT30" s="321" t="str">
        <f ca="1">IF(CS!AC$5="l",CS!AC30,"-")</f>
        <v>-</v>
      </c>
      <c r="BU30" s="321" t="str">
        <f ca="1">IF(CS!AD$5="l",CS!AD30,"-")</f>
        <v/>
      </c>
      <c r="BV30" s="321" t="str">
        <f ca="1">IF(CS!AE$5="l",CS!AE30,"-")</f>
        <v>-</v>
      </c>
      <c r="BW30" s="321" t="str">
        <f ca="1">IF(CS!AF$5="l",CS!AF30,"-")</f>
        <v/>
      </c>
      <c r="BX30" s="321" t="str">
        <f ca="1">IF(CS!AG$5="l",CS!AG30,"-")</f>
        <v>-</v>
      </c>
      <c r="BY30" s="321" t="str">
        <f ca="1">IF(CS!AH$5="l",CS!AH30,"-")</f>
        <v/>
      </c>
      <c r="BZ30" s="321" t="str">
        <f ca="1">IF(CS!AI$5="l",CS!AI30,"-")</f>
        <v>-</v>
      </c>
      <c r="CA30" s="321" t="str">
        <f ca="1">IF(CS!AJ$5="l",CS!AJ30,"-")</f>
        <v/>
      </c>
      <c r="CB30" s="321" t="str">
        <f ca="1">IF(CS!AK$5="l",CS!AK30,"-")</f>
        <v>-</v>
      </c>
      <c r="CC30" s="321" t="str">
        <f ca="1">IF(CS!AL$5="l",CS!AL30,"-")</f>
        <v/>
      </c>
      <c r="CD30" s="321" t="str">
        <f ca="1">IF(CS!AM$5="l",CS!AM30,"-")</f>
        <v>-</v>
      </c>
      <c r="CE30" s="321" t="str">
        <f ca="1">IF(CS!AN$5="l",CS!AN30,"-")</f>
        <v/>
      </c>
      <c r="CF30" s="321" t="str">
        <f ca="1">IF(CS!AO$5="l",CS!AO30,"-")</f>
        <v>-</v>
      </c>
      <c r="CG30" s="321" t="str">
        <f ca="1">IF(CS!AP$5="l",CS!AP30,"-")</f>
        <v/>
      </c>
    </row>
    <row r="31" spans="2:85" ht="15">
      <c r="B31" s="4" t="str">
        <f ca="1">CS!AR31</f>
        <v>Tm21</v>
      </c>
      <c r="C31" s="430">
        <f t="shared" ca="1" si="3"/>
        <v>-1</v>
      </c>
      <c r="D31" s="28" t="str">
        <f t="shared" ca="1" si="3"/>
        <v>-</v>
      </c>
      <c r="E31" s="28" t="str">
        <f t="shared" ca="1" si="3"/>
        <v>-</v>
      </c>
      <c r="F31" s="28">
        <f t="shared" ca="1" si="7"/>
        <v>6</v>
      </c>
      <c r="G31" s="28">
        <f t="shared" ca="1" si="7"/>
        <v>-2</v>
      </c>
      <c r="H31" s="28" t="str">
        <f t="shared" ca="1" si="7"/>
        <v>-</v>
      </c>
      <c r="I31" s="28">
        <f t="shared" ca="1" si="7"/>
        <v>1</v>
      </c>
      <c r="J31" s="28" t="str">
        <f t="shared" ca="1" si="7"/>
        <v/>
      </c>
      <c r="K31" s="28" t="str">
        <f t="shared" ca="1" si="7"/>
        <v/>
      </c>
      <c r="L31" s="28" t="str">
        <f t="shared" ca="1" si="7"/>
        <v/>
      </c>
      <c r="M31" s="28" t="str">
        <f t="shared" ca="1" si="7"/>
        <v/>
      </c>
      <c r="N31" s="28" t="str">
        <f t="shared" ca="1" si="7"/>
        <v/>
      </c>
      <c r="O31" s="28" t="str">
        <f t="shared" ca="1" si="7"/>
        <v/>
      </c>
      <c r="P31" s="28" t="str">
        <f t="shared" ca="1" si="7"/>
        <v/>
      </c>
      <c r="Q31" s="28" t="str">
        <f t="shared" ca="1" si="7"/>
        <v/>
      </c>
      <c r="R31" s="28" t="str">
        <f t="shared" ca="1" si="7"/>
        <v/>
      </c>
      <c r="S31" s="28" t="str">
        <f t="shared" ca="1" si="7"/>
        <v/>
      </c>
      <c r="T31" s="28" t="str">
        <f t="shared" ca="1" si="7"/>
        <v/>
      </c>
      <c r="U31" s="28" t="str">
        <f t="shared" ca="1" si="7"/>
        <v/>
      </c>
      <c r="V31" s="28" t="str">
        <f t="shared" ca="1" si="7"/>
        <v/>
      </c>
      <c r="W31" s="346" t="str">
        <f t="shared" ca="1" si="7"/>
        <v/>
      </c>
      <c r="Z31" s="5">
        <f t="shared" ca="1" si="4"/>
        <v>3</v>
      </c>
      <c r="AB31" s="5">
        <f t="shared" ca="1" si="5"/>
        <v>4</v>
      </c>
      <c r="AS31" s="158">
        <f t="shared" si="6"/>
        <v>23</v>
      </c>
      <c r="AT31" s="321" t="str">
        <f ca="1">IF(CS!C$5="l",CS!C31,"-")</f>
        <v>-</v>
      </c>
      <c r="AU31" s="321">
        <f ca="1">IF(CS!D$5="l",CS!D31,"-")</f>
        <v>-1</v>
      </c>
      <c r="AV31" s="321" t="str">
        <f ca="1">IF(CS!E$5="l",CS!E31,"-")</f>
        <v>-</v>
      </c>
      <c r="AW31" s="321" t="str">
        <f ca="1">IF(CS!F$5="l",CS!F31,"-")</f>
        <v>-</v>
      </c>
      <c r="AX31" s="321" t="str">
        <f ca="1">IF(CS!G$5="l",CS!G31,"-")</f>
        <v>-</v>
      </c>
      <c r="AY31" s="321" t="str">
        <f ca="1">IF(CS!H$5="l",CS!H31,"-")</f>
        <v>-</v>
      </c>
      <c r="AZ31" s="321" t="str">
        <f ca="1">IF(CS!I$5="l",CS!I31,"-")</f>
        <v>-</v>
      </c>
      <c r="BA31" s="321">
        <f ca="1">IF(CS!J$5="l",CS!J31,"-")</f>
        <v>6</v>
      </c>
      <c r="BB31" s="321" t="str">
        <f ca="1">IF(CS!K$5="l",CS!K31,"-")</f>
        <v>-</v>
      </c>
      <c r="BC31" s="321">
        <f ca="1">IF(CS!L$5="l",CS!L31,"-")</f>
        <v>-2</v>
      </c>
      <c r="BD31" s="321" t="str">
        <f ca="1">IF(CS!M$5="l",CS!M31,"-")</f>
        <v>-</v>
      </c>
      <c r="BE31" s="321" t="str">
        <f ca="1">IF(CS!N$5="l",CS!N31,"-")</f>
        <v>-</v>
      </c>
      <c r="BF31" s="321" t="str">
        <f ca="1">IF(CS!O$5="l",CS!O31,"-")</f>
        <v>-</v>
      </c>
      <c r="BG31" s="321">
        <f ca="1">IF(CS!P$5="l",CS!P31,"-")</f>
        <v>1</v>
      </c>
      <c r="BH31" s="321" t="str">
        <f ca="1">IF(CS!Q$5="l",CS!Q31,"-")</f>
        <v>-</v>
      </c>
      <c r="BI31" s="321" t="str">
        <f ca="1">IF(CS!R$5="l",CS!R31,"-")</f>
        <v/>
      </c>
      <c r="BJ31" s="321" t="str">
        <f ca="1">IF(CS!S$5="l",CS!S31,"-")</f>
        <v>-</v>
      </c>
      <c r="BK31" s="321" t="str">
        <f ca="1">IF(CS!T$5="l",CS!T31,"-")</f>
        <v/>
      </c>
      <c r="BL31" s="321" t="str">
        <f ca="1">IF(CS!U$5="l",CS!U31,"-")</f>
        <v>-</v>
      </c>
      <c r="BM31" s="321" t="str">
        <f ca="1">IF(CS!V$5="l",CS!V31,"-")</f>
        <v/>
      </c>
      <c r="BN31" s="321" t="str">
        <f ca="1">IF(CS!W$5="l",CS!W31,"-")</f>
        <v>-</v>
      </c>
      <c r="BO31" s="321" t="str">
        <f ca="1">IF(CS!X$5="l",CS!X31,"-")</f>
        <v/>
      </c>
      <c r="BP31" s="321" t="str">
        <f ca="1">IF(CS!Y$5="l",CS!Y31,"-")</f>
        <v>-</v>
      </c>
      <c r="BQ31" s="321" t="str">
        <f ca="1">IF(CS!Z$5="l",CS!Z31,"-")</f>
        <v/>
      </c>
      <c r="BR31" s="321" t="str">
        <f ca="1">IF(CS!AA$5="l",CS!AA31,"-")</f>
        <v>-</v>
      </c>
      <c r="BS31" s="321" t="str">
        <f ca="1">IF(CS!AB$5="l",CS!AB31,"-")</f>
        <v/>
      </c>
      <c r="BT31" s="321" t="str">
        <f ca="1">IF(CS!AC$5="l",CS!AC31,"-")</f>
        <v>-</v>
      </c>
      <c r="BU31" s="321" t="str">
        <f ca="1">IF(CS!AD$5="l",CS!AD31,"-")</f>
        <v/>
      </c>
      <c r="BV31" s="321" t="str">
        <f ca="1">IF(CS!AE$5="l",CS!AE31,"-")</f>
        <v>-</v>
      </c>
      <c r="BW31" s="321" t="str">
        <f ca="1">IF(CS!AF$5="l",CS!AF31,"-")</f>
        <v/>
      </c>
      <c r="BX31" s="321" t="str">
        <f ca="1">IF(CS!AG$5="l",CS!AG31,"-")</f>
        <v>-</v>
      </c>
      <c r="BY31" s="321" t="str">
        <f ca="1">IF(CS!AH$5="l",CS!AH31,"-")</f>
        <v/>
      </c>
      <c r="BZ31" s="321" t="str">
        <f ca="1">IF(CS!AI$5="l",CS!AI31,"-")</f>
        <v>-</v>
      </c>
      <c r="CA31" s="321" t="str">
        <f ca="1">IF(CS!AJ$5="l",CS!AJ31,"-")</f>
        <v/>
      </c>
      <c r="CB31" s="321" t="str">
        <f ca="1">IF(CS!AK$5="l",CS!AK31,"-")</f>
        <v>-</v>
      </c>
      <c r="CC31" s="321" t="str">
        <f ca="1">IF(CS!AL$5="l",CS!AL31,"-")</f>
        <v/>
      </c>
      <c r="CD31" s="321" t="str">
        <f ca="1">IF(CS!AM$5="l",CS!AM31,"-")</f>
        <v>-</v>
      </c>
      <c r="CE31" s="321" t="str">
        <f ca="1">IF(CS!AN$5="l",CS!AN31,"-")</f>
        <v/>
      </c>
      <c r="CF31" s="321" t="str">
        <f ca="1">IF(CS!AO$5="l",CS!AO31,"-")</f>
        <v>-</v>
      </c>
      <c r="CG31" s="321" t="str">
        <f ca="1">IF(CS!AP$5="l",CS!AP31,"-")</f>
        <v/>
      </c>
    </row>
    <row r="32" spans="2:85" ht="15">
      <c r="B32" s="4" t="str">
        <f ca="1">CS!AR32</f>
        <v>Tm22</v>
      </c>
      <c r="C32" s="430" t="str">
        <f t="shared" ca="1" si="3"/>
        <v>-</v>
      </c>
      <c r="D32" s="28">
        <f t="shared" ca="1" si="3"/>
        <v>-2</v>
      </c>
      <c r="E32" s="28">
        <f t="shared" ca="1" si="3"/>
        <v>4</v>
      </c>
      <c r="F32" s="28" t="str">
        <f t="shared" ca="1" si="7"/>
        <v>-</v>
      </c>
      <c r="G32" s="28">
        <f t="shared" ca="1" si="7"/>
        <v>5</v>
      </c>
      <c r="H32" s="28" t="str">
        <f t="shared" ca="1" si="7"/>
        <v>-</v>
      </c>
      <c r="I32" s="28">
        <f t="shared" ca="1" si="7"/>
        <v>-1</v>
      </c>
      <c r="J32" s="28" t="str">
        <f t="shared" ca="1" si="7"/>
        <v/>
      </c>
      <c r="K32" s="28" t="str">
        <f t="shared" ca="1" si="7"/>
        <v/>
      </c>
      <c r="L32" s="28" t="str">
        <f t="shared" ca="1" si="7"/>
        <v/>
      </c>
      <c r="M32" s="28" t="str">
        <f t="shared" ca="1" si="7"/>
        <v/>
      </c>
      <c r="N32" s="28" t="str">
        <f t="shared" ca="1" si="7"/>
        <v/>
      </c>
      <c r="O32" s="28" t="str">
        <f t="shared" ca="1" si="7"/>
        <v/>
      </c>
      <c r="P32" s="28" t="str">
        <f t="shared" ca="1" si="7"/>
        <v/>
      </c>
      <c r="Q32" s="28" t="str">
        <f t="shared" ca="1" si="7"/>
        <v/>
      </c>
      <c r="R32" s="28" t="str">
        <f t="shared" ca="1" si="7"/>
        <v/>
      </c>
      <c r="S32" s="28" t="str">
        <f t="shared" ca="1" si="7"/>
        <v/>
      </c>
      <c r="T32" s="28" t="str">
        <f t="shared" ca="1" si="7"/>
        <v/>
      </c>
      <c r="U32" s="28" t="str">
        <f t="shared" ca="1" si="7"/>
        <v/>
      </c>
      <c r="V32" s="28" t="str">
        <f t="shared" ca="1" si="7"/>
        <v/>
      </c>
      <c r="W32" s="346" t="str">
        <f t="shared" ca="1" si="7"/>
        <v/>
      </c>
      <c r="Z32" s="5">
        <f t="shared" ca="1" si="4"/>
        <v>3</v>
      </c>
      <c r="AB32" s="5">
        <f t="shared" ca="1" si="5"/>
        <v>4</v>
      </c>
      <c r="AS32" s="158">
        <f t="shared" si="6"/>
        <v>24</v>
      </c>
      <c r="AT32" s="321" t="str">
        <f ca="1">IF(CS!C$5="l",CS!C32,"-")</f>
        <v>-</v>
      </c>
      <c r="AU32" s="321" t="str">
        <f ca="1">IF(CS!D$5="l",CS!D32,"-")</f>
        <v>-</v>
      </c>
      <c r="AV32" s="321" t="str">
        <f ca="1">IF(CS!E$5="l",CS!E32,"-")</f>
        <v>-</v>
      </c>
      <c r="AW32" s="321">
        <f ca="1">IF(CS!F$5="l",CS!F32,"-")</f>
        <v>-2</v>
      </c>
      <c r="AX32" s="321" t="str">
        <f ca="1">IF(CS!G$5="l",CS!G32,"-")</f>
        <v>-</v>
      </c>
      <c r="AY32" s="321">
        <f ca="1">IF(CS!H$5="l",CS!H32,"-")</f>
        <v>4</v>
      </c>
      <c r="AZ32" s="321" t="str">
        <f ca="1">IF(CS!I$5="l",CS!I32,"-")</f>
        <v>-</v>
      </c>
      <c r="BA32" s="321" t="str">
        <f ca="1">IF(CS!J$5="l",CS!J32,"-")</f>
        <v>-</v>
      </c>
      <c r="BB32" s="321" t="str">
        <f ca="1">IF(CS!K$5="l",CS!K32,"-")</f>
        <v>-</v>
      </c>
      <c r="BC32" s="321">
        <f ca="1">IF(CS!L$5="l",CS!L32,"-")</f>
        <v>5</v>
      </c>
      <c r="BD32" s="321" t="str">
        <f ca="1">IF(CS!M$5="l",CS!M32,"-")</f>
        <v>-</v>
      </c>
      <c r="BE32" s="321" t="str">
        <f ca="1">IF(CS!N$5="l",CS!N32,"-")</f>
        <v>-</v>
      </c>
      <c r="BF32" s="321" t="str">
        <f ca="1">IF(CS!O$5="l",CS!O32,"-")</f>
        <v>-</v>
      </c>
      <c r="BG32" s="321">
        <f ca="1">IF(CS!P$5="l",CS!P32,"-")</f>
        <v>-1</v>
      </c>
      <c r="BH32" s="321" t="str">
        <f ca="1">IF(CS!Q$5="l",CS!Q32,"-")</f>
        <v>-</v>
      </c>
      <c r="BI32" s="321" t="str">
        <f ca="1">IF(CS!R$5="l",CS!R32,"-")</f>
        <v/>
      </c>
      <c r="BJ32" s="321" t="str">
        <f ca="1">IF(CS!S$5="l",CS!S32,"-")</f>
        <v>-</v>
      </c>
      <c r="BK32" s="321" t="str">
        <f ca="1">IF(CS!T$5="l",CS!T32,"-")</f>
        <v/>
      </c>
      <c r="BL32" s="321" t="str">
        <f ca="1">IF(CS!U$5="l",CS!U32,"-")</f>
        <v>-</v>
      </c>
      <c r="BM32" s="321" t="str">
        <f ca="1">IF(CS!V$5="l",CS!V32,"-")</f>
        <v/>
      </c>
      <c r="BN32" s="321" t="str">
        <f ca="1">IF(CS!W$5="l",CS!W32,"-")</f>
        <v>-</v>
      </c>
      <c r="BO32" s="321" t="str">
        <f ca="1">IF(CS!X$5="l",CS!X32,"-")</f>
        <v/>
      </c>
      <c r="BP32" s="321" t="str">
        <f ca="1">IF(CS!Y$5="l",CS!Y32,"-")</f>
        <v>-</v>
      </c>
      <c r="BQ32" s="321" t="str">
        <f ca="1">IF(CS!Z$5="l",CS!Z32,"-")</f>
        <v/>
      </c>
      <c r="BR32" s="321" t="str">
        <f ca="1">IF(CS!AA$5="l",CS!AA32,"-")</f>
        <v>-</v>
      </c>
      <c r="BS32" s="321" t="str">
        <f ca="1">IF(CS!AB$5="l",CS!AB32,"-")</f>
        <v/>
      </c>
      <c r="BT32" s="321" t="str">
        <f ca="1">IF(CS!AC$5="l",CS!AC32,"-")</f>
        <v>-</v>
      </c>
      <c r="BU32" s="321" t="str">
        <f ca="1">IF(CS!AD$5="l",CS!AD32,"-")</f>
        <v/>
      </c>
      <c r="BV32" s="321" t="str">
        <f ca="1">IF(CS!AE$5="l",CS!AE32,"-")</f>
        <v>-</v>
      </c>
      <c r="BW32" s="321" t="str">
        <f ca="1">IF(CS!AF$5="l",CS!AF32,"-")</f>
        <v/>
      </c>
      <c r="BX32" s="321" t="str">
        <f ca="1">IF(CS!AG$5="l",CS!AG32,"-")</f>
        <v>-</v>
      </c>
      <c r="BY32" s="321" t="str">
        <f ca="1">IF(CS!AH$5="l",CS!AH32,"-")</f>
        <v/>
      </c>
      <c r="BZ32" s="321" t="str">
        <f ca="1">IF(CS!AI$5="l",CS!AI32,"-")</f>
        <v>-</v>
      </c>
      <c r="CA32" s="321" t="str">
        <f ca="1">IF(CS!AJ$5="l",CS!AJ32,"-")</f>
        <v/>
      </c>
      <c r="CB32" s="321" t="str">
        <f ca="1">IF(CS!AK$5="l",CS!AK32,"-")</f>
        <v>-</v>
      </c>
      <c r="CC32" s="321" t="str">
        <f ca="1">IF(CS!AL$5="l",CS!AL32,"-")</f>
        <v/>
      </c>
      <c r="CD32" s="321" t="str">
        <f ca="1">IF(CS!AM$5="l",CS!AM32,"-")</f>
        <v>-</v>
      </c>
      <c r="CE32" s="321" t="str">
        <f ca="1">IF(CS!AN$5="l",CS!AN32,"-")</f>
        <v/>
      </c>
      <c r="CF32" s="321" t="str">
        <f ca="1">IF(CS!AO$5="l",CS!AO32,"-")</f>
        <v>-</v>
      </c>
      <c r="CG32" s="321" t="str">
        <f ca="1">IF(CS!AP$5="l",CS!AP32,"-")</f>
        <v/>
      </c>
    </row>
    <row r="33" spans="2:85" ht="15">
      <c r="B33" s="4" t="str">
        <f ca="1">CS!AR33</f>
        <v>Tm23</v>
      </c>
      <c r="C33" s="430" t="str">
        <f t="shared" ca="1" si="3"/>
        <v>-</v>
      </c>
      <c r="D33" s="28">
        <f t="shared" ca="1" si="3"/>
        <v>-3</v>
      </c>
      <c r="E33" s="28">
        <f t="shared" ca="1" si="3"/>
        <v>2</v>
      </c>
      <c r="F33" s="28" t="str">
        <f t="shared" ca="1" si="7"/>
        <v>-</v>
      </c>
      <c r="G33" s="28">
        <f t="shared" ca="1" si="7"/>
        <v>-5</v>
      </c>
      <c r="H33" s="28" t="str">
        <f t="shared" ca="1" si="7"/>
        <v>-</v>
      </c>
      <c r="I33" s="28">
        <f t="shared" ca="1" si="7"/>
        <v>6</v>
      </c>
      <c r="J33" s="28" t="str">
        <f t="shared" ca="1" si="7"/>
        <v/>
      </c>
      <c r="K33" s="28" t="str">
        <f t="shared" ca="1" si="7"/>
        <v/>
      </c>
      <c r="L33" s="28" t="str">
        <f t="shared" ca="1" si="7"/>
        <v/>
      </c>
      <c r="M33" s="28" t="str">
        <f t="shared" ca="1" si="7"/>
        <v/>
      </c>
      <c r="N33" s="28" t="str">
        <f t="shared" ca="1" si="7"/>
        <v/>
      </c>
      <c r="O33" s="28" t="str">
        <f t="shared" ca="1" si="7"/>
        <v/>
      </c>
      <c r="P33" s="28" t="str">
        <f t="shared" ca="1" si="7"/>
        <v/>
      </c>
      <c r="Q33" s="28" t="str">
        <f t="shared" ca="1" si="7"/>
        <v/>
      </c>
      <c r="R33" s="28" t="str">
        <f t="shared" ca="1" si="7"/>
        <v/>
      </c>
      <c r="S33" s="28" t="str">
        <f t="shared" ca="1" si="7"/>
        <v/>
      </c>
      <c r="T33" s="28" t="str">
        <f t="shared" ca="1" si="7"/>
        <v/>
      </c>
      <c r="U33" s="28" t="str">
        <f t="shared" ca="1" si="7"/>
        <v/>
      </c>
      <c r="V33" s="28" t="str">
        <f t="shared" ca="1" si="7"/>
        <v/>
      </c>
      <c r="W33" s="346" t="str">
        <f t="shared" ca="1" si="7"/>
        <v/>
      </c>
      <c r="Z33" s="5">
        <f t="shared" ca="1" si="4"/>
        <v>3</v>
      </c>
      <c r="AB33" s="5">
        <f t="shared" ca="1" si="5"/>
        <v>4</v>
      </c>
      <c r="AS33" s="158">
        <f t="shared" si="6"/>
        <v>25</v>
      </c>
      <c r="AT33" s="321" t="str">
        <f ca="1">IF(CS!C$5="l",CS!C33,"-")</f>
        <v>-</v>
      </c>
      <c r="AU33" s="321" t="str">
        <f ca="1">IF(CS!D$5="l",CS!D33,"-")</f>
        <v>-</v>
      </c>
      <c r="AV33" s="321" t="str">
        <f ca="1">IF(CS!E$5="l",CS!E33,"-")</f>
        <v>-</v>
      </c>
      <c r="AW33" s="321">
        <f ca="1">IF(CS!F$5="l",CS!F33,"-")</f>
        <v>-3</v>
      </c>
      <c r="AX33" s="321" t="str">
        <f ca="1">IF(CS!G$5="l",CS!G33,"-")</f>
        <v>-</v>
      </c>
      <c r="AY33" s="321">
        <f ca="1">IF(CS!H$5="l",CS!H33,"-")</f>
        <v>2</v>
      </c>
      <c r="AZ33" s="321" t="str">
        <f ca="1">IF(CS!I$5="l",CS!I33,"-")</f>
        <v>-</v>
      </c>
      <c r="BA33" s="321" t="str">
        <f ca="1">IF(CS!J$5="l",CS!J33,"-")</f>
        <v>-</v>
      </c>
      <c r="BB33" s="321" t="str">
        <f ca="1">IF(CS!K$5="l",CS!K33,"-")</f>
        <v>-</v>
      </c>
      <c r="BC33" s="321">
        <f ca="1">IF(CS!L$5="l",CS!L33,"-")</f>
        <v>-5</v>
      </c>
      <c r="BD33" s="321" t="str">
        <f ca="1">IF(CS!M$5="l",CS!M33,"-")</f>
        <v>-</v>
      </c>
      <c r="BE33" s="321" t="str">
        <f ca="1">IF(CS!N$5="l",CS!N33,"-")</f>
        <v>-</v>
      </c>
      <c r="BF33" s="321" t="str">
        <f ca="1">IF(CS!O$5="l",CS!O33,"-")</f>
        <v>-</v>
      </c>
      <c r="BG33" s="321">
        <f ca="1">IF(CS!P$5="l",CS!P33,"-")</f>
        <v>6</v>
      </c>
      <c r="BH33" s="321" t="str">
        <f ca="1">IF(CS!Q$5="l",CS!Q33,"-")</f>
        <v>-</v>
      </c>
      <c r="BI33" s="321" t="str">
        <f ca="1">IF(CS!R$5="l",CS!R33,"-")</f>
        <v/>
      </c>
      <c r="BJ33" s="321" t="str">
        <f ca="1">IF(CS!S$5="l",CS!S33,"-")</f>
        <v>-</v>
      </c>
      <c r="BK33" s="321" t="str">
        <f ca="1">IF(CS!T$5="l",CS!T33,"-")</f>
        <v/>
      </c>
      <c r="BL33" s="321" t="str">
        <f ca="1">IF(CS!U$5="l",CS!U33,"-")</f>
        <v>-</v>
      </c>
      <c r="BM33" s="321" t="str">
        <f ca="1">IF(CS!V$5="l",CS!V33,"-")</f>
        <v/>
      </c>
      <c r="BN33" s="321" t="str">
        <f ca="1">IF(CS!W$5="l",CS!W33,"-")</f>
        <v>-</v>
      </c>
      <c r="BO33" s="321" t="str">
        <f ca="1">IF(CS!X$5="l",CS!X33,"-")</f>
        <v/>
      </c>
      <c r="BP33" s="321" t="str">
        <f ca="1">IF(CS!Y$5="l",CS!Y33,"-")</f>
        <v>-</v>
      </c>
      <c r="BQ33" s="321" t="str">
        <f ca="1">IF(CS!Z$5="l",CS!Z33,"-")</f>
        <v/>
      </c>
      <c r="BR33" s="321" t="str">
        <f ca="1">IF(CS!AA$5="l",CS!AA33,"-")</f>
        <v>-</v>
      </c>
      <c r="BS33" s="321" t="str">
        <f ca="1">IF(CS!AB$5="l",CS!AB33,"-")</f>
        <v/>
      </c>
      <c r="BT33" s="321" t="str">
        <f ca="1">IF(CS!AC$5="l",CS!AC33,"-")</f>
        <v>-</v>
      </c>
      <c r="BU33" s="321" t="str">
        <f ca="1">IF(CS!AD$5="l",CS!AD33,"-")</f>
        <v/>
      </c>
      <c r="BV33" s="321" t="str">
        <f ca="1">IF(CS!AE$5="l",CS!AE33,"-")</f>
        <v>-</v>
      </c>
      <c r="BW33" s="321" t="str">
        <f ca="1">IF(CS!AF$5="l",CS!AF33,"-")</f>
        <v/>
      </c>
      <c r="BX33" s="321" t="str">
        <f ca="1">IF(CS!AG$5="l",CS!AG33,"-")</f>
        <v>-</v>
      </c>
      <c r="BY33" s="321" t="str">
        <f ca="1">IF(CS!AH$5="l",CS!AH33,"-")</f>
        <v/>
      </c>
      <c r="BZ33" s="321" t="str">
        <f ca="1">IF(CS!AI$5="l",CS!AI33,"-")</f>
        <v>-</v>
      </c>
      <c r="CA33" s="321" t="str">
        <f ca="1">IF(CS!AJ$5="l",CS!AJ33,"-")</f>
        <v/>
      </c>
      <c r="CB33" s="321" t="str">
        <f ca="1">IF(CS!AK$5="l",CS!AK33,"-")</f>
        <v>-</v>
      </c>
      <c r="CC33" s="321" t="str">
        <f ca="1">IF(CS!AL$5="l",CS!AL33,"-")</f>
        <v/>
      </c>
      <c r="CD33" s="321" t="str">
        <f ca="1">IF(CS!AM$5="l",CS!AM33,"-")</f>
        <v>-</v>
      </c>
      <c r="CE33" s="321" t="str">
        <f ca="1">IF(CS!AN$5="l",CS!AN33,"-")</f>
        <v/>
      </c>
      <c r="CF33" s="321" t="str">
        <f ca="1">IF(CS!AO$5="l",CS!AO33,"-")</f>
        <v>-</v>
      </c>
      <c r="CG33" s="321" t="str">
        <f ca="1">IF(CS!AP$5="l",CS!AP33,"-")</f>
        <v/>
      </c>
    </row>
    <row r="34" spans="2:85" ht="15">
      <c r="B34" s="4" t="str">
        <f ca="1">CS!AR34</f>
        <v>Tm24</v>
      </c>
      <c r="C34" s="430">
        <f t="shared" ca="1" si="3"/>
        <v>6</v>
      </c>
      <c r="D34" s="28" t="str">
        <f t="shared" ca="1" si="3"/>
        <v>-</v>
      </c>
      <c r="E34" s="28" t="str">
        <f t="shared" ca="1" si="3"/>
        <v>-</v>
      </c>
      <c r="F34" s="28">
        <f t="shared" ca="1" si="7"/>
        <v>-1</v>
      </c>
      <c r="G34" s="28">
        <f t="shared" ca="1" si="7"/>
        <v>2</v>
      </c>
      <c r="H34" s="28" t="str">
        <f t="shared" ca="1" si="7"/>
        <v>-</v>
      </c>
      <c r="I34" s="28">
        <f t="shared" ca="1" si="7"/>
        <v>-6</v>
      </c>
      <c r="J34" s="28" t="str">
        <f t="shared" ca="1" si="7"/>
        <v/>
      </c>
      <c r="K34" s="28" t="str">
        <f t="shared" ca="1" si="7"/>
        <v/>
      </c>
      <c r="L34" s="28" t="str">
        <f t="shared" ca="1" si="7"/>
        <v/>
      </c>
      <c r="M34" s="28" t="str">
        <f t="shared" ca="1" si="7"/>
        <v/>
      </c>
      <c r="N34" s="28" t="str">
        <f t="shared" ca="1" si="7"/>
        <v/>
      </c>
      <c r="O34" s="28" t="str">
        <f t="shared" ca="1" si="7"/>
        <v/>
      </c>
      <c r="P34" s="28" t="str">
        <f t="shared" ca="1" si="7"/>
        <v/>
      </c>
      <c r="Q34" s="28" t="str">
        <f t="shared" ca="1" si="7"/>
        <v/>
      </c>
      <c r="R34" s="28" t="str">
        <f t="shared" ca="1" si="7"/>
        <v/>
      </c>
      <c r="S34" s="28" t="str">
        <f t="shared" ca="1" si="7"/>
        <v/>
      </c>
      <c r="T34" s="28" t="str">
        <f t="shared" ca="1" si="7"/>
        <v/>
      </c>
      <c r="U34" s="28" t="str">
        <f t="shared" ca="1" si="7"/>
        <v/>
      </c>
      <c r="V34" s="28" t="str">
        <f t="shared" ca="1" si="7"/>
        <v/>
      </c>
      <c r="W34" s="346" t="str">
        <f t="shared" ca="1" si="7"/>
        <v/>
      </c>
      <c r="Z34" s="5">
        <f t="shared" ca="1" si="4"/>
        <v>3</v>
      </c>
      <c r="AB34" s="5">
        <f t="shared" ca="1" si="5"/>
        <v>4</v>
      </c>
      <c r="AS34" s="158">
        <f t="shared" si="6"/>
        <v>26</v>
      </c>
      <c r="AT34" s="321" t="str">
        <f ca="1">IF(CS!C$5="l",CS!C34,"-")</f>
        <v>-</v>
      </c>
      <c r="AU34" s="321">
        <f ca="1">IF(CS!D$5="l",CS!D34,"-")</f>
        <v>6</v>
      </c>
      <c r="AV34" s="321" t="str">
        <f ca="1">IF(CS!E$5="l",CS!E34,"-")</f>
        <v>-</v>
      </c>
      <c r="AW34" s="321" t="str">
        <f ca="1">IF(CS!F$5="l",CS!F34,"-")</f>
        <v>-</v>
      </c>
      <c r="AX34" s="321" t="str">
        <f ca="1">IF(CS!G$5="l",CS!G34,"-")</f>
        <v>-</v>
      </c>
      <c r="AY34" s="321" t="str">
        <f ca="1">IF(CS!H$5="l",CS!H34,"-")</f>
        <v>-</v>
      </c>
      <c r="AZ34" s="321" t="str">
        <f ca="1">IF(CS!I$5="l",CS!I34,"-")</f>
        <v>-</v>
      </c>
      <c r="BA34" s="321">
        <f ca="1">IF(CS!J$5="l",CS!J34,"-")</f>
        <v>-1</v>
      </c>
      <c r="BB34" s="321" t="str">
        <f ca="1">IF(CS!K$5="l",CS!K34,"-")</f>
        <v>-</v>
      </c>
      <c r="BC34" s="321">
        <f ca="1">IF(CS!L$5="l",CS!L34,"-")</f>
        <v>2</v>
      </c>
      <c r="BD34" s="321" t="str">
        <f ca="1">IF(CS!M$5="l",CS!M34,"-")</f>
        <v>-</v>
      </c>
      <c r="BE34" s="321" t="str">
        <f ca="1">IF(CS!N$5="l",CS!N34,"-")</f>
        <v>-</v>
      </c>
      <c r="BF34" s="321" t="str">
        <f ca="1">IF(CS!O$5="l",CS!O34,"-")</f>
        <v>-</v>
      </c>
      <c r="BG34" s="321">
        <f ca="1">IF(CS!P$5="l",CS!P34,"-")</f>
        <v>-6</v>
      </c>
      <c r="BH34" s="321" t="str">
        <f ca="1">IF(CS!Q$5="l",CS!Q34,"-")</f>
        <v>-</v>
      </c>
      <c r="BI34" s="321" t="str">
        <f ca="1">IF(CS!R$5="l",CS!R34,"-")</f>
        <v/>
      </c>
      <c r="BJ34" s="321" t="str">
        <f ca="1">IF(CS!S$5="l",CS!S34,"-")</f>
        <v>-</v>
      </c>
      <c r="BK34" s="321" t="str">
        <f ca="1">IF(CS!T$5="l",CS!T34,"-")</f>
        <v/>
      </c>
      <c r="BL34" s="321" t="str">
        <f ca="1">IF(CS!U$5="l",CS!U34,"-")</f>
        <v>-</v>
      </c>
      <c r="BM34" s="321" t="str">
        <f ca="1">IF(CS!V$5="l",CS!V34,"-")</f>
        <v/>
      </c>
      <c r="BN34" s="321" t="str">
        <f ca="1">IF(CS!W$5="l",CS!W34,"-")</f>
        <v>-</v>
      </c>
      <c r="BO34" s="321" t="str">
        <f ca="1">IF(CS!X$5="l",CS!X34,"-")</f>
        <v/>
      </c>
      <c r="BP34" s="321" t="str">
        <f ca="1">IF(CS!Y$5="l",CS!Y34,"-")</f>
        <v>-</v>
      </c>
      <c r="BQ34" s="321" t="str">
        <f ca="1">IF(CS!Z$5="l",CS!Z34,"-")</f>
        <v/>
      </c>
      <c r="BR34" s="321" t="str">
        <f ca="1">IF(CS!AA$5="l",CS!AA34,"-")</f>
        <v>-</v>
      </c>
      <c r="BS34" s="321" t="str">
        <f ca="1">IF(CS!AB$5="l",CS!AB34,"-")</f>
        <v/>
      </c>
      <c r="BT34" s="321" t="str">
        <f ca="1">IF(CS!AC$5="l",CS!AC34,"-")</f>
        <v>-</v>
      </c>
      <c r="BU34" s="321" t="str">
        <f ca="1">IF(CS!AD$5="l",CS!AD34,"-")</f>
        <v/>
      </c>
      <c r="BV34" s="321" t="str">
        <f ca="1">IF(CS!AE$5="l",CS!AE34,"-")</f>
        <v>-</v>
      </c>
      <c r="BW34" s="321" t="str">
        <f ca="1">IF(CS!AF$5="l",CS!AF34,"-")</f>
        <v/>
      </c>
      <c r="BX34" s="321" t="str">
        <f ca="1">IF(CS!AG$5="l",CS!AG34,"-")</f>
        <v>-</v>
      </c>
      <c r="BY34" s="321" t="str">
        <f ca="1">IF(CS!AH$5="l",CS!AH34,"-")</f>
        <v/>
      </c>
      <c r="BZ34" s="321" t="str">
        <f ca="1">IF(CS!AI$5="l",CS!AI34,"-")</f>
        <v>-</v>
      </c>
      <c r="CA34" s="321" t="str">
        <f ca="1">IF(CS!AJ$5="l",CS!AJ34,"-")</f>
        <v/>
      </c>
      <c r="CB34" s="321" t="str">
        <f ca="1">IF(CS!AK$5="l",CS!AK34,"-")</f>
        <v>-</v>
      </c>
      <c r="CC34" s="321" t="str">
        <f ca="1">IF(CS!AL$5="l",CS!AL34,"-")</f>
        <v/>
      </c>
      <c r="CD34" s="321" t="str">
        <f ca="1">IF(CS!AM$5="l",CS!AM34,"-")</f>
        <v>-</v>
      </c>
      <c r="CE34" s="321" t="str">
        <f ca="1">IF(CS!AN$5="l",CS!AN34,"-")</f>
        <v/>
      </c>
      <c r="CF34" s="321" t="str">
        <f ca="1">IF(CS!AO$5="l",CS!AO34,"-")</f>
        <v>-</v>
      </c>
      <c r="CG34" s="321" t="str">
        <f ca="1">IF(CS!AP$5="l",CS!AP34,"-")</f>
        <v/>
      </c>
    </row>
    <row r="35" spans="2:85" ht="15">
      <c r="B35" s="4" t="str">
        <f ca="1">CS!AR35</f>
        <v/>
      </c>
      <c r="C35" s="430" t="str">
        <f t="shared" ca="1" si="3"/>
        <v/>
      </c>
      <c r="D35" s="28" t="str">
        <f t="shared" ca="1" si="3"/>
        <v/>
      </c>
      <c r="E35" s="28" t="str">
        <f t="shared" ca="1" si="3"/>
        <v/>
      </c>
      <c r="F35" s="28" t="str">
        <f t="shared" ca="1" si="7"/>
        <v/>
      </c>
      <c r="G35" s="28" t="str">
        <f t="shared" ca="1" si="7"/>
        <v/>
      </c>
      <c r="H35" s="28" t="str">
        <f t="shared" ca="1" si="7"/>
        <v/>
      </c>
      <c r="I35" s="28" t="str">
        <f t="shared" ca="1" si="7"/>
        <v/>
      </c>
      <c r="J35" s="28" t="str">
        <f t="shared" ca="1" si="7"/>
        <v/>
      </c>
      <c r="K35" s="28" t="str">
        <f t="shared" ca="1" si="7"/>
        <v/>
      </c>
      <c r="L35" s="28" t="str">
        <f t="shared" ca="1" si="7"/>
        <v/>
      </c>
      <c r="M35" s="28" t="str">
        <f t="shared" ca="1" si="7"/>
        <v/>
      </c>
      <c r="N35" s="28" t="str">
        <f t="shared" ca="1" si="7"/>
        <v/>
      </c>
      <c r="O35" s="28" t="str">
        <f t="shared" ca="1" si="7"/>
        <v/>
      </c>
      <c r="P35" s="28" t="str">
        <f t="shared" ca="1" si="7"/>
        <v/>
      </c>
      <c r="Q35" s="28" t="str">
        <f t="shared" ca="1" si="7"/>
        <v/>
      </c>
      <c r="R35" s="28" t="str">
        <f t="shared" ca="1" si="7"/>
        <v/>
      </c>
      <c r="S35" s="28" t="str">
        <f t="shared" ca="1" si="7"/>
        <v/>
      </c>
      <c r="T35" s="28" t="str">
        <f t="shared" ca="1" si="7"/>
        <v/>
      </c>
      <c r="U35" s="28" t="str">
        <f t="shared" ca="1" si="7"/>
        <v/>
      </c>
      <c r="V35" s="28" t="str">
        <f t="shared" ca="1" si="7"/>
        <v/>
      </c>
      <c r="W35" s="346" t="str">
        <f t="shared" ca="1" si="7"/>
        <v/>
      </c>
      <c r="Z35" s="5" t="str">
        <f t="shared" ca="1" si="4"/>
        <v/>
      </c>
      <c r="AB35" s="5">
        <f t="shared" ca="1" si="5"/>
        <v>0</v>
      </c>
      <c r="AS35" s="158">
        <f t="shared" si="6"/>
        <v>27</v>
      </c>
      <c r="AT35" s="321" t="str">
        <f ca="1">IF(CS!C$5="l",CS!C35,"-")</f>
        <v>-</v>
      </c>
      <c r="AU35" s="321" t="str">
        <f ca="1">IF(CS!D$5="l",CS!D35,"-")</f>
        <v/>
      </c>
      <c r="AV35" s="321" t="str">
        <f ca="1">IF(CS!E$5="l",CS!E35,"-")</f>
        <v>-</v>
      </c>
      <c r="AW35" s="321" t="str">
        <f ca="1">IF(CS!F$5="l",CS!F35,"-")</f>
        <v/>
      </c>
      <c r="AX35" s="321" t="str">
        <f ca="1">IF(CS!G$5="l",CS!G35,"-")</f>
        <v>-</v>
      </c>
      <c r="AY35" s="321" t="str">
        <f ca="1">IF(CS!H$5="l",CS!H35,"-")</f>
        <v/>
      </c>
      <c r="AZ35" s="321" t="str">
        <f ca="1">IF(CS!I$5="l",CS!I35,"-")</f>
        <v>-</v>
      </c>
      <c r="BA35" s="321" t="str">
        <f ca="1">IF(CS!J$5="l",CS!J35,"-")</f>
        <v/>
      </c>
      <c r="BB35" s="321" t="str">
        <f ca="1">IF(CS!K$5="l",CS!K35,"-")</f>
        <v>-</v>
      </c>
      <c r="BC35" s="321" t="str">
        <f ca="1">IF(CS!L$5="l",CS!L35,"-")</f>
        <v/>
      </c>
      <c r="BD35" s="321" t="str">
        <f ca="1">IF(CS!M$5="l",CS!M35,"-")</f>
        <v>-</v>
      </c>
      <c r="BE35" s="321" t="str">
        <f ca="1">IF(CS!N$5="l",CS!N35,"-")</f>
        <v/>
      </c>
      <c r="BF35" s="321" t="str">
        <f ca="1">IF(CS!O$5="l",CS!O35,"-")</f>
        <v>-</v>
      </c>
      <c r="BG35" s="321" t="str">
        <f ca="1">IF(CS!P$5="l",CS!P35,"-")</f>
        <v/>
      </c>
      <c r="BH35" s="321" t="str">
        <f ca="1">IF(CS!Q$5="l",CS!Q35,"-")</f>
        <v>-</v>
      </c>
      <c r="BI35" s="321" t="str">
        <f ca="1">IF(CS!R$5="l",CS!R35,"-")</f>
        <v/>
      </c>
      <c r="BJ35" s="321" t="str">
        <f ca="1">IF(CS!S$5="l",CS!S35,"-")</f>
        <v>-</v>
      </c>
      <c r="BK35" s="321" t="str">
        <f ca="1">IF(CS!T$5="l",CS!T35,"-")</f>
        <v/>
      </c>
      <c r="BL35" s="321" t="str">
        <f ca="1">IF(CS!U$5="l",CS!U35,"-")</f>
        <v>-</v>
      </c>
      <c r="BM35" s="321" t="str">
        <f ca="1">IF(CS!V$5="l",CS!V35,"-")</f>
        <v/>
      </c>
      <c r="BN35" s="321" t="str">
        <f ca="1">IF(CS!W$5="l",CS!W35,"-")</f>
        <v>-</v>
      </c>
      <c r="BO35" s="321" t="str">
        <f ca="1">IF(CS!X$5="l",CS!X35,"-")</f>
        <v/>
      </c>
      <c r="BP35" s="321" t="str">
        <f ca="1">IF(CS!Y$5="l",CS!Y35,"-")</f>
        <v>-</v>
      </c>
      <c r="BQ35" s="321" t="str">
        <f ca="1">IF(CS!Z$5="l",CS!Z35,"-")</f>
        <v/>
      </c>
      <c r="BR35" s="321" t="str">
        <f ca="1">IF(CS!AA$5="l",CS!AA35,"-")</f>
        <v>-</v>
      </c>
      <c r="BS35" s="321" t="str">
        <f ca="1">IF(CS!AB$5="l",CS!AB35,"-")</f>
        <v/>
      </c>
      <c r="BT35" s="321" t="str">
        <f ca="1">IF(CS!AC$5="l",CS!AC35,"-")</f>
        <v>-</v>
      </c>
      <c r="BU35" s="321" t="str">
        <f ca="1">IF(CS!AD$5="l",CS!AD35,"-")</f>
        <v/>
      </c>
      <c r="BV35" s="321" t="str">
        <f ca="1">IF(CS!AE$5="l",CS!AE35,"-")</f>
        <v>-</v>
      </c>
      <c r="BW35" s="321" t="str">
        <f ca="1">IF(CS!AF$5="l",CS!AF35,"-")</f>
        <v/>
      </c>
      <c r="BX35" s="321" t="str">
        <f ca="1">IF(CS!AG$5="l",CS!AG35,"-")</f>
        <v>-</v>
      </c>
      <c r="BY35" s="321" t="str">
        <f ca="1">IF(CS!AH$5="l",CS!AH35,"-")</f>
        <v/>
      </c>
      <c r="BZ35" s="321" t="str">
        <f ca="1">IF(CS!AI$5="l",CS!AI35,"-")</f>
        <v>-</v>
      </c>
      <c r="CA35" s="321" t="str">
        <f ca="1">IF(CS!AJ$5="l",CS!AJ35,"-")</f>
        <v/>
      </c>
      <c r="CB35" s="321" t="str">
        <f ca="1">IF(CS!AK$5="l",CS!AK35,"-")</f>
        <v>-</v>
      </c>
      <c r="CC35" s="321" t="str">
        <f ca="1">IF(CS!AL$5="l",CS!AL35,"-")</f>
        <v/>
      </c>
      <c r="CD35" s="321" t="str">
        <f ca="1">IF(CS!AM$5="l",CS!AM35,"-")</f>
        <v>-</v>
      </c>
      <c r="CE35" s="321" t="str">
        <f ca="1">IF(CS!AN$5="l",CS!AN35,"-")</f>
        <v/>
      </c>
      <c r="CF35" s="321" t="str">
        <f ca="1">IF(CS!AO$5="l",CS!AO35,"-")</f>
        <v>-</v>
      </c>
      <c r="CG35" s="321" t="str">
        <f ca="1">IF(CS!AP$5="l",CS!AP35,"-")</f>
        <v/>
      </c>
    </row>
    <row r="36" spans="2:85" ht="15">
      <c r="B36" s="4" t="str">
        <f ca="1">CS!AR36</f>
        <v/>
      </c>
      <c r="C36" s="430" t="str">
        <f t="shared" ca="1" si="3"/>
        <v/>
      </c>
      <c r="D36" s="28" t="str">
        <f t="shared" ca="1" si="3"/>
        <v/>
      </c>
      <c r="E36" s="28" t="str">
        <f t="shared" ca="1" si="3"/>
        <v/>
      </c>
      <c r="F36" s="28" t="str">
        <f t="shared" ca="1" si="7"/>
        <v/>
      </c>
      <c r="G36" s="28" t="str">
        <f t="shared" ca="1" si="7"/>
        <v/>
      </c>
      <c r="H36" s="28" t="str">
        <f t="shared" ca="1" si="7"/>
        <v/>
      </c>
      <c r="I36" s="28" t="str">
        <f t="shared" ca="1" si="7"/>
        <v/>
      </c>
      <c r="J36" s="28" t="str">
        <f t="shared" ca="1" si="7"/>
        <v/>
      </c>
      <c r="K36" s="28" t="str">
        <f t="shared" ca="1" si="7"/>
        <v/>
      </c>
      <c r="L36" s="28" t="str">
        <f t="shared" ca="1" si="7"/>
        <v/>
      </c>
      <c r="M36" s="28" t="str">
        <f t="shared" ca="1" si="7"/>
        <v/>
      </c>
      <c r="N36" s="28" t="str">
        <f t="shared" ca="1" si="7"/>
        <v/>
      </c>
      <c r="O36" s="28" t="str">
        <f t="shared" ca="1" si="7"/>
        <v/>
      </c>
      <c r="P36" s="28" t="str">
        <f t="shared" ca="1" si="7"/>
        <v/>
      </c>
      <c r="Q36" s="28" t="str">
        <f t="shared" ca="1" si="7"/>
        <v/>
      </c>
      <c r="R36" s="28" t="str">
        <f t="shared" ca="1" si="7"/>
        <v/>
      </c>
      <c r="S36" s="28" t="str">
        <f t="shared" ca="1" si="7"/>
        <v/>
      </c>
      <c r="T36" s="28" t="str">
        <f t="shared" ca="1" si="7"/>
        <v/>
      </c>
      <c r="U36" s="28" t="str">
        <f t="shared" ca="1" si="7"/>
        <v/>
      </c>
      <c r="V36" s="28" t="str">
        <f t="shared" ca="1" si="7"/>
        <v/>
      </c>
      <c r="W36" s="346" t="str">
        <f t="shared" ca="1" si="7"/>
        <v/>
      </c>
      <c r="Z36" s="5" t="str">
        <f t="shared" ca="1" si="4"/>
        <v/>
      </c>
      <c r="AB36" s="5">
        <f t="shared" ca="1" si="5"/>
        <v>0</v>
      </c>
      <c r="AS36" s="158">
        <f t="shared" si="6"/>
        <v>28</v>
      </c>
      <c r="AT36" s="321" t="str">
        <f ca="1">IF(CS!C$5="l",CS!C36,"-")</f>
        <v>-</v>
      </c>
      <c r="AU36" s="321" t="str">
        <f ca="1">IF(CS!D$5="l",CS!D36,"-")</f>
        <v/>
      </c>
      <c r="AV36" s="321" t="str">
        <f ca="1">IF(CS!E$5="l",CS!E36,"-")</f>
        <v>-</v>
      </c>
      <c r="AW36" s="321" t="str">
        <f ca="1">IF(CS!F$5="l",CS!F36,"-")</f>
        <v/>
      </c>
      <c r="AX36" s="321" t="str">
        <f ca="1">IF(CS!G$5="l",CS!G36,"-")</f>
        <v>-</v>
      </c>
      <c r="AY36" s="321" t="str">
        <f ca="1">IF(CS!H$5="l",CS!H36,"-")</f>
        <v/>
      </c>
      <c r="AZ36" s="321" t="str">
        <f ca="1">IF(CS!I$5="l",CS!I36,"-")</f>
        <v>-</v>
      </c>
      <c r="BA36" s="321" t="str">
        <f ca="1">IF(CS!J$5="l",CS!J36,"-")</f>
        <v/>
      </c>
      <c r="BB36" s="321" t="str">
        <f ca="1">IF(CS!K$5="l",CS!K36,"-")</f>
        <v>-</v>
      </c>
      <c r="BC36" s="321" t="str">
        <f ca="1">IF(CS!L$5="l",CS!L36,"-")</f>
        <v/>
      </c>
      <c r="BD36" s="321" t="str">
        <f ca="1">IF(CS!M$5="l",CS!M36,"-")</f>
        <v>-</v>
      </c>
      <c r="BE36" s="321" t="str">
        <f ca="1">IF(CS!N$5="l",CS!N36,"-")</f>
        <v/>
      </c>
      <c r="BF36" s="321" t="str">
        <f ca="1">IF(CS!O$5="l",CS!O36,"-")</f>
        <v>-</v>
      </c>
      <c r="BG36" s="321" t="str">
        <f ca="1">IF(CS!P$5="l",CS!P36,"-")</f>
        <v/>
      </c>
      <c r="BH36" s="321" t="str">
        <f ca="1">IF(CS!Q$5="l",CS!Q36,"-")</f>
        <v>-</v>
      </c>
      <c r="BI36" s="321" t="str">
        <f ca="1">IF(CS!R$5="l",CS!R36,"-")</f>
        <v/>
      </c>
      <c r="BJ36" s="321" t="str">
        <f ca="1">IF(CS!S$5="l",CS!S36,"-")</f>
        <v>-</v>
      </c>
      <c r="BK36" s="321" t="str">
        <f ca="1">IF(CS!T$5="l",CS!T36,"-")</f>
        <v/>
      </c>
      <c r="BL36" s="321" t="str">
        <f ca="1">IF(CS!U$5="l",CS!U36,"-")</f>
        <v>-</v>
      </c>
      <c r="BM36" s="321" t="str">
        <f ca="1">IF(CS!V$5="l",CS!V36,"-")</f>
        <v/>
      </c>
      <c r="BN36" s="321" t="str">
        <f ca="1">IF(CS!W$5="l",CS!W36,"-")</f>
        <v>-</v>
      </c>
      <c r="BO36" s="321" t="str">
        <f ca="1">IF(CS!X$5="l",CS!X36,"-")</f>
        <v/>
      </c>
      <c r="BP36" s="321" t="str">
        <f ca="1">IF(CS!Y$5="l",CS!Y36,"-")</f>
        <v>-</v>
      </c>
      <c r="BQ36" s="321" t="str">
        <f ca="1">IF(CS!Z$5="l",CS!Z36,"-")</f>
        <v/>
      </c>
      <c r="BR36" s="321" t="str">
        <f ca="1">IF(CS!AA$5="l",CS!AA36,"-")</f>
        <v>-</v>
      </c>
      <c r="BS36" s="321" t="str">
        <f ca="1">IF(CS!AB$5="l",CS!AB36,"-")</f>
        <v/>
      </c>
      <c r="BT36" s="321" t="str">
        <f ca="1">IF(CS!AC$5="l",CS!AC36,"-")</f>
        <v>-</v>
      </c>
      <c r="BU36" s="321" t="str">
        <f ca="1">IF(CS!AD$5="l",CS!AD36,"-")</f>
        <v/>
      </c>
      <c r="BV36" s="321" t="str">
        <f ca="1">IF(CS!AE$5="l",CS!AE36,"-")</f>
        <v>-</v>
      </c>
      <c r="BW36" s="321" t="str">
        <f ca="1">IF(CS!AF$5="l",CS!AF36,"-")</f>
        <v/>
      </c>
      <c r="BX36" s="321" t="str">
        <f ca="1">IF(CS!AG$5="l",CS!AG36,"-")</f>
        <v>-</v>
      </c>
      <c r="BY36" s="321" t="str">
        <f ca="1">IF(CS!AH$5="l",CS!AH36,"-")</f>
        <v/>
      </c>
      <c r="BZ36" s="321" t="str">
        <f ca="1">IF(CS!AI$5="l",CS!AI36,"-")</f>
        <v>-</v>
      </c>
      <c r="CA36" s="321" t="str">
        <f ca="1">IF(CS!AJ$5="l",CS!AJ36,"-")</f>
        <v/>
      </c>
      <c r="CB36" s="321" t="str">
        <f ca="1">IF(CS!AK$5="l",CS!AK36,"-")</f>
        <v>-</v>
      </c>
      <c r="CC36" s="321" t="str">
        <f ca="1">IF(CS!AL$5="l",CS!AL36,"-")</f>
        <v/>
      </c>
      <c r="CD36" s="321" t="str">
        <f ca="1">IF(CS!AM$5="l",CS!AM36,"-")</f>
        <v>-</v>
      </c>
      <c r="CE36" s="321" t="str">
        <f ca="1">IF(CS!AN$5="l",CS!AN36,"-")</f>
        <v/>
      </c>
      <c r="CF36" s="321" t="str">
        <f ca="1">IF(CS!AO$5="l",CS!AO36,"-")</f>
        <v>-</v>
      </c>
      <c r="CG36" s="321" t="str">
        <f ca="1">IF(CS!AP$5="l",CS!AP36,"-")</f>
        <v/>
      </c>
    </row>
    <row r="37" spans="2:85" ht="15">
      <c r="B37" s="4" t="str">
        <f ca="1">CS!AR37</f>
        <v/>
      </c>
      <c r="C37" s="430" t="str">
        <f t="shared" ca="1" si="3"/>
        <v/>
      </c>
      <c r="D37" s="28" t="str">
        <f t="shared" ca="1" si="3"/>
        <v/>
      </c>
      <c r="E37" s="28" t="str">
        <f t="shared" ca="1" si="3"/>
        <v/>
      </c>
      <c r="F37" s="28" t="str">
        <f t="shared" ca="1" si="7"/>
        <v/>
      </c>
      <c r="G37" s="28" t="str">
        <f t="shared" ca="1" si="7"/>
        <v/>
      </c>
      <c r="H37" s="28" t="str">
        <f t="shared" ca="1" si="7"/>
        <v/>
      </c>
      <c r="I37" s="28" t="str">
        <f t="shared" ca="1" si="7"/>
        <v/>
      </c>
      <c r="J37" s="28" t="str">
        <f t="shared" ca="1" si="7"/>
        <v/>
      </c>
      <c r="K37" s="28" t="str">
        <f t="shared" ca="1" si="7"/>
        <v/>
      </c>
      <c r="L37" s="28" t="str">
        <f t="shared" ca="1" si="7"/>
        <v/>
      </c>
      <c r="M37" s="28" t="str">
        <f t="shared" ca="1" si="7"/>
        <v/>
      </c>
      <c r="N37" s="28" t="str">
        <f t="shared" ca="1" si="7"/>
        <v/>
      </c>
      <c r="O37" s="28" t="str">
        <f t="shared" ca="1" si="7"/>
        <v/>
      </c>
      <c r="P37" s="28" t="str">
        <f t="shared" ca="1" si="7"/>
        <v/>
      </c>
      <c r="Q37" s="28" t="str">
        <f t="shared" ca="1" si="7"/>
        <v/>
      </c>
      <c r="R37" s="28" t="str">
        <f t="shared" ca="1" si="7"/>
        <v/>
      </c>
      <c r="S37" s="28" t="str">
        <f t="shared" ca="1" si="7"/>
        <v/>
      </c>
      <c r="T37" s="28" t="str">
        <f t="shared" ca="1" si="7"/>
        <v/>
      </c>
      <c r="U37" s="28" t="str">
        <f t="shared" ca="1" si="7"/>
        <v/>
      </c>
      <c r="V37" s="28" t="str">
        <f t="shared" ca="1" si="7"/>
        <v/>
      </c>
      <c r="W37" s="346" t="str">
        <f t="shared" ca="1" si="7"/>
        <v/>
      </c>
      <c r="Z37" s="5" t="str">
        <f t="shared" ca="1" si="4"/>
        <v/>
      </c>
      <c r="AB37" s="5">
        <f t="shared" ca="1" si="5"/>
        <v>0</v>
      </c>
      <c r="AS37" s="158">
        <f t="shared" si="6"/>
        <v>29</v>
      </c>
      <c r="AT37" s="321" t="str">
        <f ca="1">IF(CS!C$5="l",CS!C37,"-")</f>
        <v>-</v>
      </c>
      <c r="AU37" s="321" t="str">
        <f ca="1">IF(CS!D$5="l",CS!D37,"-")</f>
        <v/>
      </c>
      <c r="AV37" s="321" t="str">
        <f ca="1">IF(CS!E$5="l",CS!E37,"-")</f>
        <v>-</v>
      </c>
      <c r="AW37" s="321" t="str">
        <f ca="1">IF(CS!F$5="l",CS!F37,"-")</f>
        <v/>
      </c>
      <c r="AX37" s="321" t="str">
        <f ca="1">IF(CS!G$5="l",CS!G37,"-")</f>
        <v>-</v>
      </c>
      <c r="AY37" s="321" t="str">
        <f ca="1">IF(CS!H$5="l",CS!H37,"-")</f>
        <v/>
      </c>
      <c r="AZ37" s="321" t="str">
        <f ca="1">IF(CS!I$5="l",CS!I37,"-")</f>
        <v>-</v>
      </c>
      <c r="BA37" s="321" t="str">
        <f ca="1">IF(CS!J$5="l",CS!J37,"-")</f>
        <v/>
      </c>
      <c r="BB37" s="321" t="str">
        <f ca="1">IF(CS!K$5="l",CS!K37,"-")</f>
        <v>-</v>
      </c>
      <c r="BC37" s="321" t="str">
        <f ca="1">IF(CS!L$5="l",CS!L37,"-")</f>
        <v/>
      </c>
      <c r="BD37" s="321" t="str">
        <f ca="1">IF(CS!M$5="l",CS!M37,"-")</f>
        <v>-</v>
      </c>
      <c r="BE37" s="321" t="str">
        <f ca="1">IF(CS!N$5="l",CS!N37,"-")</f>
        <v/>
      </c>
      <c r="BF37" s="321" t="str">
        <f ca="1">IF(CS!O$5="l",CS!O37,"-")</f>
        <v>-</v>
      </c>
      <c r="BG37" s="321" t="str">
        <f ca="1">IF(CS!P$5="l",CS!P37,"-")</f>
        <v/>
      </c>
      <c r="BH37" s="321" t="str">
        <f ca="1">IF(CS!Q$5="l",CS!Q37,"-")</f>
        <v>-</v>
      </c>
      <c r="BI37" s="321" t="str">
        <f ca="1">IF(CS!R$5="l",CS!R37,"-")</f>
        <v/>
      </c>
      <c r="BJ37" s="321" t="str">
        <f ca="1">IF(CS!S$5="l",CS!S37,"-")</f>
        <v>-</v>
      </c>
      <c r="BK37" s="321" t="str">
        <f ca="1">IF(CS!T$5="l",CS!T37,"-")</f>
        <v/>
      </c>
      <c r="BL37" s="321" t="str">
        <f ca="1">IF(CS!U$5="l",CS!U37,"-")</f>
        <v>-</v>
      </c>
      <c r="BM37" s="321" t="str">
        <f ca="1">IF(CS!V$5="l",CS!V37,"-")</f>
        <v/>
      </c>
      <c r="BN37" s="321" t="str">
        <f ca="1">IF(CS!W$5="l",CS!W37,"-")</f>
        <v>-</v>
      </c>
      <c r="BO37" s="321" t="str">
        <f ca="1">IF(CS!X$5="l",CS!X37,"-")</f>
        <v/>
      </c>
      <c r="BP37" s="321" t="str">
        <f ca="1">IF(CS!Y$5="l",CS!Y37,"-")</f>
        <v>-</v>
      </c>
      <c r="BQ37" s="321" t="str">
        <f ca="1">IF(CS!Z$5="l",CS!Z37,"-")</f>
        <v/>
      </c>
      <c r="BR37" s="321" t="str">
        <f ca="1">IF(CS!AA$5="l",CS!AA37,"-")</f>
        <v>-</v>
      </c>
      <c r="BS37" s="321" t="str">
        <f ca="1">IF(CS!AB$5="l",CS!AB37,"-")</f>
        <v/>
      </c>
      <c r="BT37" s="321" t="str">
        <f ca="1">IF(CS!AC$5="l",CS!AC37,"-")</f>
        <v>-</v>
      </c>
      <c r="BU37" s="321" t="str">
        <f ca="1">IF(CS!AD$5="l",CS!AD37,"-")</f>
        <v/>
      </c>
      <c r="BV37" s="321" t="str">
        <f ca="1">IF(CS!AE$5="l",CS!AE37,"-")</f>
        <v>-</v>
      </c>
      <c r="BW37" s="321" t="str">
        <f ca="1">IF(CS!AF$5="l",CS!AF37,"-")</f>
        <v/>
      </c>
      <c r="BX37" s="321" t="str">
        <f ca="1">IF(CS!AG$5="l",CS!AG37,"-")</f>
        <v>-</v>
      </c>
      <c r="BY37" s="321" t="str">
        <f ca="1">IF(CS!AH$5="l",CS!AH37,"-")</f>
        <v/>
      </c>
      <c r="BZ37" s="321" t="str">
        <f ca="1">IF(CS!AI$5="l",CS!AI37,"-")</f>
        <v>-</v>
      </c>
      <c r="CA37" s="321" t="str">
        <f ca="1">IF(CS!AJ$5="l",CS!AJ37,"-")</f>
        <v/>
      </c>
      <c r="CB37" s="321" t="str">
        <f ca="1">IF(CS!AK$5="l",CS!AK37,"-")</f>
        <v>-</v>
      </c>
      <c r="CC37" s="321" t="str">
        <f ca="1">IF(CS!AL$5="l",CS!AL37,"-")</f>
        <v/>
      </c>
      <c r="CD37" s="321" t="str">
        <f ca="1">IF(CS!AM$5="l",CS!AM37,"-")</f>
        <v>-</v>
      </c>
      <c r="CE37" s="321" t="str">
        <f ca="1">IF(CS!AN$5="l",CS!AN37,"-")</f>
        <v/>
      </c>
      <c r="CF37" s="321" t="str">
        <f ca="1">IF(CS!AO$5="l",CS!AO37,"-")</f>
        <v>-</v>
      </c>
      <c r="CG37" s="321" t="str">
        <f ca="1">IF(CS!AP$5="l",CS!AP37,"-")</f>
        <v/>
      </c>
    </row>
    <row r="38" spans="2:85" ht="15">
      <c r="B38" s="4" t="str">
        <f ca="1">CS!AR38</f>
        <v/>
      </c>
      <c r="C38" s="430" t="str">
        <f t="shared" ca="1" si="3"/>
        <v/>
      </c>
      <c r="D38" s="28" t="str">
        <f t="shared" ca="1" si="3"/>
        <v/>
      </c>
      <c r="E38" s="28" t="str">
        <f t="shared" ca="1" si="3"/>
        <v/>
      </c>
      <c r="F38" s="28" t="str">
        <f t="shared" ca="1" si="7"/>
        <v/>
      </c>
      <c r="G38" s="28" t="str">
        <f t="shared" ca="1" si="7"/>
        <v/>
      </c>
      <c r="H38" s="28" t="str">
        <f t="shared" ca="1" si="7"/>
        <v/>
      </c>
      <c r="I38" s="28" t="str">
        <f t="shared" ca="1" si="7"/>
        <v/>
      </c>
      <c r="J38" s="28" t="str">
        <f t="shared" ca="1" si="7"/>
        <v/>
      </c>
      <c r="K38" s="28" t="str">
        <f t="shared" ca="1" si="7"/>
        <v/>
      </c>
      <c r="L38" s="28" t="str">
        <f t="shared" ca="1" si="7"/>
        <v/>
      </c>
      <c r="M38" s="28" t="str">
        <f t="shared" ca="1" si="7"/>
        <v/>
      </c>
      <c r="N38" s="28" t="str">
        <f t="shared" ca="1" si="7"/>
        <v/>
      </c>
      <c r="O38" s="28" t="str">
        <f t="shared" ca="1" si="7"/>
        <v/>
      </c>
      <c r="P38" s="28" t="str">
        <f t="shared" ca="1" si="7"/>
        <v/>
      </c>
      <c r="Q38" s="28" t="str">
        <f t="shared" ca="1" si="7"/>
        <v/>
      </c>
      <c r="R38" s="28" t="str">
        <f t="shared" ca="1" si="7"/>
        <v/>
      </c>
      <c r="S38" s="28" t="str">
        <f t="shared" ca="1" si="7"/>
        <v/>
      </c>
      <c r="T38" s="28" t="str">
        <f t="shared" ca="1" si="7"/>
        <v/>
      </c>
      <c r="U38" s="28" t="str">
        <f t="shared" ca="1" si="7"/>
        <v/>
      </c>
      <c r="V38" s="28" t="str">
        <f t="shared" ca="1" si="7"/>
        <v/>
      </c>
      <c r="W38" s="346" t="str">
        <f t="shared" ca="1" si="7"/>
        <v/>
      </c>
      <c r="Z38" s="5" t="str">
        <f t="shared" ca="1" si="4"/>
        <v/>
      </c>
      <c r="AB38" s="5">
        <f t="shared" ca="1" si="5"/>
        <v>0</v>
      </c>
      <c r="AS38" s="158">
        <f t="shared" si="6"/>
        <v>30</v>
      </c>
      <c r="AT38" s="321" t="str">
        <f ca="1">IF(CS!C$5="l",CS!C38,"-")</f>
        <v>-</v>
      </c>
      <c r="AU38" s="321" t="str">
        <f ca="1">IF(CS!D$5="l",CS!D38,"-")</f>
        <v/>
      </c>
      <c r="AV38" s="321" t="str">
        <f ca="1">IF(CS!E$5="l",CS!E38,"-")</f>
        <v>-</v>
      </c>
      <c r="AW38" s="321" t="str">
        <f ca="1">IF(CS!F$5="l",CS!F38,"-")</f>
        <v/>
      </c>
      <c r="AX38" s="321" t="str">
        <f ca="1">IF(CS!G$5="l",CS!G38,"-")</f>
        <v>-</v>
      </c>
      <c r="AY38" s="321" t="str">
        <f ca="1">IF(CS!H$5="l",CS!H38,"-")</f>
        <v/>
      </c>
      <c r="AZ38" s="321" t="str">
        <f ca="1">IF(CS!I$5="l",CS!I38,"-")</f>
        <v>-</v>
      </c>
      <c r="BA38" s="321" t="str">
        <f ca="1">IF(CS!J$5="l",CS!J38,"-")</f>
        <v/>
      </c>
      <c r="BB38" s="321" t="str">
        <f ca="1">IF(CS!K$5="l",CS!K38,"-")</f>
        <v>-</v>
      </c>
      <c r="BC38" s="321" t="str">
        <f ca="1">IF(CS!L$5="l",CS!L38,"-")</f>
        <v/>
      </c>
      <c r="BD38" s="321" t="str">
        <f ca="1">IF(CS!M$5="l",CS!M38,"-")</f>
        <v>-</v>
      </c>
      <c r="BE38" s="321" t="str">
        <f ca="1">IF(CS!N$5="l",CS!N38,"-")</f>
        <v/>
      </c>
      <c r="BF38" s="321" t="str">
        <f ca="1">IF(CS!O$5="l",CS!O38,"-")</f>
        <v>-</v>
      </c>
      <c r="BG38" s="321" t="str">
        <f ca="1">IF(CS!P$5="l",CS!P38,"-")</f>
        <v/>
      </c>
      <c r="BH38" s="321" t="str">
        <f ca="1">IF(CS!Q$5="l",CS!Q38,"-")</f>
        <v>-</v>
      </c>
      <c r="BI38" s="321" t="str">
        <f ca="1">IF(CS!R$5="l",CS!R38,"-")</f>
        <v/>
      </c>
      <c r="BJ38" s="321" t="str">
        <f ca="1">IF(CS!S$5="l",CS!S38,"-")</f>
        <v>-</v>
      </c>
      <c r="BK38" s="321" t="str">
        <f ca="1">IF(CS!T$5="l",CS!T38,"-")</f>
        <v/>
      </c>
      <c r="BL38" s="321" t="str">
        <f ca="1">IF(CS!U$5="l",CS!U38,"-")</f>
        <v>-</v>
      </c>
      <c r="BM38" s="321" t="str">
        <f ca="1">IF(CS!V$5="l",CS!V38,"-")</f>
        <v/>
      </c>
      <c r="BN38" s="321" t="str">
        <f ca="1">IF(CS!W$5="l",CS!W38,"-")</f>
        <v>-</v>
      </c>
      <c r="BO38" s="321" t="str">
        <f ca="1">IF(CS!X$5="l",CS!X38,"-")</f>
        <v/>
      </c>
      <c r="BP38" s="321" t="str">
        <f ca="1">IF(CS!Y$5="l",CS!Y38,"-")</f>
        <v>-</v>
      </c>
      <c r="BQ38" s="321" t="str">
        <f ca="1">IF(CS!Z$5="l",CS!Z38,"-")</f>
        <v/>
      </c>
      <c r="BR38" s="321" t="str">
        <f ca="1">IF(CS!AA$5="l",CS!AA38,"-")</f>
        <v>-</v>
      </c>
      <c r="BS38" s="321" t="str">
        <f ca="1">IF(CS!AB$5="l",CS!AB38,"-")</f>
        <v/>
      </c>
      <c r="BT38" s="321" t="str">
        <f ca="1">IF(CS!AC$5="l",CS!AC38,"-")</f>
        <v>-</v>
      </c>
      <c r="BU38" s="321" t="str">
        <f ca="1">IF(CS!AD$5="l",CS!AD38,"-")</f>
        <v/>
      </c>
      <c r="BV38" s="321" t="str">
        <f ca="1">IF(CS!AE$5="l",CS!AE38,"-")</f>
        <v>-</v>
      </c>
      <c r="BW38" s="321" t="str">
        <f ca="1">IF(CS!AF$5="l",CS!AF38,"-")</f>
        <v/>
      </c>
      <c r="BX38" s="321" t="str">
        <f ca="1">IF(CS!AG$5="l",CS!AG38,"-")</f>
        <v>-</v>
      </c>
      <c r="BY38" s="321" t="str">
        <f ca="1">IF(CS!AH$5="l",CS!AH38,"-")</f>
        <v/>
      </c>
      <c r="BZ38" s="321" t="str">
        <f ca="1">IF(CS!AI$5="l",CS!AI38,"-")</f>
        <v>-</v>
      </c>
      <c r="CA38" s="321" t="str">
        <f ca="1">IF(CS!AJ$5="l",CS!AJ38,"-")</f>
        <v/>
      </c>
      <c r="CB38" s="321" t="str">
        <f ca="1">IF(CS!AK$5="l",CS!AK38,"-")</f>
        <v>-</v>
      </c>
      <c r="CC38" s="321" t="str">
        <f ca="1">IF(CS!AL$5="l",CS!AL38,"-")</f>
        <v/>
      </c>
      <c r="CD38" s="321" t="str">
        <f ca="1">IF(CS!AM$5="l",CS!AM38,"-")</f>
        <v>-</v>
      </c>
      <c r="CE38" s="321" t="str">
        <f ca="1">IF(CS!AN$5="l",CS!AN38,"-")</f>
        <v/>
      </c>
      <c r="CF38" s="321" t="str">
        <f ca="1">IF(CS!AO$5="l",CS!AO38,"-")</f>
        <v>-</v>
      </c>
      <c r="CG38" s="321" t="str">
        <f ca="1">IF(CS!AP$5="l",CS!AP38,"-")</f>
        <v/>
      </c>
    </row>
    <row r="39" spans="2:85" ht="15">
      <c r="B39" s="4" t="str">
        <f ca="1">CS!AR39</f>
        <v/>
      </c>
      <c r="C39" s="430" t="str">
        <f t="shared" ca="1" si="3"/>
        <v/>
      </c>
      <c r="D39" s="28" t="str">
        <f t="shared" ca="1" si="3"/>
        <v/>
      </c>
      <c r="E39" s="28" t="str">
        <f t="shared" ca="1" si="3"/>
        <v/>
      </c>
      <c r="F39" s="28" t="str">
        <f t="shared" ca="1" si="7"/>
        <v/>
      </c>
      <c r="G39" s="28" t="str">
        <f t="shared" ca="1" si="7"/>
        <v/>
      </c>
      <c r="H39" s="28" t="str">
        <f t="shared" ca="1" si="7"/>
        <v/>
      </c>
      <c r="I39" s="28" t="str">
        <f t="shared" ca="1" si="7"/>
        <v/>
      </c>
      <c r="J39" s="28" t="str">
        <f t="shared" ca="1" si="7"/>
        <v/>
      </c>
      <c r="K39" s="28" t="str">
        <f t="shared" ca="1" si="7"/>
        <v/>
      </c>
      <c r="L39" s="28" t="str">
        <f t="shared" ca="1" si="7"/>
        <v/>
      </c>
      <c r="M39" s="28" t="str">
        <f t="shared" ca="1" si="7"/>
        <v/>
      </c>
      <c r="N39" s="28" t="str">
        <f t="shared" ca="1" si="7"/>
        <v/>
      </c>
      <c r="O39" s="28" t="str">
        <f t="shared" ca="1" si="7"/>
        <v/>
      </c>
      <c r="P39" s="28" t="str">
        <f t="shared" ca="1" si="7"/>
        <v/>
      </c>
      <c r="Q39" s="28" t="str">
        <f t="shared" ca="1" si="7"/>
        <v/>
      </c>
      <c r="R39" s="28" t="str">
        <f t="shared" ca="1" si="7"/>
        <v/>
      </c>
      <c r="S39" s="28" t="str">
        <f t="shared" ca="1" si="7"/>
        <v/>
      </c>
      <c r="T39" s="28" t="str">
        <f t="shared" ca="1" si="7"/>
        <v/>
      </c>
      <c r="U39" s="28" t="str">
        <f t="shared" ca="1" si="7"/>
        <v/>
      </c>
      <c r="V39" s="28" t="str">
        <f t="shared" ca="1" si="7"/>
        <v/>
      </c>
      <c r="W39" s="346" t="str">
        <f t="shared" ca="1" si="7"/>
        <v/>
      </c>
      <c r="Z39" s="5" t="str">
        <f t="shared" ca="1" si="4"/>
        <v/>
      </c>
      <c r="AB39" s="5">
        <f t="shared" ca="1" si="5"/>
        <v>0</v>
      </c>
      <c r="AS39" s="158">
        <f t="shared" si="6"/>
        <v>31</v>
      </c>
      <c r="AT39" s="321" t="str">
        <f ca="1">IF(CS!C$5="l",CS!C39,"-")</f>
        <v>-</v>
      </c>
      <c r="AU39" s="321" t="str">
        <f ca="1">IF(CS!D$5="l",CS!D39,"-")</f>
        <v/>
      </c>
      <c r="AV39" s="321" t="str">
        <f ca="1">IF(CS!E$5="l",CS!E39,"-")</f>
        <v>-</v>
      </c>
      <c r="AW39" s="321" t="str">
        <f ca="1">IF(CS!F$5="l",CS!F39,"-")</f>
        <v/>
      </c>
      <c r="AX39" s="321" t="str">
        <f ca="1">IF(CS!G$5="l",CS!G39,"-")</f>
        <v>-</v>
      </c>
      <c r="AY39" s="321" t="str">
        <f ca="1">IF(CS!H$5="l",CS!H39,"-")</f>
        <v/>
      </c>
      <c r="AZ39" s="321" t="str">
        <f ca="1">IF(CS!I$5="l",CS!I39,"-")</f>
        <v>-</v>
      </c>
      <c r="BA39" s="321" t="str">
        <f ca="1">IF(CS!J$5="l",CS!J39,"-")</f>
        <v/>
      </c>
      <c r="BB39" s="321" t="str">
        <f ca="1">IF(CS!K$5="l",CS!K39,"-")</f>
        <v>-</v>
      </c>
      <c r="BC39" s="321" t="str">
        <f ca="1">IF(CS!L$5="l",CS!L39,"-")</f>
        <v/>
      </c>
      <c r="BD39" s="321" t="str">
        <f ca="1">IF(CS!M$5="l",CS!M39,"-")</f>
        <v>-</v>
      </c>
      <c r="BE39" s="321" t="str">
        <f ca="1">IF(CS!N$5="l",CS!N39,"-")</f>
        <v/>
      </c>
      <c r="BF39" s="321" t="str">
        <f ca="1">IF(CS!O$5="l",CS!O39,"-")</f>
        <v>-</v>
      </c>
      <c r="BG39" s="321" t="str">
        <f ca="1">IF(CS!P$5="l",CS!P39,"-")</f>
        <v/>
      </c>
      <c r="BH39" s="321" t="str">
        <f ca="1">IF(CS!Q$5="l",CS!Q39,"-")</f>
        <v>-</v>
      </c>
      <c r="BI39" s="321" t="str">
        <f ca="1">IF(CS!R$5="l",CS!R39,"-")</f>
        <v/>
      </c>
      <c r="BJ39" s="321" t="str">
        <f ca="1">IF(CS!S$5="l",CS!S39,"-")</f>
        <v>-</v>
      </c>
      <c r="BK39" s="321" t="str">
        <f ca="1">IF(CS!T$5="l",CS!T39,"-")</f>
        <v/>
      </c>
      <c r="BL39" s="321" t="str">
        <f ca="1">IF(CS!U$5="l",CS!U39,"-")</f>
        <v>-</v>
      </c>
      <c r="BM39" s="321" t="str">
        <f ca="1">IF(CS!V$5="l",CS!V39,"-")</f>
        <v/>
      </c>
      <c r="BN39" s="321" t="str">
        <f ca="1">IF(CS!W$5="l",CS!W39,"-")</f>
        <v>-</v>
      </c>
      <c r="BO39" s="321" t="str">
        <f ca="1">IF(CS!X$5="l",CS!X39,"-")</f>
        <v/>
      </c>
      <c r="BP39" s="321" t="str">
        <f ca="1">IF(CS!Y$5="l",CS!Y39,"-")</f>
        <v>-</v>
      </c>
      <c r="BQ39" s="321" t="str">
        <f ca="1">IF(CS!Z$5="l",CS!Z39,"-")</f>
        <v/>
      </c>
      <c r="BR39" s="321" t="str">
        <f ca="1">IF(CS!AA$5="l",CS!AA39,"-")</f>
        <v>-</v>
      </c>
      <c r="BS39" s="321" t="str">
        <f ca="1">IF(CS!AB$5="l",CS!AB39,"-")</f>
        <v/>
      </c>
      <c r="BT39" s="321" t="str">
        <f ca="1">IF(CS!AC$5="l",CS!AC39,"-")</f>
        <v>-</v>
      </c>
      <c r="BU39" s="321" t="str">
        <f ca="1">IF(CS!AD$5="l",CS!AD39,"-")</f>
        <v/>
      </c>
      <c r="BV39" s="321" t="str">
        <f ca="1">IF(CS!AE$5="l",CS!AE39,"-")</f>
        <v>-</v>
      </c>
      <c r="BW39" s="321" t="str">
        <f ca="1">IF(CS!AF$5="l",CS!AF39,"-")</f>
        <v/>
      </c>
      <c r="BX39" s="321" t="str">
        <f ca="1">IF(CS!AG$5="l",CS!AG39,"-")</f>
        <v>-</v>
      </c>
      <c r="BY39" s="321" t="str">
        <f ca="1">IF(CS!AH$5="l",CS!AH39,"-")</f>
        <v/>
      </c>
      <c r="BZ39" s="321" t="str">
        <f ca="1">IF(CS!AI$5="l",CS!AI39,"-")</f>
        <v>-</v>
      </c>
      <c r="CA39" s="321" t="str">
        <f ca="1">IF(CS!AJ$5="l",CS!AJ39,"-")</f>
        <v/>
      </c>
      <c r="CB39" s="321" t="str">
        <f ca="1">IF(CS!AK$5="l",CS!AK39,"-")</f>
        <v>-</v>
      </c>
      <c r="CC39" s="321" t="str">
        <f ca="1">IF(CS!AL$5="l",CS!AL39,"-")</f>
        <v/>
      </c>
      <c r="CD39" s="321" t="str">
        <f ca="1">IF(CS!AM$5="l",CS!AM39,"-")</f>
        <v>-</v>
      </c>
      <c r="CE39" s="321" t="str">
        <f ca="1">IF(CS!AN$5="l",CS!AN39,"-")</f>
        <v/>
      </c>
      <c r="CF39" s="321" t="str">
        <f ca="1">IF(CS!AO$5="l",CS!AO39,"-")</f>
        <v>-</v>
      </c>
      <c r="CG39" s="321" t="str">
        <f ca="1">IF(CS!AP$5="l",CS!AP39,"-")</f>
        <v/>
      </c>
    </row>
    <row r="40" spans="2:85" ht="15">
      <c r="B40" s="4" t="str">
        <f ca="1">CS!AR40</f>
        <v/>
      </c>
      <c r="C40" s="430" t="str">
        <f t="shared" ca="1" si="3"/>
        <v/>
      </c>
      <c r="D40" s="28" t="str">
        <f t="shared" ca="1" si="3"/>
        <v/>
      </c>
      <c r="E40" s="28" t="str">
        <f t="shared" ca="1" si="3"/>
        <v/>
      </c>
      <c r="F40" s="28" t="str">
        <f t="shared" ca="1" si="7"/>
        <v/>
      </c>
      <c r="G40" s="28" t="str">
        <f t="shared" ref="F40:W54" ca="1" si="8">IF(G$9="","",IF(ISERROR(HLOOKUP(G$9,INDIRECT(G$59),$AS40,FALSE)),"-",HLOOKUP(G$9,INDIRECT(G$59),$AS40,FALSE)))</f>
        <v/>
      </c>
      <c r="H40" s="28" t="str">
        <f t="shared" ca="1" si="8"/>
        <v/>
      </c>
      <c r="I40" s="28" t="str">
        <f t="shared" ca="1" si="8"/>
        <v/>
      </c>
      <c r="J40" s="28" t="str">
        <f t="shared" ca="1" si="8"/>
        <v/>
      </c>
      <c r="K40" s="28" t="str">
        <f t="shared" ca="1" si="8"/>
        <v/>
      </c>
      <c r="L40" s="28" t="str">
        <f t="shared" ca="1" si="8"/>
        <v/>
      </c>
      <c r="M40" s="28" t="str">
        <f t="shared" ca="1" si="8"/>
        <v/>
      </c>
      <c r="N40" s="28" t="str">
        <f t="shared" ca="1" si="8"/>
        <v/>
      </c>
      <c r="O40" s="28" t="str">
        <f t="shared" ca="1" si="8"/>
        <v/>
      </c>
      <c r="P40" s="28" t="str">
        <f t="shared" ca="1" si="8"/>
        <v/>
      </c>
      <c r="Q40" s="28" t="str">
        <f t="shared" ca="1" si="8"/>
        <v/>
      </c>
      <c r="R40" s="28" t="str">
        <f t="shared" ca="1" si="8"/>
        <v/>
      </c>
      <c r="S40" s="28" t="str">
        <f t="shared" ca="1" si="8"/>
        <v/>
      </c>
      <c r="T40" s="28" t="str">
        <f t="shared" ca="1" si="8"/>
        <v/>
      </c>
      <c r="U40" s="28" t="str">
        <f t="shared" ca="1" si="8"/>
        <v/>
      </c>
      <c r="V40" s="28" t="str">
        <f t="shared" ca="1" si="8"/>
        <v/>
      </c>
      <c r="W40" s="346" t="str">
        <f t="shared" ca="1" si="8"/>
        <v/>
      </c>
      <c r="Z40" s="5" t="str">
        <f t="shared" ca="1" si="4"/>
        <v/>
      </c>
      <c r="AB40" s="5">
        <f t="shared" ca="1" si="5"/>
        <v>0</v>
      </c>
      <c r="AS40" s="158">
        <f t="shared" si="6"/>
        <v>32</v>
      </c>
      <c r="AT40" s="321" t="str">
        <f ca="1">IF(CS!C$5="l",CS!C40,"-")</f>
        <v>-</v>
      </c>
      <c r="AU40" s="321" t="str">
        <f ca="1">IF(CS!D$5="l",CS!D40,"-")</f>
        <v/>
      </c>
      <c r="AV40" s="321" t="str">
        <f ca="1">IF(CS!E$5="l",CS!E40,"-")</f>
        <v>-</v>
      </c>
      <c r="AW40" s="321" t="str">
        <f ca="1">IF(CS!F$5="l",CS!F40,"-")</f>
        <v/>
      </c>
      <c r="AX40" s="321" t="str">
        <f ca="1">IF(CS!G$5="l",CS!G40,"-")</f>
        <v>-</v>
      </c>
      <c r="AY40" s="321" t="str">
        <f ca="1">IF(CS!H$5="l",CS!H40,"-")</f>
        <v/>
      </c>
      <c r="AZ40" s="321" t="str">
        <f ca="1">IF(CS!I$5="l",CS!I40,"-")</f>
        <v>-</v>
      </c>
      <c r="BA40" s="321" t="str">
        <f ca="1">IF(CS!J$5="l",CS!J40,"-")</f>
        <v/>
      </c>
      <c r="BB40" s="321" t="str">
        <f ca="1">IF(CS!K$5="l",CS!K40,"-")</f>
        <v>-</v>
      </c>
      <c r="BC40" s="321" t="str">
        <f ca="1">IF(CS!L$5="l",CS!L40,"-")</f>
        <v/>
      </c>
      <c r="BD40" s="321" t="str">
        <f ca="1">IF(CS!M$5="l",CS!M40,"-")</f>
        <v>-</v>
      </c>
      <c r="BE40" s="321" t="str">
        <f ca="1">IF(CS!N$5="l",CS!N40,"-")</f>
        <v/>
      </c>
      <c r="BF40" s="321" t="str">
        <f ca="1">IF(CS!O$5="l",CS!O40,"-")</f>
        <v>-</v>
      </c>
      <c r="BG40" s="321" t="str">
        <f ca="1">IF(CS!P$5="l",CS!P40,"-")</f>
        <v/>
      </c>
      <c r="BH40" s="321" t="str">
        <f ca="1">IF(CS!Q$5="l",CS!Q40,"-")</f>
        <v>-</v>
      </c>
      <c r="BI40" s="321" t="str">
        <f ca="1">IF(CS!R$5="l",CS!R40,"-")</f>
        <v/>
      </c>
      <c r="BJ40" s="321" t="str">
        <f ca="1">IF(CS!S$5="l",CS!S40,"-")</f>
        <v>-</v>
      </c>
      <c r="BK40" s="321" t="str">
        <f ca="1">IF(CS!T$5="l",CS!T40,"-")</f>
        <v/>
      </c>
      <c r="BL40" s="321" t="str">
        <f ca="1">IF(CS!U$5="l",CS!U40,"-")</f>
        <v>-</v>
      </c>
      <c r="BM40" s="321" t="str">
        <f ca="1">IF(CS!V$5="l",CS!V40,"-")</f>
        <v/>
      </c>
      <c r="BN40" s="321" t="str">
        <f ca="1">IF(CS!W$5="l",CS!W40,"-")</f>
        <v>-</v>
      </c>
      <c r="BO40" s="321" t="str">
        <f ca="1">IF(CS!X$5="l",CS!X40,"-")</f>
        <v/>
      </c>
      <c r="BP40" s="321" t="str">
        <f ca="1">IF(CS!Y$5="l",CS!Y40,"-")</f>
        <v>-</v>
      </c>
      <c r="BQ40" s="321" t="str">
        <f ca="1">IF(CS!Z$5="l",CS!Z40,"-")</f>
        <v/>
      </c>
      <c r="BR40" s="321" t="str">
        <f ca="1">IF(CS!AA$5="l",CS!AA40,"-")</f>
        <v>-</v>
      </c>
      <c r="BS40" s="321" t="str">
        <f ca="1">IF(CS!AB$5="l",CS!AB40,"-")</f>
        <v/>
      </c>
      <c r="BT40" s="321" t="str">
        <f ca="1">IF(CS!AC$5="l",CS!AC40,"-")</f>
        <v>-</v>
      </c>
      <c r="BU40" s="321" t="str">
        <f ca="1">IF(CS!AD$5="l",CS!AD40,"-")</f>
        <v/>
      </c>
      <c r="BV40" s="321" t="str">
        <f ca="1">IF(CS!AE$5="l",CS!AE40,"-")</f>
        <v>-</v>
      </c>
      <c r="BW40" s="321" t="str">
        <f ca="1">IF(CS!AF$5="l",CS!AF40,"-")</f>
        <v/>
      </c>
      <c r="BX40" s="321" t="str">
        <f ca="1">IF(CS!AG$5="l",CS!AG40,"-")</f>
        <v>-</v>
      </c>
      <c r="BY40" s="321" t="str">
        <f ca="1">IF(CS!AH$5="l",CS!AH40,"-")</f>
        <v/>
      </c>
      <c r="BZ40" s="321" t="str">
        <f ca="1">IF(CS!AI$5="l",CS!AI40,"-")</f>
        <v>-</v>
      </c>
      <c r="CA40" s="321" t="str">
        <f ca="1">IF(CS!AJ$5="l",CS!AJ40,"-")</f>
        <v/>
      </c>
      <c r="CB40" s="321" t="str">
        <f ca="1">IF(CS!AK$5="l",CS!AK40,"-")</f>
        <v>-</v>
      </c>
      <c r="CC40" s="321" t="str">
        <f ca="1">IF(CS!AL$5="l",CS!AL40,"-")</f>
        <v/>
      </c>
      <c r="CD40" s="321" t="str">
        <f ca="1">IF(CS!AM$5="l",CS!AM40,"-")</f>
        <v>-</v>
      </c>
      <c r="CE40" s="321" t="str">
        <f ca="1">IF(CS!AN$5="l",CS!AN40,"-")</f>
        <v/>
      </c>
      <c r="CF40" s="321" t="str">
        <f ca="1">IF(CS!AO$5="l",CS!AO40,"-")</f>
        <v>-</v>
      </c>
      <c r="CG40" s="321" t="str">
        <f ca="1">IF(CS!AP$5="l",CS!AP40,"-")</f>
        <v/>
      </c>
    </row>
    <row r="41" spans="2:85" ht="15">
      <c r="B41" s="4" t="str">
        <f ca="1">CS!AR41</f>
        <v/>
      </c>
      <c r="C41" s="430" t="str">
        <f t="shared" ca="1" si="3"/>
        <v/>
      </c>
      <c r="D41" s="28" t="str">
        <f t="shared" ca="1" si="3"/>
        <v/>
      </c>
      <c r="E41" s="28" t="str">
        <f t="shared" ca="1" si="3"/>
        <v/>
      </c>
      <c r="F41" s="28" t="str">
        <f t="shared" ca="1" si="8"/>
        <v/>
      </c>
      <c r="G41" s="28" t="str">
        <f t="shared" ca="1" si="8"/>
        <v/>
      </c>
      <c r="H41" s="28" t="str">
        <f t="shared" ca="1" si="8"/>
        <v/>
      </c>
      <c r="I41" s="28" t="str">
        <f t="shared" ca="1" si="8"/>
        <v/>
      </c>
      <c r="J41" s="28" t="str">
        <f t="shared" ca="1" si="8"/>
        <v/>
      </c>
      <c r="K41" s="28" t="str">
        <f t="shared" ca="1" si="8"/>
        <v/>
      </c>
      <c r="L41" s="28" t="str">
        <f t="shared" ca="1" si="8"/>
        <v/>
      </c>
      <c r="M41" s="28" t="str">
        <f t="shared" ca="1" si="8"/>
        <v/>
      </c>
      <c r="N41" s="28" t="str">
        <f t="shared" ca="1" si="8"/>
        <v/>
      </c>
      <c r="O41" s="28" t="str">
        <f t="shared" ca="1" si="8"/>
        <v/>
      </c>
      <c r="P41" s="28" t="str">
        <f t="shared" ca="1" si="8"/>
        <v/>
      </c>
      <c r="Q41" s="28" t="str">
        <f t="shared" ca="1" si="8"/>
        <v/>
      </c>
      <c r="R41" s="28" t="str">
        <f t="shared" ca="1" si="8"/>
        <v/>
      </c>
      <c r="S41" s="28" t="str">
        <f t="shared" ca="1" si="8"/>
        <v/>
      </c>
      <c r="T41" s="28" t="str">
        <f t="shared" ca="1" si="8"/>
        <v/>
      </c>
      <c r="U41" s="28" t="str">
        <f t="shared" ca="1" si="8"/>
        <v/>
      </c>
      <c r="V41" s="28" t="str">
        <f t="shared" ca="1" si="8"/>
        <v/>
      </c>
      <c r="W41" s="346" t="str">
        <f t="shared" ca="1" si="8"/>
        <v/>
      </c>
      <c r="Z41" s="5" t="str">
        <f t="shared" ca="1" si="4"/>
        <v/>
      </c>
      <c r="AB41" s="5">
        <f t="shared" ca="1" si="5"/>
        <v>0</v>
      </c>
      <c r="AS41" s="158">
        <f t="shared" si="6"/>
        <v>33</v>
      </c>
      <c r="AT41" s="321" t="str">
        <f ca="1">IF(CS!C$5="l",CS!C41,"-")</f>
        <v>-</v>
      </c>
      <c r="AU41" s="321" t="str">
        <f ca="1">IF(CS!D$5="l",CS!D41,"-")</f>
        <v/>
      </c>
      <c r="AV41" s="321" t="str">
        <f ca="1">IF(CS!E$5="l",CS!E41,"-")</f>
        <v>-</v>
      </c>
      <c r="AW41" s="321" t="str">
        <f ca="1">IF(CS!F$5="l",CS!F41,"-")</f>
        <v/>
      </c>
      <c r="AX41" s="321" t="str">
        <f ca="1">IF(CS!G$5="l",CS!G41,"-")</f>
        <v>-</v>
      </c>
      <c r="AY41" s="321" t="str">
        <f ca="1">IF(CS!H$5="l",CS!H41,"-")</f>
        <v/>
      </c>
      <c r="AZ41" s="321" t="str">
        <f ca="1">IF(CS!I$5="l",CS!I41,"-")</f>
        <v>-</v>
      </c>
      <c r="BA41" s="321" t="str">
        <f ca="1">IF(CS!J$5="l",CS!J41,"-")</f>
        <v/>
      </c>
      <c r="BB41" s="321" t="str">
        <f ca="1">IF(CS!K$5="l",CS!K41,"-")</f>
        <v>-</v>
      </c>
      <c r="BC41" s="321" t="str">
        <f ca="1">IF(CS!L$5="l",CS!L41,"-")</f>
        <v/>
      </c>
      <c r="BD41" s="321" t="str">
        <f ca="1">IF(CS!M$5="l",CS!M41,"-")</f>
        <v>-</v>
      </c>
      <c r="BE41" s="321" t="str">
        <f ca="1">IF(CS!N$5="l",CS!N41,"-")</f>
        <v/>
      </c>
      <c r="BF41" s="321" t="str">
        <f ca="1">IF(CS!O$5="l",CS!O41,"-")</f>
        <v>-</v>
      </c>
      <c r="BG41" s="321" t="str">
        <f ca="1">IF(CS!P$5="l",CS!P41,"-")</f>
        <v/>
      </c>
      <c r="BH41" s="321" t="str">
        <f ca="1">IF(CS!Q$5="l",CS!Q41,"-")</f>
        <v>-</v>
      </c>
      <c r="BI41" s="321" t="str">
        <f ca="1">IF(CS!R$5="l",CS!R41,"-")</f>
        <v/>
      </c>
      <c r="BJ41" s="321" t="str">
        <f ca="1">IF(CS!S$5="l",CS!S41,"-")</f>
        <v>-</v>
      </c>
      <c r="BK41" s="321" t="str">
        <f ca="1">IF(CS!T$5="l",CS!T41,"-")</f>
        <v/>
      </c>
      <c r="BL41" s="321" t="str">
        <f ca="1">IF(CS!U$5="l",CS!U41,"-")</f>
        <v>-</v>
      </c>
      <c r="BM41" s="321" t="str">
        <f ca="1">IF(CS!V$5="l",CS!V41,"-")</f>
        <v/>
      </c>
      <c r="BN41" s="321" t="str">
        <f ca="1">IF(CS!W$5="l",CS!W41,"-")</f>
        <v>-</v>
      </c>
      <c r="BO41" s="321" t="str">
        <f ca="1">IF(CS!X$5="l",CS!X41,"-")</f>
        <v/>
      </c>
      <c r="BP41" s="321" t="str">
        <f ca="1">IF(CS!Y$5="l",CS!Y41,"-")</f>
        <v>-</v>
      </c>
      <c r="BQ41" s="321" t="str">
        <f ca="1">IF(CS!Z$5="l",CS!Z41,"-")</f>
        <v/>
      </c>
      <c r="BR41" s="321" t="str">
        <f ca="1">IF(CS!AA$5="l",CS!AA41,"-")</f>
        <v>-</v>
      </c>
      <c r="BS41" s="321" t="str">
        <f ca="1">IF(CS!AB$5="l",CS!AB41,"-")</f>
        <v/>
      </c>
      <c r="BT41" s="321" t="str">
        <f ca="1">IF(CS!AC$5="l",CS!AC41,"-")</f>
        <v>-</v>
      </c>
      <c r="BU41" s="321" t="str">
        <f ca="1">IF(CS!AD$5="l",CS!AD41,"-")</f>
        <v/>
      </c>
      <c r="BV41" s="321" t="str">
        <f ca="1">IF(CS!AE$5="l",CS!AE41,"-")</f>
        <v>-</v>
      </c>
      <c r="BW41" s="321" t="str">
        <f ca="1">IF(CS!AF$5="l",CS!AF41,"-")</f>
        <v/>
      </c>
      <c r="BX41" s="321" t="str">
        <f ca="1">IF(CS!AG$5="l",CS!AG41,"-")</f>
        <v>-</v>
      </c>
      <c r="BY41" s="321" t="str">
        <f ca="1">IF(CS!AH$5="l",CS!AH41,"-")</f>
        <v/>
      </c>
      <c r="BZ41" s="321" t="str">
        <f ca="1">IF(CS!AI$5="l",CS!AI41,"-")</f>
        <v>-</v>
      </c>
      <c r="CA41" s="321" t="str">
        <f ca="1">IF(CS!AJ$5="l",CS!AJ41,"-")</f>
        <v/>
      </c>
      <c r="CB41" s="321" t="str">
        <f ca="1">IF(CS!AK$5="l",CS!AK41,"-")</f>
        <v>-</v>
      </c>
      <c r="CC41" s="321" t="str">
        <f ca="1">IF(CS!AL$5="l",CS!AL41,"-")</f>
        <v/>
      </c>
      <c r="CD41" s="321" t="str">
        <f ca="1">IF(CS!AM$5="l",CS!AM41,"-")</f>
        <v>-</v>
      </c>
      <c r="CE41" s="321" t="str">
        <f ca="1">IF(CS!AN$5="l",CS!AN41,"-")</f>
        <v/>
      </c>
      <c r="CF41" s="321" t="str">
        <f ca="1">IF(CS!AO$5="l",CS!AO41,"-")</f>
        <v>-</v>
      </c>
      <c r="CG41" s="321" t="str">
        <f ca="1">IF(CS!AP$5="l",CS!AP41,"-")</f>
        <v/>
      </c>
    </row>
    <row r="42" spans="2:85" ht="15">
      <c r="B42" s="4" t="str">
        <f ca="1">CS!AR42</f>
        <v/>
      </c>
      <c r="C42" s="430" t="str">
        <f t="shared" ca="1" si="3"/>
        <v/>
      </c>
      <c r="D42" s="28" t="str">
        <f t="shared" ca="1" si="3"/>
        <v/>
      </c>
      <c r="E42" s="28" t="str">
        <f t="shared" ca="1" si="3"/>
        <v/>
      </c>
      <c r="F42" s="28" t="str">
        <f t="shared" ca="1" si="8"/>
        <v/>
      </c>
      <c r="G42" s="28" t="str">
        <f t="shared" ca="1" si="8"/>
        <v/>
      </c>
      <c r="H42" s="28" t="str">
        <f t="shared" ca="1" si="8"/>
        <v/>
      </c>
      <c r="I42" s="28" t="str">
        <f t="shared" ca="1" si="8"/>
        <v/>
      </c>
      <c r="J42" s="28" t="str">
        <f t="shared" ca="1" si="8"/>
        <v/>
      </c>
      <c r="K42" s="28" t="str">
        <f t="shared" ca="1" si="8"/>
        <v/>
      </c>
      <c r="L42" s="28" t="str">
        <f t="shared" ca="1" si="8"/>
        <v/>
      </c>
      <c r="M42" s="28" t="str">
        <f t="shared" ca="1" si="8"/>
        <v/>
      </c>
      <c r="N42" s="28" t="str">
        <f t="shared" ca="1" si="8"/>
        <v/>
      </c>
      <c r="O42" s="28" t="str">
        <f t="shared" ca="1" si="8"/>
        <v/>
      </c>
      <c r="P42" s="28" t="str">
        <f t="shared" ca="1" si="8"/>
        <v/>
      </c>
      <c r="Q42" s="28" t="str">
        <f t="shared" ca="1" si="8"/>
        <v/>
      </c>
      <c r="R42" s="28" t="str">
        <f t="shared" ca="1" si="8"/>
        <v/>
      </c>
      <c r="S42" s="28" t="str">
        <f t="shared" ca="1" si="8"/>
        <v/>
      </c>
      <c r="T42" s="28" t="str">
        <f t="shared" ca="1" si="8"/>
        <v/>
      </c>
      <c r="U42" s="28" t="str">
        <f t="shared" ca="1" si="8"/>
        <v/>
      </c>
      <c r="V42" s="28" t="str">
        <f t="shared" ca="1" si="8"/>
        <v/>
      </c>
      <c r="W42" s="346" t="str">
        <f t="shared" ca="1" si="8"/>
        <v/>
      </c>
      <c r="Z42" s="5" t="str">
        <f t="shared" ca="1" si="4"/>
        <v/>
      </c>
      <c r="AB42" s="5">
        <f t="shared" ca="1" si="5"/>
        <v>0</v>
      </c>
      <c r="AS42" s="158">
        <f t="shared" si="6"/>
        <v>34</v>
      </c>
      <c r="AT42" s="321" t="str">
        <f ca="1">IF(CS!C$5="l",CS!C42,"-")</f>
        <v>-</v>
      </c>
      <c r="AU42" s="321" t="str">
        <f ca="1">IF(CS!D$5="l",CS!D42,"-")</f>
        <v/>
      </c>
      <c r="AV42" s="321" t="str">
        <f ca="1">IF(CS!E$5="l",CS!E42,"-")</f>
        <v>-</v>
      </c>
      <c r="AW42" s="321" t="str">
        <f ca="1">IF(CS!F$5="l",CS!F42,"-")</f>
        <v/>
      </c>
      <c r="AX42" s="321" t="str">
        <f ca="1">IF(CS!G$5="l",CS!G42,"-")</f>
        <v>-</v>
      </c>
      <c r="AY42" s="321" t="str">
        <f ca="1">IF(CS!H$5="l",CS!H42,"-")</f>
        <v/>
      </c>
      <c r="AZ42" s="321" t="str">
        <f ca="1">IF(CS!I$5="l",CS!I42,"-")</f>
        <v>-</v>
      </c>
      <c r="BA42" s="321" t="str">
        <f ca="1">IF(CS!J$5="l",CS!J42,"-")</f>
        <v/>
      </c>
      <c r="BB42" s="321" t="str">
        <f ca="1">IF(CS!K$5="l",CS!K42,"-")</f>
        <v>-</v>
      </c>
      <c r="BC42" s="321" t="str">
        <f ca="1">IF(CS!L$5="l",CS!L42,"-")</f>
        <v/>
      </c>
      <c r="BD42" s="321" t="str">
        <f ca="1">IF(CS!M$5="l",CS!M42,"-")</f>
        <v>-</v>
      </c>
      <c r="BE42" s="321" t="str">
        <f ca="1">IF(CS!N$5="l",CS!N42,"-")</f>
        <v/>
      </c>
      <c r="BF42" s="321" t="str">
        <f ca="1">IF(CS!O$5="l",CS!O42,"-")</f>
        <v>-</v>
      </c>
      <c r="BG42" s="321" t="str">
        <f ca="1">IF(CS!P$5="l",CS!P42,"-")</f>
        <v/>
      </c>
      <c r="BH42" s="321" t="str">
        <f ca="1">IF(CS!Q$5="l",CS!Q42,"-")</f>
        <v>-</v>
      </c>
      <c r="BI42" s="321" t="str">
        <f ca="1">IF(CS!R$5="l",CS!R42,"-")</f>
        <v/>
      </c>
      <c r="BJ42" s="321" t="str">
        <f ca="1">IF(CS!S$5="l",CS!S42,"-")</f>
        <v>-</v>
      </c>
      <c r="BK42" s="321" t="str">
        <f ca="1">IF(CS!T$5="l",CS!T42,"-")</f>
        <v/>
      </c>
      <c r="BL42" s="321" t="str">
        <f ca="1">IF(CS!U$5="l",CS!U42,"-")</f>
        <v>-</v>
      </c>
      <c r="BM42" s="321" t="str">
        <f ca="1">IF(CS!V$5="l",CS!V42,"-")</f>
        <v/>
      </c>
      <c r="BN42" s="321" t="str">
        <f ca="1">IF(CS!W$5="l",CS!W42,"-")</f>
        <v>-</v>
      </c>
      <c r="BO42" s="321" t="str">
        <f ca="1">IF(CS!X$5="l",CS!X42,"-")</f>
        <v/>
      </c>
      <c r="BP42" s="321" t="str">
        <f ca="1">IF(CS!Y$5="l",CS!Y42,"-")</f>
        <v>-</v>
      </c>
      <c r="BQ42" s="321" t="str">
        <f ca="1">IF(CS!Z$5="l",CS!Z42,"-")</f>
        <v/>
      </c>
      <c r="BR42" s="321" t="str">
        <f ca="1">IF(CS!AA$5="l",CS!AA42,"-")</f>
        <v>-</v>
      </c>
      <c r="BS42" s="321" t="str">
        <f ca="1">IF(CS!AB$5="l",CS!AB42,"-")</f>
        <v/>
      </c>
      <c r="BT42" s="321" t="str">
        <f ca="1">IF(CS!AC$5="l",CS!AC42,"-")</f>
        <v>-</v>
      </c>
      <c r="BU42" s="321" t="str">
        <f ca="1">IF(CS!AD$5="l",CS!AD42,"-")</f>
        <v/>
      </c>
      <c r="BV42" s="321" t="str">
        <f ca="1">IF(CS!AE$5="l",CS!AE42,"-")</f>
        <v>-</v>
      </c>
      <c r="BW42" s="321" t="str">
        <f ca="1">IF(CS!AF$5="l",CS!AF42,"-")</f>
        <v/>
      </c>
      <c r="BX42" s="321" t="str">
        <f ca="1">IF(CS!AG$5="l",CS!AG42,"-")</f>
        <v>-</v>
      </c>
      <c r="BY42" s="321" t="str">
        <f ca="1">IF(CS!AH$5="l",CS!AH42,"-")</f>
        <v/>
      </c>
      <c r="BZ42" s="321" t="str">
        <f ca="1">IF(CS!AI$5="l",CS!AI42,"-")</f>
        <v>-</v>
      </c>
      <c r="CA42" s="321" t="str">
        <f ca="1">IF(CS!AJ$5="l",CS!AJ42,"-")</f>
        <v/>
      </c>
      <c r="CB42" s="321" t="str">
        <f ca="1">IF(CS!AK$5="l",CS!AK42,"-")</f>
        <v>-</v>
      </c>
      <c r="CC42" s="321" t="str">
        <f ca="1">IF(CS!AL$5="l",CS!AL42,"-")</f>
        <v/>
      </c>
      <c r="CD42" s="321" t="str">
        <f ca="1">IF(CS!AM$5="l",CS!AM42,"-")</f>
        <v>-</v>
      </c>
      <c r="CE42" s="321" t="str">
        <f ca="1">IF(CS!AN$5="l",CS!AN42,"-")</f>
        <v/>
      </c>
      <c r="CF42" s="321" t="str">
        <f ca="1">IF(CS!AO$5="l",CS!AO42,"-")</f>
        <v>-</v>
      </c>
      <c r="CG42" s="321" t="str">
        <f ca="1">IF(CS!AP$5="l",CS!AP42,"-")</f>
        <v/>
      </c>
    </row>
    <row r="43" spans="2:85" ht="15">
      <c r="B43" s="4" t="str">
        <f ca="1">CS!AR43</f>
        <v/>
      </c>
      <c r="C43" s="430" t="str">
        <f t="shared" ca="1" si="3"/>
        <v/>
      </c>
      <c r="D43" s="28" t="str">
        <f t="shared" ca="1" si="3"/>
        <v/>
      </c>
      <c r="E43" s="28" t="str">
        <f t="shared" ca="1" si="3"/>
        <v/>
      </c>
      <c r="F43" s="28" t="str">
        <f t="shared" ca="1" si="8"/>
        <v/>
      </c>
      <c r="G43" s="28" t="str">
        <f t="shared" ca="1" si="8"/>
        <v/>
      </c>
      <c r="H43" s="28" t="str">
        <f t="shared" ca="1" si="8"/>
        <v/>
      </c>
      <c r="I43" s="28" t="str">
        <f t="shared" ca="1" si="8"/>
        <v/>
      </c>
      <c r="J43" s="28" t="str">
        <f t="shared" ca="1" si="8"/>
        <v/>
      </c>
      <c r="K43" s="28" t="str">
        <f t="shared" ca="1" si="8"/>
        <v/>
      </c>
      <c r="L43" s="28" t="str">
        <f t="shared" ca="1" si="8"/>
        <v/>
      </c>
      <c r="M43" s="28" t="str">
        <f t="shared" ca="1" si="8"/>
        <v/>
      </c>
      <c r="N43" s="28" t="str">
        <f t="shared" ca="1" si="8"/>
        <v/>
      </c>
      <c r="O43" s="28" t="str">
        <f t="shared" ca="1" si="8"/>
        <v/>
      </c>
      <c r="P43" s="28" t="str">
        <f t="shared" ca="1" si="8"/>
        <v/>
      </c>
      <c r="Q43" s="28" t="str">
        <f t="shared" ca="1" si="8"/>
        <v/>
      </c>
      <c r="R43" s="28" t="str">
        <f t="shared" ca="1" si="8"/>
        <v/>
      </c>
      <c r="S43" s="28" t="str">
        <f t="shared" ca="1" si="8"/>
        <v/>
      </c>
      <c r="T43" s="28" t="str">
        <f t="shared" ca="1" si="8"/>
        <v/>
      </c>
      <c r="U43" s="28" t="str">
        <f t="shared" ca="1" si="8"/>
        <v/>
      </c>
      <c r="V43" s="28" t="str">
        <f t="shared" ca="1" si="8"/>
        <v/>
      </c>
      <c r="W43" s="346" t="str">
        <f t="shared" ca="1" si="8"/>
        <v/>
      </c>
      <c r="Z43" s="5" t="str">
        <f t="shared" ca="1" si="4"/>
        <v/>
      </c>
      <c r="AB43" s="5">
        <f t="shared" ca="1" si="5"/>
        <v>0</v>
      </c>
      <c r="AS43" s="158">
        <f t="shared" si="6"/>
        <v>35</v>
      </c>
      <c r="AT43" s="321" t="str">
        <f ca="1">IF(CS!C$5="l",CS!C43,"-")</f>
        <v>-</v>
      </c>
      <c r="AU43" s="321" t="str">
        <f ca="1">IF(CS!D$5="l",CS!D43,"-")</f>
        <v/>
      </c>
      <c r="AV43" s="321" t="str">
        <f ca="1">IF(CS!E$5="l",CS!E43,"-")</f>
        <v>-</v>
      </c>
      <c r="AW43" s="321" t="str">
        <f ca="1">IF(CS!F$5="l",CS!F43,"-")</f>
        <v/>
      </c>
      <c r="AX43" s="321" t="str">
        <f ca="1">IF(CS!G$5="l",CS!G43,"-")</f>
        <v>-</v>
      </c>
      <c r="AY43" s="321" t="str">
        <f ca="1">IF(CS!H$5="l",CS!H43,"-")</f>
        <v/>
      </c>
      <c r="AZ43" s="321" t="str">
        <f ca="1">IF(CS!I$5="l",CS!I43,"-")</f>
        <v>-</v>
      </c>
      <c r="BA43" s="321" t="str">
        <f ca="1">IF(CS!J$5="l",CS!J43,"-")</f>
        <v/>
      </c>
      <c r="BB43" s="321" t="str">
        <f ca="1">IF(CS!K$5="l",CS!K43,"-")</f>
        <v>-</v>
      </c>
      <c r="BC43" s="321" t="str">
        <f ca="1">IF(CS!L$5="l",CS!L43,"-")</f>
        <v/>
      </c>
      <c r="BD43" s="321" t="str">
        <f ca="1">IF(CS!M$5="l",CS!M43,"-")</f>
        <v>-</v>
      </c>
      <c r="BE43" s="321" t="str">
        <f ca="1">IF(CS!N$5="l",CS!N43,"-")</f>
        <v/>
      </c>
      <c r="BF43" s="321" t="str">
        <f ca="1">IF(CS!O$5="l",CS!O43,"-")</f>
        <v>-</v>
      </c>
      <c r="BG43" s="321" t="str">
        <f ca="1">IF(CS!P$5="l",CS!P43,"-")</f>
        <v/>
      </c>
      <c r="BH43" s="321" t="str">
        <f ca="1">IF(CS!Q$5="l",CS!Q43,"-")</f>
        <v>-</v>
      </c>
      <c r="BI43" s="321" t="str">
        <f ca="1">IF(CS!R$5="l",CS!R43,"-")</f>
        <v/>
      </c>
      <c r="BJ43" s="321" t="str">
        <f ca="1">IF(CS!S$5="l",CS!S43,"-")</f>
        <v>-</v>
      </c>
      <c r="BK43" s="321" t="str">
        <f ca="1">IF(CS!T$5="l",CS!T43,"-")</f>
        <v/>
      </c>
      <c r="BL43" s="321" t="str">
        <f ca="1">IF(CS!U$5="l",CS!U43,"-")</f>
        <v>-</v>
      </c>
      <c r="BM43" s="321" t="str">
        <f ca="1">IF(CS!V$5="l",CS!V43,"-")</f>
        <v/>
      </c>
      <c r="BN43" s="321" t="str">
        <f ca="1">IF(CS!W$5="l",CS!W43,"-")</f>
        <v>-</v>
      </c>
      <c r="BO43" s="321" t="str">
        <f ca="1">IF(CS!X$5="l",CS!X43,"-")</f>
        <v/>
      </c>
      <c r="BP43" s="321" t="str">
        <f ca="1">IF(CS!Y$5="l",CS!Y43,"-")</f>
        <v>-</v>
      </c>
      <c r="BQ43" s="321" t="str">
        <f ca="1">IF(CS!Z$5="l",CS!Z43,"-")</f>
        <v/>
      </c>
      <c r="BR43" s="321" t="str">
        <f ca="1">IF(CS!AA$5="l",CS!AA43,"-")</f>
        <v>-</v>
      </c>
      <c r="BS43" s="321" t="str">
        <f ca="1">IF(CS!AB$5="l",CS!AB43,"-")</f>
        <v/>
      </c>
      <c r="BT43" s="321" t="str">
        <f ca="1">IF(CS!AC$5="l",CS!AC43,"-")</f>
        <v>-</v>
      </c>
      <c r="BU43" s="321" t="str">
        <f ca="1">IF(CS!AD$5="l",CS!AD43,"-")</f>
        <v/>
      </c>
      <c r="BV43" s="321" t="str">
        <f ca="1">IF(CS!AE$5="l",CS!AE43,"-")</f>
        <v>-</v>
      </c>
      <c r="BW43" s="321" t="str">
        <f ca="1">IF(CS!AF$5="l",CS!AF43,"-")</f>
        <v/>
      </c>
      <c r="BX43" s="321" t="str">
        <f ca="1">IF(CS!AG$5="l",CS!AG43,"-")</f>
        <v>-</v>
      </c>
      <c r="BY43" s="321" t="str">
        <f ca="1">IF(CS!AH$5="l",CS!AH43,"-")</f>
        <v/>
      </c>
      <c r="BZ43" s="321" t="str">
        <f ca="1">IF(CS!AI$5="l",CS!AI43,"-")</f>
        <v>-</v>
      </c>
      <c r="CA43" s="321" t="str">
        <f ca="1">IF(CS!AJ$5="l",CS!AJ43,"-")</f>
        <v/>
      </c>
      <c r="CB43" s="321" t="str">
        <f ca="1">IF(CS!AK$5="l",CS!AK43,"-")</f>
        <v>-</v>
      </c>
      <c r="CC43" s="321" t="str">
        <f ca="1">IF(CS!AL$5="l",CS!AL43,"-")</f>
        <v/>
      </c>
      <c r="CD43" s="321" t="str">
        <f ca="1">IF(CS!AM$5="l",CS!AM43,"-")</f>
        <v>-</v>
      </c>
      <c r="CE43" s="321" t="str">
        <f ca="1">IF(CS!AN$5="l",CS!AN43,"-")</f>
        <v/>
      </c>
      <c r="CF43" s="321" t="str">
        <f ca="1">IF(CS!AO$5="l",CS!AO43,"-")</f>
        <v>-</v>
      </c>
      <c r="CG43" s="321" t="str">
        <f ca="1">IF(CS!AP$5="l",CS!AP43,"-")</f>
        <v/>
      </c>
    </row>
    <row r="44" spans="2:85" ht="15">
      <c r="B44" s="4" t="str">
        <f ca="1">CS!AR44</f>
        <v/>
      </c>
      <c r="C44" s="430" t="str">
        <f t="shared" ca="1" si="3"/>
        <v/>
      </c>
      <c r="D44" s="28" t="str">
        <f t="shared" ca="1" si="3"/>
        <v/>
      </c>
      <c r="E44" s="28" t="str">
        <f t="shared" ca="1" si="3"/>
        <v/>
      </c>
      <c r="F44" s="28" t="str">
        <f t="shared" ca="1" si="8"/>
        <v/>
      </c>
      <c r="G44" s="28" t="str">
        <f t="shared" ca="1" si="8"/>
        <v/>
      </c>
      <c r="H44" s="28" t="str">
        <f t="shared" ca="1" si="8"/>
        <v/>
      </c>
      <c r="I44" s="28" t="str">
        <f t="shared" ca="1" si="8"/>
        <v/>
      </c>
      <c r="J44" s="28" t="str">
        <f t="shared" ca="1" si="8"/>
        <v/>
      </c>
      <c r="K44" s="28" t="str">
        <f t="shared" ca="1" si="8"/>
        <v/>
      </c>
      <c r="L44" s="28" t="str">
        <f t="shared" ca="1" si="8"/>
        <v/>
      </c>
      <c r="M44" s="28" t="str">
        <f t="shared" ca="1" si="8"/>
        <v/>
      </c>
      <c r="N44" s="28" t="str">
        <f t="shared" ca="1" si="8"/>
        <v/>
      </c>
      <c r="O44" s="28" t="str">
        <f t="shared" ca="1" si="8"/>
        <v/>
      </c>
      <c r="P44" s="28" t="str">
        <f t="shared" ca="1" si="8"/>
        <v/>
      </c>
      <c r="Q44" s="28" t="str">
        <f t="shared" ca="1" si="8"/>
        <v/>
      </c>
      <c r="R44" s="28" t="str">
        <f t="shared" ca="1" si="8"/>
        <v/>
      </c>
      <c r="S44" s="28" t="str">
        <f t="shared" ca="1" si="8"/>
        <v/>
      </c>
      <c r="T44" s="28" t="str">
        <f t="shared" ca="1" si="8"/>
        <v/>
      </c>
      <c r="U44" s="28" t="str">
        <f t="shared" ca="1" si="8"/>
        <v/>
      </c>
      <c r="V44" s="28" t="str">
        <f t="shared" ca="1" si="8"/>
        <v/>
      </c>
      <c r="W44" s="346" t="str">
        <f t="shared" ca="1" si="8"/>
        <v/>
      </c>
      <c r="Z44" s="5" t="str">
        <f t="shared" ca="1" si="4"/>
        <v/>
      </c>
      <c r="AB44" s="5">
        <f t="shared" ca="1" si="5"/>
        <v>0</v>
      </c>
      <c r="AS44" s="158">
        <f t="shared" si="6"/>
        <v>36</v>
      </c>
      <c r="AT44" s="321" t="str">
        <f ca="1">IF(CS!C$5="l",CS!C44,"-")</f>
        <v>-</v>
      </c>
      <c r="AU44" s="321" t="str">
        <f ca="1">IF(CS!D$5="l",CS!D44,"-")</f>
        <v/>
      </c>
      <c r="AV44" s="321" t="str">
        <f ca="1">IF(CS!E$5="l",CS!E44,"-")</f>
        <v>-</v>
      </c>
      <c r="AW44" s="321" t="str">
        <f ca="1">IF(CS!F$5="l",CS!F44,"-")</f>
        <v/>
      </c>
      <c r="AX44" s="321" t="str">
        <f ca="1">IF(CS!G$5="l",CS!G44,"-")</f>
        <v>-</v>
      </c>
      <c r="AY44" s="321" t="str">
        <f ca="1">IF(CS!H$5="l",CS!H44,"-")</f>
        <v/>
      </c>
      <c r="AZ44" s="321" t="str">
        <f ca="1">IF(CS!I$5="l",CS!I44,"-")</f>
        <v>-</v>
      </c>
      <c r="BA44" s="321" t="str">
        <f ca="1">IF(CS!J$5="l",CS!J44,"-")</f>
        <v/>
      </c>
      <c r="BB44" s="321" t="str">
        <f ca="1">IF(CS!K$5="l",CS!K44,"-")</f>
        <v>-</v>
      </c>
      <c r="BC44" s="321" t="str">
        <f ca="1">IF(CS!L$5="l",CS!L44,"-")</f>
        <v/>
      </c>
      <c r="BD44" s="321" t="str">
        <f ca="1">IF(CS!M$5="l",CS!M44,"-")</f>
        <v>-</v>
      </c>
      <c r="BE44" s="321" t="str">
        <f ca="1">IF(CS!N$5="l",CS!N44,"-")</f>
        <v/>
      </c>
      <c r="BF44" s="321" t="str">
        <f ca="1">IF(CS!O$5="l",CS!O44,"-")</f>
        <v>-</v>
      </c>
      <c r="BG44" s="321" t="str">
        <f ca="1">IF(CS!P$5="l",CS!P44,"-")</f>
        <v/>
      </c>
      <c r="BH44" s="321" t="str">
        <f ca="1">IF(CS!Q$5="l",CS!Q44,"-")</f>
        <v>-</v>
      </c>
      <c r="BI44" s="321" t="str">
        <f ca="1">IF(CS!R$5="l",CS!R44,"-")</f>
        <v/>
      </c>
      <c r="BJ44" s="321" t="str">
        <f ca="1">IF(CS!S$5="l",CS!S44,"-")</f>
        <v>-</v>
      </c>
      <c r="BK44" s="321" t="str">
        <f ca="1">IF(CS!T$5="l",CS!T44,"-")</f>
        <v/>
      </c>
      <c r="BL44" s="321" t="str">
        <f ca="1">IF(CS!U$5="l",CS!U44,"-")</f>
        <v>-</v>
      </c>
      <c r="BM44" s="321" t="str">
        <f ca="1">IF(CS!V$5="l",CS!V44,"-")</f>
        <v/>
      </c>
      <c r="BN44" s="321" t="str">
        <f ca="1">IF(CS!W$5="l",CS!W44,"-")</f>
        <v>-</v>
      </c>
      <c r="BO44" s="321" t="str">
        <f ca="1">IF(CS!X$5="l",CS!X44,"-")</f>
        <v/>
      </c>
      <c r="BP44" s="321" t="str">
        <f ca="1">IF(CS!Y$5="l",CS!Y44,"-")</f>
        <v>-</v>
      </c>
      <c r="BQ44" s="321" t="str">
        <f ca="1">IF(CS!Z$5="l",CS!Z44,"-")</f>
        <v/>
      </c>
      <c r="BR44" s="321" t="str">
        <f ca="1">IF(CS!AA$5="l",CS!AA44,"-")</f>
        <v>-</v>
      </c>
      <c r="BS44" s="321" t="str">
        <f ca="1">IF(CS!AB$5="l",CS!AB44,"-")</f>
        <v/>
      </c>
      <c r="BT44" s="321" t="str">
        <f ca="1">IF(CS!AC$5="l",CS!AC44,"-")</f>
        <v>-</v>
      </c>
      <c r="BU44" s="321" t="str">
        <f ca="1">IF(CS!AD$5="l",CS!AD44,"-")</f>
        <v/>
      </c>
      <c r="BV44" s="321" t="str">
        <f ca="1">IF(CS!AE$5="l",CS!AE44,"-")</f>
        <v>-</v>
      </c>
      <c r="BW44" s="321" t="str">
        <f ca="1">IF(CS!AF$5="l",CS!AF44,"-")</f>
        <v/>
      </c>
      <c r="BX44" s="321" t="str">
        <f ca="1">IF(CS!AG$5="l",CS!AG44,"-")</f>
        <v>-</v>
      </c>
      <c r="BY44" s="321" t="str">
        <f ca="1">IF(CS!AH$5="l",CS!AH44,"-")</f>
        <v/>
      </c>
      <c r="BZ44" s="321" t="str">
        <f ca="1">IF(CS!AI$5="l",CS!AI44,"-")</f>
        <v>-</v>
      </c>
      <c r="CA44" s="321" t="str">
        <f ca="1">IF(CS!AJ$5="l",CS!AJ44,"-")</f>
        <v/>
      </c>
      <c r="CB44" s="321" t="str">
        <f ca="1">IF(CS!AK$5="l",CS!AK44,"-")</f>
        <v>-</v>
      </c>
      <c r="CC44" s="321" t="str">
        <f ca="1">IF(CS!AL$5="l",CS!AL44,"-")</f>
        <v/>
      </c>
      <c r="CD44" s="321" t="str">
        <f ca="1">IF(CS!AM$5="l",CS!AM44,"-")</f>
        <v>-</v>
      </c>
      <c r="CE44" s="321" t="str">
        <f ca="1">IF(CS!AN$5="l",CS!AN44,"-")</f>
        <v/>
      </c>
      <c r="CF44" s="321" t="str">
        <f ca="1">IF(CS!AO$5="l",CS!AO44,"-")</f>
        <v>-</v>
      </c>
      <c r="CG44" s="321" t="str">
        <f ca="1">IF(CS!AP$5="l",CS!AP44,"-")</f>
        <v/>
      </c>
    </row>
    <row r="45" spans="2:85" ht="15">
      <c r="B45" s="4" t="str">
        <f ca="1">CS!AR45</f>
        <v/>
      </c>
      <c r="C45" s="430" t="str">
        <f t="shared" ca="1" si="3"/>
        <v/>
      </c>
      <c r="D45" s="28" t="str">
        <f t="shared" ca="1" si="3"/>
        <v/>
      </c>
      <c r="E45" s="28" t="str">
        <f t="shared" ca="1" si="3"/>
        <v/>
      </c>
      <c r="F45" s="28" t="str">
        <f t="shared" ca="1" si="8"/>
        <v/>
      </c>
      <c r="G45" s="28" t="str">
        <f t="shared" ca="1" si="8"/>
        <v/>
      </c>
      <c r="H45" s="28" t="str">
        <f t="shared" ca="1" si="8"/>
        <v/>
      </c>
      <c r="I45" s="28" t="str">
        <f t="shared" ca="1" si="8"/>
        <v/>
      </c>
      <c r="J45" s="28" t="str">
        <f t="shared" ca="1" si="8"/>
        <v/>
      </c>
      <c r="K45" s="28" t="str">
        <f t="shared" ca="1" si="8"/>
        <v/>
      </c>
      <c r="L45" s="28" t="str">
        <f t="shared" ca="1" si="8"/>
        <v/>
      </c>
      <c r="M45" s="28" t="str">
        <f t="shared" ca="1" si="8"/>
        <v/>
      </c>
      <c r="N45" s="28" t="str">
        <f t="shared" ca="1" si="8"/>
        <v/>
      </c>
      <c r="O45" s="28" t="str">
        <f t="shared" ca="1" si="8"/>
        <v/>
      </c>
      <c r="P45" s="28" t="str">
        <f t="shared" ca="1" si="8"/>
        <v/>
      </c>
      <c r="Q45" s="28" t="str">
        <f t="shared" ca="1" si="8"/>
        <v/>
      </c>
      <c r="R45" s="28" t="str">
        <f t="shared" ca="1" si="8"/>
        <v/>
      </c>
      <c r="S45" s="28" t="str">
        <f t="shared" ca="1" si="8"/>
        <v/>
      </c>
      <c r="T45" s="28" t="str">
        <f t="shared" ca="1" si="8"/>
        <v/>
      </c>
      <c r="U45" s="28" t="str">
        <f t="shared" ca="1" si="8"/>
        <v/>
      </c>
      <c r="V45" s="28" t="str">
        <f t="shared" ca="1" si="8"/>
        <v/>
      </c>
      <c r="W45" s="346" t="str">
        <f t="shared" ca="1" si="8"/>
        <v/>
      </c>
      <c r="Z45" s="5" t="str">
        <f t="shared" ca="1" si="4"/>
        <v/>
      </c>
      <c r="AB45" s="5">
        <f t="shared" ca="1" si="5"/>
        <v>0</v>
      </c>
      <c r="AS45" s="158">
        <f t="shared" si="6"/>
        <v>37</v>
      </c>
      <c r="AT45" s="321" t="str">
        <f ca="1">IF(CS!C$5="l",CS!C45,"-")</f>
        <v>-</v>
      </c>
      <c r="AU45" s="321" t="str">
        <f ca="1">IF(CS!D$5="l",CS!D45,"-")</f>
        <v/>
      </c>
      <c r="AV45" s="321" t="str">
        <f ca="1">IF(CS!E$5="l",CS!E45,"-")</f>
        <v>-</v>
      </c>
      <c r="AW45" s="321" t="str">
        <f ca="1">IF(CS!F$5="l",CS!F45,"-")</f>
        <v/>
      </c>
      <c r="AX45" s="321" t="str">
        <f ca="1">IF(CS!G$5="l",CS!G45,"-")</f>
        <v>-</v>
      </c>
      <c r="AY45" s="321" t="str">
        <f ca="1">IF(CS!H$5="l",CS!H45,"-")</f>
        <v/>
      </c>
      <c r="AZ45" s="321" t="str">
        <f ca="1">IF(CS!I$5="l",CS!I45,"-")</f>
        <v>-</v>
      </c>
      <c r="BA45" s="321" t="str">
        <f ca="1">IF(CS!J$5="l",CS!J45,"-")</f>
        <v/>
      </c>
      <c r="BB45" s="321" t="str">
        <f ca="1">IF(CS!K$5="l",CS!K45,"-")</f>
        <v>-</v>
      </c>
      <c r="BC45" s="321" t="str">
        <f ca="1">IF(CS!L$5="l",CS!L45,"-")</f>
        <v/>
      </c>
      <c r="BD45" s="321" t="str">
        <f ca="1">IF(CS!M$5="l",CS!M45,"-")</f>
        <v>-</v>
      </c>
      <c r="BE45" s="321" t="str">
        <f ca="1">IF(CS!N$5="l",CS!N45,"-")</f>
        <v/>
      </c>
      <c r="BF45" s="321" t="str">
        <f ca="1">IF(CS!O$5="l",CS!O45,"-")</f>
        <v>-</v>
      </c>
      <c r="BG45" s="321" t="str">
        <f ca="1">IF(CS!P$5="l",CS!P45,"-")</f>
        <v/>
      </c>
      <c r="BH45" s="321" t="str">
        <f ca="1">IF(CS!Q$5="l",CS!Q45,"-")</f>
        <v>-</v>
      </c>
      <c r="BI45" s="321" t="str">
        <f ca="1">IF(CS!R$5="l",CS!R45,"-")</f>
        <v/>
      </c>
      <c r="BJ45" s="321" t="str">
        <f ca="1">IF(CS!S$5="l",CS!S45,"-")</f>
        <v>-</v>
      </c>
      <c r="BK45" s="321" t="str">
        <f ca="1">IF(CS!T$5="l",CS!T45,"-")</f>
        <v/>
      </c>
      <c r="BL45" s="321" t="str">
        <f ca="1">IF(CS!U$5="l",CS!U45,"-")</f>
        <v>-</v>
      </c>
      <c r="BM45" s="321" t="str">
        <f ca="1">IF(CS!V$5="l",CS!V45,"-")</f>
        <v/>
      </c>
      <c r="BN45" s="321" t="str">
        <f ca="1">IF(CS!W$5="l",CS!W45,"-")</f>
        <v>-</v>
      </c>
      <c r="BO45" s="321" t="str">
        <f ca="1">IF(CS!X$5="l",CS!X45,"-")</f>
        <v/>
      </c>
      <c r="BP45" s="321" t="str">
        <f ca="1">IF(CS!Y$5="l",CS!Y45,"-")</f>
        <v>-</v>
      </c>
      <c r="BQ45" s="321" t="str">
        <f ca="1">IF(CS!Z$5="l",CS!Z45,"-")</f>
        <v/>
      </c>
      <c r="BR45" s="321" t="str">
        <f ca="1">IF(CS!AA$5="l",CS!AA45,"-")</f>
        <v>-</v>
      </c>
      <c r="BS45" s="321" t="str">
        <f ca="1">IF(CS!AB$5="l",CS!AB45,"-")</f>
        <v/>
      </c>
      <c r="BT45" s="321" t="str">
        <f ca="1">IF(CS!AC$5="l",CS!AC45,"-")</f>
        <v>-</v>
      </c>
      <c r="BU45" s="321" t="str">
        <f ca="1">IF(CS!AD$5="l",CS!AD45,"-")</f>
        <v/>
      </c>
      <c r="BV45" s="321" t="str">
        <f ca="1">IF(CS!AE$5="l",CS!AE45,"-")</f>
        <v>-</v>
      </c>
      <c r="BW45" s="321" t="str">
        <f ca="1">IF(CS!AF$5="l",CS!AF45,"-")</f>
        <v/>
      </c>
      <c r="BX45" s="321" t="str">
        <f ca="1">IF(CS!AG$5="l",CS!AG45,"-")</f>
        <v>-</v>
      </c>
      <c r="BY45" s="321" t="str">
        <f ca="1">IF(CS!AH$5="l",CS!AH45,"-")</f>
        <v/>
      </c>
      <c r="BZ45" s="321" t="str">
        <f ca="1">IF(CS!AI$5="l",CS!AI45,"-")</f>
        <v>-</v>
      </c>
      <c r="CA45" s="321" t="str">
        <f ca="1">IF(CS!AJ$5="l",CS!AJ45,"-")</f>
        <v/>
      </c>
      <c r="CB45" s="321" t="str">
        <f ca="1">IF(CS!AK$5="l",CS!AK45,"-")</f>
        <v>-</v>
      </c>
      <c r="CC45" s="321" t="str">
        <f ca="1">IF(CS!AL$5="l",CS!AL45,"-")</f>
        <v/>
      </c>
      <c r="CD45" s="321" t="str">
        <f ca="1">IF(CS!AM$5="l",CS!AM45,"-")</f>
        <v>-</v>
      </c>
      <c r="CE45" s="321" t="str">
        <f ca="1">IF(CS!AN$5="l",CS!AN45,"-")</f>
        <v/>
      </c>
      <c r="CF45" s="321" t="str">
        <f ca="1">IF(CS!AO$5="l",CS!AO45,"-")</f>
        <v>-</v>
      </c>
      <c r="CG45" s="321" t="str">
        <f ca="1">IF(CS!AP$5="l",CS!AP45,"-")</f>
        <v/>
      </c>
    </row>
    <row r="46" spans="2:85" ht="15">
      <c r="B46" s="4" t="str">
        <f ca="1">CS!AR46</f>
        <v/>
      </c>
      <c r="C46" s="430" t="str">
        <f t="shared" ca="1" si="3"/>
        <v/>
      </c>
      <c r="D46" s="28" t="str">
        <f t="shared" ca="1" si="3"/>
        <v/>
      </c>
      <c r="E46" s="28" t="str">
        <f t="shared" ca="1" si="3"/>
        <v/>
      </c>
      <c r="F46" s="28" t="str">
        <f t="shared" ca="1" si="8"/>
        <v/>
      </c>
      <c r="G46" s="28" t="str">
        <f t="shared" ca="1" si="8"/>
        <v/>
      </c>
      <c r="H46" s="28" t="str">
        <f t="shared" ca="1" si="8"/>
        <v/>
      </c>
      <c r="I46" s="28" t="str">
        <f t="shared" ca="1" si="8"/>
        <v/>
      </c>
      <c r="J46" s="28" t="str">
        <f t="shared" ca="1" si="8"/>
        <v/>
      </c>
      <c r="K46" s="28" t="str">
        <f t="shared" ca="1" si="8"/>
        <v/>
      </c>
      <c r="L46" s="28" t="str">
        <f t="shared" ca="1" si="8"/>
        <v/>
      </c>
      <c r="M46" s="28" t="str">
        <f t="shared" ca="1" si="8"/>
        <v/>
      </c>
      <c r="N46" s="28" t="str">
        <f t="shared" ca="1" si="8"/>
        <v/>
      </c>
      <c r="O46" s="28" t="str">
        <f t="shared" ca="1" si="8"/>
        <v/>
      </c>
      <c r="P46" s="28" t="str">
        <f t="shared" ca="1" si="8"/>
        <v/>
      </c>
      <c r="Q46" s="28" t="str">
        <f t="shared" ca="1" si="8"/>
        <v/>
      </c>
      <c r="R46" s="28" t="str">
        <f t="shared" ca="1" si="8"/>
        <v/>
      </c>
      <c r="S46" s="28" t="str">
        <f t="shared" ca="1" si="8"/>
        <v/>
      </c>
      <c r="T46" s="28" t="str">
        <f t="shared" ca="1" si="8"/>
        <v/>
      </c>
      <c r="U46" s="28" t="str">
        <f t="shared" ca="1" si="8"/>
        <v/>
      </c>
      <c r="V46" s="28" t="str">
        <f t="shared" ca="1" si="8"/>
        <v/>
      </c>
      <c r="W46" s="346" t="str">
        <f t="shared" ca="1" si="8"/>
        <v/>
      </c>
      <c r="Z46" s="5" t="str">
        <f t="shared" ca="1" si="4"/>
        <v/>
      </c>
      <c r="AB46" s="5">
        <f t="shared" ca="1" si="5"/>
        <v>0</v>
      </c>
      <c r="AS46" s="158">
        <f t="shared" si="6"/>
        <v>38</v>
      </c>
      <c r="AT46" s="321" t="str">
        <f ca="1">IF(CS!C$5="l",CS!C46,"-")</f>
        <v>-</v>
      </c>
      <c r="AU46" s="321" t="str">
        <f ca="1">IF(CS!D$5="l",CS!D46,"-")</f>
        <v/>
      </c>
      <c r="AV46" s="321" t="str">
        <f ca="1">IF(CS!E$5="l",CS!E46,"-")</f>
        <v>-</v>
      </c>
      <c r="AW46" s="321" t="str">
        <f ca="1">IF(CS!F$5="l",CS!F46,"-")</f>
        <v/>
      </c>
      <c r="AX46" s="321" t="str">
        <f ca="1">IF(CS!G$5="l",CS!G46,"-")</f>
        <v>-</v>
      </c>
      <c r="AY46" s="321" t="str">
        <f ca="1">IF(CS!H$5="l",CS!H46,"-")</f>
        <v/>
      </c>
      <c r="AZ46" s="321" t="str">
        <f ca="1">IF(CS!I$5="l",CS!I46,"-")</f>
        <v>-</v>
      </c>
      <c r="BA46" s="321" t="str">
        <f ca="1">IF(CS!J$5="l",CS!J46,"-")</f>
        <v/>
      </c>
      <c r="BB46" s="321" t="str">
        <f ca="1">IF(CS!K$5="l",CS!K46,"-")</f>
        <v>-</v>
      </c>
      <c r="BC46" s="321" t="str">
        <f ca="1">IF(CS!L$5="l",CS!L46,"-")</f>
        <v/>
      </c>
      <c r="BD46" s="321" t="str">
        <f ca="1">IF(CS!M$5="l",CS!M46,"-")</f>
        <v>-</v>
      </c>
      <c r="BE46" s="321" t="str">
        <f ca="1">IF(CS!N$5="l",CS!N46,"-")</f>
        <v/>
      </c>
      <c r="BF46" s="321" t="str">
        <f ca="1">IF(CS!O$5="l",CS!O46,"-")</f>
        <v>-</v>
      </c>
      <c r="BG46" s="321" t="str">
        <f ca="1">IF(CS!P$5="l",CS!P46,"-")</f>
        <v/>
      </c>
      <c r="BH46" s="321" t="str">
        <f ca="1">IF(CS!Q$5="l",CS!Q46,"-")</f>
        <v>-</v>
      </c>
      <c r="BI46" s="321" t="str">
        <f ca="1">IF(CS!R$5="l",CS!R46,"-")</f>
        <v/>
      </c>
      <c r="BJ46" s="321" t="str">
        <f ca="1">IF(CS!S$5="l",CS!S46,"-")</f>
        <v>-</v>
      </c>
      <c r="BK46" s="321" t="str">
        <f ca="1">IF(CS!T$5="l",CS!T46,"-")</f>
        <v/>
      </c>
      <c r="BL46" s="321" t="str">
        <f ca="1">IF(CS!U$5="l",CS!U46,"-")</f>
        <v>-</v>
      </c>
      <c r="BM46" s="321" t="str">
        <f ca="1">IF(CS!V$5="l",CS!V46,"-")</f>
        <v/>
      </c>
      <c r="BN46" s="321" t="str">
        <f ca="1">IF(CS!W$5="l",CS!W46,"-")</f>
        <v>-</v>
      </c>
      <c r="BO46" s="321" t="str">
        <f ca="1">IF(CS!X$5="l",CS!X46,"-")</f>
        <v/>
      </c>
      <c r="BP46" s="321" t="str">
        <f ca="1">IF(CS!Y$5="l",CS!Y46,"-")</f>
        <v>-</v>
      </c>
      <c r="BQ46" s="321" t="str">
        <f ca="1">IF(CS!Z$5="l",CS!Z46,"-")</f>
        <v/>
      </c>
      <c r="BR46" s="321" t="str">
        <f ca="1">IF(CS!AA$5="l",CS!AA46,"-")</f>
        <v>-</v>
      </c>
      <c r="BS46" s="321" t="str">
        <f ca="1">IF(CS!AB$5="l",CS!AB46,"-")</f>
        <v/>
      </c>
      <c r="BT46" s="321" t="str">
        <f ca="1">IF(CS!AC$5="l",CS!AC46,"-")</f>
        <v>-</v>
      </c>
      <c r="BU46" s="321" t="str">
        <f ca="1">IF(CS!AD$5="l",CS!AD46,"-")</f>
        <v/>
      </c>
      <c r="BV46" s="321" t="str">
        <f ca="1">IF(CS!AE$5="l",CS!AE46,"-")</f>
        <v>-</v>
      </c>
      <c r="BW46" s="321" t="str">
        <f ca="1">IF(CS!AF$5="l",CS!AF46,"-")</f>
        <v/>
      </c>
      <c r="BX46" s="321" t="str">
        <f ca="1">IF(CS!AG$5="l",CS!AG46,"-")</f>
        <v>-</v>
      </c>
      <c r="BY46" s="321" t="str">
        <f ca="1">IF(CS!AH$5="l",CS!AH46,"-")</f>
        <v/>
      </c>
      <c r="BZ46" s="321" t="str">
        <f ca="1">IF(CS!AI$5="l",CS!AI46,"-")</f>
        <v>-</v>
      </c>
      <c r="CA46" s="321" t="str">
        <f ca="1">IF(CS!AJ$5="l",CS!AJ46,"-")</f>
        <v/>
      </c>
      <c r="CB46" s="321" t="str">
        <f ca="1">IF(CS!AK$5="l",CS!AK46,"-")</f>
        <v>-</v>
      </c>
      <c r="CC46" s="321" t="str">
        <f ca="1">IF(CS!AL$5="l",CS!AL46,"-")</f>
        <v/>
      </c>
      <c r="CD46" s="321" t="str">
        <f ca="1">IF(CS!AM$5="l",CS!AM46,"-")</f>
        <v>-</v>
      </c>
      <c r="CE46" s="321" t="str">
        <f ca="1">IF(CS!AN$5="l",CS!AN46,"-")</f>
        <v/>
      </c>
      <c r="CF46" s="321" t="str">
        <f ca="1">IF(CS!AO$5="l",CS!AO46,"-")</f>
        <v>-</v>
      </c>
      <c r="CG46" s="321" t="str">
        <f ca="1">IF(CS!AP$5="l",CS!AP46,"-")</f>
        <v/>
      </c>
    </row>
    <row r="47" spans="2:85" ht="15">
      <c r="B47" s="4" t="str">
        <f ca="1">CS!AR47</f>
        <v/>
      </c>
      <c r="C47" s="430" t="str">
        <f t="shared" ca="1" si="3"/>
        <v/>
      </c>
      <c r="D47" s="28" t="str">
        <f t="shared" ca="1" si="3"/>
        <v/>
      </c>
      <c r="E47" s="28" t="str">
        <f t="shared" ca="1" si="3"/>
        <v/>
      </c>
      <c r="F47" s="28" t="str">
        <f t="shared" ca="1" si="8"/>
        <v/>
      </c>
      <c r="G47" s="28" t="str">
        <f t="shared" ca="1" si="8"/>
        <v/>
      </c>
      <c r="H47" s="28" t="str">
        <f t="shared" ca="1" si="8"/>
        <v/>
      </c>
      <c r="I47" s="28" t="str">
        <f t="shared" ca="1" si="8"/>
        <v/>
      </c>
      <c r="J47" s="28" t="str">
        <f t="shared" ca="1" si="8"/>
        <v/>
      </c>
      <c r="K47" s="28" t="str">
        <f t="shared" ca="1" si="8"/>
        <v/>
      </c>
      <c r="L47" s="28" t="str">
        <f t="shared" ca="1" si="8"/>
        <v/>
      </c>
      <c r="M47" s="28" t="str">
        <f t="shared" ca="1" si="8"/>
        <v/>
      </c>
      <c r="N47" s="28" t="str">
        <f t="shared" ca="1" si="8"/>
        <v/>
      </c>
      <c r="O47" s="28" t="str">
        <f t="shared" ca="1" si="8"/>
        <v/>
      </c>
      <c r="P47" s="28" t="str">
        <f t="shared" ca="1" si="8"/>
        <v/>
      </c>
      <c r="Q47" s="28" t="str">
        <f t="shared" ca="1" si="8"/>
        <v/>
      </c>
      <c r="R47" s="28" t="str">
        <f t="shared" ca="1" si="8"/>
        <v/>
      </c>
      <c r="S47" s="28" t="str">
        <f t="shared" ca="1" si="8"/>
        <v/>
      </c>
      <c r="T47" s="28" t="str">
        <f t="shared" ca="1" si="8"/>
        <v/>
      </c>
      <c r="U47" s="28" t="str">
        <f t="shared" ca="1" si="8"/>
        <v/>
      </c>
      <c r="V47" s="28" t="str">
        <f t="shared" ca="1" si="8"/>
        <v/>
      </c>
      <c r="W47" s="346" t="str">
        <f t="shared" ca="1" si="8"/>
        <v/>
      </c>
      <c r="Z47" s="5" t="str">
        <f t="shared" ca="1" si="4"/>
        <v/>
      </c>
      <c r="AB47" s="5">
        <f t="shared" ca="1" si="5"/>
        <v>0</v>
      </c>
      <c r="AS47" s="158">
        <f t="shared" si="6"/>
        <v>39</v>
      </c>
      <c r="AT47" s="321" t="str">
        <f ca="1">IF(CS!C$5="l",CS!C47,"-")</f>
        <v>-</v>
      </c>
      <c r="AU47" s="321" t="str">
        <f ca="1">IF(CS!D$5="l",CS!D47,"-")</f>
        <v/>
      </c>
      <c r="AV47" s="321" t="str">
        <f ca="1">IF(CS!E$5="l",CS!E47,"-")</f>
        <v>-</v>
      </c>
      <c r="AW47" s="321" t="str">
        <f ca="1">IF(CS!F$5="l",CS!F47,"-")</f>
        <v/>
      </c>
      <c r="AX47" s="321" t="str">
        <f ca="1">IF(CS!G$5="l",CS!G47,"-")</f>
        <v>-</v>
      </c>
      <c r="AY47" s="321" t="str">
        <f ca="1">IF(CS!H$5="l",CS!H47,"-")</f>
        <v/>
      </c>
      <c r="AZ47" s="321" t="str">
        <f ca="1">IF(CS!I$5="l",CS!I47,"-")</f>
        <v>-</v>
      </c>
      <c r="BA47" s="321" t="str">
        <f ca="1">IF(CS!J$5="l",CS!J47,"-")</f>
        <v/>
      </c>
      <c r="BB47" s="321" t="str">
        <f ca="1">IF(CS!K$5="l",CS!K47,"-")</f>
        <v>-</v>
      </c>
      <c r="BC47" s="321" t="str">
        <f ca="1">IF(CS!L$5="l",CS!L47,"-")</f>
        <v/>
      </c>
      <c r="BD47" s="321" t="str">
        <f ca="1">IF(CS!M$5="l",CS!M47,"-")</f>
        <v>-</v>
      </c>
      <c r="BE47" s="321" t="str">
        <f ca="1">IF(CS!N$5="l",CS!N47,"-")</f>
        <v/>
      </c>
      <c r="BF47" s="321" t="str">
        <f ca="1">IF(CS!O$5="l",CS!O47,"-")</f>
        <v>-</v>
      </c>
      <c r="BG47" s="321" t="str">
        <f ca="1">IF(CS!P$5="l",CS!P47,"-")</f>
        <v/>
      </c>
      <c r="BH47" s="321" t="str">
        <f ca="1">IF(CS!Q$5="l",CS!Q47,"-")</f>
        <v>-</v>
      </c>
      <c r="BI47" s="321" t="str">
        <f ca="1">IF(CS!R$5="l",CS!R47,"-")</f>
        <v/>
      </c>
      <c r="BJ47" s="321" t="str">
        <f ca="1">IF(CS!S$5="l",CS!S47,"-")</f>
        <v>-</v>
      </c>
      <c r="BK47" s="321" t="str">
        <f ca="1">IF(CS!T$5="l",CS!T47,"-")</f>
        <v/>
      </c>
      <c r="BL47" s="321" t="str">
        <f ca="1">IF(CS!U$5="l",CS!U47,"-")</f>
        <v>-</v>
      </c>
      <c r="BM47" s="321" t="str">
        <f ca="1">IF(CS!V$5="l",CS!V47,"-")</f>
        <v/>
      </c>
      <c r="BN47" s="321" t="str">
        <f ca="1">IF(CS!W$5="l",CS!W47,"-")</f>
        <v>-</v>
      </c>
      <c r="BO47" s="321" t="str">
        <f ca="1">IF(CS!X$5="l",CS!X47,"-")</f>
        <v/>
      </c>
      <c r="BP47" s="321" t="str">
        <f ca="1">IF(CS!Y$5="l",CS!Y47,"-")</f>
        <v>-</v>
      </c>
      <c r="BQ47" s="321" t="str">
        <f ca="1">IF(CS!Z$5="l",CS!Z47,"-")</f>
        <v/>
      </c>
      <c r="BR47" s="321" t="str">
        <f ca="1">IF(CS!AA$5="l",CS!AA47,"-")</f>
        <v>-</v>
      </c>
      <c r="BS47" s="321" t="str">
        <f ca="1">IF(CS!AB$5="l",CS!AB47,"-")</f>
        <v/>
      </c>
      <c r="BT47" s="321" t="str">
        <f ca="1">IF(CS!AC$5="l",CS!AC47,"-")</f>
        <v>-</v>
      </c>
      <c r="BU47" s="321" t="str">
        <f ca="1">IF(CS!AD$5="l",CS!AD47,"-")</f>
        <v/>
      </c>
      <c r="BV47" s="321" t="str">
        <f ca="1">IF(CS!AE$5="l",CS!AE47,"-")</f>
        <v>-</v>
      </c>
      <c r="BW47" s="321" t="str">
        <f ca="1">IF(CS!AF$5="l",CS!AF47,"-")</f>
        <v/>
      </c>
      <c r="BX47" s="321" t="str">
        <f ca="1">IF(CS!AG$5="l",CS!AG47,"-")</f>
        <v>-</v>
      </c>
      <c r="BY47" s="321" t="str">
        <f ca="1">IF(CS!AH$5="l",CS!AH47,"-")</f>
        <v/>
      </c>
      <c r="BZ47" s="321" t="str">
        <f ca="1">IF(CS!AI$5="l",CS!AI47,"-")</f>
        <v>-</v>
      </c>
      <c r="CA47" s="321" t="str">
        <f ca="1">IF(CS!AJ$5="l",CS!AJ47,"-")</f>
        <v/>
      </c>
      <c r="CB47" s="321" t="str">
        <f ca="1">IF(CS!AK$5="l",CS!AK47,"-")</f>
        <v>-</v>
      </c>
      <c r="CC47" s="321" t="str">
        <f ca="1">IF(CS!AL$5="l",CS!AL47,"-")</f>
        <v/>
      </c>
      <c r="CD47" s="321" t="str">
        <f ca="1">IF(CS!AM$5="l",CS!AM47,"-")</f>
        <v>-</v>
      </c>
      <c r="CE47" s="321" t="str">
        <f ca="1">IF(CS!AN$5="l",CS!AN47,"-")</f>
        <v/>
      </c>
      <c r="CF47" s="321" t="str">
        <f ca="1">IF(CS!AO$5="l",CS!AO47,"-")</f>
        <v>-</v>
      </c>
      <c r="CG47" s="321" t="str">
        <f ca="1">IF(CS!AP$5="l",CS!AP47,"-")</f>
        <v/>
      </c>
    </row>
    <row r="48" spans="2:85" ht="15">
      <c r="B48" s="4" t="str">
        <f ca="1">CS!AR48</f>
        <v/>
      </c>
      <c r="C48" s="430" t="str">
        <f t="shared" ca="1" si="3"/>
        <v/>
      </c>
      <c r="D48" s="28" t="str">
        <f t="shared" ca="1" si="3"/>
        <v/>
      </c>
      <c r="E48" s="28" t="str">
        <f t="shared" ca="1" si="3"/>
        <v/>
      </c>
      <c r="F48" s="28" t="str">
        <f t="shared" ca="1" si="8"/>
        <v/>
      </c>
      <c r="G48" s="28" t="str">
        <f t="shared" ca="1" si="8"/>
        <v/>
      </c>
      <c r="H48" s="28" t="str">
        <f t="shared" ca="1" si="8"/>
        <v/>
      </c>
      <c r="I48" s="28" t="str">
        <f t="shared" ca="1" si="8"/>
        <v/>
      </c>
      <c r="J48" s="28" t="str">
        <f t="shared" ca="1" si="8"/>
        <v/>
      </c>
      <c r="K48" s="28" t="str">
        <f t="shared" ca="1" si="8"/>
        <v/>
      </c>
      <c r="L48" s="28" t="str">
        <f t="shared" ca="1" si="8"/>
        <v/>
      </c>
      <c r="M48" s="28" t="str">
        <f t="shared" ca="1" si="8"/>
        <v/>
      </c>
      <c r="N48" s="28" t="str">
        <f t="shared" ca="1" si="8"/>
        <v/>
      </c>
      <c r="O48" s="28" t="str">
        <f t="shared" ca="1" si="8"/>
        <v/>
      </c>
      <c r="P48" s="28" t="str">
        <f t="shared" ca="1" si="8"/>
        <v/>
      </c>
      <c r="Q48" s="28" t="str">
        <f t="shared" ca="1" si="8"/>
        <v/>
      </c>
      <c r="R48" s="28" t="str">
        <f t="shared" ca="1" si="8"/>
        <v/>
      </c>
      <c r="S48" s="28" t="str">
        <f t="shared" ca="1" si="8"/>
        <v/>
      </c>
      <c r="T48" s="28" t="str">
        <f t="shared" ca="1" si="8"/>
        <v/>
      </c>
      <c r="U48" s="28" t="str">
        <f t="shared" ca="1" si="8"/>
        <v/>
      </c>
      <c r="V48" s="28" t="str">
        <f t="shared" ca="1" si="8"/>
        <v/>
      </c>
      <c r="W48" s="346" t="str">
        <f t="shared" ca="1" si="8"/>
        <v/>
      </c>
      <c r="Z48" s="5" t="str">
        <f t="shared" ca="1" si="4"/>
        <v/>
      </c>
      <c r="AB48" s="5">
        <f t="shared" ca="1" si="5"/>
        <v>0</v>
      </c>
      <c r="AS48" s="158">
        <f t="shared" si="6"/>
        <v>40</v>
      </c>
      <c r="AT48" s="321" t="str">
        <f ca="1">IF(CS!C$5="l",CS!C48,"-")</f>
        <v>-</v>
      </c>
      <c r="AU48" s="321" t="str">
        <f ca="1">IF(CS!D$5="l",CS!D48,"-")</f>
        <v/>
      </c>
      <c r="AV48" s="321" t="str">
        <f ca="1">IF(CS!E$5="l",CS!E48,"-")</f>
        <v>-</v>
      </c>
      <c r="AW48" s="321" t="str">
        <f ca="1">IF(CS!F$5="l",CS!F48,"-")</f>
        <v/>
      </c>
      <c r="AX48" s="321" t="str">
        <f ca="1">IF(CS!G$5="l",CS!G48,"-")</f>
        <v>-</v>
      </c>
      <c r="AY48" s="321" t="str">
        <f ca="1">IF(CS!H$5="l",CS!H48,"-")</f>
        <v/>
      </c>
      <c r="AZ48" s="321" t="str">
        <f ca="1">IF(CS!I$5="l",CS!I48,"-")</f>
        <v>-</v>
      </c>
      <c r="BA48" s="321" t="str">
        <f ca="1">IF(CS!J$5="l",CS!J48,"-")</f>
        <v/>
      </c>
      <c r="BB48" s="321" t="str">
        <f ca="1">IF(CS!K$5="l",CS!K48,"-")</f>
        <v>-</v>
      </c>
      <c r="BC48" s="321" t="str">
        <f ca="1">IF(CS!L$5="l",CS!L48,"-")</f>
        <v/>
      </c>
      <c r="BD48" s="321" t="str">
        <f ca="1">IF(CS!M$5="l",CS!M48,"-")</f>
        <v>-</v>
      </c>
      <c r="BE48" s="321" t="str">
        <f ca="1">IF(CS!N$5="l",CS!N48,"-")</f>
        <v/>
      </c>
      <c r="BF48" s="321" t="str">
        <f ca="1">IF(CS!O$5="l",CS!O48,"-")</f>
        <v>-</v>
      </c>
      <c r="BG48" s="321" t="str">
        <f ca="1">IF(CS!P$5="l",CS!P48,"-")</f>
        <v/>
      </c>
      <c r="BH48" s="321" t="str">
        <f ca="1">IF(CS!Q$5="l",CS!Q48,"-")</f>
        <v>-</v>
      </c>
      <c r="BI48" s="321" t="str">
        <f ca="1">IF(CS!R$5="l",CS!R48,"-")</f>
        <v/>
      </c>
      <c r="BJ48" s="321" t="str">
        <f ca="1">IF(CS!S$5="l",CS!S48,"-")</f>
        <v>-</v>
      </c>
      <c r="BK48" s="321" t="str">
        <f ca="1">IF(CS!T$5="l",CS!T48,"-")</f>
        <v/>
      </c>
      <c r="BL48" s="321" t="str">
        <f ca="1">IF(CS!U$5="l",CS!U48,"-")</f>
        <v>-</v>
      </c>
      <c r="BM48" s="321" t="str">
        <f ca="1">IF(CS!V$5="l",CS!V48,"-")</f>
        <v/>
      </c>
      <c r="BN48" s="321" t="str">
        <f ca="1">IF(CS!W$5="l",CS!W48,"-")</f>
        <v>-</v>
      </c>
      <c r="BO48" s="321" t="str">
        <f ca="1">IF(CS!X$5="l",CS!X48,"-")</f>
        <v/>
      </c>
      <c r="BP48" s="321" t="str">
        <f ca="1">IF(CS!Y$5="l",CS!Y48,"-")</f>
        <v>-</v>
      </c>
      <c r="BQ48" s="321" t="str">
        <f ca="1">IF(CS!Z$5="l",CS!Z48,"-")</f>
        <v/>
      </c>
      <c r="BR48" s="321" t="str">
        <f ca="1">IF(CS!AA$5="l",CS!AA48,"-")</f>
        <v>-</v>
      </c>
      <c r="BS48" s="321" t="str">
        <f ca="1">IF(CS!AB$5="l",CS!AB48,"-")</f>
        <v/>
      </c>
      <c r="BT48" s="321" t="str">
        <f ca="1">IF(CS!AC$5="l",CS!AC48,"-")</f>
        <v>-</v>
      </c>
      <c r="BU48" s="321" t="str">
        <f ca="1">IF(CS!AD$5="l",CS!AD48,"-")</f>
        <v/>
      </c>
      <c r="BV48" s="321" t="str">
        <f ca="1">IF(CS!AE$5="l",CS!AE48,"-")</f>
        <v>-</v>
      </c>
      <c r="BW48" s="321" t="str">
        <f ca="1">IF(CS!AF$5="l",CS!AF48,"-")</f>
        <v/>
      </c>
      <c r="BX48" s="321" t="str">
        <f ca="1">IF(CS!AG$5="l",CS!AG48,"-")</f>
        <v>-</v>
      </c>
      <c r="BY48" s="321" t="str">
        <f ca="1">IF(CS!AH$5="l",CS!AH48,"-")</f>
        <v/>
      </c>
      <c r="BZ48" s="321" t="str">
        <f ca="1">IF(CS!AI$5="l",CS!AI48,"-")</f>
        <v>-</v>
      </c>
      <c r="CA48" s="321" t="str">
        <f ca="1">IF(CS!AJ$5="l",CS!AJ48,"-")</f>
        <v/>
      </c>
      <c r="CB48" s="321" t="str">
        <f ca="1">IF(CS!AK$5="l",CS!AK48,"-")</f>
        <v>-</v>
      </c>
      <c r="CC48" s="321" t="str">
        <f ca="1">IF(CS!AL$5="l",CS!AL48,"-")</f>
        <v/>
      </c>
      <c r="CD48" s="321" t="str">
        <f ca="1">IF(CS!AM$5="l",CS!AM48,"-")</f>
        <v>-</v>
      </c>
      <c r="CE48" s="321" t="str">
        <f ca="1">IF(CS!AN$5="l",CS!AN48,"-")</f>
        <v/>
      </c>
      <c r="CF48" s="321" t="str">
        <f ca="1">IF(CS!AO$5="l",CS!AO48,"-")</f>
        <v>-</v>
      </c>
      <c r="CG48" s="321" t="str">
        <f ca="1">IF(CS!AP$5="l",CS!AP48,"-")</f>
        <v/>
      </c>
    </row>
    <row r="49" spans="2:85" ht="15">
      <c r="B49" s="4" t="str">
        <f ca="1">CS!AR49</f>
        <v/>
      </c>
      <c r="C49" s="430" t="str">
        <f t="shared" ca="1" si="3"/>
        <v/>
      </c>
      <c r="D49" s="28" t="str">
        <f t="shared" ca="1" si="3"/>
        <v/>
      </c>
      <c r="E49" s="28" t="str">
        <f t="shared" ca="1" si="3"/>
        <v/>
      </c>
      <c r="F49" s="28" t="str">
        <f t="shared" ca="1" si="8"/>
        <v/>
      </c>
      <c r="G49" s="28" t="str">
        <f t="shared" ca="1" si="8"/>
        <v/>
      </c>
      <c r="H49" s="28" t="str">
        <f t="shared" ca="1" si="8"/>
        <v/>
      </c>
      <c r="I49" s="28" t="str">
        <f t="shared" ca="1" si="8"/>
        <v/>
      </c>
      <c r="J49" s="28" t="str">
        <f t="shared" ca="1" si="8"/>
        <v/>
      </c>
      <c r="K49" s="28" t="str">
        <f t="shared" ca="1" si="8"/>
        <v/>
      </c>
      <c r="L49" s="28" t="str">
        <f t="shared" ca="1" si="8"/>
        <v/>
      </c>
      <c r="M49" s="28" t="str">
        <f t="shared" ca="1" si="8"/>
        <v/>
      </c>
      <c r="N49" s="28" t="str">
        <f t="shared" ca="1" si="8"/>
        <v/>
      </c>
      <c r="O49" s="28" t="str">
        <f t="shared" ca="1" si="8"/>
        <v/>
      </c>
      <c r="P49" s="28" t="str">
        <f t="shared" ca="1" si="8"/>
        <v/>
      </c>
      <c r="Q49" s="28" t="str">
        <f t="shared" ca="1" si="8"/>
        <v/>
      </c>
      <c r="R49" s="28" t="str">
        <f t="shared" ca="1" si="8"/>
        <v/>
      </c>
      <c r="S49" s="28" t="str">
        <f t="shared" ca="1" si="8"/>
        <v/>
      </c>
      <c r="T49" s="28" t="str">
        <f t="shared" ca="1" si="8"/>
        <v/>
      </c>
      <c r="U49" s="28" t="str">
        <f t="shared" ca="1" si="8"/>
        <v/>
      </c>
      <c r="V49" s="28" t="str">
        <f t="shared" ca="1" si="8"/>
        <v/>
      </c>
      <c r="W49" s="346" t="str">
        <f t="shared" ca="1" si="8"/>
        <v/>
      </c>
      <c r="Z49" s="5" t="str">
        <f t="shared" ca="1" si="4"/>
        <v/>
      </c>
      <c r="AB49" s="5">
        <f t="shared" ca="1" si="5"/>
        <v>0</v>
      </c>
      <c r="AS49" s="158">
        <f t="shared" si="6"/>
        <v>41</v>
      </c>
      <c r="AT49" s="321" t="str">
        <f ca="1">IF(CS!C$5="l",CS!C49,"-")</f>
        <v>-</v>
      </c>
      <c r="AU49" s="321" t="str">
        <f ca="1">IF(CS!D$5="l",CS!D49,"-")</f>
        <v/>
      </c>
      <c r="AV49" s="321" t="str">
        <f ca="1">IF(CS!E$5="l",CS!E49,"-")</f>
        <v>-</v>
      </c>
      <c r="AW49" s="321" t="str">
        <f ca="1">IF(CS!F$5="l",CS!F49,"-")</f>
        <v/>
      </c>
      <c r="AX49" s="321" t="str">
        <f ca="1">IF(CS!G$5="l",CS!G49,"-")</f>
        <v>-</v>
      </c>
      <c r="AY49" s="321" t="str">
        <f ca="1">IF(CS!H$5="l",CS!H49,"-")</f>
        <v/>
      </c>
      <c r="AZ49" s="321" t="str">
        <f ca="1">IF(CS!I$5="l",CS!I49,"-")</f>
        <v>-</v>
      </c>
      <c r="BA49" s="321" t="str">
        <f ca="1">IF(CS!J$5="l",CS!J49,"-")</f>
        <v/>
      </c>
      <c r="BB49" s="321" t="str">
        <f ca="1">IF(CS!K$5="l",CS!K49,"-")</f>
        <v>-</v>
      </c>
      <c r="BC49" s="321" t="str">
        <f ca="1">IF(CS!L$5="l",CS!L49,"-")</f>
        <v/>
      </c>
      <c r="BD49" s="321" t="str">
        <f ca="1">IF(CS!M$5="l",CS!M49,"-")</f>
        <v>-</v>
      </c>
      <c r="BE49" s="321" t="str">
        <f ca="1">IF(CS!N$5="l",CS!N49,"-")</f>
        <v/>
      </c>
      <c r="BF49" s="321" t="str">
        <f ca="1">IF(CS!O$5="l",CS!O49,"-")</f>
        <v>-</v>
      </c>
      <c r="BG49" s="321" t="str">
        <f ca="1">IF(CS!P$5="l",CS!P49,"-")</f>
        <v/>
      </c>
      <c r="BH49" s="321" t="str">
        <f ca="1">IF(CS!Q$5="l",CS!Q49,"-")</f>
        <v>-</v>
      </c>
      <c r="BI49" s="321" t="str">
        <f ca="1">IF(CS!R$5="l",CS!R49,"-")</f>
        <v/>
      </c>
      <c r="BJ49" s="321" t="str">
        <f ca="1">IF(CS!S$5="l",CS!S49,"-")</f>
        <v>-</v>
      </c>
      <c r="BK49" s="321" t="str">
        <f ca="1">IF(CS!T$5="l",CS!T49,"-")</f>
        <v/>
      </c>
      <c r="BL49" s="321" t="str">
        <f ca="1">IF(CS!U$5="l",CS!U49,"-")</f>
        <v>-</v>
      </c>
      <c r="BM49" s="321" t="str">
        <f ca="1">IF(CS!V$5="l",CS!V49,"-")</f>
        <v/>
      </c>
      <c r="BN49" s="321" t="str">
        <f ca="1">IF(CS!W$5="l",CS!W49,"-")</f>
        <v>-</v>
      </c>
      <c r="BO49" s="321" t="str">
        <f ca="1">IF(CS!X$5="l",CS!X49,"-")</f>
        <v/>
      </c>
      <c r="BP49" s="321" t="str">
        <f ca="1">IF(CS!Y$5="l",CS!Y49,"-")</f>
        <v>-</v>
      </c>
      <c r="BQ49" s="321" t="str">
        <f ca="1">IF(CS!Z$5="l",CS!Z49,"-")</f>
        <v/>
      </c>
      <c r="BR49" s="321" t="str">
        <f ca="1">IF(CS!AA$5="l",CS!AA49,"-")</f>
        <v>-</v>
      </c>
      <c r="BS49" s="321" t="str">
        <f ca="1">IF(CS!AB$5="l",CS!AB49,"-")</f>
        <v/>
      </c>
      <c r="BT49" s="321" t="str">
        <f ca="1">IF(CS!AC$5="l",CS!AC49,"-")</f>
        <v>-</v>
      </c>
      <c r="BU49" s="321" t="str">
        <f ca="1">IF(CS!AD$5="l",CS!AD49,"-")</f>
        <v/>
      </c>
      <c r="BV49" s="321" t="str">
        <f ca="1">IF(CS!AE$5="l",CS!AE49,"-")</f>
        <v>-</v>
      </c>
      <c r="BW49" s="321" t="str">
        <f ca="1">IF(CS!AF$5="l",CS!AF49,"-")</f>
        <v/>
      </c>
      <c r="BX49" s="321" t="str">
        <f ca="1">IF(CS!AG$5="l",CS!AG49,"-")</f>
        <v>-</v>
      </c>
      <c r="BY49" s="321" t="str">
        <f ca="1">IF(CS!AH$5="l",CS!AH49,"-")</f>
        <v/>
      </c>
      <c r="BZ49" s="321" t="str">
        <f ca="1">IF(CS!AI$5="l",CS!AI49,"-")</f>
        <v>-</v>
      </c>
      <c r="CA49" s="321" t="str">
        <f ca="1">IF(CS!AJ$5="l",CS!AJ49,"-")</f>
        <v/>
      </c>
      <c r="CB49" s="321" t="str">
        <f ca="1">IF(CS!AK$5="l",CS!AK49,"-")</f>
        <v>-</v>
      </c>
      <c r="CC49" s="321" t="str">
        <f ca="1">IF(CS!AL$5="l",CS!AL49,"-")</f>
        <v/>
      </c>
      <c r="CD49" s="321" t="str">
        <f ca="1">IF(CS!AM$5="l",CS!AM49,"-")</f>
        <v>-</v>
      </c>
      <c r="CE49" s="321" t="str">
        <f ca="1">IF(CS!AN$5="l",CS!AN49,"-")</f>
        <v/>
      </c>
      <c r="CF49" s="321" t="str">
        <f ca="1">IF(CS!AO$5="l",CS!AO49,"-")</f>
        <v>-</v>
      </c>
      <c r="CG49" s="321" t="str">
        <f ca="1">IF(CS!AP$5="l",CS!AP49,"-")</f>
        <v/>
      </c>
    </row>
    <row r="50" spans="2:85" ht="15">
      <c r="B50" s="4" t="str">
        <f ca="1">CS!AR50</f>
        <v/>
      </c>
      <c r="C50" s="430" t="str">
        <f t="shared" ca="1" si="3"/>
        <v/>
      </c>
      <c r="D50" s="28" t="str">
        <f t="shared" ca="1" si="3"/>
        <v/>
      </c>
      <c r="E50" s="28" t="str">
        <f t="shared" ca="1" si="3"/>
        <v/>
      </c>
      <c r="F50" s="28" t="str">
        <f t="shared" ca="1" si="8"/>
        <v/>
      </c>
      <c r="G50" s="28" t="str">
        <f t="shared" ca="1" si="8"/>
        <v/>
      </c>
      <c r="H50" s="28" t="str">
        <f t="shared" ca="1" si="8"/>
        <v/>
      </c>
      <c r="I50" s="28" t="str">
        <f t="shared" ca="1" si="8"/>
        <v/>
      </c>
      <c r="J50" s="28" t="str">
        <f t="shared" ca="1" si="8"/>
        <v/>
      </c>
      <c r="K50" s="28" t="str">
        <f t="shared" ca="1" si="8"/>
        <v/>
      </c>
      <c r="L50" s="28" t="str">
        <f t="shared" ca="1" si="8"/>
        <v/>
      </c>
      <c r="M50" s="28" t="str">
        <f t="shared" ca="1" si="8"/>
        <v/>
      </c>
      <c r="N50" s="28" t="str">
        <f t="shared" ca="1" si="8"/>
        <v/>
      </c>
      <c r="O50" s="28" t="str">
        <f t="shared" ca="1" si="8"/>
        <v/>
      </c>
      <c r="P50" s="28" t="str">
        <f t="shared" ca="1" si="8"/>
        <v/>
      </c>
      <c r="Q50" s="28" t="str">
        <f t="shared" ca="1" si="8"/>
        <v/>
      </c>
      <c r="R50" s="28" t="str">
        <f t="shared" ca="1" si="8"/>
        <v/>
      </c>
      <c r="S50" s="28" t="str">
        <f t="shared" ca="1" si="8"/>
        <v/>
      </c>
      <c r="T50" s="28" t="str">
        <f t="shared" ca="1" si="8"/>
        <v/>
      </c>
      <c r="U50" s="28" t="str">
        <f t="shared" ca="1" si="8"/>
        <v/>
      </c>
      <c r="V50" s="28" t="str">
        <f t="shared" ca="1" si="8"/>
        <v/>
      </c>
      <c r="W50" s="346" t="str">
        <f t="shared" ca="1" si="8"/>
        <v/>
      </c>
      <c r="Z50" s="5" t="str">
        <f t="shared" ca="1" si="4"/>
        <v/>
      </c>
      <c r="AB50" s="5">
        <f t="shared" ca="1" si="5"/>
        <v>0</v>
      </c>
      <c r="AS50" s="158">
        <f t="shared" si="6"/>
        <v>42</v>
      </c>
      <c r="AT50" s="321" t="str">
        <f ca="1">IF(CS!C$5="l",CS!C50,"-")</f>
        <v>-</v>
      </c>
      <c r="AU50" s="321" t="str">
        <f ca="1">IF(CS!D$5="l",CS!D50,"-")</f>
        <v/>
      </c>
      <c r="AV50" s="321" t="str">
        <f ca="1">IF(CS!E$5="l",CS!E50,"-")</f>
        <v>-</v>
      </c>
      <c r="AW50" s="321" t="str">
        <f ca="1">IF(CS!F$5="l",CS!F50,"-")</f>
        <v/>
      </c>
      <c r="AX50" s="321" t="str">
        <f ca="1">IF(CS!G$5="l",CS!G50,"-")</f>
        <v>-</v>
      </c>
      <c r="AY50" s="321" t="str">
        <f ca="1">IF(CS!H$5="l",CS!H50,"-")</f>
        <v/>
      </c>
      <c r="AZ50" s="321" t="str">
        <f ca="1">IF(CS!I$5="l",CS!I50,"-")</f>
        <v>-</v>
      </c>
      <c r="BA50" s="321" t="str">
        <f ca="1">IF(CS!J$5="l",CS!J50,"-")</f>
        <v/>
      </c>
      <c r="BB50" s="321" t="str">
        <f ca="1">IF(CS!K$5="l",CS!K50,"-")</f>
        <v>-</v>
      </c>
      <c r="BC50" s="321" t="str">
        <f ca="1">IF(CS!L$5="l",CS!L50,"-")</f>
        <v/>
      </c>
      <c r="BD50" s="321" t="str">
        <f ca="1">IF(CS!M$5="l",CS!M50,"-")</f>
        <v>-</v>
      </c>
      <c r="BE50" s="321" t="str">
        <f ca="1">IF(CS!N$5="l",CS!N50,"-")</f>
        <v/>
      </c>
      <c r="BF50" s="321" t="str">
        <f ca="1">IF(CS!O$5="l",CS!O50,"-")</f>
        <v>-</v>
      </c>
      <c r="BG50" s="321" t="str">
        <f ca="1">IF(CS!P$5="l",CS!P50,"-")</f>
        <v/>
      </c>
      <c r="BH50" s="321" t="str">
        <f ca="1">IF(CS!Q$5="l",CS!Q50,"-")</f>
        <v>-</v>
      </c>
      <c r="BI50" s="321" t="str">
        <f ca="1">IF(CS!R$5="l",CS!R50,"-")</f>
        <v/>
      </c>
      <c r="BJ50" s="321" t="str">
        <f ca="1">IF(CS!S$5="l",CS!S50,"-")</f>
        <v>-</v>
      </c>
      <c r="BK50" s="321" t="str">
        <f ca="1">IF(CS!T$5="l",CS!T50,"-")</f>
        <v/>
      </c>
      <c r="BL50" s="321" t="str">
        <f ca="1">IF(CS!U$5="l",CS!U50,"-")</f>
        <v>-</v>
      </c>
      <c r="BM50" s="321" t="str">
        <f ca="1">IF(CS!V$5="l",CS!V50,"-")</f>
        <v/>
      </c>
      <c r="BN50" s="321" t="str">
        <f ca="1">IF(CS!W$5="l",CS!W50,"-")</f>
        <v>-</v>
      </c>
      <c r="BO50" s="321" t="str">
        <f ca="1">IF(CS!X$5="l",CS!X50,"-")</f>
        <v/>
      </c>
      <c r="BP50" s="321" t="str">
        <f ca="1">IF(CS!Y$5="l",CS!Y50,"-")</f>
        <v>-</v>
      </c>
      <c r="BQ50" s="321" t="str">
        <f ca="1">IF(CS!Z$5="l",CS!Z50,"-")</f>
        <v/>
      </c>
      <c r="BR50" s="321" t="str">
        <f ca="1">IF(CS!AA$5="l",CS!AA50,"-")</f>
        <v>-</v>
      </c>
      <c r="BS50" s="321" t="str">
        <f ca="1">IF(CS!AB$5="l",CS!AB50,"-")</f>
        <v/>
      </c>
      <c r="BT50" s="321" t="str">
        <f ca="1">IF(CS!AC$5="l",CS!AC50,"-")</f>
        <v>-</v>
      </c>
      <c r="BU50" s="321" t="str">
        <f ca="1">IF(CS!AD$5="l",CS!AD50,"-")</f>
        <v/>
      </c>
      <c r="BV50" s="321" t="str">
        <f ca="1">IF(CS!AE$5="l",CS!AE50,"-")</f>
        <v>-</v>
      </c>
      <c r="BW50" s="321" t="str">
        <f ca="1">IF(CS!AF$5="l",CS!AF50,"-")</f>
        <v/>
      </c>
      <c r="BX50" s="321" t="str">
        <f ca="1">IF(CS!AG$5="l",CS!AG50,"-")</f>
        <v>-</v>
      </c>
      <c r="BY50" s="321" t="str">
        <f ca="1">IF(CS!AH$5="l",CS!AH50,"-")</f>
        <v/>
      </c>
      <c r="BZ50" s="321" t="str">
        <f ca="1">IF(CS!AI$5="l",CS!AI50,"-")</f>
        <v>-</v>
      </c>
      <c r="CA50" s="321" t="str">
        <f ca="1">IF(CS!AJ$5="l",CS!AJ50,"-")</f>
        <v/>
      </c>
      <c r="CB50" s="321" t="str">
        <f ca="1">IF(CS!AK$5="l",CS!AK50,"-")</f>
        <v>-</v>
      </c>
      <c r="CC50" s="321" t="str">
        <f ca="1">IF(CS!AL$5="l",CS!AL50,"-")</f>
        <v/>
      </c>
      <c r="CD50" s="321" t="str">
        <f ca="1">IF(CS!AM$5="l",CS!AM50,"-")</f>
        <v>-</v>
      </c>
      <c r="CE50" s="321" t="str">
        <f ca="1">IF(CS!AN$5="l",CS!AN50,"-")</f>
        <v/>
      </c>
      <c r="CF50" s="321" t="str">
        <f ca="1">IF(CS!AO$5="l",CS!AO50,"-")</f>
        <v>-</v>
      </c>
      <c r="CG50" s="321" t="str">
        <f ca="1">IF(CS!AP$5="l",CS!AP50,"-")</f>
        <v/>
      </c>
    </row>
    <row r="51" spans="2:85" ht="15">
      <c r="B51" s="4" t="str">
        <f ca="1">CS!AR51</f>
        <v/>
      </c>
      <c r="C51" s="430" t="str">
        <f t="shared" ca="1" si="3"/>
        <v/>
      </c>
      <c r="D51" s="28" t="str">
        <f t="shared" ca="1" si="3"/>
        <v/>
      </c>
      <c r="E51" s="28" t="str">
        <f t="shared" ca="1" si="3"/>
        <v/>
      </c>
      <c r="F51" s="28" t="str">
        <f t="shared" ca="1" si="8"/>
        <v/>
      </c>
      <c r="G51" s="28" t="str">
        <f t="shared" ca="1" si="8"/>
        <v/>
      </c>
      <c r="H51" s="28" t="str">
        <f t="shared" ca="1" si="8"/>
        <v/>
      </c>
      <c r="I51" s="28" t="str">
        <f t="shared" ca="1" si="8"/>
        <v/>
      </c>
      <c r="J51" s="28" t="str">
        <f t="shared" ca="1" si="8"/>
        <v/>
      </c>
      <c r="K51" s="28" t="str">
        <f t="shared" ca="1" si="8"/>
        <v/>
      </c>
      <c r="L51" s="28" t="str">
        <f t="shared" ca="1" si="8"/>
        <v/>
      </c>
      <c r="M51" s="28" t="str">
        <f t="shared" ca="1" si="8"/>
        <v/>
      </c>
      <c r="N51" s="28" t="str">
        <f t="shared" ca="1" si="8"/>
        <v/>
      </c>
      <c r="O51" s="28" t="str">
        <f t="shared" ca="1" si="8"/>
        <v/>
      </c>
      <c r="P51" s="28" t="str">
        <f t="shared" ca="1" si="8"/>
        <v/>
      </c>
      <c r="Q51" s="28" t="str">
        <f t="shared" ca="1" si="8"/>
        <v/>
      </c>
      <c r="R51" s="28" t="str">
        <f t="shared" ca="1" si="8"/>
        <v/>
      </c>
      <c r="S51" s="28" t="str">
        <f t="shared" ca="1" si="8"/>
        <v/>
      </c>
      <c r="T51" s="28" t="str">
        <f t="shared" ca="1" si="8"/>
        <v/>
      </c>
      <c r="U51" s="28" t="str">
        <f t="shared" ca="1" si="8"/>
        <v/>
      </c>
      <c r="V51" s="28" t="str">
        <f t="shared" ca="1" si="8"/>
        <v/>
      </c>
      <c r="W51" s="346" t="str">
        <f t="shared" ca="1" si="8"/>
        <v/>
      </c>
      <c r="Z51" s="5" t="str">
        <f t="shared" ca="1" si="4"/>
        <v/>
      </c>
      <c r="AB51" s="5">
        <f t="shared" ca="1" si="5"/>
        <v>0</v>
      </c>
      <c r="AS51" s="158">
        <f t="shared" si="6"/>
        <v>43</v>
      </c>
      <c r="AT51" s="321" t="str">
        <f ca="1">IF(CS!C$5="l",CS!C51,"-")</f>
        <v>-</v>
      </c>
      <c r="AU51" s="321" t="str">
        <f ca="1">IF(CS!D$5="l",CS!D51,"-")</f>
        <v/>
      </c>
      <c r="AV51" s="321" t="str">
        <f ca="1">IF(CS!E$5="l",CS!E51,"-")</f>
        <v>-</v>
      </c>
      <c r="AW51" s="321" t="str">
        <f ca="1">IF(CS!F$5="l",CS!F51,"-")</f>
        <v/>
      </c>
      <c r="AX51" s="321" t="str">
        <f ca="1">IF(CS!G$5="l",CS!G51,"-")</f>
        <v>-</v>
      </c>
      <c r="AY51" s="321" t="str">
        <f ca="1">IF(CS!H$5="l",CS!H51,"-")</f>
        <v/>
      </c>
      <c r="AZ51" s="321" t="str">
        <f ca="1">IF(CS!I$5="l",CS!I51,"-")</f>
        <v>-</v>
      </c>
      <c r="BA51" s="321" t="str">
        <f ca="1">IF(CS!J$5="l",CS!J51,"-")</f>
        <v/>
      </c>
      <c r="BB51" s="321" t="str">
        <f ca="1">IF(CS!K$5="l",CS!K51,"-")</f>
        <v>-</v>
      </c>
      <c r="BC51" s="321" t="str">
        <f ca="1">IF(CS!L$5="l",CS!L51,"-")</f>
        <v/>
      </c>
      <c r="BD51" s="321" t="str">
        <f ca="1">IF(CS!M$5="l",CS!M51,"-")</f>
        <v>-</v>
      </c>
      <c r="BE51" s="321" t="str">
        <f ca="1">IF(CS!N$5="l",CS!N51,"-")</f>
        <v/>
      </c>
      <c r="BF51" s="321" t="str">
        <f ca="1">IF(CS!O$5="l",CS!O51,"-")</f>
        <v>-</v>
      </c>
      <c r="BG51" s="321" t="str">
        <f ca="1">IF(CS!P$5="l",CS!P51,"-")</f>
        <v/>
      </c>
      <c r="BH51" s="321" t="str">
        <f ca="1">IF(CS!Q$5="l",CS!Q51,"-")</f>
        <v>-</v>
      </c>
      <c r="BI51" s="321" t="str">
        <f ca="1">IF(CS!R$5="l",CS!R51,"-")</f>
        <v/>
      </c>
      <c r="BJ51" s="321" t="str">
        <f ca="1">IF(CS!S$5="l",CS!S51,"-")</f>
        <v>-</v>
      </c>
      <c r="BK51" s="321" t="str">
        <f ca="1">IF(CS!T$5="l",CS!T51,"-")</f>
        <v/>
      </c>
      <c r="BL51" s="321" t="str">
        <f ca="1">IF(CS!U$5="l",CS!U51,"-")</f>
        <v>-</v>
      </c>
      <c r="BM51" s="321" t="str">
        <f ca="1">IF(CS!V$5="l",CS!V51,"-")</f>
        <v/>
      </c>
      <c r="BN51" s="321" t="str">
        <f ca="1">IF(CS!W$5="l",CS!W51,"-")</f>
        <v>-</v>
      </c>
      <c r="BO51" s="321" t="str">
        <f ca="1">IF(CS!X$5="l",CS!X51,"-")</f>
        <v/>
      </c>
      <c r="BP51" s="321" t="str">
        <f ca="1">IF(CS!Y$5="l",CS!Y51,"-")</f>
        <v>-</v>
      </c>
      <c r="BQ51" s="321" t="str">
        <f ca="1">IF(CS!Z$5="l",CS!Z51,"-")</f>
        <v/>
      </c>
      <c r="BR51" s="321" t="str">
        <f ca="1">IF(CS!AA$5="l",CS!AA51,"-")</f>
        <v>-</v>
      </c>
      <c r="BS51" s="321" t="str">
        <f ca="1">IF(CS!AB$5="l",CS!AB51,"-")</f>
        <v/>
      </c>
      <c r="BT51" s="321" t="str">
        <f ca="1">IF(CS!AC$5="l",CS!AC51,"-")</f>
        <v>-</v>
      </c>
      <c r="BU51" s="321" t="str">
        <f ca="1">IF(CS!AD$5="l",CS!AD51,"-")</f>
        <v/>
      </c>
      <c r="BV51" s="321" t="str">
        <f ca="1">IF(CS!AE$5="l",CS!AE51,"-")</f>
        <v>-</v>
      </c>
      <c r="BW51" s="321" t="str">
        <f ca="1">IF(CS!AF$5="l",CS!AF51,"-")</f>
        <v/>
      </c>
      <c r="BX51" s="321" t="str">
        <f ca="1">IF(CS!AG$5="l",CS!AG51,"-")</f>
        <v>-</v>
      </c>
      <c r="BY51" s="321" t="str">
        <f ca="1">IF(CS!AH$5="l",CS!AH51,"-")</f>
        <v/>
      </c>
      <c r="BZ51" s="321" t="str">
        <f ca="1">IF(CS!AI$5="l",CS!AI51,"-")</f>
        <v>-</v>
      </c>
      <c r="CA51" s="321" t="str">
        <f ca="1">IF(CS!AJ$5="l",CS!AJ51,"-")</f>
        <v/>
      </c>
      <c r="CB51" s="321" t="str">
        <f ca="1">IF(CS!AK$5="l",CS!AK51,"-")</f>
        <v>-</v>
      </c>
      <c r="CC51" s="321" t="str">
        <f ca="1">IF(CS!AL$5="l",CS!AL51,"-")</f>
        <v/>
      </c>
      <c r="CD51" s="321" t="str">
        <f ca="1">IF(CS!AM$5="l",CS!AM51,"-")</f>
        <v>-</v>
      </c>
      <c r="CE51" s="321" t="str">
        <f ca="1">IF(CS!AN$5="l",CS!AN51,"-")</f>
        <v/>
      </c>
      <c r="CF51" s="321" t="str">
        <f ca="1">IF(CS!AO$5="l",CS!AO51,"-")</f>
        <v>-</v>
      </c>
      <c r="CG51" s="321" t="str">
        <f ca="1">IF(CS!AP$5="l",CS!AP51,"-")</f>
        <v/>
      </c>
    </row>
    <row r="52" spans="2:85" ht="15">
      <c r="B52" s="4" t="str">
        <f ca="1">CS!AR52</f>
        <v/>
      </c>
      <c r="C52" s="430" t="str">
        <f t="shared" ca="1" si="3"/>
        <v/>
      </c>
      <c r="D52" s="28" t="str">
        <f t="shared" ca="1" si="3"/>
        <v/>
      </c>
      <c r="E52" s="28" t="str">
        <f t="shared" ca="1" si="3"/>
        <v/>
      </c>
      <c r="F52" s="28" t="str">
        <f t="shared" ca="1" si="8"/>
        <v/>
      </c>
      <c r="G52" s="28" t="str">
        <f t="shared" ca="1" si="8"/>
        <v/>
      </c>
      <c r="H52" s="28" t="str">
        <f t="shared" ca="1" si="8"/>
        <v/>
      </c>
      <c r="I52" s="28" t="str">
        <f t="shared" ca="1" si="8"/>
        <v/>
      </c>
      <c r="J52" s="28" t="str">
        <f t="shared" ca="1" si="8"/>
        <v/>
      </c>
      <c r="K52" s="28" t="str">
        <f t="shared" ca="1" si="8"/>
        <v/>
      </c>
      <c r="L52" s="28" t="str">
        <f t="shared" ca="1" si="8"/>
        <v/>
      </c>
      <c r="M52" s="28" t="str">
        <f t="shared" ca="1" si="8"/>
        <v/>
      </c>
      <c r="N52" s="28" t="str">
        <f t="shared" ca="1" si="8"/>
        <v/>
      </c>
      <c r="O52" s="28" t="str">
        <f t="shared" ca="1" si="8"/>
        <v/>
      </c>
      <c r="P52" s="28" t="str">
        <f t="shared" ca="1" si="8"/>
        <v/>
      </c>
      <c r="Q52" s="28" t="str">
        <f t="shared" ca="1" si="8"/>
        <v/>
      </c>
      <c r="R52" s="28" t="str">
        <f t="shared" ca="1" si="8"/>
        <v/>
      </c>
      <c r="S52" s="28" t="str">
        <f t="shared" ca="1" si="8"/>
        <v/>
      </c>
      <c r="T52" s="28" t="str">
        <f t="shared" ca="1" si="8"/>
        <v/>
      </c>
      <c r="U52" s="28" t="str">
        <f t="shared" ca="1" si="8"/>
        <v/>
      </c>
      <c r="V52" s="28" t="str">
        <f t="shared" ca="1" si="8"/>
        <v/>
      </c>
      <c r="W52" s="346" t="str">
        <f t="shared" ca="1" si="8"/>
        <v/>
      </c>
      <c r="Z52" s="5" t="str">
        <f t="shared" ca="1" si="4"/>
        <v/>
      </c>
      <c r="AB52" s="5">
        <f t="shared" ca="1" si="5"/>
        <v>0</v>
      </c>
      <c r="AS52" s="158">
        <f t="shared" si="6"/>
        <v>44</v>
      </c>
      <c r="AT52" s="321" t="str">
        <f ca="1">IF(CS!C$5="l",CS!C52,"-")</f>
        <v>-</v>
      </c>
      <c r="AU52" s="321" t="str">
        <f ca="1">IF(CS!D$5="l",CS!D52,"-")</f>
        <v/>
      </c>
      <c r="AV52" s="321" t="str">
        <f ca="1">IF(CS!E$5="l",CS!E52,"-")</f>
        <v>-</v>
      </c>
      <c r="AW52" s="321" t="str">
        <f ca="1">IF(CS!F$5="l",CS!F52,"-")</f>
        <v/>
      </c>
      <c r="AX52" s="321" t="str">
        <f ca="1">IF(CS!G$5="l",CS!G52,"-")</f>
        <v>-</v>
      </c>
      <c r="AY52" s="321" t="str">
        <f ca="1">IF(CS!H$5="l",CS!H52,"-")</f>
        <v/>
      </c>
      <c r="AZ52" s="321" t="str">
        <f ca="1">IF(CS!I$5="l",CS!I52,"-")</f>
        <v>-</v>
      </c>
      <c r="BA52" s="321" t="str">
        <f ca="1">IF(CS!J$5="l",CS!J52,"-")</f>
        <v/>
      </c>
      <c r="BB52" s="321" t="str">
        <f ca="1">IF(CS!K$5="l",CS!K52,"-")</f>
        <v>-</v>
      </c>
      <c r="BC52" s="321" t="str">
        <f ca="1">IF(CS!L$5="l",CS!L52,"-")</f>
        <v/>
      </c>
      <c r="BD52" s="321" t="str">
        <f ca="1">IF(CS!M$5="l",CS!M52,"-")</f>
        <v>-</v>
      </c>
      <c r="BE52" s="321" t="str">
        <f ca="1">IF(CS!N$5="l",CS!N52,"-")</f>
        <v/>
      </c>
      <c r="BF52" s="321" t="str">
        <f ca="1">IF(CS!O$5="l",CS!O52,"-")</f>
        <v>-</v>
      </c>
      <c r="BG52" s="321" t="str">
        <f ca="1">IF(CS!P$5="l",CS!P52,"-")</f>
        <v/>
      </c>
      <c r="BH52" s="321" t="str">
        <f ca="1">IF(CS!Q$5="l",CS!Q52,"-")</f>
        <v>-</v>
      </c>
      <c r="BI52" s="321" t="str">
        <f ca="1">IF(CS!R$5="l",CS!R52,"-")</f>
        <v/>
      </c>
      <c r="BJ52" s="321" t="str">
        <f ca="1">IF(CS!S$5="l",CS!S52,"-")</f>
        <v>-</v>
      </c>
      <c r="BK52" s="321" t="str">
        <f ca="1">IF(CS!T$5="l",CS!T52,"-")</f>
        <v/>
      </c>
      <c r="BL52" s="321" t="str">
        <f ca="1">IF(CS!U$5="l",CS!U52,"-")</f>
        <v>-</v>
      </c>
      <c r="BM52" s="321" t="str">
        <f ca="1">IF(CS!V$5="l",CS!V52,"-")</f>
        <v/>
      </c>
      <c r="BN52" s="321" t="str">
        <f ca="1">IF(CS!W$5="l",CS!W52,"-")</f>
        <v>-</v>
      </c>
      <c r="BO52" s="321" t="str">
        <f ca="1">IF(CS!X$5="l",CS!X52,"-")</f>
        <v/>
      </c>
      <c r="BP52" s="321" t="str">
        <f ca="1">IF(CS!Y$5="l",CS!Y52,"-")</f>
        <v>-</v>
      </c>
      <c r="BQ52" s="321" t="str">
        <f ca="1">IF(CS!Z$5="l",CS!Z52,"-")</f>
        <v/>
      </c>
      <c r="BR52" s="321" t="str">
        <f ca="1">IF(CS!AA$5="l",CS!AA52,"-")</f>
        <v>-</v>
      </c>
      <c r="BS52" s="321" t="str">
        <f ca="1">IF(CS!AB$5="l",CS!AB52,"-")</f>
        <v/>
      </c>
      <c r="BT52" s="321" t="str">
        <f ca="1">IF(CS!AC$5="l",CS!AC52,"-")</f>
        <v>-</v>
      </c>
      <c r="BU52" s="321" t="str">
        <f ca="1">IF(CS!AD$5="l",CS!AD52,"-")</f>
        <v/>
      </c>
      <c r="BV52" s="321" t="str">
        <f ca="1">IF(CS!AE$5="l",CS!AE52,"-")</f>
        <v>-</v>
      </c>
      <c r="BW52" s="321" t="str">
        <f ca="1">IF(CS!AF$5="l",CS!AF52,"-")</f>
        <v/>
      </c>
      <c r="BX52" s="321" t="str">
        <f ca="1">IF(CS!AG$5="l",CS!AG52,"-")</f>
        <v>-</v>
      </c>
      <c r="BY52" s="321" t="str">
        <f ca="1">IF(CS!AH$5="l",CS!AH52,"-")</f>
        <v/>
      </c>
      <c r="BZ52" s="321" t="str">
        <f ca="1">IF(CS!AI$5="l",CS!AI52,"-")</f>
        <v>-</v>
      </c>
      <c r="CA52" s="321" t="str">
        <f ca="1">IF(CS!AJ$5="l",CS!AJ52,"-")</f>
        <v/>
      </c>
      <c r="CB52" s="321" t="str">
        <f ca="1">IF(CS!AK$5="l",CS!AK52,"-")</f>
        <v>-</v>
      </c>
      <c r="CC52" s="321" t="str">
        <f ca="1">IF(CS!AL$5="l",CS!AL52,"-")</f>
        <v/>
      </c>
      <c r="CD52" s="321" t="str">
        <f ca="1">IF(CS!AM$5="l",CS!AM52,"-")</f>
        <v>-</v>
      </c>
      <c r="CE52" s="321" t="str">
        <f ca="1">IF(CS!AN$5="l",CS!AN52,"-")</f>
        <v/>
      </c>
      <c r="CF52" s="321" t="str">
        <f ca="1">IF(CS!AO$5="l",CS!AO52,"-")</f>
        <v>-</v>
      </c>
      <c r="CG52" s="321" t="str">
        <f ca="1">IF(CS!AP$5="l",CS!AP52,"-")</f>
        <v/>
      </c>
    </row>
    <row r="53" spans="2:85" ht="15">
      <c r="B53" s="4" t="str">
        <f ca="1">CS!AR53</f>
        <v/>
      </c>
      <c r="C53" s="430" t="str">
        <f t="shared" ca="1" si="3"/>
        <v/>
      </c>
      <c r="D53" s="28" t="str">
        <f t="shared" ca="1" si="3"/>
        <v/>
      </c>
      <c r="E53" s="28" t="str">
        <f t="shared" ca="1" si="3"/>
        <v/>
      </c>
      <c r="F53" s="28" t="str">
        <f t="shared" ca="1" si="8"/>
        <v/>
      </c>
      <c r="G53" s="28" t="str">
        <f t="shared" ca="1" si="8"/>
        <v/>
      </c>
      <c r="H53" s="28" t="str">
        <f t="shared" ca="1" si="8"/>
        <v/>
      </c>
      <c r="I53" s="28" t="str">
        <f t="shared" ca="1" si="8"/>
        <v/>
      </c>
      <c r="J53" s="28" t="str">
        <f t="shared" ca="1" si="8"/>
        <v/>
      </c>
      <c r="K53" s="28" t="str">
        <f t="shared" ca="1" si="8"/>
        <v/>
      </c>
      <c r="L53" s="28" t="str">
        <f t="shared" ca="1" si="8"/>
        <v/>
      </c>
      <c r="M53" s="28" t="str">
        <f t="shared" ca="1" si="8"/>
        <v/>
      </c>
      <c r="N53" s="28" t="str">
        <f t="shared" ca="1" si="8"/>
        <v/>
      </c>
      <c r="O53" s="28" t="str">
        <f t="shared" ca="1" si="8"/>
        <v/>
      </c>
      <c r="P53" s="28" t="str">
        <f t="shared" ca="1" si="8"/>
        <v/>
      </c>
      <c r="Q53" s="28" t="str">
        <f t="shared" ca="1" si="8"/>
        <v/>
      </c>
      <c r="R53" s="28" t="str">
        <f t="shared" ca="1" si="8"/>
        <v/>
      </c>
      <c r="S53" s="28" t="str">
        <f t="shared" ca="1" si="8"/>
        <v/>
      </c>
      <c r="T53" s="28" t="str">
        <f t="shared" ca="1" si="8"/>
        <v/>
      </c>
      <c r="U53" s="28" t="str">
        <f t="shared" ca="1" si="8"/>
        <v/>
      </c>
      <c r="V53" s="28" t="str">
        <f t="shared" ca="1" si="8"/>
        <v/>
      </c>
      <c r="W53" s="346" t="str">
        <f t="shared" ca="1" si="8"/>
        <v/>
      </c>
      <c r="Z53" s="5" t="str">
        <f t="shared" ca="1" si="4"/>
        <v/>
      </c>
      <c r="AB53" s="5">
        <f t="shared" ca="1" si="5"/>
        <v>0</v>
      </c>
      <c r="AS53" s="158">
        <f t="shared" si="6"/>
        <v>45</v>
      </c>
      <c r="AT53" s="321" t="str">
        <f ca="1">IF(CS!C$5="l",CS!C53,"-")</f>
        <v>-</v>
      </c>
      <c r="AU53" s="321" t="str">
        <f ca="1">IF(CS!D$5="l",CS!D53,"-")</f>
        <v/>
      </c>
      <c r="AV53" s="321" t="str">
        <f ca="1">IF(CS!E$5="l",CS!E53,"-")</f>
        <v>-</v>
      </c>
      <c r="AW53" s="321" t="str">
        <f ca="1">IF(CS!F$5="l",CS!F53,"-")</f>
        <v/>
      </c>
      <c r="AX53" s="321" t="str">
        <f ca="1">IF(CS!G$5="l",CS!G53,"-")</f>
        <v>-</v>
      </c>
      <c r="AY53" s="321" t="str">
        <f ca="1">IF(CS!H$5="l",CS!H53,"-")</f>
        <v/>
      </c>
      <c r="AZ53" s="321" t="str">
        <f ca="1">IF(CS!I$5="l",CS!I53,"-")</f>
        <v>-</v>
      </c>
      <c r="BA53" s="321" t="str">
        <f ca="1">IF(CS!J$5="l",CS!J53,"-")</f>
        <v/>
      </c>
      <c r="BB53" s="321" t="str">
        <f ca="1">IF(CS!K$5="l",CS!K53,"-")</f>
        <v>-</v>
      </c>
      <c r="BC53" s="321" t="str">
        <f ca="1">IF(CS!L$5="l",CS!L53,"-")</f>
        <v/>
      </c>
      <c r="BD53" s="321" t="str">
        <f ca="1">IF(CS!M$5="l",CS!M53,"-")</f>
        <v>-</v>
      </c>
      <c r="BE53" s="321" t="str">
        <f ca="1">IF(CS!N$5="l",CS!N53,"-")</f>
        <v/>
      </c>
      <c r="BF53" s="321" t="str">
        <f ca="1">IF(CS!O$5="l",CS!O53,"-")</f>
        <v>-</v>
      </c>
      <c r="BG53" s="321" t="str">
        <f ca="1">IF(CS!P$5="l",CS!P53,"-")</f>
        <v/>
      </c>
      <c r="BH53" s="321" t="str">
        <f ca="1">IF(CS!Q$5="l",CS!Q53,"-")</f>
        <v>-</v>
      </c>
      <c r="BI53" s="321" t="str">
        <f ca="1">IF(CS!R$5="l",CS!R53,"-")</f>
        <v/>
      </c>
      <c r="BJ53" s="321" t="str">
        <f ca="1">IF(CS!S$5="l",CS!S53,"-")</f>
        <v>-</v>
      </c>
      <c r="BK53" s="321" t="str">
        <f ca="1">IF(CS!T$5="l",CS!T53,"-")</f>
        <v/>
      </c>
      <c r="BL53" s="321" t="str">
        <f ca="1">IF(CS!U$5="l",CS!U53,"-")</f>
        <v>-</v>
      </c>
      <c r="BM53" s="321" t="str">
        <f ca="1">IF(CS!V$5="l",CS!V53,"-")</f>
        <v/>
      </c>
      <c r="BN53" s="321" t="str">
        <f ca="1">IF(CS!W$5="l",CS!W53,"-")</f>
        <v>-</v>
      </c>
      <c r="BO53" s="321" t="str">
        <f ca="1">IF(CS!X$5="l",CS!X53,"-")</f>
        <v/>
      </c>
      <c r="BP53" s="321" t="str">
        <f ca="1">IF(CS!Y$5="l",CS!Y53,"-")</f>
        <v>-</v>
      </c>
      <c r="BQ53" s="321" t="str">
        <f ca="1">IF(CS!Z$5="l",CS!Z53,"-")</f>
        <v/>
      </c>
      <c r="BR53" s="321" t="str">
        <f ca="1">IF(CS!AA$5="l",CS!AA53,"-")</f>
        <v>-</v>
      </c>
      <c r="BS53" s="321" t="str">
        <f ca="1">IF(CS!AB$5="l",CS!AB53,"-")</f>
        <v/>
      </c>
      <c r="BT53" s="321" t="str">
        <f ca="1">IF(CS!AC$5="l",CS!AC53,"-")</f>
        <v>-</v>
      </c>
      <c r="BU53" s="321" t="str">
        <f ca="1">IF(CS!AD$5="l",CS!AD53,"-")</f>
        <v/>
      </c>
      <c r="BV53" s="321" t="str">
        <f ca="1">IF(CS!AE$5="l",CS!AE53,"-")</f>
        <v>-</v>
      </c>
      <c r="BW53" s="321" t="str">
        <f ca="1">IF(CS!AF$5="l",CS!AF53,"-")</f>
        <v/>
      </c>
      <c r="BX53" s="321" t="str">
        <f ca="1">IF(CS!AG$5="l",CS!AG53,"-")</f>
        <v>-</v>
      </c>
      <c r="BY53" s="321" t="str">
        <f ca="1">IF(CS!AH$5="l",CS!AH53,"-")</f>
        <v/>
      </c>
      <c r="BZ53" s="321" t="str">
        <f ca="1">IF(CS!AI$5="l",CS!AI53,"-")</f>
        <v>-</v>
      </c>
      <c r="CA53" s="321" t="str">
        <f ca="1">IF(CS!AJ$5="l",CS!AJ53,"-")</f>
        <v/>
      </c>
      <c r="CB53" s="321" t="str">
        <f ca="1">IF(CS!AK$5="l",CS!AK53,"-")</f>
        <v>-</v>
      </c>
      <c r="CC53" s="321" t="str">
        <f ca="1">IF(CS!AL$5="l",CS!AL53,"-")</f>
        <v/>
      </c>
      <c r="CD53" s="321" t="str">
        <f ca="1">IF(CS!AM$5="l",CS!AM53,"-")</f>
        <v>-</v>
      </c>
      <c r="CE53" s="321" t="str">
        <f ca="1">IF(CS!AN$5="l",CS!AN53,"-")</f>
        <v/>
      </c>
      <c r="CF53" s="321" t="str">
        <f ca="1">IF(CS!AO$5="l",CS!AO53,"-")</f>
        <v>-</v>
      </c>
      <c r="CG53" s="321" t="str">
        <f ca="1">IF(CS!AP$5="l",CS!AP53,"-")</f>
        <v/>
      </c>
    </row>
    <row r="54" spans="2:85" ht="15">
      <c r="B54" s="4" t="str">
        <f ca="1">CS!AR54</f>
        <v/>
      </c>
      <c r="C54" s="430" t="str">
        <f t="shared" ca="1" si="3"/>
        <v/>
      </c>
      <c r="D54" s="28" t="str">
        <f t="shared" ca="1" si="3"/>
        <v/>
      </c>
      <c r="E54" s="28" t="str">
        <f t="shared" ca="1" si="3"/>
        <v/>
      </c>
      <c r="F54" s="28" t="str">
        <f t="shared" ca="1" si="8"/>
        <v/>
      </c>
      <c r="G54" s="28" t="str">
        <f t="shared" ca="1" si="8"/>
        <v/>
      </c>
      <c r="H54" s="28" t="str">
        <f t="shared" ca="1" si="8"/>
        <v/>
      </c>
      <c r="I54" s="28" t="str">
        <f t="shared" ca="1" si="8"/>
        <v/>
      </c>
      <c r="J54" s="28" t="str">
        <f t="shared" ref="F54:W56" ca="1" si="9">IF(J$9="","",IF(ISERROR(HLOOKUP(J$9,INDIRECT(J$59),$AS54,FALSE)),"-",HLOOKUP(J$9,INDIRECT(J$59),$AS54,FALSE)))</f>
        <v/>
      </c>
      <c r="K54" s="28" t="str">
        <f t="shared" ca="1" si="9"/>
        <v/>
      </c>
      <c r="L54" s="28" t="str">
        <f t="shared" ca="1" si="9"/>
        <v/>
      </c>
      <c r="M54" s="28" t="str">
        <f t="shared" ca="1" si="9"/>
        <v/>
      </c>
      <c r="N54" s="28" t="str">
        <f t="shared" ca="1" si="9"/>
        <v/>
      </c>
      <c r="O54" s="28" t="str">
        <f t="shared" ca="1" si="9"/>
        <v/>
      </c>
      <c r="P54" s="28" t="str">
        <f t="shared" ca="1" si="9"/>
        <v/>
      </c>
      <c r="Q54" s="28" t="str">
        <f t="shared" ca="1" si="9"/>
        <v/>
      </c>
      <c r="R54" s="28" t="str">
        <f t="shared" ca="1" si="9"/>
        <v/>
      </c>
      <c r="S54" s="28" t="str">
        <f t="shared" ca="1" si="9"/>
        <v/>
      </c>
      <c r="T54" s="28" t="str">
        <f t="shared" ca="1" si="9"/>
        <v/>
      </c>
      <c r="U54" s="28" t="str">
        <f t="shared" ca="1" si="9"/>
        <v/>
      </c>
      <c r="V54" s="28" t="str">
        <f t="shared" ca="1" si="9"/>
        <v/>
      </c>
      <c r="W54" s="346" t="str">
        <f t="shared" ca="1" si="9"/>
        <v/>
      </c>
      <c r="Z54" s="5" t="str">
        <f t="shared" ca="1" si="4"/>
        <v/>
      </c>
      <c r="AB54" s="5">
        <f t="shared" ca="1" si="5"/>
        <v>0</v>
      </c>
      <c r="AS54" s="158">
        <f t="shared" si="6"/>
        <v>46</v>
      </c>
      <c r="AT54" s="321" t="str">
        <f ca="1">IF(CS!C$5="l",CS!C54,"-")</f>
        <v>-</v>
      </c>
      <c r="AU54" s="321" t="str">
        <f ca="1">IF(CS!D$5="l",CS!D54,"-")</f>
        <v/>
      </c>
      <c r="AV54" s="321" t="str">
        <f ca="1">IF(CS!E$5="l",CS!E54,"-")</f>
        <v>-</v>
      </c>
      <c r="AW54" s="321" t="str">
        <f ca="1">IF(CS!F$5="l",CS!F54,"-")</f>
        <v/>
      </c>
      <c r="AX54" s="321" t="str">
        <f ca="1">IF(CS!G$5="l",CS!G54,"-")</f>
        <v>-</v>
      </c>
      <c r="AY54" s="321" t="str">
        <f ca="1">IF(CS!H$5="l",CS!H54,"-")</f>
        <v/>
      </c>
      <c r="AZ54" s="321" t="str">
        <f ca="1">IF(CS!I$5="l",CS!I54,"-")</f>
        <v>-</v>
      </c>
      <c r="BA54" s="321" t="str">
        <f ca="1">IF(CS!J$5="l",CS!J54,"-")</f>
        <v/>
      </c>
      <c r="BB54" s="321" t="str">
        <f ca="1">IF(CS!K$5="l",CS!K54,"-")</f>
        <v>-</v>
      </c>
      <c r="BC54" s="321" t="str">
        <f ca="1">IF(CS!L$5="l",CS!L54,"-")</f>
        <v/>
      </c>
      <c r="BD54" s="321" t="str">
        <f ca="1">IF(CS!M$5="l",CS!M54,"-")</f>
        <v>-</v>
      </c>
      <c r="BE54" s="321" t="str">
        <f ca="1">IF(CS!N$5="l",CS!N54,"-")</f>
        <v/>
      </c>
      <c r="BF54" s="321" t="str">
        <f ca="1">IF(CS!O$5="l",CS!O54,"-")</f>
        <v>-</v>
      </c>
      <c r="BG54" s="321" t="str">
        <f ca="1">IF(CS!P$5="l",CS!P54,"-")</f>
        <v/>
      </c>
      <c r="BH54" s="321" t="str">
        <f ca="1">IF(CS!Q$5="l",CS!Q54,"-")</f>
        <v>-</v>
      </c>
      <c r="BI54" s="321" t="str">
        <f ca="1">IF(CS!R$5="l",CS!R54,"-")</f>
        <v/>
      </c>
      <c r="BJ54" s="321" t="str">
        <f ca="1">IF(CS!S$5="l",CS!S54,"-")</f>
        <v>-</v>
      </c>
      <c r="BK54" s="321" t="str">
        <f ca="1">IF(CS!T$5="l",CS!T54,"-")</f>
        <v/>
      </c>
      <c r="BL54" s="321" t="str">
        <f ca="1">IF(CS!U$5="l",CS!U54,"-")</f>
        <v>-</v>
      </c>
      <c r="BM54" s="321" t="str">
        <f ca="1">IF(CS!V$5="l",CS!V54,"-")</f>
        <v/>
      </c>
      <c r="BN54" s="321" t="str">
        <f ca="1">IF(CS!W$5="l",CS!W54,"-")</f>
        <v>-</v>
      </c>
      <c r="BO54" s="321" t="str">
        <f ca="1">IF(CS!X$5="l",CS!X54,"-")</f>
        <v/>
      </c>
      <c r="BP54" s="321" t="str">
        <f ca="1">IF(CS!Y$5="l",CS!Y54,"-")</f>
        <v>-</v>
      </c>
      <c r="BQ54" s="321" t="str">
        <f ca="1">IF(CS!Z$5="l",CS!Z54,"-")</f>
        <v/>
      </c>
      <c r="BR54" s="321" t="str">
        <f ca="1">IF(CS!AA$5="l",CS!AA54,"-")</f>
        <v>-</v>
      </c>
      <c r="BS54" s="321" t="str">
        <f ca="1">IF(CS!AB$5="l",CS!AB54,"-")</f>
        <v/>
      </c>
      <c r="BT54" s="321" t="str">
        <f ca="1">IF(CS!AC$5="l",CS!AC54,"-")</f>
        <v>-</v>
      </c>
      <c r="BU54" s="321" t="str">
        <f ca="1">IF(CS!AD$5="l",CS!AD54,"-")</f>
        <v/>
      </c>
      <c r="BV54" s="321" t="str">
        <f ca="1">IF(CS!AE$5="l",CS!AE54,"-")</f>
        <v>-</v>
      </c>
      <c r="BW54" s="321" t="str">
        <f ca="1">IF(CS!AF$5="l",CS!AF54,"-")</f>
        <v/>
      </c>
      <c r="BX54" s="321" t="str">
        <f ca="1">IF(CS!AG$5="l",CS!AG54,"-")</f>
        <v>-</v>
      </c>
      <c r="BY54" s="321" t="str">
        <f ca="1">IF(CS!AH$5="l",CS!AH54,"-")</f>
        <v/>
      </c>
      <c r="BZ54" s="321" t="str">
        <f ca="1">IF(CS!AI$5="l",CS!AI54,"-")</f>
        <v>-</v>
      </c>
      <c r="CA54" s="321" t="str">
        <f ca="1">IF(CS!AJ$5="l",CS!AJ54,"-")</f>
        <v/>
      </c>
      <c r="CB54" s="321" t="str">
        <f ca="1">IF(CS!AK$5="l",CS!AK54,"-")</f>
        <v>-</v>
      </c>
      <c r="CC54" s="321" t="str">
        <f ca="1">IF(CS!AL$5="l",CS!AL54,"-")</f>
        <v/>
      </c>
      <c r="CD54" s="321" t="str">
        <f ca="1">IF(CS!AM$5="l",CS!AM54,"-")</f>
        <v>-</v>
      </c>
      <c r="CE54" s="321" t="str">
        <f ca="1">IF(CS!AN$5="l",CS!AN54,"-")</f>
        <v/>
      </c>
      <c r="CF54" s="321" t="str">
        <f ca="1">IF(CS!AO$5="l",CS!AO54,"-")</f>
        <v>-</v>
      </c>
      <c r="CG54" s="321" t="str">
        <f ca="1">IF(CS!AP$5="l",CS!AP54,"-")</f>
        <v/>
      </c>
    </row>
    <row r="55" spans="2:85" ht="15">
      <c r="B55" s="4" t="str">
        <f ca="1">CS!AR55</f>
        <v/>
      </c>
      <c r="C55" s="430" t="str">
        <f t="shared" ca="1" si="3"/>
        <v/>
      </c>
      <c r="D55" s="28" t="str">
        <f t="shared" ca="1" si="3"/>
        <v/>
      </c>
      <c r="E55" s="28" t="str">
        <f t="shared" ca="1" si="3"/>
        <v/>
      </c>
      <c r="F55" s="28" t="str">
        <f t="shared" ca="1" si="9"/>
        <v/>
      </c>
      <c r="G55" s="28" t="str">
        <f t="shared" ca="1" si="9"/>
        <v/>
      </c>
      <c r="H55" s="28" t="str">
        <f t="shared" ca="1" si="9"/>
        <v/>
      </c>
      <c r="I55" s="28" t="str">
        <f t="shared" ca="1" si="9"/>
        <v/>
      </c>
      <c r="J55" s="28" t="str">
        <f t="shared" ca="1" si="9"/>
        <v/>
      </c>
      <c r="K55" s="28" t="str">
        <f t="shared" ca="1" si="9"/>
        <v/>
      </c>
      <c r="L55" s="28" t="str">
        <f t="shared" ca="1" si="9"/>
        <v/>
      </c>
      <c r="M55" s="28" t="str">
        <f t="shared" ca="1" si="9"/>
        <v/>
      </c>
      <c r="N55" s="28" t="str">
        <f t="shared" ca="1" si="9"/>
        <v/>
      </c>
      <c r="O55" s="28" t="str">
        <f t="shared" ca="1" si="9"/>
        <v/>
      </c>
      <c r="P55" s="28" t="str">
        <f t="shared" ca="1" si="9"/>
        <v/>
      </c>
      <c r="Q55" s="28" t="str">
        <f t="shared" ca="1" si="9"/>
        <v/>
      </c>
      <c r="R55" s="28" t="str">
        <f t="shared" ca="1" si="9"/>
        <v/>
      </c>
      <c r="S55" s="28" t="str">
        <f t="shared" ca="1" si="9"/>
        <v/>
      </c>
      <c r="T55" s="28" t="str">
        <f t="shared" ca="1" si="9"/>
        <v/>
      </c>
      <c r="U55" s="28" t="str">
        <f t="shared" ca="1" si="9"/>
        <v/>
      </c>
      <c r="V55" s="28" t="str">
        <f t="shared" ca="1" si="9"/>
        <v/>
      </c>
      <c r="W55" s="346" t="str">
        <f t="shared" ca="1" si="9"/>
        <v/>
      </c>
      <c r="Z55" s="5" t="str">
        <f t="shared" ca="1" si="4"/>
        <v/>
      </c>
      <c r="AB55" s="5">
        <f t="shared" ca="1" si="5"/>
        <v>0</v>
      </c>
      <c r="AS55" s="158">
        <f t="shared" si="6"/>
        <v>47</v>
      </c>
      <c r="AT55" s="321" t="str">
        <f ca="1">IF(CS!C$5="l",CS!C55,"-")</f>
        <v>-</v>
      </c>
      <c r="AU55" s="321" t="str">
        <f ca="1">IF(CS!D$5="l",CS!D55,"-")</f>
        <v/>
      </c>
      <c r="AV55" s="321" t="str">
        <f ca="1">IF(CS!E$5="l",CS!E55,"-")</f>
        <v>-</v>
      </c>
      <c r="AW55" s="321" t="str">
        <f ca="1">IF(CS!F$5="l",CS!F55,"-")</f>
        <v/>
      </c>
      <c r="AX55" s="321" t="str">
        <f ca="1">IF(CS!G$5="l",CS!G55,"-")</f>
        <v>-</v>
      </c>
      <c r="AY55" s="321" t="str">
        <f ca="1">IF(CS!H$5="l",CS!H55,"-")</f>
        <v/>
      </c>
      <c r="AZ55" s="321" t="str">
        <f ca="1">IF(CS!I$5="l",CS!I55,"-")</f>
        <v>-</v>
      </c>
      <c r="BA55" s="321" t="str">
        <f ca="1">IF(CS!J$5="l",CS!J55,"-")</f>
        <v/>
      </c>
      <c r="BB55" s="321" t="str">
        <f ca="1">IF(CS!K$5="l",CS!K55,"-")</f>
        <v>-</v>
      </c>
      <c r="BC55" s="321" t="str">
        <f ca="1">IF(CS!L$5="l",CS!L55,"-")</f>
        <v/>
      </c>
      <c r="BD55" s="321" t="str">
        <f ca="1">IF(CS!M$5="l",CS!M55,"-")</f>
        <v>-</v>
      </c>
      <c r="BE55" s="321" t="str">
        <f ca="1">IF(CS!N$5="l",CS!N55,"-")</f>
        <v/>
      </c>
      <c r="BF55" s="321" t="str">
        <f ca="1">IF(CS!O$5="l",CS!O55,"-")</f>
        <v>-</v>
      </c>
      <c r="BG55" s="321" t="str">
        <f ca="1">IF(CS!P$5="l",CS!P55,"-")</f>
        <v/>
      </c>
      <c r="BH55" s="321" t="str">
        <f ca="1">IF(CS!Q$5="l",CS!Q55,"-")</f>
        <v>-</v>
      </c>
      <c r="BI55" s="321" t="str">
        <f ca="1">IF(CS!R$5="l",CS!R55,"-")</f>
        <v/>
      </c>
      <c r="BJ55" s="321" t="str">
        <f ca="1">IF(CS!S$5="l",CS!S55,"-")</f>
        <v>-</v>
      </c>
      <c r="BK55" s="321" t="str">
        <f ca="1">IF(CS!T$5="l",CS!T55,"-")</f>
        <v/>
      </c>
      <c r="BL55" s="321" t="str">
        <f ca="1">IF(CS!U$5="l",CS!U55,"-")</f>
        <v>-</v>
      </c>
      <c r="BM55" s="321" t="str">
        <f ca="1">IF(CS!V$5="l",CS!V55,"-")</f>
        <v/>
      </c>
      <c r="BN55" s="321" t="str">
        <f ca="1">IF(CS!W$5="l",CS!W55,"-")</f>
        <v>-</v>
      </c>
      <c r="BO55" s="321" t="str">
        <f ca="1">IF(CS!X$5="l",CS!X55,"-")</f>
        <v/>
      </c>
      <c r="BP55" s="321" t="str">
        <f ca="1">IF(CS!Y$5="l",CS!Y55,"-")</f>
        <v>-</v>
      </c>
      <c r="BQ55" s="321" t="str">
        <f ca="1">IF(CS!Z$5="l",CS!Z55,"-")</f>
        <v/>
      </c>
      <c r="BR55" s="321" t="str">
        <f ca="1">IF(CS!AA$5="l",CS!AA55,"-")</f>
        <v>-</v>
      </c>
      <c r="BS55" s="321" t="str">
        <f ca="1">IF(CS!AB$5="l",CS!AB55,"-")</f>
        <v/>
      </c>
      <c r="BT55" s="321" t="str">
        <f ca="1">IF(CS!AC$5="l",CS!AC55,"-")</f>
        <v>-</v>
      </c>
      <c r="BU55" s="321" t="str">
        <f ca="1">IF(CS!AD$5="l",CS!AD55,"-")</f>
        <v/>
      </c>
      <c r="BV55" s="321" t="str">
        <f ca="1">IF(CS!AE$5="l",CS!AE55,"-")</f>
        <v>-</v>
      </c>
      <c r="BW55" s="321" t="str">
        <f ca="1">IF(CS!AF$5="l",CS!AF55,"-")</f>
        <v/>
      </c>
      <c r="BX55" s="321" t="str">
        <f ca="1">IF(CS!AG$5="l",CS!AG55,"-")</f>
        <v>-</v>
      </c>
      <c r="BY55" s="321" t="str">
        <f ca="1">IF(CS!AH$5="l",CS!AH55,"-")</f>
        <v/>
      </c>
      <c r="BZ55" s="321" t="str">
        <f ca="1">IF(CS!AI$5="l",CS!AI55,"-")</f>
        <v>-</v>
      </c>
      <c r="CA55" s="321" t="str">
        <f ca="1">IF(CS!AJ$5="l",CS!AJ55,"-")</f>
        <v/>
      </c>
      <c r="CB55" s="321" t="str">
        <f ca="1">IF(CS!AK$5="l",CS!AK55,"-")</f>
        <v>-</v>
      </c>
      <c r="CC55" s="321" t="str">
        <f ca="1">IF(CS!AL$5="l",CS!AL55,"-")</f>
        <v/>
      </c>
      <c r="CD55" s="321" t="str">
        <f ca="1">IF(CS!AM$5="l",CS!AM55,"-")</f>
        <v>-</v>
      </c>
      <c r="CE55" s="321" t="str">
        <f ca="1">IF(CS!AN$5="l",CS!AN55,"-")</f>
        <v/>
      </c>
      <c r="CF55" s="321" t="str">
        <f ca="1">IF(CS!AO$5="l",CS!AO55,"-")</f>
        <v>-</v>
      </c>
      <c r="CG55" s="321" t="str">
        <f ca="1">IF(CS!AP$5="l",CS!AP55,"-")</f>
        <v/>
      </c>
    </row>
    <row r="56" spans="2:85" ht="16" thickBot="1">
      <c r="B56" s="313" t="str">
        <f ca="1">CS!AR56</f>
        <v/>
      </c>
      <c r="C56" s="431" t="str">
        <f t="shared" ca="1" si="3"/>
        <v/>
      </c>
      <c r="D56" s="432" t="str">
        <f t="shared" ca="1" si="3"/>
        <v/>
      </c>
      <c r="E56" s="432" t="str">
        <f t="shared" ca="1" si="3"/>
        <v/>
      </c>
      <c r="F56" s="432" t="str">
        <f t="shared" ca="1" si="9"/>
        <v/>
      </c>
      <c r="G56" s="432" t="str">
        <f t="shared" ca="1" si="9"/>
        <v/>
      </c>
      <c r="H56" s="432" t="str">
        <f t="shared" ca="1" si="9"/>
        <v/>
      </c>
      <c r="I56" s="432" t="str">
        <f t="shared" ca="1" si="9"/>
        <v/>
      </c>
      <c r="J56" s="432" t="str">
        <f t="shared" ca="1" si="9"/>
        <v/>
      </c>
      <c r="K56" s="432" t="str">
        <f t="shared" ca="1" si="9"/>
        <v/>
      </c>
      <c r="L56" s="432" t="str">
        <f t="shared" ca="1" si="9"/>
        <v/>
      </c>
      <c r="M56" s="432" t="str">
        <f t="shared" ca="1" si="9"/>
        <v/>
      </c>
      <c r="N56" s="432" t="str">
        <f t="shared" ca="1" si="9"/>
        <v/>
      </c>
      <c r="O56" s="432" t="str">
        <f t="shared" ca="1" si="9"/>
        <v/>
      </c>
      <c r="P56" s="432" t="str">
        <f t="shared" ca="1" si="9"/>
        <v/>
      </c>
      <c r="Q56" s="432" t="str">
        <f t="shared" ca="1" si="9"/>
        <v/>
      </c>
      <c r="R56" s="432" t="str">
        <f t="shared" ca="1" si="9"/>
        <v/>
      </c>
      <c r="S56" s="432" t="str">
        <f t="shared" ca="1" si="9"/>
        <v/>
      </c>
      <c r="T56" s="432" t="str">
        <f t="shared" ca="1" si="9"/>
        <v/>
      </c>
      <c r="U56" s="432" t="str">
        <f t="shared" ca="1" si="9"/>
        <v/>
      </c>
      <c r="V56" s="432" t="str">
        <f t="shared" ca="1" si="9"/>
        <v/>
      </c>
      <c r="W56" s="433" t="str">
        <f t="shared" ca="1" si="9"/>
        <v/>
      </c>
      <c r="Z56" s="5" t="str">
        <f t="shared" ca="1" si="4"/>
        <v/>
      </c>
      <c r="AB56" s="5">
        <f t="shared" ca="1" si="5"/>
        <v>0</v>
      </c>
      <c r="AS56" s="158">
        <f t="shared" si="6"/>
        <v>48</v>
      </c>
      <c r="AT56" s="321" t="str">
        <f ca="1">IF(CS!C$5="l",CS!C56,"-")</f>
        <v>-</v>
      </c>
      <c r="AU56" s="321" t="str">
        <f ca="1">IF(CS!D$5="l",CS!D56,"-")</f>
        <v/>
      </c>
      <c r="AV56" s="321" t="str">
        <f ca="1">IF(CS!E$5="l",CS!E56,"-")</f>
        <v>-</v>
      </c>
      <c r="AW56" s="321" t="str">
        <f ca="1">IF(CS!F$5="l",CS!F56,"-")</f>
        <v/>
      </c>
      <c r="AX56" s="321" t="str">
        <f ca="1">IF(CS!G$5="l",CS!G56,"-")</f>
        <v>-</v>
      </c>
      <c r="AY56" s="321" t="str">
        <f ca="1">IF(CS!H$5="l",CS!H56,"-")</f>
        <v/>
      </c>
      <c r="AZ56" s="321" t="str">
        <f ca="1">IF(CS!I$5="l",CS!I56,"-")</f>
        <v>-</v>
      </c>
      <c r="BA56" s="321" t="str">
        <f ca="1">IF(CS!J$5="l",CS!J56,"-")</f>
        <v/>
      </c>
      <c r="BB56" s="321" t="str">
        <f ca="1">IF(CS!K$5="l",CS!K56,"-")</f>
        <v>-</v>
      </c>
      <c r="BC56" s="321" t="str">
        <f ca="1">IF(CS!L$5="l",CS!L56,"-")</f>
        <v/>
      </c>
      <c r="BD56" s="321" t="str">
        <f ca="1">IF(CS!M$5="l",CS!M56,"-")</f>
        <v>-</v>
      </c>
      <c r="BE56" s="321" t="str">
        <f ca="1">IF(CS!N$5="l",CS!N56,"-")</f>
        <v/>
      </c>
      <c r="BF56" s="321" t="str">
        <f ca="1">IF(CS!O$5="l",CS!O56,"-")</f>
        <v>-</v>
      </c>
      <c r="BG56" s="321" t="str">
        <f ca="1">IF(CS!P$5="l",CS!P56,"-")</f>
        <v/>
      </c>
      <c r="BH56" s="321" t="str">
        <f ca="1">IF(CS!Q$5="l",CS!Q56,"-")</f>
        <v>-</v>
      </c>
      <c r="BI56" s="321" t="str">
        <f ca="1">IF(CS!R$5="l",CS!R56,"-")</f>
        <v/>
      </c>
      <c r="BJ56" s="321" t="str">
        <f ca="1">IF(CS!S$5="l",CS!S56,"-")</f>
        <v>-</v>
      </c>
      <c r="BK56" s="321" t="str">
        <f ca="1">IF(CS!T$5="l",CS!T56,"-")</f>
        <v/>
      </c>
      <c r="BL56" s="321" t="str">
        <f ca="1">IF(CS!U$5="l",CS!U56,"-")</f>
        <v>-</v>
      </c>
      <c r="BM56" s="321" t="str">
        <f ca="1">IF(CS!V$5="l",CS!V56,"-")</f>
        <v/>
      </c>
      <c r="BN56" s="321" t="str">
        <f ca="1">IF(CS!W$5="l",CS!W56,"-")</f>
        <v>-</v>
      </c>
      <c r="BO56" s="321" t="str">
        <f ca="1">IF(CS!X$5="l",CS!X56,"-")</f>
        <v/>
      </c>
      <c r="BP56" s="321" t="str">
        <f ca="1">IF(CS!Y$5="l",CS!Y56,"-")</f>
        <v>-</v>
      </c>
      <c r="BQ56" s="321" t="str">
        <f ca="1">IF(CS!Z$5="l",CS!Z56,"-")</f>
        <v/>
      </c>
      <c r="BR56" s="321" t="str">
        <f ca="1">IF(CS!AA$5="l",CS!AA56,"-")</f>
        <v>-</v>
      </c>
      <c r="BS56" s="321" t="str">
        <f ca="1">IF(CS!AB$5="l",CS!AB56,"-")</f>
        <v/>
      </c>
      <c r="BT56" s="321" t="str">
        <f ca="1">IF(CS!AC$5="l",CS!AC56,"-")</f>
        <v>-</v>
      </c>
      <c r="BU56" s="321" t="str">
        <f ca="1">IF(CS!AD$5="l",CS!AD56,"-")</f>
        <v/>
      </c>
      <c r="BV56" s="321" t="str">
        <f ca="1">IF(CS!AE$5="l",CS!AE56,"-")</f>
        <v>-</v>
      </c>
      <c r="BW56" s="321" t="str">
        <f ca="1">IF(CS!AF$5="l",CS!AF56,"-")</f>
        <v/>
      </c>
      <c r="BX56" s="321" t="str">
        <f ca="1">IF(CS!AG$5="l",CS!AG56,"-")</f>
        <v>-</v>
      </c>
      <c r="BY56" s="321" t="str">
        <f ca="1">IF(CS!AH$5="l",CS!AH56,"-")</f>
        <v/>
      </c>
      <c r="BZ56" s="321" t="str">
        <f ca="1">IF(CS!AI$5="l",CS!AI56,"-")</f>
        <v>-</v>
      </c>
      <c r="CA56" s="321" t="str">
        <f ca="1">IF(CS!AJ$5="l",CS!AJ56,"-")</f>
        <v/>
      </c>
      <c r="CB56" s="321" t="str">
        <f ca="1">IF(CS!AK$5="l",CS!AK56,"-")</f>
        <v>-</v>
      </c>
      <c r="CC56" s="321" t="str">
        <f ca="1">IF(CS!AL$5="l",CS!AL56,"-")</f>
        <v/>
      </c>
      <c r="CD56" s="321" t="str">
        <f ca="1">IF(CS!AM$5="l",CS!AM56,"-")</f>
        <v>-</v>
      </c>
      <c r="CE56" s="321" t="str">
        <f ca="1">IF(CS!AN$5="l",CS!AN56,"-")</f>
        <v/>
      </c>
      <c r="CF56" s="321" t="str">
        <f ca="1">IF(CS!AO$5="l",CS!AO56,"-")</f>
        <v>-</v>
      </c>
      <c r="CG56" s="321" t="str">
        <f ca="1">IF(CS!AP$5="l",CS!AP56,"-")</f>
        <v/>
      </c>
    </row>
    <row r="57" spans="2:85" ht="13" thickTop="1"/>
    <row r="58" spans="2:85">
      <c r="C58" s="312" t="s">
        <v>955</v>
      </c>
      <c r="D58" s="312" t="s">
        <v>956</v>
      </c>
      <c r="E58" s="312" t="s">
        <v>957</v>
      </c>
      <c r="F58" s="312" t="s">
        <v>958</v>
      </c>
      <c r="G58" s="312" t="s">
        <v>959</v>
      </c>
      <c r="H58" s="312" t="s">
        <v>960</v>
      </c>
      <c r="I58" s="312" t="s">
        <v>961</v>
      </c>
      <c r="J58" s="312" t="s">
        <v>962</v>
      </c>
      <c r="K58" s="312" t="s">
        <v>963</v>
      </c>
      <c r="L58" s="312" t="s">
        <v>964</v>
      </c>
      <c r="M58" s="312" t="s">
        <v>965</v>
      </c>
      <c r="N58" s="312" t="s">
        <v>966</v>
      </c>
      <c r="O58" s="312" t="s">
        <v>967</v>
      </c>
      <c r="P58" s="312" t="s">
        <v>968</v>
      </c>
      <c r="Q58" s="312" t="s">
        <v>969</v>
      </c>
      <c r="R58" s="312" t="s">
        <v>970</v>
      </c>
      <c r="S58" s="312" t="s">
        <v>971</v>
      </c>
      <c r="T58" s="312" t="s">
        <v>972</v>
      </c>
      <c r="U58" s="312" t="s">
        <v>973</v>
      </c>
      <c r="V58" s="312" t="s">
        <v>974</v>
      </c>
      <c r="W58" s="312"/>
    </row>
    <row r="59" spans="2:85">
      <c r="C59" s="312" t="s">
        <v>975</v>
      </c>
      <c r="D59" s="312" t="s">
        <v>976</v>
      </c>
      <c r="E59" s="312" t="s">
        <v>977</v>
      </c>
      <c r="F59" s="312" t="s">
        <v>978</v>
      </c>
      <c r="G59" s="312" t="s">
        <v>979</v>
      </c>
      <c r="H59" s="312" t="s">
        <v>980</v>
      </c>
      <c r="I59" s="312" t="s">
        <v>981</v>
      </c>
      <c r="J59" s="312" t="s">
        <v>982</v>
      </c>
      <c r="K59" s="312" t="s">
        <v>983</v>
      </c>
      <c r="L59" s="312" t="s">
        <v>984</v>
      </c>
      <c r="M59" s="312" t="s">
        <v>985</v>
      </c>
      <c r="N59" s="312" t="s">
        <v>986</v>
      </c>
      <c r="O59" s="312" t="s">
        <v>987</v>
      </c>
      <c r="P59" s="312" t="s">
        <v>988</v>
      </c>
      <c r="Q59" s="312" t="s">
        <v>989</v>
      </c>
      <c r="R59" s="312" t="s">
        <v>990</v>
      </c>
      <c r="S59" s="312" t="s">
        <v>991</v>
      </c>
      <c r="T59" s="312" t="s">
        <v>992</v>
      </c>
      <c r="U59" s="312" t="s">
        <v>993</v>
      </c>
      <c r="V59" s="312" t="s">
        <v>994</v>
      </c>
      <c r="W59" s="312"/>
      <c r="AS59" s="17"/>
    </row>
  </sheetData>
  <sheetProtection password="FFF0" sheet="1" objects="1" scenarios="1"/>
  <conditionalFormatting sqref="C11:W56">
    <cfRule type="cellIs" dxfId="105" priority="14" operator="equal">
      <formula>0</formula>
    </cfRule>
  </conditionalFormatting>
  <conditionalFormatting sqref="AS59">
    <cfRule type="cellIs" dxfId="104" priority="10" operator="greaterThan">
      <formula>2</formula>
    </cfRule>
    <cfRule type="cellIs" dxfId="103" priority="11" operator="equal">
      <formula>2</formula>
    </cfRule>
  </conditionalFormatting>
  <conditionalFormatting sqref="C11:W56">
    <cfRule type="expression" dxfId="102" priority="8">
      <formula>ISNUMBER(C11)</formula>
    </cfRule>
  </conditionalFormatting>
  <conditionalFormatting sqref="D11:W56">
    <cfRule type="expression" dxfId="101" priority="7">
      <formula>AND(ISNUMBER(D11),ISNUMBER(C11))</formula>
    </cfRule>
  </conditionalFormatting>
  <conditionalFormatting sqref="E11:W56">
    <cfRule type="expression" dxfId="100" priority="6">
      <formula>AND(ISNUMBER(E11),ISNUMBER(D11),ISNUMBER(C11))</formula>
    </cfRule>
  </conditionalFormatting>
  <conditionalFormatting sqref="AB11:AB56">
    <cfRule type="cellIs" dxfId="99" priority="3" operator="equal">
      <formula>$AB$7</formula>
    </cfRule>
    <cfRule type="cellIs" dxfId="98" priority="4" operator="equal">
      <formula>$AB$7+1</formula>
    </cfRule>
  </conditionalFormatting>
  <conditionalFormatting sqref="AB11:AB56">
    <cfRule type="cellIs" dxfId="97" priority="2" operator="equal">
      <formula>0</formula>
    </cfRule>
  </conditionalFormatting>
  <conditionalFormatting sqref="AB11:AB56">
    <cfRule type="containsText" dxfId="96" priority="1" operator="containsText" text="&quot;&quot;">
      <formula>NOT(ISERROR(SEARCH("""""",AB11)))</formula>
    </cfRule>
  </conditionalFormatting>
  <conditionalFormatting sqref="AB11:AB56">
    <cfRule type="cellIs" dxfId="95" priority="5" operator="greaterThan">
      <formula>$AB$7+1</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23</vt:i4>
      </vt:variant>
    </vt:vector>
  </HeadingPairs>
  <TitlesOfParts>
    <vt:vector size="23" baseType="lpstr">
      <vt:lpstr>Intro</vt:lpstr>
      <vt:lpstr>DrawIndex</vt:lpstr>
      <vt:lpstr>DrawFinder</vt:lpstr>
      <vt:lpstr>CS</vt:lpstr>
      <vt:lpstr>TvT</vt:lpstr>
      <vt:lpstr>DcI</vt:lpstr>
      <vt:lpstr>TmPlayOrder</vt:lpstr>
      <vt:lpstr>SheetFreq</vt:lpstr>
      <vt:lpstr>LateGameFreq</vt:lpstr>
      <vt:lpstr>GamesDay</vt:lpstr>
      <vt:lpstr>Markup</vt:lpstr>
      <vt:lpstr>S2</vt:lpstr>
      <vt:lpstr>S3</vt:lpstr>
      <vt:lpstr>S4</vt:lpstr>
      <vt:lpstr>S5</vt:lpstr>
      <vt:lpstr>S6</vt:lpstr>
      <vt:lpstr>S7</vt:lpstr>
      <vt:lpstr>S8</vt:lpstr>
      <vt:lpstr>S9</vt:lpstr>
      <vt:lpstr>S10</vt:lpstr>
      <vt:lpstr>Rules</vt:lpstr>
      <vt:lpstr>Sequencing</vt:lpstr>
      <vt:lpstr>TmOrderLU</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 Keeler</dc:creator>
  <cp:lastModifiedBy>Jeff Keeler</cp:lastModifiedBy>
  <cp:lastPrinted>2016-05-09T20:09:05Z</cp:lastPrinted>
  <dcterms:created xsi:type="dcterms:W3CDTF">2011-04-17T21:21:18Z</dcterms:created>
  <dcterms:modified xsi:type="dcterms:W3CDTF">2021-08-04T22:04:45Z</dcterms:modified>
</cp:coreProperties>
</file>